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조업일지\"/>
    </mc:Choice>
  </mc:AlternateContent>
  <bookViews>
    <workbookView xWindow="-48" yWindow="276" windowWidth="9912" windowHeight="11100" tabRatio="657" firstSheet="6" activeTab="6"/>
  </bookViews>
  <sheets>
    <sheet name="11월 에너지 (2)" sheetId="154" state="hidden" r:id="rId1"/>
    <sheet name="a" sheetId="150" state="hidden" r:id="rId2"/>
    <sheet name="B" sheetId="155" state="hidden" r:id="rId3"/>
    <sheet name="Sheet4" sheetId="156" state="hidden" r:id="rId4"/>
    <sheet name="문자메세지" sheetId="159" state="hidden" r:id="rId5"/>
    <sheet name="인수인계" sheetId="138" state="hidden" r:id="rId6"/>
    <sheet name="09월 조업일지" sheetId="101" r:id="rId7"/>
    <sheet name="09월 에너지" sheetId="135" r:id="rId8"/>
    <sheet name="09월 고철장입" sheetId="139" r:id="rId9"/>
    <sheet name="09월 화학성분" sheetId="134" r:id="rId10"/>
    <sheet name="반별" sheetId="143" r:id="rId11"/>
    <sheet name="일별반별" sheetId="148" state="hidden" r:id="rId12"/>
    <sheet name="일별반별원가" sheetId="149" state="hidden" r:id="rId13"/>
    <sheet name="강종별" sheetId="137" state="hidden" r:id="rId14"/>
    <sheet name="일별" sheetId="151" r:id="rId15"/>
    <sheet name="주간보수내역" sheetId="167" r:id="rId16"/>
    <sheet name="챠트보기" sheetId="152" state="hidden" r:id="rId17"/>
    <sheet name="일별 사용량" sheetId="153" state="hidden" r:id="rId18"/>
  </sheets>
  <definedNames>
    <definedName name="_xlnm._FilterDatabase" localSheetId="6" hidden="1">'09월 조업일지'!$C$10:$F$953</definedName>
    <definedName name="_xlnm._FilterDatabase" localSheetId="1" hidden="1">a!$B$1:$AH$25</definedName>
    <definedName name="_xlnm._FilterDatabase" localSheetId="2" hidden="1">B!$B$1:$AH$25</definedName>
    <definedName name="_xlnm._FilterDatabase" localSheetId="5" hidden="1">인수인계!$A$2:$G$362</definedName>
    <definedName name="DATA" localSheetId="0">#REF!</definedName>
    <definedName name="DATA" localSheetId="2">#REF!</definedName>
    <definedName name="DATA" localSheetId="10">#REF!</definedName>
    <definedName name="DATA" localSheetId="5">#REF!</definedName>
    <definedName name="DATA" localSheetId="14">#REF!</definedName>
    <definedName name="DATA" localSheetId="17">#REF!</definedName>
    <definedName name="DATA" localSheetId="11">#REF!</definedName>
    <definedName name="DATA" localSheetId="12">#REF!</definedName>
    <definedName name="DATA" localSheetId="15">#REF!</definedName>
    <definedName name="DATA" localSheetId="16">#REF!</definedName>
    <definedName name="DATA">#REF!</definedName>
    <definedName name="ㅇㅇ" localSheetId="15">#REF!</definedName>
    <definedName name="ㅇㅇ">#REF!</definedName>
    <definedName name="ㅗㅗㅗ" localSheetId="0">#REF!</definedName>
    <definedName name="ㅗㅗㅗ" localSheetId="2">#REF!</definedName>
    <definedName name="ㅗㅗㅗ" localSheetId="10">#REF!</definedName>
    <definedName name="ㅗㅗㅗ" localSheetId="14">#REF!</definedName>
    <definedName name="ㅗㅗㅗ" localSheetId="17">#REF!</definedName>
    <definedName name="ㅗㅗㅗ" localSheetId="11">#REF!</definedName>
    <definedName name="ㅗㅗㅗ" localSheetId="12">#REF!</definedName>
    <definedName name="ㅗㅗㅗ" localSheetId="15">#REF!</definedName>
    <definedName name="ㅗㅗㅗ" localSheetId="16">#REF!</definedName>
    <definedName name="ㅗㅗㅗ">#REF!</definedName>
  </definedNames>
  <calcPr calcId="152511"/>
  <fileRecoveryPr autoRecover="0"/>
</workbook>
</file>

<file path=xl/calcChain.xml><?xml version="1.0" encoding="utf-8"?>
<calcChain xmlns="http://schemas.openxmlformats.org/spreadsheetml/2006/main">
  <c r="Q832" i="139" l="1"/>
  <c r="Y831" i="139"/>
  <c r="P831" i="139"/>
  <c r="AE831" i="139" s="1"/>
  <c r="I831" i="139"/>
  <c r="V832" i="139"/>
  <c r="P832" i="139"/>
  <c r="I832" i="139"/>
  <c r="O832" i="139" s="1"/>
  <c r="AI832" i="139"/>
  <c r="Y832" i="139"/>
  <c r="AI831" i="139"/>
  <c r="Q831" i="139"/>
  <c r="O831" i="139"/>
  <c r="I797" i="139"/>
  <c r="Q830" i="139"/>
  <c r="Y830" i="139"/>
  <c r="P830" i="139"/>
  <c r="AE830" i="139" s="1"/>
  <c r="I830" i="139"/>
  <c r="O830" i="139" s="1"/>
  <c r="V829" i="139"/>
  <c r="Y829" i="139"/>
  <c r="P829" i="139"/>
  <c r="I829" i="139"/>
  <c r="V828" i="139"/>
  <c r="Y828" i="139"/>
  <c r="P828" i="139"/>
  <c r="AE828" i="139" s="1"/>
  <c r="I828" i="139"/>
  <c r="AI830" i="139"/>
  <c r="V830" i="139"/>
  <c r="AI829" i="139"/>
  <c r="AE829" i="139"/>
  <c r="Q829" i="139"/>
  <c r="O829" i="139"/>
  <c r="AI828" i="139"/>
  <c r="Q828" i="139"/>
  <c r="O828" i="139"/>
  <c r="V827" i="139"/>
  <c r="Y827" i="139"/>
  <c r="Q827" i="139"/>
  <c r="P827" i="139"/>
  <c r="I827" i="139"/>
  <c r="Y826" i="139"/>
  <c r="V826" i="139"/>
  <c r="Q826" i="139"/>
  <c r="P826" i="139"/>
  <c r="I826" i="139"/>
  <c r="AE832" i="139" l="1"/>
  <c r="AJ830" i="139"/>
  <c r="AJ828" i="139"/>
  <c r="AJ829" i="139"/>
  <c r="Y825" i="139" l="1"/>
  <c r="V825" i="139"/>
  <c r="Q825" i="139"/>
  <c r="P825" i="139"/>
  <c r="I825" i="139"/>
  <c r="Y824" i="139"/>
  <c r="V824" i="139"/>
  <c r="Q824" i="139"/>
  <c r="P824" i="139"/>
  <c r="I824" i="139"/>
  <c r="Y823" i="139"/>
  <c r="V823" i="139"/>
  <c r="Q823" i="139"/>
  <c r="P823" i="139"/>
  <c r="I823" i="139"/>
  <c r="Y822" i="139"/>
  <c r="V822" i="139"/>
  <c r="Q822" i="139"/>
  <c r="P822" i="139"/>
  <c r="I822" i="139"/>
  <c r="Y821" i="139"/>
  <c r="V821" i="139"/>
  <c r="Q821" i="139"/>
  <c r="P821" i="139"/>
  <c r="I821" i="139"/>
  <c r="Z819" i="101"/>
  <c r="Y820" i="139"/>
  <c r="V820" i="139"/>
  <c r="Q820" i="139"/>
  <c r="P820" i="139"/>
  <c r="I820" i="139"/>
  <c r="Y819" i="139"/>
  <c r="V819" i="139"/>
  <c r="Q819" i="139"/>
  <c r="P819" i="139"/>
  <c r="I819" i="139"/>
  <c r="Y818" i="139"/>
  <c r="V818" i="139"/>
  <c r="Q818" i="139"/>
  <c r="P818" i="139"/>
  <c r="I818" i="139"/>
  <c r="Y817" i="139"/>
  <c r="V817" i="139"/>
  <c r="Q817" i="139"/>
  <c r="P817" i="139"/>
  <c r="I817" i="139"/>
  <c r="Y816" i="139"/>
  <c r="V816" i="139"/>
  <c r="Q816" i="139"/>
  <c r="P816" i="139"/>
  <c r="I816" i="139"/>
  <c r="Y815" i="139"/>
  <c r="V815" i="139"/>
  <c r="Q815" i="139"/>
  <c r="P815" i="139"/>
  <c r="I815" i="139"/>
  <c r="Y814" i="139"/>
  <c r="V814" i="139"/>
  <c r="Q814" i="139"/>
  <c r="P814" i="139"/>
  <c r="I814" i="139"/>
  <c r="Y813" i="139"/>
  <c r="V813" i="139"/>
  <c r="Q813" i="139"/>
  <c r="P813" i="139"/>
  <c r="I813" i="139"/>
  <c r="A811" i="101"/>
  <c r="Y812" i="139"/>
  <c r="V812" i="139"/>
  <c r="Q812" i="139"/>
  <c r="P812" i="139"/>
  <c r="I812" i="139"/>
  <c r="Y811" i="139"/>
  <c r="V811" i="139"/>
  <c r="Q811" i="139"/>
  <c r="P811" i="139"/>
  <c r="I811" i="139"/>
  <c r="Y810" i="139"/>
  <c r="V810" i="139"/>
  <c r="Q810" i="139"/>
  <c r="P810" i="139"/>
  <c r="I810" i="139"/>
  <c r="Y809" i="139"/>
  <c r="V809" i="139"/>
  <c r="Q809" i="139"/>
  <c r="P809" i="139"/>
  <c r="I809" i="139"/>
  <c r="Y808" i="139"/>
  <c r="V808" i="139"/>
  <c r="Q808" i="139"/>
  <c r="P808" i="139"/>
  <c r="I808" i="139"/>
  <c r="Y807" i="139"/>
  <c r="V807" i="139"/>
  <c r="Q807" i="139"/>
  <c r="P807" i="139"/>
  <c r="I807" i="139"/>
  <c r="Y806" i="139"/>
  <c r="V806" i="139"/>
  <c r="Q806" i="139"/>
  <c r="P806" i="139"/>
  <c r="I806" i="139"/>
  <c r="AS804" i="101"/>
  <c r="Y805" i="139"/>
  <c r="V805" i="139"/>
  <c r="Q805" i="139"/>
  <c r="P805" i="139"/>
  <c r="I805" i="139"/>
  <c r="Y804" i="139"/>
  <c r="V804" i="139"/>
  <c r="Q804" i="139"/>
  <c r="P804" i="139"/>
  <c r="Y803" i="139"/>
  <c r="V803" i="139"/>
  <c r="Q803" i="139"/>
  <c r="P803" i="139"/>
  <c r="I803" i="139"/>
  <c r="P800" i="139"/>
  <c r="Y800" i="139"/>
  <c r="V800" i="139"/>
  <c r="Y801" i="139"/>
  <c r="V801" i="139"/>
  <c r="Q801" i="139"/>
  <c r="P801" i="139"/>
  <c r="I801" i="139"/>
  <c r="P802" i="139"/>
  <c r="AE802" i="139" s="1"/>
  <c r="V802" i="139"/>
  <c r="Q802" i="139"/>
  <c r="AI802" i="139"/>
  <c r="O802" i="139"/>
  <c r="AI801" i="139"/>
  <c r="O801" i="139"/>
  <c r="AI800" i="139"/>
  <c r="Q800" i="139"/>
  <c r="O800" i="139"/>
  <c r="Y799" i="139"/>
  <c r="V799" i="139"/>
  <c r="Q799" i="139"/>
  <c r="P799" i="139"/>
  <c r="I799" i="139"/>
  <c r="Y798" i="139"/>
  <c r="Q798" i="139"/>
  <c r="P798" i="139"/>
  <c r="I798" i="139"/>
  <c r="Y797" i="139"/>
  <c r="V797" i="139"/>
  <c r="Q797" i="139"/>
  <c r="P797" i="139"/>
  <c r="V796" i="139"/>
  <c r="Y796" i="139"/>
  <c r="P796" i="139"/>
  <c r="I796" i="139"/>
  <c r="O796" i="139" s="1"/>
  <c r="Y795" i="139"/>
  <c r="P795" i="139"/>
  <c r="I795" i="139"/>
  <c r="O795" i="139" s="1"/>
  <c r="AI797" i="139"/>
  <c r="O797" i="139"/>
  <c r="AI796" i="139"/>
  <c r="Q796" i="139"/>
  <c r="AI795" i="139"/>
  <c r="V795" i="139"/>
  <c r="Q795" i="139"/>
  <c r="AE795" i="139" s="1"/>
  <c r="P794" i="139"/>
  <c r="Y794" i="139"/>
  <c r="V794" i="139"/>
  <c r="Q794" i="139"/>
  <c r="I794" i="139"/>
  <c r="Y793" i="139"/>
  <c r="V793" i="139"/>
  <c r="Q793" i="139"/>
  <c r="P793" i="139"/>
  <c r="I793" i="139"/>
  <c r="P792" i="139"/>
  <c r="Y792" i="139"/>
  <c r="V792" i="139"/>
  <c r="Q792" i="139"/>
  <c r="I792" i="139"/>
  <c r="Y791" i="139"/>
  <c r="V791" i="139"/>
  <c r="Q791" i="139"/>
  <c r="P791" i="139"/>
  <c r="I791" i="139"/>
  <c r="I790" i="139"/>
  <c r="O790" i="139"/>
  <c r="P790" i="139"/>
  <c r="AE790" i="139" s="1"/>
  <c r="Q790" i="139"/>
  <c r="V790" i="139"/>
  <c r="Y790" i="139"/>
  <c r="Y789" i="139"/>
  <c r="V789" i="139"/>
  <c r="Q789" i="139"/>
  <c r="P789" i="139"/>
  <c r="I789" i="139"/>
  <c r="Y788" i="139"/>
  <c r="V788" i="139"/>
  <c r="Q788" i="139"/>
  <c r="P788" i="139"/>
  <c r="I788" i="139"/>
  <c r="Y787" i="139"/>
  <c r="V787" i="139"/>
  <c r="Q787" i="139"/>
  <c r="P787" i="139"/>
  <c r="I787" i="139"/>
  <c r="Y786" i="139"/>
  <c r="V786" i="139"/>
  <c r="Q786" i="139"/>
  <c r="P786" i="139"/>
  <c r="I786" i="139"/>
  <c r="Y785" i="139"/>
  <c r="V785" i="139"/>
  <c r="Q785" i="139"/>
  <c r="P785" i="139"/>
  <c r="I785" i="139"/>
  <c r="Y784" i="139"/>
  <c r="V784" i="139"/>
  <c r="Q784" i="139"/>
  <c r="P784" i="139"/>
  <c r="I784" i="139"/>
  <c r="Y783" i="139"/>
  <c r="V783" i="139"/>
  <c r="Q783" i="139"/>
  <c r="P783" i="139"/>
  <c r="I783" i="139"/>
  <c r="V782" i="139"/>
  <c r="Q782" i="139"/>
  <c r="P782" i="139"/>
  <c r="I782" i="139"/>
  <c r="Y781" i="139"/>
  <c r="V781" i="139"/>
  <c r="Q781" i="139"/>
  <c r="P781" i="139"/>
  <c r="I781" i="139"/>
  <c r="A778" i="134"/>
  <c r="V780" i="139"/>
  <c r="Q780" i="139"/>
  <c r="P780" i="139"/>
  <c r="A780" i="139"/>
  <c r="I780" i="139"/>
  <c r="A780" i="135"/>
  <c r="A778" i="101"/>
  <c r="A779" i="101"/>
  <c r="Y779" i="139"/>
  <c r="V779" i="139"/>
  <c r="Q779" i="139"/>
  <c r="P779" i="139"/>
  <c r="I779" i="139"/>
  <c r="Y778" i="139"/>
  <c r="V778" i="139"/>
  <c r="Q778" i="139"/>
  <c r="P778" i="139"/>
  <c r="I778" i="139"/>
  <c r="Y777" i="139"/>
  <c r="V777" i="139"/>
  <c r="Q777" i="139"/>
  <c r="P777" i="139"/>
  <c r="I777" i="139"/>
  <c r="V776" i="139"/>
  <c r="Q776" i="139"/>
  <c r="P776" i="139"/>
  <c r="I776" i="139"/>
  <c r="Y775" i="139"/>
  <c r="V775" i="139"/>
  <c r="Q775" i="139"/>
  <c r="P775" i="139"/>
  <c r="I775" i="139"/>
  <c r="Y774" i="139"/>
  <c r="V774" i="139"/>
  <c r="Q774" i="139"/>
  <c r="P774" i="139"/>
  <c r="AE774" i="139" s="1"/>
  <c r="O774" i="139"/>
  <c r="I774" i="139"/>
  <c r="Y773" i="139"/>
  <c r="V773" i="139"/>
  <c r="Q773" i="139"/>
  <c r="P773" i="139"/>
  <c r="I773" i="139"/>
  <c r="Y772" i="139"/>
  <c r="V772" i="139"/>
  <c r="Q772" i="139"/>
  <c r="P772" i="139"/>
  <c r="I772" i="139"/>
  <c r="Y771" i="139"/>
  <c r="V771" i="139"/>
  <c r="Q771" i="139"/>
  <c r="P771" i="139"/>
  <c r="I771" i="139"/>
  <c r="Y770" i="139"/>
  <c r="V770" i="139"/>
  <c r="Q770" i="139"/>
  <c r="P770" i="139"/>
  <c r="I770" i="139"/>
  <c r="V769" i="139"/>
  <c r="Y769" i="139"/>
  <c r="Q769" i="139"/>
  <c r="P769" i="139"/>
  <c r="I769" i="139"/>
  <c r="Y768" i="139"/>
  <c r="V768" i="139"/>
  <c r="Q768" i="139"/>
  <c r="P768" i="139"/>
  <c r="I768" i="139"/>
  <c r="Y767" i="139"/>
  <c r="V767" i="139"/>
  <c r="Q767" i="139"/>
  <c r="P767" i="139"/>
  <c r="I766" i="139"/>
  <c r="O766" i="139"/>
  <c r="P766" i="139"/>
  <c r="AE766" i="139" s="1"/>
  <c r="Q766" i="139"/>
  <c r="U766" i="139"/>
  <c r="V766" i="139"/>
  <c r="X766" i="139"/>
  <c r="Y766" i="139"/>
  <c r="I765" i="139"/>
  <c r="O765" i="139"/>
  <c r="P765" i="139"/>
  <c r="Q765" i="139"/>
  <c r="U765" i="139"/>
  <c r="V765" i="139"/>
  <c r="X765" i="139"/>
  <c r="AE765" i="139"/>
  <c r="U764" i="139"/>
  <c r="P764" i="139"/>
  <c r="X764" i="139"/>
  <c r="Y764" i="139"/>
  <c r="V764" i="139"/>
  <c r="Q764" i="139"/>
  <c r="I764" i="139"/>
  <c r="P763" i="139"/>
  <c r="V763" i="139"/>
  <c r="Y763" i="139"/>
  <c r="Y762" i="139"/>
  <c r="V762" i="139"/>
  <c r="P762" i="139"/>
  <c r="Y761" i="139"/>
  <c r="V761" i="139"/>
  <c r="Q761" i="139"/>
  <c r="P761" i="139"/>
  <c r="I761" i="139"/>
  <c r="AG760" i="139"/>
  <c r="Y760" i="139"/>
  <c r="V760" i="139"/>
  <c r="Q760" i="139"/>
  <c r="P760" i="139"/>
  <c r="I760" i="139"/>
  <c r="AG759" i="139"/>
  <c r="Y759" i="139"/>
  <c r="V759" i="139"/>
  <c r="Q759" i="139"/>
  <c r="P759" i="139"/>
  <c r="I759" i="139"/>
  <c r="AG758" i="139"/>
  <c r="Y758" i="139"/>
  <c r="V758" i="139"/>
  <c r="Q758" i="139"/>
  <c r="P758" i="139"/>
  <c r="I758" i="139"/>
  <c r="AG757" i="139"/>
  <c r="Y757" i="139"/>
  <c r="V757" i="139"/>
  <c r="Q757" i="139"/>
  <c r="P757" i="139"/>
  <c r="I757" i="139"/>
  <c r="AG756" i="139"/>
  <c r="Y756" i="139"/>
  <c r="V756" i="139"/>
  <c r="Q756" i="139"/>
  <c r="P756" i="139"/>
  <c r="I756" i="139"/>
  <c r="AG755" i="139"/>
  <c r="Y755" i="139"/>
  <c r="V755" i="139"/>
  <c r="Q755" i="139"/>
  <c r="P755" i="139"/>
  <c r="I755" i="139"/>
  <c r="Y754" i="139"/>
  <c r="V754" i="139"/>
  <c r="Q754" i="139"/>
  <c r="P754" i="139"/>
  <c r="I754" i="139"/>
  <c r="Y753" i="139"/>
  <c r="V753" i="139"/>
  <c r="Q753" i="139"/>
  <c r="P753" i="139"/>
  <c r="I753" i="139"/>
  <c r="Y752" i="139"/>
  <c r="V752" i="139"/>
  <c r="Q752" i="139"/>
  <c r="P752" i="139"/>
  <c r="I752" i="139"/>
  <c r="V751" i="139"/>
  <c r="Q751" i="139"/>
  <c r="P751" i="139"/>
  <c r="I751" i="139"/>
  <c r="Y750" i="139"/>
  <c r="V750" i="139"/>
  <c r="Q750" i="139"/>
  <c r="P750" i="139"/>
  <c r="I750" i="139"/>
  <c r="Y749" i="139"/>
  <c r="V749" i="139"/>
  <c r="Q749" i="139"/>
  <c r="P749" i="139"/>
  <c r="I749" i="139"/>
  <c r="Y748" i="139"/>
  <c r="V748" i="139"/>
  <c r="Q748" i="139"/>
  <c r="P748" i="139"/>
  <c r="I748" i="139"/>
  <c r="Y747" i="139"/>
  <c r="V747" i="139"/>
  <c r="Q747" i="139"/>
  <c r="P747" i="139"/>
  <c r="I747" i="139"/>
  <c r="Y746" i="139"/>
  <c r="V746" i="139"/>
  <c r="Q746" i="139"/>
  <c r="P746" i="139"/>
  <c r="I746" i="139"/>
  <c r="P745" i="139"/>
  <c r="Y745" i="139"/>
  <c r="V745" i="139"/>
  <c r="Q745" i="139"/>
  <c r="I745" i="139"/>
  <c r="Y744" i="139"/>
  <c r="V744" i="139"/>
  <c r="Q744" i="139"/>
  <c r="P744" i="139"/>
  <c r="I744" i="139"/>
  <c r="Y743" i="139"/>
  <c r="V743" i="139"/>
  <c r="Q743" i="139"/>
  <c r="P743" i="139"/>
  <c r="I743" i="139"/>
  <c r="Y742" i="139"/>
  <c r="V742" i="139"/>
  <c r="Q742" i="139"/>
  <c r="P742" i="139"/>
  <c r="I742" i="139"/>
  <c r="Y741" i="139"/>
  <c r="V741" i="139"/>
  <c r="Q741" i="139"/>
  <c r="P741" i="139"/>
  <c r="I741" i="139"/>
  <c r="P740" i="139"/>
  <c r="V740" i="139"/>
  <c r="Y740" i="139"/>
  <c r="I740" i="139"/>
  <c r="Y739" i="139"/>
  <c r="V739" i="139"/>
  <c r="Q739" i="139"/>
  <c r="P739" i="139"/>
  <c r="I739" i="139"/>
  <c r="AG738" i="139"/>
  <c r="V738" i="139"/>
  <c r="Q738" i="139"/>
  <c r="P738" i="139"/>
  <c r="P737" i="139"/>
  <c r="AG737" i="139"/>
  <c r="Q737" i="139"/>
  <c r="I737" i="139"/>
  <c r="O737" i="139" s="1"/>
  <c r="AA735" i="139"/>
  <c r="V735" i="139"/>
  <c r="Q735" i="139"/>
  <c r="AG735" i="139"/>
  <c r="AI735" i="139" s="1"/>
  <c r="I735" i="139"/>
  <c r="O735" i="139" s="1"/>
  <c r="Q736" i="139"/>
  <c r="Y736" i="139"/>
  <c r="AE736" i="139" s="1"/>
  <c r="I736" i="139"/>
  <c r="AI737" i="139"/>
  <c r="Y737" i="139"/>
  <c r="V737" i="139"/>
  <c r="AG736" i="139"/>
  <c r="AI736" i="139" s="1"/>
  <c r="V736" i="139"/>
  <c r="P736" i="139"/>
  <c r="O736" i="139"/>
  <c r="Y735" i="139"/>
  <c r="P735" i="139"/>
  <c r="V734" i="139"/>
  <c r="Y734" i="139"/>
  <c r="Q734" i="139"/>
  <c r="P734" i="139"/>
  <c r="V733" i="139"/>
  <c r="Y733" i="139"/>
  <c r="Q733" i="139"/>
  <c r="P733" i="139"/>
  <c r="I733" i="139"/>
  <c r="P732" i="139"/>
  <c r="Y732" i="139"/>
  <c r="V732" i="139"/>
  <c r="Q732" i="139"/>
  <c r="I732" i="139"/>
  <c r="AG731" i="139"/>
  <c r="AI731" i="139" s="1"/>
  <c r="I731" i="139"/>
  <c r="O731" i="139" s="1"/>
  <c r="Y730" i="139"/>
  <c r="AE730" i="139" s="1"/>
  <c r="AG730" i="139"/>
  <c r="AI730" i="139" s="1"/>
  <c r="I730" i="139"/>
  <c r="AG729" i="139"/>
  <c r="I729" i="139"/>
  <c r="AE731" i="139"/>
  <c r="Q730" i="139"/>
  <c r="O730" i="139"/>
  <c r="AI729" i="139"/>
  <c r="V729" i="139"/>
  <c r="U729" i="139"/>
  <c r="AE729" i="139"/>
  <c r="O729" i="139"/>
  <c r="V728" i="139"/>
  <c r="AG728" i="139"/>
  <c r="Y728" i="139"/>
  <c r="Q728" i="139"/>
  <c r="P728" i="139"/>
  <c r="I728" i="139"/>
  <c r="AG727" i="139"/>
  <c r="Y727" i="139"/>
  <c r="V727" i="139"/>
  <c r="Q727" i="139"/>
  <c r="P727" i="139"/>
  <c r="I727" i="139"/>
  <c r="Y726" i="139"/>
  <c r="V726" i="139"/>
  <c r="Q726" i="139"/>
  <c r="P726" i="139"/>
  <c r="I726" i="139"/>
  <c r="Y725" i="139"/>
  <c r="V725" i="139"/>
  <c r="Q725" i="139"/>
  <c r="P725" i="139"/>
  <c r="I725" i="139"/>
  <c r="Y724" i="139"/>
  <c r="V724" i="139"/>
  <c r="Q724" i="139"/>
  <c r="P724" i="139"/>
  <c r="I724" i="139"/>
  <c r="Y723" i="139"/>
  <c r="V723" i="139"/>
  <c r="Q723" i="139"/>
  <c r="P723" i="139"/>
  <c r="I723" i="139"/>
  <c r="Y722" i="139"/>
  <c r="V722" i="139"/>
  <c r="Q722" i="139"/>
  <c r="P722" i="139"/>
  <c r="I722" i="139"/>
  <c r="V721" i="139"/>
  <c r="Q721" i="139"/>
  <c r="P721" i="139"/>
  <c r="I721" i="139"/>
  <c r="Y720" i="139"/>
  <c r="V720" i="139"/>
  <c r="Q720" i="139"/>
  <c r="P720" i="139"/>
  <c r="I720" i="139"/>
  <c r="Y719" i="139"/>
  <c r="V719" i="139"/>
  <c r="Q719" i="139"/>
  <c r="P719" i="139"/>
  <c r="I719" i="139"/>
  <c r="V718" i="139"/>
  <c r="AG718" i="139"/>
  <c r="Y718" i="139"/>
  <c r="Q718" i="139"/>
  <c r="P718" i="139"/>
  <c r="I718" i="139"/>
  <c r="AG717" i="139"/>
  <c r="Y717" i="139"/>
  <c r="V717" i="139"/>
  <c r="Q717" i="139"/>
  <c r="P717" i="139"/>
  <c r="I717" i="139"/>
  <c r="AG716" i="139"/>
  <c r="Y716" i="139"/>
  <c r="V716" i="139"/>
  <c r="Q716" i="139"/>
  <c r="P716" i="139"/>
  <c r="I716" i="139"/>
  <c r="AG715" i="139"/>
  <c r="Y715" i="139"/>
  <c r="V715" i="139"/>
  <c r="Q715" i="139"/>
  <c r="P715" i="139"/>
  <c r="I715" i="139"/>
  <c r="AG714" i="139"/>
  <c r="Y714" i="139"/>
  <c r="V714" i="139"/>
  <c r="Q714" i="139"/>
  <c r="P714" i="139"/>
  <c r="I714" i="139"/>
  <c r="AG713" i="139"/>
  <c r="Y713" i="139"/>
  <c r="V713" i="139"/>
  <c r="Q713" i="139"/>
  <c r="P713" i="139"/>
  <c r="I713" i="139"/>
  <c r="AG712" i="139"/>
  <c r="Y712" i="139"/>
  <c r="V712" i="139"/>
  <c r="Q712" i="139"/>
  <c r="P712" i="139"/>
  <c r="I712" i="139"/>
  <c r="P711" i="139"/>
  <c r="AG711" i="139"/>
  <c r="Y711" i="139"/>
  <c r="V711" i="139"/>
  <c r="Q711" i="139"/>
  <c r="I711" i="139"/>
  <c r="I710" i="139"/>
  <c r="O710" i="139"/>
  <c r="P710" i="139"/>
  <c r="Q710" i="139"/>
  <c r="V710" i="139"/>
  <c r="Y710" i="139"/>
  <c r="AE710" i="139" s="1"/>
  <c r="AG710" i="139"/>
  <c r="AG709" i="139"/>
  <c r="Y709" i="139"/>
  <c r="V709" i="139"/>
  <c r="Q709" i="139"/>
  <c r="P709" i="139"/>
  <c r="I709" i="139"/>
  <c r="AG708" i="139"/>
  <c r="V708" i="139"/>
  <c r="Q708" i="139"/>
  <c r="P708" i="139"/>
  <c r="I708" i="139"/>
  <c r="AG707" i="139"/>
  <c r="Y707" i="139"/>
  <c r="V707" i="139"/>
  <c r="Q707" i="139"/>
  <c r="P707" i="139"/>
  <c r="I707" i="139"/>
  <c r="Y706" i="139"/>
  <c r="V706" i="139"/>
  <c r="Q706" i="139"/>
  <c r="P706" i="139"/>
  <c r="I706" i="139"/>
  <c r="AG705" i="139"/>
  <c r="Y705" i="139"/>
  <c r="V705" i="139"/>
  <c r="Q705" i="139"/>
  <c r="P705" i="139"/>
  <c r="I705" i="139"/>
  <c r="V704" i="139"/>
  <c r="Y704" i="139"/>
  <c r="Q704" i="139"/>
  <c r="P704" i="139"/>
  <c r="I704" i="139"/>
  <c r="Q703" i="139"/>
  <c r="Y703" i="139"/>
  <c r="V703" i="139"/>
  <c r="P703" i="139"/>
  <c r="I703" i="139"/>
  <c r="AI702" i="139"/>
  <c r="AG702" i="139"/>
  <c r="AE702" i="139"/>
  <c r="Y702" i="139"/>
  <c r="V702" i="139"/>
  <c r="Q702" i="139"/>
  <c r="P702" i="139"/>
  <c r="I702" i="139"/>
  <c r="AG701" i="139"/>
  <c r="Y701" i="139"/>
  <c r="V701" i="139"/>
  <c r="Q701" i="139"/>
  <c r="P701" i="139"/>
  <c r="I701" i="139"/>
  <c r="V700" i="139"/>
  <c r="I700" i="139"/>
  <c r="V699" i="139"/>
  <c r="Q699" i="139"/>
  <c r="AE699" i="139" s="1"/>
  <c r="P699" i="139"/>
  <c r="I699" i="139"/>
  <c r="O699" i="139"/>
  <c r="I698" i="139"/>
  <c r="O698" i="139" s="1"/>
  <c r="AI701" i="139"/>
  <c r="O701" i="139"/>
  <c r="AI700" i="139"/>
  <c r="Y700" i="139"/>
  <c r="Q700" i="139"/>
  <c r="P700" i="139"/>
  <c r="O700" i="139"/>
  <c r="AI699" i="139"/>
  <c r="AI698" i="139"/>
  <c r="Y698" i="139"/>
  <c r="V698" i="139"/>
  <c r="AE698" i="139" s="1"/>
  <c r="Q698" i="139"/>
  <c r="AG697" i="139"/>
  <c r="Y697" i="139"/>
  <c r="V697" i="139"/>
  <c r="Q697" i="139"/>
  <c r="P697" i="139"/>
  <c r="I697" i="139"/>
  <c r="AG696" i="139"/>
  <c r="Y696" i="139"/>
  <c r="V696" i="139"/>
  <c r="Q696" i="139"/>
  <c r="P696" i="139"/>
  <c r="I696" i="139"/>
  <c r="Y695" i="139"/>
  <c r="V695" i="139"/>
  <c r="Q695" i="139"/>
  <c r="P695" i="139"/>
  <c r="I695" i="139"/>
  <c r="Y694" i="139"/>
  <c r="V694" i="139"/>
  <c r="Q694" i="139"/>
  <c r="P694" i="139"/>
  <c r="I694" i="139"/>
  <c r="V693" i="139"/>
  <c r="Q693" i="139"/>
  <c r="P693" i="139"/>
  <c r="I693" i="139"/>
  <c r="Y692" i="139"/>
  <c r="V692" i="139"/>
  <c r="Q692" i="139"/>
  <c r="P692" i="139"/>
  <c r="I692" i="139"/>
  <c r="AG691" i="139"/>
  <c r="Y691" i="139"/>
  <c r="V691" i="139"/>
  <c r="Q691" i="139"/>
  <c r="P691" i="139"/>
  <c r="I691" i="139"/>
  <c r="AG690" i="139"/>
  <c r="Y690" i="139"/>
  <c r="V690" i="139"/>
  <c r="Q690" i="139"/>
  <c r="P690" i="139"/>
  <c r="I690" i="139"/>
  <c r="AG689" i="139"/>
  <c r="Y689" i="139"/>
  <c r="V689" i="139"/>
  <c r="Q689" i="139"/>
  <c r="P689" i="139"/>
  <c r="I689" i="139"/>
  <c r="Y688" i="139"/>
  <c r="V688" i="139"/>
  <c r="Q688" i="139"/>
  <c r="P688" i="139"/>
  <c r="I688" i="139"/>
  <c r="Y687" i="139"/>
  <c r="V687" i="139"/>
  <c r="Q687" i="139"/>
  <c r="P687" i="139"/>
  <c r="I687" i="139"/>
  <c r="Y686" i="139"/>
  <c r="V686" i="139"/>
  <c r="Q686" i="139"/>
  <c r="P686" i="139"/>
  <c r="I686" i="139"/>
  <c r="Y685" i="139"/>
  <c r="V685" i="139"/>
  <c r="Q685" i="139"/>
  <c r="P685" i="139"/>
  <c r="I685" i="139"/>
  <c r="Y684" i="139"/>
  <c r="V684" i="139"/>
  <c r="Q684" i="139"/>
  <c r="P684" i="139"/>
  <c r="I684" i="139"/>
  <c r="Y683" i="139"/>
  <c r="V683" i="139"/>
  <c r="Q683" i="139"/>
  <c r="P683" i="139"/>
  <c r="I683" i="139"/>
  <c r="P682" i="139"/>
  <c r="Y682" i="139"/>
  <c r="V682" i="139"/>
  <c r="Q682" i="139"/>
  <c r="I682" i="139"/>
  <c r="Y681" i="139"/>
  <c r="V681" i="139"/>
  <c r="Q681" i="139"/>
  <c r="P681" i="139"/>
  <c r="I681" i="139"/>
  <c r="Y680" i="139"/>
  <c r="V680" i="139"/>
  <c r="Q680" i="139"/>
  <c r="P680" i="139"/>
  <c r="I680" i="139"/>
  <c r="Y679" i="139"/>
  <c r="V679" i="139"/>
  <c r="Q679" i="139"/>
  <c r="P679" i="139"/>
  <c r="I679" i="139"/>
  <c r="E676" i="101"/>
  <c r="Y678" i="139"/>
  <c r="V678" i="139"/>
  <c r="Q678" i="139"/>
  <c r="P678" i="139"/>
  <c r="I678" i="139"/>
  <c r="P677" i="139"/>
  <c r="Y677" i="139"/>
  <c r="V677" i="139"/>
  <c r="Q677" i="139"/>
  <c r="I677" i="139"/>
  <c r="Q675" i="139"/>
  <c r="V675" i="139"/>
  <c r="P675" i="139"/>
  <c r="P676" i="139"/>
  <c r="AE676" i="139" s="1"/>
  <c r="I676" i="139"/>
  <c r="V674" i="139"/>
  <c r="P674" i="139"/>
  <c r="I674" i="139"/>
  <c r="O674" i="139" s="1"/>
  <c r="AI676" i="139"/>
  <c r="Q676" i="139"/>
  <c r="O676" i="139"/>
  <c r="AI675" i="139"/>
  <c r="O675" i="139"/>
  <c r="AI674" i="139"/>
  <c r="U674" i="139"/>
  <c r="P673" i="139"/>
  <c r="V673" i="139"/>
  <c r="Q673" i="139"/>
  <c r="I673" i="139"/>
  <c r="Y672" i="139"/>
  <c r="V672" i="139"/>
  <c r="Q672" i="139"/>
  <c r="P672" i="139"/>
  <c r="I672" i="139"/>
  <c r="P671" i="139"/>
  <c r="V671" i="139"/>
  <c r="Q671" i="139"/>
  <c r="I671" i="139"/>
  <c r="P670" i="139"/>
  <c r="V670" i="139"/>
  <c r="I670" i="139"/>
  <c r="Q668" i="139"/>
  <c r="AE668" i="139" s="1"/>
  <c r="V668" i="139"/>
  <c r="I668" i="139"/>
  <c r="P669" i="139"/>
  <c r="I669" i="139"/>
  <c r="AI670" i="139"/>
  <c r="Y670" i="139"/>
  <c r="AE670" i="139"/>
  <c r="O670" i="139"/>
  <c r="AI669" i="139"/>
  <c r="Y669" i="139"/>
  <c r="AE669" i="139"/>
  <c r="O669" i="139"/>
  <c r="AI668" i="139"/>
  <c r="Y668" i="139"/>
  <c r="O668" i="139"/>
  <c r="Y667" i="139"/>
  <c r="V667" i="139"/>
  <c r="Q667" i="139"/>
  <c r="P667" i="139"/>
  <c r="I667" i="139"/>
  <c r="Y666" i="139"/>
  <c r="V666" i="139"/>
  <c r="Q666" i="139"/>
  <c r="P666" i="139"/>
  <c r="I666" i="139"/>
  <c r="Y665" i="139"/>
  <c r="V665" i="139"/>
  <c r="Q665" i="139"/>
  <c r="P665" i="139"/>
  <c r="I665" i="139"/>
  <c r="AG664" i="139"/>
  <c r="Y664" i="139"/>
  <c r="V664" i="139"/>
  <c r="Q664" i="139"/>
  <c r="P664" i="139"/>
  <c r="I664" i="139"/>
  <c r="A663" i="101"/>
  <c r="F666" i="134"/>
  <c r="AG663" i="139"/>
  <c r="Y663" i="139"/>
  <c r="V663" i="139"/>
  <c r="Q663" i="139"/>
  <c r="P663" i="139"/>
  <c r="I663" i="139"/>
  <c r="F668" i="139"/>
  <c r="F667" i="135"/>
  <c r="F667" i="139" s="1"/>
  <c r="AG662" i="139"/>
  <c r="Y662" i="139"/>
  <c r="V662" i="139"/>
  <c r="Q662" i="139"/>
  <c r="P662" i="139"/>
  <c r="I662" i="139"/>
  <c r="AG661" i="139"/>
  <c r="Y661" i="139"/>
  <c r="V661" i="139"/>
  <c r="Q661" i="139"/>
  <c r="P661" i="139"/>
  <c r="I661" i="139"/>
  <c r="AG660" i="139"/>
  <c r="Y660" i="139"/>
  <c r="V660" i="139"/>
  <c r="Q660" i="139"/>
  <c r="P660" i="139"/>
  <c r="I660" i="139"/>
  <c r="AG659" i="139"/>
  <c r="Y659" i="139"/>
  <c r="V659" i="139"/>
  <c r="Q659" i="139"/>
  <c r="P659" i="139"/>
  <c r="I659" i="139"/>
  <c r="I658" i="139"/>
  <c r="AG658" i="139"/>
  <c r="Y658" i="139"/>
  <c r="V658" i="139"/>
  <c r="Q658" i="139"/>
  <c r="P658" i="139"/>
  <c r="AG657" i="139"/>
  <c r="Y657" i="139"/>
  <c r="V657" i="139"/>
  <c r="Q657" i="139"/>
  <c r="P657" i="139"/>
  <c r="I657" i="139"/>
  <c r="AG656" i="139"/>
  <c r="Y656" i="139"/>
  <c r="V656" i="139"/>
  <c r="Q656" i="139"/>
  <c r="P656" i="139"/>
  <c r="I656" i="139"/>
  <c r="AG655" i="139"/>
  <c r="Y655" i="139"/>
  <c r="V655" i="139"/>
  <c r="Q655" i="139"/>
  <c r="P655" i="139"/>
  <c r="I655" i="139"/>
  <c r="AG654" i="139"/>
  <c r="Y654" i="139"/>
  <c r="V654" i="139"/>
  <c r="Q654" i="139"/>
  <c r="P654" i="139"/>
  <c r="I654" i="139"/>
  <c r="AG653" i="139"/>
  <c r="Y653" i="139"/>
  <c r="V653" i="139"/>
  <c r="Q653" i="139"/>
  <c r="P653" i="139"/>
  <c r="I653" i="139"/>
  <c r="I652" i="139"/>
  <c r="P652" i="139"/>
  <c r="Q652" i="139"/>
  <c r="V652" i="139"/>
  <c r="Y652" i="139"/>
  <c r="AG652" i="139"/>
  <c r="AG651" i="139"/>
  <c r="Y651" i="139"/>
  <c r="V651" i="139"/>
  <c r="Q651" i="139"/>
  <c r="P651" i="139"/>
  <c r="AG650" i="139"/>
  <c r="Y650" i="139"/>
  <c r="V650" i="139"/>
  <c r="Q650" i="139"/>
  <c r="P650" i="139"/>
  <c r="I650" i="139"/>
  <c r="AG649" i="139"/>
  <c r="Y649" i="139"/>
  <c r="V649" i="139"/>
  <c r="Q649" i="139"/>
  <c r="P649" i="139"/>
  <c r="I649" i="139"/>
  <c r="AG648" i="139"/>
  <c r="Y648" i="139"/>
  <c r="V648" i="139"/>
  <c r="Q648" i="139"/>
  <c r="P648" i="139"/>
  <c r="I648" i="139"/>
  <c r="V647" i="139"/>
  <c r="AG647" i="139"/>
  <c r="V646" i="139"/>
  <c r="AG646" i="139"/>
  <c r="AI646" i="139" s="1"/>
  <c r="I646" i="139"/>
  <c r="Q646" i="139"/>
  <c r="Q645" i="139"/>
  <c r="AI647" i="139"/>
  <c r="Y647" i="139"/>
  <c r="Q647" i="139"/>
  <c r="AE647" i="139" s="1"/>
  <c r="O647" i="139"/>
  <c r="Y646" i="139"/>
  <c r="AE646" i="139"/>
  <c r="O646" i="139"/>
  <c r="AI645" i="139"/>
  <c r="Y645" i="139"/>
  <c r="P645" i="139"/>
  <c r="AE645" i="139" s="1"/>
  <c r="O645" i="139"/>
  <c r="AH642" i="101"/>
  <c r="F642" i="134"/>
  <c r="F644" i="139"/>
  <c r="F644" i="135"/>
  <c r="P644" i="139"/>
  <c r="AG644" i="139"/>
  <c r="Y644" i="139"/>
  <c r="V644" i="139"/>
  <c r="Q644" i="139"/>
  <c r="I644" i="139"/>
  <c r="P643" i="139"/>
  <c r="AG643" i="139"/>
  <c r="Y643" i="139"/>
  <c r="V643" i="139"/>
  <c r="Q643" i="139"/>
  <c r="I643" i="139"/>
  <c r="Y642" i="139"/>
  <c r="V642" i="139"/>
  <c r="Q642" i="139"/>
  <c r="P642" i="139"/>
  <c r="I642" i="139"/>
  <c r="Y641" i="139"/>
  <c r="V641" i="139"/>
  <c r="Q641" i="139"/>
  <c r="P641" i="139"/>
  <c r="I641" i="139"/>
  <c r="P640" i="139"/>
  <c r="V640" i="139"/>
  <c r="AE640" i="139" s="1"/>
  <c r="Q640" i="139"/>
  <c r="I640" i="139"/>
  <c r="Q639" i="139"/>
  <c r="P639" i="139"/>
  <c r="I639" i="139"/>
  <c r="I638" i="139"/>
  <c r="P638" i="139"/>
  <c r="AI640" i="139"/>
  <c r="O640" i="139"/>
  <c r="AI639" i="139"/>
  <c r="O639" i="139"/>
  <c r="AI638" i="139"/>
  <c r="AE638" i="139"/>
  <c r="O638" i="139"/>
  <c r="AG637" i="139"/>
  <c r="Y637" i="139"/>
  <c r="V637" i="139"/>
  <c r="Q637" i="139"/>
  <c r="P637" i="139"/>
  <c r="I637" i="139"/>
  <c r="AG636" i="139"/>
  <c r="Y636" i="139"/>
  <c r="V636" i="139"/>
  <c r="Q636" i="139"/>
  <c r="P636" i="139"/>
  <c r="I636" i="139"/>
  <c r="I635" i="139"/>
  <c r="AG635" i="139"/>
  <c r="Y635" i="139"/>
  <c r="V635" i="139"/>
  <c r="Q635" i="139"/>
  <c r="P635" i="139"/>
  <c r="AG634" i="139"/>
  <c r="Y634" i="139"/>
  <c r="V634" i="139"/>
  <c r="Q634" i="139"/>
  <c r="I634" i="139"/>
  <c r="P634" i="139"/>
  <c r="Y633" i="139"/>
  <c r="V633" i="139"/>
  <c r="Q633" i="139"/>
  <c r="P633" i="139"/>
  <c r="I633" i="139"/>
  <c r="Y632" i="139"/>
  <c r="V632" i="139"/>
  <c r="Q632" i="139"/>
  <c r="P632" i="139"/>
  <c r="I632" i="139"/>
  <c r="P631" i="139"/>
  <c r="AG631" i="139"/>
  <c r="Y631" i="139"/>
  <c r="V631" i="139"/>
  <c r="Q631" i="139"/>
  <c r="I631" i="139"/>
  <c r="N635" i="101"/>
  <c r="AG630" i="139"/>
  <c r="Y630" i="139"/>
  <c r="V630" i="139"/>
  <c r="Q630" i="139"/>
  <c r="P630" i="139"/>
  <c r="I630" i="139"/>
  <c r="Q629" i="139"/>
  <c r="P629" i="139"/>
  <c r="I629" i="139"/>
  <c r="AG629" i="139"/>
  <c r="Y629" i="139"/>
  <c r="V629" i="139"/>
  <c r="P628" i="139"/>
  <c r="Y628" i="139"/>
  <c r="V628" i="139"/>
  <c r="I628" i="139"/>
  <c r="Q628" i="139"/>
  <c r="Y627" i="139"/>
  <c r="V627" i="139"/>
  <c r="Q627" i="139"/>
  <c r="P627" i="139"/>
  <c r="I627" i="139"/>
  <c r="Y626" i="139"/>
  <c r="V626" i="139"/>
  <c r="Q626" i="139"/>
  <c r="P626" i="139"/>
  <c r="I626" i="139"/>
  <c r="Y625" i="139"/>
  <c r="V625" i="139"/>
  <c r="Q625" i="139"/>
  <c r="P625" i="139"/>
  <c r="I625" i="139"/>
  <c r="Y624" i="139"/>
  <c r="V624" i="139"/>
  <c r="Q624" i="139"/>
  <c r="P624" i="139"/>
  <c r="I624" i="139"/>
  <c r="I623" i="139"/>
  <c r="Y623" i="139"/>
  <c r="V623" i="139"/>
  <c r="Q623" i="139"/>
  <c r="P623" i="139"/>
  <c r="Y622" i="139"/>
  <c r="V622" i="139"/>
  <c r="Q622" i="139"/>
  <c r="P622" i="139"/>
  <c r="I622" i="139"/>
  <c r="Y621" i="139"/>
  <c r="V621" i="139"/>
  <c r="Q621" i="139"/>
  <c r="P621" i="139"/>
  <c r="I621" i="139"/>
  <c r="Y620" i="139"/>
  <c r="V620" i="139"/>
  <c r="Q620" i="139"/>
  <c r="P620" i="139"/>
  <c r="I620" i="139"/>
  <c r="Y619" i="139"/>
  <c r="V619" i="139"/>
  <c r="Q619" i="139"/>
  <c r="P619" i="139"/>
  <c r="I619" i="139"/>
  <c r="Y618" i="139"/>
  <c r="V618" i="139"/>
  <c r="Q618" i="139"/>
  <c r="P618" i="139"/>
  <c r="I618" i="139"/>
  <c r="Y617" i="139"/>
  <c r="V617" i="139"/>
  <c r="Q617" i="139"/>
  <c r="P617" i="139"/>
  <c r="Q616" i="139"/>
  <c r="I616" i="139"/>
  <c r="I614" i="139"/>
  <c r="Y615" i="139"/>
  <c r="AI616" i="139"/>
  <c r="Y616" i="139"/>
  <c r="V616" i="139"/>
  <c r="AE616" i="139"/>
  <c r="O616" i="139"/>
  <c r="AI615" i="139"/>
  <c r="Q615" i="139"/>
  <c r="O615" i="139"/>
  <c r="AI614" i="139"/>
  <c r="Y614" i="139"/>
  <c r="Q614" i="139"/>
  <c r="P614" i="139"/>
  <c r="AE614" i="139" s="1"/>
  <c r="O614" i="139"/>
  <c r="Y613" i="139"/>
  <c r="V613" i="139"/>
  <c r="Q613" i="139"/>
  <c r="P613" i="139"/>
  <c r="I613" i="139"/>
  <c r="V610" i="139"/>
  <c r="Y610" i="139"/>
  <c r="Q611" i="139"/>
  <c r="AE611" i="139" s="1"/>
  <c r="V612" i="139"/>
  <c r="P612" i="139"/>
  <c r="Y612" i="139"/>
  <c r="Q612" i="139"/>
  <c r="I612" i="139"/>
  <c r="AI612" i="139"/>
  <c r="AG611" i="139"/>
  <c r="AI611" i="139" s="1"/>
  <c r="Y611" i="139"/>
  <c r="P611" i="139"/>
  <c r="AG610" i="139"/>
  <c r="AI610" i="139" s="1"/>
  <c r="Q610" i="139"/>
  <c r="P610" i="139"/>
  <c r="I610" i="139"/>
  <c r="Y609" i="139"/>
  <c r="V609" i="139"/>
  <c r="P609" i="139"/>
  <c r="I609" i="139"/>
  <c r="Y608" i="139"/>
  <c r="P607" i="139"/>
  <c r="I607" i="139"/>
  <c r="I608" i="139"/>
  <c r="V608" i="139"/>
  <c r="Q608" i="139"/>
  <c r="P608" i="139"/>
  <c r="Y607" i="139"/>
  <c r="V607" i="139"/>
  <c r="Q607" i="139"/>
  <c r="M602" i="135"/>
  <c r="AG606" i="139"/>
  <c r="Y606" i="139"/>
  <c r="V606" i="139"/>
  <c r="Q606" i="139"/>
  <c r="P606" i="139"/>
  <c r="I606" i="139"/>
  <c r="AG605" i="139"/>
  <c r="Y605" i="139"/>
  <c r="V605" i="139"/>
  <c r="Q605" i="139"/>
  <c r="P605" i="139"/>
  <c r="I605" i="139"/>
  <c r="AG604" i="139"/>
  <c r="Y604" i="139"/>
  <c r="V604" i="139"/>
  <c r="Q604" i="139"/>
  <c r="P604" i="139"/>
  <c r="I604" i="139"/>
  <c r="V603" i="139"/>
  <c r="I603" i="139"/>
  <c r="AG603" i="139"/>
  <c r="Y603" i="139"/>
  <c r="Q603" i="139"/>
  <c r="P603" i="139"/>
  <c r="AG602" i="139"/>
  <c r="Y602" i="139"/>
  <c r="V602" i="139"/>
  <c r="Q602" i="139"/>
  <c r="P602" i="139"/>
  <c r="I602" i="139"/>
  <c r="Y601" i="139"/>
  <c r="V601" i="139"/>
  <c r="Q601" i="139"/>
  <c r="P601" i="139"/>
  <c r="AG601" i="139"/>
  <c r="I601" i="139"/>
  <c r="AG600" i="139"/>
  <c r="Y600" i="139"/>
  <c r="V600" i="139"/>
  <c r="Q600" i="139"/>
  <c r="P600" i="139"/>
  <c r="I600" i="139"/>
  <c r="V599" i="139"/>
  <c r="AG599" i="139"/>
  <c r="Y599" i="139"/>
  <c r="P599" i="139"/>
  <c r="Q599" i="139"/>
  <c r="I599" i="139"/>
  <c r="AG598" i="139"/>
  <c r="Y598" i="139"/>
  <c r="V598" i="139"/>
  <c r="Q598" i="139"/>
  <c r="P598" i="139"/>
  <c r="I598" i="139"/>
  <c r="V597" i="139"/>
  <c r="Q597" i="139"/>
  <c r="P597" i="139"/>
  <c r="I597" i="139"/>
  <c r="Y596" i="139"/>
  <c r="V596" i="139"/>
  <c r="I596" i="139"/>
  <c r="P596" i="139"/>
  <c r="Y595" i="139"/>
  <c r="V595" i="139"/>
  <c r="U595" i="139"/>
  <c r="Q595" i="139"/>
  <c r="P595" i="139"/>
  <c r="P594" i="139"/>
  <c r="Y594" i="139"/>
  <c r="V594" i="139"/>
  <c r="U594" i="139"/>
  <c r="Q594" i="139"/>
  <c r="Y593" i="139"/>
  <c r="V593" i="139"/>
  <c r="P593" i="139"/>
  <c r="Y592" i="139"/>
  <c r="V592" i="139"/>
  <c r="P592" i="139"/>
  <c r="Y591" i="139"/>
  <c r="V591" i="139"/>
  <c r="U591" i="139"/>
  <c r="Q591" i="139"/>
  <c r="P591" i="139"/>
  <c r="Y590" i="139"/>
  <c r="V590" i="139"/>
  <c r="U590" i="139"/>
  <c r="Q590" i="139"/>
  <c r="P590" i="139"/>
  <c r="Y589" i="139"/>
  <c r="V589" i="139"/>
  <c r="U589" i="139"/>
  <c r="Q589" i="139"/>
  <c r="P589" i="139"/>
  <c r="Y588" i="139"/>
  <c r="V588" i="139"/>
  <c r="U588" i="139"/>
  <c r="Q588" i="139"/>
  <c r="P588" i="139"/>
  <c r="Y587" i="139"/>
  <c r="V587" i="139"/>
  <c r="U587" i="139"/>
  <c r="Q587" i="139"/>
  <c r="P587" i="139"/>
  <c r="Y586" i="139"/>
  <c r="V586" i="139"/>
  <c r="U586" i="139"/>
  <c r="Q586" i="139"/>
  <c r="P586" i="139"/>
  <c r="Y585" i="139"/>
  <c r="V585" i="139"/>
  <c r="U585" i="139"/>
  <c r="Q585" i="139"/>
  <c r="P585" i="139"/>
  <c r="Q584" i="139"/>
  <c r="Y584" i="139"/>
  <c r="V584" i="139"/>
  <c r="U584" i="139"/>
  <c r="P584" i="139"/>
  <c r="Y583" i="139"/>
  <c r="V583" i="139"/>
  <c r="U583" i="139"/>
  <c r="Q583" i="139"/>
  <c r="P583" i="139"/>
  <c r="Y582" i="139"/>
  <c r="V582" i="139"/>
  <c r="U582" i="139"/>
  <c r="Q582" i="139"/>
  <c r="P582" i="139"/>
  <c r="O582" i="139"/>
  <c r="Y581" i="139"/>
  <c r="V581" i="139"/>
  <c r="U581" i="139"/>
  <c r="Q581" i="139"/>
  <c r="P581" i="139"/>
  <c r="Y580" i="139"/>
  <c r="V580" i="139"/>
  <c r="U580" i="139"/>
  <c r="Q580" i="139"/>
  <c r="P580" i="139"/>
  <c r="Y579" i="139"/>
  <c r="V579" i="139"/>
  <c r="U579" i="139"/>
  <c r="Q579" i="139"/>
  <c r="P579" i="139"/>
  <c r="Y578" i="139"/>
  <c r="V578" i="139"/>
  <c r="U578" i="139"/>
  <c r="Q578" i="139"/>
  <c r="P578" i="139"/>
  <c r="Y577" i="139"/>
  <c r="V577" i="139"/>
  <c r="Q577" i="139"/>
  <c r="P577" i="139"/>
  <c r="Y576" i="139"/>
  <c r="V576" i="139"/>
  <c r="U576" i="139"/>
  <c r="Q576" i="139"/>
  <c r="P576" i="139"/>
  <c r="Y575" i="139"/>
  <c r="V575" i="139"/>
  <c r="U575" i="139"/>
  <c r="Q575" i="139"/>
  <c r="P575" i="139"/>
  <c r="Y574" i="139"/>
  <c r="V574" i="139"/>
  <c r="U574" i="139"/>
  <c r="Q574" i="139"/>
  <c r="P574" i="139"/>
  <c r="Y573" i="139"/>
  <c r="V573" i="139"/>
  <c r="U573" i="139"/>
  <c r="Q573" i="139"/>
  <c r="P573" i="139"/>
  <c r="Y572" i="139"/>
  <c r="V572" i="139"/>
  <c r="U572" i="139"/>
  <c r="Q572" i="139"/>
  <c r="P572" i="139"/>
  <c r="Y571" i="139"/>
  <c r="V571" i="139"/>
  <c r="U571" i="139"/>
  <c r="Q571" i="139"/>
  <c r="P571" i="139"/>
  <c r="Y570" i="139"/>
  <c r="V570" i="139"/>
  <c r="U570" i="139"/>
  <c r="Q570" i="139"/>
  <c r="P570" i="139"/>
  <c r="Y569" i="139"/>
  <c r="V569" i="139"/>
  <c r="U569" i="139"/>
  <c r="Q569" i="139"/>
  <c r="P569" i="139"/>
  <c r="Y568" i="139"/>
  <c r="V568" i="139"/>
  <c r="U568" i="139"/>
  <c r="Q568" i="139"/>
  <c r="P568" i="139"/>
  <c r="Y567" i="139"/>
  <c r="V567" i="139"/>
  <c r="U567" i="139"/>
  <c r="Q567" i="139"/>
  <c r="P567" i="139"/>
  <c r="Y566" i="139"/>
  <c r="V566" i="139"/>
  <c r="U566" i="139"/>
  <c r="Q566" i="139"/>
  <c r="P566" i="139"/>
  <c r="Y565" i="139"/>
  <c r="V565" i="139"/>
  <c r="U565" i="139"/>
  <c r="Q565" i="139"/>
  <c r="P565" i="139"/>
  <c r="Y564" i="139"/>
  <c r="V564" i="139"/>
  <c r="U564" i="139"/>
  <c r="Q564" i="139"/>
  <c r="P564" i="139"/>
  <c r="Y563" i="139"/>
  <c r="V563" i="139"/>
  <c r="U563" i="139"/>
  <c r="Q563" i="139"/>
  <c r="P563" i="139"/>
  <c r="Y562" i="139"/>
  <c r="V562" i="139"/>
  <c r="U562" i="139"/>
  <c r="Q562" i="139"/>
  <c r="P562" i="139"/>
  <c r="Y561" i="139"/>
  <c r="V561" i="139"/>
  <c r="U561" i="139"/>
  <c r="Q561" i="139"/>
  <c r="P561" i="139"/>
  <c r="Y560" i="139"/>
  <c r="V560" i="139"/>
  <c r="U560" i="139"/>
  <c r="Q560" i="139"/>
  <c r="P560" i="139"/>
  <c r="Y559" i="139"/>
  <c r="V559" i="139"/>
  <c r="U559" i="139"/>
  <c r="Q559" i="139"/>
  <c r="P559" i="139"/>
  <c r="Y558" i="139"/>
  <c r="V558" i="139"/>
  <c r="U558" i="139"/>
  <c r="Q558" i="139"/>
  <c r="P558" i="139"/>
  <c r="Y557" i="139"/>
  <c r="V557" i="139"/>
  <c r="U557" i="139"/>
  <c r="Q557" i="139"/>
  <c r="P557" i="139"/>
  <c r="Y556" i="139"/>
  <c r="V556" i="139"/>
  <c r="U556" i="139"/>
  <c r="Q556" i="139"/>
  <c r="P556" i="139"/>
  <c r="Y555" i="139"/>
  <c r="V555" i="139"/>
  <c r="U555" i="139"/>
  <c r="Q555" i="139"/>
  <c r="P555" i="139"/>
  <c r="Y554" i="139"/>
  <c r="V554" i="139"/>
  <c r="U554" i="139"/>
  <c r="Q554" i="139"/>
  <c r="P554" i="139"/>
  <c r="Y553" i="139"/>
  <c r="V553" i="139"/>
  <c r="U553" i="139"/>
  <c r="Q553" i="139"/>
  <c r="P553" i="139"/>
  <c r="Y552" i="139"/>
  <c r="V552" i="139"/>
  <c r="U552" i="139"/>
  <c r="Q552" i="139"/>
  <c r="P552" i="139"/>
  <c r="Y551" i="139"/>
  <c r="V551" i="139"/>
  <c r="U551" i="139"/>
  <c r="Q551" i="139"/>
  <c r="P551" i="139"/>
  <c r="Y550" i="139"/>
  <c r="V550" i="139"/>
  <c r="U550" i="139"/>
  <c r="Q550" i="139"/>
  <c r="P550" i="139"/>
  <c r="Y549" i="139"/>
  <c r="V549" i="139"/>
  <c r="U549" i="139"/>
  <c r="Q549" i="139"/>
  <c r="P549" i="139"/>
  <c r="Y548" i="139"/>
  <c r="V548" i="139"/>
  <c r="U548" i="139"/>
  <c r="Q548" i="139"/>
  <c r="P548" i="139"/>
  <c r="Y547" i="139"/>
  <c r="V547" i="139"/>
  <c r="U547" i="139"/>
  <c r="Q547" i="139"/>
  <c r="P547" i="139"/>
  <c r="Y546" i="139"/>
  <c r="V546" i="139"/>
  <c r="U546" i="139"/>
  <c r="Q546" i="139"/>
  <c r="P546" i="139"/>
  <c r="V545" i="139"/>
  <c r="Y545" i="139"/>
  <c r="U545" i="139"/>
  <c r="Q545" i="139"/>
  <c r="P545" i="139"/>
  <c r="Y544" i="139"/>
  <c r="V544" i="139"/>
  <c r="U544" i="139"/>
  <c r="Q544" i="139"/>
  <c r="P544" i="139"/>
  <c r="V543" i="139"/>
  <c r="Y543" i="139"/>
  <c r="U543" i="139"/>
  <c r="Q543" i="139"/>
  <c r="P543" i="139"/>
  <c r="V542" i="139"/>
  <c r="Y542" i="139"/>
  <c r="U542" i="139"/>
  <c r="Q542" i="139"/>
  <c r="P542" i="139"/>
  <c r="P541" i="139"/>
  <c r="V540" i="139"/>
  <c r="AE540" i="139" s="1"/>
  <c r="AI540" i="139"/>
  <c r="AI541" i="139"/>
  <c r="P540" i="139"/>
  <c r="V539" i="139"/>
  <c r="Y541" i="139"/>
  <c r="V541" i="139"/>
  <c r="U541" i="139"/>
  <c r="Q541" i="139"/>
  <c r="Y540" i="139"/>
  <c r="U540" i="139"/>
  <c r="Q540" i="139"/>
  <c r="AI539" i="139"/>
  <c r="Y539" i="139"/>
  <c r="U539" i="139"/>
  <c r="Q539" i="139"/>
  <c r="P539" i="139"/>
  <c r="Y538" i="139"/>
  <c r="V538" i="139"/>
  <c r="U538" i="139"/>
  <c r="Q538" i="139"/>
  <c r="P538" i="139"/>
  <c r="U537" i="139"/>
  <c r="Y537" i="139"/>
  <c r="V537" i="139"/>
  <c r="Q537" i="139"/>
  <c r="P537" i="139"/>
  <c r="P536" i="139"/>
  <c r="Y536" i="139"/>
  <c r="V536" i="139"/>
  <c r="U536" i="139"/>
  <c r="Q536" i="139"/>
  <c r="Y535" i="139"/>
  <c r="V535" i="139"/>
  <c r="U535" i="139"/>
  <c r="Q535" i="139"/>
  <c r="P535" i="139"/>
  <c r="Y534" i="139"/>
  <c r="V534" i="139"/>
  <c r="U534" i="139"/>
  <c r="Q534" i="139"/>
  <c r="P534" i="139"/>
  <c r="Y533" i="139"/>
  <c r="V533" i="139"/>
  <c r="U533" i="139"/>
  <c r="Q533" i="139"/>
  <c r="P533" i="139"/>
  <c r="AE532" i="139"/>
  <c r="Y532" i="139"/>
  <c r="V532" i="139"/>
  <c r="U532" i="139"/>
  <c r="Q532" i="139"/>
  <c r="P532" i="139"/>
  <c r="Y531" i="139"/>
  <c r="V531" i="139"/>
  <c r="U531" i="139"/>
  <c r="Q531" i="139"/>
  <c r="P531" i="139"/>
  <c r="Y530" i="139"/>
  <c r="V530" i="139"/>
  <c r="U530" i="139"/>
  <c r="Q530" i="139"/>
  <c r="P530" i="139"/>
  <c r="Y529" i="139"/>
  <c r="V529" i="139"/>
  <c r="U529" i="139"/>
  <c r="Q529" i="139"/>
  <c r="P529" i="139"/>
  <c r="Y528" i="139"/>
  <c r="V528" i="139"/>
  <c r="U528" i="139"/>
  <c r="Q528" i="139"/>
  <c r="P528" i="139"/>
  <c r="Y527" i="139"/>
  <c r="V527" i="139"/>
  <c r="U527" i="139"/>
  <c r="Q527" i="139"/>
  <c r="P527" i="139"/>
  <c r="Y526" i="139"/>
  <c r="V526" i="139"/>
  <c r="U526" i="139"/>
  <c r="Q526" i="139"/>
  <c r="P526" i="139"/>
  <c r="Y525" i="139"/>
  <c r="V525" i="139"/>
  <c r="U525" i="139"/>
  <c r="Q525" i="139"/>
  <c r="P525" i="139"/>
  <c r="V524" i="139"/>
  <c r="Y524" i="139"/>
  <c r="U524" i="139"/>
  <c r="Q524" i="139"/>
  <c r="P524" i="139"/>
  <c r="Y523" i="139"/>
  <c r="V523" i="139"/>
  <c r="U523" i="139"/>
  <c r="Q523" i="139"/>
  <c r="P523" i="139"/>
  <c r="V522" i="139"/>
  <c r="Y522" i="139"/>
  <c r="U522" i="139"/>
  <c r="Q522" i="139"/>
  <c r="P522" i="139"/>
  <c r="Y521" i="139"/>
  <c r="V521" i="139"/>
  <c r="U521" i="139"/>
  <c r="Q521" i="139"/>
  <c r="P521" i="139"/>
  <c r="Y520" i="139"/>
  <c r="V520" i="139"/>
  <c r="U520" i="139"/>
  <c r="Q520" i="139"/>
  <c r="P520" i="139"/>
  <c r="J518" i="101"/>
  <c r="Y519" i="139"/>
  <c r="V519" i="139"/>
  <c r="U519" i="139"/>
  <c r="Q519" i="139"/>
  <c r="P519" i="139"/>
  <c r="O519" i="139"/>
  <c r="Y518" i="139"/>
  <c r="V518" i="139"/>
  <c r="U518" i="139"/>
  <c r="Q518" i="139"/>
  <c r="P518" i="139"/>
  <c r="V517" i="139"/>
  <c r="Y517" i="139"/>
  <c r="U517" i="139"/>
  <c r="Q517" i="139"/>
  <c r="P517" i="139"/>
  <c r="V516" i="139"/>
  <c r="Q516" i="139"/>
  <c r="Y516" i="139"/>
  <c r="U516" i="139"/>
  <c r="P516" i="139"/>
  <c r="Y515" i="139"/>
  <c r="V515" i="139"/>
  <c r="U515" i="139"/>
  <c r="Q515" i="139"/>
  <c r="P515" i="139"/>
  <c r="Y514" i="139"/>
  <c r="V514" i="139"/>
  <c r="Q514" i="139"/>
  <c r="P514" i="139"/>
  <c r="Y513" i="139"/>
  <c r="V513" i="139"/>
  <c r="U513" i="139"/>
  <c r="Q513" i="139"/>
  <c r="P513" i="139"/>
  <c r="Y512" i="139"/>
  <c r="V512" i="139"/>
  <c r="Q512" i="139"/>
  <c r="P512" i="139"/>
  <c r="Y511" i="139"/>
  <c r="V511" i="139"/>
  <c r="U511" i="139"/>
  <c r="Q511" i="139"/>
  <c r="P511" i="139"/>
  <c r="Y510" i="139"/>
  <c r="V510" i="139"/>
  <c r="U510" i="139"/>
  <c r="Q510" i="139"/>
  <c r="P510" i="139"/>
  <c r="V509" i="139"/>
  <c r="Y509" i="139"/>
  <c r="U509" i="139"/>
  <c r="P508" i="139"/>
  <c r="Y507" i="139"/>
  <c r="AI509" i="139"/>
  <c r="Q509" i="139"/>
  <c r="P509" i="139"/>
  <c r="O509" i="139"/>
  <c r="AI508" i="139"/>
  <c r="Y508" i="139"/>
  <c r="V508" i="139"/>
  <c r="AE508" i="139" s="1"/>
  <c r="U508" i="139"/>
  <c r="Q508" i="139"/>
  <c r="O508" i="139"/>
  <c r="AI507" i="139"/>
  <c r="V507" i="139"/>
  <c r="Q507" i="139"/>
  <c r="P507" i="139"/>
  <c r="AE507" i="139" s="1"/>
  <c r="O507" i="139"/>
  <c r="Y506" i="139"/>
  <c r="V506" i="139"/>
  <c r="U506" i="139"/>
  <c r="Q506" i="139"/>
  <c r="P506" i="139"/>
  <c r="Y505" i="139"/>
  <c r="V505" i="139"/>
  <c r="U505" i="139"/>
  <c r="Q505" i="139"/>
  <c r="P505" i="139"/>
  <c r="Y504" i="139"/>
  <c r="V504" i="139"/>
  <c r="U504" i="139"/>
  <c r="Q504" i="139"/>
  <c r="P504" i="139"/>
  <c r="Y503" i="139"/>
  <c r="V503" i="139"/>
  <c r="U503" i="139"/>
  <c r="Q503" i="139"/>
  <c r="P503" i="139"/>
  <c r="Y502" i="139"/>
  <c r="V502" i="139"/>
  <c r="U502" i="139"/>
  <c r="Q502" i="139"/>
  <c r="P502" i="139"/>
  <c r="Y501" i="139"/>
  <c r="V501" i="139"/>
  <c r="U501" i="139"/>
  <c r="Q501" i="139"/>
  <c r="P501" i="139"/>
  <c r="Y500" i="139"/>
  <c r="V500" i="139"/>
  <c r="U500" i="139"/>
  <c r="Q500" i="139"/>
  <c r="P500" i="139"/>
  <c r="Y499" i="139"/>
  <c r="V499" i="139"/>
  <c r="U499" i="139"/>
  <c r="Q499" i="139"/>
  <c r="P499" i="139"/>
  <c r="Y498" i="139"/>
  <c r="V498" i="139"/>
  <c r="U498" i="139"/>
  <c r="Q498" i="139"/>
  <c r="P498" i="139"/>
  <c r="P497" i="139"/>
  <c r="Y497" i="139"/>
  <c r="V497" i="139"/>
  <c r="U497" i="139"/>
  <c r="Q497" i="139"/>
  <c r="Y496" i="139"/>
  <c r="V496" i="139"/>
  <c r="U496" i="139"/>
  <c r="Q496" i="139"/>
  <c r="P496" i="139"/>
  <c r="Y495" i="139"/>
  <c r="V495" i="139"/>
  <c r="U495" i="139"/>
  <c r="Q495" i="139"/>
  <c r="P495" i="139"/>
  <c r="Y494" i="139"/>
  <c r="V494" i="139"/>
  <c r="U494" i="139"/>
  <c r="Q494" i="139"/>
  <c r="P494" i="139"/>
  <c r="Y493" i="139"/>
  <c r="V493" i="139"/>
  <c r="U493" i="139"/>
  <c r="Q493" i="139"/>
  <c r="P493" i="139"/>
  <c r="Z492" i="101"/>
  <c r="Y492" i="139"/>
  <c r="V492" i="139"/>
  <c r="U492" i="139"/>
  <c r="Q492" i="139"/>
  <c r="P492" i="139"/>
  <c r="Y491" i="139"/>
  <c r="V491" i="139"/>
  <c r="U491" i="139"/>
  <c r="Q491" i="139"/>
  <c r="P491" i="139"/>
  <c r="Y490" i="139"/>
  <c r="V490" i="139"/>
  <c r="U490" i="139"/>
  <c r="Q490" i="139"/>
  <c r="P490" i="139"/>
  <c r="AF489" i="139"/>
  <c r="V489" i="139"/>
  <c r="U489" i="139"/>
  <c r="Q489" i="139"/>
  <c r="P489" i="139"/>
  <c r="Y488" i="139"/>
  <c r="V488" i="139"/>
  <c r="Q488" i="139"/>
  <c r="P488" i="139"/>
  <c r="O487" i="139"/>
  <c r="P487" i="139"/>
  <c r="Q487" i="139"/>
  <c r="U487" i="139"/>
  <c r="V487" i="139"/>
  <c r="Y487" i="139"/>
  <c r="AE487" i="139"/>
  <c r="AI487" i="139"/>
  <c r="P486" i="139"/>
  <c r="AI486" i="139"/>
  <c r="Y486" i="139"/>
  <c r="V486" i="139"/>
  <c r="U486" i="139"/>
  <c r="Q486" i="139"/>
  <c r="O486" i="139"/>
  <c r="V485" i="139"/>
  <c r="Y485" i="139"/>
  <c r="U485" i="139"/>
  <c r="Q485" i="139"/>
  <c r="P485" i="139"/>
  <c r="V484" i="139"/>
  <c r="Y484" i="139"/>
  <c r="U484" i="139"/>
  <c r="Q484" i="139"/>
  <c r="P484" i="139"/>
  <c r="V483" i="139"/>
  <c r="Y483" i="139"/>
  <c r="U483" i="139"/>
  <c r="Q483" i="139"/>
  <c r="P483" i="139"/>
  <c r="Y482" i="139"/>
  <c r="V482" i="139"/>
  <c r="U482" i="139"/>
  <c r="Q482" i="139"/>
  <c r="P482" i="139"/>
  <c r="Y481" i="139"/>
  <c r="V481" i="139"/>
  <c r="U481" i="139"/>
  <c r="Q481" i="139"/>
  <c r="P481" i="139"/>
  <c r="Y480" i="139"/>
  <c r="V480" i="139"/>
  <c r="U480" i="139"/>
  <c r="Q480" i="139"/>
  <c r="P480" i="139"/>
  <c r="Y479" i="139"/>
  <c r="V479" i="139"/>
  <c r="U479" i="139"/>
  <c r="Q479" i="139"/>
  <c r="P479" i="139"/>
  <c r="Y478" i="139"/>
  <c r="V478" i="139"/>
  <c r="U478" i="139"/>
  <c r="Q478" i="139"/>
  <c r="P478" i="139"/>
  <c r="Y477" i="139"/>
  <c r="V477" i="139"/>
  <c r="U477" i="139"/>
  <c r="Q477" i="139"/>
  <c r="P477" i="139"/>
  <c r="Y476" i="139"/>
  <c r="V476" i="139"/>
  <c r="U476" i="139"/>
  <c r="Q476" i="139"/>
  <c r="P476" i="139"/>
  <c r="Y475" i="139"/>
  <c r="V475" i="139"/>
  <c r="U475" i="139"/>
  <c r="Q475" i="139"/>
  <c r="P475" i="139"/>
  <c r="E474" i="134"/>
  <c r="D476" i="135" s="1"/>
  <c r="D476" i="139" s="1"/>
  <c r="E475" i="134"/>
  <c r="D477" i="135" s="1"/>
  <c r="D477" i="139" s="1"/>
  <c r="E476" i="134"/>
  <c r="D478" i="135" s="1"/>
  <c r="D478" i="139" s="1"/>
  <c r="E477" i="134"/>
  <c r="E478" i="134"/>
  <c r="D480" i="135" s="1"/>
  <c r="D480" i="139" s="1"/>
  <c r="E479" i="134"/>
  <c r="D481" i="135" s="1"/>
  <c r="D481" i="139" s="1"/>
  <c r="E480" i="134"/>
  <c r="D482" i="135" s="1"/>
  <c r="D482" i="139" s="1"/>
  <c r="E481" i="134"/>
  <c r="D483" i="135" s="1"/>
  <c r="D483" i="139" s="1"/>
  <c r="Y474" i="139"/>
  <c r="V474" i="139"/>
  <c r="U474" i="139"/>
  <c r="Q474" i="139"/>
  <c r="P474" i="139"/>
  <c r="D479" i="135"/>
  <c r="D479" i="139" s="1"/>
  <c r="Y473" i="139"/>
  <c r="V473" i="139"/>
  <c r="U473" i="139"/>
  <c r="Q473" i="139"/>
  <c r="P473" i="139"/>
  <c r="Y472" i="139"/>
  <c r="V472" i="139"/>
  <c r="U472" i="139"/>
  <c r="Q472" i="139"/>
  <c r="P472" i="139"/>
  <c r="Y471" i="139"/>
  <c r="V471" i="139"/>
  <c r="U471" i="139"/>
  <c r="Q471" i="139"/>
  <c r="P471" i="139"/>
  <c r="Y470" i="139"/>
  <c r="V470" i="139"/>
  <c r="Q470" i="139"/>
  <c r="P470" i="139"/>
  <c r="Y469" i="139"/>
  <c r="V469" i="139"/>
  <c r="Q469" i="139"/>
  <c r="P469" i="139"/>
  <c r="E467" i="134"/>
  <c r="D469" i="135" s="1"/>
  <c r="D469" i="139" s="1"/>
  <c r="E468" i="134"/>
  <c r="D470" i="135" s="1"/>
  <c r="D470" i="139" s="1"/>
  <c r="E469" i="134"/>
  <c r="D471" i="135" s="1"/>
  <c r="D471" i="139" s="1"/>
  <c r="E470" i="134"/>
  <c r="D472" i="135" s="1"/>
  <c r="D472" i="139" s="1"/>
  <c r="E471" i="134"/>
  <c r="D473" i="135" s="1"/>
  <c r="D473" i="139" s="1"/>
  <c r="E472" i="134"/>
  <c r="D474" i="135" s="1"/>
  <c r="D474" i="139" s="1"/>
  <c r="E473" i="134"/>
  <c r="D475" i="135" s="1"/>
  <c r="D475" i="139" s="1"/>
  <c r="AI468" i="139"/>
  <c r="Y468" i="139"/>
  <c r="V468" i="139"/>
  <c r="U468" i="139"/>
  <c r="Q468" i="139"/>
  <c r="P468" i="139"/>
  <c r="AE468" i="139" s="1"/>
  <c r="O468" i="139"/>
  <c r="AI467" i="139"/>
  <c r="Y467" i="139"/>
  <c r="V467" i="139"/>
  <c r="U467" i="139"/>
  <c r="Q467" i="139"/>
  <c r="P467" i="139"/>
  <c r="AE467" i="139" s="1"/>
  <c r="O467" i="139"/>
  <c r="AJ467" i="139" s="1"/>
  <c r="Y466" i="139"/>
  <c r="V466" i="139"/>
  <c r="U466" i="139"/>
  <c r="Q466" i="139"/>
  <c r="P466" i="139"/>
  <c r="V465" i="139"/>
  <c r="Y465" i="139"/>
  <c r="Q465" i="139"/>
  <c r="P465" i="139"/>
  <c r="V464" i="139"/>
  <c r="Q464" i="139"/>
  <c r="Y464" i="139"/>
  <c r="U464" i="139"/>
  <c r="P464" i="139"/>
  <c r="V463" i="139"/>
  <c r="Y463" i="139"/>
  <c r="Q463" i="139"/>
  <c r="P463" i="139"/>
  <c r="V462" i="139"/>
  <c r="Y462" i="139"/>
  <c r="U462" i="139"/>
  <c r="Q462" i="139"/>
  <c r="P462" i="139"/>
  <c r="Y461" i="139"/>
  <c r="V461" i="139"/>
  <c r="U461" i="139"/>
  <c r="Q461" i="139"/>
  <c r="P461" i="139"/>
  <c r="Y460" i="139"/>
  <c r="V460" i="139"/>
  <c r="U460" i="139"/>
  <c r="Q460" i="139"/>
  <c r="P460" i="139"/>
  <c r="Y459" i="139"/>
  <c r="V459" i="139"/>
  <c r="U459" i="139"/>
  <c r="Q459" i="139"/>
  <c r="P459" i="139"/>
  <c r="Y458" i="139"/>
  <c r="V458" i="139"/>
  <c r="U458" i="139"/>
  <c r="Q458" i="139"/>
  <c r="P458" i="139"/>
  <c r="U457" i="139"/>
  <c r="Q457" i="139"/>
  <c r="Y457" i="139"/>
  <c r="V457" i="139"/>
  <c r="P457" i="139"/>
  <c r="Y456" i="139"/>
  <c r="V456" i="139"/>
  <c r="U456" i="139"/>
  <c r="Q456" i="139"/>
  <c r="P456" i="139"/>
  <c r="Y455" i="139"/>
  <c r="V455" i="139"/>
  <c r="U455" i="139"/>
  <c r="Q455" i="139"/>
  <c r="P455" i="139"/>
  <c r="Y454" i="139"/>
  <c r="V454" i="139"/>
  <c r="U454" i="139"/>
  <c r="Q454" i="139"/>
  <c r="P454" i="139"/>
  <c r="Y453" i="139"/>
  <c r="V453" i="139"/>
  <c r="U453" i="139"/>
  <c r="Q453" i="139"/>
  <c r="P453" i="139"/>
  <c r="V452" i="139"/>
  <c r="Y452" i="139"/>
  <c r="U452" i="139"/>
  <c r="Q452" i="139"/>
  <c r="P452" i="139"/>
  <c r="V451" i="139"/>
  <c r="P451" i="139"/>
  <c r="Y451" i="139"/>
  <c r="U451" i="139"/>
  <c r="Q451" i="139"/>
  <c r="F448" i="134"/>
  <c r="F447" i="134"/>
  <c r="Y450" i="139"/>
  <c r="V450" i="139"/>
  <c r="U450" i="139"/>
  <c r="Q450" i="139"/>
  <c r="P450" i="139"/>
  <c r="Y449" i="139"/>
  <c r="V449" i="139"/>
  <c r="U449" i="139"/>
  <c r="Q449" i="139"/>
  <c r="P449" i="139"/>
  <c r="Y448" i="139"/>
  <c r="V448" i="139"/>
  <c r="U448" i="139"/>
  <c r="Q448" i="139"/>
  <c r="P448" i="139"/>
  <c r="Y447" i="139"/>
  <c r="V447" i="139"/>
  <c r="U447" i="139"/>
  <c r="Q447" i="139"/>
  <c r="P447" i="139"/>
  <c r="Y446" i="139"/>
  <c r="V446" i="139"/>
  <c r="U446" i="139"/>
  <c r="Q446" i="139"/>
  <c r="P446" i="139"/>
  <c r="Y445" i="139"/>
  <c r="V445" i="139"/>
  <c r="U445" i="139"/>
  <c r="Q445" i="139"/>
  <c r="P445" i="139"/>
  <c r="Y444" i="139"/>
  <c r="V444" i="139"/>
  <c r="U444" i="139"/>
  <c r="Q444" i="139"/>
  <c r="P444" i="139"/>
  <c r="Y443" i="139"/>
  <c r="V443" i="139"/>
  <c r="U443" i="139"/>
  <c r="Q443" i="139"/>
  <c r="P443" i="139"/>
  <c r="Y442" i="139"/>
  <c r="V442" i="139"/>
  <c r="U442" i="139"/>
  <c r="Q442" i="139"/>
  <c r="P442" i="139"/>
  <c r="Y441" i="139"/>
  <c r="V441" i="139"/>
  <c r="Q441" i="139"/>
  <c r="P441" i="139"/>
  <c r="Y440" i="139"/>
  <c r="V440" i="139"/>
  <c r="U440" i="139"/>
  <c r="Q440" i="139"/>
  <c r="P440" i="139"/>
  <c r="V439" i="139"/>
  <c r="Q439" i="139"/>
  <c r="P439" i="139"/>
  <c r="V438" i="139"/>
  <c r="Q438" i="139"/>
  <c r="Y438" i="139"/>
  <c r="U438" i="139"/>
  <c r="P438" i="139"/>
  <c r="Y437" i="139"/>
  <c r="V437" i="139"/>
  <c r="U437" i="139"/>
  <c r="Q437" i="139"/>
  <c r="P437" i="139"/>
  <c r="V436" i="139"/>
  <c r="Y436" i="139"/>
  <c r="Q436" i="139"/>
  <c r="P436" i="139"/>
  <c r="Q435" i="139"/>
  <c r="Y434" i="139"/>
  <c r="Y433" i="139"/>
  <c r="U433" i="139"/>
  <c r="AI435" i="139"/>
  <c r="Y435" i="139"/>
  <c r="U435" i="139"/>
  <c r="P435" i="139"/>
  <c r="O435" i="139"/>
  <c r="AI434" i="139"/>
  <c r="V434" i="139"/>
  <c r="AE434" i="139" s="1"/>
  <c r="U434" i="139"/>
  <c r="Q434" i="139"/>
  <c r="P434" i="139"/>
  <c r="O434" i="139"/>
  <c r="AI433" i="139"/>
  <c r="P433" i="139"/>
  <c r="AE433" i="139" s="1"/>
  <c r="O433" i="139"/>
  <c r="W433" i="135"/>
  <c r="X433" i="135" s="1"/>
  <c r="V432" i="139"/>
  <c r="Y432" i="139"/>
  <c r="U432" i="139"/>
  <c r="Q432" i="139"/>
  <c r="P432" i="139"/>
  <c r="W432" i="135"/>
  <c r="X432" i="135"/>
  <c r="Q431" i="139"/>
  <c r="Y431" i="139"/>
  <c r="V431" i="139"/>
  <c r="U431" i="139"/>
  <c r="P431" i="139"/>
  <c r="Y430" i="139"/>
  <c r="V430" i="139"/>
  <c r="U430" i="139"/>
  <c r="Q430" i="139"/>
  <c r="P430" i="139"/>
  <c r="Y429" i="139"/>
  <c r="Q429" i="139"/>
  <c r="V429" i="139"/>
  <c r="AF429" i="139"/>
  <c r="AC429" i="139"/>
  <c r="U429" i="139"/>
  <c r="P429" i="139"/>
  <c r="V428" i="139"/>
  <c r="AC428" i="139"/>
  <c r="Y428" i="139"/>
  <c r="U428" i="139"/>
  <c r="Q428" i="139"/>
  <c r="O427" i="139"/>
  <c r="P427" i="139"/>
  <c r="Q427" i="139"/>
  <c r="AE427" i="139" s="1"/>
  <c r="U427" i="139"/>
  <c r="V427" i="139"/>
  <c r="Y427" i="139"/>
  <c r="Y426" i="139"/>
  <c r="V426" i="139"/>
  <c r="U426" i="139"/>
  <c r="Q426" i="139"/>
  <c r="P426" i="139"/>
  <c r="Y425" i="139"/>
  <c r="V425" i="139"/>
  <c r="U425" i="139"/>
  <c r="Q425" i="139"/>
  <c r="P425" i="139"/>
  <c r="Y424" i="139"/>
  <c r="V424" i="139"/>
  <c r="U424" i="139"/>
  <c r="Q424" i="139"/>
  <c r="P424" i="139"/>
  <c r="Y423" i="139"/>
  <c r="V423" i="139"/>
  <c r="U423" i="139"/>
  <c r="Q423" i="139"/>
  <c r="P423" i="139"/>
  <c r="E423" i="134"/>
  <c r="D425" i="135" s="1"/>
  <c r="D425" i="139" s="1"/>
  <c r="Y422" i="139"/>
  <c r="V422" i="139"/>
  <c r="U422" i="139"/>
  <c r="Q422" i="139"/>
  <c r="P422" i="139"/>
  <c r="Y421" i="139"/>
  <c r="V421" i="139"/>
  <c r="U421" i="139"/>
  <c r="Q421" i="139"/>
  <c r="P421" i="139"/>
  <c r="E419" i="134"/>
  <c r="D421" i="135" s="1"/>
  <c r="D421" i="139" s="1"/>
  <c r="E420" i="134"/>
  <c r="D422" i="135" s="1"/>
  <c r="D422" i="139" s="1"/>
  <c r="E421" i="134"/>
  <c r="D423" i="135" s="1"/>
  <c r="D423" i="139" s="1"/>
  <c r="Y420" i="139"/>
  <c r="V420" i="139"/>
  <c r="U420" i="139"/>
  <c r="Q420" i="139"/>
  <c r="P420" i="139"/>
  <c r="AF419" i="139"/>
  <c r="V419" i="139"/>
  <c r="U419" i="139"/>
  <c r="Q419" i="139"/>
  <c r="P419" i="139"/>
  <c r="Y418" i="139"/>
  <c r="V418" i="139"/>
  <c r="P418" i="139"/>
  <c r="Y417" i="139"/>
  <c r="V417" i="139"/>
  <c r="P417" i="139"/>
  <c r="Y416" i="139"/>
  <c r="V416" i="139"/>
  <c r="Q416" i="139"/>
  <c r="P416" i="139"/>
  <c r="Y415" i="139"/>
  <c r="V415" i="139"/>
  <c r="Q415" i="139"/>
  <c r="P415" i="139"/>
  <c r="Y414" i="139"/>
  <c r="V414" i="139"/>
  <c r="Q414" i="139"/>
  <c r="P414" i="139"/>
  <c r="Y413" i="139"/>
  <c r="V413" i="139"/>
  <c r="Q413" i="139"/>
  <c r="P413" i="139"/>
  <c r="Y412" i="139"/>
  <c r="V412" i="139"/>
  <c r="Q412" i="139"/>
  <c r="P412" i="139"/>
  <c r="Y411" i="139"/>
  <c r="V411" i="139"/>
  <c r="Q411" i="139"/>
  <c r="P411" i="139"/>
  <c r="V410" i="139"/>
  <c r="Q410" i="139"/>
  <c r="P410" i="139"/>
  <c r="Y410" i="139"/>
  <c r="Y409" i="139"/>
  <c r="V409" i="139"/>
  <c r="Q409" i="139"/>
  <c r="P409" i="139"/>
  <c r="V408" i="139"/>
  <c r="Y408" i="139"/>
  <c r="Q408" i="139"/>
  <c r="P408" i="139"/>
  <c r="V407" i="139"/>
  <c r="Q407" i="139"/>
  <c r="P407" i="139"/>
  <c r="Y406" i="139"/>
  <c r="V406" i="139"/>
  <c r="Q406" i="139"/>
  <c r="P406" i="139"/>
  <c r="Y405" i="139"/>
  <c r="V405" i="139"/>
  <c r="Q405" i="139"/>
  <c r="P405" i="139"/>
  <c r="Y404" i="139"/>
  <c r="V404" i="139"/>
  <c r="Q404" i="139"/>
  <c r="P404" i="139"/>
  <c r="V403" i="139"/>
  <c r="Q403" i="139"/>
  <c r="P403" i="139"/>
  <c r="Y402" i="139"/>
  <c r="V402" i="139"/>
  <c r="Q402" i="139"/>
  <c r="P402" i="139"/>
  <c r="Y401" i="139"/>
  <c r="V401" i="139"/>
  <c r="Q401" i="139"/>
  <c r="P401" i="139"/>
  <c r="Y400" i="139"/>
  <c r="V400" i="139"/>
  <c r="Q400" i="139"/>
  <c r="P400" i="139"/>
  <c r="Y399" i="139"/>
  <c r="V399" i="139"/>
  <c r="Q399" i="139"/>
  <c r="P399" i="139"/>
  <c r="Y398" i="139"/>
  <c r="V398" i="139"/>
  <c r="Q398" i="139"/>
  <c r="P398" i="139"/>
  <c r="Y397" i="139"/>
  <c r="V397" i="139"/>
  <c r="Q397" i="139"/>
  <c r="P397" i="139"/>
  <c r="Y396" i="139"/>
  <c r="V396" i="139"/>
  <c r="Q396" i="139"/>
  <c r="P396" i="139"/>
  <c r="Y395" i="139"/>
  <c r="V395" i="139"/>
  <c r="Q395" i="139"/>
  <c r="P395" i="139"/>
  <c r="Y394" i="139"/>
  <c r="V394" i="139"/>
  <c r="Q394" i="139"/>
  <c r="P394" i="139"/>
  <c r="F391" i="134"/>
  <c r="Y393" i="139"/>
  <c r="V393" i="139"/>
  <c r="Q393" i="139"/>
  <c r="P393" i="139"/>
  <c r="Y392" i="139"/>
  <c r="V392" i="139"/>
  <c r="Q392" i="139"/>
  <c r="P392" i="139"/>
  <c r="Y391" i="139"/>
  <c r="V391" i="139"/>
  <c r="Q391" i="139"/>
  <c r="P391" i="139"/>
  <c r="Y390" i="139"/>
  <c r="V390" i="139"/>
  <c r="Q390" i="139"/>
  <c r="P390" i="139"/>
  <c r="Y389" i="139"/>
  <c r="V389" i="139"/>
  <c r="Q389" i="139"/>
  <c r="P389" i="139"/>
  <c r="Y388" i="139"/>
  <c r="V388" i="139"/>
  <c r="Q388" i="139"/>
  <c r="P388" i="139"/>
  <c r="V387" i="139"/>
  <c r="Y387" i="139"/>
  <c r="Q387" i="139"/>
  <c r="P387" i="139"/>
  <c r="P384" i="139"/>
  <c r="AG384" i="139"/>
  <c r="Y384" i="139"/>
  <c r="V384" i="139"/>
  <c r="Q384" i="139"/>
  <c r="Y385" i="139"/>
  <c r="V385" i="139"/>
  <c r="Q385" i="139"/>
  <c r="P385" i="139"/>
  <c r="Y386" i="139"/>
  <c r="V386" i="139"/>
  <c r="Q386" i="139"/>
  <c r="P386" i="139"/>
  <c r="Y383" i="139"/>
  <c r="V383" i="139"/>
  <c r="Q383" i="139"/>
  <c r="P383" i="139"/>
  <c r="AG382" i="139"/>
  <c r="Y382" i="139"/>
  <c r="V382" i="139"/>
  <c r="Q382" i="139"/>
  <c r="P382" i="139"/>
  <c r="Q381" i="139"/>
  <c r="AG381" i="139"/>
  <c r="P380" i="139"/>
  <c r="AE380" i="139" s="1"/>
  <c r="V380" i="139"/>
  <c r="Y380" i="139"/>
  <c r="AG380" i="139"/>
  <c r="V379" i="139"/>
  <c r="AG379" i="139"/>
  <c r="Q379" i="139"/>
  <c r="AE381" i="139"/>
  <c r="Y381" i="139"/>
  <c r="V381" i="139"/>
  <c r="P381" i="139"/>
  <c r="O381" i="139"/>
  <c r="Q380" i="139"/>
  <c r="O380" i="139"/>
  <c r="P379" i="139"/>
  <c r="O379" i="139"/>
  <c r="AG378" i="139"/>
  <c r="Y378" i="139"/>
  <c r="V378" i="139"/>
  <c r="Q378" i="139"/>
  <c r="P378" i="139"/>
  <c r="AG377" i="139"/>
  <c r="Y377" i="139"/>
  <c r="V377" i="139"/>
  <c r="Q377" i="139"/>
  <c r="P377" i="139"/>
  <c r="AG376" i="139"/>
  <c r="Y376" i="139"/>
  <c r="V376" i="139"/>
  <c r="Q376" i="139"/>
  <c r="P376" i="139"/>
  <c r="AG375" i="139"/>
  <c r="Y375" i="139"/>
  <c r="V375" i="139"/>
  <c r="Q375" i="139"/>
  <c r="P375" i="139"/>
  <c r="AG374" i="139"/>
  <c r="Y374" i="139"/>
  <c r="V374" i="139"/>
  <c r="Q374" i="139"/>
  <c r="P374" i="139"/>
  <c r="AG373" i="139"/>
  <c r="Y373" i="139"/>
  <c r="V373" i="139"/>
  <c r="Q373" i="139"/>
  <c r="P373" i="139"/>
  <c r="AG372" i="139"/>
  <c r="Y372" i="139"/>
  <c r="V372" i="139"/>
  <c r="Q372" i="139"/>
  <c r="P372" i="139"/>
  <c r="AG371" i="139"/>
  <c r="P371" i="139"/>
  <c r="Y371" i="139"/>
  <c r="V371" i="139"/>
  <c r="Q371" i="139"/>
  <c r="AG370" i="139"/>
  <c r="Y370" i="139"/>
  <c r="V370" i="139"/>
  <c r="Q370" i="139"/>
  <c r="P370" i="139"/>
  <c r="Y369" i="139"/>
  <c r="V369" i="139"/>
  <c r="U369" i="139"/>
  <c r="Q369" i="139"/>
  <c r="P369" i="139"/>
  <c r="Y368" i="139"/>
  <c r="V368" i="139"/>
  <c r="U368" i="139"/>
  <c r="Q368" i="139"/>
  <c r="P368" i="139"/>
  <c r="P367" i="139"/>
  <c r="Y367" i="139"/>
  <c r="V367" i="139"/>
  <c r="U367" i="139"/>
  <c r="Q367" i="139"/>
  <c r="J364" i="101"/>
  <c r="N363" i="101"/>
  <c r="Y366" i="139"/>
  <c r="V366" i="139"/>
  <c r="U366" i="139"/>
  <c r="Q366" i="139"/>
  <c r="P366" i="139"/>
  <c r="AN363" i="134"/>
  <c r="Y365" i="139"/>
  <c r="V365" i="139"/>
  <c r="U365" i="139"/>
  <c r="Q365" i="139"/>
  <c r="P365" i="139"/>
  <c r="P364" i="139"/>
  <c r="Y364" i="139"/>
  <c r="V364" i="139"/>
  <c r="U364" i="139"/>
  <c r="Q364" i="139"/>
  <c r="Y363" i="139"/>
  <c r="V363" i="139"/>
  <c r="U363" i="139"/>
  <c r="Q363" i="139"/>
  <c r="P363" i="139"/>
  <c r="Y362" i="139"/>
  <c r="V362" i="139"/>
  <c r="U362" i="139"/>
  <c r="Q362" i="139"/>
  <c r="P362" i="139"/>
  <c r="Y361" i="139"/>
  <c r="V361" i="139"/>
  <c r="U361" i="139"/>
  <c r="Q361" i="139"/>
  <c r="P361" i="139"/>
  <c r="Y360" i="139"/>
  <c r="V360" i="139"/>
  <c r="U360" i="139"/>
  <c r="Q360" i="139"/>
  <c r="P360" i="139"/>
  <c r="Y359" i="139"/>
  <c r="V359" i="139"/>
  <c r="U359" i="139"/>
  <c r="Q359" i="139"/>
  <c r="P359" i="139"/>
  <c r="AG357" i="139"/>
  <c r="Q357" i="139"/>
  <c r="P357" i="139"/>
  <c r="Y357" i="139"/>
  <c r="V357" i="139"/>
  <c r="Y358" i="139"/>
  <c r="V358" i="139"/>
  <c r="U358" i="139"/>
  <c r="Q358" i="139"/>
  <c r="P358" i="139"/>
  <c r="AG356" i="139"/>
  <c r="Y356" i="139"/>
  <c r="V356" i="139"/>
  <c r="Q356" i="139"/>
  <c r="P356" i="139"/>
  <c r="AG355" i="139"/>
  <c r="Y355" i="139"/>
  <c r="V355" i="139"/>
  <c r="Q355" i="139"/>
  <c r="O355" i="139"/>
  <c r="O356" i="139"/>
  <c r="O357" i="139"/>
  <c r="P355" i="139"/>
  <c r="P354" i="139"/>
  <c r="Y354" i="139"/>
  <c r="V354" i="139"/>
  <c r="Q354" i="139"/>
  <c r="P353" i="139"/>
  <c r="AG353" i="139"/>
  <c r="Y353" i="139"/>
  <c r="V353" i="139"/>
  <c r="Q353" i="139"/>
  <c r="P352" i="139"/>
  <c r="Y352" i="139"/>
  <c r="V352" i="139"/>
  <c r="Q352" i="139"/>
  <c r="Y351" i="139"/>
  <c r="V351" i="139"/>
  <c r="Q351" i="139"/>
  <c r="P351" i="139"/>
  <c r="Y350" i="139"/>
  <c r="V350" i="139"/>
  <c r="Q350" i="139"/>
  <c r="P350" i="139"/>
  <c r="Y348" i="139"/>
  <c r="V348" i="139"/>
  <c r="Q349" i="139"/>
  <c r="Y347" i="139"/>
  <c r="V347" i="139"/>
  <c r="AI349" i="139"/>
  <c r="Y349" i="139"/>
  <c r="V349" i="139"/>
  <c r="P349" i="139"/>
  <c r="AE349" i="139" s="1"/>
  <c r="O349" i="139"/>
  <c r="AI348" i="139"/>
  <c r="Q348" i="139"/>
  <c r="AE348" i="139" s="1"/>
  <c r="O348" i="139"/>
  <c r="AI347" i="139"/>
  <c r="Q347" i="139"/>
  <c r="O347" i="139"/>
  <c r="AG346" i="139"/>
  <c r="Y346" i="139"/>
  <c r="V346" i="139"/>
  <c r="Q346" i="139"/>
  <c r="P346" i="139"/>
  <c r="AG345" i="139"/>
  <c r="Y345" i="139"/>
  <c r="V345" i="139"/>
  <c r="Q345" i="139"/>
  <c r="P345" i="139"/>
  <c r="Y344" i="139"/>
  <c r="V344" i="139"/>
  <c r="U344" i="139"/>
  <c r="Q344" i="139"/>
  <c r="P344" i="139"/>
  <c r="Y343" i="139"/>
  <c r="V343" i="139"/>
  <c r="U343" i="139"/>
  <c r="Q343" i="139"/>
  <c r="P343" i="139"/>
  <c r="Y342" i="139"/>
  <c r="V342" i="139"/>
  <c r="U342" i="139"/>
  <c r="Q342" i="139"/>
  <c r="P342" i="139"/>
  <c r="Y341" i="139"/>
  <c r="V341" i="139"/>
  <c r="U341" i="139"/>
  <c r="Q341" i="139"/>
  <c r="P341" i="139"/>
  <c r="Y340" i="139"/>
  <c r="V340" i="139"/>
  <c r="U340" i="139"/>
  <c r="Q340" i="139"/>
  <c r="P340" i="139"/>
  <c r="Y339" i="139"/>
  <c r="V339" i="139"/>
  <c r="U339" i="139"/>
  <c r="Q339" i="139"/>
  <c r="P339" i="139"/>
  <c r="Y338" i="139"/>
  <c r="V338" i="139"/>
  <c r="Q338" i="139"/>
  <c r="P338" i="139"/>
  <c r="AG337" i="139"/>
  <c r="Y337" i="139"/>
  <c r="V337" i="139"/>
  <c r="Q337" i="139"/>
  <c r="P337" i="139"/>
  <c r="AG336" i="139"/>
  <c r="Y336" i="139"/>
  <c r="V336" i="139"/>
  <c r="Q336" i="139"/>
  <c r="P336" i="139"/>
  <c r="AG335" i="139"/>
  <c r="Y335" i="139"/>
  <c r="V335" i="139"/>
  <c r="Q335" i="139"/>
  <c r="P335" i="139"/>
  <c r="AG334" i="139"/>
  <c r="Y334" i="139"/>
  <c r="V334" i="139"/>
  <c r="Q334" i="139"/>
  <c r="P334" i="139"/>
  <c r="AG333" i="139"/>
  <c r="Y333" i="139"/>
  <c r="V333" i="139"/>
  <c r="Q333" i="139"/>
  <c r="P333" i="139"/>
  <c r="AG332" i="139"/>
  <c r="V332" i="139"/>
  <c r="Q332" i="139"/>
  <c r="P332" i="139"/>
  <c r="AG331" i="139"/>
  <c r="Y331" i="139"/>
  <c r="V331" i="139"/>
  <c r="Q331" i="139"/>
  <c r="P331" i="139"/>
  <c r="AG330" i="139"/>
  <c r="Y330" i="139"/>
  <c r="V330" i="139"/>
  <c r="Q330" i="139"/>
  <c r="P330" i="139"/>
  <c r="P329" i="139"/>
  <c r="AG329" i="139"/>
  <c r="Y329" i="139"/>
  <c r="V329" i="139"/>
  <c r="Q329" i="139"/>
  <c r="F326" i="134"/>
  <c r="AG328" i="139"/>
  <c r="Y328" i="139"/>
  <c r="V328" i="139"/>
  <c r="Q328" i="139"/>
  <c r="P328" i="139"/>
  <c r="AG327" i="139"/>
  <c r="Y327" i="139"/>
  <c r="V327" i="139"/>
  <c r="Q327" i="139"/>
  <c r="P327" i="139"/>
  <c r="P326" i="139"/>
  <c r="Y326" i="139"/>
  <c r="AE326" i="139" s="1"/>
  <c r="V326" i="139"/>
  <c r="Q326" i="139"/>
  <c r="P325" i="139"/>
  <c r="AE325" i="139" s="1"/>
  <c r="AJ325" i="139" s="1"/>
  <c r="AE324" i="139"/>
  <c r="X325" i="139"/>
  <c r="AG325" i="139"/>
  <c r="Q322" i="139"/>
  <c r="AE322" i="139" s="1"/>
  <c r="V322" i="139"/>
  <c r="P322" i="139"/>
  <c r="P321" i="139"/>
  <c r="AE323" i="139"/>
  <c r="V323" i="139"/>
  <c r="V324" i="139"/>
  <c r="I323" i="139"/>
  <c r="Q324" i="139"/>
  <c r="AG324" i="139"/>
  <c r="AI324" i="139" s="1"/>
  <c r="P324" i="139"/>
  <c r="AI323" i="139"/>
  <c r="Y323" i="139"/>
  <c r="Q323" i="139"/>
  <c r="P323" i="139"/>
  <c r="AI322" i="139"/>
  <c r="Y322" i="139"/>
  <c r="AG321" i="139"/>
  <c r="Y321" i="139"/>
  <c r="V321" i="139"/>
  <c r="Q321" i="139"/>
  <c r="AG320" i="139"/>
  <c r="V320" i="139"/>
  <c r="Q320" i="139"/>
  <c r="P320" i="139"/>
  <c r="P319" i="139"/>
  <c r="AG319" i="139"/>
  <c r="Y319" i="139"/>
  <c r="V319" i="139"/>
  <c r="Q319" i="139"/>
  <c r="AG318" i="139"/>
  <c r="Y318" i="139"/>
  <c r="V318" i="139"/>
  <c r="Q318" i="139"/>
  <c r="P318" i="139"/>
  <c r="P317" i="139"/>
  <c r="AG317" i="139"/>
  <c r="V317" i="139"/>
  <c r="Q317" i="139"/>
  <c r="AG316" i="139"/>
  <c r="Y316" i="139"/>
  <c r="V316" i="139"/>
  <c r="Q316" i="139"/>
  <c r="P316" i="139"/>
  <c r="AG315" i="139"/>
  <c r="Y315" i="139"/>
  <c r="V315" i="139"/>
  <c r="Q315" i="139"/>
  <c r="P315" i="139"/>
  <c r="Y314" i="139"/>
  <c r="V314" i="139"/>
  <c r="Q314" i="139"/>
  <c r="P314" i="139"/>
  <c r="F316" i="135"/>
  <c r="Y313" i="139"/>
  <c r="V313" i="139"/>
  <c r="Q313" i="139"/>
  <c r="P313" i="139"/>
  <c r="Y312" i="139"/>
  <c r="V312" i="139"/>
  <c r="U312" i="139"/>
  <c r="Q312" i="139"/>
  <c r="P312" i="139"/>
  <c r="Y311" i="139"/>
  <c r="V311" i="139"/>
  <c r="U311" i="139"/>
  <c r="Q311" i="139"/>
  <c r="P311" i="139"/>
  <c r="Y310" i="139"/>
  <c r="V310" i="139"/>
  <c r="U310" i="139"/>
  <c r="Q310" i="139"/>
  <c r="P310" i="139"/>
  <c r="Y309" i="139"/>
  <c r="V309" i="139"/>
  <c r="U309" i="139"/>
  <c r="Q309" i="139"/>
  <c r="P309" i="139"/>
  <c r="Y308" i="139"/>
  <c r="V308" i="139"/>
  <c r="U308" i="139"/>
  <c r="Q308" i="139"/>
  <c r="P308" i="139"/>
  <c r="Y307" i="139"/>
  <c r="V307" i="139"/>
  <c r="U307" i="139"/>
  <c r="Q307" i="139"/>
  <c r="P307" i="139"/>
  <c r="Y306" i="139"/>
  <c r="V306" i="139"/>
  <c r="U306" i="139"/>
  <c r="Q306" i="139"/>
  <c r="P306" i="139"/>
  <c r="Y305" i="139"/>
  <c r="V305" i="139"/>
  <c r="U305" i="139"/>
  <c r="Q305" i="139"/>
  <c r="P305" i="139"/>
  <c r="Y304" i="139"/>
  <c r="V304" i="139"/>
  <c r="U304" i="139"/>
  <c r="Q304" i="139"/>
  <c r="P304" i="139"/>
  <c r="V303" i="139"/>
  <c r="U303" i="139"/>
  <c r="Q303" i="139"/>
  <c r="P303" i="139"/>
  <c r="Y302" i="139"/>
  <c r="V302" i="139"/>
  <c r="U302" i="139"/>
  <c r="Q302" i="139"/>
  <c r="P302" i="139"/>
  <c r="AG301" i="139"/>
  <c r="Y301" i="139"/>
  <c r="V301" i="139"/>
  <c r="U301" i="139"/>
  <c r="Q301" i="139"/>
  <c r="P301" i="139"/>
  <c r="AG300" i="139"/>
  <c r="U300" i="139"/>
  <c r="Q300" i="139"/>
  <c r="P300" i="139"/>
  <c r="Z298" i="101"/>
  <c r="AG299" i="139"/>
  <c r="Y299" i="139"/>
  <c r="V299" i="139"/>
  <c r="U299" i="139"/>
  <c r="Q299" i="139"/>
  <c r="P299" i="139"/>
  <c r="AG298" i="139"/>
  <c r="V298" i="139"/>
  <c r="U298" i="139"/>
  <c r="Q298" i="139"/>
  <c r="P298" i="139"/>
  <c r="Y298" i="139"/>
  <c r="U297" i="139"/>
  <c r="V297" i="139"/>
  <c r="Y297" i="139"/>
  <c r="AG297" i="139"/>
  <c r="Q297" i="139"/>
  <c r="P297" i="139"/>
  <c r="P296" i="139"/>
  <c r="V296" i="139"/>
  <c r="U296" i="139"/>
  <c r="Q296" i="139"/>
  <c r="O291" i="135"/>
  <c r="P291" i="135"/>
  <c r="Q291" i="135"/>
  <c r="P295" i="139"/>
  <c r="Q294" i="139"/>
  <c r="Y294" i="139"/>
  <c r="AI295" i="139"/>
  <c r="Y295" i="139"/>
  <c r="V295" i="139"/>
  <c r="U295" i="139"/>
  <c r="AE295" i="139"/>
  <c r="AI294" i="139"/>
  <c r="P294" i="139"/>
  <c r="AE294" i="139" s="1"/>
  <c r="AJ294" i="139" s="1"/>
  <c r="R291" i="135"/>
  <c r="R292" i="135"/>
  <c r="R293" i="135"/>
  <c r="P293" i="139"/>
  <c r="AE293" i="139" s="1"/>
  <c r="AI293" i="139"/>
  <c r="Y293" i="139"/>
  <c r="V293" i="139"/>
  <c r="Q293" i="139"/>
  <c r="AI292" i="139"/>
  <c r="Y292" i="139"/>
  <c r="V292" i="139"/>
  <c r="Q292" i="139"/>
  <c r="P292" i="139"/>
  <c r="AE292" i="139" s="1"/>
  <c r="AI291" i="139"/>
  <c r="Y291" i="139"/>
  <c r="V291" i="139"/>
  <c r="Q291" i="139"/>
  <c r="P291" i="139"/>
  <c r="AE291" i="139" s="1"/>
  <c r="Y290" i="139"/>
  <c r="V290" i="139"/>
  <c r="Q290" i="139"/>
  <c r="P290" i="139"/>
  <c r="V289" i="139"/>
  <c r="Y289" i="139"/>
  <c r="P289" i="139"/>
  <c r="Q289" i="139"/>
  <c r="P288" i="139"/>
  <c r="V288" i="139"/>
  <c r="Q286" i="139"/>
  <c r="U286" i="139"/>
  <c r="AI288" i="139"/>
  <c r="Y288" i="139"/>
  <c r="Q288" i="139"/>
  <c r="AE288" i="139" s="1"/>
  <c r="AI287" i="139"/>
  <c r="R287" i="139"/>
  <c r="Q287" i="139"/>
  <c r="AE287" i="139" s="1"/>
  <c r="AI286" i="139"/>
  <c r="Y286" i="139"/>
  <c r="Y285" i="139"/>
  <c r="V285" i="139"/>
  <c r="U285" i="139"/>
  <c r="Q285" i="139"/>
  <c r="P285" i="139"/>
  <c r="Y284" i="139"/>
  <c r="V284" i="139"/>
  <c r="U284" i="139"/>
  <c r="Q284" i="139"/>
  <c r="P284" i="139"/>
  <c r="Y283" i="139"/>
  <c r="V283" i="139"/>
  <c r="U283" i="139"/>
  <c r="Q283" i="139"/>
  <c r="P283" i="139"/>
  <c r="N281" i="101"/>
  <c r="Y282" i="139"/>
  <c r="V282" i="139"/>
  <c r="U282" i="139"/>
  <c r="Q282" i="139"/>
  <c r="P282" i="139"/>
  <c r="Y281" i="139"/>
  <c r="V281" i="139"/>
  <c r="P281" i="139"/>
  <c r="Y280" i="139"/>
  <c r="V280" i="139"/>
  <c r="U280" i="139"/>
  <c r="Q280" i="139"/>
  <c r="P280" i="139"/>
  <c r="Y279" i="139"/>
  <c r="V279" i="139"/>
  <c r="P279" i="139"/>
  <c r="Y278" i="139"/>
  <c r="V278" i="139"/>
  <c r="U278" i="139"/>
  <c r="Q278" i="139"/>
  <c r="P278" i="139"/>
  <c r="Y277" i="139"/>
  <c r="V277" i="139"/>
  <c r="U277" i="139"/>
  <c r="Q277" i="139"/>
  <c r="P277" i="139"/>
  <c r="V276" i="139"/>
  <c r="Y276" i="139"/>
  <c r="U276" i="139"/>
  <c r="Q276" i="139"/>
  <c r="P276" i="139"/>
  <c r="Y275" i="139"/>
  <c r="V275" i="139"/>
  <c r="U275" i="139"/>
  <c r="Q275" i="139"/>
  <c r="P275" i="139"/>
  <c r="P272" i="139"/>
  <c r="Q272" i="139"/>
  <c r="Y272" i="139"/>
  <c r="V272" i="139"/>
  <c r="Y273" i="139"/>
  <c r="P273" i="139"/>
  <c r="U273" i="139"/>
  <c r="P274" i="139"/>
  <c r="AI274" i="139"/>
  <c r="Y274" i="139"/>
  <c r="Q274" i="139"/>
  <c r="AE274" i="139"/>
  <c r="AI273" i="139"/>
  <c r="V273" i="139"/>
  <c r="Q273" i="139"/>
  <c r="AE273" i="139"/>
  <c r="AI272" i="139"/>
  <c r="V271" i="139"/>
  <c r="Y271" i="139"/>
  <c r="U271" i="139"/>
  <c r="Q271" i="139"/>
  <c r="P271" i="139"/>
  <c r="V270" i="139"/>
  <c r="Q270" i="139"/>
  <c r="P270" i="139"/>
  <c r="P269" i="139"/>
  <c r="P268" i="139"/>
  <c r="P267" i="139"/>
  <c r="V266" i="139"/>
  <c r="U266" i="139"/>
  <c r="AI269" i="139"/>
  <c r="Y269" i="139"/>
  <c r="V269" i="139"/>
  <c r="Q269" i="139"/>
  <c r="AE269" i="139"/>
  <c r="AI268" i="139"/>
  <c r="Y268" i="139"/>
  <c r="V268" i="139"/>
  <c r="Q268" i="139"/>
  <c r="AE268" i="139"/>
  <c r="AI267" i="139"/>
  <c r="V267" i="139"/>
  <c r="Q267" i="139"/>
  <c r="AE267" i="139"/>
  <c r="Y266" i="139"/>
  <c r="P266" i="139"/>
  <c r="Q266" i="139"/>
  <c r="Y265" i="139"/>
  <c r="V265" i="139"/>
  <c r="Q265" i="139"/>
  <c r="P265" i="139"/>
  <c r="Y264" i="139"/>
  <c r="V264" i="139"/>
  <c r="Q264" i="139"/>
  <c r="P264" i="139"/>
  <c r="Y263" i="139"/>
  <c r="V263" i="139"/>
  <c r="Q263" i="139"/>
  <c r="P263" i="139"/>
  <c r="Y262" i="139"/>
  <c r="V262" i="139"/>
  <c r="Q262" i="139"/>
  <c r="P262" i="139"/>
  <c r="Y261" i="139"/>
  <c r="V261" i="139"/>
  <c r="Q261" i="139"/>
  <c r="P261" i="139"/>
  <c r="P260" i="139"/>
  <c r="V260" i="139"/>
  <c r="U260" i="139"/>
  <c r="Y260" i="139"/>
  <c r="Q260" i="139"/>
  <c r="Y259" i="139"/>
  <c r="V259" i="139"/>
  <c r="U259" i="139"/>
  <c r="Q259" i="139"/>
  <c r="P259" i="139"/>
  <c r="Y258" i="139"/>
  <c r="Q258" i="139"/>
  <c r="P258" i="139"/>
  <c r="V258" i="139"/>
  <c r="U258" i="139"/>
  <c r="Y257" i="139"/>
  <c r="V257" i="139"/>
  <c r="U257" i="139"/>
  <c r="Q257" i="139"/>
  <c r="P257" i="139"/>
  <c r="Y256" i="139"/>
  <c r="V256" i="139"/>
  <c r="U256" i="139"/>
  <c r="Q256" i="139"/>
  <c r="P256" i="139"/>
  <c r="Y255" i="139"/>
  <c r="V255" i="139"/>
  <c r="U255" i="139"/>
  <c r="Q255" i="139"/>
  <c r="P255" i="139"/>
  <c r="Y254" i="139"/>
  <c r="V254" i="139"/>
  <c r="Q254" i="139"/>
  <c r="P254" i="139"/>
  <c r="Y253" i="139"/>
  <c r="V253" i="139"/>
  <c r="Q253" i="139"/>
  <c r="P253" i="139"/>
  <c r="Y252" i="139"/>
  <c r="V252" i="139"/>
  <c r="Q252" i="139"/>
  <c r="P252" i="139"/>
  <c r="Y251" i="139"/>
  <c r="V251" i="139"/>
  <c r="Q251" i="139"/>
  <c r="P251" i="139"/>
  <c r="Y250" i="139"/>
  <c r="V250" i="139"/>
  <c r="Q250" i="139"/>
  <c r="P250" i="139"/>
  <c r="Y249" i="139"/>
  <c r="V249" i="139"/>
  <c r="Q249" i="139"/>
  <c r="P249" i="139"/>
  <c r="Y248" i="139"/>
  <c r="V248" i="139"/>
  <c r="Q248" i="139"/>
  <c r="P248" i="139"/>
  <c r="Y247" i="139"/>
  <c r="V247" i="139"/>
  <c r="Q247" i="139"/>
  <c r="P247" i="139"/>
  <c r="P246" i="139"/>
  <c r="Y246" i="139"/>
  <c r="V246" i="139"/>
  <c r="Q246" i="139"/>
  <c r="Y245" i="139"/>
  <c r="V245" i="139"/>
  <c r="Q245" i="139"/>
  <c r="P245" i="139"/>
  <c r="Y244" i="139"/>
  <c r="V244" i="139"/>
  <c r="Q244" i="139"/>
  <c r="P244" i="139"/>
  <c r="Y243" i="139"/>
  <c r="V243" i="139"/>
  <c r="Q243" i="139"/>
  <c r="P243" i="139"/>
  <c r="Y242" i="139"/>
  <c r="V242" i="139"/>
  <c r="Q242" i="139"/>
  <c r="P242" i="139"/>
  <c r="P241" i="139"/>
  <c r="Q241" i="139"/>
  <c r="AE241" i="139" s="1"/>
  <c r="V241" i="139"/>
  <c r="Y241" i="139"/>
  <c r="AI241" i="139"/>
  <c r="Y240" i="139"/>
  <c r="V240" i="139"/>
  <c r="Q240" i="139"/>
  <c r="P240" i="139"/>
  <c r="Y239" i="139"/>
  <c r="V239" i="139"/>
  <c r="Q239" i="139"/>
  <c r="P239" i="139"/>
  <c r="Y238" i="139"/>
  <c r="V238" i="139"/>
  <c r="U238" i="139"/>
  <c r="Q238" i="139"/>
  <c r="P238" i="139"/>
  <c r="F240" i="135"/>
  <c r="Y237" i="139"/>
  <c r="V237" i="139"/>
  <c r="U237" i="139"/>
  <c r="Q237" i="139"/>
  <c r="P237" i="139"/>
  <c r="Y236" i="139"/>
  <c r="V236" i="139"/>
  <c r="U236" i="139"/>
  <c r="Q236" i="139"/>
  <c r="P236" i="139"/>
  <c r="Y235" i="139"/>
  <c r="V235" i="139"/>
  <c r="U235" i="139"/>
  <c r="Q235" i="139"/>
  <c r="P235" i="139"/>
  <c r="Y234" i="139"/>
  <c r="V234" i="139"/>
  <c r="U234" i="139"/>
  <c r="Q234" i="139"/>
  <c r="P234" i="139"/>
  <c r="Y233" i="139"/>
  <c r="V233" i="139"/>
  <c r="U233" i="139"/>
  <c r="Q233" i="139"/>
  <c r="P233" i="139"/>
  <c r="Y232" i="139"/>
  <c r="V232" i="139"/>
  <c r="U232" i="139"/>
  <c r="Q232" i="139"/>
  <c r="P232" i="139"/>
  <c r="P231" i="139"/>
  <c r="Q231" i="139"/>
  <c r="U231" i="139"/>
  <c r="V231" i="139"/>
  <c r="Y231" i="139"/>
  <c r="AE231" i="139"/>
  <c r="Y230" i="139"/>
  <c r="V230" i="139"/>
  <c r="U230" i="139"/>
  <c r="Q230" i="139"/>
  <c r="P230" i="139"/>
  <c r="Y229" i="139"/>
  <c r="V229" i="139"/>
  <c r="U229" i="139"/>
  <c r="Q229" i="139"/>
  <c r="P229" i="139"/>
  <c r="Y228" i="139"/>
  <c r="P228" i="139"/>
  <c r="Q228" i="139"/>
  <c r="V228" i="139"/>
  <c r="U228" i="139"/>
  <c r="Y227" i="139"/>
  <c r="V227" i="139"/>
  <c r="U227" i="139"/>
  <c r="Q227" i="139"/>
  <c r="P227" i="139"/>
  <c r="Y226" i="139"/>
  <c r="V226" i="139"/>
  <c r="U226" i="139"/>
  <c r="Q226" i="139"/>
  <c r="P226" i="139"/>
  <c r="Y225" i="139"/>
  <c r="V225" i="139"/>
  <c r="Q225" i="139"/>
  <c r="P225" i="139"/>
  <c r="Y224" i="139"/>
  <c r="V224" i="139"/>
  <c r="Q224" i="139"/>
  <c r="P224" i="139"/>
  <c r="Y223" i="139"/>
  <c r="V223" i="139"/>
  <c r="Q223" i="139"/>
  <c r="P223" i="139"/>
  <c r="Y222" i="139"/>
  <c r="V222" i="139"/>
  <c r="U222" i="139"/>
  <c r="Q222" i="139"/>
  <c r="P222" i="139"/>
  <c r="Y221" i="139"/>
  <c r="V221" i="139"/>
  <c r="U221" i="139"/>
  <c r="Q221" i="139"/>
  <c r="P221" i="139"/>
  <c r="Y220" i="139"/>
  <c r="V220" i="139"/>
  <c r="U220" i="139"/>
  <c r="Q220" i="139"/>
  <c r="P220" i="139"/>
  <c r="Y219" i="139"/>
  <c r="V219" i="139"/>
  <c r="U219" i="139"/>
  <c r="Q219" i="139"/>
  <c r="P219" i="139"/>
  <c r="V218" i="139"/>
  <c r="Q218" i="139"/>
  <c r="U218" i="139"/>
  <c r="Y218" i="139"/>
  <c r="P218" i="139"/>
  <c r="Y217" i="139"/>
  <c r="V217" i="139"/>
  <c r="U217" i="139"/>
  <c r="Q217" i="139"/>
  <c r="P217" i="139"/>
  <c r="Y216" i="139"/>
  <c r="V216" i="139"/>
  <c r="U216" i="139"/>
  <c r="Q216" i="139"/>
  <c r="P216" i="139"/>
  <c r="V215" i="139"/>
  <c r="U215" i="139"/>
  <c r="Q215" i="139"/>
  <c r="P215" i="139"/>
  <c r="F213" i="134"/>
  <c r="Y214" i="139"/>
  <c r="V214" i="139"/>
  <c r="U214" i="139"/>
  <c r="Q214" i="139"/>
  <c r="P214" i="139"/>
  <c r="F213" i="139"/>
  <c r="F215" i="139"/>
  <c r="M214" i="135"/>
  <c r="P213" i="139"/>
  <c r="Y213" i="139"/>
  <c r="V213" i="139"/>
  <c r="U213" i="139"/>
  <c r="Q213" i="139"/>
  <c r="Y212" i="139"/>
  <c r="V212" i="139"/>
  <c r="U212" i="139"/>
  <c r="Q212" i="139"/>
  <c r="P212" i="139"/>
  <c r="Y211" i="139"/>
  <c r="V211" i="139"/>
  <c r="U211" i="139"/>
  <c r="Q211" i="139"/>
  <c r="P211" i="139"/>
  <c r="Y210" i="139"/>
  <c r="V210" i="139"/>
  <c r="U210" i="139"/>
  <c r="Q210" i="139"/>
  <c r="P210" i="139"/>
  <c r="Y209" i="139"/>
  <c r="V209" i="139"/>
  <c r="U209" i="139"/>
  <c r="Q209" i="139"/>
  <c r="P209" i="139"/>
  <c r="Y208" i="139"/>
  <c r="V208" i="139"/>
  <c r="U208" i="139"/>
  <c r="Q208" i="139"/>
  <c r="P208" i="139"/>
  <c r="Y207" i="139"/>
  <c r="V207" i="139"/>
  <c r="U207" i="139"/>
  <c r="Q207" i="139"/>
  <c r="P207" i="139"/>
  <c r="Y206" i="139"/>
  <c r="V206" i="139"/>
  <c r="U206" i="139"/>
  <c r="Q206" i="139"/>
  <c r="P206" i="139"/>
  <c r="Y205" i="139"/>
  <c r="U205" i="139"/>
  <c r="V205" i="139"/>
  <c r="Q205" i="139"/>
  <c r="P205" i="139"/>
  <c r="Y204" i="139"/>
  <c r="V204" i="139"/>
  <c r="U204" i="139"/>
  <c r="Q204" i="139"/>
  <c r="P204" i="139"/>
  <c r="Y203" i="139"/>
  <c r="V203" i="139"/>
  <c r="U203" i="139"/>
  <c r="Q203" i="139"/>
  <c r="P203" i="139"/>
  <c r="AB202" i="135"/>
  <c r="AC202" i="135" s="1"/>
  <c r="Y202" i="139"/>
  <c r="V202" i="139"/>
  <c r="U202" i="139"/>
  <c r="Q202" i="139"/>
  <c r="P202" i="139"/>
  <c r="V201" i="139"/>
  <c r="U201" i="139"/>
  <c r="Q201" i="139"/>
  <c r="P201" i="139"/>
  <c r="Y200" i="139"/>
  <c r="V200" i="139"/>
  <c r="U200" i="139"/>
  <c r="Q200" i="139"/>
  <c r="P200" i="139"/>
  <c r="Y199" i="139"/>
  <c r="V199" i="139"/>
  <c r="Q199" i="139"/>
  <c r="P199" i="139"/>
  <c r="Y198" i="139"/>
  <c r="V198" i="139"/>
  <c r="U198" i="139"/>
  <c r="Q198" i="139"/>
  <c r="P198" i="139"/>
  <c r="Y197" i="139"/>
  <c r="V197" i="139"/>
  <c r="U197" i="139"/>
  <c r="Q197" i="139"/>
  <c r="P197" i="139"/>
  <c r="V195" i="139"/>
  <c r="P196" i="139"/>
  <c r="AE196" i="139" s="1"/>
  <c r="AI196" i="139"/>
  <c r="Y196" i="139"/>
  <c r="U196" i="139"/>
  <c r="AI195" i="139"/>
  <c r="Y195" i="139"/>
  <c r="U195" i="139"/>
  <c r="AE195" i="139" s="1"/>
  <c r="P195" i="139"/>
  <c r="V194" i="139"/>
  <c r="P194" i="139"/>
  <c r="Y194" i="139"/>
  <c r="U194" i="139"/>
  <c r="Q194" i="139"/>
  <c r="Y193" i="139"/>
  <c r="V193" i="139"/>
  <c r="U193" i="139"/>
  <c r="Q193" i="139"/>
  <c r="P193" i="139"/>
  <c r="V192" i="139"/>
  <c r="Y192" i="139"/>
  <c r="V191" i="139"/>
  <c r="Y191" i="139"/>
  <c r="R190" i="139"/>
  <c r="AI192" i="139"/>
  <c r="P192" i="139"/>
  <c r="AE192" i="139" s="1"/>
  <c r="AI191" i="139"/>
  <c r="Q191" i="139"/>
  <c r="AE191" i="139"/>
  <c r="AI190" i="139"/>
  <c r="Q190" i="139"/>
  <c r="AE190" i="139"/>
  <c r="Y189" i="139"/>
  <c r="V189" i="139"/>
  <c r="U189" i="139"/>
  <c r="Q189" i="139"/>
  <c r="P189" i="139"/>
  <c r="Y188" i="139"/>
  <c r="V188" i="139"/>
  <c r="U188" i="139"/>
  <c r="Q188" i="139"/>
  <c r="P188" i="139"/>
  <c r="P187" i="139"/>
  <c r="Y187" i="139"/>
  <c r="V187" i="139"/>
  <c r="U187" i="139"/>
  <c r="Q187" i="139"/>
  <c r="U186" i="139"/>
  <c r="Y186" i="139"/>
  <c r="V186" i="139"/>
  <c r="Q186" i="139"/>
  <c r="P186" i="139"/>
  <c r="Y185" i="139"/>
  <c r="V185" i="139"/>
  <c r="U185" i="139"/>
  <c r="Q185" i="139"/>
  <c r="P185" i="139"/>
  <c r="Y184" i="139"/>
  <c r="V184" i="139"/>
  <c r="U184" i="139"/>
  <c r="Q184" i="139"/>
  <c r="P184" i="139"/>
  <c r="A183" i="101"/>
  <c r="A184" i="101" s="1"/>
  <c r="Y183" i="139"/>
  <c r="X183" i="139"/>
  <c r="W183" i="139"/>
  <c r="V183" i="139"/>
  <c r="U183" i="139"/>
  <c r="Q183" i="139"/>
  <c r="P183" i="139"/>
  <c r="Y182" i="139"/>
  <c r="V182" i="139"/>
  <c r="U182" i="139"/>
  <c r="Q182" i="139"/>
  <c r="P182" i="139"/>
  <c r="E181" i="134"/>
  <c r="D183" i="135" s="1"/>
  <c r="D183" i="139" s="1"/>
  <c r="E182" i="134"/>
  <c r="D184" i="135" s="1"/>
  <c r="D184" i="139" s="1"/>
  <c r="Y180" i="139"/>
  <c r="V180" i="139"/>
  <c r="U180" i="139"/>
  <c r="Q180" i="139"/>
  <c r="P180" i="139"/>
  <c r="AI181" i="139"/>
  <c r="Y181" i="139"/>
  <c r="V181" i="139"/>
  <c r="U181" i="139"/>
  <c r="Q181" i="139"/>
  <c r="P181" i="139"/>
  <c r="AE181" i="139" s="1"/>
  <c r="AD181" i="135"/>
  <c r="AE181" i="135" s="1"/>
  <c r="AC181" i="135"/>
  <c r="AB181" i="135"/>
  <c r="X181" i="135"/>
  <c r="W181" i="135"/>
  <c r="R181" i="135"/>
  <c r="Q181" i="135"/>
  <c r="P181" i="135"/>
  <c r="O181" i="135"/>
  <c r="N181" i="135"/>
  <c r="M181" i="135"/>
  <c r="Y179" i="139"/>
  <c r="V179" i="139"/>
  <c r="U179" i="139"/>
  <c r="Q179" i="139"/>
  <c r="P179" i="139"/>
  <c r="P178" i="139"/>
  <c r="Y178" i="139"/>
  <c r="V178" i="139"/>
  <c r="U178" i="139"/>
  <c r="Q178" i="139"/>
  <c r="Q177" i="139"/>
  <c r="P177" i="139"/>
  <c r="Y177" i="139"/>
  <c r="V177" i="139"/>
  <c r="U177" i="139"/>
  <c r="U176" i="139"/>
  <c r="Y176" i="139"/>
  <c r="V176" i="139"/>
  <c r="P176" i="139"/>
  <c r="Q176" i="139"/>
  <c r="P175" i="139"/>
  <c r="Y175" i="139"/>
  <c r="V175" i="139"/>
  <c r="U175" i="139"/>
  <c r="Q175" i="139"/>
  <c r="Y174" i="139"/>
  <c r="U174" i="139"/>
  <c r="Q174" i="139"/>
  <c r="P174" i="139"/>
  <c r="V174" i="139"/>
  <c r="Y173" i="139"/>
  <c r="V173" i="139"/>
  <c r="U173" i="139"/>
  <c r="Q173" i="139"/>
  <c r="P173" i="139"/>
  <c r="Y172" i="139"/>
  <c r="V172" i="139"/>
  <c r="U172" i="139"/>
  <c r="P172" i="139"/>
  <c r="Q172" i="139"/>
  <c r="Y171" i="139"/>
  <c r="V171" i="139"/>
  <c r="U171" i="139"/>
  <c r="Q171" i="139"/>
  <c r="P170" i="139"/>
  <c r="Q170" i="139"/>
  <c r="Y170" i="139"/>
  <c r="V170" i="139"/>
  <c r="U170" i="139"/>
  <c r="Y169" i="139"/>
  <c r="V169" i="139"/>
  <c r="U169" i="139"/>
  <c r="Q169" i="139"/>
  <c r="P169" i="139"/>
  <c r="Y168" i="139"/>
  <c r="V168" i="139"/>
  <c r="U168" i="139"/>
  <c r="Q168" i="139"/>
  <c r="P168" i="139"/>
  <c r="Y167" i="139"/>
  <c r="V167" i="139"/>
  <c r="U167" i="139"/>
  <c r="Q167" i="139"/>
  <c r="P167" i="139"/>
  <c r="Y166" i="139"/>
  <c r="V166" i="139"/>
  <c r="U166" i="139"/>
  <c r="Q166" i="139"/>
  <c r="P166" i="139"/>
  <c r="U165" i="139"/>
  <c r="P165" i="139"/>
  <c r="Y165" i="139"/>
  <c r="V165" i="139"/>
  <c r="Q165" i="139"/>
  <c r="Y162" i="139"/>
  <c r="AE162" i="139" s="1"/>
  <c r="U162" i="139"/>
  <c r="P162" i="139"/>
  <c r="P163" i="139"/>
  <c r="U163" i="139"/>
  <c r="AI164" i="139"/>
  <c r="AE164" i="139"/>
  <c r="Y164" i="139"/>
  <c r="V164" i="139"/>
  <c r="Q164" i="139"/>
  <c r="P164" i="139"/>
  <c r="AI163" i="139"/>
  <c r="Y163" i="139"/>
  <c r="V163" i="139"/>
  <c r="Q163" i="139"/>
  <c r="AE163" i="139"/>
  <c r="AI162" i="139"/>
  <c r="V162" i="139"/>
  <c r="Y161" i="139"/>
  <c r="V161" i="139"/>
  <c r="U161" i="139"/>
  <c r="Q161" i="139"/>
  <c r="P161" i="139"/>
  <c r="P160" i="139"/>
  <c r="V160" i="139"/>
  <c r="U160" i="139"/>
  <c r="P158" i="139"/>
  <c r="U158" i="139"/>
  <c r="P159" i="139"/>
  <c r="V159" i="139"/>
  <c r="U159" i="139"/>
  <c r="AI160" i="139"/>
  <c r="Y160" i="139"/>
  <c r="AI159" i="139"/>
  <c r="AE159" i="139"/>
  <c r="AI158" i="139"/>
  <c r="Q158" i="139"/>
  <c r="Y157" i="139"/>
  <c r="V157" i="139"/>
  <c r="U157" i="139"/>
  <c r="Q157" i="139"/>
  <c r="P157" i="139"/>
  <c r="Y156" i="139"/>
  <c r="V156" i="139"/>
  <c r="U156" i="139"/>
  <c r="Q156" i="139"/>
  <c r="P156" i="139"/>
  <c r="Y155" i="139"/>
  <c r="V155" i="139"/>
  <c r="U155" i="139"/>
  <c r="Q155" i="139"/>
  <c r="P155" i="139"/>
  <c r="Y154" i="139"/>
  <c r="V154" i="139"/>
  <c r="U154" i="139"/>
  <c r="Q154" i="139"/>
  <c r="P154" i="139"/>
  <c r="Y153" i="139"/>
  <c r="V153" i="139"/>
  <c r="U153" i="139"/>
  <c r="Q153" i="139"/>
  <c r="P153" i="139"/>
  <c r="Y152" i="139"/>
  <c r="V152" i="139"/>
  <c r="U152" i="139"/>
  <c r="Q152" i="139"/>
  <c r="P152" i="139"/>
  <c r="Y151" i="139"/>
  <c r="V151" i="139"/>
  <c r="U151" i="139"/>
  <c r="Q151" i="139"/>
  <c r="P151" i="139"/>
  <c r="Y150" i="139"/>
  <c r="V150" i="139"/>
  <c r="U150" i="139"/>
  <c r="Q150" i="139"/>
  <c r="P150" i="139"/>
  <c r="Y149" i="139"/>
  <c r="V149" i="139"/>
  <c r="U149" i="139"/>
  <c r="Q149" i="139"/>
  <c r="P149" i="139"/>
  <c r="Y148" i="139"/>
  <c r="V148" i="139"/>
  <c r="U148" i="139"/>
  <c r="Q148" i="139"/>
  <c r="P148" i="139"/>
  <c r="Y147" i="139"/>
  <c r="V147" i="139"/>
  <c r="U147" i="139"/>
  <c r="Q147" i="139"/>
  <c r="P147" i="139"/>
  <c r="Y146" i="139"/>
  <c r="V146" i="139"/>
  <c r="U146" i="139"/>
  <c r="Q146" i="139"/>
  <c r="P146" i="139"/>
  <c r="Y145" i="139"/>
  <c r="V145" i="139"/>
  <c r="U145" i="139"/>
  <c r="Q145" i="139"/>
  <c r="P145" i="139"/>
  <c r="Y144" i="139"/>
  <c r="V144" i="139"/>
  <c r="U144" i="139"/>
  <c r="Q144" i="139"/>
  <c r="P144" i="139"/>
  <c r="Y143" i="139"/>
  <c r="V143" i="139"/>
  <c r="U143" i="139"/>
  <c r="Q143" i="139"/>
  <c r="P143" i="139"/>
  <c r="Y142" i="139"/>
  <c r="V142" i="139"/>
  <c r="U142" i="139"/>
  <c r="Q142" i="139"/>
  <c r="P142" i="139"/>
  <c r="Y141" i="139"/>
  <c r="V141" i="139"/>
  <c r="U141" i="139"/>
  <c r="Q141" i="139"/>
  <c r="P141" i="139"/>
  <c r="Q140" i="139"/>
  <c r="P140" i="139"/>
  <c r="Y140" i="139"/>
  <c r="V140" i="139"/>
  <c r="U140" i="139"/>
  <c r="Y139" i="139"/>
  <c r="V139" i="139"/>
  <c r="U139" i="139"/>
  <c r="Q139" i="139"/>
  <c r="P139" i="139"/>
  <c r="Y138" i="139"/>
  <c r="V138" i="139"/>
  <c r="U138" i="139"/>
  <c r="Q138" i="139"/>
  <c r="P138" i="139"/>
  <c r="P135" i="139"/>
  <c r="AI137" i="139"/>
  <c r="AE137" i="139"/>
  <c r="AI136" i="139"/>
  <c r="Q136" i="139"/>
  <c r="P136" i="139"/>
  <c r="AE136" i="139" s="1"/>
  <c r="AI135" i="139"/>
  <c r="AE135" i="139"/>
  <c r="Y135" i="139"/>
  <c r="Q135" i="139"/>
  <c r="Y134" i="139"/>
  <c r="V134" i="139"/>
  <c r="U134" i="139"/>
  <c r="Q134" i="139"/>
  <c r="P134" i="139"/>
  <c r="AI132" i="139"/>
  <c r="AE132" i="139"/>
  <c r="Y132" i="139"/>
  <c r="V132" i="139"/>
  <c r="U132" i="139"/>
  <c r="Q132" i="139"/>
  <c r="Y133" i="139"/>
  <c r="V133" i="139"/>
  <c r="U133" i="139"/>
  <c r="Q133" i="139"/>
  <c r="P133" i="139"/>
  <c r="P130" i="139"/>
  <c r="P129" i="139"/>
  <c r="V129" i="139"/>
  <c r="AI131" i="139"/>
  <c r="AE131" i="139"/>
  <c r="AI130" i="139"/>
  <c r="Y130" i="139"/>
  <c r="Q130" i="139"/>
  <c r="AE130" i="139"/>
  <c r="AI129" i="139"/>
  <c r="AE129" i="139"/>
  <c r="Y129" i="139"/>
  <c r="Q129" i="139"/>
  <c r="Y128" i="139"/>
  <c r="V128" i="139"/>
  <c r="U128" i="139"/>
  <c r="Q128" i="139"/>
  <c r="P128" i="139"/>
  <c r="Y127" i="139"/>
  <c r="V127" i="139"/>
  <c r="U127" i="139"/>
  <c r="Q127" i="139"/>
  <c r="P127" i="139"/>
  <c r="Y126" i="139"/>
  <c r="V126" i="139"/>
  <c r="U126" i="139"/>
  <c r="Q126" i="139"/>
  <c r="P126" i="139"/>
  <c r="Y125" i="139"/>
  <c r="V125" i="139"/>
  <c r="U125" i="139"/>
  <c r="Q125" i="139"/>
  <c r="P125" i="139"/>
  <c r="Y124" i="139"/>
  <c r="V124" i="139"/>
  <c r="U124" i="139"/>
  <c r="Q124" i="139"/>
  <c r="P124" i="139"/>
  <c r="V123" i="139"/>
  <c r="Y123" i="139"/>
  <c r="U123" i="139"/>
  <c r="Q123" i="139"/>
  <c r="P123" i="139"/>
  <c r="Y122" i="139"/>
  <c r="V122" i="139"/>
  <c r="U122" i="139"/>
  <c r="Q122" i="139"/>
  <c r="P122" i="139"/>
  <c r="Y121" i="139"/>
  <c r="V121" i="139"/>
  <c r="U121" i="139"/>
  <c r="Q121" i="139"/>
  <c r="P121" i="139"/>
  <c r="V120" i="139"/>
  <c r="Y120" i="139"/>
  <c r="U120" i="139"/>
  <c r="Q120" i="139"/>
  <c r="P120" i="139"/>
  <c r="Y119" i="139"/>
  <c r="V119" i="139"/>
  <c r="U119" i="139"/>
  <c r="Q119" i="139"/>
  <c r="P119" i="139"/>
  <c r="Y118" i="139"/>
  <c r="V118" i="139"/>
  <c r="U118" i="139"/>
  <c r="Q118" i="139"/>
  <c r="P118" i="139"/>
  <c r="Y117" i="139"/>
  <c r="V117" i="139"/>
  <c r="U117" i="139"/>
  <c r="Q117" i="139"/>
  <c r="P117" i="139"/>
  <c r="Y116" i="139"/>
  <c r="V116" i="139"/>
  <c r="U116" i="139"/>
  <c r="Q116" i="139"/>
  <c r="P116" i="139"/>
  <c r="Y115" i="139"/>
  <c r="V115" i="139"/>
  <c r="U115" i="139"/>
  <c r="Q115" i="139"/>
  <c r="P115" i="139"/>
  <c r="Q114" i="139"/>
  <c r="Y114" i="139"/>
  <c r="V114" i="139"/>
  <c r="U114" i="139"/>
  <c r="P114" i="139"/>
  <c r="Y113" i="139"/>
  <c r="V113" i="139"/>
  <c r="U113" i="139"/>
  <c r="Q113" i="139"/>
  <c r="P113" i="139"/>
  <c r="Y112" i="139"/>
  <c r="V112" i="139"/>
  <c r="U112" i="139"/>
  <c r="Q112" i="139"/>
  <c r="P112" i="139"/>
  <c r="AI111" i="139"/>
  <c r="AE111" i="139"/>
  <c r="V110" i="139"/>
  <c r="Y110" i="139"/>
  <c r="P110" i="139"/>
  <c r="AI109" i="139"/>
  <c r="Y109" i="139"/>
  <c r="V109" i="139"/>
  <c r="AE109" i="139" s="1"/>
  <c r="Q109" i="139"/>
  <c r="P109" i="139"/>
  <c r="Y108" i="139"/>
  <c r="V108" i="139"/>
  <c r="Q108" i="139"/>
  <c r="P108" i="139"/>
  <c r="X107" i="139"/>
  <c r="W107" i="139"/>
  <c r="Y107" i="139"/>
  <c r="V107" i="139"/>
  <c r="Q107" i="139"/>
  <c r="P107" i="139"/>
  <c r="Y106" i="139"/>
  <c r="V106" i="139"/>
  <c r="Q106" i="139"/>
  <c r="P106" i="139"/>
  <c r="Y105" i="139"/>
  <c r="V105" i="139"/>
  <c r="Q105" i="139"/>
  <c r="P105" i="139"/>
  <c r="Y104" i="139"/>
  <c r="V104" i="139"/>
  <c r="Q104" i="139"/>
  <c r="P104" i="139"/>
  <c r="Y103" i="139"/>
  <c r="V103" i="139"/>
  <c r="Q103" i="139"/>
  <c r="P103" i="139"/>
  <c r="Y102" i="139"/>
  <c r="V102" i="139"/>
  <c r="Q102" i="139"/>
  <c r="P102" i="139"/>
  <c r="Y101" i="139"/>
  <c r="V101" i="139"/>
  <c r="Q101" i="139"/>
  <c r="P101" i="139"/>
  <c r="Y100" i="139"/>
  <c r="V100" i="139"/>
  <c r="Q100" i="139"/>
  <c r="P100" i="139"/>
  <c r="Y99" i="139"/>
  <c r="V99" i="139"/>
  <c r="Q99" i="139"/>
  <c r="P99" i="139"/>
  <c r="Y98" i="139"/>
  <c r="V98" i="139"/>
  <c r="Q98" i="139"/>
  <c r="P98" i="139"/>
  <c r="Y97" i="139"/>
  <c r="V97" i="139"/>
  <c r="Q97" i="139"/>
  <c r="P97" i="139"/>
  <c r="Y96" i="139"/>
  <c r="V96" i="139"/>
  <c r="Q96" i="139"/>
  <c r="P96" i="139"/>
  <c r="Y95" i="139"/>
  <c r="V95" i="139"/>
  <c r="Q95" i="139"/>
  <c r="P95" i="139"/>
  <c r="Y94" i="139"/>
  <c r="V94" i="139"/>
  <c r="Q94" i="139"/>
  <c r="P94" i="139"/>
  <c r="V93" i="139"/>
  <c r="P93" i="139"/>
  <c r="Y93" i="139"/>
  <c r="Q93" i="139"/>
  <c r="Y92" i="139"/>
  <c r="V92" i="139"/>
  <c r="Q92" i="139"/>
  <c r="P92" i="139"/>
  <c r="Y91" i="139"/>
  <c r="V91" i="139"/>
  <c r="Q91" i="139"/>
  <c r="P91" i="139"/>
  <c r="Y90" i="139"/>
  <c r="V90" i="139"/>
  <c r="Q90" i="139"/>
  <c r="P90" i="139"/>
  <c r="Y89" i="139"/>
  <c r="V89" i="139"/>
  <c r="Q89" i="139"/>
  <c r="P89" i="139"/>
  <c r="V88" i="139"/>
  <c r="P88" i="139"/>
  <c r="Y88" i="139"/>
  <c r="Q88" i="139"/>
  <c r="P87" i="139"/>
  <c r="V87" i="139"/>
  <c r="Q87" i="139"/>
  <c r="V85" i="139"/>
  <c r="Y85" i="139"/>
  <c r="Q86" i="139"/>
  <c r="AI87" i="139"/>
  <c r="Y87" i="139"/>
  <c r="AI86" i="139"/>
  <c r="Y86" i="139"/>
  <c r="V86" i="139"/>
  <c r="P86" i="139"/>
  <c r="AI85" i="139"/>
  <c r="AE85" i="139"/>
  <c r="Y84" i="139"/>
  <c r="V84" i="139"/>
  <c r="Q84" i="139"/>
  <c r="P84" i="139"/>
  <c r="V83" i="139"/>
  <c r="Y83" i="139"/>
  <c r="R83" i="139"/>
  <c r="AI83" i="139"/>
  <c r="Q83" i="139"/>
  <c r="P83" i="139"/>
  <c r="AE83" i="139" s="1"/>
  <c r="AI82" i="139"/>
  <c r="Y82" i="139"/>
  <c r="Q82" i="139"/>
  <c r="AE82" i="139" s="1"/>
  <c r="AJ82" i="139" s="1"/>
  <c r="P82" i="139"/>
  <c r="Y81" i="139"/>
  <c r="V81" i="139"/>
  <c r="Q81" i="139"/>
  <c r="P81" i="139"/>
  <c r="V79" i="139"/>
  <c r="Y80" i="139"/>
  <c r="Q80" i="139"/>
  <c r="AI80" i="139"/>
  <c r="V80" i="139"/>
  <c r="AI79" i="139"/>
  <c r="Y79" i="139"/>
  <c r="Q79" i="139"/>
  <c r="P79" i="139"/>
  <c r="AI78" i="139"/>
  <c r="Y78" i="139"/>
  <c r="V78" i="139"/>
  <c r="Q78" i="139"/>
  <c r="P78" i="139"/>
  <c r="AE78" i="139" s="1"/>
  <c r="AJ78" i="139" s="1"/>
  <c r="Y77" i="139"/>
  <c r="V77" i="139"/>
  <c r="Q77" i="139"/>
  <c r="P77" i="139"/>
  <c r="Y76" i="139"/>
  <c r="V76" i="139"/>
  <c r="Q76" i="139"/>
  <c r="P76" i="139"/>
  <c r="V75" i="139"/>
  <c r="Y75" i="139"/>
  <c r="Q75" i="139"/>
  <c r="P75" i="139"/>
  <c r="Y74" i="139"/>
  <c r="V74" i="139"/>
  <c r="Q74" i="139"/>
  <c r="P74" i="139"/>
  <c r="Y73" i="139"/>
  <c r="V73" i="139"/>
  <c r="Q73" i="139"/>
  <c r="P73" i="139"/>
  <c r="Y72" i="139"/>
  <c r="V72" i="139"/>
  <c r="P72" i="139"/>
  <c r="Y71" i="139"/>
  <c r="V71" i="139"/>
  <c r="Q71" i="139"/>
  <c r="P71" i="139"/>
  <c r="Y70" i="139"/>
  <c r="V70" i="139"/>
  <c r="Q70" i="139"/>
  <c r="P70" i="139"/>
  <c r="Y69" i="139"/>
  <c r="V69" i="139"/>
  <c r="Q69" i="139"/>
  <c r="P69" i="139"/>
  <c r="Y68" i="139"/>
  <c r="P68" i="139"/>
  <c r="Q68" i="139"/>
  <c r="V68" i="139"/>
  <c r="Y67" i="139"/>
  <c r="V67" i="139"/>
  <c r="Q67" i="139"/>
  <c r="P67" i="139"/>
  <c r="Y66" i="139"/>
  <c r="V66" i="139"/>
  <c r="Q66" i="139"/>
  <c r="P66" i="139"/>
  <c r="Y65" i="139"/>
  <c r="V65" i="139"/>
  <c r="Q65" i="139"/>
  <c r="P65" i="139"/>
  <c r="Y64" i="139"/>
  <c r="V64" i="139"/>
  <c r="Q64" i="139"/>
  <c r="P64" i="139"/>
  <c r="P63" i="139"/>
  <c r="AE63" i="139" s="1"/>
  <c r="Q63" i="139"/>
  <c r="V63" i="139"/>
  <c r="Y63" i="139"/>
  <c r="AI63" i="139"/>
  <c r="Y62" i="139"/>
  <c r="V62" i="139"/>
  <c r="Q62" i="139"/>
  <c r="P62" i="139"/>
  <c r="Y61" i="139"/>
  <c r="V61" i="139"/>
  <c r="Q61" i="139"/>
  <c r="P61" i="139"/>
  <c r="Y60" i="139"/>
  <c r="V60" i="139"/>
  <c r="Q60" i="139"/>
  <c r="P60" i="139"/>
  <c r="Y59" i="139"/>
  <c r="V59" i="139"/>
  <c r="Q59" i="139"/>
  <c r="P59" i="139"/>
  <c r="Y58" i="139"/>
  <c r="V58" i="139"/>
  <c r="Q58" i="139"/>
  <c r="P58" i="139"/>
  <c r="P57" i="139"/>
  <c r="Y57" i="139"/>
  <c r="V57" i="139"/>
  <c r="Q57" i="139"/>
  <c r="Y56" i="139"/>
  <c r="V56" i="139"/>
  <c r="Q56" i="139"/>
  <c r="P56" i="139"/>
  <c r="Y55" i="139"/>
  <c r="V55" i="139"/>
  <c r="Q55" i="139"/>
  <c r="P55" i="139"/>
  <c r="Y54" i="139"/>
  <c r="V54" i="139"/>
  <c r="Q54" i="139"/>
  <c r="P54" i="139"/>
  <c r="Y53" i="139"/>
  <c r="V53" i="139"/>
  <c r="Q53" i="139"/>
  <c r="P53" i="139"/>
  <c r="Y52" i="139"/>
  <c r="V52" i="139"/>
  <c r="Q52" i="139"/>
  <c r="P52" i="139"/>
  <c r="Y51" i="139"/>
  <c r="V51" i="139"/>
  <c r="Q51" i="139"/>
  <c r="P51" i="139"/>
  <c r="Y50" i="139"/>
  <c r="V50" i="139"/>
  <c r="Q50" i="139"/>
  <c r="P50" i="139"/>
  <c r="Y49" i="139"/>
  <c r="V49" i="139"/>
  <c r="Q49" i="139"/>
  <c r="P49" i="139"/>
  <c r="Y48" i="139"/>
  <c r="V48" i="139"/>
  <c r="Q48" i="139"/>
  <c r="P48" i="139"/>
  <c r="Y47" i="139"/>
  <c r="V47" i="139"/>
  <c r="Q47" i="139"/>
  <c r="P47" i="139"/>
  <c r="Y46" i="139"/>
  <c r="P46" i="139"/>
  <c r="V46" i="139"/>
  <c r="Q46" i="139"/>
  <c r="Y45" i="139"/>
  <c r="V45" i="139"/>
  <c r="Q45" i="139"/>
  <c r="P45" i="139"/>
  <c r="Y44" i="139"/>
  <c r="V44" i="139"/>
  <c r="Q44" i="139"/>
  <c r="P44" i="139"/>
  <c r="Y43" i="139"/>
  <c r="V43" i="139"/>
  <c r="Q43" i="139"/>
  <c r="P43" i="139"/>
  <c r="Y42" i="139"/>
  <c r="V42" i="139"/>
  <c r="Q42" i="139"/>
  <c r="P42" i="139"/>
  <c r="Y41" i="139"/>
  <c r="V41" i="139"/>
  <c r="Q41" i="139"/>
  <c r="P41" i="139"/>
  <c r="Y40" i="139"/>
  <c r="V40" i="139"/>
  <c r="Q40" i="139"/>
  <c r="P40" i="139"/>
  <c r="P39" i="139"/>
  <c r="Y39" i="139"/>
  <c r="V39" i="139"/>
  <c r="Q39" i="139"/>
  <c r="Y38" i="139"/>
  <c r="V38" i="139"/>
  <c r="Q38" i="139"/>
  <c r="P38" i="139"/>
  <c r="Y37" i="139"/>
  <c r="V37" i="139"/>
  <c r="Q37" i="139"/>
  <c r="P37" i="139"/>
  <c r="Y36" i="139"/>
  <c r="V36" i="139"/>
  <c r="Q36" i="139"/>
  <c r="P36" i="139"/>
  <c r="Y35" i="139"/>
  <c r="V35" i="139"/>
  <c r="Q35" i="139"/>
  <c r="P35" i="139"/>
  <c r="Y34" i="139"/>
  <c r="V34" i="139"/>
  <c r="Q34" i="139"/>
  <c r="P34" i="139"/>
  <c r="P33" i="139"/>
  <c r="Q33" i="139"/>
  <c r="V33" i="139"/>
  <c r="Y33" i="139"/>
  <c r="AE33" i="139"/>
  <c r="AI33" i="139"/>
  <c r="Y32" i="139"/>
  <c r="V32" i="139"/>
  <c r="Q32" i="139"/>
  <c r="P32" i="139"/>
  <c r="Y31" i="139"/>
  <c r="V31" i="139"/>
  <c r="Q31" i="139"/>
  <c r="P31" i="139"/>
  <c r="Y30" i="139"/>
  <c r="V30" i="139"/>
  <c r="Q30" i="139"/>
  <c r="P30" i="139"/>
  <c r="AE800" i="139" l="1"/>
  <c r="AJ800" i="139" s="1"/>
  <c r="AE801" i="139"/>
  <c r="AJ801" i="139" s="1"/>
  <c r="AJ802" i="139"/>
  <c r="AE797" i="139"/>
  <c r="AJ797" i="139" s="1"/>
  <c r="AE796" i="139"/>
  <c r="AJ796" i="139" s="1"/>
  <c r="AJ795" i="139"/>
  <c r="AE737" i="139"/>
  <c r="AE735" i="139"/>
  <c r="AE701" i="139"/>
  <c r="AJ701" i="139" s="1"/>
  <c r="AE700" i="139"/>
  <c r="AJ700" i="139" s="1"/>
  <c r="AJ698" i="139"/>
  <c r="AJ699" i="139"/>
  <c r="AE675" i="139"/>
  <c r="AE674" i="139"/>
  <c r="F665" i="134"/>
  <c r="AJ640" i="139"/>
  <c r="AE639" i="139"/>
  <c r="AJ638" i="139"/>
  <c r="AJ639" i="139"/>
  <c r="AE615" i="139"/>
  <c r="AE610" i="139"/>
  <c r="AE612" i="139"/>
  <c r="AE541" i="139"/>
  <c r="AE539" i="139"/>
  <c r="AJ539" i="139" s="1"/>
  <c r="AE509" i="139"/>
  <c r="AJ487" i="139"/>
  <c r="AE486" i="139"/>
  <c r="AJ468" i="139"/>
  <c r="AE435" i="139"/>
  <c r="AE379" i="139"/>
  <c r="AE347" i="139"/>
  <c r="AE327" i="139"/>
  <c r="AJ295" i="139"/>
  <c r="AE286" i="139"/>
  <c r="AE272" i="139"/>
  <c r="AE160" i="139"/>
  <c r="AE158" i="139"/>
  <c r="AE87" i="139"/>
  <c r="AE86" i="139"/>
  <c r="AJ83" i="139"/>
  <c r="AE79" i="139"/>
  <c r="AJ79" i="139" s="1"/>
  <c r="AE80" i="139"/>
  <c r="AJ80" i="139" s="1"/>
  <c r="AF29" i="139" l="1"/>
  <c r="AC29" i="139"/>
  <c r="Y29" i="139"/>
  <c r="V29" i="139"/>
  <c r="Q29" i="139"/>
  <c r="P29" i="139"/>
  <c r="P28" i="139"/>
  <c r="AE28" i="139" s="1"/>
  <c r="Q28" i="139"/>
  <c r="V28" i="139"/>
  <c r="Y28" i="139"/>
  <c r="AI28" i="139"/>
  <c r="Y27" i="139"/>
  <c r="V27" i="139"/>
  <c r="Q27" i="139"/>
  <c r="P27" i="139"/>
  <c r="Y26" i="139"/>
  <c r="V26" i="139"/>
  <c r="Q26" i="139"/>
  <c r="P26" i="139"/>
  <c r="P25" i="139"/>
  <c r="Y25" i="139"/>
  <c r="V25" i="139"/>
  <c r="Q25" i="139"/>
  <c r="Y24" i="139"/>
  <c r="V24" i="139"/>
  <c r="Q24" i="139"/>
  <c r="P24" i="139"/>
  <c r="F21" i="134"/>
  <c r="F22" i="134"/>
  <c r="Y23" i="139"/>
  <c r="V23" i="139"/>
  <c r="U23" i="139"/>
  <c r="Q23" i="139"/>
  <c r="P23" i="139"/>
  <c r="F23" i="139"/>
  <c r="F24" i="139"/>
  <c r="F23" i="135"/>
  <c r="Y22" i="139"/>
  <c r="V22" i="139"/>
  <c r="U22" i="139"/>
  <c r="Q22" i="139"/>
  <c r="P22" i="139"/>
  <c r="Y21" i="139"/>
  <c r="V21" i="139"/>
  <c r="U21" i="139"/>
  <c r="Q21" i="139"/>
  <c r="P21" i="139"/>
  <c r="Y20" i="139"/>
  <c r="V20" i="139"/>
  <c r="U20" i="139"/>
  <c r="Q20" i="139"/>
  <c r="P20" i="139"/>
  <c r="Y19" i="139"/>
  <c r="V19" i="139"/>
  <c r="U19" i="139"/>
  <c r="Q19" i="139"/>
  <c r="P19" i="139"/>
  <c r="Q18" i="139"/>
  <c r="Y18" i="139"/>
  <c r="V18" i="139"/>
  <c r="U18" i="139"/>
  <c r="P18" i="139"/>
  <c r="Q17" i="139"/>
  <c r="P17" i="139"/>
  <c r="Y17" i="139"/>
  <c r="V17" i="139"/>
  <c r="U17" i="139"/>
  <c r="Y16" i="139"/>
  <c r="V16" i="139"/>
  <c r="U16" i="139"/>
  <c r="AE16" i="139" s="1"/>
  <c r="Q16" i="139"/>
  <c r="P16" i="139"/>
  <c r="AD16" i="135"/>
  <c r="AE16" i="135" s="1"/>
  <c r="AC16" i="135"/>
  <c r="AB16" i="135"/>
  <c r="X16" i="135"/>
  <c r="W16" i="135"/>
  <c r="R16" i="135"/>
  <c r="Q16" i="135"/>
  <c r="P16" i="135"/>
  <c r="O16" i="135"/>
  <c r="N16" i="135"/>
  <c r="M16" i="135"/>
  <c r="AE15" i="135"/>
  <c r="AD15" i="135"/>
  <c r="AC15" i="135"/>
  <c r="AB15" i="135"/>
  <c r="X15" i="135"/>
  <c r="W15" i="135"/>
  <c r="R15" i="135"/>
  <c r="Q15" i="135"/>
  <c r="P15" i="135"/>
  <c r="O15" i="135"/>
  <c r="N15" i="135"/>
  <c r="M15" i="135"/>
  <c r="F15" i="139"/>
  <c r="Y15" i="139"/>
  <c r="V15" i="139"/>
  <c r="AE15" i="139" s="1"/>
  <c r="U15" i="139"/>
  <c r="Q15" i="139"/>
  <c r="P15" i="139"/>
  <c r="F12" i="134"/>
  <c r="AI14" i="139"/>
  <c r="AE14" i="139"/>
  <c r="Y14" i="139"/>
  <c r="V14" i="139"/>
  <c r="U14" i="139"/>
  <c r="Q14" i="139"/>
  <c r="P14" i="139"/>
  <c r="M14" i="135"/>
  <c r="N14" i="135"/>
  <c r="O14" i="135"/>
  <c r="R14" i="135" s="1"/>
  <c r="P14" i="135"/>
  <c r="Q14" i="135"/>
  <c r="W14" i="135"/>
  <c r="X14" i="135" s="1"/>
  <c r="AB14" i="135"/>
  <c r="AC14" i="135" s="1"/>
  <c r="AI14" i="135"/>
  <c r="AJ14" i="135" s="1"/>
  <c r="AD14" i="135" l="1"/>
  <c r="AE14" i="135" s="1"/>
  <c r="F26" i="167"/>
  <c r="K26" i="167"/>
  <c r="AP11" i="167"/>
  <c r="AO11" i="167"/>
  <c r="AQ11" i="167" s="1"/>
  <c r="AO14" i="167" s="1"/>
  <c r="AK11" i="167"/>
  <c r="AJ11" i="167"/>
  <c r="AL11" i="167" s="1"/>
  <c r="AJ14" i="167" s="1"/>
  <c r="AF11" i="167"/>
  <c r="AG11" i="167" s="1"/>
  <c r="AE14" i="167" s="1"/>
  <c r="AE11" i="167"/>
  <c r="AA11" i="167"/>
  <c r="Z11" i="167"/>
  <c r="AB11" i="167" s="1"/>
  <c r="Z14" i="167" s="1"/>
  <c r="V11" i="167"/>
  <c r="U11" i="167"/>
  <c r="W11" i="167" s="1"/>
  <c r="U14" i="167" s="1"/>
  <c r="R11" i="167"/>
  <c r="P14" i="167" s="1"/>
  <c r="Q11" i="167"/>
  <c r="P11" i="167"/>
  <c r="L11" i="167"/>
  <c r="K11" i="167"/>
  <c r="M11" i="167" s="1"/>
  <c r="K14" i="167" s="1"/>
  <c r="G11" i="167"/>
  <c r="F11" i="167"/>
  <c r="H11" i="167" s="1"/>
  <c r="F14" i="167" s="1"/>
  <c r="L34" i="167"/>
  <c r="G34" i="167"/>
  <c r="AZ26" i="167"/>
  <c r="AY26" i="167"/>
  <c r="AU26" i="167"/>
  <c r="AT26" i="167"/>
  <c r="AP26" i="167"/>
  <c r="AO26" i="167"/>
  <c r="AK26" i="167"/>
  <c r="AJ26" i="167"/>
  <c r="AF26" i="167"/>
  <c r="AE26" i="167"/>
  <c r="AA26" i="167"/>
  <c r="Z26" i="167"/>
  <c r="V26" i="167"/>
  <c r="U26" i="167"/>
  <c r="Q26" i="167"/>
  <c r="P26" i="167"/>
  <c r="L26" i="167"/>
  <c r="M26" i="167" s="1"/>
  <c r="K29" i="167" s="1"/>
  <c r="G26" i="167"/>
  <c r="AY14" i="167"/>
  <c r="AZ11" i="167"/>
  <c r="AY11" i="167"/>
  <c r="BA11" i="167" s="1"/>
  <c r="AU11" i="167"/>
  <c r="AT11" i="167"/>
  <c r="AV11" i="167" s="1"/>
  <c r="AT14" i="167" s="1"/>
  <c r="BA26" i="167" l="1"/>
  <c r="AY29" i="167" s="1"/>
  <c r="AV26" i="167"/>
  <c r="AT29" i="167" s="1"/>
  <c r="AQ26" i="167"/>
  <c r="AO29" i="167" s="1"/>
  <c r="AL26" i="167"/>
  <c r="AJ29" i="167" s="1"/>
  <c r="AG26" i="167"/>
  <c r="AE29" i="167" s="1"/>
  <c r="AB26" i="167"/>
  <c r="Z29" i="167" s="1"/>
  <c r="W26" i="167"/>
  <c r="U29" i="167" s="1"/>
  <c r="R26" i="167"/>
  <c r="P29" i="167" s="1"/>
  <c r="H26" i="167"/>
  <c r="F29" i="167" s="1"/>
  <c r="AB8" i="101"/>
  <c r="Z8" i="101" l="1"/>
  <c r="O943" i="139" l="1"/>
  <c r="AE943" i="139"/>
  <c r="AI943" i="139"/>
  <c r="AJ943" i="139"/>
  <c r="AL943" i="139" s="1"/>
  <c r="AK943" i="139"/>
  <c r="O944" i="139"/>
  <c r="AE944" i="139"/>
  <c r="AJ944" i="139" s="1"/>
  <c r="AL944" i="139" s="1"/>
  <c r="AI944" i="139"/>
  <c r="AK944" i="139"/>
  <c r="O945" i="139"/>
  <c r="AE945" i="139"/>
  <c r="AI945" i="139"/>
  <c r="AK945" i="139"/>
  <c r="O946" i="139"/>
  <c r="AE946" i="139"/>
  <c r="AI946" i="139"/>
  <c r="AK946" i="139"/>
  <c r="O947" i="139"/>
  <c r="AE947" i="139"/>
  <c r="AI947" i="139"/>
  <c r="AJ947" i="139"/>
  <c r="AK947" i="139"/>
  <c r="AL947" i="139" s="1"/>
  <c r="O948" i="139"/>
  <c r="AE948" i="139"/>
  <c r="AJ948" i="139" s="1"/>
  <c r="AL948" i="139" s="1"/>
  <c r="AI948" i="139"/>
  <c r="AK948" i="139"/>
  <c r="O949" i="139"/>
  <c r="AE949" i="139"/>
  <c r="AI949" i="139"/>
  <c r="AK949" i="139"/>
  <c r="O950" i="139"/>
  <c r="AE950" i="139"/>
  <c r="AJ950" i="139" s="1"/>
  <c r="AI950" i="139"/>
  <c r="AK950" i="139"/>
  <c r="O15" i="139"/>
  <c r="AI15" i="139"/>
  <c r="AK15" i="139"/>
  <c r="O16" i="139"/>
  <c r="AI16" i="139"/>
  <c r="AK16" i="139"/>
  <c r="O17" i="139"/>
  <c r="AE17" i="139"/>
  <c r="AI17" i="139"/>
  <c r="AK17" i="139"/>
  <c r="O18" i="139"/>
  <c r="AE18" i="139"/>
  <c r="AI18" i="139"/>
  <c r="AK18" i="139"/>
  <c r="O19" i="139"/>
  <c r="AE19" i="139"/>
  <c r="AI19" i="139"/>
  <c r="AK19" i="139"/>
  <c r="O20" i="139"/>
  <c r="AE20" i="139"/>
  <c r="AI20" i="139"/>
  <c r="AK20" i="139"/>
  <c r="O21" i="139"/>
  <c r="AE21" i="139"/>
  <c r="AI21" i="139"/>
  <c r="AK21" i="139"/>
  <c r="O22" i="139"/>
  <c r="AE22" i="139"/>
  <c r="AI22" i="139"/>
  <c r="AK22" i="139"/>
  <c r="O23" i="139"/>
  <c r="AE23" i="139"/>
  <c r="AI23" i="139"/>
  <c r="AK23" i="139"/>
  <c r="O24" i="139"/>
  <c r="AE24" i="139"/>
  <c r="AI24" i="139"/>
  <c r="AK24" i="139"/>
  <c r="O25" i="139"/>
  <c r="AE25" i="139"/>
  <c r="AI25" i="139"/>
  <c r="AK25" i="139"/>
  <c r="O26" i="139"/>
  <c r="AE26" i="139"/>
  <c r="AI26" i="139"/>
  <c r="AK26" i="139"/>
  <c r="O27" i="139"/>
  <c r="AE27" i="139"/>
  <c r="AI27" i="139"/>
  <c r="AK27" i="139"/>
  <c r="O28" i="139"/>
  <c r="AK28" i="139"/>
  <c r="O29" i="139"/>
  <c r="AE29" i="139"/>
  <c r="AI29" i="139"/>
  <c r="AK29" i="139"/>
  <c r="O30" i="139"/>
  <c r="AE30" i="139"/>
  <c r="AI30" i="139"/>
  <c r="AK30" i="139"/>
  <c r="O31" i="139"/>
  <c r="AE31" i="139"/>
  <c r="AI31" i="139"/>
  <c r="AK31" i="139"/>
  <c r="O32" i="139"/>
  <c r="AE32" i="139"/>
  <c r="AI32" i="139"/>
  <c r="AK32" i="139"/>
  <c r="O33" i="139"/>
  <c r="AK33" i="139"/>
  <c r="O34" i="139"/>
  <c r="AE34" i="139"/>
  <c r="AI34" i="139"/>
  <c r="AK34" i="139"/>
  <c r="O35" i="139"/>
  <c r="AE35" i="139"/>
  <c r="AI35" i="139"/>
  <c r="AK35" i="139"/>
  <c r="O36" i="139"/>
  <c r="AE36" i="139"/>
  <c r="AI36" i="139"/>
  <c r="AK36" i="139"/>
  <c r="O37" i="139"/>
  <c r="AE37" i="139"/>
  <c r="AI37" i="139"/>
  <c r="AK37" i="139"/>
  <c r="O38" i="139"/>
  <c r="AE38" i="139"/>
  <c r="AI38" i="139"/>
  <c r="AK38" i="139"/>
  <c r="O39" i="139"/>
  <c r="AE39" i="139"/>
  <c r="AI39" i="139"/>
  <c r="AK39" i="139"/>
  <c r="O40" i="139"/>
  <c r="AE40" i="139"/>
  <c r="AI40" i="139"/>
  <c r="AK40" i="139"/>
  <c r="O41" i="139"/>
  <c r="AE41" i="139"/>
  <c r="AI41" i="139"/>
  <c r="AK41" i="139"/>
  <c r="O42" i="139"/>
  <c r="AE42" i="139"/>
  <c r="AI42" i="139"/>
  <c r="AK42" i="139"/>
  <c r="O43" i="139"/>
  <c r="AE43" i="139"/>
  <c r="AI43" i="139"/>
  <c r="AK43" i="139"/>
  <c r="O44" i="139"/>
  <c r="AE44" i="139"/>
  <c r="AI44" i="139"/>
  <c r="AK44" i="139"/>
  <c r="O45" i="139"/>
  <c r="AE45" i="139"/>
  <c r="AI45" i="139"/>
  <c r="AK45" i="139"/>
  <c r="O46" i="139"/>
  <c r="AE46" i="139"/>
  <c r="AI46" i="139"/>
  <c r="AK46" i="139"/>
  <c r="O47" i="139"/>
  <c r="AE47" i="139"/>
  <c r="AI47" i="139"/>
  <c r="AK47" i="139"/>
  <c r="O48" i="139"/>
  <c r="AE48" i="139"/>
  <c r="AI48" i="139"/>
  <c r="AK48" i="139"/>
  <c r="O49" i="139"/>
  <c r="AE49" i="139"/>
  <c r="AI49" i="139"/>
  <c r="AK49" i="139"/>
  <c r="O50" i="139"/>
  <c r="AE50" i="139"/>
  <c r="AI50" i="139"/>
  <c r="AK50" i="139"/>
  <c r="O51" i="139"/>
  <c r="AE51" i="139"/>
  <c r="AI51" i="139"/>
  <c r="AK51" i="139"/>
  <c r="O52" i="139"/>
  <c r="AE52" i="139"/>
  <c r="AI52" i="139"/>
  <c r="AK52" i="139"/>
  <c r="O53" i="139"/>
  <c r="AE53" i="139"/>
  <c r="AI53" i="139"/>
  <c r="AK53" i="139"/>
  <c r="O54" i="139"/>
  <c r="AE54" i="139"/>
  <c r="AI54" i="139"/>
  <c r="AK54" i="139"/>
  <c r="O55" i="139"/>
  <c r="AE55" i="139"/>
  <c r="AI55" i="139"/>
  <c r="AK55" i="139"/>
  <c r="O56" i="139"/>
  <c r="AE56" i="139"/>
  <c r="AI56" i="139"/>
  <c r="AK56" i="139"/>
  <c r="O57" i="139"/>
  <c r="AE57" i="139"/>
  <c r="AI57" i="139"/>
  <c r="AK57" i="139"/>
  <c r="O58" i="139"/>
  <c r="AE58" i="139"/>
  <c r="AI58" i="139"/>
  <c r="AK58" i="139"/>
  <c r="O59" i="139"/>
  <c r="AE59" i="139"/>
  <c r="AI59" i="139"/>
  <c r="AK59" i="139"/>
  <c r="O60" i="139"/>
  <c r="AE60" i="139"/>
  <c r="AI60" i="139"/>
  <c r="AK60" i="139"/>
  <c r="O61" i="139"/>
  <c r="AE61" i="139"/>
  <c r="AI61" i="139"/>
  <c r="AK61" i="139"/>
  <c r="O62" i="139"/>
  <c r="AE62" i="139"/>
  <c r="AI62" i="139"/>
  <c r="AK62" i="139"/>
  <c r="O63" i="139"/>
  <c r="AK63" i="139"/>
  <c r="O64" i="139"/>
  <c r="AE64" i="139"/>
  <c r="AI64" i="139"/>
  <c r="AK64" i="139"/>
  <c r="O65" i="139"/>
  <c r="AE65" i="139"/>
  <c r="AI65" i="139"/>
  <c r="AK65" i="139"/>
  <c r="O66" i="139"/>
  <c r="AE66" i="139"/>
  <c r="AI66" i="139"/>
  <c r="AK66" i="139"/>
  <c r="O67" i="139"/>
  <c r="AE67" i="139"/>
  <c r="AI67" i="139"/>
  <c r="AK67" i="139"/>
  <c r="O68" i="139"/>
  <c r="AE68" i="139"/>
  <c r="AI68" i="139"/>
  <c r="AK68" i="139"/>
  <c r="O69" i="139"/>
  <c r="AE69" i="139"/>
  <c r="AI69" i="139"/>
  <c r="AK69" i="139"/>
  <c r="O70" i="139"/>
  <c r="AE70" i="139"/>
  <c r="AI70" i="139"/>
  <c r="AK70" i="139"/>
  <c r="O71" i="139"/>
  <c r="AE71" i="139"/>
  <c r="AI71" i="139"/>
  <c r="AK71" i="139"/>
  <c r="O72" i="139"/>
  <c r="AE72" i="139"/>
  <c r="AI72" i="139"/>
  <c r="AK72" i="139"/>
  <c r="O73" i="139"/>
  <c r="AE73" i="139"/>
  <c r="AI73" i="139"/>
  <c r="AK73" i="139"/>
  <c r="O74" i="139"/>
  <c r="AE74" i="139"/>
  <c r="AI74" i="139"/>
  <c r="AK74" i="139"/>
  <c r="O75" i="139"/>
  <c r="AE75" i="139"/>
  <c r="AI75" i="139"/>
  <c r="AK75" i="139"/>
  <c r="O76" i="139"/>
  <c r="AE76" i="139"/>
  <c r="AI76" i="139"/>
  <c r="AK76" i="139"/>
  <c r="O77" i="139"/>
  <c r="AE77" i="139"/>
  <c r="AI77" i="139"/>
  <c r="AK77" i="139"/>
  <c r="O78" i="139"/>
  <c r="AK78" i="139"/>
  <c r="O79" i="139"/>
  <c r="AK79" i="139"/>
  <c r="O80" i="139"/>
  <c r="AK80" i="139"/>
  <c r="O81" i="139"/>
  <c r="AE81" i="139"/>
  <c r="AI81" i="139"/>
  <c r="AK81" i="139"/>
  <c r="O82" i="139"/>
  <c r="AK82" i="139"/>
  <c r="O83" i="139"/>
  <c r="AK83" i="139"/>
  <c r="O84" i="139"/>
  <c r="AE84" i="139"/>
  <c r="AI84" i="139"/>
  <c r="AK84" i="139"/>
  <c r="O85" i="139"/>
  <c r="AJ85" i="139" s="1"/>
  <c r="AK85" i="139"/>
  <c r="O86" i="139"/>
  <c r="AJ86" i="139"/>
  <c r="AK86" i="139"/>
  <c r="O87" i="139"/>
  <c r="AK87" i="139"/>
  <c r="O88" i="139"/>
  <c r="AE88" i="139"/>
  <c r="AI88" i="139"/>
  <c r="AK88" i="139"/>
  <c r="O89" i="139"/>
  <c r="AE89" i="139"/>
  <c r="AI89" i="139"/>
  <c r="AK89" i="139"/>
  <c r="O90" i="139"/>
  <c r="AE90" i="139"/>
  <c r="AI90" i="139"/>
  <c r="AK90" i="139"/>
  <c r="O91" i="139"/>
  <c r="AE91" i="139"/>
  <c r="AI91" i="139"/>
  <c r="AK91" i="139"/>
  <c r="O92" i="139"/>
  <c r="AE92" i="139"/>
  <c r="AI92" i="139"/>
  <c r="AK92" i="139"/>
  <c r="O93" i="139"/>
  <c r="AE93" i="139"/>
  <c r="AI93" i="139"/>
  <c r="AK93" i="139"/>
  <c r="O94" i="139"/>
  <c r="AE94" i="139"/>
  <c r="AI94" i="139"/>
  <c r="AK94" i="139"/>
  <c r="O95" i="139"/>
  <c r="AE95" i="139"/>
  <c r="AI95" i="139"/>
  <c r="AK95" i="139"/>
  <c r="O96" i="139"/>
  <c r="AE96" i="139"/>
  <c r="AI96" i="139"/>
  <c r="AK96" i="139"/>
  <c r="O97" i="139"/>
  <c r="AE97" i="139"/>
  <c r="AI97" i="139"/>
  <c r="AK97" i="139"/>
  <c r="O98" i="139"/>
  <c r="AE98" i="139"/>
  <c r="AI98" i="139"/>
  <c r="AK98" i="139"/>
  <c r="O99" i="139"/>
  <c r="AE99" i="139"/>
  <c r="AI99" i="139"/>
  <c r="AK99" i="139"/>
  <c r="O100" i="139"/>
  <c r="AE100" i="139"/>
  <c r="AI100" i="139"/>
  <c r="AK100" i="139"/>
  <c r="O101" i="139"/>
  <c r="AE101" i="139"/>
  <c r="AI101" i="139"/>
  <c r="AK101" i="139"/>
  <c r="O102" i="139"/>
  <c r="AE102" i="139"/>
  <c r="AI102" i="139"/>
  <c r="AK102" i="139"/>
  <c r="O103" i="139"/>
  <c r="AE103" i="139"/>
  <c r="AI103" i="139"/>
  <c r="AK103" i="139"/>
  <c r="O104" i="139"/>
  <c r="AE104" i="139"/>
  <c r="AI104" i="139"/>
  <c r="AK104" i="139"/>
  <c r="O105" i="139"/>
  <c r="AE105" i="139"/>
  <c r="AI105" i="139"/>
  <c r="AK105" i="139"/>
  <c r="O106" i="139"/>
  <c r="AE106" i="139"/>
  <c r="AI106" i="139"/>
  <c r="AK106" i="139"/>
  <c r="O107" i="139"/>
  <c r="AE107" i="139"/>
  <c r="AI107" i="139"/>
  <c r="AK107" i="139"/>
  <c r="O108" i="139"/>
  <c r="AE108" i="139"/>
  <c r="AI108" i="139"/>
  <c r="AK108" i="139"/>
  <c r="O109" i="139"/>
  <c r="AK109" i="139"/>
  <c r="O110" i="139"/>
  <c r="AE110" i="139"/>
  <c r="AI110" i="139"/>
  <c r="AK110" i="139"/>
  <c r="O111" i="139"/>
  <c r="AJ111" i="139" s="1"/>
  <c r="AK111" i="139"/>
  <c r="O112" i="139"/>
  <c r="AE112" i="139"/>
  <c r="AI112" i="139"/>
  <c r="AK112" i="139"/>
  <c r="O113" i="139"/>
  <c r="AE113" i="139"/>
  <c r="AI113" i="139"/>
  <c r="AK113" i="139"/>
  <c r="O114" i="139"/>
  <c r="AE114" i="139"/>
  <c r="AI114" i="139"/>
  <c r="AK114" i="139"/>
  <c r="O115" i="139"/>
  <c r="AE115" i="139"/>
  <c r="AI115" i="139"/>
  <c r="AK115" i="139"/>
  <c r="O116" i="139"/>
  <c r="AE116" i="139"/>
  <c r="AI116" i="139"/>
  <c r="AK116" i="139"/>
  <c r="O117" i="139"/>
  <c r="AE117" i="139"/>
  <c r="AI117" i="139"/>
  <c r="AK117" i="139"/>
  <c r="O118" i="139"/>
  <c r="AE118" i="139"/>
  <c r="AI118" i="139"/>
  <c r="AK118" i="139"/>
  <c r="O119" i="139"/>
  <c r="AE119" i="139"/>
  <c r="AI119" i="139"/>
  <c r="AK119" i="139"/>
  <c r="O120" i="139"/>
  <c r="AE120" i="139"/>
  <c r="AI120" i="139"/>
  <c r="AK120" i="139"/>
  <c r="O121" i="139"/>
  <c r="AE121" i="139"/>
  <c r="AI121" i="139"/>
  <c r="AK121" i="139"/>
  <c r="O122" i="139"/>
  <c r="AE122" i="139"/>
  <c r="AI122" i="139"/>
  <c r="AK122" i="139"/>
  <c r="O123" i="139"/>
  <c r="AE123" i="139"/>
  <c r="AI123" i="139"/>
  <c r="AK123" i="139"/>
  <c r="O124" i="139"/>
  <c r="AE124" i="139"/>
  <c r="AI124" i="139"/>
  <c r="AK124" i="139"/>
  <c r="O125" i="139"/>
  <c r="AE125" i="139"/>
  <c r="AI125" i="139"/>
  <c r="AK125" i="139"/>
  <c r="O126" i="139"/>
  <c r="AE126" i="139"/>
  <c r="AI126" i="139"/>
  <c r="AK126" i="139"/>
  <c r="O127" i="139"/>
  <c r="AE127" i="139"/>
  <c r="AI127" i="139"/>
  <c r="AK127" i="139"/>
  <c r="O128" i="139"/>
  <c r="AE128" i="139"/>
  <c r="AI128" i="139"/>
  <c r="AK128" i="139"/>
  <c r="O129" i="139"/>
  <c r="AK129" i="139"/>
  <c r="O130" i="139"/>
  <c r="AK130" i="139"/>
  <c r="O131" i="139"/>
  <c r="AJ131" i="139"/>
  <c r="AK131" i="139"/>
  <c r="O132" i="139"/>
  <c r="AK132" i="139"/>
  <c r="O133" i="139"/>
  <c r="AE133" i="139"/>
  <c r="AI133" i="139"/>
  <c r="AK133" i="139"/>
  <c r="O134" i="139"/>
  <c r="AE134" i="139"/>
  <c r="AI134" i="139"/>
  <c r="AK134" i="139"/>
  <c r="O135" i="139"/>
  <c r="AK135" i="139"/>
  <c r="O136" i="139"/>
  <c r="AJ136" i="139" s="1"/>
  <c r="AK136" i="139"/>
  <c r="O137" i="139"/>
  <c r="AK137" i="139"/>
  <c r="O138" i="139"/>
  <c r="AE138" i="139"/>
  <c r="AI138" i="139"/>
  <c r="AK138" i="139"/>
  <c r="O139" i="139"/>
  <c r="AE139" i="139"/>
  <c r="AI139" i="139"/>
  <c r="AK139" i="139"/>
  <c r="O140" i="139"/>
  <c r="AE140" i="139"/>
  <c r="AI140" i="139"/>
  <c r="AK140" i="139"/>
  <c r="O141" i="139"/>
  <c r="AE141" i="139"/>
  <c r="AI141" i="139"/>
  <c r="AK141" i="139"/>
  <c r="O142" i="139"/>
  <c r="AE142" i="139"/>
  <c r="AJ142" i="139" s="1"/>
  <c r="AI142" i="139"/>
  <c r="AK142" i="139"/>
  <c r="O143" i="139"/>
  <c r="AE143" i="139"/>
  <c r="AI143" i="139"/>
  <c r="AK143" i="139"/>
  <c r="O144" i="139"/>
  <c r="AE144" i="139"/>
  <c r="AI144" i="139"/>
  <c r="AK144" i="139"/>
  <c r="O145" i="139"/>
  <c r="AE145" i="139"/>
  <c r="AI145" i="139"/>
  <c r="AK145" i="139"/>
  <c r="O146" i="139"/>
  <c r="AE146" i="139"/>
  <c r="AI146" i="139"/>
  <c r="AK146" i="139"/>
  <c r="O147" i="139"/>
  <c r="AE147" i="139"/>
  <c r="AI147" i="139"/>
  <c r="AK147" i="139"/>
  <c r="O148" i="139"/>
  <c r="AE148" i="139"/>
  <c r="AI148" i="139"/>
  <c r="AK148" i="139"/>
  <c r="O149" i="139"/>
  <c r="AE149" i="139"/>
  <c r="AI149" i="139"/>
  <c r="AK149" i="139"/>
  <c r="O150" i="139"/>
  <c r="AE150" i="139"/>
  <c r="AI150" i="139"/>
  <c r="AK150" i="139"/>
  <c r="O151" i="139"/>
  <c r="AE151" i="139"/>
  <c r="AI151" i="139"/>
  <c r="AK151" i="139"/>
  <c r="O152" i="139"/>
  <c r="AE152" i="139"/>
  <c r="AI152" i="139"/>
  <c r="AK152" i="139"/>
  <c r="O153" i="139"/>
  <c r="AE153" i="139"/>
  <c r="AI153" i="139"/>
  <c r="AK153" i="139"/>
  <c r="O154" i="139"/>
  <c r="AE154" i="139"/>
  <c r="AI154" i="139"/>
  <c r="AK154" i="139"/>
  <c r="O155" i="139"/>
  <c r="AE155" i="139"/>
  <c r="AI155" i="139"/>
  <c r="AK155" i="139"/>
  <c r="O156" i="139"/>
  <c r="AE156" i="139"/>
  <c r="AI156" i="139"/>
  <c r="AK156" i="139"/>
  <c r="O157" i="139"/>
  <c r="AE157" i="139"/>
  <c r="AI157" i="139"/>
  <c r="AK157" i="139"/>
  <c r="O158" i="139"/>
  <c r="AK158" i="139"/>
  <c r="O159" i="139"/>
  <c r="AJ159" i="139"/>
  <c r="AK159" i="139"/>
  <c r="O160" i="139"/>
  <c r="AJ160" i="139"/>
  <c r="AK160" i="139"/>
  <c r="O161" i="139"/>
  <c r="AE161" i="139"/>
  <c r="AI161" i="139"/>
  <c r="AK161" i="139"/>
  <c r="O162" i="139"/>
  <c r="AK162" i="139"/>
  <c r="O163" i="139"/>
  <c r="AJ163" i="139" s="1"/>
  <c r="AL163" i="139" s="1"/>
  <c r="AK163" i="139"/>
  <c r="O164" i="139"/>
  <c r="AK164" i="139"/>
  <c r="O165" i="139"/>
  <c r="AE165" i="139"/>
  <c r="AI165" i="139"/>
  <c r="AK165" i="139"/>
  <c r="O166" i="139"/>
  <c r="AE166" i="139"/>
  <c r="AI166" i="139"/>
  <c r="AK166" i="139"/>
  <c r="O167" i="139"/>
  <c r="AE167" i="139"/>
  <c r="AI167" i="139"/>
  <c r="AK167" i="139"/>
  <c r="O168" i="139"/>
  <c r="AE168" i="139"/>
  <c r="AI168" i="139"/>
  <c r="AK168" i="139"/>
  <c r="O169" i="139"/>
  <c r="AE169" i="139"/>
  <c r="AI169" i="139"/>
  <c r="AK169" i="139"/>
  <c r="O170" i="139"/>
  <c r="AE170" i="139"/>
  <c r="AI170" i="139"/>
  <c r="AK170" i="139"/>
  <c r="O171" i="139"/>
  <c r="AE171" i="139"/>
  <c r="AI171" i="139"/>
  <c r="AK171" i="139"/>
  <c r="O172" i="139"/>
  <c r="AE172" i="139"/>
  <c r="AI172" i="139"/>
  <c r="AK172" i="139"/>
  <c r="O173" i="139"/>
  <c r="AE173" i="139"/>
  <c r="AI173" i="139"/>
  <c r="AK173" i="139"/>
  <c r="O174" i="139"/>
  <c r="AE174" i="139"/>
  <c r="AI174" i="139"/>
  <c r="AK174" i="139"/>
  <c r="O175" i="139"/>
  <c r="AE175" i="139"/>
  <c r="AI175" i="139"/>
  <c r="AK175" i="139"/>
  <c r="O176" i="139"/>
  <c r="AE176" i="139"/>
  <c r="AI176" i="139"/>
  <c r="AK176" i="139"/>
  <c r="O177" i="139"/>
  <c r="AE177" i="139"/>
  <c r="AI177" i="139"/>
  <c r="AK177" i="139"/>
  <c r="O178" i="139"/>
  <c r="AE178" i="139"/>
  <c r="AI178" i="139"/>
  <c r="AK178" i="139"/>
  <c r="O179" i="139"/>
  <c r="AE179" i="139"/>
  <c r="AI179" i="139"/>
  <c r="AK179" i="139"/>
  <c r="O180" i="139"/>
  <c r="AE180" i="139"/>
  <c r="AI180" i="139"/>
  <c r="AK180" i="139"/>
  <c r="O181" i="139"/>
  <c r="AK181" i="139"/>
  <c r="O182" i="139"/>
  <c r="AE182" i="139"/>
  <c r="AI182" i="139"/>
  <c r="AK182" i="139"/>
  <c r="O183" i="139"/>
  <c r="AE183" i="139"/>
  <c r="AI183" i="139"/>
  <c r="AK183" i="139"/>
  <c r="O184" i="139"/>
  <c r="AE184" i="139"/>
  <c r="AI184" i="139"/>
  <c r="AK184" i="139"/>
  <c r="O185" i="139"/>
  <c r="AE185" i="139"/>
  <c r="AI185" i="139"/>
  <c r="AK185" i="139"/>
  <c r="O186" i="139"/>
  <c r="AE186" i="139"/>
  <c r="AI186" i="139"/>
  <c r="AK186" i="139"/>
  <c r="O187" i="139"/>
  <c r="AE187" i="139"/>
  <c r="AJ187" i="139" s="1"/>
  <c r="AI187" i="139"/>
  <c r="AK187" i="139"/>
  <c r="O188" i="139"/>
  <c r="AE188" i="139"/>
  <c r="AI188" i="139"/>
  <c r="AK188" i="139"/>
  <c r="O189" i="139"/>
  <c r="AE189" i="139"/>
  <c r="AI189" i="139"/>
  <c r="AK189" i="139"/>
  <c r="O190" i="139"/>
  <c r="AJ190" i="139" s="1"/>
  <c r="AK190" i="139"/>
  <c r="O191" i="139"/>
  <c r="AK191" i="139"/>
  <c r="O192" i="139"/>
  <c r="AK192" i="139"/>
  <c r="O193" i="139"/>
  <c r="AE193" i="139"/>
  <c r="AI193" i="139"/>
  <c r="AK193" i="139"/>
  <c r="O194" i="139"/>
  <c r="AE194" i="139"/>
  <c r="AI194" i="139"/>
  <c r="AK194" i="139"/>
  <c r="O195" i="139"/>
  <c r="AK195" i="139"/>
  <c r="O196" i="139"/>
  <c r="AJ196" i="139"/>
  <c r="AK196" i="139"/>
  <c r="O197" i="139"/>
  <c r="AE197" i="139"/>
  <c r="AI197" i="139"/>
  <c r="AK197" i="139"/>
  <c r="O198" i="139"/>
  <c r="AE198" i="139"/>
  <c r="AI198" i="139"/>
  <c r="AK198" i="139"/>
  <c r="O199" i="139"/>
  <c r="AE199" i="139"/>
  <c r="AI199" i="139"/>
  <c r="AK199" i="139"/>
  <c r="O200" i="139"/>
  <c r="AE200" i="139"/>
  <c r="AI200" i="139"/>
  <c r="AK200" i="139"/>
  <c r="O201" i="139"/>
  <c r="AE201" i="139"/>
  <c r="AI201" i="139"/>
  <c r="AK201" i="139"/>
  <c r="O202" i="139"/>
  <c r="AE202" i="139"/>
  <c r="AI202" i="139"/>
  <c r="AK202" i="139"/>
  <c r="O203" i="139"/>
  <c r="AE203" i="139"/>
  <c r="AI203" i="139"/>
  <c r="AK203" i="139"/>
  <c r="O204" i="139"/>
  <c r="AE204" i="139"/>
  <c r="AI204" i="139"/>
  <c r="AK204" i="139"/>
  <c r="O205" i="139"/>
  <c r="AE205" i="139"/>
  <c r="AI205" i="139"/>
  <c r="AK205" i="139"/>
  <c r="O206" i="139"/>
  <c r="AE206" i="139"/>
  <c r="AI206" i="139"/>
  <c r="AK206" i="139"/>
  <c r="O207" i="139"/>
  <c r="AE207" i="139"/>
  <c r="AI207" i="139"/>
  <c r="AK207" i="139"/>
  <c r="O208" i="139"/>
  <c r="AE208" i="139"/>
  <c r="AI208" i="139"/>
  <c r="AK208" i="139"/>
  <c r="O209" i="139"/>
  <c r="AE209" i="139"/>
  <c r="AI209" i="139"/>
  <c r="AK209" i="139"/>
  <c r="O210" i="139"/>
  <c r="AE210" i="139"/>
  <c r="AJ210" i="139" s="1"/>
  <c r="AI210" i="139"/>
  <c r="AK210" i="139"/>
  <c r="O211" i="139"/>
  <c r="AE211" i="139"/>
  <c r="AI211" i="139"/>
  <c r="AK211" i="139"/>
  <c r="O212" i="139"/>
  <c r="AE212" i="139"/>
  <c r="AI212" i="139"/>
  <c r="AK212" i="139"/>
  <c r="O213" i="139"/>
  <c r="AE213" i="139"/>
  <c r="AI213" i="139"/>
  <c r="AK213" i="139"/>
  <c r="O214" i="139"/>
  <c r="AE214" i="139"/>
  <c r="AI214" i="139"/>
  <c r="AK214" i="139"/>
  <c r="O215" i="139"/>
  <c r="AE215" i="139"/>
  <c r="AI215" i="139"/>
  <c r="AK215" i="139"/>
  <c r="O216" i="139"/>
  <c r="AE216" i="139"/>
  <c r="AI216" i="139"/>
  <c r="AK216" i="139"/>
  <c r="O217" i="139"/>
  <c r="AE217" i="139"/>
  <c r="AI217" i="139"/>
  <c r="AK217" i="139"/>
  <c r="O218" i="139"/>
  <c r="AE218" i="139"/>
  <c r="AI218" i="139"/>
  <c r="AK218" i="139"/>
  <c r="O219" i="139"/>
  <c r="AE219" i="139"/>
  <c r="AI219" i="139"/>
  <c r="AK219" i="139"/>
  <c r="O220" i="139"/>
  <c r="AE220" i="139"/>
  <c r="AI220" i="139"/>
  <c r="AK220" i="139"/>
  <c r="O221" i="139"/>
  <c r="AE221" i="139"/>
  <c r="AI221" i="139"/>
  <c r="AK221" i="139"/>
  <c r="O222" i="139"/>
  <c r="AE222" i="139"/>
  <c r="AI222" i="139"/>
  <c r="AK222" i="139"/>
  <c r="O223" i="139"/>
  <c r="AE223" i="139"/>
  <c r="AI223" i="139"/>
  <c r="AK223" i="139"/>
  <c r="O224" i="139"/>
  <c r="AE224" i="139"/>
  <c r="AI224" i="139"/>
  <c r="AK224" i="139"/>
  <c r="O225" i="139"/>
  <c r="AE225" i="139"/>
  <c r="AI225" i="139"/>
  <c r="AK225" i="139"/>
  <c r="O226" i="139"/>
  <c r="AE226" i="139"/>
  <c r="AI226" i="139"/>
  <c r="AK226" i="139"/>
  <c r="O227" i="139"/>
  <c r="AE227" i="139"/>
  <c r="AI227" i="139"/>
  <c r="AK227" i="139"/>
  <c r="O228" i="139"/>
  <c r="AE228" i="139"/>
  <c r="AI228" i="139"/>
  <c r="AK228" i="139"/>
  <c r="O229" i="139"/>
  <c r="AE229" i="139"/>
  <c r="AI229" i="139"/>
  <c r="AK229" i="139"/>
  <c r="O230" i="139"/>
  <c r="AE230" i="139"/>
  <c r="AI230" i="139"/>
  <c r="AK230" i="139"/>
  <c r="O231" i="139"/>
  <c r="AI231" i="139"/>
  <c r="AK231" i="139"/>
  <c r="O232" i="139"/>
  <c r="AE232" i="139"/>
  <c r="AI232" i="139"/>
  <c r="AK232" i="139"/>
  <c r="O233" i="139"/>
  <c r="AE233" i="139"/>
  <c r="AI233" i="139"/>
  <c r="AK233" i="139"/>
  <c r="O234" i="139"/>
  <c r="AE234" i="139"/>
  <c r="AI234" i="139"/>
  <c r="AK234" i="139"/>
  <c r="O235" i="139"/>
  <c r="AE235" i="139"/>
  <c r="AI235" i="139"/>
  <c r="AK235" i="139"/>
  <c r="O236" i="139"/>
  <c r="AE236" i="139"/>
  <c r="AI236" i="139"/>
  <c r="AK236" i="139"/>
  <c r="O237" i="139"/>
  <c r="AE237" i="139"/>
  <c r="AI237" i="139"/>
  <c r="AK237" i="139"/>
  <c r="O238" i="139"/>
  <c r="AE238" i="139"/>
  <c r="AI238" i="139"/>
  <c r="AK238" i="139"/>
  <c r="O239" i="139"/>
  <c r="AE239" i="139"/>
  <c r="AI239" i="139"/>
  <c r="AK239" i="139"/>
  <c r="O240" i="139"/>
  <c r="AE240" i="139"/>
  <c r="AI240" i="139"/>
  <c r="AK240" i="139"/>
  <c r="O241" i="139"/>
  <c r="AJ241" i="139" s="1"/>
  <c r="AK241" i="139"/>
  <c r="O242" i="139"/>
  <c r="AE242" i="139"/>
  <c r="AI242" i="139"/>
  <c r="AK242" i="139"/>
  <c r="O243" i="139"/>
  <c r="AE243" i="139"/>
  <c r="AI243" i="139"/>
  <c r="AK243" i="139"/>
  <c r="O244" i="139"/>
  <c r="AE244" i="139"/>
  <c r="AI244" i="139"/>
  <c r="AK244" i="139"/>
  <c r="O245" i="139"/>
  <c r="AE245" i="139"/>
  <c r="AI245" i="139"/>
  <c r="AK245" i="139"/>
  <c r="O246" i="139"/>
  <c r="AE246" i="139"/>
  <c r="AI246" i="139"/>
  <c r="AK246" i="139"/>
  <c r="O247" i="139"/>
  <c r="AE247" i="139"/>
  <c r="AI247" i="139"/>
  <c r="AK247" i="139"/>
  <c r="O248" i="139"/>
  <c r="AE248" i="139"/>
  <c r="AI248" i="139"/>
  <c r="AK248" i="139"/>
  <c r="O249" i="139"/>
  <c r="AE249" i="139"/>
  <c r="AI249" i="139"/>
  <c r="AK249" i="139"/>
  <c r="O250" i="139"/>
  <c r="AE250" i="139"/>
  <c r="AJ250" i="139" s="1"/>
  <c r="AI250" i="139"/>
  <c r="AK250" i="139"/>
  <c r="O251" i="139"/>
  <c r="AE251" i="139"/>
  <c r="AI251" i="139"/>
  <c r="AK251" i="139"/>
  <c r="O252" i="139"/>
  <c r="AE252" i="139"/>
  <c r="AI252" i="139"/>
  <c r="AK252" i="139"/>
  <c r="O253" i="139"/>
  <c r="AE253" i="139"/>
  <c r="AI253" i="139"/>
  <c r="AK253" i="139"/>
  <c r="O254" i="139"/>
  <c r="AE254" i="139"/>
  <c r="AI254" i="139"/>
  <c r="AK254" i="139"/>
  <c r="O255" i="139"/>
  <c r="AE255" i="139"/>
  <c r="AI255" i="139"/>
  <c r="AK255" i="139"/>
  <c r="O256" i="139"/>
  <c r="AE256" i="139"/>
  <c r="AJ256" i="139" s="1"/>
  <c r="AI256" i="139"/>
  <c r="AK256" i="139"/>
  <c r="O257" i="139"/>
  <c r="AE257" i="139"/>
  <c r="AI257" i="139"/>
  <c r="AK257" i="139"/>
  <c r="O258" i="139"/>
  <c r="AE258" i="139"/>
  <c r="AI258" i="139"/>
  <c r="AK258" i="139"/>
  <c r="O259" i="139"/>
  <c r="AE259" i="139"/>
  <c r="AI259" i="139"/>
  <c r="AK259" i="139"/>
  <c r="O260" i="139"/>
  <c r="AE260" i="139"/>
  <c r="AI260" i="139"/>
  <c r="AK260" i="139"/>
  <c r="O261" i="139"/>
  <c r="AE261" i="139"/>
  <c r="AI261" i="139"/>
  <c r="AK261" i="139"/>
  <c r="O262" i="139"/>
  <c r="AE262" i="139"/>
  <c r="AI262" i="139"/>
  <c r="AK262" i="139"/>
  <c r="O263" i="139"/>
  <c r="AE263" i="139"/>
  <c r="AI263" i="139"/>
  <c r="AK263" i="139"/>
  <c r="O264" i="139"/>
  <c r="AE264" i="139"/>
  <c r="AI264" i="139"/>
  <c r="AK264" i="139"/>
  <c r="O265" i="139"/>
  <c r="AE265" i="139"/>
  <c r="AI265" i="139"/>
  <c r="AK265" i="139"/>
  <c r="O266" i="139"/>
  <c r="AE266" i="139"/>
  <c r="AI266" i="139"/>
  <c r="AK266" i="139"/>
  <c r="O267" i="139"/>
  <c r="AK267" i="139"/>
  <c r="O268" i="139"/>
  <c r="AK268" i="139"/>
  <c r="O269" i="139"/>
  <c r="AK269" i="139"/>
  <c r="O270" i="139"/>
  <c r="AE270" i="139"/>
  <c r="AI270" i="139"/>
  <c r="AK270" i="139"/>
  <c r="O271" i="139"/>
  <c r="AE271" i="139"/>
  <c r="AI271" i="139"/>
  <c r="AK271" i="139"/>
  <c r="O272" i="139"/>
  <c r="AJ272" i="139" s="1"/>
  <c r="AK272" i="139"/>
  <c r="O273" i="139"/>
  <c r="AJ273" i="139"/>
  <c r="AK273" i="139"/>
  <c r="O274" i="139"/>
  <c r="AJ274" i="139" s="1"/>
  <c r="AK274" i="139"/>
  <c r="O275" i="139"/>
  <c r="AE275" i="139"/>
  <c r="AI275" i="139"/>
  <c r="AK275" i="139"/>
  <c r="O276" i="139"/>
  <c r="AE276" i="139"/>
  <c r="AI276" i="139"/>
  <c r="AK276" i="139"/>
  <c r="O277" i="139"/>
  <c r="AE277" i="139"/>
  <c r="AI277" i="139"/>
  <c r="AK277" i="139"/>
  <c r="O278" i="139"/>
  <c r="AE278" i="139"/>
  <c r="AI278" i="139"/>
  <c r="AK278" i="139"/>
  <c r="O279" i="139"/>
  <c r="AE279" i="139"/>
  <c r="AI279" i="139"/>
  <c r="AK279" i="139"/>
  <c r="O280" i="139"/>
  <c r="AE280" i="139"/>
  <c r="AI280" i="139"/>
  <c r="AK280" i="139"/>
  <c r="O281" i="139"/>
  <c r="AE281" i="139"/>
  <c r="AI281" i="139"/>
  <c r="AK281" i="139"/>
  <c r="O282" i="139"/>
  <c r="AE282" i="139"/>
  <c r="AI282" i="139"/>
  <c r="AK282" i="139"/>
  <c r="O283" i="139"/>
  <c r="AE283" i="139"/>
  <c r="AI283" i="139"/>
  <c r="AK283" i="139"/>
  <c r="O284" i="139"/>
  <c r="AE284" i="139"/>
  <c r="AI284" i="139"/>
  <c r="AK284" i="139"/>
  <c r="O285" i="139"/>
  <c r="AE285" i="139"/>
  <c r="AI285" i="139"/>
  <c r="AK285" i="139"/>
  <c r="O286" i="139"/>
  <c r="AK286" i="139"/>
  <c r="O287" i="139"/>
  <c r="AJ287" i="139" s="1"/>
  <c r="AK287" i="139"/>
  <c r="O288" i="139"/>
  <c r="AJ288" i="139" s="1"/>
  <c r="AK288" i="139"/>
  <c r="O289" i="139"/>
  <c r="AE289" i="139"/>
  <c r="AI289" i="139"/>
  <c r="AK289" i="139"/>
  <c r="O290" i="139"/>
  <c r="AE290" i="139"/>
  <c r="AI290" i="139"/>
  <c r="AK290" i="139"/>
  <c r="O291" i="139"/>
  <c r="AJ291" i="139"/>
  <c r="AK291" i="139"/>
  <c r="O292" i="139"/>
  <c r="AJ292" i="139"/>
  <c r="AK292" i="139"/>
  <c r="O293" i="139"/>
  <c r="AK293" i="139"/>
  <c r="O294" i="139"/>
  <c r="AK294" i="139"/>
  <c r="O295" i="139"/>
  <c r="AK295" i="139"/>
  <c r="O296" i="139"/>
  <c r="AE296" i="139"/>
  <c r="AI296" i="139"/>
  <c r="AK296" i="139"/>
  <c r="O297" i="139"/>
  <c r="AE297" i="139"/>
  <c r="AI297" i="139"/>
  <c r="AK297" i="139"/>
  <c r="O298" i="139"/>
  <c r="AE298" i="139"/>
  <c r="AI298" i="139"/>
  <c r="AK298" i="139"/>
  <c r="O299" i="139"/>
  <c r="AE299" i="139"/>
  <c r="AI299" i="139"/>
  <c r="AK299" i="139"/>
  <c r="O300" i="139"/>
  <c r="AE300" i="139"/>
  <c r="AI300" i="139"/>
  <c r="AK300" i="139"/>
  <c r="O301" i="139"/>
  <c r="AE301" i="139"/>
  <c r="AI301" i="139"/>
  <c r="AK301" i="139"/>
  <c r="O302" i="139"/>
  <c r="AE302" i="139"/>
  <c r="AI302" i="139"/>
  <c r="AK302" i="139"/>
  <c r="O303" i="139"/>
  <c r="AE303" i="139"/>
  <c r="AI303" i="139"/>
  <c r="AK303" i="139"/>
  <c r="O304" i="139"/>
  <c r="AE304" i="139"/>
  <c r="AI304" i="139"/>
  <c r="AK304" i="139"/>
  <c r="O305" i="139"/>
  <c r="AE305" i="139"/>
  <c r="AI305" i="139"/>
  <c r="AK305" i="139"/>
  <c r="O306" i="139"/>
  <c r="AE306" i="139"/>
  <c r="AI306" i="139"/>
  <c r="AK306" i="139"/>
  <c r="O307" i="139"/>
  <c r="AE307" i="139"/>
  <c r="AI307" i="139"/>
  <c r="AK307" i="139"/>
  <c r="O308" i="139"/>
  <c r="AE308" i="139"/>
  <c r="AI308" i="139"/>
  <c r="AK308" i="139"/>
  <c r="O309" i="139"/>
  <c r="AE309" i="139"/>
  <c r="AI309" i="139"/>
  <c r="AK309" i="139"/>
  <c r="O310" i="139"/>
  <c r="AE310" i="139"/>
  <c r="AI310" i="139"/>
  <c r="AK310" i="139"/>
  <c r="O311" i="139"/>
  <c r="AE311" i="139"/>
  <c r="AI311" i="139"/>
  <c r="AK311" i="139"/>
  <c r="O312" i="139"/>
  <c r="AE312" i="139"/>
  <c r="AI312" i="139"/>
  <c r="AK312" i="139"/>
  <c r="O313" i="139"/>
  <c r="AE313" i="139"/>
  <c r="AI313" i="139"/>
  <c r="AK313" i="139"/>
  <c r="O314" i="139"/>
  <c r="AE314" i="139"/>
  <c r="AI314" i="139"/>
  <c r="AK314" i="139"/>
  <c r="O315" i="139"/>
  <c r="AE315" i="139"/>
  <c r="AI315" i="139"/>
  <c r="AK315" i="139"/>
  <c r="O316" i="139"/>
  <c r="AE316" i="139"/>
  <c r="AI316" i="139"/>
  <c r="AK316" i="139"/>
  <c r="O317" i="139"/>
  <c r="AE317" i="139"/>
  <c r="AI317" i="139"/>
  <c r="AK317" i="139"/>
  <c r="O318" i="139"/>
  <c r="AE318" i="139"/>
  <c r="AI318" i="139"/>
  <c r="AK318" i="139"/>
  <c r="O319" i="139"/>
  <c r="AE319" i="139"/>
  <c r="AI319" i="139"/>
  <c r="AK319" i="139"/>
  <c r="O320" i="139"/>
  <c r="AE320" i="139"/>
  <c r="AI320" i="139"/>
  <c r="AK320" i="139"/>
  <c r="O321" i="139"/>
  <c r="AE321" i="139"/>
  <c r="AI321" i="139"/>
  <c r="AK321" i="139"/>
  <c r="O322" i="139"/>
  <c r="AJ322" i="139" s="1"/>
  <c r="AK322" i="139"/>
  <c r="O323" i="139"/>
  <c r="AK323" i="139"/>
  <c r="O324" i="139"/>
  <c r="AK324" i="139"/>
  <c r="O325" i="139"/>
  <c r="AK325" i="139"/>
  <c r="O326" i="139"/>
  <c r="AI326" i="139"/>
  <c r="AK326" i="139"/>
  <c r="O327" i="139"/>
  <c r="AI327" i="139"/>
  <c r="AK327" i="139"/>
  <c r="O328" i="139"/>
  <c r="AE328" i="139"/>
  <c r="AI328" i="139"/>
  <c r="AK328" i="139"/>
  <c r="O329" i="139"/>
  <c r="AE329" i="139"/>
  <c r="AI329" i="139"/>
  <c r="AK329" i="139"/>
  <c r="O330" i="139"/>
  <c r="AE330" i="139"/>
  <c r="AI330" i="139"/>
  <c r="AK330" i="139"/>
  <c r="O331" i="139"/>
  <c r="AE331" i="139"/>
  <c r="AI331" i="139"/>
  <c r="AK331" i="139"/>
  <c r="O332" i="139"/>
  <c r="AE332" i="139"/>
  <c r="AI332" i="139"/>
  <c r="AK332" i="139"/>
  <c r="O333" i="139"/>
  <c r="AE333" i="139"/>
  <c r="AI333" i="139"/>
  <c r="AK333" i="139"/>
  <c r="O334" i="139"/>
  <c r="AE334" i="139"/>
  <c r="AI334" i="139"/>
  <c r="AK334" i="139"/>
  <c r="O335" i="139"/>
  <c r="AE335" i="139"/>
  <c r="AI335" i="139"/>
  <c r="AK335" i="139"/>
  <c r="O336" i="139"/>
  <c r="AE336" i="139"/>
  <c r="AI336" i="139"/>
  <c r="AK336" i="139"/>
  <c r="O337" i="139"/>
  <c r="AE337" i="139"/>
  <c r="AI337" i="139"/>
  <c r="AK337" i="139"/>
  <c r="O338" i="139"/>
  <c r="AE338" i="139"/>
  <c r="AI338" i="139"/>
  <c r="AK338" i="139"/>
  <c r="AE339" i="139"/>
  <c r="AI339" i="139"/>
  <c r="AK339" i="139"/>
  <c r="AE340" i="139"/>
  <c r="AI340" i="139"/>
  <c r="AK340" i="139"/>
  <c r="AE341" i="139"/>
  <c r="AI341" i="139"/>
  <c r="AK341" i="139"/>
  <c r="AE342" i="139"/>
  <c r="AI342" i="139"/>
  <c r="AK342" i="139"/>
  <c r="AE343" i="139"/>
  <c r="AI343" i="139"/>
  <c r="AK343" i="139"/>
  <c r="AE344" i="139"/>
  <c r="AI344" i="139"/>
  <c r="AK344" i="139"/>
  <c r="O345" i="139"/>
  <c r="AE345" i="139"/>
  <c r="AI345" i="139"/>
  <c r="AK345" i="139"/>
  <c r="O346" i="139"/>
  <c r="AE346" i="139"/>
  <c r="AI346" i="139"/>
  <c r="AK346" i="139"/>
  <c r="AK347" i="139"/>
  <c r="AJ348" i="139"/>
  <c r="AK348" i="139"/>
  <c r="AJ349" i="139"/>
  <c r="AK349" i="139"/>
  <c r="O350" i="139"/>
  <c r="AE350" i="139"/>
  <c r="AI350" i="139"/>
  <c r="AK350" i="139"/>
  <c r="O351" i="139"/>
  <c r="AE351" i="139"/>
  <c r="AI351" i="139"/>
  <c r="AK351" i="139"/>
  <c r="O352" i="139"/>
  <c r="AE352" i="139"/>
  <c r="AI352" i="139"/>
  <c r="AK352" i="139"/>
  <c r="O353" i="139"/>
  <c r="AE353" i="139"/>
  <c r="AI353" i="139"/>
  <c r="AK353" i="139"/>
  <c r="O354" i="139"/>
  <c r="AE354" i="139"/>
  <c r="AI354" i="139"/>
  <c r="AK354" i="139"/>
  <c r="AE355" i="139"/>
  <c r="AI355" i="139"/>
  <c r="AK355" i="139"/>
  <c r="AE356" i="139"/>
  <c r="AI356" i="139"/>
  <c r="AK356" i="139"/>
  <c r="AE357" i="139"/>
  <c r="AI357" i="139"/>
  <c r="AK357" i="139"/>
  <c r="O358" i="139"/>
  <c r="AE358" i="139"/>
  <c r="AI358" i="139"/>
  <c r="AK358" i="139"/>
  <c r="O359" i="139"/>
  <c r="AE359" i="139"/>
  <c r="AI359" i="139"/>
  <c r="AK359" i="139"/>
  <c r="O360" i="139"/>
  <c r="AE360" i="139"/>
  <c r="AI360" i="139"/>
  <c r="AK360" i="139"/>
  <c r="O361" i="139"/>
  <c r="AE361" i="139"/>
  <c r="AI361" i="139"/>
  <c r="AK361" i="139"/>
  <c r="O362" i="139"/>
  <c r="AE362" i="139"/>
  <c r="AI362" i="139"/>
  <c r="AK362" i="139"/>
  <c r="O363" i="139"/>
  <c r="AE363" i="139"/>
  <c r="AI363" i="139"/>
  <c r="AK363" i="139"/>
  <c r="O364" i="139"/>
  <c r="AE364" i="139"/>
  <c r="AI364" i="139"/>
  <c r="AK364" i="139"/>
  <c r="O365" i="139"/>
  <c r="AE365" i="139"/>
  <c r="AI365" i="139"/>
  <c r="AK365" i="139"/>
  <c r="O366" i="139"/>
  <c r="AE366" i="139"/>
  <c r="AI366" i="139"/>
  <c r="AK366" i="139"/>
  <c r="O367" i="139"/>
  <c r="AE367" i="139"/>
  <c r="AI367" i="139"/>
  <c r="AK367" i="139"/>
  <c r="O368" i="139"/>
  <c r="AE368" i="139"/>
  <c r="AI368" i="139"/>
  <c r="AK368" i="139"/>
  <c r="O369" i="139"/>
  <c r="AE369" i="139"/>
  <c r="AI369" i="139"/>
  <c r="AK369" i="139"/>
  <c r="O370" i="139"/>
  <c r="AE370" i="139"/>
  <c r="AI370" i="139"/>
  <c r="AK370" i="139"/>
  <c r="O371" i="139"/>
  <c r="AE371" i="139"/>
  <c r="AI371" i="139"/>
  <c r="AK371" i="139"/>
  <c r="O372" i="139"/>
  <c r="AE372" i="139"/>
  <c r="AI372" i="139"/>
  <c r="AK372" i="139"/>
  <c r="O373" i="139"/>
  <c r="AE373" i="139"/>
  <c r="AI373" i="139"/>
  <c r="AK373" i="139"/>
  <c r="O374" i="139"/>
  <c r="AE374" i="139"/>
  <c r="AI374" i="139"/>
  <c r="AK374" i="139"/>
  <c r="O375" i="139"/>
  <c r="AE375" i="139"/>
  <c r="AI375" i="139"/>
  <c r="AK375" i="139"/>
  <c r="O376" i="139"/>
  <c r="AE376" i="139"/>
  <c r="AI376" i="139"/>
  <c r="AK376" i="139"/>
  <c r="O377" i="139"/>
  <c r="AE377" i="139"/>
  <c r="AI377" i="139"/>
  <c r="AK377" i="139"/>
  <c r="O378" i="139"/>
  <c r="AE378" i="139"/>
  <c r="AI378" i="139"/>
  <c r="AK378" i="139"/>
  <c r="AI379" i="139"/>
  <c r="AK379" i="139"/>
  <c r="AI380" i="139"/>
  <c r="AJ380" i="139" s="1"/>
  <c r="AL380" i="139" s="1"/>
  <c r="AK380" i="139"/>
  <c r="AI381" i="139"/>
  <c r="AK381" i="139"/>
  <c r="O382" i="139"/>
  <c r="AE382" i="139"/>
  <c r="AI382" i="139"/>
  <c r="AK382" i="139"/>
  <c r="O383" i="139"/>
  <c r="AE383" i="139"/>
  <c r="AI383" i="139"/>
  <c r="AK383" i="139"/>
  <c r="O384" i="139"/>
  <c r="AE384" i="139"/>
  <c r="AI384" i="139"/>
  <c r="AK384" i="139"/>
  <c r="O385" i="139"/>
  <c r="AE385" i="139"/>
  <c r="AI385" i="139"/>
  <c r="AK385" i="139"/>
  <c r="O386" i="139"/>
  <c r="AE386" i="139"/>
  <c r="AI386" i="139"/>
  <c r="AK386" i="139"/>
  <c r="O387" i="139"/>
  <c r="AE387" i="139"/>
  <c r="AI387" i="139"/>
  <c r="AK387" i="139"/>
  <c r="O388" i="139"/>
  <c r="AE388" i="139"/>
  <c r="AI388" i="139"/>
  <c r="AK388" i="139"/>
  <c r="O389" i="139"/>
  <c r="AE389" i="139"/>
  <c r="AI389" i="139"/>
  <c r="AK389" i="139"/>
  <c r="O390" i="139"/>
  <c r="AE390" i="139"/>
  <c r="AI390" i="139"/>
  <c r="AK390" i="139"/>
  <c r="O391" i="139"/>
  <c r="AE391" i="139"/>
  <c r="AI391" i="139"/>
  <c r="AK391" i="139"/>
  <c r="O392" i="139"/>
  <c r="AE392" i="139"/>
  <c r="AI392" i="139"/>
  <c r="AK392" i="139"/>
  <c r="O393" i="139"/>
  <c r="AE393" i="139"/>
  <c r="AI393" i="139"/>
  <c r="AK393" i="139"/>
  <c r="O394" i="139"/>
  <c r="AE394" i="139"/>
  <c r="AI394" i="139"/>
  <c r="AK394" i="139"/>
  <c r="O395" i="139"/>
  <c r="AE395" i="139"/>
  <c r="AI395" i="139"/>
  <c r="AK395" i="139"/>
  <c r="O396" i="139"/>
  <c r="AE396" i="139"/>
  <c r="AI396" i="139"/>
  <c r="AK396" i="139"/>
  <c r="O397" i="139"/>
  <c r="AE397" i="139"/>
  <c r="AI397" i="139"/>
  <c r="AK397" i="139"/>
  <c r="O398" i="139"/>
  <c r="AE398" i="139"/>
  <c r="AI398" i="139"/>
  <c r="AK398" i="139"/>
  <c r="O399" i="139"/>
  <c r="AE399" i="139"/>
  <c r="AI399" i="139"/>
  <c r="AK399" i="139"/>
  <c r="O400" i="139"/>
  <c r="AE400" i="139"/>
  <c r="AI400" i="139"/>
  <c r="AK400" i="139"/>
  <c r="O401" i="139"/>
  <c r="AE401" i="139"/>
  <c r="AI401" i="139"/>
  <c r="AK401" i="139"/>
  <c r="O402" i="139"/>
  <c r="AE402" i="139"/>
  <c r="AI402" i="139"/>
  <c r="AK402" i="139"/>
  <c r="O403" i="139"/>
  <c r="AE403" i="139"/>
  <c r="AI403" i="139"/>
  <c r="AK403" i="139"/>
  <c r="O404" i="139"/>
  <c r="AE404" i="139"/>
  <c r="AI404" i="139"/>
  <c r="AK404" i="139"/>
  <c r="O405" i="139"/>
  <c r="AE405" i="139"/>
  <c r="AI405" i="139"/>
  <c r="AK405" i="139"/>
  <c r="O406" i="139"/>
  <c r="AE406" i="139"/>
  <c r="AI406" i="139"/>
  <c r="AK406" i="139"/>
  <c r="O407" i="139"/>
  <c r="AE407" i="139"/>
  <c r="AI407" i="139"/>
  <c r="AK407" i="139"/>
  <c r="O408" i="139"/>
  <c r="AE408" i="139"/>
  <c r="AI408" i="139"/>
  <c r="AK408" i="139"/>
  <c r="O409" i="139"/>
  <c r="AE409" i="139"/>
  <c r="AI409" i="139"/>
  <c r="AK409" i="139"/>
  <c r="O410" i="139"/>
  <c r="AE410" i="139"/>
  <c r="AI410" i="139"/>
  <c r="AK410" i="139"/>
  <c r="O411" i="139"/>
  <c r="AE411" i="139"/>
  <c r="AI411" i="139"/>
  <c r="AK411" i="139"/>
  <c r="O412" i="139"/>
  <c r="AE412" i="139"/>
  <c r="AI412" i="139"/>
  <c r="AK412" i="139"/>
  <c r="O413" i="139"/>
  <c r="AE413" i="139"/>
  <c r="AI413" i="139"/>
  <c r="AK413" i="139"/>
  <c r="O414" i="139"/>
  <c r="AE414" i="139"/>
  <c r="AI414" i="139"/>
  <c r="AK414" i="139"/>
  <c r="O415" i="139"/>
  <c r="AE415" i="139"/>
  <c r="AI415" i="139"/>
  <c r="AK415" i="139"/>
  <c r="O416" i="139"/>
  <c r="AE416" i="139"/>
  <c r="AI416" i="139"/>
  <c r="AK416" i="139"/>
  <c r="O417" i="139"/>
  <c r="AE417" i="139"/>
  <c r="AI417" i="139"/>
  <c r="AK417" i="139"/>
  <c r="O418" i="139"/>
  <c r="AE418" i="139"/>
  <c r="AI418" i="139"/>
  <c r="AK418" i="139"/>
  <c r="O419" i="139"/>
  <c r="AE419" i="139"/>
  <c r="AI419" i="139"/>
  <c r="AK419" i="139"/>
  <c r="O420" i="139"/>
  <c r="AE420" i="139"/>
  <c r="AI420" i="139"/>
  <c r="AK420" i="139"/>
  <c r="O421" i="139"/>
  <c r="AE421" i="139"/>
  <c r="AI421" i="139"/>
  <c r="AK421" i="139"/>
  <c r="O422" i="139"/>
  <c r="AE422" i="139"/>
  <c r="AI422" i="139"/>
  <c r="AK422" i="139"/>
  <c r="O423" i="139"/>
  <c r="AE423" i="139"/>
  <c r="AI423" i="139"/>
  <c r="AK423" i="139"/>
  <c r="O424" i="139"/>
  <c r="AE424" i="139"/>
  <c r="AI424" i="139"/>
  <c r="AK424" i="139"/>
  <c r="O425" i="139"/>
  <c r="AE425" i="139"/>
  <c r="AI425" i="139"/>
  <c r="AK425" i="139"/>
  <c r="O426" i="139"/>
  <c r="AE426" i="139"/>
  <c r="AI426" i="139"/>
  <c r="AK426" i="139"/>
  <c r="AI427" i="139"/>
  <c r="AJ427" i="139" s="1"/>
  <c r="AK427" i="139"/>
  <c r="O428" i="139"/>
  <c r="AE428" i="139"/>
  <c r="AI428" i="139"/>
  <c r="AK428" i="139"/>
  <c r="O429" i="139"/>
  <c r="AE429" i="139"/>
  <c r="AI429" i="139"/>
  <c r="AK429" i="139"/>
  <c r="O430" i="139"/>
  <c r="AE430" i="139"/>
  <c r="AI430" i="139"/>
  <c r="AK430" i="139"/>
  <c r="O431" i="139"/>
  <c r="AE431" i="139"/>
  <c r="AI431" i="139"/>
  <c r="AK431" i="139"/>
  <c r="O432" i="139"/>
  <c r="AE432" i="139"/>
  <c r="AI432" i="139"/>
  <c r="AK432" i="139"/>
  <c r="AJ433" i="139"/>
  <c r="AK433" i="139"/>
  <c r="AK434" i="139"/>
  <c r="AK435" i="139"/>
  <c r="O436" i="139"/>
  <c r="AE436" i="139"/>
  <c r="AI436" i="139"/>
  <c r="AK436" i="139"/>
  <c r="O437" i="139"/>
  <c r="AE437" i="139"/>
  <c r="AI437" i="139"/>
  <c r="AK437" i="139"/>
  <c r="O438" i="139"/>
  <c r="AE438" i="139"/>
  <c r="AI438" i="139"/>
  <c r="AK438" i="139"/>
  <c r="O439" i="139"/>
  <c r="AE439" i="139"/>
  <c r="AI439" i="139"/>
  <c r="AK439" i="139"/>
  <c r="O440" i="139"/>
  <c r="AE440" i="139"/>
  <c r="AI440" i="139"/>
  <c r="AK440" i="139"/>
  <c r="O441" i="139"/>
  <c r="AE441" i="139"/>
  <c r="AI441" i="139"/>
  <c r="AK441" i="139"/>
  <c r="O442" i="139"/>
  <c r="AE442" i="139"/>
  <c r="AI442" i="139"/>
  <c r="AK442" i="139"/>
  <c r="O443" i="139"/>
  <c r="AE443" i="139"/>
  <c r="AI443" i="139"/>
  <c r="AK443" i="139"/>
  <c r="O444" i="139"/>
  <c r="AE444" i="139"/>
  <c r="AI444" i="139"/>
  <c r="AK444" i="139"/>
  <c r="O445" i="139"/>
  <c r="AE445" i="139"/>
  <c r="AI445" i="139"/>
  <c r="AK445" i="139"/>
  <c r="O446" i="139"/>
  <c r="AE446" i="139"/>
  <c r="AI446" i="139"/>
  <c r="AK446" i="139"/>
  <c r="O447" i="139"/>
  <c r="AE447" i="139"/>
  <c r="AI447" i="139"/>
  <c r="AK447" i="139"/>
  <c r="O448" i="139"/>
  <c r="AE448" i="139"/>
  <c r="AI448" i="139"/>
  <c r="AK448" i="139"/>
  <c r="O449" i="139"/>
  <c r="AE449" i="139"/>
  <c r="AI449" i="139"/>
  <c r="AK449" i="139"/>
  <c r="O450" i="139"/>
  <c r="AE450" i="139"/>
  <c r="AI450" i="139"/>
  <c r="AK450" i="139"/>
  <c r="O451" i="139"/>
  <c r="AE451" i="139"/>
  <c r="AI451" i="139"/>
  <c r="AK451" i="139"/>
  <c r="O452" i="139"/>
  <c r="AE452" i="139"/>
  <c r="AI452" i="139"/>
  <c r="AK452" i="139"/>
  <c r="O453" i="139"/>
  <c r="AE453" i="139"/>
  <c r="AI453" i="139"/>
  <c r="AK453" i="139"/>
  <c r="O454" i="139"/>
  <c r="AE454" i="139"/>
  <c r="AI454" i="139"/>
  <c r="AK454" i="139"/>
  <c r="O455" i="139"/>
  <c r="AE455" i="139"/>
  <c r="AI455" i="139"/>
  <c r="AK455" i="139"/>
  <c r="O456" i="139"/>
  <c r="AE456" i="139"/>
  <c r="AI456" i="139"/>
  <c r="AK456" i="139"/>
  <c r="O457" i="139"/>
  <c r="AE457" i="139"/>
  <c r="AI457" i="139"/>
  <c r="AK457" i="139"/>
  <c r="O458" i="139"/>
  <c r="AE458" i="139"/>
  <c r="AI458" i="139"/>
  <c r="AK458" i="139"/>
  <c r="O459" i="139"/>
  <c r="AE459" i="139"/>
  <c r="AI459" i="139"/>
  <c r="AK459" i="139"/>
  <c r="O460" i="139"/>
  <c r="AE460" i="139"/>
  <c r="AI460" i="139"/>
  <c r="AK460" i="139"/>
  <c r="O461" i="139"/>
  <c r="AE461" i="139"/>
  <c r="AI461" i="139"/>
  <c r="AK461" i="139"/>
  <c r="O462" i="139"/>
  <c r="AE462" i="139"/>
  <c r="AI462" i="139"/>
  <c r="AK462" i="139"/>
  <c r="O463" i="139"/>
  <c r="AE463" i="139"/>
  <c r="AI463" i="139"/>
  <c r="AK463" i="139"/>
  <c r="O464" i="139"/>
  <c r="AE464" i="139"/>
  <c r="AI464" i="139"/>
  <c r="AK464" i="139"/>
  <c r="O465" i="139"/>
  <c r="AE465" i="139"/>
  <c r="AI465" i="139"/>
  <c r="AK465" i="139"/>
  <c r="O466" i="139"/>
  <c r="AE466" i="139"/>
  <c r="AI466" i="139"/>
  <c r="AK466" i="139"/>
  <c r="AK467" i="139"/>
  <c r="AK468" i="139"/>
  <c r="O469" i="139"/>
  <c r="AE469" i="139"/>
  <c r="AI469" i="139"/>
  <c r="AK469" i="139"/>
  <c r="O470" i="139"/>
  <c r="AE470" i="139"/>
  <c r="AI470" i="139"/>
  <c r="AK470" i="139"/>
  <c r="O471" i="139"/>
  <c r="AE471" i="139"/>
  <c r="AI471" i="139"/>
  <c r="AK471" i="139"/>
  <c r="O472" i="139"/>
  <c r="AE472" i="139"/>
  <c r="AI472" i="139"/>
  <c r="AK472" i="139"/>
  <c r="O473" i="139"/>
  <c r="AE473" i="139"/>
  <c r="AI473" i="139"/>
  <c r="AK473" i="139"/>
  <c r="O474" i="139"/>
  <c r="AE474" i="139"/>
  <c r="AI474" i="139"/>
  <c r="AK474" i="139"/>
  <c r="O475" i="139"/>
  <c r="AE475" i="139"/>
  <c r="AI475" i="139"/>
  <c r="AK475" i="139"/>
  <c r="O476" i="139"/>
  <c r="AE476" i="139"/>
  <c r="AI476" i="139"/>
  <c r="AK476" i="139"/>
  <c r="O477" i="139"/>
  <c r="AE477" i="139"/>
  <c r="AI477" i="139"/>
  <c r="AK477" i="139"/>
  <c r="O478" i="139"/>
  <c r="AE478" i="139"/>
  <c r="AI478" i="139"/>
  <c r="AK478" i="139"/>
  <c r="O479" i="139"/>
  <c r="AE479" i="139"/>
  <c r="AI479" i="139"/>
  <c r="AK479" i="139"/>
  <c r="O480" i="139"/>
  <c r="AE480" i="139"/>
  <c r="AI480" i="139"/>
  <c r="AK480" i="139"/>
  <c r="O481" i="139"/>
  <c r="AE481" i="139"/>
  <c r="AI481" i="139"/>
  <c r="AK481" i="139"/>
  <c r="O482" i="139"/>
  <c r="AE482" i="139"/>
  <c r="AI482" i="139"/>
  <c r="AK482" i="139"/>
  <c r="O483" i="139"/>
  <c r="AE483" i="139"/>
  <c r="AI483" i="139"/>
  <c r="AK483" i="139"/>
  <c r="O484" i="139"/>
  <c r="AE484" i="139"/>
  <c r="AI484" i="139"/>
  <c r="AK484" i="139"/>
  <c r="O485" i="139"/>
  <c r="AE485" i="139"/>
  <c r="AI485" i="139"/>
  <c r="AK485" i="139"/>
  <c r="AK486" i="139"/>
  <c r="AK487" i="139"/>
  <c r="O488" i="139"/>
  <c r="AE488" i="139"/>
  <c r="AI488" i="139"/>
  <c r="AK488" i="139"/>
  <c r="O489" i="139"/>
  <c r="AE489" i="139"/>
  <c r="AI489" i="139"/>
  <c r="AK489" i="139"/>
  <c r="O490" i="139"/>
  <c r="AE490" i="139"/>
  <c r="AI490" i="139"/>
  <c r="AK490" i="139"/>
  <c r="O491" i="139"/>
  <c r="AE491" i="139"/>
  <c r="AI491" i="139"/>
  <c r="AK491" i="139"/>
  <c r="O492" i="139"/>
  <c r="AE492" i="139"/>
  <c r="AI492" i="139"/>
  <c r="AK492" i="139"/>
  <c r="O493" i="139"/>
  <c r="AE493" i="139"/>
  <c r="AI493" i="139"/>
  <c r="AK493" i="139"/>
  <c r="O494" i="139"/>
  <c r="AE494" i="139"/>
  <c r="AI494" i="139"/>
  <c r="AK494" i="139"/>
  <c r="O495" i="139"/>
  <c r="AE495" i="139"/>
  <c r="AI495" i="139"/>
  <c r="AK495" i="139"/>
  <c r="O496" i="139"/>
  <c r="AE496" i="139"/>
  <c r="AI496" i="139"/>
  <c r="AK496" i="139"/>
  <c r="O497" i="139"/>
  <c r="AE497" i="139"/>
  <c r="AI497" i="139"/>
  <c r="AK497" i="139"/>
  <c r="O498" i="139"/>
  <c r="AE498" i="139"/>
  <c r="AI498" i="139"/>
  <c r="AK498" i="139"/>
  <c r="O499" i="139"/>
  <c r="AE499" i="139"/>
  <c r="AI499" i="139"/>
  <c r="AK499" i="139"/>
  <c r="O500" i="139"/>
  <c r="AE500" i="139"/>
  <c r="AI500" i="139"/>
  <c r="AK500" i="139"/>
  <c r="O501" i="139"/>
  <c r="AE501" i="139"/>
  <c r="AI501" i="139"/>
  <c r="AK501" i="139"/>
  <c r="O502" i="139"/>
  <c r="AE502" i="139"/>
  <c r="AI502" i="139"/>
  <c r="AK502" i="139"/>
  <c r="O503" i="139"/>
  <c r="AE503" i="139"/>
  <c r="AI503" i="139"/>
  <c r="AK503" i="139"/>
  <c r="O504" i="139"/>
  <c r="AE504" i="139"/>
  <c r="AI504" i="139"/>
  <c r="AK504" i="139"/>
  <c r="O505" i="139"/>
  <c r="AE505" i="139"/>
  <c r="AI505" i="139"/>
  <c r="AK505" i="139"/>
  <c r="O506" i="139"/>
  <c r="AE506" i="139"/>
  <c r="AI506" i="139"/>
  <c r="AK506" i="139"/>
  <c r="AK507" i="139"/>
  <c r="AK508" i="139"/>
  <c r="AJ509" i="139"/>
  <c r="AK509" i="139"/>
  <c r="O510" i="139"/>
  <c r="AE510" i="139"/>
  <c r="AI510" i="139"/>
  <c r="AK510" i="139"/>
  <c r="O511" i="139"/>
  <c r="AE511" i="139"/>
  <c r="AI511" i="139"/>
  <c r="AK511" i="139"/>
  <c r="O512" i="139"/>
  <c r="AE512" i="139"/>
  <c r="AI512" i="139"/>
  <c r="AK512" i="139"/>
  <c r="O513" i="139"/>
  <c r="AE513" i="139"/>
  <c r="AI513" i="139"/>
  <c r="AK513" i="139"/>
  <c r="O514" i="139"/>
  <c r="AE514" i="139"/>
  <c r="AI514" i="139"/>
  <c r="AK514" i="139"/>
  <c r="O515" i="139"/>
  <c r="AE515" i="139"/>
  <c r="AI515" i="139"/>
  <c r="AK515" i="139"/>
  <c r="O516" i="139"/>
  <c r="AE516" i="139"/>
  <c r="AI516" i="139"/>
  <c r="AK516" i="139"/>
  <c r="O517" i="139"/>
  <c r="AE517" i="139"/>
  <c r="AI517" i="139"/>
  <c r="AK517" i="139"/>
  <c r="O518" i="139"/>
  <c r="AE518" i="139"/>
  <c r="AI518" i="139"/>
  <c r="AK518" i="139"/>
  <c r="AE519" i="139"/>
  <c r="AI519" i="139"/>
  <c r="AK519" i="139"/>
  <c r="O520" i="139"/>
  <c r="AE520" i="139"/>
  <c r="AI520" i="139"/>
  <c r="AK520" i="139"/>
  <c r="O521" i="139"/>
  <c r="AE521" i="139"/>
  <c r="AI521" i="139"/>
  <c r="AK521" i="139"/>
  <c r="O522" i="139"/>
  <c r="AE522" i="139"/>
  <c r="AI522" i="139"/>
  <c r="AK522" i="139"/>
  <c r="O523" i="139"/>
  <c r="AE523" i="139"/>
  <c r="AI523" i="139"/>
  <c r="AK523" i="139"/>
  <c r="O524" i="139"/>
  <c r="AE524" i="139"/>
  <c r="AI524" i="139"/>
  <c r="AK524" i="139"/>
  <c r="O525" i="139"/>
  <c r="AE525" i="139"/>
  <c r="AI525" i="139"/>
  <c r="AK525" i="139"/>
  <c r="O526" i="139"/>
  <c r="AE526" i="139"/>
  <c r="AI526" i="139"/>
  <c r="AK526" i="139"/>
  <c r="O527" i="139"/>
  <c r="AE527" i="139"/>
  <c r="AI527" i="139"/>
  <c r="AK527" i="139"/>
  <c r="O528" i="139"/>
  <c r="AE528" i="139"/>
  <c r="AI528" i="139"/>
  <c r="AK528" i="139"/>
  <c r="O529" i="139"/>
  <c r="AE529" i="139"/>
  <c r="AI529" i="139"/>
  <c r="AK529" i="139"/>
  <c r="O530" i="139"/>
  <c r="AE530" i="139"/>
  <c r="AI530" i="139"/>
  <c r="AK530" i="139"/>
  <c r="O531" i="139"/>
  <c r="AE531" i="139"/>
  <c r="AI531" i="139"/>
  <c r="AK531" i="139"/>
  <c r="O532" i="139"/>
  <c r="AI532" i="139"/>
  <c r="AK532" i="139"/>
  <c r="O533" i="139"/>
  <c r="AE533" i="139"/>
  <c r="AI533" i="139"/>
  <c r="AK533" i="139"/>
  <c r="O534" i="139"/>
  <c r="AE534" i="139"/>
  <c r="AI534" i="139"/>
  <c r="AK534" i="139"/>
  <c r="O535" i="139"/>
  <c r="AE535" i="139"/>
  <c r="AI535" i="139"/>
  <c r="AK535" i="139"/>
  <c r="O536" i="139"/>
  <c r="AE536" i="139"/>
  <c r="AI536" i="139"/>
  <c r="AK536" i="139"/>
  <c r="O537" i="139"/>
  <c r="AE537" i="139"/>
  <c r="AI537" i="139"/>
  <c r="AK537" i="139"/>
  <c r="O538" i="139"/>
  <c r="AE538" i="139"/>
  <c r="AI538" i="139"/>
  <c r="AK538" i="139"/>
  <c r="O539" i="139"/>
  <c r="AK539" i="139"/>
  <c r="O540" i="139"/>
  <c r="AJ540" i="139" s="1"/>
  <c r="AK540" i="139"/>
  <c r="O541" i="139"/>
  <c r="AJ541" i="139" s="1"/>
  <c r="AK541" i="139"/>
  <c r="O542" i="139"/>
  <c r="AE542" i="139"/>
  <c r="AI542" i="139"/>
  <c r="AK542" i="139"/>
  <c r="O543" i="139"/>
  <c r="AE543" i="139"/>
  <c r="AI543" i="139"/>
  <c r="AK543" i="139"/>
  <c r="O544" i="139"/>
  <c r="AE544" i="139"/>
  <c r="AI544" i="139"/>
  <c r="AK544" i="139"/>
  <c r="O545" i="139"/>
  <c r="AE545" i="139"/>
  <c r="AI545" i="139"/>
  <c r="AK545" i="139"/>
  <c r="O546" i="139"/>
  <c r="AE546" i="139"/>
  <c r="AI546" i="139"/>
  <c r="AK546" i="139"/>
  <c r="O547" i="139"/>
  <c r="AE547" i="139"/>
  <c r="AI547" i="139"/>
  <c r="AK547" i="139"/>
  <c r="O548" i="139"/>
  <c r="AE548" i="139"/>
  <c r="AI548" i="139"/>
  <c r="AK548" i="139"/>
  <c r="O549" i="139"/>
  <c r="AE549" i="139"/>
  <c r="AI549" i="139"/>
  <c r="AK549" i="139"/>
  <c r="O550" i="139"/>
  <c r="AE550" i="139"/>
  <c r="AI550" i="139"/>
  <c r="AK550" i="139"/>
  <c r="O551" i="139"/>
  <c r="AE551" i="139"/>
  <c r="AI551" i="139"/>
  <c r="AK551" i="139"/>
  <c r="O552" i="139"/>
  <c r="AE552" i="139"/>
  <c r="AI552" i="139"/>
  <c r="AK552" i="139"/>
  <c r="O553" i="139"/>
  <c r="AE553" i="139"/>
  <c r="AI553" i="139"/>
  <c r="AK553" i="139"/>
  <c r="O554" i="139"/>
  <c r="AE554" i="139"/>
  <c r="AI554" i="139"/>
  <c r="AK554" i="139"/>
  <c r="O555" i="139"/>
  <c r="AE555" i="139"/>
  <c r="AI555" i="139"/>
  <c r="AK555" i="139"/>
  <c r="O556" i="139"/>
  <c r="AE556" i="139"/>
  <c r="AI556" i="139"/>
  <c r="AK556" i="139"/>
  <c r="O557" i="139"/>
  <c r="AE557" i="139"/>
  <c r="AI557" i="139"/>
  <c r="AK557" i="139"/>
  <c r="O558" i="139"/>
  <c r="AE558" i="139"/>
  <c r="AI558" i="139"/>
  <c r="AK558" i="139"/>
  <c r="O559" i="139"/>
  <c r="AE559" i="139"/>
  <c r="AI559" i="139"/>
  <c r="AK559" i="139"/>
  <c r="O560" i="139"/>
  <c r="AE560" i="139"/>
  <c r="AI560" i="139"/>
  <c r="AK560" i="139"/>
  <c r="O561" i="139"/>
  <c r="AE561" i="139"/>
  <c r="AI561" i="139"/>
  <c r="AK561" i="139"/>
  <c r="O562" i="139"/>
  <c r="AE562" i="139"/>
  <c r="AI562" i="139"/>
  <c r="AK562" i="139"/>
  <c r="O563" i="139"/>
  <c r="AE563" i="139"/>
  <c r="AI563" i="139"/>
  <c r="AK563" i="139"/>
  <c r="O564" i="139"/>
  <c r="AE564" i="139"/>
  <c r="AI564" i="139"/>
  <c r="AK564" i="139"/>
  <c r="O565" i="139"/>
  <c r="AE565" i="139"/>
  <c r="AI565" i="139"/>
  <c r="AK565" i="139"/>
  <c r="O566" i="139"/>
  <c r="AE566" i="139"/>
  <c r="AI566" i="139"/>
  <c r="AK566" i="139"/>
  <c r="O567" i="139"/>
  <c r="AE567" i="139"/>
  <c r="AI567" i="139"/>
  <c r="AK567" i="139"/>
  <c r="O568" i="139"/>
  <c r="AE568" i="139"/>
  <c r="AI568" i="139"/>
  <c r="AK568" i="139"/>
  <c r="O569" i="139"/>
  <c r="AE569" i="139"/>
  <c r="AI569" i="139"/>
  <c r="AK569" i="139"/>
  <c r="O570" i="139"/>
  <c r="AE570" i="139"/>
  <c r="AI570" i="139"/>
  <c r="AK570" i="139"/>
  <c r="O571" i="139"/>
  <c r="AE571" i="139"/>
  <c r="AI571" i="139"/>
  <c r="AK571" i="139"/>
  <c r="O572" i="139"/>
  <c r="AE572" i="139"/>
  <c r="AI572" i="139"/>
  <c r="AK572" i="139"/>
  <c r="O573" i="139"/>
  <c r="AE573" i="139"/>
  <c r="AI573" i="139"/>
  <c r="AK573" i="139"/>
  <c r="O574" i="139"/>
  <c r="AE574" i="139"/>
  <c r="AI574" i="139"/>
  <c r="AK574" i="139"/>
  <c r="O575" i="139"/>
  <c r="AE575" i="139"/>
  <c r="AI575" i="139"/>
  <c r="AK575" i="139"/>
  <c r="O576" i="139"/>
  <c r="AE576" i="139"/>
  <c r="AI576" i="139"/>
  <c r="AK576" i="139"/>
  <c r="O577" i="139"/>
  <c r="AE577" i="139"/>
  <c r="AI577" i="139"/>
  <c r="AK577" i="139"/>
  <c r="O578" i="139"/>
  <c r="AE578" i="139"/>
  <c r="AI578" i="139"/>
  <c r="AK578" i="139"/>
  <c r="O579" i="139"/>
  <c r="AE579" i="139"/>
  <c r="AI579" i="139"/>
  <c r="AK579" i="139"/>
  <c r="O580" i="139"/>
  <c r="AE580" i="139"/>
  <c r="AI580" i="139"/>
  <c r="AK580" i="139"/>
  <c r="O581" i="139"/>
  <c r="AE581" i="139"/>
  <c r="AI581" i="139"/>
  <c r="AK581" i="139"/>
  <c r="AE582" i="139"/>
  <c r="AI582" i="139"/>
  <c r="AK582" i="139"/>
  <c r="O583" i="139"/>
  <c r="AE583" i="139"/>
  <c r="AI583" i="139"/>
  <c r="AK583" i="139"/>
  <c r="O584" i="139"/>
  <c r="AE584" i="139"/>
  <c r="AI584" i="139"/>
  <c r="AK584" i="139"/>
  <c r="O585" i="139"/>
  <c r="AE585" i="139"/>
  <c r="AI585" i="139"/>
  <c r="AK585" i="139"/>
  <c r="O586" i="139"/>
  <c r="AE586" i="139"/>
  <c r="AI586" i="139"/>
  <c r="AK586" i="139"/>
  <c r="O587" i="139"/>
  <c r="AE587" i="139"/>
  <c r="AI587" i="139"/>
  <c r="AK587" i="139"/>
  <c r="O588" i="139"/>
  <c r="AE588" i="139"/>
  <c r="AI588" i="139"/>
  <c r="AK588" i="139"/>
  <c r="O589" i="139"/>
  <c r="AE589" i="139"/>
  <c r="AI589" i="139"/>
  <c r="AK589" i="139"/>
  <c r="O590" i="139"/>
  <c r="AE590" i="139"/>
  <c r="AI590" i="139"/>
  <c r="AK590" i="139"/>
  <c r="O591" i="139"/>
  <c r="AE591" i="139"/>
  <c r="AI591" i="139"/>
  <c r="AK591" i="139"/>
  <c r="O592" i="139"/>
  <c r="AE592" i="139"/>
  <c r="AI592" i="139"/>
  <c r="AK592" i="139"/>
  <c r="O593" i="139"/>
  <c r="AE593" i="139"/>
  <c r="AI593" i="139"/>
  <c r="AK593" i="139"/>
  <c r="O594" i="139"/>
  <c r="AE594" i="139"/>
  <c r="AI594" i="139"/>
  <c r="AK594" i="139"/>
  <c r="O595" i="139"/>
  <c r="AE595" i="139"/>
  <c r="AI595" i="139"/>
  <c r="AK595" i="139"/>
  <c r="O596" i="139"/>
  <c r="AE596" i="139"/>
  <c r="AI596" i="139"/>
  <c r="AK596" i="139"/>
  <c r="O597" i="139"/>
  <c r="AE597" i="139"/>
  <c r="AI597" i="139"/>
  <c r="AK597" i="139"/>
  <c r="O598" i="139"/>
  <c r="AE598" i="139"/>
  <c r="AI598" i="139"/>
  <c r="AK598" i="139"/>
  <c r="O599" i="139"/>
  <c r="AE599" i="139"/>
  <c r="AI599" i="139"/>
  <c r="AK599" i="139"/>
  <c r="O600" i="139"/>
  <c r="AE600" i="139"/>
  <c r="AI600" i="139"/>
  <c r="AK600" i="139"/>
  <c r="O601" i="139"/>
  <c r="AE601" i="139"/>
  <c r="AI601" i="139"/>
  <c r="AK601" i="139"/>
  <c r="O602" i="139"/>
  <c r="AE602" i="139"/>
  <c r="AI602" i="139"/>
  <c r="AK602" i="139"/>
  <c r="O603" i="139"/>
  <c r="AE603" i="139"/>
  <c r="AI603" i="139"/>
  <c r="AK603" i="139"/>
  <c r="O604" i="139"/>
  <c r="AE604" i="139"/>
  <c r="AI604" i="139"/>
  <c r="AK604" i="139"/>
  <c r="O605" i="139"/>
  <c r="AE605" i="139"/>
  <c r="AI605" i="139"/>
  <c r="AK605" i="139"/>
  <c r="O606" i="139"/>
  <c r="AE606" i="139"/>
  <c r="AI606" i="139"/>
  <c r="AK606" i="139"/>
  <c r="O607" i="139"/>
  <c r="AE607" i="139"/>
  <c r="AI607" i="139"/>
  <c r="AK607" i="139"/>
  <c r="O608" i="139"/>
  <c r="AE608" i="139"/>
  <c r="AI608" i="139"/>
  <c r="AK608" i="139"/>
  <c r="O609" i="139"/>
  <c r="AE609" i="139"/>
  <c r="AI609" i="139"/>
  <c r="AK609" i="139"/>
  <c r="O610" i="139"/>
  <c r="AK610" i="139"/>
  <c r="O611" i="139"/>
  <c r="AK611" i="139"/>
  <c r="O612" i="139"/>
  <c r="AJ612" i="139" s="1"/>
  <c r="AK612" i="139"/>
  <c r="O613" i="139"/>
  <c r="AE613" i="139"/>
  <c r="AI613" i="139"/>
  <c r="AK613" i="139"/>
  <c r="AK614" i="139"/>
  <c r="AJ615" i="139"/>
  <c r="AK615" i="139"/>
  <c r="AK616" i="139"/>
  <c r="O617" i="139"/>
  <c r="AE617" i="139"/>
  <c r="AI617" i="139"/>
  <c r="AK617" i="139"/>
  <c r="O618" i="139"/>
  <c r="AE618" i="139"/>
  <c r="AI618" i="139"/>
  <c r="AK618" i="139"/>
  <c r="O619" i="139"/>
  <c r="AE619" i="139"/>
  <c r="AI619" i="139"/>
  <c r="AK619" i="139"/>
  <c r="O620" i="139"/>
  <c r="AE620" i="139"/>
  <c r="AI620" i="139"/>
  <c r="AK620" i="139"/>
  <c r="O621" i="139"/>
  <c r="AE621" i="139"/>
  <c r="AI621" i="139"/>
  <c r="AK621" i="139"/>
  <c r="O622" i="139"/>
  <c r="AE622" i="139"/>
  <c r="AI622" i="139"/>
  <c r="AK622" i="139"/>
  <c r="O623" i="139"/>
  <c r="AE623" i="139"/>
  <c r="AI623" i="139"/>
  <c r="AK623" i="139"/>
  <c r="O624" i="139"/>
  <c r="AE624" i="139"/>
  <c r="AI624" i="139"/>
  <c r="AK624" i="139"/>
  <c r="O625" i="139"/>
  <c r="AE625" i="139"/>
  <c r="AI625" i="139"/>
  <c r="AK625" i="139"/>
  <c r="O626" i="139"/>
  <c r="AE626" i="139"/>
  <c r="AI626" i="139"/>
  <c r="AK626" i="139"/>
  <c r="O627" i="139"/>
  <c r="AE627" i="139"/>
  <c r="AI627" i="139"/>
  <c r="AK627" i="139"/>
  <c r="O628" i="139"/>
  <c r="AE628" i="139"/>
  <c r="AI628" i="139"/>
  <c r="AK628" i="139"/>
  <c r="O629" i="139"/>
  <c r="AE629" i="139"/>
  <c r="AI629" i="139"/>
  <c r="AK629" i="139"/>
  <c r="O630" i="139"/>
  <c r="AE630" i="139"/>
  <c r="AI630" i="139"/>
  <c r="AK630" i="139"/>
  <c r="O631" i="139"/>
  <c r="AE631" i="139"/>
  <c r="AI631" i="139"/>
  <c r="AK631" i="139"/>
  <c r="O632" i="139"/>
  <c r="AE632" i="139"/>
  <c r="AI632" i="139"/>
  <c r="AK632" i="139"/>
  <c r="O633" i="139"/>
  <c r="AE633" i="139"/>
  <c r="AI633" i="139"/>
  <c r="AK633" i="139"/>
  <c r="O634" i="139"/>
  <c r="AE634" i="139"/>
  <c r="AI634" i="139"/>
  <c r="AK634" i="139"/>
  <c r="O635" i="139"/>
  <c r="AE635" i="139"/>
  <c r="AI635" i="139"/>
  <c r="AK635" i="139"/>
  <c r="O636" i="139"/>
  <c r="AE636" i="139"/>
  <c r="AI636" i="139"/>
  <c r="AK636" i="139"/>
  <c r="O637" i="139"/>
  <c r="AE637" i="139"/>
  <c r="AI637" i="139"/>
  <c r="AK637" i="139"/>
  <c r="AK638" i="139"/>
  <c r="AK639" i="139"/>
  <c r="AK640" i="139"/>
  <c r="O641" i="139"/>
  <c r="AE641" i="139"/>
  <c r="AI641" i="139"/>
  <c r="AK641" i="139"/>
  <c r="O642" i="139"/>
  <c r="AE642" i="139"/>
  <c r="AI642" i="139"/>
  <c r="AK642" i="139"/>
  <c r="O643" i="139"/>
  <c r="AE643" i="139"/>
  <c r="AI643" i="139"/>
  <c r="AK643" i="139"/>
  <c r="O644" i="139"/>
  <c r="AE644" i="139"/>
  <c r="AI644" i="139"/>
  <c r="AK644" i="139"/>
  <c r="AJ645" i="139"/>
  <c r="AK645" i="139"/>
  <c r="AJ646" i="139"/>
  <c r="AK646" i="139"/>
  <c r="AK647" i="139"/>
  <c r="O648" i="139"/>
  <c r="AE648" i="139"/>
  <c r="AI648" i="139"/>
  <c r="AK648" i="139"/>
  <c r="O649" i="139"/>
  <c r="AE649" i="139"/>
  <c r="AI649" i="139"/>
  <c r="AK649" i="139"/>
  <c r="O650" i="139"/>
  <c r="AE650" i="139"/>
  <c r="AI650" i="139"/>
  <c r="AK650" i="139"/>
  <c r="O651" i="139"/>
  <c r="AE651" i="139"/>
  <c r="AI651" i="139"/>
  <c r="AK651" i="139"/>
  <c r="O652" i="139"/>
  <c r="AE652" i="139"/>
  <c r="AI652" i="139"/>
  <c r="AK652" i="139"/>
  <c r="O653" i="139"/>
  <c r="AE653" i="139"/>
  <c r="AI653" i="139"/>
  <c r="AK653" i="139"/>
  <c r="O654" i="139"/>
  <c r="AE654" i="139"/>
  <c r="AI654" i="139"/>
  <c r="AK654" i="139"/>
  <c r="O655" i="139"/>
  <c r="AE655" i="139"/>
  <c r="AI655" i="139"/>
  <c r="AK655" i="139"/>
  <c r="O656" i="139"/>
  <c r="AE656" i="139"/>
  <c r="AI656" i="139"/>
  <c r="AK656" i="139"/>
  <c r="O657" i="139"/>
  <c r="AE657" i="139"/>
  <c r="AI657" i="139"/>
  <c r="AK657" i="139"/>
  <c r="O658" i="139"/>
  <c r="AE658" i="139"/>
  <c r="AI658" i="139"/>
  <c r="AK658" i="139"/>
  <c r="O659" i="139"/>
  <c r="AE659" i="139"/>
  <c r="AI659" i="139"/>
  <c r="AK659" i="139"/>
  <c r="O660" i="139"/>
  <c r="AE660" i="139"/>
  <c r="AI660" i="139"/>
  <c r="AK660" i="139"/>
  <c r="O661" i="139"/>
  <c r="AE661" i="139"/>
  <c r="AI661" i="139"/>
  <c r="AK661" i="139"/>
  <c r="O662" i="139"/>
  <c r="AE662" i="139"/>
  <c r="AI662" i="139"/>
  <c r="AK662" i="139"/>
  <c r="O663" i="139"/>
  <c r="AE663" i="139"/>
  <c r="AI663" i="139"/>
  <c r="AK663" i="139"/>
  <c r="O664" i="139"/>
  <c r="AE664" i="139"/>
  <c r="AI664" i="139"/>
  <c r="AK664" i="139"/>
  <c r="O665" i="139"/>
  <c r="AE665" i="139"/>
  <c r="AI665" i="139"/>
  <c r="AK665" i="139"/>
  <c r="O666" i="139"/>
  <c r="AE666" i="139"/>
  <c r="AI666" i="139"/>
  <c r="AK666" i="139"/>
  <c r="O667" i="139"/>
  <c r="AE667" i="139"/>
  <c r="AI667" i="139"/>
  <c r="AK667" i="139"/>
  <c r="AJ668" i="139"/>
  <c r="AK668" i="139"/>
  <c r="AK669" i="139"/>
  <c r="AK670" i="139"/>
  <c r="O671" i="139"/>
  <c r="AE671" i="139"/>
  <c r="AI671" i="139"/>
  <c r="AK671" i="139"/>
  <c r="O672" i="139"/>
  <c r="AE672" i="139"/>
  <c r="AI672" i="139"/>
  <c r="AK672" i="139"/>
  <c r="O673" i="139"/>
  <c r="AE673" i="139"/>
  <c r="AI673" i="139"/>
  <c r="AK673" i="139"/>
  <c r="AJ674" i="139"/>
  <c r="AK674" i="139"/>
  <c r="AK675" i="139"/>
  <c r="AJ676" i="139"/>
  <c r="AK676" i="139"/>
  <c r="O677" i="139"/>
  <c r="AE677" i="139"/>
  <c r="AI677" i="139"/>
  <c r="AK677" i="139"/>
  <c r="O678" i="139"/>
  <c r="AE678" i="139"/>
  <c r="AI678" i="139"/>
  <c r="AK678" i="139"/>
  <c r="O679" i="139"/>
  <c r="AE679" i="139"/>
  <c r="AI679" i="139"/>
  <c r="AK679" i="139"/>
  <c r="O680" i="139"/>
  <c r="AE680" i="139"/>
  <c r="AI680" i="139"/>
  <c r="AK680" i="139"/>
  <c r="O681" i="139"/>
  <c r="AE681" i="139"/>
  <c r="AI681" i="139"/>
  <c r="AK681" i="139"/>
  <c r="O682" i="139"/>
  <c r="AE682" i="139"/>
  <c r="AI682" i="139"/>
  <c r="AK682" i="139"/>
  <c r="O683" i="139"/>
  <c r="AE683" i="139"/>
  <c r="AI683" i="139"/>
  <c r="AK683" i="139"/>
  <c r="O684" i="139"/>
  <c r="AE684" i="139"/>
  <c r="AI684" i="139"/>
  <c r="AK684" i="139"/>
  <c r="O685" i="139"/>
  <c r="AE685" i="139"/>
  <c r="AI685" i="139"/>
  <c r="AK685" i="139"/>
  <c r="O686" i="139"/>
  <c r="AE686" i="139"/>
  <c r="AI686" i="139"/>
  <c r="AK686" i="139"/>
  <c r="O687" i="139"/>
  <c r="AE687" i="139"/>
  <c r="AI687" i="139"/>
  <c r="AK687" i="139"/>
  <c r="O688" i="139"/>
  <c r="AE688" i="139"/>
  <c r="AI688" i="139"/>
  <c r="AK688" i="139"/>
  <c r="O689" i="139"/>
  <c r="AE689" i="139"/>
  <c r="AI689" i="139"/>
  <c r="AK689" i="139"/>
  <c r="O690" i="139"/>
  <c r="AE690" i="139"/>
  <c r="AI690" i="139"/>
  <c r="AK690" i="139"/>
  <c r="O691" i="139"/>
  <c r="AE691" i="139"/>
  <c r="AI691" i="139"/>
  <c r="AK691" i="139"/>
  <c r="O692" i="139"/>
  <c r="AE692" i="139"/>
  <c r="AI692" i="139"/>
  <c r="AK692" i="139"/>
  <c r="O693" i="139"/>
  <c r="AE693" i="139"/>
  <c r="AI693" i="139"/>
  <c r="AK693" i="139"/>
  <c r="O694" i="139"/>
  <c r="AE694" i="139"/>
  <c r="AI694" i="139"/>
  <c r="AK694" i="139"/>
  <c r="O695" i="139"/>
  <c r="AE695" i="139"/>
  <c r="AI695" i="139"/>
  <c r="AK695" i="139"/>
  <c r="O696" i="139"/>
  <c r="AE696" i="139"/>
  <c r="AI696" i="139"/>
  <c r="AK696" i="139"/>
  <c r="O697" i="139"/>
  <c r="AE697" i="139"/>
  <c r="AI697" i="139"/>
  <c r="AK697" i="139"/>
  <c r="AK698" i="139"/>
  <c r="AK699" i="139"/>
  <c r="AK700" i="139"/>
  <c r="AK701" i="139"/>
  <c r="O702" i="139"/>
  <c r="AK702" i="139"/>
  <c r="O703" i="139"/>
  <c r="AE703" i="139"/>
  <c r="AI703" i="139"/>
  <c r="AK703" i="139"/>
  <c r="O704" i="139"/>
  <c r="AE704" i="139"/>
  <c r="AI704" i="139"/>
  <c r="AK704" i="139"/>
  <c r="O705" i="139"/>
  <c r="AE705" i="139"/>
  <c r="AI705" i="139"/>
  <c r="AK705" i="139"/>
  <c r="O706" i="139"/>
  <c r="AE706" i="139"/>
  <c r="AI706" i="139"/>
  <c r="AK706" i="139"/>
  <c r="O707" i="139"/>
  <c r="AE707" i="139"/>
  <c r="AI707" i="139"/>
  <c r="AK707" i="139"/>
  <c r="O708" i="139"/>
  <c r="AE708" i="139"/>
  <c r="AI708" i="139"/>
  <c r="AK708" i="139"/>
  <c r="O709" i="139"/>
  <c r="AE709" i="139"/>
  <c r="AI709" i="139"/>
  <c r="AK709" i="139"/>
  <c r="AI710" i="139"/>
  <c r="AJ710" i="139" s="1"/>
  <c r="AK710" i="139"/>
  <c r="O711" i="139"/>
  <c r="AE711" i="139"/>
  <c r="AI711" i="139"/>
  <c r="AK711" i="139"/>
  <c r="O712" i="139"/>
  <c r="AE712" i="139"/>
  <c r="AI712" i="139"/>
  <c r="AK712" i="139"/>
  <c r="O713" i="139"/>
  <c r="AE713" i="139"/>
  <c r="AI713" i="139"/>
  <c r="AK713" i="139"/>
  <c r="O714" i="139"/>
  <c r="AE714" i="139"/>
  <c r="AI714" i="139"/>
  <c r="AK714" i="139"/>
  <c r="O715" i="139"/>
  <c r="AE715" i="139"/>
  <c r="AI715" i="139"/>
  <c r="AK715" i="139"/>
  <c r="O716" i="139"/>
  <c r="AE716" i="139"/>
  <c r="AI716" i="139"/>
  <c r="AK716" i="139"/>
  <c r="O717" i="139"/>
  <c r="AE717" i="139"/>
  <c r="AI717" i="139"/>
  <c r="AK717" i="139"/>
  <c r="O718" i="139"/>
  <c r="AE718" i="139"/>
  <c r="AI718" i="139"/>
  <c r="AK718" i="139"/>
  <c r="O719" i="139"/>
  <c r="AE719" i="139"/>
  <c r="AI719" i="139"/>
  <c r="AK719" i="139"/>
  <c r="O720" i="139"/>
  <c r="AE720" i="139"/>
  <c r="AI720" i="139"/>
  <c r="AK720" i="139"/>
  <c r="O721" i="139"/>
  <c r="AE721" i="139"/>
  <c r="AI721" i="139"/>
  <c r="AK721" i="139"/>
  <c r="O722" i="139"/>
  <c r="AE722" i="139"/>
  <c r="AI722" i="139"/>
  <c r="AK722" i="139"/>
  <c r="O723" i="139"/>
  <c r="AE723" i="139"/>
  <c r="AI723" i="139"/>
  <c r="AK723" i="139"/>
  <c r="O724" i="139"/>
  <c r="AE724" i="139"/>
  <c r="AI724" i="139"/>
  <c r="AK724" i="139"/>
  <c r="O725" i="139"/>
  <c r="AE725" i="139"/>
  <c r="AI725" i="139"/>
  <c r="AK725" i="139"/>
  <c r="O726" i="139"/>
  <c r="AE726" i="139"/>
  <c r="AI726" i="139"/>
  <c r="AK726" i="139"/>
  <c r="O727" i="139"/>
  <c r="AE727" i="139"/>
  <c r="AI727" i="139"/>
  <c r="AK727" i="139"/>
  <c r="O728" i="139"/>
  <c r="AE728" i="139"/>
  <c r="AI728" i="139"/>
  <c r="AK728" i="139"/>
  <c r="AK729" i="139"/>
  <c r="AJ730" i="139"/>
  <c r="AK730" i="139"/>
  <c r="AJ731" i="139"/>
  <c r="AK731" i="139"/>
  <c r="O732" i="139"/>
  <c r="AE732" i="139"/>
  <c r="AI732" i="139"/>
  <c r="AK732" i="139"/>
  <c r="O733" i="139"/>
  <c r="AE733" i="139"/>
  <c r="AI733" i="139"/>
  <c r="AK733" i="139"/>
  <c r="O734" i="139"/>
  <c r="AE734" i="139"/>
  <c r="AI734" i="139"/>
  <c r="AK734" i="139"/>
  <c r="AJ735" i="139"/>
  <c r="AK735" i="139"/>
  <c r="AK736" i="139"/>
  <c r="AK737" i="139"/>
  <c r="O738" i="139"/>
  <c r="AE738" i="139"/>
  <c r="AI738" i="139"/>
  <c r="AK738" i="139"/>
  <c r="O739" i="139"/>
  <c r="AE739" i="139"/>
  <c r="AI739" i="139"/>
  <c r="AK739" i="139"/>
  <c r="O740" i="139"/>
  <c r="AE740" i="139"/>
  <c r="AI740" i="139"/>
  <c r="AK740" i="139"/>
  <c r="O741" i="139"/>
  <c r="AE741" i="139"/>
  <c r="AI741" i="139"/>
  <c r="AK741" i="139"/>
  <c r="O742" i="139"/>
  <c r="AE742" i="139"/>
  <c r="AI742" i="139"/>
  <c r="AK742" i="139"/>
  <c r="O743" i="139"/>
  <c r="AE743" i="139"/>
  <c r="AI743" i="139"/>
  <c r="AK743" i="139"/>
  <c r="O744" i="139"/>
  <c r="AE744" i="139"/>
  <c r="AI744" i="139"/>
  <c r="AK744" i="139"/>
  <c r="O745" i="139"/>
  <c r="AE745" i="139"/>
  <c r="AI745" i="139"/>
  <c r="AK745" i="139"/>
  <c r="O746" i="139"/>
  <c r="AE746" i="139"/>
  <c r="AI746" i="139"/>
  <c r="AK746" i="139"/>
  <c r="O747" i="139"/>
  <c r="AE747" i="139"/>
  <c r="AI747" i="139"/>
  <c r="AK747" i="139"/>
  <c r="O748" i="139"/>
  <c r="AE748" i="139"/>
  <c r="AI748" i="139"/>
  <c r="AK748" i="139"/>
  <c r="O749" i="139"/>
  <c r="AE749" i="139"/>
  <c r="AI749" i="139"/>
  <c r="AK749" i="139"/>
  <c r="O750" i="139"/>
  <c r="AE750" i="139"/>
  <c r="AI750" i="139"/>
  <c r="AK750" i="139"/>
  <c r="O751" i="139"/>
  <c r="AE751" i="139"/>
  <c r="AI751" i="139"/>
  <c r="AK751" i="139"/>
  <c r="O752" i="139"/>
  <c r="AE752" i="139"/>
  <c r="AI752" i="139"/>
  <c r="AK752" i="139"/>
  <c r="O753" i="139"/>
  <c r="AE753" i="139"/>
  <c r="AI753" i="139"/>
  <c r="AK753" i="139"/>
  <c r="O754" i="139"/>
  <c r="AE754" i="139"/>
  <c r="AI754" i="139"/>
  <c r="AK754" i="139"/>
  <c r="O755" i="139"/>
  <c r="AE755" i="139"/>
  <c r="AI755" i="139"/>
  <c r="AK755" i="139"/>
  <c r="O756" i="139"/>
  <c r="AE756" i="139"/>
  <c r="AI756" i="139"/>
  <c r="AK756" i="139"/>
  <c r="O757" i="139"/>
  <c r="AE757" i="139"/>
  <c r="AI757" i="139"/>
  <c r="AK757" i="139"/>
  <c r="O758" i="139"/>
  <c r="AE758" i="139"/>
  <c r="AI758" i="139"/>
  <c r="AK758" i="139"/>
  <c r="O759" i="139"/>
  <c r="AE759" i="139"/>
  <c r="AI759" i="139"/>
  <c r="AK759" i="139"/>
  <c r="O760" i="139"/>
  <c r="AE760" i="139"/>
  <c r="AI760" i="139"/>
  <c r="AK760" i="139"/>
  <c r="O761" i="139"/>
  <c r="AE761" i="139"/>
  <c r="AI761" i="139"/>
  <c r="AK761" i="139"/>
  <c r="O762" i="139"/>
  <c r="AE762" i="139"/>
  <c r="AI762" i="139"/>
  <c r="AK762" i="139"/>
  <c r="O763" i="139"/>
  <c r="AE763" i="139"/>
  <c r="AI763" i="139"/>
  <c r="AK763" i="139"/>
  <c r="O764" i="139"/>
  <c r="AE764" i="139"/>
  <c r="AI764" i="139"/>
  <c r="AK764" i="139"/>
  <c r="AI765" i="139"/>
  <c r="AK765" i="139"/>
  <c r="AJ766" i="139"/>
  <c r="AI766" i="139"/>
  <c r="AK766" i="139"/>
  <c r="AE767" i="139"/>
  <c r="AI767" i="139"/>
  <c r="AK767" i="139"/>
  <c r="O768" i="139"/>
  <c r="AE768" i="139"/>
  <c r="AI768" i="139"/>
  <c r="AK768" i="139"/>
  <c r="O769" i="139"/>
  <c r="AE769" i="139"/>
  <c r="AI769" i="139"/>
  <c r="AK769" i="139"/>
  <c r="O770" i="139"/>
  <c r="AE770" i="139"/>
  <c r="AI770" i="139"/>
  <c r="AK770" i="139"/>
  <c r="O771" i="139"/>
  <c r="AE771" i="139"/>
  <c r="AI771" i="139"/>
  <c r="AK771" i="139"/>
  <c r="O772" i="139"/>
  <c r="AE772" i="139"/>
  <c r="AI772" i="139"/>
  <c r="AK772" i="139"/>
  <c r="O773" i="139"/>
  <c r="AE773" i="139"/>
  <c r="AI773" i="139"/>
  <c r="AK773" i="139"/>
  <c r="AI774" i="139"/>
  <c r="AJ774" i="139" s="1"/>
  <c r="AK774" i="139"/>
  <c r="O775" i="139"/>
  <c r="AE775" i="139"/>
  <c r="AI775" i="139"/>
  <c r="AK775" i="139"/>
  <c r="O776" i="139"/>
  <c r="AE776" i="139"/>
  <c r="AI776" i="139"/>
  <c r="AK776" i="139"/>
  <c r="O777" i="139"/>
  <c r="AE777" i="139"/>
  <c r="AI777" i="139"/>
  <c r="AK777" i="139"/>
  <c r="O778" i="139"/>
  <c r="AE778" i="139"/>
  <c r="AI778" i="139"/>
  <c r="AK778" i="139"/>
  <c r="O779" i="139"/>
  <c r="AE779" i="139"/>
  <c r="AI779" i="139"/>
  <c r="AK779" i="139"/>
  <c r="O780" i="139"/>
  <c r="AE780" i="139"/>
  <c r="AI780" i="139"/>
  <c r="AK780" i="139"/>
  <c r="O781" i="139"/>
  <c r="AE781" i="139"/>
  <c r="AI781" i="139"/>
  <c r="AK781" i="139"/>
  <c r="O782" i="139"/>
  <c r="AE782" i="139"/>
  <c r="AI782" i="139"/>
  <c r="AK782" i="139"/>
  <c r="O783" i="139"/>
  <c r="AE783" i="139"/>
  <c r="AI783" i="139"/>
  <c r="AK783" i="139"/>
  <c r="O784" i="139"/>
  <c r="AE784" i="139"/>
  <c r="AI784" i="139"/>
  <c r="AK784" i="139"/>
  <c r="O785" i="139"/>
  <c r="AE785" i="139"/>
  <c r="AI785" i="139"/>
  <c r="AK785" i="139"/>
  <c r="O786" i="139"/>
  <c r="AE786" i="139"/>
  <c r="AI786" i="139"/>
  <c r="AK786" i="139"/>
  <c r="O787" i="139"/>
  <c r="AE787" i="139"/>
  <c r="AI787" i="139"/>
  <c r="AK787" i="139"/>
  <c r="O788" i="139"/>
  <c r="AE788" i="139"/>
  <c r="AI788" i="139"/>
  <c r="AK788" i="139"/>
  <c r="O789" i="139"/>
  <c r="AE789" i="139"/>
  <c r="AI789" i="139"/>
  <c r="AK789" i="139"/>
  <c r="AI790" i="139"/>
  <c r="AJ790" i="139" s="1"/>
  <c r="AK790" i="139"/>
  <c r="O791" i="139"/>
  <c r="AE791" i="139"/>
  <c r="AI791" i="139"/>
  <c r="AK791" i="139"/>
  <c r="O792" i="139"/>
  <c r="AE792" i="139"/>
  <c r="AI792" i="139"/>
  <c r="AK792" i="139"/>
  <c r="O793" i="139"/>
  <c r="AE793" i="139"/>
  <c r="AI793" i="139"/>
  <c r="AK793" i="139"/>
  <c r="O794" i="139"/>
  <c r="AE794" i="139"/>
  <c r="AI794" i="139"/>
  <c r="AK794" i="139"/>
  <c r="AK795" i="139"/>
  <c r="AK796" i="139"/>
  <c r="AL796" i="139" s="1"/>
  <c r="AK797" i="139"/>
  <c r="O798" i="139"/>
  <c r="AE798" i="139"/>
  <c r="AI798" i="139"/>
  <c r="AK798" i="139"/>
  <c r="O799" i="139"/>
  <c r="AE799" i="139"/>
  <c r="AI799" i="139"/>
  <c r="AK799" i="139"/>
  <c r="AK800" i="139"/>
  <c r="AL800" i="139" s="1"/>
  <c r="AK801" i="139"/>
  <c r="AK802" i="139"/>
  <c r="O803" i="139"/>
  <c r="AE803" i="139"/>
  <c r="AI803" i="139"/>
  <c r="AK803" i="139"/>
  <c r="O804" i="139"/>
  <c r="AE804" i="139"/>
  <c r="AI804" i="139"/>
  <c r="AK804" i="139"/>
  <c r="O805" i="139"/>
  <c r="AE805" i="139"/>
  <c r="AI805" i="139"/>
  <c r="AK805" i="139"/>
  <c r="O806" i="139"/>
  <c r="AE806" i="139"/>
  <c r="AI806" i="139"/>
  <c r="AK806" i="139"/>
  <c r="O807" i="139"/>
  <c r="AE807" i="139"/>
  <c r="AI807" i="139"/>
  <c r="AK807" i="139"/>
  <c r="O808" i="139"/>
  <c r="AE808" i="139"/>
  <c r="AI808" i="139"/>
  <c r="AK808" i="139"/>
  <c r="O809" i="139"/>
  <c r="AE809" i="139"/>
  <c r="AI809" i="139"/>
  <c r="AK809" i="139"/>
  <c r="O810" i="139"/>
  <c r="AE810" i="139"/>
  <c r="AI810" i="139"/>
  <c r="AK810" i="139"/>
  <c r="O811" i="139"/>
  <c r="AE811" i="139"/>
  <c r="AI811" i="139"/>
  <c r="AK811" i="139"/>
  <c r="O812" i="139"/>
  <c r="AE812" i="139"/>
  <c r="AI812" i="139"/>
  <c r="AK812" i="139"/>
  <c r="O813" i="139"/>
  <c r="AE813" i="139"/>
  <c r="AI813" i="139"/>
  <c r="AK813" i="139"/>
  <c r="O814" i="139"/>
  <c r="AE814" i="139"/>
  <c r="AI814" i="139"/>
  <c r="AK814" i="139"/>
  <c r="O815" i="139"/>
  <c r="AE815" i="139"/>
  <c r="AI815" i="139"/>
  <c r="AK815" i="139"/>
  <c r="O816" i="139"/>
  <c r="AE816" i="139"/>
  <c r="AI816" i="139"/>
  <c r="AK816" i="139"/>
  <c r="O817" i="139"/>
  <c r="AE817" i="139"/>
  <c r="AI817" i="139"/>
  <c r="AK817" i="139"/>
  <c r="O818" i="139"/>
  <c r="AE818" i="139"/>
  <c r="AI818" i="139"/>
  <c r="AK818" i="139"/>
  <c r="O819" i="139"/>
  <c r="AE819" i="139"/>
  <c r="AI819" i="139"/>
  <c r="AK819" i="139"/>
  <c r="O820" i="139"/>
  <c r="AE820" i="139"/>
  <c r="AI820" i="139"/>
  <c r="AK820" i="139"/>
  <c r="O821" i="139"/>
  <c r="AE821" i="139"/>
  <c r="AI821" i="139"/>
  <c r="AK821" i="139"/>
  <c r="O822" i="139"/>
  <c r="AE822" i="139"/>
  <c r="AI822" i="139"/>
  <c r="AK822" i="139"/>
  <c r="O823" i="139"/>
  <c r="AE823" i="139"/>
  <c r="AI823" i="139"/>
  <c r="AK823" i="139"/>
  <c r="O824" i="139"/>
  <c r="AE824" i="139"/>
  <c r="AI824" i="139"/>
  <c r="AK824" i="139"/>
  <c r="O825" i="139"/>
  <c r="AE825" i="139"/>
  <c r="AI825" i="139"/>
  <c r="AK825" i="139"/>
  <c r="O826" i="139"/>
  <c r="AE826" i="139"/>
  <c r="AI826" i="139"/>
  <c r="AK826" i="139"/>
  <c r="O827" i="139"/>
  <c r="AE827" i="139"/>
  <c r="AI827" i="139"/>
  <c r="AK827" i="139"/>
  <c r="AK828" i="139"/>
  <c r="AK829" i="139"/>
  <c r="AL829" i="139" s="1"/>
  <c r="AK830" i="139"/>
  <c r="AL830" i="139" s="1"/>
  <c r="AK831" i="139"/>
  <c r="AK832" i="139"/>
  <c r="O833" i="139"/>
  <c r="AE833" i="139"/>
  <c r="AI833" i="139"/>
  <c r="AJ833" i="139" s="1"/>
  <c r="AK833" i="139"/>
  <c r="O834" i="139"/>
  <c r="AE834" i="139"/>
  <c r="AI834" i="139"/>
  <c r="AK834" i="139"/>
  <c r="O835" i="139"/>
  <c r="AE835" i="139"/>
  <c r="AI835" i="139"/>
  <c r="AK835" i="139"/>
  <c r="O836" i="139"/>
  <c r="AE836" i="139"/>
  <c r="AI836" i="139"/>
  <c r="AK836" i="139"/>
  <c r="O837" i="139"/>
  <c r="AE837" i="139"/>
  <c r="AI837" i="139"/>
  <c r="AK837" i="139"/>
  <c r="O838" i="139"/>
  <c r="AJ838" i="139" s="1"/>
  <c r="AE838" i="139"/>
  <c r="AI838" i="139"/>
  <c r="AK838" i="139"/>
  <c r="O839" i="139"/>
  <c r="AE839" i="139"/>
  <c r="AJ839" i="139" s="1"/>
  <c r="AI839" i="139"/>
  <c r="AK839" i="139"/>
  <c r="O840" i="139"/>
  <c r="AE840" i="139"/>
  <c r="AI840" i="139"/>
  <c r="AK840" i="139"/>
  <c r="O841" i="139"/>
  <c r="AE841" i="139"/>
  <c r="AI841" i="139"/>
  <c r="AK841" i="139"/>
  <c r="O842" i="139"/>
  <c r="AE842" i="139"/>
  <c r="AI842" i="139"/>
  <c r="AJ842" i="139" s="1"/>
  <c r="AK842" i="139"/>
  <c r="O843" i="139"/>
  <c r="AE843" i="139"/>
  <c r="AI843" i="139"/>
  <c r="AK843" i="139"/>
  <c r="O844" i="139"/>
  <c r="AE844" i="139"/>
  <c r="AI844" i="139"/>
  <c r="AK844" i="139"/>
  <c r="O845" i="139"/>
  <c r="AE845" i="139"/>
  <c r="AI845" i="139"/>
  <c r="AK845" i="139"/>
  <c r="O846" i="139"/>
  <c r="AE846" i="139"/>
  <c r="AI846" i="139"/>
  <c r="AJ846" i="139"/>
  <c r="AK846" i="139"/>
  <c r="AL846" i="139" s="1"/>
  <c r="O847" i="139"/>
  <c r="AE847" i="139"/>
  <c r="AI847" i="139"/>
  <c r="AK847" i="139"/>
  <c r="O848" i="139"/>
  <c r="AE848" i="139"/>
  <c r="AI848" i="139"/>
  <c r="AK848" i="139"/>
  <c r="O849" i="139"/>
  <c r="AE849" i="139"/>
  <c r="AI849" i="139"/>
  <c r="AJ849" i="139" s="1"/>
  <c r="AK849" i="139"/>
  <c r="O850" i="139"/>
  <c r="AJ850" i="139" s="1"/>
  <c r="AE850" i="139"/>
  <c r="AI850" i="139"/>
  <c r="AK850" i="139"/>
  <c r="O851" i="139"/>
  <c r="AE851" i="139"/>
  <c r="AI851" i="139"/>
  <c r="AK851" i="139"/>
  <c r="O852" i="139"/>
  <c r="AE852" i="139"/>
  <c r="AI852" i="139"/>
  <c r="AK852" i="139"/>
  <c r="O853" i="139"/>
  <c r="AE853" i="139"/>
  <c r="AI853" i="139"/>
  <c r="AK853" i="139"/>
  <c r="O854" i="139"/>
  <c r="AJ854" i="139" s="1"/>
  <c r="AE854" i="139"/>
  <c r="AI854" i="139"/>
  <c r="AK854" i="139"/>
  <c r="O855" i="139"/>
  <c r="AE855" i="139"/>
  <c r="AJ855" i="139" s="1"/>
  <c r="AI855" i="139"/>
  <c r="AK855" i="139"/>
  <c r="O856" i="139"/>
  <c r="AE856" i="139"/>
  <c r="AI856" i="139"/>
  <c r="AK856" i="139"/>
  <c r="O857" i="139"/>
  <c r="AE857" i="139"/>
  <c r="AI857" i="139"/>
  <c r="AK857" i="139"/>
  <c r="O858" i="139"/>
  <c r="AE858" i="139"/>
  <c r="AI858" i="139"/>
  <c r="AJ858" i="139" s="1"/>
  <c r="AL858" i="139" s="1"/>
  <c r="AK858" i="139"/>
  <c r="O859" i="139"/>
  <c r="AE859" i="139"/>
  <c r="AI859" i="139"/>
  <c r="AK859" i="139"/>
  <c r="O860" i="139"/>
  <c r="AE860" i="139"/>
  <c r="AI860" i="139"/>
  <c r="AK860" i="139"/>
  <c r="O861" i="139"/>
  <c r="AJ861" i="139" s="1"/>
  <c r="AE861" i="139"/>
  <c r="AI861" i="139"/>
  <c r="AK861" i="139"/>
  <c r="O862" i="139"/>
  <c r="AE862" i="139"/>
  <c r="AI862" i="139"/>
  <c r="AJ862" i="139"/>
  <c r="AK862" i="139"/>
  <c r="AL862" i="139" s="1"/>
  <c r="O863" i="139"/>
  <c r="AE863" i="139"/>
  <c r="AI863" i="139"/>
  <c r="AK863" i="139"/>
  <c r="O864" i="139"/>
  <c r="AE864" i="139"/>
  <c r="AI864" i="139"/>
  <c r="AK864" i="139"/>
  <c r="O865" i="139"/>
  <c r="AE865" i="139"/>
  <c r="AI865" i="139"/>
  <c r="AJ865" i="139" s="1"/>
  <c r="AK865" i="139"/>
  <c r="O866" i="139"/>
  <c r="AJ866" i="139" s="1"/>
  <c r="AE866" i="139"/>
  <c r="AI866" i="139"/>
  <c r="AK866" i="139"/>
  <c r="O867" i="139"/>
  <c r="AE867" i="139"/>
  <c r="AI867" i="139"/>
  <c r="AK867" i="139"/>
  <c r="O868" i="139"/>
  <c r="AE868" i="139"/>
  <c r="AI868" i="139"/>
  <c r="AK868" i="139"/>
  <c r="O869" i="139"/>
  <c r="AE869" i="139"/>
  <c r="AI869" i="139"/>
  <c r="AK869" i="139"/>
  <c r="O870" i="139"/>
  <c r="AJ870" i="139" s="1"/>
  <c r="AE870" i="139"/>
  <c r="AI870" i="139"/>
  <c r="AK870" i="139"/>
  <c r="O871" i="139"/>
  <c r="AE871" i="139"/>
  <c r="AJ871" i="139" s="1"/>
  <c r="AI871" i="139"/>
  <c r="AK871" i="139"/>
  <c r="O872" i="139"/>
  <c r="AE872" i="139"/>
  <c r="AI872" i="139"/>
  <c r="AK872" i="139"/>
  <c r="O873" i="139"/>
  <c r="AE873" i="139"/>
  <c r="AI873" i="139"/>
  <c r="AJ873" i="139" s="1"/>
  <c r="AK873" i="139"/>
  <c r="O874" i="139"/>
  <c r="AJ874" i="139" s="1"/>
  <c r="AL874" i="139" s="1"/>
  <c r="AE874" i="139"/>
  <c r="AI874" i="139"/>
  <c r="AK874" i="139"/>
  <c r="O875" i="139"/>
  <c r="AE875" i="139"/>
  <c r="AJ875" i="139" s="1"/>
  <c r="AI875" i="139"/>
  <c r="AK875" i="139"/>
  <c r="O876" i="139"/>
  <c r="AJ876" i="139" s="1"/>
  <c r="AE876" i="139"/>
  <c r="AI876" i="139"/>
  <c r="AK876" i="139"/>
  <c r="O877" i="139"/>
  <c r="AE877" i="139"/>
  <c r="AI877" i="139"/>
  <c r="AK877" i="139"/>
  <c r="O878" i="139"/>
  <c r="AE878" i="139"/>
  <c r="AI878" i="139"/>
  <c r="AJ878" i="139" s="1"/>
  <c r="AK878" i="139"/>
  <c r="O879" i="139"/>
  <c r="AE879" i="139"/>
  <c r="AJ879" i="139" s="1"/>
  <c r="AI879" i="139"/>
  <c r="AK879" i="139"/>
  <c r="O880" i="139"/>
  <c r="AE880" i="139"/>
  <c r="AI880" i="139"/>
  <c r="AK880" i="139"/>
  <c r="O881" i="139"/>
  <c r="AJ881" i="139" s="1"/>
  <c r="AE881" i="139"/>
  <c r="AI881" i="139"/>
  <c r="AK881" i="139"/>
  <c r="O882" i="139"/>
  <c r="AJ882" i="139" s="1"/>
  <c r="AE882" i="139"/>
  <c r="AI882" i="139"/>
  <c r="AK882" i="139"/>
  <c r="O883" i="139"/>
  <c r="AE883" i="139"/>
  <c r="AJ883" i="139" s="1"/>
  <c r="AI883" i="139"/>
  <c r="AK883" i="139"/>
  <c r="O884" i="139"/>
  <c r="AE884" i="139"/>
  <c r="AI884" i="139"/>
  <c r="AK884" i="139"/>
  <c r="O885" i="139"/>
  <c r="AE885" i="139"/>
  <c r="AI885" i="139"/>
  <c r="AK885" i="139"/>
  <c r="O886" i="139"/>
  <c r="AE886" i="139"/>
  <c r="AI886" i="139"/>
  <c r="AJ886" i="139" s="1"/>
  <c r="AK886" i="139"/>
  <c r="O887" i="139"/>
  <c r="AE887" i="139"/>
  <c r="AI887" i="139"/>
  <c r="AK887" i="139"/>
  <c r="O888" i="139"/>
  <c r="AE888" i="139"/>
  <c r="AI888" i="139"/>
  <c r="AK888" i="139"/>
  <c r="O889" i="139"/>
  <c r="AE889" i="139"/>
  <c r="AI889" i="139"/>
  <c r="AK889" i="139"/>
  <c r="O890" i="139"/>
  <c r="AJ890" i="139" s="1"/>
  <c r="AE890" i="139"/>
  <c r="AI890" i="139"/>
  <c r="AK890" i="139"/>
  <c r="O891" i="139"/>
  <c r="AE891" i="139"/>
  <c r="AJ891" i="139" s="1"/>
  <c r="AI891" i="139"/>
  <c r="AK891" i="139"/>
  <c r="O892" i="139"/>
  <c r="AJ892" i="139" s="1"/>
  <c r="AE892" i="139"/>
  <c r="AI892" i="139"/>
  <c r="AK892" i="139"/>
  <c r="O893" i="139"/>
  <c r="AE893" i="139"/>
  <c r="AI893" i="139"/>
  <c r="AK893" i="139"/>
  <c r="O894" i="139"/>
  <c r="AE894" i="139"/>
  <c r="AI894" i="139"/>
  <c r="AJ894" i="139"/>
  <c r="AK894" i="139"/>
  <c r="AL894" i="139"/>
  <c r="O895" i="139"/>
  <c r="AE895" i="139"/>
  <c r="AI895" i="139"/>
  <c r="AK895" i="139"/>
  <c r="O896" i="139"/>
  <c r="AE896" i="139"/>
  <c r="AI896" i="139"/>
  <c r="AK896" i="139"/>
  <c r="O897" i="139"/>
  <c r="AE897" i="139"/>
  <c r="AI897" i="139"/>
  <c r="AJ897" i="139" s="1"/>
  <c r="AL897" i="139" s="1"/>
  <c r="AK897" i="139"/>
  <c r="O898" i="139"/>
  <c r="AJ898" i="139" s="1"/>
  <c r="AE898" i="139"/>
  <c r="AI898" i="139"/>
  <c r="AK898" i="139"/>
  <c r="AL898" i="139" s="1"/>
  <c r="O899" i="139"/>
  <c r="AE899" i="139"/>
  <c r="AJ899" i="139" s="1"/>
  <c r="AI899" i="139"/>
  <c r="AK899" i="139"/>
  <c r="O900" i="139"/>
  <c r="AE900" i="139"/>
  <c r="AI900" i="139"/>
  <c r="AK900" i="139"/>
  <c r="O901" i="139"/>
  <c r="AE901" i="139"/>
  <c r="AI901" i="139"/>
  <c r="AJ901" i="139"/>
  <c r="AL901" i="139" s="1"/>
  <c r="AK901" i="139"/>
  <c r="O902" i="139"/>
  <c r="AE902" i="139"/>
  <c r="AI902" i="139"/>
  <c r="AJ902" i="139"/>
  <c r="AK902" i="139"/>
  <c r="AL902" i="139" s="1"/>
  <c r="O903" i="139"/>
  <c r="AE903" i="139"/>
  <c r="AI903" i="139"/>
  <c r="AK903" i="139"/>
  <c r="O904" i="139"/>
  <c r="AE904" i="139"/>
  <c r="AI904" i="139"/>
  <c r="AK904" i="139"/>
  <c r="O905" i="139"/>
  <c r="AE905" i="139"/>
  <c r="AI905" i="139"/>
  <c r="AK905" i="139"/>
  <c r="O906" i="139"/>
  <c r="AE906" i="139"/>
  <c r="AI906" i="139"/>
  <c r="AJ906" i="139"/>
  <c r="AK906" i="139"/>
  <c r="O907" i="139"/>
  <c r="AE907" i="139"/>
  <c r="AJ907" i="139" s="1"/>
  <c r="AI907" i="139"/>
  <c r="AK907" i="139"/>
  <c r="O908" i="139"/>
  <c r="AE908" i="139"/>
  <c r="AI908" i="139"/>
  <c r="AK908" i="139"/>
  <c r="O909" i="139"/>
  <c r="AE909" i="139"/>
  <c r="AJ909" i="139" s="1"/>
  <c r="AI909" i="139"/>
  <c r="AK909" i="139"/>
  <c r="O910" i="139"/>
  <c r="AJ910" i="139" s="1"/>
  <c r="AL910" i="139" s="1"/>
  <c r="AE910" i="139"/>
  <c r="AI910" i="139"/>
  <c r="AK910" i="139"/>
  <c r="O911" i="139"/>
  <c r="AE911" i="139"/>
  <c r="AI911" i="139"/>
  <c r="AK911" i="139"/>
  <c r="O912" i="139"/>
  <c r="AE912" i="139"/>
  <c r="AI912" i="139"/>
  <c r="AK912" i="139"/>
  <c r="O913" i="139"/>
  <c r="AJ913" i="139" s="1"/>
  <c r="AE913" i="139"/>
  <c r="AI913" i="139"/>
  <c r="AK913" i="139"/>
  <c r="O914" i="139"/>
  <c r="AJ914" i="139" s="1"/>
  <c r="AE914" i="139"/>
  <c r="AI914" i="139"/>
  <c r="AK914" i="139"/>
  <c r="O915" i="139"/>
  <c r="AE915" i="139"/>
  <c r="AI915" i="139"/>
  <c r="AK915" i="139"/>
  <c r="O916" i="139"/>
  <c r="AE916" i="139"/>
  <c r="AI916" i="139"/>
  <c r="AK916" i="139"/>
  <c r="O917" i="139"/>
  <c r="AE917" i="139"/>
  <c r="AI917" i="139"/>
  <c r="AK917" i="139"/>
  <c r="O918" i="139"/>
  <c r="AE918" i="139"/>
  <c r="AJ918" i="139" s="1"/>
  <c r="AL918" i="139" s="1"/>
  <c r="AI918" i="139"/>
  <c r="AK918" i="139"/>
  <c r="O919" i="139"/>
  <c r="AJ919" i="139" s="1"/>
  <c r="AE919" i="139"/>
  <c r="AI919" i="139"/>
  <c r="AK919" i="139"/>
  <c r="O920" i="139"/>
  <c r="AE920" i="139"/>
  <c r="AI920" i="139"/>
  <c r="AK920" i="139"/>
  <c r="O921" i="139"/>
  <c r="AJ921" i="139" s="1"/>
  <c r="AE921" i="139"/>
  <c r="AI921" i="139"/>
  <c r="AK921" i="139"/>
  <c r="O922" i="139"/>
  <c r="AE922" i="139"/>
  <c r="AI922" i="139"/>
  <c r="AJ922" i="139"/>
  <c r="AL922" i="139" s="1"/>
  <c r="AK922" i="139"/>
  <c r="O923" i="139"/>
  <c r="AJ923" i="139" s="1"/>
  <c r="AE923" i="139"/>
  <c r="AI923" i="139"/>
  <c r="AK923" i="139"/>
  <c r="AL923" i="139" s="1"/>
  <c r="O924" i="139"/>
  <c r="AE924" i="139"/>
  <c r="AI924" i="139"/>
  <c r="AK924" i="139"/>
  <c r="O925" i="139"/>
  <c r="AE925" i="139"/>
  <c r="AI925" i="139"/>
  <c r="AJ925" i="139"/>
  <c r="AK925" i="139"/>
  <c r="O926" i="139"/>
  <c r="AJ926" i="139" s="1"/>
  <c r="AE926" i="139"/>
  <c r="AI926" i="139"/>
  <c r="AK926" i="139"/>
  <c r="O927" i="139"/>
  <c r="AE927" i="139"/>
  <c r="AI927" i="139"/>
  <c r="AK927" i="139"/>
  <c r="O928" i="139"/>
  <c r="AE928" i="139"/>
  <c r="AI928" i="139"/>
  <c r="AK928" i="139"/>
  <c r="O929" i="139"/>
  <c r="AE929" i="139"/>
  <c r="AI929" i="139"/>
  <c r="AK929" i="139"/>
  <c r="O930" i="139"/>
  <c r="AE930" i="139"/>
  <c r="AI930" i="139"/>
  <c r="AJ930" i="139"/>
  <c r="AK930" i="139"/>
  <c r="AL930" i="139"/>
  <c r="O931" i="139"/>
  <c r="AE931" i="139"/>
  <c r="AI931" i="139"/>
  <c r="AK931" i="139"/>
  <c r="O932" i="139"/>
  <c r="AE932" i="139"/>
  <c r="AI932" i="139"/>
  <c r="AK932" i="139"/>
  <c r="O933" i="139"/>
  <c r="AE933" i="139"/>
  <c r="AJ933" i="139" s="1"/>
  <c r="AI933" i="139"/>
  <c r="AK933" i="139"/>
  <c r="O934" i="139"/>
  <c r="AJ934" i="139" s="1"/>
  <c r="AE934" i="139"/>
  <c r="AI934" i="139"/>
  <c r="AK934" i="139"/>
  <c r="O935" i="139"/>
  <c r="AE935" i="139"/>
  <c r="AI935" i="139"/>
  <c r="AK935" i="139"/>
  <c r="O936" i="139"/>
  <c r="AJ936" i="139" s="1"/>
  <c r="AE936" i="139"/>
  <c r="AI936" i="139"/>
  <c r="AK936" i="139"/>
  <c r="O937" i="139"/>
  <c r="AE937" i="139"/>
  <c r="AI937" i="139"/>
  <c r="AJ937" i="139" s="1"/>
  <c r="AK937" i="139"/>
  <c r="O938" i="139"/>
  <c r="AE938" i="139"/>
  <c r="AJ938" i="139" s="1"/>
  <c r="AI938" i="139"/>
  <c r="AK938" i="139"/>
  <c r="O939" i="139"/>
  <c r="AE939" i="139"/>
  <c r="AI939" i="139"/>
  <c r="AK939" i="139"/>
  <c r="O940" i="139"/>
  <c r="AE940" i="139"/>
  <c r="AI940" i="139"/>
  <c r="AK940" i="139"/>
  <c r="O941" i="139"/>
  <c r="AJ941" i="139" s="1"/>
  <c r="AE941" i="139"/>
  <c r="AI941" i="139"/>
  <c r="AK941" i="139"/>
  <c r="O942" i="139"/>
  <c r="AE942" i="139"/>
  <c r="AI942" i="139"/>
  <c r="AJ942" i="139"/>
  <c r="AK942" i="139"/>
  <c r="AN13" i="134"/>
  <c r="AO13" i="134"/>
  <c r="AP13" i="134"/>
  <c r="AN14" i="134"/>
  <c r="AO14" i="134"/>
  <c r="AP14" i="134"/>
  <c r="AN15" i="134"/>
  <c r="AO15" i="134"/>
  <c r="AP15" i="134"/>
  <c r="AN16" i="134"/>
  <c r="AO16" i="134"/>
  <c r="AP16" i="134"/>
  <c r="AN17" i="134"/>
  <c r="AO17" i="134"/>
  <c r="AP17" i="134"/>
  <c r="AN18" i="134"/>
  <c r="AO18" i="134"/>
  <c r="AP18" i="134"/>
  <c r="AN19" i="134"/>
  <c r="AO19" i="134"/>
  <c r="AP19" i="134"/>
  <c r="AN20" i="134"/>
  <c r="AO20" i="134"/>
  <c r="AP20" i="134"/>
  <c r="AN21" i="134"/>
  <c r="AO21" i="134"/>
  <c r="AP21" i="134"/>
  <c r="AN22" i="134"/>
  <c r="AO22" i="134"/>
  <c r="AP22" i="134"/>
  <c r="AN23" i="134"/>
  <c r="AO23" i="134"/>
  <c r="AP23" i="134"/>
  <c r="AN24" i="134"/>
  <c r="AO24" i="134"/>
  <c r="AP24" i="134"/>
  <c r="AN25" i="134"/>
  <c r="AO25" i="134"/>
  <c r="AP25" i="134"/>
  <c r="AN26" i="134"/>
  <c r="AO26" i="134"/>
  <c r="AP26" i="134"/>
  <c r="AN27" i="134"/>
  <c r="AO27" i="134"/>
  <c r="AP27" i="134"/>
  <c r="AN28" i="134"/>
  <c r="AO28" i="134"/>
  <c r="AP28" i="134"/>
  <c r="AN29" i="134"/>
  <c r="AO29" i="134"/>
  <c r="AP29" i="134"/>
  <c r="AN30" i="134"/>
  <c r="AO30" i="134"/>
  <c r="AP30" i="134"/>
  <c r="AN31" i="134"/>
  <c r="AO31" i="134"/>
  <c r="AP31" i="134"/>
  <c r="AN32" i="134"/>
  <c r="AO32" i="134"/>
  <c r="AP32" i="134"/>
  <c r="AN33" i="134"/>
  <c r="AO33" i="134"/>
  <c r="AP33" i="134"/>
  <c r="AN34" i="134"/>
  <c r="AO34" i="134"/>
  <c r="AP34" i="134"/>
  <c r="AN35" i="134"/>
  <c r="AO35" i="134"/>
  <c r="AP35" i="134"/>
  <c r="AN36" i="134"/>
  <c r="AO36" i="134"/>
  <c r="AP36" i="134"/>
  <c r="AN37" i="134"/>
  <c r="AO37" i="134"/>
  <c r="AP37" i="134"/>
  <c r="AN38" i="134"/>
  <c r="AO38" i="134"/>
  <c r="AP38" i="134"/>
  <c r="AN39" i="134"/>
  <c r="AO39" i="134"/>
  <c r="AP39" i="134"/>
  <c r="AN40" i="134"/>
  <c r="AO40" i="134"/>
  <c r="AP40" i="134"/>
  <c r="AN41" i="134"/>
  <c r="AO41" i="134"/>
  <c r="AP41" i="134"/>
  <c r="AN42" i="134"/>
  <c r="AO42" i="134"/>
  <c r="AP42" i="134"/>
  <c r="AN43" i="134"/>
  <c r="AO43" i="134"/>
  <c r="AP43" i="134"/>
  <c r="AN44" i="134"/>
  <c r="AO44" i="134"/>
  <c r="AP44" i="134"/>
  <c r="AN45" i="134"/>
  <c r="AO45" i="134"/>
  <c r="AP45" i="134"/>
  <c r="AN46" i="134"/>
  <c r="AO46" i="134"/>
  <c r="AP46" i="134"/>
  <c r="AN47" i="134"/>
  <c r="AO47" i="134"/>
  <c r="AP47" i="134"/>
  <c r="AN48" i="134"/>
  <c r="AO48" i="134"/>
  <c r="AP48" i="134"/>
  <c r="AN49" i="134"/>
  <c r="AO49" i="134"/>
  <c r="AP49" i="134"/>
  <c r="AN50" i="134"/>
  <c r="AO50" i="134"/>
  <c r="AP50" i="134"/>
  <c r="AN51" i="134"/>
  <c r="AO51" i="134"/>
  <c r="AP51" i="134"/>
  <c r="AN52" i="134"/>
  <c r="AO52" i="134"/>
  <c r="AP52" i="134"/>
  <c r="AN53" i="134"/>
  <c r="AO53" i="134"/>
  <c r="AP53" i="134"/>
  <c r="AN54" i="134"/>
  <c r="AO54" i="134"/>
  <c r="AP54" i="134"/>
  <c r="AN55" i="134"/>
  <c r="AO55" i="134"/>
  <c r="AP55" i="134"/>
  <c r="AN56" i="134"/>
  <c r="AO56" i="134"/>
  <c r="AP56" i="134"/>
  <c r="AN57" i="134"/>
  <c r="AO57" i="134"/>
  <c r="AP57" i="134"/>
  <c r="AN58" i="134"/>
  <c r="AO58" i="134"/>
  <c r="AP58" i="134"/>
  <c r="AN59" i="134"/>
  <c r="AO59" i="134"/>
  <c r="AP59" i="134"/>
  <c r="AN60" i="134"/>
  <c r="AO60" i="134"/>
  <c r="AP60" i="134"/>
  <c r="AN61" i="134"/>
  <c r="AO61" i="134"/>
  <c r="AP61" i="134"/>
  <c r="AN62" i="134"/>
  <c r="AO62" i="134"/>
  <c r="AP62" i="134"/>
  <c r="AN63" i="134"/>
  <c r="AO63" i="134"/>
  <c r="AP63" i="134"/>
  <c r="AN64" i="134"/>
  <c r="AO64" i="134"/>
  <c r="AP64" i="134"/>
  <c r="AN65" i="134"/>
  <c r="AO65" i="134"/>
  <c r="AP65" i="134"/>
  <c r="AN66" i="134"/>
  <c r="AO66" i="134"/>
  <c r="AP66" i="134"/>
  <c r="AN67" i="134"/>
  <c r="AO67" i="134"/>
  <c r="AP67" i="134"/>
  <c r="AN68" i="134"/>
  <c r="AO68" i="134"/>
  <c r="AP68" i="134"/>
  <c r="AN69" i="134"/>
  <c r="AO69" i="134"/>
  <c r="AP69" i="134"/>
  <c r="AN70" i="134"/>
  <c r="AO70" i="134"/>
  <c r="AP70" i="134"/>
  <c r="AN71" i="134"/>
  <c r="AO71" i="134"/>
  <c r="AP71" i="134"/>
  <c r="AN72" i="134"/>
  <c r="AO72" i="134"/>
  <c r="AP72" i="134"/>
  <c r="AN73" i="134"/>
  <c r="AO73" i="134"/>
  <c r="AP73" i="134"/>
  <c r="AN74" i="134"/>
  <c r="AO74" i="134"/>
  <c r="AP74" i="134"/>
  <c r="AN75" i="134"/>
  <c r="AO75" i="134"/>
  <c r="AP75" i="134"/>
  <c r="AN76" i="134"/>
  <c r="AO76" i="134"/>
  <c r="AP76" i="134"/>
  <c r="AN77" i="134"/>
  <c r="AO77" i="134"/>
  <c r="AP77" i="134"/>
  <c r="AN78" i="134"/>
  <c r="AO78" i="134"/>
  <c r="AP78" i="134"/>
  <c r="AN79" i="134"/>
  <c r="AO79" i="134"/>
  <c r="AP79" i="134"/>
  <c r="AN80" i="134"/>
  <c r="AO80" i="134"/>
  <c r="AP80" i="134"/>
  <c r="AN81" i="134"/>
  <c r="AO81" i="134"/>
  <c r="AP81" i="134"/>
  <c r="AN82" i="134"/>
  <c r="AO82" i="134"/>
  <c r="AP82" i="134"/>
  <c r="AN83" i="134"/>
  <c r="AO83" i="134"/>
  <c r="AP83" i="134"/>
  <c r="AN84" i="134"/>
  <c r="AO84" i="134"/>
  <c r="AP84" i="134"/>
  <c r="AP85" i="134"/>
  <c r="AN85" i="134" s="1"/>
  <c r="AN86" i="134"/>
  <c r="AO86" i="134"/>
  <c r="AP86" i="134"/>
  <c r="AN87" i="134"/>
  <c r="AO87" i="134"/>
  <c r="AP87" i="134"/>
  <c r="AN88" i="134"/>
  <c r="AO88" i="134"/>
  <c r="AP88" i="134"/>
  <c r="AN89" i="134"/>
  <c r="AO89" i="134"/>
  <c r="AP89" i="134"/>
  <c r="AN90" i="134"/>
  <c r="AO90" i="134"/>
  <c r="AP90" i="134"/>
  <c r="AN91" i="134"/>
  <c r="AO91" i="134"/>
  <c r="AP91" i="134"/>
  <c r="AN92" i="134"/>
  <c r="AO92" i="134"/>
  <c r="AP92" i="134"/>
  <c r="AN93" i="134"/>
  <c r="AO93" i="134"/>
  <c r="AP93" i="134"/>
  <c r="AN94" i="134"/>
  <c r="AO94" i="134"/>
  <c r="AP94" i="134"/>
  <c r="AN95" i="134"/>
  <c r="AO95" i="134"/>
  <c r="AP95" i="134"/>
  <c r="AN96" i="134"/>
  <c r="AO96" i="134"/>
  <c r="AP96" i="134"/>
  <c r="AN97" i="134"/>
  <c r="AO97" i="134"/>
  <c r="AP97" i="134"/>
  <c r="AN98" i="134"/>
  <c r="AO98" i="134"/>
  <c r="AP98" i="134"/>
  <c r="AN99" i="134"/>
  <c r="AO99" i="134"/>
  <c r="AP99" i="134"/>
  <c r="AN100" i="134"/>
  <c r="AO100" i="134"/>
  <c r="AP100" i="134"/>
  <c r="AN101" i="134"/>
  <c r="AO101" i="134"/>
  <c r="AP101" i="134"/>
  <c r="AN102" i="134"/>
  <c r="AO102" i="134"/>
  <c r="AP102" i="134"/>
  <c r="AN103" i="134"/>
  <c r="AO103" i="134"/>
  <c r="AP103" i="134"/>
  <c r="AN104" i="134"/>
  <c r="AO104" i="134"/>
  <c r="AP104" i="134"/>
  <c r="AN105" i="134"/>
  <c r="AO105" i="134"/>
  <c r="AP105" i="134"/>
  <c r="AN106" i="134"/>
  <c r="AO106" i="134"/>
  <c r="AP106" i="134"/>
  <c r="AN107" i="134"/>
  <c r="AO107" i="134"/>
  <c r="AP107" i="134"/>
  <c r="AN108" i="134"/>
  <c r="AO108" i="134"/>
  <c r="AP108" i="134"/>
  <c r="AN109" i="134"/>
  <c r="AO109" i="134"/>
  <c r="AP109" i="134"/>
  <c r="AN110" i="134"/>
  <c r="AO110" i="134"/>
  <c r="AP110" i="134"/>
  <c r="AN111" i="134"/>
  <c r="AO111" i="134"/>
  <c r="AP111" i="134"/>
  <c r="AN112" i="134"/>
  <c r="AO112" i="134"/>
  <c r="AP112" i="134"/>
  <c r="AN113" i="134"/>
  <c r="AO113" i="134"/>
  <c r="AP113" i="134"/>
  <c r="AN114" i="134"/>
  <c r="AO114" i="134"/>
  <c r="AP114" i="134"/>
  <c r="AN115" i="134"/>
  <c r="AO115" i="134"/>
  <c r="AP115" i="134"/>
  <c r="AN116" i="134"/>
  <c r="AO116" i="134"/>
  <c r="AP116" i="134"/>
  <c r="AN117" i="134"/>
  <c r="AO117" i="134"/>
  <c r="AP117" i="134"/>
  <c r="AN118" i="134"/>
  <c r="AO118" i="134"/>
  <c r="AP118" i="134"/>
  <c r="AN119" i="134"/>
  <c r="AO119" i="134"/>
  <c r="AP119" i="134"/>
  <c r="AN120" i="134"/>
  <c r="AO120" i="134"/>
  <c r="AP120" i="134"/>
  <c r="AN121" i="134"/>
  <c r="AO121" i="134"/>
  <c r="AP121" i="134"/>
  <c r="AN122" i="134"/>
  <c r="AO122" i="134"/>
  <c r="AP122" i="134"/>
  <c r="AN123" i="134"/>
  <c r="AO123" i="134"/>
  <c r="AP123" i="134"/>
  <c r="AN124" i="134"/>
  <c r="AO124" i="134"/>
  <c r="AP124" i="134"/>
  <c r="AN125" i="134"/>
  <c r="AO125" i="134"/>
  <c r="AP125" i="134"/>
  <c r="AN126" i="134"/>
  <c r="AO126" i="134"/>
  <c r="AP126" i="134"/>
  <c r="AN127" i="134"/>
  <c r="AO127" i="134"/>
  <c r="AP127" i="134"/>
  <c r="AN128" i="134"/>
  <c r="AO128" i="134"/>
  <c r="AP128" i="134"/>
  <c r="AN129" i="134"/>
  <c r="AO129" i="134"/>
  <c r="AP129" i="134"/>
  <c r="AN130" i="134"/>
  <c r="AO130" i="134"/>
  <c r="AP130" i="134"/>
  <c r="AN131" i="134"/>
  <c r="AO131" i="134"/>
  <c r="AP131" i="134"/>
  <c r="AN132" i="134"/>
  <c r="AO132" i="134"/>
  <c r="AP132" i="134"/>
  <c r="AP133" i="134"/>
  <c r="AN133" i="134" s="1"/>
  <c r="AN134" i="134"/>
  <c r="AO134" i="134"/>
  <c r="AP134" i="134"/>
  <c r="AN135" i="134"/>
  <c r="AO135" i="134"/>
  <c r="AP135" i="134"/>
  <c r="AN136" i="134"/>
  <c r="AO136" i="134"/>
  <c r="AP136" i="134"/>
  <c r="AN137" i="134"/>
  <c r="AO137" i="134"/>
  <c r="AP137" i="134"/>
  <c r="AN138" i="134"/>
  <c r="AO138" i="134"/>
  <c r="AP138" i="134"/>
  <c r="AN139" i="134"/>
  <c r="AO139" i="134"/>
  <c r="AP139" i="134"/>
  <c r="AN140" i="134"/>
  <c r="AO140" i="134"/>
  <c r="AP140" i="134"/>
  <c r="AN141" i="134"/>
  <c r="AO141" i="134"/>
  <c r="AP141" i="134"/>
  <c r="AN142" i="134"/>
  <c r="AO142" i="134"/>
  <c r="AP142" i="134"/>
  <c r="AN143" i="134"/>
  <c r="AO143" i="134"/>
  <c r="AP143" i="134"/>
  <c r="AN144" i="134"/>
  <c r="AO144" i="134"/>
  <c r="AP144" i="134"/>
  <c r="AN145" i="134"/>
  <c r="AO145" i="134"/>
  <c r="AP145" i="134"/>
  <c r="AN146" i="134"/>
  <c r="AO146" i="134"/>
  <c r="AP146" i="134"/>
  <c r="AN147" i="134"/>
  <c r="AO147" i="134"/>
  <c r="AP147" i="134"/>
  <c r="AN148" i="134"/>
  <c r="AO148" i="134"/>
  <c r="AP148" i="134"/>
  <c r="AN149" i="134"/>
  <c r="AO149" i="134"/>
  <c r="AP149" i="134"/>
  <c r="AN150" i="134"/>
  <c r="AO150" i="134"/>
  <c r="AP150" i="134"/>
  <c r="AN151" i="134"/>
  <c r="AO151" i="134"/>
  <c r="AP151" i="134"/>
  <c r="AN152" i="134"/>
  <c r="AO152" i="134"/>
  <c r="AP152" i="134"/>
  <c r="AN153" i="134"/>
  <c r="AO153" i="134"/>
  <c r="AP153" i="134"/>
  <c r="AN154" i="134"/>
  <c r="AO154" i="134"/>
  <c r="AP154" i="134"/>
  <c r="AN155" i="134"/>
  <c r="AO155" i="134"/>
  <c r="AP155" i="134"/>
  <c r="AN156" i="134"/>
  <c r="AO156" i="134"/>
  <c r="AP156" i="134"/>
  <c r="AN157" i="134"/>
  <c r="AO157" i="134"/>
  <c r="AP157" i="134"/>
  <c r="AN158" i="134"/>
  <c r="AO158" i="134"/>
  <c r="AP158" i="134"/>
  <c r="AN159" i="134"/>
  <c r="AO159" i="134"/>
  <c r="AP159" i="134"/>
  <c r="AN160" i="134"/>
  <c r="AO160" i="134"/>
  <c r="AP160" i="134"/>
  <c r="AN161" i="134"/>
  <c r="AO161" i="134"/>
  <c r="AP161" i="134"/>
  <c r="AN162" i="134"/>
  <c r="AO162" i="134"/>
  <c r="AP162" i="134"/>
  <c r="AN163" i="134"/>
  <c r="AO163" i="134"/>
  <c r="AP163" i="134"/>
  <c r="AN164" i="134"/>
  <c r="AO164" i="134"/>
  <c r="AP164" i="134"/>
  <c r="AN165" i="134"/>
  <c r="AO165" i="134"/>
  <c r="AP165" i="134"/>
  <c r="AN166" i="134"/>
  <c r="AO166" i="134"/>
  <c r="AP166" i="134"/>
  <c r="AN167" i="134"/>
  <c r="AO167" i="134"/>
  <c r="AP167" i="134"/>
  <c r="AN168" i="134"/>
  <c r="AO168" i="134"/>
  <c r="AP168" i="134"/>
  <c r="AN169" i="134"/>
  <c r="AO169" i="134"/>
  <c r="AP169" i="134"/>
  <c r="AN170" i="134"/>
  <c r="AO170" i="134"/>
  <c r="AP170" i="134"/>
  <c r="AN171" i="134"/>
  <c r="AO171" i="134"/>
  <c r="AP171" i="134"/>
  <c r="AN172" i="134"/>
  <c r="AO172" i="134"/>
  <c r="AP172" i="134"/>
  <c r="AN173" i="134"/>
  <c r="AO173" i="134"/>
  <c r="AP173" i="134"/>
  <c r="AN174" i="134"/>
  <c r="AO174" i="134"/>
  <c r="AP174" i="134"/>
  <c r="AN175" i="134"/>
  <c r="AO175" i="134"/>
  <c r="AP175" i="134"/>
  <c r="AN176" i="134"/>
  <c r="AO176" i="134"/>
  <c r="AP176" i="134"/>
  <c r="AN177" i="134"/>
  <c r="AO177" i="134"/>
  <c r="AP177" i="134"/>
  <c r="AP178" i="134"/>
  <c r="AN178" i="134" s="1"/>
  <c r="AN179" i="134"/>
  <c r="AO179" i="134"/>
  <c r="AP179" i="134"/>
  <c r="AN180" i="134"/>
  <c r="AO180" i="134"/>
  <c r="AP180" i="134"/>
  <c r="AN181" i="134"/>
  <c r="AO181" i="134"/>
  <c r="AP181" i="134"/>
  <c r="AN182" i="134"/>
  <c r="AO182" i="134"/>
  <c r="AP182" i="134"/>
  <c r="AN183" i="134"/>
  <c r="AO183" i="134"/>
  <c r="AP183" i="134"/>
  <c r="AN184" i="134"/>
  <c r="AO184" i="134"/>
  <c r="AP184" i="134"/>
  <c r="AN185" i="134"/>
  <c r="AO185" i="134"/>
  <c r="AP185" i="134"/>
  <c r="AN186" i="134"/>
  <c r="AO186" i="134"/>
  <c r="AP186" i="134"/>
  <c r="AN187" i="134"/>
  <c r="AO187" i="134"/>
  <c r="AP187" i="134"/>
  <c r="AN188" i="134"/>
  <c r="AO188" i="134"/>
  <c r="AP188" i="134"/>
  <c r="AN189" i="134"/>
  <c r="AO189" i="134"/>
  <c r="AP189" i="134"/>
  <c r="AN190" i="134"/>
  <c r="AO190" i="134"/>
  <c r="AP190" i="134"/>
  <c r="AN191" i="134"/>
  <c r="AO191" i="134"/>
  <c r="AP191" i="134"/>
  <c r="AN192" i="134"/>
  <c r="AO192" i="134"/>
  <c r="AP192" i="134"/>
  <c r="AN193" i="134"/>
  <c r="AO193" i="134"/>
  <c r="AP193" i="134"/>
  <c r="AN194" i="134"/>
  <c r="AO194" i="134"/>
  <c r="AP194" i="134"/>
  <c r="AN195" i="134"/>
  <c r="AO195" i="134"/>
  <c r="AP195" i="134"/>
  <c r="AN196" i="134"/>
  <c r="AO196" i="134"/>
  <c r="AP196" i="134"/>
  <c r="AN197" i="134"/>
  <c r="AO197" i="134"/>
  <c r="AP197" i="134"/>
  <c r="AN198" i="134"/>
  <c r="AO198" i="134"/>
  <c r="AP198" i="134"/>
  <c r="AN199" i="134"/>
  <c r="AO199" i="134"/>
  <c r="AP199" i="134"/>
  <c r="AN200" i="134"/>
  <c r="AO200" i="134"/>
  <c r="AP200" i="134"/>
  <c r="AN201" i="134"/>
  <c r="AO201" i="134"/>
  <c r="AP201" i="134"/>
  <c r="AN202" i="134"/>
  <c r="AO202" i="134"/>
  <c r="AP202" i="134"/>
  <c r="AN203" i="134"/>
  <c r="AO203" i="134"/>
  <c r="AP203" i="134"/>
  <c r="AN204" i="134"/>
  <c r="AO204" i="134"/>
  <c r="AP204" i="134"/>
  <c r="AN205" i="134"/>
  <c r="AO205" i="134"/>
  <c r="AP205" i="134"/>
  <c r="AN206" i="134"/>
  <c r="AO206" i="134"/>
  <c r="AP206" i="134"/>
  <c r="AN207" i="134"/>
  <c r="AO207" i="134"/>
  <c r="AP207" i="134"/>
  <c r="AN208" i="134"/>
  <c r="AO208" i="134"/>
  <c r="AP208" i="134"/>
  <c r="AN209" i="134"/>
  <c r="AO209" i="134"/>
  <c r="AP209" i="134"/>
  <c r="AN210" i="134"/>
  <c r="AO210" i="134"/>
  <c r="AP210" i="134"/>
  <c r="AN211" i="134"/>
  <c r="AO211" i="134"/>
  <c r="AP211" i="134"/>
  <c r="AN212" i="134"/>
  <c r="AO212" i="134"/>
  <c r="AP212" i="134"/>
  <c r="AN213" i="134"/>
  <c r="AO213" i="134"/>
  <c r="AP213" i="134"/>
  <c r="AN214" i="134"/>
  <c r="AO214" i="134"/>
  <c r="AP214" i="134"/>
  <c r="AN215" i="134"/>
  <c r="AO215" i="134"/>
  <c r="AP215" i="134"/>
  <c r="AN216" i="134"/>
  <c r="AO216" i="134"/>
  <c r="AP216" i="134"/>
  <c r="AN217" i="134"/>
  <c r="AO217" i="134"/>
  <c r="AP217" i="134"/>
  <c r="AN218" i="134"/>
  <c r="AO218" i="134"/>
  <c r="AP218" i="134"/>
  <c r="AN219" i="134"/>
  <c r="AO219" i="134"/>
  <c r="AP219" i="134"/>
  <c r="AN220" i="134"/>
  <c r="AO220" i="134"/>
  <c r="AP220" i="134"/>
  <c r="AN221" i="134"/>
  <c r="AO221" i="134"/>
  <c r="AP221" i="134"/>
  <c r="AN222" i="134"/>
  <c r="AO222" i="134"/>
  <c r="AP222" i="134"/>
  <c r="AN223" i="134"/>
  <c r="AO223" i="134"/>
  <c r="AP223" i="134"/>
  <c r="AN224" i="134"/>
  <c r="AO224" i="134"/>
  <c r="AP224" i="134"/>
  <c r="AN225" i="134"/>
  <c r="AO225" i="134"/>
  <c r="AP225" i="134"/>
  <c r="AN226" i="134"/>
  <c r="AO226" i="134"/>
  <c r="AP226" i="134"/>
  <c r="AN227" i="134"/>
  <c r="AO227" i="134"/>
  <c r="AP227" i="134"/>
  <c r="AN228" i="134"/>
  <c r="AO228" i="134"/>
  <c r="AP228" i="134"/>
  <c r="AN229" i="134"/>
  <c r="AO229" i="134"/>
  <c r="AP229" i="134"/>
  <c r="AN230" i="134"/>
  <c r="AO230" i="134"/>
  <c r="AP230" i="134"/>
  <c r="AN231" i="134"/>
  <c r="AO231" i="134"/>
  <c r="AP231" i="134"/>
  <c r="AN232" i="134"/>
  <c r="AO232" i="134"/>
  <c r="AP232" i="134"/>
  <c r="AN233" i="134"/>
  <c r="AO233" i="134"/>
  <c r="AP233" i="134"/>
  <c r="AN234" i="134"/>
  <c r="AO234" i="134"/>
  <c r="AP234" i="134"/>
  <c r="AN235" i="134"/>
  <c r="AO235" i="134"/>
  <c r="AP235" i="134"/>
  <c r="AN236" i="134"/>
  <c r="AO236" i="134"/>
  <c r="AP236" i="134"/>
  <c r="AN237" i="134"/>
  <c r="AO237" i="134"/>
  <c r="AP237" i="134"/>
  <c r="AN238" i="134"/>
  <c r="AO238" i="134"/>
  <c r="AP238" i="134"/>
  <c r="AN239" i="134"/>
  <c r="AO239" i="134"/>
  <c r="AP239" i="134"/>
  <c r="AN240" i="134"/>
  <c r="AO240" i="134"/>
  <c r="AP240" i="134"/>
  <c r="AN241" i="134"/>
  <c r="AO241" i="134"/>
  <c r="AP241" i="134"/>
  <c r="AN242" i="134"/>
  <c r="AO242" i="134"/>
  <c r="AP242" i="134"/>
  <c r="AN243" i="134"/>
  <c r="AO243" i="134"/>
  <c r="AP243" i="134"/>
  <c r="AN244" i="134"/>
  <c r="AO244" i="134"/>
  <c r="AP244" i="134"/>
  <c r="AN245" i="134"/>
  <c r="AO245" i="134"/>
  <c r="AP245" i="134"/>
  <c r="AN246" i="134"/>
  <c r="AO246" i="134"/>
  <c r="AP246" i="134"/>
  <c r="AN247" i="134"/>
  <c r="AO247" i="134"/>
  <c r="AP247" i="134"/>
  <c r="AN248" i="134"/>
  <c r="AO248" i="134"/>
  <c r="AP248" i="134"/>
  <c r="AN249" i="134"/>
  <c r="AO249" i="134"/>
  <c r="AP249" i="134"/>
  <c r="AN250" i="134"/>
  <c r="AO250" i="134"/>
  <c r="AP250" i="134"/>
  <c r="AN251" i="134"/>
  <c r="AO251" i="134"/>
  <c r="AP251" i="134"/>
  <c r="AN252" i="134"/>
  <c r="AO252" i="134"/>
  <c r="AP252" i="134"/>
  <c r="AN253" i="134"/>
  <c r="AO253" i="134"/>
  <c r="AP253" i="134"/>
  <c r="AN254" i="134"/>
  <c r="AO254" i="134"/>
  <c r="AP254" i="134"/>
  <c r="AN255" i="134"/>
  <c r="AO255" i="134"/>
  <c r="AP255" i="134"/>
  <c r="AN256" i="134"/>
  <c r="AO256" i="134"/>
  <c r="AP256" i="134"/>
  <c r="AN257" i="134"/>
  <c r="AO257" i="134"/>
  <c r="AP257" i="134"/>
  <c r="AN258" i="134"/>
  <c r="AO258" i="134"/>
  <c r="AP258" i="134"/>
  <c r="AN259" i="134"/>
  <c r="AO259" i="134"/>
  <c r="AP259" i="134"/>
  <c r="AN260" i="134"/>
  <c r="AO260" i="134"/>
  <c r="AP260" i="134"/>
  <c r="AN261" i="134"/>
  <c r="AO261" i="134"/>
  <c r="AP261" i="134"/>
  <c r="AN262" i="134"/>
  <c r="AO262" i="134"/>
  <c r="AP262" i="134"/>
  <c r="AN263" i="134"/>
  <c r="AO263" i="134"/>
  <c r="AP263" i="134"/>
  <c r="AN264" i="134"/>
  <c r="AO264" i="134"/>
  <c r="AP264" i="134"/>
  <c r="AN265" i="134"/>
  <c r="AO265" i="134"/>
  <c r="AP265" i="134"/>
  <c r="AN266" i="134"/>
  <c r="AO266" i="134"/>
  <c r="AP266" i="134"/>
  <c r="AN267" i="134"/>
  <c r="AO267" i="134"/>
  <c r="AP267" i="134"/>
  <c r="AN268" i="134"/>
  <c r="AO268" i="134"/>
  <c r="AP268" i="134"/>
  <c r="AN269" i="134"/>
  <c r="AO269" i="134"/>
  <c r="AP269" i="134"/>
  <c r="AN270" i="134"/>
  <c r="AO270" i="134"/>
  <c r="AP270" i="134"/>
  <c r="AN271" i="134"/>
  <c r="AO271" i="134"/>
  <c r="AP271" i="134"/>
  <c r="AN272" i="134"/>
  <c r="AO272" i="134"/>
  <c r="AP272" i="134"/>
  <c r="AN273" i="134"/>
  <c r="AO273" i="134"/>
  <c r="AP273" i="134"/>
  <c r="AN274" i="134"/>
  <c r="AO274" i="134"/>
  <c r="AP274" i="134"/>
  <c r="AN275" i="134"/>
  <c r="AO275" i="134"/>
  <c r="AP275" i="134"/>
  <c r="AN276" i="134"/>
  <c r="AO276" i="134"/>
  <c r="AP276" i="134"/>
  <c r="AN277" i="134"/>
  <c r="AO277" i="134"/>
  <c r="AP277" i="134"/>
  <c r="AN278" i="134"/>
  <c r="AO278" i="134"/>
  <c r="AP278" i="134"/>
  <c r="AN279" i="134"/>
  <c r="AO279" i="134"/>
  <c r="AP279" i="134"/>
  <c r="AN280" i="134"/>
  <c r="AO280" i="134"/>
  <c r="AP280" i="134"/>
  <c r="AN281" i="134"/>
  <c r="AO281" i="134"/>
  <c r="AP281" i="134"/>
  <c r="AN282" i="134"/>
  <c r="AO282" i="134"/>
  <c r="AP282" i="134"/>
  <c r="AN283" i="134"/>
  <c r="AO283" i="134"/>
  <c r="AP283" i="134"/>
  <c r="AN284" i="134"/>
  <c r="AO284" i="134"/>
  <c r="AP284" i="134"/>
  <c r="AN285" i="134"/>
  <c r="AO285" i="134"/>
  <c r="AP285" i="134"/>
  <c r="AN286" i="134"/>
  <c r="AO286" i="134"/>
  <c r="AP286" i="134"/>
  <c r="AN287" i="134"/>
  <c r="AO287" i="134"/>
  <c r="AP287" i="134"/>
  <c r="AN288" i="134"/>
  <c r="AO288" i="134"/>
  <c r="AP288" i="134"/>
  <c r="AN289" i="134"/>
  <c r="AO289" i="134"/>
  <c r="AP289" i="134"/>
  <c r="AN290" i="134"/>
  <c r="AO290" i="134"/>
  <c r="AP290" i="134"/>
  <c r="AN291" i="134"/>
  <c r="AO291" i="134"/>
  <c r="AP291" i="134"/>
  <c r="AN292" i="134"/>
  <c r="AO292" i="134"/>
  <c r="AP292" i="134"/>
  <c r="AN293" i="134"/>
  <c r="AO293" i="134"/>
  <c r="AP293" i="134"/>
  <c r="AN294" i="134"/>
  <c r="AO294" i="134"/>
  <c r="AP294" i="134"/>
  <c r="AN295" i="134"/>
  <c r="AO295" i="134"/>
  <c r="AP295" i="134"/>
  <c r="AN296" i="134"/>
  <c r="AO296" i="134"/>
  <c r="AP296" i="134"/>
  <c r="AN297" i="134"/>
  <c r="AO297" i="134"/>
  <c r="AP297" i="134"/>
  <c r="AN298" i="134"/>
  <c r="AO298" i="134"/>
  <c r="AP298" i="134"/>
  <c r="AN299" i="134"/>
  <c r="AO299" i="134"/>
  <c r="AP299" i="134"/>
  <c r="AN300" i="134"/>
  <c r="AO300" i="134"/>
  <c r="AP300" i="134"/>
  <c r="AN301" i="134"/>
  <c r="AO301" i="134"/>
  <c r="AP301" i="134"/>
  <c r="AN302" i="134"/>
  <c r="AO302" i="134"/>
  <c r="AP302" i="134"/>
  <c r="AN303" i="134"/>
  <c r="AO303" i="134"/>
  <c r="AP303" i="134"/>
  <c r="AN304" i="134"/>
  <c r="AO304" i="134"/>
  <c r="AP304" i="134"/>
  <c r="AN305" i="134"/>
  <c r="AO305" i="134"/>
  <c r="AP305" i="134"/>
  <c r="AN306" i="134"/>
  <c r="AO306" i="134"/>
  <c r="AP306" i="134"/>
  <c r="AN307" i="134"/>
  <c r="AO307" i="134"/>
  <c r="AP307" i="134"/>
  <c r="AN308" i="134"/>
  <c r="AO308" i="134"/>
  <c r="AP308" i="134"/>
  <c r="AN309" i="134"/>
  <c r="AO309" i="134"/>
  <c r="AP309" i="134"/>
  <c r="AN310" i="134"/>
  <c r="AO310" i="134"/>
  <c r="AP310" i="134"/>
  <c r="AN311" i="134"/>
  <c r="AO311" i="134"/>
  <c r="AP311" i="134"/>
  <c r="AN312" i="134"/>
  <c r="AO312" i="134"/>
  <c r="AP312" i="134"/>
  <c r="AN313" i="134"/>
  <c r="AO313" i="134"/>
  <c r="AP313" i="134"/>
  <c r="AN314" i="134"/>
  <c r="AO314" i="134"/>
  <c r="AP314" i="134"/>
  <c r="AN315" i="134"/>
  <c r="AO315" i="134"/>
  <c r="AP315" i="134"/>
  <c r="AN316" i="134"/>
  <c r="AO316" i="134"/>
  <c r="AP316" i="134"/>
  <c r="AN317" i="134"/>
  <c r="AO317" i="134"/>
  <c r="AP317" i="134"/>
  <c r="AN318" i="134"/>
  <c r="AO318" i="134"/>
  <c r="AP318" i="134"/>
  <c r="AN319" i="134"/>
  <c r="AO319" i="134"/>
  <c r="AP319" i="134"/>
  <c r="AN320" i="134"/>
  <c r="AO320" i="134"/>
  <c r="AP320" i="134"/>
  <c r="AN321" i="134"/>
  <c r="AO321" i="134"/>
  <c r="AP321" i="134"/>
  <c r="AN322" i="134"/>
  <c r="AO322" i="134"/>
  <c r="AP322" i="134"/>
  <c r="AN323" i="134"/>
  <c r="AO323" i="134"/>
  <c r="AP323" i="134"/>
  <c r="AN324" i="134"/>
  <c r="AO324" i="134"/>
  <c r="AP324" i="134"/>
  <c r="AN325" i="134"/>
  <c r="AO325" i="134"/>
  <c r="AP325" i="134"/>
  <c r="AN326" i="134"/>
  <c r="AO326" i="134"/>
  <c r="AP326" i="134"/>
  <c r="AN327" i="134"/>
  <c r="AO327" i="134"/>
  <c r="AP327" i="134"/>
  <c r="AN328" i="134"/>
  <c r="AO328" i="134"/>
  <c r="AP328" i="134"/>
  <c r="AN329" i="134"/>
  <c r="AO329" i="134"/>
  <c r="AP329" i="134"/>
  <c r="AN330" i="134"/>
  <c r="AO330" i="134"/>
  <c r="AP330" i="134"/>
  <c r="AN331" i="134"/>
  <c r="AO331" i="134"/>
  <c r="AP331" i="134"/>
  <c r="AN332" i="134"/>
  <c r="AO332" i="134"/>
  <c r="AP332" i="134"/>
  <c r="AN333" i="134"/>
  <c r="AO333" i="134"/>
  <c r="AP333" i="134"/>
  <c r="AN334" i="134"/>
  <c r="AO334" i="134"/>
  <c r="AP334" i="134"/>
  <c r="AN335" i="134"/>
  <c r="AO335" i="134"/>
  <c r="AP335" i="134"/>
  <c r="AN336" i="134"/>
  <c r="AO336" i="134"/>
  <c r="AP336" i="134"/>
  <c r="AN337" i="134"/>
  <c r="AO337" i="134"/>
  <c r="AP337" i="134"/>
  <c r="AN338" i="134"/>
  <c r="AO338" i="134"/>
  <c r="AP338" i="134"/>
  <c r="AN339" i="134"/>
  <c r="AO339" i="134"/>
  <c r="AP339" i="134"/>
  <c r="AN340" i="134"/>
  <c r="AO340" i="134"/>
  <c r="AP340" i="134"/>
  <c r="AN341" i="134"/>
  <c r="AO341" i="134"/>
  <c r="AP341" i="134"/>
  <c r="AN342" i="134"/>
  <c r="AO342" i="134"/>
  <c r="AP342" i="134"/>
  <c r="AN343" i="134"/>
  <c r="AO343" i="134"/>
  <c r="AP343" i="134"/>
  <c r="AN344" i="134"/>
  <c r="AO344" i="134"/>
  <c r="AP344" i="134"/>
  <c r="AN345" i="134"/>
  <c r="AO345" i="134"/>
  <c r="AP345" i="134"/>
  <c r="AN346" i="134"/>
  <c r="AO346" i="134"/>
  <c r="AP346" i="134"/>
  <c r="AN347" i="134"/>
  <c r="AO347" i="134"/>
  <c r="AP347" i="134"/>
  <c r="AN348" i="134"/>
  <c r="AO348" i="134"/>
  <c r="AP348" i="134"/>
  <c r="AN349" i="134"/>
  <c r="AO349" i="134"/>
  <c r="AP349" i="134"/>
  <c r="AN350" i="134"/>
  <c r="AO350" i="134"/>
  <c r="AP350" i="134"/>
  <c r="AN351" i="134"/>
  <c r="AO351" i="134"/>
  <c r="AP351" i="134"/>
  <c r="AN352" i="134"/>
  <c r="AO352" i="134"/>
  <c r="AP352" i="134"/>
  <c r="AN353" i="134"/>
  <c r="AO353" i="134"/>
  <c r="AP353" i="134"/>
  <c r="AN354" i="134"/>
  <c r="AO354" i="134"/>
  <c r="AP354" i="134"/>
  <c r="AN355" i="134"/>
  <c r="AO355" i="134"/>
  <c r="AP355" i="134"/>
  <c r="AN356" i="134"/>
  <c r="AO356" i="134"/>
  <c r="AP356" i="134"/>
  <c r="AN357" i="134"/>
  <c r="AO357" i="134"/>
  <c r="AP357" i="134"/>
  <c r="AN358" i="134"/>
  <c r="AO358" i="134"/>
  <c r="AP358" i="134"/>
  <c r="AN359" i="134"/>
  <c r="AO359" i="134"/>
  <c r="AP359" i="134"/>
  <c r="AN360" i="134"/>
  <c r="AO360" i="134"/>
  <c r="AP360" i="134"/>
  <c r="AN361" i="134"/>
  <c r="AO361" i="134"/>
  <c r="AP361" i="134"/>
  <c r="AN362" i="134"/>
  <c r="AO362" i="134"/>
  <c r="AP362" i="134"/>
  <c r="AO363" i="134"/>
  <c r="AP363" i="134"/>
  <c r="AN364" i="134"/>
  <c r="AO364" i="134"/>
  <c r="AP364" i="134"/>
  <c r="AN365" i="134"/>
  <c r="AO365" i="134"/>
  <c r="AP365" i="134"/>
  <c r="AN366" i="134"/>
  <c r="AO366" i="134"/>
  <c r="AP366" i="134"/>
  <c r="AN367" i="134"/>
  <c r="AO367" i="134"/>
  <c r="AP367" i="134"/>
  <c r="AN368" i="134"/>
  <c r="AO368" i="134"/>
  <c r="AP368" i="134"/>
  <c r="AN369" i="134"/>
  <c r="AO369" i="134"/>
  <c r="AP369" i="134"/>
  <c r="AN370" i="134"/>
  <c r="AO370" i="134"/>
  <c r="AP370" i="134"/>
  <c r="AN371" i="134"/>
  <c r="AO371" i="134"/>
  <c r="AP371" i="134"/>
  <c r="AN372" i="134"/>
  <c r="AO372" i="134"/>
  <c r="AP372" i="134"/>
  <c r="AN373" i="134"/>
  <c r="AO373" i="134"/>
  <c r="AP373" i="134"/>
  <c r="AN374" i="134"/>
  <c r="AO374" i="134"/>
  <c r="AP374" i="134"/>
  <c r="AN375" i="134"/>
  <c r="AO375" i="134"/>
  <c r="AP375" i="134"/>
  <c r="AN376" i="134"/>
  <c r="AO376" i="134"/>
  <c r="AP376" i="134"/>
  <c r="AN377" i="134"/>
  <c r="AO377" i="134"/>
  <c r="AP377" i="134"/>
  <c r="AN378" i="134"/>
  <c r="AO378" i="134"/>
  <c r="AP378" i="134"/>
  <c r="AN379" i="134"/>
  <c r="AO379" i="134"/>
  <c r="AP379" i="134"/>
  <c r="AN380" i="134"/>
  <c r="AO380" i="134"/>
  <c r="AP380" i="134"/>
  <c r="AN381" i="134"/>
  <c r="AO381" i="134"/>
  <c r="AP381" i="134"/>
  <c r="AN382" i="134"/>
  <c r="AO382" i="134"/>
  <c r="AP382" i="134"/>
  <c r="AN383" i="134"/>
  <c r="AO383" i="134"/>
  <c r="AP383" i="134"/>
  <c r="AN384" i="134"/>
  <c r="AO384" i="134"/>
  <c r="AP384" i="134"/>
  <c r="AN385" i="134"/>
  <c r="AO385" i="134"/>
  <c r="AP385" i="134"/>
  <c r="AN386" i="134"/>
  <c r="AO386" i="134"/>
  <c r="AP386" i="134"/>
  <c r="AN387" i="134"/>
  <c r="AO387" i="134"/>
  <c r="AP387" i="134"/>
  <c r="AN388" i="134"/>
  <c r="AO388" i="134"/>
  <c r="AP388" i="134"/>
  <c r="AN389" i="134"/>
  <c r="AO389" i="134"/>
  <c r="AP389" i="134"/>
  <c r="AN390" i="134"/>
  <c r="AO390" i="134"/>
  <c r="AP390" i="134"/>
  <c r="AN391" i="134"/>
  <c r="AO391" i="134"/>
  <c r="AP391" i="134"/>
  <c r="AN392" i="134"/>
  <c r="AO392" i="134"/>
  <c r="AP392" i="134"/>
  <c r="AN393" i="134"/>
  <c r="AO393" i="134"/>
  <c r="AP393" i="134"/>
  <c r="AN394" i="134"/>
  <c r="AO394" i="134"/>
  <c r="AP394" i="134"/>
  <c r="AN395" i="134"/>
  <c r="AO395" i="134"/>
  <c r="AP395" i="134"/>
  <c r="AN396" i="134"/>
  <c r="AO396" i="134"/>
  <c r="AP396" i="134"/>
  <c r="AN397" i="134"/>
  <c r="AO397" i="134"/>
  <c r="AP397" i="134"/>
  <c r="AN398" i="134"/>
  <c r="AO398" i="134"/>
  <c r="AP398" i="134"/>
  <c r="AN399" i="134"/>
  <c r="AO399" i="134"/>
  <c r="AP399" i="134"/>
  <c r="AN400" i="134"/>
  <c r="AO400" i="134"/>
  <c r="AP400" i="134"/>
  <c r="AN401" i="134"/>
  <c r="AO401" i="134"/>
  <c r="AP401" i="134"/>
  <c r="AN402" i="134"/>
  <c r="AO402" i="134"/>
  <c r="AP402" i="134"/>
  <c r="AN403" i="134"/>
  <c r="AO403" i="134"/>
  <c r="AP403" i="134"/>
  <c r="AN404" i="134"/>
  <c r="AO404" i="134"/>
  <c r="AP404" i="134"/>
  <c r="AN405" i="134"/>
  <c r="AO405" i="134"/>
  <c r="AP405" i="134"/>
  <c r="AN406" i="134"/>
  <c r="AO406" i="134"/>
  <c r="AP406" i="134"/>
  <c r="AN407" i="134"/>
  <c r="AO407" i="134"/>
  <c r="AP407" i="134"/>
  <c r="AN408" i="134"/>
  <c r="AO408" i="134"/>
  <c r="AP408" i="134"/>
  <c r="AN409" i="134"/>
  <c r="AO409" i="134"/>
  <c r="AP409" i="134"/>
  <c r="AN410" i="134"/>
  <c r="AO410" i="134"/>
  <c r="AP410" i="134"/>
  <c r="AN411" i="134"/>
  <c r="AO411" i="134"/>
  <c r="AP411" i="134"/>
  <c r="AN412" i="134"/>
  <c r="AO412" i="134"/>
  <c r="AP412" i="134"/>
  <c r="AN413" i="134"/>
  <c r="AO413" i="134"/>
  <c r="AP413" i="134"/>
  <c r="AN414" i="134"/>
  <c r="AO414" i="134"/>
  <c r="AP414" i="134"/>
  <c r="AN415" i="134"/>
  <c r="AO415" i="134"/>
  <c r="AP415" i="134"/>
  <c r="AN416" i="134"/>
  <c r="AO416" i="134"/>
  <c r="AP416" i="134"/>
  <c r="AN417" i="134"/>
  <c r="AO417" i="134"/>
  <c r="AP417" i="134"/>
  <c r="AN418" i="134"/>
  <c r="AO418" i="134"/>
  <c r="AP418" i="134"/>
  <c r="AN419" i="134"/>
  <c r="AO419" i="134"/>
  <c r="AP419" i="134"/>
  <c r="AN420" i="134"/>
  <c r="AO420" i="134"/>
  <c r="AP420" i="134"/>
  <c r="AN421" i="134"/>
  <c r="AO421" i="134"/>
  <c r="AP421" i="134"/>
  <c r="AN422" i="134"/>
  <c r="AO422" i="134"/>
  <c r="AP422" i="134"/>
  <c r="AN423" i="134"/>
  <c r="AO423" i="134"/>
  <c r="AP423" i="134"/>
  <c r="AN424" i="134"/>
  <c r="AO424" i="134"/>
  <c r="AP424" i="134"/>
  <c r="AN425" i="134"/>
  <c r="AO425" i="134"/>
  <c r="AP425" i="134"/>
  <c r="AN426" i="134"/>
  <c r="AO426" i="134"/>
  <c r="AP426" i="134"/>
  <c r="AN427" i="134"/>
  <c r="AO427" i="134"/>
  <c r="AP427" i="134"/>
  <c r="AN428" i="134"/>
  <c r="AO428" i="134"/>
  <c r="AP428" i="134"/>
  <c r="AN429" i="134"/>
  <c r="AO429" i="134"/>
  <c r="AP429" i="134"/>
  <c r="AN430" i="134"/>
  <c r="AO430" i="134"/>
  <c r="AP430" i="134"/>
  <c r="AN431" i="134"/>
  <c r="AO431" i="134"/>
  <c r="AP431" i="134"/>
  <c r="AN432" i="134"/>
  <c r="AO432" i="134"/>
  <c r="AP432" i="134"/>
  <c r="AN433" i="134"/>
  <c r="AO433" i="134"/>
  <c r="AP433" i="134"/>
  <c r="AN434" i="134"/>
  <c r="AO434" i="134"/>
  <c r="AP434" i="134"/>
  <c r="AN435" i="134"/>
  <c r="AO435" i="134"/>
  <c r="AP435" i="134"/>
  <c r="AN436" i="134"/>
  <c r="AO436" i="134"/>
  <c r="AP436" i="134"/>
  <c r="AN437" i="134"/>
  <c r="AO437" i="134"/>
  <c r="AP437" i="134"/>
  <c r="AN438" i="134"/>
  <c r="AO438" i="134"/>
  <c r="AP438" i="134"/>
  <c r="AN439" i="134"/>
  <c r="AO439" i="134"/>
  <c r="AP439" i="134"/>
  <c r="AN440" i="134"/>
  <c r="AO440" i="134"/>
  <c r="AP440" i="134"/>
  <c r="AN441" i="134"/>
  <c r="AO441" i="134"/>
  <c r="AP441" i="134"/>
  <c r="AN442" i="134"/>
  <c r="AO442" i="134"/>
  <c r="AP442" i="134"/>
  <c r="AN443" i="134"/>
  <c r="AO443" i="134"/>
  <c r="AP443" i="134"/>
  <c r="AN444" i="134"/>
  <c r="AO444" i="134"/>
  <c r="AP444" i="134"/>
  <c r="AN445" i="134"/>
  <c r="AO445" i="134"/>
  <c r="AP445" i="134"/>
  <c r="AN446" i="134"/>
  <c r="AO446" i="134"/>
  <c r="AP446" i="134"/>
  <c r="AN447" i="134"/>
  <c r="AO447" i="134"/>
  <c r="AP447" i="134"/>
  <c r="AN448" i="134"/>
  <c r="AO448" i="134"/>
  <c r="AP448" i="134"/>
  <c r="AN449" i="134"/>
  <c r="AO449" i="134"/>
  <c r="AP449" i="134"/>
  <c r="AN450" i="134"/>
  <c r="AO450" i="134"/>
  <c r="AP450" i="134"/>
  <c r="AN451" i="134"/>
  <c r="AO451" i="134"/>
  <c r="AP451" i="134"/>
  <c r="AN452" i="134"/>
  <c r="AO452" i="134"/>
  <c r="AP452" i="134"/>
  <c r="AN453" i="134"/>
  <c r="AO453" i="134"/>
  <c r="AP453" i="134"/>
  <c r="AN454" i="134"/>
  <c r="AO454" i="134"/>
  <c r="AP454" i="134"/>
  <c r="AN455" i="134"/>
  <c r="AO455" i="134"/>
  <c r="AP455" i="134"/>
  <c r="AN456" i="134"/>
  <c r="AO456" i="134"/>
  <c r="AP456" i="134"/>
  <c r="AN457" i="134"/>
  <c r="AO457" i="134"/>
  <c r="AP457" i="134"/>
  <c r="AN458" i="134"/>
  <c r="AO458" i="134"/>
  <c r="AP458" i="134"/>
  <c r="AN459" i="134"/>
  <c r="AO459" i="134"/>
  <c r="AP459" i="134"/>
  <c r="AN460" i="134"/>
  <c r="AO460" i="134"/>
  <c r="AP460" i="134"/>
  <c r="AN461" i="134"/>
  <c r="AO461" i="134"/>
  <c r="AP461" i="134"/>
  <c r="AN462" i="134"/>
  <c r="AO462" i="134"/>
  <c r="AP462" i="134"/>
  <c r="AN463" i="134"/>
  <c r="AO463" i="134"/>
  <c r="AP463" i="134"/>
  <c r="AN464" i="134"/>
  <c r="AO464" i="134"/>
  <c r="AP464" i="134"/>
  <c r="AN465" i="134"/>
  <c r="AO465" i="134"/>
  <c r="AP465" i="134"/>
  <c r="AN466" i="134"/>
  <c r="AO466" i="134"/>
  <c r="AP466" i="134"/>
  <c r="AN467" i="134"/>
  <c r="AO467" i="134"/>
  <c r="AP467" i="134"/>
  <c r="AN468" i="134"/>
  <c r="AO468" i="134"/>
  <c r="AP468" i="134"/>
  <c r="AN469" i="134"/>
  <c r="AO469" i="134"/>
  <c r="AP469" i="134"/>
  <c r="AN470" i="134"/>
  <c r="AO470" i="134"/>
  <c r="AP470" i="134"/>
  <c r="AN471" i="134"/>
  <c r="AO471" i="134"/>
  <c r="AP471" i="134"/>
  <c r="AN472" i="134"/>
  <c r="AO472" i="134"/>
  <c r="AP472" i="134"/>
  <c r="AN473" i="134"/>
  <c r="AO473" i="134"/>
  <c r="AP473" i="134"/>
  <c r="AN474" i="134"/>
  <c r="AO474" i="134"/>
  <c r="AP474" i="134"/>
  <c r="AN475" i="134"/>
  <c r="AO475" i="134"/>
  <c r="AP475" i="134"/>
  <c r="AN476" i="134"/>
  <c r="AO476" i="134"/>
  <c r="AP476" i="134"/>
  <c r="AN477" i="134"/>
  <c r="AO477" i="134"/>
  <c r="AP477" i="134"/>
  <c r="AN478" i="134"/>
  <c r="AO478" i="134"/>
  <c r="AP478" i="134"/>
  <c r="AN479" i="134"/>
  <c r="AO479" i="134"/>
  <c r="AP479" i="134"/>
  <c r="AN480" i="134"/>
  <c r="AO480" i="134"/>
  <c r="AP480" i="134"/>
  <c r="AN481" i="134"/>
  <c r="AO481" i="134"/>
  <c r="AP481" i="134"/>
  <c r="AN482" i="134"/>
  <c r="AO482" i="134"/>
  <c r="AP482" i="134"/>
  <c r="AN483" i="134"/>
  <c r="AO483" i="134"/>
  <c r="AP483" i="134"/>
  <c r="AN484" i="134"/>
  <c r="AO484" i="134"/>
  <c r="AP484" i="134"/>
  <c r="AN485" i="134"/>
  <c r="AO485" i="134"/>
  <c r="AP485" i="134"/>
  <c r="AN486" i="134"/>
  <c r="AO486" i="134"/>
  <c r="AP486" i="134"/>
  <c r="AN487" i="134"/>
  <c r="AO487" i="134"/>
  <c r="AP487" i="134"/>
  <c r="AN488" i="134"/>
  <c r="AO488" i="134"/>
  <c r="AP488" i="134"/>
  <c r="AN489" i="134"/>
  <c r="AO489" i="134"/>
  <c r="AP489" i="134"/>
  <c r="AN490" i="134"/>
  <c r="AO490" i="134"/>
  <c r="AP490" i="134"/>
  <c r="AN491" i="134"/>
  <c r="AO491" i="134"/>
  <c r="AP491" i="134"/>
  <c r="AN492" i="134"/>
  <c r="AO492" i="134"/>
  <c r="AP492" i="134"/>
  <c r="AN493" i="134"/>
  <c r="AO493" i="134"/>
  <c r="AP493" i="134"/>
  <c r="AN494" i="134"/>
  <c r="AO494" i="134"/>
  <c r="AP494" i="134"/>
  <c r="AN495" i="134"/>
  <c r="AO495" i="134"/>
  <c r="AP495" i="134"/>
  <c r="AN496" i="134"/>
  <c r="AO496" i="134"/>
  <c r="AP496" i="134"/>
  <c r="AN497" i="134"/>
  <c r="AO497" i="134"/>
  <c r="AP497" i="134"/>
  <c r="AN498" i="134"/>
  <c r="AO498" i="134"/>
  <c r="AP498" i="134"/>
  <c r="AN499" i="134"/>
  <c r="AO499" i="134"/>
  <c r="AP499" i="134"/>
  <c r="AN500" i="134"/>
  <c r="AO500" i="134"/>
  <c r="AP500" i="134"/>
  <c r="AN501" i="134"/>
  <c r="AO501" i="134"/>
  <c r="AP501" i="134"/>
  <c r="AN502" i="134"/>
  <c r="AO502" i="134"/>
  <c r="AP502" i="134"/>
  <c r="AN503" i="134"/>
  <c r="AO503" i="134"/>
  <c r="AP503" i="134"/>
  <c r="AN504" i="134"/>
  <c r="AO504" i="134"/>
  <c r="AP504" i="134"/>
  <c r="AN505" i="134"/>
  <c r="AO505" i="134"/>
  <c r="AP505" i="134"/>
  <c r="AN506" i="134"/>
  <c r="AO506" i="134"/>
  <c r="AP506" i="134"/>
  <c r="AN507" i="134"/>
  <c r="AO507" i="134"/>
  <c r="AP507" i="134"/>
  <c r="AN508" i="134"/>
  <c r="AO508" i="134"/>
  <c r="AP508" i="134"/>
  <c r="AN509" i="134"/>
  <c r="AO509" i="134"/>
  <c r="AP509" i="134"/>
  <c r="AN510" i="134"/>
  <c r="AO510" i="134"/>
  <c r="AP510" i="134"/>
  <c r="AN511" i="134"/>
  <c r="AO511" i="134"/>
  <c r="AP511" i="134"/>
  <c r="AN512" i="134"/>
  <c r="AO512" i="134"/>
  <c r="AP512" i="134"/>
  <c r="AN513" i="134"/>
  <c r="AO513" i="134"/>
  <c r="AP513" i="134"/>
  <c r="AN514" i="134"/>
  <c r="AO514" i="134"/>
  <c r="AP514" i="134"/>
  <c r="AN515" i="134"/>
  <c r="AO515" i="134"/>
  <c r="AP515" i="134"/>
  <c r="AN516" i="134"/>
  <c r="AO516" i="134"/>
  <c r="AP516" i="134"/>
  <c r="AN517" i="134"/>
  <c r="AO517" i="134"/>
  <c r="AP517" i="134"/>
  <c r="AN518" i="134"/>
  <c r="AO518" i="134"/>
  <c r="AP518" i="134"/>
  <c r="AN519" i="134"/>
  <c r="AO519" i="134"/>
  <c r="AP519" i="134"/>
  <c r="AN520" i="134"/>
  <c r="AO520" i="134"/>
  <c r="AP520" i="134"/>
  <c r="AN521" i="134"/>
  <c r="AO521" i="134"/>
  <c r="AP521" i="134"/>
  <c r="AN522" i="134"/>
  <c r="AO522" i="134"/>
  <c r="AP522" i="134"/>
  <c r="AN523" i="134"/>
  <c r="AO523" i="134"/>
  <c r="AP523" i="134"/>
  <c r="AN524" i="134"/>
  <c r="AO524" i="134"/>
  <c r="AP524" i="134"/>
  <c r="AN525" i="134"/>
  <c r="AO525" i="134"/>
  <c r="AP525" i="134"/>
  <c r="AN526" i="134"/>
  <c r="AO526" i="134"/>
  <c r="AP526" i="134"/>
  <c r="AN527" i="134"/>
  <c r="AO527" i="134"/>
  <c r="AP527" i="134"/>
  <c r="AN528" i="134"/>
  <c r="AO528" i="134"/>
  <c r="AP528" i="134"/>
  <c r="AN529" i="134"/>
  <c r="AO529" i="134"/>
  <c r="AP529" i="134"/>
  <c r="AN530" i="134"/>
  <c r="AO530" i="134"/>
  <c r="AP530" i="134"/>
  <c r="AN531" i="134"/>
  <c r="AO531" i="134"/>
  <c r="AP531" i="134"/>
  <c r="AN532" i="134"/>
  <c r="AO532" i="134"/>
  <c r="AP532" i="134"/>
  <c r="AN533" i="134"/>
  <c r="AO533" i="134"/>
  <c r="AP533" i="134"/>
  <c r="AN534" i="134"/>
  <c r="AO534" i="134"/>
  <c r="AP534" i="134"/>
  <c r="AN535" i="134"/>
  <c r="AO535" i="134"/>
  <c r="AP535" i="134"/>
  <c r="AN536" i="134"/>
  <c r="AO536" i="134"/>
  <c r="AP536" i="134"/>
  <c r="AN537" i="134"/>
  <c r="AO537" i="134"/>
  <c r="AP537" i="134"/>
  <c r="AN538" i="134"/>
  <c r="AO538" i="134"/>
  <c r="AP538" i="134"/>
  <c r="AN539" i="134"/>
  <c r="AO539" i="134"/>
  <c r="AP539" i="134"/>
  <c r="AN540" i="134"/>
  <c r="AO540" i="134"/>
  <c r="AP540" i="134"/>
  <c r="AN541" i="134"/>
  <c r="AO541" i="134"/>
  <c r="AP541" i="134"/>
  <c r="AN542" i="134"/>
  <c r="AO542" i="134"/>
  <c r="AP542" i="134"/>
  <c r="AN543" i="134"/>
  <c r="AO543" i="134"/>
  <c r="AP543" i="134"/>
  <c r="AN544" i="134"/>
  <c r="AO544" i="134"/>
  <c r="AP544" i="134"/>
  <c r="AN545" i="134"/>
  <c r="AO545" i="134"/>
  <c r="AP545" i="134"/>
  <c r="AN546" i="134"/>
  <c r="AO546" i="134"/>
  <c r="AP546" i="134"/>
  <c r="AN547" i="134"/>
  <c r="AO547" i="134"/>
  <c r="AP547" i="134"/>
  <c r="AN548" i="134"/>
  <c r="AO548" i="134"/>
  <c r="AP548" i="134"/>
  <c r="AN549" i="134"/>
  <c r="AO549" i="134"/>
  <c r="AP549" i="134"/>
  <c r="AN550" i="134"/>
  <c r="AO550" i="134"/>
  <c r="AP550" i="134"/>
  <c r="AN551" i="134"/>
  <c r="AO551" i="134"/>
  <c r="AP551" i="134"/>
  <c r="AN552" i="134"/>
  <c r="AO552" i="134"/>
  <c r="AP552" i="134"/>
  <c r="AN553" i="134"/>
  <c r="AO553" i="134"/>
  <c r="AP553" i="134"/>
  <c r="AN554" i="134"/>
  <c r="AO554" i="134"/>
  <c r="AP554" i="134"/>
  <c r="AN555" i="134"/>
  <c r="AO555" i="134"/>
  <c r="AP555" i="134"/>
  <c r="AN556" i="134"/>
  <c r="AO556" i="134"/>
  <c r="AP556" i="134"/>
  <c r="AN557" i="134"/>
  <c r="AO557" i="134"/>
  <c r="AP557" i="134"/>
  <c r="AN558" i="134"/>
  <c r="AO558" i="134"/>
  <c r="AP558" i="134"/>
  <c r="AN559" i="134"/>
  <c r="AO559" i="134"/>
  <c r="AP559" i="134"/>
  <c r="AN560" i="134"/>
  <c r="AO560" i="134"/>
  <c r="AP560" i="134"/>
  <c r="AN561" i="134"/>
  <c r="AO561" i="134"/>
  <c r="AP561" i="134"/>
  <c r="AN562" i="134"/>
  <c r="AO562" i="134"/>
  <c r="AP562" i="134"/>
  <c r="AN563" i="134"/>
  <c r="AO563" i="134"/>
  <c r="AP563" i="134"/>
  <c r="AN564" i="134"/>
  <c r="AO564" i="134"/>
  <c r="AP564" i="134"/>
  <c r="AN565" i="134"/>
  <c r="AO565" i="134"/>
  <c r="AP565" i="134"/>
  <c r="AN566" i="134"/>
  <c r="AO566" i="134"/>
  <c r="AP566" i="134"/>
  <c r="AN567" i="134"/>
  <c r="AO567" i="134"/>
  <c r="AP567" i="134"/>
  <c r="AN568" i="134"/>
  <c r="AO568" i="134"/>
  <c r="AP568" i="134"/>
  <c r="AN569" i="134"/>
  <c r="AO569" i="134"/>
  <c r="AP569" i="134"/>
  <c r="AN570" i="134"/>
  <c r="AO570" i="134"/>
  <c r="AP570" i="134"/>
  <c r="AN571" i="134"/>
  <c r="AO571" i="134"/>
  <c r="AP571" i="134"/>
  <c r="AN572" i="134"/>
  <c r="AO572" i="134"/>
  <c r="AP572" i="134"/>
  <c r="AN573" i="134"/>
  <c r="AO573" i="134"/>
  <c r="AP573" i="134"/>
  <c r="AN574" i="134"/>
  <c r="AO574" i="134"/>
  <c r="AP574" i="134"/>
  <c r="AN575" i="134"/>
  <c r="AO575" i="134"/>
  <c r="AP575" i="134"/>
  <c r="AN576" i="134"/>
  <c r="AO576" i="134"/>
  <c r="AP576" i="134"/>
  <c r="AN577" i="134"/>
  <c r="AO577" i="134"/>
  <c r="AP577" i="134"/>
  <c r="AN578" i="134"/>
  <c r="AO578" i="134"/>
  <c r="AP578" i="134"/>
  <c r="AN579" i="134"/>
  <c r="AO579" i="134"/>
  <c r="AP579" i="134"/>
  <c r="AN580" i="134"/>
  <c r="AO580" i="134"/>
  <c r="AP580" i="134"/>
  <c r="AN581" i="134"/>
  <c r="AO581" i="134"/>
  <c r="AP581" i="134"/>
  <c r="AN582" i="134"/>
  <c r="AO582" i="134"/>
  <c r="AP582" i="134"/>
  <c r="AN583" i="134"/>
  <c r="AO583" i="134"/>
  <c r="AP583" i="134"/>
  <c r="AN584" i="134"/>
  <c r="AO584" i="134"/>
  <c r="AP584" i="134"/>
  <c r="AN585" i="134"/>
  <c r="AO585" i="134"/>
  <c r="AP585" i="134"/>
  <c r="AN586" i="134"/>
  <c r="AO586" i="134"/>
  <c r="AP586" i="134"/>
  <c r="AN587" i="134"/>
  <c r="AO587" i="134"/>
  <c r="AP587" i="134"/>
  <c r="AN588" i="134"/>
  <c r="AO588" i="134"/>
  <c r="AP588" i="134"/>
  <c r="AN589" i="134"/>
  <c r="AO589" i="134"/>
  <c r="AP589" i="134"/>
  <c r="AN590" i="134"/>
  <c r="AO590" i="134"/>
  <c r="AP590" i="134"/>
  <c r="AP591" i="134"/>
  <c r="AN591" i="134" s="1"/>
  <c r="AN592" i="134"/>
  <c r="AO592" i="134"/>
  <c r="AP592" i="134"/>
  <c r="AN593" i="134"/>
  <c r="AO593" i="134"/>
  <c r="AP593" i="134"/>
  <c r="AN594" i="134"/>
  <c r="AO594" i="134"/>
  <c r="AP594" i="134"/>
  <c r="AN595" i="134"/>
  <c r="AO595" i="134"/>
  <c r="AP595" i="134"/>
  <c r="AN596" i="134"/>
  <c r="AO596" i="134"/>
  <c r="AP596" i="134"/>
  <c r="AN597" i="134"/>
  <c r="AO597" i="134"/>
  <c r="AP597" i="134"/>
  <c r="AN598" i="134"/>
  <c r="AO598" i="134"/>
  <c r="AP598" i="134"/>
  <c r="AN599" i="134"/>
  <c r="AO599" i="134"/>
  <c r="AP599" i="134"/>
  <c r="AN600" i="134"/>
  <c r="AO600" i="134"/>
  <c r="AP600" i="134"/>
  <c r="AN601" i="134"/>
  <c r="AO601" i="134"/>
  <c r="AP601" i="134"/>
  <c r="AN602" i="134"/>
  <c r="AO602" i="134"/>
  <c r="AP602" i="134"/>
  <c r="AN603" i="134"/>
  <c r="AO603" i="134"/>
  <c r="AP603" i="134"/>
  <c r="AN604" i="134"/>
  <c r="AO604" i="134"/>
  <c r="AP604" i="134"/>
  <c r="AN605" i="134"/>
  <c r="AO605" i="134"/>
  <c r="AP605" i="134"/>
  <c r="AN606" i="134"/>
  <c r="AO606" i="134"/>
  <c r="AP606" i="134"/>
  <c r="AN607" i="134"/>
  <c r="AO607" i="134"/>
  <c r="AP607" i="134"/>
  <c r="AN608" i="134"/>
  <c r="AO608" i="134"/>
  <c r="AP608" i="134"/>
  <c r="AN609" i="134"/>
  <c r="AO609" i="134"/>
  <c r="AP609" i="134"/>
  <c r="AN610" i="134"/>
  <c r="AO610" i="134"/>
  <c r="AP610" i="134"/>
  <c r="AN611" i="134"/>
  <c r="AO611" i="134"/>
  <c r="AP611" i="134"/>
  <c r="AP612" i="134"/>
  <c r="AN612" i="134" s="1"/>
  <c r="AN613" i="134"/>
  <c r="AO613" i="134"/>
  <c r="AP613" i="134"/>
  <c r="AP614" i="134"/>
  <c r="AN614" i="134" s="1"/>
  <c r="AN615" i="134"/>
  <c r="AO615" i="134"/>
  <c r="AP615" i="134"/>
  <c r="AN616" i="134"/>
  <c r="AO616" i="134"/>
  <c r="AP616" i="134"/>
  <c r="AN617" i="134"/>
  <c r="AO617" i="134"/>
  <c r="AP617" i="134"/>
  <c r="AN618" i="134"/>
  <c r="AO618" i="134"/>
  <c r="AP618" i="134"/>
  <c r="AN619" i="134"/>
  <c r="AO619" i="134"/>
  <c r="AP619" i="134"/>
  <c r="AN620" i="134"/>
  <c r="AO620" i="134"/>
  <c r="AP620" i="134"/>
  <c r="AN621" i="134"/>
  <c r="AO621" i="134"/>
  <c r="AP621" i="134"/>
  <c r="AN622" i="134"/>
  <c r="AO622" i="134"/>
  <c r="AP622" i="134"/>
  <c r="AN623" i="134"/>
  <c r="AO623" i="134"/>
  <c r="AP623" i="134"/>
  <c r="AN624" i="134"/>
  <c r="AO624" i="134"/>
  <c r="AP624" i="134"/>
  <c r="AN625" i="134"/>
  <c r="AO625" i="134"/>
  <c r="AP625" i="134"/>
  <c r="AN626" i="134"/>
  <c r="AO626" i="134"/>
  <c r="AP626" i="134"/>
  <c r="AN627" i="134"/>
  <c r="AO627" i="134"/>
  <c r="AP627" i="134"/>
  <c r="AN628" i="134"/>
  <c r="AO628" i="134"/>
  <c r="AP628" i="134"/>
  <c r="AN629" i="134"/>
  <c r="AO629" i="134"/>
  <c r="AP629" i="134"/>
  <c r="AN630" i="134"/>
  <c r="AO630" i="134"/>
  <c r="AP630" i="134"/>
  <c r="AN631" i="134"/>
  <c r="AO631" i="134"/>
  <c r="AP631" i="134"/>
  <c r="AN632" i="134"/>
  <c r="AO632" i="134"/>
  <c r="AP632" i="134"/>
  <c r="AN633" i="134"/>
  <c r="AO633" i="134"/>
  <c r="AP633" i="134"/>
  <c r="AN634" i="134"/>
  <c r="AO634" i="134"/>
  <c r="AP634" i="134"/>
  <c r="AN635" i="134"/>
  <c r="AO635" i="134"/>
  <c r="AP635" i="134"/>
  <c r="AN636" i="134"/>
  <c r="AO636" i="134"/>
  <c r="AP636" i="134"/>
  <c r="AN637" i="134"/>
  <c r="AO637" i="134"/>
  <c r="AP637" i="134"/>
  <c r="AN638" i="134"/>
  <c r="AO638" i="134"/>
  <c r="AP638" i="134"/>
  <c r="AN639" i="134"/>
  <c r="AO639" i="134"/>
  <c r="AP639" i="134"/>
  <c r="AN640" i="134"/>
  <c r="AO640" i="134"/>
  <c r="AP640" i="134"/>
  <c r="AN641" i="134"/>
  <c r="AO641" i="134"/>
  <c r="AP641" i="134"/>
  <c r="AN642" i="134"/>
  <c r="AO642" i="134"/>
  <c r="AP642" i="134"/>
  <c r="AN643" i="134"/>
  <c r="AO643" i="134"/>
  <c r="AP643" i="134"/>
  <c r="AN644" i="134"/>
  <c r="AO644" i="134"/>
  <c r="AP644" i="134"/>
  <c r="AN645" i="134"/>
  <c r="AO645" i="134"/>
  <c r="AP645" i="134"/>
  <c r="AN646" i="134"/>
  <c r="AO646" i="134"/>
  <c r="AP646" i="134"/>
  <c r="AN647" i="134"/>
  <c r="AO647" i="134"/>
  <c r="AP647" i="134"/>
  <c r="AN648" i="134"/>
  <c r="AO648" i="134"/>
  <c r="AP648" i="134"/>
  <c r="AN649" i="134"/>
  <c r="AO649" i="134"/>
  <c r="AP649" i="134"/>
  <c r="AN650" i="134"/>
  <c r="AO650" i="134"/>
  <c r="AP650" i="134"/>
  <c r="AN651" i="134"/>
  <c r="AO651" i="134"/>
  <c r="AP651" i="134"/>
  <c r="AN652" i="134"/>
  <c r="AO652" i="134"/>
  <c r="AP652" i="134"/>
  <c r="AN653" i="134"/>
  <c r="AO653" i="134"/>
  <c r="AP653" i="134"/>
  <c r="AN654" i="134"/>
  <c r="AO654" i="134"/>
  <c r="AP654" i="134"/>
  <c r="AN655" i="134"/>
  <c r="AO655" i="134"/>
  <c r="AP655" i="134"/>
  <c r="AN656" i="134"/>
  <c r="AO656" i="134"/>
  <c r="AP656" i="134"/>
  <c r="AN657" i="134"/>
  <c r="AO657" i="134"/>
  <c r="AP657" i="134"/>
  <c r="AN658" i="134"/>
  <c r="AO658" i="134"/>
  <c r="AP658" i="134"/>
  <c r="AN659" i="134"/>
  <c r="AO659" i="134"/>
  <c r="AP659" i="134"/>
  <c r="AN660" i="134"/>
  <c r="AO660" i="134"/>
  <c r="AP660" i="134"/>
  <c r="AN661" i="134"/>
  <c r="AO661" i="134"/>
  <c r="AP661" i="134"/>
  <c r="AN662" i="134"/>
  <c r="AO662" i="134"/>
  <c r="AP662" i="134"/>
  <c r="AN663" i="134"/>
  <c r="AO663" i="134"/>
  <c r="AP663" i="134"/>
  <c r="AN664" i="134"/>
  <c r="AO664" i="134"/>
  <c r="AP664" i="134"/>
  <c r="AN665" i="134"/>
  <c r="AO665" i="134"/>
  <c r="AP665" i="134"/>
  <c r="AN666" i="134"/>
  <c r="AO666" i="134"/>
  <c r="AP666" i="134"/>
  <c r="AN667" i="134"/>
  <c r="AO667" i="134"/>
  <c r="AP667" i="134"/>
  <c r="AN668" i="134"/>
  <c r="AO668" i="134"/>
  <c r="AP668" i="134"/>
  <c r="AN669" i="134"/>
  <c r="AO669" i="134"/>
  <c r="AP669" i="134"/>
  <c r="AN670" i="134"/>
  <c r="AO670" i="134"/>
  <c r="AP670" i="134"/>
  <c r="AN671" i="134"/>
  <c r="AO671" i="134"/>
  <c r="AP671" i="134"/>
  <c r="AN672" i="134"/>
  <c r="AO672" i="134"/>
  <c r="AP672" i="134"/>
  <c r="AN673" i="134"/>
  <c r="AO673" i="134"/>
  <c r="AP673" i="134"/>
  <c r="AN674" i="134"/>
  <c r="AO674" i="134"/>
  <c r="AP674" i="134"/>
  <c r="AN675" i="134"/>
  <c r="AO675" i="134"/>
  <c r="AP675" i="134"/>
  <c r="AN676" i="134"/>
  <c r="AO676" i="134"/>
  <c r="AP676" i="134"/>
  <c r="AN677" i="134"/>
  <c r="AO677" i="134"/>
  <c r="AP677" i="134"/>
  <c r="AN678" i="134"/>
  <c r="AO678" i="134"/>
  <c r="AP678" i="134"/>
  <c r="AN679" i="134"/>
  <c r="AO679" i="134"/>
  <c r="AP679" i="134"/>
  <c r="AN680" i="134"/>
  <c r="AO680" i="134"/>
  <c r="AP680" i="134"/>
  <c r="AN681" i="134"/>
  <c r="AO681" i="134"/>
  <c r="AP681" i="134"/>
  <c r="AN682" i="134"/>
  <c r="AO682" i="134"/>
  <c r="AP682" i="134"/>
  <c r="AN683" i="134"/>
  <c r="AO683" i="134"/>
  <c r="AP683" i="134"/>
  <c r="AN684" i="134"/>
  <c r="AO684" i="134"/>
  <c r="AP684" i="134"/>
  <c r="AN685" i="134"/>
  <c r="AO685" i="134"/>
  <c r="AP685" i="134"/>
  <c r="AN686" i="134"/>
  <c r="AO686" i="134"/>
  <c r="AP686" i="134"/>
  <c r="AN687" i="134"/>
  <c r="AO687" i="134"/>
  <c r="AP687" i="134"/>
  <c r="AN688" i="134"/>
  <c r="AO688" i="134"/>
  <c r="AP688" i="134"/>
  <c r="AN689" i="134"/>
  <c r="AO689" i="134"/>
  <c r="AP689" i="134"/>
  <c r="AN690" i="134"/>
  <c r="AO690" i="134"/>
  <c r="AP690" i="134"/>
  <c r="AN691" i="134"/>
  <c r="AO691" i="134"/>
  <c r="AP691" i="134"/>
  <c r="AN692" i="134"/>
  <c r="AO692" i="134"/>
  <c r="AP692" i="134"/>
  <c r="AN693" i="134"/>
  <c r="AO693" i="134"/>
  <c r="AP693" i="134"/>
  <c r="AN694" i="134"/>
  <c r="AO694" i="134"/>
  <c r="AP694" i="134"/>
  <c r="AN695" i="134"/>
  <c r="AO695" i="134"/>
  <c r="AP695" i="134"/>
  <c r="AN696" i="134"/>
  <c r="AO696" i="134"/>
  <c r="AP696" i="134"/>
  <c r="AN697" i="134"/>
  <c r="AO697" i="134"/>
  <c r="AP697" i="134"/>
  <c r="AN698" i="134"/>
  <c r="AO698" i="134"/>
  <c r="AP698" i="134"/>
  <c r="AN699" i="134"/>
  <c r="AO699" i="134"/>
  <c r="AP699" i="134"/>
  <c r="AN700" i="134"/>
  <c r="AO700" i="134"/>
  <c r="AP700" i="134"/>
  <c r="AN701" i="134"/>
  <c r="AO701" i="134"/>
  <c r="AP701" i="134"/>
  <c r="AN702" i="134"/>
  <c r="AO702" i="134"/>
  <c r="AP702" i="134"/>
  <c r="AN703" i="134"/>
  <c r="AO703" i="134"/>
  <c r="AP703" i="134"/>
  <c r="AN704" i="134"/>
  <c r="AO704" i="134"/>
  <c r="AP704" i="134"/>
  <c r="AN705" i="134"/>
  <c r="AO705" i="134"/>
  <c r="AP705" i="134"/>
  <c r="AN706" i="134"/>
  <c r="AO706" i="134"/>
  <c r="AP706" i="134"/>
  <c r="AN707" i="134"/>
  <c r="AO707" i="134"/>
  <c r="AP707" i="134"/>
  <c r="AN708" i="134"/>
  <c r="AO708" i="134"/>
  <c r="AP708" i="134"/>
  <c r="AN709" i="134"/>
  <c r="AO709" i="134"/>
  <c r="AP709" i="134"/>
  <c r="AN710" i="134"/>
  <c r="AO710" i="134"/>
  <c r="AP710" i="134"/>
  <c r="AN711" i="134"/>
  <c r="AO711" i="134"/>
  <c r="AP711" i="134"/>
  <c r="AN712" i="134"/>
  <c r="AO712" i="134"/>
  <c r="AP712" i="134"/>
  <c r="AN713" i="134"/>
  <c r="AO713" i="134"/>
  <c r="AP713" i="134"/>
  <c r="AN714" i="134"/>
  <c r="AO714" i="134"/>
  <c r="AP714" i="134"/>
  <c r="AN715" i="134"/>
  <c r="AO715" i="134"/>
  <c r="AP715" i="134"/>
  <c r="AN716" i="134"/>
  <c r="AO716" i="134"/>
  <c r="AP716" i="134"/>
  <c r="AN717" i="134"/>
  <c r="AO717" i="134"/>
  <c r="AP717" i="134"/>
  <c r="AN718" i="134"/>
  <c r="AO718" i="134"/>
  <c r="AP718" i="134"/>
  <c r="AN719" i="134"/>
  <c r="AO719" i="134"/>
  <c r="AP719" i="134"/>
  <c r="AN720" i="134"/>
  <c r="AO720" i="134"/>
  <c r="AP720" i="134"/>
  <c r="AN721" i="134"/>
  <c r="AO721" i="134"/>
  <c r="AP721" i="134"/>
  <c r="AN722" i="134"/>
  <c r="AO722" i="134"/>
  <c r="AP722" i="134"/>
  <c r="AN723" i="134"/>
  <c r="AO723" i="134"/>
  <c r="AP723" i="134"/>
  <c r="AN724" i="134"/>
  <c r="AO724" i="134"/>
  <c r="AP724" i="134"/>
  <c r="AN725" i="134"/>
  <c r="AO725" i="134"/>
  <c r="AP725" i="134"/>
  <c r="AN726" i="134"/>
  <c r="AO726" i="134"/>
  <c r="AP726" i="134"/>
  <c r="AN727" i="134"/>
  <c r="AO727" i="134"/>
  <c r="AP727" i="134"/>
  <c r="AN728" i="134"/>
  <c r="AO728" i="134"/>
  <c r="AP728" i="134"/>
  <c r="AN729" i="134"/>
  <c r="AO729" i="134"/>
  <c r="AP729" i="134"/>
  <c r="AN730" i="134"/>
  <c r="AO730" i="134"/>
  <c r="AP730" i="134"/>
  <c r="AN731" i="134"/>
  <c r="AO731" i="134"/>
  <c r="AP731" i="134"/>
  <c r="AN732" i="134"/>
  <c r="AO732" i="134"/>
  <c r="AP732" i="134"/>
  <c r="AP733" i="134"/>
  <c r="AN733" i="134" s="1"/>
  <c r="AN734" i="134"/>
  <c r="AO734" i="134"/>
  <c r="AP734" i="134"/>
  <c r="AN735" i="134"/>
  <c r="AO735" i="134"/>
  <c r="AP735" i="134"/>
  <c r="AN736" i="134"/>
  <c r="AO736" i="134"/>
  <c r="AP736" i="134"/>
  <c r="AN737" i="134"/>
  <c r="AO737" i="134"/>
  <c r="AP737" i="134"/>
  <c r="AN738" i="134"/>
  <c r="AO738" i="134"/>
  <c r="AP738" i="134"/>
  <c r="AN739" i="134"/>
  <c r="AO739" i="134"/>
  <c r="AP739" i="134"/>
  <c r="AN740" i="134"/>
  <c r="AO740" i="134"/>
  <c r="AP740" i="134"/>
  <c r="AN741" i="134"/>
  <c r="AO741" i="134"/>
  <c r="AP741" i="134"/>
  <c r="AN742" i="134"/>
  <c r="AO742" i="134"/>
  <c r="AP742" i="134"/>
  <c r="AN743" i="134"/>
  <c r="AO743" i="134"/>
  <c r="AP743" i="134"/>
  <c r="AN744" i="134"/>
  <c r="AO744" i="134"/>
  <c r="AP744" i="134"/>
  <c r="AN745" i="134"/>
  <c r="AO745" i="134"/>
  <c r="AP745" i="134"/>
  <c r="AN746" i="134"/>
  <c r="AO746" i="134"/>
  <c r="AP746" i="134"/>
  <c r="AN747" i="134"/>
  <c r="AO747" i="134"/>
  <c r="AP747" i="134"/>
  <c r="AN748" i="134"/>
  <c r="AO748" i="134"/>
  <c r="AP748" i="134"/>
  <c r="AN749" i="134"/>
  <c r="AO749" i="134"/>
  <c r="AP749" i="134"/>
  <c r="AN750" i="134"/>
  <c r="AO750" i="134"/>
  <c r="AP750" i="134"/>
  <c r="AN751" i="134"/>
  <c r="AO751" i="134"/>
  <c r="AP751" i="134"/>
  <c r="AN752" i="134"/>
  <c r="AO752" i="134"/>
  <c r="AP752" i="134"/>
  <c r="AN753" i="134"/>
  <c r="AO753" i="134"/>
  <c r="AP753" i="134"/>
  <c r="AN754" i="134"/>
  <c r="AO754" i="134"/>
  <c r="AP754" i="134"/>
  <c r="AN755" i="134"/>
  <c r="AO755" i="134"/>
  <c r="AP755" i="134"/>
  <c r="AN756" i="134"/>
  <c r="AO756" i="134"/>
  <c r="AP756" i="134"/>
  <c r="AN757" i="134"/>
  <c r="AO757" i="134"/>
  <c r="AP757" i="134"/>
  <c r="AN758" i="134"/>
  <c r="AO758" i="134"/>
  <c r="AP758" i="134"/>
  <c r="AN759" i="134"/>
  <c r="AO759" i="134"/>
  <c r="AP759" i="134"/>
  <c r="AN760" i="134"/>
  <c r="AO760" i="134"/>
  <c r="AP760" i="134"/>
  <c r="AN761" i="134"/>
  <c r="AO761" i="134"/>
  <c r="AP761" i="134"/>
  <c r="AN762" i="134"/>
  <c r="AO762" i="134"/>
  <c r="AP762" i="134"/>
  <c r="AN763" i="134"/>
  <c r="AO763" i="134"/>
  <c r="AP763" i="134"/>
  <c r="AN764" i="134"/>
  <c r="AO764" i="134"/>
  <c r="AP764" i="134"/>
  <c r="AN765" i="134"/>
  <c r="AO765" i="134"/>
  <c r="AP765" i="134"/>
  <c r="AN766" i="134"/>
  <c r="AO766" i="134"/>
  <c r="AP766" i="134"/>
  <c r="AN767" i="134"/>
  <c r="AO767" i="134"/>
  <c r="AP767" i="134"/>
  <c r="AN768" i="134"/>
  <c r="AO768" i="134"/>
  <c r="AP768" i="134"/>
  <c r="AN769" i="134"/>
  <c r="AO769" i="134"/>
  <c r="AP769" i="134"/>
  <c r="AN770" i="134"/>
  <c r="AO770" i="134"/>
  <c r="AP770" i="134"/>
  <c r="AN771" i="134"/>
  <c r="AO771" i="134"/>
  <c r="AP771" i="134"/>
  <c r="AN772" i="134"/>
  <c r="AO772" i="134"/>
  <c r="AP772" i="134"/>
  <c r="AN773" i="134"/>
  <c r="AO773" i="134"/>
  <c r="AP773" i="134"/>
  <c r="AN774" i="134"/>
  <c r="AO774" i="134"/>
  <c r="AP774" i="134"/>
  <c r="AN775" i="134"/>
  <c r="AO775" i="134"/>
  <c r="AP775" i="134"/>
  <c r="AN776" i="134"/>
  <c r="AO776" i="134"/>
  <c r="AP776" i="134"/>
  <c r="AN777" i="134"/>
  <c r="AO777" i="134"/>
  <c r="AP777" i="134"/>
  <c r="AN778" i="134"/>
  <c r="AO778" i="134"/>
  <c r="AP778" i="134"/>
  <c r="AN779" i="134"/>
  <c r="AO779" i="134"/>
  <c r="AP779" i="134"/>
  <c r="AN780" i="134"/>
  <c r="AO780" i="134"/>
  <c r="AP780" i="134"/>
  <c r="AN781" i="134"/>
  <c r="AO781" i="134"/>
  <c r="AP781" i="134"/>
  <c r="AN782" i="134"/>
  <c r="AO782" i="134"/>
  <c r="AP782" i="134"/>
  <c r="AN783" i="134"/>
  <c r="AO783" i="134"/>
  <c r="AP783" i="134"/>
  <c r="AN784" i="134"/>
  <c r="AO784" i="134"/>
  <c r="AP784" i="134"/>
  <c r="AN785" i="134"/>
  <c r="AO785" i="134"/>
  <c r="AP785" i="134"/>
  <c r="AN786" i="134"/>
  <c r="AO786" i="134"/>
  <c r="AP786" i="134"/>
  <c r="AN787" i="134"/>
  <c r="AO787" i="134"/>
  <c r="AP787" i="134"/>
  <c r="AN788" i="134"/>
  <c r="AO788" i="134"/>
  <c r="AP788" i="134"/>
  <c r="AN789" i="134"/>
  <c r="AO789" i="134"/>
  <c r="AP789" i="134"/>
  <c r="AN790" i="134"/>
  <c r="AO790" i="134"/>
  <c r="AP790" i="134"/>
  <c r="AN791" i="134"/>
  <c r="AO791" i="134"/>
  <c r="AP791" i="134"/>
  <c r="AN792" i="134"/>
  <c r="AO792" i="134"/>
  <c r="AP792" i="134"/>
  <c r="AN793" i="134"/>
  <c r="AO793" i="134"/>
  <c r="AP793" i="134"/>
  <c r="AN794" i="134"/>
  <c r="AO794" i="134"/>
  <c r="AP794" i="134"/>
  <c r="AN795" i="134"/>
  <c r="AO795" i="134"/>
  <c r="AP795" i="134"/>
  <c r="AN796" i="134"/>
  <c r="AO796" i="134"/>
  <c r="AP796" i="134"/>
  <c r="AN797" i="134"/>
  <c r="AO797" i="134"/>
  <c r="AP797" i="134"/>
  <c r="AN798" i="134"/>
  <c r="AO798" i="134"/>
  <c r="AP798" i="134"/>
  <c r="AN799" i="134"/>
  <c r="AO799" i="134"/>
  <c r="AP799" i="134"/>
  <c r="AN800" i="134"/>
  <c r="AO800" i="134"/>
  <c r="AP800" i="134"/>
  <c r="AN801" i="134"/>
  <c r="AO801" i="134"/>
  <c r="AP801" i="134"/>
  <c r="AN802" i="134"/>
  <c r="AO802" i="134"/>
  <c r="AP802" i="134"/>
  <c r="AN803" i="134"/>
  <c r="AO803" i="134"/>
  <c r="AP803" i="134"/>
  <c r="AN804" i="134"/>
  <c r="AO804" i="134"/>
  <c r="AP804" i="134"/>
  <c r="AN805" i="134"/>
  <c r="AO805" i="134"/>
  <c r="AP805" i="134"/>
  <c r="AN806" i="134"/>
  <c r="AO806" i="134"/>
  <c r="AP806" i="134"/>
  <c r="AN807" i="134"/>
  <c r="AO807" i="134"/>
  <c r="AP807" i="134"/>
  <c r="AN808" i="134"/>
  <c r="AO808" i="134"/>
  <c r="AP808" i="134"/>
  <c r="AN809" i="134"/>
  <c r="AO809" i="134"/>
  <c r="AP809" i="134"/>
  <c r="AN810" i="134"/>
  <c r="AO810" i="134"/>
  <c r="AP810" i="134"/>
  <c r="AN811" i="134"/>
  <c r="AO811" i="134"/>
  <c r="AP811" i="134"/>
  <c r="AN812" i="134"/>
  <c r="AO812" i="134"/>
  <c r="AP812" i="134"/>
  <c r="AN813" i="134"/>
  <c r="AO813" i="134"/>
  <c r="AP813" i="134"/>
  <c r="AN814" i="134"/>
  <c r="AO814" i="134"/>
  <c r="AP814" i="134"/>
  <c r="AN815" i="134"/>
  <c r="AO815" i="134"/>
  <c r="AP815" i="134"/>
  <c r="AN816" i="134"/>
  <c r="AO816" i="134"/>
  <c r="AP816" i="134"/>
  <c r="AN817" i="134"/>
  <c r="AO817" i="134"/>
  <c r="AP817" i="134"/>
  <c r="AN818" i="134"/>
  <c r="AO818" i="134"/>
  <c r="AP818" i="134"/>
  <c r="AN819" i="134"/>
  <c r="AO819" i="134"/>
  <c r="AP819" i="134"/>
  <c r="AN820" i="134"/>
  <c r="AO820" i="134"/>
  <c r="AP820" i="134"/>
  <c r="AN821" i="134"/>
  <c r="AO821" i="134"/>
  <c r="AP821" i="134"/>
  <c r="AN822" i="134"/>
  <c r="AO822" i="134"/>
  <c r="AP822" i="134"/>
  <c r="AN823" i="134"/>
  <c r="AO823" i="134"/>
  <c r="AP823" i="134"/>
  <c r="AN824" i="134"/>
  <c r="AO824" i="134"/>
  <c r="AP824" i="134"/>
  <c r="AN825" i="134"/>
  <c r="AO825" i="134"/>
  <c r="AP825" i="134"/>
  <c r="AN826" i="134"/>
  <c r="AO826" i="134"/>
  <c r="AP826" i="134"/>
  <c r="AN827" i="134"/>
  <c r="AO827" i="134"/>
  <c r="AP827" i="134"/>
  <c r="AN828" i="134"/>
  <c r="AO828" i="134"/>
  <c r="AP828" i="134"/>
  <c r="AN829" i="134"/>
  <c r="AO829" i="134"/>
  <c r="AP829" i="134"/>
  <c r="AN830" i="134"/>
  <c r="AO830" i="134"/>
  <c r="AP830" i="134"/>
  <c r="AN831" i="134"/>
  <c r="AO831" i="134"/>
  <c r="AP831" i="134"/>
  <c r="AN832" i="134"/>
  <c r="AO832" i="134"/>
  <c r="AP832" i="134"/>
  <c r="AN833" i="134"/>
  <c r="AO833" i="134"/>
  <c r="AP833" i="134"/>
  <c r="AN834" i="134"/>
  <c r="AO834" i="134"/>
  <c r="AP834" i="134"/>
  <c r="AN835" i="134"/>
  <c r="AO835" i="134"/>
  <c r="AP835" i="134"/>
  <c r="AN836" i="134"/>
  <c r="AO836" i="134"/>
  <c r="AP836" i="134"/>
  <c r="AN837" i="134"/>
  <c r="AO837" i="134"/>
  <c r="AP837" i="134"/>
  <c r="AN838" i="134"/>
  <c r="AO838" i="134"/>
  <c r="AP838" i="134"/>
  <c r="AN839" i="134"/>
  <c r="AO839" i="134"/>
  <c r="AP839" i="134"/>
  <c r="AN840" i="134"/>
  <c r="AO840" i="134"/>
  <c r="AP840" i="134"/>
  <c r="AN841" i="134"/>
  <c r="AO841" i="134"/>
  <c r="AP841" i="134"/>
  <c r="AN842" i="134"/>
  <c r="AO842" i="134"/>
  <c r="AP842" i="134"/>
  <c r="AN843" i="134"/>
  <c r="AO843" i="134"/>
  <c r="AP843" i="134"/>
  <c r="AN844" i="134"/>
  <c r="AO844" i="134"/>
  <c r="AP844" i="134"/>
  <c r="AN845" i="134"/>
  <c r="AO845" i="134"/>
  <c r="AP845" i="134"/>
  <c r="AN846" i="134"/>
  <c r="AO846" i="134"/>
  <c r="AP846" i="134"/>
  <c r="AN847" i="134"/>
  <c r="AO847" i="134"/>
  <c r="AP847" i="134"/>
  <c r="AN848" i="134"/>
  <c r="AO848" i="134"/>
  <c r="AP848" i="134"/>
  <c r="AN849" i="134"/>
  <c r="AO849" i="134"/>
  <c r="AP849" i="134"/>
  <c r="AN850" i="134"/>
  <c r="AO850" i="134"/>
  <c r="AP850" i="134"/>
  <c r="AN851" i="134"/>
  <c r="AO851" i="134"/>
  <c r="AP851" i="134"/>
  <c r="AN852" i="134"/>
  <c r="AO852" i="134"/>
  <c r="AP852" i="134"/>
  <c r="AN853" i="134"/>
  <c r="AO853" i="134"/>
  <c r="AP853" i="134"/>
  <c r="AN854" i="134"/>
  <c r="AO854" i="134"/>
  <c r="AP854" i="134"/>
  <c r="AN855" i="134"/>
  <c r="AO855" i="134"/>
  <c r="AP855" i="134"/>
  <c r="AN856" i="134"/>
  <c r="AO856" i="134"/>
  <c r="AP856" i="134"/>
  <c r="AN857" i="134"/>
  <c r="AO857" i="134"/>
  <c r="AP857" i="134"/>
  <c r="AN858" i="134"/>
  <c r="AO858" i="134"/>
  <c r="AP858" i="134"/>
  <c r="AN859" i="134"/>
  <c r="AO859" i="134"/>
  <c r="AP859" i="134"/>
  <c r="AN860" i="134"/>
  <c r="AO860" i="134"/>
  <c r="AP860" i="134"/>
  <c r="AN861" i="134"/>
  <c r="AO861" i="134"/>
  <c r="AP861" i="134"/>
  <c r="AN862" i="134"/>
  <c r="AO862" i="134"/>
  <c r="AP862" i="134"/>
  <c r="AN863" i="134"/>
  <c r="AO863" i="134"/>
  <c r="AP863" i="134"/>
  <c r="AN864" i="134"/>
  <c r="AO864" i="134"/>
  <c r="AP864" i="134"/>
  <c r="AN865" i="134"/>
  <c r="AO865" i="134"/>
  <c r="AP865" i="134"/>
  <c r="AN866" i="134"/>
  <c r="AO866" i="134"/>
  <c r="AP866" i="134"/>
  <c r="AN867" i="134"/>
  <c r="AO867" i="134"/>
  <c r="AP867" i="134"/>
  <c r="AN868" i="134"/>
  <c r="AO868" i="134"/>
  <c r="AP868" i="134"/>
  <c r="AN869" i="134"/>
  <c r="AO869" i="134"/>
  <c r="AP869" i="134"/>
  <c r="AN870" i="134"/>
  <c r="AO870" i="134"/>
  <c r="AP870" i="134"/>
  <c r="AN871" i="134"/>
  <c r="AO871" i="134"/>
  <c r="AP871" i="134"/>
  <c r="AN872" i="134"/>
  <c r="AO872" i="134"/>
  <c r="AP872" i="134"/>
  <c r="AN873" i="134"/>
  <c r="AO873" i="134"/>
  <c r="AP873" i="134"/>
  <c r="AN874" i="134"/>
  <c r="AO874" i="134"/>
  <c r="AP874" i="134"/>
  <c r="AN875" i="134"/>
  <c r="AO875" i="134"/>
  <c r="AP875" i="134"/>
  <c r="AN876" i="134"/>
  <c r="AO876" i="134"/>
  <c r="AP876" i="134"/>
  <c r="AN877" i="134"/>
  <c r="AO877" i="134"/>
  <c r="AP877" i="134"/>
  <c r="AN878" i="134"/>
  <c r="AO878" i="134"/>
  <c r="AP878" i="134"/>
  <c r="AN879" i="134"/>
  <c r="AO879" i="134"/>
  <c r="AP879" i="134"/>
  <c r="AN880" i="134"/>
  <c r="AO880" i="134"/>
  <c r="AP880" i="134"/>
  <c r="AN881" i="134"/>
  <c r="AO881" i="134"/>
  <c r="AP881" i="134"/>
  <c r="AN882" i="134"/>
  <c r="AO882" i="134"/>
  <c r="AP882" i="134"/>
  <c r="AN883" i="134"/>
  <c r="AO883" i="134"/>
  <c r="AP883" i="134"/>
  <c r="AN884" i="134"/>
  <c r="AO884" i="134"/>
  <c r="AP884" i="134"/>
  <c r="AN885" i="134"/>
  <c r="AO885" i="134"/>
  <c r="AP885" i="134"/>
  <c r="AN886" i="134"/>
  <c r="AO886" i="134"/>
  <c r="AP886" i="134"/>
  <c r="AN887" i="134"/>
  <c r="AO887" i="134"/>
  <c r="AP887" i="134"/>
  <c r="AN888" i="134"/>
  <c r="AO888" i="134"/>
  <c r="AP888" i="134"/>
  <c r="AN889" i="134"/>
  <c r="AO889" i="134"/>
  <c r="AP889" i="134"/>
  <c r="AN890" i="134"/>
  <c r="AO890" i="134"/>
  <c r="AP890" i="134"/>
  <c r="AN891" i="134"/>
  <c r="AO891" i="134"/>
  <c r="AP891" i="134"/>
  <c r="AN892" i="134"/>
  <c r="AO892" i="134"/>
  <c r="AP892" i="134"/>
  <c r="AN893" i="134"/>
  <c r="AO893" i="134"/>
  <c r="AP893" i="134"/>
  <c r="AN894" i="134"/>
  <c r="AO894" i="134"/>
  <c r="AP894" i="134"/>
  <c r="AN895" i="134"/>
  <c r="AO895" i="134"/>
  <c r="AP895" i="134"/>
  <c r="AN896" i="134"/>
  <c r="AO896" i="134"/>
  <c r="AP896" i="134"/>
  <c r="AN897" i="134"/>
  <c r="AO897" i="134"/>
  <c r="AP897" i="134"/>
  <c r="AN898" i="134"/>
  <c r="AO898" i="134"/>
  <c r="AP898" i="134"/>
  <c r="AN899" i="134"/>
  <c r="AO899" i="134"/>
  <c r="AP899" i="134"/>
  <c r="AN900" i="134"/>
  <c r="AO900" i="134"/>
  <c r="AP900" i="134"/>
  <c r="AN901" i="134"/>
  <c r="AO901" i="134"/>
  <c r="AP901" i="134"/>
  <c r="AN902" i="134"/>
  <c r="AO902" i="134"/>
  <c r="AP902" i="134"/>
  <c r="AN903" i="134"/>
  <c r="AO903" i="134"/>
  <c r="AP903" i="134"/>
  <c r="AN904" i="134"/>
  <c r="AO904" i="134"/>
  <c r="AP904" i="134"/>
  <c r="AN905" i="134"/>
  <c r="AO905" i="134"/>
  <c r="AP905" i="134"/>
  <c r="AN906" i="134"/>
  <c r="AO906" i="134"/>
  <c r="AP906" i="134"/>
  <c r="AN907" i="134"/>
  <c r="AO907" i="134"/>
  <c r="AP907" i="134"/>
  <c r="AN908" i="134"/>
  <c r="AO908" i="134"/>
  <c r="AP908" i="134"/>
  <c r="AN909" i="134"/>
  <c r="AO909" i="134"/>
  <c r="AP909" i="134"/>
  <c r="AN910" i="134"/>
  <c r="AO910" i="134"/>
  <c r="AP910" i="134"/>
  <c r="AN911" i="134"/>
  <c r="AO911" i="134"/>
  <c r="AP911" i="134"/>
  <c r="AN912" i="134"/>
  <c r="AO912" i="134"/>
  <c r="AP912" i="134"/>
  <c r="AN913" i="134"/>
  <c r="AO913" i="134"/>
  <c r="AP913" i="134"/>
  <c r="AN914" i="134"/>
  <c r="AO914" i="134"/>
  <c r="AP914" i="134"/>
  <c r="AN915" i="134"/>
  <c r="AO915" i="134"/>
  <c r="AP915" i="134"/>
  <c r="AN916" i="134"/>
  <c r="AO916" i="134"/>
  <c r="AP916" i="134"/>
  <c r="AN917" i="134"/>
  <c r="AO917" i="134"/>
  <c r="AP917" i="134"/>
  <c r="AN918" i="134"/>
  <c r="AO918" i="134"/>
  <c r="AP918" i="134"/>
  <c r="AN919" i="134"/>
  <c r="AO919" i="134"/>
  <c r="AP919" i="134"/>
  <c r="AN920" i="134"/>
  <c r="AO920" i="134"/>
  <c r="AP920" i="134"/>
  <c r="AN921" i="134"/>
  <c r="AO921" i="134"/>
  <c r="AP921" i="134"/>
  <c r="AN922" i="134"/>
  <c r="AO922" i="134"/>
  <c r="AP922" i="134"/>
  <c r="AN923" i="134"/>
  <c r="AO923" i="134"/>
  <c r="AP923" i="134"/>
  <c r="AN924" i="134"/>
  <c r="AO924" i="134"/>
  <c r="AP924" i="134"/>
  <c r="AN925" i="134"/>
  <c r="AO925" i="134"/>
  <c r="AP925" i="134"/>
  <c r="AN926" i="134"/>
  <c r="AO926" i="134"/>
  <c r="AP926" i="134"/>
  <c r="AN927" i="134"/>
  <c r="AO927" i="134"/>
  <c r="AP927" i="134"/>
  <c r="AN928" i="134"/>
  <c r="AO928" i="134"/>
  <c r="AP928" i="134"/>
  <c r="AN929" i="134"/>
  <c r="AO929" i="134"/>
  <c r="AP929" i="134"/>
  <c r="AN930" i="134"/>
  <c r="AO930" i="134"/>
  <c r="AP930" i="134"/>
  <c r="AN931" i="134"/>
  <c r="AO931" i="134"/>
  <c r="AP931" i="134"/>
  <c r="AN932" i="134"/>
  <c r="AO932" i="134"/>
  <c r="AP932" i="134"/>
  <c r="AN933" i="134"/>
  <c r="AO933" i="134"/>
  <c r="AP933" i="134"/>
  <c r="AN934" i="134"/>
  <c r="AO934" i="134"/>
  <c r="AP934" i="134"/>
  <c r="AN935" i="134"/>
  <c r="AO935" i="134"/>
  <c r="AP935" i="134"/>
  <c r="AN936" i="134"/>
  <c r="AO936" i="134"/>
  <c r="AP936" i="134"/>
  <c r="AN937" i="134"/>
  <c r="AO937" i="134"/>
  <c r="AP937" i="134"/>
  <c r="AN938" i="134"/>
  <c r="AO938" i="134"/>
  <c r="AP938" i="134"/>
  <c r="AN939" i="134"/>
  <c r="AO939" i="134"/>
  <c r="AP939" i="134"/>
  <c r="AN940" i="134"/>
  <c r="AO940" i="134"/>
  <c r="AP940" i="134"/>
  <c r="AN941" i="134"/>
  <c r="AO941" i="134"/>
  <c r="AP941" i="134"/>
  <c r="AN942" i="134"/>
  <c r="AO942" i="134"/>
  <c r="AP942" i="134"/>
  <c r="AN943" i="134"/>
  <c r="AO943" i="134"/>
  <c r="AP943" i="134"/>
  <c r="AN944" i="134"/>
  <c r="AO944" i="134"/>
  <c r="AP944" i="134"/>
  <c r="AN945" i="134"/>
  <c r="AO945" i="134"/>
  <c r="AP945" i="134"/>
  <c r="AN946" i="134"/>
  <c r="AO946" i="134"/>
  <c r="AP946" i="134"/>
  <c r="AN947" i="134"/>
  <c r="AO947" i="134"/>
  <c r="AP947" i="134"/>
  <c r="AN948" i="134"/>
  <c r="AO948" i="134"/>
  <c r="AP948" i="134"/>
  <c r="C14" i="135"/>
  <c r="F16" i="135"/>
  <c r="AI16" i="135"/>
  <c r="AJ16" i="135" s="1"/>
  <c r="F17" i="135"/>
  <c r="F17" i="139" s="1"/>
  <c r="M17" i="135"/>
  <c r="N17" i="135"/>
  <c r="O17" i="135"/>
  <c r="P17" i="135"/>
  <c r="Q17" i="135"/>
  <c r="R17" i="135"/>
  <c r="W17" i="135"/>
  <c r="X17" i="135" s="1"/>
  <c r="AB17" i="135"/>
  <c r="AC17" i="135" s="1"/>
  <c r="AI17" i="135"/>
  <c r="AJ17" i="135" s="1"/>
  <c r="F18" i="135"/>
  <c r="F16" i="134" s="1"/>
  <c r="M18" i="135"/>
  <c r="N18" i="135"/>
  <c r="O18" i="135"/>
  <c r="P18" i="135"/>
  <c r="Q18" i="135"/>
  <c r="R18" i="135" s="1"/>
  <c r="W18" i="135"/>
  <c r="X18" i="135" s="1"/>
  <c r="AB18" i="135"/>
  <c r="AI18" i="135"/>
  <c r="AJ18" i="135" s="1"/>
  <c r="F19" i="135"/>
  <c r="M19" i="135"/>
  <c r="N19" i="135"/>
  <c r="O19" i="135"/>
  <c r="P19" i="135"/>
  <c r="R19" i="135" s="1"/>
  <c r="Q19" i="135"/>
  <c r="W19" i="135"/>
  <c r="X19" i="135" s="1"/>
  <c r="AB19" i="135"/>
  <c r="AI19" i="135"/>
  <c r="AJ19" i="135" s="1"/>
  <c r="F20" i="135"/>
  <c r="M20" i="135"/>
  <c r="N20" i="135"/>
  <c r="O20" i="135"/>
  <c r="P20" i="135"/>
  <c r="Q20" i="135"/>
  <c r="R20" i="135"/>
  <c r="W20" i="135"/>
  <c r="AB20" i="135"/>
  <c r="AC20" i="135" s="1"/>
  <c r="AI20" i="135"/>
  <c r="AJ20" i="135" s="1"/>
  <c r="F21" i="135"/>
  <c r="M21" i="135"/>
  <c r="N21" i="135"/>
  <c r="O21" i="135"/>
  <c r="P21" i="135"/>
  <c r="Q21" i="135"/>
  <c r="R21" i="135"/>
  <c r="W21" i="135"/>
  <c r="X21" i="135" s="1"/>
  <c r="AB21" i="135"/>
  <c r="AC21" i="135" s="1"/>
  <c r="AI21" i="135"/>
  <c r="AJ21" i="135" s="1"/>
  <c r="F22" i="135"/>
  <c r="M22" i="135"/>
  <c r="N22" i="135"/>
  <c r="O22" i="135"/>
  <c r="R22" i="135" s="1"/>
  <c r="P22" i="135"/>
  <c r="Q22" i="135"/>
  <c r="W22" i="135"/>
  <c r="X22" i="135" s="1"/>
  <c r="AB22" i="135"/>
  <c r="AI22" i="135"/>
  <c r="AJ22" i="135" s="1"/>
  <c r="M23" i="135"/>
  <c r="N23" i="135"/>
  <c r="O23" i="135"/>
  <c r="R23" i="135" s="1"/>
  <c r="P23" i="135"/>
  <c r="Q23" i="135"/>
  <c r="W23" i="135"/>
  <c r="X23" i="135" s="1"/>
  <c r="AB23" i="135"/>
  <c r="AC23" i="135" s="1"/>
  <c r="AI23" i="135"/>
  <c r="AJ23" i="135" s="1"/>
  <c r="M24" i="135"/>
  <c r="N24" i="135"/>
  <c r="O24" i="135"/>
  <c r="P24" i="135"/>
  <c r="Q24" i="135"/>
  <c r="R24" i="135"/>
  <c r="W24" i="135"/>
  <c r="X24" i="135" s="1"/>
  <c r="AB24" i="135"/>
  <c r="AC24" i="135" s="1"/>
  <c r="AI24" i="135"/>
  <c r="AJ24" i="135" s="1"/>
  <c r="F25" i="135"/>
  <c r="M25" i="135"/>
  <c r="N25" i="135"/>
  <c r="O25" i="135"/>
  <c r="R25" i="135" s="1"/>
  <c r="P25" i="135"/>
  <c r="Q25" i="135"/>
  <c r="W25" i="135"/>
  <c r="X25" i="135" s="1"/>
  <c r="AB25" i="135"/>
  <c r="AC25" i="135" s="1"/>
  <c r="AI25" i="135"/>
  <c r="AJ25" i="135" s="1"/>
  <c r="F26" i="135"/>
  <c r="F26" i="139" s="1"/>
  <c r="M26" i="135"/>
  <c r="N26" i="135"/>
  <c r="O26" i="135"/>
  <c r="P26" i="135"/>
  <c r="Q26" i="135"/>
  <c r="R26" i="135"/>
  <c r="W26" i="135"/>
  <c r="X26" i="135" s="1"/>
  <c r="AB26" i="135"/>
  <c r="AI26" i="135"/>
  <c r="AJ26" i="135" s="1"/>
  <c r="F27" i="135"/>
  <c r="F25" i="134" s="1"/>
  <c r="M27" i="135"/>
  <c r="N27" i="135"/>
  <c r="O27" i="135"/>
  <c r="P27" i="135"/>
  <c r="Q27" i="135"/>
  <c r="R27" i="135"/>
  <c r="W27" i="135"/>
  <c r="X27" i="135" s="1"/>
  <c r="AB27" i="135"/>
  <c r="AC27" i="135" s="1"/>
  <c r="AI27" i="135"/>
  <c r="AJ27" i="135" s="1"/>
  <c r="F28" i="135"/>
  <c r="M28" i="135"/>
  <c r="N28" i="135"/>
  <c r="O28" i="135"/>
  <c r="P28" i="135"/>
  <c r="R28" i="135" s="1"/>
  <c r="Q28" i="135"/>
  <c r="W28" i="135"/>
  <c r="AB28" i="135"/>
  <c r="AC28" i="135" s="1"/>
  <c r="AI28" i="135"/>
  <c r="AJ28" i="135" s="1"/>
  <c r="F29" i="135"/>
  <c r="M29" i="135"/>
  <c r="N29" i="135"/>
  <c r="O29" i="135"/>
  <c r="R29" i="135" s="1"/>
  <c r="P29" i="135"/>
  <c r="Q29" i="135"/>
  <c r="W29" i="135"/>
  <c r="X29" i="135" s="1"/>
  <c r="AB29" i="135"/>
  <c r="AC29" i="135" s="1"/>
  <c r="AI29" i="135"/>
  <c r="AJ29" i="135" s="1"/>
  <c r="F30" i="135"/>
  <c r="M30" i="135"/>
  <c r="N30" i="135"/>
  <c r="O30" i="135"/>
  <c r="R30" i="135" s="1"/>
  <c r="P30" i="135"/>
  <c r="Q30" i="135"/>
  <c r="W30" i="135"/>
  <c r="X30" i="135" s="1"/>
  <c r="AB30" i="135"/>
  <c r="AI30" i="135"/>
  <c r="AJ30" i="135" s="1"/>
  <c r="F31" i="135"/>
  <c r="F31" i="139" s="1"/>
  <c r="M31" i="135"/>
  <c r="N31" i="135"/>
  <c r="O31" i="135"/>
  <c r="R31" i="135" s="1"/>
  <c r="P31" i="135"/>
  <c r="Q31" i="135"/>
  <c r="W31" i="135"/>
  <c r="AB31" i="135"/>
  <c r="AC31" i="135" s="1"/>
  <c r="AI31" i="135"/>
  <c r="AJ31" i="135" s="1"/>
  <c r="F32" i="135"/>
  <c r="F30" i="134" s="1"/>
  <c r="M32" i="135"/>
  <c r="N32" i="135"/>
  <c r="O32" i="135"/>
  <c r="P32" i="135"/>
  <c r="Q32" i="135"/>
  <c r="R32" i="135"/>
  <c r="W32" i="135"/>
  <c r="X32" i="135" s="1"/>
  <c r="AB32" i="135"/>
  <c r="AC32" i="135" s="1"/>
  <c r="AI32" i="135"/>
  <c r="AJ32" i="135" s="1"/>
  <c r="F33" i="135"/>
  <c r="M33" i="135"/>
  <c r="N33" i="135"/>
  <c r="O33" i="135"/>
  <c r="P33" i="135"/>
  <c r="Q33" i="135"/>
  <c r="R33" i="135" s="1"/>
  <c r="W33" i="135"/>
  <c r="X33" i="135" s="1"/>
  <c r="AB33" i="135"/>
  <c r="AC33" i="135" s="1"/>
  <c r="AI33" i="135"/>
  <c r="AJ33" i="135" s="1"/>
  <c r="F34" i="135"/>
  <c r="M34" i="135"/>
  <c r="N34" i="135"/>
  <c r="O34" i="135"/>
  <c r="R34" i="135" s="1"/>
  <c r="P34" i="135"/>
  <c r="Q34" i="135"/>
  <c r="W34" i="135"/>
  <c r="X34" i="135" s="1"/>
  <c r="AB34" i="135"/>
  <c r="AI34" i="135"/>
  <c r="AJ34" i="135" s="1"/>
  <c r="F35" i="135"/>
  <c r="F33" i="134" s="1"/>
  <c r="M35" i="135"/>
  <c r="N35" i="135"/>
  <c r="O35" i="135"/>
  <c r="P35" i="135"/>
  <c r="Q35" i="135"/>
  <c r="R35" i="135"/>
  <c r="W35" i="135"/>
  <c r="X35" i="135" s="1"/>
  <c r="AB35" i="135"/>
  <c r="AI35" i="135"/>
  <c r="AJ35" i="135" s="1"/>
  <c r="F36" i="135"/>
  <c r="F36" i="139" s="1"/>
  <c r="M36" i="135"/>
  <c r="N36" i="135"/>
  <c r="O36" i="135"/>
  <c r="P36" i="135"/>
  <c r="Q36" i="135"/>
  <c r="R36" i="135"/>
  <c r="W36" i="135"/>
  <c r="AB36" i="135"/>
  <c r="AC36" i="135" s="1"/>
  <c r="AI36" i="135"/>
  <c r="AJ36" i="135" s="1"/>
  <c r="F37" i="135"/>
  <c r="M37" i="135"/>
  <c r="N37" i="135"/>
  <c r="O37" i="135"/>
  <c r="P37" i="135"/>
  <c r="Q37" i="135"/>
  <c r="R37" i="135"/>
  <c r="W37" i="135"/>
  <c r="X37" i="135" s="1"/>
  <c r="AB37" i="135"/>
  <c r="AC37" i="135" s="1"/>
  <c r="AI37" i="135"/>
  <c r="AJ37" i="135" s="1"/>
  <c r="F38" i="135"/>
  <c r="F38" i="139" s="1"/>
  <c r="M38" i="135"/>
  <c r="N38" i="135"/>
  <c r="O38" i="135"/>
  <c r="P38" i="135"/>
  <c r="Q38" i="135"/>
  <c r="R38" i="135"/>
  <c r="W38" i="135"/>
  <c r="X38" i="135" s="1"/>
  <c r="AB38" i="135"/>
  <c r="AI38" i="135"/>
  <c r="AJ38" i="135" s="1"/>
  <c r="F39" i="135"/>
  <c r="M39" i="135"/>
  <c r="N39" i="135"/>
  <c r="O39" i="135"/>
  <c r="R39" i="135" s="1"/>
  <c r="P39" i="135"/>
  <c r="Q39" i="135"/>
  <c r="W39" i="135"/>
  <c r="X39" i="135" s="1"/>
  <c r="AB39" i="135"/>
  <c r="AC39" i="135" s="1"/>
  <c r="AI39" i="135"/>
  <c r="AJ39" i="135" s="1"/>
  <c r="F40" i="135"/>
  <c r="F40" i="139" s="1"/>
  <c r="M40" i="135"/>
  <c r="N40" i="135"/>
  <c r="O40" i="135"/>
  <c r="P40" i="135"/>
  <c r="Q40" i="135"/>
  <c r="R40" i="135"/>
  <c r="W40" i="135"/>
  <c r="AB40" i="135"/>
  <c r="AC40" i="135" s="1"/>
  <c r="AI40" i="135"/>
  <c r="AJ40" i="135" s="1"/>
  <c r="F41" i="135"/>
  <c r="M41" i="135"/>
  <c r="N41" i="135"/>
  <c r="O41" i="135"/>
  <c r="P41" i="135"/>
  <c r="Q41" i="135"/>
  <c r="R41" i="135"/>
  <c r="W41" i="135"/>
  <c r="X41" i="135" s="1"/>
  <c r="AB41" i="135"/>
  <c r="AC41" i="135" s="1"/>
  <c r="AI41" i="135"/>
  <c r="AJ41" i="135" s="1"/>
  <c r="F42" i="135"/>
  <c r="F42" i="139" s="1"/>
  <c r="M42" i="135"/>
  <c r="N42" i="135"/>
  <c r="O42" i="135"/>
  <c r="P42" i="135"/>
  <c r="Q42" i="135"/>
  <c r="R42" i="135"/>
  <c r="W42" i="135"/>
  <c r="X42" i="135" s="1"/>
  <c r="AB42" i="135"/>
  <c r="AI42" i="135"/>
  <c r="AJ42" i="135" s="1"/>
  <c r="F43" i="135"/>
  <c r="F41" i="134" s="1"/>
  <c r="M43" i="135"/>
  <c r="N43" i="135"/>
  <c r="O43" i="135"/>
  <c r="P43" i="135"/>
  <c r="Q43" i="135"/>
  <c r="R43" i="135"/>
  <c r="W43" i="135"/>
  <c r="X43" i="135" s="1"/>
  <c r="AB43" i="135"/>
  <c r="AC43" i="135" s="1"/>
  <c r="AI43" i="135"/>
  <c r="AJ43" i="135" s="1"/>
  <c r="F44" i="135"/>
  <c r="M44" i="135"/>
  <c r="N44" i="135"/>
  <c r="O44" i="135"/>
  <c r="P44" i="135"/>
  <c r="Q44" i="135"/>
  <c r="R44" i="135"/>
  <c r="W44" i="135"/>
  <c r="X44" i="135" s="1"/>
  <c r="AB44" i="135"/>
  <c r="AC44" i="135" s="1"/>
  <c r="AI44" i="135"/>
  <c r="AJ44" i="135" s="1"/>
  <c r="F45" i="135"/>
  <c r="M45" i="135"/>
  <c r="N45" i="135"/>
  <c r="O45" i="135"/>
  <c r="P45" i="135"/>
  <c r="Q45" i="135"/>
  <c r="R45" i="135"/>
  <c r="W45" i="135"/>
  <c r="X45" i="135" s="1"/>
  <c r="AB45" i="135"/>
  <c r="AC45" i="135" s="1"/>
  <c r="AI45" i="135"/>
  <c r="AJ45" i="135" s="1"/>
  <c r="F46" i="135"/>
  <c r="F44" i="134" s="1"/>
  <c r="M46" i="135"/>
  <c r="N46" i="135"/>
  <c r="O46" i="135"/>
  <c r="R46" i="135" s="1"/>
  <c r="P46" i="135"/>
  <c r="Q46" i="135"/>
  <c r="W46" i="135"/>
  <c r="X46" i="135" s="1"/>
  <c r="AB46" i="135"/>
  <c r="AI46" i="135"/>
  <c r="AJ46" i="135" s="1"/>
  <c r="F47" i="135"/>
  <c r="F47" i="139" s="1"/>
  <c r="M47" i="135"/>
  <c r="N47" i="135"/>
  <c r="O47" i="135"/>
  <c r="P47" i="135"/>
  <c r="R47" i="135" s="1"/>
  <c r="Q47" i="135"/>
  <c r="W47" i="135"/>
  <c r="X47" i="135" s="1"/>
  <c r="AB47" i="135"/>
  <c r="AC47" i="135" s="1"/>
  <c r="AI47" i="135"/>
  <c r="AJ47" i="135" s="1"/>
  <c r="F48" i="135"/>
  <c r="M48" i="135"/>
  <c r="N48" i="135"/>
  <c r="O48" i="135"/>
  <c r="R48" i="135" s="1"/>
  <c r="P48" i="135"/>
  <c r="Q48" i="135"/>
  <c r="W48" i="135"/>
  <c r="X48" i="135" s="1"/>
  <c r="AB48" i="135"/>
  <c r="AC48" i="135" s="1"/>
  <c r="AI48" i="135"/>
  <c r="AJ48" i="135" s="1"/>
  <c r="F49" i="135"/>
  <c r="F49" i="139" s="1"/>
  <c r="M49" i="135"/>
  <c r="N49" i="135"/>
  <c r="O49" i="135"/>
  <c r="P49" i="135"/>
  <c r="Q49" i="135"/>
  <c r="R49" i="135"/>
  <c r="W49" i="135"/>
  <c r="X49" i="135" s="1"/>
  <c r="AB49" i="135"/>
  <c r="AI49" i="135"/>
  <c r="AJ49" i="135" s="1"/>
  <c r="F50" i="135"/>
  <c r="M50" i="135"/>
  <c r="N50" i="135"/>
  <c r="O50" i="135"/>
  <c r="R50" i="135" s="1"/>
  <c r="P50" i="135"/>
  <c r="Q50" i="135"/>
  <c r="W50" i="135"/>
  <c r="X50" i="135" s="1"/>
  <c r="AB50" i="135"/>
  <c r="AI50" i="135"/>
  <c r="AJ50" i="135" s="1"/>
  <c r="F51" i="135"/>
  <c r="M51" i="135"/>
  <c r="N51" i="135"/>
  <c r="O51" i="135"/>
  <c r="P51" i="135"/>
  <c r="Q51" i="135"/>
  <c r="R51" i="135"/>
  <c r="W51" i="135"/>
  <c r="AB51" i="135"/>
  <c r="AC51" i="135" s="1"/>
  <c r="AI51" i="135"/>
  <c r="AJ51" i="135" s="1"/>
  <c r="F52" i="135"/>
  <c r="F50" i="134" s="1"/>
  <c r="M52" i="135"/>
  <c r="N52" i="135"/>
  <c r="O52" i="135"/>
  <c r="P52" i="135"/>
  <c r="Q52" i="135"/>
  <c r="R52" i="135"/>
  <c r="W52" i="135"/>
  <c r="AB52" i="135"/>
  <c r="AC52" i="135" s="1"/>
  <c r="AI52" i="135"/>
  <c r="AJ52" i="135" s="1"/>
  <c r="F53" i="135"/>
  <c r="M53" i="135"/>
  <c r="N53" i="135"/>
  <c r="O53" i="135"/>
  <c r="P53" i="135"/>
  <c r="Q53" i="135"/>
  <c r="R53" i="135"/>
  <c r="W53" i="135"/>
  <c r="X53" i="135" s="1"/>
  <c r="AB53" i="135"/>
  <c r="AI53" i="135"/>
  <c r="AJ53" i="135" s="1"/>
  <c r="F54" i="135"/>
  <c r="M54" i="135"/>
  <c r="N54" i="135"/>
  <c r="O54" i="135"/>
  <c r="P54" i="135"/>
  <c r="Q54" i="135"/>
  <c r="R54" i="135"/>
  <c r="W54" i="135"/>
  <c r="X54" i="135" s="1"/>
  <c r="AB54" i="135"/>
  <c r="AI54" i="135"/>
  <c r="AJ54" i="135" s="1"/>
  <c r="F55" i="135"/>
  <c r="F53" i="134" s="1"/>
  <c r="M55" i="135"/>
  <c r="N55" i="135"/>
  <c r="O55" i="135"/>
  <c r="P55" i="135"/>
  <c r="R55" i="135" s="1"/>
  <c r="Q55" i="135"/>
  <c r="W55" i="135"/>
  <c r="AB55" i="135"/>
  <c r="AC55" i="135" s="1"/>
  <c r="AI55" i="135"/>
  <c r="AJ55" i="135" s="1"/>
  <c r="F56" i="135"/>
  <c r="M56" i="135"/>
  <c r="N56" i="135"/>
  <c r="O56" i="135"/>
  <c r="P56" i="135"/>
  <c r="Q56" i="135"/>
  <c r="R56" i="135"/>
  <c r="W56" i="135"/>
  <c r="X56" i="135" s="1"/>
  <c r="AB56" i="135"/>
  <c r="AC56" i="135" s="1"/>
  <c r="AI56" i="135"/>
  <c r="AJ56" i="135" s="1"/>
  <c r="F57" i="135"/>
  <c r="M57" i="135"/>
  <c r="N57" i="135"/>
  <c r="O57" i="135"/>
  <c r="P57" i="135"/>
  <c r="Q57" i="135"/>
  <c r="R57" i="135"/>
  <c r="W57" i="135"/>
  <c r="X57" i="135" s="1"/>
  <c r="AB57" i="135"/>
  <c r="AC57" i="135" s="1"/>
  <c r="AI57" i="135"/>
  <c r="AJ57" i="135" s="1"/>
  <c r="F58" i="135"/>
  <c r="F56" i="134" s="1"/>
  <c r="M58" i="135"/>
  <c r="N58" i="135"/>
  <c r="O58" i="135"/>
  <c r="P58" i="135"/>
  <c r="Q58" i="135"/>
  <c r="R58" i="135"/>
  <c r="W58" i="135"/>
  <c r="X58" i="135" s="1"/>
  <c r="AB58" i="135"/>
  <c r="AI58" i="135"/>
  <c r="AJ58" i="135" s="1"/>
  <c r="F59" i="135"/>
  <c r="M59" i="135"/>
  <c r="N59" i="135"/>
  <c r="O59" i="135"/>
  <c r="P59" i="135"/>
  <c r="Q59" i="135"/>
  <c r="R59" i="135"/>
  <c r="W59" i="135"/>
  <c r="X59" i="135" s="1"/>
  <c r="AB59" i="135"/>
  <c r="AC59" i="135" s="1"/>
  <c r="AI59" i="135"/>
  <c r="AJ59" i="135" s="1"/>
  <c r="F60" i="135"/>
  <c r="M60" i="135"/>
  <c r="N60" i="135"/>
  <c r="O60" i="135"/>
  <c r="R60" i="135" s="1"/>
  <c r="P60" i="135"/>
  <c r="Q60" i="135"/>
  <c r="W60" i="135"/>
  <c r="X60" i="135" s="1"/>
  <c r="AB60" i="135"/>
  <c r="AC60" i="135" s="1"/>
  <c r="AI60" i="135"/>
  <c r="AJ60" i="135" s="1"/>
  <c r="F61" i="135"/>
  <c r="F61" i="139" s="1"/>
  <c r="M61" i="135"/>
  <c r="N61" i="135"/>
  <c r="O61" i="135"/>
  <c r="P61" i="135"/>
  <c r="Q61" i="135"/>
  <c r="R61" i="135"/>
  <c r="W61" i="135"/>
  <c r="X61" i="135" s="1"/>
  <c r="AB61" i="135"/>
  <c r="AI61" i="135"/>
  <c r="AJ61" i="135" s="1"/>
  <c r="F62" i="135"/>
  <c r="M62" i="135"/>
  <c r="N62" i="135"/>
  <c r="O62" i="135"/>
  <c r="R62" i="135" s="1"/>
  <c r="P62" i="135"/>
  <c r="Q62" i="135"/>
  <c r="W62" i="135"/>
  <c r="X62" i="135" s="1"/>
  <c r="AB62" i="135"/>
  <c r="AI62" i="135"/>
  <c r="AJ62" i="135"/>
  <c r="F63" i="135"/>
  <c r="F61" i="134" s="1"/>
  <c r="M63" i="135"/>
  <c r="N63" i="135"/>
  <c r="O63" i="135"/>
  <c r="P63" i="135"/>
  <c r="Q63" i="135"/>
  <c r="R63" i="135" s="1"/>
  <c r="W63" i="135"/>
  <c r="X63" i="135" s="1"/>
  <c r="AB63" i="135"/>
  <c r="AC63" i="135" s="1"/>
  <c r="AI63" i="135"/>
  <c r="AJ63" i="135" s="1"/>
  <c r="F64" i="135"/>
  <c r="M64" i="135"/>
  <c r="N64" i="135"/>
  <c r="O64" i="135"/>
  <c r="P64" i="135"/>
  <c r="R64" i="135" s="1"/>
  <c r="Q64" i="135"/>
  <c r="W64" i="135"/>
  <c r="X64" i="135" s="1"/>
  <c r="AB64" i="135"/>
  <c r="AC64" i="135" s="1"/>
  <c r="AI64" i="135"/>
  <c r="AJ64" i="135" s="1"/>
  <c r="F65" i="135"/>
  <c r="F65" i="139" s="1"/>
  <c r="M65" i="135"/>
  <c r="N65" i="135"/>
  <c r="O65" i="135"/>
  <c r="P65" i="135"/>
  <c r="Q65" i="135"/>
  <c r="R65" i="135"/>
  <c r="W65" i="135"/>
  <c r="X65" i="135" s="1"/>
  <c r="AB65" i="135"/>
  <c r="AI65" i="135"/>
  <c r="AJ65" i="135" s="1"/>
  <c r="F66" i="135"/>
  <c r="M66" i="135"/>
  <c r="N66" i="135"/>
  <c r="O66" i="135"/>
  <c r="R66" i="135" s="1"/>
  <c r="P66" i="135"/>
  <c r="Q66" i="135"/>
  <c r="W66" i="135"/>
  <c r="X66" i="135" s="1"/>
  <c r="AB66" i="135"/>
  <c r="AI66" i="135"/>
  <c r="AJ66" i="135"/>
  <c r="F67" i="135"/>
  <c r="M67" i="135"/>
  <c r="N67" i="135"/>
  <c r="O67" i="135"/>
  <c r="P67" i="135"/>
  <c r="Q67" i="135"/>
  <c r="R67" i="135"/>
  <c r="W67" i="135"/>
  <c r="AB67" i="135"/>
  <c r="AC67" i="135" s="1"/>
  <c r="AI67" i="135"/>
  <c r="AJ67" i="135" s="1"/>
  <c r="F68" i="135"/>
  <c r="F68" i="139" s="1"/>
  <c r="M68" i="135"/>
  <c r="N68" i="135"/>
  <c r="O68" i="135"/>
  <c r="P68" i="135"/>
  <c r="Q68" i="135"/>
  <c r="R68" i="135"/>
  <c r="W68" i="135"/>
  <c r="X68" i="135" s="1"/>
  <c r="AB68" i="135"/>
  <c r="AC68" i="135" s="1"/>
  <c r="AI68" i="135"/>
  <c r="AJ68" i="135" s="1"/>
  <c r="F69" i="135"/>
  <c r="F67" i="134" s="1"/>
  <c r="M69" i="135"/>
  <c r="N69" i="135"/>
  <c r="O69" i="135"/>
  <c r="R69" i="135" s="1"/>
  <c r="P69" i="135"/>
  <c r="Q69" i="135"/>
  <c r="W69" i="135"/>
  <c r="X69" i="135" s="1"/>
  <c r="AB69" i="135"/>
  <c r="AI69" i="135"/>
  <c r="AJ69" i="135" s="1"/>
  <c r="F70" i="135"/>
  <c r="F70" i="139" s="1"/>
  <c r="M70" i="135"/>
  <c r="N70" i="135"/>
  <c r="O70" i="135"/>
  <c r="P70" i="135"/>
  <c r="Q70" i="135"/>
  <c r="R70" i="135"/>
  <c r="W70" i="135"/>
  <c r="X70" i="135" s="1"/>
  <c r="AB70" i="135"/>
  <c r="AI70" i="135"/>
  <c r="AJ70" i="135" s="1"/>
  <c r="F71" i="135"/>
  <c r="M71" i="135"/>
  <c r="N71" i="135"/>
  <c r="O71" i="135"/>
  <c r="R71" i="135" s="1"/>
  <c r="P71" i="135"/>
  <c r="Q71" i="135"/>
  <c r="W71" i="135"/>
  <c r="X71" i="135" s="1"/>
  <c r="AB71" i="135"/>
  <c r="AC71" i="135" s="1"/>
  <c r="AI71" i="135"/>
  <c r="AJ71" i="135" s="1"/>
  <c r="F72" i="135"/>
  <c r="F72" i="139" s="1"/>
  <c r="M72" i="135"/>
  <c r="N72" i="135"/>
  <c r="O72" i="135"/>
  <c r="P72" i="135"/>
  <c r="Q72" i="135"/>
  <c r="R72" i="135" s="1"/>
  <c r="W72" i="135"/>
  <c r="X72" i="135" s="1"/>
  <c r="AB72" i="135"/>
  <c r="AC72" i="135" s="1"/>
  <c r="AI72" i="135"/>
  <c r="AJ72" i="135" s="1"/>
  <c r="F73" i="135"/>
  <c r="M73" i="135"/>
  <c r="N73" i="135"/>
  <c r="O73" i="135"/>
  <c r="R73" i="135" s="1"/>
  <c r="P73" i="135"/>
  <c r="Q73" i="135"/>
  <c r="W73" i="135"/>
  <c r="X73" i="135" s="1"/>
  <c r="AB73" i="135"/>
  <c r="AC73" i="135" s="1"/>
  <c r="AI73" i="135"/>
  <c r="AJ73" i="135" s="1"/>
  <c r="F74" i="135"/>
  <c r="F74" i="139" s="1"/>
  <c r="M74" i="135"/>
  <c r="N74" i="135"/>
  <c r="O74" i="135"/>
  <c r="P74" i="135"/>
  <c r="Q74" i="135"/>
  <c r="R74" i="135" s="1"/>
  <c r="W74" i="135"/>
  <c r="X74" i="135" s="1"/>
  <c r="AB74" i="135"/>
  <c r="AI74" i="135"/>
  <c r="AJ74" i="135" s="1"/>
  <c r="F75" i="135"/>
  <c r="F73" i="134" s="1"/>
  <c r="M75" i="135"/>
  <c r="N75" i="135"/>
  <c r="O75" i="135"/>
  <c r="P75" i="135"/>
  <c r="Q75" i="135"/>
  <c r="R75" i="135"/>
  <c r="W75" i="135"/>
  <c r="X75" i="135"/>
  <c r="AB75" i="135"/>
  <c r="AI75" i="135"/>
  <c r="AJ75" i="135" s="1"/>
  <c r="F76" i="135"/>
  <c r="M76" i="135"/>
  <c r="N76" i="135"/>
  <c r="O76" i="135"/>
  <c r="P76" i="135"/>
  <c r="Q76" i="135"/>
  <c r="R76" i="135"/>
  <c r="AB76" i="135"/>
  <c r="AC76" i="135" s="1"/>
  <c r="AI76" i="135"/>
  <c r="AJ76" i="135" s="1"/>
  <c r="F77" i="135"/>
  <c r="M77" i="135"/>
  <c r="N77" i="135"/>
  <c r="O77" i="135"/>
  <c r="R77" i="135" s="1"/>
  <c r="P77" i="135"/>
  <c r="Q77" i="135"/>
  <c r="W77" i="135"/>
  <c r="X77" i="135" s="1"/>
  <c r="AB77" i="135"/>
  <c r="AC77" i="135" s="1"/>
  <c r="AI77" i="135"/>
  <c r="AJ77" i="135" s="1"/>
  <c r="F78" i="135"/>
  <c r="F76" i="134" s="1"/>
  <c r="M78" i="135"/>
  <c r="N78" i="135"/>
  <c r="O78" i="135"/>
  <c r="R78" i="135" s="1"/>
  <c r="P78" i="135"/>
  <c r="Q78" i="135"/>
  <c r="W78" i="135"/>
  <c r="X78" i="135" s="1"/>
  <c r="AB78" i="135"/>
  <c r="AI78" i="135"/>
  <c r="AJ78" i="135" s="1"/>
  <c r="F79" i="135"/>
  <c r="F79" i="139" s="1"/>
  <c r="M79" i="135"/>
  <c r="N79" i="135"/>
  <c r="O79" i="135"/>
  <c r="R79" i="135" s="1"/>
  <c r="P79" i="135"/>
  <c r="Q79" i="135"/>
  <c r="W79" i="135"/>
  <c r="X79" i="135" s="1"/>
  <c r="AB79" i="135"/>
  <c r="AC79" i="135" s="1"/>
  <c r="AI79" i="135"/>
  <c r="AJ79" i="135" s="1"/>
  <c r="M80" i="135"/>
  <c r="N80" i="135"/>
  <c r="O80" i="135"/>
  <c r="P80" i="135"/>
  <c r="Q80" i="135"/>
  <c r="R80" i="135" s="1"/>
  <c r="W80" i="135"/>
  <c r="X80" i="135" s="1"/>
  <c r="AB80" i="135"/>
  <c r="AC80" i="135" s="1"/>
  <c r="AI80" i="135"/>
  <c r="AJ80" i="135" s="1"/>
  <c r="F81" i="135"/>
  <c r="F81" i="139" s="1"/>
  <c r="M81" i="135"/>
  <c r="N81" i="135"/>
  <c r="O81" i="135"/>
  <c r="P81" i="135"/>
  <c r="Q81" i="135"/>
  <c r="R81" i="135"/>
  <c r="W81" i="135"/>
  <c r="X81" i="135" s="1"/>
  <c r="AB81" i="135"/>
  <c r="AC81" i="135" s="1"/>
  <c r="AI81" i="135"/>
  <c r="AJ81" i="135" s="1"/>
  <c r="F82" i="135"/>
  <c r="M82" i="135"/>
  <c r="N82" i="135"/>
  <c r="O82" i="135"/>
  <c r="P82" i="135"/>
  <c r="R82" i="135" s="1"/>
  <c r="Q82" i="135"/>
  <c r="W82" i="135"/>
  <c r="X82" i="135" s="1"/>
  <c r="AB82" i="135"/>
  <c r="AI82" i="135"/>
  <c r="AJ82" i="135"/>
  <c r="F83" i="135"/>
  <c r="M83" i="135"/>
  <c r="N83" i="135"/>
  <c r="O83" i="135"/>
  <c r="R83" i="135" s="1"/>
  <c r="P83" i="135"/>
  <c r="Q83" i="135"/>
  <c r="W83" i="135"/>
  <c r="X83" i="135" s="1"/>
  <c r="AB83" i="135"/>
  <c r="AC83" i="135" s="1"/>
  <c r="AI83" i="135"/>
  <c r="AJ83" i="135" s="1"/>
  <c r="F84" i="135"/>
  <c r="M84" i="135"/>
  <c r="N84" i="135"/>
  <c r="O84" i="135"/>
  <c r="R84" i="135" s="1"/>
  <c r="P84" i="135"/>
  <c r="Q84" i="135"/>
  <c r="W84" i="135"/>
  <c r="AB84" i="135"/>
  <c r="AC84" i="135" s="1"/>
  <c r="AI84" i="135"/>
  <c r="AJ84" i="135" s="1"/>
  <c r="F85" i="135"/>
  <c r="F86" i="135" s="1"/>
  <c r="F84" i="134" s="1"/>
  <c r="M85" i="135"/>
  <c r="N85" i="135"/>
  <c r="O85" i="135"/>
  <c r="R85" i="135" s="1"/>
  <c r="P85" i="135"/>
  <c r="Q85" i="135"/>
  <c r="W85" i="135"/>
  <c r="X85" i="135" s="1"/>
  <c r="AB85" i="135"/>
  <c r="AC85" i="135" s="1"/>
  <c r="AI85" i="135"/>
  <c r="AJ85" i="135" s="1"/>
  <c r="M86" i="135"/>
  <c r="N86" i="135"/>
  <c r="O86" i="135"/>
  <c r="P86" i="135"/>
  <c r="Q86" i="135"/>
  <c r="R86" i="135"/>
  <c r="W86" i="135"/>
  <c r="X86" i="135" s="1"/>
  <c r="AB86" i="135"/>
  <c r="AI86" i="135"/>
  <c r="AJ86" i="135" s="1"/>
  <c r="F87" i="135"/>
  <c r="M87" i="135"/>
  <c r="N87" i="135"/>
  <c r="O87" i="135"/>
  <c r="R87" i="135" s="1"/>
  <c r="P87" i="135"/>
  <c r="Q87" i="135"/>
  <c r="W87" i="135"/>
  <c r="X87" i="135" s="1"/>
  <c r="AB87" i="135"/>
  <c r="AC87" i="135" s="1"/>
  <c r="AI87" i="135"/>
  <c r="AJ87" i="135" s="1"/>
  <c r="F88" i="135"/>
  <c r="F86" i="134" s="1"/>
  <c r="M88" i="135"/>
  <c r="N88" i="135"/>
  <c r="O88" i="135"/>
  <c r="R88" i="135" s="1"/>
  <c r="P88" i="135"/>
  <c r="Q88" i="135"/>
  <c r="W88" i="135"/>
  <c r="X88" i="135" s="1"/>
  <c r="AB88" i="135"/>
  <c r="AC88" i="135" s="1"/>
  <c r="AI88" i="135"/>
  <c r="AJ88" i="135" s="1"/>
  <c r="F89" i="135"/>
  <c r="M89" i="135"/>
  <c r="N89" i="135"/>
  <c r="O89" i="135"/>
  <c r="R89" i="135" s="1"/>
  <c r="P89" i="135"/>
  <c r="Q89" i="135"/>
  <c r="W89" i="135"/>
  <c r="X89" i="135" s="1"/>
  <c r="AB89" i="135"/>
  <c r="AC89" i="135" s="1"/>
  <c r="AI89" i="135"/>
  <c r="AJ89" i="135" s="1"/>
  <c r="F90" i="135"/>
  <c r="M90" i="135"/>
  <c r="N90" i="135"/>
  <c r="O90" i="135"/>
  <c r="P90" i="135"/>
  <c r="Q90" i="135"/>
  <c r="R90" i="135"/>
  <c r="W90" i="135"/>
  <c r="X90" i="135" s="1"/>
  <c r="AB90" i="135"/>
  <c r="AI90" i="135"/>
  <c r="AJ90" i="135" s="1"/>
  <c r="F91" i="135"/>
  <c r="M91" i="135"/>
  <c r="N91" i="135"/>
  <c r="O91" i="135"/>
  <c r="P91" i="135"/>
  <c r="R91" i="135" s="1"/>
  <c r="Q91" i="135"/>
  <c r="W91" i="135"/>
  <c r="X91" i="135" s="1"/>
  <c r="AB91" i="135"/>
  <c r="AI91" i="135"/>
  <c r="AJ91" i="135" s="1"/>
  <c r="F92" i="135"/>
  <c r="M92" i="135"/>
  <c r="N92" i="135"/>
  <c r="O92" i="135"/>
  <c r="R92" i="135" s="1"/>
  <c r="P92" i="135"/>
  <c r="Q92" i="135"/>
  <c r="W92" i="135"/>
  <c r="AB92" i="135"/>
  <c r="AC92" i="135" s="1"/>
  <c r="AI92" i="135"/>
  <c r="AJ92" i="135" s="1"/>
  <c r="F93" i="135"/>
  <c r="F93" i="139" s="1"/>
  <c r="M93" i="135"/>
  <c r="N93" i="135"/>
  <c r="O93" i="135"/>
  <c r="P93" i="135"/>
  <c r="Q93" i="135"/>
  <c r="R93" i="135"/>
  <c r="W93" i="135"/>
  <c r="X93" i="135" s="1"/>
  <c r="AB93" i="135"/>
  <c r="AI93" i="135"/>
  <c r="AJ93" i="135" s="1"/>
  <c r="F94" i="135"/>
  <c r="F92" i="134" s="1"/>
  <c r="M94" i="135"/>
  <c r="N94" i="135"/>
  <c r="O94" i="135"/>
  <c r="P94" i="135"/>
  <c r="Q94" i="135"/>
  <c r="R94" i="135"/>
  <c r="W94" i="135"/>
  <c r="X94" i="135" s="1"/>
  <c r="AB94" i="135"/>
  <c r="AI94" i="135"/>
  <c r="AJ94" i="135" s="1"/>
  <c r="F95" i="135"/>
  <c r="F95" i="139" s="1"/>
  <c r="M95" i="135"/>
  <c r="N95" i="135"/>
  <c r="O95" i="135"/>
  <c r="P95" i="135"/>
  <c r="Q95" i="135"/>
  <c r="R95" i="135"/>
  <c r="W95" i="135"/>
  <c r="AB95" i="135"/>
  <c r="AC95" i="135" s="1"/>
  <c r="AI95" i="135"/>
  <c r="AJ95" i="135" s="1"/>
  <c r="F96" i="135"/>
  <c r="M96" i="135"/>
  <c r="N96" i="135"/>
  <c r="O96" i="135"/>
  <c r="R96" i="135" s="1"/>
  <c r="P96" i="135"/>
  <c r="Q96" i="135"/>
  <c r="W96" i="135"/>
  <c r="X96" i="135" s="1"/>
  <c r="AB96" i="135"/>
  <c r="AC96" i="135" s="1"/>
  <c r="AI96" i="135"/>
  <c r="AJ96" i="135" s="1"/>
  <c r="F97" i="135"/>
  <c r="F97" i="139" s="1"/>
  <c r="M97" i="135"/>
  <c r="N97" i="135"/>
  <c r="O97" i="135"/>
  <c r="R97" i="135" s="1"/>
  <c r="P97" i="135"/>
  <c r="Q97" i="135"/>
  <c r="W97" i="135"/>
  <c r="X97" i="135" s="1"/>
  <c r="AB97" i="135"/>
  <c r="AI97" i="135"/>
  <c r="AJ97" i="135" s="1"/>
  <c r="F98" i="135"/>
  <c r="M98" i="135"/>
  <c r="N98" i="135"/>
  <c r="O98" i="135"/>
  <c r="R98" i="135" s="1"/>
  <c r="P98" i="135"/>
  <c r="Q98" i="135"/>
  <c r="W98" i="135"/>
  <c r="X98" i="135" s="1"/>
  <c r="AB98" i="135"/>
  <c r="AI98" i="135"/>
  <c r="AJ98" i="135" s="1"/>
  <c r="F99" i="135"/>
  <c r="M99" i="135"/>
  <c r="N99" i="135"/>
  <c r="O99" i="135"/>
  <c r="R99" i="135" s="1"/>
  <c r="P99" i="135"/>
  <c r="Q99" i="135"/>
  <c r="W99" i="135"/>
  <c r="X99" i="135" s="1"/>
  <c r="AB99" i="135"/>
  <c r="AC99" i="135" s="1"/>
  <c r="AD99" i="135"/>
  <c r="AE99" i="135" s="1"/>
  <c r="AI99" i="135"/>
  <c r="AJ99" i="135" s="1"/>
  <c r="F100" i="135"/>
  <c r="F100" i="139" s="1"/>
  <c r="M100" i="135"/>
  <c r="N100" i="135"/>
  <c r="O100" i="135"/>
  <c r="R100" i="135" s="1"/>
  <c r="P100" i="135"/>
  <c r="Q100" i="135"/>
  <c r="W100" i="135"/>
  <c r="AB100" i="135"/>
  <c r="AC100" i="135" s="1"/>
  <c r="AI100" i="135"/>
  <c r="AJ100" i="135" s="1"/>
  <c r="F101" i="135"/>
  <c r="M101" i="135"/>
  <c r="N101" i="135"/>
  <c r="O101" i="135"/>
  <c r="R101" i="135" s="1"/>
  <c r="P101" i="135"/>
  <c r="Q101" i="135"/>
  <c r="W101" i="135"/>
  <c r="X101" i="135" s="1"/>
  <c r="AB101" i="135"/>
  <c r="AI101" i="135"/>
  <c r="AJ101" i="135" s="1"/>
  <c r="F102" i="135"/>
  <c r="F102" i="139" s="1"/>
  <c r="M102" i="135"/>
  <c r="N102" i="135"/>
  <c r="O102" i="135"/>
  <c r="R102" i="135" s="1"/>
  <c r="P102" i="135"/>
  <c r="Q102" i="135"/>
  <c r="W102" i="135"/>
  <c r="X102" i="135" s="1"/>
  <c r="AB102" i="135"/>
  <c r="AC102" i="135" s="1"/>
  <c r="AI102" i="135"/>
  <c r="AJ102" i="135" s="1"/>
  <c r="F103" i="135"/>
  <c r="F101" i="134" s="1"/>
  <c r="M103" i="135"/>
  <c r="N103" i="135"/>
  <c r="O103" i="135"/>
  <c r="R103" i="135" s="1"/>
  <c r="P103" i="135"/>
  <c r="Q103" i="135"/>
  <c r="W103" i="135"/>
  <c r="X103" i="135" s="1"/>
  <c r="AB103" i="135"/>
  <c r="AC103" i="135" s="1"/>
  <c r="AI103" i="135"/>
  <c r="AJ103" i="135" s="1"/>
  <c r="F104" i="135"/>
  <c r="F104" i="139" s="1"/>
  <c r="M104" i="135"/>
  <c r="N104" i="135"/>
  <c r="O104" i="135"/>
  <c r="R104" i="135" s="1"/>
  <c r="P104" i="135"/>
  <c r="Q104" i="135"/>
  <c r="W104" i="135"/>
  <c r="AB104" i="135"/>
  <c r="AC104" i="135" s="1"/>
  <c r="AI104" i="135"/>
  <c r="AJ104" i="135" s="1"/>
  <c r="F105" i="135"/>
  <c r="M105" i="135"/>
  <c r="N105" i="135"/>
  <c r="O105" i="135"/>
  <c r="R105" i="135" s="1"/>
  <c r="P105" i="135"/>
  <c r="Q105" i="135"/>
  <c r="W105" i="135"/>
  <c r="X105" i="135" s="1"/>
  <c r="AB105" i="135"/>
  <c r="AC105" i="135" s="1"/>
  <c r="AI105" i="135"/>
  <c r="AJ105" i="135" s="1"/>
  <c r="F106" i="135"/>
  <c r="F106" i="139" s="1"/>
  <c r="M106" i="135"/>
  <c r="N106" i="135"/>
  <c r="O106" i="135"/>
  <c r="R106" i="135" s="1"/>
  <c r="P106" i="135"/>
  <c r="Q106" i="135"/>
  <c r="W106" i="135"/>
  <c r="X106" i="135" s="1"/>
  <c r="AB106" i="135"/>
  <c r="AI106" i="135"/>
  <c r="AJ106" i="135" s="1"/>
  <c r="F107" i="135"/>
  <c r="M107" i="135"/>
  <c r="N107" i="135"/>
  <c r="O107" i="135"/>
  <c r="R107" i="135" s="1"/>
  <c r="P107" i="135"/>
  <c r="Q107" i="135"/>
  <c r="W107" i="135"/>
  <c r="AB107" i="135"/>
  <c r="AC107" i="135" s="1"/>
  <c r="AI107" i="135"/>
  <c r="AJ107" i="135" s="1"/>
  <c r="F108" i="135"/>
  <c r="M108" i="135"/>
  <c r="N108" i="135"/>
  <c r="O108" i="135"/>
  <c r="R108" i="135" s="1"/>
  <c r="P108" i="135"/>
  <c r="Q108" i="135"/>
  <c r="W108" i="135"/>
  <c r="AB108" i="135"/>
  <c r="AC108" i="135" s="1"/>
  <c r="AI108" i="135"/>
  <c r="AJ108" i="135" s="1"/>
  <c r="F109" i="135"/>
  <c r="M109" i="135"/>
  <c r="N109" i="135"/>
  <c r="O109" i="135"/>
  <c r="R109" i="135" s="1"/>
  <c r="P109" i="135"/>
  <c r="Q109" i="135"/>
  <c r="W109" i="135"/>
  <c r="X109" i="135" s="1"/>
  <c r="AB109" i="135"/>
  <c r="AC109" i="135" s="1"/>
  <c r="AI109" i="135"/>
  <c r="AJ109" i="135" s="1"/>
  <c r="F110" i="135"/>
  <c r="M110" i="135"/>
  <c r="N110" i="135"/>
  <c r="O110" i="135"/>
  <c r="R110" i="135" s="1"/>
  <c r="P110" i="135"/>
  <c r="Q110" i="135"/>
  <c r="W110" i="135"/>
  <c r="X110" i="135" s="1"/>
  <c r="AB110" i="135"/>
  <c r="AC110" i="135" s="1"/>
  <c r="AI110" i="135"/>
  <c r="AJ110" i="135" s="1"/>
  <c r="F111" i="135"/>
  <c r="F109" i="134" s="1"/>
  <c r="M111" i="135"/>
  <c r="N111" i="135"/>
  <c r="O111" i="135"/>
  <c r="P111" i="135"/>
  <c r="Q111" i="135"/>
  <c r="R111" i="135"/>
  <c r="W111" i="135"/>
  <c r="AB111" i="135"/>
  <c r="AC111" i="135" s="1"/>
  <c r="AI111" i="135"/>
  <c r="AJ111" i="135" s="1"/>
  <c r="M112" i="135"/>
  <c r="N112" i="135"/>
  <c r="O112" i="135"/>
  <c r="R112" i="135" s="1"/>
  <c r="P112" i="135"/>
  <c r="Q112" i="135"/>
  <c r="W112" i="135"/>
  <c r="AB112" i="135"/>
  <c r="AC112" i="135" s="1"/>
  <c r="AI112" i="135"/>
  <c r="AJ112" i="135" s="1"/>
  <c r="F113" i="135"/>
  <c r="F113" i="139" s="1"/>
  <c r="M113" i="135"/>
  <c r="N113" i="135"/>
  <c r="O113" i="135"/>
  <c r="P113" i="135"/>
  <c r="Q113" i="135"/>
  <c r="R113" i="135" s="1"/>
  <c r="W113" i="135"/>
  <c r="X113" i="135" s="1"/>
  <c r="AB113" i="135"/>
  <c r="AI113" i="135"/>
  <c r="AJ113" i="135" s="1"/>
  <c r="F114" i="135"/>
  <c r="F112" i="134" s="1"/>
  <c r="M114" i="135"/>
  <c r="N114" i="135"/>
  <c r="O114" i="135"/>
  <c r="R114" i="135" s="1"/>
  <c r="P114" i="135"/>
  <c r="Q114" i="135"/>
  <c r="W114" i="135"/>
  <c r="AB114" i="135"/>
  <c r="AC114" i="135" s="1"/>
  <c r="AI114" i="135"/>
  <c r="AJ114" i="135" s="1"/>
  <c r="F115" i="135"/>
  <c r="M115" i="135"/>
  <c r="N115" i="135"/>
  <c r="O115" i="135"/>
  <c r="R115" i="135" s="1"/>
  <c r="P115" i="135"/>
  <c r="Q115" i="135"/>
  <c r="W115" i="135"/>
  <c r="X115" i="135" s="1"/>
  <c r="AB115" i="135"/>
  <c r="AI115" i="135"/>
  <c r="AJ115" i="135" s="1"/>
  <c r="F116" i="139"/>
  <c r="M116" i="135"/>
  <c r="N116" i="135"/>
  <c r="O116" i="135"/>
  <c r="P116" i="135"/>
  <c r="Q116" i="135"/>
  <c r="W116" i="135"/>
  <c r="AB116" i="135"/>
  <c r="AC116" i="135" s="1"/>
  <c r="AI116" i="135"/>
  <c r="AJ116" i="135" s="1"/>
  <c r="F117" i="135"/>
  <c r="F115" i="134" s="1"/>
  <c r="M117" i="135"/>
  <c r="N117" i="135"/>
  <c r="O117" i="135"/>
  <c r="R117" i="135" s="1"/>
  <c r="P117" i="135"/>
  <c r="Q117" i="135"/>
  <c r="W117" i="135"/>
  <c r="X117" i="135" s="1"/>
  <c r="AB117" i="135"/>
  <c r="AC117" i="135" s="1"/>
  <c r="AI117" i="135"/>
  <c r="AJ117" i="135" s="1"/>
  <c r="F118" i="135"/>
  <c r="F118" i="139" s="1"/>
  <c r="M118" i="135"/>
  <c r="N118" i="135"/>
  <c r="O118" i="135"/>
  <c r="R118" i="135" s="1"/>
  <c r="P118" i="135"/>
  <c r="Q118" i="135"/>
  <c r="W118" i="135"/>
  <c r="X118" i="135" s="1"/>
  <c r="AB118" i="135"/>
  <c r="AC118" i="135" s="1"/>
  <c r="AI118" i="135"/>
  <c r="AJ118" i="135" s="1"/>
  <c r="F119" i="135"/>
  <c r="F117" i="134" s="1"/>
  <c r="M119" i="135"/>
  <c r="N119" i="135"/>
  <c r="O119" i="135"/>
  <c r="R119" i="135" s="1"/>
  <c r="P119" i="135"/>
  <c r="Q119" i="135"/>
  <c r="W119" i="135"/>
  <c r="X119" i="135" s="1"/>
  <c r="AB119" i="135"/>
  <c r="AC119" i="135" s="1"/>
  <c r="AI119" i="135"/>
  <c r="AJ119" i="135" s="1"/>
  <c r="F120" i="135"/>
  <c r="M120" i="135"/>
  <c r="N120" i="135"/>
  <c r="O120" i="135"/>
  <c r="R120" i="135" s="1"/>
  <c r="P120" i="135"/>
  <c r="Q120" i="135"/>
  <c r="W120" i="135"/>
  <c r="AB120" i="135"/>
  <c r="AC120" i="135" s="1"/>
  <c r="AI120" i="135"/>
  <c r="AJ120" i="135" s="1"/>
  <c r="F121" i="135"/>
  <c r="M121" i="135"/>
  <c r="N121" i="135"/>
  <c r="O121" i="135"/>
  <c r="R121" i="135" s="1"/>
  <c r="P121" i="135"/>
  <c r="Q121" i="135"/>
  <c r="W121" i="135"/>
  <c r="AB121" i="135"/>
  <c r="AC121" i="135" s="1"/>
  <c r="AI121" i="135"/>
  <c r="AJ121" i="135" s="1"/>
  <c r="F122" i="135"/>
  <c r="F120" i="134" s="1"/>
  <c r="M122" i="135"/>
  <c r="N122" i="135"/>
  <c r="O122" i="135"/>
  <c r="R122" i="135" s="1"/>
  <c r="P122" i="135"/>
  <c r="Q122" i="135"/>
  <c r="W122" i="135"/>
  <c r="AB122" i="135"/>
  <c r="AC122" i="135" s="1"/>
  <c r="AI122" i="135"/>
  <c r="AJ122" i="135" s="1"/>
  <c r="F123" i="135"/>
  <c r="M123" i="135"/>
  <c r="N123" i="135"/>
  <c r="O123" i="135"/>
  <c r="P123" i="135"/>
  <c r="Q123" i="135"/>
  <c r="R123" i="135"/>
  <c r="W123" i="135"/>
  <c r="X123" i="135" s="1"/>
  <c r="AB123" i="135"/>
  <c r="AC123" i="135" s="1"/>
  <c r="AI123" i="135"/>
  <c r="AJ123" i="135" s="1"/>
  <c r="F124" i="135"/>
  <c r="M124" i="135"/>
  <c r="N124" i="135"/>
  <c r="O124" i="135"/>
  <c r="R124" i="135" s="1"/>
  <c r="P124" i="135"/>
  <c r="Q124" i="135"/>
  <c r="W124" i="135"/>
  <c r="AB124" i="135"/>
  <c r="AC124" i="135" s="1"/>
  <c r="AI124" i="135"/>
  <c r="AJ124" i="135" s="1"/>
  <c r="F125" i="139"/>
  <c r="M125" i="135"/>
  <c r="N125" i="135"/>
  <c r="O125" i="135"/>
  <c r="P125" i="135"/>
  <c r="Q125" i="135"/>
  <c r="R125" i="135"/>
  <c r="W125" i="135"/>
  <c r="X125" i="135" s="1"/>
  <c r="AB125" i="135"/>
  <c r="AC125" i="135" s="1"/>
  <c r="AI125" i="135"/>
  <c r="AJ125" i="135" s="1"/>
  <c r="F126" i="135"/>
  <c r="F124" i="134" s="1"/>
  <c r="M126" i="135"/>
  <c r="N126" i="135"/>
  <c r="O126" i="135"/>
  <c r="R126" i="135" s="1"/>
  <c r="P126" i="135"/>
  <c r="Q126" i="135"/>
  <c r="W126" i="135"/>
  <c r="X126" i="135" s="1"/>
  <c r="AB126" i="135"/>
  <c r="AC126" i="135" s="1"/>
  <c r="AI126" i="135"/>
  <c r="AJ126" i="135" s="1"/>
  <c r="F127" i="135"/>
  <c r="F127" i="139" s="1"/>
  <c r="M127" i="135"/>
  <c r="N127" i="135"/>
  <c r="O127" i="135"/>
  <c r="R127" i="135" s="1"/>
  <c r="P127" i="135"/>
  <c r="Q127" i="135"/>
  <c r="W127" i="135"/>
  <c r="X127" i="135" s="1"/>
  <c r="AB127" i="135"/>
  <c r="AC127" i="135" s="1"/>
  <c r="AI127" i="135"/>
  <c r="AJ127" i="135" s="1"/>
  <c r="F128" i="135"/>
  <c r="F126" i="134" s="1"/>
  <c r="M128" i="135"/>
  <c r="N128" i="135"/>
  <c r="O128" i="135"/>
  <c r="R128" i="135" s="1"/>
  <c r="P128" i="135"/>
  <c r="Q128" i="135"/>
  <c r="W128" i="135"/>
  <c r="AB128" i="135"/>
  <c r="AC128" i="135" s="1"/>
  <c r="AI128" i="135"/>
  <c r="AJ128" i="135" s="1"/>
  <c r="F129" i="135"/>
  <c r="F129" i="139" s="1"/>
  <c r="M129" i="135"/>
  <c r="N129" i="135"/>
  <c r="O129" i="135"/>
  <c r="P129" i="135"/>
  <c r="R129" i="135" s="1"/>
  <c r="Q129" i="135"/>
  <c r="W129" i="135"/>
  <c r="AB129" i="135"/>
  <c r="AC129" i="135" s="1"/>
  <c r="AI129" i="135"/>
  <c r="AJ129" i="135" s="1"/>
  <c r="F130" i="135"/>
  <c r="M130" i="135"/>
  <c r="N130" i="135"/>
  <c r="O130" i="135"/>
  <c r="P130" i="135"/>
  <c r="Q130" i="135"/>
  <c r="R130" i="135"/>
  <c r="W130" i="135"/>
  <c r="AB130" i="135"/>
  <c r="AC130" i="135" s="1"/>
  <c r="AI130" i="135"/>
  <c r="AJ130" i="135" s="1"/>
  <c r="F131" i="135"/>
  <c r="F129" i="134" s="1"/>
  <c r="M131" i="135"/>
  <c r="N131" i="135"/>
  <c r="O131" i="135"/>
  <c r="P131" i="135"/>
  <c r="R131" i="135" s="1"/>
  <c r="Q131" i="135"/>
  <c r="W131" i="135"/>
  <c r="AB131" i="135"/>
  <c r="AC131" i="135" s="1"/>
  <c r="AI131" i="135"/>
  <c r="AJ131" i="135" s="1"/>
  <c r="F132" i="135"/>
  <c r="M132" i="135"/>
  <c r="N132" i="135"/>
  <c r="O132" i="135"/>
  <c r="P132" i="135"/>
  <c r="Q132" i="135"/>
  <c r="R132" i="135"/>
  <c r="W132" i="135"/>
  <c r="X132" i="135" s="1"/>
  <c r="AB132" i="135"/>
  <c r="AC132" i="135" s="1"/>
  <c r="AI132" i="135"/>
  <c r="AJ132" i="135" s="1"/>
  <c r="F133" i="135"/>
  <c r="M133" i="135"/>
  <c r="N133" i="135"/>
  <c r="O133" i="135"/>
  <c r="R133" i="135" s="1"/>
  <c r="P133" i="135"/>
  <c r="Q133" i="135"/>
  <c r="W133" i="135"/>
  <c r="AB133" i="135"/>
  <c r="AC133" i="135" s="1"/>
  <c r="AI133" i="135"/>
  <c r="AJ133" i="135" s="1"/>
  <c r="F134" i="135"/>
  <c r="F134" i="139" s="1"/>
  <c r="M134" i="135"/>
  <c r="N134" i="135"/>
  <c r="O134" i="135"/>
  <c r="P134" i="135"/>
  <c r="Q134" i="135"/>
  <c r="R134" i="135"/>
  <c r="W134" i="135"/>
  <c r="X134" i="135" s="1"/>
  <c r="AB134" i="135"/>
  <c r="AC134" i="135" s="1"/>
  <c r="AI134" i="135"/>
  <c r="AJ134" i="135" s="1"/>
  <c r="F135" i="135"/>
  <c r="M135" i="135"/>
  <c r="N135" i="135"/>
  <c r="O135" i="135"/>
  <c r="R135" i="135" s="1"/>
  <c r="P135" i="135"/>
  <c r="Q135" i="135"/>
  <c r="W135" i="135"/>
  <c r="X135" i="135" s="1"/>
  <c r="AB135" i="135"/>
  <c r="AI135" i="135"/>
  <c r="AJ135" i="135" s="1"/>
  <c r="F136" i="135"/>
  <c r="F136" i="139" s="1"/>
  <c r="M136" i="135"/>
  <c r="N136" i="135"/>
  <c r="O136" i="135"/>
  <c r="P136" i="135"/>
  <c r="Q136" i="135"/>
  <c r="R136" i="135"/>
  <c r="W136" i="135"/>
  <c r="AB136" i="135"/>
  <c r="AC136" i="135" s="1"/>
  <c r="AI136" i="135"/>
  <c r="AJ136" i="135" s="1"/>
  <c r="F137" i="135"/>
  <c r="M137" i="135"/>
  <c r="N137" i="135"/>
  <c r="O137" i="135"/>
  <c r="P137" i="135"/>
  <c r="Q137" i="135"/>
  <c r="R137" i="135"/>
  <c r="W137" i="135"/>
  <c r="AB137" i="135"/>
  <c r="AC137" i="135" s="1"/>
  <c r="AI137" i="135"/>
  <c r="AJ137" i="135" s="1"/>
  <c r="F138" i="135"/>
  <c r="F138" i="139" s="1"/>
  <c r="M138" i="135"/>
  <c r="N138" i="135"/>
  <c r="O138" i="135"/>
  <c r="P138" i="135"/>
  <c r="Q138" i="135"/>
  <c r="R138" i="135"/>
  <c r="W138" i="135"/>
  <c r="AB138" i="135"/>
  <c r="AC138" i="135" s="1"/>
  <c r="AI138" i="135"/>
  <c r="AJ138" i="135" s="1"/>
  <c r="F139" i="135"/>
  <c r="M139" i="135"/>
  <c r="N139" i="135"/>
  <c r="O139" i="135"/>
  <c r="P139" i="135"/>
  <c r="Q139" i="135"/>
  <c r="R139" i="135"/>
  <c r="W139" i="135"/>
  <c r="AB139" i="135"/>
  <c r="AC139" i="135" s="1"/>
  <c r="AI139" i="135"/>
  <c r="AJ139" i="135" s="1"/>
  <c r="F140" i="135"/>
  <c r="M140" i="135"/>
  <c r="N140" i="135"/>
  <c r="O140" i="135"/>
  <c r="R140" i="135" s="1"/>
  <c r="P140" i="135"/>
  <c r="Q140" i="135"/>
  <c r="W140" i="135"/>
  <c r="X140" i="135" s="1"/>
  <c r="AB140" i="135"/>
  <c r="AC140" i="135" s="1"/>
  <c r="AI140" i="135"/>
  <c r="AJ140" i="135" s="1"/>
  <c r="F141" i="135"/>
  <c r="M141" i="135"/>
  <c r="N141" i="135"/>
  <c r="O141" i="135"/>
  <c r="P141" i="135"/>
  <c r="Q141" i="135"/>
  <c r="R141" i="135"/>
  <c r="W141" i="135"/>
  <c r="X141" i="135" s="1"/>
  <c r="AB141" i="135"/>
  <c r="AC141" i="135" s="1"/>
  <c r="AI141" i="135"/>
  <c r="AJ141" i="135" s="1"/>
  <c r="M142" i="135"/>
  <c r="N142" i="135"/>
  <c r="O142" i="135"/>
  <c r="R142" i="135" s="1"/>
  <c r="P142" i="135"/>
  <c r="Q142" i="135"/>
  <c r="W142" i="135"/>
  <c r="AB142" i="135"/>
  <c r="AC142" i="135" s="1"/>
  <c r="AI142" i="135"/>
  <c r="AJ142" i="135" s="1"/>
  <c r="F141" i="134"/>
  <c r="M143" i="135"/>
  <c r="N143" i="135"/>
  <c r="O143" i="135"/>
  <c r="P143" i="135"/>
  <c r="Q143" i="135"/>
  <c r="R143" i="135"/>
  <c r="W143" i="135"/>
  <c r="X143" i="135" s="1"/>
  <c r="AB143" i="135"/>
  <c r="AI143" i="135"/>
  <c r="AJ143" i="135" s="1"/>
  <c r="F144" i="135"/>
  <c r="M144" i="135"/>
  <c r="N144" i="135"/>
  <c r="O144" i="135"/>
  <c r="R144" i="135" s="1"/>
  <c r="P144" i="135"/>
  <c r="Q144" i="135"/>
  <c r="W144" i="135"/>
  <c r="X144" i="135" s="1"/>
  <c r="AB144" i="135"/>
  <c r="AC144" i="135" s="1"/>
  <c r="AI144" i="135"/>
  <c r="AJ144" i="135" s="1"/>
  <c r="F145" i="135"/>
  <c r="M145" i="135"/>
  <c r="N145" i="135"/>
  <c r="O145" i="135"/>
  <c r="R145" i="135" s="1"/>
  <c r="P145" i="135"/>
  <c r="Q145" i="135"/>
  <c r="W145" i="135"/>
  <c r="AB145" i="135"/>
  <c r="AC145" i="135" s="1"/>
  <c r="AI145" i="135"/>
  <c r="AJ145" i="135" s="1"/>
  <c r="F146" i="135"/>
  <c r="F144" i="134" s="1"/>
  <c r="M146" i="135"/>
  <c r="N146" i="135"/>
  <c r="O146" i="135"/>
  <c r="R146" i="135" s="1"/>
  <c r="P146" i="135"/>
  <c r="Q146" i="135"/>
  <c r="W146" i="135"/>
  <c r="X146" i="135" s="1"/>
  <c r="AB146" i="135"/>
  <c r="AC146" i="135" s="1"/>
  <c r="AI146" i="135"/>
  <c r="AJ146" i="135" s="1"/>
  <c r="F147" i="135"/>
  <c r="M147" i="135"/>
  <c r="N147" i="135"/>
  <c r="O147" i="135"/>
  <c r="P147" i="135"/>
  <c r="Q147" i="135"/>
  <c r="R147" i="135"/>
  <c r="W147" i="135"/>
  <c r="X147" i="135" s="1"/>
  <c r="AB147" i="135"/>
  <c r="AC147" i="135" s="1"/>
  <c r="AI147" i="135"/>
  <c r="AJ147" i="135" s="1"/>
  <c r="F148" i="135"/>
  <c r="F148" i="139" s="1"/>
  <c r="M148" i="135"/>
  <c r="N148" i="135"/>
  <c r="O148" i="135"/>
  <c r="P148" i="135"/>
  <c r="Q148" i="135"/>
  <c r="R148" i="135"/>
  <c r="W148" i="135"/>
  <c r="X148" i="135" s="1"/>
  <c r="AB148" i="135"/>
  <c r="AC148" i="135" s="1"/>
  <c r="AI148" i="135"/>
  <c r="AJ148" i="135" s="1"/>
  <c r="F149" i="135"/>
  <c r="F147" i="134" s="1"/>
  <c r="M149" i="135"/>
  <c r="N149" i="135"/>
  <c r="O149" i="135"/>
  <c r="R149" i="135" s="1"/>
  <c r="P149" i="135"/>
  <c r="Q149" i="135"/>
  <c r="W149" i="135"/>
  <c r="X149" i="135" s="1"/>
  <c r="AB149" i="135"/>
  <c r="AC149" i="135" s="1"/>
  <c r="AI149" i="135"/>
  <c r="AJ149" i="135" s="1"/>
  <c r="F150" i="135"/>
  <c r="F150" i="139" s="1"/>
  <c r="M150" i="135"/>
  <c r="N150" i="135"/>
  <c r="O150" i="135"/>
  <c r="P150" i="135"/>
  <c r="R150" i="135" s="1"/>
  <c r="Q150" i="135"/>
  <c r="W150" i="135"/>
  <c r="AB150" i="135"/>
  <c r="AC150" i="135" s="1"/>
  <c r="AI150" i="135"/>
  <c r="AJ150" i="135" s="1"/>
  <c r="F151" i="135"/>
  <c r="M151" i="135"/>
  <c r="N151" i="135"/>
  <c r="O151" i="135"/>
  <c r="P151" i="135"/>
  <c r="Q151" i="135"/>
  <c r="R151" i="135"/>
  <c r="W151" i="135"/>
  <c r="X151" i="135" s="1"/>
  <c r="AB151" i="135"/>
  <c r="AC151" i="135" s="1"/>
  <c r="AI151" i="135"/>
  <c r="AJ151" i="135" s="1"/>
  <c r="F152" i="135"/>
  <c r="F152" i="139" s="1"/>
  <c r="M152" i="135"/>
  <c r="N152" i="135"/>
  <c r="O152" i="135"/>
  <c r="R152" i="135" s="1"/>
  <c r="P152" i="135"/>
  <c r="Q152" i="135"/>
  <c r="W152" i="135"/>
  <c r="X152" i="135" s="1"/>
  <c r="AB152" i="135"/>
  <c r="AC152" i="135" s="1"/>
  <c r="AI152" i="135"/>
  <c r="AJ152" i="135" s="1"/>
  <c r="M153" i="135"/>
  <c r="N153" i="135"/>
  <c r="O153" i="135"/>
  <c r="P153" i="135"/>
  <c r="Q153" i="135"/>
  <c r="R153" i="135"/>
  <c r="W153" i="135"/>
  <c r="AB153" i="135"/>
  <c r="AC153" i="135" s="1"/>
  <c r="AI153" i="135"/>
  <c r="AJ153" i="135" s="1"/>
  <c r="F154" i="135"/>
  <c r="F152" i="134" s="1"/>
  <c r="M154" i="135"/>
  <c r="N154" i="135"/>
  <c r="O154" i="135"/>
  <c r="P154" i="135"/>
  <c r="Q154" i="135"/>
  <c r="R154" i="135"/>
  <c r="W154" i="135"/>
  <c r="X154" i="135" s="1"/>
  <c r="AB154" i="135"/>
  <c r="AC154" i="135" s="1"/>
  <c r="AI154" i="135"/>
  <c r="AJ154" i="135" s="1"/>
  <c r="F155" i="135"/>
  <c r="M155" i="135"/>
  <c r="N155" i="135"/>
  <c r="O155" i="135"/>
  <c r="P155" i="135"/>
  <c r="Q155" i="135"/>
  <c r="R155" i="135"/>
  <c r="W155" i="135"/>
  <c r="AB155" i="135"/>
  <c r="AC155" i="135" s="1"/>
  <c r="AI155" i="135"/>
  <c r="AJ155" i="135" s="1"/>
  <c r="F156" i="135"/>
  <c r="M156" i="135"/>
  <c r="N156" i="135"/>
  <c r="O156" i="135"/>
  <c r="P156" i="135"/>
  <c r="Q156" i="135"/>
  <c r="R156" i="135" s="1"/>
  <c r="W156" i="135"/>
  <c r="AB156" i="135"/>
  <c r="AC156" i="135" s="1"/>
  <c r="AI156" i="135"/>
  <c r="AJ156" i="135" s="1"/>
  <c r="F157" i="135"/>
  <c r="F157" i="139" s="1"/>
  <c r="M157" i="135"/>
  <c r="N157" i="135"/>
  <c r="O157" i="135"/>
  <c r="P157" i="135"/>
  <c r="Q157" i="135"/>
  <c r="R157" i="135"/>
  <c r="W157" i="135"/>
  <c r="X157" i="135" s="1"/>
  <c r="AB157" i="135"/>
  <c r="AC157" i="135" s="1"/>
  <c r="AI157" i="135"/>
  <c r="AJ157" i="135" s="1"/>
  <c r="F158" i="135"/>
  <c r="F159" i="135" s="1"/>
  <c r="F159" i="139" s="1"/>
  <c r="M158" i="135"/>
  <c r="N158" i="135"/>
  <c r="O158" i="135"/>
  <c r="P158" i="135"/>
  <c r="Q158" i="135"/>
  <c r="R158" i="135"/>
  <c r="W158" i="135"/>
  <c r="AB158" i="135"/>
  <c r="AC158" i="135" s="1"/>
  <c r="AI158" i="135"/>
  <c r="AJ158" i="135" s="1"/>
  <c r="M159" i="135"/>
  <c r="N159" i="135"/>
  <c r="O159" i="135"/>
  <c r="R159" i="135" s="1"/>
  <c r="P159" i="135"/>
  <c r="Q159" i="135"/>
  <c r="W159" i="135"/>
  <c r="X159" i="135" s="1"/>
  <c r="AB159" i="135"/>
  <c r="AC159" i="135" s="1"/>
  <c r="AI159" i="135"/>
  <c r="AJ159" i="135" s="1"/>
  <c r="F160" i="135"/>
  <c r="M160" i="135"/>
  <c r="N160" i="135"/>
  <c r="O160" i="135"/>
  <c r="P160" i="135"/>
  <c r="Q160" i="135"/>
  <c r="R160" i="135" s="1"/>
  <c r="W160" i="135"/>
  <c r="X160" i="135" s="1"/>
  <c r="AB160" i="135"/>
  <c r="AC160" i="135" s="1"/>
  <c r="AI160" i="135"/>
  <c r="AJ160" i="135" s="1"/>
  <c r="F161" i="135"/>
  <c r="F161" i="139" s="1"/>
  <c r="M161" i="135"/>
  <c r="N161" i="135"/>
  <c r="O161" i="135"/>
  <c r="P161" i="135"/>
  <c r="Q161" i="135"/>
  <c r="R161" i="135"/>
  <c r="W161" i="135"/>
  <c r="AB161" i="135"/>
  <c r="AC161" i="135" s="1"/>
  <c r="AI161" i="135"/>
  <c r="AJ161" i="135" s="1"/>
  <c r="F162" i="135"/>
  <c r="F164" i="135" s="1"/>
  <c r="M162" i="135"/>
  <c r="N162" i="135"/>
  <c r="O162" i="135"/>
  <c r="R162" i="135" s="1"/>
  <c r="P162" i="135"/>
  <c r="Q162" i="135"/>
  <c r="W162" i="135"/>
  <c r="AB162" i="135"/>
  <c r="AC162" i="135" s="1"/>
  <c r="AI162" i="135"/>
  <c r="AJ162" i="135" s="1"/>
  <c r="M163" i="135"/>
  <c r="N163" i="135"/>
  <c r="O163" i="135"/>
  <c r="R163" i="135" s="1"/>
  <c r="P163" i="135"/>
  <c r="Q163" i="135"/>
  <c r="W163" i="135"/>
  <c r="X163" i="135" s="1"/>
  <c r="AB163" i="135"/>
  <c r="AC163" i="135" s="1"/>
  <c r="AI163" i="135"/>
  <c r="AJ163" i="135" s="1"/>
  <c r="M164" i="135"/>
  <c r="N164" i="135"/>
  <c r="O164" i="135"/>
  <c r="R164" i="135" s="1"/>
  <c r="P164" i="135"/>
  <c r="Q164" i="135"/>
  <c r="W164" i="135"/>
  <c r="X164" i="135" s="1"/>
  <c r="AB164" i="135"/>
  <c r="AC164" i="135" s="1"/>
  <c r="AI164" i="135"/>
  <c r="AJ164" i="135" s="1"/>
  <c r="M165" i="135"/>
  <c r="N165" i="135"/>
  <c r="O165" i="135"/>
  <c r="P165" i="135"/>
  <c r="Q165" i="135"/>
  <c r="R165" i="135"/>
  <c r="W165" i="135"/>
  <c r="X165" i="135" s="1"/>
  <c r="AB165" i="135"/>
  <c r="AC165" i="135" s="1"/>
  <c r="AI165" i="135"/>
  <c r="AJ165" i="135" s="1"/>
  <c r="F166" i="135"/>
  <c r="M166" i="135"/>
  <c r="N166" i="135"/>
  <c r="O166" i="135"/>
  <c r="P166" i="135"/>
  <c r="Q166" i="135"/>
  <c r="R166" i="135"/>
  <c r="W166" i="135"/>
  <c r="AB166" i="135"/>
  <c r="AC166" i="135" s="1"/>
  <c r="AI166" i="135"/>
  <c r="AJ166" i="135" s="1"/>
  <c r="F167" i="135"/>
  <c r="M167" i="135"/>
  <c r="N167" i="135"/>
  <c r="O167" i="135"/>
  <c r="R167" i="135" s="1"/>
  <c r="P167" i="135"/>
  <c r="Q167" i="135"/>
  <c r="W167" i="135"/>
  <c r="X167" i="135" s="1"/>
  <c r="AB167" i="135"/>
  <c r="AC167" i="135" s="1"/>
  <c r="AI167" i="135"/>
  <c r="AJ167" i="135" s="1"/>
  <c r="F168" i="135"/>
  <c r="F166" i="134" s="1"/>
  <c r="M168" i="135"/>
  <c r="N168" i="135"/>
  <c r="O168" i="135"/>
  <c r="P168" i="135"/>
  <c r="R168" i="135" s="1"/>
  <c r="Q168" i="135"/>
  <c r="W168" i="135"/>
  <c r="AB168" i="135"/>
  <c r="AC168" i="135" s="1"/>
  <c r="AI168" i="135"/>
  <c r="AJ168" i="135" s="1"/>
  <c r="F169" i="135"/>
  <c r="M169" i="135"/>
  <c r="N169" i="135"/>
  <c r="O169" i="135"/>
  <c r="R169" i="135" s="1"/>
  <c r="P169" i="135"/>
  <c r="Q169" i="135"/>
  <c r="W169" i="135"/>
  <c r="AB169" i="135"/>
  <c r="AC169" i="135"/>
  <c r="AI169" i="135"/>
  <c r="AJ169" i="135" s="1"/>
  <c r="F170" i="135"/>
  <c r="M170" i="135"/>
  <c r="N170" i="135"/>
  <c r="O170" i="135"/>
  <c r="P170" i="135"/>
  <c r="Q170" i="135"/>
  <c r="R170" i="135"/>
  <c r="W170" i="135"/>
  <c r="X170" i="135" s="1"/>
  <c r="AB170" i="135"/>
  <c r="AC170" i="135" s="1"/>
  <c r="AI170" i="135"/>
  <c r="AJ170" i="135" s="1"/>
  <c r="F171" i="135"/>
  <c r="F169" i="134" s="1"/>
  <c r="M171" i="135"/>
  <c r="N171" i="135"/>
  <c r="O171" i="135"/>
  <c r="R171" i="135" s="1"/>
  <c r="P171" i="135"/>
  <c r="Q171" i="135"/>
  <c r="W171" i="135"/>
  <c r="X171" i="135" s="1"/>
  <c r="AB171" i="135"/>
  <c r="AC171" i="135" s="1"/>
  <c r="AI171" i="135"/>
  <c r="AJ171" i="135" s="1"/>
  <c r="F172" i="135"/>
  <c r="M172" i="135"/>
  <c r="N172" i="135"/>
  <c r="O172" i="135"/>
  <c r="R172" i="135" s="1"/>
  <c r="P172" i="135"/>
  <c r="Q172" i="135"/>
  <c r="W172" i="135"/>
  <c r="AB172" i="135"/>
  <c r="AC172" i="135" s="1"/>
  <c r="AI172" i="135"/>
  <c r="AJ172" i="135" s="1"/>
  <c r="F173" i="135"/>
  <c r="M173" i="135"/>
  <c r="N173" i="135"/>
  <c r="O173" i="135"/>
  <c r="P173" i="135"/>
  <c r="Q173" i="135"/>
  <c r="R173" i="135"/>
  <c r="W173" i="135"/>
  <c r="AB173" i="135"/>
  <c r="AC173" i="135" s="1"/>
  <c r="AI173" i="135"/>
  <c r="AJ173" i="135" s="1"/>
  <c r="F174" i="135"/>
  <c r="F172" i="134" s="1"/>
  <c r="M174" i="135"/>
  <c r="N174" i="135"/>
  <c r="O174" i="135"/>
  <c r="P174" i="135"/>
  <c r="Q174" i="135"/>
  <c r="R174" i="135"/>
  <c r="W174" i="135"/>
  <c r="AB174" i="135"/>
  <c r="AC174" i="135" s="1"/>
  <c r="AI174" i="135"/>
  <c r="AJ174" i="135" s="1"/>
  <c r="F175" i="135"/>
  <c r="M175" i="135"/>
  <c r="N175" i="135"/>
  <c r="O175" i="135"/>
  <c r="R175" i="135" s="1"/>
  <c r="P175" i="135"/>
  <c r="Q175" i="135"/>
  <c r="W175" i="135"/>
  <c r="X175" i="135" s="1"/>
  <c r="AB175" i="135"/>
  <c r="AC175" i="135" s="1"/>
  <c r="AI175" i="135"/>
  <c r="AJ175" i="135" s="1"/>
  <c r="F176" i="135"/>
  <c r="M176" i="135"/>
  <c r="N176" i="135"/>
  <c r="O176" i="135"/>
  <c r="P176" i="135"/>
  <c r="Q176" i="135"/>
  <c r="R176" i="135"/>
  <c r="W176" i="135"/>
  <c r="X176" i="135" s="1"/>
  <c r="AB176" i="135"/>
  <c r="AC176" i="135" s="1"/>
  <c r="AI176" i="135"/>
  <c r="AJ176" i="135" s="1"/>
  <c r="M177" i="135"/>
  <c r="N177" i="135"/>
  <c r="O177" i="135"/>
  <c r="R177" i="135" s="1"/>
  <c r="P177" i="135"/>
  <c r="Q177" i="135"/>
  <c r="W177" i="135"/>
  <c r="AB177" i="135"/>
  <c r="AC177" i="135" s="1"/>
  <c r="AI177" i="135"/>
  <c r="AJ177" i="135" s="1"/>
  <c r="F178" i="135"/>
  <c r="M178" i="135"/>
  <c r="N178" i="135"/>
  <c r="O178" i="135"/>
  <c r="R178" i="135" s="1"/>
  <c r="P178" i="135"/>
  <c r="Q178" i="135"/>
  <c r="W178" i="135"/>
  <c r="AB178" i="135"/>
  <c r="AC178" i="135" s="1"/>
  <c r="AI178" i="135"/>
  <c r="AJ178" i="135" s="1"/>
  <c r="F179" i="135"/>
  <c r="F177" i="134" s="1"/>
  <c r="M179" i="135"/>
  <c r="N179" i="135"/>
  <c r="O179" i="135"/>
  <c r="P179" i="135"/>
  <c r="Q179" i="135"/>
  <c r="R179" i="135"/>
  <c r="W179" i="135"/>
  <c r="X179" i="135" s="1"/>
  <c r="AB179" i="135"/>
  <c r="AC179" i="135" s="1"/>
  <c r="AI179" i="135"/>
  <c r="AJ179" i="135" s="1"/>
  <c r="F180" i="139"/>
  <c r="M180" i="135"/>
  <c r="N180" i="135"/>
  <c r="O180" i="135"/>
  <c r="P180" i="135"/>
  <c r="Q180" i="135"/>
  <c r="W180" i="135"/>
  <c r="X180" i="135" s="1"/>
  <c r="AB180" i="135"/>
  <c r="AC180" i="135" s="1"/>
  <c r="AI180" i="135"/>
  <c r="AJ180" i="135" s="1"/>
  <c r="F181" i="135"/>
  <c r="AI181" i="135"/>
  <c r="AJ181" i="135" s="1"/>
  <c r="F182" i="139"/>
  <c r="M182" i="135"/>
  <c r="N182" i="135"/>
  <c r="O182" i="135"/>
  <c r="R182" i="135" s="1"/>
  <c r="P182" i="135"/>
  <c r="Q182" i="135"/>
  <c r="W182" i="135"/>
  <c r="X182" i="135" s="1"/>
  <c r="AB182" i="135"/>
  <c r="AC182" i="135" s="1"/>
  <c r="AI182" i="135"/>
  <c r="AJ182" i="135" s="1"/>
  <c r="F183" i="135"/>
  <c r="M183" i="135"/>
  <c r="N183" i="135"/>
  <c r="O183" i="135"/>
  <c r="R183" i="135" s="1"/>
  <c r="P183" i="135"/>
  <c r="Q183" i="135"/>
  <c r="W183" i="135"/>
  <c r="AB183" i="135"/>
  <c r="AC183" i="135" s="1"/>
  <c r="AI183" i="135"/>
  <c r="AJ183" i="135" s="1"/>
  <c r="F184" i="135"/>
  <c r="F184" i="139" s="1"/>
  <c r="M184" i="135"/>
  <c r="N184" i="135"/>
  <c r="O184" i="135"/>
  <c r="R184" i="135" s="1"/>
  <c r="P184" i="135"/>
  <c r="Q184" i="135"/>
  <c r="W184" i="135"/>
  <c r="AB184" i="135"/>
  <c r="AC184" i="135" s="1"/>
  <c r="AI184" i="135"/>
  <c r="AJ184" i="135" s="1"/>
  <c r="F185" i="135"/>
  <c r="M185" i="135"/>
  <c r="N185" i="135"/>
  <c r="O185" i="135"/>
  <c r="R185" i="135" s="1"/>
  <c r="P185" i="135"/>
  <c r="Q185" i="135"/>
  <c r="W185" i="135"/>
  <c r="AB185" i="135"/>
  <c r="AC185" i="135" s="1"/>
  <c r="AI185" i="135"/>
  <c r="AJ185" i="135" s="1"/>
  <c r="F186" i="139"/>
  <c r="M186" i="135"/>
  <c r="N186" i="135"/>
  <c r="O186" i="135"/>
  <c r="R186" i="135" s="1"/>
  <c r="P186" i="135"/>
  <c r="Q186" i="135"/>
  <c r="W186" i="135"/>
  <c r="AB186" i="135"/>
  <c r="AC186" i="135" s="1"/>
  <c r="AI186" i="135"/>
  <c r="AJ186" i="135" s="1"/>
  <c r="F187" i="135"/>
  <c r="M187" i="135"/>
  <c r="N187" i="135"/>
  <c r="O187" i="135"/>
  <c r="R187" i="135" s="1"/>
  <c r="P187" i="135"/>
  <c r="Q187" i="135"/>
  <c r="W187" i="135"/>
  <c r="X187" i="135" s="1"/>
  <c r="AB187" i="135"/>
  <c r="AC187" i="135" s="1"/>
  <c r="AI187" i="135"/>
  <c r="AJ187" i="135" s="1"/>
  <c r="F188" i="135"/>
  <c r="M188" i="135"/>
  <c r="N188" i="135"/>
  <c r="O188" i="135"/>
  <c r="R188" i="135" s="1"/>
  <c r="P188" i="135"/>
  <c r="Q188" i="135"/>
  <c r="W188" i="135"/>
  <c r="X188" i="135" s="1"/>
  <c r="AB188" i="135"/>
  <c r="AC188" i="135" s="1"/>
  <c r="AI188" i="135"/>
  <c r="AJ188" i="135" s="1"/>
  <c r="F189" i="135"/>
  <c r="M189" i="135"/>
  <c r="N189" i="135"/>
  <c r="O189" i="135"/>
  <c r="R189" i="135" s="1"/>
  <c r="P189" i="135"/>
  <c r="Q189" i="135"/>
  <c r="W189" i="135"/>
  <c r="AB189" i="135"/>
  <c r="AC189" i="135" s="1"/>
  <c r="AI189" i="135"/>
  <c r="AJ189" i="135" s="1"/>
  <c r="M190" i="135"/>
  <c r="N190" i="135"/>
  <c r="O190" i="135"/>
  <c r="P190" i="135"/>
  <c r="R190" i="135" s="1"/>
  <c r="Q190" i="135"/>
  <c r="W190" i="135"/>
  <c r="AD190" i="135" s="1"/>
  <c r="AE190" i="135" s="1"/>
  <c r="AB190" i="135"/>
  <c r="AC190" i="135" s="1"/>
  <c r="AI190" i="135"/>
  <c r="AJ190" i="135" s="1"/>
  <c r="F191" i="135"/>
  <c r="F191" i="139" s="1"/>
  <c r="M191" i="135"/>
  <c r="N191" i="135"/>
  <c r="O191" i="135"/>
  <c r="P191" i="135"/>
  <c r="Q191" i="135"/>
  <c r="R191" i="135"/>
  <c r="W191" i="135"/>
  <c r="X191" i="135" s="1"/>
  <c r="AB191" i="135"/>
  <c r="AC191" i="135" s="1"/>
  <c r="AI191" i="135"/>
  <c r="AJ191" i="135" s="1"/>
  <c r="F192" i="135"/>
  <c r="M192" i="135"/>
  <c r="N192" i="135"/>
  <c r="O192" i="135"/>
  <c r="P192" i="135"/>
  <c r="Q192" i="135"/>
  <c r="R192" i="135"/>
  <c r="W192" i="135"/>
  <c r="X192" i="135" s="1"/>
  <c r="AB192" i="135"/>
  <c r="AC192" i="135" s="1"/>
  <c r="AI192" i="135"/>
  <c r="AJ192" i="135" s="1"/>
  <c r="F193" i="135"/>
  <c r="F193" i="139" s="1"/>
  <c r="M193" i="135"/>
  <c r="N193" i="135"/>
  <c r="O193" i="135"/>
  <c r="P193" i="135"/>
  <c r="R193" i="135" s="1"/>
  <c r="Q193" i="135"/>
  <c r="W193" i="135"/>
  <c r="X193" i="135" s="1"/>
  <c r="AB193" i="135"/>
  <c r="AC193" i="135" s="1"/>
  <c r="AI193" i="135"/>
  <c r="AJ193" i="135" s="1"/>
  <c r="F194" i="135"/>
  <c r="F192" i="134" s="1"/>
  <c r="M194" i="135"/>
  <c r="N194" i="135"/>
  <c r="O194" i="135"/>
  <c r="P194" i="135"/>
  <c r="Q194" i="135"/>
  <c r="R194" i="135"/>
  <c r="W194" i="135"/>
  <c r="AB194" i="135"/>
  <c r="AC194" i="135" s="1"/>
  <c r="AI194" i="135"/>
  <c r="AJ194" i="135" s="1"/>
  <c r="F195" i="135"/>
  <c r="F196" i="135" s="1"/>
  <c r="F196" i="139" s="1"/>
  <c r="M195" i="135"/>
  <c r="N195" i="135"/>
  <c r="O195" i="135"/>
  <c r="R195" i="135" s="1"/>
  <c r="P195" i="135"/>
  <c r="Q195" i="135"/>
  <c r="W195" i="135"/>
  <c r="X195" i="135" s="1"/>
  <c r="AB195" i="135"/>
  <c r="AC195" i="135" s="1"/>
  <c r="AI195" i="135"/>
  <c r="AJ195" i="135" s="1"/>
  <c r="M196" i="135"/>
  <c r="N196" i="135"/>
  <c r="O196" i="135"/>
  <c r="R196" i="135" s="1"/>
  <c r="P196" i="135"/>
  <c r="Q196" i="135"/>
  <c r="W196" i="135"/>
  <c r="AB196" i="135"/>
  <c r="AC196" i="135" s="1"/>
  <c r="AI196" i="135"/>
  <c r="AJ196" i="135" s="1"/>
  <c r="F197" i="135"/>
  <c r="F195" i="134" s="1"/>
  <c r="M197" i="135"/>
  <c r="N197" i="135"/>
  <c r="O197" i="135"/>
  <c r="R197" i="135" s="1"/>
  <c r="P197" i="135"/>
  <c r="Q197" i="135"/>
  <c r="W197" i="135"/>
  <c r="X197" i="135" s="1"/>
  <c r="AB197" i="135"/>
  <c r="AI197" i="135"/>
  <c r="AJ197" i="135" s="1"/>
  <c r="F198" i="135"/>
  <c r="M198" i="135"/>
  <c r="N198" i="135"/>
  <c r="O198" i="135"/>
  <c r="P198" i="135"/>
  <c r="Q198" i="135"/>
  <c r="R198" i="135"/>
  <c r="W198" i="135"/>
  <c r="AB198" i="135"/>
  <c r="AC198" i="135" s="1"/>
  <c r="AI198" i="135"/>
  <c r="AJ198" i="135" s="1"/>
  <c r="F199" i="135"/>
  <c r="M199" i="135"/>
  <c r="N199" i="135"/>
  <c r="O199" i="135"/>
  <c r="R199" i="135" s="1"/>
  <c r="P199" i="135"/>
  <c r="Q199" i="135"/>
  <c r="W199" i="135"/>
  <c r="X199" i="135" s="1"/>
  <c r="AB199" i="135"/>
  <c r="AC199" i="135" s="1"/>
  <c r="AI199" i="135"/>
  <c r="AJ199" i="135" s="1"/>
  <c r="F200" i="135"/>
  <c r="M200" i="135"/>
  <c r="N200" i="135"/>
  <c r="O200" i="135"/>
  <c r="P200" i="135"/>
  <c r="Q200" i="135"/>
  <c r="R200" i="135"/>
  <c r="W200" i="135"/>
  <c r="AB200" i="135"/>
  <c r="AC200" i="135" s="1"/>
  <c r="AI200" i="135"/>
  <c r="AJ200" i="135" s="1"/>
  <c r="F201" i="135"/>
  <c r="M201" i="135"/>
  <c r="N201" i="135"/>
  <c r="O201" i="135"/>
  <c r="R201" i="135" s="1"/>
  <c r="P201" i="135"/>
  <c r="Q201" i="135"/>
  <c r="W201" i="135"/>
  <c r="X201" i="135" s="1"/>
  <c r="AB201" i="135"/>
  <c r="AC201" i="135" s="1"/>
  <c r="AI201" i="135"/>
  <c r="AJ201" i="135" s="1"/>
  <c r="F202" i="135"/>
  <c r="F200" i="134" s="1"/>
  <c r="M202" i="135"/>
  <c r="N202" i="135"/>
  <c r="O202" i="135"/>
  <c r="P202" i="135"/>
  <c r="Q202" i="135"/>
  <c r="R202" i="135"/>
  <c r="W202" i="135"/>
  <c r="AI202" i="135"/>
  <c r="AJ202" i="135" s="1"/>
  <c r="F203" i="135"/>
  <c r="F201" i="134" s="1"/>
  <c r="M203" i="135"/>
  <c r="N203" i="135"/>
  <c r="O203" i="135"/>
  <c r="R203" i="135" s="1"/>
  <c r="P203" i="135"/>
  <c r="Q203" i="135"/>
  <c r="W203" i="135"/>
  <c r="X203" i="135" s="1"/>
  <c r="AB203" i="135"/>
  <c r="AI203" i="135"/>
  <c r="AJ203" i="135" s="1"/>
  <c r="F204" i="135"/>
  <c r="M204" i="135"/>
  <c r="N204" i="135"/>
  <c r="O204" i="135"/>
  <c r="R204" i="135" s="1"/>
  <c r="P204" i="135"/>
  <c r="Q204" i="135"/>
  <c r="W204" i="135"/>
  <c r="X204" i="135" s="1"/>
  <c r="AB204" i="135"/>
  <c r="AC204" i="135" s="1"/>
  <c r="AI204" i="135"/>
  <c r="AJ204" i="135" s="1"/>
  <c r="F205" i="135"/>
  <c r="F203" i="134" s="1"/>
  <c r="M205" i="135"/>
  <c r="N205" i="135"/>
  <c r="O205" i="135"/>
  <c r="P205" i="135"/>
  <c r="Q205" i="135"/>
  <c r="R205" i="135"/>
  <c r="W205" i="135"/>
  <c r="X205" i="135" s="1"/>
  <c r="AB205" i="135"/>
  <c r="AC205" i="135" s="1"/>
  <c r="AI205" i="135"/>
  <c r="AJ205" i="135" s="1"/>
  <c r="F206" i="135"/>
  <c r="F204" i="134" s="1"/>
  <c r="M206" i="135"/>
  <c r="N206" i="135"/>
  <c r="O206" i="135"/>
  <c r="R206" i="135" s="1"/>
  <c r="P206" i="135"/>
  <c r="Q206" i="135"/>
  <c r="W206" i="135"/>
  <c r="AB206" i="135"/>
  <c r="AC206" i="135" s="1"/>
  <c r="AI206" i="135"/>
  <c r="AJ206" i="135" s="1"/>
  <c r="F207" i="135"/>
  <c r="F207" i="139" s="1"/>
  <c r="M207" i="135"/>
  <c r="N207" i="135"/>
  <c r="O207" i="135"/>
  <c r="R207" i="135" s="1"/>
  <c r="P207" i="135"/>
  <c r="Q207" i="135"/>
  <c r="W207" i="135"/>
  <c r="X207" i="135" s="1"/>
  <c r="AB207" i="135"/>
  <c r="AI207" i="135"/>
  <c r="AJ207" i="135" s="1"/>
  <c r="F208" i="135"/>
  <c r="F206" i="134" s="1"/>
  <c r="M208" i="135"/>
  <c r="N208" i="135"/>
  <c r="O208" i="135"/>
  <c r="R208" i="135" s="1"/>
  <c r="P208" i="135"/>
  <c r="Q208" i="135"/>
  <c r="W208" i="135"/>
  <c r="AB208" i="135"/>
  <c r="AC208" i="135" s="1"/>
  <c r="AI208" i="135"/>
  <c r="AJ208" i="135" s="1"/>
  <c r="F209" i="135"/>
  <c r="M209" i="135"/>
  <c r="N209" i="135"/>
  <c r="O209" i="135"/>
  <c r="R209" i="135" s="1"/>
  <c r="P209" i="135"/>
  <c r="Q209" i="135"/>
  <c r="W209" i="135"/>
  <c r="X209" i="135" s="1"/>
  <c r="AB209" i="135"/>
  <c r="AC209" i="135" s="1"/>
  <c r="AI209" i="135"/>
  <c r="AJ209" i="135" s="1"/>
  <c r="F210" i="135"/>
  <c r="M210" i="135"/>
  <c r="N210" i="135"/>
  <c r="O210" i="135"/>
  <c r="P210" i="135"/>
  <c r="Q210" i="135"/>
  <c r="R210" i="135"/>
  <c r="W210" i="135"/>
  <c r="AB210" i="135"/>
  <c r="AC210" i="135" s="1"/>
  <c r="AI210" i="135"/>
  <c r="AJ210" i="135" s="1"/>
  <c r="F211" i="135"/>
  <c r="M211" i="135"/>
  <c r="N211" i="135"/>
  <c r="O211" i="135"/>
  <c r="R211" i="135" s="1"/>
  <c r="P211" i="135"/>
  <c r="Q211" i="135"/>
  <c r="W211" i="135"/>
  <c r="X211" i="135" s="1"/>
  <c r="AB211" i="135"/>
  <c r="AC211" i="135" s="1"/>
  <c r="AI211" i="135"/>
  <c r="AJ211" i="135" s="1"/>
  <c r="F212" i="139"/>
  <c r="M212" i="135"/>
  <c r="N212" i="135"/>
  <c r="O212" i="135"/>
  <c r="R212" i="135" s="1"/>
  <c r="P212" i="135"/>
  <c r="Q212" i="135"/>
  <c r="W212" i="135"/>
  <c r="X212" i="135" s="1"/>
  <c r="AB212" i="135"/>
  <c r="AC212" i="135" s="1"/>
  <c r="AI212" i="135"/>
  <c r="AJ212" i="135" s="1"/>
  <c r="M213" i="135"/>
  <c r="N213" i="135"/>
  <c r="O213" i="135"/>
  <c r="R213" i="135" s="1"/>
  <c r="P213" i="135"/>
  <c r="Q213" i="135"/>
  <c r="W213" i="135"/>
  <c r="AB213" i="135"/>
  <c r="AC213" i="135" s="1"/>
  <c r="AI213" i="135"/>
  <c r="AJ213" i="135" s="1"/>
  <c r="F214" i="139"/>
  <c r="N214" i="135"/>
  <c r="O214" i="135"/>
  <c r="R214" i="135" s="1"/>
  <c r="P214" i="135"/>
  <c r="Q214" i="135"/>
  <c r="W214" i="135"/>
  <c r="AB214" i="135"/>
  <c r="AC214" i="135" s="1"/>
  <c r="AI214" i="135"/>
  <c r="AJ214" i="135" s="1"/>
  <c r="M215" i="135"/>
  <c r="N215" i="135"/>
  <c r="O215" i="135"/>
  <c r="P215" i="135"/>
  <c r="Q215" i="135"/>
  <c r="R215" i="135" s="1"/>
  <c r="W215" i="135"/>
  <c r="AB215" i="135"/>
  <c r="AC215" i="135" s="1"/>
  <c r="AI215" i="135"/>
  <c r="AJ215" i="135" s="1"/>
  <c r="F216" i="135"/>
  <c r="F216" i="139" s="1"/>
  <c r="M216" i="135"/>
  <c r="N216" i="135"/>
  <c r="O216" i="135"/>
  <c r="R216" i="135" s="1"/>
  <c r="P216" i="135"/>
  <c r="Q216" i="135"/>
  <c r="W216" i="135"/>
  <c r="X216" i="135" s="1"/>
  <c r="AB216" i="135"/>
  <c r="AC216" i="135" s="1"/>
  <c r="AI216" i="135"/>
  <c r="AJ216" i="135" s="1"/>
  <c r="F217" i="135"/>
  <c r="M217" i="135"/>
  <c r="N217" i="135"/>
  <c r="O217" i="135"/>
  <c r="R217" i="135" s="1"/>
  <c r="P217" i="135"/>
  <c r="Q217" i="135"/>
  <c r="W217" i="135"/>
  <c r="AB217" i="135"/>
  <c r="AC217" i="135" s="1"/>
  <c r="AI217" i="135"/>
  <c r="AJ217" i="135" s="1"/>
  <c r="F218" i="135"/>
  <c r="F218" i="139" s="1"/>
  <c r="M218" i="135"/>
  <c r="N218" i="135"/>
  <c r="O218" i="135"/>
  <c r="P218" i="135"/>
  <c r="Q218" i="135"/>
  <c r="R218" i="135"/>
  <c r="W218" i="135"/>
  <c r="AB218" i="135"/>
  <c r="AC218" i="135" s="1"/>
  <c r="AI218" i="135"/>
  <c r="AJ218" i="135" s="1"/>
  <c r="F219" i="135"/>
  <c r="M219" i="135"/>
  <c r="N219" i="135"/>
  <c r="O219" i="135"/>
  <c r="R219" i="135" s="1"/>
  <c r="P219" i="135"/>
  <c r="Q219" i="135"/>
  <c r="W219" i="135"/>
  <c r="AB219" i="135"/>
  <c r="AC219" i="135" s="1"/>
  <c r="AI219" i="135"/>
  <c r="AJ219" i="135" s="1"/>
  <c r="F220" i="135"/>
  <c r="M220" i="135"/>
  <c r="N220" i="135"/>
  <c r="O220" i="135"/>
  <c r="R220" i="135" s="1"/>
  <c r="P220" i="135"/>
  <c r="Q220" i="135"/>
  <c r="W220" i="135"/>
  <c r="X220" i="135"/>
  <c r="AB220" i="135"/>
  <c r="AC220" i="135" s="1"/>
  <c r="AI220" i="135"/>
  <c r="AJ220" i="135" s="1"/>
  <c r="M221" i="135"/>
  <c r="N221" i="135"/>
  <c r="O221" i="135"/>
  <c r="R221" i="135" s="1"/>
  <c r="P221" i="135"/>
  <c r="Q221" i="135"/>
  <c r="W221" i="135"/>
  <c r="AB221" i="135"/>
  <c r="AC221" i="135" s="1"/>
  <c r="AI221" i="135"/>
  <c r="AJ221" i="135" s="1"/>
  <c r="F222" i="135"/>
  <c r="M222" i="135"/>
  <c r="N222" i="135"/>
  <c r="O222" i="135"/>
  <c r="P222" i="135"/>
  <c r="Q222" i="135"/>
  <c r="R222" i="135"/>
  <c r="W222" i="135"/>
  <c r="AB222" i="135"/>
  <c r="AC222" i="135" s="1"/>
  <c r="AI222" i="135"/>
  <c r="AJ222" i="135" s="1"/>
  <c r="F223" i="135"/>
  <c r="M223" i="135"/>
  <c r="N223" i="135"/>
  <c r="O223" i="135"/>
  <c r="R223" i="135" s="1"/>
  <c r="P223" i="135"/>
  <c r="Q223" i="135"/>
  <c r="W223" i="135"/>
  <c r="X223" i="135" s="1"/>
  <c r="AB223" i="135"/>
  <c r="AC223" i="135" s="1"/>
  <c r="AI223" i="135"/>
  <c r="AJ223" i="135" s="1"/>
  <c r="F224" i="135"/>
  <c r="M224" i="135"/>
  <c r="N224" i="135"/>
  <c r="O224" i="135"/>
  <c r="P224" i="135"/>
  <c r="Q224" i="135"/>
  <c r="R224" i="135"/>
  <c r="W224" i="135"/>
  <c r="X224" i="135" s="1"/>
  <c r="AB224" i="135"/>
  <c r="AC224" i="135" s="1"/>
  <c r="AI224" i="135"/>
  <c r="AJ224" i="135" s="1"/>
  <c r="F225" i="135"/>
  <c r="F225" i="139" s="1"/>
  <c r="M225" i="135"/>
  <c r="N225" i="135"/>
  <c r="O225" i="135"/>
  <c r="P225" i="135"/>
  <c r="R225" i="135" s="1"/>
  <c r="Q225" i="135"/>
  <c r="W225" i="135"/>
  <c r="X225" i="135" s="1"/>
  <c r="AB225" i="135"/>
  <c r="AC225" i="135" s="1"/>
  <c r="AI225" i="135"/>
  <c r="AJ225" i="135" s="1"/>
  <c r="M226" i="135"/>
  <c r="N226" i="135"/>
  <c r="O226" i="135"/>
  <c r="P226" i="135"/>
  <c r="Q226" i="135"/>
  <c r="R226" i="135"/>
  <c r="W226" i="135"/>
  <c r="AB226" i="135"/>
  <c r="AC226" i="135" s="1"/>
  <c r="AI226" i="135"/>
  <c r="AJ226" i="135" s="1"/>
  <c r="F227" i="135"/>
  <c r="F225" i="134" s="1"/>
  <c r="M227" i="135"/>
  <c r="N227" i="135"/>
  <c r="O227" i="135"/>
  <c r="R227" i="135" s="1"/>
  <c r="P227" i="135"/>
  <c r="Q227" i="135"/>
  <c r="W227" i="135"/>
  <c r="AB227" i="135"/>
  <c r="AC227" i="135" s="1"/>
  <c r="AI227" i="135"/>
  <c r="AJ227" i="135" s="1"/>
  <c r="F228" i="135"/>
  <c r="M228" i="135"/>
  <c r="N228" i="135"/>
  <c r="O228" i="135"/>
  <c r="R228" i="135" s="1"/>
  <c r="P228" i="135"/>
  <c r="Q228" i="135"/>
  <c r="W228" i="135"/>
  <c r="X228" i="135" s="1"/>
  <c r="AB228" i="135"/>
  <c r="AC228" i="135" s="1"/>
  <c r="AI228" i="135"/>
  <c r="AJ228" i="135" s="1"/>
  <c r="F229" i="135"/>
  <c r="M229" i="135"/>
  <c r="N229" i="135"/>
  <c r="O229" i="135"/>
  <c r="R229" i="135" s="1"/>
  <c r="P229" i="135"/>
  <c r="Q229" i="135"/>
  <c r="W229" i="135"/>
  <c r="AB229" i="135"/>
  <c r="AC229" i="135" s="1"/>
  <c r="AI229" i="135"/>
  <c r="AJ229" i="135" s="1"/>
  <c r="F228" i="134"/>
  <c r="M230" i="135"/>
  <c r="N230" i="135"/>
  <c r="O230" i="135"/>
  <c r="R230" i="135" s="1"/>
  <c r="P230" i="135"/>
  <c r="Q230" i="135"/>
  <c r="W230" i="135"/>
  <c r="AB230" i="135"/>
  <c r="AC230" i="135" s="1"/>
  <c r="AI230" i="135"/>
  <c r="AJ230" i="135" s="1"/>
  <c r="F231" i="135"/>
  <c r="M231" i="135"/>
  <c r="N231" i="135"/>
  <c r="O231" i="135"/>
  <c r="R231" i="135" s="1"/>
  <c r="P231" i="135"/>
  <c r="Q231" i="135"/>
  <c r="W231" i="135"/>
  <c r="X231" i="135" s="1"/>
  <c r="AB231" i="135"/>
  <c r="AC231" i="135" s="1"/>
  <c r="AI231" i="135"/>
  <c r="AJ231" i="135" s="1"/>
  <c r="F232" i="135"/>
  <c r="M232" i="135"/>
  <c r="N232" i="135"/>
  <c r="O232" i="135"/>
  <c r="R232" i="135" s="1"/>
  <c r="P232" i="135"/>
  <c r="Q232" i="135"/>
  <c r="W232" i="135"/>
  <c r="AB232" i="135"/>
  <c r="AC232" i="135" s="1"/>
  <c r="AI232" i="135"/>
  <c r="AJ232" i="135" s="1"/>
  <c r="F233" i="135"/>
  <c r="F231" i="134" s="1"/>
  <c r="M233" i="135"/>
  <c r="N233" i="135"/>
  <c r="O233" i="135"/>
  <c r="R233" i="135" s="1"/>
  <c r="P233" i="135"/>
  <c r="Q233" i="135"/>
  <c r="W233" i="135"/>
  <c r="AB233" i="135"/>
  <c r="AC233" i="135" s="1"/>
  <c r="AI233" i="135"/>
  <c r="AJ233" i="135" s="1"/>
  <c r="F234" i="135"/>
  <c r="M234" i="135"/>
  <c r="N234" i="135"/>
  <c r="O234" i="135"/>
  <c r="R234" i="135" s="1"/>
  <c r="P234" i="135"/>
  <c r="Q234" i="135"/>
  <c r="W234" i="135"/>
  <c r="AB234" i="135"/>
  <c r="AC234" i="135" s="1"/>
  <c r="AI234" i="135"/>
  <c r="AJ234" i="135" s="1"/>
  <c r="F235" i="135"/>
  <c r="M235" i="135"/>
  <c r="N235" i="135"/>
  <c r="O235" i="135"/>
  <c r="R235" i="135" s="1"/>
  <c r="P235" i="135"/>
  <c r="Q235" i="135"/>
  <c r="W235" i="135"/>
  <c r="X235" i="135" s="1"/>
  <c r="AB235" i="135"/>
  <c r="AC235" i="135" s="1"/>
  <c r="AI235" i="135"/>
  <c r="AJ235" i="135" s="1"/>
  <c r="F236" i="135"/>
  <c r="F234" i="134" s="1"/>
  <c r="M236" i="135"/>
  <c r="N236" i="135"/>
  <c r="O236" i="135"/>
  <c r="R236" i="135" s="1"/>
  <c r="P236" i="135"/>
  <c r="Q236" i="135"/>
  <c r="W236" i="135"/>
  <c r="AB236" i="135"/>
  <c r="AC236" i="135" s="1"/>
  <c r="AI236" i="135"/>
  <c r="AJ236" i="135" s="1"/>
  <c r="F237" i="135"/>
  <c r="F237" i="139" s="1"/>
  <c r="M237" i="135"/>
  <c r="N237" i="135"/>
  <c r="O237" i="135"/>
  <c r="R237" i="135" s="1"/>
  <c r="P237" i="135"/>
  <c r="Q237" i="135"/>
  <c r="W237" i="135"/>
  <c r="AB237" i="135"/>
  <c r="AC237" i="135" s="1"/>
  <c r="AI237" i="135"/>
  <c r="AJ237" i="135" s="1"/>
  <c r="F238" i="135"/>
  <c r="M238" i="135"/>
  <c r="N238" i="135"/>
  <c r="O238" i="135"/>
  <c r="R238" i="135" s="1"/>
  <c r="P238" i="135"/>
  <c r="Q238" i="135"/>
  <c r="W238" i="135"/>
  <c r="X238" i="135" s="1"/>
  <c r="AB238" i="135"/>
  <c r="AC238" i="135" s="1"/>
  <c r="AI238" i="135"/>
  <c r="AJ238" i="135" s="1"/>
  <c r="F239" i="139"/>
  <c r="M239" i="135"/>
  <c r="N239" i="135"/>
  <c r="O239" i="135"/>
  <c r="P239" i="135"/>
  <c r="Q239" i="135"/>
  <c r="R239" i="135"/>
  <c r="W239" i="135"/>
  <c r="X239" i="135" s="1"/>
  <c r="AB239" i="135"/>
  <c r="AC239" i="135" s="1"/>
  <c r="AI239" i="135"/>
  <c r="AJ239" i="135" s="1"/>
  <c r="M240" i="135"/>
  <c r="N240" i="135"/>
  <c r="O240" i="135"/>
  <c r="P240" i="135"/>
  <c r="Q240" i="135"/>
  <c r="R240" i="135"/>
  <c r="W240" i="135"/>
  <c r="X240" i="135" s="1"/>
  <c r="AB240" i="135"/>
  <c r="AC240" i="135" s="1"/>
  <c r="AI240" i="135"/>
  <c r="AJ240" i="135" s="1"/>
  <c r="F241" i="135"/>
  <c r="F241" i="139" s="1"/>
  <c r="M241" i="135"/>
  <c r="N241" i="135"/>
  <c r="O241" i="135"/>
  <c r="R241" i="135" s="1"/>
  <c r="P241" i="135"/>
  <c r="Q241" i="135"/>
  <c r="W241" i="135"/>
  <c r="X241" i="135" s="1"/>
  <c r="AB241" i="135"/>
  <c r="AI241" i="135"/>
  <c r="AJ241" i="135" s="1"/>
  <c r="F242" i="135"/>
  <c r="M242" i="135"/>
  <c r="N242" i="135"/>
  <c r="O242" i="135"/>
  <c r="R242" i="135" s="1"/>
  <c r="P242" i="135"/>
  <c r="Q242" i="135"/>
  <c r="W242" i="135"/>
  <c r="AB242" i="135"/>
  <c r="AC242" i="135" s="1"/>
  <c r="AI242" i="135"/>
  <c r="AJ242" i="135" s="1"/>
  <c r="F243" i="135"/>
  <c r="M243" i="135"/>
  <c r="N243" i="135"/>
  <c r="O243" i="135"/>
  <c r="P243" i="135"/>
  <c r="R243" i="135" s="1"/>
  <c r="Q243" i="135"/>
  <c r="W243" i="135"/>
  <c r="AB243" i="135"/>
  <c r="AC243" i="135" s="1"/>
  <c r="AI243" i="135"/>
  <c r="AJ243" i="135" s="1"/>
  <c r="F244" i="135"/>
  <c r="F244" i="139" s="1"/>
  <c r="M244" i="135"/>
  <c r="N244" i="135"/>
  <c r="O244" i="135"/>
  <c r="P244" i="135"/>
  <c r="Q244" i="135"/>
  <c r="R244" i="135"/>
  <c r="W244" i="135"/>
  <c r="X244" i="135" s="1"/>
  <c r="AB244" i="135"/>
  <c r="AC244" i="135" s="1"/>
  <c r="AI244" i="135"/>
  <c r="AJ244" i="135" s="1"/>
  <c r="F245" i="135"/>
  <c r="M245" i="135"/>
  <c r="N245" i="135"/>
  <c r="O245" i="135"/>
  <c r="P245" i="135"/>
  <c r="Q245" i="135"/>
  <c r="R245" i="135"/>
  <c r="W245" i="135"/>
  <c r="AB245" i="135"/>
  <c r="AC245" i="135" s="1"/>
  <c r="AI245" i="135"/>
  <c r="AJ245" i="135" s="1"/>
  <c r="F246" i="135"/>
  <c r="F246" i="139" s="1"/>
  <c r="M246" i="135"/>
  <c r="N246" i="135"/>
  <c r="O246" i="135"/>
  <c r="R246" i="135" s="1"/>
  <c r="P246" i="135"/>
  <c r="Q246" i="135"/>
  <c r="W246" i="135"/>
  <c r="X246" i="135" s="1"/>
  <c r="AB246" i="135"/>
  <c r="AC246" i="135" s="1"/>
  <c r="AI246" i="135"/>
  <c r="AJ246" i="135" s="1"/>
  <c r="F247" i="135"/>
  <c r="M247" i="135"/>
  <c r="N247" i="135"/>
  <c r="O247" i="135"/>
  <c r="R247" i="135" s="1"/>
  <c r="P247" i="135"/>
  <c r="Q247" i="135"/>
  <c r="W247" i="135"/>
  <c r="X247" i="135" s="1"/>
  <c r="AB247" i="135"/>
  <c r="AC247" i="135" s="1"/>
  <c r="AI247" i="135"/>
  <c r="AJ247" i="135" s="1"/>
  <c r="F248" i="135"/>
  <c r="M248" i="135"/>
  <c r="N248" i="135"/>
  <c r="O248" i="135"/>
  <c r="P248" i="135"/>
  <c r="Q248" i="135"/>
  <c r="R248" i="135" s="1"/>
  <c r="W248" i="135"/>
  <c r="X248" i="135" s="1"/>
  <c r="AB248" i="135"/>
  <c r="AC248" i="135" s="1"/>
  <c r="AI248" i="135"/>
  <c r="AJ248" i="135" s="1"/>
  <c r="F249" i="135"/>
  <c r="M249" i="135"/>
  <c r="N249" i="135"/>
  <c r="O249" i="135"/>
  <c r="P249" i="135"/>
  <c r="Q249" i="135"/>
  <c r="R249" i="135"/>
  <c r="W249" i="135"/>
  <c r="X249" i="135" s="1"/>
  <c r="AB249" i="135"/>
  <c r="AI249" i="135"/>
  <c r="AJ249" i="135" s="1"/>
  <c r="F250" i="135"/>
  <c r="F250" i="139" s="1"/>
  <c r="M250" i="135"/>
  <c r="N250" i="135"/>
  <c r="O250" i="135"/>
  <c r="R250" i="135" s="1"/>
  <c r="P250" i="135"/>
  <c r="Q250" i="135"/>
  <c r="W250" i="135"/>
  <c r="AB250" i="135"/>
  <c r="AC250" i="135" s="1"/>
  <c r="AI250" i="135"/>
  <c r="AJ250" i="135" s="1"/>
  <c r="F251" i="135"/>
  <c r="M251" i="135"/>
  <c r="N251" i="135"/>
  <c r="O251" i="135"/>
  <c r="P251" i="135"/>
  <c r="Q251" i="135"/>
  <c r="R251" i="135"/>
  <c r="W251" i="135"/>
  <c r="AB251" i="135"/>
  <c r="AC251" i="135" s="1"/>
  <c r="AI251" i="135"/>
  <c r="AJ251" i="135" s="1"/>
  <c r="F252" i="139"/>
  <c r="M252" i="135"/>
  <c r="N252" i="135"/>
  <c r="O252" i="135"/>
  <c r="P252" i="135"/>
  <c r="Q252" i="135"/>
  <c r="R252" i="135"/>
  <c r="W252" i="135"/>
  <c r="X252" i="135" s="1"/>
  <c r="AB252" i="135"/>
  <c r="AC252" i="135" s="1"/>
  <c r="AI252" i="135"/>
  <c r="AJ252" i="135" s="1"/>
  <c r="F253" i="135"/>
  <c r="F253" i="139" s="1"/>
  <c r="M253" i="135"/>
  <c r="N253" i="135"/>
  <c r="O253" i="135"/>
  <c r="R253" i="135" s="1"/>
  <c r="P253" i="135"/>
  <c r="Q253" i="135"/>
  <c r="W253" i="135"/>
  <c r="X253" i="135" s="1"/>
  <c r="AB253" i="135"/>
  <c r="AI253" i="135"/>
  <c r="AJ253" i="135" s="1"/>
  <c r="F254" i="135"/>
  <c r="M254" i="135"/>
  <c r="N254" i="135"/>
  <c r="O254" i="135"/>
  <c r="R254" i="135" s="1"/>
  <c r="P254" i="135"/>
  <c r="Q254" i="135"/>
  <c r="W254" i="135"/>
  <c r="X254" i="135" s="1"/>
  <c r="AB254" i="135"/>
  <c r="AC254" i="135" s="1"/>
  <c r="AI254" i="135"/>
  <c r="AJ254" i="135" s="1"/>
  <c r="F255" i="139"/>
  <c r="M255" i="135"/>
  <c r="N255" i="135"/>
  <c r="O255" i="135"/>
  <c r="R255" i="135" s="1"/>
  <c r="P255" i="135"/>
  <c r="Q255" i="135"/>
  <c r="W255" i="135"/>
  <c r="AB255" i="135"/>
  <c r="AC255" i="135" s="1"/>
  <c r="AI255" i="135"/>
  <c r="AJ255" i="135" s="1"/>
  <c r="F256" i="135"/>
  <c r="M256" i="135"/>
  <c r="N256" i="135"/>
  <c r="O256" i="135"/>
  <c r="P256" i="135"/>
  <c r="Q256" i="135"/>
  <c r="R256" i="135"/>
  <c r="W256" i="135"/>
  <c r="X256" i="135" s="1"/>
  <c r="AB256" i="135"/>
  <c r="AC256" i="135" s="1"/>
  <c r="AI256" i="135"/>
  <c r="AJ256" i="135" s="1"/>
  <c r="F257" i="135"/>
  <c r="F255" i="134" s="1"/>
  <c r="M257" i="135"/>
  <c r="N257" i="135"/>
  <c r="O257" i="135"/>
  <c r="R257" i="135" s="1"/>
  <c r="P257" i="135"/>
  <c r="Q257" i="135"/>
  <c r="W257" i="135"/>
  <c r="X257" i="135" s="1"/>
  <c r="AB257" i="135"/>
  <c r="AI257" i="135"/>
  <c r="AJ257" i="135" s="1"/>
  <c r="F258" i="135"/>
  <c r="M258" i="135"/>
  <c r="N258" i="135"/>
  <c r="O258" i="135"/>
  <c r="R258" i="135" s="1"/>
  <c r="P258" i="135"/>
  <c r="Q258" i="135"/>
  <c r="W258" i="135"/>
  <c r="AB258" i="135"/>
  <c r="AC258" i="135" s="1"/>
  <c r="AI258" i="135"/>
  <c r="AJ258" i="135" s="1"/>
  <c r="F259" i="139"/>
  <c r="M259" i="135"/>
  <c r="N259" i="135"/>
  <c r="O259" i="135"/>
  <c r="R259" i="135" s="1"/>
  <c r="P259" i="135"/>
  <c r="Q259" i="135"/>
  <c r="W259" i="135"/>
  <c r="AB259" i="135"/>
  <c r="AC259" i="135" s="1"/>
  <c r="AI259" i="135"/>
  <c r="AJ259" i="135" s="1"/>
  <c r="F258" i="134"/>
  <c r="M260" i="135"/>
  <c r="N260" i="135"/>
  <c r="O260" i="135"/>
  <c r="R260" i="135" s="1"/>
  <c r="P260" i="135"/>
  <c r="Q260" i="135"/>
  <c r="W260" i="135"/>
  <c r="AB260" i="135"/>
  <c r="AC260" i="135" s="1"/>
  <c r="AI260" i="135"/>
  <c r="AJ260" i="135" s="1"/>
  <c r="M261" i="135"/>
  <c r="N261" i="135"/>
  <c r="O261" i="135"/>
  <c r="P261" i="135"/>
  <c r="Q261" i="135"/>
  <c r="R261" i="135"/>
  <c r="W261" i="135"/>
  <c r="X261" i="135"/>
  <c r="AB261" i="135"/>
  <c r="AC261" i="135" s="1"/>
  <c r="AI261" i="135"/>
  <c r="AJ261" i="135" s="1"/>
  <c r="F262" i="135"/>
  <c r="F262" i="139" s="1"/>
  <c r="M262" i="135"/>
  <c r="N262" i="135"/>
  <c r="O262" i="135"/>
  <c r="P262" i="135"/>
  <c r="Q262" i="135"/>
  <c r="R262" i="135"/>
  <c r="W262" i="135"/>
  <c r="X262" i="135" s="1"/>
  <c r="AB262" i="135"/>
  <c r="AC262" i="135" s="1"/>
  <c r="AI262" i="135"/>
  <c r="AJ262" i="135" s="1"/>
  <c r="F263" i="135"/>
  <c r="M263" i="135"/>
  <c r="N263" i="135"/>
  <c r="O263" i="135"/>
  <c r="R263" i="135" s="1"/>
  <c r="P263" i="135"/>
  <c r="Q263" i="135"/>
  <c r="W263" i="135"/>
  <c r="AB263" i="135"/>
  <c r="AC263" i="135" s="1"/>
  <c r="AI263" i="135"/>
  <c r="AJ263" i="135" s="1"/>
  <c r="F264" i="135"/>
  <c r="M264" i="135"/>
  <c r="N264" i="135"/>
  <c r="O264" i="135"/>
  <c r="R264" i="135" s="1"/>
  <c r="P264" i="135"/>
  <c r="Q264" i="135"/>
  <c r="W264" i="135"/>
  <c r="X264" i="135" s="1"/>
  <c r="AB264" i="135"/>
  <c r="AC264" i="135" s="1"/>
  <c r="AI264" i="135"/>
  <c r="AJ264" i="135" s="1"/>
  <c r="F265" i="135"/>
  <c r="F263" i="134" s="1"/>
  <c r="M265" i="135"/>
  <c r="N265" i="135"/>
  <c r="O265" i="135"/>
  <c r="P265" i="135"/>
  <c r="Q265" i="135"/>
  <c r="R265" i="135" s="1"/>
  <c r="W265" i="135"/>
  <c r="X265" i="135" s="1"/>
  <c r="AB265" i="135"/>
  <c r="AC265" i="135" s="1"/>
  <c r="AI265" i="135"/>
  <c r="AJ265" i="135" s="1"/>
  <c r="F266" i="135"/>
  <c r="F266" i="139" s="1"/>
  <c r="M266" i="135"/>
  <c r="N266" i="135"/>
  <c r="O266" i="135"/>
  <c r="P266" i="135"/>
  <c r="Q266" i="135"/>
  <c r="R266" i="135"/>
  <c r="W266" i="135"/>
  <c r="X266" i="135" s="1"/>
  <c r="AB266" i="135"/>
  <c r="AC266" i="135" s="1"/>
  <c r="AI266" i="135"/>
  <c r="AJ266" i="135" s="1"/>
  <c r="F267" i="135"/>
  <c r="M267" i="135"/>
  <c r="N267" i="135"/>
  <c r="O267" i="135"/>
  <c r="R267" i="135" s="1"/>
  <c r="P267" i="135"/>
  <c r="Q267" i="135"/>
  <c r="W267" i="135"/>
  <c r="X267" i="135" s="1"/>
  <c r="AB267" i="135"/>
  <c r="AI267" i="135"/>
  <c r="AJ267" i="135" s="1"/>
  <c r="F268" i="135"/>
  <c r="M268" i="135"/>
  <c r="N268" i="135"/>
  <c r="O268" i="135"/>
  <c r="R268" i="135" s="1"/>
  <c r="P268" i="135"/>
  <c r="Q268" i="135"/>
  <c r="W268" i="135"/>
  <c r="X268" i="135" s="1"/>
  <c r="AB268" i="135"/>
  <c r="AC268" i="135" s="1"/>
  <c r="AI268" i="135"/>
  <c r="AJ268" i="135" s="1"/>
  <c r="F269" i="135"/>
  <c r="F269" i="139" s="1"/>
  <c r="M269" i="135"/>
  <c r="N269" i="135"/>
  <c r="O269" i="135"/>
  <c r="R269" i="135" s="1"/>
  <c r="P269" i="135"/>
  <c r="Q269" i="135"/>
  <c r="W269" i="135"/>
  <c r="X269" i="135" s="1"/>
  <c r="AB269" i="135"/>
  <c r="AC269" i="135" s="1"/>
  <c r="AI269" i="135"/>
  <c r="AJ269" i="135" s="1"/>
  <c r="F270" i="135"/>
  <c r="M270" i="135"/>
  <c r="N270" i="135"/>
  <c r="O270" i="135"/>
  <c r="R270" i="135" s="1"/>
  <c r="P270" i="135"/>
  <c r="Q270" i="135"/>
  <c r="W270" i="135"/>
  <c r="X270" i="135" s="1"/>
  <c r="AB270" i="135"/>
  <c r="AC270" i="135" s="1"/>
  <c r="AI270" i="135"/>
  <c r="AJ270" i="135" s="1"/>
  <c r="F271" i="135"/>
  <c r="F271" i="139" s="1"/>
  <c r="M271" i="135"/>
  <c r="N271" i="135"/>
  <c r="O271" i="135"/>
  <c r="P271" i="135"/>
  <c r="Q271" i="135"/>
  <c r="R271" i="135" s="1"/>
  <c r="W271" i="135"/>
  <c r="X271" i="135" s="1"/>
  <c r="AB271" i="135"/>
  <c r="AI271" i="135"/>
  <c r="AJ271" i="135" s="1"/>
  <c r="F272" i="135"/>
  <c r="F273" i="135" s="1"/>
  <c r="F274" i="135" s="1"/>
  <c r="M272" i="135"/>
  <c r="N272" i="135"/>
  <c r="O272" i="135"/>
  <c r="R272" i="135" s="1"/>
  <c r="P272" i="135"/>
  <c r="Q272" i="135"/>
  <c r="W272" i="135"/>
  <c r="AB272" i="135"/>
  <c r="AC272" i="135" s="1"/>
  <c r="AI272" i="135"/>
  <c r="AJ272" i="135" s="1"/>
  <c r="M273" i="135"/>
  <c r="N273" i="135"/>
  <c r="O273" i="135"/>
  <c r="R273" i="135" s="1"/>
  <c r="P273" i="135"/>
  <c r="Q273" i="135"/>
  <c r="W273" i="135"/>
  <c r="X273" i="135" s="1"/>
  <c r="AB273" i="135"/>
  <c r="AI273" i="135"/>
  <c r="AJ273" i="135" s="1"/>
  <c r="M274" i="135"/>
  <c r="N274" i="135"/>
  <c r="O274" i="135"/>
  <c r="R274" i="135" s="1"/>
  <c r="P274" i="135"/>
  <c r="Q274" i="135"/>
  <c r="W274" i="135"/>
  <c r="AB274" i="135"/>
  <c r="AC274" i="135" s="1"/>
  <c r="AI274" i="135"/>
  <c r="AJ274" i="135" s="1"/>
  <c r="F275" i="139"/>
  <c r="M275" i="135"/>
  <c r="N275" i="135"/>
  <c r="O275" i="135"/>
  <c r="P275" i="135"/>
  <c r="Q275" i="135"/>
  <c r="R275" i="135"/>
  <c r="W275" i="135"/>
  <c r="X275" i="135" s="1"/>
  <c r="AB275" i="135"/>
  <c r="AC275" i="135" s="1"/>
  <c r="AI275" i="135"/>
  <c r="AJ275" i="135" s="1"/>
  <c r="F276" i="135"/>
  <c r="M276" i="135"/>
  <c r="N276" i="135"/>
  <c r="O276" i="135"/>
  <c r="P276" i="135"/>
  <c r="Q276" i="135"/>
  <c r="R276" i="135"/>
  <c r="W276" i="135"/>
  <c r="X276" i="135" s="1"/>
  <c r="AB276" i="135"/>
  <c r="AC276" i="135" s="1"/>
  <c r="AI276" i="135"/>
  <c r="AJ276" i="135" s="1"/>
  <c r="F277" i="135"/>
  <c r="M277" i="135"/>
  <c r="N277" i="135"/>
  <c r="O277" i="135"/>
  <c r="P277" i="135"/>
  <c r="R277" i="135" s="1"/>
  <c r="Q277" i="135"/>
  <c r="W277" i="135"/>
  <c r="X277" i="135" s="1"/>
  <c r="AB277" i="135"/>
  <c r="AC277" i="135" s="1"/>
  <c r="AI277" i="135"/>
  <c r="AJ277" i="135" s="1"/>
  <c r="M278" i="135"/>
  <c r="N278" i="135"/>
  <c r="O278" i="135"/>
  <c r="P278" i="135"/>
  <c r="Q278" i="135"/>
  <c r="R278" i="135"/>
  <c r="W278" i="135"/>
  <c r="X278" i="135" s="1"/>
  <c r="AB278" i="135"/>
  <c r="AC278" i="135" s="1"/>
  <c r="AI278" i="135"/>
  <c r="AJ278" i="135" s="1"/>
  <c r="M279" i="135"/>
  <c r="N279" i="135"/>
  <c r="O279" i="135"/>
  <c r="P279" i="135"/>
  <c r="Q279" i="135"/>
  <c r="R279" i="135"/>
  <c r="W279" i="135"/>
  <c r="AB279" i="135"/>
  <c r="AC279" i="135" s="1"/>
  <c r="AI279" i="135"/>
  <c r="AJ279" i="135" s="1"/>
  <c r="M280" i="135"/>
  <c r="N280" i="135"/>
  <c r="O280" i="135"/>
  <c r="R280" i="135" s="1"/>
  <c r="P280" i="135"/>
  <c r="Q280" i="135"/>
  <c r="W280" i="135"/>
  <c r="X280" i="135" s="1"/>
  <c r="AB280" i="135"/>
  <c r="AC280" i="135" s="1"/>
  <c r="AI280" i="135"/>
  <c r="AJ280" i="135" s="1"/>
  <c r="M281" i="135"/>
  <c r="N281" i="135"/>
  <c r="O281" i="135"/>
  <c r="P281" i="135"/>
  <c r="Q281" i="135"/>
  <c r="R281" i="135"/>
  <c r="W281" i="135"/>
  <c r="X281" i="135" s="1"/>
  <c r="AB281" i="135"/>
  <c r="AI281" i="135"/>
  <c r="AJ281" i="135" s="1"/>
  <c r="F282" i="139"/>
  <c r="M282" i="135"/>
  <c r="N282" i="135"/>
  <c r="O282" i="135"/>
  <c r="P282" i="135"/>
  <c r="Q282" i="135"/>
  <c r="R282" i="135"/>
  <c r="W282" i="135"/>
  <c r="AB282" i="135"/>
  <c r="AC282" i="135" s="1"/>
  <c r="AI282" i="135"/>
  <c r="AJ282" i="135" s="1"/>
  <c r="F283" i="135"/>
  <c r="M283" i="135"/>
  <c r="N283" i="135"/>
  <c r="O283" i="135"/>
  <c r="P283" i="135"/>
  <c r="Q283" i="135"/>
  <c r="R283" i="135"/>
  <c r="W283" i="135"/>
  <c r="AB283" i="135"/>
  <c r="AC283" i="135" s="1"/>
  <c r="AI283" i="135"/>
  <c r="AJ283" i="135" s="1"/>
  <c r="F284" i="135"/>
  <c r="M284" i="135"/>
  <c r="N284" i="135"/>
  <c r="O284" i="135"/>
  <c r="R284" i="135" s="1"/>
  <c r="P284" i="135"/>
  <c r="Q284" i="135"/>
  <c r="W284" i="135"/>
  <c r="X284" i="135" s="1"/>
  <c r="AB284" i="135"/>
  <c r="AC284" i="135" s="1"/>
  <c r="AI284" i="135"/>
  <c r="AJ284" i="135" s="1"/>
  <c r="F285" i="135"/>
  <c r="M285" i="135"/>
  <c r="N285" i="135"/>
  <c r="O285" i="135"/>
  <c r="R285" i="135" s="1"/>
  <c r="P285" i="135"/>
  <c r="Q285" i="135"/>
  <c r="W285" i="135"/>
  <c r="X285" i="135" s="1"/>
  <c r="AB285" i="135"/>
  <c r="AI285" i="135"/>
  <c r="AJ285" i="135" s="1"/>
  <c r="M286" i="135"/>
  <c r="N286" i="135"/>
  <c r="O286" i="135"/>
  <c r="P286" i="135"/>
  <c r="Q286" i="135"/>
  <c r="R286" i="135"/>
  <c r="W286" i="135"/>
  <c r="AB286" i="135"/>
  <c r="AC286" i="135" s="1"/>
  <c r="AI286" i="135"/>
  <c r="AJ286" i="135" s="1"/>
  <c r="F287" i="135"/>
  <c r="F285" i="134" s="1"/>
  <c r="M287" i="135"/>
  <c r="N287" i="135"/>
  <c r="O287" i="135"/>
  <c r="R287" i="135" s="1"/>
  <c r="P287" i="135"/>
  <c r="Q287" i="135"/>
  <c r="W287" i="135"/>
  <c r="X287" i="135" s="1"/>
  <c r="AB287" i="135"/>
  <c r="AC287" i="135" s="1"/>
  <c r="AI287" i="135"/>
  <c r="AJ287" i="135" s="1"/>
  <c r="M288" i="135"/>
  <c r="N288" i="135"/>
  <c r="O288" i="135"/>
  <c r="P288" i="135"/>
  <c r="Q288" i="135"/>
  <c r="R288" i="135"/>
  <c r="W288" i="135"/>
  <c r="AB288" i="135"/>
  <c r="AC288" i="135" s="1"/>
  <c r="AI288" i="135"/>
  <c r="AJ288" i="135" s="1"/>
  <c r="F289" i="135"/>
  <c r="F289" i="139" s="1"/>
  <c r="M289" i="135"/>
  <c r="N289" i="135"/>
  <c r="O289" i="135"/>
  <c r="R289" i="135" s="1"/>
  <c r="P289" i="135"/>
  <c r="Q289" i="135"/>
  <c r="W289" i="135"/>
  <c r="AB289" i="135"/>
  <c r="AC289" i="135" s="1"/>
  <c r="AI289" i="135"/>
  <c r="AJ289" i="135" s="1"/>
  <c r="F290" i="135"/>
  <c r="F288" i="134" s="1"/>
  <c r="M290" i="135"/>
  <c r="N290" i="135"/>
  <c r="O290" i="135"/>
  <c r="P290" i="135"/>
  <c r="R290" i="135" s="1"/>
  <c r="Q290" i="135"/>
  <c r="W290" i="135"/>
  <c r="X290" i="135" s="1"/>
  <c r="AB290" i="135"/>
  <c r="AC290" i="135" s="1"/>
  <c r="AI290" i="135"/>
  <c r="AJ290" i="135" s="1"/>
  <c r="F291" i="135"/>
  <c r="F291" i="139" s="1"/>
  <c r="M291" i="135"/>
  <c r="N291" i="135"/>
  <c r="W291" i="135"/>
  <c r="X291" i="135" s="1"/>
  <c r="AB291" i="135"/>
  <c r="AC291" i="135" s="1"/>
  <c r="AI291" i="135"/>
  <c r="AJ291" i="135" s="1"/>
  <c r="M292" i="135"/>
  <c r="N292" i="135"/>
  <c r="O292" i="135"/>
  <c r="P292" i="135"/>
  <c r="Q292" i="135"/>
  <c r="W292" i="135"/>
  <c r="AB292" i="135"/>
  <c r="AC292" i="135" s="1"/>
  <c r="AI292" i="135"/>
  <c r="AJ292" i="135" s="1"/>
  <c r="M293" i="135"/>
  <c r="N293" i="135"/>
  <c r="O293" i="135"/>
  <c r="P293" i="135"/>
  <c r="Q293" i="135"/>
  <c r="W293" i="135"/>
  <c r="X293" i="135" s="1"/>
  <c r="AB293" i="135"/>
  <c r="AC293" i="135" s="1"/>
  <c r="AI293" i="135"/>
  <c r="AJ293" i="135" s="1"/>
  <c r="F294" i="135"/>
  <c r="F294" i="139" s="1"/>
  <c r="M294" i="135"/>
  <c r="N294" i="135"/>
  <c r="O294" i="135"/>
  <c r="R294" i="135" s="1"/>
  <c r="P294" i="135"/>
  <c r="Q294" i="135"/>
  <c r="W294" i="135"/>
  <c r="X294" i="135" s="1"/>
  <c r="AB294" i="135"/>
  <c r="AC294" i="135" s="1"/>
  <c r="AI294" i="135"/>
  <c r="AJ294" i="135" s="1"/>
  <c r="F295" i="135"/>
  <c r="M295" i="135"/>
  <c r="N295" i="135"/>
  <c r="O295" i="135"/>
  <c r="R295" i="135" s="1"/>
  <c r="P295" i="135"/>
  <c r="Q295" i="135"/>
  <c r="W295" i="135"/>
  <c r="AB295" i="135"/>
  <c r="AC295" i="135" s="1"/>
  <c r="AI295" i="135"/>
  <c r="AJ295" i="135" s="1"/>
  <c r="F296" i="135"/>
  <c r="F296" i="139" s="1"/>
  <c r="M296" i="135"/>
  <c r="N296" i="135"/>
  <c r="O296" i="135"/>
  <c r="R296" i="135" s="1"/>
  <c r="P296" i="135"/>
  <c r="Q296" i="135"/>
  <c r="W296" i="135"/>
  <c r="X296" i="135" s="1"/>
  <c r="AB296" i="135"/>
  <c r="AC296" i="135" s="1"/>
  <c r="AI296" i="135"/>
  <c r="AJ296" i="135" s="1"/>
  <c r="F297" i="135"/>
  <c r="M297" i="135"/>
  <c r="N297" i="135"/>
  <c r="O297" i="135"/>
  <c r="R297" i="135" s="1"/>
  <c r="P297" i="135"/>
  <c r="Q297" i="135"/>
  <c r="W297" i="135"/>
  <c r="X297" i="135" s="1"/>
  <c r="AB297" i="135"/>
  <c r="AI297" i="135"/>
  <c r="AJ297" i="135" s="1"/>
  <c r="F298" i="135"/>
  <c r="F298" i="139" s="1"/>
  <c r="M298" i="135"/>
  <c r="N298" i="135"/>
  <c r="O298" i="135"/>
  <c r="R298" i="135" s="1"/>
  <c r="P298" i="135"/>
  <c r="Q298" i="135"/>
  <c r="W298" i="135"/>
  <c r="X298" i="135" s="1"/>
  <c r="AB298" i="135"/>
  <c r="AI298" i="135"/>
  <c r="AJ298" i="135" s="1"/>
  <c r="F299" i="135"/>
  <c r="M299" i="135"/>
  <c r="N299" i="135"/>
  <c r="O299" i="135"/>
  <c r="P299" i="135"/>
  <c r="Q299" i="135"/>
  <c r="R299" i="135"/>
  <c r="W299" i="135"/>
  <c r="AB299" i="135"/>
  <c r="AC299" i="135" s="1"/>
  <c r="AI299" i="135"/>
  <c r="AJ299" i="135" s="1"/>
  <c r="F300" i="135"/>
  <c r="F300" i="139" s="1"/>
  <c r="M300" i="135"/>
  <c r="N300" i="135"/>
  <c r="O300" i="135"/>
  <c r="R300" i="135" s="1"/>
  <c r="P300" i="135"/>
  <c r="Q300" i="135"/>
  <c r="W300" i="135"/>
  <c r="X300" i="135" s="1"/>
  <c r="AB300" i="135"/>
  <c r="AC300" i="135" s="1"/>
  <c r="AI300" i="135"/>
  <c r="AJ300" i="135"/>
  <c r="F301" i="135"/>
  <c r="F301" i="139" s="1"/>
  <c r="M301" i="135"/>
  <c r="N301" i="135"/>
  <c r="O301" i="135"/>
  <c r="P301" i="135"/>
  <c r="Q301" i="135"/>
  <c r="R301" i="135"/>
  <c r="W301" i="135"/>
  <c r="AB301" i="135"/>
  <c r="AC301" i="135" s="1"/>
  <c r="AI301" i="135"/>
  <c r="AJ301" i="135" s="1"/>
  <c r="F302" i="135"/>
  <c r="M302" i="135"/>
  <c r="N302" i="135"/>
  <c r="O302" i="135"/>
  <c r="P302" i="135"/>
  <c r="Q302" i="135"/>
  <c r="R302" i="135"/>
  <c r="W302" i="135"/>
  <c r="X302" i="135" s="1"/>
  <c r="AB302" i="135"/>
  <c r="AC302" i="135" s="1"/>
  <c r="AI302" i="135"/>
  <c r="AJ302" i="135" s="1"/>
  <c r="M303" i="135"/>
  <c r="N303" i="135"/>
  <c r="O303" i="135"/>
  <c r="P303" i="135"/>
  <c r="Q303" i="135"/>
  <c r="R303" i="135" s="1"/>
  <c r="W303" i="135"/>
  <c r="X303" i="135" s="1"/>
  <c r="AB303" i="135"/>
  <c r="AC303" i="135" s="1"/>
  <c r="AI303" i="135"/>
  <c r="AJ303" i="135" s="1"/>
  <c r="F304" i="135"/>
  <c r="M304" i="135"/>
  <c r="N304" i="135"/>
  <c r="O304" i="135"/>
  <c r="P304" i="135"/>
  <c r="Q304" i="135"/>
  <c r="R304" i="135"/>
  <c r="W304" i="135"/>
  <c r="X304" i="135" s="1"/>
  <c r="AB304" i="135"/>
  <c r="AC304" i="135" s="1"/>
  <c r="AI304" i="135"/>
  <c r="AJ304" i="135" s="1"/>
  <c r="F305" i="135"/>
  <c r="M305" i="135"/>
  <c r="N305" i="135"/>
  <c r="O305" i="135"/>
  <c r="P305" i="135"/>
  <c r="Q305" i="135"/>
  <c r="R305" i="135"/>
  <c r="W305" i="135"/>
  <c r="X305" i="135" s="1"/>
  <c r="AB305" i="135"/>
  <c r="AC305" i="135" s="1"/>
  <c r="AI305" i="135"/>
  <c r="AJ305" i="135" s="1"/>
  <c r="F306" i="135"/>
  <c r="M306" i="135"/>
  <c r="N306" i="135"/>
  <c r="O306" i="135"/>
  <c r="R306" i="135" s="1"/>
  <c r="P306" i="135"/>
  <c r="Q306" i="135"/>
  <c r="W306" i="135"/>
  <c r="X306" i="135" s="1"/>
  <c r="AB306" i="135"/>
  <c r="AC306" i="135" s="1"/>
  <c r="AI306" i="135"/>
  <c r="AJ306" i="135" s="1"/>
  <c r="F307" i="135"/>
  <c r="M307" i="135"/>
  <c r="N307" i="135"/>
  <c r="O307" i="135"/>
  <c r="R307" i="135" s="1"/>
  <c r="P307" i="135"/>
  <c r="Q307" i="135"/>
  <c r="W307" i="135"/>
  <c r="AB307" i="135"/>
  <c r="AC307" i="135" s="1"/>
  <c r="AI307" i="135"/>
  <c r="AJ307" i="135" s="1"/>
  <c r="F308" i="135"/>
  <c r="M308" i="135"/>
  <c r="N308" i="135"/>
  <c r="O308" i="135"/>
  <c r="P308" i="135"/>
  <c r="Q308" i="135"/>
  <c r="R308" i="135"/>
  <c r="W308" i="135"/>
  <c r="X308" i="135" s="1"/>
  <c r="AB308" i="135"/>
  <c r="AC308" i="135" s="1"/>
  <c r="AI308" i="135"/>
  <c r="AJ308" i="135" s="1"/>
  <c r="F309" i="135"/>
  <c r="M309" i="135"/>
  <c r="N309" i="135"/>
  <c r="O309" i="135"/>
  <c r="R309" i="135" s="1"/>
  <c r="P309" i="135"/>
  <c r="Q309" i="135"/>
  <c r="W309" i="135"/>
  <c r="X309" i="135" s="1"/>
  <c r="AB309" i="135"/>
  <c r="AI309" i="135"/>
  <c r="AJ309" i="135" s="1"/>
  <c r="F310" i="135"/>
  <c r="M310" i="135"/>
  <c r="N310" i="135"/>
  <c r="O310" i="135"/>
  <c r="R310" i="135" s="1"/>
  <c r="P310" i="135"/>
  <c r="Q310" i="135"/>
  <c r="W310" i="135"/>
  <c r="X310" i="135" s="1"/>
  <c r="AB310" i="135"/>
  <c r="AC310" i="135" s="1"/>
  <c r="AI310" i="135"/>
  <c r="AJ310" i="135" s="1"/>
  <c r="F311" i="135"/>
  <c r="M311" i="135"/>
  <c r="N311" i="135"/>
  <c r="O311" i="135"/>
  <c r="R311" i="135" s="1"/>
  <c r="P311" i="135"/>
  <c r="Q311" i="135"/>
  <c r="W311" i="135"/>
  <c r="X311" i="135" s="1"/>
  <c r="AB311" i="135"/>
  <c r="AC311" i="135" s="1"/>
  <c r="AI311" i="135"/>
  <c r="AJ311" i="135" s="1"/>
  <c r="F312" i="135"/>
  <c r="M312" i="135"/>
  <c r="N312" i="135"/>
  <c r="O312" i="135"/>
  <c r="P312" i="135"/>
  <c r="Q312" i="135"/>
  <c r="R312" i="135" s="1"/>
  <c r="W312" i="135"/>
  <c r="AB312" i="135"/>
  <c r="AC312" i="135" s="1"/>
  <c r="AI312" i="135"/>
  <c r="AJ312" i="135" s="1"/>
  <c r="F313" i="135"/>
  <c r="M313" i="135"/>
  <c r="N313" i="135"/>
  <c r="O313" i="135"/>
  <c r="R313" i="135" s="1"/>
  <c r="P313" i="135"/>
  <c r="Q313" i="135"/>
  <c r="W313" i="135"/>
  <c r="X313" i="135" s="1"/>
  <c r="AB313" i="135"/>
  <c r="AC313" i="135" s="1"/>
  <c r="AI313" i="135"/>
  <c r="AJ313" i="135" s="1"/>
  <c r="F314" i="135"/>
  <c r="M314" i="135"/>
  <c r="N314" i="135"/>
  <c r="O314" i="135"/>
  <c r="R314" i="135" s="1"/>
  <c r="P314" i="135"/>
  <c r="Q314" i="135"/>
  <c r="W314" i="135"/>
  <c r="AB314" i="135"/>
  <c r="AC314" i="135" s="1"/>
  <c r="AI314" i="135"/>
  <c r="AJ314" i="135" s="1"/>
  <c r="M315" i="135"/>
  <c r="N315" i="135"/>
  <c r="O315" i="135"/>
  <c r="R315" i="135" s="1"/>
  <c r="P315" i="135"/>
  <c r="Q315" i="135"/>
  <c r="W315" i="135"/>
  <c r="AB315" i="135"/>
  <c r="AC315" i="135" s="1"/>
  <c r="AI315" i="135"/>
  <c r="AJ315" i="135" s="1"/>
  <c r="M316" i="135"/>
  <c r="N316" i="135"/>
  <c r="O316" i="135"/>
  <c r="P316" i="135"/>
  <c r="Q316" i="135"/>
  <c r="R316" i="135"/>
  <c r="W316" i="135"/>
  <c r="X316" i="135" s="1"/>
  <c r="AB316" i="135"/>
  <c r="AC316" i="135" s="1"/>
  <c r="AI316" i="135"/>
  <c r="AJ316" i="135" s="1"/>
  <c r="M317" i="135"/>
  <c r="N317" i="135"/>
  <c r="O317" i="135"/>
  <c r="P317" i="135"/>
  <c r="Q317" i="135"/>
  <c r="R317" i="135"/>
  <c r="W317" i="135"/>
  <c r="X317" i="135" s="1"/>
  <c r="AB317" i="135"/>
  <c r="AC317" i="135" s="1"/>
  <c r="AI317" i="135"/>
  <c r="AJ317" i="135" s="1"/>
  <c r="F318" i="135"/>
  <c r="M318" i="135"/>
  <c r="N318" i="135"/>
  <c r="O318" i="135"/>
  <c r="R318" i="135" s="1"/>
  <c r="P318" i="135"/>
  <c r="Q318" i="135"/>
  <c r="W318" i="135"/>
  <c r="X318" i="135" s="1"/>
  <c r="AB318" i="135"/>
  <c r="AC318" i="135" s="1"/>
  <c r="AI318" i="135"/>
  <c r="AJ318" i="135" s="1"/>
  <c r="F319" i="135"/>
  <c r="M319" i="135"/>
  <c r="N319" i="135"/>
  <c r="O319" i="135"/>
  <c r="R319" i="135" s="1"/>
  <c r="P319" i="135"/>
  <c r="Q319" i="135"/>
  <c r="W319" i="135"/>
  <c r="AB319" i="135"/>
  <c r="AC319" i="135" s="1"/>
  <c r="AI319" i="135"/>
  <c r="AJ319" i="135" s="1"/>
  <c r="F320" i="135"/>
  <c r="M320" i="135"/>
  <c r="N320" i="135"/>
  <c r="O320" i="135"/>
  <c r="P320" i="135"/>
  <c r="Q320" i="135"/>
  <c r="R320" i="135"/>
  <c r="W320" i="135"/>
  <c r="AB320" i="135"/>
  <c r="AC320" i="135" s="1"/>
  <c r="AI320" i="135"/>
  <c r="AJ320" i="135" s="1"/>
  <c r="F321" i="135"/>
  <c r="M321" i="135"/>
  <c r="N321" i="135"/>
  <c r="O321" i="135"/>
  <c r="R321" i="135" s="1"/>
  <c r="P321" i="135"/>
  <c r="Q321" i="135"/>
  <c r="W321" i="135"/>
  <c r="AB321" i="135"/>
  <c r="AC321" i="135" s="1"/>
  <c r="AI321" i="135"/>
  <c r="AJ321" i="135"/>
  <c r="F322" i="135"/>
  <c r="F323" i="135" s="1"/>
  <c r="F324" i="135" s="1"/>
  <c r="F325" i="135" s="1"/>
  <c r="M322" i="135"/>
  <c r="N322" i="135"/>
  <c r="O322" i="135"/>
  <c r="R322" i="135" s="1"/>
  <c r="P322" i="135"/>
  <c r="Q322" i="135"/>
  <c r="W322" i="135"/>
  <c r="X322" i="135" s="1"/>
  <c r="AB322" i="135"/>
  <c r="AC322" i="135" s="1"/>
  <c r="AI322" i="135"/>
  <c r="AJ322" i="135" s="1"/>
  <c r="M323" i="135"/>
  <c r="N323" i="135"/>
  <c r="O323" i="135"/>
  <c r="R323" i="135" s="1"/>
  <c r="P323" i="135"/>
  <c r="Q323" i="135"/>
  <c r="W323" i="135"/>
  <c r="X323" i="135" s="1"/>
  <c r="AB323" i="135"/>
  <c r="AC323" i="135" s="1"/>
  <c r="AI323" i="135"/>
  <c r="AJ323" i="135" s="1"/>
  <c r="M324" i="135"/>
  <c r="N324" i="135"/>
  <c r="O324" i="135"/>
  <c r="R324" i="135" s="1"/>
  <c r="P324" i="135"/>
  <c r="Q324" i="135"/>
  <c r="W324" i="135"/>
  <c r="AB324" i="135"/>
  <c r="AC324" i="135" s="1"/>
  <c r="AI324" i="135"/>
  <c r="AJ324" i="135" s="1"/>
  <c r="M325" i="135"/>
  <c r="N325" i="135"/>
  <c r="O325" i="135"/>
  <c r="R325" i="135" s="1"/>
  <c r="P325" i="135"/>
  <c r="Q325" i="135"/>
  <c r="W325" i="135"/>
  <c r="X325" i="135" s="1"/>
  <c r="AB325" i="135"/>
  <c r="AC325" i="135" s="1"/>
  <c r="AI325" i="135"/>
  <c r="AJ325" i="135" s="1"/>
  <c r="F326" i="135"/>
  <c r="M326" i="135"/>
  <c r="N326" i="135"/>
  <c r="O326" i="135"/>
  <c r="P326" i="135"/>
  <c r="Q326" i="135"/>
  <c r="R326" i="135"/>
  <c r="W326" i="135"/>
  <c r="AB326" i="135"/>
  <c r="AC326" i="135" s="1"/>
  <c r="AI326" i="135"/>
  <c r="AJ326" i="135" s="1"/>
  <c r="F327" i="135"/>
  <c r="M327" i="135"/>
  <c r="N327" i="135"/>
  <c r="O327" i="135"/>
  <c r="R327" i="135" s="1"/>
  <c r="P327" i="135"/>
  <c r="Q327" i="135"/>
  <c r="W327" i="135"/>
  <c r="X327" i="135" s="1"/>
  <c r="AB327" i="135"/>
  <c r="AC327" i="135" s="1"/>
  <c r="AI327" i="135"/>
  <c r="AJ327" i="135" s="1"/>
  <c r="F328" i="135"/>
  <c r="F328" i="139" s="1"/>
  <c r="M328" i="135"/>
  <c r="N328" i="135"/>
  <c r="O328" i="135"/>
  <c r="P328" i="135"/>
  <c r="Q328" i="135"/>
  <c r="R328" i="135"/>
  <c r="W328" i="135"/>
  <c r="X328" i="135" s="1"/>
  <c r="AB328" i="135"/>
  <c r="AC328" i="135" s="1"/>
  <c r="AI328" i="135"/>
  <c r="AJ328" i="135" s="1"/>
  <c r="F329" i="135"/>
  <c r="M329" i="135"/>
  <c r="N329" i="135"/>
  <c r="O329" i="135"/>
  <c r="R329" i="135" s="1"/>
  <c r="P329" i="135"/>
  <c r="Q329" i="135"/>
  <c r="W329" i="135"/>
  <c r="X329" i="135" s="1"/>
  <c r="AB329" i="135"/>
  <c r="AC329" i="135" s="1"/>
  <c r="AI329" i="135"/>
  <c r="AJ329" i="135" s="1"/>
  <c r="F330" i="135"/>
  <c r="F330" i="139" s="1"/>
  <c r="M330" i="135"/>
  <c r="N330" i="135"/>
  <c r="O330" i="135"/>
  <c r="R330" i="135" s="1"/>
  <c r="P330" i="135"/>
  <c r="Q330" i="135"/>
  <c r="W330" i="135"/>
  <c r="X330" i="135" s="1"/>
  <c r="AB330" i="135"/>
  <c r="AC330" i="135" s="1"/>
  <c r="AI330" i="135"/>
  <c r="AJ330" i="135" s="1"/>
  <c r="F331" i="135"/>
  <c r="M331" i="135"/>
  <c r="N331" i="135"/>
  <c r="O331" i="135"/>
  <c r="R331" i="135" s="1"/>
  <c r="P331" i="135"/>
  <c r="Q331" i="135"/>
  <c r="W331" i="135"/>
  <c r="X331" i="135" s="1"/>
  <c r="AB331" i="135"/>
  <c r="AC331" i="135" s="1"/>
  <c r="AI331" i="135"/>
  <c r="AJ331" i="135" s="1"/>
  <c r="F332" i="135"/>
  <c r="F332" i="139" s="1"/>
  <c r="M332" i="135"/>
  <c r="N332" i="135"/>
  <c r="O332" i="135"/>
  <c r="R332" i="135" s="1"/>
  <c r="P332" i="135"/>
  <c r="Q332" i="135"/>
  <c r="W332" i="135"/>
  <c r="AB332" i="135"/>
  <c r="AC332" i="135" s="1"/>
  <c r="AI332" i="135"/>
  <c r="AJ332" i="135" s="1"/>
  <c r="M333" i="135"/>
  <c r="N333" i="135"/>
  <c r="O333" i="135"/>
  <c r="R333" i="135" s="1"/>
  <c r="P333" i="135"/>
  <c r="Q333" i="135"/>
  <c r="W333" i="135"/>
  <c r="X333" i="135" s="1"/>
  <c r="AB333" i="135"/>
  <c r="AI333" i="135"/>
  <c r="AJ333" i="135" s="1"/>
  <c r="M334" i="135"/>
  <c r="N334" i="135"/>
  <c r="O334" i="135"/>
  <c r="P334" i="135"/>
  <c r="Q334" i="135"/>
  <c r="R334" i="135"/>
  <c r="W334" i="135"/>
  <c r="X334" i="135" s="1"/>
  <c r="AB334" i="135"/>
  <c r="AC334" i="135" s="1"/>
  <c r="AI334" i="135"/>
  <c r="AJ334" i="135" s="1"/>
  <c r="M335" i="135"/>
  <c r="N335" i="135"/>
  <c r="O335" i="135"/>
  <c r="R335" i="135" s="1"/>
  <c r="P335" i="135"/>
  <c r="Q335" i="135"/>
  <c r="W335" i="135"/>
  <c r="X335" i="135" s="1"/>
  <c r="AB335" i="135"/>
  <c r="AC335" i="135" s="1"/>
  <c r="AI335" i="135"/>
  <c r="AJ335" i="135" s="1"/>
  <c r="F336" i="135"/>
  <c r="M336" i="135"/>
  <c r="N336" i="135"/>
  <c r="O336" i="135"/>
  <c r="P336" i="135"/>
  <c r="Q336" i="135"/>
  <c r="R336" i="135"/>
  <c r="W336" i="135"/>
  <c r="X336" i="135" s="1"/>
  <c r="AB336" i="135"/>
  <c r="AC336" i="135" s="1"/>
  <c r="AI336" i="135"/>
  <c r="AJ336" i="135" s="1"/>
  <c r="F337" i="135"/>
  <c r="M337" i="135"/>
  <c r="N337" i="135"/>
  <c r="O337" i="135"/>
  <c r="R337" i="135" s="1"/>
  <c r="P337" i="135"/>
  <c r="Q337" i="135"/>
  <c r="W337" i="135"/>
  <c r="X337" i="135" s="1"/>
  <c r="AB337" i="135"/>
  <c r="AC337" i="135" s="1"/>
  <c r="AI337" i="135"/>
  <c r="AJ337" i="135" s="1"/>
  <c r="F338" i="135"/>
  <c r="M338" i="135"/>
  <c r="N338" i="135"/>
  <c r="O338" i="135"/>
  <c r="P338" i="135"/>
  <c r="Q338" i="135"/>
  <c r="R338" i="135"/>
  <c r="W338" i="135"/>
  <c r="X338" i="135" s="1"/>
  <c r="AB338" i="135"/>
  <c r="AC338" i="135" s="1"/>
  <c r="AI338" i="135"/>
  <c r="AJ338" i="135" s="1"/>
  <c r="F339" i="135"/>
  <c r="M339" i="135"/>
  <c r="N339" i="135"/>
  <c r="O339" i="135"/>
  <c r="R339" i="135" s="1"/>
  <c r="P339" i="135"/>
  <c r="Q339" i="135"/>
  <c r="W339" i="135"/>
  <c r="AB339" i="135"/>
  <c r="AC339" i="135" s="1"/>
  <c r="AI339" i="135"/>
  <c r="AJ339" i="135" s="1"/>
  <c r="F340" i="135"/>
  <c r="M340" i="135"/>
  <c r="N340" i="135"/>
  <c r="O340" i="135"/>
  <c r="P340" i="135"/>
  <c r="Q340" i="135"/>
  <c r="R340" i="135"/>
  <c r="W340" i="135"/>
  <c r="X340" i="135" s="1"/>
  <c r="AB340" i="135"/>
  <c r="AC340" i="135" s="1"/>
  <c r="AI340" i="135"/>
  <c r="AJ340" i="135" s="1"/>
  <c r="F341" i="135"/>
  <c r="F339" i="134" s="1"/>
  <c r="M341" i="135"/>
  <c r="N341" i="135"/>
  <c r="O341" i="135"/>
  <c r="R341" i="135" s="1"/>
  <c r="P341" i="135"/>
  <c r="Q341" i="135"/>
  <c r="W341" i="135"/>
  <c r="X341" i="135" s="1"/>
  <c r="AB341" i="135"/>
  <c r="AC341" i="135" s="1"/>
  <c r="AI341" i="135"/>
  <c r="AJ341" i="135" s="1"/>
  <c r="F342" i="135"/>
  <c r="M342" i="135"/>
  <c r="N342" i="135"/>
  <c r="O342" i="135"/>
  <c r="R342" i="135" s="1"/>
  <c r="P342" i="135"/>
  <c r="Q342" i="135"/>
  <c r="W342" i="135"/>
  <c r="X342" i="135" s="1"/>
  <c r="AB342" i="135"/>
  <c r="AC342" i="135" s="1"/>
  <c r="AI342" i="135"/>
  <c r="AJ342" i="135" s="1"/>
  <c r="F343" i="135"/>
  <c r="M343" i="135"/>
  <c r="N343" i="135"/>
  <c r="O343" i="135"/>
  <c r="R343" i="135" s="1"/>
  <c r="P343" i="135"/>
  <c r="Q343" i="135"/>
  <c r="W343" i="135"/>
  <c r="X343" i="135" s="1"/>
  <c r="AB343" i="135"/>
  <c r="AC343" i="135" s="1"/>
  <c r="AI343" i="135"/>
  <c r="AJ343" i="135" s="1"/>
  <c r="F344" i="135"/>
  <c r="M344" i="135"/>
  <c r="N344" i="135"/>
  <c r="O344" i="135"/>
  <c r="R344" i="135" s="1"/>
  <c r="P344" i="135"/>
  <c r="Q344" i="135"/>
  <c r="W344" i="135"/>
  <c r="X344" i="135" s="1"/>
  <c r="AB344" i="135"/>
  <c r="AC344" i="135" s="1"/>
  <c r="AI344" i="135"/>
  <c r="AJ344" i="135" s="1"/>
  <c r="M345" i="135"/>
  <c r="N345" i="135"/>
  <c r="O345" i="135"/>
  <c r="R345" i="135" s="1"/>
  <c r="P345" i="135"/>
  <c r="Q345" i="135"/>
  <c r="W345" i="135"/>
  <c r="X345" i="135" s="1"/>
  <c r="AB345" i="135"/>
  <c r="AI345" i="135"/>
  <c r="AJ345" i="135" s="1"/>
  <c r="F346" i="135"/>
  <c r="F344" i="134" s="1"/>
  <c r="M346" i="135"/>
  <c r="N346" i="135"/>
  <c r="O346" i="135"/>
  <c r="R346" i="135" s="1"/>
  <c r="P346" i="135"/>
  <c r="Q346" i="135"/>
  <c r="W346" i="135"/>
  <c r="X346" i="135" s="1"/>
  <c r="AB346" i="135"/>
  <c r="AC346" i="135" s="1"/>
  <c r="AI346" i="135"/>
  <c r="AJ346" i="135"/>
  <c r="F347" i="135"/>
  <c r="F345" i="134" s="1"/>
  <c r="M347" i="135"/>
  <c r="N347" i="135"/>
  <c r="O347" i="135"/>
  <c r="R347" i="135" s="1"/>
  <c r="P347" i="135"/>
  <c r="Q347" i="135"/>
  <c r="W347" i="135"/>
  <c r="AB347" i="135"/>
  <c r="AC347" i="135" s="1"/>
  <c r="AI347" i="135"/>
  <c r="AJ347" i="135" s="1"/>
  <c r="F348" i="135"/>
  <c r="F349" i="135" s="1"/>
  <c r="F347" i="134" s="1"/>
  <c r="M348" i="135"/>
  <c r="N348" i="135"/>
  <c r="O348" i="135"/>
  <c r="R348" i="135" s="1"/>
  <c r="P348" i="135"/>
  <c r="Q348" i="135"/>
  <c r="W348" i="135"/>
  <c r="X348" i="135" s="1"/>
  <c r="AB348" i="135"/>
  <c r="AC348" i="135" s="1"/>
  <c r="AI348" i="135"/>
  <c r="AJ348" i="135" s="1"/>
  <c r="M349" i="135"/>
  <c r="N349" i="135"/>
  <c r="O349" i="135"/>
  <c r="P349" i="135"/>
  <c r="Q349" i="135"/>
  <c r="R349" i="135"/>
  <c r="W349" i="135"/>
  <c r="AB349" i="135"/>
  <c r="AC349" i="135" s="1"/>
  <c r="AI349" i="135"/>
  <c r="AJ349" i="135" s="1"/>
  <c r="F350" i="135"/>
  <c r="M350" i="135"/>
  <c r="N350" i="135"/>
  <c r="O350" i="135"/>
  <c r="R350" i="135" s="1"/>
  <c r="P350" i="135"/>
  <c r="Q350" i="135"/>
  <c r="W350" i="135"/>
  <c r="X350" i="135" s="1"/>
  <c r="AB350" i="135"/>
  <c r="AC350" i="135" s="1"/>
  <c r="AI350" i="135"/>
  <c r="AJ350" i="135" s="1"/>
  <c r="F351" i="135"/>
  <c r="F351" i="139" s="1"/>
  <c r="M351" i="135"/>
  <c r="N351" i="135"/>
  <c r="O351" i="135"/>
  <c r="P351" i="135"/>
  <c r="Q351" i="135"/>
  <c r="R351" i="135"/>
  <c r="W351" i="135"/>
  <c r="AB351" i="135"/>
  <c r="AC351" i="135" s="1"/>
  <c r="AI351" i="135"/>
  <c r="AJ351" i="135" s="1"/>
  <c r="F352" i="135"/>
  <c r="F350" i="134" s="1"/>
  <c r="M352" i="135"/>
  <c r="N352" i="135"/>
  <c r="O352" i="135"/>
  <c r="P352" i="135"/>
  <c r="Q352" i="135"/>
  <c r="R352" i="135"/>
  <c r="W352" i="135"/>
  <c r="X352" i="135"/>
  <c r="AB352" i="135"/>
  <c r="AC352" i="135" s="1"/>
  <c r="AI352" i="135"/>
  <c r="AJ352" i="135" s="1"/>
  <c r="F353" i="135"/>
  <c r="F353" i="139" s="1"/>
  <c r="M353" i="135"/>
  <c r="N353" i="135"/>
  <c r="O353" i="135"/>
  <c r="R353" i="135" s="1"/>
  <c r="P353" i="135"/>
  <c r="Q353" i="135"/>
  <c r="W353" i="135"/>
  <c r="X353" i="135" s="1"/>
  <c r="AB353" i="135"/>
  <c r="AI353" i="135"/>
  <c r="AJ353" i="135" s="1"/>
  <c r="M354" i="135"/>
  <c r="N354" i="135"/>
  <c r="O354" i="135"/>
  <c r="R354" i="135" s="1"/>
  <c r="P354" i="135"/>
  <c r="Q354" i="135"/>
  <c r="W354" i="135"/>
  <c r="AB354" i="135"/>
  <c r="AC354" i="135" s="1"/>
  <c r="AI354" i="135"/>
  <c r="AJ354" i="135" s="1"/>
  <c r="M355" i="135"/>
  <c r="N355" i="135"/>
  <c r="O355" i="135"/>
  <c r="R355" i="135" s="1"/>
  <c r="P355" i="135"/>
  <c r="Q355" i="135"/>
  <c r="W355" i="135"/>
  <c r="X355" i="135" s="1"/>
  <c r="AB355" i="135"/>
  <c r="AC355" i="135" s="1"/>
  <c r="AI355" i="135"/>
  <c r="AJ355" i="135" s="1"/>
  <c r="F356" i="135"/>
  <c r="M356" i="135"/>
  <c r="N356" i="135"/>
  <c r="O356" i="135"/>
  <c r="R356" i="135" s="1"/>
  <c r="P356" i="135"/>
  <c r="Q356" i="135"/>
  <c r="W356" i="135"/>
  <c r="X356" i="135" s="1"/>
  <c r="AB356" i="135"/>
  <c r="AC356" i="135" s="1"/>
  <c r="AI356" i="135"/>
  <c r="AJ356" i="135" s="1"/>
  <c r="F357" i="135"/>
  <c r="M357" i="135"/>
  <c r="N357" i="135"/>
  <c r="O357" i="135"/>
  <c r="P357" i="135"/>
  <c r="R357" i="135" s="1"/>
  <c r="Q357" i="135"/>
  <c r="W357" i="135"/>
  <c r="X357" i="135" s="1"/>
  <c r="AB357" i="135"/>
  <c r="AI357" i="135"/>
  <c r="AJ357" i="135" s="1"/>
  <c r="M358" i="135"/>
  <c r="N358" i="135"/>
  <c r="O358" i="135"/>
  <c r="P358" i="135"/>
  <c r="R358" i="135" s="1"/>
  <c r="Q358" i="135"/>
  <c r="W358" i="135"/>
  <c r="X358" i="135" s="1"/>
  <c r="AB358" i="135"/>
  <c r="AC358" i="135" s="1"/>
  <c r="AI358" i="135"/>
  <c r="AJ358" i="135" s="1"/>
  <c r="F359" i="135"/>
  <c r="M359" i="135"/>
  <c r="N359" i="135"/>
  <c r="O359" i="135"/>
  <c r="R359" i="135" s="1"/>
  <c r="P359" i="135"/>
  <c r="Q359" i="135"/>
  <c r="W359" i="135"/>
  <c r="AB359" i="135"/>
  <c r="AC359" i="135" s="1"/>
  <c r="AI359" i="135"/>
  <c r="AJ359" i="135" s="1"/>
  <c r="F360" i="135"/>
  <c r="F360" i="139" s="1"/>
  <c r="M360" i="135"/>
  <c r="N360" i="135"/>
  <c r="O360" i="135"/>
  <c r="P360" i="135"/>
  <c r="Q360" i="135"/>
  <c r="R360" i="135"/>
  <c r="W360" i="135"/>
  <c r="AB360" i="135"/>
  <c r="AC360" i="135" s="1"/>
  <c r="AI360" i="135"/>
  <c r="AJ360" i="135" s="1"/>
  <c r="F361" i="135"/>
  <c r="M361" i="135"/>
  <c r="N361" i="135"/>
  <c r="O361" i="135"/>
  <c r="P361" i="135"/>
  <c r="R361" i="135" s="1"/>
  <c r="Q361" i="135"/>
  <c r="W361" i="135"/>
  <c r="X361" i="135" s="1"/>
  <c r="AB361" i="135"/>
  <c r="AI361" i="135"/>
  <c r="AJ361" i="135" s="1"/>
  <c r="F362" i="135"/>
  <c r="F362" i="139" s="1"/>
  <c r="M362" i="135"/>
  <c r="N362" i="135"/>
  <c r="O362" i="135"/>
  <c r="R362" i="135" s="1"/>
  <c r="P362" i="135"/>
  <c r="Q362" i="135"/>
  <c r="W362" i="135"/>
  <c r="X362" i="135" s="1"/>
  <c r="AB362" i="135"/>
  <c r="AC362" i="135" s="1"/>
  <c r="AI362" i="135"/>
  <c r="AJ362" i="135" s="1"/>
  <c r="F363" i="135"/>
  <c r="M363" i="135"/>
  <c r="N363" i="135"/>
  <c r="O363" i="135"/>
  <c r="P363" i="135"/>
  <c r="Q363" i="135"/>
  <c r="R363" i="135"/>
  <c r="W363" i="135"/>
  <c r="X363" i="135" s="1"/>
  <c r="AB363" i="135"/>
  <c r="AC363" i="135" s="1"/>
  <c r="AI363" i="135"/>
  <c r="AJ363" i="135" s="1"/>
  <c r="F364" i="135"/>
  <c r="F364" i="139" s="1"/>
  <c r="M364" i="135"/>
  <c r="N364" i="135"/>
  <c r="O364" i="135"/>
  <c r="P364" i="135"/>
  <c r="Q364" i="135"/>
  <c r="R364" i="135"/>
  <c r="W364" i="135"/>
  <c r="X364" i="135" s="1"/>
  <c r="AB364" i="135"/>
  <c r="AC364" i="135" s="1"/>
  <c r="AI364" i="135"/>
  <c r="AJ364" i="135" s="1"/>
  <c r="F365" i="135"/>
  <c r="F365" i="139" s="1"/>
  <c r="M365" i="135"/>
  <c r="N365" i="135"/>
  <c r="O365" i="135"/>
  <c r="P365" i="135"/>
  <c r="Q365" i="135"/>
  <c r="R365" i="135"/>
  <c r="W365" i="135"/>
  <c r="X365" i="135" s="1"/>
  <c r="AB365" i="135"/>
  <c r="AC365" i="135" s="1"/>
  <c r="AI365" i="135"/>
  <c r="AJ365" i="135" s="1"/>
  <c r="F366" i="135"/>
  <c r="M366" i="135"/>
  <c r="N366" i="135"/>
  <c r="O366" i="135"/>
  <c r="R366" i="135" s="1"/>
  <c r="P366" i="135"/>
  <c r="Q366" i="135"/>
  <c r="W366" i="135"/>
  <c r="AB366" i="135"/>
  <c r="AC366" i="135" s="1"/>
  <c r="AI366" i="135"/>
  <c r="AJ366" i="135" s="1"/>
  <c r="F367" i="135"/>
  <c r="F367" i="139" s="1"/>
  <c r="M367" i="135"/>
  <c r="N367" i="135"/>
  <c r="O367" i="135"/>
  <c r="P367" i="135"/>
  <c r="Q367" i="135"/>
  <c r="R367" i="135" s="1"/>
  <c r="W367" i="135"/>
  <c r="X367" i="135"/>
  <c r="AB367" i="135"/>
  <c r="AC367" i="135" s="1"/>
  <c r="AI367" i="135"/>
  <c r="AJ367" i="135" s="1"/>
  <c r="F368" i="135"/>
  <c r="M368" i="135"/>
  <c r="N368" i="135"/>
  <c r="O368" i="135"/>
  <c r="R368" i="135" s="1"/>
  <c r="P368" i="135"/>
  <c r="Q368" i="135"/>
  <c r="W368" i="135"/>
  <c r="AB368" i="135"/>
  <c r="AC368" i="135" s="1"/>
  <c r="AI368" i="135"/>
  <c r="AJ368" i="135" s="1"/>
  <c r="F369" i="139"/>
  <c r="M369" i="135"/>
  <c r="N369" i="135"/>
  <c r="O369" i="135"/>
  <c r="P369" i="135"/>
  <c r="Q369" i="135"/>
  <c r="R369" i="135"/>
  <c r="W369" i="135"/>
  <c r="X369" i="135" s="1"/>
  <c r="AB369" i="135"/>
  <c r="AC369" i="135" s="1"/>
  <c r="AI369" i="135"/>
  <c r="AJ369" i="135" s="1"/>
  <c r="F370" i="135"/>
  <c r="M370" i="135"/>
  <c r="N370" i="135"/>
  <c r="O370" i="135"/>
  <c r="P370" i="135"/>
  <c r="R370" i="135" s="1"/>
  <c r="Q370" i="135"/>
  <c r="W370" i="135"/>
  <c r="AB370" i="135"/>
  <c r="AC370" i="135" s="1"/>
  <c r="AI370" i="135"/>
  <c r="AJ370" i="135" s="1"/>
  <c r="F371" i="135"/>
  <c r="M371" i="135"/>
  <c r="N371" i="135"/>
  <c r="O371" i="135"/>
  <c r="R371" i="135" s="1"/>
  <c r="P371" i="135"/>
  <c r="Q371" i="135"/>
  <c r="W371" i="135"/>
  <c r="AB371" i="135"/>
  <c r="AC371" i="135" s="1"/>
  <c r="AI371" i="135"/>
  <c r="AJ371" i="135" s="1"/>
  <c r="F372" i="135"/>
  <c r="M372" i="135"/>
  <c r="N372" i="135"/>
  <c r="O372" i="135"/>
  <c r="P372" i="135"/>
  <c r="Q372" i="135"/>
  <c r="R372" i="135"/>
  <c r="W372" i="135"/>
  <c r="AB372" i="135"/>
  <c r="AC372" i="135" s="1"/>
  <c r="AI372" i="135"/>
  <c r="AJ372" i="135" s="1"/>
  <c r="F373" i="135"/>
  <c r="M373" i="135"/>
  <c r="N373" i="135"/>
  <c r="O373" i="135"/>
  <c r="R373" i="135" s="1"/>
  <c r="P373" i="135"/>
  <c r="Q373" i="135"/>
  <c r="W373" i="135"/>
  <c r="X373" i="135" s="1"/>
  <c r="AB373" i="135"/>
  <c r="AC373" i="135" s="1"/>
  <c r="AI373" i="135"/>
  <c r="AJ373" i="135" s="1"/>
  <c r="F374" i="135"/>
  <c r="F374" i="139" s="1"/>
  <c r="M374" i="135"/>
  <c r="N374" i="135"/>
  <c r="O374" i="135"/>
  <c r="R374" i="135" s="1"/>
  <c r="P374" i="135"/>
  <c r="Q374" i="135"/>
  <c r="W374" i="135"/>
  <c r="X374" i="135" s="1"/>
  <c r="AB374" i="135"/>
  <c r="AC374" i="135" s="1"/>
  <c r="AI374" i="135"/>
  <c r="AJ374" i="135" s="1"/>
  <c r="F375" i="135"/>
  <c r="M375" i="135"/>
  <c r="N375" i="135"/>
  <c r="O375" i="135"/>
  <c r="R375" i="135" s="1"/>
  <c r="P375" i="135"/>
  <c r="Q375" i="135"/>
  <c r="W375" i="135"/>
  <c r="X375" i="135" s="1"/>
  <c r="AB375" i="135"/>
  <c r="AC375" i="135" s="1"/>
  <c r="AI375" i="135"/>
  <c r="AJ375" i="135" s="1"/>
  <c r="F376" i="135"/>
  <c r="F376" i="139" s="1"/>
  <c r="M376" i="135"/>
  <c r="N376" i="135"/>
  <c r="O376" i="135"/>
  <c r="P376" i="135"/>
  <c r="Q376" i="135"/>
  <c r="R376" i="135"/>
  <c r="W376" i="135"/>
  <c r="AB376" i="135"/>
  <c r="AC376" i="135" s="1"/>
  <c r="AI376" i="135"/>
  <c r="AJ376" i="135" s="1"/>
  <c r="F377" i="135"/>
  <c r="M377" i="135"/>
  <c r="N377" i="135"/>
  <c r="O377" i="135"/>
  <c r="P377" i="135"/>
  <c r="Q377" i="135"/>
  <c r="R377" i="135"/>
  <c r="W377" i="135"/>
  <c r="X377" i="135" s="1"/>
  <c r="AB377" i="135"/>
  <c r="AC377" i="135" s="1"/>
  <c r="AI377" i="135"/>
  <c r="AJ377" i="135" s="1"/>
  <c r="F378" i="135"/>
  <c r="F376" i="134" s="1"/>
  <c r="M378" i="135"/>
  <c r="N378" i="135"/>
  <c r="O378" i="135"/>
  <c r="R378" i="135" s="1"/>
  <c r="P378" i="135"/>
  <c r="Q378" i="135"/>
  <c r="W378" i="135"/>
  <c r="X378" i="135" s="1"/>
  <c r="AB378" i="135"/>
  <c r="AC378" i="135" s="1"/>
  <c r="AI378" i="135"/>
  <c r="AJ378" i="135" s="1"/>
  <c r="F379" i="135"/>
  <c r="M379" i="135"/>
  <c r="N379" i="135"/>
  <c r="O379" i="135"/>
  <c r="P379" i="135"/>
  <c r="R379" i="135" s="1"/>
  <c r="Q379" i="135"/>
  <c r="W379" i="135"/>
  <c r="X379" i="135" s="1"/>
  <c r="AB379" i="135"/>
  <c r="AC379" i="135" s="1"/>
  <c r="AI379" i="135"/>
  <c r="AJ379" i="135" s="1"/>
  <c r="F380" i="135"/>
  <c r="F380" i="139" s="1"/>
  <c r="M380" i="135"/>
  <c r="N380" i="135"/>
  <c r="O380" i="135"/>
  <c r="P380" i="135"/>
  <c r="Q380" i="135"/>
  <c r="R380" i="135" s="1"/>
  <c r="W380" i="135"/>
  <c r="AB380" i="135"/>
  <c r="AC380" i="135" s="1"/>
  <c r="AI380" i="135"/>
  <c r="AJ380" i="135" s="1"/>
  <c r="F381" i="135"/>
  <c r="F379" i="134" s="1"/>
  <c r="M381" i="135"/>
  <c r="N381" i="135"/>
  <c r="O381" i="135"/>
  <c r="R381" i="135" s="1"/>
  <c r="P381" i="135"/>
  <c r="Q381" i="135"/>
  <c r="W381" i="135"/>
  <c r="X381" i="135" s="1"/>
  <c r="AB381" i="135"/>
  <c r="AC381" i="135" s="1"/>
  <c r="AI381" i="135"/>
  <c r="AJ381" i="135" s="1"/>
  <c r="F382" i="135"/>
  <c r="M382" i="135"/>
  <c r="N382" i="135"/>
  <c r="O382" i="135"/>
  <c r="P382" i="135"/>
  <c r="Q382" i="135"/>
  <c r="R382" i="135"/>
  <c r="W382" i="135"/>
  <c r="X382" i="135" s="1"/>
  <c r="AB382" i="135"/>
  <c r="AC382" i="135" s="1"/>
  <c r="AI382" i="135"/>
  <c r="AJ382" i="135" s="1"/>
  <c r="F383" i="135"/>
  <c r="F381" i="134" s="1"/>
  <c r="M383" i="135"/>
  <c r="N383" i="135"/>
  <c r="O383" i="135"/>
  <c r="R383" i="135" s="1"/>
  <c r="P383" i="135"/>
  <c r="Q383" i="135"/>
  <c r="W383" i="135"/>
  <c r="AB383" i="135"/>
  <c r="AC383" i="135" s="1"/>
  <c r="AI383" i="135"/>
  <c r="AJ383" i="135" s="1"/>
  <c r="F384" i="135"/>
  <c r="M384" i="135"/>
  <c r="N384" i="135"/>
  <c r="O384" i="135"/>
  <c r="P384" i="135"/>
  <c r="Q384" i="135"/>
  <c r="R384" i="135"/>
  <c r="W384" i="135"/>
  <c r="X384" i="135" s="1"/>
  <c r="AB384" i="135"/>
  <c r="AC384" i="135" s="1"/>
  <c r="AI384" i="135"/>
  <c r="AJ384" i="135" s="1"/>
  <c r="F385" i="139"/>
  <c r="M385" i="135"/>
  <c r="N385" i="135"/>
  <c r="O385" i="135"/>
  <c r="P385" i="135"/>
  <c r="Q385" i="135"/>
  <c r="R385" i="135"/>
  <c r="W385" i="135"/>
  <c r="X385" i="135" s="1"/>
  <c r="AB385" i="135"/>
  <c r="AC385" i="135" s="1"/>
  <c r="AI385" i="135"/>
  <c r="AJ385" i="135" s="1"/>
  <c r="M386" i="135"/>
  <c r="N386" i="135"/>
  <c r="O386" i="135"/>
  <c r="P386" i="135"/>
  <c r="Q386" i="135"/>
  <c r="R386" i="135" s="1"/>
  <c r="W386" i="135"/>
  <c r="X386" i="135" s="1"/>
  <c r="AB386" i="135"/>
  <c r="AC386" i="135" s="1"/>
  <c r="AI386" i="135"/>
  <c r="AJ386" i="135" s="1"/>
  <c r="F387" i="135"/>
  <c r="F387" i="139" s="1"/>
  <c r="M387" i="135"/>
  <c r="N387" i="135"/>
  <c r="O387" i="135"/>
  <c r="R387" i="135" s="1"/>
  <c r="P387" i="135"/>
  <c r="Q387" i="135"/>
  <c r="W387" i="135"/>
  <c r="X387" i="135" s="1"/>
  <c r="AB387" i="135"/>
  <c r="AC387" i="135"/>
  <c r="AI387" i="135"/>
  <c r="AJ387" i="135" s="1"/>
  <c r="F388" i="135"/>
  <c r="M388" i="135"/>
  <c r="N388" i="135"/>
  <c r="O388" i="135"/>
  <c r="P388" i="135"/>
  <c r="Q388" i="135"/>
  <c r="R388" i="135"/>
  <c r="W388" i="135"/>
  <c r="X388" i="135" s="1"/>
  <c r="AB388" i="135"/>
  <c r="AC388" i="135" s="1"/>
  <c r="AI388" i="135"/>
  <c r="AJ388" i="135" s="1"/>
  <c r="F389" i="135"/>
  <c r="M389" i="135"/>
  <c r="N389" i="135"/>
  <c r="O389" i="135"/>
  <c r="P389" i="135"/>
  <c r="Q389" i="135"/>
  <c r="R389" i="135" s="1"/>
  <c r="W389" i="135"/>
  <c r="X389" i="135" s="1"/>
  <c r="AB389" i="135"/>
  <c r="AC389" i="135" s="1"/>
  <c r="AI389" i="135"/>
  <c r="AJ389" i="135" s="1"/>
  <c r="F390" i="135"/>
  <c r="F390" i="139" s="1"/>
  <c r="M390" i="135"/>
  <c r="N390" i="135"/>
  <c r="O390" i="135"/>
  <c r="R390" i="135" s="1"/>
  <c r="P390" i="135"/>
  <c r="Q390" i="135"/>
  <c r="W390" i="135"/>
  <c r="X390" i="135" s="1"/>
  <c r="AB390" i="135"/>
  <c r="AC390" i="135" s="1"/>
  <c r="AI390" i="135"/>
  <c r="AJ390" i="135" s="1"/>
  <c r="M391" i="135"/>
  <c r="N391" i="135"/>
  <c r="O391" i="135"/>
  <c r="P391" i="135"/>
  <c r="Q391" i="135"/>
  <c r="R391" i="135" s="1"/>
  <c r="W391" i="135"/>
  <c r="AB391" i="135"/>
  <c r="AC391" i="135" s="1"/>
  <c r="AI391" i="135"/>
  <c r="AJ391" i="135" s="1"/>
  <c r="F392" i="135"/>
  <c r="M392" i="135"/>
  <c r="N392" i="135"/>
  <c r="O392" i="135"/>
  <c r="P392" i="135"/>
  <c r="Q392" i="135"/>
  <c r="R392" i="135"/>
  <c r="W392" i="135"/>
  <c r="X392" i="135" s="1"/>
  <c r="AB392" i="135"/>
  <c r="AC392" i="135" s="1"/>
  <c r="AI392" i="135"/>
  <c r="AJ392" i="135" s="1"/>
  <c r="F393" i="135"/>
  <c r="M393" i="135"/>
  <c r="N393" i="135"/>
  <c r="O393" i="135"/>
  <c r="P393" i="135"/>
  <c r="Q393" i="135"/>
  <c r="R393" i="135"/>
  <c r="W393" i="135"/>
  <c r="X393" i="135" s="1"/>
  <c r="AB393" i="135"/>
  <c r="AC393" i="135" s="1"/>
  <c r="AI393" i="135"/>
  <c r="AJ393" i="135" s="1"/>
  <c r="F394" i="135"/>
  <c r="F394" i="139" s="1"/>
  <c r="M394" i="135"/>
  <c r="N394" i="135"/>
  <c r="O394" i="135"/>
  <c r="P394" i="135"/>
  <c r="Q394" i="135"/>
  <c r="R394" i="135"/>
  <c r="W394" i="135"/>
  <c r="AB394" i="135"/>
  <c r="AC394" i="135" s="1"/>
  <c r="AI394" i="135"/>
  <c r="AJ394" i="135" s="1"/>
  <c r="F395" i="135"/>
  <c r="M395" i="135"/>
  <c r="N395" i="135"/>
  <c r="O395" i="135"/>
  <c r="R395" i="135" s="1"/>
  <c r="P395" i="135"/>
  <c r="Q395" i="135"/>
  <c r="W395" i="135"/>
  <c r="AB395" i="135"/>
  <c r="AC395" i="135" s="1"/>
  <c r="AI395" i="135"/>
  <c r="AJ395" i="135" s="1"/>
  <c r="F396" i="135"/>
  <c r="F396" i="139" s="1"/>
  <c r="M396" i="135"/>
  <c r="N396" i="135"/>
  <c r="O396" i="135"/>
  <c r="P396" i="135"/>
  <c r="Q396" i="135"/>
  <c r="R396" i="135"/>
  <c r="W396" i="135"/>
  <c r="X396" i="135" s="1"/>
  <c r="AB396" i="135"/>
  <c r="AC396" i="135" s="1"/>
  <c r="AI396" i="135"/>
  <c r="AJ396" i="135" s="1"/>
  <c r="F397" i="135"/>
  <c r="F397" i="139" s="1"/>
  <c r="M397" i="135"/>
  <c r="N397" i="135"/>
  <c r="O397" i="135"/>
  <c r="P397" i="135"/>
  <c r="Q397" i="135"/>
  <c r="R397" i="135"/>
  <c r="W397" i="135"/>
  <c r="AB397" i="135"/>
  <c r="AC397" i="135" s="1"/>
  <c r="AI397" i="135"/>
  <c r="AJ397" i="135" s="1"/>
  <c r="F398" i="135"/>
  <c r="M398" i="135"/>
  <c r="N398" i="135"/>
  <c r="O398" i="135"/>
  <c r="R398" i="135" s="1"/>
  <c r="P398" i="135"/>
  <c r="Q398" i="135"/>
  <c r="W398" i="135"/>
  <c r="X398" i="135" s="1"/>
  <c r="AB398" i="135"/>
  <c r="AI398" i="135"/>
  <c r="AJ398" i="135" s="1"/>
  <c r="F399" i="135"/>
  <c r="F399" i="139" s="1"/>
  <c r="M399" i="135"/>
  <c r="N399" i="135"/>
  <c r="O399" i="135"/>
  <c r="P399" i="135"/>
  <c r="R399" i="135" s="1"/>
  <c r="Q399" i="135"/>
  <c r="W399" i="135"/>
  <c r="AB399" i="135"/>
  <c r="AC399" i="135" s="1"/>
  <c r="AI399" i="135"/>
  <c r="AJ399" i="135" s="1"/>
  <c r="F400" i="135"/>
  <c r="M400" i="135"/>
  <c r="N400" i="135"/>
  <c r="O400" i="135"/>
  <c r="R400" i="135" s="1"/>
  <c r="P400" i="135"/>
  <c r="Q400" i="135"/>
  <c r="W400" i="135"/>
  <c r="AB400" i="135"/>
  <c r="AC400" i="135" s="1"/>
  <c r="AI400" i="135"/>
  <c r="AJ400" i="135" s="1"/>
  <c r="F401" i="135"/>
  <c r="M401" i="135"/>
  <c r="N401" i="135"/>
  <c r="O401" i="135"/>
  <c r="P401" i="135"/>
  <c r="Q401" i="135"/>
  <c r="R401" i="135"/>
  <c r="W401" i="135"/>
  <c r="AB401" i="135"/>
  <c r="AC401" i="135" s="1"/>
  <c r="AI401" i="135"/>
  <c r="AJ401" i="135" s="1"/>
  <c r="F402" i="135"/>
  <c r="M402" i="135"/>
  <c r="N402" i="135"/>
  <c r="O402" i="135"/>
  <c r="R402" i="135" s="1"/>
  <c r="P402" i="135"/>
  <c r="Q402" i="135"/>
  <c r="W402" i="135"/>
  <c r="X402" i="135" s="1"/>
  <c r="AB402" i="135"/>
  <c r="AC402" i="135" s="1"/>
  <c r="AI402" i="135"/>
  <c r="AJ402" i="135" s="1"/>
  <c r="F403" i="135"/>
  <c r="F403" i="139" s="1"/>
  <c r="M403" i="135"/>
  <c r="N403" i="135"/>
  <c r="O403" i="135"/>
  <c r="P403" i="135"/>
  <c r="Q403" i="135"/>
  <c r="R403" i="135"/>
  <c r="W403" i="135"/>
  <c r="X403" i="135" s="1"/>
  <c r="AB403" i="135"/>
  <c r="AC403" i="135" s="1"/>
  <c r="AI403" i="135"/>
  <c r="AJ403" i="135" s="1"/>
  <c r="F404" i="135"/>
  <c r="F402" i="134" s="1"/>
  <c r="M404" i="135"/>
  <c r="N404" i="135"/>
  <c r="O404" i="135"/>
  <c r="P404" i="135"/>
  <c r="Q404" i="135"/>
  <c r="R404" i="135"/>
  <c r="W404" i="135"/>
  <c r="AB404" i="135"/>
  <c r="AC404" i="135" s="1"/>
  <c r="AI404" i="135"/>
  <c r="AJ404" i="135" s="1"/>
  <c r="F405" i="135"/>
  <c r="M405" i="135"/>
  <c r="N405" i="135"/>
  <c r="O405" i="135"/>
  <c r="P405" i="135"/>
  <c r="Q405" i="135"/>
  <c r="R405" i="135"/>
  <c r="W405" i="135"/>
  <c r="X405" i="135" s="1"/>
  <c r="AB405" i="135"/>
  <c r="AC405" i="135" s="1"/>
  <c r="AI405" i="135"/>
  <c r="AJ405" i="135" s="1"/>
  <c r="F406" i="135"/>
  <c r="F406" i="139" s="1"/>
  <c r="M406" i="135"/>
  <c r="N406" i="135"/>
  <c r="O406" i="135"/>
  <c r="P406" i="135"/>
  <c r="Q406" i="135"/>
  <c r="R406" i="135"/>
  <c r="W406" i="135"/>
  <c r="X406" i="135" s="1"/>
  <c r="AB406" i="135"/>
  <c r="AC406" i="135" s="1"/>
  <c r="AI406" i="135"/>
  <c r="AJ406" i="135" s="1"/>
  <c r="F407" i="135"/>
  <c r="M407" i="135"/>
  <c r="N407" i="135"/>
  <c r="O407" i="135"/>
  <c r="R407" i="135" s="1"/>
  <c r="P407" i="135"/>
  <c r="Q407" i="135"/>
  <c r="W407" i="135"/>
  <c r="AB407" i="135"/>
  <c r="AC407" i="135" s="1"/>
  <c r="AI407" i="135"/>
  <c r="AJ407" i="135" s="1"/>
  <c r="F408" i="135"/>
  <c r="F408" i="139" s="1"/>
  <c r="M408" i="135"/>
  <c r="N408" i="135"/>
  <c r="O408" i="135"/>
  <c r="R408" i="135" s="1"/>
  <c r="P408" i="135"/>
  <c r="Q408" i="135"/>
  <c r="W408" i="135"/>
  <c r="X408" i="135" s="1"/>
  <c r="AB408" i="135"/>
  <c r="AC408" i="135" s="1"/>
  <c r="AI408" i="135"/>
  <c r="AJ408" i="135" s="1"/>
  <c r="F409" i="135"/>
  <c r="M409" i="135"/>
  <c r="N409" i="135"/>
  <c r="O409" i="135"/>
  <c r="R409" i="135" s="1"/>
  <c r="P409" i="135"/>
  <c r="Q409" i="135"/>
  <c r="W409" i="135"/>
  <c r="X409" i="135" s="1"/>
  <c r="AB409" i="135"/>
  <c r="AC409" i="135" s="1"/>
  <c r="AI409" i="135"/>
  <c r="AJ409" i="135" s="1"/>
  <c r="F410" i="135"/>
  <c r="F410" i="139" s="1"/>
  <c r="M410" i="135"/>
  <c r="N410" i="135"/>
  <c r="O410" i="135"/>
  <c r="R410" i="135" s="1"/>
  <c r="P410" i="135"/>
  <c r="Q410" i="135"/>
  <c r="W410" i="135"/>
  <c r="X410" i="135" s="1"/>
  <c r="AB410" i="135"/>
  <c r="AC410" i="135" s="1"/>
  <c r="AI410" i="135"/>
  <c r="AJ410" i="135"/>
  <c r="F411" i="135"/>
  <c r="M411" i="135"/>
  <c r="N411" i="135"/>
  <c r="O411" i="135"/>
  <c r="R411" i="135" s="1"/>
  <c r="P411" i="135"/>
  <c r="Q411" i="135"/>
  <c r="W411" i="135"/>
  <c r="X411" i="135" s="1"/>
  <c r="AB411" i="135"/>
  <c r="AC411" i="135" s="1"/>
  <c r="AI411" i="135"/>
  <c r="AJ411" i="135" s="1"/>
  <c r="F412" i="135"/>
  <c r="F412" i="139" s="1"/>
  <c r="M412" i="135"/>
  <c r="N412" i="135"/>
  <c r="O412" i="135"/>
  <c r="P412" i="135"/>
  <c r="Q412" i="135"/>
  <c r="R412" i="135"/>
  <c r="W412" i="135"/>
  <c r="AB412" i="135"/>
  <c r="AC412" i="135" s="1"/>
  <c r="AI412" i="135"/>
  <c r="AJ412" i="135" s="1"/>
  <c r="F413" i="135"/>
  <c r="F413" i="139" s="1"/>
  <c r="M413" i="135"/>
  <c r="N413" i="135"/>
  <c r="O413" i="135"/>
  <c r="P413" i="135"/>
  <c r="R413" i="135" s="1"/>
  <c r="Q413" i="135"/>
  <c r="W413" i="135"/>
  <c r="X413" i="135" s="1"/>
  <c r="AB413" i="135"/>
  <c r="AC413" i="135" s="1"/>
  <c r="AI413" i="135"/>
  <c r="AJ413" i="135" s="1"/>
  <c r="F414" i="135"/>
  <c r="M414" i="135"/>
  <c r="N414" i="135"/>
  <c r="O414" i="135"/>
  <c r="P414" i="135"/>
  <c r="Q414" i="135"/>
  <c r="R414" i="135"/>
  <c r="W414" i="135"/>
  <c r="X414" i="135" s="1"/>
  <c r="AB414" i="135"/>
  <c r="AC414" i="135" s="1"/>
  <c r="AI414" i="135"/>
  <c r="AJ414" i="135" s="1"/>
  <c r="F415" i="135"/>
  <c r="F415" i="139" s="1"/>
  <c r="M415" i="135"/>
  <c r="N415" i="135"/>
  <c r="O415" i="135"/>
  <c r="P415" i="135"/>
  <c r="Q415" i="135"/>
  <c r="R415" i="135"/>
  <c r="W415" i="135"/>
  <c r="X415" i="135" s="1"/>
  <c r="AB415" i="135"/>
  <c r="AC415" i="135" s="1"/>
  <c r="AI415" i="135"/>
  <c r="AJ415" i="135" s="1"/>
  <c r="M416" i="135"/>
  <c r="N416" i="135"/>
  <c r="O416" i="135"/>
  <c r="P416" i="135"/>
  <c r="Q416" i="135"/>
  <c r="R416" i="135"/>
  <c r="W416" i="135"/>
  <c r="AB416" i="135"/>
  <c r="AC416" i="135" s="1"/>
  <c r="AI416" i="135"/>
  <c r="AJ416" i="135" s="1"/>
  <c r="F417" i="135"/>
  <c r="M417" i="135"/>
  <c r="N417" i="135"/>
  <c r="O417" i="135"/>
  <c r="P417" i="135"/>
  <c r="Q417" i="135"/>
  <c r="R417" i="135"/>
  <c r="W417" i="135"/>
  <c r="X417" i="135" s="1"/>
  <c r="AB417" i="135"/>
  <c r="AC417" i="135" s="1"/>
  <c r="AI417" i="135"/>
  <c r="AJ417" i="135" s="1"/>
  <c r="F418" i="135"/>
  <c r="M418" i="135"/>
  <c r="N418" i="135"/>
  <c r="O418" i="135"/>
  <c r="R418" i="135" s="1"/>
  <c r="P418" i="135"/>
  <c r="Q418" i="135"/>
  <c r="W418" i="135"/>
  <c r="X418" i="135" s="1"/>
  <c r="AB418" i="135"/>
  <c r="AI418" i="135"/>
  <c r="AJ418" i="135" s="1"/>
  <c r="M419" i="135"/>
  <c r="N419" i="135"/>
  <c r="O419" i="135"/>
  <c r="P419" i="135"/>
  <c r="Q419" i="135"/>
  <c r="R419" i="135" s="1"/>
  <c r="W419" i="135"/>
  <c r="X419" i="135" s="1"/>
  <c r="AB419" i="135"/>
  <c r="AC419" i="135" s="1"/>
  <c r="AI419" i="135"/>
  <c r="AJ419" i="135" s="1"/>
  <c r="F420" i="135"/>
  <c r="M420" i="135"/>
  <c r="N420" i="135"/>
  <c r="O420" i="135"/>
  <c r="R420" i="135" s="1"/>
  <c r="P420" i="135"/>
  <c r="Q420" i="135"/>
  <c r="W420" i="135"/>
  <c r="X420" i="135" s="1"/>
  <c r="AB420" i="135"/>
  <c r="AC420" i="135" s="1"/>
  <c r="AI420" i="135"/>
  <c r="AJ420" i="135" s="1"/>
  <c r="F421" i="135"/>
  <c r="M421" i="135"/>
  <c r="N421" i="135"/>
  <c r="O421" i="135"/>
  <c r="P421" i="135"/>
  <c r="Q421" i="135"/>
  <c r="R421" i="135"/>
  <c r="W421" i="135"/>
  <c r="X421" i="135" s="1"/>
  <c r="AB421" i="135"/>
  <c r="AC421" i="135" s="1"/>
  <c r="AI421" i="135"/>
  <c r="AJ421" i="135" s="1"/>
  <c r="F422" i="135"/>
  <c r="F422" i="139" s="1"/>
  <c r="M422" i="135"/>
  <c r="N422" i="135"/>
  <c r="O422" i="135"/>
  <c r="P422" i="135"/>
  <c r="Q422" i="135"/>
  <c r="R422" i="135" s="1"/>
  <c r="W422" i="135"/>
  <c r="AB422" i="135"/>
  <c r="AC422" i="135" s="1"/>
  <c r="AI422" i="135"/>
  <c r="AJ422" i="135" s="1"/>
  <c r="F423" i="135"/>
  <c r="M423" i="135"/>
  <c r="N423" i="135"/>
  <c r="O423" i="135"/>
  <c r="P423" i="135"/>
  <c r="Q423" i="135"/>
  <c r="R423" i="135"/>
  <c r="W423" i="135"/>
  <c r="X423" i="135" s="1"/>
  <c r="AB423" i="135"/>
  <c r="AC423" i="135" s="1"/>
  <c r="AI423" i="135"/>
  <c r="AJ423" i="135" s="1"/>
  <c r="F424" i="135"/>
  <c r="F422" i="134" s="1"/>
  <c r="M424" i="135"/>
  <c r="N424" i="135"/>
  <c r="O424" i="135"/>
  <c r="R424" i="135" s="1"/>
  <c r="P424" i="135"/>
  <c r="Q424" i="135"/>
  <c r="W424" i="135"/>
  <c r="X424" i="135" s="1"/>
  <c r="AB424" i="135"/>
  <c r="AC424" i="135" s="1"/>
  <c r="AI424" i="135"/>
  <c r="AJ424" i="135" s="1"/>
  <c r="F425" i="135"/>
  <c r="M425" i="135"/>
  <c r="N425" i="135"/>
  <c r="O425" i="135"/>
  <c r="R425" i="135" s="1"/>
  <c r="P425" i="135"/>
  <c r="Q425" i="135"/>
  <c r="W425" i="135"/>
  <c r="X425" i="135" s="1"/>
  <c r="AB425" i="135"/>
  <c r="AC425" i="135" s="1"/>
  <c r="AI425" i="135"/>
  <c r="AJ425" i="135" s="1"/>
  <c r="F426" i="135"/>
  <c r="F426" i="139" s="1"/>
  <c r="M426" i="135"/>
  <c r="N426" i="135"/>
  <c r="O426" i="135"/>
  <c r="R426" i="135" s="1"/>
  <c r="P426" i="135"/>
  <c r="Q426" i="135"/>
  <c r="W426" i="135"/>
  <c r="AB426" i="135"/>
  <c r="AC426" i="135" s="1"/>
  <c r="AI426" i="135"/>
  <c r="AJ426" i="135" s="1"/>
  <c r="F427" i="135"/>
  <c r="M427" i="135"/>
  <c r="N427" i="135"/>
  <c r="O427" i="135"/>
  <c r="P427" i="135"/>
  <c r="R427" i="135" s="1"/>
  <c r="Q427" i="135"/>
  <c r="W427" i="135"/>
  <c r="X427" i="135" s="1"/>
  <c r="AB427" i="135"/>
  <c r="AC427" i="135" s="1"/>
  <c r="AI427" i="135"/>
  <c r="AJ427" i="135" s="1"/>
  <c r="F428" i="135"/>
  <c r="F428" i="139" s="1"/>
  <c r="M428" i="135"/>
  <c r="N428" i="135"/>
  <c r="O428" i="135"/>
  <c r="R428" i="135" s="1"/>
  <c r="P428" i="135"/>
  <c r="Q428" i="135"/>
  <c r="W428" i="135"/>
  <c r="AB428" i="135"/>
  <c r="AC428" i="135" s="1"/>
  <c r="AI428" i="135"/>
  <c r="AJ428" i="135" s="1"/>
  <c r="F429" i="135"/>
  <c r="M429" i="135"/>
  <c r="N429" i="135"/>
  <c r="O429" i="135"/>
  <c r="P429" i="135"/>
  <c r="R429" i="135" s="1"/>
  <c r="Q429" i="135"/>
  <c r="W429" i="135"/>
  <c r="X429" i="135" s="1"/>
  <c r="AB429" i="135"/>
  <c r="AC429" i="135" s="1"/>
  <c r="AI429" i="135"/>
  <c r="AJ429" i="135" s="1"/>
  <c r="F430" i="135"/>
  <c r="M430" i="135"/>
  <c r="N430" i="135"/>
  <c r="O430" i="135"/>
  <c r="R430" i="135" s="1"/>
  <c r="P430" i="135"/>
  <c r="Q430" i="135"/>
  <c r="W430" i="135"/>
  <c r="AB430" i="135"/>
  <c r="AC430" i="135" s="1"/>
  <c r="AI430" i="135"/>
  <c r="AJ430" i="135" s="1"/>
  <c r="F431" i="135"/>
  <c r="M431" i="135"/>
  <c r="N431" i="135"/>
  <c r="O431" i="135"/>
  <c r="R431" i="135" s="1"/>
  <c r="P431" i="135"/>
  <c r="Q431" i="135"/>
  <c r="W431" i="135"/>
  <c r="X431" i="135" s="1"/>
  <c r="AB431" i="135"/>
  <c r="AI431" i="135"/>
  <c r="AJ431" i="135" s="1"/>
  <c r="F432" i="135"/>
  <c r="M432" i="135"/>
  <c r="N432" i="135"/>
  <c r="O432" i="135"/>
  <c r="R432" i="135" s="1"/>
  <c r="P432" i="135"/>
  <c r="Q432" i="135"/>
  <c r="AB432" i="135"/>
  <c r="AC432" i="135" s="1"/>
  <c r="AI432" i="135"/>
  <c r="AJ432" i="135" s="1"/>
  <c r="F433" i="135"/>
  <c r="F433" i="139" s="1"/>
  <c r="M433" i="135"/>
  <c r="N433" i="135"/>
  <c r="O433" i="135"/>
  <c r="P433" i="135"/>
  <c r="Q433" i="135"/>
  <c r="R433" i="135" s="1"/>
  <c r="AB433" i="135"/>
  <c r="AC433" i="135" s="1"/>
  <c r="AI433" i="135"/>
  <c r="AJ433" i="135" s="1"/>
  <c r="F434" i="135"/>
  <c r="M434" i="135"/>
  <c r="N434" i="135"/>
  <c r="O434" i="135"/>
  <c r="P434" i="135"/>
  <c r="R434" i="135" s="1"/>
  <c r="Q434" i="135"/>
  <c r="W434" i="135"/>
  <c r="X434" i="135" s="1"/>
  <c r="AB434" i="135"/>
  <c r="AC434" i="135" s="1"/>
  <c r="AI434" i="135"/>
  <c r="AJ434" i="135" s="1"/>
  <c r="F435" i="135"/>
  <c r="F435" i="139" s="1"/>
  <c r="M435" i="135"/>
  <c r="N435" i="135"/>
  <c r="O435" i="135"/>
  <c r="P435" i="135"/>
  <c r="Q435" i="135"/>
  <c r="R435" i="135"/>
  <c r="W435" i="135"/>
  <c r="AB435" i="135"/>
  <c r="AC435" i="135" s="1"/>
  <c r="AI435" i="135"/>
  <c r="AJ435" i="135" s="1"/>
  <c r="F436" i="135"/>
  <c r="M436" i="135"/>
  <c r="N436" i="135"/>
  <c r="O436" i="135"/>
  <c r="P436" i="135"/>
  <c r="Q436" i="135"/>
  <c r="R436" i="135"/>
  <c r="W436" i="135"/>
  <c r="AB436" i="135"/>
  <c r="AC436" i="135" s="1"/>
  <c r="AI436" i="135"/>
  <c r="AJ436" i="135" s="1"/>
  <c r="F437" i="135"/>
  <c r="F435" i="134" s="1"/>
  <c r="M437" i="135"/>
  <c r="N437" i="135"/>
  <c r="O437" i="135"/>
  <c r="R437" i="135" s="1"/>
  <c r="P437" i="135"/>
  <c r="Q437" i="135"/>
  <c r="W437" i="135"/>
  <c r="AB437" i="135"/>
  <c r="AC437" i="135" s="1"/>
  <c r="AI437" i="135"/>
  <c r="AJ437" i="135" s="1"/>
  <c r="F438" i="139"/>
  <c r="M438" i="135"/>
  <c r="N438" i="135"/>
  <c r="O438" i="135"/>
  <c r="R438" i="135" s="1"/>
  <c r="P438" i="135"/>
  <c r="Q438" i="135"/>
  <c r="W438" i="135"/>
  <c r="AB438" i="135"/>
  <c r="AC438" i="135" s="1"/>
  <c r="AI438" i="135"/>
  <c r="AJ438" i="135" s="1"/>
  <c r="F439" i="135"/>
  <c r="M439" i="135"/>
  <c r="N439" i="135"/>
  <c r="O439" i="135"/>
  <c r="P439" i="135"/>
  <c r="Q439" i="135"/>
  <c r="R439" i="135"/>
  <c r="W439" i="135"/>
  <c r="X439" i="135" s="1"/>
  <c r="AB439" i="135"/>
  <c r="AC439" i="135" s="1"/>
  <c r="AI439" i="135"/>
  <c r="AJ439" i="135" s="1"/>
  <c r="F440" i="135"/>
  <c r="F440" i="139" s="1"/>
  <c r="M440" i="135"/>
  <c r="N440" i="135"/>
  <c r="O440" i="135"/>
  <c r="R440" i="135" s="1"/>
  <c r="P440" i="135"/>
  <c r="Q440" i="135"/>
  <c r="W440" i="135"/>
  <c r="X440" i="135" s="1"/>
  <c r="AB440" i="135"/>
  <c r="AC440" i="135"/>
  <c r="AI440" i="135"/>
  <c r="AJ440" i="135" s="1"/>
  <c r="F441" i="135"/>
  <c r="M441" i="135"/>
  <c r="N441" i="135"/>
  <c r="O441" i="135"/>
  <c r="R441" i="135" s="1"/>
  <c r="P441" i="135"/>
  <c r="Q441" i="135"/>
  <c r="W441" i="135"/>
  <c r="AB441" i="135"/>
  <c r="AC441" i="135" s="1"/>
  <c r="AI441" i="135"/>
  <c r="AJ441" i="135" s="1"/>
  <c r="F442" i="135"/>
  <c r="F442" i="139" s="1"/>
  <c r="M442" i="135"/>
  <c r="N442" i="135"/>
  <c r="O442" i="135"/>
  <c r="R442" i="135" s="1"/>
  <c r="P442" i="135"/>
  <c r="Q442" i="135"/>
  <c r="W442" i="135"/>
  <c r="AB442" i="135"/>
  <c r="AC442" i="135" s="1"/>
  <c r="AI442" i="135"/>
  <c r="AJ442" i="135" s="1"/>
  <c r="F443" i="135"/>
  <c r="M443" i="135"/>
  <c r="N443" i="135"/>
  <c r="O443" i="135"/>
  <c r="R443" i="135" s="1"/>
  <c r="P443" i="135"/>
  <c r="Q443" i="135"/>
  <c r="W443" i="135"/>
  <c r="X443" i="135" s="1"/>
  <c r="AB443" i="135"/>
  <c r="AC443" i="135" s="1"/>
  <c r="AI443" i="135"/>
  <c r="AJ443" i="135" s="1"/>
  <c r="F444" i="135"/>
  <c r="F444" i="139" s="1"/>
  <c r="M444" i="135"/>
  <c r="N444" i="135"/>
  <c r="O444" i="135"/>
  <c r="P444" i="135"/>
  <c r="Q444" i="135"/>
  <c r="R444" i="135"/>
  <c r="W444" i="135"/>
  <c r="AB444" i="135"/>
  <c r="AC444" i="135" s="1"/>
  <c r="AI444" i="135"/>
  <c r="AJ444" i="135" s="1"/>
  <c r="F445" i="135"/>
  <c r="F445" i="139" s="1"/>
  <c r="M445" i="135"/>
  <c r="N445" i="135"/>
  <c r="O445" i="135"/>
  <c r="P445" i="135"/>
  <c r="Q445" i="135"/>
  <c r="R445" i="135"/>
  <c r="W445" i="135"/>
  <c r="X445" i="135" s="1"/>
  <c r="AB445" i="135"/>
  <c r="AC445" i="135" s="1"/>
  <c r="AI445" i="135"/>
  <c r="AJ445" i="135" s="1"/>
  <c r="F446" i="135"/>
  <c r="M446" i="135"/>
  <c r="N446" i="135"/>
  <c r="O446" i="135"/>
  <c r="P446" i="135"/>
  <c r="Q446" i="135"/>
  <c r="R446" i="135"/>
  <c r="W446" i="135"/>
  <c r="AB446" i="135"/>
  <c r="AC446" i="135" s="1"/>
  <c r="AI446" i="135"/>
  <c r="AJ446" i="135" s="1"/>
  <c r="F447" i="135"/>
  <c r="M447" i="135"/>
  <c r="N447" i="135"/>
  <c r="O447" i="135"/>
  <c r="P447" i="135"/>
  <c r="Q447" i="135"/>
  <c r="R447" i="135"/>
  <c r="W447" i="135"/>
  <c r="X447" i="135" s="1"/>
  <c r="AB447" i="135"/>
  <c r="AC447" i="135" s="1"/>
  <c r="AI447" i="135"/>
  <c r="AJ447" i="135" s="1"/>
  <c r="F448" i="135"/>
  <c r="M448" i="135"/>
  <c r="N448" i="135"/>
  <c r="O448" i="135"/>
  <c r="R448" i="135" s="1"/>
  <c r="P448" i="135"/>
  <c r="Q448" i="135"/>
  <c r="W448" i="135"/>
  <c r="X448" i="135" s="1"/>
  <c r="AB448" i="135"/>
  <c r="AC448" i="135" s="1"/>
  <c r="AI448" i="135"/>
  <c r="AJ448" i="135" s="1"/>
  <c r="F449" i="135"/>
  <c r="M449" i="135"/>
  <c r="N449" i="135"/>
  <c r="O449" i="135"/>
  <c r="R449" i="135" s="1"/>
  <c r="P449" i="135"/>
  <c r="Q449" i="135"/>
  <c r="W449" i="135"/>
  <c r="X449" i="135" s="1"/>
  <c r="AB449" i="135"/>
  <c r="AI449" i="135"/>
  <c r="AJ449" i="135" s="1"/>
  <c r="F450" i="135"/>
  <c r="M450" i="135"/>
  <c r="N450" i="135"/>
  <c r="O450" i="135"/>
  <c r="P450" i="135"/>
  <c r="Q450" i="135"/>
  <c r="R450" i="135"/>
  <c r="W450" i="135"/>
  <c r="AB450" i="135"/>
  <c r="AC450" i="135" s="1"/>
  <c r="AI450" i="135"/>
  <c r="AJ450" i="135" s="1"/>
  <c r="F451" i="135"/>
  <c r="M451" i="135"/>
  <c r="N451" i="135"/>
  <c r="O451" i="135"/>
  <c r="R451" i="135" s="1"/>
  <c r="P451" i="135"/>
  <c r="Q451" i="135"/>
  <c r="W451" i="135"/>
  <c r="X451" i="135" s="1"/>
  <c r="AB451" i="135"/>
  <c r="AC451" i="135" s="1"/>
  <c r="AI451" i="135"/>
  <c r="AJ451" i="135" s="1"/>
  <c r="F452" i="135"/>
  <c r="F450" i="134" s="1"/>
  <c r="M452" i="135"/>
  <c r="N452" i="135"/>
  <c r="O452" i="135"/>
  <c r="R452" i="135" s="1"/>
  <c r="P452" i="135"/>
  <c r="Q452" i="135"/>
  <c r="W452" i="135"/>
  <c r="X452" i="135" s="1"/>
  <c r="AB452" i="135"/>
  <c r="AI452" i="135"/>
  <c r="AJ452" i="135" s="1"/>
  <c r="F453" i="135"/>
  <c r="M453" i="135"/>
  <c r="N453" i="135"/>
  <c r="O453" i="135"/>
  <c r="P453" i="135"/>
  <c r="Q453" i="135"/>
  <c r="R453" i="135"/>
  <c r="W453" i="135"/>
  <c r="X453" i="135" s="1"/>
  <c r="AB453" i="135"/>
  <c r="AC453" i="135" s="1"/>
  <c r="AI453" i="135"/>
  <c r="AJ453" i="135" s="1"/>
  <c r="F454" i="135"/>
  <c r="F454" i="139" s="1"/>
  <c r="M454" i="135"/>
  <c r="N454" i="135"/>
  <c r="O454" i="135"/>
  <c r="P454" i="135"/>
  <c r="Q454" i="135"/>
  <c r="R454" i="135"/>
  <c r="W454" i="135"/>
  <c r="X454" i="135" s="1"/>
  <c r="AB454" i="135"/>
  <c r="AC454" i="135" s="1"/>
  <c r="AI454" i="135"/>
  <c r="AJ454" i="135" s="1"/>
  <c r="F455" i="135"/>
  <c r="F453" i="134" s="1"/>
  <c r="M455" i="135"/>
  <c r="N455" i="135"/>
  <c r="O455" i="135"/>
  <c r="P455" i="135"/>
  <c r="Q455" i="135"/>
  <c r="R455" i="135"/>
  <c r="W455" i="135"/>
  <c r="X455" i="135" s="1"/>
  <c r="AB455" i="135"/>
  <c r="AC455" i="135" s="1"/>
  <c r="AI455" i="135"/>
  <c r="AJ455" i="135" s="1"/>
  <c r="F456" i="135"/>
  <c r="F456" i="139" s="1"/>
  <c r="M456" i="135"/>
  <c r="N456" i="135"/>
  <c r="O456" i="135"/>
  <c r="P456" i="135"/>
  <c r="Q456" i="135"/>
  <c r="R456" i="135"/>
  <c r="W456" i="135"/>
  <c r="AB456" i="135"/>
  <c r="AC456" i="135" s="1"/>
  <c r="AI456" i="135"/>
  <c r="AJ456" i="135" s="1"/>
  <c r="F457" i="135"/>
  <c r="M457" i="135"/>
  <c r="N457" i="135"/>
  <c r="O457" i="135"/>
  <c r="R457" i="135" s="1"/>
  <c r="P457" i="135"/>
  <c r="Q457" i="135"/>
  <c r="W457" i="135"/>
  <c r="X457" i="135" s="1"/>
  <c r="AB457" i="135"/>
  <c r="AC457" i="135" s="1"/>
  <c r="AI457" i="135"/>
  <c r="AJ457" i="135" s="1"/>
  <c r="F458" i="135"/>
  <c r="M458" i="135"/>
  <c r="N458" i="135"/>
  <c r="O458" i="135"/>
  <c r="P458" i="135"/>
  <c r="Q458" i="135"/>
  <c r="R458" i="135"/>
  <c r="W458" i="135"/>
  <c r="X458" i="135" s="1"/>
  <c r="AB458" i="135"/>
  <c r="AC458" i="135" s="1"/>
  <c r="AI458" i="135"/>
  <c r="AJ458" i="135" s="1"/>
  <c r="F459" i="135"/>
  <c r="M459" i="135"/>
  <c r="N459" i="135"/>
  <c r="O459" i="135"/>
  <c r="P459" i="135"/>
  <c r="R459" i="135" s="1"/>
  <c r="Q459" i="135"/>
  <c r="W459" i="135"/>
  <c r="X459" i="135" s="1"/>
  <c r="AB459" i="135"/>
  <c r="AI459" i="135"/>
  <c r="AJ459" i="135" s="1"/>
  <c r="F460" i="135"/>
  <c r="F460" i="139" s="1"/>
  <c r="M460" i="135"/>
  <c r="N460" i="135"/>
  <c r="O460" i="135"/>
  <c r="R460" i="135" s="1"/>
  <c r="P460" i="135"/>
  <c r="Q460" i="135"/>
  <c r="W460" i="135"/>
  <c r="X460" i="135" s="1"/>
  <c r="AB460" i="135"/>
  <c r="AC460" i="135" s="1"/>
  <c r="AI460" i="135"/>
  <c r="AJ460" i="135" s="1"/>
  <c r="F461" i="135"/>
  <c r="F461" i="139" s="1"/>
  <c r="M461" i="135"/>
  <c r="N461" i="135"/>
  <c r="O461" i="135"/>
  <c r="R461" i="135" s="1"/>
  <c r="P461" i="135"/>
  <c r="Q461" i="135"/>
  <c r="W461" i="135"/>
  <c r="X461" i="135" s="1"/>
  <c r="AB461" i="135"/>
  <c r="AI461" i="135"/>
  <c r="AJ461" i="135" s="1"/>
  <c r="F462" i="135"/>
  <c r="M462" i="135"/>
  <c r="N462" i="135"/>
  <c r="O462" i="135"/>
  <c r="P462" i="135"/>
  <c r="Q462" i="135"/>
  <c r="R462" i="135"/>
  <c r="W462" i="135"/>
  <c r="X462" i="135" s="1"/>
  <c r="AB462" i="135"/>
  <c r="AC462" i="135" s="1"/>
  <c r="AI462" i="135"/>
  <c r="AJ462" i="135" s="1"/>
  <c r="F463" i="135"/>
  <c r="M463" i="135"/>
  <c r="N463" i="135"/>
  <c r="O463" i="135"/>
  <c r="P463" i="135"/>
  <c r="Q463" i="135"/>
  <c r="R463" i="135"/>
  <c r="W463" i="135"/>
  <c r="X463" i="135" s="1"/>
  <c r="AB463" i="135"/>
  <c r="AC463" i="135" s="1"/>
  <c r="AI463" i="135"/>
  <c r="AJ463" i="135" s="1"/>
  <c r="F464" i="135"/>
  <c r="M464" i="135"/>
  <c r="N464" i="135"/>
  <c r="O464" i="135"/>
  <c r="P464" i="135"/>
  <c r="Q464" i="135"/>
  <c r="R464" i="135"/>
  <c r="W464" i="135"/>
  <c r="X464" i="135" s="1"/>
  <c r="AB464" i="135"/>
  <c r="AC464" i="135" s="1"/>
  <c r="AI464" i="135"/>
  <c r="AJ464" i="135" s="1"/>
  <c r="F465" i="135"/>
  <c r="F465" i="139" s="1"/>
  <c r="M465" i="135"/>
  <c r="N465" i="135"/>
  <c r="O465" i="135"/>
  <c r="P465" i="135"/>
  <c r="Q465" i="135"/>
  <c r="R465" i="135"/>
  <c r="W465" i="135"/>
  <c r="AB465" i="135"/>
  <c r="AC465" i="135" s="1"/>
  <c r="AI465" i="135"/>
  <c r="AJ465" i="135" s="1"/>
  <c r="F466" i="135"/>
  <c r="M466" i="135"/>
  <c r="N466" i="135"/>
  <c r="O466" i="135"/>
  <c r="R466" i="135" s="1"/>
  <c r="P466" i="135"/>
  <c r="Q466" i="135"/>
  <c r="W466" i="135"/>
  <c r="X466" i="135" s="1"/>
  <c r="AB466" i="135"/>
  <c r="AC466" i="135" s="1"/>
  <c r="AI466" i="135"/>
  <c r="AJ466" i="135" s="1"/>
  <c r="F467" i="135"/>
  <c r="M467" i="135"/>
  <c r="N467" i="135"/>
  <c r="O467" i="135"/>
  <c r="P467" i="135"/>
  <c r="Q467" i="135"/>
  <c r="R467" i="135"/>
  <c r="W467" i="135"/>
  <c r="X467" i="135" s="1"/>
  <c r="AB467" i="135"/>
  <c r="AC467" i="135" s="1"/>
  <c r="AI467" i="135"/>
  <c r="AJ467" i="135" s="1"/>
  <c r="F468" i="135"/>
  <c r="M468" i="135"/>
  <c r="N468" i="135"/>
  <c r="O468" i="135"/>
  <c r="P468" i="135"/>
  <c r="Q468" i="135"/>
  <c r="R468" i="135"/>
  <c r="W468" i="135"/>
  <c r="X468" i="135" s="1"/>
  <c r="AB468" i="135"/>
  <c r="AC468" i="135" s="1"/>
  <c r="AI468" i="135"/>
  <c r="AJ468" i="135" s="1"/>
  <c r="M469" i="135"/>
  <c r="N469" i="135"/>
  <c r="O469" i="135"/>
  <c r="P469" i="135"/>
  <c r="R469" i="135" s="1"/>
  <c r="Q469" i="135"/>
  <c r="W469" i="135"/>
  <c r="X469" i="135" s="1"/>
  <c r="AB469" i="135"/>
  <c r="AC469" i="135" s="1"/>
  <c r="AI469" i="135"/>
  <c r="AJ469" i="135" s="1"/>
  <c r="F470" i="135"/>
  <c r="M470" i="135"/>
  <c r="N470" i="135"/>
  <c r="O470" i="135"/>
  <c r="P470" i="135"/>
  <c r="Q470" i="135"/>
  <c r="R470" i="135" s="1"/>
  <c r="W470" i="135"/>
  <c r="X470" i="135" s="1"/>
  <c r="AB470" i="135"/>
  <c r="AC470" i="135" s="1"/>
  <c r="AI470" i="135"/>
  <c r="AJ470" i="135" s="1"/>
  <c r="F471" i="135"/>
  <c r="M471" i="135"/>
  <c r="N471" i="135"/>
  <c r="O471" i="135"/>
  <c r="R471" i="135" s="1"/>
  <c r="P471" i="135"/>
  <c r="Q471" i="135"/>
  <c r="W471" i="135"/>
  <c r="X471" i="135" s="1"/>
  <c r="AB471" i="135"/>
  <c r="AC471" i="135" s="1"/>
  <c r="AI471" i="135"/>
  <c r="AJ471" i="135" s="1"/>
  <c r="F472" i="135"/>
  <c r="F472" i="139" s="1"/>
  <c r="M472" i="135"/>
  <c r="N472" i="135"/>
  <c r="O472" i="135"/>
  <c r="R472" i="135" s="1"/>
  <c r="P472" i="135"/>
  <c r="Q472" i="135"/>
  <c r="W472" i="135"/>
  <c r="X472" i="135" s="1"/>
  <c r="AB472" i="135"/>
  <c r="AC472" i="135" s="1"/>
  <c r="AI472" i="135"/>
  <c r="AJ472" i="135" s="1"/>
  <c r="F473" i="135"/>
  <c r="M473" i="135"/>
  <c r="N473" i="135"/>
  <c r="O473" i="135"/>
  <c r="P473" i="135"/>
  <c r="Q473" i="135"/>
  <c r="R473" i="135"/>
  <c r="W473" i="135"/>
  <c r="X473" i="135" s="1"/>
  <c r="AB473" i="135"/>
  <c r="AC473" i="135" s="1"/>
  <c r="AI473" i="135"/>
  <c r="AJ473" i="135" s="1"/>
  <c r="F474" i="135"/>
  <c r="M474" i="135"/>
  <c r="N474" i="135"/>
  <c r="O474" i="135"/>
  <c r="R474" i="135" s="1"/>
  <c r="P474" i="135"/>
  <c r="Q474" i="135"/>
  <c r="W474" i="135"/>
  <c r="X474" i="135" s="1"/>
  <c r="AB474" i="135"/>
  <c r="AC474" i="135" s="1"/>
  <c r="AI474" i="135"/>
  <c r="AJ474" i="135" s="1"/>
  <c r="F475" i="135"/>
  <c r="M475" i="135"/>
  <c r="N475" i="135"/>
  <c r="O475" i="135"/>
  <c r="R475" i="135" s="1"/>
  <c r="P475" i="135"/>
  <c r="Q475" i="135"/>
  <c r="W475" i="135"/>
  <c r="X475" i="135" s="1"/>
  <c r="AB475" i="135"/>
  <c r="AC475" i="135" s="1"/>
  <c r="AI475" i="135"/>
  <c r="AJ475" i="135" s="1"/>
  <c r="F476" i="135"/>
  <c r="M476" i="135"/>
  <c r="N476" i="135"/>
  <c r="O476" i="135"/>
  <c r="R476" i="135" s="1"/>
  <c r="P476" i="135"/>
  <c r="Q476" i="135"/>
  <c r="W476" i="135"/>
  <c r="AB476" i="135"/>
  <c r="AC476" i="135" s="1"/>
  <c r="AI476" i="135"/>
  <c r="AJ476" i="135" s="1"/>
  <c r="F477" i="135"/>
  <c r="M477" i="135"/>
  <c r="N477" i="135"/>
  <c r="O477" i="135"/>
  <c r="R477" i="135" s="1"/>
  <c r="P477" i="135"/>
  <c r="Q477" i="135"/>
  <c r="W477" i="135"/>
  <c r="AB477" i="135"/>
  <c r="AC477" i="135" s="1"/>
  <c r="AI477" i="135"/>
  <c r="AJ477" i="135" s="1"/>
  <c r="F478" i="135"/>
  <c r="M478" i="135"/>
  <c r="N478" i="135"/>
  <c r="O478" i="135"/>
  <c r="R478" i="135" s="1"/>
  <c r="P478" i="135"/>
  <c r="Q478" i="135"/>
  <c r="W478" i="135"/>
  <c r="AB478" i="135"/>
  <c r="AC478" i="135" s="1"/>
  <c r="AI478" i="135"/>
  <c r="AJ478" i="135" s="1"/>
  <c r="F479" i="135"/>
  <c r="M479" i="135"/>
  <c r="N479" i="135"/>
  <c r="O479" i="135"/>
  <c r="R479" i="135" s="1"/>
  <c r="P479" i="135"/>
  <c r="Q479" i="135"/>
  <c r="W479" i="135"/>
  <c r="X479" i="135" s="1"/>
  <c r="AB479" i="135"/>
  <c r="AC479" i="135" s="1"/>
  <c r="AI479" i="135"/>
  <c r="AJ479" i="135" s="1"/>
  <c r="F480" i="135"/>
  <c r="M480" i="135"/>
  <c r="N480" i="135"/>
  <c r="O480" i="135"/>
  <c r="R480" i="135" s="1"/>
  <c r="P480" i="135"/>
  <c r="Q480" i="135"/>
  <c r="W480" i="135"/>
  <c r="AB480" i="135"/>
  <c r="AC480" i="135" s="1"/>
  <c r="AI480" i="135"/>
  <c r="AJ480" i="135" s="1"/>
  <c r="F481" i="135"/>
  <c r="F479" i="134" s="1"/>
  <c r="M481" i="135"/>
  <c r="N481" i="135"/>
  <c r="O481" i="135"/>
  <c r="P481" i="135"/>
  <c r="Q481" i="135"/>
  <c r="R481" i="135"/>
  <c r="W481" i="135"/>
  <c r="X481" i="135" s="1"/>
  <c r="AB481" i="135"/>
  <c r="AC481" i="135" s="1"/>
  <c r="AI481" i="135"/>
  <c r="AJ481" i="135" s="1"/>
  <c r="F482" i="135"/>
  <c r="M482" i="135"/>
  <c r="N482" i="135"/>
  <c r="O482" i="135"/>
  <c r="R482" i="135" s="1"/>
  <c r="P482" i="135"/>
  <c r="Q482" i="135"/>
  <c r="W482" i="135"/>
  <c r="X482" i="135" s="1"/>
  <c r="AB482" i="135"/>
  <c r="AC482" i="135" s="1"/>
  <c r="AI482" i="135"/>
  <c r="AJ482" i="135" s="1"/>
  <c r="F483" i="135"/>
  <c r="F483" i="139" s="1"/>
  <c r="M483" i="135"/>
  <c r="N483" i="135"/>
  <c r="O483" i="135"/>
  <c r="R483" i="135" s="1"/>
  <c r="P483" i="135"/>
  <c r="Q483" i="135"/>
  <c r="W483" i="135"/>
  <c r="X483" i="135" s="1"/>
  <c r="AB483" i="135"/>
  <c r="AI483" i="135"/>
  <c r="AJ483" i="135" s="1"/>
  <c r="F484" i="135"/>
  <c r="F482" i="134" s="1"/>
  <c r="M484" i="135"/>
  <c r="N484" i="135"/>
  <c r="O484" i="135"/>
  <c r="P484" i="135"/>
  <c r="Q484" i="135"/>
  <c r="R484" i="135" s="1"/>
  <c r="W484" i="135"/>
  <c r="X484" i="135" s="1"/>
  <c r="AB484" i="135"/>
  <c r="AC484" i="135" s="1"/>
  <c r="AI484" i="135"/>
  <c r="AJ484" i="135" s="1"/>
  <c r="F485" i="135"/>
  <c r="M485" i="135"/>
  <c r="N485" i="135"/>
  <c r="O485" i="135"/>
  <c r="P485" i="135"/>
  <c r="Q485" i="135"/>
  <c r="R485" i="135"/>
  <c r="W485" i="135"/>
  <c r="X485" i="135" s="1"/>
  <c r="AB485" i="135"/>
  <c r="AC485" i="135" s="1"/>
  <c r="AI485" i="135"/>
  <c r="AJ485" i="135" s="1"/>
  <c r="F486" i="135"/>
  <c r="F486" i="139" s="1"/>
  <c r="M486" i="135"/>
  <c r="N486" i="135"/>
  <c r="O486" i="135"/>
  <c r="P486" i="135"/>
  <c r="R486" i="135" s="1"/>
  <c r="Q486" i="135"/>
  <c r="W486" i="135"/>
  <c r="AB486" i="135"/>
  <c r="AC486" i="135" s="1"/>
  <c r="AI486" i="135"/>
  <c r="AJ486" i="135" s="1"/>
  <c r="F487" i="135"/>
  <c r="M487" i="135"/>
  <c r="N487" i="135"/>
  <c r="O487" i="135"/>
  <c r="P487" i="135"/>
  <c r="Q487" i="135"/>
  <c r="R487" i="135" s="1"/>
  <c r="W487" i="135"/>
  <c r="X487" i="135" s="1"/>
  <c r="AB487" i="135"/>
  <c r="AC487" i="135" s="1"/>
  <c r="AI487" i="135"/>
  <c r="AJ487" i="135" s="1"/>
  <c r="F488" i="135"/>
  <c r="M488" i="135"/>
  <c r="N488" i="135"/>
  <c r="O488" i="135"/>
  <c r="P488" i="135"/>
  <c r="Q488" i="135"/>
  <c r="R488" i="135"/>
  <c r="W488" i="135"/>
  <c r="X488" i="135" s="1"/>
  <c r="AB488" i="135"/>
  <c r="AC488" i="135" s="1"/>
  <c r="AI488" i="135"/>
  <c r="AJ488" i="135"/>
  <c r="F489" i="135"/>
  <c r="F487" i="134" s="1"/>
  <c r="M489" i="135"/>
  <c r="N489" i="135"/>
  <c r="O489" i="135"/>
  <c r="P489" i="135"/>
  <c r="Q489" i="135"/>
  <c r="R489" i="135"/>
  <c r="W489" i="135"/>
  <c r="AB489" i="135"/>
  <c r="AC489" i="135" s="1"/>
  <c r="AI489" i="135"/>
  <c r="AJ489" i="135" s="1"/>
  <c r="F490" i="135"/>
  <c r="F490" i="139" s="1"/>
  <c r="M490" i="135"/>
  <c r="N490" i="135"/>
  <c r="O490" i="135"/>
  <c r="R490" i="135" s="1"/>
  <c r="P490" i="135"/>
  <c r="Q490" i="135"/>
  <c r="W490" i="135"/>
  <c r="X490" i="135" s="1"/>
  <c r="AB490" i="135"/>
  <c r="AC490" i="135" s="1"/>
  <c r="AI490" i="135"/>
  <c r="AJ490" i="135" s="1"/>
  <c r="F491" i="135"/>
  <c r="M491" i="135"/>
  <c r="N491" i="135"/>
  <c r="O491" i="135"/>
  <c r="P491" i="135"/>
  <c r="Q491" i="135"/>
  <c r="R491" i="135" s="1"/>
  <c r="W491" i="135"/>
  <c r="AB491" i="135"/>
  <c r="AC491" i="135" s="1"/>
  <c r="AI491" i="135"/>
  <c r="AJ491" i="135" s="1"/>
  <c r="F492" i="135"/>
  <c r="M492" i="135"/>
  <c r="N492" i="135"/>
  <c r="O492" i="135"/>
  <c r="P492" i="135"/>
  <c r="Q492" i="135"/>
  <c r="R492" i="135"/>
  <c r="W492" i="135"/>
  <c r="X492" i="135" s="1"/>
  <c r="AB492" i="135"/>
  <c r="AC492" i="135" s="1"/>
  <c r="AI492" i="135"/>
  <c r="AJ492" i="135" s="1"/>
  <c r="F493" i="135"/>
  <c r="F493" i="139" s="1"/>
  <c r="M493" i="135"/>
  <c r="N493" i="135"/>
  <c r="O493" i="135"/>
  <c r="R493" i="135" s="1"/>
  <c r="P493" i="135"/>
  <c r="Q493" i="135"/>
  <c r="W493" i="135"/>
  <c r="X493" i="135" s="1"/>
  <c r="AB493" i="135"/>
  <c r="AC493" i="135" s="1"/>
  <c r="AI493" i="135"/>
  <c r="AJ493" i="135" s="1"/>
  <c r="F494" i="135"/>
  <c r="M494" i="135"/>
  <c r="N494" i="135"/>
  <c r="O494" i="135"/>
  <c r="R494" i="135" s="1"/>
  <c r="P494" i="135"/>
  <c r="Q494" i="135"/>
  <c r="W494" i="135"/>
  <c r="X494" i="135" s="1"/>
  <c r="AB494" i="135"/>
  <c r="AC494" i="135" s="1"/>
  <c r="AI494" i="135"/>
  <c r="AJ494" i="135" s="1"/>
  <c r="F495" i="135"/>
  <c r="F495" i="139" s="1"/>
  <c r="M495" i="135"/>
  <c r="N495" i="135"/>
  <c r="O495" i="135"/>
  <c r="R495" i="135" s="1"/>
  <c r="P495" i="135"/>
  <c r="Q495" i="135"/>
  <c r="W495" i="135"/>
  <c r="X495" i="135" s="1"/>
  <c r="AB495" i="135"/>
  <c r="AI495" i="135"/>
  <c r="AJ495" i="135" s="1"/>
  <c r="F496" i="135"/>
  <c r="M496" i="135"/>
  <c r="N496" i="135"/>
  <c r="O496" i="135"/>
  <c r="R496" i="135" s="1"/>
  <c r="P496" i="135"/>
  <c r="Q496" i="135"/>
  <c r="W496" i="135"/>
  <c r="X496" i="135" s="1"/>
  <c r="AB496" i="135"/>
  <c r="AC496" i="135" s="1"/>
  <c r="AI496" i="135"/>
  <c r="AJ496" i="135" s="1"/>
  <c r="M497" i="135"/>
  <c r="N497" i="135"/>
  <c r="O497" i="135"/>
  <c r="R497" i="135" s="1"/>
  <c r="P497" i="135"/>
  <c r="Q497" i="135"/>
  <c r="W497" i="135"/>
  <c r="AB497" i="135"/>
  <c r="AC497" i="135" s="1"/>
  <c r="AI497" i="135"/>
  <c r="AJ497" i="135" s="1"/>
  <c r="F498" i="135"/>
  <c r="M498" i="135"/>
  <c r="N498" i="135"/>
  <c r="O498" i="135"/>
  <c r="R498" i="135" s="1"/>
  <c r="P498" i="135"/>
  <c r="Q498" i="135"/>
  <c r="W498" i="135"/>
  <c r="X498" i="135" s="1"/>
  <c r="AB498" i="135"/>
  <c r="AC498" i="135" s="1"/>
  <c r="AI498" i="135"/>
  <c r="AJ498" i="135" s="1"/>
  <c r="F499" i="135"/>
  <c r="F499" i="139" s="1"/>
  <c r="M499" i="135"/>
  <c r="N499" i="135"/>
  <c r="O499" i="135"/>
  <c r="R499" i="135" s="1"/>
  <c r="P499" i="135"/>
  <c r="Q499" i="135"/>
  <c r="W499" i="135"/>
  <c r="X499" i="135" s="1"/>
  <c r="AB499" i="135"/>
  <c r="AI499" i="135"/>
  <c r="AJ499" i="135" s="1"/>
  <c r="F500" i="135"/>
  <c r="M500" i="135"/>
  <c r="N500" i="135"/>
  <c r="O500" i="135"/>
  <c r="R500" i="135" s="1"/>
  <c r="P500" i="135"/>
  <c r="Q500" i="135"/>
  <c r="W500" i="135"/>
  <c r="AB500" i="135"/>
  <c r="AC500" i="135" s="1"/>
  <c r="AI500" i="135"/>
  <c r="AJ500" i="135" s="1"/>
  <c r="M501" i="135"/>
  <c r="N501" i="135"/>
  <c r="O501" i="135"/>
  <c r="P501" i="135"/>
  <c r="Q501" i="135"/>
  <c r="R501" i="135"/>
  <c r="W501" i="135"/>
  <c r="X501" i="135" s="1"/>
  <c r="AB501" i="135"/>
  <c r="AI501" i="135"/>
  <c r="AJ501" i="135" s="1"/>
  <c r="F502" i="135"/>
  <c r="F502" i="139" s="1"/>
  <c r="M502" i="135"/>
  <c r="N502" i="135"/>
  <c r="O502" i="135"/>
  <c r="R502" i="135" s="1"/>
  <c r="P502" i="135"/>
  <c r="Q502" i="135"/>
  <c r="W502" i="135"/>
  <c r="AB502" i="135"/>
  <c r="AC502" i="135" s="1"/>
  <c r="AI502" i="135"/>
  <c r="AJ502" i="135" s="1"/>
  <c r="F503" i="135"/>
  <c r="M503" i="135"/>
  <c r="N503" i="135"/>
  <c r="O503" i="135"/>
  <c r="P503" i="135"/>
  <c r="Q503" i="135"/>
  <c r="R503" i="135"/>
  <c r="W503" i="135"/>
  <c r="AB503" i="135"/>
  <c r="AC503" i="135" s="1"/>
  <c r="AI503" i="135"/>
  <c r="AJ503" i="135" s="1"/>
  <c r="F504" i="135"/>
  <c r="M504" i="135"/>
  <c r="N504" i="135"/>
  <c r="O504" i="135"/>
  <c r="R504" i="135" s="1"/>
  <c r="P504" i="135"/>
  <c r="Q504" i="135"/>
  <c r="W504" i="135"/>
  <c r="X504" i="135" s="1"/>
  <c r="AB504" i="135"/>
  <c r="AC504" i="135" s="1"/>
  <c r="AI504" i="135"/>
  <c r="AJ504" i="135" s="1"/>
  <c r="F505" i="135"/>
  <c r="M505" i="135"/>
  <c r="N505" i="135"/>
  <c r="O505" i="135"/>
  <c r="P505" i="135"/>
  <c r="Q505" i="135"/>
  <c r="R505" i="135"/>
  <c r="W505" i="135"/>
  <c r="X505" i="135" s="1"/>
  <c r="AB505" i="135"/>
  <c r="AC505" i="135" s="1"/>
  <c r="AI505" i="135"/>
  <c r="AJ505" i="135" s="1"/>
  <c r="F506" i="135"/>
  <c r="F506" i="139" s="1"/>
  <c r="M506" i="135"/>
  <c r="N506" i="135"/>
  <c r="O506" i="135"/>
  <c r="R506" i="135" s="1"/>
  <c r="P506" i="135"/>
  <c r="Q506" i="135"/>
  <c r="W506" i="135"/>
  <c r="X506" i="135" s="1"/>
  <c r="AB506" i="135"/>
  <c r="AC506" i="135" s="1"/>
  <c r="AI506" i="135"/>
  <c r="AJ506" i="135" s="1"/>
  <c r="M507" i="135"/>
  <c r="N507" i="135"/>
  <c r="O507" i="135"/>
  <c r="P507" i="135"/>
  <c r="Q507" i="135"/>
  <c r="R507" i="135"/>
  <c r="W507" i="135"/>
  <c r="X507" i="135" s="1"/>
  <c r="AB507" i="135"/>
  <c r="AC507" i="135" s="1"/>
  <c r="AI507" i="135"/>
  <c r="AJ507" i="135" s="1"/>
  <c r="F508" i="135"/>
  <c r="F508" i="139" s="1"/>
  <c r="M508" i="135"/>
  <c r="N508" i="135"/>
  <c r="O508" i="135"/>
  <c r="R508" i="135" s="1"/>
  <c r="P508" i="135"/>
  <c r="Q508" i="135"/>
  <c r="W508" i="135"/>
  <c r="X508" i="135" s="1"/>
  <c r="AB508" i="135"/>
  <c r="AC508" i="135" s="1"/>
  <c r="AI508" i="135"/>
  <c r="AJ508" i="135" s="1"/>
  <c r="F509" i="135"/>
  <c r="F507" i="134" s="1"/>
  <c r="M509" i="135"/>
  <c r="N509" i="135"/>
  <c r="O509" i="135"/>
  <c r="P509" i="135"/>
  <c r="Q509" i="135"/>
  <c r="R509" i="135"/>
  <c r="W509" i="135"/>
  <c r="X509" i="135" s="1"/>
  <c r="AB509" i="135"/>
  <c r="AC509" i="135" s="1"/>
  <c r="AI509" i="135"/>
  <c r="AJ509" i="135" s="1"/>
  <c r="F510" i="135"/>
  <c r="M510" i="135"/>
  <c r="N510" i="135"/>
  <c r="O510" i="135"/>
  <c r="R510" i="135" s="1"/>
  <c r="P510" i="135"/>
  <c r="Q510" i="135"/>
  <c r="W510" i="135"/>
  <c r="AB510" i="135"/>
  <c r="AC510" i="135" s="1"/>
  <c r="AI510" i="135"/>
  <c r="AJ510" i="135" s="1"/>
  <c r="F511" i="135"/>
  <c r="F511" i="139" s="1"/>
  <c r="M511" i="135"/>
  <c r="N511" i="135"/>
  <c r="O511" i="135"/>
  <c r="R511" i="135" s="1"/>
  <c r="P511" i="135"/>
  <c r="Q511" i="135"/>
  <c r="W511" i="135"/>
  <c r="AB511" i="135"/>
  <c r="AC511" i="135" s="1"/>
  <c r="AI511" i="135"/>
  <c r="AJ511" i="135" s="1"/>
  <c r="F512" i="135"/>
  <c r="F510" i="134" s="1"/>
  <c r="M512" i="135"/>
  <c r="N512" i="135"/>
  <c r="O512" i="135"/>
  <c r="R512" i="135" s="1"/>
  <c r="P512" i="135"/>
  <c r="Q512" i="135"/>
  <c r="W512" i="135"/>
  <c r="AB512" i="135"/>
  <c r="AC512" i="135" s="1"/>
  <c r="AI512" i="135"/>
  <c r="AJ512" i="135" s="1"/>
  <c r="F513" i="135"/>
  <c r="F513" i="139" s="1"/>
  <c r="M513" i="135"/>
  <c r="N513" i="135"/>
  <c r="O513" i="135"/>
  <c r="P513" i="135"/>
  <c r="Q513" i="135"/>
  <c r="R513" i="135" s="1"/>
  <c r="W513" i="135"/>
  <c r="AB513" i="135"/>
  <c r="AC513" i="135" s="1"/>
  <c r="AI513" i="135"/>
  <c r="AJ513" i="135" s="1"/>
  <c r="F514" i="135"/>
  <c r="M514" i="135"/>
  <c r="N514" i="135"/>
  <c r="O514" i="135"/>
  <c r="R514" i="135" s="1"/>
  <c r="P514" i="135"/>
  <c r="Q514" i="135"/>
  <c r="W514" i="135"/>
  <c r="X514" i="135" s="1"/>
  <c r="AB514" i="135"/>
  <c r="AC514" i="135" s="1"/>
  <c r="AI514" i="135"/>
  <c r="AJ514" i="135" s="1"/>
  <c r="F515" i="135"/>
  <c r="F513" i="134" s="1"/>
  <c r="M515" i="135"/>
  <c r="N515" i="135"/>
  <c r="O515" i="135"/>
  <c r="R515" i="135" s="1"/>
  <c r="P515" i="135"/>
  <c r="Q515" i="135"/>
  <c r="W515" i="135"/>
  <c r="X515" i="135" s="1"/>
  <c r="AB515" i="135"/>
  <c r="AI515" i="135"/>
  <c r="AJ515" i="135" s="1"/>
  <c r="F516" i="135"/>
  <c r="M516" i="135"/>
  <c r="N516" i="135"/>
  <c r="O516" i="135"/>
  <c r="R516" i="135" s="1"/>
  <c r="P516" i="135"/>
  <c r="Q516" i="135"/>
  <c r="W516" i="135"/>
  <c r="X516" i="135" s="1"/>
  <c r="AB516" i="135"/>
  <c r="AI516" i="135"/>
  <c r="AJ516" i="135" s="1"/>
  <c r="F515" i="134"/>
  <c r="M517" i="135"/>
  <c r="N517" i="135"/>
  <c r="O517" i="135"/>
  <c r="P517" i="135"/>
  <c r="Q517" i="135"/>
  <c r="R517" i="135"/>
  <c r="W517" i="135"/>
  <c r="X517" i="135" s="1"/>
  <c r="AB517" i="135"/>
  <c r="AC517" i="135" s="1"/>
  <c r="AI517" i="135"/>
  <c r="AJ517" i="135" s="1"/>
  <c r="F518" i="135"/>
  <c r="M518" i="135"/>
  <c r="N518" i="135"/>
  <c r="O518" i="135"/>
  <c r="R518" i="135" s="1"/>
  <c r="P518" i="135"/>
  <c r="Q518" i="135"/>
  <c r="W518" i="135"/>
  <c r="X518" i="135" s="1"/>
  <c r="AB518" i="135"/>
  <c r="AC518" i="135" s="1"/>
  <c r="AI518" i="135"/>
  <c r="AJ518" i="135" s="1"/>
  <c r="F519" i="135"/>
  <c r="M519" i="135"/>
  <c r="N519" i="135"/>
  <c r="O519" i="135"/>
  <c r="R519" i="135" s="1"/>
  <c r="P519" i="135"/>
  <c r="Q519" i="135"/>
  <c r="W519" i="135"/>
  <c r="X519" i="135" s="1"/>
  <c r="AB519" i="135"/>
  <c r="AI519" i="135"/>
  <c r="AJ519" i="135" s="1"/>
  <c r="F520" i="135"/>
  <c r="F520" i="139" s="1"/>
  <c r="M520" i="135"/>
  <c r="N520" i="135"/>
  <c r="O520" i="135"/>
  <c r="R520" i="135" s="1"/>
  <c r="P520" i="135"/>
  <c r="Q520" i="135"/>
  <c r="W520" i="135"/>
  <c r="AB520" i="135"/>
  <c r="AC520" i="135" s="1"/>
  <c r="AI520" i="135"/>
  <c r="AJ520" i="135" s="1"/>
  <c r="F521" i="135"/>
  <c r="M521" i="135"/>
  <c r="N521" i="135"/>
  <c r="O521" i="135"/>
  <c r="R521" i="135" s="1"/>
  <c r="P521" i="135"/>
  <c r="Q521" i="135"/>
  <c r="W521" i="135"/>
  <c r="AB521" i="135"/>
  <c r="AC521" i="135" s="1"/>
  <c r="AI521" i="135"/>
  <c r="AJ521" i="135" s="1"/>
  <c r="F522" i="135"/>
  <c r="M522" i="135"/>
  <c r="N522" i="135"/>
  <c r="O522" i="135"/>
  <c r="P522" i="135"/>
  <c r="Q522" i="135"/>
  <c r="R522" i="135"/>
  <c r="W522" i="135"/>
  <c r="X522" i="135" s="1"/>
  <c r="AB522" i="135"/>
  <c r="AC522" i="135" s="1"/>
  <c r="AI522" i="135"/>
  <c r="AJ522" i="135" s="1"/>
  <c r="F523" i="135"/>
  <c r="M523" i="135"/>
  <c r="N523" i="135"/>
  <c r="O523" i="135"/>
  <c r="P523" i="135"/>
  <c r="Q523" i="135"/>
  <c r="R523" i="135"/>
  <c r="W523" i="135"/>
  <c r="AB523" i="135"/>
  <c r="AC523" i="135" s="1"/>
  <c r="AI523" i="135"/>
  <c r="AJ523" i="135" s="1"/>
  <c r="F524" i="135"/>
  <c r="F524" i="139" s="1"/>
  <c r="M524" i="135"/>
  <c r="N524" i="135"/>
  <c r="O524" i="135"/>
  <c r="P524" i="135"/>
  <c r="Q524" i="135"/>
  <c r="R524" i="135"/>
  <c r="W524" i="135"/>
  <c r="X524" i="135" s="1"/>
  <c r="AB524" i="135"/>
  <c r="AC524" i="135" s="1"/>
  <c r="AI524" i="135"/>
  <c r="AJ524" i="135" s="1"/>
  <c r="F525" i="135"/>
  <c r="F525" i="139" s="1"/>
  <c r="M525" i="135"/>
  <c r="N525" i="135"/>
  <c r="O525" i="135"/>
  <c r="R525" i="135" s="1"/>
  <c r="P525" i="135"/>
  <c r="Q525" i="135"/>
  <c r="W525" i="135"/>
  <c r="X525" i="135" s="1"/>
  <c r="AB525" i="135"/>
  <c r="AC525" i="135" s="1"/>
  <c r="AI525" i="135"/>
  <c r="AJ525" i="135" s="1"/>
  <c r="F526" i="135"/>
  <c r="M526" i="135"/>
  <c r="N526" i="135"/>
  <c r="O526" i="135"/>
  <c r="R526" i="135" s="1"/>
  <c r="P526" i="135"/>
  <c r="Q526" i="135"/>
  <c r="W526" i="135"/>
  <c r="X526" i="135" s="1"/>
  <c r="AB526" i="135"/>
  <c r="AC526" i="135" s="1"/>
  <c r="AI526" i="135"/>
  <c r="AJ526" i="135" s="1"/>
  <c r="F527" i="135"/>
  <c r="M527" i="135"/>
  <c r="N527" i="135"/>
  <c r="O527" i="135"/>
  <c r="R527" i="135" s="1"/>
  <c r="P527" i="135"/>
  <c r="Q527" i="135"/>
  <c r="W527" i="135"/>
  <c r="X527" i="135" s="1"/>
  <c r="AB527" i="135"/>
  <c r="AI527" i="135"/>
  <c r="AJ527" i="135" s="1"/>
  <c r="F528" i="135"/>
  <c r="M528" i="135"/>
  <c r="N528" i="135"/>
  <c r="O528" i="135"/>
  <c r="R528" i="135" s="1"/>
  <c r="P528" i="135"/>
  <c r="Q528" i="135"/>
  <c r="W528" i="135"/>
  <c r="X528" i="135" s="1"/>
  <c r="AB528" i="135"/>
  <c r="AI528" i="135"/>
  <c r="AJ528" i="135" s="1"/>
  <c r="F529" i="135"/>
  <c r="F529" i="139" s="1"/>
  <c r="M529" i="135"/>
  <c r="N529" i="135"/>
  <c r="O529" i="135"/>
  <c r="R529" i="135" s="1"/>
  <c r="P529" i="135"/>
  <c r="Q529" i="135"/>
  <c r="W529" i="135"/>
  <c r="X529" i="135" s="1"/>
  <c r="AB529" i="135"/>
  <c r="AC529" i="135" s="1"/>
  <c r="AI529" i="135"/>
  <c r="AJ529" i="135" s="1"/>
  <c r="F530" i="135"/>
  <c r="M530" i="135"/>
  <c r="N530" i="135"/>
  <c r="O530" i="135"/>
  <c r="R530" i="135" s="1"/>
  <c r="P530" i="135"/>
  <c r="Q530" i="135"/>
  <c r="W530" i="135"/>
  <c r="AB530" i="135"/>
  <c r="AC530" i="135" s="1"/>
  <c r="AI530" i="135"/>
  <c r="AJ530" i="135" s="1"/>
  <c r="F531" i="135"/>
  <c r="M531" i="135"/>
  <c r="N531" i="135"/>
  <c r="O531" i="135"/>
  <c r="R531" i="135" s="1"/>
  <c r="P531" i="135"/>
  <c r="Q531" i="135"/>
  <c r="W531" i="135"/>
  <c r="X531" i="135" s="1"/>
  <c r="AB531" i="135"/>
  <c r="AI531" i="135"/>
  <c r="AJ531" i="135" s="1"/>
  <c r="F532" i="135"/>
  <c r="M532" i="135"/>
  <c r="N532" i="135"/>
  <c r="O532" i="135"/>
  <c r="R532" i="135" s="1"/>
  <c r="P532" i="135"/>
  <c r="Q532" i="135"/>
  <c r="W532" i="135"/>
  <c r="AB532" i="135"/>
  <c r="AC532" i="135" s="1"/>
  <c r="AI532" i="135"/>
  <c r="AJ532" i="135" s="1"/>
  <c r="F533" i="135"/>
  <c r="M533" i="135"/>
  <c r="N533" i="135"/>
  <c r="O533" i="135"/>
  <c r="R533" i="135" s="1"/>
  <c r="P533" i="135"/>
  <c r="Q533" i="135"/>
  <c r="W533" i="135"/>
  <c r="AB533" i="135"/>
  <c r="AC533" i="135" s="1"/>
  <c r="AI533" i="135"/>
  <c r="AJ533" i="135" s="1"/>
  <c r="F534" i="135"/>
  <c r="F534" i="139" s="1"/>
  <c r="M534" i="135"/>
  <c r="N534" i="135"/>
  <c r="O534" i="135"/>
  <c r="P534" i="135"/>
  <c r="Q534" i="135"/>
  <c r="R534" i="135"/>
  <c r="W534" i="135"/>
  <c r="X534" i="135" s="1"/>
  <c r="AB534" i="135"/>
  <c r="AC534" i="135" s="1"/>
  <c r="AI534" i="135"/>
  <c r="AJ534" i="135" s="1"/>
  <c r="F535" i="135"/>
  <c r="M535" i="135"/>
  <c r="N535" i="135"/>
  <c r="O535" i="135"/>
  <c r="R535" i="135" s="1"/>
  <c r="P535" i="135"/>
  <c r="Q535" i="135"/>
  <c r="W535" i="135"/>
  <c r="X535" i="135" s="1"/>
  <c r="AB535" i="135"/>
  <c r="AC535" i="135" s="1"/>
  <c r="AI535" i="135"/>
  <c r="AJ535" i="135" s="1"/>
  <c r="F536" i="135"/>
  <c r="F536" i="139" s="1"/>
  <c r="M536" i="135"/>
  <c r="N536" i="135"/>
  <c r="O536" i="135"/>
  <c r="R536" i="135" s="1"/>
  <c r="P536" i="135"/>
  <c r="Q536" i="135"/>
  <c r="W536" i="135"/>
  <c r="X536" i="135" s="1"/>
  <c r="AB536" i="135"/>
  <c r="AC536" i="135" s="1"/>
  <c r="AI536" i="135"/>
  <c r="AJ536" i="135" s="1"/>
  <c r="F537" i="135"/>
  <c r="M537" i="135"/>
  <c r="N537" i="135"/>
  <c r="O537" i="135"/>
  <c r="R537" i="135" s="1"/>
  <c r="P537" i="135"/>
  <c r="Q537" i="135"/>
  <c r="W537" i="135"/>
  <c r="X537" i="135" s="1"/>
  <c r="AB537" i="135"/>
  <c r="AC537" i="135" s="1"/>
  <c r="AI537" i="135"/>
  <c r="AJ537" i="135" s="1"/>
  <c r="F538" i="135"/>
  <c r="F538" i="139" s="1"/>
  <c r="M538" i="135"/>
  <c r="N538" i="135"/>
  <c r="O538" i="135"/>
  <c r="R538" i="135" s="1"/>
  <c r="P538" i="135"/>
  <c r="Q538" i="135"/>
  <c r="W538" i="135"/>
  <c r="X538" i="135" s="1"/>
  <c r="AB538" i="135"/>
  <c r="AC538" i="135" s="1"/>
  <c r="AI538" i="135"/>
  <c r="AJ538" i="135" s="1"/>
  <c r="F539" i="135"/>
  <c r="F537" i="134" s="1"/>
  <c r="M539" i="135"/>
  <c r="N539" i="135"/>
  <c r="O539" i="135"/>
  <c r="R539" i="135" s="1"/>
  <c r="P539" i="135"/>
  <c r="Q539" i="135"/>
  <c r="W539" i="135"/>
  <c r="X539" i="135" s="1"/>
  <c r="AB539" i="135"/>
  <c r="AC539" i="135" s="1"/>
  <c r="AI539" i="135"/>
  <c r="AJ539" i="135" s="1"/>
  <c r="F540" i="135"/>
  <c r="F540" i="139" s="1"/>
  <c r="M540" i="135"/>
  <c r="N540" i="135"/>
  <c r="O540" i="135"/>
  <c r="R540" i="135" s="1"/>
  <c r="P540" i="135"/>
  <c r="Q540" i="135"/>
  <c r="W540" i="135"/>
  <c r="X540" i="135" s="1"/>
  <c r="AB540" i="135"/>
  <c r="AC540" i="135" s="1"/>
  <c r="AI540" i="135"/>
  <c r="AJ540" i="135" s="1"/>
  <c r="F541" i="135"/>
  <c r="F541" i="139" s="1"/>
  <c r="M541" i="135"/>
  <c r="N541" i="135"/>
  <c r="O541" i="135"/>
  <c r="R541" i="135" s="1"/>
  <c r="P541" i="135"/>
  <c r="Q541" i="135"/>
  <c r="W541" i="135"/>
  <c r="AB541" i="135"/>
  <c r="AC541" i="135" s="1"/>
  <c r="AI541" i="135"/>
  <c r="AJ541" i="135" s="1"/>
  <c r="F542" i="135"/>
  <c r="F540" i="134" s="1"/>
  <c r="M542" i="135"/>
  <c r="N542" i="135"/>
  <c r="O542" i="135"/>
  <c r="P542" i="135"/>
  <c r="Q542" i="135"/>
  <c r="R542" i="135" s="1"/>
  <c r="W542" i="135"/>
  <c r="AB542" i="135"/>
  <c r="AC542" i="135" s="1"/>
  <c r="AI542" i="135"/>
  <c r="AJ542" i="135" s="1"/>
  <c r="F543" i="135"/>
  <c r="F543" i="139" s="1"/>
  <c r="M543" i="135"/>
  <c r="N543" i="135"/>
  <c r="O543" i="135"/>
  <c r="R543" i="135" s="1"/>
  <c r="P543" i="135"/>
  <c r="Q543" i="135"/>
  <c r="W543" i="135"/>
  <c r="X543" i="135" s="1"/>
  <c r="AB543" i="135"/>
  <c r="AC543" i="135" s="1"/>
  <c r="AI543" i="135"/>
  <c r="AJ543" i="135" s="1"/>
  <c r="F544" i="135"/>
  <c r="F542" i="134" s="1"/>
  <c r="M544" i="135"/>
  <c r="N544" i="135"/>
  <c r="O544" i="135"/>
  <c r="P544" i="135"/>
  <c r="Q544" i="135"/>
  <c r="R544" i="135"/>
  <c r="W544" i="135"/>
  <c r="X544" i="135" s="1"/>
  <c r="AB544" i="135"/>
  <c r="AC544" i="135" s="1"/>
  <c r="AI544" i="135"/>
  <c r="AJ544" i="135" s="1"/>
  <c r="F545" i="135"/>
  <c r="F545" i="139" s="1"/>
  <c r="M545" i="135"/>
  <c r="N545" i="135"/>
  <c r="O545" i="135"/>
  <c r="R545" i="135" s="1"/>
  <c r="P545" i="135"/>
  <c r="Q545" i="135"/>
  <c r="W545" i="135"/>
  <c r="AB545" i="135"/>
  <c r="AC545" i="135" s="1"/>
  <c r="AI545" i="135"/>
  <c r="AJ545" i="135" s="1"/>
  <c r="F546" i="135"/>
  <c r="M546" i="135"/>
  <c r="N546" i="135"/>
  <c r="O546" i="135"/>
  <c r="R546" i="135" s="1"/>
  <c r="P546" i="135"/>
  <c r="Q546" i="135"/>
  <c r="W546" i="135"/>
  <c r="AB546" i="135"/>
  <c r="AC546" i="135" s="1"/>
  <c r="AI546" i="135"/>
  <c r="AJ546" i="135" s="1"/>
  <c r="F547" i="135"/>
  <c r="F547" i="139" s="1"/>
  <c r="M547" i="135"/>
  <c r="N547" i="135"/>
  <c r="O547" i="135"/>
  <c r="R547" i="135" s="1"/>
  <c r="P547" i="135"/>
  <c r="Q547" i="135"/>
  <c r="W547" i="135"/>
  <c r="AB547" i="135"/>
  <c r="AC547" i="135" s="1"/>
  <c r="AI547" i="135"/>
  <c r="AJ547" i="135" s="1"/>
  <c r="F548" i="135"/>
  <c r="M548" i="135"/>
  <c r="N548" i="135"/>
  <c r="O548" i="135"/>
  <c r="R548" i="135" s="1"/>
  <c r="P548" i="135"/>
  <c r="Q548" i="135"/>
  <c r="W548" i="135"/>
  <c r="X548" i="135" s="1"/>
  <c r="AB548" i="135"/>
  <c r="AC548" i="135" s="1"/>
  <c r="AI548" i="135"/>
  <c r="AJ548" i="135" s="1"/>
  <c r="F549" i="135"/>
  <c r="M549" i="135"/>
  <c r="N549" i="135"/>
  <c r="O549" i="135"/>
  <c r="R549" i="135" s="1"/>
  <c r="P549" i="135"/>
  <c r="Q549" i="135"/>
  <c r="W549" i="135"/>
  <c r="X549" i="135" s="1"/>
  <c r="AB549" i="135"/>
  <c r="AC549" i="135" s="1"/>
  <c r="AI549" i="135"/>
  <c r="AJ549" i="135" s="1"/>
  <c r="F550" i="135"/>
  <c r="F550" i="139" s="1"/>
  <c r="M550" i="135"/>
  <c r="N550" i="135"/>
  <c r="O550" i="135"/>
  <c r="R550" i="135" s="1"/>
  <c r="P550" i="135"/>
  <c r="Q550" i="135"/>
  <c r="W550" i="135"/>
  <c r="AB550" i="135"/>
  <c r="AC550" i="135" s="1"/>
  <c r="AI550" i="135"/>
  <c r="AJ550" i="135" s="1"/>
  <c r="F551" i="135"/>
  <c r="M551" i="135"/>
  <c r="N551" i="135"/>
  <c r="O551" i="135"/>
  <c r="P551" i="135"/>
  <c r="Q551" i="135"/>
  <c r="R551" i="135"/>
  <c r="W551" i="135"/>
  <c r="AB551" i="135"/>
  <c r="AC551" i="135" s="1"/>
  <c r="AI551" i="135"/>
  <c r="AJ551" i="135" s="1"/>
  <c r="F552" i="135"/>
  <c r="M552" i="135"/>
  <c r="N552" i="135"/>
  <c r="O552" i="135"/>
  <c r="P552" i="135"/>
  <c r="Q552" i="135"/>
  <c r="R552" i="135"/>
  <c r="W552" i="135"/>
  <c r="X552" i="135" s="1"/>
  <c r="AB552" i="135"/>
  <c r="AC552" i="135" s="1"/>
  <c r="AI552" i="135"/>
  <c r="AJ552" i="135" s="1"/>
  <c r="F553" i="135"/>
  <c r="M553" i="135"/>
  <c r="N553" i="135"/>
  <c r="O553" i="135"/>
  <c r="P553" i="135"/>
  <c r="Q553" i="135"/>
  <c r="R553" i="135"/>
  <c r="W553" i="135"/>
  <c r="AB553" i="135"/>
  <c r="AC553" i="135" s="1"/>
  <c r="AI553" i="135"/>
  <c r="AJ553" i="135" s="1"/>
  <c r="F554" i="135"/>
  <c r="F554" i="139" s="1"/>
  <c r="M554" i="135"/>
  <c r="N554" i="135"/>
  <c r="O554" i="135"/>
  <c r="R554" i="135" s="1"/>
  <c r="P554" i="135"/>
  <c r="Q554" i="135"/>
  <c r="W554" i="135"/>
  <c r="X554" i="135" s="1"/>
  <c r="AB554" i="135"/>
  <c r="AC554" i="135" s="1"/>
  <c r="AI554" i="135"/>
  <c r="AJ554" i="135" s="1"/>
  <c r="F555" i="135"/>
  <c r="M555" i="135"/>
  <c r="N555" i="135"/>
  <c r="O555" i="135"/>
  <c r="P555" i="135"/>
  <c r="Q555" i="135"/>
  <c r="R555" i="135"/>
  <c r="W555" i="135"/>
  <c r="AB555" i="135"/>
  <c r="AC555" i="135" s="1"/>
  <c r="AI555" i="135"/>
  <c r="AJ555" i="135" s="1"/>
  <c r="F556" i="135"/>
  <c r="M556" i="135"/>
  <c r="N556" i="135"/>
  <c r="O556" i="135"/>
  <c r="R556" i="135" s="1"/>
  <c r="P556" i="135"/>
  <c r="Q556" i="135"/>
  <c r="W556" i="135"/>
  <c r="X556" i="135" s="1"/>
  <c r="AB556" i="135"/>
  <c r="AC556" i="135" s="1"/>
  <c r="AI556" i="135"/>
  <c r="AJ556" i="135" s="1"/>
  <c r="F557" i="135"/>
  <c r="F557" i="139" s="1"/>
  <c r="M557" i="135"/>
  <c r="N557" i="135"/>
  <c r="O557" i="135"/>
  <c r="P557" i="135"/>
  <c r="Q557" i="135"/>
  <c r="R557" i="135"/>
  <c r="W557" i="135"/>
  <c r="AB557" i="135"/>
  <c r="AC557" i="135" s="1"/>
  <c r="AI557" i="135"/>
  <c r="AJ557" i="135" s="1"/>
  <c r="F558" i="135"/>
  <c r="M558" i="135"/>
  <c r="N558" i="135"/>
  <c r="O558" i="135"/>
  <c r="R558" i="135" s="1"/>
  <c r="P558" i="135"/>
  <c r="Q558" i="135"/>
  <c r="W558" i="135"/>
  <c r="X558" i="135" s="1"/>
  <c r="AB558" i="135"/>
  <c r="AC558" i="135" s="1"/>
  <c r="AI558" i="135"/>
  <c r="AJ558" i="135" s="1"/>
  <c r="F559" i="135"/>
  <c r="F559" i="139" s="1"/>
  <c r="M559" i="135"/>
  <c r="N559" i="135"/>
  <c r="O559" i="135"/>
  <c r="R559" i="135" s="1"/>
  <c r="P559" i="135"/>
  <c r="Q559" i="135"/>
  <c r="W559" i="135"/>
  <c r="X559" i="135" s="1"/>
  <c r="AB559" i="135"/>
  <c r="AI559" i="135"/>
  <c r="AJ559" i="135" s="1"/>
  <c r="F560" i="135"/>
  <c r="M560" i="135"/>
  <c r="N560" i="135"/>
  <c r="O560" i="135"/>
  <c r="R560" i="135" s="1"/>
  <c r="P560" i="135"/>
  <c r="Q560" i="135"/>
  <c r="W560" i="135"/>
  <c r="AB560" i="135"/>
  <c r="AC560" i="135" s="1"/>
  <c r="AI560" i="135"/>
  <c r="AJ560" i="135" s="1"/>
  <c r="F561" i="135"/>
  <c r="F561" i="139" s="1"/>
  <c r="M561" i="135"/>
  <c r="N561" i="135"/>
  <c r="O561" i="135"/>
  <c r="R561" i="135" s="1"/>
  <c r="P561" i="135"/>
  <c r="Q561" i="135"/>
  <c r="W561" i="135"/>
  <c r="X561" i="135" s="1"/>
  <c r="AB561" i="135"/>
  <c r="AC561" i="135" s="1"/>
  <c r="AI561" i="135"/>
  <c r="AJ561" i="135" s="1"/>
  <c r="F562" i="135"/>
  <c r="M562" i="135"/>
  <c r="N562" i="135"/>
  <c r="O562" i="135"/>
  <c r="R562" i="135" s="1"/>
  <c r="P562" i="135"/>
  <c r="Q562" i="135"/>
  <c r="W562" i="135"/>
  <c r="X562" i="135" s="1"/>
  <c r="AB562" i="135"/>
  <c r="AC562" i="135" s="1"/>
  <c r="AI562" i="135"/>
  <c r="AJ562" i="135" s="1"/>
  <c r="F563" i="135"/>
  <c r="M563" i="135"/>
  <c r="N563" i="135"/>
  <c r="O563" i="135"/>
  <c r="R563" i="135" s="1"/>
  <c r="P563" i="135"/>
  <c r="Q563" i="135"/>
  <c r="W563" i="135"/>
  <c r="X563" i="135" s="1"/>
  <c r="AB563" i="135"/>
  <c r="AC563" i="135" s="1"/>
  <c r="AI563" i="135"/>
  <c r="AJ563" i="135" s="1"/>
  <c r="F564" i="135"/>
  <c r="M564" i="135"/>
  <c r="N564" i="135"/>
  <c r="O564" i="135"/>
  <c r="R564" i="135" s="1"/>
  <c r="P564" i="135"/>
  <c r="Q564" i="135"/>
  <c r="W564" i="135"/>
  <c r="AB564" i="135"/>
  <c r="AC564" i="135" s="1"/>
  <c r="AI564" i="135"/>
  <c r="AJ564" i="135" s="1"/>
  <c r="F565" i="135"/>
  <c r="M565" i="135"/>
  <c r="N565" i="135"/>
  <c r="O565" i="135"/>
  <c r="P565" i="135"/>
  <c r="Q565" i="135"/>
  <c r="R565" i="135"/>
  <c r="W565" i="135"/>
  <c r="X565" i="135" s="1"/>
  <c r="AB565" i="135"/>
  <c r="AC565" i="135" s="1"/>
  <c r="AI565" i="135"/>
  <c r="AJ565" i="135" s="1"/>
  <c r="F566" i="135"/>
  <c r="F564" i="134" s="1"/>
  <c r="M566" i="135"/>
  <c r="N566" i="135"/>
  <c r="O566" i="135"/>
  <c r="R566" i="135" s="1"/>
  <c r="P566" i="135"/>
  <c r="Q566" i="135"/>
  <c r="W566" i="135"/>
  <c r="X566" i="135" s="1"/>
  <c r="AB566" i="135"/>
  <c r="AC566" i="135" s="1"/>
  <c r="AI566" i="135"/>
  <c r="AJ566" i="135" s="1"/>
  <c r="F567" i="135"/>
  <c r="M567" i="135"/>
  <c r="N567" i="135"/>
  <c r="O567" i="135"/>
  <c r="R567" i="135" s="1"/>
  <c r="P567" i="135"/>
  <c r="Q567" i="135"/>
  <c r="W567" i="135"/>
  <c r="AB567" i="135"/>
  <c r="AC567" i="135" s="1"/>
  <c r="AI567" i="135"/>
  <c r="AJ567" i="135" s="1"/>
  <c r="F568" i="135"/>
  <c r="F568" i="139" s="1"/>
  <c r="M568" i="135"/>
  <c r="N568" i="135"/>
  <c r="O568" i="135"/>
  <c r="P568" i="135"/>
  <c r="Q568" i="135"/>
  <c r="R568" i="135"/>
  <c r="W568" i="135"/>
  <c r="X568" i="135" s="1"/>
  <c r="AB568" i="135"/>
  <c r="AC568" i="135" s="1"/>
  <c r="AI568" i="135"/>
  <c r="AJ568" i="135" s="1"/>
  <c r="F569" i="135"/>
  <c r="M569" i="135"/>
  <c r="N569" i="135"/>
  <c r="O569" i="135"/>
  <c r="P569" i="135"/>
  <c r="Q569" i="135"/>
  <c r="R569" i="135"/>
  <c r="W569" i="135"/>
  <c r="X569" i="135"/>
  <c r="AB569" i="135"/>
  <c r="AC569" i="135" s="1"/>
  <c r="AI569" i="135"/>
  <c r="AJ569" i="135" s="1"/>
  <c r="F570" i="135"/>
  <c r="F570" i="139" s="1"/>
  <c r="M570" i="135"/>
  <c r="N570" i="135"/>
  <c r="O570" i="135"/>
  <c r="P570" i="135"/>
  <c r="Q570" i="135"/>
  <c r="R570" i="135"/>
  <c r="W570" i="135"/>
  <c r="X570" i="135" s="1"/>
  <c r="AB570" i="135"/>
  <c r="AC570" i="135" s="1"/>
  <c r="AI570" i="135"/>
  <c r="AJ570" i="135" s="1"/>
  <c r="F571" i="135"/>
  <c r="M571" i="135"/>
  <c r="N571" i="135"/>
  <c r="O571" i="135"/>
  <c r="R571" i="135" s="1"/>
  <c r="P571" i="135"/>
  <c r="Q571" i="135"/>
  <c r="W571" i="135"/>
  <c r="X571" i="135" s="1"/>
  <c r="AB571" i="135"/>
  <c r="AI571" i="135"/>
  <c r="AJ571" i="135" s="1"/>
  <c r="F572" i="135"/>
  <c r="F570" i="134" s="1"/>
  <c r="M572" i="135"/>
  <c r="N572" i="135"/>
  <c r="O572" i="135"/>
  <c r="P572" i="135"/>
  <c r="Q572" i="135"/>
  <c r="R572" i="135"/>
  <c r="W572" i="135"/>
  <c r="AB572" i="135"/>
  <c r="AC572" i="135" s="1"/>
  <c r="AI572" i="135"/>
  <c r="AJ572" i="135" s="1"/>
  <c r="F573" i="135"/>
  <c r="F573" i="139" s="1"/>
  <c r="M573" i="135"/>
  <c r="N573" i="135"/>
  <c r="O573" i="135"/>
  <c r="P573" i="135"/>
  <c r="Q573" i="135"/>
  <c r="W573" i="135"/>
  <c r="X573" i="135" s="1"/>
  <c r="AB573" i="135"/>
  <c r="AC573" i="135" s="1"/>
  <c r="AI573" i="135"/>
  <c r="AJ573" i="135" s="1"/>
  <c r="F574" i="135"/>
  <c r="F572" i="134" s="1"/>
  <c r="M574" i="135"/>
  <c r="N574" i="135"/>
  <c r="O574" i="135"/>
  <c r="R574" i="135" s="1"/>
  <c r="P574" i="135"/>
  <c r="Q574" i="135"/>
  <c r="W574" i="135"/>
  <c r="AB574" i="135"/>
  <c r="AC574" i="135" s="1"/>
  <c r="AI574" i="135"/>
  <c r="AJ574" i="135" s="1"/>
  <c r="F575" i="135"/>
  <c r="F575" i="139" s="1"/>
  <c r="M575" i="135"/>
  <c r="N575" i="135"/>
  <c r="O575" i="135"/>
  <c r="R575" i="135" s="1"/>
  <c r="P575" i="135"/>
  <c r="Q575" i="135"/>
  <c r="W575" i="135"/>
  <c r="X575" i="135" s="1"/>
  <c r="AB575" i="135"/>
  <c r="AC575" i="135" s="1"/>
  <c r="AI575" i="135"/>
  <c r="AJ575" i="135" s="1"/>
  <c r="F576" i="135"/>
  <c r="M576" i="135"/>
  <c r="N576" i="135"/>
  <c r="O576" i="135"/>
  <c r="R576" i="135" s="1"/>
  <c r="P576" i="135"/>
  <c r="Q576" i="135"/>
  <c r="W576" i="135"/>
  <c r="X576" i="135" s="1"/>
  <c r="AB576" i="135"/>
  <c r="AC576" i="135" s="1"/>
  <c r="AI576" i="135"/>
  <c r="AJ576" i="135" s="1"/>
  <c r="F577" i="135"/>
  <c r="F575" i="134" s="1"/>
  <c r="M577" i="135"/>
  <c r="N577" i="135"/>
  <c r="O577" i="135"/>
  <c r="R577" i="135" s="1"/>
  <c r="P577" i="135"/>
  <c r="Q577" i="135"/>
  <c r="W577" i="135"/>
  <c r="AB577" i="135"/>
  <c r="AC577" i="135" s="1"/>
  <c r="AI577" i="135"/>
  <c r="AJ577" i="135" s="1"/>
  <c r="F578" i="135"/>
  <c r="M578" i="135"/>
  <c r="N578" i="135"/>
  <c r="O578" i="135"/>
  <c r="P578" i="135"/>
  <c r="Q578" i="135"/>
  <c r="R578" i="135"/>
  <c r="W578" i="135"/>
  <c r="X578" i="135" s="1"/>
  <c r="AB578" i="135"/>
  <c r="AC578" i="135" s="1"/>
  <c r="AI578" i="135"/>
  <c r="AJ578" i="135" s="1"/>
  <c r="F579" i="135"/>
  <c r="F579" i="139" s="1"/>
  <c r="M579" i="135"/>
  <c r="N579" i="135"/>
  <c r="O579" i="135"/>
  <c r="P579" i="135"/>
  <c r="Q579" i="135"/>
  <c r="R579" i="135"/>
  <c r="W579" i="135"/>
  <c r="X579" i="135" s="1"/>
  <c r="AB579" i="135"/>
  <c r="AI579" i="135"/>
  <c r="AJ579" i="135" s="1"/>
  <c r="F580" i="135"/>
  <c r="M580" i="135"/>
  <c r="N580" i="135"/>
  <c r="O580" i="135"/>
  <c r="P580" i="135"/>
  <c r="Q580" i="135"/>
  <c r="R580" i="135"/>
  <c r="W580" i="135"/>
  <c r="X580" i="135" s="1"/>
  <c r="AB580" i="135"/>
  <c r="AC580" i="135" s="1"/>
  <c r="AI580" i="135"/>
  <c r="AJ580" i="135" s="1"/>
  <c r="F581" i="135"/>
  <c r="M581" i="135"/>
  <c r="N581" i="135"/>
  <c r="O581" i="135"/>
  <c r="P581" i="135"/>
  <c r="R581" i="135" s="1"/>
  <c r="Q581" i="135"/>
  <c r="W581" i="135"/>
  <c r="X581" i="135" s="1"/>
  <c r="AB581" i="135"/>
  <c r="AC581" i="135" s="1"/>
  <c r="AI581" i="135"/>
  <c r="AJ581" i="135" s="1"/>
  <c r="F582" i="135"/>
  <c r="F582" i="139" s="1"/>
  <c r="M582" i="135"/>
  <c r="N582" i="135"/>
  <c r="O582" i="135"/>
  <c r="P582" i="135"/>
  <c r="Q582" i="135"/>
  <c r="R582" i="135"/>
  <c r="W582" i="135"/>
  <c r="X582" i="135" s="1"/>
  <c r="AB582" i="135"/>
  <c r="AC582" i="135" s="1"/>
  <c r="AI582" i="135"/>
  <c r="AJ582" i="135" s="1"/>
  <c r="F583" i="135"/>
  <c r="M583" i="135"/>
  <c r="N583" i="135"/>
  <c r="O583" i="135"/>
  <c r="P583" i="135"/>
  <c r="Q583" i="135"/>
  <c r="R583" i="135"/>
  <c r="W583" i="135"/>
  <c r="AB583" i="135"/>
  <c r="AC583" i="135" s="1"/>
  <c r="AI583" i="135"/>
  <c r="AJ583" i="135" s="1"/>
  <c r="F584" i="135"/>
  <c r="F584" i="139" s="1"/>
  <c r="M584" i="135"/>
  <c r="N584" i="135"/>
  <c r="O584" i="135"/>
  <c r="R584" i="135" s="1"/>
  <c r="P584" i="135"/>
  <c r="Q584" i="135"/>
  <c r="W584" i="135"/>
  <c r="AB584" i="135"/>
  <c r="AC584" i="135" s="1"/>
  <c r="AI584" i="135"/>
  <c r="AJ584" i="135" s="1"/>
  <c r="F585" i="135"/>
  <c r="M585" i="135"/>
  <c r="N585" i="135"/>
  <c r="O585" i="135"/>
  <c r="P585" i="135"/>
  <c r="Q585" i="135"/>
  <c r="R585" i="135"/>
  <c r="W585" i="135"/>
  <c r="X585" i="135" s="1"/>
  <c r="AB585" i="135"/>
  <c r="AI585" i="135"/>
  <c r="AJ585" i="135" s="1"/>
  <c r="F586" i="135"/>
  <c r="M586" i="135"/>
  <c r="N586" i="135"/>
  <c r="O586" i="135"/>
  <c r="R586" i="135" s="1"/>
  <c r="P586" i="135"/>
  <c r="Q586" i="135"/>
  <c r="W586" i="135"/>
  <c r="X586" i="135" s="1"/>
  <c r="AB586" i="135"/>
  <c r="AC586" i="135" s="1"/>
  <c r="AI586" i="135"/>
  <c r="AJ586" i="135" s="1"/>
  <c r="F587" i="135"/>
  <c r="M587" i="135"/>
  <c r="N587" i="135"/>
  <c r="O587" i="135"/>
  <c r="R587" i="135" s="1"/>
  <c r="P587" i="135"/>
  <c r="Q587" i="135"/>
  <c r="W587" i="135"/>
  <c r="AB587" i="135"/>
  <c r="AC587" i="135" s="1"/>
  <c r="AI587" i="135"/>
  <c r="AJ587" i="135" s="1"/>
  <c r="F588" i="135"/>
  <c r="F588" i="139" s="1"/>
  <c r="M588" i="135"/>
  <c r="N588" i="135"/>
  <c r="O588" i="135"/>
  <c r="R588" i="135" s="1"/>
  <c r="P588" i="135"/>
  <c r="Q588" i="135"/>
  <c r="W588" i="135"/>
  <c r="X588" i="135" s="1"/>
  <c r="AB588" i="135"/>
  <c r="AC588" i="135" s="1"/>
  <c r="AI588" i="135"/>
  <c r="AJ588" i="135" s="1"/>
  <c r="F589" i="135"/>
  <c r="M589" i="135"/>
  <c r="N589" i="135"/>
  <c r="O589" i="135"/>
  <c r="P589" i="135"/>
  <c r="Q589" i="135"/>
  <c r="R589" i="135"/>
  <c r="W589" i="135"/>
  <c r="X589" i="135" s="1"/>
  <c r="AB589" i="135"/>
  <c r="AC589" i="135" s="1"/>
  <c r="AI589" i="135"/>
  <c r="AJ589" i="135" s="1"/>
  <c r="F590" i="135"/>
  <c r="M590" i="135"/>
  <c r="N590" i="135"/>
  <c r="O590" i="135"/>
  <c r="R590" i="135" s="1"/>
  <c r="P590" i="135"/>
  <c r="Q590" i="135"/>
  <c r="W590" i="135"/>
  <c r="X590" i="135" s="1"/>
  <c r="AB590" i="135"/>
  <c r="AC590" i="135" s="1"/>
  <c r="AI590" i="135"/>
  <c r="AJ590" i="135" s="1"/>
  <c r="F591" i="135"/>
  <c r="M591" i="135"/>
  <c r="N591" i="135"/>
  <c r="O591" i="135"/>
  <c r="P591" i="135"/>
  <c r="Q591" i="135"/>
  <c r="R591" i="135"/>
  <c r="W591" i="135"/>
  <c r="X591" i="135" s="1"/>
  <c r="AB591" i="135"/>
  <c r="AI591" i="135"/>
  <c r="AJ591" i="135" s="1"/>
  <c r="F592" i="135"/>
  <c r="M592" i="135"/>
  <c r="N592" i="135"/>
  <c r="O592" i="135"/>
  <c r="R592" i="135" s="1"/>
  <c r="P592" i="135"/>
  <c r="Q592" i="135"/>
  <c r="W592" i="135"/>
  <c r="X592" i="135" s="1"/>
  <c r="AB592" i="135"/>
  <c r="AC592" i="135" s="1"/>
  <c r="AI592" i="135"/>
  <c r="AJ592" i="135" s="1"/>
  <c r="F593" i="135"/>
  <c r="M593" i="135"/>
  <c r="N593" i="135"/>
  <c r="O593" i="135"/>
  <c r="P593" i="135"/>
  <c r="Q593" i="135"/>
  <c r="R593" i="135"/>
  <c r="W593" i="135"/>
  <c r="X593" i="135" s="1"/>
  <c r="AB593" i="135"/>
  <c r="AC593" i="135" s="1"/>
  <c r="AI593" i="135"/>
  <c r="AJ593" i="135" s="1"/>
  <c r="M594" i="135"/>
  <c r="N594" i="135"/>
  <c r="O594" i="135"/>
  <c r="P594" i="135"/>
  <c r="R594" i="135" s="1"/>
  <c r="Q594" i="135"/>
  <c r="W594" i="135"/>
  <c r="AB594" i="135"/>
  <c r="AC594" i="135" s="1"/>
  <c r="AI594" i="135"/>
  <c r="AJ594" i="135" s="1"/>
  <c r="F595" i="135"/>
  <c r="F593" i="134" s="1"/>
  <c r="M595" i="135"/>
  <c r="N595" i="135"/>
  <c r="O595" i="135"/>
  <c r="P595" i="135"/>
  <c r="R595" i="135" s="1"/>
  <c r="Q595" i="135"/>
  <c r="W595" i="135"/>
  <c r="X595" i="135" s="1"/>
  <c r="AB595" i="135"/>
  <c r="AC595" i="135" s="1"/>
  <c r="AI595" i="135"/>
  <c r="AJ595" i="135" s="1"/>
  <c r="M596" i="135"/>
  <c r="N596" i="135"/>
  <c r="O596" i="135"/>
  <c r="P596" i="135"/>
  <c r="Q596" i="135"/>
  <c r="R596" i="135"/>
  <c r="W596" i="135"/>
  <c r="X596" i="135" s="1"/>
  <c r="AB596" i="135"/>
  <c r="AC596" i="135" s="1"/>
  <c r="AI596" i="135"/>
  <c r="AJ596" i="135" s="1"/>
  <c r="F597" i="135"/>
  <c r="M597" i="135"/>
  <c r="N597" i="135"/>
  <c r="O597" i="135"/>
  <c r="P597" i="135"/>
  <c r="Q597" i="135"/>
  <c r="R597" i="135"/>
  <c r="W597" i="135"/>
  <c r="X597" i="135" s="1"/>
  <c r="AB597" i="135"/>
  <c r="AC597" i="135" s="1"/>
  <c r="AI597" i="135"/>
  <c r="AJ597" i="135" s="1"/>
  <c r="F598" i="135"/>
  <c r="M598" i="135"/>
  <c r="N598" i="135"/>
  <c r="O598" i="135"/>
  <c r="P598" i="135"/>
  <c r="R598" i="135" s="1"/>
  <c r="Q598" i="135"/>
  <c r="W598" i="135"/>
  <c r="X598" i="135" s="1"/>
  <c r="AB598" i="135"/>
  <c r="AC598" i="135" s="1"/>
  <c r="AI598" i="135"/>
  <c r="AJ598" i="135" s="1"/>
  <c r="F597" i="134"/>
  <c r="M599" i="135"/>
  <c r="N599" i="135"/>
  <c r="O599" i="135"/>
  <c r="P599" i="135"/>
  <c r="Q599" i="135"/>
  <c r="R599" i="135"/>
  <c r="W599" i="135"/>
  <c r="AB599" i="135"/>
  <c r="AC599" i="135" s="1"/>
  <c r="AI599" i="135"/>
  <c r="AJ599" i="135" s="1"/>
  <c r="F600" i="135"/>
  <c r="M600" i="135"/>
  <c r="N600" i="135"/>
  <c r="O600" i="135"/>
  <c r="P600" i="135"/>
  <c r="R600" i="135" s="1"/>
  <c r="Q600" i="135"/>
  <c r="W600" i="135"/>
  <c r="X600" i="135" s="1"/>
  <c r="AB600" i="135"/>
  <c r="AC600" i="135" s="1"/>
  <c r="AI600" i="135"/>
  <c r="AJ600" i="135" s="1"/>
  <c r="F601" i="135"/>
  <c r="F599" i="134" s="1"/>
  <c r="M601" i="135"/>
  <c r="N601" i="135"/>
  <c r="O601" i="135"/>
  <c r="R601" i="135" s="1"/>
  <c r="P601" i="135"/>
  <c r="Q601" i="135"/>
  <c r="W601" i="135"/>
  <c r="X601" i="135" s="1"/>
  <c r="AB601" i="135"/>
  <c r="AC601" i="135" s="1"/>
  <c r="AI601" i="135"/>
  <c r="AJ601" i="135" s="1"/>
  <c r="F602" i="139"/>
  <c r="N602" i="135"/>
  <c r="O602" i="135"/>
  <c r="P602" i="135"/>
  <c r="R602" i="135" s="1"/>
  <c r="Q602" i="135"/>
  <c r="W602" i="135"/>
  <c r="X602" i="135" s="1"/>
  <c r="AB602" i="135"/>
  <c r="AC602" i="135" s="1"/>
  <c r="AI602" i="135"/>
  <c r="AJ602" i="135" s="1"/>
  <c r="F603" i="135"/>
  <c r="M603" i="135"/>
  <c r="N603" i="135"/>
  <c r="O603" i="135"/>
  <c r="R603" i="135" s="1"/>
  <c r="P603" i="135"/>
  <c r="Q603" i="135"/>
  <c r="W603" i="135"/>
  <c r="X603" i="135" s="1"/>
  <c r="AB603" i="135"/>
  <c r="AC603" i="135" s="1"/>
  <c r="AI603" i="135"/>
  <c r="AJ603" i="135" s="1"/>
  <c r="F604" i="135"/>
  <c r="F604" i="139" s="1"/>
  <c r="M604" i="135"/>
  <c r="N604" i="135"/>
  <c r="O604" i="135"/>
  <c r="P604" i="135"/>
  <c r="Q604" i="135"/>
  <c r="R604" i="135"/>
  <c r="W604" i="135"/>
  <c r="X604" i="135" s="1"/>
  <c r="AB604" i="135"/>
  <c r="AC604" i="135" s="1"/>
  <c r="AI604" i="135"/>
  <c r="AJ604" i="135" s="1"/>
  <c r="F605" i="135"/>
  <c r="F605" i="139" s="1"/>
  <c r="M605" i="135"/>
  <c r="N605" i="135"/>
  <c r="O605" i="135"/>
  <c r="R605" i="135" s="1"/>
  <c r="P605" i="135"/>
  <c r="Q605" i="135"/>
  <c r="W605" i="135"/>
  <c r="AB605" i="135"/>
  <c r="AC605" i="135" s="1"/>
  <c r="AI605" i="135"/>
  <c r="AJ605" i="135" s="1"/>
  <c r="F606" i="135"/>
  <c r="M606" i="135"/>
  <c r="N606" i="135"/>
  <c r="O606" i="135"/>
  <c r="P606" i="135"/>
  <c r="Q606" i="135"/>
  <c r="R606" i="135"/>
  <c r="W606" i="135"/>
  <c r="AB606" i="135"/>
  <c r="AC606" i="135" s="1"/>
  <c r="AI606" i="135"/>
  <c r="AJ606" i="135" s="1"/>
  <c r="F607" i="139"/>
  <c r="M607" i="135"/>
  <c r="N607" i="135"/>
  <c r="O607" i="135"/>
  <c r="R607" i="135" s="1"/>
  <c r="P607" i="135"/>
  <c r="Q607" i="135"/>
  <c r="W607" i="135"/>
  <c r="AB607" i="135"/>
  <c r="AC607" i="135" s="1"/>
  <c r="AI607" i="135"/>
  <c r="AJ607" i="135" s="1"/>
  <c r="F608" i="135"/>
  <c r="F609" i="135" s="1"/>
  <c r="M608" i="135"/>
  <c r="N608" i="135"/>
  <c r="O608" i="135"/>
  <c r="P608" i="135"/>
  <c r="Q608" i="135"/>
  <c r="R608" i="135"/>
  <c r="W608" i="135"/>
  <c r="X608" i="135" s="1"/>
  <c r="AB608" i="135"/>
  <c r="AC608" i="135" s="1"/>
  <c r="AI608" i="135"/>
  <c r="AJ608" i="135" s="1"/>
  <c r="M609" i="135"/>
  <c r="N609" i="135"/>
  <c r="O609" i="135"/>
  <c r="R609" i="135" s="1"/>
  <c r="P609" i="135"/>
  <c r="Q609" i="135"/>
  <c r="W609" i="135"/>
  <c r="X609" i="135" s="1"/>
  <c r="AB609" i="135"/>
  <c r="AC609" i="135" s="1"/>
  <c r="AI609" i="135"/>
  <c r="AJ609" i="135" s="1"/>
  <c r="M610" i="135"/>
  <c r="N610" i="135"/>
  <c r="O610" i="135"/>
  <c r="R610" i="135" s="1"/>
  <c r="P610" i="135"/>
  <c r="Q610" i="135"/>
  <c r="W610" i="135"/>
  <c r="X610" i="135" s="1"/>
  <c r="AB610" i="135"/>
  <c r="AC610" i="135" s="1"/>
  <c r="AI610" i="135"/>
  <c r="AJ610" i="135" s="1"/>
  <c r="M611" i="135"/>
  <c r="N611" i="135"/>
  <c r="O611" i="135"/>
  <c r="P611" i="135"/>
  <c r="Q611" i="135"/>
  <c r="R611" i="135"/>
  <c r="W611" i="135"/>
  <c r="X611" i="135" s="1"/>
  <c r="AB611" i="135"/>
  <c r="AC611" i="135" s="1"/>
  <c r="AI611" i="135"/>
  <c r="AJ611" i="135" s="1"/>
  <c r="F612" i="135"/>
  <c r="M612" i="135"/>
  <c r="N612" i="135"/>
  <c r="O612" i="135"/>
  <c r="P612" i="135"/>
  <c r="Q612" i="135"/>
  <c r="R612" i="135" s="1"/>
  <c r="W612" i="135"/>
  <c r="X612" i="135" s="1"/>
  <c r="AB612" i="135"/>
  <c r="AC612" i="135" s="1"/>
  <c r="AI612" i="135"/>
  <c r="AJ612" i="135" s="1"/>
  <c r="F613" i="135"/>
  <c r="M613" i="135"/>
  <c r="N613" i="135"/>
  <c r="O613" i="135"/>
  <c r="P613" i="135"/>
  <c r="Q613" i="135"/>
  <c r="R613" i="135"/>
  <c r="W613" i="135"/>
  <c r="X613" i="135"/>
  <c r="AB613" i="135"/>
  <c r="AC613" i="135" s="1"/>
  <c r="AI613" i="135"/>
  <c r="AJ613" i="135" s="1"/>
  <c r="F614" i="135"/>
  <c r="F615" i="135" s="1"/>
  <c r="M614" i="135"/>
  <c r="N614" i="135"/>
  <c r="O614" i="135"/>
  <c r="R614" i="135" s="1"/>
  <c r="P614" i="135"/>
  <c r="Q614" i="135"/>
  <c r="W614" i="135"/>
  <c r="AB614" i="135"/>
  <c r="AC614" i="135" s="1"/>
  <c r="AI614" i="135"/>
  <c r="AJ614" i="135" s="1"/>
  <c r="M615" i="135"/>
  <c r="N615" i="135"/>
  <c r="O615" i="135"/>
  <c r="P615" i="135"/>
  <c r="Q615" i="135"/>
  <c r="R615" i="135"/>
  <c r="W615" i="135"/>
  <c r="X615" i="135" s="1"/>
  <c r="AB615" i="135"/>
  <c r="AC615" i="135" s="1"/>
  <c r="AI615" i="135"/>
  <c r="AJ615" i="135" s="1"/>
  <c r="F616" i="135"/>
  <c r="F616" i="139" s="1"/>
  <c r="M616" i="135"/>
  <c r="N616" i="135"/>
  <c r="O616" i="135"/>
  <c r="R616" i="135" s="1"/>
  <c r="P616" i="135"/>
  <c r="Q616" i="135"/>
  <c r="W616" i="135"/>
  <c r="X616" i="135" s="1"/>
  <c r="AB616" i="135"/>
  <c r="AC616" i="135" s="1"/>
  <c r="AI616" i="135"/>
  <c r="AJ616" i="135" s="1"/>
  <c r="F617" i="135"/>
  <c r="M617" i="135"/>
  <c r="N617" i="135"/>
  <c r="O617" i="135"/>
  <c r="P617" i="135"/>
  <c r="Q617" i="135"/>
  <c r="R617" i="135"/>
  <c r="W617" i="135"/>
  <c r="AB617" i="135"/>
  <c r="AC617" i="135" s="1"/>
  <c r="AI617" i="135"/>
  <c r="AJ617" i="135" s="1"/>
  <c r="F618" i="135"/>
  <c r="M618" i="135"/>
  <c r="N618" i="135"/>
  <c r="O618" i="135"/>
  <c r="R618" i="135" s="1"/>
  <c r="P618" i="135"/>
  <c r="Q618" i="135"/>
  <c r="W618" i="135"/>
  <c r="X618" i="135" s="1"/>
  <c r="AB618" i="135"/>
  <c r="AC618" i="135" s="1"/>
  <c r="AI618" i="135"/>
  <c r="AJ618" i="135" s="1"/>
  <c r="F619" i="135"/>
  <c r="F617" i="134" s="1"/>
  <c r="M619" i="135"/>
  <c r="N619" i="135"/>
  <c r="O619" i="135"/>
  <c r="R619" i="135" s="1"/>
  <c r="P619" i="135"/>
  <c r="Q619" i="135"/>
  <c r="W619" i="135"/>
  <c r="AB619" i="135"/>
  <c r="AC619" i="135" s="1"/>
  <c r="AI619" i="135"/>
  <c r="AJ619" i="135" s="1"/>
  <c r="F620" i="135"/>
  <c r="F620" i="139" s="1"/>
  <c r="M620" i="135"/>
  <c r="N620" i="135"/>
  <c r="O620" i="135"/>
  <c r="R620" i="135" s="1"/>
  <c r="P620" i="135"/>
  <c r="Q620" i="135"/>
  <c r="W620" i="135"/>
  <c r="AB620" i="135"/>
  <c r="AC620" i="135" s="1"/>
  <c r="AI620" i="135"/>
  <c r="AJ620" i="135" s="1"/>
  <c r="F621" i="135"/>
  <c r="F621" i="139" s="1"/>
  <c r="M621" i="135"/>
  <c r="N621" i="135"/>
  <c r="O621" i="135"/>
  <c r="R621" i="135" s="1"/>
  <c r="P621" i="135"/>
  <c r="Q621" i="135"/>
  <c r="W621" i="135"/>
  <c r="AB621" i="135"/>
  <c r="AC621" i="135" s="1"/>
  <c r="AI621" i="135"/>
  <c r="AJ621" i="135" s="1"/>
  <c r="F622" i="135"/>
  <c r="M622" i="135"/>
  <c r="N622" i="135"/>
  <c r="O622" i="135"/>
  <c r="P622" i="135"/>
  <c r="Q622" i="135"/>
  <c r="R622" i="135"/>
  <c r="W622" i="135"/>
  <c r="X622" i="135" s="1"/>
  <c r="AB622" i="135"/>
  <c r="AC622" i="135" s="1"/>
  <c r="AI622" i="135"/>
  <c r="AJ622" i="135" s="1"/>
  <c r="F623" i="135"/>
  <c r="M623" i="135"/>
  <c r="N623" i="135"/>
  <c r="O623" i="135"/>
  <c r="P623" i="135"/>
  <c r="Q623" i="135"/>
  <c r="R623" i="135"/>
  <c r="W623" i="135"/>
  <c r="X623" i="135" s="1"/>
  <c r="AB623" i="135"/>
  <c r="AI623" i="135"/>
  <c r="AJ623" i="135" s="1"/>
  <c r="F624" i="135"/>
  <c r="M624" i="135"/>
  <c r="N624" i="135"/>
  <c r="O624" i="135"/>
  <c r="R624" i="135" s="1"/>
  <c r="P624" i="135"/>
  <c r="Q624" i="135"/>
  <c r="W624" i="135"/>
  <c r="AB624" i="135"/>
  <c r="AC624" i="135" s="1"/>
  <c r="AI624" i="135"/>
  <c r="AJ624" i="135" s="1"/>
  <c r="F625" i="135"/>
  <c r="F625" i="139" s="1"/>
  <c r="M625" i="135"/>
  <c r="N625" i="135"/>
  <c r="O625" i="135"/>
  <c r="P625" i="135"/>
  <c r="R625" i="135" s="1"/>
  <c r="Q625" i="135"/>
  <c r="W625" i="135"/>
  <c r="X625" i="135" s="1"/>
  <c r="AB625" i="135"/>
  <c r="AC625" i="135" s="1"/>
  <c r="AI625" i="135"/>
  <c r="AJ625" i="135" s="1"/>
  <c r="F626" i="135"/>
  <c r="M626" i="135"/>
  <c r="N626" i="135"/>
  <c r="O626" i="135"/>
  <c r="P626" i="135"/>
  <c r="Q626" i="135"/>
  <c r="R626" i="135"/>
  <c r="W626" i="135"/>
  <c r="X626" i="135" s="1"/>
  <c r="AB626" i="135"/>
  <c r="AC626" i="135" s="1"/>
  <c r="AI626" i="135"/>
  <c r="AJ626" i="135" s="1"/>
  <c r="F627" i="135"/>
  <c r="F627" i="139" s="1"/>
  <c r="M627" i="135"/>
  <c r="N627" i="135"/>
  <c r="O627" i="135"/>
  <c r="P627" i="135"/>
  <c r="Q627" i="135"/>
  <c r="R627" i="135"/>
  <c r="W627" i="135"/>
  <c r="AB627" i="135"/>
  <c r="AC627" i="135" s="1"/>
  <c r="AI627" i="135"/>
  <c r="AJ627" i="135" s="1"/>
  <c r="F628" i="135"/>
  <c r="M628" i="135"/>
  <c r="N628" i="135"/>
  <c r="O628" i="135"/>
  <c r="R628" i="135" s="1"/>
  <c r="P628" i="135"/>
  <c r="Q628" i="135"/>
  <c r="W628" i="135"/>
  <c r="X628" i="135" s="1"/>
  <c r="AB628" i="135"/>
  <c r="AC628" i="135" s="1"/>
  <c r="AI628" i="135"/>
  <c r="AJ628" i="135" s="1"/>
  <c r="M629" i="135"/>
  <c r="N629" i="135"/>
  <c r="O629" i="135"/>
  <c r="R629" i="135" s="1"/>
  <c r="P629" i="135"/>
  <c r="Q629" i="135"/>
  <c r="W629" i="135"/>
  <c r="X629" i="135" s="1"/>
  <c r="AB629" i="135"/>
  <c r="AC629" i="135" s="1"/>
  <c r="AI629" i="135"/>
  <c r="AJ629" i="135" s="1"/>
  <c r="F630" i="135"/>
  <c r="F630" i="139" s="1"/>
  <c r="M630" i="135"/>
  <c r="N630" i="135"/>
  <c r="O630" i="135"/>
  <c r="P630" i="135"/>
  <c r="Q630" i="135"/>
  <c r="R630" i="135"/>
  <c r="W630" i="135"/>
  <c r="X630" i="135" s="1"/>
  <c r="AB630" i="135"/>
  <c r="AC630" i="135" s="1"/>
  <c r="AI630" i="135"/>
  <c r="AJ630" i="135" s="1"/>
  <c r="M631" i="135"/>
  <c r="N631" i="135"/>
  <c r="O631" i="135"/>
  <c r="R631" i="135" s="1"/>
  <c r="P631" i="135"/>
  <c r="Q631" i="135"/>
  <c r="W631" i="135"/>
  <c r="X631" i="135" s="1"/>
  <c r="AB631" i="135"/>
  <c r="AC631" i="135" s="1"/>
  <c r="AI631" i="135"/>
  <c r="AJ631" i="135" s="1"/>
  <c r="F632" i="135"/>
  <c r="M632" i="135"/>
  <c r="N632" i="135"/>
  <c r="O632" i="135"/>
  <c r="R632" i="135" s="1"/>
  <c r="P632" i="135"/>
  <c r="Q632" i="135"/>
  <c r="W632" i="135"/>
  <c r="X632" i="135" s="1"/>
  <c r="AB632" i="135"/>
  <c r="AC632" i="135" s="1"/>
  <c r="AI632" i="135"/>
  <c r="AJ632" i="135" s="1"/>
  <c r="F633" i="135"/>
  <c r="F631" i="134" s="1"/>
  <c r="M633" i="135"/>
  <c r="N633" i="135"/>
  <c r="O633" i="135"/>
  <c r="P633" i="135"/>
  <c r="R633" i="135" s="1"/>
  <c r="Q633" i="135"/>
  <c r="W633" i="135"/>
  <c r="AB633" i="135"/>
  <c r="AC633" i="135" s="1"/>
  <c r="AI633" i="135"/>
  <c r="AJ633" i="135" s="1"/>
  <c r="F634" i="135"/>
  <c r="F634" i="139" s="1"/>
  <c r="M634" i="135"/>
  <c r="N634" i="135"/>
  <c r="O634" i="135"/>
  <c r="R634" i="135" s="1"/>
  <c r="P634" i="135"/>
  <c r="Q634" i="135"/>
  <c r="W634" i="135"/>
  <c r="X634" i="135" s="1"/>
  <c r="AB634" i="135"/>
  <c r="AC634" i="135" s="1"/>
  <c r="AI634" i="135"/>
  <c r="AJ634" i="135" s="1"/>
  <c r="F635" i="135"/>
  <c r="M635" i="135"/>
  <c r="N635" i="135"/>
  <c r="O635" i="135"/>
  <c r="P635" i="135"/>
  <c r="Q635" i="135"/>
  <c r="R635" i="135"/>
  <c r="W635" i="135"/>
  <c r="X635" i="135" s="1"/>
  <c r="AB635" i="135"/>
  <c r="AC635" i="135" s="1"/>
  <c r="AI635" i="135"/>
  <c r="AJ635" i="135" s="1"/>
  <c r="F636" i="135"/>
  <c r="F634" i="134" s="1"/>
  <c r="M636" i="135"/>
  <c r="N636" i="135"/>
  <c r="O636" i="135"/>
  <c r="R636" i="135" s="1"/>
  <c r="P636" i="135"/>
  <c r="Q636" i="135"/>
  <c r="W636" i="135"/>
  <c r="X636" i="135" s="1"/>
  <c r="AB636" i="135"/>
  <c r="AC636" i="135" s="1"/>
  <c r="AI636" i="135"/>
  <c r="AJ636" i="135" s="1"/>
  <c r="F637" i="135"/>
  <c r="M637" i="135"/>
  <c r="N637" i="135"/>
  <c r="O637" i="135"/>
  <c r="R637" i="135" s="1"/>
  <c r="P637" i="135"/>
  <c r="Q637" i="135"/>
  <c r="W637" i="135"/>
  <c r="X637" i="135" s="1"/>
  <c r="AB637" i="135"/>
  <c r="AC637" i="135" s="1"/>
  <c r="AI637" i="135"/>
  <c r="AJ637" i="135" s="1"/>
  <c r="F638" i="135"/>
  <c r="M638" i="135"/>
  <c r="N638" i="135"/>
  <c r="O638" i="135"/>
  <c r="R638" i="135" s="1"/>
  <c r="P638" i="135"/>
  <c r="Q638" i="135"/>
  <c r="W638" i="135"/>
  <c r="X638" i="135" s="1"/>
  <c r="AB638" i="135"/>
  <c r="AC638" i="135" s="1"/>
  <c r="AI638" i="135"/>
  <c r="AJ638" i="135" s="1"/>
  <c r="F639" i="135"/>
  <c r="M639" i="135"/>
  <c r="N639" i="135"/>
  <c r="O639" i="135"/>
  <c r="P639" i="135"/>
  <c r="R639" i="135" s="1"/>
  <c r="Q639" i="135"/>
  <c r="W639" i="135"/>
  <c r="X639" i="135" s="1"/>
  <c r="AB639" i="135"/>
  <c r="AC639" i="135" s="1"/>
  <c r="AI639" i="135"/>
  <c r="AJ639" i="135" s="1"/>
  <c r="F640" i="135"/>
  <c r="M640" i="135"/>
  <c r="N640" i="135"/>
  <c r="O640" i="135"/>
  <c r="R640" i="135" s="1"/>
  <c r="P640" i="135"/>
  <c r="Q640" i="135"/>
  <c r="W640" i="135"/>
  <c r="X640" i="135" s="1"/>
  <c r="AB640" i="135"/>
  <c r="AC640" i="135" s="1"/>
  <c r="AI640" i="135"/>
  <c r="AJ640" i="135" s="1"/>
  <c r="F641" i="135"/>
  <c r="F641" i="139" s="1"/>
  <c r="M641" i="135"/>
  <c r="N641" i="135"/>
  <c r="O641" i="135"/>
  <c r="P641" i="135"/>
  <c r="R641" i="135" s="1"/>
  <c r="Q641" i="135"/>
  <c r="W641" i="135"/>
  <c r="X641" i="135" s="1"/>
  <c r="AB641" i="135"/>
  <c r="AC641" i="135" s="1"/>
  <c r="AI641" i="135"/>
  <c r="AJ641" i="135" s="1"/>
  <c r="F642" i="135"/>
  <c r="M642" i="135"/>
  <c r="N642" i="135"/>
  <c r="O642" i="135"/>
  <c r="R642" i="135" s="1"/>
  <c r="P642" i="135"/>
  <c r="Q642" i="135"/>
  <c r="W642" i="135"/>
  <c r="AB642" i="135"/>
  <c r="AC642" i="135" s="1"/>
  <c r="AI642" i="135"/>
  <c r="AJ642" i="135" s="1"/>
  <c r="F643" i="135"/>
  <c r="F643" i="139" s="1"/>
  <c r="M643" i="135"/>
  <c r="N643" i="135"/>
  <c r="O643" i="135"/>
  <c r="R643" i="135" s="1"/>
  <c r="P643" i="135"/>
  <c r="Q643" i="135"/>
  <c r="W643" i="135"/>
  <c r="AB643" i="135"/>
  <c r="AC643" i="135" s="1"/>
  <c r="AI643" i="135"/>
  <c r="AJ643" i="135" s="1"/>
  <c r="M644" i="135"/>
  <c r="N644" i="135"/>
  <c r="O644" i="135"/>
  <c r="R644" i="135" s="1"/>
  <c r="P644" i="135"/>
  <c r="Q644" i="135"/>
  <c r="W644" i="135"/>
  <c r="X644" i="135" s="1"/>
  <c r="AB644" i="135"/>
  <c r="AC644" i="135" s="1"/>
  <c r="AI644" i="135"/>
  <c r="AJ644" i="135" s="1"/>
  <c r="M645" i="135"/>
  <c r="N645" i="135"/>
  <c r="O645" i="135"/>
  <c r="P645" i="135"/>
  <c r="Q645" i="135"/>
  <c r="R645" i="135"/>
  <c r="W645" i="135"/>
  <c r="X645" i="135" s="1"/>
  <c r="AB645" i="135"/>
  <c r="AC645" i="135" s="1"/>
  <c r="AI645" i="135"/>
  <c r="AJ645" i="135" s="1"/>
  <c r="F646" i="139"/>
  <c r="M646" i="135"/>
  <c r="N646" i="135"/>
  <c r="O646" i="135"/>
  <c r="P646" i="135"/>
  <c r="Q646" i="135"/>
  <c r="R646" i="135"/>
  <c r="W646" i="135"/>
  <c r="X646" i="135" s="1"/>
  <c r="AB646" i="135"/>
  <c r="AC646" i="135" s="1"/>
  <c r="AI646" i="135"/>
  <c r="AJ646" i="135" s="1"/>
  <c r="F647" i="135"/>
  <c r="M647" i="135"/>
  <c r="N647" i="135"/>
  <c r="O647" i="135"/>
  <c r="P647" i="135"/>
  <c r="Q647" i="135"/>
  <c r="R647" i="135"/>
  <c r="W647" i="135"/>
  <c r="AB647" i="135"/>
  <c r="AC647" i="135" s="1"/>
  <c r="AI647" i="135"/>
  <c r="AJ647" i="135" s="1"/>
  <c r="F648" i="139"/>
  <c r="M648" i="135"/>
  <c r="N648" i="135"/>
  <c r="O648" i="135"/>
  <c r="R648" i="135" s="1"/>
  <c r="P648" i="135"/>
  <c r="Q648" i="135"/>
  <c r="W648" i="135"/>
  <c r="AB648" i="135"/>
  <c r="AC648" i="135" s="1"/>
  <c r="AI648" i="135"/>
  <c r="AJ648" i="135" s="1"/>
  <c r="F649" i="135"/>
  <c r="F647" i="134" s="1"/>
  <c r="M649" i="135"/>
  <c r="N649" i="135"/>
  <c r="O649" i="135"/>
  <c r="P649" i="135"/>
  <c r="Q649" i="135"/>
  <c r="R649" i="135"/>
  <c r="W649" i="135"/>
  <c r="X649" i="135" s="1"/>
  <c r="AB649" i="135"/>
  <c r="AC649" i="135" s="1"/>
  <c r="AI649" i="135"/>
  <c r="AJ649" i="135" s="1"/>
  <c r="F650" i="135"/>
  <c r="F650" i="139" s="1"/>
  <c r="M650" i="135"/>
  <c r="N650" i="135"/>
  <c r="O650" i="135"/>
  <c r="P650" i="135"/>
  <c r="Q650" i="135"/>
  <c r="R650" i="135"/>
  <c r="W650" i="135"/>
  <c r="AB650" i="135"/>
  <c r="AC650" i="135" s="1"/>
  <c r="AI650" i="135"/>
  <c r="AJ650" i="135" s="1"/>
  <c r="F651" i="135"/>
  <c r="M651" i="135"/>
  <c r="N651" i="135"/>
  <c r="O651" i="135"/>
  <c r="R651" i="135" s="1"/>
  <c r="P651" i="135"/>
  <c r="Q651" i="135"/>
  <c r="W651" i="135"/>
  <c r="X651" i="135" s="1"/>
  <c r="AB651" i="135"/>
  <c r="AC651" i="135" s="1"/>
  <c r="AI651" i="135"/>
  <c r="AJ651" i="135" s="1"/>
  <c r="F652" i="135"/>
  <c r="M652" i="135"/>
  <c r="N652" i="135"/>
  <c r="O652" i="135"/>
  <c r="P652" i="135"/>
  <c r="Q652" i="135"/>
  <c r="R652" i="135"/>
  <c r="W652" i="135"/>
  <c r="AB652" i="135"/>
  <c r="AC652" i="135" s="1"/>
  <c r="AI652" i="135"/>
  <c r="AJ652" i="135" s="1"/>
  <c r="F653" i="135"/>
  <c r="M653" i="135"/>
  <c r="N653" i="135"/>
  <c r="O653" i="135"/>
  <c r="P653" i="135"/>
  <c r="Q653" i="135"/>
  <c r="R653" i="135"/>
  <c r="W653" i="135"/>
  <c r="X653" i="135" s="1"/>
  <c r="AB653" i="135"/>
  <c r="AC653" i="135" s="1"/>
  <c r="AI653" i="135"/>
  <c r="AJ653" i="135" s="1"/>
  <c r="F654" i="135"/>
  <c r="M654" i="135"/>
  <c r="N654" i="135"/>
  <c r="O654" i="135"/>
  <c r="R654" i="135" s="1"/>
  <c r="P654" i="135"/>
  <c r="Q654" i="135"/>
  <c r="W654" i="135"/>
  <c r="AB654" i="135"/>
  <c r="AC654" i="135" s="1"/>
  <c r="AI654" i="135"/>
  <c r="AJ654" i="135" s="1"/>
  <c r="F655" i="135"/>
  <c r="F653" i="134" s="1"/>
  <c r="M655" i="135"/>
  <c r="N655" i="135"/>
  <c r="O655" i="135"/>
  <c r="R655" i="135" s="1"/>
  <c r="P655" i="135"/>
  <c r="Q655" i="135"/>
  <c r="W655" i="135"/>
  <c r="X655" i="135" s="1"/>
  <c r="AB655" i="135"/>
  <c r="AC655" i="135" s="1"/>
  <c r="AI655" i="135"/>
  <c r="AJ655" i="135" s="1"/>
  <c r="F656" i="135"/>
  <c r="M656" i="135"/>
  <c r="N656" i="135"/>
  <c r="O656" i="135"/>
  <c r="P656" i="135"/>
  <c r="Q656" i="135"/>
  <c r="R656" i="135"/>
  <c r="W656" i="135"/>
  <c r="AB656" i="135"/>
  <c r="AC656" i="135" s="1"/>
  <c r="AI656" i="135"/>
  <c r="AJ656" i="135" s="1"/>
  <c r="F657" i="135"/>
  <c r="M657" i="135"/>
  <c r="N657" i="135"/>
  <c r="O657" i="135"/>
  <c r="R657" i="135" s="1"/>
  <c r="P657" i="135"/>
  <c r="Q657" i="135"/>
  <c r="W657" i="135"/>
  <c r="AB657" i="135"/>
  <c r="AC657" i="135" s="1"/>
  <c r="AI657" i="135"/>
  <c r="AJ657" i="135" s="1"/>
  <c r="F658" i="135"/>
  <c r="F656" i="134" s="1"/>
  <c r="M658" i="135"/>
  <c r="N658" i="135"/>
  <c r="O658" i="135"/>
  <c r="R658" i="135" s="1"/>
  <c r="P658" i="135"/>
  <c r="Q658" i="135"/>
  <c r="W658" i="135"/>
  <c r="X658" i="135" s="1"/>
  <c r="AB658" i="135"/>
  <c r="AC658" i="135" s="1"/>
  <c r="AI658" i="135"/>
  <c r="AJ658" i="135" s="1"/>
  <c r="F659" i="135"/>
  <c r="M659" i="135"/>
  <c r="N659" i="135"/>
  <c r="O659" i="135"/>
  <c r="R659" i="135" s="1"/>
  <c r="P659" i="135"/>
  <c r="Q659" i="135"/>
  <c r="W659" i="135"/>
  <c r="X659" i="135" s="1"/>
  <c r="AB659" i="135"/>
  <c r="AC659" i="135" s="1"/>
  <c r="AI659" i="135"/>
  <c r="AJ659" i="135" s="1"/>
  <c r="F660" i="135"/>
  <c r="M660" i="135"/>
  <c r="N660" i="135"/>
  <c r="O660" i="135"/>
  <c r="P660" i="135"/>
  <c r="R660" i="135" s="1"/>
  <c r="Q660" i="135"/>
  <c r="W660" i="135"/>
  <c r="AB660" i="135"/>
  <c r="AC660" i="135" s="1"/>
  <c r="AI660" i="135"/>
  <c r="AJ660" i="135" s="1"/>
  <c r="F661" i="135"/>
  <c r="F659" i="134" s="1"/>
  <c r="M661" i="135"/>
  <c r="N661" i="135"/>
  <c r="O661" i="135"/>
  <c r="R661" i="135" s="1"/>
  <c r="P661" i="135"/>
  <c r="Q661" i="135"/>
  <c r="W661" i="135"/>
  <c r="X661" i="135" s="1"/>
  <c r="AB661" i="135"/>
  <c r="AC661" i="135" s="1"/>
  <c r="AI661" i="135"/>
  <c r="AJ661" i="135" s="1"/>
  <c r="F662" i="135"/>
  <c r="F662" i="139" s="1"/>
  <c r="M662" i="135"/>
  <c r="N662" i="135"/>
  <c r="O662" i="135"/>
  <c r="P662" i="135"/>
  <c r="Q662" i="135"/>
  <c r="R662" i="135"/>
  <c r="W662" i="135"/>
  <c r="X662" i="135" s="1"/>
  <c r="AB662" i="135"/>
  <c r="AC662" i="135" s="1"/>
  <c r="AI662" i="135"/>
  <c r="AJ662" i="135" s="1"/>
  <c r="F663" i="135"/>
  <c r="M663" i="135"/>
  <c r="N663" i="135"/>
  <c r="O663" i="135"/>
  <c r="R663" i="135" s="1"/>
  <c r="P663" i="135"/>
  <c r="Q663" i="135"/>
  <c r="W663" i="135"/>
  <c r="X663" i="135" s="1"/>
  <c r="AB663" i="135"/>
  <c r="AI663" i="135"/>
  <c r="AJ663" i="135" s="1"/>
  <c r="F664" i="135"/>
  <c r="F664" i="139" s="1"/>
  <c r="M664" i="135"/>
  <c r="N664" i="135"/>
  <c r="O664" i="135"/>
  <c r="P664" i="135"/>
  <c r="R664" i="135" s="1"/>
  <c r="Q664" i="135"/>
  <c r="W664" i="135"/>
  <c r="AB664" i="135"/>
  <c r="AC664" i="135" s="1"/>
  <c r="AI664" i="135"/>
  <c r="AJ664" i="135" s="1"/>
  <c r="M665" i="135"/>
  <c r="N665" i="135"/>
  <c r="O665" i="135"/>
  <c r="R665" i="135" s="1"/>
  <c r="P665" i="135"/>
  <c r="Q665" i="135"/>
  <c r="W665" i="135"/>
  <c r="X665" i="135" s="1"/>
  <c r="AB665" i="135"/>
  <c r="AC665" i="135" s="1"/>
  <c r="AI665" i="135"/>
  <c r="AJ665" i="135" s="1"/>
  <c r="F666" i="135"/>
  <c r="M666" i="135"/>
  <c r="N666" i="135"/>
  <c r="O666" i="135"/>
  <c r="R666" i="135" s="1"/>
  <c r="P666" i="135"/>
  <c r="Q666" i="135"/>
  <c r="W666" i="135"/>
  <c r="AB666" i="135"/>
  <c r="AC666" i="135" s="1"/>
  <c r="AI666" i="135"/>
  <c r="AJ666" i="135" s="1"/>
  <c r="M667" i="135"/>
  <c r="N667" i="135"/>
  <c r="O667" i="135"/>
  <c r="R667" i="135" s="1"/>
  <c r="P667" i="135"/>
  <c r="Q667" i="135"/>
  <c r="W667" i="135"/>
  <c r="X667" i="135" s="1"/>
  <c r="AB667" i="135"/>
  <c r="AC667" i="135" s="1"/>
  <c r="AI667" i="135"/>
  <c r="AJ667" i="135" s="1"/>
  <c r="M668" i="135"/>
  <c r="N668" i="135"/>
  <c r="O668" i="135"/>
  <c r="R668" i="135" s="1"/>
  <c r="P668" i="135"/>
  <c r="Q668" i="135"/>
  <c r="W668" i="135"/>
  <c r="X668" i="135" s="1"/>
  <c r="AB668" i="135"/>
  <c r="AC668" i="135" s="1"/>
  <c r="AI668" i="135"/>
  <c r="AJ668" i="135" s="1"/>
  <c r="F669" i="135"/>
  <c r="F669" i="139" s="1"/>
  <c r="M669" i="135"/>
  <c r="N669" i="135"/>
  <c r="O669" i="135"/>
  <c r="P669" i="135"/>
  <c r="Q669" i="135"/>
  <c r="R669" i="135"/>
  <c r="W669" i="135"/>
  <c r="X669" i="135" s="1"/>
  <c r="AB669" i="135"/>
  <c r="AC669" i="135" s="1"/>
  <c r="AI669" i="135"/>
  <c r="AJ669" i="135" s="1"/>
  <c r="F670" i="135"/>
  <c r="M670" i="135"/>
  <c r="N670" i="135"/>
  <c r="O670" i="135"/>
  <c r="P670" i="135"/>
  <c r="Q670" i="135"/>
  <c r="R670" i="135"/>
  <c r="W670" i="135"/>
  <c r="AB670" i="135"/>
  <c r="AC670" i="135" s="1"/>
  <c r="AI670" i="135"/>
  <c r="AJ670" i="135" s="1"/>
  <c r="F671" i="135"/>
  <c r="M671" i="135"/>
  <c r="N671" i="135"/>
  <c r="O671" i="135"/>
  <c r="R671" i="135" s="1"/>
  <c r="P671" i="135"/>
  <c r="Q671" i="135"/>
  <c r="W671" i="135"/>
  <c r="X671" i="135" s="1"/>
  <c r="AB671" i="135"/>
  <c r="AC671" i="135" s="1"/>
  <c r="AI671" i="135"/>
  <c r="AJ671" i="135" s="1"/>
  <c r="F672" i="135"/>
  <c r="M672" i="135"/>
  <c r="N672" i="135"/>
  <c r="O672" i="135"/>
  <c r="R672" i="135" s="1"/>
  <c r="P672" i="135"/>
  <c r="Q672" i="135"/>
  <c r="W672" i="135"/>
  <c r="X672" i="135" s="1"/>
  <c r="AB672" i="135"/>
  <c r="AC672" i="135" s="1"/>
  <c r="AI672" i="135"/>
  <c r="AJ672" i="135" s="1"/>
  <c r="F673" i="135"/>
  <c r="F673" i="139" s="1"/>
  <c r="M673" i="135"/>
  <c r="N673" i="135"/>
  <c r="O673" i="135"/>
  <c r="R673" i="135" s="1"/>
  <c r="P673" i="135"/>
  <c r="Q673" i="135"/>
  <c r="W673" i="135"/>
  <c r="AB673" i="135"/>
  <c r="AC673" i="135" s="1"/>
  <c r="AI673" i="135"/>
  <c r="AJ673" i="135" s="1"/>
  <c r="F674" i="135"/>
  <c r="M674" i="135"/>
  <c r="N674" i="135"/>
  <c r="O674" i="135"/>
  <c r="P674" i="135"/>
  <c r="Q674" i="135"/>
  <c r="R674" i="135"/>
  <c r="W674" i="135"/>
  <c r="X674" i="135" s="1"/>
  <c r="AB674" i="135"/>
  <c r="AC674" i="135" s="1"/>
  <c r="AI674" i="135"/>
  <c r="AJ674" i="135" s="1"/>
  <c r="F675" i="135"/>
  <c r="F675" i="139" s="1"/>
  <c r="M675" i="135"/>
  <c r="N675" i="135"/>
  <c r="O675" i="135"/>
  <c r="P675" i="135"/>
  <c r="Q675" i="135"/>
  <c r="R675" i="135"/>
  <c r="W675" i="135"/>
  <c r="AB675" i="135"/>
  <c r="AC675" i="135" s="1"/>
  <c r="AI675" i="135"/>
  <c r="AJ675" i="135" s="1"/>
  <c r="M676" i="135"/>
  <c r="N676" i="135"/>
  <c r="O676" i="135"/>
  <c r="P676" i="135"/>
  <c r="R676" i="135" s="1"/>
  <c r="Q676" i="135"/>
  <c r="W676" i="135"/>
  <c r="X676" i="135" s="1"/>
  <c r="AB676" i="135"/>
  <c r="AC676" i="135" s="1"/>
  <c r="AI676" i="135"/>
  <c r="AJ676" i="135" s="1"/>
  <c r="F677" i="135"/>
  <c r="M677" i="135"/>
  <c r="N677" i="135"/>
  <c r="O677" i="135"/>
  <c r="R677" i="135" s="1"/>
  <c r="P677" i="135"/>
  <c r="Q677" i="135"/>
  <c r="W677" i="135"/>
  <c r="X677" i="135" s="1"/>
  <c r="AB677" i="135"/>
  <c r="AC677" i="135" s="1"/>
  <c r="AI677" i="135"/>
  <c r="AJ677" i="135" s="1"/>
  <c r="F678" i="135"/>
  <c r="M678" i="135"/>
  <c r="N678" i="135"/>
  <c r="O678" i="135"/>
  <c r="P678" i="135"/>
  <c r="Q678" i="135"/>
  <c r="R678" i="135"/>
  <c r="W678" i="135"/>
  <c r="AB678" i="135"/>
  <c r="AC678" i="135" s="1"/>
  <c r="AI678" i="135"/>
  <c r="AJ678" i="135" s="1"/>
  <c r="F679" i="135"/>
  <c r="M679" i="135"/>
  <c r="N679" i="135"/>
  <c r="O679" i="135"/>
  <c r="R679" i="135" s="1"/>
  <c r="P679" i="135"/>
  <c r="Q679" i="135"/>
  <c r="W679" i="135"/>
  <c r="AB679" i="135"/>
  <c r="AC679" i="135" s="1"/>
  <c r="AI679" i="135"/>
  <c r="AJ679" i="135" s="1"/>
  <c r="F680" i="135"/>
  <c r="F680" i="139" s="1"/>
  <c r="M680" i="135"/>
  <c r="N680" i="135"/>
  <c r="O680" i="135"/>
  <c r="P680" i="135"/>
  <c r="Q680" i="135"/>
  <c r="R680" i="135"/>
  <c r="W680" i="135"/>
  <c r="X680" i="135" s="1"/>
  <c r="AB680" i="135"/>
  <c r="AI680" i="135"/>
  <c r="AJ680" i="135" s="1"/>
  <c r="F681" i="135"/>
  <c r="M681" i="135"/>
  <c r="N681" i="135"/>
  <c r="O681" i="135"/>
  <c r="P681" i="135"/>
  <c r="Q681" i="135"/>
  <c r="R681" i="135"/>
  <c r="W681" i="135"/>
  <c r="X681" i="135" s="1"/>
  <c r="AB681" i="135"/>
  <c r="AC681" i="135" s="1"/>
  <c r="AI681" i="135"/>
  <c r="AJ681" i="135" s="1"/>
  <c r="F682" i="135"/>
  <c r="M682" i="135"/>
  <c r="N682" i="135"/>
  <c r="O682" i="135"/>
  <c r="P682" i="135"/>
  <c r="Q682" i="135"/>
  <c r="R682" i="135"/>
  <c r="W682" i="135"/>
  <c r="X682" i="135" s="1"/>
  <c r="AB682" i="135"/>
  <c r="AC682" i="135" s="1"/>
  <c r="AI682" i="135"/>
  <c r="AJ682" i="135" s="1"/>
  <c r="F683" i="135"/>
  <c r="M683" i="135"/>
  <c r="N683" i="135"/>
  <c r="O683" i="135"/>
  <c r="P683" i="135"/>
  <c r="R683" i="135" s="1"/>
  <c r="Q683" i="135"/>
  <c r="W683" i="135"/>
  <c r="X683" i="135" s="1"/>
  <c r="AB683" i="135"/>
  <c r="AC683" i="135" s="1"/>
  <c r="AI683" i="135"/>
  <c r="AJ683" i="135" s="1"/>
  <c r="F684" i="135"/>
  <c r="M684" i="135"/>
  <c r="N684" i="135"/>
  <c r="O684" i="135"/>
  <c r="P684" i="135"/>
  <c r="R684" i="135" s="1"/>
  <c r="Q684" i="135"/>
  <c r="W684" i="135"/>
  <c r="AB684" i="135"/>
  <c r="AC684" i="135" s="1"/>
  <c r="AI684" i="135"/>
  <c r="AJ684" i="135" s="1"/>
  <c r="F685" i="135"/>
  <c r="F685" i="139" s="1"/>
  <c r="M685" i="135"/>
  <c r="N685" i="135"/>
  <c r="O685" i="135"/>
  <c r="P685" i="135"/>
  <c r="Q685" i="135"/>
  <c r="R685" i="135"/>
  <c r="W685" i="135"/>
  <c r="X685" i="135" s="1"/>
  <c r="AB685" i="135"/>
  <c r="AC685" i="135" s="1"/>
  <c r="AI685" i="135"/>
  <c r="AJ685" i="135" s="1"/>
  <c r="F686" i="135"/>
  <c r="M686" i="135"/>
  <c r="N686" i="135"/>
  <c r="O686" i="135"/>
  <c r="R686" i="135" s="1"/>
  <c r="P686" i="135"/>
  <c r="Q686" i="135"/>
  <c r="W686" i="135"/>
  <c r="X686" i="135" s="1"/>
  <c r="AB686" i="135"/>
  <c r="AC686" i="135" s="1"/>
  <c r="AI686" i="135"/>
  <c r="AJ686" i="135" s="1"/>
  <c r="F687" i="135"/>
  <c r="M687" i="135"/>
  <c r="N687" i="135"/>
  <c r="O687" i="135"/>
  <c r="P687" i="135"/>
  <c r="Q687" i="135"/>
  <c r="R687" i="135"/>
  <c r="W687" i="135"/>
  <c r="X687" i="135" s="1"/>
  <c r="AB687" i="135"/>
  <c r="AC687" i="135" s="1"/>
  <c r="AI687" i="135"/>
  <c r="AJ687" i="135" s="1"/>
  <c r="F688" i="135"/>
  <c r="M688" i="135"/>
  <c r="N688" i="135"/>
  <c r="O688" i="135"/>
  <c r="R688" i="135" s="1"/>
  <c r="P688" i="135"/>
  <c r="Q688" i="135"/>
  <c r="W688" i="135"/>
  <c r="X688" i="135" s="1"/>
  <c r="AB688" i="135"/>
  <c r="AC688" i="135" s="1"/>
  <c r="AI688" i="135"/>
  <c r="AJ688" i="135" s="1"/>
  <c r="F689" i="139"/>
  <c r="M689" i="135"/>
  <c r="N689" i="135"/>
  <c r="O689" i="135"/>
  <c r="P689" i="135"/>
  <c r="Q689" i="135"/>
  <c r="R689" i="135"/>
  <c r="W689" i="135"/>
  <c r="X689" i="135" s="1"/>
  <c r="AB689" i="135"/>
  <c r="AC689" i="135" s="1"/>
  <c r="AI689" i="135"/>
  <c r="AJ689" i="135" s="1"/>
  <c r="F690" i="135"/>
  <c r="M690" i="135"/>
  <c r="N690" i="135"/>
  <c r="O690" i="135"/>
  <c r="R690" i="135" s="1"/>
  <c r="P690" i="135"/>
  <c r="Q690" i="135"/>
  <c r="W690" i="135"/>
  <c r="AB690" i="135"/>
  <c r="AC690" i="135" s="1"/>
  <c r="AI690" i="135"/>
  <c r="AJ690" i="135" s="1"/>
  <c r="F691" i="135"/>
  <c r="F691" i="139" s="1"/>
  <c r="M691" i="135"/>
  <c r="N691" i="135"/>
  <c r="O691" i="135"/>
  <c r="P691" i="135"/>
  <c r="Q691" i="135"/>
  <c r="R691" i="135"/>
  <c r="W691" i="135"/>
  <c r="AB691" i="135"/>
  <c r="AC691" i="135" s="1"/>
  <c r="AI691" i="135"/>
  <c r="AJ691" i="135" s="1"/>
  <c r="M692" i="135"/>
  <c r="N692" i="135"/>
  <c r="O692" i="135"/>
  <c r="R692" i="135" s="1"/>
  <c r="P692" i="135"/>
  <c r="Q692" i="135"/>
  <c r="W692" i="135"/>
  <c r="X692" i="135" s="1"/>
  <c r="AB692" i="135"/>
  <c r="AC692" i="135" s="1"/>
  <c r="AI692" i="135"/>
  <c r="AJ692" i="135" s="1"/>
  <c r="F693" i="135"/>
  <c r="M693" i="135"/>
  <c r="N693" i="135"/>
  <c r="O693" i="135"/>
  <c r="P693" i="135"/>
  <c r="R693" i="135" s="1"/>
  <c r="Q693" i="135"/>
  <c r="W693" i="135"/>
  <c r="AB693" i="135"/>
  <c r="AC693" i="135" s="1"/>
  <c r="AI693" i="135"/>
  <c r="AJ693" i="135" s="1"/>
  <c r="F694" i="135"/>
  <c r="F694" i="139" s="1"/>
  <c r="M694" i="135"/>
  <c r="N694" i="135"/>
  <c r="O694" i="135"/>
  <c r="R694" i="135" s="1"/>
  <c r="P694" i="135"/>
  <c r="Q694" i="135"/>
  <c r="W694" i="135"/>
  <c r="X694" i="135" s="1"/>
  <c r="AB694" i="135"/>
  <c r="AC694" i="135" s="1"/>
  <c r="AI694" i="135"/>
  <c r="AJ694" i="135" s="1"/>
  <c r="M695" i="135"/>
  <c r="N695" i="135"/>
  <c r="O695" i="135"/>
  <c r="R695" i="135" s="1"/>
  <c r="P695" i="135"/>
  <c r="Q695" i="135"/>
  <c r="W695" i="135"/>
  <c r="X695" i="135" s="1"/>
  <c r="AB695" i="135"/>
  <c r="AC695" i="135" s="1"/>
  <c r="AI695" i="135"/>
  <c r="AJ695" i="135" s="1"/>
  <c r="F696" i="139"/>
  <c r="M696" i="135"/>
  <c r="N696" i="135"/>
  <c r="O696" i="135"/>
  <c r="R696" i="135" s="1"/>
  <c r="P696" i="135"/>
  <c r="Q696" i="135"/>
  <c r="W696" i="135"/>
  <c r="X696" i="135" s="1"/>
  <c r="AB696" i="135"/>
  <c r="AC696" i="135" s="1"/>
  <c r="AI696" i="135"/>
  <c r="AJ696" i="135" s="1"/>
  <c r="F697" i="135"/>
  <c r="M697" i="135"/>
  <c r="N697" i="135"/>
  <c r="O697" i="135"/>
  <c r="R697" i="135" s="1"/>
  <c r="P697" i="135"/>
  <c r="Q697" i="135"/>
  <c r="W697" i="135"/>
  <c r="AB697" i="135"/>
  <c r="AC697" i="135" s="1"/>
  <c r="AI697" i="135"/>
  <c r="AJ697" i="135" s="1"/>
  <c r="F698" i="139"/>
  <c r="M698" i="135"/>
  <c r="N698" i="135"/>
  <c r="O698" i="135"/>
  <c r="R698" i="135" s="1"/>
  <c r="P698" i="135"/>
  <c r="Q698" i="135"/>
  <c r="W698" i="135"/>
  <c r="X698" i="135" s="1"/>
  <c r="AB698" i="135"/>
  <c r="AC698" i="135" s="1"/>
  <c r="AI698" i="135"/>
  <c r="AJ698" i="135" s="1"/>
  <c r="F699" i="135"/>
  <c r="M699" i="135"/>
  <c r="N699" i="135"/>
  <c r="O699" i="135"/>
  <c r="R699" i="135" s="1"/>
  <c r="P699" i="135"/>
  <c r="Q699" i="135"/>
  <c r="W699" i="135"/>
  <c r="AB699" i="135"/>
  <c r="AC699" i="135" s="1"/>
  <c r="AI699" i="135"/>
  <c r="AJ699" i="135" s="1"/>
  <c r="F700" i="135"/>
  <c r="M700" i="135"/>
  <c r="N700" i="135"/>
  <c r="O700" i="135"/>
  <c r="R700" i="135" s="1"/>
  <c r="P700" i="135"/>
  <c r="Q700" i="135"/>
  <c r="W700" i="135"/>
  <c r="AB700" i="135"/>
  <c r="AC700" i="135" s="1"/>
  <c r="AI700" i="135"/>
  <c r="AJ700" i="135" s="1"/>
  <c r="F701" i="135"/>
  <c r="M701" i="135"/>
  <c r="N701" i="135"/>
  <c r="O701" i="135"/>
  <c r="R701" i="135" s="1"/>
  <c r="P701" i="135"/>
  <c r="Q701" i="135"/>
  <c r="W701" i="135"/>
  <c r="X701" i="135" s="1"/>
  <c r="AB701" i="135"/>
  <c r="AC701" i="135" s="1"/>
  <c r="AI701" i="135"/>
  <c r="AJ701" i="135" s="1"/>
  <c r="F702" i="135"/>
  <c r="M702" i="135"/>
  <c r="N702" i="135"/>
  <c r="O702" i="135"/>
  <c r="R702" i="135" s="1"/>
  <c r="P702" i="135"/>
  <c r="Q702" i="135"/>
  <c r="W702" i="135"/>
  <c r="X702" i="135" s="1"/>
  <c r="AB702" i="135"/>
  <c r="AC702" i="135" s="1"/>
  <c r="AI702" i="135"/>
  <c r="AJ702" i="135" s="1"/>
  <c r="F703" i="135"/>
  <c r="F701" i="134" s="1"/>
  <c r="M703" i="135"/>
  <c r="N703" i="135"/>
  <c r="O703" i="135"/>
  <c r="P703" i="135"/>
  <c r="R703" i="135" s="1"/>
  <c r="Q703" i="135"/>
  <c r="W703" i="135"/>
  <c r="AB703" i="135"/>
  <c r="AC703" i="135" s="1"/>
  <c r="AI703" i="135"/>
  <c r="AJ703" i="135" s="1"/>
  <c r="F704" i="135"/>
  <c r="M704" i="135"/>
  <c r="N704" i="135"/>
  <c r="O704" i="135"/>
  <c r="R704" i="135" s="1"/>
  <c r="P704" i="135"/>
  <c r="Q704" i="135"/>
  <c r="W704" i="135"/>
  <c r="X704" i="135" s="1"/>
  <c r="AB704" i="135"/>
  <c r="AI704" i="135"/>
  <c r="AJ704" i="135" s="1"/>
  <c r="F705" i="135"/>
  <c r="M705" i="135"/>
  <c r="N705" i="135"/>
  <c r="O705" i="135"/>
  <c r="R705" i="135" s="1"/>
  <c r="P705" i="135"/>
  <c r="Q705" i="135"/>
  <c r="W705" i="135"/>
  <c r="X705" i="135" s="1"/>
  <c r="AB705" i="135"/>
  <c r="AC705" i="135" s="1"/>
  <c r="AI705" i="135"/>
  <c r="AJ705" i="135" s="1"/>
  <c r="F706" i="135"/>
  <c r="M706" i="135"/>
  <c r="N706" i="135"/>
  <c r="O706" i="135"/>
  <c r="R706" i="135" s="1"/>
  <c r="P706" i="135"/>
  <c r="Q706" i="135"/>
  <c r="W706" i="135"/>
  <c r="X706" i="135" s="1"/>
  <c r="AB706" i="135"/>
  <c r="AC706" i="135" s="1"/>
  <c r="AI706" i="135"/>
  <c r="AJ706" i="135" s="1"/>
  <c r="F707" i="135"/>
  <c r="M707" i="135"/>
  <c r="N707" i="135"/>
  <c r="O707" i="135"/>
  <c r="R707" i="135" s="1"/>
  <c r="P707" i="135"/>
  <c r="Q707" i="135"/>
  <c r="W707" i="135"/>
  <c r="X707" i="135" s="1"/>
  <c r="AB707" i="135"/>
  <c r="AC707" i="135" s="1"/>
  <c r="AI707" i="135"/>
  <c r="AJ707" i="135" s="1"/>
  <c r="F708" i="135"/>
  <c r="F706" i="134" s="1"/>
  <c r="M708" i="135"/>
  <c r="N708" i="135"/>
  <c r="O708" i="135"/>
  <c r="R708" i="135" s="1"/>
  <c r="P708" i="135"/>
  <c r="Q708" i="135"/>
  <c r="W708" i="135"/>
  <c r="AB708" i="135"/>
  <c r="AC708" i="135" s="1"/>
  <c r="AI708" i="135"/>
  <c r="AJ708" i="135" s="1"/>
  <c r="F709" i="135"/>
  <c r="F707" i="134" s="1"/>
  <c r="M709" i="135"/>
  <c r="N709" i="135"/>
  <c r="O709" i="135"/>
  <c r="R709" i="135" s="1"/>
  <c r="P709" i="135"/>
  <c r="Q709" i="135"/>
  <c r="W709" i="135"/>
  <c r="X709" i="135" s="1"/>
  <c r="AB709" i="135"/>
  <c r="AC709" i="135" s="1"/>
  <c r="AI709" i="135"/>
  <c r="AJ709" i="135" s="1"/>
  <c r="F710" i="135"/>
  <c r="F710" i="139" s="1"/>
  <c r="M710" i="135"/>
  <c r="N710" i="135"/>
  <c r="O710" i="135"/>
  <c r="R710" i="135" s="1"/>
  <c r="P710" i="135"/>
  <c r="Q710" i="135"/>
  <c r="W710" i="135"/>
  <c r="AB710" i="135"/>
  <c r="AC710" i="135" s="1"/>
  <c r="AI710" i="135"/>
  <c r="AJ710" i="135" s="1"/>
  <c r="F709" i="134"/>
  <c r="M711" i="135"/>
  <c r="N711" i="135"/>
  <c r="O711" i="135"/>
  <c r="R711" i="135" s="1"/>
  <c r="P711" i="135"/>
  <c r="Q711" i="135"/>
  <c r="W711" i="135"/>
  <c r="X711" i="135" s="1"/>
  <c r="AB711" i="135"/>
  <c r="AC711" i="135" s="1"/>
  <c r="AI711" i="135"/>
  <c r="AJ711" i="135" s="1"/>
  <c r="F712" i="135"/>
  <c r="M712" i="135"/>
  <c r="N712" i="135"/>
  <c r="O712" i="135"/>
  <c r="P712" i="135"/>
  <c r="Q712" i="135"/>
  <c r="R712" i="135"/>
  <c r="W712" i="135"/>
  <c r="X712" i="135" s="1"/>
  <c r="AB712" i="135"/>
  <c r="AC712" i="135" s="1"/>
  <c r="AI712" i="135"/>
  <c r="AJ712" i="135" s="1"/>
  <c r="M713" i="135"/>
  <c r="N713" i="135"/>
  <c r="O713" i="135"/>
  <c r="P713" i="135"/>
  <c r="Q713" i="135"/>
  <c r="R713" i="135"/>
  <c r="W713" i="135"/>
  <c r="AB713" i="135"/>
  <c r="AC713" i="135" s="1"/>
  <c r="AI713" i="135"/>
  <c r="AJ713" i="135" s="1"/>
  <c r="F714" i="135"/>
  <c r="F714" i="139" s="1"/>
  <c r="M714" i="135"/>
  <c r="N714" i="135"/>
  <c r="O714" i="135"/>
  <c r="P714" i="135"/>
  <c r="Q714" i="135"/>
  <c r="R714" i="135"/>
  <c r="W714" i="135"/>
  <c r="AB714" i="135"/>
  <c r="AC714" i="135" s="1"/>
  <c r="AI714" i="135"/>
  <c r="AJ714" i="135" s="1"/>
  <c r="F715" i="135"/>
  <c r="M715" i="135"/>
  <c r="N715" i="135"/>
  <c r="O715" i="135"/>
  <c r="R715" i="135" s="1"/>
  <c r="P715" i="135"/>
  <c r="Q715" i="135"/>
  <c r="W715" i="135"/>
  <c r="X715" i="135" s="1"/>
  <c r="AB715" i="135"/>
  <c r="AC715" i="135" s="1"/>
  <c r="AI715" i="135"/>
  <c r="AJ715" i="135" s="1"/>
  <c r="F716" i="135"/>
  <c r="F716" i="139" s="1"/>
  <c r="M716" i="135"/>
  <c r="N716" i="135"/>
  <c r="O716" i="135"/>
  <c r="P716" i="135"/>
  <c r="Q716" i="135"/>
  <c r="R716" i="135"/>
  <c r="W716" i="135"/>
  <c r="AB716" i="135"/>
  <c r="AC716" i="135" s="1"/>
  <c r="AI716" i="135"/>
  <c r="AJ716" i="135" s="1"/>
  <c r="F717" i="135"/>
  <c r="M717" i="135"/>
  <c r="N717" i="135"/>
  <c r="O717" i="135"/>
  <c r="R717" i="135" s="1"/>
  <c r="P717" i="135"/>
  <c r="Q717" i="135"/>
  <c r="W717" i="135"/>
  <c r="X717" i="135" s="1"/>
  <c r="AB717" i="135"/>
  <c r="AC717" i="135" s="1"/>
  <c r="AI717" i="135"/>
  <c r="AJ717" i="135" s="1"/>
  <c r="F718" i="135"/>
  <c r="M718" i="135"/>
  <c r="N718" i="135"/>
  <c r="O718" i="135"/>
  <c r="P718" i="135"/>
  <c r="Q718" i="135"/>
  <c r="R718" i="135"/>
  <c r="W718" i="135"/>
  <c r="X718" i="135" s="1"/>
  <c r="AB718" i="135"/>
  <c r="AC718" i="135" s="1"/>
  <c r="AI718" i="135"/>
  <c r="AJ718" i="135" s="1"/>
  <c r="M719" i="135"/>
  <c r="N719" i="135"/>
  <c r="O719" i="135"/>
  <c r="R719" i="135" s="1"/>
  <c r="P719" i="135"/>
  <c r="Q719" i="135"/>
  <c r="W719" i="135"/>
  <c r="X719" i="135" s="1"/>
  <c r="AB719" i="135"/>
  <c r="AC719" i="135" s="1"/>
  <c r="AI719" i="135"/>
  <c r="AJ719" i="135" s="1"/>
  <c r="F720" i="135"/>
  <c r="M720" i="135"/>
  <c r="N720" i="135"/>
  <c r="O720" i="135"/>
  <c r="P720" i="135"/>
  <c r="Q720" i="135"/>
  <c r="R720" i="135"/>
  <c r="W720" i="135"/>
  <c r="X720" i="135" s="1"/>
  <c r="AB720" i="135"/>
  <c r="AC720" i="135"/>
  <c r="AI720" i="135"/>
  <c r="AJ720" i="135" s="1"/>
  <c r="F721" i="135"/>
  <c r="F721" i="139" s="1"/>
  <c r="M721" i="135"/>
  <c r="N721" i="135"/>
  <c r="O721" i="135"/>
  <c r="R721" i="135" s="1"/>
  <c r="P721" i="135"/>
  <c r="Q721" i="135"/>
  <c r="W721" i="135"/>
  <c r="AB721" i="135"/>
  <c r="AC721" i="135" s="1"/>
  <c r="AI721" i="135"/>
  <c r="AJ721" i="135" s="1"/>
  <c r="F722" i="135"/>
  <c r="M722" i="135"/>
  <c r="N722" i="135"/>
  <c r="O722" i="135"/>
  <c r="R722" i="135" s="1"/>
  <c r="P722" i="135"/>
  <c r="Q722" i="135"/>
  <c r="W722" i="135"/>
  <c r="X722" i="135" s="1"/>
  <c r="AB722" i="135"/>
  <c r="AC722" i="135" s="1"/>
  <c r="AI722" i="135"/>
  <c r="AJ722" i="135" s="1"/>
  <c r="F723" i="135"/>
  <c r="M723" i="135"/>
  <c r="N723" i="135"/>
  <c r="O723" i="135"/>
  <c r="R723" i="135" s="1"/>
  <c r="P723" i="135"/>
  <c r="Q723" i="135"/>
  <c r="W723" i="135"/>
  <c r="AB723" i="135"/>
  <c r="AC723" i="135" s="1"/>
  <c r="AI723" i="135"/>
  <c r="AJ723" i="135" s="1"/>
  <c r="F724" i="135"/>
  <c r="M724" i="135"/>
  <c r="N724" i="135"/>
  <c r="O724" i="135"/>
  <c r="R724" i="135" s="1"/>
  <c r="P724" i="135"/>
  <c r="Q724" i="135"/>
  <c r="W724" i="135"/>
  <c r="X724" i="135" s="1"/>
  <c r="AB724" i="135"/>
  <c r="AC724" i="135" s="1"/>
  <c r="AI724" i="135"/>
  <c r="AJ724" i="135" s="1"/>
  <c r="F725" i="135"/>
  <c r="M725" i="135"/>
  <c r="N725" i="135"/>
  <c r="O725" i="135"/>
  <c r="R725" i="135" s="1"/>
  <c r="P725" i="135"/>
  <c r="Q725" i="135"/>
  <c r="W725" i="135"/>
  <c r="X725" i="135" s="1"/>
  <c r="AB725" i="135"/>
  <c r="AC725" i="135" s="1"/>
  <c r="AI725" i="135"/>
  <c r="AJ725" i="135" s="1"/>
  <c r="F726" i="135"/>
  <c r="F726" i="139" s="1"/>
  <c r="M726" i="135"/>
  <c r="N726" i="135"/>
  <c r="O726" i="135"/>
  <c r="P726" i="135"/>
  <c r="Q726" i="135"/>
  <c r="R726" i="135"/>
  <c r="W726" i="135"/>
  <c r="AB726" i="135"/>
  <c r="AC726" i="135" s="1"/>
  <c r="AI726" i="135"/>
  <c r="AJ726" i="135" s="1"/>
  <c r="M727" i="135"/>
  <c r="N727" i="135"/>
  <c r="O727" i="135"/>
  <c r="R727" i="135" s="1"/>
  <c r="P727" i="135"/>
  <c r="Q727" i="135"/>
  <c r="W727" i="135"/>
  <c r="X727" i="135" s="1"/>
  <c r="AB727" i="135"/>
  <c r="AC727" i="135" s="1"/>
  <c r="AI727" i="135"/>
  <c r="AJ727" i="135" s="1"/>
  <c r="F728" i="135"/>
  <c r="F728" i="139" s="1"/>
  <c r="M728" i="135"/>
  <c r="N728" i="135"/>
  <c r="O728" i="135"/>
  <c r="P728" i="135"/>
  <c r="Q728" i="135"/>
  <c r="R728" i="135"/>
  <c r="W728" i="135"/>
  <c r="AB728" i="135"/>
  <c r="AC728" i="135" s="1"/>
  <c r="AI728" i="135"/>
  <c r="AJ728" i="135" s="1"/>
  <c r="F729" i="135"/>
  <c r="M729" i="135"/>
  <c r="N729" i="135"/>
  <c r="O729" i="135"/>
  <c r="P729" i="135"/>
  <c r="R729" i="135" s="1"/>
  <c r="Q729" i="135"/>
  <c r="W729" i="135"/>
  <c r="X729" i="135" s="1"/>
  <c r="AB729" i="135"/>
  <c r="AC729" i="135" s="1"/>
  <c r="AI729" i="135"/>
  <c r="AJ729" i="135" s="1"/>
  <c r="F730" i="135"/>
  <c r="F730" i="139" s="1"/>
  <c r="M730" i="135"/>
  <c r="N730" i="135"/>
  <c r="O730" i="135"/>
  <c r="R730" i="135" s="1"/>
  <c r="P730" i="135"/>
  <c r="Q730" i="135"/>
  <c r="W730" i="135"/>
  <c r="AB730" i="135"/>
  <c r="AC730" i="135" s="1"/>
  <c r="AI730" i="135"/>
  <c r="AJ730" i="135" s="1"/>
  <c r="F731" i="135"/>
  <c r="M731" i="135"/>
  <c r="N731" i="135"/>
  <c r="O731" i="135"/>
  <c r="R731" i="135" s="1"/>
  <c r="P731" i="135"/>
  <c r="Q731" i="135"/>
  <c r="W731" i="135"/>
  <c r="AB731" i="135"/>
  <c r="AC731" i="135" s="1"/>
  <c r="AI731" i="135"/>
  <c r="AJ731" i="135" s="1"/>
  <c r="F732" i="135"/>
  <c r="F732" i="139" s="1"/>
  <c r="M732" i="135"/>
  <c r="N732" i="135"/>
  <c r="O732" i="135"/>
  <c r="R732" i="135" s="1"/>
  <c r="P732" i="135"/>
  <c r="Q732" i="135"/>
  <c r="W732" i="135"/>
  <c r="X732" i="135" s="1"/>
  <c r="AB732" i="135"/>
  <c r="AC732" i="135" s="1"/>
  <c r="AI732" i="135"/>
  <c r="AJ732" i="135" s="1"/>
  <c r="F733" i="139"/>
  <c r="M733" i="135"/>
  <c r="N733" i="135"/>
  <c r="O733" i="135"/>
  <c r="R733" i="135" s="1"/>
  <c r="P733" i="135"/>
  <c r="Q733" i="135"/>
  <c r="W733" i="135"/>
  <c r="X733" i="135" s="1"/>
  <c r="AB733" i="135"/>
  <c r="AC733" i="135" s="1"/>
  <c r="AI733" i="135"/>
  <c r="AJ733" i="135" s="1"/>
  <c r="F734" i="135"/>
  <c r="F735" i="139" s="1"/>
  <c r="M734" i="135"/>
  <c r="N734" i="135"/>
  <c r="O734" i="135"/>
  <c r="R734" i="135" s="1"/>
  <c r="P734" i="135"/>
  <c r="Q734" i="135"/>
  <c r="W734" i="135"/>
  <c r="X734" i="135" s="1"/>
  <c r="AB734" i="135"/>
  <c r="AC734" i="135" s="1"/>
  <c r="AI734" i="135"/>
  <c r="AJ734" i="135" s="1"/>
  <c r="M735" i="135"/>
  <c r="N735" i="135"/>
  <c r="O735" i="135"/>
  <c r="P735" i="135"/>
  <c r="Q735" i="135"/>
  <c r="R735" i="135"/>
  <c r="W735" i="135"/>
  <c r="X735" i="135" s="1"/>
  <c r="AB735" i="135"/>
  <c r="AC735" i="135" s="1"/>
  <c r="AI735" i="135"/>
  <c r="AJ735" i="135" s="1"/>
  <c r="M736" i="135"/>
  <c r="N736" i="135"/>
  <c r="O736" i="135"/>
  <c r="P736" i="135"/>
  <c r="Q736" i="135"/>
  <c r="R736" i="135"/>
  <c r="W736" i="135"/>
  <c r="X736" i="135" s="1"/>
  <c r="AB736" i="135"/>
  <c r="AI736" i="135"/>
  <c r="AJ736" i="135" s="1"/>
  <c r="F737" i="135"/>
  <c r="F737" i="139" s="1"/>
  <c r="M737" i="135"/>
  <c r="N737" i="135"/>
  <c r="O737" i="135"/>
  <c r="R737" i="135" s="1"/>
  <c r="P737" i="135"/>
  <c r="Q737" i="135"/>
  <c r="W737" i="135"/>
  <c r="X737" i="135" s="1"/>
  <c r="AB737" i="135"/>
  <c r="AC737" i="135" s="1"/>
  <c r="AI737" i="135"/>
  <c r="AJ737" i="135" s="1"/>
  <c r="F738" i="135"/>
  <c r="M738" i="135"/>
  <c r="N738" i="135"/>
  <c r="O738" i="135"/>
  <c r="R738" i="135" s="1"/>
  <c r="P738" i="135"/>
  <c r="Q738" i="135"/>
  <c r="W738" i="135"/>
  <c r="AB738" i="135"/>
  <c r="AC738" i="135" s="1"/>
  <c r="AI738" i="135"/>
  <c r="AJ738" i="135" s="1"/>
  <c r="M739" i="135"/>
  <c r="N739" i="135"/>
  <c r="O739" i="135"/>
  <c r="R739" i="135" s="1"/>
  <c r="P739" i="135"/>
  <c r="Q739" i="135"/>
  <c r="W739" i="135"/>
  <c r="X739" i="135" s="1"/>
  <c r="AB739" i="135"/>
  <c r="AC739" i="135" s="1"/>
  <c r="AI739" i="135"/>
  <c r="AJ739" i="135" s="1"/>
  <c r="F740" i="135"/>
  <c r="M740" i="135"/>
  <c r="N740" i="135"/>
  <c r="O740" i="135"/>
  <c r="P740" i="135"/>
  <c r="Q740" i="135"/>
  <c r="R740" i="135"/>
  <c r="W740" i="135"/>
  <c r="AB740" i="135"/>
  <c r="AC740" i="135" s="1"/>
  <c r="AI740" i="135"/>
  <c r="AJ740" i="135" s="1"/>
  <c r="F741" i="135"/>
  <c r="M741" i="135"/>
  <c r="N741" i="135"/>
  <c r="O741" i="135"/>
  <c r="R741" i="135" s="1"/>
  <c r="P741" i="135"/>
  <c r="Q741" i="135"/>
  <c r="W741" i="135"/>
  <c r="AB741" i="135"/>
  <c r="AC741" i="135" s="1"/>
  <c r="AI741" i="135"/>
  <c r="AJ741" i="135" s="1"/>
  <c r="F742" i="135"/>
  <c r="M742" i="135"/>
  <c r="N742" i="135"/>
  <c r="O742" i="135"/>
  <c r="P742" i="135"/>
  <c r="Q742" i="135"/>
  <c r="R742" i="135"/>
  <c r="W742" i="135"/>
  <c r="AB742" i="135"/>
  <c r="AC742" i="135" s="1"/>
  <c r="AI742" i="135"/>
  <c r="AJ742" i="135" s="1"/>
  <c r="F743" i="135"/>
  <c r="M743" i="135"/>
  <c r="N743" i="135"/>
  <c r="O743" i="135"/>
  <c r="R743" i="135" s="1"/>
  <c r="P743" i="135"/>
  <c r="Q743" i="135"/>
  <c r="W743" i="135"/>
  <c r="X743" i="135" s="1"/>
  <c r="AB743" i="135"/>
  <c r="AC743" i="135" s="1"/>
  <c r="AI743" i="135"/>
  <c r="AJ743" i="135" s="1"/>
  <c r="F744" i="135"/>
  <c r="M744" i="135"/>
  <c r="N744" i="135"/>
  <c r="O744" i="135"/>
  <c r="P744" i="135"/>
  <c r="Q744" i="135"/>
  <c r="R744" i="135"/>
  <c r="W744" i="135"/>
  <c r="AB744" i="135"/>
  <c r="AC744" i="135" s="1"/>
  <c r="AI744" i="135"/>
  <c r="AJ744" i="135"/>
  <c r="F745" i="135"/>
  <c r="F743" i="134" s="1"/>
  <c r="M745" i="135"/>
  <c r="N745" i="135"/>
  <c r="O745" i="135"/>
  <c r="P745" i="135"/>
  <c r="Q745" i="135"/>
  <c r="R745" i="135" s="1"/>
  <c r="W745" i="135"/>
  <c r="X745" i="135" s="1"/>
  <c r="AB745" i="135"/>
  <c r="AC745" i="135" s="1"/>
  <c r="AI745" i="135"/>
  <c r="AJ745" i="135" s="1"/>
  <c r="F746" i="135"/>
  <c r="F746" i="139" s="1"/>
  <c r="M746" i="135"/>
  <c r="N746" i="135"/>
  <c r="O746" i="135"/>
  <c r="P746" i="135"/>
  <c r="Q746" i="135"/>
  <c r="R746" i="135"/>
  <c r="W746" i="135"/>
  <c r="AB746" i="135"/>
  <c r="AC746" i="135" s="1"/>
  <c r="AI746" i="135"/>
  <c r="AJ746" i="135" s="1"/>
  <c r="F747" i="135"/>
  <c r="M747" i="135"/>
  <c r="N747" i="135"/>
  <c r="O747" i="135"/>
  <c r="P747" i="135"/>
  <c r="R747" i="135" s="1"/>
  <c r="Q747" i="135"/>
  <c r="W747" i="135"/>
  <c r="X747" i="135" s="1"/>
  <c r="AB747" i="135"/>
  <c r="AC747" i="135" s="1"/>
  <c r="AI747" i="135"/>
  <c r="AJ747" i="135" s="1"/>
  <c r="F748" i="135"/>
  <c r="M748" i="135"/>
  <c r="N748" i="135"/>
  <c r="O748" i="135"/>
  <c r="P748" i="135"/>
  <c r="Q748" i="135"/>
  <c r="R748" i="135"/>
  <c r="W748" i="135"/>
  <c r="AB748" i="135"/>
  <c r="AC748" i="135" s="1"/>
  <c r="AI748" i="135"/>
  <c r="AJ748" i="135" s="1"/>
  <c r="F749" i="135"/>
  <c r="F749" i="139" s="1"/>
  <c r="M749" i="135"/>
  <c r="N749" i="135"/>
  <c r="O749" i="135"/>
  <c r="R749" i="135" s="1"/>
  <c r="P749" i="135"/>
  <c r="Q749" i="135"/>
  <c r="W749" i="135"/>
  <c r="X749" i="135" s="1"/>
  <c r="AB749" i="135"/>
  <c r="AC749" i="135" s="1"/>
  <c r="AI749" i="135"/>
  <c r="AJ749" i="135" s="1"/>
  <c r="F750" i="135"/>
  <c r="M750" i="135"/>
  <c r="N750" i="135"/>
  <c r="O750" i="135"/>
  <c r="R750" i="135" s="1"/>
  <c r="P750" i="135"/>
  <c r="Q750" i="135"/>
  <c r="W750" i="135"/>
  <c r="X750" i="135" s="1"/>
  <c r="AB750" i="135"/>
  <c r="AI750" i="135"/>
  <c r="AJ750" i="135" s="1"/>
  <c r="F751" i="135"/>
  <c r="F751" i="139" s="1"/>
  <c r="M751" i="135"/>
  <c r="N751" i="135"/>
  <c r="O751" i="135"/>
  <c r="P751" i="135"/>
  <c r="Q751" i="135"/>
  <c r="R751" i="135" s="1"/>
  <c r="W751" i="135"/>
  <c r="AB751" i="135"/>
  <c r="AC751" i="135" s="1"/>
  <c r="AI751" i="135"/>
  <c r="AJ751" i="135" s="1"/>
  <c r="F752" i="135"/>
  <c r="M752" i="135"/>
  <c r="N752" i="135"/>
  <c r="O752" i="135"/>
  <c r="R752" i="135" s="1"/>
  <c r="P752" i="135"/>
  <c r="Q752" i="135"/>
  <c r="W752" i="135"/>
  <c r="AB752" i="135"/>
  <c r="AC752" i="135" s="1"/>
  <c r="AI752" i="135"/>
  <c r="AJ752" i="135" s="1"/>
  <c r="F753" i="135"/>
  <c r="M753" i="135"/>
  <c r="N753" i="135"/>
  <c r="O753" i="135"/>
  <c r="P753" i="135"/>
  <c r="Q753" i="135"/>
  <c r="R753" i="135"/>
  <c r="W753" i="135"/>
  <c r="X753" i="135" s="1"/>
  <c r="AB753" i="135"/>
  <c r="AC753" i="135" s="1"/>
  <c r="AI753" i="135"/>
  <c r="AJ753" i="135" s="1"/>
  <c r="F754" i="135"/>
  <c r="M754" i="135"/>
  <c r="N754" i="135"/>
  <c r="O754" i="135"/>
  <c r="R754" i="135" s="1"/>
  <c r="P754" i="135"/>
  <c r="Q754" i="135"/>
  <c r="W754" i="135"/>
  <c r="AB754" i="135"/>
  <c r="AC754" i="135" s="1"/>
  <c r="AI754" i="135"/>
  <c r="AJ754" i="135" s="1"/>
  <c r="F755" i="139"/>
  <c r="M755" i="135"/>
  <c r="N755" i="135"/>
  <c r="O755" i="135"/>
  <c r="R755" i="135" s="1"/>
  <c r="P755" i="135"/>
  <c r="Q755" i="135"/>
  <c r="W755" i="135"/>
  <c r="X755" i="135" s="1"/>
  <c r="AB755" i="135"/>
  <c r="AC755" i="135" s="1"/>
  <c r="AI755" i="135"/>
  <c r="AJ755" i="135" s="1"/>
  <c r="F756" i="135"/>
  <c r="M756" i="135"/>
  <c r="N756" i="135"/>
  <c r="O756" i="135"/>
  <c r="P756" i="135"/>
  <c r="Q756" i="135"/>
  <c r="R756" i="135"/>
  <c r="W756" i="135"/>
  <c r="X756" i="135" s="1"/>
  <c r="AB756" i="135"/>
  <c r="AC756" i="135" s="1"/>
  <c r="AI756" i="135"/>
  <c r="AJ756" i="135" s="1"/>
  <c r="F757" i="135"/>
  <c r="M757" i="135"/>
  <c r="N757" i="135"/>
  <c r="O757" i="135"/>
  <c r="R757" i="135" s="1"/>
  <c r="P757" i="135"/>
  <c r="Q757" i="135"/>
  <c r="W757" i="135"/>
  <c r="AB757" i="135"/>
  <c r="AC757" i="135" s="1"/>
  <c r="AI757" i="135"/>
  <c r="AJ757" i="135" s="1"/>
  <c r="F758" i="135"/>
  <c r="M758" i="135"/>
  <c r="N758" i="135"/>
  <c r="O758" i="135"/>
  <c r="P758" i="135"/>
  <c r="Q758" i="135"/>
  <c r="R758" i="135"/>
  <c r="W758" i="135"/>
  <c r="X758" i="135" s="1"/>
  <c r="AB758" i="135"/>
  <c r="AC758" i="135" s="1"/>
  <c r="AI758" i="135"/>
  <c r="AJ758" i="135" s="1"/>
  <c r="F759" i="135"/>
  <c r="M759" i="135"/>
  <c r="N759" i="135"/>
  <c r="O759" i="135"/>
  <c r="R759" i="135" s="1"/>
  <c r="P759" i="135"/>
  <c r="Q759" i="135"/>
  <c r="W759" i="135"/>
  <c r="X759" i="135" s="1"/>
  <c r="AB759" i="135"/>
  <c r="AC759" i="135" s="1"/>
  <c r="AI759" i="135"/>
  <c r="AJ759" i="135" s="1"/>
  <c r="F760" i="135"/>
  <c r="F760" i="139" s="1"/>
  <c r="M760" i="135"/>
  <c r="N760" i="135"/>
  <c r="O760" i="135"/>
  <c r="P760" i="135"/>
  <c r="Q760" i="135"/>
  <c r="R760" i="135"/>
  <c r="W760" i="135"/>
  <c r="X760" i="135"/>
  <c r="AB760" i="135"/>
  <c r="AC760" i="135" s="1"/>
  <c r="AI760" i="135"/>
  <c r="AJ760" i="135" s="1"/>
  <c r="M761" i="135"/>
  <c r="N761" i="135"/>
  <c r="O761" i="135"/>
  <c r="R761" i="135" s="1"/>
  <c r="P761" i="135"/>
  <c r="Q761" i="135"/>
  <c r="W761" i="135"/>
  <c r="AB761" i="135"/>
  <c r="AC761" i="135" s="1"/>
  <c r="AI761" i="135"/>
  <c r="AJ761" i="135" s="1"/>
  <c r="F762" i="135"/>
  <c r="F762" i="139" s="1"/>
  <c r="M762" i="135"/>
  <c r="N762" i="135"/>
  <c r="O762" i="135"/>
  <c r="R762" i="135" s="1"/>
  <c r="P762" i="135"/>
  <c r="Q762" i="135"/>
  <c r="W762" i="135"/>
  <c r="X762" i="135" s="1"/>
  <c r="AB762" i="135"/>
  <c r="AC762" i="135" s="1"/>
  <c r="AI762" i="135"/>
  <c r="AJ762" i="135" s="1"/>
  <c r="F763" i="135"/>
  <c r="M763" i="135"/>
  <c r="N763" i="135"/>
  <c r="O763" i="135"/>
  <c r="P763" i="135"/>
  <c r="R763" i="135" s="1"/>
  <c r="Q763" i="135"/>
  <c r="W763" i="135"/>
  <c r="AB763" i="135"/>
  <c r="AC763" i="135" s="1"/>
  <c r="AI763" i="135"/>
  <c r="AJ763" i="135" s="1"/>
  <c r="M764" i="135"/>
  <c r="N764" i="135"/>
  <c r="O764" i="135"/>
  <c r="P764" i="135"/>
  <c r="Q764" i="135"/>
  <c r="R764" i="135"/>
  <c r="W764" i="135"/>
  <c r="AB764" i="135"/>
  <c r="AC764" i="135" s="1"/>
  <c r="AI764" i="135"/>
  <c r="AJ764" i="135" s="1"/>
  <c r="F765" i="135"/>
  <c r="M765" i="135"/>
  <c r="N765" i="135"/>
  <c r="O765" i="135"/>
  <c r="R765" i="135" s="1"/>
  <c r="P765" i="135"/>
  <c r="Q765" i="135"/>
  <c r="W765" i="135"/>
  <c r="X765" i="135" s="1"/>
  <c r="AB765" i="135"/>
  <c r="AC765" i="135" s="1"/>
  <c r="AI765" i="135"/>
  <c r="AJ765" i="135"/>
  <c r="F766" i="135"/>
  <c r="M766" i="135"/>
  <c r="N766" i="135"/>
  <c r="O766" i="135"/>
  <c r="P766" i="135"/>
  <c r="Q766" i="135"/>
  <c r="R766" i="135"/>
  <c r="W766" i="135"/>
  <c r="X766" i="135" s="1"/>
  <c r="AB766" i="135"/>
  <c r="AC766" i="135" s="1"/>
  <c r="AI766" i="135"/>
  <c r="AJ766" i="135" s="1"/>
  <c r="F767" i="139"/>
  <c r="M767" i="135"/>
  <c r="N767" i="135"/>
  <c r="O767" i="135"/>
  <c r="R767" i="135" s="1"/>
  <c r="P767" i="135"/>
  <c r="Q767" i="135"/>
  <c r="W767" i="135"/>
  <c r="X767" i="135" s="1"/>
  <c r="AB767" i="135"/>
  <c r="AC767" i="135" s="1"/>
  <c r="AI767" i="135"/>
  <c r="AJ767" i="135" s="1"/>
  <c r="F768" i="135"/>
  <c r="F768" i="139" s="1"/>
  <c r="M768" i="135"/>
  <c r="N768" i="135"/>
  <c r="O768" i="135"/>
  <c r="R768" i="135" s="1"/>
  <c r="P768" i="135"/>
  <c r="Q768" i="135"/>
  <c r="W768" i="135"/>
  <c r="X768" i="135" s="1"/>
  <c r="AB768" i="135"/>
  <c r="AC768" i="135" s="1"/>
  <c r="AI768" i="135"/>
  <c r="AJ768" i="135" s="1"/>
  <c r="F769" i="135"/>
  <c r="M769" i="135"/>
  <c r="N769" i="135"/>
  <c r="O769" i="135"/>
  <c r="R769" i="135" s="1"/>
  <c r="P769" i="135"/>
  <c r="Q769" i="135"/>
  <c r="W769" i="135"/>
  <c r="X769" i="135" s="1"/>
  <c r="AB769" i="135"/>
  <c r="AC769" i="135" s="1"/>
  <c r="AI769" i="135"/>
  <c r="AJ769" i="135" s="1"/>
  <c r="F770" i="135"/>
  <c r="M770" i="135"/>
  <c r="N770" i="135"/>
  <c r="O770" i="135"/>
  <c r="R770" i="135" s="1"/>
  <c r="P770" i="135"/>
  <c r="Q770" i="135"/>
  <c r="W770" i="135"/>
  <c r="X770" i="135" s="1"/>
  <c r="AB770" i="135"/>
  <c r="AC770" i="135" s="1"/>
  <c r="AI770" i="135"/>
  <c r="AJ770" i="135" s="1"/>
  <c r="F771" i="135"/>
  <c r="F771" i="139" s="1"/>
  <c r="M771" i="135"/>
  <c r="N771" i="135"/>
  <c r="O771" i="135"/>
  <c r="P771" i="135"/>
  <c r="Q771" i="135"/>
  <c r="R771" i="135"/>
  <c r="W771" i="135"/>
  <c r="AB771" i="135"/>
  <c r="AC771" i="135" s="1"/>
  <c r="AI771" i="135"/>
  <c r="AJ771" i="135" s="1"/>
  <c r="F772" i="135"/>
  <c r="M772" i="135"/>
  <c r="N772" i="135"/>
  <c r="O772" i="135"/>
  <c r="P772" i="135"/>
  <c r="Q772" i="135"/>
  <c r="R772" i="135"/>
  <c r="W772" i="135"/>
  <c r="AB772" i="135"/>
  <c r="AC772" i="135" s="1"/>
  <c r="AI772" i="135"/>
  <c r="AJ772" i="135" s="1"/>
  <c r="F773" i="135"/>
  <c r="M773" i="135"/>
  <c r="N773" i="135"/>
  <c r="O773" i="135"/>
  <c r="P773" i="135"/>
  <c r="Q773" i="135"/>
  <c r="R773" i="135"/>
  <c r="W773" i="135"/>
  <c r="X773" i="135" s="1"/>
  <c r="AB773" i="135"/>
  <c r="AC773" i="135" s="1"/>
  <c r="AI773" i="135"/>
  <c r="AJ773" i="135" s="1"/>
  <c r="F774" i="135"/>
  <c r="F774" i="139" s="1"/>
  <c r="M774" i="135"/>
  <c r="N774" i="135"/>
  <c r="O774" i="135"/>
  <c r="P774" i="135"/>
  <c r="Q774" i="135"/>
  <c r="R774" i="135"/>
  <c r="W774" i="135"/>
  <c r="AB774" i="135"/>
  <c r="AC774" i="135" s="1"/>
  <c r="AI774" i="135"/>
  <c r="AJ774" i="135" s="1"/>
  <c r="F775" i="135"/>
  <c r="M775" i="135"/>
  <c r="N775" i="135"/>
  <c r="O775" i="135"/>
  <c r="P775" i="135"/>
  <c r="Q775" i="135"/>
  <c r="R775" i="135" s="1"/>
  <c r="W775" i="135"/>
  <c r="X775" i="135" s="1"/>
  <c r="AB775" i="135"/>
  <c r="AC775" i="135" s="1"/>
  <c r="AI775" i="135"/>
  <c r="AJ775" i="135" s="1"/>
  <c r="F776" i="139"/>
  <c r="M776" i="135"/>
  <c r="N776" i="135"/>
  <c r="O776" i="135"/>
  <c r="R776" i="135" s="1"/>
  <c r="P776" i="135"/>
  <c r="Q776" i="135"/>
  <c r="W776" i="135"/>
  <c r="X776" i="135" s="1"/>
  <c r="AB776" i="135"/>
  <c r="AC776" i="135" s="1"/>
  <c r="AI776" i="135"/>
  <c r="AJ776" i="135" s="1"/>
  <c r="F777" i="135"/>
  <c r="F775" i="134" s="1"/>
  <c r="M777" i="135"/>
  <c r="N777" i="135"/>
  <c r="O777" i="135"/>
  <c r="P777" i="135"/>
  <c r="Q777" i="135"/>
  <c r="R777" i="135"/>
  <c r="W777" i="135"/>
  <c r="X777" i="135" s="1"/>
  <c r="AB777" i="135"/>
  <c r="AC777" i="135" s="1"/>
  <c r="AI777" i="135"/>
  <c r="AJ777" i="135" s="1"/>
  <c r="F778" i="135"/>
  <c r="M778" i="135"/>
  <c r="N778" i="135"/>
  <c r="O778" i="135"/>
  <c r="R778" i="135" s="1"/>
  <c r="P778" i="135"/>
  <c r="Q778" i="135"/>
  <c r="W778" i="135"/>
  <c r="AB778" i="135"/>
  <c r="AC778" i="135" s="1"/>
  <c r="AI778" i="135"/>
  <c r="AJ778" i="135" s="1"/>
  <c r="F779" i="135"/>
  <c r="M779" i="135"/>
  <c r="N779" i="135"/>
  <c r="O779" i="135"/>
  <c r="P779" i="135"/>
  <c r="R779" i="135" s="1"/>
  <c r="Q779" i="135"/>
  <c r="W779" i="135"/>
  <c r="X779" i="135" s="1"/>
  <c r="AB779" i="135"/>
  <c r="AC779" i="135" s="1"/>
  <c r="AI779" i="135"/>
  <c r="AJ779" i="135" s="1"/>
  <c r="F780" i="135"/>
  <c r="F780" i="139" s="1"/>
  <c r="M780" i="135"/>
  <c r="N780" i="135"/>
  <c r="O780" i="135"/>
  <c r="P780" i="135"/>
  <c r="Q780" i="135"/>
  <c r="R780" i="135"/>
  <c r="W780" i="135"/>
  <c r="AB780" i="135"/>
  <c r="AC780" i="135" s="1"/>
  <c r="AI780" i="135"/>
  <c r="AJ780" i="135" s="1"/>
  <c r="F781" i="135"/>
  <c r="F781" i="139" s="1"/>
  <c r="M781" i="135"/>
  <c r="N781" i="135"/>
  <c r="O781" i="135"/>
  <c r="P781" i="135"/>
  <c r="Q781" i="135"/>
  <c r="R781" i="135"/>
  <c r="W781" i="135"/>
  <c r="X781" i="135" s="1"/>
  <c r="AB781" i="135"/>
  <c r="AC781" i="135" s="1"/>
  <c r="AI781" i="135"/>
  <c r="AJ781" i="135" s="1"/>
  <c r="F782" i="135"/>
  <c r="M782" i="135"/>
  <c r="N782" i="135"/>
  <c r="O782" i="135"/>
  <c r="R782" i="135" s="1"/>
  <c r="P782" i="135"/>
  <c r="Q782" i="135"/>
  <c r="W782" i="135"/>
  <c r="X782" i="135" s="1"/>
  <c r="AB782" i="135"/>
  <c r="AC782" i="135" s="1"/>
  <c r="AI782" i="135"/>
  <c r="AJ782" i="135" s="1"/>
  <c r="F783" i="135"/>
  <c r="M783" i="135"/>
  <c r="N783" i="135"/>
  <c r="O783" i="135"/>
  <c r="R783" i="135" s="1"/>
  <c r="P783" i="135"/>
  <c r="Q783" i="135"/>
  <c r="W783" i="135"/>
  <c r="AB783" i="135"/>
  <c r="AC783" i="135" s="1"/>
  <c r="AI783" i="135"/>
  <c r="AJ783" i="135" s="1"/>
  <c r="F784" i="135"/>
  <c r="M784" i="135"/>
  <c r="N784" i="135"/>
  <c r="O784" i="135"/>
  <c r="R784" i="135" s="1"/>
  <c r="P784" i="135"/>
  <c r="Q784" i="135"/>
  <c r="W784" i="135"/>
  <c r="X784" i="135" s="1"/>
  <c r="AB784" i="135"/>
  <c r="AC784" i="135" s="1"/>
  <c r="AI784" i="135"/>
  <c r="AJ784" i="135" s="1"/>
  <c r="F785" i="135"/>
  <c r="F785" i="139" s="1"/>
  <c r="M785" i="135"/>
  <c r="N785" i="135"/>
  <c r="O785" i="135"/>
  <c r="P785" i="135"/>
  <c r="Q785" i="135"/>
  <c r="R785" i="135"/>
  <c r="W785" i="135"/>
  <c r="X785" i="135" s="1"/>
  <c r="AB785" i="135"/>
  <c r="AC785" i="135" s="1"/>
  <c r="AI785" i="135"/>
  <c r="AJ785" i="135" s="1"/>
  <c r="F786" i="135"/>
  <c r="M786" i="135"/>
  <c r="N786" i="135"/>
  <c r="O786" i="135"/>
  <c r="R786" i="135" s="1"/>
  <c r="P786" i="135"/>
  <c r="Q786" i="135"/>
  <c r="W786" i="135"/>
  <c r="AB786" i="135"/>
  <c r="AC786" i="135" s="1"/>
  <c r="AI786" i="135"/>
  <c r="AJ786" i="135" s="1"/>
  <c r="F787" i="135"/>
  <c r="M787" i="135"/>
  <c r="N787" i="135"/>
  <c r="O787" i="135"/>
  <c r="R787" i="135" s="1"/>
  <c r="P787" i="135"/>
  <c r="Q787" i="135"/>
  <c r="W787" i="135"/>
  <c r="AB787" i="135"/>
  <c r="AC787" i="135" s="1"/>
  <c r="AI787" i="135"/>
  <c r="AJ787" i="135" s="1"/>
  <c r="F788" i="135"/>
  <c r="M788" i="135"/>
  <c r="N788" i="135"/>
  <c r="O788" i="135"/>
  <c r="P788" i="135"/>
  <c r="Q788" i="135"/>
  <c r="R788" i="135"/>
  <c r="W788" i="135"/>
  <c r="X788" i="135" s="1"/>
  <c r="AB788" i="135"/>
  <c r="AC788" i="135" s="1"/>
  <c r="AI788" i="135"/>
  <c r="AJ788" i="135" s="1"/>
  <c r="F789" i="135"/>
  <c r="M789" i="135"/>
  <c r="N789" i="135"/>
  <c r="O789" i="135"/>
  <c r="P789" i="135"/>
  <c r="Q789" i="135"/>
  <c r="R789" i="135"/>
  <c r="W789" i="135"/>
  <c r="AB789" i="135"/>
  <c r="AC789" i="135" s="1"/>
  <c r="AI789" i="135"/>
  <c r="AJ789" i="135" s="1"/>
  <c r="F790" i="135"/>
  <c r="M790" i="135"/>
  <c r="N790" i="135"/>
  <c r="O790" i="135"/>
  <c r="P790" i="135"/>
  <c r="Q790" i="135"/>
  <c r="R790" i="135"/>
  <c r="W790" i="135"/>
  <c r="X790" i="135" s="1"/>
  <c r="AB790" i="135"/>
  <c r="AC790" i="135" s="1"/>
  <c r="AI790" i="135"/>
  <c r="AJ790" i="135" s="1"/>
  <c r="F791" i="135"/>
  <c r="M791" i="135"/>
  <c r="N791" i="135"/>
  <c r="O791" i="135"/>
  <c r="P791" i="135"/>
  <c r="Q791" i="135"/>
  <c r="R791" i="135"/>
  <c r="W791" i="135"/>
  <c r="X791" i="135" s="1"/>
  <c r="AB791" i="135"/>
  <c r="AC791" i="135" s="1"/>
  <c r="AI791" i="135"/>
  <c r="AJ791" i="135" s="1"/>
  <c r="F792" i="135"/>
  <c r="F792" i="139" s="1"/>
  <c r="M792" i="135"/>
  <c r="N792" i="135"/>
  <c r="O792" i="135"/>
  <c r="P792" i="135"/>
  <c r="Q792" i="135"/>
  <c r="R792" i="135"/>
  <c r="W792" i="135"/>
  <c r="X792" i="135" s="1"/>
  <c r="AB792" i="135"/>
  <c r="AC792" i="135" s="1"/>
  <c r="AI792" i="135"/>
  <c r="AJ792" i="135" s="1"/>
  <c r="M793" i="135"/>
  <c r="N793" i="135"/>
  <c r="O793" i="135"/>
  <c r="R793" i="135" s="1"/>
  <c r="P793" i="135"/>
  <c r="Q793" i="135"/>
  <c r="W793" i="135"/>
  <c r="AB793" i="135"/>
  <c r="AC793" i="135" s="1"/>
  <c r="AI793" i="135"/>
  <c r="AJ793" i="135" s="1"/>
  <c r="F794" i="135"/>
  <c r="F794" i="139" s="1"/>
  <c r="M794" i="135"/>
  <c r="N794" i="135"/>
  <c r="O794" i="135"/>
  <c r="P794" i="135"/>
  <c r="Q794" i="135"/>
  <c r="R794" i="135"/>
  <c r="W794" i="135"/>
  <c r="X794" i="135" s="1"/>
  <c r="AB794" i="135"/>
  <c r="AC794" i="135" s="1"/>
  <c r="AI794" i="135"/>
  <c r="AJ794" i="135" s="1"/>
  <c r="F795" i="135"/>
  <c r="M795" i="135"/>
  <c r="N795" i="135"/>
  <c r="O795" i="135"/>
  <c r="R795" i="135" s="1"/>
  <c r="P795" i="135"/>
  <c r="Q795" i="135"/>
  <c r="W795" i="135"/>
  <c r="AB795" i="135"/>
  <c r="AC795" i="135" s="1"/>
  <c r="AI795" i="135"/>
  <c r="AJ795" i="135" s="1"/>
  <c r="F796" i="135"/>
  <c r="F794" i="134" s="1"/>
  <c r="M796" i="135"/>
  <c r="N796" i="135"/>
  <c r="O796" i="135"/>
  <c r="P796" i="135"/>
  <c r="Q796" i="135"/>
  <c r="R796" i="135"/>
  <c r="W796" i="135"/>
  <c r="AB796" i="135"/>
  <c r="AC796" i="135" s="1"/>
  <c r="AI796" i="135"/>
  <c r="AJ796" i="135" s="1"/>
  <c r="F797" i="135"/>
  <c r="F797" i="139" s="1"/>
  <c r="M797" i="135"/>
  <c r="N797" i="135"/>
  <c r="O797" i="135"/>
  <c r="R797" i="135" s="1"/>
  <c r="P797" i="135"/>
  <c r="Q797" i="135"/>
  <c r="W797" i="135"/>
  <c r="X797" i="135" s="1"/>
  <c r="AB797" i="135"/>
  <c r="AC797" i="135" s="1"/>
  <c r="AI797" i="135"/>
  <c r="AJ797" i="135" s="1"/>
  <c r="F798" i="135"/>
  <c r="M798" i="135"/>
  <c r="N798" i="135"/>
  <c r="O798" i="135"/>
  <c r="P798" i="135"/>
  <c r="Q798" i="135"/>
  <c r="R798" i="135" s="1"/>
  <c r="W798" i="135"/>
  <c r="X798" i="135" s="1"/>
  <c r="AB798" i="135"/>
  <c r="AC798" i="135" s="1"/>
  <c r="AI798" i="135"/>
  <c r="AJ798" i="135" s="1"/>
  <c r="F799" i="135"/>
  <c r="M799" i="135"/>
  <c r="N799" i="135"/>
  <c r="O799" i="135"/>
  <c r="R799" i="135" s="1"/>
  <c r="P799" i="135"/>
  <c r="Q799" i="135"/>
  <c r="W799" i="135"/>
  <c r="AB799" i="135"/>
  <c r="AC799" i="135" s="1"/>
  <c r="AI799" i="135"/>
  <c r="AJ799" i="135" s="1"/>
  <c r="F800" i="135"/>
  <c r="M800" i="135"/>
  <c r="N800" i="135"/>
  <c r="O800" i="135"/>
  <c r="P800" i="135"/>
  <c r="Q800" i="135"/>
  <c r="R800" i="135"/>
  <c r="W800" i="135"/>
  <c r="X800" i="135" s="1"/>
  <c r="AB800" i="135"/>
  <c r="AC800" i="135" s="1"/>
  <c r="AI800" i="135"/>
  <c r="AJ800" i="135" s="1"/>
  <c r="F801" i="135"/>
  <c r="F801" i="139" s="1"/>
  <c r="M801" i="135"/>
  <c r="N801" i="135"/>
  <c r="O801" i="135"/>
  <c r="P801" i="135"/>
  <c r="Q801" i="135"/>
  <c r="R801" i="135"/>
  <c r="W801" i="135"/>
  <c r="X801" i="135" s="1"/>
  <c r="AB801" i="135"/>
  <c r="AC801" i="135" s="1"/>
  <c r="AI801" i="135"/>
  <c r="AJ801" i="135" s="1"/>
  <c r="F802" i="135"/>
  <c r="M802" i="135"/>
  <c r="N802" i="135"/>
  <c r="O802" i="135"/>
  <c r="P802" i="135"/>
  <c r="Q802" i="135"/>
  <c r="R802" i="135"/>
  <c r="W802" i="135"/>
  <c r="X802" i="135" s="1"/>
  <c r="AB802" i="135"/>
  <c r="AC802" i="135" s="1"/>
  <c r="AI802" i="135"/>
  <c r="AJ802" i="135" s="1"/>
  <c r="F803" i="135"/>
  <c r="F803" i="139" s="1"/>
  <c r="M803" i="135"/>
  <c r="N803" i="135"/>
  <c r="O803" i="135"/>
  <c r="R803" i="135" s="1"/>
  <c r="P803" i="135"/>
  <c r="Q803" i="135"/>
  <c r="W803" i="135"/>
  <c r="X803" i="135" s="1"/>
  <c r="AB803" i="135"/>
  <c r="AC803" i="135" s="1"/>
  <c r="AI803" i="135"/>
  <c r="AJ803" i="135" s="1"/>
  <c r="F804" i="135"/>
  <c r="F802" i="134" s="1"/>
  <c r="M804" i="135"/>
  <c r="N804" i="135"/>
  <c r="O804" i="135"/>
  <c r="R804" i="135" s="1"/>
  <c r="P804" i="135"/>
  <c r="Q804" i="135"/>
  <c r="W804" i="135"/>
  <c r="X804" i="135" s="1"/>
  <c r="AB804" i="135"/>
  <c r="AC804" i="135" s="1"/>
  <c r="AI804" i="135"/>
  <c r="AJ804" i="135" s="1"/>
  <c r="F805" i="135"/>
  <c r="M805" i="135"/>
  <c r="N805" i="135"/>
  <c r="O805" i="135"/>
  <c r="R805" i="135" s="1"/>
  <c r="P805" i="135"/>
  <c r="Q805" i="135"/>
  <c r="W805" i="135"/>
  <c r="X805" i="135" s="1"/>
  <c r="AB805" i="135"/>
  <c r="AC805" i="135" s="1"/>
  <c r="AI805" i="135"/>
  <c r="AJ805" i="135" s="1"/>
  <c r="F806" i="135"/>
  <c r="F806" i="139" s="1"/>
  <c r="M806" i="135"/>
  <c r="N806" i="135"/>
  <c r="O806" i="135"/>
  <c r="P806" i="135"/>
  <c r="Q806" i="135"/>
  <c r="R806" i="135"/>
  <c r="W806" i="135"/>
  <c r="AB806" i="135"/>
  <c r="AC806" i="135" s="1"/>
  <c r="AI806" i="135"/>
  <c r="AJ806" i="135" s="1"/>
  <c r="F807" i="135"/>
  <c r="M807" i="135"/>
  <c r="N807" i="135"/>
  <c r="O807" i="135"/>
  <c r="R807" i="135" s="1"/>
  <c r="P807" i="135"/>
  <c r="Q807" i="135"/>
  <c r="W807" i="135"/>
  <c r="AB807" i="135"/>
  <c r="AC807" i="135" s="1"/>
  <c r="AI807" i="135"/>
  <c r="AJ807" i="135" s="1"/>
  <c r="F808" i="135"/>
  <c r="F808" i="139" s="1"/>
  <c r="M808" i="135"/>
  <c r="N808" i="135"/>
  <c r="O808" i="135"/>
  <c r="R808" i="135" s="1"/>
  <c r="P808" i="135"/>
  <c r="Q808" i="135"/>
  <c r="W808" i="135"/>
  <c r="AB808" i="135"/>
  <c r="AC808" i="135" s="1"/>
  <c r="AI808" i="135"/>
  <c r="AJ808" i="135" s="1"/>
  <c r="F809" i="135"/>
  <c r="M809" i="135"/>
  <c r="N809" i="135"/>
  <c r="O809" i="135"/>
  <c r="R809" i="135" s="1"/>
  <c r="P809" i="135"/>
  <c r="Q809" i="135"/>
  <c r="W809" i="135"/>
  <c r="AB809" i="135"/>
  <c r="AC809" i="135" s="1"/>
  <c r="AI809" i="135"/>
  <c r="AJ809" i="135" s="1"/>
  <c r="F810" i="135"/>
  <c r="F810" i="139" s="1"/>
  <c r="M810" i="135"/>
  <c r="N810" i="135"/>
  <c r="O810" i="135"/>
  <c r="R810" i="135" s="1"/>
  <c r="P810" i="135"/>
  <c r="Q810" i="135"/>
  <c r="W810" i="135"/>
  <c r="X810" i="135" s="1"/>
  <c r="AB810" i="135"/>
  <c r="AC810" i="135" s="1"/>
  <c r="AI810" i="135"/>
  <c r="AJ810" i="135" s="1"/>
  <c r="F811" i="135"/>
  <c r="M811" i="135"/>
  <c r="N811" i="135"/>
  <c r="O811" i="135"/>
  <c r="R811" i="135" s="1"/>
  <c r="P811" i="135"/>
  <c r="Q811" i="135"/>
  <c r="W811" i="135"/>
  <c r="X811" i="135" s="1"/>
  <c r="AB811" i="135"/>
  <c r="AC811" i="135" s="1"/>
  <c r="AI811" i="135"/>
  <c r="AJ811" i="135" s="1"/>
  <c r="F812" i="135"/>
  <c r="F812" i="139" s="1"/>
  <c r="M812" i="135"/>
  <c r="N812" i="135"/>
  <c r="O812" i="135"/>
  <c r="R812" i="135" s="1"/>
  <c r="P812" i="135"/>
  <c r="Q812" i="135"/>
  <c r="W812" i="135"/>
  <c r="AB812" i="135"/>
  <c r="AC812" i="135" s="1"/>
  <c r="AI812" i="135"/>
  <c r="AJ812" i="135" s="1"/>
  <c r="F813" i="135"/>
  <c r="F813" i="139" s="1"/>
  <c r="M813" i="135"/>
  <c r="N813" i="135"/>
  <c r="O813" i="135"/>
  <c r="P813" i="135"/>
  <c r="Q813" i="135"/>
  <c r="R813" i="135"/>
  <c r="W813" i="135"/>
  <c r="X813" i="135" s="1"/>
  <c r="AB813" i="135"/>
  <c r="AC813" i="135" s="1"/>
  <c r="AI813" i="135"/>
  <c r="AJ813" i="135" s="1"/>
  <c r="F814" i="135"/>
  <c r="M814" i="135"/>
  <c r="N814" i="135"/>
  <c r="O814" i="135"/>
  <c r="R814" i="135" s="1"/>
  <c r="P814" i="135"/>
  <c r="Q814" i="135"/>
  <c r="W814" i="135"/>
  <c r="X814" i="135" s="1"/>
  <c r="AB814" i="135"/>
  <c r="AC814" i="135" s="1"/>
  <c r="AI814" i="135"/>
  <c r="AJ814" i="135" s="1"/>
  <c r="F815" i="135"/>
  <c r="F815" i="139" s="1"/>
  <c r="M815" i="135"/>
  <c r="N815" i="135"/>
  <c r="O815" i="135"/>
  <c r="R815" i="135" s="1"/>
  <c r="P815" i="135"/>
  <c r="Q815" i="135"/>
  <c r="W815" i="135"/>
  <c r="AB815" i="135"/>
  <c r="AC815" i="135" s="1"/>
  <c r="AI815" i="135"/>
  <c r="AJ815" i="135" s="1"/>
  <c r="F816" i="135"/>
  <c r="M816" i="135"/>
  <c r="N816" i="135"/>
  <c r="O816" i="135"/>
  <c r="R816" i="135" s="1"/>
  <c r="P816" i="135"/>
  <c r="Q816" i="135"/>
  <c r="W816" i="135"/>
  <c r="AB816" i="135"/>
  <c r="AC816" i="135" s="1"/>
  <c r="AI816" i="135"/>
  <c r="AJ816" i="135" s="1"/>
  <c r="F817" i="135"/>
  <c r="M817" i="135"/>
  <c r="N817" i="135"/>
  <c r="O817" i="135"/>
  <c r="R817" i="135" s="1"/>
  <c r="P817" i="135"/>
  <c r="Q817" i="135"/>
  <c r="W817" i="135"/>
  <c r="X817" i="135" s="1"/>
  <c r="AB817" i="135"/>
  <c r="AC817" i="135" s="1"/>
  <c r="AI817" i="135"/>
  <c r="AJ817" i="135" s="1"/>
  <c r="F818" i="135"/>
  <c r="M818" i="135"/>
  <c r="N818" i="135"/>
  <c r="O818" i="135"/>
  <c r="P818" i="135"/>
  <c r="Q818" i="135"/>
  <c r="R818" i="135" s="1"/>
  <c r="W818" i="135"/>
  <c r="X818" i="135" s="1"/>
  <c r="AB818" i="135"/>
  <c r="AC818" i="135" s="1"/>
  <c r="AI818" i="135"/>
  <c r="AJ818" i="135" s="1"/>
  <c r="F819" i="135"/>
  <c r="F819" i="139" s="1"/>
  <c r="M819" i="135"/>
  <c r="N819" i="135"/>
  <c r="O819" i="135"/>
  <c r="R819" i="135" s="1"/>
  <c r="P819" i="135"/>
  <c r="Q819" i="135"/>
  <c r="W819" i="135"/>
  <c r="AB819" i="135"/>
  <c r="AC819" i="135" s="1"/>
  <c r="AI819" i="135"/>
  <c r="AJ819" i="135" s="1"/>
  <c r="F820" i="135"/>
  <c r="M820" i="135"/>
  <c r="N820" i="135"/>
  <c r="O820" i="135"/>
  <c r="R820" i="135" s="1"/>
  <c r="P820" i="135"/>
  <c r="Q820" i="135"/>
  <c r="W820" i="135"/>
  <c r="X820" i="135" s="1"/>
  <c r="AB820" i="135"/>
  <c r="AC820" i="135" s="1"/>
  <c r="AI820" i="135"/>
  <c r="AJ820" i="135" s="1"/>
  <c r="F821" i="135"/>
  <c r="M821" i="135"/>
  <c r="N821" i="135"/>
  <c r="O821" i="135"/>
  <c r="R821" i="135" s="1"/>
  <c r="P821" i="135"/>
  <c r="Q821" i="135"/>
  <c r="W821" i="135"/>
  <c r="X821" i="135" s="1"/>
  <c r="AB821" i="135"/>
  <c r="AC821" i="135" s="1"/>
  <c r="AI821" i="135"/>
  <c r="AJ821" i="135" s="1"/>
  <c r="F822" i="135"/>
  <c r="F820" i="134" s="1"/>
  <c r="M822" i="135"/>
  <c r="N822" i="135"/>
  <c r="O822" i="135"/>
  <c r="R822" i="135" s="1"/>
  <c r="P822" i="135"/>
  <c r="Q822" i="135"/>
  <c r="W822" i="135"/>
  <c r="AB822" i="135"/>
  <c r="AC822" i="135" s="1"/>
  <c r="AI822" i="135"/>
  <c r="AJ822" i="135" s="1"/>
  <c r="F823" i="135"/>
  <c r="M823" i="135"/>
  <c r="N823" i="135"/>
  <c r="O823" i="135"/>
  <c r="P823" i="135"/>
  <c r="Q823" i="135"/>
  <c r="R823" i="135"/>
  <c r="W823" i="135"/>
  <c r="X823" i="135" s="1"/>
  <c r="AB823" i="135"/>
  <c r="AI823" i="135"/>
  <c r="AJ823" i="135" s="1"/>
  <c r="F824" i="135"/>
  <c r="F824" i="139" s="1"/>
  <c r="M824" i="135"/>
  <c r="N824" i="135"/>
  <c r="O824" i="135"/>
  <c r="R824" i="135" s="1"/>
  <c r="P824" i="135"/>
  <c r="Q824" i="135"/>
  <c r="W824" i="135"/>
  <c r="AB824" i="135"/>
  <c r="AC824" i="135" s="1"/>
  <c r="AI824" i="135"/>
  <c r="AJ824" i="135" s="1"/>
  <c r="F825" i="135"/>
  <c r="F823" i="134" s="1"/>
  <c r="M825" i="135"/>
  <c r="N825" i="135"/>
  <c r="O825" i="135"/>
  <c r="P825" i="135"/>
  <c r="Q825" i="135"/>
  <c r="R825" i="135"/>
  <c r="W825" i="135"/>
  <c r="X825" i="135" s="1"/>
  <c r="AB825" i="135"/>
  <c r="AC825" i="135" s="1"/>
  <c r="AI825" i="135"/>
  <c r="AJ825" i="135" s="1"/>
  <c r="F826" i="135"/>
  <c r="F826" i="139" s="1"/>
  <c r="M826" i="135"/>
  <c r="N826" i="135"/>
  <c r="O826" i="135"/>
  <c r="P826" i="135"/>
  <c r="Q826" i="135"/>
  <c r="R826" i="135" s="1"/>
  <c r="W826" i="135"/>
  <c r="X826" i="135" s="1"/>
  <c r="AB826" i="135"/>
  <c r="AC826" i="135" s="1"/>
  <c r="AI826" i="135"/>
  <c r="AJ826" i="135" s="1"/>
  <c r="F827" i="135"/>
  <c r="M827" i="135"/>
  <c r="N827" i="135"/>
  <c r="O827" i="135"/>
  <c r="R827" i="135" s="1"/>
  <c r="P827" i="135"/>
  <c r="Q827" i="135"/>
  <c r="W827" i="135"/>
  <c r="AB827" i="135"/>
  <c r="AC827" i="135" s="1"/>
  <c r="AI827" i="135"/>
  <c r="AJ827" i="135" s="1"/>
  <c r="F828" i="135"/>
  <c r="M828" i="135"/>
  <c r="N828" i="135"/>
  <c r="O828" i="135"/>
  <c r="P828" i="135"/>
  <c r="Q828" i="135"/>
  <c r="R828" i="135"/>
  <c r="W828" i="135"/>
  <c r="X828" i="135" s="1"/>
  <c r="AB828" i="135"/>
  <c r="AC828" i="135" s="1"/>
  <c r="AI828" i="135"/>
  <c r="AJ828" i="135" s="1"/>
  <c r="F829" i="135"/>
  <c r="M829" i="135"/>
  <c r="N829" i="135"/>
  <c r="O829" i="135"/>
  <c r="P829" i="135"/>
  <c r="Q829" i="135"/>
  <c r="R829" i="135"/>
  <c r="W829" i="135"/>
  <c r="X829" i="135" s="1"/>
  <c r="AB829" i="135"/>
  <c r="AC829" i="135" s="1"/>
  <c r="AI829" i="135"/>
  <c r="AJ829" i="135" s="1"/>
  <c r="F830" i="135"/>
  <c r="M830" i="135"/>
  <c r="N830" i="135"/>
  <c r="O830" i="135"/>
  <c r="P830" i="135"/>
  <c r="Q830" i="135"/>
  <c r="R830" i="135"/>
  <c r="W830" i="135"/>
  <c r="AB830" i="135"/>
  <c r="AC830" i="135" s="1"/>
  <c r="AI830" i="135"/>
  <c r="AJ830" i="135" s="1"/>
  <c r="F831" i="135"/>
  <c r="F829" i="134" s="1"/>
  <c r="M831" i="135"/>
  <c r="N831" i="135"/>
  <c r="O831" i="135"/>
  <c r="P831" i="135"/>
  <c r="Q831" i="135"/>
  <c r="R831" i="135"/>
  <c r="W831" i="135"/>
  <c r="AB831" i="135"/>
  <c r="AC831" i="135" s="1"/>
  <c r="AI831" i="135"/>
  <c r="AJ831" i="135" s="1"/>
  <c r="M832" i="135"/>
  <c r="N832" i="135"/>
  <c r="O832" i="135"/>
  <c r="P832" i="135"/>
  <c r="Q832" i="135"/>
  <c r="R832" i="135"/>
  <c r="W832" i="135"/>
  <c r="X832" i="135" s="1"/>
  <c r="AB832" i="135"/>
  <c r="AI832" i="135"/>
  <c r="AJ832" i="135" s="1"/>
  <c r="F833" i="135"/>
  <c r="F833" i="139" s="1"/>
  <c r="M833" i="135"/>
  <c r="N833" i="135"/>
  <c r="O833" i="135"/>
  <c r="P833" i="135"/>
  <c r="Q833" i="135"/>
  <c r="R833" i="135"/>
  <c r="W833" i="135"/>
  <c r="X833" i="135" s="1"/>
  <c r="AB833" i="135"/>
  <c r="AC833" i="135"/>
  <c r="AI833" i="135"/>
  <c r="AJ833" i="135"/>
  <c r="F834" i="135"/>
  <c r="M834" i="135"/>
  <c r="N834" i="135"/>
  <c r="O834" i="135"/>
  <c r="P834" i="135"/>
  <c r="Q834" i="135"/>
  <c r="R834" i="135"/>
  <c r="W834" i="135"/>
  <c r="X834" i="135" s="1"/>
  <c r="AB834" i="135"/>
  <c r="AC834" i="135" s="1"/>
  <c r="AD834" i="135"/>
  <c r="AE834" i="135" s="1"/>
  <c r="AI834" i="135"/>
  <c r="AJ834" i="135"/>
  <c r="F835" i="135"/>
  <c r="F835" i="139" s="1"/>
  <c r="M835" i="135"/>
  <c r="N835" i="135"/>
  <c r="O835" i="135"/>
  <c r="P835" i="135"/>
  <c r="Q835" i="135"/>
  <c r="R835" i="135"/>
  <c r="W835" i="135"/>
  <c r="X835" i="135" s="1"/>
  <c r="AB835" i="135"/>
  <c r="AC835" i="135" s="1"/>
  <c r="AI835" i="135"/>
  <c r="AJ835" i="135" s="1"/>
  <c r="F836" i="135"/>
  <c r="M836" i="135"/>
  <c r="N836" i="135"/>
  <c r="O836" i="135"/>
  <c r="P836" i="135"/>
  <c r="Q836" i="135"/>
  <c r="R836" i="135"/>
  <c r="W836" i="135"/>
  <c r="AB836" i="135"/>
  <c r="AC836" i="135"/>
  <c r="AI836" i="135"/>
  <c r="AJ836" i="135"/>
  <c r="F837" i="135"/>
  <c r="M837" i="135"/>
  <c r="N837" i="135"/>
  <c r="O837" i="135"/>
  <c r="P837" i="135"/>
  <c r="Q837" i="135"/>
  <c r="R837" i="135"/>
  <c r="W837" i="135"/>
  <c r="X837" i="135" s="1"/>
  <c r="AB837" i="135"/>
  <c r="AC837" i="135" s="1"/>
  <c r="AD837" i="135"/>
  <c r="AE837" i="135" s="1"/>
  <c r="AI837" i="135"/>
  <c r="AJ837" i="135" s="1"/>
  <c r="F838" i="135"/>
  <c r="M838" i="135"/>
  <c r="N838" i="135"/>
  <c r="O838" i="135"/>
  <c r="P838" i="135"/>
  <c r="Q838" i="135"/>
  <c r="R838" i="135"/>
  <c r="W838" i="135"/>
  <c r="X838" i="135"/>
  <c r="AB838" i="135"/>
  <c r="AC838" i="135" s="1"/>
  <c r="AI838" i="135"/>
  <c r="AJ838" i="135" s="1"/>
  <c r="F839" i="135"/>
  <c r="M839" i="135"/>
  <c r="N839" i="135"/>
  <c r="O839" i="135"/>
  <c r="P839" i="135"/>
  <c r="Q839" i="135"/>
  <c r="R839" i="135"/>
  <c r="W839" i="135"/>
  <c r="X839" i="135" s="1"/>
  <c r="AB839" i="135"/>
  <c r="AC839" i="135" s="1"/>
  <c r="AI839" i="135"/>
  <c r="AJ839" i="135" s="1"/>
  <c r="F840" i="135"/>
  <c r="F840" i="139" s="1"/>
  <c r="M840" i="135"/>
  <c r="N840" i="135"/>
  <c r="O840" i="135"/>
  <c r="P840" i="135"/>
  <c r="Q840" i="135"/>
  <c r="R840" i="135"/>
  <c r="W840" i="135"/>
  <c r="X840" i="135"/>
  <c r="AB840" i="135"/>
  <c r="AC840" i="135" s="1"/>
  <c r="AI840" i="135"/>
  <c r="AJ840" i="135"/>
  <c r="F841" i="135"/>
  <c r="M841" i="135"/>
  <c r="N841" i="135"/>
  <c r="O841" i="135"/>
  <c r="P841" i="135"/>
  <c r="Q841" i="135"/>
  <c r="R841" i="135"/>
  <c r="W841" i="135"/>
  <c r="X841" i="135" s="1"/>
  <c r="AB841" i="135"/>
  <c r="AC841" i="135"/>
  <c r="AD841" i="135"/>
  <c r="AE841" i="135" s="1"/>
  <c r="AI841" i="135"/>
  <c r="AJ841" i="135"/>
  <c r="F842" i="135"/>
  <c r="M842" i="135"/>
  <c r="N842" i="135"/>
  <c r="O842" i="135"/>
  <c r="P842" i="135"/>
  <c r="Q842" i="135"/>
  <c r="R842" i="135"/>
  <c r="W842" i="135"/>
  <c r="AB842" i="135"/>
  <c r="AC842" i="135" s="1"/>
  <c r="AI842" i="135"/>
  <c r="AJ842" i="135"/>
  <c r="F843" i="135"/>
  <c r="F841" i="134" s="1"/>
  <c r="M843" i="135"/>
  <c r="N843" i="135"/>
  <c r="O843" i="135"/>
  <c r="P843" i="135"/>
  <c r="Q843" i="135"/>
  <c r="R843" i="135"/>
  <c r="W843" i="135"/>
  <c r="X843" i="135" s="1"/>
  <c r="AB843" i="135"/>
  <c r="AC843" i="135"/>
  <c r="AI843" i="135"/>
  <c r="AJ843" i="135" s="1"/>
  <c r="F844" i="135"/>
  <c r="F844" i="139" s="1"/>
  <c r="M844" i="135"/>
  <c r="N844" i="135"/>
  <c r="O844" i="135"/>
  <c r="P844" i="135"/>
  <c r="Q844" i="135"/>
  <c r="R844" i="135"/>
  <c r="W844" i="135"/>
  <c r="X844" i="135"/>
  <c r="AB844" i="135"/>
  <c r="AC844" i="135" s="1"/>
  <c r="AI844" i="135"/>
  <c r="AJ844" i="135" s="1"/>
  <c r="F845" i="135"/>
  <c r="M845" i="135"/>
  <c r="N845" i="135"/>
  <c r="O845" i="135"/>
  <c r="P845" i="135"/>
  <c r="Q845" i="135"/>
  <c r="R845" i="135"/>
  <c r="W845" i="135"/>
  <c r="X845" i="135" s="1"/>
  <c r="AB845" i="135"/>
  <c r="AC845" i="135" s="1"/>
  <c r="AI845" i="135"/>
  <c r="AJ845" i="135"/>
  <c r="F846" i="135"/>
  <c r="M846" i="135"/>
  <c r="N846" i="135"/>
  <c r="O846" i="135"/>
  <c r="P846" i="135"/>
  <c r="Q846" i="135"/>
  <c r="R846" i="135"/>
  <c r="W846" i="135"/>
  <c r="X846" i="135"/>
  <c r="AB846" i="135"/>
  <c r="AD846" i="135" s="1"/>
  <c r="AE846" i="135" s="1"/>
  <c r="AI846" i="135"/>
  <c r="AJ846" i="135"/>
  <c r="F847" i="135"/>
  <c r="M847" i="135"/>
  <c r="N847" i="135"/>
  <c r="O847" i="135"/>
  <c r="P847" i="135"/>
  <c r="Q847" i="135"/>
  <c r="R847" i="135"/>
  <c r="W847" i="135"/>
  <c r="AB847" i="135"/>
  <c r="AC847" i="135" s="1"/>
  <c r="AI847" i="135"/>
  <c r="AJ847" i="135"/>
  <c r="F848" i="135"/>
  <c r="M848" i="135"/>
  <c r="N848" i="135"/>
  <c r="O848" i="135"/>
  <c r="P848" i="135"/>
  <c r="Q848" i="135"/>
  <c r="R848" i="135"/>
  <c r="W848" i="135"/>
  <c r="AD848" i="135" s="1"/>
  <c r="AE848" i="135" s="1"/>
  <c r="X848" i="135"/>
  <c r="AB848" i="135"/>
  <c r="AC848" i="135"/>
  <c r="AI848" i="135"/>
  <c r="AJ848" i="135"/>
  <c r="F849" i="135"/>
  <c r="F849" i="139" s="1"/>
  <c r="M849" i="135"/>
  <c r="N849" i="135"/>
  <c r="O849" i="135"/>
  <c r="P849" i="135"/>
  <c r="Q849" i="135"/>
  <c r="R849" i="135"/>
  <c r="W849" i="135"/>
  <c r="X849" i="135" s="1"/>
  <c r="AB849" i="135"/>
  <c r="AC849" i="135"/>
  <c r="AD849" i="135"/>
  <c r="AE849" i="135" s="1"/>
  <c r="AI849" i="135"/>
  <c r="AJ849" i="135"/>
  <c r="F850" i="135"/>
  <c r="M850" i="135"/>
  <c r="N850" i="135"/>
  <c r="O850" i="135"/>
  <c r="P850" i="135"/>
  <c r="Q850" i="135"/>
  <c r="R850" i="135"/>
  <c r="W850" i="135"/>
  <c r="AD850" i="135" s="1"/>
  <c r="AE850" i="135" s="1"/>
  <c r="AB850" i="135"/>
  <c r="AC850" i="135"/>
  <c r="AI850" i="135"/>
  <c r="AJ850" i="135" s="1"/>
  <c r="F851" i="135"/>
  <c r="F851" i="139" s="1"/>
  <c r="M851" i="135"/>
  <c r="N851" i="135"/>
  <c r="O851" i="135"/>
  <c r="P851" i="135"/>
  <c r="Q851" i="135"/>
  <c r="R851" i="135"/>
  <c r="W851" i="135"/>
  <c r="X851" i="135"/>
  <c r="AB851" i="135"/>
  <c r="AC851" i="135" s="1"/>
  <c r="AI851" i="135"/>
  <c r="AJ851" i="135" s="1"/>
  <c r="F852" i="135"/>
  <c r="F850" i="134" s="1"/>
  <c r="M852" i="135"/>
  <c r="N852" i="135"/>
  <c r="O852" i="135"/>
  <c r="P852" i="135"/>
  <c r="Q852" i="135"/>
  <c r="R852" i="135"/>
  <c r="W852" i="135"/>
  <c r="X852" i="135"/>
  <c r="AB852" i="135"/>
  <c r="AC852" i="135" s="1"/>
  <c r="AD852" i="135"/>
  <c r="AE852" i="135" s="1"/>
  <c r="AI852" i="135"/>
  <c r="AJ852" i="135" s="1"/>
  <c r="F853" i="135"/>
  <c r="M853" i="135"/>
  <c r="N853" i="135"/>
  <c r="O853" i="135"/>
  <c r="P853" i="135"/>
  <c r="Q853" i="135"/>
  <c r="R853" i="135"/>
  <c r="W853" i="135"/>
  <c r="X853" i="135" s="1"/>
  <c r="AB853" i="135"/>
  <c r="AC853" i="135" s="1"/>
  <c r="AD853" i="135"/>
  <c r="AE853" i="135"/>
  <c r="AI853" i="135"/>
  <c r="AJ853" i="135" s="1"/>
  <c r="F854" i="135"/>
  <c r="F854" i="139" s="1"/>
  <c r="M854" i="135"/>
  <c r="N854" i="135"/>
  <c r="O854" i="135"/>
  <c r="P854" i="135"/>
  <c r="Q854" i="135"/>
  <c r="R854" i="135"/>
  <c r="W854" i="135"/>
  <c r="AD854" i="135" s="1"/>
  <c r="AE854" i="135" s="1"/>
  <c r="X854" i="135"/>
  <c r="AB854" i="135"/>
  <c r="AC854" i="135" s="1"/>
  <c r="AI854" i="135"/>
  <c r="AJ854" i="135"/>
  <c r="F855" i="135"/>
  <c r="M855" i="135"/>
  <c r="N855" i="135"/>
  <c r="O855" i="135"/>
  <c r="P855" i="135"/>
  <c r="Q855" i="135"/>
  <c r="R855" i="135"/>
  <c r="W855" i="135"/>
  <c r="X855" i="135" s="1"/>
  <c r="AB855" i="135"/>
  <c r="AD855" i="135" s="1"/>
  <c r="AE855" i="135" s="1"/>
  <c r="AC855" i="135"/>
  <c r="AI855" i="135"/>
  <c r="AJ855" i="135" s="1"/>
  <c r="F856" i="135"/>
  <c r="F856" i="139" s="1"/>
  <c r="M856" i="135"/>
  <c r="N856" i="135"/>
  <c r="O856" i="135"/>
  <c r="P856" i="135"/>
  <c r="Q856" i="135"/>
  <c r="R856" i="135"/>
  <c r="W856" i="135"/>
  <c r="AD856" i="135" s="1"/>
  <c r="AE856" i="135" s="1"/>
  <c r="X856" i="135"/>
  <c r="AB856" i="135"/>
  <c r="AC856" i="135"/>
  <c r="AI856" i="135"/>
  <c r="AJ856" i="135"/>
  <c r="F857" i="135"/>
  <c r="F855" i="134" s="1"/>
  <c r="M857" i="135"/>
  <c r="N857" i="135"/>
  <c r="O857" i="135"/>
  <c r="P857" i="135"/>
  <c r="Q857" i="135"/>
  <c r="R857" i="135"/>
  <c r="W857" i="135"/>
  <c r="X857" i="135" s="1"/>
  <c r="AB857" i="135"/>
  <c r="AC857" i="135"/>
  <c r="AI857" i="135"/>
  <c r="AJ857" i="135"/>
  <c r="F858" i="135"/>
  <c r="F858" i="139" s="1"/>
  <c r="M858" i="135"/>
  <c r="N858" i="135"/>
  <c r="O858" i="135"/>
  <c r="P858" i="135"/>
  <c r="Q858" i="135"/>
  <c r="R858" i="135"/>
  <c r="W858" i="135"/>
  <c r="X858" i="135" s="1"/>
  <c r="AB858" i="135"/>
  <c r="AC858" i="135"/>
  <c r="AD858" i="135"/>
  <c r="AE858" i="135" s="1"/>
  <c r="AI858" i="135"/>
  <c r="AJ858" i="135" s="1"/>
  <c r="F859" i="135"/>
  <c r="M859" i="135"/>
  <c r="N859" i="135"/>
  <c r="O859" i="135"/>
  <c r="P859" i="135"/>
  <c r="Q859" i="135"/>
  <c r="R859" i="135"/>
  <c r="W859" i="135"/>
  <c r="X859" i="135" s="1"/>
  <c r="AB859" i="135"/>
  <c r="AC859" i="135"/>
  <c r="AI859" i="135"/>
  <c r="AJ859" i="135"/>
  <c r="F860" i="135"/>
  <c r="F860" i="139" s="1"/>
  <c r="M860" i="135"/>
  <c r="N860" i="135"/>
  <c r="O860" i="135"/>
  <c r="P860" i="135"/>
  <c r="Q860" i="135"/>
  <c r="R860" i="135"/>
  <c r="W860" i="135"/>
  <c r="X860" i="135"/>
  <c r="AB860" i="135"/>
  <c r="AC860" i="135"/>
  <c r="AI860" i="135"/>
  <c r="AJ860" i="135" s="1"/>
  <c r="F861" i="135"/>
  <c r="F861" i="139" s="1"/>
  <c r="M861" i="135"/>
  <c r="N861" i="135"/>
  <c r="O861" i="135"/>
  <c r="P861" i="135"/>
  <c r="Q861" i="135"/>
  <c r="R861" i="135"/>
  <c r="W861" i="135"/>
  <c r="X861" i="135"/>
  <c r="AB861" i="135"/>
  <c r="AC861" i="135"/>
  <c r="AD861" i="135"/>
  <c r="AE861" i="135"/>
  <c r="AI861" i="135"/>
  <c r="AJ861" i="135"/>
  <c r="F862" i="135"/>
  <c r="M862" i="135"/>
  <c r="N862" i="135"/>
  <c r="O862" i="135"/>
  <c r="P862" i="135"/>
  <c r="Q862" i="135"/>
  <c r="R862" i="135"/>
  <c r="W862" i="135"/>
  <c r="X862" i="135" s="1"/>
  <c r="AB862" i="135"/>
  <c r="AC862" i="135" s="1"/>
  <c r="AI862" i="135"/>
  <c r="AJ862" i="135"/>
  <c r="F863" i="135"/>
  <c r="M863" i="135"/>
  <c r="N863" i="135"/>
  <c r="O863" i="135"/>
  <c r="P863" i="135"/>
  <c r="Q863" i="135"/>
  <c r="R863" i="135"/>
  <c r="W863" i="135"/>
  <c r="AD863" i="135" s="1"/>
  <c r="AE863" i="135" s="1"/>
  <c r="AB863" i="135"/>
  <c r="AC863" i="135"/>
  <c r="AI863" i="135"/>
  <c r="AJ863" i="135"/>
  <c r="F864" i="135"/>
  <c r="M864" i="135"/>
  <c r="N864" i="135"/>
  <c r="O864" i="135"/>
  <c r="P864" i="135"/>
  <c r="Q864" i="135"/>
  <c r="R864" i="135"/>
  <c r="W864" i="135"/>
  <c r="AB864" i="135"/>
  <c r="AC864" i="135"/>
  <c r="AI864" i="135"/>
  <c r="AJ864" i="135"/>
  <c r="F865" i="135"/>
  <c r="M865" i="135"/>
  <c r="N865" i="135"/>
  <c r="O865" i="135"/>
  <c r="P865" i="135"/>
  <c r="Q865" i="135"/>
  <c r="R865" i="135"/>
  <c r="W865" i="135"/>
  <c r="AD865" i="135" s="1"/>
  <c r="AB865" i="135"/>
  <c r="AC865" i="135"/>
  <c r="AE865" i="135"/>
  <c r="AI865" i="135"/>
  <c r="AJ865" i="135"/>
  <c r="F866" i="135"/>
  <c r="M866" i="135"/>
  <c r="N866" i="135"/>
  <c r="O866" i="135"/>
  <c r="P866" i="135"/>
  <c r="Q866" i="135"/>
  <c r="R866" i="135"/>
  <c r="W866" i="135"/>
  <c r="X866" i="135" s="1"/>
  <c r="AB866" i="135"/>
  <c r="AC866" i="135" s="1"/>
  <c r="AI866" i="135"/>
  <c r="AJ866" i="135"/>
  <c r="F867" i="135"/>
  <c r="M867" i="135"/>
  <c r="N867" i="135"/>
  <c r="O867" i="135"/>
  <c r="P867" i="135"/>
  <c r="Q867" i="135"/>
  <c r="R867" i="135"/>
  <c r="W867" i="135"/>
  <c r="AB867" i="135"/>
  <c r="AC867" i="135" s="1"/>
  <c r="AI867" i="135"/>
  <c r="AJ867" i="135" s="1"/>
  <c r="F868" i="135"/>
  <c r="M868" i="135"/>
  <c r="N868" i="135"/>
  <c r="O868" i="135"/>
  <c r="P868" i="135"/>
  <c r="Q868" i="135"/>
  <c r="R868" i="135"/>
  <c r="W868" i="135"/>
  <c r="AB868" i="135"/>
  <c r="AC868" i="135" s="1"/>
  <c r="AI868" i="135"/>
  <c r="AJ868" i="135"/>
  <c r="F869" i="135"/>
  <c r="M869" i="135"/>
  <c r="N869" i="135"/>
  <c r="O869" i="135"/>
  <c r="P869" i="135"/>
  <c r="Q869" i="135"/>
  <c r="R869" i="135"/>
  <c r="W869" i="135"/>
  <c r="X869" i="135"/>
  <c r="AB869" i="135"/>
  <c r="AC869" i="135" s="1"/>
  <c r="AI869" i="135"/>
  <c r="AJ869" i="135"/>
  <c r="F870" i="135"/>
  <c r="F870" i="139" s="1"/>
  <c r="M870" i="135"/>
  <c r="N870" i="135"/>
  <c r="O870" i="135"/>
  <c r="P870" i="135"/>
  <c r="Q870" i="135"/>
  <c r="R870" i="135"/>
  <c r="W870" i="135"/>
  <c r="X870" i="135" s="1"/>
  <c r="AB870" i="135"/>
  <c r="AC870" i="135"/>
  <c r="AD870" i="135"/>
  <c r="AE870" i="135" s="1"/>
  <c r="AI870" i="135"/>
  <c r="AJ870" i="135"/>
  <c r="F871" i="135"/>
  <c r="M871" i="135"/>
  <c r="N871" i="135"/>
  <c r="O871" i="135"/>
  <c r="P871" i="135"/>
  <c r="Q871" i="135"/>
  <c r="R871" i="135"/>
  <c r="W871" i="135"/>
  <c r="AD871" i="135" s="1"/>
  <c r="AE871" i="135" s="1"/>
  <c r="AB871" i="135"/>
  <c r="AC871" i="135"/>
  <c r="AI871" i="135"/>
  <c r="AJ871" i="135"/>
  <c r="F872" i="135"/>
  <c r="M872" i="135"/>
  <c r="N872" i="135"/>
  <c r="O872" i="135"/>
  <c r="P872" i="135"/>
  <c r="Q872" i="135"/>
  <c r="R872" i="135"/>
  <c r="W872" i="135"/>
  <c r="X872" i="135"/>
  <c r="AB872" i="135"/>
  <c r="AC872" i="135" s="1"/>
  <c r="AI872" i="135"/>
  <c r="AJ872" i="135" s="1"/>
  <c r="F873" i="135"/>
  <c r="M873" i="135"/>
  <c r="N873" i="135"/>
  <c r="O873" i="135"/>
  <c r="P873" i="135"/>
  <c r="Q873" i="135"/>
  <c r="R873" i="135"/>
  <c r="W873" i="135"/>
  <c r="X873" i="135"/>
  <c r="AB873" i="135"/>
  <c r="AC873" i="135"/>
  <c r="AD873" i="135"/>
  <c r="AE873" i="135"/>
  <c r="AI873" i="135"/>
  <c r="AJ873" i="135"/>
  <c r="F874" i="135"/>
  <c r="F874" i="139" s="1"/>
  <c r="M874" i="135"/>
  <c r="N874" i="135"/>
  <c r="O874" i="135"/>
  <c r="P874" i="135"/>
  <c r="Q874" i="135"/>
  <c r="R874" i="135"/>
  <c r="W874" i="135"/>
  <c r="X874" i="135" s="1"/>
  <c r="AB874" i="135"/>
  <c r="AC874" i="135"/>
  <c r="AI874" i="135"/>
  <c r="AJ874" i="135" s="1"/>
  <c r="F875" i="135"/>
  <c r="M875" i="135"/>
  <c r="N875" i="135"/>
  <c r="O875" i="135"/>
  <c r="P875" i="135"/>
  <c r="Q875" i="135"/>
  <c r="R875" i="135"/>
  <c r="W875" i="135"/>
  <c r="AD875" i="135" s="1"/>
  <c r="AE875" i="135" s="1"/>
  <c r="AB875" i="135"/>
  <c r="AC875" i="135"/>
  <c r="AI875" i="135"/>
  <c r="AJ875" i="135"/>
  <c r="F876" i="135"/>
  <c r="F876" i="139" s="1"/>
  <c r="M876" i="135"/>
  <c r="N876" i="135"/>
  <c r="O876" i="135"/>
  <c r="P876" i="135"/>
  <c r="Q876" i="135"/>
  <c r="R876" i="135"/>
  <c r="W876" i="135"/>
  <c r="AD876" i="135" s="1"/>
  <c r="AE876" i="135" s="1"/>
  <c r="X876" i="135"/>
  <c r="AB876" i="135"/>
  <c r="AC876" i="135"/>
  <c r="AI876" i="135"/>
  <c r="AJ876" i="135" s="1"/>
  <c r="F877" i="135"/>
  <c r="F875" i="134" s="1"/>
  <c r="M877" i="135"/>
  <c r="N877" i="135"/>
  <c r="O877" i="135"/>
  <c r="P877" i="135"/>
  <c r="Q877" i="135"/>
  <c r="R877" i="135"/>
  <c r="W877" i="135"/>
  <c r="X877" i="135"/>
  <c r="AB877" i="135"/>
  <c r="AC877" i="135"/>
  <c r="AD877" i="135"/>
  <c r="AE877" i="135"/>
  <c r="AI877" i="135"/>
  <c r="AJ877" i="135"/>
  <c r="F878" i="135"/>
  <c r="M878" i="135"/>
  <c r="N878" i="135"/>
  <c r="O878" i="135"/>
  <c r="P878" i="135"/>
  <c r="Q878" i="135"/>
  <c r="R878" i="135"/>
  <c r="W878" i="135"/>
  <c r="X878" i="135" s="1"/>
  <c r="AB878" i="135"/>
  <c r="AC878" i="135" s="1"/>
  <c r="AD878" i="135"/>
  <c r="AE878" i="135" s="1"/>
  <c r="AI878" i="135"/>
  <c r="AJ878" i="135"/>
  <c r="F879" i="135"/>
  <c r="F879" i="139" s="1"/>
  <c r="M879" i="135"/>
  <c r="N879" i="135"/>
  <c r="O879" i="135"/>
  <c r="P879" i="135"/>
  <c r="Q879" i="135"/>
  <c r="R879" i="135"/>
  <c r="W879" i="135"/>
  <c r="X879" i="135" s="1"/>
  <c r="AB879" i="135"/>
  <c r="AC879" i="135"/>
  <c r="AI879" i="135"/>
  <c r="AJ879" i="135"/>
  <c r="F880" i="135"/>
  <c r="F878" i="134" s="1"/>
  <c r="M880" i="135"/>
  <c r="N880" i="135"/>
  <c r="O880" i="135"/>
  <c r="P880" i="135"/>
  <c r="Q880" i="135"/>
  <c r="R880" i="135"/>
  <c r="W880" i="135"/>
  <c r="AB880" i="135"/>
  <c r="AC880" i="135"/>
  <c r="AI880" i="135"/>
  <c r="AJ880" i="135"/>
  <c r="F881" i="135"/>
  <c r="F881" i="139" s="1"/>
  <c r="M881" i="135"/>
  <c r="N881" i="135"/>
  <c r="O881" i="135"/>
  <c r="P881" i="135"/>
  <c r="Q881" i="135"/>
  <c r="R881" i="135"/>
  <c r="W881" i="135"/>
  <c r="AD881" i="135" s="1"/>
  <c r="AE881" i="135" s="1"/>
  <c r="AB881" i="135"/>
  <c r="AC881" i="135"/>
  <c r="AI881" i="135"/>
  <c r="AJ881" i="135"/>
  <c r="F882" i="135"/>
  <c r="M882" i="135"/>
  <c r="N882" i="135"/>
  <c r="O882" i="135"/>
  <c r="P882" i="135"/>
  <c r="Q882" i="135"/>
  <c r="R882" i="135"/>
  <c r="W882" i="135"/>
  <c r="AD882" i="135" s="1"/>
  <c r="AE882" i="135" s="1"/>
  <c r="X882" i="135"/>
  <c r="AB882" i="135"/>
  <c r="AC882" i="135" s="1"/>
  <c r="AI882" i="135"/>
  <c r="AJ882" i="135"/>
  <c r="F883" i="135"/>
  <c r="M883" i="135"/>
  <c r="N883" i="135"/>
  <c r="O883" i="135"/>
  <c r="P883" i="135"/>
  <c r="Q883" i="135"/>
  <c r="R883" i="135"/>
  <c r="W883" i="135"/>
  <c r="AB883" i="135"/>
  <c r="AC883" i="135" s="1"/>
  <c r="AI883" i="135"/>
  <c r="AJ883" i="135"/>
  <c r="F884" i="135"/>
  <c r="M884" i="135"/>
  <c r="N884" i="135"/>
  <c r="O884" i="135"/>
  <c r="P884" i="135"/>
  <c r="Q884" i="135"/>
  <c r="R884" i="135"/>
  <c r="W884" i="135"/>
  <c r="AB884" i="135"/>
  <c r="AC884" i="135" s="1"/>
  <c r="AI884" i="135"/>
  <c r="AJ884" i="135"/>
  <c r="F885" i="135"/>
  <c r="M885" i="135"/>
  <c r="N885" i="135"/>
  <c r="O885" i="135"/>
  <c r="P885" i="135"/>
  <c r="Q885" i="135"/>
  <c r="R885" i="135"/>
  <c r="W885" i="135"/>
  <c r="X885" i="135" s="1"/>
  <c r="AB885" i="135"/>
  <c r="AC885" i="135" s="1"/>
  <c r="AI885" i="135"/>
  <c r="AJ885" i="135"/>
  <c r="F886" i="135"/>
  <c r="M886" i="135"/>
  <c r="N886" i="135"/>
  <c r="O886" i="135"/>
  <c r="P886" i="135"/>
  <c r="Q886" i="135"/>
  <c r="R886" i="135"/>
  <c r="W886" i="135"/>
  <c r="X886" i="135" s="1"/>
  <c r="AB886" i="135"/>
  <c r="AC886" i="135" s="1"/>
  <c r="AI886" i="135"/>
  <c r="AJ886" i="135"/>
  <c r="F887" i="135"/>
  <c r="M887" i="135"/>
  <c r="N887" i="135"/>
  <c r="O887" i="135"/>
  <c r="P887" i="135"/>
  <c r="Q887" i="135"/>
  <c r="R887" i="135"/>
  <c r="W887" i="135"/>
  <c r="AD887" i="135" s="1"/>
  <c r="AE887" i="135" s="1"/>
  <c r="AB887" i="135"/>
  <c r="AC887" i="135"/>
  <c r="AI887" i="135"/>
  <c r="AJ887" i="135"/>
  <c r="F888" i="135"/>
  <c r="F888" i="139" s="1"/>
  <c r="M888" i="135"/>
  <c r="N888" i="135"/>
  <c r="O888" i="135"/>
  <c r="P888" i="135"/>
  <c r="Q888" i="135"/>
  <c r="R888" i="135"/>
  <c r="W888" i="135"/>
  <c r="X888" i="135" s="1"/>
  <c r="AB888" i="135"/>
  <c r="AC888" i="135" s="1"/>
  <c r="AI888" i="135"/>
  <c r="AJ888" i="135" s="1"/>
  <c r="F889" i="135"/>
  <c r="M889" i="135"/>
  <c r="N889" i="135"/>
  <c r="O889" i="135"/>
  <c r="P889" i="135"/>
  <c r="Q889" i="135"/>
  <c r="R889" i="135"/>
  <c r="W889" i="135"/>
  <c r="X889" i="135"/>
  <c r="AB889" i="135"/>
  <c r="AD889" i="135" s="1"/>
  <c r="AE889" i="135" s="1"/>
  <c r="AC889" i="135"/>
  <c r="AI889" i="135"/>
  <c r="AJ889" i="135"/>
  <c r="F890" i="135"/>
  <c r="F890" i="139" s="1"/>
  <c r="M890" i="135"/>
  <c r="N890" i="135"/>
  <c r="O890" i="135"/>
  <c r="P890" i="135"/>
  <c r="Q890" i="135"/>
  <c r="R890" i="135"/>
  <c r="W890" i="135"/>
  <c r="X890" i="135" s="1"/>
  <c r="AB890" i="135"/>
  <c r="AC890" i="135"/>
  <c r="AD890" i="135"/>
  <c r="AE890" i="135" s="1"/>
  <c r="AI890" i="135"/>
  <c r="AJ890" i="135" s="1"/>
  <c r="F891" i="135"/>
  <c r="M891" i="135"/>
  <c r="N891" i="135"/>
  <c r="O891" i="135"/>
  <c r="P891" i="135"/>
  <c r="Q891" i="135"/>
  <c r="R891" i="135"/>
  <c r="W891" i="135"/>
  <c r="AB891" i="135"/>
  <c r="AC891" i="135" s="1"/>
  <c r="AI891" i="135"/>
  <c r="AJ891" i="135" s="1"/>
  <c r="F892" i="135"/>
  <c r="F892" i="139" s="1"/>
  <c r="M892" i="135"/>
  <c r="N892" i="135"/>
  <c r="O892" i="135"/>
  <c r="P892" i="135"/>
  <c r="Q892" i="135"/>
  <c r="R892" i="135"/>
  <c r="W892" i="135"/>
  <c r="X892" i="135"/>
  <c r="AB892" i="135"/>
  <c r="AC892" i="135"/>
  <c r="AI892" i="135"/>
  <c r="AJ892" i="135"/>
  <c r="F893" i="135"/>
  <c r="F893" i="139" s="1"/>
  <c r="M893" i="135"/>
  <c r="N893" i="135"/>
  <c r="O893" i="135"/>
  <c r="P893" i="135"/>
  <c r="Q893" i="135"/>
  <c r="R893" i="135"/>
  <c r="W893" i="135"/>
  <c r="X893" i="135" s="1"/>
  <c r="AB893" i="135"/>
  <c r="AC893" i="135" s="1"/>
  <c r="AD893" i="135"/>
  <c r="AE893" i="135"/>
  <c r="AI893" i="135"/>
  <c r="AJ893" i="135" s="1"/>
  <c r="F894" i="135"/>
  <c r="M894" i="135"/>
  <c r="N894" i="135"/>
  <c r="O894" i="135"/>
  <c r="P894" i="135"/>
  <c r="Q894" i="135"/>
  <c r="R894" i="135"/>
  <c r="W894" i="135"/>
  <c r="AD894" i="135" s="1"/>
  <c r="AE894" i="135" s="1"/>
  <c r="X894" i="135"/>
  <c r="AB894" i="135"/>
  <c r="AC894" i="135"/>
  <c r="AI894" i="135"/>
  <c r="AJ894" i="135"/>
  <c r="F895" i="135"/>
  <c r="M895" i="135"/>
  <c r="N895" i="135"/>
  <c r="O895" i="135"/>
  <c r="P895" i="135"/>
  <c r="Q895" i="135"/>
  <c r="R895" i="135"/>
  <c r="W895" i="135"/>
  <c r="X895" i="135" s="1"/>
  <c r="AB895" i="135"/>
  <c r="AC895" i="135" s="1"/>
  <c r="AI895" i="135"/>
  <c r="AJ895" i="135" s="1"/>
  <c r="F896" i="135"/>
  <c r="M896" i="135"/>
  <c r="N896" i="135"/>
  <c r="O896" i="135"/>
  <c r="P896" i="135"/>
  <c r="Q896" i="135"/>
  <c r="R896" i="135"/>
  <c r="W896" i="135"/>
  <c r="X896" i="135"/>
  <c r="AB896" i="135"/>
  <c r="AC896" i="135"/>
  <c r="AI896" i="135"/>
  <c r="AJ896" i="135"/>
  <c r="F897" i="135"/>
  <c r="M897" i="135"/>
  <c r="N897" i="135"/>
  <c r="O897" i="135"/>
  <c r="P897" i="135"/>
  <c r="Q897" i="135"/>
  <c r="R897" i="135"/>
  <c r="W897" i="135"/>
  <c r="X897" i="135" s="1"/>
  <c r="AB897" i="135"/>
  <c r="AC897" i="135" s="1"/>
  <c r="AI897" i="135"/>
  <c r="AJ897" i="135"/>
  <c r="F898" i="135"/>
  <c r="M898" i="135"/>
  <c r="N898" i="135"/>
  <c r="O898" i="135"/>
  <c r="P898" i="135"/>
  <c r="Q898" i="135"/>
  <c r="R898" i="135"/>
  <c r="W898" i="135"/>
  <c r="AD898" i="135" s="1"/>
  <c r="AE898" i="135" s="1"/>
  <c r="X898" i="135"/>
  <c r="AB898" i="135"/>
  <c r="AC898" i="135"/>
  <c r="AI898" i="135"/>
  <c r="AJ898" i="135" s="1"/>
  <c r="F899" i="135"/>
  <c r="F899" i="139" s="1"/>
  <c r="M899" i="135"/>
  <c r="N899" i="135"/>
  <c r="O899" i="135"/>
  <c r="P899" i="135"/>
  <c r="Q899" i="135"/>
  <c r="R899" i="135"/>
  <c r="W899" i="135"/>
  <c r="X899" i="135" s="1"/>
  <c r="AB899" i="135"/>
  <c r="AC899" i="135"/>
  <c r="AI899" i="135"/>
  <c r="AJ899" i="135" s="1"/>
  <c r="F900" i="135"/>
  <c r="M900" i="135"/>
  <c r="N900" i="135"/>
  <c r="O900" i="135"/>
  <c r="P900" i="135"/>
  <c r="Q900" i="135"/>
  <c r="R900" i="135"/>
  <c r="W900" i="135"/>
  <c r="AD900" i="135" s="1"/>
  <c r="AE900" i="135" s="1"/>
  <c r="X900" i="135"/>
  <c r="AB900" i="135"/>
  <c r="AC900" i="135"/>
  <c r="AI900" i="135"/>
  <c r="AJ900" i="135"/>
  <c r="F901" i="135"/>
  <c r="F899" i="134" s="1"/>
  <c r="M901" i="135"/>
  <c r="N901" i="135"/>
  <c r="O901" i="135"/>
  <c r="P901" i="135"/>
  <c r="Q901" i="135"/>
  <c r="R901" i="135"/>
  <c r="W901" i="135"/>
  <c r="AD901" i="135" s="1"/>
  <c r="AE901" i="135" s="1"/>
  <c r="X901" i="135"/>
  <c r="AB901" i="135"/>
  <c r="AC901" i="135" s="1"/>
  <c r="AI901" i="135"/>
  <c r="AJ901" i="135" s="1"/>
  <c r="F902" i="135"/>
  <c r="F902" i="139" s="1"/>
  <c r="M902" i="135"/>
  <c r="N902" i="135"/>
  <c r="O902" i="135"/>
  <c r="P902" i="135"/>
  <c r="Q902" i="135"/>
  <c r="R902" i="135"/>
  <c r="W902" i="135"/>
  <c r="X902" i="135"/>
  <c r="AB902" i="135"/>
  <c r="AD902" i="135" s="1"/>
  <c r="AE902" i="135" s="1"/>
  <c r="AC902" i="135"/>
  <c r="AI902" i="135"/>
  <c r="AJ902" i="135" s="1"/>
  <c r="F903" i="135"/>
  <c r="M903" i="135"/>
  <c r="N903" i="135"/>
  <c r="O903" i="135"/>
  <c r="P903" i="135"/>
  <c r="Q903" i="135"/>
  <c r="R903" i="135"/>
  <c r="W903" i="135"/>
  <c r="AB903" i="135"/>
  <c r="AC903" i="135" s="1"/>
  <c r="AI903" i="135"/>
  <c r="AJ903" i="135"/>
  <c r="F904" i="135"/>
  <c r="F904" i="139" s="1"/>
  <c r="M904" i="135"/>
  <c r="N904" i="135"/>
  <c r="O904" i="135"/>
  <c r="P904" i="135"/>
  <c r="Q904" i="135"/>
  <c r="R904" i="135"/>
  <c r="W904" i="135"/>
  <c r="AD904" i="135" s="1"/>
  <c r="AE904" i="135" s="1"/>
  <c r="X904" i="135"/>
  <c r="AB904" i="135"/>
  <c r="AC904" i="135"/>
  <c r="AI904" i="135"/>
  <c r="AJ904" i="135"/>
  <c r="F905" i="135"/>
  <c r="M905" i="135"/>
  <c r="N905" i="135"/>
  <c r="O905" i="135"/>
  <c r="P905" i="135"/>
  <c r="Q905" i="135"/>
  <c r="R905" i="135"/>
  <c r="W905" i="135"/>
  <c r="X905" i="135" s="1"/>
  <c r="AB905" i="135"/>
  <c r="AC905" i="135"/>
  <c r="AD905" i="135"/>
  <c r="AE905" i="135" s="1"/>
  <c r="AI905" i="135"/>
  <c r="AJ905" i="135" s="1"/>
  <c r="F906" i="135"/>
  <c r="M906" i="135"/>
  <c r="N906" i="135"/>
  <c r="O906" i="135"/>
  <c r="P906" i="135"/>
  <c r="Q906" i="135"/>
  <c r="R906" i="135"/>
  <c r="W906" i="135"/>
  <c r="X906" i="135"/>
  <c r="AB906" i="135"/>
  <c r="AC906" i="135"/>
  <c r="AD906" i="135"/>
  <c r="AE906" i="135" s="1"/>
  <c r="AI906" i="135"/>
  <c r="AJ906" i="135" s="1"/>
  <c r="F907" i="135"/>
  <c r="M907" i="135"/>
  <c r="N907" i="135"/>
  <c r="O907" i="135"/>
  <c r="P907" i="135"/>
  <c r="Q907" i="135"/>
  <c r="R907" i="135"/>
  <c r="W907" i="135"/>
  <c r="AB907" i="135"/>
  <c r="AC907" i="135" s="1"/>
  <c r="AI907" i="135"/>
  <c r="AJ907" i="135" s="1"/>
  <c r="F908" i="135"/>
  <c r="F908" i="139" s="1"/>
  <c r="M908" i="135"/>
  <c r="N908" i="135"/>
  <c r="O908" i="135"/>
  <c r="P908" i="135"/>
  <c r="Q908" i="135"/>
  <c r="R908" i="135"/>
  <c r="W908" i="135"/>
  <c r="X908" i="135"/>
  <c r="AB908" i="135"/>
  <c r="AC908" i="135"/>
  <c r="AI908" i="135"/>
  <c r="AJ908" i="135"/>
  <c r="F909" i="135"/>
  <c r="M909" i="135"/>
  <c r="N909" i="135"/>
  <c r="O909" i="135"/>
  <c r="P909" i="135"/>
  <c r="Q909" i="135"/>
  <c r="R909" i="135"/>
  <c r="W909" i="135"/>
  <c r="X909" i="135" s="1"/>
  <c r="AB909" i="135"/>
  <c r="AC909" i="135" s="1"/>
  <c r="AD909" i="135"/>
  <c r="AE909" i="135"/>
  <c r="AI909" i="135"/>
  <c r="AJ909" i="135" s="1"/>
  <c r="F910" i="135"/>
  <c r="M910" i="135"/>
  <c r="N910" i="135"/>
  <c r="O910" i="135"/>
  <c r="P910" i="135"/>
  <c r="Q910" i="135"/>
  <c r="R910" i="135"/>
  <c r="W910" i="135"/>
  <c r="AD910" i="135" s="1"/>
  <c r="AE910" i="135" s="1"/>
  <c r="X910" i="135"/>
  <c r="AB910" i="135"/>
  <c r="AC910" i="135"/>
  <c r="AI910" i="135"/>
  <c r="AJ910" i="135"/>
  <c r="F911" i="135"/>
  <c r="M911" i="135"/>
  <c r="N911" i="135"/>
  <c r="O911" i="135"/>
  <c r="P911" i="135"/>
  <c r="Q911" i="135"/>
  <c r="R911" i="135"/>
  <c r="W911" i="135"/>
  <c r="X911" i="135" s="1"/>
  <c r="AB911" i="135"/>
  <c r="AC911" i="135" s="1"/>
  <c r="AI911" i="135"/>
  <c r="AJ911" i="135" s="1"/>
  <c r="F912" i="135"/>
  <c r="F910" i="134" s="1"/>
  <c r="M912" i="135"/>
  <c r="N912" i="135"/>
  <c r="O912" i="135"/>
  <c r="P912" i="135"/>
  <c r="Q912" i="135"/>
  <c r="R912" i="135"/>
  <c r="W912" i="135"/>
  <c r="X912" i="135"/>
  <c r="AB912" i="135"/>
  <c r="AC912" i="135"/>
  <c r="AI912" i="135"/>
  <c r="AJ912" i="135"/>
  <c r="F913" i="135"/>
  <c r="F913" i="139" s="1"/>
  <c r="M913" i="135"/>
  <c r="N913" i="135"/>
  <c r="O913" i="135"/>
  <c r="P913" i="135"/>
  <c r="Q913" i="135"/>
  <c r="R913" i="135"/>
  <c r="W913" i="135"/>
  <c r="X913" i="135" s="1"/>
  <c r="AB913" i="135"/>
  <c r="AC913" i="135" s="1"/>
  <c r="AI913" i="135"/>
  <c r="AJ913" i="135"/>
  <c r="F914" i="135"/>
  <c r="M914" i="135"/>
  <c r="N914" i="135"/>
  <c r="O914" i="135"/>
  <c r="P914" i="135"/>
  <c r="Q914" i="135"/>
  <c r="R914" i="135"/>
  <c r="W914" i="135"/>
  <c r="AD914" i="135" s="1"/>
  <c r="AE914" i="135" s="1"/>
  <c r="X914" i="135"/>
  <c r="AB914" i="135"/>
  <c r="AC914" i="135"/>
  <c r="AI914" i="135"/>
  <c r="AJ914" i="135" s="1"/>
  <c r="F915" i="135"/>
  <c r="F915" i="139" s="1"/>
  <c r="M915" i="135"/>
  <c r="N915" i="135"/>
  <c r="O915" i="135"/>
  <c r="P915" i="135"/>
  <c r="Q915" i="135"/>
  <c r="R915" i="135"/>
  <c r="W915" i="135"/>
  <c r="AB915" i="135"/>
  <c r="AC915" i="135"/>
  <c r="AI915" i="135"/>
  <c r="AJ915" i="135" s="1"/>
  <c r="F916" i="135"/>
  <c r="M916" i="135"/>
  <c r="N916" i="135"/>
  <c r="O916" i="135"/>
  <c r="P916" i="135"/>
  <c r="Q916" i="135"/>
  <c r="R916" i="135"/>
  <c r="W916" i="135"/>
  <c r="AD916" i="135" s="1"/>
  <c r="AE916" i="135" s="1"/>
  <c r="X916" i="135"/>
  <c r="AB916" i="135"/>
  <c r="AC916" i="135"/>
  <c r="AI916" i="135"/>
  <c r="AJ916" i="135"/>
  <c r="F917" i="135"/>
  <c r="M917" i="135"/>
  <c r="N917" i="135"/>
  <c r="O917" i="135"/>
  <c r="P917" i="135"/>
  <c r="Q917" i="135"/>
  <c r="R917" i="135"/>
  <c r="W917" i="135"/>
  <c r="AD917" i="135" s="1"/>
  <c r="AE917" i="135" s="1"/>
  <c r="X917" i="135"/>
  <c r="AB917" i="135"/>
  <c r="AC917" i="135" s="1"/>
  <c r="AI917" i="135"/>
  <c r="AJ917" i="135" s="1"/>
  <c r="F918" i="135"/>
  <c r="F916" i="134" s="1"/>
  <c r="M918" i="135"/>
  <c r="N918" i="135"/>
  <c r="O918" i="135"/>
  <c r="P918" i="135"/>
  <c r="Q918" i="135"/>
  <c r="R918" i="135"/>
  <c r="W918" i="135"/>
  <c r="X918" i="135"/>
  <c r="AB918" i="135"/>
  <c r="AD918" i="135" s="1"/>
  <c r="AE918" i="135" s="1"/>
  <c r="AC918" i="135"/>
  <c r="AI918" i="135"/>
  <c r="AJ918" i="135" s="1"/>
  <c r="F919" i="135"/>
  <c r="M919" i="135"/>
  <c r="N919" i="135"/>
  <c r="O919" i="135"/>
  <c r="P919" i="135"/>
  <c r="Q919" i="135"/>
  <c r="R919" i="135"/>
  <c r="W919" i="135"/>
  <c r="AB919" i="135"/>
  <c r="AC919" i="135" s="1"/>
  <c r="AI919" i="135"/>
  <c r="AJ919" i="135"/>
  <c r="F920" i="135"/>
  <c r="M920" i="135"/>
  <c r="N920" i="135"/>
  <c r="O920" i="135"/>
  <c r="P920" i="135"/>
  <c r="Q920" i="135"/>
  <c r="R920" i="135"/>
  <c r="W920" i="135"/>
  <c r="AD920" i="135" s="1"/>
  <c r="AE920" i="135" s="1"/>
  <c r="X920" i="135"/>
  <c r="AB920" i="135"/>
  <c r="AC920" i="135"/>
  <c r="AI920" i="135"/>
  <c r="AJ920" i="135"/>
  <c r="F921" i="135"/>
  <c r="F919" i="134" s="1"/>
  <c r="M921" i="135"/>
  <c r="N921" i="135"/>
  <c r="O921" i="135"/>
  <c r="P921" i="135"/>
  <c r="Q921" i="135"/>
  <c r="R921" i="135"/>
  <c r="W921" i="135"/>
  <c r="X921" i="135" s="1"/>
  <c r="AB921" i="135"/>
  <c r="AC921" i="135"/>
  <c r="AD921" i="135"/>
  <c r="AE921" i="135" s="1"/>
  <c r="AI921" i="135"/>
  <c r="AJ921" i="135" s="1"/>
  <c r="F922" i="135"/>
  <c r="M922" i="135"/>
  <c r="N922" i="135"/>
  <c r="O922" i="135"/>
  <c r="P922" i="135"/>
  <c r="Q922" i="135"/>
  <c r="R922" i="135"/>
  <c r="W922" i="135"/>
  <c r="X922" i="135"/>
  <c r="AB922" i="135"/>
  <c r="AC922" i="135"/>
  <c r="AD922" i="135"/>
  <c r="AE922" i="135" s="1"/>
  <c r="AI922" i="135"/>
  <c r="AJ922" i="135" s="1"/>
  <c r="F923" i="135"/>
  <c r="M923" i="135"/>
  <c r="N923" i="135"/>
  <c r="O923" i="135"/>
  <c r="P923" i="135"/>
  <c r="Q923" i="135"/>
  <c r="R923" i="135"/>
  <c r="W923" i="135"/>
  <c r="AB923" i="135"/>
  <c r="AC923" i="135" s="1"/>
  <c r="AI923" i="135"/>
  <c r="AJ923" i="135" s="1"/>
  <c r="F924" i="135"/>
  <c r="F922" i="134" s="1"/>
  <c r="M924" i="135"/>
  <c r="N924" i="135"/>
  <c r="O924" i="135"/>
  <c r="P924" i="135"/>
  <c r="Q924" i="135"/>
  <c r="R924" i="135"/>
  <c r="W924" i="135"/>
  <c r="X924" i="135"/>
  <c r="AB924" i="135"/>
  <c r="AC924" i="135"/>
  <c r="AI924" i="135"/>
  <c r="AJ924" i="135"/>
  <c r="F925" i="135"/>
  <c r="F925" i="139" s="1"/>
  <c r="M925" i="135"/>
  <c r="N925" i="135"/>
  <c r="O925" i="135"/>
  <c r="P925" i="135"/>
  <c r="Q925" i="135"/>
  <c r="R925" i="135"/>
  <c r="W925" i="135"/>
  <c r="X925" i="135" s="1"/>
  <c r="AB925" i="135"/>
  <c r="AC925" i="135" s="1"/>
  <c r="AD925" i="135"/>
  <c r="AE925" i="135"/>
  <c r="AI925" i="135"/>
  <c r="AJ925" i="135" s="1"/>
  <c r="F926" i="135"/>
  <c r="M926" i="135"/>
  <c r="N926" i="135"/>
  <c r="O926" i="135"/>
  <c r="P926" i="135"/>
  <c r="Q926" i="135"/>
  <c r="R926" i="135"/>
  <c r="W926" i="135"/>
  <c r="AD926" i="135" s="1"/>
  <c r="AE926" i="135" s="1"/>
  <c r="X926" i="135"/>
  <c r="AB926" i="135"/>
  <c r="AC926" i="135"/>
  <c r="AI926" i="135"/>
  <c r="AJ926" i="135"/>
  <c r="F927" i="135"/>
  <c r="F927" i="139" s="1"/>
  <c r="M927" i="135"/>
  <c r="N927" i="135"/>
  <c r="O927" i="135"/>
  <c r="P927" i="135"/>
  <c r="Q927" i="135"/>
  <c r="R927" i="135"/>
  <c r="W927" i="135"/>
  <c r="AB927" i="135"/>
  <c r="AC927" i="135" s="1"/>
  <c r="AI927" i="135"/>
  <c r="AJ927" i="135" s="1"/>
  <c r="F928" i="135"/>
  <c r="M928" i="135"/>
  <c r="N928" i="135"/>
  <c r="O928" i="135"/>
  <c r="P928" i="135"/>
  <c r="Q928" i="135"/>
  <c r="R928" i="135"/>
  <c r="W928" i="135"/>
  <c r="AD928" i="135" s="1"/>
  <c r="AE928" i="135" s="1"/>
  <c r="X928" i="135"/>
  <c r="AB928" i="135"/>
  <c r="AC928" i="135"/>
  <c r="AI928" i="135"/>
  <c r="AJ928" i="135"/>
  <c r="F929" i="135"/>
  <c r="F929" i="139" s="1"/>
  <c r="M929" i="135"/>
  <c r="N929" i="135"/>
  <c r="O929" i="135"/>
  <c r="P929" i="135"/>
  <c r="Q929" i="135"/>
  <c r="R929" i="135"/>
  <c r="W929" i="135"/>
  <c r="X929" i="135" s="1"/>
  <c r="AB929" i="135"/>
  <c r="AC929" i="135" s="1"/>
  <c r="AI929" i="135"/>
  <c r="AJ929" i="135"/>
  <c r="F930" i="135"/>
  <c r="M930" i="135"/>
  <c r="N930" i="135"/>
  <c r="O930" i="135"/>
  <c r="P930" i="135"/>
  <c r="Q930" i="135"/>
  <c r="R930" i="135"/>
  <c r="W930" i="135"/>
  <c r="AD930" i="135" s="1"/>
  <c r="AE930" i="135" s="1"/>
  <c r="X930" i="135"/>
  <c r="AB930" i="135"/>
  <c r="AC930" i="135"/>
  <c r="AI930" i="135"/>
  <c r="AJ930" i="135" s="1"/>
  <c r="F931" i="135"/>
  <c r="F931" i="139" s="1"/>
  <c r="M931" i="135"/>
  <c r="N931" i="135"/>
  <c r="O931" i="135"/>
  <c r="P931" i="135"/>
  <c r="Q931" i="135"/>
  <c r="R931" i="135"/>
  <c r="W931" i="135"/>
  <c r="X931" i="135" s="1"/>
  <c r="AB931" i="135"/>
  <c r="AC931" i="135"/>
  <c r="AI931" i="135"/>
  <c r="AJ931" i="135" s="1"/>
  <c r="F932" i="135"/>
  <c r="M932" i="135"/>
  <c r="N932" i="135"/>
  <c r="O932" i="135"/>
  <c r="P932" i="135"/>
  <c r="Q932" i="135"/>
  <c r="R932" i="135"/>
  <c r="W932" i="135"/>
  <c r="AD932" i="135" s="1"/>
  <c r="AE932" i="135" s="1"/>
  <c r="X932" i="135"/>
  <c r="AB932" i="135"/>
  <c r="AC932" i="135"/>
  <c r="AI932" i="135"/>
  <c r="AJ932" i="135"/>
  <c r="F933" i="135"/>
  <c r="M933" i="135"/>
  <c r="N933" i="135"/>
  <c r="O933" i="135"/>
  <c r="P933" i="135"/>
  <c r="Q933" i="135"/>
  <c r="R933" i="135"/>
  <c r="W933" i="135"/>
  <c r="AD933" i="135" s="1"/>
  <c r="AE933" i="135" s="1"/>
  <c r="X933" i="135"/>
  <c r="AB933" i="135"/>
  <c r="AC933" i="135" s="1"/>
  <c r="AI933" i="135"/>
  <c r="AJ933" i="135" s="1"/>
  <c r="F934" i="135"/>
  <c r="F934" i="139" s="1"/>
  <c r="M934" i="135"/>
  <c r="N934" i="135"/>
  <c r="O934" i="135"/>
  <c r="P934" i="135"/>
  <c r="Q934" i="135"/>
  <c r="R934" i="135"/>
  <c r="W934" i="135"/>
  <c r="X934" i="135"/>
  <c r="AB934" i="135"/>
  <c r="AD934" i="135" s="1"/>
  <c r="AE934" i="135" s="1"/>
  <c r="AC934" i="135"/>
  <c r="AI934" i="135"/>
  <c r="AJ934" i="135" s="1"/>
  <c r="F935" i="135"/>
  <c r="M935" i="135"/>
  <c r="N935" i="135"/>
  <c r="O935" i="135"/>
  <c r="P935" i="135"/>
  <c r="Q935" i="135"/>
  <c r="R935" i="135"/>
  <c r="W935" i="135"/>
  <c r="AB935" i="135"/>
  <c r="AC935" i="135" s="1"/>
  <c r="AI935" i="135"/>
  <c r="AJ935" i="135"/>
  <c r="F936" i="135"/>
  <c r="F936" i="139" s="1"/>
  <c r="M936" i="135"/>
  <c r="N936" i="135"/>
  <c r="O936" i="135"/>
  <c r="P936" i="135"/>
  <c r="Q936" i="135"/>
  <c r="R936" i="135"/>
  <c r="W936" i="135"/>
  <c r="AD936" i="135" s="1"/>
  <c r="AE936" i="135" s="1"/>
  <c r="X936" i="135"/>
  <c r="AB936" i="135"/>
  <c r="AC936" i="135"/>
  <c r="AI936" i="135"/>
  <c r="AJ936" i="135"/>
  <c r="F937" i="135"/>
  <c r="M937" i="135"/>
  <c r="N937" i="135"/>
  <c r="O937" i="135"/>
  <c r="P937" i="135"/>
  <c r="Q937" i="135"/>
  <c r="R937" i="135"/>
  <c r="W937" i="135"/>
  <c r="X937" i="135" s="1"/>
  <c r="AB937" i="135"/>
  <c r="AC937" i="135"/>
  <c r="AD937" i="135"/>
  <c r="AE937" i="135" s="1"/>
  <c r="AI937" i="135"/>
  <c r="AJ937" i="135" s="1"/>
  <c r="F938" i="135"/>
  <c r="F938" i="139" s="1"/>
  <c r="M938" i="135"/>
  <c r="N938" i="135"/>
  <c r="O938" i="135"/>
  <c r="P938" i="135"/>
  <c r="Q938" i="135"/>
  <c r="R938" i="135"/>
  <c r="W938" i="135"/>
  <c r="X938" i="135"/>
  <c r="AB938" i="135"/>
  <c r="AC938" i="135"/>
  <c r="AD938" i="135"/>
  <c r="AE938" i="135" s="1"/>
  <c r="AI938" i="135"/>
  <c r="AJ938" i="135" s="1"/>
  <c r="F939" i="135"/>
  <c r="F939" i="139" s="1"/>
  <c r="M939" i="135"/>
  <c r="N939" i="135"/>
  <c r="O939" i="135"/>
  <c r="P939" i="135"/>
  <c r="Q939" i="135"/>
  <c r="R939" i="135"/>
  <c r="W939" i="135"/>
  <c r="AB939" i="135"/>
  <c r="AC939" i="135" s="1"/>
  <c r="AI939" i="135"/>
  <c r="AJ939" i="135" s="1"/>
  <c r="F940" i="135"/>
  <c r="M940" i="135"/>
  <c r="N940" i="135"/>
  <c r="O940" i="135"/>
  <c r="P940" i="135"/>
  <c r="Q940" i="135"/>
  <c r="R940" i="135"/>
  <c r="W940" i="135"/>
  <c r="X940" i="135"/>
  <c r="AB940" i="135"/>
  <c r="AC940" i="135"/>
  <c r="AI940" i="135"/>
  <c r="AJ940" i="135"/>
  <c r="F941" i="135"/>
  <c r="F941" i="139" s="1"/>
  <c r="M941" i="135"/>
  <c r="N941" i="135"/>
  <c r="O941" i="135"/>
  <c r="P941" i="135"/>
  <c r="Q941" i="135"/>
  <c r="R941" i="135"/>
  <c r="W941" i="135"/>
  <c r="X941" i="135" s="1"/>
  <c r="AB941" i="135"/>
  <c r="AC941" i="135" s="1"/>
  <c r="AD941" i="135"/>
  <c r="AE941" i="135"/>
  <c r="AI941" i="135"/>
  <c r="AJ941" i="135" s="1"/>
  <c r="F942" i="135"/>
  <c r="M942" i="135"/>
  <c r="N942" i="135"/>
  <c r="O942" i="135"/>
  <c r="P942" i="135"/>
  <c r="Q942" i="135"/>
  <c r="R942" i="135"/>
  <c r="W942" i="135"/>
  <c r="AD942" i="135" s="1"/>
  <c r="AE942" i="135" s="1"/>
  <c r="X942" i="135"/>
  <c r="AB942" i="135"/>
  <c r="AC942" i="135"/>
  <c r="AI942" i="135"/>
  <c r="AJ942" i="135"/>
  <c r="F943" i="135"/>
  <c r="F943" i="139" s="1"/>
  <c r="M943" i="135"/>
  <c r="N943" i="135"/>
  <c r="O943" i="135"/>
  <c r="P943" i="135"/>
  <c r="Q943" i="135"/>
  <c r="R943" i="135"/>
  <c r="W943" i="135"/>
  <c r="AB943" i="135"/>
  <c r="AC943" i="135" s="1"/>
  <c r="AI943" i="135"/>
  <c r="AJ943" i="135" s="1"/>
  <c r="F944" i="135"/>
  <c r="M944" i="135"/>
  <c r="N944" i="135"/>
  <c r="O944" i="135"/>
  <c r="P944" i="135"/>
  <c r="Q944" i="135"/>
  <c r="R944" i="135"/>
  <c r="W944" i="135"/>
  <c r="AD944" i="135" s="1"/>
  <c r="AE944" i="135" s="1"/>
  <c r="X944" i="135"/>
  <c r="AB944" i="135"/>
  <c r="AC944" i="135"/>
  <c r="AI944" i="135"/>
  <c r="AJ944" i="135"/>
  <c r="F945" i="135"/>
  <c r="F945" i="139" s="1"/>
  <c r="M945" i="135"/>
  <c r="N945" i="135"/>
  <c r="O945" i="135"/>
  <c r="P945" i="135"/>
  <c r="Q945" i="135"/>
  <c r="R945" i="135"/>
  <c r="W945" i="135"/>
  <c r="X945" i="135" s="1"/>
  <c r="AB945" i="135"/>
  <c r="AC945" i="135" s="1"/>
  <c r="AI945" i="135"/>
  <c r="AJ945" i="135"/>
  <c r="F946" i="135"/>
  <c r="M946" i="135"/>
  <c r="N946" i="135"/>
  <c r="O946" i="135"/>
  <c r="P946" i="135"/>
  <c r="Q946" i="135"/>
  <c r="R946" i="135"/>
  <c r="W946" i="135"/>
  <c r="AD946" i="135" s="1"/>
  <c r="AE946" i="135" s="1"/>
  <c r="X946" i="135"/>
  <c r="AB946" i="135"/>
  <c r="AC946" i="135"/>
  <c r="AI946" i="135"/>
  <c r="AJ946" i="135" s="1"/>
  <c r="F947" i="135"/>
  <c r="F947" i="139" s="1"/>
  <c r="M947" i="135"/>
  <c r="N947" i="135"/>
  <c r="O947" i="135"/>
  <c r="P947" i="135"/>
  <c r="Q947" i="135"/>
  <c r="R947" i="135"/>
  <c r="W947" i="135"/>
  <c r="AB947" i="135"/>
  <c r="AC947" i="135"/>
  <c r="AI947" i="135"/>
  <c r="AJ947" i="135" s="1"/>
  <c r="F948" i="135"/>
  <c r="M948" i="135"/>
  <c r="N948" i="135"/>
  <c r="O948" i="135"/>
  <c r="P948" i="135"/>
  <c r="Q948" i="135"/>
  <c r="R948" i="135"/>
  <c r="W948" i="135"/>
  <c r="AD948" i="135" s="1"/>
  <c r="AE948" i="135" s="1"/>
  <c r="X948" i="135"/>
  <c r="AB948" i="135"/>
  <c r="AC948" i="135"/>
  <c r="AI948" i="135"/>
  <c r="AJ948" i="135"/>
  <c r="F949" i="135"/>
  <c r="M949" i="135"/>
  <c r="N949" i="135"/>
  <c r="O949" i="135"/>
  <c r="P949" i="135"/>
  <c r="Q949" i="135"/>
  <c r="R949" i="135"/>
  <c r="W949" i="135"/>
  <c r="AD949" i="135" s="1"/>
  <c r="AE949" i="135" s="1"/>
  <c r="X949" i="135"/>
  <c r="AB949" i="135"/>
  <c r="AC949" i="135" s="1"/>
  <c r="AI949" i="135"/>
  <c r="AJ949" i="135" s="1"/>
  <c r="F950" i="135"/>
  <c r="F950" i="139" s="1"/>
  <c r="M950" i="135"/>
  <c r="N950" i="135"/>
  <c r="O950" i="135"/>
  <c r="P950" i="135"/>
  <c r="Q950" i="135"/>
  <c r="R950" i="135"/>
  <c r="W950" i="135"/>
  <c r="X950" i="135"/>
  <c r="AB950" i="135"/>
  <c r="AD950" i="135" s="1"/>
  <c r="AE950" i="135" s="1"/>
  <c r="AC950" i="135"/>
  <c r="AI950" i="135"/>
  <c r="AJ950" i="135" s="1"/>
  <c r="F832" i="135" l="1"/>
  <c r="AD830" i="135"/>
  <c r="AE830" i="135" s="1"/>
  <c r="X830" i="135"/>
  <c r="AD827" i="135"/>
  <c r="AE827" i="135" s="1"/>
  <c r="AJ826" i="139"/>
  <c r="AD826" i="135"/>
  <c r="AE826" i="135" s="1"/>
  <c r="AJ825" i="139"/>
  <c r="AD825" i="135"/>
  <c r="AE825" i="135" s="1"/>
  <c r="AD824" i="135"/>
  <c r="AE824" i="135" s="1"/>
  <c r="X824" i="135"/>
  <c r="AJ823" i="139"/>
  <c r="AD823" i="135"/>
  <c r="AE823" i="135" s="1"/>
  <c r="AD822" i="135"/>
  <c r="AE822" i="135" s="1"/>
  <c r="X822" i="135"/>
  <c r="AJ821" i="139"/>
  <c r="AL821" i="139" s="1"/>
  <c r="AD820" i="135"/>
  <c r="AE820" i="135" s="1"/>
  <c r="AJ819" i="139"/>
  <c r="AL819" i="139" s="1"/>
  <c r="AD817" i="135"/>
  <c r="AE817" i="135" s="1"/>
  <c r="AD816" i="135"/>
  <c r="AE816" i="135" s="1"/>
  <c r="X816" i="135"/>
  <c r="AJ815" i="139"/>
  <c r="AD815" i="135"/>
  <c r="AE815" i="135" s="1"/>
  <c r="X815" i="135"/>
  <c r="AJ814" i="139"/>
  <c r="AL814" i="139" s="1"/>
  <c r="AD814" i="135"/>
  <c r="AE814" i="135" s="1"/>
  <c r="AJ812" i="139"/>
  <c r="AD812" i="135"/>
  <c r="AE812" i="135" s="1"/>
  <c r="X812" i="135"/>
  <c r="AJ811" i="139"/>
  <c r="AL811" i="139" s="1"/>
  <c r="AD811" i="135"/>
  <c r="AE811" i="135" s="1"/>
  <c r="AJ807" i="139"/>
  <c r="AD807" i="135"/>
  <c r="AE807" i="135" s="1"/>
  <c r="X807" i="135"/>
  <c r="AJ806" i="139"/>
  <c r="AL806" i="139" s="1"/>
  <c r="AJ805" i="139"/>
  <c r="AL805" i="139" s="1"/>
  <c r="AJ804" i="139"/>
  <c r="AL804" i="139" s="1"/>
  <c r="AJ803" i="139"/>
  <c r="AD803" i="135"/>
  <c r="AE803" i="135" s="1"/>
  <c r="AD802" i="135"/>
  <c r="AE802" i="135" s="1"/>
  <c r="AD799" i="135"/>
  <c r="AE799" i="135" s="1"/>
  <c r="AD798" i="135"/>
  <c r="AE798" i="135" s="1"/>
  <c r="AD796" i="135"/>
  <c r="AE796" i="135" s="1"/>
  <c r="X796" i="135"/>
  <c r="AJ794" i="139"/>
  <c r="AL794" i="139" s="1"/>
  <c r="AJ792" i="139"/>
  <c r="AL792" i="139" s="1"/>
  <c r="AJ791" i="139"/>
  <c r="AJ789" i="139"/>
  <c r="AJ788" i="139"/>
  <c r="AL788" i="139" s="1"/>
  <c r="AD788" i="135"/>
  <c r="AE788" i="135" s="1"/>
  <c r="AD787" i="135"/>
  <c r="AE787" i="135" s="1"/>
  <c r="X787" i="135"/>
  <c r="AD786" i="135"/>
  <c r="AE786" i="135" s="1"/>
  <c r="AD785" i="135"/>
  <c r="AE785" i="135" s="1"/>
  <c r="AJ784" i="139"/>
  <c r="AL784" i="139" s="1"/>
  <c r="AD783" i="135"/>
  <c r="AE783" i="135" s="1"/>
  <c r="X783" i="135"/>
  <c r="AJ782" i="139"/>
  <c r="AL782" i="139" s="1"/>
  <c r="AD782" i="135"/>
  <c r="AE782" i="135" s="1"/>
  <c r="AJ781" i="139"/>
  <c r="AL781" i="139" s="1"/>
  <c r="AJ780" i="139"/>
  <c r="AL780" i="139" s="1"/>
  <c r="AD780" i="135"/>
  <c r="AE780" i="135" s="1"/>
  <c r="X780" i="135"/>
  <c r="AJ779" i="139"/>
  <c r="AJ777" i="139"/>
  <c r="AL777" i="139" s="1"/>
  <c r="AD777" i="135"/>
  <c r="AE777" i="135" s="1"/>
  <c r="AJ776" i="139"/>
  <c r="AJ775" i="139"/>
  <c r="AL775" i="139" s="1"/>
  <c r="AJ773" i="139"/>
  <c r="AD773" i="135"/>
  <c r="AE773" i="135" s="1"/>
  <c r="AJ771" i="139"/>
  <c r="AD771" i="135"/>
  <c r="AE771" i="135" s="1"/>
  <c r="X771" i="135"/>
  <c r="AD770" i="135"/>
  <c r="AE770" i="135" s="1"/>
  <c r="AJ770" i="139"/>
  <c r="AL770" i="139" s="1"/>
  <c r="AD768" i="135"/>
  <c r="AE768" i="135" s="1"/>
  <c r="AJ767" i="139"/>
  <c r="AL766" i="139"/>
  <c r="AD766" i="135"/>
  <c r="AE766" i="135" s="1"/>
  <c r="AD764" i="135"/>
  <c r="AE764" i="135" s="1"/>
  <c r="X764" i="135"/>
  <c r="AJ763" i="139"/>
  <c r="AJ760" i="139"/>
  <c r="AL760" i="139" s="1"/>
  <c r="AJ759" i="139"/>
  <c r="AJ758" i="139"/>
  <c r="AL758" i="139" s="1"/>
  <c r="AJ757" i="139"/>
  <c r="AL757" i="139" s="1"/>
  <c r="AJ756" i="139"/>
  <c r="AL756" i="139" s="1"/>
  <c r="AD756" i="135"/>
  <c r="AE756" i="135" s="1"/>
  <c r="AJ754" i="139"/>
  <c r="AL754" i="139" s="1"/>
  <c r="AD754" i="135"/>
  <c r="AE754" i="135" s="1"/>
  <c r="AD752" i="135"/>
  <c r="AE752" i="135" s="1"/>
  <c r="X752" i="135"/>
  <c r="AJ751" i="139"/>
  <c r="AL751" i="139" s="1"/>
  <c r="AD751" i="135"/>
  <c r="AE751" i="135" s="1"/>
  <c r="X751" i="135"/>
  <c r="AJ750" i="139"/>
  <c r="AL750" i="139" s="1"/>
  <c r="AD750" i="135"/>
  <c r="AE750" i="135" s="1"/>
  <c r="AD748" i="135"/>
  <c r="AE748" i="135" s="1"/>
  <c r="X748" i="135"/>
  <c r="AJ747" i="139"/>
  <c r="AD747" i="135"/>
  <c r="AE747" i="135" s="1"/>
  <c r="AJ746" i="139"/>
  <c r="AD745" i="135"/>
  <c r="AE745" i="135" s="1"/>
  <c r="AJ744" i="139"/>
  <c r="AD744" i="135"/>
  <c r="AE744" i="135" s="1"/>
  <c r="X744" i="135"/>
  <c r="AD743" i="135"/>
  <c r="AE743" i="135" s="1"/>
  <c r="AJ742" i="139"/>
  <c r="AL742" i="139" s="1"/>
  <c r="AJ741" i="139"/>
  <c r="AO733" i="134"/>
  <c r="F736" i="135"/>
  <c r="F734" i="134" s="1"/>
  <c r="AJ734" i="139"/>
  <c r="AD734" i="135"/>
  <c r="AE734" i="135" s="1"/>
  <c r="AD731" i="135"/>
  <c r="AE731" i="135" s="1"/>
  <c r="AD730" i="135"/>
  <c r="AE730" i="135" s="1"/>
  <c r="X730" i="135"/>
  <c r="AJ732" i="139"/>
  <c r="AL732" i="139" s="1"/>
  <c r="AD729" i="135"/>
  <c r="AE729" i="135" s="1"/>
  <c r="AJ728" i="139"/>
  <c r="AL728" i="139" s="1"/>
  <c r="AD728" i="135"/>
  <c r="AE728" i="135" s="1"/>
  <c r="X728" i="135"/>
  <c r="AJ727" i="139"/>
  <c r="AL727" i="139" s="1"/>
  <c r="AD727" i="135"/>
  <c r="AE727" i="135" s="1"/>
  <c r="AD726" i="135"/>
  <c r="AE726" i="135" s="1"/>
  <c r="AJ725" i="139"/>
  <c r="AL725" i="139" s="1"/>
  <c r="AD725" i="135"/>
  <c r="AE725" i="135" s="1"/>
  <c r="AD724" i="135"/>
  <c r="AE724" i="135" s="1"/>
  <c r="AJ720" i="139"/>
  <c r="AL720" i="139" s="1"/>
  <c r="AD720" i="135"/>
  <c r="AE720" i="135" s="1"/>
  <c r="AJ718" i="139"/>
  <c r="AL718" i="139" s="1"/>
  <c r="AJ717" i="139"/>
  <c r="AD716" i="135"/>
  <c r="AE716" i="135" s="1"/>
  <c r="X716" i="135"/>
  <c r="AD715" i="135"/>
  <c r="AE715" i="135" s="1"/>
  <c r="AJ713" i="139"/>
  <c r="AL713" i="139" s="1"/>
  <c r="AJ711" i="139"/>
  <c r="AL711" i="139" s="1"/>
  <c r="AD711" i="135"/>
  <c r="AE711" i="135" s="1"/>
  <c r="AL710" i="139"/>
  <c r="AJ709" i="139"/>
  <c r="AL709" i="139" s="1"/>
  <c r="AD709" i="135"/>
  <c r="AE709" i="135" s="1"/>
  <c r="AD708" i="135"/>
  <c r="AE708" i="135" s="1"/>
  <c r="AD707" i="135"/>
  <c r="AE707" i="135" s="1"/>
  <c r="AD706" i="135"/>
  <c r="AE706" i="135" s="1"/>
  <c r="AJ703" i="139"/>
  <c r="AL703" i="139" s="1"/>
  <c r="AD703" i="135"/>
  <c r="AE703" i="135" s="1"/>
  <c r="X703" i="135"/>
  <c r="AJ702" i="139"/>
  <c r="AL702" i="139" s="1"/>
  <c r="AD702" i="135"/>
  <c r="AE702" i="135" s="1"/>
  <c r="AD700" i="135"/>
  <c r="AE700" i="135" s="1"/>
  <c r="X700" i="135"/>
  <c r="AL698" i="139"/>
  <c r="AJ697" i="139"/>
  <c r="AL697" i="139" s="1"/>
  <c r="AJ694" i="139"/>
  <c r="AL694" i="139" s="1"/>
  <c r="AJ692" i="139"/>
  <c r="AL692" i="139" s="1"/>
  <c r="AD692" i="135"/>
  <c r="AE692" i="135" s="1"/>
  <c r="AJ690" i="139"/>
  <c r="AD690" i="135"/>
  <c r="AE690" i="135" s="1"/>
  <c r="AD689" i="135"/>
  <c r="AE689" i="135" s="1"/>
  <c r="AJ688" i="139"/>
  <c r="AL688" i="139" s="1"/>
  <c r="AJ687" i="139"/>
  <c r="AD687" i="135"/>
  <c r="AE687" i="135" s="1"/>
  <c r="AJ686" i="139"/>
  <c r="AL686" i="139" s="1"/>
  <c r="AD683" i="135"/>
  <c r="AE683" i="135" s="1"/>
  <c r="AJ682" i="139"/>
  <c r="AL682" i="139" s="1"/>
  <c r="AD682" i="135"/>
  <c r="AE682" i="135" s="1"/>
  <c r="AJ681" i="139"/>
  <c r="AJ679" i="139"/>
  <c r="AL679" i="139" s="1"/>
  <c r="AJ677" i="139"/>
  <c r="AL677" i="139" s="1"/>
  <c r="AD677" i="135"/>
  <c r="AE677" i="135" s="1"/>
  <c r="AD675" i="135"/>
  <c r="AE675" i="135" s="1"/>
  <c r="F676" i="135"/>
  <c r="F674" i="134" s="1"/>
  <c r="AD674" i="135"/>
  <c r="AE674" i="135" s="1"/>
  <c r="AJ672" i="139"/>
  <c r="AL672" i="139" s="1"/>
  <c r="AD672" i="135"/>
  <c r="AE672" i="135" s="1"/>
  <c r="AJ671" i="139"/>
  <c r="AD671" i="135"/>
  <c r="AE671" i="135" s="1"/>
  <c r="AL668" i="139"/>
  <c r="AD667" i="135"/>
  <c r="AE667" i="135" s="1"/>
  <c r="AJ664" i="139"/>
  <c r="AL664" i="139" s="1"/>
  <c r="AD663" i="135"/>
  <c r="AE663" i="135" s="1"/>
  <c r="AJ661" i="139"/>
  <c r="AL661" i="139" s="1"/>
  <c r="AJ660" i="139"/>
  <c r="AL660" i="139" s="1"/>
  <c r="AD660" i="135"/>
  <c r="AE660" i="135" s="1"/>
  <c r="AD659" i="135"/>
  <c r="AE659" i="135" s="1"/>
  <c r="AJ657" i="139"/>
  <c r="AL657" i="139" s="1"/>
  <c r="AD656" i="135"/>
  <c r="AE656" i="135" s="1"/>
  <c r="AJ654" i="139"/>
  <c r="AL654" i="139" s="1"/>
  <c r="AJ653" i="139"/>
  <c r="AL653" i="139" s="1"/>
  <c r="AJ652" i="139"/>
  <c r="AL652" i="139" s="1"/>
  <c r="AD652" i="135"/>
  <c r="AE652" i="135" s="1"/>
  <c r="X652" i="135"/>
  <c r="AD650" i="135"/>
  <c r="AE650" i="135" s="1"/>
  <c r="X650" i="135"/>
  <c r="AL646" i="139"/>
  <c r="AJ649" i="139"/>
  <c r="AL649" i="139" s="1"/>
  <c r="AJ648" i="139"/>
  <c r="AL645" i="139"/>
  <c r="AD645" i="135"/>
  <c r="AE645" i="135" s="1"/>
  <c r="AJ644" i="139"/>
  <c r="AL644" i="139" s="1"/>
  <c r="AD644" i="135"/>
  <c r="AE644" i="135" s="1"/>
  <c r="AD642" i="135"/>
  <c r="AE642" i="135" s="1"/>
  <c r="X642" i="135"/>
  <c r="AD641" i="135"/>
  <c r="AE641" i="135" s="1"/>
  <c r="AD639" i="135"/>
  <c r="AE639" i="135" s="1"/>
  <c r="AJ642" i="139"/>
  <c r="AL642" i="139" s="1"/>
  <c r="AJ641" i="139"/>
  <c r="AL641" i="139" s="1"/>
  <c r="AJ637" i="139"/>
  <c r="AL637" i="139" s="1"/>
  <c r="AD637" i="135"/>
  <c r="AE637" i="135" s="1"/>
  <c r="AD636" i="135"/>
  <c r="AE636" i="135" s="1"/>
  <c r="AJ634" i="139"/>
  <c r="AL634" i="139" s="1"/>
  <c r="AJ633" i="139"/>
  <c r="AJ632" i="139"/>
  <c r="AL632" i="139" s="1"/>
  <c r="F631" i="135"/>
  <c r="F629" i="134" s="1"/>
  <c r="AJ631" i="139"/>
  <c r="AJ630" i="139"/>
  <c r="AL630" i="139" s="1"/>
  <c r="AJ629" i="139"/>
  <c r="AJ628" i="139"/>
  <c r="AL628" i="139" s="1"/>
  <c r="AD627" i="135"/>
  <c r="AE627" i="135" s="1"/>
  <c r="X627" i="135"/>
  <c r="AJ626" i="139"/>
  <c r="AL626" i="139" s="1"/>
  <c r="AD625" i="135"/>
  <c r="AE625" i="135" s="1"/>
  <c r="AJ624" i="139"/>
  <c r="AJ623" i="139"/>
  <c r="AL623" i="139" s="1"/>
  <c r="AD623" i="135"/>
  <c r="AE623" i="135" s="1"/>
  <c r="AJ622" i="139"/>
  <c r="AL622" i="139" s="1"/>
  <c r="AJ620" i="139"/>
  <c r="AL620" i="139" s="1"/>
  <c r="AJ619" i="139"/>
  <c r="AL619" i="139" s="1"/>
  <c r="AD619" i="135"/>
  <c r="AE619" i="135" s="1"/>
  <c r="X619" i="135"/>
  <c r="AJ617" i="139"/>
  <c r="AD617" i="135"/>
  <c r="AE617" i="135" s="1"/>
  <c r="AD616" i="135"/>
  <c r="AE616" i="135" s="1"/>
  <c r="AO614" i="134"/>
  <c r="AO612" i="134"/>
  <c r="AJ613" i="139"/>
  <c r="AL613" i="139" s="1"/>
  <c r="AD612" i="135"/>
  <c r="AE612" i="135" s="1"/>
  <c r="F609" i="139"/>
  <c r="F611" i="135"/>
  <c r="F611" i="139" s="1"/>
  <c r="AD611" i="135"/>
  <c r="AE611" i="135" s="1"/>
  <c r="AD609" i="135"/>
  <c r="AE609" i="135" s="1"/>
  <c r="AJ607" i="139"/>
  <c r="AD607" i="135"/>
  <c r="AE607" i="135" s="1"/>
  <c r="X607" i="135"/>
  <c r="AJ606" i="139"/>
  <c r="AL606" i="139" s="1"/>
  <c r="AJ605" i="139"/>
  <c r="AD605" i="135"/>
  <c r="AE605" i="135" s="1"/>
  <c r="AJ600" i="139"/>
  <c r="AL600" i="139" s="1"/>
  <c r="AD600" i="135"/>
  <c r="AE600" i="135" s="1"/>
  <c r="AD599" i="135"/>
  <c r="AE599" i="135" s="1"/>
  <c r="X599" i="135"/>
  <c r="AJ598" i="139"/>
  <c r="AL598" i="139" s="1"/>
  <c r="AJ597" i="139"/>
  <c r="AL597" i="139" s="1"/>
  <c r="AJ596" i="139"/>
  <c r="AL596" i="139" s="1"/>
  <c r="AJ593" i="139"/>
  <c r="AO591" i="134"/>
  <c r="AD592" i="135"/>
  <c r="AE592" i="135" s="1"/>
  <c r="AJ589" i="139"/>
  <c r="AL589" i="139" s="1"/>
  <c r="AD587" i="135"/>
  <c r="AE587" i="135" s="1"/>
  <c r="X587" i="135"/>
  <c r="AJ585" i="139"/>
  <c r="AL585" i="139" s="1"/>
  <c r="AD584" i="135"/>
  <c r="AE584" i="135" s="1"/>
  <c r="X584" i="135"/>
  <c r="AD583" i="135"/>
  <c r="AE583" i="135" s="1"/>
  <c r="X583" i="135"/>
  <c r="AJ582" i="139"/>
  <c r="AJ581" i="139"/>
  <c r="AL581" i="139" s="1"/>
  <c r="AD580" i="135"/>
  <c r="AE580" i="135" s="1"/>
  <c r="AJ578" i="139"/>
  <c r="AL578" i="139" s="1"/>
  <c r="AD577" i="135"/>
  <c r="AE577" i="135" s="1"/>
  <c r="X577" i="135"/>
  <c r="AJ574" i="139"/>
  <c r="AL574" i="139" s="1"/>
  <c r="AD574" i="135"/>
  <c r="AE574" i="135" s="1"/>
  <c r="X574" i="135"/>
  <c r="AJ573" i="139"/>
  <c r="AL573" i="139" s="1"/>
  <c r="R573" i="135"/>
  <c r="AD572" i="135"/>
  <c r="AE572" i="135" s="1"/>
  <c r="X572" i="135"/>
  <c r="AD571" i="135"/>
  <c r="AE571" i="135" s="1"/>
  <c r="AJ570" i="139"/>
  <c r="AJ569" i="139"/>
  <c r="AL569" i="139" s="1"/>
  <c r="AD567" i="135"/>
  <c r="AE567" i="135" s="1"/>
  <c r="AJ567" i="139"/>
  <c r="AJ566" i="139"/>
  <c r="AL566" i="139" s="1"/>
  <c r="AJ565" i="139"/>
  <c r="AL565" i="139" s="1"/>
  <c r="AD565" i="135"/>
  <c r="AE565" i="135" s="1"/>
  <c r="AD563" i="135"/>
  <c r="AE563" i="135" s="1"/>
  <c r="AJ562" i="139"/>
  <c r="AL562" i="139" s="1"/>
  <c r="AJ559" i="139"/>
  <c r="AL559" i="139" s="1"/>
  <c r="AD559" i="135"/>
  <c r="AE559" i="135" s="1"/>
  <c r="AJ558" i="139"/>
  <c r="AJ557" i="139"/>
  <c r="AL557" i="139" s="1"/>
  <c r="AD557" i="135"/>
  <c r="AE557" i="135" s="1"/>
  <c r="X557" i="135"/>
  <c r="AJ556" i="139"/>
  <c r="AL556" i="139" s="1"/>
  <c r="AD555" i="135"/>
  <c r="AE555" i="135" s="1"/>
  <c r="X555" i="135"/>
  <c r="AJ554" i="139"/>
  <c r="AD551" i="135"/>
  <c r="AE551" i="135" s="1"/>
  <c r="AJ550" i="139"/>
  <c r="AJ549" i="139"/>
  <c r="AL549" i="139" s="1"/>
  <c r="AJ548" i="139"/>
  <c r="AD547" i="135"/>
  <c r="AE547" i="135" s="1"/>
  <c r="X547" i="135"/>
  <c r="AJ545" i="139"/>
  <c r="AL545" i="139" s="1"/>
  <c r="AD543" i="135"/>
  <c r="AE543" i="135" s="1"/>
  <c r="AL540" i="139"/>
  <c r="AJ538" i="139"/>
  <c r="AL538" i="139" s="1"/>
  <c r="AD535" i="135"/>
  <c r="AE535" i="135" s="1"/>
  <c r="AJ534" i="139"/>
  <c r="AL534" i="139" s="1"/>
  <c r="AJ533" i="139"/>
  <c r="AL533" i="139" s="1"/>
  <c r="AD533" i="135"/>
  <c r="AE533" i="135" s="1"/>
  <c r="X533" i="135"/>
  <c r="AD531" i="135"/>
  <c r="AE531" i="135" s="1"/>
  <c r="AJ531" i="139"/>
  <c r="AL531" i="139" s="1"/>
  <c r="AJ529" i="139"/>
  <c r="AL529" i="139" s="1"/>
  <c r="AJ527" i="139"/>
  <c r="AJ525" i="139"/>
  <c r="AL525" i="139" s="1"/>
  <c r="AD525" i="135"/>
  <c r="AE525" i="135" s="1"/>
  <c r="AJ524" i="139"/>
  <c r="AL524" i="139" s="1"/>
  <c r="AJ523" i="139"/>
  <c r="AJ521" i="139"/>
  <c r="AL521" i="139" s="1"/>
  <c r="AJ520" i="139"/>
  <c r="AL520" i="139" s="1"/>
  <c r="AD519" i="135"/>
  <c r="AE519" i="135" s="1"/>
  <c r="AJ517" i="139"/>
  <c r="AL517" i="139" s="1"/>
  <c r="AD516" i="135"/>
  <c r="AE516" i="135" s="1"/>
  <c r="AJ513" i="139"/>
  <c r="AJ510" i="139"/>
  <c r="AL509" i="139"/>
  <c r="AD508" i="135"/>
  <c r="AE508" i="135" s="1"/>
  <c r="AJ505" i="139"/>
  <c r="AL505" i="139" s="1"/>
  <c r="AD504" i="135"/>
  <c r="AE504" i="135" s="1"/>
  <c r="AJ503" i="139"/>
  <c r="AL503" i="139" s="1"/>
  <c r="AD503" i="135"/>
  <c r="AE503" i="135" s="1"/>
  <c r="X503" i="135"/>
  <c r="AJ501" i="139"/>
  <c r="AL501" i="139" s="1"/>
  <c r="AJ500" i="139"/>
  <c r="AL500" i="139" s="1"/>
  <c r="AD499" i="135"/>
  <c r="AE499" i="135" s="1"/>
  <c r="AJ497" i="139"/>
  <c r="AL497" i="139" s="1"/>
  <c r="AJ496" i="139"/>
  <c r="AL496" i="139" s="1"/>
  <c r="AD496" i="135"/>
  <c r="AE496" i="135" s="1"/>
  <c r="AJ495" i="139"/>
  <c r="AD495" i="135"/>
  <c r="AE495" i="135" s="1"/>
  <c r="AD493" i="135"/>
  <c r="AE493" i="135" s="1"/>
  <c r="AJ492" i="139"/>
  <c r="AL492" i="139" s="1"/>
  <c r="AJ491" i="139"/>
  <c r="AL491" i="139" s="1"/>
  <c r="AJ488" i="139"/>
  <c r="AL488" i="139" s="1"/>
  <c r="AD488" i="135"/>
  <c r="AE488" i="135" s="1"/>
  <c r="AD487" i="135"/>
  <c r="AE487" i="135" s="1"/>
  <c r="AJ485" i="139"/>
  <c r="AL485" i="139" s="1"/>
  <c r="AJ484" i="139"/>
  <c r="AL484" i="139" s="1"/>
  <c r="AD484" i="135"/>
  <c r="AE484" i="135" s="1"/>
  <c r="AJ483" i="139"/>
  <c r="AD483" i="135"/>
  <c r="AE483" i="135" s="1"/>
  <c r="AJ481" i="139"/>
  <c r="AL481" i="139" s="1"/>
  <c r="AD481" i="135"/>
  <c r="AE481" i="135" s="1"/>
  <c r="AJ477" i="139"/>
  <c r="AL477" i="139" s="1"/>
  <c r="AJ475" i="139"/>
  <c r="AJ472" i="139"/>
  <c r="AL472" i="139" s="1"/>
  <c r="AD472" i="135"/>
  <c r="AE472" i="135" s="1"/>
  <c r="AD471" i="135"/>
  <c r="AE471" i="135" s="1"/>
  <c r="AD469" i="135"/>
  <c r="AE469" i="135" s="1"/>
  <c r="AD467" i="135"/>
  <c r="AE467" i="135" s="1"/>
  <c r="AJ465" i="139"/>
  <c r="AL465" i="139" s="1"/>
  <c r="AD465" i="135"/>
  <c r="AE465" i="135" s="1"/>
  <c r="X465" i="135"/>
  <c r="AJ464" i="139"/>
  <c r="AL464" i="139" s="1"/>
  <c r="AD463" i="135"/>
  <c r="AE463" i="135" s="1"/>
  <c r="AJ462" i="139"/>
  <c r="AL462" i="139" s="1"/>
  <c r="AJ459" i="139"/>
  <c r="AL459" i="139" s="1"/>
  <c r="AJ456" i="139"/>
  <c r="AL456" i="139" s="1"/>
  <c r="AJ455" i="139"/>
  <c r="AD454" i="135"/>
  <c r="AE454" i="135" s="1"/>
  <c r="AJ452" i="139"/>
  <c r="AL452" i="139" s="1"/>
  <c r="AD450" i="135"/>
  <c r="AE450" i="135" s="1"/>
  <c r="X450" i="135"/>
  <c r="AJ449" i="139"/>
  <c r="AL449" i="139" s="1"/>
  <c r="AJ448" i="139"/>
  <c r="AL448" i="139" s="1"/>
  <c r="AJ447" i="139"/>
  <c r="AL447" i="139" s="1"/>
  <c r="AD447" i="135"/>
  <c r="AE447" i="135" s="1"/>
  <c r="AJ445" i="139"/>
  <c r="AL445" i="139" s="1"/>
  <c r="AD444" i="135"/>
  <c r="AE444" i="135" s="1"/>
  <c r="AD443" i="135"/>
  <c r="AE443" i="135" s="1"/>
  <c r="AJ440" i="139"/>
  <c r="AD440" i="135"/>
  <c r="AE440" i="135" s="1"/>
  <c r="AD439" i="135"/>
  <c r="AE439" i="135" s="1"/>
  <c r="AJ437" i="139"/>
  <c r="AL437" i="139" s="1"/>
  <c r="AJ436" i="139"/>
  <c r="AL436" i="139" s="1"/>
  <c r="AD436" i="135"/>
  <c r="AE436" i="135" s="1"/>
  <c r="X436" i="135"/>
  <c r="AJ432" i="139"/>
  <c r="AJ430" i="139"/>
  <c r="AD430" i="135"/>
  <c r="AE430" i="135" s="1"/>
  <c r="X430" i="135"/>
  <c r="AJ429" i="139"/>
  <c r="AL429" i="139" s="1"/>
  <c r="AD429" i="135"/>
  <c r="AE429" i="135" s="1"/>
  <c r="AD428" i="135"/>
  <c r="AE428" i="135" s="1"/>
  <c r="AJ426" i="139"/>
  <c r="AL426" i="139" s="1"/>
  <c r="AJ425" i="139"/>
  <c r="AL425" i="139" s="1"/>
  <c r="AJ424" i="139"/>
  <c r="AL424" i="139" s="1"/>
  <c r="AJ423" i="139"/>
  <c r="AL423" i="139" s="1"/>
  <c r="AJ420" i="139"/>
  <c r="AD420" i="135"/>
  <c r="AE420" i="135" s="1"/>
  <c r="AJ419" i="139"/>
  <c r="AJ418" i="139"/>
  <c r="AD418" i="135"/>
  <c r="AE418" i="135" s="1"/>
  <c r="AJ417" i="139"/>
  <c r="AL417" i="139" s="1"/>
  <c r="AJ416" i="139"/>
  <c r="AJ415" i="139"/>
  <c r="AJ414" i="139"/>
  <c r="AL414" i="139" s="1"/>
  <c r="AJ413" i="139"/>
  <c r="AL413" i="139" s="1"/>
  <c r="AJ408" i="139"/>
  <c r="AL408" i="139" s="1"/>
  <c r="AJ407" i="139"/>
  <c r="AL407" i="139" s="1"/>
  <c r="AD407" i="135"/>
  <c r="AE407" i="135" s="1"/>
  <c r="X407" i="135"/>
  <c r="AD406" i="135"/>
  <c r="AE406" i="135" s="1"/>
  <c r="AJ404" i="139"/>
  <c r="AL404" i="139" s="1"/>
  <c r="AJ403" i="139"/>
  <c r="AJ402" i="139"/>
  <c r="AL402" i="139" s="1"/>
  <c r="AD402" i="135"/>
  <c r="AE402" i="135" s="1"/>
  <c r="AJ401" i="139"/>
  <c r="AL401" i="139" s="1"/>
  <c r="AD401" i="135"/>
  <c r="AE401" i="135" s="1"/>
  <c r="X401" i="135"/>
  <c r="AJ400" i="139"/>
  <c r="AL400" i="139" s="1"/>
  <c r="AJ398" i="139"/>
  <c r="AL398" i="139" s="1"/>
  <c r="AJ395" i="139"/>
  <c r="AL395" i="139" s="1"/>
  <c r="AJ392" i="139"/>
  <c r="AL392" i="139" s="1"/>
  <c r="AD392" i="135"/>
  <c r="AE392" i="135" s="1"/>
  <c r="AJ391" i="139"/>
  <c r="AJ390" i="139"/>
  <c r="AL390" i="139" s="1"/>
  <c r="AD390" i="135"/>
  <c r="AE390" i="135" s="1"/>
  <c r="AJ389" i="139"/>
  <c r="AJ387" i="139"/>
  <c r="AD387" i="135"/>
  <c r="AE387" i="135" s="1"/>
  <c r="AJ384" i="139"/>
  <c r="AL384" i="139" s="1"/>
  <c r="AD384" i="135"/>
  <c r="AE384" i="135" s="1"/>
  <c r="F386" i="135"/>
  <c r="AD383" i="135"/>
  <c r="AE383" i="135" s="1"/>
  <c r="X383" i="135"/>
  <c r="AJ382" i="139"/>
  <c r="AD382" i="135"/>
  <c r="AE382" i="135" s="1"/>
  <c r="AD381" i="135"/>
  <c r="AE381" i="135" s="1"/>
  <c r="AJ376" i="139"/>
  <c r="AL376" i="139" s="1"/>
  <c r="AJ375" i="139"/>
  <c r="AJ374" i="139"/>
  <c r="AJ373" i="139"/>
  <c r="AD373" i="135"/>
  <c r="AE373" i="135" s="1"/>
  <c r="AJ371" i="139"/>
  <c r="AJ368" i="139"/>
  <c r="AL368" i="139" s="1"/>
  <c r="AD368" i="135"/>
  <c r="AE368" i="135" s="1"/>
  <c r="AJ366" i="139"/>
  <c r="AD366" i="135"/>
  <c r="AE366" i="135" s="1"/>
  <c r="AJ365" i="139"/>
  <c r="AL365" i="139" s="1"/>
  <c r="AJ363" i="139"/>
  <c r="AD363" i="135"/>
  <c r="AE363" i="135" s="1"/>
  <c r="AJ362" i="139"/>
  <c r="AL362" i="139" s="1"/>
  <c r="AD362" i="135"/>
  <c r="AE362" i="135" s="1"/>
  <c r="AJ361" i="139"/>
  <c r="AL361" i="139" s="1"/>
  <c r="AJ360" i="139"/>
  <c r="AL360" i="139" s="1"/>
  <c r="AJ359" i="139"/>
  <c r="AD359" i="135"/>
  <c r="AE359" i="135" s="1"/>
  <c r="X359" i="135"/>
  <c r="AJ355" i="139"/>
  <c r="AD353" i="135"/>
  <c r="AE353" i="135" s="1"/>
  <c r="F354" i="135"/>
  <c r="F355" i="135" s="1"/>
  <c r="F353" i="134" s="1"/>
  <c r="AJ354" i="139"/>
  <c r="AJ353" i="139"/>
  <c r="AL353" i="139" s="1"/>
  <c r="AD355" i="135"/>
  <c r="AE355" i="135" s="1"/>
  <c r="AJ352" i="139"/>
  <c r="AL352" i="139" s="1"/>
  <c r="AD351" i="135"/>
  <c r="AE351" i="135" s="1"/>
  <c r="X351" i="135"/>
  <c r="AD347" i="135"/>
  <c r="AE347" i="135" s="1"/>
  <c r="AJ346" i="139"/>
  <c r="AJ345" i="139"/>
  <c r="AJ344" i="139"/>
  <c r="AL344" i="139" s="1"/>
  <c r="AD343" i="135"/>
  <c r="AE343" i="135" s="1"/>
  <c r="AJ342" i="139"/>
  <c r="AD342" i="135"/>
  <c r="AE342" i="135" s="1"/>
  <c r="AJ341" i="139"/>
  <c r="AL341" i="139" s="1"/>
  <c r="AD339" i="135"/>
  <c r="AE339" i="135" s="1"/>
  <c r="AJ338" i="139"/>
  <c r="AL338" i="139" s="1"/>
  <c r="AJ337" i="139"/>
  <c r="AL337" i="139" s="1"/>
  <c r="AJ336" i="139"/>
  <c r="AJ335" i="139"/>
  <c r="AL335" i="139" s="1"/>
  <c r="AJ334" i="139"/>
  <c r="AL334" i="139" s="1"/>
  <c r="AD334" i="135"/>
  <c r="AE334" i="135" s="1"/>
  <c r="AJ333" i="139"/>
  <c r="AL333" i="139" s="1"/>
  <c r="AJ332" i="139"/>
  <c r="AL332" i="139" s="1"/>
  <c r="AJ330" i="139"/>
  <c r="AD330" i="135"/>
  <c r="AE330" i="135" s="1"/>
  <c r="AJ329" i="139"/>
  <c r="AL329" i="139" s="1"/>
  <c r="AJ328" i="139"/>
  <c r="AJ327" i="139"/>
  <c r="AL327" i="139" s="1"/>
  <c r="AD327" i="135"/>
  <c r="AE327" i="135" s="1"/>
  <c r="AJ326" i="139"/>
  <c r="AD326" i="135"/>
  <c r="AE326" i="135" s="1"/>
  <c r="AD321" i="135"/>
  <c r="AE321" i="135" s="1"/>
  <c r="X321" i="135"/>
  <c r="AJ320" i="139"/>
  <c r="AL320" i="139" s="1"/>
  <c r="AJ319" i="139"/>
  <c r="AL319" i="139" s="1"/>
  <c r="AJ318" i="139"/>
  <c r="AL318" i="139" s="1"/>
  <c r="AJ315" i="139"/>
  <c r="AD315" i="135"/>
  <c r="AE315" i="135" s="1"/>
  <c r="AJ314" i="139"/>
  <c r="AL314" i="139" s="1"/>
  <c r="AD314" i="135"/>
  <c r="AE314" i="135" s="1"/>
  <c r="AJ310" i="139"/>
  <c r="AL310" i="139" s="1"/>
  <c r="AJ308" i="139"/>
  <c r="AL308" i="139" s="1"/>
  <c r="AJ306" i="139"/>
  <c r="AD306" i="135"/>
  <c r="AE306" i="135" s="1"/>
  <c r="AJ305" i="139"/>
  <c r="AD303" i="135"/>
  <c r="AE303" i="135" s="1"/>
  <c r="AJ300" i="139"/>
  <c r="AJ299" i="139"/>
  <c r="AL299" i="139" s="1"/>
  <c r="AD299" i="135"/>
  <c r="AE299" i="135" s="1"/>
  <c r="AD298" i="135"/>
  <c r="AE298" i="135" s="1"/>
  <c r="AJ297" i="139"/>
  <c r="AL297" i="139" s="1"/>
  <c r="AJ296" i="139"/>
  <c r="AD295" i="135"/>
  <c r="AE295" i="135" s="1"/>
  <c r="X295" i="135"/>
  <c r="F292" i="135"/>
  <c r="F293" i="135" s="1"/>
  <c r="F291" i="134" s="1"/>
  <c r="AL291" i="139"/>
  <c r="AJ290" i="139"/>
  <c r="AJ289" i="139"/>
  <c r="AL289" i="139" s="1"/>
  <c r="F288" i="135"/>
  <c r="AL288" i="139"/>
  <c r="AL287" i="139"/>
  <c r="AJ285" i="139"/>
  <c r="AL285" i="139" s="1"/>
  <c r="AD283" i="135"/>
  <c r="AE283" i="135" s="1"/>
  <c r="X283" i="135"/>
  <c r="AJ281" i="139"/>
  <c r="AL281" i="139" s="1"/>
  <c r="AD279" i="135"/>
  <c r="AE279" i="135" s="1"/>
  <c r="X279" i="135"/>
  <c r="AD277" i="135"/>
  <c r="AE277" i="135" s="1"/>
  <c r="AJ276" i="139"/>
  <c r="AL276" i="139" s="1"/>
  <c r="AL273" i="139"/>
  <c r="AD269" i="135"/>
  <c r="AE269" i="135" s="1"/>
  <c r="AJ271" i="139"/>
  <c r="AL271" i="139" s="1"/>
  <c r="AJ266" i="139"/>
  <c r="AL266" i="139" s="1"/>
  <c r="AJ265" i="139"/>
  <c r="AL265" i="139" s="1"/>
  <c r="AD265" i="135"/>
  <c r="AE265" i="135" s="1"/>
  <c r="AJ262" i="139"/>
  <c r="AJ261" i="139"/>
  <c r="AD261" i="135"/>
  <c r="AE261" i="135" s="1"/>
  <c r="AJ259" i="139"/>
  <c r="AL259" i="139" s="1"/>
  <c r="AD259" i="135"/>
  <c r="AE259" i="135" s="1"/>
  <c r="AD258" i="135"/>
  <c r="AE258" i="135" s="1"/>
  <c r="AJ257" i="139"/>
  <c r="AL257" i="139" s="1"/>
  <c r="AJ255" i="139"/>
  <c r="AL255" i="139" s="1"/>
  <c r="AJ254" i="139"/>
  <c r="AJ251" i="139"/>
  <c r="AL251" i="139"/>
  <c r="AJ248" i="139"/>
  <c r="AJ247" i="139"/>
  <c r="AL247" i="139" s="1"/>
  <c r="AD247" i="135"/>
  <c r="AE247" i="135" s="1"/>
  <c r="AJ245" i="139"/>
  <c r="AJ243" i="139"/>
  <c r="AL243" i="139" s="1"/>
  <c r="AD243" i="135"/>
  <c r="AE243" i="135" s="1"/>
  <c r="AJ242" i="139"/>
  <c r="AL242" i="139" s="1"/>
  <c r="AD242" i="135"/>
  <c r="AE242" i="135" s="1"/>
  <c r="X242" i="135"/>
  <c r="AD241" i="135"/>
  <c r="AE241" i="135" s="1"/>
  <c r="AJ240" i="139"/>
  <c r="AL240" i="139" s="1"/>
  <c r="AD239" i="135"/>
  <c r="AE239" i="135" s="1"/>
  <c r="AJ238" i="139"/>
  <c r="AL238" i="139" s="1"/>
  <c r="AJ237" i="139"/>
  <c r="AJ235" i="139"/>
  <c r="AL235" i="139" s="1"/>
  <c r="AJ234" i="139"/>
  <c r="AL234" i="139" s="1"/>
  <c r="AD234" i="135"/>
  <c r="AE234" i="135" s="1"/>
  <c r="AJ233" i="139"/>
  <c r="AJ231" i="139"/>
  <c r="AD230" i="135"/>
  <c r="AE230" i="135" s="1"/>
  <c r="AJ228" i="139"/>
  <c r="AL228" i="139" s="1"/>
  <c r="AJ227" i="139"/>
  <c r="AL227" i="139" s="1"/>
  <c r="AD227" i="135"/>
  <c r="AE227" i="135" s="1"/>
  <c r="X227" i="135"/>
  <c r="AJ223" i="139"/>
  <c r="AL223" i="139" s="1"/>
  <c r="AD223" i="135"/>
  <c r="AE223" i="135" s="1"/>
  <c r="AJ222" i="139"/>
  <c r="AJ221" i="139"/>
  <c r="AL221" i="139" s="1"/>
  <c r="AJ219" i="139"/>
  <c r="AL219" i="139" s="1"/>
  <c r="AD217" i="135"/>
  <c r="AE217" i="135" s="1"/>
  <c r="X217" i="135"/>
  <c r="AJ214" i="139"/>
  <c r="AD214" i="135"/>
  <c r="AE214" i="135" s="1"/>
  <c r="AJ213" i="139"/>
  <c r="AL213" i="139" s="1"/>
  <c r="AJ212" i="139"/>
  <c r="AL212" i="139" s="1"/>
  <c r="AJ211" i="139"/>
  <c r="AL211" i="139"/>
  <c r="AD211" i="135"/>
  <c r="AE211" i="135" s="1"/>
  <c r="AD210" i="135"/>
  <c r="AE210" i="135" s="1"/>
  <c r="X210" i="135"/>
  <c r="AJ209" i="139"/>
  <c r="AD209" i="135"/>
  <c r="AE209" i="135" s="1"/>
  <c r="AJ208" i="139"/>
  <c r="AL208" i="139" s="1"/>
  <c r="AJ207" i="139"/>
  <c r="AL207" i="139" s="1"/>
  <c r="AD205" i="135"/>
  <c r="AE205" i="135" s="1"/>
  <c r="AJ204" i="139"/>
  <c r="AJ203" i="139"/>
  <c r="AL203" i="139" s="1"/>
  <c r="AJ201" i="139"/>
  <c r="AD201" i="135"/>
  <c r="AE201" i="135" s="1"/>
  <c r="AD200" i="135"/>
  <c r="AE200" i="135" s="1"/>
  <c r="AJ198" i="139"/>
  <c r="AL198" i="139" s="1"/>
  <c r="AD198" i="135"/>
  <c r="AE198" i="135" s="1"/>
  <c r="X198" i="135"/>
  <c r="AD197" i="135"/>
  <c r="AE197" i="135" s="1"/>
  <c r="AD196" i="135"/>
  <c r="AE196" i="135" s="1"/>
  <c r="X196" i="135"/>
  <c r="AD194" i="135"/>
  <c r="AE194" i="135" s="1"/>
  <c r="X190" i="135"/>
  <c r="AD189" i="135"/>
  <c r="AE189" i="135" s="1"/>
  <c r="X189" i="135"/>
  <c r="AJ188" i="139"/>
  <c r="AJ186" i="139"/>
  <c r="AL186" i="139" s="1"/>
  <c r="AJ185" i="139"/>
  <c r="AJ183" i="139"/>
  <c r="AL183" i="139" s="1"/>
  <c r="AD183" i="135"/>
  <c r="AE183" i="135" s="1"/>
  <c r="X183" i="135"/>
  <c r="AD182" i="135"/>
  <c r="AE182" i="135" s="1"/>
  <c r="AJ180" i="139"/>
  <c r="AL180" i="139" s="1"/>
  <c r="AO178" i="134"/>
  <c r="R180" i="135"/>
  <c r="AJ179" i="139"/>
  <c r="AL179" i="139" s="1"/>
  <c r="AJ178" i="139"/>
  <c r="AJ174" i="139"/>
  <c r="AJ172" i="139"/>
  <c r="AJ171" i="139"/>
  <c r="AL171" i="139" s="1"/>
  <c r="AD170" i="135"/>
  <c r="AE170" i="135" s="1"/>
  <c r="AJ169" i="139"/>
  <c r="AD167" i="135"/>
  <c r="AE167" i="135" s="1"/>
  <c r="AJ165" i="139"/>
  <c r="AL165" i="139" s="1"/>
  <c r="AL160" i="139"/>
  <c r="AL159" i="139"/>
  <c r="AJ156" i="139"/>
  <c r="AL156" i="139" s="1"/>
  <c r="AJ155" i="139"/>
  <c r="AL155" i="139" s="1"/>
  <c r="AD154" i="135"/>
  <c r="AE154" i="135" s="1"/>
  <c r="AJ152" i="139"/>
  <c r="AL152" i="139" s="1"/>
  <c r="AJ150" i="139"/>
  <c r="AD148" i="135"/>
  <c r="AE148" i="135" s="1"/>
  <c r="AJ147" i="139"/>
  <c r="AL147" i="139" s="1"/>
  <c r="AJ146" i="139"/>
  <c r="AL146" i="139" s="1"/>
  <c r="AJ145" i="139"/>
  <c r="AJ143" i="139"/>
  <c r="AL143" i="139" s="1"/>
  <c r="AJ141" i="139"/>
  <c r="AL141" i="139" s="1"/>
  <c r="AD141" i="135"/>
  <c r="AE141" i="135" s="1"/>
  <c r="AO133" i="134"/>
  <c r="AJ134" i="139"/>
  <c r="AL131" i="139"/>
  <c r="AJ128" i="139"/>
  <c r="AJ127" i="139"/>
  <c r="AD127" i="135"/>
  <c r="AE127" i="135" s="1"/>
  <c r="AJ126" i="139"/>
  <c r="AL126" i="139" s="1"/>
  <c r="AD124" i="135"/>
  <c r="AE124" i="135" s="1"/>
  <c r="X124" i="135"/>
  <c r="AJ123" i="139"/>
  <c r="AL123" i="139" s="1"/>
  <c r="AD123" i="135"/>
  <c r="AE123" i="135" s="1"/>
  <c r="AJ122" i="139"/>
  <c r="AL122" i="139" s="1"/>
  <c r="AJ121" i="139"/>
  <c r="R116" i="135"/>
  <c r="AJ115" i="139"/>
  <c r="AL115" i="139" s="1"/>
  <c r="AJ114" i="139"/>
  <c r="AJ112" i="139"/>
  <c r="AJ110" i="139"/>
  <c r="AL110" i="139" s="1"/>
  <c r="AD110" i="135"/>
  <c r="AE110" i="135" s="1"/>
  <c r="AD108" i="135"/>
  <c r="AE108" i="135" s="1"/>
  <c r="AJ107" i="139"/>
  <c r="AL107" i="139" s="1"/>
  <c r="AJ105" i="139"/>
  <c r="AJ101" i="139"/>
  <c r="AL101" i="139" s="1"/>
  <c r="AD97" i="135"/>
  <c r="AE97" i="135" s="1"/>
  <c r="AJ95" i="139"/>
  <c r="AL95" i="139" s="1"/>
  <c r="AD95" i="135"/>
  <c r="AE95" i="135" s="1"/>
  <c r="X95" i="135"/>
  <c r="AJ94" i="139"/>
  <c r="AD92" i="135"/>
  <c r="AE92" i="135" s="1"/>
  <c r="AJ91" i="139"/>
  <c r="AL91" i="139" s="1"/>
  <c r="AJ89" i="139"/>
  <c r="AO85" i="134"/>
  <c r="AL79" i="139"/>
  <c r="F80" i="135"/>
  <c r="AJ77" i="139"/>
  <c r="AL77" i="139" s="1"/>
  <c r="AJ74" i="139"/>
  <c r="AJ73" i="139"/>
  <c r="AL73" i="139" s="1"/>
  <c r="AJ70" i="139"/>
  <c r="AJ68" i="139"/>
  <c r="AL68" i="139" s="1"/>
  <c r="AJ67" i="139"/>
  <c r="AJ64" i="139"/>
  <c r="AJ63" i="139"/>
  <c r="AJ59" i="139"/>
  <c r="AL59" i="139" s="1"/>
  <c r="AD59" i="135"/>
  <c r="AE59" i="135" s="1"/>
  <c r="AJ58" i="139"/>
  <c r="AL58" i="139" s="1"/>
  <c r="AJ57" i="139"/>
  <c r="AL57" i="139" s="1"/>
  <c r="AD55" i="135"/>
  <c r="AE55" i="135" s="1"/>
  <c r="X55" i="135"/>
  <c r="AJ54" i="139"/>
  <c r="AJ51" i="139"/>
  <c r="AL51" i="139" s="1"/>
  <c r="AD51" i="135"/>
  <c r="AE51" i="135" s="1"/>
  <c r="X51" i="135"/>
  <c r="AJ50" i="139"/>
  <c r="AJ48" i="139"/>
  <c r="AL48" i="139" s="1"/>
  <c r="AJ47" i="139"/>
  <c r="AL47" i="139" s="1"/>
  <c r="AD47" i="135"/>
  <c r="AE47" i="135" s="1"/>
  <c r="AJ43" i="139"/>
  <c r="AL43" i="139" s="1"/>
  <c r="AJ41" i="139"/>
  <c r="AD39" i="135"/>
  <c r="AE39" i="135" s="1"/>
  <c r="AJ37" i="139"/>
  <c r="AL37" i="139" s="1"/>
  <c r="AJ33" i="139"/>
  <c r="AD31" i="135"/>
  <c r="AE31" i="135" s="1"/>
  <c r="X31" i="135"/>
  <c r="AJ27" i="139"/>
  <c r="AL27" i="139" s="1"/>
  <c r="AJ24" i="139"/>
  <c r="AL24" i="139" s="1"/>
  <c r="AJ23" i="139"/>
  <c r="AL23" i="139" s="1"/>
  <c r="AD23" i="135"/>
  <c r="AE23" i="135" s="1"/>
  <c r="AJ20" i="139"/>
  <c r="AL20" i="139" s="1"/>
  <c r="AD20" i="135"/>
  <c r="AE20" i="135" s="1"/>
  <c r="AJ19" i="139"/>
  <c r="AL19" i="139" s="1"/>
  <c r="AJ18" i="139"/>
  <c r="AL18" i="139" s="1"/>
  <c r="F98" i="134"/>
  <c r="AL942" i="139"/>
  <c r="AL891" i="139"/>
  <c r="AL879" i="139"/>
  <c r="AL875" i="139"/>
  <c r="AL629" i="139"/>
  <c r="AL865" i="139"/>
  <c r="AL842" i="139"/>
  <c r="AL292" i="139"/>
  <c r="AL849" i="139"/>
  <c r="AL826" i="139"/>
  <c r="AL373" i="139"/>
  <c r="AL348" i="139"/>
  <c r="AL938" i="139"/>
  <c r="AL909" i="139"/>
  <c r="AL907" i="139"/>
  <c r="AL790" i="139"/>
  <c r="AL433" i="139"/>
  <c r="AL416" i="139"/>
  <c r="AL934" i="139"/>
  <c r="AL861" i="139"/>
  <c r="AL833" i="139"/>
  <c r="AL773" i="139"/>
  <c r="AL593" i="139"/>
  <c r="AL256" i="139"/>
  <c r="AL231" i="139"/>
  <c r="AL64" i="139"/>
  <c r="AL789" i="139"/>
  <c r="AL774" i="139"/>
  <c r="AL734" i="139"/>
  <c r="AL674" i="139"/>
  <c r="AL272" i="139"/>
  <c r="AD723" i="135"/>
  <c r="AE723" i="135" s="1"/>
  <c r="X723" i="135"/>
  <c r="AD643" i="135"/>
  <c r="AE643" i="135" s="1"/>
  <c r="X643" i="135"/>
  <c r="X491" i="135"/>
  <c r="AD491" i="135"/>
  <c r="AE491" i="135" s="1"/>
  <c r="X245" i="135"/>
  <c r="AD245" i="135"/>
  <c r="AE245" i="135" s="1"/>
  <c r="F687" i="139"/>
  <c r="F685" i="134"/>
  <c r="AD664" i="135"/>
  <c r="AE664" i="135" s="1"/>
  <c r="X664" i="135"/>
  <c r="X657" i="135"/>
  <c r="AD657" i="135"/>
  <c r="AE657" i="135" s="1"/>
  <c r="AD655" i="135"/>
  <c r="AE655" i="135" s="1"/>
  <c r="X648" i="135"/>
  <c r="AD648" i="135"/>
  <c r="AE648" i="135" s="1"/>
  <c r="AD564" i="135"/>
  <c r="AE564" i="135" s="1"/>
  <c r="X564" i="135"/>
  <c r="AD539" i="135"/>
  <c r="AE539" i="135" s="1"/>
  <c r="F518" i="139"/>
  <c r="F516" i="134"/>
  <c r="X513" i="135"/>
  <c r="AD513" i="135"/>
  <c r="AE513" i="135" s="1"/>
  <c r="AD947" i="135"/>
  <c r="AE947" i="135" s="1"/>
  <c r="AD940" i="135"/>
  <c r="AE940" i="135" s="1"/>
  <c r="AD924" i="135"/>
  <c r="AE924" i="135" s="1"/>
  <c r="AD915" i="135"/>
  <c r="AE915" i="135" s="1"/>
  <c r="AD908" i="135"/>
  <c r="AE908" i="135" s="1"/>
  <c r="AD892" i="135"/>
  <c r="AE892" i="135" s="1"/>
  <c r="AD866" i="135"/>
  <c r="AE866" i="135" s="1"/>
  <c r="X865" i="135"/>
  <c r="AD860" i="135"/>
  <c r="AE860" i="135" s="1"/>
  <c r="AD851" i="135"/>
  <c r="AE851" i="135" s="1"/>
  <c r="AD843" i="135"/>
  <c r="AE843" i="135" s="1"/>
  <c r="AD840" i="135"/>
  <c r="AE840" i="135" s="1"/>
  <c r="AD838" i="135"/>
  <c r="AE838" i="135" s="1"/>
  <c r="AC823" i="135"/>
  <c r="AD821" i="135"/>
  <c r="AE821" i="135" s="1"/>
  <c r="AD800" i="135"/>
  <c r="AE800" i="135" s="1"/>
  <c r="AD778" i="135"/>
  <c r="AE778" i="135" s="1"/>
  <c r="X778" i="135"/>
  <c r="AD762" i="135"/>
  <c r="AE762" i="135" s="1"/>
  <c r="AD753" i="135"/>
  <c r="AE753" i="135" s="1"/>
  <c r="X726" i="135"/>
  <c r="AD684" i="135"/>
  <c r="AE684" i="135" s="1"/>
  <c r="X684" i="135"/>
  <c r="F682" i="139"/>
  <c r="F680" i="134"/>
  <c r="X675" i="135"/>
  <c r="AC663" i="135"/>
  <c r="AD585" i="135"/>
  <c r="AE585" i="135" s="1"/>
  <c r="AC585" i="135"/>
  <c r="AD548" i="135"/>
  <c r="AE548" i="135" s="1"/>
  <c r="AD541" i="135"/>
  <c r="AE541" i="135" s="1"/>
  <c r="AD528" i="135"/>
  <c r="AE528" i="135" s="1"/>
  <c r="AC528" i="135"/>
  <c r="X521" i="135"/>
  <c r="AD521" i="135"/>
  <c r="AE521" i="135" s="1"/>
  <c r="F492" i="139"/>
  <c r="F490" i="134"/>
  <c r="AC483" i="135"/>
  <c r="X307" i="135"/>
  <c r="AD307" i="135"/>
  <c r="AE307" i="135" s="1"/>
  <c r="X263" i="135"/>
  <c r="AD263" i="135"/>
  <c r="AE263" i="135" s="1"/>
  <c r="F801" i="134"/>
  <c r="X793" i="135"/>
  <c r="AD793" i="135"/>
  <c r="AE793" i="135" s="1"/>
  <c r="X219" i="135"/>
  <c r="AD219" i="135"/>
  <c r="AE219" i="135" s="1"/>
  <c r="F872" i="139"/>
  <c r="F870" i="134"/>
  <c r="AD842" i="135"/>
  <c r="AE842" i="135" s="1"/>
  <c r="X842" i="135"/>
  <c r="AD772" i="135"/>
  <c r="AE772" i="135" s="1"/>
  <c r="AD784" i="135"/>
  <c r="AE784" i="135" s="1"/>
  <c r="AD736" i="135"/>
  <c r="AE736" i="135" s="1"/>
  <c r="AC736" i="135"/>
  <c r="AD638" i="135"/>
  <c r="AE638" i="135" s="1"/>
  <c r="F556" i="139"/>
  <c r="F554" i="134"/>
  <c r="AD524" i="135"/>
  <c r="AE524" i="135" s="1"/>
  <c r="AD501" i="135"/>
  <c r="AE501" i="135" s="1"/>
  <c r="AC501" i="135"/>
  <c r="AD492" i="135"/>
  <c r="AE492" i="135" s="1"/>
  <c r="F911" i="139"/>
  <c r="F909" i="134"/>
  <c r="F867" i="139"/>
  <c r="F865" i="134"/>
  <c r="X738" i="135"/>
  <c r="AD738" i="135"/>
  <c r="AE738" i="135" s="1"/>
  <c r="X809" i="135"/>
  <c r="AD809" i="135"/>
  <c r="AE809" i="135" s="1"/>
  <c r="AD869" i="135"/>
  <c r="AE869" i="135" s="1"/>
  <c r="AD945" i="135"/>
  <c r="AE945" i="135" s="1"/>
  <c r="F906" i="139"/>
  <c r="F904" i="134"/>
  <c r="AD806" i="135"/>
  <c r="AE806" i="135" s="1"/>
  <c r="X806" i="135"/>
  <c r="F753" i="139"/>
  <c r="F751" i="134"/>
  <c r="AD691" i="135"/>
  <c r="AE691" i="135" s="1"/>
  <c r="X691" i="135"/>
  <c r="AD935" i="135"/>
  <c r="AE935" i="135" s="1"/>
  <c r="AD919" i="135"/>
  <c r="AE919" i="135" s="1"/>
  <c r="AD912" i="135"/>
  <c r="AE912" i="135" s="1"/>
  <c r="AD903" i="135"/>
  <c r="AE903" i="135" s="1"/>
  <c r="AD896" i="135"/>
  <c r="AE896" i="135" s="1"/>
  <c r="AD883" i="135"/>
  <c r="AE883" i="135" s="1"/>
  <c r="AD874" i="135"/>
  <c r="AE874" i="135" s="1"/>
  <c r="AD868" i="135"/>
  <c r="AE868" i="135" s="1"/>
  <c r="X868" i="135"/>
  <c r="AD847" i="135"/>
  <c r="AE847" i="135" s="1"/>
  <c r="X847" i="135"/>
  <c r="AD839" i="135"/>
  <c r="AE839" i="135" s="1"/>
  <c r="F817" i="139"/>
  <c r="F815" i="134"/>
  <c r="AD794" i="135"/>
  <c r="AE794" i="135" s="1"/>
  <c r="AD779" i="135"/>
  <c r="AE779" i="135" s="1"/>
  <c r="AD776" i="135"/>
  <c r="AE776" i="135" s="1"/>
  <c r="X757" i="135"/>
  <c r="AD757" i="135"/>
  <c r="AE757" i="135" s="1"/>
  <c r="AD755" i="135"/>
  <c r="AE755" i="135" s="1"/>
  <c r="AC750" i="135"/>
  <c r="AD746" i="135"/>
  <c r="AE746" i="135" s="1"/>
  <c r="X746" i="135"/>
  <c r="AD742" i="135"/>
  <c r="AE742" i="135" s="1"/>
  <c r="X742" i="135"/>
  <c r="X693" i="135"/>
  <c r="AD693" i="135"/>
  <c r="AE693" i="135" s="1"/>
  <c r="AD676" i="135"/>
  <c r="AE676" i="135" s="1"/>
  <c r="AD658" i="135"/>
  <c r="AE658" i="135" s="1"/>
  <c r="AD629" i="135"/>
  <c r="AE629" i="135" s="1"/>
  <c r="AD575" i="135"/>
  <c r="AE575" i="135" s="1"/>
  <c r="AD568" i="135"/>
  <c r="AE568" i="135" s="1"/>
  <c r="AD558" i="135"/>
  <c r="AE558" i="135" s="1"/>
  <c r="X551" i="135"/>
  <c r="F546" i="134"/>
  <c r="F548" i="139"/>
  <c r="AD520" i="135"/>
  <c r="AE520" i="135" s="1"/>
  <c r="AC495" i="135"/>
  <c r="AD433" i="135"/>
  <c r="AE433" i="135" s="1"/>
  <c r="AD215" i="135"/>
  <c r="AE215" i="135" s="1"/>
  <c r="X215" i="135"/>
  <c r="AD159" i="135"/>
  <c r="AE159" i="135" s="1"/>
  <c r="AD35" i="135"/>
  <c r="AE35" i="135" s="1"/>
  <c r="AC35" i="135"/>
  <c r="F936" i="134"/>
  <c r="AD710" i="135"/>
  <c r="AE710" i="135" s="1"/>
  <c r="X710" i="135"/>
  <c r="X621" i="135"/>
  <c r="AD621" i="135"/>
  <c r="AE621" i="135" s="1"/>
  <c r="X289" i="135"/>
  <c r="AD289" i="135"/>
  <c r="AE289" i="135" s="1"/>
  <c r="AD943" i="135"/>
  <c r="AE943" i="135" s="1"/>
  <c r="AD884" i="135"/>
  <c r="AE884" i="135" s="1"/>
  <c r="X884" i="135"/>
  <c r="AD867" i="135"/>
  <c r="AE867" i="135" s="1"/>
  <c r="AD477" i="135"/>
  <c r="AE477" i="135" s="1"/>
  <c r="X477" i="135"/>
  <c r="X255" i="135"/>
  <c r="AD255" i="135"/>
  <c r="AE255" i="135" s="1"/>
  <c r="AD872" i="135"/>
  <c r="AE872" i="135" s="1"/>
  <c r="F838" i="139"/>
  <c r="F836" i="134"/>
  <c r="AD673" i="135"/>
  <c r="AE673" i="135" s="1"/>
  <c r="X673" i="135"/>
  <c r="AD929" i="135"/>
  <c r="AE929" i="135" s="1"/>
  <c r="AD897" i="135"/>
  <c r="AE897" i="135" s="1"/>
  <c r="AD886" i="135"/>
  <c r="AE886" i="135" s="1"/>
  <c r="F883" i="139"/>
  <c r="F881" i="134"/>
  <c r="AD831" i="135"/>
  <c r="AE831" i="135" s="1"/>
  <c r="X831" i="135"/>
  <c r="AD810" i="135"/>
  <c r="AE810" i="135" s="1"/>
  <c r="AD698" i="135"/>
  <c r="AE698" i="135" s="1"/>
  <c r="AD640" i="135"/>
  <c r="AE640" i="135" s="1"/>
  <c r="AD595" i="135"/>
  <c r="AE595" i="135" s="1"/>
  <c r="AD888" i="135"/>
  <c r="AE888" i="135" s="1"/>
  <c r="AD885" i="135"/>
  <c r="AE885" i="135" s="1"/>
  <c r="AD862" i="135"/>
  <c r="AE862" i="135" s="1"/>
  <c r="AD844" i="135"/>
  <c r="AE844" i="135" s="1"/>
  <c r="AD835" i="135"/>
  <c r="AE835" i="135" s="1"/>
  <c r="AD819" i="135"/>
  <c r="AE819" i="135" s="1"/>
  <c r="X819" i="135"/>
  <c r="AD805" i="135"/>
  <c r="AE805" i="135" s="1"/>
  <c r="F787" i="139"/>
  <c r="F785" i="134"/>
  <c r="AD767" i="135"/>
  <c r="AE767" i="135" s="1"/>
  <c r="X761" i="135"/>
  <c r="AD761" i="135"/>
  <c r="AE761" i="135" s="1"/>
  <c r="F748" i="139"/>
  <c r="F746" i="134"/>
  <c r="F744" i="139"/>
  <c r="F742" i="134"/>
  <c r="AD739" i="135"/>
  <c r="AE739" i="135" s="1"/>
  <c r="X713" i="135"/>
  <c r="AD713" i="135"/>
  <c r="AE713" i="135" s="1"/>
  <c r="X697" i="135"/>
  <c r="AD697" i="135"/>
  <c r="AE697" i="135" s="1"/>
  <c r="AD678" i="135"/>
  <c r="AE678" i="135" s="1"/>
  <c r="X678" i="135"/>
  <c r="X654" i="135"/>
  <c r="AD654" i="135"/>
  <c r="AE654" i="135" s="1"/>
  <c r="AD651" i="135"/>
  <c r="AE651" i="135" s="1"/>
  <c r="AD649" i="135"/>
  <c r="AE649" i="135" s="1"/>
  <c r="AD631" i="135"/>
  <c r="AE631" i="135" s="1"/>
  <c r="AD615" i="135"/>
  <c r="AE615" i="135" s="1"/>
  <c r="X560" i="135"/>
  <c r="AD560" i="135"/>
  <c r="AE560" i="135" s="1"/>
  <c r="X523" i="135"/>
  <c r="AD523" i="135"/>
  <c r="AE523" i="135" s="1"/>
  <c r="X489" i="135"/>
  <c r="AD489" i="135"/>
  <c r="AE489" i="135" s="1"/>
  <c r="AD174" i="135"/>
  <c r="AE174" i="135" s="1"/>
  <c r="X174" i="135"/>
  <c r="AD168" i="135"/>
  <c r="AE168" i="135" s="1"/>
  <c r="X168" i="135"/>
  <c r="AD162" i="135"/>
  <c r="AE162" i="135" s="1"/>
  <c r="X162" i="135"/>
  <c r="X156" i="135"/>
  <c r="AD156" i="135"/>
  <c r="AE156" i="135" s="1"/>
  <c r="AD864" i="135"/>
  <c r="AE864" i="135" s="1"/>
  <c r="X864" i="135"/>
  <c r="X286" i="135"/>
  <c r="AD286" i="135"/>
  <c r="AE286" i="135" s="1"/>
  <c r="AD927" i="135"/>
  <c r="AE927" i="135" s="1"/>
  <c r="F938" i="134"/>
  <c r="F940" i="139"/>
  <c r="AD774" i="135"/>
  <c r="AE774" i="135" s="1"/>
  <c r="X774" i="135"/>
  <c r="AD714" i="135"/>
  <c r="AE714" i="135" s="1"/>
  <c r="X714" i="135"/>
  <c r="AD913" i="135"/>
  <c r="AE913" i="135" s="1"/>
  <c r="AD880" i="135"/>
  <c r="AE880" i="135" s="1"/>
  <c r="X880" i="135"/>
  <c r="AD808" i="135"/>
  <c r="AE808" i="135" s="1"/>
  <c r="X808" i="135"/>
  <c r="AD704" i="135"/>
  <c r="AE704" i="135" s="1"/>
  <c r="AC704" i="135"/>
  <c r="AD939" i="135"/>
  <c r="AE939" i="135" s="1"/>
  <c r="AD923" i="135"/>
  <c r="AE923" i="135" s="1"/>
  <c r="AD907" i="135"/>
  <c r="AE907" i="135" s="1"/>
  <c r="AD891" i="135"/>
  <c r="AE891" i="135" s="1"/>
  <c r="X881" i="135"/>
  <c r="AD857" i="135"/>
  <c r="AE857" i="135" s="1"/>
  <c r="AC846" i="135"/>
  <c r="AD832" i="135"/>
  <c r="AE832" i="135" s="1"/>
  <c r="AC832" i="135"/>
  <c r="X799" i="135"/>
  <c r="F797" i="134"/>
  <c r="F799" i="139"/>
  <c r="X789" i="135"/>
  <c r="AD789" i="135"/>
  <c r="AE789" i="135" s="1"/>
  <c r="X741" i="135"/>
  <c r="AD741" i="135"/>
  <c r="AE741" i="135" s="1"/>
  <c r="F729" i="134"/>
  <c r="F731" i="139"/>
  <c r="X721" i="135"/>
  <c r="AD721" i="135"/>
  <c r="AE721" i="135" s="1"/>
  <c r="AD685" i="135"/>
  <c r="AE685" i="135" s="1"/>
  <c r="AD680" i="135"/>
  <c r="AE680" i="135" s="1"/>
  <c r="AC680" i="135"/>
  <c r="X660" i="135"/>
  <c r="X624" i="135"/>
  <c r="AD624" i="135"/>
  <c r="AE624" i="135" s="1"/>
  <c r="X567" i="135"/>
  <c r="X553" i="135"/>
  <c r="AD553" i="135"/>
  <c r="AE553" i="135" s="1"/>
  <c r="X545" i="135"/>
  <c r="AD545" i="135"/>
  <c r="AE545" i="135" s="1"/>
  <c r="AD532" i="135"/>
  <c r="AE532" i="135" s="1"/>
  <c r="X532" i="135"/>
  <c r="AC516" i="135"/>
  <c r="X511" i="135"/>
  <c r="AD511" i="135"/>
  <c r="AE511" i="135" s="1"/>
  <c r="X456" i="135"/>
  <c r="AD456" i="135"/>
  <c r="AE456" i="135" s="1"/>
  <c r="X438" i="135"/>
  <c r="AD438" i="135"/>
  <c r="AE438" i="135" s="1"/>
  <c r="F348" i="134"/>
  <c r="F350" i="139"/>
  <c r="X233" i="135"/>
  <c r="AD233" i="135"/>
  <c r="AE233" i="135" s="1"/>
  <c r="F742" i="139"/>
  <c r="F740" i="134"/>
  <c r="AD719" i="135"/>
  <c r="AE719" i="135" s="1"/>
  <c r="F677" i="134"/>
  <c r="F679" i="139"/>
  <c r="AD669" i="135"/>
  <c r="AE669" i="135" s="1"/>
  <c r="AD661" i="135"/>
  <c r="AE661" i="135" s="1"/>
  <c r="AD632" i="135"/>
  <c r="AE632" i="135" s="1"/>
  <c r="AC623" i="135"/>
  <c r="AD588" i="135"/>
  <c r="AE588" i="135" s="1"/>
  <c r="AD573" i="135"/>
  <c r="AE573" i="135" s="1"/>
  <c r="AC559" i="135"/>
  <c r="AD556" i="135"/>
  <c r="AE556" i="135" s="1"/>
  <c r="F552" i="139"/>
  <c r="F550" i="134"/>
  <c r="AC531" i="135"/>
  <c r="F522" i="139"/>
  <c r="F520" i="134"/>
  <c r="AC519" i="135"/>
  <c r="AD510" i="135"/>
  <c r="AE510" i="135" s="1"/>
  <c r="F502" i="134"/>
  <c r="F504" i="139"/>
  <c r="F497" i="139"/>
  <c r="F495" i="134"/>
  <c r="AD479" i="135"/>
  <c r="AE479" i="135" s="1"/>
  <c r="AC452" i="135"/>
  <c r="AD452" i="135"/>
  <c r="AE452" i="135" s="1"/>
  <c r="X400" i="135"/>
  <c r="AD400" i="135"/>
  <c r="AE400" i="135" s="1"/>
  <c r="AD388" i="135"/>
  <c r="AE388" i="135" s="1"/>
  <c r="X366" i="135"/>
  <c r="AD350" i="135"/>
  <c r="AE350" i="135" s="1"/>
  <c r="X347" i="135"/>
  <c r="AD337" i="135"/>
  <c r="AE337" i="135" s="1"/>
  <c r="X299" i="135"/>
  <c r="AC241" i="135"/>
  <c r="X229" i="135"/>
  <c r="AD229" i="135"/>
  <c r="AE229" i="135" s="1"/>
  <c r="AD87" i="135"/>
  <c r="AE87" i="135" s="1"/>
  <c r="AD69" i="135"/>
  <c r="AE69" i="135" s="1"/>
  <c r="AC69" i="135"/>
  <c r="AD596" i="135"/>
  <c r="AE596" i="135" s="1"/>
  <c r="F567" i="134"/>
  <c r="F569" i="139"/>
  <c r="F563" i="139"/>
  <c r="F561" i="134"/>
  <c r="AD522" i="135"/>
  <c r="AE522" i="135" s="1"/>
  <c r="AD490" i="135"/>
  <c r="AE490" i="135" s="1"/>
  <c r="AD317" i="135"/>
  <c r="AE317" i="135" s="1"/>
  <c r="X251" i="135"/>
  <c r="AD251" i="135"/>
  <c r="AE251" i="135" s="1"/>
  <c r="F246" i="134"/>
  <c r="F248" i="139"/>
  <c r="X221" i="135"/>
  <c r="AD221" i="135"/>
  <c r="AE221" i="135" s="1"/>
  <c r="X185" i="135"/>
  <c r="AD185" i="135"/>
  <c r="AE185" i="135" s="1"/>
  <c r="AC106" i="135"/>
  <c r="AD106" i="135"/>
  <c r="AE106" i="135" s="1"/>
  <c r="AD93" i="135"/>
  <c r="AE93" i="135" s="1"/>
  <c r="AC93" i="135"/>
  <c r="AD836" i="135"/>
  <c r="AE836" i="135" s="1"/>
  <c r="AD828" i="135"/>
  <c r="AE828" i="135" s="1"/>
  <c r="AD795" i="135"/>
  <c r="AE795" i="135" s="1"/>
  <c r="AD792" i="135"/>
  <c r="AE792" i="135" s="1"/>
  <c r="AD790" i="135"/>
  <c r="AE790" i="135" s="1"/>
  <c r="AD763" i="135"/>
  <c r="AE763" i="135" s="1"/>
  <c r="AD760" i="135"/>
  <c r="AE760" i="135" s="1"/>
  <c r="AD758" i="135"/>
  <c r="AE758" i="135" s="1"/>
  <c r="AD740" i="135"/>
  <c r="AE740" i="135" s="1"/>
  <c r="AD732" i="135"/>
  <c r="AE732" i="135" s="1"/>
  <c r="AD718" i="135"/>
  <c r="AE718" i="135" s="1"/>
  <c r="F712" i="139"/>
  <c r="F710" i="134"/>
  <c r="AD699" i="135"/>
  <c r="AE699" i="135" s="1"/>
  <c r="AD696" i="135"/>
  <c r="AE696" i="135" s="1"/>
  <c r="AD694" i="135"/>
  <c r="AE694" i="135" s="1"/>
  <c r="AD647" i="135"/>
  <c r="AE647" i="135" s="1"/>
  <c r="F623" i="139"/>
  <c r="F621" i="134"/>
  <c r="AD620" i="135"/>
  <c r="AE620" i="135" s="1"/>
  <c r="F614" i="139"/>
  <c r="F612" i="134"/>
  <c r="F586" i="139"/>
  <c r="F584" i="134"/>
  <c r="AD581" i="135"/>
  <c r="AE581" i="135" s="1"/>
  <c r="AD569" i="135"/>
  <c r="AE569" i="135" s="1"/>
  <c r="AD546" i="135"/>
  <c r="AE546" i="135" s="1"/>
  <c r="F531" i="139"/>
  <c r="F529" i="134"/>
  <c r="F527" i="139"/>
  <c r="F525" i="134"/>
  <c r="AC449" i="135"/>
  <c r="AD449" i="135"/>
  <c r="AE449" i="135" s="1"/>
  <c r="AC431" i="135"/>
  <c r="AD431" i="135"/>
  <c r="AE431" i="135" s="1"/>
  <c r="F431" i="139"/>
  <c r="F429" i="134"/>
  <c r="X422" i="135"/>
  <c r="AD422" i="135"/>
  <c r="AE422" i="135" s="1"/>
  <c r="AD358" i="135"/>
  <c r="AE358" i="135" s="1"/>
  <c r="X259" i="135"/>
  <c r="X243" i="135"/>
  <c r="X237" i="135"/>
  <c r="AD237" i="135"/>
  <c r="AE237" i="135" s="1"/>
  <c r="X213" i="135"/>
  <c r="AD213" i="135"/>
  <c r="AE213" i="135" s="1"/>
  <c r="AD187" i="135"/>
  <c r="AE187" i="135" s="1"/>
  <c r="AC115" i="135"/>
  <c r="AD115" i="135"/>
  <c r="AE115" i="135" s="1"/>
  <c r="F783" i="139"/>
  <c r="F781" i="134"/>
  <c r="AD735" i="135"/>
  <c r="AE735" i="135" s="1"/>
  <c r="AD712" i="135"/>
  <c r="AE712" i="135" s="1"/>
  <c r="F707" i="139"/>
  <c r="F705" i="134"/>
  <c r="AD681" i="135"/>
  <c r="AE681" i="135" s="1"/>
  <c r="F652" i="139"/>
  <c r="F650" i="134"/>
  <c r="AD630" i="135"/>
  <c r="AE630" i="135" s="1"/>
  <c r="F626" i="134"/>
  <c r="F628" i="139"/>
  <c r="F618" i="139"/>
  <c r="F616" i="134"/>
  <c r="AD586" i="135"/>
  <c r="AE586" i="135" s="1"/>
  <c r="AD544" i="135"/>
  <c r="AE544" i="135" s="1"/>
  <c r="AD517" i="135"/>
  <c r="AE517" i="135" s="1"/>
  <c r="AD507" i="135"/>
  <c r="AE507" i="135" s="1"/>
  <c r="AD480" i="135"/>
  <c r="AE480" i="135" s="1"/>
  <c r="X480" i="135"/>
  <c r="AD427" i="135"/>
  <c r="AE427" i="135" s="1"/>
  <c r="X370" i="135"/>
  <c r="AD370" i="135"/>
  <c r="AE370" i="135" s="1"/>
  <c r="X349" i="135"/>
  <c r="AD349" i="135"/>
  <c r="AE349" i="135" s="1"/>
  <c r="AD329" i="135"/>
  <c r="AE329" i="135" s="1"/>
  <c r="X301" i="135"/>
  <c r="AD301" i="135"/>
  <c r="AE301" i="135" s="1"/>
  <c r="AD290" i="135"/>
  <c r="AE290" i="135" s="1"/>
  <c r="AD138" i="135"/>
  <c r="AE138" i="135" s="1"/>
  <c r="X138" i="135"/>
  <c r="F842" i="139"/>
  <c r="F840" i="134"/>
  <c r="AD791" i="135"/>
  <c r="AE791" i="135" s="1"/>
  <c r="F778" i="139"/>
  <c r="F776" i="134"/>
  <c r="AD759" i="135"/>
  <c r="AE759" i="135" s="1"/>
  <c r="F723" i="139"/>
  <c r="F721" i="134"/>
  <c r="AD695" i="135"/>
  <c r="AE695" i="135" s="1"/>
  <c r="F684" i="139"/>
  <c r="F682" i="134"/>
  <c r="F678" i="139"/>
  <c r="F676" i="134"/>
  <c r="AD670" i="135"/>
  <c r="AE670" i="135" s="1"/>
  <c r="AD635" i="135"/>
  <c r="AE635" i="135" s="1"/>
  <c r="AD633" i="135"/>
  <c r="AE633" i="135" s="1"/>
  <c r="AD603" i="135"/>
  <c r="AE603" i="135" s="1"/>
  <c r="AD505" i="135"/>
  <c r="AE505" i="135" s="1"/>
  <c r="AD482" i="135"/>
  <c r="AE482" i="135" s="1"/>
  <c r="AD468" i="135"/>
  <c r="AE468" i="135" s="1"/>
  <c r="AD419" i="135"/>
  <c r="AE419" i="135" s="1"/>
  <c r="F401" i="139"/>
  <c r="F399" i="134"/>
  <c r="X395" i="135"/>
  <c r="AD395" i="135"/>
  <c r="AE395" i="135" s="1"/>
  <c r="AD377" i="135"/>
  <c r="AE377" i="135" s="1"/>
  <c r="AC143" i="135"/>
  <c r="AD143" i="135"/>
  <c r="AE143" i="135" s="1"/>
  <c r="AD445" i="135"/>
  <c r="AE445" i="135" s="1"/>
  <c r="AD424" i="135"/>
  <c r="AE424" i="135" s="1"/>
  <c r="AD411" i="135"/>
  <c r="AE411" i="135" s="1"/>
  <c r="AD399" i="135"/>
  <c r="AE399" i="135" s="1"/>
  <c r="F392" i="139"/>
  <c r="F390" i="134"/>
  <c r="AD386" i="135"/>
  <c r="AE386" i="135" s="1"/>
  <c r="AD378" i="135"/>
  <c r="AE378" i="135" s="1"/>
  <c r="F371" i="139"/>
  <c r="F369" i="134"/>
  <c r="AD369" i="135"/>
  <c r="AE369" i="135" s="1"/>
  <c r="AD365" i="135"/>
  <c r="AE365" i="135" s="1"/>
  <c r="F358" i="139"/>
  <c r="F356" i="134"/>
  <c r="AD356" i="135"/>
  <c r="AE356" i="135" s="1"/>
  <c r="AD354" i="135"/>
  <c r="AE354" i="135" s="1"/>
  <c r="AD325" i="135"/>
  <c r="AE325" i="135" s="1"/>
  <c r="AD323" i="135"/>
  <c r="AE323" i="135" s="1"/>
  <c r="AD305" i="135"/>
  <c r="AE305" i="135" s="1"/>
  <c r="AD304" i="135"/>
  <c r="AE304" i="135" s="1"/>
  <c r="AD275" i="135"/>
  <c r="AE275" i="135" s="1"/>
  <c r="F268" i="139"/>
  <c r="F266" i="134"/>
  <c r="F264" i="139"/>
  <c r="F262" i="134"/>
  <c r="AD238" i="135"/>
  <c r="AE238" i="135" s="1"/>
  <c r="AD195" i="135"/>
  <c r="AE195" i="135" s="1"/>
  <c r="AD140" i="135"/>
  <c r="AE140" i="135" s="1"/>
  <c r="AD102" i="135"/>
  <c r="AE102" i="135" s="1"/>
  <c r="AJ929" i="139"/>
  <c r="AJ877" i="139"/>
  <c r="AJ834" i="139"/>
  <c r="F463" i="139"/>
  <c r="F461" i="134"/>
  <c r="AD451" i="135"/>
  <c r="AE451" i="135" s="1"/>
  <c r="AD437" i="135"/>
  <c r="AE437" i="135" s="1"/>
  <c r="AD421" i="135"/>
  <c r="AE421" i="135" s="1"/>
  <c r="AD409" i="135"/>
  <c r="AE409" i="135" s="1"/>
  <c r="AD398" i="135"/>
  <c r="AE398" i="135" s="1"/>
  <c r="AD367" i="135"/>
  <c r="AE367" i="135" s="1"/>
  <c r="AC353" i="135"/>
  <c r="X314" i="135"/>
  <c r="AD310" i="135"/>
  <c r="AE310" i="135" s="1"/>
  <c r="AD302" i="135"/>
  <c r="AE302" i="135" s="1"/>
  <c r="AC298" i="135"/>
  <c r="AD264" i="135"/>
  <c r="AE264" i="135" s="1"/>
  <c r="AD246" i="135"/>
  <c r="AE246" i="135" s="1"/>
  <c r="X234" i="135"/>
  <c r="X230" i="135"/>
  <c r="AC197" i="135"/>
  <c r="AD193" i="135"/>
  <c r="AE193" i="135" s="1"/>
  <c r="AD184" i="135"/>
  <c r="AE184" i="135" s="1"/>
  <c r="X184" i="135"/>
  <c r="AD175" i="135"/>
  <c r="AE175" i="135" s="1"/>
  <c r="AD155" i="135"/>
  <c r="AE155" i="135" s="1"/>
  <c r="X155" i="135"/>
  <c r="X145" i="135"/>
  <c r="AD145" i="135"/>
  <c r="AE145" i="135" s="1"/>
  <c r="X111" i="135"/>
  <c r="AD111" i="135"/>
  <c r="AE111" i="135" s="1"/>
  <c r="AD43" i="135"/>
  <c r="AE43" i="135" s="1"/>
  <c r="AL926" i="139"/>
  <c r="AL878" i="139"/>
  <c r="F405" i="134"/>
  <c r="F407" i="139"/>
  <c r="AD202" i="135"/>
  <c r="AE202" i="135" s="1"/>
  <c r="X202" i="135"/>
  <c r="AD172" i="135"/>
  <c r="AE172" i="135" s="1"/>
  <c r="X172" i="135"/>
  <c r="X161" i="135"/>
  <c r="AD161" i="135"/>
  <c r="AE161" i="135" s="1"/>
  <c r="AD142" i="135"/>
  <c r="AE142" i="135" s="1"/>
  <c r="X142" i="135"/>
  <c r="F394" i="134"/>
  <c r="F458" i="139"/>
  <c r="F456" i="134"/>
  <c r="F305" i="139"/>
  <c r="F303" i="134"/>
  <c r="AD262" i="135"/>
  <c r="AE262" i="135" s="1"/>
  <c r="AD260" i="135"/>
  <c r="AE260" i="135" s="1"/>
  <c r="AD254" i="135"/>
  <c r="AE254" i="135" s="1"/>
  <c r="AD235" i="135"/>
  <c r="AE235" i="135" s="1"/>
  <c r="AD226" i="135"/>
  <c r="AE226" i="135" s="1"/>
  <c r="X226" i="135"/>
  <c r="AD158" i="135"/>
  <c r="AE158" i="135" s="1"/>
  <c r="X158" i="135"/>
  <c r="AD135" i="135"/>
  <c r="AE135" i="135" s="1"/>
  <c r="AC135" i="135"/>
  <c r="AD107" i="135"/>
  <c r="AE107" i="135" s="1"/>
  <c r="X107" i="135"/>
  <c r="AD101" i="135"/>
  <c r="AE101" i="135" s="1"/>
  <c r="AC101" i="135"/>
  <c r="AD67" i="135"/>
  <c r="AE67" i="135" s="1"/>
  <c r="X67" i="135"/>
  <c r="AD63" i="135"/>
  <c r="AE63" i="135" s="1"/>
  <c r="AD52" i="135"/>
  <c r="AE52" i="135" s="1"/>
  <c r="X52" i="135"/>
  <c r="F237" i="134"/>
  <c r="AL937" i="139"/>
  <c r="AL914" i="139"/>
  <c r="AJ820" i="139"/>
  <c r="AL820" i="139" s="1"/>
  <c r="F488" i="139"/>
  <c r="F486" i="134"/>
  <c r="F467" i="139"/>
  <c r="F465" i="134"/>
  <c r="AD464" i="135"/>
  <c r="AE464" i="135" s="1"/>
  <c r="AD458" i="135"/>
  <c r="AE458" i="135" s="1"/>
  <c r="AD413" i="135"/>
  <c r="AE413" i="135" s="1"/>
  <c r="AD403" i="135"/>
  <c r="AE403" i="135" s="1"/>
  <c r="AD391" i="135"/>
  <c r="AE391" i="135" s="1"/>
  <c r="AD374" i="135"/>
  <c r="AE374" i="135" s="1"/>
  <c r="AD341" i="135"/>
  <c r="AE341" i="135" s="1"/>
  <c r="AD336" i="135"/>
  <c r="AE336" i="135" s="1"/>
  <c r="F303" i="139"/>
  <c r="F301" i="134"/>
  <c r="AD287" i="135"/>
  <c r="AE287" i="135" s="1"/>
  <c r="F209" i="134"/>
  <c r="F211" i="139"/>
  <c r="AD151" i="135"/>
  <c r="AE151" i="135" s="1"/>
  <c r="AD128" i="135"/>
  <c r="AE128" i="135" s="1"/>
  <c r="X128" i="135"/>
  <c r="AD116" i="135"/>
  <c r="AE116" i="135" s="1"/>
  <c r="X116" i="135"/>
  <c r="AJ845" i="139"/>
  <c r="AL845" i="139" s="1"/>
  <c r="AD460" i="135"/>
  <c r="AE460" i="135" s="1"/>
  <c r="AD457" i="135"/>
  <c r="AE457" i="135" s="1"/>
  <c r="F430" i="134"/>
  <c r="F432" i="139"/>
  <c r="F427" i="134"/>
  <c r="F429" i="139"/>
  <c r="AD393" i="135"/>
  <c r="AE393" i="135" s="1"/>
  <c r="F373" i="134"/>
  <c r="F375" i="139"/>
  <c r="F368" i="134"/>
  <c r="F370" i="139"/>
  <c r="AD335" i="135"/>
  <c r="AE335" i="135" s="1"/>
  <c r="AD313" i="135"/>
  <c r="AE313" i="135" s="1"/>
  <c r="F249" i="134"/>
  <c r="F251" i="139"/>
  <c r="AD225" i="135"/>
  <c r="AE225" i="135" s="1"/>
  <c r="X177" i="135"/>
  <c r="AD177" i="135"/>
  <c r="AE177" i="135" s="1"/>
  <c r="AD131" i="135"/>
  <c r="AE131" i="135" s="1"/>
  <c r="X131" i="135"/>
  <c r="F64" i="134"/>
  <c r="F66" i="139"/>
  <c r="F45" i="139"/>
  <c r="F43" i="134"/>
  <c r="F292" i="134"/>
  <c r="F93" i="134"/>
  <c r="AL881" i="139"/>
  <c r="AD180" i="135"/>
  <c r="AE180" i="135" s="1"/>
  <c r="AD164" i="135"/>
  <c r="AE164" i="135" s="1"/>
  <c r="F81" i="134"/>
  <c r="F83" i="139"/>
  <c r="AD57" i="135"/>
  <c r="AE57" i="135" s="1"/>
  <c r="AD27" i="135"/>
  <c r="AE27" i="135" s="1"/>
  <c r="F155" i="134"/>
  <c r="F134" i="134"/>
  <c r="AJ939" i="139"/>
  <c r="AL925" i="139"/>
  <c r="AJ924" i="139"/>
  <c r="AL924" i="139" s="1"/>
  <c r="AJ915" i="139"/>
  <c r="AJ912" i="139"/>
  <c r="AL912" i="139" s="1"/>
  <c r="AJ893" i="139"/>
  <c r="AL893" i="139" s="1"/>
  <c r="AJ887" i="139"/>
  <c r="AL887" i="139" s="1"/>
  <c r="AJ859" i="139"/>
  <c r="AL859" i="139" s="1"/>
  <c r="AJ857" i="139"/>
  <c r="AL857" i="139" s="1"/>
  <c r="AJ843" i="139"/>
  <c r="AL843" i="139" s="1"/>
  <c r="AJ841" i="139"/>
  <c r="AL841" i="139" s="1"/>
  <c r="AJ813" i="139"/>
  <c r="AL813" i="139" s="1"/>
  <c r="AJ769" i="139"/>
  <c r="AL769" i="139" s="1"/>
  <c r="AJ707" i="139"/>
  <c r="AL707" i="139" s="1"/>
  <c r="AJ647" i="139"/>
  <c r="AJ588" i="139"/>
  <c r="AL588" i="139" s="1"/>
  <c r="AJ532" i="139"/>
  <c r="AL532" i="139" s="1"/>
  <c r="AJ471" i="139"/>
  <c r="AL471" i="139" s="1"/>
  <c r="AJ927" i="139"/>
  <c r="AL899" i="139"/>
  <c r="AL890" i="139"/>
  <c r="AJ889" i="139"/>
  <c r="AL883" i="139"/>
  <c r="AL871" i="139"/>
  <c r="AL855" i="139"/>
  <c r="AL839" i="139"/>
  <c r="AJ827" i="139"/>
  <c r="AL827" i="139" s="1"/>
  <c r="AJ818" i="139"/>
  <c r="AL818" i="139" s="1"/>
  <c r="AJ816" i="139"/>
  <c r="AL816" i="139" s="1"/>
  <c r="AJ809" i="139"/>
  <c r="AL809" i="139" s="1"/>
  <c r="AL701" i="139"/>
  <c r="F138" i="134"/>
  <c r="F140" i="139"/>
  <c r="AD89" i="135"/>
  <c r="AE89" i="135" s="1"/>
  <c r="AD85" i="135"/>
  <c r="AE85" i="135" s="1"/>
  <c r="AD77" i="135"/>
  <c r="AE77" i="135" s="1"/>
  <c r="F79" i="134"/>
  <c r="AL933" i="139"/>
  <c r="AJ932" i="139"/>
  <c r="AL932" i="139" s="1"/>
  <c r="AL928" i="139"/>
  <c r="AJ917" i="139"/>
  <c r="AL917" i="139" s="1"/>
  <c r="AJ896" i="139"/>
  <c r="AL896" i="139" s="1"/>
  <c r="AL886" i="139"/>
  <c r="AJ885" i="139"/>
  <c r="AJ867" i="139"/>
  <c r="AL867" i="139" s="1"/>
  <c r="AJ851" i="139"/>
  <c r="AL851" i="139" s="1"/>
  <c r="AJ835" i="139"/>
  <c r="AL835" i="139" s="1"/>
  <c r="AL717" i="139"/>
  <c r="AJ716" i="139"/>
  <c r="AL716" i="139" s="1"/>
  <c r="AJ714" i="139"/>
  <c r="AL714" i="139" s="1"/>
  <c r="AJ712" i="139"/>
  <c r="AL712" i="139" s="1"/>
  <c r="AJ695" i="139"/>
  <c r="AL695" i="139" s="1"/>
  <c r="AJ693" i="139"/>
  <c r="AL693" i="139" s="1"/>
  <c r="AJ662" i="139"/>
  <c r="AL662" i="139" s="1"/>
  <c r="AL648" i="139"/>
  <c r="AL612" i="139"/>
  <c r="AJ564" i="139"/>
  <c r="AL564" i="139" s="1"/>
  <c r="F27" i="134"/>
  <c r="F29" i="139"/>
  <c r="F212" i="134"/>
  <c r="F159" i="134"/>
  <c r="F24" i="134"/>
  <c r="AL941" i="139"/>
  <c r="AJ940" i="139"/>
  <c r="AJ935" i="139"/>
  <c r="AL935" i="139" s="1"/>
  <c r="AL921" i="139"/>
  <c r="AJ920" i="139"/>
  <c r="AL920" i="139" s="1"/>
  <c r="AJ911" i="139"/>
  <c r="AL911" i="139" s="1"/>
  <c r="AL882" i="139"/>
  <c r="AL870" i="139"/>
  <c r="AJ869" i="139"/>
  <c r="AL854" i="139"/>
  <c r="AJ853" i="139"/>
  <c r="AL838" i="139"/>
  <c r="AJ837" i="139"/>
  <c r="AL812" i="139"/>
  <c r="AJ740" i="139"/>
  <c r="AL740" i="139" s="1"/>
  <c r="AJ537" i="139"/>
  <c r="AL537" i="139" s="1"/>
  <c r="AJ518" i="139"/>
  <c r="AL518" i="139" s="1"/>
  <c r="AJ451" i="139"/>
  <c r="AL451" i="139" s="1"/>
  <c r="AD231" i="135"/>
  <c r="AE231" i="135" s="1"/>
  <c r="F149" i="134"/>
  <c r="F151" i="139"/>
  <c r="AD149" i="135"/>
  <c r="AE149" i="135" s="1"/>
  <c r="AD147" i="135"/>
  <c r="AE147" i="135" s="1"/>
  <c r="AD112" i="135"/>
  <c r="AE112" i="135" s="1"/>
  <c r="AD73" i="135"/>
  <c r="AE73" i="135" s="1"/>
  <c r="AD49" i="135"/>
  <c r="AE49" i="135" s="1"/>
  <c r="F125" i="134"/>
  <c r="F68" i="134"/>
  <c r="F47" i="134"/>
  <c r="AL936" i="139"/>
  <c r="AL892" i="139"/>
  <c r="AL877" i="139"/>
  <c r="AL876" i="139"/>
  <c r="AL866" i="139"/>
  <c r="AL850" i="139"/>
  <c r="AL834" i="139"/>
  <c r="AJ552" i="139"/>
  <c r="AL552" i="139" s="1"/>
  <c r="AD171" i="135"/>
  <c r="AE171" i="135" s="1"/>
  <c r="AD119" i="135"/>
  <c r="AE119" i="135" s="1"/>
  <c r="AD96" i="135"/>
  <c r="AE96" i="135" s="1"/>
  <c r="F89" i="134"/>
  <c r="F91" i="139"/>
  <c r="AL939" i="139"/>
  <c r="AL929" i="139"/>
  <c r="AJ928" i="139"/>
  <c r="AJ916" i="139"/>
  <c r="AL916" i="139" s="1"/>
  <c r="AJ903" i="139"/>
  <c r="AL903" i="139" s="1"/>
  <c r="AJ895" i="139"/>
  <c r="AL895" i="139" s="1"/>
  <c r="AJ863" i="139"/>
  <c r="AL863" i="139" s="1"/>
  <c r="AJ860" i="139"/>
  <c r="AL860" i="139" s="1"/>
  <c r="AJ847" i="139"/>
  <c r="AL847" i="139" s="1"/>
  <c r="AJ844" i="139"/>
  <c r="AL844" i="139" s="1"/>
  <c r="AJ831" i="139"/>
  <c r="AL831" i="139" s="1"/>
  <c r="AL828" i="139"/>
  <c r="AJ822" i="139"/>
  <c r="AL822" i="139" s="1"/>
  <c r="AJ810" i="139"/>
  <c r="AL810" i="139" s="1"/>
  <c r="AJ808" i="139"/>
  <c r="AL808" i="139" s="1"/>
  <c r="AJ799" i="139"/>
  <c r="AL799" i="139" s="1"/>
  <c r="AL797" i="139"/>
  <c r="AJ749" i="139"/>
  <c r="AL749" i="139" s="1"/>
  <c r="AJ726" i="139"/>
  <c r="AL726" i="139" s="1"/>
  <c r="AJ667" i="139"/>
  <c r="AL667" i="139" s="1"/>
  <c r="AL638" i="139"/>
  <c r="AJ604" i="139"/>
  <c r="AL604" i="139" s="1"/>
  <c r="AJ583" i="139"/>
  <c r="AL583" i="139" s="1"/>
  <c r="AJ544" i="139"/>
  <c r="AL544" i="139" s="1"/>
  <c r="AJ542" i="139"/>
  <c r="AL542" i="139" s="1"/>
  <c r="AD206" i="135"/>
  <c r="AE206" i="135" s="1"/>
  <c r="F198" i="134"/>
  <c r="F200" i="139"/>
  <c r="AD109" i="135"/>
  <c r="AE109" i="135" s="1"/>
  <c r="AD105" i="135"/>
  <c r="AE105" i="135" s="1"/>
  <c r="AD84" i="135"/>
  <c r="AE84" i="135" s="1"/>
  <c r="AD81" i="135"/>
  <c r="AE81" i="135" s="1"/>
  <c r="AD53" i="135"/>
  <c r="AE53" i="135" s="1"/>
  <c r="AD28" i="135"/>
  <c r="AE28" i="135" s="1"/>
  <c r="F114" i="134"/>
  <c r="AJ931" i="139"/>
  <c r="AL927" i="139"/>
  <c r="AL906" i="139"/>
  <c r="AJ905" i="139"/>
  <c r="AL905" i="139" s="1"/>
  <c r="AL889" i="139"/>
  <c r="AJ840" i="139"/>
  <c r="AL840" i="139" s="1"/>
  <c r="AJ824" i="139"/>
  <c r="AL824" i="139" s="1"/>
  <c r="AJ761" i="139"/>
  <c r="AL761" i="139" s="1"/>
  <c r="AJ743" i="139"/>
  <c r="AL743" i="139" s="1"/>
  <c r="AL741" i="139"/>
  <c r="AJ739" i="139"/>
  <c r="AL739" i="139" s="1"/>
  <c r="AJ724" i="139"/>
  <c r="AL724" i="139" s="1"/>
  <c r="AL676" i="139"/>
  <c r="AL607" i="139"/>
  <c r="AL582" i="139"/>
  <c r="AJ580" i="139"/>
  <c r="AL580" i="139" s="1"/>
  <c r="AJ530" i="139"/>
  <c r="AL530" i="139" s="1"/>
  <c r="AJ511" i="139"/>
  <c r="AL511" i="139" s="1"/>
  <c r="AJ502" i="139"/>
  <c r="AL502" i="139" s="1"/>
  <c r="AJ482" i="139"/>
  <c r="AL482" i="139" s="1"/>
  <c r="AJ478" i="139"/>
  <c r="AL478" i="139" s="1"/>
  <c r="AJ446" i="139"/>
  <c r="AL432" i="139"/>
  <c r="AJ383" i="139"/>
  <c r="AJ381" i="139"/>
  <c r="AL381" i="139" s="1"/>
  <c r="AL336" i="139"/>
  <c r="AJ304" i="139"/>
  <c r="AL304" i="139" s="1"/>
  <c r="AJ277" i="139"/>
  <c r="AL277" i="139" s="1"/>
  <c r="AJ275" i="139"/>
  <c r="AL275" i="139" s="1"/>
  <c r="AJ217" i="139"/>
  <c r="AL217" i="139" s="1"/>
  <c r="AJ765" i="139"/>
  <c r="AL765" i="139" s="1"/>
  <c r="AJ753" i="139"/>
  <c r="AL753" i="139" s="1"/>
  <c r="AJ737" i="139"/>
  <c r="AL737" i="139" s="1"/>
  <c r="AJ733" i="139"/>
  <c r="AL733" i="139" s="1"/>
  <c r="AJ705" i="139"/>
  <c r="AL705" i="139" s="1"/>
  <c r="AJ691" i="139"/>
  <c r="AL691" i="139" s="1"/>
  <c r="AJ684" i="139"/>
  <c r="AL684" i="139" s="1"/>
  <c r="AJ665" i="139"/>
  <c r="AL665" i="139" s="1"/>
  <c r="AJ650" i="139"/>
  <c r="AL650" i="139" s="1"/>
  <c r="AJ602" i="139"/>
  <c r="AL602" i="139" s="1"/>
  <c r="AJ586" i="139"/>
  <c r="AL586" i="139" s="1"/>
  <c r="AJ535" i="139"/>
  <c r="AL535" i="139" s="1"/>
  <c r="AJ516" i="139"/>
  <c r="AL516" i="139" s="1"/>
  <c r="AJ498" i="139"/>
  <c r="AL498" i="139" s="1"/>
  <c r="AJ474" i="139"/>
  <c r="AL474" i="139" s="1"/>
  <c r="AL468" i="139"/>
  <c r="AJ463" i="139"/>
  <c r="AL463" i="139" s="1"/>
  <c r="AJ461" i="139"/>
  <c r="AL461" i="139" s="1"/>
  <c r="AJ458" i="139"/>
  <c r="AL458" i="139" s="1"/>
  <c r="AJ444" i="139"/>
  <c r="AL444" i="139" s="1"/>
  <c r="AJ442" i="139"/>
  <c r="AL442" i="139" s="1"/>
  <c r="AL349" i="139"/>
  <c r="AL345" i="139"/>
  <c r="AJ340" i="139"/>
  <c r="AL340" i="139" s="1"/>
  <c r="AL322" i="139"/>
  <c r="AJ321" i="139"/>
  <c r="AL321" i="139" s="1"/>
  <c r="AL305" i="139"/>
  <c r="AJ244" i="139"/>
  <c r="AJ55" i="139"/>
  <c r="AL55" i="139" s="1"/>
  <c r="AJ946" i="139"/>
  <c r="AL946" i="139" s="1"/>
  <c r="AJ670" i="139"/>
  <c r="AL670" i="139" s="1"/>
  <c r="AJ618" i="139"/>
  <c r="AJ616" i="139"/>
  <c r="AL616" i="139" s="1"/>
  <c r="AJ611" i="139"/>
  <c r="AJ609" i="139"/>
  <c r="AL609" i="139" s="1"/>
  <c r="AL605" i="139"/>
  <c r="AJ560" i="139"/>
  <c r="AL560" i="139" s="1"/>
  <c r="AL548" i="139"/>
  <c r="AJ528" i="139"/>
  <c r="AL528" i="139" s="1"/>
  <c r="AJ526" i="139"/>
  <c r="AL526" i="139" s="1"/>
  <c r="AJ507" i="139"/>
  <c r="AL507" i="139" s="1"/>
  <c r="AJ411" i="139"/>
  <c r="AL411" i="139" s="1"/>
  <c r="AJ31" i="139"/>
  <c r="AL31" i="139" s="1"/>
  <c r="AJ793" i="139"/>
  <c r="AL793" i="139" s="1"/>
  <c r="AJ786" i="139"/>
  <c r="AL786" i="139" s="1"/>
  <c r="AJ778" i="139"/>
  <c r="AL778" i="139" s="1"/>
  <c r="AJ772" i="139"/>
  <c r="AL772" i="139" s="1"/>
  <c r="AJ745" i="139"/>
  <c r="AL745" i="139" s="1"/>
  <c r="AJ721" i="139"/>
  <c r="AL721" i="139" s="1"/>
  <c r="AJ708" i="139"/>
  <c r="AL708" i="139" s="1"/>
  <c r="AJ706" i="139"/>
  <c r="AL706" i="139" s="1"/>
  <c r="AJ696" i="139"/>
  <c r="AL696" i="139" s="1"/>
  <c r="AJ680" i="139"/>
  <c r="AL680" i="139" s="1"/>
  <c r="AJ663" i="139"/>
  <c r="AL663" i="139" s="1"/>
  <c r="AJ635" i="139"/>
  <c r="AL635" i="139" s="1"/>
  <c r="AJ614" i="139"/>
  <c r="AL614" i="139" s="1"/>
  <c r="AJ584" i="139"/>
  <c r="AL584" i="139" s="1"/>
  <c r="AJ563" i="139"/>
  <c r="AL563" i="139" s="1"/>
  <c r="AJ555" i="139"/>
  <c r="AJ553" i="139"/>
  <c r="AL553" i="139" s="1"/>
  <c r="AL541" i="139"/>
  <c r="AJ519" i="139"/>
  <c r="AL519" i="139" s="1"/>
  <c r="AJ514" i="139"/>
  <c r="AL514" i="139" s="1"/>
  <c r="AJ494" i="139"/>
  <c r="AL494" i="139" s="1"/>
  <c r="AJ490" i="139"/>
  <c r="AL490" i="139" s="1"/>
  <c r="AJ473" i="139"/>
  <c r="AL473" i="139" s="1"/>
  <c r="AJ457" i="139"/>
  <c r="AL457" i="139" s="1"/>
  <c r="AJ454" i="139"/>
  <c r="AL454" i="139" s="1"/>
  <c r="AJ388" i="139"/>
  <c r="AL388" i="139" s="1"/>
  <c r="AJ311" i="139"/>
  <c r="AL311" i="139" s="1"/>
  <c r="AJ309" i="139"/>
  <c r="AJ307" i="139"/>
  <c r="AL307" i="139" s="1"/>
  <c r="AJ282" i="139"/>
  <c r="AJ220" i="139"/>
  <c r="AL220" i="139" s="1"/>
  <c r="AL210" i="139"/>
  <c r="AL187" i="139"/>
  <c r="AJ119" i="139"/>
  <c r="AL119" i="139" s="1"/>
  <c r="AL67" i="139"/>
  <c r="AJ768" i="139"/>
  <c r="AL768" i="139" s="1"/>
  <c r="AJ762" i="139"/>
  <c r="AL762" i="139" s="1"/>
  <c r="AL744" i="139"/>
  <c r="AJ736" i="139"/>
  <c r="AL736" i="139" s="1"/>
  <c r="AJ729" i="139"/>
  <c r="AL729" i="139" s="1"/>
  <c r="AJ715" i="139"/>
  <c r="AL715" i="139" s="1"/>
  <c r="AL690" i="139"/>
  <c r="AJ683" i="139"/>
  <c r="AL683" i="139" s="1"/>
  <c r="AJ675" i="139"/>
  <c r="AL675" i="139" s="1"/>
  <c r="AJ673" i="139"/>
  <c r="AL673" i="139" s="1"/>
  <c r="AJ658" i="139"/>
  <c r="AL658" i="139" s="1"/>
  <c r="AJ608" i="139"/>
  <c r="AL608" i="139" s="1"/>
  <c r="AJ579" i="139"/>
  <c r="AJ568" i="139"/>
  <c r="AL568" i="139" s="1"/>
  <c r="AJ551" i="139"/>
  <c r="AL551" i="139" s="1"/>
  <c r="AJ546" i="139"/>
  <c r="AJ543" i="139"/>
  <c r="AL543" i="139" s="1"/>
  <c r="AL513" i="139"/>
  <c r="AJ512" i="139"/>
  <c r="AL512" i="139" s="1"/>
  <c r="AJ479" i="139"/>
  <c r="AL479" i="139" s="1"/>
  <c r="AJ470" i="139"/>
  <c r="AL470" i="139" s="1"/>
  <c r="AJ284" i="139"/>
  <c r="AL284" i="139" s="1"/>
  <c r="AJ99" i="139"/>
  <c r="AL99" i="139" s="1"/>
  <c r="AJ62" i="139"/>
  <c r="AJ15" i="139"/>
  <c r="AL15" i="139" s="1"/>
  <c r="AJ798" i="139"/>
  <c r="AL798" i="139" s="1"/>
  <c r="AJ785" i="139"/>
  <c r="AL785" i="139" s="1"/>
  <c r="AJ755" i="139"/>
  <c r="AL755" i="139" s="1"/>
  <c r="AJ752" i="139"/>
  <c r="AL752" i="139" s="1"/>
  <c r="AJ748" i="139"/>
  <c r="AL748" i="139" s="1"/>
  <c r="AJ738" i="139"/>
  <c r="AL738" i="139" s="1"/>
  <c r="AL730" i="139"/>
  <c r="AJ678" i="139"/>
  <c r="AL678" i="139" s="1"/>
  <c r="AJ669" i="139"/>
  <c r="AL669" i="139" s="1"/>
  <c r="AJ666" i="139"/>
  <c r="AL666" i="139" s="1"/>
  <c r="AJ656" i="139"/>
  <c r="AL656" i="139" s="1"/>
  <c r="AJ651" i="139"/>
  <c r="AL651" i="139" s="1"/>
  <c r="AJ643" i="139"/>
  <c r="AL643" i="139" s="1"/>
  <c r="AJ603" i="139"/>
  <c r="AL603" i="139" s="1"/>
  <c r="AJ601" i="139"/>
  <c r="AL601" i="139" s="1"/>
  <c r="AJ599" i="139"/>
  <c r="AL599" i="139" s="1"/>
  <c r="AJ594" i="139"/>
  <c r="AL594" i="139" s="1"/>
  <c r="AJ592" i="139"/>
  <c r="AL592" i="139" s="1"/>
  <c r="AJ590" i="139"/>
  <c r="AL590" i="139" s="1"/>
  <c r="AJ587" i="139"/>
  <c r="AL587" i="139" s="1"/>
  <c r="AJ577" i="139"/>
  <c r="AL577" i="139" s="1"/>
  <c r="AJ575" i="139"/>
  <c r="AJ522" i="139"/>
  <c r="AJ499" i="139"/>
  <c r="AL499" i="139" s="1"/>
  <c r="AJ493" i="139"/>
  <c r="AL493" i="139" s="1"/>
  <c r="AJ489" i="139"/>
  <c r="AL489" i="139" s="1"/>
  <c r="AJ453" i="139"/>
  <c r="AL453" i="139" s="1"/>
  <c r="AJ450" i="139"/>
  <c r="AL450" i="139" s="1"/>
  <c r="AJ397" i="139"/>
  <c r="AL397" i="139" s="1"/>
  <c r="AL300" i="139"/>
  <c r="AJ270" i="139"/>
  <c r="AL270" i="139" s="1"/>
  <c r="AJ249" i="139"/>
  <c r="AL249" i="139" s="1"/>
  <c r="AJ239" i="139"/>
  <c r="AL239" i="139" s="1"/>
  <c r="AJ225" i="139"/>
  <c r="AJ195" i="139"/>
  <c r="AL195" i="139" s="1"/>
  <c r="AJ193" i="139"/>
  <c r="AL193" i="139" s="1"/>
  <c r="AJ191" i="139"/>
  <c r="AL191" i="139" s="1"/>
  <c r="AJ175" i="139"/>
  <c r="AL175" i="139" s="1"/>
  <c r="AJ722" i="139"/>
  <c r="AL722" i="139" s="1"/>
  <c r="AJ627" i="139"/>
  <c r="AL627" i="139" s="1"/>
  <c r="AJ571" i="139"/>
  <c r="AL571" i="139" s="1"/>
  <c r="AJ561" i="139"/>
  <c r="AL561" i="139" s="1"/>
  <c r="AJ506" i="139"/>
  <c r="AL506" i="139" s="1"/>
  <c r="AJ504" i="139"/>
  <c r="AL504" i="139" s="1"/>
  <c r="AL487" i="139"/>
  <c r="AJ486" i="139"/>
  <c r="AJ480" i="139"/>
  <c r="AL480" i="139" s="1"/>
  <c r="AJ476" i="139"/>
  <c r="AL476" i="139" s="1"/>
  <c r="AJ469" i="139"/>
  <c r="AL469" i="139" s="1"/>
  <c r="AJ466" i="139"/>
  <c r="AL466" i="139" s="1"/>
  <c r="AJ460" i="139"/>
  <c r="AL460" i="139" s="1"/>
  <c r="AL440" i="139"/>
  <c r="AJ350" i="139"/>
  <c r="AL350" i="139" s="1"/>
  <c r="AJ46" i="139"/>
  <c r="AL46" i="139" s="1"/>
  <c r="AJ177" i="139"/>
  <c r="AL177" i="139" s="1"/>
  <c r="AJ170" i="139"/>
  <c r="AL170" i="139" s="1"/>
  <c r="AJ166" i="139"/>
  <c r="AJ153" i="139"/>
  <c r="AL153" i="139" s="1"/>
  <c r="AJ144" i="139"/>
  <c r="AL144" i="139" s="1"/>
  <c r="AJ137" i="139"/>
  <c r="AL137" i="139" s="1"/>
  <c r="AL111" i="139"/>
  <c r="AJ88" i="139"/>
  <c r="AL88" i="139" s="1"/>
  <c r="AJ84" i="139"/>
  <c r="AL84" i="139" s="1"/>
  <c r="AJ69" i="139"/>
  <c r="AL69" i="139" s="1"/>
  <c r="AJ435" i="139"/>
  <c r="AJ409" i="139"/>
  <c r="AL409" i="139" s="1"/>
  <c r="AJ406" i="139"/>
  <c r="AL406" i="139" s="1"/>
  <c r="AJ386" i="139"/>
  <c r="AL386" i="139" s="1"/>
  <c r="AJ379" i="139"/>
  <c r="AJ377" i="139"/>
  <c r="AL377" i="139" s="1"/>
  <c r="AJ370" i="139"/>
  <c r="AL370" i="139" s="1"/>
  <c r="AJ364" i="139"/>
  <c r="AL364" i="139" s="1"/>
  <c r="AJ357" i="139"/>
  <c r="AL357" i="139" s="1"/>
  <c r="AJ331" i="139"/>
  <c r="AL315" i="139"/>
  <c r="AJ312" i="139"/>
  <c r="AL312" i="139" s="1"/>
  <c r="AJ302" i="139"/>
  <c r="AL302" i="139" s="1"/>
  <c r="AL274" i="139"/>
  <c r="AJ258" i="139"/>
  <c r="AL258" i="139" s="1"/>
  <c r="AL248" i="139"/>
  <c r="AL214" i="139"/>
  <c r="AL201" i="139"/>
  <c r="AJ158" i="139"/>
  <c r="AL158" i="139" s="1"/>
  <c r="AJ149" i="139"/>
  <c r="AL149" i="139" s="1"/>
  <c r="AL134" i="139"/>
  <c r="AJ133" i="139"/>
  <c r="AL133" i="139" s="1"/>
  <c r="AJ124" i="139"/>
  <c r="AL124" i="139" s="1"/>
  <c r="AJ117" i="139"/>
  <c r="AL117" i="139" s="1"/>
  <c r="AJ108" i="139"/>
  <c r="AL108" i="139" s="1"/>
  <c r="AJ97" i="139"/>
  <c r="AL97" i="139" s="1"/>
  <c r="AL85" i="139"/>
  <c r="AJ60" i="139"/>
  <c r="AL60" i="139" s="1"/>
  <c r="AJ53" i="139"/>
  <c r="AL53" i="139" s="1"/>
  <c r="AJ44" i="139"/>
  <c r="AL44" i="139" s="1"/>
  <c r="AJ29" i="139"/>
  <c r="AL29" i="139" s="1"/>
  <c r="AL950" i="139"/>
  <c r="AJ949" i="139"/>
  <c r="AL949" i="139" s="1"/>
  <c r="AJ439" i="139"/>
  <c r="AL439" i="139" s="1"/>
  <c r="AJ422" i="139"/>
  <c r="AL422" i="139" s="1"/>
  <c r="AJ412" i="139"/>
  <c r="AL412" i="139" s="1"/>
  <c r="AJ393" i="139"/>
  <c r="AL393" i="139" s="1"/>
  <c r="AJ324" i="139"/>
  <c r="AL324" i="139" s="1"/>
  <c r="AL296" i="139"/>
  <c r="AL295" i="139"/>
  <c r="AJ293" i="139"/>
  <c r="AL293" i="139" s="1"/>
  <c r="AJ230" i="139"/>
  <c r="AJ216" i="139"/>
  <c r="AL216" i="139" s="1"/>
  <c r="AJ205" i="139"/>
  <c r="AJ192" i="139"/>
  <c r="AL192" i="139" s="1"/>
  <c r="AJ189" i="139"/>
  <c r="AL189" i="139" s="1"/>
  <c r="AJ176" i="139"/>
  <c r="AL176" i="139" s="1"/>
  <c r="AL174" i="139"/>
  <c r="AJ173" i="139"/>
  <c r="AL173" i="139" s="1"/>
  <c r="AJ167" i="139"/>
  <c r="AL167" i="139" s="1"/>
  <c r="AJ162" i="139"/>
  <c r="AL162" i="139" s="1"/>
  <c r="AJ138" i="139"/>
  <c r="AL138" i="139" s="1"/>
  <c r="AJ93" i="139"/>
  <c r="AL93" i="139" s="1"/>
  <c r="AJ87" i="139"/>
  <c r="AL87" i="139" s="1"/>
  <c r="AL83" i="139"/>
  <c r="AL80" i="139"/>
  <c r="AJ42" i="139"/>
  <c r="AJ16" i="139"/>
  <c r="AL16" i="139" s="1"/>
  <c r="AJ396" i="139"/>
  <c r="AL396" i="139" s="1"/>
  <c r="AL389" i="139"/>
  <c r="AJ356" i="139"/>
  <c r="AL356" i="139" s="1"/>
  <c r="AJ343" i="139"/>
  <c r="AL343" i="139" s="1"/>
  <c r="AJ301" i="139"/>
  <c r="AL301" i="139" s="1"/>
  <c r="AJ286" i="139"/>
  <c r="AL286" i="139" s="1"/>
  <c r="AJ280" i="139"/>
  <c r="AL280" i="139" s="1"/>
  <c r="AJ278" i="139"/>
  <c r="AL278" i="139" s="1"/>
  <c r="AJ267" i="139"/>
  <c r="AL267" i="139" s="1"/>
  <c r="AJ260" i="139"/>
  <c r="AL260" i="139" s="1"/>
  <c r="AL241" i="139"/>
  <c r="AJ224" i="139"/>
  <c r="AL224" i="139" s="1"/>
  <c r="AJ218" i="139"/>
  <c r="AL204" i="139"/>
  <c r="AJ199" i="139"/>
  <c r="AL199" i="139" s="1"/>
  <c r="AL172" i="139"/>
  <c r="AJ129" i="139"/>
  <c r="AL129" i="139" s="1"/>
  <c r="AJ120" i="139"/>
  <c r="AL120" i="139" s="1"/>
  <c r="AJ113" i="139"/>
  <c r="AL113" i="139" s="1"/>
  <c r="AJ106" i="139"/>
  <c r="AL106" i="139" s="1"/>
  <c r="AJ104" i="139"/>
  <c r="AL104" i="139" s="1"/>
  <c r="AJ102" i="139"/>
  <c r="AL102" i="139" s="1"/>
  <c r="AJ100" i="139"/>
  <c r="AL100" i="139" s="1"/>
  <c r="AJ76" i="139"/>
  <c r="AL76" i="139" s="1"/>
  <c r="AJ72" i="139"/>
  <c r="AL72" i="139" s="1"/>
  <c r="AJ65" i="139"/>
  <c r="AL65" i="139" s="1"/>
  <c r="AJ56" i="139"/>
  <c r="AL56" i="139" s="1"/>
  <c r="AJ49" i="139"/>
  <c r="AL49" i="139" s="1"/>
  <c r="AJ40" i="139"/>
  <c r="AL40" i="139" s="1"/>
  <c r="AJ36" i="139"/>
  <c r="AL36" i="139" s="1"/>
  <c r="AJ34" i="139"/>
  <c r="AJ32" i="139"/>
  <c r="AL32" i="139" s="1"/>
  <c r="AJ30" i="139"/>
  <c r="AL30" i="139" s="1"/>
  <c r="AJ25" i="139"/>
  <c r="AL25" i="139" s="1"/>
  <c r="AJ21" i="139"/>
  <c r="AL21" i="139" s="1"/>
  <c r="AL330" i="139"/>
  <c r="AL128" i="139"/>
  <c r="AL112" i="139"/>
  <c r="AL33" i="139"/>
  <c r="AJ945" i="139"/>
  <c r="AL945" i="139" s="1"/>
  <c r="AJ410" i="139"/>
  <c r="AL410" i="139" s="1"/>
  <c r="AJ405" i="139"/>
  <c r="AL405" i="139" s="1"/>
  <c r="AJ385" i="139"/>
  <c r="AL385" i="139" s="1"/>
  <c r="AJ378" i="139"/>
  <c r="AL378" i="139" s="1"/>
  <c r="AJ358" i="139"/>
  <c r="AL358" i="139" s="1"/>
  <c r="AJ339" i="139"/>
  <c r="AL339" i="139" s="1"/>
  <c r="AJ283" i="139"/>
  <c r="AL283" i="139" s="1"/>
  <c r="AJ269" i="139"/>
  <c r="AL269" i="139" s="1"/>
  <c r="AL244" i="139"/>
  <c r="AJ148" i="139"/>
  <c r="AL148" i="139" s="1"/>
  <c r="AJ132" i="139"/>
  <c r="AL132" i="139" s="1"/>
  <c r="AJ125" i="139"/>
  <c r="AL125" i="139" s="1"/>
  <c r="AJ118" i="139"/>
  <c r="AL118" i="139" s="1"/>
  <c r="AJ116" i="139"/>
  <c r="AL116" i="139" s="1"/>
  <c r="AJ109" i="139"/>
  <c r="AL109" i="139" s="1"/>
  <c r="AJ103" i="139"/>
  <c r="AL103" i="139" s="1"/>
  <c r="AJ98" i="139"/>
  <c r="AJ96" i="139"/>
  <c r="AL96" i="139" s="1"/>
  <c r="AJ75" i="139"/>
  <c r="AL75" i="139" s="1"/>
  <c r="AJ71" i="139"/>
  <c r="AL71" i="139" s="1"/>
  <c r="AJ61" i="139"/>
  <c r="AL61" i="139" s="1"/>
  <c r="AJ52" i="139"/>
  <c r="AL52" i="139" s="1"/>
  <c r="AJ45" i="139"/>
  <c r="AL45" i="139" s="1"/>
  <c r="AJ39" i="139"/>
  <c r="AL39" i="139" s="1"/>
  <c r="AJ35" i="139"/>
  <c r="AL35" i="139" s="1"/>
  <c r="AJ441" i="139"/>
  <c r="AL441" i="139" s="1"/>
  <c r="AJ438" i="139"/>
  <c r="AL438" i="139" s="1"/>
  <c r="AJ434" i="139"/>
  <c r="AL434" i="139" s="1"/>
  <c r="AJ428" i="139"/>
  <c r="AL428" i="139" s="1"/>
  <c r="AJ421" i="139"/>
  <c r="AL421" i="139" s="1"/>
  <c r="AJ399" i="139"/>
  <c r="AL399" i="139" s="1"/>
  <c r="AJ394" i="139"/>
  <c r="AL394" i="139" s="1"/>
  <c r="AJ372" i="139"/>
  <c r="AL372" i="139" s="1"/>
  <c r="AJ369" i="139"/>
  <c r="AL369" i="139" s="1"/>
  <c r="AL325" i="139"/>
  <c r="AJ323" i="139"/>
  <c r="AL323" i="139" s="1"/>
  <c r="AJ316" i="139"/>
  <c r="AL316" i="139" s="1"/>
  <c r="AJ313" i="139"/>
  <c r="AL313" i="139" s="1"/>
  <c r="AJ263" i="139"/>
  <c r="AL263" i="139" s="1"/>
  <c r="AJ252" i="139"/>
  <c r="AL252" i="139" s="1"/>
  <c r="AJ236" i="139"/>
  <c r="AL236" i="139" s="1"/>
  <c r="AJ232" i="139"/>
  <c r="AL232" i="139" s="1"/>
  <c r="AJ229" i="139"/>
  <c r="AL229" i="139" s="1"/>
  <c r="AJ215" i="139"/>
  <c r="AL215" i="139" s="1"/>
  <c r="AJ202" i="139"/>
  <c r="AL202" i="139" s="1"/>
  <c r="AJ200" i="139"/>
  <c r="AL200" i="139" s="1"/>
  <c r="AJ197" i="139"/>
  <c r="AL197" i="139" s="1"/>
  <c r="AJ184" i="139"/>
  <c r="AL184" i="139" s="1"/>
  <c r="AJ181" i="139"/>
  <c r="AL181" i="139" s="1"/>
  <c r="AJ168" i="139"/>
  <c r="AL168" i="139" s="1"/>
  <c r="AJ164" i="139"/>
  <c r="AJ161" i="139"/>
  <c r="AL161" i="139" s="1"/>
  <c r="AJ157" i="139"/>
  <c r="AL157" i="139" s="1"/>
  <c r="AJ151" i="139"/>
  <c r="AL151" i="139" s="1"/>
  <c r="AJ139" i="139"/>
  <c r="AL139" i="139" s="1"/>
  <c r="AJ135" i="139"/>
  <c r="AL135" i="139" s="1"/>
  <c r="AJ92" i="139"/>
  <c r="AL92" i="139" s="1"/>
  <c r="AJ81" i="139"/>
  <c r="AL81" i="139" s="1"/>
  <c r="AJ66" i="139"/>
  <c r="AL66" i="139" s="1"/>
  <c r="AJ28" i="139"/>
  <c r="AL28" i="139" s="1"/>
  <c r="AJ22" i="139"/>
  <c r="AL22" i="139" s="1"/>
  <c r="AJ17" i="139"/>
  <c r="AL17" i="139" s="1"/>
  <c r="F939" i="134"/>
  <c r="F774" i="134"/>
  <c r="F749" i="134"/>
  <c r="F719" i="134"/>
  <c r="F714" i="134"/>
  <c r="F689" i="134"/>
  <c r="F484" i="134"/>
  <c r="F454" i="134"/>
  <c r="F296" i="134"/>
  <c r="F210" i="134"/>
  <c r="F205" i="134"/>
  <c r="F102" i="134"/>
  <c r="F168" i="139"/>
  <c r="F143" i="139"/>
  <c r="F86" i="139"/>
  <c r="F934" i="134"/>
  <c r="F913" i="134"/>
  <c r="F783" i="134"/>
  <c r="F769" i="134"/>
  <c r="F744" i="134"/>
  <c r="F463" i="134"/>
  <c r="F433" i="134"/>
  <c r="F358" i="134"/>
  <c r="F804" i="139"/>
  <c r="F636" i="139"/>
  <c r="F517" i="139"/>
  <c r="F355" i="139"/>
  <c r="F352" i="139"/>
  <c r="F911" i="134"/>
  <c r="F431" i="134"/>
  <c r="F426" i="134"/>
  <c r="F298" i="134"/>
  <c r="F631" i="139"/>
  <c r="F365" i="134"/>
  <c r="F646" i="134"/>
  <c r="F572" i="139"/>
  <c r="F625" i="134"/>
  <c r="F38" i="134"/>
  <c r="F227" i="139"/>
  <c r="F197" i="139"/>
  <c r="F900" i="134"/>
  <c r="F580" i="134"/>
  <c r="F849" i="134"/>
  <c r="F879" i="134"/>
  <c r="F804" i="134"/>
  <c r="F857" i="139"/>
  <c r="F676" i="139"/>
  <c r="F633" i="139"/>
  <c r="F595" i="139"/>
  <c r="F346" i="139"/>
  <c r="F778" i="134"/>
  <c r="F753" i="134"/>
  <c r="F644" i="134"/>
  <c r="F614" i="134"/>
  <c r="F488" i="134"/>
  <c r="F458" i="134"/>
  <c r="F388" i="134"/>
  <c r="F250" i="134"/>
  <c r="F235" i="134"/>
  <c r="F214" i="134"/>
  <c r="F127" i="134"/>
  <c r="F736" i="139"/>
  <c r="F574" i="139"/>
  <c r="F290" i="139"/>
  <c r="F149" i="139"/>
  <c r="F128" i="139"/>
  <c r="F943" i="134"/>
  <c r="F868" i="134"/>
  <c r="F838" i="134"/>
  <c r="F813" i="134"/>
  <c r="F623" i="134"/>
  <c r="F548" i="134"/>
  <c r="F518" i="134"/>
  <c r="F397" i="134"/>
  <c r="F367" i="134"/>
  <c r="F260" i="134"/>
  <c r="F157" i="134"/>
  <c r="F36" i="134"/>
  <c r="F171" i="139"/>
  <c r="F833" i="134"/>
  <c r="F648" i="134"/>
  <c r="F618" i="134"/>
  <c r="F527" i="134"/>
  <c r="F497" i="134"/>
  <c r="F392" i="134"/>
  <c r="F362" i="134"/>
  <c r="F269" i="134"/>
  <c r="F239" i="134"/>
  <c r="F66" i="134"/>
  <c r="F15" i="134"/>
  <c r="F880" i="139"/>
  <c r="F877" i="139"/>
  <c r="F577" i="139"/>
  <c r="F114" i="139"/>
  <c r="F78" i="139"/>
  <c r="F847" i="134"/>
  <c r="F842" i="134"/>
  <c r="F817" i="134"/>
  <c r="F708" i="134"/>
  <c r="F552" i="134"/>
  <c r="F522" i="134"/>
  <c r="F401" i="134"/>
  <c r="F264" i="134"/>
  <c r="F136" i="134"/>
  <c r="F91" i="134"/>
  <c r="F45" i="134"/>
  <c r="F852" i="139"/>
  <c r="F745" i="139"/>
  <c r="F484" i="139"/>
  <c r="F202" i="139"/>
  <c r="F117" i="139"/>
  <c r="F103" i="139"/>
  <c r="F902" i="134"/>
  <c r="F877" i="134"/>
  <c r="F678" i="134"/>
  <c r="F582" i="134"/>
  <c r="F146" i="134"/>
  <c r="F70" i="134"/>
  <c r="F709" i="139"/>
  <c r="F661" i="139"/>
  <c r="F509" i="139"/>
  <c r="F205" i="139"/>
  <c r="F897" i="134"/>
  <c r="F772" i="134"/>
  <c r="F712" i="134"/>
  <c r="F687" i="134"/>
  <c r="F673" i="134"/>
  <c r="F577" i="134"/>
  <c r="F452" i="134"/>
  <c r="F294" i="134"/>
  <c r="F95" i="134"/>
  <c r="F924" i="139"/>
  <c r="F921" i="139"/>
  <c r="F918" i="139"/>
  <c r="F796" i="139"/>
  <c r="F512" i="139"/>
  <c r="F88" i="139"/>
  <c r="F932" i="134"/>
  <c r="F424" i="139"/>
  <c r="F481" i="139"/>
  <c r="F341" i="139"/>
  <c r="F586" i="134"/>
  <c r="F360" i="134"/>
  <c r="F349" i="139"/>
  <c r="F810" i="134"/>
  <c r="F874" i="134"/>
  <c r="F808" i="134"/>
  <c r="F424" i="134"/>
  <c r="F872" i="134"/>
  <c r="F806" i="134"/>
  <c r="F330" i="134"/>
  <c r="F655" i="139"/>
  <c r="F420" i="134"/>
  <c r="F328" i="134"/>
  <c r="F935" i="134"/>
  <c r="F937" i="139"/>
  <c r="F935" i="139"/>
  <c r="F933" i="134"/>
  <c r="F922" i="139"/>
  <c r="F920" i="134"/>
  <c r="F908" i="134"/>
  <c r="F910" i="139"/>
  <c r="F887" i="139"/>
  <c r="F885" i="134"/>
  <c r="F863" i="139"/>
  <c r="F861" i="134"/>
  <c r="F832" i="139"/>
  <c r="F830" i="134"/>
  <c r="F829" i="139"/>
  <c r="F827" i="134"/>
  <c r="F791" i="134"/>
  <c r="F793" i="139"/>
  <c r="F791" i="139"/>
  <c r="F789" i="134"/>
  <c r="F769" i="139"/>
  <c r="F767" i="134"/>
  <c r="F763" i="134"/>
  <c r="F765" i="139"/>
  <c r="F740" i="139"/>
  <c r="F738" i="134"/>
  <c r="F720" i="139"/>
  <c r="F718" i="134"/>
  <c r="F705" i="139"/>
  <c r="F703" i="134"/>
  <c r="F701" i="139"/>
  <c r="F699" i="134"/>
  <c r="F671" i="139"/>
  <c r="F669" i="134"/>
  <c r="F668" i="134"/>
  <c r="F670" i="139"/>
  <c r="F663" i="139"/>
  <c r="F661" i="134"/>
  <c r="F615" i="139"/>
  <c r="F613" i="134"/>
  <c r="F589" i="139"/>
  <c r="F587" i="134"/>
  <c r="F451" i="139"/>
  <c r="F449" i="134"/>
  <c r="F447" i="139"/>
  <c r="F445" i="134"/>
  <c r="F446" i="139"/>
  <c r="F444" i="134"/>
  <c r="F417" i="139"/>
  <c r="F415" i="134"/>
  <c r="F359" i="134"/>
  <c r="F361" i="139"/>
  <c r="F344" i="139"/>
  <c r="F342" i="134"/>
  <c r="F342" i="139"/>
  <c r="F340" i="134"/>
  <c r="F340" i="139"/>
  <c r="F338" i="134"/>
  <c r="F331" i="139"/>
  <c r="F329" i="134"/>
  <c r="F326" i="139"/>
  <c r="F324" i="134"/>
  <c r="F312" i="139"/>
  <c r="F310" i="134"/>
  <c r="F280" i="139"/>
  <c r="F278" i="134"/>
  <c r="F278" i="139"/>
  <c r="F276" i="134"/>
  <c r="F252" i="134"/>
  <c r="F254" i="139"/>
  <c r="F949" i="139"/>
  <c r="F947" i="134"/>
  <c r="F946" i="134"/>
  <c r="F948" i="139"/>
  <c r="F909" i="139"/>
  <c r="F907" i="134"/>
  <c r="F897" i="139"/>
  <c r="F895" i="134"/>
  <c r="F895" i="139"/>
  <c r="F893" i="134"/>
  <c r="F873" i="134"/>
  <c r="F875" i="139"/>
  <c r="F865" i="139"/>
  <c r="F863" i="134"/>
  <c r="F847" i="139"/>
  <c r="F845" i="134"/>
  <c r="F845" i="139"/>
  <c r="F843" i="134"/>
  <c r="F830" i="139"/>
  <c r="F828" i="134"/>
  <c r="F790" i="139"/>
  <c r="F788" i="134"/>
  <c r="F770" i="139"/>
  <c r="F768" i="134"/>
  <c r="F766" i="134"/>
  <c r="F743" i="139"/>
  <c r="F741" i="134"/>
  <c r="F741" i="139"/>
  <c r="F739" i="134"/>
  <c r="F719" i="139"/>
  <c r="F717" i="134"/>
  <c r="F704" i="134"/>
  <c r="F706" i="139"/>
  <c r="F704" i="139"/>
  <c r="F702" i="134"/>
  <c r="F666" i="139"/>
  <c r="F664" i="134"/>
  <c r="F665" i="139"/>
  <c r="F663" i="134"/>
  <c r="F612" i="139"/>
  <c r="F610" i="134"/>
  <c r="F482" i="139"/>
  <c r="F480" i="134"/>
  <c r="F480" i="139"/>
  <c r="F478" i="134"/>
  <c r="F448" i="139"/>
  <c r="F446" i="134"/>
  <c r="F425" i="134"/>
  <c r="F427" i="139"/>
  <c r="F425" i="139"/>
  <c r="F423" i="134"/>
  <c r="F420" i="139"/>
  <c r="F418" i="134"/>
  <c r="F400" i="139"/>
  <c r="F398" i="134"/>
  <c r="F343" i="139"/>
  <c r="F341" i="134"/>
  <c r="F339" i="139"/>
  <c r="F337" i="134"/>
  <c r="F317" i="134"/>
  <c r="F319" i="139"/>
  <c r="F315" i="139"/>
  <c r="F313" i="134"/>
  <c r="F309" i="134"/>
  <c r="F311" i="139"/>
  <c r="F310" i="139"/>
  <c r="F308" i="134"/>
  <c r="F309" i="139"/>
  <c r="F307" i="134"/>
  <c r="F308" i="139"/>
  <c r="F306" i="134"/>
  <c r="F272" i="139"/>
  <c r="F270" i="134"/>
  <c r="F566" i="139"/>
  <c r="F896" i="139"/>
  <c r="F894" i="134"/>
  <c r="F884" i="134"/>
  <c r="F886" i="139"/>
  <c r="F864" i="139"/>
  <c r="F862" i="134"/>
  <c r="F848" i="139"/>
  <c r="F846" i="134"/>
  <c r="F828" i="139"/>
  <c r="F826" i="134"/>
  <c r="F827" i="139"/>
  <c r="F825" i="134"/>
  <c r="F811" i="139"/>
  <c r="F809" i="134"/>
  <c r="F766" i="139"/>
  <c r="F764" i="134"/>
  <c r="F764" i="139"/>
  <c r="F762" i="134"/>
  <c r="F761" i="134"/>
  <c r="F763" i="139"/>
  <c r="F716" i="134"/>
  <c r="F718" i="139"/>
  <c r="F702" i="139"/>
  <c r="F700" i="134"/>
  <c r="F700" i="139"/>
  <c r="F698" i="134"/>
  <c r="F699" i="139"/>
  <c r="F697" i="134"/>
  <c r="F659" i="139"/>
  <c r="F657" i="134"/>
  <c r="F637" i="139"/>
  <c r="F635" i="134"/>
  <c r="F632" i="139"/>
  <c r="F630" i="134"/>
  <c r="F600" i="139"/>
  <c r="F598" i="134"/>
  <c r="F596" i="134"/>
  <c r="F598" i="139"/>
  <c r="F597" i="139"/>
  <c r="F595" i="134"/>
  <c r="F591" i="134"/>
  <c r="F593" i="139"/>
  <c r="F591" i="139"/>
  <c r="F589" i="134"/>
  <c r="F590" i="139"/>
  <c r="F588" i="134"/>
  <c r="F479" i="139"/>
  <c r="F477" i="134"/>
  <c r="F476" i="134"/>
  <c r="F478" i="139"/>
  <c r="F477" i="139"/>
  <c r="F475" i="134"/>
  <c r="F449" i="139"/>
  <c r="F418" i="139"/>
  <c r="F416" i="134"/>
  <c r="F348" i="139"/>
  <c r="F346" i="134"/>
  <c r="F336" i="134"/>
  <c r="F338" i="139"/>
  <c r="F335" i="139"/>
  <c r="F333" i="134"/>
  <c r="F333" i="139"/>
  <c r="F331" i="134"/>
  <c r="F329" i="139"/>
  <c r="F327" i="134"/>
  <c r="F327" i="139"/>
  <c r="F325" i="134"/>
  <c r="F325" i="139"/>
  <c r="F323" i="134"/>
  <c r="F324" i="139"/>
  <c r="F322" i="134"/>
  <c r="F323" i="139"/>
  <c r="F321" i="134"/>
  <c r="F322" i="139"/>
  <c r="F320" i="134"/>
  <c r="F318" i="139"/>
  <c r="F316" i="134"/>
  <c r="F315" i="134"/>
  <c r="F317" i="139"/>
  <c r="F316" i="139"/>
  <c r="F314" i="134"/>
  <c r="F314" i="139"/>
  <c r="F312" i="134"/>
  <c r="F279" i="139"/>
  <c r="F277" i="134"/>
  <c r="F276" i="139"/>
  <c r="F274" i="134"/>
  <c r="F945" i="134"/>
  <c r="F946" i="139"/>
  <c r="F944" i="134"/>
  <c r="F920" i="139"/>
  <c r="F918" i="134"/>
  <c r="F905" i="134"/>
  <c r="F907" i="139"/>
  <c r="F862" i="139"/>
  <c r="F860" i="134"/>
  <c r="F846" i="139"/>
  <c r="F844" i="134"/>
  <c r="F789" i="139"/>
  <c r="F787" i="134"/>
  <c r="F758" i="139"/>
  <c r="F756" i="134"/>
  <c r="F737" i="134"/>
  <c r="F739" i="139"/>
  <c r="F717" i="139"/>
  <c r="F715" i="134"/>
  <c r="F657" i="139"/>
  <c r="F655" i="134"/>
  <c r="F656" i="139"/>
  <c r="F654" i="134"/>
  <c r="F653" i="139"/>
  <c r="F651" i="134"/>
  <c r="F643" i="134"/>
  <c r="F645" i="139"/>
  <c r="F639" i="139"/>
  <c r="F637" i="134"/>
  <c r="F596" i="139"/>
  <c r="F594" i="134"/>
  <c r="F592" i="139"/>
  <c r="F590" i="134"/>
  <c r="F567" i="139"/>
  <c r="F565" i="134"/>
  <c r="F564" i="139"/>
  <c r="F562" i="134"/>
  <c r="F476" i="139"/>
  <c r="F474" i="134"/>
  <c r="F474" i="139"/>
  <c r="F472" i="134"/>
  <c r="F471" i="134"/>
  <c r="F473" i="139"/>
  <c r="F470" i="139"/>
  <c r="F468" i="134"/>
  <c r="F450" i="139"/>
  <c r="F419" i="134"/>
  <c r="F421" i="139"/>
  <c r="F419" i="139"/>
  <c r="F417" i="134"/>
  <c r="F345" i="139"/>
  <c r="F343" i="134"/>
  <c r="F337" i="139"/>
  <c r="F335" i="134"/>
  <c r="F321" i="139"/>
  <c r="F319" i="134"/>
  <c r="F318" i="134"/>
  <c r="F320" i="139"/>
  <c r="F313" i="139"/>
  <c r="F311" i="134"/>
  <c r="F307" i="139"/>
  <c r="F305" i="134"/>
  <c r="F285" i="139"/>
  <c r="F283" i="134"/>
  <c r="F284" i="139"/>
  <c r="F282" i="134"/>
  <c r="F281" i="139"/>
  <c r="F279" i="134"/>
  <c r="F275" i="134"/>
  <c r="F277" i="139"/>
  <c r="F273" i="139"/>
  <c r="F271" i="134"/>
  <c r="F236" i="134"/>
  <c r="F238" i="139"/>
  <c r="F906" i="134"/>
  <c r="F809" i="139"/>
  <c r="F807" i="134"/>
  <c r="F884" i="139"/>
  <c r="F882" i="134"/>
  <c r="F807" i="139"/>
  <c r="F805" i="134"/>
  <c r="F695" i="139"/>
  <c r="F693" i="134"/>
  <c r="F635" i="139"/>
  <c r="F633" i="134"/>
  <c r="F560" i="139"/>
  <c r="F558" i="134"/>
  <c r="F97" i="134"/>
  <c r="F99" i="139"/>
  <c r="F56" i="139"/>
  <c r="F54" i="134"/>
  <c r="F287" i="139"/>
  <c r="F944" i="139"/>
  <c r="F942" i="134"/>
  <c r="F930" i="139"/>
  <c r="F928" i="134"/>
  <c r="F803" i="134"/>
  <c r="F805" i="139"/>
  <c r="F786" i="139"/>
  <c r="F784" i="134"/>
  <c r="F754" i="139"/>
  <c r="F752" i="134"/>
  <c r="F734" i="139"/>
  <c r="F732" i="134"/>
  <c r="F629" i="139"/>
  <c r="F627" i="134"/>
  <c r="F581" i="139"/>
  <c r="F579" i="134"/>
  <c r="F558" i="139"/>
  <c r="F556" i="134"/>
  <c r="F471" i="139"/>
  <c r="F469" i="134"/>
  <c r="F468" i="139"/>
  <c r="F466" i="134"/>
  <c r="F388" i="139"/>
  <c r="F386" i="134"/>
  <c r="F292" i="139"/>
  <c r="F290" i="134"/>
  <c r="F229" i="139"/>
  <c r="F227" i="134"/>
  <c r="F190" i="134"/>
  <c r="F192" i="139"/>
  <c r="F187" i="139"/>
  <c r="F185" i="134"/>
  <c r="F175" i="134"/>
  <c r="F154" i="134"/>
  <c r="F156" i="139"/>
  <c r="F155" i="139"/>
  <c r="F153" i="134"/>
  <c r="F147" i="139"/>
  <c r="F145" i="134"/>
  <c r="F140" i="134"/>
  <c r="F142" i="139"/>
  <c r="F137" i="134"/>
  <c r="F139" i="139"/>
  <c r="F135" i="134"/>
  <c r="F137" i="139"/>
  <c r="F34" i="139"/>
  <c r="F32" i="134"/>
  <c r="F19" i="134"/>
  <c r="F21" i="139"/>
  <c r="F811" i="134"/>
  <c r="F779" i="134"/>
  <c r="F747" i="134"/>
  <c r="F683" i="134"/>
  <c r="F619" i="134"/>
  <c r="F555" i="134"/>
  <c r="F523" i="134"/>
  <c r="F491" i="134"/>
  <c r="F459" i="134"/>
  <c r="F395" i="134"/>
  <c r="F363" i="134"/>
  <c r="F299" i="134"/>
  <c r="F267" i="134"/>
  <c r="F184" i="134"/>
  <c r="F104" i="134"/>
  <c r="F40" i="134"/>
  <c r="F452" i="139"/>
  <c r="F437" i="139"/>
  <c r="F293" i="139"/>
  <c r="F233" i="139"/>
  <c r="F154" i="139"/>
  <c r="F941" i="134"/>
  <c r="F559" i="134"/>
  <c r="F873" i="139"/>
  <c r="F871" i="134"/>
  <c r="F859" i="139"/>
  <c r="F857" i="134"/>
  <c r="F820" i="139"/>
  <c r="F818" i="134"/>
  <c r="F761" i="139"/>
  <c r="F759" i="134"/>
  <c r="F603" i="139"/>
  <c r="F601" i="134"/>
  <c r="F587" i="139"/>
  <c r="F585" i="134"/>
  <c r="F562" i="139"/>
  <c r="F560" i="134"/>
  <c r="F494" i="139"/>
  <c r="F492" i="134"/>
  <c r="F228" i="139"/>
  <c r="F226" i="134"/>
  <c r="F557" i="134"/>
  <c r="F493" i="134"/>
  <c r="F942" i="139"/>
  <c r="F940" i="134"/>
  <c r="F917" i="139"/>
  <c r="F915" i="134"/>
  <c r="F916" i="139"/>
  <c r="F914" i="134"/>
  <c r="F905" i="139"/>
  <c r="F903" i="134"/>
  <c r="F903" i="139"/>
  <c r="F901" i="134"/>
  <c r="F818" i="139"/>
  <c r="F816" i="134"/>
  <c r="F782" i="139"/>
  <c r="F780" i="134"/>
  <c r="F715" i="139"/>
  <c r="F713" i="134"/>
  <c r="F581" i="134"/>
  <c r="F583" i="139"/>
  <c r="F537" i="139"/>
  <c r="F535" i="134"/>
  <c r="F535" i="139"/>
  <c r="F533" i="134"/>
  <c r="F389" i="139"/>
  <c r="F387" i="134"/>
  <c r="F183" i="134"/>
  <c r="F185" i="139"/>
  <c r="F181" i="134"/>
  <c r="F183" i="139"/>
  <c r="F178" i="139"/>
  <c r="F176" i="134"/>
  <c r="F174" i="134"/>
  <c r="F176" i="139"/>
  <c r="F160" i="134"/>
  <c r="F162" i="139"/>
  <c r="F158" i="134"/>
  <c r="F160" i="139"/>
  <c r="F153" i="139"/>
  <c r="F151" i="134"/>
  <c r="F122" i="134"/>
  <c r="F124" i="139"/>
  <c r="F121" i="139"/>
  <c r="F119" i="134"/>
  <c r="F85" i="139"/>
  <c r="F83" i="134"/>
  <c r="F71" i="134"/>
  <c r="F73" i="139"/>
  <c r="F22" i="139"/>
  <c r="F20" i="134"/>
  <c r="F937" i="134"/>
  <c r="F890" i="134"/>
  <c r="F858" i="134"/>
  <c r="F730" i="134"/>
  <c r="F602" i="134"/>
  <c r="F538" i="134"/>
  <c r="F506" i="134"/>
  <c r="F442" i="134"/>
  <c r="F410" i="134"/>
  <c r="F378" i="134"/>
  <c r="F182" i="134"/>
  <c r="F901" i="139"/>
  <c r="F601" i="139"/>
  <c r="F383" i="139"/>
  <c r="F378" i="139"/>
  <c r="F257" i="139"/>
  <c r="F111" i="139"/>
  <c r="F27" i="139"/>
  <c r="F757" i="139"/>
  <c r="F755" i="134"/>
  <c r="F640" i="139"/>
  <c r="F638" i="134"/>
  <c r="F190" i="139"/>
  <c r="F188" i="134"/>
  <c r="F82" i="139"/>
  <c r="F80" i="134"/>
  <c r="F496" i="139"/>
  <c r="F494" i="134"/>
  <c r="F306" i="139"/>
  <c r="F304" i="134"/>
  <c r="F286" i="139"/>
  <c r="F284" i="134"/>
  <c r="F54" i="139"/>
  <c r="F52" i="134"/>
  <c r="F882" i="139"/>
  <c r="F880" i="134"/>
  <c r="F841" i="139"/>
  <c r="F839" i="134"/>
  <c r="F782" i="134"/>
  <c r="F784" i="139"/>
  <c r="F750" i="139"/>
  <c r="F748" i="134"/>
  <c r="F691" i="134"/>
  <c r="F693" i="139"/>
  <c r="F580" i="139"/>
  <c r="F578" i="134"/>
  <c r="F549" i="134"/>
  <c r="F551" i="139"/>
  <c r="F546" i="139"/>
  <c r="F544" i="134"/>
  <c r="F533" i="139"/>
  <c r="F531" i="134"/>
  <c r="F498" i="139"/>
  <c r="F496" i="134"/>
  <c r="F464" i="134"/>
  <c r="F466" i="139"/>
  <c r="F391" i="139"/>
  <c r="F389" i="134"/>
  <c r="F302" i="134"/>
  <c r="F304" i="139"/>
  <c r="F300" i="134"/>
  <c r="F302" i="139"/>
  <c r="F288" i="139"/>
  <c r="F286" i="134"/>
  <c r="F175" i="139"/>
  <c r="F173" i="134"/>
  <c r="F166" i="139"/>
  <c r="F164" i="134"/>
  <c r="F163" i="139"/>
  <c r="F161" i="134"/>
  <c r="F109" i="139"/>
  <c r="F107" i="134"/>
  <c r="F106" i="134"/>
  <c r="F108" i="139"/>
  <c r="F107" i="139"/>
  <c r="F105" i="134"/>
  <c r="F55" i="134"/>
  <c r="F57" i="139"/>
  <c r="F35" i="134"/>
  <c r="F37" i="139"/>
  <c r="F888" i="134"/>
  <c r="F856" i="134"/>
  <c r="F824" i="134"/>
  <c r="F792" i="134"/>
  <c r="F760" i="134"/>
  <c r="F728" i="134"/>
  <c r="F696" i="134"/>
  <c r="F632" i="134"/>
  <c r="F600" i="134"/>
  <c r="F568" i="134"/>
  <c r="F536" i="134"/>
  <c r="F504" i="134"/>
  <c r="F440" i="134"/>
  <c r="F408" i="134"/>
  <c r="F280" i="134"/>
  <c r="F248" i="134"/>
  <c r="F180" i="134"/>
  <c r="F100" i="134"/>
  <c r="F825" i="139"/>
  <c r="F515" i="139"/>
  <c r="F194" i="139"/>
  <c r="F52" i="139"/>
  <c r="F640" i="134"/>
  <c r="F642" i="139"/>
  <c r="F549" i="139"/>
  <c r="F547" i="134"/>
  <c r="F230" i="139"/>
  <c r="F871" i="139"/>
  <c r="F869" i="134"/>
  <c r="F821" i="139"/>
  <c r="F819" i="134"/>
  <c r="F697" i="139"/>
  <c r="F695" i="134"/>
  <c r="F647" i="139"/>
  <c r="F645" i="134"/>
  <c r="F606" i="139"/>
  <c r="F604" i="134"/>
  <c r="F467" i="134"/>
  <c r="F469" i="139"/>
  <c r="F144" i="139"/>
  <c r="F142" i="134"/>
  <c r="F141" i="139"/>
  <c r="F139" i="134"/>
  <c r="F84" i="139"/>
  <c r="F82" i="134"/>
  <c r="F51" i="139"/>
  <c r="F49" i="134"/>
  <c r="F822" i="139"/>
  <c r="F32" i="139"/>
  <c r="F928" i="139"/>
  <c r="F926" i="134"/>
  <c r="F891" i="139"/>
  <c r="F889" i="134"/>
  <c r="F869" i="139"/>
  <c r="F867" i="134"/>
  <c r="F836" i="139"/>
  <c r="F834" i="134"/>
  <c r="F814" i="134"/>
  <c r="F816" i="139"/>
  <c r="F752" i="139"/>
  <c r="F750" i="134"/>
  <c r="F626" i="139"/>
  <c r="F624" i="134"/>
  <c r="F624" i="139"/>
  <c r="F622" i="134"/>
  <c r="F622" i="139"/>
  <c r="F620" i="134"/>
  <c r="F578" i="139"/>
  <c r="F576" i="134"/>
  <c r="F555" i="139"/>
  <c r="F553" i="134"/>
  <c r="F553" i="139"/>
  <c r="F551" i="134"/>
  <c r="F510" i="139"/>
  <c r="F508" i="134"/>
  <c r="F505" i="139"/>
  <c r="F503" i="134"/>
  <c r="F500" i="139"/>
  <c r="F498" i="134"/>
  <c r="F485" i="139"/>
  <c r="F483" i="134"/>
  <c r="F411" i="139"/>
  <c r="F409" i="134"/>
  <c r="F382" i="134"/>
  <c r="F384" i="139"/>
  <c r="F379" i="139"/>
  <c r="F377" i="134"/>
  <c r="F299" i="139"/>
  <c r="F297" i="134"/>
  <c r="F179" i="134"/>
  <c r="F181" i="139"/>
  <c r="F173" i="139"/>
  <c r="F171" i="134"/>
  <c r="F163" i="134"/>
  <c r="F165" i="139"/>
  <c r="F164" i="139"/>
  <c r="F162" i="134"/>
  <c r="F156" i="134"/>
  <c r="F158" i="139"/>
  <c r="F121" i="134"/>
  <c r="F123" i="139"/>
  <c r="F103" i="134"/>
  <c r="F105" i="139"/>
  <c r="F90" i="139"/>
  <c r="F88" i="134"/>
  <c r="F87" i="134"/>
  <c r="F89" i="139"/>
  <c r="F948" i="134"/>
  <c r="F886" i="134"/>
  <c r="F854" i="134"/>
  <c r="F822" i="134"/>
  <c r="F790" i="134"/>
  <c r="F758" i="134"/>
  <c r="F726" i="134"/>
  <c r="F694" i="134"/>
  <c r="F662" i="134"/>
  <c r="F566" i="134"/>
  <c r="F534" i="134"/>
  <c r="F470" i="134"/>
  <c r="F438" i="134"/>
  <c r="F406" i="134"/>
  <c r="F374" i="134"/>
  <c r="F178" i="134"/>
  <c r="F34" i="134"/>
  <c r="F708" i="139"/>
  <c r="F703" i="139"/>
  <c r="F455" i="139"/>
  <c r="F179" i="139"/>
  <c r="F174" i="139"/>
  <c r="F119" i="139"/>
  <c r="F35" i="139"/>
  <c r="F759" i="139"/>
  <c r="F757" i="134"/>
  <c r="F229" i="134"/>
  <c r="F231" i="139"/>
  <c r="F195" i="139"/>
  <c r="F193" i="134"/>
  <c r="F347" i="139"/>
  <c r="F146" i="139"/>
  <c r="F885" i="139"/>
  <c r="F883" i="134"/>
  <c r="F823" i="139"/>
  <c r="F821" i="134"/>
  <c r="F654" i="139"/>
  <c r="F652" i="134"/>
  <c r="F610" i="139"/>
  <c r="F608" i="134"/>
  <c r="F608" i="139"/>
  <c r="F606" i="134"/>
  <c r="F585" i="139"/>
  <c r="F583" i="134"/>
  <c r="F186" i="134"/>
  <c r="F188" i="139"/>
  <c r="F50" i="139"/>
  <c r="F48" i="134"/>
  <c r="F926" i="139"/>
  <c r="F924" i="134"/>
  <c r="F914" i="139"/>
  <c r="F912" i="134"/>
  <c r="F839" i="139"/>
  <c r="F837" i="134"/>
  <c r="F835" i="134"/>
  <c r="F837" i="139"/>
  <c r="F800" i="134"/>
  <c r="F802" i="139"/>
  <c r="F800" i="139"/>
  <c r="F798" i="134"/>
  <c r="F779" i="139"/>
  <c r="F777" i="134"/>
  <c r="F773" i="139"/>
  <c r="F771" i="134"/>
  <c r="F772" i="139"/>
  <c r="F770" i="134"/>
  <c r="F713" i="139"/>
  <c r="F711" i="134"/>
  <c r="F692" i="139"/>
  <c r="F690" i="134"/>
  <c r="F576" i="139"/>
  <c r="F574" i="134"/>
  <c r="F532" i="139"/>
  <c r="F530" i="134"/>
  <c r="F516" i="139"/>
  <c r="F514" i="134"/>
  <c r="F514" i="139"/>
  <c r="F512" i="134"/>
  <c r="F507" i="139"/>
  <c r="F505" i="134"/>
  <c r="F491" i="139"/>
  <c r="F489" i="134"/>
  <c r="F409" i="139"/>
  <c r="F407" i="134"/>
  <c r="F395" i="139"/>
  <c r="F393" i="134"/>
  <c r="F393" i="139"/>
  <c r="F386" i="139"/>
  <c r="F384" i="134"/>
  <c r="F382" i="139"/>
  <c r="F380" i="134"/>
  <c r="F356" i="139"/>
  <c r="F354" i="134"/>
  <c r="F267" i="139"/>
  <c r="F265" i="134"/>
  <c r="F226" i="139"/>
  <c r="F224" i="134"/>
  <c r="F85" i="134"/>
  <c r="F87" i="139"/>
  <c r="F58" i="134"/>
  <c r="F60" i="139"/>
  <c r="F25" i="139"/>
  <c r="F23" i="134"/>
  <c r="F852" i="134"/>
  <c r="F724" i="134"/>
  <c r="F692" i="134"/>
  <c r="F660" i="134"/>
  <c r="F628" i="134"/>
  <c r="F532" i="134"/>
  <c r="F500" i="134"/>
  <c r="F436" i="134"/>
  <c r="F404" i="134"/>
  <c r="F372" i="134"/>
  <c r="F244" i="134"/>
  <c r="F59" i="134"/>
  <c r="F912" i="139"/>
  <c r="F843" i="139"/>
  <c r="F711" i="139"/>
  <c r="F599" i="139"/>
  <c r="F544" i="139"/>
  <c r="F381" i="139"/>
  <c r="F260" i="139"/>
  <c r="F545" i="134"/>
  <c r="F481" i="134"/>
  <c r="F385" i="134"/>
  <c r="F289" i="134"/>
  <c r="F257" i="134"/>
  <c r="F539" i="139"/>
  <c r="F122" i="139"/>
  <c r="F75" i="139"/>
  <c r="F55" i="139"/>
  <c r="F729" i="139"/>
  <c r="F727" i="134"/>
  <c r="F690" i="139"/>
  <c r="F688" i="134"/>
  <c r="F457" i="139"/>
  <c r="F455" i="134"/>
  <c r="F439" i="139"/>
  <c r="F437" i="134"/>
  <c r="F436" i="139"/>
  <c r="F434" i="134"/>
  <c r="F414" i="139"/>
  <c r="F412" i="134"/>
  <c r="F405" i="139"/>
  <c r="F403" i="134"/>
  <c r="F398" i="139"/>
  <c r="F396" i="134"/>
  <c r="F372" i="139"/>
  <c r="F370" i="134"/>
  <c r="F357" i="139"/>
  <c r="F355" i="134"/>
  <c r="F270" i="139"/>
  <c r="F268" i="134"/>
  <c r="F261" i="139"/>
  <c r="F259" i="134"/>
  <c r="F256" i="139"/>
  <c r="F254" i="134"/>
  <c r="F222" i="134"/>
  <c r="F224" i="139"/>
  <c r="F223" i="139"/>
  <c r="F221" i="134"/>
  <c r="F221" i="139"/>
  <c r="F219" i="134"/>
  <c r="F170" i="139"/>
  <c r="F168" i="134"/>
  <c r="F90" i="134"/>
  <c r="F92" i="139"/>
  <c r="F77" i="139"/>
  <c r="F75" i="134"/>
  <c r="F39" i="139"/>
  <c r="F37" i="134"/>
  <c r="F26" i="134"/>
  <c r="F28" i="139"/>
  <c r="F927" i="134"/>
  <c r="F831" i="134"/>
  <c r="F799" i="134"/>
  <c r="F735" i="134"/>
  <c r="F671" i="134"/>
  <c r="F639" i="134"/>
  <c r="F607" i="134"/>
  <c r="F543" i="134"/>
  <c r="F511" i="134"/>
  <c r="F383" i="134"/>
  <c r="F351" i="134"/>
  <c r="F287" i="134"/>
  <c r="F191" i="134"/>
  <c r="F123" i="134"/>
  <c r="F831" i="139"/>
  <c r="F619" i="139"/>
  <c r="F265" i="139"/>
  <c r="F722" i="139"/>
  <c r="F720" i="134"/>
  <c r="F681" i="139"/>
  <c r="F679" i="134"/>
  <c r="F617" i="139"/>
  <c r="F615" i="134"/>
  <c r="F611" i="134"/>
  <c r="F613" i="139"/>
  <c r="F530" i="139"/>
  <c r="F528" i="134"/>
  <c r="F528" i="139"/>
  <c r="F526" i="134"/>
  <c r="F523" i="139"/>
  <c r="F521" i="134"/>
  <c r="F501" i="134"/>
  <c r="F503" i="139"/>
  <c r="F487" i="139"/>
  <c r="F485" i="134"/>
  <c r="F462" i="139"/>
  <c r="F460" i="134"/>
  <c r="F459" i="139"/>
  <c r="F457" i="134"/>
  <c r="F443" i="139"/>
  <c r="F441" i="134"/>
  <c r="F430" i="139"/>
  <c r="F428" i="134"/>
  <c r="F416" i="139"/>
  <c r="F414" i="134"/>
  <c r="F402" i="139"/>
  <c r="F400" i="134"/>
  <c r="F366" i="139"/>
  <c r="F364" i="134"/>
  <c r="F363" i="139"/>
  <c r="F361" i="134"/>
  <c r="F256" i="134"/>
  <c r="F258" i="139"/>
  <c r="F925" i="134"/>
  <c r="F765" i="134"/>
  <c r="F733" i="134"/>
  <c r="F605" i="134"/>
  <c r="F573" i="134"/>
  <c r="F541" i="134"/>
  <c r="F509" i="134"/>
  <c r="F413" i="134"/>
  <c r="F349" i="134"/>
  <c r="F253" i="134"/>
  <c r="F189" i="134"/>
  <c r="F150" i="134"/>
  <c r="F777" i="139"/>
  <c r="F63" i="139"/>
  <c r="F931" i="134"/>
  <c r="F933" i="139"/>
  <c r="F932" i="139"/>
  <c r="F930" i="134"/>
  <c r="F917" i="134"/>
  <c r="F919" i="139"/>
  <c r="F892" i="134"/>
  <c r="F894" i="139"/>
  <c r="F651" i="139"/>
  <c r="F649" i="134"/>
  <c r="F638" i="139"/>
  <c r="F636" i="134"/>
  <c r="F594" i="139"/>
  <c r="F592" i="134"/>
  <c r="F565" i="139"/>
  <c r="F563" i="134"/>
  <c r="F475" i="139"/>
  <c r="F473" i="134"/>
  <c r="F423" i="139"/>
  <c r="F421" i="134"/>
  <c r="F336" i="139"/>
  <c r="F334" i="134"/>
  <c r="F332" i="134"/>
  <c r="F334" i="139"/>
  <c r="F272" i="134"/>
  <c r="F274" i="139"/>
  <c r="F234" i="139"/>
  <c r="F232" i="134"/>
  <c r="F232" i="139"/>
  <c r="F230" i="134"/>
  <c r="F210" i="139"/>
  <c r="F208" i="134"/>
  <c r="F118" i="134"/>
  <c r="F120" i="139"/>
  <c r="F78" i="134"/>
  <c r="F80" i="139"/>
  <c r="F67" i="139"/>
  <c r="F65" i="134"/>
  <c r="F33" i="139"/>
  <c r="F31" i="134"/>
  <c r="F20" i="139"/>
  <c r="F18" i="134"/>
  <c r="F19" i="139"/>
  <c r="F17" i="134"/>
  <c r="F273" i="134"/>
  <c r="F658" i="139"/>
  <c r="F788" i="139"/>
  <c r="F786" i="134"/>
  <c r="F756" i="139"/>
  <c r="F754" i="134"/>
  <c r="F738" i="139"/>
  <c r="F736" i="134"/>
  <c r="F283" i="139"/>
  <c r="F281" i="134"/>
  <c r="F207" i="134"/>
  <c r="F209" i="139"/>
  <c r="F189" i="139"/>
  <c r="F187" i="134"/>
  <c r="F145" i="139"/>
  <c r="F143" i="134"/>
  <c r="F133" i="134"/>
  <c r="F135" i="139"/>
  <c r="F99" i="134"/>
  <c r="F101" i="139"/>
  <c r="F98" i="139"/>
  <c r="F96" i="134"/>
  <c r="F71" i="139"/>
  <c r="F69" i="134"/>
  <c r="F51" i="134"/>
  <c r="F53" i="139"/>
  <c r="F900" i="139"/>
  <c r="F898" i="134"/>
  <c r="F868" i="139"/>
  <c r="F866" i="134"/>
  <c r="F855" i="139"/>
  <c r="F853" i="134"/>
  <c r="F853" i="139"/>
  <c r="F851" i="134"/>
  <c r="F814" i="139"/>
  <c r="F812" i="134"/>
  <c r="F798" i="139"/>
  <c r="F796" i="134"/>
  <c r="F795" i="139"/>
  <c r="F793" i="134"/>
  <c r="F773" i="134"/>
  <c r="F775" i="139"/>
  <c r="F747" i="139"/>
  <c r="F745" i="134"/>
  <c r="F725" i="134"/>
  <c r="F727" i="139"/>
  <c r="F725" i="139"/>
  <c r="F723" i="134"/>
  <c r="F724" i="139"/>
  <c r="F722" i="134"/>
  <c r="F686" i="134"/>
  <c r="F688" i="139"/>
  <c r="F686" i="139"/>
  <c r="F684" i="134"/>
  <c r="F683" i="139"/>
  <c r="F681" i="134"/>
  <c r="F677" i="139"/>
  <c r="F675" i="134"/>
  <c r="F526" i="139"/>
  <c r="F524" i="134"/>
  <c r="F519" i="139"/>
  <c r="F517" i="134"/>
  <c r="F501" i="139"/>
  <c r="F499" i="134"/>
  <c r="F464" i="139"/>
  <c r="F462" i="134"/>
  <c r="F453" i="139"/>
  <c r="F451" i="134"/>
  <c r="F441" i="139"/>
  <c r="F439" i="134"/>
  <c r="F434" i="139"/>
  <c r="F432" i="134"/>
  <c r="F377" i="139"/>
  <c r="F375" i="134"/>
  <c r="F359" i="139"/>
  <c r="F357" i="134"/>
  <c r="F354" i="139"/>
  <c r="F352" i="134"/>
  <c r="F297" i="139"/>
  <c r="F295" i="134"/>
  <c r="F295" i="139"/>
  <c r="F293" i="134"/>
  <c r="F261" i="134"/>
  <c r="F263" i="139"/>
  <c r="F249" i="139"/>
  <c r="F247" i="134"/>
  <c r="F247" i="139"/>
  <c r="F245" i="134"/>
  <c r="F243" i="134"/>
  <c r="F245" i="139"/>
  <c r="F929" i="134"/>
  <c r="F641" i="134"/>
  <c r="F609" i="134"/>
  <c r="F878" i="139"/>
  <c r="F876" i="134"/>
  <c r="F923" i="139"/>
  <c r="F921" i="134"/>
  <c r="F898" i="139"/>
  <c r="F896" i="134"/>
  <c r="F887" i="134"/>
  <c r="F889" i="139"/>
  <c r="F866" i="139"/>
  <c r="F864" i="134"/>
  <c r="F850" i="139"/>
  <c r="F848" i="134"/>
  <c r="F832" i="134"/>
  <c r="F834" i="139"/>
  <c r="F674" i="139"/>
  <c r="F672" i="134"/>
  <c r="F672" i="139"/>
  <c r="F670" i="134"/>
  <c r="F660" i="139"/>
  <c r="F658" i="134"/>
  <c r="F571" i="139"/>
  <c r="F569" i="134"/>
  <c r="F519" i="134"/>
  <c r="F521" i="139"/>
  <c r="F373" i="139"/>
  <c r="F371" i="134"/>
  <c r="F368" i="139"/>
  <c r="F366" i="134"/>
  <c r="F240" i="134"/>
  <c r="F242" i="139"/>
  <c r="F198" i="139"/>
  <c r="F196" i="134"/>
  <c r="F132" i="139"/>
  <c r="F130" i="134"/>
  <c r="F62" i="134"/>
  <c r="F64" i="139"/>
  <c r="F60" i="134"/>
  <c r="F62" i="139"/>
  <c r="F39" i="134"/>
  <c r="F41" i="139"/>
  <c r="F923" i="134"/>
  <c r="F891" i="134"/>
  <c r="F859" i="134"/>
  <c r="F795" i="134"/>
  <c r="F731" i="134"/>
  <c r="F667" i="134"/>
  <c r="F603" i="134"/>
  <c r="F571" i="134"/>
  <c r="F539" i="134"/>
  <c r="F443" i="134"/>
  <c r="F411" i="134"/>
  <c r="F251" i="134"/>
  <c r="F216" i="134"/>
  <c r="F148" i="134"/>
  <c r="F72" i="134"/>
  <c r="F649" i="139"/>
  <c r="F542" i="139"/>
  <c r="F489" i="139"/>
  <c r="F404" i="139"/>
  <c r="F208" i="139"/>
  <c r="F58" i="139"/>
  <c r="F220" i="134"/>
  <c r="F222" i="139"/>
  <c r="F170" i="134"/>
  <c r="F172" i="139"/>
  <c r="F169" i="139"/>
  <c r="F167" i="134"/>
  <c r="F167" i="139"/>
  <c r="F165" i="134"/>
  <c r="F110" i="134"/>
  <c r="F112" i="139"/>
  <c r="F110" i="139"/>
  <c r="F108" i="134"/>
  <c r="F74" i="134"/>
  <c r="F76" i="139"/>
  <c r="F59" i="139"/>
  <c r="F57" i="134"/>
  <c r="F242" i="134"/>
  <c r="F223" i="134"/>
  <c r="F132" i="134"/>
  <c r="F77" i="134"/>
  <c r="F236" i="139"/>
  <c r="F203" i="139"/>
  <c r="F111" i="134"/>
  <c r="F206" i="139"/>
  <c r="F94" i="139"/>
  <c r="F69" i="139"/>
  <c r="F243" i="139"/>
  <c r="F241" i="134"/>
  <c r="F220" i="139"/>
  <c r="F218" i="134"/>
  <c r="F42" i="134"/>
  <c r="F44" i="139"/>
  <c r="F131" i="139"/>
  <c r="F43" i="139"/>
  <c r="F219" i="139"/>
  <c r="F217" i="134"/>
  <c r="F199" i="139"/>
  <c r="F197" i="134"/>
  <c r="F14" i="134"/>
  <c r="F16" i="139"/>
  <c r="F126" i="139"/>
  <c r="F18" i="139"/>
  <c r="F238" i="134"/>
  <c r="F240" i="139"/>
  <c r="F215" i="134"/>
  <c r="F217" i="139"/>
  <c r="F202" i="134"/>
  <c r="F204" i="139"/>
  <c r="F131" i="134"/>
  <c r="F133" i="139"/>
  <c r="F130" i="139"/>
  <c r="F128" i="134"/>
  <c r="F96" i="139"/>
  <c r="F94" i="134"/>
  <c r="F194" i="134"/>
  <c r="F29" i="134"/>
  <c r="F46" i="139"/>
  <c r="F211" i="134"/>
  <c r="F201" i="139"/>
  <c r="F199" i="134"/>
  <c r="F115" i="139"/>
  <c r="F113" i="134"/>
  <c r="F28" i="134"/>
  <c r="F30" i="139"/>
  <c r="F63" i="134"/>
  <c r="F235" i="139"/>
  <c r="F233" i="134"/>
  <c r="F48" i="139"/>
  <c r="F46" i="134"/>
  <c r="F116" i="134"/>
  <c r="AL420" i="139"/>
  <c r="AL940" i="139"/>
  <c r="AL931" i="139"/>
  <c r="AL869" i="139"/>
  <c r="AL837" i="139"/>
  <c r="AL913" i="139"/>
  <c r="AL570" i="139"/>
  <c r="AL873" i="139"/>
  <c r="AL885" i="139"/>
  <c r="AL853" i="139"/>
  <c r="AJ832" i="139"/>
  <c r="AL832" i="139" s="1"/>
  <c r="AJ536" i="139"/>
  <c r="AL536" i="139" s="1"/>
  <c r="AL640" i="139"/>
  <c r="AL776" i="139"/>
  <c r="AJ719" i="139"/>
  <c r="AL719" i="139" s="1"/>
  <c r="AJ659" i="139"/>
  <c r="AL659" i="139" s="1"/>
  <c r="AJ443" i="139"/>
  <c r="AL443" i="139" s="1"/>
  <c r="AL383" i="139"/>
  <c r="AJ268" i="139"/>
  <c r="AL268" i="139" s="1"/>
  <c r="AJ130" i="139"/>
  <c r="AL130" i="139" s="1"/>
  <c r="AJ783" i="139"/>
  <c r="AL783" i="139" s="1"/>
  <c r="AJ723" i="139"/>
  <c r="AL723" i="139" s="1"/>
  <c r="AJ868" i="139"/>
  <c r="AL868" i="139" s="1"/>
  <c r="AJ591" i="139"/>
  <c r="AL591" i="139" s="1"/>
  <c r="AJ508" i="139"/>
  <c r="AL508" i="139" s="1"/>
  <c r="AJ351" i="139"/>
  <c r="AL351" i="139" s="1"/>
  <c r="AJ194" i="139"/>
  <c r="AL194" i="139" s="1"/>
  <c r="AL919" i="139"/>
  <c r="AJ904" i="139"/>
  <c r="AL904" i="139" s="1"/>
  <c r="AL815" i="139"/>
  <c r="AL802" i="139"/>
  <c r="AJ685" i="139"/>
  <c r="AL685" i="139" s="1"/>
  <c r="AJ625" i="139"/>
  <c r="AL625" i="139" s="1"/>
  <c r="AL915" i="139"/>
  <c r="AL746" i="139"/>
  <c r="AJ704" i="139"/>
  <c r="AL704" i="139" s="1"/>
  <c r="AJ610" i="139"/>
  <c r="AL610" i="139" s="1"/>
  <c r="AJ572" i="139"/>
  <c r="AL572" i="139" s="1"/>
  <c r="AJ303" i="139"/>
  <c r="AL303" i="139" s="1"/>
  <c r="AL237" i="139"/>
  <c r="AJ621" i="139"/>
  <c r="AL621" i="139" s="1"/>
  <c r="AJ836" i="139"/>
  <c r="AL836" i="139" s="1"/>
  <c r="AL803" i="139"/>
  <c r="AJ764" i="139"/>
  <c r="AL764" i="139" s="1"/>
  <c r="AL731" i="139"/>
  <c r="AL671" i="139"/>
  <c r="AL617" i="139"/>
  <c r="AJ547" i="139"/>
  <c r="AL547" i="139" s="1"/>
  <c r="AJ206" i="139"/>
  <c r="AL206" i="139" s="1"/>
  <c r="AL70" i="139"/>
  <c r="AJ864" i="139"/>
  <c r="AL864" i="139" s="1"/>
  <c r="AJ908" i="139"/>
  <c r="AL908" i="139" s="1"/>
  <c r="AJ888" i="139"/>
  <c r="AL888" i="139" s="1"/>
  <c r="AJ872" i="139"/>
  <c r="AL872" i="139" s="1"/>
  <c r="AJ856" i="139"/>
  <c r="AL856" i="139" s="1"/>
  <c r="AJ787" i="139"/>
  <c r="AL787" i="139" s="1"/>
  <c r="AL611" i="139"/>
  <c r="AJ515" i="139"/>
  <c r="AL515" i="139" s="1"/>
  <c r="AL359" i="139"/>
  <c r="AJ26" i="139"/>
  <c r="AL26" i="139" s="1"/>
  <c r="AL825" i="139"/>
  <c r="AJ655" i="139"/>
  <c r="AL655" i="139" s="1"/>
  <c r="AJ595" i="139"/>
  <c r="AL595" i="139" s="1"/>
  <c r="AL475" i="139"/>
  <c r="AJ367" i="139"/>
  <c r="AL367" i="139" s="1"/>
  <c r="AJ264" i="139"/>
  <c r="AL264" i="139" s="1"/>
  <c r="AL250" i="139"/>
  <c r="AJ246" i="139"/>
  <c r="AL246" i="139" s="1"/>
  <c r="AL807" i="139"/>
  <c r="AJ689" i="139"/>
  <c r="AL689" i="139" s="1"/>
  <c r="AL633" i="139"/>
  <c r="AJ576" i="139"/>
  <c r="AL576" i="139" s="1"/>
  <c r="AL523" i="139"/>
  <c r="AL262" i="139"/>
  <c r="AJ900" i="139"/>
  <c r="AL900" i="139" s="1"/>
  <c r="AL700" i="139"/>
  <c r="AJ884" i="139"/>
  <c r="AL884" i="139" s="1"/>
  <c r="AJ852" i="139"/>
  <c r="AL852" i="139" s="1"/>
  <c r="AL747" i="139"/>
  <c r="AL687" i="139"/>
  <c r="AL615" i="139"/>
  <c r="AL555" i="139"/>
  <c r="AJ431" i="139"/>
  <c r="AL431" i="139" s="1"/>
  <c r="AL371" i="139"/>
  <c r="AL82" i="139"/>
  <c r="AJ848" i="139"/>
  <c r="AL848" i="139" s="1"/>
  <c r="AL801" i="139"/>
  <c r="AL795" i="139"/>
  <c r="AL735" i="139"/>
  <c r="AL681" i="139"/>
  <c r="AL624" i="139"/>
  <c r="AL618" i="139"/>
  <c r="AJ880" i="139"/>
  <c r="AL880" i="139" s="1"/>
  <c r="AJ182" i="139"/>
  <c r="AL182" i="139" s="1"/>
  <c r="AJ817" i="139"/>
  <c r="AL817" i="139" s="1"/>
  <c r="AJ636" i="139"/>
  <c r="AL636" i="139" s="1"/>
  <c r="AL527" i="139"/>
  <c r="AL435" i="139"/>
  <c r="AL374" i="139"/>
  <c r="AL326" i="139"/>
  <c r="AL791" i="139"/>
  <c r="AL558" i="139"/>
  <c r="AL486" i="139"/>
  <c r="AL483" i="139"/>
  <c r="AL419" i="139"/>
  <c r="AL355" i="139"/>
  <c r="AL328" i="139"/>
  <c r="AL823" i="139"/>
  <c r="AL759" i="139"/>
  <c r="AL631" i="139"/>
  <c r="AL567" i="139"/>
  <c r="AL510" i="139"/>
  <c r="AL387" i="139"/>
  <c r="AJ253" i="139"/>
  <c r="AL253" i="139" s="1"/>
  <c r="AJ154" i="139"/>
  <c r="AL154" i="139" s="1"/>
  <c r="AJ90" i="139"/>
  <c r="AL90" i="139" s="1"/>
  <c r="AL763" i="139"/>
  <c r="AL699" i="139"/>
  <c r="AL375" i="139"/>
  <c r="AJ317" i="139"/>
  <c r="AL317" i="139" s="1"/>
  <c r="AJ298" i="139"/>
  <c r="AL298" i="139" s="1"/>
  <c r="AJ38" i="139"/>
  <c r="AL38" i="139" s="1"/>
  <c r="AL767" i="139"/>
  <c r="AL639" i="139"/>
  <c r="AL575" i="139"/>
  <c r="AL546" i="139"/>
  <c r="AL430" i="139"/>
  <c r="AL427" i="139"/>
  <c r="AL366" i="139"/>
  <c r="AL363" i="139"/>
  <c r="AL254" i="139"/>
  <c r="AL94" i="139"/>
  <c r="AL771" i="139"/>
  <c r="AL579" i="139"/>
  <c r="AL539" i="139"/>
  <c r="AL418" i="139"/>
  <c r="AL415" i="139"/>
  <c r="AL42" i="139"/>
  <c r="AL647" i="139"/>
  <c r="AL550" i="139"/>
  <c r="AL467" i="139"/>
  <c r="AL403" i="139"/>
  <c r="AL331" i="139"/>
  <c r="AL309" i="139"/>
  <c r="AJ226" i="139"/>
  <c r="AL226" i="139" s="1"/>
  <c r="AL164" i="139"/>
  <c r="AL63" i="139"/>
  <c r="AL54" i="139"/>
  <c r="AL779" i="139"/>
  <c r="AL455" i="139"/>
  <c r="AL391" i="139"/>
  <c r="AL230" i="139"/>
  <c r="AL554" i="139"/>
  <c r="AL522" i="139"/>
  <c r="AL495" i="139"/>
  <c r="AL446" i="139"/>
  <c r="AL382" i="139"/>
  <c r="AL379" i="139"/>
  <c r="AJ347" i="139"/>
  <c r="AL347" i="139" s="1"/>
  <c r="AJ279" i="139"/>
  <c r="AL279" i="139" s="1"/>
  <c r="AL261" i="139"/>
  <c r="AL188" i="139"/>
  <c r="AL185" i="139"/>
  <c r="AL127" i="139"/>
  <c r="AL121" i="139"/>
  <c r="AL306" i="139"/>
  <c r="AL233" i="139"/>
  <c r="AL145" i="139"/>
  <c r="AL142" i="139"/>
  <c r="AL136" i="139"/>
  <c r="AL78" i="139"/>
  <c r="AJ140" i="139"/>
  <c r="AL140" i="139" s="1"/>
  <c r="AL342" i="139"/>
  <c r="AL245" i="139"/>
  <c r="AL218" i="139"/>
  <c r="AL98" i="139"/>
  <c r="AL34" i="139"/>
  <c r="AL346" i="139"/>
  <c r="AL282" i="139"/>
  <c r="AL225" i="139"/>
  <c r="AL205" i="139"/>
  <c r="AL150" i="139"/>
  <c r="AL89" i="139"/>
  <c r="AL86" i="139"/>
  <c r="AL196" i="139"/>
  <c r="AL74" i="139"/>
  <c r="AL354" i="139"/>
  <c r="AL290" i="139"/>
  <c r="AL222" i="139"/>
  <c r="AL190" i="139"/>
  <c r="AL62" i="139"/>
  <c r="AL294" i="139"/>
  <c r="AL178" i="139"/>
  <c r="AL114" i="139"/>
  <c r="AL50" i="139"/>
  <c r="AL209" i="139"/>
  <c r="AL169" i="139"/>
  <c r="AL166" i="139"/>
  <c r="AL105" i="139"/>
  <c r="AL41" i="139"/>
  <c r="AD622" i="135"/>
  <c r="AE622" i="135" s="1"/>
  <c r="AD593" i="135"/>
  <c r="AE593" i="135" s="1"/>
  <c r="AD36" i="135"/>
  <c r="AE36" i="135" s="1"/>
  <c r="X36" i="135"/>
  <c r="AC18" i="135"/>
  <c r="AD18" i="135"/>
  <c r="AE18" i="135" s="1"/>
  <c r="X497" i="135"/>
  <c r="AD497" i="135"/>
  <c r="AE497" i="135" s="1"/>
  <c r="AD441" i="135"/>
  <c r="AE441" i="135" s="1"/>
  <c r="X441" i="135"/>
  <c r="AD248" i="135"/>
  <c r="AE248" i="135" s="1"/>
  <c r="AD931" i="135"/>
  <c r="AE931" i="135" s="1"/>
  <c r="AD911" i="135"/>
  <c r="AE911" i="135" s="1"/>
  <c r="AD899" i="135"/>
  <c r="AE899" i="135" s="1"/>
  <c r="AD895" i="135"/>
  <c r="AE895" i="135" s="1"/>
  <c r="AD879" i="135"/>
  <c r="AE879" i="135" s="1"/>
  <c r="AD859" i="135"/>
  <c r="AE859" i="135" s="1"/>
  <c r="AD818" i="135"/>
  <c r="AE818" i="135" s="1"/>
  <c r="AD804" i="135"/>
  <c r="AE804" i="135" s="1"/>
  <c r="AD722" i="135"/>
  <c r="AE722" i="135" s="1"/>
  <c r="AD668" i="135"/>
  <c r="AE668" i="135" s="1"/>
  <c r="X947" i="135"/>
  <c r="X943" i="135"/>
  <c r="X939" i="135"/>
  <c r="X935" i="135"/>
  <c r="X927" i="135"/>
  <c r="X923" i="135"/>
  <c r="X919" i="135"/>
  <c r="X915" i="135"/>
  <c r="X907" i="135"/>
  <c r="X903" i="135"/>
  <c r="X891" i="135"/>
  <c r="X887" i="135"/>
  <c r="X883" i="135"/>
  <c r="X875" i="135"/>
  <c r="X871" i="135"/>
  <c r="X867" i="135"/>
  <c r="X863" i="135"/>
  <c r="X850" i="135"/>
  <c r="X836" i="135"/>
  <c r="X827" i="135"/>
  <c r="X795" i="135"/>
  <c r="X786" i="135"/>
  <c r="X772" i="135"/>
  <c r="X763" i="135"/>
  <c r="X754" i="135"/>
  <c r="X740" i="135"/>
  <c r="X731" i="135"/>
  <c r="X708" i="135"/>
  <c r="X699" i="135"/>
  <c r="X690" i="135"/>
  <c r="AD679" i="135"/>
  <c r="AE679" i="135" s="1"/>
  <c r="X656" i="135"/>
  <c r="X617" i="135"/>
  <c r="AD601" i="135"/>
  <c r="AE601" i="135" s="1"/>
  <c r="AD579" i="135"/>
  <c r="AE579" i="135" s="1"/>
  <c r="AC579" i="135"/>
  <c r="AC571" i="135"/>
  <c r="AD540" i="135"/>
  <c r="AE540" i="135" s="1"/>
  <c r="AD500" i="135"/>
  <c r="AE500" i="135" s="1"/>
  <c r="AC499" i="135"/>
  <c r="X444" i="135"/>
  <c r="AD435" i="135"/>
  <c r="AE435" i="135" s="1"/>
  <c r="X435" i="135"/>
  <c r="AC398" i="135"/>
  <c r="AD222" i="135"/>
  <c r="AE222" i="135" s="1"/>
  <c r="X222" i="135"/>
  <c r="AD249" i="135"/>
  <c r="AE249" i="135" s="1"/>
  <c r="AC249" i="135"/>
  <c r="AD91" i="135"/>
  <c r="AE91" i="135" s="1"/>
  <c r="AC91" i="135"/>
  <c r="AC90" i="135"/>
  <c r="AD90" i="135"/>
  <c r="AE90" i="135" s="1"/>
  <c r="AC38" i="135"/>
  <c r="AD38" i="135"/>
  <c r="AE38" i="135" s="1"/>
  <c r="AD348" i="135"/>
  <c r="AE348" i="135" s="1"/>
  <c r="AD250" i="135"/>
  <c r="AE250" i="135" s="1"/>
  <c r="X250" i="135"/>
  <c r="AD136" i="135"/>
  <c r="AE136" i="135" s="1"/>
  <c r="X136" i="135"/>
  <c r="AD666" i="135"/>
  <c r="AE666" i="135" s="1"/>
  <c r="X666" i="135"/>
  <c r="X404" i="135"/>
  <c r="AD404" i="135"/>
  <c r="AE404" i="135" s="1"/>
  <c r="AD88" i="135"/>
  <c r="AE88" i="135" s="1"/>
  <c r="AC75" i="135"/>
  <c r="AD75" i="135"/>
  <c r="AE75" i="135" s="1"/>
  <c r="AD829" i="135"/>
  <c r="AE829" i="135" s="1"/>
  <c r="AD797" i="135"/>
  <c r="AE797" i="135" s="1"/>
  <c r="AD765" i="135"/>
  <c r="AE765" i="135" s="1"/>
  <c r="AD733" i="135"/>
  <c r="AE733" i="135" s="1"/>
  <c r="AD701" i="135"/>
  <c r="AE701" i="135" s="1"/>
  <c r="AD665" i="135"/>
  <c r="AE665" i="135" s="1"/>
  <c r="AD653" i="135"/>
  <c r="AE653" i="135" s="1"/>
  <c r="AD606" i="135"/>
  <c r="AE606" i="135" s="1"/>
  <c r="X606" i="135"/>
  <c r="AD597" i="135"/>
  <c r="AE597" i="135" s="1"/>
  <c r="AD589" i="135"/>
  <c r="AE589" i="135" s="1"/>
  <c r="AD576" i="135"/>
  <c r="AE576" i="135" s="1"/>
  <c r="AD561" i="135"/>
  <c r="AE561" i="135" s="1"/>
  <c r="AD554" i="135"/>
  <c r="AE554" i="135" s="1"/>
  <c r="X546" i="135"/>
  <c r="AD537" i="135"/>
  <c r="AE537" i="135" s="1"/>
  <c r="AD416" i="135"/>
  <c r="AE416" i="135" s="1"/>
  <c r="X416" i="135"/>
  <c r="AD360" i="135"/>
  <c r="AE360" i="135" s="1"/>
  <c r="X360" i="135"/>
  <c r="AD322" i="135"/>
  <c r="AE322" i="135" s="1"/>
  <c r="AD594" i="135"/>
  <c r="AE594" i="135" s="1"/>
  <c r="X594" i="135"/>
  <c r="AD775" i="135"/>
  <c r="AE775" i="135" s="1"/>
  <c r="AD515" i="135"/>
  <c r="AE515" i="135" s="1"/>
  <c r="AC515" i="135"/>
  <c r="AD628" i="135"/>
  <c r="AE628" i="135" s="1"/>
  <c r="AD613" i="135"/>
  <c r="AE613" i="135" s="1"/>
  <c r="AD514" i="135"/>
  <c r="AE514" i="135" s="1"/>
  <c r="X647" i="135"/>
  <c r="X620" i="135"/>
  <c r="X605" i="135"/>
  <c r="AD598" i="135"/>
  <c r="AE598" i="135" s="1"/>
  <c r="AD530" i="135"/>
  <c r="AE530" i="135" s="1"/>
  <c r="X530" i="135"/>
  <c r="AD470" i="135"/>
  <c r="AE470" i="135" s="1"/>
  <c r="AD415" i="135"/>
  <c r="AE415" i="135" s="1"/>
  <c r="AD414" i="135"/>
  <c r="AE414" i="135" s="1"/>
  <c r="AD578" i="135"/>
  <c r="AE578" i="135" s="1"/>
  <c r="AD688" i="135"/>
  <c r="AE688" i="135" s="1"/>
  <c r="AD833" i="135"/>
  <c r="AE833" i="135" s="1"/>
  <c r="AD801" i="135"/>
  <c r="AE801" i="135" s="1"/>
  <c r="AD769" i="135"/>
  <c r="AE769" i="135" s="1"/>
  <c r="AD737" i="135"/>
  <c r="AE737" i="135" s="1"/>
  <c r="AD705" i="135"/>
  <c r="AE705" i="135" s="1"/>
  <c r="AD686" i="135"/>
  <c r="AE686" i="135" s="1"/>
  <c r="X670" i="135"/>
  <c r="AD646" i="135"/>
  <c r="AE646" i="135" s="1"/>
  <c r="X633" i="135"/>
  <c r="AD604" i="135"/>
  <c r="AE604" i="135" s="1"/>
  <c r="AD536" i="135"/>
  <c r="AE536" i="135" s="1"/>
  <c r="AD529" i="135"/>
  <c r="AE529" i="135" s="1"/>
  <c r="X520" i="135"/>
  <c r="X512" i="135"/>
  <c r="AD512" i="135"/>
  <c r="AE512" i="135" s="1"/>
  <c r="AD494" i="135"/>
  <c r="AE494" i="135" s="1"/>
  <c r="AD485" i="135"/>
  <c r="AE485" i="135" s="1"/>
  <c r="AD478" i="135"/>
  <c r="AE478" i="135" s="1"/>
  <c r="X478" i="135"/>
  <c r="AC461" i="135"/>
  <c r="AD461" i="135"/>
  <c r="AE461" i="135" s="1"/>
  <c r="AC357" i="135"/>
  <c r="AD357" i="135"/>
  <c r="AE357" i="135" s="1"/>
  <c r="AD19" i="135"/>
  <c r="AE19" i="135" s="1"/>
  <c r="AC19" i="135"/>
  <c r="AD432" i="135"/>
  <c r="AE432" i="135" s="1"/>
  <c r="AD220" i="135"/>
  <c r="AE220" i="135" s="1"/>
  <c r="AD385" i="135"/>
  <c r="AE385" i="135" s="1"/>
  <c r="AD552" i="135"/>
  <c r="AE552" i="135" s="1"/>
  <c r="AD509" i="135"/>
  <c r="AE509" i="135" s="1"/>
  <c r="AD475" i="135"/>
  <c r="AE475" i="135" s="1"/>
  <c r="X391" i="135"/>
  <c r="AC333" i="135"/>
  <c r="AD333" i="135"/>
  <c r="AE333" i="135" s="1"/>
  <c r="X282" i="135"/>
  <c r="AD282" i="135"/>
  <c r="AE282" i="135" s="1"/>
  <c r="X510" i="135"/>
  <c r="AD476" i="135"/>
  <c r="AE476" i="135" s="1"/>
  <c r="X476" i="135"/>
  <c r="X437" i="135"/>
  <c r="X368" i="135"/>
  <c r="AC527" i="135"/>
  <c r="AD527" i="135"/>
  <c r="AE527" i="135" s="1"/>
  <c r="AD459" i="135"/>
  <c r="AE459" i="135" s="1"/>
  <c r="AC459" i="135"/>
  <c r="X412" i="135"/>
  <c r="AD412" i="135"/>
  <c r="AE412" i="135" s="1"/>
  <c r="AD608" i="135"/>
  <c r="AE608" i="135" s="1"/>
  <c r="AD618" i="135"/>
  <c r="AE618" i="135" s="1"/>
  <c r="AD566" i="135"/>
  <c r="AE566" i="135" s="1"/>
  <c r="AD426" i="135"/>
  <c r="AE426" i="135" s="1"/>
  <c r="X426" i="135"/>
  <c r="AD425" i="135"/>
  <c r="AE425" i="135" s="1"/>
  <c r="AD376" i="135"/>
  <c r="AE376" i="135" s="1"/>
  <c r="X376" i="135"/>
  <c r="AD293" i="135"/>
  <c r="AE293" i="135" s="1"/>
  <c r="AC591" i="135"/>
  <c r="AD591" i="135"/>
  <c r="AE591" i="135" s="1"/>
  <c r="X397" i="135"/>
  <c r="AD397" i="135"/>
  <c r="AE397" i="135" s="1"/>
  <c r="AD502" i="135"/>
  <c r="AE502" i="135" s="1"/>
  <c r="X502" i="135"/>
  <c r="AD845" i="135"/>
  <c r="AE845" i="135" s="1"/>
  <c r="AD813" i="135"/>
  <c r="AE813" i="135" s="1"/>
  <c r="AD781" i="135"/>
  <c r="AE781" i="135" s="1"/>
  <c r="AD749" i="135"/>
  <c r="AE749" i="135" s="1"/>
  <c r="AD717" i="135"/>
  <c r="AE717" i="135" s="1"/>
  <c r="X679" i="135"/>
  <c r="AD662" i="135"/>
  <c r="AE662" i="135" s="1"/>
  <c r="AD610" i="135"/>
  <c r="AE610" i="135" s="1"/>
  <c r="AD549" i="135"/>
  <c r="AE549" i="135" s="1"/>
  <c r="AD542" i="135"/>
  <c r="AE542" i="135" s="1"/>
  <c r="X542" i="135"/>
  <c r="X541" i="135"/>
  <c r="AD534" i="135"/>
  <c r="AE534" i="135" s="1"/>
  <c r="X500" i="135"/>
  <c r="AD473" i="135"/>
  <c r="AE473" i="135" s="1"/>
  <c r="AD446" i="135"/>
  <c r="AE446" i="135" s="1"/>
  <c r="X446" i="135"/>
  <c r="X399" i="135"/>
  <c r="X339" i="135"/>
  <c r="X315" i="135"/>
  <c r="AD294" i="135"/>
  <c r="AE294" i="135" s="1"/>
  <c r="AD614" i="135"/>
  <c r="AE614" i="135" s="1"/>
  <c r="AD550" i="135"/>
  <c r="AE550" i="135" s="1"/>
  <c r="AD486" i="135"/>
  <c r="AE486" i="135" s="1"/>
  <c r="AD297" i="135"/>
  <c r="AE297" i="135" s="1"/>
  <c r="AC297" i="135"/>
  <c r="AD602" i="135"/>
  <c r="AE602" i="135" s="1"/>
  <c r="AD538" i="135"/>
  <c r="AE538" i="135" s="1"/>
  <c r="AD474" i="135"/>
  <c r="AE474" i="135" s="1"/>
  <c r="AD312" i="135"/>
  <c r="AE312" i="135" s="1"/>
  <c r="X312" i="135"/>
  <c r="AD228" i="135"/>
  <c r="AE228" i="135" s="1"/>
  <c r="AD146" i="135"/>
  <c r="AE146" i="135" s="1"/>
  <c r="X129" i="135"/>
  <c r="AD129" i="135"/>
  <c r="AE129" i="135" s="1"/>
  <c r="AD582" i="135"/>
  <c r="AE582" i="135" s="1"/>
  <c r="AD518" i="135"/>
  <c r="AE518" i="135" s="1"/>
  <c r="AD448" i="135"/>
  <c r="AE448" i="135" s="1"/>
  <c r="AD389" i="135"/>
  <c r="AE389" i="135" s="1"/>
  <c r="AC345" i="135"/>
  <c r="AD345" i="135"/>
  <c r="AE345" i="135" s="1"/>
  <c r="AD318" i="135"/>
  <c r="AE318" i="135" s="1"/>
  <c r="AD291" i="135"/>
  <c r="AE291" i="135" s="1"/>
  <c r="X130" i="135"/>
  <c r="AD130" i="135"/>
  <c r="AE130" i="135" s="1"/>
  <c r="AD626" i="135"/>
  <c r="AE626" i="135" s="1"/>
  <c r="AD562" i="135"/>
  <c r="AE562" i="135" s="1"/>
  <c r="AD498" i="135"/>
  <c r="AE498" i="135" s="1"/>
  <c r="AD462" i="135"/>
  <c r="AE462" i="135" s="1"/>
  <c r="X442" i="135"/>
  <c r="AD442" i="135"/>
  <c r="AE442" i="135" s="1"/>
  <c r="AD434" i="135"/>
  <c r="AE434" i="135" s="1"/>
  <c r="AD423" i="135"/>
  <c r="AE423" i="135" s="1"/>
  <c r="AD405" i="135"/>
  <c r="AE405" i="135" s="1"/>
  <c r="AD396" i="135"/>
  <c r="AE396" i="135" s="1"/>
  <c r="X354" i="135"/>
  <c r="AD320" i="135"/>
  <c r="AE320" i="135" s="1"/>
  <c r="X320" i="135"/>
  <c r="X319" i="135"/>
  <c r="AD319" i="135"/>
  <c r="AE319" i="135" s="1"/>
  <c r="AC309" i="135"/>
  <c r="AD309" i="135"/>
  <c r="AE309" i="135" s="1"/>
  <c r="AD271" i="135"/>
  <c r="AE271" i="135" s="1"/>
  <c r="AC271" i="135"/>
  <c r="AD273" i="135"/>
  <c r="AE273" i="135" s="1"/>
  <c r="AC273" i="135"/>
  <c r="AD186" i="135"/>
  <c r="AE186" i="135" s="1"/>
  <c r="X186" i="135"/>
  <c r="X428" i="135"/>
  <c r="AD380" i="135"/>
  <c r="AE380" i="135" s="1"/>
  <c r="X380" i="135"/>
  <c r="AD372" i="135"/>
  <c r="AE372" i="135" s="1"/>
  <c r="X372" i="135"/>
  <c r="X371" i="135"/>
  <c r="AD371" i="135"/>
  <c r="AE371" i="135" s="1"/>
  <c r="X260" i="135"/>
  <c r="X173" i="135"/>
  <c r="AD173" i="135"/>
  <c r="AE173" i="135" s="1"/>
  <c r="AD455" i="135"/>
  <c r="AE455" i="135" s="1"/>
  <c r="AD379" i="135"/>
  <c r="AE379" i="135" s="1"/>
  <c r="AD285" i="135"/>
  <c r="AE285" i="135" s="1"/>
  <c r="AC285" i="135"/>
  <c r="AD270" i="135"/>
  <c r="AE270" i="135" s="1"/>
  <c r="AD157" i="135"/>
  <c r="AE157" i="135" s="1"/>
  <c r="AD288" i="135"/>
  <c r="AE288" i="135" s="1"/>
  <c r="X288" i="135"/>
  <c r="AD257" i="135"/>
  <c r="AE257" i="135" s="1"/>
  <c r="AC257" i="135"/>
  <c r="AD590" i="135"/>
  <c r="AE590" i="135" s="1"/>
  <c r="AD526" i="135"/>
  <c r="AE526" i="135" s="1"/>
  <c r="AD466" i="135"/>
  <c r="AE466" i="135" s="1"/>
  <c r="AD453" i="135"/>
  <c r="AE453" i="135" s="1"/>
  <c r="AD410" i="135"/>
  <c r="AE410" i="135" s="1"/>
  <c r="AC267" i="135"/>
  <c r="AD267" i="135"/>
  <c r="AE267" i="135" s="1"/>
  <c r="AD199" i="135"/>
  <c r="AE199" i="135" s="1"/>
  <c r="AD191" i="135"/>
  <c r="AE191" i="135" s="1"/>
  <c r="AD634" i="135"/>
  <c r="AE634" i="135" s="1"/>
  <c r="X614" i="135"/>
  <c r="AD570" i="135"/>
  <c r="AE570" i="135" s="1"/>
  <c r="X550" i="135"/>
  <c r="AD506" i="135"/>
  <c r="AE506" i="135" s="1"/>
  <c r="X486" i="135"/>
  <c r="AC418" i="135"/>
  <c r="AD394" i="135"/>
  <c r="AE394" i="135" s="1"/>
  <c r="X394" i="135"/>
  <c r="X326" i="135"/>
  <c r="AD316" i="135"/>
  <c r="AE316" i="135" s="1"/>
  <c r="AD281" i="135"/>
  <c r="AE281" i="135" s="1"/>
  <c r="AC281" i="135"/>
  <c r="X200" i="135"/>
  <c r="AD192" i="135"/>
  <c r="AE192" i="135" s="1"/>
  <c r="AD324" i="135"/>
  <c r="AE324" i="135" s="1"/>
  <c r="X324" i="135"/>
  <c r="AD274" i="135"/>
  <c r="AE274" i="135" s="1"/>
  <c r="AD232" i="135"/>
  <c r="AE232" i="135" s="1"/>
  <c r="X232" i="135"/>
  <c r="AD375" i="135"/>
  <c r="AE375" i="135" s="1"/>
  <c r="AD364" i="135"/>
  <c r="AE364" i="135" s="1"/>
  <c r="AD328" i="135"/>
  <c r="AE328" i="135" s="1"/>
  <c r="AD120" i="135"/>
  <c r="AE120" i="135" s="1"/>
  <c r="X120" i="135"/>
  <c r="AD408" i="135"/>
  <c r="AE408" i="135" s="1"/>
  <c r="AD340" i="135"/>
  <c r="AE340" i="135" s="1"/>
  <c r="AD278" i="135"/>
  <c r="AE278" i="135" s="1"/>
  <c r="AD256" i="135"/>
  <c r="AE256" i="135" s="1"/>
  <c r="AD218" i="135"/>
  <c r="AE218" i="135" s="1"/>
  <c r="X218" i="135"/>
  <c r="AD346" i="135"/>
  <c r="AE346" i="135" s="1"/>
  <c r="AD207" i="135"/>
  <c r="AE207" i="135" s="1"/>
  <c r="AC207" i="135"/>
  <c r="X122" i="135"/>
  <c r="AD122" i="135"/>
  <c r="AE122" i="135" s="1"/>
  <c r="AD113" i="135"/>
  <c r="AE113" i="135" s="1"/>
  <c r="AC113" i="135"/>
  <c r="X112" i="135"/>
  <c r="AD236" i="135"/>
  <c r="AE236" i="135" s="1"/>
  <c r="X236" i="135"/>
  <c r="AD61" i="135"/>
  <c r="AE61" i="135" s="1"/>
  <c r="AC61" i="135"/>
  <c r="AC253" i="135"/>
  <c r="AD253" i="135"/>
  <c r="AE253" i="135" s="1"/>
  <c r="X206" i="135"/>
  <c r="AD153" i="135"/>
  <c r="AE153" i="135" s="1"/>
  <c r="X153" i="135"/>
  <c r="AC62" i="135"/>
  <c r="AD62" i="135"/>
  <c r="AE62" i="135" s="1"/>
  <c r="AD178" i="135"/>
  <c r="AE178" i="135" s="1"/>
  <c r="X178" i="135"/>
  <c r="X166" i="135"/>
  <c r="AD166" i="135"/>
  <c r="AE166" i="135" s="1"/>
  <c r="AD152" i="135"/>
  <c r="AE152" i="135" s="1"/>
  <c r="AD252" i="135"/>
  <c r="AE252" i="135" s="1"/>
  <c r="AD417" i="135"/>
  <c r="AE417" i="135" s="1"/>
  <c r="AD361" i="135"/>
  <c r="AE361" i="135" s="1"/>
  <c r="AC361" i="135"/>
  <c r="AD344" i="135"/>
  <c r="AE344" i="135" s="1"/>
  <c r="AD338" i="135"/>
  <c r="AE338" i="135" s="1"/>
  <c r="AD331" i="135"/>
  <c r="AE331" i="135" s="1"/>
  <c r="AD311" i="135"/>
  <c r="AE311" i="135" s="1"/>
  <c r="AD284" i="135"/>
  <c r="AE284" i="135" s="1"/>
  <c r="AC203" i="135"/>
  <c r="AD203" i="135"/>
  <c r="AE203" i="135" s="1"/>
  <c r="AD176" i="135"/>
  <c r="AE176" i="135" s="1"/>
  <c r="AD139" i="135"/>
  <c r="AE139" i="135" s="1"/>
  <c r="X139" i="135"/>
  <c r="AD296" i="135"/>
  <c r="AE296" i="135" s="1"/>
  <c r="X274" i="135"/>
  <c r="AD224" i="135"/>
  <c r="AE224" i="135" s="1"/>
  <c r="X214" i="135"/>
  <c r="AD137" i="135"/>
  <c r="AE137" i="135" s="1"/>
  <c r="X137" i="135"/>
  <c r="AD332" i="135"/>
  <c r="AE332" i="135" s="1"/>
  <c r="AD292" i="135"/>
  <c r="AE292" i="135" s="1"/>
  <c r="AD272" i="135"/>
  <c r="AE272" i="135" s="1"/>
  <c r="AD208" i="135"/>
  <c r="AE208" i="135" s="1"/>
  <c r="AD169" i="135"/>
  <c r="AE169" i="135" s="1"/>
  <c r="X169" i="135"/>
  <c r="X150" i="135"/>
  <c r="AD150" i="135"/>
  <c r="AE150" i="135" s="1"/>
  <c r="X121" i="135"/>
  <c r="AD121" i="135"/>
  <c r="AE121" i="135" s="1"/>
  <c r="AD100" i="135"/>
  <c r="AE100" i="135" s="1"/>
  <c r="AD40" i="135"/>
  <c r="AE40" i="135" s="1"/>
  <c r="X40" i="135"/>
  <c r="AD276" i="135"/>
  <c r="AE276" i="135" s="1"/>
  <c r="AD212" i="135"/>
  <c r="AE212" i="135" s="1"/>
  <c r="AD165" i="135"/>
  <c r="AE165" i="135" s="1"/>
  <c r="X114" i="135"/>
  <c r="AD114" i="135"/>
  <c r="AE114" i="135" s="1"/>
  <c r="AD300" i="135"/>
  <c r="AE300" i="135" s="1"/>
  <c r="AD240" i="135"/>
  <c r="AE240" i="135" s="1"/>
  <c r="AD144" i="135"/>
  <c r="AE144" i="135" s="1"/>
  <c r="X133" i="135"/>
  <c r="AD133" i="135"/>
  <c r="AE133" i="135" s="1"/>
  <c r="AD132" i="135"/>
  <c r="AE132" i="135" s="1"/>
  <c r="AC78" i="135"/>
  <c r="AD78" i="135"/>
  <c r="AE78" i="135" s="1"/>
  <c r="AC49" i="135"/>
  <c r="AD268" i="135"/>
  <c r="AE268" i="135" s="1"/>
  <c r="AD204" i="135"/>
  <c r="AE204" i="135" s="1"/>
  <c r="AD163" i="135"/>
  <c r="AE163" i="135" s="1"/>
  <c r="AD76" i="135"/>
  <c r="AE76" i="135" s="1"/>
  <c r="AC50" i="135"/>
  <c r="AD50" i="135"/>
  <c r="AE50" i="135" s="1"/>
  <c r="AD188" i="135"/>
  <c r="AE188" i="135" s="1"/>
  <c r="AD65" i="135"/>
  <c r="AE65" i="135" s="1"/>
  <c r="AC65" i="135"/>
  <c r="AD308" i="135"/>
  <c r="AE308" i="135" s="1"/>
  <c r="AD280" i="135"/>
  <c r="AE280" i="135" s="1"/>
  <c r="AD266" i="135"/>
  <c r="AE266" i="135" s="1"/>
  <c r="AD216" i="135"/>
  <c r="AE216" i="135" s="1"/>
  <c r="AD160" i="135"/>
  <c r="AE160" i="135" s="1"/>
  <c r="AD103" i="135"/>
  <c r="AE103" i="135" s="1"/>
  <c r="AC66" i="135"/>
  <c r="AD66" i="135"/>
  <c r="AE66" i="135" s="1"/>
  <c r="AD64" i="135"/>
  <c r="AE64" i="135" s="1"/>
  <c r="AD352" i="135"/>
  <c r="AE352" i="135" s="1"/>
  <c r="X332" i="135"/>
  <c r="X292" i="135"/>
  <c r="X272" i="135"/>
  <c r="X258" i="135"/>
  <c r="AD244" i="135"/>
  <c r="AE244" i="135" s="1"/>
  <c r="X208" i="135"/>
  <c r="X194" i="135"/>
  <c r="AD179" i="135"/>
  <c r="AE179" i="135" s="1"/>
  <c r="X100" i="135"/>
  <c r="AD104" i="135"/>
  <c r="AE104" i="135" s="1"/>
  <c r="AC54" i="135"/>
  <c r="AD54" i="135"/>
  <c r="AE54" i="135" s="1"/>
  <c r="AC22" i="135"/>
  <c r="AD22" i="135"/>
  <c r="AE22" i="135" s="1"/>
  <c r="AD134" i="135"/>
  <c r="AE134" i="135" s="1"/>
  <c r="AD126" i="135"/>
  <c r="AE126" i="135" s="1"/>
  <c r="AD125" i="135"/>
  <c r="AE125" i="135" s="1"/>
  <c r="AD118" i="135"/>
  <c r="AE118" i="135" s="1"/>
  <c r="AD117" i="135"/>
  <c r="AE117" i="135" s="1"/>
  <c r="AC74" i="135"/>
  <c r="AD74" i="135"/>
  <c r="AE74" i="135" s="1"/>
  <c r="AD48" i="135"/>
  <c r="AE48" i="135" s="1"/>
  <c r="AC34" i="135"/>
  <c r="AD34" i="135"/>
  <c r="AE34" i="135" s="1"/>
  <c r="AD32" i="135"/>
  <c r="AE32" i="135" s="1"/>
  <c r="AC97" i="135"/>
  <c r="AC86" i="135"/>
  <c r="AD86" i="135"/>
  <c r="AE86" i="135" s="1"/>
  <c r="AD71" i="135"/>
  <c r="AE71" i="135" s="1"/>
  <c r="AD60" i="135"/>
  <c r="AE60" i="135" s="1"/>
  <c r="X108" i="135"/>
  <c r="AC98" i="135"/>
  <c r="AD98" i="135"/>
  <c r="AE98" i="135" s="1"/>
  <c r="X84" i="135"/>
  <c r="AD83" i="135"/>
  <c r="AE83" i="135" s="1"/>
  <c r="AD72" i="135"/>
  <c r="AE72" i="135" s="1"/>
  <c r="X28" i="135"/>
  <c r="AC46" i="135"/>
  <c r="AD46" i="135"/>
  <c r="AE46" i="135" s="1"/>
  <c r="AC30" i="135"/>
  <c r="AD30" i="135"/>
  <c r="AE30" i="135" s="1"/>
  <c r="AC58" i="135"/>
  <c r="AD58" i="135"/>
  <c r="AE58" i="135" s="1"/>
  <c r="AC70" i="135"/>
  <c r="AD70" i="135"/>
  <c r="AE70" i="135" s="1"/>
  <c r="AD44" i="135"/>
  <c r="AE44" i="135" s="1"/>
  <c r="AC82" i="135"/>
  <c r="AD82" i="135"/>
  <c r="AE82" i="135" s="1"/>
  <c r="AD56" i="135"/>
  <c r="AE56" i="135" s="1"/>
  <c r="AC26" i="135"/>
  <c r="AD26" i="135"/>
  <c r="AE26" i="135" s="1"/>
  <c r="AD24" i="135"/>
  <c r="AE24" i="135" s="1"/>
  <c r="AC94" i="135"/>
  <c r="AD94" i="135"/>
  <c r="AE94" i="135" s="1"/>
  <c r="AD79" i="135"/>
  <c r="AE79" i="135" s="1"/>
  <c r="AD68" i="135"/>
  <c r="AE68" i="135" s="1"/>
  <c r="X104" i="135"/>
  <c r="X92" i="135"/>
  <c r="AD80" i="135"/>
  <c r="AE80" i="135" s="1"/>
  <c r="AC53" i="135"/>
  <c r="AC42" i="135"/>
  <c r="AD42" i="135"/>
  <c r="AE42" i="135" s="1"/>
  <c r="X20" i="135"/>
  <c r="AD45" i="135"/>
  <c r="AE45" i="135" s="1"/>
  <c r="AD41" i="135"/>
  <c r="AE41" i="135" s="1"/>
  <c r="AD37" i="135"/>
  <c r="AE37" i="135" s="1"/>
  <c r="AD33" i="135"/>
  <c r="AE33" i="135" s="1"/>
  <c r="AD29" i="135"/>
  <c r="AE29" i="135" s="1"/>
  <c r="AD25" i="135"/>
  <c r="AE25" i="135" s="1"/>
  <c r="AD21" i="135"/>
  <c r="AE21" i="135" s="1"/>
  <c r="AD17" i="135"/>
  <c r="AE17" i="135" s="1"/>
  <c r="AS266" i="101" l="1"/>
  <c r="AS268" i="101"/>
  <c r="AS270" i="101"/>
  <c r="AS272" i="101"/>
  <c r="AS274" i="101"/>
  <c r="AS276" i="101"/>
  <c r="AS278" i="101"/>
  <c r="AS279" i="101"/>
  <c r="AS431" i="101"/>
  <c r="AS432" i="101" s="1"/>
  <c r="AS467" i="101"/>
  <c r="AS468" i="101"/>
  <c r="AS469" i="101"/>
  <c r="AS470" i="101"/>
  <c r="AS471" i="101"/>
  <c r="AS472" i="101"/>
  <c r="AS473" i="101"/>
  <c r="AS474" i="101"/>
  <c r="AS475" i="101"/>
  <c r="AS476" i="101"/>
  <c r="AS477" i="101"/>
  <c r="AS478" i="101"/>
  <c r="AS479" i="101"/>
  <c r="AS480" i="101"/>
  <c r="AS481" i="101"/>
  <c r="AS482" i="101"/>
  <c r="AS483" i="101"/>
  <c r="AS484" i="101"/>
  <c r="AS485" i="101"/>
  <c r="AS486" i="101"/>
  <c r="AS699" i="101"/>
  <c r="AS772" i="101"/>
  <c r="AS831" i="101"/>
  <c r="AS832" i="101"/>
  <c r="AS833" i="101"/>
  <c r="AS834" i="101"/>
  <c r="AS835" i="101"/>
  <c r="AS836" i="101"/>
  <c r="AS837" i="101"/>
  <c r="AS838" i="101"/>
  <c r="AS839" i="101"/>
  <c r="AS840" i="101"/>
  <c r="AS841" i="101"/>
  <c r="AS842" i="101"/>
  <c r="AS843" i="101"/>
  <c r="AS844" i="101"/>
  <c r="AS845" i="101"/>
  <c r="AS846" i="101"/>
  <c r="AS847" i="101"/>
  <c r="AS848" i="101"/>
  <c r="AS849" i="101"/>
  <c r="AS850" i="101"/>
  <c r="AS851" i="101"/>
  <c r="AS852" i="101"/>
  <c r="AS853" i="101"/>
  <c r="AS854" i="101"/>
  <c r="AS855" i="101"/>
  <c r="AS856" i="101"/>
  <c r="AS857" i="101"/>
  <c r="AS858" i="101"/>
  <c r="AS859" i="101"/>
  <c r="AS860" i="101"/>
  <c r="AS861" i="101"/>
  <c r="AS862" i="101"/>
  <c r="AS863" i="101"/>
  <c r="AS864" i="101"/>
  <c r="AS865" i="101"/>
  <c r="AS866" i="101"/>
  <c r="AS867" i="101"/>
  <c r="AS868" i="101"/>
  <c r="AS869" i="101"/>
  <c r="AS870" i="101"/>
  <c r="AS871" i="101"/>
  <c r="AS872" i="101"/>
  <c r="AS873" i="101"/>
  <c r="AS874" i="101"/>
  <c r="AS875" i="101"/>
  <c r="AS876" i="101"/>
  <c r="AS877" i="101"/>
  <c r="AS878" i="101"/>
  <c r="AS879" i="101"/>
  <c r="AS880" i="101"/>
  <c r="AS881" i="101"/>
  <c r="AS882" i="101"/>
  <c r="AS883" i="101"/>
  <c r="AS884" i="101"/>
  <c r="AS885" i="101"/>
  <c r="AS886" i="101"/>
  <c r="AS887" i="101"/>
  <c r="AS888" i="101"/>
  <c r="AS889" i="101"/>
  <c r="AS890" i="101"/>
  <c r="AS891" i="101"/>
  <c r="AS892" i="101"/>
  <c r="AS893" i="101"/>
  <c r="AS894" i="101"/>
  <c r="AS895" i="101"/>
  <c r="AS896" i="101"/>
  <c r="AS897" i="101"/>
  <c r="AS898" i="101"/>
  <c r="AS899" i="101"/>
  <c r="AS900" i="101"/>
  <c r="AS901" i="101"/>
  <c r="AS902" i="101"/>
  <c r="AS903" i="101"/>
  <c r="AS904" i="101"/>
  <c r="AS905" i="101"/>
  <c r="AS906" i="101"/>
  <c r="AS907" i="101"/>
  <c r="AS908" i="101"/>
  <c r="AS909" i="101"/>
  <c r="AS910" i="101"/>
  <c r="AS911" i="101"/>
  <c r="AS912" i="101"/>
  <c r="AS913" i="101"/>
  <c r="AS914" i="101"/>
  <c r="AS915" i="101"/>
  <c r="AS916" i="101"/>
  <c r="AS917" i="101"/>
  <c r="AS918" i="101"/>
  <c r="AS919" i="101"/>
  <c r="AS920" i="101"/>
  <c r="AS921" i="101"/>
  <c r="AS922" i="101"/>
  <c r="AS923" i="101"/>
  <c r="AS924" i="101"/>
  <c r="AS925" i="101"/>
  <c r="AS926" i="101"/>
  <c r="AS927" i="101"/>
  <c r="AS928" i="101"/>
  <c r="AS929" i="101"/>
  <c r="AS930" i="101"/>
  <c r="AS931" i="101"/>
  <c r="AS932" i="101"/>
  <c r="AS933" i="101"/>
  <c r="AS934" i="101"/>
  <c r="AS935" i="101"/>
  <c r="AS936" i="101"/>
  <c r="AS937" i="101"/>
  <c r="AS938" i="101"/>
  <c r="AS939" i="101"/>
  <c r="AS940" i="101"/>
  <c r="AS941" i="101"/>
  <c r="AS942" i="101"/>
  <c r="AS943" i="101"/>
  <c r="AS944" i="101"/>
  <c r="AS945" i="101"/>
  <c r="AS946" i="101"/>
  <c r="AS947" i="101"/>
  <c r="AS948" i="101"/>
  <c r="AS949" i="101"/>
  <c r="AS950" i="101"/>
  <c r="AS951" i="101"/>
  <c r="AS952" i="101"/>
  <c r="AS953" i="101"/>
  <c r="AS954" i="101"/>
  <c r="AS955" i="101"/>
  <c r="AS956" i="101"/>
  <c r="AS957" i="101"/>
  <c r="AS958" i="101"/>
  <c r="AS959" i="101"/>
  <c r="AS960" i="101"/>
  <c r="AS961" i="101"/>
  <c r="AS962" i="101"/>
  <c r="AS963" i="101"/>
  <c r="AS964" i="101"/>
  <c r="AS965" i="101"/>
  <c r="AS966" i="101"/>
  <c r="AS967" i="101"/>
  <c r="AS968" i="101"/>
  <c r="AS969" i="101"/>
  <c r="AS970" i="101"/>
  <c r="AS971" i="101"/>
  <c r="AS972" i="101"/>
  <c r="AS973" i="101"/>
  <c r="Z14" i="101"/>
  <c r="AG14" i="101"/>
  <c r="AM14" i="101"/>
  <c r="Z15" i="101"/>
  <c r="AG15" i="101"/>
  <c r="AM15" i="101"/>
  <c r="Z16" i="101"/>
  <c r="AG16" i="101"/>
  <c r="AM16" i="101"/>
  <c r="Z17" i="101"/>
  <c r="AG17" i="101"/>
  <c r="AM17" i="101"/>
  <c r="Z18" i="101"/>
  <c r="AG18" i="101"/>
  <c r="AM18" i="101"/>
  <c r="Z19" i="101"/>
  <c r="AG19" i="101"/>
  <c r="AM19" i="101"/>
  <c r="Z20" i="101"/>
  <c r="AG20" i="101"/>
  <c r="AM20" i="101"/>
  <c r="Z21" i="101"/>
  <c r="AG21" i="101"/>
  <c r="AM21" i="101"/>
  <c r="Z22" i="101"/>
  <c r="AG22" i="101"/>
  <c r="AM22" i="101"/>
  <c r="Z23" i="101"/>
  <c r="AG23" i="101"/>
  <c r="AM23" i="101"/>
  <c r="Z24" i="101"/>
  <c r="AG24" i="101"/>
  <c r="AM24" i="101"/>
  <c r="Z25" i="101"/>
  <c r="AG25" i="101"/>
  <c r="AM25" i="101"/>
  <c r="Z26" i="101"/>
  <c r="AG26" i="101"/>
  <c r="AM26" i="101"/>
  <c r="Z27" i="101"/>
  <c r="AG27" i="101"/>
  <c r="AM27" i="101"/>
  <c r="Z28" i="101"/>
  <c r="AG28" i="101"/>
  <c r="AM28" i="101"/>
  <c r="Z29" i="101"/>
  <c r="AG29" i="101"/>
  <c r="AM29" i="101"/>
  <c r="Z30" i="101"/>
  <c r="AG30" i="101"/>
  <c r="AM30" i="101"/>
  <c r="Z31" i="101"/>
  <c r="AG31" i="101"/>
  <c r="AM31" i="101"/>
  <c r="Z32" i="101"/>
  <c r="AG32" i="101"/>
  <c r="AM32" i="101"/>
  <c r="Z33" i="101"/>
  <c r="AG33" i="101"/>
  <c r="AM33" i="101"/>
  <c r="Z34" i="101"/>
  <c r="AG34" i="101"/>
  <c r="AM34" i="101"/>
  <c r="Z35" i="101"/>
  <c r="AG35" i="101"/>
  <c r="AM35" i="101"/>
  <c r="Z36" i="101"/>
  <c r="AG36" i="101"/>
  <c r="AM36" i="101"/>
  <c r="Z37" i="101"/>
  <c r="AG37" i="101"/>
  <c r="AM37" i="101"/>
  <c r="Z38" i="101"/>
  <c r="AG38" i="101"/>
  <c r="AM38" i="101"/>
  <c r="Z39" i="101"/>
  <c r="AG39" i="101"/>
  <c r="AM39" i="101"/>
  <c r="Z40" i="101"/>
  <c r="AG40" i="101"/>
  <c r="AM40" i="101"/>
  <c r="Z41" i="101"/>
  <c r="AG41" i="101"/>
  <c r="AM41" i="101"/>
  <c r="Z42" i="101"/>
  <c r="AG42" i="101"/>
  <c r="AM42" i="101"/>
  <c r="Z43" i="101"/>
  <c r="AG43" i="101"/>
  <c r="AM43" i="101"/>
  <c r="Z44" i="101"/>
  <c r="AG44" i="101"/>
  <c r="AM44" i="101"/>
  <c r="Z45" i="101"/>
  <c r="AG45" i="101"/>
  <c r="AM45" i="101"/>
  <c r="Z46" i="101"/>
  <c r="AG46" i="101"/>
  <c r="AM46" i="101"/>
  <c r="Z47" i="101"/>
  <c r="AG47" i="101"/>
  <c r="AM47" i="101"/>
  <c r="Z48" i="101"/>
  <c r="AG48" i="101"/>
  <c r="AM48" i="101"/>
  <c r="Z49" i="101"/>
  <c r="AG49" i="101"/>
  <c r="AM49" i="101"/>
  <c r="Z50" i="101"/>
  <c r="AG50" i="101"/>
  <c r="AM50" i="101"/>
  <c r="Z51" i="101"/>
  <c r="AG51" i="101"/>
  <c r="AM51" i="101"/>
  <c r="Z52" i="101"/>
  <c r="AG52" i="101"/>
  <c r="AM52" i="101"/>
  <c r="Z53" i="101"/>
  <c r="AG53" i="101"/>
  <c r="AM53" i="101"/>
  <c r="Z54" i="101"/>
  <c r="AG54" i="101"/>
  <c r="AM54" i="101"/>
  <c r="Z55" i="101"/>
  <c r="AG55" i="101"/>
  <c r="AM55" i="101"/>
  <c r="Z56" i="101"/>
  <c r="AG56" i="101"/>
  <c r="AM56" i="101"/>
  <c r="Z57" i="101"/>
  <c r="AG57" i="101"/>
  <c r="AM57" i="101"/>
  <c r="Z58" i="101"/>
  <c r="AG58" i="101"/>
  <c r="AM58" i="101"/>
  <c r="Z59" i="101"/>
  <c r="AG59" i="101"/>
  <c r="AM59" i="101"/>
  <c r="Z60" i="101"/>
  <c r="AG60" i="101"/>
  <c r="AM60" i="101"/>
  <c r="Z61" i="101"/>
  <c r="AG61" i="101"/>
  <c r="AM61" i="101"/>
  <c r="Z62" i="101"/>
  <c r="AG62" i="101"/>
  <c r="AH62" i="101"/>
  <c r="AH63" i="101" s="1"/>
  <c r="AH64" i="101" s="1"/>
  <c r="AH65" i="101" s="1"/>
  <c r="AH66" i="101" s="1"/>
  <c r="AH67" i="101" s="1"/>
  <c r="AH68" i="101" s="1"/>
  <c r="AH69" i="101" s="1"/>
  <c r="AH70" i="101" s="1"/>
  <c r="AH71" i="101" s="1"/>
  <c r="AH72" i="101" s="1"/>
  <c r="AH73" i="101" s="1"/>
  <c r="AH74" i="101" s="1"/>
  <c r="AH75" i="101" s="1"/>
  <c r="AH76" i="101" s="1"/>
  <c r="AH77" i="101" s="1"/>
  <c r="AH78" i="101" s="1"/>
  <c r="AH79" i="101" s="1"/>
  <c r="AH80" i="101" s="1"/>
  <c r="AH81" i="101" s="1"/>
  <c r="AH82" i="101" s="1"/>
  <c r="AH83" i="101" s="1"/>
  <c r="AH84" i="101" s="1"/>
  <c r="AH85" i="101" s="1"/>
  <c r="AH86" i="101" s="1"/>
  <c r="AH87" i="101" s="1"/>
  <c r="AH88" i="101" s="1"/>
  <c r="AH89" i="101" s="1"/>
  <c r="AH90" i="101" s="1"/>
  <c r="AH91" i="101" s="1"/>
  <c r="AH92" i="101" s="1"/>
  <c r="AH93" i="101" s="1"/>
  <c r="AH94" i="101" s="1"/>
  <c r="AH95" i="101" s="1"/>
  <c r="AH96" i="101" s="1"/>
  <c r="AH97" i="101" s="1"/>
  <c r="AH98" i="101" s="1"/>
  <c r="AH99" i="101" s="1"/>
  <c r="AH100" i="101" s="1"/>
  <c r="AH101" i="101" s="1"/>
  <c r="AH102" i="101" s="1"/>
  <c r="AH103" i="101" s="1"/>
  <c r="AH104" i="101" s="1"/>
  <c r="AH105" i="101" s="1"/>
  <c r="AH106" i="101" s="1"/>
  <c r="AH107" i="101" s="1"/>
  <c r="AH108" i="101" s="1"/>
  <c r="AH109" i="101" s="1"/>
  <c r="AM62" i="101"/>
  <c r="Z63" i="101"/>
  <c r="AG63" i="101"/>
  <c r="AM63" i="101"/>
  <c r="Z64" i="101"/>
  <c r="AG64" i="101"/>
  <c r="AM64" i="101"/>
  <c r="Z65" i="101"/>
  <c r="AG65" i="101"/>
  <c r="AM65" i="101"/>
  <c r="Z66" i="101"/>
  <c r="AG66" i="101"/>
  <c r="AM66" i="101"/>
  <c r="Z67" i="101"/>
  <c r="AG67" i="101"/>
  <c r="AM67" i="101"/>
  <c r="Z68" i="101"/>
  <c r="AG68" i="101"/>
  <c r="AM68" i="101"/>
  <c r="Z69" i="101"/>
  <c r="AG69" i="101"/>
  <c r="AM69" i="101"/>
  <c r="Z70" i="101"/>
  <c r="AG70" i="101"/>
  <c r="AM70" i="101"/>
  <c r="Z71" i="101"/>
  <c r="AG71" i="101"/>
  <c r="AM71" i="101"/>
  <c r="Z72" i="101"/>
  <c r="AG72" i="101"/>
  <c r="AM72" i="101"/>
  <c r="Z73" i="101"/>
  <c r="AG73" i="101"/>
  <c r="AM73" i="101"/>
  <c r="Z74" i="101"/>
  <c r="AG74" i="101"/>
  <c r="AM74" i="101"/>
  <c r="Z75" i="101"/>
  <c r="AG75" i="101"/>
  <c r="AM75" i="101"/>
  <c r="Z76" i="101"/>
  <c r="AG76" i="101"/>
  <c r="AM76" i="101"/>
  <c r="Z77" i="101"/>
  <c r="AG77" i="101"/>
  <c r="AM77" i="101"/>
  <c r="Z78" i="101"/>
  <c r="AG78" i="101"/>
  <c r="AM78" i="101"/>
  <c r="Z79" i="101"/>
  <c r="AG79" i="101"/>
  <c r="AM79" i="101"/>
  <c r="Z80" i="101"/>
  <c r="AG80" i="101"/>
  <c r="AM80" i="101"/>
  <c r="Z81" i="101"/>
  <c r="AG81" i="101"/>
  <c r="AM81" i="101"/>
  <c r="Z82" i="101"/>
  <c r="AG82" i="101"/>
  <c r="AM82" i="101"/>
  <c r="Z83" i="101"/>
  <c r="AG83" i="101"/>
  <c r="AM83" i="101"/>
  <c r="Z84" i="101"/>
  <c r="AG84" i="101"/>
  <c r="AM84" i="101"/>
  <c r="Z85" i="101"/>
  <c r="AG85" i="101"/>
  <c r="AM85" i="101"/>
  <c r="Z86" i="101"/>
  <c r="AG86" i="101"/>
  <c r="AM86" i="101"/>
  <c r="Z87" i="101"/>
  <c r="AG87" i="101"/>
  <c r="AM87" i="101"/>
  <c r="Z88" i="101"/>
  <c r="AG88" i="101"/>
  <c r="AM88" i="101"/>
  <c r="Z89" i="101"/>
  <c r="AG89" i="101"/>
  <c r="AM89" i="101"/>
  <c r="Z90" i="101"/>
  <c r="AG90" i="101"/>
  <c r="AM90" i="101"/>
  <c r="Z91" i="101"/>
  <c r="AG91" i="101"/>
  <c r="AM91" i="101"/>
  <c r="Z92" i="101"/>
  <c r="AG92" i="101"/>
  <c r="AM92" i="101"/>
  <c r="Z93" i="101"/>
  <c r="AG93" i="101"/>
  <c r="AM93" i="101"/>
  <c r="Z94" i="101"/>
  <c r="AG94" i="101"/>
  <c r="AM94" i="101"/>
  <c r="Z95" i="101"/>
  <c r="AG95" i="101"/>
  <c r="AM95" i="101"/>
  <c r="Z96" i="101"/>
  <c r="AG96" i="101"/>
  <c r="AM96" i="101"/>
  <c r="Z97" i="101"/>
  <c r="AG97" i="101"/>
  <c r="AM97" i="101"/>
  <c r="Z98" i="101"/>
  <c r="AG98" i="101"/>
  <c r="AM98" i="101"/>
  <c r="Z99" i="101"/>
  <c r="AG99" i="101"/>
  <c r="AM99" i="101"/>
  <c r="Z100" i="101"/>
  <c r="AG100" i="101"/>
  <c r="AM100" i="101"/>
  <c r="Z101" i="101"/>
  <c r="AG101" i="101"/>
  <c r="AM101" i="101"/>
  <c r="Z102" i="101"/>
  <c r="AG102" i="101"/>
  <c r="AM102" i="101"/>
  <c r="Z103" i="101"/>
  <c r="AG103" i="101"/>
  <c r="AM103" i="101"/>
  <c r="Z104" i="101"/>
  <c r="AG104" i="101"/>
  <c r="AM104" i="101"/>
  <c r="Z105" i="101"/>
  <c r="AG105" i="101"/>
  <c r="AM105" i="101"/>
  <c r="Z106" i="101"/>
  <c r="AG106" i="101"/>
  <c r="AM106" i="101"/>
  <c r="Z107" i="101"/>
  <c r="AG107" i="101"/>
  <c r="AM107" i="101"/>
  <c r="Z108" i="101"/>
  <c r="AG108" i="101"/>
  <c r="AM108" i="101"/>
  <c r="Z109" i="101"/>
  <c r="AG109" i="101"/>
  <c r="AM109" i="101"/>
  <c r="Z110" i="101"/>
  <c r="AG110" i="101"/>
  <c r="AM110" i="101"/>
  <c r="Z111" i="101"/>
  <c r="AG111" i="101"/>
  <c r="AH111" i="101"/>
  <c r="AH112" i="101" s="1"/>
  <c r="AH113" i="101" s="1"/>
  <c r="AH114" i="101" s="1"/>
  <c r="AH115" i="101" s="1"/>
  <c r="AH116" i="101" s="1"/>
  <c r="AH117" i="101" s="1"/>
  <c r="AH118" i="101" s="1"/>
  <c r="AH119" i="101" s="1"/>
  <c r="AH120" i="101" s="1"/>
  <c r="AH121" i="101" s="1"/>
  <c r="AH122" i="101" s="1"/>
  <c r="AH123" i="101" s="1"/>
  <c r="AH124" i="101" s="1"/>
  <c r="AH125" i="101" s="1"/>
  <c r="AH126" i="101" s="1"/>
  <c r="AH127" i="101" s="1"/>
  <c r="AH128" i="101" s="1"/>
  <c r="AH129" i="101" s="1"/>
  <c r="AH130" i="101" s="1"/>
  <c r="AH131" i="101" s="1"/>
  <c r="AH132" i="101" s="1"/>
  <c r="AH133" i="101" s="1"/>
  <c r="AH134" i="101" s="1"/>
  <c r="AH135" i="101" s="1"/>
  <c r="AH136" i="101" s="1"/>
  <c r="AH137" i="101" s="1"/>
  <c r="AH138" i="101" s="1"/>
  <c r="AH139" i="101" s="1"/>
  <c r="AH140" i="101" s="1"/>
  <c r="AH141" i="101" s="1"/>
  <c r="AH142" i="101" s="1"/>
  <c r="AH143" i="101" s="1"/>
  <c r="AH144" i="101" s="1"/>
  <c r="AH145" i="101" s="1"/>
  <c r="AH146" i="101" s="1"/>
  <c r="AH147" i="101" s="1"/>
  <c r="AH148" i="101" s="1"/>
  <c r="AH149" i="101" s="1"/>
  <c r="AH150" i="101" s="1"/>
  <c r="AH151" i="101" s="1"/>
  <c r="AH152" i="101" s="1"/>
  <c r="AH153" i="101" s="1"/>
  <c r="AH154" i="101" s="1"/>
  <c r="AH155" i="101" s="1"/>
  <c r="AH156" i="101" s="1"/>
  <c r="AH157" i="101" s="1"/>
  <c r="AH158" i="101" s="1"/>
  <c r="AH159" i="101" s="1"/>
  <c r="AH160" i="101" s="1"/>
  <c r="AM111" i="101"/>
  <c r="Z112" i="101"/>
  <c r="AG112" i="101"/>
  <c r="AM112" i="101"/>
  <c r="Z113" i="101"/>
  <c r="AG113" i="101"/>
  <c r="AM113" i="101"/>
  <c r="Z114" i="101"/>
  <c r="AG114" i="101"/>
  <c r="AM114" i="101"/>
  <c r="Z115" i="101"/>
  <c r="AG115" i="101"/>
  <c r="AM115" i="101"/>
  <c r="Z116" i="101"/>
  <c r="AG116" i="101"/>
  <c r="AM116" i="101"/>
  <c r="Z117" i="101"/>
  <c r="AG117" i="101"/>
  <c r="AM117" i="101"/>
  <c r="Z118" i="101"/>
  <c r="AG118" i="101"/>
  <c r="AM118" i="101"/>
  <c r="Z119" i="101"/>
  <c r="AG119" i="101"/>
  <c r="AM119" i="101"/>
  <c r="Z120" i="101"/>
  <c r="AG120" i="101"/>
  <c r="AM120" i="101"/>
  <c r="Z121" i="101"/>
  <c r="AG121" i="101"/>
  <c r="AM121" i="101"/>
  <c r="Z122" i="101"/>
  <c r="AG122" i="101"/>
  <c r="AM122" i="101"/>
  <c r="Z123" i="101"/>
  <c r="AG123" i="101"/>
  <c r="AM123" i="101"/>
  <c r="Z124" i="101"/>
  <c r="AG124" i="101"/>
  <c r="AM124" i="101"/>
  <c r="Z125" i="101"/>
  <c r="AG125" i="101"/>
  <c r="AM125" i="101"/>
  <c r="Z126" i="101"/>
  <c r="AG126" i="101"/>
  <c r="AM126" i="101"/>
  <c r="Z127" i="101"/>
  <c r="AG127" i="101"/>
  <c r="AM127" i="101"/>
  <c r="Z128" i="101"/>
  <c r="AG128" i="101"/>
  <c r="AM128" i="101"/>
  <c r="Z129" i="101"/>
  <c r="AG129" i="101"/>
  <c r="AM129" i="101"/>
  <c r="Z130" i="101"/>
  <c r="AG130" i="101"/>
  <c r="AM130" i="101"/>
  <c r="Z131" i="101"/>
  <c r="AG131" i="101"/>
  <c r="AM131" i="101"/>
  <c r="Z132" i="101"/>
  <c r="AG132" i="101"/>
  <c r="AM132" i="101"/>
  <c r="Z133" i="101"/>
  <c r="AG133" i="101"/>
  <c r="AM133" i="101"/>
  <c r="Z134" i="101"/>
  <c r="AG134" i="101"/>
  <c r="AM134" i="101"/>
  <c r="Z135" i="101"/>
  <c r="AG135" i="101"/>
  <c r="AM135" i="101"/>
  <c r="Z136" i="101"/>
  <c r="AG136" i="101"/>
  <c r="AM136" i="101"/>
  <c r="Z137" i="101"/>
  <c r="AG137" i="101"/>
  <c r="AM137" i="101"/>
  <c r="Z138" i="101"/>
  <c r="AG138" i="101"/>
  <c r="AM138" i="101"/>
  <c r="Z139" i="101"/>
  <c r="AG139" i="101"/>
  <c r="AM139" i="101"/>
  <c r="Z140" i="101"/>
  <c r="AG140" i="101"/>
  <c r="AM140" i="101"/>
  <c r="Z141" i="101"/>
  <c r="AG141" i="101"/>
  <c r="AM141" i="101"/>
  <c r="Z142" i="101"/>
  <c r="AG142" i="101"/>
  <c r="AM142" i="101"/>
  <c r="Z143" i="101"/>
  <c r="AG143" i="101"/>
  <c r="AM143" i="101"/>
  <c r="Z144" i="101"/>
  <c r="AG144" i="101"/>
  <c r="AM144" i="101"/>
  <c r="Z145" i="101"/>
  <c r="AG145" i="101"/>
  <c r="AM145" i="101"/>
  <c r="Z146" i="101"/>
  <c r="AG146" i="101"/>
  <c r="AM146" i="101"/>
  <c r="Z147" i="101"/>
  <c r="AG147" i="101"/>
  <c r="AM147" i="101"/>
  <c r="Z148" i="101"/>
  <c r="AG148" i="101"/>
  <c r="AM148" i="101"/>
  <c r="Z149" i="101"/>
  <c r="AG149" i="101"/>
  <c r="AM149" i="101"/>
  <c r="Z150" i="101"/>
  <c r="AG150" i="101"/>
  <c r="AM150" i="101"/>
  <c r="AG151" i="101"/>
  <c r="AM151" i="101"/>
  <c r="Z152" i="101"/>
  <c r="AG152" i="101"/>
  <c r="AM152" i="101"/>
  <c r="Z153" i="101"/>
  <c r="AG153" i="101"/>
  <c r="AM153" i="101"/>
  <c r="Z154" i="101"/>
  <c r="AG154" i="101"/>
  <c r="AM154" i="101"/>
  <c r="Z155" i="101"/>
  <c r="AG155" i="101"/>
  <c r="AM155" i="101"/>
  <c r="Z156" i="101"/>
  <c r="AG156" i="101"/>
  <c r="AM156" i="101"/>
  <c r="Z157" i="101"/>
  <c r="AG157" i="101"/>
  <c r="AM157" i="101"/>
  <c r="Z158" i="101"/>
  <c r="AG158" i="101"/>
  <c r="AM158" i="101"/>
  <c r="Z159" i="101"/>
  <c r="AG159" i="101"/>
  <c r="AM159" i="101"/>
  <c r="Z160" i="101"/>
  <c r="AG160" i="101"/>
  <c r="AM160" i="101"/>
  <c r="Z161" i="101"/>
  <c r="AG161" i="101"/>
  <c r="AM161" i="101"/>
  <c r="Z162" i="101"/>
  <c r="AG162" i="101"/>
  <c r="AH162" i="101"/>
  <c r="AH163" i="101" s="1"/>
  <c r="AH164" i="101" s="1"/>
  <c r="AH165" i="101" s="1"/>
  <c r="AH166" i="101" s="1"/>
  <c r="AH167" i="101" s="1"/>
  <c r="AH168" i="101" s="1"/>
  <c r="AH169" i="101" s="1"/>
  <c r="AH170" i="101" s="1"/>
  <c r="AH171" i="101" s="1"/>
  <c r="AH172" i="101" s="1"/>
  <c r="AH173" i="101" s="1"/>
  <c r="AH174" i="101" s="1"/>
  <c r="AH175" i="101" s="1"/>
  <c r="AH176" i="101" s="1"/>
  <c r="AH177" i="101" s="1"/>
  <c r="AH178" i="101" s="1"/>
  <c r="AH179" i="101" s="1"/>
  <c r="AH180" i="101" s="1"/>
  <c r="AH181" i="101" s="1"/>
  <c r="AH182" i="101" s="1"/>
  <c r="AH183" i="101" s="1"/>
  <c r="AH184" i="101" s="1"/>
  <c r="AH185" i="101" s="1"/>
  <c r="AH186" i="101" s="1"/>
  <c r="AH187" i="101" s="1"/>
  <c r="AH188" i="101" s="1"/>
  <c r="AH189" i="101" s="1"/>
  <c r="AH190" i="101" s="1"/>
  <c r="AH191" i="101" s="1"/>
  <c r="AH192" i="101" s="1"/>
  <c r="AH193" i="101" s="1"/>
  <c r="AH194" i="101" s="1"/>
  <c r="AH195" i="101" s="1"/>
  <c r="AH196" i="101" s="1"/>
  <c r="AH197" i="101" s="1"/>
  <c r="AH198" i="101" s="1"/>
  <c r="AH199" i="101" s="1"/>
  <c r="AH200" i="101" s="1"/>
  <c r="AH201" i="101" s="1"/>
  <c r="AH202" i="101" s="1"/>
  <c r="AH203" i="101" s="1"/>
  <c r="AH204" i="101" s="1"/>
  <c r="AH205" i="101" s="1"/>
  <c r="AH206" i="101" s="1"/>
  <c r="AH207" i="101" s="1"/>
  <c r="AH208" i="101" s="1"/>
  <c r="AH209" i="101" s="1"/>
  <c r="AM162" i="101"/>
  <c r="Z163" i="101"/>
  <c r="AG163" i="101"/>
  <c r="AM163" i="101"/>
  <c r="Z164" i="101"/>
  <c r="AG164" i="101"/>
  <c r="AM164" i="101"/>
  <c r="Z165" i="101"/>
  <c r="AG165" i="101"/>
  <c r="AM165" i="101"/>
  <c r="Z166" i="101"/>
  <c r="AG166" i="101"/>
  <c r="AM166" i="101"/>
  <c r="Z167" i="101"/>
  <c r="AG167" i="101"/>
  <c r="AM167" i="101"/>
  <c r="Z168" i="101"/>
  <c r="AG168" i="101"/>
  <c r="AM168" i="101"/>
  <c r="Z169" i="101"/>
  <c r="AG169" i="101"/>
  <c r="AM169" i="101"/>
  <c r="Z170" i="101"/>
  <c r="AG170" i="101"/>
  <c r="AM170" i="101"/>
  <c r="Z171" i="101"/>
  <c r="AG171" i="101"/>
  <c r="AM171" i="101"/>
  <c r="Z172" i="101"/>
  <c r="AG172" i="101"/>
  <c r="AM172" i="101"/>
  <c r="Z173" i="101"/>
  <c r="AG173" i="101"/>
  <c r="AM173" i="101"/>
  <c r="Z174" i="101"/>
  <c r="AG174" i="101"/>
  <c r="AM174" i="101"/>
  <c r="Z175" i="101"/>
  <c r="AG175" i="101"/>
  <c r="AM175" i="101"/>
  <c r="Z176" i="101"/>
  <c r="AG176" i="101"/>
  <c r="AM176" i="101"/>
  <c r="Z177" i="101"/>
  <c r="AG177" i="101"/>
  <c r="AM177" i="101"/>
  <c r="Z178" i="101"/>
  <c r="AG178" i="101"/>
  <c r="AM178" i="101"/>
  <c r="Z179" i="101"/>
  <c r="AG179" i="101"/>
  <c r="AM179" i="101"/>
  <c r="Z180" i="101"/>
  <c r="AG180" i="101"/>
  <c r="AM180" i="101"/>
  <c r="Z181" i="101"/>
  <c r="AG181" i="101"/>
  <c r="AM181" i="101"/>
  <c r="Z182" i="101"/>
  <c r="AG182" i="101"/>
  <c r="AM182" i="101"/>
  <c r="Z183" i="101"/>
  <c r="AG183" i="101"/>
  <c r="AM183" i="101"/>
  <c r="Z184" i="101"/>
  <c r="AG184" i="101"/>
  <c r="AM184" i="101"/>
  <c r="Z185" i="101"/>
  <c r="AG185" i="101"/>
  <c r="AM185" i="101"/>
  <c r="Z186" i="101"/>
  <c r="AG186" i="101"/>
  <c r="AM186" i="101"/>
  <c r="Z187" i="101"/>
  <c r="AG187" i="101"/>
  <c r="AM187" i="101"/>
  <c r="Z188" i="101"/>
  <c r="AG188" i="101"/>
  <c r="AM188" i="101"/>
  <c r="Z189" i="101"/>
  <c r="AG189" i="101"/>
  <c r="AM189" i="101"/>
  <c r="Z190" i="101"/>
  <c r="AG190" i="101"/>
  <c r="AM190" i="101"/>
  <c r="Z191" i="101"/>
  <c r="AG191" i="101"/>
  <c r="AM191" i="101"/>
  <c r="Z192" i="101"/>
  <c r="AG192" i="101"/>
  <c r="AM192" i="101"/>
  <c r="Z193" i="101"/>
  <c r="AG193" i="101"/>
  <c r="AM193" i="101"/>
  <c r="Z194" i="101"/>
  <c r="AG194" i="101"/>
  <c r="AM194" i="101"/>
  <c r="Z195" i="101"/>
  <c r="AG195" i="101"/>
  <c r="AM195" i="101"/>
  <c r="Z196" i="101"/>
  <c r="AG196" i="101"/>
  <c r="AM196" i="101"/>
  <c r="Z197" i="101"/>
  <c r="AG197" i="101"/>
  <c r="AM197" i="101"/>
  <c r="Z198" i="101"/>
  <c r="AG198" i="101"/>
  <c r="AM198" i="101"/>
  <c r="Z199" i="101"/>
  <c r="AG199" i="101"/>
  <c r="AM199" i="101"/>
  <c r="Z200" i="101"/>
  <c r="AG200" i="101"/>
  <c r="AM200" i="101"/>
  <c r="Z201" i="101"/>
  <c r="AG201" i="101"/>
  <c r="AM201" i="101"/>
  <c r="Z202" i="101"/>
  <c r="AG202" i="101"/>
  <c r="AM202" i="101"/>
  <c r="Z203" i="101"/>
  <c r="AG203" i="101"/>
  <c r="AM203" i="101"/>
  <c r="Z204" i="101"/>
  <c r="AG204" i="101"/>
  <c r="AM204" i="101"/>
  <c r="Z205" i="101"/>
  <c r="AG205" i="101"/>
  <c r="AM205" i="101"/>
  <c r="Z206" i="101"/>
  <c r="AG206" i="101"/>
  <c r="AM206" i="101"/>
  <c r="Z207" i="101"/>
  <c r="AG207" i="101"/>
  <c r="AM207" i="101"/>
  <c r="Z208" i="101"/>
  <c r="AG208" i="101"/>
  <c r="AM208" i="101"/>
  <c r="Z209" i="101"/>
  <c r="AG209" i="101"/>
  <c r="AM209" i="101"/>
  <c r="Z210" i="101"/>
  <c r="AG210" i="101"/>
  <c r="AM210" i="101"/>
  <c r="Z211" i="101"/>
  <c r="AG211" i="101"/>
  <c r="AH211" i="101"/>
  <c r="AH212" i="101" s="1"/>
  <c r="AH213" i="101" s="1"/>
  <c r="AH214" i="101" s="1"/>
  <c r="AH215" i="101" s="1"/>
  <c r="AH216" i="101" s="1"/>
  <c r="AH217" i="101" s="1"/>
  <c r="AH218" i="101" s="1"/>
  <c r="AH219" i="101" s="1"/>
  <c r="AH220" i="101" s="1"/>
  <c r="AH221" i="101" s="1"/>
  <c r="AH222" i="101" s="1"/>
  <c r="AH223" i="101" s="1"/>
  <c r="AH224" i="101" s="1"/>
  <c r="AH225" i="101" s="1"/>
  <c r="AH226" i="101" s="1"/>
  <c r="AH227" i="101" s="1"/>
  <c r="AH228" i="101" s="1"/>
  <c r="AH229" i="101" s="1"/>
  <c r="AH230" i="101" s="1"/>
  <c r="AH231" i="101" s="1"/>
  <c r="AH232" i="101" s="1"/>
  <c r="AH233" i="101" s="1"/>
  <c r="AH234" i="101" s="1"/>
  <c r="AH235" i="101" s="1"/>
  <c r="AH236" i="101" s="1"/>
  <c r="AH237" i="101" s="1"/>
  <c r="AH238" i="101" s="1"/>
  <c r="AH239" i="101" s="1"/>
  <c r="AH240" i="101" s="1"/>
  <c r="AH241" i="101" s="1"/>
  <c r="AH242" i="101" s="1"/>
  <c r="AH243" i="101" s="1"/>
  <c r="AH244" i="101" s="1"/>
  <c r="AH245" i="101" s="1"/>
  <c r="AH246" i="101" s="1"/>
  <c r="AH247" i="101" s="1"/>
  <c r="AH248" i="101" s="1"/>
  <c r="AH249" i="101" s="1"/>
  <c r="AH250" i="101" s="1"/>
  <c r="AH251" i="101" s="1"/>
  <c r="AH252" i="101" s="1"/>
  <c r="AH253" i="101" s="1"/>
  <c r="AH254" i="101" s="1"/>
  <c r="AH255" i="101" s="1"/>
  <c r="AH256" i="101" s="1"/>
  <c r="AM211" i="101"/>
  <c r="Z212" i="101"/>
  <c r="AG212" i="101"/>
  <c r="AM212" i="101"/>
  <c r="Z213" i="101"/>
  <c r="AG213" i="101"/>
  <c r="AM213" i="101"/>
  <c r="Z214" i="101"/>
  <c r="AG214" i="101"/>
  <c r="AM214" i="101"/>
  <c r="Z215" i="101"/>
  <c r="AG215" i="101"/>
  <c r="AM215" i="101"/>
  <c r="Z216" i="101"/>
  <c r="AG216" i="101"/>
  <c r="AM216" i="101"/>
  <c r="Z217" i="101"/>
  <c r="AG217" i="101"/>
  <c r="AM217" i="101"/>
  <c r="Z218" i="101"/>
  <c r="AG218" i="101"/>
  <c r="AM218" i="101"/>
  <c r="Z219" i="101"/>
  <c r="AG219" i="101"/>
  <c r="AM219" i="101"/>
  <c r="Z220" i="101"/>
  <c r="AG220" i="101"/>
  <c r="AM220" i="101"/>
  <c r="Z221" i="101"/>
  <c r="AG221" i="101"/>
  <c r="AM221" i="101"/>
  <c r="Z222" i="101"/>
  <c r="AG222" i="101"/>
  <c r="AM222" i="101"/>
  <c r="Z223" i="101"/>
  <c r="AG223" i="101"/>
  <c r="AM223" i="101"/>
  <c r="Z224" i="101"/>
  <c r="AG224" i="101"/>
  <c r="AM224" i="101"/>
  <c r="Z225" i="101"/>
  <c r="AG225" i="101"/>
  <c r="AM225" i="101"/>
  <c r="Z226" i="101"/>
  <c r="AG226" i="101"/>
  <c r="AM226" i="101"/>
  <c r="Z227" i="101"/>
  <c r="AG227" i="101"/>
  <c r="AM227" i="101"/>
  <c r="Z228" i="101"/>
  <c r="AG228" i="101"/>
  <c r="AM228" i="101"/>
  <c r="Z229" i="101"/>
  <c r="AG229" i="101"/>
  <c r="AM229" i="101"/>
  <c r="Z230" i="101"/>
  <c r="AG230" i="101"/>
  <c r="AM230" i="101"/>
  <c r="Z231" i="101"/>
  <c r="AG231" i="101"/>
  <c r="AM231" i="101"/>
  <c r="Z232" i="101"/>
  <c r="AG232" i="101"/>
  <c r="AM232" i="101"/>
  <c r="Z233" i="101"/>
  <c r="AG233" i="101"/>
  <c r="AM233" i="101"/>
  <c r="Z234" i="101"/>
  <c r="AG234" i="101"/>
  <c r="AM234" i="101"/>
  <c r="Z235" i="101"/>
  <c r="AG235" i="101"/>
  <c r="AM235" i="101"/>
  <c r="Z236" i="101"/>
  <c r="AG236" i="101"/>
  <c r="AM236" i="101"/>
  <c r="Z237" i="101"/>
  <c r="AG237" i="101"/>
  <c r="AM237" i="101"/>
  <c r="Z238" i="101"/>
  <c r="AG238" i="101"/>
  <c r="AM238" i="101"/>
  <c r="Z239" i="101"/>
  <c r="AG239" i="101"/>
  <c r="AM239" i="101"/>
  <c r="Z240" i="101"/>
  <c r="AG240" i="101"/>
  <c r="AM240" i="101"/>
  <c r="Z241" i="101"/>
  <c r="AG241" i="101"/>
  <c r="AM241" i="101"/>
  <c r="Z242" i="101"/>
  <c r="AG242" i="101"/>
  <c r="AM242" i="101"/>
  <c r="Z243" i="101"/>
  <c r="AG243" i="101"/>
  <c r="AM243" i="101"/>
  <c r="Z244" i="101"/>
  <c r="AG244" i="101"/>
  <c r="AM244" i="101"/>
  <c r="Z245" i="101"/>
  <c r="AG245" i="101"/>
  <c r="AM245" i="101"/>
  <c r="Z246" i="101"/>
  <c r="AG246" i="101"/>
  <c r="AM246" i="101"/>
  <c r="Z247" i="101"/>
  <c r="AG247" i="101"/>
  <c r="AM247" i="101"/>
  <c r="Z248" i="101"/>
  <c r="AG248" i="101"/>
  <c r="AM248" i="101"/>
  <c r="Z249" i="101"/>
  <c r="AG249" i="101"/>
  <c r="AM249" i="101"/>
  <c r="Z250" i="101"/>
  <c r="AG250" i="101"/>
  <c r="AM250" i="101"/>
  <c r="Z251" i="101"/>
  <c r="AG251" i="101"/>
  <c r="AM251" i="101"/>
  <c r="Z252" i="101"/>
  <c r="AG252" i="101"/>
  <c r="AM252" i="101"/>
  <c r="Z253" i="101"/>
  <c r="AG253" i="101"/>
  <c r="AM253" i="101"/>
  <c r="Z254" i="101"/>
  <c r="AG254" i="101"/>
  <c r="AM254" i="101"/>
  <c r="Z255" i="101"/>
  <c r="AG255" i="101"/>
  <c r="AM255" i="101"/>
  <c r="Z256" i="101"/>
  <c r="AG256" i="101"/>
  <c r="AM256" i="101"/>
  <c r="Z257" i="101"/>
  <c r="AG257" i="101"/>
  <c r="AM257" i="101"/>
  <c r="Z258" i="101"/>
  <c r="AG258" i="101"/>
  <c r="AH258" i="101"/>
  <c r="AH259" i="101" s="1"/>
  <c r="AH260" i="101" s="1"/>
  <c r="AH261" i="101" s="1"/>
  <c r="AH262" i="101" s="1"/>
  <c r="AH263" i="101" s="1"/>
  <c r="AH264" i="101" s="1"/>
  <c r="AH265" i="101" s="1"/>
  <c r="AH266" i="101" s="1"/>
  <c r="AH267" i="101" s="1"/>
  <c r="AH268" i="101" s="1"/>
  <c r="AH269" i="101" s="1"/>
  <c r="AH270" i="101" s="1"/>
  <c r="AH271" i="101" s="1"/>
  <c r="AH272" i="101" s="1"/>
  <c r="AH273" i="101" s="1"/>
  <c r="AH274" i="101" s="1"/>
  <c r="AH275" i="101" s="1"/>
  <c r="AH276" i="101" s="1"/>
  <c r="AH277" i="101" s="1"/>
  <c r="AH278" i="101" s="1"/>
  <c r="AH279" i="101" s="1"/>
  <c r="AM258" i="101"/>
  <c r="Z259" i="101"/>
  <c r="AG259" i="101"/>
  <c r="AM259" i="101"/>
  <c r="Z260" i="101"/>
  <c r="AG260" i="101"/>
  <c r="AM260" i="101"/>
  <c r="Z261" i="101"/>
  <c r="AG261" i="101"/>
  <c r="AM261" i="101"/>
  <c r="Z262" i="101"/>
  <c r="AG262" i="101"/>
  <c r="AM262" i="101"/>
  <c r="Z263" i="101"/>
  <c r="AG263" i="101"/>
  <c r="AM263" i="101"/>
  <c r="Z264" i="101"/>
  <c r="AG264" i="101"/>
  <c r="AM264" i="101"/>
  <c r="Z265" i="101"/>
  <c r="AG265" i="101"/>
  <c r="AM265" i="101"/>
  <c r="Z266" i="101"/>
  <c r="AG266" i="101"/>
  <c r="AM266" i="101"/>
  <c r="Z267" i="101"/>
  <c r="AG267" i="101"/>
  <c r="AM267" i="101"/>
  <c r="Z268" i="101"/>
  <c r="AG268" i="101"/>
  <c r="AM268" i="101"/>
  <c r="Z269" i="101"/>
  <c r="AG269" i="101"/>
  <c r="AM269" i="101"/>
  <c r="Z270" i="101"/>
  <c r="AG270" i="101"/>
  <c r="AM270" i="101"/>
  <c r="Z271" i="101"/>
  <c r="AG271" i="101"/>
  <c r="AM271" i="101"/>
  <c r="Z272" i="101"/>
  <c r="AG272" i="101"/>
  <c r="AM272" i="101"/>
  <c r="Z273" i="101"/>
  <c r="AG273" i="101"/>
  <c r="AM273" i="101"/>
  <c r="Z274" i="101"/>
  <c r="AG274" i="101"/>
  <c r="AM274" i="101"/>
  <c r="Z275" i="101"/>
  <c r="AG275" i="101"/>
  <c r="AM275" i="101"/>
  <c r="Z276" i="101"/>
  <c r="AG276" i="101"/>
  <c r="AM276" i="101"/>
  <c r="Z277" i="101"/>
  <c r="AG277" i="101"/>
  <c r="AM277" i="101"/>
  <c r="Z278" i="101"/>
  <c r="AG278" i="101"/>
  <c r="AM278" i="101"/>
  <c r="Z279" i="101"/>
  <c r="AG279" i="101"/>
  <c r="AM279" i="101"/>
  <c r="Z280" i="101"/>
  <c r="AG280" i="101"/>
  <c r="AM280" i="101"/>
  <c r="Z281" i="101"/>
  <c r="AG281" i="101"/>
  <c r="AH281" i="101"/>
  <c r="AH282" i="101" s="1"/>
  <c r="AH283" i="101" s="1"/>
  <c r="AH284" i="101" s="1"/>
  <c r="AH285" i="101" s="1"/>
  <c r="AH286" i="101" s="1"/>
  <c r="AH287" i="101" s="1"/>
  <c r="AH288" i="101" s="1"/>
  <c r="AH289" i="101" s="1"/>
  <c r="AH290" i="101" s="1"/>
  <c r="AH291" i="101" s="1"/>
  <c r="AH292" i="101" s="1"/>
  <c r="AH293" i="101" s="1"/>
  <c r="AH294" i="101" s="1"/>
  <c r="AH295" i="101" s="1"/>
  <c r="AH296" i="101" s="1"/>
  <c r="AH297" i="101" s="1"/>
  <c r="AH298" i="101" s="1"/>
  <c r="AH299" i="101" s="1"/>
  <c r="AH300" i="101" s="1"/>
  <c r="AH301" i="101" s="1"/>
  <c r="AH302" i="101" s="1"/>
  <c r="AH303" i="101" s="1"/>
  <c r="AH304" i="101" s="1"/>
  <c r="AH305" i="101" s="1"/>
  <c r="AH306" i="101" s="1"/>
  <c r="AH307" i="101" s="1"/>
  <c r="AH308" i="101" s="1"/>
  <c r="AH309" i="101" s="1"/>
  <c r="AH310" i="101" s="1"/>
  <c r="AH311" i="101" s="1"/>
  <c r="AH312" i="101" s="1"/>
  <c r="AH313" i="101" s="1"/>
  <c r="AH314" i="101" s="1"/>
  <c r="AH315" i="101" s="1"/>
  <c r="AH316" i="101" s="1"/>
  <c r="AH317" i="101" s="1"/>
  <c r="AH318" i="101" s="1"/>
  <c r="AH319" i="101" s="1"/>
  <c r="AH320" i="101" s="1"/>
  <c r="AH321" i="101" s="1"/>
  <c r="AH322" i="101" s="1"/>
  <c r="AH323" i="101" s="1"/>
  <c r="AH324" i="101" s="1"/>
  <c r="AH325" i="101" s="1"/>
  <c r="AH326" i="101" s="1"/>
  <c r="AH327" i="101" s="1"/>
  <c r="AH328" i="101" s="1"/>
  <c r="AH329" i="101" s="1"/>
  <c r="AH330" i="101" s="1"/>
  <c r="AM281" i="101"/>
  <c r="Z282" i="101"/>
  <c r="AG282" i="101"/>
  <c r="AM282" i="101"/>
  <c r="Z283" i="101"/>
  <c r="AG283" i="101"/>
  <c r="AM283" i="101"/>
  <c r="Z284" i="101"/>
  <c r="AG284" i="101"/>
  <c r="AM284" i="101"/>
  <c r="Z285" i="101"/>
  <c r="AG285" i="101"/>
  <c r="AM285" i="101"/>
  <c r="Z286" i="101"/>
  <c r="AG286" i="101"/>
  <c r="AM286" i="101"/>
  <c r="Z287" i="101"/>
  <c r="AG287" i="101"/>
  <c r="AM287" i="101"/>
  <c r="Z288" i="101"/>
  <c r="AG288" i="101"/>
  <c r="AM288" i="101"/>
  <c r="Z289" i="101"/>
  <c r="AG289" i="101"/>
  <c r="AM289" i="101"/>
  <c r="Z290" i="101"/>
  <c r="AG290" i="101"/>
  <c r="AM290" i="101"/>
  <c r="Z291" i="101"/>
  <c r="AG291" i="101"/>
  <c r="AM291" i="101"/>
  <c r="Z292" i="101"/>
  <c r="AG292" i="101"/>
  <c r="AM292" i="101"/>
  <c r="Z293" i="101"/>
  <c r="AG293" i="101"/>
  <c r="AM293" i="101"/>
  <c r="Z294" i="101"/>
  <c r="AG294" i="101"/>
  <c r="AM294" i="101"/>
  <c r="Z295" i="101"/>
  <c r="AG295" i="101"/>
  <c r="AM295" i="101"/>
  <c r="Z296" i="101"/>
  <c r="AG296" i="101"/>
  <c r="AM296" i="101"/>
  <c r="Z297" i="101"/>
  <c r="AG297" i="101"/>
  <c r="AM297" i="101"/>
  <c r="AG298" i="101"/>
  <c r="AM298" i="101"/>
  <c r="Z299" i="101"/>
  <c r="AG299" i="101"/>
  <c r="AM299" i="101"/>
  <c r="Z300" i="101"/>
  <c r="AG300" i="101"/>
  <c r="AM300" i="101"/>
  <c r="Z301" i="101"/>
  <c r="AG301" i="101"/>
  <c r="AM301" i="101"/>
  <c r="Z302" i="101"/>
  <c r="AG302" i="101"/>
  <c r="AM302" i="101"/>
  <c r="Z303" i="101"/>
  <c r="AG303" i="101"/>
  <c r="AM303" i="101"/>
  <c r="Z304" i="101"/>
  <c r="AG304" i="101"/>
  <c r="AM304" i="101"/>
  <c r="Z305" i="101"/>
  <c r="AG305" i="101"/>
  <c r="AM305" i="101"/>
  <c r="Z306" i="101"/>
  <c r="AG306" i="101"/>
  <c r="AM306" i="101"/>
  <c r="Z307" i="101"/>
  <c r="AG307" i="101"/>
  <c r="AM307" i="101"/>
  <c r="Z308" i="101"/>
  <c r="AG308" i="101"/>
  <c r="AM308" i="101"/>
  <c r="Z309" i="101"/>
  <c r="AG309" i="101"/>
  <c r="AM309" i="101"/>
  <c r="Z310" i="101"/>
  <c r="AG310" i="101"/>
  <c r="AM310" i="101"/>
  <c r="Z311" i="101"/>
  <c r="AG311" i="101"/>
  <c r="AM311" i="101"/>
  <c r="Z312" i="101"/>
  <c r="AG312" i="101"/>
  <c r="AM312" i="101"/>
  <c r="Z313" i="101"/>
  <c r="AG313" i="101"/>
  <c r="AM313" i="101"/>
  <c r="Z314" i="101"/>
  <c r="AG314" i="101"/>
  <c r="AM314" i="101"/>
  <c r="Z315" i="101"/>
  <c r="AG315" i="101"/>
  <c r="AM315" i="101"/>
  <c r="Z316" i="101"/>
  <c r="AG316" i="101"/>
  <c r="AM316" i="101"/>
  <c r="Z317" i="101"/>
  <c r="AG317" i="101"/>
  <c r="AM317" i="101"/>
  <c r="Z318" i="101"/>
  <c r="AG318" i="101"/>
  <c r="AM318" i="101"/>
  <c r="Z319" i="101"/>
  <c r="AG319" i="101"/>
  <c r="AM319" i="101"/>
  <c r="Z320" i="101"/>
  <c r="AG320" i="101"/>
  <c r="AM320" i="101"/>
  <c r="Z321" i="101"/>
  <c r="AG321" i="101"/>
  <c r="AM321" i="101"/>
  <c r="Z322" i="101"/>
  <c r="AG322" i="101"/>
  <c r="AM322" i="101"/>
  <c r="Z323" i="101"/>
  <c r="AG323" i="101"/>
  <c r="AM323" i="101"/>
  <c r="Z324" i="101"/>
  <c r="AG324" i="101"/>
  <c r="AM324" i="101"/>
  <c r="Z325" i="101"/>
  <c r="AG325" i="101"/>
  <c r="AM325" i="101"/>
  <c r="Z326" i="101"/>
  <c r="AG326" i="101"/>
  <c r="AM326" i="101"/>
  <c r="Z327" i="101"/>
  <c r="AG327" i="101"/>
  <c r="AM327" i="101"/>
  <c r="Z328" i="101"/>
  <c r="AG328" i="101"/>
  <c r="AM328" i="101"/>
  <c r="Z329" i="101"/>
  <c r="AG329" i="101"/>
  <c r="AM329" i="101"/>
  <c r="Z330" i="101"/>
  <c r="AG330" i="101"/>
  <c r="AM330" i="101"/>
  <c r="Z331" i="101"/>
  <c r="AG331" i="101"/>
  <c r="AM331" i="101"/>
  <c r="Z332" i="101"/>
  <c r="AG332" i="101"/>
  <c r="AH332" i="101"/>
  <c r="AH333" i="101" s="1"/>
  <c r="AH334" i="101" s="1"/>
  <c r="AH335" i="101" s="1"/>
  <c r="AH336" i="101" s="1"/>
  <c r="AH337" i="101" s="1"/>
  <c r="AH338" i="101" s="1"/>
  <c r="AH339" i="101" s="1"/>
  <c r="AH340" i="101" s="1"/>
  <c r="AH341" i="101" s="1"/>
  <c r="AH342" i="101" s="1"/>
  <c r="AH343" i="101" s="1"/>
  <c r="AH344" i="101" s="1"/>
  <c r="AH345" i="101" s="1"/>
  <c r="AH346" i="101" s="1"/>
  <c r="AH347" i="101" s="1"/>
  <c r="AH348" i="101" s="1"/>
  <c r="AH349" i="101" s="1"/>
  <c r="AH350" i="101" s="1"/>
  <c r="AH351" i="101" s="1"/>
  <c r="AH352" i="101" s="1"/>
  <c r="AH353" i="101" s="1"/>
  <c r="AH354" i="101" s="1"/>
  <c r="AH355" i="101" s="1"/>
  <c r="AH356" i="101" s="1"/>
  <c r="AH357" i="101" s="1"/>
  <c r="AH358" i="101" s="1"/>
  <c r="AH359" i="101" s="1"/>
  <c r="AH360" i="101" s="1"/>
  <c r="AH361" i="101" s="1"/>
  <c r="AH362" i="101" s="1"/>
  <c r="AH363" i="101" s="1"/>
  <c r="AH364" i="101" s="1"/>
  <c r="AH365" i="101" s="1"/>
  <c r="AH366" i="101" s="1"/>
  <c r="AH367" i="101" s="1"/>
  <c r="AH368" i="101" s="1"/>
  <c r="AH369" i="101" s="1"/>
  <c r="AH370" i="101" s="1"/>
  <c r="AH371" i="101" s="1"/>
  <c r="AH372" i="101" s="1"/>
  <c r="AH373" i="101" s="1"/>
  <c r="AH374" i="101" s="1"/>
  <c r="AH375" i="101" s="1"/>
  <c r="AH376" i="101" s="1"/>
  <c r="AH377" i="101" s="1"/>
  <c r="AH378" i="101" s="1"/>
  <c r="AH379" i="101" s="1"/>
  <c r="AH380" i="101" s="1"/>
  <c r="AH381" i="101" s="1"/>
  <c r="AH382" i="101" s="1"/>
  <c r="AM332" i="101"/>
  <c r="Z333" i="101"/>
  <c r="AG333" i="101"/>
  <c r="AM333" i="101"/>
  <c r="Z334" i="101"/>
  <c r="AG334" i="101"/>
  <c r="AM334" i="101"/>
  <c r="Z335" i="101"/>
  <c r="AG335" i="101"/>
  <c r="AM335" i="101"/>
  <c r="Z336" i="101"/>
  <c r="AG336" i="101"/>
  <c r="AM336" i="101"/>
  <c r="Z337" i="101"/>
  <c r="AG337" i="101"/>
  <c r="AM337" i="101"/>
  <c r="Z338" i="101"/>
  <c r="AG338" i="101"/>
  <c r="AM338" i="101"/>
  <c r="Z339" i="101"/>
  <c r="AG339" i="101"/>
  <c r="AM339" i="101"/>
  <c r="Z340" i="101"/>
  <c r="AG340" i="101"/>
  <c r="AM340" i="101"/>
  <c r="Z341" i="101"/>
  <c r="AG341" i="101"/>
  <c r="AM341" i="101"/>
  <c r="Z342" i="101"/>
  <c r="AG342" i="101"/>
  <c r="AM342" i="101"/>
  <c r="Z343" i="101"/>
  <c r="AG343" i="101"/>
  <c r="AM343" i="101"/>
  <c r="Z344" i="101"/>
  <c r="AG344" i="101"/>
  <c r="AM344" i="101"/>
  <c r="Z345" i="101"/>
  <c r="AG345" i="101"/>
  <c r="AM345" i="101"/>
  <c r="Z346" i="101"/>
  <c r="AG346" i="101"/>
  <c r="AM346" i="101"/>
  <c r="Z347" i="101"/>
  <c r="AG347" i="101"/>
  <c r="AM347" i="101"/>
  <c r="Z348" i="101"/>
  <c r="AG348" i="101"/>
  <c r="AM348" i="101"/>
  <c r="Z349" i="101"/>
  <c r="AG349" i="101"/>
  <c r="AM349" i="101"/>
  <c r="Z350" i="101"/>
  <c r="AG350" i="101"/>
  <c r="AM350" i="101"/>
  <c r="Z351" i="101"/>
  <c r="AG351" i="101"/>
  <c r="AM351" i="101"/>
  <c r="Z352" i="101"/>
  <c r="AG352" i="101"/>
  <c r="AM352" i="101"/>
  <c r="Z353" i="101"/>
  <c r="AG353" i="101"/>
  <c r="AM353" i="101"/>
  <c r="Z354" i="101"/>
  <c r="AG354" i="101"/>
  <c r="AM354" i="101"/>
  <c r="Z355" i="101"/>
  <c r="AG355" i="101"/>
  <c r="AM355" i="101"/>
  <c r="Z356" i="101"/>
  <c r="AG356" i="101"/>
  <c r="AM356" i="101"/>
  <c r="Z357" i="101"/>
  <c r="AG357" i="101"/>
  <c r="AM357" i="101"/>
  <c r="Z358" i="101"/>
  <c r="AG358" i="101"/>
  <c r="AM358" i="101"/>
  <c r="Z359" i="101"/>
  <c r="AG359" i="101"/>
  <c r="AM359" i="101"/>
  <c r="Z360" i="101"/>
  <c r="AG360" i="101"/>
  <c r="AM360" i="101"/>
  <c r="Z361" i="101"/>
  <c r="AG361" i="101"/>
  <c r="AM361" i="101"/>
  <c r="Z362" i="101"/>
  <c r="AG362" i="101"/>
  <c r="AM362" i="101"/>
  <c r="Z363" i="101"/>
  <c r="AG363" i="101"/>
  <c r="AM363" i="101"/>
  <c r="Z364" i="101"/>
  <c r="AG364" i="101"/>
  <c r="AM364" i="101"/>
  <c r="Z365" i="101"/>
  <c r="AG365" i="101"/>
  <c r="AM365" i="101"/>
  <c r="Z366" i="101"/>
  <c r="AG366" i="101"/>
  <c r="AM366" i="101"/>
  <c r="Z367" i="101"/>
  <c r="AG367" i="101"/>
  <c r="AM367" i="101"/>
  <c r="Z368" i="101"/>
  <c r="AG368" i="101"/>
  <c r="AM368" i="101"/>
  <c r="Z369" i="101"/>
  <c r="AG369" i="101"/>
  <c r="AM369" i="101"/>
  <c r="Z370" i="101"/>
  <c r="AG370" i="101"/>
  <c r="AM370" i="101"/>
  <c r="Z371" i="101"/>
  <c r="AG371" i="101"/>
  <c r="AM371" i="101"/>
  <c r="Z372" i="101"/>
  <c r="AG372" i="101"/>
  <c r="AM372" i="101"/>
  <c r="Z373" i="101"/>
  <c r="AG373" i="101"/>
  <c r="AM373" i="101"/>
  <c r="Z374" i="101"/>
  <c r="AG374" i="101"/>
  <c r="AM374" i="101"/>
  <c r="Z375" i="101"/>
  <c r="AG375" i="101"/>
  <c r="AM375" i="101"/>
  <c r="Z376" i="101"/>
  <c r="AG376" i="101"/>
  <c r="AM376" i="101"/>
  <c r="Z377" i="101"/>
  <c r="AG377" i="101"/>
  <c r="AM377" i="101"/>
  <c r="Z378" i="101"/>
  <c r="AG378" i="101"/>
  <c r="AM378" i="101"/>
  <c r="Z379" i="101"/>
  <c r="AG379" i="101"/>
  <c r="AM379" i="101"/>
  <c r="Z380" i="101"/>
  <c r="AG380" i="101"/>
  <c r="AM380" i="101"/>
  <c r="Z381" i="101"/>
  <c r="AG381" i="101"/>
  <c r="AM381" i="101"/>
  <c r="Z382" i="101"/>
  <c r="AG382" i="101"/>
  <c r="AM382" i="101"/>
  <c r="Z383" i="101"/>
  <c r="AG383" i="101"/>
  <c r="AM383" i="101"/>
  <c r="Z384" i="101"/>
  <c r="AG384" i="101"/>
  <c r="AH384" i="101"/>
  <c r="AH385" i="101" s="1"/>
  <c r="AH386" i="101" s="1"/>
  <c r="AH387" i="101" s="1"/>
  <c r="AH388" i="101" s="1"/>
  <c r="AH389" i="101" s="1"/>
  <c r="AH390" i="101" s="1"/>
  <c r="AH391" i="101" s="1"/>
  <c r="AH392" i="101" s="1"/>
  <c r="AH393" i="101" s="1"/>
  <c r="AH394" i="101" s="1"/>
  <c r="AH395" i="101" s="1"/>
  <c r="AH396" i="101" s="1"/>
  <c r="AH397" i="101" s="1"/>
  <c r="AH398" i="101" s="1"/>
  <c r="AH399" i="101" s="1"/>
  <c r="AH400" i="101" s="1"/>
  <c r="AH401" i="101" s="1"/>
  <c r="AH402" i="101" s="1"/>
  <c r="AH403" i="101" s="1"/>
  <c r="AH404" i="101" s="1"/>
  <c r="AH405" i="101" s="1"/>
  <c r="AH406" i="101" s="1"/>
  <c r="AH407" i="101" s="1"/>
  <c r="AH408" i="101" s="1"/>
  <c r="AH409" i="101" s="1"/>
  <c r="AH410" i="101" s="1"/>
  <c r="AH411" i="101" s="1"/>
  <c r="AH412" i="101" s="1"/>
  <c r="AH413" i="101" s="1"/>
  <c r="AH414" i="101" s="1"/>
  <c r="AH415" i="101" s="1"/>
  <c r="AH416" i="101" s="1"/>
  <c r="AM384" i="101"/>
  <c r="Z385" i="101"/>
  <c r="AG385" i="101"/>
  <c r="AM385" i="101"/>
  <c r="Z386" i="101"/>
  <c r="AG386" i="101"/>
  <c r="AM386" i="101"/>
  <c r="Z387" i="101"/>
  <c r="AG387" i="101"/>
  <c r="AM387" i="101"/>
  <c r="Z388" i="101"/>
  <c r="AG388" i="101"/>
  <c r="AM388" i="101"/>
  <c r="Z389" i="101"/>
  <c r="AG389" i="101"/>
  <c r="AM389" i="101"/>
  <c r="Z390" i="101"/>
  <c r="AG390" i="101"/>
  <c r="AM390" i="101"/>
  <c r="Z391" i="101"/>
  <c r="AG391" i="101"/>
  <c r="AM391" i="101"/>
  <c r="Z392" i="101"/>
  <c r="AG392" i="101"/>
  <c r="AM392" i="101"/>
  <c r="Z393" i="101"/>
  <c r="AG393" i="101"/>
  <c r="AM393" i="101"/>
  <c r="Z394" i="101"/>
  <c r="AG394" i="101"/>
  <c r="AM394" i="101"/>
  <c r="Z395" i="101"/>
  <c r="AG395" i="101"/>
  <c r="AM395" i="101"/>
  <c r="Z396" i="101"/>
  <c r="AG396" i="101"/>
  <c r="AM396" i="101"/>
  <c r="Z397" i="101"/>
  <c r="AG397" i="101"/>
  <c r="AM397" i="101"/>
  <c r="Z398" i="101"/>
  <c r="AG398" i="101"/>
  <c r="AM398" i="101"/>
  <c r="Z399" i="101"/>
  <c r="AG399" i="101"/>
  <c r="AM399" i="101"/>
  <c r="Z400" i="101"/>
  <c r="AG400" i="101"/>
  <c r="AM400" i="101"/>
  <c r="Z401" i="101"/>
  <c r="AG401" i="101"/>
  <c r="AM401" i="101"/>
  <c r="Z402" i="101"/>
  <c r="AG402" i="101"/>
  <c r="AM402" i="101"/>
  <c r="Z403" i="101"/>
  <c r="AG403" i="101"/>
  <c r="AM403" i="101"/>
  <c r="Z404" i="101"/>
  <c r="AG404" i="101"/>
  <c r="AM404" i="101"/>
  <c r="Z405" i="101"/>
  <c r="AG405" i="101"/>
  <c r="AM405" i="101"/>
  <c r="Z406" i="101"/>
  <c r="AG406" i="101"/>
  <c r="AM406" i="101"/>
  <c r="Z407" i="101"/>
  <c r="AG407" i="101"/>
  <c r="AM407" i="101"/>
  <c r="Z408" i="101"/>
  <c r="AG408" i="101"/>
  <c r="AM408" i="101"/>
  <c r="Z409" i="101"/>
  <c r="AG409" i="101"/>
  <c r="AM409" i="101"/>
  <c r="Z410" i="101"/>
  <c r="AG410" i="101"/>
  <c r="AM410" i="101"/>
  <c r="Z411" i="101"/>
  <c r="AG411" i="101"/>
  <c r="AM411" i="101"/>
  <c r="Z412" i="101"/>
  <c r="AG412" i="101"/>
  <c r="AM412" i="101"/>
  <c r="Z413" i="101"/>
  <c r="AG413" i="101"/>
  <c r="AM413" i="101"/>
  <c r="Z414" i="101"/>
  <c r="AG414" i="101"/>
  <c r="AM414" i="101"/>
  <c r="Z415" i="101"/>
  <c r="AG415" i="101"/>
  <c r="AM415" i="101"/>
  <c r="Z416" i="101"/>
  <c r="AG416" i="101"/>
  <c r="AM416" i="101"/>
  <c r="Z417" i="101"/>
  <c r="AG417" i="101"/>
  <c r="AM417" i="101"/>
  <c r="Z418" i="101"/>
  <c r="AG418" i="101"/>
  <c r="AH418" i="101"/>
  <c r="AH419" i="101" s="1"/>
  <c r="AH420" i="101" s="1"/>
  <c r="AH421" i="101" s="1"/>
  <c r="AH422" i="101" s="1"/>
  <c r="AH423" i="101" s="1"/>
  <c r="AH424" i="101" s="1"/>
  <c r="AH425" i="101" s="1"/>
  <c r="AH426" i="101" s="1"/>
  <c r="AH427" i="101" s="1"/>
  <c r="AH428" i="101" s="1"/>
  <c r="AH429" i="101" s="1"/>
  <c r="AH430" i="101" s="1"/>
  <c r="AH431" i="101" s="1"/>
  <c r="AH432" i="101" s="1"/>
  <c r="AH433" i="101" s="1"/>
  <c r="AH434" i="101" s="1"/>
  <c r="AH435" i="101" s="1"/>
  <c r="AH436" i="101" s="1"/>
  <c r="AH437" i="101" s="1"/>
  <c r="AH438" i="101" s="1"/>
  <c r="AH439" i="101" s="1"/>
  <c r="AH440" i="101" s="1"/>
  <c r="AH441" i="101" s="1"/>
  <c r="AH442" i="101" s="1"/>
  <c r="AH443" i="101" s="1"/>
  <c r="AH444" i="101" s="1"/>
  <c r="AH445" i="101" s="1"/>
  <c r="AH446" i="101" s="1"/>
  <c r="AH447" i="101" s="1"/>
  <c r="AH448" i="101" s="1"/>
  <c r="AH449" i="101" s="1"/>
  <c r="AH450" i="101" s="1"/>
  <c r="AH451" i="101" s="1"/>
  <c r="AH452" i="101" s="1"/>
  <c r="AH453" i="101" s="1"/>
  <c r="AH454" i="101" s="1"/>
  <c r="AH455" i="101" s="1"/>
  <c r="AH456" i="101" s="1"/>
  <c r="AH457" i="101" s="1"/>
  <c r="AH458" i="101" s="1"/>
  <c r="AH459" i="101" s="1"/>
  <c r="AH460" i="101" s="1"/>
  <c r="AH461" i="101" s="1"/>
  <c r="AH462" i="101" s="1"/>
  <c r="AH463" i="101" s="1"/>
  <c r="AH464" i="101" s="1"/>
  <c r="AH465" i="101" s="1"/>
  <c r="AH466" i="101" s="1"/>
  <c r="AH467" i="101" s="1"/>
  <c r="AH468" i="101" s="1"/>
  <c r="AH469" i="101" s="1"/>
  <c r="AM418" i="101"/>
  <c r="Z419" i="101"/>
  <c r="AG419" i="101"/>
  <c r="AM419" i="101"/>
  <c r="Z420" i="101"/>
  <c r="AG420" i="101"/>
  <c r="AM420" i="101"/>
  <c r="Z421" i="101"/>
  <c r="AG421" i="101"/>
  <c r="AM421" i="101"/>
  <c r="Z422" i="101"/>
  <c r="AG422" i="101"/>
  <c r="AM422" i="101"/>
  <c r="Z423" i="101"/>
  <c r="AG423" i="101"/>
  <c r="AM423" i="101"/>
  <c r="Z424" i="101"/>
  <c r="AG424" i="101"/>
  <c r="AM424" i="101"/>
  <c r="Z425" i="101"/>
  <c r="AG425" i="101"/>
  <c r="AM425" i="101"/>
  <c r="Z426" i="101"/>
  <c r="AG426" i="101"/>
  <c r="AM426" i="101"/>
  <c r="Z427" i="101"/>
  <c r="AG427" i="101"/>
  <c r="AM427" i="101"/>
  <c r="Z428" i="101"/>
  <c r="AG428" i="101"/>
  <c r="AM428" i="101"/>
  <c r="Z429" i="101"/>
  <c r="AG429" i="101"/>
  <c r="AM429" i="101"/>
  <c r="Z430" i="101"/>
  <c r="AG430" i="101"/>
  <c r="AM430" i="101"/>
  <c r="Z431" i="101"/>
  <c r="AG431" i="101"/>
  <c r="AM431" i="101"/>
  <c r="Z432" i="101"/>
  <c r="AG432" i="101"/>
  <c r="AM432" i="101"/>
  <c r="Z433" i="101"/>
  <c r="AG433" i="101"/>
  <c r="AM433" i="101"/>
  <c r="Z434" i="101"/>
  <c r="AG434" i="101"/>
  <c r="AM434" i="101"/>
  <c r="Z435" i="101"/>
  <c r="AG435" i="101"/>
  <c r="AM435" i="101"/>
  <c r="Z436" i="101"/>
  <c r="AG436" i="101"/>
  <c r="AM436" i="101"/>
  <c r="Z437" i="101"/>
  <c r="AG437" i="101"/>
  <c r="AM437" i="101"/>
  <c r="Z438" i="101"/>
  <c r="AG438" i="101"/>
  <c r="AM438" i="101"/>
  <c r="Z439" i="101"/>
  <c r="AG439" i="101"/>
  <c r="AM439" i="101"/>
  <c r="Z440" i="101"/>
  <c r="AG440" i="101"/>
  <c r="AM440" i="101"/>
  <c r="Z441" i="101"/>
  <c r="AG441" i="101"/>
  <c r="AM441" i="101"/>
  <c r="Z442" i="101"/>
  <c r="AG442" i="101"/>
  <c r="AM442" i="101"/>
  <c r="Z443" i="101"/>
  <c r="AG443" i="101"/>
  <c r="AM443" i="101"/>
  <c r="Z444" i="101"/>
  <c r="AG444" i="101"/>
  <c r="AM444" i="101"/>
  <c r="Z445" i="101"/>
  <c r="AG445" i="101"/>
  <c r="AM445" i="101"/>
  <c r="Z446" i="101"/>
  <c r="AG446" i="101"/>
  <c r="AM446" i="101"/>
  <c r="Z447" i="101"/>
  <c r="AG447" i="101"/>
  <c r="AM447" i="101"/>
  <c r="Z448" i="101"/>
  <c r="AG448" i="101"/>
  <c r="AM448" i="101"/>
  <c r="Z449" i="101"/>
  <c r="AG449" i="101"/>
  <c r="AM449" i="101"/>
  <c r="Z450" i="101"/>
  <c r="AG450" i="101"/>
  <c r="AM450" i="101"/>
  <c r="Z451" i="101"/>
  <c r="AG451" i="101"/>
  <c r="AM451" i="101"/>
  <c r="Z452" i="101"/>
  <c r="AG452" i="101"/>
  <c r="AM452" i="101"/>
  <c r="Z453" i="101"/>
  <c r="AG453" i="101"/>
  <c r="AM453" i="101"/>
  <c r="Z454" i="101"/>
  <c r="AG454" i="101"/>
  <c r="AM454" i="101"/>
  <c r="Z455" i="101"/>
  <c r="AG455" i="101"/>
  <c r="AM455" i="101"/>
  <c r="Z456" i="101"/>
  <c r="AG456" i="101"/>
  <c r="AM456" i="101"/>
  <c r="Z457" i="101"/>
  <c r="AG457" i="101"/>
  <c r="AM457" i="101"/>
  <c r="Z458" i="101"/>
  <c r="AG458" i="101"/>
  <c r="AM458" i="101"/>
  <c r="Z459" i="101"/>
  <c r="AG459" i="101"/>
  <c r="AM459" i="101"/>
  <c r="Z460" i="101"/>
  <c r="AG460" i="101"/>
  <c r="AM460" i="101"/>
  <c r="Z461" i="101"/>
  <c r="AG461" i="101"/>
  <c r="AM461" i="101"/>
  <c r="Z462" i="101"/>
  <c r="AG462" i="101"/>
  <c r="AM462" i="101"/>
  <c r="Z463" i="101"/>
  <c r="AG463" i="101"/>
  <c r="AM463" i="101"/>
  <c r="Z464" i="101"/>
  <c r="AG464" i="101"/>
  <c r="AM464" i="101"/>
  <c r="Z465" i="101"/>
  <c r="AG465" i="101"/>
  <c r="AM465" i="101"/>
  <c r="Z466" i="101"/>
  <c r="AG466" i="101"/>
  <c r="AM466" i="101"/>
  <c r="Z467" i="101"/>
  <c r="AG467" i="101"/>
  <c r="AM467" i="101"/>
  <c r="Z468" i="101"/>
  <c r="AG468" i="101"/>
  <c r="AM468" i="101"/>
  <c r="Z469" i="101"/>
  <c r="AG469" i="101"/>
  <c r="AM469" i="101"/>
  <c r="Z470" i="101"/>
  <c r="AG470" i="101"/>
  <c r="AM470" i="101"/>
  <c r="Z471" i="101"/>
  <c r="AG471" i="101"/>
  <c r="AH471" i="101"/>
  <c r="AH472" i="101" s="1"/>
  <c r="AH473" i="101" s="1"/>
  <c r="AH474" i="101" s="1"/>
  <c r="AH475" i="101" s="1"/>
  <c r="AH476" i="101" s="1"/>
  <c r="AH477" i="101" s="1"/>
  <c r="AH478" i="101" s="1"/>
  <c r="AH479" i="101" s="1"/>
  <c r="AH480" i="101" s="1"/>
  <c r="AH481" i="101" s="1"/>
  <c r="AH482" i="101" s="1"/>
  <c r="AH483" i="101" s="1"/>
  <c r="AH484" i="101" s="1"/>
  <c r="AH485" i="101" s="1"/>
  <c r="AH486" i="101" s="1"/>
  <c r="AH487" i="101" s="1"/>
  <c r="AH488" i="101" s="1"/>
  <c r="AH489" i="101" s="1"/>
  <c r="AH490" i="101" s="1"/>
  <c r="AH491" i="101" s="1"/>
  <c r="AH492" i="101" s="1"/>
  <c r="AH493" i="101" s="1"/>
  <c r="AH494" i="101" s="1"/>
  <c r="AH495" i="101" s="1"/>
  <c r="AH496" i="101" s="1"/>
  <c r="AH497" i="101" s="1"/>
  <c r="AH498" i="101" s="1"/>
  <c r="AH499" i="101" s="1"/>
  <c r="AH500" i="101" s="1"/>
  <c r="AH501" i="101" s="1"/>
  <c r="AH502" i="101" s="1"/>
  <c r="AH503" i="101" s="1"/>
  <c r="AH504" i="101" s="1"/>
  <c r="AH505" i="101" s="1"/>
  <c r="AH506" i="101" s="1"/>
  <c r="AH507" i="101" s="1"/>
  <c r="AH508" i="101" s="1"/>
  <c r="AH509" i="101" s="1"/>
  <c r="AH510" i="101" s="1"/>
  <c r="AH511" i="101" s="1"/>
  <c r="AH512" i="101" s="1"/>
  <c r="AH513" i="101" s="1"/>
  <c r="AH514" i="101" s="1"/>
  <c r="AH515" i="101" s="1"/>
  <c r="AH516" i="101" s="1"/>
  <c r="AH517" i="101" s="1"/>
  <c r="AH518" i="101" s="1"/>
  <c r="AH519" i="101" s="1"/>
  <c r="AH520" i="101" s="1"/>
  <c r="AH521" i="101" s="1"/>
  <c r="AH522" i="101" s="1"/>
  <c r="AH523" i="101" s="1"/>
  <c r="AH524" i="101" s="1"/>
  <c r="AH525" i="101" s="1"/>
  <c r="AH526" i="101" s="1"/>
  <c r="AH527" i="101" s="1"/>
  <c r="AH528" i="101" s="1"/>
  <c r="AH529" i="101" s="1"/>
  <c r="AH530" i="101" s="1"/>
  <c r="AH531" i="101" s="1"/>
  <c r="AH532" i="101" s="1"/>
  <c r="AH533" i="101" s="1"/>
  <c r="AH534" i="101" s="1"/>
  <c r="AM471" i="101"/>
  <c r="Z472" i="101"/>
  <c r="AG472" i="101"/>
  <c r="AM472" i="101"/>
  <c r="Z473" i="101"/>
  <c r="AG473" i="101"/>
  <c r="AM473" i="101"/>
  <c r="Z474" i="101"/>
  <c r="AG474" i="101"/>
  <c r="AM474" i="101"/>
  <c r="Z475" i="101"/>
  <c r="AG475" i="101"/>
  <c r="AM475" i="101"/>
  <c r="Z476" i="101"/>
  <c r="AG476" i="101"/>
  <c r="AM476" i="101"/>
  <c r="Z477" i="101"/>
  <c r="AG477" i="101"/>
  <c r="AM477" i="101"/>
  <c r="Z478" i="101"/>
  <c r="AG478" i="101"/>
  <c r="AM478" i="101"/>
  <c r="Z479" i="101"/>
  <c r="AG479" i="101"/>
  <c r="AM479" i="101"/>
  <c r="Z480" i="101"/>
  <c r="AG480" i="101"/>
  <c r="AM480" i="101"/>
  <c r="Z481" i="101"/>
  <c r="AG481" i="101"/>
  <c r="AM481" i="101"/>
  <c r="Z482" i="101"/>
  <c r="AG482" i="101"/>
  <c r="AM482" i="101"/>
  <c r="Z483" i="101"/>
  <c r="AG483" i="101"/>
  <c r="AM483" i="101"/>
  <c r="Z484" i="101"/>
  <c r="AG484" i="101"/>
  <c r="AM484" i="101"/>
  <c r="Z485" i="101"/>
  <c r="AG485" i="101"/>
  <c r="AM485" i="101"/>
  <c r="Z486" i="101"/>
  <c r="AG486" i="101"/>
  <c r="AM486" i="101"/>
  <c r="Z487" i="101"/>
  <c r="AG487" i="101"/>
  <c r="AM487" i="101"/>
  <c r="Z488" i="101"/>
  <c r="AG488" i="101"/>
  <c r="AM488" i="101"/>
  <c r="Z489" i="101"/>
  <c r="AG489" i="101"/>
  <c r="AM489" i="101"/>
  <c r="Z490" i="101"/>
  <c r="AG490" i="101"/>
  <c r="AM490" i="101"/>
  <c r="Z491" i="101"/>
  <c r="AG491" i="101"/>
  <c r="AM491" i="101"/>
  <c r="AG492" i="101"/>
  <c r="AM492" i="101"/>
  <c r="Z493" i="101"/>
  <c r="AG493" i="101"/>
  <c r="AM493" i="101"/>
  <c r="Z494" i="101"/>
  <c r="AG494" i="101"/>
  <c r="AM494" i="101"/>
  <c r="Z495" i="101"/>
  <c r="AG495" i="101"/>
  <c r="AM495" i="101"/>
  <c r="Z496" i="101"/>
  <c r="AG496" i="101"/>
  <c r="AM496" i="101"/>
  <c r="Z497" i="101"/>
  <c r="AG497" i="101"/>
  <c r="AM497" i="101"/>
  <c r="Z498" i="101"/>
  <c r="AG498" i="101"/>
  <c r="AM498" i="101"/>
  <c r="Z499" i="101"/>
  <c r="AG499" i="101"/>
  <c r="AM499" i="101"/>
  <c r="Z500" i="101"/>
  <c r="AG500" i="101"/>
  <c r="AM500" i="101"/>
  <c r="Z501" i="101"/>
  <c r="AG501" i="101"/>
  <c r="AM501" i="101"/>
  <c r="Z502" i="101"/>
  <c r="AG502" i="101"/>
  <c r="AM502" i="101"/>
  <c r="Z503" i="101"/>
  <c r="AG503" i="101"/>
  <c r="AM503" i="101"/>
  <c r="Z504" i="101"/>
  <c r="AG504" i="101"/>
  <c r="AM504" i="101"/>
  <c r="Z505" i="101"/>
  <c r="AG505" i="101"/>
  <c r="AM505" i="101"/>
  <c r="Z506" i="101"/>
  <c r="AG506" i="101"/>
  <c r="AM506" i="101"/>
  <c r="Z507" i="101"/>
  <c r="AG507" i="101"/>
  <c r="AM507" i="101"/>
  <c r="Z508" i="101"/>
  <c r="AG508" i="101"/>
  <c r="AM508" i="101"/>
  <c r="Z509" i="101"/>
  <c r="AG509" i="101"/>
  <c r="AM509" i="101"/>
  <c r="Z510" i="101"/>
  <c r="AG510" i="101"/>
  <c r="AM510" i="101"/>
  <c r="Z511" i="101"/>
  <c r="AG511" i="101"/>
  <c r="AM511" i="101"/>
  <c r="Z512" i="101"/>
  <c r="AG512" i="101"/>
  <c r="AM512" i="101"/>
  <c r="Z513" i="101"/>
  <c r="AG513" i="101"/>
  <c r="AM513" i="101"/>
  <c r="Z514" i="101"/>
  <c r="AG514" i="101"/>
  <c r="AM514" i="101"/>
  <c r="Z515" i="101"/>
  <c r="AG515" i="101"/>
  <c r="AM515" i="101"/>
  <c r="Z516" i="101"/>
  <c r="AG516" i="101"/>
  <c r="AM516" i="101"/>
  <c r="Z517" i="101"/>
  <c r="AG517" i="101"/>
  <c r="AM517" i="101"/>
  <c r="Z518" i="101"/>
  <c r="AG518" i="101"/>
  <c r="AM518" i="101"/>
  <c r="Z519" i="101"/>
  <c r="AG519" i="101"/>
  <c r="AM519" i="101"/>
  <c r="Z520" i="101"/>
  <c r="AG520" i="101"/>
  <c r="AM520" i="101"/>
  <c r="Z521" i="101"/>
  <c r="AG521" i="101"/>
  <c r="AM521" i="101"/>
  <c r="Z522" i="101"/>
  <c r="AG522" i="101"/>
  <c r="AM522" i="101"/>
  <c r="Z523" i="101"/>
  <c r="AG523" i="101"/>
  <c r="AM523" i="101"/>
  <c r="Z524" i="101"/>
  <c r="AG524" i="101"/>
  <c r="AM524" i="101"/>
  <c r="Z525" i="101"/>
  <c r="AG525" i="101"/>
  <c r="AM525" i="101"/>
  <c r="Z526" i="101"/>
  <c r="AG526" i="101"/>
  <c r="AM526" i="101"/>
  <c r="Z527" i="101"/>
  <c r="AG527" i="101"/>
  <c r="AM527" i="101"/>
  <c r="Z528" i="101"/>
  <c r="AG528" i="101"/>
  <c r="AM528" i="101"/>
  <c r="Z529" i="101"/>
  <c r="AG529" i="101"/>
  <c r="AM529" i="101"/>
  <c r="Z530" i="101"/>
  <c r="AG530" i="101"/>
  <c r="AM530" i="101"/>
  <c r="Z531" i="101"/>
  <c r="AG531" i="101"/>
  <c r="AM531" i="101"/>
  <c r="Z532" i="101"/>
  <c r="AG532" i="101"/>
  <c r="AM532" i="101"/>
  <c r="Z533" i="101"/>
  <c r="AG533" i="101"/>
  <c r="AM533" i="101"/>
  <c r="Z534" i="101"/>
  <c r="AG534" i="101"/>
  <c r="AM534" i="101"/>
  <c r="Z535" i="101"/>
  <c r="AG535" i="101"/>
  <c r="AM535" i="101"/>
  <c r="Z536" i="101"/>
  <c r="AG536" i="101"/>
  <c r="AH536" i="101"/>
  <c r="AH537" i="101" s="1"/>
  <c r="AH538" i="101" s="1"/>
  <c r="AH539" i="101" s="1"/>
  <c r="AH540" i="101" s="1"/>
  <c r="AH541" i="101" s="1"/>
  <c r="AH542" i="101" s="1"/>
  <c r="AH543" i="101" s="1"/>
  <c r="AH544" i="101" s="1"/>
  <c r="AH545" i="101" s="1"/>
  <c r="AH546" i="101" s="1"/>
  <c r="AH547" i="101" s="1"/>
  <c r="AH548" i="101" s="1"/>
  <c r="AH549" i="101" s="1"/>
  <c r="AH550" i="101" s="1"/>
  <c r="AH551" i="101" s="1"/>
  <c r="AH552" i="101" s="1"/>
  <c r="AH553" i="101" s="1"/>
  <c r="AH554" i="101" s="1"/>
  <c r="AH555" i="101" s="1"/>
  <c r="AH556" i="101" s="1"/>
  <c r="AH557" i="101" s="1"/>
  <c r="AH558" i="101" s="1"/>
  <c r="AH559" i="101" s="1"/>
  <c r="AH560" i="101" s="1"/>
  <c r="AH561" i="101" s="1"/>
  <c r="AH562" i="101" s="1"/>
  <c r="AH563" i="101" s="1"/>
  <c r="AH564" i="101" s="1"/>
  <c r="AH565" i="101" s="1"/>
  <c r="AH566" i="101" s="1"/>
  <c r="AH567" i="101" s="1"/>
  <c r="AH568" i="101" s="1"/>
  <c r="AH569" i="101" s="1"/>
  <c r="AH570" i="101" s="1"/>
  <c r="AH571" i="101" s="1"/>
  <c r="AH572" i="101" s="1"/>
  <c r="AH573" i="101" s="1"/>
  <c r="AH574" i="101" s="1"/>
  <c r="AH575" i="101" s="1"/>
  <c r="AH576" i="101" s="1"/>
  <c r="AH577" i="101" s="1"/>
  <c r="AH578" i="101" s="1"/>
  <c r="AH579" i="101" s="1"/>
  <c r="AH580" i="101" s="1"/>
  <c r="AH581" i="101" s="1"/>
  <c r="AH582" i="101" s="1"/>
  <c r="AH583" i="101" s="1"/>
  <c r="AH584" i="101" s="1"/>
  <c r="AH585" i="101" s="1"/>
  <c r="AH586" i="101" s="1"/>
  <c r="AH587" i="101" s="1"/>
  <c r="AH588" i="101" s="1"/>
  <c r="AH589" i="101" s="1"/>
  <c r="AH590" i="101" s="1"/>
  <c r="AH591" i="101" s="1"/>
  <c r="AM536" i="101"/>
  <c r="Z537" i="101"/>
  <c r="AG537" i="101"/>
  <c r="AM537" i="101"/>
  <c r="Z538" i="101"/>
  <c r="AG538" i="101"/>
  <c r="AM538" i="101"/>
  <c r="Z539" i="101"/>
  <c r="AG539" i="101"/>
  <c r="AM539" i="101"/>
  <c r="Z540" i="101"/>
  <c r="AG540" i="101"/>
  <c r="AM540" i="101"/>
  <c r="Z541" i="101"/>
  <c r="AG541" i="101"/>
  <c r="AM541" i="101"/>
  <c r="Z542" i="101"/>
  <c r="AG542" i="101"/>
  <c r="AM542" i="101"/>
  <c r="Z543" i="101"/>
  <c r="AG543" i="101"/>
  <c r="AM543" i="101"/>
  <c r="Z544" i="101"/>
  <c r="AG544" i="101"/>
  <c r="AM544" i="101"/>
  <c r="Z545" i="101"/>
  <c r="AG545" i="101"/>
  <c r="AM545" i="101"/>
  <c r="Z546" i="101"/>
  <c r="AG546" i="101"/>
  <c r="AM546" i="101"/>
  <c r="Z547" i="101"/>
  <c r="AG547" i="101"/>
  <c r="AM547" i="101"/>
  <c r="Z548" i="101"/>
  <c r="AG548" i="101"/>
  <c r="AM548" i="101"/>
  <c r="Z549" i="101"/>
  <c r="AG549" i="101"/>
  <c r="AM549" i="101"/>
  <c r="Z550" i="101"/>
  <c r="AG550" i="101"/>
  <c r="AM550" i="101"/>
  <c r="Z551" i="101"/>
  <c r="AG551" i="101"/>
  <c r="AM551" i="101"/>
  <c r="Z552" i="101"/>
  <c r="AG552" i="101"/>
  <c r="AM552" i="101"/>
  <c r="Z553" i="101"/>
  <c r="AG553" i="101"/>
  <c r="AM553" i="101"/>
  <c r="Z554" i="101"/>
  <c r="AG554" i="101"/>
  <c r="AM554" i="101"/>
  <c r="Z555" i="101"/>
  <c r="AG555" i="101"/>
  <c r="AM555" i="101"/>
  <c r="Z556" i="101"/>
  <c r="AG556" i="101"/>
  <c r="AM556" i="101"/>
  <c r="Z557" i="101"/>
  <c r="AG557" i="101"/>
  <c r="AM557" i="101"/>
  <c r="Z558" i="101"/>
  <c r="AG558" i="101"/>
  <c r="AM558" i="101"/>
  <c r="Z559" i="101"/>
  <c r="AG559" i="101"/>
  <c r="AM559" i="101"/>
  <c r="Z560" i="101"/>
  <c r="AG560" i="101"/>
  <c r="AM560" i="101"/>
  <c r="Z561" i="101"/>
  <c r="AG561" i="101"/>
  <c r="AM561" i="101"/>
  <c r="Z562" i="101"/>
  <c r="AG562" i="101"/>
  <c r="AM562" i="101"/>
  <c r="Z563" i="101"/>
  <c r="AG563" i="101"/>
  <c r="AM563" i="101"/>
  <c r="Z564" i="101"/>
  <c r="AG564" i="101"/>
  <c r="AM564" i="101"/>
  <c r="Z565" i="101"/>
  <c r="AG565" i="101"/>
  <c r="AM565" i="101"/>
  <c r="Z566" i="101"/>
  <c r="AG566" i="101"/>
  <c r="AM566" i="101"/>
  <c r="Z567" i="101"/>
  <c r="AG567" i="101"/>
  <c r="AM567" i="101"/>
  <c r="Z568" i="101"/>
  <c r="AG568" i="101"/>
  <c r="AM568" i="101"/>
  <c r="Z569" i="101"/>
  <c r="AG569" i="101"/>
  <c r="AM569" i="101"/>
  <c r="Z570" i="101"/>
  <c r="AG570" i="101"/>
  <c r="AM570" i="101"/>
  <c r="Z571" i="101"/>
  <c r="AG571" i="101"/>
  <c r="AM571" i="101"/>
  <c r="Z572" i="101"/>
  <c r="AG572" i="101"/>
  <c r="AM572" i="101"/>
  <c r="Z573" i="101"/>
  <c r="AG573" i="101"/>
  <c r="AM573" i="101"/>
  <c r="Z574" i="101"/>
  <c r="AG574" i="101"/>
  <c r="AM574" i="101"/>
  <c r="Z575" i="101"/>
  <c r="AG575" i="101"/>
  <c r="AM575" i="101"/>
  <c r="Z576" i="101"/>
  <c r="AG576" i="101"/>
  <c r="AM576" i="101"/>
  <c r="Z577" i="101"/>
  <c r="AG577" i="101"/>
  <c r="AM577" i="101"/>
  <c r="Z578" i="101"/>
  <c r="AG578" i="101"/>
  <c r="AM578" i="101"/>
  <c r="Z579" i="101"/>
  <c r="AG579" i="101"/>
  <c r="AM579" i="101"/>
  <c r="Z580" i="101"/>
  <c r="AG580" i="101"/>
  <c r="AM580" i="101"/>
  <c r="Z581" i="101"/>
  <c r="AG581" i="101"/>
  <c r="AM581" i="101"/>
  <c r="Z582" i="101"/>
  <c r="AG582" i="101"/>
  <c r="AM582" i="101"/>
  <c r="Z583" i="101"/>
  <c r="AG583" i="101"/>
  <c r="AM583" i="101"/>
  <c r="Z584" i="101"/>
  <c r="AG584" i="101"/>
  <c r="AM584" i="101"/>
  <c r="Z585" i="101"/>
  <c r="AG585" i="101"/>
  <c r="AM585" i="101"/>
  <c r="Z586" i="101"/>
  <c r="AG586" i="101"/>
  <c r="AM586" i="101"/>
  <c r="Z587" i="101"/>
  <c r="AG587" i="101"/>
  <c r="AM587" i="101"/>
  <c r="Z588" i="101"/>
  <c r="AG588" i="101"/>
  <c r="AM588" i="101"/>
  <c r="Z589" i="101"/>
  <c r="AG589" i="101"/>
  <c r="AM589" i="101"/>
  <c r="Z590" i="101"/>
  <c r="AG590" i="101"/>
  <c r="AM590" i="101"/>
  <c r="Z591" i="101"/>
  <c r="AG591" i="101"/>
  <c r="AM591" i="101"/>
  <c r="Z592" i="101"/>
  <c r="AG592" i="101"/>
  <c r="AM592" i="101"/>
  <c r="Z593" i="101"/>
  <c r="AG593" i="101"/>
  <c r="AH593" i="101"/>
  <c r="AH594" i="101" s="1"/>
  <c r="AH595" i="101" s="1"/>
  <c r="AH596" i="101" s="1"/>
  <c r="AH597" i="101" s="1"/>
  <c r="AH598" i="101" s="1"/>
  <c r="AH599" i="101" s="1"/>
  <c r="AH600" i="101" s="1"/>
  <c r="AH601" i="101" s="1"/>
  <c r="AH602" i="101" s="1"/>
  <c r="AH603" i="101" s="1"/>
  <c r="AH604" i="101" s="1"/>
  <c r="AH605" i="101" s="1"/>
  <c r="AH606" i="101" s="1"/>
  <c r="AH607" i="101" s="1"/>
  <c r="AH608" i="101" s="1"/>
  <c r="AH609" i="101" s="1"/>
  <c r="AH610" i="101" s="1"/>
  <c r="AH611" i="101" s="1"/>
  <c r="AH612" i="101" s="1"/>
  <c r="AH613" i="101" s="1"/>
  <c r="AH614" i="101" s="1"/>
  <c r="AH615" i="101" s="1"/>
  <c r="AH616" i="101" s="1"/>
  <c r="AH617" i="101" s="1"/>
  <c r="AH618" i="101" s="1"/>
  <c r="AH619" i="101" s="1"/>
  <c r="AH620" i="101" s="1"/>
  <c r="AH621" i="101" s="1"/>
  <c r="AH622" i="101" s="1"/>
  <c r="AH623" i="101" s="1"/>
  <c r="AH624" i="101" s="1"/>
  <c r="AH625" i="101" s="1"/>
  <c r="AH626" i="101" s="1"/>
  <c r="AH627" i="101" s="1"/>
  <c r="AH628" i="101" s="1"/>
  <c r="AM593" i="101"/>
  <c r="Z594" i="101"/>
  <c r="AG594" i="101"/>
  <c r="AM594" i="101"/>
  <c r="Z595" i="101"/>
  <c r="AG595" i="101"/>
  <c r="AM595" i="101"/>
  <c r="Z596" i="101"/>
  <c r="AG596" i="101"/>
  <c r="AM596" i="101"/>
  <c r="Z597" i="101"/>
  <c r="AG597" i="101"/>
  <c r="AM597" i="101"/>
  <c r="Z598" i="101"/>
  <c r="AG598" i="101"/>
  <c r="AM598" i="101"/>
  <c r="Z599" i="101"/>
  <c r="AG599" i="101"/>
  <c r="AM599" i="101"/>
  <c r="Z600" i="101"/>
  <c r="AG600" i="101"/>
  <c r="AM600" i="101"/>
  <c r="Z601" i="101"/>
  <c r="AG601" i="101"/>
  <c r="AM601" i="101"/>
  <c r="Z602" i="101"/>
  <c r="AG602" i="101"/>
  <c r="AM602" i="101"/>
  <c r="Z603" i="101"/>
  <c r="AG603" i="101"/>
  <c r="AM603" i="101"/>
  <c r="Z604" i="101"/>
  <c r="AG604" i="101"/>
  <c r="AM604" i="101"/>
  <c r="Z605" i="101"/>
  <c r="AG605" i="101"/>
  <c r="AM605" i="101"/>
  <c r="Z606" i="101"/>
  <c r="AG606" i="101"/>
  <c r="AM606" i="101"/>
  <c r="Z607" i="101"/>
  <c r="AG607" i="101"/>
  <c r="AM607" i="101"/>
  <c r="Z608" i="101"/>
  <c r="AG608" i="101"/>
  <c r="AM608" i="101"/>
  <c r="Z609" i="101"/>
  <c r="AG609" i="101"/>
  <c r="AM609" i="101"/>
  <c r="Z610" i="101"/>
  <c r="AG610" i="101"/>
  <c r="AM610" i="101"/>
  <c r="Z611" i="101"/>
  <c r="AG611" i="101"/>
  <c r="AM611" i="101"/>
  <c r="Z612" i="101"/>
  <c r="AG612" i="101"/>
  <c r="AM612" i="101"/>
  <c r="Z613" i="101"/>
  <c r="AG613" i="101"/>
  <c r="AM613" i="101"/>
  <c r="Z614" i="101"/>
  <c r="AG614" i="101"/>
  <c r="AM614" i="101"/>
  <c r="Z615" i="101"/>
  <c r="AG615" i="101"/>
  <c r="AM615" i="101"/>
  <c r="Z616" i="101"/>
  <c r="AG616" i="101"/>
  <c r="AM616" i="101"/>
  <c r="Z617" i="101"/>
  <c r="AG617" i="101"/>
  <c r="AM617" i="101"/>
  <c r="Z618" i="101"/>
  <c r="AG618" i="101"/>
  <c r="AM618" i="101"/>
  <c r="Z619" i="101"/>
  <c r="AG619" i="101"/>
  <c r="AM619" i="101"/>
  <c r="Z620" i="101"/>
  <c r="AG620" i="101"/>
  <c r="AM620" i="101"/>
  <c r="Z621" i="101"/>
  <c r="AG621" i="101"/>
  <c r="AM621" i="101"/>
  <c r="Z622" i="101"/>
  <c r="AG622" i="101"/>
  <c r="AM622" i="101"/>
  <c r="Z623" i="101"/>
  <c r="AG623" i="101"/>
  <c r="AM623" i="101"/>
  <c r="Z624" i="101"/>
  <c r="AG624" i="101"/>
  <c r="AM624" i="101"/>
  <c r="Z625" i="101"/>
  <c r="AG625" i="101"/>
  <c r="AM625" i="101"/>
  <c r="Z626" i="101"/>
  <c r="AG626" i="101"/>
  <c r="AM626" i="101"/>
  <c r="Z627" i="101"/>
  <c r="AG627" i="101"/>
  <c r="AM627" i="101"/>
  <c r="Z628" i="101"/>
  <c r="AG628" i="101"/>
  <c r="AM628" i="101"/>
  <c r="Z629" i="101"/>
  <c r="AG629" i="101"/>
  <c r="AH629" i="101"/>
  <c r="AM629" i="101"/>
  <c r="Z630" i="101"/>
  <c r="AG630" i="101"/>
  <c r="AH630" i="101"/>
  <c r="AM630" i="101"/>
  <c r="Z631" i="101"/>
  <c r="AG631" i="101"/>
  <c r="AH631" i="101"/>
  <c r="AM631" i="101"/>
  <c r="Z632" i="101"/>
  <c r="AG632" i="101"/>
  <c r="AH632" i="101"/>
  <c r="AM632" i="101"/>
  <c r="Z633" i="101"/>
  <c r="AG633" i="101"/>
  <c r="AH633" i="101"/>
  <c r="AM633" i="101"/>
  <c r="Z634" i="101"/>
  <c r="AG634" i="101"/>
  <c r="AH634" i="101"/>
  <c r="AM634" i="101"/>
  <c r="Z635" i="101"/>
  <c r="AG635" i="101"/>
  <c r="AH635" i="101"/>
  <c r="AM635" i="101"/>
  <c r="Z636" i="101"/>
  <c r="AG636" i="101"/>
  <c r="AH636" i="101"/>
  <c r="AM636" i="101"/>
  <c r="Z637" i="101"/>
  <c r="AG637" i="101"/>
  <c r="AH637" i="101"/>
  <c r="AM637" i="101"/>
  <c r="Z638" i="101"/>
  <c r="AG638" i="101"/>
  <c r="AH638" i="101"/>
  <c r="AM638" i="101"/>
  <c r="Z639" i="101"/>
  <c r="AG639" i="101"/>
  <c r="AH639" i="101"/>
  <c r="AM639" i="101"/>
  <c r="Z640" i="101"/>
  <c r="AG640" i="101"/>
  <c r="AH640" i="101"/>
  <c r="AM640" i="101"/>
  <c r="Z641" i="101"/>
  <c r="AG641" i="101"/>
  <c r="AH641" i="101"/>
  <c r="AM641" i="101"/>
  <c r="Z642" i="101"/>
  <c r="AG642" i="101"/>
  <c r="AM642" i="101"/>
  <c r="Z643" i="101"/>
  <c r="AG643" i="101"/>
  <c r="AM643" i="101"/>
  <c r="Z644" i="101"/>
  <c r="AG644" i="101"/>
  <c r="AH644" i="101"/>
  <c r="AM644" i="101"/>
  <c r="Z645" i="101"/>
  <c r="AG645" i="101"/>
  <c r="AH645" i="101"/>
  <c r="AM645" i="101"/>
  <c r="Z646" i="101"/>
  <c r="AG646" i="101"/>
  <c r="AH646" i="101"/>
  <c r="AM646" i="101"/>
  <c r="Z647" i="101"/>
  <c r="AG647" i="101"/>
  <c r="AH647" i="101"/>
  <c r="AM647" i="101"/>
  <c r="Z648" i="101"/>
  <c r="AG648" i="101"/>
  <c r="AH648" i="101"/>
  <c r="AM648" i="101"/>
  <c r="Z649" i="101"/>
  <c r="AG649" i="101"/>
  <c r="AH649" i="101"/>
  <c r="AM649" i="101"/>
  <c r="Z650" i="101"/>
  <c r="AG650" i="101"/>
  <c r="AH650" i="101"/>
  <c r="AM650" i="101"/>
  <c r="Z651" i="101"/>
  <c r="AG651" i="101"/>
  <c r="AH651" i="101"/>
  <c r="AM651" i="101"/>
  <c r="Z652" i="101"/>
  <c r="AG652" i="101"/>
  <c r="AH652" i="101"/>
  <c r="AM652" i="101"/>
  <c r="Z653" i="101"/>
  <c r="AG653" i="101"/>
  <c r="AH653" i="101"/>
  <c r="AM653" i="101"/>
  <c r="Z654" i="101"/>
  <c r="AG654" i="101"/>
  <c r="AH654" i="101"/>
  <c r="AM654" i="101"/>
  <c r="Z655" i="101"/>
  <c r="AG655" i="101"/>
  <c r="AH655" i="101"/>
  <c r="AM655" i="101"/>
  <c r="Z656" i="101"/>
  <c r="AG656" i="101"/>
  <c r="AH656" i="101"/>
  <c r="AM656" i="101"/>
  <c r="Z657" i="101"/>
  <c r="AG657" i="101"/>
  <c r="AH657" i="101"/>
  <c r="AM657" i="101"/>
  <c r="Z658" i="101"/>
  <c r="AG658" i="101"/>
  <c r="AH658" i="101"/>
  <c r="AM658" i="101"/>
  <c r="Z659" i="101"/>
  <c r="AG659" i="101"/>
  <c r="AH659" i="101"/>
  <c r="AM659" i="101"/>
  <c r="Z660" i="101"/>
  <c r="AG660" i="101"/>
  <c r="AH660" i="101"/>
  <c r="AM660" i="101"/>
  <c r="Z661" i="101"/>
  <c r="AG661" i="101"/>
  <c r="AH661" i="101"/>
  <c r="AM661" i="101"/>
  <c r="Z662" i="101"/>
  <c r="AG662" i="101"/>
  <c r="AH662" i="101"/>
  <c r="AM662" i="101"/>
  <c r="Z663" i="101"/>
  <c r="AG663" i="101"/>
  <c r="AH663" i="101"/>
  <c r="AM663" i="101"/>
  <c r="Z664" i="101"/>
  <c r="AG664" i="101"/>
  <c r="AH664" i="101"/>
  <c r="AM664" i="101"/>
  <c r="Z665" i="101"/>
  <c r="AG665" i="101"/>
  <c r="AH665" i="101"/>
  <c r="AM665" i="101"/>
  <c r="Z666" i="101"/>
  <c r="AG666" i="101"/>
  <c r="AH666" i="101"/>
  <c r="AM666" i="101"/>
  <c r="Z667" i="101"/>
  <c r="AG667" i="101"/>
  <c r="AH667" i="101"/>
  <c r="AM667" i="101"/>
  <c r="Z668" i="101"/>
  <c r="AG668" i="101"/>
  <c r="AH668" i="101"/>
  <c r="AM668" i="101"/>
  <c r="Z669" i="101"/>
  <c r="AG669" i="101"/>
  <c r="AH669" i="101"/>
  <c r="AM669" i="101"/>
  <c r="Z670" i="101"/>
  <c r="AG670" i="101"/>
  <c r="AH670" i="101"/>
  <c r="AM670" i="101"/>
  <c r="Z671" i="101"/>
  <c r="AG671" i="101"/>
  <c r="AH671" i="101"/>
  <c r="AM671" i="101"/>
  <c r="Z672" i="101"/>
  <c r="AG672" i="101"/>
  <c r="AH672" i="101"/>
  <c r="AM672" i="101"/>
  <c r="Z673" i="101"/>
  <c r="AG673" i="101"/>
  <c r="AH673" i="101"/>
  <c r="AM673" i="101"/>
  <c r="Z674" i="101"/>
  <c r="AG674" i="101"/>
  <c r="AH674" i="101"/>
  <c r="AM674" i="101"/>
  <c r="Z675" i="101"/>
  <c r="AG675" i="101"/>
  <c r="AH675" i="101"/>
  <c r="AM675" i="101"/>
  <c r="Z676" i="101"/>
  <c r="AG676" i="101"/>
  <c r="AH676" i="101"/>
  <c r="AM676" i="101"/>
  <c r="Z677" i="101"/>
  <c r="AG677" i="101"/>
  <c r="AH677" i="101"/>
  <c r="AM677" i="101"/>
  <c r="Z678" i="101"/>
  <c r="AG678" i="101"/>
  <c r="AH678" i="101"/>
  <c r="AM678" i="101"/>
  <c r="Z679" i="101"/>
  <c r="AG679" i="101"/>
  <c r="AH679" i="101"/>
  <c r="AM679" i="101"/>
  <c r="Z680" i="101"/>
  <c r="AG680" i="101"/>
  <c r="AH680" i="101"/>
  <c r="AM680" i="101"/>
  <c r="Z681" i="101"/>
  <c r="AG681" i="101"/>
  <c r="AH681" i="101"/>
  <c r="AM681" i="101"/>
  <c r="Z682" i="101"/>
  <c r="AG682" i="101"/>
  <c r="AH682" i="101"/>
  <c r="AM682" i="101"/>
  <c r="Z683" i="101"/>
  <c r="AG683" i="101"/>
  <c r="AH683" i="101"/>
  <c r="AM683" i="101"/>
  <c r="Z684" i="101"/>
  <c r="AG684" i="101"/>
  <c r="AH684" i="101"/>
  <c r="AM684" i="101"/>
  <c r="Z685" i="101"/>
  <c r="AG685" i="101"/>
  <c r="AH685" i="101"/>
  <c r="AM685" i="101"/>
  <c r="Z686" i="101"/>
  <c r="AG686" i="101"/>
  <c r="AH686" i="101"/>
  <c r="AM686" i="101"/>
  <c r="Z687" i="101"/>
  <c r="AG687" i="101"/>
  <c r="AH687" i="101"/>
  <c r="AM687" i="101"/>
  <c r="Z688" i="101"/>
  <c r="AG688" i="101"/>
  <c r="AH688" i="101"/>
  <c r="AM688" i="101"/>
  <c r="Z689" i="101"/>
  <c r="AG689" i="101"/>
  <c r="AH689" i="101"/>
  <c r="AM689" i="101"/>
  <c r="Z690" i="101"/>
  <c r="AG690" i="101"/>
  <c r="AH690" i="101"/>
  <c r="AM690" i="101"/>
  <c r="Z691" i="101"/>
  <c r="AG691" i="101"/>
  <c r="AH691" i="101"/>
  <c r="AM691" i="101"/>
  <c r="Z692" i="101"/>
  <c r="AG692" i="101"/>
  <c r="AH692" i="101"/>
  <c r="AM692" i="101"/>
  <c r="Z693" i="101"/>
  <c r="AG693" i="101"/>
  <c r="AM693" i="101"/>
  <c r="Z694" i="101"/>
  <c r="AG694" i="101"/>
  <c r="AH694" i="101"/>
  <c r="AM694" i="101"/>
  <c r="Z695" i="101"/>
  <c r="AG695" i="101"/>
  <c r="AH695" i="101"/>
  <c r="AM695" i="101"/>
  <c r="Z696" i="101"/>
  <c r="AG696" i="101"/>
  <c r="AH696" i="101"/>
  <c r="AM696" i="101"/>
  <c r="Z697" i="101"/>
  <c r="AG697" i="101"/>
  <c r="AH697" i="101"/>
  <c r="AM697" i="101"/>
  <c r="Z698" i="101"/>
  <c r="AG698" i="101"/>
  <c r="AH698" i="101"/>
  <c r="AM698" i="101"/>
  <c r="Z699" i="101"/>
  <c r="AG699" i="101"/>
  <c r="AH699" i="101"/>
  <c r="AM699" i="101"/>
  <c r="Z700" i="101"/>
  <c r="AG700" i="101"/>
  <c r="AH700" i="101"/>
  <c r="AM700" i="101"/>
  <c r="Z701" i="101"/>
  <c r="AG701" i="101"/>
  <c r="AH701" i="101"/>
  <c r="AM701" i="101"/>
  <c r="Z702" i="101"/>
  <c r="AG702" i="101"/>
  <c r="AH702" i="101"/>
  <c r="AM702" i="101"/>
  <c r="Z703" i="101"/>
  <c r="AG703" i="101"/>
  <c r="AH703" i="101"/>
  <c r="AM703" i="101"/>
  <c r="Z704" i="101"/>
  <c r="AG704" i="101"/>
  <c r="AH704" i="101"/>
  <c r="AM704" i="101"/>
  <c r="Z705" i="101"/>
  <c r="AG705" i="101"/>
  <c r="AH705" i="101"/>
  <c r="AM705" i="101"/>
  <c r="Z706" i="101"/>
  <c r="AG706" i="101"/>
  <c r="AH706" i="101"/>
  <c r="AM706" i="101"/>
  <c r="Z707" i="101"/>
  <c r="AG707" i="101"/>
  <c r="AH707" i="101"/>
  <c r="AM707" i="101"/>
  <c r="Z708" i="101"/>
  <c r="AG708" i="101"/>
  <c r="AH708" i="101"/>
  <c r="AM708" i="101"/>
  <c r="Z709" i="101"/>
  <c r="AG709" i="101"/>
  <c r="AH709" i="101"/>
  <c r="AM709" i="101"/>
  <c r="Z710" i="101"/>
  <c r="AG710" i="101"/>
  <c r="AH710" i="101"/>
  <c r="AM710" i="101"/>
  <c r="Z711" i="101"/>
  <c r="AG711" i="101"/>
  <c r="AH711" i="101"/>
  <c r="AM711" i="101"/>
  <c r="Z712" i="101"/>
  <c r="AG712" i="101"/>
  <c r="AH712" i="101"/>
  <c r="AM712" i="101"/>
  <c r="Z713" i="101"/>
  <c r="AG713" i="101"/>
  <c r="AH713" i="101"/>
  <c r="AM713" i="101"/>
  <c r="Z714" i="101"/>
  <c r="AG714" i="101"/>
  <c r="AH714" i="101"/>
  <c r="AM714" i="101"/>
  <c r="Z715" i="101"/>
  <c r="AG715" i="101"/>
  <c r="AH715" i="101"/>
  <c r="AM715" i="101"/>
  <c r="Z716" i="101"/>
  <c r="AG716" i="101"/>
  <c r="AH716" i="101"/>
  <c r="AM716" i="101"/>
  <c r="Z717" i="101"/>
  <c r="AG717" i="101"/>
  <c r="AH717" i="101"/>
  <c r="AM717" i="101"/>
  <c r="Z718" i="101"/>
  <c r="AG718" i="101"/>
  <c r="AH718" i="101"/>
  <c r="AM718" i="101"/>
  <c r="Z719" i="101"/>
  <c r="AG719" i="101"/>
  <c r="AH719" i="101"/>
  <c r="AM719" i="101"/>
  <c r="Z720" i="101"/>
  <c r="AG720" i="101"/>
  <c r="AH720" i="101"/>
  <c r="AM720" i="101"/>
  <c r="Z721" i="101"/>
  <c r="AG721" i="101"/>
  <c r="AH721" i="101"/>
  <c r="AM721" i="101"/>
  <c r="Z722" i="101"/>
  <c r="AG722" i="101"/>
  <c r="AH722" i="101"/>
  <c r="AM722" i="101"/>
  <c r="Z723" i="101"/>
  <c r="AG723" i="101"/>
  <c r="AH723" i="101"/>
  <c r="AM723" i="101"/>
  <c r="Z724" i="101"/>
  <c r="AG724" i="101"/>
  <c r="AH724" i="101"/>
  <c r="AM724" i="101"/>
  <c r="Z725" i="101"/>
  <c r="AG725" i="101"/>
  <c r="AH725" i="101"/>
  <c r="AM725" i="101"/>
  <c r="Z726" i="101"/>
  <c r="AG726" i="101"/>
  <c r="AH726" i="101"/>
  <c r="AM726" i="101"/>
  <c r="Z727" i="101"/>
  <c r="AG727" i="101"/>
  <c r="AH727" i="101"/>
  <c r="AM727" i="101"/>
  <c r="Z728" i="101"/>
  <c r="AG728" i="101"/>
  <c r="AH728" i="101"/>
  <c r="AM728" i="101"/>
  <c r="Z729" i="101"/>
  <c r="AG729" i="101"/>
  <c r="AH729" i="101"/>
  <c r="AM729" i="101"/>
  <c r="Z730" i="101"/>
  <c r="AG730" i="101"/>
  <c r="AH730" i="101"/>
  <c r="AM730" i="101"/>
  <c r="Z731" i="101"/>
  <c r="AG731" i="101"/>
  <c r="AH731" i="101"/>
  <c r="AM731" i="101"/>
  <c r="Z732" i="101"/>
  <c r="AG732" i="101"/>
  <c r="AH732" i="101"/>
  <c r="AM732" i="101"/>
  <c r="Z733" i="101"/>
  <c r="AG733" i="101"/>
  <c r="AH733" i="101"/>
  <c r="AM733" i="101"/>
  <c r="Z734" i="101"/>
  <c r="AG734" i="101"/>
  <c r="AH734" i="101"/>
  <c r="AM734" i="101"/>
  <c r="Z735" i="101"/>
  <c r="AG735" i="101"/>
  <c r="AH735" i="101"/>
  <c r="AM735" i="101"/>
  <c r="Z736" i="101"/>
  <c r="AG736" i="101"/>
  <c r="AH736" i="101"/>
  <c r="AM736" i="101"/>
  <c r="Z737" i="101"/>
  <c r="AG737" i="101"/>
  <c r="AH737" i="101"/>
  <c r="AM737" i="101"/>
  <c r="Z738" i="101"/>
  <c r="AG738" i="101"/>
  <c r="AH738" i="101"/>
  <c r="AM738" i="101"/>
  <c r="Z739" i="101"/>
  <c r="AG739" i="101"/>
  <c r="AH739" i="101"/>
  <c r="AM739" i="101"/>
  <c r="Z740" i="101"/>
  <c r="AG740" i="101"/>
  <c r="AH740" i="101"/>
  <c r="AM740" i="101"/>
  <c r="Z741" i="101"/>
  <c r="AG741" i="101"/>
  <c r="AH741" i="101"/>
  <c r="AM741" i="101"/>
  <c r="Z742" i="101"/>
  <c r="AG742" i="101"/>
  <c r="AM742" i="101"/>
  <c r="Z743" i="101"/>
  <c r="AG743" i="101"/>
  <c r="AH743" i="101"/>
  <c r="AM743" i="101"/>
  <c r="Z744" i="101"/>
  <c r="AG744" i="101"/>
  <c r="AH744" i="101"/>
  <c r="AM744" i="101"/>
  <c r="Z745" i="101"/>
  <c r="AG745" i="101"/>
  <c r="AH745" i="101"/>
  <c r="AM745" i="101"/>
  <c r="Z746" i="101"/>
  <c r="AG746" i="101"/>
  <c r="AH746" i="101"/>
  <c r="AM746" i="101"/>
  <c r="Z747" i="101"/>
  <c r="AG747" i="101"/>
  <c r="AH747" i="101"/>
  <c r="AM747" i="101"/>
  <c r="Z748" i="101"/>
  <c r="AG748" i="101"/>
  <c r="AH748" i="101"/>
  <c r="AM748" i="101"/>
  <c r="Z749" i="101"/>
  <c r="AG749" i="101"/>
  <c r="AH749" i="101"/>
  <c r="AM749" i="101"/>
  <c r="Z750" i="101"/>
  <c r="AG750" i="101"/>
  <c r="AH750" i="101"/>
  <c r="AM750" i="101"/>
  <c r="Z751" i="101"/>
  <c r="AG751" i="101"/>
  <c r="AH751" i="101"/>
  <c r="AM751" i="101"/>
  <c r="Z752" i="101"/>
  <c r="AG752" i="101"/>
  <c r="AH752" i="101"/>
  <c r="AM752" i="101"/>
  <c r="Z753" i="101"/>
  <c r="AG753" i="101"/>
  <c r="AH753" i="101"/>
  <c r="AM753" i="101"/>
  <c r="Z754" i="101"/>
  <c r="AG754" i="101"/>
  <c r="AH754" i="101"/>
  <c r="AM754" i="101"/>
  <c r="Z755" i="101"/>
  <c r="AG755" i="101"/>
  <c r="AH755" i="101"/>
  <c r="AM755" i="101"/>
  <c r="Z756" i="101"/>
  <c r="AG756" i="101"/>
  <c r="AH756" i="101"/>
  <c r="AM756" i="101"/>
  <c r="Z757" i="101"/>
  <c r="AG757" i="101"/>
  <c r="AH757" i="101"/>
  <c r="AM757" i="101"/>
  <c r="Z758" i="101"/>
  <c r="AG758" i="101"/>
  <c r="AH758" i="101"/>
  <c r="AM758" i="101"/>
  <c r="Z759" i="101"/>
  <c r="AG759" i="101"/>
  <c r="AH759" i="101"/>
  <c r="AM759" i="101"/>
  <c r="Z760" i="101"/>
  <c r="AG760" i="101"/>
  <c r="AH760" i="101"/>
  <c r="AM760" i="101"/>
  <c r="Z761" i="101"/>
  <c r="AG761" i="101"/>
  <c r="AH761" i="101"/>
  <c r="AM761" i="101"/>
  <c r="Z762" i="101"/>
  <c r="AG762" i="101"/>
  <c r="AM762" i="101"/>
  <c r="Z763" i="101"/>
  <c r="AG763" i="101"/>
  <c r="AH763" i="101"/>
  <c r="AH764" i="101" s="1"/>
  <c r="AM763" i="101"/>
  <c r="Z764" i="101"/>
  <c r="AG764" i="101"/>
  <c r="AM764" i="101"/>
  <c r="Z765" i="101"/>
  <c r="AG765" i="101"/>
  <c r="AH765" i="101"/>
  <c r="AM765" i="101"/>
  <c r="Z766" i="101"/>
  <c r="AG766" i="101"/>
  <c r="AH766" i="101"/>
  <c r="AM766" i="101"/>
  <c r="Z767" i="101"/>
  <c r="AG767" i="101"/>
  <c r="AH767" i="101"/>
  <c r="AM767" i="101"/>
  <c r="Z768" i="101"/>
  <c r="AG768" i="101"/>
  <c r="AH768" i="101"/>
  <c r="AM768" i="101"/>
  <c r="Z769" i="101"/>
  <c r="AG769" i="101"/>
  <c r="AH769" i="101"/>
  <c r="AM769" i="101"/>
  <c r="Z770" i="101"/>
  <c r="AG770" i="101"/>
  <c r="AH770" i="101"/>
  <c r="AM770" i="101"/>
  <c r="Z771" i="101"/>
  <c r="AG771" i="101"/>
  <c r="AH771" i="101"/>
  <c r="AM771" i="101"/>
  <c r="Z772" i="101"/>
  <c r="AG772" i="101"/>
  <c r="AH772" i="101"/>
  <c r="AM772" i="101"/>
  <c r="Z773" i="101"/>
  <c r="AG773" i="101"/>
  <c r="AH773" i="101"/>
  <c r="AM773" i="101"/>
  <c r="Z774" i="101"/>
  <c r="AG774" i="101"/>
  <c r="AH774" i="101"/>
  <c r="AM774" i="101"/>
  <c r="Z775" i="101"/>
  <c r="AG775" i="101"/>
  <c r="AH775" i="101"/>
  <c r="AM775" i="101"/>
  <c r="Z776" i="101"/>
  <c r="AG776" i="101"/>
  <c r="AH776" i="101"/>
  <c r="AM776" i="101"/>
  <c r="Z777" i="101"/>
  <c r="AG777" i="101"/>
  <c r="AH777" i="101"/>
  <c r="AM777" i="101"/>
  <c r="Z778" i="101"/>
  <c r="AG778" i="101"/>
  <c r="AH778" i="101"/>
  <c r="AM778" i="101"/>
  <c r="Z779" i="101"/>
  <c r="AG779" i="101"/>
  <c r="AH779" i="101"/>
  <c r="AM779" i="101"/>
  <c r="Z780" i="101"/>
  <c r="AG780" i="101"/>
  <c r="AH780" i="101"/>
  <c r="AM780" i="101"/>
  <c r="Z781" i="101"/>
  <c r="AG781" i="101"/>
  <c r="AH781" i="101"/>
  <c r="AM781" i="101"/>
  <c r="Z782" i="101"/>
  <c r="AG782" i="101"/>
  <c r="AH782" i="101"/>
  <c r="AM782" i="101"/>
  <c r="Z783" i="101"/>
  <c r="AG783" i="101"/>
  <c r="AH783" i="101"/>
  <c r="AM783" i="101"/>
  <c r="Z784" i="101"/>
  <c r="AG784" i="101"/>
  <c r="AH784" i="101"/>
  <c r="AM784" i="101"/>
  <c r="Z785" i="101"/>
  <c r="AG785" i="101"/>
  <c r="AH785" i="101"/>
  <c r="AM785" i="101"/>
  <c r="Z786" i="101"/>
  <c r="AG786" i="101"/>
  <c r="AH786" i="101"/>
  <c r="AM786" i="101"/>
  <c r="Z787" i="101"/>
  <c r="AG787" i="101"/>
  <c r="AH787" i="101"/>
  <c r="AM787" i="101"/>
  <c r="Z788" i="101"/>
  <c r="AG788" i="101"/>
  <c r="AH788" i="101"/>
  <c r="AM788" i="101"/>
  <c r="Z789" i="101"/>
  <c r="AG789" i="101"/>
  <c r="AH789" i="101"/>
  <c r="AM789" i="101"/>
  <c r="Z790" i="101"/>
  <c r="AG790" i="101"/>
  <c r="AH790" i="101"/>
  <c r="AM790" i="101"/>
  <c r="Z791" i="101"/>
  <c r="AG791" i="101"/>
  <c r="AH791" i="101"/>
  <c r="AM791" i="101"/>
  <c r="Z792" i="101"/>
  <c r="AG792" i="101"/>
  <c r="AH792" i="101"/>
  <c r="AM792" i="101"/>
  <c r="Z793" i="101"/>
  <c r="AG793" i="101"/>
  <c r="AH793" i="101"/>
  <c r="AM793" i="101"/>
  <c r="Z794" i="101"/>
  <c r="AG794" i="101"/>
  <c r="AH794" i="101"/>
  <c r="AM794" i="101"/>
  <c r="Z795" i="101"/>
  <c r="AG795" i="101"/>
  <c r="AH795" i="101"/>
  <c r="AM795" i="101"/>
  <c r="Z796" i="101"/>
  <c r="AG796" i="101"/>
  <c r="AH796" i="101"/>
  <c r="AM796" i="101"/>
  <c r="Z797" i="101"/>
  <c r="AG797" i="101"/>
  <c r="AH797" i="101"/>
  <c r="AM797" i="101"/>
  <c r="Z798" i="101"/>
  <c r="AG798" i="101"/>
  <c r="AH798" i="101"/>
  <c r="AM798" i="101"/>
  <c r="Z799" i="101"/>
  <c r="AG799" i="101"/>
  <c r="AH799" i="101"/>
  <c r="AM799" i="101"/>
  <c r="Z800" i="101"/>
  <c r="AG800" i="101"/>
  <c r="AH800" i="101"/>
  <c r="AM800" i="101"/>
  <c r="Z801" i="101"/>
  <c r="AG801" i="101"/>
  <c r="AH801" i="101"/>
  <c r="AM801" i="101"/>
  <c r="Z802" i="101"/>
  <c r="AG802" i="101"/>
  <c r="AH802" i="101"/>
  <c r="AM802" i="101"/>
  <c r="Z803" i="101"/>
  <c r="AG803" i="101"/>
  <c r="AH803" i="101"/>
  <c r="AM803" i="101"/>
  <c r="Z804" i="101"/>
  <c r="AG804" i="101"/>
  <c r="AH804" i="101"/>
  <c r="AM804" i="101"/>
  <c r="Z805" i="101"/>
  <c r="AG805" i="101"/>
  <c r="AH805" i="101"/>
  <c r="AM805" i="101"/>
  <c r="Z806" i="101"/>
  <c r="AG806" i="101"/>
  <c r="AH806" i="101"/>
  <c r="AM806" i="101"/>
  <c r="Z807" i="101"/>
  <c r="AG807" i="101"/>
  <c r="AH807" i="101"/>
  <c r="AM807" i="101"/>
  <c r="Z808" i="101"/>
  <c r="AG808" i="101"/>
  <c r="AH808" i="101"/>
  <c r="AM808" i="101"/>
  <c r="Z809" i="101"/>
  <c r="AG809" i="101"/>
  <c r="AH809" i="101"/>
  <c r="AM809" i="101"/>
  <c r="Z810" i="101"/>
  <c r="AG810" i="101"/>
  <c r="AH810" i="101"/>
  <c r="AM810" i="101"/>
  <c r="Z811" i="101"/>
  <c r="AG811" i="101"/>
  <c r="AH811" i="101"/>
  <c r="AM811" i="101"/>
  <c r="Z812" i="101"/>
  <c r="AG812" i="101"/>
  <c r="AH812" i="101"/>
  <c r="AM812" i="101"/>
  <c r="Z813" i="101"/>
  <c r="AG813" i="101"/>
  <c r="AH813" i="101"/>
  <c r="AM813" i="101"/>
  <c r="Z814" i="101"/>
  <c r="AG814" i="101"/>
  <c r="AM814" i="101"/>
  <c r="Z815" i="101"/>
  <c r="AG815" i="101"/>
  <c r="AH815" i="101"/>
  <c r="AH816" i="101" s="1"/>
  <c r="AH817" i="101" s="1"/>
  <c r="AM815" i="101"/>
  <c r="Z816" i="101"/>
  <c r="AG816" i="101"/>
  <c r="AM816" i="101"/>
  <c r="Z817" i="101"/>
  <c r="AG817" i="101"/>
  <c r="AM817" i="101"/>
  <c r="Z818" i="101"/>
  <c r="AG818" i="101"/>
  <c r="AH818" i="101"/>
  <c r="AM818" i="101"/>
  <c r="AG819" i="101"/>
  <c r="AH819" i="101"/>
  <c r="AM819" i="101"/>
  <c r="Z820" i="101"/>
  <c r="AG820" i="101"/>
  <c r="AH820" i="101"/>
  <c r="AM820" i="101"/>
  <c r="Z821" i="101"/>
  <c r="AG821" i="101"/>
  <c r="AH821" i="101"/>
  <c r="AM821" i="101"/>
  <c r="Z822" i="101"/>
  <c r="AG822" i="101"/>
  <c r="AH822" i="101"/>
  <c r="AM822" i="101"/>
  <c r="Z823" i="101"/>
  <c r="AG823" i="101"/>
  <c r="AH823" i="101"/>
  <c r="AM823" i="101"/>
  <c r="Z824" i="101"/>
  <c r="AG824" i="101"/>
  <c r="AH824" i="101"/>
  <c r="AM824" i="101"/>
  <c r="Z825" i="101"/>
  <c r="AG825" i="101"/>
  <c r="AH825" i="101"/>
  <c r="AM825" i="101"/>
  <c r="Z826" i="101"/>
  <c r="AG826" i="101"/>
  <c r="AH826" i="101"/>
  <c r="AM826" i="101"/>
  <c r="Z827" i="101"/>
  <c r="AG827" i="101"/>
  <c r="AH827" i="101"/>
  <c r="AM827" i="101"/>
  <c r="Z828" i="101"/>
  <c r="AG828" i="101"/>
  <c r="AH828" i="101"/>
  <c r="AM828" i="101"/>
  <c r="Z829" i="101"/>
  <c r="AG829" i="101"/>
  <c r="AH829" i="101"/>
  <c r="AM829" i="101"/>
  <c r="Z830" i="101"/>
  <c r="AG830" i="101"/>
  <c r="AH830" i="101"/>
  <c r="AM830" i="101"/>
  <c r="Z831" i="101"/>
  <c r="AG831" i="101"/>
  <c r="AH831" i="101"/>
  <c r="AM831" i="101"/>
  <c r="Z832" i="101"/>
  <c r="AG832" i="101"/>
  <c r="AH832" i="101"/>
  <c r="AM832" i="101"/>
  <c r="Z833" i="101"/>
  <c r="AG833" i="101"/>
  <c r="AH833" i="101"/>
  <c r="AM833" i="101"/>
  <c r="Z834" i="101"/>
  <c r="AG834" i="101"/>
  <c r="AH834" i="101"/>
  <c r="AM834" i="101"/>
  <c r="Z835" i="101"/>
  <c r="AG835" i="101"/>
  <c r="AH835" i="101"/>
  <c r="AM835" i="101"/>
  <c r="Z836" i="101"/>
  <c r="AG836" i="101"/>
  <c r="AH836" i="101"/>
  <c r="AM836" i="101"/>
  <c r="Z837" i="101"/>
  <c r="AG837" i="101"/>
  <c r="AH837" i="101"/>
  <c r="AM837" i="101"/>
  <c r="Z838" i="101"/>
  <c r="AG838" i="101"/>
  <c r="AH838" i="101"/>
  <c r="AM838" i="101"/>
  <c r="Z839" i="101"/>
  <c r="AG839" i="101"/>
  <c r="AH839" i="101"/>
  <c r="AM839" i="101"/>
  <c r="Z840" i="101"/>
  <c r="AG840" i="101"/>
  <c r="AH840" i="101"/>
  <c r="AM840" i="101"/>
  <c r="Z841" i="101"/>
  <c r="AG841" i="101"/>
  <c r="AH841" i="101"/>
  <c r="AM841" i="101"/>
  <c r="Z842" i="101"/>
  <c r="AG842" i="101"/>
  <c r="AH842" i="101"/>
  <c r="AM842" i="101"/>
  <c r="Z843" i="101"/>
  <c r="AG843" i="101"/>
  <c r="AH843" i="101"/>
  <c r="AM843" i="101"/>
  <c r="Z844" i="101"/>
  <c r="AG844" i="101"/>
  <c r="AH844" i="101"/>
  <c r="AM844" i="101"/>
  <c r="Z845" i="101"/>
  <c r="AG845" i="101"/>
  <c r="AH845" i="101"/>
  <c r="AM845" i="101"/>
  <c r="Z846" i="101"/>
  <c r="AG846" i="101"/>
  <c r="AH846" i="101"/>
  <c r="AM846" i="101"/>
  <c r="Z847" i="101"/>
  <c r="AG847" i="101"/>
  <c r="AH847" i="101"/>
  <c r="AM847" i="101"/>
  <c r="Z848" i="101"/>
  <c r="AG848" i="101"/>
  <c r="AH848" i="101"/>
  <c r="AM848" i="101"/>
  <c r="Z849" i="101"/>
  <c r="AG849" i="101"/>
  <c r="AH849" i="101"/>
  <c r="AM849" i="101"/>
  <c r="Z850" i="101"/>
  <c r="AG850" i="101"/>
  <c r="AH850" i="101"/>
  <c r="AM850" i="101"/>
  <c r="Z851" i="101"/>
  <c r="AG851" i="101"/>
  <c r="AH851" i="101"/>
  <c r="AM851" i="101"/>
  <c r="Z852" i="101"/>
  <c r="AG852" i="101"/>
  <c r="AH852" i="101"/>
  <c r="AM852" i="101"/>
  <c r="Z853" i="101"/>
  <c r="AG853" i="101"/>
  <c r="AH853" i="101"/>
  <c r="AM853" i="101"/>
  <c r="Z854" i="101"/>
  <c r="AG854" i="101"/>
  <c r="AH854" i="101"/>
  <c r="AM854" i="101"/>
  <c r="Z855" i="101"/>
  <c r="AG855" i="101"/>
  <c r="AH855" i="101"/>
  <c r="AM855" i="101"/>
  <c r="Z856" i="101"/>
  <c r="AG856" i="101"/>
  <c r="AH856" i="101"/>
  <c r="AM856" i="101"/>
  <c r="Z857" i="101"/>
  <c r="AG857" i="101"/>
  <c r="AH857" i="101"/>
  <c r="AM857" i="101"/>
  <c r="Z858" i="101"/>
  <c r="AG858" i="101"/>
  <c r="AH858" i="101"/>
  <c r="AM858" i="101"/>
  <c r="Z859" i="101"/>
  <c r="AG859" i="101"/>
  <c r="AH859" i="101"/>
  <c r="AM859" i="101"/>
  <c r="Z860" i="101"/>
  <c r="AG860" i="101"/>
  <c r="AH860" i="101"/>
  <c r="AM860" i="101"/>
  <c r="Z861" i="101"/>
  <c r="AG861" i="101"/>
  <c r="AH861" i="101"/>
  <c r="AM861" i="101"/>
  <c r="Z862" i="101"/>
  <c r="AG862" i="101"/>
  <c r="AH862" i="101"/>
  <c r="AM862" i="101"/>
  <c r="Z863" i="101"/>
  <c r="AG863" i="101"/>
  <c r="AH863" i="101"/>
  <c r="AM863" i="101"/>
  <c r="Z864" i="101"/>
  <c r="AG864" i="101"/>
  <c r="AH864" i="101"/>
  <c r="AM864" i="101"/>
  <c r="Z865" i="101"/>
  <c r="AG865" i="101"/>
  <c r="AH865" i="101"/>
  <c r="AM865" i="101"/>
  <c r="Z866" i="101"/>
  <c r="AG866" i="101"/>
  <c r="AH866" i="101"/>
  <c r="AM866" i="101"/>
  <c r="Z867" i="101"/>
  <c r="AG867" i="101"/>
  <c r="AH867" i="101"/>
  <c r="AM867" i="101"/>
  <c r="Z868" i="101"/>
  <c r="AG868" i="101"/>
  <c r="AH868" i="101"/>
  <c r="AM868" i="101"/>
  <c r="Z869" i="101"/>
  <c r="AG869" i="101"/>
  <c r="AH869" i="101"/>
  <c r="AM869" i="101"/>
  <c r="Z870" i="101"/>
  <c r="AG870" i="101"/>
  <c r="AH870" i="101"/>
  <c r="AM870" i="101"/>
  <c r="Z871" i="101"/>
  <c r="AG871" i="101"/>
  <c r="AH871" i="101"/>
  <c r="AM871" i="101"/>
  <c r="Z872" i="101"/>
  <c r="AG872" i="101"/>
  <c r="AH872" i="101"/>
  <c r="AM872" i="101"/>
  <c r="Z873" i="101"/>
  <c r="AG873" i="101"/>
  <c r="AH873" i="101"/>
  <c r="AM873" i="101"/>
  <c r="Z874" i="101"/>
  <c r="AG874" i="101"/>
  <c r="AH874" i="101"/>
  <c r="AM874" i="101"/>
  <c r="Z875" i="101"/>
  <c r="AG875" i="101"/>
  <c r="AH875" i="101"/>
  <c r="AM875" i="101"/>
  <c r="Z876" i="101"/>
  <c r="AG876" i="101"/>
  <c r="AH876" i="101"/>
  <c r="AM876" i="101"/>
  <c r="Z877" i="101"/>
  <c r="AG877" i="101"/>
  <c r="AH877" i="101"/>
  <c r="AM877" i="101"/>
  <c r="Z878" i="101"/>
  <c r="AG878" i="101"/>
  <c r="AH878" i="101"/>
  <c r="AM878" i="101"/>
  <c r="Z879" i="101"/>
  <c r="AG879" i="101"/>
  <c r="AH879" i="101"/>
  <c r="AM879" i="101"/>
  <c r="Z880" i="101"/>
  <c r="AG880" i="101"/>
  <c r="AH880" i="101"/>
  <c r="AM880" i="101"/>
  <c r="Z881" i="101"/>
  <c r="AG881" i="101"/>
  <c r="AH881" i="101"/>
  <c r="AM881" i="101"/>
  <c r="Z882" i="101"/>
  <c r="AG882" i="101"/>
  <c r="AH882" i="101"/>
  <c r="AM882" i="101"/>
  <c r="Z883" i="101"/>
  <c r="AG883" i="101"/>
  <c r="AH883" i="101"/>
  <c r="AM883" i="101"/>
  <c r="Z884" i="101"/>
  <c r="AG884" i="101"/>
  <c r="AH884" i="101"/>
  <c r="AM884" i="101"/>
  <c r="Z885" i="101"/>
  <c r="AG885" i="101"/>
  <c r="AH885" i="101"/>
  <c r="AM885" i="101"/>
  <c r="Z886" i="101"/>
  <c r="AG886" i="101"/>
  <c r="AH886" i="101"/>
  <c r="AM886" i="101"/>
  <c r="Z887" i="101"/>
  <c r="AG887" i="101"/>
  <c r="AH887" i="101"/>
  <c r="AM887" i="101"/>
  <c r="Z888" i="101"/>
  <c r="AG888" i="101"/>
  <c r="AH888" i="101"/>
  <c r="AM888" i="101"/>
  <c r="Z889" i="101"/>
  <c r="AG889" i="101"/>
  <c r="AH889" i="101"/>
  <c r="AM889" i="101"/>
  <c r="Z890" i="101"/>
  <c r="AG890" i="101"/>
  <c r="AH890" i="101"/>
  <c r="AM890" i="101"/>
  <c r="Z891" i="101"/>
  <c r="AG891" i="101"/>
  <c r="AH891" i="101"/>
  <c r="AM891" i="101"/>
  <c r="Z892" i="101"/>
  <c r="AG892" i="101"/>
  <c r="AH892" i="101"/>
  <c r="AM892" i="101"/>
  <c r="Z893" i="101"/>
  <c r="AG893" i="101"/>
  <c r="AH893" i="101"/>
  <c r="AM893" i="101"/>
  <c r="Z894" i="101"/>
  <c r="AG894" i="101"/>
  <c r="AH894" i="101"/>
  <c r="AM894" i="101"/>
  <c r="Z895" i="101"/>
  <c r="AG895" i="101"/>
  <c r="AH895" i="101"/>
  <c r="AM895" i="101"/>
  <c r="Z896" i="101"/>
  <c r="AG896" i="101"/>
  <c r="AH896" i="101"/>
  <c r="AM896" i="101"/>
  <c r="Z897" i="101"/>
  <c r="AG897" i="101"/>
  <c r="AH897" i="101"/>
  <c r="AM897" i="101"/>
  <c r="Z898" i="101"/>
  <c r="AG898" i="101"/>
  <c r="AH898" i="101"/>
  <c r="AM898" i="101"/>
  <c r="Z899" i="101"/>
  <c r="AG899" i="101"/>
  <c r="AH899" i="101"/>
  <c r="AM899" i="101"/>
  <c r="Z900" i="101"/>
  <c r="AG900" i="101"/>
  <c r="AH900" i="101"/>
  <c r="AM900" i="101"/>
  <c r="Z901" i="101"/>
  <c r="AG901" i="101"/>
  <c r="AH901" i="101"/>
  <c r="AM901" i="101"/>
  <c r="Z902" i="101"/>
  <c r="AG902" i="101"/>
  <c r="AH902" i="101"/>
  <c r="AM902" i="101"/>
  <c r="Z903" i="101"/>
  <c r="AG903" i="101"/>
  <c r="AH903" i="101"/>
  <c r="AM903" i="101"/>
  <c r="Z904" i="101"/>
  <c r="AG904" i="101"/>
  <c r="AH904" i="101"/>
  <c r="AM904" i="101"/>
  <c r="Z905" i="101"/>
  <c r="AG905" i="101"/>
  <c r="AH905" i="101"/>
  <c r="AM905" i="101"/>
  <c r="Z906" i="101"/>
  <c r="AG906" i="101"/>
  <c r="AH906" i="101"/>
  <c r="AM906" i="101"/>
  <c r="Z907" i="101"/>
  <c r="AG907" i="101"/>
  <c r="AH907" i="101"/>
  <c r="AM907" i="101"/>
  <c r="Z908" i="101"/>
  <c r="AG908" i="101"/>
  <c r="AH908" i="101"/>
  <c r="AM908" i="101"/>
  <c r="Z909" i="101"/>
  <c r="AG909" i="101"/>
  <c r="AH909" i="101"/>
  <c r="AM909" i="101"/>
  <c r="Z910" i="101"/>
  <c r="AG910" i="101"/>
  <c r="AH910" i="101"/>
  <c r="AM910" i="101"/>
  <c r="Z911" i="101"/>
  <c r="AG911" i="101"/>
  <c r="AH911" i="101"/>
  <c r="AM911" i="101"/>
  <c r="Z912" i="101"/>
  <c r="AG912" i="101"/>
  <c r="AH912" i="101"/>
  <c r="AM912" i="101"/>
  <c r="Z913" i="101"/>
  <c r="AG913" i="101"/>
  <c r="AH913" i="101"/>
  <c r="AM913" i="101"/>
  <c r="Z914" i="101"/>
  <c r="AG914" i="101"/>
  <c r="AH914" i="101"/>
  <c r="AM914" i="101"/>
  <c r="Z915" i="101"/>
  <c r="AG915" i="101"/>
  <c r="AH915" i="101"/>
  <c r="AM915" i="101"/>
  <c r="Z916" i="101"/>
  <c r="AG916" i="101"/>
  <c r="AH916" i="101"/>
  <c r="AM916" i="101"/>
  <c r="Z917" i="101"/>
  <c r="AG917" i="101"/>
  <c r="AH917" i="101"/>
  <c r="AM917" i="101"/>
  <c r="Z918" i="101"/>
  <c r="AG918" i="101"/>
  <c r="AH918" i="101"/>
  <c r="AM918" i="101"/>
  <c r="Z919" i="101"/>
  <c r="AG919" i="101"/>
  <c r="AH919" i="101"/>
  <c r="AM919" i="101"/>
  <c r="Z920" i="101"/>
  <c r="AG920" i="101"/>
  <c r="AH920" i="101"/>
  <c r="AM920" i="101"/>
  <c r="Z921" i="101"/>
  <c r="AG921" i="101"/>
  <c r="AH921" i="101"/>
  <c r="AM921" i="101"/>
  <c r="Z922" i="101"/>
  <c r="AG922" i="101"/>
  <c r="AH922" i="101"/>
  <c r="AM922" i="101"/>
  <c r="Z923" i="101"/>
  <c r="AG923" i="101"/>
  <c r="AH923" i="101"/>
  <c r="AM923" i="101"/>
  <c r="Z924" i="101"/>
  <c r="AG924" i="101"/>
  <c r="AH924" i="101"/>
  <c r="AM924" i="101"/>
  <c r="Z925" i="101"/>
  <c r="AG925" i="101"/>
  <c r="AH925" i="101"/>
  <c r="AM925" i="101"/>
  <c r="Z926" i="101"/>
  <c r="AG926" i="101"/>
  <c r="AH926" i="101"/>
  <c r="AM926" i="101"/>
  <c r="Z927" i="101"/>
  <c r="AG927" i="101"/>
  <c r="AH927" i="101"/>
  <c r="AM927" i="101"/>
  <c r="Z928" i="101"/>
  <c r="AG928" i="101"/>
  <c r="AH928" i="101"/>
  <c r="AM928" i="101"/>
  <c r="Z929" i="101"/>
  <c r="AG929" i="101"/>
  <c r="AH929" i="101"/>
  <c r="AM929" i="101"/>
  <c r="Z930" i="101"/>
  <c r="AG930" i="101"/>
  <c r="AH930" i="101"/>
  <c r="AM930" i="101"/>
  <c r="Z931" i="101"/>
  <c r="AG931" i="101"/>
  <c r="AH931" i="101"/>
  <c r="AM931" i="101"/>
  <c r="Z932" i="101"/>
  <c r="AG932" i="101"/>
  <c r="AH932" i="101"/>
  <c r="AM932" i="101"/>
  <c r="Z933" i="101"/>
  <c r="AG933" i="101"/>
  <c r="AH933" i="101"/>
  <c r="AM933" i="101"/>
  <c r="Z934" i="101"/>
  <c r="AG934" i="101"/>
  <c r="AH934" i="101"/>
  <c r="AM934" i="101"/>
  <c r="Z935" i="101"/>
  <c r="AG935" i="101"/>
  <c r="AH935" i="101"/>
  <c r="AM935" i="101"/>
  <c r="Z936" i="101"/>
  <c r="AG936" i="101"/>
  <c r="AH936" i="101"/>
  <c r="AM936" i="101"/>
  <c r="Z937" i="101"/>
  <c r="AG937" i="101"/>
  <c r="AH937" i="101"/>
  <c r="AM937" i="101"/>
  <c r="Z938" i="101"/>
  <c r="AG938" i="101"/>
  <c r="AH938" i="101"/>
  <c r="AM938" i="101"/>
  <c r="Z939" i="101"/>
  <c r="AG939" i="101"/>
  <c r="AH939" i="101"/>
  <c r="AM939" i="101"/>
  <c r="Z940" i="101"/>
  <c r="AG940" i="101"/>
  <c r="AH940" i="101"/>
  <c r="AM940" i="101"/>
  <c r="Z941" i="101"/>
  <c r="AG941" i="101"/>
  <c r="AH941" i="101"/>
  <c r="AM941" i="101"/>
  <c r="Z942" i="101"/>
  <c r="AG942" i="101"/>
  <c r="AH942" i="101"/>
  <c r="AM942" i="101"/>
  <c r="Z943" i="101"/>
  <c r="AG943" i="101"/>
  <c r="AH943" i="101"/>
  <c r="AM943" i="101"/>
  <c r="Z944" i="101"/>
  <c r="AG944" i="101"/>
  <c r="AH944" i="101"/>
  <c r="AM944" i="101"/>
  <c r="Z945" i="101"/>
  <c r="AG945" i="101"/>
  <c r="AH945" i="101"/>
  <c r="AM945" i="101"/>
  <c r="Z946" i="101"/>
  <c r="AG946" i="101"/>
  <c r="AH946" i="101"/>
  <c r="AM946" i="101"/>
  <c r="Z947" i="101"/>
  <c r="AG947" i="101"/>
  <c r="AH947" i="101"/>
  <c r="AM947" i="101"/>
  <c r="Z948" i="101"/>
  <c r="AG948" i="101"/>
  <c r="AH948" i="101"/>
  <c r="AM948" i="101"/>
  <c r="Z949" i="101"/>
  <c r="AG949" i="101"/>
  <c r="AH949" i="101"/>
  <c r="AM949" i="101"/>
  <c r="Z950" i="101"/>
  <c r="AG950" i="101"/>
  <c r="AH950" i="101"/>
  <c r="AM950" i="101"/>
  <c r="Z951" i="101"/>
  <c r="AG951" i="101"/>
  <c r="AH951" i="101"/>
  <c r="AM951" i="101"/>
  <c r="Z952" i="101"/>
  <c r="AG952" i="101"/>
  <c r="AH952" i="101"/>
  <c r="AM952" i="101"/>
  <c r="Z953" i="101"/>
  <c r="AG953" i="101"/>
  <c r="AH953" i="101"/>
  <c r="AM953" i="101"/>
  <c r="Z954" i="101"/>
  <c r="AG954" i="101"/>
  <c r="AH954" i="101"/>
  <c r="AM954" i="101"/>
  <c r="Z955" i="101"/>
  <c r="AG955" i="101"/>
  <c r="AH955" i="101"/>
  <c r="AM955" i="101"/>
  <c r="Z956" i="101"/>
  <c r="AG956" i="101"/>
  <c r="AH956" i="101"/>
  <c r="AM956" i="101"/>
  <c r="Z957" i="101"/>
  <c r="AG957" i="101"/>
  <c r="AH957" i="101"/>
  <c r="AM957" i="101"/>
  <c r="Z958" i="101"/>
  <c r="AG958" i="101"/>
  <c r="AH958" i="101"/>
  <c r="AM958" i="101"/>
  <c r="Z959" i="101"/>
  <c r="AG959" i="101"/>
  <c r="AH959" i="101"/>
  <c r="AM959" i="101"/>
  <c r="Z960" i="101"/>
  <c r="AG960" i="101"/>
  <c r="AH960" i="101"/>
  <c r="AM960" i="101"/>
  <c r="Z961" i="101"/>
  <c r="AG961" i="101"/>
  <c r="AH961" i="101"/>
  <c r="AM961" i="101"/>
  <c r="Z962" i="101"/>
  <c r="AG962" i="101"/>
  <c r="AH962" i="101"/>
  <c r="AM962" i="101"/>
  <c r="Z963" i="101"/>
  <c r="AG963" i="101"/>
  <c r="AH963" i="101"/>
  <c r="AM963" i="101"/>
  <c r="Z964" i="101"/>
  <c r="AG964" i="101"/>
  <c r="AH964" i="101"/>
  <c r="AM964" i="101"/>
  <c r="Z965" i="101"/>
  <c r="AG965" i="101"/>
  <c r="AH965" i="101"/>
  <c r="AM965" i="101"/>
  <c r="Z966" i="101"/>
  <c r="AG966" i="101"/>
  <c r="AH966" i="101"/>
  <c r="AM966" i="101"/>
  <c r="Z967" i="101"/>
  <c r="AG967" i="101"/>
  <c r="AH967" i="101"/>
  <c r="AM967" i="101"/>
  <c r="Z968" i="101"/>
  <c r="AG968" i="101"/>
  <c r="AH968" i="101"/>
  <c r="AM968" i="101"/>
  <c r="Z969" i="101"/>
  <c r="AG969" i="101"/>
  <c r="AH969" i="101"/>
  <c r="AM969" i="101"/>
  <c r="Z970" i="101"/>
  <c r="AG970" i="101"/>
  <c r="AH970" i="101"/>
  <c r="AM970" i="101"/>
  <c r="Z971" i="101"/>
  <c r="AG971" i="101"/>
  <c r="AH971" i="101"/>
  <c r="AM971" i="101"/>
  <c r="Z972" i="101"/>
  <c r="AG972" i="101"/>
  <c r="AH972" i="101"/>
  <c r="AM972" i="101"/>
  <c r="Z973" i="101"/>
  <c r="AG973" i="101"/>
  <c r="AH973" i="101"/>
  <c r="AM973" i="101"/>
  <c r="Z974" i="101"/>
  <c r="AG974" i="101"/>
  <c r="AH974" i="101"/>
  <c r="AM974" i="101"/>
  <c r="Z975" i="101"/>
  <c r="AG975" i="101"/>
  <c r="AH975" i="101"/>
  <c r="AM975" i="101"/>
  <c r="Z976" i="101"/>
  <c r="AG976" i="101"/>
  <c r="AH976" i="101"/>
  <c r="AM976" i="101"/>
  <c r="Z977" i="101"/>
  <c r="AG977" i="101"/>
  <c r="AH977" i="101"/>
  <c r="AM977" i="101"/>
  <c r="J14" i="101"/>
  <c r="N14" i="101"/>
  <c r="J15" i="101"/>
  <c r="N15" i="101"/>
  <c r="J16" i="101"/>
  <c r="N16" i="101"/>
  <c r="J17" i="101"/>
  <c r="B17" i="101" s="1"/>
  <c r="N17" i="101"/>
  <c r="J18" i="101"/>
  <c r="N18" i="101"/>
  <c r="J19" i="101"/>
  <c r="N19" i="101"/>
  <c r="J20" i="101"/>
  <c r="N20" i="101"/>
  <c r="J21" i="101"/>
  <c r="N21" i="101"/>
  <c r="J22" i="101"/>
  <c r="N22" i="101"/>
  <c r="J23" i="101"/>
  <c r="N23" i="101"/>
  <c r="J24" i="101"/>
  <c r="N24" i="101"/>
  <c r="J25" i="101"/>
  <c r="N25" i="101"/>
  <c r="J26" i="101"/>
  <c r="N26" i="101"/>
  <c r="J27" i="101"/>
  <c r="N27" i="101"/>
  <c r="J28" i="101"/>
  <c r="N28" i="101"/>
  <c r="J29" i="101"/>
  <c r="N29" i="101"/>
  <c r="J30" i="101"/>
  <c r="N30" i="101"/>
  <c r="J31" i="101"/>
  <c r="N31" i="101"/>
  <c r="J32" i="101"/>
  <c r="N32" i="101"/>
  <c r="J33" i="101"/>
  <c r="N33" i="101"/>
  <c r="J34" i="101"/>
  <c r="N34" i="101"/>
  <c r="J35" i="101"/>
  <c r="N35" i="101"/>
  <c r="J36" i="101"/>
  <c r="N36" i="101"/>
  <c r="J37" i="101"/>
  <c r="N37" i="101"/>
  <c r="J38" i="101"/>
  <c r="N38" i="101"/>
  <c r="J39" i="101"/>
  <c r="N39" i="101"/>
  <c r="J40" i="101"/>
  <c r="N40" i="101"/>
  <c r="J41" i="101"/>
  <c r="N41" i="101"/>
  <c r="J42" i="101"/>
  <c r="N42" i="101"/>
  <c r="A43" i="101"/>
  <c r="A44" i="101" s="1"/>
  <c r="A45" i="101" s="1"/>
  <c r="A46" i="101" s="1"/>
  <c r="J43" i="101"/>
  <c r="N43" i="101"/>
  <c r="J44" i="101"/>
  <c r="N44" i="101"/>
  <c r="J45" i="101"/>
  <c r="N45" i="101"/>
  <c r="J46" i="101"/>
  <c r="N46" i="101"/>
  <c r="J47" i="101"/>
  <c r="B47" i="101" s="1"/>
  <c r="N47" i="101"/>
  <c r="J48" i="101"/>
  <c r="N48" i="101"/>
  <c r="J49" i="101"/>
  <c r="N49" i="101"/>
  <c r="J50" i="101"/>
  <c r="N50" i="101"/>
  <c r="J51" i="101"/>
  <c r="N51" i="101"/>
  <c r="J52" i="101"/>
  <c r="N52" i="101"/>
  <c r="J53" i="101"/>
  <c r="N53" i="101"/>
  <c r="J54" i="101"/>
  <c r="N54" i="101"/>
  <c r="J55" i="101"/>
  <c r="N55" i="101"/>
  <c r="J56" i="101"/>
  <c r="N56" i="101"/>
  <c r="J57" i="101"/>
  <c r="N57" i="101"/>
  <c r="J58" i="101"/>
  <c r="N58" i="101"/>
  <c r="J59" i="101"/>
  <c r="N59" i="101"/>
  <c r="J60" i="101"/>
  <c r="N60" i="101"/>
  <c r="J61" i="101"/>
  <c r="N61" i="101"/>
  <c r="J62" i="101"/>
  <c r="N62" i="101"/>
  <c r="J63" i="101"/>
  <c r="N63" i="101"/>
  <c r="J64" i="101"/>
  <c r="N64" i="101"/>
  <c r="J65" i="101"/>
  <c r="N65" i="101"/>
  <c r="J66" i="101"/>
  <c r="N66" i="101"/>
  <c r="J67" i="101"/>
  <c r="N67" i="101"/>
  <c r="J68" i="101"/>
  <c r="N68" i="101"/>
  <c r="J69" i="101"/>
  <c r="N69" i="101"/>
  <c r="J70" i="101"/>
  <c r="N70" i="101"/>
  <c r="J71" i="101"/>
  <c r="N71" i="101"/>
  <c r="J72" i="101"/>
  <c r="N72" i="101"/>
  <c r="J73" i="101"/>
  <c r="N73" i="101"/>
  <c r="A74" i="101"/>
  <c r="A75" i="101" s="1"/>
  <c r="A76" i="101" s="1"/>
  <c r="J74" i="101"/>
  <c r="N74" i="101"/>
  <c r="J75" i="101"/>
  <c r="N75" i="101"/>
  <c r="J76" i="101"/>
  <c r="N76" i="101"/>
  <c r="J77" i="101"/>
  <c r="N77" i="101"/>
  <c r="J78" i="101"/>
  <c r="B78" i="101" s="1"/>
  <c r="N78" i="101"/>
  <c r="J79" i="101"/>
  <c r="N79" i="101"/>
  <c r="J80" i="101"/>
  <c r="N80" i="101"/>
  <c r="J81" i="101"/>
  <c r="N81" i="101"/>
  <c r="J82" i="101"/>
  <c r="N82" i="101"/>
  <c r="J83" i="101"/>
  <c r="N83" i="101"/>
  <c r="J84" i="101"/>
  <c r="N84" i="101"/>
  <c r="J85" i="101"/>
  <c r="N85" i="101"/>
  <c r="J86" i="101"/>
  <c r="N86" i="101"/>
  <c r="J87" i="101"/>
  <c r="N87" i="101"/>
  <c r="J88" i="101"/>
  <c r="N88" i="101"/>
  <c r="J89" i="101"/>
  <c r="N89" i="101"/>
  <c r="J90" i="101"/>
  <c r="N90" i="101"/>
  <c r="J91" i="101"/>
  <c r="N91" i="101"/>
  <c r="J92" i="101"/>
  <c r="N92" i="101"/>
  <c r="J93" i="101"/>
  <c r="N93" i="101"/>
  <c r="J94" i="101"/>
  <c r="N94" i="101"/>
  <c r="J95" i="101"/>
  <c r="N95" i="101"/>
  <c r="J96" i="101"/>
  <c r="N96" i="101"/>
  <c r="J97" i="101"/>
  <c r="N97" i="101"/>
  <c r="J98" i="101"/>
  <c r="N98" i="101"/>
  <c r="J99" i="101"/>
  <c r="N99" i="101"/>
  <c r="J100" i="101"/>
  <c r="N100" i="101"/>
  <c r="J101" i="101"/>
  <c r="N101" i="101"/>
  <c r="J102" i="101"/>
  <c r="N102" i="101"/>
  <c r="J103" i="101"/>
  <c r="N103" i="101"/>
  <c r="A104" i="101"/>
  <c r="A105" i="101" s="1"/>
  <c r="J104" i="101"/>
  <c r="N104" i="101"/>
  <c r="J105" i="101"/>
  <c r="N105" i="101"/>
  <c r="J106" i="101"/>
  <c r="N106" i="101"/>
  <c r="J107" i="101"/>
  <c r="N107" i="101"/>
  <c r="J108" i="101"/>
  <c r="B108" i="101" s="1"/>
  <c r="N108" i="101"/>
  <c r="J109" i="101"/>
  <c r="N109" i="101"/>
  <c r="J110" i="101"/>
  <c r="N110" i="101"/>
  <c r="J111" i="101"/>
  <c r="N111" i="101"/>
  <c r="J112" i="101"/>
  <c r="N112" i="101"/>
  <c r="J113" i="101"/>
  <c r="N113" i="101"/>
  <c r="J114" i="101"/>
  <c r="N114" i="101"/>
  <c r="J115" i="101"/>
  <c r="N115" i="101"/>
  <c r="J116" i="101"/>
  <c r="N116" i="101"/>
  <c r="J117" i="101"/>
  <c r="N117" i="101"/>
  <c r="J118" i="101"/>
  <c r="N118" i="101"/>
  <c r="J119" i="101"/>
  <c r="N119" i="101"/>
  <c r="J120" i="101"/>
  <c r="N120" i="101"/>
  <c r="J121" i="101"/>
  <c r="N121" i="101"/>
  <c r="J122" i="101"/>
  <c r="N122" i="101"/>
  <c r="A123" i="101"/>
  <c r="A124" i="101" s="1"/>
  <c r="A125" i="101" s="1"/>
  <c r="J123" i="101"/>
  <c r="N123" i="101"/>
  <c r="J124" i="101"/>
  <c r="N124" i="101"/>
  <c r="J125" i="101"/>
  <c r="N125" i="101"/>
  <c r="J126" i="101"/>
  <c r="N126" i="101"/>
  <c r="J127" i="101"/>
  <c r="B127" i="101" s="1"/>
  <c r="N127" i="101"/>
  <c r="J128" i="101"/>
  <c r="N128" i="101"/>
  <c r="J129" i="101"/>
  <c r="N129" i="101"/>
  <c r="J130" i="101"/>
  <c r="N130" i="101"/>
  <c r="J131" i="101"/>
  <c r="N131" i="101"/>
  <c r="J132" i="101"/>
  <c r="N132" i="101"/>
  <c r="J133" i="101"/>
  <c r="N133" i="101"/>
  <c r="J134" i="101"/>
  <c r="N134" i="101"/>
  <c r="J135" i="101"/>
  <c r="N135" i="101"/>
  <c r="J136" i="101"/>
  <c r="N136" i="101"/>
  <c r="J137" i="101"/>
  <c r="N137" i="101"/>
  <c r="J138" i="101"/>
  <c r="N138" i="101"/>
  <c r="J139" i="101"/>
  <c r="N139" i="101"/>
  <c r="J140" i="101"/>
  <c r="N140" i="101"/>
  <c r="J141" i="101"/>
  <c r="N141" i="101"/>
  <c r="J142" i="101"/>
  <c r="N142" i="101"/>
  <c r="J143" i="101"/>
  <c r="N143" i="101"/>
  <c r="J144" i="101"/>
  <c r="N144" i="101"/>
  <c r="J145" i="101"/>
  <c r="N145" i="101"/>
  <c r="J146" i="101"/>
  <c r="N146" i="101"/>
  <c r="J147" i="101"/>
  <c r="N147" i="101"/>
  <c r="J148" i="101"/>
  <c r="N148" i="101"/>
  <c r="J149" i="101"/>
  <c r="N149" i="101"/>
  <c r="J150" i="101"/>
  <c r="N150" i="101"/>
  <c r="J151" i="101"/>
  <c r="N151" i="101"/>
  <c r="J152" i="101"/>
  <c r="N152" i="101"/>
  <c r="J153" i="101"/>
  <c r="N153" i="101"/>
  <c r="A154" i="101"/>
  <c r="A155" i="101" s="1"/>
  <c r="J154" i="101"/>
  <c r="N154" i="101"/>
  <c r="J155" i="101"/>
  <c r="N155" i="101"/>
  <c r="J156" i="101"/>
  <c r="N156" i="101"/>
  <c r="J157" i="101"/>
  <c r="N157" i="101"/>
  <c r="J158" i="101"/>
  <c r="B158" i="101" s="1"/>
  <c r="N158" i="101"/>
  <c r="J159" i="101"/>
  <c r="B159" i="101" s="1"/>
  <c r="N159" i="101"/>
  <c r="J160" i="101"/>
  <c r="N160" i="101"/>
  <c r="J161" i="101"/>
  <c r="N161" i="101"/>
  <c r="J162" i="101"/>
  <c r="N162" i="101"/>
  <c r="J163" i="101"/>
  <c r="N163" i="101"/>
  <c r="J164" i="101"/>
  <c r="N164" i="101"/>
  <c r="J165" i="101"/>
  <c r="N165" i="101"/>
  <c r="J166" i="101"/>
  <c r="N166" i="101"/>
  <c r="J167" i="101"/>
  <c r="N167" i="101"/>
  <c r="J168" i="101"/>
  <c r="N168" i="101"/>
  <c r="J169" i="101"/>
  <c r="N169" i="101"/>
  <c r="J170" i="101"/>
  <c r="N170" i="101"/>
  <c r="J171" i="101"/>
  <c r="N171" i="101"/>
  <c r="J172" i="101"/>
  <c r="N172" i="101"/>
  <c r="J173" i="101"/>
  <c r="N173" i="101"/>
  <c r="J174" i="101"/>
  <c r="N174" i="101"/>
  <c r="J175" i="101"/>
  <c r="N175" i="101"/>
  <c r="J176" i="101"/>
  <c r="N176" i="101"/>
  <c r="J177" i="101"/>
  <c r="N177" i="101"/>
  <c r="J178" i="101"/>
  <c r="N178" i="101"/>
  <c r="J179" i="101"/>
  <c r="N179" i="101"/>
  <c r="J180" i="101"/>
  <c r="N180" i="101"/>
  <c r="J181" i="101"/>
  <c r="N181" i="101"/>
  <c r="J182" i="101"/>
  <c r="N182" i="101"/>
  <c r="J183" i="101"/>
  <c r="N183" i="101"/>
  <c r="J184" i="101"/>
  <c r="N184" i="101"/>
  <c r="A185" i="101"/>
  <c r="A186" i="101" s="1"/>
  <c r="A187" i="101" s="1"/>
  <c r="J185" i="101"/>
  <c r="N185" i="101"/>
  <c r="J186" i="101"/>
  <c r="N186" i="101"/>
  <c r="J187" i="101"/>
  <c r="B187" i="101" s="1"/>
  <c r="N187" i="101"/>
  <c r="J188" i="101"/>
  <c r="N188" i="101"/>
  <c r="J189" i="101"/>
  <c r="N189" i="101"/>
  <c r="J190" i="101"/>
  <c r="N190" i="101"/>
  <c r="J191" i="101"/>
  <c r="N191" i="101"/>
  <c r="J192" i="101"/>
  <c r="N192" i="101"/>
  <c r="J193" i="101"/>
  <c r="N193" i="101"/>
  <c r="J194" i="101"/>
  <c r="N194" i="101"/>
  <c r="J195" i="101"/>
  <c r="N195" i="101"/>
  <c r="J196" i="101"/>
  <c r="N196" i="101"/>
  <c r="J197" i="101"/>
  <c r="N197" i="101"/>
  <c r="J198" i="101"/>
  <c r="N198" i="101"/>
  <c r="J199" i="101"/>
  <c r="N199" i="101"/>
  <c r="J200" i="101"/>
  <c r="N200" i="101"/>
  <c r="J201" i="101"/>
  <c r="N201" i="101"/>
  <c r="J202" i="101"/>
  <c r="N202" i="101"/>
  <c r="J203" i="101"/>
  <c r="N203" i="101"/>
  <c r="J204" i="101"/>
  <c r="N204" i="101"/>
  <c r="J205" i="101"/>
  <c r="N205" i="101"/>
  <c r="J206" i="101"/>
  <c r="N206" i="101"/>
  <c r="J207" i="101"/>
  <c r="N207" i="101"/>
  <c r="J208" i="101"/>
  <c r="N208" i="101"/>
  <c r="J209" i="101"/>
  <c r="N209" i="101"/>
  <c r="J210" i="101"/>
  <c r="N210" i="101"/>
  <c r="J211" i="101"/>
  <c r="N211" i="101"/>
  <c r="J212" i="101"/>
  <c r="N212" i="101"/>
  <c r="J213" i="101"/>
  <c r="N213" i="101"/>
  <c r="A214" i="101"/>
  <c r="J214" i="101"/>
  <c r="N214" i="101"/>
  <c r="J215" i="101"/>
  <c r="N215" i="101"/>
  <c r="J216" i="101"/>
  <c r="N216" i="101"/>
  <c r="J217" i="101"/>
  <c r="N217" i="101"/>
  <c r="J218" i="101"/>
  <c r="B218" i="101" s="1"/>
  <c r="N218" i="101"/>
  <c r="J219" i="101"/>
  <c r="N219" i="101"/>
  <c r="J220" i="101"/>
  <c r="N220" i="101"/>
  <c r="J221" i="101"/>
  <c r="N221" i="101"/>
  <c r="J222" i="101"/>
  <c r="N222" i="101"/>
  <c r="J223" i="101"/>
  <c r="N223" i="101"/>
  <c r="J224" i="101"/>
  <c r="N224" i="101"/>
  <c r="J225" i="101"/>
  <c r="N225" i="101"/>
  <c r="J226" i="101"/>
  <c r="N226" i="101"/>
  <c r="J227" i="101"/>
  <c r="N227" i="101"/>
  <c r="J228" i="101"/>
  <c r="N228" i="101"/>
  <c r="J229" i="101"/>
  <c r="N229" i="101"/>
  <c r="J230" i="101"/>
  <c r="N230" i="101"/>
  <c r="J231" i="101"/>
  <c r="N231" i="101"/>
  <c r="J232" i="101"/>
  <c r="N232" i="101"/>
  <c r="J233" i="101"/>
  <c r="N233" i="101"/>
  <c r="J234" i="101"/>
  <c r="N234" i="101"/>
  <c r="J235" i="101"/>
  <c r="N235" i="101"/>
  <c r="J236" i="101"/>
  <c r="N236" i="101"/>
  <c r="J237" i="101"/>
  <c r="N237" i="101"/>
  <c r="J238" i="101"/>
  <c r="N238" i="101"/>
  <c r="J239" i="101"/>
  <c r="N239" i="101"/>
  <c r="J240" i="101"/>
  <c r="N240" i="101"/>
  <c r="J241" i="101"/>
  <c r="N241" i="101"/>
  <c r="A242" i="101"/>
  <c r="J242" i="101"/>
  <c r="N242" i="101"/>
  <c r="J243" i="101"/>
  <c r="N243" i="101"/>
  <c r="J244" i="101"/>
  <c r="N244" i="101"/>
  <c r="J245" i="101"/>
  <c r="N245" i="101"/>
  <c r="J246" i="101"/>
  <c r="B246" i="101" s="1"/>
  <c r="N246" i="101"/>
  <c r="J247" i="101"/>
  <c r="N247" i="101"/>
  <c r="J248" i="101"/>
  <c r="N248" i="101"/>
  <c r="J249" i="101"/>
  <c r="N249" i="101"/>
  <c r="J250" i="101"/>
  <c r="N250" i="101"/>
  <c r="J251" i="101"/>
  <c r="N251" i="101"/>
  <c r="J252" i="101"/>
  <c r="N252" i="101"/>
  <c r="J253" i="101"/>
  <c r="N253" i="101"/>
  <c r="J254" i="101"/>
  <c r="N254" i="101"/>
  <c r="J255" i="101"/>
  <c r="N255" i="101"/>
  <c r="J256" i="101"/>
  <c r="N256" i="101"/>
  <c r="J257" i="101"/>
  <c r="N257" i="101"/>
  <c r="J258" i="101"/>
  <c r="N258" i="101"/>
  <c r="J259" i="101"/>
  <c r="N259" i="101"/>
  <c r="J260" i="101"/>
  <c r="N260" i="101"/>
  <c r="J261" i="101"/>
  <c r="N261" i="101"/>
  <c r="J262" i="101"/>
  <c r="N262" i="101"/>
  <c r="J263" i="101"/>
  <c r="N263" i="101"/>
  <c r="J264" i="101"/>
  <c r="N264" i="101"/>
  <c r="J265" i="101"/>
  <c r="N265" i="101"/>
  <c r="J266" i="101"/>
  <c r="N266" i="101"/>
  <c r="J267" i="101"/>
  <c r="N267" i="101"/>
  <c r="J268" i="101"/>
  <c r="N268" i="101"/>
  <c r="J269" i="101"/>
  <c r="N269" i="101"/>
  <c r="J270" i="101"/>
  <c r="N270" i="101"/>
  <c r="J271" i="101"/>
  <c r="N271" i="101"/>
  <c r="J272" i="101"/>
  <c r="N272" i="101"/>
  <c r="A273" i="101"/>
  <c r="A274" i="101" s="1"/>
  <c r="J273" i="101"/>
  <c r="N273" i="101"/>
  <c r="J274" i="101"/>
  <c r="N274" i="101"/>
  <c r="J275" i="101"/>
  <c r="N275" i="101"/>
  <c r="J276" i="101"/>
  <c r="B276" i="101" s="1"/>
  <c r="N276" i="101"/>
  <c r="J277" i="101"/>
  <c r="N277" i="101"/>
  <c r="J278" i="101"/>
  <c r="N278" i="101"/>
  <c r="J279" i="101"/>
  <c r="N279" i="101"/>
  <c r="J280" i="101"/>
  <c r="N280" i="101"/>
  <c r="J281" i="101"/>
  <c r="J282" i="101"/>
  <c r="N282" i="101"/>
  <c r="J283" i="101"/>
  <c r="N283" i="101"/>
  <c r="J284" i="101"/>
  <c r="N284" i="101"/>
  <c r="J285" i="101"/>
  <c r="N285" i="101"/>
  <c r="J286" i="101"/>
  <c r="N286" i="101"/>
  <c r="J287" i="101"/>
  <c r="N287" i="101"/>
  <c r="J288" i="101"/>
  <c r="N288" i="101"/>
  <c r="J289" i="101"/>
  <c r="N289" i="101"/>
  <c r="J290" i="101"/>
  <c r="N290" i="101"/>
  <c r="J291" i="101"/>
  <c r="N291" i="101"/>
  <c r="A292" i="101"/>
  <c r="A293" i="101" s="1"/>
  <c r="J292" i="101"/>
  <c r="N292" i="101"/>
  <c r="J293" i="101"/>
  <c r="N293" i="101"/>
  <c r="J294" i="101"/>
  <c r="N294" i="101"/>
  <c r="J295" i="101"/>
  <c r="N295" i="101"/>
  <c r="J296" i="101"/>
  <c r="B296" i="101" s="1"/>
  <c r="N296" i="101"/>
  <c r="J297" i="101"/>
  <c r="B297" i="101" s="1"/>
  <c r="N297" i="101"/>
  <c r="J298" i="101"/>
  <c r="N298" i="101"/>
  <c r="J299" i="101"/>
  <c r="N299" i="101"/>
  <c r="J300" i="101"/>
  <c r="N300" i="101"/>
  <c r="J301" i="101"/>
  <c r="N301" i="101"/>
  <c r="J302" i="101"/>
  <c r="N302" i="101"/>
  <c r="J303" i="101"/>
  <c r="N303" i="101"/>
  <c r="J304" i="101"/>
  <c r="N304" i="101"/>
  <c r="J305" i="101"/>
  <c r="N305" i="101"/>
  <c r="J306" i="101"/>
  <c r="N306" i="101"/>
  <c r="J307" i="101"/>
  <c r="N307" i="101"/>
  <c r="J308" i="101"/>
  <c r="N308" i="101"/>
  <c r="J309" i="101"/>
  <c r="N309" i="101"/>
  <c r="J310" i="101"/>
  <c r="N310" i="101"/>
  <c r="J311" i="101"/>
  <c r="N311" i="101"/>
  <c r="J312" i="101"/>
  <c r="N312" i="101"/>
  <c r="J313" i="101"/>
  <c r="N313" i="101"/>
  <c r="J314" i="101"/>
  <c r="N314" i="101"/>
  <c r="J315" i="101"/>
  <c r="N315" i="101"/>
  <c r="J316" i="101"/>
  <c r="N316" i="101"/>
  <c r="J317" i="101"/>
  <c r="N317" i="101"/>
  <c r="J318" i="101"/>
  <c r="N318" i="101"/>
  <c r="J319" i="101"/>
  <c r="N319" i="101"/>
  <c r="J320" i="101"/>
  <c r="N320" i="101"/>
  <c r="J321" i="101"/>
  <c r="N321" i="101"/>
  <c r="A322" i="101"/>
  <c r="A323" i="101" s="1"/>
  <c r="J322" i="101"/>
  <c r="N322" i="101"/>
  <c r="J323" i="101"/>
  <c r="N323" i="101"/>
  <c r="J324" i="101"/>
  <c r="N324" i="101"/>
  <c r="J325" i="101"/>
  <c r="N325" i="101"/>
  <c r="J326" i="101"/>
  <c r="B326" i="101" s="1"/>
  <c r="N326" i="101"/>
  <c r="J327" i="101"/>
  <c r="N327" i="101"/>
  <c r="J328" i="101"/>
  <c r="N328" i="101"/>
  <c r="J329" i="101"/>
  <c r="N329" i="101"/>
  <c r="J330" i="101"/>
  <c r="N330" i="101"/>
  <c r="J331" i="101"/>
  <c r="N331" i="101"/>
  <c r="J332" i="101"/>
  <c r="N332" i="101"/>
  <c r="J333" i="101"/>
  <c r="N333" i="101"/>
  <c r="J334" i="101"/>
  <c r="N334" i="101"/>
  <c r="J335" i="101"/>
  <c r="N335" i="101"/>
  <c r="J336" i="101"/>
  <c r="N336" i="101"/>
  <c r="J337" i="101"/>
  <c r="N337" i="101"/>
  <c r="J338" i="101"/>
  <c r="N338" i="101"/>
  <c r="J339" i="101"/>
  <c r="N339" i="101"/>
  <c r="J340" i="101"/>
  <c r="N340" i="101"/>
  <c r="J341" i="101"/>
  <c r="N341" i="101"/>
  <c r="J342" i="101"/>
  <c r="N342" i="101"/>
  <c r="J343" i="101"/>
  <c r="N343" i="101"/>
  <c r="J344" i="101"/>
  <c r="N344" i="101"/>
  <c r="J345" i="101"/>
  <c r="N345" i="101"/>
  <c r="J346" i="101"/>
  <c r="N346" i="101"/>
  <c r="J347" i="101"/>
  <c r="N347" i="101"/>
  <c r="J348" i="101"/>
  <c r="N348" i="101"/>
  <c r="J349" i="101"/>
  <c r="N349" i="101"/>
  <c r="J350" i="101"/>
  <c r="N350" i="101"/>
  <c r="J351" i="101"/>
  <c r="N351" i="101"/>
  <c r="J352" i="101"/>
  <c r="N352" i="101"/>
  <c r="A353" i="101"/>
  <c r="A354" i="101" s="1"/>
  <c r="J353" i="101"/>
  <c r="N353" i="101"/>
  <c r="J354" i="101"/>
  <c r="N354" i="101"/>
  <c r="J355" i="101"/>
  <c r="N355" i="101"/>
  <c r="J356" i="101"/>
  <c r="N356" i="101"/>
  <c r="J357" i="101"/>
  <c r="B357" i="101" s="1"/>
  <c r="N357" i="101"/>
  <c r="J358" i="101"/>
  <c r="N358" i="101"/>
  <c r="J359" i="101"/>
  <c r="N359" i="101"/>
  <c r="J360" i="101"/>
  <c r="N360" i="101"/>
  <c r="J361" i="101"/>
  <c r="N361" i="101"/>
  <c r="J362" i="101"/>
  <c r="N362" i="101"/>
  <c r="J363" i="101"/>
  <c r="N364" i="101"/>
  <c r="J365" i="101"/>
  <c r="B365" i="101" s="1"/>
  <c r="N365" i="101"/>
  <c r="J366" i="101"/>
  <c r="N366" i="101"/>
  <c r="J367" i="101"/>
  <c r="N367" i="101"/>
  <c r="J368" i="101"/>
  <c r="N368" i="101"/>
  <c r="J369" i="101"/>
  <c r="N369" i="101"/>
  <c r="J370" i="101"/>
  <c r="N370" i="101"/>
  <c r="J371" i="101"/>
  <c r="N371" i="101"/>
  <c r="J372" i="101"/>
  <c r="N372" i="101"/>
  <c r="J373" i="101"/>
  <c r="N373" i="101"/>
  <c r="J374" i="101"/>
  <c r="N374" i="101"/>
  <c r="J375" i="101"/>
  <c r="N375" i="101"/>
  <c r="J376" i="101"/>
  <c r="N376" i="101"/>
  <c r="J377" i="101"/>
  <c r="N377" i="101"/>
  <c r="J378" i="101"/>
  <c r="N378" i="101"/>
  <c r="J379" i="101"/>
  <c r="N379" i="101"/>
  <c r="J380" i="101"/>
  <c r="N380" i="101"/>
  <c r="J381" i="101"/>
  <c r="N381" i="101"/>
  <c r="J382" i="101"/>
  <c r="N382" i="101"/>
  <c r="J383" i="101"/>
  <c r="N383" i="101"/>
  <c r="A384" i="101"/>
  <c r="A385" i="101" s="1"/>
  <c r="J384" i="101"/>
  <c r="N384" i="101"/>
  <c r="J385" i="101"/>
  <c r="N385" i="101"/>
  <c r="J386" i="101"/>
  <c r="N386" i="101"/>
  <c r="J387" i="101"/>
  <c r="N387" i="101"/>
  <c r="J388" i="101"/>
  <c r="B388" i="101" s="1"/>
  <c r="N388" i="101"/>
  <c r="J389" i="101"/>
  <c r="N389" i="101"/>
  <c r="J390" i="101"/>
  <c r="N390" i="101"/>
  <c r="J391" i="101"/>
  <c r="N391" i="101"/>
  <c r="J392" i="101"/>
  <c r="N392" i="101"/>
  <c r="J393" i="101"/>
  <c r="N393" i="101"/>
  <c r="J394" i="101"/>
  <c r="N394" i="101"/>
  <c r="J395" i="101"/>
  <c r="N395" i="101"/>
  <c r="J396" i="101"/>
  <c r="N396" i="101"/>
  <c r="J397" i="101"/>
  <c r="N397" i="101"/>
  <c r="J398" i="101"/>
  <c r="N398" i="101"/>
  <c r="J399" i="101"/>
  <c r="N399" i="101"/>
  <c r="J400" i="101"/>
  <c r="N400" i="101"/>
  <c r="J401" i="101"/>
  <c r="N401" i="101"/>
  <c r="J402" i="101"/>
  <c r="N402" i="101"/>
  <c r="J403" i="101"/>
  <c r="N403" i="101"/>
  <c r="J404" i="101"/>
  <c r="N404" i="101"/>
  <c r="J405" i="101"/>
  <c r="N405" i="101"/>
  <c r="J406" i="101"/>
  <c r="N406" i="101"/>
  <c r="J407" i="101"/>
  <c r="N407" i="101"/>
  <c r="J408" i="101"/>
  <c r="N408" i="101"/>
  <c r="J409" i="101"/>
  <c r="N409" i="101"/>
  <c r="J410" i="101"/>
  <c r="N410" i="101"/>
  <c r="J411" i="101"/>
  <c r="N411" i="101"/>
  <c r="J412" i="101"/>
  <c r="N412" i="101"/>
  <c r="J413" i="101"/>
  <c r="N413" i="101"/>
  <c r="A414" i="101"/>
  <c r="A415" i="101" s="1"/>
  <c r="J414" i="101"/>
  <c r="N414" i="101"/>
  <c r="J415" i="101"/>
  <c r="N415" i="101"/>
  <c r="J416" i="101"/>
  <c r="N416" i="101"/>
  <c r="J417" i="101"/>
  <c r="N417" i="101"/>
  <c r="J418" i="101"/>
  <c r="B418" i="101" s="1"/>
  <c r="N418" i="101"/>
  <c r="J419" i="101"/>
  <c r="N419" i="101"/>
  <c r="J420" i="101"/>
  <c r="N420" i="101"/>
  <c r="A421" i="101"/>
  <c r="A422" i="101" s="1"/>
  <c r="A423" i="101" s="1"/>
  <c r="J421" i="101"/>
  <c r="N421" i="101"/>
  <c r="J422" i="101"/>
  <c r="N422" i="101"/>
  <c r="J423" i="101"/>
  <c r="B423" i="101" s="1"/>
  <c r="N423" i="101"/>
  <c r="J424" i="101"/>
  <c r="N424" i="101"/>
  <c r="J425" i="101"/>
  <c r="N425" i="101"/>
  <c r="J426" i="101"/>
  <c r="N426" i="101"/>
  <c r="J427" i="101"/>
  <c r="N427" i="101"/>
  <c r="J428" i="101"/>
  <c r="N428" i="101"/>
  <c r="J429" i="101"/>
  <c r="N429" i="101"/>
  <c r="J430" i="101"/>
  <c r="N430" i="101"/>
  <c r="J431" i="101"/>
  <c r="N431" i="101"/>
  <c r="J432" i="101"/>
  <c r="N432" i="101"/>
  <c r="J433" i="101"/>
  <c r="N433" i="101"/>
  <c r="J434" i="101"/>
  <c r="N434" i="101"/>
  <c r="J435" i="101"/>
  <c r="N435" i="101"/>
  <c r="J436" i="101"/>
  <c r="N436" i="101"/>
  <c r="J437" i="101"/>
  <c r="N437" i="101"/>
  <c r="J438" i="101"/>
  <c r="N438" i="101"/>
  <c r="J439" i="101"/>
  <c r="N439" i="101"/>
  <c r="J440" i="101"/>
  <c r="N440" i="101"/>
  <c r="J441" i="101"/>
  <c r="N441" i="101"/>
  <c r="J442" i="101"/>
  <c r="N442" i="101"/>
  <c r="J443" i="101"/>
  <c r="N443" i="101"/>
  <c r="J444" i="101"/>
  <c r="N444" i="101"/>
  <c r="A445" i="101"/>
  <c r="J445" i="101"/>
  <c r="N445" i="101"/>
  <c r="J446" i="101"/>
  <c r="N446" i="101"/>
  <c r="J447" i="101"/>
  <c r="N447" i="101"/>
  <c r="J448" i="101"/>
  <c r="N448" i="101"/>
  <c r="J449" i="101"/>
  <c r="B449" i="101" s="1"/>
  <c r="N449" i="101"/>
  <c r="J450" i="101"/>
  <c r="N450" i="101"/>
  <c r="J451" i="101"/>
  <c r="N451" i="101"/>
  <c r="J452" i="101"/>
  <c r="N452" i="101"/>
  <c r="J453" i="101"/>
  <c r="N453" i="101"/>
  <c r="J454" i="101"/>
  <c r="N454" i="101"/>
  <c r="J455" i="101"/>
  <c r="N455" i="101"/>
  <c r="J456" i="101"/>
  <c r="N456" i="101"/>
  <c r="J457" i="101"/>
  <c r="N457" i="101"/>
  <c r="J458" i="101"/>
  <c r="N458" i="101"/>
  <c r="J459" i="101"/>
  <c r="N459" i="101"/>
  <c r="J460" i="101"/>
  <c r="N460" i="101"/>
  <c r="J461" i="101"/>
  <c r="N461" i="101"/>
  <c r="J462" i="101"/>
  <c r="N462" i="101"/>
  <c r="J463" i="101"/>
  <c r="N463" i="101"/>
  <c r="J464" i="101"/>
  <c r="N464" i="101"/>
  <c r="J465" i="101"/>
  <c r="N465" i="101"/>
  <c r="J466" i="101"/>
  <c r="N466" i="101"/>
  <c r="J467" i="101"/>
  <c r="N467" i="101"/>
  <c r="J468" i="101"/>
  <c r="N468" i="101"/>
  <c r="J469" i="101"/>
  <c r="N469" i="101"/>
  <c r="J470" i="101"/>
  <c r="N470" i="101"/>
  <c r="A471" i="101"/>
  <c r="J471" i="101"/>
  <c r="N471" i="101"/>
  <c r="J472" i="101"/>
  <c r="N472" i="101"/>
  <c r="A473" i="101"/>
  <c r="A474" i="101" s="1"/>
  <c r="A475" i="101" s="1"/>
  <c r="A476" i="101" s="1"/>
  <c r="A477" i="101" s="1"/>
  <c r="A478" i="101" s="1"/>
  <c r="A479" i="101" s="1"/>
  <c r="A480" i="101" s="1"/>
  <c r="A481" i="101" s="1"/>
  <c r="J473" i="101"/>
  <c r="B473" i="101" s="1"/>
  <c r="N473" i="101"/>
  <c r="J474" i="101"/>
  <c r="N474" i="101"/>
  <c r="J475" i="101"/>
  <c r="N475" i="101"/>
  <c r="J476" i="101"/>
  <c r="N476" i="101"/>
  <c r="J477" i="101"/>
  <c r="N477" i="101"/>
  <c r="J478" i="101"/>
  <c r="N478" i="101"/>
  <c r="J479" i="101"/>
  <c r="N479" i="101"/>
  <c r="J480" i="101"/>
  <c r="N480" i="101"/>
  <c r="J481" i="101"/>
  <c r="N481" i="101"/>
  <c r="J482" i="101"/>
  <c r="N482" i="101"/>
  <c r="J483" i="101"/>
  <c r="N483" i="101"/>
  <c r="J484" i="101"/>
  <c r="N484" i="101"/>
  <c r="J485" i="101"/>
  <c r="N485" i="101"/>
  <c r="J486" i="101"/>
  <c r="N486" i="101"/>
  <c r="J487" i="101"/>
  <c r="N487" i="101"/>
  <c r="J488" i="101"/>
  <c r="N488" i="101"/>
  <c r="J489" i="101"/>
  <c r="N489" i="101"/>
  <c r="J490" i="101"/>
  <c r="N490" i="101"/>
  <c r="J491" i="101"/>
  <c r="N491" i="101"/>
  <c r="J492" i="101"/>
  <c r="N492" i="101"/>
  <c r="A493" i="101"/>
  <c r="A494" i="101" s="1"/>
  <c r="J493" i="101"/>
  <c r="N493" i="101"/>
  <c r="J494" i="101"/>
  <c r="N494" i="101"/>
  <c r="J495" i="101"/>
  <c r="N495" i="101"/>
  <c r="J496" i="101"/>
  <c r="N496" i="101"/>
  <c r="J497" i="101"/>
  <c r="B497" i="101" s="1"/>
  <c r="N497" i="101"/>
  <c r="J498" i="101"/>
  <c r="N498" i="101"/>
  <c r="J499" i="101"/>
  <c r="N499" i="101"/>
  <c r="J500" i="101"/>
  <c r="N500" i="101"/>
  <c r="J501" i="101"/>
  <c r="N501" i="101"/>
  <c r="J502" i="101"/>
  <c r="N502" i="101"/>
  <c r="J503" i="101"/>
  <c r="N503" i="101"/>
  <c r="J504" i="101"/>
  <c r="N504" i="101"/>
  <c r="J505" i="101"/>
  <c r="N505" i="101"/>
  <c r="J506" i="101"/>
  <c r="N506" i="101"/>
  <c r="J507" i="101"/>
  <c r="N507" i="101"/>
  <c r="J508" i="101"/>
  <c r="N508" i="101"/>
  <c r="J509" i="101"/>
  <c r="N509" i="101"/>
  <c r="J510" i="101"/>
  <c r="N510" i="101"/>
  <c r="J511" i="101"/>
  <c r="N511" i="101"/>
  <c r="J512" i="101"/>
  <c r="N512" i="101"/>
  <c r="J513" i="101"/>
  <c r="N513" i="101"/>
  <c r="J514" i="101"/>
  <c r="N514" i="101"/>
  <c r="J515" i="101"/>
  <c r="N515" i="101"/>
  <c r="J516" i="101"/>
  <c r="N516" i="101"/>
  <c r="J517" i="101"/>
  <c r="N517" i="101"/>
  <c r="N518" i="101"/>
  <c r="J519" i="101"/>
  <c r="N519" i="101"/>
  <c r="J520" i="101"/>
  <c r="N520" i="101"/>
  <c r="J521" i="101"/>
  <c r="N521" i="101"/>
  <c r="J522" i="101"/>
  <c r="N522" i="101"/>
  <c r="J523" i="101"/>
  <c r="N523" i="101"/>
  <c r="J524" i="101"/>
  <c r="N524" i="101"/>
  <c r="J525" i="101"/>
  <c r="N525" i="101"/>
  <c r="J526" i="101"/>
  <c r="N526" i="101"/>
  <c r="J527" i="101"/>
  <c r="B527" i="101" s="1"/>
  <c r="N527" i="101"/>
  <c r="J528" i="101"/>
  <c r="N528" i="101"/>
  <c r="J529" i="101"/>
  <c r="N529" i="101"/>
  <c r="J530" i="101"/>
  <c r="N530" i="101"/>
  <c r="J531" i="101"/>
  <c r="N531" i="101"/>
  <c r="J532" i="101"/>
  <c r="N532" i="101"/>
  <c r="J533" i="101"/>
  <c r="N533" i="101"/>
  <c r="J534" i="101"/>
  <c r="N534" i="101"/>
  <c r="J535" i="101"/>
  <c r="N535" i="101"/>
  <c r="J536" i="101"/>
  <c r="N536" i="101"/>
  <c r="J537" i="101"/>
  <c r="N537" i="101"/>
  <c r="J538" i="101"/>
  <c r="N538" i="101"/>
  <c r="J539" i="101"/>
  <c r="N539" i="101"/>
  <c r="J540" i="101"/>
  <c r="N540" i="101"/>
  <c r="J541" i="101"/>
  <c r="N541" i="101"/>
  <c r="J542" i="101"/>
  <c r="N542" i="101"/>
  <c r="J543" i="101"/>
  <c r="N543" i="101"/>
  <c r="J544" i="101"/>
  <c r="N544" i="101"/>
  <c r="J545" i="101"/>
  <c r="N545" i="101"/>
  <c r="J546" i="101"/>
  <c r="N546" i="101"/>
  <c r="J547" i="101"/>
  <c r="N547" i="101"/>
  <c r="J548" i="101"/>
  <c r="N548" i="101"/>
  <c r="J549" i="101"/>
  <c r="N549" i="101"/>
  <c r="J550" i="101"/>
  <c r="N550" i="101"/>
  <c r="J551" i="101"/>
  <c r="N551" i="101"/>
  <c r="J552" i="101"/>
  <c r="N552" i="101"/>
  <c r="J553" i="101"/>
  <c r="N553" i="101"/>
  <c r="A554" i="101"/>
  <c r="A555" i="101" s="1"/>
  <c r="J554" i="101"/>
  <c r="N554" i="101"/>
  <c r="J555" i="101"/>
  <c r="N555" i="101"/>
  <c r="J556" i="101"/>
  <c r="N556" i="101"/>
  <c r="J557" i="101"/>
  <c r="N557" i="101"/>
  <c r="J558" i="101"/>
  <c r="B558" i="101" s="1"/>
  <c r="N558" i="101"/>
  <c r="J559" i="101"/>
  <c r="N559" i="101"/>
  <c r="J560" i="101"/>
  <c r="N560" i="101"/>
  <c r="J561" i="101"/>
  <c r="N561" i="101"/>
  <c r="J562" i="101"/>
  <c r="N562" i="101"/>
  <c r="J563" i="101"/>
  <c r="N563" i="101"/>
  <c r="J564" i="101"/>
  <c r="N564" i="101"/>
  <c r="J565" i="101"/>
  <c r="N565" i="101"/>
  <c r="J566" i="101"/>
  <c r="N566" i="101"/>
  <c r="J567" i="101"/>
  <c r="N567" i="101"/>
  <c r="J568" i="101"/>
  <c r="N568" i="101"/>
  <c r="J569" i="101"/>
  <c r="N569" i="101"/>
  <c r="J570" i="101"/>
  <c r="N570" i="101"/>
  <c r="J571" i="101"/>
  <c r="N571" i="101"/>
  <c r="J572" i="101"/>
  <c r="N572" i="101"/>
  <c r="J573" i="101"/>
  <c r="N573" i="101"/>
  <c r="J574" i="101"/>
  <c r="N574" i="101"/>
  <c r="J575" i="101"/>
  <c r="N575" i="101"/>
  <c r="J576" i="101"/>
  <c r="N576" i="101"/>
  <c r="J577" i="101"/>
  <c r="N577" i="101"/>
  <c r="J578" i="101"/>
  <c r="N578" i="101"/>
  <c r="J579" i="101"/>
  <c r="N579" i="101"/>
  <c r="J580" i="101"/>
  <c r="N580" i="101"/>
  <c r="J581" i="101"/>
  <c r="N581" i="101"/>
  <c r="J582" i="101"/>
  <c r="N582" i="101"/>
  <c r="J583" i="101"/>
  <c r="N583" i="101"/>
  <c r="J584" i="101"/>
  <c r="N584" i="101"/>
  <c r="A585" i="101"/>
  <c r="A586" i="101" s="1"/>
  <c r="J585" i="101"/>
  <c r="N585" i="101"/>
  <c r="J586" i="101"/>
  <c r="N586" i="101"/>
  <c r="J587" i="101"/>
  <c r="N587" i="101"/>
  <c r="J588" i="101"/>
  <c r="N588" i="101"/>
  <c r="J589" i="101"/>
  <c r="B589" i="101" s="1"/>
  <c r="N589" i="101"/>
  <c r="J590" i="101"/>
  <c r="N590" i="101"/>
  <c r="J591" i="101"/>
  <c r="N591" i="101"/>
  <c r="J592" i="101"/>
  <c r="N592" i="101"/>
  <c r="J593" i="101"/>
  <c r="N593" i="101"/>
  <c r="J594" i="101"/>
  <c r="N594" i="101"/>
  <c r="J595" i="101"/>
  <c r="N595" i="101"/>
  <c r="J596" i="101"/>
  <c r="N596" i="101"/>
  <c r="J597" i="101"/>
  <c r="N597" i="101"/>
  <c r="J598" i="101"/>
  <c r="N598" i="101"/>
  <c r="J599" i="101"/>
  <c r="N599" i="101"/>
  <c r="J600" i="101"/>
  <c r="N600" i="101"/>
  <c r="J601" i="101"/>
  <c r="N601" i="101"/>
  <c r="J602" i="101"/>
  <c r="N602" i="101"/>
  <c r="A603" i="101"/>
  <c r="J603" i="101"/>
  <c r="N603" i="101"/>
  <c r="A604" i="101"/>
  <c r="A605" i="101" s="1"/>
  <c r="J604" i="101"/>
  <c r="N604" i="101"/>
  <c r="J605" i="101"/>
  <c r="N605" i="101"/>
  <c r="J606" i="101"/>
  <c r="N606" i="101"/>
  <c r="J607" i="101"/>
  <c r="B607" i="101" s="1"/>
  <c r="N607" i="101"/>
  <c r="J608" i="101"/>
  <c r="N608" i="101"/>
  <c r="J609" i="101"/>
  <c r="N609" i="101"/>
  <c r="J610" i="101"/>
  <c r="N610" i="101"/>
  <c r="J611" i="101"/>
  <c r="N611" i="101"/>
  <c r="J612" i="101"/>
  <c r="N612" i="101"/>
  <c r="J613" i="101"/>
  <c r="N613" i="101"/>
  <c r="J614" i="101"/>
  <c r="N614" i="101"/>
  <c r="J615" i="101"/>
  <c r="N615" i="101"/>
  <c r="J616" i="101"/>
  <c r="N616" i="101"/>
  <c r="J617" i="101"/>
  <c r="N617" i="101"/>
  <c r="J618" i="101"/>
  <c r="N618" i="101"/>
  <c r="J619" i="101"/>
  <c r="N619" i="101"/>
  <c r="J620" i="101"/>
  <c r="N620" i="101"/>
  <c r="J621" i="101"/>
  <c r="N621" i="101"/>
  <c r="J622" i="101"/>
  <c r="N622" i="101"/>
  <c r="J623" i="101"/>
  <c r="N623" i="101"/>
  <c r="J624" i="101"/>
  <c r="N624" i="101"/>
  <c r="J625" i="101"/>
  <c r="N625" i="101"/>
  <c r="J626" i="101"/>
  <c r="N626" i="101"/>
  <c r="J627" i="101"/>
  <c r="N627" i="101"/>
  <c r="J628" i="101"/>
  <c r="N628" i="101"/>
  <c r="A629" i="101"/>
  <c r="C629" i="101" s="1"/>
  <c r="F629" i="101" s="1"/>
  <c r="AS629" i="101" s="1"/>
  <c r="J629" i="101"/>
  <c r="B629" i="101" s="1"/>
  <c r="N629" i="101"/>
  <c r="A630" i="101"/>
  <c r="C630" i="101" s="1"/>
  <c r="F630" i="101" s="1"/>
  <c r="AS630" i="101" s="1"/>
  <c r="J630" i="101"/>
  <c r="B630" i="101" s="1"/>
  <c r="N630" i="101"/>
  <c r="A631" i="101"/>
  <c r="C631" i="101" s="1"/>
  <c r="D631" i="101" s="1"/>
  <c r="J631" i="101"/>
  <c r="B631" i="101" s="1"/>
  <c r="N631" i="101"/>
  <c r="C632" i="101"/>
  <c r="G632" i="101" s="1"/>
  <c r="C632" i="134" s="1"/>
  <c r="E634" i="135" s="1"/>
  <c r="E634" i="139" s="1"/>
  <c r="J632" i="101"/>
  <c r="B632" i="101" s="1"/>
  <c r="N632" i="101"/>
  <c r="A633" i="101"/>
  <c r="C633" i="101"/>
  <c r="D633" i="101" s="1"/>
  <c r="J633" i="101"/>
  <c r="B633" i="101" s="1"/>
  <c r="N633" i="101"/>
  <c r="A634" i="101"/>
  <c r="C634" i="101" s="1"/>
  <c r="G634" i="101" s="1"/>
  <c r="C634" i="134" s="1"/>
  <c r="E636" i="135" s="1"/>
  <c r="E636" i="139" s="1"/>
  <c r="J634" i="101"/>
  <c r="B634" i="101" s="1"/>
  <c r="N634" i="101"/>
  <c r="A635" i="101"/>
  <c r="C635" i="101" s="1"/>
  <c r="J635" i="101"/>
  <c r="B635" i="101" s="1"/>
  <c r="A636" i="101"/>
  <c r="C636" i="101"/>
  <c r="D636" i="101" s="1"/>
  <c r="J636" i="101"/>
  <c r="N636" i="101"/>
  <c r="A637" i="101"/>
  <c r="C637" i="101" s="1"/>
  <c r="G637" i="101" s="1"/>
  <c r="C637" i="134" s="1"/>
  <c r="E639" i="135" s="1"/>
  <c r="E639" i="139" s="1"/>
  <c r="J637" i="101"/>
  <c r="B637" i="101" s="1"/>
  <c r="N637" i="101"/>
  <c r="A638" i="101"/>
  <c r="C638" i="101" s="1"/>
  <c r="J638" i="101"/>
  <c r="B638" i="101" s="1"/>
  <c r="N638" i="101"/>
  <c r="A639" i="101"/>
  <c r="C639" i="101" s="1"/>
  <c r="D639" i="101" s="1"/>
  <c r="J639" i="101"/>
  <c r="B639" i="101" s="1"/>
  <c r="N639" i="101"/>
  <c r="A640" i="101"/>
  <c r="C640" i="101" s="1"/>
  <c r="E640" i="101" s="1"/>
  <c r="D640" i="134" s="1"/>
  <c r="C642" i="135" s="1"/>
  <c r="C642" i="139" s="1"/>
  <c r="J640" i="101"/>
  <c r="B640" i="101" s="1"/>
  <c r="N640" i="101"/>
  <c r="A641" i="101"/>
  <c r="C641" i="101" s="1"/>
  <c r="D641" i="101" s="1"/>
  <c r="J641" i="101"/>
  <c r="B641" i="101" s="1"/>
  <c r="N641" i="101"/>
  <c r="A642" i="101"/>
  <c r="C642" i="101" s="1"/>
  <c r="E642" i="101" s="1"/>
  <c r="D642" i="134" s="1"/>
  <c r="C644" i="135" s="1"/>
  <c r="C644" i="139" s="1"/>
  <c r="J642" i="101"/>
  <c r="B642" i="101" s="1"/>
  <c r="N642" i="101"/>
  <c r="A643" i="101"/>
  <c r="C643" i="101" s="1"/>
  <c r="F643" i="101" s="1"/>
  <c r="AS643" i="101" s="1"/>
  <c r="J643" i="101"/>
  <c r="B643" i="101" s="1"/>
  <c r="N643" i="101"/>
  <c r="A644" i="101"/>
  <c r="C644" i="101" s="1"/>
  <c r="D644" i="101" s="1"/>
  <c r="J644" i="101"/>
  <c r="B644" i="101" s="1"/>
  <c r="N644" i="101"/>
  <c r="A645" i="101"/>
  <c r="C645" i="101" s="1"/>
  <c r="D645" i="101" s="1"/>
  <c r="J645" i="101"/>
  <c r="B645" i="101" s="1"/>
  <c r="N645" i="101"/>
  <c r="A646" i="101"/>
  <c r="C646" i="101" s="1"/>
  <c r="F646" i="101" s="1"/>
  <c r="AS646" i="101" s="1"/>
  <c r="J646" i="101"/>
  <c r="B646" i="101" s="1"/>
  <c r="N646" i="101"/>
  <c r="A647" i="101"/>
  <c r="C647" i="101" s="1"/>
  <c r="D647" i="101" s="1"/>
  <c r="J647" i="101"/>
  <c r="B647" i="101" s="1"/>
  <c r="N647" i="101"/>
  <c r="A648" i="101"/>
  <c r="C648" i="101" s="1"/>
  <c r="J648" i="101"/>
  <c r="B648" i="101" s="1"/>
  <c r="N648" i="101"/>
  <c r="A649" i="101"/>
  <c r="C649" i="101" s="1"/>
  <c r="D649" i="101" s="1"/>
  <c r="J649" i="101"/>
  <c r="B649" i="101" s="1"/>
  <c r="N649" i="101"/>
  <c r="A650" i="101"/>
  <c r="C650" i="101"/>
  <c r="D650" i="101" s="1"/>
  <c r="J650" i="101"/>
  <c r="B650" i="101" s="1"/>
  <c r="N650" i="101"/>
  <c r="A651" i="101"/>
  <c r="C651" i="101" s="1"/>
  <c r="F651" i="101" s="1"/>
  <c r="AS651" i="101" s="1"/>
  <c r="J651" i="101"/>
  <c r="B651" i="101" s="1"/>
  <c r="N651" i="101"/>
  <c r="A652" i="101"/>
  <c r="C652" i="101" s="1"/>
  <c r="J652" i="101"/>
  <c r="B652" i="101" s="1"/>
  <c r="N652" i="101"/>
  <c r="A653" i="101"/>
  <c r="C653" i="101" s="1"/>
  <c r="G653" i="101" s="1"/>
  <c r="C653" i="134" s="1"/>
  <c r="E655" i="135" s="1"/>
  <c r="E655" i="139" s="1"/>
  <c r="J653" i="101"/>
  <c r="B653" i="101" s="1"/>
  <c r="N653" i="101"/>
  <c r="A654" i="101"/>
  <c r="C654" i="101" s="1"/>
  <c r="D654" i="101" s="1"/>
  <c r="J654" i="101"/>
  <c r="B654" i="101" s="1"/>
  <c r="N654" i="101"/>
  <c r="A655" i="101"/>
  <c r="C655" i="101"/>
  <c r="J655" i="101"/>
  <c r="B655" i="101" s="1"/>
  <c r="N655" i="101"/>
  <c r="A656" i="101"/>
  <c r="C656" i="101" s="1"/>
  <c r="D656" i="134" s="1"/>
  <c r="C658" i="135" s="1"/>
  <c r="C658" i="139" s="1"/>
  <c r="J656" i="101"/>
  <c r="B656" i="101" s="1"/>
  <c r="N656" i="101"/>
  <c r="A657" i="101"/>
  <c r="C657" i="101"/>
  <c r="F657" i="101" s="1"/>
  <c r="AS657" i="101" s="1"/>
  <c r="J657" i="101"/>
  <c r="B657" i="101" s="1"/>
  <c r="N657" i="101"/>
  <c r="A658" i="101"/>
  <c r="C658" i="101" s="1"/>
  <c r="D658" i="101" s="1"/>
  <c r="J658" i="101"/>
  <c r="B658" i="101" s="1"/>
  <c r="N658" i="101"/>
  <c r="A659" i="101"/>
  <c r="C659" i="101" s="1"/>
  <c r="E659" i="101" s="1"/>
  <c r="D659" i="134" s="1"/>
  <c r="C661" i="135" s="1"/>
  <c r="C661" i="139" s="1"/>
  <c r="J659" i="101"/>
  <c r="B659" i="101" s="1"/>
  <c r="N659" i="101"/>
  <c r="A660" i="101"/>
  <c r="C660" i="101" s="1"/>
  <c r="D660" i="101" s="1"/>
  <c r="J660" i="101"/>
  <c r="B660" i="101" s="1"/>
  <c r="N660" i="101"/>
  <c r="A661" i="101"/>
  <c r="C661" i="101" s="1"/>
  <c r="G661" i="101" s="1"/>
  <c r="C661" i="134" s="1"/>
  <c r="E663" i="135" s="1"/>
  <c r="E663" i="139" s="1"/>
  <c r="J661" i="101"/>
  <c r="B661" i="101" s="1"/>
  <c r="N661" i="101"/>
  <c r="C662" i="101"/>
  <c r="F662" i="101" s="1"/>
  <c r="AS662" i="101" s="1"/>
  <c r="J662" i="101"/>
  <c r="B662" i="101" s="1"/>
  <c r="N662" i="101"/>
  <c r="C663" i="101"/>
  <c r="J663" i="101"/>
  <c r="B663" i="101" s="1"/>
  <c r="N663" i="101"/>
  <c r="A664" i="101"/>
  <c r="C664" i="101" s="1"/>
  <c r="D664" i="101" s="1"/>
  <c r="J664" i="101"/>
  <c r="B664" i="101" s="1"/>
  <c r="N664" i="101"/>
  <c r="A665" i="101"/>
  <c r="C665" i="101" s="1"/>
  <c r="J665" i="101"/>
  <c r="B665" i="101" s="1"/>
  <c r="N665" i="101"/>
  <c r="A666" i="101"/>
  <c r="C666" i="101" s="1"/>
  <c r="G666" i="101" s="1"/>
  <c r="C666" i="134" s="1"/>
  <c r="E668" i="135" s="1"/>
  <c r="E668" i="139" s="1"/>
  <c r="J666" i="101"/>
  <c r="N666" i="101"/>
  <c r="A667" i="101"/>
  <c r="C667" i="101" s="1"/>
  <c r="D667" i="101" s="1"/>
  <c r="J667" i="101"/>
  <c r="B667" i="101" s="1"/>
  <c r="N667" i="101"/>
  <c r="A668" i="101"/>
  <c r="C668" i="101" s="1"/>
  <c r="J668" i="101"/>
  <c r="B668" i="101" s="1"/>
  <c r="N668" i="101"/>
  <c r="A669" i="101"/>
  <c r="C669" i="101" s="1"/>
  <c r="D669" i="101" s="1"/>
  <c r="J669" i="101"/>
  <c r="B669" i="101" s="1"/>
  <c r="N669" i="101"/>
  <c r="A670" i="101"/>
  <c r="C670" i="101" s="1"/>
  <c r="E670" i="101" s="1"/>
  <c r="D670" i="134" s="1"/>
  <c r="C672" i="135" s="1"/>
  <c r="C672" i="139" s="1"/>
  <c r="J670" i="101"/>
  <c r="B670" i="101" s="1"/>
  <c r="N670" i="101"/>
  <c r="A671" i="101"/>
  <c r="C671" i="101" s="1"/>
  <c r="D671" i="101" s="1"/>
  <c r="J671" i="101"/>
  <c r="B671" i="101" s="1"/>
  <c r="N671" i="101"/>
  <c r="A672" i="101"/>
  <c r="C672" i="101"/>
  <c r="D672" i="101" s="1"/>
  <c r="J672" i="101"/>
  <c r="B672" i="101" s="1"/>
  <c r="N672" i="101"/>
  <c r="A673" i="101"/>
  <c r="C673" i="101" s="1"/>
  <c r="J673" i="101"/>
  <c r="B673" i="101" s="1"/>
  <c r="N673" i="101"/>
  <c r="A674" i="101"/>
  <c r="C674" i="101" s="1"/>
  <c r="D674" i="101" s="1"/>
  <c r="J674" i="101"/>
  <c r="B674" i="101" s="1"/>
  <c r="N674" i="101"/>
  <c r="A675" i="101"/>
  <c r="C675" i="101" s="1"/>
  <c r="D675" i="101" s="1"/>
  <c r="J675" i="101"/>
  <c r="B675" i="101" s="1"/>
  <c r="N675" i="101"/>
  <c r="A676" i="101"/>
  <c r="C676" i="101" s="1"/>
  <c r="G676" i="101" s="1"/>
  <c r="C676" i="134" s="1"/>
  <c r="E678" i="135" s="1"/>
  <c r="E678" i="139" s="1"/>
  <c r="J676" i="101"/>
  <c r="B676" i="101" s="1"/>
  <c r="N676" i="101"/>
  <c r="A677" i="101"/>
  <c r="C677" i="101" s="1"/>
  <c r="D677" i="101" s="1"/>
  <c r="J677" i="101"/>
  <c r="B677" i="101" s="1"/>
  <c r="N677" i="101"/>
  <c r="A678" i="101"/>
  <c r="C678" i="101" s="1"/>
  <c r="E678" i="101" s="1"/>
  <c r="D678" i="134" s="1"/>
  <c r="C680" i="135" s="1"/>
  <c r="C680" i="139" s="1"/>
  <c r="J678" i="101"/>
  <c r="B678" i="101" s="1"/>
  <c r="N678" i="101"/>
  <c r="A679" i="101"/>
  <c r="C679" i="101" s="1"/>
  <c r="G679" i="101" s="1"/>
  <c r="C679" i="134" s="1"/>
  <c r="E681" i="135" s="1"/>
  <c r="E681" i="139" s="1"/>
  <c r="J679" i="101"/>
  <c r="B679" i="101" s="1"/>
  <c r="N679" i="101"/>
  <c r="A680" i="101"/>
  <c r="C680" i="101"/>
  <c r="D680" i="101" s="1"/>
  <c r="J680" i="101"/>
  <c r="B680" i="101" s="1"/>
  <c r="N680" i="101"/>
  <c r="A681" i="101"/>
  <c r="C681" i="101" s="1"/>
  <c r="J681" i="101"/>
  <c r="B681" i="101" s="1"/>
  <c r="N681" i="101"/>
  <c r="A682" i="101"/>
  <c r="C682" i="101" s="1"/>
  <c r="D682" i="101" s="1"/>
  <c r="J682" i="101"/>
  <c r="B682" i="101" s="1"/>
  <c r="N682" i="101"/>
  <c r="A683" i="101"/>
  <c r="C683" i="101" s="1"/>
  <c r="E683" i="101" s="1"/>
  <c r="D683" i="134" s="1"/>
  <c r="C685" i="135" s="1"/>
  <c r="C685" i="139" s="1"/>
  <c r="J683" i="101"/>
  <c r="B683" i="101" s="1"/>
  <c r="N683" i="101"/>
  <c r="A684" i="101"/>
  <c r="C684" i="101"/>
  <c r="D684" i="101" s="1"/>
  <c r="J684" i="101"/>
  <c r="B684" i="101" s="1"/>
  <c r="N684" i="101"/>
  <c r="A685" i="101"/>
  <c r="C685" i="101"/>
  <c r="G685" i="101" s="1"/>
  <c r="C685" i="134" s="1"/>
  <c r="E687" i="135" s="1"/>
  <c r="E687" i="139" s="1"/>
  <c r="J685" i="101"/>
  <c r="B685" i="101" s="1"/>
  <c r="N685" i="101"/>
  <c r="A686" i="101"/>
  <c r="C686" i="101" s="1"/>
  <c r="D686" i="101" s="1"/>
  <c r="J686" i="101"/>
  <c r="B686" i="101" s="1"/>
  <c r="N686" i="101"/>
  <c r="A687" i="101"/>
  <c r="C687" i="101" s="1"/>
  <c r="D687" i="101" s="1"/>
  <c r="J687" i="101"/>
  <c r="B687" i="101" s="1"/>
  <c r="N687" i="101"/>
  <c r="A688" i="101"/>
  <c r="C688" i="101"/>
  <c r="D688" i="101" s="1"/>
  <c r="J688" i="101"/>
  <c r="B688" i="101" s="1"/>
  <c r="N688" i="101"/>
  <c r="A689" i="101"/>
  <c r="C689" i="101" s="1"/>
  <c r="D689" i="101" s="1"/>
  <c r="J689" i="101"/>
  <c r="B689" i="101" s="1"/>
  <c r="N689" i="101"/>
  <c r="A690" i="101"/>
  <c r="C690" i="101"/>
  <c r="F690" i="101" s="1"/>
  <c r="AS690" i="101" s="1"/>
  <c r="J690" i="101"/>
  <c r="B690" i="101" s="1"/>
  <c r="N690" i="101"/>
  <c r="A691" i="101"/>
  <c r="C691" i="101"/>
  <c r="G691" i="101" s="1"/>
  <c r="C691" i="134" s="1"/>
  <c r="E693" i="135" s="1"/>
  <c r="E693" i="139" s="1"/>
  <c r="J691" i="101"/>
  <c r="B691" i="101" s="1"/>
  <c r="N691" i="101"/>
  <c r="A692" i="101"/>
  <c r="C692" i="101" s="1"/>
  <c r="D692" i="101" s="1"/>
  <c r="J692" i="101"/>
  <c r="B692" i="101" s="1"/>
  <c r="N692" i="101"/>
  <c r="C693" i="101"/>
  <c r="E693" i="101" s="1"/>
  <c r="D693" i="134" s="1"/>
  <c r="C695" i="135" s="1"/>
  <c r="C695" i="139" s="1"/>
  <c r="J693" i="101"/>
  <c r="B693" i="101" s="1"/>
  <c r="N693" i="101"/>
  <c r="A694" i="101"/>
  <c r="C694" i="101" s="1"/>
  <c r="G694" i="101" s="1"/>
  <c r="C694" i="134" s="1"/>
  <c r="E696" i="135" s="1"/>
  <c r="E696" i="139" s="1"/>
  <c r="J694" i="101"/>
  <c r="B694" i="101" s="1"/>
  <c r="N694" i="101"/>
  <c r="A695" i="101"/>
  <c r="C695" i="101"/>
  <c r="J695" i="101"/>
  <c r="B695" i="101" s="1"/>
  <c r="N695" i="101"/>
  <c r="A696" i="101"/>
  <c r="C696" i="101" s="1"/>
  <c r="J696" i="101"/>
  <c r="B696" i="101" s="1"/>
  <c r="N696" i="101"/>
  <c r="A697" i="101"/>
  <c r="C697" i="101" s="1"/>
  <c r="F697" i="101" s="1"/>
  <c r="AS697" i="101" s="1"/>
  <c r="J697" i="101"/>
  <c r="N697" i="101"/>
  <c r="A698" i="101"/>
  <c r="C698" i="101" s="1"/>
  <c r="D698" i="101" s="1"/>
  <c r="J698" i="101"/>
  <c r="B698" i="101" s="1"/>
  <c r="N698" i="101"/>
  <c r="A699" i="101"/>
  <c r="C699" i="101" s="1"/>
  <c r="D699" i="101" s="1"/>
  <c r="J699" i="101"/>
  <c r="B699" i="101" s="1"/>
  <c r="N699" i="101"/>
  <c r="A700" i="101"/>
  <c r="C700" i="101" s="1"/>
  <c r="J700" i="101"/>
  <c r="B700" i="101" s="1"/>
  <c r="N700" i="101"/>
  <c r="A701" i="101"/>
  <c r="C701" i="101" s="1"/>
  <c r="J701" i="101"/>
  <c r="B701" i="101" s="1"/>
  <c r="N701" i="101"/>
  <c r="A702" i="101"/>
  <c r="C702" i="101" s="1"/>
  <c r="D702" i="101" s="1"/>
  <c r="J702" i="101"/>
  <c r="B702" i="101" s="1"/>
  <c r="N702" i="101"/>
  <c r="A703" i="101"/>
  <c r="C703" i="101" s="1"/>
  <c r="E703" i="101" s="1"/>
  <c r="D703" i="134" s="1"/>
  <c r="C705" i="135" s="1"/>
  <c r="C705" i="139" s="1"/>
  <c r="J703" i="101"/>
  <c r="B703" i="101" s="1"/>
  <c r="N703" i="101"/>
  <c r="A704" i="101"/>
  <c r="C704" i="101" s="1"/>
  <c r="F704" i="101" s="1"/>
  <c r="AS704" i="101" s="1"/>
  <c r="J704" i="101"/>
  <c r="B704" i="101" s="1"/>
  <c r="N704" i="101"/>
  <c r="A705" i="101"/>
  <c r="C705" i="101" s="1"/>
  <c r="J705" i="101"/>
  <c r="B705" i="101" s="1"/>
  <c r="N705" i="101"/>
  <c r="A706" i="101"/>
  <c r="C706" i="101"/>
  <c r="D706" i="101" s="1"/>
  <c r="J706" i="101"/>
  <c r="B706" i="101" s="1"/>
  <c r="N706" i="101"/>
  <c r="A707" i="101"/>
  <c r="C707" i="101" s="1"/>
  <c r="D707" i="101" s="1"/>
  <c r="J707" i="101"/>
  <c r="B707" i="101" s="1"/>
  <c r="N707" i="101"/>
  <c r="A708" i="101"/>
  <c r="C708" i="101" s="1"/>
  <c r="D708" i="101" s="1"/>
  <c r="J708" i="101"/>
  <c r="B708" i="101" s="1"/>
  <c r="N708" i="101"/>
  <c r="A709" i="101"/>
  <c r="C709" i="101" s="1"/>
  <c r="D709" i="101" s="1"/>
  <c r="J709" i="101"/>
  <c r="B709" i="101" s="1"/>
  <c r="N709" i="101"/>
  <c r="A710" i="101"/>
  <c r="C710" i="101" s="1"/>
  <c r="E710" i="101" s="1"/>
  <c r="D710" i="134" s="1"/>
  <c r="C712" i="135" s="1"/>
  <c r="C712" i="139" s="1"/>
  <c r="J710" i="101"/>
  <c r="B710" i="101" s="1"/>
  <c r="N710" i="101"/>
  <c r="A711" i="101"/>
  <c r="C711" i="101" s="1"/>
  <c r="E711" i="101" s="1"/>
  <c r="D711" i="134" s="1"/>
  <c r="C713" i="135" s="1"/>
  <c r="C713" i="139" s="1"/>
  <c r="J711" i="101"/>
  <c r="B711" i="101" s="1"/>
  <c r="N711" i="101"/>
  <c r="A712" i="101"/>
  <c r="C712" i="101" s="1"/>
  <c r="D712" i="101" s="1"/>
  <c r="J712" i="101"/>
  <c r="B712" i="101" s="1"/>
  <c r="N712" i="101"/>
  <c r="A713" i="101"/>
  <c r="C713" i="101" s="1"/>
  <c r="F713" i="101" s="1"/>
  <c r="J713" i="101"/>
  <c r="B713" i="101" s="1"/>
  <c r="N713" i="101"/>
  <c r="A714" i="101"/>
  <c r="C714" i="101" s="1"/>
  <c r="D714" i="101" s="1"/>
  <c r="J714" i="101"/>
  <c r="B714" i="101" s="1"/>
  <c r="N714" i="101"/>
  <c r="A715" i="101"/>
  <c r="C715" i="101" s="1"/>
  <c r="J715" i="101"/>
  <c r="B715" i="101" s="1"/>
  <c r="N715" i="101"/>
  <c r="A716" i="101"/>
  <c r="C716" i="101" s="1"/>
  <c r="D716" i="101" s="1"/>
  <c r="J716" i="101"/>
  <c r="B716" i="101" s="1"/>
  <c r="N716" i="101"/>
  <c r="A717" i="101"/>
  <c r="C717" i="101" s="1"/>
  <c r="D717" i="134" s="1"/>
  <c r="C719" i="135" s="1"/>
  <c r="C719" i="139" s="1"/>
  <c r="J717" i="101"/>
  <c r="B717" i="101" s="1"/>
  <c r="N717" i="101"/>
  <c r="A718" i="101"/>
  <c r="C718" i="101" s="1"/>
  <c r="D718" i="101" s="1"/>
  <c r="J718" i="101"/>
  <c r="B718" i="101" s="1"/>
  <c r="N718" i="101"/>
  <c r="A719" i="101"/>
  <c r="C719" i="101" s="1"/>
  <c r="F719" i="101" s="1"/>
  <c r="AS719" i="101" s="1"/>
  <c r="J719" i="101"/>
  <c r="B719" i="101" s="1"/>
  <c r="N719" i="101"/>
  <c r="A720" i="101"/>
  <c r="C720" i="101"/>
  <c r="F720" i="101" s="1"/>
  <c r="AS720" i="101" s="1"/>
  <c r="J720" i="101"/>
  <c r="B720" i="101" s="1"/>
  <c r="N720" i="101"/>
  <c r="A721" i="101"/>
  <c r="C721" i="101" s="1"/>
  <c r="D721" i="101" s="1"/>
  <c r="J721" i="101"/>
  <c r="B721" i="101" s="1"/>
  <c r="N721" i="101"/>
  <c r="A722" i="101"/>
  <c r="C722" i="101" s="1"/>
  <c r="D722" i="101" s="1"/>
  <c r="J722" i="101"/>
  <c r="B722" i="101" s="1"/>
  <c r="N722" i="101"/>
  <c r="C723" i="101"/>
  <c r="D723" i="101" s="1"/>
  <c r="J723" i="101"/>
  <c r="B723" i="101" s="1"/>
  <c r="N723" i="101"/>
  <c r="A724" i="101"/>
  <c r="C724" i="101" s="1"/>
  <c r="F724" i="101" s="1"/>
  <c r="AS724" i="101" s="1"/>
  <c r="J724" i="101"/>
  <c r="B724" i="101" s="1"/>
  <c r="N724" i="101"/>
  <c r="A725" i="101"/>
  <c r="C725" i="101" s="1"/>
  <c r="G725" i="101" s="1"/>
  <c r="C725" i="134" s="1"/>
  <c r="E727" i="135" s="1"/>
  <c r="E727" i="139" s="1"/>
  <c r="J725" i="101"/>
  <c r="B725" i="101" s="1"/>
  <c r="N725" i="101"/>
  <c r="A726" i="101"/>
  <c r="C726" i="101" s="1"/>
  <c r="J726" i="101"/>
  <c r="B726" i="101" s="1"/>
  <c r="N726" i="101"/>
  <c r="A727" i="101"/>
  <c r="C727" i="101" s="1"/>
  <c r="J727" i="101"/>
  <c r="N727" i="101"/>
  <c r="A728" i="101"/>
  <c r="C728" i="101" s="1"/>
  <c r="D728" i="101" s="1"/>
  <c r="J728" i="101"/>
  <c r="B728" i="101" s="1"/>
  <c r="N728" i="101"/>
  <c r="A729" i="101"/>
  <c r="C729" i="101" s="1"/>
  <c r="J729" i="101"/>
  <c r="B729" i="101" s="1"/>
  <c r="N729" i="101"/>
  <c r="A730" i="101"/>
  <c r="C730" i="101" s="1"/>
  <c r="G730" i="101" s="1"/>
  <c r="C730" i="134" s="1"/>
  <c r="E732" i="135" s="1"/>
  <c r="E732" i="139" s="1"/>
  <c r="J730" i="101"/>
  <c r="B730" i="101" s="1"/>
  <c r="N730" i="101"/>
  <c r="A731" i="101"/>
  <c r="C731" i="101" s="1"/>
  <c r="G731" i="101" s="1"/>
  <c r="C731" i="134" s="1"/>
  <c r="E733" i="135" s="1"/>
  <c r="E733" i="139" s="1"/>
  <c r="J731" i="101"/>
  <c r="B731" i="101" s="1"/>
  <c r="N731" i="101"/>
  <c r="A732" i="101"/>
  <c r="C732" i="101" s="1"/>
  <c r="G732" i="101" s="1"/>
  <c r="C732" i="134" s="1"/>
  <c r="E734" i="135" s="1"/>
  <c r="E734" i="139" s="1"/>
  <c r="J732" i="101"/>
  <c r="B732" i="101" s="1"/>
  <c r="N732" i="101"/>
  <c r="A733" i="101"/>
  <c r="C733" i="101" s="1"/>
  <c r="D733" i="101" s="1"/>
  <c r="J733" i="101"/>
  <c r="B733" i="101" s="1"/>
  <c r="N733" i="101"/>
  <c r="A734" i="101"/>
  <c r="C734" i="101" s="1"/>
  <c r="D734" i="101" s="1"/>
  <c r="J734" i="101"/>
  <c r="B734" i="101" s="1"/>
  <c r="N734" i="101"/>
  <c r="A735" i="101"/>
  <c r="C735" i="101" s="1"/>
  <c r="J735" i="101"/>
  <c r="B735" i="101" s="1"/>
  <c r="N735" i="101"/>
  <c r="A736" i="101"/>
  <c r="C736" i="101" s="1"/>
  <c r="D736" i="101" s="1"/>
  <c r="J736" i="101"/>
  <c r="B736" i="101" s="1"/>
  <c r="N736" i="101"/>
  <c r="A737" i="101"/>
  <c r="C737" i="101" s="1"/>
  <c r="D737" i="134" s="1"/>
  <c r="C739" i="135" s="1"/>
  <c r="C739" i="139" s="1"/>
  <c r="J737" i="101"/>
  <c r="B737" i="101" s="1"/>
  <c r="N737" i="101"/>
  <c r="A738" i="101"/>
  <c r="C738" i="101" s="1"/>
  <c r="D738" i="101" s="1"/>
  <c r="J738" i="101"/>
  <c r="B738" i="101" s="1"/>
  <c r="N738" i="101"/>
  <c r="A739" i="101"/>
  <c r="C739" i="101" s="1"/>
  <c r="J739" i="101"/>
  <c r="B739" i="101" s="1"/>
  <c r="N739" i="101"/>
  <c r="A740" i="101"/>
  <c r="C740" i="101"/>
  <c r="E740" i="101" s="1"/>
  <c r="D740" i="134" s="1"/>
  <c r="C742" i="135" s="1"/>
  <c r="C742" i="139" s="1"/>
  <c r="J740" i="101"/>
  <c r="B740" i="101" s="1"/>
  <c r="N740" i="101"/>
  <c r="A741" i="101"/>
  <c r="C741" i="101" s="1"/>
  <c r="E741" i="101" s="1"/>
  <c r="D741" i="134" s="1"/>
  <c r="C743" i="135" s="1"/>
  <c r="C743" i="139" s="1"/>
  <c r="J741" i="101"/>
  <c r="B741" i="101" s="1"/>
  <c r="N741" i="101"/>
  <c r="A742" i="101"/>
  <c r="C742" i="101" s="1"/>
  <c r="E742" i="101" s="1"/>
  <c r="D742" i="134" s="1"/>
  <c r="C744" i="135" s="1"/>
  <c r="C744" i="139" s="1"/>
  <c r="J742" i="101"/>
  <c r="B742" i="101" s="1"/>
  <c r="N742" i="101"/>
  <c r="A743" i="101"/>
  <c r="C743" i="101" s="1"/>
  <c r="E743" i="101" s="1"/>
  <c r="D743" i="134" s="1"/>
  <c r="C745" i="135" s="1"/>
  <c r="C745" i="139" s="1"/>
  <c r="J743" i="101"/>
  <c r="B743" i="101" s="1"/>
  <c r="N743" i="101"/>
  <c r="A744" i="101"/>
  <c r="C744" i="101" s="1"/>
  <c r="E744" i="101" s="1"/>
  <c r="D744" i="134" s="1"/>
  <c r="C746" i="135" s="1"/>
  <c r="C746" i="139" s="1"/>
  <c r="J744" i="101"/>
  <c r="B744" i="101" s="1"/>
  <c r="N744" i="101"/>
  <c r="A745" i="101"/>
  <c r="C745" i="101" s="1"/>
  <c r="F745" i="101" s="1"/>
  <c r="J745" i="101"/>
  <c r="B745" i="101" s="1"/>
  <c r="N745" i="101"/>
  <c r="A746" i="101"/>
  <c r="C746" i="101" s="1"/>
  <c r="D746" i="101" s="1"/>
  <c r="J746" i="101"/>
  <c r="B746" i="101" s="1"/>
  <c r="N746" i="101"/>
  <c r="A747" i="101"/>
  <c r="C747" i="101" s="1"/>
  <c r="F747" i="101" s="1"/>
  <c r="AS747" i="101" s="1"/>
  <c r="J747" i="101"/>
  <c r="B747" i="101" s="1"/>
  <c r="N747" i="101"/>
  <c r="A748" i="101"/>
  <c r="C748" i="101" s="1"/>
  <c r="G748" i="101" s="1"/>
  <c r="C748" i="134" s="1"/>
  <c r="E750" i="135" s="1"/>
  <c r="E750" i="139" s="1"/>
  <c r="J748" i="101"/>
  <c r="B748" i="101" s="1"/>
  <c r="N748" i="101"/>
  <c r="A749" i="101"/>
  <c r="C749" i="101" s="1"/>
  <c r="G749" i="101" s="1"/>
  <c r="C749" i="134" s="1"/>
  <c r="E751" i="135" s="1"/>
  <c r="E751" i="139" s="1"/>
  <c r="J749" i="101"/>
  <c r="B749" i="101" s="1"/>
  <c r="N749" i="101"/>
  <c r="A750" i="101"/>
  <c r="C750" i="101" s="1"/>
  <c r="E750" i="101" s="1"/>
  <c r="D750" i="134" s="1"/>
  <c r="C752" i="135" s="1"/>
  <c r="C752" i="139" s="1"/>
  <c r="J750" i="101"/>
  <c r="B750" i="101" s="1"/>
  <c r="N750" i="101"/>
  <c r="A751" i="101"/>
  <c r="C751" i="101"/>
  <c r="F751" i="101" s="1"/>
  <c r="AS751" i="101" s="1"/>
  <c r="J751" i="101"/>
  <c r="B751" i="101" s="1"/>
  <c r="N751" i="101"/>
  <c r="A752" i="101"/>
  <c r="C752" i="101" s="1"/>
  <c r="J752" i="101"/>
  <c r="B752" i="101" s="1"/>
  <c r="N752" i="101"/>
  <c r="C753" i="101"/>
  <c r="E753" i="101" s="1"/>
  <c r="D753" i="134" s="1"/>
  <c r="C755" i="135" s="1"/>
  <c r="C755" i="139" s="1"/>
  <c r="J753" i="101"/>
  <c r="B753" i="101" s="1"/>
  <c r="N753" i="101"/>
  <c r="A754" i="101"/>
  <c r="C754" i="101"/>
  <c r="D754" i="101" s="1"/>
  <c r="J754" i="101"/>
  <c r="B754" i="101" s="1"/>
  <c r="N754" i="101"/>
  <c r="A755" i="101"/>
  <c r="C755" i="101" s="1"/>
  <c r="D755" i="101" s="1"/>
  <c r="J755" i="101"/>
  <c r="B755" i="101" s="1"/>
  <c r="N755" i="101"/>
  <c r="A756" i="101"/>
  <c r="C756" i="101" s="1"/>
  <c r="E756" i="101" s="1"/>
  <c r="D756" i="134" s="1"/>
  <c r="C758" i="135" s="1"/>
  <c r="C758" i="139" s="1"/>
  <c r="J756" i="101"/>
  <c r="B756" i="101" s="1"/>
  <c r="N756" i="101"/>
  <c r="A757" i="101"/>
  <c r="C757" i="101" s="1"/>
  <c r="G757" i="101" s="1"/>
  <c r="C757" i="134" s="1"/>
  <c r="E759" i="135" s="1"/>
  <c r="E759" i="139" s="1"/>
  <c r="J757" i="101"/>
  <c r="N757" i="101"/>
  <c r="A758" i="101"/>
  <c r="C758" i="101"/>
  <c r="J758" i="101"/>
  <c r="B758" i="101" s="1"/>
  <c r="N758" i="101"/>
  <c r="A759" i="101"/>
  <c r="C759" i="101"/>
  <c r="G759" i="101" s="1"/>
  <c r="C759" i="134" s="1"/>
  <c r="E761" i="135" s="1"/>
  <c r="E761" i="139" s="1"/>
  <c r="J759" i="101"/>
  <c r="B759" i="101" s="1"/>
  <c r="N759" i="101"/>
  <c r="A760" i="101"/>
  <c r="C760" i="101" s="1"/>
  <c r="E760" i="101" s="1"/>
  <c r="D760" i="134" s="1"/>
  <c r="C762" i="135" s="1"/>
  <c r="C762" i="139" s="1"/>
  <c r="J760" i="101"/>
  <c r="B760" i="101" s="1"/>
  <c r="N760" i="101"/>
  <c r="A761" i="101"/>
  <c r="C761" i="101" s="1"/>
  <c r="D761" i="101" s="1"/>
  <c r="J761" i="101"/>
  <c r="B761" i="101" s="1"/>
  <c r="N761" i="101"/>
  <c r="A762" i="101"/>
  <c r="C762" i="101" s="1"/>
  <c r="G762" i="101" s="1"/>
  <c r="C762" i="134" s="1"/>
  <c r="E764" i="135" s="1"/>
  <c r="E764" i="139" s="1"/>
  <c r="J762" i="101"/>
  <c r="B762" i="101" s="1"/>
  <c r="N762" i="101"/>
  <c r="A763" i="101"/>
  <c r="C763" i="101" s="1"/>
  <c r="J763" i="101"/>
  <c r="B763" i="101" s="1"/>
  <c r="N763" i="101"/>
  <c r="A764" i="101"/>
  <c r="C764" i="101" s="1"/>
  <c r="E764" i="101" s="1"/>
  <c r="D764" i="134" s="1"/>
  <c r="C766" i="135" s="1"/>
  <c r="C766" i="139" s="1"/>
  <c r="J764" i="101"/>
  <c r="B764" i="101" s="1"/>
  <c r="N764" i="101"/>
  <c r="A765" i="101"/>
  <c r="C765" i="101" s="1"/>
  <c r="G765" i="101" s="1"/>
  <c r="C765" i="134" s="1"/>
  <c r="E767" i="135" s="1"/>
  <c r="E767" i="139" s="1"/>
  <c r="J765" i="101"/>
  <c r="B765" i="101" s="1"/>
  <c r="N765" i="101"/>
  <c r="A766" i="101"/>
  <c r="C766" i="101" s="1"/>
  <c r="F766" i="101" s="1"/>
  <c r="AS766" i="101" s="1"/>
  <c r="J766" i="101"/>
  <c r="B766" i="101" s="1"/>
  <c r="N766" i="101"/>
  <c r="A767" i="101"/>
  <c r="C767" i="101" s="1"/>
  <c r="D767" i="101" s="1"/>
  <c r="J767" i="101"/>
  <c r="B767" i="101" s="1"/>
  <c r="N767" i="101"/>
  <c r="A768" i="101"/>
  <c r="C768" i="101" s="1"/>
  <c r="E768" i="101" s="1"/>
  <c r="D768" i="134" s="1"/>
  <c r="C770" i="135" s="1"/>
  <c r="C770" i="139" s="1"/>
  <c r="J768" i="101"/>
  <c r="B768" i="101" s="1"/>
  <c r="N768" i="101"/>
  <c r="A769" i="101"/>
  <c r="C769" i="101" s="1"/>
  <c r="E769" i="101" s="1"/>
  <c r="D769" i="134" s="1"/>
  <c r="C771" i="135" s="1"/>
  <c r="C771" i="139" s="1"/>
  <c r="J769" i="101"/>
  <c r="B769" i="101" s="1"/>
  <c r="N769" i="101"/>
  <c r="A770" i="101"/>
  <c r="C770" i="101"/>
  <c r="D770" i="101" s="1"/>
  <c r="J770" i="101"/>
  <c r="B770" i="101" s="1"/>
  <c r="N770" i="101"/>
  <c r="A771" i="101"/>
  <c r="C771" i="101" s="1"/>
  <c r="E771" i="101" s="1"/>
  <c r="D771" i="134" s="1"/>
  <c r="C773" i="135" s="1"/>
  <c r="C773" i="139" s="1"/>
  <c r="J771" i="101"/>
  <c r="B771" i="101" s="1"/>
  <c r="N771" i="101"/>
  <c r="C772" i="101"/>
  <c r="D772" i="101" s="1"/>
  <c r="J772" i="101"/>
  <c r="B772" i="101" s="1"/>
  <c r="N772" i="101"/>
  <c r="A773" i="101"/>
  <c r="C773" i="101" s="1"/>
  <c r="J773" i="101"/>
  <c r="B773" i="101" s="1"/>
  <c r="N773" i="101"/>
  <c r="A774" i="101"/>
  <c r="C774" i="101" s="1"/>
  <c r="G774" i="101" s="1"/>
  <c r="C774" i="134" s="1"/>
  <c r="E776" i="135" s="1"/>
  <c r="E776" i="139" s="1"/>
  <c r="J774" i="101"/>
  <c r="B774" i="101" s="1"/>
  <c r="N774" i="101"/>
  <c r="A775" i="101"/>
  <c r="C775" i="101" s="1"/>
  <c r="D775" i="134" s="1"/>
  <c r="C777" i="135" s="1"/>
  <c r="C777" i="139" s="1"/>
  <c r="J775" i="101"/>
  <c r="N775" i="101"/>
  <c r="A776" i="101"/>
  <c r="C776" i="101" s="1"/>
  <c r="E776" i="101" s="1"/>
  <c r="D776" i="134" s="1"/>
  <c r="C778" i="135" s="1"/>
  <c r="C778" i="139" s="1"/>
  <c r="J776" i="101"/>
  <c r="B776" i="101" s="1"/>
  <c r="N776" i="101"/>
  <c r="A777" i="101"/>
  <c r="C777" i="101" s="1"/>
  <c r="F777" i="101" s="1"/>
  <c r="AS777" i="101" s="1"/>
  <c r="J777" i="101"/>
  <c r="B777" i="101" s="1"/>
  <c r="N777" i="101"/>
  <c r="C778" i="101"/>
  <c r="F778" i="101" s="1"/>
  <c r="AS778" i="101" s="1"/>
  <c r="J778" i="101"/>
  <c r="B778" i="101" s="1"/>
  <c r="N778" i="101"/>
  <c r="C779" i="101"/>
  <c r="F779" i="101" s="1"/>
  <c r="AS779" i="101" s="1"/>
  <c r="J779" i="101"/>
  <c r="B779" i="101" s="1"/>
  <c r="N779" i="101"/>
  <c r="A780" i="101"/>
  <c r="C780" i="101" s="1"/>
  <c r="G780" i="101" s="1"/>
  <c r="C780" i="134" s="1"/>
  <c r="E782" i="135" s="1"/>
  <c r="E782" i="139" s="1"/>
  <c r="J780" i="101"/>
  <c r="B780" i="101" s="1"/>
  <c r="N780" i="101"/>
  <c r="A781" i="101"/>
  <c r="C781" i="101" s="1"/>
  <c r="E781" i="101" s="1"/>
  <c r="D781" i="134" s="1"/>
  <c r="C783" i="135" s="1"/>
  <c r="C783" i="139" s="1"/>
  <c r="J781" i="101"/>
  <c r="B781" i="101" s="1"/>
  <c r="N781" i="101"/>
  <c r="A782" i="101"/>
  <c r="C782" i="101" s="1"/>
  <c r="E782" i="101" s="1"/>
  <c r="D782" i="134" s="1"/>
  <c r="C784" i="135" s="1"/>
  <c r="C784" i="139" s="1"/>
  <c r="J782" i="101"/>
  <c r="B782" i="101" s="1"/>
  <c r="N782" i="101"/>
  <c r="A783" i="101"/>
  <c r="C783" i="101" s="1"/>
  <c r="D783" i="101" s="1"/>
  <c r="J783" i="101"/>
  <c r="B783" i="101" s="1"/>
  <c r="N783" i="101"/>
  <c r="A784" i="101"/>
  <c r="C784" i="101" s="1"/>
  <c r="J784" i="101"/>
  <c r="B784" i="101" s="1"/>
  <c r="N784" i="101"/>
  <c r="A785" i="101"/>
  <c r="C785" i="101"/>
  <c r="E785" i="101" s="1"/>
  <c r="D785" i="134" s="1"/>
  <c r="C787" i="135" s="1"/>
  <c r="C787" i="139" s="1"/>
  <c r="J785" i="101"/>
  <c r="B785" i="101" s="1"/>
  <c r="N785" i="101"/>
  <c r="A786" i="101"/>
  <c r="C786" i="101"/>
  <c r="D786" i="101" s="1"/>
  <c r="J786" i="101"/>
  <c r="B786" i="101" s="1"/>
  <c r="N786" i="101"/>
  <c r="A787" i="101"/>
  <c r="C787" i="101" s="1"/>
  <c r="E787" i="101" s="1"/>
  <c r="D787" i="134" s="1"/>
  <c r="C789" i="135" s="1"/>
  <c r="C789" i="139" s="1"/>
  <c r="J787" i="101"/>
  <c r="B787" i="101" s="1"/>
  <c r="N787" i="101"/>
  <c r="A788" i="101"/>
  <c r="C788" i="101" s="1"/>
  <c r="D788" i="101" s="1"/>
  <c r="J788" i="101"/>
  <c r="B788" i="101" s="1"/>
  <c r="N788" i="101"/>
  <c r="A789" i="101"/>
  <c r="C789" i="101" s="1"/>
  <c r="D789" i="101" s="1"/>
  <c r="J789" i="101"/>
  <c r="B789" i="101" s="1"/>
  <c r="N789" i="101"/>
  <c r="A790" i="101"/>
  <c r="C790" i="101"/>
  <c r="J790" i="101"/>
  <c r="B790" i="101" s="1"/>
  <c r="N790" i="101"/>
  <c r="A791" i="101"/>
  <c r="C791" i="101"/>
  <c r="D791" i="101" s="1"/>
  <c r="J791" i="101"/>
  <c r="B791" i="101" s="1"/>
  <c r="N791" i="101"/>
  <c r="A792" i="101"/>
  <c r="C792" i="101" s="1"/>
  <c r="D792" i="101" s="1"/>
  <c r="J792" i="101"/>
  <c r="B792" i="101" s="1"/>
  <c r="N792" i="101"/>
  <c r="A793" i="101"/>
  <c r="C793" i="101" s="1"/>
  <c r="F793" i="101" s="1"/>
  <c r="AS793" i="101" s="1"/>
  <c r="J793" i="101"/>
  <c r="B793" i="101" s="1"/>
  <c r="N793" i="101"/>
  <c r="A794" i="101"/>
  <c r="C794" i="101" s="1"/>
  <c r="G794" i="101" s="1"/>
  <c r="C794" i="134" s="1"/>
  <c r="E796" i="135" s="1"/>
  <c r="E796" i="139" s="1"/>
  <c r="J794" i="101"/>
  <c r="B794" i="101" s="1"/>
  <c r="N794" i="101"/>
  <c r="A795" i="101"/>
  <c r="C795" i="101" s="1"/>
  <c r="D795" i="101" s="1"/>
  <c r="J795" i="101"/>
  <c r="B795" i="101" s="1"/>
  <c r="N795" i="101"/>
  <c r="A796" i="101"/>
  <c r="C796" i="101" s="1"/>
  <c r="E796" i="101" s="1"/>
  <c r="D796" i="134" s="1"/>
  <c r="C798" i="135" s="1"/>
  <c r="C798" i="139" s="1"/>
  <c r="J796" i="101"/>
  <c r="B796" i="101" s="1"/>
  <c r="N796" i="101"/>
  <c r="A797" i="101"/>
  <c r="C797" i="101"/>
  <c r="D797" i="101" s="1"/>
  <c r="J797" i="101"/>
  <c r="B797" i="101" s="1"/>
  <c r="N797" i="101"/>
  <c r="A798" i="101"/>
  <c r="C798" i="101" s="1"/>
  <c r="J798" i="101"/>
  <c r="B798" i="101" s="1"/>
  <c r="N798" i="101"/>
  <c r="A799" i="101"/>
  <c r="C799" i="101" s="1"/>
  <c r="D799" i="101" s="1"/>
  <c r="J799" i="101"/>
  <c r="B799" i="101" s="1"/>
  <c r="N799" i="101"/>
  <c r="C800" i="101"/>
  <c r="E800" i="101" s="1"/>
  <c r="D800" i="134" s="1"/>
  <c r="C802" i="135" s="1"/>
  <c r="C802" i="139" s="1"/>
  <c r="J800" i="101"/>
  <c r="B800" i="101" s="1"/>
  <c r="N800" i="101"/>
  <c r="A801" i="101"/>
  <c r="C801" i="101" s="1"/>
  <c r="J801" i="101"/>
  <c r="B801" i="101" s="1"/>
  <c r="N801" i="101"/>
  <c r="A802" i="101"/>
  <c r="C802" i="101" s="1"/>
  <c r="E802" i="101" s="1"/>
  <c r="D802" i="134" s="1"/>
  <c r="C804" i="135" s="1"/>
  <c r="C804" i="139" s="1"/>
  <c r="J802" i="101"/>
  <c r="B802" i="101" s="1"/>
  <c r="N802" i="101"/>
  <c r="A803" i="101"/>
  <c r="C803" i="101" s="1"/>
  <c r="D803" i="101" s="1"/>
  <c r="J803" i="101"/>
  <c r="B803" i="101" s="1"/>
  <c r="N803" i="101"/>
  <c r="A804" i="101"/>
  <c r="C804" i="101" s="1"/>
  <c r="F804" i="101" s="1"/>
  <c r="J804" i="101"/>
  <c r="N804" i="101"/>
  <c r="A805" i="101"/>
  <c r="C805" i="101" s="1"/>
  <c r="J805" i="101"/>
  <c r="B805" i="101" s="1"/>
  <c r="N805" i="101"/>
  <c r="A806" i="101"/>
  <c r="C806" i="101" s="1"/>
  <c r="E806" i="101" s="1"/>
  <c r="D806" i="134" s="1"/>
  <c r="C808" i="135" s="1"/>
  <c r="C808" i="139" s="1"/>
  <c r="J806" i="101"/>
  <c r="B806" i="101" s="1"/>
  <c r="N806" i="101"/>
  <c r="A807" i="101"/>
  <c r="C807" i="101" s="1"/>
  <c r="D807" i="101" s="1"/>
  <c r="J807" i="101"/>
  <c r="B807" i="101" s="1"/>
  <c r="N807" i="101"/>
  <c r="A808" i="101"/>
  <c r="C808" i="101" s="1"/>
  <c r="D808" i="101" s="1"/>
  <c r="J808" i="101"/>
  <c r="B808" i="101" s="1"/>
  <c r="N808" i="101"/>
  <c r="A809" i="101"/>
  <c r="C809" i="101"/>
  <c r="G809" i="101" s="1"/>
  <c r="C809" i="134" s="1"/>
  <c r="E811" i="135" s="1"/>
  <c r="E811" i="139" s="1"/>
  <c r="J809" i="101"/>
  <c r="B809" i="101" s="1"/>
  <c r="N809" i="101"/>
  <c r="A810" i="101"/>
  <c r="C810" i="101" s="1"/>
  <c r="D810" i="101" s="1"/>
  <c r="J810" i="101"/>
  <c r="B810" i="101" s="1"/>
  <c r="N810" i="101"/>
  <c r="C811" i="101"/>
  <c r="F811" i="101" s="1"/>
  <c r="AS811" i="101" s="1"/>
  <c r="J811" i="101"/>
  <c r="B811" i="101" s="1"/>
  <c r="N811" i="101"/>
  <c r="A812" i="101"/>
  <c r="C812" i="101" s="1"/>
  <c r="J812" i="101"/>
  <c r="B812" i="101" s="1"/>
  <c r="N812" i="101"/>
  <c r="A813" i="101"/>
  <c r="C813" i="101" s="1"/>
  <c r="D813" i="101" s="1"/>
  <c r="J813" i="101"/>
  <c r="B813" i="101" s="1"/>
  <c r="N813" i="101"/>
  <c r="A814" i="101"/>
  <c r="C814" i="101" s="1"/>
  <c r="D814" i="101" s="1"/>
  <c r="J814" i="101"/>
  <c r="B814" i="101" s="1"/>
  <c r="N814" i="101"/>
  <c r="A815" i="101"/>
  <c r="C815" i="101" s="1"/>
  <c r="D815" i="101" s="1"/>
  <c r="J815" i="101"/>
  <c r="B815" i="101" s="1"/>
  <c r="N815" i="101"/>
  <c r="A816" i="101"/>
  <c r="C816" i="101" s="1"/>
  <c r="F816" i="101" s="1"/>
  <c r="AS816" i="101" s="1"/>
  <c r="J816" i="101"/>
  <c r="B816" i="101" s="1"/>
  <c r="N816" i="101"/>
  <c r="A817" i="101"/>
  <c r="C817" i="101" s="1"/>
  <c r="J817" i="101"/>
  <c r="B817" i="101" s="1"/>
  <c r="N817" i="101"/>
  <c r="A818" i="101"/>
  <c r="C818" i="101" s="1"/>
  <c r="E818" i="101" s="1"/>
  <c r="D818" i="134" s="1"/>
  <c r="C820" i="135" s="1"/>
  <c r="C820" i="139" s="1"/>
  <c r="J818" i="101"/>
  <c r="B818" i="101" s="1"/>
  <c r="N818" i="101"/>
  <c r="A819" i="101"/>
  <c r="C819" i="101" s="1"/>
  <c r="D819" i="101" s="1"/>
  <c r="J819" i="101"/>
  <c r="B819" i="101" s="1"/>
  <c r="N819" i="101"/>
  <c r="A820" i="101"/>
  <c r="C820" i="101" s="1"/>
  <c r="G820" i="101" s="1"/>
  <c r="C820" i="134" s="1"/>
  <c r="E822" i="135" s="1"/>
  <c r="E822" i="139" s="1"/>
  <c r="J820" i="101"/>
  <c r="B820" i="101" s="1"/>
  <c r="N820" i="101"/>
  <c r="A821" i="101"/>
  <c r="C821" i="101" s="1"/>
  <c r="F821" i="101" s="1"/>
  <c r="AS821" i="101" s="1"/>
  <c r="J821" i="101"/>
  <c r="B821" i="101" s="1"/>
  <c r="N821" i="101"/>
  <c r="A822" i="101"/>
  <c r="C822" i="101"/>
  <c r="D822" i="101" s="1"/>
  <c r="J822" i="101"/>
  <c r="B822" i="101" s="1"/>
  <c r="N822" i="101"/>
  <c r="A823" i="101"/>
  <c r="C823" i="101"/>
  <c r="J823" i="101"/>
  <c r="B823" i="101" s="1"/>
  <c r="N823" i="101"/>
  <c r="A824" i="101"/>
  <c r="C824" i="101" s="1"/>
  <c r="D824" i="101" s="1"/>
  <c r="J824" i="101"/>
  <c r="B824" i="101" s="1"/>
  <c r="N824" i="101"/>
  <c r="A825" i="101"/>
  <c r="C825" i="101" s="1"/>
  <c r="F825" i="101" s="1"/>
  <c r="AS825" i="101" s="1"/>
  <c r="J825" i="101"/>
  <c r="B825" i="101" s="1"/>
  <c r="N825" i="101"/>
  <c r="A826" i="101"/>
  <c r="C826" i="101" s="1"/>
  <c r="D826" i="101" s="1"/>
  <c r="J826" i="101"/>
  <c r="B826" i="101" s="1"/>
  <c r="N826" i="101"/>
  <c r="A827" i="101"/>
  <c r="C827" i="101" s="1"/>
  <c r="E827" i="101" s="1"/>
  <c r="D827" i="134" s="1"/>
  <c r="C829" i="135" s="1"/>
  <c r="C829" i="139" s="1"/>
  <c r="J827" i="101"/>
  <c r="B827" i="101" s="1"/>
  <c r="N827" i="101"/>
  <c r="A828" i="101"/>
  <c r="C828" i="101" s="1"/>
  <c r="D828" i="101" s="1"/>
  <c r="J828" i="101"/>
  <c r="B828" i="101" s="1"/>
  <c r="N828" i="101"/>
  <c r="A829" i="101"/>
  <c r="C829" i="101" s="1"/>
  <c r="F829" i="101" s="1"/>
  <c r="AS829" i="101" s="1"/>
  <c r="J829" i="101"/>
  <c r="B829" i="101" s="1"/>
  <c r="N829" i="101"/>
  <c r="C830" i="101"/>
  <c r="F830" i="101" s="1"/>
  <c r="AS830" i="101" s="1"/>
  <c r="J830" i="101"/>
  <c r="B830" i="101" s="1"/>
  <c r="N830" i="101"/>
  <c r="A831" i="101"/>
  <c r="C831" i="101"/>
  <c r="D831" i="101" s="1"/>
  <c r="J831" i="101"/>
  <c r="B831" i="101" s="1"/>
  <c r="N831" i="101"/>
  <c r="A832" i="101"/>
  <c r="C832" i="101"/>
  <c r="J832" i="101"/>
  <c r="B832" i="101" s="1"/>
  <c r="N832" i="101"/>
  <c r="A833" i="101"/>
  <c r="C833" i="101"/>
  <c r="E833" i="101" s="1"/>
  <c r="D833" i="134" s="1"/>
  <c r="C835" i="135" s="1"/>
  <c r="C835" i="139" s="1"/>
  <c r="J833" i="101"/>
  <c r="B833" i="101" s="1"/>
  <c r="N833" i="101"/>
  <c r="A834" i="101"/>
  <c r="C834" i="101"/>
  <c r="E834" i="101" s="1"/>
  <c r="D834" i="134" s="1"/>
  <c r="C836" i="135" s="1"/>
  <c r="C836" i="139" s="1"/>
  <c r="J834" i="101"/>
  <c r="B834" i="101" s="1"/>
  <c r="N834" i="101"/>
  <c r="A835" i="101"/>
  <c r="C835" i="101"/>
  <c r="G835" i="101" s="1"/>
  <c r="C835" i="134" s="1"/>
  <c r="E837" i="135" s="1"/>
  <c r="E837" i="139" s="1"/>
  <c r="J835" i="101"/>
  <c r="B835" i="101" s="1"/>
  <c r="N835" i="101"/>
  <c r="A836" i="101"/>
  <c r="C836" i="101"/>
  <c r="J836" i="101"/>
  <c r="B836" i="101" s="1"/>
  <c r="N836" i="101"/>
  <c r="A837" i="101"/>
  <c r="C837" i="101"/>
  <c r="D837" i="101" s="1"/>
  <c r="J837" i="101"/>
  <c r="B837" i="101" s="1"/>
  <c r="N837" i="101"/>
  <c r="A838" i="101"/>
  <c r="C838" i="101"/>
  <c r="E838" i="101" s="1"/>
  <c r="D838" i="134" s="1"/>
  <c r="C840" i="135" s="1"/>
  <c r="C840" i="139" s="1"/>
  <c r="J838" i="101"/>
  <c r="B838" i="101" s="1"/>
  <c r="N838" i="101"/>
  <c r="A839" i="101"/>
  <c r="C839" i="101"/>
  <c r="J839" i="101"/>
  <c r="B839" i="101" s="1"/>
  <c r="N839" i="101"/>
  <c r="A840" i="101"/>
  <c r="C840" i="101"/>
  <c r="G840" i="101" s="1"/>
  <c r="C840" i="134" s="1"/>
  <c r="E842" i="135" s="1"/>
  <c r="E842" i="139" s="1"/>
  <c r="J840" i="101"/>
  <c r="B840" i="101" s="1"/>
  <c r="N840" i="101"/>
  <c r="A841" i="101"/>
  <c r="C841" i="101"/>
  <c r="E841" i="101" s="1"/>
  <c r="D841" i="134" s="1"/>
  <c r="C843" i="135" s="1"/>
  <c r="C843" i="139" s="1"/>
  <c r="J841" i="101"/>
  <c r="B841" i="101" s="1"/>
  <c r="N841" i="101"/>
  <c r="A842" i="101"/>
  <c r="C842" i="101"/>
  <c r="F842" i="101" s="1"/>
  <c r="J842" i="101"/>
  <c r="B842" i="101" s="1"/>
  <c r="N842" i="101"/>
  <c r="A843" i="101"/>
  <c r="C843" i="101"/>
  <c r="F843" i="101" s="1"/>
  <c r="J843" i="101"/>
  <c r="B843" i="101" s="1"/>
  <c r="N843" i="101"/>
  <c r="A844" i="101"/>
  <c r="C844" i="101"/>
  <c r="J844" i="101"/>
  <c r="B844" i="101" s="1"/>
  <c r="N844" i="101"/>
  <c r="A845" i="101"/>
  <c r="C845" i="101"/>
  <c r="D845" i="101" s="1"/>
  <c r="J845" i="101"/>
  <c r="B845" i="101" s="1"/>
  <c r="N845" i="101"/>
  <c r="A846" i="101"/>
  <c r="C846" i="101"/>
  <c r="J846" i="101"/>
  <c r="B846" i="101" s="1"/>
  <c r="N846" i="101"/>
  <c r="A847" i="101"/>
  <c r="C847" i="101"/>
  <c r="J847" i="101"/>
  <c r="B847" i="101" s="1"/>
  <c r="N847" i="101"/>
  <c r="A848" i="101"/>
  <c r="C848" i="101"/>
  <c r="F848" i="101" s="1"/>
  <c r="J848" i="101"/>
  <c r="B848" i="101" s="1"/>
  <c r="N848" i="101"/>
  <c r="A849" i="101"/>
  <c r="C849" i="101"/>
  <c r="D849" i="101" s="1"/>
  <c r="J849" i="101"/>
  <c r="B849" i="101" s="1"/>
  <c r="N849" i="101"/>
  <c r="A850" i="101"/>
  <c r="C850" i="101"/>
  <c r="G850" i="101" s="1"/>
  <c r="C850" i="134" s="1"/>
  <c r="E852" i="135" s="1"/>
  <c r="E852" i="139" s="1"/>
  <c r="J850" i="101"/>
  <c r="B850" i="101" s="1"/>
  <c r="N850" i="101"/>
  <c r="A851" i="101"/>
  <c r="C851" i="101"/>
  <c r="D851" i="101" s="1"/>
  <c r="J851" i="101"/>
  <c r="B851" i="101" s="1"/>
  <c r="N851" i="101"/>
  <c r="A852" i="101"/>
  <c r="C852" i="101"/>
  <c r="G852" i="101" s="1"/>
  <c r="C852" i="134" s="1"/>
  <c r="E854" i="135" s="1"/>
  <c r="E854" i="139" s="1"/>
  <c r="J852" i="101"/>
  <c r="B852" i="101" s="1"/>
  <c r="N852" i="101"/>
  <c r="A853" i="101"/>
  <c r="C853" i="101"/>
  <c r="J853" i="101"/>
  <c r="B853" i="101" s="1"/>
  <c r="N853" i="101"/>
  <c r="A854" i="101"/>
  <c r="C854" i="101"/>
  <c r="D854" i="101" s="1"/>
  <c r="J854" i="101"/>
  <c r="B854" i="101" s="1"/>
  <c r="N854" i="101"/>
  <c r="A855" i="101"/>
  <c r="C855" i="101"/>
  <c r="F855" i="101" s="1"/>
  <c r="J855" i="101"/>
  <c r="B855" i="101" s="1"/>
  <c r="N855" i="101"/>
  <c r="A856" i="101"/>
  <c r="C856" i="101"/>
  <c r="D856" i="101" s="1"/>
  <c r="J856" i="101"/>
  <c r="B856" i="101" s="1"/>
  <c r="N856" i="101"/>
  <c r="A857" i="101"/>
  <c r="C857" i="101"/>
  <c r="G857" i="101" s="1"/>
  <c r="C857" i="134" s="1"/>
  <c r="E859" i="135" s="1"/>
  <c r="E859" i="139" s="1"/>
  <c r="J857" i="101"/>
  <c r="B857" i="101" s="1"/>
  <c r="N857" i="101"/>
  <c r="A858" i="101"/>
  <c r="C858" i="101"/>
  <c r="D858" i="101" s="1"/>
  <c r="J858" i="101"/>
  <c r="B858" i="101" s="1"/>
  <c r="N858" i="101"/>
  <c r="A859" i="101"/>
  <c r="C859" i="101"/>
  <c r="E859" i="101" s="1"/>
  <c r="D859" i="134" s="1"/>
  <c r="C861" i="135" s="1"/>
  <c r="C861" i="139" s="1"/>
  <c r="J859" i="101"/>
  <c r="B859" i="101" s="1"/>
  <c r="N859" i="101"/>
  <c r="A860" i="101"/>
  <c r="C860" i="101"/>
  <c r="J860" i="101"/>
  <c r="B860" i="101" s="1"/>
  <c r="N860" i="101"/>
  <c r="A861" i="101"/>
  <c r="C861" i="101"/>
  <c r="F861" i="101" s="1"/>
  <c r="J861" i="101"/>
  <c r="B861" i="101" s="1"/>
  <c r="N861" i="101"/>
  <c r="A862" i="101"/>
  <c r="C862" i="101"/>
  <c r="F862" i="101" s="1"/>
  <c r="J862" i="101"/>
  <c r="B862" i="101" s="1"/>
  <c r="N862" i="101"/>
  <c r="A863" i="101"/>
  <c r="C863" i="101"/>
  <c r="D863" i="101" s="1"/>
  <c r="J863" i="101"/>
  <c r="B863" i="101" s="1"/>
  <c r="N863" i="101"/>
  <c r="A864" i="101"/>
  <c r="C864" i="101"/>
  <c r="E864" i="101" s="1"/>
  <c r="D864" i="134" s="1"/>
  <c r="C866" i="135" s="1"/>
  <c r="C866" i="139" s="1"/>
  <c r="J864" i="101"/>
  <c r="B864" i="101" s="1"/>
  <c r="N864" i="101"/>
  <c r="A865" i="101"/>
  <c r="C865" i="101"/>
  <c r="D865" i="101" s="1"/>
  <c r="J865" i="101"/>
  <c r="B865" i="101" s="1"/>
  <c r="N865" i="101"/>
  <c r="A866" i="101"/>
  <c r="C866" i="101"/>
  <c r="G866" i="101" s="1"/>
  <c r="C866" i="134" s="1"/>
  <c r="E868" i="135" s="1"/>
  <c r="E868" i="139" s="1"/>
  <c r="J866" i="101"/>
  <c r="B866" i="101" s="1"/>
  <c r="N866" i="101"/>
  <c r="A867" i="101"/>
  <c r="C867" i="101"/>
  <c r="D867" i="101" s="1"/>
  <c r="J867" i="101"/>
  <c r="B867" i="101" s="1"/>
  <c r="N867" i="101"/>
  <c r="A868" i="101"/>
  <c r="C868" i="101"/>
  <c r="G868" i="101" s="1"/>
  <c r="C868" i="134" s="1"/>
  <c r="E870" i="135" s="1"/>
  <c r="E870" i="139" s="1"/>
  <c r="J868" i="101"/>
  <c r="B868" i="101" s="1"/>
  <c r="N868" i="101"/>
  <c r="A869" i="101"/>
  <c r="C869" i="101"/>
  <c r="D869" i="101" s="1"/>
  <c r="J869" i="101"/>
  <c r="B869" i="101" s="1"/>
  <c r="N869" i="101"/>
  <c r="A870" i="101"/>
  <c r="C870" i="101"/>
  <c r="E870" i="101" s="1"/>
  <c r="D870" i="134" s="1"/>
  <c r="C872" i="135" s="1"/>
  <c r="C872" i="139" s="1"/>
  <c r="J870" i="101"/>
  <c r="B870" i="101" s="1"/>
  <c r="N870" i="101"/>
  <c r="A871" i="101"/>
  <c r="C871" i="101"/>
  <c r="G871" i="101" s="1"/>
  <c r="C871" i="134" s="1"/>
  <c r="E873" i="135" s="1"/>
  <c r="E873" i="139" s="1"/>
  <c r="J871" i="101"/>
  <c r="B871" i="101" s="1"/>
  <c r="N871" i="101"/>
  <c r="A872" i="101"/>
  <c r="C872" i="101"/>
  <c r="J872" i="101"/>
  <c r="B872" i="101" s="1"/>
  <c r="N872" i="101"/>
  <c r="A873" i="101"/>
  <c r="C873" i="101"/>
  <c r="E873" i="101" s="1"/>
  <c r="D873" i="134" s="1"/>
  <c r="C875" i="135" s="1"/>
  <c r="C875" i="139" s="1"/>
  <c r="J873" i="101"/>
  <c r="B873" i="101" s="1"/>
  <c r="N873" i="101"/>
  <c r="A874" i="101"/>
  <c r="C874" i="101"/>
  <c r="E874" i="101" s="1"/>
  <c r="D874" i="134" s="1"/>
  <c r="C876" i="135" s="1"/>
  <c r="C876" i="139" s="1"/>
  <c r="J874" i="101"/>
  <c r="B874" i="101" s="1"/>
  <c r="N874" i="101"/>
  <c r="A875" i="101"/>
  <c r="C875" i="101"/>
  <c r="G875" i="101" s="1"/>
  <c r="C875" i="134" s="1"/>
  <c r="E877" i="135" s="1"/>
  <c r="E877" i="139" s="1"/>
  <c r="J875" i="101"/>
  <c r="B875" i="101" s="1"/>
  <c r="N875" i="101"/>
  <c r="A876" i="101"/>
  <c r="C876" i="101"/>
  <c r="G876" i="101" s="1"/>
  <c r="C876" i="134" s="1"/>
  <c r="E878" i="135" s="1"/>
  <c r="E878" i="139" s="1"/>
  <c r="J876" i="101"/>
  <c r="B876" i="101" s="1"/>
  <c r="N876" i="101"/>
  <c r="A877" i="101"/>
  <c r="C877" i="101"/>
  <c r="F877" i="101" s="1"/>
  <c r="J877" i="101"/>
  <c r="B877" i="101" s="1"/>
  <c r="N877" i="101"/>
  <c r="A878" i="101"/>
  <c r="C878" i="101"/>
  <c r="D878" i="101" s="1"/>
  <c r="J878" i="101"/>
  <c r="B878" i="101" s="1"/>
  <c r="N878" i="101"/>
  <c r="A879" i="101"/>
  <c r="C879" i="101"/>
  <c r="E879" i="101" s="1"/>
  <c r="D879" i="134" s="1"/>
  <c r="C881" i="135" s="1"/>
  <c r="C881" i="139" s="1"/>
  <c r="J879" i="101"/>
  <c r="B879" i="101" s="1"/>
  <c r="N879" i="101"/>
  <c r="A880" i="101"/>
  <c r="C880" i="101"/>
  <c r="G880" i="101" s="1"/>
  <c r="C880" i="134" s="1"/>
  <c r="E882" i="135" s="1"/>
  <c r="E882" i="139" s="1"/>
  <c r="J880" i="101"/>
  <c r="B880" i="101" s="1"/>
  <c r="N880" i="101"/>
  <c r="A881" i="101"/>
  <c r="C881" i="101"/>
  <c r="D881" i="101" s="1"/>
  <c r="J881" i="101"/>
  <c r="B881" i="101" s="1"/>
  <c r="N881" i="101"/>
  <c r="A882" i="101"/>
  <c r="C882" i="101"/>
  <c r="J882" i="101"/>
  <c r="B882" i="101" s="1"/>
  <c r="N882" i="101"/>
  <c r="A883" i="101"/>
  <c r="C883" i="101"/>
  <c r="D883" i="101" s="1"/>
  <c r="J883" i="101"/>
  <c r="B883" i="101" s="1"/>
  <c r="N883" i="101"/>
  <c r="A884" i="101"/>
  <c r="C884" i="101"/>
  <c r="G884" i="101" s="1"/>
  <c r="C884" i="134" s="1"/>
  <c r="E886" i="135" s="1"/>
  <c r="E886" i="139" s="1"/>
  <c r="J884" i="101"/>
  <c r="B884" i="101" s="1"/>
  <c r="N884" i="101"/>
  <c r="A885" i="101"/>
  <c r="C885" i="101"/>
  <c r="F885" i="101" s="1"/>
  <c r="J885" i="101"/>
  <c r="B885" i="101" s="1"/>
  <c r="N885" i="101"/>
  <c r="A886" i="101"/>
  <c r="C886" i="101"/>
  <c r="D886" i="101" s="1"/>
  <c r="J886" i="101"/>
  <c r="B886" i="101" s="1"/>
  <c r="N886" i="101"/>
  <c r="A887" i="101"/>
  <c r="C887" i="101"/>
  <c r="D887" i="101" s="1"/>
  <c r="J887" i="101"/>
  <c r="B887" i="101" s="1"/>
  <c r="N887" i="101"/>
  <c r="A888" i="101"/>
  <c r="C888" i="101"/>
  <c r="D888" i="101" s="1"/>
  <c r="J888" i="101"/>
  <c r="B888" i="101" s="1"/>
  <c r="N888" i="101"/>
  <c r="A889" i="101"/>
  <c r="C889" i="101"/>
  <c r="F889" i="101" s="1"/>
  <c r="J889" i="101"/>
  <c r="B889" i="101" s="1"/>
  <c r="N889" i="101"/>
  <c r="A890" i="101"/>
  <c r="C890" i="101"/>
  <c r="D890" i="101" s="1"/>
  <c r="J890" i="101"/>
  <c r="B890" i="101" s="1"/>
  <c r="N890" i="101"/>
  <c r="A891" i="101"/>
  <c r="C891" i="101"/>
  <c r="E891" i="101" s="1"/>
  <c r="D891" i="134" s="1"/>
  <c r="C893" i="135" s="1"/>
  <c r="C893" i="139" s="1"/>
  <c r="J891" i="101"/>
  <c r="B891" i="101" s="1"/>
  <c r="N891" i="101"/>
  <c r="A892" i="101"/>
  <c r="C892" i="101"/>
  <c r="J892" i="101"/>
  <c r="B892" i="101" s="1"/>
  <c r="N892" i="101"/>
  <c r="A893" i="101"/>
  <c r="C893" i="101"/>
  <c r="F893" i="101" s="1"/>
  <c r="J893" i="101"/>
  <c r="B893" i="101" s="1"/>
  <c r="N893" i="101"/>
  <c r="A894" i="101"/>
  <c r="C894" i="101"/>
  <c r="E894" i="101" s="1"/>
  <c r="D894" i="134" s="1"/>
  <c r="C896" i="135" s="1"/>
  <c r="C896" i="139" s="1"/>
  <c r="J894" i="101"/>
  <c r="B894" i="101" s="1"/>
  <c r="N894" i="101"/>
  <c r="A895" i="101"/>
  <c r="C895" i="101"/>
  <c r="G895" i="101" s="1"/>
  <c r="C895" i="134" s="1"/>
  <c r="E897" i="135" s="1"/>
  <c r="E897" i="139" s="1"/>
  <c r="J895" i="101"/>
  <c r="B895" i="101" s="1"/>
  <c r="N895" i="101"/>
  <c r="A896" i="101"/>
  <c r="C896" i="101"/>
  <c r="E896" i="101" s="1"/>
  <c r="D896" i="134" s="1"/>
  <c r="C898" i="135" s="1"/>
  <c r="C898" i="139" s="1"/>
  <c r="J896" i="101"/>
  <c r="B896" i="101" s="1"/>
  <c r="N896" i="101"/>
  <c r="A897" i="101"/>
  <c r="C897" i="101"/>
  <c r="G897" i="101" s="1"/>
  <c r="C897" i="134" s="1"/>
  <c r="E899" i="135" s="1"/>
  <c r="E899" i="139" s="1"/>
  <c r="J897" i="101"/>
  <c r="B897" i="101" s="1"/>
  <c r="N897" i="101"/>
  <c r="A898" i="101"/>
  <c r="C898" i="101"/>
  <c r="D898" i="101" s="1"/>
  <c r="J898" i="101"/>
  <c r="B898" i="101" s="1"/>
  <c r="N898" i="101"/>
  <c r="A899" i="101"/>
  <c r="C899" i="101"/>
  <c r="G899" i="101" s="1"/>
  <c r="C899" i="134" s="1"/>
  <c r="E901" i="135" s="1"/>
  <c r="E901" i="139" s="1"/>
  <c r="J899" i="101"/>
  <c r="B899" i="101" s="1"/>
  <c r="N899" i="101"/>
  <c r="A900" i="101"/>
  <c r="C900" i="101"/>
  <c r="G900" i="101" s="1"/>
  <c r="C900" i="134" s="1"/>
  <c r="E902" i="135" s="1"/>
  <c r="E902" i="139" s="1"/>
  <c r="J900" i="101"/>
  <c r="B900" i="101" s="1"/>
  <c r="N900" i="101"/>
  <c r="A901" i="101"/>
  <c r="C901" i="101"/>
  <c r="E901" i="101" s="1"/>
  <c r="D901" i="134" s="1"/>
  <c r="C903" i="135" s="1"/>
  <c r="C903" i="139" s="1"/>
  <c r="J901" i="101"/>
  <c r="B901" i="101" s="1"/>
  <c r="N901" i="101"/>
  <c r="A902" i="101"/>
  <c r="C902" i="101"/>
  <c r="D902" i="101" s="1"/>
  <c r="J902" i="101"/>
  <c r="B902" i="101" s="1"/>
  <c r="N902" i="101"/>
  <c r="A903" i="101"/>
  <c r="C903" i="101"/>
  <c r="J903" i="101"/>
  <c r="B903" i="101" s="1"/>
  <c r="N903" i="101"/>
  <c r="A904" i="101"/>
  <c r="C904" i="101"/>
  <c r="D904" i="101" s="1"/>
  <c r="J904" i="101"/>
  <c r="B904" i="101" s="1"/>
  <c r="N904" i="101"/>
  <c r="A905" i="101"/>
  <c r="C905" i="101"/>
  <c r="F905" i="101" s="1"/>
  <c r="J905" i="101"/>
  <c r="B905" i="101" s="1"/>
  <c r="N905" i="101"/>
  <c r="A906" i="101"/>
  <c r="C906" i="101"/>
  <c r="D906" i="101" s="1"/>
  <c r="J906" i="101"/>
  <c r="B906" i="101" s="1"/>
  <c r="N906" i="101"/>
  <c r="A907" i="101"/>
  <c r="C907" i="101"/>
  <c r="D907" i="101" s="1"/>
  <c r="J907" i="101"/>
  <c r="B907" i="101" s="1"/>
  <c r="N907" i="101"/>
  <c r="A908" i="101"/>
  <c r="C908" i="101"/>
  <c r="G908" i="101" s="1"/>
  <c r="C908" i="134" s="1"/>
  <c r="E910" i="135" s="1"/>
  <c r="E910" i="139" s="1"/>
  <c r="J908" i="101"/>
  <c r="B908" i="101" s="1"/>
  <c r="N908" i="101"/>
  <c r="A909" i="101"/>
  <c r="C909" i="101"/>
  <c r="F909" i="101" s="1"/>
  <c r="J909" i="101"/>
  <c r="B909" i="101" s="1"/>
  <c r="N909" i="101"/>
  <c r="A910" i="101"/>
  <c r="C910" i="101"/>
  <c r="D910" i="101" s="1"/>
  <c r="J910" i="101"/>
  <c r="B910" i="101" s="1"/>
  <c r="N910" i="101"/>
  <c r="A911" i="101"/>
  <c r="C911" i="101"/>
  <c r="G911" i="101" s="1"/>
  <c r="C911" i="134" s="1"/>
  <c r="E913" i="135" s="1"/>
  <c r="E913" i="139" s="1"/>
  <c r="J911" i="101"/>
  <c r="B911" i="101" s="1"/>
  <c r="N911" i="101"/>
  <c r="A912" i="101"/>
  <c r="C912" i="101"/>
  <c r="E912" i="101" s="1"/>
  <c r="D912" i="134" s="1"/>
  <c r="C914" i="135" s="1"/>
  <c r="C914" i="139" s="1"/>
  <c r="J912" i="101"/>
  <c r="B912" i="101" s="1"/>
  <c r="N912" i="101"/>
  <c r="A913" i="101"/>
  <c r="C913" i="101"/>
  <c r="D913" i="101" s="1"/>
  <c r="J913" i="101"/>
  <c r="B913" i="101" s="1"/>
  <c r="N913" i="101"/>
  <c r="A914" i="101"/>
  <c r="C914" i="101"/>
  <c r="E914" i="101" s="1"/>
  <c r="D914" i="134" s="1"/>
  <c r="C916" i="135" s="1"/>
  <c r="C916" i="139" s="1"/>
  <c r="J914" i="101"/>
  <c r="B914" i="101" s="1"/>
  <c r="N914" i="101"/>
  <c r="A915" i="101"/>
  <c r="C915" i="101"/>
  <c r="J915" i="101"/>
  <c r="B915" i="101" s="1"/>
  <c r="N915" i="101"/>
  <c r="A916" i="101"/>
  <c r="C916" i="101"/>
  <c r="F916" i="101" s="1"/>
  <c r="J916" i="101"/>
  <c r="B916" i="101" s="1"/>
  <c r="N916" i="101"/>
  <c r="A917" i="101"/>
  <c r="C917" i="101"/>
  <c r="F917" i="101" s="1"/>
  <c r="J917" i="101"/>
  <c r="B917" i="101" s="1"/>
  <c r="N917" i="101"/>
  <c r="A918" i="101"/>
  <c r="C918" i="101"/>
  <c r="G918" i="101" s="1"/>
  <c r="C918" i="134" s="1"/>
  <c r="E920" i="135" s="1"/>
  <c r="E920" i="139" s="1"/>
  <c r="J918" i="101"/>
  <c r="B918" i="101" s="1"/>
  <c r="N918" i="101"/>
  <c r="A919" i="101"/>
  <c r="C919" i="101"/>
  <c r="D919" i="101" s="1"/>
  <c r="J919" i="101"/>
  <c r="B919" i="101" s="1"/>
  <c r="N919" i="101"/>
  <c r="A920" i="101"/>
  <c r="C920" i="101"/>
  <c r="D920" i="101" s="1"/>
  <c r="J920" i="101"/>
  <c r="B920" i="101" s="1"/>
  <c r="N920" i="101"/>
  <c r="A921" i="101"/>
  <c r="C921" i="101"/>
  <c r="D921" i="101" s="1"/>
  <c r="J921" i="101"/>
  <c r="B921" i="101" s="1"/>
  <c r="N921" i="101"/>
  <c r="A922" i="101"/>
  <c r="C922" i="101"/>
  <c r="J922" i="101"/>
  <c r="B922" i="101" s="1"/>
  <c r="N922" i="101"/>
  <c r="A923" i="101"/>
  <c r="C923" i="101"/>
  <c r="F923" i="101" s="1"/>
  <c r="J923" i="101"/>
  <c r="B923" i="101" s="1"/>
  <c r="N923" i="101"/>
  <c r="A924" i="101"/>
  <c r="C924" i="101"/>
  <c r="G924" i="101" s="1"/>
  <c r="C924" i="134" s="1"/>
  <c r="E926" i="135" s="1"/>
  <c r="E926" i="139" s="1"/>
  <c r="J924" i="101"/>
  <c r="B924" i="101" s="1"/>
  <c r="N924" i="101"/>
  <c r="A925" i="101"/>
  <c r="C925" i="101"/>
  <c r="F925" i="101" s="1"/>
  <c r="J925" i="101"/>
  <c r="B925" i="101" s="1"/>
  <c r="N925" i="101"/>
  <c r="A926" i="101"/>
  <c r="C926" i="101"/>
  <c r="E926" i="101" s="1"/>
  <c r="D926" i="134" s="1"/>
  <c r="C928" i="135" s="1"/>
  <c r="C928" i="139" s="1"/>
  <c r="J926" i="101"/>
  <c r="B926" i="101" s="1"/>
  <c r="N926" i="101"/>
  <c r="A927" i="101"/>
  <c r="C927" i="101"/>
  <c r="G927" i="101" s="1"/>
  <c r="C927" i="134" s="1"/>
  <c r="E929" i="135" s="1"/>
  <c r="E929" i="139" s="1"/>
  <c r="J927" i="101"/>
  <c r="B927" i="101" s="1"/>
  <c r="N927" i="101"/>
  <c r="A928" i="101"/>
  <c r="C928" i="101"/>
  <c r="E928" i="101" s="1"/>
  <c r="D928" i="134" s="1"/>
  <c r="C930" i="135" s="1"/>
  <c r="C930" i="139" s="1"/>
  <c r="J928" i="101"/>
  <c r="B928" i="101" s="1"/>
  <c r="N928" i="101"/>
  <c r="A929" i="101"/>
  <c r="C929" i="101"/>
  <c r="G929" i="101" s="1"/>
  <c r="C929" i="134" s="1"/>
  <c r="E931" i="135" s="1"/>
  <c r="E931" i="139" s="1"/>
  <c r="J929" i="101"/>
  <c r="B929" i="101" s="1"/>
  <c r="N929" i="101"/>
  <c r="A930" i="101"/>
  <c r="C930" i="101"/>
  <c r="D930" i="101" s="1"/>
  <c r="J930" i="101"/>
  <c r="B930" i="101" s="1"/>
  <c r="N930" i="101"/>
  <c r="A931" i="101"/>
  <c r="C931" i="101"/>
  <c r="D931" i="101" s="1"/>
  <c r="J931" i="101"/>
  <c r="B931" i="101" s="1"/>
  <c r="N931" i="101"/>
  <c r="A932" i="101"/>
  <c r="C932" i="101"/>
  <c r="D932" i="101" s="1"/>
  <c r="J932" i="101"/>
  <c r="B932" i="101" s="1"/>
  <c r="N932" i="101"/>
  <c r="A933" i="101"/>
  <c r="C933" i="101"/>
  <c r="F933" i="101" s="1"/>
  <c r="E933" i="134" s="1"/>
  <c r="D935" i="135" s="1"/>
  <c r="D935" i="139" s="1"/>
  <c r="J933" i="101"/>
  <c r="B933" i="101" s="1"/>
  <c r="N933" i="101"/>
  <c r="A934" i="101"/>
  <c r="C934" i="101"/>
  <c r="G934" i="101" s="1"/>
  <c r="C934" i="134" s="1"/>
  <c r="E936" i="135" s="1"/>
  <c r="E936" i="139" s="1"/>
  <c r="J934" i="101"/>
  <c r="B934" i="101" s="1"/>
  <c r="N934" i="101"/>
  <c r="A935" i="101"/>
  <c r="C935" i="101"/>
  <c r="G935" i="101" s="1"/>
  <c r="C935" i="134" s="1"/>
  <c r="E937" i="135" s="1"/>
  <c r="E937" i="139" s="1"/>
  <c r="J935" i="101"/>
  <c r="B935" i="101" s="1"/>
  <c r="N935" i="101"/>
  <c r="A936" i="101"/>
  <c r="C936" i="101"/>
  <c r="D936" i="101" s="1"/>
  <c r="J936" i="101"/>
  <c r="B936" i="101" s="1"/>
  <c r="N936" i="101"/>
  <c r="A937" i="101"/>
  <c r="C937" i="101"/>
  <c r="E937" i="101" s="1"/>
  <c r="D937" i="134" s="1"/>
  <c r="C939" i="135" s="1"/>
  <c r="C939" i="139" s="1"/>
  <c r="J937" i="101"/>
  <c r="B937" i="101" s="1"/>
  <c r="N937" i="101"/>
  <c r="A938" i="101"/>
  <c r="C938" i="101"/>
  <c r="D938" i="101" s="1"/>
  <c r="J938" i="101"/>
  <c r="B938" i="101" s="1"/>
  <c r="N938" i="101"/>
  <c r="A939" i="101"/>
  <c r="C939" i="101"/>
  <c r="D939" i="101" s="1"/>
  <c r="J939" i="101"/>
  <c r="B939" i="101" s="1"/>
  <c r="N939" i="101"/>
  <c r="A940" i="101"/>
  <c r="C940" i="101"/>
  <c r="G940" i="101" s="1"/>
  <c r="C940" i="134" s="1"/>
  <c r="E942" i="135" s="1"/>
  <c r="E942" i="139" s="1"/>
  <c r="J940" i="101"/>
  <c r="B940" i="101" s="1"/>
  <c r="N940" i="101"/>
  <c r="A941" i="101"/>
  <c r="C941" i="101"/>
  <c r="F941" i="101" s="1"/>
  <c r="E941" i="134" s="1"/>
  <c r="D943" i="135" s="1"/>
  <c r="D943" i="139" s="1"/>
  <c r="J941" i="101"/>
  <c r="B941" i="101" s="1"/>
  <c r="N941" i="101"/>
  <c r="A942" i="101"/>
  <c r="C942" i="101"/>
  <c r="D942" i="101" s="1"/>
  <c r="J942" i="101"/>
  <c r="B942" i="101" s="1"/>
  <c r="N942" i="101"/>
  <c r="A943" i="101"/>
  <c r="C943" i="101"/>
  <c r="F943" i="101" s="1"/>
  <c r="E943" i="134" s="1"/>
  <c r="D945" i="135" s="1"/>
  <c r="D945" i="139" s="1"/>
  <c r="J943" i="101"/>
  <c r="B943" i="101" s="1"/>
  <c r="N943" i="101"/>
  <c r="A944" i="101"/>
  <c r="C944" i="101"/>
  <c r="G944" i="101" s="1"/>
  <c r="C944" i="134" s="1"/>
  <c r="E946" i="135" s="1"/>
  <c r="E946" i="139" s="1"/>
  <c r="J944" i="101"/>
  <c r="B944" i="101" s="1"/>
  <c r="N944" i="101"/>
  <c r="A945" i="101"/>
  <c r="C945" i="101"/>
  <c r="D945" i="101" s="1"/>
  <c r="J945" i="101"/>
  <c r="B945" i="101" s="1"/>
  <c r="N945" i="101"/>
  <c r="A946" i="101"/>
  <c r="C946" i="101"/>
  <c r="E946" i="101" s="1"/>
  <c r="D946" i="134" s="1"/>
  <c r="C948" i="135" s="1"/>
  <c r="C948" i="139" s="1"/>
  <c r="J946" i="101"/>
  <c r="B946" i="101" s="1"/>
  <c r="N946" i="101"/>
  <c r="A947" i="101"/>
  <c r="C947" i="101"/>
  <c r="D947" i="101" s="1"/>
  <c r="J947" i="101"/>
  <c r="B947" i="101" s="1"/>
  <c r="N947" i="101"/>
  <c r="A948" i="101"/>
  <c r="C948" i="101"/>
  <c r="F948" i="101" s="1"/>
  <c r="E948" i="134" s="1"/>
  <c r="D950" i="135" s="1"/>
  <c r="D950" i="139" s="1"/>
  <c r="J948" i="101"/>
  <c r="B948" i="101" s="1"/>
  <c r="N948" i="101"/>
  <c r="A949" i="101"/>
  <c r="C949" i="101"/>
  <c r="F949" i="101" s="1"/>
  <c r="J949" i="101"/>
  <c r="B949" i="101" s="1"/>
  <c r="N949" i="101"/>
  <c r="A950" i="101"/>
  <c r="C950" i="101"/>
  <c r="F950" i="101" s="1"/>
  <c r="J950" i="101"/>
  <c r="B950" i="101" s="1"/>
  <c r="N950" i="101"/>
  <c r="A951" i="101"/>
  <c r="C951" i="101"/>
  <c r="G951" i="101" s="1"/>
  <c r="J951" i="101"/>
  <c r="B951" i="101" s="1"/>
  <c r="N951" i="101"/>
  <c r="A952" i="101"/>
  <c r="C952" i="101"/>
  <c r="D952" i="101" s="1"/>
  <c r="J952" i="101"/>
  <c r="B952" i="101" s="1"/>
  <c r="N952" i="101"/>
  <c r="A953" i="101"/>
  <c r="C953" i="101"/>
  <c r="E953" i="101" s="1"/>
  <c r="J953" i="101"/>
  <c r="B953" i="101" s="1"/>
  <c r="N953" i="101"/>
  <c r="A954" i="101"/>
  <c r="C954" i="101"/>
  <c r="D954" i="101" s="1"/>
  <c r="J954" i="101"/>
  <c r="B954" i="101" s="1"/>
  <c r="N954" i="101"/>
  <c r="A955" i="101"/>
  <c r="C955" i="101"/>
  <c r="D955" i="101" s="1"/>
  <c r="J955" i="101"/>
  <c r="B955" i="101" s="1"/>
  <c r="N955" i="101"/>
  <c r="A956" i="101"/>
  <c r="C956" i="101"/>
  <c r="G956" i="101" s="1"/>
  <c r="J956" i="101"/>
  <c r="B956" i="101" s="1"/>
  <c r="N956" i="101"/>
  <c r="A957" i="101"/>
  <c r="C957" i="101"/>
  <c r="F957" i="101" s="1"/>
  <c r="J957" i="101"/>
  <c r="B957" i="101" s="1"/>
  <c r="N957" i="101"/>
  <c r="A958" i="101"/>
  <c r="C958" i="101"/>
  <c r="D958" i="101" s="1"/>
  <c r="J958" i="101"/>
  <c r="B958" i="101" s="1"/>
  <c r="N958" i="101"/>
  <c r="A959" i="101"/>
  <c r="C959" i="101"/>
  <c r="F959" i="101" s="1"/>
  <c r="J959" i="101"/>
  <c r="B959" i="101" s="1"/>
  <c r="N959" i="101"/>
  <c r="A960" i="101"/>
  <c r="C960" i="101"/>
  <c r="D960" i="101" s="1"/>
  <c r="J960" i="101"/>
  <c r="B960" i="101" s="1"/>
  <c r="N960" i="101"/>
  <c r="A961" i="101"/>
  <c r="C961" i="101"/>
  <c r="G961" i="101" s="1"/>
  <c r="J961" i="101"/>
  <c r="B961" i="101" s="1"/>
  <c r="N961" i="101"/>
  <c r="A962" i="101"/>
  <c r="C962" i="101"/>
  <c r="G962" i="101" s="1"/>
  <c r="J962" i="101"/>
  <c r="B962" i="101" s="1"/>
  <c r="N962" i="101"/>
  <c r="A963" i="101"/>
  <c r="C963" i="101"/>
  <c r="D963" i="101" s="1"/>
  <c r="J963" i="101"/>
  <c r="B963" i="101" s="1"/>
  <c r="N963" i="101"/>
  <c r="A964" i="101"/>
  <c r="C964" i="101"/>
  <c r="F964" i="101" s="1"/>
  <c r="J964" i="101"/>
  <c r="B964" i="101" s="1"/>
  <c r="N964" i="101"/>
  <c r="A965" i="101"/>
  <c r="C965" i="101"/>
  <c r="F965" i="101" s="1"/>
  <c r="J965" i="101"/>
  <c r="B965" i="101" s="1"/>
  <c r="N965" i="101"/>
  <c r="A966" i="101"/>
  <c r="C966" i="101"/>
  <c r="F966" i="101" s="1"/>
  <c r="J966" i="101"/>
  <c r="B966" i="101" s="1"/>
  <c r="N966" i="101"/>
  <c r="A967" i="101"/>
  <c r="C967" i="101"/>
  <c r="F967" i="101" s="1"/>
  <c r="J967" i="101"/>
  <c r="B967" i="101" s="1"/>
  <c r="N967" i="101"/>
  <c r="A968" i="101"/>
  <c r="C968" i="101"/>
  <c r="D968" i="101" s="1"/>
  <c r="J968" i="101"/>
  <c r="B968" i="101" s="1"/>
  <c r="N968" i="101"/>
  <c r="A969" i="101"/>
  <c r="C969" i="101"/>
  <c r="F969" i="101" s="1"/>
  <c r="J969" i="101"/>
  <c r="B969" i="101" s="1"/>
  <c r="N969" i="101"/>
  <c r="A970" i="101"/>
  <c r="C970" i="101"/>
  <c r="G970" i="101" s="1"/>
  <c r="J970" i="101"/>
  <c r="B970" i="101" s="1"/>
  <c r="N970" i="101"/>
  <c r="A971" i="101"/>
  <c r="C971" i="101"/>
  <c r="D971" i="101" s="1"/>
  <c r="J971" i="101"/>
  <c r="B971" i="101" s="1"/>
  <c r="N971" i="101"/>
  <c r="A972" i="101"/>
  <c r="C972" i="101"/>
  <c r="D972" i="101" s="1"/>
  <c r="J972" i="101"/>
  <c r="B972" i="101" s="1"/>
  <c r="N972" i="101"/>
  <c r="A973" i="101"/>
  <c r="C973" i="101"/>
  <c r="E973" i="101" s="1"/>
  <c r="J973" i="101"/>
  <c r="B973" i="101" s="1"/>
  <c r="N973" i="101"/>
  <c r="A974" i="101"/>
  <c r="C974" i="101"/>
  <c r="E974" i="101" s="1"/>
  <c r="J974" i="101"/>
  <c r="B974" i="101" s="1"/>
  <c r="N974" i="101"/>
  <c r="A975" i="101"/>
  <c r="C975" i="101"/>
  <c r="E975" i="101" s="1"/>
  <c r="J975" i="101"/>
  <c r="B975" i="101" s="1"/>
  <c r="N975" i="101"/>
  <c r="A976" i="101"/>
  <c r="C976" i="101"/>
  <c r="E976" i="101" s="1"/>
  <c r="J976" i="101"/>
  <c r="B976" i="101" s="1"/>
  <c r="N976" i="101"/>
  <c r="A977" i="101"/>
  <c r="C977" i="101"/>
  <c r="G977" i="101" s="1"/>
  <c r="J977" i="101"/>
  <c r="B977" i="101" s="1"/>
  <c r="N977" i="101"/>
  <c r="A13" i="101"/>
  <c r="A13" i="134" s="1"/>
  <c r="J13" i="101"/>
  <c r="B13" i="101" s="1"/>
  <c r="N13" i="101"/>
  <c r="A606" i="101" l="1"/>
  <c r="B590" i="101"/>
  <c r="B591" i="101"/>
  <c r="B592" i="101" s="1"/>
  <c r="B609" i="101"/>
  <c r="B610" i="101" s="1"/>
  <c r="B608" i="101"/>
  <c r="B219" i="101"/>
  <c r="B366" i="101"/>
  <c r="B559" i="101"/>
  <c r="B560" i="101" s="1"/>
  <c r="B561" i="101" s="1"/>
  <c r="B109" i="101"/>
  <c r="B110" i="101" s="1"/>
  <c r="B111" i="101" s="1"/>
  <c r="B113" i="135" s="1"/>
  <c r="B79" i="101"/>
  <c r="A587" i="101"/>
  <c r="A556" i="101"/>
  <c r="A495" i="101"/>
  <c r="A482" i="101"/>
  <c r="B220" i="101"/>
  <c r="B221" i="101" s="1"/>
  <c r="B247" i="101"/>
  <c r="B249" i="139" s="1"/>
  <c r="B188" i="101"/>
  <c r="B189" i="101" s="1"/>
  <c r="B528" i="101"/>
  <c r="B529" i="101" s="1"/>
  <c r="B128" i="101"/>
  <c r="B327" i="101"/>
  <c r="B328" i="101" s="1"/>
  <c r="C522" i="101"/>
  <c r="A523" i="101"/>
  <c r="B498" i="101"/>
  <c r="B499" i="101" s="1"/>
  <c r="A416" i="101"/>
  <c r="A416" i="134" s="1"/>
  <c r="A424" i="101"/>
  <c r="A386" i="101"/>
  <c r="B419" i="101"/>
  <c r="B420" i="101" s="1"/>
  <c r="B422" i="135" s="1"/>
  <c r="B474" i="101"/>
  <c r="A215" i="101"/>
  <c r="A324" i="101"/>
  <c r="A243" i="101"/>
  <c r="B298" i="101"/>
  <c r="B299" i="101" s="1"/>
  <c r="B450" i="101"/>
  <c r="B451" i="101" s="1"/>
  <c r="A446" i="101"/>
  <c r="A294" i="101"/>
  <c r="A275" i="101"/>
  <c r="A275" i="134" s="1"/>
  <c r="A355" i="101"/>
  <c r="B277" i="101"/>
  <c r="B278" i="101" s="1"/>
  <c r="B279" i="101" s="1"/>
  <c r="B367" i="101"/>
  <c r="B368" i="101" s="1"/>
  <c r="B369" i="101" s="1"/>
  <c r="B370" i="101" s="1"/>
  <c r="B371" i="101" s="1"/>
  <c r="B372" i="101" s="1"/>
  <c r="B389" i="101"/>
  <c r="B390" i="101" s="1"/>
  <c r="B391" i="101" s="1"/>
  <c r="B392" i="101" s="1"/>
  <c r="B393" i="101" s="1"/>
  <c r="B358" i="101"/>
  <c r="B359" i="101" s="1"/>
  <c r="B129" i="101"/>
  <c r="B130" i="101" s="1"/>
  <c r="B424" i="101"/>
  <c r="A188" i="101"/>
  <c r="A77" i="101"/>
  <c r="A106" i="101"/>
  <c r="A47" i="101"/>
  <c r="A126" i="101"/>
  <c r="B18" i="101"/>
  <c r="B19" i="101" s="1"/>
  <c r="B20" i="101" s="1"/>
  <c r="B21" i="101" s="1"/>
  <c r="B22" i="101" s="1"/>
  <c r="B23" i="101" s="1"/>
  <c r="B14" i="101"/>
  <c r="B15" i="101" s="1"/>
  <c r="B17" i="135" s="1"/>
  <c r="A14" i="101"/>
  <c r="B80" i="101"/>
  <c r="B160" i="101"/>
  <c r="B161" i="101" s="1"/>
  <c r="B162" i="101" s="1"/>
  <c r="B163" i="101" s="1"/>
  <c r="B164" i="101" s="1"/>
  <c r="C13" i="101"/>
  <c r="D13" i="101" s="1"/>
  <c r="A156" i="101"/>
  <c r="A156" i="134" s="1"/>
  <c r="B48" i="101"/>
  <c r="B49" i="101" s="1"/>
  <c r="G772" i="101"/>
  <c r="C772" i="134" s="1"/>
  <c r="E774" i="135" s="1"/>
  <c r="E774" i="139" s="1"/>
  <c r="F771" i="101"/>
  <c r="E907" i="101"/>
  <c r="D907" i="134" s="1"/>
  <c r="C909" i="135" s="1"/>
  <c r="C909" i="139" s="1"/>
  <c r="F900" i="101"/>
  <c r="E900" i="134" s="1"/>
  <c r="D902" i="135" s="1"/>
  <c r="D902" i="139" s="1"/>
  <c r="F865" i="101"/>
  <c r="AR865" i="101" s="1"/>
  <c r="E918" i="101"/>
  <c r="D918" i="134" s="1"/>
  <c r="C920" i="135" s="1"/>
  <c r="C920" i="139" s="1"/>
  <c r="G671" i="101"/>
  <c r="C671" i="134" s="1"/>
  <c r="E673" i="135" s="1"/>
  <c r="E673" i="139" s="1"/>
  <c r="G945" i="101"/>
  <c r="C945" i="134" s="1"/>
  <c r="E947" i="135" s="1"/>
  <c r="E947" i="139" s="1"/>
  <c r="D366" i="134"/>
  <c r="C368" i="135" s="1"/>
  <c r="C368" i="139" s="1"/>
  <c r="D918" i="101"/>
  <c r="G960" i="101"/>
  <c r="D941" i="101"/>
  <c r="E883" i="101"/>
  <c r="D883" i="134" s="1"/>
  <c r="C885" i="135" s="1"/>
  <c r="C885" i="139" s="1"/>
  <c r="G952" i="101"/>
  <c r="F952" i="101"/>
  <c r="G699" i="101"/>
  <c r="C699" i="134" s="1"/>
  <c r="E701" i="135" s="1"/>
  <c r="E701" i="139" s="1"/>
  <c r="D659" i="101"/>
  <c r="G904" i="101"/>
  <c r="C904" i="134" s="1"/>
  <c r="E906" i="135" s="1"/>
  <c r="E906" i="139" s="1"/>
  <c r="F858" i="101"/>
  <c r="E858" i="134" s="1"/>
  <c r="D860" i="135" s="1"/>
  <c r="D860" i="139" s="1"/>
  <c r="E921" i="101"/>
  <c r="D921" i="134" s="1"/>
  <c r="C923" i="135" s="1"/>
  <c r="C923" i="139" s="1"/>
  <c r="E825" i="101"/>
  <c r="D825" i="134" s="1"/>
  <c r="C827" i="135" s="1"/>
  <c r="C827" i="139" s="1"/>
  <c r="E732" i="101"/>
  <c r="D732" i="134" s="1"/>
  <c r="C734" i="135" s="1"/>
  <c r="C734" i="139" s="1"/>
  <c r="D315" i="134"/>
  <c r="C317" i="135" s="1"/>
  <c r="C317" i="139" s="1"/>
  <c r="E963" i="101"/>
  <c r="F797" i="101"/>
  <c r="E759" i="101"/>
  <c r="D759" i="134" s="1"/>
  <c r="C761" i="135" s="1"/>
  <c r="C761" i="139" s="1"/>
  <c r="D743" i="101"/>
  <c r="D677" i="134"/>
  <c r="C679" i="135" s="1"/>
  <c r="C679" i="139" s="1"/>
  <c r="F890" i="101"/>
  <c r="E890" i="134" s="1"/>
  <c r="D892" i="135" s="1"/>
  <c r="D892" i="139" s="1"/>
  <c r="E887" i="101"/>
  <c r="D887" i="134" s="1"/>
  <c r="C889" i="135" s="1"/>
  <c r="C889" i="139" s="1"/>
  <c r="D841" i="101"/>
  <c r="D843" i="101"/>
  <c r="F770" i="101"/>
  <c r="E647" i="101"/>
  <c r="D647" i="134" s="1"/>
  <c r="C649" i="135" s="1"/>
  <c r="C649" i="139" s="1"/>
  <c r="D975" i="101"/>
  <c r="G746" i="101"/>
  <c r="C746" i="134" s="1"/>
  <c r="E748" i="135" s="1"/>
  <c r="E748" i="139" s="1"/>
  <c r="D115" i="134"/>
  <c r="C117" i="135" s="1"/>
  <c r="C117" i="139" s="1"/>
  <c r="F780" i="101"/>
  <c r="E746" i="101"/>
  <c r="D746" i="134" s="1"/>
  <c r="C748" i="135" s="1"/>
  <c r="C748" i="139" s="1"/>
  <c r="D940" i="101"/>
  <c r="G917" i="101"/>
  <c r="C917" i="134" s="1"/>
  <c r="E919" i="135" s="1"/>
  <c r="E919" i="139" s="1"/>
  <c r="F887" i="101"/>
  <c r="AR887" i="101" s="1"/>
  <c r="D943" i="101"/>
  <c r="F736" i="101"/>
  <c r="D717" i="101"/>
  <c r="G706" i="101"/>
  <c r="C706" i="134" s="1"/>
  <c r="E708" i="135" s="1"/>
  <c r="E708" i="139" s="1"/>
  <c r="E637" i="101"/>
  <c r="D637" i="134" s="1"/>
  <c r="C639" i="135" s="1"/>
  <c r="C639" i="139" s="1"/>
  <c r="F963" i="101"/>
  <c r="E945" i="101"/>
  <c r="D945" i="134" s="1"/>
  <c r="C947" i="135" s="1"/>
  <c r="C947" i="139" s="1"/>
  <c r="F904" i="101"/>
  <c r="E904" i="134" s="1"/>
  <c r="D906" i="135" s="1"/>
  <c r="D906" i="139" s="1"/>
  <c r="E893" i="101"/>
  <c r="D893" i="134" s="1"/>
  <c r="C895" i="135" s="1"/>
  <c r="C895" i="139" s="1"/>
  <c r="F840" i="101"/>
  <c r="E840" i="134" s="1"/>
  <c r="D842" i="135" s="1"/>
  <c r="D842" i="139" s="1"/>
  <c r="D825" i="101"/>
  <c r="G775" i="101"/>
  <c r="C775" i="134" s="1"/>
  <c r="E777" i="135" s="1"/>
  <c r="E777" i="139" s="1"/>
  <c r="D757" i="101"/>
  <c r="D186" i="134"/>
  <c r="C188" i="135" s="1"/>
  <c r="C188" i="139" s="1"/>
  <c r="D840" i="101"/>
  <c r="D775" i="101"/>
  <c r="E689" i="101"/>
  <c r="D689" i="134" s="1"/>
  <c r="C691" i="135" s="1"/>
  <c r="C691" i="139" s="1"/>
  <c r="D336" i="134"/>
  <c r="C338" i="135" s="1"/>
  <c r="C338" i="139" s="1"/>
  <c r="D56" i="134"/>
  <c r="C58" i="135" s="1"/>
  <c r="C58" i="139" s="1"/>
  <c r="E959" i="101"/>
  <c r="D959" i="101"/>
  <c r="F937" i="101"/>
  <c r="E937" i="134" s="1"/>
  <c r="D939" i="135" s="1"/>
  <c r="D939" i="139" s="1"/>
  <c r="F692" i="101"/>
  <c r="G736" i="101"/>
  <c r="C736" i="134" s="1"/>
  <c r="E738" i="135" s="1"/>
  <c r="E738" i="139" s="1"/>
  <c r="G963" i="101"/>
  <c r="G932" i="101"/>
  <c r="C932" i="134" s="1"/>
  <c r="E934" i="135" s="1"/>
  <c r="E934" i="139" s="1"/>
  <c r="F781" i="101"/>
  <c r="F708" i="101"/>
  <c r="F653" i="101"/>
  <c r="F642" i="101"/>
  <c r="D516" i="134"/>
  <c r="C518" i="135" s="1"/>
  <c r="C518" i="139" s="1"/>
  <c r="D977" i="101"/>
  <c r="F924" i="101"/>
  <c r="AR924" i="101" s="1"/>
  <c r="D848" i="101"/>
  <c r="E664" i="101"/>
  <c r="D664" i="134" s="1"/>
  <c r="C666" i="135" s="1"/>
  <c r="C666" i="139" s="1"/>
  <c r="D642" i="101"/>
  <c r="D973" i="101"/>
  <c r="E956" i="101"/>
  <c r="G949" i="101"/>
  <c r="E942" i="101"/>
  <c r="D942" i="134" s="1"/>
  <c r="C944" i="135" s="1"/>
  <c r="C944" i="139" s="1"/>
  <c r="G920" i="101"/>
  <c r="C920" i="134" s="1"/>
  <c r="E922" i="135" s="1"/>
  <c r="E922" i="139" s="1"/>
  <c r="E917" i="101"/>
  <c r="D917" i="134" s="1"/>
  <c r="C919" i="135" s="1"/>
  <c r="C919" i="139" s="1"/>
  <c r="D704" i="101"/>
  <c r="D656" i="101"/>
  <c r="E755" i="101"/>
  <c r="D755" i="134" s="1"/>
  <c r="C757" i="135" s="1"/>
  <c r="C757" i="139" s="1"/>
  <c r="G682" i="101"/>
  <c r="C682" i="134" s="1"/>
  <c r="E684" i="135" s="1"/>
  <c r="E684" i="139" s="1"/>
  <c r="D526" i="134"/>
  <c r="C528" i="135" s="1"/>
  <c r="C528" i="139" s="1"/>
  <c r="D965" i="101"/>
  <c r="G887" i="101"/>
  <c r="C887" i="134" s="1"/>
  <c r="E889" i="135" s="1"/>
  <c r="E889" i="139" s="1"/>
  <c r="G743" i="101"/>
  <c r="C743" i="134" s="1"/>
  <c r="E745" i="135" s="1"/>
  <c r="E745" i="139" s="1"/>
  <c r="G721" i="101"/>
  <c r="C721" i="134" s="1"/>
  <c r="E723" i="135" s="1"/>
  <c r="E723" i="139" s="1"/>
  <c r="E924" i="101"/>
  <c r="D924" i="134" s="1"/>
  <c r="C926" i="135" s="1"/>
  <c r="C926" i="139" s="1"/>
  <c r="D935" i="101"/>
  <c r="D924" i="101"/>
  <c r="E835" i="101"/>
  <c r="D835" i="134" s="1"/>
  <c r="C837" i="135" s="1"/>
  <c r="C837" i="139" s="1"/>
  <c r="G828" i="101"/>
  <c r="C828" i="134" s="1"/>
  <c r="E830" i="135" s="1"/>
  <c r="E830" i="139" s="1"/>
  <c r="D760" i="101"/>
  <c r="E749" i="101"/>
  <c r="D749" i="134" s="1"/>
  <c r="C751" i="135" s="1"/>
  <c r="C751" i="139" s="1"/>
  <c r="E828" i="101"/>
  <c r="D828" i="134" s="1"/>
  <c r="C830" i="135" s="1"/>
  <c r="C830" i="139" s="1"/>
  <c r="G821" i="101"/>
  <c r="C821" i="134" s="1"/>
  <c r="E823" i="135" s="1"/>
  <c r="E823" i="139" s="1"/>
  <c r="D781" i="101"/>
  <c r="F828" i="101"/>
  <c r="F913" i="101"/>
  <c r="E913" i="134" s="1"/>
  <c r="D915" i="135" s="1"/>
  <c r="D915" i="139" s="1"/>
  <c r="G867" i="101"/>
  <c r="C867" i="134" s="1"/>
  <c r="E869" i="135" s="1"/>
  <c r="E869" i="139" s="1"/>
  <c r="D821" i="101"/>
  <c r="E661" i="101"/>
  <c r="D661" i="134" s="1"/>
  <c r="C663" i="135" s="1"/>
  <c r="C663" i="139" s="1"/>
  <c r="G967" i="101"/>
  <c r="D967" i="101"/>
  <c r="G898" i="101"/>
  <c r="C898" i="134" s="1"/>
  <c r="E900" i="135" s="1"/>
  <c r="E900" i="139" s="1"/>
  <c r="D891" i="101"/>
  <c r="E855" i="101"/>
  <c r="D855" i="134" s="1"/>
  <c r="C857" i="135" s="1"/>
  <c r="C857" i="139" s="1"/>
  <c r="D809" i="101"/>
  <c r="C271" i="134"/>
  <c r="E273" i="135" s="1"/>
  <c r="E273" i="139" s="1"/>
  <c r="D970" i="101"/>
  <c r="E898" i="101"/>
  <c r="D898" i="134" s="1"/>
  <c r="C900" i="135" s="1"/>
  <c r="C900" i="139" s="1"/>
  <c r="G816" i="101"/>
  <c r="C816" i="134" s="1"/>
  <c r="E818" i="135" s="1"/>
  <c r="E818" i="139" s="1"/>
  <c r="F783" i="101"/>
  <c r="F686" i="101"/>
  <c r="E686" i="134" s="1"/>
  <c r="D688" i="135" s="1"/>
  <c r="D688" i="139" s="1"/>
  <c r="C274" i="134"/>
  <c r="E276" i="135" s="1"/>
  <c r="E276" i="139" s="1"/>
  <c r="G968" i="101"/>
  <c r="F912" i="101"/>
  <c r="AR912" i="101" s="1"/>
  <c r="E905" i="101"/>
  <c r="D905" i="134" s="1"/>
  <c r="C907" i="135" s="1"/>
  <c r="C907" i="139" s="1"/>
  <c r="E888" i="101"/>
  <c r="D888" i="134" s="1"/>
  <c r="C890" i="135" s="1"/>
  <c r="C890" i="139" s="1"/>
  <c r="E826" i="101"/>
  <c r="D826" i="134" s="1"/>
  <c r="C828" i="135" s="1"/>
  <c r="C828" i="139" s="1"/>
  <c r="D802" i="101"/>
  <c r="G781" i="101"/>
  <c r="C781" i="134" s="1"/>
  <c r="E783" i="135" s="1"/>
  <c r="E783" i="139" s="1"/>
  <c r="D747" i="101"/>
  <c r="G711" i="101"/>
  <c r="C711" i="134" s="1"/>
  <c r="E713" i="135" s="1"/>
  <c r="E713" i="139" s="1"/>
  <c r="E690" i="101"/>
  <c r="D690" i="134" s="1"/>
  <c r="C692" i="135" s="1"/>
  <c r="C692" i="139" s="1"/>
  <c r="D676" i="134"/>
  <c r="C678" i="135" s="1"/>
  <c r="C678" i="139" s="1"/>
  <c r="D666" i="134"/>
  <c r="C668" i="135" s="1"/>
  <c r="C668" i="139" s="1"/>
  <c r="F659" i="101"/>
  <c r="D634" i="101"/>
  <c r="G667" i="101"/>
  <c r="C667" i="134" s="1"/>
  <c r="E669" i="135" s="1"/>
  <c r="E669" i="139" s="1"/>
  <c r="G958" i="101"/>
  <c r="D969" i="101"/>
  <c r="E958" i="101"/>
  <c r="G913" i="101"/>
  <c r="C913" i="134" s="1"/>
  <c r="E915" i="135" s="1"/>
  <c r="E915" i="139" s="1"/>
  <c r="G843" i="101"/>
  <c r="C843" i="134" s="1"/>
  <c r="E845" i="135" s="1"/>
  <c r="E845" i="139" s="1"/>
  <c r="E840" i="101"/>
  <c r="D840" i="134" s="1"/>
  <c r="C842" i="135" s="1"/>
  <c r="C842" i="139" s="1"/>
  <c r="D800" i="101"/>
  <c r="F748" i="101"/>
  <c r="G677" i="101"/>
  <c r="C677" i="134" s="1"/>
  <c r="E679" i="135" s="1"/>
  <c r="E679" i="139" s="1"/>
  <c r="E667" i="101"/>
  <c r="D667" i="134" s="1"/>
  <c r="C669" i="135" s="1"/>
  <c r="C669" i="139" s="1"/>
  <c r="E972" i="101"/>
  <c r="F960" i="101"/>
  <c r="D926" i="101"/>
  <c r="E857" i="101"/>
  <c r="D857" i="134" s="1"/>
  <c r="C859" i="135" s="1"/>
  <c r="C859" i="139" s="1"/>
  <c r="G779" i="101"/>
  <c r="C779" i="134" s="1"/>
  <c r="E781" i="135" s="1"/>
  <c r="E781" i="139" s="1"/>
  <c r="E772" i="134"/>
  <c r="D774" i="135" s="1"/>
  <c r="D774" i="139" s="1"/>
  <c r="D751" i="101"/>
  <c r="F734" i="101"/>
  <c r="G642" i="101"/>
  <c r="C642" i="134" s="1"/>
  <c r="E644" i="135" s="1"/>
  <c r="E644" i="139" s="1"/>
  <c r="E960" i="101"/>
  <c r="D864" i="101"/>
  <c r="E829" i="101"/>
  <c r="D829" i="134" s="1"/>
  <c r="C831" i="135" s="1"/>
  <c r="C831" i="139" s="1"/>
  <c r="E820" i="101"/>
  <c r="D820" i="134" s="1"/>
  <c r="C822" i="135" s="1"/>
  <c r="C822" i="139" s="1"/>
  <c r="E813" i="101"/>
  <c r="D813" i="134" s="1"/>
  <c r="C815" i="135" s="1"/>
  <c r="C815" i="139" s="1"/>
  <c r="G792" i="101"/>
  <c r="C792" i="134" s="1"/>
  <c r="E794" i="135" s="1"/>
  <c r="E794" i="139" s="1"/>
  <c r="D785" i="101"/>
  <c r="E772" i="101"/>
  <c r="D772" i="134" s="1"/>
  <c r="C774" i="135" s="1"/>
  <c r="C774" i="139" s="1"/>
  <c r="E279" i="134"/>
  <c r="D281" i="135" s="1"/>
  <c r="D281" i="139" s="1"/>
  <c r="G826" i="101"/>
  <c r="C826" i="134" s="1"/>
  <c r="E828" i="135" s="1"/>
  <c r="E828" i="139" s="1"/>
  <c r="G802" i="101"/>
  <c r="C802" i="134" s="1"/>
  <c r="E804" i="135" s="1"/>
  <c r="E804" i="139" s="1"/>
  <c r="F826" i="101"/>
  <c r="F802" i="101"/>
  <c r="G747" i="101"/>
  <c r="C747" i="134" s="1"/>
  <c r="E749" i="135" s="1"/>
  <c r="E749" i="139" s="1"/>
  <c r="G690" i="101"/>
  <c r="C690" i="134" s="1"/>
  <c r="E692" i="135" s="1"/>
  <c r="E692" i="139" s="1"/>
  <c r="F666" i="101"/>
  <c r="G659" i="101"/>
  <c r="C659" i="134" s="1"/>
  <c r="E661" i="135" s="1"/>
  <c r="E661" i="139" s="1"/>
  <c r="D422" i="134"/>
  <c r="C424" i="135" s="1"/>
  <c r="C424" i="139" s="1"/>
  <c r="E957" i="101"/>
  <c r="G954" i="101"/>
  <c r="G942" i="101"/>
  <c r="C942" i="134" s="1"/>
  <c r="E944" i="135" s="1"/>
  <c r="E944" i="139" s="1"/>
  <c r="E970" i="101"/>
  <c r="D957" i="101"/>
  <c r="F954" i="101"/>
  <c r="F951" i="101"/>
  <c r="F942" i="101"/>
  <c r="E942" i="134" s="1"/>
  <c r="D944" i="135" s="1"/>
  <c r="D944" i="139" s="1"/>
  <c r="G939" i="101"/>
  <c r="C939" i="134" s="1"/>
  <c r="E941" i="135" s="1"/>
  <c r="E941" i="139" s="1"/>
  <c r="F936" i="101"/>
  <c r="E936" i="134" s="1"/>
  <c r="D938" i="135" s="1"/>
  <c r="D938" i="139" s="1"/>
  <c r="F918" i="101"/>
  <c r="E918" i="134" s="1"/>
  <c r="D920" i="135" s="1"/>
  <c r="D920" i="139" s="1"/>
  <c r="F895" i="101"/>
  <c r="E895" i="134" s="1"/>
  <c r="D897" i="135" s="1"/>
  <c r="D897" i="139" s="1"/>
  <c r="G873" i="101"/>
  <c r="C873" i="134" s="1"/>
  <c r="E875" i="135" s="1"/>
  <c r="E875" i="139" s="1"/>
  <c r="D870" i="101"/>
  <c r="D824" i="134"/>
  <c r="C826" i="135" s="1"/>
  <c r="C826" i="139" s="1"/>
  <c r="E808" i="101"/>
  <c r="D808" i="134" s="1"/>
  <c r="C810" i="135" s="1"/>
  <c r="C810" i="139" s="1"/>
  <c r="F799" i="101"/>
  <c r="E799" i="134" s="1"/>
  <c r="D801" i="135" s="1"/>
  <c r="D801" i="139" s="1"/>
  <c r="G787" i="101"/>
  <c r="C787" i="134" s="1"/>
  <c r="E789" i="135" s="1"/>
  <c r="E789" i="139" s="1"/>
  <c r="D787" i="101"/>
  <c r="F749" i="101"/>
  <c r="E720" i="101"/>
  <c r="D720" i="134" s="1"/>
  <c r="C722" i="135" s="1"/>
  <c r="C722" i="139" s="1"/>
  <c r="D707" i="134"/>
  <c r="C709" i="135" s="1"/>
  <c r="C709" i="139" s="1"/>
  <c r="E704" i="101"/>
  <c r="D704" i="134" s="1"/>
  <c r="C706" i="135" s="1"/>
  <c r="C706" i="139" s="1"/>
  <c r="D632" i="101"/>
  <c r="E632" i="101"/>
  <c r="D632" i="134" s="1"/>
  <c r="C634" i="135" s="1"/>
  <c r="C634" i="139" s="1"/>
  <c r="F632" i="101"/>
  <c r="F838" i="101"/>
  <c r="AR838" i="101" s="1"/>
  <c r="D838" i="101"/>
  <c r="G838" i="101"/>
  <c r="C838" i="134" s="1"/>
  <c r="E840" i="135" s="1"/>
  <c r="E840" i="139" s="1"/>
  <c r="D835" i="101"/>
  <c r="F835" i="101"/>
  <c r="E835" i="134" s="1"/>
  <c r="D837" i="135" s="1"/>
  <c r="D837" i="139" s="1"/>
  <c r="D749" i="101"/>
  <c r="D701" i="101"/>
  <c r="G701" i="101"/>
  <c r="C701" i="134" s="1"/>
  <c r="E703" i="135" s="1"/>
  <c r="E703" i="139" s="1"/>
  <c r="D681" i="101"/>
  <c r="E681" i="101"/>
  <c r="D681" i="134" s="1"/>
  <c r="C683" i="135" s="1"/>
  <c r="C683" i="139" s="1"/>
  <c r="G635" i="101"/>
  <c r="C635" i="134" s="1"/>
  <c r="E637" i="135" s="1"/>
  <c r="E637" i="139" s="1"/>
  <c r="D635" i="101"/>
  <c r="D778" i="101"/>
  <c r="E778" i="101"/>
  <c r="D778" i="134" s="1"/>
  <c r="C780" i="135" s="1"/>
  <c r="C780" i="139" s="1"/>
  <c r="G778" i="101"/>
  <c r="C778" i="134" s="1"/>
  <c r="E780" i="135" s="1"/>
  <c r="E780" i="139" s="1"/>
  <c r="D648" i="101"/>
  <c r="E648" i="101"/>
  <c r="D648" i="134" s="1"/>
  <c r="C650" i="135" s="1"/>
  <c r="C650" i="139" s="1"/>
  <c r="E847" i="101"/>
  <c r="D847" i="134" s="1"/>
  <c r="C849" i="135" s="1"/>
  <c r="C849" i="139" s="1"/>
  <c r="D847" i="101"/>
  <c r="D961" i="101"/>
  <c r="F956" i="101"/>
  <c r="D953" i="101"/>
  <c r="F932" i="101"/>
  <c r="E932" i="134" s="1"/>
  <c r="D934" i="135" s="1"/>
  <c r="D934" i="139" s="1"/>
  <c r="F929" i="101"/>
  <c r="E929" i="134" s="1"/>
  <c r="D931" i="135" s="1"/>
  <c r="D931" i="139" s="1"/>
  <c r="F908" i="101"/>
  <c r="AR908" i="101" s="1"/>
  <c r="F894" i="101"/>
  <c r="E894" i="134" s="1"/>
  <c r="D896" i="135" s="1"/>
  <c r="D896" i="139" s="1"/>
  <c r="D885" i="101"/>
  <c r="G872" i="101"/>
  <c r="C872" i="134" s="1"/>
  <c r="E874" i="135" s="1"/>
  <c r="E874" i="139" s="1"/>
  <c r="F872" i="101"/>
  <c r="E872" i="134" s="1"/>
  <c r="D874" i="135" s="1"/>
  <c r="D874" i="139" s="1"/>
  <c r="D850" i="101"/>
  <c r="F850" i="101"/>
  <c r="AR850" i="101" s="1"/>
  <c r="E843" i="101"/>
  <c r="D843" i="134" s="1"/>
  <c r="C845" i="135" s="1"/>
  <c r="C845" i="139" s="1"/>
  <c r="D798" i="101"/>
  <c r="G798" i="101"/>
  <c r="C798" i="134" s="1"/>
  <c r="E800" i="135" s="1"/>
  <c r="E800" i="139" s="1"/>
  <c r="E786" i="101"/>
  <c r="D786" i="134" s="1"/>
  <c r="C788" i="135" s="1"/>
  <c r="C788" i="139" s="1"/>
  <c r="E780" i="101"/>
  <c r="D780" i="134" s="1"/>
  <c r="C782" i="135" s="1"/>
  <c r="C782" i="139" s="1"/>
  <c r="G768" i="101"/>
  <c r="C768" i="134" s="1"/>
  <c r="E770" i="135" s="1"/>
  <c r="E770" i="139" s="1"/>
  <c r="F746" i="101"/>
  <c r="F726" i="101"/>
  <c r="G726" i="101"/>
  <c r="C726" i="134" s="1"/>
  <c r="E728" i="135" s="1"/>
  <c r="E728" i="139" s="1"/>
  <c r="D690" i="101"/>
  <c r="F687" i="101"/>
  <c r="D486" i="134"/>
  <c r="C488" i="135" s="1"/>
  <c r="C488" i="139" s="1"/>
  <c r="E950" i="101"/>
  <c r="E932" i="101"/>
  <c r="D932" i="134" s="1"/>
  <c r="C934" i="135" s="1"/>
  <c r="C934" i="139" s="1"/>
  <c r="E929" i="101"/>
  <c r="D929" i="134" s="1"/>
  <c r="C931" i="135" s="1"/>
  <c r="C931" i="139" s="1"/>
  <c r="E911" i="101"/>
  <c r="D911" i="134" s="1"/>
  <c r="C913" i="135" s="1"/>
  <c r="C913" i="139" s="1"/>
  <c r="E908" i="101"/>
  <c r="D908" i="134" s="1"/>
  <c r="C910" i="135" s="1"/>
  <c r="C910" i="139" s="1"/>
  <c r="G902" i="101"/>
  <c r="C902" i="134" s="1"/>
  <c r="E904" i="135" s="1"/>
  <c r="E904" i="139" s="1"/>
  <c r="F875" i="101"/>
  <c r="AR875" i="101" s="1"/>
  <c r="D875" i="101"/>
  <c r="E837" i="101"/>
  <c r="D837" i="134" s="1"/>
  <c r="C839" i="135" s="1"/>
  <c r="C839" i="139" s="1"/>
  <c r="E795" i="101"/>
  <c r="D795" i="134" s="1"/>
  <c r="C797" i="135" s="1"/>
  <c r="C797" i="139" s="1"/>
  <c r="G795" i="101"/>
  <c r="C795" i="134" s="1"/>
  <c r="E797" i="135" s="1"/>
  <c r="E797" i="139" s="1"/>
  <c r="G788" i="101"/>
  <c r="C788" i="134" s="1"/>
  <c r="E790" i="135" s="1"/>
  <c r="E790" i="139" s="1"/>
  <c r="F768" i="101"/>
  <c r="G693" i="101"/>
  <c r="C693" i="134" s="1"/>
  <c r="E695" i="135" s="1"/>
  <c r="E695" i="139" s="1"/>
  <c r="F693" i="101"/>
  <c r="D950" i="101"/>
  <c r="D929" i="101"/>
  <c r="D911" i="101"/>
  <c r="D908" i="101"/>
  <c r="F902" i="101"/>
  <c r="E902" i="134" s="1"/>
  <c r="D904" i="135" s="1"/>
  <c r="D904" i="139" s="1"/>
  <c r="E803" i="101"/>
  <c r="D803" i="134" s="1"/>
  <c r="C805" i="135" s="1"/>
  <c r="C805" i="139" s="1"/>
  <c r="F788" i="101"/>
  <c r="D768" i="101"/>
  <c r="F739" i="101"/>
  <c r="E739" i="101"/>
  <c r="D739" i="134" s="1"/>
  <c r="C741" i="135" s="1"/>
  <c r="C741" i="139" s="1"/>
  <c r="F703" i="101"/>
  <c r="D703" i="101"/>
  <c r="G703" i="101"/>
  <c r="C703" i="134" s="1"/>
  <c r="E705" i="135" s="1"/>
  <c r="E705" i="139" s="1"/>
  <c r="F637" i="101"/>
  <c r="E878" i="101"/>
  <c r="D878" i="134" s="1"/>
  <c r="C880" i="135" s="1"/>
  <c r="C880" i="139" s="1"/>
  <c r="G878" i="101"/>
  <c r="C878" i="134" s="1"/>
  <c r="E880" i="135" s="1"/>
  <c r="E880" i="139" s="1"/>
  <c r="E788" i="101"/>
  <c r="D788" i="134" s="1"/>
  <c r="C790" i="135" s="1"/>
  <c r="C790" i="139" s="1"/>
  <c r="E902" i="101"/>
  <c r="D902" i="134" s="1"/>
  <c r="C904" i="135" s="1"/>
  <c r="C904" i="139" s="1"/>
  <c r="F958" i="101"/>
  <c r="E943" i="101"/>
  <c r="D943" i="134" s="1"/>
  <c r="C945" i="135" s="1"/>
  <c r="C945" i="139" s="1"/>
  <c r="D896" i="101"/>
  <c r="G890" i="101"/>
  <c r="C890" i="134" s="1"/>
  <c r="E892" i="135" s="1"/>
  <c r="E892" i="139" s="1"/>
  <c r="G865" i="101"/>
  <c r="C865" i="134" s="1"/>
  <c r="E867" i="135" s="1"/>
  <c r="E867" i="139" s="1"/>
  <c r="G800" i="101"/>
  <c r="C800" i="134" s="1"/>
  <c r="E802" i="135" s="1"/>
  <c r="E802" i="139" s="1"/>
  <c r="G797" i="101"/>
  <c r="C797" i="134" s="1"/>
  <c r="E799" i="135" s="1"/>
  <c r="E799" i="139" s="1"/>
  <c r="G770" i="101"/>
  <c r="C770" i="134" s="1"/>
  <c r="E772" i="135" s="1"/>
  <c r="E772" i="139" s="1"/>
  <c r="G742" i="101"/>
  <c r="C742" i="134" s="1"/>
  <c r="E744" i="135" s="1"/>
  <c r="E744" i="139" s="1"/>
  <c r="F660" i="101"/>
  <c r="D657" i="101"/>
  <c r="D637" i="101"/>
  <c r="D295" i="134"/>
  <c r="C297" i="135" s="1"/>
  <c r="C297" i="139" s="1"/>
  <c r="E266" i="134"/>
  <c r="D268" i="135" s="1"/>
  <c r="D268" i="139" s="1"/>
  <c r="C266" i="134"/>
  <c r="E268" i="135" s="1"/>
  <c r="E268" i="139" s="1"/>
  <c r="G735" i="101"/>
  <c r="C735" i="134" s="1"/>
  <c r="E737" i="135" s="1"/>
  <c r="E737" i="139" s="1"/>
  <c r="E735" i="101"/>
  <c r="D735" i="134" s="1"/>
  <c r="C737" i="135" s="1"/>
  <c r="C737" i="139" s="1"/>
  <c r="E865" i="101"/>
  <c r="D865" i="134" s="1"/>
  <c r="C867" i="135" s="1"/>
  <c r="C867" i="139" s="1"/>
  <c r="E862" i="101"/>
  <c r="D862" i="134" s="1"/>
  <c r="C864" i="135" s="1"/>
  <c r="C864" i="139" s="1"/>
  <c r="G842" i="101"/>
  <c r="C842" i="134" s="1"/>
  <c r="E844" i="135" s="1"/>
  <c r="E844" i="139" s="1"/>
  <c r="G833" i="101"/>
  <c r="C833" i="134" s="1"/>
  <c r="E835" i="135" s="1"/>
  <c r="E835" i="139" s="1"/>
  <c r="D830" i="101"/>
  <c r="G830" i="101"/>
  <c r="C830" i="134" s="1"/>
  <c r="E832" i="135" s="1"/>
  <c r="E832" i="139" s="1"/>
  <c r="E830" i="101"/>
  <c r="D830" i="134" s="1"/>
  <c r="C832" i="135" s="1"/>
  <c r="C832" i="139" s="1"/>
  <c r="F809" i="101"/>
  <c r="E809" i="101"/>
  <c r="D809" i="134" s="1"/>
  <c r="C811" i="135" s="1"/>
  <c r="C811" i="139" s="1"/>
  <c r="E797" i="101"/>
  <c r="D797" i="134" s="1"/>
  <c r="C799" i="135" s="1"/>
  <c r="C799" i="139" s="1"/>
  <c r="E779" i="101"/>
  <c r="D779" i="134" s="1"/>
  <c r="C781" i="135" s="1"/>
  <c r="C781" i="139" s="1"/>
  <c r="E770" i="101"/>
  <c r="D770" i="134" s="1"/>
  <c r="C772" i="135" s="1"/>
  <c r="C772" i="139" s="1"/>
  <c r="E738" i="101"/>
  <c r="D738" i="134" s="1"/>
  <c r="C740" i="135" s="1"/>
  <c r="C740" i="139" s="1"/>
  <c r="F728" i="101"/>
  <c r="G714" i="101"/>
  <c r="C714" i="134" s="1"/>
  <c r="E716" i="135" s="1"/>
  <c r="E716" i="139" s="1"/>
  <c r="F711" i="101"/>
  <c r="F702" i="101"/>
  <c r="D686" i="134"/>
  <c r="C688" i="135" s="1"/>
  <c r="C688" i="139" s="1"/>
  <c r="F676" i="101"/>
  <c r="D676" i="101"/>
  <c r="E672" i="101"/>
  <c r="D672" i="134" s="1"/>
  <c r="C674" i="135" s="1"/>
  <c r="C674" i="139" s="1"/>
  <c r="D496" i="134"/>
  <c r="C498" i="135" s="1"/>
  <c r="C498" i="139" s="1"/>
  <c r="F880" i="101"/>
  <c r="E880" i="134" s="1"/>
  <c r="D882" i="135" s="1"/>
  <c r="D882" i="139" s="1"/>
  <c r="D862" i="101"/>
  <c r="D827" i="101"/>
  <c r="E728" i="101"/>
  <c r="D728" i="134" s="1"/>
  <c r="C730" i="135" s="1"/>
  <c r="C730" i="139" s="1"/>
  <c r="E714" i="101"/>
  <c r="D714" i="134" s="1"/>
  <c r="C716" i="135" s="1"/>
  <c r="C716" i="139" s="1"/>
  <c r="D711" i="101"/>
  <c r="E702" i="101"/>
  <c r="D702" i="134" s="1"/>
  <c r="C704" i="135" s="1"/>
  <c r="C704" i="139" s="1"/>
  <c r="E669" i="101"/>
  <c r="D669" i="134" s="1"/>
  <c r="C671" i="135" s="1"/>
  <c r="C671" i="139" s="1"/>
  <c r="E432" i="134"/>
  <c r="D434" i="135" s="1"/>
  <c r="D434" i="139" s="1"/>
  <c r="D275" i="134"/>
  <c r="C277" i="135" s="1"/>
  <c r="C277" i="139" s="1"/>
  <c r="E275" i="134"/>
  <c r="D277" i="135" s="1"/>
  <c r="D277" i="139" s="1"/>
  <c r="E269" i="134"/>
  <c r="D271" i="135" s="1"/>
  <c r="D271" i="139" s="1"/>
  <c r="C269" i="134"/>
  <c r="E271" i="135" s="1"/>
  <c r="E271" i="139" s="1"/>
  <c r="E880" i="101"/>
  <c r="D880" i="134" s="1"/>
  <c r="C882" i="135" s="1"/>
  <c r="C882" i="139" s="1"/>
  <c r="D629" i="101"/>
  <c r="E629" i="101"/>
  <c r="D629" i="134" s="1"/>
  <c r="C631" i="135" s="1"/>
  <c r="C631" i="139" s="1"/>
  <c r="G629" i="101"/>
  <c r="C629" i="134" s="1"/>
  <c r="E631" i="135" s="1"/>
  <c r="E631" i="139" s="1"/>
  <c r="F685" i="101"/>
  <c r="D685" i="101"/>
  <c r="E652" i="101"/>
  <c r="D652" i="134" s="1"/>
  <c r="C654" i="135" s="1"/>
  <c r="C654" i="139" s="1"/>
  <c r="D652" i="101"/>
  <c r="E916" i="101"/>
  <c r="D916" i="134" s="1"/>
  <c r="C918" i="135" s="1"/>
  <c r="C918" i="139" s="1"/>
  <c r="G870" i="101"/>
  <c r="C870" i="134" s="1"/>
  <c r="E872" i="135" s="1"/>
  <c r="E872" i="139" s="1"/>
  <c r="F833" i="101"/>
  <c r="E833" i="134" s="1"/>
  <c r="D835" i="135" s="1"/>
  <c r="D835" i="139" s="1"/>
  <c r="D833" i="101"/>
  <c r="F753" i="101"/>
  <c r="D753" i="101"/>
  <c r="F672" i="101"/>
  <c r="G672" i="101"/>
  <c r="C672" i="134" s="1"/>
  <c r="E674" i="135" s="1"/>
  <c r="E674" i="139" s="1"/>
  <c r="G965" i="101"/>
  <c r="F945" i="101"/>
  <c r="E945" i="134" s="1"/>
  <c r="D947" i="135" s="1"/>
  <c r="D947" i="139" s="1"/>
  <c r="D916" i="101"/>
  <c r="F898" i="101"/>
  <c r="AR898" i="101" s="1"/>
  <c r="D880" i="101"/>
  <c r="F870" i="101"/>
  <c r="E870" i="134" s="1"/>
  <c r="D872" i="135" s="1"/>
  <c r="D872" i="139" s="1"/>
  <c r="G858" i="101"/>
  <c r="C858" i="134" s="1"/>
  <c r="E860" i="135" s="1"/>
  <c r="E860" i="139" s="1"/>
  <c r="E848" i="101"/>
  <c r="D848" i="134" s="1"/>
  <c r="C850" i="135" s="1"/>
  <c r="C850" i="139" s="1"/>
  <c r="E821" i="101"/>
  <c r="D821" i="134" s="1"/>
  <c r="C823" i="135" s="1"/>
  <c r="C823" i="139" s="1"/>
  <c r="F818" i="101"/>
  <c r="F787" i="101"/>
  <c r="D747" i="134"/>
  <c r="C749" i="135" s="1"/>
  <c r="C749" i="139" s="1"/>
  <c r="G704" i="101"/>
  <c r="C704" i="134" s="1"/>
  <c r="E706" i="135" s="1"/>
  <c r="E706" i="139" s="1"/>
  <c r="D458" i="134"/>
  <c r="C460" i="135" s="1"/>
  <c r="C460" i="139" s="1"/>
  <c r="D107" i="134"/>
  <c r="C109" i="135" s="1"/>
  <c r="C109" i="139" s="1"/>
  <c r="F970" i="101"/>
  <c r="G936" i="101"/>
  <c r="C936" i="134" s="1"/>
  <c r="E938" i="135" s="1"/>
  <c r="E938" i="139" s="1"/>
  <c r="F808" i="101"/>
  <c r="G799" i="101"/>
  <c r="C799" i="134" s="1"/>
  <c r="E801" i="135" s="1"/>
  <c r="E801" i="139" s="1"/>
  <c r="F667" i="101"/>
  <c r="F661" i="101"/>
  <c r="D661" i="101"/>
  <c r="D234" i="134"/>
  <c r="C236" i="135" s="1"/>
  <c r="C236" i="139" s="1"/>
  <c r="D146" i="134"/>
  <c r="C148" i="135" s="1"/>
  <c r="C148" i="139" s="1"/>
  <c r="E276" i="134"/>
  <c r="D278" i="135" s="1"/>
  <c r="D278" i="139" s="1"/>
  <c r="D167" i="134"/>
  <c r="C169" i="135" s="1"/>
  <c r="C169" i="139" s="1"/>
  <c r="G841" i="101"/>
  <c r="C841" i="134" s="1"/>
  <c r="E843" i="135" s="1"/>
  <c r="E843" i="139" s="1"/>
  <c r="F813" i="101"/>
  <c r="G760" i="101"/>
  <c r="C760" i="134" s="1"/>
  <c r="E762" i="135" s="1"/>
  <c r="E762" i="139" s="1"/>
  <c r="F757" i="101"/>
  <c r="B930" i="139"/>
  <c r="B928" i="134"/>
  <c r="B930" i="135"/>
  <c r="B918" i="139"/>
  <c r="B916" i="134"/>
  <c r="B918" i="135"/>
  <c r="B943" i="139"/>
  <c r="B941" i="134"/>
  <c r="B943" i="135"/>
  <c r="B861" i="139"/>
  <c r="B859" i="134"/>
  <c r="B861" i="135"/>
  <c r="B842" i="139"/>
  <c r="B840" i="134"/>
  <c r="B842" i="135"/>
  <c r="B814" i="139"/>
  <c r="B812" i="134"/>
  <c r="B814" i="135"/>
  <c r="B950" i="139"/>
  <c r="B948" i="134"/>
  <c r="B950" i="135"/>
  <c r="B923" i="139"/>
  <c r="B921" i="134"/>
  <c r="B923" i="135"/>
  <c r="E855" i="134"/>
  <c r="D857" i="135" s="1"/>
  <c r="D857" i="139" s="1"/>
  <c r="AR855" i="101"/>
  <c r="E842" i="134"/>
  <c r="D844" i="135" s="1"/>
  <c r="D844" i="139" s="1"/>
  <c r="AR842" i="101"/>
  <c r="B856" i="139"/>
  <c r="B854" i="134"/>
  <c r="B856" i="135"/>
  <c r="B883" i="139"/>
  <c r="B881" i="134"/>
  <c r="B883" i="135"/>
  <c r="B874" i="139"/>
  <c r="B872" i="134"/>
  <c r="B874" i="135"/>
  <c r="B859" i="139"/>
  <c r="B857" i="134"/>
  <c r="B859" i="135"/>
  <c r="B935" i="139"/>
  <c r="B933" i="134"/>
  <c r="B935" i="135"/>
  <c r="E905" i="134"/>
  <c r="D907" i="135" s="1"/>
  <c r="D907" i="139" s="1"/>
  <c r="AR905" i="101"/>
  <c r="B915" i="139"/>
  <c r="B913" i="134"/>
  <c r="B915" i="135"/>
  <c r="B824" i="139"/>
  <c r="B822" i="134"/>
  <c r="B824" i="135"/>
  <c r="D966" i="101"/>
  <c r="E966" i="101"/>
  <c r="B948" i="139"/>
  <c r="B946" i="134"/>
  <c r="B948" i="135"/>
  <c r="D944" i="101"/>
  <c r="F944" i="101"/>
  <c r="E944" i="134" s="1"/>
  <c r="D946" i="135" s="1"/>
  <c r="D946" i="139" s="1"/>
  <c r="B888" i="139"/>
  <c r="B886" i="134"/>
  <c r="B888" i="135"/>
  <c r="F974" i="101"/>
  <c r="G974" i="101"/>
  <c r="E967" i="101"/>
  <c r="E965" i="101"/>
  <c r="D951" i="101"/>
  <c r="E941" i="101"/>
  <c r="D941" i="134" s="1"/>
  <c r="C943" i="135" s="1"/>
  <c r="C943" i="139" s="1"/>
  <c r="E939" i="101"/>
  <c r="D939" i="134" s="1"/>
  <c r="C941" i="135" s="1"/>
  <c r="C941" i="139" s="1"/>
  <c r="A934" i="134"/>
  <c r="A936" i="135"/>
  <c r="A936" i="139" s="1"/>
  <c r="G931" i="101"/>
  <c r="C931" i="134" s="1"/>
  <c r="E933" i="135" s="1"/>
  <c r="E933" i="139" s="1"/>
  <c r="G926" i="101"/>
  <c r="C926" i="134" s="1"/>
  <c r="E928" i="135" s="1"/>
  <c r="E928" i="139" s="1"/>
  <c r="F926" i="101"/>
  <c r="B922" i="139"/>
  <c r="B920" i="134"/>
  <c r="B922" i="135"/>
  <c r="A913" i="134"/>
  <c r="A915" i="135"/>
  <c r="A915" i="139" s="1"/>
  <c r="F910" i="101"/>
  <c r="B904" i="139"/>
  <c r="B902" i="134"/>
  <c r="B904" i="135"/>
  <c r="A892" i="134"/>
  <c r="A894" i="135"/>
  <c r="A894" i="139" s="1"/>
  <c r="A889" i="134"/>
  <c r="A891" i="135"/>
  <c r="A891" i="139" s="1"/>
  <c r="A884" i="134"/>
  <c r="A886" i="135"/>
  <c r="A886" i="139" s="1"/>
  <c r="B882" i="139"/>
  <c r="B880" i="134"/>
  <c r="B882" i="135"/>
  <c r="E875" i="101"/>
  <c r="D875" i="134" s="1"/>
  <c r="C877" i="135" s="1"/>
  <c r="C877" i="139" s="1"/>
  <c r="B864" i="139"/>
  <c r="B862" i="134"/>
  <c r="B864" i="135"/>
  <c r="A859" i="134"/>
  <c r="A861" i="135"/>
  <c r="A861" i="139" s="1"/>
  <c r="E856" i="101"/>
  <c r="D856" i="134" s="1"/>
  <c r="C858" i="135" s="1"/>
  <c r="C858" i="139" s="1"/>
  <c r="B850" i="134"/>
  <c r="B852" i="139"/>
  <c r="B852" i="135"/>
  <c r="A848" i="134"/>
  <c r="A850" i="135"/>
  <c r="A850" i="139" s="1"/>
  <c r="B844" i="139"/>
  <c r="B842" i="134"/>
  <c r="B844" i="135"/>
  <c r="B839" i="139"/>
  <c r="B837" i="134"/>
  <c r="B839" i="135"/>
  <c r="D832" i="101"/>
  <c r="E832" i="101"/>
  <c r="D832" i="134" s="1"/>
  <c r="C834" i="135" s="1"/>
  <c r="C834" i="139" s="1"/>
  <c r="B823" i="139"/>
  <c r="B821" i="134"/>
  <c r="B823" i="135"/>
  <c r="A816" i="134"/>
  <c r="A818" i="135"/>
  <c r="A818" i="139" s="1"/>
  <c r="B811" i="139"/>
  <c r="B809" i="134"/>
  <c r="B811" i="135"/>
  <c r="B803" i="139"/>
  <c r="B801" i="134"/>
  <c r="B803" i="135"/>
  <c r="B752" i="139"/>
  <c r="B750" i="134"/>
  <c r="B752" i="135"/>
  <c r="B747" i="139"/>
  <c r="B745" i="134"/>
  <c r="B747" i="135"/>
  <c r="B666" i="139"/>
  <c r="B664" i="134"/>
  <c r="B666" i="135"/>
  <c r="D946" i="101"/>
  <c r="F946" i="101"/>
  <c r="E946" i="134" s="1"/>
  <c r="D948" i="135" s="1"/>
  <c r="D948" i="139" s="1"/>
  <c r="B945" i="139"/>
  <c r="B945" i="135"/>
  <c r="B943" i="134"/>
  <c r="F931" i="101"/>
  <c r="B928" i="139"/>
  <c r="B926" i="134"/>
  <c r="B928" i="135"/>
  <c r="E923" i="134"/>
  <c r="D925" i="135" s="1"/>
  <c r="D925" i="139" s="1"/>
  <c r="AR923" i="101"/>
  <c r="A900" i="134"/>
  <c r="A902" i="135"/>
  <c r="A902" i="139" s="1"/>
  <c r="A888" i="135"/>
  <c r="A888" i="139" s="1"/>
  <c r="A886" i="134"/>
  <c r="A878" i="134"/>
  <c r="A880" i="135"/>
  <c r="A880" i="139" s="1"/>
  <c r="A867" i="134"/>
  <c r="A869" i="135"/>
  <c r="A869" i="139" s="1"/>
  <c r="F853" i="101"/>
  <c r="D853" i="101"/>
  <c r="E853" i="101"/>
  <c r="D853" i="134" s="1"/>
  <c r="C855" i="135" s="1"/>
  <c r="C855" i="139" s="1"/>
  <c r="G853" i="101"/>
  <c r="C853" i="134" s="1"/>
  <c r="E855" i="135" s="1"/>
  <c r="E855" i="139" s="1"/>
  <c r="F845" i="101"/>
  <c r="G845" i="101"/>
  <c r="C845" i="134" s="1"/>
  <c r="E847" i="135" s="1"/>
  <c r="E847" i="139" s="1"/>
  <c r="B834" i="139"/>
  <c r="B832" i="134"/>
  <c r="B834" i="135"/>
  <c r="B829" i="139"/>
  <c r="B827" i="134"/>
  <c r="B829" i="135"/>
  <c r="A781" i="134"/>
  <c r="A783" i="135"/>
  <c r="A783" i="139" s="1"/>
  <c r="B695" i="139"/>
  <c r="B693" i="134"/>
  <c r="B695" i="135"/>
  <c r="A946" i="134"/>
  <c r="A948" i="135"/>
  <c r="A948" i="139" s="1"/>
  <c r="A939" i="134"/>
  <c r="A941" i="135"/>
  <c r="A941" i="139" s="1"/>
  <c r="E931" i="101"/>
  <c r="D931" i="134" s="1"/>
  <c r="C933" i="135" s="1"/>
  <c r="C933" i="139" s="1"/>
  <c r="A926" i="134"/>
  <c r="A928" i="135"/>
  <c r="A928" i="139" s="1"/>
  <c r="B923" i="134"/>
  <c r="B925" i="139"/>
  <c r="B925" i="135"/>
  <c r="D915" i="101"/>
  <c r="G915" i="101"/>
  <c r="C915" i="134" s="1"/>
  <c r="E917" i="135" s="1"/>
  <c r="E917" i="139" s="1"/>
  <c r="B914" i="139"/>
  <c r="B912" i="134"/>
  <c r="B914" i="135"/>
  <c r="D905" i="101"/>
  <c r="G905" i="101"/>
  <c r="C905" i="134" s="1"/>
  <c r="E907" i="135" s="1"/>
  <c r="E907" i="139" s="1"/>
  <c r="B893" i="139"/>
  <c r="B891" i="134"/>
  <c r="B893" i="135"/>
  <c r="B885" i="139"/>
  <c r="B883" i="134"/>
  <c r="B885" i="135"/>
  <c r="B860" i="139"/>
  <c r="B858" i="134"/>
  <c r="B860" i="135"/>
  <c r="A853" i="134"/>
  <c r="A855" i="135"/>
  <c r="A855" i="139" s="1"/>
  <c r="B849" i="139"/>
  <c r="B847" i="134"/>
  <c r="B849" i="135"/>
  <c r="A845" i="134"/>
  <c r="A847" i="135"/>
  <c r="A847" i="139" s="1"/>
  <c r="B826" i="139"/>
  <c r="B824" i="134"/>
  <c r="B826" i="135"/>
  <c r="G763" i="101"/>
  <c r="C763" i="134" s="1"/>
  <c r="E765" i="135" s="1"/>
  <c r="E765" i="139" s="1"/>
  <c r="D763" i="101"/>
  <c r="E763" i="101"/>
  <c r="D763" i="134" s="1"/>
  <c r="C765" i="135" s="1"/>
  <c r="C765" i="139" s="1"/>
  <c r="B727" i="139"/>
  <c r="B725" i="134"/>
  <c r="B727" i="135"/>
  <c r="B702" i="139"/>
  <c r="B700" i="134"/>
  <c r="B702" i="135"/>
  <c r="A904" i="134"/>
  <c r="A906" i="135"/>
  <c r="A906" i="139" s="1"/>
  <c r="B15" i="139"/>
  <c r="B13" i="134"/>
  <c r="B938" i="139"/>
  <c r="B936" i="134"/>
  <c r="B938" i="135"/>
  <c r="A923" i="134"/>
  <c r="A925" i="135"/>
  <c r="A925" i="139" s="1"/>
  <c r="A915" i="134"/>
  <c r="A917" i="135"/>
  <c r="A917" i="139" s="1"/>
  <c r="B909" i="139"/>
  <c r="B907" i="134"/>
  <c r="B909" i="135"/>
  <c r="A905" i="134"/>
  <c r="A907" i="135"/>
  <c r="A907" i="139" s="1"/>
  <c r="B885" i="134"/>
  <c r="B887" i="139"/>
  <c r="B887" i="135"/>
  <c r="B879" i="139"/>
  <c r="B877" i="134"/>
  <c r="B879" i="135"/>
  <c r="A875" i="134"/>
  <c r="A877" i="135"/>
  <c r="A877" i="139" s="1"/>
  <c r="B863" i="139"/>
  <c r="B863" i="135"/>
  <c r="B861" i="134"/>
  <c r="G847" i="101"/>
  <c r="C847" i="134" s="1"/>
  <c r="E849" i="135" s="1"/>
  <c r="E849" i="139" s="1"/>
  <c r="D842" i="101"/>
  <c r="E842" i="101"/>
  <c r="D842" i="134" s="1"/>
  <c r="C844" i="135" s="1"/>
  <c r="C844" i="139" s="1"/>
  <c r="D834" i="101"/>
  <c r="G834" i="101"/>
  <c r="C834" i="134" s="1"/>
  <c r="E836" i="135" s="1"/>
  <c r="E836" i="139" s="1"/>
  <c r="A829" i="134"/>
  <c r="A831" i="135"/>
  <c r="A831" i="139" s="1"/>
  <c r="D812" i="101"/>
  <c r="F812" i="101"/>
  <c r="AS812" i="101" s="1"/>
  <c r="A798" i="134"/>
  <c r="A800" i="135"/>
  <c r="A800" i="139" s="1"/>
  <c r="B782" i="139"/>
  <c r="B782" i="135"/>
  <c r="B780" i="134"/>
  <c r="B761" i="139"/>
  <c r="B759" i="134"/>
  <c r="B761" i="135"/>
  <c r="B723" i="139"/>
  <c r="B721" i="134"/>
  <c r="B723" i="135"/>
  <c r="B707" i="139"/>
  <c r="B705" i="134"/>
  <c r="B707" i="135"/>
  <c r="G13" i="101"/>
  <c r="C13" i="134" s="1"/>
  <c r="G971" i="101"/>
  <c r="G955" i="101"/>
  <c r="E948" i="101"/>
  <c r="D948" i="134" s="1"/>
  <c r="C950" i="135" s="1"/>
  <c r="C950" i="139" s="1"/>
  <c r="B947" i="139"/>
  <c r="B945" i="134"/>
  <c r="B947" i="135"/>
  <c r="A941" i="134"/>
  <c r="A943" i="135"/>
  <c r="A943" i="139" s="1"/>
  <c r="A936" i="134"/>
  <c r="A938" i="135"/>
  <c r="A938" i="139" s="1"/>
  <c r="B933" i="139"/>
  <c r="B931" i="134"/>
  <c r="B933" i="135"/>
  <c r="B927" i="139"/>
  <c r="B925" i="134"/>
  <c r="B927" i="135"/>
  <c r="B919" i="139"/>
  <c r="B917" i="134"/>
  <c r="B919" i="135"/>
  <c r="G907" i="101"/>
  <c r="C907" i="134" s="1"/>
  <c r="E909" i="135" s="1"/>
  <c r="E909" i="139" s="1"/>
  <c r="G885" i="101"/>
  <c r="C885" i="134" s="1"/>
  <c r="E887" i="135" s="1"/>
  <c r="E887" i="139" s="1"/>
  <c r="E869" i="101"/>
  <c r="D869" i="134" s="1"/>
  <c r="C871" i="135" s="1"/>
  <c r="C871" i="139" s="1"/>
  <c r="B866" i="139"/>
  <c r="B864" i="134"/>
  <c r="B866" i="135"/>
  <c r="E861" i="101"/>
  <c r="D861" i="134" s="1"/>
  <c r="C863" i="135" s="1"/>
  <c r="C863" i="139" s="1"/>
  <c r="A850" i="134"/>
  <c r="A852" i="135"/>
  <c r="A852" i="139" s="1"/>
  <c r="F847" i="101"/>
  <c r="B846" i="139"/>
  <c r="B844" i="134"/>
  <c r="B846" i="135"/>
  <c r="B828" i="139"/>
  <c r="B826" i="134"/>
  <c r="B828" i="135"/>
  <c r="G815" i="101"/>
  <c r="C815" i="134" s="1"/>
  <c r="E817" i="135" s="1"/>
  <c r="E817" i="139" s="1"/>
  <c r="E815" i="101"/>
  <c r="D815" i="134" s="1"/>
  <c r="C817" i="135" s="1"/>
  <c r="C817" i="139" s="1"/>
  <c r="F815" i="101"/>
  <c r="AS815" i="101" s="1"/>
  <c r="B808" i="139"/>
  <c r="B806" i="134"/>
  <c r="B808" i="135"/>
  <c r="B737" i="139"/>
  <c r="B735" i="134"/>
  <c r="B737" i="135"/>
  <c r="B698" i="139"/>
  <c r="B696" i="134"/>
  <c r="B698" i="135"/>
  <c r="A909" i="134"/>
  <c r="A911" i="135"/>
  <c r="A911" i="139" s="1"/>
  <c r="D976" i="101"/>
  <c r="F976" i="101"/>
  <c r="G976" i="101"/>
  <c r="F13" i="101"/>
  <c r="E13" i="134" s="1"/>
  <c r="G975" i="101"/>
  <c r="G973" i="101"/>
  <c r="F971" i="101"/>
  <c r="D962" i="101"/>
  <c r="E962" i="101"/>
  <c r="F962" i="101"/>
  <c r="F955" i="101"/>
  <c r="D948" i="101"/>
  <c r="A933" i="134"/>
  <c r="A935" i="135"/>
  <c r="A935" i="139" s="1"/>
  <c r="A931" i="134"/>
  <c r="A933" i="135"/>
  <c r="A933" i="139" s="1"/>
  <c r="E925" i="134"/>
  <c r="D927" i="135" s="1"/>
  <c r="D927" i="139" s="1"/>
  <c r="AR925" i="101"/>
  <c r="B924" i="139"/>
  <c r="B922" i="134"/>
  <c r="B924" i="135"/>
  <c r="B921" i="139"/>
  <c r="B919" i="134"/>
  <c r="B921" i="135"/>
  <c r="B916" i="139"/>
  <c r="B914" i="134"/>
  <c r="B916" i="135"/>
  <c r="D912" i="101"/>
  <c r="G912" i="101"/>
  <c r="C912" i="134" s="1"/>
  <c r="E914" i="135" s="1"/>
  <c r="E914" i="139" s="1"/>
  <c r="G909" i="101"/>
  <c r="C909" i="134" s="1"/>
  <c r="E911" i="135" s="1"/>
  <c r="E911" i="139" s="1"/>
  <c r="F907" i="101"/>
  <c r="D899" i="101"/>
  <c r="E899" i="101"/>
  <c r="D899" i="134" s="1"/>
  <c r="C901" i="135" s="1"/>
  <c r="C901" i="139" s="1"/>
  <c r="F899" i="101"/>
  <c r="D894" i="101"/>
  <c r="G894" i="101"/>
  <c r="C894" i="134" s="1"/>
  <c r="E896" i="135" s="1"/>
  <c r="E896" i="139" s="1"/>
  <c r="A891" i="134"/>
  <c r="A893" i="135"/>
  <c r="A893" i="139" s="1"/>
  <c r="A888" i="134"/>
  <c r="A890" i="135"/>
  <c r="A890" i="139" s="1"/>
  <c r="E885" i="101"/>
  <c r="D885" i="134" s="1"/>
  <c r="C887" i="135" s="1"/>
  <c r="C887" i="139" s="1"/>
  <c r="A883" i="134"/>
  <c r="A885" i="135"/>
  <c r="A885" i="139" s="1"/>
  <c r="A872" i="134"/>
  <c r="A874" i="135"/>
  <c r="A874" i="139" s="1"/>
  <c r="D866" i="101"/>
  <c r="E866" i="101"/>
  <c r="D866" i="134" s="1"/>
  <c r="C868" i="135" s="1"/>
  <c r="C868" i="139" s="1"/>
  <c r="A864" i="134"/>
  <c r="A866" i="135"/>
  <c r="A866" i="139" s="1"/>
  <c r="E861" i="134"/>
  <c r="D863" i="135" s="1"/>
  <c r="D863" i="139" s="1"/>
  <c r="AR861" i="101"/>
  <c r="F852" i="101"/>
  <c r="A834" i="134"/>
  <c r="A836" i="135"/>
  <c r="A836" i="139" s="1"/>
  <c r="G831" i="101"/>
  <c r="C831" i="134" s="1"/>
  <c r="E833" i="135" s="1"/>
  <c r="E833" i="139" s="1"/>
  <c r="B830" i="139"/>
  <c r="B828" i="134"/>
  <c r="B830" i="135"/>
  <c r="A826" i="135"/>
  <c r="A826" i="139" s="1"/>
  <c r="A824" i="134"/>
  <c r="D818" i="101"/>
  <c r="G818" i="101"/>
  <c r="C818" i="134" s="1"/>
  <c r="E820" i="135" s="1"/>
  <c r="E820" i="139" s="1"/>
  <c r="A806" i="134"/>
  <c r="A808" i="135"/>
  <c r="A808" i="139" s="1"/>
  <c r="B764" i="139"/>
  <c r="B762" i="134"/>
  <c r="B764" i="135"/>
  <c r="B643" i="139"/>
  <c r="B641" i="134"/>
  <c r="B643" i="135"/>
  <c r="F975" i="101"/>
  <c r="E971" i="101"/>
  <c r="G957" i="101"/>
  <c r="B940" i="139"/>
  <c r="B938" i="134"/>
  <c r="B940" i="135"/>
  <c r="B937" i="139"/>
  <c r="B935" i="134"/>
  <c r="B937" i="135"/>
  <c r="A928" i="134"/>
  <c r="A930" i="135"/>
  <c r="A930" i="139" s="1"/>
  <c r="D922" i="101"/>
  <c r="E922" i="101"/>
  <c r="D922" i="134" s="1"/>
  <c r="C924" i="135" s="1"/>
  <c r="C924" i="139" s="1"/>
  <c r="F922" i="101"/>
  <c r="G922" i="101"/>
  <c r="C922" i="134" s="1"/>
  <c r="E924" i="135" s="1"/>
  <c r="E924" i="139" s="1"/>
  <c r="G919" i="101"/>
  <c r="C919" i="134" s="1"/>
  <c r="E921" i="135" s="1"/>
  <c r="E921" i="139" s="1"/>
  <c r="F914" i="101"/>
  <c r="A914" i="135"/>
  <c r="A914" i="139" s="1"/>
  <c r="A912" i="134"/>
  <c r="E909" i="101"/>
  <c r="D909" i="134" s="1"/>
  <c r="C911" i="135" s="1"/>
  <c r="C911" i="139" s="1"/>
  <c r="B901" i="139"/>
  <c r="B899" i="134"/>
  <c r="B901" i="135"/>
  <c r="B896" i="139"/>
  <c r="B894" i="134"/>
  <c r="B896" i="135"/>
  <c r="B871" i="139"/>
  <c r="B869" i="134"/>
  <c r="B871" i="135"/>
  <c r="B868" i="139"/>
  <c r="B866" i="134"/>
  <c r="B868" i="135"/>
  <c r="A861" i="134"/>
  <c r="A863" i="135"/>
  <c r="A863" i="139" s="1"/>
  <c r="E852" i="101"/>
  <c r="D852" i="134" s="1"/>
  <c r="C854" i="135" s="1"/>
  <c r="C854" i="139" s="1"/>
  <c r="B838" i="139"/>
  <c r="B836" i="134"/>
  <c r="B838" i="135"/>
  <c r="A815" i="134"/>
  <c r="A817" i="135"/>
  <c r="A817" i="139" s="1"/>
  <c r="B804" i="139"/>
  <c r="B802" i="134"/>
  <c r="B804" i="135"/>
  <c r="B754" i="139"/>
  <c r="B752" i="134"/>
  <c r="B754" i="135"/>
  <c r="F973" i="101"/>
  <c r="G959" i="101"/>
  <c r="E955" i="101"/>
  <c r="G950" i="101"/>
  <c r="G966" i="101"/>
  <c r="G964" i="101"/>
  <c r="D964" i="101"/>
  <c r="E964" i="101"/>
  <c r="F940" i="101"/>
  <c r="E940" i="134" s="1"/>
  <c r="D942" i="135" s="1"/>
  <c r="D942" i="139" s="1"/>
  <c r="A938" i="134"/>
  <c r="A940" i="135"/>
  <c r="A940" i="139" s="1"/>
  <c r="F935" i="101"/>
  <c r="E935" i="134" s="1"/>
  <c r="D937" i="135" s="1"/>
  <c r="D937" i="139" s="1"/>
  <c r="B934" i="139"/>
  <c r="B932" i="134"/>
  <c r="B934" i="135"/>
  <c r="B932" i="139"/>
  <c r="B930" i="134"/>
  <c r="B932" i="135"/>
  <c r="A922" i="134"/>
  <c r="A924" i="135"/>
  <c r="A924" i="139" s="1"/>
  <c r="F919" i="101"/>
  <c r="D909" i="101"/>
  <c r="A899" i="134"/>
  <c r="A901" i="135"/>
  <c r="A901" i="139" s="1"/>
  <c r="B892" i="139"/>
  <c r="B890" i="134"/>
  <c r="B892" i="135"/>
  <c r="B889" i="139"/>
  <c r="B887" i="134"/>
  <c r="B889" i="135"/>
  <c r="E885" i="134"/>
  <c r="D887" i="135" s="1"/>
  <c r="D887" i="139" s="1"/>
  <c r="AR885" i="101"/>
  <c r="D874" i="101"/>
  <c r="F874" i="101"/>
  <c r="G874" i="101"/>
  <c r="C874" i="134" s="1"/>
  <c r="E876" i="135" s="1"/>
  <c r="E876" i="139" s="1"/>
  <c r="B873" i="139"/>
  <c r="B871" i="134"/>
  <c r="B873" i="135"/>
  <c r="A866" i="134"/>
  <c r="A868" i="135"/>
  <c r="A868" i="139" s="1"/>
  <c r="B865" i="139"/>
  <c r="B863" i="134"/>
  <c r="B865" i="135"/>
  <c r="D855" i="101"/>
  <c r="G855" i="101"/>
  <c r="C855" i="134" s="1"/>
  <c r="E857" i="135" s="1"/>
  <c r="E857" i="139" s="1"/>
  <c r="D852" i="101"/>
  <c r="A839" i="134"/>
  <c r="A841" i="135"/>
  <c r="A841" i="139" s="1"/>
  <c r="D836" i="101"/>
  <c r="G836" i="101"/>
  <c r="C836" i="134" s="1"/>
  <c r="E838" i="135" s="1"/>
  <c r="E838" i="139" s="1"/>
  <c r="B835" i="139"/>
  <c r="B835" i="135"/>
  <c r="B833" i="134"/>
  <c r="A831" i="134"/>
  <c r="A833" i="135"/>
  <c r="A833" i="139" s="1"/>
  <c r="B793" i="139"/>
  <c r="B791" i="134"/>
  <c r="B793" i="135"/>
  <c r="B784" i="139"/>
  <c r="B782" i="134"/>
  <c r="B784" i="135"/>
  <c r="B739" i="139"/>
  <c r="B737" i="134"/>
  <c r="B739" i="135"/>
  <c r="B649" i="139"/>
  <c r="B647" i="134"/>
  <c r="B649" i="135"/>
  <c r="B609" i="139"/>
  <c r="B607" i="134"/>
  <c r="B609" i="135"/>
  <c r="B591" i="139"/>
  <c r="B589" i="134"/>
  <c r="B591" i="135"/>
  <c r="A948" i="134"/>
  <c r="A950" i="135"/>
  <c r="A950" i="139" s="1"/>
  <c r="E940" i="101"/>
  <c r="D940" i="134" s="1"/>
  <c r="C942" i="135" s="1"/>
  <c r="C942" i="139" s="1"/>
  <c r="E935" i="101"/>
  <c r="D935" i="134" s="1"/>
  <c r="C937" i="135" s="1"/>
  <c r="C937" i="139" s="1"/>
  <c r="E930" i="101"/>
  <c r="D930" i="134" s="1"/>
  <c r="C932" i="135" s="1"/>
  <c r="C932" i="139" s="1"/>
  <c r="B929" i="139"/>
  <c r="B927" i="134"/>
  <c r="B929" i="135"/>
  <c r="E919" i="101"/>
  <c r="D919" i="134" s="1"/>
  <c r="C921" i="135" s="1"/>
  <c r="C921" i="139" s="1"/>
  <c r="A917" i="134"/>
  <c r="A919" i="135"/>
  <c r="A919" i="139" s="1"/>
  <c r="D914" i="101"/>
  <c r="G914" i="101"/>
  <c r="C914" i="134" s="1"/>
  <c r="E916" i="135" s="1"/>
  <c r="E916" i="139" s="1"/>
  <c r="B913" i="139"/>
  <c r="B911" i="134"/>
  <c r="B913" i="135"/>
  <c r="E909" i="134"/>
  <c r="D911" i="135" s="1"/>
  <c r="D911" i="139" s="1"/>
  <c r="AR909" i="101"/>
  <c r="A907" i="134"/>
  <c r="A909" i="135"/>
  <c r="A909" i="139" s="1"/>
  <c r="B903" i="139"/>
  <c r="B901" i="134"/>
  <c r="B903" i="135"/>
  <c r="D882" i="101"/>
  <c r="E882" i="101"/>
  <c r="D882" i="134" s="1"/>
  <c r="C884" i="135" s="1"/>
  <c r="C884" i="139" s="1"/>
  <c r="F882" i="101"/>
  <c r="G882" i="101"/>
  <c r="C882" i="134" s="1"/>
  <c r="E884" i="135" s="1"/>
  <c r="E884" i="139" s="1"/>
  <c r="B881" i="139"/>
  <c r="B879" i="134"/>
  <c r="B881" i="135"/>
  <c r="B876" i="139"/>
  <c r="B876" i="135"/>
  <c r="B874" i="134"/>
  <c r="G863" i="101"/>
  <c r="C863" i="134" s="1"/>
  <c r="E865" i="135" s="1"/>
  <c r="E865" i="139" s="1"/>
  <c r="B862" i="139"/>
  <c r="B860" i="134"/>
  <c r="B862" i="135"/>
  <c r="A847" i="134"/>
  <c r="A849" i="135"/>
  <c r="A849" i="139" s="1"/>
  <c r="D823" i="101"/>
  <c r="E823" i="101"/>
  <c r="D823" i="134" s="1"/>
  <c r="C825" i="135" s="1"/>
  <c r="C825" i="139" s="1"/>
  <c r="F823" i="101"/>
  <c r="AS823" i="101" s="1"/>
  <c r="G823" i="101"/>
  <c r="C823" i="134" s="1"/>
  <c r="E825" i="135" s="1"/>
  <c r="E825" i="139" s="1"/>
  <c r="D805" i="101"/>
  <c r="F805" i="101"/>
  <c r="AS805" i="101" s="1"/>
  <c r="B787" i="139"/>
  <c r="B785" i="134"/>
  <c r="B787" i="135"/>
  <c r="A916" i="135"/>
  <c r="A916" i="139" s="1"/>
  <c r="A914" i="134"/>
  <c r="B911" i="139"/>
  <c r="B909" i="134"/>
  <c r="B911" i="135"/>
  <c r="B904" i="134"/>
  <c r="B906" i="139"/>
  <c r="B906" i="135"/>
  <c r="D901" i="101"/>
  <c r="B898" i="139"/>
  <c r="B896" i="134"/>
  <c r="B898" i="135"/>
  <c r="B895" i="139"/>
  <c r="B893" i="134"/>
  <c r="B895" i="135"/>
  <c r="A882" i="134"/>
  <c r="A884" i="135"/>
  <c r="A884" i="139" s="1"/>
  <c r="D879" i="101"/>
  <c r="A876" i="135"/>
  <c r="A876" i="139" s="1"/>
  <c r="A874" i="134"/>
  <c r="A871" i="134"/>
  <c r="A873" i="135"/>
  <c r="A873" i="139" s="1"/>
  <c r="B868" i="134"/>
  <c r="B870" i="139"/>
  <c r="B870" i="135"/>
  <c r="B867" i="139"/>
  <c r="B867" i="135"/>
  <c r="B865" i="134"/>
  <c r="D860" i="101"/>
  <c r="E860" i="101"/>
  <c r="D860" i="134" s="1"/>
  <c r="C862" i="135" s="1"/>
  <c r="C862" i="139" s="1"/>
  <c r="F860" i="101"/>
  <c r="G860" i="101"/>
  <c r="C860" i="134" s="1"/>
  <c r="E862" i="135" s="1"/>
  <c r="E862" i="139" s="1"/>
  <c r="B854" i="139"/>
  <c r="B852" i="134"/>
  <c r="B854" i="135"/>
  <c r="B851" i="139"/>
  <c r="B849" i="134"/>
  <c r="B851" i="135"/>
  <c r="B832" i="139"/>
  <c r="B830" i="134"/>
  <c r="B832" i="135"/>
  <c r="A823" i="134"/>
  <c r="A825" i="135"/>
  <c r="A825" i="139" s="1"/>
  <c r="B807" i="139"/>
  <c r="B805" i="134"/>
  <c r="B807" i="135"/>
  <c r="B796" i="139"/>
  <c r="B794" i="134"/>
  <c r="B796" i="135"/>
  <c r="B748" i="139"/>
  <c r="B746" i="134"/>
  <c r="B748" i="135"/>
  <c r="B729" i="139"/>
  <c r="B727" i="134"/>
  <c r="B729" i="135"/>
  <c r="A896" i="134"/>
  <c r="A898" i="135"/>
  <c r="A898" i="139" s="1"/>
  <c r="B878" i="139"/>
  <c r="B876" i="134"/>
  <c r="B878" i="135"/>
  <c r="A863" i="134"/>
  <c r="A865" i="135"/>
  <c r="A865" i="139" s="1"/>
  <c r="A860" i="134"/>
  <c r="A862" i="135"/>
  <c r="A862" i="139" s="1"/>
  <c r="A852" i="134"/>
  <c r="A854" i="135"/>
  <c r="A854" i="139" s="1"/>
  <c r="A849" i="134"/>
  <c r="A851" i="135"/>
  <c r="A851" i="139" s="1"/>
  <c r="E843" i="134"/>
  <c r="D845" i="135" s="1"/>
  <c r="D845" i="139" s="1"/>
  <c r="AR843" i="101"/>
  <c r="A841" i="134"/>
  <c r="A843" i="135"/>
  <c r="A843" i="139" s="1"/>
  <c r="B837" i="139"/>
  <c r="B835" i="134"/>
  <c r="B837" i="135"/>
  <c r="D820" i="101"/>
  <c r="F820" i="101"/>
  <c r="AS820" i="101" s="1"/>
  <c r="B819" i="139"/>
  <c r="B817" i="134"/>
  <c r="B819" i="135"/>
  <c r="B742" i="139"/>
  <c r="B740" i="134"/>
  <c r="B742" i="135"/>
  <c r="A930" i="134"/>
  <c r="A932" i="135"/>
  <c r="A932" i="139" s="1"/>
  <c r="B946" i="139"/>
  <c r="B944" i="134"/>
  <c r="B946" i="135"/>
  <c r="A935" i="134"/>
  <c r="A937" i="135"/>
  <c r="A937" i="139" s="1"/>
  <c r="A927" i="134"/>
  <c r="A929" i="135"/>
  <c r="A929" i="139" s="1"/>
  <c r="A901" i="134"/>
  <c r="A903" i="135"/>
  <c r="A903" i="139" s="1"/>
  <c r="E893" i="134"/>
  <c r="D895" i="135" s="1"/>
  <c r="D895" i="139" s="1"/>
  <c r="AR893" i="101"/>
  <c r="F884" i="101"/>
  <c r="A879" i="134"/>
  <c r="A881" i="135"/>
  <c r="A881" i="139" s="1"/>
  <c r="A876" i="134"/>
  <c r="A878" i="135"/>
  <c r="A878" i="139" s="1"/>
  <c r="B875" i="139"/>
  <c r="B873" i="134"/>
  <c r="B875" i="135"/>
  <c r="B872" i="139"/>
  <c r="B870" i="134"/>
  <c r="B872" i="135"/>
  <c r="D857" i="101"/>
  <c r="F857" i="101"/>
  <c r="E846" i="101"/>
  <c r="D846" i="134" s="1"/>
  <c r="C848" i="135" s="1"/>
  <c r="C848" i="139" s="1"/>
  <c r="D846" i="101"/>
  <c r="G846" i="101"/>
  <c r="C846" i="134" s="1"/>
  <c r="E848" i="135" s="1"/>
  <c r="E848" i="139" s="1"/>
  <c r="B822" i="139"/>
  <c r="B822" i="135"/>
  <c r="B820" i="134"/>
  <c r="A817" i="134"/>
  <c r="A819" i="135"/>
  <c r="A819" i="139" s="1"/>
  <c r="B812" i="139"/>
  <c r="B810" i="134"/>
  <c r="B812" i="135"/>
  <c r="D790" i="101"/>
  <c r="G790" i="101"/>
  <c r="C790" i="134" s="1"/>
  <c r="E792" i="135" s="1"/>
  <c r="E792" i="139" s="1"/>
  <c r="D773" i="101"/>
  <c r="E773" i="101"/>
  <c r="D773" i="134" s="1"/>
  <c r="C775" i="135" s="1"/>
  <c r="C775" i="139" s="1"/>
  <c r="A945" i="134"/>
  <c r="A947" i="135"/>
  <c r="A947" i="139" s="1"/>
  <c r="D937" i="101"/>
  <c r="G937" i="101"/>
  <c r="C937" i="134" s="1"/>
  <c r="E939" i="135" s="1"/>
  <c r="E939" i="139" s="1"/>
  <c r="G921" i="101"/>
  <c r="C921" i="134" s="1"/>
  <c r="E923" i="135" s="1"/>
  <c r="E923" i="139" s="1"/>
  <c r="F921" i="101"/>
  <c r="B920" i="139"/>
  <c r="B918" i="134"/>
  <c r="B920" i="135"/>
  <c r="B908" i="139"/>
  <c r="B906" i="134"/>
  <c r="B908" i="135"/>
  <c r="B905" i="139"/>
  <c r="B903" i="134"/>
  <c r="B905" i="135"/>
  <c r="B897" i="139"/>
  <c r="B895" i="134"/>
  <c r="B897" i="135"/>
  <c r="A893" i="134"/>
  <c r="A895" i="135"/>
  <c r="A895" i="139" s="1"/>
  <c r="E884" i="101"/>
  <c r="D884" i="134" s="1"/>
  <c r="C886" i="135" s="1"/>
  <c r="C886" i="139" s="1"/>
  <c r="A868" i="134"/>
  <c r="A870" i="135"/>
  <c r="A870" i="139" s="1"/>
  <c r="A846" i="134"/>
  <c r="A848" i="135"/>
  <c r="A848" i="139" s="1"/>
  <c r="B806" i="139"/>
  <c r="B804" i="134"/>
  <c r="B806" i="135"/>
  <c r="B678" i="139"/>
  <c r="B676" i="134"/>
  <c r="B678" i="135"/>
  <c r="E662" i="134"/>
  <c r="D664" i="135" s="1"/>
  <c r="D664" i="139" s="1"/>
  <c r="AR662" i="101"/>
  <c r="A947" i="134"/>
  <c r="A949" i="135"/>
  <c r="A949" i="139" s="1"/>
  <c r="E944" i="101"/>
  <c r="D944" i="134" s="1"/>
  <c r="C946" i="135" s="1"/>
  <c r="C946" i="139" s="1"/>
  <c r="B941" i="139"/>
  <c r="B939" i="134"/>
  <c r="B941" i="135"/>
  <c r="A937" i="134"/>
  <c r="A939" i="135"/>
  <c r="A939" i="139" s="1"/>
  <c r="B936" i="139"/>
  <c r="B934" i="134"/>
  <c r="B936" i="135"/>
  <c r="E916" i="134"/>
  <c r="D918" i="135" s="1"/>
  <c r="D918" i="139" s="1"/>
  <c r="AR916" i="101"/>
  <c r="A906" i="134"/>
  <c r="A908" i="135"/>
  <c r="A908" i="139" s="1"/>
  <c r="D903" i="101"/>
  <c r="E903" i="101"/>
  <c r="D903" i="134" s="1"/>
  <c r="C905" i="135" s="1"/>
  <c r="C905" i="139" s="1"/>
  <c r="B902" i="139"/>
  <c r="B900" i="134"/>
  <c r="B902" i="135"/>
  <c r="D884" i="101"/>
  <c r="B880" i="139"/>
  <c r="B878" i="134"/>
  <c r="B880" i="135"/>
  <c r="B877" i="139"/>
  <c r="B875" i="134"/>
  <c r="B877" i="135"/>
  <c r="D873" i="101"/>
  <c r="D859" i="101"/>
  <c r="A857" i="134"/>
  <c r="A859" i="135"/>
  <c r="A859" i="139" s="1"/>
  <c r="B809" i="139"/>
  <c r="B807" i="134"/>
  <c r="B809" i="135"/>
  <c r="A799" i="134"/>
  <c r="A801" i="135"/>
  <c r="A801" i="139" s="1"/>
  <c r="B798" i="139"/>
  <c r="B796" i="134"/>
  <c r="B798" i="135"/>
  <c r="A776" i="134"/>
  <c r="A778" i="135"/>
  <c r="A778" i="139" s="1"/>
  <c r="B759" i="139"/>
  <c r="B757" i="134"/>
  <c r="B759" i="135"/>
  <c r="B648" i="139"/>
  <c r="B646" i="134"/>
  <c r="B648" i="135"/>
  <c r="A919" i="134"/>
  <c r="A921" i="135"/>
  <c r="A921" i="139" s="1"/>
  <c r="A924" i="134"/>
  <c r="A926" i="135"/>
  <c r="A926" i="139" s="1"/>
  <c r="E889" i="134"/>
  <c r="D891" i="135" s="1"/>
  <c r="D891" i="139" s="1"/>
  <c r="AR889" i="101"/>
  <c r="B869" i="139"/>
  <c r="B867" i="134"/>
  <c r="B869" i="135"/>
  <c r="A854" i="134"/>
  <c r="A856" i="135"/>
  <c r="A856" i="139" s="1"/>
  <c r="B847" i="139"/>
  <c r="B845" i="134"/>
  <c r="B847" i="135"/>
  <c r="A843" i="134"/>
  <c r="A845" i="135"/>
  <c r="A845" i="139" s="1"/>
  <c r="A838" i="134"/>
  <c r="A840" i="135"/>
  <c r="A840" i="139" s="1"/>
  <c r="A830" i="134"/>
  <c r="A832" i="135"/>
  <c r="A832" i="139" s="1"/>
  <c r="E825" i="134"/>
  <c r="D827" i="135" s="1"/>
  <c r="D827" i="139" s="1"/>
  <c r="AR825" i="101"/>
  <c r="A822" i="134"/>
  <c r="A824" i="135"/>
  <c r="A824" i="139" s="1"/>
  <c r="B821" i="139"/>
  <c r="B819" i="134"/>
  <c r="B821" i="135"/>
  <c r="A793" i="134"/>
  <c r="A795" i="135"/>
  <c r="A795" i="139" s="1"/>
  <c r="B791" i="139"/>
  <c r="B789" i="134"/>
  <c r="B791" i="135"/>
  <c r="F784" i="101"/>
  <c r="AS784" i="101" s="1"/>
  <c r="D784" i="101"/>
  <c r="D784" i="134"/>
  <c r="C786" i="135" s="1"/>
  <c r="C786" i="139" s="1"/>
  <c r="G784" i="101"/>
  <c r="C784" i="134" s="1"/>
  <c r="E786" i="135" s="1"/>
  <c r="E786" i="139" s="1"/>
  <c r="B774" i="139"/>
  <c r="B772" i="134"/>
  <c r="B774" i="135"/>
  <c r="A746" i="134"/>
  <c r="A748" i="135"/>
  <c r="A748" i="139" s="1"/>
  <c r="B939" i="139"/>
  <c r="B939" i="135"/>
  <c r="B937" i="134"/>
  <c r="D927" i="101"/>
  <c r="E927" i="101"/>
  <c r="D927" i="134" s="1"/>
  <c r="C929" i="135" s="1"/>
  <c r="C929" i="139" s="1"/>
  <c r="F927" i="101"/>
  <c r="A921" i="134"/>
  <c r="A923" i="135"/>
  <c r="A923" i="139" s="1"/>
  <c r="B912" i="139"/>
  <c r="B910" i="134"/>
  <c r="B912" i="135"/>
  <c r="A903" i="134"/>
  <c r="A905" i="135"/>
  <c r="A905" i="139" s="1"/>
  <c r="B900" i="139"/>
  <c r="B898" i="134"/>
  <c r="B900" i="135"/>
  <c r="B894" i="139"/>
  <c r="B892" i="134"/>
  <c r="B894" i="135"/>
  <c r="A881" i="134"/>
  <c r="A883" i="135"/>
  <c r="A883" i="139" s="1"/>
  <c r="D974" i="101"/>
  <c r="G972" i="101"/>
  <c r="F972" i="101"/>
  <c r="E951" i="101"/>
  <c r="E949" i="101"/>
  <c r="G946" i="101"/>
  <c r="C946" i="134" s="1"/>
  <c r="E948" i="135" s="1"/>
  <c r="E948" i="139" s="1"/>
  <c r="A944" i="134"/>
  <c r="A946" i="135"/>
  <c r="A946" i="139" s="1"/>
  <c r="G941" i="101"/>
  <c r="C941" i="134" s="1"/>
  <c r="E943" i="135" s="1"/>
  <c r="E943" i="139" s="1"/>
  <c r="F939" i="101"/>
  <c r="E939" i="134" s="1"/>
  <c r="D941" i="135" s="1"/>
  <c r="D941" i="139" s="1"/>
  <c r="D934" i="101"/>
  <c r="E934" i="101"/>
  <c r="D934" i="134" s="1"/>
  <c r="C936" i="135" s="1"/>
  <c r="C936" i="139" s="1"/>
  <c r="F934" i="101"/>
  <c r="E934" i="134" s="1"/>
  <c r="D936" i="135" s="1"/>
  <c r="D936" i="139" s="1"/>
  <c r="A916" i="134"/>
  <c r="A918" i="135"/>
  <c r="A918" i="139" s="1"/>
  <c r="G910" i="101"/>
  <c r="C910" i="134" s="1"/>
  <c r="E912" i="135" s="1"/>
  <c r="E912" i="139" s="1"/>
  <c r="B907" i="139"/>
  <c r="B905" i="134"/>
  <c r="B907" i="135"/>
  <c r="A898" i="134"/>
  <c r="A900" i="135"/>
  <c r="A900" i="139" s="1"/>
  <c r="D892" i="101"/>
  <c r="E892" i="101"/>
  <c r="D892" i="134" s="1"/>
  <c r="C894" i="135" s="1"/>
  <c r="C894" i="139" s="1"/>
  <c r="G892" i="101"/>
  <c r="C892" i="134" s="1"/>
  <c r="E894" i="135" s="1"/>
  <c r="E894" i="139" s="1"/>
  <c r="F892" i="101"/>
  <c r="B891" i="139"/>
  <c r="B889" i="134"/>
  <c r="B891" i="135"/>
  <c r="A873" i="134"/>
  <c r="A875" i="135"/>
  <c r="A875" i="139" s="1"/>
  <c r="E862" i="134"/>
  <c r="D864" i="135" s="1"/>
  <c r="D864" i="139" s="1"/>
  <c r="AR862" i="101"/>
  <c r="B858" i="139"/>
  <c r="B856" i="134"/>
  <c r="B858" i="135"/>
  <c r="E848" i="134"/>
  <c r="D850" i="135" s="1"/>
  <c r="D850" i="139" s="1"/>
  <c r="AR848" i="101"/>
  <c r="E845" i="101"/>
  <c r="D845" i="134" s="1"/>
  <c r="C847" i="135" s="1"/>
  <c r="C847" i="139" s="1"/>
  <c r="B827" i="139"/>
  <c r="B825" i="134"/>
  <c r="B827" i="135"/>
  <c r="E807" i="101"/>
  <c r="D807" i="134" s="1"/>
  <c r="C809" i="135" s="1"/>
  <c r="C809" i="139" s="1"/>
  <c r="G807" i="101"/>
  <c r="C807" i="134" s="1"/>
  <c r="E809" i="135" s="1"/>
  <c r="E809" i="139" s="1"/>
  <c r="E801" i="101"/>
  <c r="D801" i="134" s="1"/>
  <c r="C803" i="135" s="1"/>
  <c r="C803" i="139" s="1"/>
  <c r="G801" i="101"/>
  <c r="C801" i="134" s="1"/>
  <c r="E803" i="135" s="1"/>
  <c r="E803" i="139" s="1"/>
  <c r="B780" i="139"/>
  <c r="B778" i="134"/>
  <c r="B780" i="135"/>
  <c r="B750" i="139"/>
  <c r="B748" i="134"/>
  <c r="B750" i="135"/>
  <c r="E719" i="134"/>
  <c r="D721" i="135" s="1"/>
  <c r="D721" i="139" s="1"/>
  <c r="AR719" i="101"/>
  <c r="B705" i="139"/>
  <c r="B703" i="134"/>
  <c r="B705" i="135"/>
  <c r="B663" i="139"/>
  <c r="B661" i="134"/>
  <c r="B663" i="135"/>
  <c r="B884" i="139"/>
  <c r="B882" i="134"/>
  <c r="B884" i="135"/>
  <c r="A856" i="134"/>
  <c r="A858" i="135"/>
  <c r="A858" i="139" s="1"/>
  <c r="B855" i="139"/>
  <c r="B853" i="134"/>
  <c r="B855" i="135"/>
  <c r="B853" i="139"/>
  <c r="B851" i="134"/>
  <c r="B853" i="135"/>
  <c r="A840" i="134"/>
  <c r="A842" i="135"/>
  <c r="A842" i="139" s="1"/>
  <c r="A835" i="134"/>
  <c r="A837" i="135"/>
  <c r="A837" i="139" s="1"/>
  <c r="A819" i="134"/>
  <c r="A821" i="135"/>
  <c r="A821" i="139" s="1"/>
  <c r="A814" i="134"/>
  <c r="A816" i="135"/>
  <c r="A816" i="139" s="1"/>
  <c r="B813" i="139"/>
  <c r="B811" i="134"/>
  <c r="B813" i="135"/>
  <c r="A809" i="134"/>
  <c r="A811" i="135"/>
  <c r="A811" i="139" s="1"/>
  <c r="A787" i="134"/>
  <c r="A789" i="135"/>
  <c r="A789" i="139" s="1"/>
  <c r="A775" i="134"/>
  <c r="A777" i="135"/>
  <c r="A777" i="139" s="1"/>
  <c r="B766" i="139"/>
  <c r="B764" i="134"/>
  <c r="B766" i="135"/>
  <c r="A762" i="134"/>
  <c r="A764" i="135"/>
  <c r="A764" i="139" s="1"/>
  <c r="G754" i="101"/>
  <c r="C754" i="134" s="1"/>
  <c r="E756" i="135" s="1"/>
  <c r="E756" i="139" s="1"/>
  <c r="A739" i="134"/>
  <c r="A741" i="135"/>
  <c r="A741" i="139" s="1"/>
  <c r="F731" i="101"/>
  <c r="AS731" i="101" s="1"/>
  <c r="A731" i="135"/>
  <c r="A731" i="139" s="1"/>
  <c r="A729" i="134"/>
  <c r="B725" i="139"/>
  <c r="B725" i="135"/>
  <c r="B723" i="134"/>
  <c r="F721" i="101"/>
  <c r="AS721" i="101" s="1"/>
  <c r="E721" i="101"/>
  <c r="D721" i="134" s="1"/>
  <c r="C723" i="135" s="1"/>
  <c r="C723" i="139" s="1"/>
  <c r="G718" i="101"/>
  <c r="C718" i="134" s="1"/>
  <c r="E720" i="135" s="1"/>
  <c r="E720" i="139" s="1"/>
  <c r="G716" i="101"/>
  <c r="C716" i="134" s="1"/>
  <c r="E718" i="135" s="1"/>
  <c r="E718" i="139" s="1"/>
  <c r="A711" i="134"/>
  <c r="A713" i="135"/>
  <c r="A713" i="139" s="1"/>
  <c r="B696" i="139"/>
  <c r="B694" i="134"/>
  <c r="B696" i="135"/>
  <c r="A687" i="134"/>
  <c r="A689" i="135"/>
  <c r="A689" i="139" s="1"/>
  <c r="B686" i="139"/>
  <c r="B684" i="134"/>
  <c r="B686" i="135"/>
  <c r="F679" i="101"/>
  <c r="AS679" i="101" s="1"/>
  <c r="A677" i="134"/>
  <c r="A679" i="135"/>
  <c r="A679" i="139" s="1"/>
  <c r="G674" i="101"/>
  <c r="C674" i="134" s="1"/>
  <c r="E676" i="135" s="1"/>
  <c r="E676" i="139" s="1"/>
  <c r="A664" i="134"/>
  <c r="A666" i="135"/>
  <c r="A666" i="139" s="1"/>
  <c r="G644" i="101"/>
  <c r="C644" i="134" s="1"/>
  <c r="E646" i="135" s="1"/>
  <c r="E646" i="139" s="1"/>
  <c r="G639" i="101"/>
  <c r="C639" i="134" s="1"/>
  <c r="E641" i="135" s="1"/>
  <c r="E641" i="139" s="1"/>
  <c r="A637" i="134"/>
  <c r="A639" i="135"/>
  <c r="A639" i="139" s="1"/>
  <c r="F634" i="101"/>
  <c r="AS634" i="101" s="1"/>
  <c r="A584" i="134"/>
  <c r="A586" i="135"/>
  <c r="A586" i="139" s="1"/>
  <c r="B899" i="139"/>
  <c r="B897" i="134"/>
  <c r="B899" i="135"/>
  <c r="A895" i="134"/>
  <c r="A897" i="135"/>
  <c r="A897" i="139" s="1"/>
  <c r="A885" i="134"/>
  <c r="A887" i="135"/>
  <c r="A887" i="139" s="1"/>
  <c r="E877" i="134"/>
  <c r="D879" i="135" s="1"/>
  <c r="D879" i="139" s="1"/>
  <c r="AR877" i="101"/>
  <c r="F968" i="101"/>
  <c r="D956" i="101"/>
  <c r="E954" i="101"/>
  <c r="B949" i="139"/>
  <c r="B947" i="134"/>
  <c r="B949" i="135"/>
  <c r="A943" i="134"/>
  <c r="A945" i="135"/>
  <c r="A945" i="139" s="1"/>
  <c r="E936" i="101"/>
  <c r="D936" i="134" s="1"/>
  <c r="C938" i="135" s="1"/>
  <c r="C938" i="139" s="1"/>
  <c r="A925" i="134"/>
  <c r="A927" i="135"/>
  <c r="A927" i="139" s="1"/>
  <c r="E913" i="101"/>
  <c r="D913" i="134" s="1"/>
  <c r="C915" i="135" s="1"/>
  <c r="C915" i="139" s="1"/>
  <c r="E904" i="101"/>
  <c r="D904" i="134" s="1"/>
  <c r="C906" i="135" s="1"/>
  <c r="C906" i="139" s="1"/>
  <c r="D897" i="101"/>
  <c r="A892" i="135"/>
  <c r="A892" i="139" s="1"/>
  <c r="A890" i="134"/>
  <c r="A877" i="134"/>
  <c r="A879" i="135"/>
  <c r="A879" i="139" s="1"/>
  <c r="E872" i="101"/>
  <c r="D872" i="134" s="1"/>
  <c r="C874" i="135" s="1"/>
  <c r="C874" i="139" s="1"/>
  <c r="F867" i="101"/>
  <c r="E851" i="101"/>
  <c r="D851" i="134" s="1"/>
  <c r="C853" i="135" s="1"/>
  <c r="C853" i="139" s="1"/>
  <c r="B850" i="139"/>
  <c r="B848" i="134"/>
  <c r="B850" i="135"/>
  <c r="B848" i="139"/>
  <c r="B846" i="134"/>
  <c r="B848" i="135"/>
  <c r="A844" i="134"/>
  <c r="A846" i="135"/>
  <c r="A846" i="139" s="1"/>
  <c r="A842" i="134"/>
  <c r="A844" i="135"/>
  <c r="A844" i="139" s="1"/>
  <c r="A828" i="134"/>
  <c r="A830" i="135"/>
  <c r="A830" i="139" s="1"/>
  <c r="E821" i="134"/>
  <c r="D823" i="135" s="1"/>
  <c r="D823" i="139" s="1"/>
  <c r="AR821" i="101"/>
  <c r="E816" i="101"/>
  <c r="D816" i="134" s="1"/>
  <c r="C818" i="135" s="1"/>
  <c r="C818" i="139" s="1"/>
  <c r="E811" i="134"/>
  <c r="D813" i="135" s="1"/>
  <c r="D813" i="139" s="1"/>
  <c r="AR811" i="101"/>
  <c r="G806" i="101"/>
  <c r="C806" i="134" s="1"/>
  <c r="E808" i="135" s="1"/>
  <c r="E808" i="139" s="1"/>
  <c r="A806" i="135"/>
  <c r="A806" i="139" s="1"/>
  <c r="A804" i="134"/>
  <c r="E799" i="101"/>
  <c r="D799" i="134" s="1"/>
  <c r="C801" i="135" s="1"/>
  <c r="C801" i="139" s="1"/>
  <c r="F794" i="101"/>
  <c r="AS794" i="101" s="1"/>
  <c r="A789" i="134"/>
  <c r="A791" i="135"/>
  <c r="A791" i="139" s="1"/>
  <c r="A782" i="135"/>
  <c r="A782" i="139" s="1"/>
  <c r="A780" i="134"/>
  <c r="A770" i="134"/>
  <c r="A772" i="135"/>
  <c r="A772" i="139" s="1"/>
  <c r="G764" i="101"/>
  <c r="C764" i="134" s="1"/>
  <c r="E766" i="135" s="1"/>
  <c r="E766" i="139" s="1"/>
  <c r="B758" i="139"/>
  <c r="B756" i="134"/>
  <c r="B758" i="135"/>
  <c r="F754" i="101"/>
  <c r="AS754" i="101" s="1"/>
  <c r="A752" i="134"/>
  <c r="A754" i="135"/>
  <c r="A754" i="139" s="1"/>
  <c r="E747" i="134"/>
  <c r="D749" i="135" s="1"/>
  <c r="D749" i="139" s="1"/>
  <c r="AR747" i="101"/>
  <c r="B746" i="139"/>
  <c r="B744" i="134"/>
  <c r="B746" i="135"/>
  <c r="E736" i="101"/>
  <c r="D736" i="134" s="1"/>
  <c r="C738" i="135" s="1"/>
  <c r="C738" i="139" s="1"/>
  <c r="A734" i="134"/>
  <c r="A736" i="135"/>
  <c r="A736" i="139" s="1"/>
  <c r="E731" i="101"/>
  <c r="D731" i="134" s="1"/>
  <c r="C733" i="135" s="1"/>
  <c r="C733" i="139" s="1"/>
  <c r="E723" i="101"/>
  <c r="D723" i="134" s="1"/>
  <c r="C725" i="135" s="1"/>
  <c r="C725" i="139" s="1"/>
  <c r="F718" i="101"/>
  <c r="AS718" i="101" s="1"/>
  <c r="F716" i="101"/>
  <c r="AS716" i="101" s="1"/>
  <c r="B710" i="139"/>
  <c r="B708" i="134"/>
  <c r="B710" i="135"/>
  <c r="A705" i="134"/>
  <c r="A707" i="135"/>
  <c r="A707" i="139" s="1"/>
  <c r="A703" i="134"/>
  <c r="A705" i="135"/>
  <c r="A705" i="139" s="1"/>
  <c r="B699" i="139"/>
  <c r="B697" i="134"/>
  <c r="B699" i="135"/>
  <c r="F694" i="101"/>
  <c r="AS694" i="101" s="1"/>
  <c r="B693" i="139"/>
  <c r="B691" i="134"/>
  <c r="B693" i="135"/>
  <c r="G684" i="101"/>
  <c r="C684" i="134" s="1"/>
  <c r="E686" i="135" s="1"/>
  <c r="E686" i="139" s="1"/>
  <c r="A684" i="135"/>
  <c r="A684" i="139" s="1"/>
  <c r="A682" i="134"/>
  <c r="E679" i="101"/>
  <c r="D679" i="134" s="1"/>
  <c r="C681" i="135" s="1"/>
  <c r="C681" i="139" s="1"/>
  <c r="F674" i="101"/>
  <c r="AS674" i="101" s="1"/>
  <c r="B668" i="139"/>
  <c r="B666" i="134"/>
  <c r="B668" i="135"/>
  <c r="B660" i="139"/>
  <c r="B658" i="134"/>
  <c r="B660" i="135"/>
  <c r="A656" i="134"/>
  <c r="A658" i="135"/>
  <c r="A658" i="139" s="1"/>
  <c r="F639" i="101"/>
  <c r="AS639" i="101" s="1"/>
  <c r="E634" i="101"/>
  <c r="D634" i="134" s="1"/>
  <c r="C636" i="135" s="1"/>
  <c r="C636" i="139" s="1"/>
  <c r="B633" i="139"/>
  <c r="B631" i="134"/>
  <c r="B633" i="135"/>
  <c r="A629" i="134"/>
  <c r="A631" i="135"/>
  <c r="A631" i="139" s="1"/>
  <c r="G947" i="101"/>
  <c r="C947" i="134" s="1"/>
  <c r="E949" i="135" s="1"/>
  <c r="E949" i="139" s="1"/>
  <c r="B942" i="139"/>
  <c r="B940" i="134"/>
  <c r="B942" i="135"/>
  <c r="E938" i="101"/>
  <c r="D938" i="134" s="1"/>
  <c r="C940" i="135" s="1"/>
  <c r="C940" i="139" s="1"/>
  <c r="A932" i="134"/>
  <c r="A934" i="135"/>
  <c r="A934" i="139" s="1"/>
  <c r="B931" i="139"/>
  <c r="B929" i="134"/>
  <c r="B931" i="135"/>
  <c r="A920" i="134"/>
  <c r="A922" i="135"/>
  <c r="A922" i="139" s="1"/>
  <c r="B917" i="139"/>
  <c r="B915" i="134"/>
  <c r="B917" i="135"/>
  <c r="A911" i="134"/>
  <c r="A913" i="135"/>
  <c r="A913" i="139" s="1"/>
  <c r="B910" i="139"/>
  <c r="B908" i="134"/>
  <c r="B910" i="135"/>
  <c r="E906" i="101"/>
  <c r="D906" i="134" s="1"/>
  <c r="C908" i="135" s="1"/>
  <c r="C908" i="139" s="1"/>
  <c r="A904" i="135"/>
  <c r="A904" i="139" s="1"/>
  <c r="A902" i="134"/>
  <c r="A880" i="134"/>
  <c r="A882" i="135"/>
  <c r="A882" i="139" s="1"/>
  <c r="D872" i="101"/>
  <c r="A872" i="135"/>
  <c r="A872" i="139" s="1"/>
  <c r="A870" i="134"/>
  <c r="E867" i="101"/>
  <c r="D867" i="134" s="1"/>
  <c r="C869" i="135" s="1"/>
  <c r="C869" i="139" s="1"/>
  <c r="G862" i="101"/>
  <c r="C862" i="134" s="1"/>
  <c r="E864" i="135" s="1"/>
  <c r="E864" i="139" s="1"/>
  <c r="A858" i="134"/>
  <c r="A860" i="135"/>
  <c r="A860" i="139" s="1"/>
  <c r="B857" i="139"/>
  <c r="B855" i="134"/>
  <c r="B857" i="135"/>
  <c r="G848" i="101"/>
  <c r="C848" i="134" s="1"/>
  <c r="E850" i="135" s="1"/>
  <c r="E850" i="139" s="1"/>
  <c r="B841" i="139"/>
  <c r="B839" i="134"/>
  <c r="B841" i="135"/>
  <c r="G825" i="101"/>
  <c r="C825" i="134" s="1"/>
  <c r="E827" i="135" s="1"/>
  <c r="E827" i="139" s="1"/>
  <c r="A821" i="134"/>
  <c r="A823" i="135"/>
  <c r="A823" i="139" s="1"/>
  <c r="B820" i="139"/>
  <c r="B818" i="134"/>
  <c r="B820" i="135"/>
  <c r="D816" i="101"/>
  <c r="B815" i="139"/>
  <c r="B813" i="134"/>
  <c r="B815" i="135"/>
  <c r="A811" i="134"/>
  <c r="A813" i="135"/>
  <c r="A813" i="139" s="1"/>
  <c r="B810" i="139"/>
  <c r="B808" i="134"/>
  <c r="B810" i="135"/>
  <c r="A797" i="134"/>
  <c r="A799" i="135"/>
  <c r="A799" i="139" s="1"/>
  <c r="D794" i="134"/>
  <c r="C796" i="135" s="1"/>
  <c r="C796" i="139" s="1"/>
  <c r="G791" i="101"/>
  <c r="C791" i="134" s="1"/>
  <c r="E793" i="135" s="1"/>
  <c r="E793" i="139" s="1"/>
  <c r="B788" i="139"/>
  <c r="B786" i="134"/>
  <c r="B788" i="135"/>
  <c r="A782" i="134"/>
  <c r="A784" i="135"/>
  <c r="A784" i="139" s="1"/>
  <c r="B763" i="139"/>
  <c r="B761" i="134"/>
  <c r="B763" i="135"/>
  <c r="F756" i="101"/>
  <c r="AS756" i="101" s="1"/>
  <c r="E754" i="101"/>
  <c r="D754" i="134" s="1"/>
  <c r="C756" i="135" s="1"/>
  <c r="C756" i="139" s="1"/>
  <c r="A749" i="135"/>
  <c r="A749" i="139" s="1"/>
  <c r="A747" i="134"/>
  <c r="F744" i="101"/>
  <c r="AS744" i="101" s="1"/>
  <c r="D731" i="101"/>
  <c r="B730" i="139"/>
  <c r="B728" i="134"/>
  <c r="B730" i="135"/>
  <c r="A721" i="134"/>
  <c r="A723" i="135"/>
  <c r="A723" i="139" s="1"/>
  <c r="E718" i="101"/>
  <c r="D718" i="134" s="1"/>
  <c r="C720" i="135" s="1"/>
  <c r="C720" i="139" s="1"/>
  <c r="E716" i="101"/>
  <c r="D716" i="134" s="1"/>
  <c r="C718" i="135" s="1"/>
  <c r="C718" i="139" s="1"/>
  <c r="G713" i="101"/>
  <c r="C713" i="134" s="1"/>
  <c r="E715" i="135" s="1"/>
  <c r="E715" i="139" s="1"/>
  <c r="A708" i="134"/>
  <c r="A710" i="135"/>
  <c r="A710" i="139" s="1"/>
  <c r="A700" i="134"/>
  <c r="A702" i="135"/>
  <c r="A702" i="139" s="1"/>
  <c r="G697" i="101"/>
  <c r="C697" i="134" s="1"/>
  <c r="E699" i="135" s="1"/>
  <c r="E699" i="139" s="1"/>
  <c r="F691" i="101"/>
  <c r="AS691" i="101" s="1"/>
  <c r="F689" i="101"/>
  <c r="AS689" i="101" s="1"/>
  <c r="G689" i="101"/>
  <c r="C689" i="134" s="1"/>
  <c r="E691" i="135" s="1"/>
  <c r="E691" i="139" s="1"/>
  <c r="B688" i="139"/>
  <c r="B686" i="134"/>
  <c r="B688" i="135"/>
  <c r="F684" i="101"/>
  <c r="AS684" i="101" s="1"/>
  <c r="D679" i="101"/>
  <c r="E674" i="101"/>
  <c r="D674" i="134" s="1"/>
  <c r="C676" i="135" s="1"/>
  <c r="C676" i="139" s="1"/>
  <c r="A672" i="134"/>
  <c r="A674" i="135"/>
  <c r="A674" i="139" s="1"/>
  <c r="A669" i="134"/>
  <c r="A671" i="135"/>
  <c r="A671" i="139" s="1"/>
  <c r="E658" i="101"/>
  <c r="D658" i="134" s="1"/>
  <c r="C660" i="135" s="1"/>
  <c r="C660" i="139" s="1"/>
  <c r="F644" i="101"/>
  <c r="AS644" i="101" s="1"/>
  <c r="E644" i="101"/>
  <c r="D644" i="134" s="1"/>
  <c r="C646" i="135" s="1"/>
  <c r="C646" i="139" s="1"/>
  <c r="A642" i="134"/>
  <c r="A644" i="135"/>
  <c r="A644" i="139" s="1"/>
  <c r="E639" i="101"/>
  <c r="D639" i="134" s="1"/>
  <c r="C641" i="135" s="1"/>
  <c r="C641" i="139" s="1"/>
  <c r="B638" i="139"/>
  <c r="B636" i="134"/>
  <c r="B638" i="135"/>
  <c r="E631" i="101"/>
  <c r="D631" i="134" s="1"/>
  <c r="C633" i="135" s="1"/>
  <c r="C633" i="139" s="1"/>
  <c r="B593" i="139"/>
  <c r="B591" i="134"/>
  <c r="B593" i="135"/>
  <c r="B560" i="139"/>
  <c r="B560" i="135"/>
  <c r="B558" i="134"/>
  <c r="A556" i="134"/>
  <c r="A558" i="135"/>
  <c r="A558" i="139" s="1"/>
  <c r="B419" i="139"/>
  <c r="B417" i="134"/>
  <c r="B419" i="135"/>
  <c r="B944" i="139"/>
  <c r="B942" i="134"/>
  <c r="B944" i="135"/>
  <c r="B926" i="139"/>
  <c r="B924" i="134"/>
  <c r="B926" i="135"/>
  <c r="A920" i="135"/>
  <c r="A920" i="139" s="1"/>
  <c r="A918" i="134"/>
  <c r="A897" i="134"/>
  <c r="A899" i="135"/>
  <c r="A899" i="139" s="1"/>
  <c r="A887" i="134"/>
  <c r="A889" i="135"/>
  <c r="A889" i="139" s="1"/>
  <c r="A865" i="134"/>
  <c r="A867" i="135"/>
  <c r="A867" i="139" s="1"/>
  <c r="A853" i="135"/>
  <c r="A853" i="139" s="1"/>
  <c r="A851" i="134"/>
  <c r="B845" i="139"/>
  <c r="B843" i="134"/>
  <c r="B845" i="135"/>
  <c r="B843" i="139"/>
  <c r="B841" i="134"/>
  <c r="B843" i="135"/>
  <c r="A837" i="134"/>
  <c r="A839" i="135"/>
  <c r="A839" i="139" s="1"/>
  <c r="E816" i="134"/>
  <c r="D818" i="135" s="1"/>
  <c r="D818" i="139" s="1"/>
  <c r="AR816" i="101"/>
  <c r="G813" i="101"/>
  <c r="C813" i="134" s="1"/>
  <c r="E815" i="135" s="1"/>
  <c r="E815" i="139" s="1"/>
  <c r="G808" i="101"/>
  <c r="C808" i="134" s="1"/>
  <c r="E810" i="135" s="1"/>
  <c r="E810" i="139" s="1"/>
  <c r="B805" i="139"/>
  <c r="B803" i="134"/>
  <c r="B805" i="135"/>
  <c r="D794" i="101"/>
  <c r="E791" i="101"/>
  <c r="D791" i="134" s="1"/>
  <c r="C793" i="135" s="1"/>
  <c r="C793" i="139" s="1"/>
  <c r="B790" i="139"/>
  <c r="B788" i="134"/>
  <c r="B790" i="135"/>
  <c r="G786" i="101"/>
  <c r="C786" i="134" s="1"/>
  <c r="E788" i="135" s="1"/>
  <c r="E788" i="139" s="1"/>
  <c r="B781" i="139"/>
  <c r="B779" i="134"/>
  <c r="B781" i="135"/>
  <c r="E777" i="134"/>
  <c r="D779" i="135" s="1"/>
  <c r="D779" i="139" s="1"/>
  <c r="AR777" i="101"/>
  <c r="E774" i="101"/>
  <c r="D774" i="134" s="1"/>
  <c r="C776" i="135" s="1"/>
  <c r="C776" i="139" s="1"/>
  <c r="B769" i="139"/>
  <c r="B767" i="134"/>
  <c r="B769" i="135"/>
  <c r="G761" i="101"/>
  <c r="C761" i="134" s="1"/>
  <c r="E763" i="135" s="1"/>
  <c r="E763" i="139" s="1"/>
  <c r="A759" i="134"/>
  <c r="A761" i="135"/>
  <c r="A761" i="139" s="1"/>
  <c r="D756" i="101"/>
  <c r="B753" i="139"/>
  <c r="B751" i="134"/>
  <c r="B753" i="135"/>
  <c r="G738" i="101"/>
  <c r="C738" i="134" s="1"/>
  <c r="E740" i="135" s="1"/>
  <c r="E740" i="139" s="1"/>
  <c r="A736" i="134"/>
  <c r="A738" i="135"/>
  <c r="A738" i="139" s="1"/>
  <c r="B735" i="139"/>
  <c r="B733" i="134"/>
  <c r="B735" i="135"/>
  <c r="G728" i="101"/>
  <c r="C728" i="134" s="1"/>
  <c r="E730" i="135" s="1"/>
  <c r="E730" i="139" s="1"/>
  <c r="A726" i="134"/>
  <c r="A728" i="135"/>
  <c r="A728" i="139" s="1"/>
  <c r="A725" i="135"/>
  <c r="A725" i="139" s="1"/>
  <c r="A723" i="134"/>
  <c r="E713" i="134"/>
  <c r="D715" i="135" s="1"/>
  <c r="D715" i="139" s="1"/>
  <c r="AR713" i="101"/>
  <c r="B706" i="139"/>
  <c r="B704" i="134"/>
  <c r="B706" i="135"/>
  <c r="E697" i="134"/>
  <c r="D699" i="135" s="1"/>
  <c r="D699" i="139" s="1"/>
  <c r="AR697" i="101"/>
  <c r="A694" i="134"/>
  <c r="A696" i="135"/>
  <c r="A696" i="139" s="1"/>
  <c r="E691" i="101"/>
  <c r="D691" i="134" s="1"/>
  <c r="C693" i="135" s="1"/>
  <c r="C693" i="139" s="1"/>
  <c r="B691" i="139"/>
  <c r="B689" i="134"/>
  <c r="B691" i="135"/>
  <c r="G686" i="101"/>
  <c r="C686" i="134" s="1"/>
  <c r="E688" i="135" s="1"/>
  <c r="E688" i="139" s="1"/>
  <c r="E684" i="101"/>
  <c r="D684" i="134" s="1"/>
  <c r="C686" i="135" s="1"/>
  <c r="C686" i="139" s="1"/>
  <c r="B657" i="139"/>
  <c r="B655" i="134"/>
  <c r="B657" i="135"/>
  <c r="A647" i="134"/>
  <c r="A649" i="135"/>
  <c r="A649" i="139" s="1"/>
  <c r="B646" i="139"/>
  <c r="B644" i="134"/>
  <c r="B646" i="135"/>
  <c r="D636" i="134"/>
  <c r="C638" i="135" s="1"/>
  <c r="C638" i="139" s="1"/>
  <c r="D606" i="134"/>
  <c r="C608" i="135" s="1"/>
  <c r="C608" i="139" s="1"/>
  <c r="B590" i="139"/>
  <c r="B588" i="134"/>
  <c r="B590" i="135"/>
  <c r="B783" i="139"/>
  <c r="B781" i="134"/>
  <c r="B783" i="135"/>
  <c r="B779" i="139"/>
  <c r="B777" i="134"/>
  <c r="B779" i="135"/>
  <c r="A774" i="135"/>
  <c r="A774" i="139" s="1"/>
  <c r="A772" i="134"/>
  <c r="A767" i="134"/>
  <c r="A769" i="135"/>
  <c r="A769" i="139" s="1"/>
  <c r="A764" i="134"/>
  <c r="A766" i="135"/>
  <c r="A766" i="139" s="1"/>
  <c r="E751" i="134"/>
  <c r="D753" i="135" s="1"/>
  <c r="D753" i="139" s="1"/>
  <c r="AR751" i="101"/>
  <c r="A749" i="134"/>
  <c r="A751" i="135"/>
  <c r="A751" i="139" s="1"/>
  <c r="A744" i="134"/>
  <c r="A746" i="135"/>
  <c r="A746" i="139" s="1"/>
  <c r="B743" i="139"/>
  <c r="B741" i="134"/>
  <c r="B743" i="135"/>
  <c r="F738" i="101"/>
  <c r="AS738" i="101" s="1"/>
  <c r="A731" i="134"/>
  <c r="A733" i="135"/>
  <c r="A733" i="139" s="1"/>
  <c r="B722" i="139"/>
  <c r="B720" i="134"/>
  <c r="B722" i="135"/>
  <c r="A718" i="134"/>
  <c r="A720" i="135"/>
  <c r="A720" i="139" s="1"/>
  <c r="B715" i="139"/>
  <c r="B713" i="134"/>
  <c r="B715" i="135"/>
  <c r="B712" i="139"/>
  <c r="B710" i="134"/>
  <c r="B712" i="135"/>
  <c r="B709" i="139"/>
  <c r="B707" i="134"/>
  <c r="B709" i="135"/>
  <c r="B701" i="139"/>
  <c r="B699" i="134"/>
  <c r="B701" i="135"/>
  <c r="A697" i="134"/>
  <c r="A699" i="135"/>
  <c r="A699" i="139" s="1"/>
  <c r="A689" i="134"/>
  <c r="A691" i="135"/>
  <c r="A691" i="139" s="1"/>
  <c r="B681" i="139"/>
  <c r="B679" i="134"/>
  <c r="B681" i="135"/>
  <c r="B673" i="139"/>
  <c r="B671" i="134"/>
  <c r="B673" i="135"/>
  <c r="B665" i="139"/>
  <c r="B663" i="134"/>
  <c r="B665" i="135"/>
  <c r="B662" i="139"/>
  <c r="B660" i="134"/>
  <c r="B662" i="135"/>
  <c r="G658" i="101"/>
  <c r="C658" i="134" s="1"/>
  <c r="E660" i="135" s="1"/>
  <c r="E660" i="139" s="1"/>
  <c r="F658" i="101"/>
  <c r="D655" i="101"/>
  <c r="F655" i="101"/>
  <c r="AS655" i="101" s="1"/>
  <c r="A652" i="134"/>
  <c r="A654" i="135"/>
  <c r="A654" i="139" s="1"/>
  <c r="B651" i="139"/>
  <c r="B649" i="134"/>
  <c r="B651" i="135"/>
  <c r="A644" i="134"/>
  <c r="A646" i="135"/>
  <c r="A646" i="139" s="1"/>
  <c r="G631" i="101"/>
  <c r="C631" i="134" s="1"/>
  <c r="E633" i="135" s="1"/>
  <c r="E633" i="139" s="1"/>
  <c r="F631" i="101"/>
  <c r="AS631" i="101" s="1"/>
  <c r="B608" i="139"/>
  <c r="B606" i="134"/>
  <c r="B608" i="135"/>
  <c r="B327" i="139"/>
  <c r="B325" i="134"/>
  <c r="B327" i="135"/>
  <c r="A777" i="134"/>
  <c r="A779" i="135"/>
  <c r="A779" i="139" s="1"/>
  <c r="B776" i="139"/>
  <c r="B776" i="135"/>
  <c r="B774" i="134"/>
  <c r="B771" i="139"/>
  <c r="B769" i="134"/>
  <c r="B771" i="135"/>
  <c r="B760" i="139"/>
  <c r="B758" i="134"/>
  <c r="B760" i="135"/>
  <c r="A754" i="134"/>
  <c r="A756" i="135"/>
  <c r="A756" i="139" s="1"/>
  <c r="B724" i="139"/>
  <c r="B722" i="134"/>
  <c r="B724" i="135"/>
  <c r="A716" i="134"/>
  <c r="A718" i="135"/>
  <c r="A718" i="139" s="1"/>
  <c r="A713" i="134"/>
  <c r="A715" i="135"/>
  <c r="A715" i="139" s="1"/>
  <c r="A710" i="134"/>
  <c r="A712" i="135"/>
  <c r="A712" i="139" s="1"/>
  <c r="E704" i="134"/>
  <c r="D706" i="135" s="1"/>
  <c r="D706" i="139" s="1"/>
  <c r="AR704" i="101"/>
  <c r="A691" i="134"/>
  <c r="A693" i="135"/>
  <c r="A693" i="139" s="1"/>
  <c r="A679" i="134"/>
  <c r="A681" i="135"/>
  <c r="A681" i="139" s="1"/>
  <c r="A674" i="134"/>
  <c r="A676" i="135"/>
  <c r="A676" i="139" s="1"/>
  <c r="A666" i="134"/>
  <c r="A668" i="135"/>
  <c r="A668" i="139" s="1"/>
  <c r="A663" i="134"/>
  <c r="A665" i="135"/>
  <c r="A665" i="139" s="1"/>
  <c r="A655" i="134"/>
  <c r="A657" i="135"/>
  <c r="A657" i="139" s="1"/>
  <c r="A649" i="134"/>
  <c r="A651" i="135"/>
  <c r="A651" i="139" s="1"/>
  <c r="A639" i="134"/>
  <c r="A641" i="135"/>
  <c r="A641" i="139" s="1"/>
  <c r="A631" i="134"/>
  <c r="A633" i="135"/>
  <c r="A633" i="139" s="1"/>
  <c r="D547" i="134"/>
  <c r="C549" i="135" s="1"/>
  <c r="C549" i="139" s="1"/>
  <c r="D537" i="134"/>
  <c r="C539" i="135" s="1"/>
  <c r="C539" i="139" s="1"/>
  <c r="B840" i="139"/>
  <c r="B838" i="134"/>
  <c r="B840" i="135"/>
  <c r="B836" i="139"/>
  <c r="B834" i="134"/>
  <c r="B836" i="135"/>
  <c r="A832" i="134"/>
  <c r="A834" i="135"/>
  <c r="A834" i="139" s="1"/>
  <c r="B831" i="139"/>
  <c r="B829" i="134"/>
  <c r="B831" i="135"/>
  <c r="A801" i="134"/>
  <c r="A803" i="135"/>
  <c r="A803" i="139" s="1"/>
  <c r="A794" i="134"/>
  <c r="A796" i="135"/>
  <c r="A796" i="139" s="1"/>
  <c r="A791" i="134"/>
  <c r="A793" i="135"/>
  <c r="A793" i="139" s="1"/>
  <c r="B786" i="139"/>
  <c r="B784" i="134"/>
  <c r="B786" i="135"/>
  <c r="D779" i="101"/>
  <c r="A774" i="134"/>
  <c r="A776" i="135"/>
  <c r="A776" i="139" s="1"/>
  <c r="B773" i="139"/>
  <c r="B771" i="134"/>
  <c r="B773" i="135"/>
  <c r="A769" i="134"/>
  <c r="A771" i="135"/>
  <c r="A771" i="139" s="1"/>
  <c r="B768" i="139"/>
  <c r="B766" i="134"/>
  <c r="B768" i="135"/>
  <c r="B765" i="139"/>
  <c r="B763" i="134"/>
  <c r="B765" i="135"/>
  <c r="D758" i="101"/>
  <c r="F758" i="101"/>
  <c r="AS758" i="101" s="1"/>
  <c r="E751" i="101"/>
  <c r="D751" i="134" s="1"/>
  <c r="C753" i="135" s="1"/>
  <c r="C753" i="139" s="1"/>
  <c r="G751" i="101"/>
  <c r="C751" i="134" s="1"/>
  <c r="E753" i="135" s="1"/>
  <c r="E753" i="139" s="1"/>
  <c r="B745" i="139"/>
  <c r="B745" i="135"/>
  <c r="B743" i="134"/>
  <c r="A741" i="134"/>
  <c r="A743" i="135"/>
  <c r="A743" i="139" s="1"/>
  <c r="F735" i="101"/>
  <c r="AS735" i="101" s="1"/>
  <c r="A733" i="134"/>
  <c r="A735" i="135"/>
  <c r="A735" i="139" s="1"/>
  <c r="F725" i="101"/>
  <c r="AS725" i="101" s="1"/>
  <c r="G722" i="101"/>
  <c r="C722" i="134" s="1"/>
  <c r="E724" i="135" s="1"/>
  <c r="E724" i="139" s="1"/>
  <c r="D720" i="101"/>
  <c r="A684" i="134"/>
  <c r="A686" i="135"/>
  <c r="A686" i="139" s="1"/>
  <c r="B670" i="139"/>
  <c r="B668" i="134"/>
  <c r="B670" i="135"/>
  <c r="B653" i="139"/>
  <c r="B651" i="134"/>
  <c r="B653" i="135"/>
  <c r="G646" i="101"/>
  <c r="C646" i="134" s="1"/>
  <c r="E648" i="135" s="1"/>
  <c r="E648" i="139" s="1"/>
  <c r="B645" i="139"/>
  <c r="B643" i="134"/>
  <c r="B645" i="135"/>
  <c r="B635" i="139"/>
  <c r="B633" i="134"/>
  <c r="B635" i="135"/>
  <c r="B610" i="139"/>
  <c r="B608" i="134"/>
  <c r="B610" i="135"/>
  <c r="A604" i="134"/>
  <c r="A606" i="135"/>
  <c r="A606" i="139" s="1"/>
  <c r="B592" i="139"/>
  <c r="B590" i="134"/>
  <c r="B592" i="135"/>
  <c r="D588" i="134"/>
  <c r="C590" i="135" s="1"/>
  <c r="C590" i="139" s="1"/>
  <c r="A521" i="134"/>
  <c r="A523" i="135"/>
  <c r="A523" i="139" s="1"/>
  <c r="A477" i="134"/>
  <c r="A479" i="135"/>
  <c r="A479" i="139" s="1"/>
  <c r="AR420" i="101"/>
  <c r="A803" i="134"/>
  <c r="A805" i="135"/>
  <c r="A805" i="139" s="1"/>
  <c r="A796" i="134"/>
  <c r="A798" i="135"/>
  <c r="A798" i="139" s="1"/>
  <c r="A784" i="134"/>
  <c r="A786" i="135"/>
  <c r="A786" i="139" s="1"/>
  <c r="E779" i="134"/>
  <c r="D781" i="135" s="1"/>
  <c r="D781" i="139" s="1"/>
  <c r="AR779" i="101"/>
  <c r="B778" i="139"/>
  <c r="B776" i="134"/>
  <c r="B778" i="135"/>
  <c r="E766" i="134"/>
  <c r="D768" i="135" s="1"/>
  <c r="D768" i="139" s="1"/>
  <c r="AR766" i="101"/>
  <c r="A758" i="134"/>
  <c r="A760" i="135"/>
  <c r="A760" i="139" s="1"/>
  <c r="B757" i="139"/>
  <c r="B755" i="134"/>
  <c r="B757" i="135"/>
  <c r="B755" i="139"/>
  <c r="B753" i="134"/>
  <c r="B755" i="135"/>
  <c r="A751" i="134"/>
  <c r="A753" i="135"/>
  <c r="A753" i="139" s="1"/>
  <c r="F730" i="101"/>
  <c r="AS730" i="101" s="1"/>
  <c r="F722" i="101"/>
  <c r="AS722" i="101" s="1"/>
  <c r="E720" i="134"/>
  <c r="D722" i="135" s="1"/>
  <c r="D722" i="139" s="1"/>
  <c r="AR720" i="101"/>
  <c r="G717" i="101"/>
  <c r="C717" i="134" s="1"/>
  <c r="E719" i="135" s="1"/>
  <c r="E719" i="139" s="1"/>
  <c r="B717" i="139"/>
  <c r="B715" i="134"/>
  <c r="B717" i="135"/>
  <c r="B714" i="139"/>
  <c r="B712" i="134"/>
  <c r="B714" i="135"/>
  <c r="B711" i="139"/>
  <c r="B709" i="134"/>
  <c r="B711" i="135"/>
  <c r="A707" i="134"/>
  <c r="A709" i="135"/>
  <c r="A709" i="139" s="1"/>
  <c r="B704" i="139"/>
  <c r="B702" i="134"/>
  <c r="B704" i="135"/>
  <c r="E699" i="101"/>
  <c r="D699" i="134" s="1"/>
  <c r="C701" i="135" s="1"/>
  <c r="C701" i="139" s="1"/>
  <c r="B692" i="139"/>
  <c r="B690" i="134"/>
  <c r="B692" i="135"/>
  <c r="E688" i="101"/>
  <c r="D688" i="134" s="1"/>
  <c r="C690" i="135" s="1"/>
  <c r="C690" i="139" s="1"/>
  <c r="A686" i="134"/>
  <c r="A688" i="135"/>
  <c r="A688" i="139" s="1"/>
  <c r="B683" i="139"/>
  <c r="B681" i="134"/>
  <c r="B683" i="135"/>
  <c r="A671" i="134"/>
  <c r="A673" i="135"/>
  <c r="A673" i="139" s="1"/>
  <c r="A668" i="134"/>
  <c r="A670" i="135"/>
  <c r="A670" i="139" s="1"/>
  <c r="B667" i="139"/>
  <c r="B665" i="134"/>
  <c r="B667" i="135"/>
  <c r="B659" i="139"/>
  <c r="B657" i="134"/>
  <c r="B659" i="135"/>
  <c r="B656" i="139"/>
  <c r="B654" i="134"/>
  <c r="B656" i="135"/>
  <c r="G651" i="101"/>
  <c r="C651" i="134" s="1"/>
  <c r="E653" i="135" s="1"/>
  <c r="E653" i="139" s="1"/>
  <c r="B650" i="139"/>
  <c r="B648" i="134"/>
  <c r="B650" i="135"/>
  <c r="E646" i="134"/>
  <c r="D648" i="135" s="1"/>
  <c r="D648" i="139" s="1"/>
  <c r="AR646" i="101"/>
  <c r="G643" i="101"/>
  <c r="C643" i="134" s="1"/>
  <c r="E645" i="135" s="1"/>
  <c r="E645" i="139" s="1"/>
  <c r="A641" i="134"/>
  <c r="A643" i="135"/>
  <c r="A643" i="139" s="1"/>
  <c r="B640" i="139"/>
  <c r="B638" i="134"/>
  <c r="B640" i="135"/>
  <c r="B632" i="139"/>
  <c r="B630" i="134"/>
  <c r="B632" i="135"/>
  <c r="B279" i="139"/>
  <c r="B277" i="134"/>
  <c r="B279" i="135"/>
  <c r="A942" i="134"/>
  <c r="A944" i="135"/>
  <c r="A944" i="139" s="1"/>
  <c r="A940" i="134"/>
  <c r="A942" i="135"/>
  <c r="A942" i="139" s="1"/>
  <c r="A929" i="134"/>
  <c r="A931" i="135"/>
  <c r="A931" i="139" s="1"/>
  <c r="E917" i="134"/>
  <c r="D919" i="135" s="1"/>
  <c r="D919" i="139" s="1"/>
  <c r="AR917" i="101"/>
  <c r="A910" i="134"/>
  <c r="A912" i="135"/>
  <c r="A912" i="139" s="1"/>
  <c r="A908" i="134"/>
  <c r="A910" i="135"/>
  <c r="A910" i="139" s="1"/>
  <c r="A894" i="134"/>
  <c r="A896" i="135"/>
  <c r="A896" i="139" s="1"/>
  <c r="B890" i="139"/>
  <c r="B888" i="134"/>
  <c r="B890" i="135"/>
  <c r="B886" i="139"/>
  <c r="B884" i="134"/>
  <c r="B886" i="135"/>
  <c r="A869" i="134"/>
  <c r="A871" i="135"/>
  <c r="A871" i="139" s="1"/>
  <c r="A862" i="134"/>
  <c r="A864" i="135"/>
  <c r="A864" i="139" s="1"/>
  <c r="A855" i="134"/>
  <c r="A857" i="135"/>
  <c r="A857" i="139" s="1"/>
  <c r="A836" i="134"/>
  <c r="A838" i="135"/>
  <c r="A838" i="139" s="1"/>
  <c r="B833" i="139"/>
  <c r="B831" i="134"/>
  <c r="B833" i="135"/>
  <c r="E829" i="134"/>
  <c r="D831" i="135" s="1"/>
  <c r="D831" i="139" s="1"/>
  <c r="AR829" i="101"/>
  <c r="A827" i="134"/>
  <c r="A829" i="135"/>
  <c r="A829" i="139" s="1"/>
  <c r="A825" i="134"/>
  <c r="A827" i="135"/>
  <c r="A827" i="139" s="1"/>
  <c r="A818" i="134"/>
  <c r="A820" i="135"/>
  <c r="A820" i="139" s="1"/>
  <c r="A813" i="134"/>
  <c r="A815" i="135"/>
  <c r="A815" i="139" s="1"/>
  <c r="A810" i="134"/>
  <c r="A812" i="135"/>
  <c r="A812" i="139" s="1"/>
  <c r="A808" i="134"/>
  <c r="A810" i="135"/>
  <c r="A810" i="139" s="1"/>
  <c r="B802" i="139"/>
  <c r="B800" i="134"/>
  <c r="B802" i="135"/>
  <c r="B795" i="139"/>
  <c r="B793" i="134"/>
  <c r="B795" i="135"/>
  <c r="B792" i="139"/>
  <c r="B790" i="134"/>
  <c r="B792" i="135"/>
  <c r="A786" i="134"/>
  <c r="A788" i="135"/>
  <c r="A788" i="139" s="1"/>
  <c r="A779" i="134"/>
  <c r="A781" i="135"/>
  <c r="A781" i="139" s="1"/>
  <c r="F776" i="101"/>
  <c r="AS776" i="101" s="1"/>
  <c r="D766" i="101"/>
  <c r="D766" i="134"/>
  <c r="C768" i="135" s="1"/>
  <c r="C768" i="139" s="1"/>
  <c r="B762" i="139"/>
  <c r="B760" i="134"/>
  <c r="B762" i="135"/>
  <c r="G755" i="101"/>
  <c r="C755" i="134" s="1"/>
  <c r="E757" i="135" s="1"/>
  <c r="E757" i="139" s="1"/>
  <c r="G753" i="101"/>
  <c r="C753" i="134" s="1"/>
  <c r="E755" i="135" s="1"/>
  <c r="E755" i="139" s="1"/>
  <c r="E748" i="101"/>
  <c r="D748" i="134" s="1"/>
  <c r="C750" i="135" s="1"/>
  <c r="C750" i="139" s="1"/>
  <c r="F743" i="101"/>
  <c r="AS743" i="101" s="1"/>
  <c r="A738" i="134"/>
  <c r="A740" i="135"/>
  <c r="A740" i="139" s="1"/>
  <c r="D735" i="101"/>
  <c r="E730" i="101"/>
  <c r="D730" i="134" s="1"/>
  <c r="C732" i="135" s="1"/>
  <c r="C732" i="139" s="1"/>
  <c r="A728" i="134"/>
  <c r="A730" i="135"/>
  <c r="A730" i="139" s="1"/>
  <c r="E722" i="101"/>
  <c r="D722" i="134" s="1"/>
  <c r="C724" i="135" s="1"/>
  <c r="C724" i="139" s="1"/>
  <c r="A720" i="134"/>
  <c r="A722" i="135"/>
  <c r="A722" i="139" s="1"/>
  <c r="F717" i="101"/>
  <c r="AS717" i="101" s="1"/>
  <c r="G709" i="101"/>
  <c r="C709" i="134" s="1"/>
  <c r="E711" i="135" s="1"/>
  <c r="E711" i="139" s="1"/>
  <c r="A702" i="134"/>
  <c r="A704" i="135"/>
  <c r="A704" i="139" s="1"/>
  <c r="B685" i="139"/>
  <c r="B683" i="134"/>
  <c r="B685" i="135"/>
  <c r="F665" i="101"/>
  <c r="AS665" i="101" s="1"/>
  <c r="G665" i="101"/>
  <c r="C665" i="134" s="1"/>
  <c r="E667" i="135" s="1"/>
  <c r="E667" i="139" s="1"/>
  <c r="G657" i="101"/>
  <c r="C657" i="134" s="1"/>
  <c r="E659" i="135" s="1"/>
  <c r="E659" i="139" s="1"/>
  <c r="E651" i="101"/>
  <c r="D651" i="134" s="1"/>
  <c r="C653" i="135" s="1"/>
  <c r="C653" i="139" s="1"/>
  <c r="G648" i="101"/>
  <c r="C648" i="134" s="1"/>
  <c r="E650" i="135" s="1"/>
  <c r="E650" i="139" s="1"/>
  <c r="E643" i="101"/>
  <c r="D643" i="134" s="1"/>
  <c r="C645" i="135" s="1"/>
  <c r="C645" i="139" s="1"/>
  <c r="B637" i="139"/>
  <c r="B635" i="134"/>
  <c r="B637" i="135"/>
  <c r="A633" i="134"/>
  <c r="A635" i="135"/>
  <c r="A635" i="139" s="1"/>
  <c r="E630" i="134"/>
  <c r="D632" i="135" s="1"/>
  <c r="D632" i="139" s="1"/>
  <c r="AR630" i="101"/>
  <c r="D557" i="134"/>
  <c r="C559" i="135" s="1"/>
  <c r="C559" i="139" s="1"/>
  <c r="A555" i="134"/>
  <c r="A557" i="135"/>
  <c r="A557" i="139" s="1"/>
  <c r="B800" i="139"/>
  <c r="B798" i="134"/>
  <c r="B800" i="135"/>
  <c r="B797" i="139"/>
  <c r="B797" i="135"/>
  <c r="B795" i="134"/>
  <c r="E793" i="134"/>
  <c r="D795" i="135" s="1"/>
  <c r="D795" i="139" s="1"/>
  <c r="AR793" i="101"/>
  <c r="A788" i="134"/>
  <c r="A790" i="135"/>
  <c r="A790" i="139" s="1"/>
  <c r="B785" i="139"/>
  <c r="B783" i="134"/>
  <c r="B785" i="135"/>
  <c r="A771" i="134"/>
  <c r="A773" i="135"/>
  <c r="A773" i="139" s="1"/>
  <c r="A766" i="134"/>
  <c r="A768" i="135"/>
  <c r="A768" i="139" s="1"/>
  <c r="F755" i="101"/>
  <c r="AS755" i="101" s="1"/>
  <c r="D730" i="101"/>
  <c r="A725" i="134"/>
  <c r="A727" i="135"/>
  <c r="A727" i="139" s="1"/>
  <c r="A715" i="134"/>
  <c r="A717" i="135"/>
  <c r="A717" i="139" s="1"/>
  <c r="A712" i="134"/>
  <c r="A714" i="135"/>
  <c r="A714" i="139" s="1"/>
  <c r="E709" i="101"/>
  <c r="D709" i="134" s="1"/>
  <c r="C711" i="135" s="1"/>
  <c r="C711" i="139" s="1"/>
  <c r="B708" i="139"/>
  <c r="B706" i="134"/>
  <c r="B708" i="135"/>
  <c r="A704" i="134"/>
  <c r="A706" i="135"/>
  <c r="A706" i="139" s="1"/>
  <c r="A696" i="134"/>
  <c r="A698" i="135"/>
  <c r="A698" i="139" s="1"/>
  <c r="E690" i="134"/>
  <c r="D692" i="135" s="1"/>
  <c r="D692" i="139" s="1"/>
  <c r="AR690" i="101"/>
  <c r="B687" i="139"/>
  <c r="B685" i="134"/>
  <c r="B687" i="135"/>
  <c r="D683" i="101"/>
  <c r="B680" i="139"/>
  <c r="B678" i="134"/>
  <c r="B680" i="135"/>
  <c r="A676" i="134"/>
  <c r="A678" i="135"/>
  <c r="A678" i="139" s="1"/>
  <c r="B675" i="139"/>
  <c r="B673" i="134"/>
  <c r="B675" i="135"/>
  <c r="A665" i="134"/>
  <c r="A667" i="135"/>
  <c r="A667" i="139" s="1"/>
  <c r="B661" i="139"/>
  <c r="B659" i="134"/>
  <c r="B661" i="135"/>
  <c r="E657" i="101"/>
  <c r="D657" i="134" s="1"/>
  <c r="C659" i="135" s="1"/>
  <c r="C659" i="139" s="1"/>
  <c r="A654" i="134"/>
  <c r="A656" i="135"/>
  <c r="A656" i="139" s="1"/>
  <c r="D651" i="101"/>
  <c r="F648" i="101"/>
  <c r="AS648" i="101" s="1"/>
  <c r="A646" i="134"/>
  <c r="A648" i="135"/>
  <c r="A648" i="139" s="1"/>
  <c r="D643" i="101"/>
  <c r="A638" i="134"/>
  <c r="A640" i="135"/>
  <c r="A640" i="139" s="1"/>
  <c r="A630" i="134"/>
  <c r="A632" i="135"/>
  <c r="A632" i="139" s="1"/>
  <c r="B498" i="139"/>
  <c r="B496" i="134"/>
  <c r="B498" i="135"/>
  <c r="A494" i="134"/>
  <c r="A496" i="135"/>
  <c r="A496" i="139" s="1"/>
  <c r="D479" i="134"/>
  <c r="C481" i="135" s="1"/>
  <c r="C481" i="139" s="1"/>
  <c r="B451" i="139"/>
  <c r="B449" i="134"/>
  <c r="B451" i="135"/>
  <c r="B219" i="139"/>
  <c r="B217" i="134"/>
  <c r="B219" i="135"/>
  <c r="B721" i="139"/>
  <c r="B719" i="134"/>
  <c r="B721" i="135"/>
  <c r="B703" i="139"/>
  <c r="B701" i="134"/>
  <c r="B703" i="135"/>
  <c r="A699" i="134"/>
  <c r="A701" i="135"/>
  <c r="A701" i="139" s="1"/>
  <c r="A693" i="134"/>
  <c r="A695" i="135"/>
  <c r="A695" i="139" s="1"/>
  <c r="B690" i="139"/>
  <c r="B688" i="134"/>
  <c r="B690" i="135"/>
  <c r="B682" i="139"/>
  <c r="B680" i="134"/>
  <c r="B682" i="135"/>
  <c r="A678" i="134"/>
  <c r="A680" i="135"/>
  <c r="A680" i="139" s="1"/>
  <c r="A673" i="134"/>
  <c r="A675" i="135"/>
  <c r="A675" i="139" s="1"/>
  <c r="A662" i="134"/>
  <c r="A664" i="135"/>
  <c r="A664" i="139" s="1"/>
  <c r="E651" i="134"/>
  <c r="D653" i="135" s="1"/>
  <c r="D653" i="139" s="1"/>
  <c r="AR651" i="101"/>
  <c r="E643" i="134"/>
  <c r="D645" i="135" s="1"/>
  <c r="D645" i="139" s="1"/>
  <c r="AR643" i="101"/>
  <c r="B634" i="139"/>
  <c r="B632" i="134"/>
  <c r="B634" i="135"/>
  <c r="B561" i="139"/>
  <c r="B559" i="134"/>
  <c r="B561" i="135"/>
  <c r="B529" i="139"/>
  <c r="B527" i="134"/>
  <c r="B529" i="135"/>
  <c r="A523" i="134"/>
  <c r="A525" i="135"/>
  <c r="A525" i="139" s="1"/>
  <c r="A822" i="135"/>
  <c r="A822" i="139" s="1"/>
  <c r="A820" i="134"/>
  <c r="B817" i="139"/>
  <c r="B815" i="134"/>
  <c r="B817" i="135"/>
  <c r="A805" i="134"/>
  <c r="A807" i="135"/>
  <c r="A807" i="139" s="1"/>
  <c r="F795" i="101"/>
  <c r="AS795" i="101" s="1"/>
  <c r="A773" i="134"/>
  <c r="A775" i="135"/>
  <c r="A775" i="139" s="1"/>
  <c r="B772" i="139"/>
  <c r="B770" i="134"/>
  <c r="B772" i="135"/>
  <c r="A763" i="134"/>
  <c r="A765" i="135"/>
  <c r="A765" i="139" s="1"/>
  <c r="D757" i="134"/>
  <c r="C759" i="135" s="1"/>
  <c r="C759" i="139" s="1"/>
  <c r="A748" i="134"/>
  <c r="A750" i="135"/>
  <c r="A750" i="139" s="1"/>
  <c r="A740" i="134"/>
  <c r="A742" i="135"/>
  <c r="A742" i="139" s="1"/>
  <c r="A735" i="134"/>
  <c r="A737" i="135"/>
  <c r="A737" i="139" s="1"/>
  <c r="B732" i="139"/>
  <c r="B730" i="134"/>
  <c r="B732" i="135"/>
  <c r="B726" i="139"/>
  <c r="B724" i="134"/>
  <c r="B726" i="135"/>
  <c r="A722" i="134"/>
  <c r="A724" i="135"/>
  <c r="A724" i="139" s="1"/>
  <c r="B716" i="139"/>
  <c r="B714" i="134"/>
  <c r="B716" i="135"/>
  <c r="B713" i="139"/>
  <c r="B711" i="134"/>
  <c r="B713" i="135"/>
  <c r="A709" i="134"/>
  <c r="A711" i="135"/>
  <c r="A711" i="139" s="1"/>
  <c r="E685" i="101"/>
  <c r="D685" i="134" s="1"/>
  <c r="C687" i="135" s="1"/>
  <c r="C687" i="139" s="1"/>
  <c r="A683" i="134"/>
  <c r="A685" i="135"/>
  <c r="A685" i="139" s="1"/>
  <c r="D670" i="101"/>
  <c r="F670" i="101"/>
  <c r="AS670" i="101" s="1"/>
  <c r="E657" i="134"/>
  <c r="D659" i="135" s="1"/>
  <c r="D659" i="139" s="1"/>
  <c r="AR657" i="101"/>
  <c r="B655" i="139"/>
  <c r="B653" i="134"/>
  <c r="B655" i="135"/>
  <c r="A651" i="134"/>
  <c r="A653" i="135"/>
  <c r="A653" i="139" s="1"/>
  <c r="B647" i="139"/>
  <c r="B645" i="134"/>
  <c r="B647" i="135"/>
  <c r="D640" i="101"/>
  <c r="G640" i="101"/>
  <c r="C640" i="134" s="1"/>
  <c r="E642" i="135" s="1"/>
  <c r="E642" i="139" s="1"/>
  <c r="F640" i="101"/>
  <c r="AS640" i="101" s="1"/>
  <c r="B639" i="139"/>
  <c r="B637" i="134"/>
  <c r="B639" i="135"/>
  <c r="F635" i="101"/>
  <c r="AS635" i="101" s="1"/>
  <c r="E635" i="101"/>
  <c r="D635" i="134" s="1"/>
  <c r="C637" i="135" s="1"/>
  <c r="C637" i="139" s="1"/>
  <c r="B631" i="139"/>
  <c r="B629" i="134"/>
  <c r="B631" i="135"/>
  <c r="A603" i="134"/>
  <c r="A605" i="135"/>
  <c r="A605" i="139" s="1"/>
  <c r="A585" i="134"/>
  <c r="A587" i="135"/>
  <c r="A587" i="139" s="1"/>
  <c r="B389" i="139"/>
  <c r="B387" i="134"/>
  <c r="B389" i="135"/>
  <c r="B794" i="139"/>
  <c r="B792" i="134"/>
  <c r="B794" i="135"/>
  <c r="E783" i="101"/>
  <c r="D783" i="134" s="1"/>
  <c r="C785" i="135" s="1"/>
  <c r="C785" i="139" s="1"/>
  <c r="G783" i="101"/>
  <c r="C783" i="134" s="1"/>
  <c r="E785" i="135" s="1"/>
  <c r="E785" i="139" s="1"/>
  <c r="E778" i="134"/>
  <c r="D780" i="135" s="1"/>
  <c r="D780" i="139" s="1"/>
  <c r="B777" i="139"/>
  <c r="B775" i="134"/>
  <c r="B777" i="135"/>
  <c r="A762" i="135"/>
  <c r="A762" i="139" s="1"/>
  <c r="A760" i="134"/>
  <c r="A753" i="134"/>
  <c r="A755" i="135"/>
  <c r="A755" i="139" s="1"/>
  <c r="A750" i="134"/>
  <c r="A752" i="135"/>
  <c r="A752" i="139" s="1"/>
  <c r="A743" i="134"/>
  <c r="A745" i="135"/>
  <c r="A745" i="139" s="1"/>
  <c r="A737" i="134"/>
  <c r="A739" i="135"/>
  <c r="A739" i="139" s="1"/>
  <c r="B734" i="139"/>
  <c r="B732" i="134"/>
  <c r="B734" i="135"/>
  <c r="A730" i="134"/>
  <c r="A732" i="135"/>
  <c r="A732" i="139" s="1"/>
  <c r="E724" i="134"/>
  <c r="D726" i="135" s="1"/>
  <c r="D726" i="139" s="1"/>
  <c r="AR724" i="101"/>
  <c r="B719" i="139"/>
  <c r="B717" i="134"/>
  <c r="B719" i="135"/>
  <c r="A706" i="134"/>
  <c r="A708" i="135"/>
  <c r="A708" i="139" s="1"/>
  <c r="B679" i="139"/>
  <c r="B677" i="134"/>
  <c r="B679" i="135"/>
  <c r="B674" i="139"/>
  <c r="B672" i="134"/>
  <c r="B674" i="135"/>
  <c r="B672" i="139"/>
  <c r="B670" i="134"/>
  <c r="B672" i="135"/>
  <c r="A657" i="134"/>
  <c r="A659" i="135"/>
  <c r="A659" i="139" s="1"/>
  <c r="B642" i="139"/>
  <c r="B640" i="134"/>
  <c r="B642" i="135"/>
  <c r="A635" i="134"/>
  <c r="A637" i="135"/>
  <c r="A637" i="139" s="1"/>
  <c r="B611" i="139"/>
  <c r="B609" i="134"/>
  <c r="B611" i="135"/>
  <c r="AS785" i="101"/>
  <c r="G785" i="101"/>
  <c r="C785" i="134" s="1"/>
  <c r="E787" i="135" s="1"/>
  <c r="E787" i="139" s="1"/>
  <c r="A785" i="135"/>
  <c r="A785" i="139" s="1"/>
  <c r="A783" i="134"/>
  <c r="B767" i="139"/>
  <c r="B765" i="134"/>
  <c r="B767" i="135"/>
  <c r="A755" i="134"/>
  <c r="A757" i="135"/>
  <c r="A757" i="139" s="1"/>
  <c r="B749" i="139"/>
  <c r="B749" i="135"/>
  <c r="B747" i="134"/>
  <c r="E745" i="134"/>
  <c r="D747" i="135" s="1"/>
  <c r="D747" i="139" s="1"/>
  <c r="AR745" i="101"/>
  <c r="B741" i="139"/>
  <c r="B739" i="134"/>
  <c r="B741" i="135"/>
  <c r="B736" i="139"/>
  <c r="B734" i="134"/>
  <c r="B736" i="135"/>
  <c r="A732" i="134"/>
  <c r="A734" i="135"/>
  <c r="A734" i="139" s="1"/>
  <c r="A727" i="134"/>
  <c r="A729" i="135"/>
  <c r="A729" i="139" s="1"/>
  <c r="A719" i="134"/>
  <c r="A721" i="135"/>
  <c r="A721" i="139" s="1"/>
  <c r="A717" i="134"/>
  <c r="A719" i="135"/>
  <c r="A719" i="139" s="1"/>
  <c r="A701" i="134"/>
  <c r="A703" i="135"/>
  <c r="A703" i="139" s="1"/>
  <c r="B697" i="139"/>
  <c r="B695" i="134"/>
  <c r="B697" i="135"/>
  <c r="A692" i="135"/>
  <c r="A692" i="139" s="1"/>
  <c r="A690" i="134"/>
  <c r="B689" i="139"/>
  <c r="B687" i="134"/>
  <c r="B689" i="135"/>
  <c r="B684" i="139"/>
  <c r="B682" i="134"/>
  <c r="B684" i="135"/>
  <c r="A675" i="134"/>
  <c r="A677" i="135"/>
  <c r="A677" i="139" s="1"/>
  <c r="A670" i="134"/>
  <c r="A672" i="135"/>
  <c r="A672" i="139" s="1"/>
  <c r="B644" i="139"/>
  <c r="B642" i="134"/>
  <c r="B644" i="135"/>
  <c r="E629" i="134"/>
  <c r="D631" i="135" s="1"/>
  <c r="D631" i="139" s="1"/>
  <c r="AR629" i="101"/>
  <c r="E819" i="101"/>
  <c r="D819" i="134" s="1"/>
  <c r="C821" i="135" s="1"/>
  <c r="C821" i="139" s="1"/>
  <c r="B816" i="139"/>
  <c r="B814" i="134"/>
  <c r="B816" i="135"/>
  <c r="A812" i="134"/>
  <c r="A814" i="135"/>
  <c r="A814" i="139" s="1"/>
  <c r="A807" i="134"/>
  <c r="A809" i="135"/>
  <c r="A809" i="139" s="1"/>
  <c r="D804" i="101"/>
  <c r="B801" i="139"/>
  <c r="B799" i="134"/>
  <c r="B801" i="135"/>
  <c r="A797" i="135"/>
  <c r="A797" i="139" s="1"/>
  <c r="A795" i="134"/>
  <c r="A768" i="134"/>
  <c r="A770" i="135"/>
  <c r="A770" i="139" s="1"/>
  <c r="A765" i="134"/>
  <c r="A767" i="135"/>
  <c r="A767" i="139" s="1"/>
  <c r="B751" i="139"/>
  <c r="B749" i="134"/>
  <c r="B751" i="135"/>
  <c r="B744" i="139"/>
  <c r="B742" i="134"/>
  <c r="B744" i="135"/>
  <c r="B738" i="139"/>
  <c r="B736" i="134"/>
  <c r="B738" i="135"/>
  <c r="B731" i="139"/>
  <c r="B729" i="134"/>
  <c r="B731" i="135"/>
  <c r="A724" i="134"/>
  <c r="A726" i="135"/>
  <c r="A726" i="139" s="1"/>
  <c r="B700" i="139"/>
  <c r="B698" i="134"/>
  <c r="B700" i="135"/>
  <c r="A695" i="134"/>
  <c r="A697" i="135"/>
  <c r="A697" i="139" s="1"/>
  <c r="A685" i="134"/>
  <c r="A687" i="135"/>
  <c r="A687" i="139" s="1"/>
  <c r="B658" i="139"/>
  <c r="B656" i="134"/>
  <c r="B658" i="135"/>
  <c r="E653" i="101"/>
  <c r="D653" i="134" s="1"/>
  <c r="C655" i="135" s="1"/>
  <c r="C655" i="139" s="1"/>
  <c r="D653" i="101"/>
  <c r="B636" i="139"/>
  <c r="B634" i="134"/>
  <c r="B636" i="135"/>
  <c r="A605" i="134"/>
  <c r="A607" i="135"/>
  <c r="A607" i="139" s="1"/>
  <c r="D592" i="134"/>
  <c r="C594" i="135" s="1"/>
  <c r="C594" i="139" s="1"/>
  <c r="A587" i="134"/>
  <c r="A589" i="135"/>
  <c r="A589" i="139" s="1"/>
  <c r="D577" i="134"/>
  <c r="C579" i="135" s="1"/>
  <c r="C579" i="139" s="1"/>
  <c r="D467" i="134"/>
  <c r="C469" i="135" s="1"/>
  <c r="C469" i="139" s="1"/>
  <c r="B391" i="139"/>
  <c r="B389" i="134"/>
  <c r="B391" i="135"/>
  <c r="B221" i="139"/>
  <c r="B219" i="134"/>
  <c r="B221" i="135"/>
  <c r="B190" i="139"/>
  <c r="B188" i="134"/>
  <c r="B190" i="135"/>
  <c r="A835" i="135"/>
  <c r="A835" i="139" s="1"/>
  <c r="A833" i="134"/>
  <c r="E830" i="134"/>
  <c r="D832" i="135" s="1"/>
  <c r="D832" i="139" s="1"/>
  <c r="A826" i="134"/>
  <c r="A828" i="135"/>
  <c r="A828" i="139" s="1"/>
  <c r="B825" i="139"/>
  <c r="B823" i="134"/>
  <c r="B825" i="135"/>
  <c r="B818" i="139"/>
  <c r="B816" i="134"/>
  <c r="B818" i="135"/>
  <c r="E804" i="134"/>
  <c r="D806" i="135" s="1"/>
  <c r="D806" i="139" s="1"/>
  <c r="AR804" i="101"/>
  <c r="A802" i="134"/>
  <c r="A804" i="135"/>
  <c r="A804" i="139" s="1"/>
  <c r="A792" i="134"/>
  <c r="A794" i="135"/>
  <c r="A794" i="139" s="1"/>
  <c r="A785" i="134"/>
  <c r="A787" i="135"/>
  <c r="A787" i="139" s="1"/>
  <c r="A757" i="134"/>
  <c r="A759" i="135"/>
  <c r="A759" i="139" s="1"/>
  <c r="B756" i="139"/>
  <c r="B754" i="134"/>
  <c r="B756" i="135"/>
  <c r="A745" i="134"/>
  <c r="A747" i="135"/>
  <c r="A747" i="139" s="1"/>
  <c r="E734" i="101"/>
  <c r="D734" i="134" s="1"/>
  <c r="C736" i="135" s="1"/>
  <c r="C736" i="139" s="1"/>
  <c r="B733" i="139"/>
  <c r="B731" i="134"/>
  <c r="B733" i="135"/>
  <c r="B720" i="139"/>
  <c r="B718" i="134"/>
  <c r="B720" i="135"/>
  <c r="B718" i="139"/>
  <c r="B716" i="134"/>
  <c r="B718" i="135"/>
  <c r="A716" i="135"/>
  <c r="A716" i="139" s="1"/>
  <c r="A714" i="134"/>
  <c r="E708" i="101"/>
  <c r="D708" i="134" s="1"/>
  <c r="C710" i="135" s="1"/>
  <c r="C710" i="139" s="1"/>
  <c r="A698" i="134"/>
  <c r="A700" i="135"/>
  <c r="A700" i="139" s="1"/>
  <c r="A692" i="134"/>
  <c r="A694" i="135"/>
  <c r="A694" i="139" s="1"/>
  <c r="E682" i="101"/>
  <c r="D682" i="134" s="1"/>
  <c r="C684" i="135" s="1"/>
  <c r="C684" i="139" s="1"/>
  <c r="B676" i="139"/>
  <c r="B674" i="134"/>
  <c r="B676" i="135"/>
  <c r="B671" i="139"/>
  <c r="B669" i="134"/>
  <c r="B671" i="135"/>
  <c r="A667" i="134"/>
  <c r="A669" i="135"/>
  <c r="A669" i="139" s="1"/>
  <c r="A659" i="134"/>
  <c r="A661" i="135"/>
  <c r="A661" i="139" s="1"/>
  <c r="A653" i="134"/>
  <c r="A655" i="135"/>
  <c r="A655" i="139" s="1"/>
  <c r="A652" i="135"/>
  <c r="A652" i="139" s="1"/>
  <c r="A650" i="134"/>
  <c r="B641" i="139"/>
  <c r="B639" i="134"/>
  <c r="B641" i="135"/>
  <c r="A632" i="134"/>
  <c r="A634" i="135"/>
  <c r="A634" i="139" s="1"/>
  <c r="A470" i="134"/>
  <c r="A472" i="135"/>
  <c r="A472" i="139" s="1"/>
  <c r="A800" i="134"/>
  <c r="A802" i="135"/>
  <c r="A802" i="139" s="1"/>
  <c r="B799" i="139"/>
  <c r="B797" i="134"/>
  <c r="B799" i="135"/>
  <c r="A790" i="134"/>
  <c r="A792" i="135"/>
  <c r="A792" i="139" s="1"/>
  <c r="B789" i="139"/>
  <c r="B787" i="134"/>
  <c r="B789" i="135"/>
  <c r="B775" i="139"/>
  <c r="B773" i="134"/>
  <c r="B775" i="135"/>
  <c r="B770" i="139"/>
  <c r="B768" i="134"/>
  <c r="B770" i="135"/>
  <c r="A761" i="134"/>
  <c r="A763" i="135"/>
  <c r="A763" i="139" s="1"/>
  <c r="A758" i="135"/>
  <c r="A758" i="139" s="1"/>
  <c r="A756" i="134"/>
  <c r="A742" i="134"/>
  <c r="A744" i="135"/>
  <c r="A744" i="139" s="1"/>
  <c r="B740" i="139"/>
  <c r="B738" i="134"/>
  <c r="B740" i="135"/>
  <c r="B728" i="139"/>
  <c r="B726" i="134"/>
  <c r="B728" i="135"/>
  <c r="B694" i="139"/>
  <c r="B692" i="134"/>
  <c r="B694" i="135"/>
  <c r="A688" i="134"/>
  <c r="A690" i="135"/>
  <c r="A690" i="139" s="1"/>
  <c r="A681" i="134"/>
  <c r="A683" i="135"/>
  <c r="A683" i="139" s="1"/>
  <c r="B652" i="139"/>
  <c r="B650" i="134"/>
  <c r="B652" i="135"/>
  <c r="A645" i="134"/>
  <c r="A647" i="135"/>
  <c r="A647" i="139" s="1"/>
  <c r="A636" i="134"/>
  <c r="A638" i="135"/>
  <c r="A638" i="139" s="1"/>
  <c r="A634" i="134"/>
  <c r="A636" i="135"/>
  <c r="A636" i="139" s="1"/>
  <c r="A602" i="134"/>
  <c r="A604" i="135"/>
  <c r="A604" i="139" s="1"/>
  <c r="A586" i="134"/>
  <c r="A588" i="135"/>
  <c r="A588" i="139" s="1"/>
  <c r="A480" i="134"/>
  <c r="A482" i="135"/>
  <c r="A482" i="139" s="1"/>
  <c r="E431" i="134"/>
  <c r="D433" i="135" s="1"/>
  <c r="D433" i="139" s="1"/>
  <c r="AR431" i="101"/>
  <c r="A424" i="134"/>
  <c r="A426" i="135"/>
  <c r="A426" i="139" s="1"/>
  <c r="D408" i="134"/>
  <c r="C410" i="135" s="1"/>
  <c r="C410" i="139" s="1"/>
  <c r="B366" i="139"/>
  <c r="B364" i="134"/>
  <c r="B366" i="135"/>
  <c r="B361" i="139"/>
  <c r="B278" i="139"/>
  <c r="B276" i="134"/>
  <c r="B278" i="135"/>
  <c r="D225" i="134"/>
  <c r="C227" i="135" s="1"/>
  <c r="C227" i="139" s="1"/>
  <c r="A188" i="134"/>
  <c r="A190" i="135"/>
  <c r="A190" i="139" s="1"/>
  <c r="D157" i="134"/>
  <c r="C159" i="135" s="1"/>
  <c r="C159" i="139" s="1"/>
  <c r="E485" i="134"/>
  <c r="D487" i="135" s="1"/>
  <c r="D487" i="139" s="1"/>
  <c r="A482" i="134"/>
  <c r="A484" i="135"/>
  <c r="A484" i="139" s="1"/>
  <c r="AR477" i="101"/>
  <c r="A475" i="134"/>
  <c r="A477" i="135"/>
  <c r="A477" i="139" s="1"/>
  <c r="A322" i="134"/>
  <c r="A324" i="135"/>
  <c r="A324" i="139" s="1"/>
  <c r="B299" i="139"/>
  <c r="B297" i="134"/>
  <c r="B299" i="135"/>
  <c r="E110" i="134"/>
  <c r="D112" i="135" s="1"/>
  <c r="D112" i="139" s="1"/>
  <c r="AR110" i="101"/>
  <c r="A73" i="134"/>
  <c r="A75" i="135"/>
  <c r="A75" i="139" s="1"/>
  <c r="D66" i="134"/>
  <c r="C68" i="135" s="1"/>
  <c r="C68" i="139" s="1"/>
  <c r="B452" i="139"/>
  <c r="B450" i="134"/>
  <c r="B452" i="135"/>
  <c r="A445" i="134"/>
  <c r="A447" i="135"/>
  <c r="A447" i="139" s="1"/>
  <c r="B425" i="139"/>
  <c r="B423" i="134"/>
  <c r="B425" i="135"/>
  <c r="B359" i="139"/>
  <c r="B357" i="134"/>
  <c r="B359" i="135"/>
  <c r="AS228" i="101"/>
  <c r="B189" i="139"/>
  <c r="B187" i="134"/>
  <c r="B189" i="135"/>
  <c r="A492" i="134"/>
  <c r="A494" i="135"/>
  <c r="A494" i="139" s="1"/>
  <c r="B420" i="139"/>
  <c r="B418" i="134"/>
  <c r="B420" i="135"/>
  <c r="A383" i="134"/>
  <c r="A385" i="135"/>
  <c r="A385" i="139" s="1"/>
  <c r="B299" i="134"/>
  <c r="B220" i="139"/>
  <c r="B218" i="134"/>
  <c r="B220" i="135"/>
  <c r="B166" i="135"/>
  <c r="B81" i="139"/>
  <c r="B79" i="134"/>
  <c r="B81" i="135"/>
  <c r="B50" i="139"/>
  <c r="B48" i="134"/>
  <c r="B50" i="135"/>
  <c r="A680" i="134"/>
  <c r="A682" i="135"/>
  <c r="A682" i="139" s="1"/>
  <c r="B677" i="139"/>
  <c r="B675" i="134"/>
  <c r="B677" i="135"/>
  <c r="B669" i="139"/>
  <c r="B667" i="134"/>
  <c r="B669" i="135"/>
  <c r="B664" i="139"/>
  <c r="B662" i="134"/>
  <c r="B664" i="135"/>
  <c r="A660" i="134"/>
  <c r="A662" i="135"/>
  <c r="A662" i="139" s="1"/>
  <c r="A658" i="134"/>
  <c r="A660" i="135"/>
  <c r="A660" i="139" s="1"/>
  <c r="B654" i="139"/>
  <c r="B652" i="134"/>
  <c r="B654" i="135"/>
  <c r="A640" i="134"/>
  <c r="A642" i="135"/>
  <c r="A642" i="139" s="1"/>
  <c r="A606" i="134"/>
  <c r="A608" i="135"/>
  <c r="A608" i="139" s="1"/>
  <c r="B530" i="139"/>
  <c r="B528" i="134"/>
  <c r="B530" i="135"/>
  <c r="A522" i="134"/>
  <c r="A524" i="135"/>
  <c r="A524" i="139" s="1"/>
  <c r="B500" i="139"/>
  <c r="B498" i="134"/>
  <c r="B500" i="135"/>
  <c r="B474" i="139"/>
  <c r="B474" i="135"/>
  <c r="B472" i="134"/>
  <c r="A324" i="134"/>
  <c r="A326" i="135"/>
  <c r="A326" i="139" s="1"/>
  <c r="A554" i="134"/>
  <c r="A556" i="135"/>
  <c r="A556" i="139" s="1"/>
  <c r="B528" i="139"/>
  <c r="B526" i="134"/>
  <c r="B528" i="135"/>
  <c r="A474" i="134"/>
  <c r="A476" i="135"/>
  <c r="A476" i="139" s="1"/>
  <c r="A472" i="134"/>
  <c r="A474" i="135"/>
  <c r="A474" i="139" s="1"/>
  <c r="A421" i="134"/>
  <c r="A423" i="135"/>
  <c r="A423" i="139" s="1"/>
  <c r="B388" i="134"/>
  <c r="B390" i="139"/>
  <c r="B390" i="135"/>
  <c r="B358" i="139"/>
  <c r="B356" i="134"/>
  <c r="B358" i="135"/>
  <c r="D207" i="134"/>
  <c r="C209" i="135" s="1"/>
  <c r="C209" i="139" s="1"/>
  <c r="B164" i="139"/>
  <c r="B162" i="134"/>
  <c r="B164" i="135"/>
  <c r="B161" i="139"/>
  <c r="B159" i="134"/>
  <c r="B161" i="135"/>
  <c r="A444" i="134"/>
  <c r="A446" i="135"/>
  <c r="A446" i="139" s="1"/>
  <c r="A415" i="134"/>
  <c r="A417" i="135"/>
  <c r="A417" i="139" s="1"/>
  <c r="B280" i="139"/>
  <c r="B278" i="134"/>
  <c r="B280" i="135"/>
  <c r="B475" i="139"/>
  <c r="B473" i="134"/>
  <c r="B475" i="135"/>
  <c r="A423" i="134"/>
  <c r="A425" i="135"/>
  <c r="A425" i="139" s="1"/>
  <c r="E418" i="134"/>
  <c r="D420" i="135" s="1"/>
  <c r="D420" i="139" s="1"/>
  <c r="AR418" i="101"/>
  <c r="B360" i="139"/>
  <c r="B358" i="134"/>
  <c r="B360" i="135"/>
  <c r="A321" i="134"/>
  <c r="A323" i="135"/>
  <c r="A323" i="139" s="1"/>
  <c r="C273" i="134"/>
  <c r="E275" i="135" s="1"/>
  <c r="E275" i="139" s="1"/>
  <c r="A215" i="134"/>
  <c r="A217" i="135"/>
  <c r="A217" i="139" s="1"/>
  <c r="B80" i="139"/>
  <c r="B78" i="134"/>
  <c r="B80" i="135"/>
  <c r="A481" i="134"/>
  <c r="A483" i="135"/>
  <c r="A483" i="139" s="1"/>
  <c r="A479" i="134"/>
  <c r="A481" i="135"/>
  <c r="A481" i="139" s="1"/>
  <c r="B368" i="139"/>
  <c r="B366" i="134"/>
  <c r="B368" i="135"/>
  <c r="D356" i="134"/>
  <c r="C358" i="135" s="1"/>
  <c r="C358" i="139" s="1"/>
  <c r="B328" i="139"/>
  <c r="B326" i="134"/>
  <c r="B328" i="135"/>
  <c r="A273" i="134"/>
  <c r="A275" i="135"/>
  <c r="A275" i="139" s="1"/>
  <c r="A184" i="134"/>
  <c r="A186" i="135"/>
  <c r="A186" i="139" s="1"/>
  <c r="A553" i="134"/>
  <c r="A555" i="135"/>
  <c r="A555" i="139" s="1"/>
  <c r="B499" i="139"/>
  <c r="B497" i="134"/>
  <c r="B499" i="135"/>
  <c r="B424" i="139"/>
  <c r="B422" i="134"/>
  <c r="B424" i="135"/>
  <c r="B373" i="139"/>
  <c r="B371" i="134"/>
  <c r="B373" i="135"/>
  <c r="A354" i="134"/>
  <c r="A356" i="135"/>
  <c r="A356" i="139" s="1"/>
  <c r="D346" i="134"/>
  <c r="C348" i="135" s="1"/>
  <c r="C348" i="139" s="1"/>
  <c r="A294" i="134"/>
  <c r="A296" i="135"/>
  <c r="A296" i="139" s="1"/>
  <c r="C275" i="134"/>
  <c r="E277" i="135" s="1"/>
  <c r="E277" i="139" s="1"/>
  <c r="A103" i="134"/>
  <c r="A105" i="135"/>
  <c r="A105" i="139" s="1"/>
  <c r="B370" i="139"/>
  <c r="B368" i="134"/>
  <c r="B370" i="135"/>
  <c r="B277" i="139"/>
  <c r="B275" i="134"/>
  <c r="B277" i="135"/>
  <c r="B248" i="139"/>
  <c r="B246" i="134"/>
  <c r="B248" i="135"/>
  <c r="A446" i="134"/>
  <c r="A448" i="135"/>
  <c r="A448" i="139" s="1"/>
  <c r="A414" i="134"/>
  <c r="A416" i="135"/>
  <c r="A416" i="139" s="1"/>
  <c r="D387" i="134"/>
  <c r="C389" i="135" s="1"/>
  <c r="C389" i="139" s="1"/>
  <c r="A385" i="134"/>
  <c r="A387" i="135"/>
  <c r="A387" i="139" s="1"/>
  <c r="A125" i="134"/>
  <c r="A127" i="135"/>
  <c r="A127" i="139" s="1"/>
  <c r="A122" i="134"/>
  <c r="A124" i="135"/>
  <c r="A124" i="139" s="1"/>
  <c r="A476" i="134"/>
  <c r="A478" i="135"/>
  <c r="A478" i="139" s="1"/>
  <c r="B393" i="139"/>
  <c r="B391" i="134"/>
  <c r="B393" i="135"/>
  <c r="B297" i="139"/>
  <c r="B295" i="134"/>
  <c r="B297" i="135"/>
  <c r="A291" i="134"/>
  <c r="A293" i="135"/>
  <c r="A293" i="139" s="1"/>
  <c r="A186" i="134"/>
  <c r="A188" i="135"/>
  <c r="A188" i="139" s="1"/>
  <c r="B79" i="139"/>
  <c r="B77" i="134"/>
  <c r="B79" i="135"/>
  <c r="A478" i="134"/>
  <c r="A480" i="135"/>
  <c r="A480" i="139" s="1"/>
  <c r="A473" i="134"/>
  <c r="A475" i="135"/>
  <c r="A475" i="139" s="1"/>
  <c r="A471" i="134"/>
  <c r="A473" i="135"/>
  <c r="A473" i="139" s="1"/>
  <c r="A422" i="135"/>
  <c r="A422" i="139" s="1"/>
  <c r="A420" i="134"/>
  <c r="B367" i="139"/>
  <c r="B365" i="134"/>
  <c r="B367" i="135"/>
  <c r="A274" i="135"/>
  <c r="A274" i="139" s="1"/>
  <c r="A272" i="134"/>
  <c r="B165" i="139"/>
  <c r="B163" i="134"/>
  <c r="B165" i="135"/>
  <c r="AS282" i="101"/>
  <c r="B129" i="139"/>
  <c r="B127" i="134"/>
  <c r="B129" i="135"/>
  <c r="A661" i="134"/>
  <c r="A663" i="135"/>
  <c r="A663" i="139" s="1"/>
  <c r="A648" i="134"/>
  <c r="A650" i="135"/>
  <c r="A650" i="139" s="1"/>
  <c r="A643" i="134"/>
  <c r="A645" i="135"/>
  <c r="A645" i="139" s="1"/>
  <c r="A495" i="134"/>
  <c r="A497" i="135"/>
  <c r="A497" i="139" s="1"/>
  <c r="A493" i="134"/>
  <c r="A495" i="135"/>
  <c r="A495" i="139" s="1"/>
  <c r="B450" i="139"/>
  <c r="B448" i="134"/>
  <c r="B450" i="135"/>
  <c r="A422" i="134"/>
  <c r="A424" i="135"/>
  <c r="A424" i="139" s="1"/>
  <c r="B421" i="139"/>
  <c r="B419" i="134"/>
  <c r="B421" i="135"/>
  <c r="A413" i="134"/>
  <c r="A415" i="135"/>
  <c r="A415" i="139" s="1"/>
  <c r="A384" i="134"/>
  <c r="A386" i="135"/>
  <c r="A386" i="139" s="1"/>
  <c r="B369" i="139"/>
  <c r="B367" i="134"/>
  <c r="B369" i="135"/>
  <c r="B329" i="139"/>
  <c r="B327" i="134"/>
  <c r="B329" i="135"/>
  <c r="A293" i="134"/>
  <c r="A295" i="135"/>
  <c r="A295" i="139" s="1"/>
  <c r="B162" i="139"/>
  <c r="B160" i="134"/>
  <c r="B162" i="135"/>
  <c r="B159" i="139"/>
  <c r="B157" i="134"/>
  <c r="B159" i="135"/>
  <c r="A124" i="134"/>
  <c r="A126" i="135"/>
  <c r="A126" i="139" s="1"/>
  <c r="E271" i="134"/>
  <c r="D273" i="135" s="1"/>
  <c r="D273" i="139" s="1"/>
  <c r="AR271" i="101"/>
  <c r="B247" i="139"/>
  <c r="B245" i="134"/>
  <c r="B247" i="135"/>
  <c r="A187" i="134"/>
  <c r="A189" i="135"/>
  <c r="A189" i="139" s="1"/>
  <c r="A185" i="134"/>
  <c r="A187" i="135"/>
  <c r="A187" i="139" s="1"/>
  <c r="A154" i="134"/>
  <c r="A156" i="135"/>
  <c r="A156" i="139" s="1"/>
  <c r="A123" i="134"/>
  <c r="A125" i="135"/>
  <c r="A125" i="139" s="1"/>
  <c r="B51" i="139"/>
  <c r="B51" i="135"/>
  <c r="A47" i="134"/>
  <c r="A49" i="135"/>
  <c r="A49" i="139" s="1"/>
  <c r="A182" i="134"/>
  <c r="A184" i="135"/>
  <c r="A184" i="139" s="1"/>
  <c r="A106" i="134"/>
  <c r="A108" i="135"/>
  <c r="A108" i="139" s="1"/>
  <c r="B394" i="139"/>
  <c r="B392" i="134"/>
  <c r="B394" i="135"/>
  <c r="B392" i="139"/>
  <c r="B390" i="134"/>
  <c r="B392" i="135"/>
  <c r="B300" i="139"/>
  <c r="B298" i="134"/>
  <c r="B300" i="135"/>
  <c r="B298" i="139"/>
  <c r="B296" i="134"/>
  <c r="B298" i="135"/>
  <c r="A292" i="134"/>
  <c r="A294" i="135"/>
  <c r="A294" i="139" s="1"/>
  <c r="A243" i="134"/>
  <c r="A245" i="135"/>
  <c r="A245" i="139" s="1"/>
  <c r="B222" i="139"/>
  <c r="B220" i="134"/>
  <c r="B222" i="135"/>
  <c r="B160" i="139"/>
  <c r="B158" i="134"/>
  <c r="B160" i="135"/>
  <c r="B48" i="139"/>
  <c r="B46" i="134"/>
  <c r="B48" i="135"/>
  <c r="A386" i="134"/>
  <c r="A388" i="135"/>
  <c r="A388" i="139" s="1"/>
  <c r="B372" i="139"/>
  <c r="B370" i="134"/>
  <c r="B372" i="135"/>
  <c r="A352" i="134"/>
  <c r="A354" i="135"/>
  <c r="A354" i="139" s="1"/>
  <c r="A243" i="135"/>
  <c r="A243" i="139" s="1"/>
  <c r="A241" i="134"/>
  <c r="B110" i="139"/>
  <c r="B108" i="134"/>
  <c r="B110" i="135"/>
  <c r="A46" i="134"/>
  <c r="A48" i="135"/>
  <c r="A48" i="139" s="1"/>
  <c r="B132" i="139"/>
  <c r="B131" i="139"/>
  <c r="B129" i="134"/>
  <c r="B131" i="135"/>
  <c r="A45" i="134"/>
  <c r="A47" i="135"/>
  <c r="A47" i="139" s="1"/>
  <c r="B371" i="139"/>
  <c r="B369" i="134"/>
  <c r="B371" i="135"/>
  <c r="A242" i="134"/>
  <c r="A244" i="135"/>
  <c r="A244" i="139" s="1"/>
  <c r="A214" i="134"/>
  <c r="A216" i="135"/>
  <c r="A216" i="139" s="1"/>
  <c r="B111" i="139"/>
  <c r="B109" i="134"/>
  <c r="B111" i="135"/>
  <c r="A77" i="134"/>
  <c r="A79" i="135"/>
  <c r="A79" i="139" s="1"/>
  <c r="A42" i="134"/>
  <c r="A44" i="135"/>
  <c r="A44" i="139" s="1"/>
  <c r="B559" i="139"/>
  <c r="B557" i="134"/>
  <c r="B559" i="135"/>
  <c r="A353" i="134"/>
  <c r="A355" i="135"/>
  <c r="A355" i="139" s="1"/>
  <c r="E274" i="134"/>
  <c r="D276" i="135" s="1"/>
  <c r="D276" i="139" s="1"/>
  <c r="D266" i="134"/>
  <c r="C268" i="135" s="1"/>
  <c r="C268" i="139" s="1"/>
  <c r="A74" i="134"/>
  <c r="A76" i="135"/>
  <c r="A76" i="139" s="1"/>
  <c r="B19" i="139"/>
  <c r="B17" i="134"/>
  <c r="B19" i="135"/>
  <c r="A323" i="134"/>
  <c r="A325" i="135"/>
  <c r="A325" i="139" s="1"/>
  <c r="A274" i="134"/>
  <c r="A276" i="135"/>
  <c r="A276" i="139" s="1"/>
  <c r="A213" i="134"/>
  <c r="A215" i="135"/>
  <c r="A215" i="139" s="1"/>
  <c r="B163" i="139"/>
  <c r="B161" i="134"/>
  <c r="B163" i="135"/>
  <c r="A104" i="134"/>
  <c r="A106" i="135"/>
  <c r="A106" i="139" s="1"/>
  <c r="B130" i="139"/>
  <c r="B130" i="135"/>
  <c r="B128" i="134"/>
  <c r="B109" i="139"/>
  <c r="B107" i="134"/>
  <c r="B109" i="135"/>
  <c r="A75" i="134"/>
  <c r="A77" i="135"/>
  <c r="A77" i="139" s="1"/>
  <c r="A43" i="134"/>
  <c r="A45" i="135"/>
  <c r="A45" i="139" s="1"/>
  <c r="B188" i="139"/>
  <c r="B186" i="134"/>
  <c r="B188" i="135"/>
  <c r="A155" i="134"/>
  <c r="A157" i="135"/>
  <c r="A157" i="139" s="1"/>
  <c r="A153" i="134"/>
  <c r="A155" i="135"/>
  <c r="A155" i="139" s="1"/>
  <c r="A126" i="134"/>
  <c r="A128" i="135"/>
  <c r="A128" i="139" s="1"/>
  <c r="A105" i="134"/>
  <c r="A107" i="135"/>
  <c r="A107" i="139" s="1"/>
  <c r="B49" i="139"/>
  <c r="B47" i="134"/>
  <c r="B49" i="135"/>
  <c r="B20" i="139"/>
  <c r="B18" i="134"/>
  <c r="B20" i="135"/>
  <c r="B15" i="134"/>
  <c r="B22" i="139"/>
  <c r="B20" i="134"/>
  <c r="B22" i="135"/>
  <c r="B24" i="139"/>
  <c r="B22" i="134"/>
  <c r="B24" i="135"/>
  <c r="B21" i="139"/>
  <c r="B19" i="134"/>
  <c r="B21" i="135"/>
  <c r="A76" i="134"/>
  <c r="A78" i="135"/>
  <c r="A78" i="139" s="1"/>
  <c r="A44" i="134"/>
  <c r="A46" i="135"/>
  <c r="A46" i="139" s="1"/>
  <c r="B23" i="139"/>
  <c r="B21" i="134"/>
  <c r="B23" i="135"/>
  <c r="B18" i="139"/>
  <c r="B16" i="134"/>
  <c r="B18" i="135"/>
  <c r="A14" i="134"/>
  <c r="A16" i="135"/>
  <c r="A16" i="139" s="1"/>
  <c r="D16" i="134"/>
  <c r="C18" i="135" s="1"/>
  <c r="C18" i="139" s="1"/>
  <c r="A183" i="134"/>
  <c r="A185" i="135"/>
  <c r="A185" i="139" s="1"/>
  <c r="B128" i="139"/>
  <c r="B126" i="134"/>
  <c r="B128" i="135"/>
  <c r="G649" i="101"/>
  <c r="C649" i="134" s="1"/>
  <c r="E651" i="135" s="1"/>
  <c r="E651" i="139" s="1"/>
  <c r="F649" i="101"/>
  <c r="AS649" i="101" s="1"/>
  <c r="E649" i="101"/>
  <c r="D649" i="134" s="1"/>
  <c r="C651" i="135" s="1"/>
  <c r="C651" i="139" s="1"/>
  <c r="D900" i="101"/>
  <c r="E900" i="101"/>
  <c r="D900" i="134" s="1"/>
  <c r="C902" i="135" s="1"/>
  <c r="C902" i="139" s="1"/>
  <c r="G664" i="101"/>
  <c r="C664" i="134" s="1"/>
  <c r="E666" i="135" s="1"/>
  <c r="E666" i="139" s="1"/>
  <c r="F664" i="101"/>
  <c r="AS664" i="101" s="1"/>
  <c r="G683" i="101"/>
  <c r="C683" i="134" s="1"/>
  <c r="E685" i="135" s="1"/>
  <c r="E685" i="139" s="1"/>
  <c r="F683" i="101"/>
  <c r="AS683" i="101" s="1"/>
  <c r="G969" i="101"/>
  <c r="G953" i="101"/>
  <c r="G933" i="101"/>
  <c r="C933" i="134" s="1"/>
  <c r="E935" i="135" s="1"/>
  <c r="E935" i="139" s="1"/>
  <c r="F928" i="101"/>
  <c r="F977" i="101"/>
  <c r="F961" i="101"/>
  <c r="F953" i="101"/>
  <c r="G948" i="101"/>
  <c r="C948" i="134" s="1"/>
  <c r="E950" i="135" s="1"/>
  <c r="E950" i="139" s="1"/>
  <c r="G943" i="101"/>
  <c r="C943" i="134" s="1"/>
  <c r="E945" i="135" s="1"/>
  <c r="E945" i="139" s="1"/>
  <c r="G938" i="101"/>
  <c r="C938" i="134" s="1"/>
  <c r="E940" i="135" s="1"/>
  <c r="E940" i="139" s="1"/>
  <c r="E933" i="101"/>
  <c r="D933" i="134" s="1"/>
  <c r="C935" i="135" s="1"/>
  <c r="C935" i="139" s="1"/>
  <c r="E923" i="101"/>
  <c r="D923" i="134" s="1"/>
  <c r="C925" i="135" s="1"/>
  <c r="C925" i="139" s="1"/>
  <c r="G916" i="101"/>
  <c r="C916" i="134" s="1"/>
  <c r="E918" i="135" s="1"/>
  <c r="E918" i="139" s="1"/>
  <c r="G906" i="101"/>
  <c r="C906" i="134" s="1"/>
  <c r="E908" i="135" s="1"/>
  <c r="E908" i="139" s="1"/>
  <c r="F897" i="101"/>
  <c r="E889" i="101"/>
  <c r="D889" i="134" s="1"/>
  <c r="C891" i="135" s="1"/>
  <c r="C891" i="139" s="1"/>
  <c r="E977" i="101"/>
  <c r="E969" i="101"/>
  <c r="E961" i="101"/>
  <c r="F938" i="101"/>
  <c r="E938" i="134" s="1"/>
  <c r="D940" i="135" s="1"/>
  <c r="D940" i="139" s="1"/>
  <c r="D933" i="101"/>
  <c r="D928" i="101"/>
  <c r="D923" i="101"/>
  <c r="F911" i="101"/>
  <c r="F906" i="101"/>
  <c r="E897" i="101"/>
  <c r="D897" i="134" s="1"/>
  <c r="C899" i="135" s="1"/>
  <c r="C899" i="139" s="1"/>
  <c r="D895" i="101"/>
  <c r="E895" i="101"/>
  <c r="D895" i="134" s="1"/>
  <c r="C897" i="135" s="1"/>
  <c r="C897" i="139" s="1"/>
  <c r="D889" i="101"/>
  <c r="D868" i="101"/>
  <c r="E868" i="101"/>
  <c r="D868" i="134" s="1"/>
  <c r="C870" i="135" s="1"/>
  <c r="C870" i="139" s="1"/>
  <c r="F868" i="101"/>
  <c r="G864" i="101"/>
  <c r="C864" i="134" s="1"/>
  <c r="E866" i="135" s="1"/>
  <c r="E866" i="139" s="1"/>
  <c r="F864" i="101"/>
  <c r="G832" i="101"/>
  <c r="C832" i="134" s="1"/>
  <c r="E834" i="135" s="1"/>
  <c r="E834" i="139" s="1"/>
  <c r="F832" i="101"/>
  <c r="F817" i="101"/>
  <c r="AS817" i="101" s="1"/>
  <c r="E817" i="101"/>
  <c r="D817" i="134" s="1"/>
  <c r="C819" i="135" s="1"/>
  <c r="C819" i="139" s="1"/>
  <c r="G817" i="101"/>
  <c r="C817" i="134" s="1"/>
  <c r="E819" i="135" s="1"/>
  <c r="E819" i="139" s="1"/>
  <c r="D817" i="101"/>
  <c r="D804" i="134"/>
  <c r="C806" i="135" s="1"/>
  <c r="C806" i="139" s="1"/>
  <c r="D765" i="101"/>
  <c r="D740" i="101"/>
  <c r="E695" i="101"/>
  <c r="D695" i="134" s="1"/>
  <c r="C697" i="135" s="1"/>
  <c r="C697" i="139" s="1"/>
  <c r="F695" i="101"/>
  <c r="AS695" i="101" s="1"/>
  <c r="G695" i="101"/>
  <c r="C695" i="134" s="1"/>
  <c r="E697" i="135" s="1"/>
  <c r="E697" i="139" s="1"/>
  <c r="D695" i="101"/>
  <c r="G789" i="101"/>
  <c r="C789" i="134" s="1"/>
  <c r="E791" i="135" s="1"/>
  <c r="E791" i="139" s="1"/>
  <c r="F789" i="101"/>
  <c r="AS789" i="101" s="1"/>
  <c r="E789" i="101"/>
  <c r="D789" i="134" s="1"/>
  <c r="C791" i="135" s="1"/>
  <c r="C791" i="139" s="1"/>
  <c r="D726" i="101"/>
  <c r="E726" i="101"/>
  <c r="D726" i="134" s="1"/>
  <c r="C728" i="135" s="1"/>
  <c r="C728" i="139" s="1"/>
  <c r="D949" i="101"/>
  <c r="D917" i="101"/>
  <c r="G896" i="101"/>
  <c r="C896" i="134" s="1"/>
  <c r="E898" i="135" s="1"/>
  <c r="E898" i="139" s="1"/>
  <c r="F896" i="101"/>
  <c r="E850" i="101"/>
  <c r="D850" i="134" s="1"/>
  <c r="C852" i="135" s="1"/>
  <c r="C852" i="139" s="1"/>
  <c r="F706" i="101"/>
  <c r="AS706" i="101" s="1"/>
  <c r="D678" i="101"/>
  <c r="G678" i="101"/>
  <c r="C678" i="134" s="1"/>
  <c r="E680" i="135" s="1"/>
  <c r="E680" i="139" s="1"/>
  <c r="F678" i="101"/>
  <c r="AS678" i="101" s="1"/>
  <c r="G645" i="101"/>
  <c r="C645" i="134" s="1"/>
  <c r="E647" i="135" s="1"/>
  <c r="E647" i="139" s="1"/>
  <c r="F645" i="101"/>
  <c r="AS645" i="101" s="1"/>
  <c r="E700" i="101"/>
  <c r="D700" i="134" s="1"/>
  <c r="C702" i="135" s="1"/>
  <c r="C702" i="139" s="1"/>
  <c r="F700" i="101"/>
  <c r="AS700" i="101" s="1"/>
  <c r="G700" i="101"/>
  <c r="C700" i="134" s="1"/>
  <c r="E702" i="135" s="1"/>
  <c r="E702" i="139" s="1"/>
  <c r="D700" i="101"/>
  <c r="D742" i="101"/>
  <c r="F742" i="101"/>
  <c r="AS742" i="101" s="1"/>
  <c r="G647" i="101"/>
  <c r="C647" i="134" s="1"/>
  <c r="E649" i="135" s="1"/>
  <c r="E649" i="139" s="1"/>
  <c r="F647" i="101"/>
  <c r="AS647" i="101" s="1"/>
  <c r="F869" i="101"/>
  <c r="G869" i="101"/>
  <c r="C869" i="134" s="1"/>
  <c r="E871" i="135" s="1"/>
  <c r="E871" i="139" s="1"/>
  <c r="F837" i="101"/>
  <c r="G837" i="101"/>
  <c r="C837" i="134" s="1"/>
  <c r="E839" i="135" s="1"/>
  <c r="E839" i="139" s="1"/>
  <c r="G803" i="101"/>
  <c r="C803" i="134" s="1"/>
  <c r="E805" i="135" s="1"/>
  <c r="E805" i="139" s="1"/>
  <c r="F803" i="101"/>
  <c r="AS803" i="101" s="1"/>
  <c r="F801" i="101"/>
  <c r="AS801" i="101" s="1"/>
  <c r="D801" i="101"/>
  <c r="D780" i="101"/>
  <c r="F759" i="101"/>
  <c r="AS759" i="101" s="1"/>
  <c r="D759" i="101"/>
  <c r="D748" i="101"/>
  <c r="F732" i="101"/>
  <c r="AS732" i="101" s="1"/>
  <c r="D732" i="101"/>
  <c r="G720" i="101"/>
  <c r="C720" i="134" s="1"/>
  <c r="E722" i="135" s="1"/>
  <c r="E722" i="139" s="1"/>
  <c r="G708" i="101"/>
  <c r="C708" i="134" s="1"/>
  <c r="E710" i="135" s="1"/>
  <c r="E710" i="139" s="1"/>
  <c r="E706" i="101"/>
  <c r="D706" i="134" s="1"/>
  <c r="C708" i="135" s="1"/>
  <c r="C708" i="139" s="1"/>
  <c r="D691" i="101"/>
  <c r="E668" i="101"/>
  <c r="D668" i="134" s="1"/>
  <c r="C670" i="135" s="1"/>
  <c r="C670" i="139" s="1"/>
  <c r="F668" i="101"/>
  <c r="AS668" i="101" s="1"/>
  <c r="G668" i="101"/>
  <c r="C668" i="134" s="1"/>
  <c r="E670" i="135" s="1"/>
  <c r="E670" i="139" s="1"/>
  <c r="D668" i="101"/>
  <c r="D666" i="101"/>
  <c r="F886" i="101"/>
  <c r="G886" i="101"/>
  <c r="C886" i="134" s="1"/>
  <c r="E888" i="135" s="1"/>
  <c r="E888" i="139" s="1"/>
  <c r="E886" i="101"/>
  <c r="D886" i="134" s="1"/>
  <c r="C888" i="135" s="1"/>
  <c r="C888" i="139" s="1"/>
  <c r="E968" i="101"/>
  <c r="E952" i="101"/>
  <c r="F947" i="101"/>
  <c r="E947" i="134" s="1"/>
  <c r="D949" i="135" s="1"/>
  <c r="D949" i="139" s="1"/>
  <c r="G925" i="101"/>
  <c r="C925" i="134" s="1"/>
  <c r="E927" i="135" s="1"/>
  <c r="E927" i="139" s="1"/>
  <c r="F920" i="101"/>
  <c r="F915" i="101"/>
  <c r="E910" i="101"/>
  <c r="D910" i="134" s="1"/>
  <c r="C912" i="135" s="1"/>
  <c r="C912" i="139" s="1"/>
  <c r="G879" i="101"/>
  <c r="C879" i="134" s="1"/>
  <c r="E881" i="135" s="1"/>
  <c r="E881" i="139" s="1"/>
  <c r="G877" i="101"/>
  <c r="C877" i="134" s="1"/>
  <c r="E879" i="135" s="1"/>
  <c r="E879" i="139" s="1"/>
  <c r="E871" i="101"/>
  <c r="D871" i="134" s="1"/>
  <c r="C873" i="135" s="1"/>
  <c r="C873" i="139" s="1"/>
  <c r="F871" i="101"/>
  <c r="D871" i="101"/>
  <c r="F854" i="101"/>
  <c r="G854" i="101"/>
  <c r="C854" i="134" s="1"/>
  <c r="E856" i="135" s="1"/>
  <c r="E856" i="139" s="1"/>
  <c r="E854" i="101"/>
  <c r="D854" i="134" s="1"/>
  <c r="C856" i="135" s="1"/>
  <c r="C856" i="139" s="1"/>
  <c r="E839" i="101"/>
  <c r="D839" i="134" s="1"/>
  <c r="C841" i="135" s="1"/>
  <c r="C841" i="139" s="1"/>
  <c r="F839" i="101"/>
  <c r="G839" i="101"/>
  <c r="C839" i="134" s="1"/>
  <c r="E841" i="135" s="1"/>
  <c r="E841" i="139" s="1"/>
  <c r="D839" i="101"/>
  <c r="D782" i="101"/>
  <c r="G782" i="101"/>
  <c r="C782" i="134" s="1"/>
  <c r="E784" i="135" s="1"/>
  <c r="E784" i="139" s="1"/>
  <c r="F782" i="101"/>
  <c r="AS782" i="101" s="1"/>
  <c r="D750" i="101"/>
  <c r="G750" i="101"/>
  <c r="C750" i="134" s="1"/>
  <c r="E752" i="135" s="1"/>
  <c r="E752" i="139" s="1"/>
  <c r="F750" i="101"/>
  <c r="AS750" i="101" s="1"/>
  <c r="D806" i="101"/>
  <c r="F806" i="101"/>
  <c r="AS806" i="101" s="1"/>
  <c r="G859" i="101"/>
  <c r="C859" i="134" s="1"/>
  <c r="E861" i="135" s="1"/>
  <c r="E861" i="139" s="1"/>
  <c r="F859" i="101"/>
  <c r="G827" i="101"/>
  <c r="C827" i="134" s="1"/>
  <c r="E829" i="135" s="1"/>
  <c r="E829" i="139" s="1"/>
  <c r="F827" i="101"/>
  <c r="AS827" i="101" s="1"/>
  <c r="E947" i="101"/>
  <c r="D947" i="134" s="1"/>
  <c r="C949" i="135" s="1"/>
  <c r="C949" i="139" s="1"/>
  <c r="G930" i="101"/>
  <c r="C930" i="134" s="1"/>
  <c r="E932" i="135" s="1"/>
  <c r="E932" i="139" s="1"/>
  <c r="E925" i="101"/>
  <c r="D925" i="134" s="1"/>
  <c r="C927" i="135" s="1"/>
  <c r="C927" i="139" s="1"/>
  <c r="E920" i="101"/>
  <c r="D920" i="134" s="1"/>
  <c r="C922" i="135" s="1"/>
  <c r="C922" i="139" s="1"/>
  <c r="E915" i="101"/>
  <c r="D915" i="134" s="1"/>
  <c r="C917" i="135" s="1"/>
  <c r="C917" i="139" s="1"/>
  <c r="G903" i="101"/>
  <c r="C903" i="134" s="1"/>
  <c r="E905" i="135" s="1"/>
  <c r="E905" i="139" s="1"/>
  <c r="F879" i="101"/>
  <c r="E877" i="101"/>
  <c r="D877" i="134" s="1"/>
  <c r="C879" i="135" s="1"/>
  <c r="C879" i="139" s="1"/>
  <c r="F822" i="101"/>
  <c r="AS822" i="101" s="1"/>
  <c r="G822" i="101"/>
  <c r="C822" i="134" s="1"/>
  <c r="E824" i="135" s="1"/>
  <c r="E824" i="139" s="1"/>
  <c r="E822" i="101"/>
  <c r="D822" i="134" s="1"/>
  <c r="C824" i="135" s="1"/>
  <c r="C824" i="139" s="1"/>
  <c r="G811" i="101"/>
  <c r="C811" i="134" s="1"/>
  <c r="E813" i="135" s="1"/>
  <c r="E813" i="139" s="1"/>
  <c r="F792" i="101"/>
  <c r="AS792" i="101" s="1"/>
  <c r="E696" i="101"/>
  <c r="D696" i="134" s="1"/>
  <c r="C698" i="135" s="1"/>
  <c r="C698" i="139" s="1"/>
  <c r="F696" i="101"/>
  <c r="AS696" i="101" s="1"/>
  <c r="G696" i="101"/>
  <c r="C696" i="134" s="1"/>
  <c r="E698" i="135" s="1"/>
  <c r="E698" i="139" s="1"/>
  <c r="D696" i="101"/>
  <c r="E663" i="101"/>
  <c r="D663" i="134" s="1"/>
  <c r="C665" i="135" s="1"/>
  <c r="C665" i="139" s="1"/>
  <c r="F663" i="101"/>
  <c r="AS663" i="101" s="1"/>
  <c r="G663" i="101"/>
  <c r="C663" i="134" s="1"/>
  <c r="E665" i="135" s="1"/>
  <c r="E665" i="139" s="1"/>
  <c r="D663" i="101"/>
  <c r="F767" i="101"/>
  <c r="AS767" i="101" s="1"/>
  <c r="G767" i="101"/>
  <c r="C767" i="134" s="1"/>
  <c r="E769" i="135" s="1"/>
  <c r="E769" i="139" s="1"/>
  <c r="E767" i="101"/>
  <c r="D767" i="134" s="1"/>
  <c r="C769" i="135" s="1"/>
  <c r="C769" i="139" s="1"/>
  <c r="D744" i="101"/>
  <c r="G744" i="101"/>
  <c r="C744" i="134" s="1"/>
  <c r="E746" i="135" s="1"/>
  <c r="E746" i="139" s="1"/>
  <c r="F930" i="101"/>
  <c r="D925" i="101"/>
  <c r="F903" i="101"/>
  <c r="D877" i="101"/>
  <c r="E811" i="101"/>
  <c r="D811" i="134" s="1"/>
  <c r="C813" i="135" s="1"/>
  <c r="C813" i="139" s="1"/>
  <c r="E792" i="101"/>
  <c r="D792" i="134" s="1"/>
  <c r="C794" i="135" s="1"/>
  <c r="C794" i="139" s="1"/>
  <c r="F790" i="101"/>
  <c r="AS790" i="101" s="1"/>
  <c r="F761" i="101"/>
  <c r="AS761" i="101" s="1"/>
  <c r="E761" i="101"/>
  <c r="D761" i="134" s="1"/>
  <c r="C763" i="135" s="1"/>
  <c r="C763" i="139" s="1"/>
  <c r="F752" i="101"/>
  <c r="AS752" i="101" s="1"/>
  <c r="E752" i="101"/>
  <c r="D752" i="134" s="1"/>
  <c r="C754" i="135" s="1"/>
  <c r="C754" i="139" s="1"/>
  <c r="G752" i="101"/>
  <c r="C752" i="134" s="1"/>
  <c r="E754" i="135" s="1"/>
  <c r="E754" i="139" s="1"/>
  <c r="D752" i="101"/>
  <c r="D693" i="101"/>
  <c r="E641" i="101"/>
  <c r="D641" i="134" s="1"/>
  <c r="C643" i="135" s="1"/>
  <c r="C643" i="139" s="1"/>
  <c r="G698" i="101"/>
  <c r="C698" i="134" s="1"/>
  <c r="E700" i="135" s="1"/>
  <c r="E700" i="139" s="1"/>
  <c r="F698" i="101"/>
  <c r="AS698" i="101" s="1"/>
  <c r="E698" i="101"/>
  <c r="D698" i="134" s="1"/>
  <c r="C700" i="135" s="1"/>
  <c r="C700" i="139" s="1"/>
  <c r="D774" i="101"/>
  <c r="F774" i="101"/>
  <c r="AS774" i="101" s="1"/>
  <c r="F733" i="101"/>
  <c r="AS733" i="101" s="1"/>
  <c r="G733" i="101"/>
  <c r="C733" i="134" s="1"/>
  <c r="E735" i="135" s="1"/>
  <c r="E735" i="139" s="1"/>
  <c r="E733" i="101"/>
  <c r="D733" i="134" s="1"/>
  <c r="C735" i="135" s="1"/>
  <c r="C735" i="139" s="1"/>
  <c r="F681" i="101"/>
  <c r="AS681" i="101" s="1"/>
  <c r="G681" i="101"/>
  <c r="C681" i="134" s="1"/>
  <c r="E683" i="135" s="1"/>
  <c r="E683" i="139" s="1"/>
  <c r="G928" i="101"/>
  <c r="C928" i="134" s="1"/>
  <c r="E930" i="135" s="1"/>
  <c r="E930" i="139" s="1"/>
  <c r="G923" i="101"/>
  <c r="C923" i="134" s="1"/>
  <c r="E925" i="135" s="1"/>
  <c r="E925" i="139" s="1"/>
  <c r="G889" i="101"/>
  <c r="C889" i="134" s="1"/>
  <c r="E891" i="135" s="1"/>
  <c r="E891" i="139" s="1"/>
  <c r="F881" i="101"/>
  <c r="G881" i="101"/>
  <c r="C881" i="134" s="1"/>
  <c r="E883" i="135" s="1"/>
  <c r="E883" i="139" s="1"/>
  <c r="E881" i="101"/>
  <c r="D881" i="134" s="1"/>
  <c r="C883" i="135" s="1"/>
  <c r="C883" i="139" s="1"/>
  <c r="D811" i="101"/>
  <c r="E790" i="101"/>
  <c r="D790" i="134" s="1"/>
  <c r="C792" i="135" s="1"/>
  <c r="C792" i="139" s="1"/>
  <c r="G740" i="101"/>
  <c r="C740" i="134" s="1"/>
  <c r="E742" i="135" s="1"/>
  <c r="E742" i="139" s="1"/>
  <c r="E876" i="101"/>
  <c r="D876" i="134" s="1"/>
  <c r="C878" i="135" s="1"/>
  <c r="C878" i="139" s="1"/>
  <c r="F876" i="101"/>
  <c r="D876" i="101"/>
  <c r="F810" i="101"/>
  <c r="AS810" i="101" s="1"/>
  <c r="G810" i="101"/>
  <c r="C810" i="134" s="1"/>
  <c r="E812" i="135" s="1"/>
  <c r="E812" i="139" s="1"/>
  <c r="E810" i="101"/>
  <c r="D810" i="134" s="1"/>
  <c r="C812" i="135" s="1"/>
  <c r="C812" i="139" s="1"/>
  <c r="E844" i="101"/>
  <c r="D844" i="134" s="1"/>
  <c r="C846" i="135" s="1"/>
  <c r="C846" i="139" s="1"/>
  <c r="F844" i="101"/>
  <c r="G844" i="101"/>
  <c r="C844" i="134" s="1"/>
  <c r="E846" i="135" s="1"/>
  <c r="E846" i="139" s="1"/>
  <c r="D844" i="101"/>
  <c r="D776" i="101"/>
  <c r="G776" i="101"/>
  <c r="C776" i="134" s="1"/>
  <c r="E778" i="135" s="1"/>
  <c r="E778" i="139" s="1"/>
  <c r="F901" i="101"/>
  <c r="G901" i="101"/>
  <c r="C901" i="134" s="1"/>
  <c r="E903" i="135" s="1"/>
  <c r="E903" i="139" s="1"/>
  <c r="G804" i="101"/>
  <c r="C804" i="134" s="1"/>
  <c r="E806" i="135" s="1"/>
  <c r="E806" i="139" s="1"/>
  <c r="D796" i="101"/>
  <c r="G796" i="101"/>
  <c r="C796" i="134" s="1"/>
  <c r="E798" i="135" s="1"/>
  <c r="E798" i="139" s="1"/>
  <c r="F796" i="101"/>
  <c r="AS796" i="101" s="1"/>
  <c r="F765" i="101"/>
  <c r="AS765" i="101" s="1"/>
  <c r="F740" i="101"/>
  <c r="AS740" i="101" s="1"/>
  <c r="D710" i="101"/>
  <c r="G710" i="101"/>
  <c r="C710" i="134" s="1"/>
  <c r="E712" i="135" s="1"/>
  <c r="E712" i="139" s="1"/>
  <c r="F710" i="101"/>
  <c r="AS710" i="101" s="1"/>
  <c r="G641" i="101"/>
  <c r="C641" i="134" s="1"/>
  <c r="E643" i="135" s="1"/>
  <c r="E643" i="139" s="1"/>
  <c r="F641" i="101"/>
  <c r="AS641" i="101" s="1"/>
  <c r="E630" i="101"/>
  <c r="D630" i="134" s="1"/>
  <c r="C632" i="135" s="1"/>
  <c r="C632" i="139" s="1"/>
  <c r="G630" i="101"/>
  <c r="C630" i="134" s="1"/>
  <c r="E632" i="135" s="1"/>
  <c r="E632" i="139" s="1"/>
  <c r="D630" i="101"/>
  <c r="G891" i="101"/>
  <c r="C891" i="134" s="1"/>
  <c r="E893" i="135" s="1"/>
  <c r="E893" i="139" s="1"/>
  <c r="F891" i="101"/>
  <c r="F849" i="101"/>
  <c r="G849" i="101"/>
  <c r="C849" i="134" s="1"/>
  <c r="E851" i="135" s="1"/>
  <c r="E851" i="139" s="1"/>
  <c r="E849" i="101"/>
  <c r="D849" i="134" s="1"/>
  <c r="C851" i="135" s="1"/>
  <c r="C851" i="139" s="1"/>
  <c r="E765" i="101"/>
  <c r="D765" i="134" s="1"/>
  <c r="C767" i="135" s="1"/>
  <c r="C767" i="139" s="1"/>
  <c r="D724" i="101"/>
  <c r="E724" i="101"/>
  <c r="D724" i="134" s="1"/>
  <c r="C726" i="135" s="1"/>
  <c r="C726" i="139" s="1"/>
  <c r="G724" i="101"/>
  <c r="C724" i="134" s="1"/>
  <c r="E726" i="135" s="1"/>
  <c r="E726" i="139" s="1"/>
  <c r="F715" i="101"/>
  <c r="AS715" i="101" s="1"/>
  <c r="E715" i="101"/>
  <c r="D715" i="134" s="1"/>
  <c r="C717" i="135" s="1"/>
  <c r="C717" i="139" s="1"/>
  <c r="G715" i="101"/>
  <c r="C715" i="134" s="1"/>
  <c r="E717" i="135" s="1"/>
  <c r="E717" i="139" s="1"/>
  <c r="D715" i="101"/>
  <c r="E645" i="101"/>
  <c r="D645" i="134" s="1"/>
  <c r="C647" i="135" s="1"/>
  <c r="C647" i="139" s="1"/>
  <c r="F729" i="101"/>
  <c r="AS729" i="101" s="1"/>
  <c r="D729" i="101"/>
  <c r="E729" i="101"/>
  <c r="D729" i="134" s="1"/>
  <c r="C731" i="135" s="1"/>
  <c r="C731" i="139" s="1"/>
  <c r="F727" i="101"/>
  <c r="AS727" i="101" s="1"/>
  <c r="D727" i="101"/>
  <c r="D662" i="101"/>
  <c r="E662" i="101"/>
  <c r="D662" i="134" s="1"/>
  <c r="C664" i="135" s="1"/>
  <c r="C664" i="139" s="1"/>
  <c r="C267" i="134"/>
  <c r="E269" i="135" s="1"/>
  <c r="E269" i="139" s="1"/>
  <c r="F705" i="101"/>
  <c r="AS705" i="101" s="1"/>
  <c r="E705" i="101"/>
  <c r="D705" i="134" s="1"/>
  <c r="C707" i="135" s="1"/>
  <c r="C707" i="139" s="1"/>
  <c r="G705" i="101"/>
  <c r="C705" i="134" s="1"/>
  <c r="E707" i="135" s="1"/>
  <c r="E707" i="139" s="1"/>
  <c r="D705" i="101"/>
  <c r="E638" i="101"/>
  <c r="D638" i="134" s="1"/>
  <c r="C640" i="135" s="1"/>
  <c r="C640" i="139" s="1"/>
  <c r="G638" i="101"/>
  <c r="C638" i="134" s="1"/>
  <c r="E640" i="135" s="1"/>
  <c r="E640" i="139" s="1"/>
  <c r="D638" i="101"/>
  <c r="F638" i="101"/>
  <c r="AS638" i="101" s="1"/>
  <c r="G636" i="101"/>
  <c r="C636" i="134" s="1"/>
  <c r="E638" i="135" s="1"/>
  <c r="E638" i="139" s="1"/>
  <c r="F636" i="101"/>
  <c r="AS636" i="101" s="1"/>
  <c r="F863" i="101"/>
  <c r="F836" i="101"/>
  <c r="F831" i="101"/>
  <c r="G814" i="101"/>
  <c r="C814" i="134" s="1"/>
  <c r="E816" i="135" s="1"/>
  <c r="E816" i="139" s="1"/>
  <c r="G793" i="101"/>
  <c r="C793" i="134" s="1"/>
  <c r="E795" i="135" s="1"/>
  <c r="E795" i="139" s="1"/>
  <c r="G777" i="101"/>
  <c r="C777" i="134" s="1"/>
  <c r="E779" i="135" s="1"/>
  <c r="E779" i="139" s="1"/>
  <c r="AS762" i="101"/>
  <c r="AS763" i="101" s="1"/>
  <c r="G745" i="101"/>
  <c r="C745" i="134" s="1"/>
  <c r="E747" i="135" s="1"/>
  <c r="E747" i="139" s="1"/>
  <c r="F701" i="101"/>
  <c r="AS701" i="101" s="1"/>
  <c r="F671" i="101"/>
  <c r="AS671" i="101" s="1"/>
  <c r="G654" i="101"/>
  <c r="C654" i="134" s="1"/>
  <c r="E656" i="135" s="1"/>
  <c r="E656" i="139" s="1"/>
  <c r="G652" i="101"/>
  <c r="C652" i="134" s="1"/>
  <c r="E654" i="135" s="1"/>
  <c r="E654" i="139" s="1"/>
  <c r="G650" i="101"/>
  <c r="C650" i="134" s="1"/>
  <c r="E652" i="135" s="1"/>
  <c r="E652" i="139" s="1"/>
  <c r="E890" i="101"/>
  <c r="D890" i="134" s="1"/>
  <c r="C892" i="135" s="1"/>
  <c r="C892" i="139" s="1"/>
  <c r="G888" i="101"/>
  <c r="C888" i="134" s="1"/>
  <c r="E890" i="135" s="1"/>
  <c r="E890" i="139" s="1"/>
  <c r="G883" i="101"/>
  <c r="C883" i="134" s="1"/>
  <c r="E885" i="135" s="1"/>
  <c r="E885" i="139" s="1"/>
  <c r="F878" i="101"/>
  <c r="F873" i="101"/>
  <c r="E863" i="101"/>
  <c r="D863" i="134" s="1"/>
  <c r="C865" i="135" s="1"/>
  <c r="C865" i="139" s="1"/>
  <c r="E858" i="101"/>
  <c r="D858" i="134" s="1"/>
  <c r="C860" i="135" s="1"/>
  <c r="C860" i="139" s="1"/>
  <c r="G856" i="101"/>
  <c r="C856" i="134" s="1"/>
  <c r="E858" i="135" s="1"/>
  <c r="E858" i="139" s="1"/>
  <c r="G851" i="101"/>
  <c r="C851" i="134" s="1"/>
  <c r="E853" i="135" s="1"/>
  <c r="E853" i="139" s="1"/>
  <c r="F846" i="101"/>
  <c r="F841" i="101"/>
  <c r="E836" i="101"/>
  <c r="D836" i="134" s="1"/>
  <c r="C838" i="135" s="1"/>
  <c r="C838" i="139" s="1"/>
  <c r="E831" i="101"/>
  <c r="D831" i="134" s="1"/>
  <c r="C833" i="135" s="1"/>
  <c r="C833" i="139" s="1"/>
  <c r="G824" i="101"/>
  <c r="C824" i="134" s="1"/>
  <c r="E826" i="135" s="1"/>
  <c r="E826" i="139" s="1"/>
  <c r="G819" i="101"/>
  <c r="C819" i="134" s="1"/>
  <c r="E821" i="135" s="1"/>
  <c r="E821" i="139" s="1"/>
  <c r="F814" i="101"/>
  <c r="AS814" i="101" s="1"/>
  <c r="F807" i="101"/>
  <c r="AS807" i="101" s="1"/>
  <c r="F800" i="101"/>
  <c r="AS800" i="101" s="1"/>
  <c r="E793" i="101"/>
  <c r="D793" i="134" s="1"/>
  <c r="C795" i="135" s="1"/>
  <c r="C795" i="139" s="1"/>
  <c r="E777" i="101"/>
  <c r="D777" i="134" s="1"/>
  <c r="C779" i="135" s="1"/>
  <c r="C779" i="139" s="1"/>
  <c r="F775" i="101"/>
  <c r="G773" i="101"/>
  <c r="C773" i="134" s="1"/>
  <c r="E775" i="135" s="1"/>
  <c r="E775" i="139" s="1"/>
  <c r="F764" i="101"/>
  <c r="D764" i="101"/>
  <c r="D762" i="134"/>
  <c r="C764" i="135" s="1"/>
  <c r="C764" i="139" s="1"/>
  <c r="F760" i="101"/>
  <c r="AS760" i="101" s="1"/>
  <c r="E745" i="101"/>
  <c r="D745" i="134" s="1"/>
  <c r="C747" i="135" s="1"/>
  <c r="C747" i="139" s="1"/>
  <c r="G741" i="101"/>
  <c r="C741" i="134" s="1"/>
  <c r="E743" i="135" s="1"/>
  <c r="E743" i="139" s="1"/>
  <c r="G723" i="101"/>
  <c r="C723" i="134" s="1"/>
  <c r="E725" i="135" s="1"/>
  <c r="E725" i="139" s="1"/>
  <c r="E701" i="101"/>
  <c r="D701" i="134" s="1"/>
  <c r="C703" i="135" s="1"/>
  <c r="C703" i="139" s="1"/>
  <c r="F673" i="101"/>
  <c r="AS673" i="101" s="1"/>
  <c r="E673" i="101"/>
  <c r="D673" i="134" s="1"/>
  <c r="C675" i="135" s="1"/>
  <c r="C675" i="139" s="1"/>
  <c r="G673" i="101"/>
  <c r="C673" i="134" s="1"/>
  <c r="E675" i="135" s="1"/>
  <c r="E675" i="139" s="1"/>
  <c r="D673" i="101"/>
  <c r="E671" i="101"/>
  <c r="D671" i="134" s="1"/>
  <c r="C673" i="135" s="1"/>
  <c r="C673" i="139" s="1"/>
  <c r="G669" i="101"/>
  <c r="C669" i="134" s="1"/>
  <c r="E671" i="135" s="1"/>
  <c r="E671" i="139" s="1"/>
  <c r="F654" i="101"/>
  <c r="AS654" i="101" s="1"/>
  <c r="F652" i="101"/>
  <c r="AS652" i="101" s="1"/>
  <c r="F650" i="101"/>
  <c r="AS650" i="101" s="1"/>
  <c r="G893" i="101"/>
  <c r="C893" i="134" s="1"/>
  <c r="E895" i="135" s="1"/>
  <c r="E895" i="139" s="1"/>
  <c r="F888" i="101"/>
  <c r="F883" i="101"/>
  <c r="G861" i="101"/>
  <c r="C861" i="134" s="1"/>
  <c r="E863" i="135" s="1"/>
  <c r="E863" i="139" s="1"/>
  <c r="F856" i="101"/>
  <c r="F851" i="101"/>
  <c r="G829" i="101"/>
  <c r="C829" i="134" s="1"/>
  <c r="E831" i="135" s="1"/>
  <c r="E831" i="139" s="1"/>
  <c r="F824" i="101"/>
  <c r="AS824" i="101" s="1"/>
  <c r="F819" i="101"/>
  <c r="AS819" i="101" s="1"/>
  <c r="D814" i="134"/>
  <c r="C816" i="135" s="1"/>
  <c r="C816" i="139" s="1"/>
  <c r="G812" i="101"/>
  <c r="C812" i="134" s="1"/>
  <c r="E814" i="135" s="1"/>
  <c r="E814" i="139" s="1"/>
  <c r="G805" i="101"/>
  <c r="C805" i="134" s="1"/>
  <c r="E807" i="135" s="1"/>
  <c r="E807" i="139" s="1"/>
  <c r="D793" i="101"/>
  <c r="D777" i="101"/>
  <c r="F773" i="101"/>
  <c r="D762" i="101"/>
  <c r="G758" i="101"/>
  <c r="C758" i="134" s="1"/>
  <c r="E760" i="135" s="1"/>
  <c r="E760" i="139" s="1"/>
  <c r="G756" i="101"/>
  <c r="C756" i="134" s="1"/>
  <c r="E758" i="135" s="1"/>
  <c r="E758" i="139" s="1"/>
  <c r="D745" i="101"/>
  <c r="F723" i="101"/>
  <c r="AS723" i="101" s="1"/>
  <c r="G688" i="101"/>
  <c r="C688" i="134" s="1"/>
  <c r="E690" i="135" s="1"/>
  <c r="E690" i="139" s="1"/>
  <c r="F688" i="101"/>
  <c r="AS688" i="101" s="1"/>
  <c r="F669" i="101"/>
  <c r="AS669" i="101" s="1"/>
  <c r="E654" i="101"/>
  <c r="D654" i="134" s="1"/>
  <c r="C656" i="135" s="1"/>
  <c r="C656" i="139" s="1"/>
  <c r="E650" i="101"/>
  <c r="D650" i="134" s="1"/>
  <c r="C652" i="135" s="1"/>
  <c r="C652" i="139" s="1"/>
  <c r="D741" i="101"/>
  <c r="F741" i="101"/>
  <c r="AS741" i="101" s="1"/>
  <c r="F737" i="101"/>
  <c r="AS737" i="101" s="1"/>
  <c r="G737" i="101"/>
  <c r="C737" i="134" s="1"/>
  <c r="E739" i="135" s="1"/>
  <c r="E739" i="139" s="1"/>
  <c r="D737" i="101"/>
  <c r="D893" i="101"/>
  <c r="F866" i="101"/>
  <c r="D861" i="101"/>
  <c r="F834" i="101"/>
  <c r="D829" i="101"/>
  <c r="E812" i="101"/>
  <c r="D812" i="134" s="1"/>
  <c r="C814" i="135" s="1"/>
  <c r="C814" i="139" s="1"/>
  <c r="E805" i="101"/>
  <c r="D805" i="134" s="1"/>
  <c r="C807" i="135" s="1"/>
  <c r="C807" i="139" s="1"/>
  <c r="F798" i="101"/>
  <c r="AS798" i="101" s="1"/>
  <c r="F791" i="101"/>
  <c r="AS791" i="101" s="1"/>
  <c r="E758" i="101"/>
  <c r="D758" i="134" s="1"/>
  <c r="C760" i="135" s="1"/>
  <c r="C760" i="139" s="1"/>
  <c r="D739" i="101"/>
  <c r="G739" i="101"/>
  <c r="C739" i="134" s="1"/>
  <c r="E741" i="135" s="1"/>
  <c r="E741" i="139" s="1"/>
  <c r="G727" i="101"/>
  <c r="C727" i="134" s="1"/>
  <c r="E729" i="135" s="1"/>
  <c r="E729" i="139" s="1"/>
  <c r="E725" i="101"/>
  <c r="D725" i="134" s="1"/>
  <c r="C727" i="135" s="1"/>
  <c r="C727" i="139" s="1"/>
  <c r="E713" i="101"/>
  <c r="D713" i="134" s="1"/>
  <c r="C715" i="135" s="1"/>
  <c r="C715" i="139" s="1"/>
  <c r="D694" i="101"/>
  <c r="E694" i="101"/>
  <c r="D694" i="134" s="1"/>
  <c r="C696" i="135" s="1"/>
  <c r="C696" i="139" s="1"/>
  <c r="G662" i="101"/>
  <c r="C662" i="134" s="1"/>
  <c r="E664" i="135" s="1"/>
  <c r="E664" i="139" s="1"/>
  <c r="G656" i="101"/>
  <c r="C656" i="134" s="1"/>
  <c r="E658" i="135" s="1"/>
  <c r="E658" i="139" s="1"/>
  <c r="F656" i="101"/>
  <c r="AS656" i="101" s="1"/>
  <c r="E798" i="101"/>
  <c r="D798" i="134" s="1"/>
  <c r="C800" i="135" s="1"/>
  <c r="C800" i="139" s="1"/>
  <c r="D771" i="101"/>
  <c r="G771" i="101"/>
  <c r="C771" i="134" s="1"/>
  <c r="E773" i="135" s="1"/>
  <c r="E773" i="139" s="1"/>
  <c r="F769" i="101"/>
  <c r="AS769" i="101" s="1"/>
  <c r="G769" i="101"/>
  <c r="C769" i="134" s="1"/>
  <c r="E771" i="135" s="1"/>
  <c r="E771" i="139" s="1"/>
  <c r="D769" i="101"/>
  <c r="G729" i="101"/>
  <c r="C729" i="134" s="1"/>
  <c r="E731" i="135" s="1"/>
  <c r="E731" i="139" s="1"/>
  <c r="D727" i="134"/>
  <c r="C729" i="135" s="1"/>
  <c r="C729" i="139" s="1"/>
  <c r="D725" i="101"/>
  <c r="D719" i="101"/>
  <c r="E719" i="101"/>
  <c r="D719" i="134" s="1"/>
  <c r="C721" i="135" s="1"/>
  <c r="C721" i="139" s="1"/>
  <c r="G719" i="101"/>
  <c r="C719" i="134" s="1"/>
  <c r="E721" i="135" s="1"/>
  <c r="E721" i="139" s="1"/>
  <c r="D713" i="101"/>
  <c r="C270" i="134"/>
  <c r="E272" i="135" s="1"/>
  <c r="E272" i="139" s="1"/>
  <c r="F714" i="101"/>
  <c r="AS714" i="101" s="1"/>
  <c r="F709" i="101"/>
  <c r="AS709" i="101" s="1"/>
  <c r="G692" i="101"/>
  <c r="C692" i="134" s="1"/>
  <c r="E694" i="135" s="1"/>
  <c r="E694" i="139" s="1"/>
  <c r="G687" i="101"/>
  <c r="C687" i="134" s="1"/>
  <c r="E689" i="135" s="1"/>
  <c r="E689" i="139" s="1"/>
  <c r="F682" i="101"/>
  <c r="AS682" i="101" s="1"/>
  <c r="F677" i="101"/>
  <c r="AS677" i="101" s="1"/>
  <c r="G660" i="101"/>
  <c r="C660" i="134" s="1"/>
  <c r="E662" i="135" s="1"/>
  <c r="E662" i="139" s="1"/>
  <c r="G655" i="101"/>
  <c r="C655" i="134" s="1"/>
  <c r="E657" i="135" s="1"/>
  <c r="E657" i="139" s="1"/>
  <c r="G766" i="101"/>
  <c r="C766" i="134" s="1"/>
  <c r="E768" i="135" s="1"/>
  <c r="E768" i="139" s="1"/>
  <c r="G734" i="101"/>
  <c r="C734" i="134" s="1"/>
  <c r="E736" i="135" s="1"/>
  <c r="E736" i="139" s="1"/>
  <c r="G712" i="101"/>
  <c r="C712" i="134" s="1"/>
  <c r="E714" i="135" s="1"/>
  <c r="E714" i="139" s="1"/>
  <c r="G707" i="101"/>
  <c r="C707" i="134" s="1"/>
  <c r="E709" i="135" s="1"/>
  <c r="E709" i="139" s="1"/>
  <c r="G702" i="101"/>
  <c r="C702" i="134" s="1"/>
  <c r="E704" i="135" s="1"/>
  <c r="E704" i="139" s="1"/>
  <c r="D697" i="134"/>
  <c r="C699" i="135" s="1"/>
  <c r="C699" i="139" s="1"/>
  <c r="E692" i="101"/>
  <c r="D692" i="134" s="1"/>
  <c r="C694" i="135" s="1"/>
  <c r="C694" i="139" s="1"/>
  <c r="E687" i="101"/>
  <c r="D687" i="134" s="1"/>
  <c r="C689" i="135" s="1"/>
  <c r="C689" i="139" s="1"/>
  <c r="G680" i="101"/>
  <c r="C680" i="134" s="1"/>
  <c r="E682" i="135" s="1"/>
  <c r="E682" i="139" s="1"/>
  <c r="G675" i="101"/>
  <c r="C675" i="134" s="1"/>
  <c r="E677" i="135" s="1"/>
  <c r="E677" i="139" s="1"/>
  <c r="G670" i="101"/>
  <c r="C670" i="134" s="1"/>
  <c r="E672" i="135" s="1"/>
  <c r="E672" i="139" s="1"/>
  <c r="E665" i="101"/>
  <c r="D665" i="134" s="1"/>
  <c r="C667" i="135" s="1"/>
  <c r="C667" i="139" s="1"/>
  <c r="E660" i="101"/>
  <c r="D660" i="134" s="1"/>
  <c r="C662" i="135" s="1"/>
  <c r="C662" i="139" s="1"/>
  <c r="E655" i="101"/>
  <c r="D655" i="134" s="1"/>
  <c r="C657" i="135" s="1"/>
  <c r="C657" i="139" s="1"/>
  <c r="E633" i="101"/>
  <c r="D633" i="134" s="1"/>
  <c r="C635" i="135" s="1"/>
  <c r="C635" i="139" s="1"/>
  <c r="D506" i="134"/>
  <c r="C508" i="135" s="1"/>
  <c r="C508" i="139" s="1"/>
  <c r="F712" i="101"/>
  <c r="AS712" i="101" s="1"/>
  <c r="F707" i="101"/>
  <c r="AS707" i="101" s="1"/>
  <c r="D697" i="101"/>
  <c r="F680" i="101"/>
  <c r="AS680" i="101" s="1"/>
  <c r="F675" i="101"/>
  <c r="AS675" i="101" s="1"/>
  <c r="D665" i="101"/>
  <c r="D646" i="134"/>
  <c r="C648" i="135" s="1"/>
  <c r="C648" i="139" s="1"/>
  <c r="D646" i="101"/>
  <c r="E712" i="101"/>
  <c r="D712" i="134" s="1"/>
  <c r="C714" i="135" s="1"/>
  <c r="C714" i="139" s="1"/>
  <c r="E680" i="101"/>
  <c r="D680" i="134" s="1"/>
  <c r="C682" i="135" s="1"/>
  <c r="C682" i="139" s="1"/>
  <c r="E675" i="101"/>
  <c r="D675" i="134" s="1"/>
  <c r="C677" i="135" s="1"/>
  <c r="C677" i="139" s="1"/>
  <c r="G633" i="101"/>
  <c r="C633" i="134" s="1"/>
  <c r="E635" i="135" s="1"/>
  <c r="E635" i="139" s="1"/>
  <c r="F633" i="101"/>
  <c r="AS633" i="101" s="1"/>
  <c r="D285" i="134"/>
  <c r="C287" i="135" s="1"/>
  <c r="C287" i="139" s="1"/>
  <c r="AS227" i="101"/>
  <c r="D448" i="134"/>
  <c r="C450" i="135" s="1"/>
  <c r="C450" i="139" s="1"/>
  <c r="AS466" i="101"/>
  <c r="D305" i="134"/>
  <c r="C307" i="135" s="1"/>
  <c r="C307" i="139" s="1"/>
  <c r="D596" i="134"/>
  <c r="C598" i="135" s="1"/>
  <c r="C598" i="139" s="1"/>
  <c r="D217" i="134"/>
  <c r="C219" i="135" s="1"/>
  <c r="C219" i="139" s="1"/>
  <c r="D397" i="134"/>
  <c r="C399" i="135" s="1"/>
  <c r="C399" i="139" s="1"/>
  <c r="D429" i="134"/>
  <c r="C431" i="135" s="1"/>
  <c r="C431" i="139" s="1"/>
  <c r="C268" i="134"/>
  <c r="E270" i="135" s="1"/>
  <c r="E270" i="139" s="1"/>
  <c r="AS280" i="101"/>
  <c r="D177" i="134"/>
  <c r="C179" i="135" s="1"/>
  <c r="C179" i="139" s="1"/>
  <c r="D325" i="134"/>
  <c r="C327" i="135" s="1"/>
  <c r="C327" i="139" s="1"/>
  <c r="D196" i="134"/>
  <c r="C198" i="135" s="1"/>
  <c r="C198" i="139" s="1"/>
  <c r="D77" i="134"/>
  <c r="C79" i="135" s="1"/>
  <c r="C79" i="139" s="1"/>
  <c r="D110" i="134"/>
  <c r="C112" i="135" s="1"/>
  <c r="C112" i="139" s="1"/>
  <c r="D26" i="134"/>
  <c r="C28" i="135" s="1"/>
  <c r="C28" i="139" s="1"/>
  <c r="D136" i="134"/>
  <c r="C138" i="135" s="1"/>
  <c r="C138" i="139" s="1"/>
  <c r="D126" i="134"/>
  <c r="C128" i="135" s="1"/>
  <c r="C128" i="139" s="1"/>
  <c r="D46" i="134"/>
  <c r="C48" i="135" s="1"/>
  <c r="C48" i="139" s="1"/>
  <c r="D36" i="134"/>
  <c r="C38" i="135" s="1"/>
  <c r="C38" i="139" s="1"/>
  <c r="E13" i="101"/>
  <c r="D13" i="134" s="1"/>
  <c r="AR828" i="101" l="1"/>
  <c r="AS828" i="101"/>
  <c r="AR826" i="101"/>
  <c r="AS826" i="101"/>
  <c r="AR818" i="101"/>
  <c r="AS818" i="101"/>
  <c r="AR813" i="101"/>
  <c r="AS813" i="101"/>
  <c r="E809" i="134"/>
  <c r="D811" i="135" s="1"/>
  <c r="D811" i="139" s="1"/>
  <c r="AS809" i="101"/>
  <c r="AR808" i="101"/>
  <c r="AS808" i="101"/>
  <c r="E802" i="134"/>
  <c r="D804" i="135" s="1"/>
  <c r="D804" i="139" s="1"/>
  <c r="AS802" i="101"/>
  <c r="E797" i="134"/>
  <c r="D799" i="135" s="1"/>
  <c r="D799" i="139" s="1"/>
  <c r="AS797" i="101"/>
  <c r="AR788" i="101"/>
  <c r="AS788" i="101"/>
  <c r="E787" i="134"/>
  <c r="D789" i="135" s="1"/>
  <c r="D789" i="139" s="1"/>
  <c r="E786" i="134"/>
  <c r="D788" i="135" s="1"/>
  <c r="D788" i="139" s="1"/>
  <c r="AS786" i="101"/>
  <c r="AR783" i="101"/>
  <c r="AS783" i="101"/>
  <c r="E781" i="134"/>
  <c r="D783" i="135" s="1"/>
  <c r="D783" i="139" s="1"/>
  <c r="AS781" i="101"/>
  <c r="AR780" i="101"/>
  <c r="AS780" i="101"/>
  <c r="E771" i="134"/>
  <c r="D773" i="135" s="1"/>
  <c r="D773" i="139" s="1"/>
  <c r="AS771" i="101"/>
  <c r="E770" i="134"/>
  <c r="D772" i="135" s="1"/>
  <c r="D772" i="139" s="1"/>
  <c r="AS770" i="101"/>
  <c r="E768" i="134"/>
  <c r="D770" i="135" s="1"/>
  <c r="D770" i="139" s="1"/>
  <c r="AS768" i="101"/>
  <c r="AR757" i="101"/>
  <c r="AS757" i="101"/>
  <c r="E753" i="134"/>
  <c r="D755" i="135" s="1"/>
  <c r="D755" i="139" s="1"/>
  <c r="AS753" i="101"/>
  <c r="E749" i="134"/>
  <c r="D751" i="135" s="1"/>
  <c r="D751" i="139" s="1"/>
  <c r="AS749" i="101"/>
  <c r="AR748" i="101"/>
  <c r="AS748" i="101"/>
  <c r="E746" i="134"/>
  <c r="D748" i="135" s="1"/>
  <c r="D748" i="139" s="1"/>
  <c r="AS746" i="101"/>
  <c r="E739" i="134"/>
  <c r="D741" i="135" s="1"/>
  <c r="D741" i="139" s="1"/>
  <c r="AS739" i="101"/>
  <c r="E736" i="134"/>
  <c r="D738" i="135" s="1"/>
  <c r="D738" i="139" s="1"/>
  <c r="AS736" i="101"/>
  <c r="E734" i="134"/>
  <c r="D736" i="135" s="1"/>
  <c r="D736" i="139" s="1"/>
  <c r="AS734" i="101"/>
  <c r="E728" i="134"/>
  <c r="D730" i="135" s="1"/>
  <c r="D730" i="139" s="1"/>
  <c r="AS728" i="101"/>
  <c r="E726" i="134"/>
  <c r="D728" i="135" s="1"/>
  <c r="D728" i="139" s="1"/>
  <c r="AS726" i="101"/>
  <c r="E711" i="134"/>
  <c r="D713" i="135" s="1"/>
  <c r="D713" i="139" s="1"/>
  <c r="AS711" i="101"/>
  <c r="E708" i="134"/>
  <c r="D710" i="135" s="1"/>
  <c r="D710" i="139" s="1"/>
  <c r="AS708" i="101"/>
  <c r="AR703" i="101"/>
  <c r="AS703" i="101"/>
  <c r="E702" i="134"/>
  <c r="D704" i="135" s="1"/>
  <c r="D704" i="139" s="1"/>
  <c r="AS702" i="101"/>
  <c r="E693" i="134"/>
  <c r="D695" i="135" s="1"/>
  <c r="D695" i="139" s="1"/>
  <c r="AS693" i="101"/>
  <c r="E692" i="134"/>
  <c r="D694" i="135" s="1"/>
  <c r="D694" i="139" s="1"/>
  <c r="AS692" i="101"/>
  <c r="E687" i="134"/>
  <c r="D689" i="135" s="1"/>
  <c r="D689" i="139" s="1"/>
  <c r="AS687" i="101"/>
  <c r="E685" i="134"/>
  <c r="D687" i="135" s="1"/>
  <c r="D687" i="139" s="1"/>
  <c r="AS685" i="101"/>
  <c r="AR676" i="101"/>
  <c r="AS676" i="101"/>
  <c r="AR672" i="101"/>
  <c r="AS672" i="101"/>
  <c r="E667" i="134"/>
  <c r="D669" i="135" s="1"/>
  <c r="D669" i="139" s="1"/>
  <c r="AS667" i="101"/>
  <c r="E666" i="134"/>
  <c r="D668" i="135" s="1"/>
  <c r="D668" i="139" s="1"/>
  <c r="AS666" i="101"/>
  <c r="AR661" i="101"/>
  <c r="AS661" i="101"/>
  <c r="E660" i="134"/>
  <c r="D662" i="135" s="1"/>
  <c r="D662" i="139" s="1"/>
  <c r="AS660" i="101"/>
  <c r="E659" i="134"/>
  <c r="D661" i="135" s="1"/>
  <c r="D661" i="139" s="1"/>
  <c r="AS659" i="101"/>
  <c r="AR653" i="101"/>
  <c r="AS653" i="101"/>
  <c r="E642" i="134"/>
  <c r="D644" i="135" s="1"/>
  <c r="D644" i="139" s="1"/>
  <c r="AS642" i="101"/>
  <c r="E637" i="134"/>
  <c r="D639" i="135" s="1"/>
  <c r="D639" i="139" s="1"/>
  <c r="AS637" i="101"/>
  <c r="E632" i="134"/>
  <c r="D634" i="135" s="1"/>
  <c r="D634" i="139" s="1"/>
  <c r="AS632" i="101"/>
  <c r="B612" i="139"/>
  <c r="B610" i="134"/>
  <c r="B612" i="135"/>
  <c r="B611" i="101"/>
  <c r="B594" i="135"/>
  <c r="B593" i="101"/>
  <c r="B594" i="139"/>
  <c r="B592" i="134"/>
  <c r="A607" i="101"/>
  <c r="B17" i="139"/>
  <c r="B249" i="135"/>
  <c r="B248" i="101"/>
  <c r="B110" i="134"/>
  <c r="B247" i="134"/>
  <c r="B112" i="135"/>
  <c r="B16" i="135"/>
  <c r="B112" i="139"/>
  <c r="B14" i="134"/>
  <c r="B16" i="139"/>
  <c r="B222" i="101"/>
  <c r="B223" i="139"/>
  <c r="B221" i="134"/>
  <c r="B223" i="135"/>
  <c r="B329" i="101"/>
  <c r="B330" i="139"/>
  <c r="B328" i="134"/>
  <c r="B330" i="135"/>
  <c r="B530" i="101"/>
  <c r="B532" i="135" s="1"/>
  <c r="B531" i="135"/>
  <c r="B531" i="139"/>
  <c r="B529" i="134"/>
  <c r="A418" i="135"/>
  <c r="A418" i="139" s="1"/>
  <c r="A277" i="135"/>
  <c r="A277" i="139" s="1"/>
  <c r="B562" i="135"/>
  <c r="B560" i="134"/>
  <c r="B562" i="139"/>
  <c r="A158" i="135"/>
  <c r="A158" i="139" s="1"/>
  <c r="B562" i="101"/>
  <c r="B563" i="139"/>
  <c r="B561" i="134"/>
  <c r="B563" i="135"/>
  <c r="B113" i="139"/>
  <c r="B112" i="101"/>
  <c r="B111" i="134"/>
  <c r="B475" i="101"/>
  <c r="B476" i="101" s="1"/>
  <c r="B476" i="139"/>
  <c r="B474" i="134"/>
  <c r="B476" i="135"/>
  <c r="B421" i="101"/>
  <c r="B423" i="135" s="1"/>
  <c r="B422" i="139"/>
  <c r="B420" i="134"/>
  <c r="B190" i="101"/>
  <c r="B189" i="134"/>
  <c r="B191" i="135"/>
  <c r="B191" i="139"/>
  <c r="B426" i="139"/>
  <c r="B424" i="134"/>
  <c r="B426" i="135"/>
  <c r="B425" i="101"/>
  <c r="B427" i="135" s="1"/>
  <c r="B131" i="101"/>
  <c r="B132" i="135"/>
  <c r="B130" i="134"/>
  <c r="B81" i="101"/>
  <c r="B82" i="139"/>
  <c r="B80" i="134"/>
  <c r="B82" i="135"/>
  <c r="B452" i="101"/>
  <c r="B453" i="139"/>
  <c r="B451" i="134"/>
  <c r="B453" i="135"/>
  <c r="A483" i="101"/>
  <c r="A496" i="101"/>
  <c r="C523" i="101"/>
  <c r="A524" i="101"/>
  <c r="A557" i="101"/>
  <c r="A588" i="101"/>
  <c r="B500" i="101"/>
  <c r="B501" i="135"/>
  <c r="B501" i="139"/>
  <c r="B499" i="134"/>
  <c r="B475" i="134"/>
  <c r="B359" i="134"/>
  <c r="B361" i="135"/>
  <c r="B360" i="101"/>
  <c r="B300" i="101"/>
  <c r="B301" i="135"/>
  <c r="B301" i="139"/>
  <c r="B280" i="101"/>
  <c r="B281" i="139"/>
  <c r="B279" i="134"/>
  <c r="B281" i="135"/>
  <c r="B395" i="139"/>
  <c r="B393" i="134"/>
  <c r="B395" i="135"/>
  <c r="B394" i="101"/>
  <c r="B421" i="134"/>
  <c r="A244" i="101"/>
  <c r="A356" i="101"/>
  <c r="A355" i="134"/>
  <c r="A357" i="135"/>
  <c r="A357" i="139" s="1"/>
  <c r="B374" i="139"/>
  <c r="B372" i="134"/>
  <c r="B374" i="135"/>
  <c r="B373" i="101"/>
  <c r="A216" i="101"/>
  <c r="A325" i="101"/>
  <c r="A447" i="101"/>
  <c r="A387" i="101"/>
  <c r="A425" i="101"/>
  <c r="A276" i="101"/>
  <c r="A417" i="101"/>
  <c r="A295" i="101"/>
  <c r="D472" i="134"/>
  <c r="C474" i="135" s="1"/>
  <c r="C474" i="139" s="1"/>
  <c r="E428" i="134"/>
  <c r="D430" i="135" s="1"/>
  <c r="D430" i="139" s="1"/>
  <c r="E426" i="134"/>
  <c r="D428" i="135" s="1"/>
  <c r="D428" i="139" s="1"/>
  <c r="E425" i="134"/>
  <c r="D427" i="135" s="1"/>
  <c r="D427" i="139" s="1"/>
  <c r="AR422" i="101"/>
  <c r="E422" i="134"/>
  <c r="D424" i="135" s="1"/>
  <c r="D424" i="139" s="1"/>
  <c r="AR771" i="101"/>
  <c r="AR281" i="101"/>
  <c r="AR282" i="101" s="1"/>
  <c r="AS281" i="101"/>
  <c r="E226" i="134"/>
  <c r="D228" i="135" s="1"/>
  <c r="D228" i="139" s="1"/>
  <c r="B49" i="134"/>
  <c r="B50" i="101"/>
  <c r="B25" i="139"/>
  <c r="B23" i="134"/>
  <c r="B24" i="101"/>
  <c r="B25" i="135"/>
  <c r="B166" i="139"/>
  <c r="B164" i="134"/>
  <c r="B165" i="101"/>
  <c r="A157" i="101"/>
  <c r="A127" i="101"/>
  <c r="A48" i="101"/>
  <c r="A107" i="101"/>
  <c r="A78" i="101"/>
  <c r="C14" i="101"/>
  <c r="A15" i="101"/>
  <c r="A189" i="101"/>
  <c r="E281" i="134"/>
  <c r="D283" i="135" s="1"/>
  <c r="D283" i="139" s="1"/>
  <c r="AR900" i="101"/>
  <c r="E865" i="134"/>
  <c r="D867" i="135" s="1"/>
  <c r="D867" i="139" s="1"/>
  <c r="E808" i="134"/>
  <c r="D810" i="135" s="1"/>
  <c r="D810" i="139" s="1"/>
  <c r="AR840" i="101"/>
  <c r="AR858" i="101"/>
  <c r="AR687" i="101"/>
  <c r="E780" i="134"/>
  <c r="D782" i="135" s="1"/>
  <c r="D782" i="139" s="1"/>
  <c r="E912" i="134"/>
  <c r="D914" i="135" s="1"/>
  <c r="D914" i="139" s="1"/>
  <c r="E676" i="134"/>
  <c r="D678" i="135" s="1"/>
  <c r="D678" i="139" s="1"/>
  <c r="E875" i="134"/>
  <c r="D877" i="135" s="1"/>
  <c r="D877" i="139" s="1"/>
  <c r="AR736" i="101"/>
  <c r="E924" i="134"/>
  <c r="D926" i="135" s="1"/>
  <c r="D926" i="139" s="1"/>
  <c r="AR872" i="101"/>
  <c r="AR835" i="101"/>
  <c r="AR770" i="101"/>
  <c r="AR890" i="101"/>
  <c r="AR786" i="101"/>
  <c r="E887" i="134"/>
  <c r="D889" i="135" s="1"/>
  <c r="D889" i="139" s="1"/>
  <c r="E818" i="134"/>
  <c r="D820" i="135" s="1"/>
  <c r="D820" i="139" s="1"/>
  <c r="AR809" i="101"/>
  <c r="AR423" i="101"/>
  <c r="AR181" i="101"/>
  <c r="AR797" i="101"/>
  <c r="E703" i="134"/>
  <c r="D705" i="135" s="1"/>
  <c r="D705" i="139" s="1"/>
  <c r="E653" i="134"/>
  <c r="D655" i="135" s="1"/>
  <c r="D655" i="139" s="1"/>
  <c r="AR781" i="101"/>
  <c r="AR686" i="101"/>
  <c r="AR929" i="101"/>
  <c r="E757" i="134"/>
  <c r="D759" i="135" s="1"/>
  <c r="D759" i="139" s="1"/>
  <c r="E908" i="134"/>
  <c r="D910" i="135" s="1"/>
  <c r="D910" i="139" s="1"/>
  <c r="E783" i="134"/>
  <c r="D785" i="135" s="1"/>
  <c r="D785" i="139" s="1"/>
  <c r="AR692" i="101"/>
  <c r="AR895" i="101"/>
  <c r="AR666" i="101"/>
  <c r="AR904" i="101"/>
  <c r="E838" i="134"/>
  <c r="D840" i="135" s="1"/>
  <c r="D840" i="139" s="1"/>
  <c r="AR902" i="101"/>
  <c r="AR708" i="101"/>
  <c r="E828" i="134"/>
  <c r="D830" i="135" s="1"/>
  <c r="D830" i="139" s="1"/>
  <c r="AR632" i="101"/>
  <c r="AR787" i="101"/>
  <c r="AR746" i="101"/>
  <c r="AR833" i="101"/>
  <c r="AR642" i="101"/>
  <c r="AR637" i="101"/>
  <c r="E813" i="134"/>
  <c r="D815" i="135" s="1"/>
  <c r="D815" i="139" s="1"/>
  <c r="AR880" i="101"/>
  <c r="AR913" i="101"/>
  <c r="AR768" i="101"/>
  <c r="AR660" i="101"/>
  <c r="AR870" i="101"/>
  <c r="AR799" i="101"/>
  <c r="E748" i="134"/>
  <c r="D750" i="135" s="1"/>
  <c r="D750" i="139" s="1"/>
  <c r="AR894" i="101"/>
  <c r="E850" i="134"/>
  <c r="D852" i="135" s="1"/>
  <c r="D852" i="139" s="1"/>
  <c r="E788" i="134"/>
  <c r="D790" i="135" s="1"/>
  <c r="D790" i="139" s="1"/>
  <c r="AR711" i="101"/>
  <c r="AR749" i="101"/>
  <c r="AR426" i="101"/>
  <c r="AR685" i="101"/>
  <c r="AR667" i="101"/>
  <c r="AR269" i="101"/>
  <c r="AR275" i="101"/>
  <c r="AR739" i="101"/>
  <c r="AR702" i="101"/>
  <c r="AR726" i="101"/>
  <c r="AR425" i="101"/>
  <c r="E826" i="134"/>
  <c r="D828" i="135" s="1"/>
  <c r="D828" i="139" s="1"/>
  <c r="E672" i="134"/>
  <c r="D674" i="135" s="1"/>
  <c r="D674" i="139" s="1"/>
  <c r="AR734" i="101"/>
  <c r="AR428" i="101"/>
  <c r="AR432" i="101"/>
  <c r="AR728" i="101"/>
  <c r="AR753" i="101"/>
  <c r="AR918" i="101"/>
  <c r="AR772" i="101"/>
  <c r="AR659" i="101"/>
  <c r="E661" i="134"/>
  <c r="D663" i="135" s="1"/>
  <c r="D663" i="139" s="1"/>
  <c r="E898" i="134"/>
  <c r="D900" i="135" s="1"/>
  <c r="D900" i="139" s="1"/>
  <c r="AR421" i="101"/>
  <c r="E671" i="134"/>
  <c r="D673" i="135" s="1"/>
  <c r="D673" i="139" s="1"/>
  <c r="E765" i="134"/>
  <c r="D767" i="135" s="1"/>
  <c r="D767" i="139" s="1"/>
  <c r="AR765" i="101"/>
  <c r="E854" i="134"/>
  <c r="D856" i="135" s="1"/>
  <c r="D856" i="139" s="1"/>
  <c r="AR854" i="101"/>
  <c r="E645" i="134"/>
  <c r="D647" i="135" s="1"/>
  <c r="D647" i="139" s="1"/>
  <c r="AR645" i="101"/>
  <c r="E706" i="134"/>
  <c r="D708" i="135" s="1"/>
  <c r="D708" i="139" s="1"/>
  <c r="AR706" i="101"/>
  <c r="E817" i="134"/>
  <c r="D819" i="135" s="1"/>
  <c r="D819" i="139" s="1"/>
  <c r="AR817" i="101"/>
  <c r="E857" i="134"/>
  <c r="D859" i="135" s="1"/>
  <c r="D859" i="139" s="1"/>
  <c r="AR857" i="101"/>
  <c r="E860" i="134"/>
  <c r="D862" i="135" s="1"/>
  <c r="D862" i="139" s="1"/>
  <c r="AR860" i="101"/>
  <c r="E852" i="134"/>
  <c r="D854" i="135" s="1"/>
  <c r="D854" i="139" s="1"/>
  <c r="AR852" i="101"/>
  <c r="E60" i="134"/>
  <c r="D62" i="135" s="1"/>
  <c r="D62" i="139" s="1"/>
  <c r="E791" i="134"/>
  <c r="D793" i="135" s="1"/>
  <c r="D793" i="139" s="1"/>
  <c r="AR791" i="101"/>
  <c r="E484" i="134"/>
  <c r="D486" i="135" s="1"/>
  <c r="D486" i="139" s="1"/>
  <c r="E701" i="134"/>
  <c r="D703" i="135" s="1"/>
  <c r="D703" i="139" s="1"/>
  <c r="AR701" i="101"/>
  <c r="E796" i="134"/>
  <c r="D798" i="135" s="1"/>
  <c r="D798" i="139" s="1"/>
  <c r="AR796" i="101"/>
  <c r="E876" i="134"/>
  <c r="D878" i="135" s="1"/>
  <c r="D878" i="139" s="1"/>
  <c r="AR876" i="101"/>
  <c r="E822" i="134"/>
  <c r="D824" i="135" s="1"/>
  <c r="D824" i="139" s="1"/>
  <c r="AR822" i="101"/>
  <c r="E732" i="134"/>
  <c r="D734" i="135" s="1"/>
  <c r="D734" i="139" s="1"/>
  <c r="AR732" i="101"/>
  <c r="E789" i="134"/>
  <c r="D791" i="135" s="1"/>
  <c r="D791" i="139" s="1"/>
  <c r="AR789" i="101"/>
  <c r="E832" i="134"/>
  <c r="D834" i="135" s="1"/>
  <c r="D834" i="139" s="1"/>
  <c r="AR832" i="101"/>
  <c r="E928" i="134"/>
  <c r="D930" i="135" s="1"/>
  <c r="D930" i="139" s="1"/>
  <c r="AR928" i="101"/>
  <c r="E282" i="134"/>
  <c r="D284" i="135" s="1"/>
  <c r="D284" i="139" s="1"/>
  <c r="E180" i="134"/>
  <c r="D182" i="135" s="1"/>
  <c r="D182" i="139" s="1"/>
  <c r="AR180" i="101"/>
  <c r="E738" i="134"/>
  <c r="D740" i="135" s="1"/>
  <c r="D740" i="139" s="1"/>
  <c r="AR738" i="101"/>
  <c r="E721" i="134"/>
  <c r="D723" i="135" s="1"/>
  <c r="D723" i="139" s="1"/>
  <c r="AR721" i="101"/>
  <c r="E845" i="134"/>
  <c r="D847" i="135" s="1"/>
  <c r="D847" i="139" s="1"/>
  <c r="AR845" i="101"/>
  <c r="E759" i="134"/>
  <c r="D761" i="135" s="1"/>
  <c r="D761" i="139" s="1"/>
  <c r="AR759" i="101"/>
  <c r="E268" i="134"/>
  <c r="D270" i="135" s="1"/>
  <c r="D270" i="139" s="1"/>
  <c r="E277" i="134"/>
  <c r="D279" i="135" s="1"/>
  <c r="D279" i="139" s="1"/>
  <c r="AR277" i="101"/>
  <c r="E675" i="134"/>
  <c r="D677" i="135" s="1"/>
  <c r="D677" i="139" s="1"/>
  <c r="AR675" i="101"/>
  <c r="E798" i="134"/>
  <c r="D800" i="135" s="1"/>
  <c r="D800" i="139" s="1"/>
  <c r="AR798" i="101"/>
  <c r="E841" i="134"/>
  <c r="D843" i="135" s="1"/>
  <c r="D843" i="139" s="1"/>
  <c r="AR841" i="101"/>
  <c r="E729" i="134"/>
  <c r="D731" i="135" s="1"/>
  <c r="D731" i="139" s="1"/>
  <c r="AR729" i="101"/>
  <c r="E849" i="134"/>
  <c r="D851" i="135" s="1"/>
  <c r="D851" i="139" s="1"/>
  <c r="AR849" i="101"/>
  <c r="E871" i="134"/>
  <c r="D873" i="135" s="1"/>
  <c r="D873" i="139" s="1"/>
  <c r="AR871" i="101"/>
  <c r="E647" i="134"/>
  <c r="D649" i="135" s="1"/>
  <c r="D649" i="139" s="1"/>
  <c r="AR647" i="101"/>
  <c r="E896" i="134"/>
  <c r="D898" i="135" s="1"/>
  <c r="D898" i="139" s="1"/>
  <c r="AR896" i="101"/>
  <c r="E722" i="134"/>
  <c r="D724" i="135" s="1"/>
  <c r="D724" i="139" s="1"/>
  <c r="E655" i="134"/>
  <c r="D657" i="135" s="1"/>
  <c r="D657" i="139" s="1"/>
  <c r="AR655" i="101"/>
  <c r="E756" i="134"/>
  <c r="D758" i="135" s="1"/>
  <c r="D758" i="139" s="1"/>
  <c r="AR756" i="101"/>
  <c r="E794" i="134"/>
  <c r="D796" i="135" s="1"/>
  <c r="D796" i="139" s="1"/>
  <c r="AR794" i="101"/>
  <c r="E899" i="134"/>
  <c r="D901" i="135" s="1"/>
  <c r="D901" i="139" s="1"/>
  <c r="AR899" i="101"/>
  <c r="E815" i="134"/>
  <c r="D817" i="135" s="1"/>
  <c r="D817" i="139" s="1"/>
  <c r="AR815" i="101"/>
  <c r="E482" i="134"/>
  <c r="D484" i="135" s="1"/>
  <c r="D484" i="139" s="1"/>
  <c r="E680" i="134"/>
  <c r="D682" i="135" s="1"/>
  <c r="D682" i="139" s="1"/>
  <c r="AR680" i="101"/>
  <c r="E760" i="134"/>
  <c r="D762" i="135" s="1"/>
  <c r="D762" i="139" s="1"/>
  <c r="AR760" i="101"/>
  <c r="E846" i="134"/>
  <c r="D848" i="135" s="1"/>
  <c r="D848" i="139" s="1"/>
  <c r="AR846" i="101"/>
  <c r="E762" i="134"/>
  <c r="D764" i="135" s="1"/>
  <c r="D764" i="139" s="1"/>
  <c r="AR762" i="101"/>
  <c r="E705" i="134"/>
  <c r="D707" i="135" s="1"/>
  <c r="D707" i="139" s="1"/>
  <c r="AR705" i="101"/>
  <c r="E891" i="134"/>
  <c r="D893" i="135" s="1"/>
  <c r="D893" i="139" s="1"/>
  <c r="AR891" i="101"/>
  <c r="E681" i="134"/>
  <c r="D683" i="135" s="1"/>
  <c r="D683" i="139" s="1"/>
  <c r="AR681" i="101"/>
  <c r="E879" i="134"/>
  <c r="D881" i="135" s="1"/>
  <c r="D881" i="139" s="1"/>
  <c r="AR879" i="101"/>
  <c r="E864" i="134"/>
  <c r="D866" i="135" s="1"/>
  <c r="D866" i="139" s="1"/>
  <c r="AR864" i="101"/>
  <c r="E592" i="134"/>
  <c r="D594" i="135" s="1"/>
  <c r="D594" i="139" s="1"/>
  <c r="AR592" i="101"/>
  <c r="E640" i="134"/>
  <c r="D642" i="135" s="1"/>
  <c r="D642" i="139" s="1"/>
  <c r="AR640" i="101"/>
  <c r="E717" i="134"/>
  <c r="D719" i="135" s="1"/>
  <c r="D719" i="139" s="1"/>
  <c r="AR717" i="101"/>
  <c r="E730" i="134"/>
  <c r="D732" i="135" s="1"/>
  <c r="D732" i="139" s="1"/>
  <c r="AR730" i="101"/>
  <c r="E679" i="134"/>
  <c r="D681" i="135" s="1"/>
  <c r="D681" i="139" s="1"/>
  <c r="AR679" i="101"/>
  <c r="E931" i="134"/>
  <c r="D933" i="135" s="1"/>
  <c r="D933" i="139" s="1"/>
  <c r="AR931" i="101"/>
  <c r="E926" i="134"/>
  <c r="D928" i="135" s="1"/>
  <c r="D928" i="139" s="1"/>
  <c r="AR926" i="101"/>
  <c r="E670" i="134"/>
  <c r="D672" i="135" s="1"/>
  <c r="D672" i="139" s="1"/>
  <c r="AR670" i="101"/>
  <c r="E755" i="134"/>
  <c r="D757" i="135" s="1"/>
  <c r="D757" i="139" s="1"/>
  <c r="AR755" i="101"/>
  <c r="E658" i="134"/>
  <c r="D660" i="135" s="1"/>
  <c r="D660" i="139" s="1"/>
  <c r="AR658" i="101"/>
  <c r="E892" i="134"/>
  <c r="D894" i="135" s="1"/>
  <c r="D894" i="139" s="1"/>
  <c r="AR892" i="101"/>
  <c r="E919" i="134"/>
  <c r="D921" i="135" s="1"/>
  <c r="D921" i="139" s="1"/>
  <c r="AR919" i="101"/>
  <c r="E763" i="134"/>
  <c r="D765" i="135" s="1"/>
  <c r="D765" i="139" s="1"/>
  <c r="AR763" i="101"/>
  <c r="E707" i="134"/>
  <c r="D709" i="135" s="1"/>
  <c r="D709" i="139" s="1"/>
  <c r="AR707" i="101"/>
  <c r="E677" i="134"/>
  <c r="D679" i="135" s="1"/>
  <c r="D679" i="139" s="1"/>
  <c r="AR677" i="101"/>
  <c r="E819" i="134"/>
  <c r="D821" i="135" s="1"/>
  <c r="D821" i="139" s="1"/>
  <c r="AR819" i="101"/>
  <c r="E752" i="134"/>
  <c r="D754" i="135" s="1"/>
  <c r="D754" i="139" s="1"/>
  <c r="E868" i="134"/>
  <c r="D870" i="135" s="1"/>
  <c r="D870" i="139" s="1"/>
  <c r="AR868" i="101"/>
  <c r="E907" i="134"/>
  <c r="D909" i="135" s="1"/>
  <c r="D909" i="139" s="1"/>
  <c r="AR907" i="101"/>
  <c r="E853" i="134"/>
  <c r="D855" i="135" s="1"/>
  <c r="D855" i="139" s="1"/>
  <c r="AR853" i="101"/>
  <c r="E712" i="134"/>
  <c r="D714" i="135" s="1"/>
  <c r="D714" i="139" s="1"/>
  <c r="AR712" i="101"/>
  <c r="E682" i="134"/>
  <c r="D684" i="135" s="1"/>
  <c r="D684" i="139" s="1"/>
  <c r="AR682" i="101"/>
  <c r="E656" i="134"/>
  <c r="D658" i="135" s="1"/>
  <c r="D658" i="139" s="1"/>
  <c r="AR656" i="101"/>
  <c r="E834" i="134"/>
  <c r="D836" i="135" s="1"/>
  <c r="D836" i="139" s="1"/>
  <c r="AR834" i="101"/>
  <c r="E824" i="134"/>
  <c r="D826" i="135" s="1"/>
  <c r="D826" i="139" s="1"/>
  <c r="AR824" i="101"/>
  <c r="E650" i="134"/>
  <c r="D652" i="135" s="1"/>
  <c r="D652" i="139" s="1"/>
  <c r="AR650" i="101"/>
  <c r="E764" i="134"/>
  <c r="D766" i="135" s="1"/>
  <c r="D766" i="139" s="1"/>
  <c r="AR764" i="101"/>
  <c r="E267" i="134"/>
  <c r="D269" i="135" s="1"/>
  <c r="D269" i="139" s="1"/>
  <c r="AR267" i="101"/>
  <c r="E901" i="134"/>
  <c r="D903" i="135" s="1"/>
  <c r="D903" i="139" s="1"/>
  <c r="AR901" i="101"/>
  <c r="E733" i="134"/>
  <c r="D735" i="135" s="1"/>
  <c r="D735" i="139" s="1"/>
  <c r="AR733" i="101"/>
  <c r="E897" i="134"/>
  <c r="D899" i="135" s="1"/>
  <c r="D899" i="139" s="1"/>
  <c r="AR897" i="101"/>
  <c r="E430" i="134"/>
  <c r="D432" i="135" s="1"/>
  <c r="D432" i="139" s="1"/>
  <c r="AR430" i="101"/>
  <c r="E228" i="134"/>
  <c r="D230" i="135" s="1"/>
  <c r="D230" i="139" s="1"/>
  <c r="E776" i="134"/>
  <c r="D778" i="135" s="1"/>
  <c r="D778" i="139" s="1"/>
  <c r="AR776" i="101"/>
  <c r="E674" i="134"/>
  <c r="D676" i="135" s="1"/>
  <c r="D676" i="139" s="1"/>
  <c r="AR674" i="101"/>
  <c r="E209" i="134"/>
  <c r="D211" i="135" s="1"/>
  <c r="D211" i="139" s="1"/>
  <c r="AR209" i="101"/>
  <c r="E486" i="134"/>
  <c r="D488" i="135" s="1"/>
  <c r="D488" i="139" s="1"/>
  <c r="E669" i="134"/>
  <c r="D671" i="135" s="1"/>
  <c r="D671" i="139" s="1"/>
  <c r="AR669" i="101"/>
  <c r="E652" i="134"/>
  <c r="D654" i="135" s="1"/>
  <c r="D654" i="139" s="1"/>
  <c r="AR652" i="101"/>
  <c r="E831" i="134"/>
  <c r="D833" i="135" s="1"/>
  <c r="D833" i="139" s="1"/>
  <c r="AR831" i="101"/>
  <c r="E761" i="134"/>
  <c r="D763" i="135" s="1"/>
  <c r="D763" i="139" s="1"/>
  <c r="AR761" i="101"/>
  <c r="E663" i="134"/>
  <c r="D665" i="135" s="1"/>
  <c r="D665" i="139" s="1"/>
  <c r="AR663" i="101"/>
  <c r="E782" i="134"/>
  <c r="D784" i="135" s="1"/>
  <c r="D784" i="139" s="1"/>
  <c r="AR782" i="101"/>
  <c r="E915" i="134"/>
  <c r="D917" i="135" s="1"/>
  <c r="D917" i="139" s="1"/>
  <c r="AR915" i="101"/>
  <c r="E801" i="134"/>
  <c r="D803" i="135" s="1"/>
  <c r="D803" i="139" s="1"/>
  <c r="AR801" i="101"/>
  <c r="E272" i="134"/>
  <c r="D274" i="135" s="1"/>
  <c r="D274" i="139" s="1"/>
  <c r="E487" i="134"/>
  <c r="D489" i="135" s="1"/>
  <c r="D489" i="139" s="1"/>
  <c r="AR487" i="101"/>
  <c r="E754" i="134"/>
  <c r="D756" i="135" s="1"/>
  <c r="D756" i="139" s="1"/>
  <c r="AR754" i="101"/>
  <c r="E731" i="134"/>
  <c r="D733" i="135" s="1"/>
  <c r="D733" i="139" s="1"/>
  <c r="AR731" i="101"/>
  <c r="E874" i="134"/>
  <c r="D876" i="135" s="1"/>
  <c r="D876" i="139" s="1"/>
  <c r="AR874" i="101"/>
  <c r="E866" i="134"/>
  <c r="D868" i="135" s="1"/>
  <c r="D868" i="139" s="1"/>
  <c r="AR866" i="101"/>
  <c r="E688" i="134"/>
  <c r="D690" i="135" s="1"/>
  <c r="D690" i="139" s="1"/>
  <c r="AR688" i="101"/>
  <c r="E851" i="134"/>
  <c r="D853" i="135" s="1"/>
  <c r="D853" i="139" s="1"/>
  <c r="AR851" i="101"/>
  <c r="E654" i="134"/>
  <c r="D656" i="135" s="1"/>
  <c r="D656" i="139" s="1"/>
  <c r="AR654" i="101"/>
  <c r="E775" i="134"/>
  <c r="D777" i="135" s="1"/>
  <c r="D777" i="139" s="1"/>
  <c r="AR775" i="101"/>
  <c r="E873" i="134"/>
  <c r="D875" i="135" s="1"/>
  <c r="D875" i="139" s="1"/>
  <c r="AR873" i="101"/>
  <c r="E836" i="134"/>
  <c r="D838" i="135" s="1"/>
  <c r="D838" i="139" s="1"/>
  <c r="AR836" i="101"/>
  <c r="E790" i="134"/>
  <c r="D792" i="135" s="1"/>
  <c r="D792" i="139" s="1"/>
  <c r="AR790" i="101"/>
  <c r="E920" i="134"/>
  <c r="D922" i="135" s="1"/>
  <c r="D922" i="139" s="1"/>
  <c r="AR920" i="101"/>
  <c r="E803" i="134"/>
  <c r="D805" i="135" s="1"/>
  <c r="D805" i="139" s="1"/>
  <c r="AR803" i="101"/>
  <c r="E695" i="134"/>
  <c r="D697" i="135" s="1"/>
  <c r="D697" i="139" s="1"/>
  <c r="AR695" i="101"/>
  <c r="E683" i="134"/>
  <c r="D685" i="135" s="1"/>
  <c r="D685" i="139" s="1"/>
  <c r="AR683" i="101"/>
  <c r="E224" i="134"/>
  <c r="D226" i="135" s="1"/>
  <c r="D226" i="139" s="1"/>
  <c r="AR224" i="101"/>
  <c r="E699" i="134"/>
  <c r="D701" i="135" s="1"/>
  <c r="D701" i="139" s="1"/>
  <c r="AR699" i="101"/>
  <c r="E758" i="134"/>
  <c r="D760" i="135" s="1"/>
  <c r="D760" i="139" s="1"/>
  <c r="AR758" i="101"/>
  <c r="E742" i="134"/>
  <c r="D744" i="135" s="1"/>
  <c r="D744" i="139" s="1"/>
  <c r="AR742" i="101"/>
  <c r="E429" i="134"/>
  <c r="D431" i="135" s="1"/>
  <c r="D431" i="139" s="1"/>
  <c r="AR429" i="101"/>
  <c r="E709" i="134"/>
  <c r="D711" i="135" s="1"/>
  <c r="D711" i="139" s="1"/>
  <c r="AR709" i="101"/>
  <c r="E737" i="134"/>
  <c r="D739" i="135" s="1"/>
  <c r="D739" i="139" s="1"/>
  <c r="AR737" i="101"/>
  <c r="E856" i="134"/>
  <c r="D858" i="135" s="1"/>
  <c r="D858" i="139" s="1"/>
  <c r="AR856" i="101"/>
  <c r="E878" i="134"/>
  <c r="D880" i="135" s="1"/>
  <c r="D880" i="139" s="1"/>
  <c r="AR878" i="101"/>
  <c r="E863" i="134"/>
  <c r="D865" i="135" s="1"/>
  <c r="D865" i="139" s="1"/>
  <c r="AR863" i="101"/>
  <c r="E767" i="134"/>
  <c r="D769" i="135" s="1"/>
  <c r="D769" i="139" s="1"/>
  <c r="AR767" i="101"/>
  <c r="E785" i="134"/>
  <c r="D787" i="135" s="1"/>
  <c r="D787" i="139" s="1"/>
  <c r="AR785" i="101"/>
  <c r="E795" i="134"/>
  <c r="D797" i="135" s="1"/>
  <c r="D797" i="139" s="1"/>
  <c r="AR795" i="101"/>
  <c r="E631" i="134"/>
  <c r="D633" i="135" s="1"/>
  <c r="D633" i="139" s="1"/>
  <c r="AR631" i="101"/>
  <c r="E684" i="134"/>
  <c r="D686" i="135" s="1"/>
  <c r="D686" i="139" s="1"/>
  <c r="AR684" i="101"/>
  <c r="E716" i="134"/>
  <c r="D718" i="135" s="1"/>
  <c r="D718" i="139" s="1"/>
  <c r="AR716" i="101"/>
  <c r="E867" i="134"/>
  <c r="D869" i="135" s="1"/>
  <c r="D869" i="139" s="1"/>
  <c r="AR867" i="101"/>
  <c r="E634" i="134"/>
  <c r="D636" i="135" s="1"/>
  <c r="D636" i="139" s="1"/>
  <c r="AR634" i="101"/>
  <c r="E820" i="134"/>
  <c r="D822" i="135" s="1"/>
  <c r="D822" i="139" s="1"/>
  <c r="AR820" i="101"/>
  <c r="E805" i="134"/>
  <c r="D807" i="135" s="1"/>
  <c r="D807" i="139" s="1"/>
  <c r="AR805" i="101"/>
  <c r="E714" i="134"/>
  <c r="D716" i="135" s="1"/>
  <c r="D716" i="139" s="1"/>
  <c r="AR714" i="101"/>
  <c r="E769" i="134"/>
  <c r="D771" i="135" s="1"/>
  <c r="D771" i="139" s="1"/>
  <c r="AR769" i="101"/>
  <c r="E741" i="134"/>
  <c r="D743" i="135" s="1"/>
  <c r="D743" i="139" s="1"/>
  <c r="AR741" i="101"/>
  <c r="E723" i="134"/>
  <c r="D725" i="135" s="1"/>
  <c r="D725" i="139" s="1"/>
  <c r="AR723" i="101"/>
  <c r="E636" i="134"/>
  <c r="D638" i="135" s="1"/>
  <c r="D638" i="139" s="1"/>
  <c r="AR636" i="101"/>
  <c r="E641" i="134"/>
  <c r="D643" i="135" s="1"/>
  <c r="D643" i="139" s="1"/>
  <c r="E827" i="134"/>
  <c r="D829" i="135" s="1"/>
  <c r="D829" i="139" s="1"/>
  <c r="AR827" i="101"/>
  <c r="E668" i="134"/>
  <c r="D670" i="135" s="1"/>
  <c r="D670" i="139" s="1"/>
  <c r="AR668" i="101"/>
  <c r="E664" i="134"/>
  <c r="D666" i="135" s="1"/>
  <c r="D666" i="139" s="1"/>
  <c r="AR664" i="101"/>
  <c r="E718" i="134"/>
  <c r="D720" i="135" s="1"/>
  <c r="D720" i="139" s="1"/>
  <c r="AR718" i="101"/>
  <c r="E466" i="134"/>
  <c r="D468" i="135" s="1"/>
  <c r="D468" i="139" s="1"/>
  <c r="E883" i="134"/>
  <c r="D885" i="135" s="1"/>
  <c r="D885" i="139" s="1"/>
  <c r="AR883" i="101"/>
  <c r="E800" i="134"/>
  <c r="D802" i="135" s="1"/>
  <c r="D802" i="139" s="1"/>
  <c r="AR800" i="101"/>
  <c r="AR419" i="101"/>
  <c r="E715" i="134"/>
  <c r="D717" i="135" s="1"/>
  <c r="D717" i="139" s="1"/>
  <c r="AR715" i="101"/>
  <c r="E844" i="134"/>
  <c r="D846" i="135" s="1"/>
  <c r="D846" i="139" s="1"/>
  <c r="AR844" i="101"/>
  <c r="E774" i="134"/>
  <c r="D776" i="135" s="1"/>
  <c r="D776" i="139" s="1"/>
  <c r="AR774" i="101"/>
  <c r="E696" i="134"/>
  <c r="D698" i="135" s="1"/>
  <c r="D698" i="139" s="1"/>
  <c r="AR696" i="101"/>
  <c r="E837" i="134"/>
  <c r="D839" i="135" s="1"/>
  <c r="D839" i="139" s="1"/>
  <c r="AR837" i="101"/>
  <c r="E725" i="134"/>
  <c r="D727" i="135" s="1"/>
  <c r="D727" i="139" s="1"/>
  <c r="AR725" i="101"/>
  <c r="E921" i="134"/>
  <c r="D923" i="135" s="1"/>
  <c r="D923" i="139" s="1"/>
  <c r="AR921" i="101"/>
  <c r="E914" i="134"/>
  <c r="D916" i="135" s="1"/>
  <c r="D916" i="139" s="1"/>
  <c r="AR914" i="101"/>
  <c r="E847" i="134"/>
  <c r="D849" i="135" s="1"/>
  <c r="D849" i="139" s="1"/>
  <c r="AR847" i="101"/>
  <c r="E633" i="134"/>
  <c r="D635" i="135" s="1"/>
  <c r="D635" i="139" s="1"/>
  <c r="AR633" i="101"/>
  <c r="E888" i="134"/>
  <c r="D890" i="135" s="1"/>
  <c r="D890" i="139" s="1"/>
  <c r="AR888" i="101"/>
  <c r="E807" i="134"/>
  <c r="D809" i="135" s="1"/>
  <c r="D809" i="139" s="1"/>
  <c r="AR807" i="101"/>
  <c r="E638" i="134"/>
  <c r="D640" i="135" s="1"/>
  <c r="D640" i="139" s="1"/>
  <c r="AR638" i="101"/>
  <c r="E710" i="134"/>
  <c r="D712" i="135" s="1"/>
  <c r="D712" i="139" s="1"/>
  <c r="AR710" i="101"/>
  <c r="E903" i="134"/>
  <c r="D905" i="135" s="1"/>
  <c r="D905" i="139" s="1"/>
  <c r="AR903" i="101"/>
  <c r="E859" i="134"/>
  <c r="D861" i="135" s="1"/>
  <c r="D861" i="139" s="1"/>
  <c r="AR859" i="101"/>
  <c r="E839" i="134"/>
  <c r="D841" i="135" s="1"/>
  <c r="D841" i="139" s="1"/>
  <c r="AR839" i="101"/>
  <c r="E906" i="134"/>
  <c r="D908" i="135" s="1"/>
  <c r="D908" i="139" s="1"/>
  <c r="AR906" i="101"/>
  <c r="E665" i="134"/>
  <c r="D667" i="135" s="1"/>
  <c r="D667" i="139" s="1"/>
  <c r="AR665" i="101"/>
  <c r="E483" i="134"/>
  <c r="D485" i="135" s="1"/>
  <c r="D485" i="139" s="1"/>
  <c r="E814" i="134"/>
  <c r="D816" i="135" s="1"/>
  <c r="D816" i="139" s="1"/>
  <c r="AR814" i="101"/>
  <c r="E792" i="134"/>
  <c r="D794" i="135" s="1"/>
  <c r="D794" i="139" s="1"/>
  <c r="AR792" i="101"/>
  <c r="E869" i="134"/>
  <c r="D871" i="135" s="1"/>
  <c r="D871" i="139" s="1"/>
  <c r="AR869" i="101"/>
  <c r="E678" i="134"/>
  <c r="D680" i="135" s="1"/>
  <c r="D680" i="139" s="1"/>
  <c r="AR678" i="101"/>
  <c r="E911" i="134"/>
  <c r="D913" i="135" s="1"/>
  <c r="D913" i="139" s="1"/>
  <c r="AR911" i="101"/>
  <c r="E648" i="134"/>
  <c r="D650" i="135" s="1"/>
  <c r="D650" i="139" s="1"/>
  <c r="AR648" i="101"/>
  <c r="E743" i="134"/>
  <c r="D745" i="135" s="1"/>
  <c r="D745" i="139" s="1"/>
  <c r="AR743" i="101"/>
  <c r="E639" i="134"/>
  <c r="D641" i="135" s="1"/>
  <c r="D641" i="139" s="1"/>
  <c r="AR639" i="101"/>
  <c r="E910" i="134"/>
  <c r="D912" i="135" s="1"/>
  <c r="D912" i="139" s="1"/>
  <c r="AR910" i="101"/>
  <c r="E750" i="134"/>
  <c r="D752" i="135" s="1"/>
  <c r="D752" i="139" s="1"/>
  <c r="AR750" i="101"/>
  <c r="E227" i="134"/>
  <c r="D229" i="135" s="1"/>
  <c r="D229" i="139" s="1"/>
  <c r="AR227" i="101"/>
  <c r="AR228" i="101" s="1"/>
  <c r="E424" i="134"/>
  <c r="D426" i="135" s="1"/>
  <c r="D426" i="139" s="1"/>
  <c r="AR424" i="101"/>
  <c r="AR182" i="101"/>
  <c r="E111" i="134"/>
  <c r="D113" i="135" s="1"/>
  <c r="D113" i="139" s="1"/>
  <c r="AR111" i="101"/>
  <c r="E270" i="134"/>
  <c r="D272" i="135" s="1"/>
  <c r="D272" i="139" s="1"/>
  <c r="AR270" i="101"/>
  <c r="AR272" i="101" s="1"/>
  <c r="E673" i="134"/>
  <c r="D675" i="135" s="1"/>
  <c r="D675" i="139" s="1"/>
  <c r="AR673" i="101"/>
  <c r="E881" i="134"/>
  <c r="D883" i="135" s="1"/>
  <c r="D883" i="139" s="1"/>
  <c r="AR881" i="101"/>
  <c r="E698" i="134"/>
  <c r="D700" i="135" s="1"/>
  <c r="D700" i="139" s="1"/>
  <c r="AR698" i="101"/>
  <c r="E930" i="134"/>
  <c r="D932" i="135" s="1"/>
  <c r="D932" i="139" s="1"/>
  <c r="AR930" i="101"/>
  <c r="E806" i="134"/>
  <c r="D808" i="135" s="1"/>
  <c r="D808" i="139" s="1"/>
  <c r="AR806" i="101"/>
  <c r="E700" i="134"/>
  <c r="D702" i="135" s="1"/>
  <c r="D702" i="139" s="1"/>
  <c r="E278" i="134"/>
  <c r="D280" i="135" s="1"/>
  <c r="D280" i="139" s="1"/>
  <c r="E427" i="134"/>
  <c r="D429" i="135" s="1"/>
  <c r="D429" i="139" s="1"/>
  <c r="AR427" i="101"/>
  <c r="E273" i="134"/>
  <c r="D275" i="135" s="1"/>
  <c r="D275" i="139" s="1"/>
  <c r="AR273" i="101"/>
  <c r="E735" i="134"/>
  <c r="D737" i="135" s="1"/>
  <c r="D737" i="139" s="1"/>
  <c r="AR735" i="101"/>
  <c r="E689" i="134"/>
  <c r="D691" i="135" s="1"/>
  <c r="D691" i="139" s="1"/>
  <c r="AR689" i="101"/>
  <c r="E744" i="134"/>
  <c r="D746" i="135" s="1"/>
  <c r="D746" i="139" s="1"/>
  <c r="AR744" i="101"/>
  <c r="E694" i="134"/>
  <c r="D696" i="135" s="1"/>
  <c r="D696" i="139" s="1"/>
  <c r="AR694" i="101"/>
  <c r="E927" i="134"/>
  <c r="D929" i="135" s="1"/>
  <c r="D929" i="139" s="1"/>
  <c r="AR927" i="101"/>
  <c r="E784" i="134"/>
  <c r="D786" i="135" s="1"/>
  <c r="D786" i="139" s="1"/>
  <c r="AR784" i="101"/>
  <c r="E884" i="134"/>
  <c r="D886" i="135" s="1"/>
  <c r="D886" i="139" s="1"/>
  <c r="AR884" i="101"/>
  <c r="E823" i="134"/>
  <c r="D825" i="135" s="1"/>
  <c r="D825" i="139" s="1"/>
  <c r="AR823" i="101"/>
  <c r="E882" i="134"/>
  <c r="D884" i="135" s="1"/>
  <c r="D884" i="139" s="1"/>
  <c r="AR882" i="101"/>
  <c r="E922" i="134"/>
  <c r="D924" i="135" s="1"/>
  <c r="D924" i="139" s="1"/>
  <c r="AR922" i="101"/>
  <c r="E812" i="134"/>
  <c r="D814" i="135" s="1"/>
  <c r="D814" i="139" s="1"/>
  <c r="AR812" i="101"/>
  <c r="E280" i="134"/>
  <c r="D282" i="135" s="1"/>
  <c r="D282" i="139" s="1"/>
  <c r="AR478" i="101"/>
  <c r="AR479" i="101" s="1"/>
  <c r="AR480" i="101" s="1"/>
  <c r="AR481" i="101" s="1"/>
  <c r="AR482" i="101" s="1"/>
  <c r="AR483" i="101" s="1"/>
  <c r="AR484" i="101" s="1"/>
  <c r="AR485" i="101" s="1"/>
  <c r="AR486" i="101" s="1"/>
  <c r="E773" i="134"/>
  <c r="D775" i="135" s="1"/>
  <c r="D775" i="139" s="1"/>
  <c r="AR773" i="101"/>
  <c r="E727" i="134"/>
  <c r="D729" i="135" s="1"/>
  <c r="D729" i="139" s="1"/>
  <c r="AR727" i="101"/>
  <c r="E740" i="134"/>
  <c r="D742" i="135" s="1"/>
  <c r="D742" i="139" s="1"/>
  <c r="AR740" i="101"/>
  <c r="E810" i="134"/>
  <c r="D812" i="135" s="1"/>
  <c r="D812" i="139" s="1"/>
  <c r="AR810" i="101"/>
  <c r="E886" i="134"/>
  <c r="D888" i="135" s="1"/>
  <c r="D888" i="139" s="1"/>
  <c r="AR886" i="101"/>
  <c r="E649" i="134"/>
  <c r="D651" i="135" s="1"/>
  <c r="D651" i="139" s="1"/>
  <c r="AR649" i="101"/>
  <c r="E635" i="134"/>
  <c r="D637" i="135" s="1"/>
  <c r="D637" i="139" s="1"/>
  <c r="AR635" i="101"/>
  <c r="E644" i="134"/>
  <c r="D646" i="135" s="1"/>
  <c r="D646" i="139" s="1"/>
  <c r="AR644" i="101"/>
  <c r="E691" i="134"/>
  <c r="D693" i="135" s="1"/>
  <c r="D693" i="139" s="1"/>
  <c r="AR691" i="101"/>
  <c r="A608" i="101" l="1"/>
  <c r="A607" i="134"/>
  <c r="A609" i="135"/>
  <c r="A609" i="139" s="1"/>
  <c r="B595" i="139"/>
  <c r="B593" i="134"/>
  <c r="B595" i="135"/>
  <c r="B594" i="101"/>
  <c r="B612" i="101"/>
  <c r="B613" i="139"/>
  <c r="B611" i="134"/>
  <c r="B613" i="135"/>
  <c r="B530" i="134"/>
  <c r="B532" i="139"/>
  <c r="B425" i="134"/>
  <c r="B249" i="101"/>
  <c r="B250" i="135"/>
  <c r="B248" i="134"/>
  <c r="B250" i="139"/>
  <c r="B426" i="101"/>
  <c r="B426" i="134" s="1"/>
  <c r="B477" i="135"/>
  <c r="B477" i="139"/>
  <c r="B331" i="139"/>
  <c r="B329" i="134"/>
  <c r="B330" i="101"/>
  <c r="B331" i="135"/>
  <c r="B531" i="101"/>
  <c r="B533" i="139" s="1"/>
  <c r="B223" i="101"/>
  <c r="B224" i="139"/>
  <c r="B222" i="134"/>
  <c r="B224" i="135"/>
  <c r="B423" i="139"/>
  <c r="B427" i="139"/>
  <c r="B191" i="101"/>
  <c r="B192" i="139"/>
  <c r="B82" i="101"/>
  <c r="B83" i="139"/>
  <c r="B81" i="134"/>
  <c r="B83" i="135"/>
  <c r="A497" i="101"/>
  <c r="A498" i="135"/>
  <c r="A498" i="139" s="1"/>
  <c r="A496" i="134"/>
  <c r="B564" i="139"/>
  <c r="B563" i="101"/>
  <c r="B562" i="134"/>
  <c r="B564" i="135"/>
  <c r="A484" i="101"/>
  <c r="A483" i="134"/>
  <c r="A485" i="135"/>
  <c r="A485" i="139" s="1"/>
  <c r="B132" i="101"/>
  <c r="B133" i="139"/>
  <c r="B131" i="134"/>
  <c r="B133" i="135"/>
  <c r="A589" i="101"/>
  <c r="A590" i="101" s="1"/>
  <c r="A588" i="134"/>
  <c r="A590" i="135"/>
  <c r="A590" i="139" s="1"/>
  <c r="C524" i="101"/>
  <c r="A525" i="101"/>
  <c r="A524" i="134"/>
  <c r="A526" i="135"/>
  <c r="A526" i="139" s="1"/>
  <c r="B192" i="135"/>
  <c r="B453" i="101"/>
  <c r="B454" i="139"/>
  <c r="B452" i="134"/>
  <c r="B454" i="135"/>
  <c r="B113" i="101"/>
  <c r="B114" i="139"/>
  <c r="B112" i="134"/>
  <c r="B114" i="135"/>
  <c r="B190" i="134"/>
  <c r="A558" i="101"/>
  <c r="A559" i="135"/>
  <c r="A559" i="139" s="1"/>
  <c r="A557" i="134"/>
  <c r="B502" i="135"/>
  <c r="B501" i="101"/>
  <c r="B502" i="139"/>
  <c r="B500" i="134"/>
  <c r="B477" i="101"/>
  <c r="B478" i="139"/>
  <c r="B478" i="135"/>
  <c r="B476" i="134"/>
  <c r="A448" i="101"/>
  <c r="A447" i="134"/>
  <c r="A449" i="135"/>
  <c r="A449" i="139" s="1"/>
  <c r="B301" i="101"/>
  <c r="B302" i="139"/>
  <c r="B300" i="134"/>
  <c r="B302" i="135"/>
  <c r="A296" i="101"/>
  <c r="A295" i="134"/>
  <c r="A297" i="135"/>
  <c r="A297" i="139" s="1"/>
  <c r="A326" i="101"/>
  <c r="A325" i="134"/>
  <c r="A327" i="135"/>
  <c r="A327" i="139" s="1"/>
  <c r="B395" i="101"/>
  <c r="B396" i="139"/>
  <c r="B396" i="135"/>
  <c r="B394" i="134"/>
  <c r="A418" i="101"/>
  <c r="A417" i="134"/>
  <c r="A419" i="135"/>
  <c r="A419" i="139" s="1"/>
  <c r="A217" i="101"/>
  <c r="A216" i="134"/>
  <c r="A218" i="135"/>
  <c r="A218" i="139" s="1"/>
  <c r="A357" i="101"/>
  <c r="A356" i="134"/>
  <c r="A358" i="135"/>
  <c r="A358" i="139" s="1"/>
  <c r="B361" i="101"/>
  <c r="B362" i="139"/>
  <c r="B360" i="134"/>
  <c r="B362" i="135"/>
  <c r="AR274" i="101"/>
  <c r="AR276" i="101" s="1"/>
  <c r="AR278" i="101" s="1"/>
  <c r="AR279" i="101" s="1"/>
  <c r="A277" i="101"/>
  <c r="A276" i="134"/>
  <c r="A278" i="135"/>
  <c r="A278" i="139" s="1"/>
  <c r="B374" i="101"/>
  <c r="B375" i="139"/>
  <c r="B373" i="134"/>
  <c r="B375" i="135"/>
  <c r="A245" i="101"/>
  <c r="A244" i="134"/>
  <c r="A246" i="135"/>
  <c r="A246" i="139" s="1"/>
  <c r="A426" i="101"/>
  <c r="A425" i="134"/>
  <c r="A427" i="135"/>
  <c r="A427" i="139" s="1"/>
  <c r="B281" i="101"/>
  <c r="B282" i="139"/>
  <c r="B282" i="135"/>
  <c r="B280" i="134"/>
  <c r="A388" i="101"/>
  <c r="A387" i="134"/>
  <c r="A389" i="135"/>
  <c r="A389" i="139" s="1"/>
  <c r="C15" i="101"/>
  <c r="A16" i="101"/>
  <c r="A15" i="134"/>
  <c r="A17" i="135"/>
  <c r="A17" i="139" s="1"/>
  <c r="D14" i="101"/>
  <c r="F14" i="101"/>
  <c r="E14" i="134" s="1"/>
  <c r="D16" i="135" s="1"/>
  <c r="D16" i="139" s="1"/>
  <c r="E14" i="101"/>
  <c r="D14" i="134" s="1"/>
  <c r="C16" i="135" s="1"/>
  <c r="C16" i="139" s="1"/>
  <c r="G14" i="101"/>
  <c r="C14" i="134" s="1"/>
  <c r="E16" i="135" s="1"/>
  <c r="E16" i="139" s="1"/>
  <c r="A79" i="101"/>
  <c r="A78" i="134"/>
  <c r="A80" i="135"/>
  <c r="A80" i="139" s="1"/>
  <c r="B25" i="101"/>
  <c r="B24" i="134"/>
  <c r="B26" i="135"/>
  <c r="B26" i="139"/>
  <c r="A108" i="101"/>
  <c r="A107" i="134"/>
  <c r="A109" i="135"/>
  <c r="A109" i="139" s="1"/>
  <c r="B51" i="101"/>
  <c r="B52" i="135"/>
  <c r="B52" i="139"/>
  <c r="B50" i="134"/>
  <c r="A49" i="101"/>
  <c r="A48" i="134"/>
  <c r="A50" i="135"/>
  <c r="A50" i="139" s="1"/>
  <c r="A128" i="101"/>
  <c r="A127" i="134"/>
  <c r="A129" i="135"/>
  <c r="A129" i="139" s="1"/>
  <c r="A190" i="101"/>
  <c r="A191" i="101" s="1"/>
  <c r="A189" i="134"/>
  <c r="A191" i="135"/>
  <c r="A191" i="139" s="1"/>
  <c r="A158" i="101"/>
  <c r="A159" i="135"/>
  <c r="A159" i="139" s="1"/>
  <c r="A157" i="134"/>
  <c r="B167" i="139"/>
  <c r="B165" i="134"/>
  <c r="B167" i="135"/>
  <c r="B166" i="101"/>
  <c r="Z12" i="101"/>
  <c r="Z13" i="101"/>
  <c r="AI15" i="135"/>
  <c r="AJ15" i="135" s="1"/>
  <c r="Z2" i="134"/>
  <c r="A591" i="101" l="1"/>
  <c r="A592" i="135"/>
  <c r="A592" i="139" s="1"/>
  <c r="A590" i="134"/>
  <c r="B614" i="139"/>
  <c r="B613" i="101"/>
  <c r="B612" i="134"/>
  <c r="B614" i="135"/>
  <c r="B596" i="139"/>
  <c r="B594" i="134"/>
  <c r="B596" i="135"/>
  <c r="B595" i="101"/>
  <c r="A609" i="101"/>
  <c r="A608" i="134"/>
  <c r="A610" i="135"/>
  <c r="A610" i="139" s="1"/>
  <c r="B427" i="101"/>
  <c r="B428" i="139"/>
  <c r="B250" i="101"/>
  <c r="B251" i="139"/>
  <c r="B251" i="135"/>
  <c r="B249" i="134"/>
  <c r="B428" i="135"/>
  <c r="B532" i="101"/>
  <c r="B532" i="134" s="1"/>
  <c r="B533" i="135"/>
  <c r="B531" i="134"/>
  <c r="B224" i="101"/>
  <c r="B225" i="139"/>
  <c r="B223" i="134"/>
  <c r="B225" i="135"/>
  <c r="B332" i="139"/>
  <c r="B330" i="134"/>
  <c r="B331" i="101"/>
  <c r="B332" i="135"/>
  <c r="C525" i="101"/>
  <c r="A526" i="101"/>
  <c r="A527" i="135"/>
  <c r="A527" i="139" s="1"/>
  <c r="A525" i="134"/>
  <c r="A498" i="101"/>
  <c r="A497" i="134"/>
  <c r="A499" i="135"/>
  <c r="A499" i="139" s="1"/>
  <c r="A485" i="101"/>
  <c r="A484" i="134"/>
  <c r="A486" i="135"/>
  <c r="A486" i="139" s="1"/>
  <c r="B114" i="101"/>
  <c r="B115" i="139"/>
  <c r="B113" i="134"/>
  <c r="B115" i="135"/>
  <c r="B83" i="101"/>
  <c r="B84" i="139"/>
  <c r="B82" i="134"/>
  <c r="B84" i="135"/>
  <c r="B454" i="101"/>
  <c r="B455" i="139"/>
  <c r="B453" i="134"/>
  <c r="B455" i="135"/>
  <c r="B192" i="101"/>
  <c r="B193" i="139"/>
  <c r="B191" i="134"/>
  <c r="B193" i="135"/>
  <c r="A589" i="134"/>
  <c r="A591" i="135"/>
  <c r="A591" i="139" s="1"/>
  <c r="B565" i="139"/>
  <c r="B563" i="134"/>
  <c r="B565" i="135"/>
  <c r="B564" i="101"/>
  <c r="A559" i="101"/>
  <c r="A558" i="134"/>
  <c r="A560" i="135"/>
  <c r="A560" i="139" s="1"/>
  <c r="B134" i="139"/>
  <c r="B134" i="135"/>
  <c r="B132" i="134"/>
  <c r="B133" i="101"/>
  <c r="B502" i="101"/>
  <c r="B503" i="139"/>
  <c r="B501" i="134"/>
  <c r="B503" i="135"/>
  <c r="B396" i="101"/>
  <c r="B397" i="139"/>
  <c r="B395" i="134"/>
  <c r="B397" i="135"/>
  <c r="B302" i="101"/>
  <c r="B303" i="139"/>
  <c r="B301" i="134"/>
  <c r="B303" i="135"/>
  <c r="A278" i="101"/>
  <c r="A277" i="134"/>
  <c r="A279" i="135"/>
  <c r="A279" i="139" s="1"/>
  <c r="A246" i="101"/>
  <c r="A245" i="134"/>
  <c r="A247" i="135"/>
  <c r="A247" i="139" s="1"/>
  <c r="B282" i="101"/>
  <c r="B283" i="135"/>
  <c r="B283" i="139"/>
  <c r="B281" i="134"/>
  <c r="A419" i="101"/>
  <c r="A418" i="134"/>
  <c r="A420" i="135"/>
  <c r="A420" i="139" s="1"/>
  <c r="A326" i="134"/>
  <c r="A327" i="101"/>
  <c r="A328" i="135"/>
  <c r="A328" i="139" s="1"/>
  <c r="A449" i="101"/>
  <c r="A448" i="134"/>
  <c r="A450" i="135"/>
  <c r="A450" i="139" s="1"/>
  <c r="B362" i="101"/>
  <c r="B363" i="139"/>
  <c r="B361" i="134"/>
  <c r="B363" i="135"/>
  <c r="A218" i="101"/>
  <c r="A217" i="134"/>
  <c r="A219" i="135"/>
  <c r="A219" i="139" s="1"/>
  <c r="A427" i="101"/>
  <c r="A426" i="134"/>
  <c r="A428" i="135"/>
  <c r="A428" i="139" s="1"/>
  <c r="B376" i="139"/>
  <c r="B374" i="134"/>
  <c r="B376" i="135"/>
  <c r="B375" i="101"/>
  <c r="A358" i="101"/>
  <c r="A357" i="134"/>
  <c r="A359" i="135"/>
  <c r="A359" i="139" s="1"/>
  <c r="A297" i="101"/>
  <c r="A296" i="134"/>
  <c r="A298" i="135"/>
  <c r="A298" i="139" s="1"/>
  <c r="A389" i="101"/>
  <c r="A388" i="134"/>
  <c r="A390" i="135"/>
  <c r="A390" i="139" s="1"/>
  <c r="A192" i="101"/>
  <c r="A191" i="134"/>
  <c r="A193" i="135"/>
  <c r="A193" i="139" s="1"/>
  <c r="B478" i="101"/>
  <c r="B479" i="135"/>
  <c r="B479" i="139"/>
  <c r="B477" i="134"/>
  <c r="A109" i="101"/>
  <c r="A108" i="134"/>
  <c r="A110" i="135"/>
  <c r="A110" i="139" s="1"/>
  <c r="A50" i="101"/>
  <c r="A51" i="135"/>
  <c r="A51" i="139" s="1"/>
  <c r="A49" i="134"/>
  <c r="B52" i="101"/>
  <c r="B53" i="139"/>
  <c r="B51" i="134"/>
  <c r="B53" i="135"/>
  <c r="B26" i="101"/>
  <c r="B27" i="139"/>
  <c r="B25" i="134"/>
  <c r="B27" i="135"/>
  <c r="A190" i="134"/>
  <c r="A192" i="135"/>
  <c r="A192" i="139" s="1"/>
  <c r="B167" i="101"/>
  <c r="B166" i="134"/>
  <c r="B168" i="135"/>
  <c r="B168" i="139"/>
  <c r="A159" i="101"/>
  <c r="A158" i="134"/>
  <c r="A160" i="135"/>
  <c r="A160" i="139" s="1"/>
  <c r="A129" i="101"/>
  <c r="A130" i="135"/>
  <c r="A130" i="139" s="1"/>
  <c r="A128" i="134"/>
  <c r="A80" i="101"/>
  <c r="A79" i="134"/>
  <c r="A81" i="135"/>
  <c r="A81" i="139" s="1"/>
  <c r="C16" i="101"/>
  <c r="A17" i="101"/>
  <c r="A16" i="134"/>
  <c r="A18" i="135"/>
  <c r="A18" i="139" s="1"/>
  <c r="D15" i="101"/>
  <c r="E15" i="101"/>
  <c r="D15" i="134" s="1"/>
  <c r="C17" i="135" s="1"/>
  <c r="C17" i="139" s="1"/>
  <c r="G15" i="101"/>
  <c r="C15" i="134" s="1"/>
  <c r="E17" i="135" s="1"/>
  <c r="E17" i="139" s="1"/>
  <c r="F15" i="101"/>
  <c r="F13" i="134"/>
  <c r="B597" i="139" l="1"/>
  <c r="B595" i="134"/>
  <c r="B597" i="135"/>
  <c r="B596" i="101"/>
  <c r="B614" i="101"/>
  <c r="B615" i="139"/>
  <c r="B613" i="134"/>
  <c r="B615" i="135"/>
  <c r="A610" i="101"/>
  <c r="A609" i="134"/>
  <c r="A611" i="135"/>
  <c r="A611" i="139" s="1"/>
  <c r="A592" i="101"/>
  <c r="A591" i="134"/>
  <c r="A593" i="135"/>
  <c r="A593" i="139" s="1"/>
  <c r="B534" i="139"/>
  <c r="B251" i="101"/>
  <c r="B252" i="139"/>
  <c r="B250" i="134"/>
  <c r="B252" i="135"/>
  <c r="B533" i="101"/>
  <c r="B534" i="101" s="1"/>
  <c r="B429" i="135"/>
  <c r="B428" i="101"/>
  <c r="B429" i="139"/>
  <c r="B427" i="134"/>
  <c r="B534" i="135"/>
  <c r="B331" i="134"/>
  <c r="B332" i="101"/>
  <c r="B333" i="139"/>
  <c r="B333" i="135"/>
  <c r="B226" i="135"/>
  <c r="B224" i="134"/>
  <c r="B226" i="139"/>
  <c r="B225" i="101"/>
  <c r="B565" i="101"/>
  <c r="B566" i="139"/>
  <c r="B564" i="134"/>
  <c r="B566" i="135"/>
  <c r="A499" i="101"/>
  <c r="A498" i="134"/>
  <c r="A500" i="135"/>
  <c r="A500" i="139" s="1"/>
  <c r="B135" i="135"/>
  <c r="B134" i="101"/>
  <c r="B135" i="139"/>
  <c r="B133" i="134"/>
  <c r="A486" i="101"/>
  <c r="A485" i="134"/>
  <c r="A487" i="135"/>
  <c r="A487" i="139" s="1"/>
  <c r="B455" i="101"/>
  <c r="B454" i="134"/>
  <c r="B456" i="139"/>
  <c r="B456" i="135"/>
  <c r="B114" i="134"/>
  <c r="B116" i="135"/>
  <c r="B115" i="101"/>
  <c r="B116" i="139"/>
  <c r="C526" i="101"/>
  <c r="A527" i="101"/>
  <c r="A526" i="134"/>
  <c r="A528" i="135"/>
  <c r="A528" i="139" s="1"/>
  <c r="A560" i="101"/>
  <c r="A561" i="135"/>
  <c r="A561" i="139" s="1"/>
  <c r="A559" i="134"/>
  <c r="B193" i="101"/>
  <c r="B194" i="139"/>
  <c r="B192" i="134"/>
  <c r="B194" i="135"/>
  <c r="B85" i="139"/>
  <c r="B83" i="134"/>
  <c r="B84" i="101"/>
  <c r="B85" i="135"/>
  <c r="B503" i="101"/>
  <c r="B504" i="139"/>
  <c r="B502" i="134"/>
  <c r="B504" i="135"/>
  <c r="A428" i="101"/>
  <c r="A427" i="134"/>
  <c r="A429" i="135"/>
  <c r="A429" i="139" s="1"/>
  <c r="A450" i="101"/>
  <c r="A449" i="134"/>
  <c r="A451" i="135"/>
  <c r="A451" i="139" s="1"/>
  <c r="A298" i="101"/>
  <c r="A297" i="134"/>
  <c r="A299" i="135"/>
  <c r="A299" i="139" s="1"/>
  <c r="B283" i="101"/>
  <c r="B284" i="139"/>
  <c r="B282" i="134"/>
  <c r="B284" i="135"/>
  <c r="B303" i="101"/>
  <c r="B304" i="139"/>
  <c r="B302" i="134"/>
  <c r="B304" i="135"/>
  <c r="A328" i="101"/>
  <c r="A327" i="134"/>
  <c r="A329" i="135"/>
  <c r="A329" i="139" s="1"/>
  <c r="A193" i="101"/>
  <c r="A192" i="134"/>
  <c r="A194" i="135"/>
  <c r="A194" i="139" s="1"/>
  <c r="A359" i="101"/>
  <c r="A358" i="134"/>
  <c r="A360" i="135"/>
  <c r="A360" i="139" s="1"/>
  <c r="A219" i="101"/>
  <c r="A220" i="135"/>
  <c r="A220" i="139" s="1"/>
  <c r="A218" i="134"/>
  <c r="A247" i="101"/>
  <c r="A248" i="135"/>
  <c r="A248" i="139" s="1"/>
  <c r="A246" i="134"/>
  <c r="B376" i="101"/>
  <c r="B375" i="134"/>
  <c r="B377" i="135"/>
  <c r="B377" i="139"/>
  <c r="A390" i="101"/>
  <c r="A389" i="134"/>
  <c r="A391" i="135"/>
  <c r="A391" i="139" s="1"/>
  <c r="C420" i="101"/>
  <c r="A419" i="134"/>
  <c r="A421" i="135"/>
  <c r="A421" i="139" s="1"/>
  <c r="A279" i="101"/>
  <c r="A278" i="134"/>
  <c r="A280" i="135"/>
  <c r="A280" i="139" s="1"/>
  <c r="B480" i="135"/>
  <c r="B479" i="101"/>
  <c r="B480" i="139"/>
  <c r="B478" i="134"/>
  <c r="B363" i="101"/>
  <c r="B364" i="139"/>
  <c r="B362" i="134"/>
  <c r="B364" i="135"/>
  <c r="B397" i="101"/>
  <c r="B396" i="134"/>
  <c r="B398" i="135"/>
  <c r="B398" i="139"/>
  <c r="A160" i="101"/>
  <c r="A161" i="135"/>
  <c r="A161" i="139" s="1"/>
  <c r="A159" i="134"/>
  <c r="C17" i="101"/>
  <c r="A18" i="101"/>
  <c r="A17" i="134"/>
  <c r="A19" i="135"/>
  <c r="A19" i="139" s="1"/>
  <c r="D16" i="101"/>
  <c r="G16" i="101"/>
  <c r="C16" i="134" s="1"/>
  <c r="E18" i="135" s="1"/>
  <c r="E18" i="139" s="1"/>
  <c r="F16" i="101"/>
  <c r="A51" i="101"/>
  <c r="A50" i="134"/>
  <c r="A52" i="135"/>
  <c r="A52" i="139" s="1"/>
  <c r="B27" i="101"/>
  <c r="B28" i="139"/>
  <c r="B26" i="134"/>
  <c r="B28" i="135"/>
  <c r="B167" i="134"/>
  <c r="B168" i="101"/>
  <c r="B169" i="139"/>
  <c r="B169" i="135"/>
  <c r="AS15" i="101"/>
  <c r="E15" i="134"/>
  <c r="D17" i="135" s="1"/>
  <c r="D17" i="139" s="1"/>
  <c r="A81" i="101"/>
  <c r="A80" i="134"/>
  <c r="A82" i="135"/>
  <c r="A82" i="139" s="1"/>
  <c r="A110" i="101"/>
  <c r="A111" i="135"/>
  <c r="A111" i="139" s="1"/>
  <c r="A109" i="134"/>
  <c r="A130" i="101"/>
  <c r="A129" i="134"/>
  <c r="A131" i="135"/>
  <c r="A131" i="139" s="1"/>
  <c r="B53" i="101"/>
  <c r="B54" i="135"/>
  <c r="B54" i="139"/>
  <c r="B52" i="134"/>
  <c r="T2" i="134"/>
  <c r="A611" i="101" l="1"/>
  <c r="A610" i="134"/>
  <c r="A612" i="135"/>
  <c r="A612" i="139" s="1"/>
  <c r="B616" i="139"/>
  <c r="B614" i="134"/>
  <c r="B616" i="135"/>
  <c r="B615" i="101"/>
  <c r="B535" i="135"/>
  <c r="B598" i="135"/>
  <c r="B597" i="101"/>
  <c r="B598" i="139"/>
  <c r="B596" i="134"/>
  <c r="B533" i="134"/>
  <c r="B535" i="139"/>
  <c r="A593" i="101"/>
  <c r="A592" i="134"/>
  <c r="A594" i="135"/>
  <c r="A594" i="139" s="1"/>
  <c r="B430" i="135"/>
  <c r="B430" i="139"/>
  <c r="B429" i="101"/>
  <c r="B428" i="134"/>
  <c r="B252" i="101"/>
  <c r="B253" i="139"/>
  <c r="B251" i="134"/>
  <c r="B253" i="135"/>
  <c r="B227" i="135"/>
  <c r="B226" i="101"/>
  <c r="B227" i="139"/>
  <c r="B225" i="134"/>
  <c r="B332" i="134"/>
  <c r="B334" i="135"/>
  <c r="B334" i="139"/>
  <c r="B333" i="101"/>
  <c r="B535" i="101"/>
  <c r="B536" i="139"/>
  <c r="B534" i="134"/>
  <c r="B536" i="135"/>
  <c r="B136" i="139"/>
  <c r="B135" i="101"/>
  <c r="B134" i="134"/>
  <c r="B136" i="135"/>
  <c r="B455" i="134"/>
  <c r="B456" i="101"/>
  <c r="B457" i="139"/>
  <c r="B457" i="135"/>
  <c r="A528" i="101"/>
  <c r="C527" i="101"/>
  <c r="A527" i="134"/>
  <c r="A529" i="135"/>
  <c r="A529" i="139" s="1"/>
  <c r="A487" i="101"/>
  <c r="A486" i="134"/>
  <c r="A488" i="135"/>
  <c r="A488" i="139" s="1"/>
  <c r="A500" i="101"/>
  <c r="A499" i="134"/>
  <c r="A501" i="135"/>
  <c r="A501" i="139" s="1"/>
  <c r="B194" i="101"/>
  <c r="B195" i="139"/>
  <c r="B195" i="135"/>
  <c r="B193" i="134"/>
  <c r="B86" i="139"/>
  <c r="B85" i="101"/>
  <c r="B86" i="135"/>
  <c r="B84" i="134"/>
  <c r="B116" i="101"/>
  <c r="B117" i="135"/>
  <c r="B117" i="139"/>
  <c r="B115" i="134"/>
  <c r="A561" i="101"/>
  <c r="A560" i="134"/>
  <c r="A562" i="135"/>
  <c r="A562" i="139" s="1"/>
  <c r="B566" i="101"/>
  <c r="B567" i="139"/>
  <c r="B565" i="134"/>
  <c r="B567" i="135"/>
  <c r="B504" i="101"/>
  <c r="B505" i="101" s="1"/>
  <c r="B505" i="139"/>
  <c r="B503" i="134"/>
  <c r="B505" i="135"/>
  <c r="A280" i="101"/>
  <c r="A281" i="135"/>
  <c r="A281" i="139" s="1"/>
  <c r="A279" i="134"/>
  <c r="A194" i="101"/>
  <c r="A193" i="134"/>
  <c r="A195" i="135"/>
  <c r="A195" i="139" s="1"/>
  <c r="B377" i="101"/>
  <c r="B376" i="134"/>
  <c r="B378" i="135"/>
  <c r="B378" i="139"/>
  <c r="B284" i="101"/>
  <c r="B283" i="134"/>
  <c r="B285" i="135"/>
  <c r="B285" i="139"/>
  <c r="C421" i="101"/>
  <c r="A220" i="101"/>
  <c r="A219" i="134"/>
  <c r="A221" i="135"/>
  <c r="A221" i="139" s="1"/>
  <c r="A329" i="101"/>
  <c r="A328" i="134"/>
  <c r="A330" i="135"/>
  <c r="A330" i="139" s="1"/>
  <c r="A451" i="101"/>
  <c r="A450" i="134"/>
  <c r="A452" i="135"/>
  <c r="A452" i="139" s="1"/>
  <c r="B365" i="139"/>
  <c r="B363" i="134"/>
  <c r="B365" i="135"/>
  <c r="B479" i="134"/>
  <c r="B481" i="135"/>
  <c r="B480" i="101"/>
  <c r="B481" i="101" s="1"/>
  <c r="B481" i="139"/>
  <c r="A391" i="101"/>
  <c r="A390" i="134"/>
  <c r="A392" i="135"/>
  <c r="A392" i="139" s="1"/>
  <c r="A248" i="101"/>
  <c r="A247" i="134"/>
  <c r="A249" i="135"/>
  <c r="A249" i="139" s="1"/>
  <c r="A360" i="101"/>
  <c r="A359" i="134"/>
  <c r="A361" i="135"/>
  <c r="A361" i="139" s="1"/>
  <c r="A299" i="101"/>
  <c r="A298" i="134"/>
  <c r="A300" i="135"/>
  <c r="A300" i="139" s="1"/>
  <c r="A429" i="101"/>
  <c r="A430" i="135"/>
  <c r="A430" i="139" s="1"/>
  <c r="A428" i="134"/>
  <c r="B398" i="101"/>
  <c r="B399" i="139"/>
  <c r="B397" i="134"/>
  <c r="B399" i="135"/>
  <c r="B304" i="101"/>
  <c r="B305" i="135"/>
  <c r="B305" i="139"/>
  <c r="B303" i="134"/>
  <c r="C18" i="101"/>
  <c r="A19" i="101"/>
  <c r="A18" i="134"/>
  <c r="A20" i="135"/>
  <c r="A20" i="139" s="1"/>
  <c r="F17" i="101"/>
  <c r="D17" i="101"/>
  <c r="E17" i="101"/>
  <c r="D17" i="134" s="1"/>
  <c r="C19" i="135" s="1"/>
  <c r="C19" i="139" s="1"/>
  <c r="G17" i="101"/>
  <c r="C17" i="134" s="1"/>
  <c r="E19" i="135" s="1"/>
  <c r="E19" i="139" s="1"/>
  <c r="A131" i="101"/>
  <c r="A130" i="134"/>
  <c r="A132" i="135"/>
  <c r="A132" i="139" s="1"/>
  <c r="B170" i="135"/>
  <c r="B169" i="101"/>
  <c r="B170" i="139"/>
  <c r="B168" i="134"/>
  <c r="A52" i="101"/>
  <c r="A51" i="134"/>
  <c r="A53" i="135"/>
  <c r="A53" i="139" s="1"/>
  <c r="A82" i="101"/>
  <c r="A83" i="135"/>
  <c r="A83" i="139" s="1"/>
  <c r="A81" i="134"/>
  <c r="B54" i="101"/>
  <c r="B55" i="139"/>
  <c r="B53" i="134"/>
  <c r="B55" i="135"/>
  <c r="E16" i="134"/>
  <c r="D18" i="135" s="1"/>
  <c r="D18" i="139" s="1"/>
  <c r="AR16" i="101"/>
  <c r="AS16" i="101"/>
  <c r="B28" i="101"/>
  <c r="B29" i="139"/>
  <c r="B27" i="134"/>
  <c r="B29" i="135"/>
  <c r="A161" i="101"/>
  <c r="A160" i="134"/>
  <c r="A162" i="135"/>
  <c r="A162" i="139" s="1"/>
  <c r="A111" i="101"/>
  <c r="A110" i="134"/>
  <c r="A112" i="135"/>
  <c r="A112" i="139" s="1"/>
  <c r="A1" i="134"/>
  <c r="A1" i="139"/>
  <c r="A1" i="135"/>
  <c r="B599" i="135" l="1"/>
  <c r="B598" i="101"/>
  <c r="B599" i="139"/>
  <c r="B597" i="134"/>
  <c r="B615" i="134"/>
  <c r="B617" i="135"/>
  <c r="B616" i="101"/>
  <c r="B617" i="139"/>
  <c r="A594" i="101"/>
  <c r="A593" i="134"/>
  <c r="A595" i="135"/>
  <c r="A595" i="139" s="1"/>
  <c r="A612" i="101"/>
  <c r="A611" i="134"/>
  <c r="A613" i="135"/>
  <c r="A613" i="139" s="1"/>
  <c r="B254" i="139"/>
  <c r="B252" i="134"/>
  <c r="B254" i="135"/>
  <c r="B253" i="101"/>
  <c r="B431" i="139"/>
  <c r="B429" i="134"/>
  <c r="B431" i="135"/>
  <c r="B430" i="101"/>
  <c r="B334" i="101"/>
  <c r="B335" i="139"/>
  <c r="B333" i="134"/>
  <c r="B335" i="135"/>
  <c r="B227" i="101"/>
  <c r="B228" i="139"/>
  <c r="B226" i="134"/>
  <c r="B228" i="135"/>
  <c r="A501" i="101"/>
  <c r="A500" i="134"/>
  <c r="A502" i="135"/>
  <c r="A502" i="139" s="1"/>
  <c r="B456" i="134"/>
  <c r="B458" i="139"/>
  <c r="B458" i="135"/>
  <c r="B457" i="101"/>
  <c r="B483" i="135"/>
  <c r="B482" i="101"/>
  <c r="B481" i="134"/>
  <c r="B483" i="139"/>
  <c r="B86" i="101"/>
  <c r="B87" i="139"/>
  <c r="B85" i="134"/>
  <c r="B87" i="135"/>
  <c r="B118" i="135"/>
  <c r="B117" i="101"/>
  <c r="B118" i="139"/>
  <c r="B116" i="134"/>
  <c r="B135" i="134"/>
  <c r="B137" i="135"/>
  <c r="B136" i="101"/>
  <c r="B137" i="139"/>
  <c r="A562" i="101"/>
  <c r="A561" i="134"/>
  <c r="A563" i="135"/>
  <c r="A563" i="139" s="1"/>
  <c r="A488" i="101"/>
  <c r="A487" i="134"/>
  <c r="A489" i="135"/>
  <c r="A489" i="139" s="1"/>
  <c r="B507" i="139"/>
  <c r="B505" i="134"/>
  <c r="B507" i="135"/>
  <c r="B506" i="101"/>
  <c r="B567" i="101"/>
  <c r="B568" i="139"/>
  <c r="B568" i="135"/>
  <c r="B566" i="134"/>
  <c r="E527" i="101"/>
  <c r="D527" i="134" s="1"/>
  <c r="C529" i="135" s="1"/>
  <c r="C529" i="139" s="1"/>
  <c r="B196" i="135"/>
  <c r="B195" i="101"/>
  <c r="B196" i="139"/>
  <c r="B194" i="134"/>
  <c r="C528" i="101"/>
  <c r="A529" i="101"/>
  <c r="A528" i="134"/>
  <c r="A530" i="135"/>
  <c r="A530" i="139" s="1"/>
  <c r="B537" i="139"/>
  <c r="B535" i="134"/>
  <c r="B537" i="135"/>
  <c r="B536" i="101"/>
  <c r="B506" i="135"/>
  <c r="B506" i="139"/>
  <c r="B504" i="134"/>
  <c r="B482" i="139"/>
  <c r="B480" i="134"/>
  <c r="B482" i="135"/>
  <c r="A221" i="101"/>
  <c r="A222" i="135"/>
  <c r="A222" i="139" s="1"/>
  <c r="A220" i="134"/>
  <c r="A361" i="101"/>
  <c r="A360" i="134"/>
  <c r="A362" i="135"/>
  <c r="A362" i="139" s="1"/>
  <c r="B399" i="101"/>
  <c r="B400" i="135"/>
  <c r="B400" i="139"/>
  <c r="B398" i="134"/>
  <c r="B305" i="101"/>
  <c r="B306" i="139"/>
  <c r="B304" i="134"/>
  <c r="B306" i="135"/>
  <c r="A452" i="101"/>
  <c r="A451" i="134"/>
  <c r="A453" i="135"/>
  <c r="A453" i="139" s="1"/>
  <c r="A195" i="101"/>
  <c r="A194" i="134"/>
  <c r="A196" i="135"/>
  <c r="A196" i="139" s="1"/>
  <c r="A249" i="101"/>
  <c r="A248" i="134"/>
  <c r="A250" i="135"/>
  <c r="A250" i="139" s="1"/>
  <c r="C422" i="101"/>
  <c r="B285" i="101"/>
  <c r="B286" i="139"/>
  <c r="B284" i="134"/>
  <c r="B286" i="135"/>
  <c r="A430" i="101"/>
  <c r="A429" i="134"/>
  <c r="A431" i="135"/>
  <c r="A431" i="139" s="1"/>
  <c r="A330" i="101"/>
  <c r="A329" i="134"/>
  <c r="A331" i="135"/>
  <c r="A331" i="139" s="1"/>
  <c r="A281" i="101"/>
  <c r="A280" i="134"/>
  <c r="A282" i="135"/>
  <c r="A282" i="139" s="1"/>
  <c r="A300" i="101"/>
  <c r="A301" i="135"/>
  <c r="A301" i="139" s="1"/>
  <c r="A299" i="134"/>
  <c r="A392" i="101"/>
  <c r="A391" i="134"/>
  <c r="A393" i="135"/>
  <c r="A393" i="139" s="1"/>
  <c r="B378" i="101"/>
  <c r="B379" i="139"/>
  <c r="B377" i="134"/>
  <c r="B379" i="135"/>
  <c r="A53" i="101"/>
  <c r="A52" i="134"/>
  <c r="A54" i="135"/>
  <c r="A54" i="139" s="1"/>
  <c r="A83" i="101"/>
  <c r="A84" i="135"/>
  <c r="A84" i="139" s="1"/>
  <c r="A82" i="134"/>
  <c r="AS17" i="101"/>
  <c r="E17" i="134"/>
  <c r="D19" i="135" s="1"/>
  <c r="D19" i="139" s="1"/>
  <c r="B29" i="101"/>
  <c r="B30" i="139"/>
  <c r="B28" i="134"/>
  <c r="B30" i="135"/>
  <c r="B170" i="101"/>
  <c r="B171" i="139"/>
  <c r="B171" i="135"/>
  <c r="B169" i="134"/>
  <c r="A112" i="101"/>
  <c r="A111" i="134"/>
  <c r="A113" i="135"/>
  <c r="A113" i="139" s="1"/>
  <c r="A132" i="101"/>
  <c r="A131" i="134"/>
  <c r="A133" i="135"/>
  <c r="A133" i="139" s="1"/>
  <c r="C19" i="101"/>
  <c r="A20" i="101"/>
  <c r="A21" i="135"/>
  <c r="A21" i="139" s="1"/>
  <c r="A19" i="134"/>
  <c r="A162" i="101"/>
  <c r="A161" i="134"/>
  <c r="A163" i="135"/>
  <c r="A163" i="139" s="1"/>
  <c r="B56" i="139"/>
  <c r="B54" i="134"/>
  <c r="B56" i="135"/>
  <c r="B55" i="101"/>
  <c r="D18" i="101"/>
  <c r="E18" i="101"/>
  <c r="D18" i="134" s="1"/>
  <c r="C20" i="135" s="1"/>
  <c r="C20" i="139" s="1"/>
  <c r="F18" i="101"/>
  <c r="G18" i="101"/>
  <c r="C18" i="134" s="1"/>
  <c r="E20" i="135" s="1"/>
  <c r="E20" i="139" s="1"/>
  <c r="A15" i="135"/>
  <c r="A15" i="139" s="1"/>
  <c r="AR14" i="139"/>
  <c r="AS14" i="139"/>
  <c r="AT14" i="139"/>
  <c r="BC14" i="139"/>
  <c r="BP14" i="139"/>
  <c r="BT14" i="139"/>
  <c r="BU14" i="139"/>
  <c r="BV14" i="139"/>
  <c r="BW14" i="139"/>
  <c r="BX14" i="139"/>
  <c r="BY14" i="139"/>
  <c r="BZ14" i="139"/>
  <c r="CI14" i="139"/>
  <c r="CV14" i="139"/>
  <c r="CZ14" i="139"/>
  <c r="DA14" i="139"/>
  <c r="DB14" i="139"/>
  <c r="DC14" i="139"/>
  <c r="DD14" i="139"/>
  <c r="DE14" i="139"/>
  <c r="DF14" i="139"/>
  <c r="DO14" i="139"/>
  <c r="EB14" i="139"/>
  <c r="EF14" i="139"/>
  <c r="EG14" i="139"/>
  <c r="EH14" i="139"/>
  <c r="EI14" i="139"/>
  <c r="EJ14" i="139"/>
  <c r="EK14" i="139"/>
  <c r="EL14" i="139"/>
  <c r="EU14" i="139"/>
  <c r="FH14" i="139"/>
  <c r="FL14" i="139"/>
  <c r="FM14" i="139"/>
  <c r="FN14" i="139"/>
  <c r="FO14" i="139"/>
  <c r="FP14" i="139"/>
  <c r="FQ14" i="139"/>
  <c r="FR14" i="139"/>
  <c r="GA14" i="139"/>
  <c r="GN14" i="139"/>
  <c r="GR14" i="139"/>
  <c r="GS14" i="139"/>
  <c r="GT14" i="139"/>
  <c r="GU14" i="139"/>
  <c r="GV14" i="139"/>
  <c r="GW14" i="139"/>
  <c r="GX14" i="139"/>
  <c r="HG14" i="139"/>
  <c r="HT14" i="139"/>
  <c r="HX14" i="139"/>
  <c r="HY14" i="139"/>
  <c r="HZ14" i="139"/>
  <c r="IA14" i="139"/>
  <c r="IB14" i="139"/>
  <c r="IC14" i="139"/>
  <c r="ID14" i="139"/>
  <c r="IM14" i="139"/>
  <c r="IZ14" i="139"/>
  <c r="JD14" i="139"/>
  <c r="JE14" i="139"/>
  <c r="JF14" i="139"/>
  <c r="JG14" i="139"/>
  <c r="JH14" i="139"/>
  <c r="JI14" i="139"/>
  <c r="JJ14" i="139"/>
  <c r="JS14" i="139"/>
  <c r="KF14" i="139"/>
  <c r="KJ14" i="139"/>
  <c r="KK14" i="139"/>
  <c r="KL14" i="139"/>
  <c r="KM14" i="139"/>
  <c r="KN14" i="139"/>
  <c r="KO14" i="139"/>
  <c r="KP14" i="139"/>
  <c r="KY14" i="139"/>
  <c r="AR15" i="139"/>
  <c r="AS15" i="139"/>
  <c r="AT15" i="139"/>
  <c r="BC15" i="139"/>
  <c r="BP15" i="139"/>
  <c r="BT15" i="139"/>
  <c r="BU15" i="139"/>
  <c r="BV15" i="139"/>
  <c r="BW15" i="139"/>
  <c r="BX15" i="139"/>
  <c r="BY15" i="139"/>
  <c r="BZ15" i="139"/>
  <c r="CI15" i="139"/>
  <c r="CV15" i="139"/>
  <c r="CZ15" i="139"/>
  <c r="DA15" i="139"/>
  <c r="DB15" i="139"/>
  <c r="DC15" i="139"/>
  <c r="DD15" i="139"/>
  <c r="DE15" i="139"/>
  <c r="DF15" i="139"/>
  <c r="DO15" i="139"/>
  <c r="EB15" i="139"/>
  <c r="EF15" i="139"/>
  <c r="EG15" i="139"/>
  <c r="EH15" i="139"/>
  <c r="EI15" i="139"/>
  <c r="EJ15" i="139"/>
  <c r="EK15" i="139"/>
  <c r="EL15" i="139"/>
  <c r="EU15" i="139"/>
  <c r="FH15" i="139"/>
  <c r="FL15" i="139"/>
  <c r="FM15" i="139"/>
  <c r="FN15" i="139"/>
  <c r="FO15" i="139"/>
  <c r="FP15" i="139"/>
  <c r="FQ15" i="139"/>
  <c r="FR15" i="139"/>
  <c r="GA15" i="139"/>
  <c r="GN15" i="139"/>
  <c r="GR15" i="139"/>
  <c r="GS15" i="139"/>
  <c r="GT15" i="139"/>
  <c r="GU15" i="139"/>
  <c r="GV15" i="139"/>
  <c r="GW15" i="139"/>
  <c r="GX15" i="139"/>
  <c r="HG15" i="139"/>
  <c r="HT15" i="139"/>
  <c r="HX15" i="139"/>
  <c r="HY15" i="139"/>
  <c r="HZ15" i="139"/>
  <c r="IA15" i="139"/>
  <c r="IB15" i="139"/>
  <c r="IC15" i="139"/>
  <c r="ID15" i="139"/>
  <c r="IM15" i="139"/>
  <c r="IZ15" i="139"/>
  <c r="JD15" i="139"/>
  <c r="JE15" i="139"/>
  <c r="JF15" i="139"/>
  <c r="JG15" i="139"/>
  <c r="JH15" i="139"/>
  <c r="JI15" i="139"/>
  <c r="JJ15" i="139"/>
  <c r="JS15" i="139"/>
  <c r="KF15" i="139"/>
  <c r="KJ15" i="139"/>
  <c r="KK15" i="139"/>
  <c r="KL15" i="139"/>
  <c r="KM15" i="139"/>
  <c r="KN15" i="139"/>
  <c r="KO15" i="139"/>
  <c r="KP15" i="139"/>
  <c r="KY15" i="139"/>
  <c r="AR16" i="139"/>
  <c r="AS16" i="139"/>
  <c r="AT16" i="139"/>
  <c r="BC16" i="139"/>
  <c r="BP16" i="139"/>
  <c r="BT16" i="139"/>
  <c r="BU16" i="139"/>
  <c r="BV16" i="139"/>
  <c r="BW16" i="139"/>
  <c r="BX16" i="139"/>
  <c r="BY16" i="139"/>
  <c r="BZ16" i="139"/>
  <c r="CI16" i="139"/>
  <c r="CV16" i="139"/>
  <c r="CZ16" i="139"/>
  <c r="DA16" i="139"/>
  <c r="DB16" i="139"/>
  <c r="DC16" i="139"/>
  <c r="DD16" i="139"/>
  <c r="DE16" i="139"/>
  <c r="DF16" i="139"/>
  <c r="DO16" i="139"/>
  <c r="EB16" i="139"/>
  <c r="EF16" i="139"/>
  <c r="EG16" i="139"/>
  <c r="EH16" i="139"/>
  <c r="EI16" i="139"/>
  <c r="EJ16" i="139"/>
  <c r="EK16" i="139"/>
  <c r="EL16" i="139"/>
  <c r="EU16" i="139"/>
  <c r="FH16" i="139"/>
  <c r="FL16" i="139"/>
  <c r="FM16" i="139"/>
  <c r="FN16" i="139"/>
  <c r="FO16" i="139"/>
  <c r="FP16" i="139"/>
  <c r="FQ16" i="139"/>
  <c r="FR16" i="139"/>
  <c r="GA16" i="139"/>
  <c r="GN16" i="139"/>
  <c r="GR16" i="139"/>
  <c r="GS16" i="139"/>
  <c r="GT16" i="139"/>
  <c r="GU16" i="139"/>
  <c r="GV16" i="139"/>
  <c r="GW16" i="139"/>
  <c r="GX16" i="139"/>
  <c r="HG16" i="139"/>
  <c r="HT16" i="139"/>
  <c r="HX16" i="139"/>
  <c r="HY16" i="139"/>
  <c r="HZ16" i="139"/>
  <c r="IA16" i="139"/>
  <c r="IB16" i="139"/>
  <c r="IC16" i="139"/>
  <c r="ID16" i="139"/>
  <c r="IM16" i="139"/>
  <c r="IZ16" i="139"/>
  <c r="JD16" i="139"/>
  <c r="JE16" i="139"/>
  <c r="JF16" i="139"/>
  <c r="JG16" i="139"/>
  <c r="JH16" i="139"/>
  <c r="JI16" i="139"/>
  <c r="JJ16" i="139"/>
  <c r="JS16" i="139"/>
  <c r="KF16" i="139"/>
  <c r="KJ16" i="139"/>
  <c r="KK16" i="139"/>
  <c r="KL16" i="139"/>
  <c r="KM16" i="139"/>
  <c r="KN16" i="139"/>
  <c r="KO16" i="139"/>
  <c r="KP16" i="139"/>
  <c r="KY16" i="139"/>
  <c r="B618" i="139" l="1"/>
  <c r="B616" i="134"/>
  <c r="B618" i="135"/>
  <c r="B617" i="101"/>
  <c r="A595" i="101"/>
  <c r="A594" i="134"/>
  <c r="A596" i="135"/>
  <c r="A596" i="139" s="1"/>
  <c r="A613" i="101"/>
  <c r="A612" i="134"/>
  <c r="A614" i="135"/>
  <c r="A614" i="139" s="1"/>
  <c r="B600" i="139"/>
  <c r="B598" i="134"/>
  <c r="B600" i="135"/>
  <c r="B599" i="101"/>
  <c r="B432" i="139"/>
  <c r="B430" i="134"/>
  <c r="B432" i="135"/>
  <c r="B431" i="101"/>
  <c r="B254" i="101"/>
  <c r="B255" i="139"/>
  <c r="B255" i="135"/>
  <c r="B253" i="134"/>
  <c r="B227" i="134"/>
  <c r="B229" i="139"/>
  <c r="B228" i="101"/>
  <c r="B229" i="135"/>
  <c r="B335" i="101"/>
  <c r="B336" i="139"/>
  <c r="B334" i="134"/>
  <c r="B336" i="135"/>
  <c r="A489" i="101"/>
  <c r="A488" i="134"/>
  <c r="A490" i="135"/>
  <c r="A490" i="139" s="1"/>
  <c r="B119" i="135"/>
  <c r="B118" i="101"/>
  <c r="B119" i="139"/>
  <c r="B117" i="134"/>
  <c r="B483" i="101"/>
  <c r="B484" i="139"/>
  <c r="B482" i="134"/>
  <c r="B484" i="135"/>
  <c r="B538" i="139"/>
  <c r="B536" i="134"/>
  <c r="B538" i="135"/>
  <c r="B537" i="101"/>
  <c r="B458" i="101"/>
  <c r="B459" i="139"/>
  <c r="B457" i="134"/>
  <c r="B459" i="135"/>
  <c r="C529" i="101"/>
  <c r="A530" i="101"/>
  <c r="A529" i="134"/>
  <c r="A531" i="135"/>
  <c r="A531" i="139" s="1"/>
  <c r="E528" i="101"/>
  <c r="D528" i="134" s="1"/>
  <c r="C530" i="135" s="1"/>
  <c r="C530" i="139" s="1"/>
  <c r="B568" i="101"/>
  <c r="B569" i="139"/>
  <c r="B569" i="135"/>
  <c r="B567" i="134"/>
  <c r="A563" i="101"/>
  <c r="A562" i="134"/>
  <c r="A564" i="135"/>
  <c r="A564" i="139" s="1"/>
  <c r="B508" i="139"/>
  <c r="B507" i="101"/>
  <c r="B506" i="134"/>
  <c r="B508" i="135"/>
  <c r="B138" i="139"/>
  <c r="B138" i="135"/>
  <c r="B136" i="134"/>
  <c r="B137" i="101"/>
  <c r="B197" i="139"/>
  <c r="B195" i="134"/>
  <c r="B196" i="101"/>
  <c r="B197" i="135"/>
  <c r="A502" i="101"/>
  <c r="A503" i="135"/>
  <c r="A503" i="139" s="1"/>
  <c r="A501" i="134"/>
  <c r="B87" i="101"/>
  <c r="B88" i="139"/>
  <c r="B86" i="134"/>
  <c r="B88" i="135"/>
  <c r="B286" i="101"/>
  <c r="B287" i="139"/>
  <c r="B285" i="134"/>
  <c r="B287" i="135"/>
  <c r="A393" i="101"/>
  <c r="A392" i="134"/>
  <c r="A394" i="135"/>
  <c r="A394" i="139" s="1"/>
  <c r="A331" i="101"/>
  <c r="A330" i="134"/>
  <c r="A332" i="135"/>
  <c r="A332" i="139" s="1"/>
  <c r="C423" i="101"/>
  <c r="A453" i="101"/>
  <c r="A452" i="134"/>
  <c r="A454" i="135"/>
  <c r="A454" i="139" s="1"/>
  <c r="A362" i="101"/>
  <c r="A361" i="134"/>
  <c r="A363" i="135"/>
  <c r="A363" i="139" s="1"/>
  <c r="B379" i="101"/>
  <c r="B380" i="139"/>
  <c r="B378" i="134"/>
  <c r="B380" i="135"/>
  <c r="A301" i="101"/>
  <c r="A300" i="134"/>
  <c r="A302" i="135"/>
  <c r="A302" i="139" s="1"/>
  <c r="A431" i="101"/>
  <c r="A430" i="134"/>
  <c r="A432" i="135"/>
  <c r="A432" i="139" s="1"/>
  <c r="A250" i="101"/>
  <c r="A249" i="134"/>
  <c r="A251" i="135"/>
  <c r="A251" i="139" s="1"/>
  <c r="A222" i="101"/>
  <c r="A221" i="134"/>
  <c r="A223" i="135"/>
  <c r="A223" i="139" s="1"/>
  <c r="B400" i="101"/>
  <c r="B401" i="139"/>
  <c r="B399" i="134"/>
  <c r="B401" i="135"/>
  <c r="B306" i="101"/>
  <c r="B307" i="139"/>
  <c r="B305" i="134"/>
  <c r="B307" i="135"/>
  <c r="A282" i="101"/>
  <c r="A281" i="134"/>
  <c r="A283" i="135"/>
  <c r="A283" i="139" s="1"/>
  <c r="A196" i="101"/>
  <c r="A197" i="135"/>
  <c r="A197" i="139" s="1"/>
  <c r="A195" i="134"/>
  <c r="B57" i="139"/>
  <c r="B56" i="101"/>
  <c r="B55" i="134"/>
  <c r="B57" i="135"/>
  <c r="A84" i="101"/>
  <c r="A83" i="134"/>
  <c r="A85" i="135"/>
  <c r="A85" i="139" s="1"/>
  <c r="C20" i="101"/>
  <c r="A21" i="101"/>
  <c r="A20" i="134"/>
  <c r="A22" i="135"/>
  <c r="A22" i="139" s="1"/>
  <c r="F19" i="101"/>
  <c r="G19" i="101"/>
  <c r="C19" i="134" s="1"/>
  <c r="E21" i="135" s="1"/>
  <c r="E21" i="139" s="1"/>
  <c r="D19" i="101"/>
  <c r="E19" i="101"/>
  <c r="D19" i="134" s="1"/>
  <c r="C21" i="135" s="1"/>
  <c r="C21" i="139" s="1"/>
  <c r="B172" i="135"/>
  <c r="B172" i="139"/>
  <c r="B171" i="101"/>
  <c r="B170" i="134"/>
  <c r="AS18" i="101"/>
  <c r="E18" i="134"/>
  <c r="D20" i="135" s="1"/>
  <c r="D20" i="139" s="1"/>
  <c r="AR18" i="101"/>
  <c r="A54" i="101"/>
  <c r="A53" i="134"/>
  <c r="A55" i="135"/>
  <c r="A55" i="139" s="1"/>
  <c r="A163" i="101"/>
  <c r="A164" i="135"/>
  <c r="A164" i="139" s="1"/>
  <c r="A162" i="134"/>
  <c r="A133" i="101"/>
  <c r="A132" i="134"/>
  <c r="A134" i="135"/>
  <c r="A134" i="139" s="1"/>
  <c r="B30" i="101"/>
  <c r="B31" i="139"/>
  <c r="B29" i="134"/>
  <c r="B31" i="135"/>
  <c r="A113" i="101"/>
  <c r="A112" i="134"/>
  <c r="A114" i="135"/>
  <c r="A114" i="139" s="1"/>
  <c r="AR934" i="101"/>
  <c r="AR946" i="101"/>
  <c r="AR951" i="101"/>
  <c r="AR957" i="101"/>
  <c r="AS974" i="101"/>
  <c r="AS975" i="101"/>
  <c r="AS976" i="101"/>
  <c r="AS977" i="101"/>
  <c r="A614" i="101" l="1"/>
  <c r="A613" i="134"/>
  <c r="A615" i="135"/>
  <c r="A615" i="139" s="1"/>
  <c r="A596" i="101"/>
  <c r="A595" i="134"/>
  <c r="A597" i="135"/>
  <c r="A597" i="139" s="1"/>
  <c r="B600" i="101"/>
  <c r="B601" i="139"/>
  <c r="B599" i="134"/>
  <c r="B601" i="135"/>
  <c r="B618" i="101"/>
  <c r="B619" i="139"/>
  <c r="B617" i="134"/>
  <c r="B619" i="135"/>
  <c r="B255" i="101"/>
  <c r="B256" i="139"/>
  <c r="B254" i="134"/>
  <c r="B256" i="135"/>
  <c r="B432" i="101"/>
  <c r="B433" i="139"/>
  <c r="B431" i="134"/>
  <c r="B433" i="135"/>
  <c r="B336" i="101"/>
  <c r="B337" i="139"/>
  <c r="B335" i="134"/>
  <c r="B337" i="135"/>
  <c r="B230" i="139"/>
  <c r="B228" i="134"/>
  <c r="B230" i="135"/>
  <c r="B229" i="101"/>
  <c r="A564" i="101"/>
  <c r="A563" i="134"/>
  <c r="A565" i="135"/>
  <c r="A565" i="139" s="1"/>
  <c r="A531" i="101"/>
  <c r="C530" i="101"/>
  <c r="A530" i="134"/>
  <c r="A532" i="135"/>
  <c r="A532" i="139" s="1"/>
  <c r="B87" i="134"/>
  <c r="B89" i="139"/>
  <c r="B88" i="101"/>
  <c r="B89" i="135"/>
  <c r="E529" i="101"/>
  <c r="D529" i="134" s="1"/>
  <c r="C531" i="135" s="1"/>
  <c r="C531" i="139" s="1"/>
  <c r="B485" i="139"/>
  <c r="B483" i="134"/>
  <c r="B485" i="135"/>
  <c r="B484" i="101"/>
  <c r="A503" i="101"/>
  <c r="A504" i="135"/>
  <c r="A504" i="139" s="1"/>
  <c r="A502" i="134"/>
  <c r="B508" i="101"/>
  <c r="B509" i="139"/>
  <c r="B507" i="134"/>
  <c r="B509" i="135"/>
  <c r="B120" i="139"/>
  <c r="B119" i="101"/>
  <c r="B118" i="134"/>
  <c r="B120" i="135"/>
  <c r="B570" i="139"/>
  <c r="B568" i="134"/>
  <c r="B570" i="135"/>
  <c r="B569" i="101"/>
  <c r="B459" i="101"/>
  <c r="B460" i="139"/>
  <c r="B458" i="134"/>
  <c r="B460" i="135"/>
  <c r="B138" i="101"/>
  <c r="B137" i="134"/>
  <c r="B139" i="135"/>
  <c r="B139" i="139"/>
  <c r="B538" i="101"/>
  <c r="B539" i="139"/>
  <c r="B539" i="135"/>
  <c r="B537" i="134"/>
  <c r="B197" i="101"/>
  <c r="B196" i="134"/>
  <c r="B198" i="135"/>
  <c r="B198" i="139"/>
  <c r="A490" i="101"/>
  <c r="A489" i="134"/>
  <c r="A491" i="135"/>
  <c r="A491" i="139" s="1"/>
  <c r="A394" i="101"/>
  <c r="A393" i="134"/>
  <c r="A395" i="135"/>
  <c r="A395" i="139" s="1"/>
  <c r="A432" i="101"/>
  <c r="A433" i="135"/>
  <c r="A433" i="139" s="1"/>
  <c r="A431" i="134"/>
  <c r="A454" i="101"/>
  <c r="A453" i="134"/>
  <c r="A455" i="135"/>
  <c r="A455" i="139" s="1"/>
  <c r="E423" i="101"/>
  <c r="D423" i="134" s="1"/>
  <c r="C425" i="135" s="1"/>
  <c r="C425" i="139" s="1"/>
  <c r="C424" i="101"/>
  <c r="A223" i="101"/>
  <c r="A222" i="134"/>
  <c r="A224" i="135"/>
  <c r="A224" i="139" s="1"/>
  <c r="A302" i="101"/>
  <c r="A301" i="134"/>
  <c r="A303" i="135"/>
  <c r="A303" i="139" s="1"/>
  <c r="B287" i="101"/>
  <c r="B288" i="139"/>
  <c r="B286" i="134"/>
  <c r="B288" i="135"/>
  <c r="A197" i="101"/>
  <c r="A196" i="134"/>
  <c r="A198" i="135"/>
  <c r="A198" i="139" s="1"/>
  <c r="B307" i="101"/>
  <c r="B306" i="134"/>
  <c r="B308" i="135"/>
  <c r="B308" i="139"/>
  <c r="B381" i="139"/>
  <c r="B379" i="134"/>
  <c r="B380" i="101"/>
  <c r="B381" i="135"/>
  <c r="A332" i="101"/>
  <c r="A331" i="134"/>
  <c r="A333" i="135"/>
  <c r="A333" i="139" s="1"/>
  <c r="B400" i="134"/>
  <c r="B402" i="135"/>
  <c r="B401" i="101"/>
  <c r="B402" i="139"/>
  <c r="A283" i="101"/>
  <c r="A282" i="134"/>
  <c r="A284" i="135"/>
  <c r="A284" i="139" s="1"/>
  <c r="A251" i="101"/>
  <c r="A252" i="135"/>
  <c r="A252" i="139" s="1"/>
  <c r="A250" i="134"/>
  <c r="A363" i="101"/>
  <c r="A362" i="134"/>
  <c r="A364" i="135"/>
  <c r="A364" i="139" s="1"/>
  <c r="B31" i="101"/>
  <c r="B32" i="139"/>
  <c r="B30" i="134"/>
  <c r="B32" i="135"/>
  <c r="C21" i="101"/>
  <c r="A22" i="101"/>
  <c r="A21" i="134"/>
  <c r="A23" i="135"/>
  <c r="A23" i="139" s="1"/>
  <c r="E20" i="101"/>
  <c r="D20" i="134" s="1"/>
  <c r="C22" i="135" s="1"/>
  <c r="C22" i="139" s="1"/>
  <c r="F20" i="101"/>
  <c r="D20" i="101"/>
  <c r="G20" i="101"/>
  <c r="C20" i="134" s="1"/>
  <c r="E22" i="135" s="1"/>
  <c r="E22" i="139" s="1"/>
  <c r="A134" i="101"/>
  <c r="A133" i="134"/>
  <c r="A135" i="135"/>
  <c r="A135" i="139" s="1"/>
  <c r="B171" i="134"/>
  <c r="B173" i="135"/>
  <c r="B172" i="101"/>
  <c r="B173" i="139"/>
  <c r="A85" i="101"/>
  <c r="A84" i="134"/>
  <c r="A86" i="135"/>
  <c r="A86" i="139" s="1"/>
  <c r="A114" i="101"/>
  <c r="A115" i="135"/>
  <c r="A115" i="139" s="1"/>
  <c r="A113" i="134"/>
  <c r="A164" i="101"/>
  <c r="A163" i="134"/>
  <c r="A165" i="135"/>
  <c r="A165" i="139" s="1"/>
  <c r="B57" i="101"/>
  <c r="B58" i="139"/>
  <c r="B56" i="134"/>
  <c r="B58" i="135"/>
  <c r="A55" i="101"/>
  <c r="A54" i="134"/>
  <c r="A56" i="135"/>
  <c r="A56" i="139" s="1"/>
  <c r="AS19" i="101"/>
  <c r="E19" i="134"/>
  <c r="D21" i="135" s="1"/>
  <c r="D21" i="139" s="1"/>
  <c r="AR977" i="101"/>
  <c r="AR954" i="101"/>
  <c r="AR953" i="101"/>
  <c r="AR941" i="101"/>
  <c r="AR949" i="101"/>
  <c r="AR965" i="101"/>
  <c r="AR942" i="101"/>
  <c r="AR970" i="101"/>
  <c r="AR961" i="101"/>
  <c r="AR939" i="101"/>
  <c r="AR963" i="101"/>
  <c r="AR933" i="101"/>
  <c r="AR974" i="101"/>
  <c r="AR962" i="101"/>
  <c r="AR973" i="101"/>
  <c r="AR950" i="101"/>
  <c r="AR945" i="101"/>
  <c r="AR937" i="101"/>
  <c r="AR938" i="101"/>
  <c r="AR966" i="101"/>
  <c r="AR967" i="101"/>
  <c r="AR955" i="101"/>
  <c r="AR969" i="101"/>
  <c r="AR958" i="101"/>
  <c r="AR935" i="101"/>
  <c r="AR972" i="101"/>
  <c r="AR960" i="101"/>
  <c r="AR975" i="101"/>
  <c r="AR968" i="101"/>
  <c r="AR956" i="101"/>
  <c r="AR976" i="101"/>
  <c r="AR971" i="101"/>
  <c r="AR947" i="101"/>
  <c r="AR964" i="101"/>
  <c r="AR959" i="101"/>
  <c r="AR943" i="101"/>
  <c r="AR952" i="101"/>
  <c r="AR948" i="101"/>
  <c r="AR944" i="101"/>
  <c r="AR940" i="101"/>
  <c r="AR936" i="101"/>
  <c r="AR932" i="101"/>
  <c r="B602" i="135" l="1"/>
  <c r="B601" i="101"/>
  <c r="B602" i="139"/>
  <c r="B600" i="134"/>
  <c r="A597" i="101"/>
  <c r="A596" i="134"/>
  <c r="A598" i="135"/>
  <c r="A598" i="139" s="1"/>
  <c r="A615" i="101"/>
  <c r="A614" i="134"/>
  <c r="A616" i="135"/>
  <c r="A616" i="139" s="1"/>
  <c r="B620" i="139"/>
  <c r="B618" i="134"/>
  <c r="B619" i="101"/>
  <c r="B620" i="135"/>
  <c r="B434" i="135"/>
  <c r="B433" i="101"/>
  <c r="B432" i="134"/>
  <c r="B434" i="139"/>
  <c r="B256" i="101"/>
  <c r="B257" i="139"/>
  <c r="B255" i="134"/>
  <c r="B257" i="135"/>
  <c r="B230" i="101"/>
  <c r="B231" i="139"/>
  <c r="B229" i="134"/>
  <c r="B231" i="135"/>
  <c r="B337" i="101"/>
  <c r="B338" i="139"/>
  <c r="B336" i="134"/>
  <c r="B338" i="135"/>
  <c r="A504" i="101"/>
  <c r="A503" i="134"/>
  <c r="A505" i="135"/>
  <c r="A505" i="139" s="1"/>
  <c r="B539" i="101"/>
  <c r="B540" i="139"/>
  <c r="B538" i="134"/>
  <c r="B540" i="135"/>
  <c r="B486" i="139"/>
  <c r="B484" i="134"/>
  <c r="B486" i="135"/>
  <c r="B485" i="101"/>
  <c r="B569" i="134"/>
  <c r="B571" i="135"/>
  <c r="B571" i="139"/>
  <c r="B570" i="101"/>
  <c r="A491" i="101"/>
  <c r="A492" i="135"/>
  <c r="A492" i="139" s="1"/>
  <c r="A490" i="134"/>
  <c r="B120" i="101"/>
  <c r="B121" i="135"/>
  <c r="B119" i="134"/>
  <c r="B121" i="139"/>
  <c r="E530" i="101"/>
  <c r="D530" i="134" s="1"/>
  <c r="C532" i="135" s="1"/>
  <c r="C532" i="139" s="1"/>
  <c r="B139" i="101"/>
  <c r="B140" i="135"/>
  <c r="B138" i="134"/>
  <c r="B140" i="139"/>
  <c r="C531" i="101"/>
  <c r="A532" i="101"/>
  <c r="A533" i="135"/>
  <c r="A533" i="139" s="1"/>
  <c r="A531" i="134"/>
  <c r="B88" i="134"/>
  <c r="B89" i="101"/>
  <c r="B90" i="135"/>
  <c r="B90" i="139"/>
  <c r="A565" i="101"/>
  <c r="A564" i="134"/>
  <c r="A566" i="135"/>
  <c r="A566" i="139" s="1"/>
  <c r="B198" i="101"/>
  <c r="B199" i="139"/>
  <c r="B197" i="134"/>
  <c r="B199" i="135"/>
  <c r="B459" i="134"/>
  <c r="B461" i="135"/>
  <c r="B460" i="101"/>
  <c r="B461" i="139"/>
  <c r="B510" i="139"/>
  <c r="B508" i="134"/>
  <c r="B510" i="135"/>
  <c r="B509" i="101"/>
  <c r="A284" i="101"/>
  <c r="A283" i="134"/>
  <c r="A285" i="135"/>
  <c r="A285" i="139" s="1"/>
  <c r="A333" i="101"/>
  <c r="A334" i="135"/>
  <c r="A334" i="139" s="1"/>
  <c r="A332" i="134"/>
  <c r="A303" i="101"/>
  <c r="A302" i="134"/>
  <c r="A304" i="135"/>
  <c r="A304" i="139" s="1"/>
  <c r="A455" i="101"/>
  <c r="A454" i="134"/>
  <c r="A456" i="135"/>
  <c r="A456" i="139" s="1"/>
  <c r="B309" i="139"/>
  <c r="B307" i="134"/>
  <c r="B309" i="135"/>
  <c r="B308" i="101"/>
  <c r="B402" i="101"/>
  <c r="B403" i="139"/>
  <c r="B401" i="134"/>
  <c r="B403" i="135"/>
  <c r="A364" i="101"/>
  <c r="A365" i="135"/>
  <c r="A365" i="139" s="1"/>
  <c r="A363" i="134"/>
  <c r="A198" i="101"/>
  <c r="A197" i="134"/>
  <c r="A199" i="135"/>
  <c r="A199" i="139" s="1"/>
  <c r="A224" i="101"/>
  <c r="A223" i="134"/>
  <c r="A225" i="135"/>
  <c r="A225" i="139" s="1"/>
  <c r="A433" i="101"/>
  <c r="A432" i="134"/>
  <c r="A434" i="135"/>
  <c r="A434" i="139" s="1"/>
  <c r="E424" i="101"/>
  <c r="D424" i="134" s="1"/>
  <c r="C426" i="135" s="1"/>
  <c r="C426" i="139" s="1"/>
  <c r="C425" i="101"/>
  <c r="B381" i="101"/>
  <c r="B382" i="139"/>
  <c r="B382" i="135"/>
  <c r="B380" i="134"/>
  <c r="A252" i="101"/>
  <c r="A251" i="134"/>
  <c r="A253" i="135"/>
  <c r="A253" i="139" s="1"/>
  <c r="A395" i="101"/>
  <c r="A396" i="135"/>
  <c r="A396" i="139" s="1"/>
  <c r="A394" i="134"/>
  <c r="B288" i="101"/>
  <c r="B289" i="139"/>
  <c r="B287" i="134"/>
  <c r="B289" i="135"/>
  <c r="AS20" i="101"/>
  <c r="E20" i="134"/>
  <c r="D22" i="135" s="1"/>
  <c r="D22" i="139" s="1"/>
  <c r="AR20" i="101"/>
  <c r="B174" i="139"/>
  <c r="B172" i="134"/>
  <c r="B173" i="101"/>
  <c r="B174" i="135"/>
  <c r="A115" i="101"/>
  <c r="A114" i="134"/>
  <c r="A116" i="135"/>
  <c r="A116" i="139" s="1"/>
  <c r="C22" i="101"/>
  <c r="A23" i="101"/>
  <c r="A24" i="135"/>
  <c r="A24" i="139" s="1"/>
  <c r="A22" i="134"/>
  <c r="D21" i="101"/>
  <c r="E21" i="101"/>
  <c r="D21" i="134" s="1"/>
  <c r="C23" i="135" s="1"/>
  <c r="C23" i="139" s="1"/>
  <c r="G21" i="101"/>
  <c r="C21" i="134" s="1"/>
  <c r="E23" i="135" s="1"/>
  <c r="E23" i="139" s="1"/>
  <c r="F21" i="101"/>
  <c r="A165" i="101"/>
  <c r="A164" i="134"/>
  <c r="A166" i="135"/>
  <c r="A166" i="139" s="1"/>
  <c r="A56" i="101"/>
  <c r="A55" i="134"/>
  <c r="A57" i="135"/>
  <c r="A57" i="139" s="1"/>
  <c r="A86" i="101"/>
  <c r="A87" i="135"/>
  <c r="A87" i="139" s="1"/>
  <c r="A85" i="134"/>
  <c r="A135" i="101"/>
  <c r="A134" i="134"/>
  <c r="A136" i="135"/>
  <c r="A136" i="139" s="1"/>
  <c r="B58" i="101"/>
  <c r="B59" i="139"/>
  <c r="B59" i="135"/>
  <c r="B57" i="134"/>
  <c r="B32" i="101"/>
  <c r="B31" i="134"/>
  <c r="B33" i="135"/>
  <c r="B33" i="139"/>
  <c r="B14" i="135"/>
  <c r="A616" i="101" l="1"/>
  <c r="A615" i="134"/>
  <c r="A617" i="135"/>
  <c r="A617" i="139" s="1"/>
  <c r="A598" i="101"/>
  <c r="A597" i="134"/>
  <c r="A599" i="135"/>
  <c r="A599" i="139" s="1"/>
  <c r="B620" i="101"/>
  <c r="B621" i="139"/>
  <c r="B619" i="134"/>
  <c r="B621" i="135"/>
  <c r="B603" i="139"/>
  <c r="B601" i="134"/>
  <c r="B603" i="135"/>
  <c r="B602" i="101"/>
  <c r="B257" i="101"/>
  <c r="B258" i="139"/>
  <c r="B256" i="134"/>
  <c r="B258" i="135"/>
  <c r="B434" i="101"/>
  <c r="B435" i="139"/>
  <c r="B433" i="134"/>
  <c r="B435" i="135"/>
  <c r="B338" i="101"/>
  <c r="B339" i="139"/>
  <c r="B339" i="135"/>
  <c r="B337" i="134"/>
  <c r="B230" i="134"/>
  <c r="B232" i="139"/>
  <c r="B232" i="135"/>
  <c r="B231" i="101"/>
  <c r="B510" i="101"/>
  <c r="B511" i="139"/>
  <c r="B511" i="135"/>
  <c r="B509" i="134"/>
  <c r="A566" i="101"/>
  <c r="A567" i="135"/>
  <c r="A567" i="139" s="1"/>
  <c r="A565" i="134"/>
  <c r="C492" i="101"/>
  <c r="A491" i="134"/>
  <c r="A493" i="135"/>
  <c r="A493" i="139" s="1"/>
  <c r="B139" i="134"/>
  <c r="B141" i="135"/>
  <c r="B141" i="139"/>
  <c r="B140" i="101"/>
  <c r="B540" i="101"/>
  <c r="B541" i="139"/>
  <c r="B539" i="134"/>
  <c r="B541" i="135"/>
  <c r="B572" i="139"/>
  <c r="B570" i="134"/>
  <c r="B572" i="135"/>
  <c r="B571" i="101"/>
  <c r="B460" i="134"/>
  <c r="B462" i="135"/>
  <c r="B461" i="101"/>
  <c r="B462" i="139"/>
  <c r="B90" i="101"/>
  <c r="B91" i="139"/>
  <c r="B89" i="134"/>
  <c r="B91" i="135"/>
  <c r="B487" i="139"/>
  <c r="B486" i="101"/>
  <c r="B485" i="134"/>
  <c r="B487" i="135"/>
  <c r="C532" i="101"/>
  <c r="A533" i="101"/>
  <c r="A532" i="134"/>
  <c r="A534" i="135"/>
  <c r="A534" i="139" s="1"/>
  <c r="A505" i="101"/>
  <c r="A504" i="134"/>
  <c r="A506" i="135"/>
  <c r="A506" i="139" s="1"/>
  <c r="B200" i="135"/>
  <c r="B199" i="101"/>
  <c r="B198" i="134"/>
  <c r="B200" i="139"/>
  <c r="E531" i="101"/>
  <c r="D531" i="134" s="1"/>
  <c r="C533" i="135" s="1"/>
  <c r="C533" i="139" s="1"/>
  <c r="B122" i="135"/>
  <c r="B121" i="101"/>
  <c r="B122" i="139"/>
  <c r="B120" i="134"/>
  <c r="E425" i="101"/>
  <c r="D425" i="134" s="1"/>
  <c r="C427" i="135" s="1"/>
  <c r="C427" i="139" s="1"/>
  <c r="C426" i="101"/>
  <c r="B309" i="101"/>
  <c r="B310" i="135"/>
  <c r="B310" i="139"/>
  <c r="B308" i="134"/>
  <c r="A225" i="101"/>
  <c r="A224" i="134"/>
  <c r="A226" i="135"/>
  <c r="A226" i="139" s="1"/>
  <c r="A365" i="101"/>
  <c r="A364" i="134"/>
  <c r="A366" i="135"/>
  <c r="A366" i="139" s="1"/>
  <c r="A334" i="101"/>
  <c r="A333" i="134"/>
  <c r="A335" i="135"/>
  <c r="A335" i="139" s="1"/>
  <c r="B289" i="101"/>
  <c r="B290" i="139"/>
  <c r="B288" i="134"/>
  <c r="B290" i="135"/>
  <c r="A199" i="101"/>
  <c r="A200" i="135"/>
  <c r="A200" i="139" s="1"/>
  <c r="A198" i="134"/>
  <c r="A456" i="101"/>
  <c r="A455" i="134"/>
  <c r="A457" i="135"/>
  <c r="A457" i="139" s="1"/>
  <c r="A285" i="101"/>
  <c r="A286" i="135"/>
  <c r="A286" i="139" s="1"/>
  <c r="A284" i="134"/>
  <c r="B404" i="139"/>
  <c r="B403" i="101"/>
  <c r="B402" i="134"/>
  <c r="B404" i="135"/>
  <c r="A253" i="101"/>
  <c r="A252" i="134"/>
  <c r="A254" i="135"/>
  <c r="A254" i="139" s="1"/>
  <c r="A396" i="101"/>
  <c r="A395" i="134"/>
  <c r="A397" i="135"/>
  <c r="A397" i="139" s="1"/>
  <c r="A434" i="101"/>
  <c r="A433" i="134"/>
  <c r="A435" i="135"/>
  <c r="A435" i="139" s="1"/>
  <c r="B383" i="139"/>
  <c r="B381" i="134"/>
  <c r="B383" i="135"/>
  <c r="B382" i="101"/>
  <c r="A304" i="101"/>
  <c r="A303" i="134"/>
  <c r="A305" i="135"/>
  <c r="A305" i="139" s="1"/>
  <c r="F22" i="101"/>
  <c r="D22" i="101"/>
  <c r="E22" i="101"/>
  <c r="D22" i="134" s="1"/>
  <c r="C24" i="135" s="1"/>
  <c r="C24" i="139" s="1"/>
  <c r="G22" i="101"/>
  <c r="C22" i="134" s="1"/>
  <c r="E24" i="135" s="1"/>
  <c r="E24" i="139" s="1"/>
  <c r="A116" i="101"/>
  <c r="A117" i="135"/>
  <c r="A117" i="139" s="1"/>
  <c r="A115" i="134"/>
  <c r="B60" i="139"/>
  <c r="B59" i="101"/>
  <c r="B58" i="134"/>
  <c r="B60" i="135"/>
  <c r="B174" i="101"/>
  <c r="B175" i="135"/>
  <c r="B175" i="139"/>
  <c r="B173" i="134"/>
  <c r="A57" i="101"/>
  <c r="A56" i="134"/>
  <c r="A58" i="135"/>
  <c r="A58" i="139" s="1"/>
  <c r="A87" i="101"/>
  <c r="A86" i="134"/>
  <c r="A88" i="135"/>
  <c r="A88" i="139" s="1"/>
  <c r="A166" i="101"/>
  <c r="A165" i="134"/>
  <c r="A167" i="135"/>
  <c r="A167" i="139" s="1"/>
  <c r="B34" i="139"/>
  <c r="B32" i="134"/>
  <c r="B34" i="135"/>
  <c r="B33" i="101"/>
  <c r="A136" i="101"/>
  <c r="A135" i="134"/>
  <c r="A137" i="135"/>
  <c r="A137" i="139" s="1"/>
  <c r="AR21" i="101"/>
  <c r="E21" i="134"/>
  <c r="D23" i="135" s="1"/>
  <c r="D23" i="139" s="1"/>
  <c r="AS21" i="101"/>
  <c r="C23" i="101"/>
  <c r="A24" i="101"/>
  <c r="A23" i="134"/>
  <c r="A25" i="135"/>
  <c r="A25" i="139" s="1"/>
  <c r="J12" i="101"/>
  <c r="B621" i="101" l="1"/>
  <c r="B622" i="139"/>
  <c r="B620" i="134"/>
  <c r="B622" i="135"/>
  <c r="A599" i="101"/>
  <c r="A598" i="134"/>
  <c r="A600" i="135"/>
  <c r="A600" i="139" s="1"/>
  <c r="B603" i="101"/>
  <c r="B604" i="139"/>
  <c r="B602" i="134"/>
  <c r="B604" i="135"/>
  <c r="A617" i="101"/>
  <c r="A616" i="134"/>
  <c r="A618" i="135"/>
  <c r="A618" i="139" s="1"/>
  <c r="B435" i="101"/>
  <c r="B436" i="139"/>
  <c r="B434" i="134"/>
  <c r="B436" i="135"/>
  <c r="B258" i="101"/>
  <c r="B257" i="134"/>
  <c r="B259" i="135"/>
  <c r="B259" i="139"/>
  <c r="B232" i="101"/>
  <c r="B233" i="139"/>
  <c r="B231" i="134"/>
  <c r="B233" i="135"/>
  <c r="B339" i="101"/>
  <c r="B340" i="139"/>
  <c r="B338" i="134"/>
  <c r="B340" i="135"/>
  <c r="B122" i="101"/>
  <c r="B123" i="135"/>
  <c r="B121" i="134"/>
  <c r="B123" i="139"/>
  <c r="A506" i="101"/>
  <c r="A505" i="134"/>
  <c r="A507" i="135"/>
  <c r="A507" i="139" s="1"/>
  <c r="C493" i="101"/>
  <c r="C533" i="101"/>
  <c r="A534" i="101"/>
  <c r="A533" i="134"/>
  <c r="A535" i="135"/>
  <c r="A535" i="139" s="1"/>
  <c r="A567" i="101"/>
  <c r="A568" i="135"/>
  <c r="A568" i="139" s="1"/>
  <c r="A566" i="134"/>
  <c r="E532" i="101"/>
  <c r="D532" i="134" s="1"/>
  <c r="C534" i="135" s="1"/>
  <c r="C534" i="139" s="1"/>
  <c r="B91" i="101"/>
  <c r="B90" i="134"/>
  <c r="B92" i="135"/>
  <c r="B92" i="139"/>
  <c r="B542" i="135"/>
  <c r="B541" i="101"/>
  <c r="B540" i="134"/>
  <c r="B542" i="139"/>
  <c r="B141" i="101"/>
  <c r="B142" i="139"/>
  <c r="B140" i="134"/>
  <c r="B142" i="135"/>
  <c r="B461" i="134"/>
  <c r="B463" i="135"/>
  <c r="B462" i="101"/>
  <c r="B463" i="139"/>
  <c r="B573" i="139"/>
  <c r="B572" i="101"/>
  <c r="B573" i="135"/>
  <c r="B571" i="134"/>
  <c r="B200" i="101"/>
  <c r="B201" i="139"/>
  <c r="B199" i="134"/>
  <c r="B201" i="135"/>
  <c r="B487" i="101"/>
  <c r="B488" i="139"/>
  <c r="B486" i="134"/>
  <c r="B488" i="135"/>
  <c r="B512" i="139"/>
  <c r="B510" i="134"/>
  <c r="B512" i="135"/>
  <c r="B511" i="101"/>
  <c r="B383" i="101"/>
  <c r="B384" i="139"/>
  <c r="B382" i="134"/>
  <c r="B384" i="135"/>
  <c r="A286" i="101"/>
  <c r="A285" i="134"/>
  <c r="A287" i="135"/>
  <c r="A287" i="139" s="1"/>
  <c r="A226" i="101"/>
  <c r="A225" i="134"/>
  <c r="A227" i="135"/>
  <c r="A227" i="139" s="1"/>
  <c r="B290" i="101"/>
  <c r="B291" i="139"/>
  <c r="B289" i="134"/>
  <c r="B291" i="135"/>
  <c r="A305" i="101"/>
  <c r="A304" i="134"/>
  <c r="A306" i="135"/>
  <c r="A306" i="139" s="1"/>
  <c r="A435" i="101"/>
  <c r="A434" i="134"/>
  <c r="A436" i="135"/>
  <c r="A436" i="139" s="1"/>
  <c r="A254" i="101"/>
  <c r="A253" i="134"/>
  <c r="A255" i="135"/>
  <c r="A255" i="139" s="1"/>
  <c r="A457" i="101"/>
  <c r="A458" i="135"/>
  <c r="A458" i="139" s="1"/>
  <c r="A456" i="134"/>
  <c r="A335" i="101"/>
  <c r="A334" i="134"/>
  <c r="A336" i="135"/>
  <c r="A336" i="139" s="1"/>
  <c r="B310" i="101"/>
  <c r="B311" i="135"/>
  <c r="B311" i="139"/>
  <c r="B309" i="134"/>
  <c r="E426" i="101"/>
  <c r="D426" i="134" s="1"/>
  <c r="C428" i="135" s="1"/>
  <c r="C428" i="139" s="1"/>
  <c r="C427" i="101"/>
  <c r="A397" i="101"/>
  <c r="A396" i="134"/>
  <c r="A398" i="135"/>
  <c r="A398" i="139" s="1"/>
  <c r="B404" i="101"/>
  <c r="B405" i="139"/>
  <c r="B403" i="134"/>
  <c r="B405" i="135"/>
  <c r="A366" i="101"/>
  <c r="A365" i="134"/>
  <c r="A367" i="135"/>
  <c r="A367" i="139" s="1"/>
  <c r="A200" i="101"/>
  <c r="A199" i="134"/>
  <c r="A201" i="135"/>
  <c r="A201" i="139" s="1"/>
  <c r="B60" i="101"/>
  <c r="B61" i="139"/>
  <c r="B59" i="134"/>
  <c r="B61" i="135"/>
  <c r="A167" i="101"/>
  <c r="A166" i="134"/>
  <c r="A168" i="135"/>
  <c r="A168" i="139" s="1"/>
  <c r="A58" i="101"/>
  <c r="A57" i="134"/>
  <c r="A59" i="135"/>
  <c r="A59" i="139" s="1"/>
  <c r="A117" i="101"/>
  <c r="A116" i="134"/>
  <c r="A118" i="135"/>
  <c r="A118" i="139" s="1"/>
  <c r="C24" i="101"/>
  <c r="A25" i="101"/>
  <c r="A24" i="134"/>
  <c r="A26" i="135"/>
  <c r="A26" i="139" s="1"/>
  <c r="D23" i="101"/>
  <c r="G23" i="101"/>
  <c r="C23" i="134" s="1"/>
  <c r="E25" i="135" s="1"/>
  <c r="E25" i="139" s="1"/>
  <c r="F23" i="101"/>
  <c r="E23" i="101"/>
  <c r="D23" i="134" s="1"/>
  <c r="C25" i="135" s="1"/>
  <c r="C25" i="139" s="1"/>
  <c r="A137" i="101"/>
  <c r="A136" i="134"/>
  <c r="A138" i="135"/>
  <c r="A138" i="139" s="1"/>
  <c r="A88" i="101"/>
  <c r="A87" i="134"/>
  <c r="A89" i="135"/>
  <c r="A89" i="139" s="1"/>
  <c r="B35" i="135"/>
  <c r="B34" i="101"/>
  <c r="B35" i="139"/>
  <c r="B33" i="134"/>
  <c r="B176" i="139"/>
  <c r="B174" i="134"/>
  <c r="B176" i="135"/>
  <c r="B175" i="101"/>
  <c r="AS22" i="101"/>
  <c r="E22" i="134"/>
  <c r="D24" i="135" s="1"/>
  <c r="D24" i="139" s="1"/>
  <c r="AR22" i="101"/>
  <c r="A5" i="143"/>
  <c r="A5" i="151"/>
  <c r="B604" i="101" l="1"/>
  <c r="B605" i="139"/>
  <c r="B603" i="134"/>
  <c r="B605" i="135"/>
  <c r="A600" i="101"/>
  <c r="A599" i="134"/>
  <c r="A601" i="135"/>
  <c r="A601" i="139" s="1"/>
  <c r="A618" i="101"/>
  <c r="A617" i="134"/>
  <c r="A619" i="135"/>
  <c r="A619" i="139" s="1"/>
  <c r="B623" i="135"/>
  <c r="B622" i="101"/>
  <c r="B623" i="139"/>
  <c r="B621" i="134"/>
  <c r="B259" i="101"/>
  <c r="B260" i="139"/>
  <c r="B258" i="134"/>
  <c r="B260" i="135"/>
  <c r="B436" i="101"/>
  <c r="B437" i="139"/>
  <c r="B435" i="134"/>
  <c r="B437" i="135"/>
  <c r="B339" i="134"/>
  <c r="B341" i="135"/>
  <c r="B340" i="101"/>
  <c r="B341" i="139"/>
  <c r="B233" i="101"/>
  <c r="B234" i="135"/>
  <c r="B234" i="139"/>
  <c r="B232" i="134"/>
  <c r="B464" i="139"/>
  <c r="B464" i="135"/>
  <c r="B463" i="101"/>
  <c r="B462" i="134"/>
  <c r="C534" i="101"/>
  <c r="A535" i="101"/>
  <c r="A534" i="134"/>
  <c r="A536" i="135"/>
  <c r="A536" i="139" s="1"/>
  <c r="B542" i="101"/>
  <c r="B543" i="139"/>
  <c r="B541" i="134"/>
  <c r="B543" i="135"/>
  <c r="B488" i="101"/>
  <c r="B489" i="139"/>
  <c r="B487" i="134"/>
  <c r="B489" i="135"/>
  <c r="B93" i="135"/>
  <c r="B93" i="139"/>
  <c r="B91" i="134"/>
  <c r="B92" i="101"/>
  <c r="E533" i="101"/>
  <c r="D533" i="134" s="1"/>
  <c r="C535" i="135" s="1"/>
  <c r="C535" i="139" s="1"/>
  <c r="A507" i="101"/>
  <c r="A506" i="134"/>
  <c r="A508" i="135"/>
  <c r="A508" i="139" s="1"/>
  <c r="B574" i="139"/>
  <c r="B573" i="101"/>
  <c r="B572" i="134"/>
  <c r="B574" i="135"/>
  <c r="A568" i="101"/>
  <c r="A567" i="134"/>
  <c r="A569" i="135"/>
  <c r="A569" i="139" s="1"/>
  <c r="B202" i="139"/>
  <c r="B201" i="101"/>
  <c r="B202" i="135"/>
  <c r="B200" i="134"/>
  <c r="B142" i="101"/>
  <c r="B143" i="139"/>
  <c r="B141" i="134"/>
  <c r="B143" i="135"/>
  <c r="B512" i="101"/>
  <c r="B513" i="139"/>
  <c r="B511" i="134"/>
  <c r="B513" i="135"/>
  <c r="C494" i="101"/>
  <c r="B122" i="134"/>
  <c r="B124" i="139"/>
  <c r="B123" i="101"/>
  <c r="B124" i="135"/>
  <c r="E427" i="101"/>
  <c r="D427" i="134" s="1"/>
  <c r="C429" i="135" s="1"/>
  <c r="C429" i="139" s="1"/>
  <c r="C428" i="101"/>
  <c r="A201" i="101"/>
  <c r="A200" i="134"/>
  <c r="A202" i="135"/>
  <c r="A202" i="139" s="1"/>
  <c r="A367" i="101"/>
  <c r="A368" i="135"/>
  <c r="A368" i="139" s="1"/>
  <c r="A366" i="134"/>
  <c r="A336" i="101"/>
  <c r="A335" i="134"/>
  <c r="A337" i="135"/>
  <c r="A337" i="139" s="1"/>
  <c r="A436" i="101"/>
  <c r="A435" i="134"/>
  <c r="A437" i="135"/>
  <c r="A437" i="139" s="1"/>
  <c r="A287" i="101"/>
  <c r="A286" i="134"/>
  <c r="A288" i="135"/>
  <c r="A288" i="139" s="1"/>
  <c r="A306" i="101"/>
  <c r="A305" i="134"/>
  <c r="A307" i="135"/>
  <c r="A307" i="139" s="1"/>
  <c r="B405" i="101"/>
  <c r="B406" i="139"/>
  <c r="B404" i="134"/>
  <c r="B406" i="135"/>
  <c r="B311" i="101"/>
  <c r="B312" i="139"/>
  <c r="B310" i="134"/>
  <c r="B312" i="135"/>
  <c r="A458" i="101"/>
  <c r="A459" i="135"/>
  <c r="A459" i="139" s="1"/>
  <c r="A457" i="134"/>
  <c r="A398" i="101"/>
  <c r="A397" i="134"/>
  <c r="A399" i="135"/>
  <c r="A399" i="139" s="1"/>
  <c r="A255" i="101"/>
  <c r="A254" i="134"/>
  <c r="A256" i="135"/>
  <c r="A256" i="139" s="1"/>
  <c r="A227" i="101"/>
  <c r="A228" i="135"/>
  <c r="A228" i="139" s="1"/>
  <c r="A226" i="134"/>
  <c r="B291" i="101"/>
  <c r="B292" i="139"/>
  <c r="B290" i="134"/>
  <c r="B292" i="135"/>
  <c r="B383" i="134"/>
  <c r="B385" i="135"/>
  <c r="B384" i="101"/>
  <c r="B385" i="139"/>
  <c r="A138" i="101"/>
  <c r="A137" i="134"/>
  <c r="A139" i="135"/>
  <c r="A139" i="139" s="1"/>
  <c r="A59" i="101"/>
  <c r="A58" i="134"/>
  <c r="A60" i="135"/>
  <c r="A60" i="139" s="1"/>
  <c r="A168" i="101"/>
  <c r="A167" i="134"/>
  <c r="A169" i="135"/>
  <c r="A169" i="139" s="1"/>
  <c r="E24" i="101"/>
  <c r="D24" i="134" s="1"/>
  <c r="C26" i="135" s="1"/>
  <c r="C26" i="139" s="1"/>
  <c r="D24" i="101"/>
  <c r="F24" i="101"/>
  <c r="G24" i="101"/>
  <c r="C24" i="134" s="1"/>
  <c r="E26" i="135" s="1"/>
  <c r="E26" i="139" s="1"/>
  <c r="AS23" i="101"/>
  <c r="E23" i="134"/>
  <c r="D25" i="135" s="1"/>
  <c r="D25" i="139" s="1"/>
  <c r="AR23" i="101"/>
  <c r="B35" i="101"/>
  <c r="B36" i="139"/>
  <c r="B34" i="134"/>
  <c r="B36" i="135"/>
  <c r="B176" i="101"/>
  <c r="B175" i="134"/>
  <c r="B177" i="135"/>
  <c r="B177" i="139"/>
  <c r="A89" i="101"/>
  <c r="A88" i="134"/>
  <c r="A90" i="135"/>
  <c r="A90" i="139" s="1"/>
  <c r="A118" i="101"/>
  <c r="A119" i="135"/>
  <c r="A119" i="139" s="1"/>
  <c r="A117" i="134"/>
  <c r="C25" i="101"/>
  <c r="A26" i="101"/>
  <c r="A25" i="134"/>
  <c r="A27" i="135"/>
  <c r="A27" i="139" s="1"/>
  <c r="B62" i="139"/>
  <c r="B60" i="134"/>
  <c r="B62" i="135"/>
  <c r="B61" i="101"/>
  <c r="H12" i="101"/>
  <c r="H13" i="101" s="1"/>
  <c r="H14" i="101" s="1"/>
  <c r="H15" i="101" s="1"/>
  <c r="H16" i="101" s="1"/>
  <c r="H17" i="101" s="1"/>
  <c r="H18" i="101" s="1"/>
  <c r="H19" i="101" s="1"/>
  <c r="H20" i="101" s="1"/>
  <c r="H21" i="101" s="1"/>
  <c r="H22" i="101" s="1"/>
  <c r="H23" i="101" s="1"/>
  <c r="H24" i="101" s="1"/>
  <c r="H25" i="101" s="1"/>
  <c r="H26" i="101" s="1"/>
  <c r="H27" i="101" s="1"/>
  <c r="H28" i="101" s="1"/>
  <c r="H29" i="101" s="1"/>
  <c r="H30" i="101" s="1"/>
  <c r="H31" i="101" s="1"/>
  <c r="H32" i="101" s="1"/>
  <c r="H33" i="101" s="1"/>
  <c r="H34" i="101" s="1"/>
  <c r="H35" i="101" s="1"/>
  <c r="H36" i="101" s="1"/>
  <c r="H37" i="101" s="1"/>
  <c r="H38" i="101" s="1"/>
  <c r="H39" i="101" s="1"/>
  <c r="H40" i="101" s="1"/>
  <c r="H41" i="101" s="1"/>
  <c r="H42" i="101" s="1"/>
  <c r="H43" i="101" s="1"/>
  <c r="H44" i="101" s="1"/>
  <c r="H45" i="101" s="1"/>
  <c r="H46" i="101" s="1"/>
  <c r="H47" i="101" s="1"/>
  <c r="H48" i="101" s="1"/>
  <c r="H49" i="101" s="1"/>
  <c r="H50" i="101" s="1"/>
  <c r="H51" i="101" s="1"/>
  <c r="H52" i="101" s="1"/>
  <c r="H53" i="101" s="1"/>
  <c r="H54" i="101" s="1"/>
  <c r="H55" i="101" s="1"/>
  <c r="H56" i="101" s="1"/>
  <c r="H57" i="101" s="1"/>
  <c r="H58" i="101" s="1"/>
  <c r="H59" i="101" s="1"/>
  <c r="H60" i="101" s="1"/>
  <c r="H61" i="101" s="1"/>
  <c r="H62" i="101" s="1"/>
  <c r="H63" i="101" s="1"/>
  <c r="H64" i="101" s="1"/>
  <c r="H65" i="101" s="1"/>
  <c r="H66" i="101" s="1"/>
  <c r="H67" i="101" s="1"/>
  <c r="H68" i="101" s="1"/>
  <c r="H69" i="101" s="1"/>
  <c r="H70" i="101" s="1"/>
  <c r="H71" i="101" s="1"/>
  <c r="H72" i="101" s="1"/>
  <c r="H73" i="101" s="1"/>
  <c r="H74" i="101" s="1"/>
  <c r="H75" i="101" s="1"/>
  <c r="H76" i="101" s="1"/>
  <c r="H77" i="101" s="1"/>
  <c r="H78" i="101" s="1"/>
  <c r="H79" i="101" s="1"/>
  <c r="H80" i="101" s="1"/>
  <c r="H81" i="101" s="1"/>
  <c r="H82" i="101" s="1"/>
  <c r="H83" i="101" s="1"/>
  <c r="H84" i="101" s="1"/>
  <c r="H85" i="101" s="1"/>
  <c r="H86" i="101" s="1"/>
  <c r="H87" i="101" s="1"/>
  <c r="H88" i="101" s="1"/>
  <c r="H89" i="101" s="1"/>
  <c r="H90" i="101" s="1"/>
  <c r="H91" i="101" s="1"/>
  <c r="H92" i="101" s="1"/>
  <c r="H93" i="101" s="1"/>
  <c r="H94" i="101" s="1"/>
  <c r="H95" i="101" s="1"/>
  <c r="H96" i="101" s="1"/>
  <c r="H97" i="101" s="1"/>
  <c r="H98" i="101" s="1"/>
  <c r="H99" i="101" s="1"/>
  <c r="H100" i="101" s="1"/>
  <c r="H101" i="101" s="1"/>
  <c r="H102" i="101" s="1"/>
  <c r="H103" i="101" s="1"/>
  <c r="H104" i="101" s="1"/>
  <c r="H105" i="101" s="1"/>
  <c r="H106" i="101" s="1"/>
  <c r="H107" i="101" s="1"/>
  <c r="H108" i="101" s="1"/>
  <c r="H109" i="101" s="1"/>
  <c r="H110" i="101" s="1"/>
  <c r="H111" i="101" s="1"/>
  <c r="H112" i="101" s="1"/>
  <c r="H113" i="101" s="1"/>
  <c r="H114" i="101" s="1"/>
  <c r="H115" i="101" s="1"/>
  <c r="H116" i="101" s="1"/>
  <c r="H117" i="101" s="1"/>
  <c r="H118" i="101" s="1"/>
  <c r="H119" i="101" s="1"/>
  <c r="H120" i="101" s="1"/>
  <c r="H121" i="101" s="1"/>
  <c r="H122" i="101" s="1"/>
  <c r="H123" i="101" s="1"/>
  <c r="H124" i="101" s="1"/>
  <c r="H125" i="101" s="1"/>
  <c r="H126" i="101" s="1"/>
  <c r="H127" i="101" s="1"/>
  <c r="H128" i="101" s="1"/>
  <c r="H129" i="101" s="1"/>
  <c r="H130" i="101" s="1"/>
  <c r="H131" i="101" s="1"/>
  <c r="H132" i="101" s="1"/>
  <c r="H133" i="101" s="1"/>
  <c r="H134" i="101" s="1"/>
  <c r="H135" i="101" s="1"/>
  <c r="H136" i="101" s="1"/>
  <c r="H137" i="101" s="1"/>
  <c r="H138" i="101" s="1"/>
  <c r="H139" i="101" s="1"/>
  <c r="H140" i="101" s="1"/>
  <c r="H141" i="101" s="1"/>
  <c r="H142" i="101" s="1"/>
  <c r="H143" i="101" s="1"/>
  <c r="H144" i="101" s="1"/>
  <c r="H145" i="101" s="1"/>
  <c r="H146" i="101" s="1"/>
  <c r="H147" i="101" s="1"/>
  <c r="H148" i="101" s="1"/>
  <c r="H149" i="101" s="1"/>
  <c r="H150" i="101" s="1"/>
  <c r="H151" i="101" s="1"/>
  <c r="H152" i="101" s="1"/>
  <c r="H153" i="101" s="1"/>
  <c r="H154" i="101" s="1"/>
  <c r="H155" i="101" s="1"/>
  <c r="H156" i="101" s="1"/>
  <c r="H157" i="101" s="1"/>
  <c r="H158" i="101" s="1"/>
  <c r="H159" i="101" s="1"/>
  <c r="H160" i="101" s="1"/>
  <c r="H161" i="101" s="1"/>
  <c r="H162" i="101" s="1"/>
  <c r="H163" i="101" s="1"/>
  <c r="H164" i="101" s="1"/>
  <c r="H165" i="101" s="1"/>
  <c r="H166" i="101" s="1"/>
  <c r="H167" i="101" s="1"/>
  <c r="H168" i="101" s="1"/>
  <c r="H169" i="101" s="1"/>
  <c r="H170" i="101" s="1"/>
  <c r="H171" i="101" s="1"/>
  <c r="H172" i="101" s="1"/>
  <c r="H173" i="101" s="1"/>
  <c r="H174" i="101" s="1"/>
  <c r="H175" i="101" s="1"/>
  <c r="H176" i="101" s="1"/>
  <c r="H177" i="101" s="1"/>
  <c r="H178" i="101" s="1"/>
  <c r="H179" i="101" s="1"/>
  <c r="H180" i="101" s="1"/>
  <c r="H181" i="101" s="1"/>
  <c r="H182" i="101" s="1"/>
  <c r="H183" i="101" s="1"/>
  <c r="H184" i="101" s="1"/>
  <c r="H185" i="101" s="1"/>
  <c r="H186" i="101" s="1"/>
  <c r="H187" i="101" s="1"/>
  <c r="H188" i="101" s="1"/>
  <c r="H189" i="101" s="1"/>
  <c r="H190" i="101" s="1"/>
  <c r="H191" i="101" s="1"/>
  <c r="H192" i="101" s="1"/>
  <c r="H193" i="101" s="1"/>
  <c r="H194" i="101" s="1"/>
  <c r="H195" i="101" s="1"/>
  <c r="H196" i="101" s="1"/>
  <c r="H197" i="101" s="1"/>
  <c r="H198" i="101" s="1"/>
  <c r="H199" i="101" s="1"/>
  <c r="H200" i="101" s="1"/>
  <c r="H201" i="101" s="1"/>
  <c r="H202" i="101" s="1"/>
  <c r="H203" i="101" s="1"/>
  <c r="H204" i="101" s="1"/>
  <c r="H205" i="101" s="1"/>
  <c r="H206" i="101" s="1"/>
  <c r="H207" i="101" s="1"/>
  <c r="H208" i="101" s="1"/>
  <c r="H209" i="101" s="1"/>
  <c r="H210" i="101" s="1"/>
  <c r="H211" i="101" s="1"/>
  <c r="H212" i="101" s="1"/>
  <c r="H213" i="101" s="1"/>
  <c r="H214" i="101" s="1"/>
  <c r="H215" i="101" s="1"/>
  <c r="H216" i="101" s="1"/>
  <c r="H217" i="101" s="1"/>
  <c r="H218" i="101" s="1"/>
  <c r="H219" i="101" s="1"/>
  <c r="H220" i="101" s="1"/>
  <c r="H221" i="101" s="1"/>
  <c r="H222" i="101" s="1"/>
  <c r="H223" i="101" s="1"/>
  <c r="H224" i="101" s="1"/>
  <c r="H225" i="101" s="1"/>
  <c r="H226" i="101" s="1"/>
  <c r="H227" i="101" s="1"/>
  <c r="H228" i="101" s="1"/>
  <c r="H229" i="101" s="1"/>
  <c r="H230" i="101" s="1"/>
  <c r="H231" i="101" s="1"/>
  <c r="H232" i="101" s="1"/>
  <c r="H233" i="101" s="1"/>
  <c r="H234" i="101" s="1"/>
  <c r="H235" i="101" s="1"/>
  <c r="H236" i="101" s="1"/>
  <c r="H237" i="101" s="1"/>
  <c r="H238" i="101" s="1"/>
  <c r="H239" i="101" s="1"/>
  <c r="H240" i="101" s="1"/>
  <c r="H241" i="101" s="1"/>
  <c r="H242" i="101" s="1"/>
  <c r="H243" i="101" s="1"/>
  <c r="H244" i="101" s="1"/>
  <c r="H245" i="101" s="1"/>
  <c r="H246" i="101" s="1"/>
  <c r="H247" i="101" s="1"/>
  <c r="H248" i="101" s="1"/>
  <c r="H249" i="101" s="1"/>
  <c r="H250" i="101" s="1"/>
  <c r="H251" i="101" s="1"/>
  <c r="H252" i="101" s="1"/>
  <c r="H253" i="101" s="1"/>
  <c r="H254" i="101" s="1"/>
  <c r="H255" i="101" s="1"/>
  <c r="H256" i="101" s="1"/>
  <c r="H257" i="101" s="1"/>
  <c r="H258" i="101" s="1"/>
  <c r="H259" i="101" s="1"/>
  <c r="H260" i="101" s="1"/>
  <c r="H261" i="101" s="1"/>
  <c r="H262" i="101" s="1"/>
  <c r="H263" i="101" s="1"/>
  <c r="H264" i="101" s="1"/>
  <c r="H265" i="101" s="1"/>
  <c r="H266" i="101" s="1"/>
  <c r="H267" i="101" s="1"/>
  <c r="H268" i="101" s="1"/>
  <c r="H269" i="101" s="1"/>
  <c r="H270" i="101" s="1"/>
  <c r="H271" i="101" s="1"/>
  <c r="H272" i="101" s="1"/>
  <c r="H273" i="101" s="1"/>
  <c r="H274" i="101" s="1"/>
  <c r="H275" i="101" s="1"/>
  <c r="H276" i="101" s="1"/>
  <c r="H277" i="101" s="1"/>
  <c r="H278" i="101" s="1"/>
  <c r="H279" i="101" s="1"/>
  <c r="H280" i="101" s="1"/>
  <c r="H281" i="101" s="1"/>
  <c r="H282" i="101" s="1"/>
  <c r="H283" i="101" s="1"/>
  <c r="H284" i="101" s="1"/>
  <c r="H285" i="101" s="1"/>
  <c r="H286" i="101" s="1"/>
  <c r="H287" i="101" s="1"/>
  <c r="H288" i="101" s="1"/>
  <c r="H289" i="101" s="1"/>
  <c r="H290" i="101" s="1"/>
  <c r="H291" i="101" s="1"/>
  <c r="H292" i="101" s="1"/>
  <c r="H293" i="101" s="1"/>
  <c r="H294" i="101" s="1"/>
  <c r="H295" i="101" s="1"/>
  <c r="H296" i="101" s="1"/>
  <c r="H297" i="101" s="1"/>
  <c r="H298" i="101" s="1"/>
  <c r="H299" i="101" s="1"/>
  <c r="H300" i="101" s="1"/>
  <c r="H301" i="101" s="1"/>
  <c r="H302" i="101" s="1"/>
  <c r="H303" i="101" s="1"/>
  <c r="H304" i="101" s="1"/>
  <c r="H305" i="101" s="1"/>
  <c r="H306" i="101" s="1"/>
  <c r="H307" i="101" s="1"/>
  <c r="H308" i="101" s="1"/>
  <c r="H309" i="101" s="1"/>
  <c r="H310" i="101" s="1"/>
  <c r="H311" i="101" s="1"/>
  <c r="H312" i="101" s="1"/>
  <c r="H313" i="101" s="1"/>
  <c r="H314" i="101" s="1"/>
  <c r="H315" i="101" s="1"/>
  <c r="H316" i="101" s="1"/>
  <c r="H317" i="101" s="1"/>
  <c r="H318" i="101" s="1"/>
  <c r="H319" i="101" s="1"/>
  <c r="H320" i="101" s="1"/>
  <c r="H321" i="101" s="1"/>
  <c r="H322" i="101" s="1"/>
  <c r="H323" i="101" s="1"/>
  <c r="H324" i="101" s="1"/>
  <c r="H325" i="101" s="1"/>
  <c r="H326" i="101" s="1"/>
  <c r="H327" i="101" s="1"/>
  <c r="H328" i="101" s="1"/>
  <c r="H329" i="101" s="1"/>
  <c r="H330" i="101" s="1"/>
  <c r="H331" i="101" s="1"/>
  <c r="H332" i="101" s="1"/>
  <c r="H333" i="101" s="1"/>
  <c r="H334" i="101" s="1"/>
  <c r="H335" i="101" s="1"/>
  <c r="H336" i="101" s="1"/>
  <c r="H337" i="101" s="1"/>
  <c r="H338" i="101" s="1"/>
  <c r="H339" i="101" s="1"/>
  <c r="H340" i="101" s="1"/>
  <c r="H341" i="101" s="1"/>
  <c r="H342" i="101" s="1"/>
  <c r="H343" i="101" s="1"/>
  <c r="H344" i="101" s="1"/>
  <c r="H345" i="101" s="1"/>
  <c r="H346" i="101" s="1"/>
  <c r="H347" i="101" s="1"/>
  <c r="H348" i="101" s="1"/>
  <c r="H349" i="101" s="1"/>
  <c r="H350" i="101" s="1"/>
  <c r="H351" i="101" s="1"/>
  <c r="H352" i="101" s="1"/>
  <c r="H353" i="101" s="1"/>
  <c r="H354" i="101" s="1"/>
  <c r="H355" i="101" s="1"/>
  <c r="H356" i="101" s="1"/>
  <c r="H357" i="101" s="1"/>
  <c r="H358" i="101" s="1"/>
  <c r="H359" i="101" s="1"/>
  <c r="H360" i="101" s="1"/>
  <c r="H361" i="101" s="1"/>
  <c r="H362" i="101" s="1"/>
  <c r="H363" i="101" s="1"/>
  <c r="H364" i="101" s="1"/>
  <c r="H365" i="101" s="1"/>
  <c r="H366" i="101" s="1"/>
  <c r="H367" i="101" s="1"/>
  <c r="H368" i="101" s="1"/>
  <c r="H369" i="101" s="1"/>
  <c r="H370" i="101" s="1"/>
  <c r="H371" i="101" s="1"/>
  <c r="H372" i="101" s="1"/>
  <c r="H373" i="101" s="1"/>
  <c r="H374" i="101" s="1"/>
  <c r="H375" i="101" s="1"/>
  <c r="H376" i="101" s="1"/>
  <c r="H377" i="101" s="1"/>
  <c r="H378" i="101" s="1"/>
  <c r="H379" i="101" s="1"/>
  <c r="H380" i="101" s="1"/>
  <c r="H381" i="101" s="1"/>
  <c r="H382" i="101" s="1"/>
  <c r="H383" i="101" s="1"/>
  <c r="H384" i="101" s="1"/>
  <c r="H385" i="101" s="1"/>
  <c r="H386" i="101" s="1"/>
  <c r="H387" i="101" s="1"/>
  <c r="H388" i="101" s="1"/>
  <c r="H389" i="101" s="1"/>
  <c r="H390" i="101" s="1"/>
  <c r="H391" i="101" s="1"/>
  <c r="H392" i="101" s="1"/>
  <c r="H393" i="101" s="1"/>
  <c r="H394" i="101" s="1"/>
  <c r="H395" i="101" s="1"/>
  <c r="H396" i="101" s="1"/>
  <c r="H397" i="101" s="1"/>
  <c r="H398" i="101" s="1"/>
  <c r="H399" i="101" s="1"/>
  <c r="H400" i="101" s="1"/>
  <c r="H401" i="101" s="1"/>
  <c r="H402" i="101" s="1"/>
  <c r="H403" i="101" s="1"/>
  <c r="H404" i="101" s="1"/>
  <c r="H405" i="101" s="1"/>
  <c r="H406" i="101" s="1"/>
  <c r="H407" i="101" s="1"/>
  <c r="H408" i="101" s="1"/>
  <c r="H409" i="101" s="1"/>
  <c r="H410" i="101" s="1"/>
  <c r="H411" i="101" s="1"/>
  <c r="H412" i="101" s="1"/>
  <c r="H413" i="101" s="1"/>
  <c r="H414" i="101" s="1"/>
  <c r="H415" i="101" s="1"/>
  <c r="H416" i="101" s="1"/>
  <c r="H417" i="101" s="1"/>
  <c r="H418" i="101" s="1"/>
  <c r="H419" i="101" s="1"/>
  <c r="H420" i="101" s="1"/>
  <c r="H421" i="101" s="1"/>
  <c r="H422" i="101" s="1"/>
  <c r="H423" i="101" s="1"/>
  <c r="H424" i="101" s="1"/>
  <c r="H425" i="101" s="1"/>
  <c r="H426" i="101" s="1"/>
  <c r="H427" i="101" s="1"/>
  <c r="H428" i="101" s="1"/>
  <c r="H429" i="101" s="1"/>
  <c r="H430" i="101" s="1"/>
  <c r="H431" i="101" s="1"/>
  <c r="H432" i="101" s="1"/>
  <c r="H433" i="101" s="1"/>
  <c r="H434" i="101" s="1"/>
  <c r="H435" i="101" s="1"/>
  <c r="H436" i="101" s="1"/>
  <c r="H437" i="101" s="1"/>
  <c r="H438" i="101" s="1"/>
  <c r="H439" i="101" s="1"/>
  <c r="H440" i="101" s="1"/>
  <c r="H441" i="101" s="1"/>
  <c r="H442" i="101" s="1"/>
  <c r="H443" i="101" s="1"/>
  <c r="H444" i="101" s="1"/>
  <c r="H445" i="101" s="1"/>
  <c r="H446" i="101" s="1"/>
  <c r="H447" i="101" s="1"/>
  <c r="H448" i="101" s="1"/>
  <c r="H449" i="101" s="1"/>
  <c r="H450" i="101" s="1"/>
  <c r="H451" i="101" s="1"/>
  <c r="H452" i="101" s="1"/>
  <c r="H453" i="101" s="1"/>
  <c r="H454" i="101" s="1"/>
  <c r="H455" i="101" s="1"/>
  <c r="H456" i="101" s="1"/>
  <c r="H457" i="101" s="1"/>
  <c r="H458" i="101" s="1"/>
  <c r="H459" i="101" s="1"/>
  <c r="H460" i="101" s="1"/>
  <c r="H461" i="101" s="1"/>
  <c r="H462" i="101" s="1"/>
  <c r="H463" i="101" s="1"/>
  <c r="H464" i="101" s="1"/>
  <c r="H465" i="101" s="1"/>
  <c r="H466" i="101" s="1"/>
  <c r="H467" i="101" s="1"/>
  <c r="H468" i="101" s="1"/>
  <c r="H469" i="101" s="1"/>
  <c r="H470" i="101" s="1"/>
  <c r="H471" i="101" s="1"/>
  <c r="H472" i="101" s="1"/>
  <c r="H473" i="101" s="1"/>
  <c r="H474" i="101" s="1"/>
  <c r="H475" i="101" s="1"/>
  <c r="H476" i="101" s="1"/>
  <c r="H477" i="101" s="1"/>
  <c r="H478" i="101" s="1"/>
  <c r="H479" i="101" s="1"/>
  <c r="H480" i="101" s="1"/>
  <c r="H481" i="101" s="1"/>
  <c r="H482" i="101" s="1"/>
  <c r="H483" i="101" s="1"/>
  <c r="H484" i="101" s="1"/>
  <c r="H485" i="101" s="1"/>
  <c r="H486" i="101" s="1"/>
  <c r="H487" i="101" s="1"/>
  <c r="H488" i="101" s="1"/>
  <c r="H489" i="101" s="1"/>
  <c r="H490" i="101" s="1"/>
  <c r="H491" i="101" s="1"/>
  <c r="H492" i="101" s="1"/>
  <c r="H493" i="101" s="1"/>
  <c r="H494" i="101" s="1"/>
  <c r="H495" i="101" s="1"/>
  <c r="H496" i="101" s="1"/>
  <c r="H497" i="101" s="1"/>
  <c r="H498" i="101" s="1"/>
  <c r="H499" i="101" s="1"/>
  <c r="H500" i="101" s="1"/>
  <c r="H501" i="101" s="1"/>
  <c r="H502" i="101" s="1"/>
  <c r="H503" i="101" s="1"/>
  <c r="H504" i="101" s="1"/>
  <c r="H505" i="101" s="1"/>
  <c r="H506" i="101" s="1"/>
  <c r="H507" i="101" s="1"/>
  <c r="H508" i="101" s="1"/>
  <c r="H509" i="101" s="1"/>
  <c r="H510" i="101" s="1"/>
  <c r="H511" i="101" s="1"/>
  <c r="H512" i="101" s="1"/>
  <c r="H513" i="101" s="1"/>
  <c r="H514" i="101" s="1"/>
  <c r="H515" i="101" s="1"/>
  <c r="H516" i="101" s="1"/>
  <c r="H517" i="101" s="1"/>
  <c r="H518" i="101" s="1"/>
  <c r="H519" i="101" s="1"/>
  <c r="H520" i="101" s="1"/>
  <c r="H521" i="101" s="1"/>
  <c r="H522" i="101" s="1"/>
  <c r="H523" i="101" s="1"/>
  <c r="H524" i="101" s="1"/>
  <c r="H525" i="101" s="1"/>
  <c r="H526" i="101" s="1"/>
  <c r="H527" i="101" s="1"/>
  <c r="H528" i="101" s="1"/>
  <c r="H529" i="101" s="1"/>
  <c r="H530" i="101" s="1"/>
  <c r="H531" i="101" s="1"/>
  <c r="H532" i="101" s="1"/>
  <c r="H533" i="101" s="1"/>
  <c r="H534" i="101" s="1"/>
  <c r="H535" i="101" s="1"/>
  <c r="H536" i="101" s="1"/>
  <c r="H537" i="101" s="1"/>
  <c r="H538" i="101" s="1"/>
  <c r="H539" i="101" s="1"/>
  <c r="H540" i="101" s="1"/>
  <c r="H541" i="101" s="1"/>
  <c r="H542" i="101" s="1"/>
  <c r="H543" i="101" s="1"/>
  <c r="H544" i="101" s="1"/>
  <c r="H545" i="101" s="1"/>
  <c r="H546" i="101" s="1"/>
  <c r="H547" i="101" s="1"/>
  <c r="H548" i="101" s="1"/>
  <c r="H549" i="101" s="1"/>
  <c r="H550" i="101" s="1"/>
  <c r="H551" i="101" s="1"/>
  <c r="H552" i="101" s="1"/>
  <c r="H553" i="101" s="1"/>
  <c r="H554" i="101" s="1"/>
  <c r="H555" i="101" s="1"/>
  <c r="H556" i="101" s="1"/>
  <c r="H557" i="101" s="1"/>
  <c r="H558" i="101" s="1"/>
  <c r="H559" i="101" s="1"/>
  <c r="H560" i="101" s="1"/>
  <c r="H561" i="101" s="1"/>
  <c r="H562" i="101" s="1"/>
  <c r="H563" i="101" s="1"/>
  <c r="H564" i="101" s="1"/>
  <c r="H565" i="101" s="1"/>
  <c r="H566" i="101" s="1"/>
  <c r="H567" i="101" s="1"/>
  <c r="H568" i="101" s="1"/>
  <c r="H569" i="101" s="1"/>
  <c r="H570" i="101" s="1"/>
  <c r="H571" i="101" s="1"/>
  <c r="H572" i="101" s="1"/>
  <c r="H573" i="101" s="1"/>
  <c r="H574" i="101" s="1"/>
  <c r="H575" i="101" s="1"/>
  <c r="H576" i="101" s="1"/>
  <c r="H577" i="101" s="1"/>
  <c r="H578" i="101" s="1"/>
  <c r="H579" i="101" s="1"/>
  <c r="H580" i="101" s="1"/>
  <c r="H581" i="101" s="1"/>
  <c r="H582" i="101" s="1"/>
  <c r="H583" i="101" s="1"/>
  <c r="H584" i="101" s="1"/>
  <c r="H585" i="101" s="1"/>
  <c r="H586" i="101" s="1"/>
  <c r="H587" i="101" s="1"/>
  <c r="H588" i="101" s="1"/>
  <c r="H589" i="101" s="1"/>
  <c r="H590" i="101" s="1"/>
  <c r="H591" i="101" s="1"/>
  <c r="H592" i="101" s="1"/>
  <c r="H593" i="101" s="1"/>
  <c r="H594" i="101" s="1"/>
  <c r="H595" i="101" s="1"/>
  <c r="H596" i="101" s="1"/>
  <c r="H597" i="101" s="1"/>
  <c r="H598" i="101" s="1"/>
  <c r="H599" i="101" s="1"/>
  <c r="H600" i="101" s="1"/>
  <c r="H601" i="101" s="1"/>
  <c r="H602" i="101" s="1"/>
  <c r="H603" i="101" s="1"/>
  <c r="H604" i="101" s="1"/>
  <c r="H605" i="101" s="1"/>
  <c r="H606" i="101" s="1"/>
  <c r="H607" i="101" s="1"/>
  <c r="H608" i="101" s="1"/>
  <c r="H609" i="101" s="1"/>
  <c r="H610" i="101" s="1"/>
  <c r="H611" i="101" s="1"/>
  <c r="H612" i="101" s="1"/>
  <c r="H613" i="101" s="1"/>
  <c r="H614" i="101" s="1"/>
  <c r="H615" i="101" s="1"/>
  <c r="H616" i="101" s="1"/>
  <c r="H617" i="101" s="1"/>
  <c r="H618" i="101" s="1"/>
  <c r="H619" i="101" s="1"/>
  <c r="H620" i="101" s="1"/>
  <c r="H621" i="101" s="1"/>
  <c r="H622" i="101" s="1"/>
  <c r="H623" i="101" s="1"/>
  <c r="H624" i="101" s="1"/>
  <c r="H625" i="101" s="1"/>
  <c r="H626" i="101" s="1"/>
  <c r="H627" i="101" s="1"/>
  <c r="H628" i="101" s="1"/>
  <c r="H629" i="101" s="1"/>
  <c r="H630" i="101" s="1"/>
  <c r="H631" i="101" s="1"/>
  <c r="H632" i="101" s="1"/>
  <c r="H633" i="101" s="1"/>
  <c r="H634" i="101" s="1"/>
  <c r="H635" i="101" s="1"/>
  <c r="H636" i="101" s="1"/>
  <c r="H637" i="101" s="1"/>
  <c r="H638" i="101" s="1"/>
  <c r="H639" i="101" s="1"/>
  <c r="H640" i="101" s="1"/>
  <c r="H641" i="101" s="1"/>
  <c r="H642" i="101" s="1"/>
  <c r="H643" i="101" s="1"/>
  <c r="H644" i="101" s="1"/>
  <c r="H645" i="101" s="1"/>
  <c r="H646" i="101" s="1"/>
  <c r="H647" i="101" s="1"/>
  <c r="H648" i="101" s="1"/>
  <c r="H649" i="101" s="1"/>
  <c r="H650" i="101" s="1"/>
  <c r="H651" i="101" s="1"/>
  <c r="H652" i="101" s="1"/>
  <c r="H653" i="101" s="1"/>
  <c r="H654" i="101" s="1"/>
  <c r="H655" i="101" s="1"/>
  <c r="H656" i="101" s="1"/>
  <c r="H657" i="101" s="1"/>
  <c r="H658" i="101" s="1"/>
  <c r="H659" i="101" s="1"/>
  <c r="H660" i="101" s="1"/>
  <c r="H661" i="101" s="1"/>
  <c r="H662" i="101" s="1"/>
  <c r="H663" i="101" s="1"/>
  <c r="H664" i="101" s="1"/>
  <c r="H665" i="101" s="1"/>
  <c r="H666" i="101" s="1"/>
  <c r="H667" i="101" s="1"/>
  <c r="H668" i="101" s="1"/>
  <c r="H669" i="101" s="1"/>
  <c r="H670" i="101" s="1"/>
  <c r="H671" i="101" s="1"/>
  <c r="H672" i="101" s="1"/>
  <c r="H673" i="101" s="1"/>
  <c r="H674" i="101" s="1"/>
  <c r="H675" i="101" s="1"/>
  <c r="H676" i="101" s="1"/>
  <c r="H677" i="101" s="1"/>
  <c r="H678" i="101" s="1"/>
  <c r="H679" i="101" s="1"/>
  <c r="H680" i="101" s="1"/>
  <c r="H681" i="101" s="1"/>
  <c r="H682" i="101" s="1"/>
  <c r="H683" i="101" s="1"/>
  <c r="H684" i="101" s="1"/>
  <c r="H685" i="101" s="1"/>
  <c r="H686" i="101" s="1"/>
  <c r="H687" i="101" s="1"/>
  <c r="H688" i="101" s="1"/>
  <c r="H689" i="101" s="1"/>
  <c r="H690" i="101" s="1"/>
  <c r="H691" i="101" s="1"/>
  <c r="H692" i="101" s="1"/>
  <c r="H693" i="101" s="1"/>
  <c r="H694" i="101" s="1"/>
  <c r="H695" i="101" s="1"/>
  <c r="H696" i="101" s="1"/>
  <c r="H697" i="101" s="1"/>
  <c r="H698" i="101" s="1"/>
  <c r="H699" i="101" s="1"/>
  <c r="H700" i="101" s="1"/>
  <c r="H701" i="101" s="1"/>
  <c r="H702" i="101" s="1"/>
  <c r="H703" i="101" s="1"/>
  <c r="H704" i="101" s="1"/>
  <c r="H705" i="101" s="1"/>
  <c r="H706" i="101" s="1"/>
  <c r="H707" i="101" s="1"/>
  <c r="H708" i="101" s="1"/>
  <c r="H709" i="101" s="1"/>
  <c r="H710" i="101" s="1"/>
  <c r="H711" i="101" s="1"/>
  <c r="H712" i="101" s="1"/>
  <c r="H713" i="101" s="1"/>
  <c r="H714" i="101" s="1"/>
  <c r="H715" i="101" s="1"/>
  <c r="H716" i="101" s="1"/>
  <c r="H717" i="101" s="1"/>
  <c r="H718" i="101" s="1"/>
  <c r="H719" i="101" s="1"/>
  <c r="H720" i="101" s="1"/>
  <c r="H721" i="101" s="1"/>
  <c r="H722" i="101" s="1"/>
  <c r="H723" i="101" s="1"/>
  <c r="H724" i="101" s="1"/>
  <c r="H725" i="101" s="1"/>
  <c r="H726" i="101" s="1"/>
  <c r="H727" i="101" s="1"/>
  <c r="H728" i="101" s="1"/>
  <c r="H729" i="101" s="1"/>
  <c r="H730" i="101" s="1"/>
  <c r="H731" i="101" s="1"/>
  <c r="H732" i="101" s="1"/>
  <c r="H733" i="101" s="1"/>
  <c r="H734" i="101" s="1"/>
  <c r="H735" i="101" s="1"/>
  <c r="H736" i="101" s="1"/>
  <c r="H737" i="101" s="1"/>
  <c r="H738" i="101" s="1"/>
  <c r="H739" i="101" s="1"/>
  <c r="H740" i="101" s="1"/>
  <c r="H741" i="101" s="1"/>
  <c r="H742" i="101" s="1"/>
  <c r="H743" i="101" s="1"/>
  <c r="H744" i="101" s="1"/>
  <c r="H745" i="101" s="1"/>
  <c r="H746" i="101" s="1"/>
  <c r="H747" i="101" s="1"/>
  <c r="H748" i="101" s="1"/>
  <c r="H749" i="101" s="1"/>
  <c r="H750" i="101" s="1"/>
  <c r="H751" i="101" s="1"/>
  <c r="H752" i="101" s="1"/>
  <c r="H753" i="101" s="1"/>
  <c r="H754" i="101" s="1"/>
  <c r="H755" i="101" s="1"/>
  <c r="H756" i="101" s="1"/>
  <c r="H757" i="101" s="1"/>
  <c r="H758" i="101" s="1"/>
  <c r="H759" i="101" s="1"/>
  <c r="H760" i="101" s="1"/>
  <c r="H761" i="101" s="1"/>
  <c r="H762" i="101" s="1"/>
  <c r="H763" i="101" s="1"/>
  <c r="H764" i="101" s="1"/>
  <c r="H765" i="101" s="1"/>
  <c r="H766" i="101" s="1"/>
  <c r="H767" i="101" s="1"/>
  <c r="H768" i="101" s="1"/>
  <c r="H769" i="101" s="1"/>
  <c r="H770" i="101" s="1"/>
  <c r="H771" i="101" s="1"/>
  <c r="H772" i="101" s="1"/>
  <c r="H773" i="101" s="1"/>
  <c r="H774" i="101" s="1"/>
  <c r="H775" i="101" s="1"/>
  <c r="H776" i="101" s="1"/>
  <c r="H777" i="101" s="1"/>
  <c r="H778" i="101" s="1"/>
  <c r="H779" i="101" s="1"/>
  <c r="H780" i="101" s="1"/>
  <c r="H781" i="101" s="1"/>
  <c r="H782" i="101" s="1"/>
  <c r="H783" i="101" s="1"/>
  <c r="H784" i="101" s="1"/>
  <c r="H785" i="101" s="1"/>
  <c r="H786" i="101" s="1"/>
  <c r="H787" i="101" s="1"/>
  <c r="H788" i="101" s="1"/>
  <c r="H789" i="101" s="1"/>
  <c r="H790" i="101" s="1"/>
  <c r="H791" i="101" s="1"/>
  <c r="H792" i="101" s="1"/>
  <c r="H793" i="101" s="1"/>
  <c r="H794" i="101" s="1"/>
  <c r="H795" i="101" s="1"/>
  <c r="H796" i="101" s="1"/>
  <c r="H797" i="101" s="1"/>
  <c r="H798" i="101" s="1"/>
  <c r="H799" i="101" s="1"/>
  <c r="H800" i="101" s="1"/>
  <c r="H801" i="101" s="1"/>
  <c r="H802" i="101" s="1"/>
  <c r="H803" i="101" s="1"/>
  <c r="H804" i="101" s="1"/>
  <c r="H805" i="101" s="1"/>
  <c r="H806" i="101" s="1"/>
  <c r="H807" i="101" s="1"/>
  <c r="H808" i="101" s="1"/>
  <c r="H809" i="101" s="1"/>
  <c r="H810" i="101" s="1"/>
  <c r="H811" i="101" s="1"/>
  <c r="H812" i="101" s="1"/>
  <c r="H813" i="101" s="1"/>
  <c r="H814" i="101" s="1"/>
  <c r="H815" i="101" s="1"/>
  <c r="H816" i="101" s="1"/>
  <c r="H817" i="101" s="1"/>
  <c r="H818" i="101" s="1"/>
  <c r="H819" i="101" s="1"/>
  <c r="H820" i="101" s="1"/>
  <c r="H821" i="101" s="1"/>
  <c r="H822" i="101" s="1"/>
  <c r="H823" i="101" s="1"/>
  <c r="H824" i="101" s="1"/>
  <c r="H825" i="101" s="1"/>
  <c r="H826" i="101" s="1"/>
  <c r="H827" i="101" s="1"/>
  <c r="H828" i="101" s="1"/>
  <c r="H829" i="101" s="1"/>
  <c r="H830" i="101" s="1"/>
  <c r="H831" i="101" s="1"/>
  <c r="H832" i="101" s="1"/>
  <c r="H833" i="101" s="1"/>
  <c r="H834" i="101" s="1"/>
  <c r="H835" i="101" s="1"/>
  <c r="H836" i="101" s="1"/>
  <c r="H837" i="101" s="1"/>
  <c r="H838" i="101" s="1"/>
  <c r="H839" i="101" s="1"/>
  <c r="H840" i="101" s="1"/>
  <c r="H841" i="101" s="1"/>
  <c r="H842" i="101" s="1"/>
  <c r="H843" i="101" s="1"/>
  <c r="H844" i="101" s="1"/>
  <c r="H845" i="101" s="1"/>
  <c r="H846" i="101" s="1"/>
  <c r="H847" i="101" s="1"/>
  <c r="H848" i="101" s="1"/>
  <c r="H849" i="101" s="1"/>
  <c r="H850" i="101" s="1"/>
  <c r="H851" i="101" s="1"/>
  <c r="H852" i="101" s="1"/>
  <c r="H853" i="101" s="1"/>
  <c r="H854" i="101" s="1"/>
  <c r="H855" i="101" s="1"/>
  <c r="H856" i="101" s="1"/>
  <c r="H857" i="101" s="1"/>
  <c r="H858" i="101" s="1"/>
  <c r="H859" i="101" s="1"/>
  <c r="H860" i="101" s="1"/>
  <c r="H861" i="101" s="1"/>
  <c r="H862" i="101" s="1"/>
  <c r="H863" i="101" s="1"/>
  <c r="H864" i="101" s="1"/>
  <c r="H865" i="101" s="1"/>
  <c r="H866" i="101" s="1"/>
  <c r="H867" i="101" s="1"/>
  <c r="H868" i="101" s="1"/>
  <c r="H869" i="101" s="1"/>
  <c r="H870" i="101" s="1"/>
  <c r="H871" i="101" s="1"/>
  <c r="H872" i="101" s="1"/>
  <c r="H873" i="101" s="1"/>
  <c r="H874" i="101" s="1"/>
  <c r="H875" i="101" s="1"/>
  <c r="H876" i="101" s="1"/>
  <c r="H877" i="101" s="1"/>
  <c r="H878" i="101" s="1"/>
  <c r="H879" i="101" s="1"/>
  <c r="H880" i="101" s="1"/>
  <c r="H881" i="101" s="1"/>
  <c r="H882" i="101" s="1"/>
  <c r="H883" i="101" s="1"/>
  <c r="H884" i="101" s="1"/>
  <c r="H885" i="101" s="1"/>
  <c r="H886" i="101" s="1"/>
  <c r="H887" i="101" s="1"/>
  <c r="H888" i="101" s="1"/>
  <c r="H889" i="101" s="1"/>
  <c r="H890" i="101" s="1"/>
  <c r="H891" i="101" s="1"/>
  <c r="H892" i="101" s="1"/>
  <c r="H893" i="101" s="1"/>
  <c r="H894" i="101" s="1"/>
  <c r="H895" i="101" s="1"/>
  <c r="H896" i="101" s="1"/>
  <c r="H897" i="101" s="1"/>
  <c r="H898" i="101" s="1"/>
  <c r="H899" i="101" s="1"/>
  <c r="H900" i="101" s="1"/>
  <c r="H901" i="101" s="1"/>
  <c r="H902" i="101" s="1"/>
  <c r="H903" i="101" s="1"/>
  <c r="H904" i="101" s="1"/>
  <c r="H905" i="101" s="1"/>
  <c r="H906" i="101" s="1"/>
  <c r="H907" i="101" s="1"/>
  <c r="H908" i="101" s="1"/>
  <c r="H909" i="101" s="1"/>
  <c r="H910" i="101" s="1"/>
  <c r="H911" i="101" s="1"/>
  <c r="H912" i="101" s="1"/>
  <c r="H913" i="101" s="1"/>
  <c r="H914" i="101" s="1"/>
  <c r="H915" i="101" s="1"/>
  <c r="H916" i="101" s="1"/>
  <c r="H917" i="101" s="1"/>
  <c r="H918" i="101" s="1"/>
  <c r="H919" i="101" s="1"/>
  <c r="H920" i="101" s="1"/>
  <c r="H921" i="101" s="1"/>
  <c r="H922" i="101" s="1"/>
  <c r="H923" i="101" s="1"/>
  <c r="H924" i="101" s="1"/>
  <c r="H925" i="101" s="1"/>
  <c r="H926" i="101" s="1"/>
  <c r="H927" i="101" s="1"/>
  <c r="H928" i="101" s="1"/>
  <c r="H929" i="101" s="1"/>
  <c r="H930" i="101" s="1"/>
  <c r="H931" i="101" s="1"/>
  <c r="H932" i="101" s="1"/>
  <c r="H933" i="101" s="1"/>
  <c r="H934" i="101" s="1"/>
  <c r="H935" i="101" s="1"/>
  <c r="H936" i="101" s="1"/>
  <c r="H937" i="101" s="1"/>
  <c r="H938" i="101" s="1"/>
  <c r="H939" i="101" s="1"/>
  <c r="H940" i="101" s="1"/>
  <c r="H941" i="101" s="1"/>
  <c r="H942" i="101" s="1"/>
  <c r="H943" i="101" s="1"/>
  <c r="H944" i="101" s="1"/>
  <c r="H945" i="101" s="1"/>
  <c r="H946" i="101" s="1"/>
  <c r="H947" i="101" s="1"/>
  <c r="H948" i="101" s="1"/>
  <c r="H949" i="101" s="1"/>
  <c r="H950" i="101" s="1"/>
  <c r="H951" i="101" s="1"/>
  <c r="H952" i="101" s="1"/>
  <c r="H953" i="101" s="1"/>
  <c r="H954" i="101" s="1"/>
  <c r="H955" i="101" s="1"/>
  <c r="H956" i="101" s="1"/>
  <c r="H957" i="101" s="1"/>
  <c r="H958" i="101" s="1"/>
  <c r="H959" i="101" s="1"/>
  <c r="H960" i="101" s="1"/>
  <c r="H961" i="101" s="1"/>
  <c r="H962" i="101" s="1"/>
  <c r="H963" i="101" s="1"/>
  <c r="H964" i="101" s="1"/>
  <c r="H965" i="101" s="1"/>
  <c r="H966" i="101" s="1"/>
  <c r="H967" i="101" s="1"/>
  <c r="H968" i="101" s="1"/>
  <c r="H969" i="101" s="1"/>
  <c r="H970" i="101" s="1"/>
  <c r="H971" i="101" s="1"/>
  <c r="H972" i="101" s="1"/>
  <c r="H973" i="101" s="1"/>
  <c r="H974" i="101" s="1"/>
  <c r="H975" i="101" s="1"/>
  <c r="H976" i="101" s="1"/>
  <c r="H977" i="101" s="1"/>
  <c r="A619" i="101" l="1"/>
  <c r="A618" i="134"/>
  <c r="A620" i="135"/>
  <c r="A620" i="139" s="1"/>
  <c r="A601" i="101"/>
  <c r="A602" i="135"/>
  <c r="A602" i="139" s="1"/>
  <c r="A600" i="134"/>
  <c r="B624" i="139"/>
  <c r="B622" i="134"/>
  <c r="B624" i="135"/>
  <c r="B623" i="101"/>
  <c r="B606" i="139"/>
  <c r="B605" i="101"/>
  <c r="B604" i="134"/>
  <c r="B606" i="135"/>
  <c r="B437" i="101"/>
  <c r="B438" i="139"/>
  <c r="B436" i="134"/>
  <c r="B438" i="135"/>
  <c r="B261" i="135"/>
  <c r="B259" i="134"/>
  <c r="B260" i="101"/>
  <c r="B261" i="139"/>
  <c r="B235" i="135"/>
  <c r="B233" i="134"/>
  <c r="B234" i="101"/>
  <c r="B235" i="139"/>
  <c r="B342" i="135"/>
  <c r="B340" i="134"/>
  <c r="B342" i="139"/>
  <c r="B341" i="101"/>
  <c r="B144" i="139"/>
  <c r="B143" i="101"/>
  <c r="B142" i="134"/>
  <c r="B144" i="135"/>
  <c r="B544" i="139"/>
  <c r="B542" i="134"/>
  <c r="B544" i="135"/>
  <c r="B543" i="101"/>
  <c r="C495" i="101"/>
  <c r="B93" i="101"/>
  <c r="B94" i="139"/>
  <c r="B92" i="134"/>
  <c r="B94" i="135"/>
  <c r="B202" i="101"/>
  <c r="B201" i="134"/>
  <c r="B203" i="135"/>
  <c r="B203" i="139"/>
  <c r="B574" i="101"/>
  <c r="B575" i="135"/>
  <c r="B573" i="134"/>
  <c r="B575" i="139"/>
  <c r="C535" i="101"/>
  <c r="A536" i="101"/>
  <c r="A535" i="134"/>
  <c r="A537" i="135"/>
  <c r="A537" i="139" s="1"/>
  <c r="E534" i="101"/>
  <c r="D534" i="134" s="1"/>
  <c r="C536" i="135" s="1"/>
  <c r="C536" i="139" s="1"/>
  <c r="B463" i="134"/>
  <c r="B465" i="135"/>
  <c r="B464" i="101"/>
  <c r="B465" i="139"/>
  <c r="B125" i="139"/>
  <c r="B125" i="135"/>
  <c r="B124" i="101"/>
  <c r="B123" i="134"/>
  <c r="A569" i="101"/>
  <c r="A568" i="134"/>
  <c r="A570" i="135"/>
  <c r="A570" i="139" s="1"/>
  <c r="A508" i="101"/>
  <c r="A507" i="134"/>
  <c r="A509" i="135"/>
  <c r="A509" i="139" s="1"/>
  <c r="B514" i="139"/>
  <c r="B512" i="134"/>
  <c r="B513" i="101"/>
  <c r="B514" i="135"/>
  <c r="B490" i="139"/>
  <c r="B488" i="134"/>
  <c r="B490" i="135"/>
  <c r="B489" i="101"/>
  <c r="B386" i="139"/>
  <c r="B385" i="101"/>
  <c r="B384" i="134"/>
  <c r="B386" i="135"/>
  <c r="A228" i="101"/>
  <c r="A227" i="134"/>
  <c r="A229" i="135"/>
  <c r="A229" i="139" s="1"/>
  <c r="A307" i="101"/>
  <c r="A306" i="134"/>
  <c r="A308" i="135"/>
  <c r="A308" i="139" s="1"/>
  <c r="A288" i="101"/>
  <c r="A287" i="134"/>
  <c r="A289" i="135"/>
  <c r="A289" i="139" s="1"/>
  <c r="A368" i="101"/>
  <c r="A367" i="134"/>
  <c r="A369" i="135"/>
  <c r="A369" i="139" s="1"/>
  <c r="B312" i="101"/>
  <c r="B313" i="139"/>
  <c r="B311" i="134"/>
  <c r="B313" i="135"/>
  <c r="A256" i="101"/>
  <c r="A255" i="134"/>
  <c r="A257" i="135"/>
  <c r="A257" i="139" s="1"/>
  <c r="A437" i="101"/>
  <c r="A436" i="134"/>
  <c r="A438" i="135"/>
  <c r="A438" i="139" s="1"/>
  <c r="A202" i="101"/>
  <c r="A201" i="134"/>
  <c r="A203" i="135"/>
  <c r="A203" i="139" s="1"/>
  <c r="B292" i="101"/>
  <c r="B293" i="139"/>
  <c r="B291" i="134"/>
  <c r="B293" i="135"/>
  <c r="B406" i="101"/>
  <c r="B407" i="139"/>
  <c r="B405" i="134"/>
  <c r="B407" i="135"/>
  <c r="E428" i="101"/>
  <c r="D428" i="134" s="1"/>
  <c r="C430" i="135" s="1"/>
  <c r="C430" i="139" s="1"/>
  <c r="C429" i="101"/>
  <c r="A399" i="101"/>
  <c r="A398" i="134"/>
  <c r="A400" i="135"/>
  <c r="A400" i="139" s="1"/>
  <c r="A459" i="101"/>
  <c r="A458" i="134"/>
  <c r="A460" i="135"/>
  <c r="A460" i="139" s="1"/>
  <c r="A337" i="101"/>
  <c r="A338" i="135"/>
  <c r="A338" i="139" s="1"/>
  <c r="A336" i="134"/>
  <c r="A60" i="101"/>
  <c r="A59" i="134"/>
  <c r="A61" i="135"/>
  <c r="A61" i="139" s="1"/>
  <c r="B177" i="101"/>
  <c r="B178" i="139"/>
  <c r="B176" i="134"/>
  <c r="B178" i="135"/>
  <c r="A139" i="101"/>
  <c r="A138" i="134"/>
  <c r="A140" i="135"/>
  <c r="A140" i="139" s="1"/>
  <c r="AS24" i="101"/>
  <c r="E24" i="134"/>
  <c r="D26" i="135" s="1"/>
  <c r="D26" i="139" s="1"/>
  <c r="AR24" i="101"/>
  <c r="B36" i="101"/>
  <c r="B37" i="139"/>
  <c r="B35" i="134"/>
  <c r="B37" i="135"/>
  <c r="A119" i="101"/>
  <c r="A118" i="134"/>
  <c r="A120" i="135"/>
  <c r="A120" i="139" s="1"/>
  <c r="A169" i="101"/>
  <c r="A170" i="135"/>
  <c r="A170" i="139" s="1"/>
  <c r="A168" i="134"/>
  <c r="A27" i="101"/>
  <c r="C26" i="101"/>
  <c r="A26" i="134"/>
  <c r="A28" i="135"/>
  <c r="A28" i="139" s="1"/>
  <c r="D25" i="101"/>
  <c r="E25" i="101"/>
  <c r="D25" i="134" s="1"/>
  <c r="C27" i="135" s="1"/>
  <c r="C27" i="139" s="1"/>
  <c r="F25" i="101"/>
  <c r="G25" i="101"/>
  <c r="C25" i="134" s="1"/>
  <c r="E27" i="135" s="1"/>
  <c r="E27" i="139" s="1"/>
  <c r="B61" i="134"/>
  <c r="B63" i="135"/>
  <c r="B62" i="101"/>
  <c r="B63" i="139"/>
  <c r="A90" i="101"/>
  <c r="A89" i="134"/>
  <c r="A91" i="135"/>
  <c r="A91" i="139" s="1"/>
  <c r="AH13" i="101"/>
  <c r="AH14" i="101" s="1"/>
  <c r="AH15" i="101" s="1"/>
  <c r="AH16" i="101" s="1"/>
  <c r="AH17" i="101" s="1"/>
  <c r="AH18" i="101" s="1"/>
  <c r="AH19" i="101" s="1"/>
  <c r="AH20" i="101" s="1"/>
  <c r="AH21" i="101" s="1"/>
  <c r="AH22" i="101" s="1"/>
  <c r="AH23" i="101" s="1"/>
  <c r="AH24" i="101" s="1"/>
  <c r="AH25" i="101" s="1"/>
  <c r="AH26" i="101" s="1"/>
  <c r="AH27" i="101" s="1"/>
  <c r="AH28" i="101" s="1"/>
  <c r="AH29" i="101" s="1"/>
  <c r="AH30" i="101" s="1"/>
  <c r="AH31" i="101" s="1"/>
  <c r="AH32" i="101" s="1"/>
  <c r="AH33" i="101" s="1"/>
  <c r="AH34" i="101" s="1"/>
  <c r="AH35" i="101" s="1"/>
  <c r="AH36" i="101" s="1"/>
  <c r="AH37" i="101" s="1"/>
  <c r="AH38" i="101" s="1"/>
  <c r="AH39" i="101" s="1"/>
  <c r="AH40" i="101" s="1"/>
  <c r="AH41" i="101" s="1"/>
  <c r="AH42" i="101" s="1"/>
  <c r="AH43" i="101" s="1"/>
  <c r="AH44" i="101" s="1"/>
  <c r="AH45" i="101" s="1"/>
  <c r="AH46" i="101" s="1"/>
  <c r="AH47" i="101" s="1"/>
  <c r="AH48" i="101" s="1"/>
  <c r="AH49" i="101" s="1"/>
  <c r="AH50" i="101" s="1"/>
  <c r="AH51" i="101" s="1"/>
  <c r="AH52" i="101" s="1"/>
  <c r="AH53" i="101" s="1"/>
  <c r="AH54" i="101" s="1"/>
  <c r="AH55" i="101" s="1"/>
  <c r="AH56" i="101" s="1"/>
  <c r="AH57" i="101" s="1"/>
  <c r="AH58" i="101" s="1"/>
  <c r="AH59" i="101" s="1"/>
  <c r="AH60" i="101" s="1"/>
  <c r="AG12" i="101"/>
  <c r="AG8" i="101" s="1"/>
  <c r="AG13" i="101"/>
  <c r="N12" i="101"/>
  <c r="B624" i="101" l="1"/>
  <c r="B625" i="139"/>
  <c r="B625" i="135"/>
  <c r="B623" i="134"/>
  <c r="C602" i="101"/>
  <c r="A601" i="134"/>
  <c r="A603" i="135"/>
  <c r="A603" i="139" s="1"/>
  <c r="B607" i="139"/>
  <c r="B605" i="134"/>
  <c r="B607" i="135"/>
  <c r="A620" i="101"/>
  <c r="A619" i="134"/>
  <c r="A621" i="135"/>
  <c r="A621" i="139" s="1"/>
  <c r="B261" i="101"/>
  <c r="B262" i="139"/>
  <c r="B260" i="134"/>
  <c r="B262" i="135"/>
  <c r="B438" i="101"/>
  <c r="B439" i="139"/>
  <c r="B437" i="134"/>
  <c r="B439" i="135"/>
  <c r="B343" i="139"/>
  <c r="B341" i="134"/>
  <c r="B343" i="135"/>
  <c r="B342" i="101"/>
  <c r="B235" i="101"/>
  <c r="B236" i="139"/>
  <c r="B234" i="134"/>
  <c r="B236" i="135"/>
  <c r="B204" i="135"/>
  <c r="B202" i="134"/>
  <c r="B203" i="101"/>
  <c r="B204" i="139"/>
  <c r="B514" i="101"/>
  <c r="B513" i="134"/>
  <c r="B515" i="135"/>
  <c r="B515" i="139"/>
  <c r="B125" i="101"/>
  <c r="B126" i="139"/>
  <c r="B124" i="134"/>
  <c r="B126" i="135"/>
  <c r="C536" i="101"/>
  <c r="A537" i="101"/>
  <c r="A536" i="134"/>
  <c r="A538" i="135"/>
  <c r="A538" i="139" s="1"/>
  <c r="B545" i="135"/>
  <c r="B543" i="134"/>
  <c r="B544" i="101"/>
  <c r="B545" i="139"/>
  <c r="E535" i="101"/>
  <c r="D535" i="134" s="1"/>
  <c r="C537" i="135" s="1"/>
  <c r="C537" i="139" s="1"/>
  <c r="B93" i="134"/>
  <c r="B95" i="135"/>
  <c r="B95" i="139"/>
  <c r="B94" i="101"/>
  <c r="A570" i="101"/>
  <c r="A571" i="135"/>
  <c r="A571" i="139" s="1"/>
  <c r="A569" i="134"/>
  <c r="C496" i="101"/>
  <c r="B466" i="135"/>
  <c r="B465" i="101"/>
  <c r="B464" i="134"/>
  <c r="B466" i="139"/>
  <c r="A509" i="101"/>
  <c r="A508" i="134"/>
  <c r="A510" i="135"/>
  <c r="A510" i="139" s="1"/>
  <c r="B576" i="135"/>
  <c r="B575" i="101"/>
  <c r="B574" i="134"/>
  <c r="B576" i="139"/>
  <c r="B144" i="101"/>
  <c r="B145" i="139"/>
  <c r="B143" i="134"/>
  <c r="B145" i="135"/>
  <c r="B491" i="139"/>
  <c r="B489" i="134"/>
  <c r="B490" i="101"/>
  <c r="B491" i="135"/>
  <c r="C430" i="101"/>
  <c r="A400" i="101"/>
  <c r="A399" i="134"/>
  <c r="A401" i="135"/>
  <c r="A401" i="139" s="1"/>
  <c r="A257" i="101"/>
  <c r="A256" i="134"/>
  <c r="A258" i="135"/>
  <c r="A258" i="139" s="1"/>
  <c r="B294" i="139"/>
  <c r="B292" i="134"/>
  <c r="B294" i="135"/>
  <c r="B293" i="101"/>
  <c r="A308" i="101"/>
  <c r="A307" i="134"/>
  <c r="A309" i="135"/>
  <c r="A309" i="139" s="1"/>
  <c r="A338" i="101"/>
  <c r="A337" i="134"/>
  <c r="A339" i="135"/>
  <c r="A339" i="139" s="1"/>
  <c r="A203" i="101"/>
  <c r="A202" i="134"/>
  <c r="A204" i="135"/>
  <c r="A204" i="139" s="1"/>
  <c r="A369" i="101"/>
  <c r="A368" i="134"/>
  <c r="A370" i="135"/>
  <c r="A370" i="139" s="1"/>
  <c r="A229" i="101"/>
  <c r="A230" i="135"/>
  <c r="A230" i="139" s="1"/>
  <c r="A228" i="134"/>
  <c r="A460" i="101"/>
  <c r="A459" i="134"/>
  <c r="A461" i="135"/>
  <c r="A461" i="139" s="1"/>
  <c r="A438" i="101"/>
  <c r="A437" i="134"/>
  <c r="A439" i="135"/>
  <c r="A439" i="139" s="1"/>
  <c r="A289" i="101"/>
  <c r="A288" i="134"/>
  <c r="A290" i="135"/>
  <c r="A290" i="139" s="1"/>
  <c r="B386" i="101"/>
  <c r="B387" i="139"/>
  <c r="B387" i="135"/>
  <c r="B385" i="134"/>
  <c r="B407" i="101"/>
  <c r="B408" i="139"/>
  <c r="B406" i="134"/>
  <c r="B408" i="135"/>
  <c r="B313" i="101"/>
  <c r="B314" i="139"/>
  <c r="B312" i="134"/>
  <c r="B314" i="135"/>
  <c r="B37" i="101"/>
  <c r="B38" i="139"/>
  <c r="B36" i="134"/>
  <c r="B38" i="135"/>
  <c r="D26" i="101"/>
  <c r="F26" i="101"/>
  <c r="G26" i="101"/>
  <c r="C26" i="134" s="1"/>
  <c r="E28" i="135" s="1"/>
  <c r="E28" i="139" s="1"/>
  <c r="A91" i="101"/>
  <c r="A90" i="134"/>
  <c r="A92" i="135"/>
  <c r="A92" i="139" s="1"/>
  <c r="E25" i="134"/>
  <c r="D27" i="135" s="1"/>
  <c r="D27" i="139" s="1"/>
  <c r="AS25" i="101"/>
  <c r="AR25" i="101"/>
  <c r="A140" i="101"/>
  <c r="A139" i="134"/>
  <c r="A141" i="135"/>
  <c r="A141" i="139" s="1"/>
  <c r="A120" i="101"/>
  <c r="A119" i="134"/>
  <c r="A121" i="135"/>
  <c r="A121" i="139" s="1"/>
  <c r="B178" i="101"/>
  <c r="B179" i="139"/>
  <c r="B179" i="135"/>
  <c r="B177" i="134"/>
  <c r="C27" i="101"/>
  <c r="A28" i="101"/>
  <c r="A29" i="135"/>
  <c r="A29" i="139" s="1"/>
  <c r="A27" i="134"/>
  <c r="B63" i="101"/>
  <c r="B64" i="139"/>
  <c r="B62" i="134"/>
  <c r="B64" i="135"/>
  <c r="A170" i="101"/>
  <c r="A169" i="134"/>
  <c r="A171" i="135"/>
  <c r="A171" i="139" s="1"/>
  <c r="A61" i="101"/>
  <c r="A60" i="134"/>
  <c r="A62" i="135"/>
  <c r="A62" i="139" s="1"/>
  <c r="B15" i="135"/>
  <c r="A12" i="134"/>
  <c r="B12" i="134"/>
  <c r="C12" i="134"/>
  <c r="E14" i="135" s="1"/>
  <c r="E14" i="139" s="1"/>
  <c r="D12" i="134"/>
  <c r="E12" i="134"/>
  <c r="D14" i="135" s="1"/>
  <c r="D14" i="139" s="1"/>
  <c r="AK14" i="139"/>
  <c r="O14" i="139"/>
  <c r="F14" i="139"/>
  <c r="B14" i="139"/>
  <c r="A14" i="135"/>
  <c r="A14" i="139" s="1"/>
  <c r="C603" i="101" l="1"/>
  <c r="A621" i="101"/>
  <c r="A620" i="134"/>
  <c r="A622" i="135"/>
  <c r="A622" i="139" s="1"/>
  <c r="B626" i="139"/>
  <c r="B625" i="101"/>
  <c r="B624" i="134"/>
  <c r="B626" i="135"/>
  <c r="B440" i="139"/>
  <c r="B438" i="134"/>
  <c r="B439" i="101"/>
  <c r="B440" i="135"/>
  <c r="B261" i="134"/>
  <c r="B263" i="135"/>
  <c r="B263" i="139"/>
  <c r="B262" i="101"/>
  <c r="B237" i="139"/>
  <c r="B236" i="101"/>
  <c r="B237" i="135"/>
  <c r="B235" i="134"/>
  <c r="B344" i="135"/>
  <c r="B343" i="101"/>
  <c r="B344" i="139"/>
  <c r="B342" i="134"/>
  <c r="A571" i="101"/>
  <c r="A570" i="134"/>
  <c r="A572" i="135"/>
  <c r="A572" i="139" s="1"/>
  <c r="B127" i="139"/>
  <c r="B127" i="135"/>
  <c r="B125" i="134"/>
  <c r="B491" i="101"/>
  <c r="B492" i="139"/>
  <c r="B490" i="134"/>
  <c r="B492" i="135"/>
  <c r="B467" i="135"/>
  <c r="B467" i="139"/>
  <c r="B465" i="134"/>
  <c r="B466" i="101"/>
  <c r="B545" i="101"/>
  <c r="B546" i="139"/>
  <c r="B544" i="134"/>
  <c r="B546" i="135"/>
  <c r="B144" i="134"/>
  <c r="B146" i="135"/>
  <c r="B146" i="139"/>
  <c r="B145" i="101"/>
  <c r="C497" i="101"/>
  <c r="B515" i="101"/>
  <c r="B516" i="139"/>
  <c r="B514" i="134"/>
  <c r="B516" i="135"/>
  <c r="B95" i="101"/>
  <c r="B94" i="134"/>
  <c r="B96" i="135"/>
  <c r="B96" i="139"/>
  <c r="A510" i="101"/>
  <c r="A509" i="134"/>
  <c r="A511" i="135"/>
  <c r="A511" i="139" s="1"/>
  <c r="B576" i="101"/>
  <c r="B577" i="139"/>
  <c r="B575" i="134"/>
  <c r="B577" i="135"/>
  <c r="B204" i="101"/>
  <c r="B205" i="135"/>
  <c r="B205" i="139"/>
  <c r="B203" i="134"/>
  <c r="C537" i="101"/>
  <c r="A538" i="101"/>
  <c r="A537" i="134"/>
  <c r="A539" i="135"/>
  <c r="A539" i="139" s="1"/>
  <c r="E536" i="101"/>
  <c r="D536" i="134" s="1"/>
  <c r="C538" i="135" s="1"/>
  <c r="C538" i="139" s="1"/>
  <c r="A439" i="101"/>
  <c r="A440" i="135"/>
  <c r="A440" i="139" s="1"/>
  <c r="A438" i="134"/>
  <c r="A461" i="101"/>
  <c r="A460" i="134"/>
  <c r="A462" i="135"/>
  <c r="A462" i="139" s="1"/>
  <c r="A204" i="101"/>
  <c r="A203" i="134"/>
  <c r="A205" i="135"/>
  <c r="A205" i="139" s="1"/>
  <c r="A309" i="101"/>
  <c r="A308" i="134"/>
  <c r="A310" i="135"/>
  <c r="A310" i="139" s="1"/>
  <c r="A258" i="101"/>
  <c r="A257" i="134"/>
  <c r="A259" i="135"/>
  <c r="A259" i="139" s="1"/>
  <c r="B314" i="101"/>
  <c r="B315" i="139"/>
  <c r="B313" i="134"/>
  <c r="B315" i="135"/>
  <c r="B388" i="139"/>
  <c r="B386" i="134"/>
  <c r="B388" i="135"/>
  <c r="A290" i="101"/>
  <c r="A289" i="134"/>
  <c r="A291" i="135"/>
  <c r="A291" i="139" s="1"/>
  <c r="A401" i="101"/>
  <c r="A400" i="134"/>
  <c r="A402" i="135"/>
  <c r="A402" i="139" s="1"/>
  <c r="B409" i="139"/>
  <c r="B408" i="101"/>
  <c r="B407" i="134"/>
  <c r="B409" i="135"/>
  <c r="A230" i="101"/>
  <c r="A229" i="134"/>
  <c r="A231" i="135"/>
  <c r="A231" i="139" s="1"/>
  <c r="B293" i="134"/>
  <c r="B295" i="135"/>
  <c r="B294" i="101"/>
  <c r="B295" i="139"/>
  <c r="E430" i="101"/>
  <c r="D430" i="134" s="1"/>
  <c r="C432" i="135" s="1"/>
  <c r="C432" i="139" s="1"/>
  <c r="C431" i="101"/>
  <c r="A370" i="101"/>
  <c r="A369" i="134"/>
  <c r="A371" i="135"/>
  <c r="A371" i="139" s="1"/>
  <c r="A339" i="101"/>
  <c r="A338" i="134"/>
  <c r="A340" i="135"/>
  <c r="A340" i="139" s="1"/>
  <c r="A121" i="101"/>
  <c r="A120" i="134"/>
  <c r="A122" i="135"/>
  <c r="A122" i="139" s="1"/>
  <c r="A92" i="101"/>
  <c r="A91" i="134"/>
  <c r="A93" i="135"/>
  <c r="A93" i="139" s="1"/>
  <c r="A62" i="101"/>
  <c r="A61" i="134"/>
  <c r="A63" i="135"/>
  <c r="A63" i="139" s="1"/>
  <c r="B178" i="134"/>
  <c r="B180" i="135"/>
  <c r="B179" i="101"/>
  <c r="B180" i="139"/>
  <c r="AS26" i="101"/>
  <c r="E26" i="134"/>
  <c r="D28" i="135" s="1"/>
  <c r="D28" i="139" s="1"/>
  <c r="AR26" i="101"/>
  <c r="C28" i="101"/>
  <c r="A29" i="101"/>
  <c r="A28" i="134"/>
  <c r="A30" i="135"/>
  <c r="A30" i="139" s="1"/>
  <c r="A171" i="101"/>
  <c r="A170" i="134"/>
  <c r="A172" i="135"/>
  <c r="A172" i="139" s="1"/>
  <c r="A141" i="101"/>
  <c r="A140" i="134"/>
  <c r="A142" i="135"/>
  <c r="A142" i="139" s="1"/>
  <c r="F27" i="101"/>
  <c r="E27" i="101"/>
  <c r="D27" i="134" s="1"/>
  <c r="C29" i="135" s="1"/>
  <c r="C29" i="139" s="1"/>
  <c r="G27" i="101"/>
  <c r="C27" i="134" s="1"/>
  <c r="E29" i="135" s="1"/>
  <c r="E29" i="139" s="1"/>
  <c r="D27" i="101"/>
  <c r="B63" i="134"/>
  <c r="B64" i="101"/>
  <c r="B65" i="139"/>
  <c r="B65" i="135"/>
  <c r="B39" i="135"/>
  <c r="B38" i="101"/>
  <c r="B39" i="139"/>
  <c r="B37" i="134"/>
  <c r="C14" i="139"/>
  <c r="E15" i="135"/>
  <c r="E15" i="139" s="1"/>
  <c r="AR14" i="101"/>
  <c r="AR15" i="101" s="1"/>
  <c r="AR17" i="101" s="1"/>
  <c r="AJ14" i="139"/>
  <c r="AL14" i="139" s="1"/>
  <c r="B627" i="139" l="1"/>
  <c r="B625" i="134"/>
  <c r="B627" i="135"/>
  <c r="B626" i="101"/>
  <c r="A622" i="101"/>
  <c r="A621" i="134"/>
  <c r="A623" i="135"/>
  <c r="A623" i="139" s="1"/>
  <c r="C604" i="101"/>
  <c r="B262" i="134"/>
  <c r="B263" i="101"/>
  <c r="B264" i="139"/>
  <c r="B264" i="135"/>
  <c r="B440" i="101"/>
  <c r="B441" i="139"/>
  <c r="B439" i="134"/>
  <c r="B441" i="135"/>
  <c r="B344" i="101"/>
  <c r="B345" i="135"/>
  <c r="B343" i="134"/>
  <c r="B345" i="139"/>
  <c r="B238" i="135"/>
  <c r="B236" i="134"/>
  <c r="B237" i="101"/>
  <c r="B238" i="139"/>
  <c r="B578" i="139"/>
  <c r="B576" i="134"/>
  <c r="B577" i="101"/>
  <c r="B578" i="135"/>
  <c r="B516" i="101"/>
  <c r="B517" i="139"/>
  <c r="B515" i="134"/>
  <c r="B517" i="135"/>
  <c r="B493" i="139"/>
  <c r="B491" i="134"/>
  <c r="B493" i="135"/>
  <c r="B492" i="101"/>
  <c r="B97" i="135"/>
  <c r="B96" i="101"/>
  <c r="B97" i="139"/>
  <c r="B95" i="134"/>
  <c r="B206" i="139"/>
  <c r="B206" i="135"/>
  <c r="B205" i="101"/>
  <c r="B204" i="134"/>
  <c r="C538" i="101"/>
  <c r="A539" i="101"/>
  <c r="A540" i="135"/>
  <c r="A540" i="139" s="1"/>
  <c r="A538" i="134"/>
  <c r="A511" i="101"/>
  <c r="A510" i="134"/>
  <c r="A512" i="135"/>
  <c r="A512" i="139" s="1"/>
  <c r="B547" i="139"/>
  <c r="B547" i="135"/>
  <c r="B546" i="101"/>
  <c r="B545" i="134"/>
  <c r="B147" i="139"/>
  <c r="B145" i="134"/>
  <c r="B147" i="135"/>
  <c r="B146" i="101"/>
  <c r="E497" i="101"/>
  <c r="D497" i="134" s="1"/>
  <c r="C499" i="135" s="1"/>
  <c r="C499" i="139" s="1"/>
  <c r="C498" i="101"/>
  <c r="B467" i="101"/>
  <c r="B468" i="139"/>
  <c r="B468" i="135"/>
  <c r="B466" i="134"/>
  <c r="A572" i="101"/>
  <c r="A571" i="134"/>
  <c r="A573" i="135"/>
  <c r="A573" i="139" s="1"/>
  <c r="B296" i="139"/>
  <c r="B294" i="134"/>
  <c r="B296" i="135"/>
  <c r="A310" i="101"/>
  <c r="A309" i="134"/>
  <c r="A311" i="135"/>
  <c r="A311" i="139" s="1"/>
  <c r="A340" i="101"/>
  <c r="A339" i="134"/>
  <c r="A341" i="135"/>
  <c r="A341" i="139" s="1"/>
  <c r="B410" i="139"/>
  <c r="B408" i="134"/>
  <c r="B409" i="101"/>
  <c r="B410" i="135"/>
  <c r="A205" i="101"/>
  <c r="A204" i="134"/>
  <c r="A206" i="135"/>
  <c r="A206" i="139" s="1"/>
  <c r="A440" i="101"/>
  <c r="A439" i="134"/>
  <c r="A441" i="135"/>
  <c r="A441" i="139" s="1"/>
  <c r="A371" i="101"/>
  <c r="A370" i="134"/>
  <c r="A372" i="135"/>
  <c r="A372" i="139" s="1"/>
  <c r="A402" i="101"/>
  <c r="A401" i="134"/>
  <c r="A403" i="135"/>
  <c r="A403" i="139" s="1"/>
  <c r="B315" i="101"/>
  <c r="B316" i="135"/>
  <c r="B316" i="139"/>
  <c r="B314" i="134"/>
  <c r="E431" i="101"/>
  <c r="D431" i="134" s="1"/>
  <c r="C433" i="135" s="1"/>
  <c r="C433" i="139" s="1"/>
  <c r="C432" i="101"/>
  <c r="A259" i="101"/>
  <c r="A260" i="135"/>
  <c r="A260" i="139" s="1"/>
  <c r="A258" i="134"/>
  <c r="A462" i="101"/>
  <c r="A461" i="134"/>
  <c r="A463" i="135"/>
  <c r="A463" i="139" s="1"/>
  <c r="A231" i="101"/>
  <c r="A230" i="134"/>
  <c r="A232" i="135"/>
  <c r="A232" i="139" s="1"/>
  <c r="C291" i="101"/>
  <c r="A290" i="134"/>
  <c r="A292" i="135"/>
  <c r="A292" i="139" s="1"/>
  <c r="B181" i="135"/>
  <c r="B180" i="101"/>
  <c r="B181" i="139"/>
  <c r="B179" i="134"/>
  <c r="AS27" i="101"/>
  <c r="E27" i="134"/>
  <c r="D29" i="135" s="1"/>
  <c r="D29" i="139" s="1"/>
  <c r="AR27" i="101"/>
  <c r="A93" i="101"/>
  <c r="A92" i="134"/>
  <c r="A94" i="135"/>
  <c r="A94" i="139" s="1"/>
  <c r="G28" i="101"/>
  <c r="C28" i="134" s="1"/>
  <c r="E30" i="135" s="1"/>
  <c r="E30" i="139" s="1"/>
  <c r="E28" i="101"/>
  <c r="D28" i="134" s="1"/>
  <c r="C30" i="135" s="1"/>
  <c r="C30" i="139" s="1"/>
  <c r="F28" i="101"/>
  <c r="D28" i="101"/>
  <c r="A172" i="101"/>
  <c r="A171" i="134"/>
  <c r="A173" i="135"/>
  <c r="A173" i="139" s="1"/>
  <c r="B64" i="134"/>
  <c r="B66" i="135"/>
  <c r="B65" i="101"/>
  <c r="B66" i="139"/>
  <c r="A142" i="101"/>
  <c r="A141" i="134"/>
  <c r="A143" i="135"/>
  <c r="A143" i="139" s="1"/>
  <c r="A63" i="101"/>
  <c r="A62" i="134"/>
  <c r="A64" i="135"/>
  <c r="A64" i="139" s="1"/>
  <c r="C122" i="101"/>
  <c r="A121" i="134"/>
  <c r="A123" i="135"/>
  <c r="A123" i="139" s="1"/>
  <c r="B39" i="101"/>
  <c r="B40" i="139"/>
  <c r="B38" i="134"/>
  <c r="B40" i="135"/>
  <c r="C29" i="101"/>
  <c r="A30" i="101"/>
  <c r="A29" i="134"/>
  <c r="A31" i="135"/>
  <c r="A31" i="139" s="1"/>
  <c r="C15" i="135"/>
  <c r="C15" i="139" s="1"/>
  <c r="C605" i="101" l="1"/>
  <c r="A623" i="101"/>
  <c r="A622" i="134"/>
  <c r="A624" i="135"/>
  <c r="A624" i="139" s="1"/>
  <c r="B628" i="139"/>
  <c r="B626" i="134"/>
  <c r="B628" i="135"/>
  <c r="B627" i="101"/>
  <c r="B441" i="101"/>
  <c r="B442" i="139"/>
  <c r="B442" i="135"/>
  <c r="B440" i="134"/>
  <c r="B263" i="134"/>
  <c r="B265" i="135"/>
  <c r="B264" i="101"/>
  <c r="B265" i="139"/>
  <c r="B238" i="101"/>
  <c r="B239" i="139"/>
  <c r="B237" i="134"/>
  <c r="B239" i="135"/>
  <c r="B345" i="101"/>
  <c r="B346" i="139"/>
  <c r="B344" i="134"/>
  <c r="B346" i="135"/>
  <c r="B493" i="101"/>
  <c r="B494" i="139"/>
  <c r="B492" i="134"/>
  <c r="B494" i="135"/>
  <c r="C539" i="101"/>
  <c r="A540" i="101"/>
  <c r="A539" i="134"/>
  <c r="A541" i="135"/>
  <c r="A541" i="139" s="1"/>
  <c r="E538" i="101"/>
  <c r="D538" i="134" s="1"/>
  <c r="C540" i="135" s="1"/>
  <c r="C540" i="139" s="1"/>
  <c r="B146" i="134"/>
  <c r="B148" i="135"/>
  <c r="B147" i="101"/>
  <c r="B148" i="139"/>
  <c r="B206" i="101"/>
  <c r="B207" i="139"/>
  <c r="B205" i="134"/>
  <c r="B207" i="135"/>
  <c r="A573" i="101"/>
  <c r="A572" i="134"/>
  <c r="A574" i="135"/>
  <c r="A574" i="139" s="1"/>
  <c r="B518" i="139"/>
  <c r="B516" i="134"/>
  <c r="B518" i="135"/>
  <c r="B517" i="101"/>
  <c r="B578" i="101"/>
  <c r="B579" i="139"/>
  <c r="B577" i="134"/>
  <c r="B579" i="135"/>
  <c r="E498" i="101"/>
  <c r="D498" i="134" s="1"/>
  <c r="C500" i="135" s="1"/>
  <c r="C500" i="139" s="1"/>
  <c r="C499" i="101"/>
  <c r="B548" i="139"/>
  <c r="B546" i="134"/>
  <c r="B548" i="135"/>
  <c r="B547" i="101"/>
  <c r="A512" i="101"/>
  <c r="A511" i="134"/>
  <c r="A513" i="135"/>
  <c r="A513" i="139" s="1"/>
  <c r="B98" i="139"/>
  <c r="B96" i="134"/>
  <c r="B97" i="101"/>
  <c r="B98" i="135"/>
  <c r="B469" i="139"/>
  <c r="B469" i="135"/>
  <c r="B467" i="134"/>
  <c r="B468" i="101"/>
  <c r="E432" i="101"/>
  <c r="D432" i="134" s="1"/>
  <c r="C434" i="135" s="1"/>
  <c r="C434" i="139" s="1"/>
  <c r="C433" i="101"/>
  <c r="B410" i="101"/>
  <c r="B411" i="139"/>
  <c r="B409" i="134"/>
  <c r="B411" i="135"/>
  <c r="A441" i="101"/>
  <c r="A440" i="134"/>
  <c r="A442" i="135"/>
  <c r="A442" i="139" s="1"/>
  <c r="B316" i="101"/>
  <c r="B317" i="139"/>
  <c r="B315" i="134"/>
  <c r="B317" i="135"/>
  <c r="A372" i="101"/>
  <c r="A371" i="134"/>
  <c r="A373" i="135"/>
  <c r="A373" i="139" s="1"/>
  <c r="A463" i="101"/>
  <c r="A462" i="134"/>
  <c r="A464" i="135"/>
  <c r="A464" i="139" s="1"/>
  <c r="C292" i="101"/>
  <c r="A260" i="101"/>
  <c r="A259" i="134"/>
  <c r="A261" i="135"/>
  <c r="A261" i="139" s="1"/>
  <c r="A403" i="101"/>
  <c r="A402" i="134"/>
  <c r="A404" i="135"/>
  <c r="A404" i="139" s="1"/>
  <c r="A206" i="101"/>
  <c r="A205" i="134"/>
  <c r="A207" i="135"/>
  <c r="A207" i="139" s="1"/>
  <c r="A341" i="101"/>
  <c r="A340" i="134"/>
  <c r="A342" i="135"/>
  <c r="A342" i="139" s="1"/>
  <c r="A232" i="101"/>
  <c r="A233" i="135"/>
  <c r="A233" i="139" s="1"/>
  <c r="A231" i="134"/>
  <c r="A311" i="101"/>
  <c r="A310" i="134"/>
  <c r="A312" i="135"/>
  <c r="A312" i="139" s="1"/>
  <c r="E29" i="101"/>
  <c r="D29" i="134" s="1"/>
  <c r="C31" i="135" s="1"/>
  <c r="C31" i="139" s="1"/>
  <c r="D29" i="101"/>
  <c r="G29" i="101"/>
  <c r="C29" i="134" s="1"/>
  <c r="E31" i="135" s="1"/>
  <c r="E31" i="139" s="1"/>
  <c r="F29" i="101"/>
  <c r="A143" i="101"/>
  <c r="A144" i="135"/>
  <c r="A144" i="139" s="1"/>
  <c r="A142" i="134"/>
  <c r="B66" i="101"/>
  <c r="B65" i="134"/>
  <c r="B67" i="135"/>
  <c r="B67" i="139"/>
  <c r="B181" i="101"/>
  <c r="B182" i="139"/>
  <c r="B180" i="134"/>
  <c r="B182" i="135"/>
  <c r="A94" i="101"/>
  <c r="A95" i="135"/>
  <c r="A95" i="139" s="1"/>
  <c r="A93" i="134"/>
  <c r="B41" i="139"/>
  <c r="B40" i="101"/>
  <c r="B41" i="135"/>
  <c r="B39" i="134"/>
  <c r="C123" i="101"/>
  <c r="AS28" i="101"/>
  <c r="E28" i="134"/>
  <c r="D30" i="135" s="1"/>
  <c r="D30" i="139" s="1"/>
  <c r="AR28" i="101"/>
  <c r="C30" i="101"/>
  <c r="A31" i="101"/>
  <c r="A30" i="134"/>
  <c r="A32" i="135"/>
  <c r="A32" i="139" s="1"/>
  <c r="A64" i="101"/>
  <c r="A65" i="135"/>
  <c r="A65" i="139" s="1"/>
  <c r="A63" i="134"/>
  <c r="A173" i="101"/>
  <c r="A172" i="134"/>
  <c r="A174" i="135"/>
  <c r="A174" i="139" s="1"/>
  <c r="D15" i="135"/>
  <c r="D15" i="139" s="1"/>
  <c r="B628" i="101" l="1"/>
  <c r="B629" i="139"/>
  <c r="B627" i="134"/>
  <c r="B629" i="135"/>
  <c r="A624" i="101"/>
  <c r="A625" i="135"/>
  <c r="A625" i="139" s="1"/>
  <c r="A623" i="134"/>
  <c r="C606" i="101"/>
  <c r="B265" i="101"/>
  <c r="B266" i="139"/>
  <c r="B264" i="134"/>
  <c r="B266" i="135"/>
  <c r="B442" i="101"/>
  <c r="B443" i="139"/>
  <c r="B441" i="134"/>
  <c r="B443" i="135"/>
  <c r="B346" i="101"/>
  <c r="B347" i="139"/>
  <c r="B345" i="134"/>
  <c r="B347" i="135"/>
  <c r="B240" i="139"/>
  <c r="B238" i="134"/>
  <c r="B240" i="135"/>
  <c r="B239" i="101"/>
  <c r="B469" i="101"/>
  <c r="B470" i="139"/>
  <c r="B468" i="134"/>
  <c r="B470" i="135"/>
  <c r="B548" i="101"/>
  <c r="B549" i="139"/>
  <c r="B547" i="134"/>
  <c r="B549" i="135"/>
  <c r="B580" i="139"/>
  <c r="B579" i="101"/>
  <c r="B578" i="134"/>
  <c r="B580" i="135"/>
  <c r="B207" i="101"/>
  <c r="B208" i="139"/>
  <c r="B206" i="134"/>
  <c r="B208" i="135"/>
  <c r="B518" i="101"/>
  <c r="B519" i="139"/>
  <c r="B517" i="134"/>
  <c r="B519" i="135"/>
  <c r="B148" i="101"/>
  <c r="B147" i="134"/>
  <c r="B149" i="135"/>
  <c r="B149" i="139"/>
  <c r="A513" i="101"/>
  <c r="A512" i="134"/>
  <c r="A514" i="135"/>
  <c r="A514" i="139" s="1"/>
  <c r="C540" i="101"/>
  <c r="A541" i="101"/>
  <c r="A540" i="134"/>
  <c r="A542" i="135"/>
  <c r="A542" i="139" s="1"/>
  <c r="E499" i="101"/>
  <c r="D499" i="134" s="1"/>
  <c r="C501" i="135" s="1"/>
  <c r="C501" i="139" s="1"/>
  <c r="C500" i="101"/>
  <c r="E539" i="101"/>
  <c r="D539" i="134" s="1"/>
  <c r="C541" i="135" s="1"/>
  <c r="C541" i="139" s="1"/>
  <c r="B99" i="139"/>
  <c r="B98" i="101"/>
  <c r="B97" i="134"/>
  <c r="B99" i="135"/>
  <c r="A574" i="101"/>
  <c r="A573" i="134"/>
  <c r="A575" i="135"/>
  <c r="A575" i="139" s="1"/>
  <c r="B494" i="101"/>
  <c r="B495" i="139"/>
  <c r="B493" i="134"/>
  <c r="B495" i="135"/>
  <c r="A312" i="101"/>
  <c r="A311" i="134"/>
  <c r="A313" i="135"/>
  <c r="A313" i="139" s="1"/>
  <c r="A207" i="101"/>
  <c r="A206" i="134"/>
  <c r="A208" i="135"/>
  <c r="A208" i="139" s="1"/>
  <c r="C293" i="101"/>
  <c r="A373" i="101"/>
  <c r="A372" i="134"/>
  <c r="A374" i="135"/>
  <c r="A374" i="139" s="1"/>
  <c r="B411" i="101"/>
  <c r="B412" i="139"/>
  <c r="B410" i="134"/>
  <c r="B412" i="135"/>
  <c r="A233" i="101"/>
  <c r="A232" i="134"/>
  <c r="A234" i="135"/>
  <c r="A234" i="139" s="1"/>
  <c r="A404" i="101"/>
  <c r="A403" i="134"/>
  <c r="A405" i="135"/>
  <c r="A405" i="139" s="1"/>
  <c r="B318" i="139"/>
  <c r="B317" i="101"/>
  <c r="B316" i="134"/>
  <c r="B318" i="135"/>
  <c r="E433" i="101"/>
  <c r="D433" i="134" s="1"/>
  <c r="C435" i="135" s="1"/>
  <c r="C435" i="139" s="1"/>
  <c r="F433" i="101"/>
  <c r="C434" i="101"/>
  <c r="A342" i="101"/>
  <c r="A343" i="135"/>
  <c r="A343" i="139" s="1"/>
  <c r="A341" i="134"/>
  <c r="A261" i="101"/>
  <c r="A262" i="135"/>
  <c r="A262" i="139" s="1"/>
  <c r="A260" i="134"/>
  <c r="A464" i="101"/>
  <c r="A463" i="134"/>
  <c r="A465" i="135"/>
  <c r="A465" i="139" s="1"/>
  <c r="A442" i="101"/>
  <c r="A441" i="134"/>
  <c r="A443" i="135"/>
  <c r="A443" i="139" s="1"/>
  <c r="A95" i="101"/>
  <c r="A94" i="134"/>
  <c r="A96" i="135"/>
  <c r="A96" i="139" s="1"/>
  <c r="A144" i="101"/>
  <c r="A145" i="135"/>
  <c r="A145" i="139" s="1"/>
  <c r="A143" i="134"/>
  <c r="E29" i="134"/>
  <c r="D31" i="135" s="1"/>
  <c r="D31" i="139" s="1"/>
  <c r="AS29" i="101"/>
  <c r="AR29" i="101"/>
  <c r="C124" i="101"/>
  <c r="C31" i="101"/>
  <c r="A32" i="101"/>
  <c r="A31" i="134"/>
  <c r="A33" i="135"/>
  <c r="A33" i="139" s="1"/>
  <c r="G30" i="101"/>
  <c r="C30" i="134" s="1"/>
  <c r="E32" i="135" s="1"/>
  <c r="E32" i="139" s="1"/>
  <c r="F30" i="101"/>
  <c r="E30" i="101"/>
  <c r="D30" i="134" s="1"/>
  <c r="C32" i="135" s="1"/>
  <c r="C32" i="139" s="1"/>
  <c r="D30" i="101"/>
  <c r="A65" i="101"/>
  <c r="A64" i="134"/>
  <c r="A66" i="135"/>
  <c r="A66" i="139" s="1"/>
  <c r="B42" i="139"/>
  <c r="B40" i="134"/>
  <c r="B41" i="101"/>
  <c r="B42" i="135"/>
  <c r="B183" i="139"/>
  <c r="B181" i="134"/>
  <c r="B183" i="135"/>
  <c r="B182" i="101"/>
  <c r="A174" i="101"/>
  <c r="A173" i="134"/>
  <c r="A175" i="135"/>
  <c r="A175" i="139" s="1"/>
  <c r="B68" i="139"/>
  <c r="B66" i="134"/>
  <c r="B68" i="135"/>
  <c r="B67" i="101"/>
  <c r="AM12" i="101"/>
  <c r="AM13" i="101"/>
  <c r="A625" i="101" l="1"/>
  <c r="A624" i="134"/>
  <c r="A626" i="135"/>
  <c r="A626" i="139" s="1"/>
  <c r="C607" i="101"/>
  <c r="B630" i="139"/>
  <c r="B628" i="134"/>
  <c r="B630" i="135"/>
  <c r="B443" i="101"/>
  <c r="B444" i="139"/>
  <c r="B444" i="135"/>
  <c r="B442" i="134"/>
  <c r="B266" i="101"/>
  <c r="B267" i="139"/>
  <c r="B265" i="134"/>
  <c r="B267" i="135"/>
  <c r="B240" i="101"/>
  <c r="B241" i="139"/>
  <c r="B239" i="134"/>
  <c r="B241" i="135"/>
  <c r="B348" i="135"/>
  <c r="B347" i="101"/>
  <c r="B348" i="139"/>
  <c r="B346" i="134"/>
  <c r="B581" i="139"/>
  <c r="B579" i="134"/>
  <c r="B581" i="135"/>
  <c r="B580" i="101"/>
  <c r="B150" i="139"/>
  <c r="B149" i="101"/>
  <c r="B148" i="134"/>
  <c r="B150" i="135"/>
  <c r="B100" i="135"/>
  <c r="B100" i="139"/>
  <c r="B99" i="101"/>
  <c r="B98" i="134"/>
  <c r="B495" i="101"/>
  <c r="B496" i="139"/>
  <c r="B496" i="135"/>
  <c r="B494" i="134"/>
  <c r="C541" i="101"/>
  <c r="A542" i="101"/>
  <c r="A543" i="135"/>
  <c r="A543" i="139" s="1"/>
  <c r="A541" i="134"/>
  <c r="E540" i="101"/>
  <c r="D540" i="134" s="1"/>
  <c r="C542" i="135" s="1"/>
  <c r="C542" i="139" s="1"/>
  <c r="B519" i="101"/>
  <c r="B520" i="139"/>
  <c r="B518" i="134"/>
  <c r="B520" i="135"/>
  <c r="B550" i="135"/>
  <c r="B549" i="101"/>
  <c r="B548" i="134"/>
  <c r="B550" i="139"/>
  <c r="A514" i="101"/>
  <c r="A513" i="134"/>
  <c r="A515" i="135"/>
  <c r="A515" i="139" s="1"/>
  <c r="A575" i="101"/>
  <c r="A576" i="135"/>
  <c r="A576" i="139" s="1"/>
  <c r="A574" i="134"/>
  <c r="E500" i="101"/>
  <c r="D500" i="134" s="1"/>
  <c r="C502" i="135" s="1"/>
  <c r="C502" i="139" s="1"/>
  <c r="C501" i="101"/>
  <c r="B207" i="134"/>
  <c r="B208" i="101"/>
  <c r="B209" i="139"/>
  <c r="B209" i="135"/>
  <c r="B470" i="101"/>
  <c r="B471" i="139"/>
  <c r="B469" i="134"/>
  <c r="B471" i="135"/>
  <c r="A465" i="101"/>
  <c r="A464" i="134"/>
  <c r="A466" i="135"/>
  <c r="A466" i="139" s="1"/>
  <c r="A262" i="101"/>
  <c r="A261" i="134"/>
  <c r="A263" i="135"/>
  <c r="A263" i="139" s="1"/>
  <c r="B412" i="101"/>
  <c r="B413" i="139"/>
  <c r="B411" i="134"/>
  <c r="B413" i="135"/>
  <c r="A343" i="101"/>
  <c r="A342" i="134"/>
  <c r="A344" i="135"/>
  <c r="A344" i="139" s="1"/>
  <c r="B318" i="101"/>
  <c r="B319" i="139"/>
  <c r="B317" i="134"/>
  <c r="B319" i="135"/>
  <c r="A405" i="101"/>
  <c r="A404" i="134"/>
  <c r="A406" i="135"/>
  <c r="A406" i="139" s="1"/>
  <c r="A374" i="101"/>
  <c r="A373" i="134"/>
  <c r="A375" i="135"/>
  <c r="A375" i="139" s="1"/>
  <c r="A208" i="101"/>
  <c r="A207" i="134"/>
  <c r="A209" i="135"/>
  <c r="A209" i="139" s="1"/>
  <c r="E434" i="101"/>
  <c r="D434" i="134" s="1"/>
  <c r="C436" i="135" s="1"/>
  <c r="C436" i="139" s="1"/>
  <c r="F434" i="101"/>
  <c r="C435" i="101"/>
  <c r="E433" i="134"/>
  <c r="D435" i="135" s="1"/>
  <c r="D435" i="139" s="1"/>
  <c r="AS433" i="101"/>
  <c r="A443" i="101"/>
  <c r="A444" i="135"/>
  <c r="A444" i="139" s="1"/>
  <c r="A442" i="134"/>
  <c r="A234" i="101"/>
  <c r="A233" i="134"/>
  <c r="A235" i="135"/>
  <c r="A235" i="139" s="1"/>
  <c r="C294" i="101"/>
  <c r="A313" i="101"/>
  <c r="A312" i="134"/>
  <c r="A314" i="135"/>
  <c r="A314" i="139" s="1"/>
  <c r="A145" i="101"/>
  <c r="A144" i="134"/>
  <c r="A146" i="135"/>
  <c r="A146" i="139" s="1"/>
  <c r="C32" i="101"/>
  <c r="A33" i="101"/>
  <c r="A32" i="134"/>
  <c r="A34" i="135"/>
  <c r="A34" i="139" s="1"/>
  <c r="A66" i="101"/>
  <c r="A65" i="134"/>
  <c r="A67" i="135"/>
  <c r="A67" i="139" s="1"/>
  <c r="A175" i="101"/>
  <c r="A174" i="134"/>
  <c r="A176" i="135"/>
  <c r="A176" i="139" s="1"/>
  <c r="C125" i="101"/>
  <c r="AS30" i="101"/>
  <c r="E30" i="134"/>
  <c r="D32" i="135" s="1"/>
  <c r="D32" i="139" s="1"/>
  <c r="AR30" i="101"/>
  <c r="B183" i="101"/>
  <c r="B184" i="139"/>
  <c r="B182" i="134"/>
  <c r="B184" i="135"/>
  <c r="A96" i="101"/>
  <c r="A95" i="134"/>
  <c r="A97" i="135"/>
  <c r="A97" i="139" s="1"/>
  <c r="B42" i="101"/>
  <c r="B43" i="139"/>
  <c r="B41" i="134"/>
  <c r="B43" i="135"/>
  <c r="D31" i="101"/>
  <c r="E31" i="101"/>
  <c r="D31" i="134" s="1"/>
  <c r="C33" i="135" s="1"/>
  <c r="C33" i="139" s="1"/>
  <c r="F31" i="101"/>
  <c r="G31" i="101"/>
  <c r="C31" i="134" s="1"/>
  <c r="E33" i="135" s="1"/>
  <c r="E33" i="139" s="1"/>
  <c r="B68" i="101"/>
  <c r="B69" i="139"/>
  <c r="B67" i="134"/>
  <c r="B69" i="135"/>
  <c r="AP12" i="134"/>
  <c r="E607" i="101" l="1"/>
  <c r="D607" i="134" s="1"/>
  <c r="C609" i="135" s="1"/>
  <c r="C609" i="139" s="1"/>
  <c r="C608" i="101"/>
  <c r="A626" i="101"/>
  <c r="A625" i="134"/>
  <c r="A627" i="135"/>
  <c r="A627" i="139" s="1"/>
  <c r="B267" i="101"/>
  <c r="B268" i="139"/>
  <c r="B266" i="134"/>
  <c r="B268" i="135"/>
  <c r="B444" i="101"/>
  <c r="B445" i="135"/>
  <c r="B445" i="139"/>
  <c r="B443" i="134"/>
  <c r="B347" i="134"/>
  <c r="B348" i="101"/>
  <c r="B349" i="139"/>
  <c r="B349" i="135"/>
  <c r="B241" i="101"/>
  <c r="B242" i="139"/>
  <c r="B240" i="134"/>
  <c r="B242" i="135"/>
  <c r="B472" i="135"/>
  <c r="B472" i="139"/>
  <c r="B470" i="134"/>
  <c r="B471" i="101"/>
  <c r="A576" i="101"/>
  <c r="A575" i="134"/>
  <c r="A577" i="135"/>
  <c r="A577" i="139" s="1"/>
  <c r="B551" i="139"/>
  <c r="B549" i="134"/>
  <c r="B550" i="101"/>
  <c r="B551" i="135"/>
  <c r="A543" i="101"/>
  <c r="C542" i="101"/>
  <c r="A542" i="134"/>
  <c r="A544" i="135"/>
  <c r="A544" i="139" s="1"/>
  <c r="B151" i="139"/>
  <c r="B151" i="135"/>
  <c r="B150" i="101"/>
  <c r="B149" i="134"/>
  <c r="E541" i="101"/>
  <c r="D541" i="134" s="1"/>
  <c r="C543" i="135" s="1"/>
  <c r="C543" i="139" s="1"/>
  <c r="B582" i="139"/>
  <c r="B580" i="134"/>
  <c r="B581" i="101"/>
  <c r="B582" i="135"/>
  <c r="B101" i="139"/>
  <c r="B99" i="134"/>
  <c r="B100" i="101"/>
  <c r="B101" i="135"/>
  <c r="B210" i="139"/>
  <c r="B208" i="134"/>
  <c r="B210" i="135"/>
  <c r="B209" i="101"/>
  <c r="A515" i="101"/>
  <c r="A514" i="134"/>
  <c r="A516" i="135"/>
  <c r="A516" i="139" s="1"/>
  <c r="E501" i="101"/>
  <c r="D501" i="134" s="1"/>
  <c r="C503" i="135" s="1"/>
  <c r="C503" i="139" s="1"/>
  <c r="C502" i="101"/>
  <c r="B520" i="101"/>
  <c r="B521" i="139"/>
  <c r="B521" i="135"/>
  <c r="B519" i="134"/>
  <c r="B495" i="134"/>
  <c r="B497" i="135"/>
  <c r="B497" i="139"/>
  <c r="C295" i="101"/>
  <c r="A209" i="101"/>
  <c r="A208" i="134"/>
  <c r="A210" i="135"/>
  <c r="A210" i="139" s="1"/>
  <c r="A235" i="101"/>
  <c r="A234" i="134"/>
  <c r="A236" i="135"/>
  <c r="A236" i="139" s="1"/>
  <c r="C444" i="101"/>
  <c r="A443" i="134"/>
  <c r="A445" i="135"/>
  <c r="A445" i="139" s="1"/>
  <c r="B319" i="101"/>
  <c r="B318" i="134"/>
  <c r="B320" i="135"/>
  <c r="B320" i="139"/>
  <c r="A263" i="101"/>
  <c r="A262" i="134"/>
  <c r="A264" i="135"/>
  <c r="A264" i="139" s="1"/>
  <c r="A375" i="101"/>
  <c r="A374" i="134"/>
  <c r="A376" i="135"/>
  <c r="A376" i="139" s="1"/>
  <c r="A406" i="101"/>
  <c r="A407" i="135"/>
  <c r="A407" i="139" s="1"/>
  <c r="A405" i="134"/>
  <c r="A314" i="101"/>
  <c r="A313" i="134"/>
  <c r="A315" i="135"/>
  <c r="A315" i="139" s="1"/>
  <c r="F435" i="101"/>
  <c r="E435" i="101"/>
  <c r="D435" i="134" s="1"/>
  <c r="C437" i="135" s="1"/>
  <c r="C437" i="139" s="1"/>
  <c r="C436" i="101"/>
  <c r="B413" i="101"/>
  <c r="B412" i="134"/>
  <c r="B414" i="139"/>
  <c r="B414" i="135"/>
  <c r="AR434" i="101"/>
  <c r="AS434" i="101"/>
  <c r="E434" i="134"/>
  <c r="D436" i="135" s="1"/>
  <c r="D436" i="139" s="1"/>
  <c r="A466" i="101"/>
  <c r="A465" i="134"/>
  <c r="A467" i="135"/>
  <c r="A467" i="139" s="1"/>
  <c r="A344" i="101"/>
  <c r="A343" i="134"/>
  <c r="A345" i="135"/>
  <c r="A345" i="139" s="1"/>
  <c r="A97" i="101"/>
  <c r="A96" i="134"/>
  <c r="A98" i="135"/>
  <c r="A98" i="139" s="1"/>
  <c r="AS31" i="101"/>
  <c r="E31" i="134"/>
  <c r="D33" i="135" s="1"/>
  <c r="D33" i="139" s="1"/>
  <c r="AR31" i="101"/>
  <c r="C33" i="101"/>
  <c r="A34" i="101"/>
  <c r="A33" i="134"/>
  <c r="A35" i="135"/>
  <c r="A35" i="139" s="1"/>
  <c r="B185" i="135"/>
  <c r="B184" i="101"/>
  <c r="B185" i="139"/>
  <c r="B183" i="134"/>
  <c r="D32" i="101"/>
  <c r="F32" i="101"/>
  <c r="G32" i="101"/>
  <c r="C32" i="134" s="1"/>
  <c r="E34" i="135" s="1"/>
  <c r="E34" i="139" s="1"/>
  <c r="E32" i="101"/>
  <c r="D32" i="134" s="1"/>
  <c r="C34" i="135" s="1"/>
  <c r="C34" i="139" s="1"/>
  <c r="A176" i="101"/>
  <c r="A175" i="134"/>
  <c r="A177" i="135"/>
  <c r="A177" i="139" s="1"/>
  <c r="C126" i="101"/>
  <c r="B68" i="134"/>
  <c r="B69" i="101"/>
  <c r="B70" i="139"/>
  <c r="B70" i="135"/>
  <c r="B43" i="101"/>
  <c r="B44" i="139"/>
  <c r="B42" i="134"/>
  <c r="B44" i="135"/>
  <c r="A146" i="101"/>
  <c r="A147" i="135"/>
  <c r="A147" i="139" s="1"/>
  <c r="A145" i="134"/>
  <c r="A67" i="101"/>
  <c r="A66" i="134"/>
  <c r="A68" i="135"/>
  <c r="A68" i="139" s="1"/>
  <c r="AN12" i="134"/>
  <c r="AO12" i="134"/>
  <c r="A627" i="101" l="1"/>
  <c r="A626" i="134"/>
  <c r="A628" i="135"/>
  <c r="A628" i="139" s="1"/>
  <c r="E608" i="101"/>
  <c r="D608" i="134" s="1"/>
  <c r="C610" i="135" s="1"/>
  <c r="C610" i="139" s="1"/>
  <c r="C609" i="101"/>
  <c r="B444" i="134"/>
  <c r="B446" i="139"/>
  <c r="B446" i="135"/>
  <c r="B445" i="101"/>
  <c r="B268" i="101"/>
  <c r="B269" i="139"/>
  <c r="B267" i="134"/>
  <c r="B269" i="135"/>
  <c r="B243" i="139"/>
  <c r="B243" i="135"/>
  <c r="B241" i="134"/>
  <c r="B242" i="101"/>
  <c r="B349" i="101"/>
  <c r="B350" i="139"/>
  <c r="B348" i="134"/>
  <c r="B350" i="135"/>
  <c r="A577" i="101"/>
  <c r="A576" i="134"/>
  <c r="A578" i="135"/>
  <c r="A578" i="139" s="1"/>
  <c r="B151" i="101"/>
  <c r="B150" i="134"/>
  <c r="B152" i="139"/>
  <c r="B152" i="135"/>
  <c r="B473" i="139"/>
  <c r="B471" i="134"/>
  <c r="B473" i="135"/>
  <c r="B583" i="135"/>
  <c r="B582" i="101"/>
  <c r="B581" i="134"/>
  <c r="B583" i="139"/>
  <c r="A516" i="101"/>
  <c r="A517" i="135"/>
  <c r="A517" i="139" s="1"/>
  <c r="A515" i="134"/>
  <c r="E542" i="101"/>
  <c r="D542" i="134" s="1"/>
  <c r="C544" i="135" s="1"/>
  <c r="C544" i="139" s="1"/>
  <c r="B102" i="135"/>
  <c r="B102" i="139"/>
  <c r="B101" i="101"/>
  <c r="B100" i="134"/>
  <c r="C543" i="101"/>
  <c r="A544" i="101"/>
  <c r="A543" i="134"/>
  <c r="A545" i="135"/>
  <c r="A545" i="139" s="1"/>
  <c r="B211" i="135"/>
  <c r="B209" i="134"/>
  <c r="B210" i="101"/>
  <c r="B211" i="139"/>
  <c r="B552" i="139"/>
  <c r="B550" i="134"/>
  <c r="B552" i="135"/>
  <c r="B551" i="101"/>
  <c r="B520" i="134"/>
  <c r="B522" i="135"/>
  <c r="B521" i="101"/>
  <c r="B522" i="139"/>
  <c r="E502" i="101"/>
  <c r="D502" i="134" s="1"/>
  <c r="C504" i="135" s="1"/>
  <c r="C504" i="139" s="1"/>
  <c r="C503" i="101"/>
  <c r="A210" i="101"/>
  <c r="A209" i="134"/>
  <c r="A211" i="135"/>
  <c r="A211" i="139" s="1"/>
  <c r="A264" i="101"/>
  <c r="A265" i="135"/>
  <c r="A265" i="139" s="1"/>
  <c r="A263" i="134"/>
  <c r="C445" i="101"/>
  <c r="A467" i="101"/>
  <c r="A468" i="135"/>
  <c r="A468" i="139" s="1"/>
  <c r="A466" i="134"/>
  <c r="B414" i="101"/>
  <c r="B415" i="139"/>
  <c r="B413" i="134"/>
  <c r="B415" i="135"/>
  <c r="A407" i="101"/>
  <c r="A406" i="134"/>
  <c r="A408" i="135"/>
  <c r="A408" i="139" s="1"/>
  <c r="A236" i="101"/>
  <c r="A235" i="134"/>
  <c r="A237" i="135"/>
  <c r="A237" i="139" s="1"/>
  <c r="E435" i="134"/>
  <c r="D437" i="135" s="1"/>
  <c r="D437" i="139" s="1"/>
  <c r="AS435" i="101"/>
  <c r="AR435" i="101"/>
  <c r="A376" i="101"/>
  <c r="A375" i="134"/>
  <c r="A377" i="135"/>
  <c r="A377" i="139" s="1"/>
  <c r="A315" i="101"/>
  <c r="A314" i="134"/>
  <c r="A316" i="135"/>
  <c r="A316" i="139" s="1"/>
  <c r="F436" i="101"/>
  <c r="E436" i="101"/>
  <c r="D436" i="134" s="1"/>
  <c r="C438" i="135" s="1"/>
  <c r="C438" i="139" s="1"/>
  <c r="C437" i="101"/>
  <c r="C296" i="101"/>
  <c r="A345" i="101"/>
  <c r="A344" i="134"/>
  <c r="A346" i="135"/>
  <c r="A346" i="139" s="1"/>
  <c r="B320" i="101"/>
  <c r="B319" i="134"/>
  <c r="B321" i="135"/>
  <c r="B321" i="139"/>
  <c r="A147" i="101"/>
  <c r="A146" i="134"/>
  <c r="A148" i="135"/>
  <c r="A148" i="139" s="1"/>
  <c r="B184" i="134"/>
  <c r="B186" i="135"/>
  <c r="B185" i="101"/>
  <c r="B186" i="139"/>
  <c r="A177" i="101"/>
  <c r="A176" i="134"/>
  <c r="A178" i="135"/>
  <c r="A178" i="139" s="1"/>
  <c r="B44" i="101"/>
  <c r="B45" i="139"/>
  <c r="B43" i="134"/>
  <c r="B45" i="135"/>
  <c r="C34" i="101"/>
  <c r="A35" i="101"/>
  <c r="A34" i="134"/>
  <c r="A36" i="135"/>
  <c r="A36" i="139" s="1"/>
  <c r="F33" i="101"/>
  <c r="D33" i="101"/>
  <c r="E33" i="101"/>
  <c r="D33" i="134" s="1"/>
  <c r="C35" i="135" s="1"/>
  <c r="C35" i="139" s="1"/>
  <c r="G33" i="101"/>
  <c r="C33" i="134" s="1"/>
  <c r="E35" i="135" s="1"/>
  <c r="E35" i="139" s="1"/>
  <c r="A98" i="101"/>
  <c r="A97" i="134"/>
  <c r="A99" i="135"/>
  <c r="A99" i="139" s="1"/>
  <c r="A68" i="101"/>
  <c r="A69" i="135"/>
  <c r="A69" i="139" s="1"/>
  <c r="A67" i="134"/>
  <c r="B70" i="101"/>
  <c r="B71" i="139"/>
  <c r="B69" i="134"/>
  <c r="B71" i="135"/>
  <c r="C127" i="101"/>
  <c r="E32" i="134"/>
  <c r="D34" i="135" s="1"/>
  <c r="D34" i="139" s="1"/>
  <c r="AR32" i="101"/>
  <c r="AD32" i="137"/>
  <c r="U32" i="137"/>
  <c r="E609" i="101" l="1"/>
  <c r="D609" i="134" s="1"/>
  <c r="C611" i="135" s="1"/>
  <c r="C611" i="139" s="1"/>
  <c r="C610" i="101"/>
  <c r="A628" i="101"/>
  <c r="A627" i="134"/>
  <c r="A629" i="135"/>
  <c r="A629" i="139" s="1"/>
  <c r="B270" i="139"/>
  <c r="B269" i="101"/>
  <c r="B268" i="134"/>
  <c r="B270" i="135"/>
  <c r="B446" i="101"/>
  <c r="B447" i="135"/>
  <c r="B447" i="139"/>
  <c r="B445" i="134"/>
  <c r="B351" i="139"/>
  <c r="B349" i="134"/>
  <c r="B351" i="135"/>
  <c r="B350" i="101"/>
  <c r="B244" i="139"/>
  <c r="B244" i="135"/>
  <c r="B242" i="134"/>
  <c r="B243" i="101"/>
  <c r="B522" i="101"/>
  <c r="B523" i="139"/>
  <c r="B521" i="134"/>
  <c r="B523" i="135"/>
  <c r="B211" i="101"/>
  <c r="B210" i="134"/>
  <c r="B212" i="135"/>
  <c r="B212" i="139"/>
  <c r="C544" i="101"/>
  <c r="A545" i="101"/>
  <c r="A544" i="134"/>
  <c r="A546" i="135"/>
  <c r="A546" i="139" s="1"/>
  <c r="A517" i="101"/>
  <c r="A516" i="134"/>
  <c r="A518" i="135"/>
  <c r="A518" i="139" s="1"/>
  <c r="B151" i="134"/>
  <c r="B152" i="101"/>
  <c r="B153" i="135"/>
  <c r="B153" i="139"/>
  <c r="E503" i="101"/>
  <c r="D503" i="134" s="1"/>
  <c r="C505" i="135" s="1"/>
  <c r="C505" i="139" s="1"/>
  <c r="C504" i="101"/>
  <c r="E543" i="101"/>
  <c r="D543" i="134" s="1"/>
  <c r="C545" i="135" s="1"/>
  <c r="C545" i="139" s="1"/>
  <c r="B552" i="101"/>
  <c r="B553" i="139"/>
  <c r="B551" i="134"/>
  <c r="B553" i="135"/>
  <c r="B103" i="135"/>
  <c r="B102" i="101"/>
  <c r="B101" i="134"/>
  <c r="B103" i="139"/>
  <c r="A578" i="101"/>
  <c r="A577" i="134"/>
  <c r="A579" i="135"/>
  <c r="A579" i="139" s="1"/>
  <c r="B584" i="139"/>
  <c r="B582" i="134"/>
  <c r="B584" i="135"/>
  <c r="B583" i="101"/>
  <c r="F437" i="101"/>
  <c r="E437" i="101"/>
  <c r="D437" i="134" s="1"/>
  <c r="C439" i="135" s="1"/>
  <c r="C439" i="139" s="1"/>
  <c r="C438" i="101"/>
  <c r="B415" i="101"/>
  <c r="B416" i="139"/>
  <c r="B414" i="134"/>
  <c r="B416" i="135"/>
  <c r="C446" i="101"/>
  <c r="E436" i="134"/>
  <c r="D438" i="135" s="1"/>
  <c r="D438" i="139" s="1"/>
  <c r="AS436" i="101"/>
  <c r="AR436" i="101"/>
  <c r="A316" i="101"/>
  <c r="A317" i="135"/>
  <c r="A317" i="139" s="1"/>
  <c r="A315" i="134"/>
  <c r="A468" i="101"/>
  <c r="A467" i="134"/>
  <c r="A469" i="135"/>
  <c r="A469" i="139" s="1"/>
  <c r="A346" i="101"/>
  <c r="A345" i="134"/>
  <c r="A347" i="135"/>
  <c r="A347" i="139" s="1"/>
  <c r="A237" i="101"/>
  <c r="A236" i="134"/>
  <c r="A238" i="135"/>
  <c r="A238" i="139" s="1"/>
  <c r="B321" i="101"/>
  <c r="B322" i="139"/>
  <c r="B320" i="134"/>
  <c r="B322" i="135"/>
  <c r="A377" i="101"/>
  <c r="A376" i="134"/>
  <c r="A378" i="135"/>
  <c r="A378" i="139" s="1"/>
  <c r="A265" i="101"/>
  <c r="A264" i="134"/>
  <c r="A266" i="135"/>
  <c r="A266" i="139" s="1"/>
  <c r="E296" i="101"/>
  <c r="D296" i="134" s="1"/>
  <c r="C298" i="135" s="1"/>
  <c r="C298" i="139" s="1"/>
  <c r="C297" i="101"/>
  <c r="A408" i="101"/>
  <c r="A407" i="134"/>
  <c r="A409" i="135"/>
  <c r="A409" i="139" s="1"/>
  <c r="A211" i="101"/>
  <c r="A210" i="134"/>
  <c r="A212" i="135"/>
  <c r="A212" i="139" s="1"/>
  <c r="C35" i="101"/>
  <c r="A36" i="101"/>
  <c r="A35" i="134"/>
  <c r="A37" i="135"/>
  <c r="A37" i="139" s="1"/>
  <c r="B187" i="135"/>
  <c r="B187" i="139"/>
  <c r="B185" i="134"/>
  <c r="E127" i="101"/>
  <c r="D127" i="134" s="1"/>
  <c r="C129" i="135" s="1"/>
  <c r="C129" i="139" s="1"/>
  <c r="C128" i="101"/>
  <c r="B45" i="101"/>
  <c r="B46" i="139"/>
  <c r="B46" i="135"/>
  <c r="B44" i="134"/>
  <c r="G34" i="101"/>
  <c r="C34" i="134" s="1"/>
  <c r="E36" i="135" s="1"/>
  <c r="E36" i="139" s="1"/>
  <c r="E34" i="101"/>
  <c r="D34" i="134" s="1"/>
  <c r="C36" i="135" s="1"/>
  <c r="C36" i="139" s="1"/>
  <c r="F34" i="101"/>
  <c r="D34" i="101"/>
  <c r="A69" i="101"/>
  <c r="A68" i="134"/>
  <c r="A70" i="135"/>
  <c r="A70" i="139" s="1"/>
  <c r="B70" i="134"/>
  <c r="B72" i="135"/>
  <c r="B71" i="101"/>
  <c r="B72" i="139"/>
  <c r="A178" i="101"/>
  <c r="A177" i="134"/>
  <c r="A179" i="135"/>
  <c r="A179" i="139" s="1"/>
  <c r="A148" i="101"/>
  <c r="A147" i="134"/>
  <c r="A149" i="135"/>
  <c r="A149" i="139" s="1"/>
  <c r="A99" i="101"/>
  <c r="A98" i="134"/>
  <c r="A100" i="135"/>
  <c r="A100" i="139" s="1"/>
  <c r="AS33" i="101"/>
  <c r="AR33" i="101"/>
  <c r="E33" i="134"/>
  <c r="D35" i="135" s="1"/>
  <c r="D35" i="139" s="1"/>
  <c r="AK2" i="134"/>
  <c r="AC2" i="134"/>
  <c r="AD2" i="134"/>
  <c r="AE2" i="134"/>
  <c r="W2" i="134"/>
  <c r="X2" i="134"/>
  <c r="Y2" i="134"/>
  <c r="A630" i="135" l="1"/>
  <c r="A630" i="139" s="1"/>
  <c r="A628" i="134"/>
  <c r="E610" i="101"/>
  <c r="D610" i="134" s="1"/>
  <c r="C612" i="135" s="1"/>
  <c r="C612" i="139" s="1"/>
  <c r="C611" i="101"/>
  <c r="B446" i="134"/>
  <c r="B448" i="135"/>
  <c r="B447" i="101"/>
  <c r="B448" i="139"/>
  <c r="B270" i="101"/>
  <c r="B271" i="139"/>
  <c r="B269" i="134"/>
  <c r="B271" i="135"/>
  <c r="B244" i="101"/>
  <c r="B245" i="139"/>
  <c r="B243" i="134"/>
  <c r="B245" i="135"/>
  <c r="B352" i="135"/>
  <c r="B350" i="134"/>
  <c r="B352" i="139"/>
  <c r="B351" i="101"/>
  <c r="C545" i="101"/>
  <c r="A546" i="101"/>
  <c r="A545" i="134"/>
  <c r="A547" i="135"/>
  <c r="A547" i="139" s="1"/>
  <c r="B553" i="101"/>
  <c r="B554" i="139"/>
  <c r="B554" i="135"/>
  <c r="B552" i="134"/>
  <c r="E544" i="101"/>
  <c r="D544" i="134" s="1"/>
  <c r="C546" i="135" s="1"/>
  <c r="C546" i="139" s="1"/>
  <c r="A579" i="101"/>
  <c r="A578" i="134"/>
  <c r="A580" i="135"/>
  <c r="A580" i="139" s="1"/>
  <c r="B154" i="135"/>
  <c r="B153" i="101"/>
  <c r="B154" i="139"/>
  <c r="B152" i="134"/>
  <c r="B213" i="135"/>
  <c r="B211" i="134"/>
  <c r="B213" i="139"/>
  <c r="B212" i="101"/>
  <c r="B584" i="101"/>
  <c r="B585" i="139"/>
  <c r="B583" i="134"/>
  <c r="B585" i="135"/>
  <c r="B104" i="139"/>
  <c r="B102" i="134"/>
  <c r="B103" i="101"/>
  <c r="B104" i="135"/>
  <c r="A518" i="101"/>
  <c r="A517" i="134"/>
  <c r="A519" i="135"/>
  <c r="A519" i="139" s="1"/>
  <c r="E504" i="101"/>
  <c r="D504" i="134" s="1"/>
  <c r="C506" i="135" s="1"/>
  <c r="C506" i="139" s="1"/>
  <c r="C505" i="101"/>
  <c r="B523" i="101"/>
  <c r="B524" i="139"/>
  <c r="B522" i="134"/>
  <c r="B524" i="135"/>
  <c r="A409" i="101"/>
  <c r="A408" i="134"/>
  <c r="A410" i="135"/>
  <c r="A410" i="139" s="1"/>
  <c r="A266" i="101"/>
  <c r="A265" i="134"/>
  <c r="A267" i="135"/>
  <c r="A267" i="139" s="1"/>
  <c r="A238" i="101"/>
  <c r="A237" i="134"/>
  <c r="A239" i="135"/>
  <c r="A239" i="139" s="1"/>
  <c r="A317" i="101"/>
  <c r="A316" i="134"/>
  <c r="A318" i="135"/>
  <c r="A318" i="139" s="1"/>
  <c r="B416" i="101"/>
  <c r="B417" i="139"/>
  <c r="B415" i="134"/>
  <c r="B417" i="135"/>
  <c r="A378" i="101"/>
  <c r="A377" i="134"/>
  <c r="A379" i="135"/>
  <c r="A379" i="139" s="1"/>
  <c r="A347" i="101"/>
  <c r="A346" i="134"/>
  <c r="A348" i="135"/>
  <c r="A348" i="139" s="1"/>
  <c r="E297" i="101"/>
  <c r="D297" i="134" s="1"/>
  <c r="C299" i="135" s="1"/>
  <c r="C299" i="139" s="1"/>
  <c r="C298" i="101"/>
  <c r="C447" i="101"/>
  <c r="D438" i="134"/>
  <c r="C440" i="135" s="1"/>
  <c r="C440" i="139" s="1"/>
  <c r="F438" i="101"/>
  <c r="C439" i="101"/>
  <c r="A469" i="101"/>
  <c r="A470" i="135"/>
  <c r="A470" i="139" s="1"/>
  <c r="A468" i="134"/>
  <c r="AS437" i="101"/>
  <c r="E437" i="134"/>
  <c r="D439" i="135" s="1"/>
  <c r="D439" i="139" s="1"/>
  <c r="AR437" i="101"/>
  <c r="A212" i="101"/>
  <c r="A211" i="134"/>
  <c r="A213" i="135"/>
  <c r="A213" i="139" s="1"/>
  <c r="B322" i="101"/>
  <c r="B323" i="139"/>
  <c r="B321" i="134"/>
  <c r="B323" i="135"/>
  <c r="AS34" i="101"/>
  <c r="E34" i="134"/>
  <c r="D36" i="135" s="1"/>
  <c r="D36" i="139" s="1"/>
  <c r="AR34" i="101"/>
  <c r="B73" i="139"/>
  <c r="B72" i="101"/>
  <c r="B73" i="135"/>
  <c r="B71" i="134"/>
  <c r="A100" i="101"/>
  <c r="A99" i="134"/>
  <c r="A101" i="135"/>
  <c r="A101" i="139" s="1"/>
  <c r="A149" i="101"/>
  <c r="A150" i="135"/>
  <c r="A150" i="139" s="1"/>
  <c r="A148" i="134"/>
  <c r="A179" i="101"/>
  <c r="A178" i="134"/>
  <c r="A180" i="135"/>
  <c r="A180" i="139" s="1"/>
  <c r="A70" i="101"/>
  <c r="A71" i="135"/>
  <c r="A71" i="139" s="1"/>
  <c r="A69" i="134"/>
  <c r="B47" i="135"/>
  <c r="B45" i="134"/>
  <c r="B47" i="139"/>
  <c r="E128" i="101"/>
  <c r="D128" i="134" s="1"/>
  <c r="C130" i="135" s="1"/>
  <c r="C130" i="139" s="1"/>
  <c r="C129" i="101"/>
  <c r="C36" i="101"/>
  <c r="A37" i="101"/>
  <c r="A36" i="134"/>
  <c r="A38" i="135"/>
  <c r="A38" i="139" s="1"/>
  <c r="E35" i="101"/>
  <c r="D35" i="134" s="1"/>
  <c r="C37" i="135" s="1"/>
  <c r="C37" i="139" s="1"/>
  <c r="F35" i="101"/>
  <c r="G35" i="101"/>
  <c r="C35" i="134" s="1"/>
  <c r="E37" i="135" s="1"/>
  <c r="E37" i="139" s="1"/>
  <c r="D35" i="101"/>
  <c r="F26" i="155"/>
  <c r="G26" i="155"/>
  <c r="H26" i="155"/>
  <c r="I26" i="155"/>
  <c r="J26" i="155"/>
  <c r="K26" i="155"/>
  <c r="G49" i="150" s="1"/>
  <c r="L26" i="155"/>
  <c r="G51" i="150" s="1"/>
  <c r="M26" i="155"/>
  <c r="N26" i="155"/>
  <c r="O26" i="155"/>
  <c r="P26" i="155"/>
  <c r="G50" i="150" s="1"/>
  <c r="Q26" i="155"/>
  <c r="G52" i="150" s="1"/>
  <c r="R26" i="155"/>
  <c r="S26" i="155"/>
  <c r="T26" i="155"/>
  <c r="U26" i="155"/>
  <c r="V26" i="155"/>
  <c r="W26" i="155"/>
  <c r="X26" i="155"/>
  <c r="Y26" i="155"/>
  <c r="Z26" i="155"/>
  <c r="AA26" i="155"/>
  <c r="AB26" i="155"/>
  <c r="AC26" i="155"/>
  <c r="AD26" i="155"/>
  <c r="AE26" i="155"/>
  <c r="AF26" i="155"/>
  <c r="AG26" i="155"/>
  <c r="AH26" i="155"/>
  <c r="E26" i="155"/>
  <c r="F11" i="155"/>
  <c r="G11" i="155"/>
  <c r="H11" i="155"/>
  <c r="I11" i="155"/>
  <c r="J11" i="155"/>
  <c r="K11" i="155"/>
  <c r="G39" i="150" s="1"/>
  <c r="L11" i="155"/>
  <c r="G41" i="150" s="1"/>
  <c r="M11" i="155"/>
  <c r="N11" i="155"/>
  <c r="O11" i="155"/>
  <c r="P11" i="155"/>
  <c r="G40" i="150" s="1"/>
  <c r="Q11" i="155"/>
  <c r="G42" i="150" s="1"/>
  <c r="R11" i="155"/>
  <c r="S11" i="155"/>
  <c r="T11" i="155"/>
  <c r="U11" i="155"/>
  <c r="V11" i="155"/>
  <c r="W11" i="155"/>
  <c r="X11" i="155"/>
  <c r="Y11" i="155"/>
  <c r="Z11" i="155"/>
  <c r="AA11" i="155"/>
  <c r="AB11" i="155"/>
  <c r="AC11" i="155"/>
  <c r="AD11" i="155"/>
  <c r="AE11" i="155"/>
  <c r="AF11" i="155"/>
  <c r="AG11" i="155"/>
  <c r="AH11" i="155"/>
  <c r="E11" i="155"/>
  <c r="F26" i="150"/>
  <c r="G26" i="150"/>
  <c r="H26" i="150"/>
  <c r="I26" i="150"/>
  <c r="J26" i="150"/>
  <c r="K26" i="150"/>
  <c r="G44" i="150" s="1"/>
  <c r="L26" i="150"/>
  <c r="G46" i="150" s="1"/>
  <c r="M26" i="150"/>
  <c r="N26" i="150"/>
  <c r="O26" i="150"/>
  <c r="P26" i="150"/>
  <c r="G45" i="150" s="1"/>
  <c r="Q26" i="150"/>
  <c r="G47" i="150" s="1"/>
  <c r="R26" i="150"/>
  <c r="S26" i="150"/>
  <c r="T26" i="150"/>
  <c r="U26" i="150"/>
  <c r="V26" i="150"/>
  <c r="W26" i="150"/>
  <c r="X26" i="150"/>
  <c r="Y26" i="150"/>
  <c r="Z26" i="150"/>
  <c r="AA26" i="150"/>
  <c r="AB26" i="150"/>
  <c r="AC26" i="150"/>
  <c r="AD26" i="150"/>
  <c r="AE26" i="150"/>
  <c r="AF26" i="150"/>
  <c r="AG26" i="150"/>
  <c r="AH26" i="150"/>
  <c r="E26" i="150"/>
  <c r="F11" i="150"/>
  <c r="G11" i="150"/>
  <c r="H11" i="150"/>
  <c r="I11" i="150"/>
  <c r="J11" i="150"/>
  <c r="K11" i="150"/>
  <c r="G34" i="150" s="1"/>
  <c r="L11" i="150"/>
  <c r="G36" i="150" s="1"/>
  <c r="M11" i="150"/>
  <c r="N11" i="150"/>
  <c r="O11" i="150"/>
  <c r="P11" i="150"/>
  <c r="G35" i="150" s="1"/>
  <c r="Q11" i="150"/>
  <c r="G37" i="150" s="1"/>
  <c r="R11" i="150"/>
  <c r="S11" i="150"/>
  <c r="T11" i="150"/>
  <c r="U11" i="150"/>
  <c r="V11" i="150"/>
  <c r="W11" i="150"/>
  <c r="X11" i="150"/>
  <c r="Y11" i="150"/>
  <c r="Z11" i="150"/>
  <c r="AA11" i="150"/>
  <c r="AB11" i="150"/>
  <c r="AC11" i="150"/>
  <c r="AD11" i="150"/>
  <c r="AE11" i="150"/>
  <c r="AF11" i="150"/>
  <c r="AG11" i="150"/>
  <c r="AH11" i="150"/>
  <c r="E11" i="150"/>
  <c r="AH960" i="154"/>
  <c r="AI960" i="154" s="1"/>
  <c r="AA960" i="154"/>
  <c r="AB960" i="154" s="1"/>
  <c r="V960" i="154"/>
  <c r="Q960" i="154"/>
  <c r="P960" i="154"/>
  <c r="O960" i="154"/>
  <c r="N960" i="154"/>
  <c r="M960" i="154"/>
  <c r="L960" i="154"/>
  <c r="E960" i="154"/>
  <c r="AH959" i="154"/>
  <c r="AI959" i="154" s="1"/>
  <c r="AA959" i="154"/>
  <c r="AB959" i="154" s="1"/>
  <c r="V959" i="154"/>
  <c r="W959" i="154" s="1"/>
  <c r="Q959" i="154"/>
  <c r="P959" i="154"/>
  <c r="O959" i="154"/>
  <c r="N959" i="154"/>
  <c r="M959" i="154"/>
  <c r="L959" i="154"/>
  <c r="E959" i="154"/>
  <c r="AH958" i="154"/>
  <c r="AI958" i="154" s="1"/>
  <c r="AA958" i="154"/>
  <c r="AB958" i="154" s="1"/>
  <c r="V958" i="154"/>
  <c r="W958" i="154" s="1"/>
  <c r="Q958" i="154"/>
  <c r="P958" i="154"/>
  <c r="O958" i="154"/>
  <c r="N958" i="154"/>
  <c r="M958" i="154"/>
  <c r="L958" i="154"/>
  <c r="E958" i="154"/>
  <c r="AH957" i="154"/>
  <c r="AI957" i="154" s="1"/>
  <c r="AA957" i="154"/>
  <c r="AB957" i="154" s="1"/>
  <c r="V957" i="154"/>
  <c r="AC957" i="154" s="1"/>
  <c r="AD957" i="154" s="1"/>
  <c r="Q957" i="154"/>
  <c r="P957" i="154"/>
  <c r="O957" i="154"/>
  <c r="N957" i="154"/>
  <c r="M957" i="154"/>
  <c r="L957" i="154"/>
  <c r="E957" i="154"/>
  <c r="AH956" i="154"/>
  <c r="AI956" i="154" s="1"/>
  <c r="AA956" i="154"/>
  <c r="AB956" i="154" s="1"/>
  <c r="V956" i="154"/>
  <c r="W956" i="154" s="1"/>
  <c r="Q956" i="154"/>
  <c r="P956" i="154"/>
  <c r="O956" i="154"/>
  <c r="N956" i="154"/>
  <c r="M956" i="154"/>
  <c r="L956" i="154"/>
  <c r="E956" i="154"/>
  <c r="AH955" i="154"/>
  <c r="AI955" i="154" s="1"/>
  <c r="AA955" i="154"/>
  <c r="AB955" i="154" s="1"/>
  <c r="V955" i="154"/>
  <c r="W955" i="154" s="1"/>
  <c r="Q955" i="154"/>
  <c r="P955" i="154"/>
  <c r="O955" i="154"/>
  <c r="N955" i="154"/>
  <c r="M955" i="154"/>
  <c r="L955" i="154"/>
  <c r="E955" i="154"/>
  <c r="AH954" i="154"/>
  <c r="AI954" i="154" s="1"/>
  <c r="AA954" i="154"/>
  <c r="AB954" i="154" s="1"/>
  <c r="V954" i="154"/>
  <c r="W954" i="154" s="1"/>
  <c r="Q954" i="154"/>
  <c r="P954" i="154"/>
  <c r="O954" i="154"/>
  <c r="N954" i="154"/>
  <c r="M954" i="154"/>
  <c r="L954" i="154"/>
  <c r="E954" i="154"/>
  <c r="AH953" i="154"/>
  <c r="AI953" i="154" s="1"/>
  <c r="AA953" i="154"/>
  <c r="AB953" i="154" s="1"/>
  <c r="V953" i="154"/>
  <c r="Q953" i="154"/>
  <c r="P953" i="154"/>
  <c r="O953" i="154"/>
  <c r="N953" i="154"/>
  <c r="M953" i="154"/>
  <c r="L953" i="154"/>
  <c r="E953" i="154"/>
  <c r="AH952" i="154"/>
  <c r="AI952" i="154" s="1"/>
  <c r="AA952" i="154"/>
  <c r="AB952" i="154" s="1"/>
  <c r="V952" i="154"/>
  <c r="Q952" i="154"/>
  <c r="P952" i="154"/>
  <c r="O952" i="154"/>
  <c r="N952" i="154"/>
  <c r="M952" i="154"/>
  <c r="L952" i="154"/>
  <c r="E952" i="154"/>
  <c r="AH951" i="154"/>
  <c r="AI951" i="154" s="1"/>
  <c r="AA951" i="154"/>
  <c r="AB951" i="154" s="1"/>
  <c r="V951" i="154"/>
  <c r="W951" i="154" s="1"/>
  <c r="Q951" i="154"/>
  <c r="P951" i="154"/>
  <c r="O951" i="154"/>
  <c r="N951" i="154"/>
  <c r="M951" i="154"/>
  <c r="L951" i="154"/>
  <c r="E951" i="154"/>
  <c r="AH950" i="154"/>
  <c r="AI950" i="154" s="1"/>
  <c r="AA950" i="154"/>
  <c r="AB950" i="154" s="1"/>
  <c r="V950" i="154"/>
  <c r="W950" i="154" s="1"/>
  <c r="Q950" i="154"/>
  <c r="P950" i="154"/>
  <c r="O950" i="154"/>
  <c r="N950" i="154"/>
  <c r="M950" i="154"/>
  <c r="L950" i="154"/>
  <c r="E950" i="154"/>
  <c r="AH949" i="154"/>
  <c r="AI949" i="154" s="1"/>
  <c r="AA949" i="154"/>
  <c r="AB949" i="154" s="1"/>
  <c r="V949" i="154"/>
  <c r="Q949" i="154"/>
  <c r="P949" i="154"/>
  <c r="O949" i="154"/>
  <c r="N949" i="154"/>
  <c r="M949" i="154"/>
  <c r="L949" i="154"/>
  <c r="E949" i="154"/>
  <c r="AH948" i="154"/>
  <c r="AI948" i="154" s="1"/>
  <c r="AA948" i="154"/>
  <c r="AB948" i="154" s="1"/>
  <c r="V948" i="154"/>
  <c r="Q948" i="154"/>
  <c r="P948" i="154"/>
  <c r="O948" i="154"/>
  <c r="N948" i="154"/>
  <c r="M948" i="154"/>
  <c r="L948" i="154"/>
  <c r="E948" i="154"/>
  <c r="AH947" i="154"/>
  <c r="AI947" i="154" s="1"/>
  <c r="AA947" i="154"/>
  <c r="AB947" i="154" s="1"/>
  <c r="V947" i="154"/>
  <c r="W947" i="154" s="1"/>
  <c r="Q947" i="154"/>
  <c r="P947" i="154"/>
  <c r="O947" i="154"/>
  <c r="N947" i="154"/>
  <c r="M947" i="154"/>
  <c r="L947" i="154"/>
  <c r="E947" i="154"/>
  <c r="AH946" i="154"/>
  <c r="AI946" i="154" s="1"/>
  <c r="AA946" i="154"/>
  <c r="AB946" i="154" s="1"/>
  <c r="V946" i="154"/>
  <c r="W946" i="154" s="1"/>
  <c r="Q946" i="154"/>
  <c r="P946" i="154"/>
  <c r="O946" i="154"/>
  <c r="N946" i="154"/>
  <c r="M946" i="154"/>
  <c r="L946" i="154"/>
  <c r="E946" i="154"/>
  <c r="AH945" i="154"/>
  <c r="AI945" i="154" s="1"/>
  <c r="AA945" i="154"/>
  <c r="AB945" i="154" s="1"/>
  <c r="V945" i="154"/>
  <c r="Q945" i="154"/>
  <c r="P945" i="154"/>
  <c r="O945" i="154"/>
  <c r="N945" i="154"/>
  <c r="M945" i="154"/>
  <c r="L945" i="154"/>
  <c r="E945" i="154"/>
  <c r="AH944" i="154"/>
  <c r="AI944" i="154" s="1"/>
  <c r="AA944" i="154"/>
  <c r="AB944" i="154" s="1"/>
  <c r="V944" i="154"/>
  <c r="Q944" i="154"/>
  <c r="P944" i="154"/>
  <c r="O944" i="154"/>
  <c r="N944" i="154"/>
  <c r="M944" i="154"/>
  <c r="L944" i="154"/>
  <c r="E944" i="154"/>
  <c r="AH943" i="154"/>
  <c r="AI943" i="154" s="1"/>
  <c r="AA943" i="154"/>
  <c r="AB943" i="154" s="1"/>
  <c r="V943" i="154"/>
  <c r="W943" i="154" s="1"/>
  <c r="Q943" i="154"/>
  <c r="P943" i="154"/>
  <c r="O943" i="154"/>
  <c r="N943" i="154"/>
  <c r="M943" i="154"/>
  <c r="L943" i="154"/>
  <c r="E943" i="154"/>
  <c r="AH942" i="154"/>
  <c r="AI942" i="154" s="1"/>
  <c r="AA942" i="154"/>
  <c r="AB942" i="154" s="1"/>
  <c r="V942" i="154"/>
  <c r="W942" i="154" s="1"/>
  <c r="Q942" i="154"/>
  <c r="P942" i="154"/>
  <c r="O942" i="154"/>
  <c r="N942" i="154"/>
  <c r="M942" i="154"/>
  <c r="L942" i="154"/>
  <c r="E942" i="154"/>
  <c r="AH941" i="154"/>
  <c r="AI941" i="154" s="1"/>
  <c r="AA941" i="154"/>
  <c r="AB941" i="154" s="1"/>
  <c r="V941" i="154"/>
  <c r="AC941" i="154" s="1"/>
  <c r="AD941" i="154" s="1"/>
  <c r="Q941" i="154"/>
  <c r="P941" i="154"/>
  <c r="O941" i="154"/>
  <c r="N941" i="154"/>
  <c r="M941" i="154"/>
  <c r="L941" i="154"/>
  <c r="E941" i="154"/>
  <c r="AH940" i="154"/>
  <c r="AI940" i="154" s="1"/>
  <c r="AA940" i="154"/>
  <c r="AB940" i="154" s="1"/>
  <c r="V940" i="154"/>
  <c r="W940" i="154" s="1"/>
  <c r="Q940" i="154"/>
  <c r="P940" i="154"/>
  <c r="O940" i="154"/>
  <c r="N940" i="154"/>
  <c r="M940" i="154"/>
  <c r="L940" i="154"/>
  <c r="E940" i="154"/>
  <c r="AH939" i="154"/>
  <c r="AI939" i="154" s="1"/>
  <c r="AA939" i="154"/>
  <c r="AB939" i="154" s="1"/>
  <c r="V939" i="154"/>
  <c r="W939" i="154" s="1"/>
  <c r="Q939" i="154"/>
  <c r="P939" i="154"/>
  <c r="O939" i="154"/>
  <c r="N939" i="154"/>
  <c r="M939" i="154"/>
  <c r="L939" i="154"/>
  <c r="E939" i="154"/>
  <c r="AH938" i="154"/>
  <c r="AI938" i="154" s="1"/>
  <c r="AA938" i="154"/>
  <c r="AB938" i="154" s="1"/>
  <c r="V938" i="154"/>
  <c r="W938" i="154" s="1"/>
  <c r="Q938" i="154"/>
  <c r="P938" i="154"/>
  <c r="O938" i="154"/>
  <c r="N938" i="154"/>
  <c r="M938" i="154"/>
  <c r="L938" i="154"/>
  <c r="E938" i="154"/>
  <c r="AH937" i="154"/>
  <c r="AI937" i="154" s="1"/>
  <c r="AA937" i="154"/>
  <c r="AB937" i="154" s="1"/>
  <c r="V937" i="154"/>
  <c r="Q937" i="154"/>
  <c r="P937" i="154"/>
  <c r="O937" i="154"/>
  <c r="N937" i="154"/>
  <c r="M937" i="154"/>
  <c r="L937" i="154"/>
  <c r="E937" i="154"/>
  <c r="AH936" i="154"/>
  <c r="AI936" i="154" s="1"/>
  <c r="AA936" i="154"/>
  <c r="AB936" i="154" s="1"/>
  <c r="V936" i="154"/>
  <c r="Q936" i="154"/>
  <c r="P936" i="154"/>
  <c r="O936" i="154"/>
  <c r="N936" i="154"/>
  <c r="M936" i="154"/>
  <c r="L936" i="154"/>
  <c r="E936" i="154"/>
  <c r="AH935" i="154"/>
  <c r="AI935" i="154" s="1"/>
  <c r="AA935" i="154"/>
  <c r="AB935" i="154" s="1"/>
  <c r="V935" i="154"/>
  <c r="W935" i="154" s="1"/>
  <c r="Q935" i="154"/>
  <c r="P935" i="154"/>
  <c r="O935" i="154"/>
  <c r="N935" i="154"/>
  <c r="M935" i="154"/>
  <c r="L935" i="154"/>
  <c r="E935" i="154"/>
  <c r="AH934" i="154"/>
  <c r="AI934" i="154" s="1"/>
  <c r="AA934" i="154"/>
  <c r="AB934" i="154" s="1"/>
  <c r="V934" i="154"/>
  <c r="W934" i="154" s="1"/>
  <c r="Q934" i="154"/>
  <c r="P934" i="154"/>
  <c r="O934" i="154"/>
  <c r="N934" i="154"/>
  <c r="M934" i="154"/>
  <c r="L934" i="154"/>
  <c r="E934" i="154"/>
  <c r="AH933" i="154"/>
  <c r="AI933" i="154" s="1"/>
  <c r="AA933" i="154"/>
  <c r="AB933" i="154" s="1"/>
  <c r="V933" i="154"/>
  <c r="Q933" i="154"/>
  <c r="P933" i="154"/>
  <c r="O933" i="154"/>
  <c r="N933" i="154"/>
  <c r="M933" i="154"/>
  <c r="L933" i="154"/>
  <c r="E933" i="154"/>
  <c r="AH932" i="154"/>
  <c r="AI932" i="154" s="1"/>
  <c r="AA932" i="154"/>
  <c r="AB932" i="154" s="1"/>
  <c r="V932" i="154"/>
  <c r="Q932" i="154"/>
  <c r="P932" i="154"/>
  <c r="O932" i="154"/>
  <c r="N932" i="154"/>
  <c r="M932" i="154"/>
  <c r="L932" i="154"/>
  <c r="E932" i="154"/>
  <c r="AH931" i="154"/>
  <c r="AI931" i="154" s="1"/>
  <c r="AA931" i="154"/>
  <c r="AB931" i="154" s="1"/>
  <c r="V931" i="154"/>
  <c r="W931" i="154" s="1"/>
  <c r="Q931" i="154"/>
  <c r="P931" i="154"/>
  <c r="O931" i="154"/>
  <c r="N931" i="154"/>
  <c r="M931" i="154"/>
  <c r="L931" i="154"/>
  <c r="E931" i="154"/>
  <c r="AH930" i="154"/>
  <c r="AI930" i="154" s="1"/>
  <c r="AA930" i="154"/>
  <c r="AB930" i="154" s="1"/>
  <c r="V930" i="154"/>
  <c r="W930" i="154" s="1"/>
  <c r="Q930" i="154"/>
  <c r="P930" i="154"/>
  <c r="O930" i="154"/>
  <c r="N930" i="154"/>
  <c r="M930" i="154"/>
  <c r="L930" i="154"/>
  <c r="E930" i="154"/>
  <c r="AH929" i="154"/>
  <c r="AI929" i="154" s="1"/>
  <c r="AA929" i="154"/>
  <c r="AB929" i="154" s="1"/>
  <c r="V929" i="154"/>
  <c r="Q929" i="154"/>
  <c r="P929" i="154"/>
  <c r="O929" i="154"/>
  <c r="N929" i="154"/>
  <c r="M929" i="154"/>
  <c r="L929" i="154"/>
  <c r="E929" i="154"/>
  <c r="AH928" i="154"/>
  <c r="AI928" i="154" s="1"/>
  <c r="AA928" i="154"/>
  <c r="AB928" i="154" s="1"/>
  <c r="V928" i="154"/>
  <c r="Q928" i="154"/>
  <c r="P928" i="154"/>
  <c r="O928" i="154"/>
  <c r="N928" i="154"/>
  <c r="M928" i="154"/>
  <c r="L928" i="154"/>
  <c r="E928" i="154"/>
  <c r="AH927" i="154"/>
  <c r="AI927" i="154" s="1"/>
  <c r="AA927" i="154"/>
  <c r="AB927" i="154" s="1"/>
  <c r="V927" i="154"/>
  <c r="W927" i="154" s="1"/>
  <c r="Q927" i="154"/>
  <c r="P927" i="154"/>
  <c r="O927" i="154"/>
  <c r="N927" i="154"/>
  <c r="M927" i="154"/>
  <c r="L927" i="154"/>
  <c r="E927" i="154"/>
  <c r="AH926" i="154"/>
  <c r="AI926" i="154" s="1"/>
  <c r="AA926" i="154"/>
  <c r="AB926" i="154" s="1"/>
  <c r="V926" i="154"/>
  <c r="W926" i="154" s="1"/>
  <c r="Q926" i="154"/>
  <c r="P926" i="154"/>
  <c r="O926" i="154"/>
  <c r="N926" i="154"/>
  <c r="M926" i="154"/>
  <c r="L926" i="154"/>
  <c r="E926" i="154"/>
  <c r="AH925" i="154"/>
  <c r="AI925" i="154" s="1"/>
  <c r="AA925" i="154"/>
  <c r="AB925" i="154" s="1"/>
  <c r="V925" i="154"/>
  <c r="Q925" i="154"/>
  <c r="P925" i="154"/>
  <c r="O925" i="154"/>
  <c r="N925" i="154"/>
  <c r="M925" i="154"/>
  <c r="L925" i="154"/>
  <c r="E925" i="154"/>
  <c r="AH924" i="154"/>
  <c r="AI924" i="154" s="1"/>
  <c r="AA924" i="154"/>
  <c r="AB924" i="154" s="1"/>
  <c r="V924" i="154"/>
  <c r="W924" i="154" s="1"/>
  <c r="Q924" i="154"/>
  <c r="P924" i="154"/>
  <c r="O924" i="154"/>
  <c r="N924" i="154"/>
  <c r="M924" i="154"/>
  <c r="L924" i="154"/>
  <c r="E924" i="154"/>
  <c r="AH923" i="154"/>
  <c r="AI923" i="154" s="1"/>
  <c r="AA923" i="154"/>
  <c r="AB923" i="154" s="1"/>
  <c r="V923" i="154"/>
  <c r="W923" i="154" s="1"/>
  <c r="Q923" i="154"/>
  <c r="P923" i="154"/>
  <c r="O923" i="154"/>
  <c r="N923" i="154"/>
  <c r="M923" i="154"/>
  <c r="L923" i="154"/>
  <c r="E923" i="154"/>
  <c r="AH922" i="154"/>
  <c r="AI922" i="154" s="1"/>
  <c r="AA922" i="154"/>
  <c r="AB922" i="154" s="1"/>
  <c r="V922" i="154"/>
  <c r="W922" i="154" s="1"/>
  <c r="Q922" i="154"/>
  <c r="P922" i="154"/>
  <c r="O922" i="154"/>
  <c r="N922" i="154"/>
  <c r="M922" i="154"/>
  <c r="L922" i="154"/>
  <c r="E922" i="154"/>
  <c r="AH921" i="154"/>
  <c r="AI921" i="154" s="1"/>
  <c r="AA921" i="154"/>
  <c r="AB921" i="154" s="1"/>
  <c r="V921" i="154"/>
  <c r="Q921" i="154"/>
  <c r="P921" i="154"/>
  <c r="O921" i="154"/>
  <c r="N921" i="154"/>
  <c r="M921" i="154"/>
  <c r="L921" i="154"/>
  <c r="E921" i="154"/>
  <c r="AH920" i="154"/>
  <c r="AI920" i="154" s="1"/>
  <c r="AA920" i="154"/>
  <c r="AB920" i="154" s="1"/>
  <c r="V920" i="154"/>
  <c r="Q920" i="154"/>
  <c r="P920" i="154"/>
  <c r="O920" i="154"/>
  <c r="N920" i="154"/>
  <c r="M920" i="154"/>
  <c r="L920" i="154"/>
  <c r="E920" i="154"/>
  <c r="AH919" i="154"/>
  <c r="AI919" i="154" s="1"/>
  <c r="AA919" i="154"/>
  <c r="AB919" i="154" s="1"/>
  <c r="V919" i="154"/>
  <c r="W919" i="154" s="1"/>
  <c r="Q919" i="154"/>
  <c r="P919" i="154"/>
  <c r="O919" i="154"/>
  <c r="N919" i="154"/>
  <c r="M919" i="154"/>
  <c r="L919" i="154"/>
  <c r="E919" i="154"/>
  <c r="AH918" i="154"/>
  <c r="AI918" i="154" s="1"/>
  <c r="AA918" i="154"/>
  <c r="AB918" i="154" s="1"/>
  <c r="V918" i="154"/>
  <c r="W918" i="154" s="1"/>
  <c r="Q918" i="154"/>
  <c r="P918" i="154"/>
  <c r="O918" i="154"/>
  <c r="N918" i="154"/>
  <c r="M918" i="154"/>
  <c r="L918" i="154"/>
  <c r="E918" i="154"/>
  <c r="AH917" i="154"/>
  <c r="AI917" i="154" s="1"/>
  <c r="AA917" i="154"/>
  <c r="AB917" i="154" s="1"/>
  <c r="V917" i="154"/>
  <c r="AC917" i="154" s="1"/>
  <c r="AD917" i="154" s="1"/>
  <c r="Q917" i="154"/>
  <c r="P917" i="154"/>
  <c r="O917" i="154"/>
  <c r="N917" i="154"/>
  <c r="M917" i="154"/>
  <c r="L917" i="154"/>
  <c r="E917" i="154"/>
  <c r="AH916" i="154"/>
  <c r="AI916" i="154" s="1"/>
  <c r="AA916" i="154"/>
  <c r="AB916" i="154" s="1"/>
  <c r="V916" i="154"/>
  <c r="Q916" i="154"/>
  <c r="P916" i="154"/>
  <c r="O916" i="154"/>
  <c r="N916" i="154"/>
  <c r="M916" i="154"/>
  <c r="L916" i="154"/>
  <c r="E916" i="154"/>
  <c r="AH915" i="154"/>
  <c r="AI915" i="154" s="1"/>
  <c r="AA915" i="154"/>
  <c r="AB915" i="154" s="1"/>
  <c r="V915" i="154"/>
  <c r="W915" i="154" s="1"/>
  <c r="Q915" i="154"/>
  <c r="P915" i="154"/>
  <c r="O915" i="154"/>
  <c r="N915" i="154"/>
  <c r="M915" i="154"/>
  <c r="L915" i="154"/>
  <c r="E915" i="154"/>
  <c r="AH914" i="154"/>
  <c r="AI914" i="154" s="1"/>
  <c r="AA914" i="154"/>
  <c r="AB914" i="154" s="1"/>
  <c r="V914" i="154"/>
  <c r="W914" i="154" s="1"/>
  <c r="Q914" i="154"/>
  <c r="P914" i="154"/>
  <c r="O914" i="154"/>
  <c r="N914" i="154"/>
  <c r="M914" i="154"/>
  <c r="L914" i="154"/>
  <c r="E914" i="154"/>
  <c r="AH913" i="154"/>
  <c r="AI913" i="154" s="1"/>
  <c r="AA913" i="154"/>
  <c r="AB913" i="154" s="1"/>
  <c r="V913" i="154"/>
  <c r="AC913" i="154" s="1"/>
  <c r="AD913" i="154" s="1"/>
  <c r="Q913" i="154"/>
  <c r="P913" i="154"/>
  <c r="O913" i="154"/>
  <c r="N913" i="154"/>
  <c r="M913" i="154"/>
  <c r="L913" i="154"/>
  <c r="E913" i="154"/>
  <c r="AH912" i="154"/>
  <c r="AI912" i="154" s="1"/>
  <c r="AA912" i="154"/>
  <c r="AB912" i="154" s="1"/>
  <c r="V912" i="154"/>
  <c r="Q912" i="154"/>
  <c r="P912" i="154"/>
  <c r="O912" i="154"/>
  <c r="N912" i="154"/>
  <c r="M912" i="154"/>
  <c r="L912" i="154"/>
  <c r="E912" i="154"/>
  <c r="AH911" i="154"/>
  <c r="AI911" i="154" s="1"/>
  <c r="AA911" i="154"/>
  <c r="AB911" i="154" s="1"/>
  <c r="V911" i="154"/>
  <c r="W911" i="154" s="1"/>
  <c r="Q911" i="154"/>
  <c r="P911" i="154"/>
  <c r="O911" i="154"/>
  <c r="N911" i="154"/>
  <c r="M911" i="154"/>
  <c r="L911" i="154"/>
  <c r="E911" i="154"/>
  <c r="AH910" i="154"/>
  <c r="AI910" i="154" s="1"/>
  <c r="AA910" i="154"/>
  <c r="AB910" i="154" s="1"/>
  <c r="V910" i="154"/>
  <c r="W910" i="154" s="1"/>
  <c r="Q910" i="154"/>
  <c r="P910" i="154"/>
  <c r="O910" i="154"/>
  <c r="N910" i="154"/>
  <c r="M910" i="154"/>
  <c r="L910" i="154"/>
  <c r="E910" i="154"/>
  <c r="AH909" i="154"/>
  <c r="AI909" i="154" s="1"/>
  <c r="AA909" i="154"/>
  <c r="AB909" i="154" s="1"/>
  <c r="V909" i="154"/>
  <c r="Q909" i="154"/>
  <c r="P909" i="154"/>
  <c r="O909" i="154"/>
  <c r="N909" i="154"/>
  <c r="M909" i="154"/>
  <c r="L909" i="154"/>
  <c r="E909" i="154"/>
  <c r="AH908" i="154"/>
  <c r="AI908" i="154" s="1"/>
  <c r="AA908" i="154"/>
  <c r="AB908" i="154" s="1"/>
  <c r="W908" i="154"/>
  <c r="V908" i="154"/>
  <c r="Q908" i="154"/>
  <c r="P908" i="154"/>
  <c r="O908" i="154"/>
  <c r="N908" i="154"/>
  <c r="M908" i="154"/>
  <c r="L908" i="154"/>
  <c r="E908" i="154"/>
  <c r="AH907" i="154"/>
  <c r="AI907" i="154" s="1"/>
  <c r="AA907" i="154"/>
  <c r="AB907" i="154" s="1"/>
  <c r="V907" i="154"/>
  <c r="W907" i="154" s="1"/>
  <c r="Q907" i="154"/>
  <c r="P907" i="154"/>
  <c r="O907" i="154"/>
  <c r="N907" i="154"/>
  <c r="M907" i="154"/>
  <c r="L907" i="154"/>
  <c r="E907" i="154"/>
  <c r="AH906" i="154"/>
  <c r="AI906" i="154" s="1"/>
  <c r="AA906" i="154"/>
  <c r="AB906" i="154" s="1"/>
  <c r="V906" i="154"/>
  <c r="W906" i="154" s="1"/>
  <c r="Q906" i="154"/>
  <c r="P906" i="154"/>
  <c r="O906" i="154"/>
  <c r="N906" i="154"/>
  <c r="M906" i="154"/>
  <c r="L906" i="154"/>
  <c r="E906" i="154"/>
  <c r="AH905" i="154"/>
  <c r="AI905" i="154" s="1"/>
  <c r="AA905" i="154"/>
  <c r="AB905" i="154" s="1"/>
  <c r="V905" i="154"/>
  <c r="Q905" i="154"/>
  <c r="P905" i="154"/>
  <c r="O905" i="154"/>
  <c r="N905" i="154"/>
  <c r="M905" i="154"/>
  <c r="L905" i="154"/>
  <c r="E905" i="154"/>
  <c r="AH904" i="154"/>
  <c r="AI904" i="154" s="1"/>
  <c r="AA904" i="154"/>
  <c r="AB904" i="154" s="1"/>
  <c r="V904" i="154"/>
  <c r="Q904" i="154"/>
  <c r="P904" i="154"/>
  <c r="O904" i="154"/>
  <c r="N904" i="154"/>
  <c r="M904" i="154"/>
  <c r="L904" i="154"/>
  <c r="E904" i="154"/>
  <c r="AH903" i="154"/>
  <c r="AI903" i="154" s="1"/>
  <c r="AA903" i="154"/>
  <c r="AB903" i="154" s="1"/>
  <c r="V903" i="154"/>
  <c r="W903" i="154" s="1"/>
  <c r="Q903" i="154"/>
  <c r="P903" i="154"/>
  <c r="O903" i="154"/>
  <c r="N903" i="154"/>
  <c r="M903" i="154"/>
  <c r="L903" i="154"/>
  <c r="E903" i="154"/>
  <c r="AH902" i="154"/>
  <c r="AI902" i="154" s="1"/>
  <c r="AA902" i="154"/>
  <c r="AB902" i="154" s="1"/>
  <c r="V902" i="154"/>
  <c r="W902" i="154" s="1"/>
  <c r="Q902" i="154"/>
  <c r="P902" i="154"/>
  <c r="O902" i="154"/>
  <c r="N902" i="154"/>
  <c r="M902" i="154"/>
  <c r="L902" i="154"/>
  <c r="E902" i="154"/>
  <c r="AH901" i="154"/>
  <c r="AI901" i="154" s="1"/>
  <c r="AA901" i="154"/>
  <c r="AB901" i="154" s="1"/>
  <c r="V901" i="154"/>
  <c r="Q901" i="154"/>
  <c r="P901" i="154"/>
  <c r="O901" i="154"/>
  <c r="N901" i="154"/>
  <c r="M901" i="154"/>
  <c r="L901" i="154"/>
  <c r="E901" i="154"/>
  <c r="AH900" i="154"/>
  <c r="AI900" i="154" s="1"/>
  <c r="AA900" i="154"/>
  <c r="AB900" i="154" s="1"/>
  <c r="V900" i="154"/>
  <c r="Q900" i="154"/>
  <c r="P900" i="154"/>
  <c r="O900" i="154"/>
  <c r="N900" i="154"/>
  <c r="M900" i="154"/>
  <c r="L900" i="154"/>
  <c r="E900" i="154"/>
  <c r="AH899" i="154"/>
  <c r="AI899" i="154" s="1"/>
  <c r="AA899" i="154"/>
  <c r="AB899" i="154" s="1"/>
  <c r="V899" i="154"/>
  <c r="W899" i="154" s="1"/>
  <c r="Q899" i="154"/>
  <c r="P899" i="154"/>
  <c r="O899" i="154"/>
  <c r="N899" i="154"/>
  <c r="M899" i="154"/>
  <c r="L899" i="154"/>
  <c r="E899" i="154"/>
  <c r="AH898" i="154"/>
  <c r="AI898" i="154" s="1"/>
  <c r="AA898" i="154"/>
  <c r="AB898" i="154" s="1"/>
  <c r="V898" i="154"/>
  <c r="W898" i="154" s="1"/>
  <c r="Q898" i="154"/>
  <c r="P898" i="154"/>
  <c r="O898" i="154"/>
  <c r="N898" i="154"/>
  <c r="M898" i="154"/>
  <c r="L898" i="154"/>
  <c r="E898" i="154"/>
  <c r="AH897" i="154"/>
  <c r="AI897" i="154" s="1"/>
  <c r="AA897" i="154"/>
  <c r="AB897" i="154" s="1"/>
  <c r="V897" i="154"/>
  <c r="Q897" i="154"/>
  <c r="P897" i="154"/>
  <c r="O897" i="154"/>
  <c r="N897" i="154"/>
  <c r="M897" i="154"/>
  <c r="L897" i="154"/>
  <c r="E897" i="154"/>
  <c r="AH896" i="154"/>
  <c r="AI896" i="154" s="1"/>
  <c r="AA896" i="154"/>
  <c r="AB896" i="154" s="1"/>
  <c r="V896" i="154"/>
  <c r="W896" i="154" s="1"/>
  <c r="Q896" i="154"/>
  <c r="P896" i="154"/>
  <c r="O896" i="154"/>
  <c r="N896" i="154"/>
  <c r="M896" i="154"/>
  <c r="L896" i="154"/>
  <c r="E896" i="154"/>
  <c r="AH895" i="154"/>
  <c r="AI895" i="154" s="1"/>
  <c r="AA895" i="154"/>
  <c r="AB895" i="154" s="1"/>
  <c r="V895" i="154"/>
  <c r="Q895" i="154"/>
  <c r="P895" i="154"/>
  <c r="O895" i="154"/>
  <c r="N895" i="154"/>
  <c r="M895" i="154"/>
  <c r="L895" i="154"/>
  <c r="E895" i="154"/>
  <c r="AH894" i="154"/>
  <c r="AI894" i="154" s="1"/>
  <c r="AA894" i="154"/>
  <c r="AB894" i="154" s="1"/>
  <c r="V894" i="154"/>
  <c r="W894" i="154" s="1"/>
  <c r="Q894" i="154"/>
  <c r="P894" i="154"/>
  <c r="O894" i="154"/>
  <c r="N894" i="154"/>
  <c r="M894" i="154"/>
  <c r="L894" i="154"/>
  <c r="E894" i="154"/>
  <c r="AH893" i="154"/>
  <c r="AI893" i="154" s="1"/>
  <c r="AA893" i="154"/>
  <c r="V893" i="154"/>
  <c r="W893" i="154" s="1"/>
  <c r="Q893" i="154"/>
  <c r="P893" i="154"/>
  <c r="O893" i="154"/>
  <c r="N893" i="154"/>
  <c r="M893" i="154"/>
  <c r="L893" i="154"/>
  <c r="E893" i="154"/>
  <c r="AH892" i="154"/>
  <c r="AI892" i="154" s="1"/>
  <c r="AA892" i="154"/>
  <c r="AB892" i="154" s="1"/>
  <c r="V892" i="154"/>
  <c r="Q892" i="154"/>
  <c r="P892" i="154"/>
  <c r="O892" i="154"/>
  <c r="N892" i="154"/>
  <c r="M892" i="154"/>
  <c r="L892" i="154"/>
  <c r="E892" i="154"/>
  <c r="AH891" i="154"/>
  <c r="AI891" i="154" s="1"/>
  <c r="AA891" i="154"/>
  <c r="AB891" i="154" s="1"/>
  <c r="V891" i="154"/>
  <c r="AC891" i="154" s="1"/>
  <c r="AD891" i="154" s="1"/>
  <c r="Q891" i="154"/>
  <c r="P891" i="154"/>
  <c r="O891" i="154"/>
  <c r="N891" i="154"/>
  <c r="M891" i="154"/>
  <c r="L891" i="154"/>
  <c r="E891" i="154"/>
  <c r="AH890" i="154"/>
  <c r="AI890" i="154" s="1"/>
  <c r="AA890" i="154"/>
  <c r="AB890" i="154" s="1"/>
  <c r="V890" i="154"/>
  <c r="W890" i="154" s="1"/>
  <c r="Q890" i="154"/>
  <c r="P890" i="154"/>
  <c r="O890" i="154"/>
  <c r="N890" i="154"/>
  <c r="M890" i="154"/>
  <c r="L890" i="154"/>
  <c r="E890" i="154"/>
  <c r="AH889" i="154"/>
  <c r="AI889" i="154" s="1"/>
  <c r="AA889" i="154"/>
  <c r="AB889" i="154" s="1"/>
  <c r="V889" i="154"/>
  <c r="Q889" i="154"/>
  <c r="P889" i="154"/>
  <c r="O889" i="154"/>
  <c r="N889" i="154"/>
  <c r="M889" i="154"/>
  <c r="L889" i="154"/>
  <c r="E889" i="154"/>
  <c r="AH888" i="154"/>
  <c r="AI888" i="154" s="1"/>
  <c r="AA888" i="154"/>
  <c r="AB888" i="154" s="1"/>
  <c r="V888" i="154"/>
  <c r="Q888" i="154"/>
  <c r="P888" i="154"/>
  <c r="O888" i="154"/>
  <c r="N888" i="154"/>
  <c r="M888" i="154"/>
  <c r="L888" i="154"/>
  <c r="E888" i="154"/>
  <c r="AH887" i="154"/>
  <c r="AI887" i="154" s="1"/>
  <c r="AA887" i="154"/>
  <c r="AB887" i="154" s="1"/>
  <c r="V887" i="154"/>
  <c r="W887" i="154" s="1"/>
  <c r="Q887" i="154"/>
  <c r="P887" i="154"/>
  <c r="O887" i="154"/>
  <c r="N887" i="154"/>
  <c r="M887" i="154"/>
  <c r="L887" i="154"/>
  <c r="E887" i="154"/>
  <c r="AH886" i="154"/>
  <c r="AI886" i="154" s="1"/>
  <c r="AA886" i="154"/>
  <c r="AB886" i="154" s="1"/>
  <c r="V886" i="154"/>
  <c r="W886" i="154" s="1"/>
  <c r="Q886" i="154"/>
  <c r="P886" i="154"/>
  <c r="O886" i="154"/>
  <c r="N886" i="154"/>
  <c r="M886" i="154"/>
  <c r="L886" i="154"/>
  <c r="E886" i="154"/>
  <c r="AH885" i="154"/>
  <c r="AI885" i="154" s="1"/>
  <c r="AA885" i="154"/>
  <c r="AB885" i="154" s="1"/>
  <c r="V885" i="154"/>
  <c r="Q885" i="154"/>
  <c r="P885" i="154"/>
  <c r="O885" i="154"/>
  <c r="N885" i="154"/>
  <c r="M885" i="154"/>
  <c r="L885" i="154"/>
  <c r="E885" i="154"/>
  <c r="AH884" i="154"/>
  <c r="AI884" i="154" s="1"/>
  <c r="AA884" i="154"/>
  <c r="AB884" i="154" s="1"/>
  <c r="V884" i="154"/>
  <c r="Q884" i="154"/>
  <c r="P884" i="154"/>
  <c r="O884" i="154"/>
  <c r="N884" i="154"/>
  <c r="M884" i="154"/>
  <c r="L884" i="154"/>
  <c r="E884" i="154"/>
  <c r="AH883" i="154"/>
  <c r="AI883" i="154" s="1"/>
  <c r="AA883" i="154"/>
  <c r="AB883" i="154" s="1"/>
  <c r="V883" i="154"/>
  <c r="Q883" i="154"/>
  <c r="P883" i="154"/>
  <c r="O883" i="154"/>
  <c r="N883" i="154"/>
  <c r="M883" i="154"/>
  <c r="L883" i="154"/>
  <c r="E883" i="154"/>
  <c r="AH882" i="154"/>
  <c r="AI882" i="154" s="1"/>
  <c r="AA882" i="154"/>
  <c r="AB882" i="154" s="1"/>
  <c r="V882" i="154"/>
  <c r="W882" i="154" s="1"/>
  <c r="Q882" i="154"/>
  <c r="P882" i="154"/>
  <c r="O882" i="154"/>
  <c r="N882" i="154"/>
  <c r="M882" i="154"/>
  <c r="L882" i="154"/>
  <c r="E882" i="154"/>
  <c r="AH881" i="154"/>
  <c r="AI881" i="154" s="1"/>
  <c r="AA881" i="154"/>
  <c r="AB881" i="154" s="1"/>
  <c r="V881" i="154"/>
  <c r="Q881" i="154"/>
  <c r="P881" i="154"/>
  <c r="O881" i="154"/>
  <c r="N881" i="154"/>
  <c r="M881" i="154"/>
  <c r="L881" i="154"/>
  <c r="E881" i="154"/>
  <c r="AH880" i="154"/>
  <c r="AI880" i="154" s="1"/>
  <c r="AA880" i="154"/>
  <c r="AB880" i="154" s="1"/>
  <c r="V880" i="154"/>
  <c r="Q880" i="154"/>
  <c r="P880" i="154"/>
  <c r="O880" i="154"/>
  <c r="N880" i="154"/>
  <c r="M880" i="154"/>
  <c r="L880" i="154"/>
  <c r="E880" i="154"/>
  <c r="AH879" i="154"/>
  <c r="AI879" i="154" s="1"/>
  <c r="AA879" i="154"/>
  <c r="AB879" i="154" s="1"/>
  <c r="W879" i="154"/>
  <c r="V879" i="154"/>
  <c r="Q879" i="154"/>
  <c r="P879" i="154"/>
  <c r="O879" i="154"/>
  <c r="N879" i="154"/>
  <c r="M879" i="154"/>
  <c r="L879" i="154"/>
  <c r="E879" i="154"/>
  <c r="AH878" i="154"/>
  <c r="AI878" i="154" s="1"/>
  <c r="AA878" i="154"/>
  <c r="AB878" i="154" s="1"/>
  <c r="V878" i="154"/>
  <c r="W878" i="154" s="1"/>
  <c r="Q878" i="154"/>
  <c r="P878" i="154"/>
  <c r="O878" i="154"/>
  <c r="N878" i="154"/>
  <c r="M878" i="154"/>
  <c r="L878" i="154"/>
  <c r="E878" i="154"/>
  <c r="AH877" i="154"/>
  <c r="AI877" i="154" s="1"/>
  <c r="AA877" i="154"/>
  <c r="AB877" i="154" s="1"/>
  <c r="V877" i="154"/>
  <c r="Q877" i="154"/>
  <c r="P877" i="154"/>
  <c r="O877" i="154"/>
  <c r="N877" i="154"/>
  <c r="M877" i="154"/>
  <c r="L877" i="154"/>
  <c r="E877" i="154"/>
  <c r="AH876" i="154"/>
  <c r="AI876" i="154" s="1"/>
  <c r="AA876" i="154"/>
  <c r="AB876" i="154" s="1"/>
  <c r="V876" i="154"/>
  <c r="Q876" i="154"/>
  <c r="P876" i="154"/>
  <c r="O876" i="154"/>
  <c r="N876" i="154"/>
  <c r="M876" i="154"/>
  <c r="L876" i="154"/>
  <c r="E876" i="154"/>
  <c r="AH875" i="154"/>
  <c r="AI875" i="154" s="1"/>
  <c r="AA875" i="154"/>
  <c r="AB875" i="154" s="1"/>
  <c r="V875" i="154"/>
  <c r="Q875" i="154"/>
  <c r="P875" i="154"/>
  <c r="O875" i="154"/>
  <c r="N875" i="154"/>
  <c r="M875" i="154"/>
  <c r="L875" i="154"/>
  <c r="E875" i="154"/>
  <c r="AH874" i="154"/>
  <c r="AI874" i="154" s="1"/>
  <c r="AA874" i="154"/>
  <c r="AB874" i="154" s="1"/>
  <c r="V874" i="154"/>
  <c r="W874" i="154" s="1"/>
  <c r="Q874" i="154"/>
  <c r="P874" i="154"/>
  <c r="O874" i="154"/>
  <c r="N874" i="154"/>
  <c r="M874" i="154"/>
  <c r="L874" i="154"/>
  <c r="E874" i="154"/>
  <c r="AH873" i="154"/>
  <c r="AI873" i="154" s="1"/>
  <c r="AA873" i="154"/>
  <c r="AB873" i="154" s="1"/>
  <c r="V873" i="154"/>
  <c r="Q873" i="154"/>
  <c r="P873" i="154"/>
  <c r="O873" i="154"/>
  <c r="N873" i="154"/>
  <c r="M873" i="154"/>
  <c r="L873" i="154"/>
  <c r="E873" i="154"/>
  <c r="AH872" i="154"/>
  <c r="AI872" i="154" s="1"/>
  <c r="AA872" i="154"/>
  <c r="AB872" i="154" s="1"/>
  <c r="V872" i="154"/>
  <c r="Q872" i="154"/>
  <c r="P872" i="154"/>
  <c r="O872" i="154"/>
  <c r="N872" i="154"/>
  <c r="M872" i="154"/>
  <c r="L872" i="154"/>
  <c r="E872" i="154"/>
  <c r="AH871" i="154"/>
  <c r="AI871" i="154" s="1"/>
  <c r="AA871" i="154"/>
  <c r="AB871" i="154" s="1"/>
  <c r="V871" i="154"/>
  <c r="W871" i="154" s="1"/>
  <c r="Q871" i="154"/>
  <c r="P871" i="154"/>
  <c r="O871" i="154"/>
  <c r="N871" i="154"/>
  <c r="M871" i="154"/>
  <c r="L871" i="154"/>
  <c r="E871" i="154"/>
  <c r="AH870" i="154"/>
  <c r="AI870" i="154" s="1"/>
  <c r="AA870" i="154"/>
  <c r="AB870" i="154" s="1"/>
  <c r="V870" i="154"/>
  <c r="W870" i="154" s="1"/>
  <c r="Q870" i="154"/>
  <c r="P870" i="154"/>
  <c r="O870" i="154"/>
  <c r="N870" i="154"/>
  <c r="M870" i="154"/>
  <c r="L870" i="154"/>
  <c r="E870" i="154"/>
  <c r="AH869" i="154"/>
  <c r="AI869" i="154" s="1"/>
  <c r="AA869" i="154"/>
  <c r="AB869" i="154" s="1"/>
  <c r="V869" i="154"/>
  <c r="Q869" i="154"/>
  <c r="P869" i="154"/>
  <c r="O869" i="154"/>
  <c r="N869" i="154"/>
  <c r="M869" i="154"/>
  <c r="L869" i="154"/>
  <c r="E869" i="154"/>
  <c r="AH868" i="154"/>
  <c r="AI868" i="154" s="1"/>
  <c r="AA868" i="154"/>
  <c r="AB868" i="154" s="1"/>
  <c r="V868" i="154"/>
  <c r="Q868" i="154"/>
  <c r="P868" i="154"/>
  <c r="O868" i="154"/>
  <c r="N868" i="154"/>
  <c r="M868" i="154"/>
  <c r="L868" i="154"/>
  <c r="E868" i="154"/>
  <c r="AH867" i="154"/>
  <c r="AI867" i="154" s="1"/>
  <c r="AA867" i="154"/>
  <c r="AB867" i="154" s="1"/>
  <c r="V867" i="154"/>
  <c r="AC867" i="154" s="1"/>
  <c r="AD867" i="154" s="1"/>
  <c r="Q867" i="154"/>
  <c r="P867" i="154"/>
  <c r="O867" i="154"/>
  <c r="N867" i="154"/>
  <c r="M867" i="154"/>
  <c r="L867" i="154"/>
  <c r="E867" i="154"/>
  <c r="AH866" i="154"/>
  <c r="AI866" i="154" s="1"/>
  <c r="AA866" i="154"/>
  <c r="AB866" i="154" s="1"/>
  <c r="V866" i="154"/>
  <c r="W866" i="154" s="1"/>
  <c r="Q866" i="154"/>
  <c r="P866" i="154"/>
  <c r="O866" i="154"/>
  <c r="N866" i="154"/>
  <c r="M866" i="154"/>
  <c r="L866" i="154"/>
  <c r="E866" i="154"/>
  <c r="AH865" i="154"/>
  <c r="AI865" i="154" s="1"/>
  <c r="AA865" i="154"/>
  <c r="AB865" i="154" s="1"/>
  <c r="V865" i="154"/>
  <c r="AC865" i="154" s="1"/>
  <c r="AD865" i="154" s="1"/>
  <c r="Q865" i="154"/>
  <c r="P865" i="154"/>
  <c r="O865" i="154"/>
  <c r="N865" i="154"/>
  <c r="M865" i="154"/>
  <c r="L865" i="154"/>
  <c r="E865" i="154"/>
  <c r="AH864" i="154"/>
  <c r="AI864" i="154" s="1"/>
  <c r="AA864" i="154"/>
  <c r="AB864" i="154" s="1"/>
  <c r="V864" i="154"/>
  <c r="Q864" i="154"/>
  <c r="P864" i="154"/>
  <c r="O864" i="154"/>
  <c r="N864" i="154"/>
  <c r="M864" i="154"/>
  <c r="L864" i="154"/>
  <c r="E864" i="154"/>
  <c r="AH863" i="154"/>
  <c r="AI863" i="154" s="1"/>
  <c r="AA863" i="154"/>
  <c r="AB863" i="154" s="1"/>
  <c r="V863" i="154"/>
  <c r="W863" i="154" s="1"/>
  <c r="Q863" i="154"/>
  <c r="P863" i="154"/>
  <c r="O863" i="154"/>
  <c r="N863" i="154"/>
  <c r="M863" i="154"/>
  <c r="L863" i="154"/>
  <c r="E863" i="154"/>
  <c r="AH862" i="154"/>
  <c r="AI862" i="154" s="1"/>
  <c r="AA862" i="154"/>
  <c r="AB862" i="154" s="1"/>
  <c r="V862" i="154"/>
  <c r="W862" i="154" s="1"/>
  <c r="Q862" i="154"/>
  <c r="P862" i="154"/>
  <c r="O862" i="154"/>
  <c r="N862" i="154"/>
  <c r="M862" i="154"/>
  <c r="L862" i="154"/>
  <c r="E862" i="154"/>
  <c r="AH861" i="154"/>
  <c r="AI861" i="154" s="1"/>
  <c r="AA861" i="154"/>
  <c r="AB861" i="154" s="1"/>
  <c r="V861" i="154"/>
  <c r="Q861" i="154"/>
  <c r="P861" i="154"/>
  <c r="O861" i="154"/>
  <c r="N861" i="154"/>
  <c r="M861" i="154"/>
  <c r="L861" i="154"/>
  <c r="E861" i="154"/>
  <c r="AH860" i="154"/>
  <c r="AI860" i="154" s="1"/>
  <c r="AA860" i="154"/>
  <c r="AB860" i="154" s="1"/>
  <c r="V860" i="154"/>
  <c r="Q860" i="154"/>
  <c r="P860" i="154"/>
  <c r="O860" i="154"/>
  <c r="N860" i="154"/>
  <c r="M860" i="154"/>
  <c r="L860" i="154"/>
  <c r="E860" i="154"/>
  <c r="AH859" i="154"/>
  <c r="AI859" i="154" s="1"/>
  <c r="AA859" i="154"/>
  <c r="AB859" i="154" s="1"/>
  <c r="V859" i="154"/>
  <c r="AC859" i="154" s="1"/>
  <c r="AD859" i="154" s="1"/>
  <c r="Q859" i="154"/>
  <c r="P859" i="154"/>
  <c r="O859" i="154"/>
  <c r="N859" i="154"/>
  <c r="M859" i="154"/>
  <c r="L859" i="154"/>
  <c r="E859" i="154"/>
  <c r="AH858" i="154"/>
  <c r="AI858" i="154" s="1"/>
  <c r="AA858" i="154"/>
  <c r="AB858" i="154" s="1"/>
  <c r="V858" i="154"/>
  <c r="W858" i="154" s="1"/>
  <c r="Q858" i="154"/>
  <c r="P858" i="154"/>
  <c r="O858" i="154"/>
  <c r="N858" i="154"/>
  <c r="M858" i="154"/>
  <c r="L858" i="154"/>
  <c r="E858" i="154"/>
  <c r="AH857" i="154"/>
  <c r="AI857" i="154" s="1"/>
  <c r="AA857" i="154"/>
  <c r="AB857" i="154" s="1"/>
  <c r="V857" i="154"/>
  <c r="Q857" i="154"/>
  <c r="P857" i="154"/>
  <c r="O857" i="154"/>
  <c r="N857" i="154"/>
  <c r="M857" i="154"/>
  <c r="L857" i="154"/>
  <c r="E857" i="154"/>
  <c r="AH856" i="154"/>
  <c r="AI856" i="154" s="1"/>
  <c r="AA856" i="154"/>
  <c r="AB856" i="154" s="1"/>
  <c r="V856" i="154"/>
  <c r="Q856" i="154"/>
  <c r="P856" i="154"/>
  <c r="O856" i="154"/>
  <c r="N856" i="154"/>
  <c r="M856" i="154"/>
  <c r="L856" i="154"/>
  <c r="E856" i="154"/>
  <c r="AH855" i="154"/>
  <c r="AI855" i="154" s="1"/>
  <c r="AA855" i="154"/>
  <c r="AB855" i="154" s="1"/>
  <c r="V855" i="154"/>
  <c r="W855" i="154" s="1"/>
  <c r="Q855" i="154"/>
  <c r="P855" i="154"/>
  <c r="O855" i="154"/>
  <c r="N855" i="154"/>
  <c r="M855" i="154"/>
  <c r="L855" i="154"/>
  <c r="E855" i="154"/>
  <c r="AH854" i="154"/>
  <c r="AI854" i="154" s="1"/>
  <c r="AA854" i="154"/>
  <c r="AB854" i="154" s="1"/>
  <c r="V854" i="154"/>
  <c r="W854" i="154" s="1"/>
  <c r="Q854" i="154"/>
  <c r="P854" i="154"/>
  <c r="O854" i="154"/>
  <c r="N854" i="154"/>
  <c r="M854" i="154"/>
  <c r="L854" i="154"/>
  <c r="E854" i="154"/>
  <c r="AH853" i="154"/>
  <c r="AI853" i="154" s="1"/>
  <c r="AA853" i="154"/>
  <c r="AB853" i="154" s="1"/>
  <c r="V853" i="154"/>
  <c r="Q853" i="154"/>
  <c r="P853" i="154"/>
  <c r="O853" i="154"/>
  <c r="N853" i="154"/>
  <c r="M853" i="154"/>
  <c r="L853" i="154"/>
  <c r="E853" i="154"/>
  <c r="AH852" i="154"/>
  <c r="AI852" i="154" s="1"/>
  <c r="AA852" i="154"/>
  <c r="AB852" i="154" s="1"/>
  <c r="V852" i="154"/>
  <c r="Q852" i="154"/>
  <c r="P852" i="154"/>
  <c r="O852" i="154"/>
  <c r="N852" i="154"/>
  <c r="M852" i="154"/>
  <c r="L852" i="154"/>
  <c r="E852" i="154"/>
  <c r="AH851" i="154"/>
  <c r="AI851" i="154" s="1"/>
  <c r="AA851" i="154"/>
  <c r="AB851" i="154" s="1"/>
  <c r="V851" i="154"/>
  <c r="Q851" i="154"/>
  <c r="P851" i="154"/>
  <c r="O851" i="154"/>
  <c r="N851" i="154"/>
  <c r="M851" i="154"/>
  <c r="L851" i="154"/>
  <c r="E851" i="154"/>
  <c r="AH850" i="154"/>
  <c r="AI850" i="154" s="1"/>
  <c r="AA850" i="154"/>
  <c r="AB850" i="154" s="1"/>
  <c r="V850" i="154"/>
  <c r="W850" i="154" s="1"/>
  <c r="Q850" i="154"/>
  <c r="P850" i="154"/>
  <c r="O850" i="154"/>
  <c r="N850" i="154"/>
  <c r="M850" i="154"/>
  <c r="L850" i="154"/>
  <c r="E850" i="154"/>
  <c r="AH849" i="154"/>
  <c r="AI849" i="154" s="1"/>
  <c r="AA849" i="154"/>
  <c r="AB849" i="154" s="1"/>
  <c r="V849" i="154"/>
  <c r="AC849" i="154" s="1"/>
  <c r="AD849" i="154" s="1"/>
  <c r="Q849" i="154"/>
  <c r="P849" i="154"/>
  <c r="O849" i="154"/>
  <c r="N849" i="154"/>
  <c r="M849" i="154"/>
  <c r="L849" i="154"/>
  <c r="E849" i="154"/>
  <c r="AH848" i="154"/>
  <c r="AI848" i="154" s="1"/>
  <c r="AA848" i="154"/>
  <c r="AB848" i="154" s="1"/>
  <c r="V848" i="154"/>
  <c r="Q848" i="154"/>
  <c r="P848" i="154"/>
  <c r="O848" i="154"/>
  <c r="N848" i="154"/>
  <c r="M848" i="154"/>
  <c r="L848" i="154"/>
  <c r="E848" i="154"/>
  <c r="AH847" i="154"/>
  <c r="AI847" i="154" s="1"/>
  <c r="AA847" i="154"/>
  <c r="AB847" i="154" s="1"/>
  <c r="W847" i="154"/>
  <c r="V847" i="154"/>
  <c r="Q847" i="154"/>
  <c r="P847" i="154"/>
  <c r="O847" i="154"/>
  <c r="N847" i="154"/>
  <c r="M847" i="154"/>
  <c r="L847" i="154"/>
  <c r="E847" i="154"/>
  <c r="AH846" i="154"/>
  <c r="AI846" i="154" s="1"/>
  <c r="AA846" i="154"/>
  <c r="AB846" i="154" s="1"/>
  <c r="V846" i="154"/>
  <c r="W846" i="154" s="1"/>
  <c r="Q846" i="154"/>
  <c r="P846" i="154"/>
  <c r="O846" i="154"/>
  <c r="N846" i="154"/>
  <c r="M846" i="154"/>
  <c r="L846" i="154"/>
  <c r="E846" i="154"/>
  <c r="AH845" i="154"/>
  <c r="AI845" i="154" s="1"/>
  <c r="AA845" i="154"/>
  <c r="AB845" i="154" s="1"/>
  <c r="V845" i="154"/>
  <c r="Q845" i="154"/>
  <c r="P845" i="154"/>
  <c r="O845" i="154"/>
  <c r="N845" i="154"/>
  <c r="M845" i="154"/>
  <c r="L845" i="154"/>
  <c r="E845" i="154"/>
  <c r="AH844" i="154"/>
  <c r="AI844" i="154" s="1"/>
  <c r="AA844" i="154"/>
  <c r="AB844" i="154" s="1"/>
  <c r="V844" i="154"/>
  <c r="AC844" i="154" s="1"/>
  <c r="AD844" i="154" s="1"/>
  <c r="Q844" i="154"/>
  <c r="P844" i="154"/>
  <c r="O844" i="154"/>
  <c r="N844" i="154"/>
  <c r="M844" i="154"/>
  <c r="L844" i="154"/>
  <c r="E844" i="154"/>
  <c r="AH843" i="154"/>
  <c r="AI843" i="154" s="1"/>
  <c r="AA843" i="154"/>
  <c r="AB843" i="154" s="1"/>
  <c r="V843" i="154"/>
  <c r="Q843" i="154"/>
  <c r="P843" i="154"/>
  <c r="O843" i="154"/>
  <c r="N843" i="154"/>
  <c r="M843" i="154"/>
  <c r="L843" i="154"/>
  <c r="E843" i="154"/>
  <c r="AH842" i="154"/>
  <c r="AI842" i="154" s="1"/>
  <c r="AA842" i="154"/>
  <c r="AB842" i="154" s="1"/>
  <c r="V842" i="154"/>
  <c r="W842" i="154" s="1"/>
  <c r="Q842" i="154"/>
  <c r="P842" i="154"/>
  <c r="O842" i="154"/>
  <c r="N842" i="154"/>
  <c r="M842" i="154"/>
  <c r="L842" i="154"/>
  <c r="E842" i="154"/>
  <c r="AI841" i="154"/>
  <c r="AH841" i="154"/>
  <c r="AA841" i="154"/>
  <c r="AB841" i="154" s="1"/>
  <c r="V841" i="154"/>
  <c r="Q841" i="154"/>
  <c r="P841" i="154"/>
  <c r="O841" i="154"/>
  <c r="N841" i="154"/>
  <c r="M841" i="154"/>
  <c r="L841" i="154"/>
  <c r="E841" i="154"/>
  <c r="AH840" i="154"/>
  <c r="AI840" i="154" s="1"/>
  <c r="AA840" i="154"/>
  <c r="AB840" i="154" s="1"/>
  <c r="V840" i="154"/>
  <c r="Q840" i="154"/>
  <c r="P840" i="154"/>
  <c r="O840" i="154"/>
  <c r="N840" i="154"/>
  <c r="M840" i="154"/>
  <c r="L840" i="154"/>
  <c r="E840" i="154"/>
  <c r="AH839" i="154"/>
  <c r="AI839" i="154" s="1"/>
  <c r="AA839" i="154"/>
  <c r="AB839" i="154" s="1"/>
  <c r="V839" i="154"/>
  <c r="W839" i="154" s="1"/>
  <c r="Q839" i="154"/>
  <c r="P839" i="154"/>
  <c r="O839" i="154"/>
  <c r="N839" i="154"/>
  <c r="M839" i="154"/>
  <c r="L839" i="154"/>
  <c r="E839" i="154"/>
  <c r="AH838" i="154"/>
  <c r="AI838" i="154" s="1"/>
  <c r="AA838" i="154"/>
  <c r="AB838" i="154" s="1"/>
  <c r="V838" i="154"/>
  <c r="W838" i="154" s="1"/>
  <c r="Q838" i="154"/>
  <c r="P838" i="154"/>
  <c r="O838" i="154"/>
  <c r="N838" i="154"/>
  <c r="M838" i="154"/>
  <c r="L838" i="154"/>
  <c r="E838" i="154"/>
  <c r="AI837" i="154"/>
  <c r="AH837" i="154"/>
  <c r="AA837" i="154"/>
  <c r="AB837" i="154" s="1"/>
  <c r="V837" i="154"/>
  <c r="Q837" i="154"/>
  <c r="P837" i="154"/>
  <c r="O837" i="154"/>
  <c r="N837" i="154"/>
  <c r="M837" i="154"/>
  <c r="L837" i="154"/>
  <c r="E837" i="154"/>
  <c r="AH836" i="154"/>
  <c r="AI836" i="154" s="1"/>
  <c r="AA836" i="154"/>
  <c r="AB836" i="154" s="1"/>
  <c r="V836" i="154"/>
  <c r="Q836" i="154"/>
  <c r="P836" i="154"/>
  <c r="O836" i="154"/>
  <c r="N836" i="154"/>
  <c r="M836" i="154"/>
  <c r="L836" i="154"/>
  <c r="E836" i="154"/>
  <c r="AH835" i="154"/>
  <c r="AI835" i="154" s="1"/>
  <c r="AA835" i="154"/>
  <c r="AB835" i="154" s="1"/>
  <c r="V835" i="154"/>
  <c r="W835" i="154" s="1"/>
  <c r="Q835" i="154"/>
  <c r="P835" i="154"/>
  <c r="O835" i="154"/>
  <c r="N835" i="154"/>
  <c r="M835" i="154"/>
  <c r="L835" i="154"/>
  <c r="E835" i="154"/>
  <c r="AH834" i="154"/>
  <c r="AI834" i="154" s="1"/>
  <c r="AB834" i="154"/>
  <c r="AA834" i="154"/>
  <c r="V834" i="154"/>
  <c r="W834" i="154" s="1"/>
  <c r="Q834" i="154"/>
  <c r="P834" i="154"/>
  <c r="O834" i="154"/>
  <c r="N834" i="154"/>
  <c r="M834" i="154"/>
  <c r="L834" i="154"/>
  <c r="E834" i="154"/>
  <c r="AH833" i="154"/>
  <c r="AI833" i="154" s="1"/>
  <c r="AA833" i="154"/>
  <c r="AB833" i="154" s="1"/>
  <c r="V833" i="154"/>
  <c r="Q833" i="154"/>
  <c r="P833" i="154"/>
  <c r="O833" i="154"/>
  <c r="N833" i="154"/>
  <c r="M833" i="154"/>
  <c r="L833" i="154"/>
  <c r="E833" i="154"/>
  <c r="AH832" i="154"/>
  <c r="AI832" i="154" s="1"/>
  <c r="AA832" i="154"/>
  <c r="AB832" i="154" s="1"/>
  <c r="V832" i="154"/>
  <c r="W832" i="154" s="1"/>
  <c r="Q832" i="154"/>
  <c r="P832" i="154"/>
  <c r="O832" i="154"/>
  <c r="N832" i="154"/>
  <c r="M832" i="154"/>
  <c r="L832" i="154"/>
  <c r="E832" i="154"/>
  <c r="AH831" i="154"/>
  <c r="AI831" i="154" s="1"/>
  <c r="AA831" i="154"/>
  <c r="V831" i="154"/>
  <c r="W831" i="154" s="1"/>
  <c r="Q831" i="154"/>
  <c r="P831" i="154"/>
  <c r="O831" i="154"/>
  <c r="N831" i="154"/>
  <c r="M831" i="154"/>
  <c r="L831" i="154"/>
  <c r="E831" i="154"/>
  <c r="AH830" i="154"/>
  <c r="AI830" i="154" s="1"/>
  <c r="AA830" i="154"/>
  <c r="AB830" i="154" s="1"/>
  <c r="V830" i="154"/>
  <c r="W830" i="154" s="1"/>
  <c r="Q830" i="154"/>
  <c r="P830" i="154"/>
  <c r="O830" i="154"/>
  <c r="N830" i="154"/>
  <c r="M830" i="154"/>
  <c r="L830" i="154"/>
  <c r="E830" i="154"/>
  <c r="AH829" i="154"/>
  <c r="AI829" i="154" s="1"/>
  <c r="AB829" i="154"/>
  <c r="AA829" i="154"/>
  <c r="V829" i="154"/>
  <c r="Q829" i="154"/>
  <c r="P829" i="154"/>
  <c r="O829" i="154"/>
  <c r="N829" i="154"/>
  <c r="M829" i="154"/>
  <c r="L829" i="154"/>
  <c r="E829" i="154"/>
  <c r="AH828" i="154"/>
  <c r="AI828" i="154" s="1"/>
  <c r="AA828" i="154"/>
  <c r="AB828" i="154" s="1"/>
  <c r="V828" i="154"/>
  <c r="Q828" i="154"/>
  <c r="P828" i="154"/>
  <c r="O828" i="154"/>
  <c r="N828" i="154"/>
  <c r="M828" i="154"/>
  <c r="L828" i="154"/>
  <c r="E828" i="154"/>
  <c r="AH827" i="154"/>
  <c r="AI827" i="154" s="1"/>
  <c r="AA827" i="154"/>
  <c r="AB827" i="154" s="1"/>
  <c r="V827" i="154"/>
  <c r="W827" i="154" s="1"/>
  <c r="Q827" i="154"/>
  <c r="P827" i="154"/>
  <c r="O827" i="154"/>
  <c r="N827" i="154"/>
  <c r="M827" i="154"/>
  <c r="L827" i="154"/>
  <c r="E827" i="154"/>
  <c r="AI826" i="154"/>
  <c r="AH826" i="154"/>
  <c r="AA826" i="154"/>
  <c r="AB826" i="154" s="1"/>
  <c r="V826" i="154"/>
  <c r="W826" i="154" s="1"/>
  <c r="Q826" i="154"/>
  <c r="P826" i="154"/>
  <c r="O826" i="154"/>
  <c r="N826" i="154"/>
  <c r="M826" i="154"/>
  <c r="L826" i="154"/>
  <c r="E826" i="154"/>
  <c r="AH825" i="154"/>
  <c r="AI825" i="154" s="1"/>
  <c r="AA825" i="154"/>
  <c r="V825" i="154"/>
  <c r="W825" i="154" s="1"/>
  <c r="Q825" i="154"/>
  <c r="P825" i="154"/>
  <c r="O825" i="154"/>
  <c r="N825" i="154"/>
  <c r="M825" i="154"/>
  <c r="L825" i="154"/>
  <c r="E825" i="154"/>
  <c r="AH824" i="154"/>
  <c r="AI824" i="154" s="1"/>
  <c r="AA824" i="154"/>
  <c r="AB824" i="154" s="1"/>
  <c r="V824" i="154"/>
  <c r="Q824" i="154"/>
  <c r="P824" i="154"/>
  <c r="O824" i="154"/>
  <c r="N824" i="154"/>
  <c r="M824" i="154"/>
  <c r="L824" i="154"/>
  <c r="E824" i="154"/>
  <c r="AH823" i="154"/>
  <c r="AI823" i="154" s="1"/>
  <c r="AA823" i="154"/>
  <c r="AB823" i="154" s="1"/>
  <c r="V823" i="154"/>
  <c r="W823" i="154" s="1"/>
  <c r="Q823" i="154"/>
  <c r="P823" i="154"/>
  <c r="O823" i="154"/>
  <c r="N823" i="154"/>
  <c r="M823" i="154"/>
  <c r="L823" i="154"/>
  <c r="E823" i="154"/>
  <c r="AH822" i="154"/>
  <c r="AI822" i="154" s="1"/>
  <c r="AA822" i="154"/>
  <c r="AB822" i="154" s="1"/>
  <c r="V822" i="154"/>
  <c r="Q822" i="154"/>
  <c r="P822" i="154"/>
  <c r="O822" i="154"/>
  <c r="N822" i="154"/>
  <c r="M822" i="154"/>
  <c r="L822" i="154"/>
  <c r="E822" i="154"/>
  <c r="AH821" i="154"/>
  <c r="AI821" i="154" s="1"/>
  <c r="AB821" i="154"/>
  <c r="AA821" i="154"/>
  <c r="V821" i="154"/>
  <c r="W821" i="154" s="1"/>
  <c r="Q821" i="154"/>
  <c r="P821" i="154"/>
  <c r="O821" i="154"/>
  <c r="N821" i="154"/>
  <c r="M821" i="154"/>
  <c r="L821" i="154"/>
  <c r="E821" i="154"/>
  <c r="AH820" i="154"/>
  <c r="AI820" i="154" s="1"/>
  <c r="AA820" i="154"/>
  <c r="AB820" i="154" s="1"/>
  <c r="V820" i="154"/>
  <c r="W820" i="154" s="1"/>
  <c r="Q820" i="154"/>
  <c r="P820" i="154"/>
  <c r="O820" i="154"/>
  <c r="N820" i="154"/>
  <c r="M820" i="154"/>
  <c r="L820" i="154"/>
  <c r="E820" i="154"/>
  <c r="AH819" i="154"/>
  <c r="AI819" i="154" s="1"/>
  <c r="AA819" i="154"/>
  <c r="AB819" i="154" s="1"/>
  <c r="V819" i="154"/>
  <c r="W819" i="154" s="1"/>
  <c r="Q819" i="154"/>
  <c r="P819" i="154"/>
  <c r="O819" i="154"/>
  <c r="N819" i="154"/>
  <c r="M819" i="154"/>
  <c r="L819" i="154"/>
  <c r="E819" i="154"/>
  <c r="AH818" i="154"/>
  <c r="AI818" i="154" s="1"/>
  <c r="AA818" i="154"/>
  <c r="AB818" i="154" s="1"/>
  <c r="V818" i="154"/>
  <c r="Q818" i="154"/>
  <c r="P818" i="154"/>
  <c r="O818" i="154"/>
  <c r="N818" i="154"/>
  <c r="M818" i="154"/>
  <c r="L818" i="154"/>
  <c r="E818" i="154"/>
  <c r="AH817" i="154"/>
  <c r="AI817" i="154" s="1"/>
  <c r="AA817" i="154"/>
  <c r="V817" i="154"/>
  <c r="W817" i="154" s="1"/>
  <c r="Q817" i="154"/>
  <c r="P817" i="154"/>
  <c r="O817" i="154"/>
  <c r="N817" i="154"/>
  <c r="M817" i="154"/>
  <c r="L817" i="154"/>
  <c r="E817" i="154"/>
  <c r="AH816" i="154"/>
  <c r="AI816" i="154" s="1"/>
  <c r="AA816" i="154"/>
  <c r="AB816" i="154" s="1"/>
  <c r="V816" i="154"/>
  <c r="W816" i="154" s="1"/>
  <c r="Q816" i="154"/>
  <c r="P816" i="154"/>
  <c r="O816" i="154"/>
  <c r="N816" i="154"/>
  <c r="M816" i="154"/>
  <c r="L816" i="154"/>
  <c r="E816" i="154"/>
  <c r="AH815" i="154"/>
  <c r="AI815" i="154" s="1"/>
  <c r="AA815" i="154"/>
  <c r="AB815" i="154" s="1"/>
  <c r="V815" i="154"/>
  <c r="Q815" i="154"/>
  <c r="P815" i="154"/>
  <c r="O815" i="154"/>
  <c r="N815" i="154"/>
  <c r="M815" i="154"/>
  <c r="L815" i="154"/>
  <c r="E815" i="154"/>
  <c r="AH814" i="154"/>
  <c r="AI814" i="154" s="1"/>
  <c r="AA814" i="154"/>
  <c r="AB814" i="154" s="1"/>
  <c r="V814" i="154"/>
  <c r="AC814" i="154" s="1"/>
  <c r="AD814" i="154" s="1"/>
  <c r="Q814" i="154"/>
  <c r="P814" i="154"/>
  <c r="O814" i="154"/>
  <c r="N814" i="154"/>
  <c r="M814" i="154"/>
  <c r="L814" i="154"/>
  <c r="E814" i="154"/>
  <c r="AH813" i="154"/>
  <c r="AI813" i="154" s="1"/>
  <c r="AA813" i="154"/>
  <c r="AB813" i="154" s="1"/>
  <c r="V813" i="154"/>
  <c r="W813" i="154" s="1"/>
  <c r="Q813" i="154"/>
  <c r="P813" i="154"/>
  <c r="O813" i="154"/>
  <c r="N813" i="154"/>
  <c r="M813" i="154"/>
  <c r="L813" i="154"/>
  <c r="E813" i="154"/>
  <c r="AH812" i="154"/>
  <c r="AI812" i="154" s="1"/>
  <c r="AA812" i="154"/>
  <c r="AB812" i="154" s="1"/>
  <c r="W812" i="154"/>
  <c r="V812" i="154"/>
  <c r="Q812" i="154"/>
  <c r="P812" i="154"/>
  <c r="O812" i="154"/>
  <c r="N812" i="154"/>
  <c r="M812" i="154"/>
  <c r="L812" i="154"/>
  <c r="E812" i="154"/>
  <c r="AH811" i="154"/>
  <c r="AI811" i="154" s="1"/>
  <c r="AA811" i="154"/>
  <c r="AB811" i="154" s="1"/>
  <c r="V811" i="154"/>
  <c r="Q811" i="154"/>
  <c r="P811" i="154"/>
  <c r="O811" i="154"/>
  <c r="N811" i="154"/>
  <c r="M811" i="154"/>
  <c r="L811" i="154"/>
  <c r="E811" i="154"/>
  <c r="AH810" i="154"/>
  <c r="AI810" i="154" s="1"/>
  <c r="AA810" i="154"/>
  <c r="AB810" i="154" s="1"/>
  <c r="W810" i="154"/>
  <c r="V810" i="154"/>
  <c r="Q810" i="154"/>
  <c r="P810" i="154"/>
  <c r="O810" i="154"/>
  <c r="N810" i="154"/>
  <c r="M810" i="154"/>
  <c r="L810" i="154"/>
  <c r="E810" i="154"/>
  <c r="AH809" i="154"/>
  <c r="AI809" i="154" s="1"/>
  <c r="AA809" i="154"/>
  <c r="AB809" i="154" s="1"/>
  <c r="V809" i="154"/>
  <c r="W809" i="154" s="1"/>
  <c r="Q809" i="154"/>
  <c r="P809" i="154"/>
  <c r="O809" i="154"/>
  <c r="N809" i="154"/>
  <c r="M809" i="154"/>
  <c r="L809" i="154"/>
  <c r="E809" i="154"/>
  <c r="AH808" i="154"/>
  <c r="AI808" i="154" s="1"/>
  <c r="AA808" i="154"/>
  <c r="AB808" i="154" s="1"/>
  <c r="V808" i="154"/>
  <c r="AC808" i="154" s="1"/>
  <c r="AD808" i="154" s="1"/>
  <c r="Q808" i="154"/>
  <c r="P808" i="154"/>
  <c r="O808" i="154"/>
  <c r="N808" i="154"/>
  <c r="M808" i="154"/>
  <c r="L808" i="154"/>
  <c r="E808" i="154"/>
  <c r="AH807" i="154"/>
  <c r="AI807" i="154" s="1"/>
  <c r="AA807" i="154"/>
  <c r="AB807" i="154" s="1"/>
  <c r="V807" i="154"/>
  <c r="Q807" i="154"/>
  <c r="P807" i="154"/>
  <c r="O807" i="154"/>
  <c r="N807" i="154"/>
  <c r="M807" i="154"/>
  <c r="L807" i="154"/>
  <c r="E807" i="154"/>
  <c r="AH806" i="154"/>
  <c r="AI806" i="154" s="1"/>
  <c r="AB806" i="154"/>
  <c r="AA806" i="154"/>
  <c r="V806" i="154"/>
  <c r="Q806" i="154"/>
  <c r="P806" i="154"/>
  <c r="O806" i="154"/>
  <c r="N806" i="154"/>
  <c r="M806" i="154"/>
  <c r="L806" i="154"/>
  <c r="E806" i="154"/>
  <c r="AH805" i="154"/>
  <c r="AI805" i="154" s="1"/>
  <c r="AA805" i="154"/>
  <c r="AB805" i="154" s="1"/>
  <c r="V805" i="154"/>
  <c r="W805" i="154" s="1"/>
  <c r="Q805" i="154"/>
  <c r="P805" i="154"/>
  <c r="O805" i="154"/>
  <c r="N805" i="154"/>
  <c r="M805" i="154"/>
  <c r="L805" i="154"/>
  <c r="E805" i="154"/>
  <c r="AH804" i="154"/>
  <c r="AI804" i="154" s="1"/>
  <c r="AA804" i="154"/>
  <c r="AB804" i="154" s="1"/>
  <c r="V804" i="154"/>
  <c r="W804" i="154" s="1"/>
  <c r="Q804" i="154"/>
  <c r="P804" i="154"/>
  <c r="O804" i="154"/>
  <c r="N804" i="154"/>
  <c r="M804" i="154"/>
  <c r="L804" i="154"/>
  <c r="E804" i="154"/>
  <c r="AH803" i="154"/>
  <c r="AI803" i="154" s="1"/>
  <c r="AA803" i="154"/>
  <c r="AB803" i="154" s="1"/>
  <c r="V803" i="154"/>
  <c r="Q803" i="154"/>
  <c r="P803" i="154"/>
  <c r="O803" i="154"/>
  <c r="N803" i="154"/>
  <c r="M803" i="154"/>
  <c r="L803" i="154"/>
  <c r="E803" i="154"/>
  <c r="AH802" i="154"/>
  <c r="AI802" i="154" s="1"/>
  <c r="AA802" i="154"/>
  <c r="AB802" i="154" s="1"/>
  <c r="V802" i="154"/>
  <c r="W802" i="154" s="1"/>
  <c r="Q802" i="154"/>
  <c r="P802" i="154"/>
  <c r="O802" i="154"/>
  <c r="N802" i="154"/>
  <c r="M802" i="154"/>
  <c r="L802" i="154"/>
  <c r="E802" i="154"/>
  <c r="AH801" i="154"/>
  <c r="AI801" i="154" s="1"/>
  <c r="AA801" i="154"/>
  <c r="AB801" i="154" s="1"/>
  <c r="V801" i="154"/>
  <c r="W801" i="154" s="1"/>
  <c r="Q801" i="154"/>
  <c r="P801" i="154"/>
  <c r="O801" i="154"/>
  <c r="N801" i="154"/>
  <c r="M801" i="154"/>
  <c r="L801" i="154"/>
  <c r="E801" i="154"/>
  <c r="AH800" i="154"/>
  <c r="AI800" i="154" s="1"/>
  <c r="AB800" i="154"/>
  <c r="AA800" i="154"/>
  <c r="V800" i="154"/>
  <c r="Q800" i="154"/>
  <c r="P800" i="154"/>
  <c r="O800" i="154"/>
  <c r="N800" i="154"/>
  <c r="M800" i="154"/>
  <c r="L800" i="154"/>
  <c r="E800" i="154"/>
  <c r="AH799" i="154"/>
  <c r="AI799" i="154" s="1"/>
  <c r="AA799" i="154"/>
  <c r="AB799" i="154" s="1"/>
  <c r="V799" i="154"/>
  <c r="Q799" i="154"/>
  <c r="P799" i="154"/>
  <c r="O799" i="154"/>
  <c r="N799" i="154"/>
  <c r="M799" i="154"/>
  <c r="L799" i="154"/>
  <c r="E799" i="154"/>
  <c r="AH798" i="154"/>
  <c r="AI798" i="154" s="1"/>
  <c r="AA798" i="154"/>
  <c r="AB798" i="154" s="1"/>
  <c r="V798" i="154"/>
  <c r="Q798" i="154"/>
  <c r="P798" i="154"/>
  <c r="O798" i="154"/>
  <c r="N798" i="154"/>
  <c r="M798" i="154"/>
  <c r="L798" i="154"/>
  <c r="E798" i="154"/>
  <c r="AH797" i="154"/>
  <c r="AI797" i="154" s="1"/>
  <c r="AA797" i="154"/>
  <c r="AB797" i="154" s="1"/>
  <c r="V797" i="154"/>
  <c r="W797" i="154" s="1"/>
  <c r="Q797" i="154"/>
  <c r="P797" i="154"/>
  <c r="O797" i="154"/>
  <c r="N797" i="154"/>
  <c r="M797" i="154"/>
  <c r="L797" i="154"/>
  <c r="E797" i="154"/>
  <c r="AI796" i="154"/>
  <c r="AH796" i="154"/>
  <c r="AA796" i="154"/>
  <c r="AB796" i="154" s="1"/>
  <c r="W796" i="154"/>
  <c r="V796" i="154"/>
  <c r="Q796" i="154"/>
  <c r="P796" i="154"/>
  <c r="O796" i="154"/>
  <c r="N796" i="154"/>
  <c r="M796" i="154"/>
  <c r="L796" i="154"/>
  <c r="E796" i="154"/>
  <c r="AH795" i="154"/>
  <c r="AI795" i="154" s="1"/>
  <c r="AA795" i="154"/>
  <c r="AB795" i="154" s="1"/>
  <c r="V795" i="154"/>
  <c r="Q795" i="154"/>
  <c r="P795" i="154"/>
  <c r="O795" i="154"/>
  <c r="N795" i="154"/>
  <c r="M795" i="154"/>
  <c r="L795" i="154"/>
  <c r="E795" i="154"/>
  <c r="AH794" i="154"/>
  <c r="AI794" i="154" s="1"/>
  <c r="AA794" i="154"/>
  <c r="AB794" i="154" s="1"/>
  <c r="V794" i="154"/>
  <c r="W794" i="154" s="1"/>
  <c r="Q794" i="154"/>
  <c r="P794" i="154"/>
  <c r="O794" i="154"/>
  <c r="N794" i="154"/>
  <c r="M794" i="154"/>
  <c r="L794" i="154"/>
  <c r="E794" i="154"/>
  <c r="AH793" i="154"/>
  <c r="AI793" i="154" s="1"/>
  <c r="AA793" i="154"/>
  <c r="AB793" i="154" s="1"/>
  <c r="V793" i="154"/>
  <c r="W793" i="154" s="1"/>
  <c r="Q793" i="154"/>
  <c r="P793" i="154"/>
  <c r="O793" i="154"/>
  <c r="N793" i="154"/>
  <c r="M793" i="154"/>
  <c r="L793" i="154"/>
  <c r="E793" i="154"/>
  <c r="AH792" i="154"/>
  <c r="AI792" i="154" s="1"/>
  <c r="AA792" i="154"/>
  <c r="AB792" i="154" s="1"/>
  <c r="V792" i="154"/>
  <c r="Q792" i="154"/>
  <c r="P792" i="154"/>
  <c r="O792" i="154"/>
  <c r="N792" i="154"/>
  <c r="M792" i="154"/>
  <c r="L792" i="154"/>
  <c r="E792" i="154"/>
  <c r="AH791" i="154"/>
  <c r="AI791" i="154" s="1"/>
  <c r="AA791" i="154"/>
  <c r="AB791" i="154" s="1"/>
  <c r="V791" i="154"/>
  <c r="Q791" i="154"/>
  <c r="P791" i="154"/>
  <c r="O791" i="154"/>
  <c r="N791" i="154"/>
  <c r="M791" i="154"/>
  <c r="L791" i="154"/>
  <c r="E791" i="154"/>
  <c r="AH790" i="154"/>
  <c r="AI790" i="154" s="1"/>
  <c r="AA790" i="154"/>
  <c r="AB790" i="154" s="1"/>
  <c r="V790" i="154"/>
  <c r="Q790" i="154"/>
  <c r="P790" i="154"/>
  <c r="O790" i="154"/>
  <c r="N790" i="154"/>
  <c r="M790" i="154"/>
  <c r="L790" i="154"/>
  <c r="E790" i="154"/>
  <c r="AH789" i="154"/>
  <c r="AI789" i="154" s="1"/>
  <c r="AA789" i="154"/>
  <c r="AB789" i="154" s="1"/>
  <c r="V789" i="154"/>
  <c r="W789" i="154" s="1"/>
  <c r="Q789" i="154"/>
  <c r="P789" i="154"/>
  <c r="O789" i="154"/>
  <c r="N789" i="154"/>
  <c r="M789" i="154"/>
  <c r="L789" i="154"/>
  <c r="E789" i="154"/>
  <c r="AH788" i="154"/>
  <c r="AI788" i="154" s="1"/>
  <c r="AA788" i="154"/>
  <c r="AB788" i="154" s="1"/>
  <c r="V788" i="154"/>
  <c r="W788" i="154" s="1"/>
  <c r="Q788" i="154"/>
  <c r="P788" i="154"/>
  <c r="O788" i="154"/>
  <c r="N788" i="154"/>
  <c r="M788" i="154"/>
  <c r="L788" i="154"/>
  <c r="E788" i="154"/>
  <c r="AH787" i="154"/>
  <c r="AI787" i="154" s="1"/>
  <c r="AA787" i="154"/>
  <c r="AB787" i="154" s="1"/>
  <c r="V787" i="154"/>
  <c r="Q787" i="154"/>
  <c r="P787" i="154"/>
  <c r="O787" i="154"/>
  <c r="N787" i="154"/>
  <c r="M787" i="154"/>
  <c r="L787" i="154"/>
  <c r="E787" i="154"/>
  <c r="AH786" i="154"/>
  <c r="AI786" i="154" s="1"/>
  <c r="AA786" i="154"/>
  <c r="AB786" i="154" s="1"/>
  <c r="W786" i="154"/>
  <c r="V786" i="154"/>
  <c r="Q786" i="154"/>
  <c r="P786" i="154"/>
  <c r="O786" i="154"/>
  <c r="N786" i="154"/>
  <c r="M786" i="154"/>
  <c r="L786" i="154"/>
  <c r="E786" i="154"/>
  <c r="AH785" i="154"/>
  <c r="AI785" i="154" s="1"/>
  <c r="AA785" i="154"/>
  <c r="AB785" i="154" s="1"/>
  <c r="V785" i="154"/>
  <c r="W785" i="154" s="1"/>
  <c r="Q785" i="154"/>
  <c r="P785" i="154"/>
  <c r="O785" i="154"/>
  <c r="N785" i="154"/>
  <c r="M785" i="154"/>
  <c r="L785" i="154"/>
  <c r="E785" i="154"/>
  <c r="AH784" i="154"/>
  <c r="AI784" i="154" s="1"/>
  <c r="AB784" i="154"/>
  <c r="AA784" i="154"/>
  <c r="V784" i="154"/>
  <c r="Q784" i="154"/>
  <c r="P784" i="154"/>
  <c r="O784" i="154"/>
  <c r="N784" i="154"/>
  <c r="M784" i="154"/>
  <c r="L784" i="154"/>
  <c r="E784" i="154"/>
  <c r="AH783" i="154"/>
  <c r="AI783" i="154" s="1"/>
  <c r="AA783" i="154"/>
  <c r="AB783" i="154" s="1"/>
  <c r="V783" i="154"/>
  <c r="Q783" i="154"/>
  <c r="P783" i="154"/>
  <c r="O783" i="154"/>
  <c r="N783" i="154"/>
  <c r="M783" i="154"/>
  <c r="L783" i="154"/>
  <c r="E783" i="154"/>
  <c r="AH782" i="154"/>
  <c r="AI782" i="154" s="1"/>
  <c r="AA782" i="154"/>
  <c r="AB782" i="154" s="1"/>
  <c r="V782" i="154"/>
  <c r="Q782" i="154"/>
  <c r="P782" i="154"/>
  <c r="O782" i="154"/>
  <c r="N782" i="154"/>
  <c r="M782" i="154"/>
  <c r="L782" i="154"/>
  <c r="E782" i="154"/>
  <c r="AH781" i="154"/>
  <c r="AI781" i="154" s="1"/>
  <c r="AA781" i="154"/>
  <c r="AB781" i="154" s="1"/>
  <c r="V781" i="154"/>
  <c r="W781" i="154" s="1"/>
  <c r="Q781" i="154"/>
  <c r="P781" i="154"/>
  <c r="O781" i="154"/>
  <c r="N781" i="154"/>
  <c r="M781" i="154"/>
  <c r="L781" i="154"/>
  <c r="E781" i="154"/>
  <c r="AH780" i="154"/>
  <c r="AI780" i="154" s="1"/>
  <c r="AA780" i="154"/>
  <c r="AB780" i="154" s="1"/>
  <c r="V780" i="154"/>
  <c r="W780" i="154" s="1"/>
  <c r="Q780" i="154"/>
  <c r="P780" i="154"/>
  <c r="O780" i="154"/>
  <c r="N780" i="154"/>
  <c r="M780" i="154"/>
  <c r="L780" i="154"/>
  <c r="E780" i="154"/>
  <c r="AH779" i="154"/>
  <c r="AI779" i="154" s="1"/>
  <c r="AA779" i="154"/>
  <c r="AB779" i="154" s="1"/>
  <c r="V779" i="154"/>
  <c r="AC779" i="154" s="1"/>
  <c r="AD779" i="154" s="1"/>
  <c r="Q779" i="154"/>
  <c r="P779" i="154"/>
  <c r="O779" i="154"/>
  <c r="N779" i="154"/>
  <c r="M779" i="154"/>
  <c r="L779" i="154"/>
  <c r="E779" i="154"/>
  <c r="AH778" i="154"/>
  <c r="AI778" i="154" s="1"/>
  <c r="AA778" i="154"/>
  <c r="AB778" i="154" s="1"/>
  <c r="W778" i="154"/>
  <c r="V778" i="154"/>
  <c r="Q778" i="154"/>
  <c r="P778" i="154"/>
  <c r="O778" i="154"/>
  <c r="N778" i="154"/>
  <c r="M778" i="154"/>
  <c r="L778" i="154"/>
  <c r="E778" i="154"/>
  <c r="AH777" i="154"/>
  <c r="AI777" i="154" s="1"/>
  <c r="AA777" i="154"/>
  <c r="AB777" i="154" s="1"/>
  <c r="V777" i="154"/>
  <c r="W777" i="154" s="1"/>
  <c r="Q777" i="154"/>
  <c r="P777" i="154"/>
  <c r="O777" i="154"/>
  <c r="N777" i="154"/>
  <c r="M777" i="154"/>
  <c r="L777" i="154"/>
  <c r="E777" i="154"/>
  <c r="AH776" i="154"/>
  <c r="AI776" i="154" s="1"/>
  <c r="AA776" i="154"/>
  <c r="AB776" i="154" s="1"/>
  <c r="V776" i="154"/>
  <c r="Q776" i="154"/>
  <c r="P776" i="154"/>
  <c r="O776" i="154"/>
  <c r="N776" i="154"/>
  <c r="M776" i="154"/>
  <c r="L776" i="154"/>
  <c r="E776" i="154"/>
  <c r="AH775" i="154"/>
  <c r="AI775" i="154" s="1"/>
  <c r="AA775" i="154"/>
  <c r="AB775" i="154" s="1"/>
  <c r="V775" i="154"/>
  <c r="Q775" i="154"/>
  <c r="P775" i="154"/>
  <c r="O775" i="154"/>
  <c r="N775" i="154"/>
  <c r="M775" i="154"/>
  <c r="L775" i="154"/>
  <c r="E775" i="154"/>
  <c r="AH774" i="154"/>
  <c r="AI774" i="154" s="1"/>
  <c r="AA774" i="154"/>
  <c r="AB774" i="154" s="1"/>
  <c r="V774" i="154"/>
  <c r="Q774" i="154"/>
  <c r="P774" i="154"/>
  <c r="O774" i="154"/>
  <c r="N774" i="154"/>
  <c r="M774" i="154"/>
  <c r="L774" i="154"/>
  <c r="E774" i="154"/>
  <c r="AH773" i="154"/>
  <c r="AI773" i="154" s="1"/>
  <c r="AA773" i="154"/>
  <c r="AB773" i="154" s="1"/>
  <c r="V773" i="154"/>
  <c r="W773" i="154" s="1"/>
  <c r="Q773" i="154"/>
  <c r="P773" i="154"/>
  <c r="O773" i="154"/>
  <c r="N773" i="154"/>
  <c r="M773" i="154"/>
  <c r="L773" i="154"/>
  <c r="E773" i="154"/>
  <c r="AH772" i="154"/>
  <c r="AI772" i="154" s="1"/>
  <c r="AA772" i="154"/>
  <c r="AB772" i="154" s="1"/>
  <c r="V772" i="154"/>
  <c r="W772" i="154" s="1"/>
  <c r="Q772" i="154"/>
  <c r="P772" i="154"/>
  <c r="O772" i="154"/>
  <c r="N772" i="154"/>
  <c r="M772" i="154"/>
  <c r="L772" i="154"/>
  <c r="E772" i="154"/>
  <c r="AH771" i="154"/>
  <c r="AI771" i="154" s="1"/>
  <c r="AA771" i="154"/>
  <c r="AB771" i="154" s="1"/>
  <c r="V771" i="154"/>
  <c r="W771" i="154" s="1"/>
  <c r="Q771" i="154"/>
  <c r="P771" i="154"/>
  <c r="O771" i="154"/>
  <c r="N771" i="154"/>
  <c r="M771" i="154"/>
  <c r="L771" i="154"/>
  <c r="E771" i="154"/>
  <c r="AI770" i="154"/>
  <c r="AH770" i="154"/>
  <c r="AA770" i="154"/>
  <c r="AB770" i="154" s="1"/>
  <c r="V770" i="154"/>
  <c r="W770" i="154" s="1"/>
  <c r="Q770" i="154"/>
  <c r="P770" i="154"/>
  <c r="O770" i="154"/>
  <c r="N770" i="154"/>
  <c r="M770" i="154"/>
  <c r="L770" i="154"/>
  <c r="E770" i="154"/>
  <c r="AH769" i="154"/>
  <c r="AI769" i="154" s="1"/>
  <c r="AA769" i="154"/>
  <c r="AB769" i="154" s="1"/>
  <c r="V769" i="154"/>
  <c r="W769" i="154" s="1"/>
  <c r="Q769" i="154"/>
  <c r="P769" i="154"/>
  <c r="O769" i="154"/>
  <c r="N769" i="154"/>
  <c r="M769" i="154"/>
  <c r="L769" i="154"/>
  <c r="E769" i="154"/>
  <c r="AH768" i="154"/>
  <c r="AI768" i="154" s="1"/>
  <c r="AA768" i="154"/>
  <c r="AB768" i="154" s="1"/>
  <c r="V768" i="154"/>
  <c r="Q768" i="154"/>
  <c r="P768" i="154"/>
  <c r="O768" i="154"/>
  <c r="N768" i="154"/>
  <c r="M768" i="154"/>
  <c r="L768" i="154"/>
  <c r="E768" i="154"/>
  <c r="AH767" i="154"/>
  <c r="AI767" i="154" s="1"/>
  <c r="AA767" i="154"/>
  <c r="AB767" i="154" s="1"/>
  <c r="V767" i="154"/>
  <c r="W767" i="154" s="1"/>
  <c r="Q767" i="154"/>
  <c r="P767" i="154"/>
  <c r="O767" i="154"/>
  <c r="N767" i="154"/>
  <c r="M767" i="154"/>
  <c r="L767" i="154"/>
  <c r="E767" i="154"/>
  <c r="AH766" i="154"/>
  <c r="AI766" i="154" s="1"/>
  <c r="AA766" i="154"/>
  <c r="AB766" i="154" s="1"/>
  <c r="V766" i="154"/>
  <c r="Q766" i="154"/>
  <c r="P766" i="154"/>
  <c r="O766" i="154"/>
  <c r="N766" i="154"/>
  <c r="M766" i="154"/>
  <c r="L766" i="154"/>
  <c r="E766" i="154"/>
  <c r="AH765" i="154"/>
  <c r="AI765" i="154" s="1"/>
  <c r="AA765" i="154"/>
  <c r="AB765" i="154" s="1"/>
  <c r="V765" i="154"/>
  <c r="W765" i="154" s="1"/>
  <c r="Q765" i="154"/>
  <c r="P765" i="154"/>
  <c r="O765" i="154"/>
  <c r="N765" i="154"/>
  <c r="M765" i="154"/>
  <c r="L765" i="154"/>
  <c r="E765" i="154"/>
  <c r="AH764" i="154"/>
  <c r="AI764" i="154" s="1"/>
  <c r="AA764" i="154"/>
  <c r="AB764" i="154" s="1"/>
  <c r="V764" i="154"/>
  <c r="Q764" i="154"/>
  <c r="P764" i="154"/>
  <c r="O764" i="154"/>
  <c r="N764" i="154"/>
  <c r="M764" i="154"/>
  <c r="L764" i="154"/>
  <c r="E764" i="154"/>
  <c r="AH763" i="154"/>
  <c r="AI763" i="154" s="1"/>
  <c r="AA763" i="154"/>
  <c r="AB763" i="154" s="1"/>
  <c r="V763" i="154"/>
  <c r="W763" i="154" s="1"/>
  <c r="Q763" i="154"/>
  <c r="P763" i="154"/>
  <c r="O763" i="154"/>
  <c r="N763" i="154"/>
  <c r="M763" i="154"/>
  <c r="L763" i="154"/>
  <c r="E763" i="154"/>
  <c r="AH762" i="154"/>
  <c r="AI762" i="154" s="1"/>
  <c r="AA762" i="154"/>
  <c r="AB762" i="154" s="1"/>
  <c r="W762" i="154"/>
  <c r="V762" i="154"/>
  <c r="Q762" i="154"/>
  <c r="P762" i="154"/>
  <c r="O762" i="154"/>
  <c r="N762" i="154"/>
  <c r="M762" i="154"/>
  <c r="L762" i="154"/>
  <c r="E762" i="154"/>
  <c r="AH761" i="154"/>
  <c r="AI761" i="154" s="1"/>
  <c r="AA761" i="154"/>
  <c r="AB761" i="154" s="1"/>
  <c r="V761" i="154"/>
  <c r="W761" i="154" s="1"/>
  <c r="Q761" i="154"/>
  <c r="P761" i="154"/>
  <c r="O761" i="154"/>
  <c r="N761" i="154"/>
  <c r="M761" i="154"/>
  <c r="L761" i="154"/>
  <c r="E761" i="154"/>
  <c r="AI760" i="154"/>
  <c r="AH760" i="154"/>
  <c r="AA760" i="154"/>
  <c r="AB760" i="154" s="1"/>
  <c r="V760" i="154"/>
  <c r="Q760" i="154"/>
  <c r="P760" i="154"/>
  <c r="O760" i="154"/>
  <c r="N760" i="154"/>
  <c r="M760" i="154"/>
  <c r="L760" i="154"/>
  <c r="E760" i="154"/>
  <c r="AH759" i="154"/>
  <c r="AI759" i="154" s="1"/>
  <c r="AA759" i="154"/>
  <c r="AB759" i="154" s="1"/>
  <c r="V759" i="154"/>
  <c r="W759" i="154" s="1"/>
  <c r="Q759" i="154"/>
  <c r="P759" i="154"/>
  <c r="O759" i="154"/>
  <c r="N759" i="154"/>
  <c r="M759" i="154"/>
  <c r="L759" i="154"/>
  <c r="E759" i="154"/>
  <c r="AH758" i="154"/>
  <c r="AI758" i="154" s="1"/>
  <c r="AA758" i="154"/>
  <c r="AB758" i="154" s="1"/>
  <c r="V758" i="154"/>
  <c r="W758" i="154" s="1"/>
  <c r="Q758" i="154"/>
  <c r="P758" i="154"/>
  <c r="O758" i="154"/>
  <c r="N758" i="154"/>
  <c r="M758" i="154"/>
  <c r="L758" i="154"/>
  <c r="E758" i="154"/>
  <c r="AH757" i="154"/>
  <c r="AI757" i="154" s="1"/>
  <c r="AA757" i="154"/>
  <c r="AB757" i="154" s="1"/>
  <c r="V757" i="154"/>
  <c r="W757" i="154" s="1"/>
  <c r="Q757" i="154"/>
  <c r="P757" i="154"/>
  <c r="O757" i="154"/>
  <c r="N757" i="154"/>
  <c r="M757" i="154"/>
  <c r="L757" i="154"/>
  <c r="E757" i="154"/>
  <c r="AH756" i="154"/>
  <c r="AI756" i="154" s="1"/>
  <c r="AA756" i="154"/>
  <c r="AB756" i="154" s="1"/>
  <c r="V756" i="154"/>
  <c r="W756" i="154" s="1"/>
  <c r="Q756" i="154"/>
  <c r="P756" i="154"/>
  <c r="O756" i="154"/>
  <c r="N756" i="154"/>
  <c r="M756" i="154"/>
  <c r="L756" i="154"/>
  <c r="E756" i="154"/>
  <c r="AH755" i="154"/>
  <c r="AI755" i="154" s="1"/>
  <c r="AA755" i="154"/>
  <c r="AB755" i="154" s="1"/>
  <c r="V755" i="154"/>
  <c r="W755" i="154" s="1"/>
  <c r="Q755" i="154"/>
  <c r="P755" i="154"/>
  <c r="O755" i="154"/>
  <c r="N755" i="154"/>
  <c r="M755" i="154"/>
  <c r="L755" i="154"/>
  <c r="E755" i="154"/>
  <c r="AH754" i="154"/>
  <c r="AI754" i="154" s="1"/>
  <c r="AA754" i="154"/>
  <c r="AB754" i="154" s="1"/>
  <c r="V754" i="154"/>
  <c r="W754" i="154" s="1"/>
  <c r="Q754" i="154"/>
  <c r="P754" i="154"/>
  <c r="O754" i="154"/>
  <c r="N754" i="154"/>
  <c r="M754" i="154"/>
  <c r="L754" i="154"/>
  <c r="E754" i="154"/>
  <c r="AH753" i="154"/>
  <c r="AI753" i="154" s="1"/>
  <c r="AA753" i="154"/>
  <c r="AB753" i="154" s="1"/>
  <c r="V753" i="154"/>
  <c r="W753" i="154" s="1"/>
  <c r="Q753" i="154"/>
  <c r="P753" i="154"/>
  <c r="O753" i="154"/>
  <c r="N753" i="154"/>
  <c r="M753" i="154"/>
  <c r="L753" i="154"/>
  <c r="E753" i="154"/>
  <c r="AH752" i="154"/>
  <c r="AI752" i="154" s="1"/>
  <c r="AB752" i="154"/>
  <c r="AA752" i="154"/>
  <c r="V752" i="154"/>
  <c r="AC752" i="154" s="1"/>
  <c r="AD752" i="154" s="1"/>
  <c r="Q752" i="154"/>
  <c r="P752" i="154"/>
  <c r="O752" i="154"/>
  <c r="N752" i="154"/>
  <c r="M752" i="154"/>
  <c r="L752" i="154"/>
  <c r="E752" i="154"/>
  <c r="AH751" i="154"/>
  <c r="AI751" i="154" s="1"/>
  <c r="AA751" i="154"/>
  <c r="V751" i="154"/>
  <c r="W751" i="154" s="1"/>
  <c r="Q751" i="154"/>
  <c r="P751" i="154"/>
  <c r="O751" i="154"/>
  <c r="N751" i="154"/>
  <c r="M751" i="154"/>
  <c r="L751" i="154"/>
  <c r="E751" i="154"/>
  <c r="AH750" i="154"/>
  <c r="AI750" i="154" s="1"/>
  <c r="AA750" i="154"/>
  <c r="AB750" i="154" s="1"/>
  <c r="V750" i="154"/>
  <c r="Q750" i="154"/>
  <c r="P750" i="154"/>
  <c r="O750" i="154"/>
  <c r="N750" i="154"/>
  <c r="M750" i="154"/>
  <c r="L750" i="154"/>
  <c r="E750" i="154"/>
  <c r="AH749" i="154"/>
  <c r="AI749" i="154" s="1"/>
  <c r="AA749" i="154"/>
  <c r="AB749" i="154" s="1"/>
  <c r="V749" i="154"/>
  <c r="AC749" i="154" s="1"/>
  <c r="AD749" i="154" s="1"/>
  <c r="Q749" i="154"/>
  <c r="P749" i="154"/>
  <c r="O749" i="154"/>
  <c r="N749" i="154"/>
  <c r="M749" i="154"/>
  <c r="L749" i="154"/>
  <c r="E749" i="154"/>
  <c r="AH748" i="154"/>
  <c r="AI748" i="154" s="1"/>
  <c r="AA748" i="154"/>
  <c r="AB748" i="154" s="1"/>
  <c r="V748" i="154"/>
  <c r="W748" i="154" s="1"/>
  <c r="Q748" i="154"/>
  <c r="P748" i="154"/>
  <c r="O748" i="154"/>
  <c r="N748" i="154"/>
  <c r="M748" i="154"/>
  <c r="L748" i="154"/>
  <c r="E748" i="154"/>
  <c r="AH747" i="154"/>
  <c r="AI747" i="154" s="1"/>
  <c r="AA747" i="154"/>
  <c r="AB747" i="154" s="1"/>
  <c r="V747" i="154"/>
  <c r="W747" i="154" s="1"/>
  <c r="Q747" i="154"/>
  <c r="P747" i="154"/>
  <c r="O747" i="154"/>
  <c r="N747" i="154"/>
  <c r="M747" i="154"/>
  <c r="L747" i="154"/>
  <c r="E747" i="154"/>
  <c r="AH746" i="154"/>
  <c r="AI746" i="154" s="1"/>
  <c r="AA746" i="154"/>
  <c r="AB746" i="154" s="1"/>
  <c r="V746" i="154"/>
  <c r="W746" i="154" s="1"/>
  <c r="Q746" i="154"/>
  <c r="P746" i="154"/>
  <c r="O746" i="154"/>
  <c r="N746" i="154"/>
  <c r="M746" i="154"/>
  <c r="L746" i="154"/>
  <c r="E746" i="154"/>
  <c r="AH745" i="154"/>
  <c r="AI745" i="154" s="1"/>
  <c r="AA745" i="154"/>
  <c r="AB745" i="154" s="1"/>
  <c r="V745" i="154"/>
  <c r="W745" i="154" s="1"/>
  <c r="Q745" i="154"/>
  <c r="P745" i="154"/>
  <c r="O745" i="154"/>
  <c r="N745" i="154"/>
  <c r="M745" i="154"/>
  <c r="L745" i="154"/>
  <c r="E745" i="154"/>
  <c r="AH744" i="154"/>
  <c r="AI744" i="154" s="1"/>
  <c r="AA744" i="154"/>
  <c r="AB744" i="154" s="1"/>
  <c r="V744" i="154"/>
  <c r="Q744" i="154"/>
  <c r="P744" i="154"/>
  <c r="O744" i="154"/>
  <c r="N744" i="154"/>
  <c r="M744" i="154"/>
  <c r="L744" i="154"/>
  <c r="E744" i="154"/>
  <c r="AH743" i="154"/>
  <c r="AI743" i="154" s="1"/>
  <c r="AA743" i="154"/>
  <c r="AB743" i="154" s="1"/>
  <c r="V743" i="154"/>
  <c r="W743" i="154" s="1"/>
  <c r="Q743" i="154"/>
  <c r="P743" i="154"/>
  <c r="O743" i="154"/>
  <c r="N743" i="154"/>
  <c r="M743" i="154"/>
  <c r="L743" i="154"/>
  <c r="E743" i="154"/>
  <c r="AH742" i="154"/>
  <c r="AI742" i="154" s="1"/>
  <c r="AA742" i="154"/>
  <c r="AB742" i="154" s="1"/>
  <c r="V742" i="154"/>
  <c r="Q742" i="154"/>
  <c r="P742" i="154"/>
  <c r="O742" i="154"/>
  <c r="N742" i="154"/>
  <c r="M742" i="154"/>
  <c r="L742" i="154"/>
  <c r="E742" i="154"/>
  <c r="AH741" i="154"/>
  <c r="AI741" i="154" s="1"/>
  <c r="AA741" i="154"/>
  <c r="AB741" i="154" s="1"/>
  <c r="V741" i="154"/>
  <c r="W741" i="154" s="1"/>
  <c r="Q741" i="154"/>
  <c r="P741" i="154"/>
  <c r="O741" i="154"/>
  <c r="N741" i="154"/>
  <c r="M741" i="154"/>
  <c r="L741" i="154"/>
  <c r="E741" i="154"/>
  <c r="AH740" i="154"/>
  <c r="AI740" i="154" s="1"/>
  <c r="AA740" i="154"/>
  <c r="AB740" i="154" s="1"/>
  <c r="V740" i="154"/>
  <c r="W740" i="154" s="1"/>
  <c r="Q740" i="154"/>
  <c r="P740" i="154"/>
  <c r="O740" i="154"/>
  <c r="N740" i="154"/>
  <c r="M740" i="154"/>
  <c r="L740" i="154"/>
  <c r="E740" i="154"/>
  <c r="AH739" i="154"/>
  <c r="AI739" i="154" s="1"/>
  <c r="AA739" i="154"/>
  <c r="AB739" i="154" s="1"/>
  <c r="V739" i="154"/>
  <c r="W739" i="154" s="1"/>
  <c r="Q739" i="154"/>
  <c r="P739" i="154"/>
  <c r="O739" i="154"/>
  <c r="N739" i="154"/>
  <c r="M739" i="154"/>
  <c r="L739" i="154"/>
  <c r="E739" i="154"/>
  <c r="AH738" i="154"/>
  <c r="AI738" i="154" s="1"/>
  <c r="AA738" i="154"/>
  <c r="AB738" i="154" s="1"/>
  <c r="V738" i="154"/>
  <c r="Q738" i="154"/>
  <c r="P738" i="154"/>
  <c r="O738" i="154"/>
  <c r="N738" i="154"/>
  <c r="M738" i="154"/>
  <c r="L738" i="154"/>
  <c r="E738" i="154"/>
  <c r="AH737" i="154"/>
  <c r="AI737" i="154" s="1"/>
  <c r="AA737" i="154"/>
  <c r="AB737" i="154" s="1"/>
  <c r="V737" i="154"/>
  <c r="Q737" i="154"/>
  <c r="P737" i="154"/>
  <c r="O737" i="154"/>
  <c r="N737" i="154"/>
  <c r="M737" i="154"/>
  <c r="L737" i="154"/>
  <c r="E737" i="154"/>
  <c r="AH736" i="154"/>
  <c r="AI736" i="154" s="1"/>
  <c r="AA736" i="154"/>
  <c r="AB736" i="154" s="1"/>
  <c r="V736" i="154"/>
  <c r="Q736" i="154"/>
  <c r="P736" i="154"/>
  <c r="O736" i="154"/>
  <c r="N736" i="154"/>
  <c r="M736" i="154"/>
  <c r="L736" i="154"/>
  <c r="E736" i="154"/>
  <c r="AH735" i="154"/>
  <c r="AI735" i="154" s="1"/>
  <c r="AA735" i="154"/>
  <c r="AB735" i="154" s="1"/>
  <c r="V735" i="154"/>
  <c r="W735" i="154" s="1"/>
  <c r="Q735" i="154"/>
  <c r="P735" i="154"/>
  <c r="O735" i="154"/>
  <c r="N735" i="154"/>
  <c r="M735" i="154"/>
  <c r="L735" i="154"/>
  <c r="E735" i="154"/>
  <c r="AH734" i="154"/>
  <c r="AI734" i="154" s="1"/>
  <c r="AA734" i="154"/>
  <c r="AB734" i="154" s="1"/>
  <c r="V734" i="154"/>
  <c r="Q734" i="154"/>
  <c r="P734" i="154"/>
  <c r="O734" i="154"/>
  <c r="N734" i="154"/>
  <c r="M734" i="154"/>
  <c r="L734" i="154"/>
  <c r="E734" i="154"/>
  <c r="AH733" i="154"/>
  <c r="AI733" i="154" s="1"/>
  <c r="AA733" i="154"/>
  <c r="AB733" i="154" s="1"/>
  <c r="V733" i="154"/>
  <c r="W733" i="154" s="1"/>
  <c r="Q733" i="154"/>
  <c r="P733" i="154"/>
  <c r="O733" i="154"/>
  <c r="N733" i="154"/>
  <c r="M733" i="154"/>
  <c r="L733" i="154"/>
  <c r="E733" i="154"/>
  <c r="AH732" i="154"/>
  <c r="AI732" i="154" s="1"/>
  <c r="AA732" i="154"/>
  <c r="AB732" i="154" s="1"/>
  <c r="V732" i="154"/>
  <c r="W732" i="154" s="1"/>
  <c r="Q732" i="154"/>
  <c r="P732" i="154"/>
  <c r="O732" i="154"/>
  <c r="N732" i="154"/>
  <c r="M732" i="154"/>
  <c r="L732" i="154"/>
  <c r="E732" i="154"/>
  <c r="AI731" i="154"/>
  <c r="AH731" i="154"/>
  <c r="AA731" i="154"/>
  <c r="AB731" i="154" s="1"/>
  <c r="V731" i="154"/>
  <c r="W731" i="154" s="1"/>
  <c r="Q731" i="154"/>
  <c r="P731" i="154"/>
  <c r="O731" i="154"/>
  <c r="N731" i="154"/>
  <c r="M731" i="154"/>
  <c r="L731" i="154"/>
  <c r="E731" i="154"/>
  <c r="AH730" i="154"/>
  <c r="AI730" i="154" s="1"/>
  <c r="AA730" i="154"/>
  <c r="AB730" i="154" s="1"/>
  <c r="V730" i="154"/>
  <c r="Q730" i="154"/>
  <c r="P730" i="154"/>
  <c r="O730" i="154"/>
  <c r="N730" i="154"/>
  <c r="M730" i="154"/>
  <c r="L730" i="154"/>
  <c r="E730" i="154"/>
  <c r="AH729" i="154"/>
  <c r="AI729" i="154" s="1"/>
  <c r="AA729" i="154"/>
  <c r="AB729" i="154" s="1"/>
  <c r="V729" i="154"/>
  <c r="Q729" i="154"/>
  <c r="P729" i="154"/>
  <c r="O729" i="154"/>
  <c r="N729" i="154"/>
  <c r="M729" i="154"/>
  <c r="L729" i="154"/>
  <c r="E729" i="154"/>
  <c r="AH728" i="154"/>
  <c r="AI728" i="154" s="1"/>
  <c r="AA728" i="154"/>
  <c r="AB728" i="154" s="1"/>
  <c r="V728" i="154"/>
  <c r="AC728" i="154" s="1"/>
  <c r="AD728" i="154" s="1"/>
  <c r="Q728" i="154"/>
  <c r="P728" i="154"/>
  <c r="O728" i="154"/>
  <c r="N728" i="154"/>
  <c r="M728" i="154"/>
  <c r="L728" i="154"/>
  <c r="E728" i="154"/>
  <c r="AH727" i="154"/>
  <c r="AI727" i="154" s="1"/>
  <c r="AA727" i="154"/>
  <c r="AB727" i="154" s="1"/>
  <c r="V727" i="154"/>
  <c r="W727" i="154" s="1"/>
  <c r="Q727" i="154"/>
  <c r="P727" i="154"/>
  <c r="O727" i="154"/>
  <c r="N727" i="154"/>
  <c r="M727" i="154"/>
  <c r="L727" i="154"/>
  <c r="E727" i="154"/>
  <c r="AH726" i="154"/>
  <c r="AI726" i="154" s="1"/>
  <c r="AA726" i="154"/>
  <c r="AB726" i="154" s="1"/>
  <c r="V726" i="154"/>
  <c r="Q726" i="154"/>
  <c r="P726" i="154"/>
  <c r="O726" i="154"/>
  <c r="N726" i="154"/>
  <c r="M726" i="154"/>
  <c r="L726" i="154"/>
  <c r="E726" i="154"/>
  <c r="AH725" i="154"/>
  <c r="AI725" i="154" s="1"/>
  <c r="AA725" i="154"/>
  <c r="AB725" i="154" s="1"/>
  <c r="V725" i="154"/>
  <c r="W725" i="154" s="1"/>
  <c r="Q725" i="154"/>
  <c r="P725" i="154"/>
  <c r="O725" i="154"/>
  <c r="N725" i="154"/>
  <c r="M725" i="154"/>
  <c r="L725" i="154"/>
  <c r="E725" i="154"/>
  <c r="AH724" i="154"/>
  <c r="AI724" i="154" s="1"/>
  <c r="AA724" i="154"/>
  <c r="AB724" i="154" s="1"/>
  <c r="V724" i="154"/>
  <c r="W724" i="154" s="1"/>
  <c r="Q724" i="154"/>
  <c r="P724" i="154"/>
  <c r="O724" i="154"/>
  <c r="N724" i="154"/>
  <c r="M724" i="154"/>
  <c r="L724" i="154"/>
  <c r="E724" i="154"/>
  <c r="AH723" i="154"/>
  <c r="AI723" i="154" s="1"/>
  <c r="AA723" i="154"/>
  <c r="AB723" i="154" s="1"/>
  <c r="V723" i="154"/>
  <c r="W723" i="154" s="1"/>
  <c r="Q723" i="154"/>
  <c r="P723" i="154"/>
  <c r="O723" i="154"/>
  <c r="N723" i="154"/>
  <c r="M723" i="154"/>
  <c r="L723" i="154"/>
  <c r="E723" i="154"/>
  <c r="AH722" i="154"/>
  <c r="AI722" i="154" s="1"/>
  <c r="AA722" i="154"/>
  <c r="AB722" i="154" s="1"/>
  <c r="V722" i="154"/>
  <c r="Q722" i="154"/>
  <c r="P722" i="154"/>
  <c r="O722" i="154"/>
  <c r="N722" i="154"/>
  <c r="M722" i="154"/>
  <c r="L722" i="154"/>
  <c r="E722" i="154"/>
  <c r="AH721" i="154"/>
  <c r="AI721" i="154" s="1"/>
  <c r="AA721" i="154"/>
  <c r="AB721" i="154" s="1"/>
  <c r="V721" i="154"/>
  <c r="Q721" i="154"/>
  <c r="P721" i="154"/>
  <c r="O721" i="154"/>
  <c r="N721" i="154"/>
  <c r="M721" i="154"/>
  <c r="L721" i="154"/>
  <c r="E721" i="154"/>
  <c r="AH720" i="154"/>
  <c r="AI720" i="154" s="1"/>
  <c r="AA720" i="154"/>
  <c r="AB720" i="154" s="1"/>
  <c r="V720" i="154"/>
  <c r="Q720" i="154"/>
  <c r="P720" i="154"/>
  <c r="O720" i="154"/>
  <c r="N720" i="154"/>
  <c r="M720" i="154"/>
  <c r="L720" i="154"/>
  <c r="E720" i="154"/>
  <c r="AH719" i="154"/>
  <c r="AI719" i="154" s="1"/>
  <c r="AA719" i="154"/>
  <c r="AB719" i="154" s="1"/>
  <c r="V719" i="154"/>
  <c r="W719" i="154" s="1"/>
  <c r="Q719" i="154"/>
  <c r="P719" i="154"/>
  <c r="O719" i="154"/>
  <c r="N719" i="154"/>
  <c r="M719" i="154"/>
  <c r="L719" i="154"/>
  <c r="E719" i="154"/>
  <c r="AH718" i="154"/>
  <c r="AI718" i="154" s="1"/>
  <c r="AA718" i="154"/>
  <c r="AB718" i="154" s="1"/>
  <c r="V718" i="154"/>
  <c r="Q718" i="154"/>
  <c r="P718" i="154"/>
  <c r="O718" i="154"/>
  <c r="N718" i="154"/>
  <c r="M718" i="154"/>
  <c r="L718" i="154"/>
  <c r="E718" i="154"/>
  <c r="AH717" i="154"/>
  <c r="AI717" i="154" s="1"/>
  <c r="AA717" i="154"/>
  <c r="AB717" i="154" s="1"/>
  <c r="V717" i="154"/>
  <c r="W717" i="154" s="1"/>
  <c r="Q717" i="154"/>
  <c r="P717" i="154"/>
  <c r="O717" i="154"/>
  <c r="N717" i="154"/>
  <c r="M717" i="154"/>
  <c r="L717" i="154"/>
  <c r="E717" i="154"/>
  <c r="AH716" i="154"/>
  <c r="AI716" i="154" s="1"/>
  <c r="AA716" i="154"/>
  <c r="AB716" i="154" s="1"/>
  <c r="W716" i="154"/>
  <c r="V716" i="154"/>
  <c r="Q716" i="154"/>
  <c r="P716" i="154"/>
  <c r="O716" i="154"/>
  <c r="N716" i="154"/>
  <c r="M716" i="154"/>
  <c r="L716" i="154"/>
  <c r="E716" i="154"/>
  <c r="AH715" i="154"/>
  <c r="AI715" i="154" s="1"/>
  <c r="AA715" i="154"/>
  <c r="AB715" i="154" s="1"/>
  <c r="V715" i="154"/>
  <c r="W715" i="154" s="1"/>
  <c r="Q715" i="154"/>
  <c r="P715" i="154"/>
  <c r="O715" i="154"/>
  <c r="N715" i="154"/>
  <c r="M715" i="154"/>
  <c r="L715" i="154"/>
  <c r="E715" i="154"/>
  <c r="AH714" i="154"/>
  <c r="AI714" i="154" s="1"/>
  <c r="AA714" i="154"/>
  <c r="AB714" i="154" s="1"/>
  <c r="V714" i="154"/>
  <c r="Q714" i="154"/>
  <c r="P714" i="154"/>
  <c r="O714" i="154"/>
  <c r="N714" i="154"/>
  <c r="M714" i="154"/>
  <c r="L714" i="154"/>
  <c r="E714" i="154"/>
  <c r="AH713" i="154"/>
  <c r="AI713" i="154" s="1"/>
  <c r="AA713" i="154"/>
  <c r="AB713" i="154" s="1"/>
  <c r="V713" i="154"/>
  <c r="Q713" i="154"/>
  <c r="P713" i="154"/>
  <c r="O713" i="154"/>
  <c r="N713" i="154"/>
  <c r="M713" i="154"/>
  <c r="L713" i="154"/>
  <c r="E713" i="154"/>
  <c r="AH712" i="154"/>
  <c r="AI712" i="154" s="1"/>
  <c r="AA712" i="154"/>
  <c r="AB712" i="154" s="1"/>
  <c r="V712" i="154"/>
  <c r="Q712" i="154"/>
  <c r="P712" i="154"/>
  <c r="O712" i="154"/>
  <c r="N712" i="154"/>
  <c r="M712" i="154"/>
  <c r="L712" i="154"/>
  <c r="E712" i="154"/>
  <c r="AH711" i="154"/>
  <c r="AI711" i="154" s="1"/>
  <c r="AA711" i="154"/>
  <c r="AB711" i="154" s="1"/>
  <c r="V711" i="154"/>
  <c r="W711" i="154" s="1"/>
  <c r="Q711" i="154"/>
  <c r="P711" i="154"/>
  <c r="O711" i="154"/>
  <c r="N711" i="154"/>
  <c r="M711" i="154"/>
  <c r="L711" i="154"/>
  <c r="E711" i="154"/>
  <c r="AH710" i="154"/>
  <c r="AI710" i="154" s="1"/>
  <c r="AA710" i="154"/>
  <c r="AB710" i="154" s="1"/>
  <c r="V710" i="154"/>
  <c r="Q710" i="154"/>
  <c r="P710" i="154"/>
  <c r="O710" i="154"/>
  <c r="N710" i="154"/>
  <c r="M710" i="154"/>
  <c r="L710" i="154"/>
  <c r="E710" i="154"/>
  <c r="AH709" i="154"/>
  <c r="AI709" i="154" s="1"/>
  <c r="AA709" i="154"/>
  <c r="AB709" i="154" s="1"/>
  <c r="V709" i="154"/>
  <c r="W709" i="154" s="1"/>
  <c r="Q709" i="154"/>
  <c r="P709" i="154"/>
  <c r="O709" i="154"/>
  <c r="N709" i="154"/>
  <c r="M709" i="154"/>
  <c r="L709" i="154"/>
  <c r="E709" i="154"/>
  <c r="AH708" i="154"/>
  <c r="AI708" i="154" s="1"/>
  <c r="AA708" i="154"/>
  <c r="AB708" i="154" s="1"/>
  <c r="V708" i="154"/>
  <c r="W708" i="154" s="1"/>
  <c r="Q708" i="154"/>
  <c r="P708" i="154"/>
  <c r="O708" i="154"/>
  <c r="N708" i="154"/>
  <c r="M708" i="154"/>
  <c r="L708" i="154"/>
  <c r="E708" i="154"/>
  <c r="AH707" i="154"/>
  <c r="AI707" i="154" s="1"/>
  <c r="AA707" i="154"/>
  <c r="AB707" i="154" s="1"/>
  <c r="V707" i="154"/>
  <c r="W707" i="154" s="1"/>
  <c r="Q707" i="154"/>
  <c r="P707" i="154"/>
  <c r="O707" i="154"/>
  <c r="N707" i="154"/>
  <c r="M707" i="154"/>
  <c r="L707" i="154"/>
  <c r="E707" i="154"/>
  <c r="AH706" i="154"/>
  <c r="AI706" i="154" s="1"/>
  <c r="AA706" i="154"/>
  <c r="AB706" i="154" s="1"/>
  <c r="V706" i="154"/>
  <c r="Q706" i="154"/>
  <c r="P706" i="154"/>
  <c r="O706" i="154"/>
  <c r="N706" i="154"/>
  <c r="M706" i="154"/>
  <c r="L706" i="154"/>
  <c r="E706" i="154"/>
  <c r="AH705" i="154"/>
  <c r="AI705" i="154" s="1"/>
  <c r="AA705" i="154"/>
  <c r="AB705" i="154" s="1"/>
  <c r="V705" i="154"/>
  <c r="Q705" i="154"/>
  <c r="P705" i="154"/>
  <c r="O705" i="154"/>
  <c r="N705" i="154"/>
  <c r="M705" i="154"/>
  <c r="L705" i="154"/>
  <c r="E705" i="154"/>
  <c r="AH704" i="154"/>
  <c r="AI704" i="154" s="1"/>
  <c r="AA704" i="154"/>
  <c r="AB704" i="154" s="1"/>
  <c r="V704" i="154"/>
  <c r="Q704" i="154"/>
  <c r="P704" i="154"/>
  <c r="O704" i="154"/>
  <c r="N704" i="154"/>
  <c r="M704" i="154"/>
  <c r="L704" i="154"/>
  <c r="E704" i="154"/>
  <c r="AH703" i="154"/>
  <c r="AI703" i="154" s="1"/>
  <c r="AA703" i="154"/>
  <c r="AB703" i="154" s="1"/>
  <c r="V703" i="154"/>
  <c r="W703" i="154" s="1"/>
  <c r="Q703" i="154"/>
  <c r="P703" i="154"/>
  <c r="O703" i="154"/>
  <c r="N703" i="154"/>
  <c r="M703" i="154"/>
  <c r="L703" i="154"/>
  <c r="E703" i="154"/>
  <c r="AH702" i="154"/>
  <c r="AI702" i="154" s="1"/>
  <c r="AA702" i="154"/>
  <c r="AB702" i="154" s="1"/>
  <c r="V702" i="154"/>
  <c r="Q702" i="154"/>
  <c r="P702" i="154"/>
  <c r="O702" i="154"/>
  <c r="N702" i="154"/>
  <c r="M702" i="154"/>
  <c r="L702" i="154"/>
  <c r="E702" i="154"/>
  <c r="AH701" i="154"/>
  <c r="AI701" i="154" s="1"/>
  <c r="AA701" i="154"/>
  <c r="AB701" i="154" s="1"/>
  <c r="V701" i="154"/>
  <c r="W701" i="154" s="1"/>
  <c r="Q701" i="154"/>
  <c r="P701" i="154"/>
  <c r="O701" i="154"/>
  <c r="N701" i="154"/>
  <c r="M701" i="154"/>
  <c r="L701" i="154"/>
  <c r="E701" i="154"/>
  <c r="AH700" i="154"/>
  <c r="AI700" i="154" s="1"/>
  <c r="AA700" i="154"/>
  <c r="AB700" i="154" s="1"/>
  <c r="V700" i="154"/>
  <c r="W700" i="154" s="1"/>
  <c r="Q700" i="154"/>
  <c r="P700" i="154"/>
  <c r="O700" i="154"/>
  <c r="N700" i="154"/>
  <c r="M700" i="154"/>
  <c r="L700" i="154"/>
  <c r="E700" i="154"/>
  <c r="AH699" i="154"/>
  <c r="AI699" i="154" s="1"/>
  <c r="AA699" i="154"/>
  <c r="AB699" i="154" s="1"/>
  <c r="V699" i="154"/>
  <c r="W699" i="154" s="1"/>
  <c r="Q699" i="154"/>
  <c r="P699" i="154"/>
  <c r="O699" i="154"/>
  <c r="N699" i="154"/>
  <c r="M699" i="154"/>
  <c r="L699" i="154"/>
  <c r="E699" i="154"/>
  <c r="AI698" i="154"/>
  <c r="AH698" i="154"/>
  <c r="AA698" i="154"/>
  <c r="AB698" i="154" s="1"/>
  <c r="V698" i="154"/>
  <c r="Q698" i="154"/>
  <c r="P698" i="154"/>
  <c r="O698" i="154"/>
  <c r="N698" i="154"/>
  <c r="M698" i="154"/>
  <c r="L698" i="154"/>
  <c r="E698" i="154"/>
  <c r="AH697" i="154"/>
  <c r="AI697" i="154" s="1"/>
  <c r="AA697" i="154"/>
  <c r="AB697" i="154" s="1"/>
  <c r="V697" i="154"/>
  <c r="Q697" i="154"/>
  <c r="P697" i="154"/>
  <c r="O697" i="154"/>
  <c r="N697" i="154"/>
  <c r="M697" i="154"/>
  <c r="L697" i="154"/>
  <c r="E697" i="154"/>
  <c r="AH696" i="154"/>
  <c r="AI696" i="154" s="1"/>
  <c r="AA696" i="154"/>
  <c r="AB696" i="154" s="1"/>
  <c r="V696" i="154"/>
  <c r="Q696" i="154"/>
  <c r="P696" i="154"/>
  <c r="O696" i="154"/>
  <c r="N696" i="154"/>
  <c r="M696" i="154"/>
  <c r="L696" i="154"/>
  <c r="E696" i="154"/>
  <c r="AH695" i="154"/>
  <c r="AI695" i="154" s="1"/>
  <c r="AB695" i="154"/>
  <c r="AA695" i="154"/>
  <c r="V695" i="154"/>
  <c r="W695" i="154" s="1"/>
  <c r="Q695" i="154"/>
  <c r="P695" i="154"/>
  <c r="O695" i="154"/>
  <c r="N695" i="154"/>
  <c r="M695" i="154"/>
  <c r="L695" i="154"/>
  <c r="E695" i="154"/>
  <c r="AH694" i="154"/>
  <c r="AI694" i="154" s="1"/>
  <c r="AA694" i="154"/>
  <c r="AB694" i="154" s="1"/>
  <c r="V694" i="154"/>
  <c r="Q694" i="154"/>
  <c r="P694" i="154"/>
  <c r="O694" i="154"/>
  <c r="N694" i="154"/>
  <c r="M694" i="154"/>
  <c r="L694" i="154"/>
  <c r="E694" i="154"/>
  <c r="AH693" i="154"/>
  <c r="AI693" i="154" s="1"/>
  <c r="AA693" i="154"/>
  <c r="AB693" i="154" s="1"/>
  <c r="V693" i="154"/>
  <c r="W693" i="154" s="1"/>
  <c r="Q693" i="154"/>
  <c r="P693" i="154"/>
  <c r="O693" i="154"/>
  <c r="N693" i="154"/>
  <c r="M693" i="154"/>
  <c r="L693" i="154"/>
  <c r="E693" i="154"/>
  <c r="AH692" i="154"/>
  <c r="AI692" i="154" s="1"/>
  <c r="AA692" i="154"/>
  <c r="AB692" i="154" s="1"/>
  <c r="W692" i="154"/>
  <c r="V692" i="154"/>
  <c r="Q692" i="154"/>
  <c r="P692" i="154"/>
  <c r="O692" i="154"/>
  <c r="N692" i="154"/>
  <c r="M692" i="154"/>
  <c r="L692" i="154"/>
  <c r="E692" i="154"/>
  <c r="AH691" i="154"/>
  <c r="AI691" i="154" s="1"/>
  <c r="AA691" i="154"/>
  <c r="AB691" i="154" s="1"/>
  <c r="V691" i="154"/>
  <c r="W691" i="154" s="1"/>
  <c r="Q691" i="154"/>
  <c r="P691" i="154"/>
  <c r="O691" i="154"/>
  <c r="N691" i="154"/>
  <c r="M691" i="154"/>
  <c r="L691" i="154"/>
  <c r="E691" i="154"/>
  <c r="AH690" i="154"/>
  <c r="AI690" i="154" s="1"/>
  <c r="AA690" i="154"/>
  <c r="AB690" i="154" s="1"/>
  <c r="V690" i="154"/>
  <c r="Q690" i="154"/>
  <c r="P690" i="154"/>
  <c r="O690" i="154"/>
  <c r="N690" i="154"/>
  <c r="M690" i="154"/>
  <c r="L690" i="154"/>
  <c r="E690" i="154"/>
  <c r="AH689" i="154"/>
  <c r="AI689" i="154" s="1"/>
  <c r="AA689" i="154"/>
  <c r="AB689" i="154" s="1"/>
  <c r="V689" i="154"/>
  <c r="Q689" i="154"/>
  <c r="P689" i="154"/>
  <c r="O689" i="154"/>
  <c r="N689" i="154"/>
  <c r="M689" i="154"/>
  <c r="L689" i="154"/>
  <c r="E689" i="154"/>
  <c r="AH688" i="154"/>
  <c r="AI688" i="154" s="1"/>
  <c r="AA688" i="154"/>
  <c r="AB688" i="154" s="1"/>
  <c r="V688" i="154"/>
  <c r="Q688" i="154"/>
  <c r="P688" i="154"/>
  <c r="O688" i="154"/>
  <c r="N688" i="154"/>
  <c r="M688" i="154"/>
  <c r="L688" i="154"/>
  <c r="E688" i="154"/>
  <c r="AH687" i="154"/>
  <c r="AI687" i="154" s="1"/>
  <c r="AA687" i="154"/>
  <c r="AB687" i="154" s="1"/>
  <c r="V687" i="154"/>
  <c r="W687" i="154" s="1"/>
  <c r="Q687" i="154"/>
  <c r="P687" i="154"/>
  <c r="O687" i="154"/>
  <c r="N687" i="154"/>
  <c r="M687" i="154"/>
  <c r="L687" i="154"/>
  <c r="E687" i="154"/>
  <c r="AH686" i="154"/>
  <c r="AI686" i="154" s="1"/>
  <c r="AA686" i="154"/>
  <c r="AB686" i="154" s="1"/>
  <c r="V686" i="154"/>
  <c r="Q686" i="154"/>
  <c r="P686" i="154"/>
  <c r="O686" i="154"/>
  <c r="N686" i="154"/>
  <c r="M686" i="154"/>
  <c r="L686" i="154"/>
  <c r="E686" i="154"/>
  <c r="AH685" i="154"/>
  <c r="AI685" i="154" s="1"/>
  <c r="AA685" i="154"/>
  <c r="AB685" i="154" s="1"/>
  <c r="V685" i="154"/>
  <c r="W685" i="154" s="1"/>
  <c r="Q685" i="154"/>
  <c r="P685" i="154"/>
  <c r="O685" i="154"/>
  <c r="N685" i="154"/>
  <c r="M685" i="154"/>
  <c r="L685" i="154"/>
  <c r="E685" i="154"/>
  <c r="AH684" i="154"/>
  <c r="AI684" i="154" s="1"/>
  <c r="AA684" i="154"/>
  <c r="AB684" i="154" s="1"/>
  <c r="W684" i="154"/>
  <c r="V684" i="154"/>
  <c r="Q684" i="154"/>
  <c r="P684" i="154"/>
  <c r="O684" i="154"/>
  <c r="N684" i="154"/>
  <c r="M684" i="154"/>
  <c r="L684" i="154"/>
  <c r="E684" i="154"/>
  <c r="AH683" i="154"/>
  <c r="AI683" i="154" s="1"/>
  <c r="AA683" i="154"/>
  <c r="AB683" i="154" s="1"/>
  <c r="V683" i="154"/>
  <c r="W683" i="154" s="1"/>
  <c r="Q683" i="154"/>
  <c r="P683" i="154"/>
  <c r="O683" i="154"/>
  <c r="N683" i="154"/>
  <c r="M683" i="154"/>
  <c r="L683" i="154"/>
  <c r="E683" i="154"/>
  <c r="AH682" i="154"/>
  <c r="AI682" i="154" s="1"/>
  <c r="AA682" i="154"/>
  <c r="AB682" i="154" s="1"/>
  <c r="V682" i="154"/>
  <c r="Q682" i="154"/>
  <c r="P682" i="154"/>
  <c r="O682" i="154"/>
  <c r="N682" i="154"/>
  <c r="M682" i="154"/>
  <c r="L682" i="154"/>
  <c r="E682" i="154"/>
  <c r="AH681" i="154"/>
  <c r="AI681" i="154" s="1"/>
  <c r="AA681" i="154"/>
  <c r="AB681" i="154" s="1"/>
  <c r="V681" i="154"/>
  <c r="Q681" i="154"/>
  <c r="P681" i="154"/>
  <c r="O681" i="154"/>
  <c r="N681" i="154"/>
  <c r="M681" i="154"/>
  <c r="L681" i="154"/>
  <c r="E681" i="154"/>
  <c r="AH680" i="154"/>
  <c r="AI680" i="154" s="1"/>
  <c r="AA680" i="154"/>
  <c r="AB680" i="154" s="1"/>
  <c r="V680" i="154"/>
  <c r="Q680" i="154"/>
  <c r="P680" i="154"/>
  <c r="O680" i="154"/>
  <c r="N680" i="154"/>
  <c r="M680" i="154"/>
  <c r="L680" i="154"/>
  <c r="E680" i="154"/>
  <c r="AH679" i="154"/>
  <c r="AI679" i="154" s="1"/>
  <c r="AA679" i="154"/>
  <c r="AB679" i="154" s="1"/>
  <c r="V679" i="154"/>
  <c r="W679" i="154" s="1"/>
  <c r="Q679" i="154"/>
  <c r="P679" i="154"/>
  <c r="O679" i="154"/>
  <c r="N679" i="154"/>
  <c r="M679" i="154"/>
  <c r="L679" i="154"/>
  <c r="E679" i="154"/>
  <c r="AH678" i="154"/>
  <c r="AI678" i="154" s="1"/>
  <c r="AA678" i="154"/>
  <c r="AB678" i="154" s="1"/>
  <c r="V678" i="154"/>
  <c r="Q678" i="154"/>
  <c r="P678" i="154"/>
  <c r="O678" i="154"/>
  <c r="N678" i="154"/>
  <c r="M678" i="154"/>
  <c r="L678" i="154"/>
  <c r="E678" i="154"/>
  <c r="AH677" i="154"/>
  <c r="AI677" i="154" s="1"/>
  <c r="AA677" i="154"/>
  <c r="AB677" i="154" s="1"/>
  <c r="V677" i="154"/>
  <c r="W677" i="154" s="1"/>
  <c r="Q677" i="154"/>
  <c r="P677" i="154"/>
  <c r="O677" i="154"/>
  <c r="N677" i="154"/>
  <c r="M677" i="154"/>
  <c r="L677" i="154"/>
  <c r="E677" i="154"/>
  <c r="AH676" i="154"/>
  <c r="AI676" i="154" s="1"/>
  <c r="AA676" i="154"/>
  <c r="AB676" i="154" s="1"/>
  <c r="V676" i="154"/>
  <c r="W676" i="154" s="1"/>
  <c r="Q676" i="154"/>
  <c r="P676" i="154"/>
  <c r="O676" i="154"/>
  <c r="N676" i="154"/>
  <c r="M676" i="154"/>
  <c r="L676" i="154"/>
  <c r="E676" i="154"/>
  <c r="AI675" i="154"/>
  <c r="AH675" i="154"/>
  <c r="AA675" i="154"/>
  <c r="AB675" i="154" s="1"/>
  <c r="V675" i="154"/>
  <c r="W675" i="154" s="1"/>
  <c r="Q675" i="154"/>
  <c r="P675" i="154"/>
  <c r="O675" i="154"/>
  <c r="N675" i="154"/>
  <c r="M675" i="154"/>
  <c r="L675" i="154"/>
  <c r="E675" i="154"/>
  <c r="AI674" i="154"/>
  <c r="AH674" i="154"/>
  <c r="AA674" i="154"/>
  <c r="AB674" i="154" s="1"/>
  <c r="V674" i="154"/>
  <c r="Q674" i="154"/>
  <c r="P674" i="154"/>
  <c r="O674" i="154"/>
  <c r="N674" i="154"/>
  <c r="M674" i="154"/>
  <c r="L674" i="154"/>
  <c r="E674" i="154"/>
  <c r="AH673" i="154"/>
  <c r="AI673" i="154" s="1"/>
  <c r="AA673" i="154"/>
  <c r="AB673" i="154" s="1"/>
  <c r="V673" i="154"/>
  <c r="Q673" i="154"/>
  <c r="P673" i="154"/>
  <c r="O673" i="154"/>
  <c r="N673" i="154"/>
  <c r="M673" i="154"/>
  <c r="L673" i="154"/>
  <c r="E673" i="154"/>
  <c r="AH672" i="154"/>
  <c r="AI672" i="154" s="1"/>
  <c r="AA672" i="154"/>
  <c r="AB672" i="154" s="1"/>
  <c r="V672" i="154"/>
  <c r="Q672" i="154"/>
  <c r="P672" i="154"/>
  <c r="O672" i="154"/>
  <c r="N672" i="154"/>
  <c r="M672" i="154"/>
  <c r="L672" i="154"/>
  <c r="E672" i="154"/>
  <c r="AH671" i="154"/>
  <c r="AI671" i="154" s="1"/>
  <c r="AA671" i="154"/>
  <c r="AB671" i="154" s="1"/>
  <c r="V671" i="154"/>
  <c r="W671" i="154" s="1"/>
  <c r="Q671" i="154"/>
  <c r="P671" i="154"/>
  <c r="O671" i="154"/>
  <c r="N671" i="154"/>
  <c r="M671" i="154"/>
  <c r="L671" i="154"/>
  <c r="E671" i="154"/>
  <c r="AH670" i="154"/>
  <c r="AI670" i="154" s="1"/>
  <c r="AA670" i="154"/>
  <c r="AB670" i="154" s="1"/>
  <c r="V670" i="154"/>
  <c r="AC670" i="154" s="1"/>
  <c r="AD670" i="154" s="1"/>
  <c r="Q670" i="154"/>
  <c r="P670" i="154"/>
  <c r="O670" i="154"/>
  <c r="N670" i="154"/>
  <c r="M670" i="154"/>
  <c r="L670" i="154"/>
  <c r="E670" i="154"/>
  <c r="AH669" i="154"/>
  <c r="AI669" i="154" s="1"/>
  <c r="AA669" i="154"/>
  <c r="AB669" i="154" s="1"/>
  <c r="V669" i="154"/>
  <c r="W669" i="154" s="1"/>
  <c r="Q669" i="154"/>
  <c r="P669" i="154"/>
  <c r="O669" i="154"/>
  <c r="N669" i="154"/>
  <c r="M669" i="154"/>
  <c r="L669" i="154"/>
  <c r="E669" i="154"/>
  <c r="AH668" i="154"/>
  <c r="AI668" i="154" s="1"/>
  <c r="AA668" i="154"/>
  <c r="AB668" i="154" s="1"/>
  <c r="V668" i="154"/>
  <c r="W668" i="154" s="1"/>
  <c r="Q668" i="154"/>
  <c r="P668" i="154"/>
  <c r="O668" i="154"/>
  <c r="N668" i="154"/>
  <c r="M668" i="154"/>
  <c r="L668" i="154"/>
  <c r="E668" i="154"/>
  <c r="AH667" i="154"/>
  <c r="AI667" i="154" s="1"/>
  <c r="AA667" i="154"/>
  <c r="AB667" i="154" s="1"/>
  <c r="V667" i="154"/>
  <c r="W667" i="154" s="1"/>
  <c r="Q667" i="154"/>
  <c r="P667" i="154"/>
  <c r="O667" i="154"/>
  <c r="N667" i="154"/>
  <c r="M667" i="154"/>
  <c r="L667" i="154"/>
  <c r="E667" i="154"/>
  <c r="AH666" i="154"/>
  <c r="AI666" i="154" s="1"/>
  <c r="AA666" i="154"/>
  <c r="AB666" i="154" s="1"/>
  <c r="V666" i="154"/>
  <c r="Q666" i="154"/>
  <c r="P666" i="154"/>
  <c r="O666" i="154"/>
  <c r="N666" i="154"/>
  <c r="M666" i="154"/>
  <c r="L666" i="154"/>
  <c r="E666" i="154"/>
  <c r="AH665" i="154"/>
  <c r="AI665" i="154" s="1"/>
  <c r="AA665" i="154"/>
  <c r="AB665" i="154" s="1"/>
  <c r="V665" i="154"/>
  <c r="Q665" i="154"/>
  <c r="P665" i="154"/>
  <c r="O665" i="154"/>
  <c r="N665" i="154"/>
  <c r="M665" i="154"/>
  <c r="L665" i="154"/>
  <c r="E665" i="154"/>
  <c r="AH664" i="154"/>
  <c r="AI664" i="154" s="1"/>
  <c r="AA664" i="154"/>
  <c r="AB664" i="154" s="1"/>
  <c r="V664" i="154"/>
  <c r="Q664" i="154"/>
  <c r="P664" i="154"/>
  <c r="O664" i="154"/>
  <c r="N664" i="154"/>
  <c r="M664" i="154"/>
  <c r="L664" i="154"/>
  <c r="E664" i="154"/>
  <c r="AH663" i="154"/>
  <c r="AI663" i="154" s="1"/>
  <c r="AA663" i="154"/>
  <c r="AB663" i="154" s="1"/>
  <c r="V663" i="154"/>
  <c r="W663" i="154" s="1"/>
  <c r="Q663" i="154"/>
  <c r="P663" i="154"/>
  <c r="O663" i="154"/>
  <c r="N663" i="154"/>
  <c r="M663" i="154"/>
  <c r="L663" i="154"/>
  <c r="E663" i="154"/>
  <c r="AH662" i="154"/>
  <c r="AI662" i="154" s="1"/>
  <c r="AA662" i="154"/>
  <c r="AB662" i="154" s="1"/>
  <c r="V662" i="154"/>
  <c r="Q662" i="154"/>
  <c r="P662" i="154"/>
  <c r="O662" i="154"/>
  <c r="N662" i="154"/>
  <c r="M662" i="154"/>
  <c r="L662" i="154"/>
  <c r="E662" i="154"/>
  <c r="AH661" i="154"/>
  <c r="AI661" i="154" s="1"/>
  <c r="AA661" i="154"/>
  <c r="AB661" i="154" s="1"/>
  <c r="V661" i="154"/>
  <c r="W661" i="154" s="1"/>
  <c r="Q661" i="154"/>
  <c r="P661" i="154"/>
  <c r="O661" i="154"/>
  <c r="N661" i="154"/>
  <c r="M661" i="154"/>
  <c r="L661" i="154"/>
  <c r="E661" i="154"/>
  <c r="AH660" i="154"/>
  <c r="AI660" i="154" s="1"/>
  <c r="AA660" i="154"/>
  <c r="AB660" i="154" s="1"/>
  <c r="V660" i="154"/>
  <c r="W660" i="154" s="1"/>
  <c r="Q660" i="154"/>
  <c r="P660" i="154"/>
  <c r="O660" i="154"/>
  <c r="N660" i="154"/>
  <c r="M660" i="154"/>
  <c r="L660" i="154"/>
  <c r="E660" i="154"/>
  <c r="AH659" i="154"/>
  <c r="AI659" i="154" s="1"/>
  <c r="AA659" i="154"/>
  <c r="AB659" i="154" s="1"/>
  <c r="V659" i="154"/>
  <c r="W659" i="154" s="1"/>
  <c r="Q659" i="154"/>
  <c r="P659" i="154"/>
  <c r="O659" i="154"/>
  <c r="N659" i="154"/>
  <c r="M659" i="154"/>
  <c r="L659" i="154"/>
  <c r="E659" i="154"/>
  <c r="AH658" i="154"/>
  <c r="AI658" i="154" s="1"/>
  <c r="AA658" i="154"/>
  <c r="AB658" i="154" s="1"/>
  <c r="V658" i="154"/>
  <c r="Q658" i="154"/>
  <c r="P658" i="154"/>
  <c r="O658" i="154"/>
  <c r="N658" i="154"/>
  <c r="M658" i="154"/>
  <c r="L658" i="154"/>
  <c r="E658" i="154"/>
  <c r="AH657" i="154"/>
  <c r="AI657" i="154" s="1"/>
  <c r="AA657" i="154"/>
  <c r="AB657" i="154" s="1"/>
  <c r="V657" i="154"/>
  <c r="Q657" i="154"/>
  <c r="P657" i="154"/>
  <c r="O657" i="154"/>
  <c r="N657" i="154"/>
  <c r="M657" i="154"/>
  <c r="L657" i="154"/>
  <c r="E657" i="154"/>
  <c r="AH656" i="154"/>
  <c r="AI656" i="154" s="1"/>
  <c r="AA656" i="154"/>
  <c r="AB656" i="154" s="1"/>
  <c r="V656" i="154"/>
  <c r="Q656" i="154"/>
  <c r="P656" i="154"/>
  <c r="O656" i="154"/>
  <c r="N656" i="154"/>
  <c r="M656" i="154"/>
  <c r="L656" i="154"/>
  <c r="E656" i="154"/>
  <c r="AH655" i="154"/>
  <c r="AI655" i="154" s="1"/>
  <c r="AA655" i="154"/>
  <c r="AB655" i="154" s="1"/>
  <c r="V655" i="154"/>
  <c r="W655" i="154" s="1"/>
  <c r="Q655" i="154"/>
  <c r="P655" i="154"/>
  <c r="O655" i="154"/>
  <c r="N655" i="154"/>
  <c r="M655" i="154"/>
  <c r="L655" i="154"/>
  <c r="E655" i="154"/>
  <c r="AH654" i="154"/>
  <c r="AI654" i="154" s="1"/>
  <c r="AA654" i="154"/>
  <c r="AB654" i="154" s="1"/>
  <c r="V654" i="154"/>
  <c r="Q654" i="154"/>
  <c r="P654" i="154"/>
  <c r="O654" i="154"/>
  <c r="N654" i="154"/>
  <c r="M654" i="154"/>
  <c r="L654" i="154"/>
  <c r="E654" i="154"/>
  <c r="AH653" i="154"/>
  <c r="AI653" i="154" s="1"/>
  <c r="AA653" i="154"/>
  <c r="AB653" i="154" s="1"/>
  <c r="V653" i="154"/>
  <c r="W653" i="154" s="1"/>
  <c r="Q653" i="154"/>
  <c r="P653" i="154"/>
  <c r="O653" i="154"/>
  <c r="N653" i="154"/>
  <c r="M653" i="154"/>
  <c r="L653" i="154"/>
  <c r="E653" i="154"/>
  <c r="AH652" i="154"/>
  <c r="AI652" i="154" s="1"/>
  <c r="AA652" i="154"/>
  <c r="AB652" i="154" s="1"/>
  <c r="W652" i="154"/>
  <c r="V652" i="154"/>
  <c r="Q652" i="154"/>
  <c r="P652" i="154"/>
  <c r="O652" i="154"/>
  <c r="N652" i="154"/>
  <c r="M652" i="154"/>
  <c r="L652" i="154"/>
  <c r="E652" i="154"/>
  <c r="AH651" i="154"/>
  <c r="AI651" i="154" s="1"/>
  <c r="AA651" i="154"/>
  <c r="AB651" i="154" s="1"/>
  <c r="V651" i="154"/>
  <c r="W651" i="154" s="1"/>
  <c r="Q651" i="154"/>
  <c r="P651" i="154"/>
  <c r="O651" i="154"/>
  <c r="N651" i="154"/>
  <c r="M651" i="154"/>
  <c r="L651" i="154"/>
  <c r="E651" i="154"/>
  <c r="AH650" i="154"/>
  <c r="AI650" i="154" s="1"/>
  <c r="AA650" i="154"/>
  <c r="AB650" i="154" s="1"/>
  <c r="V650" i="154"/>
  <c r="Q650" i="154"/>
  <c r="P650" i="154"/>
  <c r="O650" i="154"/>
  <c r="N650" i="154"/>
  <c r="M650" i="154"/>
  <c r="L650" i="154"/>
  <c r="E650" i="154"/>
  <c r="AH649" i="154"/>
  <c r="AI649" i="154" s="1"/>
  <c r="AA649" i="154"/>
  <c r="AB649" i="154" s="1"/>
  <c r="V649" i="154"/>
  <c r="Q649" i="154"/>
  <c r="P649" i="154"/>
  <c r="O649" i="154"/>
  <c r="N649" i="154"/>
  <c r="M649" i="154"/>
  <c r="L649" i="154"/>
  <c r="E649" i="154"/>
  <c r="AH648" i="154"/>
  <c r="AI648" i="154" s="1"/>
  <c r="AA648" i="154"/>
  <c r="AB648" i="154" s="1"/>
  <c r="V648" i="154"/>
  <c r="Q648" i="154"/>
  <c r="P648" i="154"/>
  <c r="O648" i="154"/>
  <c r="N648" i="154"/>
  <c r="M648" i="154"/>
  <c r="L648" i="154"/>
  <c r="E648" i="154"/>
  <c r="AH647" i="154"/>
  <c r="AI647" i="154" s="1"/>
  <c r="AA647" i="154"/>
  <c r="AB647" i="154" s="1"/>
  <c r="V647" i="154"/>
  <c r="Q647" i="154"/>
  <c r="P647" i="154"/>
  <c r="O647" i="154"/>
  <c r="N647" i="154"/>
  <c r="M647" i="154"/>
  <c r="L647" i="154"/>
  <c r="E647" i="154"/>
  <c r="AH646" i="154"/>
  <c r="AI646" i="154" s="1"/>
  <c r="AA646" i="154"/>
  <c r="AB646" i="154" s="1"/>
  <c r="V646" i="154"/>
  <c r="AC646" i="154" s="1"/>
  <c r="AD646" i="154" s="1"/>
  <c r="Q646" i="154"/>
  <c r="P646" i="154"/>
  <c r="O646" i="154"/>
  <c r="N646" i="154"/>
  <c r="M646" i="154"/>
  <c r="L646" i="154"/>
  <c r="E646" i="154"/>
  <c r="AH645" i="154"/>
  <c r="AI645" i="154" s="1"/>
  <c r="AA645" i="154"/>
  <c r="AB645" i="154" s="1"/>
  <c r="V645" i="154"/>
  <c r="W645" i="154" s="1"/>
  <c r="Q645" i="154"/>
  <c r="P645" i="154"/>
  <c r="O645" i="154"/>
  <c r="N645" i="154"/>
  <c r="M645" i="154"/>
  <c r="L645" i="154"/>
  <c r="E645" i="154"/>
  <c r="AH644" i="154"/>
  <c r="AI644" i="154" s="1"/>
  <c r="AA644" i="154"/>
  <c r="AB644" i="154" s="1"/>
  <c r="V644" i="154"/>
  <c r="W644" i="154" s="1"/>
  <c r="Q644" i="154"/>
  <c r="P644" i="154"/>
  <c r="O644" i="154"/>
  <c r="N644" i="154"/>
  <c r="M644" i="154"/>
  <c r="L644" i="154"/>
  <c r="E644" i="154"/>
  <c r="AH643" i="154"/>
  <c r="AI643" i="154" s="1"/>
  <c r="AA643" i="154"/>
  <c r="AC643" i="154" s="1"/>
  <c r="AD643" i="154" s="1"/>
  <c r="V643" i="154"/>
  <c r="W643" i="154" s="1"/>
  <c r="Q643" i="154"/>
  <c r="P643" i="154"/>
  <c r="O643" i="154"/>
  <c r="N643" i="154"/>
  <c r="M643" i="154"/>
  <c r="L643" i="154"/>
  <c r="E643" i="154"/>
  <c r="AH642" i="154"/>
  <c r="AI642" i="154" s="1"/>
  <c r="AA642" i="154"/>
  <c r="AB642" i="154" s="1"/>
  <c r="V642" i="154"/>
  <c r="Q642" i="154"/>
  <c r="P642" i="154"/>
  <c r="O642" i="154"/>
  <c r="N642" i="154"/>
  <c r="M642" i="154"/>
  <c r="L642" i="154"/>
  <c r="E642" i="154"/>
  <c r="AH641" i="154"/>
  <c r="AI641" i="154" s="1"/>
  <c r="AA641" i="154"/>
  <c r="AB641" i="154" s="1"/>
  <c r="V641" i="154"/>
  <c r="W641" i="154" s="1"/>
  <c r="Q641" i="154"/>
  <c r="P641" i="154"/>
  <c r="O641" i="154"/>
  <c r="N641" i="154"/>
  <c r="M641" i="154"/>
  <c r="L641" i="154"/>
  <c r="E641" i="154"/>
  <c r="AH640" i="154"/>
  <c r="AI640" i="154" s="1"/>
  <c r="AA640" i="154"/>
  <c r="AB640" i="154" s="1"/>
  <c r="V640" i="154"/>
  <c r="W640" i="154" s="1"/>
  <c r="Q640" i="154"/>
  <c r="P640" i="154"/>
  <c r="O640" i="154"/>
  <c r="N640" i="154"/>
  <c r="M640" i="154"/>
  <c r="L640" i="154"/>
  <c r="E640" i="154"/>
  <c r="AI639" i="154"/>
  <c r="AH639" i="154"/>
  <c r="AA639" i="154"/>
  <c r="AB639" i="154" s="1"/>
  <c r="V639" i="154"/>
  <c r="W639" i="154" s="1"/>
  <c r="Q639" i="154"/>
  <c r="P639" i="154"/>
  <c r="O639" i="154"/>
  <c r="N639" i="154"/>
  <c r="M639" i="154"/>
  <c r="L639" i="154"/>
  <c r="E639" i="154"/>
  <c r="AH638" i="154"/>
  <c r="AI638" i="154" s="1"/>
  <c r="AA638" i="154"/>
  <c r="AB638" i="154" s="1"/>
  <c r="V638" i="154"/>
  <c r="Q638" i="154"/>
  <c r="P638" i="154"/>
  <c r="O638" i="154"/>
  <c r="N638" i="154"/>
  <c r="M638" i="154"/>
  <c r="L638" i="154"/>
  <c r="E638" i="154"/>
  <c r="AH637" i="154"/>
  <c r="AI637" i="154" s="1"/>
  <c r="AA637" i="154"/>
  <c r="AB637" i="154" s="1"/>
  <c r="V637" i="154"/>
  <c r="W637" i="154" s="1"/>
  <c r="Q637" i="154"/>
  <c r="P637" i="154"/>
  <c r="O637" i="154"/>
  <c r="N637" i="154"/>
  <c r="M637" i="154"/>
  <c r="L637" i="154"/>
  <c r="E637" i="154"/>
  <c r="AH636" i="154"/>
  <c r="AI636" i="154" s="1"/>
  <c r="AA636" i="154"/>
  <c r="AB636" i="154" s="1"/>
  <c r="V636" i="154"/>
  <c r="Q636" i="154"/>
  <c r="P636" i="154"/>
  <c r="O636" i="154"/>
  <c r="N636" i="154"/>
  <c r="M636" i="154"/>
  <c r="L636" i="154"/>
  <c r="E636" i="154"/>
  <c r="AH635" i="154"/>
  <c r="AI635" i="154" s="1"/>
  <c r="AA635" i="154"/>
  <c r="AB635" i="154" s="1"/>
  <c r="V635" i="154"/>
  <c r="W635" i="154" s="1"/>
  <c r="Q635" i="154"/>
  <c r="P635" i="154"/>
  <c r="O635" i="154"/>
  <c r="N635" i="154"/>
  <c r="M635" i="154"/>
  <c r="L635" i="154"/>
  <c r="E635" i="154"/>
  <c r="AH634" i="154"/>
  <c r="AI634" i="154" s="1"/>
  <c r="AA634" i="154"/>
  <c r="AB634" i="154" s="1"/>
  <c r="V634" i="154"/>
  <c r="Q634" i="154"/>
  <c r="P634" i="154"/>
  <c r="O634" i="154"/>
  <c r="N634" i="154"/>
  <c r="M634" i="154"/>
  <c r="L634" i="154"/>
  <c r="E634" i="154"/>
  <c r="AH633" i="154"/>
  <c r="AI633" i="154" s="1"/>
  <c r="AA633" i="154"/>
  <c r="AB633" i="154" s="1"/>
  <c r="V633" i="154"/>
  <c r="Q633" i="154"/>
  <c r="P633" i="154"/>
  <c r="O633" i="154"/>
  <c r="N633" i="154"/>
  <c r="M633" i="154"/>
  <c r="L633" i="154"/>
  <c r="E633" i="154"/>
  <c r="AH632" i="154"/>
  <c r="AI632" i="154" s="1"/>
  <c r="AA632" i="154"/>
  <c r="AB632" i="154" s="1"/>
  <c r="V632" i="154"/>
  <c r="W632" i="154" s="1"/>
  <c r="Q632" i="154"/>
  <c r="P632" i="154"/>
  <c r="O632" i="154"/>
  <c r="N632" i="154"/>
  <c r="M632" i="154"/>
  <c r="L632" i="154"/>
  <c r="E632" i="154"/>
  <c r="AH631" i="154"/>
  <c r="AI631" i="154" s="1"/>
  <c r="AA631" i="154"/>
  <c r="AB631" i="154" s="1"/>
  <c r="V631" i="154"/>
  <c r="W631" i="154" s="1"/>
  <c r="Q631" i="154"/>
  <c r="P631" i="154"/>
  <c r="O631" i="154"/>
  <c r="N631" i="154"/>
  <c r="M631" i="154"/>
  <c r="L631" i="154"/>
  <c r="E631" i="154"/>
  <c r="AH630" i="154"/>
  <c r="AI630" i="154" s="1"/>
  <c r="AA630" i="154"/>
  <c r="AB630" i="154" s="1"/>
  <c r="V630" i="154"/>
  <c r="Q630" i="154"/>
  <c r="P630" i="154"/>
  <c r="O630" i="154"/>
  <c r="N630" i="154"/>
  <c r="M630" i="154"/>
  <c r="L630" i="154"/>
  <c r="E630" i="154"/>
  <c r="AH629" i="154"/>
  <c r="AI629" i="154" s="1"/>
  <c r="AA629" i="154"/>
  <c r="AB629" i="154" s="1"/>
  <c r="V629" i="154"/>
  <c r="W629" i="154" s="1"/>
  <c r="Q629" i="154"/>
  <c r="P629" i="154"/>
  <c r="O629" i="154"/>
  <c r="N629" i="154"/>
  <c r="M629" i="154"/>
  <c r="L629" i="154"/>
  <c r="E629" i="154"/>
  <c r="AH628" i="154"/>
  <c r="AI628" i="154" s="1"/>
  <c r="AA628" i="154"/>
  <c r="AB628" i="154" s="1"/>
  <c r="V628" i="154"/>
  <c r="Q628" i="154"/>
  <c r="P628" i="154"/>
  <c r="O628" i="154"/>
  <c r="N628" i="154"/>
  <c r="M628" i="154"/>
  <c r="L628" i="154"/>
  <c r="E628" i="154"/>
  <c r="AH627" i="154"/>
  <c r="AI627" i="154" s="1"/>
  <c r="AA627" i="154"/>
  <c r="AB627" i="154" s="1"/>
  <c r="V627" i="154"/>
  <c r="W627" i="154" s="1"/>
  <c r="Q627" i="154"/>
  <c r="P627" i="154"/>
  <c r="O627" i="154"/>
  <c r="N627" i="154"/>
  <c r="M627" i="154"/>
  <c r="L627" i="154"/>
  <c r="E627" i="154"/>
  <c r="AH626" i="154"/>
  <c r="AI626" i="154" s="1"/>
  <c r="AA626" i="154"/>
  <c r="AB626" i="154" s="1"/>
  <c r="V626" i="154"/>
  <c r="Q626" i="154"/>
  <c r="P626" i="154"/>
  <c r="O626" i="154"/>
  <c r="N626" i="154"/>
  <c r="M626" i="154"/>
  <c r="L626" i="154"/>
  <c r="E626" i="154"/>
  <c r="AH625" i="154"/>
  <c r="AI625" i="154" s="1"/>
  <c r="AA625" i="154"/>
  <c r="AB625" i="154" s="1"/>
  <c r="V625" i="154"/>
  <c r="Q625" i="154"/>
  <c r="P625" i="154"/>
  <c r="O625" i="154"/>
  <c r="N625" i="154"/>
  <c r="M625" i="154"/>
  <c r="L625" i="154"/>
  <c r="E625" i="154"/>
  <c r="AH624" i="154"/>
  <c r="AI624" i="154" s="1"/>
  <c r="AA624" i="154"/>
  <c r="AB624" i="154" s="1"/>
  <c r="V624" i="154"/>
  <c r="W624" i="154" s="1"/>
  <c r="Q624" i="154"/>
  <c r="P624" i="154"/>
  <c r="O624" i="154"/>
  <c r="N624" i="154"/>
  <c r="M624" i="154"/>
  <c r="L624" i="154"/>
  <c r="E624" i="154"/>
  <c r="AH623" i="154"/>
  <c r="AI623" i="154" s="1"/>
  <c r="AA623" i="154"/>
  <c r="AB623" i="154" s="1"/>
  <c r="V623" i="154"/>
  <c r="Q623" i="154"/>
  <c r="P623" i="154"/>
  <c r="O623" i="154"/>
  <c r="N623" i="154"/>
  <c r="M623" i="154"/>
  <c r="L623" i="154"/>
  <c r="E623" i="154"/>
  <c r="AH622" i="154"/>
  <c r="AI622" i="154" s="1"/>
  <c r="AA622" i="154"/>
  <c r="AB622" i="154" s="1"/>
  <c r="V622" i="154"/>
  <c r="Q622" i="154"/>
  <c r="P622" i="154"/>
  <c r="O622" i="154"/>
  <c r="N622" i="154"/>
  <c r="M622" i="154"/>
  <c r="L622" i="154"/>
  <c r="E622" i="154"/>
  <c r="AH621" i="154"/>
  <c r="AI621" i="154" s="1"/>
  <c r="AA621" i="154"/>
  <c r="AB621" i="154" s="1"/>
  <c r="V621" i="154"/>
  <c r="W621" i="154" s="1"/>
  <c r="Q621" i="154"/>
  <c r="P621" i="154"/>
  <c r="O621" i="154"/>
  <c r="N621" i="154"/>
  <c r="M621" i="154"/>
  <c r="L621" i="154"/>
  <c r="E621" i="154"/>
  <c r="AH620" i="154"/>
  <c r="AI620" i="154" s="1"/>
  <c r="AA620" i="154"/>
  <c r="AB620" i="154" s="1"/>
  <c r="V620" i="154"/>
  <c r="W620" i="154" s="1"/>
  <c r="Q620" i="154"/>
  <c r="P620" i="154"/>
  <c r="O620" i="154"/>
  <c r="N620" i="154"/>
  <c r="M620" i="154"/>
  <c r="L620" i="154"/>
  <c r="E620" i="154"/>
  <c r="AH619" i="154"/>
  <c r="AI619" i="154" s="1"/>
  <c r="AA619" i="154"/>
  <c r="AB619" i="154" s="1"/>
  <c r="V619" i="154"/>
  <c r="Q619" i="154"/>
  <c r="P619" i="154"/>
  <c r="O619" i="154"/>
  <c r="N619" i="154"/>
  <c r="M619" i="154"/>
  <c r="L619" i="154"/>
  <c r="E619" i="154"/>
  <c r="AH618" i="154"/>
  <c r="AI618" i="154" s="1"/>
  <c r="AA618" i="154"/>
  <c r="AB618" i="154" s="1"/>
  <c r="V618" i="154"/>
  <c r="Q618" i="154"/>
  <c r="P618" i="154"/>
  <c r="O618" i="154"/>
  <c r="N618" i="154"/>
  <c r="M618" i="154"/>
  <c r="L618" i="154"/>
  <c r="E618" i="154"/>
  <c r="AH617" i="154"/>
  <c r="AI617" i="154" s="1"/>
  <c r="AA617" i="154"/>
  <c r="AB617" i="154" s="1"/>
  <c r="V617" i="154"/>
  <c r="W617" i="154" s="1"/>
  <c r="Q617" i="154"/>
  <c r="P617" i="154"/>
  <c r="O617" i="154"/>
  <c r="N617" i="154"/>
  <c r="M617" i="154"/>
  <c r="L617" i="154"/>
  <c r="E617" i="154"/>
  <c r="AH616" i="154"/>
  <c r="AI616" i="154" s="1"/>
  <c r="AA616" i="154"/>
  <c r="AB616" i="154" s="1"/>
  <c r="V616" i="154"/>
  <c r="Q616" i="154"/>
  <c r="P616" i="154"/>
  <c r="O616" i="154"/>
  <c r="N616" i="154"/>
  <c r="M616" i="154"/>
  <c r="L616" i="154"/>
  <c r="E616" i="154"/>
  <c r="AH615" i="154"/>
  <c r="AI615" i="154" s="1"/>
  <c r="AA615" i="154"/>
  <c r="AB615" i="154" s="1"/>
  <c r="V615" i="154"/>
  <c r="Q615" i="154"/>
  <c r="P615" i="154"/>
  <c r="O615" i="154"/>
  <c r="N615" i="154"/>
  <c r="M615" i="154"/>
  <c r="L615" i="154"/>
  <c r="E615" i="154"/>
  <c r="AH614" i="154"/>
  <c r="AI614" i="154" s="1"/>
  <c r="AA614" i="154"/>
  <c r="AB614" i="154" s="1"/>
  <c r="V614" i="154"/>
  <c r="W614" i="154" s="1"/>
  <c r="Q614" i="154"/>
  <c r="P614" i="154"/>
  <c r="O614" i="154"/>
  <c r="N614" i="154"/>
  <c r="M614" i="154"/>
  <c r="L614" i="154"/>
  <c r="E614" i="154"/>
  <c r="AH613" i="154"/>
  <c r="AI613" i="154" s="1"/>
  <c r="AA613" i="154"/>
  <c r="AB613" i="154" s="1"/>
  <c r="V613" i="154"/>
  <c r="W613" i="154" s="1"/>
  <c r="Q613" i="154"/>
  <c r="P613" i="154"/>
  <c r="O613" i="154"/>
  <c r="N613" i="154"/>
  <c r="M613" i="154"/>
  <c r="L613" i="154"/>
  <c r="E613" i="154"/>
  <c r="AI612" i="154"/>
  <c r="AH612" i="154"/>
  <c r="AB612" i="154"/>
  <c r="AA612" i="154"/>
  <c r="W612" i="154"/>
  <c r="V612" i="154"/>
  <c r="AC612" i="154" s="1"/>
  <c r="AD612" i="154" s="1"/>
  <c r="Q612" i="154"/>
  <c r="P612" i="154"/>
  <c r="O612" i="154"/>
  <c r="N612" i="154"/>
  <c r="M612" i="154"/>
  <c r="L612" i="154"/>
  <c r="E612" i="154"/>
  <c r="AH611" i="154"/>
  <c r="AI611" i="154" s="1"/>
  <c r="AA611" i="154"/>
  <c r="AB611" i="154" s="1"/>
  <c r="V611" i="154"/>
  <c r="Q611" i="154"/>
  <c r="P611" i="154"/>
  <c r="O611" i="154"/>
  <c r="N611" i="154"/>
  <c r="M611" i="154"/>
  <c r="L611" i="154"/>
  <c r="E611" i="154"/>
  <c r="AH610" i="154"/>
  <c r="AI610" i="154" s="1"/>
  <c r="AB610" i="154"/>
  <c r="AA610" i="154"/>
  <c r="V610" i="154"/>
  <c r="Q610" i="154"/>
  <c r="P610" i="154"/>
  <c r="O610" i="154"/>
  <c r="N610" i="154"/>
  <c r="M610" i="154"/>
  <c r="L610" i="154"/>
  <c r="E610" i="154"/>
  <c r="AH609" i="154"/>
  <c r="AI609" i="154" s="1"/>
  <c r="AA609" i="154"/>
  <c r="AB609" i="154" s="1"/>
  <c r="V609" i="154"/>
  <c r="W609" i="154" s="1"/>
  <c r="Q609" i="154"/>
  <c r="P609" i="154"/>
  <c r="O609" i="154"/>
  <c r="N609" i="154"/>
  <c r="M609" i="154"/>
  <c r="L609" i="154"/>
  <c r="E609" i="154"/>
  <c r="AI608" i="154"/>
  <c r="AH608" i="154"/>
  <c r="AA608" i="154"/>
  <c r="AB608" i="154" s="1"/>
  <c r="W608" i="154"/>
  <c r="V608" i="154"/>
  <c r="Q608" i="154"/>
  <c r="P608" i="154"/>
  <c r="O608" i="154"/>
  <c r="N608" i="154"/>
  <c r="M608" i="154"/>
  <c r="L608" i="154"/>
  <c r="E608" i="154"/>
  <c r="AH607" i="154"/>
  <c r="AI607" i="154" s="1"/>
  <c r="AA607" i="154"/>
  <c r="AB607" i="154" s="1"/>
  <c r="V607" i="154"/>
  <c r="Q607" i="154"/>
  <c r="P607" i="154"/>
  <c r="O607" i="154"/>
  <c r="N607" i="154"/>
  <c r="M607" i="154"/>
  <c r="L607" i="154"/>
  <c r="E607" i="154"/>
  <c r="AH606" i="154"/>
  <c r="AI606" i="154" s="1"/>
  <c r="AA606" i="154"/>
  <c r="AB606" i="154" s="1"/>
  <c r="W606" i="154"/>
  <c r="V606" i="154"/>
  <c r="Q606" i="154"/>
  <c r="P606" i="154"/>
  <c r="O606" i="154"/>
  <c r="N606" i="154"/>
  <c r="M606" i="154"/>
  <c r="L606" i="154"/>
  <c r="E606" i="154"/>
  <c r="AH605" i="154"/>
  <c r="AI605" i="154" s="1"/>
  <c r="AA605" i="154"/>
  <c r="AB605" i="154" s="1"/>
  <c r="V605" i="154"/>
  <c r="W605" i="154" s="1"/>
  <c r="Q605" i="154"/>
  <c r="P605" i="154"/>
  <c r="O605" i="154"/>
  <c r="N605" i="154"/>
  <c r="M605" i="154"/>
  <c r="L605" i="154"/>
  <c r="E605" i="154"/>
  <c r="AH604" i="154"/>
  <c r="AI604" i="154" s="1"/>
  <c r="AA604" i="154"/>
  <c r="AB604" i="154" s="1"/>
  <c r="V604" i="154"/>
  <c r="Q604" i="154"/>
  <c r="P604" i="154"/>
  <c r="O604" i="154"/>
  <c r="N604" i="154"/>
  <c r="M604" i="154"/>
  <c r="L604" i="154"/>
  <c r="E604" i="154"/>
  <c r="AH603" i="154"/>
  <c r="AI603" i="154" s="1"/>
  <c r="AA603" i="154"/>
  <c r="AB603" i="154" s="1"/>
  <c r="V603" i="154"/>
  <c r="Q603" i="154"/>
  <c r="P603" i="154"/>
  <c r="O603" i="154"/>
  <c r="N603" i="154"/>
  <c r="M603" i="154"/>
  <c r="L603" i="154"/>
  <c r="E603" i="154"/>
  <c r="AH602" i="154"/>
  <c r="AI602" i="154" s="1"/>
  <c r="AA602" i="154"/>
  <c r="AB602" i="154" s="1"/>
  <c r="V602" i="154"/>
  <c r="Q602" i="154"/>
  <c r="P602" i="154"/>
  <c r="O602" i="154"/>
  <c r="N602" i="154"/>
  <c r="M602" i="154"/>
  <c r="L602" i="154"/>
  <c r="E602" i="154"/>
  <c r="AH601" i="154"/>
  <c r="AI601" i="154" s="1"/>
  <c r="AA601" i="154"/>
  <c r="AB601" i="154" s="1"/>
  <c r="V601" i="154"/>
  <c r="W601" i="154" s="1"/>
  <c r="Q601" i="154"/>
  <c r="P601" i="154"/>
  <c r="O601" i="154"/>
  <c r="N601" i="154"/>
  <c r="M601" i="154"/>
  <c r="L601" i="154"/>
  <c r="E601" i="154"/>
  <c r="AH600" i="154"/>
  <c r="AI600" i="154" s="1"/>
  <c r="AA600" i="154"/>
  <c r="AB600" i="154" s="1"/>
  <c r="V600" i="154"/>
  <c r="W600" i="154" s="1"/>
  <c r="Q600" i="154"/>
  <c r="P600" i="154"/>
  <c r="O600" i="154"/>
  <c r="N600" i="154"/>
  <c r="M600" i="154"/>
  <c r="L600" i="154"/>
  <c r="E600" i="154"/>
  <c r="AH599" i="154"/>
  <c r="AI599" i="154" s="1"/>
  <c r="AA599" i="154"/>
  <c r="AB599" i="154" s="1"/>
  <c r="V599" i="154"/>
  <c r="Q599" i="154"/>
  <c r="P599" i="154"/>
  <c r="O599" i="154"/>
  <c r="N599" i="154"/>
  <c r="M599" i="154"/>
  <c r="L599" i="154"/>
  <c r="E599" i="154"/>
  <c r="AI598" i="154"/>
  <c r="AH598" i="154"/>
  <c r="AA598" i="154"/>
  <c r="AB598" i="154" s="1"/>
  <c r="V598" i="154"/>
  <c r="Q598" i="154"/>
  <c r="P598" i="154"/>
  <c r="O598" i="154"/>
  <c r="N598" i="154"/>
  <c r="M598" i="154"/>
  <c r="L598" i="154"/>
  <c r="E598" i="154"/>
  <c r="AH597" i="154"/>
  <c r="AI597" i="154" s="1"/>
  <c r="AA597" i="154"/>
  <c r="AB597" i="154" s="1"/>
  <c r="V597" i="154"/>
  <c r="W597" i="154" s="1"/>
  <c r="Q597" i="154"/>
  <c r="P597" i="154"/>
  <c r="O597" i="154"/>
  <c r="N597" i="154"/>
  <c r="M597" i="154"/>
  <c r="L597" i="154"/>
  <c r="E597" i="154"/>
  <c r="AH596" i="154"/>
  <c r="AI596" i="154" s="1"/>
  <c r="AA596" i="154"/>
  <c r="AB596" i="154" s="1"/>
  <c r="V596" i="154"/>
  <c r="Q596" i="154"/>
  <c r="P596" i="154"/>
  <c r="O596" i="154"/>
  <c r="N596" i="154"/>
  <c r="M596" i="154"/>
  <c r="L596" i="154"/>
  <c r="E596" i="154"/>
  <c r="AH595" i="154"/>
  <c r="AI595" i="154" s="1"/>
  <c r="AA595" i="154"/>
  <c r="AB595" i="154" s="1"/>
  <c r="V595" i="154"/>
  <c r="Q595" i="154"/>
  <c r="P595" i="154"/>
  <c r="O595" i="154"/>
  <c r="N595" i="154"/>
  <c r="M595" i="154"/>
  <c r="L595" i="154"/>
  <c r="E595" i="154"/>
  <c r="AH594" i="154"/>
  <c r="AI594" i="154" s="1"/>
  <c r="AA594" i="154"/>
  <c r="AB594" i="154" s="1"/>
  <c r="V594" i="154"/>
  <c r="W594" i="154" s="1"/>
  <c r="Q594" i="154"/>
  <c r="P594" i="154"/>
  <c r="O594" i="154"/>
  <c r="N594" i="154"/>
  <c r="M594" i="154"/>
  <c r="L594" i="154"/>
  <c r="E594" i="154"/>
  <c r="AH593" i="154"/>
  <c r="AI593" i="154" s="1"/>
  <c r="AA593" i="154"/>
  <c r="AB593" i="154" s="1"/>
  <c r="V593" i="154"/>
  <c r="W593" i="154" s="1"/>
  <c r="Q593" i="154"/>
  <c r="P593" i="154"/>
  <c r="O593" i="154"/>
  <c r="N593" i="154"/>
  <c r="M593" i="154"/>
  <c r="L593" i="154"/>
  <c r="AH592" i="154"/>
  <c r="AI592" i="154" s="1"/>
  <c r="AA592" i="154"/>
  <c r="AB592" i="154" s="1"/>
  <c r="V592" i="154"/>
  <c r="Q592" i="154"/>
  <c r="P592" i="154"/>
  <c r="O592" i="154"/>
  <c r="N592" i="154"/>
  <c r="M592" i="154"/>
  <c r="L592" i="154"/>
  <c r="AH591" i="154"/>
  <c r="AI591" i="154" s="1"/>
  <c r="AA591" i="154"/>
  <c r="AB591" i="154" s="1"/>
  <c r="V591" i="154"/>
  <c r="Q591" i="154"/>
  <c r="P591" i="154"/>
  <c r="O591" i="154"/>
  <c r="N591" i="154"/>
  <c r="M591" i="154"/>
  <c r="L591" i="154"/>
  <c r="AH590" i="154"/>
  <c r="AI590" i="154" s="1"/>
  <c r="AA590" i="154"/>
  <c r="AB590" i="154" s="1"/>
  <c r="V590" i="154"/>
  <c r="W590" i="154" s="1"/>
  <c r="Q590" i="154"/>
  <c r="P590" i="154"/>
  <c r="O590" i="154"/>
  <c r="N590" i="154"/>
  <c r="M590" i="154"/>
  <c r="L590" i="154"/>
  <c r="AH589" i="154"/>
  <c r="AI589" i="154" s="1"/>
  <c r="AA589" i="154"/>
  <c r="AB589" i="154" s="1"/>
  <c r="V589" i="154"/>
  <c r="W589" i="154" s="1"/>
  <c r="Q589" i="154"/>
  <c r="P589" i="154"/>
  <c r="O589" i="154"/>
  <c r="N589" i="154"/>
  <c r="M589" i="154"/>
  <c r="L589" i="154"/>
  <c r="AH588" i="154"/>
  <c r="AI588" i="154" s="1"/>
  <c r="AA588" i="154"/>
  <c r="AB588" i="154" s="1"/>
  <c r="V588" i="154"/>
  <c r="W588" i="154" s="1"/>
  <c r="Q588" i="154"/>
  <c r="P588" i="154"/>
  <c r="O588" i="154"/>
  <c r="N588" i="154"/>
  <c r="M588" i="154"/>
  <c r="L588" i="154"/>
  <c r="AH586" i="154"/>
  <c r="AI586" i="154" s="1"/>
  <c r="AA586" i="154"/>
  <c r="AB586" i="154" s="1"/>
  <c r="V586" i="154"/>
  <c r="Q586" i="154"/>
  <c r="P586" i="154"/>
  <c r="O586" i="154"/>
  <c r="N586" i="154"/>
  <c r="M586" i="154"/>
  <c r="L586" i="154"/>
  <c r="AH585" i="154"/>
  <c r="AI585" i="154" s="1"/>
  <c r="AA585" i="154"/>
  <c r="AB585" i="154" s="1"/>
  <c r="V585" i="154"/>
  <c r="Q585" i="154"/>
  <c r="P585" i="154"/>
  <c r="O585" i="154"/>
  <c r="N585" i="154"/>
  <c r="M585" i="154"/>
  <c r="L585" i="154"/>
  <c r="AH577" i="154"/>
  <c r="AI577" i="154" s="1"/>
  <c r="AA577" i="154"/>
  <c r="AB577" i="154" s="1"/>
  <c r="V577" i="154"/>
  <c r="W577" i="154" s="1"/>
  <c r="Q577" i="154"/>
  <c r="P577" i="154"/>
  <c r="O577" i="154"/>
  <c r="N577" i="154"/>
  <c r="M577" i="154"/>
  <c r="L577" i="154"/>
  <c r="AH575" i="154"/>
  <c r="AI575" i="154" s="1"/>
  <c r="AA575" i="154"/>
  <c r="AB575" i="154" s="1"/>
  <c r="V575" i="154"/>
  <c r="W575" i="154" s="1"/>
  <c r="Q575" i="154"/>
  <c r="P575" i="154"/>
  <c r="O575" i="154"/>
  <c r="N575" i="154"/>
  <c r="M575" i="154"/>
  <c r="L575" i="154"/>
  <c r="AH574" i="154"/>
  <c r="AI574" i="154" s="1"/>
  <c r="AA574" i="154"/>
  <c r="AB574" i="154" s="1"/>
  <c r="V574" i="154"/>
  <c r="Q574" i="154"/>
  <c r="P574" i="154"/>
  <c r="O574" i="154"/>
  <c r="N574" i="154"/>
  <c r="M574" i="154"/>
  <c r="L574" i="154"/>
  <c r="AH572" i="154"/>
  <c r="AI572" i="154" s="1"/>
  <c r="AA572" i="154"/>
  <c r="AB572" i="154" s="1"/>
  <c r="V572" i="154"/>
  <c r="Q572" i="154"/>
  <c r="P572" i="154"/>
  <c r="O572" i="154"/>
  <c r="N572" i="154"/>
  <c r="M572" i="154"/>
  <c r="L572" i="154"/>
  <c r="E572" i="154"/>
  <c r="AH571" i="154"/>
  <c r="AI571" i="154" s="1"/>
  <c r="AA571" i="154"/>
  <c r="AB571" i="154" s="1"/>
  <c r="V571" i="154"/>
  <c r="W571" i="154" s="1"/>
  <c r="Q571" i="154"/>
  <c r="P571" i="154"/>
  <c r="O571" i="154"/>
  <c r="N571" i="154"/>
  <c r="M571" i="154"/>
  <c r="L571" i="154"/>
  <c r="E571" i="154"/>
  <c r="AH570" i="154"/>
  <c r="AI570" i="154" s="1"/>
  <c r="AA570" i="154"/>
  <c r="AB570" i="154" s="1"/>
  <c r="V570" i="154"/>
  <c r="W570" i="154" s="1"/>
  <c r="Q570" i="154"/>
  <c r="P570" i="154"/>
  <c r="O570" i="154"/>
  <c r="N570" i="154"/>
  <c r="M570" i="154"/>
  <c r="L570" i="154"/>
  <c r="E570" i="154"/>
  <c r="AH569" i="154"/>
  <c r="AI569" i="154" s="1"/>
  <c r="AA569" i="154"/>
  <c r="AB569" i="154" s="1"/>
  <c r="V569" i="154"/>
  <c r="P569" i="154"/>
  <c r="O569" i="154"/>
  <c r="N569" i="154"/>
  <c r="M569" i="154"/>
  <c r="L569" i="154"/>
  <c r="AH568" i="154"/>
  <c r="AI568" i="154" s="1"/>
  <c r="AA568" i="154"/>
  <c r="AB568" i="154" s="1"/>
  <c r="V568" i="154"/>
  <c r="P568" i="154"/>
  <c r="O568" i="154"/>
  <c r="N568" i="154"/>
  <c r="M568" i="154"/>
  <c r="L568" i="154"/>
  <c r="AH567" i="154"/>
  <c r="AI567" i="154" s="1"/>
  <c r="AA567" i="154"/>
  <c r="AB567" i="154" s="1"/>
  <c r="V567" i="154"/>
  <c r="W567" i="154" s="1"/>
  <c r="P567" i="154"/>
  <c r="O567" i="154"/>
  <c r="N567" i="154"/>
  <c r="M567" i="154"/>
  <c r="L567" i="154"/>
  <c r="AH566" i="154"/>
  <c r="AI566" i="154" s="1"/>
  <c r="AA566" i="154"/>
  <c r="AB566" i="154" s="1"/>
  <c r="V566" i="154"/>
  <c r="W566" i="154" s="1"/>
  <c r="P566" i="154"/>
  <c r="O566" i="154"/>
  <c r="N566" i="154"/>
  <c r="M566" i="154"/>
  <c r="L566" i="154"/>
  <c r="AH565" i="154"/>
  <c r="AI565" i="154" s="1"/>
  <c r="AA565" i="154"/>
  <c r="AB565" i="154" s="1"/>
  <c r="V565" i="154"/>
  <c r="P565" i="154"/>
  <c r="O565" i="154"/>
  <c r="N565" i="154"/>
  <c r="M565" i="154"/>
  <c r="L565" i="154"/>
  <c r="AH564" i="154"/>
  <c r="AI564" i="154" s="1"/>
  <c r="AA564" i="154"/>
  <c r="AB564" i="154" s="1"/>
  <c r="V564" i="154"/>
  <c r="W564" i="154" s="1"/>
  <c r="P564" i="154"/>
  <c r="O564" i="154"/>
  <c r="N564" i="154"/>
  <c r="M564" i="154"/>
  <c r="L564" i="154"/>
  <c r="AH563" i="154"/>
  <c r="AI563" i="154" s="1"/>
  <c r="AA563" i="154"/>
  <c r="AB563" i="154" s="1"/>
  <c r="V563" i="154"/>
  <c r="W563" i="154" s="1"/>
  <c r="P563" i="154"/>
  <c r="O563" i="154"/>
  <c r="N563" i="154"/>
  <c r="M563" i="154"/>
  <c r="L563" i="154"/>
  <c r="AH562" i="154"/>
  <c r="AI562" i="154" s="1"/>
  <c r="AA562" i="154"/>
  <c r="AB562" i="154" s="1"/>
  <c r="V562" i="154"/>
  <c r="W562" i="154" s="1"/>
  <c r="P562" i="154"/>
  <c r="O562" i="154"/>
  <c r="N562" i="154"/>
  <c r="M562" i="154"/>
  <c r="L562" i="154"/>
  <c r="AH561" i="154"/>
  <c r="AI561" i="154" s="1"/>
  <c r="AA561" i="154"/>
  <c r="AB561" i="154" s="1"/>
  <c r="V561" i="154"/>
  <c r="P561" i="154"/>
  <c r="O561" i="154"/>
  <c r="N561" i="154"/>
  <c r="M561" i="154"/>
  <c r="L561" i="154"/>
  <c r="AH560" i="154"/>
  <c r="AI560" i="154" s="1"/>
  <c r="AA560" i="154"/>
  <c r="AB560" i="154" s="1"/>
  <c r="V560" i="154"/>
  <c r="W560" i="154" s="1"/>
  <c r="P560" i="154"/>
  <c r="O560" i="154"/>
  <c r="N560" i="154"/>
  <c r="M560" i="154"/>
  <c r="L560" i="154"/>
  <c r="AH559" i="154"/>
  <c r="AI559" i="154" s="1"/>
  <c r="AA559" i="154"/>
  <c r="AB559" i="154" s="1"/>
  <c r="V559" i="154"/>
  <c r="W559" i="154" s="1"/>
  <c r="P559" i="154"/>
  <c r="O559" i="154"/>
  <c r="N559" i="154"/>
  <c r="M559" i="154"/>
  <c r="L559" i="154"/>
  <c r="AH558" i="154"/>
  <c r="AI558" i="154" s="1"/>
  <c r="AA558" i="154"/>
  <c r="AB558" i="154" s="1"/>
  <c r="V558" i="154"/>
  <c r="P558" i="154"/>
  <c r="O558" i="154"/>
  <c r="N558" i="154"/>
  <c r="M558" i="154"/>
  <c r="L558" i="154"/>
  <c r="AH557" i="154"/>
  <c r="AI557" i="154" s="1"/>
  <c r="AA557" i="154"/>
  <c r="AB557" i="154" s="1"/>
  <c r="V557" i="154"/>
  <c r="P557" i="154"/>
  <c r="O557" i="154"/>
  <c r="N557" i="154"/>
  <c r="M557" i="154"/>
  <c r="L557" i="154"/>
  <c r="AH556" i="154"/>
  <c r="AI556" i="154" s="1"/>
  <c r="AA556" i="154"/>
  <c r="AB556" i="154" s="1"/>
  <c r="V556" i="154"/>
  <c r="P556" i="154"/>
  <c r="O556" i="154"/>
  <c r="N556" i="154"/>
  <c r="M556" i="154"/>
  <c r="L556" i="154"/>
  <c r="AH555" i="154"/>
  <c r="AI555" i="154" s="1"/>
  <c r="AA555" i="154"/>
  <c r="AB555" i="154" s="1"/>
  <c r="V555" i="154"/>
  <c r="W555" i="154" s="1"/>
  <c r="P555" i="154"/>
  <c r="O555" i="154"/>
  <c r="N555" i="154"/>
  <c r="M555" i="154"/>
  <c r="L555" i="154"/>
  <c r="AH554" i="154"/>
  <c r="AI554" i="154" s="1"/>
  <c r="AA554" i="154"/>
  <c r="AB554" i="154" s="1"/>
  <c r="V554" i="154"/>
  <c r="P554" i="154"/>
  <c r="O554" i="154"/>
  <c r="N554" i="154"/>
  <c r="M554" i="154"/>
  <c r="L554" i="154"/>
  <c r="AH553" i="154"/>
  <c r="AI553" i="154" s="1"/>
  <c r="AA553" i="154"/>
  <c r="AB553" i="154" s="1"/>
  <c r="V553" i="154"/>
  <c r="P553" i="154"/>
  <c r="O553" i="154"/>
  <c r="N553" i="154"/>
  <c r="M553" i="154"/>
  <c r="L553" i="154"/>
  <c r="AH552" i="154"/>
  <c r="AI552" i="154" s="1"/>
  <c r="AA552" i="154"/>
  <c r="AB552" i="154" s="1"/>
  <c r="V552" i="154"/>
  <c r="P552" i="154"/>
  <c r="O552" i="154"/>
  <c r="N552" i="154"/>
  <c r="M552" i="154"/>
  <c r="L552" i="154"/>
  <c r="AH551" i="154"/>
  <c r="AI551" i="154" s="1"/>
  <c r="AA551" i="154"/>
  <c r="AB551" i="154" s="1"/>
  <c r="V551" i="154"/>
  <c r="W551" i="154" s="1"/>
  <c r="P551" i="154"/>
  <c r="O551" i="154"/>
  <c r="N551" i="154"/>
  <c r="M551" i="154"/>
  <c r="L551" i="154"/>
  <c r="AH550" i="154"/>
  <c r="AI550" i="154" s="1"/>
  <c r="AA550" i="154"/>
  <c r="AB550" i="154" s="1"/>
  <c r="V550" i="154"/>
  <c r="W550" i="154" s="1"/>
  <c r="P550" i="154"/>
  <c r="O550" i="154"/>
  <c r="N550" i="154"/>
  <c r="M550" i="154"/>
  <c r="L550" i="154"/>
  <c r="AH549" i="154"/>
  <c r="AI549" i="154" s="1"/>
  <c r="AA549" i="154"/>
  <c r="AB549" i="154" s="1"/>
  <c r="V549" i="154"/>
  <c r="P549" i="154"/>
  <c r="O549" i="154"/>
  <c r="N549" i="154"/>
  <c r="M549" i="154"/>
  <c r="L549" i="154"/>
  <c r="AH548" i="154"/>
  <c r="AI548" i="154" s="1"/>
  <c r="AA548" i="154"/>
  <c r="AB548" i="154" s="1"/>
  <c r="V548" i="154"/>
  <c r="W548" i="154" s="1"/>
  <c r="P548" i="154"/>
  <c r="O548" i="154"/>
  <c r="N548" i="154"/>
  <c r="M548" i="154"/>
  <c r="L548" i="154"/>
  <c r="AH547" i="154"/>
  <c r="AI547" i="154" s="1"/>
  <c r="AA547" i="154"/>
  <c r="AB547" i="154" s="1"/>
  <c r="V547" i="154"/>
  <c r="W547" i="154" s="1"/>
  <c r="P547" i="154"/>
  <c r="O547" i="154"/>
  <c r="N547" i="154"/>
  <c r="M547" i="154"/>
  <c r="L547" i="154"/>
  <c r="AH546" i="154"/>
  <c r="AI546" i="154" s="1"/>
  <c r="AA546" i="154"/>
  <c r="AB546" i="154" s="1"/>
  <c r="V546" i="154"/>
  <c r="W546" i="154" s="1"/>
  <c r="P546" i="154"/>
  <c r="O546" i="154"/>
  <c r="N546" i="154"/>
  <c r="M546" i="154"/>
  <c r="L546" i="154"/>
  <c r="AH545" i="154"/>
  <c r="AI545" i="154" s="1"/>
  <c r="AA545" i="154"/>
  <c r="AB545" i="154" s="1"/>
  <c r="V545" i="154"/>
  <c r="P545" i="154"/>
  <c r="O545" i="154"/>
  <c r="N545" i="154"/>
  <c r="M545" i="154"/>
  <c r="L545" i="154"/>
  <c r="AH544" i="154"/>
  <c r="AI544" i="154" s="1"/>
  <c r="AA544" i="154"/>
  <c r="AB544" i="154" s="1"/>
  <c r="V544" i="154"/>
  <c r="W544" i="154" s="1"/>
  <c r="P544" i="154"/>
  <c r="O544" i="154"/>
  <c r="N544" i="154"/>
  <c r="M544" i="154"/>
  <c r="L544" i="154"/>
  <c r="AH543" i="154"/>
  <c r="AI543" i="154" s="1"/>
  <c r="AA543" i="154"/>
  <c r="AB543" i="154" s="1"/>
  <c r="V543" i="154"/>
  <c r="W543" i="154" s="1"/>
  <c r="P543" i="154"/>
  <c r="O543" i="154"/>
  <c r="N543" i="154"/>
  <c r="M543" i="154"/>
  <c r="L543" i="154"/>
  <c r="AH542" i="154"/>
  <c r="AI542" i="154" s="1"/>
  <c r="AA542" i="154"/>
  <c r="AB542" i="154" s="1"/>
  <c r="V542" i="154"/>
  <c r="P542" i="154"/>
  <c r="O542" i="154"/>
  <c r="N542" i="154"/>
  <c r="M542" i="154"/>
  <c r="L542" i="154"/>
  <c r="AH541" i="154"/>
  <c r="AI541" i="154" s="1"/>
  <c r="AA541" i="154"/>
  <c r="AB541" i="154" s="1"/>
  <c r="V541" i="154"/>
  <c r="P541" i="154"/>
  <c r="O541" i="154"/>
  <c r="N541" i="154"/>
  <c r="M541" i="154"/>
  <c r="L541" i="154"/>
  <c r="AH540" i="154"/>
  <c r="AI540" i="154" s="1"/>
  <c r="AA540" i="154"/>
  <c r="AB540" i="154" s="1"/>
  <c r="V540" i="154"/>
  <c r="P540" i="154"/>
  <c r="O540" i="154"/>
  <c r="N540" i="154"/>
  <c r="M540" i="154"/>
  <c r="L540" i="154"/>
  <c r="AH539" i="154"/>
  <c r="AI539" i="154" s="1"/>
  <c r="AA539" i="154"/>
  <c r="AB539" i="154" s="1"/>
  <c r="V539" i="154"/>
  <c r="W539" i="154" s="1"/>
  <c r="P539" i="154"/>
  <c r="O539" i="154"/>
  <c r="N539" i="154"/>
  <c r="M539" i="154"/>
  <c r="L539" i="154"/>
  <c r="AH538" i="154"/>
  <c r="AI538" i="154" s="1"/>
  <c r="AA538" i="154"/>
  <c r="AB538" i="154" s="1"/>
  <c r="V538" i="154"/>
  <c r="P538" i="154"/>
  <c r="O538" i="154"/>
  <c r="N538" i="154"/>
  <c r="M538" i="154"/>
  <c r="L538" i="154"/>
  <c r="AH537" i="154"/>
  <c r="AI537" i="154" s="1"/>
  <c r="AA537" i="154"/>
  <c r="AB537" i="154" s="1"/>
  <c r="V537" i="154"/>
  <c r="P537" i="154"/>
  <c r="O537" i="154"/>
  <c r="N537" i="154"/>
  <c r="M537" i="154"/>
  <c r="L537" i="154"/>
  <c r="AH536" i="154"/>
  <c r="AI536" i="154" s="1"/>
  <c r="AA536" i="154"/>
  <c r="AB536" i="154" s="1"/>
  <c r="V536" i="154"/>
  <c r="P536" i="154"/>
  <c r="O536" i="154"/>
  <c r="N536" i="154"/>
  <c r="M536" i="154"/>
  <c r="L536" i="154"/>
  <c r="AH535" i="154"/>
  <c r="AI535" i="154" s="1"/>
  <c r="AA535" i="154"/>
  <c r="AB535" i="154" s="1"/>
  <c r="V535" i="154"/>
  <c r="W535" i="154" s="1"/>
  <c r="P535" i="154"/>
  <c r="O535" i="154"/>
  <c r="N535" i="154"/>
  <c r="M535" i="154"/>
  <c r="L535" i="154"/>
  <c r="AH534" i="154"/>
  <c r="AI534" i="154" s="1"/>
  <c r="AA534" i="154"/>
  <c r="AB534" i="154" s="1"/>
  <c r="V534" i="154"/>
  <c r="W534" i="154" s="1"/>
  <c r="P534" i="154"/>
  <c r="O534" i="154"/>
  <c r="N534" i="154"/>
  <c r="M534" i="154"/>
  <c r="L534" i="154"/>
  <c r="AH533" i="154"/>
  <c r="AI533" i="154" s="1"/>
  <c r="AA533" i="154"/>
  <c r="AB533" i="154" s="1"/>
  <c r="V533" i="154"/>
  <c r="P533" i="154"/>
  <c r="O533" i="154"/>
  <c r="N533" i="154"/>
  <c r="M533" i="154"/>
  <c r="L533" i="154"/>
  <c r="E533" i="154"/>
  <c r="E534" i="154" s="1"/>
  <c r="E535" i="154" s="1"/>
  <c r="E536" i="154" s="1"/>
  <c r="E537" i="154" s="1"/>
  <c r="E538" i="154" s="1"/>
  <c r="E539" i="154" s="1"/>
  <c r="E540" i="154" s="1"/>
  <c r="E541" i="154" s="1"/>
  <c r="E542" i="154" s="1"/>
  <c r="E543" i="154" s="1"/>
  <c r="E544" i="154" s="1"/>
  <c r="E545" i="154" s="1"/>
  <c r="E546" i="154" s="1"/>
  <c r="E547" i="154" s="1"/>
  <c r="E548" i="154" s="1"/>
  <c r="E549" i="154" s="1"/>
  <c r="E550" i="154" s="1"/>
  <c r="E551" i="154" s="1"/>
  <c r="E552" i="154" s="1"/>
  <c r="E553" i="154" s="1"/>
  <c r="E554" i="154" s="1"/>
  <c r="E555" i="154" s="1"/>
  <c r="E556" i="154" s="1"/>
  <c r="E557" i="154" s="1"/>
  <c r="E558" i="154" s="1"/>
  <c r="E559" i="154" s="1"/>
  <c r="E560" i="154" s="1"/>
  <c r="E561" i="154" s="1"/>
  <c r="E562" i="154" s="1"/>
  <c r="E563" i="154" s="1"/>
  <c r="E564" i="154" s="1"/>
  <c r="E565" i="154" s="1"/>
  <c r="E566" i="154" s="1"/>
  <c r="E567" i="154" s="1"/>
  <c r="E568" i="154" s="1"/>
  <c r="E569" i="154" s="1"/>
  <c r="AH532" i="154"/>
  <c r="AI532" i="154" s="1"/>
  <c r="AA532" i="154"/>
  <c r="AB532" i="154" s="1"/>
  <c r="V532" i="154"/>
  <c r="P532" i="154"/>
  <c r="O532" i="154"/>
  <c r="N532" i="154"/>
  <c r="M532" i="154"/>
  <c r="L532" i="154"/>
  <c r="AH531" i="154"/>
  <c r="AI531" i="154" s="1"/>
  <c r="AA531" i="154"/>
  <c r="AB531" i="154" s="1"/>
  <c r="V531" i="154"/>
  <c r="W531" i="154" s="1"/>
  <c r="P531" i="154"/>
  <c r="O531" i="154"/>
  <c r="N531" i="154"/>
  <c r="M531" i="154"/>
  <c r="L531" i="154"/>
  <c r="AH530" i="154"/>
  <c r="AI530" i="154" s="1"/>
  <c r="AA530" i="154"/>
  <c r="AB530" i="154" s="1"/>
  <c r="V530" i="154"/>
  <c r="P530" i="154"/>
  <c r="O530" i="154"/>
  <c r="N530" i="154"/>
  <c r="M530" i="154"/>
  <c r="L530" i="154"/>
  <c r="AH529" i="154"/>
  <c r="AI529" i="154" s="1"/>
  <c r="AA529" i="154"/>
  <c r="AB529" i="154" s="1"/>
  <c r="V529" i="154"/>
  <c r="W529" i="154" s="1"/>
  <c r="P529" i="154"/>
  <c r="O529" i="154"/>
  <c r="N529" i="154"/>
  <c r="M529" i="154"/>
  <c r="L529" i="154"/>
  <c r="AH528" i="154"/>
  <c r="AI528" i="154" s="1"/>
  <c r="AA528" i="154"/>
  <c r="AB528" i="154" s="1"/>
  <c r="V528" i="154"/>
  <c r="W528" i="154" s="1"/>
  <c r="P528" i="154"/>
  <c r="O528" i="154"/>
  <c r="N528" i="154"/>
  <c r="M528" i="154"/>
  <c r="L528" i="154"/>
  <c r="AH527" i="154"/>
  <c r="AI527" i="154" s="1"/>
  <c r="AA527" i="154"/>
  <c r="AB527" i="154" s="1"/>
  <c r="V527" i="154"/>
  <c r="W527" i="154" s="1"/>
  <c r="P527" i="154"/>
  <c r="O527" i="154"/>
  <c r="N527" i="154"/>
  <c r="M527" i="154"/>
  <c r="L527" i="154"/>
  <c r="AH526" i="154"/>
  <c r="AI526" i="154" s="1"/>
  <c r="AA526" i="154"/>
  <c r="AB526" i="154" s="1"/>
  <c r="V526" i="154"/>
  <c r="P526" i="154"/>
  <c r="O526" i="154"/>
  <c r="N526" i="154"/>
  <c r="M526" i="154"/>
  <c r="L526" i="154"/>
  <c r="AH525" i="154"/>
  <c r="AI525" i="154" s="1"/>
  <c r="AA525" i="154"/>
  <c r="AB525" i="154" s="1"/>
  <c r="V525" i="154"/>
  <c r="W525" i="154" s="1"/>
  <c r="P525" i="154"/>
  <c r="O525" i="154"/>
  <c r="N525" i="154"/>
  <c r="M525" i="154"/>
  <c r="L525" i="154"/>
  <c r="AH524" i="154"/>
  <c r="AI524" i="154" s="1"/>
  <c r="AA524" i="154"/>
  <c r="AB524" i="154" s="1"/>
  <c r="V524" i="154"/>
  <c r="W524" i="154" s="1"/>
  <c r="P524" i="154"/>
  <c r="O524" i="154"/>
  <c r="N524" i="154"/>
  <c r="M524" i="154"/>
  <c r="L524" i="154"/>
  <c r="AH523" i="154"/>
  <c r="AI523" i="154" s="1"/>
  <c r="AA523" i="154"/>
  <c r="AB523" i="154" s="1"/>
  <c r="V523" i="154"/>
  <c r="W523" i="154" s="1"/>
  <c r="P523" i="154"/>
  <c r="O523" i="154"/>
  <c r="N523" i="154"/>
  <c r="M523" i="154"/>
  <c r="L523" i="154"/>
  <c r="AH522" i="154"/>
  <c r="AI522" i="154" s="1"/>
  <c r="AA522" i="154"/>
  <c r="AB522" i="154" s="1"/>
  <c r="V522" i="154"/>
  <c r="P522" i="154"/>
  <c r="O522" i="154"/>
  <c r="N522" i="154"/>
  <c r="M522" i="154"/>
  <c r="L522" i="154"/>
  <c r="AH521" i="154"/>
  <c r="AI521" i="154" s="1"/>
  <c r="AA521" i="154"/>
  <c r="AB521" i="154" s="1"/>
  <c r="V521" i="154"/>
  <c r="W521" i="154" s="1"/>
  <c r="P521" i="154"/>
  <c r="O521" i="154"/>
  <c r="N521" i="154"/>
  <c r="M521" i="154"/>
  <c r="L521" i="154"/>
  <c r="AH520" i="154"/>
  <c r="AI520" i="154" s="1"/>
  <c r="AA520" i="154"/>
  <c r="AB520" i="154" s="1"/>
  <c r="V520" i="154"/>
  <c r="W520" i="154" s="1"/>
  <c r="P520" i="154"/>
  <c r="O520" i="154"/>
  <c r="N520" i="154"/>
  <c r="M520" i="154"/>
  <c r="L520" i="154"/>
  <c r="AH519" i="154"/>
  <c r="AI519" i="154" s="1"/>
  <c r="AA519" i="154"/>
  <c r="AB519" i="154" s="1"/>
  <c r="V519" i="154"/>
  <c r="W519" i="154" s="1"/>
  <c r="P519" i="154"/>
  <c r="O519" i="154"/>
  <c r="N519" i="154"/>
  <c r="M519" i="154"/>
  <c r="L519" i="154"/>
  <c r="AH518" i="154"/>
  <c r="AI518" i="154" s="1"/>
  <c r="AA518" i="154"/>
  <c r="AB518" i="154" s="1"/>
  <c r="V518" i="154"/>
  <c r="W518" i="154" s="1"/>
  <c r="P518" i="154"/>
  <c r="O518" i="154"/>
  <c r="N518" i="154"/>
  <c r="M518" i="154"/>
  <c r="L518" i="154"/>
  <c r="AH517" i="154"/>
  <c r="AI517" i="154" s="1"/>
  <c r="AA517" i="154"/>
  <c r="AB517" i="154" s="1"/>
  <c r="V517" i="154"/>
  <c r="P517" i="154"/>
  <c r="O517" i="154"/>
  <c r="N517" i="154"/>
  <c r="M517" i="154"/>
  <c r="L517" i="154"/>
  <c r="AH516" i="154"/>
  <c r="AI516" i="154" s="1"/>
  <c r="AA516" i="154"/>
  <c r="AB516" i="154" s="1"/>
  <c r="V516" i="154"/>
  <c r="W516" i="154" s="1"/>
  <c r="P516" i="154"/>
  <c r="O516" i="154"/>
  <c r="N516" i="154"/>
  <c r="M516" i="154"/>
  <c r="L516" i="154"/>
  <c r="AH515" i="154"/>
  <c r="AI515" i="154" s="1"/>
  <c r="AA515" i="154"/>
  <c r="AB515" i="154" s="1"/>
  <c r="V515" i="154"/>
  <c r="P515" i="154"/>
  <c r="O515" i="154"/>
  <c r="N515" i="154"/>
  <c r="M515" i="154"/>
  <c r="L515" i="154"/>
  <c r="AH514" i="154"/>
  <c r="AI514" i="154" s="1"/>
  <c r="AA514" i="154"/>
  <c r="AB514" i="154" s="1"/>
  <c r="V514" i="154"/>
  <c r="W514" i="154" s="1"/>
  <c r="P514" i="154"/>
  <c r="O514" i="154"/>
  <c r="N514" i="154"/>
  <c r="M514" i="154"/>
  <c r="L514" i="154"/>
  <c r="AH513" i="154"/>
  <c r="AI513" i="154" s="1"/>
  <c r="AA513" i="154"/>
  <c r="AB513" i="154" s="1"/>
  <c r="V513" i="154"/>
  <c r="P513" i="154"/>
  <c r="O513" i="154"/>
  <c r="N513" i="154"/>
  <c r="M513" i="154"/>
  <c r="L513" i="154"/>
  <c r="AH512" i="154"/>
  <c r="AI512" i="154" s="1"/>
  <c r="AA512" i="154"/>
  <c r="AB512" i="154" s="1"/>
  <c r="V512" i="154"/>
  <c r="W512" i="154" s="1"/>
  <c r="P512" i="154"/>
  <c r="O512" i="154"/>
  <c r="N512" i="154"/>
  <c r="M512" i="154"/>
  <c r="L512" i="154"/>
  <c r="AH511" i="154"/>
  <c r="AI511" i="154" s="1"/>
  <c r="AA511" i="154"/>
  <c r="AB511" i="154" s="1"/>
  <c r="V511" i="154"/>
  <c r="P511" i="154"/>
  <c r="O511" i="154"/>
  <c r="N511" i="154"/>
  <c r="M511" i="154"/>
  <c r="L511" i="154"/>
  <c r="AH510" i="154"/>
  <c r="AI510" i="154" s="1"/>
  <c r="AA510" i="154"/>
  <c r="V510" i="154"/>
  <c r="W510" i="154" s="1"/>
  <c r="P510" i="154"/>
  <c r="O510" i="154"/>
  <c r="N510" i="154"/>
  <c r="M510" i="154"/>
  <c r="L510" i="154"/>
  <c r="AH509" i="154"/>
  <c r="AI509" i="154" s="1"/>
  <c r="AA509" i="154"/>
  <c r="AB509" i="154" s="1"/>
  <c r="V509" i="154"/>
  <c r="P509" i="154"/>
  <c r="O509" i="154"/>
  <c r="N509" i="154"/>
  <c r="M509" i="154"/>
  <c r="L509" i="154"/>
  <c r="AH508" i="154"/>
  <c r="AI508" i="154" s="1"/>
  <c r="AA508" i="154"/>
  <c r="AB508" i="154" s="1"/>
  <c r="V508" i="154"/>
  <c r="W508" i="154" s="1"/>
  <c r="P508" i="154"/>
  <c r="O508" i="154"/>
  <c r="N508" i="154"/>
  <c r="M508" i="154"/>
  <c r="L508" i="154"/>
  <c r="AH507" i="154"/>
  <c r="AI507" i="154" s="1"/>
  <c r="AA507" i="154"/>
  <c r="AB507" i="154" s="1"/>
  <c r="V507" i="154"/>
  <c r="P507" i="154"/>
  <c r="O507" i="154"/>
  <c r="N507" i="154"/>
  <c r="M507" i="154"/>
  <c r="L507" i="154"/>
  <c r="AH506" i="154"/>
  <c r="AI506" i="154" s="1"/>
  <c r="AA506" i="154"/>
  <c r="AB506" i="154" s="1"/>
  <c r="V506" i="154"/>
  <c r="W506" i="154" s="1"/>
  <c r="P506" i="154"/>
  <c r="O506" i="154"/>
  <c r="N506" i="154"/>
  <c r="M506" i="154"/>
  <c r="L506" i="154"/>
  <c r="E506" i="154"/>
  <c r="E507" i="154" s="1"/>
  <c r="E508" i="154" s="1"/>
  <c r="E509" i="154" s="1"/>
  <c r="E510" i="154" s="1"/>
  <c r="E511" i="154" s="1"/>
  <c r="E512" i="154" s="1"/>
  <c r="E513" i="154" s="1"/>
  <c r="E514" i="154" s="1"/>
  <c r="E515" i="154" s="1"/>
  <c r="E516" i="154" s="1"/>
  <c r="E517" i="154" s="1"/>
  <c r="E518" i="154" s="1"/>
  <c r="E519" i="154" s="1"/>
  <c r="E520" i="154" s="1"/>
  <c r="E521" i="154" s="1"/>
  <c r="E522" i="154" s="1"/>
  <c r="E523" i="154" s="1"/>
  <c r="E524" i="154" s="1"/>
  <c r="E525" i="154" s="1"/>
  <c r="E526" i="154" s="1"/>
  <c r="E527" i="154" s="1"/>
  <c r="E528" i="154" s="1"/>
  <c r="E529" i="154" s="1"/>
  <c r="E530" i="154" s="1"/>
  <c r="E531" i="154" s="1"/>
  <c r="AH505" i="154"/>
  <c r="AI505" i="154" s="1"/>
  <c r="AA505" i="154"/>
  <c r="AB505" i="154" s="1"/>
  <c r="V505" i="154"/>
  <c r="W505" i="154" s="1"/>
  <c r="P505" i="154"/>
  <c r="O505" i="154"/>
  <c r="N505" i="154"/>
  <c r="M505" i="154"/>
  <c r="L505" i="154"/>
  <c r="AH504" i="154"/>
  <c r="AI504" i="154" s="1"/>
  <c r="AA504" i="154"/>
  <c r="AB504" i="154" s="1"/>
  <c r="V504" i="154"/>
  <c r="W504" i="154" s="1"/>
  <c r="P504" i="154"/>
  <c r="O504" i="154"/>
  <c r="N504" i="154"/>
  <c r="M504" i="154"/>
  <c r="L504" i="154"/>
  <c r="AH503" i="154"/>
  <c r="AI503" i="154" s="1"/>
  <c r="AA503" i="154"/>
  <c r="AB503" i="154" s="1"/>
  <c r="V503" i="154"/>
  <c r="W503" i="154" s="1"/>
  <c r="P503" i="154"/>
  <c r="O503" i="154"/>
  <c r="N503" i="154"/>
  <c r="M503" i="154"/>
  <c r="L503" i="154"/>
  <c r="AH502" i="154"/>
  <c r="AI502" i="154" s="1"/>
  <c r="AA502" i="154"/>
  <c r="AB502" i="154" s="1"/>
  <c r="V502" i="154"/>
  <c r="W502" i="154" s="1"/>
  <c r="P502" i="154"/>
  <c r="O502" i="154"/>
  <c r="N502" i="154"/>
  <c r="M502" i="154"/>
  <c r="L502" i="154"/>
  <c r="AH501" i="154"/>
  <c r="AI501" i="154" s="1"/>
  <c r="AA501" i="154"/>
  <c r="AB501" i="154" s="1"/>
  <c r="V501" i="154"/>
  <c r="W501" i="154" s="1"/>
  <c r="P501" i="154"/>
  <c r="O501" i="154"/>
  <c r="N501" i="154"/>
  <c r="M501" i="154"/>
  <c r="L501" i="154"/>
  <c r="AH500" i="154"/>
  <c r="AI500" i="154" s="1"/>
  <c r="AA500" i="154"/>
  <c r="AB500" i="154" s="1"/>
  <c r="V500" i="154"/>
  <c r="W500" i="154" s="1"/>
  <c r="P500" i="154"/>
  <c r="O500" i="154"/>
  <c r="N500" i="154"/>
  <c r="M500" i="154"/>
  <c r="L500" i="154"/>
  <c r="AH499" i="154"/>
  <c r="AI499" i="154" s="1"/>
  <c r="AA499" i="154"/>
  <c r="V499" i="154"/>
  <c r="W499" i="154" s="1"/>
  <c r="P499" i="154"/>
  <c r="O499" i="154"/>
  <c r="N499" i="154"/>
  <c r="M499" i="154"/>
  <c r="L499" i="154"/>
  <c r="AH498" i="154"/>
  <c r="AI498" i="154" s="1"/>
  <c r="AA498" i="154"/>
  <c r="AB498" i="154" s="1"/>
  <c r="V498" i="154"/>
  <c r="W498" i="154" s="1"/>
  <c r="P498" i="154"/>
  <c r="O498" i="154"/>
  <c r="N498" i="154"/>
  <c r="M498" i="154"/>
  <c r="L498" i="154"/>
  <c r="AH497" i="154"/>
  <c r="AI497" i="154" s="1"/>
  <c r="AA497" i="154"/>
  <c r="AB497" i="154" s="1"/>
  <c r="V497" i="154"/>
  <c r="W497" i="154" s="1"/>
  <c r="P497" i="154"/>
  <c r="O497" i="154"/>
  <c r="N497" i="154"/>
  <c r="M497" i="154"/>
  <c r="L497" i="154"/>
  <c r="AH496" i="154"/>
  <c r="AI496" i="154" s="1"/>
  <c r="AA496" i="154"/>
  <c r="AB496" i="154" s="1"/>
  <c r="V496" i="154"/>
  <c r="P496" i="154"/>
  <c r="O496" i="154"/>
  <c r="N496" i="154"/>
  <c r="M496" i="154"/>
  <c r="L496" i="154"/>
  <c r="AH495" i="154"/>
  <c r="AI495" i="154" s="1"/>
  <c r="AA495" i="154"/>
  <c r="AB495" i="154" s="1"/>
  <c r="V495" i="154"/>
  <c r="W495" i="154" s="1"/>
  <c r="P495" i="154"/>
  <c r="O495" i="154"/>
  <c r="N495" i="154"/>
  <c r="M495" i="154"/>
  <c r="L495" i="154"/>
  <c r="AH494" i="154"/>
  <c r="AI494" i="154" s="1"/>
  <c r="AA494" i="154"/>
  <c r="AB494" i="154" s="1"/>
  <c r="V494" i="154"/>
  <c r="P494" i="154"/>
  <c r="O494" i="154"/>
  <c r="N494" i="154"/>
  <c r="M494" i="154"/>
  <c r="L494" i="154"/>
  <c r="AH493" i="154"/>
  <c r="AI493" i="154" s="1"/>
  <c r="AA493" i="154"/>
  <c r="AB493" i="154" s="1"/>
  <c r="V493" i="154"/>
  <c r="W493" i="154" s="1"/>
  <c r="P493" i="154"/>
  <c r="O493" i="154"/>
  <c r="N493" i="154"/>
  <c r="M493" i="154"/>
  <c r="L493" i="154"/>
  <c r="AH492" i="154"/>
  <c r="AI492" i="154" s="1"/>
  <c r="AA492" i="154"/>
  <c r="AB492" i="154" s="1"/>
  <c r="V492" i="154"/>
  <c r="P492" i="154"/>
  <c r="O492" i="154"/>
  <c r="N492" i="154"/>
  <c r="M492" i="154"/>
  <c r="L492" i="154"/>
  <c r="AH491" i="154"/>
  <c r="AI491" i="154" s="1"/>
  <c r="AA491" i="154"/>
  <c r="AB491" i="154" s="1"/>
  <c r="V491" i="154"/>
  <c r="W491" i="154" s="1"/>
  <c r="P491" i="154"/>
  <c r="O491" i="154"/>
  <c r="N491" i="154"/>
  <c r="M491" i="154"/>
  <c r="L491" i="154"/>
  <c r="AH490" i="154"/>
  <c r="AI490" i="154" s="1"/>
  <c r="AA490" i="154"/>
  <c r="AB490" i="154" s="1"/>
  <c r="V490" i="154"/>
  <c r="W490" i="154" s="1"/>
  <c r="P490" i="154"/>
  <c r="O490" i="154"/>
  <c r="N490" i="154"/>
  <c r="M490" i="154"/>
  <c r="L490" i="154"/>
  <c r="AH489" i="154"/>
  <c r="AI489" i="154" s="1"/>
  <c r="AA489" i="154"/>
  <c r="AB489" i="154" s="1"/>
  <c r="V489" i="154"/>
  <c r="W489" i="154" s="1"/>
  <c r="P489" i="154"/>
  <c r="O489" i="154"/>
  <c r="N489" i="154"/>
  <c r="M489" i="154"/>
  <c r="L489" i="154"/>
  <c r="AH488" i="154"/>
  <c r="AI488" i="154" s="1"/>
  <c r="AA488" i="154"/>
  <c r="AB488" i="154" s="1"/>
  <c r="V488" i="154"/>
  <c r="W488" i="154" s="1"/>
  <c r="P488" i="154"/>
  <c r="O488" i="154"/>
  <c r="N488" i="154"/>
  <c r="M488" i="154"/>
  <c r="L488" i="154"/>
  <c r="AH487" i="154"/>
  <c r="AI487" i="154" s="1"/>
  <c r="AA487" i="154"/>
  <c r="AB487" i="154" s="1"/>
  <c r="V487" i="154"/>
  <c r="W487" i="154" s="1"/>
  <c r="P487" i="154"/>
  <c r="O487" i="154"/>
  <c r="N487" i="154"/>
  <c r="M487" i="154"/>
  <c r="L487" i="154"/>
  <c r="AH486" i="154"/>
  <c r="AI486" i="154" s="1"/>
  <c r="AA486" i="154"/>
  <c r="AB486" i="154" s="1"/>
  <c r="V486" i="154"/>
  <c r="W486" i="154" s="1"/>
  <c r="P486" i="154"/>
  <c r="O486" i="154"/>
  <c r="N486" i="154"/>
  <c r="M486" i="154"/>
  <c r="L486" i="154"/>
  <c r="AH485" i="154"/>
  <c r="AI485" i="154" s="1"/>
  <c r="AA485" i="154"/>
  <c r="AB485" i="154" s="1"/>
  <c r="V485" i="154"/>
  <c r="W485" i="154" s="1"/>
  <c r="P485" i="154"/>
  <c r="O485" i="154"/>
  <c r="N485" i="154"/>
  <c r="M485" i="154"/>
  <c r="L485" i="154"/>
  <c r="AH484" i="154"/>
  <c r="AI484" i="154" s="1"/>
  <c r="AA484" i="154"/>
  <c r="AB484" i="154" s="1"/>
  <c r="V484" i="154"/>
  <c r="W484" i="154" s="1"/>
  <c r="P484" i="154"/>
  <c r="O484" i="154"/>
  <c r="N484" i="154"/>
  <c r="M484" i="154"/>
  <c r="L484" i="154"/>
  <c r="AH483" i="154"/>
  <c r="AI483" i="154" s="1"/>
  <c r="AA483" i="154"/>
  <c r="AB483" i="154" s="1"/>
  <c r="V483" i="154"/>
  <c r="W483" i="154" s="1"/>
  <c r="P483" i="154"/>
  <c r="O483" i="154"/>
  <c r="N483" i="154"/>
  <c r="M483" i="154"/>
  <c r="L483" i="154"/>
  <c r="AH482" i="154"/>
  <c r="AI482" i="154" s="1"/>
  <c r="AA482" i="154"/>
  <c r="AB482" i="154" s="1"/>
  <c r="V482" i="154"/>
  <c r="P482" i="154"/>
  <c r="O482" i="154"/>
  <c r="N482" i="154"/>
  <c r="M482" i="154"/>
  <c r="L482" i="154"/>
  <c r="AH481" i="154"/>
  <c r="AI481" i="154" s="1"/>
  <c r="AA481" i="154"/>
  <c r="AB481" i="154" s="1"/>
  <c r="V481" i="154"/>
  <c r="P481" i="154"/>
  <c r="O481" i="154"/>
  <c r="N481" i="154"/>
  <c r="M481" i="154"/>
  <c r="L481" i="154"/>
  <c r="AH480" i="154"/>
  <c r="AI480" i="154" s="1"/>
  <c r="AA480" i="154"/>
  <c r="AB480" i="154" s="1"/>
  <c r="V480" i="154"/>
  <c r="W480" i="154" s="1"/>
  <c r="P480" i="154"/>
  <c r="O480" i="154"/>
  <c r="N480" i="154"/>
  <c r="M480" i="154"/>
  <c r="L480" i="154"/>
  <c r="AH479" i="154"/>
  <c r="AI479" i="154" s="1"/>
  <c r="AA479" i="154"/>
  <c r="AB479" i="154" s="1"/>
  <c r="V479" i="154"/>
  <c r="W479" i="154" s="1"/>
  <c r="P479" i="154"/>
  <c r="O479" i="154"/>
  <c r="N479" i="154"/>
  <c r="M479" i="154"/>
  <c r="L479" i="154"/>
  <c r="AH478" i="154"/>
  <c r="AI478" i="154" s="1"/>
  <c r="AA478" i="154"/>
  <c r="AB478" i="154" s="1"/>
  <c r="V478" i="154"/>
  <c r="P478" i="154"/>
  <c r="O478" i="154"/>
  <c r="N478" i="154"/>
  <c r="M478" i="154"/>
  <c r="L478" i="154"/>
  <c r="AH477" i="154"/>
  <c r="AI477" i="154" s="1"/>
  <c r="AA477" i="154"/>
  <c r="AB477" i="154" s="1"/>
  <c r="V477" i="154"/>
  <c r="P477" i="154"/>
  <c r="O477" i="154"/>
  <c r="N477" i="154"/>
  <c r="M477" i="154"/>
  <c r="L477" i="154"/>
  <c r="AH476" i="154"/>
  <c r="AI476" i="154" s="1"/>
  <c r="AA476" i="154"/>
  <c r="AB476" i="154" s="1"/>
  <c r="V476" i="154"/>
  <c r="W476" i="154" s="1"/>
  <c r="P476" i="154"/>
  <c r="O476" i="154"/>
  <c r="N476" i="154"/>
  <c r="M476" i="154"/>
  <c r="L476" i="154"/>
  <c r="AH475" i="154"/>
  <c r="AI475" i="154" s="1"/>
  <c r="AA475" i="154"/>
  <c r="AB475" i="154" s="1"/>
  <c r="V475" i="154"/>
  <c r="W475" i="154" s="1"/>
  <c r="P475" i="154"/>
  <c r="O475" i="154"/>
  <c r="N475" i="154"/>
  <c r="M475" i="154"/>
  <c r="L475" i="154"/>
  <c r="AH474" i="154"/>
  <c r="AI474" i="154" s="1"/>
  <c r="AA474" i="154"/>
  <c r="AB474" i="154" s="1"/>
  <c r="V474" i="154"/>
  <c r="P474" i="154"/>
  <c r="O474" i="154"/>
  <c r="N474" i="154"/>
  <c r="M474" i="154"/>
  <c r="L474" i="154"/>
  <c r="AH473" i="154"/>
  <c r="AI473" i="154" s="1"/>
  <c r="AA473" i="154"/>
  <c r="AB473" i="154" s="1"/>
  <c r="V473" i="154"/>
  <c r="P473" i="154"/>
  <c r="O473" i="154"/>
  <c r="N473" i="154"/>
  <c r="M473" i="154"/>
  <c r="L473" i="154"/>
  <c r="AH472" i="154"/>
  <c r="AI472" i="154" s="1"/>
  <c r="AA472" i="154"/>
  <c r="AB472" i="154" s="1"/>
  <c r="V472" i="154"/>
  <c r="W472" i="154" s="1"/>
  <c r="P472" i="154"/>
  <c r="O472" i="154"/>
  <c r="N472" i="154"/>
  <c r="M472" i="154"/>
  <c r="L472" i="154"/>
  <c r="AH471" i="154"/>
  <c r="AI471" i="154" s="1"/>
  <c r="AA471" i="154"/>
  <c r="AB471" i="154" s="1"/>
  <c r="V471" i="154"/>
  <c r="W471" i="154" s="1"/>
  <c r="P471" i="154"/>
  <c r="O471" i="154"/>
  <c r="N471" i="154"/>
  <c r="M471" i="154"/>
  <c r="L471" i="154"/>
  <c r="E471" i="154"/>
  <c r="E472" i="154" s="1"/>
  <c r="E473" i="154" s="1"/>
  <c r="E474" i="154" s="1"/>
  <c r="E475" i="154" s="1"/>
  <c r="E476" i="154" s="1"/>
  <c r="E477" i="154" s="1"/>
  <c r="E478" i="154" s="1"/>
  <c r="E479" i="154" s="1"/>
  <c r="E480" i="154" s="1"/>
  <c r="E481" i="154" s="1"/>
  <c r="E482" i="154" s="1"/>
  <c r="E483" i="154" s="1"/>
  <c r="E484" i="154" s="1"/>
  <c r="E485" i="154" s="1"/>
  <c r="E486" i="154" s="1"/>
  <c r="E487" i="154" s="1"/>
  <c r="E488" i="154" s="1"/>
  <c r="E489" i="154" s="1"/>
  <c r="E490" i="154" s="1"/>
  <c r="E491" i="154" s="1"/>
  <c r="E492" i="154" s="1"/>
  <c r="E493" i="154" s="1"/>
  <c r="E494" i="154" s="1"/>
  <c r="E495" i="154" s="1"/>
  <c r="E496" i="154" s="1"/>
  <c r="E497" i="154" s="1"/>
  <c r="E498" i="154" s="1"/>
  <c r="E499" i="154" s="1"/>
  <c r="E500" i="154" s="1"/>
  <c r="E501" i="154" s="1"/>
  <c r="E502" i="154" s="1"/>
  <c r="E503" i="154" s="1"/>
  <c r="E504" i="154" s="1"/>
  <c r="AH470" i="154"/>
  <c r="AI470" i="154" s="1"/>
  <c r="AA470" i="154"/>
  <c r="AB470" i="154" s="1"/>
  <c r="V470" i="154"/>
  <c r="P470" i="154"/>
  <c r="O470" i="154"/>
  <c r="N470" i="154"/>
  <c r="M470" i="154"/>
  <c r="L470" i="154"/>
  <c r="AH469" i="154"/>
  <c r="AI469" i="154" s="1"/>
  <c r="AA469" i="154"/>
  <c r="AB469" i="154" s="1"/>
  <c r="V469" i="154"/>
  <c r="W469" i="154" s="1"/>
  <c r="P469" i="154"/>
  <c r="O469" i="154"/>
  <c r="N469" i="154"/>
  <c r="M469" i="154"/>
  <c r="L469" i="154"/>
  <c r="AH468" i="154"/>
  <c r="AI468" i="154" s="1"/>
  <c r="AA468" i="154"/>
  <c r="AB468" i="154" s="1"/>
  <c r="V468" i="154"/>
  <c r="W468" i="154" s="1"/>
  <c r="P468" i="154"/>
  <c r="O468" i="154"/>
  <c r="N468" i="154"/>
  <c r="M468" i="154"/>
  <c r="L468" i="154"/>
  <c r="AH467" i="154"/>
  <c r="AI467" i="154" s="1"/>
  <c r="AA467" i="154"/>
  <c r="AB467" i="154" s="1"/>
  <c r="V467" i="154"/>
  <c r="P467" i="154"/>
  <c r="O467" i="154"/>
  <c r="N467" i="154"/>
  <c r="M467" i="154"/>
  <c r="L467" i="154"/>
  <c r="AH466" i="154"/>
  <c r="AI466" i="154" s="1"/>
  <c r="AA466" i="154"/>
  <c r="AB466" i="154" s="1"/>
  <c r="V466" i="154"/>
  <c r="W466" i="154" s="1"/>
  <c r="P466" i="154"/>
  <c r="O466" i="154"/>
  <c r="N466" i="154"/>
  <c r="M466" i="154"/>
  <c r="L466" i="154"/>
  <c r="AH465" i="154"/>
  <c r="AI465" i="154" s="1"/>
  <c r="AA465" i="154"/>
  <c r="AB465" i="154" s="1"/>
  <c r="V465" i="154"/>
  <c r="W465" i="154" s="1"/>
  <c r="P465" i="154"/>
  <c r="O465" i="154"/>
  <c r="N465" i="154"/>
  <c r="M465" i="154"/>
  <c r="L465" i="154"/>
  <c r="AH464" i="154"/>
  <c r="AI464" i="154" s="1"/>
  <c r="AA464" i="154"/>
  <c r="AB464" i="154" s="1"/>
  <c r="V464" i="154"/>
  <c r="W464" i="154" s="1"/>
  <c r="P464" i="154"/>
  <c r="O464" i="154"/>
  <c r="N464" i="154"/>
  <c r="M464" i="154"/>
  <c r="L464" i="154"/>
  <c r="AH463" i="154"/>
  <c r="AI463" i="154" s="1"/>
  <c r="AA463" i="154"/>
  <c r="AB463" i="154" s="1"/>
  <c r="V463" i="154"/>
  <c r="P463" i="154"/>
  <c r="O463" i="154"/>
  <c r="N463" i="154"/>
  <c r="M463" i="154"/>
  <c r="L463" i="154"/>
  <c r="E463" i="154"/>
  <c r="E464" i="154" s="1"/>
  <c r="E465" i="154" s="1"/>
  <c r="E466" i="154" s="1"/>
  <c r="E467" i="154" s="1"/>
  <c r="E468" i="154" s="1"/>
  <c r="E469" i="154" s="1"/>
  <c r="AH462" i="154"/>
  <c r="AI462" i="154" s="1"/>
  <c r="AA462" i="154"/>
  <c r="AB462" i="154" s="1"/>
  <c r="V462" i="154"/>
  <c r="W462" i="154" s="1"/>
  <c r="P462" i="154"/>
  <c r="O462" i="154"/>
  <c r="N462" i="154"/>
  <c r="M462" i="154"/>
  <c r="L462" i="154"/>
  <c r="AH461" i="154"/>
  <c r="AI461" i="154" s="1"/>
  <c r="AA461" i="154"/>
  <c r="AB461" i="154" s="1"/>
  <c r="V461" i="154"/>
  <c r="W461" i="154" s="1"/>
  <c r="P461" i="154"/>
  <c r="O461" i="154"/>
  <c r="N461" i="154"/>
  <c r="M461" i="154"/>
  <c r="L461" i="154"/>
  <c r="AH460" i="154"/>
  <c r="AI460" i="154" s="1"/>
  <c r="AA460" i="154"/>
  <c r="AB460" i="154" s="1"/>
  <c r="V460" i="154"/>
  <c r="P460" i="154"/>
  <c r="O460" i="154"/>
  <c r="N460" i="154"/>
  <c r="M460" i="154"/>
  <c r="L460" i="154"/>
  <c r="AH459" i="154"/>
  <c r="AI459" i="154" s="1"/>
  <c r="AA459" i="154"/>
  <c r="AB459" i="154" s="1"/>
  <c r="V459" i="154"/>
  <c r="P459" i="154"/>
  <c r="O459" i="154"/>
  <c r="N459" i="154"/>
  <c r="M459" i="154"/>
  <c r="L459" i="154"/>
  <c r="AH458" i="154"/>
  <c r="AI458" i="154" s="1"/>
  <c r="AA458" i="154"/>
  <c r="AB458" i="154" s="1"/>
  <c r="V458" i="154"/>
  <c r="W458" i="154" s="1"/>
  <c r="P458" i="154"/>
  <c r="O458" i="154"/>
  <c r="N458" i="154"/>
  <c r="M458" i="154"/>
  <c r="L458" i="154"/>
  <c r="AH457" i="154"/>
  <c r="AI457" i="154" s="1"/>
  <c r="AA457" i="154"/>
  <c r="AB457" i="154" s="1"/>
  <c r="V457" i="154"/>
  <c r="W457" i="154" s="1"/>
  <c r="P457" i="154"/>
  <c r="O457" i="154"/>
  <c r="N457" i="154"/>
  <c r="M457" i="154"/>
  <c r="L457" i="154"/>
  <c r="AH456" i="154"/>
  <c r="AI456" i="154" s="1"/>
  <c r="AA456" i="154"/>
  <c r="AB456" i="154" s="1"/>
  <c r="V456" i="154"/>
  <c r="P456" i="154"/>
  <c r="O456" i="154"/>
  <c r="N456" i="154"/>
  <c r="M456" i="154"/>
  <c r="L456" i="154"/>
  <c r="AH455" i="154"/>
  <c r="AI455" i="154" s="1"/>
  <c r="AA455" i="154"/>
  <c r="AB455" i="154" s="1"/>
  <c r="V455" i="154"/>
  <c r="W455" i="154" s="1"/>
  <c r="P455" i="154"/>
  <c r="O455" i="154"/>
  <c r="N455" i="154"/>
  <c r="M455" i="154"/>
  <c r="L455" i="154"/>
  <c r="AH454" i="154"/>
  <c r="AI454" i="154" s="1"/>
  <c r="AA454" i="154"/>
  <c r="AB454" i="154" s="1"/>
  <c r="V454" i="154"/>
  <c r="W454" i="154" s="1"/>
  <c r="P454" i="154"/>
  <c r="O454" i="154"/>
  <c r="N454" i="154"/>
  <c r="M454" i="154"/>
  <c r="L454" i="154"/>
  <c r="AH453" i="154"/>
  <c r="AI453" i="154" s="1"/>
  <c r="AA453" i="154"/>
  <c r="AB453" i="154" s="1"/>
  <c r="V453" i="154"/>
  <c r="W453" i="154" s="1"/>
  <c r="P453" i="154"/>
  <c r="O453" i="154"/>
  <c r="N453" i="154"/>
  <c r="M453" i="154"/>
  <c r="L453" i="154"/>
  <c r="E453" i="154"/>
  <c r="E454" i="154" s="1"/>
  <c r="E455" i="154" s="1"/>
  <c r="E456" i="154" s="1"/>
  <c r="E457" i="154" s="1"/>
  <c r="E458" i="154" s="1"/>
  <c r="E459" i="154" s="1"/>
  <c r="E460" i="154" s="1"/>
  <c r="E461" i="154" s="1"/>
  <c r="AH452" i="154"/>
  <c r="AI452" i="154" s="1"/>
  <c r="AA452" i="154"/>
  <c r="AB452" i="154" s="1"/>
  <c r="V452" i="154"/>
  <c r="P452" i="154"/>
  <c r="O452" i="154"/>
  <c r="N452" i="154"/>
  <c r="M452" i="154"/>
  <c r="L452" i="154"/>
  <c r="AH451" i="154"/>
  <c r="AI451" i="154" s="1"/>
  <c r="AA451" i="154"/>
  <c r="AB451" i="154" s="1"/>
  <c r="V451" i="154"/>
  <c r="W451" i="154" s="1"/>
  <c r="P451" i="154"/>
  <c r="O451" i="154"/>
  <c r="N451" i="154"/>
  <c r="M451" i="154"/>
  <c r="L451" i="154"/>
  <c r="E451" i="154"/>
  <c r="AH450" i="154"/>
  <c r="AI450" i="154" s="1"/>
  <c r="AA450" i="154"/>
  <c r="AB450" i="154" s="1"/>
  <c r="V450" i="154"/>
  <c r="W450" i="154" s="1"/>
  <c r="P450" i="154"/>
  <c r="O450" i="154"/>
  <c r="N450" i="154"/>
  <c r="M450" i="154"/>
  <c r="L450" i="154"/>
  <c r="AH449" i="154"/>
  <c r="AI449" i="154" s="1"/>
  <c r="AA449" i="154"/>
  <c r="AB449" i="154" s="1"/>
  <c r="V449" i="154"/>
  <c r="P449" i="154"/>
  <c r="O449" i="154"/>
  <c r="N449" i="154"/>
  <c r="M449" i="154"/>
  <c r="L449" i="154"/>
  <c r="AH448" i="154"/>
  <c r="AI448" i="154" s="1"/>
  <c r="AA448" i="154"/>
  <c r="AB448" i="154" s="1"/>
  <c r="V448" i="154"/>
  <c r="W448" i="154" s="1"/>
  <c r="P448" i="154"/>
  <c r="O448" i="154"/>
  <c r="N448" i="154"/>
  <c r="M448" i="154"/>
  <c r="L448" i="154"/>
  <c r="AH447" i="154"/>
  <c r="AI447" i="154" s="1"/>
  <c r="AA447" i="154"/>
  <c r="AB447" i="154" s="1"/>
  <c r="V447" i="154"/>
  <c r="W447" i="154" s="1"/>
  <c r="P447" i="154"/>
  <c r="O447" i="154"/>
  <c r="N447" i="154"/>
  <c r="M447" i="154"/>
  <c r="L447" i="154"/>
  <c r="AH446" i="154"/>
  <c r="AI446" i="154" s="1"/>
  <c r="AA446" i="154"/>
  <c r="AB446" i="154" s="1"/>
  <c r="V446" i="154"/>
  <c r="P446" i="154"/>
  <c r="O446" i="154"/>
  <c r="N446" i="154"/>
  <c r="M446" i="154"/>
  <c r="L446" i="154"/>
  <c r="AH445" i="154"/>
  <c r="AI445" i="154" s="1"/>
  <c r="AA445" i="154"/>
  <c r="AB445" i="154" s="1"/>
  <c r="V445" i="154"/>
  <c r="P445" i="154"/>
  <c r="O445" i="154"/>
  <c r="N445" i="154"/>
  <c r="M445" i="154"/>
  <c r="L445" i="154"/>
  <c r="AH444" i="154"/>
  <c r="AI444" i="154" s="1"/>
  <c r="AA444" i="154"/>
  <c r="AB444" i="154" s="1"/>
  <c r="V444" i="154"/>
  <c r="W444" i="154" s="1"/>
  <c r="P444" i="154"/>
  <c r="O444" i="154"/>
  <c r="N444" i="154"/>
  <c r="M444" i="154"/>
  <c r="L444" i="154"/>
  <c r="AH443" i="154"/>
  <c r="AI443" i="154" s="1"/>
  <c r="AA443" i="154"/>
  <c r="AB443" i="154" s="1"/>
  <c r="V443" i="154"/>
  <c r="W443" i="154" s="1"/>
  <c r="P443" i="154"/>
  <c r="O443" i="154"/>
  <c r="N443" i="154"/>
  <c r="M443" i="154"/>
  <c r="L443" i="154"/>
  <c r="AH442" i="154"/>
  <c r="AI442" i="154" s="1"/>
  <c r="AA442" i="154"/>
  <c r="AB442" i="154" s="1"/>
  <c r="V442" i="154"/>
  <c r="P442" i="154"/>
  <c r="O442" i="154"/>
  <c r="N442" i="154"/>
  <c r="M442" i="154"/>
  <c r="L442" i="154"/>
  <c r="AH441" i="154"/>
  <c r="AI441" i="154" s="1"/>
  <c r="AA441" i="154"/>
  <c r="AB441" i="154" s="1"/>
  <c r="V441" i="154"/>
  <c r="P441" i="154"/>
  <c r="O441" i="154"/>
  <c r="N441" i="154"/>
  <c r="M441" i="154"/>
  <c r="L441" i="154"/>
  <c r="AH440" i="154"/>
  <c r="AI440" i="154" s="1"/>
  <c r="AA440" i="154"/>
  <c r="AB440" i="154" s="1"/>
  <c r="V440" i="154"/>
  <c r="W440" i="154" s="1"/>
  <c r="P440" i="154"/>
  <c r="O440" i="154"/>
  <c r="N440" i="154"/>
  <c r="M440" i="154"/>
  <c r="L440" i="154"/>
  <c r="AH439" i="154"/>
  <c r="AI439" i="154" s="1"/>
  <c r="AA439" i="154"/>
  <c r="AB439" i="154" s="1"/>
  <c r="V439" i="154"/>
  <c r="W439" i="154" s="1"/>
  <c r="P439" i="154"/>
  <c r="O439" i="154"/>
  <c r="N439" i="154"/>
  <c r="M439" i="154"/>
  <c r="L439" i="154"/>
  <c r="AH438" i="154"/>
  <c r="AI438" i="154" s="1"/>
  <c r="AA438" i="154"/>
  <c r="AB438" i="154" s="1"/>
  <c r="V438" i="154"/>
  <c r="P438" i="154"/>
  <c r="O438" i="154"/>
  <c r="N438" i="154"/>
  <c r="M438" i="154"/>
  <c r="L438" i="154"/>
  <c r="AH437" i="154"/>
  <c r="AI437" i="154" s="1"/>
  <c r="AA437" i="154"/>
  <c r="AB437" i="154" s="1"/>
  <c r="V437" i="154"/>
  <c r="P437" i="154"/>
  <c r="O437" i="154"/>
  <c r="N437" i="154"/>
  <c r="M437" i="154"/>
  <c r="L437" i="154"/>
  <c r="E437" i="154"/>
  <c r="E438" i="154" s="1"/>
  <c r="E439" i="154" s="1"/>
  <c r="E440" i="154" s="1"/>
  <c r="E441" i="154" s="1"/>
  <c r="E442" i="154" s="1"/>
  <c r="E443" i="154" s="1"/>
  <c r="E444" i="154" s="1"/>
  <c r="E445" i="154" s="1"/>
  <c r="E446" i="154" s="1"/>
  <c r="E447" i="154" s="1"/>
  <c r="E448" i="154" s="1"/>
  <c r="E449" i="154" s="1"/>
  <c r="AH436" i="154"/>
  <c r="AI436" i="154" s="1"/>
  <c r="AA436" i="154"/>
  <c r="AB436" i="154" s="1"/>
  <c r="V436" i="154"/>
  <c r="W436" i="154" s="1"/>
  <c r="P436" i="154"/>
  <c r="O436" i="154"/>
  <c r="N436" i="154"/>
  <c r="M436" i="154"/>
  <c r="L436" i="154"/>
  <c r="AH435" i="154"/>
  <c r="AI435" i="154" s="1"/>
  <c r="AA435" i="154"/>
  <c r="AB435" i="154" s="1"/>
  <c r="V435" i="154"/>
  <c r="P435" i="154"/>
  <c r="O435" i="154"/>
  <c r="N435" i="154"/>
  <c r="M435" i="154"/>
  <c r="L435" i="154"/>
  <c r="E435" i="154"/>
  <c r="AH434" i="154"/>
  <c r="AI434" i="154" s="1"/>
  <c r="AA434" i="154"/>
  <c r="AB434" i="154" s="1"/>
  <c r="V434" i="154"/>
  <c r="P434" i="154"/>
  <c r="O434" i="154"/>
  <c r="N434" i="154"/>
  <c r="M434" i="154"/>
  <c r="L434" i="154"/>
  <c r="AH433" i="154"/>
  <c r="AI433" i="154" s="1"/>
  <c r="AA433" i="154"/>
  <c r="AB433" i="154" s="1"/>
  <c r="V433" i="154"/>
  <c r="W433" i="154" s="1"/>
  <c r="P433" i="154"/>
  <c r="O433" i="154"/>
  <c r="N433" i="154"/>
  <c r="M433" i="154"/>
  <c r="L433" i="154"/>
  <c r="AH432" i="154"/>
  <c r="AI432" i="154" s="1"/>
  <c r="AA432" i="154"/>
  <c r="AB432" i="154" s="1"/>
  <c r="V432" i="154"/>
  <c r="P432" i="154"/>
  <c r="O432" i="154"/>
  <c r="N432" i="154"/>
  <c r="M432" i="154"/>
  <c r="L432" i="154"/>
  <c r="AH431" i="154"/>
  <c r="AI431" i="154" s="1"/>
  <c r="AA431" i="154"/>
  <c r="AB431" i="154" s="1"/>
  <c r="V431" i="154"/>
  <c r="P431" i="154"/>
  <c r="O431" i="154"/>
  <c r="N431" i="154"/>
  <c r="M431" i="154"/>
  <c r="L431" i="154"/>
  <c r="AH430" i="154"/>
  <c r="AI430" i="154" s="1"/>
  <c r="AA430" i="154"/>
  <c r="AB430" i="154" s="1"/>
  <c r="V430" i="154"/>
  <c r="W430" i="154" s="1"/>
  <c r="P430" i="154"/>
  <c r="O430" i="154"/>
  <c r="N430" i="154"/>
  <c r="M430" i="154"/>
  <c r="L430" i="154"/>
  <c r="AH429" i="154"/>
  <c r="AI429" i="154" s="1"/>
  <c r="AA429" i="154"/>
  <c r="AB429" i="154" s="1"/>
  <c r="V429" i="154"/>
  <c r="W429" i="154" s="1"/>
  <c r="P429" i="154"/>
  <c r="O429" i="154"/>
  <c r="N429" i="154"/>
  <c r="M429" i="154"/>
  <c r="L429" i="154"/>
  <c r="AH428" i="154"/>
  <c r="AI428" i="154" s="1"/>
  <c r="AA428" i="154"/>
  <c r="AB428" i="154" s="1"/>
  <c r="V428" i="154"/>
  <c r="P428" i="154"/>
  <c r="O428" i="154"/>
  <c r="N428" i="154"/>
  <c r="M428" i="154"/>
  <c r="L428" i="154"/>
  <c r="AH427" i="154"/>
  <c r="AI427" i="154" s="1"/>
  <c r="AA427" i="154"/>
  <c r="AB427" i="154" s="1"/>
  <c r="V427" i="154"/>
  <c r="W427" i="154" s="1"/>
  <c r="P427" i="154"/>
  <c r="O427" i="154"/>
  <c r="N427" i="154"/>
  <c r="M427" i="154"/>
  <c r="L427" i="154"/>
  <c r="AH426" i="154"/>
  <c r="AI426" i="154" s="1"/>
  <c r="AA426" i="154"/>
  <c r="AB426" i="154" s="1"/>
  <c r="V426" i="154"/>
  <c r="W426" i="154" s="1"/>
  <c r="P426" i="154"/>
  <c r="O426" i="154"/>
  <c r="N426" i="154"/>
  <c r="M426" i="154"/>
  <c r="L426" i="154"/>
  <c r="AH425" i="154"/>
  <c r="AI425" i="154" s="1"/>
  <c r="AA425" i="154"/>
  <c r="AB425" i="154" s="1"/>
  <c r="V425" i="154"/>
  <c r="W425" i="154" s="1"/>
  <c r="P425" i="154"/>
  <c r="O425" i="154"/>
  <c r="N425" i="154"/>
  <c r="M425" i="154"/>
  <c r="L425" i="154"/>
  <c r="AH424" i="154"/>
  <c r="AI424" i="154" s="1"/>
  <c r="AA424" i="154"/>
  <c r="AB424" i="154" s="1"/>
  <c r="V424" i="154"/>
  <c r="P424" i="154"/>
  <c r="O424" i="154"/>
  <c r="N424" i="154"/>
  <c r="M424" i="154"/>
  <c r="L424" i="154"/>
  <c r="AH423" i="154"/>
  <c r="AI423" i="154" s="1"/>
  <c r="AA423" i="154"/>
  <c r="AB423" i="154" s="1"/>
  <c r="V423" i="154"/>
  <c r="W423" i="154" s="1"/>
  <c r="P423" i="154"/>
  <c r="O423" i="154"/>
  <c r="N423" i="154"/>
  <c r="M423" i="154"/>
  <c r="L423" i="154"/>
  <c r="AH422" i="154"/>
  <c r="AI422" i="154" s="1"/>
  <c r="AA422" i="154"/>
  <c r="AB422" i="154" s="1"/>
  <c r="V422" i="154"/>
  <c r="W422" i="154" s="1"/>
  <c r="P422" i="154"/>
  <c r="O422" i="154"/>
  <c r="N422" i="154"/>
  <c r="M422" i="154"/>
  <c r="L422" i="154"/>
  <c r="AH421" i="154"/>
  <c r="AI421" i="154" s="1"/>
  <c r="AA421" i="154"/>
  <c r="AB421" i="154" s="1"/>
  <c r="V421" i="154"/>
  <c r="W421" i="154" s="1"/>
  <c r="P421" i="154"/>
  <c r="O421" i="154"/>
  <c r="N421" i="154"/>
  <c r="M421" i="154"/>
  <c r="L421" i="154"/>
  <c r="AH420" i="154"/>
  <c r="AI420" i="154" s="1"/>
  <c r="AA420" i="154"/>
  <c r="AB420" i="154" s="1"/>
  <c r="V420" i="154"/>
  <c r="P420" i="154"/>
  <c r="O420" i="154"/>
  <c r="N420" i="154"/>
  <c r="M420" i="154"/>
  <c r="L420" i="154"/>
  <c r="AH419" i="154"/>
  <c r="AI419" i="154" s="1"/>
  <c r="AA419" i="154"/>
  <c r="AB419" i="154" s="1"/>
  <c r="V419" i="154"/>
  <c r="W419" i="154" s="1"/>
  <c r="P419" i="154"/>
  <c r="O419" i="154"/>
  <c r="N419" i="154"/>
  <c r="M419" i="154"/>
  <c r="L419" i="154"/>
  <c r="AH418" i="154"/>
  <c r="AI418" i="154" s="1"/>
  <c r="AA418" i="154"/>
  <c r="AB418" i="154" s="1"/>
  <c r="V418" i="154"/>
  <c r="W418" i="154" s="1"/>
  <c r="P418" i="154"/>
  <c r="O418" i="154"/>
  <c r="N418" i="154"/>
  <c r="M418" i="154"/>
  <c r="L418" i="154"/>
  <c r="AH417" i="154"/>
  <c r="AI417" i="154" s="1"/>
  <c r="AA417" i="154"/>
  <c r="AB417" i="154" s="1"/>
  <c r="V417" i="154"/>
  <c r="W417" i="154" s="1"/>
  <c r="P417" i="154"/>
  <c r="O417" i="154"/>
  <c r="N417" i="154"/>
  <c r="M417" i="154"/>
  <c r="L417" i="154"/>
  <c r="AH416" i="154"/>
  <c r="AI416" i="154" s="1"/>
  <c r="AA416" i="154"/>
  <c r="AB416" i="154" s="1"/>
  <c r="V416" i="154"/>
  <c r="P416" i="154"/>
  <c r="O416" i="154"/>
  <c r="N416" i="154"/>
  <c r="M416" i="154"/>
  <c r="L416" i="154"/>
  <c r="AH415" i="154"/>
  <c r="AI415" i="154" s="1"/>
  <c r="AA415" i="154"/>
  <c r="AB415" i="154" s="1"/>
  <c r="V415" i="154"/>
  <c r="W415" i="154" s="1"/>
  <c r="P415" i="154"/>
  <c r="O415" i="154"/>
  <c r="N415" i="154"/>
  <c r="M415" i="154"/>
  <c r="L415" i="154"/>
  <c r="AH414" i="154"/>
  <c r="AI414" i="154" s="1"/>
  <c r="AA414" i="154"/>
  <c r="AB414" i="154" s="1"/>
  <c r="V414" i="154"/>
  <c r="W414" i="154" s="1"/>
  <c r="P414" i="154"/>
  <c r="O414" i="154"/>
  <c r="N414" i="154"/>
  <c r="M414" i="154"/>
  <c r="L414" i="154"/>
  <c r="AH413" i="154"/>
  <c r="AI413" i="154" s="1"/>
  <c r="AA413" i="154"/>
  <c r="AB413" i="154" s="1"/>
  <c r="V413" i="154"/>
  <c r="W413" i="154" s="1"/>
  <c r="P413" i="154"/>
  <c r="O413" i="154"/>
  <c r="N413" i="154"/>
  <c r="M413" i="154"/>
  <c r="L413" i="154"/>
  <c r="AH412" i="154"/>
  <c r="AI412" i="154" s="1"/>
  <c r="AA412" i="154"/>
  <c r="AB412" i="154" s="1"/>
  <c r="V412" i="154"/>
  <c r="P412" i="154"/>
  <c r="O412" i="154"/>
  <c r="N412" i="154"/>
  <c r="M412" i="154"/>
  <c r="L412" i="154"/>
  <c r="AH411" i="154"/>
  <c r="AI411" i="154" s="1"/>
  <c r="AA411" i="154"/>
  <c r="AB411" i="154" s="1"/>
  <c r="V411" i="154"/>
  <c r="W411" i="154" s="1"/>
  <c r="P411" i="154"/>
  <c r="O411" i="154"/>
  <c r="N411" i="154"/>
  <c r="M411" i="154"/>
  <c r="L411" i="154"/>
  <c r="AH410" i="154"/>
  <c r="AI410" i="154" s="1"/>
  <c r="AA410" i="154"/>
  <c r="AB410" i="154" s="1"/>
  <c r="V410" i="154"/>
  <c r="P410" i="154"/>
  <c r="O410" i="154"/>
  <c r="N410" i="154"/>
  <c r="M410" i="154"/>
  <c r="L410" i="154"/>
  <c r="AH409" i="154"/>
  <c r="AI409" i="154" s="1"/>
  <c r="AA409" i="154"/>
  <c r="AB409" i="154" s="1"/>
  <c r="V409" i="154"/>
  <c r="W409" i="154" s="1"/>
  <c r="P409" i="154"/>
  <c r="O409" i="154"/>
  <c r="N409" i="154"/>
  <c r="M409" i="154"/>
  <c r="L409" i="154"/>
  <c r="AH408" i="154"/>
  <c r="AI408" i="154" s="1"/>
  <c r="AA408" i="154"/>
  <c r="AB408" i="154" s="1"/>
  <c r="V408" i="154"/>
  <c r="P408" i="154"/>
  <c r="O408" i="154"/>
  <c r="N408" i="154"/>
  <c r="M408" i="154"/>
  <c r="L408" i="154"/>
  <c r="AH407" i="154"/>
  <c r="AI407" i="154" s="1"/>
  <c r="AA407" i="154"/>
  <c r="AB407" i="154" s="1"/>
  <c r="V407" i="154"/>
  <c r="W407" i="154" s="1"/>
  <c r="P407" i="154"/>
  <c r="O407" i="154"/>
  <c r="N407" i="154"/>
  <c r="M407" i="154"/>
  <c r="L407" i="154"/>
  <c r="AH406" i="154"/>
  <c r="AI406" i="154" s="1"/>
  <c r="AA406" i="154"/>
  <c r="AB406" i="154" s="1"/>
  <c r="V406" i="154"/>
  <c r="P406" i="154"/>
  <c r="O406" i="154"/>
  <c r="N406" i="154"/>
  <c r="M406" i="154"/>
  <c r="L406" i="154"/>
  <c r="AH405" i="154"/>
  <c r="AI405" i="154" s="1"/>
  <c r="AA405" i="154"/>
  <c r="AB405" i="154" s="1"/>
  <c r="V405" i="154"/>
  <c r="P405" i="154"/>
  <c r="O405" i="154"/>
  <c r="N405" i="154"/>
  <c r="M405" i="154"/>
  <c r="L405" i="154"/>
  <c r="AH404" i="154"/>
  <c r="AI404" i="154" s="1"/>
  <c r="AA404" i="154"/>
  <c r="AB404" i="154" s="1"/>
  <c r="V404" i="154"/>
  <c r="W404" i="154" s="1"/>
  <c r="P404" i="154"/>
  <c r="O404" i="154"/>
  <c r="N404" i="154"/>
  <c r="M404" i="154"/>
  <c r="L404" i="154"/>
  <c r="AH403" i="154"/>
  <c r="AI403" i="154" s="1"/>
  <c r="AA403" i="154"/>
  <c r="AB403" i="154" s="1"/>
  <c r="V403" i="154"/>
  <c r="P403" i="154"/>
  <c r="O403" i="154"/>
  <c r="N403" i="154"/>
  <c r="M403" i="154"/>
  <c r="L403" i="154"/>
  <c r="AH402" i="154"/>
  <c r="AI402" i="154" s="1"/>
  <c r="AA402" i="154"/>
  <c r="AB402" i="154" s="1"/>
  <c r="V402" i="154"/>
  <c r="W402" i="154" s="1"/>
  <c r="P402" i="154"/>
  <c r="O402" i="154"/>
  <c r="N402" i="154"/>
  <c r="M402" i="154"/>
  <c r="L402" i="154"/>
  <c r="AH401" i="154"/>
  <c r="AI401" i="154" s="1"/>
  <c r="AA401" i="154"/>
  <c r="AB401" i="154" s="1"/>
  <c r="V401" i="154"/>
  <c r="W401" i="154" s="1"/>
  <c r="P401" i="154"/>
  <c r="O401" i="154"/>
  <c r="N401" i="154"/>
  <c r="M401" i="154"/>
  <c r="L401" i="154"/>
  <c r="AH400" i="154"/>
  <c r="AI400" i="154" s="1"/>
  <c r="AA400" i="154"/>
  <c r="AB400" i="154" s="1"/>
  <c r="V400" i="154"/>
  <c r="W400" i="154" s="1"/>
  <c r="P400" i="154"/>
  <c r="O400" i="154"/>
  <c r="N400" i="154"/>
  <c r="M400" i="154"/>
  <c r="L400" i="154"/>
  <c r="AH399" i="154"/>
  <c r="AI399" i="154" s="1"/>
  <c r="AA399" i="154"/>
  <c r="AB399" i="154" s="1"/>
  <c r="V399" i="154"/>
  <c r="W399" i="154" s="1"/>
  <c r="P399" i="154"/>
  <c r="O399" i="154"/>
  <c r="N399" i="154"/>
  <c r="M399" i="154"/>
  <c r="L399" i="154"/>
  <c r="AH398" i="154"/>
  <c r="AI398" i="154" s="1"/>
  <c r="AA398" i="154"/>
  <c r="AB398" i="154" s="1"/>
  <c r="V398" i="154"/>
  <c r="W398" i="154" s="1"/>
  <c r="P398" i="154"/>
  <c r="O398" i="154"/>
  <c r="N398" i="154"/>
  <c r="M398" i="154"/>
  <c r="L398" i="154"/>
  <c r="AH397" i="154"/>
  <c r="AI397" i="154" s="1"/>
  <c r="AA397" i="154"/>
  <c r="AB397" i="154" s="1"/>
  <c r="W397" i="154"/>
  <c r="V397" i="154"/>
  <c r="P397" i="154"/>
  <c r="O397" i="154"/>
  <c r="N397" i="154"/>
  <c r="M397" i="154"/>
  <c r="L397" i="154"/>
  <c r="E397" i="154"/>
  <c r="E398" i="154" s="1"/>
  <c r="E399" i="154" s="1"/>
  <c r="E400" i="154" s="1"/>
  <c r="E401" i="154" s="1"/>
  <c r="E402" i="154" s="1"/>
  <c r="E403" i="154" s="1"/>
  <c r="E404" i="154" s="1"/>
  <c r="E405" i="154" s="1"/>
  <c r="E406" i="154" s="1"/>
  <c r="E407" i="154" s="1"/>
  <c r="E408" i="154" s="1"/>
  <c r="E409" i="154" s="1"/>
  <c r="E410" i="154" s="1"/>
  <c r="E411" i="154" s="1"/>
  <c r="E412" i="154" s="1"/>
  <c r="E413" i="154" s="1"/>
  <c r="E414" i="154" s="1"/>
  <c r="E415" i="154" s="1"/>
  <c r="E416" i="154" s="1"/>
  <c r="E417" i="154" s="1"/>
  <c r="E418" i="154" s="1"/>
  <c r="E419" i="154" s="1"/>
  <c r="E420" i="154" s="1"/>
  <c r="E421" i="154" s="1"/>
  <c r="E422" i="154" s="1"/>
  <c r="E423" i="154" s="1"/>
  <c r="E424" i="154" s="1"/>
  <c r="E425" i="154" s="1"/>
  <c r="E426" i="154" s="1"/>
  <c r="E427" i="154" s="1"/>
  <c r="E428" i="154" s="1"/>
  <c r="E429" i="154" s="1"/>
  <c r="E430" i="154" s="1"/>
  <c r="E431" i="154" s="1"/>
  <c r="E432" i="154" s="1"/>
  <c r="E433" i="154" s="1"/>
  <c r="AI396" i="154"/>
  <c r="AH396" i="154"/>
  <c r="AA396" i="154"/>
  <c r="V396" i="154"/>
  <c r="W396" i="154" s="1"/>
  <c r="P396" i="154"/>
  <c r="O396" i="154"/>
  <c r="N396" i="154"/>
  <c r="M396" i="154"/>
  <c r="L396" i="154"/>
  <c r="AH395" i="154"/>
  <c r="AI395" i="154" s="1"/>
  <c r="AA395" i="154"/>
  <c r="AB395" i="154" s="1"/>
  <c r="V395" i="154"/>
  <c r="W395" i="154" s="1"/>
  <c r="P395" i="154"/>
  <c r="O395" i="154"/>
  <c r="N395" i="154"/>
  <c r="M395" i="154"/>
  <c r="L395" i="154"/>
  <c r="AH394" i="154"/>
  <c r="AI394" i="154" s="1"/>
  <c r="AA394" i="154"/>
  <c r="AB394" i="154" s="1"/>
  <c r="V394" i="154"/>
  <c r="W394" i="154" s="1"/>
  <c r="P394" i="154"/>
  <c r="O394" i="154"/>
  <c r="N394" i="154"/>
  <c r="M394" i="154"/>
  <c r="L394" i="154"/>
  <c r="AH393" i="154"/>
  <c r="AI393" i="154" s="1"/>
  <c r="AA393" i="154"/>
  <c r="AB393" i="154" s="1"/>
  <c r="V393" i="154"/>
  <c r="P393" i="154"/>
  <c r="O393" i="154"/>
  <c r="N393" i="154"/>
  <c r="M393" i="154"/>
  <c r="L393" i="154"/>
  <c r="AH392" i="154"/>
  <c r="AI392" i="154" s="1"/>
  <c r="AA392" i="154"/>
  <c r="AB392" i="154" s="1"/>
  <c r="V392" i="154"/>
  <c r="P392" i="154"/>
  <c r="O392" i="154"/>
  <c r="N392" i="154"/>
  <c r="M392" i="154"/>
  <c r="L392" i="154"/>
  <c r="AH391" i="154"/>
  <c r="AI391" i="154" s="1"/>
  <c r="AA391" i="154"/>
  <c r="AB391" i="154" s="1"/>
  <c r="V391" i="154"/>
  <c r="P391" i="154"/>
  <c r="O391" i="154"/>
  <c r="N391" i="154"/>
  <c r="M391" i="154"/>
  <c r="L391" i="154"/>
  <c r="AH390" i="154"/>
  <c r="AI390" i="154" s="1"/>
  <c r="AA390" i="154"/>
  <c r="AB390" i="154" s="1"/>
  <c r="V390" i="154"/>
  <c r="W390" i="154" s="1"/>
  <c r="P390" i="154"/>
  <c r="O390" i="154"/>
  <c r="N390" i="154"/>
  <c r="M390" i="154"/>
  <c r="L390" i="154"/>
  <c r="AH389" i="154"/>
  <c r="AI389" i="154" s="1"/>
  <c r="AA389" i="154"/>
  <c r="AB389" i="154" s="1"/>
  <c r="V389" i="154"/>
  <c r="P389" i="154"/>
  <c r="O389" i="154"/>
  <c r="N389" i="154"/>
  <c r="M389" i="154"/>
  <c r="L389" i="154"/>
  <c r="E389" i="154"/>
  <c r="E390" i="154" s="1"/>
  <c r="E391" i="154" s="1"/>
  <c r="E392" i="154" s="1"/>
  <c r="E393" i="154" s="1"/>
  <c r="E394" i="154" s="1"/>
  <c r="E395" i="154" s="1"/>
  <c r="AH388" i="154"/>
  <c r="AI388" i="154" s="1"/>
  <c r="AA388" i="154"/>
  <c r="AB388" i="154" s="1"/>
  <c r="V388" i="154"/>
  <c r="W388" i="154" s="1"/>
  <c r="P388" i="154"/>
  <c r="O388" i="154"/>
  <c r="N388" i="154"/>
  <c r="M388" i="154"/>
  <c r="L388" i="154"/>
  <c r="AH387" i="154"/>
  <c r="AI387" i="154" s="1"/>
  <c r="AA387" i="154"/>
  <c r="AB387" i="154" s="1"/>
  <c r="V387" i="154"/>
  <c r="W387" i="154" s="1"/>
  <c r="P387" i="154"/>
  <c r="O387" i="154"/>
  <c r="N387" i="154"/>
  <c r="M387" i="154"/>
  <c r="L387" i="154"/>
  <c r="E387" i="154"/>
  <c r="AH386" i="154"/>
  <c r="AI386" i="154" s="1"/>
  <c r="AA386" i="154"/>
  <c r="AB386" i="154" s="1"/>
  <c r="V386" i="154"/>
  <c r="P386" i="154"/>
  <c r="O386" i="154"/>
  <c r="N386" i="154"/>
  <c r="M386" i="154"/>
  <c r="L386" i="154"/>
  <c r="AH385" i="154"/>
  <c r="AI385" i="154" s="1"/>
  <c r="AA385" i="154"/>
  <c r="AB385" i="154" s="1"/>
  <c r="V385" i="154"/>
  <c r="W385" i="154" s="1"/>
  <c r="P385" i="154"/>
  <c r="O385" i="154"/>
  <c r="N385" i="154"/>
  <c r="M385" i="154"/>
  <c r="L385" i="154"/>
  <c r="AH384" i="154"/>
  <c r="AI384" i="154" s="1"/>
  <c r="AA384" i="154"/>
  <c r="AB384" i="154" s="1"/>
  <c r="V384" i="154"/>
  <c r="W384" i="154" s="1"/>
  <c r="P384" i="154"/>
  <c r="O384" i="154"/>
  <c r="N384" i="154"/>
  <c r="M384" i="154"/>
  <c r="L384" i="154"/>
  <c r="AH383" i="154"/>
  <c r="AI383" i="154" s="1"/>
  <c r="AA383" i="154"/>
  <c r="AB383" i="154" s="1"/>
  <c r="V383" i="154"/>
  <c r="P383" i="154"/>
  <c r="O383" i="154"/>
  <c r="N383" i="154"/>
  <c r="M383" i="154"/>
  <c r="L383" i="154"/>
  <c r="AH382" i="154"/>
  <c r="AI382" i="154" s="1"/>
  <c r="AA382" i="154"/>
  <c r="AB382" i="154" s="1"/>
  <c r="V382" i="154"/>
  <c r="W382" i="154" s="1"/>
  <c r="P382" i="154"/>
  <c r="O382" i="154"/>
  <c r="N382" i="154"/>
  <c r="M382" i="154"/>
  <c r="L382" i="154"/>
  <c r="E382" i="154"/>
  <c r="E383" i="154" s="1"/>
  <c r="E384" i="154" s="1"/>
  <c r="E385" i="154" s="1"/>
  <c r="AH381" i="154"/>
  <c r="AI381" i="154" s="1"/>
  <c r="AA381" i="154"/>
  <c r="AB381" i="154" s="1"/>
  <c r="V381" i="154"/>
  <c r="W381" i="154" s="1"/>
  <c r="P381" i="154"/>
  <c r="O381" i="154"/>
  <c r="N381" i="154"/>
  <c r="M381" i="154"/>
  <c r="L381" i="154"/>
  <c r="AH380" i="154"/>
  <c r="AI380" i="154" s="1"/>
  <c r="AA380" i="154"/>
  <c r="AB380" i="154" s="1"/>
  <c r="V380" i="154"/>
  <c r="P380" i="154"/>
  <c r="O380" i="154"/>
  <c r="N380" i="154"/>
  <c r="M380" i="154"/>
  <c r="L380" i="154"/>
  <c r="AH379" i="154"/>
  <c r="AI379" i="154" s="1"/>
  <c r="AA379" i="154"/>
  <c r="AB379" i="154" s="1"/>
  <c r="V379" i="154"/>
  <c r="W379" i="154" s="1"/>
  <c r="P379" i="154"/>
  <c r="O379" i="154"/>
  <c r="N379" i="154"/>
  <c r="M379" i="154"/>
  <c r="L379" i="154"/>
  <c r="AH378" i="154"/>
  <c r="AI378" i="154" s="1"/>
  <c r="AA378" i="154"/>
  <c r="AB378" i="154" s="1"/>
  <c r="V378" i="154"/>
  <c r="W378" i="154" s="1"/>
  <c r="P378" i="154"/>
  <c r="O378" i="154"/>
  <c r="N378" i="154"/>
  <c r="M378" i="154"/>
  <c r="L378" i="154"/>
  <c r="E378" i="154"/>
  <c r="E379" i="154" s="1"/>
  <c r="E380" i="154" s="1"/>
  <c r="AH377" i="154"/>
  <c r="AI377" i="154" s="1"/>
  <c r="AA377" i="154"/>
  <c r="AB377" i="154" s="1"/>
  <c r="V377" i="154"/>
  <c r="W377" i="154" s="1"/>
  <c r="P377" i="154"/>
  <c r="O377" i="154"/>
  <c r="N377" i="154"/>
  <c r="M377" i="154"/>
  <c r="L377" i="154"/>
  <c r="AH376" i="154"/>
  <c r="AI376" i="154" s="1"/>
  <c r="AA376" i="154"/>
  <c r="AB376" i="154" s="1"/>
  <c r="V376" i="154"/>
  <c r="W376" i="154" s="1"/>
  <c r="P376" i="154"/>
  <c r="O376" i="154"/>
  <c r="N376" i="154"/>
  <c r="M376" i="154"/>
  <c r="L376" i="154"/>
  <c r="AH375" i="154"/>
  <c r="AI375" i="154" s="1"/>
  <c r="AA375" i="154"/>
  <c r="AB375" i="154" s="1"/>
  <c r="V375" i="154"/>
  <c r="W375" i="154" s="1"/>
  <c r="P375" i="154"/>
  <c r="O375" i="154"/>
  <c r="N375" i="154"/>
  <c r="M375" i="154"/>
  <c r="L375" i="154"/>
  <c r="AH374" i="154"/>
  <c r="AI374" i="154" s="1"/>
  <c r="AA374" i="154"/>
  <c r="AB374" i="154" s="1"/>
  <c r="V374" i="154"/>
  <c r="W374" i="154" s="1"/>
  <c r="P374" i="154"/>
  <c r="O374" i="154"/>
  <c r="N374" i="154"/>
  <c r="M374" i="154"/>
  <c r="L374" i="154"/>
  <c r="AH373" i="154"/>
  <c r="AI373" i="154" s="1"/>
  <c r="AA373" i="154"/>
  <c r="AB373" i="154" s="1"/>
  <c r="V373" i="154"/>
  <c r="P373" i="154"/>
  <c r="O373" i="154"/>
  <c r="N373" i="154"/>
  <c r="M373" i="154"/>
  <c r="L373" i="154"/>
  <c r="AH372" i="154"/>
  <c r="AI372" i="154" s="1"/>
  <c r="AA372" i="154"/>
  <c r="AB372" i="154" s="1"/>
  <c r="V372" i="154"/>
  <c r="W372" i="154" s="1"/>
  <c r="P372" i="154"/>
  <c r="O372" i="154"/>
  <c r="N372" i="154"/>
  <c r="M372" i="154"/>
  <c r="L372" i="154"/>
  <c r="AH371" i="154"/>
  <c r="AI371" i="154" s="1"/>
  <c r="AA371" i="154"/>
  <c r="AB371" i="154" s="1"/>
  <c r="W371" i="154"/>
  <c r="V371" i="154"/>
  <c r="P371" i="154"/>
  <c r="O371" i="154"/>
  <c r="N371" i="154"/>
  <c r="M371" i="154"/>
  <c r="L371" i="154"/>
  <c r="AH370" i="154"/>
  <c r="AI370" i="154" s="1"/>
  <c r="AA370" i="154"/>
  <c r="AB370" i="154" s="1"/>
  <c r="V370" i="154"/>
  <c r="W370" i="154" s="1"/>
  <c r="P370" i="154"/>
  <c r="O370" i="154"/>
  <c r="N370" i="154"/>
  <c r="M370" i="154"/>
  <c r="L370" i="154"/>
  <c r="AH369" i="154"/>
  <c r="AI369" i="154" s="1"/>
  <c r="AA369" i="154"/>
  <c r="AB369" i="154" s="1"/>
  <c r="V369" i="154"/>
  <c r="P369" i="154"/>
  <c r="O369" i="154"/>
  <c r="N369" i="154"/>
  <c r="M369" i="154"/>
  <c r="L369" i="154"/>
  <c r="AH368" i="154"/>
  <c r="AI368" i="154" s="1"/>
  <c r="AA368" i="154"/>
  <c r="AB368" i="154" s="1"/>
  <c r="V368" i="154"/>
  <c r="P368" i="154"/>
  <c r="O368" i="154"/>
  <c r="N368" i="154"/>
  <c r="M368" i="154"/>
  <c r="L368" i="154"/>
  <c r="AH367" i="154"/>
  <c r="AI367" i="154" s="1"/>
  <c r="AA367" i="154"/>
  <c r="AB367" i="154" s="1"/>
  <c r="V367" i="154"/>
  <c r="W367" i="154" s="1"/>
  <c r="P367" i="154"/>
  <c r="O367" i="154"/>
  <c r="N367" i="154"/>
  <c r="M367" i="154"/>
  <c r="L367" i="154"/>
  <c r="AH366" i="154"/>
  <c r="AI366" i="154" s="1"/>
  <c r="AA366" i="154"/>
  <c r="AB366" i="154" s="1"/>
  <c r="V366" i="154"/>
  <c r="W366" i="154" s="1"/>
  <c r="P366" i="154"/>
  <c r="O366" i="154"/>
  <c r="N366" i="154"/>
  <c r="M366" i="154"/>
  <c r="L366" i="154"/>
  <c r="AH365" i="154"/>
  <c r="AI365" i="154" s="1"/>
  <c r="AA365" i="154"/>
  <c r="AB365" i="154" s="1"/>
  <c r="V365" i="154"/>
  <c r="P365" i="154"/>
  <c r="O365" i="154"/>
  <c r="N365" i="154"/>
  <c r="M365" i="154"/>
  <c r="L365" i="154"/>
  <c r="AH364" i="154"/>
  <c r="AI364" i="154" s="1"/>
  <c r="AA364" i="154"/>
  <c r="AB364" i="154" s="1"/>
  <c r="V364" i="154"/>
  <c r="W364" i="154" s="1"/>
  <c r="P364" i="154"/>
  <c r="O364" i="154"/>
  <c r="N364" i="154"/>
  <c r="M364" i="154"/>
  <c r="L364" i="154"/>
  <c r="AH363" i="154"/>
  <c r="AI363" i="154" s="1"/>
  <c r="AA363" i="154"/>
  <c r="AB363" i="154" s="1"/>
  <c r="V363" i="154"/>
  <c r="P363" i="154"/>
  <c r="O363" i="154"/>
  <c r="N363" i="154"/>
  <c r="M363" i="154"/>
  <c r="L363" i="154"/>
  <c r="AH362" i="154"/>
  <c r="AI362" i="154" s="1"/>
  <c r="AA362" i="154"/>
  <c r="AB362" i="154" s="1"/>
  <c r="V362" i="154"/>
  <c r="W362" i="154" s="1"/>
  <c r="P362" i="154"/>
  <c r="O362" i="154"/>
  <c r="N362" i="154"/>
  <c r="M362" i="154"/>
  <c r="L362" i="154"/>
  <c r="AH361" i="154"/>
  <c r="AI361" i="154" s="1"/>
  <c r="AA361" i="154"/>
  <c r="AB361" i="154" s="1"/>
  <c r="V361" i="154"/>
  <c r="P361" i="154"/>
  <c r="O361" i="154"/>
  <c r="N361" i="154"/>
  <c r="M361" i="154"/>
  <c r="L361" i="154"/>
  <c r="AH360" i="154"/>
  <c r="AI360" i="154" s="1"/>
  <c r="AA360" i="154"/>
  <c r="AB360" i="154" s="1"/>
  <c r="V360" i="154"/>
  <c r="W360" i="154" s="1"/>
  <c r="P360" i="154"/>
  <c r="O360" i="154"/>
  <c r="N360" i="154"/>
  <c r="M360" i="154"/>
  <c r="L360" i="154"/>
  <c r="AH359" i="154"/>
  <c r="AI359" i="154" s="1"/>
  <c r="AA359" i="154"/>
  <c r="AB359" i="154" s="1"/>
  <c r="V359" i="154"/>
  <c r="W359" i="154" s="1"/>
  <c r="P359" i="154"/>
  <c r="O359" i="154"/>
  <c r="N359" i="154"/>
  <c r="M359" i="154"/>
  <c r="L359" i="154"/>
  <c r="AH358" i="154"/>
  <c r="AI358" i="154" s="1"/>
  <c r="AA358" i="154"/>
  <c r="AB358" i="154" s="1"/>
  <c r="V358" i="154"/>
  <c r="W358" i="154" s="1"/>
  <c r="P358" i="154"/>
  <c r="O358" i="154"/>
  <c r="N358" i="154"/>
  <c r="M358" i="154"/>
  <c r="L358" i="154"/>
  <c r="AH357" i="154"/>
  <c r="AI357" i="154" s="1"/>
  <c r="AA357" i="154"/>
  <c r="AB357" i="154" s="1"/>
  <c r="V357" i="154"/>
  <c r="P357" i="154"/>
  <c r="O357" i="154"/>
  <c r="N357" i="154"/>
  <c r="M357" i="154"/>
  <c r="L357" i="154"/>
  <c r="AH356" i="154"/>
  <c r="AI356" i="154" s="1"/>
  <c r="AA356" i="154"/>
  <c r="AB356" i="154" s="1"/>
  <c r="V356" i="154"/>
  <c r="W356" i="154" s="1"/>
  <c r="P356" i="154"/>
  <c r="O356" i="154"/>
  <c r="N356" i="154"/>
  <c r="M356" i="154"/>
  <c r="L356" i="154"/>
  <c r="AH355" i="154"/>
  <c r="AI355" i="154" s="1"/>
  <c r="AA355" i="154"/>
  <c r="AB355" i="154" s="1"/>
  <c r="V355" i="154"/>
  <c r="W355" i="154" s="1"/>
  <c r="P355" i="154"/>
  <c r="O355" i="154"/>
  <c r="N355" i="154"/>
  <c r="M355" i="154"/>
  <c r="L355" i="154"/>
  <c r="AH354" i="154"/>
  <c r="AI354" i="154" s="1"/>
  <c r="AA354" i="154"/>
  <c r="AB354" i="154" s="1"/>
  <c r="V354" i="154"/>
  <c r="W354" i="154" s="1"/>
  <c r="P354" i="154"/>
  <c r="O354" i="154"/>
  <c r="N354" i="154"/>
  <c r="M354" i="154"/>
  <c r="L354" i="154"/>
  <c r="AH353" i="154"/>
  <c r="AI353" i="154" s="1"/>
  <c r="AA353" i="154"/>
  <c r="AB353" i="154" s="1"/>
  <c r="V353" i="154"/>
  <c r="P353" i="154"/>
  <c r="O353" i="154"/>
  <c r="N353" i="154"/>
  <c r="M353" i="154"/>
  <c r="L353" i="154"/>
  <c r="AH352" i="154"/>
  <c r="AI352" i="154" s="1"/>
  <c r="AA352" i="154"/>
  <c r="AB352" i="154" s="1"/>
  <c r="V352" i="154"/>
  <c r="P352" i="154"/>
  <c r="O352" i="154"/>
  <c r="N352" i="154"/>
  <c r="M352" i="154"/>
  <c r="L352" i="154"/>
  <c r="AH351" i="154"/>
  <c r="AI351" i="154" s="1"/>
  <c r="AA351" i="154"/>
  <c r="AB351" i="154" s="1"/>
  <c r="V351" i="154"/>
  <c r="P351" i="154"/>
  <c r="O351" i="154"/>
  <c r="N351" i="154"/>
  <c r="M351" i="154"/>
  <c r="L351" i="154"/>
  <c r="AH350" i="154"/>
  <c r="AI350" i="154" s="1"/>
  <c r="AA350" i="154"/>
  <c r="AB350" i="154" s="1"/>
  <c r="V350" i="154"/>
  <c r="W350" i="154" s="1"/>
  <c r="P350" i="154"/>
  <c r="O350" i="154"/>
  <c r="N350" i="154"/>
  <c r="M350" i="154"/>
  <c r="L350" i="154"/>
  <c r="AH349" i="154"/>
  <c r="AI349" i="154" s="1"/>
  <c r="AA349" i="154"/>
  <c r="AB349" i="154" s="1"/>
  <c r="V349" i="154"/>
  <c r="P349" i="154"/>
  <c r="O349" i="154"/>
  <c r="N349" i="154"/>
  <c r="M349" i="154"/>
  <c r="L349" i="154"/>
  <c r="AH348" i="154"/>
  <c r="AI348" i="154" s="1"/>
  <c r="AA348" i="154"/>
  <c r="AB348" i="154" s="1"/>
  <c r="V348" i="154"/>
  <c r="W348" i="154" s="1"/>
  <c r="P348" i="154"/>
  <c r="O348" i="154"/>
  <c r="N348" i="154"/>
  <c r="M348" i="154"/>
  <c r="L348" i="154"/>
  <c r="AH347" i="154"/>
  <c r="AI347" i="154" s="1"/>
  <c r="AA347" i="154"/>
  <c r="AB347" i="154" s="1"/>
  <c r="V347" i="154"/>
  <c r="P347" i="154"/>
  <c r="O347" i="154"/>
  <c r="N347" i="154"/>
  <c r="M347" i="154"/>
  <c r="L347" i="154"/>
  <c r="AH346" i="154"/>
  <c r="AI346" i="154" s="1"/>
  <c r="AA346" i="154"/>
  <c r="AB346" i="154" s="1"/>
  <c r="V346" i="154"/>
  <c r="W346" i="154" s="1"/>
  <c r="P346" i="154"/>
  <c r="O346" i="154"/>
  <c r="N346" i="154"/>
  <c r="M346" i="154"/>
  <c r="L346" i="154"/>
  <c r="AH345" i="154"/>
  <c r="AI345" i="154" s="1"/>
  <c r="AA345" i="154"/>
  <c r="AB345" i="154" s="1"/>
  <c r="V345" i="154"/>
  <c r="P345" i="154"/>
  <c r="O345" i="154"/>
  <c r="N345" i="154"/>
  <c r="M345" i="154"/>
  <c r="L345" i="154"/>
  <c r="AH344" i="154"/>
  <c r="AI344" i="154" s="1"/>
  <c r="AA344" i="154"/>
  <c r="AB344" i="154" s="1"/>
  <c r="V344" i="154"/>
  <c r="W344" i="154" s="1"/>
  <c r="P344" i="154"/>
  <c r="O344" i="154"/>
  <c r="N344" i="154"/>
  <c r="M344" i="154"/>
  <c r="L344" i="154"/>
  <c r="AH343" i="154"/>
  <c r="AI343" i="154" s="1"/>
  <c r="AA343" i="154"/>
  <c r="AB343" i="154" s="1"/>
  <c r="V343" i="154"/>
  <c r="W343" i="154" s="1"/>
  <c r="P343" i="154"/>
  <c r="O343" i="154"/>
  <c r="N343" i="154"/>
  <c r="M343" i="154"/>
  <c r="L343" i="154"/>
  <c r="AH342" i="154"/>
  <c r="AI342" i="154" s="1"/>
  <c r="AA342" i="154"/>
  <c r="AB342" i="154" s="1"/>
  <c r="V342" i="154"/>
  <c r="W342" i="154" s="1"/>
  <c r="P342" i="154"/>
  <c r="O342" i="154"/>
  <c r="N342" i="154"/>
  <c r="M342" i="154"/>
  <c r="L342" i="154"/>
  <c r="AH341" i="154"/>
  <c r="AI341" i="154" s="1"/>
  <c r="AA341" i="154"/>
  <c r="AB341" i="154" s="1"/>
  <c r="V341" i="154"/>
  <c r="P341" i="154"/>
  <c r="O341" i="154"/>
  <c r="N341" i="154"/>
  <c r="M341" i="154"/>
  <c r="L341" i="154"/>
  <c r="AH340" i="154"/>
  <c r="AI340" i="154" s="1"/>
  <c r="AA340" i="154"/>
  <c r="AB340" i="154" s="1"/>
  <c r="V340" i="154"/>
  <c r="P340" i="154"/>
  <c r="O340" i="154"/>
  <c r="N340" i="154"/>
  <c r="M340" i="154"/>
  <c r="L340" i="154"/>
  <c r="AH339" i="154"/>
  <c r="AI339" i="154" s="1"/>
  <c r="AA339" i="154"/>
  <c r="AB339" i="154" s="1"/>
  <c r="V339" i="154"/>
  <c r="W339" i="154" s="1"/>
  <c r="P339" i="154"/>
  <c r="O339" i="154"/>
  <c r="N339" i="154"/>
  <c r="M339" i="154"/>
  <c r="L339" i="154"/>
  <c r="AH338" i="154"/>
  <c r="AI338" i="154" s="1"/>
  <c r="AA338" i="154"/>
  <c r="AB338" i="154" s="1"/>
  <c r="V338" i="154"/>
  <c r="W338" i="154" s="1"/>
  <c r="P338" i="154"/>
  <c r="O338" i="154"/>
  <c r="N338" i="154"/>
  <c r="M338" i="154"/>
  <c r="L338" i="154"/>
  <c r="AH337" i="154"/>
  <c r="AI337" i="154" s="1"/>
  <c r="AA337" i="154"/>
  <c r="AB337" i="154" s="1"/>
  <c r="V337" i="154"/>
  <c r="P337" i="154"/>
  <c r="O337" i="154"/>
  <c r="N337" i="154"/>
  <c r="M337" i="154"/>
  <c r="L337" i="154"/>
  <c r="AH336" i="154"/>
  <c r="AI336" i="154" s="1"/>
  <c r="AA336" i="154"/>
  <c r="AB336" i="154" s="1"/>
  <c r="V336" i="154"/>
  <c r="P336" i="154"/>
  <c r="O336" i="154"/>
  <c r="N336" i="154"/>
  <c r="M336" i="154"/>
  <c r="L336" i="154"/>
  <c r="AH335" i="154"/>
  <c r="AI335" i="154" s="1"/>
  <c r="AA335" i="154"/>
  <c r="AB335" i="154" s="1"/>
  <c r="V335" i="154"/>
  <c r="P335" i="154"/>
  <c r="O335" i="154"/>
  <c r="N335" i="154"/>
  <c r="M335" i="154"/>
  <c r="L335" i="154"/>
  <c r="AH334" i="154"/>
  <c r="AI334" i="154" s="1"/>
  <c r="AA334" i="154"/>
  <c r="AB334" i="154" s="1"/>
  <c r="V334" i="154"/>
  <c r="W334" i="154" s="1"/>
  <c r="P334" i="154"/>
  <c r="O334" i="154"/>
  <c r="N334" i="154"/>
  <c r="M334" i="154"/>
  <c r="L334" i="154"/>
  <c r="AH333" i="154"/>
  <c r="AI333" i="154" s="1"/>
  <c r="AA333" i="154"/>
  <c r="AB333" i="154" s="1"/>
  <c r="V333" i="154"/>
  <c r="P333" i="154"/>
  <c r="O333" i="154"/>
  <c r="N333" i="154"/>
  <c r="M333" i="154"/>
  <c r="L333" i="154"/>
  <c r="AH332" i="154"/>
  <c r="AI332" i="154" s="1"/>
  <c r="AA332" i="154"/>
  <c r="AB332" i="154" s="1"/>
  <c r="V332" i="154"/>
  <c r="W332" i="154" s="1"/>
  <c r="P332" i="154"/>
  <c r="O332" i="154"/>
  <c r="N332" i="154"/>
  <c r="M332" i="154"/>
  <c r="L332" i="154"/>
  <c r="AH331" i="154"/>
  <c r="AI331" i="154" s="1"/>
  <c r="AA331" i="154"/>
  <c r="AB331" i="154" s="1"/>
  <c r="V331" i="154"/>
  <c r="P331" i="154"/>
  <c r="O331" i="154"/>
  <c r="N331" i="154"/>
  <c r="M331" i="154"/>
  <c r="L331" i="154"/>
  <c r="AH330" i="154"/>
  <c r="AI330" i="154" s="1"/>
  <c r="AA330" i="154"/>
  <c r="AB330" i="154" s="1"/>
  <c r="V330" i="154"/>
  <c r="W330" i="154" s="1"/>
  <c r="P330" i="154"/>
  <c r="O330" i="154"/>
  <c r="N330" i="154"/>
  <c r="M330" i="154"/>
  <c r="L330" i="154"/>
  <c r="AH329" i="154"/>
  <c r="AI329" i="154" s="1"/>
  <c r="AA329" i="154"/>
  <c r="AB329" i="154" s="1"/>
  <c r="V329" i="154"/>
  <c r="P329" i="154"/>
  <c r="O329" i="154"/>
  <c r="N329" i="154"/>
  <c r="M329" i="154"/>
  <c r="L329" i="154"/>
  <c r="AH328" i="154"/>
  <c r="AI328" i="154" s="1"/>
  <c r="AA328" i="154"/>
  <c r="AB328" i="154" s="1"/>
  <c r="V328" i="154"/>
  <c r="W328" i="154" s="1"/>
  <c r="P328" i="154"/>
  <c r="O328" i="154"/>
  <c r="N328" i="154"/>
  <c r="M328" i="154"/>
  <c r="L328" i="154"/>
  <c r="AH327" i="154"/>
  <c r="AI327" i="154" s="1"/>
  <c r="AA327" i="154"/>
  <c r="AB327" i="154" s="1"/>
  <c r="V327" i="154"/>
  <c r="P327" i="154"/>
  <c r="O327" i="154"/>
  <c r="N327" i="154"/>
  <c r="M327" i="154"/>
  <c r="L327" i="154"/>
  <c r="AH326" i="154"/>
  <c r="AI326" i="154" s="1"/>
  <c r="AA326" i="154"/>
  <c r="AB326" i="154" s="1"/>
  <c r="V326" i="154"/>
  <c r="W326" i="154" s="1"/>
  <c r="P326" i="154"/>
  <c r="O326" i="154"/>
  <c r="N326" i="154"/>
  <c r="M326" i="154"/>
  <c r="L326" i="154"/>
  <c r="AH325" i="154"/>
  <c r="AI325" i="154" s="1"/>
  <c r="AA325" i="154"/>
  <c r="AB325" i="154" s="1"/>
  <c r="V325" i="154"/>
  <c r="P325" i="154"/>
  <c r="O325" i="154"/>
  <c r="N325" i="154"/>
  <c r="M325" i="154"/>
  <c r="L325" i="154"/>
  <c r="AH324" i="154"/>
  <c r="AI324" i="154" s="1"/>
  <c r="AA324" i="154"/>
  <c r="AB324" i="154" s="1"/>
  <c r="V324" i="154"/>
  <c r="W324" i="154" s="1"/>
  <c r="P324" i="154"/>
  <c r="O324" i="154"/>
  <c r="N324" i="154"/>
  <c r="M324" i="154"/>
  <c r="L324" i="154"/>
  <c r="AH323" i="154"/>
  <c r="AI323" i="154" s="1"/>
  <c r="AA323" i="154"/>
  <c r="AB323" i="154" s="1"/>
  <c r="V323" i="154"/>
  <c r="W323" i="154" s="1"/>
  <c r="P323" i="154"/>
  <c r="O323" i="154"/>
  <c r="N323" i="154"/>
  <c r="M323" i="154"/>
  <c r="L323" i="154"/>
  <c r="AH322" i="154"/>
  <c r="AI322" i="154" s="1"/>
  <c r="AA322" i="154"/>
  <c r="AB322" i="154" s="1"/>
  <c r="V322" i="154"/>
  <c r="P322" i="154"/>
  <c r="O322" i="154"/>
  <c r="N322" i="154"/>
  <c r="M322" i="154"/>
  <c r="J322" i="154"/>
  <c r="L322" i="154" s="1"/>
  <c r="AH321" i="154"/>
  <c r="AI321" i="154" s="1"/>
  <c r="AA321" i="154"/>
  <c r="AB321" i="154" s="1"/>
  <c r="V321" i="154"/>
  <c r="P321" i="154"/>
  <c r="O321" i="154"/>
  <c r="N321" i="154"/>
  <c r="M321" i="154"/>
  <c r="L321" i="154"/>
  <c r="AH320" i="154"/>
  <c r="AI320" i="154" s="1"/>
  <c r="AA320" i="154"/>
  <c r="AB320" i="154" s="1"/>
  <c r="V320" i="154"/>
  <c r="P320" i="154"/>
  <c r="O320" i="154"/>
  <c r="N320" i="154"/>
  <c r="M320" i="154"/>
  <c r="L320" i="154"/>
  <c r="AH319" i="154"/>
  <c r="AI319" i="154" s="1"/>
  <c r="AA319" i="154"/>
  <c r="AB319" i="154" s="1"/>
  <c r="V319" i="154"/>
  <c r="W319" i="154" s="1"/>
  <c r="P319" i="154"/>
  <c r="O319" i="154"/>
  <c r="N319" i="154"/>
  <c r="M319" i="154"/>
  <c r="L319" i="154"/>
  <c r="AH318" i="154"/>
  <c r="AI318" i="154" s="1"/>
  <c r="AA318" i="154"/>
  <c r="AB318" i="154" s="1"/>
  <c r="V318" i="154"/>
  <c r="P318" i="154"/>
  <c r="O318" i="154"/>
  <c r="N318" i="154"/>
  <c r="M318" i="154"/>
  <c r="L318" i="154"/>
  <c r="AH317" i="154"/>
  <c r="AI317" i="154" s="1"/>
  <c r="AA317" i="154"/>
  <c r="AB317" i="154" s="1"/>
  <c r="V317" i="154"/>
  <c r="W317" i="154" s="1"/>
  <c r="P317" i="154"/>
  <c r="O317" i="154"/>
  <c r="N317" i="154"/>
  <c r="M317" i="154"/>
  <c r="L317" i="154"/>
  <c r="AH316" i="154"/>
  <c r="AI316" i="154" s="1"/>
  <c r="AA316" i="154"/>
  <c r="AB316" i="154" s="1"/>
  <c r="V316" i="154"/>
  <c r="P316" i="154"/>
  <c r="O316" i="154"/>
  <c r="N316" i="154"/>
  <c r="M316" i="154"/>
  <c r="L316" i="154"/>
  <c r="AH315" i="154"/>
  <c r="AI315" i="154" s="1"/>
  <c r="AA315" i="154"/>
  <c r="AB315" i="154" s="1"/>
  <c r="V315" i="154"/>
  <c r="W315" i="154" s="1"/>
  <c r="P315" i="154"/>
  <c r="O315" i="154"/>
  <c r="N315" i="154"/>
  <c r="M315" i="154"/>
  <c r="L315" i="154"/>
  <c r="AH314" i="154"/>
  <c r="AI314" i="154" s="1"/>
  <c r="AA314" i="154"/>
  <c r="AB314" i="154" s="1"/>
  <c r="V314" i="154"/>
  <c r="P314" i="154"/>
  <c r="O314" i="154"/>
  <c r="N314" i="154"/>
  <c r="M314" i="154"/>
  <c r="L314" i="154"/>
  <c r="AH313" i="154"/>
  <c r="AI313" i="154" s="1"/>
  <c r="AA313" i="154"/>
  <c r="AB313" i="154" s="1"/>
  <c r="V313" i="154"/>
  <c r="W313" i="154" s="1"/>
  <c r="P313" i="154"/>
  <c r="O313" i="154"/>
  <c r="N313" i="154"/>
  <c r="M313" i="154"/>
  <c r="L313" i="154"/>
  <c r="AH312" i="154"/>
  <c r="AI312" i="154" s="1"/>
  <c r="AA312" i="154"/>
  <c r="AB312" i="154" s="1"/>
  <c r="V312" i="154"/>
  <c r="P312" i="154"/>
  <c r="O312" i="154"/>
  <c r="N312" i="154"/>
  <c r="M312" i="154"/>
  <c r="L312" i="154"/>
  <c r="AH311" i="154"/>
  <c r="AI311" i="154" s="1"/>
  <c r="AA311" i="154"/>
  <c r="AB311" i="154" s="1"/>
  <c r="V311" i="154"/>
  <c r="W311" i="154" s="1"/>
  <c r="P311" i="154"/>
  <c r="O311" i="154"/>
  <c r="N311" i="154"/>
  <c r="M311" i="154"/>
  <c r="L311" i="154"/>
  <c r="AH310" i="154"/>
  <c r="AI310" i="154" s="1"/>
  <c r="AA310" i="154"/>
  <c r="AB310" i="154" s="1"/>
  <c r="V310" i="154"/>
  <c r="P310" i="154"/>
  <c r="O310" i="154"/>
  <c r="N310" i="154"/>
  <c r="M310" i="154"/>
  <c r="L310" i="154"/>
  <c r="AH309" i="154"/>
  <c r="AI309" i="154" s="1"/>
  <c r="AA309" i="154"/>
  <c r="AB309" i="154" s="1"/>
  <c r="V309" i="154"/>
  <c r="W309" i="154" s="1"/>
  <c r="P309" i="154"/>
  <c r="O309" i="154"/>
  <c r="N309" i="154"/>
  <c r="M309" i="154"/>
  <c r="L309" i="154"/>
  <c r="AH308" i="154"/>
  <c r="AI308" i="154" s="1"/>
  <c r="AA308" i="154"/>
  <c r="AB308" i="154" s="1"/>
  <c r="V308" i="154"/>
  <c r="W308" i="154" s="1"/>
  <c r="P308" i="154"/>
  <c r="O308" i="154"/>
  <c r="N308" i="154"/>
  <c r="M308" i="154"/>
  <c r="L308" i="154"/>
  <c r="AH307" i="154"/>
  <c r="AI307" i="154" s="1"/>
  <c r="AA307" i="154"/>
  <c r="AB307" i="154" s="1"/>
  <c r="V307" i="154"/>
  <c r="P307" i="154"/>
  <c r="O307" i="154"/>
  <c r="N307" i="154"/>
  <c r="M307" i="154"/>
  <c r="L307" i="154"/>
  <c r="AH306" i="154"/>
  <c r="AI306" i="154" s="1"/>
  <c r="AA306" i="154"/>
  <c r="AB306" i="154" s="1"/>
  <c r="V306" i="154"/>
  <c r="P306" i="154"/>
  <c r="O306" i="154"/>
  <c r="N306" i="154"/>
  <c r="M306" i="154"/>
  <c r="L306" i="154"/>
  <c r="AH305" i="154"/>
  <c r="AI305" i="154" s="1"/>
  <c r="AA305" i="154"/>
  <c r="AB305" i="154" s="1"/>
  <c r="V305" i="154"/>
  <c r="W305" i="154" s="1"/>
  <c r="P305" i="154"/>
  <c r="O305" i="154"/>
  <c r="N305" i="154"/>
  <c r="M305" i="154"/>
  <c r="L305" i="154"/>
  <c r="AH304" i="154"/>
  <c r="AI304" i="154" s="1"/>
  <c r="AA304" i="154"/>
  <c r="AB304" i="154" s="1"/>
  <c r="V304" i="154"/>
  <c r="P304" i="154"/>
  <c r="O304" i="154"/>
  <c r="N304" i="154"/>
  <c r="M304" i="154"/>
  <c r="L304" i="154"/>
  <c r="AH303" i="154"/>
  <c r="AI303" i="154" s="1"/>
  <c r="AA303" i="154"/>
  <c r="AB303" i="154" s="1"/>
  <c r="V303" i="154"/>
  <c r="P303" i="154"/>
  <c r="O303" i="154"/>
  <c r="N303" i="154"/>
  <c r="M303" i="154"/>
  <c r="L303" i="154"/>
  <c r="AH302" i="154"/>
  <c r="AI302" i="154" s="1"/>
  <c r="AA302" i="154"/>
  <c r="AB302" i="154" s="1"/>
  <c r="V302" i="154"/>
  <c r="W302" i="154" s="1"/>
  <c r="P302" i="154"/>
  <c r="O302" i="154"/>
  <c r="N302" i="154"/>
  <c r="M302" i="154"/>
  <c r="L302" i="154"/>
  <c r="AH301" i="154"/>
  <c r="AI301" i="154" s="1"/>
  <c r="AA301" i="154"/>
  <c r="AB301" i="154" s="1"/>
  <c r="V301" i="154"/>
  <c r="W301" i="154" s="1"/>
  <c r="P301" i="154"/>
  <c r="O301" i="154"/>
  <c r="N301" i="154"/>
  <c r="M301" i="154"/>
  <c r="L301" i="154"/>
  <c r="AH300" i="154"/>
  <c r="AI300" i="154" s="1"/>
  <c r="AA300" i="154"/>
  <c r="AB300" i="154" s="1"/>
  <c r="V300" i="154"/>
  <c r="P300" i="154"/>
  <c r="O300" i="154"/>
  <c r="N300" i="154"/>
  <c r="M300" i="154"/>
  <c r="L300" i="154"/>
  <c r="AH299" i="154"/>
  <c r="AI299" i="154" s="1"/>
  <c r="AA299" i="154"/>
  <c r="AB299" i="154" s="1"/>
  <c r="V299" i="154"/>
  <c r="P299" i="154"/>
  <c r="O299" i="154"/>
  <c r="N299" i="154"/>
  <c r="M299" i="154"/>
  <c r="L299" i="154"/>
  <c r="AH298" i="154"/>
  <c r="AI298" i="154" s="1"/>
  <c r="AA298" i="154"/>
  <c r="AB298" i="154" s="1"/>
  <c r="V298" i="154"/>
  <c r="W298" i="154" s="1"/>
  <c r="P298" i="154"/>
  <c r="O298" i="154"/>
  <c r="N298" i="154"/>
  <c r="M298" i="154"/>
  <c r="L298" i="154"/>
  <c r="AH297" i="154"/>
  <c r="AI297" i="154" s="1"/>
  <c r="AA297" i="154"/>
  <c r="AB297" i="154" s="1"/>
  <c r="V297" i="154"/>
  <c r="W297" i="154" s="1"/>
  <c r="P297" i="154"/>
  <c r="O297" i="154"/>
  <c r="N297" i="154"/>
  <c r="M297" i="154"/>
  <c r="L297" i="154"/>
  <c r="AH296" i="154"/>
  <c r="AI296" i="154" s="1"/>
  <c r="AA296" i="154"/>
  <c r="AB296" i="154" s="1"/>
  <c r="V296" i="154"/>
  <c r="P296" i="154"/>
  <c r="O296" i="154"/>
  <c r="N296" i="154"/>
  <c r="M296" i="154"/>
  <c r="L296" i="154"/>
  <c r="AH295" i="154"/>
  <c r="AI295" i="154" s="1"/>
  <c r="AA295" i="154"/>
  <c r="AB295" i="154" s="1"/>
  <c r="V295" i="154"/>
  <c r="P295" i="154"/>
  <c r="O295" i="154"/>
  <c r="N295" i="154"/>
  <c r="M295" i="154"/>
  <c r="L295" i="154"/>
  <c r="AH294" i="154"/>
  <c r="AI294" i="154" s="1"/>
  <c r="AA294" i="154"/>
  <c r="AB294" i="154" s="1"/>
  <c r="V294" i="154"/>
  <c r="P294" i="154"/>
  <c r="O294" i="154"/>
  <c r="N294" i="154"/>
  <c r="M294" i="154"/>
  <c r="L294" i="154"/>
  <c r="AH293" i="154"/>
  <c r="AI293" i="154" s="1"/>
  <c r="AA293" i="154"/>
  <c r="AB293" i="154" s="1"/>
  <c r="V293" i="154"/>
  <c r="W293" i="154" s="1"/>
  <c r="P293" i="154"/>
  <c r="O293" i="154"/>
  <c r="N293" i="154"/>
  <c r="M293" i="154"/>
  <c r="L293" i="154"/>
  <c r="AH292" i="154"/>
  <c r="AI292" i="154" s="1"/>
  <c r="AA292" i="154"/>
  <c r="AB292" i="154" s="1"/>
  <c r="V292" i="154"/>
  <c r="P292" i="154"/>
  <c r="O292" i="154"/>
  <c r="N292" i="154"/>
  <c r="M292" i="154"/>
  <c r="L292" i="154"/>
  <c r="AH291" i="154"/>
  <c r="AI291" i="154" s="1"/>
  <c r="AA291" i="154"/>
  <c r="AB291" i="154" s="1"/>
  <c r="V291" i="154"/>
  <c r="P291" i="154"/>
  <c r="O291" i="154"/>
  <c r="N291" i="154"/>
  <c r="M291" i="154"/>
  <c r="L291" i="154"/>
  <c r="AH290" i="154"/>
  <c r="AI290" i="154" s="1"/>
  <c r="AA290" i="154"/>
  <c r="AB290" i="154" s="1"/>
  <c r="V290" i="154"/>
  <c r="P290" i="154"/>
  <c r="O290" i="154"/>
  <c r="N290" i="154"/>
  <c r="M290" i="154"/>
  <c r="L290" i="154"/>
  <c r="AH289" i="154"/>
  <c r="AI289" i="154" s="1"/>
  <c r="AA289" i="154"/>
  <c r="AB289" i="154" s="1"/>
  <c r="V289" i="154"/>
  <c r="W289" i="154" s="1"/>
  <c r="P289" i="154"/>
  <c r="O289" i="154"/>
  <c r="N289" i="154"/>
  <c r="M289" i="154"/>
  <c r="L289" i="154"/>
  <c r="AH288" i="154"/>
  <c r="AI288" i="154" s="1"/>
  <c r="AA288" i="154"/>
  <c r="AB288" i="154" s="1"/>
  <c r="V288" i="154"/>
  <c r="P288" i="154"/>
  <c r="O288" i="154"/>
  <c r="N288" i="154"/>
  <c r="M288" i="154"/>
  <c r="L288" i="154"/>
  <c r="AH287" i="154"/>
  <c r="AI287" i="154" s="1"/>
  <c r="AA287" i="154"/>
  <c r="AB287" i="154" s="1"/>
  <c r="V287" i="154"/>
  <c r="W287" i="154" s="1"/>
  <c r="P287" i="154"/>
  <c r="O287" i="154"/>
  <c r="N287" i="154"/>
  <c r="M287" i="154"/>
  <c r="L287" i="154"/>
  <c r="AH286" i="154"/>
  <c r="AI286" i="154" s="1"/>
  <c r="AA286" i="154"/>
  <c r="AB286" i="154" s="1"/>
  <c r="V286" i="154"/>
  <c r="P286" i="154"/>
  <c r="O286" i="154"/>
  <c r="N286" i="154"/>
  <c r="M286" i="154"/>
  <c r="L286" i="154"/>
  <c r="AH285" i="154"/>
  <c r="AI285" i="154" s="1"/>
  <c r="AA285" i="154"/>
  <c r="AB285" i="154" s="1"/>
  <c r="V285" i="154"/>
  <c r="W285" i="154" s="1"/>
  <c r="P285" i="154"/>
  <c r="O285" i="154"/>
  <c r="N285" i="154"/>
  <c r="M285" i="154"/>
  <c r="L285" i="154"/>
  <c r="AH284" i="154"/>
  <c r="AI284" i="154" s="1"/>
  <c r="AA284" i="154"/>
  <c r="AB284" i="154" s="1"/>
  <c r="V284" i="154"/>
  <c r="P284" i="154"/>
  <c r="O284" i="154"/>
  <c r="N284" i="154"/>
  <c r="M284" i="154"/>
  <c r="L284" i="154"/>
  <c r="AH283" i="154"/>
  <c r="AI283" i="154" s="1"/>
  <c r="AA283" i="154"/>
  <c r="AB283" i="154" s="1"/>
  <c r="V283" i="154"/>
  <c r="W283" i="154" s="1"/>
  <c r="P283" i="154"/>
  <c r="O283" i="154"/>
  <c r="N283" i="154"/>
  <c r="M283" i="154"/>
  <c r="L283" i="154"/>
  <c r="AH282" i="154"/>
  <c r="AI282" i="154" s="1"/>
  <c r="AA282" i="154"/>
  <c r="AB282" i="154" s="1"/>
  <c r="V282" i="154"/>
  <c r="W282" i="154" s="1"/>
  <c r="P282" i="154"/>
  <c r="O282" i="154"/>
  <c r="N282" i="154"/>
  <c r="M282" i="154"/>
  <c r="L282" i="154"/>
  <c r="AH281" i="154"/>
  <c r="AI281" i="154" s="1"/>
  <c r="AA281" i="154"/>
  <c r="AB281" i="154" s="1"/>
  <c r="V281" i="154"/>
  <c r="W281" i="154" s="1"/>
  <c r="P281" i="154"/>
  <c r="O281" i="154"/>
  <c r="N281" i="154"/>
  <c r="M281" i="154"/>
  <c r="L281" i="154"/>
  <c r="AH280" i="154"/>
  <c r="AI280" i="154" s="1"/>
  <c r="AA280" i="154"/>
  <c r="AB280" i="154" s="1"/>
  <c r="V280" i="154"/>
  <c r="P280" i="154"/>
  <c r="O280" i="154"/>
  <c r="N280" i="154"/>
  <c r="M280" i="154"/>
  <c r="L280" i="154"/>
  <c r="AH279" i="154"/>
  <c r="AI279" i="154" s="1"/>
  <c r="AA279" i="154"/>
  <c r="AB279" i="154" s="1"/>
  <c r="V279" i="154"/>
  <c r="P279" i="154"/>
  <c r="O279" i="154"/>
  <c r="N279" i="154"/>
  <c r="M279" i="154"/>
  <c r="L279" i="154"/>
  <c r="AH278" i="154"/>
  <c r="AI278" i="154" s="1"/>
  <c r="AA278" i="154"/>
  <c r="AB278" i="154" s="1"/>
  <c r="V278" i="154"/>
  <c r="W278" i="154" s="1"/>
  <c r="P278" i="154"/>
  <c r="O278" i="154"/>
  <c r="N278" i="154"/>
  <c r="M278" i="154"/>
  <c r="L278" i="154"/>
  <c r="AH277" i="154"/>
  <c r="AI277" i="154" s="1"/>
  <c r="AA277" i="154"/>
  <c r="AB277" i="154" s="1"/>
  <c r="V277" i="154"/>
  <c r="W277" i="154" s="1"/>
  <c r="P277" i="154"/>
  <c r="O277" i="154"/>
  <c r="N277" i="154"/>
  <c r="M277" i="154"/>
  <c r="L277" i="154"/>
  <c r="AH276" i="154"/>
  <c r="AI276" i="154" s="1"/>
  <c r="AA276" i="154"/>
  <c r="AB276" i="154" s="1"/>
  <c r="V276" i="154"/>
  <c r="P276" i="154"/>
  <c r="O276" i="154"/>
  <c r="N276" i="154"/>
  <c r="M276" i="154"/>
  <c r="L276" i="154"/>
  <c r="AH275" i="154"/>
  <c r="AI275" i="154" s="1"/>
  <c r="AA275" i="154"/>
  <c r="AB275" i="154" s="1"/>
  <c r="V275" i="154"/>
  <c r="P275" i="154"/>
  <c r="O275" i="154"/>
  <c r="N275" i="154"/>
  <c r="M275" i="154"/>
  <c r="L275" i="154"/>
  <c r="AH274" i="154"/>
  <c r="AI274" i="154" s="1"/>
  <c r="AA274" i="154"/>
  <c r="AB274" i="154" s="1"/>
  <c r="V274" i="154"/>
  <c r="W274" i="154" s="1"/>
  <c r="P274" i="154"/>
  <c r="O274" i="154"/>
  <c r="N274" i="154"/>
  <c r="M274" i="154"/>
  <c r="L274" i="154"/>
  <c r="AH273" i="154"/>
  <c r="AI273" i="154" s="1"/>
  <c r="AA273" i="154"/>
  <c r="AB273" i="154" s="1"/>
  <c r="V273" i="154"/>
  <c r="P273" i="154"/>
  <c r="O273" i="154"/>
  <c r="N273" i="154"/>
  <c r="M273" i="154"/>
  <c r="L273" i="154"/>
  <c r="AH272" i="154"/>
  <c r="AI272" i="154" s="1"/>
  <c r="AA272" i="154"/>
  <c r="AB272" i="154" s="1"/>
  <c r="V272" i="154"/>
  <c r="P272" i="154"/>
  <c r="O272" i="154"/>
  <c r="N272" i="154"/>
  <c r="M272" i="154"/>
  <c r="L272" i="154"/>
  <c r="AH271" i="154"/>
  <c r="AI271" i="154" s="1"/>
  <c r="AA271" i="154"/>
  <c r="AB271" i="154" s="1"/>
  <c r="V271" i="154"/>
  <c r="W271" i="154" s="1"/>
  <c r="P271" i="154"/>
  <c r="O271" i="154"/>
  <c r="N271" i="154"/>
  <c r="M271" i="154"/>
  <c r="L271" i="154"/>
  <c r="AH270" i="154"/>
  <c r="AI270" i="154" s="1"/>
  <c r="AA270" i="154"/>
  <c r="AB270" i="154" s="1"/>
  <c r="V270" i="154"/>
  <c r="W270" i="154" s="1"/>
  <c r="P270" i="154"/>
  <c r="O270" i="154"/>
  <c r="N270" i="154"/>
  <c r="M270" i="154"/>
  <c r="L270" i="154"/>
  <c r="AH269" i="154"/>
  <c r="AI269" i="154" s="1"/>
  <c r="AA269" i="154"/>
  <c r="AB269" i="154" s="1"/>
  <c r="V269" i="154"/>
  <c r="P269" i="154"/>
  <c r="O269" i="154"/>
  <c r="N269" i="154"/>
  <c r="M269" i="154"/>
  <c r="L269" i="154"/>
  <c r="AH268" i="154"/>
  <c r="AI268" i="154" s="1"/>
  <c r="AA268" i="154"/>
  <c r="AB268" i="154" s="1"/>
  <c r="V268" i="154"/>
  <c r="P268" i="154"/>
  <c r="O268" i="154"/>
  <c r="N268" i="154"/>
  <c r="M268" i="154"/>
  <c r="L268" i="154"/>
  <c r="AH267" i="154"/>
  <c r="AI267" i="154" s="1"/>
  <c r="AA267" i="154"/>
  <c r="AB267" i="154" s="1"/>
  <c r="V267" i="154"/>
  <c r="P267" i="154"/>
  <c r="O267" i="154"/>
  <c r="N267" i="154"/>
  <c r="M267" i="154"/>
  <c r="L267" i="154"/>
  <c r="E267" i="154"/>
  <c r="E268" i="154" s="1"/>
  <c r="E269" i="154" s="1"/>
  <c r="E270" i="154" s="1"/>
  <c r="E271" i="154" s="1"/>
  <c r="E272" i="154" s="1"/>
  <c r="E273" i="154" s="1"/>
  <c r="E274" i="154" s="1"/>
  <c r="E275" i="154" s="1"/>
  <c r="E276" i="154" s="1"/>
  <c r="E277" i="154" s="1"/>
  <c r="E278" i="154" s="1"/>
  <c r="E279" i="154" s="1"/>
  <c r="E280" i="154" s="1"/>
  <c r="E281" i="154" s="1"/>
  <c r="E282" i="154" s="1"/>
  <c r="E283" i="154" s="1"/>
  <c r="E284" i="154" s="1"/>
  <c r="E285" i="154" s="1"/>
  <c r="E286" i="154" s="1"/>
  <c r="E287" i="154" s="1"/>
  <c r="E288" i="154" s="1"/>
  <c r="E289" i="154" s="1"/>
  <c r="E290" i="154" s="1"/>
  <c r="E291" i="154" s="1"/>
  <c r="E292" i="154" s="1"/>
  <c r="E293" i="154" s="1"/>
  <c r="E294" i="154" s="1"/>
  <c r="E295" i="154" s="1"/>
  <c r="E296" i="154" s="1"/>
  <c r="E297" i="154" s="1"/>
  <c r="E298" i="154" s="1"/>
  <c r="E299" i="154" s="1"/>
  <c r="E300" i="154" s="1"/>
  <c r="E301" i="154" s="1"/>
  <c r="E302" i="154" s="1"/>
  <c r="E303" i="154" s="1"/>
  <c r="E304" i="154" s="1"/>
  <c r="E305" i="154" s="1"/>
  <c r="E306" i="154" s="1"/>
  <c r="E307" i="154" s="1"/>
  <c r="E308" i="154" s="1"/>
  <c r="E309" i="154" s="1"/>
  <c r="E310" i="154" s="1"/>
  <c r="E311" i="154" s="1"/>
  <c r="E312" i="154" s="1"/>
  <c r="E313" i="154" s="1"/>
  <c r="E314" i="154" s="1"/>
  <c r="E315" i="154" s="1"/>
  <c r="E316" i="154" s="1"/>
  <c r="E317" i="154" s="1"/>
  <c r="E318" i="154" s="1"/>
  <c r="E319" i="154" s="1"/>
  <c r="E320" i="154" s="1"/>
  <c r="E321" i="154" s="1"/>
  <c r="E322" i="154" s="1"/>
  <c r="E323" i="154" s="1"/>
  <c r="E324" i="154" s="1"/>
  <c r="E325" i="154" s="1"/>
  <c r="E326" i="154" s="1"/>
  <c r="E327" i="154" s="1"/>
  <c r="E328" i="154" s="1"/>
  <c r="E329" i="154" s="1"/>
  <c r="E330" i="154" s="1"/>
  <c r="E331" i="154" s="1"/>
  <c r="E332" i="154" s="1"/>
  <c r="E333" i="154" s="1"/>
  <c r="E334" i="154" s="1"/>
  <c r="E335" i="154" s="1"/>
  <c r="E336" i="154" s="1"/>
  <c r="E337" i="154" s="1"/>
  <c r="E338" i="154" s="1"/>
  <c r="E339" i="154" s="1"/>
  <c r="E340" i="154" s="1"/>
  <c r="E341" i="154" s="1"/>
  <c r="E342" i="154" s="1"/>
  <c r="E343" i="154" s="1"/>
  <c r="E344" i="154" s="1"/>
  <c r="E345" i="154" s="1"/>
  <c r="E346" i="154" s="1"/>
  <c r="E347" i="154" s="1"/>
  <c r="E348" i="154" s="1"/>
  <c r="E349" i="154" s="1"/>
  <c r="E350" i="154" s="1"/>
  <c r="E351" i="154" s="1"/>
  <c r="E352" i="154" s="1"/>
  <c r="E353" i="154" s="1"/>
  <c r="E354" i="154" s="1"/>
  <c r="E355" i="154" s="1"/>
  <c r="E356" i="154" s="1"/>
  <c r="E357" i="154" s="1"/>
  <c r="E358" i="154" s="1"/>
  <c r="E359" i="154" s="1"/>
  <c r="E360" i="154" s="1"/>
  <c r="E361" i="154" s="1"/>
  <c r="E362" i="154" s="1"/>
  <c r="E363" i="154" s="1"/>
  <c r="E364" i="154" s="1"/>
  <c r="E365" i="154" s="1"/>
  <c r="E366" i="154" s="1"/>
  <c r="E367" i="154" s="1"/>
  <c r="E368" i="154" s="1"/>
  <c r="E369" i="154" s="1"/>
  <c r="E370" i="154" s="1"/>
  <c r="E371" i="154" s="1"/>
  <c r="E372" i="154" s="1"/>
  <c r="E373" i="154" s="1"/>
  <c r="E374" i="154" s="1"/>
  <c r="E375" i="154" s="1"/>
  <c r="E376" i="154" s="1"/>
  <c r="AH266" i="154"/>
  <c r="AI266" i="154" s="1"/>
  <c r="AA266" i="154"/>
  <c r="AB266" i="154" s="1"/>
  <c r="V266" i="154"/>
  <c r="W266" i="154" s="1"/>
  <c r="P266" i="154"/>
  <c r="O266" i="154"/>
  <c r="N266" i="154"/>
  <c r="M266" i="154"/>
  <c r="L266" i="154"/>
  <c r="AH265" i="154"/>
  <c r="AI265" i="154" s="1"/>
  <c r="AA265" i="154"/>
  <c r="AB265" i="154" s="1"/>
  <c r="V265" i="154"/>
  <c r="P265" i="154"/>
  <c r="O265" i="154"/>
  <c r="N265" i="154"/>
  <c r="M265" i="154"/>
  <c r="L265" i="154"/>
  <c r="AH264" i="154"/>
  <c r="AI264" i="154" s="1"/>
  <c r="AA264" i="154"/>
  <c r="AB264" i="154" s="1"/>
  <c r="V264" i="154"/>
  <c r="W264" i="154" s="1"/>
  <c r="P264" i="154"/>
  <c r="O264" i="154"/>
  <c r="N264" i="154"/>
  <c r="M264" i="154"/>
  <c r="L264" i="154"/>
  <c r="AH263" i="154"/>
  <c r="AI263" i="154" s="1"/>
  <c r="AA263" i="154"/>
  <c r="AB263" i="154" s="1"/>
  <c r="V263" i="154"/>
  <c r="W263" i="154" s="1"/>
  <c r="P263" i="154"/>
  <c r="O263" i="154"/>
  <c r="N263" i="154"/>
  <c r="M263" i="154"/>
  <c r="L263" i="154"/>
  <c r="AH262" i="154"/>
  <c r="AI262" i="154" s="1"/>
  <c r="AA262" i="154"/>
  <c r="AB262" i="154" s="1"/>
  <c r="V262" i="154"/>
  <c r="P262" i="154"/>
  <c r="O262" i="154"/>
  <c r="N262" i="154"/>
  <c r="M262" i="154"/>
  <c r="L262" i="154"/>
  <c r="AH261" i="154"/>
  <c r="AI261" i="154" s="1"/>
  <c r="AA261" i="154"/>
  <c r="AB261" i="154" s="1"/>
  <c r="V261" i="154"/>
  <c r="P261" i="154"/>
  <c r="O261" i="154"/>
  <c r="N261" i="154"/>
  <c r="M261" i="154"/>
  <c r="L261" i="154"/>
  <c r="AH260" i="154"/>
  <c r="AI260" i="154" s="1"/>
  <c r="AA260" i="154"/>
  <c r="AB260" i="154" s="1"/>
  <c r="V260" i="154"/>
  <c r="P260" i="154"/>
  <c r="O260" i="154"/>
  <c r="N260" i="154"/>
  <c r="M260" i="154"/>
  <c r="L260" i="154"/>
  <c r="AH259" i="154"/>
  <c r="AI259" i="154" s="1"/>
  <c r="AA259" i="154"/>
  <c r="AB259" i="154" s="1"/>
  <c r="V259" i="154"/>
  <c r="W259" i="154" s="1"/>
  <c r="P259" i="154"/>
  <c r="O259" i="154"/>
  <c r="N259" i="154"/>
  <c r="M259" i="154"/>
  <c r="L259" i="154"/>
  <c r="AH258" i="154"/>
  <c r="AI258" i="154" s="1"/>
  <c r="AA258" i="154"/>
  <c r="AB258" i="154" s="1"/>
  <c r="V258" i="154"/>
  <c r="P258" i="154"/>
  <c r="O258" i="154"/>
  <c r="N258" i="154"/>
  <c r="M258" i="154"/>
  <c r="L258" i="154"/>
  <c r="AH257" i="154"/>
  <c r="AI257" i="154" s="1"/>
  <c r="AA257" i="154"/>
  <c r="AB257" i="154" s="1"/>
  <c r="V257" i="154"/>
  <c r="P257" i="154"/>
  <c r="O257" i="154"/>
  <c r="N257" i="154"/>
  <c r="M257" i="154"/>
  <c r="L257" i="154"/>
  <c r="AH256" i="154"/>
  <c r="AI256" i="154" s="1"/>
  <c r="AA256" i="154"/>
  <c r="AB256" i="154" s="1"/>
  <c r="V256" i="154"/>
  <c r="W256" i="154" s="1"/>
  <c r="P256" i="154"/>
  <c r="O256" i="154"/>
  <c r="N256" i="154"/>
  <c r="M256" i="154"/>
  <c r="L256" i="154"/>
  <c r="AH255" i="154"/>
  <c r="AI255" i="154" s="1"/>
  <c r="AA255" i="154"/>
  <c r="AB255" i="154" s="1"/>
  <c r="V255" i="154"/>
  <c r="W255" i="154" s="1"/>
  <c r="P255" i="154"/>
  <c r="O255" i="154"/>
  <c r="N255" i="154"/>
  <c r="M255" i="154"/>
  <c r="L255" i="154"/>
  <c r="E255" i="154"/>
  <c r="E256" i="154" s="1"/>
  <c r="E257" i="154" s="1"/>
  <c r="E258" i="154" s="1"/>
  <c r="E259" i="154" s="1"/>
  <c r="E260" i="154" s="1"/>
  <c r="E261" i="154" s="1"/>
  <c r="E262" i="154" s="1"/>
  <c r="E263" i="154" s="1"/>
  <c r="E264" i="154" s="1"/>
  <c r="E265" i="154" s="1"/>
  <c r="AH254" i="154"/>
  <c r="AI254" i="154" s="1"/>
  <c r="AA254" i="154"/>
  <c r="AB254" i="154" s="1"/>
  <c r="V254" i="154"/>
  <c r="P254" i="154"/>
  <c r="O254" i="154"/>
  <c r="N254" i="154"/>
  <c r="M254" i="154"/>
  <c r="L254" i="154"/>
  <c r="AH253" i="154"/>
  <c r="AI253" i="154" s="1"/>
  <c r="AA253" i="154"/>
  <c r="AB253" i="154" s="1"/>
  <c r="V253" i="154"/>
  <c r="P253" i="154"/>
  <c r="O253" i="154"/>
  <c r="N253" i="154"/>
  <c r="M253" i="154"/>
  <c r="L253" i="154"/>
  <c r="AH252" i="154"/>
  <c r="AI252" i="154" s="1"/>
  <c r="AA252" i="154"/>
  <c r="AB252" i="154" s="1"/>
  <c r="V252" i="154"/>
  <c r="W252" i="154" s="1"/>
  <c r="P252" i="154"/>
  <c r="O252" i="154"/>
  <c r="N252" i="154"/>
  <c r="M252" i="154"/>
  <c r="L252" i="154"/>
  <c r="AH251" i="154"/>
  <c r="AI251" i="154" s="1"/>
  <c r="AA251" i="154"/>
  <c r="AB251" i="154" s="1"/>
  <c r="V251" i="154"/>
  <c r="W251" i="154" s="1"/>
  <c r="P251" i="154"/>
  <c r="O251" i="154"/>
  <c r="N251" i="154"/>
  <c r="M251" i="154"/>
  <c r="L251" i="154"/>
  <c r="AH250" i="154"/>
  <c r="AI250" i="154" s="1"/>
  <c r="AA250" i="154"/>
  <c r="AB250" i="154" s="1"/>
  <c r="V250" i="154"/>
  <c r="W250" i="154" s="1"/>
  <c r="P250" i="154"/>
  <c r="O250" i="154"/>
  <c r="N250" i="154"/>
  <c r="M250" i="154"/>
  <c r="L250" i="154"/>
  <c r="E250" i="154"/>
  <c r="E251" i="154" s="1"/>
  <c r="E252" i="154" s="1"/>
  <c r="E253" i="154" s="1"/>
  <c r="AH249" i="154"/>
  <c r="AI249" i="154" s="1"/>
  <c r="AA249" i="154"/>
  <c r="AB249" i="154" s="1"/>
  <c r="V249" i="154"/>
  <c r="W249" i="154" s="1"/>
  <c r="P249" i="154"/>
  <c r="O249" i="154"/>
  <c r="N249" i="154"/>
  <c r="M249" i="154"/>
  <c r="L249" i="154"/>
  <c r="AH248" i="154"/>
  <c r="AI248" i="154" s="1"/>
  <c r="AA248" i="154"/>
  <c r="AB248" i="154" s="1"/>
  <c r="V248" i="154"/>
  <c r="P248" i="154"/>
  <c r="O248" i="154"/>
  <c r="N248" i="154"/>
  <c r="M248" i="154"/>
  <c r="L248" i="154"/>
  <c r="AH247" i="154"/>
  <c r="AI247" i="154" s="1"/>
  <c r="AA247" i="154"/>
  <c r="AB247" i="154" s="1"/>
  <c r="V247" i="154"/>
  <c r="P247" i="154"/>
  <c r="O247" i="154"/>
  <c r="N247" i="154"/>
  <c r="M247" i="154"/>
  <c r="L247" i="154"/>
  <c r="AH246" i="154"/>
  <c r="AI246" i="154" s="1"/>
  <c r="AA246" i="154"/>
  <c r="AB246" i="154" s="1"/>
  <c r="V246" i="154"/>
  <c r="P246" i="154"/>
  <c r="O246" i="154"/>
  <c r="N246" i="154"/>
  <c r="M246" i="154"/>
  <c r="L246" i="154"/>
  <c r="AH245" i="154"/>
  <c r="AI245" i="154" s="1"/>
  <c r="AA245" i="154"/>
  <c r="AB245" i="154" s="1"/>
  <c r="V245" i="154"/>
  <c r="W245" i="154" s="1"/>
  <c r="P245" i="154"/>
  <c r="O245" i="154"/>
  <c r="N245" i="154"/>
  <c r="M245" i="154"/>
  <c r="L245" i="154"/>
  <c r="AH244" i="154"/>
  <c r="AI244" i="154" s="1"/>
  <c r="AA244" i="154"/>
  <c r="AB244" i="154" s="1"/>
  <c r="V244" i="154"/>
  <c r="P244" i="154"/>
  <c r="O244" i="154"/>
  <c r="N244" i="154"/>
  <c r="M244" i="154"/>
  <c r="L244" i="154"/>
  <c r="AH243" i="154"/>
  <c r="AI243" i="154" s="1"/>
  <c r="AA243" i="154"/>
  <c r="AB243" i="154" s="1"/>
  <c r="V243" i="154"/>
  <c r="P243" i="154"/>
  <c r="O243" i="154"/>
  <c r="N243" i="154"/>
  <c r="M243" i="154"/>
  <c r="L243" i="154"/>
  <c r="AH242" i="154"/>
  <c r="AI242" i="154" s="1"/>
  <c r="AA242" i="154"/>
  <c r="AB242" i="154" s="1"/>
  <c r="V242" i="154"/>
  <c r="W242" i="154" s="1"/>
  <c r="P242" i="154"/>
  <c r="O242" i="154"/>
  <c r="N242" i="154"/>
  <c r="M242" i="154"/>
  <c r="L242" i="154"/>
  <c r="AH241" i="154"/>
  <c r="AI241" i="154" s="1"/>
  <c r="AA241" i="154"/>
  <c r="AB241" i="154" s="1"/>
  <c r="V241" i="154"/>
  <c r="W241" i="154" s="1"/>
  <c r="P241" i="154"/>
  <c r="O241" i="154"/>
  <c r="N241" i="154"/>
  <c r="M241" i="154"/>
  <c r="L241" i="154"/>
  <c r="AH240" i="154"/>
  <c r="AI240" i="154" s="1"/>
  <c r="AA240" i="154"/>
  <c r="AB240" i="154" s="1"/>
  <c r="V240" i="154"/>
  <c r="P240" i="154"/>
  <c r="O240" i="154"/>
  <c r="N240" i="154"/>
  <c r="M240" i="154"/>
  <c r="L240" i="154"/>
  <c r="AH239" i="154"/>
  <c r="AI239" i="154" s="1"/>
  <c r="AA239" i="154"/>
  <c r="AB239" i="154" s="1"/>
  <c r="V239" i="154"/>
  <c r="P239" i="154"/>
  <c r="O239" i="154"/>
  <c r="N239" i="154"/>
  <c r="M239" i="154"/>
  <c r="L239" i="154"/>
  <c r="AH238" i="154"/>
  <c r="AI238" i="154" s="1"/>
  <c r="AA238" i="154"/>
  <c r="AB238" i="154" s="1"/>
  <c r="V238" i="154"/>
  <c r="W238" i="154" s="1"/>
  <c r="P238" i="154"/>
  <c r="O238" i="154"/>
  <c r="N238" i="154"/>
  <c r="M238" i="154"/>
  <c r="L238" i="154"/>
  <c r="AH237" i="154"/>
  <c r="AI237" i="154" s="1"/>
  <c r="AA237" i="154"/>
  <c r="AB237" i="154" s="1"/>
  <c r="V237" i="154"/>
  <c r="W237" i="154" s="1"/>
  <c r="P237" i="154"/>
  <c r="O237" i="154"/>
  <c r="N237" i="154"/>
  <c r="M237" i="154"/>
  <c r="L237" i="154"/>
  <c r="AH236" i="154"/>
  <c r="AI236" i="154" s="1"/>
  <c r="AA236" i="154"/>
  <c r="AB236" i="154" s="1"/>
  <c r="V236" i="154"/>
  <c r="P236" i="154"/>
  <c r="O236" i="154"/>
  <c r="N236" i="154"/>
  <c r="M236" i="154"/>
  <c r="L236" i="154"/>
  <c r="AH235" i="154"/>
  <c r="AI235" i="154" s="1"/>
  <c r="AA235" i="154"/>
  <c r="AB235" i="154" s="1"/>
  <c r="V235" i="154"/>
  <c r="P235" i="154"/>
  <c r="O235" i="154"/>
  <c r="N235" i="154"/>
  <c r="M235" i="154"/>
  <c r="L235" i="154"/>
  <c r="AH234" i="154"/>
  <c r="AI234" i="154" s="1"/>
  <c r="AA234" i="154"/>
  <c r="AB234" i="154" s="1"/>
  <c r="V234" i="154"/>
  <c r="W234" i="154" s="1"/>
  <c r="P234" i="154"/>
  <c r="O234" i="154"/>
  <c r="N234" i="154"/>
  <c r="M234" i="154"/>
  <c r="L234" i="154"/>
  <c r="AH233" i="154"/>
  <c r="AI233" i="154" s="1"/>
  <c r="AA233" i="154"/>
  <c r="AB233" i="154" s="1"/>
  <c r="V233" i="154"/>
  <c r="W233" i="154" s="1"/>
  <c r="P233" i="154"/>
  <c r="O233" i="154"/>
  <c r="N233" i="154"/>
  <c r="M233" i="154"/>
  <c r="L233" i="154"/>
  <c r="AH232" i="154"/>
  <c r="AI232" i="154" s="1"/>
  <c r="AA232" i="154"/>
  <c r="AB232" i="154" s="1"/>
  <c r="V232" i="154"/>
  <c r="P232" i="154"/>
  <c r="O232" i="154"/>
  <c r="N232" i="154"/>
  <c r="M232" i="154"/>
  <c r="L232" i="154"/>
  <c r="AH231" i="154"/>
  <c r="AI231" i="154" s="1"/>
  <c r="AA231" i="154"/>
  <c r="AB231" i="154" s="1"/>
  <c r="V231" i="154"/>
  <c r="P231" i="154"/>
  <c r="O231" i="154"/>
  <c r="N231" i="154"/>
  <c r="M231" i="154"/>
  <c r="L231" i="154"/>
  <c r="AH230" i="154"/>
  <c r="AI230" i="154" s="1"/>
  <c r="AA230" i="154"/>
  <c r="AB230" i="154" s="1"/>
  <c r="V230" i="154"/>
  <c r="P230" i="154"/>
  <c r="O230" i="154"/>
  <c r="N230" i="154"/>
  <c r="M230" i="154"/>
  <c r="L230" i="154"/>
  <c r="AH229" i="154"/>
  <c r="AI229" i="154" s="1"/>
  <c r="AA229" i="154"/>
  <c r="AB229" i="154" s="1"/>
  <c r="V229" i="154"/>
  <c r="W229" i="154" s="1"/>
  <c r="P229" i="154"/>
  <c r="O229" i="154"/>
  <c r="N229" i="154"/>
  <c r="M229" i="154"/>
  <c r="L229" i="154"/>
  <c r="AH228" i="154"/>
  <c r="AI228" i="154" s="1"/>
  <c r="AA228" i="154"/>
  <c r="AB228" i="154" s="1"/>
  <c r="V228" i="154"/>
  <c r="P228" i="154"/>
  <c r="O228" i="154"/>
  <c r="N228" i="154"/>
  <c r="M228" i="154"/>
  <c r="L228" i="154"/>
  <c r="AH227" i="154"/>
  <c r="AI227" i="154" s="1"/>
  <c r="AA227" i="154"/>
  <c r="AB227" i="154" s="1"/>
  <c r="V227" i="154"/>
  <c r="P227" i="154"/>
  <c r="O227" i="154"/>
  <c r="N227" i="154"/>
  <c r="M227" i="154"/>
  <c r="L227" i="154"/>
  <c r="AH226" i="154"/>
  <c r="AI226" i="154" s="1"/>
  <c r="AA226" i="154"/>
  <c r="AB226" i="154" s="1"/>
  <c r="V226" i="154"/>
  <c r="W226" i="154" s="1"/>
  <c r="P226" i="154"/>
  <c r="O226" i="154"/>
  <c r="N226" i="154"/>
  <c r="M226" i="154"/>
  <c r="L226" i="154"/>
  <c r="AH225" i="154"/>
  <c r="AI225" i="154" s="1"/>
  <c r="AA225" i="154"/>
  <c r="AB225" i="154" s="1"/>
  <c r="V225" i="154"/>
  <c r="W225" i="154" s="1"/>
  <c r="P225" i="154"/>
  <c r="O225" i="154"/>
  <c r="N225" i="154"/>
  <c r="M225" i="154"/>
  <c r="L225" i="154"/>
  <c r="AH224" i="154"/>
  <c r="AI224" i="154" s="1"/>
  <c r="AA224" i="154"/>
  <c r="AB224" i="154" s="1"/>
  <c r="V224" i="154"/>
  <c r="P224" i="154"/>
  <c r="O224" i="154"/>
  <c r="N224" i="154"/>
  <c r="M224" i="154"/>
  <c r="L224" i="154"/>
  <c r="AH223" i="154"/>
  <c r="AI223" i="154" s="1"/>
  <c r="AA223" i="154"/>
  <c r="AB223" i="154" s="1"/>
  <c r="V223" i="154"/>
  <c r="P223" i="154"/>
  <c r="O223" i="154"/>
  <c r="N223" i="154"/>
  <c r="M223" i="154"/>
  <c r="L223" i="154"/>
  <c r="AH222" i="154"/>
  <c r="AI222" i="154" s="1"/>
  <c r="AA222" i="154"/>
  <c r="AB222" i="154" s="1"/>
  <c r="V222" i="154"/>
  <c r="W222" i="154" s="1"/>
  <c r="P222" i="154"/>
  <c r="O222" i="154"/>
  <c r="N222" i="154"/>
  <c r="M222" i="154"/>
  <c r="L222" i="154"/>
  <c r="AH221" i="154"/>
  <c r="AI221" i="154" s="1"/>
  <c r="AA221" i="154"/>
  <c r="AB221" i="154" s="1"/>
  <c r="V221" i="154"/>
  <c r="W221" i="154" s="1"/>
  <c r="P221" i="154"/>
  <c r="O221" i="154"/>
  <c r="N221" i="154"/>
  <c r="M221" i="154"/>
  <c r="L221" i="154"/>
  <c r="AH220" i="154"/>
  <c r="AI220" i="154" s="1"/>
  <c r="AA220" i="154"/>
  <c r="AB220" i="154" s="1"/>
  <c r="V220" i="154"/>
  <c r="P220" i="154"/>
  <c r="O220" i="154"/>
  <c r="N220" i="154"/>
  <c r="M220" i="154"/>
  <c r="L220" i="154"/>
  <c r="AH219" i="154"/>
  <c r="AI219" i="154" s="1"/>
  <c r="AA219" i="154"/>
  <c r="AB219" i="154" s="1"/>
  <c r="V219" i="154"/>
  <c r="P219" i="154"/>
  <c r="O219" i="154"/>
  <c r="N219" i="154"/>
  <c r="M219" i="154"/>
  <c r="L219" i="154"/>
  <c r="AH218" i="154"/>
  <c r="AI218" i="154" s="1"/>
  <c r="AA218" i="154"/>
  <c r="AB218" i="154" s="1"/>
  <c r="V218" i="154"/>
  <c r="W218" i="154" s="1"/>
  <c r="P218" i="154"/>
  <c r="O218" i="154"/>
  <c r="N218" i="154"/>
  <c r="M218" i="154"/>
  <c r="L218" i="154"/>
  <c r="AH217" i="154"/>
  <c r="AI217" i="154" s="1"/>
  <c r="AA217" i="154"/>
  <c r="AB217" i="154" s="1"/>
  <c r="V217" i="154"/>
  <c r="W217" i="154" s="1"/>
  <c r="P217" i="154"/>
  <c r="O217" i="154"/>
  <c r="N217" i="154"/>
  <c r="M217" i="154"/>
  <c r="L217" i="154"/>
  <c r="AH216" i="154"/>
  <c r="AI216" i="154" s="1"/>
  <c r="AA216" i="154"/>
  <c r="AB216" i="154" s="1"/>
  <c r="V216" i="154"/>
  <c r="P216" i="154"/>
  <c r="O216" i="154"/>
  <c r="N216" i="154"/>
  <c r="M216" i="154"/>
  <c r="L216" i="154"/>
  <c r="AH215" i="154"/>
  <c r="AI215" i="154" s="1"/>
  <c r="AA215" i="154"/>
  <c r="AB215" i="154" s="1"/>
  <c r="V215" i="154"/>
  <c r="P215" i="154"/>
  <c r="O215" i="154"/>
  <c r="N215" i="154"/>
  <c r="M215" i="154"/>
  <c r="L215" i="154"/>
  <c r="AH214" i="154"/>
  <c r="AI214" i="154" s="1"/>
  <c r="AA214" i="154"/>
  <c r="AB214" i="154" s="1"/>
  <c r="V214" i="154"/>
  <c r="P214" i="154"/>
  <c r="O214" i="154"/>
  <c r="N214" i="154"/>
  <c r="M214" i="154"/>
  <c r="L214" i="154"/>
  <c r="AH213" i="154"/>
  <c r="AI213" i="154" s="1"/>
  <c r="AA213" i="154"/>
  <c r="AB213" i="154" s="1"/>
  <c r="V213" i="154"/>
  <c r="W213" i="154" s="1"/>
  <c r="P213" i="154"/>
  <c r="O213" i="154"/>
  <c r="N213" i="154"/>
  <c r="M213" i="154"/>
  <c r="L213" i="154"/>
  <c r="AH212" i="154"/>
  <c r="AI212" i="154" s="1"/>
  <c r="AA212" i="154"/>
  <c r="AB212" i="154" s="1"/>
  <c r="V212" i="154"/>
  <c r="P212" i="154"/>
  <c r="O212" i="154"/>
  <c r="N212" i="154"/>
  <c r="M212" i="154"/>
  <c r="L212" i="154"/>
  <c r="AH211" i="154"/>
  <c r="AI211" i="154" s="1"/>
  <c r="AA211" i="154"/>
  <c r="AB211" i="154" s="1"/>
  <c r="V211" i="154"/>
  <c r="P211" i="154"/>
  <c r="O211" i="154"/>
  <c r="N211" i="154"/>
  <c r="M211" i="154"/>
  <c r="L211" i="154"/>
  <c r="AH210" i="154"/>
  <c r="AI210" i="154" s="1"/>
  <c r="AA210" i="154"/>
  <c r="AB210" i="154" s="1"/>
  <c r="V210" i="154"/>
  <c r="W210" i="154" s="1"/>
  <c r="P210" i="154"/>
  <c r="O210" i="154"/>
  <c r="N210" i="154"/>
  <c r="M210" i="154"/>
  <c r="L210" i="154"/>
  <c r="AH209" i="154"/>
  <c r="AI209" i="154" s="1"/>
  <c r="AA209" i="154"/>
  <c r="AB209" i="154" s="1"/>
  <c r="V209" i="154"/>
  <c r="W209" i="154" s="1"/>
  <c r="P209" i="154"/>
  <c r="O209" i="154"/>
  <c r="N209" i="154"/>
  <c r="M209" i="154"/>
  <c r="L209" i="154"/>
  <c r="AH208" i="154"/>
  <c r="AI208" i="154" s="1"/>
  <c r="AA208" i="154"/>
  <c r="AB208" i="154" s="1"/>
  <c r="V208" i="154"/>
  <c r="P208" i="154"/>
  <c r="O208" i="154"/>
  <c r="N208" i="154"/>
  <c r="M208" i="154"/>
  <c r="L208" i="154"/>
  <c r="AH207" i="154"/>
  <c r="AI207" i="154" s="1"/>
  <c r="AA207" i="154"/>
  <c r="AB207" i="154" s="1"/>
  <c r="V207" i="154"/>
  <c r="P207" i="154"/>
  <c r="O207" i="154"/>
  <c r="N207" i="154"/>
  <c r="M207" i="154"/>
  <c r="L207" i="154"/>
  <c r="AH206" i="154"/>
  <c r="AI206" i="154" s="1"/>
  <c r="AA206" i="154"/>
  <c r="AB206" i="154" s="1"/>
  <c r="V206" i="154"/>
  <c r="W206" i="154" s="1"/>
  <c r="P206" i="154"/>
  <c r="O206" i="154"/>
  <c r="N206" i="154"/>
  <c r="M206" i="154"/>
  <c r="L206" i="154"/>
  <c r="AH205" i="154"/>
  <c r="AI205" i="154" s="1"/>
  <c r="AA205" i="154"/>
  <c r="AB205" i="154" s="1"/>
  <c r="V205" i="154"/>
  <c r="W205" i="154" s="1"/>
  <c r="P205" i="154"/>
  <c r="O205" i="154"/>
  <c r="N205" i="154"/>
  <c r="M205" i="154"/>
  <c r="L205" i="154"/>
  <c r="AH204" i="154"/>
  <c r="AI204" i="154" s="1"/>
  <c r="AA204" i="154"/>
  <c r="AB204" i="154" s="1"/>
  <c r="V204" i="154"/>
  <c r="P204" i="154"/>
  <c r="O204" i="154"/>
  <c r="N204" i="154"/>
  <c r="M204" i="154"/>
  <c r="L204" i="154"/>
  <c r="AH203" i="154"/>
  <c r="AI203" i="154" s="1"/>
  <c r="AA203" i="154"/>
  <c r="AB203" i="154" s="1"/>
  <c r="V203" i="154"/>
  <c r="P203" i="154"/>
  <c r="O203" i="154"/>
  <c r="N203" i="154"/>
  <c r="M203" i="154"/>
  <c r="L203" i="154"/>
  <c r="AH202" i="154"/>
  <c r="AI202" i="154" s="1"/>
  <c r="AA202" i="154"/>
  <c r="AB202" i="154" s="1"/>
  <c r="V202" i="154"/>
  <c r="W202" i="154" s="1"/>
  <c r="P202" i="154"/>
  <c r="O202" i="154"/>
  <c r="N202" i="154"/>
  <c r="M202" i="154"/>
  <c r="L202" i="154"/>
  <c r="AH201" i="154"/>
  <c r="AI201" i="154" s="1"/>
  <c r="AA201" i="154"/>
  <c r="AB201" i="154" s="1"/>
  <c r="V201" i="154"/>
  <c r="W201" i="154" s="1"/>
  <c r="P201" i="154"/>
  <c r="O201" i="154"/>
  <c r="N201" i="154"/>
  <c r="M201" i="154"/>
  <c r="L201" i="154"/>
  <c r="AH200" i="154"/>
  <c r="AI200" i="154" s="1"/>
  <c r="AA200" i="154"/>
  <c r="AB200" i="154" s="1"/>
  <c r="V200" i="154"/>
  <c r="P200" i="154"/>
  <c r="O200" i="154"/>
  <c r="N200" i="154"/>
  <c r="M200" i="154"/>
  <c r="L200" i="154"/>
  <c r="AH199" i="154"/>
  <c r="AI199" i="154" s="1"/>
  <c r="AA199" i="154"/>
  <c r="AB199" i="154" s="1"/>
  <c r="V199" i="154"/>
  <c r="W199" i="154" s="1"/>
  <c r="P199" i="154"/>
  <c r="O199" i="154"/>
  <c r="N199" i="154"/>
  <c r="M199" i="154"/>
  <c r="L199" i="154"/>
  <c r="AH198" i="154"/>
  <c r="AI198" i="154" s="1"/>
  <c r="AA198" i="154"/>
  <c r="AB198" i="154" s="1"/>
  <c r="V198" i="154"/>
  <c r="W198" i="154" s="1"/>
  <c r="P198" i="154"/>
  <c r="O198" i="154"/>
  <c r="N198" i="154"/>
  <c r="M198" i="154"/>
  <c r="L198" i="154"/>
  <c r="AH197" i="154"/>
  <c r="AI197" i="154" s="1"/>
  <c r="AA197" i="154"/>
  <c r="AB197" i="154" s="1"/>
  <c r="V197" i="154"/>
  <c r="W197" i="154" s="1"/>
  <c r="P197" i="154"/>
  <c r="O197" i="154"/>
  <c r="N197" i="154"/>
  <c r="M197" i="154"/>
  <c r="L197" i="154"/>
  <c r="AH196" i="154"/>
  <c r="AI196" i="154" s="1"/>
  <c r="AA196" i="154"/>
  <c r="AB196" i="154" s="1"/>
  <c r="V196" i="154"/>
  <c r="W196" i="154" s="1"/>
  <c r="P196" i="154"/>
  <c r="O196" i="154"/>
  <c r="N196" i="154"/>
  <c r="M196" i="154"/>
  <c r="L196" i="154"/>
  <c r="AH195" i="154"/>
  <c r="AI195" i="154" s="1"/>
  <c r="AA195" i="154"/>
  <c r="AB195" i="154" s="1"/>
  <c r="V195" i="154"/>
  <c r="W195" i="154" s="1"/>
  <c r="P195" i="154"/>
  <c r="O195" i="154"/>
  <c r="N195" i="154"/>
  <c r="M195" i="154"/>
  <c r="L195" i="154"/>
  <c r="AH194" i="154"/>
  <c r="AI194" i="154" s="1"/>
  <c r="AA194" i="154"/>
  <c r="AB194" i="154" s="1"/>
  <c r="V194" i="154"/>
  <c r="P194" i="154"/>
  <c r="O194" i="154"/>
  <c r="N194" i="154"/>
  <c r="M194" i="154"/>
  <c r="L194" i="154"/>
  <c r="AH193" i="154"/>
  <c r="AI193" i="154" s="1"/>
  <c r="AA193" i="154"/>
  <c r="AB193" i="154" s="1"/>
  <c r="V193" i="154"/>
  <c r="W193" i="154" s="1"/>
  <c r="P193" i="154"/>
  <c r="O193" i="154"/>
  <c r="N193" i="154"/>
  <c r="M193" i="154"/>
  <c r="L193" i="154"/>
  <c r="AH192" i="154"/>
  <c r="AI192" i="154" s="1"/>
  <c r="AA192" i="154"/>
  <c r="AB192" i="154" s="1"/>
  <c r="V192" i="154"/>
  <c r="P192" i="154"/>
  <c r="O192" i="154"/>
  <c r="N192" i="154"/>
  <c r="M192" i="154"/>
  <c r="L192" i="154"/>
  <c r="AH191" i="154"/>
  <c r="AI191" i="154" s="1"/>
  <c r="AA191" i="154"/>
  <c r="AB191" i="154" s="1"/>
  <c r="V191" i="154"/>
  <c r="W191" i="154" s="1"/>
  <c r="P191" i="154"/>
  <c r="O191" i="154"/>
  <c r="N191" i="154"/>
  <c r="M191" i="154"/>
  <c r="L191" i="154"/>
  <c r="AH190" i="154"/>
  <c r="AI190" i="154" s="1"/>
  <c r="AA190" i="154"/>
  <c r="AB190" i="154" s="1"/>
  <c r="V190" i="154"/>
  <c r="W190" i="154" s="1"/>
  <c r="P190" i="154"/>
  <c r="O190" i="154"/>
  <c r="N190" i="154"/>
  <c r="M190" i="154"/>
  <c r="L190" i="154"/>
  <c r="AH189" i="154"/>
  <c r="AI189" i="154" s="1"/>
  <c r="AA189" i="154"/>
  <c r="AB189" i="154" s="1"/>
  <c r="V189" i="154"/>
  <c r="W189" i="154" s="1"/>
  <c r="P189" i="154"/>
  <c r="O189" i="154"/>
  <c r="N189" i="154"/>
  <c r="M189" i="154"/>
  <c r="L189" i="154"/>
  <c r="AH188" i="154"/>
  <c r="AI188" i="154" s="1"/>
  <c r="AA188" i="154"/>
  <c r="AB188" i="154" s="1"/>
  <c r="V188" i="154"/>
  <c r="P188" i="154"/>
  <c r="O188" i="154"/>
  <c r="N188" i="154"/>
  <c r="M188" i="154"/>
  <c r="L188" i="154"/>
  <c r="AH187" i="154"/>
  <c r="AI187" i="154" s="1"/>
  <c r="AA187" i="154"/>
  <c r="AB187" i="154" s="1"/>
  <c r="V187" i="154"/>
  <c r="W187" i="154" s="1"/>
  <c r="P187" i="154"/>
  <c r="O187" i="154"/>
  <c r="N187" i="154"/>
  <c r="M187" i="154"/>
  <c r="L187" i="154"/>
  <c r="AH186" i="154"/>
  <c r="AI186" i="154" s="1"/>
  <c r="AA186" i="154"/>
  <c r="AB186" i="154" s="1"/>
  <c r="V186" i="154"/>
  <c r="P186" i="154"/>
  <c r="O186" i="154"/>
  <c r="N186" i="154"/>
  <c r="M186" i="154"/>
  <c r="L186" i="154"/>
  <c r="AH185" i="154"/>
  <c r="AI185" i="154" s="1"/>
  <c r="AA185" i="154"/>
  <c r="AB185" i="154" s="1"/>
  <c r="V185" i="154"/>
  <c r="W185" i="154" s="1"/>
  <c r="P185" i="154"/>
  <c r="O185" i="154"/>
  <c r="N185" i="154"/>
  <c r="M185" i="154"/>
  <c r="L185" i="154"/>
  <c r="AH184" i="154"/>
  <c r="AI184" i="154" s="1"/>
  <c r="AA184" i="154"/>
  <c r="AB184" i="154" s="1"/>
  <c r="V184" i="154"/>
  <c r="W184" i="154" s="1"/>
  <c r="P184" i="154"/>
  <c r="O184" i="154"/>
  <c r="N184" i="154"/>
  <c r="M184" i="154"/>
  <c r="L184" i="154"/>
  <c r="AH183" i="154"/>
  <c r="AI183" i="154" s="1"/>
  <c r="AA183" i="154"/>
  <c r="AB183" i="154" s="1"/>
  <c r="V183" i="154"/>
  <c r="P183" i="154"/>
  <c r="O183" i="154"/>
  <c r="N183" i="154"/>
  <c r="M183" i="154"/>
  <c r="L183" i="154"/>
  <c r="AH182" i="154"/>
  <c r="AI182" i="154" s="1"/>
  <c r="AA182" i="154"/>
  <c r="AB182" i="154" s="1"/>
  <c r="V182" i="154"/>
  <c r="W182" i="154" s="1"/>
  <c r="P182" i="154"/>
  <c r="O182" i="154"/>
  <c r="N182" i="154"/>
  <c r="M182" i="154"/>
  <c r="L182" i="154"/>
  <c r="AH181" i="154"/>
  <c r="AI181" i="154" s="1"/>
  <c r="AA181" i="154"/>
  <c r="AB181" i="154" s="1"/>
  <c r="V181" i="154"/>
  <c r="W181" i="154" s="1"/>
  <c r="P181" i="154"/>
  <c r="O181" i="154"/>
  <c r="N181" i="154"/>
  <c r="M181" i="154"/>
  <c r="L181" i="154"/>
  <c r="AH180" i="154"/>
  <c r="AI180" i="154" s="1"/>
  <c r="AA180" i="154"/>
  <c r="AB180" i="154" s="1"/>
  <c r="V180" i="154"/>
  <c r="P180" i="154"/>
  <c r="O180" i="154"/>
  <c r="N180" i="154"/>
  <c r="M180" i="154"/>
  <c r="L180" i="154"/>
  <c r="AH179" i="154"/>
  <c r="AI179" i="154" s="1"/>
  <c r="AA179" i="154"/>
  <c r="AB179" i="154" s="1"/>
  <c r="V179" i="154"/>
  <c r="W179" i="154" s="1"/>
  <c r="P179" i="154"/>
  <c r="O179" i="154"/>
  <c r="N179" i="154"/>
  <c r="M179" i="154"/>
  <c r="L179" i="154"/>
  <c r="E179" i="154"/>
  <c r="E180" i="154" s="1"/>
  <c r="E181" i="154" s="1"/>
  <c r="E182" i="154" s="1"/>
  <c r="E183" i="154" s="1"/>
  <c r="E184" i="154" s="1"/>
  <c r="E185" i="154" s="1"/>
  <c r="E186" i="154" s="1"/>
  <c r="E187" i="154" s="1"/>
  <c r="E188" i="154" s="1"/>
  <c r="E189" i="154" s="1"/>
  <c r="E190" i="154" s="1"/>
  <c r="E191" i="154" s="1"/>
  <c r="E192" i="154" s="1"/>
  <c r="E193" i="154" s="1"/>
  <c r="E194" i="154" s="1"/>
  <c r="E195" i="154" s="1"/>
  <c r="E196" i="154" s="1"/>
  <c r="E197" i="154" s="1"/>
  <c r="E198" i="154" s="1"/>
  <c r="E199" i="154" s="1"/>
  <c r="E200" i="154" s="1"/>
  <c r="E201" i="154" s="1"/>
  <c r="E202" i="154" s="1"/>
  <c r="E203" i="154" s="1"/>
  <c r="E204" i="154" s="1"/>
  <c r="E205" i="154" s="1"/>
  <c r="E206" i="154" s="1"/>
  <c r="E207" i="154" s="1"/>
  <c r="E208" i="154" s="1"/>
  <c r="E209" i="154" s="1"/>
  <c r="E210" i="154" s="1"/>
  <c r="E211" i="154" s="1"/>
  <c r="E212" i="154" s="1"/>
  <c r="E213" i="154" s="1"/>
  <c r="E214" i="154" s="1"/>
  <c r="E215" i="154" s="1"/>
  <c r="E216" i="154" s="1"/>
  <c r="E217" i="154" s="1"/>
  <c r="E218" i="154" s="1"/>
  <c r="E219" i="154" s="1"/>
  <c r="E220" i="154" s="1"/>
  <c r="E221" i="154" s="1"/>
  <c r="E222" i="154" s="1"/>
  <c r="E223" i="154" s="1"/>
  <c r="E224" i="154" s="1"/>
  <c r="E225" i="154" s="1"/>
  <c r="E226" i="154" s="1"/>
  <c r="E227" i="154" s="1"/>
  <c r="E228" i="154" s="1"/>
  <c r="E229" i="154" s="1"/>
  <c r="E230" i="154" s="1"/>
  <c r="E231" i="154" s="1"/>
  <c r="E232" i="154" s="1"/>
  <c r="E233" i="154" s="1"/>
  <c r="E234" i="154" s="1"/>
  <c r="E235" i="154" s="1"/>
  <c r="E236" i="154" s="1"/>
  <c r="E237" i="154" s="1"/>
  <c r="E238" i="154" s="1"/>
  <c r="E239" i="154" s="1"/>
  <c r="E240" i="154" s="1"/>
  <c r="E241" i="154" s="1"/>
  <c r="E242" i="154" s="1"/>
  <c r="E243" i="154" s="1"/>
  <c r="E244" i="154" s="1"/>
  <c r="E245" i="154" s="1"/>
  <c r="E246" i="154" s="1"/>
  <c r="E247" i="154" s="1"/>
  <c r="E248" i="154" s="1"/>
  <c r="AH178" i="154"/>
  <c r="AI178" i="154" s="1"/>
  <c r="AA178" i="154"/>
  <c r="AB178" i="154" s="1"/>
  <c r="V178" i="154"/>
  <c r="W178" i="154" s="1"/>
  <c r="P178" i="154"/>
  <c r="O178" i="154"/>
  <c r="N178" i="154"/>
  <c r="M178" i="154"/>
  <c r="L178" i="154"/>
  <c r="AH177" i="154"/>
  <c r="AI177" i="154" s="1"/>
  <c r="AA177" i="154"/>
  <c r="AB177" i="154" s="1"/>
  <c r="V177" i="154"/>
  <c r="P177" i="154"/>
  <c r="O177" i="154"/>
  <c r="N177" i="154"/>
  <c r="M177" i="154"/>
  <c r="L177" i="154"/>
  <c r="E177" i="154"/>
  <c r="AH176" i="154"/>
  <c r="AI176" i="154" s="1"/>
  <c r="AA176" i="154"/>
  <c r="AB176" i="154" s="1"/>
  <c r="V176" i="154"/>
  <c r="P176" i="154"/>
  <c r="O176" i="154"/>
  <c r="N176" i="154"/>
  <c r="M176" i="154"/>
  <c r="L176" i="154"/>
  <c r="AH175" i="154"/>
  <c r="AI175" i="154" s="1"/>
  <c r="AA175" i="154"/>
  <c r="AB175" i="154" s="1"/>
  <c r="V175" i="154"/>
  <c r="W175" i="154" s="1"/>
  <c r="P175" i="154"/>
  <c r="O175" i="154"/>
  <c r="N175" i="154"/>
  <c r="M175" i="154"/>
  <c r="L175" i="154"/>
  <c r="AH174" i="154"/>
  <c r="AI174" i="154" s="1"/>
  <c r="AA174" i="154"/>
  <c r="AB174" i="154" s="1"/>
  <c r="V174" i="154"/>
  <c r="W174" i="154" s="1"/>
  <c r="P174" i="154"/>
  <c r="O174" i="154"/>
  <c r="N174" i="154"/>
  <c r="M174" i="154"/>
  <c r="L174" i="154"/>
  <c r="E174" i="154"/>
  <c r="E175" i="154" s="1"/>
  <c r="AH173" i="154"/>
  <c r="AI173" i="154" s="1"/>
  <c r="AA173" i="154"/>
  <c r="AB173" i="154" s="1"/>
  <c r="V173" i="154"/>
  <c r="W173" i="154" s="1"/>
  <c r="P173" i="154"/>
  <c r="O173" i="154"/>
  <c r="N173" i="154"/>
  <c r="M173" i="154"/>
  <c r="L173" i="154"/>
  <c r="AH172" i="154"/>
  <c r="AI172" i="154" s="1"/>
  <c r="AA172" i="154"/>
  <c r="AB172" i="154" s="1"/>
  <c r="V172" i="154"/>
  <c r="W172" i="154" s="1"/>
  <c r="P172" i="154"/>
  <c r="O172" i="154"/>
  <c r="N172" i="154"/>
  <c r="M172" i="154"/>
  <c r="L172" i="154"/>
  <c r="AH171" i="154"/>
  <c r="AI171" i="154" s="1"/>
  <c r="AA171" i="154"/>
  <c r="AB171" i="154" s="1"/>
  <c r="V171" i="154"/>
  <c r="P171" i="154"/>
  <c r="O171" i="154"/>
  <c r="N171" i="154"/>
  <c r="M171" i="154"/>
  <c r="L171" i="154"/>
  <c r="AH170" i="154"/>
  <c r="AI170" i="154" s="1"/>
  <c r="AA170" i="154"/>
  <c r="AB170" i="154" s="1"/>
  <c r="V170" i="154"/>
  <c r="W170" i="154" s="1"/>
  <c r="P170" i="154"/>
  <c r="O170" i="154"/>
  <c r="N170" i="154"/>
  <c r="M170" i="154"/>
  <c r="L170" i="154"/>
  <c r="E170" i="154"/>
  <c r="E171" i="154" s="1"/>
  <c r="E172" i="154" s="1"/>
  <c r="AH169" i="154"/>
  <c r="AI169" i="154" s="1"/>
  <c r="AA169" i="154"/>
  <c r="AB169" i="154" s="1"/>
  <c r="V169" i="154"/>
  <c r="W169" i="154" s="1"/>
  <c r="P169" i="154"/>
  <c r="O169" i="154"/>
  <c r="N169" i="154"/>
  <c r="M169" i="154"/>
  <c r="L169" i="154"/>
  <c r="AH168" i="154"/>
  <c r="AI168" i="154" s="1"/>
  <c r="AA168" i="154"/>
  <c r="AB168" i="154" s="1"/>
  <c r="V168" i="154"/>
  <c r="W168" i="154" s="1"/>
  <c r="P168" i="154"/>
  <c r="O168" i="154"/>
  <c r="N168" i="154"/>
  <c r="M168" i="154"/>
  <c r="L168" i="154"/>
  <c r="AH167" i="154"/>
  <c r="AI167" i="154" s="1"/>
  <c r="AA167" i="154"/>
  <c r="AB167" i="154" s="1"/>
  <c r="V167" i="154"/>
  <c r="P167" i="154"/>
  <c r="O167" i="154"/>
  <c r="N167" i="154"/>
  <c r="M167" i="154"/>
  <c r="L167" i="154"/>
  <c r="AH166" i="154"/>
  <c r="AI166" i="154" s="1"/>
  <c r="AA166" i="154"/>
  <c r="AB166" i="154" s="1"/>
  <c r="V166" i="154"/>
  <c r="W166" i="154" s="1"/>
  <c r="P166" i="154"/>
  <c r="O166" i="154"/>
  <c r="N166" i="154"/>
  <c r="M166" i="154"/>
  <c r="L166" i="154"/>
  <c r="AH165" i="154"/>
  <c r="AI165" i="154" s="1"/>
  <c r="AA165" i="154"/>
  <c r="AB165" i="154" s="1"/>
  <c r="V165" i="154"/>
  <c r="W165" i="154" s="1"/>
  <c r="P165" i="154"/>
  <c r="O165" i="154"/>
  <c r="N165" i="154"/>
  <c r="M165" i="154"/>
  <c r="L165" i="154"/>
  <c r="AH164" i="154"/>
  <c r="AI164" i="154" s="1"/>
  <c r="AA164" i="154"/>
  <c r="AB164" i="154" s="1"/>
  <c r="V164" i="154"/>
  <c r="P164" i="154"/>
  <c r="O164" i="154"/>
  <c r="N164" i="154"/>
  <c r="M164" i="154"/>
  <c r="L164" i="154"/>
  <c r="AH163" i="154"/>
  <c r="AI163" i="154" s="1"/>
  <c r="AA163" i="154"/>
  <c r="AB163" i="154" s="1"/>
  <c r="V163" i="154"/>
  <c r="W163" i="154" s="1"/>
  <c r="P163" i="154"/>
  <c r="O163" i="154"/>
  <c r="N163" i="154"/>
  <c r="M163" i="154"/>
  <c r="L163" i="154"/>
  <c r="AH162" i="154"/>
  <c r="AI162" i="154" s="1"/>
  <c r="AA162" i="154"/>
  <c r="AB162" i="154" s="1"/>
  <c r="V162" i="154"/>
  <c r="P162" i="154"/>
  <c r="O162" i="154"/>
  <c r="N162" i="154"/>
  <c r="M162" i="154"/>
  <c r="L162" i="154"/>
  <c r="AH161" i="154"/>
  <c r="AI161" i="154" s="1"/>
  <c r="AA161" i="154"/>
  <c r="AB161" i="154" s="1"/>
  <c r="V161" i="154"/>
  <c r="W161" i="154" s="1"/>
  <c r="P161" i="154"/>
  <c r="O161" i="154"/>
  <c r="N161" i="154"/>
  <c r="M161" i="154"/>
  <c r="L161" i="154"/>
  <c r="AH160" i="154"/>
  <c r="AI160" i="154" s="1"/>
  <c r="AA160" i="154"/>
  <c r="AB160" i="154" s="1"/>
  <c r="V160" i="154"/>
  <c r="W160" i="154" s="1"/>
  <c r="P160" i="154"/>
  <c r="O160" i="154"/>
  <c r="N160" i="154"/>
  <c r="M160" i="154"/>
  <c r="L160" i="154"/>
  <c r="AH159" i="154"/>
  <c r="AI159" i="154" s="1"/>
  <c r="AA159" i="154"/>
  <c r="AB159" i="154" s="1"/>
  <c r="V159" i="154"/>
  <c r="W159" i="154" s="1"/>
  <c r="P159" i="154"/>
  <c r="O159" i="154"/>
  <c r="N159" i="154"/>
  <c r="M159" i="154"/>
  <c r="L159" i="154"/>
  <c r="AH158" i="154"/>
  <c r="AI158" i="154" s="1"/>
  <c r="AA158" i="154"/>
  <c r="AB158" i="154" s="1"/>
  <c r="V158" i="154"/>
  <c r="W158" i="154" s="1"/>
  <c r="P158" i="154"/>
  <c r="O158" i="154"/>
  <c r="N158" i="154"/>
  <c r="M158" i="154"/>
  <c r="L158" i="154"/>
  <c r="AH157" i="154"/>
  <c r="AI157" i="154" s="1"/>
  <c r="AA157" i="154"/>
  <c r="AB157" i="154" s="1"/>
  <c r="V157" i="154"/>
  <c r="W157" i="154" s="1"/>
  <c r="P157" i="154"/>
  <c r="O157" i="154"/>
  <c r="N157" i="154"/>
  <c r="M157" i="154"/>
  <c r="L157" i="154"/>
  <c r="AH156" i="154"/>
  <c r="AI156" i="154" s="1"/>
  <c r="AA156" i="154"/>
  <c r="AB156" i="154" s="1"/>
  <c r="V156" i="154"/>
  <c r="P156" i="154"/>
  <c r="O156" i="154"/>
  <c r="N156" i="154"/>
  <c r="M156" i="154"/>
  <c r="L156" i="154"/>
  <c r="AH155" i="154"/>
  <c r="AI155" i="154" s="1"/>
  <c r="AA155" i="154"/>
  <c r="AB155" i="154" s="1"/>
  <c r="V155" i="154"/>
  <c r="W155" i="154" s="1"/>
  <c r="P155" i="154"/>
  <c r="O155" i="154"/>
  <c r="N155" i="154"/>
  <c r="M155" i="154"/>
  <c r="L155" i="154"/>
  <c r="AH154" i="154"/>
  <c r="AI154" i="154" s="1"/>
  <c r="AA154" i="154"/>
  <c r="AB154" i="154" s="1"/>
  <c r="V154" i="154"/>
  <c r="P154" i="154"/>
  <c r="O154" i="154"/>
  <c r="N154" i="154"/>
  <c r="M154" i="154"/>
  <c r="L154" i="154"/>
  <c r="AH153" i="154"/>
  <c r="AI153" i="154" s="1"/>
  <c r="AA153" i="154"/>
  <c r="AB153" i="154" s="1"/>
  <c r="V153" i="154"/>
  <c r="W153" i="154" s="1"/>
  <c r="P153" i="154"/>
  <c r="O153" i="154"/>
  <c r="N153" i="154"/>
  <c r="M153" i="154"/>
  <c r="L153" i="154"/>
  <c r="AH152" i="154"/>
  <c r="AI152" i="154" s="1"/>
  <c r="AA152" i="154"/>
  <c r="AB152" i="154" s="1"/>
  <c r="V152" i="154"/>
  <c r="W152" i="154" s="1"/>
  <c r="P152" i="154"/>
  <c r="O152" i="154"/>
  <c r="N152" i="154"/>
  <c r="M152" i="154"/>
  <c r="L152" i="154"/>
  <c r="AH151" i="154"/>
  <c r="AI151" i="154" s="1"/>
  <c r="AA151" i="154"/>
  <c r="AB151" i="154" s="1"/>
  <c r="V151" i="154"/>
  <c r="P151" i="154"/>
  <c r="O151" i="154"/>
  <c r="N151" i="154"/>
  <c r="M151" i="154"/>
  <c r="L151" i="154"/>
  <c r="AH150" i="154"/>
  <c r="AI150" i="154" s="1"/>
  <c r="AA150" i="154"/>
  <c r="AB150" i="154" s="1"/>
  <c r="V150" i="154"/>
  <c r="P150" i="154"/>
  <c r="O150" i="154"/>
  <c r="N150" i="154"/>
  <c r="M150" i="154"/>
  <c r="L150" i="154"/>
  <c r="AH149" i="154"/>
  <c r="AI149" i="154" s="1"/>
  <c r="AA149" i="154"/>
  <c r="AB149" i="154" s="1"/>
  <c r="V149" i="154"/>
  <c r="W149" i="154" s="1"/>
  <c r="P149" i="154"/>
  <c r="O149" i="154"/>
  <c r="N149" i="154"/>
  <c r="M149" i="154"/>
  <c r="L149" i="154"/>
  <c r="AH148" i="154"/>
  <c r="AI148" i="154" s="1"/>
  <c r="AA148" i="154"/>
  <c r="AB148" i="154" s="1"/>
  <c r="V148" i="154"/>
  <c r="P148" i="154"/>
  <c r="O148" i="154"/>
  <c r="N148" i="154"/>
  <c r="M148" i="154"/>
  <c r="L148" i="154"/>
  <c r="AH147" i="154"/>
  <c r="AI147" i="154" s="1"/>
  <c r="AA147" i="154"/>
  <c r="AB147" i="154" s="1"/>
  <c r="V147" i="154"/>
  <c r="W147" i="154" s="1"/>
  <c r="P147" i="154"/>
  <c r="O147" i="154"/>
  <c r="N147" i="154"/>
  <c r="M147" i="154"/>
  <c r="L147" i="154"/>
  <c r="AH146" i="154"/>
  <c r="AI146" i="154" s="1"/>
  <c r="AA146" i="154"/>
  <c r="AB146" i="154" s="1"/>
  <c r="V146" i="154"/>
  <c r="W146" i="154" s="1"/>
  <c r="P146" i="154"/>
  <c r="O146" i="154"/>
  <c r="N146" i="154"/>
  <c r="M146" i="154"/>
  <c r="L146" i="154"/>
  <c r="AH145" i="154"/>
  <c r="AI145" i="154" s="1"/>
  <c r="AA145" i="154"/>
  <c r="AB145" i="154" s="1"/>
  <c r="V145" i="154"/>
  <c r="W145" i="154" s="1"/>
  <c r="P145" i="154"/>
  <c r="O145" i="154"/>
  <c r="N145" i="154"/>
  <c r="M145" i="154"/>
  <c r="L145" i="154"/>
  <c r="AH144" i="154"/>
  <c r="AI144" i="154" s="1"/>
  <c r="AA144" i="154"/>
  <c r="AB144" i="154" s="1"/>
  <c r="V144" i="154"/>
  <c r="W144" i="154" s="1"/>
  <c r="P144" i="154"/>
  <c r="O144" i="154"/>
  <c r="N144" i="154"/>
  <c r="M144" i="154"/>
  <c r="L144" i="154"/>
  <c r="AH143" i="154"/>
  <c r="AI143" i="154" s="1"/>
  <c r="AA143" i="154"/>
  <c r="AB143" i="154" s="1"/>
  <c r="V143" i="154"/>
  <c r="W143" i="154" s="1"/>
  <c r="P143" i="154"/>
  <c r="O143" i="154"/>
  <c r="N143" i="154"/>
  <c r="M143" i="154"/>
  <c r="L143" i="154"/>
  <c r="AH142" i="154"/>
  <c r="AI142" i="154" s="1"/>
  <c r="AA142" i="154"/>
  <c r="AB142" i="154" s="1"/>
  <c r="V142" i="154"/>
  <c r="W142" i="154" s="1"/>
  <c r="P142" i="154"/>
  <c r="O142" i="154"/>
  <c r="N142" i="154"/>
  <c r="M142" i="154"/>
  <c r="L142" i="154"/>
  <c r="AH141" i="154"/>
  <c r="AI141" i="154" s="1"/>
  <c r="AA141" i="154"/>
  <c r="AB141" i="154" s="1"/>
  <c r="V141" i="154"/>
  <c r="W141" i="154" s="1"/>
  <c r="P141" i="154"/>
  <c r="O141" i="154"/>
  <c r="N141" i="154"/>
  <c r="M141" i="154"/>
  <c r="L141" i="154"/>
  <c r="AH140" i="154"/>
  <c r="AI140" i="154" s="1"/>
  <c r="AA140" i="154"/>
  <c r="AB140" i="154" s="1"/>
  <c r="V140" i="154"/>
  <c r="W140" i="154" s="1"/>
  <c r="P140" i="154"/>
  <c r="O140" i="154"/>
  <c r="N140" i="154"/>
  <c r="M140" i="154"/>
  <c r="L140" i="154"/>
  <c r="AH139" i="154"/>
  <c r="AI139" i="154" s="1"/>
  <c r="AA139" i="154"/>
  <c r="AB139" i="154" s="1"/>
  <c r="V139" i="154"/>
  <c r="P139" i="154"/>
  <c r="O139" i="154"/>
  <c r="N139" i="154"/>
  <c r="M139" i="154"/>
  <c r="L139" i="154"/>
  <c r="AH138" i="154"/>
  <c r="AI138" i="154" s="1"/>
  <c r="AA138" i="154"/>
  <c r="AB138" i="154" s="1"/>
  <c r="V138" i="154"/>
  <c r="W138" i="154" s="1"/>
  <c r="P138" i="154"/>
  <c r="O138" i="154"/>
  <c r="N138" i="154"/>
  <c r="M138" i="154"/>
  <c r="L138" i="154"/>
  <c r="AH137" i="154"/>
  <c r="AI137" i="154" s="1"/>
  <c r="AA137" i="154"/>
  <c r="AB137" i="154" s="1"/>
  <c r="V137" i="154"/>
  <c r="W137" i="154" s="1"/>
  <c r="P137" i="154"/>
  <c r="O137" i="154"/>
  <c r="N137" i="154"/>
  <c r="M137" i="154"/>
  <c r="L137" i="154"/>
  <c r="AH136" i="154"/>
  <c r="AI136" i="154" s="1"/>
  <c r="AA136" i="154"/>
  <c r="AB136" i="154" s="1"/>
  <c r="V136" i="154"/>
  <c r="P136" i="154"/>
  <c r="O136" i="154"/>
  <c r="N136" i="154"/>
  <c r="M136" i="154"/>
  <c r="L136" i="154"/>
  <c r="AH135" i="154"/>
  <c r="AI135" i="154" s="1"/>
  <c r="AA135" i="154"/>
  <c r="AB135" i="154" s="1"/>
  <c r="V135" i="154"/>
  <c r="W135" i="154" s="1"/>
  <c r="P135" i="154"/>
  <c r="O135" i="154"/>
  <c r="N135" i="154"/>
  <c r="M135" i="154"/>
  <c r="L135" i="154"/>
  <c r="AH134" i="154"/>
  <c r="AI134" i="154" s="1"/>
  <c r="AA134" i="154"/>
  <c r="AB134" i="154" s="1"/>
  <c r="V134" i="154"/>
  <c r="P134" i="154"/>
  <c r="O134" i="154"/>
  <c r="N134" i="154"/>
  <c r="M134" i="154"/>
  <c r="L134" i="154"/>
  <c r="AH133" i="154"/>
  <c r="AI133" i="154" s="1"/>
  <c r="AA133" i="154"/>
  <c r="AB133" i="154" s="1"/>
  <c r="V133" i="154"/>
  <c r="W133" i="154" s="1"/>
  <c r="P133" i="154"/>
  <c r="O133" i="154"/>
  <c r="N133" i="154"/>
  <c r="M133" i="154"/>
  <c r="L133" i="154"/>
  <c r="AH132" i="154"/>
  <c r="AI132" i="154" s="1"/>
  <c r="AA132" i="154"/>
  <c r="AB132" i="154" s="1"/>
  <c r="V132" i="154"/>
  <c r="W132" i="154" s="1"/>
  <c r="P132" i="154"/>
  <c r="O132" i="154"/>
  <c r="N132" i="154"/>
  <c r="M132" i="154"/>
  <c r="L132" i="154"/>
  <c r="AH131" i="154"/>
  <c r="AI131" i="154" s="1"/>
  <c r="AA131" i="154"/>
  <c r="AB131" i="154" s="1"/>
  <c r="V131" i="154"/>
  <c r="W131" i="154" s="1"/>
  <c r="P131" i="154"/>
  <c r="O131" i="154"/>
  <c r="N131" i="154"/>
  <c r="M131" i="154"/>
  <c r="L131" i="154"/>
  <c r="AH130" i="154"/>
  <c r="AI130" i="154" s="1"/>
  <c r="AA130" i="154"/>
  <c r="AB130" i="154" s="1"/>
  <c r="V130" i="154"/>
  <c r="P130" i="154"/>
  <c r="O130" i="154"/>
  <c r="N130" i="154"/>
  <c r="M130" i="154"/>
  <c r="L130" i="154"/>
  <c r="AH129" i="154"/>
  <c r="AI129" i="154" s="1"/>
  <c r="AA129" i="154"/>
  <c r="AB129" i="154" s="1"/>
  <c r="V129" i="154"/>
  <c r="P129" i="154"/>
  <c r="O129" i="154"/>
  <c r="N129" i="154"/>
  <c r="M129" i="154"/>
  <c r="L129" i="154"/>
  <c r="AH128" i="154"/>
  <c r="AI128" i="154" s="1"/>
  <c r="AA128" i="154"/>
  <c r="AB128" i="154" s="1"/>
  <c r="V128" i="154"/>
  <c r="P128" i="154"/>
  <c r="O128" i="154"/>
  <c r="N128" i="154"/>
  <c r="M128" i="154"/>
  <c r="L128" i="154"/>
  <c r="AH127" i="154"/>
  <c r="AI127" i="154" s="1"/>
  <c r="AA127" i="154"/>
  <c r="AB127" i="154" s="1"/>
  <c r="V127" i="154"/>
  <c r="W127" i="154" s="1"/>
  <c r="P127" i="154"/>
  <c r="O127" i="154"/>
  <c r="N127" i="154"/>
  <c r="M127" i="154"/>
  <c r="L127" i="154"/>
  <c r="AH126" i="154"/>
  <c r="AI126" i="154" s="1"/>
  <c r="AA126" i="154"/>
  <c r="AB126" i="154" s="1"/>
  <c r="V126" i="154"/>
  <c r="P126" i="154"/>
  <c r="O126" i="154"/>
  <c r="N126" i="154"/>
  <c r="M126" i="154"/>
  <c r="L126" i="154"/>
  <c r="AH125" i="154"/>
  <c r="AI125" i="154" s="1"/>
  <c r="AA125" i="154"/>
  <c r="AB125" i="154" s="1"/>
  <c r="V125" i="154"/>
  <c r="P125" i="154"/>
  <c r="O125" i="154"/>
  <c r="N125" i="154"/>
  <c r="M125" i="154"/>
  <c r="L125" i="154"/>
  <c r="AH124" i="154"/>
  <c r="AI124" i="154" s="1"/>
  <c r="AA124" i="154"/>
  <c r="AB124" i="154" s="1"/>
  <c r="V124" i="154"/>
  <c r="W124" i="154" s="1"/>
  <c r="P124" i="154"/>
  <c r="O124" i="154"/>
  <c r="N124" i="154"/>
  <c r="M124" i="154"/>
  <c r="L124" i="154"/>
  <c r="AH123" i="154"/>
  <c r="AI123" i="154" s="1"/>
  <c r="AA123" i="154"/>
  <c r="AB123" i="154" s="1"/>
  <c r="V123" i="154"/>
  <c r="W123" i="154" s="1"/>
  <c r="P123" i="154"/>
  <c r="O123" i="154"/>
  <c r="N123" i="154"/>
  <c r="M123" i="154"/>
  <c r="L123" i="154"/>
  <c r="AH122" i="154"/>
  <c r="AI122" i="154" s="1"/>
  <c r="AA122" i="154"/>
  <c r="AB122" i="154" s="1"/>
  <c r="V122" i="154"/>
  <c r="P122" i="154"/>
  <c r="O122" i="154"/>
  <c r="N122" i="154"/>
  <c r="M122" i="154"/>
  <c r="L122" i="154"/>
  <c r="AH121" i="154"/>
  <c r="AI121" i="154" s="1"/>
  <c r="AA121" i="154"/>
  <c r="AB121" i="154" s="1"/>
  <c r="V121" i="154"/>
  <c r="P121" i="154"/>
  <c r="O121" i="154"/>
  <c r="N121" i="154"/>
  <c r="M121" i="154"/>
  <c r="L121" i="154"/>
  <c r="AH120" i="154"/>
  <c r="AI120" i="154" s="1"/>
  <c r="AA120" i="154"/>
  <c r="AB120" i="154" s="1"/>
  <c r="V120" i="154"/>
  <c r="P120" i="154"/>
  <c r="O120" i="154"/>
  <c r="N120" i="154"/>
  <c r="M120" i="154"/>
  <c r="L120" i="154"/>
  <c r="AH119" i="154"/>
  <c r="AI119" i="154" s="1"/>
  <c r="AA119" i="154"/>
  <c r="AB119" i="154" s="1"/>
  <c r="V119" i="154"/>
  <c r="W119" i="154" s="1"/>
  <c r="P119" i="154"/>
  <c r="O119" i="154"/>
  <c r="N119" i="154"/>
  <c r="M119" i="154"/>
  <c r="L119" i="154"/>
  <c r="AH118" i="154"/>
  <c r="AI118" i="154" s="1"/>
  <c r="AA118" i="154"/>
  <c r="AB118" i="154" s="1"/>
  <c r="V118" i="154"/>
  <c r="W118" i="154" s="1"/>
  <c r="P118" i="154"/>
  <c r="O118" i="154"/>
  <c r="N118" i="154"/>
  <c r="M118" i="154"/>
  <c r="L118" i="154"/>
  <c r="E118" i="154"/>
  <c r="E119" i="154" s="1"/>
  <c r="E120" i="154" s="1"/>
  <c r="E121" i="154" s="1"/>
  <c r="E122" i="154" s="1"/>
  <c r="E123" i="154" s="1"/>
  <c r="E124" i="154" s="1"/>
  <c r="E125" i="154" s="1"/>
  <c r="E126" i="154" s="1"/>
  <c r="E127" i="154" s="1"/>
  <c r="E128" i="154" s="1"/>
  <c r="E129" i="154" s="1"/>
  <c r="E130" i="154" s="1"/>
  <c r="E131" i="154" s="1"/>
  <c r="E132" i="154" s="1"/>
  <c r="E133" i="154" s="1"/>
  <c r="E134" i="154" s="1"/>
  <c r="E135" i="154" s="1"/>
  <c r="E136" i="154" s="1"/>
  <c r="E137" i="154" s="1"/>
  <c r="E138" i="154" s="1"/>
  <c r="E139" i="154" s="1"/>
  <c r="E140" i="154" s="1"/>
  <c r="E141" i="154" s="1"/>
  <c r="E142" i="154" s="1"/>
  <c r="E143" i="154" s="1"/>
  <c r="E144" i="154" s="1"/>
  <c r="E145" i="154" s="1"/>
  <c r="E146" i="154" s="1"/>
  <c r="E147" i="154" s="1"/>
  <c r="E148" i="154" s="1"/>
  <c r="E149" i="154" s="1"/>
  <c r="E150" i="154" s="1"/>
  <c r="E151" i="154" s="1"/>
  <c r="E152" i="154" s="1"/>
  <c r="E153" i="154" s="1"/>
  <c r="E154" i="154" s="1"/>
  <c r="E155" i="154" s="1"/>
  <c r="E156" i="154" s="1"/>
  <c r="E157" i="154" s="1"/>
  <c r="E158" i="154" s="1"/>
  <c r="E159" i="154" s="1"/>
  <c r="E160" i="154" s="1"/>
  <c r="E161" i="154" s="1"/>
  <c r="E162" i="154" s="1"/>
  <c r="E163" i="154" s="1"/>
  <c r="E164" i="154" s="1"/>
  <c r="E165" i="154" s="1"/>
  <c r="E166" i="154" s="1"/>
  <c r="E167" i="154" s="1"/>
  <c r="E168" i="154" s="1"/>
  <c r="AH117" i="154"/>
  <c r="AI117" i="154" s="1"/>
  <c r="AA117" i="154"/>
  <c r="AB117" i="154" s="1"/>
  <c r="V117" i="154"/>
  <c r="P117" i="154"/>
  <c r="O117" i="154"/>
  <c r="N117" i="154"/>
  <c r="M117" i="154"/>
  <c r="L117" i="154"/>
  <c r="AH116" i="154"/>
  <c r="AI116" i="154" s="1"/>
  <c r="AA116" i="154"/>
  <c r="AB116" i="154" s="1"/>
  <c r="V116" i="154"/>
  <c r="W116" i="154" s="1"/>
  <c r="P116" i="154"/>
  <c r="O116" i="154"/>
  <c r="N116" i="154"/>
  <c r="M116" i="154"/>
  <c r="L116" i="154"/>
  <c r="AH115" i="154"/>
  <c r="AI115" i="154" s="1"/>
  <c r="AA115" i="154"/>
  <c r="AB115" i="154" s="1"/>
  <c r="V115" i="154"/>
  <c r="W115" i="154" s="1"/>
  <c r="P115" i="154"/>
  <c r="O115" i="154"/>
  <c r="N115" i="154"/>
  <c r="M115" i="154"/>
  <c r="L115" i="154"/>
  <c r="AH114" i="154"/>
  <c r="AI114" i="154" s="1"/>
  <c r="AA114" i="154"/>
  <c r="AB114" i="154" s="1"/>
  <c r="V114" i="154"/>
  <c r="P114" i="154"/>
  <c r="O114" i="154"/>
  <c r="N114" i="154"/>
  <c r="M114" i="154"/>
  <c r="L114" i="154"/>
  <c r="AH113" i="154"/>
  <c r="AI113" i="154" s="1"/>
  <c r="AA113" i="154"/>
  <c r="AB113" i="154" s="1"/>
  <c r="V113" i="154"/>
  <c r="W113" i="154" s="1"/>
  <c r="P113" i="154"/>
  <c r="O113" i="154"/>
  <c r="N113" i="154"/>
  <c r="M113" i="154"/>
  <c r="L113" i="154"/>
  <c r="AH112" i="154"/>
  <c r="AI112" i="154" s="1"/>
  <c r="AA112" i="154"/>
  <c r="AB112" i="154" s="1"/>
  <c r="V112" i="154"/>
  <c r="W112" i="154" s="1"/>
  <c r="P112" i="154"/>
  <c r="O112" i="154"/>
  <c r="N112" i="154"/>
  <c r="M112" i="154"/>
  <c r="L112" i="154"/>
  <c r="AH111" i="154"/>
  <c r="AI111" i="154" s="1"/>
  <c r="AA111" i="154"/>
  <c r="AB111" i="154" s="1"/>
  <c r="V111" i="154"/>
  <c r="P111" i="154"/>
  <c r="O111" i="154"/>
  <c r="N111" i="154"/>
  <c r="M111" i="154"/>
  <c r="L111" i="154"/>
  <c r="AH110" i="154"/>
  <c r="AI110" i="154" s="1"/>
  <c r="AA110" i="154"/>
  <c r="AB110" i="154" s="1"/>
  <c r="V110" i="154"/>
  <c r="W110" i="154" s="1"/>
  <c r="P110" i="154"/>
  <c r="O110" i="154"/>
  <c r="N110" i="154"/>
  <c r="M110" i="154"/>
  <c r="L110" i="154"/>
  <c r="AH109" i="154"/>
  <c r="AI109" i="154" s="1"/>
  <c r="AA109" i="154"/>
  <c r="AB109" i="154" s="1"/>
  <c r="V109" i="154"/>
  <c r="P109" i="154"/>
  <c r="O109" i="154"/>
  <c r="N109" i="154"/>
  <c r="M109" i="154"/>
  <c r="L109" i="154"/>
  <c r="AH108" i="154"/>
  <c r="AI108" i="154" s="1"/>
  <c r="AA108" i="154"/>
  <c r="AB108" i="154" s="1"/>
  <c r="V108" i="154"/>
  <c r="W108" i="154" s="1"/>
  <c r="P108" i="154"/>
  <c r="O108" i="154"/>
  <c r="N108" i="154"/>
  <c r="M108" i="154"/>
  <c r="L108" i="154"/>
  <c r="AH107" i="154"/>
  <c r="AI107" i="154" s="1"/>
  <c r="AA107" i="154"/>
  <c r="AB107" i="154" s="1"/>
  <c r="V107" i="154"/>
  <c r="W107" i="154" s="1"/>
  <c r="P107" i="154"/>
  <c r="O107" i="154"/>
  <c r="N107" i="154"/>
  <c r="M107" i="154"/>
  <c r="L107" i="154"/>
  <c r="AH106" i="154"/>
  <c r="AI106" i="154" s="1"/>
  <c r="AA106" i="154"/>
  <c r="AB106" i="154" s="1"/>
  <c r="V106" i="154"/>
  <c r="P106" i="154"/>
  <c r="O106" i="154"/>
  <c r="N106" i="154"/>
  <c r="M106" i="154"/>
  <c r="L106" i="154"/>
  <c r="AH105" i="154"/>
  <c r="AI105" i="154" s="1"/>
  <c r="AA105" i="154"/>
  <c r="AB105" i="154" s="1"/>
  <c r="V105" i="154"/>
  <c r="W105" i="154" s="1"/>
  <c r="P105" i="154"/>
  <c r="O105" i="154"/>
  <c r="N105" i="154"/>
  <c r="M105" i="154"/>
  <c r="L105" i="154"/>
  <c r="AH104" i="154"/>
  <c r="AI104" i="154" s="1"/>
  <c r="AA104" i="154"/>
  <c r="AB104" i="154" s="1"/>
  <c r="V104" i="154"/>
  <c r="W104" i="154" s="1"/>
  <c r="P104" i="154"/>
  <c r="O104" i="154"/>
  <c r="N104" i="154"/>
  <c r="M104" i="154"/>
  <c r="L104" i="154"/>
  <c r="AH103" i="154"/>
  <c r="AI103" i="154" s="1"/>
  <c r="AA103" i="154"/>
  <c r="AB103" i="154" s="1"/>
  <c r="V103" i="154"/>
  <c r="P103" i="154"/>
  <c r="O103" i="154"/>
  <c r="N103" i="154"/>
  <c r="M103" i="154"/>
  <c r="L103" i="154"/>
  <c r="AH102" i="154"/>
  <c r="AI102" i="154" s="1"/>
  <c r="AA102" i="154"/>
  <c r="AB102" i="154" s="1"/>
  <c r="V102" i="154"/>
  <c r="P102" i="154"/>
  <c r="O102" i="154"/>
  <c r="N102" i="154"/>
  <c r="M102" i="154"/>
  <c r="L102" i="154"/>
  <c r="AH101" i="154"/>
  <c r="AI101" i="154" s="1"/>
  <c r="AA101" i="154"/>
  <c r="AB101" i="154" s="1"/>
  <c r="V101" i="154"/>
  <c r="P101" i="154"/>
  <c r="O101" i="154"/>
  <c r="N101" i="154"/>
  <c r="M101" i="154"/>
  <c r="L101" i="154"/>
  <c r="AH100" i="154"/>
  <c r="AI100" i="154" s="1"/>
  <c r="AA100" i="154"/>
  <c r="AB100" i="154" s="1"/>
  <c r="V100" i="154"/>
  <c r="W100" i="154" s="1"/>
  <c r="P100" i="154"/>
  <c r="O100" i="154"/>
  <c r="N100" i="154"/>
  <c r="M100" i="154"/>
  <c r="L100" i="154"/>
  <c r="AH99" i="154"/>
  <c r="AI99" i="154" s="1"/>
  <c r="AA99" i="154"/>
  <c r="AB99" i="154" s="1"/>
  <c r="V99" i="154"/>
  <c r="P99" i="154"/>
  <c r="O99" i="154"/>
  <c r="N99" i="154"/>
  <c r="M99" i="154"/>
  <c r="L99" i="154"/>
  <c r="AH98" i="154"/>
  <c r="AI98" i="154" s="1"/>
  <c r="AA98" i="154"/>
  <c r="AB98" i="154" s="1"/>
  <c r="V98" i="154"/>
  <c r="P98" i="154"/>
  <c r="O98" i="154"/>
  <c r="N98" i="154"/>
  <c r="M98" i="154"/>
  <c r="L98" i="154"/>
  <c r="AH97" i="154"/>
  <c r="AI97" i="154" s="1"/>
  <c r="AA97" i="154"/>
  <c r="AB97" i="154" s="1"/>
  <c r="V97" i="154"/>
  <c r="W97" i="154" s="1"/>
  <c r="P97" i="154"/>
  <c r="O97" i="154"/>
  <c r="N97" i="154"/>
  <c r="M97" i="154"/>
  <c r="L97" i="154"/>
  <c r="AH96" i="154"/>
  <c r="AI96" i="154" s="1"/>
  <c r="AA96" i="154"/>
  <c r="AB96" i="154" s="1"/>
  <c r="V96" i="154"/>
  <c r="W96" i="154" s="1"/>
  <c r="P96" i="154"/>
  <c r="O96" i="154"/>
  <c r="N96" i="154"/>
  <c r="M96" i="154"/>
  <c r="L96" i="154"/>
  <c r="AH95" i="154"/>
  <c r="AI95" i="154" s="1"/>
  <c r="AA95" i="154"/>
  <c r="AB95" i="154" s="1"/>
  <c r="V95" i="154"/>
  <c r="P95" i="154"/>
  <c r="O95" i="154"/>
  <c r="N95" i="154"/>
  <c r="M95" i="154"/>
  <c r="L95" i="154"/>
  <c r="AH94" i="154"/>
  <c r="AI94" i="154" s="1"/>
  <c r="AA94" i="154"/>
  <c r="AB94" i="154" s="1"/>
  <c r="V94" i="154"/>
  <c r="W94" i="154" s="1"/>
  <c r="P94" i="154"/>
  <c r="O94" i="154"/>
  <c r="N94" i="154"/>
  <c r="M94" i="154"/>
  <c r="L94" i="154"/>
  <c r="AH93" i="154"/>
  <c r="AI93" i="154" s="1"/>
  <c r="AA93" i="154"/>
  <c r="AB93" i="154" s="1"/>
  <c r="V93" i="154"/>
  <c r="W93" i="154" s="1"/>
  <c r="P93" i="154"/>
  <c r="O93" i="154"/>
  <c r="N93" i="154"/>
  <c r="M93" i="154"/>
  <c r="L93" i="154"/>
  <c r="AH92" i="154"/>
  <c r="AI92" i="154" s="1"/>
  <c r="AA92" i="154"/>
  <c r="AB92" i="154" s="1"/>
  <c r="V92" i="154"/>
  <c r="W92" i="154" s="1"/>
  <c r="P92" i="154"/>
  <c r="O92" i="154"/>
  <c r="N92" i="154"/>
  <c r="M92" i="154"/>
  <c r="L92" i="154"/>
  <c r="AH91" i="154"/>
  <c r="AI91" i="154" s="1"/>
  <c r="AA91" i="154"/>
  <c r="AB91" i="154" s="1"/>
  <c r="V91" i="154"/>
  <c r="W91" i="154" s="1"/>
  <c r="P91" i="154"/>
  <c r="O91" i="154"/>
  <c r="N91" i="154"/>
  <c r="M91" i="154"/>
  <c r="L91" i="154"/>
  <c r="AH90" i="154"/>
  <c r="AI90" i="154" s="1"/>
  <c r="AA90" i="154"/>
  <c r="AB90" i="154" s="1"/>
  <c r="V90" i="154"/>
  <c r="P90" i="154"/>
  <c r="O90" i="154"/>
  <c r="N90" i="154"/>
  <c r="M90" i="154"/>
  <c r="L90" i="154"/>
  <c r="E90" i="154"/>
  <c r="E91" i="154" s="1"/>
  <c r="E92" i="154" s="1"/>
  <c r="E93" i="154" s="1"/>
  <c r="E94" i="154" s="1"/>
  <c r="E95" i="154" s="1"/>
  <c r="E96" i="154" s="1"/>
  <c r="E97" i="154" s="1"/>
  <c r="E98" i="154" s="1"/>
  <c r="E99" i="154" s="1"/>
  <c r="E100" i="154" s="1"/>
  <c r="E101" i="154" s="1"/>
  <c r="E102" i="154" s="1"/>
  <c r="E103" i="154" s="1"/>
  <c r="E104" i="154" s="1"/>
  <c r="E105" i="154" s="1"/>
  <c r="E106" i="154" s="1"/>
  <c r="E107" i="154" s="1"/>
  <c r="E108" i="154" s="1"/>
  <c r="E109" i="154" s="1"/>
  <c r="E110" i="154" s="1"/>
  <c r="E111" i="154" s="1"/>
  <c r="E112" i="154" s="1"/>
  <c r="E113" i="154" s="1"/>
  <c r="E114" i="154" s="1"/>
  <c r="E115" i="154" s="1"/>
  <c r="E116" i="154" s="1"/>
  <c r="AH89" i="154"/>
  <c r="AI89" i="154" s="1"/>
  <c r="AA89" i="154"/>
  <c r="AB89" i="154" s="1"/>
  <c r="V89" i="154"/>
  <c r="W89" i="154" s="1"/>
  <c r="P89" i="154"/>
  <c r="O89" i="154"/>
  <c r="N89" i="154"/>
  <c r="M89" i="154"/>
  <c r="L89" i="154"/>
  <c r="AH88" i="154"/>
  <c r="AI88" i="154" s="1"/>
  <c r="AA88" i="154"/>
  <c r="AB88" i="154" s="1"/>
  <c r="V88" i="154"/>
  <c r="W88" i="154" s="1"/>
  <c r="P88" i="154"/>
  <c r="O88" i="154"/>
  <c r="N88" i="154"/>
  <c r="M88" i="154"/>
  <c r="L88" i="154"/>
  <c r="AH87" i="154"/>
  <c r="AI87" i="154" s="1"/>
  <c r="AA87" i="154"/>
  <c r="AB87" i="154" s="1"/>
  <c r="V87" i="154"/>
  <c r="W87" i="154" s="1"/>
  <c r="P87" i="154"/>
  <c r="O87" i="154"/>
  <c r="N87" i="154"/>
  <c r="M87" i="154"/>
  <c r="L87" i="154"/>
  <c r="AH86" i="154"/>
  <c r="AI86" i="154" s="1"/>
  <c r="AA86" i="154"/>
  <c r="AB86" i="154" s="1"/>
  <c r="V86" i="154"/>
  <c r="W86" i="154" s="1"/>
  <c r="P86" i="154"/>
  <c r="O86" i="154"/>
  <c r="N86" i="154"/>
  <c r="M86" i="154"/>
  <c r="L86" i="154"/>
  <c r="AH85" i="154"/>
  <c r="AI85" i="154" s="1"/>
  <c r="AA85" i="154"/>
  <c r="AB85" i="154" s="1"/>
  <c r="V85" i="154"/>
  <c r="W85" i="154" s="1"/>
  <c r="P85" i="154"/>
  <c r="O85" i="154"/>
  <c r="N85" i="154"/>
  <c r="M85" i="154"/>
  <c r="L85" i="154"/>
  <c r="AH84" i="154"/>
  <c r="AI84" i="154" s="1"/>
  <c r="AA84" i="154"/>
  <c r="AB84" i="154" s="1"/>
  <c r="V84" i="154"/>
  <c r="W84" i="154" s="1"/>
  <c r="P84" i="154"/>
  <c r="O84" i="154"/>
  <c r="N84" i="154"/>
  <c r="M84" i="154"/>
  <c r="L84" i="154"/>
  <c r="AH83" i="154"/>
  <c r="AI83" i="154" s="1"/>
  <c r="AA83" i="154"/>
  <c r="AB83" i="154" s="1"/>
  <c r="V83" i="154"/>
  <c r="P83" i="154"/>
  <c r="O83" i="154"/>
  <c r="N83" i="154"/>
  <c r="M83" i="154"/>
  <c r="L83" i="154"/>
  <c r="AH82" i="154"/>
  <c r="AI82" i="154" s="1"/>
  <c r="AA82" i="154"/>
  <c r="AB82" i="154" s="1"/>
  <c r="V82" i="154"/>
  <c r="W82" i="154" s="1"/>
  <c r="P82" i="154"/>
  <c r="O82" i="154"/>
  <c r="N82" i="154"/>
  <c r="M82" i="154"/>
  <c r="L82" i="154"/>
  <c r="AH81" i="154"/>
  <c r="AI81" i="154" s="1"/>
  <c r="AA81" i="154"/>
  <c r="AB81" i="154" s="1"/>
  <c r="V81" i="154"/>
  <c r="W81" i="154" s="1"/>
  <c r="P81" i="154"/>
  <c r="O81" i="154"/>
  <c r="N81" i="154"/>
  <c r="M81" i="154"/>
  <c r="L81" i="154"/>
  <c r="AH80" i="154"/>
  <c r="AI80" i="154" s="1"/>
  <c r="AA80" i="154"/>
  <c r="AB80" i="154" s="1"/>
  <c r="V80" i="154"/>
  <c r="W80" i="154" s="1"/>
  <c r="P80" i="154"/>
  <c r="O80" i="154"/>
  <c r="N80" i="154"/>
  <c r="M80" i="154"/>
  <c r="L80" i="154"/>
  <c r="AH79" i="154"/>
  <c r="AI79" i="154" s="1"/>
  <c r="AA79" i="154"/>
  <c r="AB79" i="154" s="1"/>
  <c r="V79" i="154"/>
  <c r="P79" i="154"/>
  <c r="O79" i="154"/>
  <c r="N79" i="154"/>
  <c r="M79" i="154"/>
  <c r="L79" i="154"/>
  <c r="AH78" i="154"/>
  <c r="AI78" i="154" s="1"/>
  <c r="AA78" i="154"/>
  <c r="AB78" i="154" s="1"/>
  <c r="V78" i="154"/>
  <c r="W78" i="154" s="1"/>
  <c r="P78" i="154"/>
  <c r="O78" i="154"/>
  <c r="N78" i="154"/>
  <c r="M78" i="154"/>
  <c r="L78" i="154"/>
  <c r="AH77" i="154"/>
  <c r="AI77" i="154" s="1"/>
  <c r="AA77" i="154"/>
  <c r="AB77" i="154" s="1"/>
  <c r="V77" i="154"/>
  <c r="W77" i="154" s="1"/>
  <c r="P77" i="154"/>
  <c r="O77" i="154"/>
  <c r="N77" i="154"/>
  <c r="M77" i="154"/>
  <c r="L77" i="154"/>
  <c r="AH76" i="154"/>
  <c r="AI76" i="154" s="1"/>
  <c r="AA76" i="154"/>
  <c r="AB76" i="154" s="1"/>
  <c r="V76" i="154"/>
  <c r="W76" i="154" s="1"/>
  <c r="P76" i="154"/>
  <c r="O76" i="154"/>
  <c r="N76" i="154"/>
  <c r="M76" i="154"/>
  <c r="L76" i="154"/>
  <c r="AH75" i="154"/>
  <c r="AI75" i="154" s="1"/>
  <c r="AA75" i="154"/>
  <c r="AB75" i="154" s="1"/>
  <c r="V75" i="154"/>
  <c r="W75" i="154" s="1"/>
  <c r="P75" i="154"/>
  <c r="O75" i="154"/>
  <c r="N75" i="154"/>
  <c r="M75" i="154"/>
  <c r="L75" i="154"/>
  <c r="AH74" i="154"/>
  <c r="AI74" i="154" s="1"/>
  <c r="AA74" i="154"/>
  <c r="AB74" i="154" s="1"/>
  <c r="V74" i="154"/>
  <c r="P74" i="154"/>
  <c r="O74" i="154"/>
  <c r="N74" i="154"/>
  <c r="M74" i="154"/>
  <c r="L74" i="154"/>
  <c r="AH73" i="154"/>
  <c r="AI73" i="154" s="1"/>
  <c r="AA73" i="154"/>
  <c r="AB73" i="154" s="1"/>
  <c r="V73" i="154"/>
  <c r="W73" i="154" s="1"/>
  <c r="P73" i="154"/>
  <c r="O73" i="154"/>
  <c r="N73" i="154"/>
  <c r="M73" i="154"/>
  <c r="L73" i="154"/>
  <c r="AH72" i="154"/>
  <c r="AI72" i="154" s="1"/>
  <c r="AA72" i="154"/>
  <c r="AB72" i="154" s="1"/>
  <c r="V72" i="154"/>
  <c r="W72" i="154" s="1"/>
  <c r="P72" i="154"/>
  <c r="O72" i="154"/>
  <c r="N72" i="154"/>
  <c r="M72" i="154"/>
  <c r="L72" i="154"/>
  <c r="AH71" i="154"/>
  <c r="AI71" i="154" s="1"/>
  <c r="AA71" i="154"/>
  <c r="AB71" i="154" s="1"/>
  <c r="V71" i="154"/>
  <c r="W71" i="154" s="1"/>
  <c r="P71" i="154"/>
  <c r="O71" i="154"/>
  <c r="N71" i="154"/>
  <c r="M71" i="154"/>
  <c r="L71" i="154"/>
  <c r="AH70" i="154"/>
  <c r="AI70" i="154" s="1"/>
  <c r="AA70" i="154"/>
  <c r="AB70" i="154" s="1"/>
  <c r="V70" i="154"/>
  <c r="W70" i="154" s="1"/>
  <c r="P70" i="154"/>
  <c r="O70" i="154"/>
  <c r="N70" i="154"/>
  <c r="M70" i="154"/>
  <c r="L70" i="154"/>
  <c r="AH69" i="154"/>
  <c r="AI69" i="154" s="1"/>
  <c r="AA69" i="154"/>
  <c r="AB69" i="154" s="1"/>
  <c r="V69" i="154"/>
  <c r="W69" i="154" s="1"/>
  <c r="P69" i="154"/>
  <c r="O69" i="154"/>
  <c r="N69" i="154"/>
  <c r="M69" i="154"/>
  <c r="L69" i="154"/>
  <c r="AH68" i="154"/>
  <c r="AI68" i="154" s="1"/>
  <c r="AA68" i="154"/>
  <c r="AB68" i="154" s="1"/>
  <c r="V68" i="154"/>
  <c r="W68" i="154" s="1"/>
  <c r="P68" i="154"/>
  <c r="O68" i="154"/>
  <c r="N68" i="154"/>
  <c r="M68" i="154"/>
  <c r="L68" i="154"/>
  <c r="AH67" i="154"/>
  <c r="AI67" i="154" s="1"/>
  <c r="AA67" i="154"/>
  <c r="AB67" i="154" s="1"/>
  <c r="V67" i="154"/>
  <c r="P67" i="154"/>
  <c r="O67" i="154"/>
  <c r="N67" i="154"/>
  <c r="M67" i="154"/>
  <c r="L67" i="154"/>
  <c r="AH66" i="154"/>
  <c r="AI66" i="154" s="1"/>
  <c r="AA66" i="154"/>
  <c r="AB66" i="154" s="1"/>
  <c r="V66" i="154"/>
  <c r="W66" i="154" s="1"/>
  <c r="P66" i="154"/>
  <c r="O66" i="154"/>
  <c r="N66" i="154"/>
  <c r="M66" i="154"/>
  <c r="L66" i="154"/>
  <c r="AH65" i="154"/>
  <c r="AI65" i="154" s="1"/>
  <c r="AA65" i="154"/>
  <c r="AB65" i="154" s="1"/>
  <c r="V65" i="154"/>
  <c r="W65" i="154" s="1"/>
  <c r="P65" i="154"/>
  <c r="O65" i="154"/>
  <c r="N65" i="154"/>
  <c r="M65" i="154"/>
  <c r="L65" i="154"/>
  <c r="AH64" i="154"/>
  <c r="AI64" i="154" s="1"/>
  <c r="AA64" i="154"/>
  <c r="AB64" i="154" s="1"/>
  <c r="V64" i="154"/>
  <c r="W64" i="154" s="1"/>
  <c r="P64" i="154"/>
  <c r="O64" i="154"/>
  <c r="N64" i="154"/>
  <c r="M64" i="154"/>
  <c r="L64" i="154"/>
  <c r="AH63" i="154"/>
  <c r="AI63" i="154" s="1"/>
  <c r="AA63" i="154"/>
  <c r="AB63" i="154" s="1"/>
  <c r="V63" i="154"/>
  <c r="P63" i="154"/>
  <c r="O63" i="154"/>
  <c r="N63" i="154"/>
  <c r="M63" i="154"/>
  <c r="L63" i="154"/>
  <c r="AH62" i="154"/>
  <c r="AI62" i="154" s="1"/>
  <c r="AA62" i="154"/>
  <c r="AB62" i="154" s="1"/>
  <c r="V62" i="154"/>
  <c r="W62" i="154" s="1"/>
  <c r="P62" i="154"/>
  <c r="O62" i="154"/>
  <c r="N62" i="154"/>
  <c r="M62" i="154"/>
  <c r="L62" i="154"/>
  <c r="AH61" i="154"/>
  <c r="AI61" i="154" s="1"/>
  <c r="AA61" i="154"/>
  <c r="AB61" i="154" s="1"/>
  <c r="V61" i="154"/>
  <c r="W61" i="154" s="1"/>
  <c r="P61" i="154"/>
  <c r="O61" i="154"/>
  <c r="N61" i="154"/>
  <c r="M61" i="154"/>
  <c r="L61" i="154"/>
  <c r="AH60" i="154"/>
  <c r="AI60" i="154" s="1"/>
  <c r="AA60" i="154"/>
  <c r="AB60" i="154" s="1"/>
  <c r="V60" i="154"/>
  <c r="W60" i="154" s="1"/>
  <c r="P60" i="154"/>
  <c r="O60" i="154"/>
  <c r="N60" i="154"/>
  <c r="M60" i="154"/>
  <c r="L60" i="154"/>
  <c r="AH59" i="154"/>
  <c r="AI59" i="154" s="1"/>
  <c r="AA59" i="154"/>
  <c r="AB59" i="154" s="1"/>
  <c r="V59" i="154"/>
  <c r="P59" i="154"/>
  <c r="O59" i="154"/>
  <c r="N59" i="154"/>
  <c r="M59" i="154"/>
  <c r="L59" i="154"/>
  <c r="AH58" i="154"/>
  <c r="AI58" i="154" s="1"/>
  <c r="AA58" i="154"/>
  <c r="AB58" i="154" s="1"/>
  <c r="V58" i="154"/>
  <c r="P58" i="154"/>
  <c r="O58" i="154"/>
  <c r="N58" i="154"/>
  <c r="M58" i="154"/>
  <c r="L58" i="154"/>
  <c r="AH57" i="154"/>
  <c r="AI57" i="154" s="1"/>
  <c r="AA57" i="154"/>
  <c r="AB57" i="154" s="1"/>
  <c r="V57" i="154"/>
  <c r="W57" i="154" s="1"/>
  <c r="P57" i="154"/>
  <c r="O57" i="154"/>
  <c r="N57" i="154"/>
  <c r="M57" i="154"/>
  <c r="L57" i="154"/>
  <c r="AH56" i="154"/>
  <c r="AI56" i="154" s="1"/>
  <c r="AA56" i="154"/>
  <c r="AB56" i="154" s="1"/>
  <c r="V56" i="154"/>
  <c r="W56" i="154" s="1"/>
  <c r="P56" i="154"/>
  <c r="O56" i="154"/>
  <c r="N56" i="154"/>
  <c r="M56" i="154"/>
  <c r="L56" i="154"/>
  <c r="AH55" i="154"/>
  <c r="AI55" i="154" s="1"/>
  <c r="AA55" i="154"/>
  <c r="AB55" i="154" s="1"/>
  <c r="V55" i="154"/>
  <c r="P55" i="154"/>
  <c r="O55" i="154"/>
  <c r="N55" i="154"/>
  <c r="M55" i="154"/>
  <c r="L55" i="154"/>
  <c r="AH54" i="154"/>
  <c r="AI54" i="154" s="1"/>
  <c r="AA54" i="154"/>
  <c r="AB54" i="154" s="1"/>
  <c r="V54" i="154"/>
  <c r="P54" i="154"/>
  <c r="O54" i="154"/>
  <c r="N54" i="154"/>
  <c r="M54" i="154"/>
  <c r="L54" i="154"/>
  <c r="AH53" i="154"/>
  <c r="AI53" i="154" s="1"/>
  <c r="AA53" i="154"/>
  <c r="AB53" i="154" s="1"/>
  <c r="V53" i="154"/>
  <c r="W53" i="154" s="1"/>
  <c r="P53" i="154"/>
  <c r="O53" i="154"/>
  <c r="N53" i="154"/>
  <c r="M53" i="154"/>
  <c r="L53" i="154"/>
  <c r="AH52" i="154"/>
  <c r="AI52" i="154" s="1"/>
  <c r="AA52" i="154"/>
  <c r="AB52" i="154" s="1"/>
  <c r="V52" i="154"/>
  <c r="W52" i="154" s="1"/>
  <c r="P52" i="154"/>
  <c r="O52" i="154"/>
  <c r="N52" i="154"/>
  <c r="M52" i="154"/>
  <c r="L52" i="154"/>
  <c r="AH51" i="154"/>
  <c r="AI51" i="154" s="1"/>
  <c r="AA51" i="154"/>
  <c r="AB51" i="154" s="1"/>
  <c r="V51" i="154"/>
  <c r="P51" i="154"/>
  <c r="O51" i="154"/>
  <c r="N51" i="154"/>
  <c r="M51" i="154"/>
  <c r="L51" i="154"/>
  <c r="AH50" i="154"/>
  <c r="AI50" i="154" s="1"/>
  <c r="AA50" i="154"/>
  <c r="AB50" i="154" s="1"/>
  <c r="V50" i="154"/>
  <c r="W50" i="154" s="1"/>
  <c r="P50" i="154"/>
  <c r="O50" i="154"/>
  <c r="N50" i="154"/>
  <c r="M50" i="154"/>
  <c r="L50" i="154"/>
  <c r="AH49" i="154"/>
  <c r="AI49" i="154" s="1"/>
  <c r="AA49" i="154"/>
  <c r="AB49" i="154" s="1"/>
  <c r="V49" i="154"/>
  <c r="W49" i="154" s="1"/>
  <c r="P49" i="154"/>
  <c r="O49" i="154"/>
  <c r="N49" i="154"/>
  <c r="M49" i="154"/>
  <c r="L49" i="154"/>
  <c r="AH48" i="154"/>
  <c r="AI48" i="154" s="1"/>
  <c r="AA48" i="154"/>
  <c r="AB48" i="154" s="1"/>
  <c r="V48" i="154"/>
  <c r="W48" i="154" s="1"/>
  <c r="P48" i="154"/>
  <c r="O48" i="154"/>
  <c r="N48" i="154"/>
  <c r="M48" i="154"/>
  <c r="L48" i="154"/>
  <c r="AH47" i="154"/>
  <c r="AI47" i="154" s="1"/>
  <c r="AA47" i="154"/>
  <c r="AB47" i="154" s="1"/>
  <c r="V47" i="154"/>
  <c r="P47" i="154"/>
  <c r="O47" i="154"/>
  <c r="N47" i="154"/>
  <c r="M47" i="154"/>
  <c r="L47" i="154"/>
  <c r="AH46" i="154"/>
  <c r="AI46" i="154" s="1"/>
  <c r="AA46" i="154"/>
  <c r="AB46" i="154" s="1"/>
  <c r="V46" i="154"/>
  <c r="W46" i="154" s="1"/>
  <c r="P46" i="154"/>
  <c r="O46" i="154"/>
  <c r="N46" i="154"/>
  <c r="M46" i="154"/>
  <c r="L46" i="154"/>
  <c r="AH45" i="154"/>
  <c r="AI45" i="154" s="1"/>
  <c r="AA45" i="154"/>
  <c r="AB45" i="154" s="1"/>
  <c r="V45" i="154"/>
  <c r="W45" i="154" s="1"/>
  <c r="P45" i="154"/>
  <c r="O45" i="154"/>
  <c r="N45" i="154"/>
  <c r="M45" i="154"/>
  <c r="L45" i="154"/>
  <c r="AH44" i="154"/>
  <c r="AI44" i="154" s="1"/>
  <c r="AA44" i="154"/>
  <c r="AB44" i="154" s="1"/>
  <c r="V44" i="154"/>
  <c r="W44" i="154" s="1"/>
  <c r="P44" i="154"/>
  <c r="O44" i="154"/>
  <c r="N44" i="154"/>
  <c r="M44" i="154"/>
  <c r="L44" i="154"/>
  <c r="AH43" i="154"/>
  <c r="AI43" i="154" s="1"/>
  <c r="AA43" i="154"/>
  <c r="AB43" i="154" s="1"/>
  <c r="V43" i="154"/>
  <c r="P43" i="154"/>
  <c r="O43" i="154"/>
  <c r="N43" i="154"/>
  <c r="M43" i="154"/>
  <c r="L43" i="154"/>
  <c r="AH42" i="154"/>
  <c r="AI42" i="154" s="1"/>
  <c r="AA42" i="154"/>
  <c r="AB42" i="154" s="1"/>
  <c r="V42" i="154"/>
  <c r="W42" i="154" s="1"/>
  <c r="P42" i="154"/>
  <c r="O42" i="154"/>
  <c r="N42" i="154"/>
  <c r="M42" i="154"/>
  <c r="L42" i="154"/>
  <c r="AH41" i="154"/>
  <c r="AI41" i="154" s="1"/>
  <c r="AA41" i="154"/>
  <c r="AB41" i="154" s="1"/>
  <c r="V41" i="154"/>
  <c r="W41" i="154" s="1"/>
  <c r="P41" i="154"/>
  <c r="O41" i="154"/>
  <c r="N41" i="154"/>
  <c r="M41" i="154"/>
  <c r="L41" i="154"/>
  <c r="AH40" i="154"/>
  <c r="AI40" i="154" s="1"/>
  <c r="AA40" i="154"/>
  <c r="AB40" i="154" s="1"/>
  <c r="V40" i="154"/>
  <c r="W40" i="154" s="1"/>
  <c r="P40" i="154"/>
  <c r="O40" i="154"/>
  <c r="N40" i="154"/>
  <c r="M40" i="154"/>
  <c r="L40" i="154"/>
  <c r="AH39" i="154"/>
  <c r="AI39" i="154" s="1"/>
  <c r="AA39" i="154"/>
  <c r="AB39" i="154" s="1"/>
  <c r="V39" i="154"/>
  <c r="P39" i="154"/>
  <c r="O39" i="154"/>
  <c r="N39" i="154"/>
  <c r="M39" i="154"/>
  <c r="L39" i="154"/>
  <c r="AH38" i="154"/>
  <c r="AI38" i="154" s="1"/>
  <c r="AA38" i="154"/>
  <c r="AB38" i="154" s="1"/>
  <c r="V38" i="154"/>
  <c r="W38" i="154" s="1"/>
  <c r="P38" i="154"/>
  <c r="O38" i="154"/>
  <c r="N38" i="154"/>
  <c r="M38" i="154"/>
  <c r="L38" i="154"/>
  <c r="AH37" i="154"/>
  <c r="AI37" i="154" s="1"/>
  <c r="AA37" i="154"/>
  <c r="AB37" i="154" s="1"/>
  <c r="V37" i="154"/>
  <c r="W37" i="154" s="1"/>
  <c r="P37" i="154"/>
  <c r="O37" i="154"/>
  <c r="N37" i="154"/>
  <c r="M37" i="154"/>
  <c r="L37" i="154"/>
  <c r="AH36" i="154"/>
  <c r="AI36" i="154" s="1"/>
  <c r="AA36" i="154"/>
  <c r="AB36" i="154" s="1"/>
  <c r="V36" i="154"/>
  <c r="P36" i="154"/>
  <c r="O36" i="154"/>
  <c r="N36" i="154"/>
  <c r="M36" i="154"/>
  <c r="L36" i="154"/>
  <c r="AH35" i="154"/>
  <c r="AI35" i="154" s="1"/>
  <c r="AA35" i="154"/>
  <c r="AB35" i="154" s="1"/>
  <c r="V35" i="154"/>
  <c r="P35" i="154"/>
  <c r="O35" i="154"/>
  <c r="N35" i="154"/>
  <c r="M35" i="154"/>
  <c r="L35" i="154"/>
  <c r="E35" i="154"/>
  <c r="E36" i="154" s="1"/>
  <c r="E37" i="154" s="1"/>
  <c r="E38" i="154" s="1"/>
  <c r="E39" i="154" s="1"/>
  <c r="E40" i="154" s="1"/>
  <c r="E41" i="154" s="1"/>
  <c r="E42" i="154" s="1"/>
  <c r="E43" i="154" s="1"/>
  <c r="E44" i="154" s="1"/>
  <c r="E45" i="154" s="1"/>
  <c r="E46" i="154" s="1"/>
  <c r="E47" i="154" s="1"/>
  <c r="E48" i="154" s="1"/>
  <c r="E49" i="154" s="1"/>
  <c r="E50" i="154" s="1"/>
  <c r="E51" i="154" s="1"/>
  <c r="E52" i="154" s="1"/>
  <c r="E53" i="154" s="1"/>
  <c r="E54" i="154" s="1"/>
  <c r="E55" i="154" s="1"/>
  <c r="E56" i="154" s="1"/>
  <c r="E57" i="154" s="1"/>
  <c r="E58" i="154" s="1"/>
  <c r="E59" i="154" s="1"/>
  <c r="E60" i="154" s="1"/>
  <c r="E61" i="154" s="1"/>
  <c r="E62" i="154" s="1"/>
  <c r="E63" i="154" s="1"/>
  <c r="E64" i="154" s="1"/>
  <c r="E65" i="154" s="1"/>
  <c r="E66" i="154" s="1"/>
  <c r="E67" i="154" s="1"/>
  <c r="E68" i="154" s="1"/>
  <c r="E69" i="154" s="1"/>
  <c r="E70" i="154" s="1"/>
  <c r="E71" i="154" s="1"/>
  <c r="E72" i="154" s="1"/>
  <c r="E73" i="154" s="1"/>
  <c r="E74" i="154" s="1"/>
  <c r="E75" i="154" s="1"/>
  <c r="E76" i="154" s="1"/>
  <c r="E77" i="154" s="1"/>
  <c r="E78" i="154" s="1"/>
  <c r="E79" i="154" s="1"/>
  <c r="E80" i="154" s="1"/>
  <c r="E81" i="154" s="1"/>
  <c r="E82" i="154" s="1"/>
  <c r="E83" i="154" s="1"/>
  <c r="E84" i="154" s="1"/>
  <c r="E85" i="154" s="1"/>
  <c r="E86" i="154" s="1"/>
  <c r="E87" i="154" s="1"/>
  <c r="E88" i="154" s="1"/>
  <c r="AH34" i="154"/>
  <c r="AI34" i="154" s="1"/>
  <c r="AA34" i="154"/>
  <c r="AB34" i="154" s="1"/>
  <c r="V34" i="154"/>
  <c r="W34" i="154" s="1"/>
  <c r="P34" i="154"/>
  <c r="O34" i="154"/>
  <c r="N34" i="154"/>
  <c r="M34" i="154"/>
  <c r="L34" i="154"/>
  <c r="AH33" i="154"/>
  <c r="AI33" i="154" s="1"/>
  <c r="AA33" i="154"/>
  <c r="AB33" i="154" s="1"/>
  <c r="V33" i="154"/>
  <c r="P33" i="154"/>
  <c r="O33" i="154"/>
  <c r="N33" i="154"/>
  <c r="M33" i="154"/>
  <c r="L33" i="154"/>
  <c r="AH32" i="154"/>
  <c r="AI32" i="154" s="1"/>
  <c r="AA32" i="154"/>
  <c r="AB32" i="154" s="1"/>
  <c r="V32" i="154"/>
  <c r="P32" i="154"/>
  <c r="O32" i="154"/>
  <c r="N32" i="154"/>
  <c r="M32" i="154"/>
  <c r="L32" i="154"/>
  <c r="AH31" i="154"/>
  <c r="AI31" i="154" s="1"/>
  <c r="AA31" i="154"/>
  <c r="AB31" i="154" s="1"/>
  <c r="V31" i="154"/>
  <c r="W31" i="154" s="1"/>
  <c r="P31" i="154"/>
  <c r="O31" i="154"/>
  <c r="N31" i="154"/>
  <c r="M31" i="154"/>
  <c r="L31" i="154"/>
  <c r="AH30" i="154"/>
  <c r="AI30" i="154" s="1"/>
  <c r="AA30" i="154"/>
  <c r="AB30" i="154" s="1"/>
  <c r="V30" i="154"/>
  <c r="W30" i="154" s="1"/>
  <c r="P30" i="154"/>
  <c r="O30" i="154"/>
  <c r="N30" i="154"/>
  <c r="M30" i="154"/>
  <c r="L30" i="154"/>
  <c r="AH29" i="154"/>
  <c r="AI29" i="154" s="1"/>
  <c r="AA29" i="154"/>
  <c r="AB29" i="154" s="1"/>
  <c r="V29" i="154"/>
  <c r="P29" i="154"/>
  <c r="O29" i="154"/>
  <c r="N29" i="154"/>
  <c r="M29" i="154"/>
  <c r="L29" i="154"/>
  <c r="AH28" i="154"/>
  <c r="AI28" i="154" s="1"/>
  <c r="AA28" i="154"/>
  <c r="AB28" i="154" s="1"/>
  <c r="V28" i="154"/>
  <c r="P28" i="154"/>
  <c r="O28" i="154"/>
  <c r="N28" i="154"/>
  <c r="M28" i="154"/>
  <c r="L28" i="154"/>
  <c r="AH27" i="154"/>
  <c r="AI27" i="154" s="1"/>
  <c r="AA27" i="154"/>
  <c r="AB27" i="154" s="1"/>
  <c r="V27" i="154"/>
  <c r="W27" i="154" s="1"/>
  <c r="P27" i="154"/>
  <c r="O27" i="154"/>
  <c r="N27" i="154"/>
  <c r="M27" i="154"/>
  <c r="L27" i="154"/>
  <c r="AH26" i="154"/>
  <c r="AI26" i="154" s="1"/>
  <c r="AA26" i="154"/>
  <c r="AB26" i="154" s="1"/>
  <c r="V26" i="154"/>
  <c r="W26" i="154" s="1"/>
  <c r="P26" i="154"/>
  <c r="O26" i="154"/>
  <c r="N26" i="154"/>
  <c r="M26" i="154"/>
  <c r="L26" i="154"/>
  <c r="AH25" i="154"/>
  <c r="AI25" i="154" s="1"/>
  <c r="AA25" i="154"/>
  <c r="AB25" i="154" s="1"/>
  <c r="V25" i="154"/>
  <c r="W25" i="154" s="1"/>
  <c r="P25" i="154"/>
  <c r="O25" i="154"/>
  <c r="N25" i="154"/>
  <c r="M25" i="154"/>
  <c r="L25" i="154"/>
  <c r="AH24" i="154"/>
  <c r="AI24" i="154" s="1"/>
  <c r="AA24" i="154"/>
  <c r="AB24" i="154" s="1"/>
  <c r="V24" i="154"/>
  <c r="P24" i="154"/>
  <c r="O24" i="154"/>
  <c r="N24" i="154"/>
  <c r="M24" i="154"/>
  <c r="L24" i="154"/>
  <c r="AH23" i="154"/>
  <c r="AI23" i="154" s="1"/>
  <c r="AA23" i="154"/>
  <c r="AB23" i="154" s="1"/>
  <c r="V23" i="154"/>
  <c r="W23" i="154" s="1"/>
  <c r="P23" i="154"/>
  <c r="O23" i="154"/>
  <c r="N23" i="154"/>
  <c r="M23" i="154"/>
  <c r="L23" i="154"/>
  <c r="AH22" i="154"/>
  <c r="AI22" i="154" s="1"/>
  <c r="AA22" i="154"/>
  <c r="AB22" i="154" s="1"/>
  <c r="V22" i="154"/>
  <c r="W22" i="154" s="1"/>
  <c r="P22" i="154"/>
  <c r="O22" i="154"/>
  <c r="N22" i="154"/>
  <c r="M22" i="154"/>
  <c r="L22" i="154"/>
  <c r="E22" i="154"/>
  <c r="E23" i="154" s="1"/>
  <c r="E24" i="154" s="1"/>
  <c r="E25" i="154" s="1"/>
  <c r="E26" i="154" s="1"/>
  <c r="E27" i="154" s="1"/>
  <c r="E28" i="154" s="1"/>
  <c r="E29" i="154" s="1"/>
  <c r="E30" i="154" s="1"/>
  <c r="E31" i="154" s="1"/>
  <c r="E32" i="154" s="1"/>
  <c r="E33" i="154" s="1"/>
  <c r="AH21" i="154"/>
  <c r="AI21" i="154" s="1"/>
  <c r="AA21" i="154"/>
  <c r="AB21" i="154" s="1"/>
  <c r="V21" i="154"/>
  <c r="W21" i="154" s="1"/>
  <c r="P21" i="154"/>
  <c r="O21" i="154"/>
  <c r="N21" i="154"/>
  <c r="M21" i="154"/>
  <c r="L21" i="154"/>
  <c r="AH20" i="154"/>
  <c r="AI20" i="154" s="1"/>
  <c r="AA20" i="154"/>
  <c r="AB20" i="154" s="1"/>
  <c r="V20" i="154"/>
  <c r="W20" i="154" s="1"/>
  <c r="P20" i="154"/>
  <c r="O20" i="154"/>
  <c r="N20" i="154"/>
  <c r="M20" i="154"/>
  <c r="L20" i="154"/>
  <c r="AH19" i="154"/>
  <c r="AI19" i="154" s="1"/>
  <c r="AA19" i="154"/>
  <c r="AB19" i="154" s="1"/>
  <c r="V19" i="154"/>
  <c r="W19" i="154" s="1"/>
  <c r="P19" i="154"/>
  <c r="O19" i="154"/>
  <c r="N19" i="154"/>
  <c r="M19" i="154"/>
  <c r="L19" i="154"/>
  <c r="AH18" i="154"/>
  <c r="AI18" i="154" s="1"/>
  <c r="AA18" i="154"/>
  <c r="AB18" i="154" s="1"/>
  <c r="V18" i="154"/>
  <c r="W18" i="154" s="1"/>
  <c r="P18" i="154"/>
  <c r="O18" i="154"/>
  <c r="N18" i="154"/>
  <c r="M18" i="154"/>
  <c r="L18" i="154"/>
  <c r="AH17" i="154"/>
  <c r="AI17" i="154" s="1"/>
  <c r="AA17" i="154"/>
  <c r="AB17" i="154" s="1"/>
  <c r="V17" i="154"/>
  <c r="P17" i="154"/>
  <c r="O17" i="154"/>
  <c r="N17" i="154"/>
  <c r="M17" i="154"/>
  <c r="L17" i="154"/>
  <c r="B17" i="154"/>
  <c r="AH16" i="154"/>
  <c r="AI16" i="154" s="1"/>
  <c r="AA16" i="154"/>
  <c r="AB16" i="154" s="1"/>
  <c r="V16" i="154"/>
  <c r="W16" i="154" s="1"/>
  <c r="P16" i="154"/>
  <c r="O16" i="154"/>
  <c r="N16" i="154"/>
  <c r="M16" i="154"/>
  <c r="L16" i="154"/>
  <c r="AH15" i="154"/>
  <c r="AI15" i="154" s="1"/>
  <c r="AA15" i="154"/>
  <c r="AB15" i="154" s="1"/>
  <c r="V15" i="154"/>
  <c r="W15" i="154" s="1"/>
  <c r="P15" i="154"/>
  <c r="O15" i="154"/>
  <c r="N15" i="154"/>
  <c r="M15" i="154"/>
  <c r="L15" i="154"/>
  <c r="E15" i="154"/>
  <c r="E16" i="154" s="1"/>
  <c r="E17" i="154" s="1"/>
  <c r="E18" i="154" s="1"/>
  <c r="E19" i="154" s="1"/>
  <c r="E20" i="154" s="1"/>
  <c r="AH14" i="154"/>
  <c r="AI14" i="154" s="1"/>
  <c r="AA14" i="154"/>
  <c r="AB14" i="154" s="1"/>
  <c r="V14" i="154"/>
  <c r="W14" i="154" s="1"/>
  <c r="P14" i="154"/>
  <c r="O14" i="154"/>
  <c r="N14" i="154"/>
  <c r="M14" i="154"/>
  <c r="L14" i="154"/>
  <c r="C14" i="154"/>
  <c r="B14" i="154"/>
  <c r="A14" i="154"/>
  <c r="AG10" i="154"/>
  <c r="AF10" i="154"/>
  <c r="AE10" i="154"/>
  <c r="Z10" i="154"/>
  <c r="Y10" i="154"/>
  <c r="X10" i="154"/>
  <c r="U10" i="154"/>
  <c r="T10" i="154"/>
  <c r="S10" i="154"/>
  <c r="K10" i="154"/>
  <c r="I10" i="154"/>
  <c r="H10" i="154"/>
  <c r="G10" i="154"/>
  <c r="F10" i="154"/>
  <c r="E611" i="101" l="1"/>
  <c r="D611" i="134" s="1"/>
  <c r="C613" i="135" s="1"/>
  <c r="C613" i="139" s="1"/>
  <c r="C612" i="101"/>
  <c r="B272" i="139"/>
  <c r="B270" i="134"/>
  <c r="B272" i="135"/>
  <c r="B271" i="101"/>
  <c r="B449" i="139"/>
  <c r="B447" i="134"/>
  <c r="B449" i="135"/>
  <c r="B353" i="135"/>
  <c r="B352" i="101"/>
  <c r="B351" i="134"/>
  <c r="B353" i="139"/>
  <c r="B246" i="139"/>
  <c r="B244" i="134"/>
  <c r="B246" i="135"/>
  <c r="A519" i="101"/>
  <c r="A518" i="134"/>
  <c r="A520" i="135"/>
  <c r="A520" i="139" s="1"/>
  <c r="B213" i="101"/>
  <c r="B214" i="135"/>
  <c r="B214" i="139"/>
  <c r="B212" i="134"/>
  <c r="B104" i="101"/>
  <c r="B105" i="139"/>
  <c r="B103" i="134"/>
  <c r="B105" i="135"/>
  <c r="B525" i="139"/>
  <c r="B523" i="134"/>
  <c r="B525" i="135"/>
  <c r="B524" i="101"/>
  <c r="B155" i="139"/>
  <c r="B155" i="135"/>
  <c r="B154" i="101"/>
  <c r="B153" i="134"/>
  <c r="E505" i="101"/>
  <c r="D505" i="134" s="1"/>
  <c r="C507" i="135" s="1"/>
  <c r="C507" i="139" s="1"/>
  <c r="C506" i="101"/>
  <c r="B554" i="101"/>
  <c r="B555" i="139"/>
  <c r="B553" i="134"/>
  <c r="B555" i="135"/>
  <c r="A580" i="101"/>
  <c r="A579" i="134"/>
  <c r="A581" i="135"/>
  <c r="A581" i="139" s="1"/>
  <c r="C546" i="101"/>
  <c r="A547" i="101"/>
  <c r="A546" i="134"/>
  <c r="A548" i="135"/>
  <c r="A548" i="139" s="1"/>
  <c r="B585" i="101"/>
  <c r="B586" i="139"/>
  <c r="B586" i="135"/>
  <c r="B584" i="134"/>
  <c r="E545" i="101"/>
  <c r="D545" i="134" s="1"/>
  <c r="C547" i="135" s="1"/>
  <c r="C547" i="139" s="1"/>
  <c r="E298" i="101"/>
  <c r="D298" i="134" s="1"/>
  <c r="C300" i="135" s="1"/>
  <c r="C300" i="139" s="1"/>
  <c r="C299" i="101"/>
  <c r="C213" i="101"/>
  <c r="A214" i="135"/>
  <c r="A214" i="139" s="1"/>
  <c r="A212" i="134"/>
  <c r="A239" i="101"/>
  <c r="A238" i="134"/>
  <c r="A240" i="135"/>
  <c r="A240" i="139" s="1"/>
  <c r="B323" i="101"/>
  <c r="B324" i="139"/>
  <c r="B322" i="134"/>
  <c r="B324" i="135"/>
  <c r="A267" i="101"/>
  <c r="A268" i="135"/>
  <c r="A268" i="139" s="1"/>
  <c r="A266" i="134"/>
  <c r="C448" i="101"/>
  <c r="A348" i="101"/>
  <c r="A347" i="134"/>
  <c r="A349" i="135"/>
  <c r="A349" i="139" s="1"/>
  <c r="B418" i="139"/>
  <c r="B416" i="134"/>
  <c r="B418" i="135"/>
  <c r="C470" i="101"/>
  <c r="A469" i="134"/>
  <c r="A471" i="135"/>
  <c r="A471" i="139" s="1"/>
  <c r="E439" i="101"/>
  <c r="D439" i="134" s="1"/>
  <c r="C441" i="135" s="1"/>
  <c r="C441" i="139" s="1"/>
  <c r="F439" i="101"/>
  <c r="C440" i="101"/>
  <c r="A318" i="101"/>
  <c r="A319" i="135"/>
  <c r="A319" i="139" s="1"/>
  <c r="A317" i="134"/>
  <c r="A410" i="101"/>
  <c r="A409" i="134"/>
  <c r="A411" i="135"/>
  <c r="A411" i="139" s="1"/>
  <c r="AS438" i="101"/>
  <c r="AR438" i="101"/>
  <c r="E438" i="134"/>
  <c r="D440" i="135" s="1"/>
  <c r="D440" i="139" s="1"/>
  <c r="A379" i="101"/>
  <c r="A378" i="134"/>
  <c r="A380" i="135"/>
  <c r="A380" i="139" s="1"/>
  <c r="AS35" i="101"/>
  <c r="E35" i="134"/>
  <c r="D37" i="135" s="1"/>
  <c r="D37" i="139" s="1"/>
  <c r="AR35" i="101"/>
  <c r="A150" i="101"/>
  <c r="A149" i="134"/>
  <c r="A151" i="135"/>
  <c r="A151" i="139" s="1"/>
  <c r="C37" i="101"/>
  <c r="A38" i="101"/>
  <c r="A39" i="135"/>
  <c r="A39" i="139" s="1"/>
  <c r="A37" i="134"/>
  <c r="A71" i="101"/>
  <c r="A70" i="134"/>
  <c r="A72" i="135"/>
  <c r="A72" i="139" s="1"/>
  <c r="A101" i="101"/>
  <c r="A100" i="134"/>
  <c r="A102" i="135"/>
  <c r="A102" i="139" s="1"/>
  <c r="B74" i="135"/>
  <c r="B73" i="101"/>
  <c r="B74" i="139"/>
  <c r="B72" i="134"/>
  <c r="G36" i="101"/>
  <c r="C36" i="134" s="1"/>
  <c r="E38" i="135" s="1"/>
  <c r="E38" i="139" s="1"/>
  <c r="D36" i="101"/>
  <c r="F36" i="101"/>
  <c r="E129" i="101"/>
  <c r="D129" i="134" s="1"/>
  <c r="C131" i="135" s="1"/>
  <c r="C131" i="139" s="1"/>
  <c r="C130" i="101"/>
  <c r="A180" i="101"/>
  <c r="A179" i="134"/>
  <c r="A181" i="135"/>
  <c r="A181" i="139" s="1"/>
  <c r="AC784" i="154"/>
  <c r="AD784" i="154" s="1"/>
  <c r="AC839" i="154"/>
  <c r="AD839" i="154" s="1"/>
  <c r="AC843" i="154"/>
  <c r="AD843" i="154" s="1"/>
  <c r="AC889" i="154"/>
  <c r="AD889" i="154" s="1"/>
  <c r="AC678" i="154"/>
  <c r="AD678" i="154" s="1"/>
  <c r="AC702" i="154"/>
  <c r="AD702" i="154" s="1"/>
  <c r="AC764" i="154"/>
  <c r="AD764" i="154" s="1"/>
  <c r="AC837" i="154"/>
  <c r="AD837" i="154" s="1"/>
  <c r="AC932" i="154"/>
  <c r="AD932" i="154" s="1"/>
  <c r="AC948" i="154"/>
  <c r="AD948" i="154" s="1"/>
  <c r="J10" i="154"/>
  <c r="AC117" i="154"/>
  <c r="AD117" i="154" s="1"/>
  <c r="AC604" i="154"/>
  <c r="AD604" i="154" s="1"/>
  <c r="AC673" i="154"/>
  <c r="AD673" i="154" s="1"/>
  <c r="AC696" i="154"/>
  <c r="AD696" i="154" s="1"/>
  <c r="AC734" i="154"/>
  <c r="AD734" i="154" s="1"/>
  <c r="AC737" i="154"/>
  <c r="AD737" i="154" s="1"/>
  <c r="AC782" i="154"/>
  <c r="AD782" i="154" s="1"/>
  <c r="AC792" i="154"/>
  <c r="AD792" i="154" s="1"/>
  <c r="AC811" i="154"/>
  <c r="AD811" i="154" s="1"/>
  <c r="AC929" i="154"/>
  <c r="AD929" i="154" s="1"/>
  <c r="AC933" i="154"/>
  <c r="AD933" i="154" s="1"/>
  <c r="AC776" i="154"/>
  <c r="AD776" i="154" s="1"/>
  <c r="AC898" i="154"/>
  <c r="AD898" i="154" s="1"/>
  <c r="AC817" i="154"/>
  <c r="AD817" i="154" s="1"/>
  <c r="AC618" i="154"/>
  <c r="AD618" i="154" s="1"/>
  <c r="W673" i="154"/>
  <c r="AC768" i="154"/>
  <c r="AD768" i="154" s="1"/>
  <c r="W618" i="154"/>
  <c r="AC627" i="154"/>
  <c r="AD627" i="154" s="1"/>
  <c r="AC720" i="154"/>
  <c r="AD720" i="154" s="1"/>
  <c r="AC726" i="154"/>
  <c r="AD726" i="154" s="1"/>
  <c r="AC729" i="154"/>
  <c r="AD729" i="154" s="1"/>
  <c r="AC750" i="154"/>
  <c r="AD750" i="154" s="1"/>
  <c r="AC774" i="154"/>
  <c r="AD774" i="154" s="1"/>
  <c r="AC654" i="154"/>
  <c r="AD654" i="154" s="1"/>
  <c r="AC657" i="154"/>
  <c r="AD657" i="154" s="1"/>
  <c r="AC686" i="154"/>
  <c r="AD686" i="154" s="1"/>
  <c r="AC795" i="154"/>
  <c r="AD795" i="154" s="1"/>
  <c r="AC798" i="154"/>
  <c r="AD798" i="154" s="1"/>
  <c r="AC857" i="154"/>
  <c r="AD857" i="154" s="1"/>
  <c r="AC828" i="154"/>
  <c r="AD828" i="154" s="1"/>
  <c r="AC704" i="154"/>
  <c r="AD704" i="154" s="1"/>
  <c r="AC710" i="154"/>
  <c r="AD710" i="154" s="1"/>
  <c r="W828" i="154"/>
  <c r="AC873" i="154"/>
  <c r="AD873" i="154" s="1"/>
  <c r="AC945" i="154"/>
  <c r="AD945" i="154" s="1"/>
  <c r="AC851" i="154"/>
  <c r="AD851" i="154" s="1"/>
  <c r="AC881" i="154"/>
  <c r="AD881" i="154" s="1"/>
  <c r="AC909" i="154"/>
  <c r="AD909" i="154" s="1"/>
  <c r="W604" i="154"/>
  <c r="AC800" i="154"/>
  <c r="AD800" i="154" s="1"/>
  <c r="AC662" i="154"/>
  <c r="AD662" i="154" s="1"/>
  <c r="AC688" i="154"/>
  <c r="AD688" i="154" s="1"/>
  <c r="AC694" i="154"/>
  <c r="AD694" i="154" s="1"/>
  <c r="AC803" i="154"/>
  <c r="AD803" i="154" s="1"/>
  <c r="AC806" i="154"/>
  <c r="AD806" i="154" s="1"/>
  <c r="AC815" i="154"/>
  <c r="AD815" i="154" s="1"/>
  <c r="AC827" i="154"/>
  <c r="AD827" i="154" s="1"/>
  <c r="AC875" i="154"/>
  <c r="AD875" i="154" s="1"/>
  <c r="AC925" i="154"/>
  <c r="AD925" i="154" s="1"/>
  <c r="AC649" i="154"/>
  <c r="AD649" i="154" s="1"/>
  <c r="AC681" i="154"/>
  <c r="AD681" i="154" s="1"/>
  <c r="AC833" i="154"/>
  <c r="AD833" i="154" s="1"/>
  <c r="AC883" i="154"/>
  <c r="AD883" i="154" s="1"/>
  <c r="AB643" i="154"/>
  <c r="W649" i="154"/>
  <c r="W681" i="154"/>
  <c r="AC712" i="154"/>
  <c r="AD712" i="154" s="1"/>
  <c r="AC718" i="154"/>
  <c r="AD718" i="154" s="1"/>
  <c r="AC760" i="154"/>
  <c r="AD760" i="154" s="1"/>
  <c r="AC766" i="154"/>
  <c r="AD766" i="154" s="1"/>
  <c r="AC631" i="154"/>
  <c r="AD631" i="154" s="1"/>
  <c r="AC736" i="154"/>
  <c r="AD736" i="154" s="1"/>
  <c r="AC742" i="154"/>
  <c r="AD742" i="154" s="1"/>
  <c r="AC787" i="154"/>
  <c r="AD787" i="154" s="1"/>
  <c r="AC790" i="154"/>
  <c r="AD790" i="154" s="1"/>
  <c r="AC916" i="154"/>
  <c r="AD916" i="154" s="1"/>
  <c r="AC949" i="154"/>
  <c r="AD949" i="154" s="1"/>
  <c r="V10" i="154"/>
  <c r="AC625" i="154"/>
  <c r="AD625" i="154" s="1"/>
  <c r="W625" i="154"/>
  <c r="AC680" i="154"/>
  <c r="AD680" i="154" s="1"/>
  <c r="W680" i="154"/>
  <c r="AC633" i="154"/>
  <c r="AD633" i="154" s="1"/>
  <c r="W633" i="154"/>
  <c r="AC648" i="154"/>
  <c r="AD648" i="154" s="1"/>
  <c r="W648" i="154"/>
  <c r="AC35" i="154"/>
  <c r="AD35" i="154" s="1"/>
  <c r="AC43" i="154"/>
  <c r="AD43" i="154" s="1"/>
  <c r="AC47" i="154"/>
  <c r="AD47" i="154" s="1"/>
  <c r="AC54" i="154"/>
  <c r="AD54" i="154" s="1"/>
  <c r="AC58" i="154"/>
  <c r="AD58" i="154" s="1"/>
  <c r="AC59" i="154"/>
  <c r="AD59" i="154" s="1"/>
  <c r="AC67" i="154"/>
  <c r="AD67" i="154" s="1"/>
  <c r="AC602" i="154"/>
  <c r="AD602" i="154" s="1"/>
  <c r="W602" i="154"/>
  <c r="AC622" i="154"/>
  <c r="AD622" i="154" s="1"/>
  <c r="W622" i="154"/>
  <c r="AC665" i="154"/>
  <c r="AD665" i="154" s="1"/>
  <c r="W665" i="154"/>
  <c r="AC481" i="154"/>
  <c r="AD481" i="154" s="1"/>
  <c r="AC482" i="154"/>
  <c r="AD482" i="154" s="1"/>
  <c r="AC610" i="154"/>
  <c r="AD610" i="154" s="1"/>
  <c r="W610" i="154"/>
  <c r="AC616" i="154"/>
  <c r="AD616" i="154" s="1"/>
  <c r="W616" i="154"/>
  <c r="AC600" i="154"/>
  <c r="AD600" i="154" s="1"/>
  <c r="AC603" i="154"/>
  <c r="AD603" i="154" s="1"/>
  <c r="AC608" i="154"/>
  <c r="AD608" i="154" s="1"/>
  <c r="AC611" i="154"/>
  <c r="AD611" i="154" s="1"/>
  <c r="AC636" i="154"/>
  <c r="AD636" i="154" s="1"/>
  <c r="W647" i="154"/>
  <c r="AC647" i="154"/>
  <c r="AD647" i="154" s="1"/>
  <c r="AC672" i="154"/>
  <c r="AD672" i="154" s="1"/>
  <c r="W672" i="154"/>
  <c r="AC697" i="154"/>
  <c r="AD697" i="154" s="1"/>
  <c r="W697" i="154"/>
  <c r="AC713" i="154"/>
  <c r="AD713" i="154" s="1"/>
  <c r="W713" i="154"/>
  <c r="AC606" i="154"/>
  <c r="AD606" i="154" s="1"/>
  <c r="AC614" i="154"/>
  <c r="AD614" i="154" s="1"/>
  <c r="W657" i="154"/>
  <c r="AC664" i="154"/>
  <c r="AD664" i="154" s="1"/>
  <c r="W664" i="154"/>
  <c r="AC599" i="154"/>
  <c r="AD599" i="154" s="1"/>
  <c r="AC607" i="154"/>
  <c r="AD607" i="154" s="1"/>
  <c r="AC619" i="154"/>
  <c r="AD619" i="154" s="1"/>
  <c r="AC623" i="154"/>
  <c r="AD623" i="154" s="1"/>
  <c r="W623" i="154"/>
  <c r="AC628" i="154"/>
  <c r="AD628" i="154" s="1"/>
  <c r="AC656" i="154"/>
  <c r="AD656" i="154" s="1"/>
  <c r="W656" i="154"/>
  <c r="AC689" i="154"/>
  <c r="AD689" i="154" s="1"/>
  <c r="W689" i="154"/>
  <c r="AC705" i="154"/>
  <c r="AD705" i="154" s="1"/>
  <c r="W705" i="154"/>
  <c r="AC721" i="154"/>
  <c r="AD721" i="154" s="1"/>
  <c r="W721" i="154"/>
  <c r="AC852" i="154"/>
  <c r="AD852" i="154" s="1"/>
  <c r="W852" i="154"/>
  <c r="AC884" i="154"/>
  <c r="AD884" i="154" s="1"/>
  <c r="W884" i="154"/>
  <c r="AC893" i="154"/>
  <c r="AD893" i="154" s="1"/>
  <c r="AB893" i="154"/>
  <c r="AC952" i="154"/>
  <c r="AD952" i="154" s="1"/>
  <c r="W952" i="154"/>
  <c r="W729" i="154"/>
  <c r="W737" i="154"/>
  <c r="W750" i="154"/>
  <c r="AC751" i="154"/>
  <c r="AD751" i="154" s="1"/>
  <c r="W752" i="154"/>
  <c r="AC757" i="154"/>
  <c r="AD757" i="154" s="1"/>
  <c r="W766" i="154"/>
  <c r="W768" i="154"/>
  <c r="W776" i="154"/>
  <c r="W784" i="154"/>
  <c r="W792" i="154"/>
  <c r="W800" i="154"/>
  <c r="W808" i="154"/>
  <c r="W814" i="154"/>
  <c r="AB831" i="154"/>
  <c r="AC831" i="154"/>
  <c r="AD831" i="154" s="1"/>
  <c r="AC835" i="154"/>
  <c r="AD835" i="154" s="1"/>
  <c r="AC840" i="154"/>
  <c r="AD840" i="154" s="1"/>
  <c r="W840" i="154"/>
  <c r="W844" i="154"/>
  <c r="AC860" i="154"/>
  <c r="AD860" i="154" s="1"/>
  <c r="W860" i="154"/>
  <c r="AC892" i="154"/>
  <c r="AD892" i="154" s="1"/>
  <c r="W892" i="154"/>
  <c r="W895" i="154"/>
  <c r="AC895" i="154"/>
  <c r="AD895" i="154" s="1"/>
  <c r="AC936" i="154"/>
  <c r="AD936" i="154" s="1"/>
  <c r="W936" i="154"/>
  <c r="AC615" i="154"/>
  <c r="AD615" i="154" s="1"/>
  <c r="AC620" i="154"/>
  <c r="AD620" i="154" s="1"/>
  <c r="AC635" i="154"/>
  <c r="AD635" i="154" s="1"/>
  <c r="AC639" i="154"/>
  <c r="AD639" i="154" s="1"/>
  <c r="AC641" i="154"/>
  <c r="AD641" i="154" s="1"/>
  <c r="AC644" i="154"/>
  <c r="AD644" i="154" s="1"/>
  <c r="AC653" i="154"/>
  <c r="AD653" i="154" s="1"/>
  <c r="AC661" i="154"/>
  <c r="AD661" i="154" s="1"/>
  <c r="AC669" i="154"/>
  <c r="AD669" i="154" s="1"/>
  <c r="AC677" i="154"/>
  <c r="AD677" i="154" s="1"/>
  <c r="AC685" i="154"/>
  <c r="AD685" i="154" s="1"/>
  <c r="W688" i="154"/>
  <c r="AC693" i="154"/>
  <c r="AD693" i="154" s="1"/>
  <c r="W696" i="154"/>
  <c r="AC701" i="154"/>
  <c r="AD701" i="154" s="1"/>
  <c r="W704" i="154"/>
  <c r="AC709" i="154"/>
  <c r="AD709" i="154" s="1"/>
  <c r="W712" i="154"/>
  <c r="AC717" i="154"/>
  <c r="AD717" i="154" s="1"/>
  <c r="W720" i="154"/>
  <c r="AC725" i="154"/>
  <c r="AD725" i="154" s="1"/>
  <c r="W728" i="154"/>
  <c r="AC733" i="154"/>
  <c r="AD733" i="154" s="1"/>
  <c r="W736" i="154"/>
  <c r="AC741" i="154"/>
  <c r="AD741" i="154" s="1"/>
  <c r="W749" i="154"/>
  <c r="AB751" i="154"/>
  <c r="AC756" i="154"/>
  <c r="AD756" i="154" s="1"/>
  <c r="AC762" i="154"/>
  <c r="AD762" i="154" s="1"/>
  <c r="W764" i="154"/>
  <c r="AC772" i="154"/>
  <c r="AD772" i="154" s="1"/>
  <c r="W774" i="154"/>
  <c r="AC775" i="154"/>
  <c r="AD775" i="154" s="1"/>
  <c r="AC780" i="154"/>
  <c r="AD780" i="154" s="1"/>
  <c r="W782" i="154"/>
  <c r="AC783" i="154"/>
  <c r="AD783" i="154" s="1"/>
  <c r="AC788" i="154"/>
  <c r="AD788" i="154" s="1"/>
  <c r="W790" i="154"/>
  <c r="AC791" i="154"/>
  <c r="AD791" i="154" s="1"/>
  <c r="AC796" i="154"/>
  <c r="AD796" i="154" s="1"/>
  <c r="W798" i="154"/>
  <c r="AC799" i="154"/>
  <c r="AD799" i="154" s="1"/>
  <c r="AC804" i="154"/>
  <c r="AD804" i="154" s="1"/>
  <c r="W806" i="154"/>
  <c r="AC807" i="154"/>
  <c r="AD807" i="154" s="1"/>
  <c r="AC812" i="154"/>
  <c r="AD812" i="154" s="1"/>
  <c r="AC819" i="154"/>
  <c r="AD819" i="154" s="1"/>
  <c r="AC824" i="154"/>
  <c r="AD824" i="154" s="1"/>
  <c r="W824" i="154"/>
  <c r="W843" i="154"/>
  <c r="AC868" i="154"/>
  <c r="AD868" i="154" s="1"/>
  <c r="W868" i="154"/>
  <c r="AC900" i="154"/>
  <c r="AD900" i="154" s="1"/>
  <c r="W900" i="154"/>
  <c r="AC920" i="154"/>
  <c r="AD920" i="154" s="1"/>
  <c r="W920" i="154"/>
  <c r="AC650" i="154"/>
  <c r="AD650" i="154" s="1"/>
  <c r="AC652" i="154"/>
  <c r="AD652" i="154" s="1"/>
  <c r="AC658" i="154"/>
  <c r="AD658" i="154" s="1"/>
  <c r="AC660" i="154"/>
  <c r="AD660" i="154" s="1"/>
  <c r="AC666" i="154"/>
  <c r="AD666" i="154" s="1"/>
  <c r="AC668" i="154"/>
  <c r="AD668" i="154" s="1"/>
  <c r="AC674" i="154"/>
  <c r="AD674" i="154" s="1"/>
  <c r="AC676" i="154"/>
  <c r="AD676" i="154" s="1"/>
  <c r="AC682" i="154"/>
  <c r="AD682" i="154" s="1"/>
  <c r="AC684" i="154"/>
  <c r="AD684" i="154" s="1"/>
  <c r="AC690" i="154"/>
  <c r="AD690" i="154" s="1"/>
  <c r="AC692" i="154"/>
  <c r="AD692" i="154" s="1"/>
  <c r="AC698" i="154"/>
  <c r="AD698" i="154" s="1"/>
  <c r="AC700" i="154"/>
  <c r="AD700" i="154" s="1"/>
  <c r="AC706" i="154"/>
  <c r="AD706" i="154" s="1"/>
  <c r="AC708" i="154"/>
  <c r="AD708" i="154" s="1"/>
  <c r="AC714" i="154"/>
  <c r="AD714" i="154" s="1"/>
  <c r="AC716" i="154"/>
  <c r="AD716" i="154" s="1"/>
  <c r="AC722" i="154"/>
  <c r="AD722" i="154" s="1"/>
  <c r="AC724" i="154"/>
  <c r="AD724" i="154" s="1"/>
  <c r="AC730" i="154"/>
  <c r="AD730" i="154" s="1"/>
  <c r="AC732" i="154"/>
  <c r="AD732" i="154" s="1"/>
  <c r="AC738" i="154"/>
  <c r="AD738" i="154" s="1"/>
  <c r="AC740" i="154"/>
  <c r="AD740" i="154" s="1"/>
  <c r="AC744" i="154"/>
  <c r="AD744" i="154" s="1"/>
  <c r="AC767" i="154"/>
  <c r="AD767" i="154" s="1"/>
  <c r="AC770" i="154"/>
  <c r="AD770" i="154" s="1"/>
  <c r="AC778" i="154"/>
  <c r="AD778" i="154" s="1"/>
  <c r="AC786" i="154"/>
  <c r="AD786" i="154" s="1"/>
  <c r="AC794" i="154"/>
  <c r="AD794" i="154" s="1"/>
  <c r="AC802" i="154"/>
  <c r="AD802" i="154" s="1"/>
  <c r="AC810" i="154"/>
  <c r="AD810" i="154" s="1"/>
  <c r="AC841" i="154"/>
  <c r="AD841" i="154" s="1"/>
  <c r="AC876" i="154"/>
  <c r="AD876" i="154" s="1"/>
  <c r="W876" i="154"/>
  <c r="AC904" i="154"/>
  <c r="AD904" i="154" s="1"/>
  <c r="W904" i="154"/>
  <c r="AC822" i="154"/>
  <c r="AD822" i="154" s="1"/>
  <c r="AC825" i="154"/>
  <c r="AD825" i="154" s="1"/>
  <c r="AC836" i="154"/>
  <c r="AD836" i="154" s="1"/>
  <c r="AC848" i="154"/>
  <c r="AD848" i="154" s="1"/>
  <c r="W851" i="154"/>
  <c r="AC856" i="154"/>
  <c r="AD856" i="154" s="1"/>
  <c r="W859" i="154"/>
  <c r="AC864" i="154"/>
  <c r="AD864" i="154" s="1"/>
  <c r="W867" i="154"/>
  <c r="AC872" i="154"/>
  <c r="AD872" i="154" s="1"/>
  <c r="W875" i="154"/>
  <c r="AC880" i="154"/>
  <c r="AD880" i="154" s="1"/>
  <c r="W883" i="154"/>
  <c r="AC888" i="154"/>
  <c r="AD888" i="154" s="1"/>
  <c r="W891" i="154"/>
  <c r="AC912" i="154"/>
  <c r="AD912" i="154" s="1"/>
  <c r="W916" i="154"/>
  <c r="AC928" i="154"/>
  <c r="AD928" i="154" s="1"/>
  <c r="W932" i="154"/>
  <c r="AC944" i="154"/>
  <c r="AD944" i="154" s="1"/>
  <c r="W948" i="154"/>
  <c r="AC960" i="154"/>
  <c r="AD960" i="154" s="1"/>
  <c r="AC818" i="154"/>
  <c r="AD818" i="154" s="1"/>
  <c r="W822" i="154"/>
  <c r="AC829" i="154"/>
  <c r="AD829" i="154" s="1"/>
  <c r="AC832" i="154"/>
  <c r="AD832" i="154" s="1"/>
  <c r="W836" i="154"/>
  <c r="AC845" i="154"/>
  <c r="AD845" i="154" s="1"/>
  <c r="AC847" i="154"/>
  <c r="AD847" i="154" s="1"/>
  <c r="W848" i="154"/>
  <c r="AC853" i="154"/>
  <c r="AD853" i="154" s="1"/>
  <c r="AC855" i="154"/>
  <c r="AD855" i="154" s="1"/>
  <c r="W856" i="154"/>
  <c r="AC861" i="154"/>
  <c r="AD861" i="154" s="1"/>
  <c r="AC863" i="154"/>
  <c r="AD863" i="154" s="1"/>
  <c r="W864" i="154"/>
  <c r="AC869" i="154"/>
  <c r="AD869" i="154" s="1"/>
  <c r="AC871" i="154"/>
  <c r="AD871" i="154" s="1"/>
  <c r="W872" i="154"/>
  <c r="AC877" i="154"/>
  <c r="AD877" i="154" s="1"/>
  <c r="AC879" i="154"/>
  <c r="AD879" i="154" s="1"/>
  <c r="W880" i="154"/>
  <c r="AC885" i="154"/>
  <c r="AD885" i="154" s="1"/>
  <c r="AC887" i="154"/>
  <c r="AD887" i="154" s="1"/>
  <c r="W888" i="154"/>
  <c r="AC894" i="154"/>
  <c r="AD894" i="154" s="1"/>
  <c r="AC908" i="154"/>
  <c r="AD908" i="154" s="1"/>
  <c r="W912" i="154"/>
  <c r="AC921" i="154"/>
  <c r="AD921" i="154" s="1"/>
  <c r="AC924" i="154"/>
  <c r="AD924" i="154" s="1"/>
  <c r="W928" i="154"/>
  <c r="AC937" i="154"/>
  <c r="AD937" i="154" s="1"/>
  <c r="AC940" i="154"/>
  <c r="AD940" i="154" s="1"/>
  <c r="W944" i="154"/>
  <c r="AC953" i="154"/>
  <c r="AD953" i="154" s="1"/>
  <c r="AC956" i="154"/>
  <c r="AD956" i="154" s="1"/>
  <c r="W960" i="154"/>
  <c r="AC148" i="154"/>
  <c r="AD148" i="154" s="1"/>
  <c r="AC150" i="154"/>
  <c r="AD150" i="154" s="1"/>
  <c r="AC154" i="154"/>
  <c r="AD154" i="154" s="1"/>
  <c r="AC162" i="154"/>
  <c r="AD162" i="154" s="1"/>
  <c r="AC183" i="154"/>
  <c r="AD183" i="154" s="1"/>
  <c r="P10" i="154"/>
  <c r="Q144" i="154"/>
  <c r="AC227" i="154"/>
  <c r="AD227" i="154" s="1"/>
  <c r="AC230" i="154"/>
  <c r="AD230" i="154" s="1"/>
  <c r="AC240" i="154"/>
  <c r="AD240" i="154" s="1"/>
  <c r="AC243" i="154"/>
  <c r="AD243" i="154" s="1"/>
  <c r="Q321" i="154"/>
  <c r="AC459" i="154"/>
  <c r="AD459" i="154" s="1"/>
  <c r="AC460" i="154"/>
  <c r="AD460" i="154" s="1"/>
  <c r="AC536" i="154"/>
  <c r="AD536" i="154" s="1"/>
  <c r="AC537" i="154"/>
  <c r="AD537" i="154" s="1"/>
  <c r="AC542" i="154"/>
  <c r="AD542" i="154" s="1"/>
  <c r="AA10" i="154"/>
  <c r="AH10" i="154"/>
  <c r="O10" i="154"/>
  <c r="AC32" i="154"/>
  <c r="AD32" i="154" s="1"/>
  <c r="Q44" i="154"/>
  <c r="AC134" i="154"/>
  <c r="AD134" i="154" s="1"/>
  <c r="AC335" i="154"/>
  <c r="AD335" i="154" s="1"/>
  <c r="AC336" i="154"/>
  <c r="AD336" i="154" s="1"/>
  <c r="AC357" i="154"/>
  <c r="AD357" i="154" s="1"/>
  <c r="AC473" i="154"/>
  <c r="AD473" i="154" s="1"/>
  <c r="AC474" i="154"/>
  <c r="AD474" i="154" s="1"/>
  <c r="AC477" i="154"/>
  <c r="AD477" i="154" s="1"/>
  <c r="AC478" i="154"/>
  <c r="AD478" i="154" s="1"/>
  <c r="Q345" i="154"/>
  <c r="Q515" i="154"/>
  <c r="AC522" i="154"/>
  <c r="AD522" i="154" s="1"/>
  <c r="Q189" i="154"/>
  <c r="Q391" i="154"/>
  <c r="Q228" i="154"/>
  <c r="Q230" i="154"/>
  <c r="AC267" i="154"/>
  <c r="AD267" i="154" s="1"/>
  <c r="AC268" i="154"/>
  <c r="AD268" i="154" s="1"/>
  <c r="AC272" i="154"/>
  <c r="AD272" i="154" s="1"/>
  <c r="AC273" i="154"/>
  <c r="AD273" i="154" s="1"/>
  <c r="Q284" i="154"/>
  <c r="Q285" i="154"/>
  <c r="Q288" i="154"/>
  <c r="Q360" i="154"/>
  <c r="Q380" i="154"/>
  <c r="AC403" i="154"/>
  <c r="AD403" i="154" s="1"/>
  <c r="AC406" i="154"/>
  <c r="AD406" i="154" s="1"/>
  <c r="AC499" i="154"/>
  <c r="AD499" i="154" s="1"/>
  <c r="Q373" i="154"/>
  <c r="Q446" i="154"/>
  <c r="Q447" i="154"/>
  <c r="M10" i="154"/>
  <c r="Q48" i="154"/>
  <c r="Q164" i="154"/>
  <c r="Q216" i="154"/>
  <c r="Q217" i="154"/>
  <c r="AC303" i="154"/>
  <c r="AD303" i="154" s="1"/>
  <c r="Q361" i="154"/>
  <c r="AC510" i="154"/>
  <c r="AD510" i="154" s="1"/>
  <c r="Q95" i="154"/>
  <c r="AC126" i="154"/>
  <c r="AD126" i="154" s="1"/>
  <c r="AC129" i="154"/>
  <c r="AD129" i="154" s="1"/>
  <c r="AC164" i="154"/>
  <c r="AD164" i="154" s="1"/>
  <c r="AC177" i="154"/>
  <c r="AD177" i="154" s="1"/>
  <c r="Q180" i="154"/>
  <c r="Q193" i="154"/>
  <c r="Q198" i="154"/>
  <c r="AC214" i="154"/>
  <c r="AD214" i="154" s="1"/>
  <c r="Q377" i="154"/>
  <c r="AC380" i="154"/>
  <c r="AD380" i="154" s="1"/>
  <c r="Q383" i="154"/>
  <c r="AC408" i="154"/>
  <c r="AD408" i="154" s="1"/>
  <c r="AC410" i="154"/>
  <c r="AD410" i="154" s="1"/>
  <c r="AC441" i="154"/>
  <c r="AD441" i="154" s="1"/>
  <c r="AC442" i="154"/>
  <c r="AD442" i="154" s="1"/>
  <c r="AC445" i="154"/>
  <c r="AD445" i="154" s="1"/>
  <c r="AC446" i="154"/>
  <c r="AD446" i="154" s="1"/>
  <c r="Q468" i="154"/>
  <c r="AC515" i="154"/>
  <c r="AD515" i="154" s="1"/>
  <c r="Q37" i="154"/>
  <c r="Q248" i="154"/>
  <c r="AC257" i="154"/>
  <c r="AD257" i="154" s="1"/>
  <c r="AC258" i="154"/>
  <c r="AD258" i="154" s="1"/>
  <c r="Q273" i="154"/>
  <c r="Q304" i="154"/>
  <c r="Q307" i="154"/>
  <c r="Q421" i="154"/>
  <c r="Q422" i="154"/>
  <c r="AC552" i="154"/>
  <c r="AD552" i="154" s="1"/>
  <c r="AC568" i="154"/>
  <c r="AD568" i="154" s="1"/>
  <c r="AC574" i="154"/>
  <c r="AD574" i="154" s="1"/>
  <c r="Q83" i="154"/>
  <c r="Q111" i="154"/>
  <c r="Q171" i="154"/>
  <c r="AC246" i="154"/>
  <c r="AD246" i="154" s="1"/>
  <c r="Q335" i="154"/>
  <c r="Q386" i="154"/>
  <c r="Q413" i="154"/>
  <c r="AC511" i="154"/>
  <c r="AD511" i="154" s="1"/>
  <c r="AC513" i="154"/>
  <c r="AD513" i="154" s="1"/>
  <c r="Q517" i="154"/>
  <c r="Q554" i="154"/>
  <c r="Q41" i="154"/>
  <c r="Q46" i="154"/>
  <c r="Q47" i="154"/>
  <c r="W47" i="154"/>
  <c r="Q52" i="154"/>
  <c r="Q56" i="154"/>
  <c r="Q57" i="154"/>
  <c r="Q58" i="154"/>
  <c r="AC62" i="154"/>
  <c r="AD62" i="154" s="1"/>
  <c r="Q68" i="154"/>
  <c r="Q69" i="154"/>
  <c r="Q80" i="154"/>
  <c r="Q85" i="154"/>
  <c r="Q94" i="154"/>
  <c r="AC99" i="154"/>
  <c r="AD99" i="154" s="1"/>
  <c r="AC101" i="154"/>
  <c r="AD101" i="154" s="1"/>
  <c r="AC102" i="154"/>
  <c r="AD102" i="154" s="1"/>
  <c r="Q156" i="154"/>
  <c r="Q15" i="154"/>
  <c r="Q16" i="154"/>
  <c r="Q17" i="154"/>
  <c r="Q18" i="154"/>
  <c r="Q19" i="154"/>
  <c r="Q20" i="154"/>
  <c r="Q21" i="154"/>
  <c r="Q45" i="154"/>
  <c r="Q60" i="154"/>
  <c r="Q61" i="154"/>
  <c r="Q62" i="154"/>
  <c r="AC63" i="154"/>
  <c r="AD63" i="154" s="1"/>
  <c r="Q76" i="154"/>
  <c r="Q84" i="154"/>
  <c r="AC90" i="154"/>
  <c r="AD90" i="154" s="1"/>
  <c r="Q103" i="154"/>
  <c r="L10" i="154"/>
  <c r="Q23" i="154"/>
  <c r="Q64" i="154"/>
  <c r="Q72" i="154"/>
  <c r="AC83" i="154"/>
  <c r="AD83" i="154" s="1"/>
  <c r="Q107" i="154"/>
  <c r="Q110" i="154"/>
  <c r="Q122" i="154"/>
  <c r="AC139" i="154"/>
  <c r="AD139" i="154" s="1"/>
  <c r="Q130" i="154"/>
  <c r="Q140" i="154"/>
  <c r="Q152" i="154"/>
  <c r="AC156" i="154"/>
  <c r="AD156" i="154" s="1"/>
  <c r="Q162" i="154"/>
  <c r="AC167" i="154"/>
  <c r="AD167" i="154" s="1"/>
  <c r="AC171" i="154"/>
  <c r="AD171" i="154" s="1"/>
  <c r="Q177" i="154"/>
  <c r="AC180" i="154"/>
  <c r="AD180" i="154" s="1"/>
  <c r="AC194" i="154"/>
  <c r="AD194" i="154" s="1"/>
  <c r="Q214" i="154"/>
  <c r="AC224" i="154"/>
  <c r="AD224" i="154" s="1"/>
  <c r="Q244" i="154"/>
  <c r="Q246" i="154"/>
  <c r="AC248" i="154"/>
  <c r="AD248" i="154" s="1"/>
  <c r="AC249" i="154"/>
  <c r="AD249" i="154" s="1"/>
  <c r="AC250" i="154"/>
  <c r="AD250" i="154" s="1"/>
  <c r="Q298" i="154"/>
  <c r="AC299" i="154"/>
  <c r="AD299" i="154" s="1"/>
  <c r="AC304" i="154"/>
  <c r="AD304" i="154" s="1"/>
  <c r="Q313" i="154"/>
  <c r="Q316" i="154"/>
  <c r="AC326" i="154"/>
  <c r="AD326" i="154" s="1"/>
  <c r="AC329" i="154"/>
  <c r="AD329" i="154" s="1"/>
  <c r="AC340" i="154"/>
  <c r="AD340" i="154" s="1"/>
  <c r="AC351" i="154"/>
  <c r="AD351" i="154" s="1"/>
  <c r="Q357" i="154"/>
  <c r="Q367" i="154"/>
  <c r="AC368" i="154"/>
  <c r="AD368" i="154" s="1"/>
  <c r="AC373" i="154"/>
  <c r="AD373" i="154" s="1"/>
  <c r="AC413" i="154"/>
  <c r="AD413" i="154" s="1"/>
  <c r="AC434" i="154"/>
  <c r="AD434" i="154" s="1"/>
  <c r="Q463" i="154"/>
  <c r="AC494" i="154"/>
  <c r="AD494" i="154" s="1"/>
  <c r="AC496" i="154"/>
  <c r="AD496" i="154" s="1"/>
  <c r="AC507" i="154"/>
  <c r="AD507" i="154" s="1"/>
  <c r="AC533" i="154"/>
  <c r="AD533" i="154" s="1"/>
  <c r="Q538" i="154"/>
  <c r="Q539" i="154"/>
  <c r="Q541" i="154"/>
  <c r="Q546" i="154"/>
  <c r="AC556" i="154"/>
  <c r="AD556" i="154" s="1"/>
  <c r="AC558" i="154"/>
  <c r="AD558" i="154" s="1"/>
  <c r="Q276" i="154"/>
  <c r="AC290" i="154"/>
  <c r="AD290" i="154" s="1"/>
  <c r="AC291" i="154"/>
  <c r="AD291" i="154" s="1"/>
  <c r="AC294" i="154"/>
  <c r="AD294" i="154" s="1"/>
  <c r="Q325" i="154"/>
  <c r="Q329" i="154"/>
  <c r="Q341" i="154"/>
  <c r="Q342" i="154"/>
  <c r="AC363" i="154"/>
  <c r="AD363" i="154" s="1"/>
  <c r="AC386" i="154"/>
  <c r="AD386" i="154" s="1"/>
  <c r="AC391" i="154"/>
  <c r="AD391" i="154" s="1"/>
  <c r="AC392" i="154"/>
  <c r="AD392" i="154" s="1"/>
  <c r="Q417" i="154"/>
  <c r="Q430" i="154"/>
  <c r="AC452" i="154"/>
  <c r="AD452" i="154" s="1"/>
  <c r="Q460" i="154"/>
  <c r="Q461" i="154"/>
  <c r="AC463" i="154"/>
  <c r="AD463" i="154" s="1"/>
  <c r="Q493" i="154"/>
  <c r="Q494" i="154"/>
  <c r="Q506" i="154"/>
  <c r="Q555" i="154"/>
  <c r="Q184" i="154"/>
  <c r="Q188" i="154"/>
  <c r="Q196" i="154"/>
  <c r="Q200" i="154"/>
  <c r="Q201" i="154"/>
  <c r="Q232" i="154"/>
  <c r="Q233" i="154"/>
  <c r="Q251" i="154"/>
  <c r="Q262" i="154"/>
  <c r="Q300" i="154"/>
  <c r="W303" i="154"/>
  <c r="Q344" i="154"/>
  <c r="Q389" i="154"/>
  <c r="Q419" i="154"/>
  <c r="Q425" i="154"/>
  <c r="Q440" i="154"/>
  <c r="Q457" i="154"/>
  <c r="Q458" i="154"/>
  <c r="AC467" i="154"/>
  <c r="AD467" i="154" s="1"/>
  <c r="Q471" i="154"/>
  <c r="Q472" i="154"/>
  <c r="AB510" i="154"/>
  <c r="AC591" i="154"/>
  <c r="AD591" i="154" s="1"/>
  <c r="Q39" i="154"/>
  <c r="AC50" i="154"/>
  <c r="AD50" i="154" s="1"/>
  <c r="Q53" i="154"/>
  <c r="Q54" i="154"/>
  <c r="W54" i="154"/>
  <c r="AC55" i="154"/>
  <c r="AD55" i="154" s="1"/>
  <c r="Q67" i="154"/>
  <c r="W67" i="154"/>
  <c r="AC78" i="154"/>
  <c r="AD78" i="154" s="1"/>
  <c r="Q91" i="154"/>
  <c r="Q32" i="154"/>
  <c r="Q49" i="154"/>
  <c r="Q50" i="154"/>
  <c r="AC51" i="154"/>
  <c r="AD51" i="154" s="1"/>
  <c r="AC74" i="154"/>
  <c r="AD74" i="154" s="1"/>
  <c r="Q78" i="154"/>
  <c r="AC79" i="154"/>
  <c r="AD79" i="154" s="1"/>
  <c r="Q88" i="154"/>
  <c r="AC28" i="154"/>
  <c r="AD28" i="154" s="1"/>
  <c r="AC40" i="154"/>
  <c r="AD40" i="154" s="1"/>
  <c r="Q42" i="154"/>
  <c r="Q43" i="154"/>
  <c r="W43" i="154"/>
  <c r="W58" i="154"/>
  <c r="W83" i="154"/>
  <c r="Q99" i="154"/>
  <c r="W99" i="154"/>
  <c r="Q102" i="154"/>
  <c r="W102" i="154"/>
  <c r="AC109" i="154"/>
  <c r="AD109" i="154" s="1"/>
  <c r="AC115" i="154"/>
  <c r="AD115" i="154" s="1"/>
  <c r="AC118" i="154"/>
  <c r="AD118" i="154" s="1"/>
  <c r="AC121" i="154"/>
  <c r="AD121" i="154" s="1"/>
  <c r="AC151" i="154"/>
  <c r="AD151" i="154" s="1"/>
  <c r="Q157" i="154"/>
  <c r="Q160" i="154"/>
  <c r="Q165" i="154"/>
  <c r="Q168" i="154"/>
  <c r="AC174" i="154"/>
  <c r="AD174" i="154" s="1"/>
  <c r="Q181" i="154"/>
  <c r="AC188" i="154"/>
  <c r="AD188" i="154" s="1"/>
  <c r="AC192" i="154"/>
  <c r="AD192" i="154" s="1"/>
  <c r="Q195" i="154"/>
  <c r="AC206" i="154"/>
  <c r="AD206" i="154" s="1"/>
  <c r="Q208" i="154"/>
  <c r="Q209" i="154"/>
  <c r="AC219" i="154"/>
  <c r="AD219" i="154" s="1"/>
  <c r="AC222" i="154"/>
  <c r="AD222" i="154" s="1"/>
  <c r="Q224" i="154"/>
  <c r="Q225" i="154"/>
  <c r="AC235" i="154"/>
  <c r="AD235" i="154" s="1"/>
  <c r="AC238" i="154"/>
  <c r="AD238" i="154" s="1"/>
  <c r="Q240" i="154"/>
  <c r="Q241" i="154"/>
  <c r="Q269" i="154"/>
  <c r="AC275" i="154"/>
  <c r="AD275" i="154" s="1"/>
  <c r="Q280" i="154"/>
  <c r="Q290" i="154"/>
  <c r="Q296" i="154"/>
  <c r="Q301" i="154"/>
  <c r="Q309" i="154"/>
  <c r="AC310" i="154"/>
  <c r="AD310" i="154" s="1"/>
  <c r="Q322" i="154"/>
  <c r="AC323" i="154"/>
  <c r="AD323" i="154" s="1"/>
  <c r="AC331" i="154"/>
  <c r="AD331" i="154" s="1"/>
  <c r="Q337" i="154"/>
  <c r="W340" i="154"/>
  <c r="AC94" i="154"/>
  <c r="AD94" i="154" s="1"/>
  <c r="AC107" i="154"/>
  <c r="AD107" i="154" s="1"/>
  <c r="AC110" i="154"/>
  <c r="AD110" i="154" s="1"/>
  <c r="Q115" i="154"/>
  <c r="Q118" i="154"/>
  <c r="Q121" i="154"/>
  <c r="W121" i="154"/>
  <c r="AC128" i="154"/>
  <c r="AD128" i="154" s="1"/>
  <c r="Q137" i="154"/>
  <c r="W151" i="154"/>
  <c r="Q174" i="154"/>
  <c r="AC176" i="154"/>
  <c r="AD176" i="154" s="1"/>
  <c r="Q179" i="154"/>
  <c r="AC186" i="154"/>
  <c r="AD186" i="154" s="1"/>
  <c r="Q192" i="154"/>
  <c r="Q204" i="154"/>
  <c r="Q205" i="154"/>
  <c r="Q206" i="154"/>
  <c r="Q220" i="154"/>
  <c r="Q222" i="154"/>
  <c r="AC232" i="154"/>
  <c r="AD232" i="154" s="1"/>
  <c r="Q236" i="154"/>
  <c r="Q238" i="154"/>
  <c r="Q254" i="154"/>
  <c r="Q263" i="154"/>
  <c r="Q274" i="154"/>
  <c r="Q278" i="154"/>
  <c r="AC279" i="154"/>
  <c r="AD279" i="154" s="1"/>
  <c r="AC280" i="154"/>
  <c r="AD280" i="154" s="1"/>
  <c r="AC284" i="154"/>
  <c r="AD284" i="154" s="1"/>
  <c r="AC286" i="154"/>
  <c r="AD286" i="154" s="1"/>
  <c r="AC288" i="154"/>
  <c r="AD288" i="154" s="1"/>
  <c r="Q292" i="154"/>
  <c r="Q295" i="154"/>
  <c r="Q305" i="154"/>
  <c r="AC316" i="154"/>
  <c r="AD316" i="154" s="1"/>
  <c r="AC327" i="154"/>
  <c r="AD327" i="154" s="1"/>
  <c r="Q333" i="154"/>
  <c r="AC345" i="154"/>
  <c r="AD345" i="154" s="1"/>
  <c r="Q349" i="154"/>
  <c r="Q249" i="154"/>
  <c r="Q250" i="154"/>
  <c r="AC261" i="154"/>
  <c r="AD261" i="154" s="1"/>
  <c r="Q266" i="154"/>
  <c r="AC120" i="154"/>
  <c r="AD120" i="154" s="1"/>
  <c r="Q126" i="154"/>
  <c r="W126" i="154"/>
  <c r="Q129" i="154"/>
  <c r="W129" i="154"/>
  <c r="Q134" i="154"/>
  <c r="W134" i="154"/>
  <c r="AC136" i="154"/>
  <c r="AD136" i="154" s="1"/>
  <c r="Q148" i="154"/>
  <c r="W148" i="154"/>
  <c r="W154" i="154"/>
  <c r="W162" i="154"/>
  <c r="W171" i="154"/>
  <c r="W177" i="154"/>
  <c r="W214" i="154"/>
  <c r="W230" i="154"/>
  <c r="W246" i="154"/>
  <c r="Q258" i="154"/>
  <c r="W261" i="154"/>
  <c r="Q265" i="154"/>
  <c r="Q267" i="154"/>
  <c r="Q271" i="154"/>
  <c r="Q281" i="154"/>
  <c r="Q287" i="154"/>
  <c r="Q328" i="154"/>
  <c r="W335" i="154"/>
  <c r="AC347" i="154"/>
  <c r="AD347" i="154" s="1"/>
  <c r="Q351" i="154"/>
  <c r="W351" i="154"/>
  <c r="AC352" i="154"/>
  <c r="AD352" i="154" s="1"/>
  <c r="AC356" i="154"/>
  <c r="AD356" i="154" s="1"/>
  <c r="Q358" i="154"/>
  <c r="Q365" i="154"/>
  <c r="Q369" i="154"/>
  <c r="AC381" i="154"/>
  <c r="AD381" i="154" s="1"/>
  <c r="AC385" i="154"/>
  <c r="AD385" i="154" s="1"/>
  <c r="AC389" i="154"/>
  <c r="AD389" i="154" s="1"/>
  <c r="AC398" i="154"/>
  <c r="AD398" i="154" s="1"/>
  <c r="Q405" i="154"/>
  <c r="Q407" i="154"/>
  <c r="Q408" i="154"/>
  <c r="Q409" i="154"/>
  <c r="Q416" i="154"/>
  <c r="AC420" i="154"/>
  <c r="AD420" i="154" s="1"/>
  <c r="AC427" i="154"/>
  <c r="AD427" i="154" s="1"/>
  <c r="Q432" i="154"/>
  <c r="Q433" i="154"/>
  <c r="Q438" i="154"/>
  <c r="Q439" i="154"/>
  <c r="Q444" i="154"/>
  <c r="AC449" i="154"/>
  <c r="AD449" i="154" s="1"/>
  <c r="AC456" i="154"/>
  <c r="AD456" i="154" s="1"/>
  <c r="Q475" i="154"/>
  <c r="Q479" i="154"/>
  <c r="Q507" i="154"/>
  <c r="AC509" i="154"/>
  <c r="AD509" i="154" s="1"/>
  <c r="AC517" i="154"/>
  <c r="AD517" i="154" s="1"/>
  <c r="AC520" i="154"/>
  <c r="AD520" i="154" s="1"/>
  <c r="Q523" i="154"/>
  <c r="Q527" i="154"/>
  <c r="Q531" i="154"/>
  <c r="Q537" i="154"/>
  <c r="AC538" i="154"/>
  <c r="AD538" i="154" s="1"/>
  <c r="Q543" i="154"/>
  <c r="Q550" i="154"/>
  <c r="AC553" i="154"/>
  <c r="AD553" i="154" s="1"/>
  <c r="Q557" i="154"/>
  <c r="Q558" i="154"/>
  <c r="W558" i="154"/>
  <c r="Q560" i="154"/>
  <c r="Q564" i="154"/>
  <c r="Q566" i="154"/>
  <c r="AC569" i="154"/>
  <c r="AD569" i="154" s="1"/>
  <c r="AC585" i="154"/>
  <c r="AD585" i="154" s="1"/>
  <c r="AC598" i="154"/>
  <c r="AD598" i="154" s="1"/>
  <c r="Q353" i="154"/>
  <c r="AC361" i="154"/>
  <c r="AD361" i="154" s="1"/>
  <c r="AC367" i="154"/>
  <c r="AD367" i="154" s="1"/>
  <c r="AC372" i="154"/>
  <c r="AD372" i="154" s="1"/>
  <c r="Q374" i="154"/>
  <c r="AC379" i="154"/>
  <c r="AD379" i="154" s="1"/>
  <c r="Q381" i="154"/>
  <c r="Q385" i="154"/>
  <c r="Q393" i="154"/>
  <c r="Q397" i="154"/>
  <c r="Q411" i="154"/>
  <c r="Q424" i="154"/>
  <c r="AC428" i="154"/>
  <c r="AD428" i="154" s="1"/>
  <c r="AC431" i="154"/>
  <c r="AD431" i="154" s="1"/>
  <c r="AC432" i="154"/>
  <c r="AD432" i="154" s="1"/>
  <c r="Q436" i="154"/>
  <c r="AC438" i="154"/>
  <c r="AD438" i="154" s="1"/>
  <c r="Q442" i="154"/>
  <c r="Q443" i="154"/>
  <c r="Q448" i="154"/>
  <c r="Q452" i="154"/>
  <c r="Q453" i="154"/>
  <c r="AC462" i="154"/>
  <c r="AD462" i="154" s="1"/>
  <c r="Q464" i="154"/>
  <c r="Q469" i="154"/>
  <c r="Q490" i="154"/>
  <c r="Q491" i="154"/>
  <c r="Q500" i="154"/>
  <c r="Q505" i="154"/>
  <c r="Q508" i="154"/>
  <c r="Q509" i="154"/>
  <c r="Q518" i="154"/>
  <c r="AC530" i="154"/>
  <c r="AD530" i="154" s="1"/>
  <c r="AC532" i="154"/>
  <c r="AD532" i="154" s="1"/>
  <c r="AC540" i="154"/>
  <c r="AD540" i="154" s="1"/>
  <c r="Q548" i="154"/>
  <c r="AC549" i="154"/>
  <c r="AD549" i="154" s="1"/>
  <c r="Q553" i="154"/>
  <c r="AC554" i="154"/>
  <c r="AD554" i="154" s="1"/>
  <c r="Q562" i="154"/>
  <c r="AC565" i="154"/>
  <c r="AD565" i="154" s="1"/>
  <c r="Q569" i="154"/>
  <c r="AC572" i="154"/>
  <c r="AD572" i="154" s="1"/>
  <c r="AC590" i="154"/>
  <c r="AD590" i="154" s="1"/>
  <c r="AC595" i="154"/>
  <c r="AD595" i="154" s="1"/>
  <c r="W598" i="154"/>
  <c r="Q376" i="154"/>
  <c r="Q388" i="154"/>
  <c r="W391" i="154"/>
  <c r="AC396" i="154"/>
  <c r="AD396" i="154" s="1"/>
  <c r="Q429" i="154"/>
  <c r="W434" i="154"/>
  <c r="Q450" i="154"/>
  <c r="W459" i="154"/>
  <c r="Q483" i="154"/>
  <c r="Q488" i="154"/>
  <c r="Q492" i="154"/>
  <c r="Q498" i="154"/>
  <c r="Q502" i="154"/>
  <c r="Q503" i="154"/>
  <c r="Q504" i="154"/>
  <c r="Q512" i="154"/>
  <c r="Q513" i="154"/>
  <c r="Q525" i="154"/>
  <c r="Q529" i="154"/>
  <c r="Q534" i="154"/>
  <c r="Q542" i="154"/>
  <c r="AC596" i="154"/>
  <c r="AD596" i="154" s="1"/>
  <c r="Q25" i="154"/>
  <c r="W32" i="154"/>
  <c r="AC33" i="154"/>
  <c r="AD33" i="154" s="1"/>
  <c r="W33" i="154"/>
  <c r="Q14" i="154"/>
  <c r="AC17" i="154"/>
  <c r="AD17" i="154" s="1"/>
  <c r="Q22" i="154"/>
  <c r="Q27" i="154"/>
  <c r="Q30" i="154"/>
  <c r="AC29" i="154"/>
  <c r="AD29" i="154" s="1"/>
  <c r="W29" i="154"/>
  <c r="AC36" i="154"/>
  <c r="AD36" i="154" s="1"/>
  <c r="W36" i="154"/>
  <c r="N10" i="154"/>
  <c r="Q24" i="154"/>
  <c r="AC24" i="154"/>
  <c r="AD24" i="154" s="1"/>
  <c r="AC25" i="154"/>
  <c r="AD25" i="154" s="1"/>
  <c r="Q26" i="154"/>
  <c r="Q28" i="154"/>
  <c r="Q29" i="154"/>
  <c r="Q33" i="154"/>
  <c r="Q35" i="154"/>
  <c r="Q40" i="154"/>
  <c r="Q51" i="154"/>
  <c r="Q55" i="154"/>
  <c r="Q59" i="154"/>
  <c r="Q63" i="154"/>
  <c r="W63" i="154"/>
  <c r="Q65" i="154"/>
  <c r="AC70" i="154"/>
  <c r="AD70" i="154" s="1"/>
  <c r="Q74" i="154"/>
  <c r="W74" i="154"/>
  <c r="AC75" i="154"/>
  <c r="AD75" i="154" s="1"/>
  <c r="Q79" i="154"/>
  <c r="W79" i="154"/>
  <c r="Q81" i="154"/>
  <c r="AC86" i="154"/>
  <c r="AD86" i="154" s="1"/>
  <c r="Q90" i="154"/>
  <c r="W90" i="154"/>
  <c r="Q92" i="154"/>
  <c r="AC95" i="154"/>
  <c r="AD95" i="154" s="1"/>
  <c r="Q96" i="154"/>
  <c r="AC98" i="154"/>
  <c r="AD98" i="154" s="1"/>
  <c r="Q101" i="154"/>
  <c r="W101" i="154"/>
  <c r="AC103" i="154"/>
  <c r="AD103" i="154" s="1"/>
  <c r="Q104" i="154"/>
  <c r="AC106" i="154"/>
  <c r="AD106" i="154" s="1"/>
  <c r="Q109" i="154"/>
  <c r="W109" i="154"/>
  <c r="AC111" i="154"/>
  <c r="AD111" i="154" s="1"/>
  <c r="Q112" i="154"/>
  <c r="AC114" i="154"/>
  <c r="AD114" i="154" s="1"/>
  <c r="Q117" i="154"/>
  <c r="W117" i="154"/>
  <c r="Q120" i="154"/>
  <c r="W120" i="154"/>
  <c r="AC122" i="154"/>
  <c r="AD122" i="154" s="1"/>
  <c r="Q123" i="154"/>
  <c r="AC125" i="154"/>
  <c r="AD125" i="154" s="1"/>
  <c r="Q128" i="154"/>
  <c r="W128" i="154"/>
  <c r="AC130" i="154"/>
  <c r="AD130" i="154" s="1"/>
  <c r="Q131" i="154"/>
  <c r="AC133" i="154"/>
  <c r="AD133" i="154" s="1"/>
  <c r="Q136" i="154"/>
  <c r="W136" i="154"/>
  <c r="AC138" i="154"/>
  <c r="AD138" i="154" s="1"/>
  <c r="W139" i="154"/>
  <c r="Q141" i="154"/>
  <c r="AC144" i="154"/>
  <c r="AD144" i="154" s="1"/>
  <c r="Q145" i="154"/>
  <c r="AC147" i="154"/>
  <c r="AD147" i="154" s="1"/>
  <c r="W150" i="154"/>
  <c r="AC152" i="154"/>
  <c r="AD152" i="154" s="1"/>
  <c r="Q153" i="154"/>
  <c r="W156" i="154"/>
  <c r="AC158" i="154"/>
  <c r="AD158" i="154" s="1"/>
  <c r="Q159" i="154"/>
  <c r="W164" i="154"/>
  <c r="AC166" i="154"/>
  <c r="AD166" i="154" s="1"/>
  <c r="W167" i="154"/>
  <c r="AC169" i="154"/>
  <c r="AD169" i="154" s="1"/>
  <c r="Q173" i="154"/>
  <c r="Q176" i="154"/>
  <c r="W176" i="154"/>
  <c r="W180" i="154"/>
  <c r="AC182" i="154"/>
  <c r="AD182" i="154" s="1"/>
  <c r="Q183" i="154"/>
  <c r="W183" i="154"/>
  <c r="W188" i="154"/>
  <c r="W194" i="154"/>
  <c r="AC196" i="154"/>
  <c r="AD196" i="154" s="1"/>
  <c r="Q197" i="154"/>
  <c r="AC199" i="154"/>
  <c r="AD199" i="154" s="1"/>
  <c r="AC208" i="154"/>
  <c r="AD208" i="154" s="1"/>
  <c r="W208" i="154"/>
  <c r="Q212" i="154"/>
  <c r="Q31" i="154"/>
  <c r="Q34" i="154"/>
  <c r="Q36" i="154"/>
  <c r="Q38" i="154"/>
  <c r="AC66" i="154"/>
  <c r="AD66" i="154" s="1"/>
  <c r="Q70" i="154"/>
  <c r="AC71" i="154"/>
  <c r="AD71" i="154" s="1"/>
  <c r="Q75" i="154"/>
  <c r="Q77" i="154"/>
  <c r="AC82" i="154"/>
  <c r="AD82" i="154" s="1"/>
  <c r="Q86" i="154"/>
  <c r="AC87" i="154"/>
  <c r="AD87" i="154" s="1"/>
  <c r="AC89" i="154"/>
  <c r="AD89" i="154" s="1"/>
  <c r="AC93" i="154"/>
  <c r="AD93" i="154" s="1"/>
  <c r="W95" i="154"/>
  <c r="AC97" i="154"/>
  <c r="AD97" i="154" s="1"/>
  <c r="Q98" i="154"/>
  <c r="W98" i="154"/>
  <c r="W103" i="154"/>
  <c r="AC105" i="154"/>
  <c r="AD105" i="154" s="1"/>
  <c r="Q106" i="154"/>
  <c r="W106" i="154"/>
  <c r="W111" i="154"/>
  <c r="AC113" i="154"/>
  <c r="AD113" i="154" s="1"/>
  <c r="Q114" i="154"/>
  <c r="W114" i="154"/>
  <c r="W122" i="154"/>
  <c r="AC124" i="154"/>
  <c r="AD124" i="154" s="1"/>
  <c r="Q125" i="154"/>
  <c r="W125" i="154"/>
  <c r="W130" i="154"/>
  <c r="AC132" i="154"/>
  <c r="AD132" i="154" s="1"/>
  <c r="Q133" i="154"/>
  <c r="Q138" i="154"/>
  <c r="Q142" i="154"/>
  <c r="AC146" i="154"/>
  <c r="AD146" i="154" s="1"/>
  <c r="Q147" i="154"/>
  <c r="AC160" i="154"/>
  <c r="AD160" i="154" s="1"/>
  <c r="Q161" i="154"/>
  <c r="AC163" i="154"/>
  <c r="AD163" i="154" s="1"/>
  <c r="AC168" i="154"/>
  <c r="AD168" i="154" s="1"/>
  <c r="Q170" i="154"/>
  <c r="AC178" i="154"/>
  <c r="AD178" i="154" s="1"/>
  <c r="Q182" i="154"/>
  <c r="AC184" i="154"/>
  <c r="AD184" i="154" s="1"/>
  <c r="Q185" i="154"/>
  <c r="AC187" i="154"/>
  <c r="AD187" i="154" s="1"/>
  <c r="AC189" i="154"/>
  <c r="AD189" i="154" s="1"/>
  <c r="AC190" i="154"/>
  <c r="AD190" i="154" s="1"/>
  <c r="AC198" i="154"/>
  <c r="AD198" i="154" s="1"/>
  <c r="Q199" i="154"/>
  <c r="AC203" i="154"/>
  <c r="AD203" i="154" s="1"/>
  <c r="W203" i="154"/>
  <c r="AC204" i="154"/>
  <c r="AD204" i="154" s="1"/>
  <c r="W204" i="154"/>
  <c r="AC39" i="154"/>
  <c r="AD39" i="154" s="1"/>
  <c r="Q66" i="154"/>
  <c r="Q71" i="154"/>
  <c r="Q73" i="154"/>
  <c r="Q82" i="154"/>
  <c r="Q87" i="154"/>
  <c r="Q89" i="154"/>
  <c r="Q93" i="154"/>
  <c r="Q97" i="154"/>
  <c r="Q100" i="154"/>
  <c r="Q105" i="154"/>
  <c r="Q108" i="154"/>
  <c r="Q113" i="154"/>
  <c r="Q116" i="154"/>
  <c r="Q119" i="154"/>
  <c r="Q124" i="154"/>
  <c r="Q127" i="154"/>
  <c r="Q132" i="154"/>
  <c r="Q135" i="154"/>
  <c r="Q146" i="154"/>
  <c r="Q149" i="154"/>
  <c r="AC153" i="154"/>
  <c r="AD153" i="154" s="1"/>
  <c r="Q163" i="154"/>
  <c r="Q172" i="154"/>
  <c r="Q175" i="154"/>
  <c r="AC200" i="154"/>
  <c r="AD200" i="154" s="1"/>
  <c r="W200" i="154"/>
  <c r="AC216" i="154"/>
  <c r="AD216" i="154" s="1"/>
  <c r="W216" i="154"/>
  <c r="W186" i="154"/>
  <c r="W192" i="154"/>
  <c r="AC211" i="154"/>
  <c r="AD211" i="154" s="1"/>
  <c r="W211" i="154"/>
  <c r="AC202" i="154"/>
  <c r="AD202" i="154" s="1"/>
  <c r="AC210" i="154"/>
  <c r="AD210" i="154" s="1"/>
  <c r="Q211" i="154"/>
  <c r="AC218" i="154"/>
  <c r="AD218" i="154" s="1"/>
  <c r="Q219" i="154"/>
  <c r="W219" i="154"/>
  <c r="W224" i="154"/>
  <c r="AC226" i="154"/>
  <c r="AD226" i="154" s="1"/>
  <c r="Q227" i="154"/>
  <c r="W227" i="154"/>
  <c r="W232" i="154"/>
  <c r="AC234" i="154"/>
  <c r="AD234" i="154" s="1"/>
  <c r="Q235" i="154"/>
  <c r="W235" i="154"/>
  <c r="W240" i="154"/>
  <c r="AC242" i="154"/>
  <c r="AD242" i="154" s="1"/>
  <c r="Q243" i="154"/>
  <c r="W243" i="154"/>
  <c r="W248" i="154"/>
  <c r="AC251" i="154"/>
  <c r="AD251" i="154" s="1"/>
  <c r="Q252" i="154"/>
  <c r="AC256" i="154"/>
  <c r="AD256" i="154" s="1"/>
  <c r="Q257" i="154"/>
  <c r="W257" i="154"/>
  <c r="Q259" i="154"/>
  <c r="Q261" i="154"/>
  <c r="AC262" i="154"/>
  <c r="AD262" i="154" s="1"/>
  <c r="AC264" i="154"/>
  <c r="AD264" i="154" s="1"/>
  <c r="Q268" i="154"/>
  <c r="AC269" i="154"/>
  <c r="AD269" i="154" s="1"/>
  <c r="AC271" i="154"/>
  <c r="AD271" i="154" s="1"/>
  <c r="Q275" i="154"/>
  <c r="AC276" i="154"/>
  <c r="AD276" i="154" s="1"/>
  <c r="AC278" i="154"/>
  <c r="AD278" i="154" s="1"/>
  <c r="Q282" i="154"/>
  <c r="AC283" i="154"/>
  <c r="AD283" i="154" s="1"/>
  <c r="Q289" i="154"/>
  <c r="Q291" i="154"/>
  <c r="AC292" i="154"/>
  <c r="AD292" i="154" s="1"/>
  <c r="Q294" i="154"/>
  <c r="W294" i="154"/>
  <c r="AC295" i="154"/>
  <c r="AD295" i="154" s="1"/>
  <c r="W295" i="154"/>
  <c r="AC296" i="154"/>
  <c r="AD296" i="154" s="1"/>
  <c r="AC298" i="154"/>
  <c r="AD298" i="154" s="1"/>
  <c r="Q303" i="154"/>
  <c r="AC306" i="154"/>
  <c r="AD306" i="154" s="1"/>
  <c r="W306" i="154"/>
  <c r="AC307" i="154"/>
  <c r="AD307" i="154" s="1"/>
  <c r="AC309" i="154"/>
  <c r="AD309" i="154" s="1"/>
  <c r="AC311" i="154"/>
  <c r="AD311" i="154" s="1"/>
  <c r="Q312" i="154"/>
  <c r="Q317" i="154"/>
  <c r="W322" i="154"/>
  <c r="AC322" i="154"/>
  <c r="AD322" i="154" s="1"/>
  <c r="AC207" i="154"/>
  <c r="AD207" i="154" s="1"/>
  <c r="Q210" i="154"/>
  <c r="AC212" i="154"/>
  <c r="AD212" i="154" s="1"/>
  <c r="Q213" i="154"/>
  <c r="AC215" i="154"/>
  <c r="AD215" i="154" s="1"/>
  <c r="Q218" i="154"/>
  <c r="AC220" i="154"/>
  <c r="AD220" i="154" s="1"/>
  <c r="Q221" i="154"/>
  <c r="AC223" i="154"/>
  <c r="AD223" i="154" s="1"/>
  <c r="Q226" i="154"/>
  <c r="AC228" i="154"/>
  <c r="AD228" i="154" s="1"/>
  <c r="Q229" i="154"/>
  <c r="AC231" i="154"/>
  <c r="AD231" i="154" s="1"/>
  <c r="Q234" i="154"/>
  <c r="AC236" i="154"/>
  <c r="AD236" i="154" s="1"/>
  <c r="Q237" i="154"/>
  <c r="AC239" i="154"/>
  <c r="AD239" i="154" s="1"/>
  <c r="Q242" i="154"/>
  <c r="AC244" i="154"/>
  <c r="AD244" i="154" s="1"/>
  <c r="Q245" i="154"/>
  <c r="AC247" i="154"/>
  <c r="AD247" i="154" s="1"/>
  <c r="AC253" i="154"/>
  <c r="AD253" i="154" s="1"/>
  <c r="AC254" i="154"/>
  <c r="AD254" i="154" s="1"/>
  <c r="Q256" i="154"/>
  <c r="AC260" i="154"/>
  <c r="AD260" i="154" s="1"/>
  <c r="Q264" i="154"/>
  <c r="AC265" i="154"/>
  <c r="AD265" i="154" s="1"/>
  <c r="AC312" i="154"/>
  <c r="AD312" i="154" s="1"/>
  <c r="W312" i="154"/>
  <c r="AC318" i="154"/>
  <c r="AD318" i="154" s="1"/>
  <c r="W318" i="154"/>
  <c r="Q207" i="154"/>
  <c r="W207" i="154"/>
  <c r="W212" i="154"/>
  <c r="Q215" i="154"/>
  <c r="W215" i="154"/>
  <c r="W220" i="154"/>
  <c r="Q223" i="154"/>
  <c r="W223" i="154"/>
  <c r="W228" i="154"/>
  <c r="Q231" i="154"/>
  <c r="W231" i="154"/>
  <c r="W236" i="154"/>
  <c r="Q239" i="154"/>
  <c r="W239" i="154"/>
  <c r="W244" i="154"/>
  <c r="Q247" i="154"/>
  <c r="W247" i="154"/>
  <c r="Q253" i="154"/>
  <c r="W253" i="154"/>
  <c r="W254" i="154"/>
  <c r="Q255" i="154"/>
  <c r="Q260" i="154"/>
  <c r="W260" i="154"/>
  <c r="W265" i="154"/>
  <c r="W267" i="154"/>
  <c r="W272" i="154"/>
  <c r="W279" i="154"/>
  <c r="Q283" i="154"/>
  <c r="W290" i="154"/>
  <c r="W299" i="154"/>
  <c r="Q302" i="154"/>
  <c r="W310" i="154"/>
  <c r="W268" i="154"/>
  <c r="Q270" i="154"/>
  <c r="Q272" i="154"/>
  <c r="W275" i="154"/>
  <c r="Q277" i="154"/>
  <c r="Q279" i="154"/>
  <c r="AC282" i="154"/>
  <c r="AD282" i="154" s="1"/>
  <c r="Q286" i="154"/>
  <c r="W286" i="154"/>
  <c r="AC287" i="154"/>
  <c r="AD287" i="154" s="1"/>
  <c r="W291" i="154"/>
  <c r="Q293" i="154"/>
  <c r="AC314" i="154"/>
  <c r="AD314" i="154" s="1"/>
  <c r="W314" i="154"/>
  <c r="W321" i="154"/>
  <c r="AC321" i="154"/>
  <c r="AD321" i="154" s="1"/>
  <c r="Q297" i="154"/>
  <c r="Q299" i="154"/>
  <c r="AC300" i="154"/>
  <c r="AD300" i="154" s="1"/>
  <c r="AC302" i="154"/>
  <c r="AD302" i="154" s="1"/>
  <c r="Q308" i="154"/>
  <c r="Q310" i="154"/>
  <c r="Q319" i="154"/>
  <c r="Q326" i="154"/>
  <c r="AC328" i="154"/>
  <c r="AD328" i="154" s="1"/>
  <c r="Q334" i="154"/>
  <c r="AC337" i="154"/>
  <c r="AD337" i="154" s="1"/>
  <c r="AC339" i="154"/>
  <c r="AD339" i="154" s="1"/>
  <c r="Q343" i="154"/>
  <c r="AC344" i="154"/>
  <c r="AD344" i="154" s="1"/>
  <c r="Q350" i="154"/>
  <c r="Q352" i="154"/>
  <c r="AC353" i="154"/>
  <c r="AD353" i="154" s="1"/>
  <c r="AC355" i="154"/>
  <c r="AD355" i="154" s="1"/>
  <c r="Q359" i="154"/>
  <c r="AC360" i="154"/>
  <c r="AD360" i="154" s="1"/>
  <c r="Q366" i="154"/>
  <c r="Q368" i="154"/>
  <c r="AC369" i="154"/>
  <c r="AD369" i="154" s="1"/>
  <c r="AC371" i="154"/>
  <c r="AD371" i="154" s="1"/>
  <c r="Q375" i="154"/>
  <c r="AC376" i="154"/>
  <c r="AD376" i="154" s="1"/>
  <c r="AC378" i="154"/>
  <c r="AD378" i="154" s="1"/>
  <c r="Q384" i="154"/>
  <c r="AC388" i="154"/>
  <c r="AD388" i="154" s="1"/>
  <c r="Q392" i="154"/>
  <c r="AC393" i="154"/>
  <c r="AD393" i="154" s="1"/>
  <c r="Q396" i="154"/>
  <c r="AC397" i="154"/>
  <c r="AD397" i="154" s="1"/>
  <c r="Q401" i="154"/>
  <c r="Q403" i="154"/>
  <c r="Q404" i="154"/>
  <c r="AC405" i="154"/>
  <c r="AD405" i="154" s="1"/>
  <c r="AC407" i="154"/>
  <c r="AD407" i="154" s="1"/>
  <c r="AC416" i="154"/>
  <c r="AD416" i="154" s="1"/>
  <c r="Q418" i="154"/>
  <c r="Q420" i="154"/>
  <c r="AC423" i="154"/>
  <c r="AD423" i="154" s="1"/>
  <c r="AC325" i="154"/>
  <c r="AD325" i="154" s="1"/>
  <c r="Q330" i="154"/>
  <c r="AC333" i="154"/>
  <c r="AD333" i="154" s="1"/>
  <c r="Q339" i="154"/>
  <c r="Q346" i="154"/>
  <c r="Q348" i="154"/>
  <c r="AC349" i="154"/>
  <c r="AD349" i="154" s="1"/>
  <c r="Q355" i="154"/>
  <c r="Q362" i="154"/>
  <c r="Q364" i="154"/>
  <c r="AC365" i="154"/>
  <c r="AD365" i="154" s="1"/>
  <c r="Q371" i="154"/>
  <c r="Q378" i="154"/>
  <c r="Q382" i="154"/>
  <c r="AC383" i="154"/>
  <c r="AD383" i="154" s="1"/>
  <c r="Q435" i="154"/>
  <c r="Q399" i="154"/>
  <c r="Q423" i="154"/>
  <c r="Q426" i="154"/>
  <c r="Q428" i="154"/>
  <c r="W431" i="154"/>
  <c r="Q314" i="154"/>
  <c r="Q318" i="154"/>
  <c r="AC319" i="154"/>
  <c r="AD319" i="154" s="1"/>
  <c r="Q320" i="154"/>
  <c r="W327" i="154"/>
  <c r="Q331" i="154"/>
  <c r="W331" i="154"/>
  <c r="AC332" i="154"/>
  <c r="AD332" i="154" s="1"/>
  <c r="Q336" i="154"/>
  <c r="W336" i="154"/>
  <c r="Q338" i="154"/>
  <c r="Q340" i="154"/>
  <c r="AC341" i="154"/>
  <c r="AD341" i="154" s="1"/>
  <c r="AC343" i="154"/>
  <c r="AD343" i="154" s="1"/>
  <c r="Q347" i="154"/>
  <c r="W347" i="154"/>
  <c r="AC348" i="154"/>
  <c r="AD348" i="154" s="1"/>
  <c r="W352" i="154"/>
  <c r="Q354" i="154"/>
  <c r="Q356" i="154"/>
  <c r="AC359" i="154"/>
  <c r="AD359" i="154" s="1"/>
  <c r="Q363" i="154"/>
  <c r="W363" i="154"/>
  <c r="AC364" i="154"/>
  <c r="AD364" i="154" s="1"/>
  <c r="W368" i="154"/>
  <c r="Q370" i="154"/>
  <c r="Q372" i="154"/>
  <c r="AC375" i="154"/>
  <c r="AD375" i="154" s="1"/>
  <c r="Q379" i="154"/>
  <c r="AC382" i="154"/>
  <c r="AD382" i="154" s="1"/>
  <c r="Q387" i="154"/>
  <c r="Q390" i="154"/>
  <c r="W392" i="154"/>
  <c r="Q394" i="154"/>
  <c r="AB396" i="154"/>
  <c r="Q400" i="154"/>
  <c r="W403" i="154"/>
  <c r="Q406" i="154"/>
  <c r="W406" i="154"/>
  <c r="Q410" i="154"/>
  <c r="W410" i="154"/>
  <c r="AC411" i="154"/>
  <c r="AD411" i="154" s="1"/>
  <c r="Q412" i="154"/>
  <c r="AC414" i="154"/>
  <c r="AD414" i="154" s="1"/>
  <c r="AC419" i="154"/>
  <c r="AD419" i="154" s="1"/>
  <c r="AC426" i="154"/>
  <c r="AD426" i="154" s="1"/>
  <c r="AC437" i="154"/>
  <c r="AD437" i="154" s="1"/>
  <c r="W437" i="154"/>
  <c r="Q427" i="154"/>
  <c r="Q431" i="154"/>
  <c r="Q434" i="154"/>
  <c r="AC435" i="154"/>
  <c r="AD435" i="154" s="1"/>
  <c r="Q454" i="154"/>
  <c r="AC455" i="154"/>
  <c r="AD455" i="154" s="1"/>
  <c r="Q456" i="154"/>
  <c r="Q465" i="154"/>
  <c r="AC466" i="154"/>
  <c r="AD466" i="154" s="1"/>
  <c r="Q467" i="154"/>
  <c r="AC470" i="154"/>
  <c r="AD470" i="154" s="1"/>
  <c r="Q473" i="154"/>
  <c r="Q477" i="154"/>
  <c r="Q481" i="154"/>
  <c r="Q486" i="154"/>
  <c r="Q487" i="154"/>
  <c r="Q496" i="154"/>
  <c r="AC506" i="154"/>
  <c r="AD506" i="154" s="1"/>
  <c r="AC519" i="154"/>
  <c r="AD519" i="154" s="1"/>
  <c r="Q520" i="154"/>
  <c r="AC521" i="154"/>
  <c r="AD521" i="154" s="1"/>
  <c r="AC523" i="154"/>
  <c r="AD523" i="154" s="1"/>
  <c r="Q524" i="154"/>
  <c r="AC528" i="154"/>
  <c r="AD528" i="154" s="1"/>
  <c r="Q532" i="154"/>
  <c r="AC534" i="154"/>
  <c r="AD534" i="154" s="1"/>
  <c r="Q535" i="154"/>
  <c r="W536" i="154"/>
  <c r="W538" i="154"/>
  <c r="Q540" i="154"/>
  <c r="AC545" i="154"/>
  <c r="AD545" i="154" s="1"/>
  <c r="AC548" i="154"/>
  <c r="AD548" i="154" s="1"/>
  <c r="Q549" i="154"/>
  <c r="AC550" i="154"/>
  <c r="AD550" i="154" s="1"/>
  <c r="Q551" i="154"/>
  <c r="W552" i="154"/>
  <c r="W554" i="154"/>
  <c r="Q556" i="154"/>
  <c r="AC561" i="154"/>
  <c r="AD561" i="154" s="1"/>
  <c r="AC564" i="154"/>
  <c r="AD564" i="154" s="1"/>
  <c r="Q565" i="154"/>
  <c r="AC566" i="154"/>
  <c r="AD566" i="154" s="1"/>
  <c r="Q567" i="154"/>
  <c r="W568" i="154"/>
  <c r="AC570" i="154"/>
  <c r="AD570" i="154" s="1"/>
  <c r="W572" i="154"/>
  <c r="AC575" i="154"/>
  <c r="AD575" i="154" s="1"/>
  <c r="AC588" i="154"/>
  <c r="AD588" i="154" s="1"/>
  <c r="Q536" i="154"/>
  <c r="AC541" i="154"/>
  <c r="AD541" i="154" s="1"/>
  <c r="AC544" i="154"/>
  <c r="AD544" i="154" s="1"/>
  <c r="Q545" i="154"/>
  <c r="AC546" i="154"/>
  <c r="AD546" i="154" s="1"/>
  <c r="Q547" i="154"/>
  <c r="Q552" i="154"/>
  <c r="AC557" i="154"/>
  <c r="AD557" i="154" s="1"/>
  <c r="AC560" i="154"/>
  <c r="AD560" i="154" s="1"/>
  <c r="Q561" i="154"/>
  <c r="AC562" i="154"/>
  <c r="AD562" i="154" s="1"/>
  <c r="Q563" i="154"/>
  <c r="Q568" i="154"/>
  <c r="AC594" i="154"/>
  <c r="AD594" i="154" s="1"/>
  <c r="W596" i="154"/>
  <c r="W441" i="154"/>
  <c r="W445" i="154"/>
  <c r="W449" i="154"/>
  <c r="Q455" i="154"/>
  <c r="Q459" i="154"/>
  <c r="Q462" i="154"/>
  <c r="Q466" i="154"/>
  <c r="Q474" i="154"/>
  <c r="Q478" i="154"/>
  <c r="Q482" i="154"/>
  <c r="W509" i="154"/>
  <c r="Q510" i="154"/>
  <c r="W511" i="154"/>
  <c r="W513" i="154"/>
  <c r="AC514" i="154"/>
  <c r="AD514" i="154" s="1"/>
  <c r="W517" i="154"/>
  <c r="Q519" i="154"/>
  <c r="Q521" i="154"/>
  <c r="Q559" i="154"/>
  <c r="AC586" i="154"/>
  <c r="AD586" i="154" s="1"/>
  <c r="AC592" i="154"/>
  <c r="AD592" i="154" s="1"/>
  <c r="Q437" i="154"/>
  <c r="Q441" i="154"/>
  <c r="Q445" i="154"/>
  <c r="Q449" i="154"/>
  <c r="Q451" i="154"/>
  <c r="Q470" i="154"/>
  <c r="W473" i="154"/>
  <c r="Q476" i="154"/>
  <c r="W477" i="154"/>
  <c r="Q480" i="154"/>
  <c r="W481" i="154"/>
  <c r="Q484" i="154"/>
  <c r="Q489" i="154"/>
  <c r="AC490" i="154"/>
  <c r="AD490" i="154" s="1"/>
  <c r="AC491" i="154"/>
  <c r="AD491" i="154" s="1"/>
  <c r="AC492" i="154"/>
  <c r="AD492" i="154" s="1"/>
  <c r="W494" i="154"/>
  <c r="Q495" i="154"/>
  <c r="AC495" i="154"/>
  <c r="AD495" i="154" s="1"/>
  <c r="W496" i="154"/>
  <c r="AC497" i="154"/>
  <c r="AD497" i="154" s="1"/>
  <c r="Q499" i="154"/>
  <c r="Q511" i="154"/>
  <c r="W515" i="154"/>
  <c r="AC525" i="154"/>
  <c r="AD525" i="154" s="1"/>
  <c r="Q526" i="154"/>
  <c r="AC527" i="154"/>
  <c r="AD527" i="154" s="1"/>
  <c r="Q528" i="154"/>
  <c r="AC529" i="154"/>
  <c r="AD529" i="154" s="1"/>
  <c r="Q530" i="154"/>
  <c r="AC531" i="154"/>
  <c r="AD531" i="154" s="1"/>
  <c r="W532" i="154"/>
  <c r="Q533" i="154"/>
  <c r="W540" i="154"/>
  <c r="W542" i="154"/>
  <c r="Q544" i="154"/>
  <c r="W556" i="154"/>
  <c r="W585" i="154"/>
  <c r="W592" i="154"/>
  <c r="AI10" i="154"/>
  <c r="AC16" i="154"/>
  <c r="AD16" i="154" s="1"/>
  <c r="W17" i="154"/>
  <c r="AC20" i="154"/>
  <c r="AD20" i="154" s="1"/>
  <c r="AC23" i="154"/>
  <c r="AD23" i="154" s="1"/>
  <c r="W24" i="154"/>
  <c r="AC27" i="154"/>
  <c r="AD27" i="154" s="1"/>
  <c r="W28" i="154"/>
  <c r="AC31" i="154"/>
  <c r="AD31" i="154" s="1"/>
  <c r="AC34" i="154"/>
  <c r="AD34" i="154" s="1"/>
  <c r="W35" i="154"/>
  <c r="AC38" i="154"/>
  <c r="AD38" i="154" s="1"/>
  <c r="W39" i="154"/>
  <c r="AC42" i="154"/>
  <c r="AD42" i="154" s="1"/>
  <c r="AC46" i="154"/>
  <c r="AD46" i="154" s="1"/>
  <c r="W51" i="154"/>
  <c r="W55" i="154"/>
  <c r="W59" i="154"/>
  <c r="Q143" i="154"/>
  <c r="AC149" i="154"/>
  <c r="AD149" i="154" s="1"/>
  <c r="Q158" i="154"/>
  <c r="AC165" i="154"/>
  <c r="AD165" i="154" s="1"/>
  <c r="AC175" i="154"/>
  <c r="AD175" i="154" s="1"/>
  <c r="AC185" i="154"/>
  <c r="AD185" i="154" s="1"/>
  <c r="Q194" i="154"/>
  <c r="AC201" i="154"/>
  <c r="AD201" i="154" s="1"/>
  <c r="AC15" i="154"/>
  <c r="AD15" i="154" s="1"/>
  <c r="AC19" i="154"/>
  <c r="AD19" i="154" s="1"/>
  <c r="AC22" i="154"/>
  <c r="AD22" i="154" s="1"/>
  <c r="AC26" i="154"/>
  <c r="AD26" i="154" s="1"/>
  <c r="AC30" i="154"/>
  <c r="AD30" i="154" s="1"/>
  <c r="AC37" i="154"/>
  <c r="AD37" i="154" s="1"/>
  <c r="AC41" i="154"/>
  <c r="AD41" i="154" s="1"/>
  <c r="AC45" i="154"/>
  <c r="AD45" i="154" s="1"/>
  <c r="AC49" i="154"/>
  <c r="AD49" i="154" s="1"/>
  <c r="AC53" i="154"/>
  <c r="AD53" i="154" s="1"/>
  <c r="AC57" i="154"/>
  <c r="AD57" i="154" s="1"/>
  <c r="AC61" i="154"/>
  <c r="AD61" i="154" s="1"/>
  <c r="AC65" i="154"/>
  <c r="AD65" i="154" s="1"/>
  <c r="AC69" i="154"/>
  <c r="AD69" i="154" s="1"/>
  <c r="AC73" i="154"/>
  <c r="AD73" i="154" s="1"/>
  <c r="AC77" i="154"/>
  <c r="AD77" i="154" s="1"/>
  <c r="AC81" i="154"/>
  <c r="AD81" i="154" s="1"/>
  <c r="AC85" i="154"/>
  <c r="AD85" i="154" s="1"/>
  <c r="AC92" i="154"/>
  <c r="AD92" i="154" s="1"/>
  <c r="AC96" i="154"/>
  <c r="AD96" i="154" s="1"/>
  <c r="AC100" i="154"/>
  <c r="AD100" i="154" s="1"/>
  <c r="AC104" i="154"/>
  <c r="AD104" i="154" s="1"/>
  <c r="AC108" i="154"/>
  <c r="AD108" i="154" s="1"/>
  <c r="AC112" i="154"/>
  <c r="AD112" i="154" s="1"/>
  <c r="AC116" i="154"/>
  <c r="AD116" i="154" s="1"/>
  <c r="AC119" i="154"/>
  <c r="AD119" i="154" s="1"/>
  <c r="AC123" i="154"/>
  <c r="AD123" i="154" s="1"/>
  <c r="AC127" i="154"/>
  <c r="AD127" i="154" s="1"/>
  <c r="AC131" i="154"/>
  <c r="AD131" i="154" s="1"/>
  <c r="AC135" i="154"/>
  <c r="AD135" i="154" s="1"/>
  <c r="AC142" i="154"/>
  <c r="AD142" i="154" s="1"/>
  <c r="AC14" i="154"/>
  <c r="AC18" i="154"/>
  <c r="AD18" i="154" s="1"/>
  <c r="AC21" i="154"/>
  <c r="AD21" i="154" s="1"/>
  <c r="AC44" i="154"/>
  <c r="AD44" i="154" s="1"/>
  <c r="AC48" i="154"/>
  <c r="AD48" i="154" s="1"/>
  <c r="AC52" i="154"/>
  <c r="AD52" i="154" s="1"/>
  <c r="AC56" i="154"/>
  <c r="AD56" i="154" s="1"/>
  <c r="AC60" i="154"/>
  <c r="AD60" i="154" s="1"/>
  <c r="AC64" i="154"/>
  <c r="AD64" i="154" s="1"/>
  <c r="AC68" i="154"/>
  <c r="AD68" i="154" s="1"/>
  <c r="AC72" i="154"/>
  <c r="AD72" i="154" s="1"/>
  <c r="AC76" i="154"/>
  <c r="AD76" i="154" s="1"/>
  <c r="AC80" i="154"/>
  <c r="AD80" i="154" s="1"/>
  <c r="AC84" i="154"/>
  <c r="AD84" i="154" s="1"/>
  <c r="AC88" i="154"/>
  <c r="AD88" i="154" s="1"/>
  <c r="AC91" i="154"/>
  <c r="AD91" i="154" s="1"/>
  <c r="AC137" i="154"/>
  <c r="AD137" i="154" s="1"/>
  <c r="Q150" i="154"/>
  <c r="Q151" i="154"/>
  <c r="AC155" i="154"/>
  <c r="AD155" i="154" s="1"/>
  <c r="AC157" i="154"/>
  <c r="AD157" i="154" s="1"/>
  <c r="Q166" i="154"/>
  <c r="Q167" i="154"/>
  <c r="Q186" i="154"/>
  <c r="Q187" i="154"/>
  <c r="AC191" i="154"/>
  <c r="AD191" i="154" s="1"/>
  <c r="AC193" i="154"/>
  <c r="AD193" i="154" s="1"/>
  <c r="Q202" i="154"/>
  <c r="Q203" i="154"/>
  <c r="Q139" i="154"/>
  <c r="AC140" i="154"/>
  <c r="AD140" i="154" s="1"/>
  <c r="AC141" i="154"/>
  <c r="AD141" i="154" s="1"/>
  <c r="AC143" i="154"/>
  <c r="AD143" i="154" s="1"/>
  <c r="AC145" i="154"/>
  <c r="AD145" i="154" s="1"/>
  <c r="Q154" i="154"/>
  <c r="Q155" i="154"/>
  <c r="AC159" i="154"/>
  <c r="AD159" i="154" s="1"/>
  <c r="AC161" i="154"/>
  <c r="AD161" i="154" s="1"/>
  <c r="Q169" i="154"/>
  <c r="AC170" i="154"/>
  <c r="AD170" i="154" s="1"/>
  <c r="AC172" i="154"/>
  <c r="AD172" i="154" s="1"/>
  <c r="AC173" i="154"/>
  <c r="AD173" i="154" s="1"/>
  <c r="Q178" i="154"/>
  <c r="AC179" i="154"/>
  <c r="AD179" i="154" s="1"/>
  <c r="AC181" i="154"/>
  <c r="AD181" i="154" s="1"/>
  <c r="Q190" i="154"/>
  <c r="Q191" i="154"/>
  <c r="AC195" i="154"/>
  <c r="AD195" i="154" s="1"/>
  <c r="AC197" i="154"/>
  <c r="AD197" i="154" s="1"/>
  <c r="W258" i="154"/>
  <c r="W262" i="154"/>
  <c r="W269" i="154"/>
  <c r="W273" i="154"/>
  <c r="W276" i="154"/>
  <c r="W280" i="154"/>
  <c r="W284" i="154"/>
  <c r="W288" i="154"/>
  <c r="W292" i="154"/>
  <c r="W296" i="154"/>
  <c r="W300" i="154"/>
  <c r="W304" i="154"/>
  <c r="W307" i="154"/>
  <c r="AC313" i="154"/>
  <c r="AD313" i="154" s="1"/>
  <c r="Q315" i="154"/>
  <c r="AC317" i="154"/>
  <c r="AD317" i="154" s="1"/>
  <c r="AC320" i="154"/>
  <c r="AD320" i="154" s="1"/>
  <c r="Q324" i="154"/>
  <c r="Q327" i="154"/>
  <c r="AC330" i="154"/>
  <c r="AD330" i="154" s="1"/>
  <c r="Q323" i="154"/>
  <c r="Q332" i="154"/>
  <c r="AC205" i="154"/>
  <c r="AD205" i="154" s="1"/>
  <c r="AC209" i="154"/>
  <c r="AD209" i="154" s="1"/>
  <c r="AC213" i="154"/>
  <c r="AD213" i="154" s="1"/>
  <c r="AC217" i="154"/>
  <c r="AD217" i="154" s="1"/>
  <c r="AC221" i="154"/>
  <c r="AD221" i="154" s="1"/>
  <c r="AC225" i="154"/>
  <c r="AD225" i="154" s="1"/>
  <c r="AC229" i="154"/>
  <c r="AD229" i="154" s="1"/>
  <c r="AC233" i="154"/>
  <c r="AD233" i="154" s="1"/>
  <c r="AC237" i="154"/>
  <c r="AD237" i="154" s="1"/>
  <c r="AC241" i="154"/>
  <c r="AD241" i="154" s="1"/>
  <c r="AC245" i="154"/>
  <c r="AD245" i="154" s="1"/>
  <c r="AC252" i="154"/>
  <c r="AD252" i="154" s="1"/>
  <c r="AC255" i="154"/>
  <c r="AD255" i="154" s="1"/>
  <c r="AC259" i="154"/>
  <c r="AD259" i="154" s="1"/>
  <c r="AC263" i="154"/>
  <c r="AD263" i="154" s="1"/>
  <c r="AC266" i="154"/>
  <c r="AD266" i="154" s="1"/>
  <c r="AC270" i="154"/>
  <c r="AD270" i="154" s="1"/>
  <c r="AC274" i="154"/>
  <c r="AD274" i="154" s="1"/>
  <c r="AC277" i="154"/>
  <c r="AD277" i="154" s="1"/>
  <c r="AC281" i="154"/>
  <c r="AD281" i="154" s="1"/>
  <c r="AC285" i="154"/>
  <c r="AD285" i="154" s="1"/>
  <c r="AC289" i="154"/>
  <c r="AD289" i="154" s="1"/>
  <c r="AC293" i="154"/>
  <c r="AD293" i="154" s="1"/>
  <c r="AC297" i="154"/>
  <c r="AD297" i="154" s="1"/>
  <c r="AC301" i="154"/>
  <c r="AD301" i="154" s="1"/>
  <c r="AC305" i="154"/>
  <c r="AD305" i="154" s="1"/>
  <c r="AC308" i="154"/>
  <c r="AD308" i="154" s="1"/>
  <c r="Q311" i="154"/>
  <c r="AC315" i="154"/>
  <c r="AD315" i="154" s="1"/>
  <c r="AC324" i="154"/>
  <c r="AD324" i="154" s="1"/>
  <c r="W316" i="154"/>
  <c r="W320" i="154"/>
  <c r="W325" i="154"/>
  <c r="W329" i="154"/>
  <c r="W333" i="154"/>
  <c r="W337" i="154"/>
  <c r="W341" i="154"/>
  <c r="W345" i="154"/>
  <c r="W349" i="154"/>
  <c r="W353" i="154"/>
  <c r="W357" i="154"/>
  <c r="W361" i="154"/>
  <c r="W365" i="154"/>
  <c r="W369" i="154"/>
  <c r="W373" i="154"/>
  <c r="W380" i="154"/>
  <c r="W383" i="154"/>
  <c r="W386" i="154"/>
  <c r="W389" i="154"/>
  <c r="W393" i="154"/>
  <c r="Q398" i="154"/>
  <c r="AC399" i="154"/>
  <c r="AD399" i="154" s="1"/>
  <c r="AC400" i="154"/>
  <c r="AD400" i="154" s="1"/>
  <c r="W405" i="154"/>
  <c r="AC409" i="154"/>
  <c r="AD409" i="154" s="1"/>
  <c r="AC412" i="154"/>
  <c r="AD412" i="154" s="1"/>
  <c r="Q414" i="154"/>
  <c r="AC418" i="154"/>
  <c r="AD418" i="154" s="1"/>
  <c r="Q395" i="154"/>
  <c r="Q402" i="154"/>
  <c r="AC404" i="154"/>
  <c r="AD404" i="154" s="1"/>
  <c r="Q415" i="154"/>
  <c r="AC424" i="154"/>
  <c r="AD424" i="154" s="1"/>
  <c r="AC334" i="154"/>
  <c r="AD334" i="154" s="1"/>
  <c r="AC338" i="154"/>
  <c r="AD338" i="154" s="1"/>
  <c r="AC342" i="154"/>
  <c r="AD342" i="154" s="1"/>
  <c r="AC346" i="154"/>
  <c r="AD346" i="154" s="1"/>
  <c r="AC350" i="154"/>
  <c r="AD350" i="154" s="1"/>
  <c r="AC354" i="154"/>
  <c r="AD354" i="154" s="1"/>
  <c r="AC358" i="154"/>
  <c r="AD358" i="154" s="1"/>
  <c r="AC362" i="154"/>
  <c r="AD362" i="154" s="1"/>
  <c r="AC366" i="154"/>
  <c r="AD366" i="154" s="1"/>
  <c r="AC370" i="154"/>
  <c r="AD370" i="154" s="1"/>
  <c r="AC374" i="154"/>
  <c r="AD374" i="154" s="1"/>
  <c r="AC377" i="154"/>
  <c r="AD377" i="154" s="1"/>
  <c r="AC384" i="154"/>
  <c r="AD384" i="154" s="1"/>
  <c r="AC387" i="154"/>
  <c r="AD387" i="154" s="1"/>
  <c r="AC390" i="154"/>
  <c r="AD390" i="154" s="1"/>
  <c r="AC394" i="154"/>
  <c r="AD394" i="154" s="1"/>
  <c r="AC401" i="154"/>
  <c r="AD401" i="154" s="1"/>
  <c r="AC395" i="154"/>
  <c r="AD395" i="154" s="1"/>
  <c r="AC402" i="154"/>
  <c r="AD402" i="154" s="1"/>
  <c r="AC415" i="154"/>
  <c r="AD415" i="154" s="1"/>
  <c r="AC422" i="154"/>
  <c r="AD422" i="154" s="1"/>
  <c r="W408" i="154"/>
  <c r="W412" i="154"/>
  <c r="W416" i="154"/>
  <c r="W420" i="154"/>
  <c r="W424" i="154"/>
  <c r="W428" i="154"/>
  <c r="W432" i="154"/>
  <c r="W435" i="154"/>
  <c r="W438" i="154"/>
  <c r="W442" i="154"/>
  <c r="W446" i="154"/>
  <c r="W452" i="154"/>
  <c r="W456" i="154"/>
  <c r="W460" i="154"/>
  <c r="W463" i="154"/>
  <c r="W467" i="154"/>
  <c r="W470" i="154"/>
  <c r="W474" i="154"/>
  <c r="W478" i="154"/>
  <c r="W482" i="154"/>
  <c r="Q485" i="154"/>
  <c r="AC486" i="154"/>
  <c r="AD486" i="154" s="1"/>
  <c r="AC487" i="154"/>
  <c r="AD487" i="154" s="1"/>
  <c r="W492" i="154"/>
  <c r="AC493" i="154"/>
  <c r="AD493" i="154" s="1"/>
  <c r="Q501" i="154"/>
  <c r="AC502" i="154"/>
  <c r="AD502" i="154" s="1"/>
  <c r="AC503" i="154"/>
  <c r="AD503" i="154" s="1"/>
  <c r="AC505" i="154"/>
  <c r="AD505" i="154" s="1"/>
  <c r="W507" i="154"/>
  <c r="AC508" i="154"/>
  <c r="AD508" i="154" s="1"/>
  <c r="Q514" i="154"/>
  <c r="AC516" i="154"/>
  <c r="AD516" i="154" s="1"/>
  <c r="AC524" i="154"/>
  <c r="AD524" i="154" s="1"/>
  <c r="AC526" i="154"/>
  <c r="AD526" i="154" s="1"/>
  <c r="AC430" i="154"/>
  <c r="AD430" i="154" s="1"/>
  <c r="AC436" i="154"/>
  <c r="AD436" i="154" s="1"/>
  <c r="AC440" i="154"/>
  <c r="AD440" i="154" s="1"/>
  <c r="AC444" i="154"/>
  <c r="AD444" i="154" s="1"/>
  <c r="AC448" i="154"/>
  <c r="AD448" i="154" s="1"/>
  <c r="AC451" i="154"/>
  <c r="AD451" i="154" s="1"/>
  <c r="AC454" i="154"/>
  <c r="AD454" i="154" s="1"/>
  <c r="AC458" i="154"/>
  <c r="AD458" i="154" s="1"/>
  <c r="AC465" i="154"/>
  <c r="AD465" i="154" s="1"/>
  <c r="AC469" i="154"/>
  <c r="AD469" i="154" s="1"/>
  <c r="AC472" i="154"/>
  <c r="AD472" i="154" s="1"/>
  <c r="AC476" i="154"/>
  <c r="AD476" i="154" s="1"/>
  <c r="AC480" i="154"/>
  <c r="AD480" i="154" s="1"/>
  <c r="AC484" i="154"/>
  <c r="AD484" i="154" s="1"/>
  <c r="AC500" i="154"/>
  <c r="AD500" i="154" s="1"/>
  <c r="AC417" i="154"/>
  <c r="AD417" i="154" s="1"/>
  <c r="AC421" i="154"/>
  <c r="AD421" i="154" s="1"/>
  <c r="AC425" i="154"/>
  <c r="AD425" i="154" s="1"/>
  <c r="AC429" i="154"/>
  <c r="AD429" i="154" s="1"/>
  <c r="AC433" i="154"/>
  <c r="AD433" i="154" s="1"/>
  <c r="AC439" i="154"/>
  <c r="AD439" i="154" s="1"/>
  <c r="AC443" i="154"/>
  <c r="AD443" i="154" s="1"/>
  <c r="AC447" i="154"/>
  <c r="AD447" i="154" s="1"/>
  <c r="AC450" i="154"/>
  <c r="AD450" i="154" s="1"/>
  <c r="AC453" i="154"/>
  <c r="AD453" i="154" s="1"/>
  <c r="AC457" i="154"/>
  <c r="AD457" i="154" s="1"/>
  <c r="AC461" i="154"/>
  <c r="AD461" i="154" s="1"/>
  <c r="AC464" i="154"/>
  <c r="AD464" i="154" s="1"/>
  <c r="AC468" i="154"/>
  <c r="AD468" i="154" s="1"/>
  <c r="AC471" i="154"/>
  <c r="AD471" i="154" s="1"/>
  <c r="AC475" i="154"/>
  <c r="AD475" i="154" s="1"/>
  <c r="AC479" i="154"/>
  <c r="AD479" i="154" s="1"/>
  <c r="AC483" i="154"/>
  <c r="AD483" i="154" s="1"/>
  <c r="AC485" i="154"/>
  <c r="AD485" i="154" s="1"/>
  <c r="AC488" i="154"/>
  <c r="AD488" i="154" s="1"/>
  <c r="AB499" i="154"/>
  <c r="AC501" i="154"/>
  <c r="AD501" i="154" s="1"/>
  <c r="AC504" i="154"/>
  <c r="AD504" i="154" s="1"/>
  <c r="AC512" i="154"/>
  <c r="AD512" i="154" s="1"/>
  <c r="AC489" i="154"/>
  <c r="AD489" i="154" s="1"/>
  <c r="Q497" i="154"/>
  <c r="AC498" i="154"/>
  <c r="AD498" i="154" s="1"/>
  <c r="Q516" i="154"/>
  <c r="AC518" i="154"/>
  <c r="AD518" i="154" s="1"/>
  <c r="Q522" i="154"/>
  <c r="W522" i="154"/>
  <c r="W526" i="154"/>
  <c r="W530" i="154"/>
  <c r="W533" i="154"/>
  <c r="W537" i="154"/>
  <c r="W541" i="154"/>
  <c r="W545" i="154"/>
  <c r="W549" i="154"/>
  <c r="W553" i="154"/>
  <c r="W557" i="154"/>
  <c r="W561" i="154"/>
  <c r="W565" i="154"/>
  <c r="W569" i="154"/>
  <c r="W574" i="154"/>
  <c r="W586" i="154"/>
  <c r="W591" i="154"/>
  <c r="W595" i="154"/>
  <c r="W599" i="154"/>
  <c r="W603" i="154"/>
  <c r="W607" i="154"/>
  <c r="W611" i="154"/>
  <c r="W615" i="154"/>
  <c r="W619" i="154"/>
  <c r="AC624" i="154"/>
  <c r="AD624" i="154" s="1"/>
  <c r="W628" i="154"/>
  <c r="AC629" i="154"/>
  <c r="AD629" i="154" s="1"/>
  <c r="AC630" i="154"/>
  <c r="AD630" i="154" s="1"/>
  <c r="AC632" i="154"/>
  <c r="AD632" i="154" s="1"/>
  <c r="W636" i="154"/>
  <c r="AC637" i="154"/>
  <c r="AD637" i="154" s="1"/>
  <c r="AC638" i="154"/>
  <c r="AD638" i="154" s="1"/>
  <c r="AC640" i="154"/>
  <c r="AD640" i="154" s="1"/>
  <c r="AC535" i="154"/>
  <c r="AD535" i="154" s="1"/>
  <c r="AC539" i="154"/>
  <c r="AD539" i="154" s="1"/>
  <c r="AC543" i="154"/>
  <c r="AD543" i="154" s="1"/>
  <c r="AC547" i="154"/>
  <c r="AD547" i="154" s="1"/>
  <c r="AC551" i="154"/>
  <c r="AD551" i="154" s="1"/>
  <c r="AC555" i="154"/>
  <c r="AD555" i="154" s="1"/>
  <c r="AC559" i="154"/>
  <c r="AD559" i="154" s="1"/>
  <c r="AC563" i="154"/>
  <c r="AD563" i="154" s="1"/>
  <c r="AC567" i="154"/>
  <c r="AD567" i="154" s="1"/>
  <c r="AC571" i="154"/>
  <c r="AD571" i="154" s="1"/>
  <c r="AC577" i="154"/>
  <c r="AD577" i="154" s="1"/>
  <c r="AC589" i="154"/>
  <c r="AD589" i="154" s="1"/>
  <c r="AC593" i="154"/>
  <c r="AD593" i="154" s="1"/>
  <c r="AC597" i="154"/>
  <c r="AD597" i="154" s="1"/>
  <c r="AC601" i="154"/>
  <c r="AD601" i="154" s="1"/>
  <c r="AC605" i="154"/>
  <c r="AD605" i="154" s="1"/>
  <c r="AC609" i="154"/>
  <c r="AD609" i="154" s="1"/>
  <c r="AC613" i="154"/>
  <c r="AD613" i="154" s="1"/>
  <c r="AC617" i="154"/>
  <c r="AD617" i="154" s="1"/>
  <c r="AC621" i="154"/>
  <c r="AD621" i="154" s="1"/>
  <c r="AC626" i="154"/>
  <c r="AD626" i="154" s="1"/>
  <c r="AC634" i="154"/>
  <c r="AD634" i="154" s="1"/>
  <c r="AC642" i="154"/>
  <c r="AD642" i="154" s="1"/>
  <c r="AC645" i="154"/>
  <c r="AD645" i="154" s="1"/>
  <c r="W626" i="154"/>
  <c r="W630" i="154"/>
  <c r="W634" i="154"/>
  <c r="W638" i="154"/>
  <c r="W642" i="154"/>
  <c r="W646" i="154"/>
  <c r="W650" i="154"/>
  <c r="W654" i="154"/>
  <c r="W658" i="154"/>
  <c r="W662" i="154"/>
  <c r="W666" i="154"/>
  <c r="W670" i="154"/>
  <c r="W674" i="154"/>
  <c r="W678" i="154"/>
  <c r="W682" i="154"/>
  <c r="W686" i="154"/>
  <c r="W690" i="154"/>
  <c r="W694" i="154"/>
  <c r="W698" i="154"/>
  <c r="W702" i="154"/>
  <c r="W706" i="154"/>
  <c r="W710" i="154"/>
  <c r="W714" i="154"/>
  <c r="W718" i="154"/>
  <c r="W722" i="154"/>
  <c r="W726" i="154"/>
  <c r="W730" i="154"/>
  <c r="W734" i="154"/>
  <c r="W738" i="154"/>
  <c r="W742" i="154"/>
  <c r="W744" i="154"/>
  <c r="AC747" i="154"/>
  <c r="AD747" i="154" s="1"/>
  <c r="AC758" i="154"/>
  <c r="AD758" i="154" s="1"/>
  <c r="W760" i="154"/>
  <c r="AC763" i="154"/>
  <c r="AD763" i="154" s="1"/>
  <c r="AC771" i="154"/>
  <c r="AD771" i="154" s="1"/>
  <c r="AC743" i="154"/>
  <c r="AD743" i="154" s="1"/>
  <c r="AC745" i="154"/>
  <c r="AD745" i="154" s="1"/>
  <c r="AC754" i="154"/>
  <c r="AD754" i="154" s="1"/>
  <c r="AC759" i="154"/>
  <c r="AD759" i="154" s="1"/>
  <c r="AC765" i="154"/>
  <c r="AD765" i="154" s="1"/>
  <c r="AC773" i="154"/>
  <c r="AD773" i="154" s="1"/>
  <c r="AC651" i="154"/>
  <c r="AD651" i="154" s="1"/>
  <c r="AC655" i="154"/>
  <c r="AD655" i="154" s="1"/>
  <c r="AC659" i="154"/>
  <c r="AD659" i="154" s="1"/>
  <c r="AC663" i="154"/>
  <c r="AD663" i="154" s="1"/>
  <c r="AC667" i="154"/>
  <c r="AD667" i="154" s="1"/>
  <c r="AC671" i="154"/>
  <c r="AD671" i="154" s="1"/>
  <c r="AC675" i="154"/>
  <c r="AD675" i="154" s="1"/>
  <c r="AC679" i="154"/>
  <c r="AD679" i="154" s="1"/>
  <c r="AC683" i="154"/>
  <c r="AD683" i="154" s="1"/>
  <c r="AC687" i="154"/>
  <c r="AD687" i="154" s="1"/>
  <c r="AC691" i="154"/>
  <c r="AD691" i="154" s="1"/>
  <c r="AC695" i="154"/>
  <c r="AD695" i="154" s="1"/>
  <c r="AC699" i="154"/>
  <c r="AD699" i="154" s="1"/>
  <c r="AC703" i="154"/>
  <c r="AD703" i="154" s="1"/>
  <c r="AC707" i="154"/>
  <c r="AD707" i="154" s="1"/>
  <c r="AC711" i="154"/>
  <c r="AD711" i="154" s="1"/>
  <c r="AC715" i="154"/>
  <c r="AD715" i="154" s="1"/>
  <c r="AC719" i="154"/>
  <c r="AD719" i="154" s="1"/>
  <c r="AC723" i="154"/>
  <c r="AD723" i="154" s="1"/>
  <c r="AC727" i="154"/>
  <c r="AD727" i="154" s="1"/>
  <c r="AC731" i="154"/>
  <c r="AD731" i="154" s="1"/>
  <c r="AC735" i="154"/>
  <c r="AD735" i="154" s="1"/>
  <c r="AC739" i="154"/>
  <c r="AD739" i="154" s="1"/>
  <c r="AC748" i="154"/>
  <c r="AD748" i="154" s="1"/>
  <c r="AC755" i="154"/>
  <c r="AD755" i="154" s="1"/>
  <c r="AC746" i="154"/>
  <c r="AD746" i="154" s="1"/>
  <c r="AC753" i="154"/>
  <c r="AD753" i="154" s="1"/>
  <c r="AC761" i="154"/>
  <c r="AD761" i="154" s="1"/>
  <c r="AC769" i="154"/>
  <c r="AD769" i="154" s="1"/>
  <c r="W775" i="154"/>
  <c r="W779" i="154"/>
  <c r="W783" i="154"/>
  <c r="W787" i="154"/>
  <c r="W791" i="154"/>
  <c r="W795" i="154"/>
  <c r="W799" i="154"/>
  <c r="W803" i="154"/>
  <c r="W807" i="154"/>
  <c r="W811" i="154"/>
  <c r="W815" i="154"/>
  <c r="AC816" i="154"/>
  <c r="AD816" i="154" s="1"/>
  <c r="AB817" i="154"/>
  <c r="W818" i="154"/>
  <c r="AC821" i="154"/>
  <c r="AD821" i="154" s="1"/>
  <c r="AC823" i="154"/>
  <c r="AD823" i="154" s="1"/>
  <c r="AC830" i="154"/>
  <c r="AD830" i="154" s="1"/>
  <c r="AC838" i="154"/>
  <c r="AD838" i="154" s="1"/>
  <c r="AC777" i="154"/>
  <c r="AD777" i="154" s="1"/>
  <c r="AC781" i="154"/>
  <c r="AD781" i="154" s="1"/>
  <c r="AC785" i="154"/>
  <c r="AD785" i="154" s="1"/>
  <c r="AC789" i="154"/>
  <c r="AD789" i="154" s="1"/>
  <c r="AC793" i="154"/>
  <c r="AD793" i="154" s="1"/>
  <c r="AC797" i="154"/>
  <c r="AD797" i="154" s="1"/>
  <c r="AC801" i="154"/>
  <c r="AD801" i="154" s="1"/>
  <c r="AC805" i="154"/>
  <c r="AD805" i="154" s="1"/>
  <c r="AC809" i="154"/>
  <c r="AD809" i="154" s="1"/>
  <c r="AC813" i="154"/>
  <c r="AD813" i="154" s="1"/>
  <c r="AC826" i="154"/>
  <c r="AD826" i="154" s="1"/>
  <c r="AB825" i="154"/>
  <c r="AC834" i="154"/>
  <c r="AD834" i="154" s="1"/>
  <c r="AC842" i="154"/>
  <c r="AD842" i="154" s="1"/>
  <c r="AC820" i="154"/>
  <c r="AD820" i="154" s="1"/>
  <c r="W829" i="154"/>
  <c r="W833" i="154"/>
  <c r="W837" i="154"/>
  <c r="W841" i="154"/>
  <c r="W845" i="154"/>
  <c r="W849" i="154"/>
  <c r="W853" i="154"/>
  <c r="W857" i="154"/>
  <c r="W861" i="154"/>
  <c r="W865" i="154"/>
  <c r="W869" i="154"/>
  <c r="W873" i="154"/>
  <c r="W877" i="154"/>
  <c r="W881" i="154"/>
  <c r="W885" i="154"/>
  <c r="W889" i="154"/>
  <c r="AC896" i="154"/>
  <c r="AD896" i="154" s="1"/>
  <c r="AC897" i="154"/>
  <c r="AD897" i="154" s="1"/>
  <c r="AC901" i="154"/>
  <c r="AD901" i="154" s="1"/>
  <c r="AC903" i="154"/>
  <c r="AD903" i="154" s="1"/>
  <c r="AC905" i="154"/>
  <c r="AD905" i="154" s="1"/>
  <c r="AC846" i="154"/>
  <c r="AD846" i="154" s="1"/>
  <c r="AC850" i="154"/>
  <c r="AD850" i="154" s="1"/>
  <c r="AC854" i="154"/>
  <c r="AD854" i="154" s="1"/>
  <c r="AC858" i="154"/>
  <c r="AD858" i="154" s="1"/>
  <c r="AC862" i="154"/>
  <c r="AD862" i="154" s="1"/>
  <c r="AC866" i="154"/>
  <c r="AD866" i="154" s="1"/>
  <c r="AC870" i="154"/>
  <c r="AD870" i="154" s="1"/>
  <c r="AC874" i="154"/>
  <c r="AD874" i="154" s="1"/>
  <c r="AC878" i="154"/>
  <c r="AD878" i="154" s="1"/>
  <c r="AC882" i="154"/>
  <c r="AD882" i="154" s="1"/>
  <c r="AC886" i="154"/>
  <c r="AD886" i="154" s="1"/>
  <c r="AC890" i="154"/>
  <c r="AD890" i="154" s="1"/>
  <c r="AC899" i="154"/>
  <c r="AD899" i="154" s="1"/>
  <c r="W897" i="154"/>
  <c r="W901" i="154"/>
  <c r="W905" i="154"/>
  <c r="W909" i="154"/>
  <c r="W913" i="154"/>
  <c r="W917" i="154"/>
  <c r="W921" i="154"/>
  <c r="W925" i="154"/>
  <c r="W929" i="154"/>
  <c r="W933" i="154"/>
  <c r="W937" i="154"/>
  <c r="W941" i="154"/>
  <c r="W945" i="154"/>
  <c r="W949" i="154"/>
  <c r="W953" i="154"/>
  <c r="W957" i="154"/>
  <c r="AC907" i="154"/>
  <c r="AD907" i="154" s="1"/>
  <c r="AC911" i="154"/>
  <c r="AD911" i="154" s="1"/>
  <c r="AC915" i="154"/>
  <c r="AD915" i="154" s="1"/>
  <c r="AC919" i="154"/>
  <c r="AD919" i="154" s="1"/>
  <c r="AC923" i="154"/>
  <c r="AD923" i="154" s="1"/>
  <c r="AC927" i="154"/>
  <c r="AD927" i="154" s="1"/>
  <c r="AC931" i="154"/>
  <c r="AD931" i="154" s="1"/>
  <c r="AC935" i="154"/>
  <c r="AD935" i="154" s="1"/>
  <c r="AC939" i="154"/>
  <c r="AD939" i="154" s="1"/>
  <c r="AC943" i="154"/>
  <c r="AD943" i="154" s="1"/>
  <c r="AC947" i="154"/>
  <c r="AD947" i="154" s="1"/>
  <c r="AC951" i="154"/>
  <c r="AD951" i="154" s="1"/>
  <c r="AC955" i="154"/>
  <c r="AD955" i="154" s="1"/>
  <c r="AC959" i="154"/>
  <c r="AD959" i="154" s="1"/>
  <c r="AC902" i="154"/>
  <c r="AD902" i="154" s="1"/>
  <c r="AC906" i="154"/>
  <c r="AD906" i="154" s="1"/>
  <c r="AC910" i="154"/>
  <c r="AD910" i="154" s="1"/>
  <c r="AC914" i="154"/>
  <c r="AD914" i="154" s="1"/>
  <c r="AC918" i="154"/>
  <c r="AD918" i="154" s="1"/>
  <c r="AC922" i="154"/>
  <c r="AD922" i="154" s="1"/>
  <c r="AC926" i="154"/>
  <c r="AD926" i="154" s="1"/>
  <c r="AC930" i="154"/>
  <c r="AD930" i="154" s="1"/>
  <c r="AC934" i="154"/>
  <c r="AD934" i="154" s="1"/>
  <c r="AC938" i="154"/>
  <c r="AD938" i="154" s="1"/>
  <c r="AC942" i="154"/>
  <c r="AD942" i="154" s="1"/>
  <c r="AC946" i="154"/>
  <c r="AD946" i="154" s="1"/>
  <c r="AC950" i="154"/>
  <c r="AD950" i="154" s="1"/>
  <c r="AC954" i="154"/>
  <c r="AD954" i="154" s="1"/>
  <c r="AC958" i="154"/>
  <c r="AD958" i="154" s="1"/>
  <c r="E612" i="101" l="1"/>
  <c r="D612" i="134" s="1"/>
  <c r="C614" i="135" s="1"/>
  <c r="C614" i="139" s="1"/>
  <c r="C613" i="101"/>
  <c r="B272" i="101"/>
  <c r="B273" i="139"/>
  <c r="B271" i="134"/>
  <c r="B273" i="135"/>
  <c r="B354" i="139"/>
  <c r="B353" i="101"/>
  <c r="B352" i="134"/>
  <c r="B354" i="135"/>
  <c r="E546" i="101"/>
  <c r="D546" i="134" s="1"/>
  <c r="C548" i="135" s="1"/>
  <c r="C548" i="139" s="1"/>
  <c r="B105" i="101"/>
  <c r="B106" i="139"/>
  <c r="B104" i="134"/>
  <c r="B106" i="135"/>
  <c r="A581" i="101"/>
  <c r="A580" i="134"/>
  <c r="A582" i="135"/>
  <c r="A582" i="139" s="1"/>
  <c r="B155" i="101"/>
  <c r="B156" i="135"/>
  <c r="B156" i="139"/>
  <c r="B154" i="134"/>
  <c r="C547" i="101"/>
  <c r="A548" i="101"/>
  <c r="A547" i="134"/>
  <c r="A549" i="135"/>
  <c r="A549" i="139" s="1"/>
  <c r="B213" i="134"/>
  <c r="B214" i="101"/>
  <c r="B215" i="135"/>
  <c r="B215" i="139"/>
  <c r="B524" i="134"/>
  <c r="B526" i="135"/>
  <c r="B525" i="101"/>
  <c r="B526" i="139"/>
  <c r="B586" i="101"/>
  <c r="B587" i="139"/>
  <c r="B585" i="134"/>
  <c r="B587" i="135"/>
  <c r="B556" i="139"/>
  <c r="B554" i="134"/>
  <c r="B556" i="135"/>
  <c r="B555" i="101"/>
  <c r="A520" i="101"/>
  <c r="A519" i="134"/>
  <c r="A521" i="135"/>
  <c r="A521" i="139" s="1"/>
  <c r="C507" i="101"/>
  <c r="AS439" i="101"/>
  <c r="AR439" i="101"/>
  <c r="E439" i="134"/>
  <c r="D441" i="135" s="1"/>
  <c r="D441" i="139" s="1"/>
  <c r="A240" i="101"/>
  <c r="A239" i="134"/>
  <c r="A241" i="135"/>
  <c r="A241" i="139" s="1"/>
  <c r="A268" i="101"/>
  <c r="A269" i="135"/>
  <c r="A269" i="139" s="1"/>
  <c r="A267" i="134"/>
  <c r="A411" i="101"/>
  <c r="A410" i="134"/>
  <c r="A412" i="135"/>
  <c r="A412" i="139" s="1"/>
  <c r="A349" i="101"/>
  <c r="A348" i="134"/>
  <c r="A350" i="135"/>
  <c r="A350" i="139" s="1"/>
  <c r="C214" i="101"/>
  <c r="C449" i="101"/>
  <c r="E299" i="101"/>
  <c r="D299" i="134" s="1"/>
  <c r="C301" i="135" s="1"/>
  <c r="C301" i="139" s="1"/>
  <c r="C300" i="101"/>
  <c r="A319" i="101"/>
  <c r="A318" i="134"/>
  <c r="A320" i="135"/>
  <c r="A320" i="139" s="1"/>
  <c r="A380" i="101"/>
  <c r="A379" i="134"/>
  <c r="A381" i="135"/>
  <c r="A381" i="139" s="1"/>
  <c r="C471" i="101"/>
  <c r="B324" i="101"/>
  <c r="B325" i="139"/>
  <c r="B323" i="134"/>
  <c r="B325" i="135"/>
  <c r="F440" i="101"/>
  <c r="E440" i="101"/>
  <c r="D440" i="134" s="1"/>
  <c r="C442" i="135" s="1"/>
  <c r="C442" i="139" s="1"/>
  <c r="C441" i="101"/>
  <c r="A102" i="101"/>
  <c r="A101" i="134"/>
  <c r="A103" i="135"/>
  <c r="A103" i="139" s="1"/>
  <c r="A151" i="101"/>
  <c r="A150" i="134"/>
  <c r="A152" i="135"/>
  <c r="A152" i="139" s="1"/>
  <c r="AS36" i="101"/>
  <c r="E36" i="134"/>
  <c r="D38" i="135" s="1"/>
  <c r="D38" i="139" s="1"/>
  <c r="AR36" i="101"/>
  <c r="A72" i="101"/>
  <c r="A71" i="134"/>
  <c r="A73" i="135"/>
  <c r="A73" i="139" s="1"/>
  <c r="A181" i="101"/>
  <c r="A180" i="134"/>
  <c r="A182" i="135"/>
  <c r="A182" i="139" s="1"/>
  <c r="B75" i="139"/>
  <c r="B73" i="134"/>
  <c r="B74" i="101"/>
  <c r="B75" i="135"/>
  <c r="C38" i="101"/>
  <c r="A39" i="101"/>
  <c r="A38" i="134"/>
  <c r="A40" i="135"/>
  <c r="A40" i="139" s="1"/>
  <c r="D37" i="101"/>
  <c r="F37" i="101"/>
  <c r="G37" i="101"/>
  <c r="C37" i="134" s="1"/>
  <c r="E39" i="135" s="1"/>
  <c r="E39" i="139" s="1"/>
  <c r="E37" i="101"/>
  <c r="D37" i="134" s="1"/>
  <c r="C39" i="135" s="1"/>
  <c r="C39" i="139" s="1"/>
  <c r="E130" i="101"/>
  <c r="D130" i="134" s="1"/>
  <c r="C132" i="135" s="1"/>
  <c r="C132" i="139" s="1"/>
  <c r="C131" i="101"/>
  <c r="W10" i="154"/>
  <c r="Q10" i="154"/>
  <c r="AB10" i="154"/>
  <c r="AD14" i="154"/>
  <c r="AC10" i="154"/>
  <c r="E613" i="101" l="1"/>
  <c r="D613" i="134" s="1"/>
  <c r="C615" i="135" s="1"/>
  <c r="C615" i="139" s="1"/>
  <c r="C614" i="101"/>
  <c r="B272" i="134"/>
  <c r="B273" i="101"/>
  <c r="B274" i="139"/>
  <c r="B274" i="135"/>
  <c r="B355" i="135"/>
  <c r="B353" i="134"/>
  <c r="B354" i="101"/>
  <c r="B355" i="139"/>
  <c r="B215" i="101"/>
  <c r="B216" i="135"/>
  <c r="B216" i="139"/>
  <c r="B214" i="134"/>
  <c r="A582" i="101"/>
  <c r="A583" i="135"/>
  <c r="A583" i="139" s="1"/>
  <c r="A581" i="134"/>
  <c r="E507" i="101"/>
  <c r="D507" i="134" s="1"/>
  <c r="C509" i="135" s="1"/>
  <c r="C509" i="139" s="1"/>
  <c r="C508" i="101"/>
  <c r="C548" i="101"/>
  <c r="A549" i="101"/>
  <c r="A548" i="134"/>
  <c r="A550" i="135"/>
  <c r="A550" i="139" s="1"/>
  <c r="B588" i="139"/>
  <c r="B586" i="134"/>
  <c r="B588" i="135"/>
  <c r="B587" i="101"/>
  <c r="B106" i="101"/>
  <c r="B107" i="139"/>
  <c r="B105" i="134"/>
  <c r="B107" i="135"/>
  <c r="B527" i="139"/>
  <c r="B525" i="134"/>
  <c r="B527" i="135"/>
  <c r="B556" i="101"/>
  <c r="B557" i="139"/>
  <c r="B555" i="134"/>
  <c r="B557" i="135"/>
  <c r="A520" i="134"/>
  <c r="A522" i="135"/>
  <c r="A522" i="139" s="1"/>
  <c r="B155" i="134"/>
  <c r="B157" i="135"/>
  <c r="B157" i="139"/>
  <c r="B156" i="101"/>
  <c r="C215" i="101"/>
  <c r="A269" i="101"/>
  <c r="A268" i="134"/>
  <c r="A270" i="135"/>
  <c r="A270" i="139" s="1"/>
  <c r="E449" i="101"/>
  <c r="D449" i="134" s="1"/>
  <c r="C451" i="135" s="1"/>
  <c r="C451" i="139" s="1"/>
  <c r="C450" i="101"/>
  <c r="E440" i="134"/>
  <c r="D442" i="135" s="1"/>
  <c r="D442" i="139" s="1"/>
  <c r="AR440" i="101"/>
  <c r="AS440" i="101"/>
  <c r="A381" i="101"/>
  <c r="A380" i="134"/>
  <c r="A382" i="135"/>
  <c r="A382" i="139" s="1"/>
  <c r="F441" i="101"/>
  <c r="E441" i="101"/>
  <c r="D441" i="134" s="1"/>
  <c r="C443" i="135" s="1"/>
  <c r="C443" i="139" s="1"/>
  <c r="C442" i="101"/>
  <c r="A350" i="101"/>
  <c r="A349" i="134"/>
  <c r="A351" i="135"/>
  <c r="A351" i="139" s="1"/>
  <c r="C241" i="101"/>
  <c r="A240" i="134"/>
  <c r="A242" i="135"/>
  <c r="A242" i="139" s="1"/>
  <c r="A320" i="101"/>
  <c r="A319" i="134"/>
  <c r="A321" i="135"/>
  <c r="A321" i="139" s="1"/>
  <c r="B326" i="139"/>
  <c r="B324" i="134"/>
  <c r="B326" i="135"/>
  <c r="C472" i="101"/>
  <c r="E300" i="101"/>
  <c r="D300" i="134" s="1"/>
  <c r="C302" i="135" s="1"/>
  <c r="C302" i="139" s="1"/>
  <c r="C301" i="101"/>
  <c r="A412" i="101"/>
  <c r="A413" i="135"/>
  <c r="A413" i="139" s="1"/>
  <c r="A411" i="134"/>
  <c r="G38" i="101"/>
  <c r="C38" i="134" s="1"/>
  <c r="E40" i="135" s="1"/>
  <c r="E40" i="139" s="1"/>
  <c r="F38" i="101"/>
  <c r="D38" i="101"/>
  <c r="E38" i="101"/>
  <c r="D38" i="134" s="1"/>
  <c r="C40" i="135" s="1"/>
  <c r="C40" i="139" s="1"/>
  <c r="A152" i="101"/>
  <c r="A151" i="134"/>
  <c r="A153" i="135"/>
  <c r="A153" i="139" s="1"/>
  <c r="C182" i="101"/>
  <c r="A181" i="134"/>
  <c r="A183" i="135"/>
  <c r="A183" i="139" s="1"/>
  <c r="B75" i="101"/>
  <c r="B76" i="139"/>
  <c r="B74" i="134"/>
  <c r="B76" i="135"/>
  <c r="AS37" i="101"/>
  <c r="E37" i="134"/>
  <c r="D39" i="135" s="1"/>
  <c r="D39" i="139" s="1"/>
  <c r="AR37" i="101"/>
  <c r="E131" i="101"/>
  <c r="D131" i="134" s="1"/>
  <c r="C133" i="135" s="1"/>
  <c r="C133" i="139" s="1"/>
  <c r="C132" i="101"/>
  <c r="C103" i="101"/>
  <c r="A102" i="134"/>
  <c r="A104" i="135"/>
  <c r="A104" i="139" s="1"/>
  <c r="C39" i="101"/>
  <c r="A40" i="101"/>
  <c r="A39" i="134"/>
  <c r="A41" i="135"/>
  <c r="A41" i="139" s="1"/>
  <c r="C73" i="101"/>
  <c r="A72" i="134"/>
  <c r="A74" i="135"/>
  <c r="A74" i="139" s="1"/>
  <c r="AD10" i="154"/>
  <c r="E614" i="101" l="1"/>
  <c r="D614" i="134" s="1"/>
  <c r="C616" i="135" s="1"/>
  <c r="C616" i="139" s="1"/>
  <c r="C615" i="101"/>
  <c r="B274" i="101"/>
  <c r="B275" i="139"/>
  <c r="B273" i="134"/>
  <c r="B275" i="135"/>
  <c r="B355" i="101"/>
  <c r="B356" i="139"/>
  <c r="B354" i="134"/>
  <c r="B356" i="135"/>
  <c r="B589" i="139"/>
  <c r="B587" i="134"/>
  <c r="B589" i="135"/>
  <c r="B558" i="135"/>
  <c r="B556" i="134"/>
  <c r="B558" i="139"/>
  <c r="B156" i="134"/>
  <c r="B158" i="135"/>
  <c r="B158" i="139"/>
  <c r="A583" i="101"/>
  <c r="A582" i="134"/>
  <c r="A584" i="135"/>
  <c r="A584" i="139" s="1"/>
  <c r="C549" i="101"/>
  <c r="A550" i="101"/>
  <c r="A551" i="135"/>
  <c r="A551" i="139" s="1"/>
  <c r="A549" i="134"/>
  <c r="E548" i="101"/>
  <c r="D548" i="134" s="1"/>
  <c r="C550" i="135" s="1"/>
  <c r="C550" i="139" s="1"/>
  <c r="B106" i="134"/>
  <c r="B108" i="135"/>
  <c r="B108" i="139"/>
  <c r="E508" i="101"/>
  <c r="D508" i="134" s="1"/>
  <c r="C510" i="135" s="1"/>
  <c r="C510" i="139" s="1"/>
  <c r="C509" i="101"/>
  <c r="B216" i="101"/>
  <c r="B215" i="134"/>
  <c r="B217" i="135"/>
  <c r="B217" i="139"/>
  <c r="C321" i="101"/>
  <c r="A320" i="134"/>
  <c r="A322" i="135"/>
  <c r="A322" i="139" s="1"/>
  <c r="E441" i="134"/>
  <c r="D443" i="135" s="1"/>
  <c r="D443" i="139" s="1"/>
  <c r="AS441" i="101"/>
  <c r="C242" i="101"/>
  <c r="A382" i="101"/>
  <c r="A381" i="134"/>
  <c r="A383" i="135"/>
  <c r="A383" i="139" s="1"/>
  <c r="A270" i="101"/>
  <c r="A271" i="135"/>
  <c r="A271" i="139" s="1"/>
  <c r="A269" i="134"/>
  <c r="C413" i="101"/>
  <c r="A412" i="134"/>
  <c r="A414" i="135"/>
  <c r="A414" i="139" s="1"/>
  <c r="C473" i="101"/>
  <c r="C216" i="101"/>
  <c r="A351" i="101"/>
  <c r="A350" i="134"/>
  <c r="A352" i="135"/>
  <c r="A352" i="139" s="1"/>
  <c r="F442" i="101"/>
  <c r="E442" i="101"/>
  <c r="D442" i="134" s="1"/>
  <c r="C444" i="135" s="1"/>
  <c r="C444" i="139" s="1"/>
  <c r="C443" i="101"/>
  <c r="E450" i="101"/>
  <c r="D450" i="134" s="1"/>
  <c r="C452" i="135" s="1"/>
  <c r="C452" i="139" s="1"/>
  <c r="C451" i="101"/>
  <c r="E301" i="101"/>
  <c r="D301" i="134" s="1"/>
  <c r="C303" i="135" s="1"/>
  <c r="C303" i="139" s="1"/>
  <c r="C302" i="101"/>
  <c r="D39" i="101"/>
  <c r="F39" i="101"/>
  <c r="E39" i="101"/>
  <c r="D39" i="134" s="1"/>
  <c r="C41" i="135" s="1"/>
  <c r="C41" i="139" s="1"/>
  <c r="G39" i="101"/>
  <c r="C39" i="134" s="1"/>
  <c r="E41" i="135" s="1"/>
  <c r="E41" i="139" s="1"/>
  <c r="C153" i="101"/>
  <c r="A152" i="134"/>
  <c r="A154" i="135"/>
  <c r="A154" i="139" s="1"/>
  <c r="C40" i="101"/>
  <c r="A41" i="101"/>
  <c r="A40" i="134"/>
  <c r="A42" i="135"/>
  <c r="A42" i="139" s="1"/>
  <c r="C104" i="101"/>
  <c r="E132" i="101"/>
  <c r="D132" i="134" s="1"/>
  <c r="C134" i="135" s="1"/>
  <c r="C134" i="139" s="1"/>
  <c r="C133" i="101"/>
  <c r="B77" i="139"/>
  <c r="B77" i="135"/>
  <c r="B76" i="101"/>
  <c r="B75" i="134"/>
  <c r="AS38" i="101"/>
  <c r="E38" i="134"/>
  <c r="D40" i="135" s="1"/>
  <c r="D40" i="139" s="1"/>
  <c r="AR38" i="101"/>
  <c r="C74" i="101"/>
  <c r="C183" i="101"/>
  <c r="A955" i="154"/>
  <c r="A943" i="154"/>
  <c r="A927" i="154"/>
  <c r="A919" i="154"/>
  <c r="A903" i="154"/>
  <c r="A891" i="154"/>
  <c r="A875" i="154"/>
  <c r="A859" i="154"/>
  <c r="A843" i="154"/>
  <c r="A831" i="154"/>
  <c r="A819" i="154"/>
  <c r="A953" i="154"/>
  <c r="A941" i="154"/>
  <c r="A960" i="154"/>
  <c r="A956" i="154"/>
  <c r="A952" i="154"/>
  <c r="A948" i="154"/>
  <c r="A944" i="154"/>
  <c r="A940" i="154"/>
  <c r="A936" i="154"/>
  <c r="A932" i="154"/>
  <c r="A928" i="154"/>
  <c r="A924" i="154"/>
  <c r="A920" i="154"/>
  <c r="A916" i="154"/>
  <c r="A912" i="154"/>
  <c r="A908" i="154"/>
  <c r="A904" i="154"/>
  <c r="A900" i="154"/>
  <c r="A896" i="154"/>
  <c r="A892" i="154"/>
  <c r="A888" i="154"/>
  <c r="A884" i="154"/>
  <c r="A880" i="154"/>
  <c r="A876" i="154"/>
  <c r="A872" i="154"/>
  <c r="A868" i="154"/>
  <c r="A864" i="154"/>
  <c r="A860" i="154"/>
  <c r="A856" i="154"/>
  <c r="A852" i="154"/>
  <c r="A848" i="154"/>
  <c r="A844" i="154"/>
  <c r="A840" i="154"/>
  <c r="A836" i="154"/>
  <c r="A832" i="154"/>
  <c r="A828" i="154"/>
  <c r="A824" i="154"/>
  <c r="A820" i="154"/>
  <c r="A816" i="154"/>
  <c r="A812" i="154"/>
  <c r="A784" i="154"/>
  <c r="A752" i="154"/>
  <c r="A704" i="154"/>
  <c r="A700" i="154"/>
  <c r="A676" i="154"/>
  <c r="A672" i="154"/>
  <c r="A644" i="154"/>
  <c r="A939" i="154"/>
  <c r="A911" i="154"/>
  <c r="A887" i="154"/>
  <c r="A871" i="154"/>
  <c r="A851" i="154"/>
  <c r="A827" i="154"/>
  <c r="A783" i="154"/>
  <c r="A703" i="154"/>
  <c r="A643" i="154"/>
  <c r="A951" i="154"/>
  <c r="A935" i="154"/>
  <c r="A915" i="154"/>
  <c r="A895" i="154"/>
  <c r="A879" i="154"/>
  <c r="A867" i="154"/>
  <c r="A855" i="154"/>
  <c r="A839" i="154"/>
  <c r="A823" i="154"/>
  <c r="A811" i="154"/>
  <c r="A751" i="154"/>
  <c r="A671" i="154"/>
  <c r="A958" i="154"/>
  <c r="A950" i="154"/>
  <c r="A946" i="154"/>
  <c r="A942" i="154"/>
  <c r="A938" i="154"/>
  <c r="A934" i="154"/>
  <c r="A930" i="154"/>
  <c r="A926" i="154"/>
  <c r="A922" i="154"/>
  <c r="A918" i="154"/>
  <c r="A914" i="154"/>
  <c r="A910" i="154"/>
  <c r="A906" i="154"/>
  <c r="A902" i="154"/>
  <c r="A898" i="154"/>
  <c r="A894" i="154"/>
  <c r="A890" i="154"/>
  <c r="A886" i="154"/>
  <c r="A882" i="154"/>
  <c r="A878" i="154"/>
  <c r="A874" i="154"/>
  <c r="A870" i="154"/>
  <c r="A866" i="154"/>
  <c r="A862" i="154"/>
  <c r="A858" i="154"/>
  <c r="A854" i="154"/>
  <c r="A850" i="154"/>
  <c r="A846" i="154"/>
  <c r="A842" i="154"/>
  <c r="A838" i="154"/>
  <c r="A834" i="154"/>
  <c r="A830" i="154"/>
  <c r="A826" i="154"/>
  <c r="A822" i="154"/>
  <c r="A818" i="154"/>
  <c r="A814" i="154"/>
  <c r="A782" i="154"/>
  <c r="A750" i="154"/>
  <c r="A730" i="154"/>
  <c r="A702" i="154"/>
  <c r="A674" i="154"/>
  <c r="A642" i="154"/>
  <c r="A959" i="154"/>
  <c r="A947" i="154"/>
  <c r="A931" i="154"/>
  <c r="A923" i="154"/>
  <c r="A907" i="154"/>
  <c r="A899" i="154"/>
  <c r="A883" i="154"/>
  <c r="A863" i="154"/>
  <c r="A847" i="154"/>
  <c r="A835" i="154"/>
  <c r="A815" i="154"/>
  <c r="A731" i="154"/>
  <c r="A675" i="154"/>
  <c r="A954" i="154"/>
  <c r="A957" i="154"/>
  <c r="A949" i="154"/>
  <c r="A945" i="154"/>
  <c r="A937" i="154"/>
  <c r="A933" i="154"/>
  <c r="A929" i="154"/>
  <c r="A925" i="154"/>
  <c r="A921" i="154"/>
  <c r="A917" i="154"/>
  <c r="A913" i="154"/>
  <c r="A909" i="154"/>
  <c r="A905" i="154"/>
  <c r="A901" i="154"/>
  <c r="A897" i="154"/>
  <c r="A893" i="154"/>
  <c r="A889" i="154"/>
  <c r="A885" i="154"/>
  <c r="A881" i="154"/>
  <c r="A877" i="154"/>
  <c r="A873" i="154"/>
  <c r="A869" i="154"/>
  <c r="A865" i="154"/>
  <c r="A861" i="154"/>
  <c r="A857" i="154"/>
  <c r="A853" i="154"/>
  <c r="A849" i="154"/>
  <c r="A845" i="154"/>
  <c r="A841" i="154"/>
  <c r="A837" i="154"/>
  <c r="A833" i="154"/>
  <c r="A829" i="154"/>
  <c r="A825" i="154"/>
  <c r="A821" i="154"/>
  <c r="A817" i="154"/>
  <c r="A813" i="154"/>
  <c r="A781" i="154"/>
  <c r="A701" i="154"/>
  <c r="A673" i="154"/>
  <c r="A641" i="154"/>
  <c r="B957" i="154"/>
  <c r="B953" i="154"/>
  <c r="D933" i="154"/>
  <c r="B933" i="154"/>
  <c r="D929" i="154"/>
  <c r="B929" i="154"/>
  <c r="D925" i="154"/>
  <c r="B925" i="154"/>
  <c r="D921" i="154"/>
  <c r="B921" i="154"/>
  <c r="D917" i="154"/>
  <c r="B917" i="154"/>
  <c r="D913" i="154"/>
  <c r="B913" i="154"/>
  <c r="D909" i="154"/>
  <c r="B909" i="154"/>
  <c r="D905" i="154"/>
  <c r="B905" i="154"/>
  <c r="D901" i="154"/>
  <c r="B901" i="154"/>
  <c r="D897" i="154"/>
  <c r="B897" i="154"/>
  <c r="D893" i="154"/>
  <c r="B893" i="154"/>
  <c r="D889" i="154"/>
  <c r="B889" i="154"/>
  <c r="D885" i="154"/>
  <c r="B885" i="154"/>
  <c r="D881" i="154"/>
  <c r="B881" i="154"/>
  <c r="B869" i="154"/>
  <c r="B865" i="154"/>
  <c r="B861" i="154"/>
  <c r="B857" i="154"/>
  <c r="B853" i="154"/>
  <c r="B825" i="154"/>
  <c r="B960" i="154"/>
  <c r="B956" i="154"/>
  <c r="B952" i="154"/>
  <c r="D936" i="154"/>
  <c r="B936" i="154"/>
  <c r="D932" i="154"/>
  <c r="B932" i="154"/>
  <c r="D928" i="154"/>
  <c r="B928" i="154"/>
  <c r="D924" i="154"/>
  <c r="B924" i="154"/>
  <c r="D920" i="154"/>
  <c r="B920" i="154"/>
  <c r="D916" i="154"/>
  <c r="B916" i="154"/>
  <c r="D912" i="154"/>
  <c r="B912" i="154"/>
  <c r="D908" i="154"/>
  <c r="B908" i="154"/>
  <c r="D904" i="154"/>
  <c r="B904" i="154"/>
  <c r="D900" i="154"/>
  <c r="B900" i="154"/>
  <c r="D896" i="154"/>
  <c r="B896" i="154"/>
  <c r="D892" i="154"/>
  <c r="B892" i="154"/>
  <c r="D888" i="154"/>
  <c r="B888" i="154"/>
  <c r="D884" i="154"/>
  <c r="B884" i="154"/>
  <c r="D880" i="154"/>
  <c r="B880" i="154"/>
  <c r="B872" i="154"/>
  <c r="B868" i="154"/>
  <c r="B864" i="154"/>
  <c r="B860" i="154"/>
  <c r="B856" i="154"/>
  <c r="B852" i="154"/>
  <c r="B804" i="154"/>
  <c r="B959" i="154"/>
  <c r="B955" i="154"/>
  <c r="D935" i="154"/>
  <c r="B935" i="154"/>
  <c r="B931" i="154"/>
  <c r="D931" i="154"/>
  <c r="B927" i="154"/>
  <c r="D927" i="154"/>
  <c r="D923" i="154"/>
  <c r="B923" i="154"/>
  <c r="D919" i="154"/>
  <c r="B919" i="154"/>
  <c r="B915" i="154"/>
  <c r="D915" i="154"/>
  <c r="B911" i="154"/>
  <c r="D911" i="154"/>
  <c r="D907" i="154"/>
  <c r="B907" i="154"/>
  <c r="D903" i="154"/>
  <c r="B903" i="154"/>
  <c r="B899" i="154"/>
  <c r="D899" i="154"/>
  <c r="B895" i="154"/>
  <c r="D895" i="154"/>
  <c r="D891" i="154"/>
  <c r="B891" i="154"/>
  <c r="D887" i="154"/>
  <c r="B887" i="154"/>
  <c r="B883" i="154"/>
  <c r="D883" i="154"/>
  <c r="B879" i="154"/>
  <c r="D879" i="154"/>
  <c r="B871" i="154"/>
  <c r="B867" i="154"/>
  <c r="B863" i="154"/>
  <c r="B859" i="154"/>
  <c r="B855" i="154"/>
  <c r="B851" i="154"/>
  <c r="B835" i="154"/>
  <c r="B795" i="154"/>
  <c r="B958" i="154"/>
  <c r="B954" i="154"/>
  <c r="D934" i="154"/>
  <c r="B934" i="154"/>
  <c r="B930" i="154"/>
  <c r="D930" i="154"/>
  <c r="B926" i="154"/>
  <c r="D926" i="154"/>
  <c r="B922" i="154"/>
  <c r="D922" i="154"/>
  <c r="D918" i="154"/>
  <c r="B918" i="154"/>
  <c r="B914" i="154"/>
  <c r="D914" i="154"/>
  <c r="B910" i="154"/>
  <c r="D910" i="154"/>
  <c r="B906" i="154"/>
  <c r="D906" i="154"/>
  <c r="D902" i="154"/>
  <c r="B902" i="154"/>
  <c r="B898" i="154"/>
  <c r="D898" i="154"/>
  <c r="B894" i="154"/>
  <c r="D894" i="154"/>
  <c r="B890" i="154"/>
  <c r="D890" i="154"/>
  <c r="D886" i="154"/>
  <c r="B886" i="154"/>
  <c r="B882" i="154"/>
  <c r="D882" i="154"/>
  <c r="B878" i="154"/>
  <c r="D878" i="154"/>
  <c r="B870" i="154"/>
  <c r="B866" i="154"/>
  <c r="B862" i="154"/>
  <c r="B858" i="154"/>
  <c r="B854" i="154"/>
  <c r="E615" i="101" l="1"/>
  <c r="D615" i="134" s="1"/>
  <c r="C617" i="135" s="1"/>
  <c r="C617" i="139" s="1"/>
  <c r="C616" i="101"/>
  <c r="B276" i="135"/>
  <c r="B276" i="139"/>
  <c r="B274" i="134"/>
  <c r="B357" i="139"/>
  <c r="B357" i="135"/>
  <c r="B355" i="134"/>
  <c r="C584" i="101"/>
  <c r="A585" i="135"/>
  <c r="A585" i="139" s="1"/>
  <c r="A583" i="134"/>
  <c r="B218" i="139"/>
  <c r="B218" i="135"/>
  <c r="B216" i="134"/>
  <c r="E509" i="101"/>
  <c r="D509" i="134" s="1"/>
  <c r="C511" i="135" s="1"/>
  <c r="C511" i="139" s="1"/>
  <c r="C510" i="101"/>
  <c r="C550" i="101"/>
  <c r="A551" i="101"/>
  <c r="A550" i="134"/>
  <c r="A552" i="135"/>
  <c r="A552" i="139" s="1"/>
  <c r="E549" i="101"/>
  <c r="D549" i="134" s="1"/>
  <c r="C551" i="135" s="1"/>
  <c r="C551" i="139" s="1"/>
  <c r="C243" i="101"/>
  <c r="E451" i="101"/>
  <c r="D451" i="134" s="1"/>
  <c r="C453" i="135" s="1"/>
  <c r="C453" i="139" s="1"/>
  <c r="C452" i="101"/>
  <c r="C352" i="101"/>
  <c r="A351" i="134"/>
  <c r="A353" i="135"/>
  <c r="A353" i="139" s="1"/>
  <c r="C414" i="101"/>
  <c r="C217" i="101"/>
  <c r="A271" i="101"/>
  <c r="A270" i="134"/>
  <c r="A272" i="135"/>
  <c r="A272" i="139" s="1"/>
  <c r="F443" i="101"/>
  <c r="E443" i="101"/>
  <c r="E302" i="101"/>
  <c r="D302" i="134" s="1"/>
  <c r="C304" i="135" s="1"/>
  <c r="C304" i="139" s="1"/>
  <c r="C303" i="101"/>
  <c r="AS442" i="101"/>
  <c r="E442" i="134"/>
  <c r="D444" i="135" s="1"/>
  <c r="D444" i="139" s="1"/>
  <c r="AR442" i="101"/>
  <c r="C474" i="101"/>
  <c r="E473" i="101"/>
  <c r="D473" i="134" s="1"/>
  <c r="C475" i="135" s="1"/>
  <c r="C475" i="139" s="1"/>
  <c r="C322" i="101"/>
  <c r="C383" i="101"/>
  <c r="A384" i="135"/>
  <c r="A384" i="139" s="1"/>
  <c r="A382" i="134"/>
  <c r="C184" i="101"/>
  <c r="F183" i="101"/>
  <c r="E133" i="101"/>
  <c r="D133" i="134" s="1"/>
  <c r="C135" i="135" s="1"/>
  <c r="C135" i="139" s="1"/>
  <c r="C134" i="101"/>
  <c r="C41" i="101"/>
  <c r="C42" i="101"/>
  <c r="A41" i="134"/>
  <c r="A43" i="135"/>
  <c r="A43" i="139" s="1"/>
  <c r="G40" i="101"/>
  <c r="C40" i="134" s="1"/>
  <c r="E42" i="135" s="1"/>
  <c r="E42" i="139" s="1"/>
  <c r="F40" i="101"/>
  <c r="E40" i="101"/>
  <c r="D40" i="134" s="1"/>
  <c r="C42" i="135" s="1"/>
  <c r="C42" i="139" s="1"/>
  <c r="D40" i="101"/>
  <c r="C75" i="101"/>
  <c r="C154" i="101"/>
  <c r="C105" i="101"/>
  <c r="AS39" i="101"/>
  <c r="E39" i="134"/>
  <c r="D41" i="135" s="1"/>
  <c r="D41" i="139" s="1"/>
  <c r="AR39" i="101"/>
  <c r="B78" i="139"/>
  <c r="B76" i="134"/>
  <c r="B78" i="135"/>
  <c r="D946" i="154"/>
  <c r="D950" i="154"/>
  <c r="D947" i="154"/>
  <c r="D951" i="154"/>
  <c r="D940" i="154"/>
  <c r="D956" i="154"/>
  <c r="D945" i="154"/>
  <c r="D942" i="154"/>
  <c r="D958" i="154"/>
  <c r="D943" i="154"/>
  <c r="D959" i="154"/>
  <c r="D952" i="154"/>
  <c r="D941" i="154"/>
  <c r="D957" i="154"/>
  <c r="D938" i="154"/>
  <c r="D948" i="154"/>
  <c r="D937" i="154"/>
  <c r="D953" i="154"/>
  <c r="D954" i="154"/>
  <c r="D939" i="154"/>
  <c r="D955" i="154"/>
  <c r="D944" i="154"/>
  <c r="D960" i="154"/>
  <c r="D949" i="154"/>
  <c r="B948" i="154"/>
  <c r="B941" i="154"/>
  <c r="B946" i="154"/>
  <c r="B947" i="154"/>
  <c r="B944" i="154"/>
  <c r="B937" i="154"/>
  <c r="B942" i="154"/>
  <c r="B939" i="154"/>
  <c r="B943" i="154"/>
  <c r="B940" i="154"/>
  <c r="B949" i="154"/>
  <c r="B938" i="154"/>
  <c r="B950" i="154"/>
  <c r="B951" i="154"/>
  <c r="B945" i="154"/>
  <c r="A732" i="154"/>
  <c r="C886" i="154"/>
  <c r="C902" i="154"/>
  <c r="C918" i="154"/>
  <c r="C934" i="154"/>
  <c r="C950" i="154"/>
  <c r="C891" i="154"/>
  <c r="C907" i="154"/>
  <c r="C923" i="154"/>
  <c r="C939" i="154"/>
  <c r="C955" i="154"/>
  <c r="C888" i="154"/>
  <c r="C904" i="154"/>
  <c r="C920" i="154"/>
  <c r="C936" i="154"/>
  <c r="C952" i="154"/>
  <c r="C881" i="154"/>
  <c r="C897" i="154"/>
  <c r="C913" i="154"/>
  <c r="C929" i="154"/>
  <c r="C945" i="154"/>
  <c r="C882" i="154"/>
  <c r="C898" i="154"/>
  <c r="C914" i="154"/>
  <c r="C930" i="154"/>
  <c r="C946" i="154"/>
  <c r="C887" i="154"/>
  <c r="C903" i="154"/>
  <c r="C919" i="154"/>
  <c r="C935" i="154"/>
  <c r="C951" i="154"/>
  <c r="C884" i="154"/>
  <c r="C900" i="154"/>
  <c r="C916" i="154"/>
  <c r="C932" i="154"/>
  <c r="C948" i="154"/>
  <c r="C893" i="154"/>
  <c r="C909" i="154"/>
  <c r="C925" i="154"/>
  <c r="C941" i="154"/>
  <c r="C957" i="154"/>
  <c r="C878" i="154"/>
  <c r="C894" i="154"/>
  <c r="C910" i="154"/>
  <c r="C926" i="154"/>
  <c r="C942" i="154"/>
  <c r="C958" i="154"/>
  <c r="C883" i="154"/>
  <c r="C899" i="154"/>
  <c r="C915" i="154"/>
  <c r="C931" i="154"/>
  <c r="C947" i="154"/>
  <c r="C880" i="154"/>
  <c r="C896" i="154"/>
  <c r="C912" i="154"/>
  <c r="C928" i="154"/>
  <c r="C944" i="154"/>
  <c r="C960" i="154"/>
  <c r="C889" i="154"/>
  <c r="C905" i="154"/>
  <c r="C921" i="154"/>
  <c r="C937" i="154"/>
  <c r="C953" i="154"/>
  <c r="C890" i="154"/>
  <c r="C906" i="154"/>
  <c r="C922" i="154"/>
  <c r="C938" i="154"/>
  <c r="C954" i="154"/>
  <c r="C879" i="154"/>
  <c r="C895" i="154"/>
  <c r="C911" i="154"/>
  <c r="C927" i="154"/>
  <c r="C943" i="154"/>
  <c r="C959" i="154"/>
  <c r="C892" i="154"/>
  <c r="C908" i="154"/>
  <c r="C924" i="154"/>
  <c r="C940" i="154"/>
  <c r="C956" i="154"/>
  <c r="C885" i="154"/>
  <c r="C901" i="154"/>
  <c r="C917" i="154"/>
  <c r="C933" i="154"/>
  <c r="C949" i="154"/>
  <c r="D616" i="134" l="1"/>
  <c r="C618" i="135" s="1"/>
  <c r="C618" i="139" s="1"/>
  <c r="C617" i="101"/>
  <c r="E510" i="101"/>
  <c r="D510" i="134" s="1"/>
  <c r="C512" i="135" s="1"/>
  <c r="C512" i="139" s="1"/>
  <c r="C511" i="101"/>
  <c r="C551" i="101"/>
  <c r="A552" i="101"/>
  <c r="A551" i="134"/>
  <c r="A553" i="135"/>
  <c r="A553" i="139" s="1"/>
  <c r="C585" i="101"/>
  <c r="E550" i="101"/>
  <c r="D550" i="134" s="1"/>
  <c r="C552" i="135" s="1"/>
  <c r="C552" i="139" s="1"/>
  <c r="C353" i="101"/>
  <c r="C323" i="101"/>
  <c r="E452" i="101"/>
  <c r="D452" i="134" s="1"/>
  <c r="C454" i="135" s="1"/>
  <c r="C454" i="139" s="1"/>
  <c r="C453" i="101"/>
  <c r="C475" i="101"/>
  <c r="E474" i="101"/>
  <c r="D474" i="134" s="1"/>
  <c r="C476" i="135" s="1"/>
  <c r="C476" i="139" s="1"/>
  <c r="D443" i="134"/>
  <c r="C445" i="135" s="1"/>
  <c r="C445" i="139" s="1"/>
  <c r="E444" i="101"/>
  <c r="AS443" i="101"/>
  <c r="E443" i="134"/>
  <c r="D445" i="135" s="1"/>
  <c r="D445" i="139" s="1"/>
  <c r="AR443" i="101"/>
  <c r="F444" i="101"/>
  <c r="C244" i="101"/>
  <c r="C218" i="101"/>
  <c r="C415" i="101"/>
  <c r="C384" i="101"/>
  <c r="C272" i="101"/>
  <c r="A271" i="134"/>
  <c r="A273" i="135"/>
  <c r="A273" i="139" s="1"/>
  <c r="E303" i="101"/>
  <c r="D303" i="134" s="1"/>
  <c r="C305" i="135" s="1"/>
  <c r="C305" i="139" s="1"/>
  <c r="C304" i="101"/>
  <c r="C43" i="101"/>
  <c r="D41" i="101"/>
  <c r="D42" i="101" s="1"/>
  <c r="F41" i="101"/>
  <c r="E41" i="101"/>
  <c r="D41" i="134" s="1"/>
  <c r="C43" i="135" s="1"/>
  <c r="C43" i="139" s="1"/>
  <c r="G41" i="101"/>
  <c r="C41" i="134" s="1"/>
  <c r="E43" i="135" s="1"/>
  <c r="E43" i="139" s="1"/>
  <c r="E134" i="101"/>
  <c r="D134" i="134" s="1"/>
  <c r="C136" i="135" s="1"/>
  <c r="C136" i="139" s="1"/>
  <c r="C135" i="101"/>
  <c r="C76" i="101"/>
  <c r="C106" i="101"/>
  <c r="AS40" i="101"/>
  <c r="E40" i="134"/>
  <c r="D42" i="135" s="1"/>
  <c r="D42" i="139" s="1"/>
  <c r="AR40" i="101"/>
  <c r="E183" i="134"/>
  <c r="D185" i="135" s="1"/>
  <c r="D185" i="139" s="1"/>
  <c r="AS183" i="101"/>
  <c r="C155" i="101"/>
  <c r="F184" i="101"/>
  <c r="C185" i="101"/>
  <c r="B764" i="154"/>
  <c r="B744" i="154"/>
  <c r="B873" i="154"/>
  <c r="B845" i="154"/>
  <c r="A785" i="154"/>
  <c r="A753" i="154"/>
  <c r="A705" i="154"/>
  <c r="A645" i="154"/>
  <c r="A677" i="154"/>
  <c r="A733" i="154"/>
  <c r="A183" i="154"/>
  <c r="E617" i="101" l="1"/>
  <c r="D617" i="134" s="1"/>
  <c r="C619" i="135" s="1"/>
  <c r="C619" i="139" s="1"/>
  <c r="C618" i="101"/>
  <c r="C586" i="101"/>
  <c r="C552" i="101"/>
  <c r="C553" i="101"/>
  <c r="A552" i="134"/>
  <c r="A554" i="135"/>
  <c r="A554" i="139" s="1"/>
  <c r="E551" i="101"/>
  <c r="D551" i="134" s="1"/>
  <c r="C553" i="135" s="1"/>
  <c r="C553" i="139" s="1"/>
  <c r="E511" i="101"/>
  <c r="D511" i="134" s="1"/>
  <c r="C513" i="135" s="1"/>
  <c r="C513" i="139" s="1"/>
  <c r="C512" i="101"/>
  <c r="C272" i="134"/>
  <c r="E274" i="135" s="1"/>
  <c r="E274" i="139" s="1"/>
  <c r="C273" i="101"/>
  <c r="D444" i="134"/>
  <c r="C446" i="135" s="1"/>
  <c r="C446" i="139" s="1"/>
  <c r="E445" i="101"/>
  <c r="C324" i="101"/>
  <c r="C245" i="101"/>
  <c r="E304" i="101"/>
  <c r="D304" i="134" s="1"/>
  <c r="C306" i="135" s="1"/>
  <c r="C306" i="139" s="1"/>
  <c r="C305" i="101"/>
  <c r="E475" i="101"/>
  <c r="D475" i="134" s="1"/>
  <c r="C477" i="135" s="1"/>
  <c r="C477" i="139" s="1"/>
  <c r="C476" i="101"/>
  <c r="C385" i="101"/>
  <c r="E453" i="101"/>
  <c r="D453" i="134" s="1"/>
  <c r="C455" i="135" s="1"/>
  <c r="C455" i="139" s="1"/>
  <c r="C454" i="101"/>
  <c r="C354" i="101"/>
  <c r="C416" i="101"/>
  <c r="E218" i="101"/>
  <c r="D218" i="134" s="1"/>
  <c r="C220" i="135" s="1"/>
  <c r="C220" i="139" s="1"/>
  <c r="C219" i="101"/>
  <c r="AS444" i="101"/>
  <c r="E444" i="134"/>
  <c r="D446" i="135" s="1"/>
  <c r="D446" i="139" s="1"/>
  <c r="AR444" i="101"/>
  <c r="F445" i="101"/>
  <c r="C107" i="101"/>
  <c r="AS41" i="101"/>
  <c r="E41" i="134"/>
  <c r="D43" i="135" s="1"/>
  <c r="D43" i="139" s="1"/>
  <c r="AR41" i="101"/>
  <c r="G42" i="101"/>
  <c r="C42" i="134" s="1"/>
  <c r="E44" i="135" s="1"/>
  <c r="E44" i="139" s="1"/>
  <c r="C156" i="101"/>
  <c r="C77" i="101"/>
  <c r="E42" i="101"/>
  <c r="D42" i="134" s="1"/>
  <c r="C44" i="135" s="1"/>
  <c r="C44" i="139" s="1"/>
  <c r="F42" i="101"/>
  <c r="F43" i="101" s="1"/>
  <c r="F185" i="101"/>
  <c r="C186" i="101"/>
  <c r="E135" i="101"/>
  <c r="D135" i="134" s="1"/>
  <c r="C137" i="135" s="1"/>
  <c r="C137" i="139" s="1"/>
  <c r="C136" i="101"/>
  <c r="D43" i="101"/>
  <c r="C44" i="101"/>
  <c r="E184" i="134"/>
  <c r="D186" i="135" s="1"/>
  <c r="D186" i="139" s="1"/>
  <c r="AR184" i="101"/>
  <c r="B874" i="154"/>
  <c r="B734" i="154"/>
  <c r="B846" i="154"/>
  <c r="B28" i="154"/>
  <c r="A754" i="154"/>
  <c r="A786" i="154"/>
  <c r="A734" i="154"/>
  <c r="A678" i="154"/>
  <c r="A646" i="154"/>
  <c r="A706" i="154"/>
  <c r="A184" i="154"/>
  <c r="E618" i="101" l="1"/>
  <c r="D618" i="134" s="1"/>
  <c r="C620" i="135" s="1"/>
  <c r="C620" i="139" s="1"/>
  <c r="C619" i="101"/>
  <c r="C554" i="101"/>
  <c r="E512" i="101"/>
  <c r="D512" i="134" s="1"/>
  <c r="C514" i="135" s="1"/>
  <c r="C514" i="139" s="1"/>
  <c r="C513" i="101"/>
  <c r="E552" i="101"/>
  <c r="D552" i="134" s="1"/>
  <c r="C554" i="135" s="1"/>
  <c r="C554" i="139" s="1"/>
  <c r="E43" i="101"/>
  <c r="D43" i="134" s="1"/>
  <c r="C45" i="135" s="1"/>
  <c r="C45" i="139" s="1"/>
  <c r="C587" i="101"/>
  <c r="C355" i="101"/>
  <c r="C477" i="101"/>
  <c r="E476" i="101"/>
  <c r="D476" i="134" s="1"/>
  <c r="C478" i="135" s="1"/>
  <c r="C478" i="139" s="1"/>
  <c r="C325" i="101"/>
  <c r="C417" i="101"/>
  <c r="C306" i="101"/>
  <c r="AS445" i="101"/>
  <c r="E445" i="134"/>
  <c r="D447" i="135" s="1"/>
  <c r="D447" i="139" s="1"/>
  <c r="AR445" i="101"/>
  <c r="F446" i="101"/>
  <c r="D445" i="134"/>
  <c r="C447" i="135" s="1"/>
  <c r="C447" i="139" s="1"/>
  <c r="E446" i="101"/>
  <c r="E454" i="101"/>
  <c r="D454" i="134" s="1"/>
  <c r="C456" i="135" s="1"/>
  <c r="C456" i="139" s="1"/>
  <c r="C455" i="101"/>
  <c r="D245" i="134"/>
  <c r="C247" i="135" s="1"/>
  <c r="C247" i="139" s="1"/>
  <c r="C246" i="101"/>
  <c r="G43" i="101"/>
  <c r="C43" i="134" s="1"/>
  <c r="E45" i="135" s="1"/>
  <c r="E45" i="139" s="1"/>
  <c r="E219" i="101"/>
  <c r="D219" i="134" s="1"/>
  <c r="C221" i="135" s="1"/>
  <c r="C221" i="139" s="1"/>
  <c r="C220" i="101"/>
  <c r="C386" i="101"/>
  <c r="C274" i="101"/>
  <c r="AS43" i="101"/>
  <c r="E43" i="134"/>
  <c r="D45" i="135" s="1"/>
  <c r="D45" i="139" s="1"/>
  <c r="C108" i="101"/>
  <c r="AS42" i="101"/>
  <c r="E42" i="134"/>
  <c r="D44" i="135" s="1"/>
  <c r="D44" i="139" s="1"/>
  <c r="AR42" i="101"/>
  <c r="C45" i="101"/>
  <c r="D44" i="101"/>
  <c r="F44" i="101"/>
  <c r="C78" i="101"/>
  <c r="C137" i="101"/>
  <c r="C187" i="101"/>
  <c r="F186" i="101"/>
  <c r="C157" i="101"/>
  <c r="E185" i="134"/>
  <c r="D187" i="135" s="1"/>
  <c r="D187" i="139" s="1"/>
  <c r="AS185" i="101"/>
  <c r="B875" i="154"/>
  <c r="B847" i="154"/>
  <c r="B842" i="154"/>
  <c r="A679" i="154"/>
  <c r="A787" i="154"/>
  <c r="A755" i="154"/>
  <c r="A707" i="154"/>
  <c r="A647" i="154"/>
  <c r="A735" i="154"/>
  <c r="A185" i="154"/>
  <c r="E619" i="101" l="1"/>
  <c r="D619" i="134" s="1"/>
  <c r="C621" i="135" s="1"/>
  <c r="C621" i="139" s="1"/>
  <c r="C620" i="101"/>
  <c r="E44" i="101"/>
  <c r="D44" i="134" s="1"/>
  <c r="C46" i="135" s="1"/>
  <c r="C46" i="139" s="1"/>
  <c r="G44" i="101"/>
  <c r="C44" i="134" s="1"/>
  <c r="E46" i="135" s="1"/>
  <c r="E46" i="139" s="1"/>
  <c r="E513" i="101"/>
  <c r="D513" i="134" s="1"/>
  <c r="C515" i="135" s="1"/>
  <c r="C515" i="139" s="1"/>
  <c r="C514" i="101"/>
  <c r="C588" i="101"/>
  <c r="E553" i="101"/>
  <c r="D553" i="134" s="1"/>
  <c r="C555" i="135" s="1"/>
  <c r="C555" i="139" s="1"/>
  <c r="C555" i="101"/>
  <c r="E306" i="101"/>
  <c r="D306" i="134" s="1"/>
  <c r="C308" i="135" s="1"/>
  <c r="C308" i="139" s="1"/>
  <c r="C307" i="101"/>
  <c r="E455" i="101"/>
  <c r="D455" i="134" s="1"/>
  <c r="C457" i="135" s="1"/>
  <c r="C457" i="139" s="1"/>
  <c r="C456" i="101"/>
  <c r="E477" i="101"/>
  <c r="D477" i="134" s="1"/>
  <c r="C479" i="135" s="1"/>
  <c r="C479" i="139" s="1"/>
  <c r="C478" i="101"/>
  <c r="C418" i="101"/>
  <c r="D446" i="134"/>
  <c r="C448" i="135" s="1"/>
  <c r="C448" i="139" s="1"/>
  <c r="E447" i="101"/>
  <c r="D447" i="134" s="1"/>
  <c r="C449" i="135" s="1"/>
  <c r="C449" i="139" s="1"/>
  <c r="C356" i="101"/>
  <c r="E220" i="101"/>
  <c r="D220" i="134" s="1"/>
  <c r="C222" i="135" s="1"/>
  <c r="C222" i="139" s="1"/>
  <c r="C221" i="101"/>
  <c r="C275" i="101"/>
  <c r="E246" i="101"/>
  <c r="D246" i="134" s="1"/>
  <c r="C248" i="135" s="1"/>
  <c r="C248" i="139" s="1"/>
  <c r="C247" i="101"/>
  <c r="AS446" i="101"/>
  <c r="E446" i="134"/>
  <c r="D448" i="135" s="1"/>
  <c r="D448" i="139" s="1"/>
  <c r="AR446" i="101"/>
  <c r="F447" i="101"/>
  <c r="C387" i="101"/>
  <c r="C326" i="101"/>
  <c r="E108" i="101"/>
  <c r="D108" i="134" s="1"/>
  <c r="C110" i="135" s="1"/>
  <c r="C110" i="139" s="1"/>
  <c r="C109" i="101"/>
  <c r="C158" i="101"/>
  <c r="E187" i="101"/>
  <c r="D187" i="134" s="1"/>
  <c r="C189" i="135" s="1"/>
  <c r="C189" i="139" s="1"/>
  <c r="F187" i="101"/>
  <c r="C188" i="101"/>
  <c r="E78" i="101"/>
  <c r="D78" i="134" s="1"/>
  <c r="C80" i="135" s="1"/>
  <c r="C80" i="139" s="1"/>
  <c r="C79" i="101"/>
  <c r="AS44" i="101"/>
  <c r="E44" i="134"/>
  <c r="D46" i="135" s="1"/>
  <c r="D46" i="139" s="1"/>
  <c r="AR44" i="101"/>
  <c r="E137" i="101"/>
  <c r="D137" i="134" s="1"/>
  <c r="C139" i="135" s="1"/>
  <c r="C139" i="139" s="1"/>
  <c r="C138" i="101"/>
  <c r="C46" i="101"/>
  <c r="E45" i="101"/>
  <c r="D45" i="134" s="1"/>
  <c r="C47" i="135" s="1"/>
  <c r="C47" i="139" s="1"/>
  <c r="F45" i="101"/>
  <c r="D45" i="101"/>
  <c r="E186" i="134"/>
  <c r="D188" i="135" s="1"/>
  <c r="D188" i="139" s="1"/>
  <c r="AR186" i="101"/>
  <c r="B876" i="154"/>
  <c r="B848" i="154"/>
  <c r="B843" i="154"/>
  <c r="A736" i="154"/>
  <c r="A756" i="154"/>
  <c r="A788" i="154"/>
  <c r="A680" i="154"/>
  <c r="A648" i="154"/>
  <c r="A708" i="154"/>
  <c r="A186" i="154"/>
  <c r="E554" i="101" l="1"/>
  <c r="D554" i="134" s="1"/>
  <c r="C556" i="135" s="1"/>
  <c r="C556" i="139" s="1"/>
  <c r="E620" i="101"/>
  <c r="D620" i="134" s="1"/>
  <c r="C622" i="135" s="1"/>
  <c r="C622" i="139" s="1"/>
  <c r="C621" i="101"/>
  <c r="G45" i="101"/>
  <c r="C45" i="134" s="1"/>
  <c r="E47" i="135" s="1"/>
  <c r="E47" i="139" s="1"/>
  <c r="C589" i="101"/>
  <c r="C590" i="101" s="1"/>
  <c r="E514" i="101"/>
  <c r="D514" i="134" s="1"/>
  <c r="C516" i="135" s="1"/>
  <c r="C516" i="139" s="1"/>
  <c r="C515" i="101"/>
  <c r="E555" i="101"/>
  <c r="D555" i="134" s="1"/>
  <c r="C557" i="135" s="1"/>
  <c r="C557" i="139" s="1"/>
  <c r="C556" i="101"/>
  <c r="C388" i="101"/>
  <c r="C276" i="101"/>
  <c r="E456" i="101"/>
  <c r="D456" i="134" s="1"/>
  <c r="C458" i="135" s="1"/>
  <c r="C458" i="139" s="1"/>
  <c r="C457" i="101"/>
  <c r="AS447" i="101"/>
  <c r="E447" i="134"/>
  <c r="D449" i="135" s="1"/>
  <c r="D449" i="139" s="1"/>
  <c r="AR447" i="101"/>
  <c r="F448" i="101"/>
  <c r="E221" i="101"/>
  <c r="D221" i="134" s="1"/>
  <c r="C223" i="135" s="1"/>
  <c r="C223" i="139" s="1"/>
  <c r="C222" i="101"/>
  <c r="C419" i="101"/>
  <c r="E307" i="101"/>
  <c r="D307" i="134" s="1"/>
  <c r="C309" i="135" s="1"/>
  <c r="C309" i="139" s="1"/>
  <c r="C308" i="101"/>
  <c r="E326" i="101"/>
  <c r="C327" i="101"/>
  <c r="E247" i="101"/>
  <c r="D247" i="134" s="1"/>
  <c r="C249" i="135" s="1"/>
  <c r="C249" i="139" s="1"/>
  <c r="C248" i="101"/>
  <c r="C357" i="101"/>
  <c r="E478" i="101"/>
  <c r="D478" i="134" s="1"/>
  <c r="C480" i="135" s="1"/>
  <c r="C480" i="139" s="1"/>
  <c r="C479" i="101"/>
  <c r="E158" i="101"/>
  <c r="D158" i="134" s="1"/>
  <c r="C160" i="135" s="1"/>
  <c r="C160" i="139" s="1"/>
  <c r="C159" i="101"/>
  <c r="E109" i="101"/>
  <c r="D109" i="134" s="1"/>
  <c r="C111" i="135" s="1"/>
  <c r="C111" i="139" s="1"/>
  <c r="C110" i="101"/>
  <c r="AS187" i="101"/>
  <c r="E187" i="134"/>
  <c r="D189" i="135" s="1"/>
  <c r="D189" i="139" s="1"/>
  <c r="AR187" i="101"/>
  <c r="AR45" i="101"/>
  <c r="E45" i="134"/>
  <c r="D47" i="135" s="1"/>
  <c r="D47" i="139" s="1"/>
  <c r="AS45" i="101"/>
  <c r="E138" i="101"/>
  <c r="D138" i="134" s="1"/>
  <c r="C140" i="135" s="1"/>
  <c r="C140" i="139" s="1"/>
  <c r="C139" i="101"/>
  <c r="F46" i="101"/>
  <c r="D46" i="101"/>
  <c r="G46" i="101"/>
  <c r="C46" i="134" s="1"/>
  <c r="E48" i="135" s="1"/>
  <c r="E48" i="139" s="1"/>
  <c r="C47" i="101"/>
  <c r="F188" i="101"/>
  <c r="E188" i="101"/>
  <c r="D188" i="134" s="1"/>
  <c r="C190" i="135" s="1"/>
  <c r="C190" i="139" s="1"/>
  <c r="C189" i="101"/>
  <c r="E79" i="101"/>
  <c r="D79" i="134" s="1"/>
  <c r="C81" i="135" s="1"/>
  <c r="C81" i="139" s="1"/>
  <c r="C80" i="101"/>
  <c r="B849" i="154"/>
  <c r="B737" i="154"/>
  <c r="B877" i="154"/>
  <c r="A179" i="154"/>
  <c r="B844" i="154"/>
  <c r="B815" i="154"/>
  <c r="B785" i="154"/>
  <c r="A709" i="154"/>
  <c r="A649" i="154"/>
  <c r="A681" i="154"/>
  <c r="A789" i="154"/>
  <c r="A757" i="154"/>
  <c r="A737" i="154"/>
  <c r="A187" i="154"/>
  <c r="E590" i="101" l="1"/>
  <c r="D590" i="134" s="1"/>
  <c r="C592" i="135" s="1"/>
  <c r="C592" i="139" s="1"/>
  <c r="C591" i="101"/>
  <c r="E621" i="101"/>
  <c r="D621" i="134" s="1"/>
  <c r="C623" i="135" s="1"/>
  <c r="C623" i="139" s="1"/>
  <c r="C622" i="101"/>
  <c r="E515" i="101"/>
  <c r="D515" i="134" s="1"/>
  <c r="C517" i="135" s="1"/>
  <c r="C517" i="139" s="1"/>
  <c r="C516" i="101"/>
  <c r="E589" i="101"/>
  <c r="D589" i="134" s="1"/>
  <c r="C591" i="135" s="1"/>
  <c r="C591" i="139" s="1"/>
  <c r="E556" i="101"/>
  <c r="D556" i="134" s="1"/>
  <c r="C558" i="135" s="1"/>
  <c r="C558" i="139" s="1"/>
  <c r="C557" i="101"/>
  <c r="E327" i="101"/>
  <c r="D327" i="134" s="1"/>
  <c r="C329" i="135" s="1"/>
  <c r="C329" i="139" s="1"/>
  <c r="C328" i="101"/>
  <c r="E457" i="101"/>
  <c r="D457" i="134" s="1"/>
  <c r="C459" i="135" s="1"/>
  <c r="C459" i="139" s="1"/>
  <c r="C458" i="101"/>
  <c r="C480" i="101"/>
  <c r="C481" i="101" s="1"/>
  <c r="E357" i="101"/>
  <c r="D357" i="134" s="1"/>
  <c r="C359" i="135" s="1"/>
  <c r="C359" i="139" s="1"/>
  <c r="C358" i="101"/>
  <c r="E222" i="101"/>
  <c r="D222" i="134" s="1"/>
  <c r="C224" i="135" s="1"/>
  <c r="C224" i="139" s="1"/>
  <c r="C223" i="101"/>
  <c r="D326" i="134"/>
  <c r="C328" i="135" s="1"/>
  <c r="C328" i="139" s="1"/>
  <c r="E308" i="101"/>
  <c r="D308" i="134" s="1"/>
  <c r="C310" i="135" s="1"/>
  <c r="C310" i="139" s="1"/>
  <c r="C309" i="101"/>
  <c r="E276" i="101"/>
  <c r="D276" i="134" s="1"/>
  <c r="C278" i="135" s="1"/>
  <c r="C278" i="139" s="1"/>
  <c r="G276" i="101"/>
  <c r="C276" i="134" s="1"/>
  <c r="E278" i="135" s="1"/>
  <c r="E278" i="139" s="1"/>
  <c r="C277" i="101"/>
  <c r="E248" i="101"/>
  <c r="D248" i="134" s="1"/>
  <c r="C250" i="135" s="1"/>
  <c r="C250" i="139" s="1"/>
  <c r="C249" i="101"/>
  <c r="E388" i="101"/>
  <c r="D388" i="134" s="1"/>
  <c r="C390" i="135" s="1"/>
  <c r="C390" i="139" s="1"/>
  <c r="C389" i="101"/>
  <c r="AS448" i="101"/>
  <c r="E448" i="134"/>
  <c r="D450" i="135" s="1"/>
  <c r="D450" i="139" s="1"/>
  <c r="AR448" i="101"/>
  <c r="F449" i="101"/>
  <c r="E46" i="134"/>
  <c r="D48" i="135" s="1"/>
  <c r="D48" i="139" s="1"/>
  <c r="AS46" i="101"/>
  <c r="AR46" i="101"/>
  <c r="C111" i="101"/>
  <c r="E139" i="101"/>
  <c r="D139" i="134" s="1"/>
  <c r="C141" i="135" s="1"/>
  <c r="C141" i="139" s="1"/>
  <c r="C140" i="101"/>
  <c r="E80" i="101"/>
  <c r="D80" i="134" s="1"/>
  <c r="C82" i="135" s="1"/>
  <c r="C82" i="139" s="1"/>
  <c r="C81" i="101"/>
  <c r="E189" i="101"/>
  <c r="D189" i="134" s="1"/>
  <c r="C191" i="135" s="1"/>
  <c r="C191" i="139" s="1"/>
  <c r="F189" i="101"/>
  <c r="C190" i="101"/>
  <c r="C191" i="101" s="1"/>
  <c r="E159" i="101"/>
  <c r="D159" i="134" s="1"/>
  <c r="C161" i="135" s="1"/>
  <c r="C161" i="139" s="1"/>
  <c r="C160" i="101"/>
  <c r="E188" i="134"/>
  <c r="D190" i="135" s="1"/>
  <c r="D190" i="139" s="1"/>
  <c r="AR188" i="101"/>
  <c r="D47" i="101"/>
  <c r="E47" i="101"/>
  <c r="D47" i="134" s="1"/>
  <c r="C49" i="135" s="1"/>
  <c r="C49" i="139" s="1"/>
  <c r="G47" i="101"/>
  <c r="C47" i="134" s="1"/>
  <c r="E49" i="135" s="1"/>
  <c r="E49" i="139" s="1"/>
  <c r="F47" i="101"/>
  <c r="C48" i="101"/>
  <c r="B850" i="154"/>
  <c r="A180" i="154"/>
  <c r="B754" i="154"/>
  <c r="A738" i="154"/>
  <c r="A627" i="154"/>
  <c r="A758" i="154"/>
  <c r="A790" i="154"/>
  <c r="A682" i="154"/>
  <c r="A650" i="154"/>
  <c r="A710" i="154"/>
  <c r="A188" i="154"/>
  <c r="E622" i="101" l="1"/>
  <c r="D622" i="134" s="1"/>
  <c r="C624" i="135" s="1"/>
  <c r="C624" i="139" s="1"/>
  <c r="C623" i="101"/>
  <c r="E591" i="101"/>
  <c r="D591" i="134" s="1"/>
  <c r="C593" i="135" s="1"/>
  <c r="C593" i="139" s="1"/>
  <c r="C592" i="101"/>
  <c r="C482" i="101"/>
  <c r="C517" i="101"/>
  <c r="C558" i="101"/>
  <c r="AS449" i="101"/>
  <c r="AR449" i="101"/>
  <c r="E449" i="134"/>
  <c r="D451" i="135" s="1"/>
  <c r="D451" i="139" s="1"/>
  <c r="F450" i="101"/>
  <c r="E223" i="101"/>
  <c r="D223" i="134" s="1"/>
  <c r="C225" i="135" s="1"/>
  <c r="C225" i="139" s="1"/>
  <c r="C224" i="101"/>
  <c r="E480" i="101"/>
  <c r="D480" i="134" s="1"/>
  <c r="C482" i="135" s="1"/>
  <c r="C482" i="139" s="1"/>
  <c r="G277" i="101"/>
  <c r="C277" i="134" s="1"/>
  <c r="E279" i="135" s="1"/>
  <c r="E279" i="139" s="1"/>
  <c r="E277" i="101"/>
  <c r="D277" i="134" s="1"/>
  <c r="C279" i="135" s="1"/>
  <c r="C279" i="139" s="1"/>
  <c r="C278" i="101"/>
  <c r="C459" i="101"/>
  <c r="E389" i="101"/>
  <c r="D389" i="134" s="1"/>
  <c r="C391" i="135" s="1"/>
  <c r="C391" i="139" s="1"/>
  <c r="C390" i="101"/>
  <c r="E309" i="101"/>
  <c r="D309" i="134" s="1"/>
  <c r="C311" i="135" s="1"/>
  <c r="C311" i="139" s="1"/>
  <c r="C310" i="101"/>
  <c r="E358" i="101"/>
  <c r="D358" i="134" s="1"/>
  <c r="C360" i="135" s="1"/>
  <c r="C360" i="139" s="1"/>
  <c r="C359" i="101"/>
  <c r="E328" i="101"/>
  <c r="D328" i="134" s="1"/>
  <c r="C330" i="135" s="1"/>
  <c r="C330" i="139" s="1"/>
  <c r="C329" i="101"/>
  <c r="E249" i="101"/>
  <c r="D249" i="134" s="1"/>
  <c r="C251" i="135" s="1"/>
  <c r="C251" i="139" s="1"/>
  <c r="C250" i="101"/>
  <c r="C192" i="101"/>
  <c r="E190" i="101"/>
  <c r="D190" i="134" s="1"/>
  <c r="C192" i="135" s="1"/>
  <c r="C192" i="139" s="1"/>
  <c r="F190" i="101"/>
  <c r="F191" i="101" s="1"/>
  <c r="AS47" i="101"/>
  <c r="AR47" i="101"/>
  <c r="E47" i="134"/>
  <c r="D49" i="135" s="1"/>
  <c r="D49" i="139" s="1"/>
  <c r="D48" i="101"/>
  <c r="F48" i="101"/>
  <c r="G48" i="101"/>
  <c r="C48" i="134" s="1"/>
  <c r="E50" i="135" s="1"/>
  <c r="E50" i="139" s="1"/>
  <c r="E48" i="101"/>
  <c r="D48" i="134" s="1"/>
  <c r="C50" i="135" s="1"/>
  <c r="C50" i="139" s="1"/>
  <c r="C49" i="101"/>
  <c r="E111" i="101"/>
  <c r="D111" i="134" s="1"/>
  <c r="C113" i="135" s="1"/>
  <c r="C113" i="139" s="1"/>
  <c r="C112" i="101"/>
  <c r="E140" i="101"/>
  <c r="D140" i="134" s="1"/>
  <c r="C142" i="135" s="1"/>
  <c r="C142" i="139" s="1"/>
  <c r="C141" i="101"/>
  <c r="E81" i="101"/>
  <c r="D81" i="134" s="1"/>
  <c r="C83" i="135" s="1"/>
  <c r="C83" i="139" s="1"/>
  <c r="C82" i="101"/>
  <c r="AS189" i="101"/>
  <c r="E189" i="134"/>
  <c r="D191" i="135" s="1"/>
  <c r="D191" i="139" s="1"/>
  <c r="AR189" i="101"/>
  <c r="E160" i="101"/>
  <c r="D160" i="134" s="1"/>
  <c r="C162" i="135" s="1"/>
  <c r="C162" i="139" s="1"/>
  <c r="C161" i="101"/>
  <c r="A181" i="154"/>
  <c r="A711" i="154"/>
  <c r="A651" i="154"/>
  <c r="A628" i="154"/>
  <c r="A739" i="154"/>
  <c r="A683" i="154"/>
  <c r="A791" i="154"/>
  <c r="A759" i="154"/>
  <c r="A189" i="154"/>
  <c r="A54" i="154"/>
  <c r="C593" i="101" l="1"/>
  <c r="E623" i="101"/>
  <c r="D623" i="134" s="1"/>
  <c r="C625" i="135" s="1"/>
  <c r="C625" i="139" s="1"/>
  <c r="C624" i="101"/>
  <c r="E517" i="101"/>
  <c r="D517" i="134" s="1"/>
  <c r="C519" i="135" s="1"/>
  <c r="C519" i="139" s="1"/>
  <c r="C518" i="101"/>
  <c r="C483" i="101"/>
  <c r="E558" i="101"/>
  <c r="D558" i="134" s="1"/>
  <c r="C560" i="135" s="1"/>
  <c r="C560" i="139" s="1"/>
  <c r="C559" i="101"/>
  <c r="E481" i="101"/>
  <c r="D481" i="134" s="1"/>
  <c r="C483" i="135" s="1"/>
  <c r="C483" i="139" s="1"/>
  <c r="E191" i="134"/>
  <c r="D193" i="135" s="1"/>
  <c r="D193" i="139" s="1"/>
  <c r="AS191" i="101"/>
  <c r="E191" i="101"/>
  <c r="D191" i="134" s="1"/>
  <c r="C193" i="135" s="1"/>
  <c r="C193" i="139" s="1"/>
  <c r="E250" i="101"/>
  <c r="D250" i="134" s="1"/>
  <c r="C252" i="135" s="1"/>
  <c r="C252" i="139" s="1"/>
  <c r="C251" i="101"/>
  <c r="E224" i="101"/>
  <c r="D224" i="134" s="1"/>
  <c r="C226" i="135" s="1"/>
  <c r="C226" i="139" s="1"/>
  <c r="C225" i="101"/>
  <c r="E459" i="101"/>
  <c r="D459" i="134" s="1"/>
  <c r="C461" i="135" s="1"/>
  <c r="C461" i="139" s="1"/>
  <c r="C460" i="101"/>
  <c r="E359" i="101"/>
  <c r="D359" i="134" s="1"/>
  <c r="C361" i="135" s="1"/>
  <c r="C361" i="139" s="1"/>
  <c r="C360" i="101"/>
  <c r="E310" i="101"/>
  <c r="D310" i="134" s="1"/>
  <c r="C312" i="135" s="1"/>
  <c r="C312" i="139" s="1"/>
  <c r="C311" i="101"/>
  <c r="E329" i="101"/>
  <c r="D329" i="134" s="1"/>
  <c r="C331" i="135" s="1"/>
  <c r="C331" i="139" s="1"/>
  <c r="C330" i="101"/>
  <c r="E278" i="101"/>
  <c r="D278" i="134" s="1"/>
  <c r="C280" i="135" s="1"/>
  <c r="C280" i="139" s="1"/>
  <c r="G278" i="101"/>
  <c r="C278" i="134" s="1"/>
  <c r="E280" i="135" s="1"/>
  <c r="E280" i="139" s="1"/>
  <c r="C279" i="101"/>
  <c r="AS450" i="101"/>
  <c r="AR450" i="101"/>
  <c r="E450" i="134"/>
  <c r="D452" i="135" s="1"/>
  <c r="D452" i="139" s="1"/>
  <c r="F451" i="101"/>
  <c r="F192" i="101"/>
  <c r="C193" i="101"/>
  <c r="E390" i="101"/>
  <c r="D390" i="134" s="1"/>
  <c r="C392" i="135" s="1"/>
  <c r="C392" i="139" s="1"/>
  <c r="C391" i="101"/>
  <c r="AR48" i="101"/>
  <c r="E48" i="134"/>
  <c r="D50" i="135" s="1"/>
  <c r="D50" i="139" s="1"/>
  <c r="AS48" i="101"/>
  <c r="D49" i="101"/>
  <c r="E49" i="101"/>
  <c r="D49" i="134" s="1"/>
  <c r="C51" i="135" s="1"/>
  <c r="C51" i="139" s="1"/>
  <c r="F49" i="101"/>
  <c r="G49" i="101"/>
  <c r="C49" i="134" s="1"/>
  <c r="E51" i="135" s="1"/>
  <c r="E51" i="139" s="1"/>
  <c r="C50" i="101"/>
  <c r="E161" i="101"/>
  <c r="D161" i="134" s="1"/>
  <c r="C163" i="135" s="1"/>
  <c r="C163" i="139" s="1"/>
  <c r="C162" i="101"/>
  <c r="E141" i="101"/>
  <c r="D141" i="134" s="1"/>
  <c r="C143" i="135" s="1"/>
  <c r="C143" i="139" s="1"/>
  <c r="C142" i="101"/>
  <c r="E112" i="101"/>
  <c r="D112" i="134" s="1"/>
  <c r="C114" i="135" s="1"/>
  <c r="C114" i="139" s="1"/>
  <c r="F112" i="101"/>
  <c r="C113" i="101"/>
  <c r="E82" i="101"/>
  <c r="D82" i="134" s="1"/>
  <c r="C84" i="135" s="1"/>
  <c r="C84" i="139" s="1"/>
  <c r="C83" i="101"/>
  <c r="E190" i="134"/>
  <c r="D192" i="135" s="1"/>
  <c r="D192" i="139" s="1"/>
  <c r="AR190" i="101"/>
  <c r="AR191" i="101" s="1"/>
  <c r="A182" i="154"/>
  <c r="A652" i="154"/>
  <c r="A712" i="154"/>
  <c r="A760" i="154"/>
  <c r="A792" i="154"/>
  <c r="A740" i="154"/>
  <c r="A629" i="154"/>
  <c r="A684" i="154"/>
  <c r="A55" i="154"/>
  <c r="A190" i="154"/>
  <c r="E624" i="101" l="1"/>
  <c r="D624" i="134" s="1"/>
  <c r="C626" i="135" s="1"/>
  <c r="C626" i="139" s="1"/>
  <c r="C625" i="101"/>
  <c r="F593" i="101"/>
  <c r="E593" i="101"/>
  <c r="D593" i="134" s="1"/>
  <c r="C595" i="135" s="1"/>
  <c r="C595" i="139" s="1"/>
  <c r="C594" i="101"/>
  <c r="E192" i="101"/>
  <c r="D192" i="134" s="1"/>
  <c r="C194" i="135" s="1"/>
  <c r="C194" i="139" s="1"/>
  <c r="E482" i="101"/>
  <c r="D482" i="134" s="1"/>
  <c r="C484" i="135" s="1"/>
  <c r="C484" i="139" s="1"/>
  <c r="C484" i="101"/>
  <c r="E518" i="101"/>
  <c r="D518" i="134" s="1"/>
  <c r="C520" i="135" s="1"/>
  <c r="C520" i="139" s="1"/>
  <c r="C519" i="101"/>
  <c r="E559" i="101"/>
  <c r="D559" i="134" s="1"/>
  <c r="C561" i="135" s="1"/>
  <c r="C561" i="139" s="1"/>
  <c r="C560" i="101"/>
  <c r="E360" i="101"/>
  <c r="D360" i="134" s="1"/>
  <c r="C362" i="135" s="1"/>
  <c r="C362" i="139" s="1"/>
  <c r="C361" i="101"/>
  <c r="E330" i="101"/>
  <c r="D330" i="134" s="1"/>
  <c r="C332" i="135" s="1"/>
  <c r="C332" i="139" s="1"/>
  <c r="C331" i="101"/>
  <c r="E251" i="101"/>
  <c r="D251" i="134" s="1"/>
  <c r="C253" i="135" s="1"/>
  <c r="C253" i="139" s="1"/>
  <c r="C252" i="101"/>
  <c r="E192" i="134"/>
  <c r="D194" i="135" s="1"/>
  <c r="D194" i="139" s="1"/>
  <c r="AR192" i="101"/>
  <c r="E460" i="101"/>
  <c r="D460" i="134" s="1"/>
  <c r="C462" i="135" s="1"/>
  <c r="C462" i="139" s="1"/>
  <c r="C461" i="101"/>
  <c r="AS451" i="101"/>
  <c r="E451" i="134"/>
  <c r="D453" i="135" s="1"/>
  <c r="D453" i="139" s="1"/>
  <c r="AR451" i="101"/>
  <c r="F452" i="101"/>
  <c r="E311" i="101"/>
  <c r="D311" i="134" s="1"/>
  <c r="C313" i="135" s="1"/>
  <c r="C313" i="139" s="1"/>
  <c r="C312" i="101"/>
  <c r="E391" i="101"/>
  <c r="D391" i="134" s="1"/>
  <c r="C393" i="135" s="1"/>
  <c r="C393" i="139" s="1"/>
  <c r="C392" i="101"/>
  <c r="F193" i="101"/>
  <c r="C194" i="101"/>
  <c r="G279" i="101"/>
  <c r="C279" i="134" s="1"/>
  <c r="E281" i="135" s="1"/>
  <c r="E281" i="139" s="1"/>
  <c r="E279" i="101"/>
  <c r="D279" i="134" s="1"/>
  <c r="C281" i="135" s="1"/>
  <c r="C281" i="139" s="1"/>
  <c r="C280" i="101"/>
  <c r="F225" i="101"/>
  <c r="C226" i="101"/>
  <c r="AS112" i="101"/>
  <c r="E112" i="134"/>
  <c r="D114" i="135" s="1"/>
  <c r="D114" i="139" s="1"/>
  <c r="D50" i="101"/>
  <c r="F50" i="101"/>
  <c r="G50" i="101"/>
  <c r="C50" i="134" s="1"/>
  <c r="E52" i="135" s="1"/>
  <c r="E52" i="139" s="1"/>
  <c r="E50" i="101"/>
  <c r="D50" i="134" s="1"/>
  <c r="C52" i="135" s="1"/>
  <c r="C52" i="139" s="1"/>
  <c r="C51" i="101"/>
  <c r="F113" i="101"/>
  <c r="E113" i="101"/>
  <c r="D113" i="134" s="1"/>
  <c r="C115" i="135" s="1"/>
  <c r="C115" i="139" s="1"/>
  <c r="C114" i="101"/>
  <c r="E142" i="101"/>
  <c r="D142" i="134" s="1"/>
  <c r="C144" i="135" s="1"/>
  <c r="C144" i="139" s="1"/>
  <c r="C143" i="101"/>
  <c r="AR49" i="101"/>
  <c r="E49" i="134"/>
  <c r="D51" i="135" s="1"/>
  <c r="D51" i="139" s="1"/>
  <c r="AS49" i="101"/>
  <c r="E83" i="101"/>
  <c r="D83" i="134" s="1"/>
  <c r="C85" i="135" s="1"/>
  <c r="C85" i="139" s="1"/>
  <c r="C84" i="101"/>
  <c r="E162" i="101"/>
  <c r="D162" i="134" s="1"/>
  <c r="C164" i="135" s="1"/>
  <c r="C164" i="139" s="1"/>
  <c r="C163" i="101"/>
  <c r="A630" i="154"/>
  <c r="A685" i="154"/>
  <c r="A741" i="154"/>
  <c r="A793" i="154"/>
  <c r="A761" i="154"/>
  <c r="A713" i="154"/>
  <c r="A653" i="154"/>
  <c r="A56" i="154"/>
  <c r="A191" i="154"/>
  <c r="E594" i="101" l="1"/>
  <c r="D594" i="134" s="1"/>
  <c r="C596" i="135" s="1"/>
  <c r="C596" i="139" s="1"/>
  <c r="F594" i="101"/>
  <c r="C595" i="101"/>
  <c r="E593" i="134"/>
  <c r="D595" i="135" s="1"/>
  <c r="D595" i="139" s="1"/>
  <c r="AS593" i="101"/>
  <c r="E625" i="101"/>
  <c r="D625" i="134" s="1"/>
  <c r="C627" i="135" s="1"/>
  <c r="C627" i="139" s="1"/>
  <c r="C626" i="101"/>
  <c r="E193" i="101"/>
  <c r="D193" i="134" s="1"/>
  <c r="C195" i="135" s="1"/>
  <c r="C195" i="139" s="1"/>
  <c r="E483" i="101"/>
  <c r="D483" i="134" s="1"/>
  <c r="C485" i="135" s="1"/>
  <c r="C485" i="139" s="1"/>
  <c r="E519" i="101"/>
  <c r="D519" i="134" s="1"/>
  <c r="C521" i="135" s="1"/>
  <c r="C521" i="139" s="1"/>
  <c r="C520" i="101"/>
  <c r="E484" i="101"/>
  <c r="D484" i="134" s="1"/>
  <c r="C486" i="135" s="1"/>
  <c r="C486" i="139" s="1"/>
  <c r="C485" i="101"/>
  <c r="E560" i="101"/>
  <c r="D560" i="134" s="1"/>
  <c r="C562" i="135" s="1"/>
  <c r="C562" i="139" s="1"/>
  <c r="C561" i="101"/>
  <c r="E461" i="101"/>
  <c r="D461" i="134" s="1"/>
  <c r="C463" i="135" s="1"/>
  <c r="C463" i="139" s="1"/>
  <c r="C462" i="101"/>
  <c r="D280" i="134"/>
  <c r="C282" i="135" s="1"/>
  <c r="C282" i="139" s="1"/>
  <c r="G280" i="101"/>
  <c r="C280" i="134" s="1"/>
  <c r="E282" i="135" s="1"/>
  <c r="E282" i="139" s="1"/>
  <c r="C281" i="101"/>
  <c r="E331" i="101"/>
  <c r="D331" i="134" s="1"/>
  <c r="C333" i="135" s="1"/>
  <c r="C333" i="139" s="1"/>
  <c r="C332" i="101"/>
  <c r="E312" i="101"/>
  <c r="D312" i="134" s="1"/>
  <c r="C314" i="135" s="1"/>
  <c r="C314" i="139" s="1"/>
  <c r="C313" i="101"/>
  <c r="E194" i="101"/>
  <c r="D194" i="134" s="1"/>
  <c r="C196" i="135" s="1"/>
  <c r="C196" i="139" s="1"/>
  <c r="F194" i="101"/>
  <c r="C195" i="101"/>
  <c r="E361" i="101"/>
  <c r="D361" i="134" s="1"/>
  <c r="C363" i="135" s="1"/>
  <c r="C363" i="139" s="1"/>
  <c r="C362" i="101"/>
  <c r="AS452" i="101"/>
  <c r="AR452" i="101"/>
  <c r="E452" i="134"/>
  <c r="D454" i="135" s="1"/>
  <c r="D454" i="139" s="1"/>
  <c r="F453" i="101"/>
  <c r="E252" i="101"/>
  <c r="D252" i="134" s="1"/>
  <c r="C254" i="135" s="1"/>
  <c r="C254" i="139" s="1"/>
  <c r="C253" i="101"/>
  <c r="E226" i="101"/>
  <c r="D226" i="134" s="1"/>
  <c r="C228" i="135" s="1"/>
  <c r="C228" i="139" s="1"/>
  <c r="C227" i="101"/>
  <c r="AS193" i="101"/>
  <c r="AR193" i="101"/>
  <c r="E193" i="134"/>
  <c r="D195" i="135" s="1"/>
  <c r="D195" i="139" s="1"/>
  <c r="AS225" i="101"/>
  <c r="E225" i="134"/>
  <c r="D227" i="135" s="1"/>
  <c r="D227" i="139" s="1"/>
  <c r="E392" i="101"/>
  <c r="D392" i="134" s="1"/>
  <c r="C394" i="135" s="1"/>
  <c r="C394" i="139" s="1"/>
  <c r="C393" i="101"/>
  <c r="E114" i="101"/>
  <c r="D114" i="134" s="1"/>
  <c r="C116" i="135" s="1"/>
  <c r="C116" i="139" s="1"/>
  <c r="F114" i="101"/>
  <c r="C115" i="101"/>
  <c r="AR113" i="101"/>
  <c r="E113" i="134"/>
  <c r="D115" i="135" s="1"/>
  <c r="D115" i="139" s="1"/>
  <c r="E51" i="101"/>
  <c r="D51" i="134" s="1"/>
  <c r="C53" i="135" s="1"/>
  <c r="C53" i="139" s="1"/>
  <c r="D51" i="101"/>
  <c r="F51" i="101"/>
  <c r="G51" i="101"/>
  <c r="C51" i="134" s="1"/>
  <c r="E53" i="135" s="1"/>
  <c r="E53" i="139" s="1"/>
  <c r="C52" i="101"/>
  <c r="E163" i="101"/>
  <c r="D163" i="134" s="1"/>
  <c r="C165" i="135" s="1"/>
  <c r="C165" i="139" s="1"/>
  <c r="C164" i="101"/>
  <c r="E143" i="101"/>
  <c r="D143" i="134" s="1"/>
  <c r="C145" i="135" s="1"/>
  <c r="C145" i="139" s="1"/>
  <c r="C144" i="101"/>
  <c r="AR50" i="101"/>
  <c r="AS50" i="101"/>
  <c r="E50" i="134"/>
  <c r="D52" i="135" s="1"/>
  <c r="D52" i="139" s="1"/>
  <c r="E84" i="101"/>
  <c r="D84" i="134" s="1"/>
  <c r="C86" i="135" s="1"/>
  <c r="C86" i="139" s="1"/>
  <c r="C85" i="101"/>
  <c r="A47" i="154"/>
  <c r="B774" i="154"/>
  <c r="A654" i="154"/>
  <c r="A714" i="154"/>
  <c r="A742" i="154"/>
  <c r="A631" i="154"/>
  <c r="A762" i="154"/>
  <c r="A794" i="154"/>
  <c r="A686" i="154"/>
  <c r="A192" i="154"/>
  <c r="A57" i="154"/>
  <c r="D626" i="134" l="1"/>
  <c r="C628" i="135" s="1"/>
  <c r="C628" i="139" s="1"/>
  <c r="C627" i="101"/>
  <c r="F595" i="101"/>
  <c r="E595" i="101"/>
  <c r="D595" i="134" s="1"/>
  <c r="C597" i="135" s="1"/>
  <c r="C597" i="139" s="1"/>
  <c r="C596" i="101"/>
  <c r="E594" i="134"/>
  <c r="D596" i="135" s="1"/>
  <c r="D596" i="139" s="1"/>
  <c r="AR594" i="101"/>
  <c r="E485" i="101"/>
  <c r="D485" i="134" s="1"/>
  <c r="C487" i="135" s="1"/>
  <c r="C487" i="139" s="1"/>
  <c r="C486" i="101"/>
  <c r="E520" i="101"/>
  <c r="D520" i="134" s="1"/>
  <c r="C522" i="135" s="1"/>
  <c r="C522" i="139" s="1"/>
  <c r="C521" i="101"/>
  <c r="E561" i="101"/>
  <c r="D561" i="134" s="1"/>
  <c r="C563" i="135" s="1"/>
  <c r="C563" i="139" s="1"/>
  <c r="C562" i="101"/>
  <c r="E195" i="101"/>
  <c r="D195" i="134" s="1"/>
  <c r="C197" i="135" s="1"/>
  <c r="C197" i="139" s="1"/>
  <c r="F195" i="101"/>
  <c r="C196" i="101"/>
  <c r="E194" i="134"/>
  <c r="D196" i="135" s="1"/>
  <c r="D196" i="139" s="1"/>
  <c r="AR194" i="101"/>
  <c r="AS453" i="101"/>
  <c r="E453" i="134"/>
  <c r="D455" i="135" s="1"/>
  <c r="D455" i="139" s="1"/>
  <c r="AR453" i="101"/>
  <c r="F454" i="101"/>
  <c r="G281" i="101"/>
  <c r="C281" i="134" s="1"/>
  <c r="E283" i="135" s="1"/>
  <c r="E283" i="139" s="1"/>
  <c r="E281" i="101"/>
  <c r="D281" i="134" s="1"/>
  <c r="C283" i="135" s="1"/>
  <c r="C283" i="139" s="1"/>
  <c r="C282" i="101"/>
  <c r="E313" i="101"/>
  <c r="D313" i="134" s="1"/>
  <c r="C315" i="135" s="1"/>
  <c r="C315" i="139" s="1"/>
  <c r="C314" i="101"/>
  <c r="E362" i="101"/>
  <c r="D362" i="134" s="1"/>
  <c r="C364" i="135" s="1"/>
  <c r="C364" i="139" s="1"/>
  <c r="C363" i="101"/>
  <c r="E462" i="101"/>
  <c r="D462" i="134" s="1"/>
  <c r="C464" i="135" s="1"/>
  <c r="C464" i="139" s="1"/>
  <c r="C463" i="101"/>
  <c r="E227" i="101"/>
  <c r="D227" i="134" s="1"/>
  <c r="C229" i="135" s="1"/>
  <c r="C229" i="139" s="1"/>
  <c r="C228" i="101"/>
  <c r="E393" i="101"/>
  <c r="D393" i="134" s="1"/>
  <c r="C395" i="135" s="1"/>
  <c r="C395" i="139" s="1"/>
  <c r="C394" i="101"/>
  <c r="E253" i="101"/>
  <c r="D253" i="134" s="1"/>
  <c r="C255" i="135" s="1"/>
  <c r="C255" i="139" s="1"/>
  <c r="C254" i="101"/>
  <c r="E332" i="101"/>
  <c r="D332" i="134" s="1"/>
  <c r="C334" i="135" s="1"/>
  <c r="C334" i="139" s="1"/>
  <c r="C333" i="101"/>
  <c r="E164" i="101"/>
  <c r="D164" i="134" s="1"/>
  <c r="C166" i="135" s="1"/>
  <c r="C166" i="139" s="1"/>
  <c r="C165" i="101"/>
  <c r="E51" i="134"/>
  <c r="D53" i="135" s="1"/>
  <c r="D53" i="139" s="1"/>
  <c r="AS51" i="101"/>
  <c r="AR51" i="101"/>
  <c r="E85" i="101"/>
  <c r="D85" i="134" s="1"/>
  <c r="C87" i="135" s="1"/>
  <c r="C87" i="139" s="1"/>
  <c r="C86" i="101"/>
  <c r="F115" i="101"/>
  <c r="C116" i="101"/>
  <c r="AS114" i="101"/>
  <c r="E114" i="134"/>
  <c r="D116" i="135" s="1"/>
  <c r="D116" i="139" s="1"/>
  <c r="AR114" i="101"/>
  <c r="E144" i="101"/>
  <c r="D144" i="134" s="1"/>
  <c r="C146" i="135" s="1"/>
  <c r="C146" i="139" s="1"/>
  <c r="C145" i="101"/>
  <c r="E52" i="101"/>
  <c r="D52" i="134" s="1"/>
  <c r="C54" i="135" s="1"/>
  <c r="C54" i="139" s="1"/>
  <c r="F52" i="101"/>
  <c r="D52" i="101"/>
  <c r="G52" i="101"/>
  <c r="C52" i="134" s="1"/>
  <c r="E54" i="135" s="1"/>
  <c r="E54" i="139" s="1"/>
  <c r="C53" i="101"/>
  <c r="A48" i="154"/>
  <c r="A45" i="154"/>
  <c r="A46" i="154"/>
  <c r="A44" i="154"/>
  <c r="B38" i="154"/>
  <c r="B724" i="154"/>
  <c r="A795" i="154"/>
  <c r="A763" i="154"/>
  <c r="A687" i="154"/>
  <c r="A715" i="154"/>
  <c r="A655" i="154"/>
  <c r="A632" i="154"/>
  <c r="A743" i="154"/>
  <c r="A58" i="154"/>
  <c r="A193" i="154"/>
  <c r="F596" i="101" l="1"/>
  <c r="C597" i="101"/>
  <c r="AS595" i="101"/>
  <c r="E595" i="134"/>
  <c r="D597" i="135" s="1"/>
  <c r="D597" i="139" s="1"/>
  <c r="AR595" i="101"/>
  <c r="E627" i="101"/>
  <c r="D627" i="134" s="1"/>
  <c r="C629" i="135" s="1"/>
  <c r="C629" i="139" s="1"/>
  <c r="C628" i="101"/>
  <c r="E521" i="101"/>
  <c r="C487" i="101"/>
  <c r="E562" i="101"/>
  <c r="D562" i="134" s="1"/>
  <c r="C564" i="135" s="1"/>
  <c r="C564" i="139" s="1"/>
  <c r="C563" i="101"/>
  <c r="E228" i="101"/>
  <c r="D228" i="134" s="1"/>
  <c r="C230" i="135" s="1"/>
  <c r="C230" i="139" s="1"/>
  <c r="C229" i="101"/>
  <c r="E254" i="101"/>
  <c r="D254" i="134" s="1"/>
  <c r="C256" i="135" s="1"/>
  <c r="C256" i="139" s="1"/>
  <c r="C255" i="101"/>
  <c r="E314" i="101"/>
  <c r="D314" i="134" s="1"/>
  <c r="C316" i="135" s="1"/>
  <c r="C316" i="139" s="1"/>
  <c r="C315" i="101"/>
  <c r="E463" i="101"/>
  <c r="D463" i="134" s="1"/>
  <c r="C465" i="135" s="1"/>
  <c r="C465" i="139" s="1"/>
  <c r="C464" i="101"/>
  <c r="F196" i="101"/>
  <c r="C197" i="101"/>
  <c r="E394" i="101"/>
  <c r="D394" i="134" s="1"/>
  <c r="C396" i="135" s="1"/>
  <c r="C396" i="139" s="1"/>
  <c r="C395" i="101"/>
  <c r="G282" i="101"/>
  <c r="C282" i="134" s="1"/>
  <c r="E284" i="135" s="1"/>
  <c r="E284" i="139" s="1"/>
  <c r="E282" i="101"/>
  <c r="D282" i="134" s="1"/>
  <c r="C284" i="135" s="1"/>
  <c r="C284" i="139" s="1"/>
  <c r="C283" i="101"/>
  <c r="AS195" i="101"/>
  <c r="E195" i="134"/>
  <c r="D197" i="135" s="1"/>
  <c r="D197" i="139" s="1"/>
  <c r="AR195" i="101"/>
  <c r="AS454" i="101"/>
  <c r="AR454" i="101"/>
  <c r="E454" i="134"/>
  <c r="D456" i="135" s="1"/>
  <c r="D456" i="139" s="1"/>
  <c r="F455" i="101"/>
  <c r="E333" i="101"/>
  <c r="D333" i="134" s="1"/>
  <c r="C335" i="135" s="1"/>
  <c r="C335" i="139" s="1"/>
  <c r="C334" i="101"/>
  <c r="E363" i="101"/>
  <c r="D363" i="134" s="1"/>
  <c r="C365" i="135" s="1"/>
  <c r="C365" i="139" s="1"/>
  <c r="C364" i="101"/>
  <c r="F53" i="101"/>
  <c r="G53" i="101"/>
  <c r="C53" i="134" s="1"/>
  <c r="E55" i="135" s="1"/>
  <c r="E55" i="139" s="1"/>
  <c r="E53" i="101"/>
  <c r="D53" i="134" s="1"/>
  <c r="C55" i="135" s="1"/>
  <c r="C55" i="139" s="1"/>
  <c r="D53" i="101"/>
  <c r="C54" i="101"/>
  <c r="E165" i="101"/>
  <c r="D165" i="134" s="1"/>
  <c r="C167" i="135" s="1"/>
  <c r="C167" i="139" s="1"/>
  <c r="C166" i="101"/>
  <c r="AS52" i="101"/>
  <c r="E52" i="134"/>
  <c r="D54" i="135" s="1"/>
  <c r="D54" i="139" s="1"/>
  <c r="AR52" i="101"/>
  <c r="E115" i="134"/>
  <c r="D117" i="135" s="1"/>
  <c r="D117" i="139" s="1"/>
  <c r="AR115" i="101"/>
  <c r="E116" i="101"/>
  <c r="D116" i="134" s="1"/>
  <c r="C118" i="135" s="1"/>
  <c r="C118" i="139" s="1"/>
  <c r="F116" i="101"/>
  <c r="C117" i="101"/>
  <c r="E145" i="101"/>
  <c r="D145" i="134" s="1"/>
  <c r="C147" i="135" s="1"/>
  <c r="C147" i="139" s="1"/>
  <c r="C146" i="101"/>
  <c r="E86" i="101"/>
  <c r="D86" i="134" s="1"/>
  <c r="C88" i="135" s="1"/>
  <c r="C88" i="139" s="1"/>
  <c r="C87" i="101"/>
  <c r="A49" i="154"/>
  <c r="A656" i="154"/>
  <c r="A716" i="154"/>
  <c r="A688" i="154"/>
  <c r="A633" i="154"/>
  <c r="A764" i="154"/>
  <c r="A796" i="154"/>
  <c r="A744" i="154"/>
  <c r="A194" i="154"/>
  <c r="A59" i="154"/>
  <c r="E628" i="101" l="1"/>
  <c r="D628" i="134" s="1"/>
  <c r="C630" i="135" s="1"/>
  <c r="C630" i="139" s="1"/>
  <c r="E597" i="101"/>
  <c r="D597" i="134" s="1"/>
  <c r="C599" i="135" s="1"/>
  <c r="C599" i="139" s="1"/>
  <c r="F597" i="101"/>
  <c r="C598" i="101"/>
  <c r="E596" i="134"/>
  <c r="D598" i="135" s="1"/>
  <c r="D598" i="139" s="1"/>
  <c r="AR596" i="101"/>
  <c r="E563" i="101"/>
  <c r="D563" i="134" s="1"/>
  <c r="C565" i="135" s="1"/>
  <c r="C565" i="139" s="1"/>
  <c r="C564" i="101"/>
  <c r="E487" i="101"/>
  <c r="D487" i="134" s="1"/>
  <c r="C489" i="135" s="1"/>
  <c r="C489" i="139" s="1"/>
  <c r="C488" i="101"/>
  <c r="D521" i="134"/>
  <c r="C523" i="135" s="1"/>
  <c r="C523" i="139" s="1"/>
  <c r="E522" i="101"/>
  <c r="F197" i="101"/>
  <c r="E197" i="101"/>
  <c r="D197" i="134" s="1"/>
  <c r="C199" i="135" s="1"/>
  <c r="C199" i="139" s="1"/>
  <c r="C198" i="101"/>
  <c r="D255" i="134"/>
  <c r="C257" i="135" s="1"/>
  <c r="C257" i="139" s="1"/>
  <c r="C256" i="101"/>
  <c r="E334" i="101"/>
  <c r="D334" i="134" s="1"/>
  <c r="C336" i="135" s="1"/>
  <c r="C336" i="139" s="1"/>
  <c r="C335" i="101"/>
  <c r="E283" i="101"/>
  <c r="D283" i="134" s="1"/>
  <c r="C285" i="135" s="1"/>
  <c r="C285" i="139" s="1"/>
  <c r="F283" i="101"/>
  <c r="G283" i="101"/>
  <c r="C283" i="134" s="1"/>
  <c r="E285" i="135" s="1"/>
  <c r="E285" i="139" s="1"/>
  <c r="C284" i="101"/>
  <c r="E196" i="134"/>
  <c r="D198" i="135" s="1"/>
  <c r="D198" i="139" s="1"/>
  <c r="AR196" i="101"/>
  <c r="E464" i="101"/>
  <c r="D464" i="134" s="1"/>
  <c r="C466" i="135" s="1"/>
  <c r="C466" i="139" s="1"/>
  <c r="C465" i="101"/>
  <c r="E395" i="101"/>
  <c r="D395" i="134" s="1"/>
  <c r="C397" i="135" s="1"/>
  <c r="C397" i="139" s="1"/>
  <c r="C396" i="101"/>
  <c r="F229" i="101"/>
  <c r="E229" i="101"/>
  <c r="D229" i="134" s="1"/>
  <c r="C231" i="135" s="1"/>
  <c r="C231" i="139" s="1"/>
  <c r="C230" i="101"/>
  <c r="AS455" i="101"/>
  <c r="E455" i="134"/>
  <c r="D457" i="135" s="1"/>
  <c r="D457" i="139" s="1"/>
  <c r="AR455" i="101"/>
  <c r="F456" i="101"/>
  <c r="C316" i="101"/>
  <c r="E364" i="101"/>
  <c r="D364" i="134" s="1"/>
  <c r="C366" i="135" s="1"/>
  <c r="C366" i="139" s="1"/>
  <c r="C365" i="101"/>
  <c r="E166" i="101"/>
  <c r="D166" i="134" s="1"/>
  <c r="C168" i="135" s="1"/>
  <c r="C168" i="139" s="1"/>
  <c r="C167" i="101"/>
  <c r="D87" i="134"/>
  <c r="C89" i="135" s="1"/>
  <c r="C89" i="139" s="1"/>
  <c r="C88" i="101"/>
  <c r="AS116" i="101"/>
  <c r="E116" i="134"/>
  <c r="D118" i="135" s="1"/>
  <c r="D118" i="139" s="1"/>
  <c r="AR116" i="101"/>
  <c r="F54" i="101"/>
  <c r="G54" i="101"/>
  <c r="C54" i="134" s="1"/>
  <c r="E56" i="135" s="1"/>
  <c r="E56" i="139" s="1"/>
  <c r="D54" i="101"/>
  <c r="E54" i="101"/>
  <c r="D54" i="134" s="1"/>
  <c r="C56" i="135" s="1"/>
  <c r="C56" i="139" s="1"/>
  <c r="C55" i="101"/>
  <c r="C147" i="101"/>
  <c r="E117" i="101"/>
  <c r="D117" i="134" s="1"/>
  <c r="C119" i="135" s="1"/>
  <c r="C119" i="139" s="1"/>
  <c r="F117" i="101"/>
  <c r="C118" i="101"/>
  <c r="AS53" i="101"/>
  <c r="E53" i="134"/>
  <c r="D55" i="135" s="1"/>
  <c r="D55" i="139" s="1"/>
  <c r="AR53" i="101"/>
  <c r="A50" i="154"/>
  <c r="A689" i="154"/>
  <c r="A717" i="154"/>
  <c r="A657" i="154"/>
  <c r="A797" i="154"/>
  <c r="A765" i="154"/>
  <c r="A634" i="154"/>
  <c r="A745" i="154"/>
  <c r="A60" i="154"/>
  <c r="A195" i="154"/>
  <c r="E598" i="101" l="1"/>
  <c r="D598" i="134" s="1"/>
  <c r="C600" i="135" s="1"/>
  <c r="C600" i="139" s="1"/>
  <c r="F598" i="101"/>
  <c r="C599" i="101"/>
  <c r="E597" i="134"/>
  <c r="D599" i="135" s="1"/>
  <c r="D599" i="139" s="1"/>
  <c r="AS597" i="101"/>
  <c r="AR597" i="101"/>
  <c r="E488" i="101"/>
  <c r="D488" i="134" s="1"/>
  <c r="C490" i="135" s="1"/>
  <c r="C490" i="139" s="1"/>
  <c r="F488" i="101"/>
  <c r="C489" i="101"/>
  <c r="E564" i="101"/>
  <c r="D564" i="134" s="1"/>
  <c r="C566" i="135" s="1"/>
  <c r="C566" i="139" s="1"/>
  <c r="C565" i="101"/>
  <c r="D522" i="134"/>
  <c r="C524" i="135" s="1"/>
  <c r="C524" i="139" s="1"/>
  <c r="E523" i="101"/>
  <c r="E396" i="101"/>
  <c r="D396" i="134" s="1"/>
  <c r="C398" i="135" s="1"/>
  <c r="C398" i="139" s="1"/>
  <c r="C397" i="101"/>
  <c r="E256" i="101"/>
  <c r="D256" i="134" s="1"/>
  <c r="C258" i="135" s="1"/>
  <c r="C258" i="139" s="1"/>
  <c r="C257" i="101"/>
  <c r="E229" i="134"/>
  <c r="D231" i="135" s="1"/>
  <c r="D231" i="139" s="1"/>
  <c r="AR229" i="101"/>
  <c r="G284" i="101"/>
  <c r="C284" i="134" s="1"/>
  <c r="E286" i="135" s="1"/>
  <c r="E286" i="139" s="1"/>
  <c r="E284" i="101"/>
  <c r="D284" i="134" s="1"/>
  <c r="C286" i="135" s="1"/>
  <c r="C286" i="139" s="1"/>
  <c r="F284" i="101"/>
  <c r="C285" i="101"/>
  <c r="AS456" i="101"/>
  <c r="E456" i="134"/>
  <c r="D458" i="135" s="1"/>
  <c r="D458" i="139" s="1"/>
  <c r="AR456" i="101"/>
  <c r="F457" i="101"/>
  <c r="E316" i="101"/>
  <c r="D316" i="134" s="1"/>
  <c r="C318" i="135" s="1"/>
  <c r="C318" i="139" s="1"/>
  <c r="C317" i="101"/>
  <c r="AR283" i="101"/>
  <c r="E283" i="134"/>
  <c r="D285" i="135" s="1"/>
  <c r="D285" i="139" s="1"/>
  <c r="E198" i="101"/>
  <c r="D198" i="134" s="1"/>
  <c r="C200" i="135" s="1"/>
  <c r="C200" i="139" s="1"/>
  <c r="F198" i="101"/>
  <c r="C199" i="101"/>
  <c r="E365" i="101"/>
  <c r="D365" i="134" s="1"/>
  <c r="C367" i="135" s="1"/>
  <c r="C367" i="139" s="1"/>
  <c r="C366" i="101"/>
  <c r="E465" i="101"/>
  <c r="D465" i="134" s="1"/>
  <c r="C467" i="135" s="1"/>
  <c r="C467" i="139" s="1"/>
  <c r="C466" i="101"/>
  <c r="F230" i="101"/>
  <c r="E230" i="101"/>
  <c r="D230" i="134" s="1"/>
  <c r="C232" i="135" s="1"/>
  <c r="C232" i="139" s="1"/>
  <c r="C231" i="101"/>
  <c r="E335" i="101"/>
  <c r="D335" i="134" s="1"/>
  <c r="C337" i="135" s="1"/>
  <c r="C337" i="139" s="1"/>
  <c r="C336" i="101"/>
  <c r="E197" i="134"/>
  <c r="D199" i="135" s="1"/>
  <c r="D199" i="139" s="1"/>
  <c r="AS197" i="101"/>
  <c r="AR197" i="101"/>
  <c r="E147" i="101"/>
  <c r="D147" i="134" s="1"/>
  <c r="C149" i="135" s="1"/>
  <c r="C149" i="139" s="1"/>
  <c r="C148" i="101"/>
  <c r="E88" i="101"/>
  <c r="D88" i="134" s="1"/>
  <c r="C90" i="135" s="1"/>
  <c r="C90" i="139" s="1"/>
  <c r="C89" i="101"/>
  <c r="D55" i="101"/>
  <c r="G55" i="101"/>
  <c r="C55" i="134" s="1"/>
  <c r="E57" i="135" s="1"/>
  <c r="E57" i="139" s="1"/>
  <c r="F55" i="101"/>
  <c r="E55" i="101"/>
  <c r="D55" i="134" s="1"/>
  <c r="C57" i="135" s="1"/>
  <c r="C57" i="139" s="1"/>
  <c r="C56" i="101"/>
  <c r="C168" i="101"/>
  <c r="E118" i="101"/>
  <c r="D118" i="134" s="1"/>
  <c r="C120" i="135" s="1"/>
  <c r="C120" i="139" s="1"/>
  <c r="F118" i="101"/>
  <c r="C119" i="101"/>
  <c r="AS54" i="101"/>
  <c r="AR54" i="101"/>
  <c r="E54" i="134"/>
  <c r="D56" i="135" s="1"/>
  <c r="D56" i="139" s="1"/>
  <c r="E117" i="134"/>
  <c r="D119" i="135" s="1"/>
  <c r="D119" i="139" s="1"/>
  <c r="AR117" i="101"/>
  <c r="A51" i="154"/>
  <c r="A746" i="154"/>
  <c r="A766" i="154"/>
  <c r="A798" i="154"/>
  <c r="A658" i="154"/>
  <c r="A718" i="154"/>
  <c r="A690" i="154"/>
  <c r="A635" i="154"/>
  <c r="A196" i="154"/>
  <c r="A61" i="154"/>
  <c r="F599" i="101" l="1"/>
  <c r="E599" i="101"/>
  <c r="D599" i="134" s="1"/>
  <c r="C601" i="135" s="1"/>
  <c r="C601" i="139" s="1"/>
  <c r="C600" i="101"/>
  <c r="AR598" i="101"/>
  <c r="E598" i="134"/>
  <c r="D600" i="135" s="1"/>
  <c r="D600" i="139" s="1"/>
  <c r="E565" i="101"/>
  <c r="D565" i="134" s="1"/>
  <c r="C567" i="135" s="1"/>
  <c r="C567" i="139" s="1"/>
  <c r="C566" i="101"/>
  <c r="D523" i="134"/>
  <c r="C525" i="135" s="1"/>
  <c r="C525" i="139" s="1"/>
  <c r="E524" i="101"/>
  <c r="E489" i="101"/>
  <c r="D489" i="134" s="1"/>
  <c r="C491" i="135" s="1"/>
  <c r="C491" i="139" s="1"/>
  <c r="F489" i="101"/>
  <c r="C490" i="101"/>
  <c r="AS488" i="101"/>
  <c r="AR488" i="101"/>
  <c r="E488" i="134"/>
  <c r="D490" i="135" s="1"/>
  <c r="D490" i="139" s="1"/>
  <c r="E257" i="101"/>
  <c r="D257" i="134" s="1"/>
  <c r="C259" i="135" s="1"/>
  <c r="C259" i="139" s="1"/>
  <c r="C258" i="101"/>
  <c r="AS230" i="101"/>
  <c r="E230" i="134"/>
  <c r="D232" i="135" s="1"/>
  <c r="D232" i="139" s="1"/>
  <c r="AR230" i="101"/>
  <c r="F199" i="101"/>
  <c r="E199" i="101"/>
  <c r="D199" i="134" s="1"/>
  <c r="C201" i="135" s="1"/>
  <c r="C201" i="139" s="1"/>
  <c r="C200" i="101"/>
  <c r="E457" i="134"/>
  <c r="D459" i="135" s="1"/>
  <c r="D459" i="139" s="1"/>
  <c r="F458" i="101"/>
  <c r="E198" i="134"/>
  <c r="D200" i="135" s="1"/>
  <c r="D200" i="139" s="1"/>
  <c r="AR198" i="101"/>
  <c r="E466" i="101"/>
  <c r="D466" i="134" s="1"/>
  <c r="C468" i="135" s="1"/>
  <c r="C468" i="139" s="1"/>
  <c r="C467" i="101"/>
  <c r="E231" i="101"/>
  <c r="D231" i="134" s="1"/>
  <c r="C233" i="135" s="1"/>
  <c r="C233" i="139" s="1"/>
  <c r="F231" i="101"/>
  <c r="C232" i="101"/>
  <c r="C337" i="101"/>
  <c r="G285" i="101"/>
  <c r="C285" i="134" s="1"/>
  <c r="E287" i="135" s="1"/>
  <c r="E287" i="139" s="1"/>
  <c r="F285" i="101"/>
  <c r="C286" i="101"/>
  <c r="C398" i="101"/>
  <c r="AR284" i="101"/>
  <c r="AS284" i="101"/>
  <c r="E284" i="134"/>
  <c r="D286" i="135" s="1"/>
  <c r="D286" i="139" s="1"/>
  <c r="C367" i="101"/>
  <c r="E317" i="101"/>
  <c r="D317" i="134" s="1"/>
  <c r="C319" i="135" s="1"/>
  <c r="C319" i="139" s="1"/>
  <c r="C318" i="101"/>
  <c r="E168" i="101"/>
  <c r="D168" i="134" s="1"/>
  <c r="C170" i="135" s="1"/>
  <c r="C170" i="139" s="1"/>
  <c r="C169" i="101"/>
  <c r="E89" i="101"/>
  <c r="D89" i="134" s="1"/>
  <c r="C91" i="135" s="1"/>
  <c r="C91" i="139" s="1"/>
  <c r="C90" i="101"/>
  <c r="E148" i="101"/>
  <c r="D148" i="134" s="1"/>
  <c r="C150" i="135" s="1"/>
  <c r="C150" i="139" s="1"/>
  <c r="C149" i="101"/>
  <c r="D56" i="101"/>
  <c r="G56" i="101"/>
  <c r="C56" i="134" s="1"/>
  <c r="E58" i="135" s="1"/>
  <c r="E58" i="139" s="1"/>
  <c r="F56" i="101"/>
  <c r="C57" i="101"/>
  <c r="E119" i="101"/>
  <c r="D119" i="134" s="1"/>
  <c r="C121" i="135" s="1"/>
  <c r="C121" i="139" s="1"/>
  <c r="F119" i="101"/>
  <c r="C120" i="101"/>
  <c r="AS118" i="101"/>
  <c r="E118" i="134"/>
  <c r="D120" i="135" s="1"/>
  <c r="D120" i="139" s="1"/>
  <c r="AR118" i="101"/>
  <c r="AS55" i="101"/>
  <c r="E55" i="134"/>
  <c r="D57" i="135" s="1"/>
  <c r="D57" i="139" s="1"/>
  <c r="AR55" i="101"/>
  <c r="A209" i="154"/>
  <c r="A52" i="154"/>
  <c r="A799" i="154"/>
  <c r="A747" i="154"/>
  <c r="A636" i="154"/>
  <c r="A691" i="154"/>
  <c r="A719" i="154"/>
  <c r="A659" i="154"/>
  <c r="A767" i="154"/>
  <c r="A62" i="154"/>
  <c r="A197" i="154"/>
  <c r="E600" i="101" l="1"/>
  <c r="D600" i="134" s="1"/>
  <c r="C602" i="135" s="1"/>
  <c r="C602" i="139" s="1"/>
  <c r="F600" i="101"/>
  <c r="C601" i="101"/>
  <c r="E599" i="134"/>
  <c r="D601" i="135" s="1"/>
  <c r="D601" i="139" s="1"/>
  <c r="AS599" i="101"/>
  <c r="AR599" i="101"/>
  <c r="D524" i="134"/>
  <c r="C526" i="135" s="1"/>
  <c r="C526" i="139" s="1"/>
  <c r="E525" i="101"/>
  <c r="D525" i="134" s="1"/>
  <c r="C527" i="135" s="1"/>
  <c r="C527" i="139" s="1"/>
  <c r="E489" i="134"/>
  <c r="D491" i="135" s="1"/>
  <c r="D491" i="139" s="1"/>
  <c r="AS489" i="101"/>
  <c r="AR489" i="101"/>
  <c r="E566" i="101"/>
  <c r="D566" i="134" s="1"/>
  <c r="C568" i="135" s="1"/>
  <c r="C568" i="139" s="1"/>
  <c r="C567" i="101"/>
  <c r="E490" i="101"/>
  <c r="D490" i="134" s="1"/>
  <c r="C492" i="135" s="1"/>
  <c r="C492" i="139" s="1"/>
  <c r="F490" i="101"/>
  <c r="C491" i="101"/>
  <c r="G286" i="101"/>
  <c r="C286" i="134" s="1"/>
  <c r="E288" i="135" s="1"/>
  <c r="E288" i="139" s="1"/>
  <c r="E286" i="101"/>
  <c r="D286" i="134" s="1"/>
  <c r="C288" i="135" s="1"/>
  <c r="C288" i="139" s="1"/>
  <c r="F286" i="101"/>
  <c r="C287" i="101"/>
  <c r="AR199" i="101"/>
  <c r="AS199" i="101"/>
  <c r="E199" i="134"/>
  <c r="D201" i="135" s="1"/>
  <c r="D201" i="139" s="1"/>
  <c r="E367" i="101"/>
  <c r="D367" i="134" s="1"/>
  <c r="C369" i="135" s="1"/>
  <c r="C369" i="139" s="1"/>
  <c r="C368" i="101"/>
  <c r="C468" i="101"/>
  <c r="AS285" i="101"/>
  <c r="AR285" i="101"/>
  <c r="E285" i="134"/>
  <c r="D287" i="135" s="1"/>
  <c r="D287" i="139" s="1"/>
  <c r="E337" i="101"/>
  <c r="D337" i="134" s="1"/>
  <c r="C339" i="135" s="1"/>
  <c r="C339" i="139" s="1"/>
  <c r="C338" i="101"/>
  <c r="E258" i="101"/>
  <c r="D258" i="134" s="1"/>
  <c r="C260" i="135" s="1"/>
  <c r="C260" i="139" s="1"/>
  <c r="C259" i="101"/>
  <c r="E318" i="101"/>
  <c r="D318" i="134" s="1"/>
  <c r="C320" i="135" s="1"/>
  <c r="C320" i="139" s="1"/>
  <c r="C319" i="101"/>
  <c r="E398" i="101"/>
  <c r="D398" i="134" s="1"/>
  <c r="C400" i="135" s="1"/>
  <c r="C400" i="139" s="1"/>
  <c r="C399" i="101"/>
  <c r="F232" i="101"/>
  <c r="E232" i="101"/>
  <c r="D232" i="134" s="1"/>
  <c r="C234" i="135" s="1"/>
  <c r="C234" i="139" s="1"/>
  <c r="C233" i="101"/>
  <c r="AR458" i="101"/>
  <c r="E458" i="134"/>
  <c r="D460" i="135" s="1"/>
  <c r="D460" i="139" s="1"/>
  <c r="F459" i="101"/>
  <c r="AS231" i="101"/>
  <c r="E231" i="134"/>
  <c r="D233" i="135" s="1"/>
  <c r="D233" i="139" s="1"/>
  <c r="AR231" i="101"/>
  <c r="E200" i="101"/>
  <c r="D200" i="134" s="1"/>
  <c r="C202" i="135" s="1"/>
  <c r="C202" i="139" s="1"/>
  <c r="F200" i="101"/>
  <c r="C201" i="101"/>
  <c r="E90" i="101"/>
  <c r="D90" i="134" s="1"/>
  <c r="C92" i="135" s="1"/>
  <c r="C92" i="139" s="1"/>
  <c r="C91" i="101"/>
  <c r="D57" i="101"/>
  <c r="G57" i="101"/>
  <c r="C57" i="134" s="1"/>
  <c r="E59" i="135" s="1"/>
  <c r="E59" i="139" s="1"/>
  <c r="F57" i="101"/>
  <c r="E57" i="101"/>
  <c r="D57" i="134" s="1"/>
  <c r="C59" i="135" s="1"/>
  <c r="C59" i="139" s="1"/>
  <c r="C58" i="101"/>
  <c r="AR56" i="101"/>
  <c r="E56" i="134"/>
  <c r="D58" i="135" s="1"/>
  <c r="D58" i="139" s="1"/>
  <c r="AS56" i="101"/>
  <c r="E169" i="101"/>
  <c r="D169" i="134" s="1"/>
  <c r="C171" i="135" s="1"/>
  <c r="C171" i="139" s="1"/>
  <c r="C170" i="101"/>
  <c r="E149" i="101"/>
  <c r="D149" i="134" s="1"/>
  <c r="C151" i="135" s="1"/>
  <c r="C151" i="139" s="1"/>
  <c r="C150" i="101"/>
  <c r="AS119" i="101"/>
  <c r="E119" i="134"/>
  <c r="D121" i="135" s="1"/>
  <c r="D121" i="139" s="1"/>
  <c r="AR119" i="101"/>
  <c r="E120" i="101"/>
  <c r="D120" i="134" s="1"/>
  <c r="C122" i="135" s="1"/>
  <c r="C122" i="139" s="1"/>
  <c r="F120" i="101"/>
  <c r="C121" i="101"/>
  <c r="A210" i="154"/>
  <c r="A53" i="154"/>
  <c r="A748" i="154"/>
  <c r="A800" i="154"/>
  <c r="A660" i="154"/>
  <c r="A720" i="154"/>
  <c r="A692" i="154"/>
  <c r="A637" i="154"/>
  <c r="A768" i="154"/>
  <c r="A198" i="154"/>
  <c r="A63" i="154"/>
  <c r="E601" i="101" l="1"/>
  <c r="F601" i="101"/>
  <c r="AR600" i="101"/>
  <c r="E600" i="134"/>
  <c r="D602" i="135" s="1"/>
  <c r="D602" i="139" s="1"/>
  <c r="E567" i="101"/>
  <c r="D567" i="134" s="1"/>
  <c r="C569" i="135" s="1"/>
  <c r="C569" i="139" s="1"/>
  <c r="C568" i="101"/>
  <c r="F491" i="101"/>
  <c r="E491" i="101"/>
  <c r="AS490" i="101"/>
  <c r="E490" i="134"/>
  <c r="D492" i="135" s="1"/>
  <c r="D492" i="139" s="1"/>
  <c r="AR490" i="101"/>
  <c r="E338" i="101"/>
  <c r="D338" i="134" s="1"/>
  <c r="C340" i="135" s="1"/>
  <c r="C340" i="139" s="1"/>
  <c r="C339" i="101"/>
  <c r="E459" i="134"/>
  <c r="D461" i="135" s="1"/>
  <c r="D461" i="139" s="1"/>
  <c r="AS459" i="101"/>
  <c r="AR459" i="101"/>
  <c r="F460" i="101"/>
  <c r="E319" i="101"/>
  <c r="D319" i="134" s="1"/>
  <c r="C321" i="135" s="1"/>
  <c r="C321" i="139" s="1"/>
  <c r="C320" i="101"/>
  <c r="E233" i="101"/>
  <c r="D233" i="134" s="1"/>
  <c r="C235" i="135" s="1"/>
  <c r="C235" i="139" s="1"/>
  <c r="F233" i="101"/>
  <c r="C234" i="101"/>
  <c r="F201" i="101"/>
  <c r="E201" i="101"/>
  <c r="D201" i="134" s="1"/>
  <c r="C203" i="135" s="1"/>
  <c r="C203" i="139" s="1"/>
  <c r="C202" i="101"/>
  <c r="E200" i="134"/>
  <c r="D202" i="135" s="1"/>
  <c r="D202" i="139" s="1"/>
  <c r="AR200" i="101"/>
  <c r="AR232" i="101"/>
  <c r="E232" i="134"/>
  <c r="D234" i="135" s="1"/>
  <c r="D234" i="139" s="1"/>
  <c r="AS232" i="101"/>
  <c r="E259" i="101"/>
  <c r="D259" i="134" s="1"/>
  <c r="C261" i="135" s="1"/>
  <c r="C261" i="139" s="1"/>
  <c r="C260" i="101"/>
  <c r="F287" i="101"/>
  <c r="G287" i="101"/>
  <c r="C287" i="134" s="1"/>
  <c r="E289" i="135" s="1"/>
  <c r="E289" i="139" s="1"/>
  <c r="E287" i="101"/>
  <c r="D287" i="134" s="1"/>
  <c r="C289" i="135" s="1"/>
  <c r="C289" i="139" s="1"/>
  <c r="C288" i="101"/>
  <c r="E468" i="101"/>
  <c r="D468" i="134" s="1"/>
  <c r="C470" i="135" s="1"/>
  <c r="C470" i="139" s="1"/>
  <c r="C469" i="101"/>
  <c r="AS286" i="101"/>
  <c r="E286" i="134"/>
  <c r="D288" i="135" s="1"/>
  <c r="D288" i="139" s="1"/>
  <c r="AR286" i="101"/>
  <c r="E399" i="101"/>
  <c r="D399" i="134" s="1"/>
  <c r="C401" i="135" s="1"/>
  <c r="C401" i="139" s="1"/>
  <c r="C400" i="101"/>
  <c r="E368" i="101"/>
  <c r="D368" i="134" s="1"/>
  <c r="C370" i="135" s="1"/>
  <c r="C370" i="139" s="1"/>
  <c r="C369" i="101"/>
  <c r="AS57" i="101"/>
  <c r="E57" i="134"/>
  <c r="D59" i="135" s="1"/>
  <c r="D59" i="139" s="1"/>
  <c r="AR57" i="101"/>
  <c r="G58" i="101"/>
  <c r="C58" i="134" s="1"/>
  <c r="E60" i="135" s="1"/>
  <c r="E60" i="139" s="1"/>
  <c r="F58" i="101"/>
  <c r="D58" i="101"/>
  <c r="E58" i="101"/>
  <c r="D58" i="134" s="1"/>
  <c r="C60" i="135" s="1"/>
  <c r="C60" i="139" s="1"/>
  <c r="C59" i="101"/>
  <c r="F121" i="101"/>
  <c r="E121" i="101"/>
  <c r="E170" i="101"/>
  <c r="D170" i="134" s="1"/>
  <c r="C172" i="135" s="1"/>
  <c r="C172" i="139" s="1"/>
  <c r="C171" i="101"/>
  <c r="AS120" i="101"/>
  <c r="E120" i="134"/>
  <c r="D122" i="135" s="1"/>
  <c r="D122" i="139" s="1"/>
  <c r="AR120" i="101"/>
  <c r="E91" i="101"/>
  <c r="D91" i="134" s="1"/>
  <c r="C93" i="135" s="1"/>
  <c r="C93" i="139" s="1"/>
  <c r="C92" i="101"/>
  <c r="E150" i="101"/>
  <c r="D150" i="134" s="1"/>
  <c r="C152" i="135" s="1"/>
  <c r="C152" i="139" s="1"/>
  <c r="C151" i="101"/>
  <c r="A211" i="154"/>
  <c r="A638" i="154"/>
  <c r="A769" i="154"/>
  <c r="A749" i="154"/>
  <c r="A693" i="154"/>
  <c r="A721" i="154"/>
  <c r="A661" i="154"/>
  <c r="A801" i="154"/>
  <c r="A64" i="154"/>
  <c r="A199" i="154"/>
  <c r="AS601" i="101" l="1"/>
  <c r="E601" i="134"/>
  <c r="D603" i="135" s="1"/>
  <c r="D603" i="139" s="1"/>
  <c r="AR601" i="101"/>
  <c r="F602" i="101"/>
  <c r="D601" i="134"/>
  <c r="C603" i="135" s="1"/>
  <c r="C603" i="139" s="1"/>
  <c r="E602" i="101"/>
  <c r="D491" i="134"/>
  <c r="C493" i="135" s="1"/>
  <c r="C493" i="139" s="1"/>
  <c r="E492" i="101"/>
  <c r="E491" i="134"/>
  <c r="D493" i="135" s="1"/>
  <c r="D493" i="139" s="1"/>
  <c r="AS491" i="101"/>
  <c r="AR491" i="101"/>
  <c r="F492" i="101"/>
  <c r="D568" i="134"/>
  <c r="C570" i="135" s="1"/>
  <c r="C570" i="139" s="1"/>
  <c r="C569" i="101"/>
  <c r="E260" i="101"/>
  <c r="D260" i="134" s="1"/>
  <c r="C262" i="135" s="1"/>
  <c r="C262" i="139" s="1"/>
  <c r="C261" i="101"/>
  <c r="E201" i="134"/>
  <c r="D203" i="135" s="1"/>
  <c r="D203" i="139" s="1"/>
  <c r="AS201" i="101"/>
  <c r="AR201" i="101"/>
  <c r="E369" i="101"/>
  <c r="D369" i="134" s="1"/>
  <c r="C371" i="135" s="1"/>
  <c r="C371" i="139" s="1"/>
  <c r="C370" i="101"/>
  <c r="E460" i="134"/>
  <c r="D462" i="135" s="1"/>
  <c r="D462" i="139" s="1"/>
  <c r="AS460" i="101"/>
  <c r="AR460" i="101"/>
  <c r="F461" i="101"/>
  <c r="E469" i="101"/>
  <c r="F234" i="101"/>
  <c r="C235" i="101"/>
  <c r="F202" i="101"/>
  <c r="E202" i="101"/>
  <c r="D202" i="134" s="1"/>
  <c r="C204" i="135" s="1"/>
  <c r="C204" i="139" s="1"/>
  <c r="C203" i="101"/>
  <c r="E339" i="101"/>
  <c r="D339" i="134" s="1"/>
  <c r="C341" i="135" s="1"/>
  <c r="C341" i="139" s="1"/>
  <c r="C340" i="101"/>
  <c r="AS287" i="101"/>
  <c r="E287" i="134"/>
  <c r="D289" i="135" s="1"/>
  <c r="D289" i="139" s="1"/>
  <c r="AR287" i="101"/>
  <c r="E400" i="101"/>
  <c r="D400" i="134" s="1"/>
  <c r="C402" i="135" s="1"/>
  <c r="C402" i="139" s="1"/>
  <c r="C401" i="101"/>
  <c r="E288" i="101"/>
  <c r="D288" i="134" s="1"/>
  <c r="C290" i="135" s="1"/>
  <c r="C290" i="139" s="1"/>
  <c r="G288" i="101"/>
  <c r="C288" i="134" s="1"/>
  <c r="E290" i="135" s="1"/>
  <c r="E290" i="139" s="1"/>
  <c r="F288" i="101"/>
  <c r="C289" i="101"/>
  <c r="E233" i="134"/>
  <c r="D235" i="135" s="1"/>
  <c r="D235" i="139" s="1"/>
  <c r="AR233" i="101"/>
  <c r="E320" i="101"/>
  <c r="E151" i="101"/>
  <c r="D151" i="134" s="1"/>
  <c r="C153" i="135" s="1"/>
  <c r="C153" i="139" s="1"/>
  <c r="C152" i="101"/>
  <c r="E171" i="101"/>
  <c r="D171" i="134" s="1"/>
  <c r="C173" i="135" s="1"/>
  <c r="C173" i="139" s="1"/>
  <c r="C172" i="101"/>
  <c r="AR58" i="101"/>
  <c r="E58" i="134"/>
  <c r="D60" i="135" s="1"/>
  <c r="D60" i="139" s="1"/>
  <c r="AS58" i="101"/>
  <c r="F59" i="101"/>
  <c r="E59" i="101"/>
  <c r="D59" i="134" s="1"/>
  <c r="C61" i="135" s="1"/>
  <c r="C61" i="139" s="1"/>
  <c r="D59" i="101"/>
  <c r="G59" i="101"/>
  <c r="C59" i="134" s="1"/>
  <c r="E61" i="135" s="1"/>
  <c r="E61" i="139" s="1"/>
  <c r="C60" i="101"/>
  <c r="D121" i="134"/>
  <c r="C123" i="135" s="1"/>
  <c r="C123" i="139" s="1"/>
  <c r="E122" i="101"/>
  <c r="E121" i="134"/>
  <c r="D123" i="135" s="1"/>
  <c r="D123" i="139" s="1"/>
  <c r="AS121" i="101"/>
  <c r="AR121" i="101"/>
  <c r="F122" i="101"/>
  <c r="E92" i="101"/>
  <c r="D92" i="134" s="1"/>
  <c r="C94" i="135" s="1"/>
  <c r="C94" i="139" s="1"/>
  <c r="C93" i="101"/>
  <c r="A212" i="154"/>
  <c r="A639" i="154"/>
  <c r="A662" i="154"/>
  <c r="A722" i="154"/>
  <c r="A694" i="154"/>
  <c r="A802" i="154"/>
  <c r="A770" i="154"/>
  <c r="A200" i="154"/>
  <c r="A65" i="154"/>
  <c r="D602" i="134" l="1"/>
  <c r="C604" i="135" s="1"/>
  <c r="C604" i="139" s="1"/>
  <c r="E603" i="101"/>
  <c r="F603" i="101"/>
  <c r="E602" i="134"/>
  <c r="D604" i="135" s="1"/>
  <c r="D604" i="139" s="1"/>
  <c r="AR602" i="101"/>
  <c r="AS492" i="101"/>
  <c r="AR492" i="101"/>
  <c r="E492" i="134"/>
  <c r="D494" i="135" s="1"/>
  <c r="D494" i="139" s="1"/>
  <c r="F493" i="101"/>
  <c r="E569" i="101"/>
  <c r="D569" i="134" s="1"/>
  <c r="C571" i="135" s="1"/>
  <c r="C571" i="139" s="1"/>
  <c r="C570" i="101"/>
  <c r="D492" i="134"/>
  <c r="C494" i="135" s="1"/>
  <c r="C494" i="139" s="1"/>
  <c r="E493" i="101"/>
  <c r="AR234" i="101"/>
  <c r="E234" i="134"/>
  <c r="D236" i="135" s="1"/>
  <c r="D236" i="139" s="1"/>
  <c r="AS234" i="101"/>
  <c r="E235" i="101"/>
  <c r="D235" i="134" s="1"/>
  <c r="C237" i="135" s="1"/>
  <c r="C237" i="139" s="1"/>
  <c r="F235" i="101"/>
  <c r="C236" i="101"/>
  <c r="AS288" i="101"/>
  <c r="E288" i="134"/>
  <c r="D290" i="135" s="1"/>
  <c r="D290" i="139" s="1"/>
  <c r="AR288" i="101"/>
  <c r="E340" i="101"/>
  <c r="D340" i="134" s="1"/>
  <c r="C342" i="135" s="1"/>
  <c r="C342" i="139" s="1"/>
  <c r="C341" i="101"/>
  <c r="G289" i="101"/>
  <c r="C289" i="134" s="1"/>
  <c r="E291" i="135" s="1"/>
  <c r="E291" i="139" s="1"/>
  <c r="E289" i="101"/>
  <c r="D289" i="134" s="1"/>
  <c r="C291" i="135" s="1"/>
  <c r="C291" i="139" s="1"/>
  <c r="F289" i="101"/>
  <c r="C290" i="101"/>
  <c r="D469" i="134"/>
  <c r="C471" i="135" s="1"/>
  <c r="C471" i="139" s="1"/>
  <c r="E470" i="101"/>
  <c r="E401" i="101"/>
  <c r="D401" i="134" s="1"/>
  <c r="C403" i="135" s="1"/>
  <c r="C403" i="139" s="1"/>
  <c r="C402" i="101"/>
  <c r="E203" i="101"/>
  <c r="D203" i="134" s="1"/>
  <c r="C205" i="135" s="1"/>
  <c r="C205" i="139" s="1"/>
  <c r="F203" i="101"/>
  <c r="C204" i="101"/>
  <c r="AS461" i="101"/>
  <c r="E461" i="134"/>
  <c r="D463" i="135" s="1"/>
  <c r="D463" i="139" s="1"/>
  <c r="AR461" i="101"/>
  <c r="F462" i="101"/>
  <c r="E261" i="101"/>
  <c r="D261" i="134" s="1"/>
  <c r="C263" i="135" s="1"/>
  <c r="C263" i="139" s="1"/>
  <c r="C262" i="101"/>
  <c r="D320" i="134"/>
  <c r="C322" i="135" s="1"/>
  <c r="C322" i="139" s="1"/>
  <c r="E321" i="101"/>
  <c r="E202" i="134"/>
  <c r="D204" i="135" s="1"/>
  <c r="D204" i="139" s="1"/>
  <c r="AR202" i="101"/>
  <c r="E370" i="101"/>
  <c r="D370" i="134" s="1"/>
  <c r="C372" i="135" s="1"/>
  <c r="C372" i="139" s="1"/>
  <c r="C371" i="101"/>
  <c r="E172" i="101"/>
  <c r="D172" i="134" s="1"/>
  <c r="C174" i="135" s="1"/>
  <c r="C174" i="139" s="1"/>
  <c r="C173" i="101"/>
  <c r="D122" i="134"/>
  <c r="C124" i="135" s="1"/>
  <c r="C124" i="139" s="1"/>
  <c r="E123" i="101"/>
  <c r="AS122" i="101"/>
  <c r="AR122" i="101"/>
  <c r="E122" i="134"/>
  <c r="D124" i="135" s="1"/>
  <c r="D124" i="139" s="1"/>
  <c r="F123" i="101"/>
  <c r="E152" i="101"/>
  <c r="G60" i="101"/>
  <c r="C60" i="134" s="1"/>
  <c r="E62" i="135" s="1"/>
  <c r="E62" i="139" s="1"/>
  <c r="D60" i="101"/>
  <c r="E60" i="101"/>
  <c r="D60" i="134" s="1"/>
  <c r="C62" i="135" s="1"/>
  <c r="C62" i="139" s="1"/>
  <c r="C61" i="101"/>
  <c r="E93" i="101"/>
  <c r="D93" i="134" s="1"/>
  <c r="C95" i="135" s="1"/>
  <c r="C95" i="139" s="1"/>
  <c r="C94" i="101"/>
  <c r="AS59" i="101"/>
  <c r="E59" i="134"/>
  <c r="D61" i="135" s="1"/>
  <c r="D61" i="139" s="1"/>
  <c r="AR59" i="101"/>
  <c r="AR60" i="101" s="1"/>
  <c r="A213" i="154"/>
  <c r="A695" i="154"/>
  <c r="A723" i="154"/>
  <c r="A663" i="154"/>
  <c r="A803" i="154"/>
  <c r="A771" i="154"/>
  <c r="A640" i="154"/>
  <c r="A201" i="154"/>
  <c r="A66" i="154"/>
  <c r="AS603" i="101" l="1"/>
  <c r="E603" i="134"/>
  <c r="D605" i="135" s="1"/>
  <c r="D605" i="139" s="1"/>
  <c r="AR603" i="101"/>
  <c r="F604" i="101"/>
  <c r="D603" i="134"/>
  <c r="C605" i="135" s="1"/>
  <c r="C605" i="139" s="1"/>
  <c r="E604" i="101"/>
  <c r="E570" i="101"/>
  <c r="D570" i="134" s="1"/>
  <c r="C572" i="135" s="1"/>
  <c r="C572" i="139" s="1"/>
  <c r="C571" i="101"/>
  <c r="E493" i="134"/>
  <c r="D495" i="135" s="1"/>
  <c r="D495" i="139" s="1"/>
  <c r="AS493" i="101"/>
  <c r="AR493" i="101"/>
  <c r="F494" i="101"/>
  <c r="D493" i="134"/>
  <c r="C495" i="135" s="1"/>
  <c r="C495" i="139" s="1"/>
  <c r="E494" i="101"/>
  <c r="F204" i="101"/>
  <c r="E204" i="101"/>
  <c r="D204" i="134" s="1"/>
  <c r="C206" i="135" s="1"/>
  <c r="C206" i="139" s="1"/>
  <c r="C205" i="101"/>
  <c r="F290" i="101"/>
  <c r="E290" i="101"/>
  <c r="G290" i="101"/>
  <c r="D321" i="134"/>
  <c r="C323" i="135" s="1"/>
  <c r="C323" i="139" s="1"/>
  <c r="E322" i="101"/>
  <c r="AS203" i="101"/>
  <c r="E203" i="134"/>
  <c r="D205" i="135" s="1"/>
  <c r="D205" i="139" s="1"/>
  <c r="AR203" i="101"/>
  <c r="AS289" i="101"/>
  <c r="E289" i="134"/>
  <c r="D291" i="135" s="1"/>
  <c r="D291" i="139" s="1"/>
  <c r="AR289" i="101"/>
  <c r="F236" i="101"/>
  <c r="E236" i="101"/>
  <c r="D236" i="134" s="1"/>
  <c r="C238" i="135" s="1"/>
  <c r="C238" i="139" s="1"/>
  <c r="C237" i="101"/>
  <c r="E262" i="101"/>
  <c r="D262" i="134" s="1"/>
  <c r="C264" i="135" s="1"/>
  <c r="C264" i="139" s="1"/>
  <c r="C263" i="101"/>
  <c r="AS235" i="101"/>
  <c r="E235" i="134"/>
  <c r="D237" i="135" s="1"/>
  <c r="D237" i="139" s="1"/>
  <c r="AR235" i="101"/>
  <c r="E371" i="101"/>
  <c r="D371" i="134" s="1"/>
  <c r="C373" i="135" s="1"/>
  <c r="C373" i="139" s="1"/>
  <c r="C372" i="101"/>
  <c r="E402" i="101"/>
  <c r="D402" i="134" s="1"/>
  <c r="C404" i="135" s="1"/>
  <c r="C404" i="139" s="1"/>
  <c r="C403" i="101"/>
  <c r="E341" i="101"/>
  <c r="D341" i="134" s="1"/>
  <c r="C343" i="135" s="1"/>
  <c r="C343" i="139" s="1"/>
  <c r="C342" i="101"/>
  <c r="D470" i="134"/>
  <c r="C472" i="135" s="1"/>
  <c r="C472" i="139" s="1"/>
  <c r="E471" i="101"/>
  <c r="D471" i="134" s="1"/>
  <c r="C473" i="135" s="1"/>
  <c r="C473" i="139" s="1"/>
  <c r="E462" i="134"/>
  <c r="D464" i="135" s="1"/>
  <c r="D464" i="139" s="1"/>
  <c r="AR462" i="101"/>
  <c r="F463" i="101"/>
  <c r="E94" i="101"/>
  <c r="D94" i="134" s="1"/>
  <c r="C96" i="135" s="1"/>
  <c r="C96" i="139" s="1"/>
  <c r="C95" i="101"/>
  <c r="AR123" i="101"/>
  <c r="E123" i="134"/>
  <c r="D125" i="135" s="1"/>
  <c r="D125" i="139" s="1"/>
  <c r="AS123" i="101"/>
  <c r="F124" i="101"/>
  <c r="G61" i="101"/>
  <c r="C61" i="134" s="1"/>
  <c r="E63" i="135" s="1"/>
  <c r="E63" i="139" s="1"/>
  <c r="D61" i="101"/>
  <c r="E61" i="101"/>
  <c r="D61" i="134" s="1"/>
  <c r="C63" i="135" s="1"/>
  <c r="C63" i="139" s="1"/>
  <c r="F61" i="101"/>
  <c r="C62" i="101"/>
  <c r="D123" i="134"/>
  <c r="C125" i="135" s="1"/>
  <c r="C125" i="139" s="1"/>
  <c r="E124" i="101"/>
  <c r="E173" i="101"/>
  <c r="D173" i="134" s="1"/>
  <c r="C175" i="135" s="1"/>
  <c r="C175" i="139" s="1"/>
  <c r="C174" i="101"/>
  <c r="D152" i="134"/>
  <c r="C154" i="135" s="1"/>
  <c r="C154" i="139" s="1"/>
  <c r="E153" i="101"/>
  <c r="A75" i="154"/>
  <c r="A214" i="154"/>
  <c r="A804" i="154"/>
  <c r="A664" i="154"/>
  <c r="A724" i="154"/>
  <c r="A696" i="154"/>
  <c r="A772" i="154"/>
  <c r="A67" i="154"/>
  <c r="A202" i="154"/>
  <c r="D604" i="134" l="1"/>
  <c r="C606" i="135" s="1"/>
  <c r="C606" i="139" s="1"/>
  <c r="E605" i="101"/>
  <c r="D605" i="134" s="1"/>
  <c r="C607" i="135" s="1"/>
  <c r="C607" i="139" s="1"/>
  <c r="AR604" i="101"/>
  <c r="E604" i="134"/>
  <c r="D606" i="135" s="1"/>
  <c r="D606" i="139" s="1"/>
  <c r="AS604" i="101"/>
  <c r="F605" i="101"/>
  <c r="AS494" i="101"/>
  <c r="E494" i="134"/>
  <c r="D496" i="135" s="1"/>
  <c r="D496" i="139" s="1"/>
  <c r="AR494" i="101"/>
  <c r="F495" i="101"/>
  <c r="D494" i="134"/>
  <c r="C496" i="135" s="1"/>
  <c r="C496" i="139" s="1"/>
  <c r="E495" i="101"/>
  <c r="D495" i="134" s="1"/>
  <c r="C497" i="135" s="1"/>
  <c r="C497" i="139" s="1"/>
  <c r="E571" i="101"/>
  <c r="D571" i="134" s="1"/>
  <c r="C573" i="135" s="1"/>
  <c r="C573" i="139" s="1"/>
  <c r="C572" i="101"/>
  <c r="E372" i="101"/>
  <c r="D372" i="134" s="1"/>
  <c r="C374" i="135" s="1"/>
  <c r="C374" i="139" s="1"/>
  <c r="C373" i="101"/>
  <c r="D322" i="134"/>
  <c r="C324" i="135" s="1"/>
  <c r="C324" i="139" s="1"/>
  <c r="E323" i="101"/>
  <c r="F237" i="101"/>
  <c r="E237" i="101"/>
  <c r="D237" i="134" s="1"/>
  <c r="C239" i="135" s="1"/>
  <c r="C239" i="139" s="1"/>
  <c r="C238" i="101"/>
  <c r="E342" i="101"/>
  <c r="D342" i="134" s="1"/>
  <c r="C344" i="135" s="1"/>
  <c r="C344" i="139" s="1"/>
  <c r="C343" i="101"/>
  <c r="C290" i="134"/>
  <c r="E292" i="135" s="1"/>
  <c r="E292" i="139" s="1"/>
  <c r="G291" i="101"/>
  <c r="D290" i="134"/>
  <c r="C292" i="135" s="1"/>
  <c r="C292" i="139" s="1"/>
  <c r="E291" i="101"/>
  <c r="E290" i="134"/>
  <c r="D292" i="135" s="1"/>
  <c r="D292" i="139" s="1"/>
  <c r="AS290" i="101"/>
  <c r="F291" i="101"/>
  <c r="AS236" i="101"/>
  <c r="E236" i="134"/>
  <c r="D238" i="135" s="1"/>
  <c r="D238" i="139" s="1"/>
  <c r="E205" i="101"/>
  <c r="D205" i="134" s="1"/>
  <c r="C207" i="135" s="1"/>
  <c r="C207" i="139" s="1"/>
  <c r="F205" i="101"/>
  <c r="C206" i="101"/>
  <c r="E263" i="101"/>
  <c r="D263" i="134" s="1"/>
  <c r="C265" i="135" s="1"/>
  <c r="C265" i="139" s="1"/>
  <c r="C264" i="101"/>
  <c r="E403" i="101"/>
  <c r="D403" i="134" s="1"/>
  <c r="C405" i="135" s="1"/>
  <c r="C405" i="139" s="1"/>
  <c r="C404" i="101"/>
  <c r="AS463" i="101"/>
  <c r="E463" i="134"/>
  <c r="D465" i="135" s="1"/>
  <c r="D465" i="139" s="1"/>
  <c r="AR463" i="101"/>
  <c r="F464" i="101"/>
  <c r="E204" i="134"/>
  <c r="D206" i="135" s="1"/>
  <c r="D206" i="139" s="1"/>
  <c r="AR204" i="101"/>
  <c r="D153" i="134"/>
  <c r="C155" i="135" s="1"/>
  <c r="C155" i="139" s="1"/>
  <c r="E154" i="101"/>
  <c r="E174" i="101"/>
  <c r="D174" i="134" s="1"/>
  <c r="C176" i="135" s="1"/>
  <c r="C176" i="139" s="1"/>
  <c r="C175" i="101"/>
  <c r="E95" i="101"/>
  <c r="D95" i="134" s="1"/>
  <c r="C97" i="135" s="1"/>
  <c r="C97" i="139" s="1"/>
  <c r="C96" i="101"/>
  <c r="D124" i="134"/>
  <c r="C126" i="135" s="1"/>
  <c r="C126" i="139" s="1"/>
  <c r="E125" i="101"/>
  <c r="D125" i="134" s="1"/>
  <c r="C127" i="135" s="1"/>
  <c r="C127" i="139" s="1"/>
  <c r="AS124" i="101"/>
  <c r="E124" i="134"/>
  <c r="D126" i="135" s="1"/>
  <c r="D126" i="139" s="1"/>
  <c r="F125" i="101"/>
  <c r="F62" i="101"/>
  <c r="G62" i="101"/>
  <c r="C62" i="134" s="1"/>
  <c r="E64" i="135" s="1"/>
  <c r="E64" i="139" s="1"/>
  <c r="D62" i="101"/>
  <c r="E62" i="101"/>
  <c r="D62" i="134" s="1"/>
  <c r="C64" i="135" s="1"/>
  <c r="C64" i="139" s="1"/>
  <c r="C63" i="101"/>
  <c r="E61" i="134"/>
  <c r="D63" i="135" s="1"/>
  <c r="D63" i="139" s="1"/>
  <c r="AR61" i="101"/>
  <c r="A76" i="154"/>
  <c r="A215" i="154"/>
  <c r="B49" i="154"/>
  <c r="A697" i="154"/>
  <c r="A725" i="154"/>
  <c r="A665" i="154"/>
  <c r="A805" i="154"/>
  <c r="A773" i="154"/>
  <c r="A203" i="154"/>
  <c r="A68" i="154"/>
  <c r="E605" i="134" l="1"/>
  <c r="D607" i="135" s="1"/>
  <c r="D607" i="139" s="1"/>
  <c r="AR605" i="101"/>
  <c r="AS605" i="101"/>
  <c r="F606" i="101"/>
  <c r="E572" i="101"/>
  <c r="D572" i="134" s="1"/>
  <c r="C574" i="135" s="1"/>
  <c r="C574" i="139" s="1"/>
  <c r="C573" i="101"/>
  <c r="AS495" i="101"/>
  <c r="AR495" i="101"/>
  <c r="E495" i="134"/>
  <c r="D497" i="135" s="1"/>
  <c r="D497" i="139" s="1"/>
  <c r="F496" i="101"/>
  <c r="E238" i="101"/>
  <c r="D238" i="134" s="1"/>
  <c r="C240" i="135" s="1"/>
  <c r="C240" i="139" s="1"/>
  <c r="F238" i="101"/>
  <c r="C239" i="101"/>
  <c r="AS464" i="101"/>
  <c r="E464" i="134"/>
  <c r="D466" i="135" s="1"/>
  <c r="D466" i="139" s="1"/>
  <c r="AR464" i="101"/>
  <c r="F465" i="101"/>
  <c r="D291" i="134"/>
  <c r="C293" i="135" s="1"/>
  <c r="C293" i="139" s="1"/>
  <c r="E292" i="101"/>
  <c r="AS237" i="101"/>
  <c r="E237" i="134"/>
  <c r="D239" i="135" s="1"/>
  <c r="D239" i="139" s="1"/>
  <c r="AR237" i="101"/>
  <c r="E206" i="101"/>
  <c r="D206" i="134" s="1"/>
  <c r="C208" i="135" s="1"/>
  <c r="C208" i="139" s="1"/>
  <c r="F206" i="101"/>
  <c r="C207" i="101"/>
  <c r="C291" i="134"/>
  <c r="E293" i="135" s="1"/>
  <c r="E293" i="139" s="1"/>
  <c r="G292" i="101"/>
  <c r="D323" i="134"/>
  <c r="C325" i="135" s="1"/>
  <c r="C325" i="139" s="1"/>
  <c r="E324" i="101"/>
  <c r="D324" i="134" s="1"/>
  <c r="C326" i="135" s="1"/>
  <c r="C326" i="139" s="1"/>
  <c r="E264" i="101"/>
  <c r="D264" i="134" s="1"/>
  <c r="C266" i="135" s="1"/>
  <c r="C266" i="139" s="1"/>
  <c r="C265" i="101"/>
  <c r="E404" i="101"/>
  <c r="D404" i="134" s="1"/>
  <c r="C406" i="135" s="1"/>
  <c r="C406" i="139" s="1"/>
  <c r="C405" i="101"/>
  <c r="AS205" i="101"/>
  <c r="E205" i="134"/>
  <c r="D207" i="135" s="1"/>
  <c r="D207" i="139" s="1"/>
  <c r="AR205" i="101"/>
  <c r="E343" i="101"/>
  <c r="D343" i="134" s="1"/>
  <c r="C345" i="135" s="1"/>
  <c r="C345" i="139" s="1"/>
  <c r="C344" i="101"/>
  <c r="E373" i="101"/>
  <c r="D373" i="134" s="1"/>
  <c r="C375" i="135" s="1"/>
  <c r="C375" i="139" s="1"/>
  <c r="C374" i="101"/>
  <c r="AS291" i="101"/>
  <c r="E291" i="134"/>
  <c r="D293" i="135" s="1"/>
  <c r="D293" i="139" s="1"/>
  <c r="AR291" i="101"/>
  <c r="F292" i="101"/>
  <c r="E96" i="101"/>
  <c r="D96" i="134" s="1"/>
  <c r="C98" i="135" s="1"/>
  <c r="C98" i="139" s="1"/>
  <c r="C97" i="101"/>
  <c r="E63" i="101"/>
  <c r="D63" i="134" s="1"/>
  <c r="C65" i="135" s="1"/>
  <c r="C65" i="139" s="1"/>
  <c r="D63" i="101"/>
  <c r="G63" i="101"/>
  <c r="C63" i="134" s="1"/>
  <c r="E65" i="135" s="1"/>
  <c r="E65" i="139" s="1"/>
  <c r="F63" i="101"/>
  <c r="C64" i="101"/>
  <c r="E175" i="101"/>
  <c r="D175" i="134" s="1"/>
  <c r="C177" i="135" s="1"/>
  <c r="C177" i="139" s="1"/>
  <c r="C176" i="101"/>
  <c r="AS125" i="101"/>
  <c r="E125" i="134"/>
  <c r="D127" i="135" s="1"/>
  <c r="D127" i="139" s="1"/>
  <c r="AR125" i="101"/>
  <c r="F126" i="101"/>
  <c r="E62" i="134"/>
  <c r="D64" i="135" s="1"/>
  <c r="D64" i="139" s="1"/>
  <c r="AS62" i="101"/>
  <c r="AR62" i="101"/>
  <c r="D154" i="134"/>
  <c r="C156" i="135" s="1"/>
  <c r="C156" i="139" s="1"/>
  <c r="E155" i="101"/>
  <c r="A77" i="154"/>
  <c r="A216" i="154"/>
  <c r="A666" i="154"/>
  <c r="A726" i="154"/>
  <c r="A698" i="154"/>
  <c r="A806" i="154"/>
  <c r="A774" i="154"/>
  <c r="A204" i="154"/>
  <c r="A69" i="154"/>
  <c r="AS606" i="101" l="1"/>
  <c r="E606" i="134"/>
  <c r="D608" i="135" s="1"/>
  <c r="D608" i="139" s="1"/>
  <c r="AR606" i="101"/>
  <c r="F607" i="101"/>
  <c r="E496" i="134"/>
  <c r="D498" i="135" s="1"/>
  <c r="D498" i="139" s="1"/>
  <c r="AS496" i="101"/>
  <c r="AR496" i="101"/>
  <c r="F497" i="101"/>
  <c r="E573" i="101"/>
  <c r="D573" i="134" s="1"/>
  <c r="C575" i="135" s="1"/>
  <c r="C575" i="139" s="1"/>
  <c r="C574" i="101"/>
  <c r="D292" i="134"/>
  <c r="C294" i="135" s="1"/>
  <c r="C294" i="139" s="1"/>
  <c r="E293" i="101"/>
  <c r="E405" i="101"/>
  <c r="D405" i="134" s="1"/>
  <c r="C407" i="135" s="1"/>
  <c r="C407" i="139" s="1"/>
  <c r="C406" i="101"/>
  <c r="C292" i="134"/>
  <c r="E294" i="135" s="1"/>
  <c r="E294" i="139" s="1"/>
  <c r="G293" i="101"/>
  <c r="E465" i="134"/>
  <c r="D467" i="135" s="1"/>
  <c r="D467" i="139" s="1"/>
  <c r="AS465" i="101"/>
  <c r="AR465" i="101"/>
  <c r="AR466" i="101" s="1"/>
  <c r="AR467" i="101" s="1"/>
  <c r="AR468" i="101" s="1"/>
  <c r="AR469" i="101" s="1"/>
  <c r="AR470" i="101" s="1"/>
  <c r="AR471" i="101" s="1"/>
  <c r="AR472" i="101" s="1"/>
  <c r="AR473" i="101" s="1"/>
  <c r="AR474" i="101" s="1"/>
  <c r="AR475" i="101" s="1"/>
  <c r="E374" i="101"/>
  <c r="D374" i="134" s="1"/>
  <c r="C376" i="135" s="1"/>
  <c r="C376" i="139" s="1"/>
  <c r="C375" i="101"/>
  <c r="F207" i="101"/>
  <c r="C208" i="101"/>
  <c r="E344" i="101"/>
  <c r="D344" i="134" s="1"/>
  <c r="C346" i="135" s="1"/>
  <c r="C346" i="139" s="1"/>
  <c r="C345" i="101"/>
  <c r="F239" i="101"/>
  <c r="E239" i="101"/>
  <c r="D239" i="134" s="1"/>
  <c r="C241" i="135" s="1"/>
  <c r="C241" i="139" s="1"/>
  <c r="C240" i="101"/>
  <c r="E265" i="101"/>
  <c r="D265" i="134" s="1"/>
  <c r="C267" i="135" s="1"/>
  <c r="C267" i="139" s="1"/>
  <c r="C266" i="101"/>
  <c r="AS238" i="101"/>
  <c r="E238" i="134"/>
  <c r="D240" i="135" s="1"/>
  <c r="D240" i="139" s="1"/>
  <c r="AR238" i="101"/>
  <c r="AS292" i="101"/>
  <c r="AR292" i="101"/>
  <c r="E292" i="134"/>
  <c r="D294" i="135" s="1"/>
  <c r="D294" i="139" s="1"/>
  <c r="F293" i="101"/>
  <c r="AS206" i="101"/>
  <c r="E206" i="134"/>
  <c r="D208" i="135" s="1"/>
  <c r="D208" i="139" s="1"/>
  <c r="AR206" i="101"/>
  <c r="AR126" i="101"/>
  <c r="E126" i="134"/>
  <c r="D128" i="135" s="1"/>
  <c r="D128" i="139" s="1"/>
  <c r="AS126" i="101"/>
  <c r="F127" i="101"/>
  <c r="D97" i="134"/>
  <c r="C99" i="135" s="1"/>
  <c r="C99" i="139" s="1"/>
  <c r="C98" i="101"/>
  <c r="AS63" i="101"/>
  <c r="E63" i="134"/>
  <c r="D65" i="135" s="1"/>
  <c r="D65" i="139" s="1"/>
  <c r="AR63" i="101"/>
  <c r="D155" i="134"/>
  <c r="C157" i="135" s="1"/>
  <c r="C157" i="139" s="1"/>
  <c r="E156" i="101"/>
  <c r="D156" i="134" s="1"/>
  <c r="C158" i="135" s="1"/>
  <c r="C158" i="139" s="1"/>
  <c r="D64" i="101"/>
  <c r="E64" i="101"/>
  <c r="D64" i="134" s="1"/>
  <c r="C66" i="135" s="1"/>
  <c r="C66" i="139" s="1"/>
  <c r="G64" i="101"/>
  <c r="C64" i="134" s="1"/>
  <c r="E66" i="135" s="1"/>
  <c r="E66" i="139" s="1"/>
  <c r="F64" i="101"/>
  <c r="C65" i="101"/>
  <c r="E176" i="101"/>
  <c r="D176" i="134" s="1"/>
  <c r="C178" i="135" s="1"/>
  <c r="C178" i="139" s="1"/>
  <c r="C177" i="101"/>
  <c r="A78" i="154"/>
  <c r="A217" i="154"/>
  <c r="A775" i="154"/>
  <c r="A699" i="154"/>
  <c r="A727" i="154"/>
  <c r="A667" i="154"/>
  <c r="A807" i="154"/>
  <c r="A205" i="154"/>
  <c r="A70" i="154"/>
  <c r="AS607" i="101" l="1"/>
  <c r="E607" i="134"/>
  <c r="D609" i="135" s="1"/>
  <c r="D609" i="139" s="1"/>
  <c r="AR607" i="101"/>
  <c r="F608" i="101"/>
  <c r="E574" i="101"/>
  <c r="D574" i="134" s="1"/>
  <c r="C576" i="135" s="1"/>
  <c r="C576" i="139" s="1"/>
  <c r="C575" i="101"/>
  <c r="E497" i="134"/>
  <c r="D499" i="135" s="1"/>
  <c r="D499" i="139" s="1"/>
  <c r="AS497" i="101"/>
  <c r="AR497" i="101"/>
  <c r="F498" i="101"/>
  <c r="F208" i="101"/>
  <c r="E208" i="101"/>
  <c r="D208" i="134" s="1"/>
  <c r="C210" i="135" s="1"/>
  <c r="C210" i="139" s="1"/>
  <c r="C209" i="101"/>
  <c r="C293" i="134"/>
  <c r="E295" i="135" s="1"/>
  <c r="E295" i="139" s="1"/>
  <c r="G294" i="101"/>
  <c r="AS207" i="101"/>
  <c r="E207" i="134"/>
  <c r="D209" i="135" s="1"/>
  <c r="D209" i="139" s="1"/>
  <c r="AR207" i="101"/>
  <c r="AS293" i="101"/>
  <c r="E293" i="134"/>
  <c r="D295" i="135" s="1"/>
  <c r="D295" i="139" s="1"/>
  <c r="AR293" i="101"/>
  <c r="F294" i="101"/>
  <c r="E240" i="101"/>
  <c r="F240" i="101"/>
  <c r="E406" i="101"/>
  <c r="D406" i="134" s="1"/>
  <c r="C408" i="135" s="1"/>
  <c r="C408" i="139" s="1"/>
  <c r="C407" i="101"/>
  <c r="AS239" i="101"/>
  <c r="E239" i="134"/>
  <c r="D241" i="135" s="1"/>
  <c r="D241" i="139" s="1"/>
  <c r="AR239" i="101"/>
  <c r="E375" i="101"/>
  <c r="D375" i="134" s="1"/>
  <c r="C377" i="135" s="1"/>
  <c r="C377" i="139" s="1"/>
  <c r="C376" i="101"/>
  <c r="C267" i="101"/>
  <c r="E345" i="101"/>
  <c r="D345" i="134" s="1"/>
  <c r="C347" i="135" s="1"/>
  <c r="C347" i="139" s="1"/>
  <c r="C346" i="101"/>
  <c r="D293" i="134"/>
  <c r="C295" i="135" s="1"/>
  <c r="C295" i="139" s="1"/>
  <c r="E294" i="101"/>
  <c r="D294" i="134" s="1"/>
  <c r="C296" i="135" s="1"/>
  <c r="C296" i="139" s="1"/>
  <c r="E98" i="101"/>
  <c r="D98" i="134" s="1"/>
  <c r="C100" i="135" s="1"/>
  <c r="C100" i="139" s="1"/>
  <c r="C99" i="101"/>
  <c r="D65" i="101"/>
  <c r="F65" i="101"/>
  <c r="G65" i="101"/>
  <c r="C65" i="134" s="1"/>
  <c r="E67" i="135" s="1"/>
  <c r="E67" i="139" s="1"/>
  <c r="E65" i="101"/>
  <c r="D65" i="134" s="1"/>
  <c r="C67" i="135" s="1"/>
  <c r="C67" i="139" s="1"/>
  <c r="C66" i="101"/>
  <c r="AS64" i="101"/>
  <c r="E64" i="134"/>
  <c r="D66" i="135" s="1"/>
  <c r="D66" i="139" s="1"/>
  <c r="AR64" i="101"/>
  <c r="AS127" i="101"/>
  <c r="E127" i="134"/>
  <c r="D129" i="135" s="1"/>
  <c r="D129" i="139" s="1"/>
  <c r="AR127" i="101"/>
  <c r="F128" i="101"/>
  <c r="C178" i="101"/>
  <c r="A79" i="154"/>
  <c r="A218" i="154"/>
  <c r="A808" i="154"/>
  <c r="B755" i="154"/>
  <c r="A668" i="154"/>
  <c r="A728" i="154"/>
  <c r="A776" i="154"/>
  <c r="A71" i="154"/>
  <c r="A206" i="154"/>
  <c r="AS608" i="101" l="1"/>
  <c r="E608" i="134"/>
  <c r="D610" i="135" s="1"/>
  <c r="D610" i="139" s="1"/>
  <c r="AR608" i="101"/>
  <c r="F609" i="101"/>
  <c r="AS498" i="101"/>
  <c r="E498" i="134"/>
  <c r="D500" i="135" s="1"/>
  <c r="D500" i="139" s="1"/>
  <c r="AR498" i="101"/>
  <c r="F499" i="101"/>
  <c r="E575" i="101"/>
  <c r="D575" i="134" s="1"/>
  <c r="C577" i="135" s="1"/>
  <c r="C577" i="139" s="1"/>
  <c r="C576" i="101"/>
  <c r="E267" i="101"/>
  <c r="D267" i="134" s="1"/>
  <c r="C269" i="135" s="1"/>
  <c r="C269" i="139" s="1"/>
  <c r="C268" i="101"/>
  <c r="E376" i="101"/>
  <c r="D376" i="134" s="1"/>
  <c r="C378" i="135" s="1"/>
  <c r="C378" i="139" s="1"/>
  <c r="C377" i="101"/>
  <c r="C294" i="134"/>
  <c r="E296" i="135" s="1"/>
  <c r="E296" i="139" s="1"/>
  <c r="G295" i="101"/>
  <c r="AS240" i="101"/>
  <c r="E240" i="134"/>
  <c r="D242" i="135" s="1"/>
  <c r="D242" i="139" s="1"/>
  <c r="AR240" i="101"/>
  <c r="F241" i="101"/>
  <c r="E407" i="101"/>
  <c r="D407" i="134" s="1"/>
  <c r="C409" i="135" s="1"/>
  <c r="C409" i="139" s="1"/>
  <c r="C408" i="101"/>
  <c r="D240" i="134"/>
  <c r="C242" i="135" s="1"/>
  <c r="C242" i="139" s="1"/>
  <c r="E241" i="101"/>
  <c r="E209" i="101"/>
  <c r="D209" i="134" s="1"/>
  <c r="C211" i="135" s="1"/>
  <c r="C211" i="139" s="1"/>
  <c r="C210" i="101"/>
  <c r="C347" i="101"/>
  <c r="AS294" i="101"/>
  <c r="AR294" i="101"/>
  <c r="E294" i="134"/>
  <c r="D296" i="135" s="1"/>
  <c r="D296" i="139" s="1"/>
  <c r="F295" i="101"/>
  <c r="AS208" i="101"/>
  <c r="AS209" i="101" s="1"/>
  <c r="AR208" i="101"/>
  <c r="E208" i="134"/>
  <c r="D210" i="135" s="1"/>
  <c r="D210" i="139" s="1"/>
  <c r="E65" i="134"/>
  <c r="D67" i="135" s="1"/>
  <c r="D67" i="139" s="1"/>
  <c r="AS65" i="101"/>
  <c r="AR65" i="101"/>
  <c r="E178" i="101"/>
  <c r="D178" i="134" s="1"/>
  <c r="C180" i="135" s="1"/>
  <c r="C180" i="139" s="1"/>
  <c r="C179" i="101"/>
  <c r="AS128" i="101"/>
  <c r="E128" i="134"/>
  <c r="D130" i="135" s="1"/>
  <c r="D130" i="139" s="1"/>
  <c r="AR128" i="101"/>
  <c r="F129" i="101"/>
  <c r="E99" i="101"/>
  <c r="D99" i="134" s="1"/>
  <c r="C101" i="135" s="1"/>
  <c r="C101" i="139" s="1"/>
  <c r="C100" i="101"/>
  <c r="D66" i="101"/>
  <c r="F66" i="101"/>
  <c r="G66" i="101"/>
  <c r="C66" i="134" s="1"/>
  <c r="E68" i="135" s="1"/>
  <c r="E68" i="139" s="1"/>
  <c r="C67" i="101"/>
  <c r="A80" i="154"/>
  <c r="A219" i="154"/>
  <c r="A777" i="154"/>
  <c r="A809" i="154"/>
  <c r="B756" i="154"/>
  <c r="A729" i="154"/>
  <c r="A669" i="154"/>
  <c r="A207" i="154"/>
  <c r="A72" i="154"/>
  <c r="AS609" i="101" l="1"/>
  <c r="E609" i="134"/>
  <c r="D611" i="135" s="1"/>
  <c r="D611" i="139" s="1"/>
  <c r="AR609" i="101"/>
  <c r="F610" i="101"/>
  <c r="E576" i="101"/>
  <c r="D576" i="134" s="1"/>
  <c r="C578" i="135" s="1"/>
  <c r="C578" i="139" s="1"/>
  <c r="C577" i="101"/>
  <c r="AS499" i="101"/>
  <c r="E499" i="134"/>
  <c r="D501" i="135" s="1"/>
  <c r="D501" i="139" s="1"/>
  <c r="AR499" i="101"/>
  <c r="F500" i="101"/>
  <c r="C295" i="134"/>
  <c r="E297" i="135" s="1"/>
  <c r="E297" i="139" s="1"/>
  <c r="G296" i="101"/>
  <c r="D377" i="134"/>
  <c r="C379" i="135" s="1"/>
  <c r="C379" i="139" s="1"/>
  <c r="C378" i="101"/>
  <c r="D241" i="134"/>
  <c r="C243" i="135" s="1"/>
  <c r="C243" i="139" s="1"/>
  <c r="E242" i="101"/>
  <c r="C409" i="101"/>
  <c r="E347" i="101"/>
  <c r="D347" i="134" s="1"/>
  <c r="C349" i="135" s="1"/>
  <c r="C349" i="139" s="1"/>
  <c r="C348" i="101"/>
  <c r="E295" i="134"/>
  <c r="D297" i="135" s="1"/>
  <c r="D297" i="139" s="1"/>
  <c r="AR295" i="101"/>
  <c r="F296" i="101"/>
  <c r="E268" i="101"/>
  <c r="D268" i="134" s="1"/>
  <c r="C270" i="135" s="1"/>
  <c r="C270" i="139" s="1"/>
  <c r="C269" i="101"/>
  <c r="E241" i="134"/>
  <c r="D243" i="135" s="1"/>
  <c r="D243" i="139" s="1"/>
  <c r="AR241" i="101"/>
  <c r="AS241" i="101"/>
  <c r="F242" i="101"/>
  <c r="E210" i="101"/>
  <c r="D210" i="134" s="1"/>
  <c r="C212" i="135" s="1"/>
  <c r="C212" i="139" s="1"/>
  <c r="F210" i="101"/>
  <c r="C211" i="101"/>
  <c r="E179" i="101"/>
  <c r="D179" i="134" s="1"/>
  <c r="C181" i="135" s="1"/>
  <c r="C181" i="139" s="1"/>
  <c r="C180" i="101"/>
  <c r="G67" i="101"/>
  <c r="C67" i="134" s="1"/>
  <c r="E69" i="135" s="1"/>
  <c r="E69" i="139" s="1"/>
  <c r="E67" i="101"/>
  <c r="D67" i="134" s="1"/>
  <c r="C69" i="135" s="1"/>
  <c r="C69" i="139" s="1"/>
  <c r="F67" i="101"/>
  <c r="D67" i="101"/>
  <c r="C68" i="101"/>
  <c r="AR129" i="101"/>
  <c r="E129" i="134"/>
  <c r="D131" i="135" s="1"/>
  <c r="D131" i="139" s="1"/>
  <c r="AS129" i="101"/>
  <c r="F130" i="101"/>
  <c r="AS66" i="101"/>
  <c r="E66" i="134"/>
  <c r="D68" i="135" s="1"/>
  <c r="D68" i="139" s="1"/>
  <c r="AR66" i="101"/>
  <c r="E100" i="101"/>
  <c r="D100" i="134" s="1"/>
  <c r="C102" i="135" s="1"/>
  <c r="C102" i="139" s="1"/>
  <c r="C101" i="101"/>
  <c r="A81" i="154"/>
  <c r="A220" i="154"/>
  <c r="B757" i="154"/>
  <c r="A810" i="154"/>
  <c r="A670" i="154"/>
  <c r="A778" i="154"/>
  <c r="A208" i="154"/>
  <c r="A73" i="154"/>
  <c r="AS610" i="101" l="1"/>
  <c r="E610" i="134"/>
  <c r="D612" i="135" s="1"/>
  <c r="D612" i="139" s="1"/>
  <c r="AR610" i="101"/>
  <c r="F611" i="101"/>
  <c r="E500" i="134"/>
  <c r="D502" i="135" s="1"/>
  <c r="D502" i="139" s="1"/>
  <c r="AS500" i="101"/>
  <c r="F501" i="101"/>
  <c r="C578" i="101"/>
  <c r="F211" i="101"/>
  <c r="E211" i="101"/>
  <c r="D211" i="134" s="1"/>
  <c r="C213" i="135" s="1"/>
  <c r="C213" i="139" s="1"/>
  <c r="C212" i="101"/>
  <c r="AS296" i="101"/>
  <c r="E296" i="134"/>
  <c r="D298" i="135" s="1"/>
  <c r="D298" i="139" s="1"/>
  <c r="AR296" i="101"/>
  <c r="F297" i="101"/>
  <c r="D242" i="134"/>
  <c r="C244" i="135" s="1"/>
  <c r="C244" i="139" s="1"/>
  <c r="E243" i="101"/>
  <c r="E378" i="101"/>
  <c r="D378" i="134" s="1"/>
  <c r="C380" i="135" s="1"/>
  <c r="C380" i="139" s="1"/>
  <c r="C379" i="101"/>
  <c r="E269" i="101"/>
  <c r="D269" i="134" s="1"/>
  <c r="C271" i="135" s="1"/>
  <c r="C271" i="139" s="1"/>
  <c r="C270" i="101"/>
  <c r="E348" i="101"/>
  <c r="D348" i="134" s="1"/>
  <c r="C350" i="135" s="1"/>
  <c r="C350" i="139" s="1"/>
  <c r="C349" i="101"/>
  <c r="AS210" i="101"/>
  <c r="E210" i="134"/>
  <c r="D212" i="135" s="1"/>
  <c r="D212" i="139" s="1"/>
  <c r="AR242" i="101"/>
  <c r="E242" i="134"/>
  <c r="D244" i="135" s="1"/>
  <c r="D244" i="139" s="1"/>
  <c r="AS242" i="101"/>
  <c r="F243" i="101"/>
  <c r="C296" i="134"/>
  <c r="E298" i="135" s="1"/>
  <c r="E298" i="139" s="1"/>
  <c r="G297" i="101"/>
  <c r="E409" i="101"/>
  <c r="D409" i="134" s="1"/>
  <c r="C411" i="135" s="1"/>
  <c r="C411" i="139" s="1"/>
  <c r="C410" i="101"/>
  <c r="E67" i="134"/>
  <c r="D69" i="135" s="1"/>
  <c r="D69" i="139" s="1"/>
  <c r="AS67" i="101"/>
  <c r="AR67" i="101"/>
  <c r="E180" i="101"/>
  <c r="D180" i="134" s="1"/>
  <c r="C182" i="135" s="1"/>
  <c r="C182" i="139" s="1"/>
  <c r="C181" i="101"/>
  <c r="E101" i="101"/>
  <c r="D101" i="134" s="1"/>
  <c r="C103" i="135" s="1"/>
  <c r="C103" i="139" s="1"/>
  <c r="C102" i="101"/>
  <c r="E68" i="101"/>
  <c r="D68" i="134" s="1"/>
  <c r="C70" i="135" s="1"/>
  <c r="C70" i="139" s="1"/>
  <c r="F68" i="101"/>
  <c r="D68" i="101"/>
  <c r="G68" i="101"/>
  <c r="C68" i="134" s="1"/>
  <c r="E70" i="135" s="1"/>
  <c r="E70" i="139" s="1"/>
  <c r="C69" i="101"/>
  <c r="E130" i="134"/>
  <c r="D132" i="135" s="1"/>
  <c r="D132" i="139" s="1"/>
  <c r="AS130" i="101"/>
  <c r="AR130" i="101"/>
  <c r="F131" i="101"/>
  <c r="A82" i="154"/>
  <c r="A221" i="154"/>
  <c r="B758" i="154"/>
  <c r="A779" i="154"/>
  <c r="A74" i="154"/>
  <c r="AS611" i="101" l="1"/>
  <c r="E611" i="134"/>
  <c r="D613" i="135" s="1"/>
  <c r="D613" i="139" s="1"/>
  <c r="AR611" i="101"/>
  <c r="F612" i="101"/>
  <c r="E578" i="101"/>
  <c r="D578" i="134" s="1"/>
  <c r="C580" i="135" s="1"/>
  <c r="C580" i="139" s="1"/>
  <c r="C579" i="101"/>
  <c r="AS501" i="101"/>
  <c r="E501" i="134"/>
  <c r="D503" i="135" s="1"/>
  <c r="D503" i="139" s="1"/>
  <c r="AR501" i="101"/>
  <c r="F502" i="101"/>
  <c r="E297" i="134"/>
  <c r="D299" i="135" s="1"/>
  <c r="D299" i="139" s="1"/>
  <c r="AR297" i="101"/>
  <c r="AS297" i="101"/>
  <c r="F298" i="101"/>
  <c r="D243" i="134"/>
  <c r="C245" i="135" s="1"/>
  <c r="C245" i="139" s="1"/>
  <c r="E244" i="101"/>
  <c r="D244" i="134" s="1"/>
  <c r="C246" i="135" s="1"/>
  <c r="C246" i="139" s="1"/>
  <c r="C297" i="134"/>
  <c r="E299" i="135" s="1"/>
  <c r="E299" i="139" s="1"/>
  <c r="G298" i="101"/>
  <c r="E270" i="101"/>
  <c r="D270" i="134" s="1"/>
  <c r="C272" i="135" s="1"/>
  <c r="C272" i="139" s="1"/>
  <c r="C271" i="101"/>
  <c r="E212" i="101"/>
  <c r="F212" i="101"/>
  <c r="E349" i="101"/>
  <c r="D349" i="134" s="1"/>
  <c r="C351" i="135" s="1"/>
  <c r="C351" i="139" s="1"/>
  <c r="C350" i="101"/>
  <c r="AS243" i="101"/>
  <c r="E243" i="134"/>
  <c r="D245" i="135" s="1"/>
  <c r="D245" i="139" s="1"/>
  <c r="AR243" i="101"/>
  <c r="F244" i="101"/>
  <c r="E379" i="101"/>
  <c r="D379" i="134" s="1"/>
  <c r="C381" i="135" s="1"/>
  <c r="C381" i="139" s="1"/>
  <c r="C380" i="101"/>
  <c r="AS211" i="101"/>
  <c r="E211" i="134"/>
  <c r="D213" i="135" s="1"/>
  <c r="D213" i="139" s="1"/>
  <c r="AR211" i="101"/>
  <c r="E410" i="101"/>
  <c r="D410" i="134" s="1"/>
  <c r="C412" i="135" s="1"/>
  <c r="C412" i="139" s="1"/>
  <c r="C411" i="101"/>
  <c r="E181" i="101"/>
  <c r="E131" i="134"/>
  <c r="D133" i="135" s="1"/>
  <c r="D133" i="139" s="1"/>
  <c r="AS131" i="101"/>
  <c r="AR131" i="101"/>
  <c r="F132" i="101"/>
  <c r="D69" i="101"/>
  <c r="E69" i="101"/>
  <c r="D69" i="134" s="1"/>
  <c r="C71" i="135" s="1"/>
  <c r="C71" i="139" s="1"/>
  <c r="F69" i="101"/>
  <c r="G69" i="101"/>
  <c r="C69" i="134" s="1"/>
  <c r="E71" i="135" s="1"/>
  <c r="E71" i="139" s="1"/>
  <c r="C70" i="101"/>
  <c r="E102" i="101"/>
  <c r="AS68" i="101"/>
  <c r="E68" i="134"/>
  <c r="D70" i="135" s="1"/>
  <c r="D70" i="139" s="1"/>
  <c r="AR68" i="101"/>
  <c r="A83" i="154"/>
  <c r="A222" i="154"/>
  <c r="A780" i="154"/>
  <c r="B759" i="154"/>
  <c r="AS612" i="101" l="1"/>
  <c r="AR612" i="101"/>
  <c r="E612" i="134"/>
  <c r="D614" i="135" s="1"/>
  <c r="D614" i="139" s="1"/>
  <c r="F613" i="101"/>
  <c r="AS502" i="101"/>
  <c r="E502" i="134"/>
  <c r="D504" i="135" s="1"/>
  <c r="D504" i="139" s="1"/>
  <c r="AR502" i="101"/>
  <c r="F503" i="101"/>
  <c r="E579" i="101"/>
  <c r="D579" i="134" s="1"/>
  <c r="C581" i="135" s="1"/>
  <c r="C581" i="139" s="1"/>
  <c r="C580" i="101"/>
  <c r="E244" i="134"/>
  <c r="D246" i="135" s="1"/>
  <c r="D246" i="139" s="1"/>
  <c r="AS244" i="101"/>
  <c r="AR244" i="101"/>
  <c r="F245" i="101"/>
  <c r="E271" i="101"/>
  <c r="E350" i="101"/>
  <c r="D350" i="134" s="1"/>
  <c r="C352" i="135" s="1"/>
  <c r="C352" i="139" s="1"/>
  <c r="C351" i="101"/>
  <c r="C298" i="134"/>
  <c r="E300" i="135" s="1"/>
  <c r="E300" i="139" s="1"/>
  <c r="G299" i="101"/>
  <c r="AR298" i="101"/>
  <c r="E298" i="134"/>
  <c r="D300" i="135" s="1"/>
  <c r="D300" i="139" s="1"/>
  <c r="AS298" i="101"/>
  <c r="F299" i="101"/>
  <c r="AS212" i="101"/>
  <c r="E212" i="134"/>
  <c r="D214" i="135" s="1"/>
  <c r="D214" i="139" s="1"/>
  <c r="AR212" i="101"/>
  <c r="F213" i="101"/>
  <c r="E380" i="101"/>
  <c r="D380" i="134" s="1"/>
  <c r="C382" i="135" s="1"/>
  <c r="C382" i="139" s="1"/>
  <c r="C381" i="101"/>
  <c r="E411" i="101"/>
  <c r="D411" i="134" s="1"/>
  <c r="C413" i="135" s="1"/>
  <c r="C413" i="139" s="1"/>
  <c r="C412" i="101"/>
  <c r="D212" i="134"/>
  <c r="C214" i="135" s="1"/>
  <c r="C214" i="139" s="1"/>
  <c r="E213" i="101"/>
  <c r="AS69" i="101"/>
  <c r="AR69" i="101"/>
  <c r="E69" i="134"/>
  <c r="D71" i="135" s="1"/>
  <c r="D71" i="139" s="1"/>
  <c r="AS132" i="101"/>
  <c r="E132" i="134"/>
  <c r="D134" i="135" s="1"/>
  <c r="D134" i="139" s="1"/>
  <c r="AR132" i="101"/>
  <c r="F133" i="101"/>
  <c r="D181" i="134"/>
  <c r="C183" i="135" s="1"/>
  <c r="C183" i="139" s="1"/>
  <c r="E182" i="101"/>
  <c r="F70" i="101"/>
  <c r="G70" i="101"/>
  <c r="C70" i="134" s="1"/>
  <c r="E72" i="135" s="1"/>
  <c r="E72" i="139" s="1"/>
  <c r="E70" i="101"/>
  <c r="D70" i="134" s="1"/>
  <c r="C72" i="135" s="1"/>
  <c r="C72" i="139" s="1"/>
  <c r="D70" i="101"/>
  <c r="C71" i="101"/>
  <c r="D102" i="134"/>
  <c r="C104" i="135" s="1"/>
  <c r="C104" i="139" s="1"/>
  <c r="E103" i="101"/>
  <c r="A84" i="154"/>
  <c r="A223" i="154"/>
  <c r="B760" i="154"/>
  <c r="AS613" i="101" l="1"/>
  <c r="E613" i="134"/>
  <c r="D615" i="135" s="1"/>
  <c r="D615" i="139" s="1"/>
  <c r="AR613" i="101"/>
  <c r="F614" i="101"/>
  <c r="E580" i="101"/>
  <c r="D580" i="134" s="1"/>
  <c r="C582" i="135" s="1"/>
  <c r="C582" i="139" s="1"/>
  <c r="C581" i="101"/>
  <c r="E503" i="134"/>
  <c r="D505" i="135" s="1"/>
  <c r="D505" i="139" s="1"/>
  <c r="AS503" i="101"/>
  <c r="AR503" i="101"/>
  <c r="F504" i="101"/>
  <c r="E351" i="101"/>
  <c r="D213" i="134"/>
  <c r="C215" i="135" s="1"/>
  <c r="C215" i="139" s="1"/>
  <c r="E214" i="101"/>
  <c r="AS213" i="101"/>
  <c r="E213" i="134"/>
  <c r="D215" i="135" s="1"/>
  <c r="D215" i="139" s="1"/>
  <c r="AR213" i="101"/>
  <c r="F214" i="101"/>
  <c r="E412" i="101"/>
  <c r="E299" i="134"/>
  <c r="D301" i="135" s="1"/>
  <c r="D301" i="139" s="1"/>
  <c r="AS299" i="101"/>
  <c r="AR299" i="101"/>
  <c r="F300" i="101"/>
  <c r="D271" i="134"/>
  <c r="C273" i="135" s="1"/>
  <c r="C273" i="139" s="1"/>
  <c r="E272" i="101"/>
  <c r="AR245" i="101"/>
  <c r="E245" i="134"/>
  <c r="D247" i="135" s="1"/>
  <c r="D247" i="139" s="1"/>
  <c r="AS245" i="101"/>
  <c r="F246" i="101"/>
  <c r="E381" i="101"/>
  <c r="D381" i="134" s="1"/>
  <c r="C383" i="135" s="1"/>
  <c r="C383" i="139" s="1"/>
  <c r="C382" i="101"/>
  <c r="C299" i="134"/>
  <c r="E301" i="135" s="1"/>
  <c r="E301" i="139" s="1"/>
  <c r="G300" i="101"/>
  <c r="AS133" i="101"/>
  <c r="E133" i="134"/>
  <c r="D135" i="135" s="1"/>
  <c r="D135" i="139" s="1"/>
  <c r="AR133" i="101"/>
  <c r="F134" i="101"/>
  <c r="AS70" i="101"/>
  <c r="E70" i="134"/>
  <c r="D72" i="135" s="1"/>
  <c r="D72" i="139" s="1"/>
  <c r="D103" i="134"/>
  <c r="C105" i="135" s="1"/>
  <c r="C105" i="139" s="1"/>
  <c r="E104" i="101"/>
  <c r="D182" i="134"/>
  <c r="C184" i="135" s="1"/>
  <c r="C184" i="139" s="1"/>
  <c r="E183" i="101"/>
  <c r="D71" i="101"/>
  <c r="G71" i="101"/>
  <c r="C71" i="134" s="1"/>
  <c r="E73" i="135" s="1"/>
  <c r="E73" i="139" s="1"/>
  <c r="F71" i="101"/>
  <c r="E71" i="101"/>
  <c r="D71" i="134" s="1"/>
  <c r="C73" i="135" s="1"/>
  <c r="C73" i="139" s="1"/>
  <c r="C72" i="101"/>
  <c r="A85" i="154"/>
  <c r="A224" i="154"/>
  <c r="B761" i="154"/>
  <c r="B705" i="154"/>
  <c r="AS614" i="101" l="1"/>
  <c r="E614" i="134"/>
  <c r="D616" i="135" s="1"/>
  <c r="D616" i="139" s="1"/>
  <c r="AR614" i="101"/>
  <c r="F615" i="101"/>
  <c r="E504" i="134"/>
  <c r="D506" i="135" s="1"/>
  <c r="D506" i="139" s="1"/>
  <c r="AS504" i="101"/>
  <c r="AR504" i="101"/>
  <c r="F505" i="101"/>
  <c r="E581" i="101"/>
  <c r="D581" i="134" s="1"/>
  <c r="C583" i="135" s="1"/>
  <c r="C583" i="139" s="1"/>
  <c r="C582" i="101"/>
  <c r="AS214" i="101"/>
  <c r="E214" i="134"/>
  <c r="D216" i="135" s="1"/>
  <c r="D216" i="139" s="1"/>
  <c r="F215" i="101"/>
  <c r="D272" i="134"/>
  <c r="C274" i="135" s="1"/>
  <c r="C274" i="139" s="1"/>
  <c r="E273" i="101"/>
  <c r="AS246" i="101"/>
  <c r="AR246" i="101"/>
  <c r="E246" i="134"/>
  <c r="D248" i="135" s="1"/>
  <c r="D248" i="139" s="1"/>
  <c r="F247" i="101"/>
  <c r="AS300" i="101"/>
  <c r="E300" i="134"/>
  <c r="D302" i="135" s="1"/>
  <c r="D302" i="139" s="1"/>
  <c r="AR300" i="101"/>
  <c r="F301" i="101"/>
  <c r="D214" i="134"/>
  <c r="C216" i="135" s="1"/>
  <c r="C216" i="139" s="1"/>
  <c r="E215" i="101"/>
  <c r="C300" i="134"/>
  <c r="E302" i="135" s="1"/>
  <c r="E302" i="139" s="1"/>
  <c r="G301" i="101"/>
  <c r="D412" i="134"/>
  <c r="C414" i="135" s="1"/>
  <c r="C414" i="139" s="1"/>
  <c r="E413" i="101"/>
  <c r="E382" i="101"/>
  <c r="D351" i="134"/>
  <c r="C353" i="135" s="1"/>
  <c r="C353" i="139" s="1"/>
  <c r="E352" i="101"/>
  <c r="D183" i="134"/>
  <c r="C185" i="135" s="1"/>
  <c r="C185" i="139" s="1"/>
  <c r="E184" i="101"/>
  <c r="AS134" i="101"/>
  <c r="E134" i="134"/>
  <c r="D136" i="135" s="1"/>
  <c r="D136" i="139" s="1"/>
  <c r="AR134" i="101"/>
  <c r="F135" i="101"/>
  <c r="D72" i="101"/>
  <c r="D73" i="101" s="1"/>
  <c r="D74" i="101" s="1"/>
  <c r="D75" i="101" s="1"/>
  <c r="D76" i="101" s="1"/>
  <c r="D77" i="101" s="1"/>
  <c r="D78" i="101" s="1"/>
  <c r="D79" i="101" s="1"/>
  <c r="D80" i="101" s="1"/>
  <c r="D81" i="101" s="1"/>
  <c r="D82" i="101" s="1"/>
  <c r="D83" i="101" s="1"/>
  <c r="D84" i="101" s="1"/>
  <c r="D85" i="101" s="1"/>
  <c r="D86" i="101" s="1"/>
  <c r="D87" i="101" s="1"/>
  <c r="D88" i="101" s="1"/>
  <c r="D89" i="101" s="1"/>
  <c r="D90" i="101" s="1"/>
  <c r="D91" i="101" s="1"/>
  <c r="D92" i="101" s="1"/>
  <c r="D93" i="101" s="1"/>
  <c r="D94" i="101" s="1"/>
  <c r="D95" i="101" s="1"/>
  <c r="D96" i="101" s="1"/>
  <c r="D97" i="101" s="1"/>
  <c r="D98" i="101" s="1"/>
  <c r="D99" i="101" s="1"/>
  <c r="D100" i="101" s="1"/>
  <c r="D101" i="101" s="1"/>
  <c r="D102" i="101" s="1"/>
  <c r="D103" i="101" s="1"/>
  <c r="D104" i="101" s="1"/>
  <c r="D105" i="101" s="1"/>
  <c r="D106" i="101" s="1"/>
  <c r="D107" i="101" s="1"/>
  <c r="D108" i="101" s="1"/>
  <c r="D109" i="101" s="1"/>
  <c r="D110" i="101" s="1"/>
  <c r="D111" i="101" s="1"/>
  <c r="D112" i="101" s="1"/>
  <c r="D113" i="101" s="1"/>
  <c r="D114" i="101" s="1"/>
  <c r="D115" i="101" s="1"/>
  <c r="D116" i="101" s="1"/>
  <c r="D117" i="101" s="1"/>
  <c r="D118" i="101" s="1"/>
  <c r="D119" i="101" s="1"/>
  <c r="D120" i="101" s="1"/>
  <c r="D121" i="101" s="1"/>
  <c r="D122" i="101" s="1"/>
  <c r="D123" i="101" s="1"/>
  <c r="D124" i="101" s="1"/>
  <c r="D125" i="101" s="1"/>
  <c r="D126" i="101" s="1"/>
  <c r="D127" i="101" s="1"/>
  <c r="D128" i="101" s="1"/>
  <c r="D129" i="101" s="1"/>
  <c r="D130" i="101" s="1"/>
  <c r="D131" i="101" s="1"/>
  <c r="D132" i="101" s="1"/>
  <c r="D133" i="101" s="1"/>
  <c r="D134" i="101" s="1"/>
  <c r="D135" i="101" s="1"/>
  <c r="D136" i="101" s="1"/>
  <c r="D137" i="101" s="1"/>
  <c r="D138" i="101" s="1"/>
  <c r="D139" i="101" s="1"/>
  <c r="D140" i="101" s="1"/>
  <c r="D141" i="101" s="1"/>
  <c r="D142" i="101" s="1"/>
  <c r="D143" i="101" s="1"/>
  <c r="D144" i="101" s="1"/>
  <c r="D145" i="101" s="1"/>
  <c r="D146" i="101" s="1"/>
  <c r="D147" i="101" s="1"/>
  <c r="D148" i="101" s="1"/>
  <c r="D149" i="101" s="1"/>
  <c r="D150" i="101" s="1"/>
  <c r="D151" i="101" s="1"/>
  <c r="D152" i="101" s="1"/>
  <c r="D153" i="101" s="1"/>
  <c r="D154" i="101" s="1"/>
  <c r="D155" i="101" s="1"/>
  <c r="D156" i="101" s="1"/>
  <c r="D157" i="101" s="1"/>
  <c r="D158" i="101" s="1"/>
  <c r="D159" i="101" s="1"/>
  <c r="D160" i="101" s="1"/>
  <c r="D161" i="101" s="1"/>
  <c r="D162" i="101" s="1"/>
  <c r="D163" i="101" s="1"/>
  <c r="D164" i="101" s="1"/>
  <c r="D165" i="101" s="1"/>
  <c r="D166" i="101" s="1"/>
  <c r="D167" i="101" s="1"/>
  <c r="D168" i="101" s="1"/>
  <c r="D169" i="101" s="1"/>
  <c r="D170" i="101" s="1"/>
  <c r="D171" i="101" s="1"/>
  <c r="D172" i="101" s="1"/>
  <c r="D173" i="101" s="1"/>
  <c r="D174" i="101" s="1"/>
  <c r="D175" i="101" s="1"/>
  <c r="D176" i="101" s="1"/>
  <c r="D177" i="101" s="1"/>
  <c r="D178" i="101" s="1"/>
  <c r="D179" i="101" s="1"/>
  <c r="D180" i="101" s="1"/>
  <c r="D181" i="101" s="1"/>
  <c r="D182" i="101" s="1"/>
  <c r="D183" i="101" s="1"/>
  <c r="D184" i="101" s="1"/>
  <c r="D185" i="101" s="1"/>
  <c r="D186" i="101" s="1"/>
  <c r="D187" i="101" s="1"/>
  <c r="D188" i="101" s="1"/>
  <c r="D189" i="101" s="1"/>
  <c r="D190" i="101" s="1"/>
  <c r="D191" i="101" s="1"/>
  <c r="D192" i="101" s="1"/>
  <c r="D193" i="101" s="1"/>
  <c r="D194" i="101" s="1"/>
  <c r="D195" i="101" s="1"/>
  <c r="D196" i="101" s="1"/>
  <c r="D197" i="101" s="1"/>
  <c r="D198" i="101" s="1"/>
  <c r="D199" i="101" s="1"/>
  <c r="D200" i="101" s="1"/>
  <c r="D201" i="101" s="1"/>
  <c r="D202" i="101" s="1"/>
  <c r="D203" i="101" s="1"/>
  <c r="D204" i="101" s="1"/>
  <c r="D205" i="101" s="1"/>
  <c r="D206" i="101" s="1"/>
  <c r="D207" i="101" s="1"/>
  <c r="D208" i="101" s="1"/>
  <c r="D209" i="101" s="1"/>
  <c r="D210" i="101" s="1"/>
  <c r="D211" i="101" s="1"/>
  <c r="D212" i="101" s="1"/>
  <c r="D213" i="101" s="1"/>
  <c r="D214" i="101" s="1"/>
  <c r="D215" i="101" s="1"/>
  <c r="D216" i="101" s="1"/>
  <c r="D217" i="101" s="1"/>
  <c r="D218" i="101" s="1"/>
  <c r="D219" i="101" s="1"/>
  <c r="D220" i="101" s="1"/>
  <c r="D221" i="101" s="1"/>
  <c r="D222" i="101" s="1"/>
  <c r="D223" i="101" s="1"/>
  <c r="D224" i="101" s="1"/>
  <c r="D225" i="101" s="1"/>
  <c r="D226" i="101" s="1"/>
  <c r="D227" i="101" s="1"/>
  <c r="D228" i="101" s="1"/>
  <c r="D229" i="101" s="1"/>
  <c r="D230" i="101" s="1"/>
  <c r="D231" i="101" s="1"/>
  <c r="D232" i="101" s="1"/>
  <c r="D233" i="101" s="1"/>
  <c r="D234" i="101" s="1"/>
  <c r="D235" i="101" s="1"/>
  <c r="D236" i="101" s="1"/>
  <c r="D237" i="101" s="1"/>
  <c r="D238" i="101" s="1"/>
  <c r="D239" i="101" s="1"/>
  <c r="D240" i="101" s="1"/>
  <c r="D241" i="101" s="1"/>
  <c r="D242" i="101" s="1"/>
  <c r="D243" i="101" s="1"/>
  <c r="D244" i="101" s="1"/>
  <c r="D245" i="101" s="1"/>
  <c r="D246" i="101" s="1"/>
  <c r="D247" i="101" s="1"/>
  <c r="D248" i="101" s="1"/>
  <c r="D249" i="101" s="1"/>
  <c r="D250" i="101" s="1"/>
  <c r="D251" i="101" s="1"/>
  <c r="D252" i="101" s="1"/>
  <c r="D253" i="101" s="1"/>
  <c r="D254" i="101" s="1"/>
  <c r="D255" i="101" s="1"/>
  <c r="D256" i="101" s="1"/>
  <c r="D257" i="101" s="1"/>
  <c r="D258" i="101" s="1"/>
  <c r="D259" i="101" s="1"/>
  <c r="D260" i="101" s="1"/>
  <c r="D261" i="101" s="1"/>
  <c r="D262" i="101" s="1"/>
  <c r="D263" i="101" s="1"/>
  <c r="D264" i="101" s="1"/>
  <c r="D265" i="101" s="1"/>
  <c r="D266" i="101" s="1"/>
  <c r="D267" i="101" s="1"/>
  <c r="D268" i="101" s="1"/>
  <c r="D269" i="101" s="1"/>
  <c r="D270" i="101" s="1"/>
  <c r="D271" i="101" s="1"/>
  <c r="D272" i="101" s="1"/>
  <c r="D273" i="101" s="1"/>
  <c r="D274" i="101" s="1"/>
  <c r="D275" i="101" s="1"/>
  <c r="D276" i="101" s="1"/>
  <c r="D277" i="101" s="1"/>
  <c r="D278" i="101" s="1"/>
  <c r="D279" i="101" s="1"/>
  <c r="D280" i="101" s="1"/>
  <c r="D281" i="101" s="1"/>
  <c r="D282" i="101" s="1"/>
  <c r="D283" i="101" s="1"/>
  <c r="D284" i="101" s="1"/>
  <c r="D285" i="101" s="1"/>
  <c r="D286" i="101" s="1"/>
  <c r="D287" i="101" s="1"/>
  <c r="D288" i="101" s="1"/>
  <c r="D289" i="101" s="1"/>
  <c r="D290" i="101" s="1"/>
  <c r="D291" i="101" s="1"/>
  <c r="D292" i="101" s="1"/>
  <c r="D293" i="101" s="1"/>
  <c r="D294" i="101" s="1"/>
  <c r="D295" i="101" s="1"/>
  <c r="D296" i="101" s="1"/>
  <c r="D297" i="101" s="1"/>
  <c r="D298" i="101" s="1"/>
  <c r="D299" i="101" s="1"/>
  <c r="D300" i="101" s="1"/>
  <c r="D301" i="101" s="1"/>
  <c r="D302" i="101" s="1"/>
  <c r="D303" i="101" s="1"/>
  <c r="D304" i="101" s="1"/>
  <c r="D305" i="101" s="1"/>
  <c r="D306" i="101" s="1"/>
  <c r="D307" i="101" s="1"/>
  <c r="D308" i="101" s="1"/>
  <c r="D309" i="101" s="1"/>
  <c r="D310" i="101" s="1"/>
  <c r="D311" i="101" s="1"/>
  <c r="D312" i="101" s="1"/>
  <c r="D313" i="101" s="1"/>
  <c r="D314" i="101" s="1"/>
  <c r="D315" i="101" s="1"/>
  <c r="D316" i="101" s="1"/>
  <c r="D317" i="101" s="1"/>
  <c r="D318" i="101" s="1"/>
  <c r="D319" i="101" s="1"/>
  <c r="D320" i="101" s="1"/>
  <c r="D321" i="101" s="1"/>
  <c r="D322" i="101" s="1"/>
  <c r="D323" i="101" s="1"/>
  <c r="D324" i="101" s="1"/>
  <c r="D325" i="101" s="1"/>
  <c r="D326" i="101" s="1"/>
  <c r="D327" i="101" s="1"/>
  <c r="D328" i="101" s="1"/>
  <c r="D329" i="101" s="1"/>
  <c r="D330" i="101" s="1"/>
  <c r="D331" i="101" s="1"/>
  <c r="D332" i="101" s="1"/>
  <c r="D333" i="101" s="1"/>
  <c r="D334" i="101" s="1"/>
  <c r="D335" i="101" s="1"/>
  <c r="D336" i="101" s="1"/>
  <c r="D337" i="101" s="1"/>
  <c r="D338" i="101" s="1"/>
  <c r="D339" i="101" s="1"/>
  <c r="D340" i="101" s="1"/>
  <c r="D341" i="101" s="1"/>
  <c r="D342" i="101" s="1"/>
  <c r="D343" i="101" s="1"/>
  <c r="D344" i="101" s="1"/>
  <c r="D345" i="101" s="1"/>
  <c r="D346" i="101" s="1"/>
  <c r="D347" i="101" s="1"/>
  <c r="D348" i="101" s="1"/>
  <c r="D349" i="101" s="1"/>
  <c r="D350" i="101" s="1"/>
  <c r="D351" i="101" s="1"/>
  <c r="D352" i="101" s="1"/>
  <c r="D353" i="101" s="1"/>
  <c r="D354" i="101" s="1"/>
  <c r="D355" i="101" s="1"/>
  <c r="D356" i="101" s="1"/>
  <c r="D357" i="101" s="1"/>
  <c r="D358" i="101" s="1"/>
  <c r="D359" i="101" s="1"/>
  <c r="D360" i="101" s="1"/>
  <c r="D361" i="101" s="1"/>
  <c r="D362" i="101" s="1"/>
  <c r="D363" i="101" s="1"/>
  <c r="D364" i="101" s="1"/>
  <c r="D365" i="101" s="1"/>
  <c r="D366" i="101" s="1"/>
  <c r="D367" i="101" s="1"/>
  <c r="D368" i="101" s="1"/>
  <c r="D369" i="101" s="1"/>
  <c r="D370" i="101" s="1"/>
  <c r="D371" i="101" s="1"/>
  <c r="D372" i="101" s="1"/>
  <c r="D373" i="101" s="1"/>
  <c r="D374" i="101" s="1"/>
  <c r="D375" i="101" s="1"/>
  <c r="D376" i="101" s="1"/>
  <c r="D377" i="101" s="1"/>
  <c r="D378" i="101" s="1"/>
  <c r="D379" i="101" s="1"/>
  <c r="D380" i="101" s="1"/>
  <c r="D381" i="101" s="1"/>
  <c r="D382" i="101" s="1"/>
  <c r="D383" i="101" s="1"/>
  <c r="D384" i="101" s="1"/>
  <c r="D385" i="101" s="1"/>
  <c r="D386" i="101" s="1"/>
  <c r="D387" i="101" s="1"/>
  <c r="D388" i="101" s="1"/>
  <c r="D389" i="101" s="1"/>
  <c r="D390" i="101" s="1"/>
  <c r="D391" i="101" s="1"/>
  <c r="D392" i="101" s="1"/>
  <c r="D393" i="101" s="1"/>
  <c r="D394" i="101" s="1"/>
  <c r="D395" i="101" s="1"/>
  <c r="D396" i="101" s="1"/>
  <c r="D397" i="101" s="1"/>
  <c r="D398" i="101" s="1"/>
  <c r="D399" i="101" s="1"/>
  <c r="D400" i="101" s="1"/>
  <c r="D401" i="101" s="1"/>
  <c r="D402" i="101" s="1"/>
  <c r="D403" i="101" s="1"/>
  <c r="D404" i="101" s="1"/>
  <c r="D405" i="101" s="1"/>
  <c r="D406" i="101" s="1"/>
  <c r="D407" i="101" s="1"/>
  <c r="D408" i="101" s="1"/>
  <c r="D409" i="101" s="1"/>
  <c r="D410" i="101" s="1"/>
  <c r="D411" i="101" s="1"/>
  <c r="D412" i="101" s="1"/>
  <c r="D413" i="101" s="1"/>
  <c r="D414" i="101" s="1"/>
  <c r="D415" i="101" s="1"/>
  <c r="D416" i="101" s="1"/>
  <c r="D417" i="101" s="1"/>
  <c r="D418" i="101" s="1"/>
  <c r="D419" i="101" s="1"/>
  <c r="D420" i="101" s="1"/>
  <c r="D421" i="101" s="1"/>
  <c r="D422" i="101" s="1"/>
  <c r="D423" i="101" s="1"/>
  <c r="D424" i="101" s="1"/>
  <c r="D425" i="101" s="1"/>
  <c r="D426" i="101" s="1"/>
  <c r="D427" i="101" s="1"/>
  <c r="D428" i="101" s="1"/>
  <c r="D429" i="101" s="1"/>
  <c r="D430" i="101" s="1"/>
  <c r="D431" i="101" s="1"/>
  <c r="D432" i="101" s="1"/>
  <c r="D433" i="101" s="1"/>
  <c r="D434" i="101" s="1"/>
  <c r="D435" i="101" s="1"/>
  <c r="D436" i="101" s="1"/>
  <c r="D437" i="101" s="1"/>
  <c r="D438" i="101" s="1"/>
  <c r="D439" i="101" s="1"/>
  <c r="D440" i="101" s="1"/>
  <c r="D441" i="101" s="1"/>
  <c r="D442" i="101" s="1"/>
  <c r="D443" i="101" s="1"/>
  <c r="D444" i="101" s="1"/>
  <c r="D445" i="101" s="1"/>
  <c r="D446" i="101" s="1"/>
  <c r="D447" i="101" s="1"/>
  <c r="D448" i="101" s="1"/>
  <c r="D449" i="101" s="1"/>
  <c r="D450" i="101" s="1"/>
  <c r="D451" i="101" s="1"/>
  <c r="D452" i="101" s="1"/>
  <c r="D453" i="101" s="1"/>
  <c r="D454" i="101" s="1"/>
  <c r="D455" i="101" s="1"/>
  <c r="D456" i="101" s="1"/>
  <c r="D457" i="101" s="1"/>
  <c r="D458" i="101" s="1"/>
  <c r="D459" i="101" s="1"/>
  <c r="D460" i="101" s="1"/>
  <c r="D461" i="101" s="1"/>
  <c r="D462" i="101" s="1"/>
  <c r="D463" i="101" s="1"/>
  <c r="D464" i="101" s="1"/>
  <c r="D465" i="101" s="1"/>
  <c r="D466" i="101" s="1"/>
  <c r="D467" i="101" s="1"/>
  <c r="D468" i="101" s="1"/>
  <c r="D469" i="101" s="1"/>
  <c r="D470" i="101" s="1"/>
  <c r="D471" i="101" s="1"/>
  <c r="D472" i="101" s="1"/>
  <c r="D473" i="101" s="1"/>
  <c r="D474" i="101" s="1"/>
  <c r="D475" i="101" s="1"/>
  <c r="D476" i="101" s="1"/>
  <c r="D477" i="101" s="1"/>
  <c r="D478" i="101" s="1"/>
  <c r="D479" i="101" s="1"/>
  <c r="D480" i="101" s="1"/>
  <c r="D481" i="101" s="1"/>
  <c r="D482" i="101" s="1"/>
  <c r="D483" i="101" s="1"/>
  <c r="D484" i="101" s="1"/>
  <c r="D485" i="101" s="1"/>
  <c r="D486" i="101" s="1"/>
  <c r="D487" i="101" s="1"/>
  <c r="D488" i="101" s="1"/>
  <c r="D489" i="101" s="1"/>
  <c r="D490" i="101" s="1"/>
  <c r="D491" i="101" s="1"/>
  <c r="D492" i="101" s="1"/>
  <c r="D493" i="101" s="1"/>
  <c r="D494" i="101" s="1"/>
  <c r="D495" i="101" s="1"/>
  <c r="D496" i="101" s="1"/>
  <c r="D497" i="101" s="1"/>
  <c r="D498" i="101" s="1"/>
  <c r="D499" i="101" s="1"/>
  <c r="D500" i="101" s="1"/>
  <c r="D501" i="101" s="1"/>
  <c r="D502" i="101" s="1"/>
  <c r="D503" i="101" s="1"/>
  <c r="D504" i="101" s="1"/>
  <c r="D505" i="101" s="1"/>
  <c r="D506" i="101" s="1"/>
  <c r="D507" i="101" s="1"/>
  <c r="D508" i="101" s="1"/>
  <c r="D509" i="101" s="1"/>
  <c r="D510" i="101" s="1"/>
  <c r="D511" i="101" s="1"/>
  <c r="D512" i="101" s="1"/>
  <c r="D513" i="101" s="1"/>
  <c r="D514" i="101" s="1"/>
  <c r="D515" i="101" s="1"/>
  <c r="D516" i="101" s="1"/>
  <c r="D517" i="101" s="1"/>
  <c r="D518" i="101" s="1"/>
  <c r="D519" i="101" s="1"/>
  <c r="D520" i="101" s="1"/>
  <c r="D521" i="101" s="1"/>
  <c r="D522" i="101" s="1"/>
  <c r="D523" i="101" s="1"/>
  <c r="D524" i="101" s="1"/>
  <c r="D525" i="101" s="1"/>
  <c r="D526" i="101" s="1"/>
  <c r="D527" i="101" s="1"/>
  <c r="D528" i="101" s="1"/>
  <c r="D529" i="101" s="1"/>
  <c r="D530" i="101" s="1"/>
  <c r="D531" i="101" s="1"/>
  <c r="D532" i="101" s="1"/>
  <c r="D533" i="101" s="1"/>
  <c r="D534" i="101" s="1"/>
  <c r="D535" i="101" s="1"/>
  <c r="D536" i="101" s="1"/>
  <c r="D537" i="101" s="1"/>
  <c r="D538" i="101" s="1"/>
  <c r="D539" i="101" s="1"/>
  <c r="D540" i="101" s="1"/>
  <c r="D541" i="101" s="1"/>
  <c r="D542" i="101" s="1"/>
  <c r="D543" i="101" s="1"/>
  <c r="D544" i="101" s="1"/>
  <c r="D545" i="101" s="1"/>
  <c r="D546" i="101" s="1"/>
  <c r="D547" i="101" s="1"/>
  <c r="D548" i="101" s="1"/>
  <c r="D549" i="101" s="1"/>
  <c r="D550" i="101" s="1"/>
  <c r="D551" i="101" s="1"/>
  <c r="D552" i="101" s="1"/>
  <c r="D553" i="101" s="1"/>
  <c r="D554" i="101" s="1"/>
  <c r="D555" i="101" s="1"/>
  <c r="D556" i="101" s="1"/>
  <c r="D557" i="101" s="1"/>
  <c r="D558" i="101" s="1"/>
  <c r="D559" i="101" s="1"/>
  <c r="D560" i="101" s="1"/>
  <c r="D561" i="101" s="1"/>
  <c r="D562" i="101" s="1"/>
  <c r="D563" i="101" s="1"/>
  <c r="D564" i="101" s="1"/>
  <c r="D565" i="101" s="1"/>
  <c r="D566" i="101" s="1"/>
  <c r="D567" i="101" s="1"/>
  <c r="D568" i="101" s="1"/>
  <c r="D569" i="101" s="1"/>
  <c r="D570" i="101" s="1"/>
  <c r="D571" i="101" s="1"/>
  <c r="D572" i="101" s="1"/>
  <c r="D573" i="101" s="1"/>
  <c r="D574" i="101" s="1"/>
  <c r="D575" i="101" s="1"/>
  <c r="D576" i="101" s="1"/>
  <c r="D577" i="101" s="1"/>
  <c r="D578" i="101" s="1"/>
  <c r="D579" i="101" s="1"/>
  <c r="D580" i="101" s="1"/>
  <c r="D581" i="101" s="1"/>
  <c r="F72" i="101"/>
  <c r="G72" i="101"/>
  <c r="E72" i="101"/>
  <c r="D104" i="134"/>
  <c r="C106" i="135" s="1"/>
  <c r="C106" i="139" s="1"/>
  <c r="E105" i="101"/>
  <c r="AS71" i="101"/>
  <c r="E71" i="134"/>
  <c r="D73" i="135" s="1"/>
  <c r="D73" i="139" s="1"/>
  <c r="AR71" i="101"/>
  <c r="A86" i="154"/>
  <c r="A225" i="154"/>
  <c r="B59" i="154"/>
  <c r="B762" i="154"/>
  <c r="AS615" i="101" l="1"/>
  <c r="E615" i="134"/>
  <c r="D617" i="135" s="1"/>
  <c r="D617" i="139" s="1"/>
  <c r="F616" i="101"/>
  <c r="E582" i="101"/>
  <c r="D582" i="134" s="1"/>
  <c r="C584" i="135" s="1"/>
  <c r="C584" i="139" s="1"/>
  <c r="D582" i="101"/>
  <c r="C583" i="101"/>
  <c r="AS505" i="101"/>
  <c r="E505" i="134"/>
  <c r="D507" i="135" s="1"/>
  <c r="D507" i="139" s="1"/>
  <c r="AR505" i="101"/>
  <c r="F506" i="101"/>
  <c r="D382" i="134"/>
  <c r="C384" i="135" s="1"/>
  <c r="C384" i="139" s="1"/>
  <c r="E383" i="101"/>
  <c r="AS247" i="101"/>
  <c r="E247" i="134"/>
  <c r="D249" i="135" s="1"/>
  <c r="D249" i="139" s="1"/>
  <c r="AR247" i="101"/>
  <c r="F248" i="101"/>
  <c r="D413" i="134"/>
  <c r="C415" i="135" s="1"/>
  <c r="C415" i="139" s="1"/>
  <c r="E414" i="101"/>
  <c r="C301" i="134"/>
  <c r="E303" i="135" s="1"/>
  <c r="E303" i="139" s="1"/>
  <c r="G302" i="101"/>
  <c r="D273" i="134"/>
  <c r="C275" i="135" s="1"/>
  <c r="C275" i="139" s="1"/>
  <c r="E274" i="101"/>
  <c r="D274" i="134" s="1"/>
  <c r="C276" i="135" s="1"/>
  <c r="C276" i="139" s="1"/>
  <c r="D215" i="134"/>
  <c r="C217" i="135" s="1"/>
  <c r="C217" i="139" s="1"/>
  <c r="E216" i="101"/>
  <c r="D216" i="134" s="1"/>
  <c r="C218" i="135" s="1"/>
  <c r="C218" i="139" s="1"/>
  <c r="AS215" i="101"/>
  <c r="AR215" i="101"/>
  <c r="E215" i="134"/>
  <c r="D217" i="135" s="1"/>
  <c r="D217" i="139" s="1"/>
  <c r="F216" i="101"/>
  <c r="D352" i="134"/>
  <c r="C354" i="135" s="1"/>
  <c r="C354" i="139" s="1"/>
  <c r="E353" i="101"/>
  <c r="AS301" i="101"/>
  <c r="E301" i="134"/>
  <c r="D303" i="135" s="1"/>
  <c r="D303" i="139" s="1"/>
  <c r="AR301" i="101"/>
  <c r="F302" i="101"/>
  <c r="D105" i="134"/>
  <c r="C107" i="135" s="1"/>
  <c r="C107" i="139" s="1"/>
  <c r="E106" i="101"/>
  <c r="D106" i="134" s="1"/>
  <c r="C108" i="135" s="1"/>
  <c r="C108" i="139" s="1"/>
  <c r="D72" i="134"/>
  <c r="C74" i="135" s="1"/>
  <c r="C74" i="139" s="1"/>
  <c r="E73" i="101"/>
  <c r="AS72" i="101"/>
  <c r="E72" i="134"/>
  <c r="D74" i="135" s="1"/>
  <c r="D74" i="139" s="1"/>
  <c r="AR72" i="101"/>
  <c r="F73" i="101"/>
  <c r="AS135" i="101"/>
  <c r="E135" i="134"/>
  <c r="D137" i="135" s="1"/>
  <c r="D137" i="139" s="1"/>
  <c r="AR135" i="101"/>
  <c r="F136" i="101"/>
  <c r="C72" i="134"/>
  <c r="E74" i="135" s="1"/>
  <c r="E74" i="139" s="1"/>
  <c r="G73" i="101"/>
  <c r="D184" i="134"/>
  <c r="C186" i="135" s="1"/>
  <c r="C186" i="139" s="1"/>
  <c r="E185" i="101"/>
  <c r="D185" i="134" s="1"/>
  <c r="C187" i="135" s="1"/>
  <c r="C187" i="139" s="1"/>
  <c r="A87" i="154"/>
  <c r="A226" i="154"/>
  <c r="B763" i="154"/>
  <c r="B735" i="154"/>
  <c r="A15" i="154"/>
  <c r="AS616" i="101" l="1"/>
  <c r="E616" i="134"/>
  <c r="D618" i="135" s="1"/>
  <c r="D618" i="139" s="1"/>
  <c r="AR616" i="101"/>
  <c r="F617" i="101"/>
  <c r="E506" i="134"/>
  <c r="D508" i="135" s="1"/>
  <c r="D508" i="139" s="1"/>
  <c r="AS506" i="101"/>
  <c r="AR506" i="101"/>
  <c r="F507" i="101"/>
  <c r="D583" i="101"/>
  <c r="D584" i="101" s="1"/>
  <c r="D585" i="101" s="1"/>
  <c r="D586" i="101" s="1"/>
  <c r="D587" i="101" s="1"/>
  <c r="D588" i="101" s="1"/>
  <c r="D589" i="101" s="1"/>
  <c r="D590" i="101" s="1"/>
  <c r="D591" i="101" s="1"/>
  <c r="D592" i="101" s="1"/>
  <c r="D593" i="101" s="1"/>
  <c r="D594" i="101" s="1"/>
  <c r="D595" i="101" s="1"/>
  <c r="D596" i="101" s="1"/>
  <c r="D597" i="101" s="1"/>
  <c r="D598" i="101" s="1"/>
  <c r="D599" i="101" s="1"/>
  <c r="D600" i="101" s="1"/>
  <c r="D601" i="101" s="1"/>
  <c r="D602" i="101" s="1"/>
  <c r="D603" i="101" s="1"/>
  <c r="D604" i="101" s="1"/>
  <c r="D605" i="101" s="1"/>
  <c r="D606" i="101" s="1"/>
  <c r="D607" i="101" s="1"/>
  <c r="D608" i="101" s="1"/>
  <c r="D609" i="101" s="1"/>
  <c r="D610" i="101" s="1"/>
  <c r="D611" i="101" s="1"/>
  <c r="D612" i="101" s="1"/>
  <c r="D613" i="101" s="1"/>
  <c r="D614" i="101" s="1"/>
  <c r="D615" i="101" s="1"/>
  <c r="D616" i="101" s="1"/>
  <c r="D617" i="101" s="1"/>
  <c r="D618" i="101" s="1"/>
  <c r="D619" i="101" s="1"/>
  <c r="D620" i="101" s="1"/>
  <c r="D621" i="101" s="1"/>
  <c r="D622" i="101" s="1"/>
  <c r="D623" i="101" s="1"/>
  <c r="D624" i="101" s="1"/>
  <c r="D625" i="101" s="1"/>
  <c r="D626" i="101" s="1"/>
  <c r="D627" i="101" s="1"/>
  <c r="D628" i="101" s="1"/>
  <c r="E583" i="101"/>
  <c r="C302" i="134"/>
  <c r="E304" i="135" s="1"/>
  <c r="E304" i="139" s="1"/>
  <c r="G303" i="101"/>
  <c r="AS302" i="101"/>
  <c r="E302" i="134"/>
  <c r="D304" i="135" s="1"/>
  <c r="D304" i="139" s="1"/>
  <c r="AR302" i="101"/>
  <c r="F303" i="101"/>
  <c r="D353" i="134"/>
  <c r="C355" i="135" s="1"/>
  <c r="C355" i="139" s="1"/>
  <c r="E354" i="101"/>
  <c r="D414" i="134"/>
  <c r="C416" i="135" s="1"/>
  <c r="C416" i="139" s="1"/>
  <c r="E415" i="101"/>
  <c r="AS216" i="101"/>
  <c r="E216" i="134"/>
  <c r="D218" i="135" s="1"/>
  <c r="D218" i="139" s="1"/>
  <c r="AR216" i="101"/>
  <c r="F217" i="101"/>
  <c r="AS248" i="101"/>
  <c r="AR248" i="101"/>
  <c r="E248" i="134"/>
  <c r="D250" i="135" s="1"/>
  <c r="D250" i="139" s="1"/>
  <c r="F249" i="101"/>
  <c r="D383" i="134"/>
  <c r="C385" i="135" s="1"/>
  <c r="C385" i="139" s="1"/>
  <c r="E384" i="101"/>
  <c r="AS73" i="101"/>
  <c r="E73" i="134"/>
  <c r="D75" i="135" s="1"/>
  <c r="D75" i="139" s="1"/>
  <c r="AR73" i="101"/>
  <c r="F74" i="101"/>
  <c r="D73" i="134"/>
  <c r="C75" i="135" s="1"/>
  <c r="C75" i="139" s="1"/>
  <c r="E74" i="101"/>
  <c r="AR136" i="101"/>
  <c r="E136" i="134"/>
  <c r="D138" i="135" s="1"/>
  <c r="D138" i="139" s="1"/>
  <c r="AS136" i="101"/>
  <c r="F137" i="101"/>
  <c r="C73" i="134"/>
  <c r="E75" i="135" s="1"/>
  <c r="E75" i="139" s="1"/>
  <c r="G74" i="101"/>
  <c r="A88" i="154"/>
  <c r="A227" i="154"/>
  <c r="B653" i="154"/>
  <c r="B736" i="154"/>
  <c r="B816" i="154"/>
  <c r="A16" i="154"/>
  <c r="AS617" i="101" l="1"/>
  <c r="E617" i="134"/>
  <c r="D619" i="135" s="1"/>
  <c r="D619" i="139" s="1"/>
  <c r="AR617" i="101"/>
  <c r="F618" i="101"/>
  <c r="D583" i="134"/>
  <c r="C585" i="135" s="1"/>
  <c r="C585" i="139" s="1"/>
  <c r="E584" i="101"/>
  <c r="AS507" i="101"/>
  <c r="E507" i="134"/>
  <c r="D509" i="135" s="1"/>
  <c r="D509" i="139" s="1"/>
  <c r="AR507" i="101"/>
  <c r="F508" i="101"/>
  <c r="D415" i="134"/>
  <c r="C417" i="135" s="1"/>
  <c r="C417" i="139" s="1"/>
  <c r="E416" i="101"/>
  <c r="D384" i="134"/>
  <c r="C386" i="135" s="1"/>
  <c r="C386" i="139" s="1"/>
  <c r="E385" i="101"/>
  <c r="D354" i="134"/>
  <c r="C356" i="135" s="1"/>
  <c r="C356" i="139" s="1"/>
  <c r="E355" i="101"/>
  <c r="D355" i="134" s="1"/>
  <c r="C357" i="135" s="1"/>
  <c r="C357" i="139" s="1"/>
  <c r="AS303" i="101"/>
  <c r="E303" i="134"/>
  <c r="D305" i="135" s="1"/>
  <c r="D305" i="139" s="1"/>
  <c r="AR303" i="101"/>
  <c r="F304" i="101"/>
  <c r="AS249" i="101"/>
  <c r="E249" i="134"/>
  <c r="D251" i="135" s="1"/>
  <c r="D251" i="139" s="1"/>
  <c r="AR249" i="101"/>
  <c r="F250" i="101"/>
  <c r="AS217" i="101"/>
  <c r="E217" i="134"/>
  <c r="D219" i="135" s="1"/>
  <c r="D219" i="139" s="1"/>
  <c r="AR217" i="101"/>
  <c r="F218" i="101"/>
  <c r="C303" i="134"/>
  <c r="E305" i="135" s="1"/>
  <c r="E305" i="139" s="1"/>
  <c r="G304" i="101"/>
  <c r="D74" i="134"/>
  <c r="C76" i="135" s="1"/>
  <c r="C76" i="139" s="1"/>
  <c r="E75" i="101"/>
  <c r="AS74" i="101"/>
  <c r="AR74" i="101"/>
  <c r="E74" i="134"/>
  <c r="D76" i="135" s="1"/>
  <c r="D76" i="139" s="1"/>
  <c r="F75" i="101"/>
  <c r="AS137" i="101"/>
  <c r="E137" i="134"/>
  <c r="D139" i="135" s="1"/>
  <c r="D139" i="139" s="1"/>
  <c r="AR137" i="101"/>
  <c r="F138" i="101"/>
  <c r="C74" i="134"/>
  <c r="E76" i="135" s="1"/>
  <c r="E76" i="139" s="1"/>
  <c r="G75" i="101"/>
  <c r="A89" i="154"/>
  <c r="A228" i="154"/>
  <c r="B675" i="154"/>
  <c r="B765" i="154"/>
  <c r="B817" i="154"/>
  <c r="A17" i="154"/>
  <c r="A6" i="153"/>
  <c r="AS618" i="101" l="1"/>
  <c r="E618" i="134"/>
  <c r="D620" i="135" s="1"/>
  <c r="D620" i="139" s="1"/>
  <c r="AR618" i="101"/>
  <c r="F619" i="101"/>
  <c r="AS508" i="101"/>
  <c r="E508" i="134"/>
  <c r="D510" i="135" s="1"/>
  <c r="D510" i="139" s="1"/>
  <c r="AR508" i="101"/>
  <c r="F509" i="101"/>
  <c r="D584" i="134"/>
  <c r="C586" i="135" s="1"/>
  <c r="C586" i="139" s="1"/>
  <c r="E585" i="101"/>
  <c r="AS304" i="101"/>
  <c r="E304" i="134"/>
  <c r="D306" i="135" s="1"/>
  <c r="D306" i="139" s="1"/>
  <c r="AR304" i="101"/>
  <c r="F305" i="101"/>
  <c r="C304" i="134"/>
  <c r="E306" i="135" s="1"/>
  <c r="E306" i="139" s="1"/>
  <c r="G305" i="101"/>
  <c r="D385" i="134"/>
  <c r="C387" i="135" s="1"/>
  <c r="C387" i="139" s="1"/>
  <c r="E386" i="101"/>
  <c r="D386" i="134" s="1"/>
  <c r="C388" i="135" s="1"/>
  <c r="C388" i="139" s="1"/>
  <c r="AS218" i="101"/>
  <c r="AR218" i="101"/>
  <c r="E218" i="134"/>
  <c r="D220" i="135" s="1"/>
  <c r="D220" i="139" s="1"/>
  <c r="F219" i="101"/>
  <c r="AR250" i="101"/>
  <c r="E250" i="134"/>
  <c r="D252" i="135" s="1"/>
  <c r="D252" i="139" s="1"/>
  <c r="AS250" i="101"/>
  <c r="F251" i="101"/>
  <c r="D416" i="134"/>
  <c r="C418" i="135" s="1"/>
  <c r="C418" i="139" s="1"/>
  <c r="E417" i="101"/>
  <c r="AS138" i="101"/>
  <c r="E138" i="134"/>
  <c r="D140" i="135" s="1"/>
  <c r="D140" i="139" s="1"/>
  <c r="AR138" i="101"/>
  <c r="F139" i="101"/>
  <c r="C75" i="134"/>
  <c r="E77" i="135" s="1"/>
  <c r="E77" i="139" s="1"/>
  <c r="G76" i="101"/>
  <c r="AS75" i="101"/>
  <c r="E75" i="134"/>
  <c r="D77" i="135" s="1"/>
  <c r="D77" i="139" s="1"/>
  <c r="AR75" i="101"/>
  <c r="F76" i="101"/>
  <c r="D75" i="134"/>
  <c r="C77" i="135" s="1"/>
  <c r="C77" i="139" s="1"/>
  <c r="E76" i="101"/>
  <c r="D76" i="134" s="1"/>
  <c r="C78" i="135" s="1"/>
  <c r="C78" i="139" s="1"/>
  <c r="A90" i="154"/>
  <c r="A229" i="154"/>
  <c r="B786" i="154"/>
  <c r="B766" i="154"/>
  <c r="B738" i="154"/>
  <c r="B818" i="154"/>
  <c r="A18" i="154"/>
  <c r="A7" i="153"/>
  <c r="AS619" i="101" l="1"/>
  <c r="E619" i="134"/>
  <c r="D621" i="135" s="1"/>
  <c r="D621" i="139" s="1"/>
  <c r="AR619" i="101"/>
  <c r="F620" i="101"/>
  <c r="D585" i="134"/>
  <c r="C587" i="135" s="1"/>
  <c r="C587" i="139" s="1"/>
  <c r="E586" i="101"/>
  <c r="E509" i="134"/>
  <c r="D511" i="135" s="1"/>
  <c r="D511" i="139" s="1"/>
  <c r="AR509" i="101"/>
  <c r="F510" i="101"/>
  <c r="D417" i="134"/>
  <c r="C419" i="135" s="1"/>
  <c r="C419" i="139" s="1"/>
  <c r="E418" i="101"/>
  <c r="C305" i="134"/>
  <c r="E307" i="135" s="1"/>
  <c r="E307" i="139" s="1"/>
  <c r="G306" i="101"/>
  <c r="AS219" i="101"/>
  <c r="AR219" i="101"/>
  <c r="E219" i="134"/>
  <c r="D221" i="135" s="1"/>
  <c r="D221" i="139" s="1"/>
  <c r="F220" i="101"/>
  <c r="AS251" i="101"/>
  <c r="E251" i="134"/>
  <c r="D253" i="135" s="1"/>
  <c r="D253" i="139" s="1"/>
  <c r="AR251" i="101"/>
  <c r="F252" i="101"/>
  <c r="AR305" i="101"/>
  <c r="AS305" i="101"/>
  <c r="E305" i="134"/>
  <c r="D307" i="135" s="1"/>
  <c r="D307" i="139" s="1"/>
  <c r="F306" i="101"/>
  <c r="AS76" i="101"/>
  <c r="E76" i="134"/>
  <c r="D78" i="135" s="1"/>
  <c r="D78" i="139" s="1"/>
  <c r="AR76" i="101"/>
  <c r="F77" i="101"/>
  <c r="C76" i="134"/>
  <c r="E78" i="135" s="1"/>
  <c r="E78" i="139" s="1"/>
  <c r="G77" i="101"/>
  <c r="AR139" i="101"/>
  <c r="E139" i="134"/>
  <c r="D141" i="135" s="1"/>
  <c r="D141" i="139" s="1"/>
  <c r="AS139" i="101"/>
  <c r="F140" i="101"/>
  <c r="A91" i="154"/>
  <c r="A230" i="154"/>
  <c r="B739" i="154"/>
  <c r="B787" i="154"/>
  <c r="B819" i="154"/>
  <c r="B767" i="154"/>
  <c r="B82" i="154"/>
  <c r="A19" i="154"/>
  <c r="A8" i="153"/>
  <c r="AS620" i="101" l="1"/>
  <c r="AR620" i="101"/>
  <c r="E620" i="134"/>
  <c r="D622" i="135" s="1"/>
  <c r="D622" i="139" s="1"/>
  <c r="F621" i="101"/>
  <c r="AS510" i="101"/>
  <c r="AR510" i="101"/>
  <c r="E510" i="134"/>
  <c r="D512" i="135" s="1"/>
  <c r="D512" i="139" s="1"/>
  <c r="F511" i="101"/>
  <c r="D586" i="134"/>
  <c r="C588" i="135" s="1"/>
  <c r="C588" i="139" s="1"/>
  <c r="E587" i="101"/>
  <c r="D587" i="134" s="1"/>
  <c r="C589" i="135" s="1"/>
  <c r="C589" i="139" s="1"/>
  <c r="E252" i="134"/>
  <c r="D254" i="135" s="1"/>
  <c r="D254" i="139" s="1"/>
  <c r="AS252" i="101"/>
  <c r="AR252" i="101"/>
  <c r="F253" i="101"/>
  <c r="AS220" i="101"/>
  <c r="E220" i="134"/>
  <c r="D222" i="135" s="1"/>
  <c r="D222" i="139" s="1"/>
  <c r="AR220" i="101"/>
  <c r="F221" i="101"/>
  <c r="AS306" i="101"/>
  <c r="E306" i="134"/>
  <c r="D308" i="135" s="1"/>
  <c r="D308" i="139" s="1"/>
  <c r="AR306" i="101"/>
  <c r="F307" i="101"/>
  <c r="C306" i="134"/>
  <c r="E308" i="135" s="1"/>
  <c r="E308" i="139" s="1"/>
  <c r="G307" i="101"/>
  <c r="D418" i="134"/>
  <c r="C420" i="135" s="1"/>
  <c r="C420" i="139" s="1"/>
  <c r="E419" i="101"/>
  <c r="AS140" i="101"/>
  <c r="E140" i="134"/>
  <c r="D142" i="135" s="1"/>
  <c r="D142" i="139" s="1"/>
  <c r="AR140" i="101"/>
  <c r="F141" i="101"/>
  <c r="C77" i="134"/>
  <c r="E79" i="135" s="1"/>
  <c r="E79" i="139" s="1"/>
  <c r="G78" i="101"/>
  <c r="AS77" i="101"/>
  <c r="E77" i="134"/>
  <c r="D79" i="135" s="1"/>
  <c r="D79" i="139" s="1"/>
  <c r="AR77" i="101"/>
  <c r="F78" i="101"/>
  <c r="A92" i="154"/>
  <c r="A231" i="154"/>
  <c r="B80" i="154"/>
  <c r="B820" i="154"/>
  <c r="B740" i="154"/>
  <c r="B768" i="154"/>
  <c r="B788" i="154"/>
  <c r="B83" i="154"/>
  <c r="A20" i="154"/>
  <c r="A9" i="153"/>
  <c r="AR621" i="101" l="1"/>
  <c r="AS621" i="101"/>
  <c r="E621" i="134"/>
  <c r="D623" i="135" s="1"/>
  <c r="D623" i="139" s="1"/>
  <c r="F622" i="101"/>
  <c r="AS511" i="101"/>
  <c r="E511" i="134"/>
  <c r="D513" i="135" s="1"/>
  <c r="D513" i="139" s="1"/>
  <c r="AR511" i="101"/>
  <c r="F512" i="101"/>
  <c r="AS221" i="101"/>
  <c r="E221" i="134"/>
  <c r="D223" i="135" s="1"/>
  <c r="D223" i="139" s="1"/>
  <c r="AR221" i="101"/>
  <c r="F222" i="101"/>
  <c r="AS307" i="101"/>
  <c r="E307" i="134"/>
  <c r="D309" i="135" s="1"/>
  <c r="D309" i="139" s="1"/>
  <c r="AR307" i="101"/>
  <c r="F308" i="101"/>
  <c r="D419" i="134"/>
  <c r="C421" i="135" s="1"/>
  <c r="C421" i="139" s="1"/>
  <c r="E420" i="101"/>
  <c r="AR253" i="101"/>
  <c r="AS253" i="101"/>
  <c r="E253" i="134"/>
  <c r="D255" i="135" s="1"/>
  <c r="D255" i="139" s="1"/>
  <c r="F254" i="101"/>
  <c r="C307" i="134"/>
  <c r="E309" i="135" s="1"/>
  <c r="E309" i="139" s="1"/>
  <c r="G308" i="101"/>
  <c r="C78" i="134"/>
  <c r="E80" i="135" s="1"/>
  <c r="E80" i="139" s="1"/>
  <c r="G79" i="101"/>
  <c r="AS78" i="101"/>
  <c r="E78" i="134"/>
  <c r="D80" i="135" s="1"/>
  <c r="D80" i="139" s="1"/>
  <c r="AR78" i="101"/>
  <c r="F79" i="101"/>
  <c r="AS141" i="101"/>
  <c r="E141" i="134"/>
  <c r="D143" i="135" s="1"/>
  <c r="D143" i="139" s="1"/>
  <c r="AR141" i="101"/>
  <c r="F142" i="101"/>
  <c r="A93" i="154"/>
  <c r="A232" i="154"/>
  <c r="B81" i="154"/>
  <c r="B789" i="154"/>
  <c r="B741" i="154"/>
  <c r="B821" i="154"/>
  <c r="B769" i="154"/>
  <c r="B84" i="154"/>
  <c r="A21" i="154"/>
  <c r="A10" i="153"/>
  <c r="AS622" i="101" l="1"/>
  <c r="AR622" i="101"/>
  <c r="E622" i="134"/>
  <c r="D624" i="135" s="1"/>
  <c r="D624" i="139" s="1"/>
  <c r="F623" i="101"/>
  <c r="AS512" i="101"/>
  <c r="E512" i="134"/>
  <c r="D514" i="135" s="1"/>
  <c r="D514" i="139" s="1"/>
  <c r="AR512" i="101"/>
  <c r="F513" i="101"/>
  <c r="D420" i="134"/>
  <c r="C422" i="135" s="1"/>
  <c r="C422" i="139" s="1"/>
  <c r="E421" i="101"/>
  <c r="D421" i="134" s="1"/>
  <c r="C423" i="135" s="1"/>
  <c r="C423" i="139" s="1"/>
  <c r="AA6" i="139"/>
  <c r="AA4" i="139"/>
  <c r="AA9" i="139"/>
  <c r="AA5" i="139"/>
  <c r="AA7" i="139"/>
  <c r="E308" i="134"/>
  <c r="D310" i="135" s="1"/>
  <c r="D310" i="139" s="1"/>
  <c r="AS308" i="101"/>
  <c r="AR308" i="101"/>
  <c r="F309" i="101"/>
  <c r="C308" i="134"/>
  <c r="E310" i="135" s="1"/>
  <c r="E310" i="139" s="1"/>
  <c r="G309" i="101"/>
  <c r="AS222" i="101"/>
  <c r="E222" i="134"/>
  <c r="D224" i="135" s="1"/>
  <c r="D224" i="139" s="1"/>
  <c r="AR222" i="101"/>
  <c r="F223" i="101"/>
  <c r="AS254" i="101"/>
  <c r="AR254" i="101"/>
  <c r="E254" i="134"/>
  <c r="D256" i="135" s="1"/>
  <c r="D256" i="139" s="1"/>
  <c r="F255" i="101"/>
  <c r="AS142" i="101"/>
  <c r="E142" i="134"/>
  <c r="D144" i="135" s="1"/>
  <c r="D144" i="139" s="1"/>
  <c r="AR142" i="101"/>
  <c r="F143" i="101"/>
  <c r="AS79" i="101"/>
  <c r="E79" i="134"/>
  <c r="D81" i="135" s="1"/>
  <c r="D81" i="139" s="1"/>
  <c r="AR79" i="101"/>
  <c r="F80" i="101"/>
  <c r="C79" i="134"/>
  <c r="E81" i="135" s="1"/>
  <c r="E81" i="139" s="1"/>
  <c r="G80" i="101"/>
  <c r="A94" i="154"/>
  <c r="A233" i="154"/>
  <c r="B822" i="154"/>
  <c r="B742" i="154"/>
  <c r="B790" i="154"/>
  <c r="B770" i="154"/>
  <c r="B85" i="154"/>
  <c r="A22" i="154"/>
  <c r="A11" i="153"/>
  <c r="AR623" i="101" l="1"/>
  <c r="AS623" i="101"/>
  <c r="E623" i="134"/>
  <c r="D625" i="135" s="1"/>
  <c r="D625" i="139" s="1"/>
  <c r="F624" i="101"/>
  <c r="AS513" i="101"/>
  <c r="E513" i="134"/>
  <c r="D515" i="135" s="1"/>
  <c r="D515" i="139" s="1"/>
  <c r="AR513" i="101"/>
  <c r="F514" i="101"/>
  <c r="AS309" i="101"/>
  <c r="E309" i="134"/>
  <c r="D311" i="135" s="1"/>
  <c r="D311" i="139" s="1"/>
  <c r="AR309" i="101"/>
  <c r="F310" i="101"/>
  <c r="AS223" i="101"/>
  <c r="AS224" i="101" s="1"/>
  <c r="AR223" i="101"/>
  <c r="E223" i="134"/>
  <c r="D225" i="135" s="1"/>
  <c r="D225" i="139" s="1"/>
  <c r="AS255" i="101"/>
  <c r="E255" i="134"/>
  <c r="D257" i="135" s="1"/>
  <c r="D257" i="139" s="1"/>
  <c r="AR255" i="101"/>
  <c r="F256" i="101"/>
  <c r="C309" i="134"/>
  <c r="E311" i="135" s="1"/>
  <c r="E311" i="139" s="1"/>
  <c r="G310" i="101"/>
  <c r="C80" i="134"/>
  <c r="E82" i="135" s="1"/>
  <c r="E82" i="139" s="1"/>
  <c r="G81" i="101"/>
  <c r="E80" i="134"/>
  <c r="D82" i="135" s="1"/>
  <c r="D82" i="139" s="1"/>
  <c r="AS80" i="101"/>
  <c r="AR80" i="101"/>
  <c r="F81" i="101"/>
  <c r="AS143" i="101"/>
  <c r="E143" i="134"/>
  <c r="D145" i="135" s="1"/>
  <c r="D145" i="139" s="1"/>
  <c r="AR143" i="101"/>
  <c r="F144" i="101"/>
  <c r="A95" i="154"/>
  <c r="A234" i="154"/>
  <c r="B715" i="154"/>
  <c r="B771" i="154"/>
  <c r="B823" i="154"/>
  <c r="B743" i="154"/>
  <c r="B791" i="154"/>
  <c r="B86" i="154"/>
  <c r="A23" i="154"/>
  <c r="A12" i="153"/>
  <c r="AR624" i="101" l="1"/>
  <c r="E624" i="134"/>
  <c r="D626" i="135" s="1"/>
  <c r="D626" i="139" s="1"/>
  <c r="F625" i="101"/>
  <c r="AS514" i="101"/>
  <c r="E514" i="134"/>
  <c r="D516" i="135" s="1"/>
  <c r="D516" i="139" s="1"/>
  <c r="AR514" i="101"/>
  <c r="F515" i="101"/>
  <c r="AS256" i="101"/>
  <c r="E256" i="134"/>
  <c r="D258" i="135" s="1"/>
  <c r="D258" i="139" s="1"/>
  <c r="AR256" i="101"/>
  <c r="F257" i="101"/>
  <c r="AS310" i="101"/>
  <c r="E310" i="134"/>
  <c r="D312" i="135" s="1"/>
  <c r="D312" i="139" s="1"/>
  <c r="AR310" i="101"/>
  <c r="F311" i="101"/>
  <c r="C310" i="134"/>
  <c r="E312" i="135" s="1"/>
  <c r="E312" i="139" s="1"/>
  <c r="G311" i="101"/>
  <c r="AS144" i="101"/>
  <c r="E144" i="134"/>
  <c r="D146" i="135" s="1"/>
  <c r="D146" i="139" s="1"/>
  <c r="AR144" i="101"/>
  <c r="F145" i="101"/>
  <c r="AS81" i="101"/>
  <c r="E81" i="134"/>
  <c r="D83" i="135" s="1"/>
  <c r="D83" i="139" s="1"/>
  <c r="AR81" i="101"/>
  <c r="F82" i="101"/>
  <c r="C81" i="134"/>
  <c r="E83" i="135" s="1"/>
  <c r="E83" i="139" s="1"/>
  <c r="G82" i="101"/>
  <c r="A96" i="154"/>
  <c r="A235" i="154"/>
  <c r="B69" i="154"/>
  <c r="B772" i="154"/>
  <c r="B716" i="154"/>
  <c r="B792" i="154"/>
  <c r="B824" i="154"/>
  <c r="B87" i="154"/>
  <c r="A24" i="154"/>
  <c r="A13" i="153"/>
  <c r="AS625" i="101" l="1"/>
  <c r="AR625" i="101"/>
  <c r="E625" i="134"/>
  <c r="D627" i="135" s="1"/>
  <c r="D627" i="139" s="1"/>
  <c r="F626" i="101"/>
  <c r="AS515" i="101"/>
  <c r="E515" i="134"/>
  <c r="D517" i="135" s="1"/>
  <c r="D517" i="139" s="1"/>
  <c r="AR515" i="101"/>
  <c r="F516" i="101"/>
  <c r="C311" i="134"/>
  <c r="E313" i="135" s="1"/>
  <c r="E313" i="139" s="1"/>
  <c r="G312" i="101"/>
  <c r="AS311" i="101"/>
  <c r="E311" i="134"/>
  <c r="D313" i="135" s="1"/>
  <c r="D313" i="139" s="1"/>
  <c r="AR311" i="101"/>
  <c r="F312" i="101"/>
  <c r="AS257" i="101"/>
  <c r="E257" i="134"/>
  <c r="D259" i="135" s="1"/>
  <c r="D259" i="139" s="1"/>
  <c r="AR257" i="101"/>
  <c r="F258" i="101"/>
  <c r="AS82" i="101"/>
  <c r="E82" i="134"/>
  <c r="D84" i="135" s="1"/>
  <c r="D84" i="139" s="1"/>
  <c r="AR82" i="101"/>
  <c r="F83" i="101"/>
  <c r="E145" i="134"/>
  <c r="D147" i="135" s="1"/>
  <c r="D147" i="139" s="1"/>
  <c r="AR145" i="101"/>
  <c r="F146" i="101"/>
  <c r="C82" i="134"/>
  <c r="E84" i="135" s="1"/>
  <c r="E84" i="139" s="1"/>
  <c r="G83" i="101"/>
  <c r="A97" i="154"/>
  <c r="A236" i="154"/>
  <c r="B685" i="154"/>
  <c r="B745" i="154"/>
  <c r="B793" i="154"/>
  <c r="B717" i="154"/>
  <c r="B773" i="154"/>
  <c r="B88" i="154"/>
  <c r="A25" i="154"/>
  <c r="A14" i="153"/>
  <c r="AS626" i="101" l="1"/>
  <c r="E626" i="134"/>
  <c r="D628" i="135" s="1"/>
  <c r="D628" i="139" s="1"/>
  <c r="AR626" i="101"/>
  <c r="F627" i="101"/>
  <c r="AS516" i="101"/>
  <c r="E516" i="134"/>
  <c r="D518" i="135" s="1"/>
  <c r="D518" i="139" s="1"/>
  <c r="AR516" i="101"/>
  <c r="F517" i="101"/>
  <c r="AS258" i="101"/>
  <c r="E258" i="134"/>
  <c r="D260" i="135" s="1"/>
  <c r="D260" i="139" s="1"/>
  <c r="AR258" i="101"/>
  <c r="F259" i="101"/>
  <c r="AS312" i="101"/>
  <c r="AR312" i="101"/>
  <c r="E312" i="134"/>
  <c r="D314" i="135" s="1"/>
  <c r="D314" i="139" s="1"/>
  <c r="F313" i="101"/>
  <c r="C312" i="134"/>
  <c r="E314" i="135" s="1"/>
  <c r="E314" i="139" s="1"/>
  <c r="G313" i="101"/>
  <c r="C83" i="134"/>
  <c r="E85" i="135" s="1"/>
  <c r="E85" i="139" s="1"/>
  <c r="G84" i="101"/>
  <c r="AS83" i="101"/>
  <c r="E83" i="134"/>
  <c r="D85" i="135" s="1"/>
  <c r="D85" i="139" s="1"/>
  <c r="AR83" i="101"/>
  <c r="F84" i="101"/>
  <c r="E146" i="134"/>
  <c r="D148" i="135" s="1"/>
  <c r="D148" i="139" s="1"/>
  <c r="AS146" i="101"/>
  <c r="AR146" i="101"/>
  <c r="F147" i="101"/>
  <c r="A98" i="154"/>
  <c r="A237" i="154"/>
  <c r="B746" i="154"/>
  <c r="B718" i="154"/>
  <c r="B794" i="154"/>
  <c r="B826" i="154"/>
  <c r="B663" i="154"/>
  <c r="A15" i="153"/>
  <c r="AS627" i="101" l="1"/>
  <c r="AR627" i="101"/>
  <c r="E627" i="134"/>
  <c r="D629" i="135" s="1"/>
  <c r="D629" i="139" s="1"/>
  <c r="F628" i="101"/>
  <c r="AS517" i="101"/>
  <c r="E517" i="134"/>
  <c r="D519" i="135" s="1"/>
  <c r="D519" i="139" s="1"/>
  <c r="AR517" i="101"/>
  <c r="F518" i="101"/>
  <c r="AS313" i="101"/>
  <c r="AR313" i="101"/>
  <c r="E313" i="134"/>
  <c r="D315" i="135" s="1"/>
  <c r="D315" i="139" s="1"/>
  <c r="F314" i="101"/>
  <c r="C313" i="134"/>
  <c r="E315" i="135" s="1"/>
  <c r="E315" i="139" s="1"/>
  <c r="G314" i="101"/>
  <c r="AS259" i="101"/>
  <c r="E259" i="134"/>
  <c r="D261" i="135" s="1"/>
  <c r="D261" i="139" s="1"/>
  <c r="AR259" i="101"/>
  <c r="F260" i="101"/>
  <c r="AS84" i="101"/>
  <c r="E84" i="134"/>
  <c r="D86" i="135" s="1"/>
  <c r="D86" i="139" s="1"/>
  <c r="AR84" i="101"/>
  <c r="F85" i="101"/>
  <c r="E147" i="134"/>
  <c r="D149" i="135" s="1"/>
  <c r="D149" i="139" s="1"/>
  <c r="AR147" i="101"/>
  <c r="AS147" i="101"/>
  <c r="F148" i="101"/>
  <c r="C84" i="134"/>
  <c r="E86" i="135" s="1"/>
  <c r="E86" i="139" s="1"/>
  <c r="G85" i="101"/>
  <c r="B89" i="154"/>
  <c r="A99" i="154"/>
  <c r="A238" i="154"/>
  <c r="A27" i="154"/>
  <c r="A26" i="154"/>
  <c r="B747" i="154"/>
  <c r="B719" i="154"/>
  <c r="B827" i="154"/>
  <c r="B775" i="154"/>
  <c r="A28" i="154"/>
  <c r="A16" i="153"/>
  <c r="AR628" i="101" l="1"/>
  <c r="E628" i="134"/>
  <c r="D630" i="135" s="1"/>
  <c r="D630" i="139" s="1"/>
  <c r="AS628" i="101"/>
  <c r="AS518" i="101"/>
  <c r="E518" i="134"/>
  <c r="D520" i="135" s="1"/>
  <c r="D520" i="139" s="1"/>
  <c r="AR518" i="101"/>
  <c r="F519" i="101"/>
  <c r="E260" i="134"/>
  <c r="D262" i="135" s="1"/>
  <c r="D262" i="139" s="1"/>
  <c r="AS260" i="101"/>
  <c r="AR260" i="101"/>
  <c r="F261" i="101"/>
  <c r="C314" i="134"/>
  <c r="E316" i="135" s="1"/>
  <c r="E316" i="139" s="1"/>
  <c r="G315" i="101"/>
  <c r="AS314" i="101"/>
  <c r="E314" i="134"/>
  <c r="D316" i="135" s="1"/>
  <c r="D316" i="139" s="1"/>
  <c r="F315" i="101"/>
  <c r="AS148" i="101"/>
  <c r="E148" i="134"/>
  <c r="D150" i="135" s="1"/>
  <c r="D150" i="139" s="1"/>
  <c r="AR148" i="101"/>
  <c r="F149" i="101"/>
  <c r="C85" i="134"/>
  <c r="E87" i="135" s="1"/>
  <c r="E87" i="139" s="1"/>
  <c r="G86" i="101"/>
  <c r="AS85" i="101"/>
  <c r="E85" i="134"/>
  <c r="D87" i="135" s="1"/>
  <c r="D87" i="139" s="1"/>
  <c r="AR85" i="101"/>
  <c r="F86" i="101"/>
  <c r="B90" i="154"/>
  <c r="A100" i="154"/>
  <c r="A239" i="154"/>
  <c r="B776" i="154"/>
  <c r="B828" i="154"/>
  <c r="B796" i="154"/>
  <c r="B748" i="154"/>
  <c r="B720" i="154"/>
  <c r="A29" i="154"/>
  <c r="B91" i="154"/>
  <c r="A17" i="153"/>
  <c r="AS519" i="101" l="1"/>
  <c r="E519" i="134"/>
  <c r="D521" i="135" s="1"/>
  <c r="D521" i="139" s="1"/>
  <c r="AR519" i="101"/>
  <c r="F520" i="101"/>
  <c r="AS315" i="101"/>
  <c r="E315" i="134"/>
  <c r="D317" i="135" s="1"/>
  <c r="D317" i="139" s="1"/>
  <c r="AR315" i="101"/>
  <c r="F316" i="101"/>
  <c r="C315" i="134"/>
  <c r="E317" i="135" s="1"/>
  <c r="E317" i="139" s="1"/>
  <c r="G316" i="101"/>
  <c r="AS261" i="101"/>
  <c r="E261" i="134"/>
  <c r="D263" i="135" s="1"/>
  <c r="D263" i="139" s="1"/>
  <c r="AR261" i="101"/>
  <c r="F262" i="101"/>
  <c r="AS86" i="101"/>
  <c r="E86" i="134"/>
  <c r="D88" i="135" s="1"/>
  <c r="D88" i="139" s="1"/>
  <c r="AR86" i="101"/>
  <c r="F87" i="101"/>
  <c r="AS149" i="101"/>
  <c r="E149" i="134"/>
  <c r="D151" i="135" s="1"/>
  <c r="D151" i="139" s="1"/>
  <c r="AR149" i="101"/>
  <c r="F150" i="101"/>
  <c r="C86" i="134"/>
  <c r="E88" i="135" s="1"/>
  <c r="E88" i="139" s="1"/>
  <c r="G87" i="101"/>
  <c r="A101" i="154"/>
  <c r="A240" i="154"/>
  <c r="B797" i="154"/>
  <c r="B749" i="154"/>
  <c r="B721" i="154"/>
  <c r="B829" i="154"/>
  <c r="B777" i="154"/>
  <c r="B92" i="154"/>
  <c r="A30" i="154"/>
  <c r="B180" i="154"/>
  <c r="A18" i="153"/>
  <c r="AS520" i="101" l="1"/>
  <c r="E520" i="134"/>
  <c r="D522" i="135" s="1"/>
  <c r="D522" i="139" s="1"/>
  <c r="AR520" i="101"/>
  <c r="F521" i="101"/>
  <c r="AS262" i="101"/>
  <c r="E262" i="134"/>
  <c r="D264" i="135" s="1"/>
  <c r="D264" i="139" s="1"/>
  <c r="AR262" i="101"/>
  <c r="F263" i="101"/>
  <c r="C316" i="134"/>
  <c r="E318" i="135" s="1"/>
  <c r="E318" i="139" s="1"/>
  <c r="G317" i="101"/>
  <c r="AS316" i="101"/>
  <c r="E316" i="134"/>
  <c r="D318" i="135" s="1"/>
  <c r="D318" i="139" s="1"/>
  <c r="AR316" i="101"/>
  <c r="F317" i="101"/>
  <c r="AS87" i="101"/>
  <c r="E87" i="134"/>
  <c r="D89" i="135" s="1"/>
  <c r="D89" i="139" s="1"/>
  <c r="AR87" i="101"/>
  <c r="F88" i="101"/>
  <c r="C87" i="134"/>
  <c r="E89" i="135" s="1"/>
  <c r="E89" i="139" s="1"/>
  <c r="G88" i="101"/>
  <c r="AS150" i="101"/>
  <c r="E150" i="134"/>
  <c r="D152" i="135" s="1"/>
  <c r="D152" i="139" s="1"/>
  <c r="AR150" i="101"/>
  <c r="F151" i="101"/>
  <c r="A102" i="154"/>
  <c r="A241" i="154"/>
  <c r="B79" i="154"/>
  <c r="B798" i="154"/>
  <c r="B750" i="154"/>
  <c r="B722" i="154"/>
  <c r="B830" i="154"/>
  <c r="B93" i="154"/>
  <c r="A31" i="154"/>
  <c r="A19" i="153"/>
  <c r="AS521" i="101" l="1"/>
  <c r="AR521" i="101"/>
  <c r="F522" i="101"/>
  <c r="E521" i="134"/>
  <c r="D523" i="135" s="1"/>
  <c r="D523" i="139" s="1"/>
  <c r="AS317" i="101"/>
  <c r="E317" i="134"/>
  <c r="D319" i="135" s="1"/>
  <c r="D319" i="139" s="1"/>
  <c r="AR317" i="101"/>
  <c r="F318" i="101"/>
  <c r="C317" i="134"/>
  <c r="E319" i="135" s="1"/>
  <c r="E319" i="139" s="1"/>
  <c r="G318" i="101"/>
  <c r="E263" i="134"/>
  <c r="D265" i="135" s="1"/>
  <c r="D265" i="139" s="1"/>
  <c r="AR263" i="101"/>
  <c r="F264" i="101"/>
  <c r="C88" i="134"/>
  <c r="E90" i="135" s="1"/>
  <c r="E90" i="139" s="1"/>
  <c r="G89" i="101"/>
  <c r="AS88" i="101"/>
  <c r="E88" i="134"/>
  <c r="D90" i="135" s="1"/>
  <c r="D90" i="139" s="1"/>
  <c r="AR88" i="101"/>
  <c r="F89" i="101"/>
  <c r="AS151" i="101"/>
  <c r="E151" i="134"/>
  <c r="D153" i="135" s="1"/>
  <c r="D153" i="139" s="1"/>
  <c r="AR151" i="101"/>
  <c r="F152" i="101"/>
  <c r="A103" i="154"/>
  <c r="A242" i="154"/>
  <c r="B799" i="154"/>
  <c r="B751" i="154"/>
  <c r="B831" i="154"/>
  <c r="B779" i="154"/>
  <c r="B723" i="154"/>
  <c r="A32" i="154"/>
  <c r="B94" i="154"/>
  <c r="A20" i="153"/>
  <c r="F523" i="101" l="1"/>
  <c r="AS522" i="101"/>
  <c r="E522" i="134"/>
  <c r="D524" i="135" s="1"/>
  <c r="D524" i="139" s="1"/>
  <c r="AR522" i="101"/>
  <c r="AR264" i="101"/>
  <c r="E264" i="134"/>
  <c r="D266" i="135" s="1"/>
  <c r="D266" i="139" s="1"/>
  <c r="AS264" i="101"/>
  <c r="F265" i="101"/>
  <c r="C318" i="134"/>
  <c r="E320" i="135" s="1"/>
  <c r="E320" i="139" s="1"/>
  <c r="G319" i="101"/>
  <c r="AS318" i="101"/>
  <c r="E318" i="134"/>
  <c r="D320" i="135" s="1"/>
  <c r="D320" i="139" s="1"/>
  <c r="AR318" i="101"/>
  <c r="F319" i="101"/>
  <c r="AS152" i="101"/>
  <c r="E152" i="134"/>
  <c r="D154" i="135" s="1"/>
  <c r="D154" i="139" s="1"/>
  <c r="AR152" i="101"/>
  <c r="F153" i="101"/>
  <c r="E89" i="134"/>
  <c r="D91" i="135" s="1"/>
  <c r="D91" i="139" s="1"/>
  <c r="AR89" i="101"/>
  <c r="F90" i="101"/>
  <c r="C89" i="134"/>
  <c r="E91" i="135" s="1"/>
  <c r="E91" i="139" s="1"/>
  <c r="G90" i="101"/>
  <c r="A104" i="154"/>
  <c r="A243" i="154"/>
  <c r="B669" i="154"/>
  <c r="B780" i="154"/>
  <c r="B832" i="154"/>
  <c r="B800" i="154"/>
  <c r="B752" i="154"/>
  <c r="B95" i="154"/>
  <c r="A33" i="154"/>
  <c r="A21" i="153"/>
  <c r="E523" i="134" l="1"/>
  <c r="D525" i="135" s="1"/>
  <c r="D525" i="139" s="1"/>
  <c r="AR523" i="101"/>
  <c r="AS523" i="101"/>
  <c r="F524" i="101"/>
  <c r="E319" i="134"/>
  <c r="D321" i="135" s="1"/>
  <c r="D321" i="139" s="1"/>
  <c r="AR319" i="101"/>
  <c r="F320" i="101"/>
  <c r="C319" i="134"/>
  <c r="E321" i="135" s="1"/>
  <c r="E321" i="139" s="1"/>
  <c r="G320" i="101"/>
  <c r="AR90" i="101"/>
  <c r="AS265" i="101"/>
  <c r="AS267" i="101" s="1"/>
  <c r="AS269" i="101" s="1"/>
  <c r="AS271" i="101" s="1"/>
  <c r="AS273" i="101" s="1"/>
  <c r="AS275" i="101" s="1"/>
  <c r="AS277" i="101" s="1"/>
  <c r="E265" i="134"/>
  <c r="D267" i="135" s="1"/>
  <c r="D267" i="139" s="1"/>
  <c r="AR265" i="101"/>
  <c r="AR266" i="101" s="1"/>
  <c r="C90" i="134"/>
  <c r="E92" i="135" s="1"/>
  <c r="E92" i="139" s="1"/>
  <c r="G91" i="101"/>
  <c r="AS90" i="101"/>
  <c r="E90" i="134"/>
  <c r="D92" i="135" s="1"/>
  <c r="D92" i="139" s="1"/>
  <c r="F91" i="101"/>
  <c r="AR153" i="101"/>
  <c r="AS153" i="101"/>
  <c r="E153" i="134"/>
  <c r="D155" i="135" s="1"/>
  <c r="D155" i="139" s="1"/>
  <c r="F154" i="101"/>
  <c r="A105" i="154"/>
  <c r="A244" i="154"/>
  <c r="B781" i="154"/>
  <c r="B833" i="154"/>
  <c r="B801" i="154"/>
  <c r="B753" i="154"/>
  <c r="B725" i="154"/>
  <c r="A34" i="154"/>
  <c r="B96" i="154"/>
  <c r="A22" i="153"/>
  <c r="E524" i="134" l="1"/>
  <c r="D526" i="135" s="1"/>
  <c r="D526" i="139" s="1"/>
  <c r="AS524" i="101"/>
  <c r="F525" i="101"/>
  <c r="C320" i="134"/>
  <c r="E322" i="135" s="1"/>
  <c r="E322" i="139" s="1"/>
  <c r="G321" i="101"/>
  <c r="AS320" i="101"/>
  <c r="E320" i="134"/>
  <c r="D322" i="135" s="1"/>
  <c r="D322" i="139" s="1"/>
  <c r="AR320" i="101"/>
  <c r="F321" i="101"/>
  <c r="AS154" i="101"/>
  <c r="E154" i="134"/>
  <c r="D156" i="135" s="1"/>
  <c r="D156" i="139" s="1"/>
  <c r="F155" i="101"/>
  <c r="AR91" i="101"/>
  <c r="E91" i="134"/>
  <c r="D93" i="135" s="1"/>
  <c r="D93" i="139" s="1"/>
  <c r="AS91" i="101"/>
  <c r="F92" i="101"/>
  <c r="C91" i="134"/>
  <c r="E93" i="135" s="1"/>
  <c r="E93" i="139" s="1"/>
  <c r="G92" i="101"/>
  <c r="A106" i="154"/>
  <c r="A245" i="154"/>
  <c r="B802" i="154"/>
  <c r="B726" i="154"/>
  <c r="B782" i="154"/>
  <c r="B834" i="154"/>
  <c r="B97" i="154"/>
  <c r="A35" i="154"/>
  <c r="A23" i="153"/>
  <c r="AR525" i="101" l="1"/>
  <c r="E525" i="134"/>
  <c r="D527" i="135" s="1"/>
  <c r="D527" i="139" s="1"/>
  <c r="AS525" i="101"/>
  <c r="F526" i="101"/>
  <c r="AS321" i="101"/>
  <c r="E321" i="134"/>
  <c r="D323" i="135" s="1"/>
  <c r="D323" i="139" s="1"/>
  <c r="AR321" i="101"/>
  <c r="F322" i="101"/>
  <c r="C321" i="134"/>
  <c r="E323" i="135" s="1"/>
  <c r="E323" i="139" s="1"/>
  <c r="G322" i="101"/>
  <c r="C92" i="134"/>
  <c r="E94" i="135" s="1"/>
  <c r="E94" i="139" s="1"/>
  <c r="G93" i="101"/>
  <c r="AS155" i="101"/>
  <c r="E155" i="134"/>
  <c r="D157" i="135" s="1"/>
  <c r="D157" i="139" s="1"/>
  <c r="AR155" i="101"/>
  <c r="F156" i="101"/>
  <c r="AS92" i="101"/>
  <c r="E92" i="134"/>
  <c r="D94" i="135" s="1"/>
  <c r="D94" i="139" s="1"/>
  <c r="F93" i="101"/>
  <c r="AR92" i="101"/>
  <c r="B98" i="154"/>
  <c r="A107" i="154"/>
  <c r="A246" i="154"/>
  <c r="B803" i="154"/>
  <c r="B783" i="154"/>
  <c r="B727" i="154"/>
  <c r="B695" i="154"/>
  <c r="A36" i="154"/>
  <c r="A24" i="153"/>
  <c r="AR526" i="101" l="1"/>
  <c r="AS526" i="101"/>
  <c r="E526" i="134"/>
  <c r="D528" i="135" s="1"/>
  <c r="D528" i="139" s="1"/>
  <c r="F527" i="101"/>
  <c r="C322" i="134"/>
  <c r="E324" i="135" s="1"/>
  <c r="E324" i="139" s="1"/>
  <c r="G323" i="101"/>
  <c r="AS322" i="101"/>
  <c r="E322" i="134"/>
  <c r="D324" i="135" s="1"/>
  <c r="D324" i="139" s="1"/>
  <c r="AR322" i="101"/>
  <c r="F323" i="101"/>
  <c r="AS156" i="101"/>
  <c r="E156" i="134"/>
  <c r="D158" i="135" s="1"/>
  <c r="D158" i="139" s="1"/>
  <c r="AR156" i="101"/>
  <c r="F157" i="101"/>
  <c r="AS93" i="101"/>
  <c r="AR93" i="101"/>
  <c r="E93" i="134"/>
  <c r="D95" i="135" s="1"/>
  <c r="D95" i="139" s="1"/>
  <c r="F94" i="101"/>
  <c r="C93" i="134"/>
  <c r="E95" i="135" s="1"/>
  <c r="E95" i="139" s="1"/>
  <c r="G94" i="101"/>
  <c r="A108" i="154"/>
  <c r="A247" i="154"/>
  <c r="B784" i="154"/>
  <c r="B836" i="154"/>
  <c r="B728" i="154"/>
  <c r="B99" i="154"/>
  <c r="A37" i="154"/>
  <c r="A25" i="153"/>
  <c r="AS527" i="101" l="1"/>
  <c r="E527" i="134"/>
  <c r="D529" i="135" s="1"/>
  <c r="D529" i="139" s="1"/>
  <c r="AR527" i="101"/>
  <c r="F528" i="101"/>
  <c r="AS323" i="101"/>
  <c r="AR323" i="101"/>
  <c r="E323" i="134"/>
  <c r="D325" i="135" s="1"/>
  <c r="D325" i="139" s="1"/>
  <c r="F324" i="101"/>
  <c r="C323" i="134"/>
  <c r="E325" i="135" s="1"/>
  <c r="E325" i="139" s="1"/>
  <c r="G324" i="101"/>
  <c r="AS157" i="101"/>
  <c r="AR157" i="101"/>
  <c r="E157" i="134"/>
  <c r="D159" i="135" s="1"/>
  <c r="D159" i="139" s="1"/>
  <c r="F158" i="101"/>
  <c r="C94" i="134"/>
  <c r="E96" i="135" s="1"/>
  <c r="E96" i="139" s="1"/>
  <c r="G95" i="101"/>
  <c r="AS94" i="101"/>
  <c r="E94" i="134"/>
  <c r="D96" i="135" s="1"/>
  <c r="D96" i="139" s="1"/>
  <c r="AR94" i="101"/>
  <c r="F95" i="101"/>
  <c r="A109" i="154"/>
  <c r="A248" i="154"/>
  <c r="B729" i="154"/>
  <c r="B805" i="154"/>
  <c r="B837" i="154"/>
  <c r="B100" i="154"/>
  <c r="A38" i="154"/>
  <c r="A26" i="153"/>
  <c r="AS528" i="101" l="1"/>
  <c r="E528" i="134"/>
  <c r="D530" i="135" s="1"/>
  <c r="D530" i="139" s="1"/>
  <c r="AR528" i="101"/>
  <c r="F529" i="101"/>
  <c r="C324" i="134"/>
  <c r="E326" i="135" s="1"/>
  <c r="E326" i="139" s="1"/>
  <c r="G325" i="101"/>
  <c r="AS324" i="101"/>
  <c r="AR324" i="101"/>
  <c r="E324" i="134"/>
  <c r="D326" i="135" s="1"/>
  <c r="D326" i="139" s="1"/>
  <c r="F325" i="101"/>
  <c r="C95" i="134"/>
  <c r="E97" i="135" s="1"/>
  <c r="E97" i="139" s="1"/>
  <c r="G96" i="101"/>
  <c r="AS95" i="101"/>
  <c r="E95" i="134"/>
  <c r="D97" i="135" s="1"/>
  <c r="D97" i="139" s="1"/>
  <c r="AR95" i="101"/>
  <c r="F96" i="101"/>
  <c r="AS158" i="101"/>
  <c r="E158" i="134"/>
  <c r="D160" i="135" s="1"/>
  <c r="D160" i="139" s="1"/>
  <c r="AR158" i="101"/>
  <c r="F159" i="101"/>
  <c r="A110" i="154"/>
  <c r="A249" i="154"/>
  <c r="B806" i="154"/>
  <c r="B730" i="154"/>
  <c r="B838" i="154"/>
  <c r="A39" i="154"/>
  <c r="B101" i="154"/>
  <c r="A27" i="153"/>
  <c r="AS529" i="101" l="1"/>
  <c r="E529" i="134"/>
  <c r="D531" i="135" s="1"/>
  <c r="D531" i="139" s="1"/>
  <c r="AR529" i="101"/>
  <c r="F530" i="101"/>
  <c r="AS325" i="101"/>
  <c r="E325" i="134"/>
  <c r="D327" i="135" s="1"/>
  <c r="D327" i="139" s="1"/>
  <c r="AR325" i="101"/>
  <c r="F326" i="101"/>
  <c r="C325" i="134"/>
  <c r="E327" i="135" s="1"/>
  <c r="E327" i="139" s="1"/>
  <c r="G326" i="101"/>
  <c r="AS159" i="101"/>
  <c r="E159" i="134"/>
  <c r="D161" i="135" s="1"/>
  <c r="D161" i="139" s="1"/>
  <c r="AR159" i="101"/>
  <c r="F160" i="101"/>
  <c r="AS96" i="101"/>
  <c r="E96" i="134"/>
  <c r="D98" i="135" s="1"/>
  <c r="D98" i="139" s="1"/>
  <c r="F97" i="101"/>
  <c r="C96" i="134"/>
  <c r="E98" i="135" s="1"/>
  <c r="E98" i="139" s="1"/>
  <c r="G97" i="101"/>
  <c r="A111" i="154"/>
  <c r="A250" i="154"/>
  <c r="B839" i="154"/>
  <c r="B807" i="154"/>
  <c r="B731" i="154"/>
  <c r="B102" i="154"/>
  <c r="A40" i="154"/>
  <c r="A28" i="153"/>
  <c r="AS530" i="101" l="1"/>
  <c r="E530" i="134"/>
  <c r="D532" i="135" s="1"/>
  <c r="D532" i="139" s="1"/>
  <c r="AR530" i="101"/>
  <c r="F531" i="101"/>
  <c r="C326" i="134"/>
  <c r="E328" i="135" s="1"/>
  <c r="E328" i="139" s="1"/>
  <c r="G327" i="101"/>
  <c r="E326" i="134"/>
  <c r="D328" i="135" s="1"/>
  <c r="D328" i="139" s="1"/>
  <c r="AR326" i="101"/>
  <c r="AS326" i="101"/>
  <c r="F327" i="101"/>
  <c r="E97" i="134"/>
  <c r="D99" i="135" s="1"/>
  <c r="D99" i="139" s="1"/>
  <c r="AR97" i="101"/>
  <c r="F98" i="101"/>
  <c r="AS97" i="101"/>
  <c r="AR160" i="101"/>
  <c r="E160" i="134"/>
  <c r="D162" i="135" s="1"/>
  <c r="D162" i="139" s="1"/>
  <c r="AS160" i="101"/>
  <c r="F161" i="101"/>
  <c r="C97" i="134"/>
  <c r="E99" i="135" s="1"/>
  <c r="E99" i="139" s="1"/>
  <c r="G98" i="101"/>
  <c r="A112" i="154"/>
  <c r="A251" i="154"/>
  <c r="B840" i="154"/>
  <c r="B808" i="154"/>
  <c r="B732" i="154"/>
  <c r="B103" i="154"/>
  <c r="A41" i="154"/>
  <c r="A29" i="153"/>
  <c r="AS531" i="101" l="1"/>
  <c r="E531" i="134"/>
  <c r="D533" i="135" s="1"/>
  <c r="D533" i="139" s="1"/>
  <c r="AR531" i="101"/>
  <c r="F532" i="101"/>
  <c r="AS327" i="101"/>
  <c r="AR327" i="101"/>
  <c r="E327" i="134"/>
  <c r="D329" i="135" s="1"/>
  <c r="D329" i="139" s="1"/>
  <c r="F328" i="101"/>
  <c r="C327" i="134"/>
  <c r="E329" i="135" s="1"/>
  <c r="E329" i="139" s="1"/>
  <c r="G328" i="101"/>
  <c r="AS98" i="101"/>
  <c r="E98" i="134"/>
  <c r="D100" i="135" s="1"/>
  <c r="D100" i="139" s="1"/>
  <c r="AR98" i="101"/>
  <c r="F99" i="101"/>
  <c r="C98" i="134"/>
  <c r="E100" i="135" s="1"/>
  <c r="E100" i="139" s="1"/>
  <c r="G99" i="101"/>
  <c r="AR161" i="101"/>
  <c r="E161" i="134"/>
  <c r="D163" i="135" s="1"/>
  <c r="D163" i="139" s="1"/>
  <c r="AS161" i="101"/>
  <c r="F162" i="101"/>
  <c r="B112" i="154"/>
  <c r="A113" i="154"/>
  <c r="A252" i="154"/>
  <c r="B733" i="154"/>
  <c r="B841" i="154"/>
  <c r="B809" i="154"/>
  <c r="B104" i="154"/>
  <c r="A42" i="154"/>
  <c r="A30" i="153"/>
  <c r="AS532" i="101" l="1"/>
  <c r="E532" i="134"/>
  <c r="D534" i="135" s="1"/>
  <c r="D534" i="139" s="1"/>
  <c r="AR532" i="101"/>
  <c r="F533" i="101"/>
  <c r="C328" i="134"/>
  <c r="E330" i="135" s="1"/>
  <c r="E330" i="139" s="1"/>
  <c r="G329" i="101"/>
  <c r="AS328" i="101"/>
  <c r="E328" i="134"/>
  <c r="D330" i="135" s="1"/>
  <c r="D330" i="139" s="1"/>
  <c r="AR328" i="101"/>
  <c r="F329" i="101"/>
  <c r="C99" i="134"/>
  <c r="E101" i="135" s="1"/>
  <c r="E101" i="139" s="1"/>
  <c r="G100" i="101"/>
  <c r="AS99" i="101"/>
  <c r="E99" i="134"/>
  <c r="D101" i="135" s="1"/>
  <c r="D101" i="139" s="1"/>
  <c r="AR99" i="101"/>
  <c r="F100" i="101"/>
  <c r="E162" i="134"/>
  <c r="D164" i="135" s="1"/>
  <c r="D164" i="139" s="1"/>
  <c r="AR162" i="101"/>
  <c r="AS162" i="101"/>
  <c r="F163" i="101"/>
  <c r="A114" i="154"/>
  <c r="A253" i="154"/>
  <c r="B810" i="154"/>
  <c r="A43" i="154"/>
  <c r="B105" i="154"/>
  <c r="A31" i="153"/>
  <c r="AS533" i="101" l="1"/>
  <c r="E533" i="134"/>
  <c r="D535" i="135" s="1"/>
  <c r="D535" i="139" s="1"/>
  <c r="AR533" i="101"/>
  <c r="F534" i="101"/>
  <c r="E329" i="134"/>
  <c r="D331" i="135" s="1"/>
  <c r="D331" i="139" s="1"/>
  <c r="AS329" i="101"/>
  <c r="AR329" i="101"/>
  <c r="F330" i="101"/>
  <c r="C329" i="134"/>
  <c r="E331" i="135" s="1"/>
  <c r="E331" i="139" s="1"/>
  <c r="G330" i="101"/>
  <c r="E163" i="134"/>
  <c r="D165" i="135" s="1"/>
  <c r="D165" i="139" s="1"/>
  <c r="AS163" i="101"/>
  <c r="AR163" i="101"/>
  <c r="F164" i="101"/>
  <c r="AS100" i="101"/>
  <c r="E100" i="134"/>
  <c r="D102" i="135" s="1"/>
  <c r="D102" i="139" s="1"/>
  <c r="AR100" i="101"/>
  <c r="F101" i="101"/>
  <c r="C100" i="134"/>
  <c r="E102" i="135" s="1"/>
  <c r="E102" i="139" s="1"/>
  <c r="G101" i="101"/>
  <c r="A115" i="154"/>
  <c r="A254" i="154"/>
  <c r="B811" i="154"/>
  <c r="B106" i="154"/>
  <c r="A32" i="153"/>
  <c r="AS534" i="101" l="1"/>
  <c r="AR534" i="101"/>
  <c r="E534" i="134"/>
  <c r="D536" i="135" s="1"/>
  <c r="D536" i="139" s="1"/>
  <c r="F535" i="101"/>
  <c r="C330" i="134"/>
  <c r="E332" i="135" s="1"/>
  <c r="E332" i="139" s="1"/>
  <c r="G331" i="101"/>
  <c r="AR330" i="101"/>
  <c r="AS330" i="101"/>
  <c r="E330" i="134"/>
  <c r="D332" i="135" s="1"/>
  <c r="D332" i="139" s="1"/>
  <c r="F331" i="101"/>
  <c r="C101" i="134"/>
  <c r="E103" i="135" s="1"/>
  <c r="E103" i="139" s="1"/>
  <c r="G102" i="101"/>
  <c r="E101" i="134"/>
  <c r="D103" i="135" s="1"/>
  <c r="D103" i="139" s="1"/>
  <c r="AR101" i="101"/>
  <c r="F102" i="101"/>
  <c r="AS101" i="101"/>
  <c r="AS164" i="101"/>
  <c r="E164" i="134"/>
  <c r="D166" i="135" s="1"/>
  <c r="D166" i="139" s="1"/>
  <c r="AR164" i="101"/>
  <c r="F165" i="101"/>
  <c r="B108" i="154"/>
  <c r="A116" i="154"/>
  <c r="A255" i="154"/>
  <c r="B812" i="154"/>
  <c r="B107" i="154"/>
  <c r="A33" i="153"/>
  <c r="AS535" i="101" l="1"/>
  <c r="E535" i="134"/>
  <c r="D537" i="135" s="1"/>
  <c r="D537" i="139" s="1"/>
  <c r="AR535" i="101"/>
  <c r="F536" i="101"/>
  <c r="AS331" i="101"/>
  <c r="AR331" i="101"/>
  <c r="E331" i="134"/>
  <c r="D333" i="135" s="1"/>
  <c r="D333" i="139" s="1"/>
  <c r="F332" i="101"/>
  <c r="C331" i="134"/>
  <c r="E333" i="135" s="1"/>
  <c r="E333" i="139" s="1"/>
  <c r="G332" i="101"/>
  <c r="AS102" i="101"/>
  <c r="E102" i="134"/>
  <c r="D104" i="135" s="1"/>
  <c r="D104" i="139" s="1"/>
  <c r="AR102" i="101"/>
  <c r="F103" i="101"/>
  <c r="E165" i="134"/>
  <c r="D167" i="135" s="1"/>
  <c r="D167" i="139" s="1"/>
  <c r="AS165" i="101"/>
  <c r="AR165" i="101"/>
  <c r="F166" i="101"/>
  <c r="C102" i="134"/>
  <c r="E104" i="135" s="1"/>
  <c r="E104" i="139" s="1"/>
  <c r="G103" i="101"/>
  <c r="B109" i="154"/>
  <c r="A117" i="154"/>
  <c r="A256" i="154"/>
  <c r="B813" i="154"/>
  <c r="A34" i="153"/>
  <c r="AS536" i="101" l="1"/>
  <c r="E536" i="134"/>
  <c r="D538" i="135" s="1"/>
  <c r="D538" i="139" s="1"/>
  <c r="AR536" i="101"/>
  <c r="F537" i="101"/>
  <c r="AS103" i="101"/>
  <c r="C332" i="134"/>
  <c r="E334" i="135" s="1"/>
  <c r="E334" i="139" s="1"/>
  <c r="G333" i="101"/>
  <c r="E332" i="134"/>
  <c r="D334" i="135" s="1"/>
  <c r="D334" i="139" s="1"/>
  <c r="AS332" i="101"/>
  <c r="AR332" i="101"/>
  <c r="F333" i="101"/>
  <c r="C103" i="134"/>
  <c r="E105" i="135" s="1"/>
  <c r="E105" i="139" s="1"/>
  <c r="G104" i="101"/>
  <c r="E103" i="134"/>
  <c r="D105" i="135" s="1"/>
  <c r="D105" i="139" s="1"/>
  <c r="AR103" i="101"/>
  <c r="F104" i="101"/>
  <c r="AS166" i="101"/>
  <c r="E166" i="134"/>
  <c r="D168" i="135" s="1"/>
  <c r="D168" i="139" s="1"/>
  <c r="AR166" i="101"/>
  <c r="F167" i="101"/>
  <c r="B110" i="154"/>
  <c r="A118" i="154"/>
  <c r="A257" i="154"/>
  <c r="B814" i="154"/>
  <c r="A35" i="153"/>
  <c r="AS537" i="101" l="1"/>
  <c r="E537" i="134"/>
  <c r="D539" i="135" s="1"/>
  <c r="D539" i="139" s="1"/>
  <c r="AR537" i="101"/>
  <c r="F538" i="101"/>
  <c r="AS333" i="101"/>
  <c r="E333" i="134"/>
  <c r="D335" i="135" s="1"/>
  <c r="D335" i="139" s="1"/>
  <c r="AR333" i="101"/>
  <c r="F334" i="101"/>
  <c r="C333" i="134"/>
  <c r="E335" i="135" s="1"/>
  <c r="E335" i="139" s="1"/>
  <c r="G334" i="101"/>
  <c r="AS167" i="101"/>
  <c r="E167" i="134"/>
  <c r="D169" i="135" s="1"/>
  <c r="D169" i="139" s="1"/>
  <c r="AR167" i="101"/>
  <c r="F168" i="101"/>
  <c r="AS104" i="101"/>
  <c r="E104" i="134"/>
  <c r="D106" i="135" s="1"/>
  <c r="D106" i="139" s="1"/>
  <c r="AR104" i="101"/>
  <c r="F105" i="101"/>
  <c r="C104" i="134"/>
  <c r="E106" i="135" s="1"/>
  <c r="E106" i="139" s="1"/>
  <c r="G105" i="101"/>
  <c r="B111" i="154"/>
  <c r="A119" i="154"/>
  <c r="A258" i="154"/>
  <c r="A6" i="151"/>
  <c r="AR538" i="101" l="1"/>
  <c r="AS538" i="101"/>
  <c r="E538" i="134"/>
  <c r="D540" i="135" s="1"/>
  <c r="D540" i="139" s="1"/>
  <c r="F539" i="101"/>
  <c r="C334" i="134"/>
  <c r="E336" i="135" s="1"/>
  <c r="E336" i="139" s="1"/>
  <c r="G335" i="101"/>
  <c r="AR334" i="101"/>
  <c r="AS334" i="101"/>
  <c r="E334" i="134"/>
  <c r="D336" i="135" s="1"/>
  <c r="D336" i="139" s="1"/>
  <c r="F335" i="101"/>
  <c r="C105" i="134"/>
  <c r="E107" i="135" s="1"/>
  <c r="E107" i="139" s="1"/>
  <c r="G106" i="101"/>
  <c r="AS168" i="101"/>
  <c r="E168" i="134"/>
  <c r="D170" i="135" s="1"/>
  <c r="D170" i="139" s="1"/>
  <c r="AR168" i="101"/>
  <c r="F169" i="101"/>
  <c r="E105" i="134"/>
  <c r="D107" i="135" s="1"/>
  <c r="D107" i="139" s="1"/>
  <c r="AR105" i="101"/>
  <c r="F106" i="101"/>
  <c r="AS105" i="101"/>
  <c r="B113" i="154"/>
  <c r="A120" i="154"/>
  <c r="A259" i="154"/>
  <c r="A7" i="151"/>
  <c r="AS539" i="101" l="1"/>
  <c r="E539" i="134"/>
  <c r="D541" i="135" s="1"/>
  <c r="D541" i="139" s="1"/>
  <c r="AR539" i="101"/>
  <c r="F540" i="101"/>
  <c r="AS335" i="101"/>
  <c r="E335" i="134"/>
  <c r="D337" i="135" s="1"/>
  <c r="D337" i="139" s="1"/>
  <c r="AR335" i="101"/>
  <c r="F336" i="101"/>
  <c r="C335" i="134"/>
  <c r="E337" i="135" s="1"/>
  <c r="E337" i="139" s="1"/>
  <c r="G336" i="101"/>
  <c r="AS106" i="101"/>
  <c r="E106" i="134"/>
  <c r="D108" i="135" s="1"/>
  <c r="D108" i="139" s="1"/>
  <c r="AR106" i="101"/>
  <c r="F107" i="101"/>
  <c r="AS169" i="101"/>
  <c r="AR169" i="101"/>
  <c r="E169" i="134"/>
  <c r="D171" i="135" s="1"/>
  <c r="D171" i="139" s="1"/>
  <c r="F170" i="101"/>
  <c r="C106" i="134"/>
  <c r="E108" i="135" s="1"/>
  <c r="E108" i="139" s="1"/>
  <c r="G107" i="101"/>
  <c r="B114" i="154"/>
  <c r="A121" i="154"/>
  <c r="A260" i="154"/>
  <c r="A8" i="151"/>
  <c r="D8" i="101"/>
  <c r="AS540" i="101" l="1"/>
  <c r="E540" i="134"/>
  <c r="D542" i="135" s="1"/>
  <c r="D542" i="139" s="1"/>
  <c r="AR540" i="101"/>
  <c r="F541" i="101"/>
  <c r="AS107" i="101"/>
  <c r="C336" i="134"/>
  <c r="E338" i="135" s="1"/>
  <c r="E338" i="139" s="1"/>
  <c r="G337" i="101"/>
  <c r="AS336" i="101"/>
  <c r="E336" i="134"/>
  <c r="D338" i="135" s="1"/>
  <c r="D338" i="139" s="1"/>
  <c r="AR336" i="101"/>
  <c r="F337" i="101"/>
  <c r="AS170" i="101"/>
  <c r="E170" i="134"/>
  <c r="D172" i="135" s="1"/>
  <c r="D172" i="139" s="1"/>
  <c r="AR170" i="101"/>
  <c r="F171" i="101"/>
  <c r="E107" i="134"/>
  <c r="D109" i="135" s="1"/>
  <c r="D109" i="139" s="1"/>
  <c r="AR107" i="101"/>
  <c r="F108" i="101"/>
  <c r="C107" i="134"/>
  <c r="E109" i="135" s="1"/>
  <c r="E109" i="139" s="1"/>
  <c r="G108" i="101"/>
  <c r="B115" i="154"/>
  <c r="A122" i="154"/>
  <c r="A261" i="154"/>
  <c r="B50" i="154"/>
  <c r="A9" i="151"/>
  <c r="A9" i="143"/>
  <c r="E541" i="134" l="1"/>
  <c r="D543" i="135" s="1"/>
  <c r="D543" i="139" s="1"/>
  <c r="AR541" i="101"/>
  <c r="F542" i="101"/>
  <c r="AS337" i="101"/>
  <c r="E337" i="134"/>
  <c r="D339" i="135" s="1"/>
  <c r="D339" i="139" s="1"/>
  <c r="AR337" i="101"/>
  <c r="F338" i="101"/>
  <c r="C337" i="134"/>
  <c r="E339" i="135" s="1"/>
  <c r="E339" i="139" s="1"/>
  <c r="G338" i="101"/>
  <c r="C108" i="134"/>
  <c r="E110" i="135" s="1"/>
  <c r="E110" i="139" s="1"/>
  <c r="G109" i="101"/>
  <c r="E171" i="134"/>
  <c r="D173" i="135" s="1"/>
  <c r="D173" i="139" s="1"/>
  <c r="AR171" i="101"/>
  <c r="AS171" i="101"/>
  <c r="F172" i="101"/>
  <c r="AS108" i="101"/>
  <c r="E108" i="134"/>
  <c r="D110" i="135" s="1"/>
  <c r="D110" i="139" s="1"/>
  <c r="AR108" i="101"/>
  <c r="F109" i="101"/>
  <c r="B116" i="154"/>
  <c r="A123" i="154"/>
  <c r="A262" i="154"/>
  <c r="B51" i="154"/>
  <c r="A13" i="143"/>
  <c r="A10" i="151"/>
  <c r="E542" i="134" l="1"/>
  <c r="D544" i="135" s="1"/>
  <c r="D544" i="139" s="1"/>
  <c r="AS542" i="101"/>
  <c r="AR542" i="101"/>
  <c r="F543" i="101"/>
  <c r="C338" i="134"/>
  <c r="E340" i="135" s="1"/>
  <c r="E340" i="139" s="1"/>
  <c r="G339" i="101"/>
  <c r="AS338" i="101"/>
  <c r="E338" i="134"/>
  <c r="D340" i="135" s="1"/>
  <c r="D340" i="139" s="1"/>
  <c r="AR338" i="101"/>
  <c r="F339" i="101"/>
  <c r="AS172" i="101"/>
  <c r="E172" i="134"/>
  <c r="D174" i="135" s="1"/>
  <c r="D174" i="139" s="1"/>
  <c r="AR172" i="101"/>
  <c r="F173" i="101"/>
  <c r="C109" i="134"/>
  <c r="E111" i="135" s="1"/>
  <c r="E111" i="139" s="1"/>
  <c r="G110" i="101"/>
  <c r="E109" i="134"/>
  <c r="D111" i="135" s="1"/>
  <c r="D111" i="139" s="1"/>
  <c r="AR109" i="101"/>
  <c r="AS109" i="101"/>
  <c r="AS110" i="101" s="1"/>
  <c r="AS111" i="101" s="1"/>
  <c r="AS113" i="101" s="1"/>
  <c r="AS115" i="101" s="1"/>
  <c r="B117" i="154"/>
  <c r="B123" i="154"/>
  <c r="A124" i="154"/>
  <c r="A263" i="154"/>
  <c r="B52" i="154"/>
  <c r="A17" i="143"/>
  <c r="A11" i="151"/>
  <c r="E543" i="134" l="1"/>
  <c r="D545" i="135" s="1"/>
  <c r="D545" i="139" s="1"/>
  <c r="AS543" i="101"/>
  <c r="AR543" i="101"/>
  <c r="F544" i="101"/>
  <c r="AS339" i="101"/>
  <c r="E339" i="134"/>
  <c r="D341" i="135" s="1"/>
  <c r="D341" i="139" s="1"/>
  <c r="AR339" i="101"/>
  <c r="F340" i="101"/>
  <c r="C339" i="134"/>
  <c r="E341" i="135" s="1"/>
  <c r="E341" i="139" s="1"/>
  <c r="G340" i="101"/>
  <c r="C110" i="134"/>
  <c r="E112" i="135" s="1"/>
  <c r="E112" i="139" s="1"/>
  <c r="G111" i="101"/>
  <c r="AR173" i="101"/>
  <c r="E173" i="134"/>
  <c r="D175" i="135" s="1"/>
  <c r="D175" i="139" s="1"/>
  <c r="AS173" i="101"/>
  <c r="F174" i="101"/>
  <c r="B118" i="154"/>
  <c r="A125" i="154"/>
  <c r="A264" i="154"/>
  <c r="B53" i="154"/>
  <c r="A21" i="143"/>
  <c r="A12" i="151"/>
  <c r="AR544" i="101" l="1"/>
  <c r="AS544" i="101"/>
  <c r="E544" i="134"/>
  <c r="D546" i="135" s="1"/>
  <c r="D546" i="139" s="1"/>
  <c r="F545" i="101"/>
  <c r="C340" i="134"/>
  <c r="E342" i="135" s="1"/>
  <c r="E342" i="139" s="1"/>
  <c r="G341" i="101"/>
  <c r="AS340" i="101"/>
  <c r="E340" i="134"/>
  <c r="D342" i="135" s="1"/>
  <c r="D342" i="139" s="1"/>
  <c r="F341" i="101"/>
  <c r="AS174" i="101"/>
  <c r="E174" i="134"/>
  <c r="D176" i="135" s="1"/>
  <c r="D176" i="139" s="1"/>
  <c r="AR174" i="101"/>
  <c r="F175" i="101"/>
  <c r="C111" i="134"/>
  <c r="E113" i="135" s="1"/>
  <c r="E113" i="139" s="1"/>
  <c r="G112" i="101"/>
  <c r="B119" i="154"/>
  <c r="A126" i="154"/>
  <c r="A265" i="154"/>
  <c r="B54" i="154"/>
  <c r="A25" i="143"/>
  <c r="A13" i="151"/>
  <c r="A11" i="149"/>
  <c r="A10" i="149"/>
  <c r="A15" i="149" s="1"/>
  <c r="A20" i="149" s="1"/>
  <c r="A25" i="149" s="1"/>
  <c r="A30" i="149" s="1"/>
  <c r="A35" i="149" s="1"/>
  <c r="A40" i="149" s="1"/>
  <c r="A45" i="149" s="1"/>
  <c r="A50" i="149" s="1"/>
  <c r="A55" i="149" s="1"/>
  <c r="A60" i="149" s="1"/>
  <c r="A65" i="149" s="1"/>
  <c r="A70" i="149" s="1"/>
  <c r="A75" i="149" s="1"/>
  <c r="A80" i="149" s="1"/>
  <c r="A85" i="149" s="1"/>
  <c r="A90" i="149" s="1"/>
  <c r="A95" i="149" s="1"/>
  <c r="A100" i="149" s="1"/>
  <c r="A105" i="149" s="1"/>
  <c r="A110" i="149" s="1"/>
  <c r="A115" i="149" s="1"/>
  <c r="A120" i="149" s="1"/>
  <c r="A125" i="149" s="1"/>
  <c r="A130" i="149" s="1"/>
  <c r="A135" i="149" s="1"/>
  <c r="A140" i="149" s="1"/>
  <c r="A145" i="149" s="1"/>
  <c r="A150" i="149" s="1"/>
  <c r="A155" i="149" s="1"/>
  <c r="A160" i="149" s="1"/>
  <c r="A9" i="149"/>
  <c r="A8" i="149"/>
  <c r="A13" i="149" s="1"/>
  <c r="A18" i="149" s="1"/>
  <c r="A23" i="149" s="1"/>
  <c r="A28" i="149" s="1"/>
  <c r="A33" i="149" s="1"/>
  <c r="A38" i="149" s="1"/>
  <c r="A43" i="149" s="1"/>
  <c r="A48" i="149" s="1"/>
  <c r="A53" i="149" s="1"/>
  <c r="A58" i="149" s="1"/>
  <c r="A63" i="149" s="1"/>
  <c r="A68" i="149" s="1"/>
  <c r="A73" i="149" s="1"/>
  <c r="A78" i="149" s="1"/>
  <c r="A83" i="149" s="1"/>
  <c r="A88" i="149" s="1"/>
  <c r="A93" i="149" s="1"/>
  <c r="A98" i="149" s="1"/>
  <c r="A103" i="149" s="1"/>
  <c r="A108" i="149" s="1"/>
  <c r="A113" i="149" s="1"/>
  <c r="A118" i="149" s="1"/>
  <c r="A123" i="149" s="1"/>
  <c r="A128" i="149" s="1"/>
  <c r="A133" i="149" s="1"/>
  <c r="A138" i="149" s="1"/>
  <c r="A143" i="149" s="1"/>
  <c r="A148" i="149" s="1"/>
  <c r="A153" i="149" s="1"/>
  <c r="A158" i="149" s="1"/>
  <c r="A7" i="149"/>
  <c r="AR545" i="101" l="1"/>
  <c r="AS545" i="101"/>
  <c r="E545" i="134"/>
  <c r="D547" i="135" s="1"/>
  <c r="D547" i="139" s="1"/>
  <c r="F546" i="101"/>
  <c r="AS341" i="101"/>
  <c r="E341" i="134"/>
  <c r="D343" i="135" s="1"/>
  <c r="D343" i="139" s="1"/>
  <c r="AR341" i="101"/>
  <c r="F342" i="101"/>
  <c r="C341" i="134"/>
  <c r="E343" i="135" s="1"/>
  <c r="E343" i="139" s="1"/>
  <c r="G342" i="101"/>
  <c r="C112" i="134"/>
  <c r="E114" i="135" s="1"/>
  <c r="E114" i="139" s="1"/>
  <c r="G113" i="101"/>
  <c r="E175" i="134"/>
  <c r="D177" i="135" s="1"/>
  <c r="D177" i="139" s="1"/>
  <c r="AR175" i="101"/>
  <c r="F176" i="101"/>
  <c r="B120" i="154"/>
  <c r="A127" i="154"/>
  <c r="A266" i="154"/>
  <c r="C97" i="154"/>
  <c r="B55" i="154"/>
  <c r="A29" i="143"/>
  <c r="A14" i="151"/>
  <c r="A12" i="149"/>
  <c r="A17" i="149" s="1"/>
  <c r="A22" i="149" s="1"/>
  <c r="A27" i="149" s="1"/>
  <c r="A32" i="149" s="1"/>
  <c r="A37" i="149" s="1"/>
  <c r="A42" i="149" s="1"/>
  <c r="A47" i="149" s="1"/>
  <c r="A52" i="149" s="1"/>
  <c r="A57" i="149" s="1"/>
  <c r="A62" i="149" s="1"/>
  <c r="A67" i="149" s="1"/>
  <c r="A16" i="149"/>
  <c r="A14" i="149"/>
  <c r="A19" i="149" s="1"/>
  <c r="A24" i="149" s="1"/>
  <c r="A29" i="149" s="1"/>
  <c r="A34" i="149" s="1"/>
  <c r="A39" i="149" s="1"/>
  <c r="A44" i="149" s="1"/>
  <c r="A49" i="149" s="1"/>
  <c r="A54" i="149" s="1"/>
  <c r="A59" i="149" s="1"/>
  <c r="A64" i="149" s="1"/>
  <c r="A69" i="149" s="1"/>
  <c r="A74" i="149" s="1"/>
  <c r="A79" i="149" s="1"/>
  <c r="A84" i="149" s="1"/>
  <c r="A89" i="149" s="1"/>
  <c r="A94" i="149" s="1"/>
  <c r="A99" i="149" s="1"/>
  <c r="A104" i="149" s="1"/>
  <c r="A109" i="149" s="1"/>
  <c r="A114" i="149" s="1"/>
  <c r="A119" i="149" s="1"/>
  <c r="A124" i="149" s="1"/>
  <c r="A129" i="149" s="1"/>
  <c r="A134" i="149" s="1"/>
  <c r="A139" i="149" s="1"/>
  <c r="A144" i="149" s="1"/>
  <c r="A149" i="149" s="1"/>
  <c r="A154" i="149" s="1"/>
  <c r="A159" i="149" s="1"/>
  <c r="AS546" i="101" l="1"/>
  <c r="E546" i="134"/>
  <c r="D548" i="135" s="1"/>
  <c r="D548" i="139" s="1"/>
  <c r="AR546" i="101"/>
  <c r="F547" i="101"/>
  <c r="C342" i="134"/>
  <c r="E344" i="135" s="1"/>
  <c r="E344" i="139" s="1"/>
  <c r="G343" i="101"/>
  <c r="AS342" i="101"/>
  <c r="E342" i="134"/>
  <c r="D344" i="135" s="1"/>
  <c r="D344" i="139" s="1"/>
  <c r="AR342" i="101"/>
  <c r="F343" i="101"/>
  <c r="AS176" i="101"/>
  <c r="E176" i="134"/>
  <c r="D178" i="135" s="1"/>
  <c r="D178" i="139" s="1"/>
  <c r="AR176" i="101"/>
  <c r="F177" i="101"/>
  <c r="C113" i="134"/>
  <c r="E115" i="135" s="1"/>
  <c r="E115" i="139" s="1"/>
  <c r="G114" i="101"/>
  <c r="B121" i="154"/>
  <c r="A128" i="154"/>
  <c r="A267" i="154"/>
  <c r="D97" i="154"/>
  <c r="C98" i="154"/>
  <c r="B56" i="154"/>
  <c r="A72" i="149"/>
  <c r="A77" i="149" s="1"/>
  <c r="A82" i="149" s="1"/>
  <c r="A87" i="149" s="1"/>
  <c r="A92" i="149" s="1"/>
  <c r="A97" i="149" s="1"/>
  <c r="A102" i="149" s="1"/>
  <c r="A107" i="149" s="1"/>
  <c r="A112" i="149" s="1"/>
  <c r="A117" i="149" s="1"/>
  <c r="A122" i="149" s="1"/>
  <c r="A127" i="149" s="1"/>
  <c r="A132" i="149" s="1"/>
  <c r="A137" i="149" s="1"/>
  <c r="A142" i="149" s="1"/>
  <c r="A147" i="149" s="1"/>
  <c r="A152" i="149" s="1"/>
  <c r="A157" i="149" s="1"/>
  <c r="A33" i="143"/>
  <c r="A15" i="151"/>
  <c r="A21" i="149"/>
  <c r="AS547" i="101" l="1"/>
  <c r="E547" i="134"/>
  <c r="D549" i="135" s="1"/>
  <c r="D549" i="139" s="1"/>
  <c r="AR547" i="101"/>
  <c r="F548" i="101"/>
  <c r="AR343" i="101"/>
  <c r="E343" i="134"/>
  <c r="D345" i="135" s="1"/>
  <c r="D345" i="139" s="1"/>
  <c r="AS343" i="101"/>
  <c r="F344" i="101"/>
  <c r="C343" i="134"/>
  <c r="E345" i="135" s="1"/>
  <c r="E345" i="139" s="1"/>
  <c r="G344" i="101"/>
  <c r="C114" i="134"/>
  <c r="E116" i="135" s="1"/>
  <c r="E116" i="139" s="1"/>
  <c r="G115" i="101"/>
  <c r="AS177" i="101"/>
  <c r="E177" i="134"/>
  <c r="D179" i="135" s="1"/>
  <c r="D179" i="139" s="1"/>
  <c r="AR177" i="101"/>
  <c r="F178" i="101"/>
  <c r="B122" i="154"/>
  <c r="A129" i="154"/>
  <c r="A268" i="154"/>
  <c r="C99" i="154"/>
  <c r="D98" i="154"/>
  <c r="B57" i="154"/>
  <c r="A37" i="143"/>
  <c r="A16" i="151"/>
  <c r="A26" i="149"/>
  <c r="AS548" i="101" l="1"/>
  <c r="E548" i="134"/>
  <c r="D550" i="135" s="1"/>
  <c r="D550" i="139" s="1"/>
  <c r="AR548" i="101"/>
  <c r="F549" i="101"/>
  <c r="C344" i="134"/>
  <c r="E346" i="135" s="1"/>
  <c r="E346" i="139" s="1"/>
  <c r="G345" i="101"/>
  <c r="AS344" i="101"/>
  <c r="E344" i="134"/>
  <c r="D346" i="135" s="1"/>
  <c r="D346" i="139" s="1"/>
  <c r="AR344" i="101"/>
  <c r="F345" i="101"/>
  <c r="AS178" i="101"/>
  <c r="E178" i="134"/>
  <c r="D180" i="135" s="1"/>
  <c r="D180" i="139" s="1"/>
  <c r="AR178" i="101"/>
  <c r="F179" i="101"/>
  <c r="C115" i="134"/>
  <c r="E117" i="135" s="1"/>
  <c r="E117" i="139" s="1"/>
  <c r="G116" i="101"/>
  <c r="B124" i="154"/>
  <c r="A130" i="154"/>
  <c r="A269" i="154"/>
  <c r="D99" i="154"/>
  <c r="C100" i="154"/>
  <c r="B58" i="154"/>
  <c r="A41" i="143"/>
  <c r="A17" i="151"/>
  <c r="A31" i="149"/>
  <c r="AS549" i="101" l="1"/>
  <c r="E549" i="134"/>
  <c r="D551" i="135" s="1"/>
  <c r="D551" i="139" s="1"/>
  <c r="AR549" i="101"/>
  <c r="F550" i="101"/>
  <c r="AS345" i="101"/>
  <c r="E345" i="134"/>
  <c r="D347" i="135" s="1"/>
  <c r="D347" i="139" s="1"/>
  <c r="AR345" i="101"/>
  <c r="F346" i="101"/>
  <c r="C345" i="134"/>
  <c r="E347" i="135" s="1"/>
  <c r="E347" i="139" s="1"/>
  <c r="G346" i="101"/>
  <c r="C116" i="134"/>
  <c r="E118" i="135" s="1"/>
  <c r="E118" i="139" s="1"/>
  <c r="G117" i="101"/>
  <c r="AR179" i="101"/>
  <c r="E179" i="134"/>
  <c r="D181" i="135" s="1"/>
  <c r="D181" i="139" s="1"/>
  <c r="AS179" i="101"/>
  <c r="AS180" i="101" s="1"/>
  <c r="AS181" i="101" s="1"/>
  <c r="AS182" i="101" s="1"/>
  <c r="AS184" i="101" s="1"/>
  <c r="AS186" i="101" s="1"/>
  <c r="AS188" i="101" s="1"/>
  <c r="AS190" i="101" s="1"/>
  <c r="AS192" i="101" s="1"/>
  <c r="AS194" i="101" s="1"/>
  <c r="AS196" i="101" s="1"/>
  <c r="AS198" i="101" s="1"/>
  <c r="AS200" i="101" s="1"/>
  <c r="AS202" i="101" s="1"/>
  <c r="B125" i="154"/>
  <c r="A131" i="154"/>
  <c r="A270" i="154"/>
  <c r="C101" i="154"/>
  <c r="D100" i="154"/>
  <c r="A45" i="143"/>
  <c r="A18" i="151"/>
  <c r="A36" i="149"/>
  <c r="AS550" i="101" l="1"/>
  <c r="E550" i="134"/>
  <c r="D552" i="135" s="1"/>
  <c r="D552" i="139" s="1"/>
  <c r="AR550" i="101"/>
  <c r="F551" i="101"/>
  <c r="C346" i="134"/>
  <c r="E348" i="135" s="1"/>
  <c r="E348" i="139" s="1"/>
  <c r="G347" i="101"/>
  <c r="AS346" i="101"/>
  <c r="E346" i="134"/>
  <c r="D348" i="135" s="1"/>
  <c r="D348" i="139" s="1"/>
  <c r="AR346" i="101"/>
  <c r="F347" i="101"/>
  <c r="C117" i="134"/>
  <c r="E119" i="135" s="1"/>
  <c r="E119" i="139" s="1"/>
  <c r="G118" i="101"/>
  <c r="B126" i="154"/>
  <c r="A132" i="154"/>
  <c r="A271" i="154"/>
  <c r="D101" i="154"/>
  <c r="C102" i="154"/>
  <c r="B60" i="154"/>
  <c r="A49" i="143"/>
  <c r="A19" i="151"/>
  <c r="A41" i="149"/>
  <c r="AR551" i="101" l="1"/>
  <c r="AS551" i="101"/>
  <c r="E551" i="134"/>
  <c r="D553" i="135" s="1"/>
  <c r="D553" i="139" s="1"/>
  <c r="F552" i="101"/>
  <c r="C347" i="134"/>
  <c r="E349" i="135" s="1"/>
  <c r="E349" i="139" s="1"/>
  <c r="G348" i="101"/>
  <c r="AS347" i="101"/>
  <c r="E347" i="134"/>
  <c r="D349" i="135" s="1"/>
  <c r="D349" i="139" s="1"/>
  <c r="AR347" i="101"/>
  <c r="F348" i="101"/>
  <c r="C118" i="134"/>
  <c r="E120" i="135" s="1"/>
  <c r="E120" i="139" s="1"/>
  <c r="G119" i="101"/>
  <c r="B127" i="154"/>
  <c r="A133" i="154"/>
  <c r="A272" i="154"/>
  <c r="C103" i="154"/>
  <c r="D102" i="154"/>
  <c r="B61" i="154"/>
  <c r="A53" i="143"/>
  <c r="A20" i="151"/>
  <c r="A46" i="149"/>
  <c r="E552" i="134" l="1"/>
  <c r="D554" i="135" s="1"/>
  <c r="D554" i="139" s="1"/>
  <c r="AR552" i="101"/>
  <c r="AS552" i="101"/>
  <c r="F553" i="101"/>
  <c r="AS348" i="101"/>
  <c r="AR348" i="101"/>
  <c r="E348" i="134"/>
  <c r="D350" i="135" s="1"/>
  <c r="D350" i="139" s="1"/>
  <c r="F349" i="101"/>
  <c r="C348" i="134"/>
  <c r="E350" i="135" s="1"/>
  <c r="E350" i="139" s="1"/>
  <c r="G349" i="101"/>
  <c r="C119" i="134"/>
  <c r="E121" i="135" s="1"/>
  <c r="E121" i="139" s="1"/>
  <c r="G120" i="101"/>
  <c r="B128" i="154"/>
  <c r="B133" i="154"/>
  <c r="A134" i="154"/>
  <c r="A273" i="154"/>
  <c r="D103" i="154"/>
  <c r="C104" i="154"/>
  <c r="B62" i="154"/>
  <c r="A57" i="143"/>
  <c r="A21" i="151"/>
  <c r="A51" i="149"/>
  <c r="AS553" i="101" l="1"/>
  <c r="E553" i="134"/>
  <c r="D555" i="135" s="1"/>
  <c r="D555" i="139" s="1"/>
  <c r="AR553" i="101"/>
  <c r="F554" i="101"/>
  <c r="C349" i="134"/>
  <c r="E351" i="135" s="1"/>
  <c r="E351" i="139" s="1"/>
  <c r="G350" i="101"/>
  <c r="AS349" i="101"/>
  <c r="E349" i="134"/>
  <c r="D351" i="135" s="1"/>
  <c r="D351" i="139" s="1"/>
  <c r="AR349" i="101"/>
  <c r="F350" i="101"/>
  <c r="C120" i="134"/>
  <c r="E122" i="135" s="1"/>
  <c r="E122" i="139" s="1"/>
  <c r="G121" i="101"/>
  <c r="B129" i="154"/>
  <c r="A135" i="154"/>
  <c r="A274" i="154"/>
  <c r="D104" i="154"/>
  <c r="C105" i="154"/>
  <c r="B63" i="154"/>
  <c r="A61" i="143"/>
  <c r="A22" i="151"/>
  <c r="A56" i="149"/>
  <c r="AR554" i="101" l="1"/>
  <c r="E554" i="134"/>
  <c r="D556" i="135" s="1"/>
  <c r="D556" i="139" s="1"/>
  <c r="AS554" i="101"/>
  <c r="F555" i="101"/>
  <c r="AS350" i="101"/>
  <c r="E350" i="134"/>
  <c r="D352" i="135" s="1"/>
  <c r="D352" i="139" s="1"/>
  <c r="AR350" i="101"/>
  <c r="F351" i="101"/>
  <c r="C350" i="134"/>
  <c r="E352" i="135" s="1"/>
  <c r="E352" i="139" s="1"/>
  <c r="G351" i="101"/>
  <c r="C121" i="134"/>
  <c r="E123" i="135" s="1"/>
  <c r="E123" i="139" s="1"/>
  <c r="G122" i="101"/>
  <c r="B130" i="154"/>
  <c r="A136" i="154"/>
  <c r="A275" i="154"/>
  <c r="C106" i="154"/>
  <c r="D105" i="154"/>
  <c r="B64" i="154"/>
  <c r="A65" i="143"/>
  <c r="A23" i="151"/>
  <c r="A61" i="149"/>
  <c r="E555" i="134" l="1"/>
  <c r="D557" i="135" s="1"/>
  <c r="D557" i="139" s="1"/>
  <c r="AS555" i="101"/>
  <c r="AR555" i="101"/>
  <c r="F556" i="101"/>
  <c r="AR351" i="101"/>
  <c r="E351" i="134"/>
  <c r="D353" i="135" s="1"/>
  <c r="D353" i="139" s="1"/>
  <c r="F352" i="101"/>
  <c r="C351" i="134"/>
  <c r="E353" i="135" s="1"/>
  <c r="E353" i="139" s="1"/>
  <c r="G352" i="101"/>
  <c r="C122" i="134"/>
  <c r="E124" i="135" s="1"/>
  <c r="E124" i="139" s="1"/>
  <c r="G123" i="101"/>
  <c r="B131" i="154"/>
  <c r="A137" i="154"/>
  <c r="A276" i="154"/>
  <c r="D106" i="154"/>
  <c r="C107" i="154"/>
  <c r="B65" i="154"/>
  <c r="A69" i="143"/>
  <c r="A24" i="151"/>
  <c r="A66" i="149"/>
  <c r="E556" i="134" l="1"/>
  <c r="D558" i="135" s="1"/>
  <c r="D558" i="139" s="1"/>
  <c r="AR556" i="101"/>
  <c r="AS556" i="101"/>
  <c r="F557" i="101"/>
  <c r="C352" i="134"/>
  <c r="E354" i="135" s="1"/>
  <c r="E354" i="139" s="1"/>
  <c r="G353" i="101"/>
  <c r="AS352" i="101"/>
  <c r="AR352" i="101"/>
  <c r="E352" i="134"/>
  <c r="D354" i="135" s="1"/>
  <c r="D354" i="139" s="1"/>
  <c r="F353" i="101"/>
  <c r="C123" i="134"/>
  <c r="E125" i="135" s="1"/>
  <c r="E125" i="139" s="1"/>
  <c r="G124" i="101"/>
  <c r="B132" i="154"/>
  <c r="A138" i="154"/>
  <c r="A277" i="154"/>
  <c r="D107" i="154"/>
  <c r="C108" i="154"/>
  <c r="B66" i="154"/>
  <c r="A73" i="143"/>
  <c r="A25" i="151"/>
  <c r="A71" i="149"/>
  <c r="AS557" i="101" l="1"/>
  <c r="E557" i="134"/>
  <c r="D559" i="135" s="1"/>
  <c r="D559" i="139" s="1"/>
  <c r="AR557" i="101"/>
  <c r="F558" i="101"/>
  <c r="AS353" i="101"/>
  <c r="E353" i="134"/>
  <c r="D355" i="135" s="1"/>
  <c r="D355" i="139" s="1"/>
  <c r="AR353" i="101"/>
  <c r="F354" i="101"/>
  <c r="C353" i="134"/>
  <c r="E355" i="135" s="1"/>
  <c r="E355" i="139" s="1"/>
  <c r="G354" i="101"/>
  <c r="C124" i="134"/>
  <c r="E126" i="135" s="1"/>
  <c r="E126" i="139" s="1"/>
  <c r="G125" i="101"/>
  <c r="B134" i="154"/>
  <c r="A139" i="154"/>
  <c r="A278" i="154"/>
  <c r="D108" i="154"/>
  <c r="C109" i="154"/>
  <c r="B67" i="154"/>
  <c r="A77" i="143"/>
  <c r="A26" i="151"/>
  <c r="A76" i="149"/>
  <c r="A11" i="148"/>
  <c r="A10" i="148"/>
  <c r="A15" i="148" s="1"/>
  <c r="A20" i="148" s="1"/>
  <c r="A25" i="148" s="1"/>
  <c r="A30" i="148" s="1"/>
  <c r="A35" i="148" s="1"/>
  <c r="A40" i="148" s="1"/>
  <c r="A45" i="148" s="1"/>
  <c r="A50" i="148" s="1"/>
  <c r="A55" i="148" s="1"/>
  <c r="A60" i="148" s="1"/>
  <c r="A65" i="148" s="1"/>
  <c r="A70" i="148" s="1"/>
  <c r="A75" i="148" s="1"/>
  <c r="A80" i="148" s="1"/>
  <c r="A85" i="148" s="1"/>
  <c r="A90" i="148" s="1"/>
  <c r="A95" i="148" s="1"/>
  <c r="A100" i="148" s="1"/>
  <c r="A105" i="148" s="1"/>
  <c r="A110" i="148" s="1"/>
  <c r="A115" i="148" s="1"/>
  <c r="A120" i="148" s="1"/>
  <c r="A125" i="148" s="1"/>
  <c r="A130" i="148" s="1"/>
  <c r="A135" i="148" s="1"/>
  <c r="A140" i="148" s="1"/>
  <c r="A145" i="148" s="1"/>
  <c r="A150" i="148" s="1"/>
  <c r="A155" i="148" s="1"/>
  <c r="A160" i="148" s="1"/>
  <c r="A9" i="148"/>
  <c r="A14" i="148" s="1"/>
  <c r="A19" i="148" s="1"/>
  <c r="A24" i="148" s="1"/>
  <c r="A29" i="148" s="1"/>
  <c r="A34" i="148" s="1"/>
  <c r="A39" i="148" s="1"/>
  <c r="A44" i="148" s="1"/>
  <c r="A49" i="148" s="1"/>
  <c r="A54" i="148" s="1"/>
  <c r="A59" i="148" s="1"/>
  <c r="A64" i="148" s="1"/>
  <c r="A69" i="148" s="1"/>
  <c r="A74" i="148" s="1"/>
  <c r="A79" i="148" s="1"/>
  <c r="A84" i="148" s="1"/>
  <c r="A89" i="148" s="1"/>
  <c r="A94" i="148" s="1"/>
  <c r="A99" i="148" s="1"/>
  <c r="A104" i="148" s="1"/>
  <c r="A109" i="148" s="1"/>
  <c r="A114" i="148" s="1"/>
  <c r="A119" i="148" s="1"/>
  <c r="A124" i="148" s="1"/>
  <c r="A129" i="148" s="1"/>
  <c r="A134" i="148" s="1"/>
  <c r="A139" i="148" s="1"/>
  <c r="A144" i="148" s="1"/>
  <c r="A149" i="148" s="1"/>
  <c r="A154" i="148" s="1"/>
  <c r="A159" i="148" s="1"/>
  <c r="A8" i="148"/>
  <c r="A13" i="148" s="1"/>
  <c r="A18" i="148" s="1"/>
  <c r="A23" i="148" s="1"/>
  <c r="A28" i="148" s="1"/>
  <c r="A33" i="148" s="1"/>
  <c r="A38" i="148" s="1"/>
  <c r="A43" i="148" s="1"/>
  <c r="A48" i="148" s="1"/>
  <c r="A53" i="148" s="1"/>
  <c r="A58" i="148" s="1"/>
  <c r="A63" i="148" s="1"/>
  <c r="A68" i="148" s="1"/>
  <c r="A73" i="148" s="1"/>
  <c r="A78" i="148" s="1"/>
  <c r="A83" i="148" s="1"/>
  <c r="A88" i="148" s="1"/>
  <c r="A93" i="148" s="1"/>
  <c r="A98" i="148" s="1"/>
  <c r="A103" i="148" s="1"/>
  <c r="A108" i="148" s="1"/>
  <c r="A113" i="148" s="1"/>
  <c r="A118" i="148" s="1"/>
  <c r="A123" i="148" s="1"/>
  <c r="A128" i="148" s="1"/>
  <c r="A133" i="148" s="1"/>
  <c r="A138" i="148" s="1"/>
  <c r="A143" i="148" s="1"/>
  <c r="A148" i="148" s="1"/>
  <c r="A153" i="148" s="1"/>
  <c r="A158" i="148" s="1"/>
  <c r="A7" i="148"/>
  <c r="AS558" i="101" l="1"/>
  <c r="E558" i="134"/>
  <c r="D560" i="135" s="1"/>
  <c r="D560" i="139" s="1"/>
  <c r="AR558" i="101"/>
  <c r="F559" i="101"/>
  <c r="C354" i="134"/>
  <c r="E356" i="135" s="1"/>
  <c r="E356" i="139" s="1"/>
  <c r="G355" i="101"/>
  <c r="AS354" i="101"/>
  <c r="E354" i="134"/>
  <c r="D356" i="135" s="1"/>
  <c r="D356" i="139" s="1"/>
  <c r="AR354" i="101"/>
  <c r="F355" i="101"/>
  <c r="C125" i="134"/>
  <c r="E127" i="135" s="1"/>
  <c r="E127" i="139" s="1"/>
  <c r="G126" i="101"/>
  <c r="B135" i="154"/>
  <c r="A140" i="154"/>
  <c r="A279" i="154"/>
  <c r="C110" i="154"/>
  <c r="D109" i="154"/>
  <c r="B68" i="154"/>
  <c r="A81" i="143"/>
  <c r="A27" i="151"/>
  <c r="A12" i="148"/>
  <c r="A17" i="148" s="1"/>
  <c r="A22" i="148" s="1"/>
  <c r="A27" i="148" s="1"/>
  <c r="A32" i="148" s="1"/>
  <c r="A37" i="148" s="1"/>
  <c r="A42" i="148" s="1"/>
  <c r="A47" i="148" s="1"/>
  <c r="A52" i="148" s="1"/>
  <c r="A57" i="148" s="1"/>
  <c r="A62" i="148" s="1"/>
  <c r="A67" i="148" s="1"/>
  <c r="A72" i="148" s="1"/>
  <c r="A77" i="148" s="1"/>
  <c r="A82" i="148" s="1"/>
  <c r="A87" i="148" s="1"/>
  <c r="A92" i="148" s="1"/>
  <c r="A97" i="148" s="1"/>
  <c r="A102" i="148" s="1"/>
  <c r="A107" i="148" s="1"/>
  <c r="A112" i="148" s="1"/>
  <c r="A117" i="148" s="1"/>
  <c r="A122" i="148" s="1"/>
  <c r="A127" i="148" s="1"/>
  <c r="A132" i="148" s="1"/>
  <c r="A137" i="148" s="1"/>
  <c r="A142" i="148" s="1"/>
  <c r="A147" i="148" s="1"/>
  <c r="A152" i="148" s="1"/>
  <c r="A157" i="148" s="1"/>
  <c r="A81" i="149"/>
  <c r="A16" i="148"/>
  <c r="AS559" i="101" l="1"/>
  <c r="AR559" i="101"/>
  <c r="E559" i="134"/>
  <c r="D561" i="135" s="1"/>
  <c r="D561" i="139" s="1"/>
  <c r="F560" i="101"/>
  <c r="AS355" i="101"/>
  <c r="E355" i="134"/>
  <c r="D357" i="135" s="1"/>
  <c r="D357" i="139" s="1"/>
  <c r="AR355" i="101"/>
  <c r="F356" i="101"/>
  <c r="C355" i="134"/>
  <c r="E357" i="135" s="1"/>
  <c r="E357" i="139" s="1"/>
  <c r="G356" i="101"/>
  <c r="C126" i="134"/>
  <c r="E128" i="135" s="1"/>
  <c r="E128" i="139" s="1"/>
  <c r="G127" i="101"/>
  <c r="B136" i="154"/>
  <c r="A141" i="154"/>
  <c r="A280" i="154"/>
  <c r="D110" i="154"/>
  <c r="C111" i="154"/>
  <c r="A85" i="143"/>
  <c r="A28" i="151"/>
  <c r="A86" i="149"/>
  <c r="A21" i="148"/>
  <c r="B99" i="138"/>
  <c r="B100" i="138"/>
  <c r="B101" i="138"/>
  <c r="B102" i="138"/>
  <c r="B103" i="138"/>
  <c r="B104" i="138"/>
  <c r="B105" i="138"/>
  <c r="B106" i="138"/>
  <c r="B107" i="138"/>
  <c r="B108" i="138"/>
  <c r="B109" i="138"/>
  <c r="B110" i="138"/>
  <c r="B111" i="138"/>
  <c r="B112" i="138"/>
  <c r="B113" i="138"/>
  <c r="B114" i="138"/>
  <c r="B115" i="138"/>
  <c r="B116" i="138"/>
  <c r="B117" i="138"/>
  <c r="B118" i="138"/>
  <c r="B119" i="138"/>
  <c r="B120" i="138"/>
  <c r="B121" i="138"/>
  <c r="B122" i="138"/>
  <c r="B123" i="138"/>
  <c r="B124" i="138"/>
  <c r="B125" i="138"/>
  <c r="B126" i="138"/>
  <c r="B127" i="138"/>
  <c r="B128" i="138"/>
  <c r="B129" i="138"/>
  <c r="B130" i="138"/>
  <c r="B131" i="138"/>
  <c r="B132" i="138"/>
  <c r="B133" i="138"/>
  <c r="B134" i="138"/>
  <c r="B135" i="138"/>
  <c r="B136" i="138"/>
  <c r="B137" i="138"/>
  <c r="B138" i="138"/>
  <c r="B139" i="138"/>
  <c r="B140" i="138"/>
  <c r="B141" i="138"/>
  <c r="B142" i="138"/>
  <c r="B143" i="138"/>
  <c r="B144" i="138"/>
  <c r="B145" i="138"/>
  <c r="B146" i="138"/>
  <c r="B147" i="138"/>
  <c r="B148" i="138"/>
  <c r="B149" i="138"/>
  <c r="B150" i="138"/>
  <c r="B151" i="138"/>
  <c r="B152" i="138"/>
  <c r="B153" i="138"/>
  <c r="B154" i="138"/>
  <c r="B155" i="138"/>
  <c r="B156" i="138"/>
  <c r="B157" i="138"/>
  <c r="B158" i="138"/>
  <c r="B159" i="138"/>
  <c r="B160" i="138"/>
  <c r="B161" i="138"/>
  <c r="B162" i="138"/>
  <c r="B163" i="138"/>
  <c r="B164" i="138"/>
  <c r="B165" i="138"/>
  <c r="B166" i="138"/>
  <c r="B167" i="138"/>
  <c r="B168" i="138"/>
  <c r="B169" i="138"/>
  <c r="B170" i="138"/>
  <c r="B171" i="138"/>
  <c r="B172" i="138"/>
  <c r="B173" i="138"/>
  <c r="B174" i="138"/>
  <c r="B175" i="138"/>
  <c r="B176" i="138"/>
  <c r="B177" i="138"/>
  <c r="B178" i="138"/>
  <c r="B179" i="138"/>
  <c r="B180" i="138"/>
  <c r="B181" i="138"/>
  <c r="B182" i="138"/>
  <c r="B183" i="138"/>
  <c r="B184" i="138"/>
  <c r="B185" i="138"/>
  <c r="B186" i="138"/>
  <c r="B187" i="138"/>
  <c r="B188" i="138"/>
  <c r="B189" i="138"/>
  <c r="B190" i="138"/>
  <c r="B191" i="138"/>
  <c r="B192" i="138"/>
  <c r="B193" i="138"/>
  <c r="B194" i="138"/>
  <c r="B195" i="138"/>
  <c r="B196" i="138"/>
  <c r="B197" i="138"/>
  <c r="B198" i="138"/>
  <c r="B199" i="138"/>
  <c r="B200" i="138"/>
  <c r="B201" i="138"/>
  <c r="B202" i="138"/>
  <c r="B203" i="138"/>
  <c r="B204" i="138"/>
  <c r="B205" i="138"/>
  <c r="B206" i="138"/>
  <c r="B207" i="138"/>
  <c r="B208" i="138"/>
  <c r="B209" i="138"/>
  <c r="B210" i="138"/>
  <c r="B211" i="138"/>
  <c r="B212" i="138"/>
  <c r="B213" i="138"/>
  <c r="B214" i="138"/>
  <c r="B215" i="138"/>
  <c r="B216" i="138"/>
  <c r="B217" i="138"/>
  <c r="B218" i="138"/>
  <c r="B219" i="138"/>
  <c r="B220" i="138"/>
  <c r="B221" i="138"/>
  <c r="B222" i="138"/>
  <c r="B223" i="138"/>
  <c r="B224" i="138"/>
  <c r="B225" i="138"/>
  <c r="B226" i="138"/>
  <c r="B227" i="138"/>
  <c r="B228" i="138"/>
  <c r="B229" i="138"/>
  <c r="B230" i="138"/>
  <c r="B231" i="138"/>
  <c r="B232" i="138"/>
  <c r="B233" i="138"/>
  <c r="B234" i="138"/>
  <c r="B235" i="138"/>
  <c r="B236" i="138"/>
  <c r="B237" i="138"/>
  <c r="B238" i="138"/>
  <c r="B239" i="138"/>
  <c r="B240" i="138"/>
  <c r="B241" i="138"/>
  <c r="B242" i="138"/>
  <c r="B243" i="138"/>
  <c r="B244" i="138"/>
  <c r="B245" i="138"/>
  <c r="B246" i="138"/>
  <c r="B247" i="138"/>
  <c r="B248" i="138"/>
  <c r="B249" i="138"/>
  <c r="B250" i="138"/>
  <c r="B251" i="138"/>
  <c r="B252" i="138"/>
  <c r="B253" i="138"/>
  <c r="B254" i="138"/>
  <c r="B255" i="138"/>
  <c r="B256" i="138"/>
  <c r="B257" i="138"/>
  <c r="B258" i="138"/>
  <c r="B259" i="138"/>
  <c r="B260" i="138"/>
  <c r="B261" i="138"/>
  <c r="B262" i="138"/>
  <c r="B263" i="138"/>
  <c r="B264" i="138"/>
  <c r="B265" i="138"/>
  <c r="B266" i="138"/>
  <c r="B267" i="138"/>
  <c r="B268" i="138"/>
  <c r="B269" i="138"/>
  <c r="B270" i="138"/>
  <c r="B271" i="138"/>
  <c r="B272" i="138"/>
  <c r="B273" i="138"/>
  <c r="B274" i="138"/>
  <c r="B275" i="138"/>
  <c r="B276" i="138"/>
  <c r="B277" i="138"/>
  <c r="B278" i="138"/>
  <c r="B279" i="138"/>
  <c r="B280" i="138"/>
  <c r="B281" i="138"/>
  <c r="B282" i="138"/>
  <c r="B283" i="138"/>
  <c r="B284" i="138"/>
  <c r="B285" i="138"/>
  <c r="B286" i="138"/>
  <c r="B287" i="138"/>
  <c r="B288" i="138"/>
  <c r="B289" i="138"/>
  <c r="B290" i="138"/>
  <c r="B291" i="138"/>
  <c r="B292" i="138"/>
  <c r="B293" i="138"/>
  <c r="B294" i="138"/>
  <c r="B295" i="138"/>
  <c r="B296" i="138"/>
  <c r="B297" i="138"/>
  <c r="B298" i="138"/>
  <c r="B299" i="138"/>
  <c r="B300" i="138"/>
  <c r="B301" i="138"/>
  <c r="B302" i="138"/>
  <c r="B303" i="138"/>
  <c r="B304" i="138"/>
  <c r="B305" i="138"/>
  <c r="B306" i="138"/>
  <c r="B307" i="138"/>
  <c r="B308" i="138"/>
  <c r="B309" i="138"/>
  <c r="B310" i="138"/>
  <c r="B311" i="138"/>
  <c r="B312" i="138"/>
  <c r="B313" i="138"/>
  <c r="B314" i="138"/>
  <c r="B315" i="138"/>
  <c r="B316" i="138"/>
  <c r="B317" i="138"/>
  <c r="B318" i="138"/>
  <c r="B319" i="138"/>
  <c r="B320" i="138"/>
  <c r="B321" i="138"/>
  <c r="B322" i="138"/>
  <c r="B323" i="138"/>
  <c r="B324" i="138"/>
  <c r="B325" i="138"/>
  <c r="B326" i="138"/>
  <c r="B327" i="138"/>
  <c r="B328" i="138"/>
  <c r="B329" i="138"/>
  <c r="B330" i="138"/>
  <c r="B331" i="138"/>
  <c r="B332" i="138"/>
  <c r="B333" i="138"/>
  <c r="B334" i="138"/>
  <c r="B335" i="138"/>
  <c r="B336" i="138"/>
  <c r="B337" i="138"/>
  <c r="B338" i="138"/>
  <c r="B339" i="138"/>
  <c r="B340" i="138"/>
  <c r="B341" i="138"/>
  <c r="B342" i="138"/>
  <c r="B343" i="138"/>
  <c r="B344" i="138"/>
  <c r="B345" i="138"/>
  <c r="B346" i="138"/>
  <c r="B347" i="138"/>
  <c r="B348" i="138"/>
  <c r="B349" i="138"/>
  <c r="B350" i="138"/>
  <c r="B351" i="138"/>
  <c r="B352" i="138"/>
  <c r="B353" i="138"/>
  <c r="B354" i="138"/>
  <c r="B355" i="138"/>
  <c r="B356" i="138"/>
  <c r="B357" i="138"/>
  <c r="B358" i="138"/>
  <c r="B359" i="138"/>
  <c r="B360" i="138"/>
  <c r="B361" i="138"/>
  <c r="B362" i="138"/>
  <c r="B363" i="138"/>
  <c r="B364" i="138"/>
  <c r="B365" i="138"/>
  <c r="B366" i="138"/>
  <c r="B367" i="138"/>
  <c r="B368" i="138"/>
  <c r="B369" i="138"/>
  <c r="B370" i="138"/>
  <c r="B371" i="138"/>
  <c r="B372" i="138"/>
  <c r="B373" i="138"/>
  <c r="B374" i="138"/>
  <c r="B375" i="138"/>
  <c r="B376" i="138"/>
  <c r="B377" i="138"/>
  <c r="B378" i="138"/>
  <c r="B379" i="138"/>
  <c r="B380" i="138"/>
  <c r="B381" i="138"/>
  <c r="B382" i="138"/>
  <c r="B383" i="138"/>
  <c r="B384" i="138"/>
  <c r="B385" i="138"/>
  <c r="B386" i="138"/>
  <c r="B387" i="138"/>
  <c r="B388" i="138"/>
  <c r="B389" i="138"/>
  <c r="B390" i="138"/>
  <c r="B391" i="138"/>
  <c r="B392" i="138"/>
  <c r="B393" i="138"/>
  <c r="B394" i="138"/>
  <c r="B395" i="138"/>
  <c r="B396" i="138"/>
  <c r="B397" i="138"/>
  <c r="B398" i="138"/>
  <c r="B399" i="138"/>
  <c r="B400" i="138"/>
  <c r="B401" i="138"/>
  <c r="B402" i="138"/>
  <c r="B403" i="138"/>
  <c r="B404" i="138"/>
  <c r="B405" i="138"/>
  <c r="B406" i="138"/>
  <c r="B407" i="138"/>
  <c r="B408" i="138"/>
  <c r="B409" i="138"/>
  <c r="B410" i="138"/>
  <c r="B411" i="138"/>
  <c r="B412" i="138"/>
  <c r="B413" i="138"/>
  <c r="B414" i="138"/>
  <c r="B415" i="138"/>
  <c r="B416" i="138"/>
  <c r="B417" i="138"/>
  <c r="B418" i="138"/>
  <c r="B419" i="138"/>
  <c r="B420" i="138"/>
  <c r="B421" i="138"/>
  <c r="B422" i="138"/>
  <c r="B423" i="138"/>
  <c r="B424" i="138"/>
  <c r="B425" i="138"/>
  <c r="B426" i="138"/>
  <c r="B427" i="138"/>
  <c r="B428" i="138"/>
  <c r="B429" i="138"/>
  <c r="B430" i="138"/>
  <c r="B431" i="138"/>
  <c r="B432" i="138"/>
  <c r="B433" i="138"/>
  <c r="B434" i="138"/>
  <c r="B435" i="138"/>
  <c r="B436" i="138"/>
  <c r="B437" i="138"/>
  <c r="B438" i="138"/>
  <c r="B439" i="138"/>
  <c r="B440" i="138"/>
  <c r="B441" i="138"/>
  <c r="B442" i="138"/>
  <c r="B443" i="138"/>
  <c r="B444" i="138"/>
  <c r="B445" i="138"/>
  <c r="B446" i="138"/>
  <c r="B447" i="138"/>
  <c r="B448" i="138"/>
  <c r="B449" i="138"/>
  <c r="B450" i="138"/>
  <c r="B451" i="138"/>
  <c r="B452" i="138"/>
  <c r="B453" i="138"/>
  <c r="B454" i="138"/>
  <c r="B455" i="138"/>
  <c r="B456" i="138"/>
  <c r="B457" i="138"/>
  <c r="B458" i="138"/>
  <c r="B459" i="138"/>
  <c r="B460" i="138"/>
  <c r="B461" i="138"/>
  <c r="B462" i="138"/>
  <c r="B463" i="138"/>
  <c r="B464" i="138"/>
  <c r="B465" i="138"/>
  <c r="B466" i="138"/>
  <c r="B467" i="138"/>
  <c r="B468" i="138"/>
  <c r="B469" i="138"/>
  <c r="B470" i="138"/>
  <c r="B471" i="138"/>
  <c r="B472" i="138"/>
  <c r="B473" i="138"/>
  <c r="B474" i="138"/>
  <c r="B475" i="138"/>
  <c r="B476" i="138"/>
  <c r="B477" i="138"/>
  <c r="B478" i="138"/>
  <c r="B479" i="138"/>
  <c r="B480" i="138"/>
  <c r="B481" i="138"/>
  <c r="B482" i="138"/>
  <c r="B483" i="138"/>
  <c r="B484" i="138"/>
  <c r="B485" i="138"/>
  <c r="B486" i="138"/>
  <c r="B487" i="138"/>
  <c r="B488" i="138"/>
  <c r="B489" i="138"/>
  <c r="B490" i="138"/>
  <c r="B491" i="138"/>
  <c r="B492" i="138"/>
  <c r="B493" i="138"/>
  <c r="B494" i="138"/>
  <c r="B495" i="138"/>
  <c r="B496" i="138"/>
  <c r="B497" i="138"/>
  <c r="B498" i="138"/>
  <c r="B499" i="138"/>
  <c r="B500" i="138"/>
  <c r="B501" i="138"/>
  <c r="B502" i="138"/>
  <c r="B503" i="138"/>
  <c r="B504" i="138"/>
  <c r="B505" i="138"/>
  <c r="B506" i="138"/>
  <c r="B507" i="138"/>
  <c r="B508" i="138"/>
  <c r="B509" i="138"/>
  <c r="B510" i="138"/>
  <c r="B511" i="138"/>
  <c r="AS560" i="101" l="1"/>
  <c r="E560" i="134"/>
  <c r="D562" i="135" s="1"/>
  <c r="D562" i="139" s="1"/>
  <c r="F561" i="101"/>
  <c r="C356" i="134"/>
  <c r="E358" i="135" s="1"/>
  <c r="E358" i="139" s="1"/>
  <c r="G357" i="101"/>
  <c r="AS356" i="101"/>
  <c r="AR356" i="101"/>
  <c r="E356" i="134"/>
  <c r="D358" i="135" s="1"/>
  <c r="D358" i="139" s="1"/>
  <c r="F357" i="101"/>
  <c r="C127" i="134"/>
  <c r="E129" i="135" s="1"/>
  <c r="E129" i="139" s="1"/>
  <c r="G128" i="101"/>
  <c r="B137" i="154"/>
  <c r="A142" i="154"/>
  <c r="A281" i="154"/>
  <c r="C112" i="154"/>
  <c r="D111" i="154"/>
  <c r="B70" i="154"/>
  <c r="A89" i="143"/>
  <c r="A93" i="143" s="1"/>
  <c r="A29" i="151"/>
  <c r="A91" i="149"/>
  <c r="A26" i="148"/>
  <c r="AS561" i="101" l="1"/>
  <c r="E561" i="134"/>
  <c r="D563" i="135" s="1"/>
  <c r="D563" i="139" s="1"/>
  <c r="AR561" i="101"/>
  <c r="F562" i="101"/>
  <c r="C357" i="134"/>
  <c r="E359" i="135" s="1"/>
  <c r="E359" i="139" s="1"/>
  <c r="G358" i="101"/>
  <c r="AS357" i="101"/>
  <c r="AR357" i="101"/>
  <c r="E357" i="134"/>
  <c r="D359" i="135" s="1"/>
  <c r="D359" i="139" s="1"/>
  <c r="F358" i="101"/>
  <c r="C128" i="134"/>
  <c r="E130" i="135" s="1"/>
  <c r="E130" i="139" s="1"/>
  <c r="G129" i="101"/>
  <c r="B138" i="154"/>
  <c r="A143" i="154"/>
  <c r="A282" i="154"/>
  <c r="C113" i="154"/>
  <c r="D112" i="154"/>
  <c r="B71" i="154"/>
  <c r="A30" i="151"/>
  <c r="A96" i="149"/>
  <c r="A31" i="148"/>
  <c r="AR562" i="101" l="1"/>
  <c r="E562" i="134"/>
  <c r="D564" i="135" s="1"/>
  <c r="D564" i="139" s="1"/>
  <c r="AS562" i="101"/>
  <c r="F563" i="101"/>
  <c r="E358" i="134"/>
  <c r="D360" i="135" s="1"/>
  <c r="D360" i="139" s="1"/>
  <c r="AS358" i="101"/>
  <c r="AR358" i="101"/>
  <c r="F359" i="101"/>
  <c r="C358" i="134"/>
  <c r="E360" i="135" s="1"/>
  <c r="E360" i="139" s="1"/>
  <c r="G359" i="101"/>
  <c r="C129" i="134"/>
  <c r="E131" i="135" s="1"/>
  <c r="E131" i="139" s="1"/>
  <c r="G130" i="101"/>
  <c r="B139" i="154"/>
  <c r="B143" i="154"/>
  <c r="A144" i="154"/>
  <c r="A283" i="154"/>
  <c r="D113" i="154"/>
  <c r="C114" i="154"/>
  <c r="B72" i="154"/>
  <c r="A97" i="143"/>
  <c r="A31" i="151"/>
  <c r="A101" i="149"/>
  <c r="A36" i="148"/>
  <c r="AS563" i="101" l="1"/>
  <c r="E563" i="134"/>
  <c r="D565" i="135" s="1"/>
  <c r="D565" i="139" s="1"/>
  <c r="AR563" i="101"/>
  <c r="F564" i="101"/>
  <c r="C359" i="134"/>
  <c r="E361" i="135" s="1"/>
  <c r="E361" i="139" s="1"/>
  <c r="G360" i="101"/>
  <c r="E359" i="134"/>
  <c r="D361" i="135" s="1"/>
  <c r="D361" i="139" s="1"/>
  <c r="AS359" i="101"/>
  <c r="AR359" i="101"/>
  <c r="F360" i="101"/>
  <c r="C130" i="134"/>
  <c r="E132" i="135" s="1"/>
  <c r="E132" i="139" s="1"/>
  <c r="G131" i="101"/>
  <c r="B140" i="154"/>
  <c r="A145" i="154"/>
  <c r="A284" i="154"/>
  <c r="D114" i="154"/>
  <c r="C115" i="154"/>
  <c r="B73" i="154"/>
  <c r="A101" i="143"/>
  <c r="A32" i="151"/>
  <c r="A106" i="149"/>
  <c r="A41" i="148"/>
  <c r="AS564" i="101" l="1"/>
  <c r="AR564" i="101"/>
  <c r="E564" i="134"/>
  <c r="D566" i="135" s="1"/>
  <c r="D566" i="139" s="1"/>
  <c r="F565" i="101"/>
  <c r="AS360" i="101"/>
  <c r="E360" i="134"/>
  <c r="D362" i="135" s="1"/>
  <c r="D362" i="139" s="1"/>
  <c r="AR360" i="101"/>
  <c r="F361" i="101"/>
  <c r="C360" i="134"/>
  <c r="E362" i="135" s="1"/>
  <c r="E362" i="139" s="1"/>
  <c r="G361" i="101"/>
  <c r="C131" i="134"/>
  <c r="E133" i="135" s="1"/>
  <c r="E133" i="139" s="1"/>
  <c r="G132" i="101"/>
  <c r="B141" i="154"/>
  <c r="A146" i="154"/>
  <c r="A285" i="154"/>
  <c r="B153" i="154"/>
  <c r="D115" i="154"/>
  <c r="C116" i="154"/>
  <c r="B74" i="154"/>
  <c r="A105" i="143"/>
  <c r="A33" i="151"/>
  <c r="A111" i="149"/>
  <c r="A46" i="148"/>
  <c r="AJ2" i="134"/>
  <c r="AS565" i="101" l="1"/>
  <c r="E565" i="134"/>
  <c r="D567" i="135" s="1"/>
  <c r="D567" i="139" s="1"/>
  <c r="AR565" i="101"/>
  <c r="F566" i="101"/>
  <c r="AS361" i="101"/>
  <c r="E361" i="134"/>
  <c r="D363" i="135" s="1"/>
  <c r="D363" i="139" s="1"/>
  <c r="AR361" i="101"/>
  <c r="F362" i="101"/>
  <c r="C361" i="134"/>
  <c r="E363" i="135" s="1"/>
  <c r="E363" i="139" s="1"/>
  <c r="G362" i="101"/>
  <c r="C132" i="134"/>
  <c r="E134" i="135" s="1"/>
  <c r="E134" i="139" s="1"/>
  <c r="G133" i="101"/>
  <c r="B142" i="154"/>
  <c r="A147" i="154"/>
  <c r="A286" i="154"/>
  <c r="C117" i="154"/>
  <c r="D116" i="154"/>
  <c r="B75" i="154"/>
  <c r="A109" i="143"/>
  <c r="A113" i="143" s="1"/>
  <c r="A34" i="151"/>
  <c r="A116" i="149"/>
  <c r="A51" i="148"/>
  <c r="AS566" i="101" l="1"/>
  <c r="E566" i="134"/>
  <c r="D568" i="135" s="1"/>
  <c r="D568" i="139" s="1"/>
  <c r="AR566" i="101"/>
  <c r="F567" i="101"/>
  <c r="AS362" i="101"/>
  <c r="AR362" i="101"/>
  <c r="E362" i="134"/>
  <c r="D364" i="135" s="1"/>
  <c r="D364" i="139" s="1"/>
  <c r="F363" i="101"/>
  <c r="C362" i="134"/>
  <c r="E364" i="135" s="1"/>
  <c r="E364" i="139" s="1"/>
  <c r="G363" i="101"/>
  <c r="C133" i="134"/>
  <c r="E135" i="135" s="1"/>
  <c r="E135" i="139" s="1"/>
  <c r="G134" i="101"/>
  <c r="B144" i="154"/>
  <c r="A148" i="154"/>
  <c r="A287" i="154"/>
  <c r="D117" i="154"/>
  <c r="C118" i="154"/>
  <c r="B76" i="154"/>
  <c r="A35" i="151"/>
  <c r="A121" i="149"/>
  <c r="A56" i="148"/>
  <c r="E567" i="134" l="1"/>
  <c r="D569" i="135" s="1"/>
  <c r="D569" i="139" s="1"/>
  <c r="AR567" i="101"/>
  <c r="AS567" i="101"/>
  <c r="F568" i="101"/>
  <c r="C363" i="134"/>
  <c r="E365" i="135" s="1"/>
  <c r="E365" i="139" s="1"/>
  <c r="G364" i="101"/>
  <c r="AS363" i="101"/>
  <c r="E363" i="134"/>
  <c r="D365" i="135" s="1"/>
  <c r="D365" i="139" s="1"/>
  <c r="AR363" i="101"/>
  <c r="F364" i="101"/>
  <c r="C134" i="134"/>
  <c r="E136" i="135" s="1"/>
  <c r="E136" i="139" s="1"/>
  <c r="G135" i="101"/>
  <c r="B145" i="154"/>
  <c r="A149" i="154"/>
  <c r="A288" i="154"/>
  <c r="C119" i="154"/>
  <c r="D118" i="154"/>
  <c r="B77" i="154"/>
  <c r="A117" i="143"/>
  <c r="A126" i="149"/>
  <c r="A61" i="148"/>
  <c r="AS568" i="101" l="1"/>
  <c r="AR568" i="101"/>
  <c r="E568" i="134"/>
  <c r="D570" i="135" s="1"/>
  <c r="D570" i="139" s="1"/>
  <c r="F569" i="101"/>
  <c r="E364" i="134"/>
  <c r="D366" i="135" s="1"/>
  <c r="D366" i="139" s="1"/>
  <c r="AS364" i="101"/>
  <c r="AR364" i="101"/>
  <c r="F365" i="101"/>
  <c r="C364" i="134"/>
  <c r="E366" i="135" s="1"/>
  <c r="E366" i="139" s="1"/>
  <c r="G365" i="101"/>
  <c r="C135" i="134"/>
  <c r="E137" i="135" s="1"/>
  <c r="E137" i="139" s="1"/>
  <c r="G136" i="101"/>
  <c r="B146" i="154"/>
  <c r="A150" i="154"/>
  <c r="A289" i="154"/>
  <c r="D119" i="154"/>
  <c r="C120" i="154"/>
  <c r="B78" i="154"/>
  <c r="A121" i="143"/>
  <c r="A131" i="149"/>
  <c r="A66" i="148"/>
  <c r="AS569" i="101" l="1"/>
  <c r="AR569" i="101"/>
  <c r="E569" i="134"/>
  <c r="D571" i="135" s="1"/>
  <c r="D571" i="139" s="1"/>
  <c r="F570" i="101"/>
  <c r="AS365" i="101"/>
  <c r="E365" i="134"/>
  <c r="D367" i="135" s="1"/>
  <c r="D367" i="139" s="1"/>
  <c r="AR365" i="101"/>
  <c r="F366" i="101"/>
  <c r="C365" i="134"/>
  <c r="E367" i="135" s="1"/>
  <c r="E367" i="139" s="1"/>
  <c r="G366" i="101"/>
  <c r="C136" i="134"/>
  <c r="E138" i="135" s="1"/>
  <c r="E138" i="139" s="1"/>
  <c r="G137" i="101"/>
  <c r="B147" i="154"/>
  <c r="A151" i="154"/>
  <c r="A290" i="154"/>
  <c r="D120" i="154"/>
  <c r="C121" i="154"/>
  <c r="A125" i="143"/>
  <c r="A129" i="143" s="1"/>
  <c r="A133" i="143" s="1"/>
  <c r="D15" i="154"/>
  <c r="A136" i="149"/>
  <c r="A71" i="148"/>
  <c r="E570" i="134" l="1"/>
  <c r="D572" i="135" s="1"/>
  <c r="D572" i="139" s="1"/>
  <c r="AR570" i="101"/>
  <c r="AS570" i="101"/>
  <c r="F571" i="101"/>
  <c r="C366" i="134"/>
  <c r="E368" i="135" s="1"/>
  <c r="E368" i="139" s="1"/>
  <c r="G367" i="101"/>
  <c r="AS366" i="101"/>
  <c r="E366" i="134"/>
  <c r="D368" i="135" s="1"/>
  <c r="D368" i="139" s="1"/>
  <c r="AR366" i="101"/>
  <c r="F367" i="101"/>
  <c r="C137" i="134"/>
  <c r="E139" i="135" s="1"/>
  <c r="E139" i="139" s="1"/>
  <c r="G138" i="101"/>
  <c r="B148" i="154"/>
  <c r="A152" i="154"/>
  <c r="A291" i="154"/>
  <c r="C122" i="154"/>
  <c r="D121" i="154"/>
  <c r="B15" i="154"/>
  <c r="C15" i="154"/>
  <c r="B16" i="154"/>
  <c r="D16" i="154"/>
  <c r="C16" i="154"/>
  <c r="A141" i="149"/>
  <c r="A76" i="148"/>
  <c r="AS571" i="101" l="1"/>
  <c r="AR571" i="101"/>
  <c r="E571" i="134"/>
  <c r="D573" i="135" s="1"/>
  <c r="D573" i="139" s="1"/>
  <c r="F572" i="101"/>
  <c r="C367" i="134"/>
  <c r="E369" i="135" s="1"/>
  <c r="E369" i="139" s="1"/>
  <c r="G368" i="101"/>
  <c r="AS367" i="101"/>
  <c r="AR367" i="101"/>
  <c r="E367" i="134"/>
  <c r="D369" i="135" s="1"/>
  <c r="D369" i="139" s="1"/>
  <c r="F368" i="101"/>
  <c r="C138" i="134"/>
  <c r="E140" i="135" s="1"/>
  <c r="E140" i="139" s="1"/>
  <c r="G139" i="101"/>
  <c r="B149" i="154"/>
  <c r="A153" i="154"/>
  <c r="A292" i="154"/>
  <c r="C123" i="154"/>
  <c r="D122" i="154"/>
  <c r="D17" i="154"/>
  <c r="D18" i="154"/>
  <c r="B18" i="154"/>
  <c r="C17" i="154"/>
  <c r="A146" i="149"/>
  <c r="A81" i="148"/>
  <c r="AS572" i="101" l="1"/>
  <c r="AR572" i="101"/>
  <c r="E572" i="134"/>
  <c r="D574" i="135" s="1"/>
  <c r="D574" i="139" s="1"/>
  <c r="F573" i="101"/>
  <c r="AS368" i="101"/>
  <c r="E368" i="134"/>
  <c r="D370" i="135" s="1"/>
  <c r="D370" i="139" s="1"/>
  <c r="AR368" i="101"/>
  <c r="F369" i="101"/>
  <c r="C368" i="134"/>
  <c r="E370" i="135" s="1"/>
  <c r="E370" i="139" s="1"/>
  <c r="G369" i="101"/>
  <c r="C139" i="134"/>
  <c r="E141" i="135" s="1"/>
  <c r="E141" i="139" s="1"/>
  <c r="G140" i="101"/>
  <c r="B150" i="154"/>
  <c r="A154" i="154"/>
  <c r="A293" i="154"/>
  <c r="C124" i="154"/>
  <c r="D123" i="154"/>
  <c r="D19" i="154"/>
  <c r="B19" i="154"/>
  <c r="C18" i="154"/>
  <c r="A151" i="149"/>
  <c r="A86" i="148"/>
  <c r="E573" i="134" l="1"/>
  <c r="D575" i="135" s="1"/>
  <c r="D575" i="139" s="1"/>
  <c r="AR573" i="101"/>
  <c r="F574" i="101"/>
  <c r="C369" i="134"/>
  <c r="E371" i="135" s="1"/>
  <c r="E371" i="139" s="1"/>
  <c r="G370" i="101"/>
  <c r="E369" i="134"/>
  <c r="D371" i="135" s="1"/>
  <c r="D371" i="139" s="1"/>
  <c r="AS369" i="101"/>
  <c r="AR369" i="101"/>
  <c r="F370" i="101"/>
  <c r="C140" i="134"/>
  <c r="E142" i="135" s="1"/>
  <c r="E142" i="139" s="1"/>
  <c r="G141" i="101"/>
  <c r="B151" i="154"/>
  <c r="A155" i="154"/>
  <c r="A294" i="154"/>
  <c r="C790" i="154"/>
  <c r="C125" i="154"/>
  <c r="D124" i="154"/>
  <c r="D20" i="154"/>
  <c r="B20" i="154"/>
  <c r="A156" i="149"/>
  <c r="A91" i="148"/>
  <c r="A511" i="138"/>
  <c r="AS574" i="101" l="1"/>
  <c r="AR574" i="101"/>
  <c r="E574" i="134"/>
  <c r="D576" i="135" s="1"/>
  <c r="D576" i="139" s="1"/>
  <c r="F575" i="101"/>
  <c r="AS370" i="101"/>
  <c r="E370" i="134"/>
  <c r="D372" i="135" s="1"/>
  <c r="D372" i="139" s="1"/>
  <c r="F371" i="101"/>
  <c r="C370" i="134"/>
  <c r="E372" i="135" s="1"/>
  <c r="E372" i="139" s="1"/>
  <c r="G371" i="101"/>
  <c r="C141" i="134"/>
  <c r="E143" i="135" s="1"/>
  <c r="E143" i="139" s="1"/>
  <c r="G142" i="101"/>
  <c r="B152" i="154"/>
  <c r="A156" i="154"/>
  <c r="A295" i="154"/>
  <c r="B163" i="154"/>
  <c r="C791" i="154"/>
  <c r="C126" i="154"/>
  <c r="D125" i="154"/>
  <c r="C19" i="154"/>
  <c r="B21" i="154"/>
  <c r="D21" i="154"/>
  <c r="A96" i="148"/>
  <c r="E575" i="134" l="1"/>
  <c r="D577" i="135" s="1"/>
  <c r="D577" i="139" s="1"/>
  <c r="AR575" i="101"/>
  <c r="AS575" i="101"/>
  <c r="F576" i="101"/>
  <c r="C371" i="134"/>
  <c r="E373" i="135" s="1"/>
  <c r="E373" i="139" s="1"/>
  <c r="G372" i="101"/>
  <c r="AS371" i="101"/>
  <c r="E371" i="134"/>
  <c r="D373" i="135" s="1"/>
  <c r="D373" i="139" s="1"/>
  <c r="AR371" i="101"/>
  <c r="F372" i="101"/>
  <c r="C142" i="134"/>
  <c r="E144" i="135" s="1"/>
  <c r="E144" i="139" s="1"/>
  <c r="G143" i="101"/>
  <c r="B154" i="154"/>
  <c r="A157" i="154"/>
  <c r="A296" i="154"/>
  <c r="C792" i="154"/>
  <c r="C127" i="154"/>
  <c r="D126" i="154"/>
  <c r="C20" i="154"/>
  <c r="D22" i="154"/>
  <c r="B22" i="154"/>
  <c r="A101" i="148"/>
  <c r="AR576" i="101" l="1"/>
  <c r="E576" i="134"/>
  <c r="D578" i="135" s="1"/>
  <c r="D578" i="139" s="1"/>
  <c r="AS576" i="101"/>
  <c r="F577" i="101"/>
  <c r="AS372" i="101"/>
  <c r="E372" i="134"/>
  <c r="D374" i="135" s="1"/>
  <c r="D374" i="139" s="1"/>
  <c r="AR372" i="101"/>
  <c r="F373" i="101"/>
  <c r="C372" i="134"/>
  <c r="E374" i="135" s="1"/>
  <c r="E374" i="139" s="1"/>
  <c r="G373" i="101"/>
  <c r="C143" i="134"/>
  <c r="E145" i="135" s="1"/>
  <c r="E145" i="139" s="1"/>
  <c r="G144" i="101"/>
  <c r="B155" i="154"/>
  <c r="A158" i="154"/>
  <c r="A297" i="154"/>
  <c r="C793" i="154"/>
  <c r="C128" i="154"/>
  <c r="D127" i="154"/>
  <c r="C21" i="154"/>
  <c r="D23" i="154"/>
  <c r="B23" i="154"/>
  <c r="A106" i="148"/>
  <c r="AS577" i="101" l="1"/>
  <c r="E577" i="134"/>
  <c r="D579" i="135" s="1"/>
  <c r="D579" i="139" s="1"/>
  <c r="AR577" i="101"/>
  <c r="F578" i="101"/>
  <c r="C373" i="134"/>
  <c r="E375" i="135" s="1"/>
  <c r="E375" i="139" s="1"/>
  <c r="G374" i="101"/>
  <c r="AS373" i="101"/>
  <c r="AR373" i="101"/>
  <c r="E373" i="134"/>
  <c r="D375" i="135" s="1"/>
  <c r="D375" i="139" s="1"/>
  <c r="F374" i="101"/>
  <c r="C144" i="134"/>
  <c r="E146" i="135" s="1"/>
  <c r="E146" i="139" s="1"/>
  <c r="G145" i="101"/>
  <c r="B156" i="154"/>
  <c r="B157" i="154"/>
  <c r="A159" i="154"/>
  <c r="A298" i="154"/>
  <c r="C794" i="154"/>
  <c r="D128" i="154"/>
  <c r="C129" i="154"/>
  <c r="C22" i="154"/>
  <c r="D24" i="154"/>
  <c r="B24" i="154"/>
  <c r="C23" i="154"/>
  <c r="A111" i="148"/>
  <c r="AS578" i="101" l="1"/>
  <c r="E578" i="134"/>
  <c r="D580" i="135" s="1"/>
  <c r="D580" i="139" s="1"/>
  <c r="AR578" i="101"/>
  <c r="F579" i="101"/>
  <c r="C374" i="134"/>
  <c r="E376" i="135" s="1"/>
  <c r="E376" i="139" s="1"/>
  <c r="G375" i="101"/>
  <c r="AS374" i="101"/>
  <c r="E374" i="134"/>
  <c r="D376" i="135" s="1"/>
  <c r="D376" i="139" s="1"/>
  <c r="AR374" i="101"/>
  <c r="F375" i="101"/>
  <c r="C145" i="134"/>
  <c r="E147" i="135" s="1"/>
  <c r="E147" i="139" s="1"/>
  <c r="G146" i="101"/>
  <c r="A160" i="154"/>
  <c r="A299" i="154"/>
  <c r="C795" i="154"/>
  <c r="D129" i="154"/>
  <c r="C130" i="154"/>
  <c r="B25" i="154"/>
  <c r="D25" i="154"/>
  <c r="C24" i="154"/>
  <c r="A116" i="148"/>
  <c r="AS579" i="101" l="1"/>
  <c r="E579" i="134"/>
  <c r="D581" i="135" s="1"/>
  <c r="D581" i="139" s="1"/>
  <c r="AR579" i="101"/>
  <c r="F580" i="101"/>
  <c r="E375" i="134"/>
  <c r="D377" i="135" s="1"/>
  <c r="D377" i="139" s="1"/>
  <c r="AR375" i="101"/>
  <c r="F376" i="101"/>
  <c r="C375" i="134"/>
  <c r="E377" i="135" s="1"/>
  <c r="E377" i="139" s="1"/>
  <c r="G376" i="101"/>
  <c r="C146" i="134"/>
  <c r="E148" i="135" s="1"/>
  <c r="E148" i="139" s="1"/>
  <c r="G147" i="101"/>
  <c r="B158" i="154"/>
  <c r="A161" i="154"/>
  <c r="A300" i="154"/>
  <c r="C796" i="154"/>
  <c r="D130" i="154"/>
  <c r="C131" i="154"/>
  <c r="C25" i="154"/>
  <c r="A121" i="148"/>
  <c r="E580" i="134" l="1"/>
  <c r="D582" i="135" s="1"/>
  <c r="D582" i="139" s="1"/>
  <c r="AS580" i="101"/>
  <c r="AR580" i="101"/>
  <c r="F581" i="101"/>
  <c r="C376" i="134"/>
  <c r="E378" i="135" s="1"/>
  <c r="E378" i="139" s="1"/>
  <c r="G377" i="101"/>
  <c r="AS376" i="101"/>
  <c r="AR376" i="101"/>
  <c r="E376" i="134"/>
  <c r="D378" i="135" s="1"/>
  <c r="D378" i="139" s="1"/>
  <c r="F377" i="101"/>
  <c r="C147" i="134"/>
  <c r="E149" i="135" s="1"/>
  <c r="E149" i="139" s="1"/>
  <c r="G148" i="101"/>
  <c r="B159" i="154"/>
  <c r="A162" i="154"/>
  <c r="A301" i="154"/>
  <c r="C797" i="154"/>
  <c r="D131" i="154"/>
  <c r="C132" i="154"/>
  <c r="B27" i="154"/>
  <c r="B26" i="154"/>
  <c r="C26" i="154"/>
  <c r="D27" i="154"/>
  <c r="D28" i="154"/>
  <c r="A126" i="148"/>
  <c r="AR581" i="101" l="1"/>
  <c r="E581" i="134"/>
  <c r="D583" i="135" s="1"/>
  <c r="D583" i="139" s="1"/>
  <c r="AS581" i="101"/>
  <c r="F582" i="101"/>
  <c r="AS377" i="101"/>
  <c r="E377" i="134"/>
  <c r="D379" i="135" s="1"/>
  <c r="D379" i="139" s="1"/>
  <c r="AR377" i="101"/>
  <c r="F378" i="101"/>
  <c r="C377" i="134"/>
  <c r="E379" i="135" s="1"/>
  <c r="E379" i="139" s="1"/>
  <c r="G378" i="101"/>
  <c r="C148" i="134"/>
  <c r="E150" i="135" s="1"/>
  <c r="E150" i="139" s="1"/>
  <c r="G149" i="101"/>
  <c r="B160" i="154"/>
  <c r="A163" i="154"/>
  <c r="A302" i="154"/>
  <c r="C798" i="154"/>
  <c r="D132" i="154"/>
  <c r="C133" i="154"/>
  <c r="B29" i="154"/>
  <c r="D29" i="154"/>
  <c r="C27" i="154"/>
  <c r="A131" i="148"/>
  <c r="AS582" i="101" l="1"/>
  <c r="AR582" i="101"/>
  <c r="E582" i="134"/>
  <c r="D584" i="135" s="1"/>
  <c r="D584" i="139" s="1"/>
  <c r="F583" i="101"/>
  <c r="C378" i="134"/>
  <c r="E380" i="135" s="1"/>
  <c r="E380" i="139" s="1"/>
  <c r="G379" i="101"/>
  <c r="E378" i="134"/>
  <c r="D380" i="135" s="1"/>
  <c r="D380" i="139" s="1"/>
  <c r="AR378" i="101"/>
  <c r="AS378" i="101"/>
  <c r="F379" i="101"/>
  <c r="C149" i="134"/>
  <c r="E151" i="135" s="1"/>
  <c r="E151" i="139" s="1"/>
  <c r="G150" i="101"/>
  <c r="B161" i="154"/>
  <c r="A164" i="154"/>
  <c r="A303" i="154"/>
  <c r="C799" i="154"/>
  <c r="D133" i="154"/>
  <c r="C134" i="154"/>
  <c r="C28" i="154"/>
  <c r="B30" i="154"/>
  <c r="D30" i="154"/>
  <c r="A136" i="148"/>
  <c r="AS583" i="101" l="1"/>
  <c r="E583" i="134"/>
  <c r="D585" i="135" s="1"/>
  <c r="D585" i="139" s="1"/>
  <c r="AR583" i="101"/>
  <c r="F584" i="101"/>
  <c r="C379" i="134"/>
  <c r="E381" i="135" s="1"/>
  <c r="E381" i="139" s="1"/>
  <c r="G380" i="101"/>
  <c r="AS379" i="101"/>
  <c r="E379" i="134"/>
  <c r="D381" i="135" s="1"/>
  <c r="D381" i="139" s="1"/>
  <c r="AR379" i="101"/>
  <c r="F380" i="101"/>
  <c r="C150" i="134"/>
  <c r="E152" i="135" s="1"/>
  <c r="E152" i="139" s="1"/>
  <c r="G151" i="101"/>
  <c r="B162" i="154"/>
  <c r="A165" i="154"/>
  <c r="A304" i="154"/>
  <c r="C800" i="154"/>
  <c r="D134" i="154"/>
  <c r="C135" i="154"/>
  <c r="D31" i="154"/>
  <c r="B31" i="154"/>
  <c r="A141" i="148"/>
  <c r="AS584" i="101" l="1"/>
  <c r="E584" i="134"/>
  <c r="D586" i="135" s="1"/>
  <c r="D586" i="139" s="1"/>
  <c r="AR584" i="101"/>
  <c r="F585" i="101"/>
  <c r="AS380" i="101"/>
  <c r="AR380" i="101"/>
  <c r="E380" i="134"/>
  <c r="D382" i="135" s="1"/>
  <c r="D382" i="139" s="1"/>
  <c r="F381" i="101"/>
  <c r="C380" i="134"/>
  <c r="E382" i="135" s="1"/>
  <c r="E382" i="139" s="1"/>
  <c r="G381" i="101"/>
  <c r="C151" i="134"/>
  <c r="E153" i="135" s="1"/>
  <c r="E153" i="139" s="1"/>
  <c r="G152" i="101"/>
  <c r="B164" i="154"/>
  <c r="A166" i="154"/>
  <c r="A305" i="154"/>
  <c r="C801" i="154"/>
  <c r="C136" i="154"/>
  <c r="D135" i="154"/>
  <c r="C29" i="154"/>
  <c r="B32" i="154"/>
  <c r="D32" i="154"/>
  <c r="C30" i="154"/>
  <c r="A146" i="148"/>
  <c r="AS585" i="101" l="1"/>
  <c r="E585" i="134"/>
  <c r="D587" i="135" s="1"/>
  <c r="D587" i="139" s="1"/>
  <c r="AR585" i="101"/>
  <c r="F586" i="101"/>
  <c r="C381" i="134"/>
  <c r="E383" i="135" s="1"/>
  <c r="E383" i="139" s="1"/>
  <c r="G382" i="101"/>
  <c r="AS381" i="101"/>
  <c r="E381" i="134"/>
  <c r="D383" i="135" s="1"/>
  <c r="D383" i="139" s="1"/>
  <c r="AR381" i="101"/>
  <c r="F382" i="101"/>
  <c r="C152" i="134"/>
  <c r="E154" i="135" s="1"/>
  <c r="E154" i="139" s="1"/>
  <c r="G153" i="101"/>
  <c r="A167" i="154"/>
  <c r="B165" i="154"/>
  <c r="A306" i="154"/>
  <c r="C802" i="154"/>
  <c r="D136" i="154"/>
  <c r="C137" i="154"/>
  <c r="C31" i="154"/>
  <c r="B33" i="154"/>
  <c r="D33" i="154"/>
  <c r="A151" i="148"/>
  <c r="AF2" i="134"/>
  <c r="AS586" i="101" l="1"/>
  <c r="E586" i="134"/>
  <c r="D588" i="135" s="1"/>
  <c r="D588" i="139" s="1"/>
  <c r="F587" i="101"/>
  <c r="AS382" i="101"/>
  <c r="E382" i="134"/>
  <c r="D384" i="135" s="1"/>
  <c r="D384" i="139" s="1"/>
  <c r="AR382" i="101"/>
  <c r="F383" i="101"/>
  <c r="C382" i="134"/>
  <c r="E384" i="135" s="1"/>
  <c r="E384" i="139" s="1"/>
  <c r="G383" i="101"/>
  <c r="C153" i="134"/>
  <c r="E155" i="135" s="1"/>
  <c r="E155" i="139" s="1"/>
  <c r="G154" i="101"/>
  <c r="A168" i="154"/>
  <c r="B166" i="154"/>
  <c r="A307" i="154"/>
  <c r="C803" i="154"/>
  <c r="C138" i="154"/>
  <c r="D137" i="154"/>
  <c r="C32" i="154"/>
  <c r="D34" i="154"/>
  <c r="B34" i="154"/>
  <c r="A156" i="148"/>
  <c r="AS587" i="101" l="1"/>
  <c r="E587" i="134"/>
  <c r="D589" i="135" s="1"/>
  <c r="D589" i="139" s="1"/>
  <c r="AR587" i="101"/>
  <c r="F588" i="101"/>
  <c r="C383" i="134"/>
  <c r="E385" i="135" s="1"/>
  <c r="E385" i="139" s="1"/>
  <c r="G384" i="101"/>
  <c r="AS383" i="101"/>
  <c r="AR383" i="101"/>
  <c r="E383" i="134"/>
  <c r="D385" i="135" s="1"/>
  <c r="D385" i="139" s="1"/>
  <c r="F384" i="101"/>
  <c r="C154" i="134"/>
  <c r="E156" i="135" s="1"/>
  <c r="E156" i="139" s="1"/>
  <c r="G155" i="101"/>
  <c r="B167" i="154"/>
  <c r="A169" i="154"/>
  <c r="A308" i="154"/>
  <c r="C804" i="154"/>
  <c r="D138" i="154"/>
  <c r="C139" i="154"/>
  <c r="C33" i="154"/>
  <c r="B35" i="154"/>
  <c r="D35" i="154"/>
  <c r="AS588" i="101" l="1"/>
  <c r="E588" i="134"/>
  <c r="D590" i="135" s="1"/>
  <c r="D590" i="139" s="1"/>
  <c r="AR588" i="101"/>
  <c r="F589" i="101"/>
  <c r="F590" i="101" s="1"/>
  <c r="AS384" i="101"/>
  <c r="E384" i="134"/>
  <c r="D386" i="135" s="1"/>
  <c r="D386" i="139" s="1"/>
  <c r="AR384" i="101"/>
  <c r="F385" i="101"/>
  <c r="C384" i="134"/>
  <c r="E386" i="135" s="1"/>
  <c r="E386" i="139" s="1"/>
  <c r="G385" i="101"/>
  <c r="C155" i="134"/>
  <c r="E157" i="135" s="1"/>
  <c r="E157" i="139" s="1"/>
  <c r="G156" i="101"/>
  <c r="B168" i="154"/>
  <c r="A170" i="154"/>
  <c r="A309" i="154"/>
  <c r="C805" i="154"/>
  <c r="C140" i="154"/>
  <c r="D139" i="154"/>
  <c r="B36" i="154"/>
  <c r="D36" i="154"/>
  <c r="C34" i="154"/>
  <c r="AS590" i="101" l="1"/>
  <c r="E590" i="134"/>
  <c r="D592" i="135" s="1"/>
  <c r="D592" i="139" s="1"/>
  <c r="F591" i="101"/>
  <c r="AR589" i="101"/>
  <c r="AR590" i="101" s="1"/>
  <c r="AS589" i="101"/>
  <c r="E589" i="134"/>
  <c r="D591" i="135" s="1"/>
  <c r="D591" i="139" s="1"/>
  <c r="C385" i="134"/>
  <c r="E387" i="135" s="1"/>
  <c r="E387" i="139" s="1"/>
  <c r="G386" i="101"/>
  <c r="AS385" i="101"/>
  <c r="E385" i="134"/>
  <c r="D387" i="135" s="1"/>
  <c r="D387" i="139" s="1"/>
  <c r="AR385" i="101"/>
  <c r="F386" i="101"/>
  <c r="C156" i="134"/>
  <c r="E158" i="135" s="1"/>
  <c r="E158" i="139" s="1"/>
  <c r="G157" i="101"/>
  <c r="B169" i="154"/>
  <c r="A171" i="154"/>
  <c r="A310" i="154"/>
  <c r="C848" i="154"/>
  <c r="C806" i="154"/>
  <c r="C141" i="154"/>
  <c r="D140" i="154"/>
  <c r="C35" i="154"/>
  <c r="B37" i="154"/>
  <c r="D37" i="154"/>
  <c r="B27" i="137"/>
  <c r="B31" i="137"/>
  <c r="AS591" i="101" l="1"/>
  <c r="AS592" i="101" s="1"/>
  <c r="AS594" i="101" s="1"/>
  <c r="AS596" i="101" s="1"/>
  <c r="AS598" i="101" s="1"/>
  <c r="AS600" i="101" s="1"/>
  <c r="E591" i="134"/>
  <c r="D593" i="135" s="1"/>
  <c r="D593" i="139" s="1"/>
  <c r="AR591" i="101"/>
  <c r="AS386" i="101"/>
  <c r="AR386" i="101"/>
  <c r="E386" i="134"/>
  <c r="D388" i="135" s="1"/>
  <c r="D388" i="139" s="1"/>
  <c r="F387" i="101"/>
  <c r="C386" i="134"/>
  <c r="E388" i="135" s="1"/>
  <c r="E388" i="139" s="1"/>
  <c r="G387" i="101"/>
  <c r="C157" i="134"/>
  <c r="E159" i="135" s="1"/>
  <c r="E159" i="139" s="1"/>
  <c r="G158" i="101"/>
  <c r="B170" i="154"/>
  <c r="A172" i="154"/>
  <c r="A311" i="154"/>
  <c r="C849" i="154"/>
  <c r="C807" i="154"/>
  <c r="AD31" i="137"/>
  <c r="U31" i="137"/>
  <c r="AY27" i="137"/>
  <c r="AD27" i="137"/>
  <c r="U27" i="137"/>
  <c r="C142" i="154"/>
  <c r="D141" i="154"/>
  <c r="C36" i="154"/>
  <c r="D38" i="154"/>
  <c r="AI31" i="137"/>
  <c r="AY31" i="137"/>
  <c r="K31" i="137"/>
  <c r="BW31" i="137"/>
  <c r="H31" i="137"/>
  <c r="BA31" i="137"/>
  <c r="AW31" i="137"/>
  <c r="AS31" i="137"/>
  <c r="AO31" i="137"/>
  <c r="AK31" i="137"/>
  <c r="AX31" i="137"/>
  <c r="AT31" i="137"/>
  <c r="AP31" i="137"/>
  <c r="AL31" i="137"/>
  <c r="AZ31" i="137"/>
  <c r="AR31" i="137"/>
  <c r="AJ31" i="137"/>
  <c r="AV31" i="137"/>
  <c r="AQ31" i="137"/>
  <c r="AU31" i="137"/>
  <c r="AM31" i="137"/>
  <c r="AN31" i="137"/>
  <c r="H27" i="137"/>
  <c r="BA27" i="137"/>
  <c r="AW27" i="137"/>
  <c r="AS27" i="137"/>
  <c r="AO27" i="137"/>
  <c r="AK27" i="137"/>
  <c r="AX27" i="137"/>
  <c r="AT27" i="137"/>
  <c r="AP27" i="137"/>
  <c r="AL27" i="137"/>
  <c r="AZ27" i="137"/>
  <c r="AR27" i="137"/>
  <c r="AJ27" i="137"/>
  <c r="AV27" i="137"/>
  <c r="AN27" i="137"/>
  <c r="AQ27" i="137"/>
  <c r="AU27" i="137"/>
  <c r="AM27" i="137"/>
  <c r="BS31" i="137"/>
  <c r="AG31" i="137"/>
  <c r="BK31" i="137"/>
  <c r="Y31" i="137"/>
  <c r="CC27" i="137"/>
  <c r="CE31" i="137"/>
  <c r="BI31" i="137"/>
  <c r="CA31" i="137"/>
  <c r="BQ31" i="137"/>
  <c r="BG31" i="137"/>
  <c r="AC31" i="137"/>
  <c r="S31" i="137"/>
  <c r="BC27" i="137"/>
  <c r="BY31" i="137"/>
  <c r="BO31" i="137"/>
  <c r="BC31" i="137"/>
  <c r="AA31" i="137"/>
  <c r="Q31" i="137"/>
  <c r="BS27" i="137"/>
  <c r="G31" i="137"/>
  <c r="BK27" i="137"/>
  <c r="M27" i="137"/>
  <c r="CA27" i="137"/>
  <c r="AC27" i="137"/>
  <c r="CC31" i="137"/>
  <c r="BU31" i="137"/>
  <c r="BM31" i="137"/>
  <c r="BE31" i="137"/>
  <c r="AE31" i="137"/>
  <c r="W31" i="137"/>
  <c r="O31" i="137"/>
  <c r="CE27" i="137"/>
  <c r="BW27" i="137"/>
  <c r="BO27" i="137"/>
  <c r="BG27" i="137"/>
  <c r="AG27" i="137"/>
  <c r="Y27" i="137"/>
  <c r="Q27" i="137"/>
  <c r="I27" i="137"/>
  <c r="BU27" i="137"/>
  <c r="BM27" i="137"/>
  <c r="BE27" i="137"/>
  <c r="AE27" i="137"/>
  <c r="W27" i="137"/>
  <c r="O27" i="137"/>
  <c r="G27" i="137"/>
  <c r="BY27" i="137"/>
  <c r="BQ27" i="137"/>
  <c r="BI27" i="137"/>
  <c r="AI27" i="137"/>
  <c r="AA27" i="137"/>
  <c r="S27" i="137"/>
  <c r="K27" i="137"/>
  <c r="CB31" i="137"/>
  <c r="BX31" i="137"/>
  <c r="BT31" i="137"/>
  <c r="BP31" i="137"/>
  <c r="BL31" i="137"/>
  <c r="BH31" i="137"/>
  <c r="BD31" i="137"/>
  <c r="AH31" i="137"/>
  <c r="Z31" i="137"/>
  <c r="V31" i="137"/>
  <c r="R31" i="137"/>
  <c r="N31" i="137"/>
  <c r="J31" i="137"/>
  <c r="F31" i="137"/>
  <c r="CB27" i="137"/>
  <c r="BX27" i="137"/>
  <c r="BT27" i="137"/>
  <c r="BP27" i="137"/>
  <c r="BL27" i="137"/>
  <c r="BH27" i="137"/>
  <c r="BD27" i="137"/>
  <c r="AH27" i="137"/>
  <c r="Z27" i="137"/>
  <c r="V27" i="137"/>
  <c r="R27" i="137"/>
  <c r="N27" i="137"/>
  <c r="J27" i="137"/>
  <c r="F27" i="137"/>
  <c r="M31" i="137"/>
  <c r="I31" i="137"/>
  <c r="CD31" i="137"/>
  <c r="BZ31" i="137"/>
  <c r="BV31" i="137"/>
  <c r="BR31" i="137"/>
  <c r="BN31" i="137"/>
  <c r="BJ31" i="137"/>
  <c r="BF31" i="137"/>
  <c r="BB31" i="137"/>
  <c r="AF31" i="137"/>
  <c r="AB31" i="137"/>
  <c r="X31" i="137"/>
  <c r="T31" i="137"/>
  <c r="P31" i="137"/>
  <c r="L31" i="137"/>
  <c r="CD27" i="137"/>
  <c r="BZ27" i="137"/>
  <c r="BV27" i="137"/>
  <c r="BR27" i="137"/>
  <c r="BN27" i="137"/>
  <c r="BJ27" i="137"/>
  <c r="BF27" i="137"/>
  <c r="BB27" i="137"/>
  <c r="AF27" i="137"/>
  <c r="AB27" i="137"/>
  <c r="X27" i="137"/>
  <c r="T27" i="137"/>
  <c r="P27" i="137"/>
  <c r="L27" i="137"/>
  <c r="C387" i="134" l="1"/>
  <c r="E389" i="135" s="1"/>
  <c r="E389" i="139" s="1"/>
  <c r="G388" i="101"/>
  <c r="E387" i="134"/>
  <c r="D389" i="135" s="1"/>
  <c r="D389" i="139" s="1"/>
  <c r="AS387" i="101"/>
  <c r="AR387" i="101"/>
  <c r="F388" i="101"/>
  <c r="C158" i="134"/>
  <c r="E160" i="135" s="1"/>
  <c r="E160" i="139" s="1"/>
  <c r="G159" i="101"/>
  <c r="A173" i="154"/>
  <c r="B171" i="154"/>
  <c r="A312" i="154"/>
  <c r="C850" i="154"/>
  <c r="C808" i="154"/>
  <c r="C143" i="154"/>
  <c r="D142" i="154"/>
  <c r="C37" i="154"/>
  <c r="B39" i="154"/>
  <c r="D39" i="154"/>
  <c r="B25" i="137"/>
  <c r="B26" i="137"/>
  <c r="B15" i="137"/>
  <c r="B10" i="137"/>
  <c r="C388" i="134" l="1"/>
  <c r="E390" i="135" s="1"/>
  <c r="E390" i="139" s="1"/>
  <c r="G389" i="101"/>
  <c r="E388" i="134"/>
  <c r="D390" i="135" s="1"/>
  <c r="D390" i="139" s="1"/>
  <c r="AS388" i="101"/>
  <c r="AR388" i="101"/>
  <c r="F389" i="101"/>
  <c r="C159" i="134"/>
  <c r="E161" i="135" s="1"/>
  <c r="E161" i="139" s="1"/>
  <c r="G160" i="101"/>
  <c r="B172" i="154"/>
  <c r="A174" i="154"/>
  <c r="A313" i="154"/>
  <c r="C851" i="154"/>
  <c r="C809" i="154"/>
  <c r="AY25" i="137"/>
  <c r="AD25" i="137"/>
  <c r="U25" i="137"/>
  <c r="AY15" i="137"/>
  <c r="AD15" i="137"/>
  <c r="U15" i="137"/>
  <c r="U10" i="137"/>
  <c r="AD10" i="137"/>
  <c r="AD26" i="137"/>
  <c r="U26" i="137"/>
  <c r="C144" i="154"/>
  <c r="D143" i="154"/>
  <c r="B40" i="154"/>
  <c r="D40" i="154"/>
  <c r="C38" i="154"/>
  <c r="BN26" i="137"/>
  <c r="AY26" i="137"/>
  <c r="CB10" i="137"/>
  <c r="AY10" i="137"/>
  <c r="CD26" i="137"/>
  <c r="BA10" i="137"/>
  <c r="AW10" i="137"/>
  <c r="AS10" i="137"/>
  <c r="AO10" i="137"/>
  <c r="AK10" i="137"/>
  <c r="AU10" i="137"/>
  <c r="AQ10" i="137"/>
  <c r="AM10" i="137"/>
  <c r="AZ10" i="137"/>
  <c r="AV10" i="137"/>
  <c r="AR10" i="137"/>
  <c r="AN10" i="137"/>
  <c r="AJ10" i="137"/>
  <c r="AX10" i="137"/>
  <c r="AT10" i="137"/>
  <c r="AP10" i="137"/>
  <c r="AL10" i="137"/>
  <c r="G26" i="137"/>
  <c r="AU26" i="137"/>
  <c r="AQ26" i="137"/>
  <c r="AM26" i="137"/>
  <c r="AZ26" i="137"/>
  <c r="AV26" i="137"/>
  <c r="AR26" i="137"/>
  <c r="AN26" i="137"/>
  <c r="AJ26" i="137"/>
  <c r="AT26" i="137"/>
  <c r="AL26" i="137"/>
  <c r="AX26" i="137"/>
  <c r="AP26" i="137"/>
  <c r="BA26" i="137"/>
  <c r="AS26" i="137"/>
  <c r="AK26" i="137"/>
  <c r="AW26" i="137"/>
  <c r="AO26" i="137"/>
  <c r="CA15" i="137"/>
  <c r="BA15" i="137"/>
  <c r="AW15" i="137"/>
  <c r="AS15" i="137"/>
  <c r="AO15" i="137"/>
  <c r="AK15" i="137"/>
  <c r="AX15" i="137"/>
  <c r="AT15" i="137"/>
  <c r="AP15" i="137"/>
  <c r="AL15" i="137"/>
  <c r="AZ15" i="137"/>
  <c r="AR15" i="137"/>
  <c r="AJ15" i="137"/>
  <c r="AV15" i="137"/>
  <c r="AN15" i="137"/>
  <c r="AQ15" i="137"/>
  <c r="AU15" i="137"/>
  <c r="AM15" i="137"/>
  <c r="F25" i="137"/>
  <c r="BA25" i="137"/>
  <c r="AW25" i="137"/>
  <c r="AS25" i="137"/>
  <c r="AO25" i="137"/>
  <c r="AK25" i="137"/>
  <c r="AX25" i="137"/>
  <c r="AT25" i="137"/>
  <c r="AP25" i="137"/>
  <c r="AL25" i="137"/>
  <c r="AV25" i="137"/>
  <c r="AN25" i="137"/>
  <c r="AZ25" i="137"/>
  <c r="AR25" i="137"/>
  <c r="AJ25" i="137"/>
  <c r="AU25" i="137"/>
  <c r="AM25" i="137"/>
  <c r="AQ25" i="137"/>
  <c r="X26" i="137"/>
  <c r="BS26" i="137"/>
  <c r="AF26" i="137"/>
  <c r="J26" i="137"/>
  <c r="AB26" i="137"/>
  <c r="BZ26" i="137"/>
  <c r="BJ26" i="137"/>
  <c r="BV26" i="137"/>
  <c r="BF26" i="137"/>
  <c r="P26" i="137"/>
  <c r="CA26" i="137"/>
  <c r="BR26" i="137"/>
  <c r="BB26" i="137"/>
  <c r="T26" i="137"/>
  <c r="BO25" i="137"/>
  <c r="CE26" i="137"/>
  <c r="BW26" i="137"/>
  <c r="BO26" i="137"/>
  <c r="BG26" i="137"/>
  <c r="AG26" i="137"/>
  <c r="Y26" i="137"/>
  <c r="Q26" i="137"/>
  <c r="F26" i="137"/>
  <c r="AG25" i="137"/>
  <c r="BQ15" i="137"/>
  <c r="BK26" i="137"/>
  <c r="BC26" i="137"/>
  <c r="AC26" i="137"/>
  <c r="L26" i="137"/>
  <c r="BU25" i="137"/>
  <c r="CC26" i="137"/>
  <c r="BY26" i="137"/>
  <c r="BU26" i="137"/>
  <c r="BQ26" i="137"/>
  <c r="BM26" i="137"/>
  <c r="BI26" i="137"/>
  <c r="BE26" i="137"/>
  <c r="AI26" i="137"/>
  <c r="AE26" i="137"/>
  <c r="AA26" i="137"/>
  <c r="W26" i="137"/>
  <c r="S26" i="137"/>
  <c r="N26" i="137"/>
  <c r="I26" i="137"/>
  <c r="CE25" i="137"/>
  <c r="BJ25" i="137"/>
  <c r="W25" i="137"/>
  <c r="CB26" i="137"/>
  <c r="BX26" i="137"/>
  <c r="BT26" i="137"/>
  <c r="BP26" i="137"/>
  <c r="BL26" i="137"/>
  <c r="BH26" i="137"/>
  <c r="BD26" i="137"/>
  <c r="AH26" i="137"/>
  <c r="Z26" i="137"/>
  <c r="V26" i="137"/>
  <c r="R26" i="137"/>
  <c r="M26" i="137"/>
  <c r="H26" i="137"/>
  <c r="BZ25" i="137"/>
  <c r="BE25" i="137"/>
  <c r="Q25" i="137"/>
  <c r="AB25" i="137"/>
  <c r="L25" i="137"/>
  <c r="O26" i="137"/>
  <c r="K26" i="137"/>
  <c r="CD25" i="137"/>
  <c r="BS25" i="137"/>
  <c r="BI25" i="137"/>
  <c r="AF25" i="137"/>
  <c r="G25" i="137"/>
  <c r="BY25" i="137"/>
  <c r="BN25" i="137"/>
  <c r="BC25" i="137"/>
  <c r="AA25" i="137"/>
  <c r="P25" i="137"/>
  <c r="BS15" i="137"/>
  <c r="AI15" i="137"/>
  <c r="CD15" i="137"/>
  <c r="CC25" i="137"/>
  <c r="BW25" i="137"/>
  <c r="BR25" i="137"/>
  <c r="BM25" i="137"/>
  <c r="BG25" i="137"/>
  <c r="BB25" i="137"/>
  <c r="AE25" i="137"/>
  <c r="Y25" i="137"/>
  <c r="T25" i="137"/>
  <c r="O25" i="137"/>
  <c r="I25" i="137"/>
  <c r="X15" i="137"/>
  <c r="K25" i="137"/>
  <c r="H15" i="137"/>
  <c r="K15" i="137"/>
  <c r="BF15" i="137"/>
  <c r="CA25" i="137"/>
  <c r="BV25" i="137"/>
  <c r="BQ25" i="137"/>
  <c r="BK25" i="137"/>
  <c r="BF25" i="137"/>
  <c r="AI25" i="137"/>
  <c r="AC25" i="137"/>
  <c r="X25" i="137"/>
  <c r="S25" i="137"/>
  <c r="M25" i="137"/>
  <c r="H25" i="137"/>
  <c r="CB25" i="137"/>
  <c r="BX25" i="137"/>
  <c r="BT25" i="137"/>
  <c r="BP25" i="137"/>
  <c r="BL25" i="137"/>
  <c r="BH25" i="137"/>
  <c r="BD25" i="137"/>
  <c r="AH25" i="137"/>
  <c r="Z25" i="137"/>
  <c r="V25" i="137"/>
  <c r="R25" i="137"/>
  <c r="N25" i="137"/>
  <c r="J25" i="137"/>
  <c r="M15" i="137"/>
  <c r="AC15" i="137"/>
  <c r="BI15" i="137"/>
  <c r="BV15" i="137"/>
  <c r="S15" i="137"/>
  <c r="AF15" i="137"/>
  <c r="BK15" i="137"/>
  <c r="K10" i="137"/>
  <c r="AA10" i="137"/>
  <c r="BI10" i="137"/>
  <c r="BY10" i="137"/>
  <c r="O10" i="137"/>
  <c r="AE10" i="137"/>
  <c r="BM10" i="137"/>
  <c r="CC10" i="137"/>
  <c r="S10" i="137"/>
  <c r="AI10" i="137"/>
  <c r="BQ10" i="137"/>
  <c r="G10" i="137"/>
  <c r="W10" i="137"/>
  <c r="BE10" i="137"/>
  <c r="BU10" i="137"/>
  <c r="H10" i="137"/>
  <c r="L10" i="137"/>
  <c r="P10" i="137"/>
  <c r="T10" i="137"/>
  <c r="X10" i="137"/>
  <c r="AB10" i="137"/>
  <c r="AF10" i="137"/>
  <c r="BB10" i="137"/>
  <c r="BF10" i="137"/>
  <c r="BJ10" i="137"/>
  <c r="BN10" i="137"/>
  <c r="BR10" i="137"/>
  <c r="BV10" i="137"/>
  <c r="BZ10" i="137"/>
  <c r="CD10" i="137"/>
  <c r="I10" i="137"/>
  <c r="M10" i="137"/>
  <c r="Q10" i="137"/>
  <c r="Y10" i="137"/>
  <c r="AC10" i="137"/>
  <c r="AG10" i="137"/>
  <c r="BC10" i="137"/>
  <c r="BG10" i="137"/>
  <c r="BK10" i="137"/>
  <c r="BO10" i="137"/>
  <c r="BS10" i="137"/>
  <c r="BW10" i="137"/>
  <c r="CA10" i="137"/>
  <c r="CE10" i="137"/>
  <c r="F10" i="137"/>
  <c r="J10" i="137"/>
  <c r="N10" i="137"/>
  <c r="R10" i="137"/>
  <c r="V10" i="137"/>
  <c r="Z10" i="137"/>
  <c r="AH10" i="137"/>
  <c r="BD10" i="137"/>
  <c r="BH10" i="137"/>
  <c r="BL10" i="137"/>
  <c r="BP10" i="137"/>
  <c r="BT10" i="137"/>
  <c r="BX10" i="137"/>
  <c r="CB15" i="137"/>
  <c r="BX15" i="137"/>
  <c r="BT15" i="137"/>
  <c r="BP15" i="137"/>
  <c r="BL15" i="137"/>
  <c r="BH15" i="137"/>
  <c r="BD15" i="137"/>
  <c r="AH15" i="137"/>
  <c r="Z15" i="137"/>
  <c r="V15" i="137"/>
  <c r="R15" i="137"/>
  <c r="N15" i="137"/>
  <c r="J15" i="137"/>
  <c r="F15" i="137"/>
  <c r="CC15" i="137"/>
  <c r="BW15" i="137"/>
  <c r="BR15" i="137"/>
  <c r="BM15" i="137"/>
  <c r="BG15" i="137"/>
  <c r="BB15" i="137"/>
  <c r="AE15" i="137"/>
  <c r="Y15" i="137"/>
  <c r="T15" i="137"/>
  <c r="O15" i="137"/>
  <c r="I15" i="137"/>
  <c r="CE15" i="137"/>
  <c r="BZ15" i="137"/>
  <c r="BU15" i="137"/>
  <c r="BO15" i="137"/>
  <c r="BJ15" i="137"/>
  <c r="BE15" i="137"/>
  <c r="AG15" i="137"/>
  <c r="AB15" i="137"/>
  <c r="W15" i="137"/>
  <c r="Q15" i="137"/>
  <c r="L15" i="137"/>
  <c r="G15" i="137"/>
  <c r="P15" i="137"/>
  <c r="AA15" i="137"/>
  <c r="BC15" i="137"/>
  <c r="BN15" i="137"/>
  <c r="BY15" i="137"/>
  <c r="AS389" i="101" l="1"/>
  <c r="E389" i="134"/>
  <c r="D391" i="135" s="1"/>
  <c r="D391" i="139" s="1"/>
  <c r="AR389" i="101"/>
  <c r="F390" i="101"/>
  <c r="C389" i="134"/>
  <c r="E391" i="135" s="1"/>
  <c r="E391" i="139" s="1"/>
  <c r="G390" i="101"/>
  <c r="C160" i="134"/>
  <c r="E162" i="135" s="1"/>
  <c r="E162" i="139" s="1"/>
  <c r="G161" i="101"/>
  <c r="A175" i="154"/>
  <c r="B173" i="154"/>
  <c r="A314" i="154"/>
  <c r="C852" i="154"/>
  <c r="C810" i="154"/>
  <c r="C145" i="154"/>
  <c r="D144" i="154"/>
  <c r="C39" i="154"/>
  <c r="B41" i="154"/>
  <c r="D41" i="154"/>
  <c r="C390" i="134" l="1"/>
  <c r="E392" i="135" s="1"/>
  <c r="E392" i="139" s="1"/>
  <c r="G391" i="101"/>
  <c r="AS390" i="101"/>
  <c r="E390" i="134"/>
  <c r="D392" i="135" s="1"/>
  <c r="D392" i="139" s="1"/>
  <c r="AR390" i="101"/>
  <c r="F391" i="101"/>
  <c r="C161" i="134"/>
  <c r="E163" i="135" s="1"/>
  <c r="E163" i="139" s="1"/>
  <c r="G162" i="101"/>
  <c r="A176" i="154"/>
  <c r="B174" i="154"/>
  <c r="A315" i="154"/>
  <c r="C853" i="154"/>
  <c r="C811" i="154"/>
  <c r="C146" i="154"/>
  <c r="D145" i="154"/>
  <c r="D42" i="154"/>
  <c r="B42" i="154"/>
  <c r="C40" i="154"/>
  <c r="E391" i="134" l="1"/>
  <c r="D393" i="135" s="1"/>
  <c r="D393" i="139" s="1"/>
  <c r="AS391" i="101"/>
  <c r="AR391" i="101"/>
  <c r="F392" i="101"/>
  <c r="C391" i="134"/>
  <c r="E393" i="135" s="1"/>
  <c r="E393" i="139" s="1"/>
  <c r="G392" i="101"/>
  <c r="C162" i="134"/>
  <c r="E164" i="135" s="1"/>
  <c r="E164" i="139" s="1"/>
  <c r="G163" i="101"/>
  <c r="C744" i="154"/>
  <c r="B175" i="154"/>
  <c r="A177" i="154"/>
  <c r="A316" i="154"/>
  <c r="C854" i="154"/>
  <c r="C812" i="154"/>
  <c r="C147" i="154"/>
  <c r="D146" i="154"/>
  <c r="B43" i="154"/>
  <c r="C41" i="154"/>
  <c r="AM2" i="134"/>
  <c r="AL2" i="134"/>
  <c r="AI2" i="134"/>
  <c r="AH2" i="134"/>
  <c r="AG2" i="134"/>
  <c r="AB2" i="134"/>
  <c r="AA2" i="134"/>
  <c r="V2" i="134"/>
  <c r="U2" i="134"/>
  <c r="R2" i="134"/>
  <c r="Q2" i="134"/>
  <c r="P2" i="134"/>
  <c r="O2" i="134"/>
  <c r="N2" i="134"/>
  <c r="M2" i="134"/>
  <c r="L2" i="134"/>
  <c r="J2" i="134"/>
  <c r="I2" i="134"/>
  <c r="H2" i="134"/>
  <c r="G2" i="134"/>
  <c r="C392" i="134" l="1"/>
  <c r="E394" i="135" s="1"/>
  <c r="E394" i="139" s="1"/>
  <c r="G393" i="101"/>
  <c r="AS392" i="101"/>
  <c r="AR392" i="101"/>
  <c r="E392" i="134"/>
  <c r="D394" i="135" s="1"/>
  <c r="D394" i="139" s="1"/>
  <c r="F393" i="101"/>
  <c r="C163" i="134"/>
  <c r="E165" i="135" s="1"/>
  <c r="E165" i="139" s="1"/>
  <c r="G164" i="101"/>
  <c r="C745" i="154"/>
  <c r="A178" i="154"/>
  <c r="B176" i="154"/>
  <c r="A317" i="154"/>
  <c r="C855" i="154"/>
  <c r="C813" i="154"/>
  <c r="C148" i="154"/>
  <c r="D147" i="154"/>
  <c r="B44" i="154"/>
  <c r="C42" i="154"/>
  <c r="D43" i="154"/>
  <c r="B14" i="137"/>
  <c r="B18" i="137"/>
  <c r="B16" i="137"/>
  <c r="B13" i="137"/>
  <c r="B12" i="137"/>
  <c r="AP2" i="134"/>
  <c r="E393" i="134" l="1"/>
  <c r="D395" i="135" s="1"/>
  <c r="D395" i="139" s="1"/>
  <c r="AR393" i="101"/>
  <c r="AS393" i="101"/>
  <c r="F394" i="101"/>
  <c r="C393" i="134"/>
  <c r="E395" i="135" s="1"/>
  <c r="E395" i="139" s="1"/>
  <c r="G394" i="101"/>
  <c r="C164" i="134"/>
  <c r="E166" i="135" s="1"/>
  <c r="E166" i="139" s="1"/>
  <c r="G165" i="101"/>
  <c r="C746" i="154"/>
  <c r="B177" i="154"/>
  <c r="A318" i="154"/>
  <c r="C856" i="154"/>
  <c r="C814" i="154"/>
  <c r="AY18" i="137"/>
  <c r="U18" i="137"/>
  <c r="AD18" i="137"/>
  <c r="AY14" i="137"/>
  <c r="AD14" i="137"/>
  <c r="U14" i="137"/>
  <c r="AY13" i="137"/>
  <c r="AD13" i="137"/>
  <c r="U13" i="137"/>
  <c r="AY12" i="137"/>
  <c r="AD12" i="137"/>
  <c r="U12" i="137"/>
  <c r="AY16" i="137"/>
  <c r="AD16" i="137"/>
  <c r="U16" i="137"/>
  <c r="C149" i="154"/>
  <c r="D148" i="154"/>
  <c r="C43" i="154"/>
  <c r="D44" i="154"/>
  <c r="B45" i="154"/>
  <c r="B17" i="137"/>
  <c r="BA12" i="137"/>
  <c r="AW12" i="137"/>
  <c r="AS12" i="137"/>
  <c r="AO12" i="137"/>
  <c r="AK12" i="137"/>
  <c r="AU12" i="137"/>
  <c r="AQ12" i="137"/>
  <c r="AM12" i="137"/>
  <c r="AZ12" i="137"/>
  <c r="AV12" i="137"/>
  <c r="AR12" i="137"/>
  <c r="AN12" i="137"/>
  <c r="AJ12" i="137"/>
  <c r="AX12" i="137"/>
  <c r="AT12" i="137"/>
  <c r="AP12" i="137"/>
  <c r="AL12" i="137"/>
  <c r="AU14" i="137"/>
  <c r="AQ14" i="137"/>
  <c r="AM14" i="137"/>
  <c r="AZ14" i="137"/>
  <c r="AV14" i="137"/>
  <c r="AR14" i="137"/>
  <c r="AN14" i="137"/>
  <c r="AJ14" i="137"/>
  <c r="AT14" i="137"/>
  <c r="AL14" i="137"/>
  <c r="AX14" i="137"/>
  <c r="AP14" i="137"/>
  <c r="BA14" i="137"/>
  <c r="AS14" i="137"/>
  <c r="AK14" i="137"/>
  <c r="AW14" i="137"/>
  <c r="AO14" i="137"/>
  <c r="BA13" i="137"/>
  <c r="AW13" i="137"/>
  <c r="AS13" i="137"/>
  <c r="AO13" i="137"/>
  <c r="AX13" i="137"/>
  <c r="AT13" i="137"/>
  <c r="AP13" i="137"/>
  <c r="AL13" i="137"/>
  <c r="AV13" i="137"/>
  <c r="AN13" i="137"/>
  <c r="AZ13" i="137"/>
  <c r="AR13" i="137"/>
  <c r="AK13" i="137"/>
  <c r="AU13" i="137"/>
  <c r="AM13" i="137"/>
  <c r="AQ13" i="137"/>
  <c r="AJ13" i="137"/>
  <c r="AU18" i="137"/>
  <c r="AQ18" i="137"/>
  <c r="AM18" i="137"/>
  <c r="AZ18" i="137"/>
  <c r="AV18" i="137"/>
  <c r="AR18" i="137"/>
  <c r="AN18" i="137"/>
  <c r="AJ18" i="137"/>
  <c r="AT18" i="137"/>
  <c r="AL18" i="137"/>
  <c r="AX18" i="137"/>
  <c r="AP18" i="137"/>
  <c r="BA18" i="137"/>
  <c r="AS18" i="137"/>
  <c r="AK18" i="137"/>
  <c r="AW18" i="137"/>
  <c r="AO18" i="137"/>
  <c r="AU16" i="137"/>
  <c r="AQ16" i="137"/>
  <c r="AM16" i="137"/>
  <c r="AZ16" i="137"/>
  <c r="AV16" i="137"/>
  <c r="AR16" i="137"/>
  <c r="AN16" i="137"/>
  <c r="AJ16" i="137"/>
  <c r="AX16" i="137"/>
  <c r="AP16" i="137"/>
  <c r="AT16" i="137"/>
  <c r="AL16" i="137"/>
  <c r="AW16" i="137"/>
  <c r="AO16" i="137"/>
  <c r="BA16" i="137"/>
  <c r="AS16" i="137"/>
  <c r="AK16" i="137"/>
  <c r="BZ16" i="137"/>
  <c r="BJ16" i="137"/>
  <c r="AB16" i="137"/>
  <c r="BU16" i="137"/>
  <c r="N16" i="137"/>
  <c r="AI16" i="137"/>
  <c r="BV16" i="137"/>
  <c r="T16" i="137"/>
  <c r="BH16" i="137"/>
  <c r="CC16" i="137"/>
  <c r="P16" i="137"/>
  <c r="BD16" i="137"/>
  <c r="BY16" i="137"/>
  <c r="G16" i="137"/>
  <c r="AH16" i="137"/>
  <c r="H16" i="137"/>
  <c r="BQ16" i="137"/>
  <c r="O16" i="137"/>
  <c r="BB16" i="137"/>
  <c r="BX16" i="137"/>
  <c r="K16" i="137"/>
  <c r="AF16" i="137"/>
  <c r="BT16" i="137"/>
  <c r="W16" i="137"/>
  <c r="CD16" i="137"/>
  <c r="BL16" i="137"/>
  <c r="J16" i="137"/>
  <c r="BR16" i="137"/>
  <c r="BI16" i="137"/>
  <c r="R16" i="137"/>
  <c r="S16" i="137"/>
  <c r="CB16" i="137"/>
  <c r="Z16" i="137"/>
  <c r="F16" i="137"/>
  <c r="BN16" i="137"/>
  <c r="BP16" i="137"/>
  <c r="BE16" i="137"/>
  <c r="X16" i="137"/>
  <c r="CE16" i="137"/>
  <c r="V16" i="137"/>
  <c r="M16" i="137"/>
  <c r="AC16" i="137"/>
  <c r="BK16" i="137"/>
  <c r="CA16" i="137"/>
  <c r="L16" i="137"/>
  <c r="BM16" i="137"/>
  <c r="BC16" i="137"/>
  <c r="BS16" i="137"/>
  <c r="BF16" i="137"/>
  <c r="AE16" i="137"/>
  <c r="AA16" i="137"/>
  <c r="Q16" i="137"/>
  <c r="AG16" i="137"/>
  <c r="BO16" i="137"/>
  <c r="I16" i="137"/>
  <c r="Y16" i="137"/>
  <c r="BG16" i="137"/>
  <c r="BW16" i="137"/>
  <c r="CB13" i="137"/>
  <c r="K13" i="137"/>
  <c r="AG13" i="137"/>
  <c r="BT13" i="137"/>
  <c r="R13" i="137"/>
  <c r="BE13" i="137"/>
  <c r="CA13" i="137"/>
  <c r="F13" i="137"/>
  <c r="AA13" i="137"/>
  <c r="BO13" i="137"/>
  <c r="M13" i="137"/>
  <c r="AH13" i="137"/>
  <c r="BU13" i="137"/>
  <c r="BI13" i="137"/>
  <c r="G13" i="137"/>
  <c r="BP13" i="137"/>
  <c r="I13" i="137"/>
  <c r="BQ13" i="137"/>
  <c r="BR13" i="137"/>
  <c r="BB13" i="137"/>
  <c r="T13" i="137"/>
  <c r="J13" i="137"/>
  <c r="AE13" i="137"/>
  <c r="BS13" i="137"/>
  <c r="Q13" i="137"/>
  <c r="BY13" i="137"/>
  <c r="W13" i="137"/>
  <c r="N13" i="137"/>
  <c r="AI13" i="137"/>
  <c r="BW13" i="137"/>
  <c r="CD13" i="137"/>
  <c r="BN13" i="137"/>
  <c r="AF13" i="137"/>
  <c r="P13" i="137"/>
  <c r="O13" i="137"/>
  <c r="BC13" i="137"/>
  <c r="BX13" i="137"/>
  <c r="BD13" i="137"/>
  <c r="BK13" i="137"/>
  <c r="BL13" i="137"/>
  <c r="BJ13" i="137"/>
  <c r="L13" i="137"/>
  <c r="BH13" i="137"/>
  <c r="CC13" i="137"/>
  <c r="CE13" i="137"/>
  <c r="S13" i="137"/>
  <c r="BF13" i="137"/>
  <c r="H13" i="137"/>
  <c r="BM13" i="137"/>
  <c r="Y13" i="137"/>
  <c r="BZ13" i="137"/>
  <c r="AB13" i="137"/>
  <c r="V13" i="137"/>
  <c r="AC13" i="137"/>
  <c r="BG13" i="137"/>
  <c r="BV13" i="137"/>
  <c r="X13" i="137"/>
  <c r="Z13" i="137"/>
  <c r="BQ12" i="137"/>
  <c r="BV12" i="137"/>
  <c r="S12" i="137"/>
  <c r="X12" i="137"/>
  <c r="J12" i="137"/>
  <c r="AE12" i="137"/>
  <c r="BR12" i="137"/>
  <c r="V12" i="137"/>
  <c r="BI12" i="137"/>
  <c r="CD12" i="137"/>
  <c r="G12" i="137"/>
  <c r="AB12" i="137"/>
  <c r="BP12" i="137"/>
  <c r="AI12" i="137"/>
  <c r="BZ12" i="137"/>
  <c r="H12" i="137"/>
  <c r="CE12" i="137"/>
  <c r="Z12" i="137"/>
  <c r="BM12" i="137"/>
  <c r="P12" i="137"/>
  <c r="BD12" i="137"/>
  <c r="BY12" i="137"/>
  <c r="W12" i="137"/>
  <c r="BJ12" i="137"/>
  <c r="T12" i="137"/>
  <c r="CC12" i="137"/>
  <c r="AF12" i="137"/>
  <c r="L12" i="137"/>
  <c r="BU12" i="137"/>
  <c r="M12" i="137"/>
  <c r="AC12" i="137"/>
  <c r="BK12" i="137"/>
  <c r="CA12" i="137"/>
  <c r="BF12" i="137"/>
  <c r="BL12" i="137"/>
  <c r="BB12" i="137"/>
  <c r="F12" i="137"/>
  <c r="BN12" i="137"/>
  <c r="R12" i="137"/>
  <c r="I12" i="137"/>
  <c r="AG12" i="137"/>
  <c r="BS12" i="137"/>
  <c r="BH12" i="137"/>
  <c r="AA12" i="137"/>
  <c r="AH12" i="137"/>
  <c r="O12" i="137"/>
  <c r="K12" i="137"/>
  <c r="Q12" i="137"/>
  <c r="BC12" i="137"/>
  <c r="BW12" i="137"/>
  <c r="BG12" i="137"/>
  <c r="N12" i="137"/>
  <c r="CB12" i="137"/>
  <c r="BX12" i="137"/>
  <c r="BT12" i="137"/>
  <c r="BE12" i="137"/>
  <c r="Y12" i="137"/>
  <c r="BO12" i="137"/>
  <c r="BX14" i="137"/>
  <c r="X14" i="137"/>
  <c r="J14" i="137"/>
  <c r="BH14" i="137"/>
  <c r="L14" i="137"/>
  <c r="BJ14" i="137"/>
  <c r="F14" i="137"/>
  <c r="BD14" i="137"/>
  <c r="P14" i="137"/>
  <c r="BN14" i="137"/>
  <c r="AH14" i="137"/>
  <c r="CB14" i="137"/>
  <c r="BB14" i="137"/>
  <c r="BL14" i="137"/>
  <c r="H14" i="137"/>
  <c r="Z14" i="137"/>
  <c r="AB14" i="137"/>
  <c r="V14" i="137"/>
  <c r="S14" i="137"/>
  <c r="AI14" i="137"/>
  <c r="BR14" i="137"/>
  <c r="BU14" i="137"/>
  <c r="Q14" i="137"/>
  <c r="AG14" i="137"/>
  <c r="BO14" i="137"/>
  <c r="AF14" i="137"/>
  <c r="BP14" i="137"/>
  <c r="BS14" i="137"/>
  <c r="BV14" i="137"/>
  <c r="T14" i="137"/>
  <c r="O14" i="137"/>
  <c r="BE14" i="137"/>
  <c r="BQ14" i="137"/>
  <c r="Y14" i="137"/>
  <c r="BK14" i="137"/>
  <c r="R14" i="137"/>
  <c r="G14" i="137"/>
  <c r="CC14" i="137"/>
  <c r="BC14" i="137"/>
  <c r="BZ14" i="137"/>
  <c r="BF14" i="137"/>
  <c r="CD14" i="137"/>
  <c r="W14" i="137"/>
  <c r="BI14" i="137"/>
  <c r="I14" i="137"/>
  <c r="AC14" i="137"/>
  <c r="BT14" i="137"/>
  <c r="N14" i="137"/>
  <c r="AA14" i="137"/>
  <c r="BM14" i="137"/>
  <c r="M14" i="137"/>
  <c r="BY14" i="137"/>
  <c r="BG14" i="137"/>
  <c r="CE14" i="137"/>
  <c r="CA14" i="137"/>
  <c r="K14" i="137"/>
  <c r="AE14" i="137"/>
  <c r="BW14" i="137"/>
  <c r="BQ18" i="137"/>
  <c r="R18" i="137"/>
  <c r="H18" i="137"/>
  <c r="BC18" i="137"/>
  <c r="X18" i="137"/>
  <c r="M18" i="137"/>
  <c r="T18" i="137"/>
  <c r="BL18" i="137"/>
  <c r="BV18" i="137"/>
  <c r="BF18" i="137"/>
  <c r="CE18" i="137"/>
  <c r="BI18" i="137"/>
  <c r="W18" i="137"/>
  <c r="G18" i="137"/>
  <c r="Z18" i="137"/>
  <c r="BU18" i="137"/>
  <c r="F18" i="137"/>
  <c r="AC18" i="137"/>
  <c r="BW18" i="137"/>
  <c r="BK18" i="137"/>
  <c r="CA18" i="137"/>
  <c r="I18" i="137"/>
  <c r="BE18" i="137"/>
  <c r="BR18" i="137"/>
  <c r="AF18" i="137"/>
  <c r="BO18" i="137"/>
  <c r="S18" i="137"/>
  <c r="P18" i="137"/>
  <c r="BM18" i="137"/>
  <c r="L18" i="137"/>
  <c r="BH18" i="137"/>
  <c r="Y18" i="137"/>
  <c r="BJ18" i="137"/>
  <c r="BY18" i="137"/>
  <c r="K18" i="137"/>
  <c r="CC18" i="137"/>
  <c r="BZ18" i="137"/>
  <c r="N18" i="137"/>
  <c r="BS18" i="137"/>
  <c r="BN18" i="137"/>
  <c r="AB18" i="137"/>
  <c r="BD18" i="137"/>
  <c r="O18" i="137"/>
  <c r="CB18" i="137"/>
  <c r="Q18" i="137"/>
  <c r="BP18" i="137"/>
  <c r="CD18" i="137"/>
  <c r="AG18" i="137"/>
  <c r="AH18" i="137"/>
  <c r="V18" i="137"/>
  <c r="AE18" i="137"/>
  <c r="BB18" i="137"/>
  <c r="BT18" i="137"/>
  <c r="AA18" i="137"/>
  <c r="J18" i="137"/>
  <c r="BG18" i="137"/>
  <c r="AI18" i="137"/>
  <c r="BX18" i="137"/>
  <c r="C394" i="134" l="1"/>
  <c r="E396" i="135" s="1"/>
  <c r="E396" i="139" s="1"/>
  <c r="G395" i="101"/>
  <c r="E394" i="134"/>
  <c r="D396" i="135" s="1"/>
  <c r="D396" i="139" s="1"/>
  <c r="AR394" i="101"/>
  <c r="AS394" i="101"/>
  <c r="F395" i="101"/>
  <c r="C165" i="134"/>
  <c r="E167" i="135" s="1"/>
  <c r="E167" i="139" s="1"/>
  <c r="G166" i="101"/>
  <c r="C747" i="154"/>
  <c r="B178" i="154"/>
  <c r="A319" i="154"/>
  <c r="C857" i="154"/>
  <c r="C815" i="154"/>
  <c r="CE17" i="137"/>
  <c r="AD17" i="137"/>
  <c r="U17" i="137"/>
  <c r="D149" i="154"/>
  <c r="C150" i="154"/>
  <c r="D45" i="154"/>
  <c r="C44" i="154"/>
  <c r="B46" i="154"/>
  <c r="BU17" i="137"/>
  <c r="AI17" i="137"/>
  <c r="M17" i="137"/>
  <c r="H17" i="137"/>
  <c r="BN17" i="137"/>
  <c r="BH17" i="137"/>
  <c r="BJ17" i="137"/>
  <c r="R17" i="137"/>
  <c r="S17" i="137"/>
  <c r="O17" i="137"/>
  <c r="AE17" i="137"/>
  <c r="F17" i="137"/>
  <c r="BD17" i="137"/>
  <c r="BA17" i="137"/>
  <c r="AY17" i="137"/>
  <c r="BE17" i="137"/>
  <c r="AF17" i="137"/>
  <c r="BP17" i="137"/>
  <c r="AG17" i="137"/>
  <c r="Y17" i="137"/>
  <c r="BC17" i="137"/>
  <c r="P17" i="137"/>
  <c r="G17" i="137"/>
  <c r="CB17" i="137"/>
  <c r="BF17" i="137"/>
  <c r="Z17" i="137"/>
  <c r="W17" i="137"/>
  <c r="BQ17" i="137"/>
  <c r="BZ17" i="137"/>
  <c r="CC17" i="137"/>
  <c r="Q17" i="137"/>
  <c r="N17" i="137"/>
  <c r="CD17" i="137"/>
  <c r="BL17" i="137"/>
  <c r="BY17" i="137"/>
  <c r="BW17" i="137"/>
  <c r="BM17" i="137"/>
  <c r="BS17" i="137"/>
  <c r="AH17" i="137"/>
  <c r="X17" i="137"/>
  <c r="BV17" i="137"/>
  <c r="V17" i="137"/>
  <c r="BK17" i="137"/>
  <c r="L17" i="137"/>
  <c r="BX17" i="137"/>
  <c r="BO17" i="137"/>
  <c r="BG17" i="137"/>
  <c r="AA17" i="137"/>
  <c r="BB17" i="137"/>
  <c r="AC17" i="137"/>
  <c r="T17" i="137"/>
  <c r="BT17" i="137"/>
  <c r="K17" i="137"/>
  <c r="CA17" i="137"/>
  <c r="BR17" i="137"/>
  <c r="BI17" i="137"/>
  <c r="I17" i="137"/>
  <c r="AB17" i="137"/>
  <c r="J17" i="137"/>
  <c r="AM17" i="137"/>
  <c r="AZ17" i="137"/>
  <c r="AP17" i="137"/>
  <c r="AO17" i="137"/>
  <c r="AU17" i="137"/>
  <c r="AN17" i="137"/>
  <c r="AT17" i="137"/>
  <c r="AS17" i="137"/>
  <c r="AQ17" i="137"/>
  <c r="AJ17" i="137"/>
  <c r="AV17" i="137"/>
  <c r="AX17" i="137"/>
  <c r="AW17" i="137"/>
  <c r="AR17" i="137"/>
  <c r="AL17" i="137"/>
  <c r="AK17" i="137"/>
  <c r="AR395" i="101" l="1"/>
  <c r="AS395" i="101"/>
  <c r="E395" i="134"/>
  <c r="D397" i="135" s="1"/>
  <c r="D397" i="139" s="1"/>
  <c r="F396" i="101"/>
  <c r="C395" i="134"/>
  <c r="E397" i="135" s="1"/>
  <c r="E397" i="139" s="1"/>
  <c r="G396" i="101"/>
  <c r="C166" i="134"/>
  <c r="E168" i="135" s="1"/>
  <c r="E168" i="139" s="1"/>
  <c r="G167" i="101"/>
  <c r="C748" i="154"/>
  <c r="B181" i="154"/>
  <c r="B179" i="154"/>
  <c r="A320" i="154"/>
  <c r="C858" i="154"/>
  <c r="C816" i="154"/>
  <c r="D150" i="154"/>
  <c r="C151" i="154"/>
  <c r="B47" i="154"/>
  <c r="C45" i="154"/>
  <c r="D46" i="154"/>
  <c r="C396" i="134" l="1"/>
  <c r="E398" i="135" s="1"/>
  <c r="E398" i="139" s="1"/>
  <c r="G397" i="101"/>
  <c r="AS396" i="101"/>
  <c r="E396" i="134"/>
  <c r="D398" i="135" s="1"/>
  <c r="D398" i="139" s="1"/>
  <c r="AR396" i="101"/>
  <c r="F397" i="101"/>
  <c r="C167" i="134"/>
  <c r="E169" i="135" s="1"/>
  <c r="E169" i="139" s="1"/>
  <c r="G168" i="101"/>
  <c r="C749" i="154"/>
  <c r="B182" i="154"/>
  <c r="A321" i="154"/>
  <c r="C859" i="154"/>
  <c r="C817" i="154"/>
  <c r="D151" i="154"/>
  <c r="C152" i="154"/>
  <c r="D47" i="154"/>
  <c r="C46" i="154"/>
  <c r="B48" i="154"/>
  <c r="AS397" i="101" l="1"/>
  <c r="AR397" i="101"/>
  <c r="E397" i="134"/>
  <c r="D399" i="135" s="1"/>
  <c r="D399" i="139" s="1"/>
  <c r="F398" i="101"/>
  <c r="C397" i="134"/>
  <c r="E399" i="135" s="1"/>
  <c r="E399" i="139" s="1"/>
  <c r="G398" i="101"/>
  <c r="C168" i="134"/>
  <c r="E170" i="135" s="1"/>
  <c r="E170" i="139" s="1"/>
  <c r="G169" i="101"/>
  <c r="B183" i="154"/>
  <c r="C750" i="154"/>
  <c r="A322" i="154"/>
  <c r="C860" i="154"/>
  <c r="C818" i="154"/>
  <c r="D152" i="154"/>
  <c r="C153" i="154"/>
  <c r="D48" i="154"/>
  <c r="C47" i="154"/>
  <c r="C398" i="134" l="1"/>
  <c r="E400" i="135" s="1"/>
  <c r="E400" i="139" s="1"/>
  <c r="G399" i="101"/>
  <c r="AR398" i="101"/>
  <c r="E398" i="134"/>
  <c r="D400" i="135" s="1"/>
  <c r="D400" i="139" s="1"/>
  <c r="AS398" i="101"/>
  <c r="F399" i="101"/>
  <c r="C169" i="134"/>
  <c r="E171" i="135" s="1"/>
  <c r="E171" i="139" s="1"/>
  <c r="G170" i="101"/>
  <c r="C751" i="154"/>
  <c r="B184" i="154"/>
  <c r="A323" i="154"/>
  <c r="C861" i="154"/>
  <c r="C819" i="154"/>
  <c r="D153" i="154"/>
  <c r="C154" i="154"/>
  <c r="C48" i="154"/>
  <c r="D49" i="154"/>
  <c r="C399" i="134" l="1"/>
  <c r="E401" i="135" s="1"/>
  <c r="E401" i="139" s="1"/>
  <c r="G400" i="101"/>
  <c r="AS399" i="101"/>
  <c r="AR399" i="101"/>
  <c r="E399" i="134"/>
  <c r="D401" i="135" s="1"/>
  <c r="D401" i="139" s="1"/>
  <c r="F400" i="101"/>
  <c r="C170" i="134"/>
  <c r="E172" i="135" s="1"/>
  <c r="E172" i="139" s="1"/>
  <c r="G171" i="101"/>
  <c r="C752" i="154"/>
  <c r="B185" i="154"/>
  <c r="A324" i="154"/>
  <c r="C862" i="154"/>
  <c r="C820" i="154"/>
  <c r="D154" i="154"/>
  <c r="C155" i="154"/>
  <c r="C49" i="154"/>
  <c r="D50" i="154"/>
  <c r="C400" i="134" l="1"/>
  <c r="E402" i="135" s="1"/>
  <c r="E402" i="139" s="1"/>
  <c r="G401" i="101"/>
  <c r="AS400" i="101"/>
  <c r="E400" i="134"/>
  <c r="D402" i="135" s="1"/>
  <c r="D402" i="139" s="1"/>
  <c r="F401" i="101"/>
  <c r="C171" i="134"/>
  <c r="E173" i="135" s="1"/>
  <c r="E173" i="139" s="1"/>
  <c r="G172" i="101"/>
  <c r="C753" i="154"/>
  <c r="B186" i="154"/>
  <c r="A325" i="154"/>
  <c r="C863" i="154"/>
  <c r="C821" i="154"/>
  <c r="D155" i="154"/>
  <c r="C156" i="154"/>
  <c r="D14" i="154"/>
  <c r="D51" i="154"/>
  <c r="C50" i="154"/>
  <c r="C401" i="134" l="1"/>
  <c r="E403" i="135" s="1"/>
  <c r="E403" i="139" s="1"/>
  <c r="G402" i="101"/>
  <c r="AS401" i="101"/>
  <c r="E401" i="134"/>
  <c r="D403" i="135" s="1"/>
  <c r="D403" i="139" s="1"/>
  <c r="AR401" i="101"/>
  <c r="F402" i="101"/>
  <c r="C172" i="134"/>
  <c r="E174" i="135" s="1"/>
  <c r="E174" i="139" s="1"/>
  <c r="G173" i="101"/>
  <c r="C754" i="154"/>
  <c r="B187" i="154"/>
  <c r="A326" i="154"/>
  <c r="C864" i="154"/>
  <c r="C822" i="154"/>
  <c r="D156" i="154"/>
  <c r="C157" i="154"/>
  <c r="C51" i="154"/>
  <c r="D52" i="154"/>
  <c r="AS402" i="101" l="1"/>
  <c r="E402" i="134"/>
  <c r="D404" i="135" s="1"/>
  <c r="D404" i="139" s="1"/>
  <c r="AR402" i="101"/>
  <c r="F403" i="101"/>
  <c r="C402" i="134"/>
  <c r="E404" i="135" s="1"/>
  <c r="E404" i="139" s="1"/>
  <c r="G403" i="101"/>
  <c r="C173" i="134"/>
  <c r="E175" i="135" s="1"/>
  <c r="E175" i="139" s="1"/>
  <c r="G174" i="101"/>
  <c r="C755" i="154"/>
  <c r="B188" i="154"/>
  <c r="A327" i="154"/>
  <c r="C865" i="154"/>
  <c r="C823" i="154"/>
  <c r="D157" i="154"/>
  <c r="C158" i="154"/>
  <c r="C52" i="154"/>
  <c r="D53" i="154"/>
  <c r="C403" i="134" l="1"/>
  <c r="E405" i="135" s="1"/>
  <c r="E405" i="139" s="1"/>
  <c r="G404" i="101"/>
  <c r="AS403" i="101"/>
  <c r="E403" i="134"/>
  <c r="D405" i="135" s="1"/>
  <c r="D405" i="139" s="1"/>
  <c r="AR403" i="101"/>
  <c r="F404" i="101"/>
  <c r="C174" i="134"/>
  <c r="E176" i="135" s="1"/>
  <c r="E176" i="139" s="1"/>
  <c r="G175" i="101"/>
  <c r="C756" i="154"/>
  <c r="B189" i="154"/>
  <c r="A328" i="154"/>
  <c r="C866" i="154"/>
  <c r="C824" i="154"/>
  <c r="D158" i="154"/>
  <c r="C159" i="154"/>
  <c r="C53" i="154"/>
  <c r="D54" i="154"/>
  <c r="AS404" i="101" l="1"/>
  <c r="E404" i="134"/>
  <c r="D406" i="135" s="1"/>
  <c r="D406" i="139" s="1"/>
  <c r="AR404" i="101"/>
  <c r="F405" i="101"/>
  <c r="C404" i="134"/>
  <c r="E406" i="135" s="1"/>
  <c r="E406" i="139" s="1"/>
  <c r="G405" i="101"/>
  <c r="C175" i="134"/>
  <c r="E177" i="135" s="1"/>
  <c r="E177" i="139" s="1"/>
  <c r="G176" i="101"/>
  <c r="C757" i="154"/>
  <c r="B190" i="154"/>
  <c r="A329" i="154"/>
  <c r="C867" i="154"/>
  <c r="C825" i="154"/>
  <c r="D159" i="154"/>
  <c r="C160" i="154"/>
  <c r="D55" i="154"/>
  <c r="C54" i="154"/>
  <c r="C405" i="134" l="1"/>
  <c r="E407" i="135" s="1"/>
  <c r="E407" i="139" s="1"/>
  <c r="G406" i="101"/>
  <c r="AS405" i="101"/>
  <c r="E405" i="134"/>
  <c r="D407" i="135" s="1"/>
  <c r="D407" i="139" s="1"/>
  <c r="AR405" i="101"/>
  <c r="F406" i="101"/>
  <c r="C176" i="134"/>
  <c r="E178" i="135" s="1"/>
  <c r="E178" i="139" s="1"/>
  <c r="G177" i="101"/>
  <c r="C758" i="154"/>
  <c r="B191" i="154"/>
  <c r="A330" i="154"/>
  <c r="C868" i="154"/>
  <c r="C826" i="154"/>
  <c r="D160" i="154"/>
  <c r="C161" i="154"/>
  <c r="D56" i="154"/>
  <c r="C406" i="134" l="1"/>
  <c r="E408" i="135" s="1"/>
  <c r="E408" i="139" s="1"/>
  <c r="G407" i="101"/>
  <c r="AR406" i="101"/>
  <c r="E406" i="134"/>
  <c r="D408" i="135" s="1"/>
  <c r="D408" i="139" s="1"/>
  <c r="AS406" i="101"/>
  <c r="F407" i="101"/>
  <c r="C177" i="134"/>
  <c r="E179" i="135" s="1"/>
  <c r="E179" i="139" s="1"/>
  <c r="G178" i="101"/>
  <c r="B193" i="154"/>
  <c r="C759" i="154"/>
  <c r="B192" i="154"/>
  <c r="A331" i="154"/>
  <c r="C869" i="154"/>
  <c r="C827" i="154"/>
  <c r="D161" i="154"/>
  <c r="C162" i="154"/>
  <c r="C55" i="154"/>
  <c r="D57" i="154"/>
  <c r="C56" i="154"/>
  <c r="C407" i="134" l="1"/>
  <c r="E409" i="135" s="1"/>
  <c r="E409" i="139" s="1"/>
  <c r="G408" i="101"/>
  <c r="E407" i="134"/>
  <c r="D409" i="135" s="1"/>
  <c r="D409" i="139" s="1"/>
  <c r="AS407" i="101"/>
  <c r="AR407" i="101"/>
  <c r="F408" i="101"/>
  <c r="C178" i="134"/>
  <c r="E180" i="135" s="1"/>
  <c r="E180" i="139" s="1"/>
  <c r="G179" i="101"/>
  <c r="C760" i="154"/>
  <c r="A332" i="154"/>
  <c r="C870" i="154"/>
  <c r="C828" i="154"/>
  <c r="D162" i="154"/>
  <c r="C163" i="154"/>
  <c r="C57" i="154"/>
  <c r="D58" i="154"/>
  <c r="AS408" i="101" l="1"/>
  <c r="E408" i="134"/>
  <c r="D410" i="135" s="1"/>
  <c r="D410" i="139" s="1"/>
  <c r="AR408" i="101"/>
  <c r="F409" i="101"/>
  <c r="C408" i="134"/>
  <c r="E410" i="135" s="1"/>
  <c r="E410" i="139" s="1"/>
  <c r="G409" i="101"/>
  <c r="C179" i="134"/>
  <c r="E181" i="135" s="1"/>
  <c r="E181" i="139" s="1"/>
  <c r="G180" i="101"/>
  <c r="C761" i="154"/>
  <c r="B194" i="154"/>
  <c r="A333" i="154"/>
  <c r="C871" i="154"/>
  <c r="C829" i="154"/>
  <c r="D163" i="154"/>
  <c r="C164" i="154"/>
  <c r="D59" i="154"/>
  <c r="C58" i="154"/>
  <c r="C409" i="134" l="1"/>
  <c r="E411" i="135" s="1"/>
  <c r="E411" i="139" s="1"/>
  <c r="G410" i="101"/>
  <c r="E409" i="134"/>
  <c r="D411" i="135" s="1"/>
  <c r="D411" i="139" s="1"/>
  <c r="AS409" i="101"/>
  <c r="AR409" i="101"/>
  <c r="F410" i="101"/>
  <c r="C180" i="134"/>
  <c r="E182" i="135" s="1"/>
  <c r="E182" i="139" s="1"/>
  <c r="G181" i="101"/>
  <c r="C762" i="154"/>
  <c r="B196" i="154"/>
  <c r="B195" i="154"/>
  <c r="B216" i="154"/>
  <c r="A334" i="154"/>
  <c r="C872" i="154"/>
  <c r="C830" i="154"/>
  <c r="C165" i="154"/>
  <c r="D164" i="154"/>
  <c r="D60" i="154"/>
  <c r="AO2" i="134"/>
  <c r="AN2" i="134"/>
  <c r="C410" i="134" l="1"/>
  <c r="E412" i="135" s="1"/>
  <c r="E412" i="139" s="1"/>
  <c r="G411" i="101"/>
  <c r="AR410" i="101"/>
  <c r="E410" i="134"/>
  <c r="D412" i="135" s="1"/>
  <c r="D412" i="139" s="1"/>
  <c r="AS410" i="101"/>
  <c r="F411" i="101"/>
  <c r="C181" i="134"/>
  <c r="E183" i="135" s="1"/>
  <c r="E183" i="139" s="1"/>
  <c r="G182" i="101"/>
  <c r="C763" i="154"/>
  <c r="B197" i="154"/>
  <c r="A335" i="154"/>
  <c r="C873" i="154"/>
  <c r="C831" i="154"/>
  <c r="C166" i="154"/>
  <c r="D165" i="154"/>
  <c r="C59" i="154"/>
  <c r="C60" i="154"/>
  <c r="D61" i="154"/>
  <c r="AS411" i="101" l="1"/>
  <c r="E411" i="134"/>
  <c r="D413" i="135" s="1"/>
  <c r="D413" i="139" s="1"/>
  <c r="AR411" i="101"/>
  <c r="F412" i="101"/>
  <c r="C411" i="134"/>
  <c r="E413" i="135" s="1"/>
  <c r="E413" i="139" s="1"/>
  <c r="G412" i="101"/>
  <c r="C182" i="134"/>
  <c r="E184" i="135" s="1"/>
  <c r="E184" i="139" s="1"/>
  <c r="G183" i="101"/>
  <c r="C764" i="154"/>
  <c r="B198" i="154"/>
  <c r="A336" i="154"/>
  <c r="C874" i="154"/>
  <c r="C832" i="154"/>
  <c r="C167" i="154"/>
  <c r="D166" i="154"/>
  <c r="C61" i="154"/>
  <c r="D62" i="154"/>
  <c r="C412" i="134" l="1"/>
  <c r="E414" i="135" s="1"/>
  <c r="E414" i="139" s="1"/>
  <c r="G413" i="101"/>
  <c r="AS412" i="101"/>
  <c r="AR412" i="101"/>
  <c r="E412" i="134"/>
  <c r="D414" i="135" s="1"/>
  <c r="D414" i="139" s="1"/>
  <c r="F413" i="101"/>
  <c r="C183" i="134"/>
  <c r="E185" i="135" s="1"/>
  <c r="E185" i="139" s="1"/>
  <c r="G184" i="101"/>
  <c r="C765" i="154"/>
  <c r="B199" i="154"/>
  <c r="A337" i="154"/>
  <c r="C875" i="154"/>
  <c r="C833" i="154"/>
  <c r="C168" i="154"/>
  <c r="D167" i="154"/>
  <c r="D63" i="154"/>
  <c r="C62" i="154"/>
  <c r="C413" i="134" l="1"/>
  <c r="E415" i="135" s="1"/>
  <c r="E415" i="139" s="1"/>
  <c r="G414" i="101"/>
  <c r="E413" i="134"/>
  <c r="D415" i="135" s="1"/>
  <c r="D415" i="139" s="1"/>
  <c r="AR413" i="101"/>
  <c r="F414" i="101"/>
  <c r="C184" i="134"/>
  <c r="E186" i="135" s="1"/>
  <c r="E186" i="139" s="1"/>
  <c r="G185" i="101"/>
  <c r="C766" i="154"/>
  <c r="B200" i="154"/>
  <c r="A338" i="154"/>
  <c r="C876" i="154"/>
  <c r="C834" i="154"/>
  <c r="C169" i="154"/>
  <c r="D168" i="154"/>
  <c r="C63" i="154"/>
  <c r="D64" i="154"/>
  <c r="C414" i="134" l="1"/>
  <c r="E416" i="135" s="1"/>
  <c r="E416" i="139" s="1"/>
  <c r="G415" i="101"/>
  <c r="AS414" i="101"/>
  <c r="E414" i="134"/>
  <c r="D416" i="135" s="1"/>
  <c r="D416" i="139" s="1"/>
  <c r="AR414" i="101"/>
  <c r="F415" i="101"/>
  <c r="C185" i="134"/>
  <c r="E187" i="135" s="1"/>
  <c r="E187" i="139" s="1"/>
  <c r="G186" i="101"/>
  <c r="B202" i="154"/>
  <c r="C767" i="154"/>
  <c r="B201" i="154"/>
  <c r="A339" i="154"/>
  <c r="C877" i="154"/>
  <c r="C835" i="154"/>
  <c r="C170" i="154"/>
  <c r="D169" i="154"/>
  <c r="C774" i="154"/>
  <c r="C64" i="154"/>
  <c r="D65" i="154"/>
  <c r="AS415" i="101" l="1"/>
  <c r="E415" i="134"/>
  <c r="D417" i="135" s="1"/>
  <c r="D417" i="139" s="1"/>
  <c r="AR415" i="101"/>
  <c r="F416" i="101"/>
  <c r="C415" i="134"/>
  <c r="E417" i="135" s="1"/>
  <c r="E417" i="139" s="1"/>
  <c r="G416" i="101"/>
  <c r="C186" i="134"/>
  <c r="E188" i="135" s="1"/>
  <c r="E188" i="139" s="1"/>
  <c r="G187" i="101"/>
  <c r="C768" i="154"/>
  <c r="A340" i="154"/>
  <c r="C836" i="154"/>
  <c r="C171" i="154"/>
  <c r="D170" i="154"/>
  <c r="C775" i="154"/>
  <c r="D66" i="154"/>
  <c r="AS416" i="101" l="1"/>
  <c r="E416" i="134"/>
  <c r="D418" i="135" s="1"/>
  <c r="D418" i="139" s="1"/>
  <c r="AR416" i="101"/>
  <c r="F417" i="101"/>
  <c r="C416" i="134"/>
  <c r="E418" i="135" s="1"/>
  <c r="E418" i="139" s="1"/>
  <c r="G417" i="101"/>
  <c r="C187" i="134"/>
  <c r="E189" i="135" s="1"/>
  <c r="E189" i="139" s="1"/>
  <c r="G188" i="101"/>
  <c r="C769" i="154"/>
  <c r="B203" i="154"/>
  <c r="A341" i="154"/>
  <c r="C837" i="154"/>
  <c r="D171" i="154"/>
  <c r="C172" i="154"/>
  <c r="C776" i="154"/>
  <c r="C65" i="154"/>
  <c r="D67" i="154"/>
  <c r="C66" i="154"/>
  <c r="C417" i="134" l="1"/>
  <c r="E419" i="135" s="1"/>
  <c r="E419" i="139" s="1"/>
  <c r="G418" i="101"/>
  <c r="AS417" i="101"/>
  <c r="AS418" i="101" s="1"/>
  <c r="AS419" i="101" s="1"/>
  <c r="AS420" i="101" s="1"/>
  <c r="AS421" i="101" s="1"/>
  <c r="AS422" i="101" s="1"/>
  <c r="AS423" i="101" s="1"/>
  <c r="AS424" i="101" s="1"/>
  <c r="AS425" i="101" s="1"/>
  <c r="AS426" i="101" s="1"/>
  <c r="AS427" i="101" s="1"/>
  <c r="AS428" i="101" s="1"/>
  <c r="AS429" i="101" s="1"/>
  <c r="E417" i="134"/>
  <c r="D419" i="135" s="1"/>
  <c r="D419" i="139" s="1"/>
  <c r="AA8" i="139" s="1"/>
  <c r="AR417" i="101"/>
  <c r="C188" i="134"/>
  <c r="E190" i="135" s="1"/>
  <c r="E190" i="139" s="1"/>
  <c r="G189" i="101"/>
  <c r="C770" i="154"/>
  <c r="B204" i="154"/>
  <c r="A342" i="154"/>
  <c r="C838" i="154"/>
  <c r="D172" i="154"/>
  <c r="C173" i="154"/>
  <c r="C777" i="154"/>
  <c r="C67" i="154"/>
  <c r="D68" i="154"/>
  <c r="C418" i="134" l="1"/>
  <c r="E420" i="135" s="1"/>
  <c r="E420" i="139" s="1"/>
  <c r="G419" i="101"/>
  <c r="C189" i="134"/>
  <c r="E191" i="135" s="1"/>
  <c r="E191" i="139" s="1"/>
  <c r="G190" i="101"/>
  <c r="C771" i="154"/>
  <c r="B205" i="154"/>
  <c r="A343" i="154"/>
  <c r="B212" i="154"/>
  <c r="C839" i="154"/>
  <c r="C182" i="154"/>
  <c r="C174" i="154"/>
  <c r="D173" i="154"/>
  <c r="D69" i="154"/>
  <c r="C68" i="154"/>
  <c r="C419" i="134" l="1"/>
  <c r="E421" i="135" s="1"/>
  <c r="E421" i="139" s="1"/>
  <c r="G420" i="101"/>
  <c r="C190" i="134"/>
  <c r="E192" i="135" s="1"/>
  <c r="E192" i="139" s="1"/>
  <c r="G191" i="101"/>
  <c r="C772" i="154"/>
  <c r="B206" i="154"/>
  <c r="B226" i="154"/>
  <c r="A344" i="154"/>
  <c r="B213" i="154"/>
  <c r="C840" i="154"/>
  <c r="C183" i="154"/>
  <c r="C175" i="154"/>
  <c r="D174" i="154"/>
  <c r="C779" i="154"/>
  <c r="C69" i="154"/>
  <c r="D70" i="154"/>
  <c r="C191" i="134" l="1"/>
  <c r="E193" i="135" s="1"/>
  <c r="E193" i="139" s="1"/>
  <c r="G192" i="101"/>
  <c r="C420" i="134"/>
  <c r="E422" i="135" s="1"/>
  <c r="E422" i="139" s="1"/>
  <c r="G421" i="101"/>
  <c r="C773" i="154"/>
  <c r="B207" i="154"/>
  <c r="A345" i="154"/>
  <c r="B214" i="154"/>
  <c r="C841" i="154"/>
  <c r="C184" i="154"/>
  <c r="C176" i="154"/>
  <c r="D175" i="154"/>
  <c r="C780" i="154"/>
  <c r="D71" i="154"/>
  <c r="C421" i="134" l="1"/>
  <c r="E423" i="135" s="1"/>
  <c r="E423" i="139" s="1"/>
  <c r="G422" i="101"/>
  <c r="C192" i="134"/>
  <c r="E194" i="135" s="1"/>
  <c r="E194" i="139" s="1"/>
  <c r="G193" i="101"/>
  <c r="B208" i="154"/>
  <c r="A346" i="154"/>
  <c r="B215" i="154"/>
  <c r="C842" i="154"/>
  <c r="C185" i="154"/>
  <c r="C177" i="154"/>
  <c r="D176" i="154"/>
  <c r="C781" i="154"/>
  <c r="C70" i="154"/>
  <c r="C71" i="154"/>
  <c r="D72" i="154"/>
  <c r="C193" i="134" l="1"/>
  <c r="E195" i="135" s="1"/>
  <c r="E195" i="139" s="1"/>
  <c r="G194" i="101"/>
  <c r="C422" i="134"/>
  <c r="E424" i="135" s="1"/>
  <c r="E424" i="139" s="1"/>
  <c r="G423" i="101"/>
  <c r="B209" i="154"/>
  <c r="A347" i="154"/>
  <c r="C843" i="154"/>
  <c r="C186" i="154"/>
  <c r="C178" i="154"/>
  <c r="D177" i="154"/>
  <c r="C782" i="154"/>
  <c r="D73" i="154"/>
  <c r="C72" i="154"/>
  <c r="C423" i="134" l="1"/>
  <c r="E425" i="135" s="1"/>
  <c r="E425" i="139" s="1"/>
  <c r="G424" i="101"/>
  <c r="C194" i="134"/>
  <c r="E196" i="135" s="1"/>
  <c r="E196" i="139" s="1"/>
  <c r="G195" i="101"/>
  <c r="B210" i="154"/>
  <c r="A348" i="154"/>
  <c r="B217" i="154"/>
  <c r="C844" i="154"/>
  <c r="C187" i="154"/>
  <c r="C179" i="154"/>
  <c r="D178" i="154"/>
  <c r="C783" i="154"/>
  <c r="C73" i="154"/>
  <c r="D74" i="154"/>
  <c r="C195" i="134" l="1"/>
  <c r="E197" i="135" s="1"/>
  <c r="E197" i="139" s="1"/>
  <c r="G196" i="101"/>
  <c r="C424" i="134"/>
  <c r="E426" i="135" s="1"/>
  <c r="E426" i="139" s="1"/>
  <c r="G425" i="101"/>
  <c r="B211" i="154"/>
  <c r="A349" i="154"/>
  <c r="B218" i="154"/>
  <c r="C845" i="154"/>
  <c r="C188" i="154"/>
  <c r="C180" i="154"/>
  <c r="D179" i="154"/>
  <c r="C784" i="154"/>
  <c r="D75" i="154"/>
  <c r="C74" i="154"/>
  <c r="C196" i="134" l="1"/>
  <c r="E198" i="135" s="1"/>
  <c r="E198" i="139" s="1"/>
  <c r="G197" i="101"/>
  <c r="C425" i="134"/>
  <c r="E427" i="135" s="1"/>
  <c r="E427" i="139" s="1"/>
  <c r="G426" i="101"/>
  <c r="A350" i="154"/>
  <c r="B219" i="154"/>
  <c r="C846" i="154"/>
  <c r="C189" i="154"/>
  <c r="C181" i="154"/>
  <c r="D180" i="154"/>
  <c r="C785" i="154"/>
  <c r="D76" i="154"/>
  <c r="C75" i="154"/>
  <c r="C426" i="134" l="1"/>
  <c r="E428" i="135" s="1"/>
  <c r="E428" i="139" s="1"/>
  <c r="G427" i="101"/>
  <c r="C197" i="134"/>
  <c r="E199" i="135" s="1"/>
  <c r="E199" i="139" s="1"/>
  <c r="G198" i="101"/>
  <c r="A351" i="154"/>
  <c r="B220" i="154"/>
  <c r="C847" i="154"/>
  <c r="C190" i="154"/>
  <c r="D181" i="154"/>
  <c r="C786" i="154"/>
  <c r="D77" i="154"/>
  <c r="C76" i="154"/>
  <c r="C198" i="134" l="1"/>
  <c r="E200" i="135" s="1"/>
  <c r="E200" i="139" s="1"/>
  <c r="G199" i="101"/>
  <c r="C427" i="134"/>
  <c r="E429" i="135" s="1"/>
  <c r="E429" i="139" s="1"/>
  <c r="G428" i="101"/>
  <c r="A352" i="154"/>
  <c r="B221" i="154"/>
  <c r="C191" i="154"/>
  <c r="D182" i="154"/>
  <c r="C787" i="154"/>
  <c r="C77" i="154"/>
  <c r="D78" i="154"/>
  <c r="C199" i="134" l="1"/>
  <c r="E201" i="135" s="1"/>
  <c r="E201" i="139" s="1"/>
  <c r="G200" i="101"/>
  <c r="C428" i="134"/>
  <c r="E430" i="135" s="1"/>
  <c r="E430" i="139" s="1"/>
  <c r="G429" i="101"/>
  <c r="A353" i="154"/>
  <c r="B222" i="154"/>
  <c r="C192" i="154"/>
  <c r="D183" i="154"/>
  <c r="C788" i="154"/>
  <c r="D79" i="154"/>
  <c r="C429" i="134" l="1"/>
  <c r="E431" i="135" s="1"/>
  <c r="E431" i="139" s="1"/>
  <c r="G430" i="101"/>
  <c r="C200" i="134"/>
  <c r="E202" i="135" s="1"/>
  <c r="E202" i="139" s="1"/>
  <c r="G201" i="101"/>
  <c r="B236" i="154"/>
  <c r="A354" i="154"/>
  <c r="B223" i="154"/>
  <c r="C193" i="154"/>
  <c r="D184" i="154"/>
  <c r="C789" i="154"/>
  <c r="C78" i="154"/>
  <c r="C79" i="154"/>
  <c r="D80" i="154"/>
  <c r="C201" i="134" l="1"/>
  <c r="E203" i="135" s="1"/>
  <c r="E203" i="139" s="1"/>
  <c r="G202" i="101"/>
  <c r="C430" i="134"/>
  <c r="E432" i="135" s="1"/>
  <c r="E432" i="139" s="1"/>
  <c r="G431" i="101"/>
  <c r="A355" i="154"/>
  <c r="B224" i="154"/>
  <c r="C194" i="154"/>
  <c r="D185" i="154"/>
  <c r="D81" i="154"/>
  <c r="C80" i="154"/>
  <c r="C202" i="134" l="1"/>
  <c r="E204" i="135" s="1"/>
  <c r="E204" i="139" s="1"/>
  <c r="G203" i="101"/>
  <c r="C431" i="134"/>
  <c r="E433" i="135" s="1"/>
  <c r="E433" i="139" s="1"/>
  <c r="G432" i="101"/>
  <c r="A356" i="154"/>
  <c r="B225" i="154"/>
  <c r="C195" i="154"/>
  <c r="D186" i="154"/>
  <c r="C81" i="154"/>
  <c r="D82" i="154"/>
  <c r="C432" i="134" l="1"/>
  <c r="E434" i="135" s="1"/>
  <c r="E434" i="139" s="1"/>
  <c r="G433" i="101"/>
  <c r="C203" i="134"/>
  <c r="E205" i="135" s="1"/>
  <c r="E205" i="139" s="1"/>
  <c r="G204" i="101"/>
  <c r="A357" i="154"/>
  <c r="C196" i="154"/>
  <c r="D187" i="154"/>
  <c r="C82" i="154"/>
  <c r="D83" i="154"/>
  <c r="C204" i="134" l="1"/>
  <c r="E206" i="135" s="1"/>
  <c r="E206" i="139" s="1"/>
  <c r="G205" i="101"/>
  <c r="C433" i="134"/>
  <c r="E435" i="135" s="1"/>
  <c r="E435" i="139" s="1"/>
  <c r="G434" i="101"/>
  <c r="B240" i="154"/>
  <c r="A358" i="154"/>
  <c r="B227" i="154"/>
  <c r="C197" i="154"/>
  <c r="D188" i="154"/>
  <c r="C83" i="154"/>
  <c r="D84" i="154"/>
  <c r="C434" i="134" l="1"/>
  <c r="E436" i="135" s="1"/>
  <c r="E436" i="139" s="1"/>
  <c r="G435" i="101"/>
  <c r="C205" i="134"/>
  <c r="E207" i="135" s="1"/>
  <c r="E207" i="139" s="1"/>
  <c r="G206" i="101"/>
  <c r="A359" i="154"/>
  <c r="B228" i="154"/>
  <c r="C198" i="154"/>
  <c r="D189" i="154"/>
  <c r="D85" i="154"/>
  <c r="C84" i="154"/>
  <c r="C435" i="134" l="1"/>
  <c r="E437" i="135" s="1"/>
  <c r="E437" i="139" s="1"/>
  <c r="G436" i="101"/>
  <c r="C206" i="134"/>
  <c r="E208" i="135" s="1"/>
  <c r="E208" i="139" s="1"/>
  <c r="G207" i="101"/>
  <c r="A360" i="154"/>
  <c r="B229" i="154"/>
  <c r="C199" i="154"/>
  <c r="D190" i="154"/>
  <c r="D86" i="154"/>
  <c r="C207" i="134" l="1"/>
  <c r="E209" i="135" s="1"/>
  <c r="E209" i="139" s="1"/>
  <c r="G208" i="101"/>
  <c r="C436" i="134"/>
  <c r="E438" i="135" s="1"/>
  <c r="E438" i="139" s="1"/>
  <c r="G437" i="101"/>
  <c r="A361" i="154"/>
  <c r="B230" i="154"/>
  <c r="C200" i="154"/>
  <c r="D191" i="154"/>
  <c r="C85" i="154"/>
  <c r="D87" i="154"/>
  <c r="C86" i="154"/>
  <c r="C437" i="134" l="1"/>
  <c r="E439" i="135" s="1"/>
  <c r="E439" i="139" s="1"/>
  <c r="G438" i="101"/>
  <c r="C208" i="134"/>
  <c r="E210" i="135" s="1"/>
  <c r="E210" i="139" s="1"/>
  <c r="G209" i="101"/>
  <c r="A362" i="154"/>
  <c r="B231" i="154"/>
  <c r="C201" i="154"/>
  <c r="D192" i="154"/>
  <c r="C87" i="154"/>
  <c r="D88" i="154"/>
  <c r="C209" i="134" l="1"/>
  <c r="E211" i="135" s="1"/>
  <c r="E211" i="139" s="1"/>
  <c r="G210" i="101"/>
  <c r="C438" i="134"/>
  <c r="E440" i="135" s="1"/>
  <c r="E440" i="139" s="1"/>
  <c r="G439" i="101"/>
  <c r="B245" i="154"/>
  <c r="A363" i="154"/>
  <c r="B232" i="154"/>
  <c r="C202" i="154"/>
  <c r="D193" i="154"/>
  <c r="D89" i="154"/>
  <c r="C88" i="154"/>
  <c r="C439" i="134" l="1"/>
  <c r="E441" i="135" s="1"/>
  <c r="E441" i="139" s="1"/>
  <c r="G440" i="101"/>
  <c r="C210" i="134"/>
  <c r="E212" i="135" s="1"/>
  <c r="E212" i="139" s="1"/>
  <c r="G211" i="101"/>
  <c r="A364" i="154"/>
  <c r="B233" i="154"/>
  <c r="C203" i="154"/>
  <c r="D194" i="154"/>
  <c r="C89" i="154"/>
  <c r="D90" i="154"/>
  <c r="C211" i="134" l="1"/>
  <c r="E213" i="135" s="1"/>
  <c r="E213" i="139" s="1"/>
  <c r="G212" i="101"/>
  <c r="C440" i="134"/>
  <c r="E442" i="135" s="1"/>
  <c r="E442" i="139" s="1"/>
  <c r="G441" i="101"/>
  <c r="A365" i="154"/>
  <c r="B234" i="154"/>
  <c r="C204" i="154"/>
  <c r="D195" i="154"/>
  <c r="C90" i="154"/>
  <c r="D91" i="154"/>
  <c r="C441" i="134" l="1"/>
  <c r="E443" i="135" s="1"/>
  <c r="E443" i="139" s="1"/>
  <c r="G442" i="101"/>
  <c r="C212" i="134"/>
  <c r="E214" i="135" s="1"/>
  <c r="E214" i="139" s="1"/>
  <c r="G213" i="101"/>
  <c r="A366" i="154"/>
  <c r="B235" i="154"/>
  <c r="C205" i="154"/>
  <c r="D196" i="154"/>
  <c r="C91" i="154"/>
  <c r="D92" i="154"/>
  <c r="C442" i="134" l="1"/>
  <c r="E444" i="135" s="1"/>
  <c r="E444" i="139" s="1"/>
  <c r="G443" i="101"/>
  <c r="C213" i="134"/>
  <c r="E215" i="135" s="1"/>
  <c r="E215" i="139" s="1"/>
  <c r="G214" i="101"/>
  <c r="A367" i="154"/>
  <c r="C206" i="154"/>
  <c r="D198" i="154"/>
  <c r="D197" i="154"/>
  <c r="D199" i="154"/>
  <c r="D93" i="154"/>
  <c r="C92" i="154"/>
  <c r="C214" i="134" l="1"/>
  <c r="E216" i="135" s="1"/>
  <c r="E216" i="139" s="1"/>
  <c r="G215" i="101"/>
  <c r="C443" i="134"/>
  <c r="E445" i="135" s="1"/>
  <c r="E445" i="139" s="1"/>
  <c r="G444" i="101"/>
  <c r="A368" i="154"/>
  <c r="B237" i="154"/>
  <c r="C207" i="154"/>
  <c r="D200" i="154"/>
  <c r="D94" i="154"/>
  <c r="C215" i="134" l="1"/>
  <c r="E217" i="135" s="1"/>
  <c r="E217" i="139" s="1"/>
  <c r="G216" i="101"/>
  <c r="C444" i="134"/>
  <c r="E446" i="135" s="1"/>
  <c r="E446" i="139" s="1"/>
  <c r="G445" i="101"/>
  <c r="A369" i="154"/>
  <c r="B238" i="154"/>
  <c r="C716" i="154"/>
  <c r="C208" i="154"/>
  <c r="D201" i="154"/>
  <c r="C93" i="154"/>
  <c r="D95" i="154"/>
  <c r="D96" i="154"/>
  <c r="C94" i="154"/>
  <c r="C445" i="134" l="1"/>
  <c r="E447" i="135" s="1"/>
  <c r="E447" i="139" s="1"/>
  <c r="G446" i="101"/>
  <c r="C216" i="134"/>
  <c r="E218" i="135" s="1"/>
  <c r="E218" i="139" s="1"/>
  <c r="G217" i="101"/>
  <c r="A370" i="154"/>
  <c r="B239" i="154"/>
  <c r="C210" i="154"/>
  <c r="C717" i="154"/>
  <c r="C209" i="154"/>
  <c r="D202" i="154"/>
  <c r="C95" i="154"/>
  <c r="C217" i="134" l="1"/>
  <c r="E219" i="135" s="1"/>
  <c r="E219" i="139" s="1"/>
  <c r="G218" i="101"/>
  <c r="C446" i="134"/>
  <c r="E448" i="135" s="1"/>
  <c r="E448" i="139" s="1"/>
  <c r="G447" i="101"/>
  <c r="A371" i="154"/>
  <c r="C211" i="154"/>
  <c r="C718" i="154"/>
  <c r="D203" i="154"/>
  <c r="C96" i="154"/>
  <c r="C447" i="134" l="1"/>
  <c r="E449" i="135" s="1"/>
  <c r="E449" i="139" s="1"/>
  <c r="G448" i="101"/>
  <c r="C218" i="134"/>
  <c r="E220" i="135" s="1"/>
  <c r="E220" i="139" s="1"/>
  <c r="G219" i="101"/>
  <c r="A372" i="154"/>
  <c r="B241" i="154"/>
  <c r="C212" i="154"/>
  <c r="C719" i="154"/>
  <c r="D204" i="154"/>
  <c r="C219" i="134" l="1"/>
  <c r="E221" i="135" s="1"/>
  <c r="E221" i="139" s="1"/>
  <c r="G220" i="101"/>
  <c r="C448" i="134"/>
  <c r="E450" i="135" s="1"/>
  <c r="E450" i="139" s="1"/>
  <c r="G449" i="101"/>
  <c r="B255" i="154"/>
  <c r="A373" i="154"/>
  <c r="B242" i="154"/>
  <c r="C213" i="154"/>
  <c r="C720" i="154"/>
  <c r="D205" i="154"/>
  <c r="C449" i="134" l="1"/>
  <c r="E451" i="135" s="1"/>
  <c r="E451" i="139" s="1"/>
  <c r="G450" i="101"/>
  <c r="C220" i="134"/>
  <c r="E222" i="135" s="1"/>
  <c r="E222" i="139" s="1"/>
  <c r="G221" i="101"/>
  <c r="A374" i="154"/>
  <c r="B243" i="154"/>
  <c r="C214" i="154"/>
  <c r="C721" i="154"/>
  <c r="D206" i="154"/>
  <c r="C221" i="134" l="1"/>
  <c r="E223" i="135" s="1"/>
  <c r="E223" i="139" s="1"/>
  <c r="G222" i="101"/>
  <c r="C450" i="134"/>
  <c r="E452" i="135" s="1"/>
  <c r="E452" i="139" s="1"/>
  <c r="G451" i="101"/>
  <c r="A375" i="154"/>
  <c r="B244" i="154"/>
  <c r="C215" i="154"/>
  <c r="C722" i="154"/>
  <c r="D207" i="154"/>
  <c r="C451" i="134" l="1"/>
  <c r="E453" i="135" s="1"/>
  <c r="E453" i="139" s="1"/>
  <c r="G452" i="101"/>
  <c r="C222" i="134"/>
  <c r="E224" i="135" s="1"/>
  <c r="E224" i="139" s="1"/>
  <c r="G223" i="101"/>
  <c r="A376" i="154"/>
  <c r="C216" i="154"/>
  <c r="C723" i="154"/>
  <c r="D213" i="154"/>
  <c r="D208" i="154"/>
  <c r="C223" i="134" l="1"/>
  <c r="E225" i="135" s="1"/>
  <c r="E225" i="139" s="1"/>
  <c r="G224" i="101"/>
  <c r="C452" i="134"/>
  <c r="E454" i="135" s="1"/>
  <c r="E454" i="139" s="1"/>
  <c r="G453" i="101"/>
  <c r="A377" i="154"/>
  <c r="B246" i="154"/>
  <c r="C217" i="154"/>
  <c r="C724" i="154"/>
  <c r="D214" i="154"/>
  <c r="D209" i="154"/>
  <c r="C453" i="134" l="1"/>
  <c r="E455" i="135" s="1"/>
  <c r="E455" i="139" s="1"/>
  <c r="G454" i="101"/>
  <c r="C224" i="134"/>
  <c r="E226" i="135" s="1"/>
  <c r="E226" i="139" s="1"/>
  <c r="G225" i="101"/>
  <c r="A378" i="154"/>
  <c r="B247" i="154"/>
  <c r="C218" i="154"/>
  <c r="C725" i="154"/>
  <c r="D215" i="154"/>
  <c r="D210" i="154"/>
  <c r="C454" i="134" l="1"/>
  <c r="E456" i="135" s="1"/>
  <c r="E456" i="139" s="1"/>
  <c r="G455" i="101"/>
  <c r="C225" i="134"/>
  <c r="E227" i="135" s="1"/>
  <c r="E227" i="139" s="1"/>
  <c r="G226" i="101"/>
  <c r="A379" i="154"/>
  <c r="B248" i="154"/>
  <c r="C219" i="154"/>
  <c r="C726" i="154"/>
  <c r="D216" i="154"/>
  <c r="D212" i="154"/>
  <c r="D211" i="154"/>
  <c r="C226" i="134" l="1"/>
  <c r="E228" i="135" s="1"/>
  <c r="E228" i="139" s="1"/>
  <c r="G227" i="101"/>
  <c r="C455" i="134"/>
  <c r="E457" i="135" s="1"/>
  <c r="E457" i="139" s="1"/>
  <c r="G456" i="101"/>
  <c r="A380" i="154"/>
  <c r="B249" i="154"/>
  <c r="C220" i="154"/>
  <c r="C727" i="154"/>
  <c r="D217" i="154"/>
  <c r="C456" i="134" l="1"/>
  <c r="E458" i="135" s="1"/>
  <c r="E458" i="139" s="1"/>
  <c r="G457" i="101"/>
  <c r="C227" i="134"/>
  <c r="E229" i="135" s="1"/>
  <c r="E229" i="139" s="1"/>
  <c r="G228" i="101"/>
  <c r="A381" i="154"/>
  <c r="B250" i="154"/>
  <c r="C221" i="154"/>
  <c r="C728" i="154"/>
  <c r="D218" i="154"/>
  <c r="C228" i="134" l="1"/>
  <c r="E230" i="135" s="1"/>
  <c r="E230" i="139" s="1"/>
  <c r="G229" i="101"/>
  <c r="C457" i="134"/>
  <c r="E459" i="135" s="1"/>
  <c r="E459" i="139" s="1"/>
  <c r="G458" i="101"/>
  <c r="A382" i="154"/>
  <c r="B251" i="154"/>
  <c r="C222" i="154"/>
  <c r="C729" i="154"/>
  <c r="D219" i="154"/>
  <c r="C458" i="134" l="1"/>
  <c r="E460" i="135" s="1"/>
  <c r="E460" i="139" s="1"/>
  <c r="G459" i="101"/>
  <c r="C229" i="134"/>
  <c r="E231" i="135" s="1"/>
  <c r="E231" i="139" s="1"/>
  <c r="G230" i="101"/>
  <c r="B265" i="154"/>
  <c r="A383" i="154"/>
  <c r="B252" i="154"/>
  <c r="C223" i="154"/>
  <c r="C730" i="154"/>
  <c r="D220" i="154"/>
  <c r="C459" i="134" l="1"/>
  <c r="E461" i="135" s="1"/>
  <c r="E461" i="139" s="1"/>
  <c r="G460" i="101"/>
  <c r="C230" i="134"/>
  <c r="E232" i="135" s="1"/>
  <c r="E232" i="139" s="1"/>
  <c r="G231" i="101"/>
  <c r="A384" i="154"/>
  <c r="B253" i="154"/>
  <c r="C224" i="154"/>
  <c r="C731" i="154"/>
  <c r="D221" i="154"/>
  <c r="C231" i="134" l="1"/>
  <c r="E233" i="135" s="1"/>
  <c r="E233" i="139" s="1"/>
  <c r="G232" i="101"/>
  <c r="C460" i="134"/>
  <c r="E462" i="135" s="1"/>
  <c r="E462" i="139" s="1"/>
  <c r="G461" i="101"/>
  <c r="A385" i="154"/>
  <c r="B254" i="154"/>
  <c r="C225" i="154"/>
  <c r="C732" i="154"/>
  <c r="D223" i="154"/>
  <c r="D222" i="154"/>
  <c r="C232" i="134" l="1"/>
  <c r="E234" i="135" s="1"/>
  <c r="E234" i="139" s="1"/>
  <c r="G233" i="101"/>
  <c r="C461" i="134"/>
  <c r="E463" i="135" s="1"/>
  <c r="E463" i="139" s="1"/>
  <c r="G462" i="101"/>
  <c r="A386" i="154"/>
  <c r="C226" i="154"/>
  <c r="C733" i="154"/>
  <c r="D224" i="154"/>
  <c r="C462" i="134" l="1"/>
  <c r="E464" i="135" s="1"/>
  <c r="E464" i="139" s="1"/>
  <c r="G463" i="101"/>
  <c r="C233" i="134"/>
  <c r="E235" i="135" s="1"/>
  <c r="E235" i="139" s="1"/>
  <c r="G234" i="101"/>
  <c r="A387" i="154"/>
  <c r="B256" i="154"/>
  <c r="C227" i="154"/>
  <c r="C734" i="154"/>
  <c r="C463" i="134" l="1"/>
  <c r="E465" i="135" s="1"/>
  <c r="E465" i="139" s="1"/>
  <c r="G464" i="101"/>
  <c r="C234" i="134"/>
  <c r="E236" i="135" s="1"/>
  <c r="E236" i="139" s="1"/>
  <c r="G235" i="101"/>
  <c r="A388" i="154"/>
  <c r="B257" i="154"/>
  <c r="D225" i="154"/>
  <c r="C228" i="154"/>
  <c r="C735" i="154"/>
  <c r="D226" i="154"/>
  <c r="C235" i="134" l="1"/>
  <c r="E237" i="135" s="1"/>
  <c r="E237" i="139" s="1"/>
  <c r="G236" i="101"/>
  <c r="C464" i="134"/>
  <c r="E466" i="135" s="1"/>
  <c r="E466" i="139" s="1"/>
  <c r="G465" i="101"/>
  <c r="A389" i="154"/>
  <c r="B258" i="154"/>
  <c r="C229" i="154"/>
  <c r="C736" i="154"/>
  <c r="C236" i="134" l="1"/>
  <c r="E238" i="135" s="1"/>
  <c r="E238" i="139" s="1"/>
  <c r="G237" i="101"/>
  <c r="C465" i="134"/>
  <c r="E467" i="135" s="1"/>
  <c r="E467" i="139" s="1"/>
  <c r="G466" i="101"/>
  <c r="A390" i="154"/>
  <c r="B259" i="154"/>
  <c r="C230" i="154"/>
  <c r="D227" i="154"/>
  <c r="C737" i="154"/>
  <c r="C466" i="134" l="1"/>
  <c r="E468" i="135" s="1"/>
  <c r="E468" i="139" s="1"/>
  <c r="G467" i="101"/>
  <c r="C237" i="134"/>
  <c r="E239" i="135" s="1"/>
  <c r="E239" i="139" s="1"/>
  <c r="G238" i="101"/>
  <c r="A391" i="154"/>
  <c r="B260" i="154"/>
  <c r="C231" i="154"/>
  <c r="D228" i="154"/>
  <c r="C738" i="154"/>
  <c r="C238" i="134" l="1"/>
  <c r="E240" i="135" s="1"/>
  <c r="E240" i="139" s="1"/>
  <c r="G239" i="101"/>
  <c r="C467" i="134"/>
  <c r="E469" i="135" s="1"/>
  <c r="E469" i="139" s="1"/>
  <c r="G468" i="101"/>
  <c r="A392" i="154"/>
  <c r="B261" i="154"/>
  <c r="D229" i="154"/>
  <c r="C232" i="154"/>
  <c r="C739" i="154"/>
  <c r="C468" i="134" l="1"/>
  <c r="E470" i="135" s="1"/>
  <c r="E470" i="139" s="1"/>
  <c r="G469" i="101"/>
  <c r="C239" i="134"/>
  <c r="E241" i="135" s="1"/>
  <c r="E241" i="139" s="1"/>
  <c r="G240" i="101"/>
  <c r="B275" i="154"/>
  <c r="A393" i="154"/>
  <c r="B262" i="154"/>
  <c r="D230" i="154"/>
  <c r="C233" i="154"/>
  <c r="C740" i="154"/>
  <c r="D231" i="154"/>
  <c r="C240" i="134" l="1"/>
  <c r="E242" i="135" s="1"/>
  <c r="E242" i="139" s="1"/>
  <c r="G241" i="101"/>
  <c r="C469" i="134"/>
  <c r="E471" i="135" s="1"/>
  <c r="E471" i="139" s="1"/>
  <c r="G470" i="101"/>
  <c r="A394" i="154"/>
  <c r="B263" i="154"/>
  <c r="C234" i="154"/>
  <c r="C741" i="154"/>
  <c r="D232" i="154"/>
  <c r="C470" i="134" l="1"/>
  <c r="E472" i="135" s="1"/>
  <c r="E472" i="139" s="1"/>
  <c r="G471" i="101"/>
  <c r="C241" i="134"/>
  <c r="E243" i="135" s="1"/>
  <c r="E243" i="139" s="1"/>
  <c r="G242" i="101"/>
  <c r="A395" i="154"/>
  <c r="B264" i="154"/>
  <c r="C235" i="154"/>
  <c r="C742" i="154"/>
  <c r="D233" i="154"/>
  <c r="C242" i="134" l="1"/>
  <c r="E244" i="135" s="1"/>
  <c r="E244" i="139" s="1"/>
  <c r="G243" i="101"/>
  <c r="C471" i="134"/>
  <c r="E473" i="135" s="1"/>
  <c r="E473" i="139" s="1"/>
  <c r="G472" i="101"/>
  <c r="A396" i="154"/>
  <c r="C236" i="154"/>
  <c r="C743" i="154"/>
  <c r="C472" i="134" l="1"/>
  <c r="E474" i="135" s="1"/>
  <c r="E474" i="139" s="1"/>
  <c r="G473" i="101"/>
  <c r="C243" i="134"/>
  <c r="E245" i="135" s="1"/>
  <c r="E245" i="139" s="1"/>
  <c r="G244" i="101"/>
  <c r="A397" i="154"/>
  <c r="B266" i="154"/>
  <c r="D234" i="154"/>
  <c r="C237" i="154"/>
  <c r="C473" i="134" l="1"/>
  <c r="E475" i="135" s="1"/>
  <c r="E475" i="139" s="1"/>
  <c r="G474" i="101"/>
  <c r="C244" i="134"/>
  <c r="E246" i="135" s="1"/>
  <c r="E246" i="139" s="1"/>
  <c r="G245" i="101"/>
  <c r="A398" i="154"/>
  <c r="B267" i="154"/>
  <c r="D235" i="154"/>
  <c r="C238" i="154"/>
  <c r="C245" i="134" l="1"/>
  <c r="E247" i="135" s="1"/>
  <c r="E247" i="139" s="1"/>
  <c r="G246" i="101"/>
  <c r="C474" i="134"/>
  <c r="E476" i="135" s="1"/>
  <c r="E476" i="139" s="1"/>
  <c r="G475" i="101"/>
  <c r="A399" i="154"/>
  <c r="B268" i="154"/>
  <c r="D236" i="154"/>
  <c r="C239" i="154"/>
  <c r="C475" i="134" l="1"/>
  <c r="E477" i="135" s="1"/>
  <c r="E477" i="139" s="1"/>
  <c r="G476" i="101"/>
  <c r="C246" i="134"/>
  <c r="E248" i="135" s="1"/>
  <c r="E248" i="139" s="1"/>
  <c r="G247" i="101"/>
  <c r="A400" i="154"/>
  <c r="B269" i="154"/>
  <c r="D237" i="154"/>
  <c r="C240" i="154"/>
  <c r="C247" i="134" l="1"/>
  <c r="E249" i="135" s="1"/>
  <c r="E249" i="139" s="1"/>
  <c r="G248" i="101"/>
  <c r="C476" i="134"/>
  <c r="E478" i="135" s="1"/>
  <c r="E478" i="139" s="1"/>
  <c r="G477" i="101"/>
  <c r="A401" i="154"/>
  <c r="B270" i="154"/>
  <c r="D238" i="154"/>
  <c r="C241" i="154"/>
  <c r="C477" i="134" l="1"/>
  <c r="E479" i="135" s="1"/>
  <c r="E479" i="139" s="1"/>
  <c r="G478" i="101"/>
  <c r="C248" i="134"/>
  <c r="E250" i="135" s="1"/>
  <c r="E250" i="139" s="1"/>
  <c r="G249" i="101"/>
  <c r="A402" i="154"/>
  <c r="B271" i="154"/>
  <c r="D239" i="154"/>
  <c r="C242" i="154"/>
  <c r="C249" i="134" l="1"/>
  <c r="E251" i="135" s="1"/>
  <c r="E251" i="139" s="1"/>
  <c r="G250" i="101"/>
  <c r="C478" i="134"/>
  <c r="E480" i="135" s="1"/>
  <c r="E480" i="139" s="1"/>
  <c r="G479" i="101"/>
  <c r="B285" i="154"/>
  <c r="A403" i="154"/>
  <c r="B272" i="154"/>
  <c r="D240" i="154"/>
  <c r="C243" i="154"/>
  <c r="C250" i="134" l="1"/>
  <c r="E252" i="135" s="1"/>
  <c r="E252" i="139" s="1"/>
  <c r="G251" i="101"/>
  <c r="C479" i="134"/>
  <c r="E481" i="135" s="1"/>
  <c r="E481" i="139" s="1"/>
  <c r="G480" i="101"/>
  <c r="A404" i="154"/>
  <c r="B273" i="154"/>
  <c r="D241" i="154"/>
  <c r="C244" i="154"/>
  <c r="D242" i="154"/>
  <c r="C480" i="134" l="1"/>
  <c r="E482" i="135" s="1"/>
  <c r="E482" i="139" s="1"/>
  <c r="G481" i="101"/>
  <c r="C251" i="134"/>
  <c r="E253" i="135" s="1"/>
  <c r="E253" i="139" s="1"/>
  <c r="G252" i="101"/>
  <c r="A405" i="154"/>
  <c r="B274" i="154"/>
  <c r="C245" i="154"/>
  <c r="C481" i="134" l="1"/>
  <c r="E483" i="135" s="1"/>
  <c r="E483" i="139" s="1"/>
  <c r="G482" i="101"/>
  <c r="C252" i="134"/>
  <c r="E254" i="135" s="1"/>
  <c r="E254" i="139" s="1"/>
  <c r="G253" i="101"/>
  <c r="A406" i="154"/>
  <c r="D243" i="154"/>
  <c r="C246" i="154"/>
  <c r="C482" i="134" l="1"/>
  <c r="E484" i="135" s="1"/>
  <c r="E484" i="139" s="1"/>
  <c r="G483" i="101"/>
  <c r="C253" i="134"/>
  <c r="E255" i="135" s="1"/>
  <c r="E255" i="139" s="1"/>
  <c r="G254" i="101"/>
  <c r="A407" i="154"/>
  <c r="B276" i="154"/>
  <c r="D244" i="154"/>
  <c r="C247" i="154"/>
  <c r="D245" i="154"/>
  <c r="C483" i="134" l="1"/>
  <c r="E485" i="135" s="1"/>
  <c r="E485" i="139" s="1"/>
  <c r="G484" i="101"/>
  <c r="C254" i="134"/>
  <c r="E256" i="135" s="1"/>
  <c r="E256" i="139" s="1"/>
  <c r="G255" i="101"/>
  <c r="A408" i="154"/>
  <c r="B277" i="154"/>
  <c r="C248" i="154"/>
  <c r="D246" i="154"/>
  <c r="C484" i="134" l="1"/>
  <c r="E486" i="135" s="1"/>
  <c r="E486" i="139" s="1"/>
  <c r="G485" i="101"/>
  <c r="C255" i="134"/>
  <c r="E257" i="135" s="1"/>
  <c r="E257" i="139" s="1"/>
  <c r="G256" i="101"/>
  <c r="A409" i="154"/>
  <c r="B278" i="154"/>
  <c r="C249" i="154"/>
  <c r="D247" i="154"/>
  <c r="C485" i="134" l="1"/>
  <c r="E487" i="135" s="1"/>
  <c r="E487" i="139" s="1"/>
  <c r="G486" i="101"/>
  <c r="C256" i="134"/>
  <c r="E258" i="135" s="1"/>
  <c r="E258" i="139" s="1"/>
  <c r="G257" i="101"/>
  <c r="A410" i="154"/>
  <c r="B279" i="154"/>
  <c r="C250" i="154"/>
  <c r="D248" i="154"/>
  <c r="C486" i="134" l="1"/>
  <c r="E488" i="135" s="1"/>
  <c r="E488" i="139" s="1"/>
  <c r="G487" i="101"/>
  <c r="C257" i="134"/>
  <c r="E259" i="135" s="1"/>
  <c r="E259" i="139" s="1"/>
  <c r="G258" i="101"/>
  <c r="A411" i="154"/>
  <c r="B280" i="154"/>
  <c r="C251" i="154"/>
  <c r="C487" i="134" l="1"/>
  <c r="E489" i="135" s="1"/>
  <c r="E489" i="139" s="1"/>
  <c r="G488" i="101"/>
  <c r="C258" i="134"/>
  <c r="E260" i="135" s="1"/>
  <c r="E260" i="139" s="1"/>
  <c r="G259" i="101"/>
  <c r="B294" i="154"/>
  <c r="A412" i="154"/>
  <c r="B281" i="154"/>
  <c r="D249" i="154"/>
  <c r="C252" i="154"/>
  <c r="C488" i="134" l="1"/>
  <c r="E490" i="135" s="1"/>
  <c r="E490" i="139" s="1"/>
  <c r="G489" i="101"/>
  <c r="C259" i="134"/>
  <c r="E261" i="135" s="1"/>
  <c r="E261" i="139" s="1"/>
  <c r="G260" i="101"/>
  <c r="A413" i="154"/>
  <c r="B282" i="154"/>
  <c r="C253" i="154"/>
  <c r="D250" i="154"/>
  <c r="C489" i="134" l="1"/>
  <c r="E491" i="135" s="1"/>
  <c r="E491" i="139" s="1"/>
  <c r="G490" i="101"/>
  <c r="C260" i="134"/>
  <c r="E262" i="135" s="1"/>
  <c r="E262" i="139" s="1"/>
  <c r="G261" i="101"/>
  <c r="A414" i="154"/>
  <c r="B283" i="154"/>
  <c r="C254" i="154"/>
  <c r="D251" i="154"/>
  <c r="D252" i="154"/>
  <c r="C490" i="134" l="1"/>
  <c r="E492" i="135" s="1"/>
  <c r="E492" i="139" s="1"/>
  <c r="G491" i="101"/>
  <c r="C261" i="134"/>
  <c r="E263" i="135" s="1"/>
  <c r="E263" i="139" s="1"/>
  <c r="G262" i="101"/>
  <c r="A415" i="154"/>
  <c r="B284" i="154"/>
  <c r="C255" i="154"/>
  <c r="D253" i="154"/>
  <c r="C491" i="134" l="1"/>
  <c r="E493" i="135" s="1"/>
  <c r="E493" i="139" s="1"/>
  <c r="G492" i="101"/>
  <c r="C262" i="134"/>
  <c r="E264" i="135" s="1"/>
  <c r="E264" i="139" s="1"/>
  <c r="G263" i="101"/>
  <c r="A416" i="154"/>
  <c r="C256" i="154"/>
  <c r="D254" i="154"/>
  <c r="C492" i="134" l="1"/>
  <c r="E494" i="135" s="1"/>
  <c r="E494" i="139" s="1"/>
  <c r="G493" i="101"/>
  <c r="C263" i="134"/>
  <c r="E265" i="135" s="1"/>
  <c r="E265" i="139" s="1"/>
  <c r="G264" i="101"/>
  <c r="A417" i="154"/>
  <c r="B286" i="154"/>
  <c r="C257" i="154"/>
  <c r="C493" i="134" l="1"/>
  <c r="E495" i="135" s="1"/>
  <c r="E495" i="139" s="1"/>
  <c r="G494" i="101"/>
  <c r="C264" i="134"/>
  <c r="E266" i="135" s="1"/>
  <c r="E266" i="139" s="1"/>
  <c r="G265" i="101"/>
  <c r="C265" i="134" s="1"/>
  <c r="E267" i="135" s="1"/>
  <c r="E267" i="139" s="1"/>
  <c r="A418" i="154"/>
  <c r="B287" i="154"/>
  <c r="D255" i="154"/>
  <c r="C258" i="154"/>
  <c r="C494" i="134" l="1"/>
  <c r="E496" i="135" s="1"/>
  <c r="E496" i="139" s="1"/>
  <c r="G495" i="101"/>
  <c r="A419" i="154"/>
  <c r="B288" i="154"/>
  <c r="D256" i="154"/>
  <c r="C259" i="154"/>
  <c r="C495" i="134" l="1"/>
  <c r="E497" i="135" s="1"/>
  <c r="E497" i="139" s="1"/>
  <c r="G496" i="101"/>
  <c r="A420" i="154"/>
  <c r="B289" i="154"/>
  <c r="D257" i="154"/>
  <c r="C260" i="154"/>
  <c r="C496" i="134" l="1"/>
  <c r="E498" i="135" s="1"/>
  <c r="E498" i="139" s="1"/>
  <c r="G497" i="101"/>
  <c r="A421" i="154"/>
  <c r="B290" i="154"/>
  <c r="D258" i="154"/>
  <c r="C261" i="154"/>
  <c r="C497" i="134" l="1"/>
  <c r="E499" i="135" s="1"/>
  <c r="E499" i="139" s="1"/>
  <c r="G498" i="101"/>
  <c r="B304" i="154"/>
  <c r="A422" i="154"/>
  <c r="B291" i="154"/>
  <c r="C262" i="154"/>
  <c r="D259" i="154"/>
  <c r="D260" i="154"/>
  <c r="C498" i="134" l="1"/>
  <c r="E500" i="135" s="1"/>
  <c r="E500" i="139" s="1"/>
  <c r="G499" i="101"/>
  <c r="A423" i="154"/>
  <c r="B292" i="154"/>
  <c r="C263" i="154"/>
  <c r="D261" i="154"/>
  <c r="C499" i="134" l="1"/>
  <c r="E501" i="135" s="1"/>
  <c r="E501" i="139" s="1"/>
  <c r="G500" i="101"/>
  <c r="A424" i="154"/>
  <c r="B293" i="154"/>
  <c r="C264" i="154"/>
  <c r="D262" i="154"/>
  <c r="C500" i="134" l="1"/>
  <c r="E502" i="135" s="1"/>
  <c r="E502" i="139" s="1"/>
  <c r="G501" i="101"/>
  <c r="A425" i="154"/>
  <c r="C265" i="154"/>
  <c r="D263" i="154"/>
  <c r="C501" i="134" l="1"/>
  <c r="E503" i="135" s="1"/>
  <c r="E503" i="139" s="1"/>
  <c r="G502" i="101"/>
  <c r="A426" i="154"/>
  <c r="B295" i="154"/>
  <c r="C266" i="154"/>
  <c r="D264" i="154"/>
  <c r="C502" i="134" l="1"/>
  <c r="E504" i="135" s="1"/>
  <c r="E504" i="139" s="1"/>
  <c r="G503" i="101"/>
  <c r="A427" i="154"/>
  <c r="B296" i="154"/>
  <c r="C267" i="154"/>
  <c r="D265" i="154"/>
  <c r="C503" i="134" l="1"/>
  <c r="E505" i="135" s="1"/>
  <c r="E505" i="139" s="1"/>
  <c r="G504" i="101"/>
  <c r="A428" i="154"/>
  <c r="B297" i="154"/>
  <c r="C268" i="154"/>
  <c r="C270" i="154"/>
  <c r="C271" i="154"/>
  <c r="C504" i="134" l="1"/>
  <c r="E506" i="135" s="1"/>
  <c r="E506" i="139" s="1"/>
  <c r="G505" i="101"/>
  <c r="A429" i="154"/>
  <c r="B298" i="154"/>
  <c r="D266" i="154"/>
  <c r="C269" i="154"/>
  <c r="C505" i="134" l="1"/>
  <c r="E507" i="135" s="1"/>
  <c r="E507" i="139" s="1"/>
  <c r="G506" i="101"/>
  <c r="A430" i="154"/>
  <c r="B299" i="154"/>
  <c r="D267" i="154"/>
  <c r="C273" i="154"/>
  <c r="C272" i="154"/>
  <c r="C506" i="134" l="1"/>
  <c r="E508" i="135" s="1"/>
  <c r="E508" i="139" s="1"/>
  <c r="G507" i="101"/>
  <c r="A431" i="154"/>
  <c r="B300" i="154"/>
  <c r="D268" i="154"/>
  <c r="C507" i="134" l="1"/>
  <c r="E509" i="135" s="1"/>
  <c r="E509" i="139" s="1"/>
  <c r="G508" i="101"/>
  <c r="B314" i="154"/>
  <c r="A432" i="154"/>
  <c r="B301" i="154"/>
  <c r="D269" i="154"/>
  <c r="D270" i="154"/>
  <c r="C274" i="154"/>
  <c r="C508" i="134" l="1"/>
  <c r="E510" i="135" s="1"/>
  <c r="E510" i="139" s="1"/>
  <c r="G509" i="101"/>
  <c r="A433" i="154"/>
  <c r="B302" i="154"/>
  <c r="C275" i="154"/>
  <c r="C276" i="154"/>
  <c r="C509" i="134" l="1"/>
  <c r="E511" i="135" s="1"/>
  <c r="E511" i="139" s="1"/>
  <c r="G510" i="101"/>
  <c r="A434" i="154"/>
  <c r="B303" i="154"/>
  <c r="D271" i="154"/>
  <c r="D272" i="154"/>
  <c r="C510" i="134" l="1"/>
  <c r="E512" i="135" s="1"/>
  <c r="E512" i="139" s="1"/>
  <c r="G511" i="101"/>
  <c r="A435" i="154"/>
  <c r="C277" i="154"/>
  <c r="C278" i="154"/>
  <c r="C511" i="134" l="1"/>
  <c r="E513" i="135" s="1"/>
  <c r="E513" i="139" s="1"/>
  <c r="G512" i="101"/>
  <c r="A436" i="154"/>
  <c r="B305" i="154"/>
  <c r="D273" i="154"/>
  <c r="C279" i="154"/>
  <c r="C512" i="134" l="1"/>
  <c r="E514" i="135" s="1"/>
  <c r="E514" i="139" s="1"/>
  <c r="G513" i="101"/>
  <c r="A437" i="154"/>
  <c r="B306" i="154"/>
  <c r="D274" i="154"/>
  <c r="C280" i="154"/>
  <c r="C513" i="134" l="1"/>
  <c r="E515" i="135" s="1"/>
  <c r="E515" i="139" s="1"/>
  <c r="G514" i="101"/>
  <c r="A438" i="154"/>
  <c r="B307" i="154"/>
  <c r="D276" i="154"/>
  <c r="C281" i="154"/>
  <c r="C514" i="134" l="1"/>
  <c r="E516" i="135" s="1"/>
  <c r="E516" i="139" s="1"/>
  <c r="G515" i="101"/>
  <c r="A439" i="154"/>
  <c r="B308" i="154"/>
  <c r="C282" i="154"/>
  <c r="C515" i="134" l="1"/>
  <c r="E517" i="135" s="1"/>
  <c r="E517" i="139" s="1"/>
  <c r="G516" i="101"/>
  <c r="A440" i="154"/>
  <c r="B309" i="154"/>
  <c r="D277" i="154"/>
  <c r="C283" i="154"/>
  <c r="C516" i="134" l="1"/>
  <c r="E518" i="135" s="1"/>
  <c r="E518" i="139" s="1"/>
  <c r="G517" i="101"/>
  <c r="A441" i="154"/>
  <c r="B310" i="154"/>
  <c r="D278" i="154"/>
  <c r="C284" i="154"/>
  <c r="C517" i="134" l="1"/>
  <c r="E519" i="135" s="1"/>
  <c r="E519" i="139" s="1"/>
  <c r="G518" i="101"/>
  <c r="B324" i="154"/>
  <c r="A442" i="154"/>
  <c r="B311" i="154"/>
  <c r="D279" i="154"/>
  <c r="C285" i="154"/>
  <c r="C518" i="134" l="1"/>
  <c r="E520" i="135" s="1"/>
  <c r="E520" i="139" s="1"/>
  <c r="G519" i="101"/>
  <c r="A443" i="154"/>
  <c r="B312" i="154"/>
  <c r="D280" i="154"/>
  <c r="C286" i="154"/>
  <c r="C519" i="134" l="1"/>
  <c r="E521" i="135" s="1"/>
  <c r="E521" i="139" s="1"/>
  <c r="G520" i="101"/>
  <c r="A444" i="154"/>
  <c r="B313" i="154"/>
  <c r="D281" i="154"/>
  <c r="C287" i="154"/>
  <c r="C520" i="134" l="1"/>
  <c r="E522" i="135" s="1"/>
  <c r="E522" i="139" s="1"/>
  <c r="G521" i="101"/>
  <c r="A445" i="154"/>
  <c r="D282" i="154"/>
  <c r="D283" i="154"/>
  <c r="C288" i="154"/>
  <c r="C521" i="134" l="1"/>
  <c r="E523" i="135" s="1"/>
  <c r="E523" i="139" s="1"/>
  <c r="G522" i="101"/>
  <c r="A446" i="154"/>
  <c r="B315" i="154"/>
  <c r="C289" i="154"/>
  <c r="G523" i="101" l="1"/>
  <c r="C522" i="134"/>
  <c r="E524" i="135" s="1"/>
  <c r="E524" i="139" s="1"/>
  <c r="A447" i="154"/>
  <c r="B316" i="154"/>
  <c r="D284" i="154"/>
  <c r="D285" i="154"/>
  <c r="C290" i="154"/>
  <c r="C523" i="134" l="1"/>
  <c r="E525" i="135" s="1"/>
  <c r="E525" i="139" s="1"/>
  <c r="G524" i="101"/>
  <c r="A448" i="154"/>
  <c r="B317" i="154"/>
  <c r="C291" i="154"/>
  <c r="C524" i="134" l="1"/>
  <c r="E526" i="135" s="1"/>
  <c r="E526" i="139" s="1"/>
  <c r="G525" i="101"/>
  <c r="A449" i="154"/>
  <c r="B318" i="154"/>
  <c r="D286" i="154"/>
  <c r="C292" i="154"/>
  <c r="C525" i="134" l="1"/>
  <c r="E527" i="135" s="1"/>
  <c r="E527" i="139" s="1"/>
  <c r="G526" i="101"/>
  <c r="A450" i="154"/>
  <c r="B319" i="154"/>
  <c r="D287" i="154"/>
  <c r="D288" i="154"/>
  <c r="C293" i="154"/>
  <c r="C526" i="134" l="1"/>
  <c r="E528" i="135" s="1"/>
  <c r="E528" i="139" s="1"/>
  <c r="G527" i="101"/>
  <c r="B333" i="154"/>
  <c r="A451" i="154"/>
  <c r="B320" i="154"/>
  <c r="C294" i="154"/>
  <c r="C527" i="134" l="1"/>
  <c r="E529" i="135" s="1"/>
  <c r="E529" i="139" s="1"/>
  <c r="G528" i="101"/>
  <c r="A452" i="154"/>
  <c r="B321" i="154"/>
  <c r="D289" i="154"/>
  <c r="C295" i="154"/>
  <c r="C528" i="134" l="1"/>
  <c r="E530" i="135" s="1"/>
  <c r="E530" i="139" s="1"/>
  <c r="G529" i="101"/>
  <c r="A453" i="154"/>
  <c r="B322" i="154"/>
  <c r="D290" i="154"/>
  <c r="C296" i="154"/>
  <c r="C529" i="134" l="1"/>
  <c r="E531" i="135" s="1"/>
  <c r="E531" i="139" s="1"/>
  <c r="G530" i="101"/>
  <c r="A454" i="154"/>
  <c r="B323" i="154"/>
  <c r="D291" i="154"/>
  <c r="C297" i="154"/>
  <c r="C530" i="134" l="1"/>
  <c r="E532" i="135" s="1"/>
  <c r="E532" i="139" s="1"/>
  <c r="G531" i="101"/>
  <c r="A455" i="154"/>
  <c r="D292" i="154"/>
  <c r="C298" i="154"/>
  <c r="C531" i="134" l="1"/>
  <c r="E533" i="135" s="1"/>
  <c r="E533" i="139" s="1"/>
  <c r="G532" i="101"/>
  <c r="A456" i="154"/>
  <c r="B325" i="154"/>
  <c r="D293" i="154"/>
  <c r="C299" i="154"/>
  <c r="C532" i="134" l="1"/>
  <c r="E534" i="135" s="1"/>
  <c r="E534" i="139" s="1"/>
  <c r="G533" i="101"/>
  <c r="A457" i="154"/>
  <c r="B326" i="154"/>
  <c r="D294" i="154"/>
  <c r="D295" i="154"/>
  <c r="C300" i="154"/>
  <c r="C533" i="134" l="1"/>
  <c r="E535" i="135" s="1"/>
  <c r="E535" i="139" s="1"/>
  <c r="G534" i="101"/>
  <c r="A458" i="154"/>
  <c r="B327" i="154"/>
  <c r="C301" i="154"/>
  <c r="C534" i="134" l="1"/>
  <c r="E536" i="135" s="1"/>
  <c r="E536" i="139" s="1"/>
  <c r="G535" i="101"/>
  <c r="A459" i="154"/>
  <c r="B328" i="154"/>
  <c r="C328" i="154"/>
  <c r="D296" i="154"/>
  <c r="D834" i="154"/>
  <c r="C302" i="154"/>
  <c r="C535" i="134" l="1"/>
  <c r="E537" i="135" s="1"/>
  <c r="E537" i="139" s="1"/>
  <c r="G536" i="101"/>
  <c r="A460" i="154"/>
  <c r="C329" i="154"/>
  <c r="B329" i="154"/>
  <c r="D297" i="154"/>
  <c r="D835" i="154"/>
  <c r="D298" i="154"/>
  <c r="C303" i="154"/>
  <c r="C536" i="134" l="1"/>
  <c r="E538" i="135" s="1"/>
  <c r="E538" i="139" s="1"/>
  <c r="G537" i="101"/>
  <c r="B343" i="154"/>
  <c r="A461" i="154"/>
  <c r="C330" i="154"/>
  <c r="B330" i="154"/>
  <c r="D836" i="154"/>
  <c r="D299" i="154"/>
  <c r="C304" i="154"/>
  <c r="C537" i="134" l="1"/>
  <c r="E539" i="135" s="1"/>
  <c r="E539" i="139" s="1"/>
  <c r="G538" i="101"/>
  <c r="A462" i="154"/>
  <c r="B331" i="154"/>
  <c r="C331" i="154"/>
  <c r="D837" i="154"/>
  <c r="C305" i="154"/>
  <c r="C538" i="134" l="1"/>
  <c r="E540" i="135" s="1"/>
  <c r="E540" i="139" s="1"/>
  <c r="G539" i="101"/>
  <c r="A463" i="154"/>
  <c r="C332" i="154"/>
  <c r="B332" i="154"/>
  <c r="D300" i="154"/>
  <c r="D838" i="154"/>
  <c r="C306" i="154"/>
  <c r="C539" i="134" l="1"/>
  <c r="E541" i="135" s="1"/>
  <c r="E541" i="139" s="1"/>
  <c r="G540" i="101"/>
  <c r="A464" i="154"/>
  <c r="C333" i="154"/>
  <c r="D301" i="154"/>
  <c r="D839" i="154"/>
  <c r="C307" i="154"/>
  <c r="C540" i="134" l="1"/>
  <c r="E542" i="135" s="1"/>
  <c r="E542" i="139" s="1"/>
  <c r="G541" i="101"/>
  <c r="B347" i="154"/>
  <c r="C347" i="154"/>
  <c r="A465" i="154"/>
  <c r="C334" i="154"/>
  <c r="B334" i="154"/>
  <c r="D302" i="154"/>
  <c r="D840" i="154"/>
  <c r="C308" i="154"/>
  <c r="C541" i="134" l="1"/>
  <c r="E543" i="135" s="1"/>
  <c r="E543" i="139" s="1"/>
  <c r="G542" i="101"/>
  <c r="A466" i="154"/>
  <c r="C335" i="154"/>
  <c r="B335" i="154"/>
  <c r="D303" i="154"/>
  <c r="D841" i="154"/>
  <c r="C309" i="154"/>
  <c r="C542" i="134" l="1"/>
  <c r="E544" i="135" s="1"/>
  <c r="E544" i="139" s="1"/>
  <c r="G543" i="101"/>
  <c r="A467" i="154"/>
  <c r="C336" i="154"/>
  <c r="B336" i="154"/>
  <c r="D304" i="154"/>
  <c r="D842" i="154"/>
  <c r="C310" i="154"/>
  <c r="C543" i="134" l="1"/>
  <c r="E545" i="135" s="1"/>
  <c r="E545" i="139" s="1"/>
  <c r="G544" i="101"/>
  <c r="A468" i="154"/>
  <c r="C337" i="154"/>
  <c r="B337" i="154"/>
  <c r="D305" i="154"/>
  <c r="D843" i="154"/>
  <c r="C311" i="154"/>
  <c r="C544" i="134" l="1"/>
  <c r="E546" i="135" s="1"/>
  <c r="E546" i="139" s="1"/>
  <c r="G545" i="101"/>
  <c r="A469" i="154"/>
  <c r="B338" i="154"/>
  <c r="C338" i="154"/>
  <c r="D306" i="154"/>
  <c r="D844" i="154"/>
  <c r="C312" i="154"/>
  <c r="C545" i="134" l="1"/>
  <c r="E547" i="135" s="1"/>
  <c r="E547" i="139" s="1"/>
  <c r="G546" i="101"/>
  <c r="B352" i="154"/>
  <c r="A470" i="154"/>
  <c r="B339" i="154"/>
  <c r="C339" i="154"/>
  <c r="D307" i="154"/>
  <c r="D845" i="154"/>
  <c r="C313" i="154"/>
  <c r="C546" i="134" l="1"/>
  <c r="E548" i="135" s="1"/>
  <c r="E548" i="139" s="1"/>
  <c r="G547" i="101"/>
  <c r="A471" i="154"/>
  <c r="B340" i="154"/>
  <c r="C340" i="154"/>
  <c r="D308" i="154"/>
  <c r="D846" i="154"/>
  <c r="C314" i="154"/>
  <c r="C547" i="134" l="1"/>
  <c r="E549" i="135" s="1"/>
  <c r="E549" i="139" s="1"/>
  <c r="G548" i="101"/>
  <c r="A472" i="154"/>
  <c r="B341" i="154"/>
  <c r="C341" i="154"/>
  <c r="D309" i="154"/>
  <c r="D847" i="154"/>
  <c r="C315" i="154"/>
  <c r="C548" i="134" l="1"/>
  <c r="E550" i="135" s="1"/>
  <c r="E550" i="139" s="1"/>
  <c r="G549" i="101"/>
  <c r="A473" i="154"/>
  <c r="B342" i="154"/>
  <c r="C342" i="154"/>
  <c r="D310" i="154"/>
  <c r="D848" i="154"/>
  <c r="C316" i="154"/>
  <c r="C549" i="134" l="1"/>
  <c r="E551" i="135" s="1"/>
  <c r="E551" i="139" s="1"/>
  <c r="G550" i="101"/>
  <c r="A474" i="154"/>
  <c r="C343" i="154"/>
  <c r="D311" i="154"/>
  <c r="D849" i="154"/>
  <c r="D312" i="154"/>
  <c r="C317" i="154"/>
  <c r="C550" i="134" l="1"/>
  <c r="E552" i="135" s="1"/>
  <c r="E552" i="139" s="1"/>
  <c r="G551" i="101"/>
  <c r="A475" i="154"/>
  <c r="C344" i="154"/>
  <c r="B344" i="154"/>
  <c r="D850" i="154"/>
  <c r="C318" i="154"/>
  <c r="C551" i="134" l="1"/>
  <c r="E553" i="135" s="1"/>
  <c r="E553" i="139" s="1"/>
  <c r="G552" i="101"/>
  <c r="A476" i="154"/>
  <c r="B345" i="154"/>
  <c r="C345" i="154"/>
  <c r="D313" i="154"/>
  <c r="D851" i="154"/>
  <c r="C319" i="154"/>
  <c r="C552" i="134" l="1"/>
  <c r="E554" i="135" s="1"/>
  <c r="E554" i="139" s="1"/>
  <c r="G553" i="101"/>
  <c r="A477" i="154"/>
  <c r="C346" i="154"/>
  <c r="B346" i="154"/>
  <c r="D314" i="154"/>
  <c r="D852" i="154"/>
  <c r="C320" i="154"/>
  <c r="C553" i="134" l="1"/>
  <c r="E555" i="135" s="1"/>
  <c r="E555" i="139" s="1"/>
  <c r="G554" i="101"/>
  <c r="A478" i="154"/>
  <c r="D315" i="154"/>
  <c r="D853" i="154"/>
  <c r="C321" i="154"/>
  <c r="C554" i="134" l="1"/>
  <c r="E556" i="135" s="1"/>
  <c r="E556" i="139" s="1"/>
  <c r="G555" i="101"/>
  <c r="A479" i="154"/>
  <c r="B348" i="154"/>
  <c r="C348" i="154"/>
  <c r="D316" i="154"/>
  <c r="D854" i="154"/>
  <c r="C322" i="154"/>
  <c r="C555" i="134" l="1"/>
  <c r="E557" i="135" s="1"/>
  <c r="E557" i="139" s="1"/>
  <c r="G556" i="101"/>
  <c r="B362" i="154"/>
  <c r="A480" i="154"/>
  <c r="B349" i="154"/>
  <c r="C349" i="154"/>
  <c r="D317" i="154"/>
  <c r="D855" i="154"/>
  <c r="C323" i="154"/>
  <c r="C556" i="134" l="1"/>
  <c r="E558" i="135" s="1"/>
  <c r="E558" i="139" s="1"/>
  <c r="G557" i="101"/>
  <c r="A481" i="154"/>
  <c r="C350" i="154"/>
  <c r="B350" i="154"/>
  <c r="D318" i="154"/>
  <c r="D856" i="154"/>
  <c r="C324" i="154"/>
  <c r="C557" i="134" l="1"/>
  <c r="E559" i="135" s="1"/>
  <c r="E559" i="139" s="1"/>
  <c r="G558" i="101"/>
  <c r="A482" i="154"/>
  <c r="B351" i="154"/>
  <c r="C351" i="154"/>
  <c r="D319" i="154"/>
  <c r="D857" i="154"/>
  <c r="C325" i="154"/>
  <c r="C558" i="134" l="1"/>
  <c r="E560" i="135" s="1"/>
  <c r="E560" i="139" s="1"/>
  <c r="G559" i="101"/>
  <c r="A483" i="154"/>
  <c r="C352" i="154"/>
  <c r="D320" i="154"/>
  <c r="D858" i="154"/>
  <c r="C326" i="154"/>
  <c r="C559" i="134" l="1"/>
  <c r="E561" i="135" s="1"/>
  <c r="E561" i="139" s="1"/>
  <c r="G560" i="101"/>
  <c r="A484" i="154"/>
  <c r="B353" i="154"/>
  <c r="C353" i="154"/>
  <c r="D321" i="154"/>
  <c r="D859" i="154"/>
  <c r="C327" i="154"/>
  <c r="C560" i="134" l="1"/>
  <c r="E562" i="135" s="1"/>
  <c r="E562" i="139" s="1"/>
  <c r="G561" i="101"/>
  <c r="A485" i="154"/>
  <c r="B354" i="154"/>
  <c r="C354" i="154"/>
  <c r="D322" i="154"/>
  <c r="D860" i="154"/>
  <c r="C561" i="134" l="1"/>
  <c r="E563" i="135" s="1"/>
  <c r="E563" i="139" s="1"/>
  <c r="G562" i="101"/>
  <c r="A486" i="154"/>
  <c r="B355" i="154"/>
  <c r="C355" i="154"/>
  <c r="D323" i="154"/>
  <c r="D861" i="154"/>
  <c r="C562" i="134" l="1"/>
  <c r="E564" i="135" s="1"/>
  <c r="E564" i="139" s="1"/>
  <c r="G563" i="101"/>
  <c r="A487" i="154"/>
  <c r="B356" i="154"/>
  <c r="C356" i="154"/>
  <c r="D324" i="154"/>
  <c r="D862" i="154"/>
  <c r="C563" i="134" l="1"/>
  <c r="E565" i="135" s="1"/>
  <c r="E565" i="139" s="1"/>
  <c r="G564" i="101"/>
  <c r="A488" i="154"/>
  <c r="C357" i="154"/>
  <c r="B357" i="154"/>
  <c r="D325" i="154"/>
  <c r="D863" i="154"/>
  <c r="C564" i="134" l="1"/>
  <c r="E566" i="135" s="1"/>
  <c r="E566" i="139" s="1"/>
  <c r="G565" i="101"/>
  <c r="A489" i="154"/>
  <c r="B358" i="154"/>
  <c r="C358" i="154"/>
  <c r="D326" i="154"/>
  <c r="D864" i="154"/>
  <c r="C565" i="134" l="1"/>
  <c r="E567" i="135" s="1"/>
  <c r="E567" i="139" s="1"/>
  <c r="G566" i="101"/>
  <c r="B372" i="154"/>
  <c r="A490" i="154"/>
  <c r="B359" i="154"/>
  <c r="C359" i="154"/>
  <c r="D327" i="154"/>
  <c r="D865" i="154"/>
  <c r="C566" i="134" l="1"/>
  <c r="E568" i="135" s="1"/>
  <c r="E568" i="139" s="1"/>
  <c r="G567" i="101"/>
  <c r="A491" i="154"/>
  <c r="B360" i="154"/>
  <c r="C360" i="154"/>
  <c r="D328" i="154"/>
  <c r="D866" i="154"/>
  <c r="C567" i="134" l="1"/>
  <c r="E569" i="135" s="1"/>
  <c r="E569" i="139" s="1"/>
  <c r="G568" i="101"/>
  <c r="A492" i="154"/>
  <c r="B361" i="154"/>
  <c r="C361" i="154"/>
  <c r="D329" i="154"/>
  <c r="D867" i="154"/>
  <c r="C568" i="134" l="1"/>
  <c r="E570" i="135" s="1"/>
  <c r="E570" i="139" s="1"/>
  <c r="G569" i="101"/>
  <c r="A493" i="154"/>
  <c r="C362" i="154"/>
  <c r="D330" i="154"/>
  <c r="D868" i="154"/>
  <c r="C569" i="134" l="1"/>
  <c r="E571" i="135" s="1"/>
  <c r="E571" i="139" s="1"/>
  <c r="G570" i="101"/>
  <c r="A494" i="154"/>
  <c r="B363" i="154"/>
  <c r="C363" i="154"/>
  <c r="D331" i="154"/>
  <c r="D869" i="154"/>
  <c r="C570" i="134" l="1"/>
  <c r="E572" i="135" s="1"/>
  <c r="E572" i="139" s="1"/>
  <c r="G571" i="101"/>
  <c r="A495" i="154"/>
  <c r="B364" i="154"/>
  <c r="C364" i="154"/>
  <c r="D332" i="154"/>
  <c r="D870" i="154"/>
  <c r="C571" i="134" l="1"/>
  <c r="E573" i="135" s="1"/>
  <c r="E573" i="139" s="1"/>
  <c r="G572" i="101"/>
  <c r="A496" i="154"/>
  <c r="B365" i="154"/>
  <c r="C365" i="154"/>
  <c r="D333" i="154"/>
  <c r="D871" i="154"/>
  <c r="C572" i="134" l="1"/>
  <c r="E574" i="135" s="1"/>
  <c r="E574" i="139" s="1"/>
  <c r="G573" i="101"/>
  <c r="A497" i="154"/>
  <c r="C366" i="154"/>
  <c r="B366" i="154"/>
  <c r="D334" i="154"/>
  <c r="D872" i="154"/>
  <c r="C573" i="134" l="1"/>
  <c r="E575" i="135" s="1"/>
  <c r="E575" i="139" s="1"/>
  <c r="G574" i="101"/>
  <c r="A498" i="154"/>
  <c r="B367" i="154"/>
  <c r="C367" i="154"/>
  <c r="D335" i="154"/>
  <c r="D873" i="154"/>
  <c r="C574" i="134" l="1"/>
  <c r="E576" i="135" s="1"/>
  <c r="E576" i="139" s="1"/>
  <c r="G575" i="101"/>
  <c r="B381" i="154"/>
  <c r="A499" i="154"/>
  <c r="B368" i="154"/>
  <c r="C368" i="154"/>
  <c r="D336" i="154"/>
  <c r="D874" i="154"/>
  <c r="C575" i="134" l="1"/>
  <c r="E577" i="135" s="1"/>
  <c r="E577" i="139" s="1"/>
  <c r="G576" i="101"/>
  <c r="A500" i="154"/>
  <c r="B369" i="154"/>
  <c r="C369" i="154"/>
  <c r="D337" i="154"/>
  <c r="D875" i="154"/>
  <c r="C576" i="134" l="1"/>
  <c r="E578" i="135" s="1"/>
  <c r="E578" i="139" s="1"/>
  <c r="G577" i="101"/>
  <c r="A501" i="154"/>
  <c r="C370" i="154"/>
  <c r="B370" i="154"/>
  <c r="D338" i="154"/>
  <c r="D877" i="154"/>
  <c r="D876" i="154"/>
  <c r="C577" i="134" l="1"/>
  <c r="E579" i="135" s="1"/>
  <c r="E579" i="139" s="1"/>
  <c r="G578" i="101"/>
  <c r="A502" i="154"/>
  <c r="C371" i="154"/>
  <c r="B371" i="154"/>
  <c r="D339" i="154"/>
  <c r="C578" i="134" l="1"/>
  <c r="E580" i="135" s="1"/>
  <c r="E580" i="139" s="1"/>
  <c r="G579" i="101"/>
  <c r="A503" i="154"/>
  <c r="C372" i="154"/>
  <c r="D340" i="154"/>
  <c r="C579" i="134" l="1"/>
  <c r="E581" i="135" s="1"/>
  <c r="E581" i="139" s="1"/>
  <c r="G580" i="101"/>
  <c r="A504" i="154"/>
  <c r="C373" i="154"/>
  <c r="B373" i="154"/>
  <c r="D341" i="154"/>
  <c r="C580" i="134" l="1"/>
  <c r="E582" i="135" s="1"/>
  <c r="E582" i="139" s="1"/>
  <c r="G581" i="101"/>
  <c r="A505" i="154"/>
  <c r="C374" i="154"/>
  <c r="B374" i="154"/>
  <c r="D342" i="154"/>
  <c r="D343" i="154"/>
  <c r="C581" i="134" l="1"/>
  <c r="E583" i="135" s="1"/>
  <c r="E583" i="139" s="1"/>
  <c r="G582" i="101"/>
  <c r="A506" i="154"/>
  <c r="C375" i="154"/>
  <c r="B375" i="154"/>
  <c r="D344" i="154"/>
  <c r="C582" i="134" l="1"/>
  <c r="E584" i="135" s="1"/>
  <c r="E584" i="139" s="1"/>
  <c r="G583" i="101"/>
  <c r="A507" i="154"/>
  <c r="C376" i="154"/>
  <c r="B376" i="154"/>
  <c r="C583" i="134" l="1"/>
  <c r="E585" i="135" s="1"/>
  <c r="E585" i="139" s="1"/>
  <c r="G584" i="101"/>
  <c r="C390" i="154"/>
  <c r="A508" i="154"/>
  <c r="B377" i="154"/>
  <c r="C377" i="154"/>
  <c r="D345" i="154"/>
  <c r="C584" i="134" l="1"/>
  <c r="E586" i="135" s="1"/>
  <c r="E586" i="139" s="1"/>
  <c r="G585" i="101"/>
  <c r="B391" i="154"/>
  <c r="C391" i="154"/>
  <c r="A509" i="154"/>
  <c r="B378" i="154"/>
  <c r="C378" i="154"/>
  <c r="D346" i="154"/>
  <c r="C585" i="134" l="1"/>
  <c r="E587" i="135" s="1"/>
  <c r="E587" i="139" s="1"/>
  <c r="G586" i="101"/>
  <c r="A510" i="154"/>
  <c r="B379" i="154"/>
  <c r="C379" i="154"/>
  <c r="D347" i="154"/>
  <c r="C586" i="134" l="1"/>
  <c r="E588" i="135" s="1"/>
  <c r="E588" i="139" s="1"/>
  <c r="G587" i="101"/>
  <c r="C394" i="154"/>
  <c r="A511" i="154"/>
  <c r="C380" i="154"/>
  <c r="B380" i="154"/>
  <c r="D348" i="154"/>
  <c r="C587" i="134" l="1"/>
  <c r="E589" i="135" s="1"/>
  <c r="E589" i="139" s="1"/>
  <c r="G588" i="101"/>
  <c r="C395" i="154"/>
  <c r="A512" i="154"/>
  <c r="C381" i="154"/>
  <c r="D349" i="154"/>
  <c r="C588" i="134" l="1"/>
  <c r="E590" i="135" s="1"/>
  <c r="E590" i="139" s="1"/>
  <c r="G589" i="101"/>
  <c r="A513" i="154"/>
  <c r="C382" i="154"/>
  <c r="B382" i="154"/>
  <c r="D350" i="154"/>
  <c r="C589" i="134" l="1"/>
  <c r="E591" i="135" s="1"/>
  <c r="E591" i="139" s="1"/>
  <c r="G590" i="101"/>
  <c r="A514" i="154"/>
  <c r="B383" i="154"/>
  <c r="C383" i="154"/>
  <c r="D351" i="154"/>
  <c r="C590" i="134" l="1"/>
  <c r="E592" i="135" s="1"/>
  <c r="E592" i="139" s="1"/>
  <c r="G591" i="101"/>
  <c r="A515" i="154"/>
  <c r="B384" i="154"/>
  <c r="C384" i="154"/>
  <c r="D352" i="154"/>
  <c r="C591" i="134" l="1"/>
  <c r="E593" i="135" s="1"/>
  <c r="E593" i="139" s="1"/>
  <c r="G592" i="101"/>
  <c r="A516" i="154"/>
  <c r="C385" i="154"/>
  <c r="B385" i="154"/>
  <c r="D353" i="154"/>
  <c r="C592" i="134" l="1"/>
  <c r="E594" i="135" s="1"/>
  <c r="E594" i="139" s="1"/>
  <c r="G593" i="101"/>
  <c r="A517" i="154"/>
  <c r="B386" i="154"/>
  <c r="C386" i="154"/>
  <c r="D354" i="154"/>
  <c r="C593" i="134" l="1"/>
  <c r="E595" i="135" s="1"/>
  <c r="E595" i="139" s="1"/>
  <c r="G594" i="101"/>
  <c r="B400" i="154"/>
  <c r="A518" i="154"/>
  <c r="C387" i="154"/>
  <c r="B387" i="154"/>
  <c r="D355" i="154"/>
  <c r="C594" i="134" l="1"/>
  <c r="E596" i="135" s="1"/>
  <c r="E596" i="139" s="1"/>
  <c r="G595" i="101"/>
  <c r="A519" i="154"/>
  <c r="C388" i="154"/>
  <c r="B388" i="154"/>
  <c r="D356" i="154"/>
  <c r="C595" i="134" l="1"/>
  <c r="E597" i="135" s="1"/>
  <c r="E597" i="139" s="1"/>
  <c r="G596" i="101"/>
  <c r="A520" i="154"/>
  <c r="B389" i="154"/>
  <c r="C389" i="154"/>
  <c r="D357" i="154"/>
  <c r="D358" i="154"/>
  <c r="C596" i="134" l="1"/>
  <c r="E598" i="135" s="1"/>
  <c r="E598" i="139" s="1"/>
  <c r="G597" i="101"/>
  <c r="A521" i="154"/>
  <c r="B390" i="154"/>
  <c r="D359" i="154"/>
  <c r="C597" i="134" l="1"/>
  <c r="E599" i="135" s="1"/>
  <c r="E599" i="139" s="1"/>
  <c r="G598" i="101"/>
  <c r="A522" i="154"/>
  <c r="D360" i="154"/>
  <c r="C598" i="134" l="1"/>
  <c r="E600" i="135" s="1"/>
  <c r="E600" i="139" s="1"/>
  <c r="G599" i="101"/>
  <c r="A523" i="154"/>
  <c r="C392" i="154"/>
  <c r="B392" i="154"/>
  <c r="D361" i="154"/>
  <c r="C599" i="134" l="1"/>
  <c r="E601" i="135" s="1"/>
  <c r="E601" i="139" s="1"/>
  <c r="G600" i="101"/>
  <c r="A524" i="154"/>
  <c r="B393" i="154"/>
  <c r="C393" i="154"/>
  <c r="C600" i="134" l="1"/>
  <c r="E602" i="135" s="1"/>
  <c r="E602" i="139" s="1"/>
  <c r="G601" i="101"/>
  <c r="A525" i="154"/>
  <c r="B394" i="154"/>
  <c r="D362" i="154"/>
  <c r="C601" i="134" l="1"/>
  <c r="E603" i="135" s="1"/>
  <c r="E603" i="139" s="1"/>
  <c r="G602" i="101"/>
  <c r="A526" i="154"/>
  <c r="B395" i="154"/>
  <c r="D363" i="154"/>
  <c r="C602" i="134" l="1"/>
  <c r="E604" i="135" s="1"/>
  <c r="E604" i="139" s="1"/>
  <c r="G603" i="101"/>
  <c r="A527" i="154"/>
  <c r="B396" i="154"/>
  <c r="C396" i="154"/>
  <c r="D364" i="154"/>
  <c r="C603" i="134" l="1"/>
  <c r="E605" i="135" s="1"/>
  <c r="E605" i="139" s="1"/>
  <c r="G604" i="101"/>
  <c r="B410" i="154"/>
  <c r="A528" i="154"/>
  <c r="C397" i="154"/>
  <c r="B397" i="154"/>
  <c r="D365" i="154"/>
  <c r="C604" i="134" l="1"/>
  <c r="E606" i="135" s="1"/>
  <c r="E606" i="139" s="1"/>
  <c r="G605" i="101"/>
  <c r="A529" i="154"/>
  <c r="C398" i="154"/>
  <c r="B398" i="154"/>
  <c r="D366" i="154"/>
  <c r="C605" i="134" l="1"/>
  <c r="E607" i="135" s="1"/>
  <c r="E607" i="139" s="1"/>
  <c r="G606" i="101"/>
  <c r="A530" i="154"/>
  <c r="C399" i="154"/>
  <c r="B399" i="154"/>
  <c r="D367" i="154"/>
  <c r="C606" i="134" l="1"/>
  <c r="E608" i="135" s="1"/>
  <c r="E608" i="139" s="1"/>
  <c r="G607" i="101"/>
  <c r="B627" i="154"/>
  <c r="A531" i="154"/>
  <c r="C400" i="154"/>
  <c r="D368" i="154"/>
  <c r="C607" i="134" l="1"/>
  <c r="E609" i="135" s="1"/>
  <c r="E609" i="139" s="1"/>
  <c r="G608" i="101"/>
  <c r="A532" i="154"/>
  <c r="B401" i="154"/>
  <c r="C401" i="154"/>
  <c r="D369" i="154"/>
  <c r="C608" i="134" l="1"/>
  <c r="E610" i="135" s="1"/>
  <c r="E610" i="139" s="1"/>
  <c r="G609" i="101"/>
  <c r="A533" i="154"/>
  <c r="B402" i="154"/>
  <c r="C402" i="154"/>
  <c r="D370" i="154"/>
  <c r="C609" i="134" l="1"/>
  <c r="E611" i="135" s="1"/>
  <c r="E611" i="139" s="1"/>
  <c r="G610" i="101"/>
  <c r="A534" i="154"/>
  <c r="C403" i="154"/>
  <c r="B403" i="154"/>
  <c r="D371" i="154"/>
  <c r="C610" i="134" l="1"/>
  <c r="E612" i="135" s="1"/>
  <c r="E612" i="139" s="1"/>
  <c r="G611" i="101"/>
  <c r="A535" i="154"/>
  <c r="C404" i="154"/>
  <c r="B404" i="154"/>
  <c r="D372" i="154"/>
  <c r="C611" i="134" l="1"/>
  <c r="E613" i="135" s="1"/>
  <c r="E613" i="139" s="1"/>
  <c r="G612" i="101"/>
  <c r="A536" i="154"/>
  <c r="B405" i="154"/>
  <c r="C405" i="154"/>
  <c r="D373" i="154"/>
  <c r="C612" i="134" l="1"/>
  <c r="E614" i="135" s="1"/>
  <c r="E614" i="139" s="1"/>
  <c r="G613" i="101"/>
  <c r="A537" i="154"/>
  <c r="B406" i="154"/>
  <c r="C406" i="154"/>
  <c r="D374" i="154"/>
  <c r="C613" i="134" l="1"/>
  <c r="E615" i="135" s="1"/>
  <c r="E615" i="139" s="1"/>
  <c r="G614" i="101"/>
  <c r="B420" i="154"/>
  <c r="A538" i="154"/>
  <c r="B407" i="154"/>
  <c r="C407" i="154"/>
  <c r="D375" i="154"/>
  <c r="D376" i="154"/>
  <c r="C614" i="134" l="1"/>
  <c r="E616" i="135" s="1"/>
  <c r="E616" i="139" s="1"/>
  <c r="G615" i="101"/>
  <c r="A539" i="154"/>
  <c r="C408" i="154"/>
  <c r="B408" i="154"/>
  <c r="D377" i="154"/>
  <c r="C615" i="134" l="1"/>
  <c r="E617" i="135" s="1"/>
  <c r="E617" i="139" s="1"/>
  <c r="G616" i="101"/>
  <c r="B636" i="154"/>
  <c r="A540" i="154"/>
  <c r="B409" i="154"/>
  <c r="C409" i="154"/>
  <c r="D378" i="154"/>
  <c r="C616" i="134" l="1"/>
  <c r="E618" i="135" s="1"/>
  <c r="E618" i="139" s="1"/>
  <c r="G617" i="101"/>
  <c r="A541" i="154"/>
  <c r="C410" i="154"/>
  <c r="C617" i="134" l="1"/>
  <c r="E619" i="135" s="1"/>
  <c r="E619" i="139" s="1"/>
  <c r="G618" i="101"/>
  <c r="A542" i="154"/>
  <c r="B411" i="154"/>
  <c r="C411" i="154"/>
  <c r="D379" i="154"/>
  <c r="D380" i="154"/>
  <c r="C618" i="134" l="1"/>
  <c r="E620" i="135" s="1"/>
  <c r="E620" i="139" s="1"/>
  <c r="G619" i="101"/>
  <c r="A543" i="154"/>
  <c r="C412" i="154"/>
  <c r="B412" i="154"/>
  <c r="C619" i="134" l="1"/>
  <c r="E621" i="135" s="1"/>
  <c r="E621" i="139" s="1"/>
  <c r="G620" i="101"/>
  <c r="A544" i="154"/>
  <c r="B413" i="154"/>
  <c r="C413" i="154"/>
  <c r="D381" i="154"/>
  <c r="C620" i="134" l="1"/>
  <c r="E622" i="135" s="1"/>
  <c r="E622" i="139" s="1"/>
  <c r="G621" i="101"/>
  <c r="A545" i="154"/>
  <c r="C414" i="154"/>
  <c r="B414" i="154"/>
  <c r="D382" i="154"/>
  <c r="D383" i="154"/>
  <c r="C621" i="134" l="1"/>
  <c r="E623" i="135" s="1"/>
  <c r="E623" i="139" s="1"/>
  <c r="G622" i="101"/>
  <c r="A546" i="154"/>
  <c r="B415" i="154"/>
  <c r="C415" i="154"/>
  <c r="C622" i="134" l="1"/>
  <c r="E624" i="135" s="1"/>
  <c r="E624" i="139" s="1"/>
  <c r="G623" i="101"/>
  <c r="A547" i="154"/>
  <c r="C416" i="154"/>
  <c r="B416" i="154"/>
  <c r="D384" i="154"/>
  <c r="C623" i="134" l="1"/>
  <c r="E625" i="135" s="1"/>
  <c r="E625" i="139" s="1"/>
  <c r="G624" i="101"/>
  <c r="B430" i="154"/>
  <c r="A548" i="154"/>
  <c r="B417" i="154"/>
  <c r="C417" i="154"/>
  <c r="D385" i="154"/>
  <c r="D386" i="154"/>
  <c r="C624" i="134" l="1"/>
  <c r="E626" i="135" s="1"/>
  <c r="E626" i="139" s="1"/>
  <c r="G625" i="101"/>
  <c r="A549" i="154"/>
  <c r="B418" i="154"/>
  <c r="C418" i="154"/>
  <c r="C625" i="134" l="1"/>
  <c r="E627" i="135" s="1"/>
  <c r="E627" i="139" s="1"/>
  <c r="G626" i="101"/>
  <c r="B646" i="154"/>
  <c r="A550" i="154"/>
  <c r="C419" i="154"/>
  <c r="B419" i="154"/>
  <c r="D387" i="154"/>
  <c r="C626" i="134" l="1"/>
  <c r="E628" i="135" s="1"/>
  <c r="E628" i="139" s="1"/>
  <c r="G627" i="101"/>
  <c r="B647" i="154"/>
  <c r="A551" i="154"/>
  <c r="C420" i="154"/>
  <c r="D388" i="154"/>
  <c r="C627" i="134" l="1"/>
  <c r="E629" i="135" s="1"/>
  <c r="E629" i="139" s="1"/>
  <c r="G628" i="101"/>
  <c r="C628" i="134" s="1"/>
  <c r="E630" i="135" s="1"/>
  <c r="E630" i="139" s="1"/>
  <c r="B648" i="154"/>
  <c r="A552" i="154"/>
  <c r="B421" i="154"/>
  <c r="C421" i="154"/>
  <c r="D389" i="154"/>
  <c r="B649" i="154" l="1"/>
  <c r="A553" i="154"/>
  <c r="B422" i="154"/>
  <c r="C422" i="154"/>
  <c r="D390" i="154"/>
  <c r="D391" i="154"/>
  <c r="B650" i="154" l="1"/>
  <c r="A554" i="154"/>
  <c r="C423" i="154"/>
  <c r="B423" i="154"/>
  <c r="B651" i="154" l="1"/>
  <c r="A555" i="154"/>
  <c r="C424" i="154"/>
  <c r="B424" i="154"/>
  <c r="D392" i="154"/>
  <c r="D393" i="154"/>
  <c r="B652" i="154" l="1"/>
  <c r="A556" i="154"/>
  <c r="C425" i="154"/>
  <c r="B425" i="154"/>
  <c r="B439" i="154" l="1"/>
  <c r="A557" i="154"/>
  <c r="B426" i="154"/>
  <c r="C426" i="154"/>
  <c r="D394" i="154"/>
  <c r="B654" i="154" l="1"/>
  <c r="A558" i="154"/>
  <c r="C427" i="154"/>
  <c r="B427" i="154"/>
  <c r="D395" i="154"/>
  <c r="B655" i="154" l="1"/>
  <c r="A559" i="154"/>
  <c r="B428" i="154"/>
  <c r="C428" i="154"/>
  <c r="D396" i="154"/>
  <c r="D397" i="154"/>
  <c r="B656" i="154" l="1"/>
  <c r="A560" i="154"/>
  <c r="C429" i="154"/>
  <c r="B429" i="154"/>
  <c r="D398" i="154"/>
  <c r="B657" i="154" l="1"/>
  <c r="A561" i="154"/>
  <c r="C430" i="154"/>
  <c r="B658" i="154" l="1"/>
  <c r="A562" i="154"/>
  <c r="B431" i="154"/>
  <c r="C431" i="154"/>
  <c r="D399" i="154"/>
  <c r="D400" i="154"/>
  <c r="B659" i="154" l="1"/>
  <c r="A563" i="154"/>
  <c r="B432" i="154"/>
  <c r="C432" i="154"/>
  <c r="D401" i="154"/>
  <c r="B660" i="154" l="1"/>
  <c r="A564" i="154"/>
  <c r="B433" i="154"/>
  <c r="C433" i="154"/>
  <c r="B661" i="154" l="1"/>
  <c r="A565" i="154"/>
  <c r="C434" i="154"/>
  <c r="B434" i="154"/>
  <c r="D402" i="154"/>
  <c r="B662" i="154" l="1"/>
  <c r="A566" i="154"/>
  <c r="C435" i="154"/>
  <c r="B435" i="154"/>
  <c r="D403" i="154"/>
  <c r="B449" i="154" l="1"/>
  <c r="A567" i="154"/>
  <c r="B436" i="154"/>
  <c r="C436" i="154"/>
  <c r="D404" i="154"/>
  <c r="B664" i="154" l="1"/>
  <c r="A568" i="154"/>
  <c r="C437" i="154"/>
  <c r="B437" i="154"/>
  <c r="D405" i="154"/>
  <c r="B665" i="154" l="1"/>
  <c r="A569" i="154"/>
  <c r="C438" i="154"/>
  <c r="B438" i="154"/>
  <c r="D406" i="154"/>
  <c r="D407" i="154"/>
  <c r="B666" i="154" l="1"/>
  <c r="A570" i="154"/>
  <c r="C439" i="154"/>
  <c r="B667" i="154" l="1"/>
  <c r="A571" i="154"/>
  <c r="C440" i="154"/>
  <c r="B440" i="154"/>
  <c r="D408" i="154"/>
  <c r="B668" i="154" l="1"/>
  <c r="A572" i="154"/>
  <c r="C441" i="154"/>
  <c r="B441" i="154"/>
  <c r="D409" i="154"/>
  <c r="A574" i="154" l="1"/>
  <c r="B442" i="154"/>
  <c r="C442" i="154"/>
  <c r="D410" i="154"/>
  <c r="D411" i="154"/>
  <c r="B670" i="154" l="1"/>
  <c r="A575" i="154"/>
  <c r="C443" i="154"/>
  <c r="B443" i="154"/>
  <c r="B671" i="154" l="1"/>
  <c r="A577" i="154"/>
  <c r="B444" i="154"/>
  <c r="C444" i="154"/>
  <c r="D412" i="154"/>
  <c r="B672" i="154" l="1"/>
  <c r="A585" i="154"/>
  <c r="C445" i="154"/>
  <c r="B445" i="154"/>
  <c r="D413" i="154"/>
  <c r="B673" i="154" l="1"/>
  <c r="B459" i="154"/>
  <c r="A586" i="154"/>
  <c r="C446" i="154"/>
  <c r="B446" i="154"/>
  <c r="D414" i="154"/>
  <c r="B674" i="154" l="1"/>
  <c r="A588" i="154"/>
  <c r="B447" i="154"/>
  <c r="C447" i="154"/>
  <c r="D415" i="154"/>
  <c r="A589" i="154" l="1"/>
  <c r="C448" i="154"/>
  <c r="B448" i="154"/>
  <c r="D416" i="154"/>
  <c r="B676" i="154" l="1"/>
  <c r="A590" i="154"/>
  <c r="C449" i="154"/>
  <c r="D417" i="154"/>
  <c r="B677" i="154" l="1"/>
  <c r="A591" i="154"/>
  <c r="C450" i="154"/>
  <c r="B450" i="154"/>
  <c r="D418" i="154"/>
  <c r="B678" i="154" l="1"/>
  <c r="A592" i="154"/>
  <c r="B451" i="154"/>
  <c r="C451" i="154"/>
  <c r="D419" i="154"/>
  <c r="D420" i="154"/>
  <c r="B679" i="154" l="1"/>
  <c r="A593" i="154"/>
  <c r="B452" i="154"/>
  <c r="C452" i="154"/>
  <c r="B680" i="154" l="1"/>
  <c r="A594" i="154"/>
  <c r="C453" i="154"/>
  <c r="B453" i="154"/>
  <c r="D421" i="154"/>
  <c r="B681" i="154" l="1"/>
  <c r="A595" i="154"/>
  <c r="B454" i="154"/>
  <c r="C454" i="154"/>
  <c r="D422" i="154"/>
  <c r="B682" i="154" l="1"/>
  <c r="A596" i="154"/>
  <c r="B455" i="154"/>
  <c r="C455" i="154"/>
  <c r="D423" i="154"/>
  <c r="B683" i="154" l="1"/>
  <c r="B469" i="154"/>
  <c r="A597" i="154"/>
  <c r="C456" i="154"/>
  <c r="B456" i="154"/>
  <c r="D424" i="154"/>
  <c r="B684" i="154" l="1"/>
  <c r="A598" i="154"/>
  <c r="B457" i="154"/>
  <c r="C457" i="154"/>
  <c r="D425" i="154"/>
  <c r="A599" i="154" l="1"/>
  <c r="C458" i="154"/>
  <c r="B458" i="154"/>
  <c r="D426" i="154"/>
  <c r="D427" i="154"/>
  <c r="B686" i="154" l="1"/>
  <c r="A600" i="154"/>
  <c r="C459" i="154"/>
  <c r="D428" i="154"/>
  <c r="B687" i="154" l="1"/>
  <c r="A601" i="154"/>
  <c r="B460" i="154"/>
  <c r="C460" i="154"/>
  <c r="D429" i="154"/>
  <c r="B688" i="154" l="1"/>
  <c r="A602" i="154"/>
  <c r="C461" i="154"/>
  <c r="B461" i="154"/>
  <c r="D430" i="154"/>
  <c r="B689" i="154" l="1"/>
  <c r="A603" i="154"/>
  <c r="C462" i="154"/>
  <c r="B462" i="154"/>
  <c r="D431" i="154"/>
  <c r="B690" i="154" l="1"/>
  <c r="A604" i="154"/>
  <c r="C463" i="154"/>
  <c r="B463" i="154"/>
  <c r="D432" i="154"/>
  <c r="B691" i="154" l="1"/>
  <c r="A605" i="154"/>
  <c r="C464" i="154"/>
  <c r="B464" i="154"/>
  <c r="D433" i="154"/>
  <c r="D434" i="154"/>
  <c r="B692" i="154" l="1"/>
  <c r="A606" i="154"/>
  <c r="B465" i="154"/>
  <c r="C465" i="154"/>
  <c r="D435" i="154"/>
  <c r="B693" i="154" l="1"/>
  <c r="C693" i="154"/>
  <c r="B479" i="154"/>
  <c r="A607" i="154"/>
  <c r="C466" i="154"/>
  <c r="B466" i="154"/>
  <c r="D436" i="154"/>
  <c r="B694" i="154" l="1"/>
  <c r="C694" i="154"/>
  <c r="A608" i="154"/>
  <c r="C467" i="154"/>
  <c r="B467" i="154"/>
  <c r="D437" i="154"/>
  <c r="C695" i="154" l="1"/>
  <c r="A609" i="154"/>
  <c r="C468" i="154"/>
  <c r="B468" i="154"/>
  <c r="D438" i="154"/>
  <c r="D439" i="154"/>
  <c r="C696" i="154" l="1"/>
  <c r="B696" i="154"/>
  <c r="A610" i="154"/>
  <c r="C469" i="154"/>
  <c r="D440" i="154"/>
  <c r="B697" i="154" l="1"/>
  <c r="C697" i="154"/>
  <c r="A611" i="154"/>
  <c r="B470" i="154"/>
  <c r="C470" i="154"/>
  <c r="D441" i="154"/>
  <c r="C698" i="154" l="1"/>
  <c r="B698" i="154"/>
  <c r="A612" i="154"/>
  <c r="B471" i="154"/>
  <c r="C471" i="154"/>
  <c r="D442" i="154"/>
  <c r="C699" i="154" l="1"/>
  <c r="B699" i="154"/>
  <c r="A613" i="154"/>
  <c r="B472" i="154"/>
  <c r="C472" i="154"/>
  <c r="D443" i="154"/>
  <c r="C700" i="154" l="1"/>
  <c r="B700" i="154"/>
  <c r="A614" i="154"/>
  <c r="C473" i="154"/>
  <c r="B473" i="154"/>
  <c r="D444" i="154"/>
  <c r="D445" i="154"/>
  <c r="C701" i="154" l="1"/>
  <c r="B701" i="154"/>
  <c r="A615" i="154"/>
  <c r="B474" i="154"/>
  <c r="C474" i="154"/>
  <c r="D446" i="154"/>
  <c r="D447" i="154"/>
  <c r="B702" i="154" l="1"/>
  <c r="C702" i="154"/>
  <c r="A616" i="154"/>
  <c r="C475" i="154"/>
  <c r="B475" i="154"/>
  <c r="D448" i="154"/>
  <c r="C703" i="154" l="1"/>
  <c r="B703" i="154"/>
  <c r="B489" i="154"/>
  <c r="A617" i="154"/>
  <c r="B476" i="154"/>
  <c r="C476" i="154"/>
  <c r="D449" i="154"/>
  <c r="C704" i="154" l="1"/>
  <c r="B704" i="154"/>
  <c r="A618" i="154"/>
  <c r="C477" i="154"/>
  <c r="B477" i="154"/>
  <c r="D450" i="154"/>
  <c r="C705" i="154" l="1"/>
  <c r="A619" i="154"/>
  <c r="C478" i="154"/>
  <c r="B478" i="154"/>
  <c r="D451" i="154"/>
  <c r="B706" i="154" l="1"/>
  <c r="C706" i="154"/>
  <c r="A620" i="154"/>
  <c r="C479" i="154"/>
  <c r="D452" i="154"/>
  <c r="C707" i="154" l="1"/>
  <c r="B707" i="154"/>
  <c r="A621" i="154"/>
  <c r="C480" i="154"/>
  <c r="B480" i="154"/>
  <c r="D453" i="154"/>
  <c r="D454" i="154"/>
  <c r="C708" i="154" l="1"/>
  <c r="B708" i="154"/>
  <c r="A622" i="154"/>
  <c r="C481" i="154"/>
  <c r="B481" i="154"/>
  <c r="D455" i="154"/>
  <c r="C709" i="154" l="1"/>
  <c r="B709" i="154"/>
  <c r="A623" i="154"/>
  <c r="B482" i="154"/>
  <c r="C482" i="154"/>
  <c r="D456" i="154"/>
  <c r="C710" i="154" l="1"/>
  <c r="B710" i="154"/>
  <c r="A624" i="154"/>
  <c r="C483" i="154"/>
  <c r="B483" i="154"/>
  <c r="D457" i="154"/>
  <c r="B711" i="154" l="1"/>
  <c r="C711" i="154"/>
  <c r="A625" i="154"/>
  <c r="B484" i="154"/>
  <c r="C484" i="154"/>
  <c r="D458" i="154"/>
  <c r="C712" i="154" l="1"/>
  <c r="B712" i="154"/>
  <c r="B498" i="154"/>
  <c r="A626" i="154"/>
  <c r="B34" i="153"/>
  <c r="B31" i="153"/>
  <c r="B8" i="153"/>
  <c r="B27" i="151"/>
  <c r="B29" i="151"/>
  <c r="B10" i="151"/>
  <c r="B21" i="151"/>
  <c r="B26" i="153"/>
  <c r="B14" i="153"/>
  <c r="B17" i="153"/>
  <c r="B31" i="151"/>
  <c r="B33" i="151"/>
  <c r="B27" i="153"/>
  <c r="B17" i="151"/>
  <c r="B35" i="153"/>
  <c r="B20" i="153"/>
  <c r="B5" i="153"/>
  <c r="B9" i="151"/>
  <c r="B9" i="153"/>
  <c r="B18" i="153"/>
  <c r="B24" i="151"/>
  <c r="B14" i="151"/>
  <c r="B10" i="153"/>
  <c r="B13" i="151"/>
  <c r="B33" i="153"/>
  <c r="B11" i="153"/>
  <c r="B29" i="153"/>
  <c r="B15" i="153"/>
  <c r="B24" i="153"/>
  <c r="B15" i="151"/>
  <c r="B21" i="153"/>
  <c r="B35" i="151"/>
  <c r="B19" i="151"/>
  <c r="B16" i="151"/>
  <c r="B12" i="151"/>
  <c r="B8" i="151"/>
  <c r="B13" i="153"/>
  <c r="C6" i="101"/>
  <c r="E8" i="101" s="1"/>
  <c r="B23" i="153"/>
  <c r="B30" i="153"/>
  <c r="B34" i="151"/>
  <c r="B23" i="151"/>
  <c r="B18" i="151"/>
  <c r="B25" i="153"/>
  <c r="B5" i="151"/>
  <c r="B22" i="153"/>
  <c r="B28" i="153"/>
  <c r="B7" i="153"/>
  <c r="B26" i="151"/>
  <c r="B20" i="151"/>
  <c r="B12" i="153"/>
  <c r="B28" i="151"/>
  <c r="B7" i="151"/>
  <c r="B6" i="151"/>
  <c r="B6" i="153"/>
  <c r="B16" i="153"/>
  <c r="B19" i="153"/>
  <c r="B32" i="151"/>
  <c r="B6" i="101"/>
  <c r="B8" i="101" s="1"/>
  <c r="B11" i="151"/>
  <c r="B25" i="151"/>
  <c r="B32" i="153"/>
  <c r="B22" i="151"/>
  <c r="B30" i="151"/>
  <c r="C87" i="148"/>
  <c r="C81" i="149"/>
  <c r="C81" i="148"/>
  <c r="C76" i="149"/>
  <c r="C131" i="148"/>
  <c r="C89" i="149"/>
  <c r="C136" i="149"/>
  <c r="C106" i="149"/>
  <c r="C96" i="148"/>
  <c r="C51" i="149"/>
  <c r="C66" i="149"/>
  <c r="C126" i="149"/>
  <c r="C41" i="149"/>
  <c r="C90" i="148"/>
  <c r="C11" i="149"/>
  <c r="C31" i="149"/>
  <c r="C141" i="149"/>
  <c r="C51" i="148"/>
  <c r="C46" i="148"/>
  <c r="C56" i="149"/>
  <c r="C111" i="148"/>
  <c r="C41" i="148"/>
  <c r="C61" i="149"/>
  <c r="C26" i="148"/>
  <c r="C126" i="148"/>
  <c r="C156" i="148"/>
  <c r="C91" i="149"/>
  <c r="C136" i="148"/>
  <c r="C91" i="148"/>
  <c r="C116" i="148"/>
  <c r="C88" i="148"/>
  <c r="C21" i="149"/>
  <c r="C96" i="149"/>
  <c r="C86" i="148"/>
  <c r="C26" i="149"/>
  <c r="C21" i="148"/>
  <c r="C16" i="149"/>
  <c r="C156" i="149"/>
  <c r="C101" i="149"/>
  <c r="C6" i="149"/>
  <c r="C66" i="148"/>
  <c r="C88" i="149"/>
  <c r="C151" i="149"/>
  <c r="C86" i="149"/>
  <c r="C71" i="149"/>
  <c r="C36" i="148"/>
  <c r="C11" i="148"/>
  <c r="C151" i="148"/>
  <c r="C56" i="148"/>
  <c r="C141" i="148"/>
  <c r="C89" i="148"/>
  <c r="C71" i="148"/>
  <c r="C87" i="149"/>
  <c r="C36" i="149"/>
  <c r="C46" i="149"/>
  <c r="C61" i="148"/>
  <c r="C90" i="149"/>
  <c r="C101" i="148"/>
  <c r="C31" i="148"/>
  <c r="C111" i="149"/>
  <c r="C121" i="149"/>
  <c r="C16" i="148"/>
  <c r="C146" i="149"/>
  <c r="C121" i="148"/>
  <c r="C76" i="148"/>
  <c r="C116" i="149"/>
  <c r="C146" i="148"/>
  <c r="C131" i="149"/>
  <c r="C6" i="148"/>
  <c r="C106" i="148"/>
  <c r="C45" i="148"/>
  <c r="C27" i="149"/>
  <c r="C30" i="148"/>
  <c r="C27" i="148"/>
  <c r="C30" i="149"/>
  <c r="C43" i="148"/>
  <c r="C43" i="149"/>
  <c r="C44" i="149"/>
  <c r="C42" i="148"/>
  <c r="C45" i="149"/>
  <c r="C42" i="149"/>
  <c r="C44" i="148"/>
  <c r="C62" i="149"/>
  <c r="C65" i="148"/>
  <c r="C64" i="148"/>
  <c r="C65" i="149"/>
  <c r="C62" i="148"/>
  <c r="C64" i="149"/>
  <c r="C63" i="148"/>
  <c r="C63" i="149"/>
  <c r="C129" i="149"/>
  <c r="C130" i="149"/>
  <c r="C127" i="149"/>
  <c r="C128" i="148"/>
  <c r="C130" i="148"/>
  <c r="C127" i="148"/>
  <c r="C128" i="149"/>
  <c r="C129" i="148"/>
  <c r="C99" i="149"/>
  <c r="C97" i="149"/>
  <c r="C98" i="148"/>
  <c r="C132" i="149"/>
  <c r="C134" i="148"/>
  <c r="C98" i="149"/>
  <c r="C99" i="148"/>
  <c r="C100" i="148"/>
  <c r="C100" i="149"/>
  <c r="C97" i="148"/>
  <c r="C113" i="149"/>
  <c r="C113" i="148"/>
  <c r="C107" i="148"/>
  <c r="C110" i="148"/>
  <c r="C115" i="148"/>
  <c r="C38" i="149"/>
  <c r="C110" i="149"/>
  <c r="C114" i="149"/>
  <c r="C152" i="148"/>
  <c r="C37" i="148"/>
  <c r="C115" i="149"/>
  <c r="C155" i="149"/>
  <c r="C154" i="148"/>
  <c r="C108" i="148"/>
  <c r="C154" i="149"/>
  <c r="C39" i="148"/>
  <c r="C109" i="149"/>
  <c r="C152" i="149"/>
  <c r="C38" i="148"/>
  <c r="C112" i="149"/>
  <c r="C108" i="149"/>
  <c r="C40" i="148"/>
  <c r="C112" i="148"/>
  <c r="C114" i="148"/>
  <c r="C153" i="149"/>
  <c r="C109" i="148"/>
  <c r="C37" i="149"/>
  <c r="C107" i="149"/>
  <c r="C40" i="149"/>
  <c r="C120" i="149"/>
  <c r="C140" i="149"/>
  <c r="C105" i="148"/>
  <c r="C118" i="148"/>
  <c r="C103" i="148"/>
  <c r="C25" i="148"/>
  <c r="C23" i="148"/>
  <c r="C22" i="149"/>
  <c r="C120" i="148"/>
  <c r="C118" i="149"/>
  <c r="C153" i="148"/>
  <c r="C123" i="149"/>
  <c r="C139" i="148"/>
  <c r="C24" i="148"/>
  <c r="C117" i="149"/>
  <c r="C119" i="149"/>
  <c r="C125" i="149"/>
  <c r="C138" i="148"/>
  <c r="C137" i="149"/>
  <c r="C155" i="148"/>
  <c r="C124" i="149"/>
  <c r="C23" i="149"/>
  <c r="C137" i="148"/>
  <c r="C125" i="148"/>
  <c r="C22" i="148"/>
  <c r="C122" i="148"/>
  <c r="C105" i="149"/>
  <c r="C122" i="149"/>
  <c r="C158" i="148"/>
  <c r="C25" i="149"/>
  <c r="C119" i="148"/>
  <c r="C103" i="149"/>
  <c r="C104" i="148"/>
  <c r="C117" i="148"/>
  <c r="C139" i="149"/>
  <c r="C123" i="148"/>
  <c r="C157" i="149"/>
  <c r="C102" i="148"/>
  <c r="C140" i="148"/>
  <c r="C102" i="149"/>
  <c r="C160" i="149"/>
  <c r="C159" i="148"/>
  <c r="C138" i="149"/>
  <c r="C157" i="148"/>
  <c r="C160" i="148"/>
  <c r="C104" i="149"/>
  <c r="C124" i="148"/>
  <c r="C150" i="148"/>
  <c r="C135" i="149"/>
  <c r="C148" i="149"/>
  <c r="C150" i="149"/>
  <c r="C133" i="149"/>
  <c r="C95" i="148"/>
  <c r="C82" i="148"/>
  <c r="C135" i="148"/>
  <c r="C149" i="148"/>
  <c r="C159" i="149"/>
  <c r="C84" i="148"/>
  <c r="C84" i="149"/>
  <c r="C83" i="149"/>
  <c r="C92" i="148"/>
  <c r="C82" i="149"/>
  <c r="C93" i="148"/>
  <c r="C93" i="149"/>
  <c r="C133" i="148"/>
  <c r="C95" i="149"/>
  <c r="C83" i="148"/>
  <c r="C85" i="149"/>
  <c r="C92" i="149"/>
  <c r="C158" i="149"/>
  <c r="C85" i="148"/>
  <c r="C94" i="149"/>
  <c r="C94" i="148"/>
  <c r="C132" i="148"/>
  <c r="C149" i="149"/>
  <c r="C147" i="148"/>
  <c r="C134" i="149"/>
  <c r="C59" i="149"/>
  <c r="C17" i="148"/>
  <c r="C142" i="149"/>
  <c r="C79" i="149"/>
  <c r="C60" i="149"/>
  <c r="C143" i="149"/>
  <c r="C80" i="149"/>
  <c r="C59" i="148"/>
  <c r="C145" i="149"/>
  <c r="C57" i="148"/>
  <c r="C58" i="148"/>
  <c r="C60" i="148"/>
  <c r="C58" i="149"/>
  <c r="C144" i="149"/>
  <c r="C148" i="148"/>
  <c r="C147" i="149"/>
  <c r="C57" i="149"/>
  <c r="C19" i="149"/>
  <c r="C78" i="149"/>
  <c r="C17" i="149"/>
  <c r="C55" i="148"/>
  <c r="C32" i="148"/>
  <c r="C33" i="148"/>
  <c r="C67" i="148"/>
  <c r="C50" i="148"/>
  <c r="C49" i="149"/>
  <c r="C39" i="149"/>
  <c r="C78" i="148"/>
  <c r="C55" i="149"/>
  <c r="C20" i="149"/>
  <c r="C69" i="149"/>
  <c r="C75" i="148"/>
  <c r="C74" i="149"/>
  <c r="C72" i="148"/>
  <c r="C49" i="148"/>
  <c r="C18" i="148"/>
  <c r="C35" i="148"/>
  <c r="C73" i="148"/>
  <c r="C47" i="148"/>
  <c r="C18" i="149"/>
  <c r="C32" i="149"/>
  <c r="C70" i="149"/>
  <c r="C52" i="149"/>
  <c r="C77" i="148"/>
  <c r="C48" i="148"/>
  <c r="C54" i="148"/>
  <c r="C53" i="149"/>
  <c r="C79" i="148"/>
  <c r="C52" i="148"/>
  <c r="C74" i="148"/>
  <c r="C77" i="149"/>
  <c r="C24" i="149"/>
  <c r="C19" i="148"/>
  <c r="C54" i="149"/>
  <c r="C70" i="148"/>
  <c r="C48" i="149"/>
  <c r="C35" i="149"/>
  <c r="C53" i="148"/>
  <c r="C34" i="149"/>
  <c r="C47" i="149"/>
  <c r="C68" i="149"/>
  <c r="C34" i="148"/>
  <c r="C68" i="148"/>
  <c r="C72" i="149"/>
  <c r="C33" i="149"/>
  <c r="C80" i="148"/>
  <c r="C69" i="148"/>
  <c r="C28" i="149"/>
  <c r="C28" i="148"/>
  <c r="C67" i="149"/>
  <c r="C73" i="149"/>
  <c r="C29" i="148"/>
  <c r="C20" i="148"/>
  <c r="C50" i="149"/>
  <c r="C75" i="149"/>
  <c r="C29" i="149"/>
  <c r="B485" i="154"/>
  <c r="C485" i="154"/>
  <c r="D459" i="154"/>
  <c r="C713" i="154" l="1"/>
  <c r="B713" i="154"/>
  <c r="BI67" i="148"/>
  <c r="BF67" i="149" s="1"/>
  <c r="BF67" i="148"/>
  <c r="BC67" i="149" s="1"/>
  <c r="CQ67" i="148"/>
  <c r="CN67" i="149" s="1"/>
  <c r="BR67" i="148"/>
  <c r="BO67" i="149" s="1"/>
  <c r="CN67" i="148"/>
  <c r="CK67" i="149" s="1"/>
  <c r="BH67" i="148"/>
  <c r="BE67" i="149" s="1"/>
  <c r="CK67" i="148"/>
  <c r="CH67" i="149" s="1"/>
  <c r="CG67" i="148"/>
  <c r="CD67" i="149" s="1"/>
  <c r="BP67" i="148"/>
  <c r="BM67" i="149" s="1"/>
  <c r="CV67" i="148"/>
  <c r="CS67" i="149" s="1"/>
  <c r="BL67" i="148"/>
  <c r="BI67" i="149" s="1"/>
  <c r="CX67" i="148"/>
  <c r="CU67" i="149" s="1"/>
  <c r="I67" i="148"/>
  <c r="CR67" i="148"/>
  <c r="CO67" i="149" s="1"/>
  <c r="CZ67" i="148"/>
  <c r="CW67" i="149" s="1"/>
  <c r="BV67" i="148"/>
  <c r="BS67" i="149" s="1"/>
  <c r="BO67" i="148"/>
  <c r="BJ67" i="148"/>
  <c r="BG67" i="149" s="1"/>
  <c r="CF67" i="148"/>
  <c r="CC67" i="149" s="1"/>
  <c r="AW67" i="148"/>
  <c r="AT67" i="149" s="1"/>
  <c r="CE67" i="148"/>
  <c r="CB67" i="149" s="1"/>
  <c r="CU67" i="148"/>
  <c r="CR67" i="149" s="1"/>
  <c r="BC67" i="148"/>
  <c r="AZ67" i="149" s="1"/>
  <c r="AZ67" i="148"/>
  <c r="AW67" i="149" s="1"/>
  <c r="BB67" i="148"/>
  <c r="AY67" i="149" s="1"/>
  <c r="Q67" i="148"/>
  <c r="BA67" i="148"/>
  <c r="AX67" i="149" s="1"/>
  <c r="G67" i="148"/>
  <c r="BM67" i="148"/>
  <c r="BJ67" i="149" s="1"/>
  <c r="H67" i="148"/>
  <c r="CP67" i="148"/>
  <c r="CM67" i="149" s="1"/>
  <c r="AV67" i="148"/>
  <c r="AS67" i="149" s="1"/>
  <c r="CC67" i="148"/>
  <c r="BZ67" i="149" s="1"/>
  <c r="CJ67" i="148"/>
  <c r="CG67" i="149" s="1"/>
  <c r="CY67" i="148"/>
  <c r="CV67" i="149" s="1"/>
  <c r="BQ67" i="148"/>
  <c r="BN67" i="149" s="1"/>
  <c r="BU67" i="148"/>
  <c r="BR67" i="149" s="1"/>
  <c r="BZ67" i="148"/>
  <c r="BW67" i="149" s="1"/>
  <c r="CD67" i="148"/>
  <c r="CA67" i="149" s="1"/>
  <c r="BD67" i="148"/>
  <c r="BA67" i="149" s="1"/>
  <c r="CI67" i="148"/>
  <c r="CF67" i="149" s="1"/>
  <c r="CL67" i="148"/>
  <c r="CI67" i="149" s="1"/>
  <c r="CB67" i="148"/>
  <c r="BY67" i="149" s="1"/>
  <c r="CW67" i="148"/>
  <c r="CT67" i="149" s="1"/>
  <c r="V67" i="148"/>
  <c r="CA67" i="148"/>
  <c r="BX67" i="149" s="1"/>
  <c r="BY67" i="148"/>
  <c r="BV67" i="149" s="1"/>
  <c r="CM67" i="148"/>
  <c r="CJ67" i="149" s="1"/>
  <c r="E67" i="148"/>
  <c r="CH67" i="148"/>
  <c r="CE67" i="149" s="1"/>
  <c r="BS67" i="148"/>
  <c r="BP67" i="149" s="1"/>
  <c r="AX67" i="148"/>
  <c r="AU67" i="149" s="1"/>
  <c r="BT67" i="148"/>
  <c r="BQ67" i="149" s="1"/>
  <c r="CT67" i="148"/>
  <c r="CQ67" i="149" s="1"/>
  <c r="AY67" i="148"/>
  <c r="AV67" i="149" s="1"/>
  <c r="DA67" i="148"/>
  <c r="CX67" i="149" s="1"/>
  <c r="BN67" i="148"/>
  <c r="BK67" i="149" s="1"/>
  <c r="F67" i="148"/>
  <c r="CO67" i="148"/>
  <c r="CL67" i="149" s="1"/>
  <c r="BX67" i="148"/>
  <c r="BU67" i="149" s="1"/>
  <c r="R67" i="148"/>
  <c r="BK67" i="148"/>
  <c r="BH67" i="149" s="1"/>
  <c r="CS67" i="148"/>
  <c r="CP67" i="149" s="1"/>
  <c r="BE67" i="148"/>
  <c r="BB67" i="149" s="1"/>
  <c r="BW67" i="148"/>
  <c r="BT67" i="149" s="1"/>
  <c r="BG67" i="148"/>
  <c r="BD67" i="149" s="1"/>
  <c r="D67" i="148"/>
  <c r="Q69" i="148"/>
  <c r="BI69" i="148"/>
  <c r="BF69" i="149" s="1"/>
  <c r="CQ69" i="148"/>
  <c r="CN69" i="149" s="1"/>
  <c r="DA69" i="148"/>
  <c r="CX69" i="149" s="1"/>
  <c r="CT69" i="148"/>
  <c r="CQ69" i="149" s="1"/>
  <c r="BD69" i="148"/>
  <c r="BA69" i="149" s="1"/>
  <c r="BN69" i="148"/>
  <c r="BK69" i="149" s="1"/>
  <c r="BH69" i="148"/>
  <c r="BE69" i="149" s="1"/>
  <c r="CZ69" i="148"/>
  <c r="CW69" i="149" s="1"/>
  <c r="CN69" i="148"/>
  <c r="CK69" i="149" s="1"/>
  <c r="BX69" i="148"/>
  <c r="BU69" i="149" s="1"/>
  <c r="BE69" i="148"/>
  <c r="BB69" i="149" s="1"/>
  <c r="BL69" i="148"/>
  <c r="BI69" i="149" s="1"/>
  <c r="CH69" i="148"/>
  <c r="CE69" i="149" s="1"/>
  <c r="CU69" i="148"/>
  <c r="CR69" i="149" s="1"/>
  <c r="CM69" i="148"/>
  <c r="CJ69" i="149" s="1"/>
  <c r="BF69" i="148"/>
  <c r="BC69" i="149" s="1"/>
  <c r="BO69" i="148"/>
  <c r="BJ69" i="148"/>
  <c r="BG69" i="149" s="1"/>
  <c r="BV69" i="148"/>
  <c r="BS69" i="149" s="1"/>
  <c r="BC69" i="148"/>
  <c r="AZ69" i="149" s="1"/>
  <c r="F69" i="148"/>
  <c r="AZ69" i="148"/>
  <c r="AW69" i="149" s="1"/>
  <c r="BB69" i="148"/>
  <c r="AY69" i="149" s="1"/>
  <c r="BA69" i="148"/>
  <c r="AX69" i="149" s="1"/>
  <c r="BM69" i="148"/>
  <c r="BJ69" i="149" s="1"/>
  <c r="I69" i="148"/>
  <c r="BZ69" i="148"/>
  <c r="BW69" i="149" s="1"/>
  <c r="CW69" i="148"/>
  <c r="CT69" i="149" s="1"/>
  <c r="AY69" i="148"/>
  <c r="AV69" i="149" s="1"/>
  <c r="CE69" i="148"/>
  <c r="CB69" i="149" s="1"/>
  <c r="CI69" i="148"/>
  <c r="CF69" i="149" s="1"/>
  <c r="BU69" i="148"/>
  <c r="BR69" i="149" s="1"/>
  <c r="R69" i="148"/>
  <c r="CS69" i="148"/>
  <c r="CP69" i="149" s="1"/>
  <c r="BP69" i="148"/>
  <c r="BM69" i="149" s="1"/>
  <c r="V69" i="148"/>
  <c r="CD69" i="148"/>
  <c r="CA69" i="149" s="1"/>
  <c r="BG69" i="148"/>
  <c r="BD69" i="149" s="1"/>
  <c r="H69" i="148"/>
  <c r="CA69" i="148"/>
  <c r="BX69" i="149" s="1"/>
  <c r="BQ69" i="148"/>
  <c r="BN69" i="149" s="1"/>
  <c r="CO69" i="148"/>
  <c r="CL69" i="149" s="1"/>
  <c r="CJ69" i="148"/>
  <c r="CG69" i="149" s="1"/>
  <c r="CL69" i="148"/>
  <c r="CI69" i="149" s="1"/>
  <c r="AV69" i="148"/>
  <c r="AS69" i="149" s="1"/>
  <c r="G69" i="148"/>
  <c r="BK69" i="148"/>
  <c r="BH69" i="149" s="1"/>
  <c r="CC69" i="148"/>
  <c r="BZ69" i="149" s="1"/>
  <c r="BY69" i="148"/>
  <c r="BV69" i="149" s="1"/>
  <c r="BW69" i="148"/>
  <c r="BT69" i="149" s="1"/>
  <c r="CY69" i="148"/>
  <c r="CV69" i="149" s="1"/>
  <c r="CB69" i="148"/>
  <c r="BY69" i="149" s="1"/>
  <c r="CV69" i="148"/>
  <c r="CS69" i="149" s="1"/>
  <c r="BT69" i="148"/>
  <c r="BQ69" i="149" s="1"/>
  <c r="CK69" i="148"/>
  <c r="CH69" i="149" s="1"/>
  <c r="CX69" i="148"/>
  <c r="CU69" i="149" s="1"/>
  <c r="AX69" i="148"/>
  <c r="AU69" i="149" s="1"/>
  <c r="CP69" i="148"/>
  <c r="CM69" i="149" s="1"/>
  <c r="CG69" i="148"/>
  <c r="CD69" i="149" s="1"/>
  <c r="AW69" i="148"/>
  <c r="AT69" i="149" s="1"/>
  <c r="BS69" i="148"/>
  <c r="BP69" i="149" s="1"/>
  <c r="CR69" i="148"/>
  <c r="CO69" i="149" s="1"/>
  <c r="CF69" i="148"/>
  <c r="CC69" i="149" s="1"/>
  <c r="BR69" i="148"/>
  <c r="BO69" i="149" s="1"/>
  <c r="E69" i="148"/>
  <c r="D69" i="148"/>
  <c r="Q70" i="148"/>
  <c r="BI70" i="148"/>
  <c r="BF70" i="149" s="1"/>
  <c r="R70" i="148"/>
  <c r="CI70" i="148"/>
  <c r="CF70" i="149" s="1"/>
  <c r="CS70" i="148"/>
  <c r="CP70" i="149" s="1"/>
  <c r="BG70" i="148"/>
  <c r="BD70" i="149" s="1"/>
  <c r="BF70" i="148"/>
  <c r="BC70" i="149" s="1"/>
  <c r="BO70" i="148"/>
  <c r="V70" i="148"/>
  <c r="CN70" i="148"/>
  <c r="CK70" i="149" s="1"/>
  <c r="CV70" i="148"/>
  <c r="CS70" i="149" s="1"/>
  <c r="BS70" i="148"/>
  <c r="BP70" i="149" s="1"/>
  <c r="F70" i="148"/>
  <c r="BJ70" i="148"/>
  <c r="BG70" i="149" s="1"/>
  <c r="H70" i="148"/>
  <c r="CB70" i="148"/>
  <c r="BY70" i="149" s="1"/>
  <c r="G70" i="148"/>
  <c r="AY70" i="148"/>
  <c r="AV70" i="149" s="1"/>
  <c r="BH70" i="148"/>
  <c r="BE70" i="149" s="1"/>
  <c r="CD70" i="148"/>
  <c r="CA70" i="149" s="1"/>
  <c r="CQ70" i="148"/>
  <c r="CN70" i="149" s="1"/>
  <c r="CP70" i="148"/>
  <c r="CM70" i="149" s="1"/>
  <c r="AX70" i="148"/>
  <c r="AU70" i="149" s="1"/>
  <c r="BL70" i="148"/>
  <c r="BI70" i="149" s="1"/>
  <c r="CF70" i="148"/>
  <c r="CC70" i="149" s="1"/>
  <c r="BZ70" i="148"/>
  <c r="BW70" i="149" s="1"/>
  <c r="CM70" i="148"/>
  <c r="CJ70" i="149" s="1"/>
  <c r="BR70" i="148"/>
  <c r="BO70" i="149" s="1"/>
  <c r="AZ70" i="148"/>
  <c r="AW70" i="149" s="1"/>
  <c r="BC70" i="148"/>
  <c r="AZ70" i="149" s="1"/>
  <c r="CA70" i="148"/>
  <c r="BX70" i="149" s="1"/>
  <c r="CT70" i="148"/>
  <c r="CQ70" i="149" s="1"/>
  <c r="BX70" i="148"/>
  <c r="BU70" i="149" s="1"/>
  <c r="BW70" i="148"/>
  <c r="BT70" i="149" s="1"/>
  <c r="BB70" i="148"/>
  <c r="AY70" i="149" s="1"/>
  <c r="CX70" i="148"/>
  <c r="CU70" i="149" s="1"/>
  <c r="CG70" i="148"/>
  <c r="CD70" i="149" s="1"/>
  <c r="CE70" i="148"/>
  <c r="CB70" i="149" s="1"/>
  <c r="BU70" i="148"/>
  <c r="BR70" i="149" s="1"/>
  <c r="BA70" i="148"/>
  <c r="AX70" i="149" s="1"/>
  <c r="CO70" i="148"/>
  <c r="CL70" i="149" s="1"/>
  <c r="CW70" i="148"/>
  <c r="CT70" i="149" s="1"/>
  <c r="CU70" i="148"/>
  <c r="CR70" i="149" s="1"/>
  <c r="BD70" i="148"/>
  <c r="BA70" i="149" s="1"/>
  <c r="BM70" i="148"/>
  <c r="BJ70" i="149" s="1"/>
  <c r="E70" i="148"/>
  <c r="BY70" i="148"/>
  <c r="BV70" i="149" s="1"/>
  <c r="CC70" i="148"/>
  <c r="BZ70" i="149" s="1"/>
  <c r="BQ70" i="148"/>
  <c r="BN70" i="149" s="1"/>
  <c r="AV70" i="148"/>
  <c r="AS70" i="149" s="1"/>
  <c r="BP70" i="148"/>
  <c r="BM70" i="149" s="1"/>
  <c r="BK70" i="148"/>
  <c r="BH70" i="149" s="1"/>
  <c r="BT70" i="148"/>
  <c r="BQ70" i="149" s="1"/>
  <c r="BN70" i="148"/>
  <c r="BK70" i="149" s="1"/>
  <c r="I70" i="148"/>
  <c r="AW70" i="148"/>
  <c r="AT70" i="149" s="1"/>
  <c r="CY70" i="148"/>
  <c r="CV70" i="149" s="1"/>
  <c r="DA70" i="148"/>
  <c r="CX70" i="149" s="1"/>
  <c r="CZ70" i="148"/>
  <c r="CW70" i="149" s="1"/>
  <c r="BV70" i="148"/>
  <c r="BS70" i="149" s="1"/>
  <c r="CH70" i="148"/>
  <c r="CE70" i="149" s="1"/>
  <c r="CL70" i="148"/>
  <c r="CI70" i="149" s="1"/>
  <c r="CJ70" i="148"/>
  <c r="CG70" i="149" s="1"/>
  <c r="CR70" i="148"/>
  <c r="CO70" i="149" s="1"/>
  <c r="BE70" i="148"/>
  <c r="BB70" i="149" s="1"/>
  <c r="CK70" i="148"/>
  <c r="CH70" i="149" s="1"/>
  <c r="D70" i="148"/>
  <c r="DA52" i="149"/>
  <c r="DB52" i="149"/>
  <c r="CZ52" i="149"/>
  <c r="BL52" i="149"/>
  <c r="CZ69" i="149"/>
  <c r="DA69" i="149"/>
  <c r="DB69" i="149"/>
  <c r="BL69" i="149"/>
  <c r="DA78" i="149"/>
  <c r="CZ78" i="149"/>
  <c r="DB78" i="149"/>
  <c r="BL78" i="149"/>
  <c r="DB80" i="149"/>
  <c r="DA80" i="149"/>
  <c r="CZ80" i="149"/>
  <c r="BL80" i="149"/>
  <c r="CY94" i="149"/>
  <c r="CZ94" i="149"/>
  <c r="DB94" i="149"/>
  <c r="DA94" i="149"/>
  <c r="BL94" i="149"/>
  <c r="DA83" i="149"/>
  <c r="CY83" i="149"/>
  <c r="CZ83" i="149"/>
  <c r="DB83" i="149"/>
  <c r="BL83" i="149"/>
  <c r="Q150" i="148"/>
  <c r="F150" i="148"/>
  <c r="R150" i="148"/>
  <c r="H150" i="148"/>
  <c r="V150" i="148"/>
  <c r="I150" i="148"/>
  <c r="E150" i="148"/>
  <c r="AV150" i="148"/>
  <c r="AS150" i="149" s="1"/>
  <c r="BJ150" i="148"/>
  <c r="BG150" i="149" s="1"/>
  <c r="BL150" i="148"/>
  <c r="BI150" i="149" s="1"/>
  <c r="CU150" i="148"/>
  <c r="CR150" i="149" s="1"/>
  <c r="BR150" i="148"/>
  <c r="BO150" i="149" s="1"/>
  <c r="BY150" i="148"/>
  <c r="BV150" i="149" s="1"/>
  <c r="CG150" i="148"/>
  <c r="CD150" i="149" s="1"/>
  <c r="CK150" i="148"/>
  <c r="CH150" i="149" s="1"/>
  <c r="BW150" i="148"/>
  <c r="BT150" i="149" s="1"/>
  <c r="BF150" i="148"/>
  <c r="BC150" i="149" s="1"/>
  <c r="CN150" i="148"/>
  <c r="CK150" i="149" s="1"/>
  <c r="CV150" i="148"/>
  <c r="CS150" i="149" s="1"/>
  <c r="BI150" i="148"/>
  <c r="BF150" i="149" s="1"/>
  <c r="BN150" i="148"/>
  <c r="BK150" i="149" s="1"/>
  <c r="DA150" i="148"/>
  <c r="CX150" i="149" s="1"/>
  <c r="CA150" i="148"/>
  <c r="BX150" i="149" s="1"/>
  <c r="CL150" i="148"/>
  <c r="CI150" i="149" s="1"/>
  <c r="D150" i="148"/>
  <c r="BO150" i="148"/>
  <c r="BS150" i="148"/>
  <c r="BP150" i="149" s="1"/>
  <c r="CT150" i="148"/>
  <c r="CQ150" i="149" s="1"/>
  <c r="BV150" i="148"/>
  <c r="BS150" i="149" s="1"/>
  <c r="BD150" i="148"/>
  <c r="BA150" i="149" s="1"/>
  <c r="AW150" i="148"/>
  <c r="AT150" i="149" s="1"/>
  <c r="CX150" i="148"/>
  <c r="CU150" i="149" s="1"/>
  <c r="CM150" i="148"/>
  <c r="CJ150" i="149" s="1"/>
  <c r="CW150" i="148"/>
  <c r="CT150" i="149" s="1"/>
  <c r="CS150" i="148"/>
  <c r="CP150" i="149" s="1"/>
  <c r="G150" i="148"/>
  <c r="BQ150" i="148"/>
  <c r="BN150" i="149" s="1"/>
  <c r="BA150" i="148"/>
  <c r="AX150" i="149" s="1"/>
  <c r="BH150" i="148"/>
  <c r="CI150" i="148"/>
  <c r="CF150" i="149" s="1"/>
  <c r="AX150" i="148"/>
  <c r="AU150" i="149" s="1"/>
  <c r="BT150" i="148"/>
  <c r="BQ150" i="149" s="1"/>
  <c r="BU150" i="148"/>
  <c r="BR150" i="149" s="1"/>
  <c r="CJ150" i="148"/>
  <c r="CG150" i="149" s="1"/>
  <c r="CD150" i="148"/>
  <c r="CA150" i="149" s="1"/>
  <c r="CY150" i="148"/>
  <c r="CV150" i="149" s="1"/>
  <c r="AZ150" i="148"/>
  <c r="AW150" i="149" s="1"/>
  <c r="CP150" i="148"/>
  <c r="CM150" i="149" s="1"/>
  <c r="AY150" i="148"/>
  <c r="AV150" i="149" s="1"/>
  <c r="CC150" i="148"/>
  <c r="BZ150" i="149" s="1"/>
  <c r="CB150" i="148"/>
  <c r="BY150" i="149" s="1"/>
  <c r="CR150" i="148"/>
  <c r="CO150" i="149" s="1"/>
  <c r="CF150" i="148"/>
  <c r="CC150" i="149" s="1"/>
  <c r="BX150" i="148"/>
  <c r="BU150" i="149" s="1"/>
  <c r="BM150" i="148"/>
  <c r="BJ150" i="149" s="1"/>
  <c r="CE150" i="148"/>
  <c r="CB150" i="149" s="1"/>
  <c r="BP150" i="148"/>
  <c r="BM150" i="149" s="1"/>
  <c r="BG150" i="148"/>
  <c r="BD150" i="149" s="1"/>
  <c r="BK150" i="148"/>
  <c r="BH150" i="149" s="1"/>
  <c r="CH150" i="148"/>
  <c r="CE150" i="149" s="1"/>
  <c r="BZ150" i="148"/>
  <c r="BW150" i="149" s="1"/>
  <c r="CZ150" i="148"/>
  <c r="CW150" i="149" s="1"/>
  <c r="BB150" i="148"/>
  <c r="AY150" i="149" s="1"/>
  <c r="BC150" i="148"/>
  <c r="AZ150" i="149" s="1"/>
  <c r="CO150" i="148"/>
  <c r="CL150" i="149" s="1"/>
  <c r="BE150" i="148"/>
  <c r="BB150" i="149" s="1"/>
  <c r="CQ150" i="148"/>
  <c r="CN150" i="149" s="1"/>
  <c r="Q123" i="148"/>
  <c r="CT123" i="148"/>
  <c r="CQ123" i="149" s="1"/>
  <c r="F123" i="148"/>
  <c r="BA123" i="148"/>
  <c r="AX123" i="149" s="1"/>
  <c r="AW123" i="148"/>
  <c r="AT123" i="149" s="1"/>
  <c r="BG123" i="148"/>
  <c r="BD123" i="149" s="1"/>
  <c r="BM123" i="148"/>
  <c r="BJ123" i="149" s="1"/>
  <c r="BT123" i="148"/>
  <c r="BQ123" i="149" s="1"/>
  <c r="BQ123" i="148"/>
  <c r="BN123" i="149" s="1"/>
  <c r="CP123" i="148"/>
  <c r="CM123" i="149" s="1"/>
  <c r="BB123" i="148"/>
  <c r="AY123" i="149" s="1"/>
  <c r="BE123" i="148"/>
  <c r="BB123" i="149" s="1"/>
  <c r="BO123" i="148"/>
  <c r="CH123" i="148"/>
  <c r="CE123" i="149" s="1"/>
  <c r="CZ123" i="148"/>
  <c r="CW123" i="149" s="1"/>
  <c r="I123" i="148"/>
  <c r="CK123" i="148"/>
  <c r="CH123" i="149" s="1"/>
  <c r="CD123" i="148"/>
  <c r="CA123" i="149" s="1"/>
  <c r="AZ123" i="148"/>
  <c r="AW123" i="149" s="1"/>
  <c r="CU123" i="148"/>
  <c r="CR123" i="149" s="1"/>
  <c r="BY123" i="148"/>
  <c r="BV123" i="149" s="1"/>
  <c r="V123" i="148"/>
  <c r="CY123" i="148"/>
  <c r="CV123" i="149" s="1"/>
  <c r="BK123" i="148"/>
  <c r="BH123" i="149" s="1"/>
  <c r="CN123" i="148"/>
  <c r="CK123" i="149" s="1"/>
  <c r="CO123" i="148"/>
  <c r="CL123" i="149" s="1"/>
  <c r="CM123" i="148"/>
  <c r="CJ123" i="149" s="1"/>
  <c r="BJ123" i="148"/>
  <c r="BG123" i="149" s="1"/>
  <c r="BZ123" i="148"/>
  <c r="BW123" i="149" s="1"/>
  <c r="CR123" i="148"/>
  <c r="CO123" i="149" s="1"/>
  <c r="CC123" i="148"/>
  <c r="BZ123" i="149" s="1"/>
  <c r="R123" i="148"/>
  <c r="CQ123" i="148"/>
  <c r="CN123" i="149" s="1"/>
  <c r="BX123" i="148"/>
  <c r="BU123" i="149" s="1"/>
  <c r="E123" i="148"/>
  <c r="BV123" i="148"/>
  <c r="BS123" i="149" s="1"/>
  <c r="CS123" i="148"/>
  <c r="CP123" i="149" s="1"/>
  <c r="CJ123" i="148"/>
  <c r="CG123" i="149" s="1"/>
  <c r="AX123" i="148"/>
  <c r="AU123" i="149" s="1"/>
  <c r="BD123" i="148"/>
  <c r="BA123" i="149" s="1"/>
  <c r="CA123" i="148"/>
  <c r="BX123" i="149" s="1"/>
  <c r="CX123" i="148"/>
  <c r="CU123" i="149" s="1"/>
  <c r="CG123" i="148"/>
  <c r="CD123" i="149" s="1"/>
  <c r="BR123" i="148"/>
  <c r="BO123" i="149" s="1"/>
  <c r="BC123" i="148"/>
  <c r="AZ123" i="149" s="1"/>
  <c r="BU123" i="148"/>
  <c r="BR123" i="149" s="1"/>
  <c r="H123" i="148"/>
  <c r="CV123" i="148"/>
  <c r="CS123" i="149" s="1"/>
  <c r="CI123" i="148"/>
  <c r="CF123" i="149" s="1"/>
  <c r="AV123" i="148"/>
  <c r="AS123" i="149" s="1"/>
  <c r="G123" i="148"/>
  <c r="BF123" i="148"/>
  <c r="BC123" i="149" s="1"/>
  <c r="BW123" i="148"/>
  <c r="BT123" i="149" s="1"/>
  <c r="CW123" i="148"/>
  <c r="CT123" i="149" s="1"/>
  <c r="DA123" i="148"/>
  <c r="CX123" i="149" s="1"/>
  <c r="AY123" i="148"/>
  <c r="AV123" i="149" s="1"/>
  <c r="BH123" i="148"/>
  <c r="BN123" i="148"/>
  <c r="BK123" i="149" s="1"/>
  <c r="BP123" i="148"/>
  <c r="BM123" i="149" s="1"/>
  <c r="BI123" i="148"/>
  <c r="BF123" i="149" s="1"/>
  <c r="BL123" i="148"/>
  <c r="BI123" i="149" s="1"/>
  <c r="CB123" i="148"/>
  <c r="BY123" i="149" s="1"/>
  <c r="CE123" i="148"/>
  <c r="CB123" i="149" s="1"/>
  <c r="BS123" i="148"/>
  <c r="BP123" i="149" s="1"/>
  <c r="CL123" i="148"/>
  <c r="CI123" i="149" s="1"/>
  <c r="CF123" i="148"/>
  <c r="CC123" i="149" s="1"/>
  <c r="D123" i="148"/>
  <c r="Q125" i="148"/>
  <c r="V125" i="148"/>
  <c r="F125" i="148"/>
  <c r="R125" i="148"/>
  <c r="I125" i="148"/>
  <c r="H125" i="148"/>
  <c r="E125" i="148"/>
  <c r="BX125" i="148"/>
  <c r="BU125" i="149" s="1"/>
  <c r="BA125" i="148"/>
  <c r="AX125" i="149" s="1"/>
  <c r="BO125" i="148"/>
  <c r="BP125" i="148"/>
  <c r="BM125" i="149" s="1"/>
  <c r="CN125" i="148"/>
  <c r="CK125" i="149" s="1"/>
  <c r="CE125" i="148"/>
  <c r="CB125" i="149" s="1"/>
  <c r="CX125" i="148"/>
  <c r="CU125" i="149" s="1"/>
  <c r="BR125" i="148"/>
  <c r="BO125" i="149" s="1"/>
  <c r="BV125" i="148"/>
  <c r="BS125" i="149" s="1"/>
  <c r="BW125" i="148"/>
  <c r="BT125" i="149" s="1"/>
  <c r="G125" i="148"/>
  <c r="BC125" i="148"/>
  <c r="AZ125" i="149" s="1"/>
  <c r="CL125" i="148"/>
  <c r="CI125" i="149" s="1"/>
  <c r="CQ125" i="148"/>
  <c r="CN125" i="149" s="1"/>
  <c r="AY125" i="148"/>
  <c r="AV125" i="149" s="1"/>
  <c r="BE125" i="148"/>
  <c r="BB125" i="149" s="1"/>
  <c r="CA125" i="148"/>
  <c r="BX125" i="149" s="1"/>
  <c r="CZ125" i="148"/>
  <c r="CW125" i="149" s="1"/>
  <c r="BG125" i="148"/>
  <c r="BD125" i="149" s="1"/>
  <c r="BF125" i="148"/>
  <c r="BC125" i="149" s="1"/>
  <c r="BD125" i="148"/>
  <c r="BA125" i="149" s="1"/>
  <c r="CR125" i="148"/>
  <c r="CO125" i="149" s="1"/>
  <c r="D125" i="148"/>
  <c r="BS125" i="148"/>
  <c r="BP125" i="149" s="1"/>
  <c r="CO125" i="148"/>
  <c r="CL125" i="149" s="1"/>
  <c r="CV125" i="148"/>
  <c r="CS125" i="149" s="1"/>
  <c r="CI125" i="148"/>
  <c r="CF125" i="149" s="1"/>
  <c r="BM125" i="148"/>
  <c r="BJ125" i="149" s="1"/>
  <c r="CS125" i="148"/>
  <c r="CP125" i="149" s="1"/>
  <c r="CU125" i="148"/>
  <c r="CR125" i="149" s="1"/>
  <c r="BU125" i="148"/>
  <c r="BR125" i="149" s="1"/>
  <c r="CM125" i="148"/>
  <c r="CJ125" i="149" s="1"/>
  <c r="CJ125" i="148"/>
  <c r="CG125" i="149" s="1"/>
  <c r="CD125" i="148"/>
  <c r="CA125" i="149" s="1"/>
  <c r="CY125" i="148"/>
  <c r="CV125" i="149" s="1"/>
  <c r="CG125" i="148"/>
  <c r="CD125" i="149" s="1"/>
  <c r="CT125" i="148"/>
  <c r="CQ125" i="149" s="1"/>
  <c r="BN125" i="148"/>
  <c r="BK125" i="149" s="1"/>
  <c r="CF125" i="148"/>
  <c r="CC125" i="149" s="1"/>
  <c r="BJ125" i="148"/>
  <c r="BG125" i="149" s="1"/>
  <c r="CH125" i="148"/>
  <c r="CE125" i="149" s="1"/>
  <c r="CW125" i="148"/>
  <c r="CT125" i="149" s="1"/>
  <c r="AZ125" i="148"/>
  <c r="AW125" i="149" s="1"/>
  <c r="CP125" i="148"/>
  <c r="CM125" i="149" s="1"/>
  <c r="BB125" i="148"/>
  <c r="AY125" i="149" s="1"/>
  <c r="CK125" i="148"/>
  <c r="CH125" i="149" s="1"/>
  <c r="AW125" i="148"/>
  <c r="AT125" i="149" s="1"/>
  <c r="BK125" i="148"/>
  <c r="BH125" i="149" s="1"/>
  <c r="AV125" i="148"/>
  <c r="AS125" i="149" s="1"/>
  <c r="CC125" i="148"/>
  <c r="BZ125" i="149" s="1"/>
  <c r="BY125" i="148"/>
  <c r="BV125" i="149" s="1"/>
  <c r="BH125" i="148"/>
  <c r="AX125" i="148"/>
  <c r="AU125" i="149" s="1"/>
  <c r="BQ125" i="148"/>
  <c r="BN125" i="149" s="1"/>
  <c r="BT125" i="148"/>
  <c r="BQ125" i="149" s="1"/>
  <c r="BZ125" i="148"/>
  <c r="BW125" i="149" s="1"/>
  <c r="BL125" i="148"/>
  <c r="BI125" i="149" s="1"/>
  <c r="CB125" i="148"/>
  <c r="BY125" i="149" s="1"/>
  <c r="BI125" i="148"/>
  <c r="BF125" i="149" s="1"/>
  <c r="DA125" i="148"/>
  <c r="CX125" i="149" s="1"/>
  <c r="CY123" i="149"/>
  <c r="DB123" i="149"/>
  <c r="DA123" i="149"/>
  <c r="CZ123" i="149"/>
  <c r="BE123" i="149"/>
  <c r="BL123" i="149"/>
  <c r="DA40" i="149"/>
  <c r="BS40" i="149"/>
  <c r="CY40" i="149"/>
  <c r="CZ40" i="149"/>
  <c r="DB40" i="149"/>
  <c r="BL40" i="149"/>
  <c r="DA109" i="149"/>
  <c r="DB109" i="149"/>
  <c r="CZ109" i="149"/>
  <c r="CY109" i="149"/>
  <c r="BE109" i="149"/>
  <c r="Q115" i="148"/>
  <c r="BO115" i="148"/>
  <c r="F115" i="148"/>
  <c r="H115" i="148"/>
  <c r="V115" i="148"/>
  <c r="I115" i="148"/>
  <c r="E115" i="148"/>
  <c r="R115" i="148"/>
  <c r="CP115" i="148"/>
  <c r="CM115" i="149" s="1"/>
  <c r="CS115" i="148"/>
  <c r="CP115" i="149" s="1"/>
  <c r="BD115" i="148"/>
  <c r="BA115" i="149" s="1"/>
  <c r="AY115" i="148"/>
  <c r="AV115" i="149" s="1"/>
  <c r="CM115" i="148"/>
  <c r="CJ115" i="149" s="1"/>
  <c r="CD115" i="148"/>
  <c r="CA115" i="149" s="1"/>
  <c r="CC115" i="148"/>
  <c r="BZ115" i="149" s="1"/>
  <c r="AZ115" i="148"/>
  <c r="AW115" i="149" s="1"/>
  <c r="CY115" i="148"/>
  <c r="CV115" i="149" s="1"/>
  <c r="CK115" i="148"/>
  <c r="CH115" i="149" s="1"/>
  <c r="CU115" i="148"/>
  <c r="CR115" i="149" s="1"/>
  <c r="CN115" i="148"/>
  <c r="CK115" i="149" s="1"/>
  <c r="BS115" i="148"/>
  <c r="BP115" i="149" s="1"/>
  <c r="BJ115" i="148"/>
  <c r="BG115" i="149" s="1"/>
  <c r="BR115" i="148"/>
  <c r="BO115" i="149" s="1"/>
  <c r="DA115" i="148"/>
  <c r="CX115" i="149" s="1"/>
  <c r="BV115" i="148"/>
  <c r="BS115" i="149" s="1"/>
  <c r="BL115" i="148"/>
  <c r="BI115" i="149" s="1"/>
  <c r="BX115" i="148"/>
  <c r="BU115" i="149" s="1"/>
  <c r="CE115" i="148"/>
  <c r="CB115" i="149" s="1"/>
  <c r="BN115" i="148"/>
  <c r="BK115" i="149" s="1"/>
  <c r="D115" i="148"/>
  <c r="BT115" i="148"/>
  <c r="BQ115" i="149" s="1"/>
  <c r="BK115" i="148"/>
  <c r="BH115" i="149" s="1"/>
  <c r="BQ115" i="148"/>
  <c r="BN115" i="149" s="1"/>
  <c r="CR115" i="148"/>
  <c r="CO115" i="149" s="1"/>
  <c r="CJ115" i="148"/>
  <c r="CG115" i="149" s="1"/>
  <c r="AW115" i="148"/>
  <c r="AT115" i="149" s="1"/>
  <c r="BE115" i="148"/>
  <c r="BB115" i="149" s="1"/>
  <c r="BG115" i="148"/>
  <c r="BD115" i="149" s="1"/>
  <c r="AX115" i="148"/>
  <c r="AU115" i="149" s="1"/>
  <c r="CG115" i="148"/>
  <c r="CD115" i="149" s="1"/>
  <c r="CZ115" i="148"/>
  <c r="CW115" i="149" s="1"/>
  <c r="CT115" i="148"/>
  <c r="CQ115" i="149" s="1"/>
  <c r="CV115" i="148"/>
  <c r="CS115" i="149" s="1"/>
  <c r="CH115" i="148"/>
  <c r="CE115" i="149" s="1"/>
  <c r="BY115" i="148"/>
  <c r="BV115" i="149" s="1"/>
  <c r="BM115" i="148"/>
  <c r="BJ115" i="149" s="1"/>
  <c r="CL115" i="148"/>
  <c r="CI115" i="149" s="1"/>
  <c r="BC115" i="148"/>
  <c r="AZ115" i="149" s="1"/>
  <c r="BZ115" i="148"/>
  <c r="BW115" i="149" s="1"/>
  <c r="CI115" i="148"/>
  <c r="CF115" i="149" s="1"/>
  <c r="CQ115" i="148"/>
  <c r="CN115" i="149" s="1"/>
  <c r="CA115" i="148"/>
  <c r="BX115" i="149" s="1"/>
  <c r="BF115" i="148"/>
  <c r="BC115" i="149" s="1"/>
  <c r="BH115" i="148"/>
  <c r="BE115" i="149" s="1"/>
  <c r="CB115" i="148"/>
  <c r="BY115" i="149" s="1"/>
  <c r="AV115" i="148"/>
  <c r="AS115" i="149" s="1"/>
  <c r="G115" i="148"/>
  <c r="CW115" i="148"/>
  <c r="CT115" i="149" s="1"/>
  <c r="CX115" i="148"/>
  <c r="CU115" i="149" s="1"/>
  <c r="CO115" i="148"/>
  <c r="CL115" i="149" s="1"/>
  <c r="CF115" i="148"/>
  <c r="CC115" i="149" s="1"/>
  <c r="BB115" i="148"/>
  <c r="AY115" i="149" s="1"/>
  <c r="BA115" i="148"/>
  <c r="AX115" i="149" s="1"/>
  <c r="Q98" i="148"/>
  <c r="AY98" i="148"/>
  <c r="AV98" i="149" s="1"/>
  <c r="BO98" i="148"/>
  <c r="V98" i="148"/>
  <c r="BI98" i="148"/>
  <c r="BF98" i="149" s="1"/>
  <c r="CZ98" i="148"/>
  <c r="CW98" i="149" s="1"/>
  <c r="CA98" i="148"/>
  <c r="BX98" i="149" s="1"/>
  <c r="BB98" i="148"/>
  <c r="AY98" i="149" s="1"/>
  <c r="AX98" i="148"/>
  <c r="AU98" i="149" s="1"/>
  <c r="CB98" i="148"/>
  <c r="BY98" i="149" s="1"/>
  <c r="CT98" i="148"/>
  <c r="CQ98" i="149" s="1"/>
  <c r="CV98" i="148"/>
  <c r="CS98" i="149" s="1"/>
  <c r="CY98" i="148"/>
  <c r="CV98" i="149" s="1"/>
  <c r="BG98" i="148"/>
  <c r="BD98" i="149" s="1"/>
  <c r="BP98" i="148"/>
  <c r="BM98" i="149" s="1"/>
  <c r="I98" i="148"/>
  <c r="CP98" i="148"/>
  <c r="CM98" i="149" s="1"/>
  <c r="CC98" i="148"/>
  <c r="BZ98" i="149" s="1"/>
  <c r="G98" i="148"/>
  <c r="BH98" i="148"/>
  <c r="BE98" i="149" s="1"/>
  <c r="F98" i="148"/>
  <c r="BE98" i="148"/>
  <c r="BB98" i="149" s="1"/>
  <c r="BX98" i="148"/>
  <c r="BU98" i="149" s="1"/>
  <c r="AZ98" i="148"/>
  <c r="AW98" i="149" s="1"/>
  <c r="CD98" i="148"/>
  <c r="CA98" i="149" s="1"/>
  <c r="BJ98" i="148"/>
  <c r="BG98" i="149" s="1"/>
  <c r="BF98" i="148"/>
  <c r="BC98" i="149" s="1"/>
  <c r="BQ98" i="148"/>
  <c r="BN98" i="149" s="1"/>
  <c r="BY98" i="148"/>
  <c r="BV98" i="149" s="1"/>
  <c r="CH98" i="148"/>
  <c r="CE98" i="149" s="1"/>
  <c r="CO98" i="148"/>
  <c r="CL98" i="149" s="1"/>
  <c r="BK98" i="148"/>
  <c r="BH98" i="149" s="1"/>
  <c r="CQ98" i="148"/>
  <c r="CN98" i="149" s="1"/>
  <c r="CI98" i="148"/>
  <c r="CF98" i="149" s="1"/>
  <c r="CF98" i="148"/>
  <c r="CC98" i="149" s="1"/>
  <c r="CJ98" i="148"/>
  <c r="CG98" i="149" s="1"/>
  <c r="E98" i="148"/>
  <c r="BN98" i="148"/>
  <c r="BK98" i="149" s="1"/>
  <c r="CE98" i="148"/>
  <c r="CB98" i="149" s="1"/>
  <c r="CN98" i="148"/>
  <c r="CK98" i="149" s="1"/>
  <c r="CL98" i="148"/>
  <c r="CI98" i="149" s="1"/>
  <c r="BM98" i="148"/>
  <c r="BJ98" i="149" s="1"/>
  <c r="CS98" i="148"/>
  <c r="CP98" i="149" s="1"/>
  <c r="CX98" i="148"/>
  <c r="CU98" i="149" s="1"/>
  <c r="BA98" i="148"/>
  <c r="AX98" i="149" s="1"/>
  <c r="R98" i="148"/>
  <c r="CU98" i="148"/>
  <c r="CR98" i="149" s="1"/>
  <c r="CG98" i="148"/>
  <c r="CD98" i="149" s="1"/>
  <c r="H98" i="148"/>
  <c r="CK98" i="148"/>
  <c r="CH98" i="149" s="1"/>
  <c r="BT98" i="148"/>
  <c r="BQ98" i="149" s="1"/>
  <c r="BL98" i="148"/>
  <c r="BI98" i="149" s="1"/>
  <c r="CM98" i="148"/>
  <c r="CJ98" i="149" s="1"/>
  <c r="CW98" i="148"/>
  <c r="CT98" i="149" s="1"/>
  <c r="BR98" i="148"/>
  <c r="BO98" i="149" s="1"/>
  <c r="BV98" i="148"/>
  <c r="BS98" i="149" s="1"/>
  <c r="BZ98" i="148"/>
  <c r="BW98" i="149" s="1"/>
  <c r="DA98" i="148"/>
  <c r="CX98" i="149" s="1"/>
  <c r="BC98" i="148"/>
  <c r="AZ98" i="149" s="1"/>
  <c r="AW98" i="148"/>
  <c r="AT98" i="149" s="1"/>
  <c r="BS98" i="148"/>
  <c r="BP98" i="149" s="1"/>
  <c r="CR98" i="148"/>
  <c r="CO98" i="149" s="1"/>
  <c r="D98" i="148"/>
  <c r="Q63" i="148"/>
  <c r="H63" i="148"/>
  <c r="V63" i="148"/>
  <c r="F63" i="148"/>
  <c r="E63" i="148"/>
  <c r="R63" i="148"/>
  <c r="I63" i="148"/>
  <c r="D63" i="148"/>
  <c r="CO63" i="148"/>
  <c r="CL63" i="149" s="1"/>
  <c r="CE63" i="148"/>
  <c r="CB63" i="149" s="1"/>
  <c r="BR63" i="148"/>
  <c r="BO63" i="149" s="1"/>
  <c r="AY63" i="148"/>
  <c r="AV63" i="149" s="1"/>
  <c r="BT63" i="148"/>
  <c r="BQ63" i="149" s="1"/>
  <c r="CS63" i="148"/>
  <c r="CP63" i="149" s="1"/>
  <c r="BW63" i="148"/>
  <c r="BT63" i="149" s="1"/>
  <c r="BN63" i="148"/>
  <c r="BK63" i="149" s="1"/>
  <c r="BX63" i="148"/>
  <c r="BU63" i="149" s="1"/>
  <c r="CN63" i="148"/>
  <c r="CK63" i="149" s="1"/>
  <c r="AX63" i="148"/>
  <c r="AU63" i="149" s="1"/>
  <c r="CH63" i="148"/>
  <c r="CE63" i="149" s="1"/>
  <c r="AZ63" i="148"/>
  <c r="AW63" i="149" s="1"/>
  <c r="BG63" i="148"/>
  <c r="BD63" i="149" s="1"/>
  <c r="BS63" i="148"/>
  <c r="BP63" i="149" s="1"/>
  <c r="CB63" i="148"/>
  <c r="BY63" i="149" s="1"/>
  <c r="CI63" i="148"/>
  <c r="CF63" i="149" s="1"/>
  <c r="DA63" i="148"/>
  <c r="CX63" i="149" s="1"/>
  <c r="CL63" i="148"/>
  <c r="CI63" i="149" s="1"/>
  <c r="BD63" i="148"/>
  <c r="BA63" i="149" s="1"/>
  <c r="BI63" i="148"/>
  <c r="BF63" i="149" s="1"/>
  <c r="CG63" i="148"/>
  <c r="CD63" i="149" s="1"/>
  <c r="BA63" i="148"/>
  <c r="AX63" i="149" s="1"/>
  <c r="CX63" i="148"/>
  <c r="CU63" i="149" s="1"/>
  <c r="CQ63" i="148"/>
  <c r="CN63" i="149" s="1"/>
  <c r="BZ63" i="148"/>
  <c r="BW63" i="149" s="1"/>
  <c r="BC63" i="148"/>
  <c r="AZ63" i="149" s="1"/>
  <c r="BK63" i="148"/>
  <c r="BH63" i="149" s="1"/>
  <c r="BE63" i="148"/>
  <c r="BB63" i="149" s="1"/>
  <c r="CW63" i="148"/>
  <c r="CT63" i="149" s="1"/>
  <c r="CF63" i="148"/>
  <c r="CC63" i="149" s="1"/>
  <c r="BL63" i="148"/>
  <c r="BI63" i="149" s="1"/>
  <c r="BJ63" i="148"/>
  <c r="BG63" i="149" s="1"/>
  <c r="CU63" i="148"/>
  <c r="CR63" i="149" s="1"/>
  <c r="BY63" i="148"/>
  <c r="BV63" i="149" s="1"/>
  <c r="CY63" i="148"/>
  <c r="CV63" i="149" s="1"/>
  <c r="CZ63" i="148"/>
  <c r="CW63" i="149" s="1"/>
  <c r="BH63" i="148"/>
  <c r="BF63" i="148"/>
  <c r="BC63" i="149" s="1"/>
  <c r="AW63" i="148"/>
  <c r="AT63" i="149" s="1"/>
  <c r="CC63" i="148"/>
  <c r="BZ63" i="149" s="1"/>
  <c r="BV63" i="148"/>
  <c r="BS63" i="149" s="1"/>
  <c r="AV63" i="148"/>
  <c r="AS63" i="149" s="1"/>
  <c r="CV63" i="148"/>
  <c r="CS63" i="149" s="1"/>
  <c r="BP63" i="148"/>
  <c r="BM63" i="149" s="1"/>
  <c r="BO63" i="148"/>
  <c r="CT63" i="148"/>
  <c r="CQ63" i="149" s="1"/>
  <c r="BU63" i="148"/>
  <c r="BR63" i="149" s="1"/>
  <c r="CK63" i="148"/>
  <c r="CH63" i="149" s="1"/>
  <c r="CR63" i="148"/>
  <c r="CO63" i="149" s="1"/>
  <c r="BQ63" i="148"/>
  <c r="BN63" i="149" s="1"/>
  <c r="CM63" i="148"/>
  <c r="CJ63" i="149" s="1"/>
  <c r="BM63" i="148"/>
  <c r="BJ63" i="149" s="1"/>
  <c r="G63" i="148"/>
  <c r="CD63" i="148"/>
  <c r="CA63" i="149" s="1"/>
  <c r="CP63" i="148"/>
  <c r="CM63" i="149" s="1"/>
  <c r="BB63" i="148"/>
  <c r="AY63" i="149" s="1"/>
  <c r="CJ63" i="148"/>
  <c r="CG63" i="149" s="1"/>
  <c r="CA63" i="148"/>
  <c r="BX63" i="149" s="1"/>
  <c r="DB43" i="149"/>
  <c r="CZ43" i="149"/>
  <c r="DA43" i="149"/>
  <c r="BL43" i="149"/>
  <c r="Q76" i="148"/>
  <c r="H76" i="148"/>
  <c r="BX76" i="148"/>
  <c r="BU76" i="149" s="1"/>
  <c r="G76" i="148"/>
  <c r="BE76" i="148"/>
  <c r="BB76" i="149" s="1"/>
  <c r="CU76" i="148"/>
  <c r="CR76" i="149" s="1"/>
  <c r="I76" i="148"/>
  <c r="DA76" i="148"/>
  <c r="CX76" i="149" s="1"/>
  <c r="BY76" i="148"/>
  <c r="BV76" i="149" s="1"/>
  <c r="CO76" i="148"/>
  <c r="CL76" i="149" s="1"/>
  <c r="BQ76" i="148"/>
  <c r="BN76" i="149" s="1"/>
  <c r="E76" i="148"/>
  <c r="CY76" i="148"/>
  <c r="CV76" i="149" s="1"/>
  <c r="CP76" i="148"/>
  <c r="CM76" i="149" s="1"/>
  <c r="BP76" i="148"/>
  <c r="BM76" i="149" s="1"/>
  <c r="AW76" i="148"/>
  <c r="AT76" i="149" s="1"/>
  <c r="R76" i="148"/>
  <c r="CF76" i="148"/>
  <c r="CC76" i="149" s="1"/>
  <c r="CT76" i="148"/>
  <c r="CQ76" i="149" s="1"/>
  <c r="BS76" i="148"/>
  <c r="BP76" i="149" s="1"/>
  <c r="BW76" i="148"/>
  <c r="BT76" i="149" s="1"/>
  <c r="F76" i="148"/>
  <c r="CX76" i="148"/>
  <c r="CU76" i="149" s="1"/>
  <c r="CG76" i="148"/>
  <c r="CD76" i="149" s="1"/>
  <c r="BD76" i="148"/>
  <c r="BA76" i="149" s="1"/>
  <c r="BR76" i="148"/>
  <c r="BO76" i="149" s="1"/>
  <c r="V76" i="148"/>
  <c r="BZ76" i="148"/>
  <c r="BW76" i="149" s="1"/>
  <c r="CH76" i="148"/>
  <c r="CE76" i="149" s="1"/>
  <c r="BF76" i="148"/>
  <c r="BC76" i="149" s="1"/>
  <c r="CB76" i="148"/>
  <c r="BY76" i="149" s="1"/>
  <c r="CQ76" i="148"/>
  <c r="CN76" i="149" s="1"/>
  <c r="CI76" i="148"/>
  <c r="CF76" i="149" s="1"/>
  <c r="BG76" i="148"/>
  <c r="BD76" i="149" s="1"/>
  <c r="CW76" i="148"/>
  <c r="CT76" i="149" s="1"/>
  <c r="CS76" i="148"/>
  <c r="CP76" i="149" s="1"/>
  <c r="CJ76" i="148"/>
  <c r="CG76" i="149" s="1"/>
  <c r="CV76" i="148"/>
  <c r="CS76" i="149" s="1"/>
  <c r="CN76" i="148"/>
  <c r="CK76" i="149" s="1"/>
  <c r="CE76" i="148"/>
  <c r="CB76" i="149" s="1"/>
  <c r="CD76" i="148"/>
  <c r="CA76" i="149" s="1"/>
  <c r="BT76" i="148"/>
  <c r="BQ76" i="149" s="1"/>
  <c r="CK76" i="148"/>
  <c r="CH76" i="149" s="1"/>
  <c r="CA76" i="148"/>
  <c r="BX76" i="149" s="1"/>
  <c r="CC76" i="148"/>
  <c r="BZ76" i="149" s="1"/>
  <c r="BU76" i="148"/>
  <c r="BR76" i="149" s="1"/>
  <c r="CL76" i="148"/>
  <c r="CI76" i="149" s="1"/>
  <c r="CR76" i="148"/>
  <c r="CO76" i="149" s="1"/>
  <c r="AY76" i="148"/>
  <c r="AV76" i="149" s="1"/>
  <c r="AV76" i="148"/>
  <c r="AS76" i="149" s="1"/>
  <c r="BV76" i="148"/>
  <c r="BS76" i="149" s="1"/>
  <c r="CZ76" i="148"/>
  <c r="CW76" i="149" s="1"/>
  <c r="CM76" i="148"/>
  <c r="CJ76" i="149" s="1"/>
  <c r="AX76" i="148"/>
  <c r="AU76" i="149" s="1"/>
  <c r="BI76" i="148"/>
  <c r="BF76" i="149" s="1"/>
  <c r="AZ76" i="148"/>
  <c r="AW76" i="149" s="1"/>
  <c r="BK76" i="148"/>
  <c r="BH76" i="149" s="1"/>
  <c r="BJ76" i="148"/>
  <c r="BG76" i="149" s="1"/>
  <c r="BL76" i="148"/>
  <c r="BI76" i="149" s="1"/>
  <c r="BC76" i="148"/>
  <c r="AZ76" i="149" s="1"/>
  <c r="BM76" i="148"/>
  <c r="BJ76" i="149" s="1"/>
  <c r="BO76" i="148"/>
  <c r="BB76" i="148"/>
  <c r="AY76" i="149" s="1"/>
  <c r="BA76" i="148"/>
  <c r="AX76" i="149" s="1"/>
  <c r="BH76" i="148"/>
  <c r="BE76" i="149" s="1"/>
  <c r="BN76" i="148"/>
  <c r="BK76" i="149" s="1"/>
  <c r="D76" i="148"/>
  <c r="CY87" i="149"/>
  <c r="DA87" i="149"/>
  <c r="DB87" i="149"/>
  <c r="CZ87" i="149"/>
  <c r="BL87" i="149"/>
  <c r="Q66" i="148"/>
  <c r="BV66" i="148"/>
  <c r="BS66" i="149" s="1"/>
  <c r="R66" i="148"/>
  <c r="CY66" i="148"/>
  <c r="CV66" i="149" s="1"/>
  <c r="G66" i="148"/>
  <c r="BE66" i="148"/>
  <c r="BB66" i="149" s="1"/>
  <c r="I66" i="148"/>
  <c r="CH66" i="148"/>
  <c r="CE66" i="149" s="1"/>
  <c r="BY66" i="148"/>
  <c r="BV66" i="149" s="1"/>
  <c r="BS66" i="148"/>
  <c r="BP66" i="149" s="1"/>
  <c r="BZ66" i="148"/>
  <c r="BW66" i="149" s="1"/>
  <c r="E66" i="148"/>
  <c r="DA66" i="148"/>
  <c r="CX66" i="149" s="1"/>
  <c r="CA66" i="148"/>
  <c r="BX66" i="149" s="1"/>
  <c r="BP66" i="148"/>
  <c r="BM66" i="149" s="1"/>
  <c r="CN66" i="148"/>
  <c r="CK66" i="149" s="1"/>
  <c r="H66" i="148"/>
  <c r="CB66" i="148"/>
  <c r="BY66" i="149" s="1"/>
  <c r="CQ66" i="148"/>
  <c r="CN66" i="149" s="1"/>
  <c r="AW66" i="148"/>
  <c r="AT66" i="149" s="1"/>
  <c r="V66" i="148"/>
  <c r="CG66" i="148"/>
  <c r="CD66" i="149" s="1"/>
  <c r="CR66" i="148"/>
  <c r="CO66" i="149" s="1"/>
  <c r="CT66" i="148"/>
  <c r="CQ66" i="149" s="1"/>
  <c r="CX66" i="148"/>
  <c r="CU66" i="149" s="1"/>
  <c r="CC66" i="148"/>
  <c r="BZ66" i="149" s="1"/>
  <c r="CE66" i="148"/>
  <c r="CB66" i="149" s="1"/>
  <c r="BT66" i="148"/>
  <c r="BQ66" i="149" s="1"/>
  <c r="CD66" i="148"/>
  <c r="CA66" i="149" s="1"/>
  <c r="CW66" i="148"/>
  <c r="CT66" i="149" s="1"/>
  <c r="CK66" i="148"/>
  <c r="CH66" i="149" s="1"/>
  <c r="BF66" i="148"/>
  <c r="BC66" i="149" s="1"/>
  <c r="CZ66" i="148"/>
  <c r="CW66" i="149" s="1"/>
  <c r="CL66" i="148"/>
  <c r="CI66" i="149" s="1"/>
  <c r="CI66" i="148"/>
  <c r="CF66" i="149" s="1"/>
  <c r="AV66" i="148"/>
  <c r="AS66" i="149" s="1"/>
  <c r="CM66" i="148"/>
  <c r="CJ66" i="149" s="1"/>
  <c r="CF66" i="148"/>
  <c r="CC66" i="149" s="1"/>
  <c r="CO66" i="148"/>
  <c r="CL66" i="149" s="1"/>
  <c r="BQ66" i="148"/>
  <c r="BN66" i="149" s="1"/>
  <c r="BG66" i="148"/>
  <c r="BD66" i="149" s="1"/>
  <c r="CJ66" i="148"/>
  <c r="CG66" i="149" s="1"/>
  <c r="BX66" i="148"/>
  <c r="BU66" i="149" s="1"/>
  <c r="CU66" i="148"/>
  <c r="CR66" i="149" s="1"/>
  <c r="CV66" i="148"/>
  <c r="CS66" i="149" s="1"/>
  <c r="CP66" i="148"/>
  <c r="CM66" i="149" s="1"/>
  <c r="CS66" i="148"/>
  <c r="CP66" i="149" s="1"/>
  <c r="BD66" i="148"/>
  <c r="BA66" i="149" s="1"/>
  <c r="BW66" i="148"/>
  <c r="BT66" i="149" s="1"/>
  <c r="F66" i="148"/>
  <c r="BU66" i="148"/>
  <c r="BR66" i="149" s="1"/>
  <c r="BR66" i="148"/>
  <c r="BO66" i="149" s="1"/>
  <c r="BC66" i="148"/>
  <c r="AZ66" i="149" s="1"/>
  <c r="BI66" i="148"/>
  <c r="BF66" i="149" s="1"/>
  <c r="AZ66" i="148"/>
  <c r="AW66" i="149" s="1"/>
  <c r="AX66" i="148"/>
  <c r="AU66" i="149" s="1"/>
  <c r="AY66" i="148"/>
  <c r="AV66" i="149" s="1"/>
  <c r="BL66" i="148"/>
  <c r="BI66" i="149" s="1"/>
  <c r="BB66" i="148"/>
  <c r="AY66" i="149" s="1"/>
  <c r="BO66" i="148"/>
  <c r="BJ66" i="148"/>
  <c r="BG66" i="149" s="1"/>
  <c r="BM66" i="148"/>
  <c r="BJ66" i="149" s="1"/>
  <c r="BN66" i="148"/>
  <c r="BK66" i="149" s="1"/>
  <c r="BA66" i="148"/>
  <c r="AX66" i="149" s="1"/>
  <c r="BH66" i="148"/>
  <c r="BE66" i="149" s="1"/>
  <c r="BK66" i="148"/>
  <c r="BH66" i="149" s="1"/>
  <c r="D66" i="148"/>
  <c r="Q91" i="148"/>
  <c r="E91" i="148"/>
  <c r="BY91" i="148"/>
  <c r="BV91" i="149" s="1"/>
  <c r="BG91" i="148"/>
  <c r="BD91" i="149" s="1"/>
  <c r="CO91" i="148"/>
  <c r="CL91" i="149" s="1"/>
  <c r="CZ91" i="148"/>
  <c r="CW91" i="149" s="1"/>
  <c r="BR91" i="148"/>
  <c r="BO91" i="149" s="1"/>
  <c r="BF91" i="148"/>
  <c r="BC91" i="149" s="1"/>
  <c r="CA91" i="148"/>
  <c r="BX91" i="149" s="1"/>
  <c r="CF91" i="148"/>
  <c r="CC91" i="149" s="1"/>
  <c r="CJ91" i="148"/>
  <c r="CG91" i="149" s="1"/>
  <c r="CN91" i="148"/>
  <c r="CK91" i="149" s="1"/>
  <c r="CH91" i="148"/>
  <c r="CE91" i="149" s="1"/>
  <c r="G91" i="148"/>
  <c r="I91" i="148"/>
  <c r="BT91" i="148"/>
  <c r="BQ91" i="149" s="1"/>
  <c r="BU91" i="148"/>
  <c r="BR91" i="149" s="1"/>
  <c r="CQ91" i="148"/>
  <c r="CN91" i="149" s="1"/>
  <c r="F91" i="148"/>
  <c r="CU91" i="148"/>
  <c r="CR91" i="149" s="1"/>
  <c r="CV91" i="148"/>
  <c r="CS91" i="149" s="1"/>
  <c r="CT91" i="148"/>
  <c r="CQ91" i="149" s="1"/>
  <c r="DA91" i="148"/>
  <c r="CX91" i="149" s="1"/>
  <c r="CX91" i="148"/>
  <c r="CU91" i="149" s="1"/>
  <c r="CW91" i="148"/>
  <c r="CT91" i="149" s="1"/>
  <c r="CG91" i="148"/>
  <c r="CD91" i="149" s="1"/>
  <c r="BP91" i="148"/>
  <c r="BM91" i="149" s="1"/>
  <c r="CK91" i="148"/>
  <c r="CH91" i="149" s="1"/>
  <c r="R91" i="148"/>
  <c r="H91" i="148"/>
  <c r="BZ91" i="148"/>
  <c r="BW91" i="149" s="1"/>
  <c r="CB91" i="148"/>
  <c r="BY91" i="149" s="1"/>
  <c r="CS91" i="148"/>
  <c r="CP91" i="149" s="1"/>
  <c r="CD91" i="148"/>
  <c r="CA91" i="149" s="1"/>
  <c r="BQ91" i="148"/>
  <c r="BN91" i="149" s="1"/>
  <c r="CE91" i="148"/>
  <c r="CB91" i="149" s="1"/>
  <c r="AX91" i="148"/>
  <c r="AU91" i="149" s="1"/>
  <c r="CM91" i="148"/>
  <c r="CJ91" i="149" s="1"/>
  <c r="CR91" i="148"/>
  <c r="CO91" i="149" s="1"/>
  <c r="BX91" i="148"/>
  <c r="BU91" i="149" s="1"/>
  <c r="CI91" i="148"/>
  <c r="CF91" i="149" s="1"/>
  <c r="CP91" i="148"/>
  <c r="CM91" i="149" s="1"/>
  <c r="V91" i="148"/>
  <c r="CY91" i="148"/>
  <c r="CV91" i="149" s="1"/>
  <c r="CL91" i="148"/>
  <c r="CI91" i="149" s="1"/>
  <c r="CC91" i="148"/>
  <c r="BZ91" i="149" s="1"/>
  <c r="BD91" i="148"/>
  <c r="BA91" i="149" s="1"/>
  <c r="BW91" i="148"/>
  <c r="BT91" i="149" s="1"/>
  <c r="AZ91" i="148"/>
  <c r="AW91" i="149" s="1"/>
  <c r="AW91" i="148"/>
  <c r="AT91" i="149" s="1"/>
  <c r="BJ91" i="148"/>
  <c r="BG91" i="149" s="1"/>
  <c r="BC91" i="148"/>
  <c r="AZ91" i="149" s="1"/>
  <c r="AY91" i="148"/>
  <c r="AV91" i="149" s="1"/>
  <c r="BK91" i="148"/>
  <c r="BH91" i="149" s="1"/>
  <c r="AV91" i="148"/>
  <c r="AS91" i="149" s="1"/>
  <c r="BE91" i="148"/>
  <c r="BB91" i="149" s="1"/>
  <c r="BV91" i="148"/>
  <c r="BS91" i="149" s="1"/>
  <c r="BA91" i="148"/>
  <c r="AX91" i="149" s="1"/>
  <c r="BM91" i="148"/>
  <c r="BJ91" i="149" s="1"/>
  <c r="BN91" i="148"/>
  <c r="BK91" i="149" s="1"/>
  <c r="BS91" i="148"/>
  <c r="BP91" i="149" s="1"/>
  <c r="BI91" i="148"/>
  <c r="BF91" i="149" s="1"/>
  <c r="BH91" i="148"/>
  <c r="BE91" i="149" s="1"/>
  <c r="BB91" i="148"/>
  <c r="AY91" i="149" s="1"/>
  <c r="BL91" i="148"/>
  <c r="BI91" i="149" s="1"/>
  <c r="BO91" i="148"/>
  <c r="D91" i="148"/>
  <c r="DA141" i="149"/>
  <c r="CY141" i="149"/>
  <c r="DB141" i="149"/>
  <c r="CZ141" i="149"/>
  <c r="BE141" i="149"/>
  <c r="BL141" i="149"/>
  <c r="Q131" i="148"/>
  <c r="G131" i="148"/>
  <c r="BR131" i="148"/>
  <c r="BO131" i="149" s="1"/>
  <c r="BZ131" i="148"/>
  <c r="BW131" i="149" s="1"/>
  <c r="CD131" i="148"/>
  <c r="CA131" i="149" s="1"/>
  <c r="BQ131" i="148"/>
  <c r="BN131" i="149" s="1"/>
  <c r="BE131" i="148"/>
  <c r="BB131" i="149" s="1"/>
  <c r="BP131" i="148"/>
  <c r="BM131" i="149" s="1"/>
  <c r="BT131" i="148"/>
  <c r="BQ131" i="149" s="1"/>
  <c r="CS131" i="148"/>
  <c r="CP131" i="149" s="1"/>
  <c r="CW131" i="148"/>
  <c r="CT131" i="149" s="1"/>
  <c r="DA131" i="148"/>
  <c r="CX131" i="149" s="1"/>
  <c r="CI131" i="148"/>
  <c r="CF131" i="149" s="1"/>
  <c r="CN131" i="148"/>
  <c r="CK131" i="149" s="1"/>
  <c r="CL131" i="148"/>
  <c r="CI131" i="149" s="1"/>
  <c r="CT131" i="148"/>
  <c r="CQ131" i="149" s="1"/>
  <c r="BF131" i="148"/>
  <c r="BC131" i="149" s="1"/>
  <c r="V131" i="148"/>
  <c r="CR131" i="148"/>
  <c r="CO131" i="149" s="1"/>
  <c r="BU131" i="148"/>
  <c r="BR131" i="149" s="1"/>
  <c r="CY131" i="148"/>
  <c r="CV131" i="149" s="1"/>
  <c r="CA131" i="148"/>
  <c r="BX131" i="149" s="1"/>
  <c r="CV131" i="148"/>
  <c r="CS131" i="149" s="1"/>
  <c r="BY131" i="148"/>
  <c r="BV131" i="149" s="1"/>
  <c r="AY131" i="148"/>
  <c r="AV131" i="149" s="1"/>
  <c r="CX131" i="148"/>
  <c r="CU131" i="149" s="1"/>
  <c r="CZ131" i="148"/>
  <c r="CW131" i="149" s="1"/>
  <c r="CQ131" i="148"/>
  <c r="CN131" i="149" s="1"/>
  <c r="H131" i="148"/>
  <c r="E131" i="148"/>
  <c r="CH131" i="148"/>
  <c r="CE131" i="149" s="1"/>
  <c r="AW131" i="148"/>
  <c r="AT131" i="149" s="1"/>
  <c r="AV131" i="148"/>
  <c r="AS131" i="149" s="1"/>
  <c r="BD131" i="148"/>
  <c r="BA131" i="149" s="1"/>
  <c r="R131" i="148"/>
  <c r="BX131" i="148"/>
  <c r="BU131" i="149" s="1"/>
  <c r="BG131" i="148"/>
  <c r="BD131" i="149" s="1"/>
  <c r="CC131" i="148"/>
  <c r="BZ131" i="149" s="1"/>
  <c r="CB131" i="148"/>
  <c r="BY131" i="149" s="1"/>
  <c r="CE131" i="148"/>
  <c r="CB131" i="149" s="1"/>
  <c r="CG131" i="148"/>
  <c r="CD131" i="149" s="1"/>
  <c r="CF131" i="148"/>
  <c r="CC131" i="149" s="1"/>
  <c r="F131" i="148"/>
  <c r="CK131" i="148"/>
  <c r="CH131" i="149" s="1"/>
  <c r="CJ131" i="148"/>
  <c r="CG131" i="149" s="1"/>
  <c r="I131" i="148"/>
  <c r="CO131" i="148"/>
  <c r="CL131" i="149" s="1"/>
  <c r="CU131" i="148"/>
  <c r="CR131" i="149" s="1"/>
  <c r="CP131" i="148"/>
  <c r="CM131" i="149" s="1"/>
  <c r="CM131" i="148"/>
  <c r="CJ131" i="149" s="1"/>
  <c r="BV131" i="148"/>
  <c r="BS131" i="149" s="1"/>
  <c r="BI131" i="148"/>
  <c r="BF131" i="149" s="1"/>
  <c r="BC131" i="148"/>
  <c r="AZ131" i="149" s="1"/>
  <c r="BK131" i="148"/>
  <c r="BH131" i="149" s="1"/>
  <c r="BS131" i="148"/>
  <c r="BP131" i="149" s="1"/>
  <c r="BB131" i="148"/>
  <c r="AY131" i="149" s="1"/>
  <c r="BW131" i="148"/>
  <c r="BT131" i="149" s="1"/>
  <c r="BJ131" i="148"/>
  <c r="BG131" i="149" s="1"/>
  <c r="AX131" i="148"/>
  <c r="AU131" i="149" s="1"/>
  <c r="BH131" i="148"/>
  <c r="BE131" i="149" s="1"/>
  <c r="BA131" i="148"/>
  <c r="AX131" i="149" s="1"/>
  <c r="BL131" i="148"/>
  <c r="BI131" i="149" s="1"/>
  <c r="BN131" i="148"/>
  <c r="BK131" i="149" s="1"/>
  <c r="AZ131" i="148"/>
  <c r="AW131" i="149" s="1"/>
  <c r="BO131" i="148"/>
  <c r="BM131" i="148"/>
  <c r="BJ131" i="149" s="1"/>
  <c r="D131" i="148"/>
  <c r="P19" i="153"/>
  <c r="D19" i="153"/>
  <c r="H19" i="153"/>
  <c r="G19" i="153"/>
  <c r="R19" i="153"/>
  <c r="E19" i="153"/>
  <c r="C19" i="153"/>
  <c r="CO19" i="153"/>
  <c r="CT19" i="153"/>
  <c r="CI19" i="153"/>
  <c r="CH19" i="153"/>
  <c r="CJ19" i="153"/>
  <c r="CN19" i="153"/>
  <c r="CR19" i="153"/>
  <c r="BV19" i="153"/>
  <c r="CW19" i="153"/>
  <c r="BW19" i="153"/>
  <c r="BU19" i="153"/>
  <c r="CD19" i="153"/>
  <c r="CV19" i="153"/>
  <c r="CL19" i="153"/>
  <c r="BX19" i="153"/>
  <c r="BT19" i="153"/>
  <c r="CG19" i="153"/>
  <c r="CA19" i="153"/>
  <c r="CP19" i="153"/>
  <c r="BZ19" i="153"/>
  <c r="CS19" i="153"/>
  <c r="BY19" i="153"/>
  <c r="CC19" i="153"/>
  <c r="CK19" i="153"/>
  <c r="CF19" i="153"/>
  <c r="CB19" i="153"/>
  <c r="F19" i="153"/>
  <c r="CM19" i="153"/>
  <c r="CE19" i="153"/>
  <c r="CQ19" i="153"/>
  <c r="CU19" i="153"/>
  <c r="BK19" i="153"/>
  <c r="AS19" i="153"/>
  <c r="AZ19" i="153"/>
  <c r="AY19" i="153"/>
  <c r="BS19" i="153"/>
  <c r="BL19" i="153"/>
  <c r="BH19" i="153"/>
  <c r="AW19" i="153"/>
  <c r="AR19" i="153"/>
  <c r="BD19" i="153"/>
  <c r="BI19" i="153"/>
  <c r="BR19" i="153"/>
  <c r="BQ19" i="153"/>
  <c r="BC19" i="153"/>
  <c r="BE19" i="153"/>
  <c r="AU19" i="153"/>
  <c r="BP19" i="153"/>
  <c r="BB19" i="153"/>
  <c r="BN19" i="153"/>
  <c r="BF19" i="153"/>
  <c r="BJ19" i="153"/>
  <c r="BA19" i="153"/>
  <c r="BM19" i="153"/>
  <c r="BG19" i="153"/>
  <c r="AX19" i="153"/>
  <c r="BO19" i="153"/>
  <c r="AV19" i="153"/>
  <c r="AT19" i="153"/>
  <c r="G5" i="151"/>
  <c r="E5" i="151"/>
  <c r="H5" i="151"/>
  <c r="R5" i="151"/>
  <c r="D5" i="151"/>
  <c r="P5" i="151"/>
  <c r="CH5" i="151"/>
  <c r="F5" i="151"/>
  <c r="CG5" i="151"/>
  <c r="CP5" i="151"/>
  <c r="CR5" i="151"/>
  <c r="CC5" i="151"/>
  <c r="CU5" i="151"/>
  <c r="CQ5" i="151"/>
  <c r="CE5" i="151"/>
  <c r="CD5" i="151"/>
  <c r="CT5" i="151"/>
  <c r="CN5" i="151"/>
  <c r="CA5" i="151"/>
  <c r="CB5" i="151"/>
  <c r="BU5" i="151"/>
  <c r="BY5" i="151"/>
  <c r="CI5" i="151"/>
  <c r="BT5" i="151"/>
  <c r="BW5" i="151"/>
  <c r="BV5" i="151"/>
  <c r="BX5" i="151"/>
  <c r="CO5" i="151"/>
  <c r="CK5" i="151"/>
  <c r="CF5" i="151"/>
  <c r="CV5" i="151"/>
  <c r="CJ5" i="151"/>
  <c r="BZ5" i="151"/>
  <c r="CL5" i="151"/>
  <c r="CS5" i="151"/>
  <c r="CM5" i="151"/>
  <c r="CW5" i="151"/>
  <c r="BN5" i="151"/>
  <c r="BF5" i="151"/>
  <c r="AV5" i="151"/>
  <c r="AY5" i="151"/>
  <c r="AW5" i="151"/>
  <c r="AR5" i="151"/>
  <c r="BH5" i="151"/>
  <c r="AT5" i="151"/>
  <c r="BG5" i="151"/>
  <c r="BP5" i="151"/>
  <c r="BA5" i="151"/>
  <c r="BO5" i="151"/>
  <c r="BE5" i="151"/>
  <c r="BI5" i="151"/>
  <c r="AU5" i="151"/>
  <c r="BC5" i="151"/>
  <c r="BL5" i="151"/>
  <c r="BM5" i="151"/>
  <c r="AX5" i="151"/>
  <c r="BQ5" i="151"/>
  <c r="BB5" i="151"/>
  <c r="AS5" i="151"/>
  <c r="BJ5" i="151"/>
  <c r="BS5" i="151"/>
  <c r="BD5" i="151"/>
  <c r="BK5" i="151"/>
  <c r="BR5" i="151"/>
  <c r="AZ5" i="151"/>
  <c r="P19" i="151"/>
  <c r="D19" i="151"/>
  <c r="H19" i="151"/>
  <c r="E19" i="151"/>
  <c r="G19" i="151"/>
  <c r="R19" i="151"/>
  <c r="BU19" i="151"/>
  <c r="CH19" i="151"/>
  <c r="CE19" i="151"/>
  <c r="BT19" i="151"/>
  <c r="CW19" i="151"/>
  <c r="CA19" i="151"/>
  <c r="CQ19" i="151"/>
  <c r="BZ19" i="151"/>
  <c r="CJ19" i="151"/>
  <c r="CM19" i="151"/>
  <c r="F19" i="151"/>
  <c r="BW19" i="151"/>
  <c r="CL19" i="151"/>
  <c r="BY19" i="151"/>
  <c r="CD19" i="151"/>
  <c r="CK19" i="151"/>
  <c r="CC19" i="151"/>
  <c r="CB19" i="151"/>
  <c r="CP19" i="151"/>
  <c r="CI19" i="151"/>
  <c r="CG19" i="151"/>
  <c r="CS19" i="151"/>
  <c r="CR19" i="151"/>
  <c r="CV19" i="151"/>
  <c r="CU19" i="151"/>
  <c r="CT19" i="151"/>
  <c r="CO19" i="151"/>
  <c r="BX19" i="151"/>
  <c r="CF19" i="151"/>
  <c r="CN19" i="151"/>
  <c r="BV19" i="151"/>
  <c r="AS19" i="151"/>
  <c r="BP19" i="151"/>
  <c r="AX19" i="151"/>
  <c r="BD19" i="151"/>
  <c r="AW19" i="151"/>
  <c r="BL19" i="151"/>
  <c r="BR19" i="151"/>
  <c r="BJ19" i="151"/>
  <c r="BN19" i="151"/>
  <c r="AV19" i="151"/>
  <c r="BB19" i="151"/>
  <c r="AT19" i="151"/>
  <c r="BK19" i="151"/>
  <c r="BI19" i="151"/>
  <c r="BG19" i="151"/>
  <c r="BC19" i="151"/>
  <c r="BS19" i="151"/>
  <c r="AR19" i="151"/>
  <c r="BQ19" i="151"/>
  <c r="AU19" i="151"/>
  <c r="BH19" i="151"/>
  <c r="BF19" i="151"/>
  <c r="BO19" i="151"/>
  <c r="BA19" i="151"/>
  <c r="AY19" i="151"/>
  <c r="AZ19" i="151"/>
  <c r="BM19" i="151"/>
  <c r="BE19" i="151"/>
  <c r="G24" i="151"/>
  <c r="E24" i="151"/>
  <c r="H24" i="151"/>
  <c r="P24" i="151"/>
  <c r="R24" i="151"/>
  <c r="D24" i="151"/>
  <c r="CJ24" i="151"/>
  <c r="CL24" i="151"/>
  <c r="CR24" i="151"/>
  <c r="CH24" i="151"/>
  <c r="CW24" i="151"/>
  <c r="CU24" i="151"/>
  <c r="CT24" i="151"/>
  <c r="BU24" i="151"/>
  <c r="CV24" i="151"/>
  <c r="BY24" i="151"/>
  <c r="CK24" i="151"/>
  <c r="CP24" i="151"/>
  <c r="BV24" i="151"/>
  <c r="CB24" i="151"/>
  <c r="CE24" i="151"/>
  <c r="CD24" i="151"/>
  <c r="CG24" i="151"/>
  <c r="CQ24" i="151"/>
  <c r="BZ24" i="151"/>
  <c r="CM24" i="151"/>
  <c r="CS24" i="151"/>
  <c r="CA24" i="151"/>
  <c r="CI24" i="151"/>
  <c r="BW24" i="151"/>
  <c r="CO24" i="151"/>
  <c r="F24" i="151"/>
  <c r="CF24" i="151"/>
  <c r="BT24" i="151"/>
  <c r="BX24" i="151"/>
  <c r="CC24" i="151"/>
  <c r="CN24" i="151"/>
  <c r="BF24" i="151"/>
  <c r="AW24" i="151"/>
  <c r="BQ24" i="151"/>
  <c r="AU24" i="151"/>
  <c r="AZ24" i="151"/>
  <c r="BG24" i="151"/>
  <c r="AT24" i="151"/>
  <c r="BJ24" i="151"/>
  <c r="AX24" i="151"/>
  <c r="BB24" i="151"/>
  <c r="BN24" i="151"/>
  <c r="BI24" i="151"/>
  <c r="BH24" i="151"/>
  <c r="AR24" i="151"/>
  <c r="BL24" i="151"/>
  <c r="BR24" i="151"/>
  <c r="BP24" i="151"/>
  <c r="BO24" i="151"/>
  <c r="BA24" i="151"/>
  <c r="AY24" i="151"/>
  <c r="BE24" i="151"/>
  <c r="AS24" i="151"/>
  <c r="BD24" i="151"/>
  <c r="BK24" i="151"/>
  <c r="AV24" i="151"/>
  <c r="BM24" i="151"/>
  <c r="BS24" i="151"/>
  <c r="BC24" i="151"/>
  <c r="H14" i="153"/>
  <c r="P14" i="153"/>
  <c r="E14" i="153"/>
  <c r="G14" i="153"/>
  <c r="D14" i="153"/>
  <c r="R14" i="153"/>
  <c r="C14" i="153"/>
  <c r="BW14" i="153"/>
  <c r="CN14" i="153"/>
  <c r="BZ14" i="153"/>
  <c r="CO14" i="153"/>
  <c r="BT14" i="153"/>
  <c r="CG14" i="153"/>
  <c r="BV14" i="153"/>
  <c r="CI14" i="153"/>
  <c r="BX14" i="153"/>
  <c r="CA14" i="153"/>
  <c r="CS14" i="153"/>
  <c r="CH14" i="153"/>
  <c r="CV14" i="153"/>
  <c r="CB14" i="153"/>
  <c r="CF14" i="153"/>
  <c r="F14" i="153"/>
  <c r="CK14" i="153"/>
  <c r="CT14" i="153"/>
  <c r="CD14" i="153"/>
  <c r="CL14" i="153"/>
  <c r="CE14" i="153"/>
  <c r="BU14" i="153"/>
  <c r="CJ14" i="153"/>
  <c r="CQ14" i="153"/>
  <c r="BY14" i="153"/>
  <c r="CC14" i="153"/>
  <c r="CU14" i="153"/>
  <c r="CW14" i="153"/>
  <c r="CM14" i="153"/>
  <c r="CP14" i="153"/>
  <c r="BR14" i="153"/>
  <c r="BK14" i="153"/>
  <c r="BP14" i="153"/>
  <c r="BA14" i="153"/>
  <c r="AY14" i="153"/>
  <c r="BC14" i="153"/>
  <c r="BN14" i="153"/>
  <c r="AS14" i="153"/>
  <c r="BJ14" i="153"/>
  <c r="AW14" i="153"/>
  <c r="AU14" i="153"/>
  <c r="BF14" i="153"/>
  <c r="BM14" i="153"/>
  <c r="AT14" i="153"/>
  <c r="BD14" i="153"/>
  <c r="AV14" i="153"/>
  <c r="BB14" i="153"/>
  <c r="BG14" i="153"/>
  <c r="BI14" i="153"/>
  <c r="BL14" i="153"/>
  <c r="BE14" i="153"/>
  <c r="BH14" i="153"/>
  <c r="BO14" i="153"/>
  <c r="AX14" i="153"/>
  <c r="DB47" i="149"/>
  <c r="DA47" i="149"/>
  <c r="CZ47" i="149"/>
  <c r="BL47" i="149"/>
  <c r="Q48" i="148"/>
  <c r="BI48" i="148"/>
  <c r="BF48" i="149" s="1"/>
  <c r="BK48" i="148"/>
  <c r="BH48" i="149" s="1"/>
  <c r="BO48" i="148"/>
  <c r="BJ48" i="148"/>
  <c r="BG48" i="149" s="1"/>
  <c r="BH48" i="148"/>
  <c r="BE48" i="149" s="1"/>
  <c r="BL48" i="148"/>
  <c r="BI48" i="149" s="1"/>
  <c r="AZ48" i="148"/>
  <c r="AW48" i="149" s="1"/>
  <c r="BC48" i="148"/>
  <c r="AZ48" i="149" s="1"/>
  <c r="BB48" i="148"/>
  <c r="AY48" i="149" s="1"/>
  <c r="BA48" i="148"/>
  <c r="AX48" i="149" s="1"/>
  <c r="BM48" i="148"/>
  <c r="BJ48" i="149" s="1"/>
  <c r="CK48" i="148"/>
  <c r="CH48" i="149" s="1"/>
  <c r="CP48" i="148"/>
  <c r="CM48" i="149" s="1"/>
  <c r="CD48" i="148"/>
  <c r="CA48" i="149" s="1"/>
  <c r="BQ48" i="148"/>
  <c r="BN48" i="149" s="1"/>
  <c r="CT48" i="148"/>
  <c r="CQ48" i="149" s="1"/>
  <c r="CR48" i="148"/>
  <c r="CO48" i="149" s="1"/>
  <c r="G48" i="148"/>
  <c r="CU48" i="148"/>
  <c r="CR48" i="149" s="1"/>
  <c r="AY48" i="148"/>
  <c r="AV48" i="149" s="1"/>
  <c r="BG48" i="148"/>
  <c r="BD48" i="149" s="1"/>
  <c r="CN48" i="148"/>
  <c r="CK48" i="149" s="1"/>
  <c r="CW48" i="148"/>
  <c r="CT48" i="149" s="1"/>
  <c r="CM48" i="148"/>
  <c r="CJ48" i="149" s="1"/>
  <c r="BV48" i="148"/>
  <c r="BS48" i="149" s="1"/>
  <c r="BZ48" i="148"/>
  <c r="BW48" i="149" s="1"/>
  <c r="CI48" i="148"/>
  <c r="CF48" i="149" s="1"/>
  <c r="CV48" i="148"/>
  <c r="CS48" i="149" s="1"/>
  <c r="BE48" i="148"/>
  <c r="BB48" i="149" s="1"/>
  <c r="CE48" i="148"/>
  <c r="CB48" i="149" s="1"/>
  <c r="CQ48" i="148"/>
  <c r="CN48" i="149" s="1"/>
  <c r="DA48" i="148"/>
  <c r="CX48" i="149" s="1"/>
  <c r="AX48" i="148"/>
  <c r="AU48" i="149" s="1"/>
  <c r="CJ48" i="148"/>
  <c r="CG48" i="149" s="1"/>
  <c r="H48" i="148"/>
  <c r="CO48" i="148"/>
  <c r="CL48" i="149" s="1"/>
  <c r="CB48" i="148"/>
  <c r="BY48" i="149" s="1"/>
  <c r="CG48" i="148"/>
  <c r="CD48" i="149" s="1"/>
  <c r="BD48" i="148"/>
  <c r="BA48" i="149" s="1"/>
  <c r="I48" i="148"/>
  <c r="R48" i="148"/>
  <c r="CZ48" i="148"/>
  <c r="CW48" i="149" s="1"/>
  <c r="CS48" i="148"/>
  <c r="CP48" i="149" s="1"/>
  <c r="AV48" i="148"/>
  <c r="AS48" i="149" s="1"/>
  <c r="BP48" i="148"/>
  <c r="BM48" i="149" s="1"/>
  <c r="BW48" i="148"/>
  <c r="BT48" i="149" s="1"/>
  <c r="E48" i="148"/>
  <c r="CY48" i="148"/>
  <c r="CV48" i="149" s="1"/>
  <c r="CA48" i="148"/>
  <c r="BX48" i="149" s="1"/>
  <c r="BF48" i="148"/>
  <c r="BC48" i="149" s="1"/>
  <c r="BR48" i="148"/>
  <c r="BO48" i="149" s="1"/>
  <c r="AW48" i="148"/>
  <c r="AT48" i="149" s="1"/>
  <c r="CX48" i="148"/>
  <c r="CU48" i="149" s="1"/>
  <c r="BN48" i="148"/>
  <c r="BK48" i="149" s="1"/>
  <c r="V48" i="148"/>
  <c r="CF48" i="148"/>
  <c r="CC48" i="149" s="1"/>
  <c r="BX48" i="148"/>
  <c r="BU48" i="149" s="1"/>
  <c r="BS48" i="148"/>
  <c r="BP48" i="149" s="1"/>
  <c r="BU48" i="148"/>
  <c r="BR48" i="149" s="1"/>
  <c r="CH48" i="148"/>
  <c r="CE48" i="149" s="1"/>
  <c r="F48" i="148"/>
  <c r="CC48" i="148"/>
  <c r="BZ48" i="149" s="1"/>
  <c r="BY48" i="148"/>
  <c r="BV48" i="149" s="1"/>
  <c r="BT48" i="148"/>
  <c r="BQ48" i="149" s="1"/>
  <c r="CL48" i="148"/>
  <c r="CI48" i="149" s="1"/>
  <c r="D48" i="148"/>
  <c r="Q80" i="148"/>
  <c r="BK80" i="148"/>
  <c r="BH80" i="149" s="1"/>
  <c r="BR80" i="148"/>
  <c r="BO80" i="149" s="1"/>
  <c r="CN80" i="148"/>
  <c r="CK80" i="149" s="1"/>
  <c r="BX80" i="148"/>
  <c r="BU80" i="149" s="1"/>
  <c r="CZ80" i="148"/>
  <c r="CW80" i="149" s="1"/>
  <c r="BN80" i="148"/>
  <c r="BK80" i="149" s="1"/>
  <c r="BJ80" i="148"/>
  <c r="BG80" i="149" s="1"/>
  <c r="CC80" i="148"/>
  <c r="BZ80" i="149" s="1"/>
  <c r="BV80" i="148"/>
  <c r="BS80" i="149" s="1"/>
  <c r="H80" i="148"/>
  <c r="CT80" i="148"/>
  <c r="CQ80" i="149" s="1"/>
  <c r="BM80" i="148"/>
  <c r="BJ80" i="149" s="1"/>
  <c r="CX80" i="148"/>
  <c r="CU80" i="149" s="1"/>
  <c r="CG80" i="148"/>
  <c r="CD80" i="149" s="1"/>
  <c r="CE80" i="148"/>
  <c r="CB80" i="149" s="1"/>
  <c r="BP80" i="148"/>
  <c r="BM80" i="149" s="1"/>
  <c r="CD80" i="148"/>
  <c r="CA80" i="149" s="1"/>
  <c r="BH80" i="148"/>
  <c r="BE80" i="149" s="1"/>
  <c r="CY80" i="148"/>
  <c r="CV80" i="149" s="1"/>
  <c r="CB80" i="148"/>
  <c r="BY80" i="149" s="1"/>
  <c r="CA80" i="148"/>
  <c r="BX80" i="149" s="1"/>
  <c r="F80" i="148"/>
  <c r="R80" i="148"/>
  <c r="BL80" i="148"/>
  <c r="BI80" i="149" s="1"/>
  <c r="AW80" i="148"/>
  <c r="AT80" i="149" s="1"/>
  <c r="G80" i="148"/>
  <c r="AV80" i="148"/>
  <c r="AS80" i="149" s="1"/>
  <c r="CJ80" i="148"/>
  <c r="CG80" i="149" s="1"/>
  <c r="CM80" i="148"/>
  <c r="CJ80" i="149" s="1"/>
  <c r="BC80" i="148"/>
  <c r="AZ80" i="149" s="1"/>
  <c r="CI80" i="148"/>
  <c r="CF80" i="149" s="1"/>
  <c r="I80" i="148"/>
  <c r="BF80" i="148"/>
  <c r="BC80" i="149" s="1"/>
  <c r="CK80" i="148"/>
  <c r="CH80" i="149" s="1"/>
  <c r="CO80" i="148"/>
  <c r="CL80" i="149" s="1"/>
  <c r="AZ80" i="148"/>
  <c r="AW80" i="149" s="1"/>
  <c r="BG80" i="148"/>
  <c r="BD80" i="149" s="1"/>
  <c r="CU80" i="148"/>
  <c r="CR80" i="149" s="1"/>
  <c r="CR80" i="148"/>
  <c r="CO80" i="149" s="1"/>
  <c r="CL80" i="148"/>
  <c r="CI80" i="149" s="1"/>
  <c r="BB80" i="148"/>
  <c r="AY80" i="149" s="1"/>
  <c r="CQ80" i="148"/>
  <c r="CN80" i="149" s="1"/>
  <c r="CF80" i="148"/>
  <c r="CC80" i="149" s="1"/>
  <c r="BY80" i="148"/>
  <c r="BV80" i="149" s="1"/>
  <c r="DA80" i="148"/>
  <c r="CX80" i="149" s="1"/>
  <c r="BA80" i="148"/>
  <c r="AX80" i="149" s="1"/>
  <c r="BZ80" i="148"/>
  <c r="BW80" i="149" s="1"/>
  <c r="CP80" i="148"/>
  <c r="CM80" i="149" s="1"/>
  <c r="BE80" i="148"/>
  <c r="BB80" i="149" s="1"/>
  <c r="BU80" i="148"/>
  <c r="BR80" i="149" s="1"/>
  <c r="BO80" i="148"/>
  <c r="CH80" i="148"/>
  <c r="CE80" i="149" s="1"/>
  <c r="BT80" i="148"/>
  <c r="BQ80" i="149" s="1"/>
  <c r="BQ80" i="148"/>
  <c r="BN80" i="149" s="1"/>
  <c r="BW80" i="148"/>
  <c r="BT80" i="149" s="1"/>
  <c r="V80" i="148"/>
  <c r="CV80" i="148"/>
  <c r="CS80" i="149" s="1"/>
  <c r="BI80" i="148"/>
  <c r="BF80" i="149" s="1"/>
  <c r="CS80" i="148"/>
  <c r="CP80" i="149" s="1"/>
  <c r="AY80" i="148"/>
  <c r="AV80" i="149" s="1"/>
  <c r="BD80" i="148"/>
  <c r="BA80" i="149" s="1"/>
  <c r="BS80" i="148"/>
  <c r="BP80" i="149" s="1"/>
  <c r="E80" i="148"/>
  <c r="CW80" i="148"/>
  <c r="CT80" i="149" s="1"/>
  <c r="AX80" i="148"/>
  <c r="AU80" i="149" s="1"/>
  <c r="D80" i="148"/>
  <c r="DB54" i="149"/>
  <c r="CZ54" i="149"/>
  <c r="DA54" i="149"/>
  <c r="BL54" i="149"/>
  <c r="CZ70" i="149"/>
  <c r="DB70" i="149"/>
  <c r="DA70" i="149"/>
  <c r="BL70" i="149"/>
  <c r="CZ20" i="149"/>
  <c r="DB20" i="149"/>
  <c r="DA20" i="149"/>
  <c r="BL20" i="149"/>
  <c r="DB19" i="149"/>
  <c r="CZ19" i="149"/>
  <c r="CY19" i="149"/>
  <c r="DA19" i="149"/>
  <c r="BL19" i="149"/>
  <c r="CY143" i="149"/>
  <c r="DA143" i="149"/>
  <c r="CZ143" i="149"/>
  <c r="AY143" i="149"/>
  <c r="DB143" i="149"/>
  <c r="BL143" i="149"/>
  <c r="Q85" i="148"/>
  <c r="BB85" i="148"/>
  <c r="AY85" i="149" s="1"/>
  <c r="BV85" i="148"/>
  <c r="BS85" i="149" s="1"/>
  <c r="CB85" i="148"/>
  <c r="BY85" i="149" s="1"/>
  <c r="AW85" i="148"/>
  <c r="AT85" i="149" s="1"/>
  <c r="CS85" i="148"/>
  <c r="CP85" i="149" s="1"/>
  <c r="BA85" i="148"/>
  <c r="AX85" i="149" s="1"/>
  <c r="BX85" i="148"/>
  <c r="BU85" i="149" s="1"/>
  <c r="CK85" i="148"/>
  <c r="CH85" i="149" s="1"/>
  <c r="CV85" i="148"/>
  <c r="CS85" i="149" s="1"/>
  <c r="CN85" i="148"/>
  <c r="CK85" i="149" s="1"/>
  <c r="BN85" i="148"/>
  <c r="BK85" i="149" s="1"/>
  <c r="BL85" i="148"/>
  <c r="BI85" i="149" s="1"/>
  <c r="BH85" i="148"/>
  <c r="BE85" i="149" s="1"/>
  <c r="CF85" i="148"/>
  <c r="CC85" i="149" s="1"/>
  <c r="BR85" i="148"/>
  <c r="BO85" i="149" s="1"/>
  <c r="R85" i="148"/>
  <c r="BK85" i="148"/>
  <c r="BH85" i="149" s="1"/>
  <c r="CU85" i="148"/>
  <c r="CR85" i="149" s="1"/>
  <c r="I85" i="148"/>
  <c r="V85" i="148"/>
  <c r="AZ85" i="148"/>
  <c r="AW85" i="149" s="1"/>
  <c r="H85" i="148"/>
  <c r="CH85" i="148"/>
  <c r="CE85" i="149" s="1"/>
  <c r="CG85" i="148"/>
  <c r="CD85" i="149" s="1"/>
  <c r="CX85" i="148"/>
  <c r="CU85" i="149" s="1"/>
  <c r="BP85" i="148"/>
  <c r="BM85" i="149" s="1"/>
  <c r="CO85" i="148"/>
  <c r="CL85" i="149" s="1"/>
  <c r="E85" i="148"/>
  <c r="BG85" i="148"/>
  <c r="BD85" i="149" s="1"/>
  <c r="BC85" i="148"/>
  <c r="AZ85" i="149" s="1"/>
  <c r="AY85" i="148"/>
  <c r="AV85" i="149" s="1"/>
  <c r="CY85" i="148"/>
  <c r="CV85" i="149" s="1"/>
  <c r="BZ85" i="148"/>
  <c r="BW85" i="149" s="1"/>
  <c r="CE85" i="148"/>
  <c r="CB85" i="149" s="1"/>
  <c r="CA85" i="148"/>
  <c r="BX85" i="149" s="1"/>
  <c r="CD85" i="148"/>
  <c r="CA85" i="149" s="1"/>
  <c r="CT85" i="148"/>
  <c r="CQ85" i="149" s="1"/>
  <c r="CZ85" i="148"/>
  <c r="CW85" i="149" s="1"/>
  <c r="BW85" i="148"/>
  <c r="BT85" i="149" s="1"/>
  <c r="BF85" i="148"/>
  <c r="BC85" i="149" s="1"/>
  <c r="BU85" i="148"/>
  <c r="BR85" i="149" s="1"/>
  <c r="CJ85" i="148"/>
  <c r="CG85" i="149" s="1"/>
  <c r="F85" i="148"/>
  <c r="CR85" i="148"/>
  <c r="CO85" i="149" s="1"/>
  <c r="CC85" i="148"/>
  <c r="BZ85" i="149" s="1"/>
  <c r="CP85" i="148"/>
  <c r="CM85" i="149" s="1"/>
  <c r="BJ85" i="148"/>
  <c r="BG85" i="149" s="1"/>
  <c r="BQ85" i="148"/>
  <c r="BN85" i="149" s="1"/>
  <c r="CW85" i="148"/>
  <c r="CT85" i="149" s="1"/>
  <c r="G85" i="148"/>
  <c r="CM85" i="148"/>
  <c r="CJ85" i="149" s="1"/>
  <c r="BO85" i="148"/>
  <c r="BS85" i="148"/>
  <c r="BP85" i="149" s="1"/>
  <c r="BT85" i="148"/>
  <c r="BQ85" i="149" s="1"/>
  <c r="AV85" i="148"/>
  <c r="AS85" i="149" s="1"/>
  <c r="DA85" i="148"/>
  <c r="CX85" i="149" s="1"/>
  <c r="BI85" i="148"/>
  <c r="BF85" i="149" s="1"/>
  <c r="CQ85" i="148"/>
  <c r="CN85" i="149" s="1"/>
  <c r="BE85" i="148"/>
  <c r="BB85" i="149" s="1"/>
  <c r="CL85" i="148"/>
  <c r="CI85" i="149" s="1"/>
  <c r="CI85" i="148"/>
  <c r="CF85" i="149" s="1"/>
  <c r="BM85" i="148"/>
  <c r="BJ85" i="149" s="1"/>
  <c r="BD85" i="148"/>
  <c r="BA85" i="149" s="1"/>
  <c r="AX85" i="148"/>
  <c r="AU85" i="149" s="1"/>
  <c r="BY85" i="148"/>
  <c r="BV85" i="149" s="1"/>
  <c r="D85" i="148"/>
  <c r="DA84" i="149"/>
  <c r="DB84" i="149"/>
  <c r="CZ84" i="149"/>
  <c r="CY84" i="149"/>
  <c r="BL84" i="149"/>
  <c r="Q124" i="148"/>
  <c r="AX124" i="148"/>
  <c r="AU124" i="149" s="1"/>
  <c r="BG124" i="148"/>
  <c r="BD124" i="149" s="1"/>
  <c r="CB124" i="148"/>
  <c r="BY124" i="149" s="1"/>
  <c r="E124" i="148"/>
  <c r="G124" i="148"/>
  <c r="BV124" i="148"/>
  <c r="BS124" i="149" s="1"/>
  <c r="DA124" i="148"/>
  <c r="CX124" i="149" s="1"/>
  <c r="CW124" i="148"/>
  <c r="CT124" i="149" s="1"/>
  <c r="CG124" i="148"/>
  <c r="CD124" i="149" s="1"/>
  <c r="BB124" i="148"/>
  <c r="AY124" i="149" s="1"/>
  <c r="BA124" i="148"/>
  <c r="AX124" i="149" s="1"/>
  <c r="BK124" i="148"/>
  <c r="BH124" i="149" s="1"/>
  <c r="BZ124" i="148"/>
  <c r="BW124" i="149" s="1"/>
  <c r="BD124" i="148"/>
  <c r="BA124" i="149" s="1"/>
  <c r="BU124" i="148"/>
  <c r="BR124" i="149" s="1"/>
  <c r="CQ124" i="148"/>
  <c r="CN124" i="149" s="1"/>
  <c r="BP124" i="148"/>
  <c r="BM124" i="149" s="1"/>
  <c r="CP124" i="148"/>
  <c r="CM124" i="149" s="1"/>
  <c r="BH124" i="148"/>
  <c r="BW124" i="148"/>
  <c r="BT124" i="149" s="1"/>
  <c r="CS124" i="148"/>
  <c r="CP124" i="149" s="1"/>
  <c r="BR124" i="148"/>
  <c r="BO124" i="149" s="1"/>
  <c r="R124" i="148"/>
  <c r="BX124" i="148"/>
  <c r="BU124" i="149" s="1"/>
  <c r="CH124" i="148"/>
  <c r="CE124" i="149" s="1"/>
  <c r="BM124" i="148"/>
  <c r="BJ124" i="149" s="1"/>
  <c r="AZ124" i="148"/>
  <c r="AW124" i="149" s="1"/>
  <c r="BY124" i="148"/>
  <c r="BV124" i="149" s="1"/>
  <c r="CV124" i="148"/>
  <c r="CS124" i="149" s="1"/>
  <c r="CK124" i="148"/>
  <c r="CH124" i="149" s="1"/>
  <c r="BJ124" i="148"/>
  <c r="BG124" i="149" s="1"/>
  <c r="CJ124" i="148"/>
  <c r="CG124" i="149" s="1"/>
  <c r="BE124" i="148"/>
  <c r="BB124" i="149" s="1"/>
  <c r="CM124" i="148"/>
  <c r="CJ124" i="149" s="1"/>
  <c r="I124" i="148"/>
  <c r="H124" i="148"/>
  <c r="CN124" i="148"/>
  <c r="CK124" i="149" s="1"/>
  <c r="BI124" i="148"/>
  <c r="BF124" i="149" s="1"/>
  <c r="F124" i="148"/>
  <c r="CY124" i="148"/>
  <c r="CV124" i="149" s="1"/>
  <c r="BS124" i="148"/>
  <c r="BP124" i="149" s="1"/>
  <c r="BO124" i="148"/>
  <c r="CO124" i="148"/>
  <c r="CL124" i="149" s="1"/>
  <c r="CC124" i="148"/>
  <c r="BZ124" i="149" s="1"/>
  <c r="BF124" i="148"/>
  <c r="BC124" i="149" s="1"/>
  <c r="CR124" i="148"/>
  <c r="CO124" i="149" s="1"/>
  <c r="BQ124" i="148"/>
  <c r="BN124" i="149" s="1"/>
  <c r="BL124" i="148"/>
  <c r="BI124" i="149" s="1"/>
  <c r="BT124" i="148"/>
  <c r="BQ124" i="149" s="1"/>
  <c r="CU124" i="148"/>
  <c r="CR124" i="149" s="1"/>
  <c r="AW124" i="148"/>
  <c r="AT124" i="149" s="1"/>
  <c r="CF124" i="148"/>
  <c r="CC124" i="149" s="1"/>
  <c r="CX124" i="148"/>
  <c r="CU124" i="149" s="1"/>
  <c r="BC124" i="148"/>
  <c r="AZ124" i="149" s="1"/>
  <c r="CL124" i="148"/>
  <c r="CI124" i="149" s="1"/>
  <c r="AV124" i="148"/>
  <c r="AS124" i="149" s="1"/>
  <c r="AY124" i="148"/>
  <c r="AV124" i="149" s="1"/>
  <c r="CD124" i="148"/>
  <c r="CA124" i="149" s="1"/>
  <c r="CT124" i="148"/>
  <c r="CQ124" i="149" s="1"/>
  <c r="CA124" i="148"/>
  <c r="BX124" i="149" s="1"/>
  <c r="V124" i="148"/>
  <c r="BN124" i="148"/>
  <c r="BK124" i="149" s="1"/>
  <c r="CE124" i="148"/>
  <c r="CB124" i="149" s="1"/>
  <c r="CI124" i="148"/>
  <c r="CF124" i="149" s="1"/>
  <c r="CZ124" i="148"/>
  <c r="CW124" i="149" s="1"/>
  <c r="D124" i="148"/>
  <c r="CY139" i="149"/>
  <c r="DB139" i="149"/>
  <c r="CZ139" i="149"/>
  <c r="DA139" i="149"/>
  <c r="BL139" i="149"/>
  <c r="Q137" i="148"/>
  <c r="I137" i="148"/>
  <c r="H137" i="148"/>
  <c r="V137" i="148"/>
  <c r="E137" i="148"/>
  <c r="F137" i="148"/>
  <c r="R137" i="148"/>
  <c r="BM137" i="148"/>
  <c r="BJ137" i="149" s="1"/>
  <c r="BG137" i="148"/>
  <c r="BD137" i="149" s="1"/>
  <c r="G137" i="148"/>
  <c r="CJ137" i="148"/>
  <c r="CG137" i="149" s="1"/>
  <c r="AZ137" i="148"/>
  <c r="AW137" i="149" s="1"/>
  <c r="D137" i="148"/>
  <c r="BZ137" i="148"/>
  <c r="BW137" i="149" s="1"/>
  <c r="CM137" i="148"/>
  <c r="CJ137" i="149" s="1"/>
  <c r="BB137" i="148"/>
  <c r="AY137" i="149" s="1"/>
  <c r="CL137" i="148"/>
  <c r="CI137" i="149" s="1"/>
  <c r="CB137" i="148"/>
  <c r="BY137" i="149" s="1"/>
  <c r="CD137" i="148"/>
  <c r="CA137" i="149" s="1"/>
  <c r="CH137" i="148"/>
  <c r="CE137" i="149" s="1"/>
  <c r="CV137" i="148"/>
  <c r="CS137" i="149" s="1"/>
  <c r="AW137" i="148"/>
  <c r="AT137" i="149" s="1"/>
  <c r="BT137" i="148"/>
  <c r="BQ137" i="149" s="1"/>
  <c r="CO137" i="148"/>
  <c r="CL137" i="149" s="1"/>
  <c r="BV137" i="148"/>
  <c r="BS137" i="149" s="1"/>
  <c r="CE137" i="148"/>
  <c r="CB137" i="149" s="1"/>
  <c r="BJ137" i="148"/>
  <c r="BG137" i="149" s="1"/>
  <c r="CG137" i="148"/>
  <c r="CD137" i="149" s="1"/>
  <c r="BW137" i="148"/>
  <c r="BT137" i="149" s="1"/>
  <c r="CW137" i="148"/>
  <c r="CT137" i="149" s="1"/>
  <c r="BL137" i="148"/>
  <c r="BI137" i="149" s="1"/>
  <c r="CC137" i="148"/>
  <c r="BZ137" i="149" s="1"/>
  <c r="BF137" i="148"/>
  <c r="BC137" i="149" s="1"/>
  <c r="BH137" i="148"/>
  <c r="BE137" i="148"/>
  <c r="BB137" i="149" s="1"/>
  <c r="AV137" i="148"/>
  <c r="AS137" i="149" s="1"/>
  <c r="BX137" i="148"/>
  <c r="BU137" i="149" s="1"/>
  <c r="CU137" i="148"/>
  <c r="CR137" i="149" s="1"/>
  <c r="BC137" i="148"/>
  <c r="AZ137" i="149" s="1"/>
  <c r="CZ137" i="148"/>
  <c r="CW137" i="149" s="1"/>
  <c r="BQ137" i="148"/>
  <c r="BN137" i="149" s="1"/>
  <c r="CN137" i="148"/>
  <c r="CK137" i="149" s="1"/>
  <c r="CS137" i="148"/>
  <c r="CP137" i="149" s="1"/>
  <c r="BK137" i="148"/>
  <c r="BH137" i="149" s="1"/>
  <c r="BN137" i="148"/>
  <c r="BK137" i="149" s="1"/>
  <c r="CP137" i="148"/>
  <c r="CM137" i="149" s="1"/>
  <c r="CT137" i="148"/>
  <c r="CQ137" i="149" s="1"/>
  <c r="AX137" i="148"/>
  <c r="AU137" i="149" s="1"/>
  <c r="DA137" i="148"/>
  <c r="CX137" i="149" s="1"/>
  <c r="BS137" i="148"/>
  <c r="BP137" i="149" s="1"/>
  <c r="BR137" i="148"/>
  <c r="BO137" i="149" s="1"/>
  <c r="BA137" i="148"/>
  <c r="AX137" i="149" s="1"/>
  <c r="CF137" i="148"/>
  <c r="CC137" i="149" s="1"/>
  <c r="CI137" i="148"/>
  <c r="CF137" i="149" s="1"/>
  <c r="CK137" i="148"/>
  <c r="CH137" i="149" s="1"/>
  <c r="BI137" i="148"/>
  <c r="BF137" i="149" s="1"/>
  <c r="CQ137" i="148"/>
  <c r="CN137" i="149" s="1"/>
  <c r="BY137" i="148"/>
  <c r="BV137" i="149" s="1"/>
  <c r="CA137" i="148"/>
  <c r="BX137" i="149" s="1"/>
  <c r="CY137" i="148"/>
  <c r="CV137" i="149" s="1"/>
  <c r="BP137" i="148"/>
  <c r="BM137" i="149" s="1"/>
  <c r="BD137" i="148"/>
  <c r="BA137" i="149" s="1"/>
  <c r="BO137" i="148"/>
  <c r="AY137" i="148"/>
  <c r="AV137" i="149" s="1"/>
  <c r="BU137" i="148"/>
  <c r="BR137" i="149" s="1"/>
  <c r="CR137" i="148"/>
  <c r="CO137" i="149" s="1"/>
  <c r="CX137" i="148"/>
  <c r="CU137" i="149" s="1"/>
  <c r="Q153" i="148"/>
  <c r="U153" i="148"/>
  <c r="AQ153" i="148"/>
  <c r="AN153" i="149" s="1"/>
  <c r="I153" i="148"/>
  <c r="AE153" i="148"/>
  <c r="AB153" i="149" s="1"/>
  <c r="AP153" i="148"/>
  <c r="AM153" i="149" s="1"/>
  <c r="AN153" i="148"/>
  <c r="AK153" i="149" s="1"/>
  <c r="AM153" i="148"/>
  <c r="AJ153" i="149" s="1"/>
  <c r="CI153" i="148"/>
  <c r="CF153" i="149" s="1"/>
  <c r="BY153" i="148"/>
  <c r="BV153" i="149" s="1"/>
  <c r="N153" i="148"/>
  <c r="F153" i="148"/>
  <c r="AT153" i="148"/>
  <c r="AQ153" i="149" s="1"/>
  <c r="Z153" i="148"/>
  <c r="W153" i="149" s="1"/>
  <c r="X153" i="148"/>
  <c r="U153" i="149" s="1"/>
  <c r="AF153" i="148"/>
  <c r="AC153" i="149" s="1"/>
  <c r="AH153" i="148"/>
  <c r="AE153" i="149" s="1"/>
  <c r="W153" i="148"/>
  <c r="CQ153" i="148"/>
  <c r="CN153" i="149" s="1"/>
  <c r="DA153" i="148"/>
  <c r="CX153" i="149" s="1"/>
  <c r="AA153" i="148"/>
  <c r="X153" i="149" s="1"/>
  <c r="CD153" i="148"/>
  <c r="CA153" i="149" s="1"/>
  <c r="CA153" i="148"/>
  <c r="BX153" i="149" s="1"/>
  <c r="AK153" i="148"/>
  <c r="AH153" i="149" s="1"/>
  <c r="CZ153" i="148"/>
  <c r="CW153" i="149" s="1"/>
  <c r="E153" i="148"/>
  <c r="CM153" i="148"/>
  <c r="CJ153" i="149" s="1"/>
  <c r="AL153" i="148"/>
  <c r="AI153" i="149" s="1"/>
  <c r="K153" i="148"/>
  <c r="M153" i="148"/>
  <c r="CF153" i="148"/>
  <c r="CC153" i="149" s="1"/>
  <c r="Y153" i="148"/>
  <c r="V153" i="149" s="1"/>
  <c r="AD153" i="148"/>
  <c r="AA153" i="149" s="1"/>
  <c r="CE153" i="148"/>
  <c r="CB153" i="149" s="1"/>
  <c r="CV153" i="148"/>
  <c r="CS153" i="149" s="1"/>
  <c r="V153" i="148"/>
  <c r="H153" i="148"/>
  <c r="AR153" i="148"/>
  <c r="AO153" i="149" s="1"/>
  <c r="CP153" i="148"/>
  <c r="CM153" i="149" s="1"/>
  <c r="P153" i="148"/>
  <c r="AS153" i="148"/>
  <c r="AP153" i="149" s="1"/>
  <c r="CW153" i="148"/>
  <c r="CT153" i="149" s="1"/>
  <c r="CJ153" i="148"/>
  <c r="CG153" i="149" s="1"/>
  <c r="AO153" i="148"/>
  <c r="AL153" i="149" s="1"/>
  <c r="AU153" i="148"/>
  <c r="AR153" i="149" s="1"/>
  <c r="CC153" i="148"/>
  <c r="BZ153" i="149" s="1"/>
  <c r="CU153" i="148"/>
  <c r="CR153" i="149" s="1"/>
  <c r="AG153" i="148"/>
  <c r="AD153" i="149" s="1"/>
  <c r="BZ153" i="148"/>
  <c r="BW153" i="149" s="1"/>
  <c r="BX153" i="148"/>
  <c r="BU153" i="149" s="1"/>
  <c r="J153" i="148"/>
  <c r="AJ153" i="148"/>
  <c r="AG153" i="149" s="1"/>
  <c r="CY153" i="148"/>
  <c r="CV153" i="149" s="1"/>
  <c r="R153" i="148"/>
  <c r="AC153" i="148"/>
  <c r="Z153" i="149" s="1"/>
  <c r="G153" i="148"/>
  <c r="AB153" i="148"/>
  <c r="Y153" i="149" s="1"/>
  <c r="CB153" i="148"/>
  <c r="BY153" i="149" s="1"/>
  <c r="CG153" i="148"/>
  <c r="CD153" i="149" s="1"/>
  <c r="CK153" i="148"/>
  <c r="CH153" i="149" s="1"/>
  <c r="L153" i="148"/>
  <c r="CR153" i="148"/>
  <c r="CO153" i="149" s="1"/>
  <c r="CS153" i="148"/>
  <c r="CP153" i="149" s="1"/>
  <c r="CH153" i="148"/>
  <c r="CE153" i="149" s="1"/>
  <c r="O153" i="148"/>
  <c r="CL153" i="148"/>
  <c r="CI153" i="149" s="1"/>
  <c r="CO153" i="148"/>
  <c r="CL153" i="149" s="1"/>
  <c r="CN153" i="148"/>
  <c r="CK153" i="149" s="1"/>
  <c r="CT153" i="148"/>
  <c r="CQ153" i="149" s="1"/>
  <c r="AI153" i="148"/>
  <c r="AF153" i="149" s="1"/>
  <c r="CX153" i="148"/>
  <c r="CU153" i="149" s="1"/>
  <c r="D153" i="148"/>
  <c r="BN153" i="148"/>
  <c r="BK153" i="149" s="1"/>
  <c r="BT153" i="148"/>
  <c r="BQ153" i="149" s="1"/>
  <c r="BH153" i="148"/>
  <c r="BB153" i="148"/>
  <c r="AY153" i="149" s="1"/>
  <c r="BC153" i="148"/>
  <c r="AZ153" i="149" s="1"/>
  <c r="BA153" i="148"/>
  <c r="AX153" i="149" s="1"/>
  <c r="AW153" i="148"/>
  <c r="AT153" i="149" s="1"/>
  <c r="BV153" i="148"/>
  <c r="BS153" i="149" s="1"/>
  <c r="BF153" i="148"/>
  <c r="BC153" i="149" s="1"/>
  <c r="BM153" i="148"/>
  <c r="BJ153" i="149" s="1"/>
  <c r="AZ153" i="148"/>
  <c r="AW153" i="149" s="1"/>
  <c r="BP153" i="148"/>
  <c r="BM153" i="149" s="1"/>
  <c r="AV153" i="148"/>
  <c r="AS153" i="149" s="1"/>
  <c r="BK153" i="148"/>
  <c r="BH153" i="149" s="1"/>
  <c r="BJ153" i="148"/>
  <c r="BG153" i="149" s="1"/>
  <c r="BL153" i="148"/>
  <c r="BI153" i="149" s="1"/>
  <c r="BI153" i="148"/>
  <c r="BF153" i="149" s="1"/>
  <c r="BR153" i="148"/>
  <c r="BO153" i="149" s="1"/>
  <c r="BD153" i="148"/>
  <c r="BA153" i="149" s="1"/>
  <c r="BG153" i="148"/>
  <c r="BD153" i="149" s="1"/>
  <c r="BW153" i="148"/>
  <c r="BT153" i="149" s="1"/>
  <c r="BQ153" i="148"/>
  <c r="BN153" i="149" s="1"/>
  <c r="BO153" i="148"/>
  <c r="BS153" i="148"/>
  <c r="BP153" i="149" s="1"/>
  <c r="BU153" i="148"/>
  <c r="BR153" i="149" s="1"/>
  <c r="AX153" i="148"/>
  <c r="AU153" i="149" s="1"/>
  <c r="BE153" i="148"/>
  <c r="BB153" i="149" s="1"/>
  <c r="AY153" i="148"/>
  <c r="AV153" i="149" s="1"/>
  <c r="CY107" i="149"/>
  <c r="DA107" i="149"/>
  <c r="DB107" i="149"/>
  <c r="CZ107" i="149"/>
  <c r="CR107" i="149"/>
  <c r="BL107" i="149"/>
  <c r="Q39" i="148"/>
  <c r="BI39" i="148"/>
  <c r="BN39" i="148"/>
  <c r="V39" i="148"/>
  <c r="CJ39" i="148"/>
  <c r="CO39" i="148"/>
  <c r="BF39" i="148"/>
  <c r="BU39" i="148"/>
  <c r="BH39" i="148"/>
  <c r="BK39" i="148"/>
  <c r="CY39" i="148"/>
  <c r="CC39" i="148"/>
  <c r="CH39" i="148"/>
  <c r="AW39" i="148"/>
  <c r="BB39" i="148"/>
  <c r="CD39" i="148"/>
  <c r="CK39" i="148"/>
  <c r="CR39" i="148"/>
  <c r="BW39" i="148"/>
  <c r="BM39" i="148"/>
  <c r="BO39" i="148"/>
  <c r="H39" i="148"/>
  <c r="CI39" i="148"/>
  <c r="BX39" i="148"/>
  <c r="BR39" i="148"/>
  <c r="BJ39" i="148"/>
  <c r="R39" i="148"/>
  <c r="CN39" i="148"/>
  <c r="BG39" i="148"/>
  <c r="BV39" i="148"/>
  <c r="CB39" i="148"/>
  <c r="AZ39" i="148"/>
  <c r="DA39" i="148"/>
  <c r="BZ39" i="148"/>
  <c r="BQ39" i="148"/>
  <c r="BD39" i="148"/>
  <c r="BP39" i="148"/>
  <c r="BT39" i="148"/>
  <c r="CU39" i="148"/>
  <c r="BC39" i="148"/>
  <c r="CL39" i="148"/>
  <c r="CS39" i="148"/>
  <c r="BE39" i="148"/>
  <c r="CQ39" i="148"/>
  <c r="CZ39" i="148"/>
  <c r="BA39" i="148"/>
  <c r="CE39" i="148"/>
  <c r="CF39" i="148"/>
  <c r="AV39" i="148"/>
  <c r="CA39" i="148"/>
  <c r="CM39" i="148"/>
  <c r="CV39" i="148"/>
  <c r="BS39" i="148"/>
  <c r="F39" i="148"/>
  <c r="E39" i="148"/>
  <c r="CG39" i="148"/>
  <c r="CT39" i="148"/>
  <c r="BL39" i="148"/>
  <c r="AY39" i="148"/>
  <c r="G39" i="148"/>
  <c r="BY39" i="148"/>
  <c r="AX39" i="148"/>
  <c r="CX39" i="148"/>
  <c r="I39" i="148"/>
  <c r="CP39" i="148"/>
  <c r="CW39" i="148"/>
  <c r="D39" i="148"/>
  <c r="Q110" i="148"/>
  <c r="I110" i="148"/>
  <c r="H110" i="148"/>
  <c r="V110" i="148"/>
  <c r="E110" i="148"/>
  <c r="R110" i="148"/>
  <c r="F110" i="148"/>
  <c r="CT110" i="148"/>
  <c r="CQ110" i="149" s="1"/>
  <c r="BH110" i="148"/>
  <c r="BE110" i="149" s="1"/>
  <c r="CJ110" i="148"/>
  <c r="CG110" i="149" s="1"/>
  <c r="BJ110" i="148"/>
  <c r="BG110" i="149" s="1"/>
  <c r="CP110" i="148"/>
  <c r="CM110" i="149" s="1"/>
  <c r="BI110" i="148"/>
  <c r="BF110" i="149" s="1"/>
  <c r="CS110" i="148"/>
  <c r="CP110" i="149" s="1"/>
  <c r="BY110" i="148"/>
  <c r="BV110" i="149" s="1"/>
  <c r="BE110" i="148"/>
  <c r="BB110" i="149" s="1"/>
  <c r="AZ110" i="148"/>
  <c r="AW110" i="149" s="1"/>
  <c r="BG110" i="148"/>
  <c r="BD110" i="149" s="1"/>
  <c r="BT110" i="148"/>
  <c r="BQ110" i="149" s="1"/>
  <c r="BM110" i="148"/>
  <c r="BJ110" i="149" s="1"/>
  <c r="CC110" i="148"/>
  <c r="BZ110" i="149" s="1"/>
  <c r="BR110" i="148"/>
  <c r="BO110" i="149" s="1"/>
  <c r="BW110" i="148"/>
  <c r="BT110" i="149" s="1"/>
  <c r="CH110" i="148"/>
  <c r="CE110" i="149" s="1"/>
  <c r="CQ110" i="148"/>
  <c r="CN110" i="149" s="1"/>
  <c r="BN110" i="148"/>
  <c r="BK110" i="149" s="1"/>
  <c r="BC110" i="148"/>
  <c r="AZ110" i="149" s="1"/>
  <c r="CX110" i="148"/>
  <c r="CU110" i="149" s="1"/>
  <c r="AV110" i="148"/>
  <c r="AS110" i="149" s="1"/>
  <c r="BL110" i="148"/>
  <c r="BI110" i="149" s="1"/>
  <c r="CG110" i="148"/>
  <c r="CD110" i="149" s="1"/>
  <c r="BK110" i="148"/>
  <c r="BH110" i="149" s="1"/>
  <c r="BD110" i="148"/>
  <c r="BA110" i="149" s="1"/>
  <c r="CU110" i="148"/>
  <c r="CR110" i="149" s="1"/>
  <c r="CY110" i="148"/>
  <c r="CV110" i="149" s="1"/>
  <c r="CK110" i="148"/>
  <c r="CH110" i="149" s="1"/>
  <c r="CO110" i="148"/>
  <c r="CL110" i="149" s="1"/>
  <c r="CV110" i="148"/>
  <c r="CS110" i="149" s="1"/>
  <c r="BZ110" i="148"/>
  <c r="BW110" i="149" s="1"/>
  <c r="CD110" i="148"/>
  <c r="CA110" i="149" s="1"/>
  <c r="CR110" i="148"/>
  <c r="CO110" i="149" s="1"/>
  <c r="DA110" i="148"/>
  <c r="CX110" i="149" s="1"/>
  <c r="BS110" i="148"/>
  <c r="BP110" i="149" s="1"/>
  <c r="G110" i="148"/>
  <c r="CA110" i="148"/>
  <c r="BX110" i="149" s="1"/>
  <c r="BO110" i="148"/>
  <c r="D110" i="148"/>
  <c r="CI110" i="148"/>
  <c r="CF110" i="149" s="1"/>
  <c r="BQ110" i="148"/>
  <c r="BN110" i="149" s="1"/>
  <c r="CB110" i="148"/>
  <c r="BY110" i="149" s="1"/>
  <c r="CF110" i="148"/>
  <c r="CC110" i="149" s="1"/>
  <c r="CE110" i="148"/>
  <c r="CB110" i="149" s="1"/>
  <c r="BA110" i="148"/>
  <c r="AX110" i="149" s="1"/>
  <c r="BB110" i="148"/>
  <c r="AY110" i="149" s="1"/>
  <c r="CL110" i="148"/>
  <c r="CI110" i="149" s="1"/>
  <c r="BX110" i="148"/>
  <c r="BU110" i="149" s="1"/>
  <c r="CN110" i="148"/>
  <c r="CK110" i="149" s="1"/>
  <c r="BV110" i="148"/>
  <c r="BS110" i="149" s="1"/>
  <c r="BP110" i="148"/>
  <c r="BM110" i="149" s="1"/>
  <c r="AX110" i="148"/>
  <c r="AU110" i="149" s="1"/>
  <c r="CM110" i="148"/>
  <c r="CJ110" i="149" s="1"/>
  <c r="BU110" i="148"/>
  <c r="BR110" i="149" s="1"/>
  <c r="AY110" i="148"/>
  <c r="AV110" i="149" s="1"/>
  <c r="BF110" i="148"/>
  <c r="BC110" i="149" s="1"/>
  <c r="CZ110" i="148"/>
  <c r="CW110" i="149" s="1"/>
  <c r="AW110" i="148"/>
  <c r="AT110" i="149" s="1"/>
  <c r="CW110" i="148"/>
  <c r="CT110" i="149" s="1"/>
  <c r="CZ97" i="149"/>
  <c r="DA97" i="149"/>
  <c r="DB97" i="149"/>
  <c r="CY97" i="149"/>
  <c r="BE97" i="149"/>
  <c r="BL97" i="149"/>
  <c r="CZ64" i="149"/>
  <c r="DB64" i="149"/>
  <c r="DA64" i="149"/>
  <c r="BE64" i="149"/>
  <c r="BL64" i="149"/>
  <c r="Q43" i="148"/>
  <c r="BN43" i="148"/>
  <c r="BK43" i="149" s="1"/>
  <c r="E43" i="148"/>
  <c r="CE43" i="148"/>
  <c r="CB43" i="149" s="1"/>
  <c r="CS43" i="148"/>
  <c r="CP43" i="149" s="1"/>
  <c r="CR43" i="148"/>
  <c r="CO43" i="149" s="1"/>
  <c r="BT43" i="148"/>
  <c r="BQ43" i="149" s="1"/>
  <c r="BH43" i="148"/>
  <c r="BE43" i="149" s="1"/>
  <c r="R43" i="148"/>
  <c r="CY43" i="148"/>
  <c r="CV43" i="149" s="1"/>
  <c r="G43" i="148"/>
  <c r="BQ43" i="148"/>
  <c r="BN43" i="149" s="1"/>
  <c r="BU43" i="148"/>
  <c r="BR43" i="149" s="1"/>
  <c r="BL43" i="148"/>
  <c r="BI43" i="149" s="1"/>
  <c r="H43" i="148"/>
  <c r="CD43" i="148"/>
  <c r="CA43" i="149" s="1"/>
  <c r="CK43" i="148"/>
  <c r="CH43" i="149" s="1"/>
  <c r="BE43" i="148"/>
  <c r="BB43" i="149" s="1"/>
  <c r="BR43" i="148"/>
  <c r="BO43" i="149" s="1"/>
  <c r="BK43" i="148"/>
  <c r="BH43" i="149" s="1"/>
  <c r="I43" i="148"/>
  <c r="DA43" i="148"/>
  <c r="CX43" i="149" s="1"/>
  <c r="CA43" i="148"/>
  <c r="BX43" i="149" s="1"/>
  <c r="AX43" i="148"/>
  <c r="AU43" i="149" s="1"/>
  <c r="BF43" i="148"/>
  <c r="BC43" i="149" s="1"/>
  <c r="BO43" i="148"/>
  <c r="V43" i="148"/>
  <c r="CJ43" i="148"/>
  <c r="CG43" i="149" s="1"/>
  <c r="CC43" i="148"/>
  <c r="BZ43" i="149" s="1"/>
  <c r="BD43" i="148"/>
  <c r="BA43" i="149" s="1"/>
  <c r="AY43" i="148"/>
  <c r="AV43" i="149" s="1"/>
  <c r="BJ43" i="148"/>
  <c r="BG43" i="149" s="1"/>
  <c r="F43" i="148"/>
  <c r="CX43" i="148"/>
  <c r="CU43" i="149" s="1"/>
  <c r="CW43" i="148"/>
  <c r="CT43" i="149" s="1"/>
  <c r="BP43" i="148"/>
  <c r="BM43" i="149" s="1"/>
  <c r="BC43" i="148"/>
  <c r="AZ43" i="149" s="1"/>
  <c r="CN43" i="148"/>
  <c r="CK43" i="149" s="1"/>
  <c r="CU43" i="148"/>
  <c r="CR43" i="149" s="1"/>
  <c r="CB43" i="148"/>
  <c r="BY43" i="149" s="1"/>
  <c r="BS43" i="148"/>
  <c r="BP43" i="149" s="1"/>
  <c r="AZ43" i="148"/>
  <c r="AW43" i="149" s="1"/>
  <c r="BZ43" i="148"/>
  <c r="BW43" i="149" s="1"/>
  <c r="CI43" i="148"/>
  <c r="CF43" i="149" s="1"/>
  <c r="CZ43" i="148"/>
  <c r="CW43" i="149" s="1"/>
  <c r="AV43" i="148"/>
  <c r="AS43" i="149" s="1"/>
  <c r="BB43" i="148"/>
  <c r="AY43" i="149" s="1"/>
  <c r="BY43" i="148"/>
  <c r="BV43" i="149" s="1"/>
  <c r="CO43" i="148"/>
  <c r="CL43" i="149" s="1"/>
  <c r="CQ43" i="148"/>
  <c r="CN43" i="149" s="1"/>
  <c r="BV43" i="148"/>
  <c r="BS43" i="149" s="1"/>
  <c r="BA43" i="148"/>
  <c r="AX43" i="149" s="1"/>
  <c r="BX43" i="148"/>
  <c r="BU43" i="149" s="1"/>
  <c r="CT43" i="148"/>
  <c r="CQ43" i="149" s="1"/>
  <c r="CH43" i="148"/>
  <c r="CE43" i="149" s="1"/>
  <c r="AW43" i="148"/>
  <c r="AT43" i="149" s="1"/>
  <c r="BM43" i="148"/>
  <c r="BJ43" i="149" s="1"/>
  <c r="CG43" i="148"/>
  <c r="CD43" i="149" s="1"/>
  <c r="CF43" i="148"/>
  <c r="CC43" i="149" s="1"/>
  <c r="CP43" i="148"/>
  <c r="CM43" i="149" s="1"/>
  <c r="BW43" i="148"/>
  <c r="BT43" i="149" s="1"/>
  <c r="BI43" i="148"/>
  <c r="BF43" i="149" s="1"/>
  <c r="CM43" i="148"/>
  <c r="CJ43" i="149" s="1"/>
  <c r="CV43" i="148"/>
  <c r="CS43" i="149" s="1"/>
  <c r="CL43" i="148"/>
  <c r="CI43" i="149" s="1"/>
  <c r="BG43" i="148"/>
  <c r="BD43" i="149" s="1"/>
  <c r="D43" i="148"/>
  <c r="Q121" i="148"/>
  <c r="CA121" i="148"/>
  <c r="BX121" i="149" s="1"/>
  <c r="CJ121" i="148"/>
  <c r="CG121" i="149" s="1"/>
  <c r="G121" i="148"/>
  <c r="BT121" i="148"/>
  <c r="BQ121" i="149" s="1"/>
  <c r="BZ121" i="148"/>
  <c r="BW121" i="149" s="1"/>
  <c r="CW121" i="148"/>
  <c r="CT121" i="149" s="1"/>
  <c r="BV121" i="148"/>
  <c r="BS121" i="149" s="1"/>
  <c r="CS121" i="148"/>
  <c r="CP121" i="149" s="1"/>
  <c r="CU121" i="148"/>
  <c r="CR121" i="149" s="1"/>
  <c r="V121" i="148"/>
  <c r="CM121" i="148"/>
  <c r="CJ121" i="149" s="1"/>
  <c r="AV121" i="148"/>
  <c r="AS121" i="149" s="1"/>
  <c r="BE121" i="148"/>
  <c r="BB121" i="149" s="1"/>
  <c r="BX121" i="148"/>
  <c r="BU121" i="149" s="1"/>
  <c r="CV121" i="148"/>
  <c r="CS121" i="149" s="1"/>
  <c r="AW121" i="148"/>
  <c r="AT121" i="149" s="1"/>
  <c r="BY121" i="148"/>
  <c r="BV121" i="149" s="1"/>
  <c r="AY121" i="148"/>
  <c r="AV121" i="149" s="1"/>
  <c r="CG121" i="148"/>
  <c r="CD121" i="149" s="1"/>
  <c r="BP121" i="148"/>
  <c r="BM121" i="149" s="1"/>
  <c r="CX121" i="148"/>
  <c r="CU121" i="149" s="1"/>
  <c r="CH121" i="148"/>
  <c r="CE121" i="149" s="1"/>
  <c r="H121" i="148"/>
  <c r="BQ121" i="148"/>
  <c r="BN121" i="149" s="1"/>
  <c r="F121" i="148"/>
  <c r="I121" i="148"/>
  <c r="CI121" i="148"/>
  <c r="CF121" i="149" s="1"/>
  <c r="CP121" i="148"/>
  <c r="CM121" i="149" s="1"/>
  <c r="DA121" i="148"/>
  <c r="CX121" i="149" s="1"/>
  <c r="BS121" i="148"/>
  <c r="BP121" i="149" s="1"/>
  <c r="CB121" i="148"/>
  <c r="BY121" i="149" s="1"/>
  <c r="BR121" i="148"/>
  <c r="BO121" i="149" s="1"/>
  <c r="R121" i="148"/>
  <c r="BG121" i="148"/>
  <c r="BD121" i="149" s="1"/>
  <c r="CK121" i="148"/>
  <c r="CH121" i="149" s="1"/>
  <c r="BU121" i="148"/>
  <c r="BR121" i="149" s="1"/>
  <c r="CE121" i="148"/>
  <c r="CB121" i="149" s="1"/>
  <c r="CR121" i="148"/>
  <c r="CO121" i="149" s="1"/>
  <c r="BW121" i="148"/>
  <c r="BT121" i="149" s="1"/>
  <c r="CQ121" i="148"/>
  <c r="CN121" i="149" s="1"/>
  <c r="CT121" i="148"/>
  <c r="CQ121" i="149" s="1"/>
  <c r="CN121" i="148"/>
  <c r="CK121" i="149" s="1"/>
  <c r="CO121" i="148"/>
  <c r="CL121" i="149" s="1"/>
  <c r="CF121" i="148"/>
  <c r="CC121" i="149" s="1"/>
  <c r="BF121" i="148"/>
  <c r="BC121" i="149" s="1"/>
  <c r="CZ121" i="148"/>
  <c r="CW121" i="149" s="1"/>
  <c r="CD121" i="148"/>
  <c r="CA121" i="149" s="1"/>
  <c r="CY121" i="148"/>
  <c r="CV121" i="149" s="1"/>
  <c r="AX121" i="148"/>
  <c r="AU121" i="149" s="1"/>
  <c r="CC121" i="148"/>
  <c r="BZ121" i="149" s="1"/>
  <c r="CL121" i="148"/>
  <c r="CI121" i="149" s="1"/>
  <c r="BD121" i="148"/>
  <c r="BA121" i="149" s="1"/>
  <c r="E121" i="148"/>
  <c r="AZ121" i="148"/>
  <c r="AW121" i="149" s="1"/>
  <c r="BC121" i="148"/>
  <c r="AZ121" i="149" s="1"/>
  <c r="BJ121" i="148"/>
  <c r="BG121" i="149" s="1"/>
  <c r="BI121" i="148"/>
  <c r="BF121" i="149" s="1"/>
  <c r="BK121" i="148"/>
  <c r="BH121" i="149" s="1"/>
  <c r="BA121" i="148"/>
  <c r="AX121" i="149" s="1"/>
  <c r="BH121" i="148"/>
  <c r="BE121" i="149" s="1"/>
  <c r="BL121" i="148"/>
  <c r="BI121" i="149" s="1"/>
  <c r="BN121" i="148"/>
  <c r="BK121" i="149" s="1"/>
  <c r="BB121" i="148"/>
  <c r="AY121" i="149" s="1"/>
  <c r="BM121" i="148"/>
  <c r="BJ121" i="149" s="1"/>
  <c r="D121" i="148"/>
  <c r="BO121" i="148"/>
  <c r="Q71" i="148"/>
  <c r="CK71" i="148"/>
  <c r="CH71" i="149" s="1"/>
  <c r="CA71" i="148"/>
  <c r="BX71" i="149" s="1"/>
  <c r="CF71" i="148"/>
  <c r="CC71" i="149" s="1"/>
  <c r="CJ71" i="148"/>
  <c r="CG71" i="149" s="1"/>
  <c r="CE71" i="148"/>
  <c r="CB71" i="149" s="1"/>
  <c r="BS71" i="148"/>
  <c r="BP71" i="149" s="1"/>
  <c r="CL71" i="148"/>
  <c r="CI71" i="149" s="1"/>
  <c r="CQ71" i="148"/>
  <c r="CN71" i="149" s="1"/>
  <c r="CT71" i="148"/>
  <c r="CQ71" i="149" s="1"/>
  <c r="BX71" i="148"/>
  <c r="BU71" i="149" s="1"/>
  <c r="CX71" i="148"/>
  <c r="CU71" i="149" s="1"/>
  <c r="BG71" i="148"/>
  <c r="BD71" i="149" s="1"/>
  <c r="I71" i="148"/>
  <c r="CN71" i="148"/>
  <c r="CK71" i="149" s="1"/>
  <c r="CB71" i="148"/>
  <c r="BY71" i="149" s="1"/>
  <c r="CO71" i="148"/>
  <c r="CL71" i="149" s="1"/>
  <c r="R71" i="148"/>
  <c r="CP71" i="148"/>
  <c r="CM71" i="149" s="1"/>
  <c r="CM71" i="148"/>
  <c r="CJ71" i="149" s="1"/>
  <c r="AX71" i="148"/>
  <c r="AU71" i="149" s="1"/>
  <c r="E71" i="148"/>
  <c r="DA71" i="148"/>
  <c r="CX71" i="149" s="1"/>
  <c r="BZ71" i="148"/>
  <c r="BW71" i="149" s="1"/>
  <c r="BF71" i="148"/>
  <c r="BC71" i="149" s="1"/>
  <c r="F71" i="148"/>
  <c r="CI71" i="148"/>
  <c r="CF71" i="149" s="1"/>
  <c r="CH71" i="148"/>
  <c r="CE71" i="149" s="1"/>
  <c r="CU71" i="148"/>
  <c r="CR71" i="149" s="1"/>
  <c r="H71" i="148"/>
  <c r="CD71" i="148"/>
  <c r="CA71" i="149" s="1"/>
  <c r="CZ71" i="148"/>
  <c r="CW71" i="149" s="1"/>
  <c r="BV71" i="148"/>
  <c r="BS71" i="149" s="1"/>
  <c r="V71" i="148"/>
  <c r="CS71" i="148"/>
  <c r="CP71" i="149" s="1"/>
  <c r="CC71" i="148"/>
  <c r="BZ71" i="149" s="1"/>
  <c r="CV71" i="148"/>
  <c r="CS71" i="149" s="1"/>
  <c r="CW71" i="148"/>
  <c r="CT71" i="149" s="1"/>
  <c r="BY71" i="148"/>
  <c r="BV71" i="149" s="1"/>
  <c r="CR71" i="148"/>
  <c r="CO71" i="149" s="1"/>
  <c r="CG71" i="148"/>
  <c r="CD71" i="149" s="1"/>
  <c r="G71" i="148"/>
  <c r="CY71" i="148"/>
  <c r="CV71" i="149" s="1"/>
  <c r="BT71" i="148"/>
  <c r="BQ71" i="149" s="1"/>
  <c r="BJ71" i="148"/>
  <c r="BG71" i="149" s="1"/>
  <c r="BQ71" i="148"/>
  <c r="BN71" i="149" s="1"/>
  <c r="BH71" i="148"/>
  <c r="BE71" i="149" s="1"/>
  <c r="AZ71" i="148"/>
  <c r="AW71" i="149" s="1"/>
  <c r="BL71" i="148"/>
  <c r="BI71" i="149" s="1"/>
  <c r="BK71" i="148"/>
  <c r="BH71" i="149" s="1"/>
  <c r="BM71" i="148"/>
  <c r="BJ71" i="149" s="1"/>
  <c r="BE71" i="148"/>
  <c r="BB71" i="149" s="1"/>
  <c r="BR71" i="148"/>
  <c r="BO71" i="149" s="1"/>
  <c r="BC71" i="148"/>
  <c r="AZ71" i="149" s="1"/>
  <c r="AV71" i="148"/>
  <c r="AS71" i="149" s="1"/>
  <c r="BP71" i="148"/>
  <c r="BM71" i="149" s="1"/>
  <c r="BA71" i="148"/>
  <c r="AX71" i="149" s="1"/>
  <c r="BI71" i="148"/>
  <c r="BF71" i="149" s="1"/>
  <c r="AY71" i="148"/>
  <c r="AV71" i="149" s="1"/>
  <c r="BB71" i="148"/>
  <c r="AY71" i="149" s="1"/>
  <c r="BN71" i="148"/>
  <c r="BK71" i="149" s="1"/>
  <c r="D71" i="148"/>
  <c r="BO71" i="148"/>
  <c r="DB6" i="149"/>
  <c r="DA6" i="149"/>
  <c r="CZ6" i="149"/>
  <c r="BL6" i="149"/>
  <c r="Q136" i="148"/>
  <c r="CX136" i="148"/>
  <c r="CU136" i="149" s="1"/>
  <c r="BT136" i="148"/>
  <c r="BQ136" i="149" s="1"/>
  <c r="CD136" i="148"/>
  <c r="CA136" i="149" s="1"/>
  <c r="CM136" i="148"/>
  <c r="CJ136" i="149" s="1"/>
  <c r="CI136" i="148"/>
  <c r="CF136" i="149" s="1"/>
  <c r="CC136" i="148"/>
  <c r="BZ136" i="149" s="1"/>
  <c r="BX136" i="148"/>
  <c r="BU136" i="149" s="1"/>
  <c r="CH136" i="148"/>
  <c r="CE136" i="149" s="1"/>
  <c r="DA136" i="148"/>
  <c r="CX136" i="149" s="1"/>
  <c r="CT136" i="148"/>
  <c r="CQ136" i="149" s="1"/>
  <c r="CJ136" i="148"/>
  <c r="CG136" i="149" s="1"/>
  <c r="CB136" i="148"/>
  <c r="BY136" i="149" s="1"/>
  <c r="CW136" i="148"/>
  <c r="CT136" i="149" s="1"/>
  <c r="AX136" i="148"/>
  <c r="AU136" i="149" s="1"/>
  <c r="BP136" i="148"/>
  <c r="BM136" i="149" s="1"/>
  <c r="V136" i="148"/>
  <c r="CN136" i="148"/>
  <c r="CK136" i="149" s="1"/>
  <c r="BW136" i="148"/>
  <c r="BT136" i="149" s="1"/>
  <c r="AW136" i="148"/>
  <c r="AT136" i="149" s="1"/>
  <c r="BE136" i="148"/>
  <c r="BB136" i="149" s="1"/>
  <c r="AV136" i="148"/>
  <c r="AS136" i="149" s="1"/>
  <c r="CO136" i="148"/>
  <c r="CL136" i="149" s="1"/>
  <c r="CS136" i="148"/>
  <c r="CP136" i="149" s="1"/>
  <c r="CF136" i="148"/>
  <c r="CC136" i="149" s="1"/>
  <c r="CG136" i="148"/>
  <c r="CD136" i="149" s="1"/>
  <c r="BG136" i="148"/>
  <c r="BD136" i="149" s="1"/>
  <c r="BU136" i="148"/>
  <c r="BR136" i="149" s="1"/>
  <c r="BD136" i="148"/>
  <c r="BA136" i="149" s="1"/>
  <c r="BF136" i="148"/>
  <c r="BC136" i="149" s="1"/>
  <c r="H136" i="148"/>
  <c r="BR136" i="148"/>
  <c r="BO136" i="149" s="1"/>
  <c r="CQ136" i="148"/>
  <c r="CN136" i="149" s="1"/>
  <c r="BY136" i="148"/>
  <c r="BV136" i="149" s="1"/>
  <c r="G136" i="148"/>
  <c r="R136" i="148"/>
  <c r="CK136" i="148"/>
  <c r="CH136" i="149" s="1"/>
  <c r="CU136" i="148"/>
  <c r="CR136" i="149" s="1"/>
  <c r="CV136" i="148"/>
  <c r="CS136" i="149" s="1"/>
  <c r="CR136" i="148"/>
  <c r="CO136" i="149" s="1"/>
  <c r="BS136" i="148"/>
  <c r="BP136" i="149" s="1"/>
  <c r="BQ136" i="148"/>
  <c r="BN136" i="149" s="1"/>
  <c r="CY136" i="148"/>
  <c r="CV136" i="149" s="1"/>
  <c r="CZ136" i="148"/>
  <c r="CW136" i="149" s="1"/>
  <c r="AY136" i="148"/>
  <c r="AV136" i="149" s="1"/>
  <c r="BZ136" i="148"/>
  <c r="BW136" i="149" s="1"/>
  <c r="CL136" i="148"/>
  <c r="CI136" i="149" s="1"/>
  <c r="E136" i="148"/>
  <c r="F136" i="148"/>
  <c r="CA136" i="148"/>
  <c r="BX136" i="149" s="1"/>
  <c r="CP136" i="148"/>
  <c r="CM136" i="149" s="1"/>
  <c r="I136" i="148"/>
  <c r="BV136" i="148"/>
  <c r="BS136" i="149" s="1"/>
  <c r="CE136" i="148"/>
  <c r="CB136" i="149" s="1"/>
  <c r="BC136" i="148"/>
  <c r="AZ136" i="149" s="1"/>
  <c r="BN136" i="148"/>
  <c r="BK136" i="149" s="1"/>
  <c r="BJ136" i="148"/>
  <c r="BG136" i="149" s="1"/>
  <c r="BI136" i="148"/>
  <c r="BF136" i="149" s="1"/>
  <c r="BO136" i="148"/>
  <c r="BL136" i="148"/>
  <c r="BI136" i="149" s="1"/>
  <c r="BM136" i="148"/>
  <c r="BJ136" i="149" s="1"/>
  <c r="BA136" i="148"/>
  <c r="AX136" i="149" s="1"/>
  <c r="BB136" i="148"/>
  <c r="AY136" i="149" s="1"/>
  <c r="D136" i="148"/>
  <c r="AZ136" i="148"/>
  <c r="AW136" i="149" s="1"/>
  <c r="BH136" i="148"/>
  <c r="BK136" i="148"/>
  <c r="BH136" i="149" s="1"/>
  <c r="CZ31" i="149"/>
  <c r="DB31" i="149"/>
  <c r="DA31" i="149"/>
  <c r="BL31" i="149"/>
  <c r="DB76" i="149"/>
  <c r="CZ76" i="149"/>
  <c r="DA76" i="149"/>
  <c r="BL76" i="149"/>
  <c r="G16" i="153"/>
  <c r="H16" i="153"/>
  <c r="E16" i="153"/>
  <c r="P16" i="153"/>
  <c r="D16" i="153"/>
  <c r="R16" i="153"/>
  <c r="C16" i="153"/>
  <c r="CL16" i="153"/>
  <c r="BV16" i="153"/>
  <c r="CP16" i="153"/>
  <c r="CG16" i="153"/>
  <c r="CU16" i="153"/>
  <c r="BT16" i="153"/>
  <c r="CN16" i="153"/>
  <c r="CC16" i="153"/>
  <c r="BY16" i="153"/>
  <c r="CO16" i="153"/>
  <c r="BZ16" i="153"/>
  <c r="CB16" i="153"/>
  <c r="CR16" i="153"/>
  <c r="CE16" i="153"/>
  <c r="CM16" i="153"/>
  <c r="CD16" i="153"/>
  <c r="CQ16" i="153"/>
  <c r="F16" i="153"/>
  <c r="CI16" i="153"/>
  <c r="CJ16" i="153"/>
  <c r="BU16" i="153"/>
  <c r="CK16" i="153"/>
  <c r="BX16" i="153"/>
  <c r="CH16" i="153"/>
  <c r="CT16" i="153"/>
  <c r="CA16" i="153"/>
  <c r="CS16" i="153"/>
  <c r="CW16" i="153"/>
  <c r="BW16" i="153"/>
  <c r="CF16" i="153"/>
  <c r="CV16" i="153"/>
  <c r="BG16" i="153"/>
  <c r="BJ16" i="153"/>
  <c r="BC16" i="153"/>
  <c r="BD16" i="153"/>
  <c r="BM16" i="153"/>
  <c r="AY16" i="153"/>
  <c r="AT16" i="153"/>
  <c r="BB16" i="153"/>
  <c r="BH16" i="153"/>
  <c r="BK16" i="153"/>
  <c r="AR16" i="153"/>
  <c r="BO16" i="153"/>
  <c r="BE16" i="153"/>
  <c r="AV16" i="153"/>
  <c r="BR16" i="153"/>
  <c r="BN16" i="153"/>
  <c r="BA16" i="153"/>
  <c r="AU16" i="153"/>
  <c r="AX16" i="153"/>
  <c r="BL16" i="153"/>
  <c r="AW16" i="153"/>
  <c r="BI16" i="153"/>
  <c r="BF16" i="153"/>
  <c r="BP16" i="153"/>
  <c r="E25" i="153"/>
  <c r="R25" i="153"/>
  <c r="H25" i="153"/>
  <c r="G25" i="153"/>
  <c r="P25" i="153"/>
  <c r="D25" i="153"/>
  <c r="C25" i="153"/>
  <c r="CW25" i="153"/>
  <c r="F25" i="153"/>
  <c r="CH25" i="153"/>
  <c r="CJ25" i="153"/>
  <c r="BZ25" i="153"/>
  <c r="BW25" i="153"/>
  <c r="CV25" i="153"/>
  <c r="CC25" i="153"/>
  <c r="CO25" i="153"/>
  <c r="BX25" i="153"/>
  <c r="BU25" i="153"/>
  <c r="CN25" i="153"/>
  <c r="CI25" i="153"/>
  <c r="CF25" i="153"/>
  <c r="CS25" i="153"/>
  <c r="CT25" i="153"/>
  <c r="CG25" i="153"/>
  <c r="CL25" i="153"/>
  <c r="CA25" i="153"/>
  <c r="CB25" i="153"/>
  <c r="CM25" i="153"/>
  <c r="CK25" i="153"/>
  <c r="CR25" i="153"/>
  <c r="CD25" i="153"/>
  <c r="CP25" i="153"/>
  <c r="CU25" i="153"/>
  <c r="BT25" i="153"/>
  <c r="BY25" i="153"/>
  <c r="CE25" i="153"/>
  <c r="CQ25" i="153"/>
  <c r="BV25" i="153"/>
  <c r="BE25" i="153"/>
  <c r="BC25" i="153"/>
  <c r="BL25" i="153"/>
  <c r="BF25" i="153"/>
  <c r="BO25" i="153"/>
  <c r="BI25" i="153"/>
  <c r="AU25" i="153"/>
  <c r="BM25" i="153"/>
  <c r="AY25" i="153"/>
  <c r="BJ25" i="153"/>
  <c r="BG25" i="153"/>
  <c r="AR25" i="153"/>
  <c r="BR25" i="153"/>
  <c r="AX25" i="153"/>
  <c r="BB25" i="153"/>
  <c r="AS25" i="153"/>
  <c r="BH25" i="153"/>
  <c r="BA25" i="153"/>
  <c r="AV25" i="153"/>
  <c r="BP25" i="153"/>
  <c r="BD25" i="153"/>
  <c r="BK25" i="153"/>
  <c r="BN25" i="153"/>
  <c r="AW25" i="153"/>
  <c r="G35" i="151"/>
  <c r="P35" i="151"/>
  <c r="H35" i="151"/>
  <c r="E35" i="151"/>
  <c r="C35" i="151" s="1"/>
  <c r="D35" i="151"/>
  <c r="R35" i="151"/>
  <c r="BU35" i="151"/>
  <c r="F35" i="151"/>
  <c r="BT35" i="151"/>
  <c r="CH35" i="151"/>
  <c r="CW35" i="151"/>
  <c r="CL35" i="151"/>
  <c r="CP35" i="151"/>
  <c r="CE35" i="151"/>
  <c r="CB35" i="151"/>
  <c r="CR35" i="151"/>
  <c r="CC35" i="151"/>
  <c r="CS35" i="151"/>
  <c r="CI35" i="151"/>
  <c r="CT35" i="151"/>
  <c r="CU35" i="151"/>
  <c r="CV35" i="151"/>
  <c r="CD35" i="151"/>
  <c r="BZ35" i="151"/>
  <c r="CQ35" i="151"/>
  <c r="CM35" i="151"/>
  <c r="BX35" i="151"/>
  <c r="BW35" i="151"/>
  <c r="CK35" i="151"/>
  <c r="CF35" i="151"/>
  <c r="CG35" i="151"/>
  <c r="CJ35" i="151"/>
  <c r="CN35" i="151"/>
  <c r="CA35" i="151"/>
  <c r="BY35" i="151"/>
  <c r="CO35" i="151"/>
  <c r="BV35" i="151"/>
  <c r="BG35" i="151"/>
  <c r="AV35" i="151"/>
  <c r="BP35" i="151"/>
  <c r="BF35" i="151"/>
  <c r="BC35" i="151"/>
  <c r="BQ35" i="151"/>
  <c r="BE35" i="151"/>
  <c r="AW35" i="151"/>
  <c r="BN35" i="151"/>
  <c r="BL35" i="151"/>
  <c r="AR35" i="151"/>
  <c r="BH35" i="151"/>
  <c r="BO35" i="151"/>
  <c r="BR35" i="151"/>
  <c r="AU35" i="151"/>
  <c r="AS35" i="151"/>
  <c r="BM35" i="151"/>
  <c r="BK35" i="151"/>
  <c r="AZ35" i="151"/>
  <c r="BD35" i="151"/>
  <c r="AX35" i="151"/>
  <c r="BJ35" i="151"/>
  <c r="BA35" i="151"/>
  <c r="BB35" i="151"/>
  <c r="BS35" i="151"/>
  <c r="BI35" i="151"/>
  <c r="AY35" i="151"/>
  <c r="AT35" i="151"/>
  <c r="H18" i="153"/>
  <c r="D18" i="153"/>
  <c r="E18" i="153"/>
  <c r="R18" i="153"/>
  <c r="G18" i="153"/>
  <c r="P18" i="153"/>
  <c r="C18" i="153"/>
  <c r="CF18" i="153"/>
  <c r="CW18" i="153"/>
  <c r="CP18" i="153"/>
  <c r="CC18" i="153"/>
  <c r="F18" i="153"/>
  <c r="CD18" i="153"/>
  <c r="CO18" i="153"/>
  <c r="CG18" i="153"/>
  <c r="CM18" i="153"/>
  <c r="CA18" i="153"/>
  <c r="CN18" i="153"/>
  <c r="CR18" i="153"/>
  <c r="CK18" i="153"/>
  <c r="BU18" i="153"/>
  <c r="CE18" i="153"/>
  <c r="CL18" i="153"/>
  <c r="CH18" i="153"/>
  <c r="BW18" i="153"/>
  <c r="CT18" i="153"/>
  <c r="BY18" i="153"/>
  <c r="CQ18" i="153"/>
  <c r="CB18" i="153"/>
  <c r="BV18" i="153"/>
  <c r="BZ18" i="153"/>
  <c r="CU18" i="153"/>
  <c r="CS18" i="153"/>
  <c r="CJ18" i="153"/>
  <c r="CI18" i="153"/>
  <c r="BX18" i="153"/>
  <c r="CV18" i="153"/>
  <c r="BT18" i="153"/>
  <c r="AV18" i="153"/>
  <c r="BB18" i="153"/>
  <c r="BK18" i="153"/>
  <c r="BD18" i="153"/>
  <c r="AT18" i="153"/>
  <c r="BE18" i="153"/>
  <c r="BJ18" i="153"/>
  <c r="BR18" i="153"/>
  <c r="AX18" i="153"/>
  <c r="BF18" i="153"/>
  <c r="AY18" i="153"/>
  <c r="BH18" i="153"/>
  <c r="AW18" i="153"/>
  <c r="AU18" i="153"/>
  <c r="BA18" i="153"/>
  <c r="BN18" i="153"/>
  <c r="BP18" i="153"/>
  <c r="BC18" i="153"/>
  <c r="BG18" i="153"/>
  <c r="BM18" i="153"/>
  <c r="BO18" i="153"/>
  <c r="BL18" i="153"/>
  <c r="AR18" i="153"/>
  <c r="BI18" i="153"/>
  <c r="E26" i="153"/>
  <c r="P26" i="153"/>
  <c r="D26" i="153"/>
  <c r="G26" i="153"/>
  <c r="R26" i="153"/>
  <c r="H26" i="153"/>
  <c r="C26" i="153"/>
  <c r="CJ26" i="153"/>
  <c r="CS26" i="153"/>
  <c r="CW26" i="153"/>
  <c r="CO26" i="153"/>
  <c r="BX26" i="153"/>
  <c r="BY26" i="153"/>
  <c r="CI26" i="153"/>
  <c r="CR26" i="153"/>
  <c r="CF26" i="153"/>
  <c r="CE26" i="153"/>
  <c r="CQ26" i="153"/>
  <c r="CK26" i="153"/>
  <c r="CU26" i="153"/>
  <c r="CM26" i="153"/>
  <c r="BT26" i="153"/>
  <c r="BW26" i="153"/>
  <c r="CH26" i="153"/>
  <c r="BZ26" i="153"/>
  <c r="CB26" i="153"/>
  <c r="CV26" i="153"/>
  <c r="CC26" i="153"/>
  <c r="CA26" i="153"/>
  <c r="F26" i="153"/>
  <c r="CP26" i="153"/>
  <c r="CG26" i="153"/>
  <c r="CT26" i="153"/>
  <c r="BU26" i="153"/>
  <c r="CN26" i="153"/>
  <c r="CD26" i="153"/>
  <c r="BV26" i="153"/>
  <c r="CL26" i="153"/>
  <c r="BO26" i="153"/>
  <c r="BR26" i="153"/>
  <c r="AU26" i="153"/>
  <c r="BA26" i="153"/>
  <c r="BJ26" i="153"/>
  <c r="BG26" i="153"/>
  <c r="BD26" i="153"/>
  <c r="AT26" i="153"/>
  <c r="AR26" i="153"/>
  <c r="AX26" i="153"/>
  <c r="AZ26" i="153"/>
  <c r="BI26" i="153"/>
  <c r="BF26" i="153"/>
  <c r="BB26" i="153"/>
  <c r="AV26" i="153"/>
  <c r="BM26" i="153"/>
  <c r="AY26" i="153"/>
  <c r="BH26" i="153"/>
  <c r="BC26" i="153"/>
  <c r="AW26" i="153"/>
  <c r="BP26" i="153"/>
  <c r="AS26" i="153"/>
  <c r="BN26" i="153"/>
  <c r="BK26" i="153"/>
  <c r="Q28" i="148"/>
  <c r="BI28" i="148"/>
  <c r="BF28" i="149" s="1"/>
  <c r="CL28" i="148"/>
  <c r="CI28" i="149" s="1"/>
  <c r="BK28" i="148"/>
  <c r="BH28" i="149" s="1"/>
  <c r="BO28" i="148"/>
  <c r="V28" i="148"/>
  <c r="BY28" i="148"/>
  <c r="BV28" i="149" s="1"/>
  <c r="BJ28" i="148"/>
  <c r="BG28" i="149" s="1"/>
  <c r="I28" i="148"/>
  <c r="CV28" i="148"/>
  <c r="CS28" i="149" s="1"/>
  <c r="BN28" i="148"/>
  <c r="BK28" i="149" s="1"/>
  <c r="BH28" i="148"/>
  <c r="BE28" i="149" s="1"/>
  <c r="AZ28" i="148"/>
  <c r="AW28" i="149" s="1"/>
  <c r="BC28" i="148"/>
  <c r="AZ28" i="149" s="1"/>
  <c r="BA28" i="148"/>
  <c r="AX28" i="149" s="1"/>
  <c r="BB28" i="148"/>
  <c r="AY28" i="149" s="1"/>
  <c r="BM28" i="148"/>
  <c r="BJ28" i="149" s="1"/>
  <c r="CT28" i="148"/>
  <c r="CQ28" i="149" s="1"/>
  <c r="CP28" i="148"/>
  <c r="CM28" i="149" s="1"/>
  <c r="CD28" i="148"/>
  <c r="CA28" i="149" s="1"/>
  <c r="BF28" i="148"/>
  <c r="BC28" i="149" s="1"/>
  <c r="BQ28" i="148"/>
  <c r="BN28" i="149" s="1"/>
  <c r="BZ28" i="148"/>
  <c r="BW28" i="149" s="1"/>
  <c r="CJ28" i="148"/>
  <c r="CG28" i="149" s="1"/>
  <c r="BS28" i="148"/>
  <c r="BP28" i="149" s="1"/>
  <c r="CG28" i="148"/>
  <c r="CD28" i="149" s="1"/>
  <c r="H28" i="148"/>
  <c r="CU28" i="148"/>
  <c r="CR28" i="149" s="1"/>
  <c r="CQ28" i="148"/>
  <c r="CN28" i="149" s="1"/>
  <c r="BV28" i="148"/>
  <c r="BS28" i="149" s="1"/>
  <c r="R28" i="148"/>
  <c r="G28" i="148"/>
  <c r="DA28" i="148"/>
  <c r="CX28" i="149" s="1"/>
  <c r="BU28" i="148"/>
  <c r="BR28" i="149" s="1"/>
  <c r="E28" i="148"/>
  <c r="CC28" i="148"/>
  <c r="BZ28" i="149" s="1"/>
  <c r="CF28" i="148"/>
  <c r="CC28" i="149" s="1"/>
  <c r="BE28" i="148"/>
  <c r="BB28" i="149" s="1"/>
  <c r="AY28" i="148"/>
  <c r="AV28" i="149" s="1"/>
  <c r="CY28" i="148"/>
  <c r="CV28" i="149" s="1"/>
  <c r="CO28" i="148"/>
  <c r="CL28" i="149" s="1"/>
  <c r="CR28" i="148"/>
  <c r="CO28" i="149" s="1"/>
  <c r="BG28" i="148"/>
  <c r="BD28" i="149" s="1"/>
  <c r="BL28" i="148"/>
  <c r="BI28" i="149" s="1"/>
  <c r="CI28" i="148"/>
  <c r="CF28" i="149" s="1"/>
  <c r="CE28" i="148"/>
  <c r="CB28" i="149" s="1"/>
  <c r="BX28" i="148"/>
  <c r="BU28" i="149" s="1"/>
  <c r="BR28" i="148"/>
  <c r="BO28" i="149" s="1"/>
  <c r="CS28" i="148"/>
  <c r="CP28" i="149" s="1"/>
  <c r="CM28" i="148"/>
  <c r="CJ28" i="149" s="1"/>
  <c r="CN28" i="148"/>
  <c r="CK28" i="149" s="1"/>
  <c r="CW28" i="148"/>
  <c r="CT28" i="149" s="1"/>
  <c r="BT28" i="148"/>
  <c r="BQ28" i="149" s="1"/>
  <c r="CZ28" i="148"/>
  <c r="CW28" i="149" s="1"/>
  <c r="F28" i="148"/>
  <c r="CK28" i="148"/>
  <c r="CH28" i="149" s="1"/>
  <c r="CH28" i="148"/>
  <c r="CE28" i="149" s="1"/>
  <c r="BD28" i="148"/>
  <c r="BA28" i="149" s="1"/>
  <c r="BP28" i="148"/>
  <c r="BM28" i="149" s="1"/>
  <c r="AX28" i="148"/>
  <c r="AU28" i="149" s="1"/>
  <c r="BW28" i="148"/>
  <c r="BT28" i="149" s="1"/>
  <c r="CX28" i="148"/>
  <c r="CU28" i="149" s="1"/>
  <c r="CB28" i="148"/>
  <c r="BY28" i="149" s="1"/>
  <c r="CA28" i="148"/>
  <c r="BX28" i="149" s="1"/>
  <c r="AV28" i="148"/>
  <c r="AS28" i="149" s="1"/>
  <c r="AW28" i="148"/>
  <c r="AT28" i="149" s="1"/>
  <c r="D28" i="148"/>
  <c r="DB33" i="149"/>
  <c r="CZ33" i="149"/>
  <c r="DA33" i="149"/>
  <c r="BL33" i="149"/>
  <c r="Q19" i="148"/>
  <c r="CB19" i="148"/>
  <c r="BY19" i="149" s="1"/>
  <c r="F19" i="148"/>
  <c r="CL19" i="148"/>
  <c r="CI19" i="149" s="1"/>
  <c r="CJ19" i="148"/>
  <c r="CG19" i="149" s="1"/>
  <c r="BW19" i="148"/>
  <c r="BT19" i="149" s="1"/>
  <c r="BP19" i="148"/>
  <c r="BM19" i="149" s="1"/>
  <c r="BE19" i="148"/>
  <c r="BB19" i="149" s="1"/>
  <c r="CX19" i="148"/>
  <c r="CU19" i="149" s="1"/>
  <c r="CI19" i="148"/>
  <c r="CF19" i="149" s="1"/>
  <c r="CM19" i="148"/>
  <c r="CJ19" i="149" s="1"/>
  <c r="CF19" i="148"/>
  <c r="CC19" i="149" s="1"/>
  <c r="BS19" i="148"/>
  <c r="BP19" i="149" s="1"/>
  <c r="H19" i="148"/>
  <c r="AV19" i="148"/>
  <c r="AS19" i="149" s="1"/>
  <c r="CC19" i="148"/>
  <c r="BZ19" i="149" s="1"/>
  <c r="CV19" i="148"/>
  <c r="CS19" i="149" s="1"/>
  <c r="AY19" i="148"/>
  <c r="AV19" i="149" s="1"/>
  <c r="AX19" i="148"/>
  <c r="AU19" i="149" s="1"/>
  <c r="CS19" i="148"/>
  <c r="CP19" i="149" s="1"/>
  <c r="CN19" i="148"/>
  <c r="CK19" i="149" s="1"/>
  <c r="BT19" i="148"/>
  <c r="BQ19" i="149" s="1"/>
  <c r="BU19" i="148"/>
  <c r="BR19" i="149" s="1"/>
  <c r="CK19" i="148"/>
  <c r="CH19" i="149" s="1"/>
  <c r="CH19" i="148"/>
  <c r="CE19" i="149" s="1"/>
  <c r="CZ19" i="148"/>
  <c r="CW19" i="149" s="1"/>
  <c r="CQ19" i="148"/>
  <c r="CN19" i="149" s="1"/>
  <c r="V19" i="148"/>
  <c r="BX19" i="148"/>
  <c r="BU19" i="149" s="1"/>
  <c r="BD19" i="148"/>
  <c r="BA19" i="149" s="1"/>
  <c r="CG19" i="148"/>
  <c r="CD19" i="149" s="1"/>
  <c r="BZ19" i="148"/>
  <c r="BW19" i="149" s="1"/>
  <c r="CA19" i="148"/>
  <c r="BX19" i="149" s="1"/>
  <c r="E19" i="148"/>
  <c r="G19" i="148"/>
  <c r="BM19" i="148"/>
  <c r="BJ19" i="149" s="1"/>
  <c r="CO19" i="148"/>
  <c r="CL19" i="149" s="1"/>
  <c r="CR19" i="148"/>
  <c r="CO19" i="149" s="1"/>
  <c r="DA19" i="148"/>
  <c r="CX19" i="149" s="1"/>
  <c r="CY19" i="148"/>
  <c r="CV19" i="149" s="1"/>
  <c r="CD19" i="148"/>
  <c r="CA19" i="149" s="1"/>
  <c r="BG19" i="148"/>
  <c r="BD19" i="149" s="1"/>
  <c r="BR19" i="148"/>
  <c r="BO19" i="149" s="1"/>
  <c r="BF19" i="148"/>
  <c r="BC19" i="149" s="1"/>
  <c r="BV19" i="148"/>
  <c r="BS19" i="149" s="1"/>
  <c r="I19" i="148"/>
  <c r="CW19" i="148"/>
  <c r="CT19" i="149" s="1"/>
  <c r="CP19" i="148"/>
  <c r="CM19" i="149" s="1"/>
  <c r="AW19" i="148"/>
  <c r="AT19" i="149" s="1"/>
  <c r="CU19" i="148"/>
  <c r="CR19" i="149" s="1"/>
  <c r="BQ19" i="148"/>
  <c r="BN19" i="149" s="1"/>
  <c r="R19" i="148"/>
  <c r="CE19" i="148"/>
  <c r="CB19" i="149" s="1"/>
  <c r="CT19" i="148"/>
  <c r="CQ19" i="149" s="1"/>
  <c r="BY19" i="148"/>
  <c r="BV19" i="149" s="1"/>
  <c r="BH19" i="148"/>
  <c r="BE19" i="149" s="1"/>
  <c r="D19" i="148"/>
  <c r="BO19" i="148"/>
  <c r="BA19" i="148"/>
  <c r="AX19" i="149" s="1"/>
  <c r="AZ19" i="148"/>
  <c r="AW19" i="149" s="1"/>
  <c r="BB19" i="148"/>
  <c r="AY19" i="149" s="1"/>
  <c r="BC19" i="148"/>
  <c r="AZ19" i="149" s="1"/>
  <c r="BK19" i="148"/>
  <c r="BH19" i="149" s="1"/>
  <c r="BL19" i="148"/>
  <c r="BI19" i="149" s="1"/>
  <c r="BI19" i="148"/>
  <c r="BF19" i="149" s="1"/>
  <c r="BN19" i="148"/>
  <c r="BK19" i="149" s="1"/>
  <c r="BJ19" i="148"/>
  <c r="BG19" i="149" s="1"/>
  <c r="DA32" i="149"/>
  <c r="CZ32" i="149"/>
  <c r="CY32" i="149"/>
  <c r="DB32" i="149"/>
  <c r="BL32" i="149"/>
  <c r="DA55" i="149"/>
  <c r="CZ55" i="149"/>
  <c r="DB55" i="149"/>
  <c r="BL55" i="149"/>
  <c r="DB57" i="149"/>
  <c r="DA57" i="149"/>
  <c r="CZ57" i="149"/>
  <c r="BL57" i="149"/>
  <c r="DB60" i="149"/>
  <c r="DA60" i="149"/>
  <c r="CZ60" i="149"/>
  <c r="BL60" i="149"/>
  <c r="CC158" i="149"/>
  <c r="CD158" i="149"/>
  <c r="CB158" i="149"/>
  <c r="BC158" i="149"/>
  <c r="DB158" i="149"/>
  <c r="AN158" i="149"/>
  <c r="AH158" i="149"/>
  <c r="CS158" i="149"/>
  <c r="CJ158" i="149"/>
  <c r="BU158" i="149"/>
  <c r="CN158" i="149"/>
  <c r="AQ158" i="149"/>
  <c r="AI158" i="149"/>
  <c r="BV158" i="149"/>
  <c r="AB158" i="149"/>
  <c r="BF158" i="149"/>
  <c r="AD158" i="149"/>
  <c r="CZ158" i="149"/>
  <c r="AG158" i="149"/>
  <c r="AS158" i="149"/>
  <c r="CE158" i="149"/>
  <c r="X158" i="149"/>
  <c r="BH158" i="149"/>
  <c r="AA158" i="149"/>
  <c r="AY158" i="149"/>
  <c r="AM158" i="149"/>
  <c r="BY158" i="149"/>
  <c r="BB158" i="149"/>
  <c r="BJ158" i="149"/>
  <c r="Y158" i="149"/>
  <c r="BK158" i="149"/>
  <c r="BO158" i="149"/>
  <c r="AL158" i="149"/>
  <c r="BQ158" i="149"/>
  <c r="AJ158" i="149"/>
  <c r="CF158" i="149"/>
  <c r="BI158" i="149"/>
  <c r="CL158" i="149"/>
  <c r="BG158" i="149"/>
  <c r="BP158" i="149"/>
  <c r="AF158" i="149"/>
  <c r="BR158" i="149"/>
  <c r="BL158" i="149"/>
  <c r="AT158" i="149"/>
  <c r="AZ158" i="149"/>
  <c r="CX158" i="149"/>
  <c r="CM158" i="149"/>
  <c r="W158" i="149"/>
  <c r="AP158" i="149"/>
  <c r="CK158" i="149"/>
  <c r="AK158" i="149"/>
  <c r="AW158" i="149"/>
  <c r="CT158" i="149"/>
  <c r="CV158" i="149"/>
  <c r="CW158" i="149"/>
  <c r="BT158" i="149"/>
  <c r="BM158" i="149"/>
  <c r="AV158" i="149"/>
  <c r="AU158" i="149"/>
  <c r="CQ158" i="149"/>
  <c r="BX158" i="149"/>
  <c r="CY158" i="149"/>
  <c r="AO158" i="149"/>
  <c r="CA158" i="149"/>
  <c r="BE158" i="149"/>
  <c r="BW158" i="149"/>
  <c r="CH158" i="149"/>
  <c r="BN158" i="149"/>
  <c r="AC158" i="149"/>
  <c r="AE158" i="149"/>
  <c r="CU158" i="149"/>
  <c r="CI158" i="149"/>
  <c r="U158" i="149"/>
  <c r="AR158" i="149"/>
  <c r="CO158" i="149"/>
  <c r="BZ158" i="149"/>
  <c r="AX158" i="149"/>
  <c r="DA158" i="149"/>
  <c r="CG158" i="149"/>
  <c r="Z158" i="149"/>
  <c r="BS158" i="149"/>
  <c r="CP158" i="149"/>
  <c r="V158" i="149"/>
  <c r="BA158" i="149"/>
  <c r="BD158" i="149"/>
  <c r="CR158" i="149"/>
  <c r="D158" i="149"/>
  <c r="Q84" i="148"/>
  <c r="BB84" i="148"/>
  <c r="AY84" i="149" s="1"/>
  <c r="CA84" i="148"/>
  <c r="BX84" i="149" s="1"/>
  <c r="CN84" i="148"/>
  <c r="CK84" i="149" s="1"/>
  <c r="BG84" i="148"/>
  <c r="BD84" i="149" s="1"/>
  <c r="CB84" i="148"/>
  <c r="BY84" i="149" s="1"/>
  <c r="CQ84" i="148"/>
  <c r="CN84" i="149" s="1"/>
  <c r="BA84" i="148"/>
  <c r="AX84" i="149" s="1"/>
  <c r="BD84" i="148"/>
  <c r="BA84" i="149" s="1"/>
  <c r="CX84" i="148"/>
  <c r="CU84" i="149" s="1"/>
  <c r="CY84" i="148"/>
  <c r="CV84" i="149" s="1"/>
  <c r="BX84" i="148"/>
  <c r="BU84" i="149" s="1"/>
  <c r="I84" i="148"/>
  <c r="BN84" i="148"/>
  <c r="BK84" i="149" s="1"/>
  <c r="H84" i="148"/>
  <c r="CK84" i="148"/>
  <c r="CH84" i="149" s="1"/>
  <c r="BM84" i="148"/>
  <c r="BJ84" i="149" s="1"/>
  <c r="CI84" i="148"/>
  <c r="CF84" i="149" s="1"/>
  <c r="BJ84" i="148"/>
  <c r="BG84" i="149" s="1"/>
  <c r="CS84" i="148"/>
  <c r="CP84" i="149" s="1"/>
  <c r="BW84" i="148"/>
  <c r="BT84" i="149" s="1"/>
  <c r="CR84" i="148"/>
  <c r="CO84" i="149" s="1"/>
  <c r="AY84" i="148"/>
  <c r="AV84" i="149" s="1"/>
  <c r="BL84" i="148"/>
  <c r="BI84" i="149" s="1"/>
  <c r="CC84" i="148"/>
  <c r="BZ84" i="149" s="1"/>
  <c r="CW84" i="148"/>
  <c r="CT84" i="149" s="1"/>
  <c r="R84" i="148"/>
  <c r="BZ84" i="148"/>
  <c r="BW84" i="149" s="1"/>
  <c r="BO84" i="148"/>
  <c r="G84" i="148"/>
  <c r="CF84" i="148"/>
  <c r="CC84" i="149" s="1"/>
  <c r="BP84" i="148"/>
  <c r="BM84" i="149" s="1"/>
  <c r="BI84" i="148"/>
  <c r="BF84" i="149" s="1"/>
  <c r="BS84" i="148"/>
  <c r="BP84" i="149" s="1"/>
  <c r="CV84" i="148"/>
  <c r="CS84" i="149" s="1"/>
  <c r="E84" i="148"/>
  <c r="BK84" i="148"/>
  <c r="BH84" i="149" s="1"/>
  <c r="CJ84" i="148"/>
  <c r="CG84" i="149" s="1"/>
  <c r="CU84" i="148"/>
  <c r="CR84" i="149" s="1"/>
  <c r="AV84" i="148"/>
  <c r="AS84" i="149" s="1"/>
  <c r="BH84" i="148"/>
  <c r="BE84" i="149" s="1"/>
  <c r="CP84" i="148"/>
  <c r="CM84" i="149" s="1"/>
  <c r="BR84" i="148"/>
  <c r="BO84" i="149" s="1"/>
  <c r="BV84" i="148"/>
  <c r="BS84" i="149" s="1"/>
  <c r="AZ84" i="148"/>
  <c r="AW84" i="149" s="1"/>
  <c r="V84" i="148"/>
  <c r="CT84" i="148"/>
  <c r="CQ84" i="149" s="1"/>
  <c r="CG84" i="148"/>
  <c r="CD84" i="149" s="1"/>
  <c r="BC84" i="148"/>
  <c r="AZ84" i="149" s="1"/>
  <c r="BU84" i="148"/>
  <c r="BR84" i="149" s="1"/>
  <c r="BF84" i="148"/>
  <c r="BC84" i="149" s="1"/>
  <c r="CD84" i="148"/>
  <c r="CA84" i="149" s="1"/>
  <c r="F84" i="148"/>
  <c r="CE84" i="148"/>
  <c r="CB84" i="149" s="1"/>
  <c r="AX84" i="148"/>
  <c r="AU84" i="149" s="1"/>
  <c r="BT84" i="148"/>
  <c r="BQ84" i="149" s="1"/>
  <c r="BQ84" i="148"/>
  <c r="BN84" i="149" s="1"/>
  <c r="AW84" i="148"/>
  <c r="AT84" i="149" s="1"/>
  <c r="CM84" i="148"/>
  <c r="CJ84" i="149" s="1"/>
  <c r="CO84" i="148"/>
  <c r="CL84" i="149" s="1"/>
  <c r="CL84" i="148"/>
  <c r="CI84" i="149" s="1"/>
  <c r="CH84" i="148"/>
  <c r="CE84" i="149" s="1"/>
  <c r="BY84" i="148"/>
  <c r="BV84" i="149" s="1"/>
  <c r="DA84" i="148"/>
  <c r="CX84" i="149" s="1"/>
  <c r="CZ84" i="148"/>
  <c r="CW84" i="149" s="1"/>
  <c r="BE84" i="148"/>
  <c r="BB84" i="149" s="1"/>
  <c r="D84" i="148"/>
  <c r="DA104" i="149"/>
  <c r="DB104" i="149"/>
  <c r="CZ104" i="149"/>
  <c r="CY104" i="149"/>
  <c r="BL104" i="149"/>
  <c r="Q117" i="148"/>
  <c r="BI117" i="148"/>
  <c r="BF117" i="149" s="1"/>
  <c r="BS117" i="148"/>
  <c r="BP117" i="149" s="1"/>
  <c r="BZ117" i="148"/>
  <c r="BW117" i="149" s="1"/>
  <c r="H117" i="148"/>
  <c r="DA117" i="148"/>
  <c r="CX117" i="149" s="1"/>
  <c r="BK117" i="148"/>
  <c r="BH117" i="149" s="1"/>
  <c r="CR117" i="148"/>
  <c r="CO117" i="149" s="1"/>
  <c r="F117" i="148"/>
  <c r="CK117" i="148"/>
  <c r="CH117" i="149" s="1"/>
  <c r="CX117" i="148"/>
  <c r="CU117" i="149" s="1"/>
  <c r="BM117" i="148"/>
  <c r="BJ117" i="149" s="1"/>
  <c r="CT117" i="148"/>
  <c r="CQ117" i="149" s="1"/>
  <c r="V117" i="148"/>
  <c r="CD117" i="148"/>
  <c r="CA117" i="149" s="1"/>
  <c r="CQ117" i="148"/>
  <c r="CN117" i="149" s="1"/>
  <c r="BL117" i="148"/>
  <c r="BI117" i="149" s="1"/>
  <c r="BX117" i="148"/>
  <c r="BU117" i="149" s="1"/>
  <c r="CY117" i="148"/>
  <c r="CV117" i="149" s="1"/>
  <c r="CO117" i="148"/>
  <c r="CL117" i="149" s="1"/>
  <c r="CP117" i="148"/>
  <c r="CM117" i="149" s="1"/>
  <c r="BN117" i="148"/>
  <c r="BK117" i="149" s="1"/>
  <c r="AW117" i="148"/>
  <c r="AT117" i="149" s="1"/>
  <c r="BT117" i="148"/>
  <c r="BQ117" i="149" s="1"/>
  <c r="G117" i="148"/>
  <c r="CU117" i="148"/>
  <c r="CR117" i="149" s="1"/>
  <c r="BA117" i="148"/>
  <c r="AX117" i="149" s="1"/>
  <c r="BV117" i="148"/>
  <c r="BS117" i="149" s="1"/>
  <c r="BR117" i="148"/>
  <c r="BO117" i="149" s="1"/>
  <c r="CS117" i="148"/>
  <c r="CP117" i="149" s="1"/>
  <c r="BQ117" i="148"/>
  <c r="BN117" i="149" s="1"/>
  <c r="BJ117" i="148"/>
  <c r="BG117" i="149" s="1"/>
  <c r="CI117" i="148"/>
  <c r="CF117" i="149" s="1"/>
  <c r="CW117" i="148"/>
  <c r="CT117" i="149" s="1"/>
  <c r="E117" i="148"/>
  <c r="CJ117" i="148"/>
  <c r="CG117" i="149" s="1"/>
  <c r="BC117" i="148"/>
  <c r="AZ117" i="149" s="1"/>
  <c r="CG117" i="148"/>
  <c r="CD117" i="149" s="1"/>
  <c r="BH117" i="148"/>
  <c r="BE117" i="148"/>
  <c r="BB117" i="149" s="1"/>
  <c r="BF117" i="148"/>
  <c r="BC117" i="149" s="1"/>
  <c r="R117" i="148"/>
  <c r="CH117" i="148"/>
  <c r="CE117" i="149" s="1"/>
  <c r="BG117" i="148"/>
  <c r="BD117" i="149" s="1"/>
  <c r="CA117" i="148"/>
  <c r="BX117" i="149" s="1"/>
  <c r="I117" i="148"/>
  <c r="BO117" i="148"/>
  <c r="AV117" i="148"/>
  <c r="AS117" i="149" s="1"/>
  <c r="BY117" i="148"/>
  <c r="BV117" i="149" s="1"/>
  <c r="CF117" i="148"/>
  <c r="CC117" i="149" s="1"/>
  <c r="CN117" i="148"/>
  <c r="CK117" i="149" s="1"/>
  <c r="CE117" i="148"/>
  <c r="CB117" i="149" s="1"/>
  <c r="CL117" i="148"/>
  <c r="CI117" i="149" s="1"/>
  <c r="CZ117" i="148"/>
  <c r="CW117" i="149" s="1"/>
  <c r="CV117" i="148"/>
  <c r="CS117" i="149" s="1"/>
  <c r="AY117" i="148"/>
  <c r="AV117" i="149" s="1"/>
  <c r="CC117" i="148"/>
  <c r="BZ117" i="149" s="1"/>
  <c r="BB117" i="148"/>
  <c r="AY117" i="149" s="1"/>
  <c r="AZ117" i="148"/>
  <c r="AW117" i="149" s="1"/>
  <c r="BP117" i="148"/>
  <c r="BM117" i="149" s="1"/>
  <c r="CB117" i="148"/>
  <c r="BY117" i="149" s="1"/>
  <c r="CM117" i="148"/>
  <c r="CJ117" i="149" s="1"/>
  <c r="D117" i="148"/>
  <c r="DB23" i="149"/>
  <c r="DA23" i="149"/>
  <c r="CZ23" i="149"/>
  <c r="CY23" i="149"/>
  <c r="BE23" i="149"/>
  <c r="BL23" i="149"/>
  <c r="DB118" i="149"/>
  <c r="DA118" i="149"/>
  <c r="CY118" i="149"/>
  <c r="CZ118" i="149"/>
  <c r="BL118" i="149"/>
  <c r="DB37" i="149"/>
  <c r="DA37" i="149"/>
  <c r="CZ37" i="149"/>
  <c r="BL37" i="149"/>
  <c r="DB154" i="149"/>
  <c r="CY154" i="149"/>
  <c r="DA154" i="149"/>
  <c r="CZ154" i="149"/>
  <c r="BE154" i="149"/>
  <c r="BL154" i="149"/>
  <c r="Q107" i="148"/>
  <c r="F107" i="148"/>
  <c r="I107" i="148"/>
  <c r="CU107" i="148"/>
  <c r="R107" i="148"/>
  <c r="V107" i="148"/>
  <c r="E107" i="148"/>
  <c r="H107" i="148"/>
  <c r="CF107" i="148"/>
  <c r="CC107" i="149" s="1"/>
  <c r="BV107" i="148"/>
  <c r="BS107" i="149" s="1"/>
  <c r="CZ107" i="148"/>
  <c r="CW107" i="149" s="1"/>
  <c r="BR107" i="148"/>
  <c r="BO107" i="149" s="1"/>
  <c r="CY107" i="148"/>
  <c r="CV107" i="149" s="1"/>
  <c r="G107" i="148"/>
  <c r="BA107" i="148"/>
  <c r="AX107" i="149" s="1"/>
  <c r="CW107" i="148"/>
  <c r="CT107" i="149" s="1"/>
  <c r="CT107" i="148"/>
  <c r="CQ107" i="149" s="1"/>
  <c r="CI107" i="148"/>
  <c r="CF107" i="149" s="1"/>
  <c r="CD107" i="148"/>
  <c r="CA107" i="149" s="1"/>
  <c r="CX107" i="148"/>
  <c r="CU107" i="149" s="1"/>
  <c r="AW107" i="148"/>
  <c r="AT107" i="149" s="1"/>
  <c r="CE107" i="148"/>
  <c r="CB107" i="149" s="1"/>
  <c r="BS107" i="148"/>
  <c r="BP107" i="149" s="1"/>
  <c r="CM107" i="148"/>
  <c r="CJ107" i="149" s="1"/>
  <c r="CH107" i="148"/>
  <c r="CE107" i="149" s="1"/>
  <c r="BH107" i="148"/>
  <c r="BE107" i="149" s="1"/>
  <c r="BK107" i="148"/>
  <c r="BH107" i="149" s="1"/>
  <c r="CJ107" i="148"/>
  <c r="CG107" i="149" s="1"/>
  <c r="BY107" i="148"/>
  <c r="BV107" i="149" s="1"/>
  <c r="CV107" i="148"/>
  <c r="CS107" i="149" s="1"/>
  <c r="BI107" i="148"/>
  <c r="BF107" i="149" s="1"/>
  <c r="CB107" i="148"/>
  <c r="BY107" i="149" s="1"/>
  <c r="CP107" i="148"/>
  <c r="CM107" i="149" s="1"/>
  <c r="BB107" i="148"/>
  <c r="AY107" i="149" s="1"/>
  <c r="AZ107" i="148"/>
  <c r="AW107" i="149" s="1"/>
  <c r="BO107" i="148"/>
  <c r="CK107" i="148"/>
  <c r="CH107" i="149" s="1"/>
  <c r="BJ107" i="148"/>
  <c r="BG107" i="149" s="1"/>
  <c r="BX107" i="148"/>
  <c r="BU107" i="149" s="1"/>
  <c r="CA107" i="148"/>
  <c r="BX107" i="149" s="1"/>
  <c r="BF107" i="148"/>
  <c r="BC107" i="149" s="1"/>
  <c r="BE107" i="148"/>
  <c r="BB107" i="149" s="1"/>
  <c r="CS107" i="148"/>
  <c r="CP107" i="149" s="1"/>
  <c r="BP107" i="148"/>
  <c r="BM107" i="149" s="1"/>
  <c r="DA107" i="148"/>
  <c r="CX107" i="149" s="1"/>
  <c r="AV107" i="148"/>
  <c r="AS107" i="149" s="1"/>
  <c r="CL107" i="148"/>
  <c r="CI107" i="149" s="1"/>
  <c r="BC107" i="148"/>
  <c r="AZ107" i="149" s="1"/>
  <c r="D107" i="148"/>
  <c r="BQ107" i="148"/>
  <c r="BN107" i="149" s="1"/>
  <c r="CC107" i="148"/>
  <c r="BZ107" i="149" s="1"/>
  <c r="BZ107" i="148"/>
  <c r="BW107" i="149" s="1"/>
  <c r="CQ107" i="148"/>
  <c r="CN107" i="149" s="1"/>
  <c r="CR107" i="148"/>
  <c r="CO107" i="149" s="1"/>
  <c r="BG107" i="148"/>
  <c r="BD107" i="149" s="1"/>
  <c r="BL107" i="148"/>
  <c r="BI107" i="149" s="1"/>
  <c r="CO107" i="148"/>
  <c r="CL107" i="149" s="1"/>
  <c r="BT107" i="148"/>
  <c r="BQ107" i="149" s="1"/>
  <c r="BN107" i="148"/>
  <c r="BK107" i="149" s="1"/>
  <c r="CN107" i="148"/>
  <c r="CK107" i="149" s="1"/>
  <c r="CG107" i="148"/>
  <c r="CD107" i="149" s="1"/>
  <c r="AY107" i="148"/>
  <c r="AV107" i="149" s="1"/>
  <c r="BM107" i="148"/>
  <c r="BJ107" i="149" s="1"/>
  <c r="CZ99" i="149"/>
  <c r="DB99" i="149"/>
  <c r="CY99" i="149"/>
  <c r="DA99" i="149"/>
  <c r="BE99" i="149"/>
  <c r="BL99" i="149"/>
  <c r="Q62" i="148"/>
  <c r="BH62" i="148"/>
  <c r="BE62" i="149" s="1"/>
  <c r="DA62" i="148"/>
  <c r="CX62" i="149" s="1"/>
  <c r="F62" i="148"/>
  <c r="CY62" i="148"/>
  <c r="CV62" i="149" s="1"/>
  <c r="CQ62" i="148"/>
  <c r="CN62" i="149" s="1"/>
  <c r="BL62" i="148"/>
  <c r="BI62" i="149" s="1"/>
  <c r="CL62" i="148"/>
  <c r="CI62" i="149" s="1"/>
  <c r="AZ62" i="148"/>
  <c r="AW62" i="149" s="1"/>
  <c r="I62" i="148"/>
  <c r="BR62" i="148"/>
  <c r="BO62" i="149" s="1"/>
  <c r="CU62" i="148"/>
  <c r="CR62" i="149" s="1"/>
  <c r="BY62" i="148"/>
  <c r="BV62" i="149" s="1"/>
  <c r="BD62" i="148"/>
  <c r="BA62" i="149" s="1"/>
  <c r="AV62" i="148"/>
  <c r="AS62" i="149" s="1"/>
  <c r="CB62" i="148"/>
  <c r="BY62" i="149" s="1"/>
  <c r="CH62" i="148"/>
  <c r="CE62" i="149" s="1"/>
  <c r="BC62" i="148"/>
  <c r="AZ62" i="149" s="1"/>
  <c r="CN62" i="148"/>
  <c r="CK62" i="149" s="1"/>
  <c r="BW62" i="148"/>
  <c r="BT62" i="149" s="1"/>
  <c r="E62" i="148"/>
  <c r="CK62" i="148"/>
  <c r="CH62" i="149" s="1"/>
  <c r="BB62" i="148"/>
  <c r="AY62" i="149" s="1"/>
  <c r="CO62" i="148"/>
  <c r="CL62" i="149" s="1"/>
  <c r="CJ62" i="148"/>
  <c r="CG62" i="149" s="1"/>
  <c r="BA62" i="148"/>
  <c r="AX62" i="149" s="1"/>
  <c r="G62" i="148"/>
  <c r="H62" i="148"/>
  <c r="BM62" i="148"/>
  <c r="BJ62" i="149" s="1"/>
  <c r="CC62" i="148"/>
  <c r="BZ62" i="149" s="1"/>
  <c r="CA62" i="148"/>
  <c r="BX62" i="149" s="1"/>
  <c r="BF62" i="148"/>
  <c r="BC62" i="149" s="1"/>
  <c r="CG62" i="148"/>
  <c r="CD62" i="149" s="1"/>
  <c r="BG62" i="148"/>
  <c r="BD62" i="149" s="1"/>
  <c r="CS62" i="148"/>
  <c r="CP62" i="149" s="1"/>
  <c r="CR62" i="148"/>
  <c r="CO62" i="149" s="1"/>
  <c r="CI62" i="148"/>
  <c r="CF62" i="149" s="1"/>
  <c r="BI62" i="148"/>
  <c r="BF62" i="149" s="1"/>
  <c r="CD62" i="148"/>
  <c r="CA62" i="149" s="1"/>
  <c r="BU62" i="148"/>
  <c r="BR62" i="149" s="1"/>
  <c r="BK62" i="148"/>
  <c r="BH62" i="149" s="1"/>
  <c r="CF62" i="148"/>
  <c r="CC62" i="149" s="1"/>
  <c r="BQ62" i="148"/>
  <c r="BN62" i="149" s="1"/>
  <c r="CM62" i="148"/>
  <c r="CJ62" i="149" s="1"/>
  <c r="CE62" i="148"/>
  <c r="CB62" i="149" s="1"/>
  <c r="BS62" i="148"/>
  <c r="BP62" i="149" s="1"/>
  <c r="BN62" i="148"/>
  <c r="BK62" i="149" s="1"/>
  <c r="BE62" i="148"/>
  <c r="BB62" i="149" s="1"/>
  <c r="CW62" i="148"/>
  <c r="CT62" i="149" s="1"/>
  <c r="BO62" i="148"/>
  <c r="CZ62" i="148"/>
  <c r="CW62" i="149" s="1"/>
  <c r="R62" i="148"/>
  <c r="BZ62" i="148"/>
  <c r="BW62" i="149" s="1"/>
  <c r="CP62" i="148"/>
  <c r="CM62" i="149" s="1"/>
  <c r="BX62" i="148"/>
  <c r="BU62" i="149" s="1"/>
  <c r="BT62" i="148"/>
  <c r="BQ62" i="149" s="1"/>
  <c r="AY62" i="148"/>
  <c r="AV62" i="149" s="1"/>
  <c r="BJ62" i="148"/>
  <c r="BG62" i="149" s="1"/>
  <c r="AW62" i="148"/>
  <c r="AT62" i="149" s="1"/>
  <c r="CV62" i="148"/>
  <c r="CS62" i="149" s="1"/>
  <c r="CX62" i="148"/>
  <c r="CU62" i="149" s="1"/>
  <c r="BV62" i="148"/>
  <c r="BS62" i="149" s="1"/>
  <c r="V62" i="148"/>
  <c r="BP62" i="148"/>
  <c r="BM62" i="149" s="1"/>
  <c r="CT62" i="148"/>
  <c r="CQ62" i="149" s="1"/>
  <c r="AX62" i="148"/>
  <c r="AU62" i="149" s="1"/>
  <c r="D62" i="148"/>
  <c r="DB30" i="149"/>
  <c r="DA30" i="149"/>
  <c r="CZ30" i="149"/>
  <c r="BL30" i="149"/>
  <c r="DB146" i="149"/>
  <c r="CZ146" i="149"/>
  <c r="CY146" i="149"/>
  <c r="DA146" i="149"/>
  <c r="BL146" i="149"/>
  <c r="Q89" i="148"/>
  <c r="CA89" i="148"/>
  <c r="BX89" i="149" s="1"/>
  <c r="AX89" i="148"/>
  <c r="AU89" i="149" s="1"/>
  <c r="E89" i="148"/>
  <c r="I89" i="148"/>
  <c r="BX89" i="148"/>
  <c r="BU89" i="149" s="1"/>
  <c r="BY89" i="148"/>
  <c r="BV89" i="149" s="1"/>
  <c r="BE89" i="148"/>
  <c r="BB89" i="149" s="1"/>
  <c r="CE89" i="148"/>
  <c r="CB89" i="149" s="1"/>
  <c r="CB89" i="148"/>
  <c r="BY89" i="149" s="1"/>
  <c r="BT89" i="148"/>
  <c r="BQ89" i="149" s="1"/>
  <c r="CX89" i="148"/>
  <c r="CU89" i="149" s="1"/>
  <c r="CV89" i="148"/>
  <c r="CS89" i="149" s="1"/>
  <c r="CD89" i="148"/>
  <c r="CA89" i="149" s="1"/>
  <c r="AW89" i="148"/>
  <c r="AT89" i="149" s="1"/>
  <c r="CU89" i="148"/>
  <c r="CR89" i="149" s="1"/>
  <c r="F89" i="148"/>
  <c r="CG89" i="148"/>
  <c r="CD89" i="149" s="1"/>
  <c r="BQ89" i="148"/>
  <c r="BN89" i="149" s="1"/>
  <c r="CO89" i="148"/>
  <c r="CL89" i="149" s="1"/>
  <c r="CW89" i="148"/>
  <c r="CT89" i="149" s="1"/>
  <c r="CZ89" i="148"/>
  <c r="CW89" i="149" s="1"/>
  <c r="H89" i="148"/>
  <c r="CM89" i="148"/>
  <c r="CJ89" i="149" s="1"/>
  <c r="AV89" i="148"/>
  <c r="AS89" i="149" s="1"/>
  <c r="R89" i="148"/>
  <c r="CF89" i="148"/>
  <c r="CC89" i="149" s="1"/>
  <c r="CI89" i="148"/>
  <c r="CF89" i="149" s="1"/>
  <c r="CQ89" i="148"/>
  <c r="CN89" i="149" s="1"/>
  <c r="CL89" i="148"/>
  <c r="CI89" i="149" s="1"/>
  <c r="CH89" i="148"/>
  <c r="CE89" i="149" s="1"/>
  <c r="CS89" i="148"/>
  <c r="CP89" i="149" s="1"/>
  <c r="BF89" i="148"/>
  <c r="BC89" i="149" s="1"/>
  <c r="BZ89" i="148"/>
  <c r="BW89" i="149" s="1"/>
  <c r="G89" i="148"/>
  <c r="CK89" i="148"/>
  <c r="CH89" i="149" s="1"/>
  <c r="CJ89" i="148"/>
  <c r="CG89" i="149" s="1"/>
  <c r="BW89" i="148"/>
  <c r="BT89" i="149" s="1"/>
  <c r="DA89" i="148"/>
  <c r="CX89" i="149" s="1"/>
  <c r="V89" i="148"/>
  <c r="BU89" i="148"/>
  <c r="BR89" i="149" s="1"/>
  <c r="BG89" i="148"/>
  <c r="BD89" i="149" s="1"/>
  <c r="CT89" i="148"/>
  <c r="CQ89" i="149" s="1"/>
  <c r="CN89" i="148"/>
  <c r="CK89" i="149" s="1"/>
  <c r="CR89" i="148"/>
  <c r="CO89" i="149" s="1"/>
  <c r="CY89" i="148"/>
  <c r="CV89" i="149" s="1"/>
  <c r="CC89" i="148"/>
  <c r="BZ89" i="149" s="1"/>
  <c r="CP89" i="148"/>
  <c r="CM89" i="149" s="1"/>
  <c r="BV89" i="148"/>
  <c r="BS89" i="149" s="1"/>
  <c r="BP89" i="148"/>
  <c r="BM89" i="149" s="1"/>
  <c r="AY89" i="148"/>
  <c r="AV89" i="149" s="1"/>
  <c r="BA89" i="148"/>
  <c r="AX89" i="149" s="1"/>
  <c r="BD89" i="148"/>
  <c r="BA89" i="149" s="1"/>
  <c r="BR89" i="148"/>
  <c r="BO89" i="149" s="1"/>
  <c r="BJ89" i="148"/>
  <c r="BG89" i="149" s="1"/>
  <c r="BM89" i="148"/>
  <c r="BJ89" i="149" s="1"/>
  <c r="BK89" i="148"/>
  <c r="BH89" i="149" s="1"/>
  <c r="BS89" i="148"/>
  <c r="BP89" i="149" s="1"/>
  <c r="BN89" i="148"/>
  <c r="BK89" i="149" s="1"/>
  <c r="BH89" i="148"/>
  <c r="BE89" i="149" s="1"/>
  <c r="BB89" i="148"/>
  <c r="AY89" i="149" s="1"/>
  <c r="BO89" i="148"/>
  <c r="BC89" i="148"/>
  <c r="AZ89" i="149" s="1"/>
  <c r="AZ89" i="148"/>
  <c r="AW89" i="149" s="1"/>
  <c r="BI89" i="148"/>
  <c r="BF89" i="149" s="1"/>
  <c r="BL89" i="148"/>
  <c r="BI89" i="149" s="1"/>
  <c r="D89" i="148"/>
  <c r="DA101" i="149"/>
  <c r="DB101" i="149"/>
  <c r="CZ101" i="149"/>
  <c r="CY101" i="149"/>
  <c r="BL101" i="149"/>
  <c r="DB91" i="149"/>
  <c r="CZ91" i="149"/>
  <c r="CY91" i="149"/>
  <c r="DA91" i="149"/>
  <c r="BL91" i="149"/>
  <c r="DA11" i="149"/>
  <c r="CZ11" i="149"/>
  <c r="DB11" i="149"/>
  <c r="BL11" i="149"/>
  <c r="Q81" i="148"/>
  <c r="CH81" i="148"/>
  <c r="CE81" i="149" s="1"/>
  <c r="F81" i="148"/>
  <c r="CQ81" i="148"/>
  <c r="CN81" i="149" s="1"/>
  <c r="CA81" i="148"/>
  <c r="BX81" i="149" s="1"/>
  <c r="CL81" i="148"/>
  <c r="CI81" i="149" s="1"/>
  <c r="BY81" i="148"/>
  <c r="BV81" i="149" s="1"/>
  <c r="CZ81" i="148"/>
  <c r="CW81" i="149" s="1"/>
  <c r="BX81" i="148"/>
  <c r="BU81" i="149" s="1"/>
  <c r="CR81" i="148"/>
  <c r="CO81" i="149" s="1"/>
  <c r="CC81" i="148"/>
  <c r="BZ81" i="149" s="1"/>
  <c r="CU81" i="148"/>
  <c r="CR81" i="149" s="1"/>
  <c r="V81" i="148"/>
  <c r="CG81" i="148"/>
  <c r="CD81" i="149" s="1"/>
  <c r="CY81" i="148"/>
  <c r="CV81" i="149" s="1"/>
  <c r="CP81" i="148"/>
  <c r="CM81" i="149" s="1"/>
  <c r="CK81" i="148"/>
  <c r="CH81" i="149" s="1"/>
  <c r="E81" i="148"/>
  <c r="CT81" i="148"/>
  <c r="CQ81" i="149" s="1"/>
  <c r="CO81" i="148"/>
  <c r="CL81" i="149" s="1"/>
  <c r="I81" i="148"/>
  <c r="CX81" i="148"/>
  <c r="CU81" i="149" s="1"/>
  <c r="CS81" i="148"/>
  <c r="CP81" i="149" s="1"/>
  <c r="CJ81" i="148"/>
  <c r="CG81" i="149" s="1"/>
  <c r="H81" i="148"/>
  <c r="CW81" i="148"/>
  <c r="CT81" i="149" s="1"/>
  <c r="R81" i="148"/>
  <c r="CF81" i="148"/>
  <c r="CC81" i="149" s="1"/>
  <c r="CN81" i="148"/>
  <c r="CK81" i="149" s="1"/>
  <c r="CV81" i="148"/>
  <c r="CS81" i="149" s="1"/>
  <c r="G81" i="148"/>
  <c r="CE81" i="148"/>
  <c r="CB81" i="149" s="1"/>
  <c r="BZ81" i="148"/>
  <c r="BW81" i="149" s="1"/>
  <c r="CB81" i="148"/>
  <c r="BY81" i="149" s="1"/>
  <c r="CI81" i="148"/>
  <c r="CF81" i="149" s="1"/>
  <c r="DA81" i="148"/>
  <c r="CX81" i="149" s="1"/>
  <c r="CM81" i="148"/>
  <c r="CJ81" i="149" s="1"/>
  <c r="CD81" i="148"/>
  <c r="CA81" i="149" s="1"/>
  <c r="BQ81" i="148"/>
  <c r="BN81" i="149" s="1"/>
  <c r="BE81" i="148"/>
  <c r="BB81" i="149" s="1"/>
  <c r="BR81" i="148"/>
  <c r="BO81" i="149" s="1"/>
  <c r="AW81" i="148"/>
  <c r="AT81" i="149" s="1"/>
  <c r="BW81" i="148"/>
  <c r="BT81" i="149" s="1"/>
  <c r="BK81" i="148"/>
  <c r="BH81" i="149" s="1"/>
  <c r="AY81" i="148"/>
  <c r="AV81" i="149" s="1"/>
  <c r="AV81" i="148"/>
  <c r="AS81" i="149" s="1"/>
  <c r="BF81" i="148"/>
  <c r="BC81" i="149" s="1"/>
  <c r="BD81" i="148"/>
  <c r="BA81" i="149" s="1"/>
  <c r="BV81" i="148"/>
  <c r="BS81" i="149" s="1"/>
  <c r="AX81" i="148"/>
  <c r="AU81" i="149" s="1"/>
  <c r="BP81" i="148"/>
  <c r="BM81" i="149" s="1"/>
  <c r="BU81" i="148"/>
  <c r="BR81" i="149" s="1"/>
  <c r="BH81" i="148"/>
  <c r="BE81" i="149" s="1"/>
  <c r="BJ81" i="148"/>
  <c r="BG81" i="149" s="1"/>
  <c r="BI81" i="148"/>
  <c r="BF81" i="149" s="1"/>
  <c r="BA81" i="148"/>
  <c r="AX81" i="149" s="1"/>
  <c r="BC81" i="148"/>
  <c r="AZ81" i="149" s="1"/>
  <c r="BT81" i="148"/>
  <c r="BQ81" i="149" s="1"/>
  <c r="BO81" i="148"/>
  <c r="BG81" i="148"/>
  <c r="BD81" i="149" s="1"/>
  <c r="BS81" i="148"/>
  <c r="BP81" i="149" s="1"/>
  <c r="BB81" i="148"/>
  <c r="AY81" i="149" s="1"/>
  <c r="BL81" i="148"/>
  <c r="BI81" i="149" s="1"/>
  <c r="BN81" i="148"/>
  <c r="BK81" i="149" s="1"/>
  <c r="AZ81" i="148"/>
  <c r="AW81" i="149" s="1"/>
  <c r="BM81" i="148"/>
  <c r="BJ81" i="149" s="1"/>
  <c r="D81" i="148"/>
  <c r="E6" i="153"/>
  <c r="G6" i="153"/>
  <c r="D6" i="153"/>
  <c r="R6" i="153"/>
  <c r="P6" i="153"/>
  <c r="H6" i="153"/>
  <c r="C6" i="153"/>
  <c r="CQ6" i="153"/>
  <c r="CW6" i="153"/>
  <c r="CT6" i="153"/>
  <c r="CG6" i="153"/>
  <c r="CK6" i="153"/>
  <c r="F6" i="153"/>
  <c r="BV6" i="153"/>
  <c r="CM6" i="153"/>
  <c r="CN6" i="153"/>
  <c r="CB6" i="153"/>
  <c r="BZ6" i="153"/>
  <c r="CJ6" i="153"/>
  <c r="CD6" i="153"/>
  <c r="CR6" i="153"/>
  <c r="BT6" i="153"/>
  <c r="CH6" i="153"/>
  <c r="BY6" i="153"/>
  <c r="BX6" i="153"/>
  <c r="CU6" i="153"/>
  <c r="CS6" i="153"/>
  <c r="CF6" i="153"/>
  <c r="CI6" i="153"/>
  <c r="CL6" i="153"/>
  <c r="CA6" i="153"/>
  <c r="BU6" i="153"/>
  <c r="BW6" i="153"/>
  <c r="CP6" i="153"/>
  <c r="CC6" i="153"/>
  <c r="CE6" i="153"/>
  <c r="CV6" i="153"/>
  <c r="CO6" i="153"/>
  <c r="AS6" i="153"/>
  <c r="BC6" i="153"/>
  <c r="AY6" i="153"/>
  <c r="AW6" i="153"/>
  <c r="BE6" i="153"/>
  <c r="AR6" i="153"/>
  <c r="BG6" i="153"/>
  <c r="BM6" i="153"/>
  <c r="BH6" i="153"/>
  <c r="BI6" i="153"/>
  <c r="BL6" i="153"/>
  <c r="AU6" i="153"/>
  <c r="AX6" i="153"/>
  <c r="BA6" i="153"/>
  <c r="AV6" i="153"/>
  <c r="BK6" i="153"/>
  <c r="BN6" i="153"/>
  <c r="BO6" i="153"/>
  <c r="BR6" i="153"/>
  <c r="BF6" i="153"/>
  <c r="BB6" i="153"/>
  <c r="BP6" i="153"/>
  <c r="BJ6" i="153"/>
  <c r="BD6" i="153"/>
  <c r="P18" i="151"/>
  <c r="G18" i="151"/>
  <c r="E18" i="151"/>
  <c r="D18" i="151"/>
  <c r="R18" i="151"/>
  <c r="H18" i="151"/>
  <c r="BY18" i="151"/>
  <c r="CB18" i="151"/>
  <c r="CA18" i="151"/>
  <c r="CH18" i="151"/>
  <c r="BW18" i="151"/>
  <c r="CO18" i="151"/>
  <c r="F18" i="151"/>
  <c r="BU18" i="151"/>
  <c r="CJ18" i="151"/>
  <c r="CU18" i="151"/>
  <c r="CV18" i="151"/>
  <c r="CS18" i="151"/>
  <c r="CQ18" i="151"/>
  <c r="CP18" i="151"/>
  <c r="BV18" i="151"/>
  <c r="CE18" i="151"/>
  <c r="CD18" i="151"/>
  <c r="BX18" i="151"/>
  <c r="CM18" i="151"/>
  <c r="CN18" i="151"/>
  <c r="CT18" i="151"/>
  <c r="BT18" i="151"/>
  <c r="CF18" i="151"/>
  <c r="CG18" i="151"/>
  <c r="CR18" i="151"/>
  <c r="CI18" i="151"/>
  <c r="CL18" i="151"/>
  <c r="CK18" i="151"/>
  <c r="CW18" i="151"/>
  <c r="BZ18" i="151"/>
  <c r="CC18" i="151"/>
  <c r="BA18" i="151"/>
  <c r="BK18" i="151"/>
  <c r="BE18" i="151"/>
  <c r="AR18" i="151"/>
  <c r="BJ18" i="151"/>
  <c r="BB18" i="151"/>
  <c r="BL18" i="151"/>
  <c r="AV18" i="151"/>
  <c r="AY18" i="151"/>
  <c r="BH18" i="151"/>
  <c r="BO18" i="151"/>
  <c r="BC18" i="151"/>
  <c r="BG18" i="151"/>
  <c r="AW18" i="151"/>
  <c r="BM18" i="151"/>
  <c r="BD18" i="151"/>
  <c r="BN18" i="151"/>
  <c r="AU18" i="151"/>
  <c r="BP18" i="151"/>
  <c r="AT18" i="151"/>
  <c r="BF18" i="151"/>
  <c r="BI18" i="151"/>
  <c r="BR18" i="151"/>
  <c r="AX18" i="151"/>
  <c r="D21" i="153"/>
  <c r="R21" i="153"/>
  <c r="H21" i="153"/>
  <c r="G21" i="153"/>
  <c r="E21" i="153"/>
  <c r="P21" i="153"/>
  <c r="C21" i="153"/>
  <c r="CP21" i="153"/>
  <c r="CO21" i="153"/>
  <c r="CT21" i="153"/>
  <c r="CA21" i="153"/>
  <c r="CM21" i="153"/>
  <c r="CB21" i="153"/>
  <c r="F21" i="153"/>
  <c r="CS21" i="153"/>
  <c r="BT21" i="153"/>
  <c r="CE21" i="153"/>
  <c r="CL21" i="153"/>
  <c r="CJ21" i="153"/>
  <c r="CD21" i="153"/>
  <c r="CG21" i="153"/>
  <c r="CU21" i="153"/>
  <c r="CV21" i="153"/>
  <c r="CH21" i="153"/>
  <c r="CI21" i="153"/>
  <c r="BW21" i="153"/>
  <c r="BX21" i="153"/>
  <c r="BY21" i="153"/>
  <c r="CN21" i="153"/>
  <c r="CF21" i="153"/>
  <c r="BZ21" i="153"/>
  <c r="BU21" i="153"/>
  <c r="BV21" i="153"/>
  <c r="CC21" i="153"/>
  <c r="CW21" i="153"/>
  <c r="CR21" i="153"/>
  <c r="CK21" i="153"/>
  <c r="CQ21" i="153"/>
  <c r="BQ21" i="153"/>
  <c r="BE21" i="153"/>
  <c r="BA21" i="153"/>
  <c r="BD21" i="153"/>
  <c r="AR21" i="153"/>
  <c r="AW21" i="153"/>
  <c r="BI21" i="153"/>
  <c r="BS21" i="153"/>
  <c r="BC21" i="153"/>
  <c r="BL21" i="153"/>
  <c r="BG21" i="153"/>
  <c r="BP21" i="153"/>
  <c r="BM21" i="153"/>
  <c r="BH21" i="153"/>
  <c r="BF21" i="153"/>
  <c r="AX21" i="153"/>
  <c r="AU21" i="153"/>
  <c r="AY21" i="153"/>
  <c r="BJ21" i="153"/>
  <c r="BN21" i="153"/>
  <c r="BB21" i="153"/>
  <c r="BO21" i="153"/>
  <c r="BK21" i="153"/>
  <c r="AZ21" i="153"/>
  <c r="AT21" i="153"/>
  <c r="BR21" i="153"/>
  <c r="AV21" i="153"/>
  <c r="AS21" i="153"/>
  <c r="D9" i="153"/>
  <c r="P9" i="153"/>
  <c r="E9" i="153"/>
  <c r="G9" i="153"/>
  <c r="H9" i="153"/>
  <c r="R9" i="153"/>
  <c r="C9" i="153"/>
  <c r="CM9" i="153"/>
  <c r="CE9" i="153"/>
  <c r="BT9" i="153"/>
  <c r="BY9" i="153"/>
  <c r="BV9" i="153"/>
  <c r="CO9" i="153"/>
  <c r="BZ9" i="153"/>
  <c r="CD9" i="153"/>
  <c r="CP9" i="153"/>
  <c r="CK9" i="153"/>
  <c r="CL9" i="153"/>
  <c r="CT9" i="153"/>
  <c r="CW9" i="153"/>
  <c r="CU9" i="153"/>
  <c r="CN9" i="153"/>
  <c r="CS9" i="153"/>
  <c r="F9" i="153"/>
  <c r="CB9" i="153"/>
  <c r="CA9" i="153"/>
  <c r="CG9" i="153"/>
  <c r="CR9" i="153"/>
  <c r="BU9" i="153"/>
  <c r="CJ9" i="153"/>
  <c r="CC9" i="153"/>
  <c r="CI9" i="153"/>
  <c r="CH9" i="153"/>
  <c r="BX9" i="153"/>
  <c r="CQ9" i="153"/>
  <c r="BW9" i="153"/>
  <c r="CV9" i="153"/>
  <c r="CF9" i="153"/>
  <c r="BR9" i="153"/>
  <c r="AW9" i="153"/>
  <c r="BH9" i="153"/>
  <c r="BI9" i="153"/>
  <c r="AZ9" i="153"/>
  <c r="AU9" i="153"/>
  <c r="BQ9" i="153"/>
  <c r="BE9" i="153"/>
  <c r="BC9" i="153"/>
  <c r="BO9" i="153"/>
  <c r="BG9" i="153"/>
  <c r="BK9" i="153"/>
  <c r="BJ9" i="153"/>
  <c r="AX9" i="153"/>
  <c r="AS9" i="153"/>
  <c r="BM9" i="153"/>
  <c r="AR9" i="153"/>
  <c r="BA9" i="153"/>
  <c r="AV9" i="153"/>
  <c r="BF9" i="153"/>
  <c r="BL9" i="153"/>
  <c r="AY9" i="153"/>
  <c r="BB9" i="153"/>
  <c r="BN9" i="153"/>
  <c r="AT9" i="153"/>
  <c r="BP9" i="153"/>
  <c r="BS9" i="153"/>
  <c r="BD9" i="153"/>
  <c r="P21" i="151"/>
  <c r="H21" i="151"/>
  <c r="E21" i="151"/>
  <c r="R21" i="151"/>
  <c r="G21" i="151"/>
  <c r="D21" i="151"/>
  <c r="F21" i="151"/>
  <c r="CF21" i="151"/>
  <c r="CU21" i="151"/>
  <c r="CV21" i="151"/>
  <c r="CM21" i="151"/>
  <c r="CO21" i="151"/>
  <c r="BX21" i="151"/>
  <c r="BZ21" i="151"/>
  <c r="CB21" i="151"/>
  <c r="BT21" i="151"/>
  <c r="CQ21" i="151"/>
  <c r="CK21" i="151"/>
  <c r="CA21" i="151"/>
  <c r="CP21" i="151"/>
  <c r="CE21" i="151"/>
  <c r="CC21" i="151"/>
  <c r="CJ21" i="151"/>
  <c r="CR21" i="151"/>
  <c r="CG21" i="151"/>
  <c r="CD21" i="151"/>
  <c r="CL21" i="151"/>
  <c r="CN21" i="151"/>
  <c r="BW21" i="151"/>
  <c r="BY21" i="151"/>
  <c r="CW21" i="151"/>
  <c r="BU21" i="151"/>
  <c r="CH21" i="151"/>
  <c r="CS21" i="151"/>
  <c r="CT21" i="151"/>
  <c r="BV21" i="151"/>
  <c r="CI21" i="151"/>
  <c r="AT21" i="151"/>
  <c r="AU21" i="151"/>
  <c r="BJ21" i="151"/>
  <c r="AS21" i="151"/>
  <c r="BK21" i="151"/>
  <c r="BQ21" i="151"/>
  <c r="BD21" i="151"/>
  <c r="BP21" i="151"/>
  <c r="BR21" i="151"/>
  <c r="AY21" i="151"/>
  <c r="BA21" i="151"/>
  <c r="BI21" i="151"/>
  <c r="BG21" i="151"/>
  <c r="BM21" i="151"/>
  <c r="BE21" i="151"/>
  <c r="BF21" i="151"/>
  <c r="BS21" i="151"/>
  <c r="AR21" i="151"/>
  <c r="AW21" i="151"/>
  <c r="BL21" i="151"/>
  <c r="BB21" i="151"/>
  <c r="AV21" i="151"/>
  <c r="BO21" i="151"/>
  <c r="BH21" i="151"/>
  <c r="BC21" i="151"/>
  <c r="AZ21" i="151"/>
  <c r="AX21" i="151"/>
  <c r="BN21" i="151"/>
  <c r="DB29" i="149"/>
  <c r="DA29" i="149"/>
  <c r="CZ29" i="149"/>
  <c r="BL29" i="149"/>
  <c r="DA72" i="149"/>
  <c r="DB72" i="149"/>
  <c r="CZ72" i="149"/>
  <c r="BL72" i="149"/>
  <c r="AX24" i="149"/>
  <c r="CT24" i="149"/>
  <c r="CE24" i="149"/>
  <c r="CQ24" i="149"/>
  <c r="AW24" i="149"/>
  <c r="BX24" i="149"/>
  <c r="CP24" i="149"/>
  <c r="BD24" i="149"/>
  <c r="CR24" i="149"/>
  <c r="BI24" i="149"/>
  <c r="BA24" i="149"/>
  <c r="CJ24" i="149"/>
  <c r="CV24" i="149"/>
  <c r="CB24" i="149"/>
  <c r="BJ24" i="149"/>
  <c r="BB24" i="149"/>
  <c r="AT24" i="149"/>
  <c r="BP24" i="149"/>
  <c r="BQ24" i="149"/>
  <c r="BK24" i="149"/>
  <c r="CL24" i="149"/>
  <c r="CG24" i="149"/>
  <c r="BY24" i="149"/>
  <c r="BN24" i="149"/>
  <c r="BF24" i="149"/>
  <c r="AV24" i="149"/>
  <c r="CD24" i="149"/>
  <c r="BV24" i="149"/>
  <c r="BU24" i="149"/>
  <c r="AZ24" i="149"/>
  <c r="CW24" i="149"/>
  <c r="CK24" i="149"/>
  <c r="CC24" i="149"/>
  <c r="BZ24" i="149"/>
  <c r="BH24" i="149"/>
  <c r="CI24" i="149"/>
  <c r="BM24" i="149"/>
  <c r="AU24" i="149"/>
  <c r="CH24" i="149"/>
  <c r="CZ24" i="149"/>
  <c r="AY24" i="149"/>
  <c r="BS24" i="149"/>
  <c r="BR24" i="149"/>
  <c r="CS24" i="149"/>
  <c r="CM24" i="149"/>
  <c r="DB24" i="149"/>
  <c r="BG24" i="149"/>
  <c r="AS24" i="149"/>
  <c r="CU24" i="149"/>
  <c r="BC24" i="149"/>
  <c r="BW24" i="149"/>
  <c r="DA24" i="149"/>
  <c r="BE24" i="149"/>
  <c r="CF24" i="149"/>
  <c r="CX24" i="149"/>
  <c r="BL24" i="149"/>
  <c r="CN24" i="149"/>
  <c r="CO24" i="149"/>
  <c r="BO24" i="149"/>
  <c r="BT24" i="149"/>
  <c r="CA24" i="149"/>
  <c r="DB18" i="149"/>
  <c r="DA18" i="149"/>
  <c r="CZ18" i="149"/>
  <c r="BE18" i="149"/>
  <c r="BL18" i="149"/>
  <c r="Q78" i="148"/>
  <c r="BK78" i="148"/>
  <c r="BH78" i="149" s="1"/>
  <c r="BF78" i="148"/>
  <c r="BC78" i="149" s="1"/>
  <c r="BZ78" i="148"/>
  <c r="BW78" i="149" s="1"/>
  <c r="BD78" i="148"/>
  <c r="BA78" i="149" s="1"/>
  <c r="BE78" i="148"/>
  <c r="BB78" i="149" s="1"/>
  <c r="CR78" i="148"/>
  <c r="CO78" i="149" s="1"/>
  <c r="BN78" i="148"/>
  <c r="BK78" i="149" s="1"/>
  <c r="BJ78" i="148"/>
  <c r="BG78" i="149" s="1"/>
  <c r="BQ78" i="148"/>
  <c r="BN78" i="149" s="1"/>
  <c r="E78" i="148"/>
  <c r="CC78" i="148"/>
  <c r="BZ78" i="149" s="1"/>
  <c r="CZ78" i="148"/>
  <c r="CW78" i="149" s="1"/>
  <c r="BM78" i="148"/>
  <c r="BJ78" i="149" s="1"/>
  <c r="BW78" i="148"/>
  <c r="BT78" i="149" s="1"/>
  <c r="CM78" i="148"/>
  <c r="CJ78" i="149" s="1"/>
  <c r="CI78" i="148"/>
  <c r="CF78" i="149" s="1"/>
  <c r="CF78" i="148"/>
  <c r="CC78" i="149" s="1"/>
  <c r="BH78" i="148"/>
  <c r="BE78" i="149" s="1"/>
  <c r="BL78" i="148"/>
  <c r="BI78" i="149" s="1"/>
  <c r="BC78" i="148"/>
  <c r="AZ78" i="149" s="1"/>
  <c r="AZ78" i="148"/>
  <c r="AW78" i="149" s="1"/>
  <c r="BA78" i="148"/>
  <c r="AX78" i="149" s="1"/>
  <c r="BB78" i="148"/>
  <c r="AY78" i="149" s="1"/>
  <c r="BO78" i="148"/>
  <c r="CT78" i="148"/>
  <c r="CQ78" i="149" s="1"/>
  <c r="CP78" i="148"/>
  <c r="CM78" i="149" s="1"/>
  <c r="CE78" i="148"/>
  <c r="CB78" i="149" s="1"/>
  <c r="G78" i="148"/>
  <c r="CQ78" i="148"/>
  <c r="CN78" i="149" s="1"/>
  <c r="CV78" i="148"/>
  <c r="CS78" i="149" s="1"/>
  <c r="AX78" i="148"/>
  <c r="AU78" i="149" s="1"/>
  <c r="CW78" i="148"/>
  <c r="CT78" i="149" s="1"/>
  <c r="CG78" i="148"/>
  <c r="CD78" i="149" s="1"/>
  <c r="I78" i="148"/>
  <c r="CY78" i="148"/>
  <c r="CV78" i="149" s="1"/>
  <c r="DA78" i="148"/>
  <c r="CX78" i="149" s="1"/>
  <c r="CL78" i="148"/>
  <c r="CI78" i="149" s="1"/>
  <c r="CH78" i="148"/>
  <c r="CE78" i="149" s="1"/>
  <c r="CB78" i="148"/>
  <c r="BY78" i="149" s="1"/>
  <c r="CO78" i="148"/>
  <c r="CL78" i="149" s="1"/>
  <c r="CJ78" i="148"/>
  <c r="CG78" i="149" s="1"/>
  <c r="AY78" i="148"/>
  <c r="AV78" i="149" s="1"/>
  <c r="CS78" i="148"/>
  <c r="CP78" i="149" s="1"/>
  <c r="BU78" i="148"/>
  <c r="BR78" i="149" s="1"/>
  <c r="CK78" i="148"/>
  <c r="CH78" i="149" s="1"/>
  <c r="BG78" i="148"/>
  <c r="BD78" i="149" s="1"/>
  <c r="CD78" i="148"/>
  <c r="CA78" i="149" s="1"/>
  <c r="CA78" i="148"/>
  <c r="BX78" i="149" s="1"/>
  <c r="F78" i="148"/>
  <c r="AV78" i="148"/>
  <c r="AS78" i="149" s="1"/>
  <c r="BR78" i="148"/>
  <c r="BO78" i="149" s="1"/>
  <c r="R78" i="148"/>
  <c r="BV78" i="148"/>
  <c r="BS78" i="149" s="1"/>
  <c r="V78" i="148"/>
  <c r="CN78" i="148"/>
  <c r="CK78" i="149" s="1"/>
  <c r="H78" i="148"/>
  <c r="BY78" i="148"/>
  <c r="BV78" i="149" s="1"/>
  <c r="CX78" i="148"/>
  <c r="CU78" i="149" s="1"/>
  <c r="BP78" i="148"/>
  <c r="BM78" i="149" s="1"/>
  <c r="BX78" i="148"/>
  <c r="BU78" i="149" s="1"/>
  <c r="BI78" i="148"/>
  <c r="BF78" i="149" s="1"/>
  <c r="CU78" i="148"/>
  <c r="CR78" i="149" s="1"/>
  <c r="BT78" i="148"/>
  <c r="BQ78" i="149" s="1"/>
  <c r="BS78" i="148"/>
  <c r="BP78" i="149" s="1"/>
  <c r="AW78" i="148"/>
  <c r="AT78" i="149" s="1"/>
  <c r="D78" i="148"/>
  <c r="DB147" i="149"/>
  <c r="CY147" i="149"/>
  <c r="DA147" i="149"/>
  <c r="CZ147" i="149"/>
  <c r="BL147" i="149"/>
  <c r="DA79" i="149"/>
  <c r="DB79" i="149"/>
  <c r="CZ79" i="149"/>
  <c r="BL79" i="149"/>
  <c r="CZ92" i="149"/>
  <c r="DB92" i="149"/>
  <c r="CY92" i="149"/>
  <c r="DA92" i="149"/>
  <c r="BE92" i="149"/>
  <c r="CP159" i="149"/>
  <c r="BY159" i="149"/>
  <c r="CH159" i="149"/>
  <c r="CM159" i="149"/>
  <c r="CB159" i="149"/>
  <c r="CX159" i="149"/>
  <c r="CQ159" i="149"/>
  <c r="CI159" i="149"/>
  <c r="CD159" i="149"/>
  <c r="CK159" i="149"/>
  <c r="CN159" i="149"/>
  <c r="CC159" i="149"/>
  <c r="CG159" i="149"/>
  <c r="CS159" i="149"/>
  <c r="CL159" i="149"/>
  <c r="BV159" i="149"/>
  <c r="DA159" i="149"/>
  <c r="CJ159" i="149"/>
  <c r="CO159" i="149"/>
  <c r="BU159" i="149"/>
  <c r="CU159" i="149"/>
  <c r="CE159" i="149"/>
  <c r="CW159" i="149"/>
  <c r="BZ159" i="149"/>
  <c r="CV159" i="149"/>
  <c r="CZ159" i="149"/>
  <c r="CA159" i="149"/>
  <c r="CT159" i="149"/>
  <c r="CR159" i="149"/>
  <c r="CF159" i="149"/>
  <c r="CY159" i="149"/>
  <c r="BX159" i="149"/>
  <c r="DB159" i="149"/>
  <c r="BW159" i="149"/>
  <c r="BE159" i="149"/>
  <c r="BL159" i="149"/>
  <c r="Q160" i="148"/>
  <c r="CZ160" i="148"/>
  <c r="CW160" i="149" s="1"/>
  <c r="CI160" i="148"/>
  <c r="CF160" i="149" s="1"/>
  <c r="CH160" i="148"/>
  <c r="CE160" i="149" s="1"/>
  <c r="CP160" i="148"/>
  <c r="CM160" i="149" s="1"/>
  <c r="DA160" i="148"/>
  <c r="CX160" i="149" s="1"/>
  <c r="CN160" i="148"/>
  <c r="CK160" i="149" s="1"/>
  <c r="CM160" i="148"/>
  <c r="CJ160" i="149" s="1"/>
  <c r="CL160" i="148"/>
  <c r="CI160" i="149" s="1"/>
  <c r="CK160" i="148"/>
  <c r="CH160" i="149" s="1"/>
  <c r="BX160" i="148"/>
  <c r="BU160" i="149" s="1"/>
  <c r="H160" i="148"/>
  <c r="CC160" i="148"/>
  <c r="BZ160" i="149" s="1"/>
  <c r="CQ160" i="148"/>
  <c r="CN160" i="149" s="1"/>
  <c r="CA160" i="148"/>
  <c r="BX160" i="149" s="1"/>
  <c r="CO160" i="148"/>
  <c r="CL160" i="149" s="1"/>
  <c r="CB160" i="148"/>
  <c r="BY160" i="149" s="1"/>
  <c r="E160" i="148"/>
  <c r="G160" i="148"/>
  <c r="F160" i="148"/>
  <c r="CT160" i="148"/>
  <c r="CQ160" i="149" s="1"/>
  <c r="CG160" i="148"/>
  <c r="CD160" i="149" s="1"/>
  <c r="CD160" i="148"/>
  <c r="CA160" i="149" s="1"/>
  <c r="R160" i="148"/>
  <c r="CV160" i="148"/>
  <c r="CS160" i="149" s="1"/>
  <c r="CS160" i="148"/>
  <c r="CP160" i="149" s="1"/>
  <c r="CF160" i="148"/>
  <c r="CC160" i="149" s="1"/>
  <c r="CU160" i="148"/>
  <c r="CR160" i="149" s="1"/>
  <c r="CR160" i="148"/>
  <c r="CO160" i="149" s="1"/>
  <c r="BZ160" i="148"/>
  <c r="BW160" i="149" s="1"/>
  <c r="V160" i="148"/>
  <c r="CX160" i="148"/>
  <c r="CU160" i="149" s="1"/>
  <c r="CY160" i="148"/>
  <c r="CV160" i="149" s="1"/>
  <c r="I160" i="148"/>
  <c r="CE160" i="148"/>
  <c r="CB160" i="149" s="1"/>
  <c r="CW160" i="148"/>
  <c r="CT160" i="149" s="1"/>
  <c r="CJ160" i="148"/>
  <c r="CG160" i="149" s="1"/>
  <c r="BY160" i="148"/>
  <c r="BV160" i="149" s="1"/>
  <c r="D160" i="148"/>
  <c r="BI160" i="148"/>
  <c r="BF160" i="149" s="1"/>
  <c r="AW160" i="148"/>
  <c r="AT160" i="149" s="1"/>
  <c r="AZ160" i="148"/>
  <c r="AW160" i="149" s="1"/>
  <c r="BR160" i="148"/>
  <c r="BO160" i="149" s="1"/>
  <c r="BW160" i="148"/>
  <c r="BT160" i="149" s="1"/>
  <c r="BS160" i="148"/>
  <c r="BP160" i="149" s="1"/>
  <c r="BN160" i="148"/>
  <c r="BK160" i="149" s="1"/>
  <c r="BT160" i="148"/>
  <c r="BQ160" i="149" s="1"/>
  <c r="BQ160" i="148"/>
  <c r="BN160" i="149" s="1"/>
  <c r="BD160" i="148"/>
  <c r="BA160" i="149" s="1"/>
  <c r="BF160" i="148"/>
  <c r="BC160" i="149" s="1"/>
  <c r="BU160" i="148"/>
  <c r="BR160" i="149" s="1"/>
  <c r="BG160" i="148"/>
  <c r="BD160" i="149" s="1"/>
  <c r="AV160" i="148"/>
  <c r="AS160" i="149" s="1"/>
  <c r="BP160" i="148"/>
  <c r="BM160" i="149" s="1"/>
  <c r="BM160" i="148"/>
  <c r="BJ160" i="149" s="1"/>
  <c r="AY160" i="148"/>
  <c r="AV160" i="149" s="1"/>
  <c r="BL160" i="148"/>
  <c r="BI160" i="149" s="1"/>
  <c r="BC160" i="148"/>
  <c r="AZ160" i="149" s="1"/>
  <c r="BK160" i="148"/>
  <c r="BH160" i="149" s="1"/>
  <c r="BB160" i="148"/>
  <c r="AY160" i="149" s="1"/>
  <c r="BE160" i="148"/>
  <c r="BB160" i="149" s="1"/>
  <c r="AX160" i="148"/>
  <c r="AU160" i="149" s="1"/>
  <c r="BJ160" i="148"/>
  <c r="BG160" i="149" s="1"/>
  <c r="BH160" i="148"/>
  <c r="BO160" i="148"/>
  <c r="BA160" i="148"/>
  <c r="AX160" i="149" s="1"/>
  <c r="BV160" i="148"/>
  <c r="BS160" i="149" s="1"/>
  <c r="Q104" i="148"/>
  <c r="BZ104" i="148"/>
  <c r="BW104" i="149" s="1"/>
  <c r="CW104" i="148"/>
  <c r="CT104" i="149" s="1"/>
  <c r="V104" i="148"/>
  <c r="CS104" i="148"/>
  <c r="CP104" i="149" s="1"/>
  <c r="BV104" i="148"/>
  <c r="BS104" i="149" s="1"/>
  <c r="CR104" i="148"/>
  <c r="CO104" i="149" s="1"/>
  <c r="BH104" i="148"/>
  <c r="BE104" i="149" s="1"/>
  <c r="CN104" i="148"/>
  <c r="CK104" i="149" s="1"/>
  <c r="CT104" i="148"/>
  <c r="CQ104" i="149" s="1"/>
  <c r="CU104" i="148"/>
  <c r="CR104" i="149" s="1"/>
  <c r="CC104" i="148"/>
  <c r="BZ104" i="149" s="1"/>
  <c r="AZ104" i="148"/>
  <c r="AW104" i="149" s="1"/>
  <c r="E104" i="148"/>
  <c r="CX104" i="148"/>
  <c r="CU104" i="149" s="1"/>
  <c r="BP104" i="148"/>
  <c r="BM104" i="149" s="1"/>
  <c r="BO104" i="148"/>
  <c r="CK104" i="148"/>
  <c r="CH104" i="149" s="1"/>
  <c r="CA104" i="148"/>
  <c r="BX104" i="149" s="1"/>
  <c r="BK104" i="148"/>
  <c r="BH104" i="149" s="1"/>
  <c r="BE104" i="148"/>
  <c r="BB104" i="149" s="1"/>
  <c r="BI104" i="148"/>
  <c r="BF104" i="149" s="1"/>
  <c r="BA104" i="148"/>
  <c r="AX104" i="149" s="1"/>
  <c r="CL104" i="148"/>
  <c r="CI104" i="149" s="1"/>
  <c r="CF104" i="148"/>
  <c r="CC104" i="149" s="1"/>
  <c r="BC104" i="148"/>
  <c r="AZ104" i="149" s="1"/>
  <c r="BB104" i="148"/>
  <c r="AY104" i="149" s="1"/>
  <c r="BQ104" i="148"/>
  <c r="BN104" i="149" s="1"/>
  <c r="I104" i="148"/>
  <c r="CY104" i="148"/>
  <c r="CV104" i="149" s="1"/>
  <c r="CG104" i="148"/>
  <c r="CD104" i="149" s="1"/>
  <c r="BX104" i="148"/>
  <c r="BU104" i="149" s="1"/>
  <c r="R104" i="148"/>
  <c r="BW104" i="148"/>
  <c r="BT104" i="149" s="1"/>
  <c r="AV104" i="148"/>
  <c r="AS104" i="149" s="1"/>
  <c r="BF104" i="148"/>
  <c r="BC104" i="149" s="1"/>
  <c r="BR104" i="148"/>
  <c r="BO104" i="149" s="1"/>
  <c r="CO104" i="148"/>
  <c r="CL104" i="149" s="1"/>
  <c r="CB104" i="148"/>
  <c r="BY104" i="149" s="1"/>
  <c r="BT104" i="148"/>
  <c r="BQ104" i="149" s="1"/>
  <c r="BS104" i="148"/>
  <c r="BP104" i="149" s="1"/>
  <c r="CD104" i="148"/>
  <c r="CA104" i="149" s="1"/>
  <c r="CE104" i="148"/>
  <c r="CB104" i="149" s="1"/>
  <c r="CP104" i="148"/>
  <c r="CM104" i="149" s="1"/>
  <c r="BU104" i="148"/>
  <c r="BR104" i="149" s="1"/>
  <c r="AX104" i="148"/>
  <c r="AU104" i="149" s="1"/>
  <c r="CQ104" i="148"/>
  <c r="CN104" i="149" s="1"/>
  <c r="CZ104" i="148"/>
  <c r="CW104" i="149" s="1"/>
  <c r="G104" i="148"/>
  <c r="CH104" i="148"/>
  <c r="CE104" i="149" s="1"/>
  <c r="BY104" i="148"/>
  <c r="BV104" i="149" s="1"/>
  <c r="CV104" i="148"/>
  <c r="CS104" i="149" s="1"/>
  <c r="DA104" i="148"/>
  <c r="CX104" i="149" s="1"/>
  <c r="H104" i="148"/>
  <c r="BD104" i="148"/>
  <c r="BA104" i="149" s="1"/>
  <c r="AW104" i="148"/>
  <c r="AT104" i="149" s="1"/>
  <c r="BN104" i="148"/>
  <c r="BK104" i="149" s="1"/>
  <c r="CI104" i="148"/>
  <c r="CF104" i="149" s="1"/>
  <c r="BJ104" i="148"/>
  <c r="BG104" i="149" s="1"/>
  <c r="CM104" i="148"/>
  <c r="CJ104" i="149" s="1"/>
  <c r="AY104" i="148"/>
  <c r="AV104" i="149" s="1"/>
  <c r="BM104" i="148"/>
  <c r="BJ104" i="149" s="1"/>
  <c r="BG104" i="148"/>
  <c r="BD104" i="149" s="1"/>
  <c r="CJ104" i="148"/>
  <c r="CG104" i="149" s="1"/>
  <c r="BL104" i="148"/>
  <c r="BI104" i="149" s="1"/>
  <c r="F104" i="148"/>
  <c r="D104" i="148"/>
  <c r="DA124" i="149"/>
  <c r="CZ124" i="149"/>
  <c r="CY124" i="149"/>
  <c r="DB124" i="149"/>
  <c r="BE124" i="149"/>
  <c r="BL124" i="149"/>
  <c r="Q120" i="148"/>
  <c r="E120" i="148"/>
  <c r="F120" i="148"/>
  <c r="H120" i="148"/>
  <c r="I120" i="148"/>
  <c r="V120" i="148"/>
  <c r="R120" i="148"/>
  <c r="BO120" i="148"/>
  <c r="BJ120" i="148"/>
  <c r="BG120" i="149" s="1"/>
  <c r="CZ120" i="148"/>
  <c r="CW120" i="149" s="1"/>
  <c r="CF120" i="148"/>
  <c r="CC120" i="149" s="1"/>
  <c r="BA120" i="148"/>
  <c r="AX120" i="149" s="1"/>
  <c r="BZ120" i="148"/>
  <c r="BW120" i="149" s="1"/>
  <c r="BB120" i="148"/>
  <c r="AY120" i="149" s="1"/>
  <c r="CR120" i="148"/>
  <c r="CO120" i="149" s="1"/>
  <c r="CX120" i="148"/>
  <c r="CU120" i="149" s="1"/>
  <c r="CY120" i="148"/>
  <c r="CV120" i="149" s="1"/>
  <c r="CJ120" i="148"/>
  <c r="CG120" i="149" s="1"/>
  <c r="BD120" i="148"/>
  <c r="BA120" i="149" s="1"/>
  <c r="BY120" i="148"/>
  <c r="BV120" i="149" s="1"/>
  <c r="CB120" i="148"/>
  <c r="BY120" i="149" s="1"/>
  <c r="D120" i="148"/>
  <c r="CW120" i="148"/>
  <c r="CT120" i="149" s="1"/>
  <c r="CE120" i="148"/>
  <c r="CB120" i="149" s="1"/>
  <c r="AX120" i="148"/>
  <c r="AU120" i="149" s="1"/>
  <c r="CN120" i="148"/>
  <c r="CK120" i="149" s="1"/>
  <c r="CQ120" i="148"/>
  <c r="CN120" i="149" s="1"/>
  <c r="CK120" i="148"/>
  <c r="CH120" i="149" s="1"/>
  <c r="BN120" i="148"/>
  <c r="BK120" i="149" s="1"/>
  <c r="BG120" i="148"/>
  <c r="BD120" i="149" s="1"/>
  <c r="BP120" i="148"/>
  <c r="BM120" i="149" s="1"/>
  <c r="BE120" i="148"/>
  <c r="BB120" i="149" s="1"/>
  <c r="BQ120" i="148"/>
  <c r="BN120" i="149" s="1"/>
  <c r="CD120" i="148"/>
  <c r="CA120" i="149" s="1"/>
  <c r="AW120" i="148"/>
  <c r="AT120" i="149" s="1"/>
  <c r="CS120" i="148"/>
  <c r="CP120" i="149" s="1"/>
  <c r="BM120" i="148"/>
  <c r="BJ120" i="149" s="1"/>
  <c r="BX120" i="148"/>
  <c r="BU120" i="149" s="1"/>
  <c r="CU120" i="148"/>
  <c r="CR120" i="149" s="1"/>
  <c r="AZ120" i="148"/>
  <c r="AW120" i="149" s="1"/>
  <c r="CM120" i="148"/>
  <c r="CJ120" i="149" s="1"/>
  <c r="DA120" i="148"/>
  <c r="CX120" i="149" s="1"/>
  <c r="BV120" i="148"/>
  <c r="BS120" i="149" s="1"/>
  <c r="BF120" i="148"/>
  <c r="BC120" i="149" s="1"/>
  <c r="BL120" i="148"/>
  <c r="BI120" i="149" s="1"/>
  <c r="BR120" i="148"/>
  <c r="BO120" i="149" s="1"/>
  <c r="BC120" i="148"/>
  <c r="AZ120" i="149" s="1"/>
  <c r="CL120" i="148"/>
  <c r="CI120" i="149" s="1"/>
  <c r="CC120" i="148"/>
  <c r="BZ120" i="149" s="1"/>
  <c r="CP120" i="148"/>
  <c r="CM120" i="149" s="1"/>
  <c r="CO120" i="148"/>
  <c r="CL120" i="149" s="1"/>
  <c r="CG120" i="148"/>
  <c r="CD120" i="149" s="1"/>
  <c r="CT120" i="148"/>
  <c r="CQ120" i="149" s="1"/>
  <c r="BW120" i="148"/>
  <c r="BT120" i="149" s="1"/>
  <c r="BS120" i="148"/>
  <c r="BP120" i="149" s="1"/>
  <c r="BU120" i="148"/>
  <c r="BR120" i="149" s="1"/>
  <c r="AV120" i="148"/>
  <c r="AS120" i="149" s="1"/>
  <c r="BT120" i="148"/>
  <c r="BQ120" i="149" s="1"/>
  <c r="CH120" i="148"/>
  <c r="CE120" i="149" s="1"/>
  <c r="G120" i="148"/>
  <c r="BI120" i="148"/>
  <c r="BF120" i="149" s="1"/>
  <c r="CI120" i="148"/>
  <c r="CF120" i="149" s="1"/>
  <c r="AY120" i="148"/>
  <c r="AV120" i="149" s="1"/>
  <c r="BK120" i="148"/>
  <c r="BH120" i="149" s="1"/>
  <c r="CA120" i="148"/>
  <c r="BX120" i="149" s="1"/>
  <c r="BH120" i="148"/>
  <c r="CV120" i="148"/>
  <c r="CS120" i="149" s="1"/>
  <c r="Q109" i="148"/>
  <c r="BR109" i="148"/>
  <c r="BO109" i="149" s="1"/>
  <c r="CJ109" i="148"/>
  <c r="CG109" i="149" s="1"/>
  <c r="CK109" i="148"/>
  <c r="CH109" i="149" s="1"/>
  <c r="F109" i="148"/>
  <c r="BS109" i="148"/>
  <c r="BP109" i="149" s="1"/>
  <c r="CF109" i="148"/>
  <c r="CC109" i="149" s="1"/>
  <c r="CZ109" i="148"/>
  <c r="CW109" i="149" s="1"/>
  <c r="BK109" i="148"/>
  <c r="BH109" i="149" s="1"/>
  <c r="CQ109" i="148"/>
  <c r="CN109" i="149" s="1"/>
  <c r="BV109" i="148"/>
  <c r="BS109" i="149" s="1"/>
  <c r="BT109" i="148"/>
  <c r="BQ109" i="149" s="1"/>
  <c r="CI109" i="148"/>
  <c r="CF109" i="149" s="1"/>
  <c r="BM109" i="148"/>
  <c r="BJ109" i="149" s="1"/>
  <c r="CD109" i="148"/>
  <c r="CA109" i="149" s="1"/>
  <c r="CW109" i="148"/>
  <c r="CT109" i="149" s="1"/>
  <c r="V109" i="148"/>
  <c r="AW109" i="148"/>
  <c r="AT109" i="149" s="1"/>
  <c r="BL109" i="148"/>
  <c r="BI109" i="149" s="1"/>
  <c r="H109" i="148"/>
  <c r="DA109" i="148"/>
  <c r="CX109" i="149" s="1"/>
  <c r="AV109" i="148"/>
  <c r="AS109" i="149" s="1"/>
  <c r="CL109" i="148"/>
  <c r="CI109" i="149" s="1"/>
  <c r="BN109" i="148"/>
  <c r="BK109" i="149" s="1"/>
  <c r="BX109" i="148"/>
  <c r="BU109" i="149" s="1"/>
  <c r="BF109" i="148"/>
  <c r="BC109" i="149" s="1"/>
  <c r="BH109" i="148"/>
  <c r="BL109" i="149" s="1"/>
  <c r="BO109" i="148"/>
  <c r="CA109" i="148"/>
  <c r="BX109" i="149" s="1"/>
  <c r="AX109" i="148"/>
  <c r="AU109" i="149" s="1"/>
  <c r="CC109" i="148"/>
  <c r="BZ109" i="149" s="1"/>
  <c r="CV109" i="148"/>
  <c r="CS109" i="149" s="1"/>
  <c r="CO109" i="148"/>
  <c r="CL109" i="149" s="1"/>
  <c r="BI109" i="148"/>
  <c r="BF109" i="149" s="1"/>
  <c r="AY109" i="148"/>
  <c r="AV109" i="149" s="1"/>
  <c r="BW109" i="148"/>
  <c r="BT109" i="149" s="1"/>
  <c r="BD109" i="148"/>
  <c r="BA109" i="149" s="1"/>
  <c r="CH109" i="148"/>
  <c r="CE109" i="149" s="1"/>
  <c r="CT109" i="148"/>
  <c r="CQ109" i="149" s="1"/>
  <c r="BB109" i="148"/>
  <c r="AY109" i="149" s="1"/>
  <c r="BU109" i="148"/>
  <c r="BR109" i="149" s="1"/>
  <c r="I109" i="148"/>
  <c r="CR109" i="148"/>
  <c r="CO109" i="149" s="1"/>
  <c r="CM109" i="148"/>
  <c r="CJ109" i="149" s="1"/>
  <c r="CB109" i="148"/>
  <c r="BY109" i="149" s="1"/>
  <c r="CE109" i="148"/>
  <c r="CB109" i="149" s="1"/>
  <c r="CU109" i="148"/>
  <c r="CR109" i="149" s="1"/>
  <c r="R109" i="148"/>
  <c r="BJ109" i="148"/>
  <c r="BG109" i="149" s="1"/>
  <c r="E109" i="148"/>
  <c r="CG109" i="148"/>
  <c r="CD109" i="149" s="1"/>
  <c r="BZ109" i="148"/>
  <c r="BW109" i="149" s="1"/>
  <c r="CN109" i="148"/>
  <c r="CK109" i="149" s="1"/>
  <c r="BC109" i="148"/>
  <c r="AZ109" i="149" s="1"/>
  <c r="CS109" i="148"/>
  <c r="CP109" i="149" s="1"/>
  <c r="BY109" i="148"/>
  <c r="BV109" i="149" s="1"/>
  <c r="CX109" i="148"/>
  <c r="CU109" i="149" s="1"/>
  <c r="BE109" i="148"/>
  <c r="BB109" i="149" s="1"/>
  <c r="BP109" i="148"/>
  <c r="BM109" i="149" s="1"/>
  <c r="BG109" i="148"/>
  <c r="BD109" i="149" s="1"/>
  <c r="AZ109" i="148"/>
  <c r="AW109" i="149" s="1"/>
  <c r="BA109" i="148"/>
  <c r="AX109" i="149" s="1"/>
  <c r="BQ109" i="148"/>
  <c r="BN109" i="149" s="1"/>
  <c r="CY109" i="148"/>
  <c r="CV109" i="149" s="1"/>
  <c r="CP109" i="148"/>
  <c r="CM109" i="149" s="1"/>
  <c r="G109" i="148"/>
  <c r="D109" i="148"/>
  <c r="Q108" i="148"/>
  <c r="DA108" i="148"/>
  <c r="CX108" i="149" s="1"/>
  <c r="AV108" i="148"/>
  <c r="AS108" i="149" s="1"/>
  <c r="CY108" i="148"/>
  <c r="CV108" i="149" s="1"/>
  <c r="BR108" i="148"/>
  <c r="BO108" i="149" s="1"/>
  <c r="CU108" i="148"/>
  <c r="CR108" i="149" s="1"/>
  <c r="CA108" i="148"/>
  <c r="BX108" i="149" s="1"/>
  <c r="V108" i="148"/>
  <c r="CM108" i="148"/>
  <c r="CJ108" i="149" s="1"/>
  <c r="BT108" i="148"/>
  <c r="BQ108" i="149" s="1"/>
  <c r="BX108" i="148"/>
  <c r="BU108" i="149" s="1"/>
  <c r="CX108" i="148"/>
  <c r="CU108" i="149" s="1"/>
  <c r="AX108" i="148"/>
  <c r="AU108" i="149" s="1"/>
  <c r="BF108" i="148"/>
  <c r="BC108" i="149" s="1"/>
  <c r="E108" i="148"/>
  <c r="BD108" i="148"/>
  <c r="BA108" i="149" s="1"/>
  <c r="CZ108" i="148"/>
  <c r="CW108" i="149" s="1"/>
  <c r="BB108" i="148"/>
  <c r="AY108" i="149" s="1"/>
  <c r="BG108" i="148"/>
  <c r="BD108" i="149" s="1"/>
  <c r="BK108" i="148"/>
  <c r="BH108" i="149" s="1"/>
  <c r="CV108" i="148"/>
  <c r="CS108" i="149" s="1"/>
  <c r="CG108" i="148"/>
  <c r="CD108" i="149" s="1"/>
  <c r="I108" i="148"/>
  <c r="CW108" i="148"/>
  <c r="CT108" i="149" s="1"/>
  <c r="BI108" i="148"/>
  <c r="BF108" i="149" s="1"/>
  <c r="CC108" i="148"/>
  <c r="BZ108" i="149" s="1"/>
  <c r="R108" i="148"/>
  <c r="CS108" i="148"/>
  <c r="CP108" i="149" s="1"/>
  <c r="CR108" i="148"/>
  <c r="CO108" i="149" s="1"/>
  <c r="BC108" i="148"/>
  <c r="AZ108" i="149" s="1"/>
  <c r="CP108" i="148"/>
  <c r="CM108" i="149" s="1"/>
  <c r="CI108" i="148"/>
  <c r="CF108" i="149" s="1"/>
  <c r="H108" i="148"/>
  <c r="CQ108" i="148"/>
  <c r="CN108" i="149" s="1"/>
  <c r="BL108" i="148"/>
  <c r="BI108" i="149" s="1"/>
  <c r="CE108" i="148"/>
  <c r="CB108" i="149" s="1"/>
  <c r="CD108" i="148"/>
  <c r="CA108" i="149" s="1"/>
  <c r="BS108" i="148"/>
  <c r="BP108" i="149" s="1"/>
  <c r="CB108" i="148"/>
  <c r="BY108" i="149" s="1"/>
  <c r="BN108" i="148"/>
  <c r="BK108" i="149" s="1"/>
  <c r="BE108" i="148"/>
  <c r="BB108" i="149" s="1"/>
  <c r="BJ108" i="148"/>
  <c r="BG108" i="149" s="1"/>
  <c r="CF108" i="148"/>
  <c r="CC108" i="149" s="1"/>
  <c r="BW108" i="148"/>
  <c r="BT108" i="149" s="1"/>
  <c r="BA108" i="148"/>
  <c r="AX108" i="149" s="1"/>
  <c r="BH108" i="148"/>
  <c r="BE108" i="149" s="1"/>
  <c r="G108" i="148"/>
  <c r="BP108" i="148"/>
  <c r="BM108" i="149" s="1"/>
  <c r="BO108" i="148"/>
  <c r="F108" i="148"/>
  <c r="CH108" i="148"/>
  <c r="CE108" i="149" s="1"/>
  <c r="BZ108" i="148"/>
  <c r="BW108" i="149" s="1"/>
  <c r="BQ108" i="148"/>
  <c r="BN108" i="149" s="1"/>
  <c r="BV108" i="148"/>
  <c r="BS108" i="149" s="1"/>
  <c r="BM108" i="148"/>
  <c r="BJ108" i="149" s="1"/>
  <c r="BU108" i="148"/>
  <c r="BR108" i="149" s="1"/>
  <c r="CO108" i="148"/>
  <c r="CL108" i="149" s="1"/>
  <c r="AY108" i="148"/>
  <c r="AV108" i="149" s="1"/>
  <c r="CK108" i="148"/>
  <c r="CH108" i="149" s="1"/>
  <c r="BY108" i="148"/>
  <c r="BV108" i="149" s="1"/>
  <c r="AZ108" i="148"/>
  <c r="AW108" i="149" s="1"/>
  <c r="CT108" i="148"/>
  <c r="CQ108" i="149" s="1"/>
  <c r="CJ108" i="148"/>
  <c r="CG108" i="149" s="1"/>
  <c r="CN108" i="148"/>
  <c r="CK108" i="149" s="1"/>
  <c r="CL108" i="148"/>
  <c r="CI108" i="149" s="1"/>
  <c r="AW108" i="148"/>
  <c r="AT108" i="149" s="1"/>
  <c r="D108" i="148"/>
  <c r="Q113" i="148"/>
  <c r="I113" i="148"/>
  <c r="H113" i="148"/>
  <c r="V113" i="148"/>
  <c r="R113" i="148"/>
  <c r="E113" i="148"/>
  <c r="F113" i="148"/>
  <c r="CK113" i="148"/>
  <c r="CH113" i="149" s="1"/>
  <c r="CT113" i="148"/>
  <c r="CQ113" i="149" s="1"/>
  <c r="BT113" i="148"/>
  <c r="BQ113" i="149" s="1"/>
  <c r="CP113" i="148"/>
  <c r="CM113" i="149" s="1"/>
  <c r="BN113" i="148"/>
  <c r="BK113" i="149" s="1"/>
  <c r="CR113" i="148"/>
  <c r="CO113" i="149" s="1"/>
  <c r="DA113" i="148"/>
  <c r="CX113" i="149" s="1"/>
  <c r="BV113" i="148"/>
  <c r="BS113" i="149" s="1"/>
  <c r="CG113" i="148"/>
  <c r="CD113" i="149" s="1"/>
  <c r="BC113" i="148"/>
  <c r="AZ113" i="149" s="1"/>
  <c r="BS113" i="148"/>
  <c r="BP113" i="149" s="1"/>
  <c r="BK113" i="148"/>
  <c r="BH113" i="149" s="1"/>
  <c r="BF113" i="148"/>
  <c r="BC113" i="149" s="1"/>
  <c r="CI113" i="148"/>
  <c r="CF113" i="149" s="1"/>
  <c r="CV113" i="148"/>
  <c r="CS113" i="149" s="1"/>
  <c r="BE113" i="148"/>
  <c r="BB113" i="149" s="1"/>
  <c r="AV113" i="148"/>
  <c r="AS113" i="149" s="1"/>
  <c r="CU113" i="148"/>
  <c r="CR113" i="149" s="1"/>
  <c r="BR113" i="148"/>
  <c r="BO113" i="149" s="1"/>
  <c r="CW113" i="148"/>
  <c r="CT113" i="149" s="1"/>
  <c r="BI113" i="148"/>
  <c r="BF113" i="149" s="1"/>
  <c r="BG113" i="148"/>
  <c r="BD113" i="149" s="1"/>
  <c r="AW113" i="148"/>
  <c r="AT113" i="149" s="1"/>
  <c r="BY113" i="148"/>
  <c r="BV113" i="149" s="1"/>
  <c r="AY113" i="148"/>
  <c r="AV113" i="149" s="1"/>
  <c r="CX113" i="148"/>
  <c r="CU113" i="149" s="1"/>
  <c r="CQ113" i="148"/>
  <c r="CN113" i="149" s="1"/>
  <c r="CJ113" i="148"/>
  <c r="CG113" i="149" s="1"/>
  <c r="CB113" i="148"/>
  <c r="BY113" i="149" s="1"/>
  <c r="CH113" i="148"/>
  <c r="CE113" i="149" s="1"/>
  <c r="CN113" i="148"/>
  <c r="CK113" i="149" s="1"/>
  <c r="BX113" i="148"/>
  <c r="BU113" i="149" s="1"/>
  <c r="BU113" i="148"/>
  <c r="BR113" i="149" s="1"/>
  <c r="BJ113" i="148"/>
  <c r="BG113" i="149" s="1"/>
  <c r="BP113" i="148"/>
  <c r="BM113" i="149" s="1"/>
  <c r="BH113" i="148"/>
  <c r="BD113" i="148"/>
  <c r="BA113" i="149" s="1"/>
  <c r="CE113" i="148"/>
  <c r="CB113" i="149" s="1"/>
  <c r="BL113" i="148"/>
  <c r="BI113" i="149" s="1"/>
  <c r="BA113" i="148"/>
  <c r="AX113" i="149" s="1"/>
  <c r="CZ113" i="148"/>
  <c r="CW113" i="149" s="1"/>
  <c r="CD113" i="148"/>
  <c r="CA113" i="149" s="1"/>
  <c r="BB113" i="148"/>
  <c r="AY113" i="149" s="1"/>
  <c r="CO113" i="148"/>
  <c r="CL113" i="149" s="1"/>
  <c r="D113" i="148"/>
  <c r="BM113" i="148"/>
  <c r="BJ113" i="149" s="1"/>
  <c r="CA113" i="148"/>
  <c r="BX113" i="149" s="1"/>
  <c r="BO113" i="148"/>
  <c r="CL113" i="148"/>
  <c r="CI113" i="149" s="1"/>
  <c r="CC113" i="148"/>
  <c r="BZ113" i="149" s="1"/>
  <c r="AZ113" i="148"/>
  <c r="AW113" i="149" s="1"/>
  <c r="CY113" i="148"/>
  <c r="CV113" i="149" s="1"/>
  <c r="BW113" i="148"/>
  <c r="BT113" i="149" s="1"/>
  <c r="BQ113" i="148"/>
  <c r="BN113" i="149" s="1"/>
  <c r="CF113" i="148"/>
  <c r="CC113" i="149" s="1"/>
  <c r="G113" i="148"/>
  <c r="BZ113" i="148"/>
  <c r="BW113" i="149" s="1"/>
  <c r="CM113" i="148"/>
  <c r="CJ113" i="149" s="1"/>
  <c r="CS113" i="148"/>
  <c r="CP113" i="149" s="1"/>
  <c r="AX113" i="148"/>
  <c r="AU113" i="149" s="1"/>
  <c r="Q129" i="148"/>
  <c r="V129" i="148"/>
  <c r="CQ129" i="148"/>
  <c r="CN129" i="149" s="1"/>
  <c r="CY129" i="148"/>
  <c r="CV129" i="149" s="1"/>
  <c r="I129" i="148"/>
  <c r="H129" i="148"/>
  <c r="BX129" i="148"/>
  <c r="BU129" i="149" s="1"/>
  <c r="CX129" i="148"/>
  <c r="CU129" i="149" s="1"/>
  <c r="R129" i="148"/>
  <c r="CS129" i="148"/>
  <c r="CP129" i="149" s="1"/>
  <c r="F129" i="148"/>
  <c r="BY129" i="148"/>
  <c r="BV129" i="149" s="1"/>
  <c r="E129" i="148"/>
  <c r="CI129" i="148"/>
  <c r="CF129" i="149" s="1"/>
  <c r="CU129" i="148"/>
  <c r="CR129" i="149" s="1"/>
  <c r="CO129" i="148"/>
  <c r="CL129" i="149" s="1"/>
  <c r="CJ129" i="148"/>
  <c r="CG129" i="149" s="1"/>
  <c r="CD129" i="148"/>
  <c r="CA129" i="149" s="1"/>
  <c r="DA129" i="148"/>
  <c r="CX129" i="149" s="1"/>
  <c r="D129" i="148"/>
  <c r="CW129" i="148"/>
  <c r="CT129" i="149" s="1"/>
  <c r="CN129" i="148"/>
  <c r="CK129" i="149" s="1"/>
  <c r="CA129" i="148"/>
  <c r="BX129" i="149" s="1"/>
  <c r="CF129" i="148"/>
  <c r="CC129" i="149" s="1"/>
  <c r="BZ129" i="148"/>
  <c r="BW129" i="149" s="1"/>
  <c r="CC129" i="148"/>
  <c r="BZ129" i="149" s="1"/>
  <c r="G129" i="148"/>
  <c r="CH129" i="148"/>
  <c r="CE129" i="149" s="1"/>
  <c r="CR129" i="148"/>
  <c r="CO129" i="149" s="1"/>
  <c r="CT129" i="148"/>
  <c r="CQ129" i="149" s="1"/>
  <c r="CB129" i="148"/>
  <c r="BY129" i="149" s="1"/>
  <c r="CV129" i="148"/>
  <c r="CS129" i="149" s="1"/>
  <c r="CK129" i="148"/>
  <c r="CH129" i="149" s="1"/>
  <c r="CL129" i="148"/>
  <c r="CI129" i="149" s="1"/>
  <c r="CZ129" i="148"/>
  <c r="CW129" i="149" s="1"/>
  <c r="CE129" i="148"/>
  <c r="CB129" i="149" s="1"/>
  <c r="CG129" i="148"/>
  <c r="CD129" i="149" s="1"/>
  <c r="CM129" i="148"/>
  <c r="CJ129" i="149" s="1"/>
  <c r="CP129" i="148"/>
  <c r="CM129" i="149" s="1"/>
  <c r="BJ129" i="148"/>
  <c r="BG129" i="149" s="1"/>
  <c r="BI129" i="148"/>
  <c r="BF129" i="149" s="1"/>
  <c r="BB129" i="148"/>
  <c r="AY129" i="149" s="1"/>
  <c r="AY129" i="148"/>
  <c r="AV129" i="149" s="1"/>
  <c r="AV129" i="148"/>
  <c r="AS129" i="149" s="1"/>
  <c r="BN129" i="148"/>
  <c r="BK129" i="149" s="1"/>
  <c r="AW129" i="148"/>
  <c r="AT129" i="149" s="1"/>
  <c r="BO129" i="148"/>
  <c r="BV129" i="148"/>
  <c r="BS129" i="149" s="1"/>
  <c r="BW129" i="148"/>
  <c r="BT129" i="149" s="1"/>
  <c r="BG129" i="148"/>
  <c r="BD129" i="149" s="1"/>
  <c r="BC129" i="148"/>
  <c r="AZ129" i="149" s="1"/>
  <c r="BD129" i="148"/>
  <c r="BA129" i="149" s="1"/>
  <c r="BM129" i="148"/>
  <c r="BJ129" i="149" s="1"/>
  <c r="BL129" i="148"/>
  <c r="BI129" i="149" s="1"/>
  <c r="BS129" i="148"/>
  <c r="BP129" i="149" s="1"/>
  <c r="AX129" i="148"/>
  <c r="AU129" i="149" s="1"/>
  <c r="BK129" i="148"/>
  <c r="BH129" i="149" s="1"/>
  <c r="BH129" i="148"/>
  <c r="BQ129" i="148"/>
  <c r="BN129" i="149" s="1"/>
  <c r="AZ129" i="148"/>
  <c r="AW129" i="149" s="1"/>
  <c r="BE129" i="148"/>
  <c r="BB129" i="149" s="1"/>
  <c r="BP129" i="148"/>
  <c r="BM129" i="149" s="1"/>
  <c r="BF129" i="148"/>
  <c r="BC129" i="149" s="1"/>
  <c r="BU129" i="148"/>
  <c r="BR129" i="149" s="1"/>
  <c r="BT129" i="148"/>
  <c r="BQ129" i="149" s="1"/>
  <c r="BR129" i="148"/>
  <c r="BO129" i="149" s="1"/>
  <c r="BA129" i="148"/>
  <c r="AX129" i="149" s="1"/>
  <c r="DB65" i="149"/>
  <c r="DA65" i="149"/>
  <c r="CZ65" i="149"/>
  <c r="BE65" i="149"/>
  <c r="BL65" i="149"/>
  <c r="Q27" i="148"/>
  <c r="BN27" i="148"/>
  <c r="BK27" i="149" s="1"/>
  <c r="CH27" i="148"/>
  <c r="CE27" i="149" s="1"/>
  <c r="G27" i="148"/>
  <c r="CO27" i="148"/>
  <c r="CL27" i="149" s="1"/>
  <c r="BS27" i="148"/>
  <c r="BP27" i="149" s="1"/>
  <c r="BO27" i="148"/>
  <c r="CT27" i="148"/>
  <c r="CQ27" i="149" s="1"/>
  <c r="CV27" i="148"/>
  <c r="CS27" i="149" s="1"/>
  <c r="CE27" i="148"/>
  <c r="CB27" i="149" s="1"/>
  <c r="BT27" i="148"/>
  <c r="BQ27" i="149" s="1"/>
  <c r="BJ27" i="148"/>
  <c r="BG27" i="149" s="1"/>
  <c r="I27" i="148"/>
  <c r="CS27" i="148"/>
  <c r="CP27" i="149" s="1"/>
  <c r="CL27" i="148"/>
  <c r="CI27" i="149" s="1"/>
  <c r="CC27" i="148"/>
  <c r="BZ27" i="149" s="1"/>
  <c r="BE27" i="148"/>
  <c r="BB27" i="149" s="1"/>
  <c r="BL27" i="148"/>
  <c r="BI27" i="149" s="1"/>
  <c r="V27" i="148"/>
  <c r="CD27" i="148"/>
  <c r="CA27" i="149" s="1"/>
  <c r="CX27" i="148"/>
  <c r="CU27" i="149" s="1"/>
  <c r="BU27" i="148"/>
  <c r="BR27" i="149" s="1"/>
  <c r="AY27" i="148"/>
  <c r="AV27" i="149" s="1"/>
  <c r="BK27" i="148"/>
  <c r="BH27" i="149" s="1"/>
  <c r="R27" i="148"/>
  <c r="BY27" i="148"/>
  <c r="BV27" i="149" s="1"/>
  <c r="CY27" i="148"/>
  <c r="CV27" i="149" s="1"/>
  <c r="BQ27" i="148"/>
  <c r="BN27" i="149" s="1"/>
  <c r="AX27" i="148"/>
  <c r="AU27" i="149" s="1"/>
  <c r="AZ27" i="148"/>
  <c r="AW27" i="149" s="1"/>
  <c r="E27" i="148"/>
  <c r="BX27" i="148"/>
  <c r="BU27" i="149" s="1"/>
  <c r="CK27" i="148"/>
  <c r="CH27" i="149" s="1"/>
  <c r="AV27" i="148"/>
  <c r="AS27" i="149" s="1"/>
  <c r="BP27" i="148"/>
  <c r="BM27" i="149" s="1"/>
  <c r="BH27" i="148"/>
  <c r="BE27" i="149" s="1"/>
  <c r="H27" i="148"/>
  <c r="CN27" i="148"/>
  <c r="CK27" i="149" s="1"/>
  <c r="CB27" i="148"/>
  <c r="BY27" i="149" s="1"/>
  <c r="BD27" i="148"/>
  <c r="BA27" i="149" s="1"/>
  <c r="AW27" i="148"/>
  <c r="AT27" i="149" s="1"/>
  <c r="BA27" i="148"/>
  <c r="AX27" i="149" s="1"/>
  <c r="F27" i="148"/>
  <c r="CF27" i="148"/>
  <c r="CC27" i="149" s="1"/>
  <c r="CZ27" i="148"/>
  <c r="CW27" i="149" s="1"/>
  <c r="BG27" i="148"/>
  <c r="BD27" i="149" s="1"/>
  <c r="BC27" i="148"/>
  <c r="AZ27" i="149" s="1"/>
  <c r="CG27" i="148"/>
  <c r="CD27" i="149" s="1"/>
  <c r="DA27" i="148"/>
  <c r="CX27" i="149" s="1"/>
  <c r="CA27" i="148"/>
  <c r="BX27" i="149" s="1"/>
  <c r="BW27" i="148"/>
  <c r="BT27" i="149" s="1"/>
  <c r="BB27" i="148"/>
  <c r="AY27" i="149" s="1"/>
  <c r="CR27" i="148"/>
  <c r="CO27" i="149" s="1"/>
  <c r="CI27" i="148"/>
  <c r="CF27" i="149" s="1"/>
  <c r="CM27" i="148"/>
  <c r="CJ27" i="149" s="1"/>
  <c r="BR27" i="148"/>
  <c r="BO27" i="149" s="1"/>
  <c r="BM27" i="148"/>
  <c r="BJ27" i="149" s="1"/>
  <c r="CQ27" i="148"/>
  <c r="CN27" i="149" s="1"/>
  <c r="CJ27" i="148"/>
  <c r="CG27" i="149" s="1"/>
  <c r="CW27" i="148"/>
  <c r="CT27" i="149" s="1"/>
  <c r="BF27" i="148"/>
  <c r="BC27" i="149" s="1"/>
  <c r="BI27" i="148"/>
  <c r="BF27" i="149" s="1"/>
  <c r="CP27" i="148"/>
  <c r="CM27" i="149" s="1"/>
  <c r="CU27" i="148"/>
  <c r="CR27" i="149" s="1"/>
  <c r="BZ27" i="148"/>
  <c r="BW27" i="149" s="1"/>
  <c r="BV27" i="148"/>
  <c r="BS27" i="149" s="1"/>
  <c r="D27" i="148"/>
  <c r="Q16" i="148"/>
  <c r="DA16" i="148"/>
  <c r="CX16" i="149" s="1"/>
  <c r="G16" i="148"/>
  <c r="CK16" i="148"/>
  <c r="CH16" i="149" s="1"/>
  <c r="BS16" i="148"/>
  <c r="BP16" i="149" s="1"/>
  <c r="CP16" i="148"/>
  <c r="CM16" i="149" s="1"/>
  <c r="CX16" i="148"/>
  <c r="CU16" i="149" s="1"/>
  <c r="CW16" i="148"/>
  <c r="CT16" i="149" s="1"/>
  <c r="BG16" i="148"/>
  <c r="BD16" i="149" s="1"/>
  <c r="CZ16" i="148"/>
  <c r="CW16" i="149" s="1"/>
  <c r="CR16" i="148"/>
  <c r="CO16" i="149" s="1"/>
  <c r="CI16" i="148"/>
  <c r="CF16" i="149" s="1"/>
  <c r="BD16" i="148"/>
  <c r="BA16" i="149" s="1"/>
  <c r="CB16" i="148"/>
  <c r="BY16" i="149" s="1"/>
  <c r="R16" i="148"/>
  <c r="CF16" i="148"/>
  <c r="CC16" i="149" s="1"/>
  <c r="CS16" i="148"/>
  <c r="CP16" i="149" s="1"/>
  <c r="CJ16" i="148"/>
  <c r="CG16" i="149" s="1"/>
  <c r="BV16" i="148"/>
  <c r="BS16" i="149" s="1"/>
  <c r="I16" i="148"/>
  <c r="CL16" i="148"/>
  <c r="CI16" i="149" s="1"/>
  <c r="CQ16" i="148"/>
  <c r="CN16" i="149" s="1"/>
  <c r="BE16" i="148"/>
  <c r="BB16" i="149" s="1"/>
  <c r="BT16" i="148"/>
  <c r="BQ16" i="149" s="1"/>
  <c r="BX16" i="148"/>
  <c r="BU16" i="149" s="1"/>
  <c r="F16" i="148"/>
  <c r="CE16" i="148"/>
  <c r="CB16" i="149" s="1"/>
  <c r="CH16" i="148"/>
  <c r="CE16" i="149" s="1"/>
  <c r="AX16" i="148"/>
  <c r="AU16" i="149" s="1"/>
  <c r="AV16" i="148"/>
  <c r="AS16" i="149" s="1"/>
  <c r="V16" i="148"/>
  <c r="CV16" i="148"/>
  <c r="CS16" i="149" s="1"/>
  <c r="CM16" i="148"/>
  <c r="CJ16" i="149" s="1"/>
  <c r="BF16" i="148"/>
  <c r="BC16" i="149" s="1"/>
  <c r="AY16" i="148"/>
  <c r="AV16" i="149" s="1"/>
  <c r="H16" i="148"/>
  <c r="CC16" i="148"/>
  <c r="BZ16" i="149" s="1"/>
  <c r="CD16" i="148"/>
  <c r="CA16" i="149" s="1"/>
  <c r="AW16" i="148"/>
  <c r="AT16" i="149" s="1"/>
  <c r="BU16" i="148"/>
  <c r="BR16" i="149" s="1"/>
  <c r="E16" i="148"/>
  <c r="CY16" i="148"/>
  <c r="CV16" i="149" s="1"/>
  <c r="BY16" i="148"/>
  <c r="BV16" i="149" s="1"/>
  <c r="BR16" i="148"/>
  <c r="BO16" i="149" s="1"/>
  <c r="BQ16" i="148"/>
  <c r="BN16" i="149" s="1"/>
  <c r="CN16" i="148"/>
  <c r="CK16" i="149" s="1"/>
  <c r="CA16" i="148"/>
  <c r="BX16" i="149" s="1"/>
  <c r="CG16" i="148"/>
  <c r="CD16" i="149" s="1"/>
  <c r="BW16" i="148"/>
  <c r="BT16" i="149" s="1"/>
  <c r="CT16" i="148"/>
  <c r="CQ16" i="149" s="1"/>
  <c r="CU16" i="148"/>
  <c r="CR16" i="149" s="1"/>
  <c r="CO16" i="148"/>
  <c r="CL16" i="149" s="1"/>
  <c r="BP16" i="148"/>
  <c r="BM16" i="149" s="1"/>
  <c r="BZ16" i="148"/>
  <c r="BW16" i="149" s="1"/>
  <c r="AZ16" i="148"/>
  <c r="AW16" i="149" s="1"/>
  <c r="BL16" i="148"/>
  <c r="BI16" i="149" s="1"/>
  <c r="BN16" i="148"/>
  <c r="BK16" i="149" s="1"/>
  <c r="BJ16" i="148"/>
  <c r="BG16" i="149" s="1"/>
  <c r="BM16" i="148"/>
  <c r="BJ16" i="149" s="1"/>
  <c r="BB16" i="148"/>
  <c r="AY16" i="149" s="1"/>
  <c r="BO16" i="148"/>
  <c r="BI16" i="148"/>
  <c r="BF16" i="149" s="1"/>
  <c r="BA16" i="148"/>
  <c r="AX16" i="149" s="1"/>
  <c r="BH16" i="148"/>
  <c r="BE16" i="149" s="1"/>
  <c r="BK16" i="148"/>
  <c r="BH16" i="149" s="1"/>
  <c r="BC16" i="148"/>
  <c r="AZ16" i="149" s="1"/>
  <c r="D16" i="148"/>
  <c r="Q141" i="148"/>
  <c r="BS141" i="148"/>
  <c r="BP141" i="149" s="1"/>
  <c r="CT141" i="148"/>
  <c r="CQ141" i="149" s="1"/>
  <c r="CM141" i="148"/>
  <c r="CJ141" i="149" s="1"/>
  <c r="CE141" i="148"/>
  <c r="CB141" i="149" s="1"/>
  <c r="CU141" i="148"/>
  <c r="CR141" i="149" s="1"/>
  <c r="CS141" i="148"/>
  <c r="CP141" i="149" s="1"/>
  <c r="CV141" i="148"/>
  <c r="CS141" i="149" s="1"/>
  <c r="BZ141" i="148"/>
  <c r="BW141" i="149" s="1"/>
  <c r="AX141" i="148"/>
  <c r="AU141" i="149" s="1"/>
  <c r="G141" i="148"/>
  <c r="DA141" i="148"/>
  <c r="CX141" i="149" s="1"/>
  <c r="CD141" i="148"/>
  <c r="CA141" i="149" s="1"/>
  <c r="CY141" i="148"/>
  <c r="CV141" i="149" s="1"/>
  <c r="CF141" i="148"/>
  <c r="CC141" i="149" s="1"/>
  <c r="E141" i="148"/>
  <c r="CK141" i="148"/>
  <c r="CH141" i="149" s="1"/>
  <c r="CQ141" i="148"/>
  <c r="CN141" i="149" s="1"/>
  <c r="CJ141" i="148"/>
  <c r="CG141" i="149" s="1"/>
  <c r="CG141" i="148"/>
  <c r="CD141" i="149" s="1"/>
  <c r="CL141" i="148"/>
  <c r="CI141" i="149" s="1"/>
  <c r="CW141" i="148"/>
  <c r="CT141" i="149" s="1"/>
  <c r="R141" i="148"/>
  <c r="H141" i="148"/>
  <c r="CR141" i="148"/>
  <c r="CO141" i="149" s="1"/>
  <c r="CH141" i="148"/>
  <c r="CE141" i="149" s="1"/>
  <c r="BU141" i="148"/>
  <c r="BR141" i="149" s="1"/>
  <c r="CA141" i="148"/>
  <c r="BX141" i="149" s="1"/>
  <c r="V141" i="148"/>
  <c r="CC141" i="148"/>
  <c r="BZ141" i="149" s="1"/>
  <c r="I141" i="148"/>
  <c r="CZ141" i="148"/>
  <c r="CW141" i="149" s="1"/>
  <c r="CI141" i="148"/>
  <c r="CF141" i="149" s="1"/>
  <c r="CB141" i="148"/>
  <c r="BY141" i="149" s="1"/>
  <c r="CP141" i="148"/>
  <c r="CM141" i="149" s="1"/>
  <c r="F141" i="148"/>
  <c r="CO141" i="148"/>
  <c r="CL141" i="149" s="1"/>
  <c r="CX141" i="148"/>
  <c r="CU141" i="149" s="1"/>
  <c r="CN141" i="148"/>
  <c r="CK141" i="149" s="1"/>
  <c r="BX141" i="148"/>
  <c r="BU141" i="149" s="1"/>
  <c r="BY141" i="148"/>
  <c r="BV141" i="149" s="1"/>
  <c r="BD141" i="148"/>
  <c r="BA141" i="149" s="1"/>
  <c r="AY141" i="148"/>
  <c r="AV141" i="149" s="1"/>
  <c r="BW141" i="148"/>
  <c r="BT141" i="149" s="1"/>
  <c r="BG141" i="148"/>
  <c r="BD141" i="149" s="1"/>
  <c r="BJ141" i="148"/>
  <c r="BG141" i="149" s="1"/>
  <c r="BN141" i="148"/>
  <c r="BK141" i="149" s="1"/>
  <c r="BE141" i="148"/>
  <c r="BB141" i="149" s="1"/>
  <c r="BP141" i="148"/>
  <c r="BM141" i="149" s="1"/>
  <c r="BF141" i="148"/>
  <c r="BC141" i="149" s="1"/>
  <c r="AV141" i="148"/>
  <c r="AS141" i="149" s="1"/>
  <c r="AW141" i="148"/>
  <c r="AT141" i="149" s="1"/>
  <c r="BK141" i="148"/>
  <c r="BH141" i="149" s="1"/>
  <c r="BI141" i="148"/>
  <c r="BF141" i="149" s="1"/>
  <c r="BC141" i="148"/>
  <c r="AZ141" i="149" s="1"/>
  <c r="BT141" i="148"/>
  <c r="BQ141" i="149" s="1"/>
  <c r="BA141" i="148"/>
  <c r="AX141" i="149" s="1"/>
  <c r="BQ141" i="148"/>
  <c r="BN141" i="149" s="1"/>
  <c r="BR141" i="148"/>
  <c r="BO141" i="149" s="1"/>
  <c r="AZ141" i="148"/>
  <c r="AW141" i="149" s="1"/>
  <c r="BL141" i="148"/>
  <c r="BI141" i="149" s="1"/>
  <c r="BV141" i="148"/>
  <c r="BS141" i="149" s="1"/>
  <c r="BH141" i="148"/>
  <c r="BB141" i="148"/>
  <c r="AY141" i="149" s="1"/>
  <c r="BO141" i="148"/>
  <c r="D141" i="148"/>
  <c r="BM141" i="148"/>
  <c r="BJ141" i="149" s="1"/>
  <c r="DB156" i="149"/>
  <c r="DA156" i="149"/>
  <c r="CZ156" i="149"/>
  <c r="BE156" i="149"/>
  <c r="BL156" i="149"/>
  <c r="Q156" i="148"/>
  <c r="AY156" i="148"/>
  <c r="AV156" i="149" s="1"/>
  <c r="CC156" i="148"/>
  <c r="BZ156" i="149" s="1"/>
  <c r="CV156" i="148"/>
  <c r="CS156" i="149" s="1"/>
  <c r="CD156" i="148"/>
  <c r="CA156" i="149" s="1"/>
  <c r="BQ156" i="148"/>
  <c r="BN156" i="149" s="1"/>
  <c r="CG156" i="148"/>
  <c r="CD156" i="149" s="1"/>
  <c r="CZ156" i="148"/>
  <c r="CW156" i="149" s="1"/>
  <c r="CH156" i="148"/>
  <c r="CE156" i="149" s="1"/>
  <c r="CK156" i="148"/>
  <c r="CH156" i="149" s="1"/>
  <c r="BP156" i="148"/>
  <c r="BM156" i="149" s="1"/>
  <c r="CM156" i="148"/>
  <c r="CJ156" i="149" s="1"/>
  <c r="E156" i="148"/>
  <c r="CL156" i="148"/>
  <c r="CI156" i="149" s="1"/>
  <c r="CO156" i="148"/>
  <c r="CL156" i="149" s="1"/>
  <c r="BT156" i="148"/>
  <c r="BQ156" i="149" s="1"/>
  <c r="CU156" i="148"/>
  <c r="CR156" i="149" s="1"/>
  <c r="I156" i="148"/>
  <c r="CS156" i="148"/>
  <c r="CP156" i="149" s="1"/>
  <c r="BX156" i="148"/>
  <c r="BU156" i="149" s="1"/>
  <c r="BD156" i="148"/>
  <c r="BA156" i="149" s="1"/>
  <c r="CE156" i="148"/>
  <c r="CB156" i="149" s="1"/>
  <c r="CW156" i="148"/>
  <c r="CT156" i="149" s="1"/>
  <c r="CB156" i="148"/>
  <c r="BY156" i="149" s="1"/>
  <c r="CF156" i="148"/>
  <c r="CC156" i="149" s="1"/>
  <c r="F156" i="148"/>
  <c r="CQ156" i="148"/>
  <c r="CN156" i="149" s="1"/>
  <c r="CA156" i="148"/>
  <c r="BX156" i="149" s="1"/>
  <c r="CJ156" i="148"/>
  <c r="CG156" i="149" s="1"/>
  <c r="BR156" i="148"/>
  <c r="BO156" i="149" s="1"/>
  <c r="BS156" i="148"/>
  <c r="BP156" i="149" s="1"/>
  <c r="DA156" i="148"/>
  <c r="CX156" i="149" s="1"/>
  <c r="CN156" i="148"/>
  <c r="CK156" i="149" s="1"/>
  <c r="BV156" i="148"/>
  <c r="BS156" i="149" s="1"/>
  <c r="CP156" i="148"/>
  <c r="CM156" i="149" s="1"/>
  <c r="G156" i="148"/>
  <c r="CR156" i="148"/>
  <c r="CO156" i="149" s="1"/>
  <c r="CI156" i="148"/>
  <c r="CF156" i="149" s="1"/>
  <c r="CT156" i="148"/>
  <c r="CQ156" i="149" s="1"/>
  <c r="V156" i="148"/>
  <c r="CY156" i="148"/>
  <c r="CV156" i="149" s="1"/>
  <c r="R156" i="148"/>
  <c r="CX156" i="148"/>
  <c r="CU156" i="149" s="1"/>
  <c r="BU156" i="148"/>
  <c r="BR156" i="149" s="1"/>
  <c r="AX156" i="148"/>
  <c r="AU156" i="149" s="1"/>
  <c r="AW156" i="148"/>
  <c r="AT156" i="149" s="1"/>
  <c r="BY156" i="148"/>
  <c r="BV156" i="149" s="1"/>
  <c r="BW156" i="148"/>
  <c r="BT156" i="149" s="1"/>
  <c r="BZ156" i="148"/>
  <c r="BW156" i="149" s="1"/>
  <c r="H156" i="148"/>
  <c r="BE156" i="148"/>
  <c r="BB156" i="149" s="1"/>
  <c r="AV156" i="148"/>
  <c r="AS156" i="149" s="1"/>
  <c r="BB156" i="148"/>
  <c r="AY156" i="149" s="1"/>
  <c r="BM156" i="148"/>
  <c r="BJ156" i="149" s="1"/>
  <c r="BF156" i="148"/>
  <c r="BC156" i="149" s="1"/>
  <c r="BC156" i="148"/>
  <c r="AZ156" i="149" s="1"/>
  <c r="BI156" i="148"/>
  <c r="BF156" i="149" s="1"/>
  <c r="BJ156" i="148"/>
  <c r="BG156" i="149" s="1"/>
  <c r="BA156" i="148"/>
  <c r="AX156" i="149" s="1"/>
  <c r="BO156" i="148"/>
  <c r="BG156" i="148"/>
  <c r="BD156" i="149" s="1"/>
  <c r="BL156" i="148"/>
  <c r="BI156" i="149" s="1"/>
  <c r="BH156" i="148"/>
  <c r="D156" i="148"/>
  <c r="AZ156" i="148"/>
  <c r="AW156" i="149" s="1"/>
  <c r="BK156" i="148"/>
  <c r="BH156" i="149" s="1"/>
  <c r="BN156" i="148"/>
  <c r="BK156" i="149" s="1"/>
  <c r="Q90" i="148"/>
  <c r="AX90" i="148"/>
  <c r="AU90" i="149" s="1"/>
  <c r="CC90" i="148"/>
  <c r="BZ90" i="149" s="1"/>
  <c r="BG90" i="148"/>
  <c r="BD90" i="149" s="1"/>
  <c r="E90" i="148"/>
  <c r="R90" i="148"/>
  <c r="CT90" i="148"/>
  <c r="CQ90" i="149" s="1"/>
  <c r="CK90" i="148"/>
  <c r="CH90" i="149" s="1"/>
  <c r="CV90" i="148"/>
  <c r="CS90" i="149" s="1"/>
  <c r="CB90" i="148"/>
  <c r="BY90" i="149" s="1"/>
  <c r="AY90" i="148"/>
  <c r="AV90" i="149" s="1"/>
  <c r="V90" i="148"/>
  <c r="CZ90" i="148"/>
  <c r="CW90" i="149" s="1"/>
  <c r="BP90" i="148"/>
  <c r="BM90" i="149" s="1"/>
  <c r="BU90" i="148"/>
  <c r="BR90" i="149" s="1"/>
  <c r="CO90" i="148"/>
  <c r="CL90" i="149" s="1"/>
  <c r="CU90" i="148"/>
  <c r="CR90" i="149" s="1"/>
  <c r="BR90" i="148"/>
  <c r="BO90" i="149" s="1"/>
  <c r="BQ90" i="148"/>
  <c r="BN90" i="149" s="1"/>
  <c r="G90" i="148"/>
  <c r="CJ90" i="148"/>
  <c r="CG90" i="149" s="1"/>
  <c r="BF90" i="148"/>
  <c r="BC90" i="149" s="1"/>
  <c r="CW90" i="148"/>
  <c r="CT90" i="149" s="1"/>
  <c r="CP90" i="148"/>
  <c r="CM90" i="149" s="1"/>
  <c r="CD90" i="148"/>
  <c r="CA90" i="149" s="1"/>
  <c r="CX90" i="148"/>
  <c r="CU90" i="149" s="1"/>
  <c r="BZ90" i="148"/>
  <c r="BW90" i="149" s="1"/>
  <c r="DA90" i="148"/>
  <c r="CX90" i="149" s="1"/>
  <c r="CN90" i="148"/>
  <c r="CK90" i="149" s="1"/>
  <c r="BS90" i="148"/>
  <c r="BP90" i="149" s="1"/>
  <c r="AW90" i="148"/>
  <c r="AT90" i="149" s="1"/>
  <c r="BD90" i="148"/>
  <c r="BA90" i="149" s="1"/>
  <c r="CA90" i="148"/>
  <c r="BX90" i="149" s="1"/>
  <c r="CM90" i="148"/>
  <c r="CJ90" i="149" s="1"/>
  <c r="BV90" i="148"/>
  <c r="BS90" i="149" s="1"/>
  <c r="BX90" i="148"/>
  <c r="BU90" i="149" s="1"/>
  <c r="CH90" i="148"/>
  <c r="CE90" i="149" s="1"/>
  <c r="F90" i="148"/>
  <c r="CY90" i="148"/>
  <c r="CV90" i="149" s="1"/>
  <c r="CQ90" i="148"/>
  <c r="CN90" i="149" s="1"/>
  <c r="I90" i="148"/>
  <c r="CR90" i="148"/>
  <c r="CO90" i="149" s="1"/>
  <c r="H90" i="148"/>
  <c r="CS90" i="148"/>
  <c r="CP90" i="149" s="1"/>
  <c r="BY90" i="148"/>
  <c r="BV90" i="149" s="1"/>
  <c r="BT90" i="148"/>
  <c r="BQ90" i="149" s="1"/>
  <c r="CI90" i="148"/>
  <c r="CF90" i="149" s="1"/>
  <c r="AV90" i="148"/>
  <c r="AS90" i="149" s="1"/>
  <c r="BE90" i="148"/>
  <c r="BB90" i="149" s="1"/>
  <c r="CL90" i="148"/>
  <c r="CI90" i="149" s="1"/>
  <c r="BW90" i="148"/>
  <c r="BT90" i="149" s="1"/>
  <c r="CF90" i="148"/>
  <c r="CC90" i="149" s="1"/>
  <c r="CG90" i="148"/>
  <c r="CD90" i="149" s="1"/>
  <c r="CE90" i="148"/>
  <c r="CB90" i="149" s="1"/>
  <c r="BM90" i="148"/>
  <c r="BJ90" i="149" s="1"/>
  <c r="BN90" i="148"/>
  <c r="BK90" i="149" s="1"/>
  <c r="BK90" i="148"/>
  <c r="BH90" i="149" s="1"/>
  <c r="BI90" i="148"/>
  <c r="BF90" i="149" s="1"/>
  <c r="BC90" i="148"/>
  <c r="AZ90" i="149" s="1"/>
  <c r="BJ90" i="148"/>
  <c r="BG90" i="149" s="1"/>
  <c r="BB90" i="148"/>
  <c r="AY90" i="149" s="1"/>
  <c r="AZ90" i="148"/>
  <c r="AW90" i="149" s="1"/>
  <c r="BO90" i="148"/>
  <c r="BA90" i="148"/>
  <c r="AX90" i="149" s="1"/>
  <c r="BH90" i="148"/>
  <c r="BE90" i="149" s="1"/>
  <c r="BL90" i="148"/>
  <c r="BI90" i="149" s="1"/>
  <c r="D90" i="148"/>
  <c r="DA81" i="149"/>
  <c r="CZ81" i="149"/>
  <c r="DB81" i="149"/>
  <c r="BL81" i="149"/>
  <c r="G6" i="151"/>
  <c r="P6" i="151"/>
  <c r="R6" i="151"/>
  <c r="E6" i="151"/>
  <c r="D6" i="151"/>
  <c r="H6" i="151"/>
  <c r="CA6" i="151"/>
  <c r="CJ6" i="151"/>
  <c r="BZ6" i="151"/>
  <c r="CB6" i="151"/>
  <c r="CR6" i="151"/>
  <c r="F6" i="151"/>
  <c r="BW6" i="151"/>
  <c r="CD6" i="151"/>
  <c r="CN6" i="151"/>
  <c r="CK6" i="151"/>
  <c r="CW6" i="151"/>
  <c r="CE6" i="151"/>
  <c r="CQ6" i="151"/>
  <c r="CT6" i="151"/>
  <c r="BT6" i="151"/>
  <c r="CO6" i="151"/>
  <c r="CS6" i="151"/>
  <c r="CC6" i="151"/>
  <c r="BX6" i="151"/>
  <c r="CU6" i="151"/>
  <c r="CM6" i="151"/>
  <c r="BU6" i="151"/>
  <c r="BY6" i="151"/>
  <c r="CL6" i="151"/>
  <c r="CI6" i="151"/>
  <c r="CH6" i="151"/>
  <c r="CG6" i="151"/>
  <c r="CP6" i="151"/>
  <c r="CF6" i="151"/>
  <c r="CV6" i="151"/>
  <c r="BV6" i="151"/>
  <c r="BA6" i="151"/>
  <c r="BE6" i="151"/>
  <c r="BC6" i="151"/>
  <c r="BF6" i="151"/>
  <c r="AW6" i="151"/>
  <c r="BJ6" i="151"/>
  <c r="BB6" i="151"/>
  <c r="BL6" i="151"/>
  <c r="BR6" i="151"/>
  <c r="BG6" i="151"/>
  <c r="BM6" i="151"/>
  <c r="AS6" i="151"/>
  <c r="BI6" i="151"/>
  <c r="BK6" i="151"/>
  <c r="BN6" i="151"/>
  <c r="AR6" i="151"/>
  <c r="AX6" i="151"/>
  <c r="AV6" i="151"/>
  <c r="BD6" i="151"/>
  <c r="AY6" i="151"/>
  <c r="BH6" i="151"/>
  <c r="BP6" i="151"/>
  <c r="AU6" i="151"/>
  <c r="BO6" i="151"/>
  <c r="D23" i="151"/>
  <c r="R23" i="151"/>
  <c r="G23" i="151"/>
  <c r="E23" i="151"/>
  <c r="P23" i="151"/>
  <c r="H23" i="151"/>
  <c r="CW23" i="151"/>
  <c r="CT23" i="151"/>
  <c r="CC23" i="151"/>
  <c r="CU23" i="151"/>
  <c r="BV23" i="151"/>
  <c r="CP23" i="151"/>
  <c r="CJ23" i="151"/>
  <c r="CV23" i="151"/>
  <c r="CO23" i="151"/>
  <c r="CQ23" i="151"/>
  <c r="CF23" i="151"/>
  <c r="CK23" i="151"/>
  <c r="CH23" i="151"/>
  <c r="CE23" i="151"/>
  <c r="CA23" i="151"/>
  <c r="CI23" i="151"/>
  <c r="CG23" i="151"/>
  <c r="BU23" i="151"/>
  <c r="CN23" i="151"/>
  <c r="F23" i="151"/>
  <c r="BW23" i="151"/>
  <c r="BZ23" i="151"/>
  <c r="BY23" i="151"/>
  <c r="CS23" i="151"/>
  <c r="CR23" i="151"/>
  <c r="CM23" i="151"/>
  <c r="BT23" i="151"/>
  <c r="BX23" i="151"/>
  <c r="CD23" i="151"/>
  <c r="CL23" i="151"/>
  <c r="CB23" i="151"/>
  <c r="BJ23" i="151"/>
  <c r="BC23" i="151"/>
  <c r="BN23" i="151"/>
  <c r="AU23" i="151"/>
  <c r="AX23" i="151"/>
  <c r="AS23" i="151"/>
  <c r="AW23" i="151"/>
  <c r="BG23" i="151"/>
  <c r="BO23" i="151"/>
  <c r="BF23" i="151"/>
  <c r="AY23" i="151"/>
  <c r="BB23" i="151"/>
  <c r="AT23" i="151"/>
  <c r="BP23" i="151"/>
  <c r="BE23" i="151"/>
  <c r="BH23" i="151"/>
  <c r="BA23" i="151"/>
  <c r="BL23" i="151"/>
  <c r="BK23" i="151"/>
  <c r="BM23" i="151"/>
  <c r="BR23" i="151"/>
  <c r="BI23" i="151"/>
  <c r="BD23" i="151"/>
  <c r="AV23" i="151"/>
  <c r="R15" i="151"/>
  <c r="E15" i="151"/>
  <c r="H15" i="151"/>
  <c r="D15" i="151"/>
  <c r="G15" i="151"/>
  <c r="P15" i="151"/>
  <c r="CE15" i="151"/>
  <c r="CC15" i="151"/>
  <c r="CR15" i="151"/>
  <c r="CK15" i="151"/>
  <c r="BZ15" i="151"/>
  <c r="CV15" i="151"/>
  <c r="CA15" i="151"/>
  <c r="CQ15" i="151"/>
  <c r="F15" i="151"/>
  <c r="CG15" i="151"/>
  <c r="CW15" i="151"/>
  <c r="CB15" i="151"/>
  <c r="CJ15" i="151"/>
  <c r="BV15" i="151"/>
  <c r="CP15" i="151"/>
  <c r="BT15" i="151"/>
  <c r="CM15" i="151"/>
  <c r="BW15" i="151"/>
  <c r="CI15" i="151"/>
  <c r="BU15" i="151"/>
  <c r="CF15" i="151"/>
  <c r="BX15" i="151"/>
  <c r="CS15" i="151"/>
  <c r="BY15" i="151"/>
  <c r="CU15" i="151"/>
  <c r="CL15" i="151"/>
  <c r="CO15" i="151"/>
  <c r="CT15" i="151"/>
  <c r="CD15" i="151"/>
  <c r="CN15" i="151"/>
  <c r="CH15" i="151"/>
  <c r="BG15" i="151"/>
  <c r="BD15" i="151"/>
  <c r="AV15" i="151"/>
  <c r="BM15" i="151"/>
  <c r="BH15" i="151"/>
  <c r="BF15" i="151"/>
  <c r="BJ15" i="151"/>
  <c r="AW15" i="151"/>
  <c r="BB15" i="151"/>
  <c r="AU15" i="151"/>
  <c r="BI15" i="151"/>
  <c r="AY15" i="151"/>
  <c r="BN15" i="151"/>
  <c r="BK15" i="151"/>
  <c r="BC15" i="151"/>
  <c r="BP15" i="151"/>
  <c r="BA15" i="151"/>
  <c r="AT15" i="151"/>
  <c r="BE15" i="151"/>
  <c r="BO15" i="151"/>
  <c r="BL15" i="151"/>
  <c r="AS15" i="151"/>
  <c r="AX15" i="151"/>
  <c r="BR15" i="151"/>
  <c r="P9" i="151"/>
  <c r="E9" i="151"/>
  <c r="G9" i="151"/>
  <c r="D9" i="151"/>
  <c r="R9" i="151"/>
  <c r="H9" i="151"/>
  <c r="F9" i="151"/>
  <c r="CM9" i="151"/>
  <c r="CR9" i="151"/>
  <c r="CV9" i="151"/>
  <c r="CD9" i="151"/>
  <c r="BU9" i="151"/>
  <c r="BT9" i="151"/>
  <c r="CQ9" i="151"/>
  <c r="CF9" i="151"/>
  <c r="BX9" i="151"/>
  <c r="CA9" i="151"/>
  <c r="CC9" i="151"/>
  <c r="CE9" i="151"/>
  <c r="CO9" i="151"/>
  <c r="CI9" i="151"/>
  <c r="CW9" i="151"/>
  <c r="CB9" i="151"/>
  <c r="CP9" i="151"/>
  <c r="CK9" i="151"/>
  <c r="CH9" i="151"/>
  <c r="CG9" i="151"/>
  <c r="BW9" i="151"/>
  <c r="CU9" i="151"/>
  <c r="BZ9" i="151"/>
  <c r="CS9" i="151"/>
  <c r="CJ9" i="151"/>
  <c r="BV9" i="151"/>
  <c r="CT9" i="151"/>
  <c r="BY9" i="151"/>
  <c r="CN9" i="151"/>
  <c r="CL9" i="151"/>
  <c r="AT9" i="151"/>
  <c r="BB9" i="151"/>
  <c r="AU9" i="151"/>
  <c r="BD9" i="151"/>
  <c r="BK9" i="151"/>
  <c r="BE9" i="151"/>
  <c r="BL9" i="151"/>
  <c r="AX9" i="151"/>
  <c r="AS9" i="151"/>
  <c r="BM9" i="151"/>
  <c r="BQ9" i="151"/>
  <c r="BH9" i="151"/>
  <c r="AY9" i="151"/>
  <c r="BA9" i="151"/>
  <c r="BN9" i="151"/>
  <c r="AV9" i="151"/>
  <c r="AZ9" i="151"/>
  <c r="AW9" i="151"/>
  <c r="BG9" i="151"/>
  <c r="BR9" i="151"/>
  <c r="BP9" i="151"/>
  <c r="AR9" i="151"/>
  <c r="BJ9" i="151"/>
  <c r="BO9" i="151"/>
  <c r="BC9" i="151"/>
  <c r="BI9" i="151"/>
  <c r="BF9" i="151"/>
  <c r="BS9" i="151"/>
  <c r="G10" i="151"/>
  <c r="E10" i="151"/>
  <c r="D10" i="151"/>
  <c r="H10" i="151"/>
  <c r="R10" i="151"/>
  <c r="P10" i="151"/>
  <c r="CI10" i="151"/>
  <c r="CA10" i="151"/>
  <c r="CQ10" i="151"/>
  <c r="CD10" i="151"/>
  <c r="CF10" i="151"/>
  <c r="CO10" i="151"/>
  <c r="CU10" i="151"/>
  <c r="CB10" i="151"/>
  <c r="BZ10" i="151"/>
  <c r="CN10" i="151"/>
  <c r="CV10" i="151"/>
  <c r="BX10" i="151"/>
  <c r="CT10" i="151"/>
  <c r="CR10" i="151"/>
  <c r="BU10" i="151"/>
  <c r="CG10" i="151"/>
  <c r="CK10" i="151"/>
  <c r="BV10" i="151"/>
  <c r="CH10" i="151"/>
  <c r="CE10" i="151"/>
  <c r="CM10" i="151"/>
  <c r="CJ10" i="151"/>
  <c r="CW10" i="151"/>
  <c r="BT10" i="151"/>
  <c r="CC10" i="151"/>
  <c r="BW10" i="151"/>
  <c r="F10" i="151"/>
  <c r="CS10" i="151"/>
  <c r="CL10" i="151"/>
  <c r="BY10" i="151"/>
  <c r="CP10" i="151"/>
  <c r="AS10" i="151"/>
  <c r="BI10" i="151"/>
  <c r="BR10" i="151"/>
  <c r="AY10" i="151"/>
  <c r="BS10" i="151"/>
  <c r="BP10" i="151"/>
  <c r="AT10" i="151"/>
  <c r="AR10" i="151"/>
  <c r="BF10" i="151"/>
  <c r="BN10" i="151"/>
  <c r="BO10" i="151"/>
  <c r="BH10" i="151"/>
  <c r="AV10" i="151"/>
  <c r="BB10" i="151"/>
  <c r="BD10" i="151"/>
  <c r="BC10" i="151"/>
  <c r="BL10" i="151"/>
  <c r="AW10" i="151"/>
  <c r="AZ10" i="151"/>
  <c r="BJ10" i="151"/>
  <c r="AX10" i="151"/>
  <c r="BA10" i="151"/>
  <c r="BK10" i="151"/>
  <c r="BQ10" i="151"/>
  <c r="BM10" i="151"/>
  <c r="AU10" i="151"/>
  <c r="BG10" i="151"/>
  <c r="BE10" i="151"/>
  <c r="Q29" i="148"/>
  <c r="BI29" i="148"/>
  <c r="BF29" i="149" s="1"/>
  <c r="DA29" i="148"/>
  <c r="CX29" i="149" s="1"/>
  <c r="CW29" i="148"/>
  <c r="CT29" i="149" s="1"/>
  <c r="CO29" i="148"/>
  <c r="CL29" i="149" s="1"/>
  <c r="BF29" i="148"/>
  <c r="BC29" i="149" s="1"/>
  <c r="BH29" i="148"/>
  <c r="BE29" i="149" s="1"/>
  <c r="CT29" i="148"/>
  <c r="CQ29" i="149" s="1"/>
  <c r="CG29" i="148"/>
  <c r="CD29" i="149" s="1"/>
  <c r="CA29" i="148"/>
  <c r="BX29" i="149" s="1"/>
  <c r="BQ29" i="148"/>
  <c r="BN29" i="149" s="1"/>
  <c r="BL29" i="148"/>
  <c r="BI29" i="149" s="1"/>
  <c r="H29" i="148"/>
  <c r="G29" i="148"/>
  <c r="CD29" i="148"/>
  <c r="CA29" i="149" s="1"/>
  <c r="BY29" i="148"/>
  <c r="BV29" i="149" s="1"/>
  <c r="AY29" i="148"/>
  <c r="AV29" i="149" s="1"/>
  <c r="BJ29" i="148"/>
  <c r="BG29" i="149" s="1"/>
  <c r="BK29" i="148"/>
  <c r="BH29" i="149" s="1"/>
  <c r="F29" i="148"/>
  <c r="CY29" i="148"/>
  <c r="CV29" i="149" s="1"/>
  <c r="CK29" i="148"/>
  <c r="CH29" i="149" s="1"/>
  <c r="BP29" i="148"/>
  <c r="BM29" i="149" s="1"/>
  <c r="AZ29" i="148"/>
  <c r="AW29" i="149" s="1"/>
  <c r="BC29" i="148"/>
  <c r="AZ29" i="149" s="1"/>
  <c r="BB29" i="148"/>
  <c r="AY29" i="149" s="1"/>
  <c r="BA29" i="148"/>
  <c r="AX29" i="149" s="1"/>
  <c r="BM29" i="148"/>
  <c r="BJ29" i="149" s="1"/>
  <c r="CE29" i="148"/>
  <c r="CB29" i="149" s="1"/>
  <c r="CM29" i="148"/>
  <c r="CJ29" i="149" s="1"/>
  <c r="CN29" i="148"/>
  <c r="CK29" i="149" s="1"/>
  <c r="BR29" i="148"/>
  <c r="BO29" i="149" s="1"/>
  <c r="CJ29" i="148"/>
  <c r="CG29" i="149" s="1"/>
  <c r="CV29" i="148"/>
  <c r="CS29" i="149" s="1"/>
  <c r="AV29" i="148"/>
  <c r="AS29" i="149" s="1"/>
  <c r="BN29" i="148"/>
  <c r="BK29" i="149" s="1"/>
  <c r="CF29" i="148"/>
  <c r="CC29" i="149" s="1"/>
  <c r="CX29" i="148"/>
  <c r="CU29" i="149" s="1"/>
  <c r="BS29" i="148"/>
  <c r="BP29" i="149" s="1"/>
  <c r="CI29" i="148"/>
  <c r="CF29" i="149" s="1"/>
  <c r="BO29" i="148"/>
  <c r="CH29" i="148"/>
  <c r="CE29" i="149" s="1"/>
  <c r="CZ29" i="148"/>
  <c r="CW29" i="149" s="1"/>
  <c r="BV29" i="148"/>
  <c r="BS29" i="149" s="1"/>
  <c r="CB29" i="148"/>
  <c r="BY29" i="149" s="1"/>
  <c r="AX29" i="148"/>
  <c r="AU29" i="149" s="1"/>
  <c r="BZ29" i="148"/>
  <c r="BW29" i="149" s="1"/>
  <c r="BW29" i="148"/>
  <c r="BT29" i="149" s="1"/>
  <c r="BX29" i="148"/>
  <c r="BU29" i="149" s="1"/>
  <c r="E29" i="148"/>
  <c r="CU29" i="148"/>
  <c r="CR29" i="149" s="1"/>
  <c r="AW29" i="148"/>
  <c r="AT29" i="149" s="1"/>
  <c r="CQ29" i="148"/>
  <c r="CN29" i="149" s="1"/>
  <c r="I29" i="148"/>
  <c r="CL29" i="148"/>
  <c r="CI29" i="149" s="1"/>
  <c r="BG29" i="148"/>
  <c r="BD29" i="149" s="1"/>
  <c r="R29" i="148"/>
  <c r="CC29" i="148"/>
  <c r="BZ29" i="149" s="1"/>
  <c r="BE29" i="148"/>
  <c r="BB29" i="149" s="1"/>
  <c r="V29" i="148"/>
  <c r="CR29" i="148"/>
  <c r="CO29" i="149" s="1"/>
  <c r="BT29" i="148"/>
  <c r="BQ29" i="149" s="1"/>
  <c r="BD29" i="148"/>
  <c r="BA29" i="149" s="1"/>
  <c r="CS29" i="148"/>
  <c r="CP29" i="149" s="1"/>
  <c r="CP29" i="148"/>
  <c r="CM29" i="149" s="1"/>
  <c r="BU29" i="148"/>
  <c r="BR29" i="149" s="1"/>
  <c r="D29" i="148"/>
  <c r="CY75" i="149"/>
  <c r="DB75" i="149"/>
  <c r="DA75" i="149"/>
  <c r="CZ75" i="149"/>
  <c r="BL75" i="149"/>
  <c r="Q68" i="148"/>
  <c r="BI68" i="148"/>
  <c r="BF68" i="149" s="1"/>
  <c r="F68" i="148"/>
  <c r="DA68" i="148"/>
  <c r="CX68" i="149" s="1"/>
  <c r="CL68" i="148"/>
  <c r="CI68" i="149" s="1"/>
  <c r="BG68" i="148"/>
  <c r="BD68" i="149" s="1"/>
  <c r="AY68" i="148"/>
  <c r="AV68" i="149" s="1"/>
  <c r="BO68" i="148"/>
  <c r="I68" i="148"/>
  <c r="G68" i="148"/>
  <c r="CF68" i="148"/>
  <c r="CC68" i="149" s="1"/>
  <c r="BU68" i="148"/>
  <c r="BR68" i="149" s="1"/>
  <c r="BD68" i="148"/>
  <c r="BA68" i="149" s="1"/>
  <c r="BJ68" i="148"/>
  <c r="BG68" i="149" s="1"/>
  <c r="R68" i="148"/>
  <c r="CA68" i="148"/>
  <c r="BX68" i="149" s="1"/>
  <c r="CB68" i="148"/>
  <c r="BY68" i="149" s="1"/>
  <c r="BS68" i="148"/>
  <c r="BP68" i="149" s="1"/>
  <c r="BH68" i="148"/>
  <c r="BE68" i="149" s="1"/>
  <c r="BV68" i="148"/>
  <c r="BS68" i="149" s="1"/>
  <c r="BL68" i="148"/>
  <c r="BI68" i="149" s="1"/>
  <c r="CE68" i="148"/>
  <c r="CB68" i="149" s="1"/>
  <c r="BY68" i="148"/>
  <c r="BV68" i="149" s="1"/>
  <c r="CQ68" i="148"/>
  <c r="CN68" i="149" s="1"/>
  <c r="AV68" i="148"/>
  <c r="AS68" i="149" s="1"/>
  <c r="AZ68" i="148"/>
  <c r="AW68" i="149" s="1"/>
  <c r="BC68" i="148"/>
  <c r="AZ68" i="149" s="1"/>
  <c r="BB68" i="148"/>
  <c r="AY68" i="149" s="1"/>
  <c r="BA68" i="148"/>
  <c r="AX68" i="149" s="1"/>
  <c r="BM68" i="148"/>
  <c r="BJ68" i="149" s="1"/>
  <c r="V68" i="148"/>
  <c r="CK68" i="148"/>
  <c r="CH68" i="149" s="1"/>
  <c r="CP68" i="148"/>
  <c r="CM68" i="149" s="1"/>
  <c r="BZ68" i="148"/>
  <c r="BW68" i="149" s="1"/>
  <c r="AW68" i="148"/>
  <c r="AT68" i="149" s="1"/>
  <c r="BN68" i="148"/>
  <c r="BK68" i="149" s="1"/>
  <c r="CS68" i="148"/>
  <c r="CP68" i="149" s="1"/>
  <c r="BW68" i="148"/>
  <c r="BT68" i="149" s="1"/>
  <c r="BP68" i="148"/>
  <c r="BM68" i="149" s="1"/>
  <c r="H68" i="148"/>
  <c r="CW68" i="148"/>
  <c r="CT68" i="149" s="1"/>
  <c r="BQ68" i="148"/>
  <c r="BN68" i="149" s="1"/>
  <c r="E68" i="148"/>
  <c r="CC68" i="148"/>
  <c r="BZ68" i="149" s="1"/>
  <c r="BE68" i="148"/>
  <c r="BB68" i="149" s="1"/>
  <c r="CI68" i="148"/>
  <c r="CF68" i="149" s="1"/>
  <c r="CJ68" i="148"/>
  <c r="CG68" i="149" s="1"/>
  <c r="BR68" i="148"/>
  <c r="BO68" i="149" s="1"/>
  <c r="CY68" i="148"/>
  <c r="CV68" i="149" s="1"/>
  <c r="CU68" i="148"/>
  <c r="CR68" i="149" s="1"/>
  <c r="BX68" i="148"/>
  <c r="BU68" i="149" s="1"/>
  <c r="AX68" i="148"/>
  <c r="AU68" i="149" s="1"/>
  <c r="CZ68" i="148"/>
  <c r="CW68" i="149" s="1"/>
  <c r="CM68" i="148"/>
  <c r="CJ68" i="149" s="1"/>
  <c r="CV68" i="148"/>
  <c r="CS68" i="149" s="1"/>
  <c r="CX68" i="148"/>
  <c r="CU68" i="149" s="1"/>
  <c r="CH68" i="148"/>
  <c r="CE68" i="149" s="1"/>
  <c r="CN68" i="148"/>
  <c r="CK68" i="149" s="1"/>
  <c r="CO68" i="148"/>
  <c r="CL68" i="149" s="1"/>
  <c r="CR68" i="148"/>
  <c r="CO68" i="149" s="1"/>
  <c r="CD68" i="148"/>
  <c r="CA68" i="149" s="1"/>
  <c r="BF68" i="148"/>
  <c r="BC68" i="149" s="1"/>
  <c r="BK68" i="148"/>
  <c r="BH68" i="149" s="1"/>
  <c r="CG68" i="148"/>
  <c r="CD68" i="149" s="1"/>
  <c r="BT68" i="148"/>
  <c r="BQ68" i="149" s="1"/>
  <c r="CT68" i="148"/>
  <c r="CQ68" i="149" s="1"/>
  <c r="D68" i="148"/>
  <c r="DA77" i="149"/>
  <c r="CZ77" i="149"/>
  <c r="DB77" i="149"/>
  <c r="BL77" i="149"/>
  <c r="Q47" i="148"/>
  <c r="BI47" i="148"/>
  <c r="BF47" i="149" s="1"/>
  <c r="E47" i="148"/>
  <c r="CI47" i="148"/>
  <c r="CF47" i="149" s="1"/>
  <c r="BZ47" i="148"/>
  <c r="BW47" i="149" s="1"/>
  <c r="AV47" i="148"/>
  <c r="AS47" i="149" s="1"/>
  <c r="BT47" i="148"/>
  <c r="BQ47" i="149" s="1"/>
  <c r="BH47" i="148"/>
  <c r="BE47" i="149" s="1"/>
  <c r="V47" i="148"/>
  <c r="CJ47" i="148"/>
  <c r="CG47" i="149" s="1"/>
  <c r="CK47" i="148"/>
  <c r="CH47" i="149" s="1"/>
  <c r="BQ47" i="148"/>
  <c r="BN47" i="149" s="1"/>
  <c r="BG47" i="148"/>
  <c r="BD47" i="149" s="1"/>
  <c r="BL47" i="148"/>
  <c r="BI47" i="149" s="1"/>
  <c r="H47" i="148"/>
  <c r="CS47" i="148"/>
  <c r="CP47" i="149" s="1"/>
  <c r="CP47" i="148"/>
  <c r="CM47" i="149" s="1"/>
  <c r="BU47" i="148"/>
  <c r="BR47" i="149" s="1"/>
  <c r="BD47" i="148"/>
  <c r="BA47" i="149" s="1"/>
  <c r="BO47" i="148"/>
  <c r="CL47" i="148"/>
  <c r="CI47" i="149" s="1"/>
  <c r="CN47" i="148"/>
  <c r="CK47" i="149" s="1"/>
  <c r="CM47" i="148"/>
  <c r="CJ47" i="149" s="1"/>
  <c r="BS47" i="148"/>
  <c r="BP47" i="149" s="1"/>
  <c r="BJ47" i="148"/>
  <c r="BG47" i="149" s="1"/>
  <c r="CE47" i="148"/>
  <c r="CB47" i="149" s="1"/>
  <c r="CH47" i="148"/>
  <c r="CE47" i="149" s="1"/>
  <c r="CG47" i="148"/>
  <c r="CD47" i="149" s="1"/>
  <c r="BV47" i="148"/>
  <c r="BS47" i="149" s="1"/>
  <c r="BC47" i="148"/>
  <c r="AZ47" i="149" s="1"/>
  <c r="AZ47" i="148"/>
  <c r="AW47" i="149" s="1"/>
  <c r="CV47" i="148"/>
  <c r="CS47" i="149" s="1"/>
  <c r="CX47" i="148"/>
  <c r="CU47" i="149" s="1"/>
  <c r="CZ47" i="148"/>
  <c r="CW47" i="149" s="1"/>
  <c r="BW47" i="148"/>
  <c r="BT47" i="149" s="1"/>
  <c r="BB47" i="148"/>
  <c r="AY47" i="149" s="1"/>
  <c r="CR47" i="148"/>
  <c r="CO47" i="149" s="1"/>
  <c r="DA47" i="148"/>
  <c r="CX47" i="149" s="1"/>
  <c r="G47" i="148"/>
  <c r="AW47" i="148"/>
  <c r="AT47" i="149" s="1"/>
  <c r="BA47" i="148"/>
  <c r="AX47" i="149" s="1"/>
  <c r="BX47" i="148"/>
  <c r="BU47" i="149" s="1"/>
  <c r="CT47" i="148"/>
  <c r="CQ47" i="149" s="1"/>
  <c r="CD47" i="148"/>
  <c r="CA47" i="149" s="1"/>
  <c r="AY47" i="148"/>
  <c r="AV47" i="149" s="1"/>
  <c r="BM47" i="148"/>
  <c r="BJ47" i="149" s="1"/>
  <c r="F47" i="148"/>
  <c r="CA47" i="148"/>
  <c r="BX47" i="149" s="1"/>
  <c r="CW47" i="148"/>
  <c r="CT47" i="149" s="1"/>
  <c r="CB47" i="148"/>
  <c r="BY47" i="149" s="1"/>
  <c r="BE47" i="148"/>
  <c r="BB47" i="149" s="1"/>
  <c r="CF47" i="148"/>
  <c r="CC47" i="149" s="1"/>
  <c r="BK47" i="148"/>
  <c r="BH47" i="149" s="1"/>
  <c r="BY47" i="148"/>
  <c r="BV47" i="149" s="1"/>
  <c r="BF47" i="148"/>
  <c r="BC47" i="149" s="1"/>
  <c r="BP47" i="148"/>
  <c r="BM47" i="149" s="1"/>
  <c r="BN47" i="148"/>
  <c r="BK47" i="149" s="1"/>
  <c r="BR47" i="148"/>
  <c r="BO47" i="149" s="1"/>
  <c r="I47" i="148"/>
  <c r="AX47" i="148"/>
  <c r="AU47" i="149" s="1"/>
  <c r="R47" i="148"/>
  <c r="CC47" i="148"/>
  <c r="BZ47" i="149" s="1"/>
  <c r="CU47" i="148"/>
  <c r="CR47" i="149" s="1"/>
  <c r="CY47" i="148"/>
  <c r="CV47" i="149" s="1"/>
  <c r="CO47" i="148"/>
  <c r="CL47" i="149" s="1"/>
  <c r="CQ47" i="148"/>
  <c r="CN47" i="149" s="1"/>
  <c r="D47" i="148"/>
  <c r="BD39" i="149"/>
  <c r="BW39" i="149"/>
  <c r="BS39" i="149"/>
  <c r="CU39" i="149"/>
  <c r="DA39" i="149"/>
  <c r="BH39" i="149"/>
  <c r="AZ39" i="149"/>
  <c r="BV39" i="149"/>
  <c r="CX39" i="149"/>
  <c r="CT39" i="149"/>
  <c r="BO39" i="149"/>
  <c r="BK39" i="149"/>
  <c r="AV39" i="149"/>
  <c r="CH39" i="149"/>
  <c r="CD39" i="149"/>
  <c r="CP39" i="149"/>
  <c r="BJ39" i="149"/>
  <c r="BE39" i="149"/>
  <c r="BM39" i="149"/>
  <c r="BY39" i="149"/>
  <c r="BU39" i="149"/>
  <c r="CW39" i="149"/>
  <c r="BG39" i="149"/>
  <c r="AY39" i="149"/>
  <c r="BT39" i="149"/>
  <c r="CV39" i="149"/>
  <c r="CR39" i="149"/>
  <c r="BQ39" i="149"/>
  <c r="AX39" i="149"/>
  <c r="AT39" i="149"/>
  <c r="CF39" i="149"/>
  <c r="CB39" i="149"/>
  <c r="CN39" i="149"/>
  <c r="BI39" i="149"/>
  <c r="CQ39" i="149"/>
  <c r="CA39" i="149"/>
  <c r="CM39" i="149"/>
  <c r="CI39" i="149"/>
  <c r="DB39" i="149"/>
  <c r="BA39" i="149"/>
  <c r="CJ39" i="149"/>
  <c r="CE39" i="149"/>
  <c r="BF39" i="149"/>
  <c r="CZ39" i="149"/>
  <c r="BZ39" i="149"/>
  <c r="AW39" i="149"/>
  <c r="BC39" i="149"/>
  <c r="BR39" i="149"/>
  <c r="CG39" i="149"/>
  <c r="CO39" i="149"/>
  <c r="BB39" i="149"/>
  <c r="BX39" i="149"/>
  <c r="BP39" i="149"/>
  <c r="AS39" i="149"/>
  <c r="BN39" i="149"/>
  <c r="CL39" i="149"/>
  <c r="CK39" i="149"/>
  <c r="CS39" i="149"/>
  <c r="AU39" i="149"/>
  <c r="CC39" i="149"/>
  <c r="BL39" i="149"/>
  <c r="Q148" i="148"/>
  <c r="CX148" i="148"/>
  <c r="CU148" i="149" s="1"/>
  <c r="H148" i="148"/>
  <c r="BQ148" i="148"/>
  <c r="BN148" i="149" s="1"/>
  <c r="BZ148" i="148"/>
  <c r="BW148" i="149" s="1"/>
  <c r="CK148" i="148"/>
  <c r="CH148" i="149" s="1"/>
  <c r="CO148" i="148"/>
  <c r="CL148" i="149" s="1"/>
  <c r="R148" i="148"/>
  <c r="CA148" i="148"/>
  <c r="BX148" i="149" s="1"/>
  <c r="CC148" i="148"/>
  <c r="BZ148" i="149" s="1"/>
  <c r="BU148" i="148"/>
  <c r="BR148" i="149" s="1"/>
  <c r="BN148" i="148"/>
  <c r="BK148" i="149" s="1"/>
  <c r="BD148" i="148"/>
  <c r="BA148" i="149" s="1"/>
  <c r="G148" i="148"/>
  <c r="BC148" i="148"/>
  <c r="AZ148" i="149" s="1"/>
  <c r="CE148" i="148"/>
  <c r="CB148" i="149" s="1"/>
  <c r="CV148" i="148"/>
  <c r="CS148" i="149" s="1"/>
  <c r="BK148" i="148"/>
  <c r="BH148" i="149" s="1"/>
  <c r="CN148" i="148"/>
  <c r="CK148" i="149" s="1"/>
  <c r="BL148" i="148"/>
  <c r="BI148" i="149" s="1"/>
  <c r="CG148" i="148"/>
  <c r="CD148" i="149" s="1"/>
  <c r="CW148" i="148"/>
  <c r="CT148" i="149" s="1"/>
  <c r="F148" i="148"/>
  <c r="BB148" i="148"/>
  <c r="AY148" i="149" s="1"/>
  <c r="BP148" i="148"/>
  <c r="BM148" i="149" s="1"/>
  <c r="CS148" i="148"/>
  <c r="CP148" i="149" s="1"/>
  <c r="BS148" i="148"/>
  <c r="BP148" i="149" s="1"/>
  <c r="AY148" i="148"/>
  <c r="AV148" i="149" s="1"/>
  <c r="BF148" i="148"/>
  <c r="BC148" i="149" s="1"/>
  <c r="BJ148" i="148"/>
  <c r="BG148" i="149" s="1"/>
  <c r="AX148" i="148"/>
  <c r="AU148" i="149" s="1"/>
  <c r="CB148" i="148"/>
  <c r="BY148" i="149" s="1"/>
  <c r="CF148" i="148"/>
  <c r="CC148" i="149" s="1"/>
  <c r="CJ148" i="148"/>
  <c r="CG148" i="149" s="1"/>
  <c r="BE148" i="148"/>
  <c r="BB148" i="149" s="1"/>
  <c r="BH148" i="148"/>
  <c r="BR148" i="148"/>
  <c r="BO148" i="149" s="1"/>
  <c r="CM148" i="148"/>
  <c r="CJ148" i="149" s="1"/>
  <c r="BX148" i="148"/>
  <c r="BU148" i="149" s="1"/>
  <c r="CU148" i="148"/>
  <c r="CR148" i="149" s="1"/>
  <c r="BY148" i="148"/>
  <c r="BV148" i="149" s="1"/>
  <c r="AZ148" i="148"/>
  <c r="AW148" i="149" s="1"/>
  <c r="CZ148" i="148"/>
  <c r="CW148" i="149" s="1"/>
  <c r="BT148" i="148"/>
  <c r="BQ148" i="149" s="1"/>
  <c r="AV148" i="148"/>
  <c r="AS148" i="149" s="1"/>
  <c r="CD148" i="148"/>
  <c r="CA148" i="149" s="1"/>
  <c r="BM148" i="148"/>
  <c r="BJ148" i="149" s="1"/>
  <c r="CY148" i="148"/>
  <c r="CV148" i="149" s="1"/>
  <c r="BW148" i="148"/>
  <c r="BT148" i="149" s="1"/>
  <c r="CR148" i="148"/>
  <c r="CO148" i="149" s="1"/>
  <c r="DA148" i="148"/>
  <c r="CX148" i="149" s="1"/>
  <c r="BO148" i="148"/>
  <c r="AW148" i="148"/>
  <c r="AT148" i="149" s="1"/>
  <c r="E148" i="148"/>
  <c r="I148" i="148"/>
  <c r="CL148" i="148"/>
  <c r="CI148" i="149" s="1"/>
  <c r="BA148" i="148"/>
  <c r="AX148" i="149" s="1"/>
  <c r="CH148" i="148"/>
  <c r="CE148" i="149" s="1"/>
  <c r="CP148" i="148"/>
  <c r="CM148" i="149" s="1"/>
  <c r="CI148" i="148"/>
  <c r="CF148" i="149" s="1"/>
  <c r="V148" i="148"/>
  <c r="BI148" i="148"/>
  <c r="BF148" i="149" s="1"/>
  <c r="CT148" i="148"/>
  <c r="CQ148" i="149" s="1"/>
  <c r="BV148" i="148"/>
  <c r="BS148" i="149" s="1"/>
  <c r="CQ148" i="148"/>
  <c r="CN148" i="149" s="1"/>
  <c r="BG148" i="148"/>
  <c r="BD148" i="149" s="1"/>
  <c r="D148" i="148"/>
  <c r="DA142" i="149"/>
  <c r="DB142" i="149"/>
  <c r="CZ142" i="149"/>
  <c r="CY142" i="149"/>
  <c r="BL142" i="149"/>
  <c r="CZ85" i="149"/>
  <c r="DB85" i="149"/>
  <c r="DA85" i="149"/>
  <c r="BL85" i="149"/>
  <c r="Q149" i="148"/>
  <c r="I149" i="148"/>
  <c r="E149" i="148"/>
  <c r="R149" i="148"/>
  <c r="H149" i="148"/>
  <c r="BK149" i="148"/>
  <c r="BH149" i="149" s="1"/>
  <c r="F149" i="148"/>
  <c r="V149" i="148"/>
  <c r="DA149" i="148"/>
  <c r="CX149" i="149" s="1"/>
  <c r="BN149" i="148"/>
  <c r="BK149" i="149" s="1"/>
  <c r="BI149" i="148"/>
  <c r="BF149" i="149" s="1"/>
  <c r="AV149" i="148"/>
  <c r="AS149" i="149" s="1"/>
  <c r="BA149" i="148"/>
  <c r="AX149" i="149" s="1"/>
  <c r="CR149" i="148"/>
  <c r="CO149" i="149" s="1"/>
  <c r="CK149" i="148"/>
  <c r="CH149" i="149" s="1"/>
  <c r="BE149" i="148"/>
  <c r="BB149" i="149" s="1"/>
  <c r="BH149" i="148"/>
  <c r="BC149" i="148"/>
  <c r="AZ149" i="149" s="1"/>
  <c r="CE149" i="148"/>
  <c r="CB149" i="149" s="1"/>
  <c r="BU149" i="148"/>
  <c r="BR149" i="149" s="1"/>
  <c r="BF149" i="148"/>
  <c r="BC149" i="149" s="1"/>
  <c r="CV149" i="148"/>
  <c r="CS149" i="149" s="1"/>
  <c r="BR149" i="148"/>
  <c r="BO149" i="149" s="1"/>
  <c r="CJ149" i="148"/>
  <c r="CG149" i="149" s="1"/>
  <c r="CB149" i="148"/>
  <c r="BY149" i="149" s="1"/>
  <c r="CC149" i="148"/>
  <c r="BZ149" i="149" s="1"/>
  <c r="CG149" i="148"/>
  <c r="CD149" i="149" s="1"/>
  <c r="CY149" i="148"/>
  <c r="CV149" i="149" s="1"/>
  <c r="CH149" i="148"/>
  <c r="CE149" i="149" s="1"/>
  <c r="CZ149" i="148"/>
  <c r="CW149" i="149" s="1"/>
  <c r="CL149" i="148"/>
  <c r="CI149" i="149" s="1"/>
  <c r="G149" i="148"/>
  <c r="BL149" i="148"/>
  <c r="BI149" i="149" s="1"/>
  <c r="AX149" i="148"/>
  <c r="AU149" i="149" s="1"/>
  <c r="CM149" i="148"/>
  <c r="CJ149" i="149" s="1"/>
  <c r="BB149" i="148"/>
  <c r="AY149" i="149" s="1"/>
  <c r="BG149" i="148"/>
  <c r="BD149" i="149" s="1"/>
  <c r="BZ149" i="148"/>
  <c r="BW149" i="149" s="1"/>
  <c r="CA149" i="148"/>
  <c r="BX149" i="149" s="1"/>
  <c r="BX149" i="148"/>
  <c r="BU149" i="149" s="1"/>
  <c r="CX149" i="148"/>
  <c r="CU149" i="149" s="1"/>
  <c r="CW149" i="148"/>
  <c r="CT149" i="149" s="1"/>
  <c r="CI149" i="148"/>
  <c r="CF149" i="149" s="1"/>
  <c r="BW149" i="148"/>
  <c r="BT149" i="149" s="1"/>
  <c r="BS149" i="148"/>
  <c r="BP149" i="149" s="1"/>
  <c r="D149" i="148"/>
  <c r="BO149" i="148"/>
  <c r="CP149" i="148"/>
  <c r="CM149" i="149" s="1"/>
  <c r="CO149" i="148"/>
  <c r="CL149" i="149" s="1"/>
  <c r="BQ149" i="148"/>
  <c r="BN149" i="149" s="1"/>
  <c r="CT149" i="148"/>
  <c r="CQ149" i="149" s="1"/>
  <c r="BJ149" i="148"/>
  <c r="BG149" i="149" s="1"/>
  <c r="BM149" i="148"/>
  <c r="BJ149" i="149" s="1"/>
  <c r="CF149" i="148"/>
  <c r="CC149" i="149" s="1"/>
  <c r="CQ149" i="148"/>
  <c r="CN149" i="149" s="1"/>
  <c r="CS149" i="148"/>
  <c r="CP149" i="149" s="1"/>
  <c r="BV149" i="148"/>
  <c r="BS149" i="149" s="1"/>
  <c r="BT149" i="148"/>
  <c r="BQ149" i="149" s="1"/>
  <c r="AY149" i="148"/>
  <c r="AV149" i="149" s="1"/>
  <c r="AW149" i="148"/>
  <c r="AT149" i="149" s="1"/>
  <c r="BY149" i="148"/>
  <c r="BV149" i="149" s="1"/>
  <c r="CN149" i="148"/>
  <c r="CK149" i="149" s="1"/>
  <c r="CD149" i="148"/>
  <c r="CA149" i="149" s="1"/>
  <c r="BD149" i="148"/>
  <c r="BA149" i="149" s="1"/>
  <c r="BP149" i="148"/>
  <c r="BM149" i="149" s="1"/>
  <c r="AZ149" i="148"/>
  <c r="AW149" i="149" s="1"/>
  <c r="CU149" i="148"/>
  <c r="CR149" i="149" s="1"/>
  <c r="Q157" i="148"/>
  <c r="BK157" i="148"/>
  <c r="BH157" i="149" s="1"/>
  <c r="AX157" i="148"/>
  <c r="AU157" i="149" s="1"/>
  <c r="CI157" i="148"/>
  <c r="CF157" i="149" s="1"/>
  <c r="CD157" i="148"/>
  <c r="CA157" i="149" s="1"/>
  <c r="CC157" i="148"/>
  <c r="BZ157" i="149" s="1"/>
  <c r="AV157" i="148"/>
  <c r="AS157" i="149" s="1"/>
  <c r="BJ157" i="148"/>
  <c r="BG157" i="149" s="1"/>
  <c r="BW157" i="148"/>
  <c r="BT157" i="149" s="1"/>
  <c r="CE157" i="148"/>
  <c r="CB157" i="149" s="1"/>
  <c r="BZ157" i="148"/>
  <c r="BW157" i="149" s="1"/>
  <c r="BQ157" i="148"/>
  <c r="BN157" i="149" s="1"/>
  <c r="CV157" i="148"/>
  <c r="CS157" i="149" s="1"/>
  <c r="BH157" i="148"/>
  <c r="BE157" i="149" s="1"/>
  <c r="BU157" i="148"/>
  <c r="BR157" i="149" s="1"/>
  <c r="AY157" i="148"/>
  <c r="AV157" i="149" s="1"/>
  <c r="CK157" i="148"/>
  <c r="CH157" i="149" s="1"/>
  <c r="BF157" i="148"/>
  <c r="BC157" i="149" s="1"/>
  <c r="DA157" i="148"/>
  <c r="CX157" i="149" s="1"/>
  <c r="BM157" i="148"/>
  <c r="BJ157" i="149" s="1"/>
  <c r="BR157" i="148"/>
  <c r="BO157" i="149" s="1"/>
  <c r="BG157" i="148"/>
  <c r="BD157" i="149" s="1"/>
  <c r="H157" i="148"/>
  <c r="CQ157" i="148"/>
  <c r="CN157" i="149" s="1"/>
  <c r="BO157" i="148"/>
  <c r="CX157" i="148"/>
  <c r="CU157" i="149" s="1"/>
  <c r="I157" i="148"/>
  <c r="CL157" i="148"/>
  <c r="CI157" i="149" s="1"/>
  <c r="AW157" i="148"/>
  <c r="AT157" i="149" s="1"/>
  <c r="BA157" i="148"/>
  <c r="AX157" i="149" s="1"/>
  <c r="E157" i="148"/>
  <c r="CJ157" i="148"/>
  <c r="CG157" i="149" s="1"/>
  <c r="CO157" i="148"/>
  <c r="CL157" i="149" s="1"/>
  <c r="CB157" i="148"/>
  <c r="BY157" i="149" s="1"/>
  <c r="BI157" i="148"/>
  <c r="BF157" i="149" s="1"/>
  <c r="V157" i="148"/>
  <c r="CG157" i="148"/>
  <c r="CD157" i="149" s="1"/>
  <c r="BT157" i="148"/>
  <c r="BQ157" i="149" s="1"/>
  <c r="CM157" i="148"/>
  <c r="CJ157" i="149" s="1"/>
  <c r="CR157" i="148"/>
  <c r="CO157" i="149" s="1"/>
  <c r="BP157" i="148"/>
  <c r="BM157" i="149" s="1"/>
  <c r="CN157" i="148"/>
  <c r="CK157" i="149" s="1"/>
  <c r="BX157" i="148"/>
  <c r="BU157" i="149" s="1"/>
  <c r="CA157" i="148"/>
  <c r="BX157" i="149" s="1"/>
  <c r="BY157" i="148"/>
  <c r="BV157" i="149" s="1"/>
  <c r="BD157" i="148"/>
  <c r="BA157" i="149" s="1"/>
  <c r="CZ157" i="148"/>
  <c r="CW157" i="149" s="1"/>
  <c r="CS157" i="148"/>
  <c r="CP157" i="149" s="1"/>
  <c r="CP157" i="148"/>
  <c r="CM157" i="149" s="1"/>
  <c r="BN157" i="148"/>
  <c r="BK157" i="149" s="1"/>
  <c r="CH157" i="148"/>
  <c r="CE157" i="149" s="1"/>
  <c r="BL157" i="148"/>
  <c r="BI157" i="149" s="1"/>
  <c r="R157" i="148"/>
  <c r="BE157" i="148"/>
  <c r="BB157" i="149" s="1"/>
  <c r="F157" i="148"/>
  <c r="AZ157" i="148"/>
  <c r="AW157" i="149" s="1"/>
  <c r="CU157" i="148"/>
  <c r="CR157" i="149" s="1"/>
  <c r="BV157" i="148"/>
  <c r="BS157" i="149" s="1"/>
  <c r="CF157" i="148"/>
  <c r="CC157" i="149" s="1"/>
  <c r="CT157" i="148"/>
  <c r="CQ157" i="149" s="1"/>
  <c r="BC157" i="148"/>
  <c r="AZ157" i="149" s="1"/>
  <c r="CW157" i="148"/>
  <c r="CT157" i="149" s="1"/>
  <c r="G157" i="148"/>
  <c r="CY157" i="148"/>
  <c r="CV157" i="149" s="1"/>
  <c r="BS157" i="148"/>
  <c r="BP157" i="149" s="1"/>
  <c r="BB157" i="148"/>
  <c r="AY157" i="149" s="1"/>
  <c r="D157" i="148"/>
  <c r="DB103" i="149"/>
  <c r="DA103" i="149"/>
  <c r="CZ103" i="149"/>
  <c r="CY103" i="149"/>
  <c r="BF103" i="149"/>
  <c r="BL103" i="149"/>
  <c r="Q155" i="148"/>
  <c r="CD155" i="148"/>
  <c r="CA155" i="149" s="1"/>
  <c r="CJ155" i="148"/>
  <c r="CG155" i="149" s="1"/>
  <c r="BX155" i="148"/>
  <c r="BU155" i="149" s="1"/>
  <c r="G155" i="148"/>
  <c r="CY155" i="148"/>
  <c r="CV155" i="149" s="1"/>
  <c r="CZ155" i="148"/>
  <c r="CW155" i="149" s="1"/>
  <c r="CK155" i="148"/>
  <c r="CH155" i="149" s="1"/>
  <c r="CV155" i="148"/>
  <c r="CS155" i="149" s="1"/>
  <c r="CB155" i="148"/>
  <c r="BY155" i="149" s="1"/>
  <c r="CF155" i="148"/>
  <c r="CC155" i="149" s="1"/>
  <c r="H155" i="148"/>
  <c r="CE155" i="148"/>
  <c r="CB155" i="149" s="1"/>
  <c r="CL155" i="148"/>
  <c r="CI155" i="149" s="1"/>
  <c r="CC155" i="148"/>
  <c r="BZ155" i="149" s="1"/>
  <c r="DA155" i="148"/>
  <c r="CX155" i="149" s="1"/>
  <c r="CU155" i="148"/>
  <c r="CR155" i="149" s="1"/>
  <c r="CA155" i="148"/>
  <c r="BX155" i="149" s="1"/>
  <c r="CQ155" i="148"/>
  <c r="CN155" i="149" s="1"/>
  <c r="BY155" i="148"/>
  <c r="BV155" i="149" s="1"/>
  <c r="CX155" i="148"/>
  <c r="CU155" i="149" s="1"/>
  <c r="F155" i="148"/>
  <c r="CG155" i="148"/>
  <c r="CD155" i="149" s="1"/>
  <c r="BZ155" i="148"/>
  <c r="BW155" i="149" s="1"/>
  <c r="CR155" i="148"/>
  <c r="CO155" i="149" s="1"/>
  <c r="E155" i="148"/>
  <c r="I155" i="148"/>
  <c r="CP155" i="148"/>
  <c r="CM155" i="149" s="1"/>
  <c r="V155" i="148"/>
  <c r="CS155" i="148"/>
  <c r="CP155" i="149" s="1"/>
  <c r="CM155" i="148"/>
  <c r="CJ155" i="149" s="1"/>
  <c r="R155" i="148"/>
  <c r="CH155" i="148"/>
  <c r="CE155" i="149" s="1"/>
  <c r="CN155" i="148"/>
  <c r="CK155" i="149" s="1"/>
  <c r="CT155" i="148"/>
  <c r="CQ155" i="149" s="1"/>
  <c r="CI155" i="148"/>
  <c r="CF155" i="149" s="1"/>
  <c r="CO155" i="148"/>
  <c r="CL155" i="149" s="1"/>
  <c r="CW155" i="148"/>
  <c r="CT155" i="149" s="1"/>
  <c r="D155" i="148"/>
  <c r="BP155" i="148"/>
  <c r="BM155" i="149" s="1"/>
  <c r="BR155" i="148"/>
  <c r="BO155" i="149" s="1"/>
  <c r="AX155" i="148"/>
  <c r="AU155" i="149" s="1"/>
  <c r="BU155" i="148"/>
  <c r="BR155" i="149" s="1"/>
  <c r="BQ155" i="148"/>
  <c r="BN155" i="149" s="1"/>
  <c r="AV155" i="148"/>
  <c r="AS155" i="149" s="1"/>
  <c r="BB155" i="148"/>
  <c r="AY155" i="149" s="1"/>
  <c r="AY155" i="148"/>
  <c r="AV155" i="149" s="1"/>
  <c r="BT155" i="148"/>
  <c r="BQ155" i="149" s="1"/>
  <c r="BJ155" i="148"/>
  <c r="BG155" i="149" s="1"/>
  <c r="AZ155" i="148"/>
  <c r="AW155" i="149" s="1"/>
  <c r="BF155" i="148"/>
  <c r="BC155" i="149" s="1"/>
  <c r="BH155" i="148"/>
  <c r="BW155" i="148"/>
  <c r="BT155" i="149" s="1"/>
  <c r="BA155" i="148"/>
  <c r="AX155" i="149" s="1"/>
  <c r="BE155" i="148"/>
  <c r="BB155" i="149" s="1"/>
  <c r="BG155" i="148"/>
  <c r="BD155" i="149" s="1"/>
  <c r="BD155" i="148"/>
  <c r="BA155" i="149" s="1"/>
  <c r="BS155" i="148"/>
  <c r="BP155" i="149" s="1"/>
  <c r="BL155" i="148"/>
  <c r="BI155" i="149" s="1"/>
  <c r="BO155" i="148"/>
  <c r="BK155" i="148"/>
  <c r="BH155" i="149" s="1"/>
  <c r="BC155" i="148"/>
  <c r="AZ155" i="149" s="1"/>
  <c r="BM155" i="148"/>
  <c r="BJ155" i="149" s="1"/>
  <c r="BI155" i="148"/>
  <c r="BF155" i="149" s="1"/>
  <c r="BN155" i="148"/>
  <c r="BK155" i="149" s="1"/>
  <c r="BV155" i="148"/>
  <c r="BS155" i="149" s="1"/>
  <c r="AW155" i="148"/>
  <c r="AT155" i="149" s="1"/>
  <c r="CZ22" i="149"/>
  <c r="DA22" i="149"/>
  <c r="DB22" i="149"/>
  <c r="BE22" i="149"/>
  <c r="BL22" i="149"/>
  <c r="CY153" i="149"/>
  <c r="DB153" i="149"/>
  <c r="CZ153" i="149"/>
  <c r="DA153" i="149"/>
  <c r="BL153" i="149"/>
  <c r="BE153" i="149"/>
  <c r="D153" i="149"/>
  <c r="Q154" i="148"/>
  <c r="I154" i="148"/>
  <c r="F154" i="148"/>
  <c r="H154" i="148"/>
  <c r="V154" i="148"/>
  <c r="E154" i="148"/>
  <c r="R154" i="148"/>
  <c r="BX154" i="148"/>
  <c r="BU154" i="149" s="1"/>
  <c r="CB154" i="148"/>
  <c r="BY154" i="149" s="1"/>
  <c r="G154" i="148"/>
  <c r="CH154" i="148"/>
  <c r="CE154" i="149" s="1"/>
  <c r="CP154" i="148"/>
  <c r="CM154" i="149" s="1"/>
  <c r="CF154" i="148"/>
  <c r="CC154" i="149" s="1"/>
  <c r="CU154" i="148"/>
  <c r="CR154" i="149" s="1"/>
  <c r="CA154" i="148"/>
  <c r="BX154" i="149" s="1"/>
  <c r="BY154" i="148"/>
  <c r="BV154" i="149" s="1"/>
  <c r="CO154" i="148"/>
  <c r="CL154" i="149" s="1"/>
  <c r="CG154" i="148"/>
  <c r="CD154" i="149" s="1"/>
  <c r="CT154" i="148"/>
  <c r="CQ154" i="149" s="1"/>
  <c r="CN154" i="148"/>
  <c r="CK154" i="149" s="1"/>
  <c r="CR154" i="148"/>
  <c r="CO154" i="149" s="1"/>
  <c r="CI154" i="148"/>
  <c r="CF154" i="149" s="1"/>
  <c r="CC154" i="148"/>
  <c r="BZ154" i="149" s="1"/>
  <c r="CK154" i="148"/>
  <c r="CH154" i="149" s="1"/>
  <c r="CQ154" i="148"/>
  <c r="CN154" i="149" s="1"/>
  <c r="DA154" i="148"/>
  <c r="CX154" i="149" s="1"/>
  <c r="CJ154" i="148"/>
  <c r="CG154" i="149" s="1"/>
  <c r="CL154" i="148"/>
  <c r="CI154" i="149" s="1"/>
  <c r="CZ154" i="148"/>
  <c r="CW154" i="149" s="1"/>
  <c r="CV154" i="148"/>
  <c r="CS154" i="149" s="1"/>
  <c r="CX154" i="148"/>
  <c r="CU154" i="149" s="1"/>
  <c r="D154" i="148"/>
  <c r="CS154" i="148"/>
  <c r="CP154" i="149" s="1"/>
  <c r="CM154" i="148"/>
  <c r="CJ154" i="149" s="1"/>
  <c r="CY154" i="148"/>
  <c r="CV154" i="149" s="1"/>
  <c r="BZ154" i="148"/>
  <c r="BW154" i="149" s="1"/>
  <c r="CD154" i="148"/>
  <c r="CA154" i="149" s="1"/>
  <c r="CW154" i="148"/>
  <c r="CT154" i="149" s="1"/>
  <c r="CE154" i="148"/>
  <c r="CB154" i="149" s="1"/>
  <c r="BP154" i="148"/>
  <c r="BM154" i="149" s="1"/>
  <c r="BT154" i="148"/>
  <c r="BQ154" i="149" s="1"/>
  <c r="BH154" i="148"/>
  <c r="BC154" i="148"/>
  <c r="AZ154" i="149" s="1"/>
  <c r="BU154" i="148"/>
  <c r="BR154" i="149" s="1"/>
  <c r="AX154" i="148"/>
  <c r="AU154" i="149" s="1"/>
  <c r="BF154" i="148"/>
  <c r="BC154" i="149" s="1"/>
  <c r="AZ154" i="148"/>
  <c r="AW154" i="149" s="1"/>
  <c r="AV154" i="148"/>
  <c r="AS154" i="149" s="1"/>
  <c r="BJ154" i="148"/>
  <c r="BG154" i="149" s="1"/>
  <c r="BG154" i="148"/>
  <c r="BD154" i="149" s="1"/>
  <c r="BR154" i="148"/>
  <c r="BO154" i="149" s="1"/>
  <c r="BQ154" i="148"/>
  <c r="BN154" i="149" s="1"/>
  <c r="BO154" i="148"/>
  <c r="BB154" i="148"/>
  <c r="AY154" i="149" s="1"/>
  <c r="BE154" i="148"/>
  <c r="BB154" i="149" s="1"/>
  <c r="BL154" i="148"/>
  <c r="BI154" i="149" s="1"/>
  <c r="BA154" i="148"/>
  <c r="AX154" i="149" s="1"/>
  <c r="AW154" i="148"/>
  <c r="AT154" i="149" s="1"/>
  <c r="BV154" i="148"/>
  <c r="BS154" i="149" s="1"/>
  <c r="BW154" i="148"/>
  <c r="BT154" i="149" s="1"/>
  <c r="BM154" i="148"/>
  <c r="BJ154" i="149" s="1"/>
  <c r="BK154" i="148"/>
  <c r="BH154" i="149" s="1"/>
  <c r="BI154" i="148"/>
  <c r="BF154" i="149" s="1"/>
  <c r="BD154" i="148"/>
  <c r="BA154" i="149" s="1"/>
  <c r="BN154" i="148"/>
  <c r="BK154" i="149" s="1"/>
  <c r="BS154" i="148"/>
  <c r="BP154" i="149" s="1"/>
  <c r="AY154" i="148"/>
  <c r="AV154" i="149" s="1"/>
  <c r="DA113" i="149"/>
  <c r="CY113" i="149"/>
  <c r="CZ113" i="149"/>
  <c r="DB113" i="149"/>
  <c r="BE113" i="149"/>
  <c r="BL113" i="149"/>
  <c r="CZ128" i="149"/>
  <c r="DB128" i="149"/>
  <c r="CY128" i="149"/>
  <c r="DA128" i="149"/>
  <c r="BE128" i="149"/>
  <c r="BL128" i="149"/>
  <c r="Q64" i="148"/>
  <c r="F64" i="148"/>
  <c r="I64" i="148"/>
  <c r="V64" i="148"/>
  <c r="H64" i="148"/>
  <c r="E64" i="148"/>
  <c r="R64" i="148"/>
  <c r="D64" i="148"/>
  <c r="CI64" i="148"/>
  <c r="CF64" i="149" s="1"/>
  <c r="CY64" i="148"/>
  <c r="CV64" i="149" s="1"/>
  <c r="CE64" i="148"/>
  <c r="CB64" i="149" s="1"/>
  <c r="BP64" i="148"/>
  <c r="BM64" i="149" s="1"/>
  <c r="AX64" i="148"/>
  <c r="AU64" i="149" s="1"/>
  <c r="BS64" i="148"/>
  <c r="BP64" i="149" s="1"/>
  <c r="CG64" i="148"/>
  <c r="CD64" i="149" s="1"/>
  <c r="CQ64" i="148"/>
  <c r="CN64" i="149" s="1"/>
  <c r="CL64" i="148"/>
  <c r="CI64" i="149" s="1"/>
  <c r="BK64" i="148"/>
  <c r="BH64" i="149" s="1"/>
  <c r="BU64" i="148"/>
  <c r="BR64" i="149" s="1"/>
  <c r="BE64" i="148"/>
  <c r="BB64" i="149" s="1"/>
  <c r="BX64" i="148"/>
  <c r="BU64" i="149" s="1"/>
  <c r="CF64" i="148"/>
  <c r="CC64" i="149" s="1"/>
  <c r="CA64" i="148"/>
  <c r="BX64" i="149" s="1"/>
  <c r="BH64" i="148"/>
  <c r="BZ64" i="148"/>
  <c r="BW64" i="149" s="1"/>
  <c r="CU64" i="148"/>
  <c r="CR64" i="149" s="1"/>
  <c r="CN64" i="148"/>
  <c r="CK64" i="149" s="1"/>
  <c r="CC64" i="148"/>
  <c r="BZ64" i="149" s="1"/>
  <c r="BM64" i="148"/>
  <c r="BJ64" i="149" s="1"/>
  <c r="CR64" i="148"/>
  <c r="CO64" i="149" s="1"/>
  <c r="CK64" i="148"/>
  <c r="CH64" i="149" s="1"/>
  <c r="BV64" i="148"/>
  <c r="BS64" i="149" s="1"/>
  <c r="BW64" i="148"/>
  <c r="BT64" i="149" s="1"/>
  <c r="AV64" i="148"/>
  <c r="AS64" i="149" s="1"/>
  <c r="DA64" i="148"/>
  <c r="CX64" i="149" s="1"/>
  <c r="CD64" i="148"/>
  <c r="CA64" i="149" s="1"/>
  <c r="BL64" i="148"/>
  <c r="BI64" i="149" s="1"/>
  <c r="BC64" i="148"/>
  <c r="AZ64" i="149" s="1"/>
  <c r="BJ64" i="148"/>
  <c r="BG64" i="149" s="1"/>
  <c r="AZ64" i="148"/>
  <c r="AW64" i="149" s="1"/>
  <c r="BB64" i="148"/>
  <c r="AY64" i="149" s="1"/>
  <c r="BG64" i="148"/>
  <c r="BD64" i="149" s="1"/>
  <c r="BY64" i="148"/>
  <c r="BV64" i="149" s="1"/>
  <c r="CS64" i="148"/>
  <c r="CP64" i="149" s="1"/>
  <c r="BO64" i="148"/>
  <c r="BF64" i="148"/>
  <c r="BC64" i="149" s="1"/>
  <c r="CM64" i="148"/>
  <c r="CJ64" i="149" s="1"/>
  <c r="CX64" i="148"/>
  <c r="CU64" i="149" s="1"/>
  <c r="CB64" i="148"/>
  <c r="BY64" i="149" s="1"/>
  <c r="BQ64" i="148"/>
  <c r="BN64" i="149" s="1"/>
  <c r="AW64" i="148"/>
  <c r="AT64" i="149" s="1"/>
  <c r="BD64" i="148"/>
  <c r="BA64" i="149" s="1"/>
  <c r="CP64" i="148"/>
  <c r="CM64" i="149" s="1"/>
  <c r="CO64" i="148"/>
  <c r="CL64" i="149" s="1"/>
  <c r="BT64" i="148"/>
  <c r="BQ64" i="149" s="1"/>
  <c r="CT64" i="148"/>
  <c r="CQ64" i="149" s="1"/>
  <c r="AY64" i="148"/>
  <c r="AV64" i="149" s="1"/>
  <c r="G64" i="148"/>
  <c r="CZ64" i="148"/>
  <c r="CW64" i="149" s="1"/>
  <c r="BA64" i="148"/>
  <c r="AX64" i="149" s="1"/>
  <c r="CV64" i="148"/>
  <c r="CS64" i="149" s="1"/>
  <c r="BI64" i="148"/>
  <c r="BF64" i="149" s="1"/>
  <c r="BR64" i="148"/>
  <c r="BO64" i="149" s="1"/>
  <c r="BN64" i="148"/>
  <c r="BK64" i="149" s="1"/>
  <c r="CH64" i="148"/>
  <c r="CE64" i="149" s="1"/>
  <c r="CW64" i="148"/>
  <c r="CT64" i="149" s="1"/>
  <c r="CJ64" i="148"/>
  <c r="CG64" i="149" s="1"/>
  <c r="Q30" i="148"/>
  <c r="BK30" i="148"/>
  <c r="BH30" i="149" s="1"/>
  <c r="BO30" i="148"/>
  <c r="I30" i="148"/>
  <c r="CW30" i="148"/>
  <c r="CT30" i="149" s="1"/>
  <c r="CO30" i="148"/>
  <c r="CL30" i="149" s="1"/>
  <c r="CR30" i="148"/>
  <c r="CO30" i="149" s="1"/>
  <c r="BW30" i="148"/>
  <c r="BT30" i="149" s="1"/>
  <c r="CA30" i="148"/>
  <c r="BX30" i="149" s="1"/>
  <c r="H30" i="148"/>
  <c r="CP30" i="148"/>
  <c r="CM30" i="149" s="1"/>
  <c r="CZ30" i="148"/>
  <c r="CW30" i="149" s="1"/>
  <c r="CT30" i="148"/>
  <c r="CQ30" i="149" s="1"/>
  <c r="CE30" i="148"/>
  <c r="CB30" i="149" s="1"/>
  <c r="BE30" i="148"/>
  <c r="BB30" i="149" s="1"/>
  <c r="CG30" i="148"/>
  <c r="CD30" i="149" s="1"/>
  <c r="BJ30" i="148"/>
  <c r="BG30" i="149" s="1"/>
  <c r="V30" i="148"/>
  <c r="DA30" i="148"/>
  <c r="CX30" i="149" s="1"/>
  <c r="CJ30" i="148"/>
  <c r="CG30" i="149" s="1"/>
  <c r="BT30" i="148"/>
  <c r="BQ30" i="149" s="1"/>
  <c r="AX30" i="148"/>
  <c r="AU30" i="149" s="1"/>
  <c r="CU30" i="148"/>
  <c r="CR30" i="149" s="1"/>
  <c r="AY30" i="148"/>
  <c r="AV30" i="149" s="1"/>
  <c r="CD30" i="148"/>
  <c r="CA30" i="149" s="1"/>
  <c r="CV30" i="148"/>
  <c r="CS30" i="149" s="1"/>
  <c r="CH30" i="148"/>
  <c r="CE30" i="149" s="1"/>
  <c r="CN30" i="148"/>
  <c r="CK30" i="149" s="1"/>
  <c r="BU30" i="148"/>
  <c r="BR30" i="149" s="1"/>
  <c r="CX30" i="148"/>
  <c r="CU30" i="149" s="1"/>
  <c r="BR30" i="148"/>
  <c r="BO30" i="149" s="1"/>
  <c r="BN30" i="148"/>
  <c r="BK30" i="149" s="1"/>
  <c r="E30" i="148"/>
  <c r="CF30" i="148"/>
  <c r="CC30" i="149" s="1"/>
  <c r="CS30" i="148"/>
  <c r="CP30" i="149" s="1"/>
  <c r="BQ30" i="148"/>
  <c r="BN30" i="149" s="1"/>
  <c r="AV30" i="148"/>
  <c r="AS30" i="149" s="1"/>
  <c r="F30" i="148"/>
  <c r="BF30" i="148"/>
  <c r="BC30" i="149" s="1"/>
  <c r="BX30" i="148"/>
  <c r="BU30" i="149" s="1"/>
  <c r="CQ30" i="148"/>
  <c r="CN30" i="149" s="1"/>
  <c r="AW30" i="148"/>
  <c r="AT30" i="149" s="1"/>
  <c r="CM30" i="148"/>
  <c r="CJ30" i="149" s="1"/>
  <c r="CI30" i="148"/>
  <c r="CF30" i="149" s="1"/>
  <c r="CB30" i="148"/>
  <c r="BY30" i="149" s="1"/>
  <c r="BL30" i="148"/>
  <c r="BI30" i="149" s="1"/>
  <c r="R30" i="148"/>
  <c r="G30" i="148"/>
  <c r="BZ30" i="148"/>
  <c r="BW30" i="149" s="1"/>
  <c r="BP30" i="148"/>
  <c r="BM30" i="149" s="1"/>
  <c r="BD30" i="148"/>
  <c r="BA30" i="149" s="1"/>
  <c r="BV30" i="148"/>
  <c r="BS30" i="149" s="1"/>
  <c r="BY30" i="148"/>
  <c r="BV30" i="149" s="1"/>
  <c r="BS30" i="148"/>
  <c r="BP30" i="149" s="1"/>
  <c r="BG30" i="148"/>
  <c r="BD30" i="149" s="1"/>
  <c r="CY30" i="148"/>
  <c r="CV30" i="149" s="1"/>
  <c r="CC30" i="148"/>
  <c r="BZ30" i="149" s="1"/>
  <c r="CL30" i="148"/>
  <c r="CI30" i="149" s="1"/>
  <c r="CK30" i="148"/>
  <c r="CH30" i="149" s="1"/>
  <c r="BH30" i="148"/>
  <c r="BE30" i="149" s="1"/>
  <c r="AZ30" i="148"/>
  <c r="AW30" i="149" s="1"/>
  <c r="BC30" i="148"/>
  <c r="AZ30" i="149" s="1"/>
  <c r="BB30" i="148"/>
  <c r="AY30" i="149" s="1"/>
  <c r="BA30" i="148"/>
  <c r="AX30" i="149" s="1"/>
  <c r="BM30" i="148"/>
  <c r="BJ30" i="149" s="1"/>
  <c r="BI30" i="148"/>
  <c r="BF30" i="149" s="1"/>
  <c r="D30" i="148"/>
  <c r="CZ121" i="149"/>
  <c r="DB121" i="149"/>
  <c r="CY121" i="149"/>
  <c r="DA121" i="149"/>
  <c r="BL121" i="149"/>
  <c r="Q56" i="148"/>
  <c r="H56" i="148"/>
  <c r="CK56" i="148"/>
  <c r="CH56" i="149" s="1"/>
  <c r="G56" i="148"/>
  <c r="CO56" i="148"/>
  <c r="CL56" i="149" s="1"/>
  <c r="CS56" i="148"/>
  <c r="CP56" i="149" s="1"/>
  <c r="V56" i="148"/>
  <c r="CZ56" i="148"/>
  <c r="CW56" i="149" s="1"/>
  <c r="CC56" i="148"/>
  <c r="BZ56" i="149" s="1"/>
  <c r="CU56" i="148"/>
  <c r="CR56" i="149" s="1"/>
  <c r="F56" i="148"/>
  <c r="CN56" i="148"/>
  <c r="CK56" i="149" s="1"/>
  <c r="CJ56" i="148"/>
  <c r="CG56" i="149" s="1"/>
  <c r="CB56" i="148"/>
  <c r="BY56" i="149" s="1"/>
  <c r="BR56" i="148"/>
  <c r="BO56" i="149" s="1"/>
  <c r="CY56" i="148"/>
  <c r="CV56" i="149" s="1"/>
  <c r="CF56" i="148"/>
  <c r="CC56" i="149" s="1"/>
  <c r="BY56" i="148"/>
  <c r="BV56" i="149" s="1"/>
  <c r="BV56" i="148"/>
  <c r="BS56" i="149" s="1"/>
  <c r="BZ56" i="148"/>
  <c r="BW56" i="149" s="1"/>
  <c r="CW56" i="148"/>
  <c r="CT56" i="149" s="1"/>
  <c r="CI56" i="148"/>
  <c r="CF56" i="149" s="1"/>
  <c r="AW56" i="148"/>
  <c r="AT56" i="149" s="1"/>
  <c r="CH56" i="148"/>
  <c r="CE56" i="149" s="1"/>
  <c r="CD56" i="148"/>
  <c r="CA56" i="149" s="1"/>
  <c r="CT56" i="148"/>
  <c r="CQ56" i="149" s="1"/>
  <c r="AX56" i="148"/>
  <c r="AU56" i="149" s="1"/>
  <c r="BX56" i="148"/>
  <c r="BU56" i="149" s="1"/>
  <c r="CQ56" i="148"/>
  <c r="CN56" i="149" s="1"/>
  <c r="BF56" i="148"/>
  <c r="BC56" i="149" s="1"/>
  <c r="BS56" i="148"/>
  <c r="BP56" i="149" s="1"/>
  <c r="CL56" i="148"/>
  <c r="CI56" i="149" s="1"/>
  <c r="CP56" i="148"/>
  <c r="CM56" i="149" s="1"/>
  <c r="BG56" i="148"/>
  <c r="BD56" i="149" s="1"/>
  <c r="BT56" i="148"/>
  <c r="BQ56" i="149" s="1"/>
  <c r="R56" i="148"/>
  <c r="CG56" i="148"/>
  <c r="CD56" i="149" s="1"/>
  <c r="CM56" i="148"/>
  <c r="CJ56" i="149" s="1"/>
  <c r="BP56" i="148"/>
  <c r="BM56" i="149" s="1"/>
  <c r="BQ56" i="148"/>
  <c r="BN56" i="149" s="1"/>
  <c r="I56" i="148"/>
  <c r="CA56" i="148"/>
  <c r="BX56" i="149" s="1"/>
  <c r="CR56" i="148"/>
  <c r="CO56" i="149" s="1"/>
  <c r="CV56" i="148"/>
  <c r="CS56" i="149" s="1"/>
  <c r="E56" i="148"/>
  <c r="CE56" i="148"/>
  <c r="CB56" i="149" s="1"/>
  <c r="DA56" i="148"/>
  <c r="CX56" i="149" s="1"/>
  <c r="AY56" i="148"/>
  <c r="AV56" i="149" s="1"/>
  <c r="CX56" i="148"/>
  <c r="CU56" i="149" s="1"/>
  <c r="BE56" i="148"/>
  <c r="BB56" i="149" s="1"/>
  <c r="BM56" i="148"/>
  <c r="BJ56" i="149" s="1"/>
  <c r="BO56" i="148"/>
  <c r="BL56" i="148"/>
  <c r="BI56" i="149" s="1"/>
  <c r="BC56" i="148"/>
  <c r="AZ56" i="149" s="1"/>
  <c r="BN56" i="148"/>
  <c r="BK56" i="149" s="1"/>
  <c r="BJ56" i="148"/>
  <c r="BG56" i="149" s="1"/>
  <c r="AZ56" i="148"/>
  <c r="AW56" i="149" s="1"/>
  <c r="BI56" i="148"/>
  <c r="BF56" i="149" s="1"/>
  <c r="BA56" i="148"/>
  <c r="AX56" i="149" s="1"/>
  <c r="BB56" i="148"/>
  <c r="AY56" i="149" s="1"/>
  <c r="BH56" i="148"/>
  <c r="BE56" i="149" s="1"/>
  <c r="BK56" i="148"/>
  <c r="BH56" i="149" s="1"/>
  <c r="D56" i="148"/>
  <c r="CZ16" i="149"/>
  <c r="DA16" i="149"/>
  <c r="DB16" i="149"/>
  <c r="BL16" i="149"/>
  <c r="Q126" i="148"/>
  <c r="F126" i="148"/>
  <c r="CL126" i="148"/>
  <c r="CI126" i="149" s="1"/>
  <c r="CP126" i="148"/>
  <c r="CM126" i="149" s="1"/>
  <c r="G126" i="148"/>
  <c r="BX126" i="148"/>
  <c r="BU126" i="149" s="1"/>
  <c r="I126" i="148"/>
  <c r="R126" i="148"/>
  <c r="CF126" i="148"/>
  <c r="CC126" i="149" s="1"/>
  <c r="BW126" i="148"/>
  <c r="BT126" i="149" s="1"/>
  <c r="BY126" i="148"/>
  <c r="BV126" i="149" s="1"/>
  <c r="CJ126" i="148"/>
  <c r="CG126" i="149" s="1"/>
  <c r="CA126" i="148"/>
  <c r="BX126" i="149" s="1"/>
  <c r="CC126" i="148"/>
  <c r="BZ126" i="149" s="1"/>
  <c r="CN126" i="148"/>
  <c r="CK126" i="149" s="1"/>
  <c r="CS126" i="148"/>
  <c r="CP126" i="149" s="1"/>
  <c r="CG126" i="148"/>
  <c r="CD126" i="149" s="1"/>
  <c r="CR126" i="148"/>
  <c r="CO126" i="149" s="1"/>
  <c r="DA126" i="148"/>
  <c r="CX126" i="149" s="1"/>
  <c r="CK126" i="148"/>
  <c r="CH126" i="149" s="1"/>
  <c r="CV126" i="148"/>
  <c r="CS126" i="149" s="1"/>
  <c r="AY126" i="148"/>
  <c r="AV126" i="149" s="1"/>
  <c r="CH126" i="148"/>
  <c r="CE126" i="149" s="1"/>
  <c r="CX126" i="148"/>
  <c r="CU126" i="149" s="1"/>
  <c r="CU126" i="148"/>
  <c r="CR126" i="149" s="1"/>
  <c r="CD126" i="148"/>
  <c r="CA126" i="149" s="1"/>
  <c r="CE126" i="148"/>
  <c r="CB126" i="149" s="1"/>
  <c r="CY126" i="148"/>
  <c r="CV126" i="149" s="1"/>
  <c r="E126" i="148"/>
  <c r="CI126" i="148"/>
  <c r="CF126" i="149" s="1"/>
  <c r="H126" i="148"/>
  <c r="V126" i="148"/>
  <c r="BZ126" i="148"/>
  <c r="BW126" i="149" s="1"/>
  <c r="CM126" i="148"/>
  <c r="CJ126" i="149" s="1"/>
  <c r="CB126" i="148"/>
  <c r="BY126" i="149" s="1"/>
  <c r="CO126" i="148"/>
  <c r="CL126" i="149" s="1"/>
  <c r="CW126" i="148"/>
  <c r="CT126" i="149" s="1"/>
  <c r="CZ126" i="148"/>
  <c r="CW126" i="149" s="1"/>
  <c r="CQ126" i="148"/>
  <c r="CN126" i="149" s="1"/>
  <c r="CT126" i="148"/>
  <c r="CQ126" i="149" s="1"/>
  <c r="BP126" i="148"/>
  <c r="BM126" i="149" s="1"/>
  <c r="BV126" i="148"/>
  <c r="BS126" i="149" s="1"/>
  <c r="BC126" i="148"/>
  <c r="AZ126" i="149" s="1"/>
  <c r="AX126" i="148"/>
  <c r="AU126" i="149" s="1"/>
  <c r="BU126" i="148"/>
  <c r="BR126" i="149" s="1"/>
  <c r="BR126" i="148"/>
  <c r="BO126" i="149" s="1"/>
  <c r="BM126" i="148"/>
  <c r="BJ126" i="149" s="1"/>
  <c r="AV126" i="148"/>
  <c r="AS126" i="149" s="1"/>
  <c r="BG126" i="148"/>
  <c r="BD126" i="149" s="1"/>
  <c r="BQ126" i="148"/>
  <c r="BN126" i="149" s="1"/>
  <c r="BL126" i="148"/>
  <c r="BI126" i="149" s="1"/>
  <c r="AZ126" i="148"/>
  <c r="AW126" i="149" s="1"/>
  <c r="BA126" i="148"/>
  <c r="AX126" i="149" s="1"/>
  <c r="BI126" i="148"/>
  <c r="BF126" i="149" s="1"/>
  <c r="BD126" i="148"/>
  <c r="BA126" i="149" s="1"/>
  <c r="BN126" i="148"/>
  <c r="BK126" i="149" s="1"/>
  <c r="AW126" i="148"/>
  <c r="AT126" i="149" s="1"/>
  <c r="BJ126" i="148"/>
  <c r="BG126" i="149" s="1"/>
  <c r="BO126" i="148"/>
  <c r="BF126" i="148"/>
  <c r="BC126" i="149" s="1"/>
  <c r="BT126" i="148"/>
  <c r="BQ126" i="149" s="1"/>
  <c r="BS126" i="148"/>
  <c r="BP126" i="149" s="1"/>
  <c r="BE126" i="148"/>
  <c r="BB126" i="149" s="1"/>
  <c r="D126" i="148"/>
  <c r="BB126" i="148"/>
  <c r="AY126" i="149" s="1"/>
  <c r="BK126" i="148"/>
  <c r="BH126" i="149" s="1"/>
  <c r="BH126" i="148"/>
  <c r="BE126" i="149" s="1"/>
  <c r="CZ41" i="149"/>
  <c r="DA41" i="149"/>
  <c r="DB41" i="149"/>
  <c r="BL41" i="149"/>
  <c r="Q87" i="148"/>
  <c r="CE87" i="148"/>
  <c r="CB87" i="149" s="1"/>
  <c r="AX87" i="148"/>
  <c r="AU87" i="149" s="1"/>
  <c r="F87" i="148"/>
  <c r="CZ87" i="148"/>
  <c r="CW87" i="149" s="1"/>
  <c r="CC87" i="148"/>
  <c r="BZ87" i="149" s="1"/>
  <c r="V87" i="148"/>
  <c r="CH87" i="148"/>
  <c r="CE87" i="149" s="1"/>
  <c r="CJ87" i="148"/>
  <c r="CG87" i="149" s="1"/>
  <c r="CL87" i="148"/>
  <c r="CI87" i="149" s="1"/>
  <c r="CM87" i="148"/>
  <c r="CJ87" i="149" s="1"/>
  <c r="CQ87" i="148"/>
  <c r="CN87" i="149" s="1"/>
  <c r="CN87" i="148"/>
  <c r="CK87" i="149" s="1"/>
  <c r="BV87" i="148"/>
  <c r="BS87" i="149" s="1"/>
  <c r="CI87" i="148"/>
  <c r="CF87" i="149" s="1"/>
  <c r="CS87" i="148"/>
  <c r="CP87" i="149" s="1"/>
  <c r="H87" i="148"/>
  <c r="BR87" i="148"/>
  <c r="BO87" i="149" s="1"/>
  <c r="BG87" i="148"/>
  <c r="BD87" i="149" s="1"/>
  <c r="E87" i="148"/>
  <c r="CY87" i="148"/>
  <c r="CV87" i="149" s="1"/>
  <c r="CK87" i="148"/>
  <c r="CH87" i="149" s="1"/>
  <c r="BQ87" i="148"/>
  <c r="BN87" i="149" s="1"/>
  <c r="CR87" i="148"/>
  <c r="CO87" i="149" s="1"/>
  <c r="CP87" i="148"/>
  <c r="CM87" i="149" s="1"/>
  <c r="BT87" i="148"/>
  <c r="BQ87" i="149" s="1"/>
  <c r="CG87" i="148"/>
  <c r="CD87" i="149" s="1"/>
  <c r="CB87" i="148"/>
  <c r="BY87" i="149" s="1"/>
  <c r="CT87" i="148"/>
  <c r="CQ87" i="149" s="1"/>
  <c r="CA87" i="148"/>
  <c r="BX87" i="149" s="1"/>
  <c r="CD87" i="148"/>
  <c r="CA87" i="149" s="1"/>
  <c r="AY87" i="148"/>
  <c r="AV87" i="149" s="1"/>
  <c r="R87" i="148"/>
  <c r="BS87" i="148"/>
  <c r="BP87" i="149" s="1"/>
  <c r="BX87" i="148"/>
  <c r="BU87" i="149" s="1"/>
  <c r="BF87" i="148"/>
  <c r="BC87" i="149" s="1"/>
  <c r="CO87" i="148"/>
  <c r="CL87" i="149" s="1"/>
  <c r="CW87" i="148"/>
  <c r="CT87" i="149" s="1"/>
  <c r="CV87" i="148"/>
  <c r="CS87" i="149" s="1"/>
  <c r="CF87" i="148"/>
  <c r="CC87" i="149" s="1"/>
  <c r="G87" i="148"/>
  <c r="AW87" i="148"/>
  <c r="AT87" i="149" s="1"/>
  <c r="CU87" i="148"/>
  <c r="CR87" i="149" s="1"/>
  <c r="BP87" i="148"/>
  <c r="BM87" i="149" s="1"/>
  <c r="BD87" i="148"/>
  <c r="BA87" i="149" s="1"/>
  <c r="DA87" i="148"/>
  <c r="CX87" i="149" s="1"/>
  <c r="CX87" i="148"/>
  <c r="CU87" i="149" s="1"/>
  <c r="BZ87" i="148"/>
  <c r="BW87" i="149" s="1"/>
  <c r="BU87" i="148"/>
  <c r="BR87" i="149" s="1"/>
  <c r="I87" i="148"/>
  <c r="BY87" i="148"/>
  <c r="BV87" i="149" s="1"/>
  <c r="BE87" i="148"/>
  <c r="BB87" i="149" s="1"/>
  <c r="BA87" i="148"/>
  <c r="AX87" i="149" s="1"/>
  <c r="BC87" i="148"/>
  <c r="AZ87" i="149" s="1"/>
  <c r="BJ87" i="148"/>
  <c r="BG87" i="149" s="1"/>
  <c r="BH87" i="148"/>
  <c r="BE87" i="149" s="1"/>
  <c r="AZ87" i="148"/>
  <c r="AW87" i="149" s="1"/>
  <c r="BN87" i="148"/>
  <c r="BK87" i="149" s="1"/>
  <c r="BW87" i="148"/>
  <c r="BT87" i="149" s="1"/>
  <c r="AV87" i="148"/>
  <c r="AS87" i="149" s="1"/>
  <c r="BK87" i="148"/>
  <c r="BH87" i="149" s="1"/>
  <c r="BI87" i="148"/>
  <c r="BF87" i="149" s="1"/>
  <c r="BB87" i="148"/>
  <c r="AY87" i="149" s="1"/>
  <c r="BL87" i="148"/>
  <c r="BI87" i="149" s="1"/>
  <c r="BO87" i="148"/>
  <c r="BM87" i="148"/>
  <c r="BJ87" i="149" s="1"/>
  <c r="D87" i="148"/>
  <c r="R7" i="151"/>
  <c r="D7" i="151"/>
  <c r="E7" i="151"/>
  <c r="P7" i="151"/>
  <c r="H7" i="151"/>
  <c r="G7" i="151"/>
  <c r="BV7" i="151"/>
  <c r="CA7" i="151"/>
  <c r="CW7" i="151"/>
  <c r="CD7" i="151"/>
  <c r="CC7" i="151"/>
  <c r="CP7" i="151"/>
  <c r="CM7" i="151"/>
  <c r="CR7" i="151"/>
  <c r="BU7" i="151"/>
  <c r="F7" i="151"/>
  <c r="CN7" i="151"/>
  <c r="CO7" i="151"/>
  <c r="CL7" i="151"/>
  <c r="BW7" i="151"/>
  <c r="CS7" i="151"/>
  <c r="CH7" i="151"/>
  <c r="BT7" i="151"/>
  <c r="CE7" i="151"/>
  <c r="CU7" i="151"/>
  <c r="CQ7" i="151"/>
  <c r="BX7" i="151"/>
  <c r="CI7" i="151"/>
  <c r="CJ7" i="151"/>
  <c r="CK7" i="151"/>
  <c r="CG7" i="151"/>
  <c r="CB7" i="151"/>
  <c r="BY7" i="151"/>
  <c r="CV7" i="151"/>
  <c r="CF7" i="151"/>
  <c r="CT7" i="151"/>
  <c r="BZ7" i="151"/>
  <c r="AX7" i="151"/>
  <c r="BQ7" i="151"/>
  <c r="BM7" i="151"/>
  <c r="BP7" i="151"/>
  <c r="BG7" i="151"/>
  <c r="AU7" i="151"/>
  <c r="BO7" i="151"/>
  <c r="BE7" i="151"/>
  <c r="BN7" i="151"/>
  <c r="BK7" i="151"/>
  <c r="BL7" i="151"/>
  <c r="BB7" i="151"/>
  <c r="BF7" i="151"/>
  <c r="BH7" i="151"/>
  <c r="BD7" i="151"/>
  <c r="AV7" i="151"/>
  <c r="BI7" i="151"/>
  <c r="BA7" i="151"/>
  <c r="BS7" i="151"/>
  <c r="AT7" i="151"/>
  <c r="AS7" i="151"/>
  <c r="AZ7" i="151"/>
  <c r="BJ7" i="151"/>
  <c r="AR7" i="151"/>
  <c r="BC7" i="151"/>
  <c r="AY7" i="151"/>
  <c r="AW7" i="151"/>
  <c r="BR7" i="151"/>
  <c r="D34" i="151"/>
  <c r="P34" i="151"/>
  <c r="E34" i="151"/>
  <c r="R34" i="151"/>
  <c r="G34" i="151"/>
  <c r="H34" i="151"/>
  <c r="BW34" i="151"/>
  <c r="CF34" i="151"/>
  <c r="CS34" i="151"/>
  <c r="CU34" i="151"/>
  <c r="CE34" i="151"/>
  <c r="CM34" i="151"/>
  <c r="CJ34" i="151"/>
  <c r="CA34" i="151"/>
  <c r="BZ34" i="151"/>
  <c r="CW34" i="151"/>
  <c r="CL34" i="151"/>
  <c r="CD34" i="151"/>
  <c r="BX34" i="151"/>
  <c r="BY34" i="151"/>
  <c r="CN34" i="151"/>
  <c r="BU34" i="151"/>
  <c r="CC34" i="151"/>
  <c r="CT34" i="151"/>
  <c r="CG34" i="151"/>
  <c r="BT34" i="151"/>
  <c r="CP34" i="151"/>
  <c r="F34" i="151"/>
  <c r="CR34" i="151"/>
  <c r="CB34" i="151"/>
  <c r="CO34" i="151"/>
  <c r="CH34" i="151"/>
  <c r="CV34" i="151"/>
  <c r="BV34" i="151"/>
  <c r="CK34" i="151"/>
  <c r="CQ34" i="151"/>
  <c r="CI34" i="151"/>
  <c r="AY34" i="151"/>
  <c r="BQ34" i="151"/>
  <c r="AZ34" i="151"/>
  <c r="AS34" i="151"/>
  <c r="BG34" i="151"/>
  <c r="BP34" i="151"/>
  <c r="BL34" i="151"/>
  <c r="BK34" i="151"/>
  <c r="BM34" i="151"/>
  <c r="BA34" i="151"/>
  <c r="BR34" i="151"/>
  <c r="AU34" i="151"/>
  <c r="BO34" i="151"/>
  <c r="AR34" i="151"/>
  <c r="BD34" i="151"/>
  <c r="BF34" i="151"/>
  <c r="AX34" i="151"/>
  <c r="BE34" i="151"/>
  <c r="BB34" i="151"/>
  <c r="BJ34" i="151"/>
  <c r="BH34" i="151"/>
  <c r="BS34" i="151"/>
  <c r="AW34" i="151"/>
  <c r="AT34" i="151"/>
  <c r="BI34" i="151"/>
  <c r="BC34" i="151"/>
  <c r="AV34" i="151"/>
  <c r="BN34" i="151"/>
  <c r="R24" i="153"/>
  <c r="D24" i="153"/>
  <c r="G24" i="153"/>
  <c r="P24" i="153"/>
  <c r="E24" i="153"/>
  <c r="H24" i="153"/>
  <c r="C24" i="153"/>
  <c r="BU24" i="153"/>
  <c r="CV24" i="153"/>
  <c r="BX24" i="153"/>
  <c r="BV24" i="153"/>
  <c r="CN24" i="153"/>
  <c r="CW24" i="153"/>
  <c r="CA24" i="153"/>
  <c r="CQ24" i="153"/>
  <c r="CC24" i="153"/>
  <c r="BZ24" i="153"/>
  <c r="CS24" i="153"/>
  <c r="BT24" i="153"/>
  <c r="CH24" i="153"/>
  <c r="CM24" i="153"/>
  <c r="CB24" i="153"/>
  <c r="CF24" i="153"/>
  <c r="CE24" i="153"/>
  <c r="CJ24" i="153"/>
  <c r="CK24" i="153"/>
  <c r="CL24" i="153"/>
  <c r="CP24" i="153"/>
  <c r="CU24" i="153"/>
  <c r="BW24" i="153"/>
  <c r="BY24" i="153"/>
  <c r="CD24" i="153"/>
  <c r="CR24" i="153"/>
  <c r="CI24" i="153"/>
  <c r="CT24" i="153"/>
  <c r="CG24" i="153"/>
  <c r="F24" i="153"/>
  <c r="CO24" i="153"/>
  <c r="BL24" i="153"/>
  <c r="BN24" i="153"/>
  <c r="AU24" i="153"/>
  <c r="AT24" i="153"/>
  <c r="BE24" i="153"/>
  <c r="BS24" i="153"/>
  <c r="BI24" i="153"/>
  <c r="BJ24" i="153"/>
  <c r="BB24" i="153"/>
  <c r="AX24" i="153"/>
  <c r="AS24" i="153"/>
  <c r="BG24" i="153"/>
  <c r="BP24" i="153"/>
  <c r="BC24" i="153"/>
  <c r="BF24" i="153"/>
  <c r="AR24" i="153"/>
  <c r="AZ24" i="153"/>
  <c r="BQ24" i="153"/>
  <c r="AV24" i="153"/>
  <c r="BR24" i="153"/>
  <c r="BD24" i="153"/>
  <c r="BM24" i="153"/>
  <c r="BH24" i="153"/>
  <c r="AY24" i="153"/>
  <c r="BO24" i="153"/>
  <c r="AW24" i="153"/>
  <c r="BA24" i="153"/>
  <c r="BK24" i="153"/>
  <c r="H5" i="153"/>
  <c r="D5" i="153"/>
  <c r="R5" i="153"/>
  <c r="E5" i="153"/>
  <c r="G5" i="153"/>
  <c r="P5" i="153"/>
  <c r="C5" i="153"/>
  <c r="CK5" i="153"/>
  <c r="CU5" i="153"/>
  <c r="CO5" i="153"/>
  <c r="BW5" i="153"/>
  <c r="CL5" i="153"/>
  <c r="CA5" i="153"/>
  <c r="CR5" i="153"/>
  <c r="CE5" i="153"/>
  <c r="CB5" i="153"/>
  <c r="CQ5" i="153"/>
  <c r="BV5" i="153"/>
  <c r="CJ5" i="153"/>
  <c r="CW5" i="153"/>
  <c r="CF5" i="153"/>
  <c r="F5" i="153"/>
  <c r="CC5" i="153"/>
  <c r="BU5" i="153"/>
  <c r="CT5" i="153"/>
  <c r="CV5" i="153"/>
  <c r="CP5" i="153"/>
  <c r="CH5" i="153"/>
  <c r="CD5" i="153"/>
  <c r="CS5" i="153"/>
  <c r="CG5" i="153"/>
  <c r="CN5" i="153"/>
  <c r="BT5" i="153"/>
  <c r="BY5" i="153"/>
  <c r="CM5" i="153"/>
  <c r="BZ5" i="153"/>
  <c r="CI5" i="153"/>
  <c r="BX5" i="153"/>
  <c r="AW5" i="153"/>
  <c r="BF5" i="153"/>
  <c r="BN5" i="153"/>
  <c r="BM5" i="153"/>
  <c r="BQ5" i="153"/>
  <c r="AS5" i="153"/>
  <c r="AV5" i="153"/>
  <c r="BS5" i="153"/>
  <c r="BI5" i="153"/>
  <c r="AU5" i="153"/>
  <c r="AX5" i="153"/>
  <c r="BG5" i="153"/>
  <c r="BK5" i="153"/>
  <c r="BL5" i="153"/>
  <c r="AY5" i="153"/>
  <c r="BD5" i="153"/>
  <c r="BO5" i="153"/>
  <c r="BB5" i="153"/>
  <c r="AZ5" i="153"/>
  <c r="BR5" i="153"/>
  <c r="BE5" i="153"/>
  <c r="BH5" i="153"/>
  <c r="AT5" i="153"/>
  <c r="BJ5" i="153"/>
  <c r="BC5" i="153"/>
  <c r="AR5" i="153"/>
  <c r="BA5" i="153"/>
  <c r="BP5" i="153"/>
  <c r="G29" i="151"/>
  <c r="H29" i="151"/>
  <c r="D29" i="151"/>
  <c r="R29" i="151"/>
  <c r="E29" i="151"/>
  <c r="P29" i="151"/>
  <c r="BT29" i="151"/>
  <c r="CD29" i="151"/>
  <c r="CE29" i="151"/>
  <c r="BZ29" i="151"/>
  <c r="CH29" i="151"/>
  <c r="CK29" i="151"/>
  <c r="CI29" i="151"/>
  <c r="CQ29" i="151"/>
  <c r="CJ29" i="151"/>
  <c r="F29" i="151"/>
  <c r="BU29" i="151"/>
  <c r="CU29" i="151"/>
  <c r="CB29" i="151"/>
  <c r="CL29" i="151"/>
  <c r="BW29" i="151"/>
  <c r="CF29" i="151"/>
  <c r="CR29" i="151"/>
  <c r="CM29" i="151"/>
  <c r="BY29" i="151"/>
  <c r="CW29" i="151"/>
  <c r="CN29" i="151"/>
  <c r="CS29" i="151"/>
  <c r="BV29" i="151"/>
  <c r="CT29" i="151"/>
  <c r="BX29" i="151"/>
  <c r="CC29" i="151"/>
  <c r="CV29" i="151"/>
  <c r="CO29" i="151"/>
  <c r="CP29" i="151"/>
  <c r="CA29" i="151"/>
  <c r="CG29" i="151"/>
  <c r="BN29" i="151"/>
  <c r="BJ29" i="151"/>
  <c r="BA29" i="151"/>
  <c r="BM29" i="151"/>
  <c r="BS29" i="151"/>
  <c r="AV29" i="151"/>
  <c r="BC29" i="151"/>
  <c r="BH29" i="151"/>
  <c r="BB29" i="151"/>
  <c r="BF29" i="151"/>
  <c r="BE29" i="151"/>
  <c r="BO29" i="151"/>
  <c r="AR29" i="151"/>
  <c r="BK29" i="151"/>
  <c r="BL29" i="151"/>
  <c r="BP29" i="151"/>
  <c r="BR29" i="151"/>
  <c r="AS29" i="151"/>
  <c r="AT29" i="151"/>
  <c r="AU29" i="151"/>
  <c r="BG29" i="151"/>
  <c r="BI29" i="151"/>
  <c r="AZ29" i="151"/>
  <c r="AX29" i="151"/>
  <c r="BD29" i="151"/>
  <c r="AY29" i="151"/>
  <c r="BQ29" i="151"/>
  <c r="AW29" i="151"/>
  <c r="CZ50" i="149"/>
  <c r="DA50" i="149"/>
  <c r="DB50" i="149"/>
  <c r="BL50" i="149"/>
  <c r="Q34" i="148"/>
  <c r="BI34" i="148"/>
  <c r="BF34" i="149" s="1"/>
  <c r="CJ34" i="148"/>
  <c r="CG34" i="149" s="1"/>
  <c r="CH34" i="148"/>
  <c r="CE34" i="149" s="1"/>
  <c r="CG34" i="148"/>
  <c r="CD34" i="149" s="1"/>
  <c r="AW34" i="148"/>
  <c r="AT34" i="149" s="1"/>
  <c r="BK34" i="148"/>
  <c r="BH34" i="149" s="1"/>
  <c r="BO34" i="148"/>
  <c r="BZ34" i="148"/>
  <c r="BW34" i="149" s="1"/>
  <c r="CZ34" i="148"/>
  <c r="CW34" i="149" s="1"/>
  <c r="CD34" i="148"/>
  <c r="CA34" i="149" s="1"/>
  <c r="BQ34" i="148"/>
  <c r="BN34" i="149" s="1"/>
  <c r="BJ34" i="148"/>
  <c r="BG34" i="149" s="1"/>
  <c r="CQ34" i="148"/>
  <c r="CN34" i="149" s="1"/>
  <c r="CR34" i="148"/>
  <c r="CO34" i="149" s="1"/>
  <c r="CA34" i="148"/>
  <c r="BX34" i="149" s="1"/>
  <c r="AV34" i="148"/>
  <c r="AS34" i="149" s="1"/>
  <c r="BH34" i="148"/>
  <c r="BE34" i="149" s="1"/>
  <c r="BL34" i="148"/>
  <c r="BI34" i="149" s="1"/>
  <c r="I34" i="148"/>
  <c r="CW34" i="148"/>
  <c r="CT34" i="149" s="1"/>
  <c r="CV34" i="148"/>
  <c r="CS34" i="149" s="1"/>
  <c r="AY34" i="148"/>
  <c r="AV34" i="149" s="1"/>
  <c r="BW34" i="148"/>
  <c r="BT34" i="149" s="1"/>
  <c r="AZ34" i="148"/>
  <c r="AW34" i="149" s="1"/>
  <c r="BC34" i="148"/>
  <c r="AZ34" i="149" s="1"/>
  <c r="F34" i="148"/>
  <c r="CT34" i="148"/>
  <c r="CQ34" i="149" s="1"/>
  <c r="CM34" i="148"/>
  <c r="CJ34" i="149" s="1"/>
  <c r="BS34" i="148"/>
  <c r="BP34" i="149" s="1"/>
  <c r="BU34" i="148"/>
  <c r="BR34" i="149" s="1"/>
  <c r="BB34" i="148"/>
  <c r="AY34" i="149" s="1"/>
  <c r="V34" i="148"/>
  <c r="CX34" i="148"/>
  <c r="CU34" i="149" s="1"/>
  <c r="CK34" i="148"/>
  <c r="CH34" i="149" s="1"/>
  <c r="BP34" i="148"/>
  <c r="BM34" i="149" s="1"/>
  <c r="BA34" i="148"/>
  <c r="AX34" i="149" s="1"/>
  <c r="BM34" i="148"/>
  <c r="BJ34" i="149" s="1"/>
  <c r="DA34" i="148"/>
  <c r="CX34" i="149" s="1"/>
  <c r="CB34" i="148"/>
  <c r="BY34" i="149" s="1"/>
  <c r="CU34" i="148"/>
  <c r="CR34" i="149" s="1"/>
  <c r="BT34" i="148"/>
  <c r="BQ34" i="149" s="1"/>
  <c r="G34" i="148"/>
  <c r="BV34" i="148"/>
  <c r="BS34" i="149" s="1"/>
  <c r="CN34" i="148"/>
  <c r="CK34" i="149" s="1"/>
  <c r="BG34" i="148"/>
  <c r="BD34" i="149" s="1"/>
  <c r="CE34" i="148"/>
  <c r="CB34" i="149" s="1"/>
  <c r="BF34" i="148"/>
  <c r="BC34" i="149" s="1"/>
  <c r="CF34" i="148"/>
  <c r="CC34" i="149" s="1"/>
  <c r="BR34" i="148"/>
  <c r="BO34" i="149" s="1"/>
  <c r="CP34" i="148"/>
  <c r="CM34" i="149" s="1"/>
  <c r="E34" i="148"/>
  <c r="BY34" i="148"/>
  <c r="BV34" i="149" s="1"/>
  <c r="H34" i="148"/>
  <c r="CL34" i="148"/>
  <c r="CI34" i="149" s="1"/>
  <c r="R34" i="148"/>
  <c r="CS34" i="148"/>
  <c r="CP34" i="149" s="1"/>
  <c r="CO34" i="148"/>
  <c r="CL34" i="149" s="1"/>
  <c r="CC34" i="148"/>
  <c r="BZ34" i="149" s="1"/>
  <c r="CY34" i="148"/>
  <c r="CV34" i="149" s="1"/>
  <c r="BN34" i="148"/>
  <c r="BK34" i="149" s="1"/>
  <c r="CI34" i="148"/>
  <c r="CF34" i="149" s="1"/>
  <c r="BD34" i="148"/>
  <c r="BA34" i="149" s="1"/>
  <c r="BX34" i="148"/>
  <c r="BU34" i="149" s="1"/>
  <c r="BE34" i="148"/>
  <c r="BB34" i="149" s="1"/>
  <c r="AX34" i="148"/>
  <c r="AU34" i="149" s="1"/>
  <c r="D34" i="148"/>
  <c r="Q74" i="148"/>
  <c r="BK74" i="148"/>
  <c r="BH74" i="149" s="1"/>
  <c r="CL74" i="148"/>
  <c r="CI74" i="149" s="1"/>
  <c r="CF74" i="148"/>
  <c r="CC74" i="149" s="1"/>
  <c r="CD74" i="148"/>
  <c r="CA74" i="149" s="1"/>
  <c r="AX74" i="148"/>
  <c r="AU74" i="149" s="1"/>
  <c r="BI74" i="148"/>
  <c r="BF74" i="149" s="1"/>
  <c r="H74" i="148"/>
  <c r="CB74" i="148"/>
  <c r="BY74" i="149" s="1"/>
  <c r="CZ74" i="148"/>
  <c r="CW74" i="149" s="1"/>
  <c r="CU74" i="148"/>
  <c r="CR74" i="149" s="1"/>
  <c r="AV74" i="148"/>
  <c r="AS74" i="149" s="1"/>
  <c r="BL74" i="148"/>
  <c r="BI74" i="149" s="1"/>
  <c r="V74" i="148"/>
  <c r="CS74" i="148"/>
  <c r="CP74" i="149" s="1"/>
  <c r="CK74" i="148"/>
  <c r="CH74" i="149" s="1"/>
  <c r="BV74" i="148"/>
  <c r="BS74" i="149" s="1"/>
  <c r="BP74" i="148"/>
  <c r="BM74" i="149" s="1"/>
  <c r="BH74" i="148"/>
  <c r="BE74" i="149" s="1"/>
  <c r="F74" i="148"/>
  <c r="CJ74" i="148"/>
  <c r="CG74" i="149" s="1"/>
  <c r="CM74" i="148"/>
  <c r="CJ74" i="149" s="1"/>
  <c r="BE74" i="148"/>
  <c r="BB74" i="149" s="1"/>
  <c r="AY74" i="148"/>
  <c r="AV74" i="149" s="1"/>
  <c r="BN74" i="148"/>
  <c r="BK74" i="149" s="1"/>
  <c r="E74" i="148"/>
  <c r="CC74" i="148"/>
  <c r="BZ74" i="149" s="1"/>
  <c r="CT74" i="148"/>
  <c r="CQ74" i="149" s="1"/>
  <c r="BU74" i="148"/>
  <c r="BR74" i="149" s="1"/>
  <c r="BD74" i="148"/>
  <c r="BA74" i="149" s="1"/>
  <c r="BC74" i="148"/>
  <c r="AZ74" i="149" s="1"/>
  <c r="I74" i="148"/>
  <c r="BZ74" i="148"/>
  <c r="BW74" i="149" s="1"/>
  <c r="BX74" i="148"/>
  <c r="BU74" i="149" s="1"/>
  <c r="AZ74" i="148"/>
  <c r="AW74" i="149" s="1"/>
  <c r="BY74" i="148"/>
  <c r="BV74" i="149" s="1"/>
  <c r="CV74" i="148"/>
  <c r="CS74" i="149" s="1"/>
  <c r="CG74" i="148"/>
  <c r="CD74" i="149" s="1"/>
  <c r="BR74" i="148"/>
  <c r="BO74" i="149" s="1"/>
  <c r="BB74" i="148"/>
  <c r="AY74" i="149" s="1"/>
  <c r="CA74" i="148"/>
  <c r="BX74" i="149" s="1"/>
  <c r="CW74" i="148"/>
  <c r="CT74" i="149" s="1"/>
  <c r="DA74" i="148"/>
  <c r="CX74" i="149" s="1"/>
  <c r="BF74" i="148"/>
  <c r="BC74" i="149" s="1"/>
  <c r="BA74" i="148"/>
  <c r="AX74" i="149" s="1"/>
  <c r="CP74" i="148"/>
  <c r="CM74" i="149" s="1"/>
  <c r="CX74" i="148"/>
  <c r="CU74" i="149" s="1"/>
  <c r="G74" i="148"/>
  <c r="BW74" i="148"/>
  <c r="BT74" i="149" s="1"/>
  <c r="BO74" i="148"/>
  <c r="CO74" i="148"/>
  <c r="CL74" i="149" s="1"/>
  <c r="CR74" i="148"/>
  <c r="CO74" i="149" s="1"/>
  <c r="CY74" i="148"/>
  <c r="CV74" i="149" s="1"/>
  <c r="BG74" i="148"/>
  <c r="BD74" i="149" s="1"/>
  <c r="R74" i="148"/>
  <c r="CN74" i="148"/>
  <c r="CK74" i="149" s="1"/>
  <c r="CI74" i="148"/>
  <c r="CF74" i="149" s="1"/>
  <c r="CH74" i="148"/>
  <c r="CE74" i="149" s="1"/>
  <c r="CQ74" i="148"/>
  <c r="CN74" i="149" s="1"/>
  <c r="CE74" i="148"/>
  <c r="CB74" i="149" s="1"/>
  <c r="AW74" i="148"/>
  <c r="AT74" i="149" s="1"/>
  <c r="BM74" i="148"/>
  <c r="BJ74" i="149" s="1"/>
  <c r="BQ74" i="148"/>
  <c r="BN74" i="149" s="1"/>
  <c r="BJ74" i="148"/>
  <c r="BG74" i="149" s="1"/>
  <c r="BS74" i="148"/>
  <c r="BP74" i="149" s="1"/>
  <c r="BT74" i="148"/>
  <c r="BQ74" i="149" s="1"/>
  <c r="D74" i="148"/>
  <c r="Q73" i="148"/>
  <c r="BI73" i="148"/>
  <c r="BF73" i="149" s="1"/>
  <c r="CL73" i="148"/>
  <c r="CI73" i="149" s="1"/>
  <c r="BZ73" i="148"/>
  <c r="BW73" i="149" s="1"/>
  <c r="CZ73" i="148"/>
  <c r="CW73" i="149" s="1"/>
  <c r="BT73" i="148"/>
  <c r="BQ73" i="149" s="1"/>
  <c r="BH73" i="148"/>
  <c r="BE73" i="149" s="1"/>
  <c r="F73" i="148"/>
  <c r="CW73" i="148"/>
  <c r="CT73" i="149" s="1"/>
  <c r="CS73" i="148"/>
  <c r="CP73" i="149" s="1"/>
  <c r="BV73" i="148"/>
  <c r="BS73" i="149" s="1"/>
  <c r="BL73" i="148"/>
  <c r="BI73" i="149" s="1"/>
  <c r="H73" i="148"/>
  <c r="CK73" i="148"/>
  <c r="CH73" i="149" s="1"/>
  <c r="CQ73" i="148"/>
  <c r="CN73" i="149" s="1"/>
  <c r="BE73" i="148"/>
  <c r="BB73" i="149" s="1"/>
  <c r="BO73" i="148"/>
  <c r="R73" i="148"/>
  <c r="CJ73" i="148"/>
  <c r="CG73" i="149" s="1"/>
  <c r="CV73" i="148"/>
  <c r="CS73" i="149" s="1"/>
  <c r="BP73" i="148"/>
  <c r="BM73" i="149" s="1"/>
  <c r="BJ73" i="148"/>
  <c r="BG73" i="149" s="1"/>
  <c r="I73" i="148"/>
  <c r="CD73" i="148"/>
  <c r="CA73" i="149" s="1"/>
  <c r="CT73" i="148"/>
  <c r="CQ73" i="149" s="1"/>
  <c r="AY73" i="148"/>
  <c r="AV73" i="149" s="1"/>
  <c r="AZ73" i="148"/>
  <c r="AW73" i="149" s="1"/>
  <c r="CN73" i="148"/>
  <c r="CK73" i="149" s="1"/>
  <c r="CI73" i="148"/>
  <c r="CF73" i="149" s="1"/>
  <c r="CP73" i="148"/>
  <c r="CM73" i="149" s="1"/>
  <c r="BR73" i="148"/>
  <c r="BO73" i="149" s="1"/>
  <c r="BC73" i="148"/>
  <c r="AZ73" i="149" s="1"/>
  <c r="CC73" i="148"/>
  <c r="BZ73" i="149" s="1"/>
  <c r="CH73" i="148"/>
  <c r="CE73" i="149" s="1"/>
  <c r="CY73" i="148"/>
  <c r="CV73" i="149" s="1"/>
  <c r="BQ73" i="148"/>
  <c r="BN73" i="149" s="1"/>
  <c r="BB73" i="148"/>
  <c r="AY73" i="149" s="1"/>
  <c r="G73" i="148"/>
  <c r="CO73" i="148"/>
  <c r="CL73" i="149" s="1"/>
  <c r="CX73" i="148"/>
  <c r="CU73" i="149" s="1"/>
  <c r="AX73" i="148"/>
  <c r="AU73" i="149" s="1"/>
  <c r="BA73" i="148"/>
  <c r="AX73" i="149" s="1"/>
  <c r="CA73" i="148"/>
  <c r="BX73" i="149" s="1"/>
  <c r="CF73" i="148"/>
  <c r="CC73" i="149" s="1"/>
  <c r="CB73" i="148"/>
  <c r="BY73" i="149" s="1"/>
  <c r="BF73" i="148"/>
  <c r="BC73" i="149" s="1"/>
  <c r="BM73" i="148"/>
  <c r="BJ73" i="149" s="1"/>
  <c r="CR73" i="148"/>
  <c r="CO73" i="149" s="1"/>
  <c r="CE73" i="148"/>
  <c r="CB73" i="149" s="1"/>
  <c r="DA73" i="148"/>
  <c r="CX73" i="149" s="1"/>
  <c r="BG73" i="148"/>
  <c r="BD73" i="149" s="1"/>
  <c r="V73" i="148"/>
  <c r="E73" i="148"/>
  <c r="BN73" i="148"/>
  <c r="BK73" i="149" s="1"/>
  <c r="BY73" i="148"/>
  <c r="BV73" i="149" s="1"/>
  <c r="BK73" i="148"/>
  <c r="BH73" i="149" s="1"/>
  <c r="CG73" i="148"/>
  <c r="CD73" i="149" s="1"/>
  <c r="BX73" i="148"/>
  <c r="BU73" i="149" s="1"/>
  <c r="CM73" i="148"/>
  <c r="CJ73" i="149" s="1"/>
  <c r="CU73" i="148"/>
  <c r="CR73" i="149" s="1"/>
  <c r="AV73" i="148"/>
  <c r="AS73" i="149" s="1"/>
  <c r="BS73" i="148"/>
  <c r="BP73" i="149" s="1"/>
  <c r="D73" i="148"/>
  <c r="DB49" i="149"/>
  <c r="CZ49" i="149"/>
  <c r="CY49" i="149"/>
  <c r="DA49" i="149"/>
  <c r="BL49" i="149"/>
  <c r="DB144" i="149"/>
  <c r="DA144" i="149"/>
  <c r="CY144" i="149"/>
  <c r="CZ144" i="149"/>
  <c r="BL144" i="149"/>
  <c r="D144" i="149" s="1"/>
  <c r="Q17" i="148"/>
  <c r="H17" i="148"/>
  <c r="R17" i="148"/>
  <c r="F17" i="148"/>
  <c r="I17" i="148"/>
  <c r="V17" i="148"/>
  <c r="E17" i="148"/>
  <c r="CC17" i="148"/>
  <c r="BZ17" i="149" s="1"/>
  <c r="DA17" i="148"/>
  <c r="CX17" i="149" s="1"/>
  <c r="CX17" i="148"/>
  <c r="CU17" i="149" s="1"/>
  <c r="D17" i="148"/>
  <c r="G17" i="148"/>
  <c r="CB17" i="148"/>
  <c r="BY17" i="149" s="1"/>
  <c r="AY17" i="148"/>
  <c r="AV17" i="149" s="1"/>
  <c r="CZ17" i="148"/>
  <c r="CW17" i="149" s="1"/>
  <c r="CT17" i="148"/>
  <c r="CQ17" i="149" s="1"/>
  <c r="BR17" i="148"/>
  <c r="BO17" i="149" s="1"/>
  <c r="BG17" i="148"/>
  <c r="BD17" i="149" s="1"/>
  <c r="CU17" i="148"/>
  <c r="CR17" i="149" s="1"/>
  <c r="CJ17" i="148"/>
  <c r="CG17" i="149" s="1"/>
  <c r="BD17" i="148"/>
  <c r="BA17" i="149" s="1"/>
  <c r="CL17" i="148"/>
  <c r="CI17" i="149" s="1"/>
  <c r="CS17" i="148"/>
  <c r="CP17" i="149" s="1"/>
  <c r="BE17" i="148"/>
  <c r="BB17" i="149" s="1"/>
  <c r="CR17" i="148"/>
  <c r="CO17" i="149" s="1"/>
  <c r="AX17" i="148"/>
  <c r="AU17" i="149" s="1"/>
  <c r="CH17" i="148"/>
  <c r="CE17" i="149" s="1"/>
  <c r="CK17" i="148"/>
  <c r="CH17" i="149" s="1"/>
  <c r="CE17" i="148"/>
  <c r="CB17" i="149" s="1"/>
  <c r="CI17" i="148"/>
  <c r="CF17" i="149" s="1"/>
  <c r="CM17" i="148"/>
  <c r="CJ17" i="149" s="1"/>
  <c r="AV17" i="148"/>
  <c r="AS17" i="149" s="1"/>
  <c r="AW17" i="148"/>
  <c r="AT17" i="149" s="1"/>
  <c r="BT17" i="148"/>
  <c r="BQ17" i="149" s="1"/>
  <c r="BW17" i="148"/>
  <c r="BT17" i="149" s="1"/>
  <c r="BS17" i="148"/>
  <c r="BP17" i="149" s="1"/>
  <c r="CN17" i="148"/>
  <c r="CK17" i="149" s="1"/>
  <c r="CG17" i="148"/>
  <c r="CD17" i="149" s="1"/>
  <c r="BQ17" i="148"/>
  <c r="BN17" i="149" s="1"/>
  <c r="CA17" i="148"/>
  <c r="BX17" i="149" s="1"/>
  <c r="BV17" i="148"/>
  <c r="BS17" i="149" s="1"/>
  <c r="BF17" i="148"/>
  <c r="BC17" i="149" s="1"/>
  <c r="BX17" i="148"/>
  <c r="BU17" i="149" s="1"/>
  <c r="CO17" i="148"/>
  <c r="CL17" i="149" s="1"/>
  <c r="BZ17" i="148"/>
  <c r="BW17" i="149" s="1"/>
  <c r="BP17" i="148"/>
  <c r="BM17" i="149" s="1"/>
  <c r="BY17" i="148"/>
  <c r="BV17" i="149" s="1"/>
  <c r="CP17" i="148"/>
  <c r="CM17" i="149" s="1"/>
  <c r="CD17" i="148"/>
  <c r="CA17" i="149" s="1"/>
  <c r="CQ17" i="148"/>
  <c r="CN17" i="149" s="1"/>
  <c r="CF17" i="148"/>
  <c r="CC17" i="149" s="1"/>
  <c r="CY17" i="148"/>
  <c r="CV17" i="149" s="1"/>
  <c r="CV17" i="148"/>
  <c r="CS17" i="149" s="1"/>
  <c r="CW17" i="148"/>
  <c r="CT17" i="149" s="1"/>
  <c r="BU17" i="148"/>
  <c r="BR17" i="149" s="1"/>
  <c r="BL17" i="148"/>
  <c r="BI17" i="149" s="1"/>
  <c r="BM17" i="148"/>
  <c r="BJ17" i="149" s="1"/>
  <c r="BH17" i="148"/>
  <c r="BK17" i="148"/>
  <c r="BH17" i="149" s="1"/>
  <c r="BA17" i="148"/>
  <c r="AX17" i="149" s="1"/>
  <c r="BO17" i="148"/>
  <c r="BC17" i="148"/>
  <c r="AZ17" i="149" s="1"/>
  <c r="BJ17" i="148"/>
  <c r="BG17" i="149" s="1"/>
  <c r="BB17" i="148"/>
  <c r="AY17" i="149" s="1"/>
  <c r="BN17" i="148"/>
  <c r="BK17" i="149" s="1"/>
  <c r="AZ17" i="148"/>
  <c r="AW17" i="149" s="1"/>
  <c r="BI17" i="148"/>
  <c r="BF17" i="149" s="1"/>
  <c r="Q83" i="148"/>
  <c r="BB83" i="148"/>
  <c r="AY83" i="149" s="1"/>
  <c r="AW83" i="148"/>
  <c r="AT83" i="149" s="1"/>
  <c r="CR83" i="148"/>
  <c r="CO83" i="149" s="1"/>
  <c r="BW83" i="148"/>
  <c r="BT83" i="149" s="1"/>
  <c r="CW83" i="148"/>
  <c r="CT83" i="149" s="1"/>
  <c r="BA83" i="148"/>
  <c r="AX83" i="149" s="1"/>
  <c r="CN83" i="148"/>
  <c r="CK83" i="149" s="1"/>
  <c r="CL83" i="148"/>
  <c r="CI83" i="149" s="1"/>
  <c r="BF83" i="148"/>
  <c r="BC83" i="149" s="1"/>
  <c r="CZ83" i="148"/>
  <c r="CW83" i="149" s="1"/>
  <c r="BN83" i="148"/>
  <c r="BK83" i="149" s="1"/>
  <c r="BX83" i="148"/>
  <c r="BU83" i="149" s="1"/>
  <c r="CM83" i="148"/>
  <c r="CJ83" i="149" s="1"/>
  <c r="H83" i="148"/>
  <c r="CK83" i="148"/>
  <c r="CH83" i="149" s="1"/>
  <c r="CD83" i="148"/>
  <c r="CA83" i="149" s="1"/>
  <c r="BL83" i="148"/>
  <c r="BI83" i="149" s="1"/>
  <c r="AV83" i="148"/>
  <c r="AS83" i="149" s="1"/>
  <c r="V83" i="148"/>
  <c r="CG83" i="148"/>
  <c r="CD83" i="149" s="1"/>
  <c r="G83" i="148"/>
  <c r="BJ83" i="148"/>
  <c r="BG83" i="149" s="1"/>
  <c r="CQ83" i="148"/>
  <c r="CN83" i="149" s="1"/>
  <c r="CH83" i="148"/>
  <c r="CE83" i="149" s="1"/>
  <c r="BU83" i="148"/>
  <c r="BR83" i="149" s="1"/>
  <c r="BO83" i="148"/>
  <c r="CC83" i="148"/>
  <c r="BZ83" i="149" s="1"/>
  <c r="CP83" i="148"/>
  <c r="CM83" i="149" s="1"/>
  <c r="CX83" i="148"/>
  <c r="CU83" i="149" s="1"/>
  <c r="BM83" i="148"/>
  <c r="BJ83" i="149" s="1"/>
  <c r="AX83" i="148"/>
  <c r="AU83" i="149" s="1"/>
  <c r="CA83" i="148"/>
  <c r="BX83" i="149" s="1"/>
  <c r="I83" i="148"/>
  <c r="BH83" i="148"/>
  <c r="BE83" i="149" s="1"/>
  <c r="BR83" i="148"/>
  <c r="BO83" i="149" s="1"/>
  <c r="R83" i="148"/>
  <c r="E83" i="148"/>
  <c r="BI83" i="148"/>
  <c r="BF83" i="149" s="1"/>
  <c r="CU83" i="148"/>
  <c r="CR83" i="149" s="1"/>
  <c r="BS83" i="148"/>
  <c r="BP83" i="149" s="1"/>
  <c r="BZ83" i="148"/>
  <c r="BW83" i="149" s="1"/>
  <c r="BK83" i="148"/>
  <c r="BH83" i="149" s="1"/>
  <c r="BT83" i="148"/>
  <c r="BQ83" i="149" s="1"/>
  <c r="CY83" i="148"/>
  <c r="CV83" i="149" s="1"/>
  <c r="CO83" i="148"/>
  <c r="CL83" i="149" s="1"/>
  <c r="AZ83" i="148"/>
  <c r="AW83" i="149" s="1"/>
  <c r="CI83" i="148"/>
  <c r="CF83" i="149" s="1"/>
  <c r="CV83" i="148"/>
  <c r="CS83" i="149" s="1"/>
  <c r="CJ83" i="148"/>
  <c r="CG83" i="149" s="1"/>
  <c r="BC83" i="148"/>
  <c r="AZ83" i="149" s="1"/>
  <c r="DA83" i="148"/>
  <c r="CX83" i="149" s="1"/>
  <c r="CT83" i="148"/>
  <c r="CQ83" i="149" s="1"/>
  <c r="CF83" i="148"/>
  <c r="CC83" i="149" s="1"/>
  <c r="CE83" i="148"/>
  <c r="CB83" i="149" s="1"/>
  <c r="BG83" i="148"/>
  <c r="BD83" i="149" s="1"/>
  <c r="CB83" i="148"/>
  <c r="BY83" i="149" s="1"/>
  <c r="CS83" i="148"/>
  <c r="CP83" i="149" s="1"/>
  <c r="BY83" i="148"/>
  <c r="BV83" i="149" s="1"/>
  <c r="BE83" i="148"/>
  <c r="BB83" i="149" s="1"/>
  <c r="AY83" i="148"/>
  <c r="AV83" i="149" s="1"/>
  <c r="BP83" i="148"/>
  <c r="BM83" i="149" s="1"/>
  <c r="BQ83" i="148"/>
  <c r="BN83" i="149" s="1"/>
  <c r="BV83" i="148"/>
  <c r="BS83" i="149" s="1"/>
  <c r="BD83" i="148"/>
  <c r="BA83" i="149" s="1"/>
  <c r="F83" i="148"/>
  <c r="D83" i="148"/>
  <c r="Q135" i="148"/>
  <c r="BH135" i="148"/>
  <c r="BE135" i="149" s="1"/>
  <c r="BX135" i="148"/>
  <c r="BU135" i="149" s="1"/>
  <c r="CK135" i="148"/>
  <c r="CH135" i="149" s="1"/>
  <c r="BB135" i="148"/>
  <c r="AY135" i="149" s="1"/>
  <c r="CV135" i="148"/>
  <c r="CS135" i="149" s="1"/>
  <c r="CX135" i="148"/>
  <c r="CU135" i="149" s="1"/>
  <c r="BC135" i="148"/>
  <c r="AZ135" i="149" s="1"/>
  <c r="BS135" i="148"/>
  <c r="BP135" i="149" s="1"/>
  <c r="CT135" i="148"/>
  <c r="CQ135" i="149" s="1"/>
  <c r="BP135" i="148"/>
  <c r="BM135" i="149" s="1"/>
  <c r="AW135" i="148"/>
  <c r="AT135" i="149" s="1"/>
  <c r="BN135" i="148"/>
  <c r="BK135" i="149" s="1"/>
  <c r="DA135" i="148"/>
  <c r="CX135" i="149" s="1"/>
  <c r="CQ135" i="148"/>
  <c r="CN135" i="149" s="1"/>
  <c r="BD135" i="148"/>
  <c r="BA135" i="149" s="1"/>
  <c r="H135" i="148"/>
  <c r="BL135" i="148"/>
  <c r="BI135" i="149" s="1"/>
  <c r="CC135" i="148"/>
  <c r="BZ135" i="149" s="1"/>
  <c r="I135" i="148"/>
  <c r="BZ135" i="148"/>
  <c r="BW135" i="149" s="1"/>
  <c r="CJ135" i="148"/>
  <c r="CG135" i="149" s="1"/>
  <c r="BJ135" i="148"/>
  <c r="BG135" i="149" s="1"/>
  <c r="BE135" i="148"/>
  <c r="BB135" i="149" s="1"/>
  <c r="F135" i="148"/>
  <c r="BR135" i="148"/>
  <c r="BO135" i="149" s="1"/>
  <c r="CL135" i="148"/>
  <c r="CI135" i="149" s="1"/>
  <c r="BF135" i="148"/>
  <c r="BC135" i="149" s="1"/>
  <c r="CM135" i="148"/>
  <c r="CJ135" i="149" s="1"/>
  <c r="BQ135" i="148"/>
  <c r="BN135" i="149" s="1"/>
  <c r="CO135" i="148"/>
  <c r="CL135" i="149" s="1"/>
  <c r="CY135" i="148"/>
  <c r="CV135" i="149" s="1"/>
  <c r="AV135" i="148"/>
  <c r="AS135" i="149" s="1"/>
  <c r="BK135" i="148"/>
  <c r="BH135" i="149" s="1"/>
  <c r="AX135" i="148"/>
  <c r="AU135" i="149" s="1"/>
  <c r="BT135" i="148"/>
  <c r="BQ135" i="149" s="1"/>
  <c r="CW135" i="148"/>
  <c r="CT135" i="149" s="1"/>
  <c r="BM135" i="148"/>
  <c r="BJ135" i="149" s="1"/>
  <c r="CG135" i="148"/>
  <c r="CD135" i="149" s="1"/>
  <c r="CF135" i="148"/>
  <c r="CC135" i="149" s="1"/>
  <c r="CH135" i="148"/>
  <c r="CE135" i="149" s="1"/>
  <c r="CU135" i="148"/>
  <c r="CR135" i="149" s="1"/>
  <c r="BY135" i="148"/>
  <c r="BV135" i="149" s="1"/>
  <c r="BI135" i="148"/>
  <c r="BF135" i="149" s="1"/>
  <c r="CR135" i="148"/>
  <c r="CO135" i="149" s="1"/>
  <c r="BG135" i="148"/>
  <c r="BD135" i="149" s="1"/>
  <c r="CA135" i="148"/>
  <c r="BX135" i="149" s="1"/>
  <c r="CB135" i="148"/>
  <c r="BY135" i="149" s="1"/>
  <c r="CI135" i="148"/>
  <c r="CF135" i="149" s="1"/>
  <c r="BW135" i="148"/>
  <c r="BT135" i="149" s="1"/>
  <c r="CZ135" i="148"/>
  <c r="CW135" i="149" s="1"/>
  <c r="AY135" i="148"/>
  <c r="AV135" i="149" s="1"/>
  <c r="G135" i="148"/>
  <c r="AZ135" i="148"/>
  <c r="AW135" i="149" s="1"/>
  <c r="BU135" i="148"/>
  <c r="BR135" i="149" s="1"/>
  <c r="BO135" i="148"/>
  <c r="CE135" i="148"/>
  <c r="CB135" i="149" s="1"/>
  <c r="BA135" i="148"/>
  <c r="AX135" i="149" s="1"/>
  <c r="CS135" i="148"/>
  <c r="CP135" i="149" s="1"/>
  <c r="CP135" i="148"/>
  <c r="CM135" i="149" s="1"/>
  <c r="R135" i="148"/>
  <c r="E135" i="148"/>
  <c r="BV135" i="148"/>
  <c r="BS135" i="149" s="1"/>
  <c r="CD135" i="148"/>
  <c r="CA135" i="149" s="1"/>
  <c r="CN135" i="148"/>
  <c r="CK135" i="149" s="1"/>
  <c r="V135" i="148"/>
  <c r="D135" i="148"/>
  <c r="DA138" i="149"/>
  <c r="CZ138" i="149"/>
  <c r="CY138" i="149"/>
  <c r="DB138" i="149"/>
  <c r="BL138" i="149"/>
  <c r="Q119" i="148"/>
  <c r="AW119" i="148"/>
  <c r="AT119" i="149" s="1"/>
  <c r="BM119" i="148"/>
  <c r="BJ119" i="149" s="1"/>
  <c r="BP119" i="148"/>
  <c r="BM119" i="149" s="1"/>
  <c r="BR119" i="148"/>
  <c r="BO119" i="149" s="1"/>
  <c r="CC119" i="148"/>
  <c r="BZ119" i="149" s="1"/>
  <c r="CP119" i="148"/>
  <c r="CM119" i="149" s="1"/>
  <c r="BL119" i="148"/>
  <c r="BI119" i="149" s="1"/>
  <c r="CO119" i="148"/>
  <c r="CL119" i="149" s="1"/>
  <c r="CX119" i="148"/>
  <c r="CU119" i="149" s="1"/>
  <c r="AV119" i="148"/>
  <c r="AS119" i="149" s="1"/>
  <c r="BY119" i="148"/>
  <c r="BV119" i="149" s="1"/>
  <c r="BN119" i="148"/>
  <c r="BK119" i="149" s="1"/>
  <c r="BG119" i="148"/>
  <c r="BD119" i="149" s="1"/>
  <c r="BF119" i="148"/>
  <c r="BC119" i="149" s="1"/>
  <c r="CH119" i="148"/>
  <c r="CE119" i="149" s="1"/>
  <c r="BX119" i="148"/>
  <c r="BU119" i="149" s="1"/>
  <c r="BQ119" i="148"/>
  <c r="BN119" i="149" s="1"/>
  <c r="CM119" i="148"/>
  <c r="CJ119" i="149" s="1"/>
  <c r="CA119" i="148"/>
  <c r="BX119" i="149" s="1"/>
  <c r="CB119" i="148"/>
  <c r="BY119" i="149" s="1"/>
  <c r="BO119" i="148"/>
  <c r="CK119" i="148"/>
  <c r="CH119" i="149" s="1"/>
  <c r="DA119" i="148"/>
  <c r="CX119" i="149" s="1"/>
  <c r="CW119" i="148"/>
  <c r="CT119" i="149" s="1"/>
  <c r="CY119" i="148"/>
  <c r="CV119" i="149" s="1"/>
  <c r="F119" i="148"/>
  <c r="BI119" i="148"/>
  <c r="BF119" i="149" s="1"/>
  <c r="BS119" i="148"/>
  <c r="BP119" i="149" s="1"/>
  <c r="CJ119" i="148"/>
  <c r="CG119" i="149" s="1"/>
  <c r="V119" i="148"/>
  <c r="CS119" i="148"/>
  <c r="CP119" i="149" s="1"/>
  <c r="CF119" i="148"/>
  <c r="CC119" i="149" s="1"/>
  <c r="BC119" i="148"/>
  <c r="AZ119" i="149" s="1"/>
  <c r="AY119" i="148"/>
  <c r="AV119" i="149" s="1"/>
  <c r="G119" i="148"/>
  <c r="BT119" i="148"/>
  <c r="BQ119" i="149" s="1"/>
  <c r="E119" i="148"/>
  <c r="CL119" i="148"/>
  <c r="CI119" i="149" s="1"/>
  <c r="CV119" i="148"/>
  <c r="CS119" i="149" s="1"/>
  <c r="CU119" i="148"/>
  <c r="CR119" i="149" s="1"/>
  <c r="CD119" i="148"/>
  <c r="CA119" i="149" s="1"/>
  <c r="AX119" i="148"/>
  <c r="AU119" i="149" s="1"/>
  <c r="BV119" i="148"/>
  <c r="BS119" i="149" s="1"/>
  <c r="CT119" i="148"/>
  <c r="CQ119" i="149" s="1"/>
  <c r="CE119" i="148"/>
  <c r="CB119" i="149" s="1"/>
  <c r="R119" i="148"/>
  <c r="CN119" i="148"/>
  <c r="CK119" i="149" s="1"/>
  <c r="BJ119" i="148"/>
  <c r="BG119" i="149" s="1"/>
  <c r="I119" i="148"/>
  <c r="CR119" i="148"/>
  <c r="CO119" i="149" s="1"/>
  <c r="CG119" i="148"/>
  <c r="CD119" i="149" s="1"/>
  <c r="BK119" i="148"/>
  <c r="BH119" i="149" s="1"/>
  <c r="CQ119" i="148"/>
  <c r="CN119" i="149" s="1"/>
  <c r="BW119" i="148"/>
  <c r="BT119" i="149" s="1"/>
  <c r="BE119" i="148"/>
  <c r="BB119" i="149" s="1"/>
  <c r="BU119" i="148"/>
  <c r="BR119" i="149" s="1"/>
  <c r="CZ119" i="148"/>
  <c r="CW119" i="149" s="1"/>
  <c r="BB119" i="148"/>
  <c r="AY119" i="149" s="1"/>
  <c r="BA119" i="148"/>
  <c r="AX119" i="149" s="1"/>
  <c r="CI119" i="148"/>
  <c r="CF119" i="149" s="1"/>
  <c r="H119" i="148"/>
  <c r="BZ119" i="148"/>
  <c r="BW119" i="149" s="1"/>
  <c r="AZ119" i="148"/>
  <c r="AW119" i="149" s="1"/>
  <c r="BD119" i="148"/>
  <c r="BA119" i="149" s="1"/>
  <c r="BH119" i="148"/>
  <c r="D119" i="148"/>
  <c r="CZ137" i="149"/>
  <c r="CY137" i="149"/>
  <c r="DB137" i="149"/>
  <c r="DA137" i="149"/>
  <c r="BE137" i="149"/>
  <c r="BL137" i="149"/>
  <c r="Q23" i="148"/>
  <c r="F23" i="148"/>
  <c r="H23" i="148"/>
  <c r="CN23" i="148"/>
  <c r="CK23" i="149" s="1"/>
  <c r="R23" i="148"/>
  <c r="I23" i="148"/>
  <c r="V23" i="148"/>
  <c r="E23" i="148"/>
  <c r="CW23" i="148"/>
  <c r="CT23" i="149" s="1"/>
  <c r="CZ23" i="148"/>
  <c r="CW23" i="149" s="1"/>
  <c r="CM23" i="148"/>
  <c r="CJ23" i="149" s="1"/>
  <c r="CB23" i="148"/>
  <c r="BY23" i="149" s="1"/>
  <c r="BZ23" i="148"/>
  <c r="BW23" i="149" s="1"/>
  <c r="CG23" i="148"/>
  <c r="CD23" i="149" s="1"/>
  <c r="CL23" i="148"/>
  <c r="CI23" i="149" s="1"/>
  <c r="CE23" i="148"/>
  <c r="CB23" i="149" s="1"/>
  <c r="CQ23" i="148"/>
  <c r="CN23" i="149" s="1"/>
  <c r="CX23" i="148"/>
  <c r="CU23" i="149" s="1"/>
  <c r="CU23" i="148"/>
  <c r="CR23" i="149" s="1"/>
  <c r="CH23" i="148"/>
  <c r="CE23" i="149" s="1"/>
  <c r="CA23" i="148"/>
  <c r="BX23" i="149" s="1"/>
  <c r="CR23" i="148"/>
  <c r="CO23" i="149" s="1"/>
  <c r="CY23" i="148"/>
  <c r="CV23" i="149" s="1"/>
  <c r="G23" i="148"/>
  <c r="D23" i="148"/>
  <c r="CS23" i="148"/>
  <c r="CP23" i="149" s="1"/>
  <c r="BY23" i="148"/>
  <c r="BV23" i="149" s="1"/>
  <c r="CK23" i="148"/>
  <c r="CH23" i="149" s="1"/>
  <c r="CI23" i="148"/>
  <c r="CF23" i="149" s="1"/>
  <c r="CD23" i="148"/>
  <c r="CA23" i="149" s="1"/>
  <c r="CJ23" i="148"/>
  <c r="CG23" i="149" s="1"/>
  <c r="DA23" i="148"/>
  <c r="CX23" i="149" s="1"/>
  <c r="CV23" i="148"/>
  <c r="CS23" i="149" s="1"/>
  <c r="CP23" i="148"/>
  <c r="CM23" i="149" s="1"/>
  <c r="CO23" i="148"/>
  <c r="CL23" i="149" s="1"/>
  <c r="CF23" i="148"/>
  <c r="CC23" i="149" s="1"/>
  <c r="CC23" i="148"/>
  <c r="BZ23" i="149" s="1"/>
  <c r="CT23" i="148"/>
  <c r="CQ23" i="149" s="1"/>
  <c r="BX23" i="148"/>
  <c r="BU23" i="149" s="1"/>
  <c r="BE23" i="148"/>
  <c r="BB23" i="149" s="1"/>
  <c r="BN23" i="148"/>
  <c r="BK23" i="149" s="1"/>
  <c r="BM23" i="148"/>
  <c r="BJ23" i="149" s="1"/>
  <c r="BI23" i="148"/>
  <c r="BF23" i="149" s="1"/>
  <c r="BB23" i="148"/>
  <c r="AY23" i="149" s="1"/>
  <c r="BG23" i="148"/>
  <c r="BD23" i="149" s="1"/>
  <c r="BL23" i="148"/>
  <c r="BI23" i="149" s="1"/>
  <c r="BK23" i="148"/>
  <c r="BH23" i="149" s="1"/>
  <c r="BR23" i="148"/>
  <c r="BO23" i="149" s="1"/>
  <c r="BJ23" i="148"/>
  <c r="BG23" i="149" s="1"/>
  <c r="BC23" i="148"/>
  <c r="AZ23" i="149" s="1"/>
  <c r="BP23" i="148"/>
  <c r="BM23" i="149" s="1"/>
  <c r="BW23" i="148"/>
  <c r="BT23" i="149" s="1"/>
  <c r="AV23" i="148"/>
  <c r="AS23" i="149" s="1"/>
  <c r="BU23" i="148"/>
  <c r="BR23" i="149" s="1"/>
  <c r="BT23" i="148"/>
  <c r="BQ23" i="149" s="1"/>
  <c r="BH23" i="148"/>
  <c r="AY23" i="148"/>
  <c r="AV23" i="149" s="1"/>
  <c r="BV23" i="148"/>
  <c r="BS23" i="149" s="1"/>
  <c r="BO23" i="148"/>
  <c r="BF23" i="148"/>
  <c r="BC23" i="149" s="1"/>
  <c r="AW23" i="148"/>
  <c r="AT23" i="149" s="1"/>
  <c r="BA23" i="148"/>
  <c r="AX23" i="149" s="1"/>
  <c r="BQ23" i="148"/>
  <c r="BN23" i="149" s="1"/>
  <c r="AX23" i="148"/>
  <c r="AU23" i="149" s="1"/>
  <c r="BS23" i="148"/>
  <c r="BP23" i="149" s="1"/>
  <c r="BD23" i="148"/>
  <c r="BA23" i="149" s="1"/>
  <c r="AZ23" i="148"/>
  <c r="AW23" i="149" s="1"/>
  <c r="Q114" i="148"/>
  <c r="DA114" i="148"/>
  <c r="CX114" i="149" s="1"/>
  <c r="CH114" i="148"/>
  <c r="CE114" i="149" s="1"/>
  <c r="E114" i="148"/>
  <c r="V114" i="148"/>
  <c r="AZ114" i="148"/>
  <c r="AW114" i="149" s="1"/>
  <c r="CY114" i="148"/>
  <c r="CV114" i="149" s="1"/>
  <c r="AX114" i="148"/>
  <c r="AU114" i="149" s="1"/>
  <c r="BL114" i="148"/>
  <c r="BI114" i="149" s="1"/>
  <c r="BX114" i="148"/>
  <c r="BU114" i="149" s="1"/>
  <c r="CA114" i="148"/>
  <c r="BX114" i="149" s="1"/>
  <c r="BQ114" i="148"/>
  <c r="BN114" i="149" s="1"/>
  <c r="AV114" i="148"/>
  <c r="AS114" i="149" s="1"/>
  <c r="BN114" i="148"/>
  <c r="BK114" i="149" s="1"/>
  <c r="CM114" i="148"/>
  <c r="CJ114" i="149" s="1"/>
  <c r="H114" i="148"/>
  <c r="BO114" i="148"/>
  <c r="CZ114" i="148"/>
  <c r="CW114" i="149" s="1"/>
  <c r="CD114" i="148"/>
  <c r="CA114" i="149" s="1"/>
  <c r="R114" i="148"/>
  <c r="CV114" i="148"/>
  <c r="CS114" i="149" s="1"/>
  <c r="CO114" i="148"/>
  <c r="CL114" i="149" s="1"/>
  <c r="BM114" i="148"/>
  <c r="BJ114" i="149" s="1"/>
  <c r="CL114" i="148"/>
  <c r="CI114" i="149" s="1"/>
  <c r="CE114" i="148"/>
  <c r="CB114" i="149" s="1"/>
  <c r="BE114" i="148"/>
  <c r="BB114" i="149" s="1"/>
  <c r="CN114" i="148"/>
  <c r="CK114" i="149" s="1"/>
  <c r="BH114" i="148"/>
  <c r="BL114" i="149" s="1"/>
  <c r="CF114" i="148"/>
  <c r="CC114" i="149" s="1"/>
  <c r="BI114" i="148"/>
  <c r="BF114" i="149" s="1"/>
  <c r="BW114" i="148"/>
  <c r="BT114" i="149" s="1"/>
  <c r="CQ114" i="148"/>
  <c r="CN114" i="149" s="1"/>
  <c r="BG114" i="148"/>
  <c r="BD114" i="149" s="1"/>
  <c r="AY114" i="148"/>
  <c r="AV114" i="149" s="1"/>
  <c r="CW114" i="148"/>
  <c r="CT114" i="149" s="1"/>
  <c r="BB114" i="148"/>
  <c r="AY114" i="149" s="1"/>
  <c r="CT114" i="148"/>
  <c r="CQ114" i="149" s="1"/>
  <c r="BF114" i="148"/>
  <c r="BC114" i="149" s="1"/>
  <c r="CU114" i="148"/>
  <c r="CR114" i="149" s="1"/>
  <c r="BY114" i="148"/>
  <c r="BV114" i="149" s="1"/>
  <c r="G114" i="148"/>
  <c r="CJ114" i="148"/>
  <c r="CG114" i="149" s="1"/>
  <c r="F114" i="148"/>
  <c r="CB114" i="148"/>
  <c r="BY114" i="149" s="1"/>
  <c r="CS114" i="148"/>
  <c r="CP114" i="149" s="1"/>
  <c r="CK114" i="148"/>
  <c r="CH114" i="149" s="1"/>
  <c r="BD114" i="148"/>
  <c r="BA114" i="149" s="1"/>
  <c r="CI114" i="148"/>
  <c r="CF114" i="149" s="1"/>
  <c r="AW114" i="148"/>
  <c r="AT114" i="149" s="1"/>
  <c r="BT114" i="148"/>
  <c r="BQ114" i="149" s="1"/>
  <c r="CG114" i="148"/>
  <c r="CD114" i="149" s="1"/>
  <c r="BK114" i="148"/>
  <c r="BH114" i="149" s="1"/>
  <c r="BJ114" i="148"/>
  <c r="BG114" i="149" s="1"/>
  <c r="CP114" i="148"/>
  <c r="CM114" i="149" s="1"/>
  <c r="BR114" i="148"/>
  <c r="BO114" i="149" s="1"/>
  <c r="CX114" i="148"/>
  <c r="CU114" i="149" s="1"/>
  <c r="CC114" i="148"/>
  <c r="BZ114" i="149" s="1"/>
  <c r="CR114" i="148"/>
  <c r="CO114" i="149" s="1"/>
  <c r="BV114" i="148"/>
  <c r="BS114" i="149" s="1"/>
  <c r="I114" i="148"/>
  <c r="BZ114" i="148"/>
  <c r="BW114" i="149" s="1"/>
  <c r="BU114" i="148"/>
  <c r="BR114" i="149" s="1"/>
  <c r="BA114" i="148"/>
  <c r="AX114" i="149" s="1"/>
  <c r="BS114" i="148"/>
  <c r="BP114" i="149" s="1"/>
  <c r="BC114" i="148"/>
  <c r="AZ114" i="149" s="1"/>
  <c r="BP114" i="148"/>
  <c r="BM114" i="149" s="1"/>
  <c r="D114" i="148"/>
  <c r="CY155" i="149"/>
  <c r="DA155" i="149"/>
  <c r="CZ155" i="149"/>
  <c r="DB155" i="149"/>
  <c r="BE155" i="149"/>
  <c r="BL155" i="149"/>
  <c r="Q97" i="148"/>
  <c r="BV97" i="148"/>
  <c r="BS97" i="149" s="1"/>
  <c r="CW97" i="148"/>
  <c r="CT97" i="149" s="1"/>
  <c r="BN97" i="148"/>
  <c r="BK97" i="149" s="1"/>
  <c r="CM97" i="148"/>
  <c r="CJ97" i="149" s="1"/>
  <c r="BA97" i="148"/>
  <c r="AX97" i="149" s="1"/>
  <c r="BO97" i="148"/>
  <c r="I97" i="148"/>
  <c r="E97" i="148"/>
  <c r="BM97" i="148"/>
  <c r="BJ97" i="149" s="1"/>
  <c r="CT97" i="148"/>
  <c r="CQ97" i="149" s="1"/>
  <c r="CZ97" i="148"/>
  <c r="CW97" i="149" s="1"/>
  <c r="CQ97" i="148"/>
  <c r="CN97" i="149" s="1"/>
  <c r="AY97" i="148"/>
  <c r="AV97" i="149" s="1"/>
  <c r="R97" i="148"/>
  <c r="BI97" i="148"/>
  <c r="BF97" i="149" s="1"/>
  <c r="CS97" i="148"/>
  <c r="CP97" i="149" s="1"/>
  <c r="G97" i="148"/>
  <c r="BG97" i="148"/>
  <c r="BD97" i="149" s="1"/>
  <c r="CN97" i="148"/>
  <c r="CK97" i="149" s="1"/>
  <c r="CD97" i="148"/>
  <c r="CA97" i="149" s="1"/>
  <c r="BW97" i="148"/>
  <c r="BT97" i="149" s="1"/>
  <c r="BL97" i="148"/>
  <c r="BI97" i="149" s="1"/>
  <c r="CR97" i="148"/>
  <c r="CO97" i="149" s="1"/>
  <c r="CL97" i="148"/>
  <c r="CI97" i="149" s="1"/>
  <c r="BB97" i="148"/>
  <c r="AY97" i="149" s="1"/>
  <c r="BU97" i="148"/>
  <c r="BR97" i="149" s="1"/>
  <c r="CU97" i="148"/>
  <c r="CR97" i="149" s="1"/>
  <c r="BS97" i="148"/>
  <c r="BP97" i="149" s="1"/>
  <c r="AW97" i="148"/>
  <c r="AT97" i="149" s="1"/>
  <c r="CX97" i="148"/>
  <c r="CU97" i="149" s="1"/>
  <c r="BK97" i="148"/>
  <c r="BH97" i="149" s="1"/>
  <c r="H97" i="148"/>
  <c r="DA97" i="148"/>
  <c r="CX97" i="149" s="1"/>
  <c r="CE97" i="148"/>
  <c r="CB97" i="149" s="1"/>
  <c r="CH97" i="148"/>
  <c r="CE97" i="149" s="1"/>
  <c r="CF97" i="148"/>
  <c r="CC97" i="149" s="1"/>
  <c r="AZ97" i="148"/>
  <c r="AW97" i="149" s="1"/>
  <c r="CV97" i="148"/>
  <c r="CS97" i="149" s="1"/>
  <c r="CI97" i="148"/>
  <c r="CF97" i="149" s="1"/>
  <c r="BX97" i="148"/>
  <c r="BU97" i="149" s="1"/>
  <c r="BJ97" i="148"/>
  <c r="BG97" i="149" s="1"/>
  <c r="BE97" i="148"/>
  <c r="BB97" i="149" s="1"/>
  <c r="BY97" i="148"/>
  <c r="BV97" i="149" s="1"/>
  <c r="BD97" i="148"/>
  <c r="BA97" i="149" s="1"/>
  <c r="BH97" i="148"/>
  <c r="BC97" i="148"/>
  <c r="AZ97" i="149" s="1"/>
  <c r="CG97" i="148"/>
  <c r="CD97" i="149" s="1"/>
  <c r="BQ97" i="148"/>
  <c r="BN97" i="149" s="1"/>
  <c r="BZ97" i="148"/>
  <c r="BW97" i="149" s="1"/>
  <c r="BT97" i="148"/>
  <c r="BQ97" i="149" s="1"/>
  <c r="AX97" i="148"/>
  <c r="AU97" i="149" s="1"/>
  <c r="CO97" i="148"/>
  <c r="CL97" i="149" s="1"/>
  <c r="V97" i="148"/>
  <c r="CA97" i="148"/>
  <c r="BX97" i="149" s="1"/>
  <c r="AV97" i="148"/>
  <c r="AS97" i="149" s="1"/>
  <c r="CJ97" i="148"/>
  <c r="CG97" i="149" s="1"/>
  <c r="CB97" i="148"/>
  <c r="BY97" i="149" s="1"/>
  <c r="CY97" i="148"/>
  <c r="CV97" i="149" s="1"/>
  <c r="CK97" i="148"/>
  <c r="CH97" i="149" s="1"/>
  <c r="BF97" i="148"/>
  <c r="BC97" i="149" s="1"/>
  <c r="CC97" i="148"/>
  <c r="BZ97" i="149" s="1"/>
  <c r="CP97" i="148"/>
  <c r="CM97" i="149" s="1"/>
  <c r="BR97" i="148"/>
  <c r="BO97" i="149" s="1"/>
  <c r="F97" i="148"/>
  <c r="BP97" i="148"/>
  <c r="BM97" i="149" s="1"/>
  <c r="D97" i="148"/>
  <c r="Q127" i="148"/>
  <c r="CB127" i="148"/>
  <c r="BY127" i="149" s="1"/>
  <c r="CV127" i="148"/>
  <c r="CS127" i="149" s="1"/>
  <c r="CC127" i="148"/>
  <c r="BZ127" i="149" s="1"/>
  <c r="BX127" i="148"/>
  <c r="BU127" i="149" s="1"/>
  <c r="R127" i="148"/>
  <c r="V127" i="148"/>
  <c r="CN127" i="148"/>
  <c r="CK127" i="149" s="1"/>
  <c r="CH127" i="148"/>
  <c r="CE127" i="149" s="1"/>
  <c r="CA127" i="148"/>
  <c r="BX127" i="149" s="1"/>
  <c r="CX127" i="148"/>
  <c r="CU127" i="149" s="1"/>
  <c r="BY127" i="148"/>
  <c r="BV127" i="149" s="1"/>
  <c r="CI127" i="148"/>
  <c r="CF127" i="149" s="1"/>
  <c r="BZ127" i="148"/>
  <c r="BW127" i="149" s="1"/>
  <c r="CG127" i="148"/>
  <c r="CD127" i="149" s="1"/>
  <c r="CO127" i="148"/>
  <c r="CL127" i="149" s="1"/>
  <c r="DA127" i="148"/>
  <c r="CX127" i="149" s="1"/>
  <c r="CM127" i="148"/>
  <c r="CJ127" i="149" s="1"/>
  <c r="CE127" i="148"/>
  <c r="CB127" i="149" s="1"/>
  <c r="CJ127" i="148"/>
  <c r="CG127" i="149" s="1"/>
  <c r="CQ127" i="148"/>
  <c r="CN127" i="149" s="1"/>
  <c r="E127" i="148"/>
  <c r="CL127" i="148"/>
  <c r="CI127" i="149" s="1"/>
  <c r="H127" i="148"/>
  <c r="CR127" i="148"/>
  <c r="CO127" i="149" s="1"/>
  <c r="CD127" i="148"/>
  <c r="CA127" i="149" s="1"/>
  <c r="G127" i="148"/>
  <c r="F127" i="148"/>
  <c r="CT127" i="148"/>
  <c r="CQ127" i="149" s="1"/>
  <c r="CK127" i="148"/>
  <c r="CH127" i="149" s="1"/>
  <c r="CZ127" i="148"/>
  <c r="CW127" i="149" s="1"/>
  <c r="CW127" i="148"/>
  <c r="CT127" i="149" s="1"/>
  <c r="CP127" i="148"/>
  <c r="CM127" i="149" s="1"/>
  <c r="CS127" i="148"/>
  <c r="CP127" i="149" s="1"/>
  <c r="CF127" i="148"/>
  <c r="CC127" i="149" s="1"/>
  <c r="CU127" i="148"/>
  <c r="CR127" i="149" s="1"/>
  <c r="I127" i="148"/>
  <c r="CY127" i="148"/>
  <c r="CV127" i="149" s="1"/>
  <c r="D127" i="148"/>
  <c r="BF127" i="148"/>
  <c r="BC127" i="149" s="1"/>
  <c r="BA127" i="148"/>
  <c r="AX127" i="149" s="1"/>
  <c r="BH127" i="148"/>
  <c r="BO127" i="148"/>
  <c r="AZ127" i="148"/>
  <c r="AW127" i="149" s="1"/>
  <c r="AY127" i="148"/>
  <c r="AV127" i="149" s="1"/>
  <c r="BW127" i="148"/>
  <c r="BT127" i="149" s="1"/>
  <c r="BD127" i="148"/>
  <c r="BA127" i="149" s="1"/>
  <c r="BQ127" i="148"/>
  <c r="BN127" i="149" s="1"/>
  <c r="BB127" i="148"/>
  <c r="AY127" i="149" s="1"/>
  <c r="AW127" i="148"/>
  <c r="AT127" i="149" s="1"/>
  <c r="BN127" i="148"/>
  <c r="BK127" i="149" s="1"/>
  <c r="AX127" i="148"/>
  <c r="AU127" i="149" s="1"/>
  <c r="BE127" i="148"/>
  <c r="BB127" i="149" s="1"/>
  <c r="AV127" i="148"/>
  <c r="AS127" i="149" s="1"/>
  <c r="BT127" i="148"/>
  <c r="BQ127" i="149" s="1"/>
  <c r="BR127" i="148"/>
  <c r="BO127" i="149" s="1"/>
  <c r="BS127" i="148"/>
  <c r="BP127" i="149" s="1"/>
  <c r="BI127" i="148"/>
  <c r="BF127" i="149" s="1"/>
  <c r="BC127" i="148"/>
  <c r="AZ127" i="149" s="1"/>
  <c r="BM127" i="148"/>
  <c r="BJ127" i="149" s="1"/>
  <c r="BU127" i="148"/>
  <c r="BR127" i="149" s="1"/>
  <c r="BG127" i="148"/>
  <c r="BD127" i="149" s="1"/>
  <c r="BP127" i="148"/>
  <c r="BM127" i="149" s="1"/>
  <c r="BV127" i="148"/>
  <c r="BS127" i="149" s="1"/>
  <c r="BK127" i="148"/>
  <c r="BH127" i="149" s="1"/>
  <c r="BL127" i="148"/>
  <c r="BI127" i="149" s="1"/>
  <c r="BJ127" i="148"/>
  <c r="BG127" i="149" s="1"/>
  <c r="E65" i="148"/>
  <c r="F65" i="148"/>
  <c r="Q65" i="148"/>
  <c r="G65" i="148"/>
  <c r="H65" i="148"/>
  <c r="R65" i="148"/>
  <c r="I65" i="148"/>
  <c r="V65" i="148"/>
  <c r="D65" i="148"/>
  <c r="CA65" i="148"/>
  <c r="BX65" i="149" s="1"/>
  <c r="CZ65" i="148"/>
  <c r="CW65" i="149" s="1"/>
  <c r="BX65" i="148"/>
  <c r="BU65" i="149" s="1"/>
  <c r="CN65" i="148"/>
  <c r="CK65" i="149" s="1"/>
  <c r="CF65" i="148"/>
  <c r="CC65" i="149" s="1"/>
  <c r="DA65" i="148"/>
  <c r="CX65" i="149" s="1"/>
  <c r="BG65" i="148"/>
  <c r="BD65" i="149" s="1"/>
  <c r="AZ65" i="148"/>
  <c r="AW65" i="149" s="1"/>
  <c r="BS65" i="148"/>
  <c r="BP65" i="149" s="1"/>
  <c r="BB65" i="148"/>
  <c r="AY65" i="149" s="1"/>
  <c r="CE65" i="148"/>
  <c r="CB65" i="149" s="1"/>
  <c r="CM65" i="148"/>
  <c r="CJ65" i="149" s="1"/>
  <c r="CT65" i="148"/>
  <c r="CQ65" i="149" s="1"/>
  <c r="BE65" i="148"/>
  <c r="BB65" i="149" s="1"/>
  <c r="BN65" i="148"/>
  <c r="BK65" i="149" s="1"/>
  <c r="BO65" i="148"/>
  <c r="CU65" i="148"/>
  <c r="CR65" i="149" s="1"/>
  <c r="CJ65" i="148"/>
  <c r="CG65" i="149" s="1"/>
  <c r="CC65" i="148"/>
  <c r="BZ65" i="149" s="1"/>
  <c r="BC65" i="148"/>
  <c r="AZ65" i="149" s="1"/>
  <c r="BJ65" i="148"/>
  <c r="BG65" i="149" s="1"/>
  <c r="BI65" i="148"/>
  <c r="BF65" i="149" s="1"/>
  <c r="BR65" i="148"/>
  <c r="BO65" i="149" s="1"/>
  <c r="CX65" i="148"/>
  <c r="CU65" i="149" s="1"/>
  <c r="CR65" i="148"/>
  <c r="CO65" i="149" s="1"/>
  <c r="CG65" i="148"/>
  <c r="CD65" i="149" s="1"/>
  <c r="CQ65" i="148"/>
  <c r="CN65" i="149" s="1"/>
  <c r="BF65" i="148"/>
  <c r="BC65" i="149" s="1"/>
  <c r="CH65" i="148"/>
  <c r="CE65" i="149" s="1"/>
  <c r="CY65" i="148"/>
  <c r="CV65" i="149" s="1"/>
  <c r="CK65" i="148"/>
  <c r="CH65" i="149" s="1"/>
  <c r="BV65" i="148"/>
  <c r="BS65" i="149" s="1"/>
  <c r="BL65" i="148"/>
  <c r="BI65" i="149" s="1"/>
  <c r="BY65" i="148"/>
  <c r="BV65" i="149" s="1"/>
  <c r="CI65" i="148"/>
  <c r="CF65" i="149" s="1"/>
  <c r="CW65" i="148"/>
  <c r="CT65" i="149" s="1"/>
  <c r="CV65" i="148"/>
  <c r="CS65" i="149" s="1"/>
  <c r="CD65" i="148"/>
  <c r="CA65" i="149" s="1"/>
  <c r="BT65" i="148"/>
  <c r="BQ65" i="149" s="1"/>
  <c r="CS65" i="148"/>
  <c r="CP65" i="149" s="1"/>
  <c r="CB65" i="148"/>
  <c r="BY65" i="149" s="1"/>
  <c r="BA65" i="148"/>
  <c r="AX65" i="149" s="1"/>
  <c r="BZ65" i="148"/>
  <c r="BW65" i="149" s="1"/>
  <c r="BP65" i="148"/>
  <c r="BM65" i="149" s="1"/>
  <c r="CP65" i="148"/>
  <c r="CM65" i="149" s="1"/>
  <c r="BQ65" i="148"/>
  <c r="BN65" i="149" s="1"/>
  <c r="AV65" i="148"/>
  <c r="AS65" i="149" s="1"/>
  <c r="AX65" i="148"/>
  <c r="AU65" i="149" s="1"/>
  <c r="CO65" i="148"/>
  <c r="CL65" i="149" s="1"/>
  <c r="BK65" i="148"/>
  <c r="BH65" i="149" s="1"/>
  <c r="CL65" i="148"/>
  <c r="CI65" i="149" s="1"/>
  <c r="BH65" i="148"/>
  <c r="BM65" i="148"/>
  <c r="BJ65" i="149" s="1"/>
  <c r="AY65" i="148"/>
  <c r="AV65" i="149" s="1"/>
  <c r="CZ27" i="149"/>
  <c r="DB27" i="149"/>
  <c r="DA27" i="149"/>
  <c r="BL27" i="149"/>
  <c r="CY111" i="149"/>
  <c r="DA111" i="149"/>
  <c r="DB111" i="149"/>
  <c r="CZ111" i="149"/>
  <c r="BL111" i="149"/>
  <c r="Q151" i="148"/>
  <c r="CG151" i="148"/>
  <c r="CD151" i="149" s="1"/>
  <c r="CM151" i="148"/>
  <c r="CJ151" i="149" s="1"/>
  <c r="BR151" i="148"/>
  <c r="BO151" i="149" s="1"/>
  <c r="BW151" i="148"/>
  <c r="BT151" i="149" s="1"/>
  <c r="H151" i="148"/>
  <c r="CL151" i="148"/>
  <c r="CI151" i="149" s="1"/>
  <c r="BP151" i="148"/>
  <c r="BM151" i="149" s="1"/>
  <c r="BV151" i="148"/>
  <c r="BS151" i="149" s="1"/>
  <c r="R151" i="148"/>
  <c r="CP151" i="148"/>
  <c r="CM151" i="149" s="1"/>
  <c r="BT151" i="148"/>
  <c r="BQ151" i="149" s="1"/>
  <c r="BZ151" i="148"/>
  <c r="BW151" i="149" s="1"/>
  <c r="BE151" i="148"/>
  <c r="BB151" i="149" s="1"/>
  <c r="CT151" i="148"/>
  <c r="CQ151" i="149" s="1"/>
  <c r="BX151" i="148"/>
  <c r="BU151" i="149" s="1"/>
  <c r="CD151" i="148"/>
  <c r="CA151" i="149" s="1"/>
  <c r="BD151" i="148"/>
  <c r="BA151" i="149" s="1"/>
  <c r="CS151" i="148"/>
  <c r="CP151" i="149" s="1"/>
  <c r="CC151" i="148"/>
  <c r="BZ151" i="149" s="1"/>
  <c r="CW151" i="148"/>
  <c r="CT151" i="149" s="1"/>
  <c r="AY151" i="148"/>
  <c r="AV151" i="149" s="1"/>
  <c r="BS151" i="148"/>
  <c r="BP151" i="149" s="1"/>
  <c r="CO151" i="148"/>
  <c r="CL151" i="149" s="1"/>
  <c r="I151" i="148"/>
  <c r="BF151" i="148"/>
  <c r="BC151" i="149" s="1"/>
  <c r="CB151" i="148"/>
  <c r="BY151" i="149" s="1"/>
  <c r="AW151" i="148"/>
  <c r="AT151" i="149" s="1"/>
  <c r="BU151" i="148"/>
  <c r="BR151" i="149" s="1"/>
  <c r="G151" i="148"/>
  <c r="CH151" i="148"/>
  <c r="CE151" i="149" s="1"/>
  <c r="CA151" i="148"/>
  <c r="BX151" i="149" s="1"/>
  <c r="AV151" i="148"/>
  <c r="AS151" i="149" s="1"/>
  <c r="CR151" i="148"/>
  <c r="CO151" i="149" s="1"/>
  <c r="BY151" i="148"/>
  <c r="BV151" i="149" s="1"/>
  <c r="CF151" i="148"/>
  <c r="CC151" i="149" s="1"/>
  <c r="CE151" i="148"/>
  <c r="CB151" i="149" s="1"/>
  <c r="BG151" i="148"/>
  <c r="BD151" i="149" s="1"/>
  <c r="CQ151" i="148"/>
  <c r="CN151" i="149" s="1"/>
  <c r="CX151" i="148"/>
  <c r="CU151" i="149" s="1"/>
  <c r="CJ151" i="148"/>
  <c r="CG151" i="149" s="1"/>
  <c r="CI151" i="148"/>
  <c r="CF151" i="149" s="1"/>
  <c r="CK151" i="148"/>
  <c r="CH151" i="149" s="1"/>
  <c r="CU151" i="148"/>
  <c r="CR151" i="149" s="1"/>
  <c r="CV151" i="148"/>
  <c r="CS151" i="149" s="1"/>
  <c r="CN151" i="148"/>
  <c r="CK151" i="149" s="1"/>
  <c r="DA151" i="148"/>
  <c r="CX151" i="149" s="1"/>
  <c r="V151" i="148"/>
  <c r="CY151" i="148"/>
  <c r="CV151" i="149" s="1"/>
  <c r="CZ151" i="148"/>
  <c r="CW151" i="149" s="1"/>
  <c r="E151" i="148"/>
  <c r="F151" i="148"/>
  <c r="BQ151" i="148"/>
  <c r="BN151" i="149" s="1"/>
  <c r="AX151" i="148"/>
  <c r="AU151" i="149" s="1"/>
  <c r="BL151" i="148"/>
  <c r="BI151" i="149" s="1"/>
  <c r="BA151" i="148"/>
  <c r="AX151" i="149" s="1"/>
  <c r="BO151" i="148"/>
  <c r="BJ151" i="148"/>
  <c r="BG151" i="149" s="1"/>
  <c r="BC151" i="148"/>
  <c r="AZ151" i="149" s="1"/>
  <c r="BM151" i="148"/>
  <c r="BJ151" i="149" s="1"/>
  <c r="BH151" i="148"/>
  <c r="AZ151" i="148"/>
  <c r="AW151" i="149" s="1"/>
  <c r="BN151" i="148"/>
  <c r="BK151" i="149" s="1"/>
  <c r="BB151" i="148"/>
  <c r="AY151" i="149" s="1"/>
  <c r="BI151" i="148"/>
  <c r="BF151" i="149" s="1"/>
  <c r="BK151" i="148"/>
  <c r="BH151" i="149" s="1"/>
  <c r="D151" i="148"/>
  <c r="Q21" i="148"/>
  <c r="G21" i="148"/>
  <c r="BZ21" i="148"/>
  <c r="BW21" i="149" s="1"/>
  <c r="CT21" i="148"/>
  <c r="CQ21" i="149" s="1"/>
  <c r="BT21" i="148"/>
  <c r="BQ21" i="149" s="1"/>
  <c r="CR21" i="148"/>
  <c r="CO21" i="149" s="1"/>
  <c r="CQ21" i="148"/>
  <c r="CN21" i="149" s="1"/>
  <c r="CC21" i="148"/>
  <c r="BZ21" i="149" s="1"/>
  <c r="BS21" i="148"/>
  <c r="BP21" i="149" s="1"/>
  <c r="CL21" i="148"/>
  <c r="CI21" i="149" s="1"/>
  <c r="CY21" i="148"/>
  <c r="CV21" i="149" s="1"/>
  <c r="CS21" i="148"/>
  <c r="CP21" i="149" s="1"/>
  <c r="BE21" i="148"/>
  <c r="BB21" i="149" s="1"/>
  <c r="I21" i="148"/>
  <c r="CD21" i="148"/>
  <c r="CA21" i="149" s="1"/>
  <c r="CO21" i="148"/>
  <c r="CL21" i="149" s="1"/>
  <c r="BW21" i="148"/>
  <c r="BT21" i="149" s="1"/>
  <c r="CM21" i="148"/>
  <c r="CJ21" i="149" s="1"/>
  <c r="H21" i="148"/>
  <c r="CW21" i="148"/>
  <c r="CT21" i="149" s="1"/>
  <c r="BX21" i="148"/>
  <c r="BU21" i="149" s="1"/>
  <c r="AW21" i="148"/>
  <c r="AT21" i="149" s="1"/>
  <c r="CG21" i="148"/>
  <c r="CD21" i="149" s="1"/>
  <c r="R21" i="148"/>
  <c r="CH21" i="148"/>
  <c r="CE21" i="149" s="1"/>
  <c r="CA21" i="148"/>
  <c r="BX21" i="149" s="1"/>
  <c r="BF21" i="148"/>
  <c r="BC21" i="149" s="1"/>
  <c r="DA21" i="148"/>
  <c r="CX21" i="149" s="1"/>
  <c r="V21" i="148"/>
  <c r="CB21" i="148"/>
  <c r="BY21" i="149" s="1"/>
  <c r="CV21" i="148"/>
  <c r="CS21" i="149" s="1"/>
  <c r="BG21" i="148"/>
  <c r="BD21" i="149" s="1"/>
  <c r="E21" i="148"/>
  <c r="CU21" i="148"/>
  <c r="CR21" i="149" s="1"/>
  <c r="CZ21" i="148"/>
  <c r="CW21" i="149" s="1"/>
  <c r="BP21" i="148"/>
  <c r="BM21" i="149" s="1"/>
  <c r="CN21" i="148"/>
  <c r="CK21" i="149" s="1"/>
  <c r="CF21" i="148"/>
  <c r="CC21" i="149" s="1"/>
  <c r="CP21" i="148"/>
  <c r="CM21" i="149" s="1"/>
  <c r="AY21" i="148"/>
  <c r="AV21" i="149" s="1"/>
  <c r="BY21" i="148"/>
  <c r="BV21" i="149" s="1"/>
  <c r="CJ21" i="148"/>
  <c r="CG21" i="149" s="1"/>
  <c r="CI21" i="148"/>
  <c r="CF21" i="149" s="1"/>
  <c r="BU21" i="148"/>
  <c r="BR21" i="149" s="1"/>
  <c r="CX21" i="148"/>
  <c r="CU21" i="149" s="1"/>
  <c r="CK21" i="148"/>
  <c r="CH21" i="149" s="1"/>
  <c r="CE21" i="148"/>
  <c r="CB21" i="149" s="1"/>
  <c r="BD21" i="148"/>
  <c r="BA21" i="149" s="1"/>
  <c r="BQ21" i="148"/>
  <c r="BN21" i="149" s="1"/>
  <c r="AX21" i="148"/>
  <c r="AU21" i="149" s="1"/>
  <c r="BC21" i="148"/>
  <c r="AZ21" i="149" s="1"/>
  <c r="BM21" i="148"/>
  <c r="BJ21" i="149" s="1"/>
  <c r="BA21" i="148"/>
  <c r="AX21" i="149" s="1"/>
  <c r="AZ21" i="148"/>
  <c r="AW21" i="149" s="1"/>
  <c r="BI21" i="148"/>
  <c r="BF21" i="149" s="1"/>
  <c r="BJ21" i="148"/>
  <c r="BG21" i="149" s="1"/>
  <c r="BH21" i="148"/>
  <c r="BE21" i="149" s="1"/>
  <c r="BL21" i="148"/>
  <c r="BI21" i="149" s="1"/>
  <c r="BR21" i="148"/>
  <c r="BO21" i="149" s="1"/>
  <c r="BN21" i="148"/>
  <c r="BK21" i="149" s="1"/>
  <c r="AV21" i="148"/>
  <c r="AS21" i="149" s="1"/>
  <c r="BV21" i="148"/>
  <c r="BS21" i="149" s="1"/>
  <c r="BB21" i="148"/>
  <c r="AY21" i="149" s="1"/>
  <c r="BK21" i="148"/>
  <c r="BH21" i="149" s="1"/>
  <c r="BO21" i="148"/>
  <c r="Q26" i="148"/>
  <c r="CL26" i="148"/>
  <c r="CI26" i="149" s="1"/>
  <c r="G26" i="148"/>
  <c r="CC26" i="148"/>
  <c r="BZ26" i="149" s="1"/>
  <c r="BR26" i="148"/>
  <c r="BO26" i="149" s="1"/>
  <c r="BZ26" i="148"/>
  <c r="BW26" i="149" s="1"/>
  <c r="CY26" i="148"/>
  <c r="CV26" i="149" s="1"/>
  <c r="CE26" i="148"/>
  <c r="CB26" i="149" s="1"/>
  <c r="AY26" i="148"/>
  <c r="AV26" i="149" s="1"/>
  <c r="CO26" i="148"/>
  <c r="CL26" i="149" s="1"/>
  <c r="DA26" i="148"/>
  <c r="CX26" i="149" s="1"/>
  <c r="CS26" i="148"/>
  <c r="CP26" i="149" s="1"/>
  <c r="AW26" i="148"/>
  <c r="AT26" i="149" s="1"/>
  <c r="CD26" i="148"/>
  <c r="CA26" i="149" s="1"/>
  <c r="CQ26" i="148"/>
  <c r="CN26" i="149" s="1"/>
  <c r="CZ26" i="148"/>
  <c r="CW26" i="149" s="1"/>
  <c r="BF26" i="148"/>
  <c r="BC26" i="149" s="1"/>
  <c r="CM26" i="148"/>
  <c r="CJ26" i="149" s="1"/>
  <c r="CV26" i="148"/>
  <c r="CS26" i="149" s="1"/>
  <c r="CW26" i="148"/>
  <c r="CT26" i="149" s="1"/>
  <c r="AX26" i="148"/>
  <c r="AU26" i="149" s="1"/>
  <c r="CX26" i="148"/>
  <c r="CU26" i="149" s="1"/>
  <c r="CI26" i="148"/>
  <c r="CF26" i="149" s="1"/>
  <c r="CP26" i="148"/>
  <c r="CM26" i="149" s="1"/>
  <c r="CK26" i="148"/>
  <c r="CH26" i="149" s="1"/>
  <c r="BS26" i="148"/>
  <c r="BP26" i="149" s="1"/>
  <c r="BY26" i="148"/>
  <c r="BV26" i="149" s="1"/>
  <c r="I26" i="148"/>
  <c r="CR26" i="148"/>
  <c r="CO26" i="149" s="1"/>
  <c r="CU26" i="148"/>
  <c r="CR26" i="149" s="1"/>
  <c r="CH26" i="148"/>
  <c r="CE26" i="149" s="1"/>
  <c r="BW26" i="148"/>
  <c r="BT26" i="149" s="1"/>
  <c r="BV26" i="148"/>
  <c r="BS26" i="149" s="1"/>
  <c r="F26" i="148"/>
  <c r="BX26" i="148"/>
  <c r="BU26" i="149" s="1"/>
  <c r="CN26" i="148"/>
  <c r="CK26" i="149" s="1"/>
  <c r="BG26" i="148"/>
  <c r="BD26" i="149" s="1"/>
  <c r="E26" i="148"/>
  <c r="V26" i="148"/>
  <c r="CA26" i="148"/>
  <c r="BX26" i="149" s="1"/>
  <c r="CT26" i="148"/>
  <c r="CQ26" i="149" s="1"/>
  <c r="BP26" i="148"/>
  <c r="BM26" i="149" s="1"/>
  <c r="H26" i="148"/>
  <c r="CJ26" i="148"/>
  <c r="CG26" i="149" s="1"/>
  <c r="CB26" i="148"/>
  <c r="BY26" i="149" s="1"/>
  <c r="BQ26" i="148"/>
  <c r="BN26" i="149" s="1"/>
  <c r="R26" i="148"/>
  <c r="CG26" i="148"/>
  <c r="CD26" i="149" s="1"/>
  <c r="CF26" i="148"/>
  <c r="CC26" i="149" s="1"/>
  <c r="BD26" i="148"/>
  <c r="BA26" i="149" s="1"/>
  <c r="BU26" i="148"/>
  <c r="BR26" i="149" s="1"/>
  <c r="BK26" i="148"/>
  <c r="BH26" i="149" s="1"/>
  <c r="BE26" i="148"/>
  <c r="BB26" i="149" s="1"/>
  <c r="BH26" i="148"/>
  <c r="BE26" i="149" s="1"/>
  <c r="BT26" i="148"/>
  <c r="BQ26" i="149" s="1"/>
  <c r="AV26" i="148"/>
  <c r="AS26" i="149" s="1"/>
  <c r="BC26" i="148"/>
  <c r="AZ26" i="149" s="1"/>
  <c r="BA26" i="148"/>
  <c r="AX26" i="149" s="1"/>
  <c r="BI26" i="148"/>
  <c r="BF26" i="149" s="1"/>
  <c r="AZ26" i="148"/>
  <c r="AW26" i="149" s="1"/>
  <c r="BO26" i="148"/>
  <c r="BM26" i="148"/>
  <c r="BJ26" i="149" s="1"/>
  <c r="BJ26" i="148"/>
  <c r="BG26" i="149" s="1"/>
  <c r="BB26" i="148"/>
  <c r="AY26" i="149" s="1"/>
  <c r="BN26" i="148"/>
  <c r="BK26" i="149" s="1"/>
  <c r="BL26" i="148"/>
  <c r="BI26" i="149" s="1"/>
  <c r="D26" i="148"/>
  <c r="DB126" i="149"/>
  <c r="DA126" i="149"/>
  <c r="CZ126" i="149"/>
  <c r="CY126" i="149"/>
  <c r="BL126" i="149"/>
  <c r="G30" i="151"/>
  <c r="H30" i="151"/>
  <c r="E30" i="151"/>
  <c r="D30" i="151"/>
  <c r="R30" i="151"/>
  <c r="P30" i="151"/>
  <c r="CQ30" i="151"/>
  <c r="CG30" i="151"/>
  <c r="CO30" i="151"/>
  <c r="CL30" i="151"/>
  <c r="BV30" i="151"/>
  <c r="CK30" i="151"/>
  <c r="CE30" i="151"/>
  <c r="CI30" i="151"/>
  <c r="CP30" i="151"/>
  <c r="CN30" i="151"/>
  <c r="CR30" i="151"/>
  <c r="BZ30" i="151"/>
  <c r="BX30" i="151"/>
  <c r="CA30" i="151"/>
  <c r="CW30" i="151"/>
  <c r="F30" i="151"/>
  <c r="CT30" i="151"/>
  <c r="BT30" i="151"/>
  <c r="CU30" i="151"/>
  <c r="CB30" i="151"/>
  <c r="CM30" i="151"/>
  <c r="CJ30" i="151"/>
  <c r="CF30" i="151"/>
  <c r="CH30" i="151"/>
  <c r="BY30" i="151"/>
  <c r="CD30" i="151"/>
  <c r="CC30" i="151"/>
  <c r="CV30" i="151"/>
  <c r="CS30" i="151"/>
  <c r="BW30" i="151"/>
  <c r="BU30" i="151"/>
  <c r="AS30" i="151"/>
  <c r="AT30" i="151"/>
  <c r="BA30" i="151"/>
  <c r="BM30" i="151"/>
  <c r="BO30" i="151"/>
  <c r="AR30" i="151"/>
  <c r="BG30" i="151"/>
  <c r="BB30" i="151"/>
  <c r="AV30" i="151"/>
  <c r="BK30" i="151"/>
  <c r="BC30" i="151"/>
  <c r="AU30" i="151"/>
  <c r="BR30" i="151"/>
  <c r="BI30" i="151"/>
  <c r="AY30" i="151"/>
  <c r="BF30" i="151"/>
  <c r="BQ30" i="151"/>
  <c r="BL30" i="151"/>
  <c r="AZ30" i="151"/>
  <c r="BP30" i="151"/>
  <c r="BJ30" i="151"/>
  <c r="BD30" i="151"/>
  <c r="BH30" i="151"/>
  <c r="BS30" i="151"/>
  <c r="BE30" i="151"/>
  <c r="BN30" i="151"/>
  <c r="AX30" i="151"/>
  <c r="AW30" i="151"/>
  <c r="G28" i="151"/>
  <c r="P28" i="151"/>
  <c r="E28" i="151"/>
  <c r="D28" i="151"/>
  <c r="H28" i="151"/>
  <c r="R28" i="151"/>
  <c r="BY28" i="151"/>
  <c r="CI28" i="151"/>
  <c r="CP28" i="151"/>
  <c r="CQ28" i="151"/>
  <c r="BW28" i="151"/>
  <c r="BT28" i="151"/>
  <c r="BU28" i="151"/>
  <c r="CD28" i="151"/>
  <c r="CK28" i="151"/>
  <c r="CO28" i="151"/>
  <c r="BX28" i="151"/>
  <c r="CW28" i="151"/>
  <c r="F28" i="151"/>
  <c r="CH28" i="151"/>
  <c r="BV28" i="151"/>
  <c r="CE28" i="151"/>
  <c r="CL28" i="151"/>
  <c r="CU28" i="151"/>
  <c r="CT28" i="151"/>
  <c r="CC28" i="151"/>
  <c r="CG28" i="151"/>
  <c r="CN28" i="151"/>
  <c r="BZ28" i="151"/>
  <c r="CV28" i="151"/>
  <c r="CB28" i="151"/>
  <c r="CF28" i="151"/>
  <c r="CA28" i="151"/>
  <c r="CS28" i="151"/>
  <c r="CJ28" i="151"/>
  <c r="CM28" i="151"/>
  <c r="CR28" i="151"/>
  <c r="BL28" i="151"/>
  <c r="BH28" i="151"/>
  <c r="BI28" i="151"/>
  <c r="BF28" i="151"/>
  <c r="BP28" i="151"/>
  <c r="BO28" i="151"/>
  <c r="BR28" i="151"/>
  <c r="BB28" i="151"/>
  <c r="BJ28" i="151"/>
  <c r="BQ28" i="151"/>
  <c r="AX28" i="151"/>
  <c r="AZ28" i="151"/>
  <c r="BG28" i="151"/>
  <c r="AV28" i="151"/>
  <c r="BE28" i="151"/>
  <c r="BK28" i="151"/>
  <c r="BN28" i="151"/>
  <c r="BS28" i="151"/>
  <c r="AS28" i="151"/>
  <c r="BA28" i="151"/>
  <c r="AW28" i="151"/>
  <c r="AT28" i="151"/>
  <c r="BC28" i="151"/>
  <c r="AU28" i="151"/>
  <c r="BM28" i="151"/>
  <c r="AR28" i="151"/>
  <c r="AY28" i="151"/>
  <c r="BD28" i="151"/>
  <c r="D30" i="153"/>
  <c r="R30" i="153"/>
  <c r="H30" i="153"/>
  <c r="E30" i="153"/>
  <c r="G30" i="153"/>
  <c r="P30" i="153"/>
  <c r="C30" i="153"/>
  <c r="CF30" i="153"/>
  <c r="BU30" i="153"/>
  <c r="BW30" i="153"/>
  <c r="BT30" i="153"/>
  <c r="CP30" i="153"/>
  <c r="CN30" i="153"/>
  <c r="CO30" i="153"/>
  <c r="CH30" i="153"/>
  <c r="CW30" i="153"/>
  <c r="CQ30" i="153"/>
  <c r="CD30" i="153"/>
  <c r="CU30" i="153"/>
  <c r="CC30" i="153"/>
  <c r="CJ30" i="153"/>
  <c r="CM30" i="153"/>
  <c r="CG30" i="153"/>
  <c r="CS30" i="153"/>
  <c r="BV30" i="153"/>
  <c r="CI30" i="153"/>
  <c r="CB30" i="153"/>
  <c r="BZ30" i="153"/>
  <c r="F30" i="153"/>
  <c r="CE30" i="153"/>
  <c r="CV30" i="153"/>
  <c r="CK30" i="153"/>
  <c r="CR30" i="153"/>
  <c r="CA30" i="153"/>
  <c r="BY30" i="153"/>
  <c r="CL30" i="153"/>
  <c r="BX30" i="153"/>
  <c r="CT30" i="153"/>
  <c r="BA30" i="153"/>
  <c r="AU30" i="153"/>
  <c r="BB30" i="153"/>
  <c r="BH30" i="153"/>
  <c r="BR30" i="153"/>
  <c r="BK30" i="153"/>
  <c r="BE30" i="153"/>
  <c r="BD30" i="153"/>
  <c r="AT30" i="153"/>
  <c r="BJ30" i="153"/>
  <c r="AS30" i="153"/>
  <c r="BN30" i="153"/>
  <c r="BF30" i="153"/>
  <c r="BP30" i="153"/>
  <c r="AY30" i="153"/>
  <c r="BI30" i="153"/>
  <c r="BO30" i="153"/>
  <c r="BQ30" i="153"/>
  <c r="AR30" i="153"/>
  <c r="BC30" i="153"/>
  <c r="AV30" i="153"/>
  <c r="AZ30" i="153"/>
  <c r="BG30" i="153"/>
  <c r="AX30" i="153"/>
  <c r="BL30" i="153"/>
  <c r="BM30" i="153"/>
  <c r="AW30" i="153"/>
  <c r="BS30" i="153"/>
  <c r="P15" i="153"/>
  <c r="E15" i="153"/>
  <c r="H15" i="153"/>
  <c r="D15" i="153"/>
  <c r="G15" i="153"/>
  <c r="R15" i="153"/>
  <c r="C15" i="153"/>
  <c r="CP15" i="153"/>
  <c r="CN15" i="153"/>
  <c r="BX15" i="153"/>
  <c r="CA15" i="153"/>
  <c r="CQ15" i="153"/>
  <c r="CK15" i="153"/>
  <c r="CV15" i="153"/>
  <c r="CL15" i="153"/>
  <c r="CS15" i="153"/>
  <c r="BZ15" i="153"/>
  <c r="CO15" i="153"/>
  <c r="BU15" i="153"/>
  <c r="CE15" i="153"/>
  <c r="CR15" i="153"/>
  <c r="CC15" i="153"/>
  <c r="CJ15" i="153"/>
  <c r="BY15" i="153"/>
  <c r="CW15" i="153"/>
  <c r="CH15" i="153"/>
  <c r="BV15" i="153"/>
  <c r="CD15" i="153"/>
  <c r="CM15" i="153"/>
  <c r="BT15" i="153"/>
  <c r="CF15" i="153"/>
  <c r="CU15" i="153"/>
  <c r="CG15" i="153"/>
  <c r="F15" i="153"/>
  <c r="BW15" i="153"/>
  <c r="CT15" i="153"/>
  <c r="CB15" i="153"/>
  <c r="CI15" i="153"/>
  <c r="AY15" i="153"/>
  <c r="AU15" i="153"/>
  <c r="BD15" i="153"/>
  <c r="BG15" i="153"/>
  <c r="BK15" i="153"/>
  <c r="AW15" i="153"/>
  <c r="AT15" i="153"/>
  <c r="AV15" i="153"/>
  <c r="AX15" i="153"/>
  <c r="BN15" i="153"/>
  <c r="BI15" i="153"/>
  <c r="BC15" i="153"/>
  <c r="BO15" i="153"/>
  <c r="BJ15" i="153"/>
  <c r="BL15" i="153"/>
  <c r="BM15" i="153"/>
  <c r="BH15" i="153"/>
  <c r="BF15" i="153"/>
  <c r="BB15" i="153"/>
  <c r="BR15" i="153"/>
  <c r="BA15" i="153"/>
  <c r="AS15" i="153"/>
  <c r="BE15" i="153"/>
  <c r="BP15" i="153"/>
  <c r="E20" i="153"/>
  <c r="P20" i="153"/>
  <c r="D20" i="153"/>
  <c r="R20" i="153"/>
  <c r="H20" i="153"/>
  <c r="G20" i="153"/>
  <c r="C20" i="153"/>
  <c r="CD20" i="153"/>
  <c r="CJ20" i="153"/>
  <c r="CV20" i="153"/>
  <c r="BW20" i="153"/>
  <c r="CH20" i="153"/>
  <c r="CU20" i="153"/>
  <c r="CI20" i="153"/>
  <c r="BU20" i="153"/>
  <c r="CG20" i="153"/>
  <c r="CP20" i="153"/>
  <c r="CF20" i="153"/>
  <c r="CR20" i="153"/>
  <c r="CQ20" i="153"/>
  <c r="CS20" i="153"/>
  <c r="CC20" i="153"/>
  <c r="CO20" i="153"/>
  <c r="BT20" i="153"/>
  <c r="CA20" i="153"/>
  <c r="BX20" i="153"/>
  <c r="CM20" i="153"/>
  <c r="F20" i="153"/>
  <c r="CE20" i="153"/>
  <c r="BV20" i="153"/>
  <c r="BZ20" i="153"/>
  <c r="CN20" i="153"/>
  <c r="BY20" i="153"/>
  <c r="CB20" i="153"/>
  <c r="CW20" i="153"/>
  <c r="CL20" i="153"/>
  <c r="CT20" i="153"/>
  <c r="CK20" i="153"/>
  <c r="BS20" i="153"/>
  <c r="AZ20" i="153"/>
  <c r="BJ20" i="153"/>
  <c r="AR20" i="153"/>
  <c r="BP20" i="153"/>
  <c r="BD20" i="153"/>
  <c r="AU20" i="153"/>
  <c r="AT20" i="153"/>
  <c r="BL20" i="153"/>
  <c r="BC20" i="153"/>
  <c r="AY20" i="153"/>
  <c r="AX20" i="153"/>
  <c r="BG20" i="153"/>
  <c r="AW20" i="153"/>
  <c r="BN20" i="153"/>
  <c r="BO20" i="153"/>
  <c r="BM20" i="153"/>
  <c r="BA20" i="153"/>
  <c r="BH20" i="153"/>
  <c r="BB20" i="153"/>
  <c r="AS20" i="153"/>
  <c r="BR20" i="153"/>
  <c r="BF20" i="153"/>
  <c r="BQ20" i="153"/>
  <c r="BI20" i="153"/>
  <c r="BE20" i="153"/>
  <c r="BK20" i="153"/>
  <c r="AV20" i="153"/>
  <c r="H27" i="151"/>
  <c r="R27" i="151"/>
  <c r="P27" i="151"/>
  <c r="E27" i="151"/>
  <c r="G27" i="151"/>
  <c r="D27" i="151"/>
  <c r="CT27" i="151"/>
  <c r="CO27" i="151"/>
  <c r="BZ27" i="151"/>
  <c r="BX27" i="151"/>
  <c r="CI27" i="151"/>
  <c r="CR27" i="151"/>
  <c r="BY27" i="151"/>
  <c r="CK27" i="151"/>
  <c r="BV27" i="151"/>
  <c r="BT27" i="151"/>
  <c r="CG27" i="151"/>
  <c r="CH27" i="151"/>
  <c r="BW27" i="151"/>
  <c r="CB27" i="151"/>
  <c r="CA27" i="151"/>
  <c r="CJ27" i="151"/>
  <c r="CE27" i="151"/>
  <c r="CP27" i="151"/>
  <c r="BU27" i="151"/>
  <c r="CU27" i="151"/>
  <c r="CF27" i="151"/>
  <c r="CL27" i="151"/>
  <c r="CC27" i="151"/>
  <c r="CD27" i="151"/>
  <c r="CM27" i="151"/>
  <c r="CW27" i="151"/>
  <c r="CN27" i="151"/>
  <c r="CV27" i="151"/>
  <c r="CQ27" i="151"/>
  <c r="F27" i="151"/>
  <c r="CS27" i="151"/>
  <c r="BD27" i="151"/>
  <c r="BB27" i="151"/>
  <c r="BH27" i="151"/>
  <c r="BG27" i="151"/>
  <c r="AR27" i="151"/>
  <c r="BK27" i="151"/>
  <c r="BN27" i="151"/>
  <c r="BO27" i="151"/>
  <c r="BJ27" i="151"/>
  <c r="AU27" i="151"/>
  <c r="BF27" i="151"/>
  <c r="AX27" i="151"/>
  <c r="BE27" i="151"/>
  <c r="BR27" i="151"/>
  <c r="BC27" i="151"/>
  <c r="BP27" i="151"/>
  <c r="BI27" i="151"/>
  <c r="AS27" i="151"/>
  <c r="AY27" i="151"/>
  <c r="AW27" i="151"/>
  <c r="BM27" i="151"/>
  <c r="AV27" i="151"/>
  <c r="BL27" i="151"/>
  <c r="BA27" i="151"/>
  <c r="Q20" i="148"/>
  <c r="G20" i="148"/>
  <c r="CT20" i="148"/>
  <c r="CQ20" i="149" s="1"/>
  <c r="CN20" i="148"/>
  <c r="CK20" i="149" s="1"/>
  <c r="BD20" i="148"/>
  <c r="BA20" i="149" s="1"/>
  <c r="CA20" i="148"/>
  <c r="BX20" i="149" s="1"/>
  <c r="CM20" i="148"/>
  <c r="CJ20" i="149" s="1"/>
  <c r="DA20" i="148"/>
  <c r="CX20" i="149" s="1"/>
  <c r="BP20" i="148"/>
  <c r="BM20" i="149" s="1"/>
  <c r="CR20" i="148"/>
  <c r="CO20" i="149" s="1"/>
  <c r="CJ20" i="148"/>
  <c r="CG20" i="149" s="1"/>
  <c r="BZ20" i="148"/>
  <c r="BW20" i="149" s="1"/>
  <c r="BV20" i="148"/>
  <c r="BS20" i="149" s="1"/>
  <c r="V20" i="148"/>
  <c r="CP20" i="148"/>
  <c r="CM20" i="149" s="1"/>
  <c r="CK20" i="148"/>
  <c r="CH20" i="149" s="1"/>
  <c r="CV20" i="148"/>
  <c r="CS20" i="149" s="1"/>
  <c r="AY20" i="148"/>
  <c r="AV20" i="149" s="1"/>
  <c r="I20" i="148"/>
  <c r="CW20" i="148"/>
  <c r="CT20" i="149" s="1"/>
  <c r="CB20" i="148"/>
  <c r="BY20" i="149" s="1"/>
  <c r="BR20" i="148"/>
  <c r="BO20" i="149" s="1"/>
  <c r="BT20" i="148"/>
  <c r="BQ20" i="149" s="1"/>
  <c r="R20" i="148"/>
  <c r="CF20" i="148"/>
  <c r="CC20" i="149" s="1"/>
  <c r="CC20" i="148"/>
  <c r="BZ20" i="149" s="1"/>
  <c r="BE20" i="148"/>
  <c r="BB20" i="149" s="1"/>
  <c r="BF20" i="148"/>
  <c r="BC20" i="149" s="1"/>
  <c r="F20" i="148"/>
  <c r="CY20" i="148"/>
  <c r="CV20" i="149" s="1"/>
  <c r="CG20" i="148"/>
  <c r="CD20" i="149" s="1"/>
  <c r="AX20" i="148"/>
  <c r="AU20" i="149" s="1"/>
  <c r="AW20" i="148"/>
  <c r="AT20" i="149" s="1"/>
  <c r="E20" i="148"/>
  <c r="BY20" i="148"/>
  <c r="BV20" i="149" s="1"/>
  <c r="CS20" i="148"/>
  <c r="CP20" i="149" s="1"/>
  <c r="AV20" i="148"/>
  <c r="AS20" i="149" s="1"/>
  <c r="BG20" i="148"/>
  <c r="BD20" i="149" s="1"/>
  <c r="H20" i="148"/>
  <c r="CH20" i="148"/>
  <c r="CE20" i="149" s="1"/>
  <c r="CZ20" i="148"/>
  <c r="CW20" i="149" s="1"/>
  <c r="BQ20" i="148"/>
  <c r="BN20" i="149" s="1"/>
  <c r="CD20" i="148"/>
  <c r="CA20" i="149" s="1"/>
  <c r="CO20" i="148"/>
  <c r="CL20" i="149" s="1"/>
  <c r="CX20" i="148"/>
  <c r="CU20" i="149" s="1"/>
  <c r="BS20" i="148"/>
  <c r="BP20" i="149" s="1"/>
  <c r="BU20" i="148"/>
  <c r="BR20" i="149" s="1"/>
  <c r="CQ20" i="148"/>
  <c r="CN20" i="149" s="1"/>
  <c r="CU20" i="148"/>
  <c r="CR20" i="149" s="1"/>
  <c r="CL20" i="148"/>
  <c r="CI20" i="149" s="1"/>
  <c r="BX20" i="148"/>
  <c r="BU20" i="149" s="1"/>
  <c r="CE20" i="148"/>
  <c r="CB20" i="149" s="1"/>
  <c r="CI20" i="148"/>
  <c r="CF20" i="149" s="1"/>
  <c r="BW20" i="148"/>
  <c r="BT20" i="149" s="1"/>
  <c r="BB20" i="148"/>
  <c r="AY20" i="149" s="1"/>
  <c r="BI20" i="148"/>
  <c r="BF20" i="149" s="1"/>
  <c r="BH20" i="148"/>
  <c r="BE20" i="149" s="1"/>
  <c r="BK20" i="148"/>
  <c r="BH20" i="149" s="1"/>
  <c r="BM20" i="148"/>
  <c r="BJ20" i="149" s="1"/>
  <c r="BA20" i="148"/>
  <c r="AX20" i="149" s="1"/>
  <c r="BN20" i="148"/>
  <c r="BK20" i="149" s="1"/>
  <c r="D20" i="148"/>
  <c r="BJ20" i="148"/>
  <c r="BG20" i="149" s="1"/>
  <c r="BC20" i="148"/>
  <c r="AZ20" i="149" s="1"/>
  <c r="AZ20" i="148"/>
  <c r="AW20" i="149" s="1"/>
  <c r="BO20" i="148"/>
  <c r="BL20" i="148"/>
  <c r="BI20" i="149" s="1"/>
  <c r="DA68" i="149"/>
  <c r="DB68" i="149"/>
  <c r="CZ68" i="149"/>
  <c r="BL68" i="149"/>
  <c r="Q52" i="148"/>
  <c r="BI52" i="148"/>
  <c r="BF52" i="149" s="1"/>
  <c r="CZ52" i="148"/>
  <c r="CW52" i="149" s="1"/>
  <c r="CK52" i="148"/>
  <c r="CH52" i="149" s="1"/>
  <c r="DA52" i="148"/>
  <c r="CX52" i="149" s="1"/>
  <c r="BD52" i="148"/>
  <c r="BA52" i="149" s="1"/>
  <c r="BO52" i="148"/>
  <c r="I52" i="148"/>
  <c r="BX52" i="148"/>
  <c r="BU52" i="149" s="1"/>
  <c r="CG52" i="148"/>
  <c r="CD52" i="149" s="1"/>
  <c r="AX52" i="148"/>
  <c r="AU52" i="149" s="1"/>
  <c r="BS52" i="148"/>
  <c r="BP52" i="149" s="1"/>
  <c r="BJ52" i="148"/>
  <c r="BG52" i="149" s="1"/>
  <c r="V52" i="148"/>
  <c r="CW52" i="148"/>
  <c r="CT52" i="149" s="1"/>
  <c r="CI52" i="148"/>
  <c r="CF52" i="149" s="1"/>
  <c r="BU52" i="148"/>
  <c r="BR52" i="149" s="1"/>
  <c r="BE52" i="148"/>
  <c r="BB52" i="149" s="1"/>
  <c r="BH52" i="148"/>
  <c r="BE52" i="149" s="1"/>
  <c r="BL52" i="148"/>
  <c r="BI52" i="149" s="1"/>
  <c r="E52" i="148"/>
  <c r="CE52" i="148"/>
  <c r="CB52" i="149" s="1"/>
  <c r="CU52" i="148"/>
  <c r="CR52" i="149" s="1"/>
  <c r="AY52" i="148"/>
  <c r="AV52" i="149" s="1"/>
  <c r="AZ52" i="148"/>
  <c r="AW52" i="149" s="1"/>
  <c r="BC52" i="148"/>
  <c r="AZ52" i="149" s="1"/>
  <c r="BY52" i="148"/>
  <c r="BV52" i="149" s="1"/>
  <c r="CL52" i="148"/>
  <c r="CI52" i="149" s="1"/>
  <c r="CS52" i="148"/>
  <c r="CP52" i="149" s="1"/>
  <c r="BB52" i="148"/>
  <c r="AY52" i="149" s="1"/>
  <c r="BZ52" i="148"/>
  <c r="BW52" i="149" s="1"/>
  <c r="BA52" i="148"/>
  <c r="AX52" i="149" s="1"/>
  <c r="BM52" i="148"/>
  <c r="BJ52" i="149" s="1"/>
  <c r="CC52" i="148"/>
  <c r="BZ52" i="149" s="1"/>
  <c r="CO52" i="148"/>
  <c r="CL52" i="149" s="1"/>
  <c r="CA52" i="148"/>
  <c r="BX52" i="149" s="1"/>
  <c r="BT52" i="148"/>
  <c r="BQ52" i="149" s="1"/>
  <c r="CB52" i="148"/>
  <c r="BY52" i="149" s="1"/>
  <c r="BG52" i="148"/>
  <c r="BD52" i="149" s="1"/>
  <c r="CP52" i="148"/>
  <c r="CM52" i="149" s="1"/>
  <c r="CM52" i="148"/>
  <c r="CJ52" i="149" s="1"/>
  <c r="BR52" i="148"/>
  <c r="BO52" i="149" s="1"/>
  <c r="F52" i="148"/>
  <c r="CT52" i="148"/>
  <c r="CQ52" i="149" s="1"/>
  <c r="BF52" i="148"/>
  <c r="BC52" i="149" s="1"/>
  <c r="R52" i="148"/>
  <c r="H52" i="148"/>
  <c r="CN52" i="148"/>
  <c r="CK52" i="149" s="1"/>
  <c r="BW52" i="148"/>
  <c r="BT52" i="149" s="1"/>
  <c r="CH52" i="148"/>
  <c r="CE52" i="149" s="1"/>
  <c r="CD52" i="148"/>
  <c r="CA52" i="149" s="1"/>
  <c r="G52" i="148"/>
  <c r="CQ52" i="148"/>
  <c r="CN52" i="149" s="1"/>
  <c r="BK52" i="148"/>
  <c r="BH52" i="149" s="1"/>
  <c r="CR52" i="148"/>
  <c r="CO52" i="149" s="1"/>
  <c r="BP52" i="148"/>
  <c r="BM52" i="149" s="1"/>
  <c r="BN52" i="148"/>
  <c r="BK52" i="149" s="1"/>
  <c r="CY52" i="148"/>
  <c r="CV52" i="149" s="1"/>
  <c r="BQ52" i="148"/>
  <c r="BN52" i="149" s="1"/>
  <c r="CX52" i="148"/>
  <c r="CU52" i="149" s="1"/>
  <c r="AV52" i="148"/>
  <c r="AS52" i="149" s="1"/>
  <c r="CF52" i="148"/>
  <c r="CC52" i="149" s="1"/>
  <c r="AW52" i="148"/>
  <c r="AT52" i="149" s="1"/>
  <c r="CJ52" i="148"/>
  <c r="CG52" i="149" s="1"/>
  <c r="BV52" i="148"/>
  <c r="BS52" i="149" s="1"/>
  <c r="D52" i="148"/>
  <c r="Q35" i="148"/>
  <c r="BI35" i="148"/>
  <c r="BF35" i="149" s="1"/>
  <c r="R35" i="148"/>
  <c r="CQ35" i="148"/>
  <c r="CN35" i="149" s="1"/>
  <c r="CZ35" i="148"/>
  <c r="CW35" i="149" s="1"/>
  <c r="BU35" i="148"/>
  <c r="BR35" i="149" s="1"/>
  <c r="BP35" i="148"/>
  <c r="BM35" i="149" s="1"/>
  <c r="BN35" i="148"/>
  <c r="BK35" i="149" s="1"/>
  <c r="BH35" i="148"/>
  <c r="BE35" i="149" s="1"/>
  <c r="I35" i="148"/>
  <c r="CE35" i="148"/>
  <c r="CB35" i="149" s="1"/>
  <c r="CX35" i="148"/>
  <c r="CU35" i="149" s="1"/>
  <c r="AW35" i="148"/>
  <c r="AT35" i="149" s="1"/>
  <c r="BF35" i="148"/>
  <c r="BC35" i="149" s="1"/>
  <c r="BL35" i="148"/>
  <c r="BI35" i="149" s="1"/>
  <c r="F35" i="148"/>
  <c r="BY35" i="148"/>
  <c r="BV35" i="149" s="1"/>
  <c r="CF35" i="148"/>
  <c r="CC35" i="149" s="1"/>
  <c r="BG35" i="148"/>
  <c r="BD35" i="149" s="1"/>
  <c r="AX35" i="148"/>
  <c r="AU35" i="149" s="1"/>
  <c r="BO35" i="148"/>
  <c r="BJ35" i="148"/>
  <c r="BG35" i="149" s="1"/>
  <c r="AZ35" i="148"/>
  <c r="AW35" i="149" s="1"/>
  <c r="BB35" i="148"/>
  <c r="AY35" i="149" s="1"/>
  <c r="BC35" i="148"/>
  <c r="AZ35" i="149" s="1"/>
  <c r="BA35" i="148"/>
  <c r="AX35" i="149" s="1"/>
  <c r="BM35" i="148"/>
  <c r="BJ35" i="149" s="1"/>
  <c r="H35" i="148"/>
  <c r="CP35" i="148"/>
  <c r="CM35" i="149" s="1"/>
  <c r="CC35" i="148"/>
  <c r="BZ35" i="149" s="1"/>
  <c r="CL35" i="148"/>
  <c r="CI35" i="149" s="1"/>
  <c r="BQ35" i="148"/>
  <c r="BN35" i="149" s="1"/>
  <c r="CB35" i="148"/>
  <c r="BY35" i="149" s="1"/>
  <c r="CY35" i="148"/>
  <c r="CV35" i="149" s="1"/>
  <c r="E35" i="148"/>
  <c r="CU35" i="148"/>
  <c r="CR35" i="149" s="1"/>
  <c r="BD35" i="148"/>
  <c r="BA35" i="149" s="1"/>
  <c r="CT35" i="148"/>
  <c r="CQ35" i="149" s="1"/>
  <c r="V35" i="148"/>
  <c r="BZ35" i="148"/>
  <c r="BW35" i="149" s="1"/>
  <c r="BR35" i="148"/>
  <c r="BO35" i="149" s="1"/>
  <c r="AY35" i="148"/>
  <c r="AV35" i="149" s="1"/>
  <c r="CG35" i="148"/>
  <c r="CD35" i="149" s="1"/>
  <c r="CS35" i="148"/>
  <c r="CP35" i="149" s="1"/>
  <c r="BE35" i="148"/>
  <c r="BB35" i="149" s="1"/>
  <c r="BK35" i="148"/>
  <c r="BH35" i="149" s="1"/>
  <c r="CK35" i="148"/>
  <c r="CH35" i="149" s="1"/>
  <c r="CM35" i="148"/>
  <c r="CJ35" i="149" s="1"/>
  <c r="BV35" i="148"/>
  <c r="BS35" i="149" s="1"/>
  <c r="G35" i="148"/>
  <c r="CO35" i="148"/>
  <c r="CL35" i="149" s="1"/>
  <c r="AV35" i="148"/>
  <c r="AS35" i="149" s="1"/>
  <c r="CR35" i="148"/>
  <c r="CO35" i="149" s="1"/>
  <c r="CA35" i="148"/>
  <c r="BX35" i="149" s="1"/>
  <c r="DA35" i="148"/>
  <c r="CX35" i="149" s="1"/>
  <c r="BS35" i="148"/>
  <c r="BP35" i="149" s="1"/>
  <c r="CI35" i="148"/>
  <c r="CF35" i="149" s="1"/>
  <c r="CW35" i="148"/>
  <c r="CT35" i="149" s="1"/>
  <c r="CJ35" i="148"/>
  <c r="CG35" i="149" s="1"/>
  <c r="BT35" i="148"/>
  <c r="BQ35" i="149" s="1"/>
  <c r="CD35" i="148"/>
  <c r="CA35" i="149" s="1"/>
  <c r="CH35" i="148"/>
  <c r="CE35" i="149" s="1"/>
  <c r="BX35" i="148"/>
  <c r="BU35" i="149" s="1"/>
  <c r="BW35" i="148"/>
  <c r="BT35" i="149" s="1"/>
  <c r="CV35" i="148"/>
  <c r="CS35" i="149" s="1"/>
  <c r="CN35" i="148"/>
  <c r="CK35" i="149" s="1"/>
  <c r="D35" i="148"/>
  <c r="Q50" i="148"/>
  <c r="BI50" i="148"/>
  <c r="BF50" i="149" s="1"/>
  <c r="R50" i="148"/>
  <c r="CR50" i="148"/>
  <c r="CO50" i="149" s="1"/>
  <c r="CP50" i="148"/>
  <c r="CM50" i="149" s="1"/>
  <c r="BW50" i="148"/>
  <c r="BT50" i="149" s="1"/>
  <c r="BP50" i="148"/>
  <c r="BM50" i="149" s="1"/>
  <c r="BO50" i="148"/>
  <c r="CN50" i="148"/>
  <c r="CK50" i="149" s="1"/>
  <c r="CO50" i="148"/>
  <c r="CL50" i="149" s="1"/>
  <c r="CE50" i="148"/>
  <c r="CB50" i="149" s="1"/>
  <c r="BR50" i="148"/>
  <c r="BO50" i="149" s="1"/>
  <c r="BJ50" i="148"/>
  <c r="BG50" i="149" s="1"/>
  <c r="BY50" i="148"/>
  <c r="BV50" i="149" s="1"/>
  <c r="CV50" i="148"/>
  <c r="CS50" i="149" s="1"/>
  <c r="BX50" i="148"/>
  <c r="BU50" i="149" s="1"/>
  <c r="AW50" i="148"/>
  <c r="AT50" i="149" s="1"/>
  <c r="BH50" i="148"/>
  <c r="BE50" i="149" s="1"/>
  <c r="BL50" i="148"/>
  <c r="BI50" i="149" s="1"/>
  <c r="AZ50" i="148"/>
  <c r="AW50" i="149" s="1"/>
  <c r="BC50" i="148"/>
  <c r="AZ50" i="149" s="1"/>
  <c r="BB50" i="148"/>
  <c r="AY50" i="149" s="1"/>
  <c r="BA50" i="148"/>
  <c r="AX50" i="149" s="1"/>
  <c r="BM50" i="148"/>
  <c r="BJ50" i="149" s="1"/>
  <c r="E50" i="148"/>
  <c r="CQ50" i="148"/>
  <c r="CN50" i="149" s="1"/>
  <c r="CW50" i="148"/>
  <c r="CT50" i="149" s="1"/>
  <c r="BD50" i="148"/>
  <c r="BA50" i="149" s="1"/>
  <c r="BG50" i="148"/>
  <c r="BD50" i="149" s="1"/>
  <c r="CM50" i="148"/>
  <c r="CJ50" i="149" s="1"/>
  <c r="CF50" i="148"/>
  <c r="CC50" i="149" s="1"/>
  <c r="AY50" i="148"/>
  <c r="AV50" i="149" s="1"/>
  <c r="G50" i="148"/>
  <c r="CS50" i="148"/>
  <c r="CP50" i="149" s="1"/>
  <c r="CU50" i="148"/>
  <c r="CR50" i="149" s="1"/>
  <c r="V50" i="148"/>
  <c r="CJ50" i="148"/>
  <c r="CG50" i="149" s="1"/>
  <c r="CD50" i="148"/>
  <c r="CA50" i="149" s="1"/>
  <c r="BK50" i="148"/>
  <c r="BH50" i="149" s="1"/>
  <c r="H50" i="148"/>
  <c r="CI50" i="148"/>
  <c r="CF50" i="149" s="1"/>
  <c r="AV50" i="148"/>
  <c r="AS50" i="149" s="1"/>
  <c r="F50" i="148"/>
  <c r="CY50" i="148"/>
  <c r="CV50" i="149" s="1"/>
  <c r="BE50" i="148"/>
  <c r="BB50" i="149" s="1"/>
  <c r="CG50" i="148"/>
  <c r="CD50" i="149" s="1"/>
  <c r="CL50" i="148"/>
  <c r="CI50" i="149" s="1"/>
  <c r="BS50" i="148"/>
  <c r="BP50" i="149" s="1"/>
  <c r="CK50" i="148"/>
  <c r="CH50" i="149" s="1"/>
  <c r="CC50" i="148"/>
  <c r="BZ50" i="149" s="1"/>
  <c r="BU50" i="148"/>
  <c r="BR50" i="149" s="1"/>
  <c r="BZ50" i="148"/>
  <c r="BW50" i="149" s="1"/>
  <c r="CA50" i="148"/>
  <c r="BX50" i="149" s="1"/>
  <c r="CH50" i="148"/>
  <c r="CE50" i="149" s="1"/>
  <c r="BT50" i="148"/>
  <c r="BQ50" i="149" s="1"/>
  <c r="BV50" i="148"/>
  <c r="BS50" i="149" s="1"/>
  <c r="DA50" i="148"/>
  <c r="CX50" i="149" s="1"/>
  <c r="CB50" i="148"/>
  <c r="BY50" i="149" s="1"/>
  <c r="BQ50" i="148"/>
  <c r="BN50" i="149" s="1"/>
  <c r="CZ50" i="148"/>
  <c r="CW50" i="149" s="1"/>
  <c r="I50" i="148"/>
  <c r="CT50" i="148"/>
  <c r="CQ50" i="149" s="1"/>
  <c r="CX50" i="148"/>
  <c r="CU50" i="149" s="1"/>
  <c r="AX50" i="148"/>
  <c r="AU50" i="149" s="1"/>
  <c r="BN50" i="148"/>
  <c r="BK50" i="149" s="1"/>
  <c r="BF50" i="148"/>
  <c r="BC50" i="149" s="1"/>
  <c r="D50" i="148"/>
  <c r="CY58" i="149"/>
  <c r="DB58" i="149"/>
  <c r="DA58" i="149"/>
  <c r="CZ58" i="149"/>
  <c r="BL58" i="149"/>
  <c r="CZ59" i="149"/>
  <c r="DB59" i="149"/>
  <c r="DA59" i="149"/>
  <c r="BL59" i="149"/>
  <c r="DB95" i="149"/>
  <c r="CY95" i="149"/>
  <c r="DA95" i="149"/>
  <c r="CZ95" i="149"/>
  <c r="BL95" i="149"/>
  <c r="Q82" i="148"/>
  <c r="BB82" i="148"/>
  <c r="AY82" i="149" s="1"/>
  <c r="BD82" i="148"/>
  <c r="BA82" i="149" s="1"/>
  <c r="CC82" i="148"/>
  <c r="BZ82" i="149" s="1"/>
  <c r="CS82" i="148"/>
  <c r="CP82" i="149" s="1"/>
  <c r="CR82" i="148"/>
  <c r="CO82" i="149" s="1"/>
  <c r="BA82" i="148"/>
  <c r="AX82" i="149" s="1"/>
  <c r="H82" i="148"/>
  <c r="F82" i="148"/>
  <c r="CO82" i="148"/>
  <c r="CL82" i="149" s="1"/>
  <c r="CE82" i="148"/>
  <c r="CB82" i="149" s="1"/>
  <c r="BN82" i="148"/>
  <c r="BK82" i="149" s="1"/>
  <c r="BH82" i="148"/>
  <c r="BE82" i="149" s="1"/>
  <c r="BZ82" i="148"/>
  <c r="BW82" i="149" s="1"/>
  <c r="CF82" i="148"/>
  <c r="CC82" i="149" s="1"/>
  <c r="CH82" i="148"/>
  <c r="CE82" i="149" s="1"/>
  <c r="CQ82" i="148"/>
  <c r="CN82" i="149" s="1"/>
  <c r="BE82" i="148"/>
  <c r="BB82" i="149" s="1"/>
  <c r="CI82" i="148"/>
  <c r="CF82" i="149" s="1"/>
  <c r="V82" i="148"/>
  <c r="CK82" i="148"/>
  <c r="CH82" i="149" s="1"/>
  <c r="G82" i="148"/>
  <c r="AX82" i="148"/>
  <c r="AU82" i="149" s="1"/>
  <c r="BY82" i="148"/>
  <c r="BV82" i="149" s="1"/>
  <c r="BJ82" i="148"/>
  <c r="BG82" i="149" s="1"/>
  <c r="CZ82" i="148"/>
  <c r="CW82" i="149" s="1"/>
  <c r="BQ82" i="148"/>
  <c r="BN82" i="149" s="1"/>
  <c r="CD82" i="148"/>
  <c r="CA82" i="149" s="1"/>
  <c r="CN82" i="148"/>
  <c r="CK82" i="149" s="1"/>
  <c r="BV82" i="148"/>
  <c r="BS82" i="149" s="1"/>
  <c r="CG82" i="148"/>
  <c r="CD82" i="149" s="1"/>
  <c r="BL82" i="148"/>
  <c r="BI82" i="149" s="1"/>
  <c r="CW82" i="148"/>
  <c r="CT82" i="149" s="1"/>
  <c r="CJ82" i="148"/>
  <c r="CG82" i="149" s="1"/>
  <c r="CV82" i="148"/>
  <c r="CS82" i="149" s="1"/>
  <c r="BU82" i="148"/>
  <c r="BR82" i="149" s="1"/>
  <c r="BK82" i="148"/>
  <c r="BH82" i="149" s="1"/>
  <c r="CA82" i="148"/>
  <c r="BX82" i="149" s="1"/>
  <c r="CY82" i="148"/>
  <c r="CV82" i="149" s="1"/>
  <c r="R82" i="148"/>
  <c r="I82" i="148"/>
  <c r="BO82" i="148"/>
  <c r="BG82" i="148"/>
  <c r="BD82" i="149" s="1"/>
  <c r="CB82" i="148"/>
  <c r="BY82" i="149" s="1"/>
  <c r="BP82" i="148"/>
  <c r="BM82" i="149" s="1"/>
  <c r="CT82" i="148"/>
  <c r="CQ82" i="149" s="1"/>
  <c r="BI82" i="148"/>
  <c r="BF82" i="149" s="1"/>
  <c r="CM82" i="148"/>
  <c r="CJ82" i="149" s="1"/>
  <c r="BT82" i="148"/>
  <c r="BQ82" i="149" s="1"/>
  <c r="DA82" i="148"/>
  <c r="CX82" i="149" s="1"/>
  <c r="AW82" i="148"/>
  <c r="AT82" i="149" s="1"/>
  <c r="BM82" i="148"/>
  <c r="BJ82" i="149" s="1"/>
  <c r="BX82" i="148"/>
  <c r="BU82" i="149" s="1"/>
  <c r="BF82" i="148"/>
  <c r="BC82" i="149" s="1"/>
  <c r="BR82" i="148"/>
  <c r="BO82" i="149" s="1"/>
  <c r="AV82" i="148"/>
  <c r="AS82" i="149" s="1"/>
  <c r="BC82" i="148"/>
  <c r="AZ82" i="149" s="1"/>
  <c r="BS82" i="148"/>
  <c r="BP82" i="149" s="1"/>
  <c r="AY82" i="148"/>
  <c r="AV82" i="149" s="1"/>
  <c r="CP82" i="148"/>
  <c r="CM82" i="149" s="1"/>
  <c r="CU82" i="148"/>
  <c r="CR82" i="149" s="1"/>
  <c r="AZ82" i="148"/>
  <c r="AW82" i="149" s="1"/>
  <c r="E82" i="148"/>
  <c r="CL82" i="148"/>
  <c r="CI82" i="149" s="1"/>
  <c r="CX82" i="148"/>
  <c r="CU82" i="149" s="1"/>
  <c r="BW82" i="148"/>
  <c r="BT82" i="149" s="1"/>
  <c r="D82" i="148"/>
  <c r="Q159" i="148"/>
  <c r="CQ159" i="148"/>
  <c r="CD159" i="148"/>
  <c r="CE159" i="148"/>
  <c r="CJ159" i="148"/>
  <c r="CF159" i="148"/>
  <c r="R159" i="148"/>
  <c r="CK159" i="148"/>
  <c r="BX159" i="148"/>
  <c r="CN159" i="148"/>
  <c r="CY159" i="148"/>
  <c r="H159" i="148"/>
  <c r="CH159" i="148"/>
  <c r="CX159" i="148"/>
  <c r="CP159" i="148"/>
  <c r="G159" i="148"/>
  <c r="CT159" i="148"/>
  <c r="I159" i="148"/>
  <c r="BZ159" i="148"/>
  <c r="CG159" i="148"/>
  <c r="CB159" i="148"/>
  <c r="CM159" i="148"/>
  <c r="CL159" i="148"/>
  <c r="E159" i="148"/>
  <c r="CC159" i="148"/>
  <c r="CA159" i="148"/>
  <c r="DA159" i="148"/>
  <c r="F159" i="148"/>
  <c r="V159" i="148"/>
  <c r="CU159" i="148"/>
  <c r="CZ159" i="148"/>
  <c r="CO159" i="148"/>
  <c r="CV159" i="148"/>
  <c r="CR159" i="148"/>
  <c r="CS159" i="148"/>
  <c r="CI159" i="148"/>
  <c r="BY159" i="148"/>
  <c r="CW159" i="148"/>
  <c r="D159" i="148"/>
  <c r="BW159" i="148"/>
  <c r="BT159" i="149" s="1"/>
  <c r="BE159" i="148"/>
  <c r="BB159" i="149" s="1"/>
  <c r="BI159" i="148"/>
  <c r="BF159" i="149" s="1"/>
  <c r="BG159" i="148"/>
  <c r="BD159" i="149" s="1"/>
  <c r="BC159" i="148"/>
  <c r="AZ159" i="149" s="1"/>
  <c r="BT159" i="148"/>
  <c r="BQ159" i="149" s="1"/>
  <c r="BH159" i="148"/>
  <c r="BB159" i="148"/>
  <c r="AY159" i="149" s="1"/>
  <c r="BO159" i="148"/>
  <c r="BV159" i="148"/>
  <c r="BS159" i="149" s="1"/>
  <c r="BP159" i="148"/>
  <c r="BM159" i="149" s="1"/>
  <c r="BF159" i="148"/>
  <c r="BC159" i="149" s="1"/>
  <c r="BN159" i="148"/>
  <c r="BK159" i="149" s="1"/>
  <c r="BL159" i="148"/>
  <c r="BI159" i="149" s="1"/>
  <c r="AV159" i="148"/>
  <c r="AS159" i="149" s="1"/>
  <c r="BD159" i="148"/>
  <c r="BA159" i="149" s="1"/>
  <c r="BK159" i="148"/>
  <c r="BH159" i="149" s="1"/>
  <c r="BA159" i="148"/>
  <c r="AX159" i="149" s="1"/>
  <c r="BR159" i="148"/>
  <c r="BO159" i="149" s="1"/>
  <c r="BJ159" i="148"/>
  <c r="BG159" i="149" s="1"/>
  <c r="BS159" i="148"/>
  <c r="BP159" i="149" s="1"/>
  <c r="BQ159" i="148"/>
  <c r="BN159" i="149" s="1"/>
  <c r="BU159" i="148"/>
  <c r="BR159" i="149" s="1"/>
  <c r="AZ159" i="148"/>
  <c r="AW159" i="149" s="1"/>
  <c r="AX159" i="148"/>
  <c r="AU159" i="149" s="1"/>
  <c r="BM159" i="148"/>
  <c r="BJ159" i="149" s="1"/>
  <c r="AW159" i="148"/>
  <c r="AT159" i="149" s="1"/>
  <c r="AY159" i="148"/>
  <c r="AV159" i="149" s="1"/>
  <c r="DA25" i="149"/>
  <c r="DB25" i="149"/>
  <c r="CZ25" i="149"/>
  <c r="BL25" i="149"/>
  <c r="BE25" i="149"/>
  <c r="Q138" i="148"/>
  <c r="H138" i="148"/>
  <c r="V138" i="148"/>
  <c r="E138" i="148"/>
  <c r="R138" i="148"/>
  <c r="F138" i="148"/>
  <c r="I138" i="148"/>
  <c r="AX138" i="148"/>
  <c r="AU138" i="149" s="1"/>
  <c r="BS138" i="148"/>
  <c r="BP138" i="149" s="1"/>
  <c r="CW138" i="148"/>
  <c r="CT138" i="149" s="1"/>
  <c r="BV138" i="148"/>
  <c r="BS138" i="149" s="1"/>
  <c r="BI138" i="148"/>
  <c r="BF138" i="149" s="1"/>
  <c r="CE138" i="148"/>
  <c r="CB138" i="149" s="1"/>
  <c r="CM138" i="148"/>
  <c r="CJ138" i="149" s="1"/>
  <c r="BO138" i="148"/>
  <c r="BY138" i="148"/>
  <c r="BV138" i="149" s="1"/>
  <c r="BP138" i="148"/>
  <c r="BM138" i="149" s="1"/>
  <c r="CQ138" i="148"/>
  <c r="CN138" i="149" s="1"/>
  <c r="CG138" i="148"/>
  <c r="CD138" i="149" s="1"/>
  <c r="CV138" i="148"/>
  <c r="CS138" i="149" s="1"/>
  <c r="CO138" i="148"/>
  <c r="CL138" i="149" s="1"/>
  <c r="BJ138" i="148"/>
  <c r="BG138" i="149" s="1"/>
  <c r="BN138" i="148"/>
  <c r="BK138" i="149" s="1"/>
  <c r="DA138" i="148"/>
  <c r="CX138" i="149" s="1"/>
  <c r="BC138" i="148"/>
  <c r="AZ138" i="149" s="1"/>
  <c r="CS138" i="148"/>
  <c r="CP138" i="149" s="1"/>
  <c r="BZ138" i="148"/>
  <c r="BW138" i="149" s="1"/>
  <c r="CH138" i="148"/>
  <c r="CE138" i="149" s="1"/>
  <c r="CZ138" i="148"/>
  <c r="CW138" i="149" s="1"/>
  <c r="CX138" i="148"/>
  <c r="CU138" i="149" s="1"/>
  <c r="AW138" i="148"/>
  <c r="AT138" i="149" s="1"/>
  <c r="AY138" i="148"/>
  <c r="AV138" i="149" s="1"/>
  <c r="BW138" i="148"/>
  <c r="BT138" i="149" s="1"/>
  <c r="CB138" i="148"/>
  <c r="BY138" i="149" s="1"/>
  <c r="CC138" i="148"/>
  <c r="BZ138" i="149" s="1"/>
  <c r="CK138" i="148"/>
  <c r="CH138" i="149" s="1"/>
  <c r="AZ138" i="148"/>
  <c r="AW138" i="149" s="1"/>
  <c r="CY138" i="148"/>
  <c r="CV138" i="149" s="1"/>
  <c r="CP138" i="148"/>
  <c r="CM138" i="149" s="1"/>
  <c r="BQ138" i="148"/>
  <c r="BN138" i="149" s="1"/>
  <c r="BE138" i="148"/>
  <c r="BB138" i="149" s="1"/>
  <c r="BB138" i="148"/>
  <c r="AY138" i="149" s="1"/>
  <c r="AV138" i="148"/>
  <c r="AS138" i="149" s="1"/>
  <c r="CJ138" i="148"/>
  <c r="CG138" i="149" s="1"/>
  <c r="BD138" i="148"/>
  <c r="BA138" i="149" s="1"/>
  <c r="BH138" i="148"/>
  <c r="BE138" i="149" s="1"/>
  <c r="BA138" i="148"/>
  <c r="AX138" i="149" s="1"/>
  <c r="CL138" i="148"/>
  <c r="CI138" i="149" s="1"/>
  <c r="BL138" i="148"/>
  <c r="BI138" i="149" s="1"/>
  <c r="CA138" i="148"/>
  <c r="BX138" i="149" s="1"/>
  <c r="CT138" i="148"/>
  <c r="CQ138" i="149" s="1"/>
  <c r="CI138" i="148"/>
  <c r="CF138" i="149" s="1"/>
  <c r="CU138" i="148"/>
  <c r="CR138" i="149" s="1"/>
  <c r="BR138" i="148"/>
  <c r="BO138" i="149" s="1"/>
  <c r="D138" i="148"/>
  <c r="BM138" i="148"/>
  <c r="BJ138" i="149" s="1"/>
  <c r="BK138" i="148"/>
  <c r="BH138" i="149" s="1"/>
  <c r="G138" i="148"/>
  <c r="CD138" i="148"/>
  <c r="CA138" i="149" s="1"/>
  <c r="CR138" i="148"/>
  <c r="CO138" i="149" s="1"/>
  <c r="BT138" i="148"/>
  <c r="BQ138" i="149" s="1"/>
  <c r="CN138" i="148"/>
  <c r="CK138" i="149" s="1"/>
  <c r="BG138" i="148"/>
  <c r="BD138" i="149" s="1"/>
  <c r="BF138" i="148"/>
  <c r="BC138" i="149" s="1"/>
  <c r="CF138" i="148"/>
  <c r="CC138" i="149" s="1"/>
  <c r="BU138" i="148"/>
  <c r="BR138" i="149" s="1"/>
  <c r="BX138" i="148"/>
  <c r="BU138" i="149" s="1"/>
  <c r="Q25" i="148"/>
  <c r="I25" i="148"/>
  <c r="V25" i="148"/>
  <c r="H25" i="148"/>
  <c r="R25" i="148"/>
  <c r="E25" i="148"/>
  <c r="CG25" i="148"/>
  <c r="CD25" i="149" s="1"/>
  <c r="AY25" i="148"/>
  <c r="AV25" i="149" s="1"/>
  <c r="CX25" i="148"/>
  <c r="CU25" i="149" s="1"/>
  <c r="CP25" i="148"/>
  <c r="CM25" i="149" s="1"/>
  <c r="CI25" i="148"/>
  <c r="CF25" i="149" s="1"/>
  <c r="CF25" i="148"/>
  <c r="CC25" i="149" s="1"/>
  <c r="DA25" i="148"/>
  <c r="CX25" i="149" s="1"/>
  <c r="CO25" i="148"/>
  <c r="CL25" i="149" s="1"/>
  <c r="CZ25" i="148"/>
  <c r="CW25" i="149" s="1"/>
  <c r="CW25" i="148"/>
  <c r="CT25" i="149" s="1"/>
  <c r="CS25" i="148"/>
  <c r="CP25" i="149" s="1"/>
  <c r="CV25" i="148"/>
  <c r="CS25" i="149" s="1"/>
  <c r="BR25" i="148"/>
  <c r="BO25" i="149" s="1"/>
  <c r="BZ25" i="148"/>
  <c r="BW25" i="149" s="1"/>
  <c r="BQ25" i="148"/>
  <c r="BN25" i="149" s="1"/>
  <c r="CR25" i="148"/>
  <c r="CO25" i="149" s="1"/>
  <c r="CU25" i="148"/>
  <c r="CR25" i="149" s="1"/>
  <c r="CA25" i="148"/>
  <c r="BX25" i="149" s="1"/>
  <c r="AX25" i="148"/>
  <c r="AU25" i="149" s="1"/>
  <c r="CD25" i="148"/>
  <c r="CA25" i="149" s="1"/>
  <c r="CH25" i="148"/>
  <c r="CE25" i="149" s="1"/>
  <c r="AW25" i="148"/>
  <c r="AT25" i="149" s="1"/>
  <c r="CM25" i="148"/>
  <c r="CJ25" i="149" s="1"/>
  <c r="CN25" i="148"/>
  <c r="CK25" i="149" s="1"/>
  <c r="CY25" i="148"/>
  <c r="CV25" i="149" s="1"/>
  <c r="BG25" i="148"/>
  <c r="BD25" i="149" s="1"/>
  <c r="CT25" i="148"/>
  <c r="CQ25" i="149" s="1"/>
  <c r="CQ25" i="148"/>
  <c r="CN25" i="149" s="1"/>
  <c r="BD25" i="148"/>
  <c r="BA25" i="149" s="1"/>
  <c r="BY25" i="148"/>
  <c r="BV25" i="149" s="1"/>
  <c r="CE25" i="148"/>
  <c r="CB25" i="149" s="1"/>
  <c r="BU25" i="148"/>
  <c r="BR25" i="149" s="1"/>
  <c r="BX25" i="148"/>
  <c r="BU25" i="149" s="1"/>
  <c r="CJ25" i="148"/>
  <c r="CG25" i="149" s="1"/>
  <c r="CB25" i="148"/>
  <c r="BY25" i="149" s="1"/>
  <c r="CL25" i="148"/>
  <c r="CI25" i="149" s="1"/>
  <c r="CK25" i="148"/>
  <c r="CH25" i="149" s="1"/>
  <c r="BF25" i="148"/>
  <c r="BC25" i="149" s="1"/>
  <c r="CC25" i="148"/>
  <c r="BZ25" i="149" s="1"/>
  <c r="G25" i="148"/>
  <c r="BL25" i="148"/>
  <c r="BI25" i="149" s="1"/>
  <c r="BS25" i="148"/>
  <c r="BP25" i="149" s="1"/>
  <c r="BW25" i="148"/>
  <c r="BT25" i="149" s="1"/>
  <c r="BO25" i="148"/>
  <c r="BV25" i="148"/>
  <c r="BS25" i="149" s="1"/>
  <c r="BN25" i="148"/>
  <c r="BK25" i="149" s="1"/>
  <c r="BP25" i="148"/>
  <c r="BM25" i="149" s="1"/>
  <c r="BK25" i="148"/>
  <c r="BH25" i="149" s="1"/>
  <c r="BH25" i="148"/>
  <c r="AZ25" i="148"/>
  <c r="AW25" i="149" s="1"/>
  <c r="BB25" i="148"/>
  <c r="AY25" i="149" s="1"/>
  <c r="BE25" i="148"/>
  <c r="BB25" i="149" s="1"/>
  <c r="BM25" i="148"/>
  <c r="BJ25" i="149" s="1"/>
  <c r="BT25" i="148"/>
  <c r="BQ25" i="149" s="1"/>
  <c r="AV25" i="148"/>
  <c r="AS25" i="149" s="1"/>
  <c r="BI25" i="148"/>
  <c r="BF25" i="149" s="1"/>
  <c r="BA25" i="148"/>
  <c r="AX25" i="149" s="1"/>
  <c r="BJ25" i="148"/>
  <c r="BG25" i="149" s="1"/>
  <c r="BC25" i="148"/>
  <c r="AZ25" i="149" s="1"/>
  <c r="Q112" i="148"/>
  <c r="BO112" i="148"/>
  <c r="AW112" i="148"/>
  <c r="AT112" i="149" s="1"/>
  <c r="CK112" i="148"/>
  <c r="CH112" i="149" s="1"/>
  <c r="BV112" i="148"/>
  <c r="BS112" i="149" s="1"/>
  <c r="I112" i="148"/>
  <c r="BX112" i="148"/>
  <c r="BU112" i="149" s="1"/>
  <c r="BM112" i="148"/>
  <c r="BJ112" i="149" s="1"/>
  <c r="R112" i="148"/>
  <c r="AV112" i="148"/>
  <c r="AS112" i="149" s="1"/>
  <c r="BW112" i="148"/>
  <c r="BT112" i="149" s="1"/>
  <c r="G112" i="148"/>
  <c r="V112" i="148"/>
  <c r="AZ112" i="148"/>
  <c r="AW112" i="149" s="1"/>
  <c r="BP112" i="148"/>
  <c r="BM112" i="149" s="1"/>
  <c r="CV112" i="148"/>
  <c r="CS112" i="149" s="1"/>
  <c r="CY112" i="148"/>
  <c r="CV112" i="149" s="1"/>
  <c r="AX112" i="148"/>
  <c r="AU112" i="149" s="1"/>
  <c r="AY112" i="148"/>
  <c r="AV112" i="149" s="1"/>
  <c r="CI112" i="148"/>
  <c r="CF112" i="149" s="1"/>
  <c r="CB112" i="148"/>
  <c r="BY112" i="149" s="1"/>
  <c r="CE112" i="148"/>
  <c r="CB112" i="149" s="1"/>
  <c r="CW112" i="148"/>
  <c r="CT112" i="149" s="1"/>
  <c r="BJ112" i="148"/>
  <c r="BG112" i="149" s="1"/>
  <c r="BR112" i="148"/>
  <c r="BO112" i="149" s="1"/>
  <c r="BD112" i="148"/>
  <c r="BA112" i="149" s="1"/>
  <c r="CS112" i="148"/>
  <c r="CP112" i="149" s="1"/>
  <c r="CZ112" i="148"/>
  <c r="CW112" i="149" s="1"/>
  <c r="CF112" i="148"/>
  <c r="CC112" i="149" s="1"/>
  <c r="CG112" i="148"/>
  <c r="CD112" i="149" s="1"/>
  <c r="E112" i="148"/>
  <c r="BF112" i="148"/>
  <c r="BC112" i="149" s="1"/>
  <c r="BK112" i="148"/>
  <c r="BH112" i="149" s="1"/>
  <c r="CQ112" i="148"/>
  <c r="CN112" i="149" s="1"/>
  <c r="CL112" i="148"/>
  <c r="CI112" i="149" s="1"/>
  <c r="CO112" i="148"/>
  <c r="CL112" i="149" s="1"/>
  <c r="CM112" i="148"/>
  <c r="CJ112" i="149" s="1"/>
  <c r="BI112" i="148"/>
  <c r="BF112" i="149" s="1"/>
  <c r="H112" i="148"/>
  <c r="BZ112" i="148"/>
  <c r="BW112" i="149" s="1"/>
  <c r="CX112" i="148"/>
  <c r="CU112" i="149" s="1"/>
  <c r="BE112" i="148"/>
  <c r="BB112" i="149" s="1"/>
  <c r="BC112" i="148"/>
  <c r="AZ112" i="149" s="1"/>
  <c r="CJ112" i="148"/>
  <c r="CG112" i="149" s="1"/>
  <c r="BH112" i="148"/>
  <c r="BE112" i="149" s="1"/>
  <c r="CD112" i="148"/>
  <c r="CA112" i="149" s="1"/>
  <c r="CA112" i="148"/>
  <c r="BX112" i="149" s="1"/>
  <c r="BL112" i="148"/>
  <c r="BI112" i="149" s="1"/>
  <c r="DA112" i="148"/>
  <c r="CX112" i="149" s="1"/>
  <c r="CR112" i="148"/>
  <c r="CO112" i="149" s="1"/>
  <c r="BQ112" i="148"/>
  <c r="BN112" i="149" s="1"/>
  <c r="F112" i="148"/>
  <c r="BN112" i="148"/>
  <c r="BK112" i="149" s="1"/>
  <c r="BS112" i="148"/>
  <c r="BP112" i="149" s="1"/>
  <c r="CP112" i="148"/>
  <c r="CM112" i="149" s="1"/>
  <c r="CN112" i="148"/>
  <c r="CK112" i="149" s="1"/>
  <c r="CH112" i="148"/>
  <c r="CE112" i="149" s="1"/>
  <c r="BA112" i="148"/>
  <c r="AX112" i="149" s="1"/>
  <c r="BG112" i="148"/>
  <c r="BD112" i="149" s="1"/>
  <c r="BU112" i="148"/>
  <c r="BR112" i="149" s="1"/>
  <c r="BB112" i="148"/>
  <c r="AY112" i="149" s="1"/>
  <c r="CT112" i="148"/>
  <c r="CQ112" i="149" s="1"/>
  <c r="BT112" i="148"/>
  <c r="BQ112" i="149" s="1"/>
  <c r="CC112" i="148"/>
  <c r="BZ112" i="149" s="1"/>
  <c r="BY112" i="148"/>
  <c r="BV112" i="149" s="1"/>
  <c r="CU112" i="148"/>
  <c r="CR112" i="149" s="1"/>
  <c r="D112" i="148"/>
  <c r="DB115" i="149"/>
  <c r="DA115" i="149"/>
  <c r="CZ115" i="149"/>
  <c r="CY115" i="149"/>
  <c r="BL115" i="149"/>
  <c r="DB100" i="149"/>
  <c r="DA100" i="149"/>
  <c r="CZ100" i="149"/>
  <c r="CY100" i="149"/>
  <c r="BL100" i="149"/>
  <c r="Q130" i="148"/>
  <c r="I130" i="148"/>
  <c r="H130" i="148"/>
  <c r="F130" i="148"/>
  <c r="R130" i="148"/>
  <c r="V130" i="148"/>
  <c r="E130" i="148"/>
  <c r="DA130" i="148"/>
  <c r="CX130" i="149" s="1"/>
  <c r="CC130" i="148"/>
  <c r="BZ130" i="149" s="1"/>
  <c r="CD130" i="148"/>
  <c r="CA130" i="149" s="1"/>
  <c r="CB130" i="148"/>
  <c r="BY130" i="149" s="1"/>
  <c r="CE130" i="148"/>
  <c r="CB130" i="149" s="1"/>
  <c r="CA130" i="148"/>
  <c r="BX130" i="149" s="1"/>
  <c r="G130" i="148"/>
  <c r="CU130" i="148"/>
  <c r="CR130" i="149" s="1"/>
  <c r="D130" i="148"/>
  <c r="CK130" i="148"/>
  <c r="CH130" i="149" s="1"/>
  <c r="BY130" i="148"/>
  <c r="BV130" i="149" s="1"/>
  <c r="CW130" i="148"/>
  <c r="CT130" i="149" s="1"/>
  <c r="CF130" i="148"/>
  <c r="CC130" i="149" s="1"/>
  <c r="CS130" i="148"/>
  <c r="CP130" i="149" s="1"/>
  <c r="CI130" i="148"/>
  <c r="CF130" i="149" s="1"/>
  <c r="BX130" i="148"/>
  <c r="BU130" i="149" s="1"/>
  <c r="CP130" i="148"/>
  <c r="CM130" i="149" s="1"/>
  <c r="CG130" i="148"/>
  <c r="CD130" i="149" s="1"/>
  <c r="CO130" i="148"/>
  <c r="CL130" i="149" s="1"/>
  <c r="CX130" i="148"/>
  <c r="CU130" i="149" s="1"/>
  <c r="CL130" i="148"/>
  <c r="CI130" i="149" s="1"/>
  <c r="CQ130" i="148"/>
  <c r="CN130" i="149" s="1"/>
  <c r="CT130" i="148"/>
  <c r="CQ130" i="149" s="1"/>
  <c r="CN130" i="148"/>
  <c r="CK130" i="149" s="1"/>
  <c r="CM130" i="148"/>
  <c r="CJ130" i="149" s="1"/>
  <c r="CJ130" i="148"/>
  <c r="CG130" i="149" s="1"/>
  <c r="CH130" i="148"/>
  <c r="CE130" i="149" s="1"/>
  <c r="CZ130" i="148"/>
  <c r="CW130" i="149" s="1"/>
  <c r="BZ130" i="148"/>
  <c r="BW130" i="149" s="1"/>
  <c r="CY130" i="148"/>
  <c r="CV130" i="149" s="1"/>
  <c r="CR130" i="148"/>
  <c r="CO130" i="149" s="1"/>
  <c r="CV130" i="148"/>
  <c r="CS130" i="149" s="1"/>
  <c r="BO130" i="148"/>
  <c r="BW130" i="148"/>
  <c r="BT130" i="149" s="1"/>
  <c r="BF130" i="148"/>
  <c r="BC130" i="149" s="1"/>
  <c r="BS130" i="148"/>
  <c r="BP130" i="149" s="1"/>
  <c r="BM130" i="148"/>
  <c r="BJ130" i="149" s="1"/>
  <c r="BB130" i="148"/>
  <c r="AY130" i="149" s="1"/>
  <c r="BP130" i="148"/>
  <c r="BM130" i="149" s="1"/>
  <c r="BD130" i="148"/>
  <c r="BA130" i="149" s="1"/>
  <c r="BQ130" i="148"/>
  <c r="BN130" i="149" s="1"/>
  <c r="AW130" i="148"/>
  <c r="AT130" i="149" s="1"/>
  <c r="BH130" i="148"/>
  <c r="BL130" i="149" s="1"/>
  <c r="BE130" i="148"/>
  <c r="BB130" i="149" s="1"/>
  <c r="AZ130" i="148"/>
  <c r="AW130" i="149" s="1"/>
  <c r="BR130" i="148"/>
  <c r="BO130" i="149" s="1"/>
  <c r="BC130" i="148"/>
  <c r="AZ130" i="149" s="1"/>
  <c r="BT130" i="148"/>
  <c r="BQ130" i="149" s="1"/>
  <c r="BN130" i="148"/>
  <c r="BK130" i="149" s="1"/>
  <c r="BJ130" i="148"/>
  <c r="BG130" i="149" s="1"/>
  <c r="AY130" i="148"/>
  <c r="AV130" i="149" s="1"/>
  <c r="BG130" i="148"/>
  <c r="BD130" i="149" s="1"/>
  <c r="BV130" i="148"/>
  <c r="BS130" i="149" s="1"/>
  <c r="BK130" i="148"/>
  <c r="BH130" i="149" s="1"/>
  <c r="BU130" i="148"/>
  <c r="BR130" i="149" s="1"/>
  <c r="BA130" i="148"/>
  <c r="AX130" i="149" s="1"/>
  <c r="AV130" i="148"/>
  <c r="AS130" i="149" s="1"/>
  <c r="AX130" i="148"/>
  <c r="AU130" i="149" s="1"/>
  <c r="BL130" i="148"/>
  <c r="BI130" i="149" s="1"/>
  <c r="BI130" i="148"/>
  <c r="BF130" i="149" s="1"/>
  <c r="CY62" i="149"/>
  <c r="DB62" i="149"/>
  <c r="DA62" i="149"/>
  <c r="CZ62" i="149"/>
  <c r="BL62" i="149"/>
  <c r="Q45" i="148"/>
  <c r="BN45" i="148"/>
  <c r="BK45" i="149" s="1"/>
  <c r="BH45" i="148"/>
  <c r="BE45" i="149" s="1"/>
  <c r="CO45" i="148"/>
  <c r="CL45" i="149" s="1"/>
  <c r="BX45" i="148"/>
  <c r="BU45" i="149" s="1"/>
  <c r="H45" i="148"/>
  <c r="CB45" i="148"/>
  <c r="BY45" i="149" s="1"/>
  <c r="V45" i="148"/>
  <c r="CP45" i="148"/>
  <c r="CM45" i="149" s="1"/>
  <c r="I45" i="148"/>
  <c r="CM45" i="148"/>
  <c r="CJ45" i="149" s="1"/>
  <c r="BY45" i="148"/>
  <c r="BV45" i="149" s="1"/>
  <c r="DA45" i="148"/>
  <c r="CX45" i="149" s="1"/>
  <c r="CX45" i="148"/>
  <c r="CU45" i="149" s="1"/>
  <c r="AX45" i="148"/>
  <c r="AU45" i="149" s="1"/>
  <c r="CI45" i="148"/>
  <c r="CF45" i="149" s="1"/>
  <c r="CQ45" i="148"/>
  <c r="CN45" i="149" s="1"/>
  <c r="CZ45" i="148"/>
  <c r="CW45" i="149" s="1"/>
  <c r="BL45" i="148"/>
  <c r="BI45" i="149" s="1"/>
  <c r="BV45" i="148"/>
  <c r="BS45" i="149" s="1"/>
  <c r="CE45" i="148"/>
  <c r="CB45" i="149" s="1"/>
  <c r="BT45" i="148"/>
  <c r="BQ45" i="149" s="1"/>
  <c r="BG45" i="148"/>
  <c r="BD45" i="149" s="1"/>
  <c r="E45" i="148"/>
  <c r="CT45" i="148"/>
  <c r="CQ45" i="149" s="1"/>
  <c r="CG45" i="148"/>
  <c r="CD45" i="149" s="1"/>
  <c r="CH45" i="148"/>
  <c r="CE45" i="149" s="1"/>
  <c r="CU45" i="148"/>
  <c r="CR45" i="149" s="1"/>
  <c r="BF45" i="148"/>
  <c r="BC45" i="149" s="1"/>
  <c r="CL45" i="148"/>
  <c r="CI45" i="149" s="1"/>
  <c r="BS45" i="148"/>
  <c r="BP45" i="149" s="1"/>
  <c r="CS45" i="148"/>
  <c r="CP45" i="149" s="1"/>
  <c r="BK45" i="148"/>
  <c r="BH45" i="149" s="1"/>
  <c r="CF45" i="148"/>
  <c r="CC45" i="149" s="1"/>
  <c r="R45" i="148"/>
  <c r="BE45" i="148"/>
  <c r="BB45" i="149" s="1"/>
  <c r="BD45" i="148"/>
  <c r="BA45" i="149" s="1"/>
  <c r="BP45" i="148"/>
  <c r="BM45" i="149" s="1"/>
  <c r="CA45" i="148"/>
  <c r="BX45" i="149" s="1"/>
  <c r="CW45" i="148"/>
  <c r="CT45" i="149" s="1"/>
  <c r="BR45" i="148"/>
  <c r="BO45" i="149" s="1"/>
  <c r="CY45" i="148"/>
  <c r="CV45" i="149" s="1"/>
  <c r="CC45" i="148"/>
  <c r="BZ45" i="149" s="1"/>
  <c r="CK45" i="148"/>
  <c r="CH45" i="149" s="1"/>
  <c r="AY45" i="148"/>
  <c r="AV45" i="149" s="1"/>
  <c r="CV45" i="148"/>
  <c r="CS45" i="149" s="1"/>
  <c r="BO45" i="148"/>
  <c r="BU45" i="148"/>
  <c r="BR45" i="149" s="1"/>
  <c r="BZ45" i="148"/>
  <c r="BW45" i="149" s="1"/>
  <c r="CN45" i="148"/>
  <c r="CK45" i="149" s="1"/>
  <c r="CR45" i="148"/>
  <c r="CO45" i="149" s="1"/>
  <c r="BQ45" i="148"/>
  <c r="BN45" i="149" s="1"/>
  <c r="F45" i="148"/>
  <c r="CJ45" i="148"/>
  <c r="CG45" i="149" s="1"/>
  <c r="CD45" i="148"/>
  <c r="CA45" i="149" s="1"/>
  <c r="AW45" i="148"/>
  <c r="AT45" i="149" s="1"/>
  <c r="BW45" i="148"/>
  <c r="BT45" i="149" s="1"/>
  <c r="AV45" i="148"/>
  <c r="AS45" i="149" s="1"/>
  <c r="G45" i="148"/>
  <c r="BJ45" i="148"/>
  <c r="BG45" i="149" s="1"/>
  <c r="BC45" i="148"/>
  <c r="AZ45" i="149" s="1"/>
  <c r="AZ45" i="148"/>
  <c r="AW45" i="149" s="1"/>
  <c r="BB45" i="148"/>
  <c r="AY45" i="149" s="1"/>
  <c r="BA45" i="148"/>
  <c r="AX45" i="149" s="1"/>
  <c r="BM45" i="148"/>
  <c r="BJ45" i="149" s="1"/>
  <c r="BI45" i="148"/>
  <c r="BF45" i="149" s="1"/>
  <c r="D45" i="148"/>
  <c r="Q31" i="148"/>
  <c r="H31" i="148"/>
  <c r="CZ31" i="148"/>
  <c r="CW31" i="149" s="1"/>
  <c r="CB31" i="148"/>
  <c r="BY31" i="149" s="1"/>
  <c r="BF31" i="148"/>
  <c r="BC31" i="149" s="1"/>
  <c r="E31" i="148"/>
  <c r="BX31" i="148"/>
  <c r="BU31" i="149" s="1"/>
  <c r="CM31" i="148"/>
  <c r="CJ31" i="149" s="1"/>
  <c r="BV31" i="148"/>
  <c r="BS31" i="149" s="1"/>
  <c r="F31" i="148"/>
  <c r="CG31" i="148"/>
  <c r="CD31" i="149" s="1"/>
  <c r="BZ31" i="148"/>
  <c r="BW31" i="149" s="1"/>
  <c r="BD31" i="148"/>
  <c r="BA31" i="149" s="1"/>
  <c r="I31" i="148"/>
  <c r="CI31" i="148"/>
  <c r="CF31" i="149" s="1"/>
  <c r="CY31" i="148"/>
  <c r="CV31" i="149" s="1"/>
  <c r="BS31" i="148"/>
  <c r="BP31" i="149" s="1"/>
  <c r="V31" i="148"/>
  <c r="CX31" i="148"/>
  <c r="CU31" i="149" s="1"/>
  <c r="CD31" i="148"/>
  <c r="CA31" i="149" s="1"/>
  <c r="AW31" i="148"/>
  <c r="AT31" i="149" s="1"/>
  <c r="CH31" i="148"/>
  <c r="CE31" i="149" s="1"/>
  <c r="CN31" i="148"/>
  <c r="CK31" i="149" s="1"/>
  <c r="CF31" i="148"/>
  <c r="CC31" i="149" s="1"/>
  <c r="BU31" i="148"/>
  <c r="BR31" i="149" s="1"/>
  <c r="CV31" i="148"/>
  <c r="CS31" i="149" s="1"/>
  <c r="CC31" i="148"/>
  <c r="BZ31" i="149" s="1"/>
  <c r="CA31" i="148"/>
  <c r="BX31" i="149" s="1"/>
  <c r="AV31" i="148"/>
  <c r="AS31" i="149" s="1"/>
  <c r="CP31" i="148"/>
  <c r="CM31" i="149" s="1"/>
  <c r="CW31" i="148"/>
  <c r="CT31" i="149" s="1"/>
  <c r="CQ31" i="148"/>
  <c r="CN31" i="149" s="1"/>
  <c r="BW31" i="148"/>
  <c r="BT31" i="149" s="1"/>
  <c r="CO31" i="148"/>
  <c r="CL31" i="149" s="1"/>
  <c r="CK31" i="148"/>
  <c r="CH31" i="149" s="1"/>
  <c r="CT31" i="148"/>
  <c r="CQ31" i="149" s="1"/>
  <c r="AY31" i="148"/>
  <c r="AV31" i="149" s="1"/>
  <c r="CU31" i="148"/>
  <c r="CR31" i="149" s="1"/>
  <c r="BY31" i="148"/>
  <c r="BV31" i="149" s="1"/>
  <c r="CJ31" i="148"/>
  <c r="CG31" i="149" s="1"/>
  <c r="G31" i="148"/>
  <c r="CL31" i="148"/>
  <c r="CI31" i="149" s="1"/>
  <c r="CS31" i="148"/>
  <c r="CP31" i="149" s="1"/>
  <c r="R31" i="148"/>
  <c r="CR31" i="148"/>
  <c r="CO31" i="149" s="1"/>
  <c r="DA31" i="148"/>
  <c r="CX31" i="149" s="1"/>
  <c r="CE31" i="148"/>
  <c r="CB31" i="149" s="1"/>
  <c r="AX31" i="148"/>
  <c r="AU31" i="149" s="1"/>
  <c r="BH31" i="148"/>
  <c r="BE31" i="149" s="1"/>
  <c r="BG31" i="148"/>
  <c r="BD31" i="149" s="1"/>
  <c r="BA31" i="148"/>
  <c r="AX31" i="149" s="1"/>
  <c r="BQ31" i="148"/>
  <c r="BN31" i="149" s="1"/>
  <c r="BP31" i="148"/>
  <c r="BM31" i="149" s="1"/>
  <c r="BJ31" i="148"/>
  <c r="BG31" i="149" s="1"/>
  <c r="BM31" i="148"/>
  <c r="BJ31" i="149" s="1"/>
  <c r="BT31" i="148"/>
  <c r="BQ31" i="149" s="1"/>
  <c r="BE31" i="148"/>
  <c r="BB31" i="149" s="1"/>
  <c r="BI31" i="148"/>
  <c r="BF31" i="149" s="1"/>
  <c r="BB31" i="148"/>
  <c r="AY31" i="149" s="1"/>
  <c r="BK31" i="148"/>
  <c r="BH31" i="149" s="1"/>
  <c r="BL31" i="148"/>
  <c r="BI31" i="149" s="1"/>
  <c r="BR31" i="148"/>
  <c r="BO31" i="149" s="1"/>
  <c r="AZ31" i="148"/>
  <c r="AW31" i="149" s="1"/>
  <c r="BC31" i="148"/>
  <c r="AZ31" i="149" s="1"/>
  <c r="BN31" i="148"/>
  <c r="BK31" i="149" s="1"/>
  <c r="D31" i="148"/>
  <c r="BO31" i="148"/>
  <c r="Q11" i="148"/>
  <c r="H11" i="148"/>
  <c r="CB11" i="148"/>
  <c r="BY11" i="149" s="1"/>
  <c r="BY11" i="148"/>
  <c r="BV11" i="149" s="1"/>
  <c r="BP11" i="148"/>
  <c r="BM11" i="149" s="1"/>
  <c r="R11" i="148"/>
  <c r="CI11" i="148"/>
  <c r="CF11" i="149" s="1"/>
  <c r="CA11" i="148"/>
  <c r="BX11" i="149" s="1"/>
  <c r="BQ11" i="148"/>
  <c r="BN11" i="149" s="1"/>
  <c r="V11" i="148"/>
  <c r="CF11" i="148"/>
  <c r="CC11" i="149" s="1"/>
  <c r="CX11" i="148"/>
  <c r="CU11" i="149" s="1"/>
  <c r="AV11" i="148"/>
  <c r="AS11" i="149" s="1"/>
  <c r="G11" i="148"/>
  <c r="CN11" i="148"/>
  <c r="CK11" i="149" s="1"/>
  <c r="CP11" i="148"/>
  <c r="CM11" i="149" s="1"/>
  <c r="BS11" i="148"/>
  <c r="BP11" i="149" s="1"/>
  <c r="CQ11" i="148"/>
  <c r="CN11" i="149" s="1"/>
  <c r="CL11" i="148"/>
  <c r="CI11" i="149" s="1"/>
  <c r="CR11" i="148"/>
  <c r="CO11" i="149" s="1"/>
  <c r="BF11" i="148"/>
  <c r="BC11" i="149" s="1"/>
  <c r="BX11" i="148"/>
  <c r="BU11" i="149" s="1"/>
  <c r="CT11" i="148"/>
  <c r="CQ11" i="149" s="1"/>
  <c r="CO11" i="148"/>
  <c r="CL11" i="149" s="1"/>
  <c r="AW11" i="148"/>
  <c r="AT11" i="149" s="1"/>
  <c r="CU11" i="148"/>
  <c r="CR11" i="149" s="1"/>
  <c r="CD11" i="148"/>
  <c r="CA11" i="149" s="1"/>
  <c r="CK11" i="148"/>
  <c r="CH11" i="149" s="1"/>
  <c r="AY11" i="148"/>
  <c r="AV11" i="149" s="1"/>
  <c r="DA11" i="148"/>
  <c r="CX11" i="149" s="1"/>
  <c r="CH11" i="148"/>
  <c r="CE11" i="149" s="1"/>
  <c r="CJ11" i="148"/>
  <c r="CG11" i="149" s="1"/>
  <c r="CM11" i="148"/>
  <c r="CJ11" i="149" s="1"/>
  <c r="CS11" i="148"/>
  <c r="CP11" i="149" s="1"/>
  <c r="CV11" i="148"/>
  <c r="CS11" i="149" s="1"/>
  <c r="F11" i="148"/>
  <c r="CY11" i="148"/>
  <c r="CV11" i="149" s="1"/>
  <c r="CZ11" i="148"/>
  <c r="CW11" i="149" s="1"/>
  <c r="CE11" i="148"/>
  <c r="CB11" i="149" s="1"/>
  <c r="I11" i="148"/>
  <c r="BZ11" i="148"/>
  <c r="BW11" i="149" s="1"/>
  <c r="CC11" i="148"/>
  <c r="BZ11" i="149" s="1"/>
  <c r="BV11" i="148"/>
  <c r="BS11" i="149" s="1"/>
  <c r="E11" i="148"/>
  <c r="CW11" i="148"/>
  <c r="CT11" i="149" s="1"/>
  <c r="CG11" i="148"/>
  <c r="CD11" i="149" s="1"/>
  <c r="BT11" i="148"/>
  <c r="BQ11" i="149" s="1"/>
  <c r="BI11" i="148"/>
  <c r="BF11" i="149" s="1"/>
  <c r="BC11" i="148"/>
  <c r="AZ11" i="149" s="1"/>
  <c r="BM11" i="148"/>
  <c r="BJ11" i="149" s="1"/>
  <c r="BR11" i="148"/>
  <c r="BO11" i="149" s="1"/>
  <c r="BL11" i="148"/>
  <c r="BI11" i="149" s="1"/>
  <c r="BG11" i="148"/>
  <c r="BD11" i="149" s="1"/>
  <c r="BE11" i="148"/>
  <c r="BB11" i="149" s="1"/>
  <c r="BN11" i="148"/>
  <c r="BK11" i="149" s="1"/>
  <c r="BJ11" i="148"/>
  <c r="BG11" i="149" s="1"/>
  <c r="BH11" i="148"/>
  <c r="BE11" i="149" s="1"/>
  <c r="AZ11" i="148"/>
  <c r="AW11" i="149" s="1"/>
  <c r="BA11" i="148"/>
  <c r="AX11" i="149" s="1"/>
  <c r="BB11" i="148"/>
  <c r="AY11" i="149" s="1"/>
  <c r="BO11" i="148"/>
  <c r="D11" i="148"/>
  <c r="BK11" i="148"/>
  <c r="BH11" i="149" s="1"/>
  <c r="DA26" i="149"/>
  <c r="CZ26" i="149"/>
  <c r="DB26" i="149"/>
  <c r="BL26" i="149"/>
  <c r="CZ61" i="149"/>
  <c r="DB61" i="149"/>
  <c r="DA61" i="149"/>
  <c r="BL61" i="149"/>
  <c r="DB66" i="149"/>
  <c r="DA66" i="149"/>
  <c r="CZ66" i="149"/>
  <c r="BL66" i="149"/>
  <c r="R22" i="151"/>
  <c r="G22" i="151"/>
  <c r="H22" i="151"/>
  <c r="P22" i="151"/>
  <c r="E22" i="151"/>
  <c r="D22" i="151"/>
  <c r="CM22" i="151"/>
  <c r="BX22" i="151"/>
  <c r="CN22" i="151"/>
  <c r="CL22" i="151"/>
  <c r="CO22" i="151"/>
  <c r="CW22" i="151"/>
  <c r="CR22" i="151"/>
  <c r="BT22" i="151"/>
  <c r="CF22" i="151"/>
  <c r="F22" i="151"/>
  <c r="BW22" i="151"/>
  <c r="CQ22" i="151"/>
  <c r="CU22" i="151"/>
  <c r="CI22" i="151"/>
  <c r="CA22" i="151"/>
  <c r="CD22" i="151"/>
  <c r="BY22" i="151"/>
  <c r="CV22" i="151"/>
  <c r="CJ22" i="151"/>
  <c r="BV22" i="151"/>
  <c r="CE22" i="151"/>
  <c r="CK22" i="151"/>
  <c r="CP22" i="151"/>
  <c r="CT22" i="151"/>
  <c r="CH22" i="151"/>
  <c r="CB22" i="151"/>
  <c r="BZ22" i="151"/>
  <c r="CS22" i="151"/>
  <c r="CC22" i="151"/>
  <c r="CG22" i="151"/>
  <c r="BU22" i="151"/>
  <c r="BP22" i="151"/>
  <c r="AT22" i="151"/>
  <c r="BB22" i="151"/>
  <c r="BR22" i="151"/>
  <c r="BM22" i="151"/>
  <c r="AS22" i="151"/>
  <c r="AY22" i="151"/>
  <c r="BL22" i="151"/>
  <c r="BJ22" i="151"/>
  <c r="BQ22" i="151"/>
  <c r="BD22" i="151"/>
  <c r="AR22" i="151"/>
  <c r="BC22" i="151"/>
  <c r="AZ22" i="151"/>
  <c r="BN22" i="151"/>
  <c r="AX22" i="151"/>
  <c r="BF22" i="151"/>
  <c r="BO22" i="151"/>
  <c r="BA22" i="151"/>
  <c r="AW22" i="151"/>
  <c r="AU22" i="151"/>
  <c r="BE22" i="151"/>
  <c r="BS22" i="151"/>
  <c r="BH22" i="151"/>
  <c r="AV22" i="151"/>
  <c r="BI22" i="151"/>
  <c r="BG22" i="151"/>
  <c r="BK22" i="151"/>
  <c r="R12" i="153"/>
  <c r="D12" i="153"/>
  <c r="E12" i="153"/>
  <c r="P12" i="153"/>
  <c r="G12" i="153"/>
  <c r="H12" i="153"/>
  <c r="C12" i="153"/>
  <c r="BW12" i="153"/>
  <c r="CC12" i="153"/>
  <c r="CA12" i="153"/>
  <c r="CF12" i="153"/>
  <c r="BV12" i="153"/>
  <c r="BX12" i="153"/>
  <c r="CV12" i="153"/>
  <c r="CL12" i="153"/>
  <c r="CN12" i="153"/>
  <c r="CP12" i="153"/>
  <c r="BZ12" i="153"/>
  <c r="CG12" i="153"/>
  <c r="CT12" i="153"/>
  <c r="BU12" i="153"/>
  <c r="CJ12" i="153"/>
  <c r="CD12" i="153"/>
  <c r="CM12" i="153"/>
  <c r="CU12" i="153"/>
  <c r="CW12" i="153"/>
  <c r="CS12" i="153"/>
  <c r="F12" i="153"/>
  <c r="CO12" i="153"/>
  <c r="CK12" i="153"/>
  <c r="CQ12" i="153"/>
  <c r="CR12" i="153"/>
  <c r="CI12" i="153"/>
  <c r="BT12" i="153"/>
  <c r="CH12" i="153"/>
  <c r="CE12" i="153"/>
  <c r="CB12" i="153"/>
  <c r="BY12" i="153"/>
  <c r="BA12" i="153"/>
  <c r="BM12" i="153"/>
  <c r="BI12" i="153"/>
  <c r="BF12" i="153"/>
  <c r="AX12" i="153"/>
  <c r="BN12" i="153"/>
  <c r="AT12" i="153"/>
  <c r="AS12" i="153"/>
  <c r="BC12" i="153"/>
  <c r="BD12" i="153"/>
  <c r="BH12" i="153"/>
  <c r="BG12" i="153"/>
  <c r="BE12" i="153"/>
  <c r="BP12" i="153"/>
  <c r="BK12" i="153"/>
  <c r="BJ12" i="153"/>
  <c r="AU12" i="153"/>
  <c r="AZ12" i="153"/>
  <c r="AV12" i="153"/>
  <c r="BL12" i="153"/>
  <c r="AW12" i="153"/>
  <c r="BQ12" i="153"/>
  <c r="AR12" i="153"/>
  <c r="AY12" i="153"/>
  <c r="BR12" i="153"/>
  <c r="BB12" i="153"/>
  <c r="BO12" i="153"/>
  <c r="G23" i="153"/>
  <c r="E23" i="153"/>
  <c r="R23" i="153"/>
  <c r="D23" i="153"/>
  <c r="P23" i="153"/>
  <c r="H23" i="153"/>
  <c r="C23" i="153"/>
  <c r="BX23" i="153"/>
  <c r="BW23" i="153"/>
  <c r="CI23" i="153"/>
  <c r="CV23" i="153"/>
  <c r="CJ23" i="153"/>
  <c r="CU23" i="153"/>
  <c r="CK23" i="153"/>
  <c r="CT23" i="153"/>
  <c r="CG23" i="153"/>
  <c r="CM23" i="153"/>
  <c r="BZ23" i="153"/>
  <c r="CA23" i="153"/>
  <c r="CO23" i="153"/>
  <c r="CD23" i="153"/>
  <c r="CW23" i="153"/>
  <c r="CQ23" i="153"/>
  <c r="CF23" i="153"/>
  <c r="CC23" i="153"/>
  <c r="BY23" i="153"/>
  <c r="CL23" i="153"/>
  <c r="CH23" i="153"/>
  <c r="F23" i="153"/>
  <c r="BV23" i="153"/>
  <c r="CE23" i="153"/>
  <c r="BT23" i="153"/>
  <c r="CN23" i="153"/>
  <c r="CP23" i="153"/>
  <c r="CR23" i="153"/>
  <c r="CB23" i="153"/>
  <c r="BU23" i="153"/>
  <c r="CS23" i="153"/>
  <c r="BD23" i="153"/>
  <c r="AY23" i="153"/>
  <c r="BI23" i="153"/>
  <c r="AS23" i="153"/>
  <c r="BR23" i="153"/>
  <c r="BK23" i="153"/>
  <c r="BP23" i="153"/>
  <c r="BB23" i="153"/>
  <c r="BH23" i="153"/>
  <c r="AU23" i="153"/>
  <c r="BM23" i="153"/>
  <c r="BE23" i="153"/>
  <c r="BO23" i="153"/>
  <c r="AV23" i="153"/>
  <c r="BF23" i="153"/>
  <c r="AX23" i="153"/>
  <c r="BJ23" i="153"/>
  <c r="AW23" i="153"/>
  <c r="BG23" i="153"/>
  <c r="BA23" i="153"/>
  <c r="BL23" i="153"/>
  <c r="BN23" i="153"/>
  <c r="AT23" i="153"/>
  <c r="BC23" i="153"/>
  <c r="D29" i="153"/>
  <c r="H29" i="153"/>
  <c r="P29" i="153"/>
  <c r="R29" i="153"/>
  <c r="E29" i="153"/>
  <c r="C29" i="153" s="1"/>
  <c r="G29" i="153"/>
  <c r="CC29" i="153"/>
  <c r="BY29" i="153"/>
  <c r="CB29" i="153"/>
  <c r="BZ29" i="153"/>
  <c r="CD29" i="153"/>
  <c r="CI29" i="153"/>
  <c r="CJ29" i="153"/>
  <c r="BW29" i="153"/>
  <c r="BV29" i="153"/>
  <c r="CW29" i="153"/>
  <c r="CH29" i="153"/>
  <c r="CR29" i="153"/>
  <c r="CN29" i="153"/>
  <c r="BT29" i="153"/>
  <c r="CK29" i="153"/>
  <c r="CV29" i="153"/>
  <c r="CF29" i="153"/>
  <c r="BX29" i="153"/>
  <c r="CP29" i="153"/>
  <c r="CS29" i="153"/>
  <c r="F29" i="153"/>
  <c r="CG29" i="153"/>
  <c r="CA29" i="153"/>
  <c r="CQ29" i="153"/>
  <c r="CE29" i="153"/>
  <c r="CL29" i="153"/>
  <c r="BU29" i="153"/>
  <c r="CO29" i="153"/>
  <c r="CM29" i="153"/>
  <c r="CU29" i="153"/>
  <c r="CT29" i="153"/>
  <c r="BL29" i="153"/>
  <c r="AX29" i="153"/>
  <c r="BH29" i="153"/>
  <c r="BE29" i="153"/>
  <c r="BG29" i="153"/>
  <c r="AT29" i="153"/>
  <c r="BB29" i="153"/>
  <c r="AV29" i="153"/>
  <c r="AW29" i="153"/>
  <c r="BR29" i="153"/>
  <c r="AU29" i="153"/>
  <c r="BJ29" i="153"/>
  <c r="AS29" i="153"/>
  <c r="BF29" i="153"/>
  <c r="BM29" i="153"/>
  <c r="BQ29" i="153"/>
  <c r="AZ29" i="153"/>
  <c r="BA29" i="153"/>
  <c r="BK29" i="153"/>
  <c r="AY29" i="153"/>
  <c r="BC29" i="153"/>
  <c r="AR29" i="153"/>
  <c r="BI29" i="153"/>
  <c r="BP29" i="153"/>
  <c r="BD29" i="153"/>
  <c r="BO29" i="153"/>
  <c r="BS29" i="153"/>
  <c r="BN29" i="153"/>
  <c r="P35" i="153"/>
  <c r="H35" i="153"/>
  <c r="D35" i="153"/>
  <c r="E35" i="153"/>
  <c r="G35" i="153"/>
  <c r="R35" i="153"/>
  <c r="C35" i="153"/>
  <c r="CV35" i="153"/>
  <c r="CD35" i="153"/>
  <c r="CG35" i="153"/>
  <c r="CW35" i="153"/>
  <c r="CE35" i="153"/>
  <c r="CT35" i="153"/>
  <c r="CA35" i="153"/>
  <c r="CR35" i="153"/>
  <c r="CH35" i="153"/>
  <c r="CO35" i="153"/>
  <c r="CF35" i="153"/>
  <c r="CS35" i="153"/>
  <c r="BV35" i="153"/>
  <c r="CB35" i="153"/>
  <c r="CM35" i="153"/>
  <c r="CU35" i="153"/>
  <c r="BW35" i="153"/>
  <c r="CJ35" i="153"/>
  <c r="BU35" i="153"/>
  <c r="CL35" i="153"/>
  <c r="CN35" i="153"/>
  <c r="CQ35" i="153"/>
  <c r="BT35" i="153"/>
  <c r="CP35" i="153"/>
  <c r="CC35" i="153"/>
  <c r="BY35" i="153"/>
  <c r="CI35" i="153"/>
  <c r="BZ35" i="153"/>
  <c r="F35" i="153"/>
  <c r="CK35" i="153"/>
  <c r="BX35" i="153"/>
  <c r="AY35" i="153"/>
  <c r="BH35" i="153"/>
  <c r="BM35" i="153"/>
  <c r="AU35" i="153"/>
  <c r="AR35" i="153"/>
  <c r="AX35" i="153"/>
  <c r="BN35" i="153"/>
  <c r="BS35" i="153"/>
  <c r="BR35" i="153"/>
  <c r="BF35" i="153"/>
  <c r="AV35" i="153"/>
  <c r="BC35" i="153"/>
  <c r="BD35" i="153"/>
  <c r="AT35" i="153"/>
  <c r="AW35" i="153"/>
  <c r="BE35" i="153"/>
  <c r="AS35" i="153"/>
  <c r="BI35" i="153"/>
  <c r="BJ35" i="153"/>
  <c r="BP35" i="153"/>
  <c r="BB35" i="153"/>
  <c r="BO35" i="153"/>
  <c r="AZ35" i="153"/>
  <c r="BL35" i="153"/>
  <c r="BA35" i="153"/>
  <c r="BQ35" i="153"/>
  <c r="BK35" i="153"/>
  <c r="BG35" i="153"/>
  <c r="P8" i="153"/>
  <c r="G8" i="153"/>
  <c r="D8" i="153"/>
  <c r="R8" i="153"/>
  <c r="H8" i="153"/>
  <c r="CJ8" i="153"/>
  <c r="BV8" i="153"/>
  <c r="BU8" i="153"/>
  <c r="CI8" i="153"/>
  <c r="BZ8" i="153"/>
  <c r="CC8" i="153"/>
  <c r="CR8" i="153"/>
  <c r="CP8" i="153"/>
  <c r="CM8" i="153"/>
  <c r="CO8" i="153"/>
  <c r="CT8" i="153"/>
  <c r="BY8" i="153"/>
  <c r="CL8" i="153"/>
  <c r="BX8" i="153"/>
  <c r="CQ8" i="153"/>
  <c r="CN8" i="153"/>
  <c r="CS8" i="153"/>
  <c r="F8" i="153"/>
  <c r="CD8" i="153"/>
  <c r="CF8" i="153"/>
  <c r="CH8" i="153"/>
  <c r="CU8" i="153"/>
  <c r="BT8" i="153"/>
  <c r="CK8" i="153"/>
  <c r="BW8" i="153"/>
  <c r="CW8" i="153"/>
  <c r="CB8" i="153"/>
  <c r="CV8" i="153"/>
  <c r="CG8" i="153"/>
  <c r="CA8" i="153"/>
  <c r="CE8" i="153"/>
  <c r="AR8" i="153"/>
  <c r="BK8" i="153"/>
  <c r="AT8" i="153"/>
  <c r="AU8" i="153"/>
  <c r="BB8" i="153"/>
  <c r="BC8" i="153"/>
  <c r="BP8" i="153"/>
  <c r="AV8" i="153"/>
  <c r="AY8" i="153"/>
  <c r="BS8" i="153"/>
  <c r="BH8" i="153"/>
  <c r="AZ8" i="153"/>
  <c r="BM8" i="153"/>
  <c r="BR8" i="153"/>
  <c r="BN8" i="153"/>
  <c r="BG8" i="153"/>
  <c r="BI8" i="153"/>
  <c r="BO8" i="153"/>
  <c r="BD8" i="153"/>
  <c r="AW8" i="153"/>
  <c r="BQ8" i="153"/>
  <c r="AX8" i="153"/>
  <c r="BF8" i="153"/>
  <c r="BA8" i="153"/>
  <c r="BE8" i="153"/>
  <c r="BL8" i="153"/>
  <c r="BJ8" i="153"/>
  <c r="AS8" i="153"/>
  <c r="Q79" i="148"/>
  <c r="BK79" i="148"/>
  <c r="BH79" i="149" s="1"/>
  <c r="V79" i="148"/>
  <c r="CJ79" i="148"/>
  <c r="CG79" i="149" s="1"/>
  <c r="CB79" i="148"/>
  <c r="BY79" i="149" s="1"/>
  <c r="BE79" i="148"/>
  <c r="BB79" i="149" s="1"/>
  <c r="BF79" i="148"/>
  <c r="BC79" i="149" s="1"/>
  <c r="BN79" i="148"/>
  <c r="BK79" i="149" s="1"/>
  <c r="BJ79" i="148"/>
  <c r="BG79" i="149" s="1"/>
  <c r="F79" i="148"/>
  <c r="CC79" i="148"/>
  <c r="BZ79" i="149" s="1"/>
  <c r="CE79" i="148"/>
  <c r="CB79" i="149" s="1"/>
  <c r="BW79" i="148"/>
  <c r="BT79" i="149" s="1"/>
  <c r="AY79" i="148"/>
  <c r="AV79" i="149" s="1"/>
  <c r="BM79" i="148"/>
  <c r="BJ79" i="149" s="1"/>
  <c r="I79" i="148"/>
  <c r="G79" i="148"/>
  <c r="BZ79" i="148"/>
  <c r="BW79" i="149" s="1"/>
  <c r="AV79" i="148"/>
  <c r="AS79" i="149" s="1"/>
  <c r="BL79" i="148"/>
  <c r="BI79" i="149" s="1"/>
  <c r="BY79" i="148"/>
  <c r="BV79" i="149" s="1"/>
  <c r="CO79" i="148"/>
  <c r="CL79" i="149" s="1"/>
  <c r="CK79" i="148"/>
  <c r="CH79" i="149" s="1"/>
  <c r="AX79" i="148"/>
  <c r="AU79" i="149" s="1"/>
  <c r="BH79" i="148"/>
  <c r="BE79" i="149" s="1"/>
  <c r="CX79" i="148"/>
  <c r="CU79" i="149" s="1"/>
  <c r="CM79" i="148"/>
  <c r="CJ79" i="149" s="1"/>
  <c r="CT79" i="148"/>
  <c r="CQ79" i="149" s="1"/>
  <c r="BV79" i="148"/>
  <c r="BS79" i="149" s="1"/>
  <c r="AZ79" i="148"/>
  <c r="AW79" i="149" s="1"/>
  <c r="CF79" i="148"/>
  <c r="CC79" i="149" s="1"/>
  <c r="CI79" i="148"/>
  <c r="CF79" i="149" s="1"/>
  <c r="CG79" i="148"/>
  <c r="CD79" i="149" s="1"/>
  <c r="BS79" i="148"/>
  <c r="BP79" i="149" s="1"/>
  <c r="BC79" i="148"/>
  <c r="AZ79" i="149" s="1"/>
  <c r="CL79" i="148"/>
  <c r="CI79" i="149" s="1"/>
  <c r="CN79" i="148"/>
  <c r="CK79" i="149" s="1"/>
  <c r="CR79" i="148"/>
  <c r="CO79" i="149" s="1"/>
  <c r="BT79" i="148"/>
  <c r="BQ79" i="149" s="1"/>
  <c r="BB79" i="148"/>
  <c r="AY79" i="149" s="1"/>
  <c r="CP79" i="148"/>
  <c r="CM79" i="149" s="1"/>
  <c r="CW79" i="148"/>
  <c r="CT79" i="149" s="1"/>
  <c r="CH79" i="148"/>
  <c r="CE79" i="149" s="1"/>
  <c r="AW79" i="148"/>
  <c r="AT79" i="149" s="1"/>
  <c r="BA79" i="148"/>
  <c r="AX79" i="149" s="1"/>
  <c r="E79" i="148"/>
  <c r="BX79" i="148"/>
  <c r="BU79" i="149" s="1"/>
  <c r="CA79" i="148"/>
  <c r="BX79" i="149" s="1"/>
  <c r="CY79" i="148"/>
  <c r="CV79" i="149" s="1"/>
  <c r="BU79" i="148"/>
  <c r="BR79" i="149" s="1"/>
  <c r="BO79" i="148"/>
  <c r="R79" i="148"/>
  <c r="CS79" i="148"/>
  <c r="CP79" i="149" s="1"/>
  <c r="CV79" i="148"/>
  <c r="CS79" i="149" s="1"/>
  <c r="BD79" i="148"/>
  <c r="BA79" i="149" s="1"/>
  <c r="BR79" i="148"/>
  <c r="BO79" i="149" s="1"/>
  <c r="CD79" i="148"/>
  <c r="CA79" i="149" s="1"/>
  <c r="H79" i="148"/>
  <c r="BI79" i="148"/>
  <c r="BF79" i="149" s="1"/>
  <c r="CZ79" i="148"/>
  <c r="CW79" i="149" s="1"/>
  <c r="CQ79" i="148"/>
  <c r="CN79" i="149" s="1"/>
  <c r="DA79" i="148"/>
  <c r="CX79" i="149" s="1"/>
  <c r="CU79" i="148"/>
  <c r="CR79" i="149" s="1"/>
  <c r="BQ79" i="148"/>
  <c r="BN79" i="149" s="1"/>
  <c r="BG79" i="148"/>
  <c r="BD79" i="149" s="1"/>
  <c r="BP79" i="148"/>
  <c r="BM79" i="149" s="1"/>
  <c r="D79" i="148"/>
  <c r="CZ134" i="149"/>
  <c r="BF134" i="149"/>
  <c r="CJ134" i="149"/>
  <c r="BV134" i="149"/>
  <c r="AV134" i="149"/>
  <c r="BK134" i="149"/>
  <c r="CY134" i="149"/>
  <c r="BM134" i="149"/>
  <c r="BU134" i="149"/>
  <c r="BO134" i="149"/>
  <c r="CN134" i="149"/>
  <c r="DA134" i="149"/>
  <c r="BX134" i="149"/>
  <c r="BN134" i="149"/>
  <c r="BC134" i="149"/>
  <c r="CT134" i="149"/>
  <c r="BI134" i="149"/>
  <c r="CR134" i="149"/>
  <c r="BD134" i="149"/>
  <c r="AS134" i="149"/>
  <c r="CO134" i="149"/>
  <c r="CE134" i="149"/>
  <c r="AU134" i="149"/>
  <c r="BA134" i="149"/>
  <c r="CQ134" i="149"/>
  <c r="BH134" i="149"/>
  <c r="BY134" i="149"/>
  <c r="DB134" i="149"/>
  <c r="CM134" i="149"/>
  <c r="BP134" i="149"/>
  <c r="BB134" i="149"/>
  <c r="BL134" i="149"/>
  <c r="CC134" i="149"/>
  <c r="AZ134" i="149"/>
  <c r="BT134" i="149"/>
  <c r="BG134" i="149"/>
  <c r="CV134" i="149"/>
  <c r="AY134" i="149"/>
  <c r="AW134" i="149"/>
  <c r="CW134" i="149"/>
  <c r="CU134" i="149"/>
  <c r="CL134" i="149"/>
  <c r="BS134" i="149"/>
  <c r="CS134" i="149"/>
  <c r="CB134" i="149"/>
  <c r="BQ134" i="149"/>
  <c r="CH134" i="149"/>
  <c r="CD134" i="149"/>
  <c r="BJ134" i="149"/>
  <c r="CA134" i="149"/>
  <c r="BZ134" i="149"/>
  <c r="CI134" i="149"/>
  <c r="BW134" i="149"/>
  <c r="CP134" i="149"/>
  <c r="AT134" i="149"/>
  <c r="AX134" i="149"/>
  <c r="CK134" i="149"/>
  <c r="BE134" i="149"/>
  <c r="BR134" i="149"/>
  <c r="CG134" i="149"/>
  <c r="CX134" i="149"/>
  <c r="CF134" i="149"/>
  <c r="Q133" i="148"/>
  <c r="E133" i="148"/>
  <c r="CF133" i="148"/>
  <c r="CC133" i="149" s="1"/>
  <c r="CA133" i="148"/>
  <c r="BX133" i="149" s="1"/>
  <c r="G133" i="148"/>
  <c r="CR133" i="148"/>
  <c r="CO133" i="149" s="1"/>
  <c r="BW133" i="148"/>
  <c r="BT133" i="149" s="1"/>
  <c r="BH133" i="148"/>
  <c r="BE133" i="149" s="1"/>
  <c r="CV133" i="148"/>
  <c r="CS133" i="149" s="1"/>
  <c r="CO133" i="148"/>
  <c r="CL133" i="149" s="1"/>
  <c r="BF133" i="148"/>
  <c r="BC133" i="149" s="1"/>
  <c r="CU133" i="148"/>
  <c r="CR133" i="149" s="1"/>
  <c r="BI133" i="148"/>
  <c r="BF133" i="149" s="1"/>
  <c r="AY133" i="148"/>
  <c r="AV133" i="149" s="1"/>
  <c r="BT133" i="148"/>
  <c r="BQ133" i="149" s="1"/>
  <c r="CJ133" i="148"/>
  <c r="CG133" i="149" s="1"/>
  <c r="CC133" i="148"/>
  <c r="BZ133" i="149" s="1"/>
  <c r="AZ133" i="148"/>
  <c r="AW133" i="149" s="1"/>
  <c r="F133" i="148"/>
  <c r="CP133" i="148"/>
  <c r="CM133" i="149" s="1"/>
  <c r="I133" i="148"/>
  <c r="BM133" i="148"/>
  <c r="BJ133" i="149" s="1"/>
  <c r="CI133" i="148"/>
  <c r="CF133" i="149" s="1"/>
  <c r="BL133" i="148"/>
  <c r="BI133" i="149" s="1"/>
  <c r="DA133" i="148"/>
  <c r="CX133" i="149" s="1"/>
  <c r="CX133" i="148"/>
  <c r="CU133" i="149" s="1"/>
  <c r="BK133" i="148"/>
  <c r="BH133" i="149" s="1"/>
  <c r="BO133" i="148"/>
  <c r="AW133" i="148"/>
  <c r="AT133" i="149" s="1"/>
  <c r="BA133" i="148"/>
  <c r="AX133" i="149" s="1"/>
  <c r="BC133" i="148"/>
  <c r="AZ133" i="149" s="1"/>
  <c r="BD133" i="148"/>
  <c r="BA133" i="149" s="1"/>
  <c r="CG133" i="148"/>
  <c r="CD133" i="149" s="1"/>
  <c r="BB133" i="148"/>
  <c r="AY133" i="149" s="1"/>
  <c r="AX133" i="148"/>
  <c r="AU133" i="149" s="1"/>
  <c r="CS133" i="148"/>
  <c r="CP133" i="149" s="1"/>
  <c r="CM133" i="148"/>
  <c r="CJ133" i="149" s="1"/>
  <c r="BG133" i="148"/>
  <c r="BD133" i="149" s="1"/>
  <c r="CB133" i="148"/>
  <c r="BY133" i="149" s="1"/>
  <c r="BP133" i="148"/>
  <c r="BM133" i="149" s="1"/>
  <c r="H133" i="148"/>
  <c r="BS133" i="148"/>
  <c r="BP133" i="149" s="1"/>
  <c r="CT133" i="148"/>
  <c r="CQ133" i="149" s="1"/>
  <c r="BR133" i="148"/>
  <c r="BO133" i="149" s="1"/>
  <c r="CK133" i="148"/>
  <c r="CH133" i="149" s="1"/>
  <c r="BV133" i="148"/>
  <c r="BS133" i="149" s="1"/>
  <c r="CH133" i="148"/>
  <c r="CE133" i="149" s="1"/>
  <c r="BY133" i="148"/>
  <c r="BV133" i="149" s="1"/>
  <c r="CD133" i="148"/>
  <c r="CA133" i="149" s="1"/>
  <c r="BJ133" i="148"/>
  <c r="BG133" i="149" s="1"/>
  <c r="CL133" i="148"/>
  <c r="CI133" i="149" s="1"/>
  <c r="BX133" i="148"/>
  <c r="BU133" i="149" s="1"/>
  <c r="CQ133" i="148"/>
  <c r="CN133" i="149" s="1"/>
  <c r="CN133" i="148"/>
  <c r="CK133" i="149" s="1"/>
  <c r="BU133" i="148"/>
  <c r="BR133" i="149" s="1"/>
  <c r="CE133" i="148"/>
  <c r="CB133" i="149" s="1"/>
  <c r="BZ133" i="148"/>
  <c r="BW133" i="149" s="1"/>
  <c r="BE133" i="148"/>
  <c r="BB133" i="149" s="1"/>
  <c r="CY133" i="148"/>
  <c r="CV133" i="149" s="1"/>
  <c r="BQ133" i="148"/>
  <c r="BN133" i="149" s="1"/>
  <c r="BN133" i="148"/>
  <c r="BK133" i="149" s="1"/>
  <c r="CW133" i="148"/>
  <c r="CT133" i="149" s="1"/>
  <c r="V133" i="148"/>
  <c r="AV133" i="148"/>
  <c r="AS133" i="149" s="1"/>
  <c r="CZ133" i="148"/>
  <c r="CW133" i="149" s="1"/>
  <c r="R133" i="148"/>
  <c r="D133" i="148"/>
  <c r="Q95" i="148"/>
  <c r="BL95" i="148"/>
  <c r="BI95" i="149" s="1"/>
  <c r="CU95" i="148"/>
  <c r="CR95" i="149" s="1"/>
  <c r="DA95" i="148"/>
  <c r="CX95" i="149" s="1"/>
  <c r="BH95" i="148"/>
  <c r="BE95" i="149" s="1"/>
  <c r="AY95" i="148"/>
  <c r="AV95" i="149" s="1"/>
  <c r="CC95" i="148"/>
  <c r="BZ95" i="149" s="1"/>
  <c r="BI95" i="148"/>
  <c r="BF95" i="149" s="1"/>
  <c r="BW95" i="148"/>
  <c r="BT95" i="149" s="1"/>
  <c r="BZ95" i="148"/>
  <c r="BW95" i="149" s="1"/>
  <c r="CJ95" i="148"/>
  <c r="CG95" i="149" s="1"/>
  <c r="CA95" i="148"/>
  <c r="BX95" i="149" s="1"/>
  <c r="CB95" i="148"/>
  <c r="BY95" i="149" s="1"/>
  <c r="BK95" i="148"/>
  <c r="BH95" i="149" s="1"/>
  <c r="BE95" i="148"/>
  <c r="BB95" i="149" s="1"/>
  <c r="BR95" i="148"/>
  <c r="BO95" i="149" s="1"/>
  <c r="BD95" i="148"/>
  <c r="BA95" i="149" s="1"/>
  <c r="CZ95" i="148"/>
  <c r="CW95" i="149" s="1"/>
  <c r="CQ95" i="148"/>
  <c r="CN95" i="149" s="1"/>
  <c r="BC95" i="148"/>
  <c r="AZ95" i="149" s="1"/>
  <c r="CI95" i="148"/>
  <c r="CF95" i="149" s="1"/>
  <c r="CS95" i="148"/>
  <c r="CP95" i="149" s="1"/>
  <c r="BV95" i="148"/>
  <c r="BS95" i="149" s="1"/>
  <c r="BQ95" i="148"/>
  <c r="BN95" i="149" s="1"/>
  <c r="BM95" i="148"/>
  <c r="BJ95" i="149" s="1"/>
  <c r="CO95" i="148"/>
  <c r="CL95" i="149" s="1"/>
  <c r="BT95" i="148"/>
  <c r="BQ95" i="149" s="1"/>
  <c r="BP95" i="148"/>
  <c r="BM95" i="149" s="1"/>
  <c r="BS95" i="148"/>
  <c r="BP95" i="149" s="1"/>
  <c r="BB95" i="148"/>
  <c r="AY95" i="149" s="1"/>
  <c r="BJ95" i="148"/>
  <c r="BG95" i="149" s="1"/>
  <c r="CY95" i="148"/>
  <c r="CV95" i="149" s="1"/>
  <c r="CX95" i="148"/>
  <c r="CU95" i="149" s="1"/>
  <c r="CH95" i="148"/>
  <c r="CE95" i="149" s="1"/>
  <c r="BA95" i="148"/>
  <c r="AX95" i="149" s="1"/>
  <c r="BG95" i="148"/>
  <c r="BD95" i="149" s="1"/>
  <c r="AV95" i="148"/>
  <c r="AS95" i="149" s="1"/>
  <c r="R95" i="148"/>
  <c r="BY95" i="148"/>
  <c r="BV95" i="149" s="1"/>
  <c r="AW95" i="148"/>
  <c r="AT95" i="149" s="1"/>
  <c r="CD95" i="148"/>
  <c r="CA95" i="149" s="1"/>
  <c r="CM95" i="148"/>
  <c r="CJ95" i="149" s="1"/>
  <c r="G95" i="148"/>
  <c r="CV95" i="148"/>
  <c r="CS95" i="149" s="1"/>
  <c r="CE95" i="148"/>
  <c r="CB95" i="149" s="1"/>
  <c r="CT95" i="148"/>
  <c r="CQ95" i="149" s="1"/>
  <c r="CK95" i="148"/>
  <c r="CH95" i="149" s="1"/>
  <c r="CR95" i="148"/>
  <c r="CO95" i="149" s="1"/>
  <c r="F95" i="148"/>
  <c r="BX95" i="148"/>
  <c r="BU95" i="149" s="1"/>
  <c r="CG95" i="148"/>
  <c r="CD95" i="149" s="1"/>
  <c r="BU95" i="148"/>
  <c r="BR95" i="149" s="1"/>
  <c r="CF95" i="148"/>
  <c r="CC95" i="149" s="1"/>
  <c r="BO95" i="148"/>
  <c r="CW95" i="148"/>
  <c r="CT95" i="149" s="1"/>
  <c r="AZ95" i="148"/>
  <c r="AW95" i="149" s="1"/>
  <c r="E95" i="148"/>
  <c r="BN95" i="148"/>
  <c r="BK95" i="149" s="1"/>
  <c r="AX95" i="148"/>
  <c r="AU95" i="149" s="1"/>
  <c r="CL95" i="148"/>
  <c r="CI95" i="149" s="1"/>
  <c r="CN95" i="148"/>
  <c r="CK95" i="149" s="1"/>
  <c r="BF95" i="148"/>
  <c r="BC95" i="149" s="1"/>
  <c r="H95" i="148"/>
  <c r="I95" i="148"/>
  <c r="CP95" i="148"/>
  <c r="CM95" i="149" s="1"/>
  <c r="V95" i="148"/>
  <c r="D95" i="148"/>
  <c r="DA160" i="149"/>
  <c r="CY160" i="149"/>
  <c r="CZ160" i="149"/>
  <c r="DB160" i="149"/>
  <c r="BL160" i="149"/>
  <c r="BE160" i="149"/>
  <c r="Q158" i="148"/>
  <c r="M158" i="148"/>
  <c r="CX158" i="148"/>
  <c r="AO158" i="148"/>
  <c r="CJ158" i="148"/>
  <c r="BE158" i="148"/>
  <c r="P158" i="148"/>
  <c r="BF158" i="148"/>
  <c r="AL158" i="148"/>
  <c r="BN158" i="148"/>
  <c r="AT158" i="148"/>
  <c r="G158" i="148"/>
  <c r="AS158" i="148"/>
  <c r="BP158" i="148"/>
  <c r="AQ158" i="148"/>
  <c r="DA158" i="148"/>
  <c r="AU158" i="148"/>
  <c r="AM158" i="148"/>
  <c r="BG158" i="148"/>
  <c r="BK158" i="148"/>
  <c r="BW158" i="148"/>
  <c r="AN158" i="148"/>
  <c r="E158" i="148"/>
  <c r="AF158" i="148"/>
  <c r="BZ158" i="148"/>
  <c r="AC158" i="148"/>
  <c r="CB158" i="148"/>
  <c r="W158" i="148"/>
  <c r="BC158" i="148"/>
  <c r="BD158" i="148"/>
  <c r="CU158" i="148"/>
  <c r="AG158" i="148"/>
  <c r="CG158" i="148"/>
  <c r="AY158" i="148"/>
  <c r="I158" i="148"/>
  <c r="AK158" i="148"/>
  <c r="BJ158" i="148"/>
  <c r="CD158" i="148"/>
  <c r="K158" i="148"/>
  <c r="CC158" i="148"/>
  <c r="CY158" i="148"/>
  <c r="CH158" i="148"/>
  <c r="AA158" i="148"/>
  <c r="CI158" i="148"/>
  <c r="BI158" i="148"/>
  <c r="CK158" i="148"/>
  <c r="Z158" i="148"/>
  <c r="AB158" i="148"/>
  <c r="BV158" i="148"/>
  <c r="AI158" i="148"/>
  <c r="AH158" i="148"/>
  <c r="AD158" i="148"/>
  <c r="BH158" i="148"/>
  <c r="BT158" i="148"/>
  <c r="U158" i="148"/>
  <c r="BU158" i="148"/>
  <c r="CE158" i="148"/>
  <c r="AX158" i="148"/>
  <c r="F158" i="148"/>
  <c r="AJ158" i="148"/>
  <c r="BB158" i="148"/>
  <c r="CZ158" i="148"/>
  <c r="CF158" i="148"/>
  <c r="CP158" i="148"/>
  <c r="X158" i="148"/>
  <c r="CL158" i="148"/>
  <c r="H158" i="148"/>
  <c r="CR158" i="148"/>
  <c r="BM158" i="148"/>
  <c r="AR158" i="148"/>
  <c r="CT158" i="148"/>
  <c r="CO158" i="148"/>
  <c r="BS158" i="148"/>
  <c r="CS158" i="148"/>
  <c r="L158" i="148"/>
  <c r="O158" i="148"/>
  <c r="BQ158" i="148"/>
  <c r="BO158" i="148"/>
  <c r="J158" i="148"/>
  <c r="CW158" i="148"/>
  <c r="CM158" i="148"/>
  <c r="CQ158" i="148"/>
  <c r="CN158" i="148"/>
  <c r="AW158" i="148"/>
  <c r="AE158" i="148"/>
  <c r="Y158" i="148"/>
  <c r="BA158" i="148"/>
  <c r="N158" i="148"/>
  <c r="AZ158" i="148"/>
  <c r="BX158" i="148"/>
  <c r="V158" i="148"/>
  <c r="CV158" i="148"/>
  <c r="R158" i="148"/>
  <c r="AV158" i="148"/>
  <c r="BL158" i="148"/>
  <c r="CA158" i="148"/>
  <c r="BR158" i="148"/>
  <c r="BY158" i="148"/>
  <c r="AP158" i="148"/>
  <c r="D158" i="148"/>
  <c r="DB125" i="149"/>
  <c r="DA125" i="149"/>
  <c r="CY125" i="149"/>
  <c r="CZ125" i="149"/>
  <c r="BE125" i="149"/>
  <c r="BL125" i="149"/>
  <c r="Q103" i="148"/>
  <c r="H103" i="148"/>
  <c r="R103" i="148"/>
  <c r="I103" i="148"/>
  <c r="E103" i="148"/>
  <c r="F103" i="148"/>
  <c r="BI103" i="148"/>
  <c r="V103" i="148"/>
  <c r="CW103" i="148"/>
  <c r="CT103" i="149" s="1"/>
  <c r="BA103" i="148"/>
  <c r="AX103" i="149" s="1"/>
  <c r="BU103" i="148"/>
  <c r="BR103" i="149" s="1"/>
  <c r="AZ103" i="148"/>
  <c r="AW103" i="149" s="1"/>
  <c r="BG103" i="148"/>
  <c r="BD103" i="149" s="1"/>
  <c r="D103" i="148"/>
  <c r="BV103" i="148"/>
  <c r="BS103" i="149" s="1"/>
  <c r="AW103" i="148"/>
  <c r="AT103" i="149" s="1"/>
  <c r="G103" i="148"/>
  <c r="BZ103" i="148"/>
  <c r="BW103" i="149" s="1"/>
  <c r="CI103" i="148"/>
  <c r="CF103" i="149" s="1"/>
  <c r="AX103" i="148"/>
  <c r="AU103" i="149" s="1"/>
  <c r="AV103" i="148"/>
  <c r="AS103" i="149" s="1"/>
  <c r="BS103" i="148"/>
  <c r="BP103" i="149" s="1"/>
  <c r="CQ103" i="148"/>
  <c r="CN103" i="149" s="1"/>
  <c r="DA103" i="148"/>
  <c r="CX103" i="149" s="1"/>
  <c r="BD103" i="148"/>
  <c r="BA103" i="149" s="1"/>
  <c r="CM103" i="148"/>
  <c r="CJ103" i="149" s="1"/>
  <c r="CC103" i="148"/>
  <c r="BZ103" i="149" s="1"/>
  <c r="CD103" i="148"/>
  <c r="CA103" i="149" s="1"/>
  <c r="CO103" i="148"/>
  <c r="CL103" i="149" s="1"/>
  <c r="BQ103" i="148"/>
  <c r="BN103" i="149" s="1"/>
  <c r="BB103" i="148"/>
  <c r="AY103" i="149" s="1"/>
  <c r="CX103" i="148"/>
  <c r="CU103" i="149" s="1"/>
  <c r="CJ103" i="148"/>
  <c r="CG103" i="149" s="1"/>
  <c r="BK103" i="148"/>
  <c r="BH103" i="149" s="1"/>
  <c r="AY103" i="148"/>
  <c r="AV103" i="149" s="1"/>
  <c r="BM103" i="148"/>
  <c r="BJ103" i="149" s="1"/>
  <c r="BH103" i="148"/>
  <c r="BE103" i="149" s="1"/>
  <c r="BO103" i="148"/>
  <c r="BC103" i="148"/>
  <c r="AZ103" i="149" s="1"/>
  <c r="CS103" i="148"/>
  <c r="CP103" i="149" s="1"/>
  <c r="CL103" i="148"/>
  <c r="CI103" i="149" s="1"/>
  <c r="BL103" i="148"/>
  <c r="BI103" i="149" s="1"/>
  <c r="CK103" i="148"/>
  <c r="CH103" i="149" s="1"/>
  <c r="BW103" i="148"/>
  <c r="BT103" i="149" s="1"/>
  <c r="BJ103" i="148"/>
  <c r="BG103" i="149" s="1"/>
  <c r="BF103" i="148"/>
  <c r="BC103" i="149" s="1"/>
  <c r="CH103" i="148"/>
  <c r="CE103" i="149" s="1"/>
  <c r="CE103" i="148"/>
  <c r="CB103" i="149" s="1"/>
  <c r="CN103" i="148"/>
  <c r="CK103" i="149" s="1"/>
  <c r="CV103" i="148"/>
  <c r="CS103" i="149" s="1"/>
  <c r="BY103" i="148"/>
  <c r="BV103" i="149" s="1"/>
  <c r="CR103" i="148"/>
  <c r="CO103" i="149" s="1"/>
  <c r="BX103" i="148"/>
  <c r="BU103" i="149" s="1"/>
  <c r="CU103" i="148"/>
  <c r="CR103" i="149" s="1"/>
  <c r="CG103" i="148"/>
  <c r="CD103" i="149" s="1"/>
  <c r="CY103" i="148"/>
  <c r="CV103" i="149" s="1"/>
  <c r="CF103" i="148"/>
  <c r="CC103" i="149" s="1"/>
  <c r="CT103" i="148"/>
  <c r="CQ103" i="149" s="1"/>
  <c r="BT103" i="148"/>
  <c r="BQ103" i="149" s="1"/>
  <c r="CA103" i="148"/>
  <c r="BX103" i="149" s="1"/>
  <c r="BP103" i="148"/>
  <c r="BM103" i="149" s="1"/>
  <c r="BN103" i="148"/>
  <c r="BK103" i="149" s="1"/>
  <c r="CP103" i="148"/>
  <c r="CM103" i="149" s="1"/>
  <c r="BE103" i="148"/>
  <c r="BB103" i="149" s="1"/>
  <c r="CB103" i="148"/>
  <c r="BY103" i="149" s="1"/>
  <c r="CZ103" i="148"/>
  <c r="CW103" i="149" s="1"/>
  <c r="BR103" i="148"/>
  <c r="BO103" i="149" s="1"/>
  <c r="Q40" i="148"/>
  <c r="BI40" i="148"/>
  <c r="BF40" i="149" s="1"/>
  <c r="R40" i="148"/>
  <c r="CY40" i="148"/>
  <c r="CV40" i="149" s="1"/>
  <c r="BW40" i="148"/>
  <c r="BT40" i="149" s="1"/>
  <c r="BG40" i="148"/>
  <c r="BD40" i="149" s="1"/>
  <c r="BK40" i="148"/>
  <c r="BH40" i="149" s="1"/>
  <c r="CU40" i="148"/>
  <c r="CR40" i="149" s="1"/>
  <c r="BP40" i="148"/>
  <c r="BM40" i="149" s="1"/>
  <c r="CR40" i="148"/>
  <c r="CO40" i="149" s="1"/>
  <c r="CO40" i="148"/>
  <c r="CL40" i="149" s="1"/>
  <c r="CM40" i="148"/>
  <c r="CJ40" i="149" s="1"/>
  <c r="BO40" i="148"/>
  <c r="AY40" i="148"/>
  <c r="AV40" i="149" s="1"/>
  <c r="BF40" i="148"/>
  <c r="BC40" i="149" s="1"/>
  <c r="E40" i="148"/>
  <c r="CN40" i="148"/>
  <c r="CK40" i="149" s="1"/>
  <c r="BU40" i="148"/>
  <c r="BR40" i="149" s="1"/>
  <c r="BN40" i="148"/>
  <c r="BK40" i="149" s="1"/>
  <c r="I40" i="148"/>
  <c r="H40" i="148"/>
  <c r="CQ40" i="148"/>
  <c r="CN40" i="149" s="1"/>
  <c r="BS40" i="148"/>
  <c r="BP40" i="149" s="1"/>
  <c r="V40" i="148"/>
  <c r="BB40" i="148"/>
  <c r="AY40" i="149" s="1"/>
  <c r="CJ40" i="148"/>
  <c r="CG40" i="149" s="1"/>
  <c r="AW40" i="148"/>
  <c r="AT40" i="149" s="1"/>
  <c r="CK40" i="148"/>
  <c r="CH40" i="149" s="1"/>
  <c r="F40" i="148"/>
  <c r="BM40" i="148"/>
  <c r="BJ40" i="149" s="1"/>
  <c r="CD40" i="148"/>
  <c r="CA40" i="149" s="1"/>
  <c r="CP40" i="148"/>
  <c r="CM40" i="149" s="1"/>
  <c r="AV40" i="148"/>
  <c r="AS40" i="149" s="1"/>
  <c r="CF40" i="148"/>
  <c r="CC40" i="149" s="1"/>
  <c r="BR40" i="148"/>
  <c r="BO40" i="149" s="1"/>
  <c r="AX40" i="148"/>
  <c r="AU40" i="149" s="1"/>
  <c r="CA40" i="148"/>
  <c r="BX40" i="149" s="1"/>
  <c r="CX40" i="148"/>
  <c r="CU40" i="149" s="1"/>
  <c r="CB40" i="148"/>
  <c r="BY40" i="149" s="1"/>
  <c r="BQ40" i="148"/>
  <c r="BN40" i="149" s="1"/>
  <c r="CV40" i="148"/>
  <c r="CS40" i="149" s="1"/>
  <c r="CS40" i="148"/>
  <c r="CP40" i="149" s="1"/>
  <c r="CI40" i="148"/>
  <c r="CF40" i="149" s="1"/>
  <c r="BD40" i="148"/>
  <c r="BA40" i="149" s="1"/>
  <c r="CZ40" i="148"/>
  <c r="CW40" i="149" s="1"/>
  <c r="BY40" i="148"/>
  <c r="BV40" i="149" s="1"/>
  <c r="BJ40" i="148"/>
  <c r="BG40" i="149" s="1"/>
  <c r="CG40" i="148"/>
  <c r="CD40" i="149" s="1"/>
  <c r="CE40" i="148"/>
  <c r="CB40" i="149" s="1"/>
  <c r="BC40" i="148"/>
  <c r="AZ40" i="149" s="1"/>
  <c r="G40" i="148"/>
  <c r="BH40" i="148"/>
  <c r="BE40" i="149" s="1"/>
  <c r="CT40" i="148"/>
  <c r="CQ40" i="149" s="1"/>
  <c r="CC40" i="148"/>
  <c r="BZ40" i="149" s="1"/>
  <c r="BL40" i="148"/>
  <c r="BI40" i="149" s="1"/>
  <c r="BX40" i="148"/>
  <c r="BU40" i="149" s="1"/>
  <c r="CL40" i="148"/>
  <c r="CI40" i="149" s="1"/>
  <c r="AZ40" i="148"/>
  <c r="AW40" i="149" s="1"/>
  <c r="BZ40" i="148"/>
  <c r="BW40" i="149" s="1"/>
  <c r="CW40" i="148"/>
  <c r="CT40" i="149" s="1"/>
  <c r="BE40" i="148"/>
  <c r="BB40" i="149" s="1"/>
  <c r="BA40" i="148"/>
  <c r="AX40" i="149" s="1"/>
  <c r="DA40" i="148"/>
  <c r="CX40" i="149" s="1"/>
  <c r="BT40" i="148"/>
  <c r="BQ40" i="149" s="1"/>
  <c r="CH40" i="148"/>
  <c r="CE40" i="149" s="1"/>
  <c r="D40" i="148"/>
  <c r="Q37" i="148"/>
  <c r="BM37" i="148"/>
  <c r="BJ37" i="149" s="1"/>
  <c r="BI37" i="148"/>
  <c r="BF37" i="149" s="1"/>
  <c r="I37" i="148"/>
  <c r="CO37" i="148"/>
  <c r="CL37" i="149" s="1"/>
  <c r="BX37" i="148"/>
  <c r="BU37" i="149" s="1"/>
  <c r="CH37" i="148"/>
  <c r="CE37" i="149" s="1"/>
  <c r="AW37" i="148"/>
  <c r="AT37" i="149" s="1"/>
  <c r="BN37" i="148"/>
  <c r="BK37" i="149" s="1"/>
  <c r="R37" i="148"/>
  <c r="CU37" i="148"/>
  <c r="CR37" i="149" s="1"/>
  <c r="BL37" i="148"/>
  <c r="BI37" i="149" s="1"/>
  <c r="V37" i="148"/>
  <c r="CC37" i="148"/>
  <c r="BZ37" i="149" s="1"/>
  <c r="CY37" i="148"/>
  <c r="CV37" i="149" s="1"/>
  <c r="BQ37" i="148"/>
  <c r="BN37" i="149" s="1"/>
  <c r="BG37" i="148"/>
  <c r="BD37" i="149" s="1"/>
  <c r="BC37" i="148"/>
  <c r="AZ37" i="149" s="1"/>
  <c r="CM37" i="148"/>
  <c r="CJ37" i="149" s="1"/>
  <c r="DA37" i="148"/>
  <c r="CX37" i="149" s="1"/>
  <c r="CN37" i="148"/>
  <c r="CK37" i="149" s="1"/>
  <c r="BS37" i="148"/>
  <c r="BP37" i="149" s="1"/>
  <c r="BA37" i="148"/>
  <c r="AX37" i="149" s="1"/>
  <c r="BK37" i="148"/>
  <c r="BH37" i="149" s="1"/>
  <c r="CW37" i="148"/>
  <c r="CT37" i="149" s="1"/>
  <c r="CX37" i="148"/>
  <c r="CU37" i="149" s="1"/>
  <c r="BE37" i="148"/>
  <c r="BB37" i="149" s="1"/>
  <c r="BO37" i="148"/>
  <c r="BZ37" i="148"/>
  <c r="BW37" i="149" s="1"/>
  <c r="BV37" i="148"/>
  <c r="BS37" i="149" s="1"/>
  <c r="CI37" i="148"/>
  <c r="CF37" i="149" s="1"/>
  <c r="BW37" i="148"/>
  <c r="BT37" i="149" s="1"/>
  <c r="CK37" i="148"/>
  <c r="CH37" i="149" s="1"/>
  <c r="BJ37" i="148"/>
  <c r="BG37" i="149" s="1"/>
  <c r="CV37" i="148"/>
  <c r="CS37" i="149" s="1"/>
  <c r="BY37" i="148"/>
  <c r="BV37" i="149" s="1"/>
  <c r="BR37" i="148"/>
  <c r="BO37" i="149" s="1"/>
  <c r="BD37" i="148"/>
  <c r="BA37" i="149" s="1"/>
  <c r="CA37" i="148"/>
  <c r="BX37" i="149" s="1"/>
  <c r="BT37" i="148"/>
  <c r="BQ37" i="149" s="1"/>
  <c r="BH37" i="148"/>
  <c r="BE37" i="149" s="1"/>
  <c r="AZ37" i="148"/>
  <c r="AW37" i="149" s="1"/>
  <c r="CE37" i="148"/>
  <c r="CB37" i="149" s="1"/>
  <c r="CL37" i="148"/>
  <c r="CI37" i="149" s="1"/>
  <c r="BP37" i="148"/>
  <c r="BM37" i="149" s="1"/>
  <c r="CF37" i="148"/>
  <c r="CC37" i="149" s="1"/>
  <c r="G37" i="148"/>
  <c r="BB37" i="148"/>
  <c r="AY37" i="149" s="1"/>
  <c r="H37" i="148"/>
  <c r="CP37" i="148"/>
  <c r="CM37" i="149" s="1"/>
  <c r="CZ37" i="148"/>
  <c r="CW37" i="149" s="1"/>
  <c r="AV37" i="148"/>
  <c r="AS37" i="149" s="1"/>
  <c r="F37" i="148"/>
  <c r="BU37" i="148"/>
  <c r="BR37" i="149" s="1"/>
  <c r="E37" i="148"/>
  <c r="CR37" i="148"/>
  <c r="CO37" i="149" s="1"/>
  <c r="AX37" i="148"/>
  <c r="AU37" i="149" s="1"/>
  <c r="CG37" i="148"/>
  <c r="CD37" i="149" s="1"/>
  <c r="CJ37" i="148"/>
  <c r="CG37" i="149" s="1"/>
  <c r="CD37" i="148"/>
  <c r="CA37" i="149" s="1"/>
  <c r="CB37" i="148"/>
  <c r="BY37" i="149" s="1"/>
  <c r="BF37" i="148"/>
  <c r="BC37" i="149" s="1"/>
  <c r="CQ37" i="148"/>
  <c r="CN37" i="149" s="1"/>
  <c r="CT37" i="148"/>
  <c r="CQ37" i="149" s="1"/>
  <c r="CS37" i="148"/>
  <c r="CP37" i="149" s="1"/>
  <c r="AY37" i="148"/>
  <c r="AV37" i="149" s="1"/>
  <c r="D37" i="148"/>
  <c r="Q100" i="148"/>
  <c r="E100" i="148"/>
  <c r="BH100" i="148"/>
  <c r="BE100" i="149" s="1"/>
  <c r="BP100" i="148"/>
  <c r="BM100" i="149" s="1"/>
  <c r="CD100" i="148"/>
  <c r="CA100" i="149" s="1"/>
  <c r="AY100" i="148"/>
  <c r="AV100" i="149" s="1"/>
  <c r="CC100" i="148"/>
  <c r="BZ100" i="149" s="1"/>
  <c r="BC100" i="148"/>
  <c r="AZ100" i="149" s="1"/>
  <c r="BQ100" i="148"/>
  <c r="BN100" i="149" s="1"/>
  <c r="CV100" i="148"/>
  <c r="CS100" i="149" s="1"/>
  <c r="CL100" i="148"/>
  <c r="CI100" i="149" s="1"/>
  <c r="CF100" i="148"/>
  <c r="CC100" i="149" s="1"/>
  <c r="CT100" i="148"/>
  <c r="CQ100" i="149" s="1"/>
  <c r="CW100" i="148"/>
  <c r="CT100" i="149" s="1"/>
  <c r="CQ100" i="148"/>
  <c r="CN100" i="149" s="1"/>
  <c r="BV100" i="148"/>
  <c r="BS100" i="149" s="1"/>
  <c r="CS100" i="148"/>
  <c r="CP100" i="149" s="1"/>
  <c r="AX100" i="148"/>
  <c r="AU100" i="149" s="1"/>
  <c r="CR100" i="148"/>
  <c r="CO100" i="149" s="1"/>
  <c r="BN100" i="148"/>
  <c r="BK100" i="149" s="1"/>
  <c r="CJ100" i="148"/>
  <c r="CG100" i="149" s="1"/>
  <c r="CX100" i="148"/>
  <c r="CU100" i="149" s="1"/>
  <c r="CU100" i="148"/>
  <c r="CR100" i="149" s="1"/>
  <c r="BI100" i="148"/>
  <c r="BF100" i="149" s="1"/>
  <c r="CG100" i="148"/>
  <c r="CD100" i="149" s="1"/>
  <c r="V100" i="148"/>
  <c r="I100" i="148"/>
  <c r="CZ100" i="148"/>
  <c r="CW100" i="149" s="1"/>
  <c r="CP100" i="148"/>
  <c r="CM100" i="149" s="1"/>
  <c r="BG100" i="148"/>
  <c r="BD100" i="149" s="1"/>
  <c r="BO100" i="148"/>
  <c r="BR100" i="148"/>
  <c r="BO100" i="149" s="1"/>
  <c r="BY100" i="148"/>
  <c r="BV100" i="149" s="1"/>
  <c r="BJ100" i="148"/>
  <c r="BG100" i="149" s="1"/>
  <c r="BB100" i="148"/>
  <c r="AY100" i="149" s="1"/>
  <c r="BT100" i="148"/>
  <c r="BQ100" i="149" s="1"/>
  <c r="CY100" i="148"/>
  <c r="CV100" i="149" s="1"/>
  <c r="CM100" i="148"/>
  <c r="CJ100" i="149" s="1"/>
  <c r="F100" i="148"/>
  <c r="CE100" i="148"/>
  <c r="CB100" i="149" s="1"/>
  <c r="BZ100" i="148"/>
  <c r="BW100" i="149" s="1"/>
  <c r="DA100" i="148"/>
  <c r="CX100" i="149" s="1"/>
  <c r="R100" i="148"/>
  <c r="H100" i="148"/>
  <c r="CO100" i="148"/>
  <c r="CL100" i="149" s="1"/>
  <c r="BS100" i="148"/>
  <c r="BP100" i="149" s="1"/>
  <c r="BL100" i="148"/>
  <c r="BI100" i="149" s="1"/>
  <c r="CH100" i="148"/>
  <c r="CE100" i="149" s="1"/>
  <c r="CI100" i="148"/>
  <c r="CF100" i="149" s="1"/>
  <c r="BX100" i="148"/>
  <c r="BU100" i="149" s="1"/>
  <c r="AW100" i="148"/>
  <c r="AT100" i="149" s="1"/>
  <c r="G100" i="148"/>
  <c r="BM100" i="148"/>
  <c r="BJ100" i="149" s="1"/>
  <c r="CB100" i="148"/>
  <c r="BY100" i="149" s="1"/>
  <c r="CN100" i="148"/>
  <c r="CK100" i="149" s="1"/>
  <c r="CK100" i="148"/>
  <c r="CH100" i="149" s="1"/>
  <c r="BF100" i="148"/>
  <c r="BC100" i="149" s="1"/>
  <c r="AZ100" i="148"/>
  <c r="AW100" i="149" s="1"/>
  <c r="BK100" i="148"/>
  <c r="BH100" i="149" s="1"/>
  <c r="BE100" i="148"/>
  <c r="BB100" i="149" s="1"/>
  <c r="BA100" i="148"/>
  <c r="AX100" i="149" s="1"/>
  <c r="CA100" i="148"/>
  <c r="BX100" i="149" s="1"/>
  <c r="D100" i="148"/>
  <c r="Q128" i="148"/>
  <c r="CW128" i="148"/>
  <c r="CT128" i="149" s="1"/>
  <c r="CY128" i="148"/>
  <c r="CV128" i="149" s="1"/>
  <c r="CT128" i="148"/>
  <c r="CQ128" i="149" s="1"/>
  <c r="CB128" i="148"/>
  <c r="BY128" i="149" s="1"/>
  <c r="R128" i="148"/>
  <c r="F128" i="148"/>
  <c r="CI128" i="148"/>
  <c r="CF128" i="149" s="1"/>
  <c r="CD128" i="148"/>
  <c r="CA128" i="149" s="1"/>
  <c r="CU128" i="148"/>
  <c r="CR128" i="149" s="1"/>
  <c r="CF128" i="148"/>
  <c r="CC128" i="149" s="1"/>
  <c r="G128" i="148"/>
  <c r="CG128" i="148"/>
  <c r="CD128" i="149" s="1"/>
  <c r="CR128" i="148"/>
  <c r="CO128" i="149" s="1"/>
  <c r="CQ128" i="148"/>
  <c r="CN128" i="149" s="1"/>
  <c r="CN128" i="148"/>
  <c r="CK128" i="149" s="1"/>
  <c r="CX128" i="148"/>
  <c r="CU128" i="149" s="1"/>
  <c r="V128" i="148"/>
  <c r="CO128" i="148"/>
  <c r="CL128" i="149" s="1"/>
  <c r="CE128" i="148"/>
  <c r="CB128" i="149" s="1"/>
  <c r="CZ128" i="148"/>
  <c r="CW128" i="149" s="1"/>
  <c r="CV128" i="148"/>
  <c r="CS128" i="149" s="1"/>
  <c r="CC128" i="148"/>
  <c r="BZ128" i="149" s="1"/>
  <c r="E128" i="148"/>
  <c r="BX128" i="148"/>
  <c r="BU128" i="149" s="1"/>
  <c r="CH128" i="148"/>
  <c r="CE128" i="149" s="1"/>
  <c r="CP128" i="148"/>
  <c r="CM128" i="149" s="1"/>
  <c r="H128" i="148"/>
  <c r="DA128" i="148"/>
  <c r="CX128" i="149" s="1"/>
  <c r="CS128" i="148"/>
  <c r="CP128" i="149" s="1"/>
  <c r="BY128" i="148"/>
  <c r="BV128" i="149" s="1"/>
  <c r="CJ128" i="148"/>
  <c r="CG128" i="149" s="1"/>
  <c r="BZ128" i="148"/>
  <c r="BW128" i="149" s="1"/>
  <c r="CA128" i="148"/>
  <c r="BX128" i="149" s="1"/>
  <c r="I128" i="148"/>
  <c r="CK128" i="148"/>
  <c r="CH128" i="149" s="1"/>
  <c r="D128" i="148"/>
  <c r="CM128" i="148"/>
  <c r="CJ128" i="149" s="1"/>
  <c r="CL128" i="148"/>
  <c r="CI128" i="149" s="1"/>
  <c r="BI128" i="148"/>
  <c r="BF128" i="149" s="1"/>
  <c r="BQ128" i="148"/>
  <c r="BN128" i="149" s="1"/>
  <c r="BU128" i="148"/>
  <c r="BR128" i="149" s="1"/>
  <c r="BP128" i="148"/>
  <c r="BM128" i="149" s="1"/>
  <c r="BD128" i="148"/>
  <c r="BA128" i="149" s="1"/>
  <c r="BV128" i="148"/>
  <c r="BS128" i="149" s="1"/>
  <c r="BW128" i="148"/>
  <c r="BT128" i="149" s="1"/>
  <c r="BL128" i="148"/>
  <c r="BI128" i="149" s="1"/>
  <c r="BF128" i="148"/>
  <c r="BC128" i="149" s="1"/>
  <c r="AY128" i="148"/>
  <c r="AV128" i="149" s="1"/>
  <c r="BR128" i="148"/>
  <c r="BO128" i="149" s="1"/>
  <c r="AV128" i="148"/>
  <c r="AS128" i="149" s="1"/>
  <c r="AZ128" i="148"/>
  <c r="AW128" i="149" s="1"/>
  <c r="BE128" i="148"/>
  <c r="BB128" i="149" s="1"/>
  <c r="BT128" i="148"/>
  <c r="BQ128" i="149" s="1"/>
  <c r="BM128" i="148"/>
  <c r="BJ128" i="149" s="1"/>
  <c r="BA128" i="148"/>
  <c r="AX128" i="149" s="1"/>
  <c r="BB128" i="148"/>
  <c r="AY128" i="149" s="1"/>
  <c r="BJ128" i="148"/>
  <c r="BG128" i="149" s="1"/>
  <c r="BC128" i="148"/>
  <c r="AZ128" i="149" s="1"/>
  <c r="AX128" i="148"/>
  <c r="AU128" i="149" s="1"/>
  <c r="BS128" i="148"/>
  <c r="BP128" i="149" s="1"/>
  <c r="BK128" i="148"/>
  <c r="BH128" i="149" s="1"/>
  <c r="AW128" i="148"/>
  <c r="AT128" i="149" s="1"/>
  <c r="BO128" i="148"/>
  <c r="BN128" i="148"/>
  <c r="BK128" i="149" s="1"/>
  <c r="BG128" i="148"/>
  <c r="BD128" i="149" s="1"/>
  <c r="BH128" i="148"/>
  <c r="Q44" i="148"/>
  <c r="BK44" i="148"/>
  <c r="BH44" i="149" s="1"/>
  <c r="BO44" i="148"/>
  <c r="R44" i="148"/>
  <c r="CB44" i="148"/>
  <c r="BY44" i="149" s="1"/>
  <c r="CG44" i="148"/>
  <c r="CD44" i="149" s="1"/>
  <c r="AX44" i="148"/>
  <c r="AU44" i="149" s="1"/>
  <c r="AW44" i="148"/>
  <c r="AT44" i="149" s="1"/>
  <c r="CW44" i="148"/>
  <c r="CT44" i="149" s="1"/>
  <c r="BT44" i="148"/>
  <c r="BQ44" i="149" s="1"/>
  <c r="CC44" i="148"/>
  <c r="BZ44" i="149" s="1"/>
  <c r="CZ44" i="148"/>
  <c r="CW44" i="149" s="1"/>
  <c r="AY44" i="148"/>
  <c r="AV44" i="149" s="1"/>
  <c r="BZ44" i="148"/>
  <c r="BW44" i="149" s="1"/>
  <c r="I44" i="148"/>
  <c r="BR44" i="148"/>
  <c r="BO44" i="149" s="1"/>
  <c r="BJ44" i="148"/>
  <c r="BG44" i="149" s="1"/>
  <c r="H44" i="148"/>
  <c r="BX44" i="148"/>
  <c r="BU44" i="149" s="1"/>
  <c r="CL44" i="148"/>
  <c r="CI44" i="149" s="1"/>
  <c r="BD44" i="148"/>
  <c r="BA44" i="149" s="1"/>
  <c r="BF44" i="148"/>
  <c r="BC44" i="149" s="1"/>
  <c r="CF44" i="148"/>
  <c r="CC44" i="149" s="1"/>
  <c r="CK44" i="148"/>
  <c r="CH44" i="149" s="1"/>
  <c r="CY44" i="148"/>
  <c r="CV44" i="149" s="1"/>
  <c r="BE44" i="148"/>
  <c r="BB44" i="149" s="1"/>
  <c r="CV44" i="148"/>
  <c r="CS44" i="149" s="1"/>
  <c r="BQ44" i="148"/>
  <c r="BN44" i="149" s="1"/>
  <c r="CX44" i="148"/>
  <c r="CU44" i="149" s="1"/>
  <c r="CH44" i="148"/>
  <c r="CE44" i="149" s="1"/>
  <c r="AV44" i="148"/>
  <c r="AS44" i="149" s="1"/>
  <c r="BS44" i="148"/>
  <c r="BP44" i="149" s="1"/>
  <c r="BN44" i="148"/>
  <c r="BK44" i="149" s="1"/>
  <c r="V44" i="148"/>
  <c r="CO44" i="148"/>
  <c r="CL44" i="149" s="1"/>
  <c r="CA44" i="148"/>
  <c r="BX44" i="149" s="1"/>
  <c r="BG44" i="148"/>
  <c r="BD44" i="149" s="1"/>
  <c r="CE44" i="148"/>
  <c r="CB44" i="149" s="1"/>
  <c r="CS44" i="148"/>
  <c r="CP44" i="149" s="1"/>
  <c r="CN44" i="148"/>
  <c r="CK44" i="149" s="1"/>
  <c r="G44" i="148"/>
  <c r="CD44" i="148"/>
  <c r="CA44" i="149" s="1"/>
  <c r="CP44" i="148"/>
  <c r="CM44" i="149" s="1"/>
  <c r="CU44" i="148"/>
  <c r="CR44" i="149" s="1"/>
  <c r="BH44" i="148"/>
  <c r="BE44" i="149" s="1"/>
  <c r="F44" i="148"/>
  <c r="CI44" i="148"/>
  <c r="CF44" i="149" s="1"/>
  <c r="CT44" i="148"/>
  <c r="CQ44" i="149" s="1"/>
  <c r="BV44" i="148"/>
  <c r="BS44" i="149" s="1"/>
  <c r="BP44" i="148"/>
  <c r="BM44" i="149" s="1"/>
  <c r="CJ44" i="148"/>
  <c r="CG44" i="149" s="1"/>
  <c r="BY44" i="148"/>
  <c r="BV44" i="149" s="1"/>
  <c r="CR44" i="148"/>
  <c r="CO44" i="149" s="1"/>
  <c r="BU44" i="148"/>
  <c r="BR44" i="149" s="1"/>
  <c r="CQ44" i="148"/>
  <c r="CN44" i="149" s="1"/>
  <c r="CM44" i="148"/>
  <c r="CJ44" i="149" s="1"/>
  <c r="E44" i="148"/>
  <c r="DA44" i="148"/>
  <c r="CX44" i="149" s="1"/>
  <c r="BL44" i="148"/>
  <c r="BI44" i="149" s="1"/>
  <c r="AZ44" i="148"/>
  <c r="AW44" i="149" s="1"/>
  <c r="BC44" i="148"/>
  <c r="AZ44" i="149" s="1"/>
  <c r="BB44" i="148"/>
  <c r="AY44" i="149" s="1"/>
  <c r="BA44" i="148"/>
  <c r="AX44" i="149" s="1"/>
  <c r="BM44" i="148"/>
  <c r="BJ44" i="149" s="1"/>
  <c r="BI44" i="148"/>
  <c r="BF44" i="149" s="1"/>
  <c r="D44" i="148"/>
  <c r="Q106" i="148"/>
  <c r="CV106" i="148"/>
  <c r="CS106" i="149" s="1"/>
  <c r="CH106" i="148"/>
  <c r="CE106" i="149" s="1"/>
  <c r="CO106" i="148"/>
  <c r="CL106" i="149" s="1"/>
  <c r="DA106" i="148"/>
  <c r="CX106" i="149" s="1"/>
  <c r="CA106" i="148"/>
  <c r="BX106" i="149" s="1"/>
  <c r="CZ106" i="148"/>
  <c r="CW106" i="149" s="1"/>
  <c r="CS106" i="148"/>
  <c r="CP106" i="149" s="1"/>
  <c r="F106" i="148"/>
  <c r="CE106" i="148"/>
  <c r="CB106" i="149" s="1"/>
  <c r="AW106" i="148"/>
  <c r="AT106" i="149" s="1"/>
  <c r="CR106" i="148"/>
  <c r="CO106" i="149" s="1"/>
  <c r="AY106" i="148"/>
  <c r="AV106" i="149" s="1"/>
  <c r="CI106" i="148"/>
  <c r="CF106" i="149" s="1"/>
  <c r="CF106" i="148"/>
  <c r="CC106" i="149" s="1"/>
  <c r="V106" i="148"/>
  <c r="BF106" i="148"/>
  <c r="BC106" i="149" s="1"/>
  <c r="CM106" i="148"/>
  <c r="CJ106" i="149" s="1"/>
  <c r="H106" i="148"/>
  <c r="BT106" i="148"/>
  <c r="BQ106" i="149" s="1"/>
  <c r="BX106" i="148"/>
  <c r="BU106" i="149" s="1"/>
  <c r="CN106" i="148"/>
  <c r="CK106" i="149" s="1"/>
  <c r="BG106" i="148"/>
  <c r="BD106" i="149" s="1"/>
  <c r="CL106" i="148"/>
  <c r="CI106" i="149" s="1"/>
  <c r="E106" i="148"/>
  <c r="G106" i="148"/>
  <c r="CU106" i="148"/>
  <c r="CR106" i="149" s="1"/>
  <c r="CP106" i="148"/>
  <c r="CM106" i="149" s="1"/>
  <c r="CD106" i="148"/>
  <c r="CA106" i="149" s="1"/>
  <c r="AV106" i="148"/>
  <c r="AS106" i="149" s="1"/>
  <c r="CJ106" i="148"/>
  <c r="CG106" i="149" s="1"/>
  <c r="CT106" i="148"/>
  <c r="CQ106" i="149" s="1"/>
  <c r="CQ106" i="148"/>
  <c r="CN106" i="149" s="1"/>
  <c r="R106" i="148"/>
  <c r="CX106" i="148"/>
  <c r="CU106" i="149" s="1"/>
  <c r="BQ106" i="148"/>
  <c r="BN106" i="149" s="1"/>
  <c r="CY106" i="148"/>
  <c r="CV106" i="149" s="1"/>
  <c r="BP106" i="148"/>
  <c r="BM106" i="149" s="1"/>
  <c r="BS106" i="148"/>
  <c r="BP106" i="149" s="1"/>
  <c r="BY106" i="148"/>
  <c r="BV106" i="149" s="1"/>
  <c r="I106" i="148"/>
  <c r="CG106" i="148"/>
  <c r="CD106" i="149" s="1"/>
  <c r="CB106" i="148"/>
  <c r="BY106" i="149" s="1"/>
  <c r="CC106" i="148"/>
  <c r="BZ106" i="149" s="1"/>
  <c r="BZ106" i="148"/>
  <c r="BW106" i="149" s="1"/>
  <c r="CK106" i="148"/>
  <c r="CH106" i="149" s="1"/>
  <c r="CW106" i="148"/>
  <c r="CT106" i="149" s="1"/>
  <c r="BJ106" i="148"/>
  <c r="BG106" i="149" s="1"/>
  <c r="AZ106" i="148"/>
  <c r="AW106" i="149" s="1"/>
  <c r="BA106" i="148"/>
  <c r="AX106" i="149" s="1"/>
  <c r="BI106" i="148"/>
  <c r="BF106" i="149" s="1"/>
  <c r="BK106" i="148"/>
  <c r="BH106" i="149" s="1"/>
  <c r="BR106" i="148"/>
  <c r="BO106" i="149" s="1"/>
  <c r="BE106" i="148"/>
  <c r="BB106" i="149" s="1"/>
  <c r="BC106" i="148"/>
  <c r="AZ106" i="149" s="1"/>
  <c r="BH106" i="148"/>
  <c r="BE106" i="149" s="1"/>
  <c r="BV106" i="148"/>
  <c r="BS106" i="149" s="1"/>
  <c r="BN106" i="148"/>
  <c r="BK106" i="149" s="1"/>
  <c r="BB106" i="148"/>
  <c r="AY106" i="149" s="1"/>
  <c r="BM106" i="148"/>
  <c r="BJ106" i="149" s="1"/>
  <c r="BO106" i="148"/>
  <c r="D106" i="148"/>
  <c r="BL106" i="148"/>
  <c r="BI106" i="149" s="1"/>
  <c r="Q101" i="148"/>
  <c r="BF101" i="148"/>
  <c r="BC101" i="149" s="1"/>
  <c r="CM101" i="148"/>
  <c r="CJ101" i="149" s="1"/>
  <c r="CS101" i="148"/>
  <c r="CP101" i="149" s="1"/>
  <c r="CQ101" i="148"/>
  <c r="CN101" i="149" s="1"/>
  <c r="V101" i="148"/>
  <c r="CN101" i="148"/>
  <c r="CK101" i="149" s="1"/>
  <c r="BY101" i="148"/>
  <c r="BV101" i="149" s="1"/>
  <c r="BW101" i="148"/>
  <c r="BT101" i="149" s="1"/>
  <c r="CC101" i="148"/>
  <c r="BZ101" i="149" s="1"/>
  <c r="CO101" i="148"/>
  <c r="CL101" i="149" s="1"/>
  <c r="CZ101" i="148"/>
  <c r="CW101" i="149" s="1"/>
  <c r="CT101" i="148"/>
  <c r="CQ101" i="149" s="1"/>
  <c r="AW101" i="148"/>
  <c r="AT101" i="149" s="1"/>
  <c r="CI101" i="148"/>
  <c r="CF101" i="149" s="1"/>
  <c r="BS101" i="148"/>
  <c r="BP101" i="149" s="1"/>
  <c r="AY101" i="148"/>
  <c r="AV101" i="149" s="1"/>
  <c r="CD101" i="148"/>
  <c r="CA101" i="149" s="1"/>
  <c r="BU101" i="148"/>
  <c r="BR101" i="149" s="1"/>
  <c r="CP101" i="148"/>
  <c r="CM101" i="149" s="1"/>
  <c r="CJ101" i="148"/>
  <c r="CG101" i="149" s="1"/>
  <c r="E101" i="148"/>
  <c r="CV101" i="148"/>
  <c r="CS101" i="149" s="1"/>
  <c r="R101" i="148"/>
  <c r="BZ101" i="148"/>
  <c r="BW101" i="149" s="1"/>
  <c r="BT101" i="148"/>
  <c r="BQ101" i="149" s="1"/>
  <c r="CL101" i="148"/>
  <c r="CI101" i="149" s="1"/>
  <c r="CF101" i="148"/>
  <c r="CC101" i="149" s="1"/>
  <c r="DA101" i="148"/>
  <c r="CX101" i="149" s="1"/>
  <c r="CY101" i="148"/>
  <c r="CV101" i="149" s="1"/>
  <c r="CB101" i="148"/>
  <c r="BY101" i="149" s="1"/>
  <c r="G101" i="148"/>
  <c r="BP101" i="148"/>
  <c r="BM101" i="149" s="1"/>
  <c r="CK101" i="148"/>
  <c r="CH101" i="149" s="1"/>
  <c r="BD101" i="148"/>
  <c r="BA101" i="149" s="1"/>
  <c r="BV101" i="148"/>
  <c r="BS101" i="149" s="1"/>
  <c r="CU101" i="148"/>
  <c r="CR101" i="149" s="1"/>
  <c r="CE101" i="148"/>
  <c r="CB101" i="149" s="1"/>
  <c r="CH101" i="148"/>
  <c r="CE101" i="149" s="1"/>
  <c r="CW101" i="148"/>
  <c r="CT101" i="149" s="1"/>
  <c r="AV101" i="148"/>
  <c r="AS101" i="149" s="1"/>
  <c r="F101" i="148"/>
  <c r="CA101" i="148"/>
  <c r="BX101" i="149" s="1"/>
  <c r="I101" i="148"/>
  <c r="BE101" i="148"/>
  <c r="BB101" i="149" s="1"/>
  <c r="CG101" i="148"/>
  <c r="CD101" i="149" s="1"/>
  <c r="BQ101" i="148"/>
  <c r="BN101" i="149" s="1"/>
  <c r="CX101" i="148"/>
  <c r="CU101" i="149" s="1"/>
  <c r="BX101" i="148"/>
  <c r="BU101" i="149" s="1"/>
  <c r="BR101" i="148"/>
  <c r="BO101" i="149" s="1"/>
  <c r="H101" i="148"/>
  <c r="CR101" i="148"/>
  <c r="CO101" i="149" s="1"/>
  <c r="BB101" i="148"/>
  <c r="AY101" i="149" s="1"/>
  <c r="BI101" i="148"/>
  <c r="BF101" i="149" s="1"/>
  <c r="BM101" i="148"/>
  <c r="BJ101" i="149" s="1"/>
  <c r="BN101" i="148"/>
  <c r="BK101" i="149" s="1"/>
  <c r="BK101" i="148"/>
  <c r="BH101" i="149" s="1"/>
  <c r="AZ101" i="148"/>
  <c r="AW101" i="149" s="1"/>
  <c r="BH101" i="148"/>
  <c r="BE101" i="149" s="1"/>
  <c r="BJ101" i="148"/>
  <c r="BG101" i="149" s="1"/>
  <c r="AX101" i="148"/>
  <c r="AU101" i="149" s="1"/>
  <c r="BG101" i="148"/>
  <c r="BD101" i="149" s="1"/>
  <c r="BA101" i="148"/>
  <c r="AX101" i="149" s="1"/>
  <c r="D101" i="148"/>
  <c r="BL101" i="148"/>
  <c r="BI101" i="149" s="1"/>
  <c r="BO101" i="148"/>
  <c r="BC101" i="148"/>
  <c r="AZ101" i="149" s="1"/>
  <c r="Q36" i="148"/>
  <c r="V36" i="148"/>
  <c r="CZ36" i="148"/>
  <c r="CW36" i="149" s="1"/>
  <c r="CG36" i="148"/>
  <c r="CD36" i="149" s="1"/>
  <c r="AY36" i="148"/>
  <c r="AV36" i="149" s="1"/>
  <c r="I36" i="148"/>
  <c r="CN36" i="148"/>
  <c r="CK36" i="149" s="1"/>
  <c r="CF36" i="148"/>
  <c r="CC36" i="149" s="1"/>
  <c r="BD36" i="148"/>
  <c r="BA36" i="149" s="1"/>
  <c r="CR36" i="148"/>
  <c r="CO36" i="149" s="1"/>
  <c r="CW36" i="148"/>
  <c r="CT36" i="149" s="1"/>
  <c r="CT36" i="148"/>
  <c r="CQ36" i="149" s="1"/>
  <c r="DA36" i="148"/>
  <c r="CX36" i="149" s="1"/>
  <c r="BQ36" i="148"/>
  <c r="BN36" i="149" s="1"/>
  <c r="F36" i="148"/>
  <c r="CU36" i="148"/>
  <c r="CR36" i="149" s="1"/>
  <c r="CI36" i="148"/>
  <c r="CF36" i="149" s="1"/>
  <c r="CH36" i="148"/>
  <c r="CE36" i="149" s="1"/>
  <c r="BV36" i="148"/>
  <c r="BS36" i="149" s="1"/>
  <c r="BT36" i="148"/>
  <c r="BQ36" i="149" s="1"/>
  <c r="BY36" i="148"/>
  <c r="BV36" i="149" s="1"/>
  <c r="CQ36" i="148"/>
  <c r="CN36" i="149" s="1"/>
  <c r="CM36" i="148"/>
  <c r="CJ36" i="149" s="1"/>
  <c r="BS36" i="148"/>
  <c r="BP36" i="149" s="1"/>
  <c r="G36" i="148"/>
  <c r="CD36" i="148"/>
  <c r="CA36" i="149" s="1"/>
  <c r="CV36" i="148"/>
  <c r="CS36" i="149" s="1"/>
  <c r="BG36" i="148"/>
  <c r="BD36" i="149" s="1"/>
  <c r="CY36" i="148"/>
  <c r="CV36" i="149" s="1"/>
  <c r="CA36" i="148"/>
  <c r="BX36" i="149" s="1"/>
  <c r="BZ36" i="148"/>
  <c r="BW36" i="149" s="1"/>
  <c r="BF36" i="148"/>
  <c r="BC36" i="149" s="1"/>
  <c r="BX36" i="148"/>
  <c r="BU36" i="149" s="1"/>
  <c r="CK36" i="148"/>
  <c r="CH36" i="149" s="1"/>
  <c r="CB36" i="148"/>
  <c r="BY36" i="149" s="1"/>
  <c r="BE36" i="148"/>
  <c r="BB36" i="149" s="1"/>
  <c r="E36" i="148"/>
  <c r="CS36" i="148"/>
  <c r="CP36" i="149" s="1"/>
  <c r="CJ36" i="148"/>
  <c r="CG36" i="149" s="1"/>
  <c r="CO36" i="148"/>
  <c r="CL36" i="149" s="1"/>
  <c r="CE36" i="148"/>
  <c r="CB36" i="149" s="1"/>
  <c r="R36" i="148"/>
  <c r="CL36" i="148"/>
  <c r="CI36" i="149" s="1"/>
  <c r="CP36" i="148"/>
  <c r="CM36" i="149" s="1"/>
  <c r="AW36" i="148"/>
  <c r="AT36" i="149" s="1"/>
  <c r="H36" i="148"/>
  <c r="CC36" i="148"/>
  <c r="BZ36" i="149" s="1"/>
  <c r="CX36" i="148"/>
  <c r="CU36" i="149" s="1"/>
  <c r="AX36" i="148"/>
  <c r="AU36" i="149" s="1"/>
  <c r="BR36" i="148"/>
  <c r="BO36" i="149" s="1"/>
  <c r="BB36" i="148"/>
  <c r="AY36" i="149" s="1"/>
  <c r="BM36" i="148"/>
  <c r="BJ36" i="149" s="1"/>
  <c r="BL36" i="148"/>
  <c r="BI36" i="149" s="1"/>
  <c r="BC36" i="148"/>
  <c r="AZ36" i="149" s="1"/>
  <c r="BN36" i="148"/>
  <c r="BK36" i="149" s="1"/>
  <c r="AV36" i="148"/>
  <c r="AS36" i="149" s="1"/>
  <c r="BO36" i="148"/>
  <c r="AZ36" i="148"/>
  <c r="AW36" i="149" s="1"/>
  <c r="BJ36" i="148"/>
  <c r="BG36" i="149" s="1"/>
  <c r="BA36" i="148"/>
  <c r="AX36" i="149" s="1"/>
  <c r="BH36" i="148"/>
  <c r="BE36" i="149" s="1"/>
  <c r="BK36" i="148"/>
  <c r="BH36" i="149" s="1"/>
  <c r="D36" i="148"/>
  <c r="Q86" i="148"/>
  <c r="CM86" i="148"/>
  <c r="CJ86" i="149" s="1"/>
  <c r="CP86" i="148"/>
  <c r="CM86" i="149" s="1"/>
  <c r="CH86" i="148"/>
  <c r="CE86" i="149" s="1"/>
  <c r="AV86" i="148"/>
  <c r="AS86" i="149" s="1"/>
  <c r="CB86" i="148"/>
  <c r="BY86" i="149" s="1"/>
  <c r="BZ86" i="148"/>
  <c r="BW86" i="149" s="1"/>
  <c r="CL86" i="148"/>
  <c r="CI86" i="149" s="1"/>
  <c r="CA86" i="148"/>
  <c r="BX86" i="149" s="1"/>
  <c r="R86" i="148"/>
  <c r="BY86" i="148"/>
  <c r="BV86" i="149" s="1"/>
  <c r="CG86" i="148"/>
  <c r="CD86" i="149" s="1"/>
  <c r="DA86" i="148"/>
  <c r="CX86" i="149" s="1"/>
  <c r="H86" i="148"/>
  <c r="CT86" i="148"/>
  <c r="CQ86" i="149" s="1"/>
  <c r="CZ86" i="148"/>
  <c r="CW86" i="149" s="1"/>
  <c r="AX86" i="148"/>
  <c r="AU86" i="149" s="1"/>
  <c r="BG86" i="148"/>
  <c r="BD86" i="149" s="1"/>
  <c r="BT86" i="148"/>
  <c r="BQ86" i="149" s="1"/>
  <c r="F86" i="148"/>
  <c r="BD86" i="148"/>
  <c r="BA86" i="149" s="1"/>
  <c r="BR86" i="148"/>
  <c r="BO86" i="149" s="1"/>
  <c r="CW86" i="148"/>
  <c r="CT86" i="149" s="1"/>
  <c r="I86" i="148"/>
  <c r="BF86" i="148"/>
  <c r="BC86" i="149" s="1"/>
  <c r="BP86" i="148"/>
  <c r="BM86" i="149" s="1"/>
  <c r="AW86" i="148"/>
  <c r="AT86" i="149" s="1"/>
  <c r="CC86" i="148"/>
  <c r="BZ86" i="149" s="1"/>
  <c r="BV86" i="148"/>
  <c r="BS86" i="149" s="1"/>
  <c r="CJ86" i="148"/>
  <c r="CG86" i="149" s="1"/>
  <c r="CK86" i="148"/>
  <c r="CH86" i="149" s="1"/>
  <c r="CO86" i="148"/>
  <c r="CL86" i="149" s="1"/>
  <c r="V86" i="148"/>
  <c r="BX86" i="148"/>
  <c r="BU86" i="149" s="1"/>
  <c r="CN86" i="148"/>
  <c r="CK86" i="149" s="1"/>
  <c r="E86" i="148"/>
  <c r="BE86" i="148"/>
  <c r="BB86" i="149" s="1"/>
  <c r="CU86" i="148"/>
  <c r="CR86" i="149" s="1"/>
  <c r="CV86" i="148"/>
  <c r="CS86" i="149" s="1"/>
  <c r="CR86" i="148"/>
  <c r="CO86" i="149" s="1"/>
  <c r="G86" i="148"/>
  <c r="CS86" i="148"/>
  <c r="CP86" i="149" s="1"/>
  <c r="CD86" i="148"/>
  <c r="CA86" i="149" s="1"/>
  <c r="CI86" i="148"/>
  <c r="CF86" i="149" s="1"/>
  <c r="AY86" i="148"/>
  <c r="AV86" i="149" s="1"/>
  <c r="CQ86" i="148"/>
  <c r="CN86" i="149" s="1"/>
  <c r="BS86" i="148"/>
  <c r="BP86" i="149" s="1"/>
  <c r="CY86" i="148"/>
  <c r="CV86" i="149" s="1"/>
  <c r="CF86" i="148"/>
  <c r="CC86" i="149" s="1"/>
  <c r="CE86" i="148"/>
  <c r="CB86" i="149" s="1"/>
  <c r="BU86" i="148"/>
  <c r="BR86" i="149" s="1"/>
  <c r="BW86" i="148"/>
  <c r="BT86" i="149" s="1"/>
  <c r="CX86" i="148"/>
  <c r="CU86" i="149" s="1"/>
  <c r="BQ86" i="148"/>
  <c r="BN86" i="149" s="1"/>
  <c r="BH86" i="148"/>
  <c r="BE86" i="149" s="1"/>
  <c r="AZ86" i="148"/>
  <c r="AW86" i="149" s="1"/>
  <c r="BK86" i="148"/>
  <c r="BH86" i="149" s="1"/>
  <c r="BC86" i="148"/>
  <c r="AZ86" i="149" s="1"/>
  <c r="BJ86" i="148"/>
  <c r="BG86" i="149" s="1"/>
  <c r="BB86" i="148"/>
  <c r="AY86" i="149" s="1"/>
  <c r="BM86" i="148"/>
  <c r="BJ86" i="149" s="1"/>
  <c r="BL86" i="148"/>
  <c r="BI86" i="149" s="1"/>
  <c r="BA86" i="148"/>
  <c r="AX86" i="149" s="1"/>
  <c r="BO86" i="148"/>
  <c r="BI86" i="148"/>
  <c r="BF86" i="149" s="1"/>
  <c r="BN86" i="148"/>
  <c r="BK86" i="149" s="1"/>
  <c r="D86" i="148"/>
  <c r="Q41" i="148"/>
  <c r="E41" i="148"/>
  <c r="CP41" i="148"/>
  <c r="CM41" i="149" s="1"/>
  <c r="CG41" i="148"/>
  <c r="CD41" i="149" s="1"/>
  <c r="BQ41" i="148"/>
  <c r="BN41" i="149" s="1"/>
  <c r="I41" i="148"/>
  <c r="G41" i="148"/>
  <c r="CC41" i="148"/>
  <c r="BZ41" i="149" s="1"/>
  <c r="BT41" i="148"/>
  <c r="BQ41" i="149" s="1"/>
  <c r="CD41" i="148"/>
  <c r="CA41" i="149" s="1"/>
  <c r="CS41" i="148"/>
  <c r="CP41" i="149" s="1"/>
  <c r="CA41" i="148"/>
  <c r="BX41" i="149" s="1"/>
  <c r="BS41" i="148"/>
  <c r="BP41" i="149" s="1"/>
  <c r="BZ41" i="148"/>
  <c r="BW41" i="149" s="1"/>
  <c r="CI41" i="148"/>
  <c r="CF41" i="149" s="1"/>
  <c r="CY41" i="148"/>
  <c r="CV41" i="149" s="1"/>
  <c r="AX41" i="148"/>
  <c r="AU41" i="149" s="1"/>
  <c r="CN41" i="148"/>
  <c r="CK41" i="149" s="1"/>
  <c r="CF41" i="148"/>
  <c r="CC41" i="149" s="1"/>
  <c r="CH41" i="148"/>
  <c r="CE41" i="149" s="1"/>
  <c r="BD41" i="148"/>
  <c r="BA41" i="149" s="1"/>
  <c r="BV41" i="148"/>
  <c r="BS41" i="149" s="1"/>
  <c r="CO41" i="148"/>
  <c r="CL41" i="149" s="1"/>
  <c r="CJ41" i="148"/>
  <c r="CG41" i="149" s="1"/>
  <c r="CT41" i="148"/>
  <c r="CQ41" i="149" s="1"/>
  <c r="AY41" i="148"/>
  <c r="AV41" i="149" s="1"/>
  <c r="R41" i="148"/>
  <c r="BY41" i="148"/>
  <c r="BV41" i="149" s="1"/>
  <c r="CE41" i="148"/>
  <c r="CB41" i="149" s="1"/>
  <c r="CU41" i="148"/>
  <c r="CR41" i="149" s="1"/>
  <c r="BE41" i="148"/>
  <c r="BB41" i="149" s="1"/>
  <c r="CV41" i="148"/>
  <c r="CS41" i="149" s="1"/>
  <c r="CB41" i="148"/>
  <c r="BY41" i="149" s="1"/>
  <c r="DA41" i="148"/>
  <c r="CX41" i="149" s="1"/>
  <c r="CX41" i="148"/>
  <c r="CU41" i="149" s="1"/>
  <c r="BF41" i="148"/>
  <c r="BC41" i="149" s="1"/>
  <c r="CZ41" i="148"/>
  <c r="CW41" i="149" s="1"/>
  <c r="V41" i="148"/>
  <c r="BX41" i="148"/>
  <c r="BU41" i="149" s="1"/>
  <c r="CQ41" i="148"/>
  <c r="CN41" i="149" s="1"/>
  <c r="CM41" i="148"/>
  <c r="CJ41" i="149" s="1"/>
  <c r="AW41" i="148"/>
  <c r="AT41" i="149" s="1"/>
  <c r="F41" i="148"/>
  <c r="CK41" i="148"/>
  <c r="CH41" i="149" s="1"/>
  <c r="CR41" i="148"/>
  <c r="CO41" i="149" s="1"/>
  <c r="BG41" i="148"/>
  <c r="BD41" i="149" s="1"/>
  <c r="BU41" i="148"/>
  <c r="BR41" i="149" s="1"/>
  <c r="H41" i="148"/>
  <c r="CW41" i="148"/>
  <c r="CT41" i="149" s="1"/>
  <c r="CL41" i="148"/>
  <c r="CI41" i="149" s="1"/>
  <c r="BP41" i="148"/>
  <c r="BM41" i="149" s="1"/>
  <c r="BR41" i="148"/>
  <c r="BO41" i="149" s="1"/>
  <c r="AV41" i="148"/>
  <c r="AS41" i="149" s="1"/>
  <c r="BC41" i="148"/>
  <c r="AZ41" i="149" s="1"/>
  <c r="BJ41" i="148"/>
  <c r="BG41" i="149" s="1"/>
  <c r="BM41" i="148"/>
  <c r="BJ41" i="149" s="1"/>
  <c r="BK41" i="148"/>
  <c r="BH41" i="149" s="1"/>
  <c r="AZ41" i="148"/>
  <c r="AW41" i="149" s="1"/>
  <c r="BH41" i="148"/>
  <c r="BE41" i="149" s="1"/>
  <c r="BB41" i="148"/>
  <c r="AY41" i="149" s="1"/>
  <c r="BL41" i="148"/>
  <c r="BI41" i="149" s="1"/>
  <c r="BI41" i="148"/>
  <c r="BF41" i="149" s="1"/>
  <c r="BA41" i="148"/>
  <c r="AX41" i="149" s="1"/>
  <c r="BO41" i="148"/>
  <c r="BN41" i="148"/>
  <c r="BK41" i="149" s="1"/>
  <c r="D41" i="148"/>
  <c r="DB51" i="149"/>
  <c r="DA51" i="149"/>
  <c r="CZ51" i="149"/>
  <c r="BL51" i="149"/>
  <c r="E32" i="153"/>
  <c r="R32" i="153"/>
  <c r="P32" i="153"/>
  <c r="D32" i="153"/>
  <c r="G32" i="153"/>
  <c r="H32" i="153"/>
  <c r="C32" i="153"/>
  <c r="CC32" i="153"/>
  <c r="BW32" i="153"/>
  <c r="CE32" i="153"/>
  <c r="CO32" i="153"/>
  <c r="F32" i="153"/>
  <c r="CS32" i="153"/>
  <c r="CA32" i="153"/>
  <c r="BU32" i="153"/>
  <c r="CB32" i="153"/>
  <c r="CP32" i="153"/>
  <c r="CI32" i="153"/>
  <c r="CH32" i="153"/>
  <c r="CD32" i="153"/>
  <c r="CR32" i="153"/>
  <c r="BX32" i="153"/>
  <c r="CU32" i="153"/>
  <c r="CJ32" i="153"/>
  <c r="CN32" i="153"/>
  <c r="BY32" i="153"/>
  <c r="CK32" i="153"/>
  <c r="CW32" i="153"/>
  <c r="BT32" i="153"/>
  <c r="CL32" i="153"/>
  <c r="CG32" i="153"/>
  <c r="CF32" i="153"/>
  <c r="CT32" i="153"/>
  <c r="CV32" i="153"/>
  <c r="CM32" i="153"/>
  <c r="BZ32" i="153"/>
  <c r="CQ32" i="153"/>
  <c r="BV32" i="153"/>
  <c r="BS32" i="153"/>
  <c r="BP32" i="153"/>
  <c r="AS32" i="153"/>
  <c r="BR32" i="153"/>
  <c r="BM32" i="153"/>
  <c r="BN32" i="153"/>
  <c r="AV32" i="153"/>
  <c r="BA32" i="153"/>
  <c r="AZ32" i="153"/>
  <c r="BF32" i="153"/>
  <c r="BE32" i="153"/>
  <c r="AR32" i="153"/>
  <c r="BD32" i="153"/>
  <c r="BL32" i="153"/>
  <c r="BC32" i="153"/>
  <c r="BI32" i="153"/>
  <c r="BJ32" i="153"/>
  <c r="AW32" i="153"/>
  <c r="AU32" i="153"/>
  <c r="BK32" i="153"/>
  <c r="AY32" i="153"/>
  <c r="BH32" i="153"/>
  <c r="BQ32" i="153"/>
  <c r="AX32" i="153"/>
  <c r="BB32" i="153"/>
  <c r="BO32" i="153"/>
  <c r="BG32" i="153"/>
  <c r="AT32" i="153"/>
  <c r="E20" i="151"/>
  <c r="G20" i="151"/>
  <c r="P20" i="151"/>
  <c r="H20" i="151"/>
  <c r="R20" i="151"/>
  <c r="D20" i="151"/>
  <c r="CM20" i="151"/>
  <c r="BW20" i="151"/>
  <c r="CO20" i="151"/>
  <c r="BV20" i="151"/>
  <c r="BZ20" i="151"/>
  <c r="CD20" i="151"/>
  <c r="CG20" i="151"/>
  <c r="CN20" i="151"/>
  <c r="F20" i="151"/>
  <c r="CR20" i="151"/>
  <c r="CW20" i="151"/>
  <c r="CP20" i="151"/>
  <c r="CV20" i="151"/>
  <c r="CH20" i="151"/>
  <c r="CQ20" i="151"/>
  <c r="CI20" i="151"/>
  <c r="CU20" i="151"/>
  <c r="CT20" i="151"/>
  <c r="CE20" i="151"/>
  <c r="BU20" i="151"/>
  <c r="BX20" i="151"/>
  <c r="CS20" i="151"/>
  <c r="CK20" i="151"/>
  <c r="CA20" i="151"/>
  <c r="CL20" i="151"/>
  <c r="CF20" i="151"/>
  <c r="BY20" i="151"/>
  <c r="CB20" i="151"/>
  <c r="CJ20" i="151"/>
  <c r="CC20" i="151"/>
  <c r="BT20" i="151"/>
  <c r="BR20" i="151"/>
  <c r="BJ20" i="151"/>
  <c r="AU20" i="151"/>
  <c r="AX20" i="151"/>
  <c r="AT20" i="151"/>
  <c r="BK20" i="151"/>
  <c r="BO20" i="151"/>
  <c r="BC20" i="151"/>
  <c r="BD20" i="151"/>
  <c r="AV20" i="151"/>
  <c r="BF20" i="151"/>
  <c r="BG20" i="151"/>
  <c r="BB20" i="151"/>
  <c r="BM20" i="151"/>
  <c r="AY20" i="151"/>
  <c r="BE20" i="151"/>
  <c r="AR20" i="151"/>
  <c r="BL20" i="151"/>
  <c r="BS20" i="151"/>
  <c r="AS20" i="151"/>
  <c r="BH20" i="151"/>
  <c r="AZ20" i="151"/>
  <c r="AW20" i="151"/>
  <c r="BN20" i="151"/>
  <c r="BP20" i="151"/>
  <c r="BA20" i="151"/>
  <c r="BQ20" i="151"/>
  <c r="BI20" i="151"/>
  <c r="R11" i="153"/>
  <c r="E11" i="153"/>
  <c r="G11" i="153"/>
  <c r="H11" i="153"/>
  <c r="P11" i="153"/>
  <c r="D11" i="153"/>
  <c r="C11" i="153"/>
  <c r="CD11" i="153"/>
  <c r="CG11" i="153"/>
  <c r="BU11" i="153"/>
  <c r="CP11" i="153"/>
  <c r="CC11" i="153"/>
  <c r="CN11" i="153"/>
  <c r="BT11" i="153"/>
  <c r="CI11" i="153"/>
  <c r="CF11" i="153"/>
  <c r="CS11" i="153"/>
  <c r="BY11" i="153"/>
  <c r="CU11" i="153"/>
  <c r="CT11" i="153"/>
  <c r="CB11" i="153"/>
  <c r="CL11" i="153"/>
  <c r="CV11" i="153"/>
  <c r="AZ11" i="153"/>
  <c r="CJ11" i="153"/>
  <c r="CR11" i="153"/>
  <c r="CO11" i="153"/>
  <c r="CE11" i="153"/>
  <c r="BW11" i="153"/>
  <c r="BX11" i="153"/>
  <c r="CQ11" i="153"/>
  <c r="CW11" i="153"/>
  <c r="F11" i="153"/>
  <c r="CM11" i="153"/>
  <c r="BZ11" i="153"/>
  <c r="CK11" i="153"/>
  <c r="CA11" i="153"/>
  <c r="BV11" i="153"/>
  <c r="CH11" i="153"/>
  <c r="AU11" i="153"/>
  <c r="BF11" i="153"/>
  <c r="AT11" i="153"/>
  <c r="BG11" i="153"/>
  <c r="BK11" i="153"/>
  <c r="BR11" i="153"/>
  <c r="BC11" i="153"/>
  <c r="BD11" i="153"/>
  <c r="BO11" i="153"/>
  <c r="BB11" i="153"/>
  <c r="BA11" i="153"/>
  <c r="BI11" i="153"/>
  <c r="BN11" i="153"/>
  <c r="AW11" i="153"/>
  <c r="BH11" i="153"/>
  <c r="AV11" i="153"/>
  <c r="AR11" i="153"/>
  <c r="AY11" i="153"/>
  <c r="BM11" i="153"/>
  <c r="AX11" i="153"/>
  <c r="AS11" i="153"/>
  <c r="BP11" i="153"/>
  <c r="BJ11" i="153"/>
  <c r="R17" i="151"/>
  <c r="H17" i="151"/>
  <c r="P17" i="151"/>
  <c r="G17" i="151"/>
  <c r="E17" i="151"/>
  <c r="D17" i="151"/>
  <c r="CU17" i="151"/>
  <c r="CJ17" i="151"/>
  <c r="F17" i="151"/>
  <c r="CO17" i="151"/>
  <c r="BY17" i="151"/>
  <c r="CV17" i="151"/>
  <c r="CB17" i="151"/>
  <c r="CI17" i="151"/>
  <c r="BV17" i="151"/>
  <c r="CE17" i="151"/>
  <c r="CT17" i="151"/>
  <c r="CA17" i="151"/>
  <c r="BZ17" i="151"/>
  <c r="CG17" i="151"/>
  <c r="CC17" i="151"/>
  <c r="CM17" i="151"/>
  <c r="CQ17" i="151"/>
  <c r="BX17" i="151"/>
  <c r="CL17" i="151"/>
  <c r="CS17" i="151"/>
  <c r="BU17" i="151"/>
  <c r="BW17" i="151"/>
  <c r="CR17" i="151"/>
  <c r="CW17" i="151"/>
  <c r="CP17" i="151"/>
  <c r="BT17" i="151"/>
  <c r="CD17" i="151"/>
  <c r="CN17" i="151"/>
  <c r="CF17" i="151"/>
  <c r="CH17" i="151"/>
  <c r="CK17" i="151"/>
  <c r="AR17" i="151"/>
  <c r="BC17" i="151"/>
  <c r="BE17" i="151"/>
  <c r="BI17" i="151"/>
  <c r="BS17" i="151"/>
  <c r="AZ17" i="151"/>
  <c r="AW17" i="151"/>
  <c r="BA17" i="151"/>
  <c r="BJ17" i="151"/>
  <c r="BK17" i="151"/>
  <c r="BL17" i="151"/>
  <c r="AU17" i="151"/>
  <c r="BF17" i="151"/>
  <c r="BD17" i="151"/>
  <c r="BG17" i="151"/>
  <c r="BB17" i="151"/>
  <c r="BQ17" i="151"/>
  <c r="BM17" i="151"/>
  <c r="AY17" i="151"/>
  <c r="BR17" i="151"/>
  <c r="AV17" i="151"/>
  <c r="AT17" i="151"/>
  <c r="AX17" i="151"/>
  <c r="BN17" i="151"/>
  <c r="BO17" i="151"/>
  <c r="AS17" i="151"/>
  <c r="BP17" i="151"/>
  <c r="BH17" i="151"/>
  <c r="R31" i="153"/>
  <c r="E31" i="153"/>
  <c r="H31" i="153"/>
  <c r="D31" i="153"/>
  <c r="P31" i="153"/>
  <c r="G31" i="153"/>
  <c r="C31" i="153"/>
  <c r="CQ31" i="153"/>
  <c r="CC31" i="153"/>
  <c r="CR31" i="153"/>
  <c r="CO31" i="153"/>
  <c r="CM31" i="153"/>
  <c r="CH31" i="153"/>
  <c r="CB31" i="153"/>
  <c r="CL31" i="153"/>
  <c r="CN31" i="153"/>
  <c r="CT31" i="153"/>
  <c r="CW31" i="153"/>
  <c r="BW31" i="153"/>
  <c r="CU31" i="153"/>
  <c r="CI31" i="153"/>
  <c r="CS31" i="153"/>
  <c r="CD31" i="153"/>
  <c r="BU31" i="153"/>
  <c r="CG31" i="153"/>
  <c r="BZ31" i="153"/>
  <c r="CF31" i="153"/>
  <c r="BT31" i="153"/>
  <c r="BV31" i="153"/>
  <c r="CP31" i="153"/>
  <c r="CJ31" i="153"/>
  <c r="CA31" i="153"/>
  <c r="F31" i="153"/>
  <c r="BY31" i="153"/>
  <c r="CK31" i="153"/>
  <c r="CE31" i="153"/>
  <c r="BX31" i="153"/>
  <c r="CV31" i="153"/>
  <c r="AU31" i="153"/>
  <c r="AW31" i="153"/>
  <c r="BB31" i="153"/>
  <c r="BG31" i="153"/>
  <c r="BS31" i="153"/>
  <c r="BQ31" i="153"/>
  <c r="AS31" i="153"/>
  <c r="AX31" i="153"/>
  <c r="AT31" i="153"/>
  <c r="BF31" i="153"/>
  <c r="BC31" i="153"/>
  <c r="AZ31" i="153"/>
  <c r="BE31" i="153"/>
  <c r="BP31" i="153"/>
  <c r="AV31" i="153"/>
  <c r="BL31" i="153"/>
  <c r="BD31" i="153"/>
  <c r="BN31" i="153"/>
  <c r="BJ31" i="153"/>
  <c r="BI31" i="153"/>
  <c r="BM31" i="153"/>
  <c r="AR31" i="153"/>
  <c r="BO31" i="153"/>
  <c r="BA31" i="153"/>
  <c r="BH31" i="153"/>
  <c r="AY31" i="153"/>
  <c r="BK31" i="153"/>
  <c r="BR31" i="153"/>
  <c r="CZ73" i="149"/>
  <c r="DA73" i="149"/>
  <c r="DB73" i="149"/>
  <c r="BL73" i="149"/>
  <c r="DA34" i="149"/>
  <c r="DB34" i="149"/>
  <c r="CZ34" i="149"/>
  <c r="BL34" i="149"/>
  <c r="DA53" i="149"/>
  <c r="CZ53" i="149"/>
  <c r="DB53" i="149"/>
  <c r="BL53" i="149"/>
  <c r="Q49" i="148"/>
  <c r="BI49" i="148"/>
  <c r="BF49" i="149" s="1"/>
  <c r="BN49" i="148"/>
  <c r="BK49" i="149" s="1"/>
  <c r="BH49" i="148"/>
  <c r="BE49" i="149" s="1"/>
  <c r="BL49" i="148"/>
  <c r="BI49" i="149" s="1"/>
  <c r="BO49" i="148"/>
  <c r="BJ49" i="148"/>
  <c r="BG49" i="149" s="1"/>
  <c r="BC49" i="148"/>
  <c r="AZ49" i="149" s="1"/>
  <c r="AZ49" i="148"/>
  <c r="AW49" i="149" s="1"/>
  <c r="BA49" i="148"/>
  <c r="AX49" i="149" s="1"/>
  <c r="BB49" i="148"/>
  <c r="AY49" i="149" s="1"/>
  <c r="BM49" i="148"/>
  <c r="BJ49" i="149" s="1"/>
  <c r="CH49" i="148"/>
  <c r="CE49" i="149" s="1"/>
  <c r="CW49" i="148"/>
  <c r="CT49" i="149" s="1"/>
  <c r="CR49" i="148"/>
  <c r="CO49" i="149" s="1"/>
  <c r="CE49" i="148"/>
  <c r="CB49" i="149" s="1"/>
  <c r="CV49" i="148"/>
  <c r="CS49" i="149" s="1"/>
  <c r="BT49" i="148"/>
  <c r="BQ49" i="149" s="1"/>
  <c r="CC49" i="148"/>
  <c r="BZ49" i="149" s="1"/>
  <c r="BR49" i="148"/>
  <c r="BO49" i="149" s="1"/>
  <c r="V49" i="148"/>
  <c r="AY49" i="148"/>
  <c r="AV49" i="149" s="1"/>
  <c r="BZ49" i="148"/>
  <c r="BW49" i="149" s="1"/>
  <c r="BE49" i="148"/>
  <c r="BB49" i="149" s="1"/>
  <c r="CP49" i="148"/>
  <c r="CM49" i="149" s="1"/>
  <c r="BW49" i="148"/>
  <c r="BT49" i="149" s="1"/>
  <c r="BG49" i="148"/>
  <c r="BD49" i="149" s="1"/>
  <c r="BY49" i="148"/>
  <c r="BV49" i="149" s="1"/>
  <c r="H49" i="148"/>
  <c r="AW49" i="148"/>
  <c r="AT49" i="149" s="1"/>
  <c r="CU49" i="148"/>
  <c r="CR49" i="149" s="1"/>
  <c r="R49" i="148"/>
  <c r="CX49" i="148"/>
  <c r="CU49" i="149" s="1"/>
  <c r="G49" i="148"/>
  <c r="BF49" i="148"/>
  <c r="BC49" i="149" s="1"/>
  <c r="CL49" i="148"/>
  <c r="CI49" i="149" s="1"/>
  <c r="CY49" i="148"/>
  <c r="CV49" i="149" s="1"/>
  <c r="CJ49" i="148"/>
  <c r="CG49" i="149" s="1"/>
  <c r="CI49" i="148"/>
  <c r="CF49" i="149" s="1"/>
  <c r="BU49" i="148"/>
  <c r="BR49" i="149" s="1"/>
  <c r="CK49" i="148"/>
  <c r="CH49" i="149" s="1"/>
  <c r="BQ49" i="148"/>
  <c r="BN49" i="149" s="1"/>
  <c r="E49" i="148"/>
  <c r="CO49" i="148"/>
  <c r="CL49" i="149" s="1"/>
  <c r="CB49" i="148"/>
  <c r="BY49" i="149" s="1"/>
  <c r="I49" i="148"/>
  <c r="CT49" i="148"/>
  <c r="CQ49" i="149" s="1"/>
  <c r="BP49" i="148"/>
  <c r="BM49" i="149" s="1"/>
  <c r="CD49" i="148"/>
  <c r="CA49" i="149" s="1"/>
  <c r="CA49" i="148"/>
  <c r="BX49" i="149" s="1"/>
  <c r="CZ49" i="148"/>
  <c r="CW49" i="149" s="1"/>
  <c r="DA49" i="148"/>
  <c r="CX49" i="149" s="1"/>
  <c r="BK49" i="148"/>
  <c r="BH49" i="149" s="1"/>
  <c r="AX49" i="148"/>
  <c r="AU49" i="149" s="1"/>
  <c r="F49" i="148"/>
  <c r="AV49" i="148"/>
  <c r="AS49" i="149" s="1"/>
  <c r="CN49" i="148"/>
  <c r="CK49" i="149" s="1"/>
  <c r="CF49" i="148"/>
  <c r="CC49" i="149" s="1"/>
  <c r="BD49" i="148"/>
  <c r="BA49" i="149" s="1"/>
  <c r="BV49" i="148"/>
  <c r="BS49" i="149" s="1"/>
  <c r="BX49" i="148"/>
  <c r="BU49" i="149" s="1"/>
  <c r="CM49" i="148"/>
  <c r="CJ49" i="149" s="1"/>
  <c r="CS49" i="148"/>
  <c r="CP49" i="149" s="1"/>
  <c r="BS49" i="148"/>
  <c r="BP49" i="149" s="1"/>
  <c r="CG49" i="148"/>
  <c r="CD49" i="149" s="1"/>
  <c r="CQ49" i="148"/>
  <c r="CN49" i="149" s="1"/>
  <c r="D49" i="148"/>
  <c r="Q33" i="148"/>
  <c r="BI33" i="148"/>
  <c r="BF33" i="149" s="1"/>
  <c r="V33" i="148"/>
  <c r="CF33" i="148"/>
  <c r="CC33" i="149" s="1"/>
  <c r="BY33" i="148"/>
  <c r="BV33" i="149" s="1"/>
  <c r="BW33" i="148"/>
  <c r="BT33" i="149" s="1"/>
  <c r="BP33" i="148"/>
  <c r="BM33" i="149" s="1"/>
  <c r="BH33" i="148"/>
  <c r="BE33" i="149" s="1"/>
  <c r="I33" i="148"/>
  <c r="CO33" i="148"/>
  <c r="CL33" i="149" s="1"/>
  <c r="CR33" i="148"/>
  <c r="CO33" i="149" s="1"/>
  <c r="BS33" i="148"/>
  <c r="BP33" i="149" s="1"/>
  <c r="BQ33" i="148"/>
  <c r="BN33" i="149" s="1"/>
  <c r="BL33" i="148"/>
  <c r="BI33" i="149" s="1"/>
  <c r="R33" i="148"/>
  <c r="CQ33" i="148"/>
  <c r="CN33" i="149" s="1"/>
  <c r="CX33" i="148"/>
  <c r="CU33" i="149" s="1"/>
  <c r="AW33" i="148"/>
  <c r="AT33" i="149" s="1"/>
  <c r="BO33" i="148"/>
  <c r="CE33" i="148"/>
  <c r="CB33" i="149" s="1"/>
  <c r="CK33" i="148"/>
  <c r="CH33" i="149" s="1"/>
  <c r="CU33" i="148"/>
  <c r="CR33" i="149" s="1"/>
  <c r="AY33" i="148"/>
  <c r="AV33" i="149" s="1"/>
  <c r="BJ33" i="148"/>
  <c r="BG33" i="149" s="1"/>
  <c r="CH33" i="148"/>
  <c r="CE33" i="149" s="1"/>
  <c r="CY33" i="148"/>
  <c r="CV33" i="149" s="1"/>
  <c r="DA33" i="148"/>
  <c r="CX33" i="149" s="1"/>
  <c r="BF33" i="148"/>
  <c r="BC33" i="149" s="1"/>
  <c r="AZ33" i="148"/>
  <c r="AW33" i="149" s="1"/>
  <c r="BC33" i="148"/>
  <c r="AZ33" i="149" s="1"/>
  <c r="CI33" i="148"/>
  <c r="CF33" i="149" s="1"/>
  <c r="CC33" i="148"/>
  <c r="BZ33" i="149" s="1"/>
  <c r="CG33" i="148"/>
  <c r="CD33" i="149" s="1"/>
  <c r="BT33" i="148"/>
  <c r="BQ33" i="149" s="1"/>
  <c r="BB33" i="148"/>
  <c r="AY33" i="149" s="1"/>
  <c r="CL33" i="148"/>
  <c r="CI33" i="149" s="1"/>
  <c r="BX33" i="148"/>
  <c r="BU33" i="149" s="1"/>
  <c r="BZ33" i="148"/>
  <c r="BW33" i="149" s="1"/>
  <c r="BG33" i="148"/>
  <c r="BD33" i="149" s="1"/>
  <c r="BA33" i="148"/>
  <c r="AX33" i="149" s="1"/>
  <c r="E33" i="148"/>
  <c r="CP33" i="148"/>
  <c r="CM33" i="149" s="1"/>
  <c r="CJ33" i="148"/>
  <c r="CG33" i="149" s="1"/>
  <c r="CZ33" i="148"/>
  <c r="CW33" i="149" s="1"/>
  <c r="AV33" i="148"/>
  <c r="AS33" i="149" s="1"/>
  <c r="BM33" i="148"/>
  <c r="BJ33" i="149" s="1"/>
  <c r="F33" i="148"/>
  <c r="CD33" i="148"/>
  <c r="CA33" i="149" s="1"/>
  <c r="CT33" i="148"/>
  <c r="CQ33" i="149" s="1"/>
  <c r="AX33" i="148"/>
  <c r="AU33" i="149" s="1"/>
  <c r="BE33" i="148"/>
  <c r="BB33" i="149" s="1"/>
  <c r="G33" i="148"/>
  <c r="CS33" i="148"/>
  <c r="CP33" i="149" s="1"/>
  <c r="CM33" i="148"/>
  <c r="CJ33" i="149" s="1"/>
  <c r="CA33" i="148"/>
  <c r="BX33" i="149" s="1"/>
  <c r="CW33" i="148"/>
  <c r="CT33" i="149" s="1"/>
  <c r="CB33" i="148"/>
  <c r="BY33" i="149" s="1"/>
  <c r="CV33" i="148"/>
  <c r="CS33" i="149" s="1"/>
  <c r="CN33" i="148"/>
  <c r="CK33" i="149" s="1"/>
  <c r="BV33" i="148"/>
  <c r="BS33" i="149" s="1"/>
  <c r="BN33" i="148"/>
  <c r="BK33" i="149" s="1"/>
  <c r="BR33" i="148"/>
  <c r="BO33" i="149" s="1"/>
  <c r="BK33" i="148"/>
  <c r="BH33" i="149" s="1"/>
  <c r="BD33" i="148"/>
  <c r="BA33" i="149" s="1"/>
  <c r="H33" i="148"/>
  <c r="BU33" i="148"/>
  <c r="BR33" i="149" s="1"/>
  <c r="D33" i="148"/>
  <c r="Q58" i="148"/>
  <c r="BK58" i="148"/>
  <c r="BH58" i="149" s="1"/>
  <c r="BZ58" i="148"/>
  <c r="BW58" i="149" s="1"/>
  <c r="BE58" i="148"/>
  <c r="BB58" i="149" s="1"/>
  <c r="BP58" i="148"/>
  <c r="BM58" i="149" s="1"/>
  <c r="AX58" i="148"/>
  <c r="AU58" i="149" s="1"/>
  <c r="I58" i="148"/>
  <c r="CT58" i="148"/>
  <c r="CQ58" i="149" s="1"/>
  <c r="CU58" i="148"/>
  <c r="CR58" i="149" s="1"/>
  <c r="R58" i="148"/>
  <c r="BX58" i="148"/>
  <c r="BU58" i="149" s="1"/>
  <c r="BO58" i="148"/>
  <c r="BJ58" i="148"/>
  <c r="BG58" i="149" s="1"/>
  <c r="H58" i="148"/>
  <c r="CG58" i="148"/>
  <c r="CD58" i="149" s="1"/>
  <c r="BQ58" i="148"/>
  <c r="BN58" i="149" s="1"/>
  <c r="CP58" i="148"/>
  <c r="CM58" i="149" s="1"/>
  <c r="CY58" i="148"/>
  <c r="CV58" i="149" s="1"/>
  <c r="CN58" i="148"/>
  <c r="CK58" i="149" s="1"/>
  <c r="CD58" i="148"/>
  <c r="CA58" i="149" s="1"/>
  <c r="DA58" i="148"/>
  <c r="CX58" i="149" s="1"/>
  <c r="BR58" i="148"/>
  <c r="BO58" i="149" s="1"/>
  <c r="BT58" i="148"/>
  <c r="BQ58" i="149" s="1"/>
  <c r="CS58" i="148"/>
  <c r="CP58" i="149" s="1"/>
  <c r="BN58" i="148"/>
  <c r="BK58" i="149" s="1"/>
  <c r="BH58" i="148"/>
  <c r="BE58" i="149" s="1"/>
  <c r="BL58" i="148"/>
  <c r="BI58" i="149" s="1"/>
  <c r="BC58" i="148"/>
  <c r="AZ58" i="149" s="1"/>
  <c r="AZ58" i="148"/>
  <c r="AW58" i="149" s="1"/>
  <c r="BB58" i="148"/>
  <c r="AY58" i="149" s="1"/>
  <c r="BY58" i="148"/>
  <c r="BV58" i="149" s="1"/>
  <c r="BS58" i="148"/>
  <c r="BP58" i="149" s="1"/>
  <c r="E58" i="148"/>
  <c r="CB58" i="148"/>
  <c r="BY58" i="149" s="1"/>
  <c r="CI58" i="148"/>
  <c r="CF58" i="149" s="1"/>
  <c r="CA58" i="148"/>
  <c r="BX58" i="149" s="1"/>
  <c r="V58" i="148"/>
  <c r="F58" i="148"/>
  <c r="CJ58" i="148"/>
  <c r="CG58" i="149" s="1"/>
  <c r="CO58" i="148"/>
  <c r="CL58" i="149" s="1"/>
  <c r="CR58" i="148"/>
  <c r="CO58" i="149" s="1"/>
  <c r="CK58" i="148"/>
  <c r="CH58" i="149" s="1"/>
  <c r="BA58" i="148"/>
  <c r="AX58" i="149" s="1"/>
  <c r="BM58" i="148"/>
  <c r="BJ58" i="149" s="1"/>
  <c r="BF58" i="148"/>
  <c r="BC58" i="149" s="1"/>
  <c r="CH58" i="148"/>
  <c r="CE58" i="149" s="1"/>
  <c r="BG58" i="148"/>
  <c r="BD58" i="149" s="1"/>
  <c r="CM58" i="148"/>
  <c r="CJ58" i="149" s="1"/>
  <c r="BI58" i="148"/>
  <c r="BF58" i="149" s="1"/>
  <c r="G58" i="148"/>
  <c r="CZ58" i="148"/>
  <c r="CW58" i="149" s="1"/>
  <c r="CE58" i="148"/>
  <c r="CB58" i="149" s="1"/>
  <c r="AW58" i="148"/>
  <c r="AT58" i="149" s="1"/>
  <c r="AY58" i="148"/>
  <c r="AV58" i="149" s="1"/>
  <c r="BV58" i="148"/>
  <c r="BS58" i="149" s="1"/>
  <c r="CX58" i="148"/>
  <c r="CU58" i="149" s="1"/>
  <c r="CV58" i="148"/>
  <c r="CS58" i="149" s="1"/>
  <c r="CF58" i="148"/>
  <c r="CC58" i="149" s="1"/>
  <c r="CW58" i="148"/>
  <c r="CT58" i="149" s="1"/>
  <c r="CC58" i="148"/>
  <c r="BZ58" i="149" s="1"/>
  <c r="CQ58" i="148"/>
  <c r="CN58" i="149" s="1"/>
  <c r="CL58" i="148"/>
  <c r="CI58" i="149" s="1"/>
  <c r="D58" i="148"/>
  <c r="Q147" i="148"/>
  <c r="E147" i="148"/>
  <c r="H147" i="148"/>
  <c r="V147" i="148"/>
  <c r="R147" i="148"/>
  <c r="F147" i="148"/>
  <c r="I147" i="148"/>
  <c r="BG147" i="148"/>
  <c r="BD147" i="149" s="1"/>
  <c r="CN147" i="148"/>
  <c r="CK147" i="149" s="1"/>
  <c r="BH147" i="148"/>
  <c r="BE147" i="149" s="1"/>
  <c r="CM147" i="148"/>
  <c r="CJ147" i="149" s="1"/>
  <c r="CJ147" i="148"/>
  <c r="CG147" i="149" s="1"/>
  <c r="CZ147" i="148"/>
  <c r="CW147" i="149" s="1"/>
  <c r="CO147" i="148"/>
  <c r="CL147" i="149" s="1"/>
  <c r="BN147" i="148"/>
  <c r="BK147" i="149" s="1"/>
  <c r="BY147" i="148"/>
  <c r="BV147" i="149" s="1"/>
  <c r="CS147" i="148"/>
  <c r="CP147" i="149" s="1"/>
  <c r="BQ147" i="148"/>
  <c r="BN147" i="149" s="1"/>
  <c r="AW147" i="148"/>
  <c r="AT147" i="149" s="1"/>
  <c r="BS147" i="148"/>
  <c r="BP147" i="149" s="1"/>
  <c r="BW147" i="148"/>
  <c r="BT147" i="149" s="1"/>
  <c r="BE147" i="148"/>
  <c r="BB147" i="149" s="1"/>
  <c r="BX147" i="148"/>
  <c r="BU147" i="149" s="1"/>
  <c r="BV147" i="148"/>
  <c r="BS147" i="149" s="1"/>
  <c r="CL147" i="148"/>
  <c r="CI147" i="149" s="1"/>
  <c r="CX147" i="148"/>
  <c r="CU147" i="149" s="1"/>
  <c r="AZ147" i="148"/>
  <c r="AW147" i="149" s="1"/>
  <c r="CH147" i="148"/>
  <c r="CE147" i="149" s="1"/>
  <c r="CU147" i="148"/>
  <c r="CR147" i="149" s="1"/>
  <c r="CR147" i="148"/>
  <c r="CO147" i="149" s="1"/>
  <c r="CT147" i="148"/>
  <c r="CQ147" i="149" s="1"/>
  <c r="CV147" i="148"/>
  <c r="CS147" i="149" s="1"/>
  <c r="BB147" i="148"/>
  <c r="AY147" i="149" s="1"/>
  <c r="BR147" i="148"/>
  <c r="BO147" i="149" s="1"/>
  <c r="BI147" i="148"/>
  <c r="BF147" i="149" s="1"/>
  <c r="CY147" i="148"/>
  <c r="CV147" i="149" s="1"/>
  <c r="CF147" i="148"/>
  <c r="CC147" i="149" s="1"/>
  <c r="CE147" i="148"/>
  <c r="CB147" i="149" s="1"/>
  <c r="BK147" i="148"/>
  <c r="BH147" i="149" s="1"/>
  <c r="CG147" i="148"/>
  <c r="CD147" i="149" s="1"/>
  <c r="CP147" i="148"/>
  <c r="CM147" i="149" s="1"/>
  <c r="AV147" i="148"/>
  <c r="AS147" i="149" s="1"/>
  <c r="BM147" i="148"/>
  <c r="BJ147" i="149" s="1"/>
  <c r="CK147" i="148"/>
  <c r="CH147" i="149" s="1"/>
  <c r="BU147" i="148"/>
  <c r="BR147" i="149" s="1"/>
  <c r="BF147" i="148"/>
  <c r="BC147" i="149" s="1"/>
  <c r="CC147" i="148"/>
  <c r="BZ147" i="149" s="1"/>
  <c r="BC147" i="148"/>
  <c r="AZ147" i="149" s="1"/>
  <c r="BT147" i="148"/>
  <c r="BQ147" i="149" s="1"/>
  <c r="BP147" i="148"/>
  <c r="BM147" i="149" s="1"/>
  <c r="BO147" i="148"/>
  <c r="CD147" i="148"/>
  <c r="CA147" i="149" s="1"/>
  <c r="CW147" i="148"/>
  <c r="CT147" i="149" s="1"/>
  <c r="CB147" i="148"/>
  <c r="BY147" i="149" s="1"/>
  <c r="BJ147" i="148"/>
  <c r="BG147" i="149" s="1"/>
  <c r="BL147" i="148"/>
  <c r="BI147" i="149" s="1"/>
  <c r="CA147" i="148"/>
  <c r="BX147" i="149" s="1"/>
  <c r="CI147" i="148"/>
  <c r="CF147" i="149" s="1"/>
  <c r="CQ147" i="148"/>
  <c r="CN147" i="149" s="1"/>
  <c r="BZ147" i="148"/>
  <c r="BW147" i="149" s="1"/>
  <c r="BD147" i="148"/>
  <c r="BA147" i="149" s="1"/>
  <c r="D147" i="148"/>
  <c r="DA147" i="148"/>
  <c r="CX147" i="149" s="1"/>
  <c r="AY147" i="148"/>
  <c r="AV147" i="149" s="1"/>
  <c r="BA147" i="148"/>
  <c r="AX147" i="149" s="1"/>
  <c r="G147" i="148"/>
  <c r="AX147" i="148"/>
  <c r="AU147" i="149" s="1"/>
  <c r="CY93" i="149"/>
  <c r="DA93" i="149"/>
  <c r="CZ93" i="149"/>
  <c r="DB93" i="149"/>
  <c r="BL93" i="149"/>
  <c r="CZ133" i="149"/>
  <c r="DB133" i="149"/>
  <c r="CY133" i="149"/>
  <c r="DA133" i="149"/>
  <c r="BL133" i="149"/>
  <c r="CZ102" i="149"/>
  <c r="DB102" i="149"/>
  <c r="DA102" i="149"/>
  <c r="CY102" i="149"/>
  <c r="BL102" i="149"/>
  <c r="CY122" i="149"/>
  <c r="CJ122" i="149"/>
  <c r="CZ122" i="149"/>
  <c r="DB122" i="149"/>
  <c r="DA122" i="149"/>
  <c r="BL122" i="149"/>
  <c r="CY119" i="149"/>
  <c r="DA119" i="149"/>
  <c r="DB119" i="149"/>
  <c r="CZ119" i="149"/>
  <c r="BE119" i="149"/>
  <c r="BL119" i="149"/>
  <c r="Q118" i="148"/>
  <c r="H118" i="148"/>
  <c r="V118" i="148"/>
  <c r="R118" i="148"/>
  <c r="F118" i="148"/>
  <c r="E118" i="148"/>
  <c r="I118" i="148"/>
  <c r="CO118" i="148"/>
  <c r="CL118" i="149" s="1"/>
  <c r="BX118" i="148"/>
  <c r="BU118" i="149" s="1"/>
  <c r="CC118" i="148"/>
  <c r="BZ118" i="149" s="1"/>
  <c r="BC118" i="148"/>
  <c r="AZ118" i="149" s="1"/>
  <c r="BM118" i="148"/>
  <c r="BJ118" i="149" s="1"/>
  <c r="CZ118" i="148"/>
  <c r="CW118" i="149" s="1"/>
  <c r="BE118" i="148"/>
  <c r="BB118" i="149" s="1"/>
  <c r="CG118" i="148"/>
  <c r="CD118" i="149" s="1"/>
  <c r="CF118" i="148"/>
  <c r="CC118" i="149" s="1"/>
  <c r="CY118" i="148"/>
  <c r="CV118" i="149" s="1"/>
  <c r="BQ118" i="148"/>
  <c r="BN118" i="149" s="1"/>
  <c r="CU118" i="148"/>
  <c r="CR118" i="149" s="1"/>
  <c r="BA118" i="148"/>
  <c r="AX118" i="149" s="1"/>
  <c r="CV118" i="148"/>
  <c r="CS118" i="149" s="1"/>
  <c r="BW118" i="148"/>
  <c r="BT118" i="149" s="1"/>
  <c r="CR118" i="148"/>
  <c r="CO118" i="149" s="1"/>
  <c r="D118" i="148"/>
  <c r="CA118" i="148"/>
  <c r="BX118" i="149" s="1"/>
  <c r="BO118" i="148"/>
  <c r="AW118" i="148"/>
  <c r="AT118" i="149" s="1"/>
  <c r="BU118" i="148"/>
  <c r="BR118" i="149" s="1"/>
  <c r="CN118" i="148"/>
  <c r="CK118" i="149" s="1"/>
  <c r="BF118" i="148"/>
  <c r="BC118" i="149" s="1"/>
  <c r="CE118" i="148"/>
  <c r="CB118" i="149" s="1"/>
  <c r="BN118" i="148"/>
  <c r="BK118" i="149" s="1"/>
  <c r="CB118" i="148"/>
  <c r="BY118" i="149" s="1"/>
  <c r="BD118" i="148"/>
  <c r="BA118" i="149" s="1"/>
  <c r="CJ118" i="148"/>
  <c r="CG118" i="149" s="1"/>
  <c r="BG118" i="148"/>
  <c r="BD118" i="149" s="1"/>
  <c r="BK118" i="148"/>
  <c r="BH118" i="149" s="1"/>
  <c r="G118" i="148"/>
  <c r="BV118" i="148"/>
  <c r="BS118" i="149" s="1"/>
  <c r="CW118" i="148"/>
  <c r="CT118" i="149" s="1"/>
  <c r="BP118" i="148"/>
  <c r="BM118" i="149" s="1"/>
  <c r="AY118" i="148"/>
  <c r="AV118" i="149" s="1"/>
  <c r="CM118" i="148"/>
  <c r="CJ118" i="149" s="1"/>
  <c r="AZ118" i="148"/>
  <c r="AW118" i="149" s="1"/>
  <c r="BZ118" i="148"/>
  <c r="BW118" i="149" s="1"/>
  <c r="CK118" i="148"/>
  <c r="CH118" i="149" s="1"/>
  <c r="AV118" i="148"/>
  <c r="AS118" i="149" s="1"/>
  <c r="CH118" i="148"/>
  <c r="CE118" i="149" s="1"/>
  <c r="DA118" i="148"/>
  <c r="CX118" i="149" s="1"/>
  <c r="CQ118" i="148"/>
  <c r="CN118" i="149" s="1"/>
  <c r="CX118" i="148"/>
  <c r="CU118" i="149" s="1"/>
  <c r="CP118" i="148"/>
  <c r="CM118" i="149" s="1"/>
  <c r="BJ118" i="148"/>
  <c r="BG118" i="149" s="1"/>
  <c r="BH118" i="148"/>
  <c r="BE118" i="149" s="1"/>
  <c r="CT118" i="148"/>
  <c r="CQ118" i="149" s="1"/>
  <c r="BS118" i="148"/>
  <c r="BP118" i="149" s="1"/>
  <c r="AX118" i="148"/>
  <c r="AU118" i="149" s="1"/>
  <c r="BL118" i="148"/>
  <c r="BI118" i="149" s="1"/>
  <c r="BB118" i="148"/>
  <c r="AY118" i="149" s="1"/>
  <c r="CD118" i="148"/>
  <c r="CA118" i="149" s="1"/>
  <c r="BT118" i="148"/>
  <c r="BQ118" i="149" s="1"/>
  <c r="CL118" i="148"/>
  <c r="CI118" i="149" s="1"/>
  <c r="BI118" i="148"/>
  <c r="BF118" i="149" s="1"/>
  <c r="CI118" i="148"/>
  <c r="CF118" i="149" s="1"/>
  <c r="BR118" i="148"/>
  <c r="BO118" i="149" s="1"/>
  <c r="CS118" i="148"/>
  <c r="CP118" i="149" s="1"/>
  <c r="BY118" i="148"/>
  <c r="BV118" i="149" s="1"/>
  <c r="DB108" i="149"/>
  <c r="DA108" i="149"/>
  <c r="CZ108" i="149"/>
  <c r="CY108" i="149"/>
  <c r="BL108" i="149"/>
  <c r="Q152" i="148"/>
  <c r="I152" i="148"/>
  <c r="E152" i="148"/>
  <c r="V152" i="148"/>
  <c r="R152" i="148"/>
  <c r="F152" i="148"/>
  <c r="H152" i="148"/>
  <c r="CT152" i="148"/>
  <c r="CQ152" i="149" s="1"/>
  <c r="CI152" i="148"/>
  <c r="CF152" i="149" s="1"/>
  <c r="BY152" i="148"/>
  <c r="BV152" i="149" s="1"/>
  <c r="CY152" i="148"/>
  <c r="CV152" i="149" s="1"/>
  <c r="CW152" i="148"/>
  <c r="CT152" i="149" s="1"/>
  <c r="CC152" i="148"/>
  <c r="BZ152" i="149" s="1"/>
  <c r="CV152" i="148"/>
  <c r="CS152" i="149" s="1"/>
  <c r="G152" i="148"/>
  <c r="CN152" i="148"/>
  <c r="CK152" i="149" s="1"/>
  <c r="CM152" i="148"/>
  <c r="CJ152" i="149" s="1"/>
  <c r="CE152" i="148"/>
  <c r="CB152" i="149" s="1"/>
  <c r="CA152" i="148"/>
  <c r="BX152" i="149" s="1"/>
  <c r="DA152" i="148"/>
  <c r="CX152" i="149" s="1"/>
  <c r="CZ152" i="148"/>
  <c r="CW152" i="149" s="1"/>
  <c r="CK152" i="148"/>
  <c r="CH152" i="149" s="1"/>
  <c r="BZ152" i="148"/>
  <c r="BW152" i="149" s="1"/>
  <c r="CX152" i="148"/>
  <c r="CU152" i="149" s="1"/>
  <c r="CB152" i="148"/>
  <c r="BY152" i="149" s="1"/>
  <c r="CF152" i="148"/>
  <c r="CC152" i="149" s="1"/>
  <c r="CH152" i="148"/>
  <c r="CE152" i="149" s="1"/>
  <c r="CD152" i="148"/>
  <c r="CA152" i="149" s="1"/>
  <c r="CG152" i="148"/>
  <c r="CD152" i="149" s="1"/>
  <c r="CO152" i="148"/>
  <c r="CL152" i="149" s="1"/>
  <c r="CJ152" i="148"/>
  <c r="CG152" i="149" s="1"/>
  <c r="D152" i="148"/>
  <c r="CL152" i="148"/>
  <c r="CI152" i="149" s="1"/>
  <c r="CS152" i="148"/>
  <c r="CP152" i="149" s="1"/>
  <c r="CR152" i="148"/>
  <c r="CO152" i="149" s="1"/>
  <c r="CU152" i="148"/>
  <c r="CR152" i="149" s="1"/>
  <c r="CP152" i="148"/>
  <c r="CM152" i="149" s="1"/>
  <c r="BX152" i="148"/>
  <c r="BU152" i="149" s="1"/>
  <c r="CQ152" i="148"/>
  <c r="CN152" i="149" s="1"/>
  <c r="AV152" i="148"/>
  <c r="AS152" i="149" s="1"/>
  <c r="BB152" i="148"/>
  <c r="AY152" i="149" s="1"/>
  <c r="BN152" i="148"/>
  <c r="BK152" i="149" s="1"/>
  <c r="BV152" i="148"/>
  <c r="BS152" i="149" s="1"/>
  <c r="BE152" i="148"/>
  <c r="BB152" i="149" s="1"/>
  <c r="BS152" i="148"/>
  <c r="BP152" i="149" s="1"/>
  <c r="BR152" i="148"/>
  <c r="BO152" i="149" s="1"/>
  <c r="AX152" i="148"/>
  <c r="AU152" i="149" s="1"/>
  <c r="AZ152" i="148"/>
  <c r="AW152" i="149" s="1"/>
  <c r="BF152" i="148"/>
  <c r="BC152" i="149" s="1"/>
  <c r="BC152" i="148"/>
  <c r="AZ152" i="149" s="1"/>
  <c r="BU152" i="148"/>
  <c r="BR152" i="149" s="1"/>
  <c r="BT152" i="148"/>
  <c r="BQ152" i="149" s="1"/>
  <c r="BM152" i="148"/>
  <c r="BJ152" i="149" s="1"/>
  <c r="BL152" i="148"/>
  <c r="BI152" i="149" s="1"/>
  <c r="BD152" i="148"/>
  <c r="BA152" i="149" s="1"/>
  <c r="BA152" i="148"/>
  <c r="AX152" i="149" s="1"/>
  <c r="BK152" i="148"/>
  <c r="BH152" i="149" s="1"/>
  <c r="BO152" i="148"/>
  <c r="BW152" i="148"/>
  <c r="BT152" i="149" s="1"/>
  <c r="BQ152" i="148"/>
  <c r="BN152" i="149" s="1"/>
  <c r="BP152" i="148"/>
  <c r="BM152" i="149" s="1"/>
  <c r="BG152" i="148"/>
  <c r="BD152" i="149" s="1"/>
  <c r="BH152" i="148"/>
  <c r="BE152" i="149" s="1"/>
  <c r="BI152" i="148"/>
  <c r="BF152" i="149" s="1"/>
  <c r="AW152" i="148"/>
  <c r="AT152" i="149" s="1"/>
  <c r="BJ152" i="148"/>
  <c r="BG152" i="149" s="1"/>
  <c r="AY152" i="148"/>
  <c r="AV152" i="149" s="1"/>
  <c r="Q99" i="148"/>
  <c r="CI99" i="148"/>
  <c r="CF99" i="149" s="1"/>
  <c r="BM99" i="148"/>
  <c r="BJ99" i="149" s="1"/>
  <c r="CZ99" i="148"/>
  <c r="CW99" i="149" s="1"/>
  <c r="BF99" i="148"/>
  <c r="BC99" i="149" s="1"/>
  <c r="BJ99" i="148"/>
  <c r="BG99" i="149" s="1"/>
  <c r="CD99" i="148"/>
  <c r="CA99" i="149" s="1"/>
  <c r="BC99" i="148"/>
  <c r="AZ99" i="149" s="1"/>
  <c r="CH99" i="148"/>
  <c r="CE99" i="149" s="1"/>
  <c r="BB99" i="148"/>
  <c r="AY99" i="149" s="1"/>
  <c r="BP99" i="148"/>
  <c r="BM99" i="149" s="1"/>
  <c r="BO99" i="148"/>
  <c r="CT99" i="148"/>
  <c r="CQ99" i="149" s="1"/>
  <c r="CW99" i="148"/>
  <c r="CT99" i="149" s="1"/>
  <c r="BL99" i="148"/>
  <c r="BI99" i="149" s="1"/>
  <c r="BT99" i="148"/>
  <c r="BQ99" i="149" s="1"/>
  <c r="BX99" i="148"/>
  <c r="BU99" i="149" s="1"/>
  <c r="AX99" i="148"/>
  <c r="AU99" i="149" s="1"/>
  <c r="BD99" i="148"/>
  <c r="BA99" i="149" s="1"/>
  <c r="CK99" i="148"/>
  <c r="CH99" i="149" s="1"/>
  <c r="BR99" i="148"/>
  <c r="BO99" i="149" s="1"/>
  <c r="G99" i="148"/>
  <c r="BW99" i="148"/>
  <c r="BT99" i="149" s="1"/>
  <c r="CF99" i="148"/>
  <c r="CC99" i="149" s="1"/>
  <c r="F99" i="148"/>
  <c r="CG99" i="148"/>
  <c r="CD99" i="149" s="1"/>
  <c r="CN99" i="148"/>
  <c r="CK99" i="149" s="1"/>
  <c r="H99" i="148"/>
  <c r="CA99" i="148"/>
  <c r="BX99" i="149" s="1"/>
  <c r="CB99" i="148"/>
  <c r="BY99" i="149" s="1"/>
  <c r="CJ99" i="148"/>
  <c r="CG99" i="149" s="1"/>
  <c r="CQ99" i="148"/>
  <c r="CN99" i="149" s="1"/>
  <c r="BA99" i="148"/>
  <c r="AX99" i="149" s="1"/>
  <c r="CE99" i="148"/>
  <c r="CB99" i="149" s="1"/>
  <c r="CM99" i="148"/>
  <c r="CJ99" i="149" s="1"/>
  <c r="CR99" i="148"/>
  <c r="CO99" i="149" s="1"/>
  <c r="E99" i="148"/>
  <c r="AV99" i="148"/>
  <c r="AS99" i="149" s="1"/>
  <c r="AW99" i="148"/>
  <c r="AT99" i="149" s="1"/>
  <c r="BH99" i="148"/>
  <c r="CO99" i="148"/>
  <c r="CL99" i="149" s="1"/>
  <c r="CP99" i="148"/>
  <c r="CM99" i="149" s="1"/>
  <c r="CC99" i="148"/>
  <c r="BZ99" i="149" s="1"/>
  <c r="DA99" i="148"/>
  <c r="CX99" i="149" s="1"/>
  <c r="AY99" i="148"/>
  <c r="AV99" i="149" s="1"/>
  <c r="BV99" i="148"/>
  <c r="BS99" i="149" s="1"/>
  <c r="CL99" i="148"/>
  <c r="CI99" i="149" s="1"/>
  <c r="BI99" i="148"/>
  <c r="BF99" i="149" s="1"/>
  <c r="V99" i="148"/>
  <c r="CS99" i="148"/>
  <c r="CP99" i="149" s="1"/>
  <c r="I99" i="148"/>
  <c r="CU99" i="148"/>
  <c r="CR99" i="149" s="1"/>
  <c r="BK99" i="148"/>
  <c r="BH99" i="149" s="1"/>
  <c r="BZ99" i="148"/>
  <c r="BW99" i="149" s="1"/>
  <c r="BU99" i="148"/>
  <c r="BR99" i="149" s="1"/>
  <c r="CY99" i="148"/>
  <c r="CV99" i="149" s="1"/>
  <c r="R99" i="148"/>
  <c r="AZ99" i="148"/>
  <c r="AW99" i="149" s="1"/>
  <c r="CV99" i="148"/>
  <c r="CS99" i="149" s="1"/>
  <c r="CX99" i="148"/>
  <c r="CU99" i="149" s="1"/>
  <c r="BE99" i="148"/>
  <c r="BB99" i="149" s="1"/>
  <c r="BQ99" i="148"/>
  <c r="BN99" i="149" s="1"/>
  <c r="BN99" i="148"/>
  <c r="BK99" i="149" s="1"/>
  <c r="BG99" i="148"/>
  <c r="BD99" i="149" s="1"/>
  <c r="BY99" i="148"/>
  <c r="BV99" i="149" s="1"/>
  <c r="BS99" i="148"/>
  <c r="BP99" i="149" s="1"/>
  <c r="D99" i="148"/>
  <c r="CY127" i="149"/>
  <c r="CZ127" i="149"/>
  <c r="DB127" i="149"/>
  <c r="DA127" i="149"/>
  <c r="BL127" i="149"/>
  <c r="BE127" i="149"/>
  <c r="DB42" i="149"/>
  <c r="CZ42" i="149"/>
  <c r="DA42" i="149"/>
  <c r="BL42" i="149"/>
  <c r="AA6" i="148"/>
  <c r="Q6" i="148"/>
  <c r="S6" i="148"/>
  <c r="CA6" i="148"/>
  <c r="BX6" i="149" s="1"/>
  <c r="CD6" i="148"/>
  <c r="CA6" i="149" s="1"/>
  <c r="CJ6" i="148"/>
  <c r="CG6" i="149" s="1"/>
  <c r="I6" i="148"/>
  <c r="CX6" i="148"/>
  <c r="CU6" i="149" s="1"/>
  <c r="CU6" i="148"/>
  <c r="CR6" i="149" s="1"/>
  <c r="CG6" i="148"/>
  <c r="CD6" i="149" s="1"/>
  <c r="H6" i="148"/>
  <c r="CL6" i="148"/>
  <c r="CI6" i="149" s="1"/>
  <c r="CF6" i="148"/>
  <c r="CC6" i="149" s="1"/>
  <c r="BP6" i="148"/>
  <c r="BM6" i="149" s="1"/>
  <c r="E6" i="148"/>
  <c r="CZ6" i="148"/>
  <c r="CW6" i="149" s="1"/>
  <c r="CV6" i="148"/>
  <c r="CS6" i="149" s="1"/>
  <c r="AX6" i="148"/>
  <c r="AU6" i="149" s="1"/>
  <c r="R6" i="148"/>
  <c r="CK6" i="148"/>
  <c r="CH6" i="149" s="1"/>
  <c r="BY6" i="148"/>
  <c r="BV6" i="149" s="1"/>
  <c r="F6" i="148"/>
  <c r="CE6" i="148"/>
  <c r="CB6" i="149" s="1"/>
  <c r="DA6" i="148"/>
  <c r="CX6" i="149" s="1"/>
  <c r="V6" i="148"/>
  <c r="CN6" i="148"/>
  <c r="CK6" i="149" s="1"/>
  <c r="BX6" i="148"/>
  <c r="BU6" i="149" s="1"/>
  <c r="G6" i="148"/>
  <c r="CC6" i="148"/>
  <c r="BZ6" i="149" s="1"/>
  <c r="CW6" i="148"/>
  <c r="CT6" i="149" s="1"/>
  <c r="CP6" i="148"/>
  <c r="CM6" i="149" s="1"/>
  <c r="CT6" i="148"/>
  <c r="CQ6" i="149" s="1"/>
  <c r="CI6" i="148"/>
  <c r="CF6" i="149" s="1"/>
  <c r="CR6" i="148"/>
  <c r="CO6" i="149" s="1"/>
  <c r="CH6" i="148"/>
  <c r="CE6" i="149" s="1"/>
  <c r="BZ6" i="148"/>
  <c r="BW6" i="149" s="1"/>
  <c r="CS6" i="148"/>
  <c r="CP6" i="149" s="1"/>
  <c r="CO6" i="148"/>
  <c r="CL6" i="149" s="1"/>
  <c r="CQ6" i="148"/>
  <c r="CN6" i="149" s="1"/>
  <c r="CB6" i="148"/>
  <c r="BY6" i="149" s="1"/>
  <c r="CM6" i="148"/>
  <c r="CJ6" i="149" s="1"/>
  <c r="CY6" i="148"/>
  <c r="CV6" i="149" s="1"/>
  <c r="BW6" i="148"/>
  <c r="BT6" i="149" s="1"/>
  <c r="BQ6" i="148"/>
  <c r="BN6" i="149" s="1"/>
  <c r="AV6" i="148"/>
  <c r="AS6" i="149" s="1"/>
  <c r="BD6" i="148"/>
  <c r="BA6" i="149" s="1"/>
  <c r="BO6" i="148"/>
  <c r="AY6" i="148"/>
  <c r="AV6" i="149" s="1"/>
  <c r="BG6" i="148"/>
  <c r="BD6" i="149" s="1"/>
  <c r="BF6" i="148"/>
  <c r="BC6" i="149" s="1"/>
  <c r="BV6" i="148"/>
  <c r="BS6" i="149" s="1"/>
  <c r="BC6" i="148"/>
  <c r="AZ6" i="149" s="1"/>
  <c r="BL6" i="148"/>
  <c r="BI6" i="149" s="1"/>
  <c r="BT6" i="148"/>
  <c r="BQ6" i="149" s="1"/>
  <c r="BI6" i="148"/>
  <c r="BF6" i="149" s="1"/>
  <c r="BJ6" i="148"/>
  <c r="BG6" i="149" s="1"/>
  <c r="BR6" i="148"/>
  <c r="BO6" i="149" s="1"/>
  <c r="BM6" i="148"/>
  <c r="BJ6" i="149" s="1"/>
  <c r="BE6" i="148"/>
  <c r="BB6" i="149" s="1"/>
  <c r="BU6" i="148"/>
  <c r="BR6" i="149" s="1"/>
  <c r="AZ6" i="148"/>
  <c r="AW6" i="149" s="1"/>
  <c r="BN6" i="148"/>
  <c r="BK6" i="149" s="1"/>
  <c r="AW6" i="148"/>
  <c r="AT6" i="149" s="1"/>
  <c r="BS6" i="148"/>
  <c r="BP6" i="149" s="1"/>
  <c r="BA6" i="148"/>
  <c r="AX6" i="149" s="1"/>
  <c r="BB6" i="148"/>
  <c r="AY6" i="149" s="1"/>
  <c r="BK6" i="148"/>
  <c r="BH6" i="149" s="1"/>
  <c r="BH6" i="148"/>
  <c r="BE6" i="149" s="1"/>
  <c r="D6" i="148"/>
  <c r="CY90" i="149"/>
  <c r="DB90" i="149"/>
  <c r="CZ90" i="149"/>
  <c r="DA90" i="149"/>
  <c r="BL90" i="149"/>
  <c r="CZ71" i="149"/>
  <c r="DB71" i="149"/>
  <c r="DA71" i="149"/>
  <c r="BL71" i="149"/>
  <c r="CZ96" i="149"/>
  <c r="DB96" i="149"/>
  <c r="CY96" i="149"/>
  <c r="DA96" i="149"/>
  <c r="BL96" i="149"/>
  <c r="Q111" i="148"/>
  <c r="CI111" i="148"/>
  <c r="CF111" i="149" s="1"/>
  <c r="DA111" i="148"/>
  <c r="CX111" i="149" s="1"/>
  <c r="CQ111" i="148"/>
  <c r="CN111" i="149" s="1"/>
  <c r="CP111" i="148"/>
  <c r="CM111" i="149" s="1"/>
  <c r="CR111" i="148"/>
  <c r="CO111" i="149" s="1"/>
  <c r="CJ111" i="148"/>
  <c r="CG111" i="149" s="1"/>
  <c r="CV111" i="148"/>
  <c r="CS111" i="149" s="1"/>
  <c r="G111" i="148"/>
  <c r="AV111" i="148"/>
  <c r="AS111" i="149" s="1"/>
  <c r="V111" i="148"/>
  <c r="CB111" i="148"/>
  <c r="BY111" i="149" s="1"/>
  <c r="BY111" i="148"/>
  <c r="BV111" i="149" s="1"/>
  <c r="CT111" i="148"/>
  <c r="CQ111" i="149" s="1"/>
  <c r="BD111" i="148"/>
  <c r="BA111" i="149" s="1"/>
  <c r="E111" i="148"/>
  <c r="CW111" i="148"/>
  <c r="CT111" i="149" s="1"/>
  <c r="BE111" i="148"/>
  <c r="BB111" i="149" s="1"/>
  <c r="BQ111" i="148"/>
  <c r="BN111" i="149" s="1"/>
  <c r="AX111" i="148"/>
  <c r="AU111" i="149" s="1"/>
  <c r="F111" i="148"/>
  <c r="CG111" i="148"/>
  <c r="CD111" i="149" s="1"/>
  <c r="CD111" i="148"/>
  <c r="CA111" i="149" s="1"/>
  <c r="CC111" i="148"/>
  <c r="BZ111" i="149" s="1"/>
  <c r="BZ111" i="148"/>
  <c r="BW111" i="149" s="1"/>
  <c r="H111" i="148"/>
  <c r="CU111" i="148"/>
  <c r="CR111" i="149" s="1"/>
  <c r="BS111" i="148"/>
  <c r="BP111" i="149" s="1"/>
  <c r="BF111" i="148"/>
  <c r="BC111" i="149" s="1"/>
  <c r="CA111" i="148"/>
  <c r="BX111" i="149" s="1"/>
  <c r="BX111" i="148"/>
  <c r="BU111" i="149" s="1"/>
  <c r="CF111" i="148"/>
  <c r="CC111" i="149" s="1"/>
  <c r="BV111" i="148"/>
  <c r="BS111" i="149" s="1"/>
  <c r="CN111" i="148"/>
  <c r="CK111" i="149" s="1"/>
  <c r="CS111" i="148"/>
  <c r="CP111" i="149" s="1"/>
  <c r="BT111" i="148"/>
  <c r="BQ111" i="149" s="1"/>
  <c r="CM111" i="148"/>
  <c r="CJ111" i="149" s="1"/>
  <c r="CX111" i="148"/>
  <c r="CU111" i="149" s="1"/>
  <c r="CY111" i="148"/>
  <c r="CV111" i="149" s="1"/>
  <c r="R111" i="148"/>
  <c r="CL111" i="148"/>
  <c r="CI111" i="149" s="1"/>
  <c r="AW111" i="148"/>
  <c r="AT111" i="149" s="1"/>
  <c r="BR111" i="148"/>
  <c r="BO111" i="149" s="1"/>
  <c r="CH111" i="148"/>
  <c r="CE111" i="149" s="1"/>
  <c r="BG111" i="148"/>
  <c r="BD111" i="149" s="1"/>
  <c r="I111" i="148"/>
  <c r="CZ111" i="148"/>
  <c r="CW111" i="149" s="1"/>
  <c r="CO111" i="148"/>
  <c r="CL111" i="149" s="1"/>
  <c r="CK111" i="148"/>
  <c r="CH111" i="149" s="1"/>
  <c r="CE111" i="148"/>
  <c r="CB111" i="149" s="1"/>
  <c r="AY111" i="148"/>
  <c r="AV111" i="149" s="1"/>
  <c r="BH111" i="148"/>
  <c r="BE111" i="149" s="1"/>
  <c r="BC111" i="148"/>
  <c r="AZ111" i="149" s="1"/>
  <c r="BJ111" i="148"/>
  <c r="BG111" i="149" s="1"/>
  <c r="BA111" i="148"/>
  <c r="AX111" i="149" s="1"/>
  <c r="BN111" i="148"/>
  <c r="BK111" i="149" s="1"/>
  <c r="BL111" i="148"/>
  <c r="BI111" i="149" s="1"/>
  <c r="BM111" i="148"/>
  <c r="BJ111" i="149" s="1"/>
  <c r="BB111" i="148"/>
  <c r="AY111" i="149" s="1"/>
  <c r="D111" i="148"/>
  <c r="BK111" i="148"/>
  <c r="BH111" i="149" s="1"/>
  <c r="AZ111" i="148"/>
  <c r="AW111" i="149" s="1"/>
  <c r="BO111" i="148"/>
  <c r="Q96" i="148"/>
  <c r="CX96" i="148"/>
  <c r="CU96" i="149" s="1"/>
  <c r="V96" i="148"/>
  <c r="F96" i="148"/>
  <c r="CW96" i="148"/>
  <c r="CT96" i="149" s="1"/>
  <c r="BQ96" i="148"/>
  <c r="BN96" i="149" s="1"/>
  <c r="CH96" i="148"/>
  <c r="CE96" i="149" s="1"/>
  <c r="BP96" i="148"/>
  <c r="BM96" i="149" s="1"/>
  <c r="AX96" i="148"/>
  <c r="AU96" i="149" s="1"/>
  <c r="CJ96" i="148"/>
  <c r="CG96" i="149" s="1"/>
  <c r="I96" i="148"/>
  <c r="BR96" i="148"/>
  <c r="BO96" i="149" s="1"/>
  <c r="CT96" i="148"/>
  <c r="CQ96" i="149" s="1"/>
  <c r="CD96" i="148"/>
  <c r="CA96" i="149" s="1"/>
  <c r="CK96" i="148"/>
  <c r="CH96" i="149" s="1"/>
  <c r="CQ96" i="148"/>
  <c r="CN96" i="149" s="1"/>
  <c r="AW96" i="148"/>
  <c r="AT96" i="149" s="1"/>
  <c r="E96" i="148"/>
  <c r="BG96" i="148"/>
  <c r="BD96" i="149" s="1"/>
  <c r="CN96" i="148"/>
  <c r="CK96" i="149" s="1"/>
  <c r="AY96" i="148"/>
  <c r="AV96" i="149" s="1"/>
  <c r="CC96" i="148"/>
  <c r="BZ96" i="149" s="1"/>
  <c r="CM96" i="148"/>
  <c r="CJ96" i="149" s="1"/>
  <c r="CO96" i="148"/>
  <c r="CL96" i="149" s="1"/>
  <c r="G96" i="148"/>
  <c r="CG96" i="148"/>
  <c r="CD96" i="149" s="1"/>
  <c r="CF96" i="148"/>
  <c r="CC96" i="149" s="1"/>
  <c r="BZ96" i="148"/>
  <c r="BW96" i="149" s="1"/>
  <c r="CB96" i="148"/>
  <c r="BY96" i="149" s="1"/>
  <c r="CZ96" i="148"/>
  <c r="CW96" i="149" s="1"/>
  <c r="CP96" i="148"/>
  <c r="CM96" i="149" s="1"/>
  <c r="CY96" i="148"/>
  <c r="CV96" i="149" s="1"/>
  <c r="CI96" i="148"/>
  <c r="CF96" i="149" s="1"/>
  <c r="BV96" i="148"/>
  <c r="BS96" i="149" s="1"/>
  <c r="R96" i="148"/>
  <c r="H96" i="148"/>
  <c r="BX96" i="148"/>
  <c r="BU96" i="149" s="1"/>
  <c r="CU96" i="148"/>
  <c r="CR96" i="149" s="1"/>
  <c r="DA96" i="148"/>
  <c r="CX96" i="149" s="1"/>
  <c r="BY96" i="148"/>
  <c r="BV96" i="149" s="1"/>
  <c r="CL96" i="148"/>
  <c r="CI96" i="149" s="1"/>
  <c r="CV96" i="148"/>
  <c r="CS96" i="149" s="1"/>
  <c r="BT96" i="148"/>
  <c r="BQ96" i="149" s="1"/>
  <c r="CR96" i="148"/>
  <c r="CO96" i="149" s="1"/>
  <c r="CS96" i="148"/>
  <c r="CP96" i="149" s="1"/>
  <c r="BF96" i="148"/>
  <c r="BC96" i="149" s="1"/>
  <c r="CE96" i="148"/>
  <c r="CB96" i="149" s="1"/>
  <c r="CA96" i="148"/>
  <c r="BX96" i="149" s="1"/>
  <c r="BE96" i="148"/>
  <c r="BB96" i="149" s="1"/>
  <c r="BH96" i="148"/>
  <c r="BE96" i="149" s="1"/>
  <c r="BB96" i="148"/>
  <c r="AY96" i="149" s="1"/>
  <c r="BJ96" i="148"/>
  <c r="BG96" i="149" s="1"/>
  <c r="BI96" i="148"/>
  <c r="BF96" i="149" s="1"/>
  <c r="BC96" i="148"/>
  <c r="AZ96" i="149" s="1"/>
  <c r="BS96" i="148"/>
  <c r="BP96" i="149" s="1"/>
  <c r="BK96" i="148"/>
  <c r="BH96" i="149" s="1"/>
  <c r="AZ96" i="148"/>
  <c r="AW96" i="149" s="1"/>
  <c r="BO96" i="148"/>
  <c r="BN96" i="148"/>
  <c r="BK96" i="149" s="1"/>
  <c r="BM96" i="148"/>
  <c r="BJ96" i="149" s="1"/>
  <c r="BL96" i="148"/>
  <c r="BI96" i="149" s="1"/>
  <c r="D96" i="148"/>
  <c r="BA96" i="148"/>
  <c r="AX96" i="149" s="1"/>
  <c r="H25" i="151"/>
  <c r="D25" i="151"/>
  <c r="P25" i="151"/>
  <c r="E25" i="151"/>
  <c r="R25" i="151"/>
  <c r="G25" i="151"/>
  <c r="CJ25" i="151"/>
  <c r="BU25" i="151"/>
  <c r="CA25" i="151"/>
  <c r="CP25" i="151"/>
  <c r="CN25" i="151"/>
  <c r="CB25" i="151"/>
  <c r="CK25" i="151"/>
  <c r="CR25" i="151"/>
  <c r="BW25" i="151"/>
  <c r="BX25" i="151"/>
  <c r="CU25" i="151"/>
  <c r="CC25" i="151"/>
  <c r="CV25" i="151"/>
  <c r="F25" i="151"/>
  <c r="CL25" i="151"/>
  <c r="CG25" i="151"/>
  <c r="BV25" i="151"/>
  <c r="CT25" i="151"/>
  <c r="CD25" i="151"/>
  <c r="CF25" i="151"/>
  <c r="CI25" i="151"/>
  <c r="CO25" i="151"/>
  <c r="BY25" i="151"/>
  <c r="CW25" i="151"/>
  <c r="CS25" i="151"/>
  <c r="CQ25" i="151"/>
  <c r="CM25" i="151"/>
  <c r="BZ25" i="151"/>
  <c r="CE25" i="151"/>
  <c r="CH25" i="151"/>
  <c r="BT25" i="151"/>
  <c r="AR25" i="151"/>
  <c r="AU25" i="151"/>
  <c r="BO25" i="151"/>
  <c r="AY25" i="151"/>
  <c r="BC25" i="151"/>
  <c r="BA25" i="151"/>
  <c r="AW25" i="151"/>
  <c r="BE25" i="151"/>
  <c r="BK25" i="151"/>
  <c r="BP25" i="151"/>
  <c r="AS25" i="151"/>
  <c r="BB25" i="151"/>
  <c r="BJ25" i="151"/>
  <c r="BH25" i="151"/>
  <c r="BR25" i="151"/>
  <c r="BG25" i="151"/>
  <c r="BN25" i="151"/>
  <c r="BM25" i="151"/>
  <c r="BF25" i="151"/>
  <c r="AX25" i="151"/>
  <c r="AV25" i="151"/>
  <c r="BI25" i="151"/>
  <c r="BD25" i="151"/>
  <c r="BL25" i="151"/>
  <c r="H26" i="151"/>
  <c r="R26" i="151"/>
  <c r="G26" i="151"/>
  <c r="E26" i="151"/>
  <c r="P26" i="151"/>
  <c r="D26" i="151"/>
  <c r="CJ26" i="151"/>
  <c r="BW26" i="151"/>
  <c r="BX26" i="151"/>
  <c r="CE26" i="151"/>
  <c r="BY26" i="151"/>
  <c r="CK26" i="151"/>
  <c r="CP26" i="151"/>
  <c r="CW26" i="151"/>
  <c r="CA26" i="151"/>
  <c r="CT26" i="151"/>
  <c r="CC26" i="151"/>
  <c r="CI26" i="151"/>
  <c r="CF26" i="151"/>
  <c r="CG26" i="151"/>
  <c r="CQ26" i="151"/>
  <c r="CU26" i="151"/>
  <c r="F26" i="151"/>
  <c r="CO26" i="151"/>
  <c r="CD26" i="151"/>
  <c r="CV26" i="151"/>
  <c r="CM26" i="151"/>
  <c r="CS26" i="151"/>
  <c r="CH26" i="151"/>
  <c r="CB26" i="151"/>
  <c r="BZ26" i="151"/>
  <c r="CL26" i="151"/>
  <c r="BT26" i="151"/>
  <c r="CR26" i="151"/>
  <c r="BU26" i="151"/>
  <c r="BV26" i="151"/>
  <c r="CN26" i="151"/>
  <c r="BA26" i="151"/>
  <c r="AU26" i="151"/>
  <c r="AR26" i="151"/>
  <c r="AV26" i="151"/>
  <c r="AY26" i="151"/>
  <c r="BC26" i="151"/>
  <c r="BJ26" i="151"/>
  <c r="BM26" i="151"/>
  <c r="BG26" i="151"/>
  <c r="AW26" i="151"/>
  <c r="BK26" i="151"/>
  <c r="BR26" i="151"/>
  <c r="BB26" i="151"/>
  <c r="BO26" i="151"/>
  <c r="BD26" i="151"/>
  <c r="BH26" i="151"/>
  <c r="AS26" i="151"/>
  <c r="BP26" i="151"/>
  <c r="BN26" i="151"/>
  <c r="AT26" i="151"/>
  <c r="BI26" i="151"/>
  <c r="AZ26" i="151"/>
  <c r="AX26" i="151"/>
  <c r="BF26" i="151"/>
  <c r="G13" i="153"/>
  <c r="R13" i="153"/>
  <c r="E13" i="153"/>
  <c r="P13" i="153"/>
  <c r="D13" i="153"/>
  <c r="H13" i="153"/>
  <c r="C13" i="153"/>
  <c r="CW13" i="153"/>
  <c r="CP13" i="153"/>
  <c r="CE13" i="153"/>
  <c r="CT13" i="153"/>
  <c r="CD13" i="153"/>
  <c r="CI13" i="153"/>
  <c r="CS13" i="153"/>
  <c r="BT13" i="153"/>
  <c r="CA13" i="153"/>
  <c r="BW13" i="153"/>
  <c r="CN13" i="153"/>
  <c r="BV13" i="153"/>
  <c r="CU13" i="153"/>
  <c r="CV13" i="153"/>
  <c r="F13" i="153"/>
  <c r="CB13" i="153"/>
  <c r="CF13" i="153"/>
  <c r="CR13" i="153"/>
  <c r="CM13" i="153"/>
  <c r="CK13" i="153"/>
  <c r="BZ13" i="153"/>
  <c r="BU13" i="153"/>
  <c r="CL13" i="153"/>
  <c r="BX13" i="153"/>
  <c r="CO13" i="153"/>
  <c r="CG13" i="153"/>
  <c r="CJ13" i="153"/>
  <c r="BY13" i="153"/>
  <c r="CH13" i="153"/>
  <c r="CC13" i="153"/>
  <c r="CQ13" i="153"/>
  <c r="BK13" i="153"/>
  <c r="AS13" i="153"/>
  <c r="BP13" i="153"/>
  <c r="BR13" i="153"/>
  <c r="BF13" i="153"/>
  <c r="AR13" i="153"/>
  <c r="AX13" i="153"/>
  <c r="BA13" i="153"/>
  <c r="AT13" i="153"/>
  <c r="BB13" i="153"/>
  <c r="AU13" i="153"/>
  <c r="BM13" i="153"/>
  <c r="BH13" i="153"/>
  <c r="BN13" i="153"/>
  <c r="AY13" i="153"/>
  <c r="AV13" i="153"/>
  <c r="BI13" i="153"/>
  <c r="AZ13" i="153"/>
  <c r="BS13" i="153"/>
  <c r="AW13" i="153"/>
  <c r="BD13" i="153"/>
  <c r="BJ13" i="153"/>
  <c r="BO13" i="153"/>
  <c r="BL13" i="153"/>
  <c r="BC13" i="153"/>
  <c r="BQ13" i="153"/>
  <c r="BE13" i="153"/>
  <c r="BG13" i="153"/>
  <c r="E33" i="153"/>
  <c r="R33" i="153"/>
  <c r="D33" i="153"/>
  <c r="P33" i="153"/>
  <c r="H33" i="153"/>
  <c r="G33" i="153"/>
  <c r="C33" i="153"/>
  <c r="BU33" i="153"/>
  <c r="CJ33" i="153"/>
  <c r="CP33" i="153"/>
  <c r="CG33" i="153"/>
  <c r="CD33" i="153"/>
  <c r="CV33" i="153"/>
  <c r="CA33" i="153"/>
  <c r="CC33" i="153"/>
  <c r="F33" i="153"/>
  <c r="CQ33" i="153"/>
  <c r="CB33" i="153"/>
  <c r="CS33" i="153"/>
  <c r="BW33" i="153"/>
  <c r="CT33" i="153"/>
  <c r="BX33" i="153"/>
  <c r="CF33" i="153"/>
  <c r="CN33" i="153"/>
  <c r="BZ33" i="153"/>
  <c r="CI33" i="153"/>
  <c r="CO33" i="153"/>
  <c r="CM33" i="153"/>
  <c r="CE33" i="153"/>
  <c r="CH33" i="153"/>
  <c r="CW33" i="153"/>
  <c r="CR33" i="153"/>
  <c r="CU33" i="153"/>
  <c r="BT33" i="153"/>
  <c r="BY33" i="153"/>
  <c r="CL33" i="153"/>
  <c r="BV33" i="153"/>
  <c r="CK33" i="153"/>
  <c r="BI33" i="153"/>
  <c r="BN33" i="153"/>
  <c r="AX33" i="153"/>
  <c r="BH33" i="153"/>
  <c r="AS33" i="153"/>
  <c r="AU33" i="153"/>
  <c r="BA33" i="153"/>
  <c r="BJ33" i="153"/>
  <c r="AZ33" i="153"/>
  <c r="BS33" i="153"/>
  <c r="BB33" i="153"/>
  <c r="AY33" i="153"/>
  <c r="BM33" i="153"/>
  <c r="BK33" i="153"/>
  <c r="BQ33" i="153"/>
  <c r="BO33" i="153"/>
  <c r="BP33" i="153"/>
  <c r="AR33" i="153"/>
  <c r="AW33" i="153"/>
  <c r="BL33" i="153"/>
  <c r="BC33" i="153"/>
  <c r="AT33" i="153"/>
  <c r="BF33" i="153"/>
  <c r="AV33" i="153"/>
  <c r="BE33" i="153"/>
  <c r="BD33" i="153"/>
  <c r="BG33" i="153"/>
  <c r="BR33" i="153"/>
  <c r="P27" i="153"/>
  <c r="R27" i="153"/>
  <c r="E27" i="153"/>
  <c r="D27" i="153"/>
  <c r="G27" i="153"/>
  <c r="H27" i="153"/>
  <c r="C27" i="153"/>
  <c r="CN27" i="153"/>
  <c r="CI27" i="153"/>
  <c r="CL27" i="153"/>
  <c r="CV27" i="153"/>
  <c r="CA27" i="153"/>
  <c r="CO27" i="153"/>
  <c r="CG27" i="153"/>
  <c r="F27" i="153"/>
  <c r="CQ27" i="153"/>
  <c r="CE27" i="153"/>
  <c r="BT27" i="153"/>
  <c r="CT27" i="153"/>
  <c r="CU27" i="153"/>
  <c r="CD27" i="153"/>
  <c r="BZ27" i="153"/>
  <c r="BX27" i="153"/>
  <c r="CK27" i="153"/>
  <c r="CB27" i="153"/>
  <c r="CR27" i="153"/>
  <c r="CP27" i="153"/>
  <c r="CJ27" i="153"/>
  <c r="CM27" i="153"/>
  <c r="CH27" i="153"/>
  <c r="BW27" i="153"/>
  <c r="CS27" i="153"/>
  <c r="BV27" i="153"/>
  <c r="BY27" i="153"/>
  <c r="CF27" i="153"/>
  <c r="CW27" i="153"/>
  <c r="CC27" i="153"/>
  <c r="BU27" i="153"/>
  <c r="BC27" i="153"/>
  <c r="AX27" i="153"/>
  <c r="BF27" i="153"/>
  <c r="AW27" i="153"/>
  <c r="BJ27" i="153"/>
  <c r="BE27" i="153"/>
  <c r="BM27" i="153"/>
  <c r="BP27" i="153"/>
  <c r="BL27" i="153"/>
  <c r="AV27" i="153"/>
  <c r="BG27" i="153"/>
  <c r="AS27" i="153"/>
  <c r="AR27" i="153"/>
  <c r="BH27" i="153"/>
  <c r="BA27" i="153"/>
  <c r="BI27" i="153"/>
  <c r="AU27" i="153"/>
  <c r="BK27" i="153"/>
  <c r="BN27" i="153"/>
  <c r="BB27" i="153"/>
  <c r="BO27" i="153"/>
  <c r="AY27" i="153"/>
  <c r="BR27" i="153"/>
  <c r="BD27" i="153"/>
  <c r="D34" i="153"/>
  <c r="P34" i="153"/>
  <c r="R34" i="153"/>
  <c r="H34" i="153"/>
  <c r="G34" i="153"/>
  <c r="E34" i="153"/>
  <c r="C34" i="153"/>
  <c r="CL34" i="153"/>
  <c r="BU34" i="153"/>
  <c r="CQ34" i="153"/>
  <c r="BW34" i="153"/>
  <c r="CU34" i="153"/>
  <c r="CH34" i="153"/>
  <c r="CC34" i="153"/>
  <c r="BX34" i="153"/>
  <c r="CK34" i="153"/>
  <c r="CP34" i="153"/>
  <c r="CA34" i="153"/>
  <c r="CG34" i="153"/>
  <c r="CN34" i="153"/>
  <c r="CB34" i="153"/>
  <c r="CD34" i="153"/>
  <c r="CV34" i="153"/>
  <c r="CR34" i="153"/>
  <c r="CI34" i="153"/>
  <c r="BZ34" i="153"/>
  <c r="CO34" i="153"/>
  <c r="F34" i="153"/>
  <c r="CM34" i="153"/>
  <c r="CE34" i="153"/>
  <c r="BV34" i="153"/>
  <c r="CF34" i="153"/>
  <c r="CJ34" i="153"/>
  <c r="CW34" i="153"/>
  <c r="CT34" i="153"/>
  <c r="CS34" i="153"/>
  <c r="BY34" i="153"/>
  <c r="BT34" i="153"/>
  <c r="BH34" i="153"/>
  <c r="BO34" i="153"/>
  <c r="BS34" i="153"/>
  <c r="AU34" i="153"/>
  <c r="BM34" i="153"/>
  <c r="BI34" i="153"/>
  <c r="BR34" i="153"/>
  <c r="BG34" i="153"/>
  <c r="BJ34" i="153"/>
  <c r="AR34" i="153"/>
  <c r="AY34" i="153"/>
  <c r="BL34" i="153"/>
  <c r="BD34" i="153"/>
  <c r="BQ34" i="153"/>
  <c r="AX34" i="153"/>
  <c r="AW34" i="153"/>
  <c r="BN34" i="153"/>
  <c r="BA34" i="153"/>
  <c r="AT34" i="153"/>
  <c r="BP34" i="153"/>
  <c r="BK34" i="153"/>
  <c r="AS34" i="153"/>
  <c r="BE34" i="153"/>
  <c r="BC34" i="153"/>
  <c r="AZ34" i="153"/>
  <c r="AV34" i="153"/>
  <c r="BF34" i="153"/>
  <c r="BB34" i="153"/>
  <c r="Q60" i="148"/>
  <c r="BK60" i="148"/>
  <c r="BH60" i="149" s="1"/>
  <c r="E60" i="148"/>
  <c r="BX60" i="148"/>
  <c r="BU60" i="149" s="1"/>
  <c r="CA60" i="148"/>
  <c r="BX60" i="149" s="1"/>
  <c r="AY60" i="148"/>
  <c r="AV60" i="149" s="1"/>
  <c r="AV60" i="148"/>
  <c r="AS60" i="149" s="1"/>
  <c r="BO60" i="148"/>
  <c r="BJ60" i="148"/>
  <c r="BG60" i="149" s="1"/>
  <c r="CV60" i="148"/>
  <c r="CS60" i="149" s="1"/>
  <c r="CO60" i="148"/>
  <c r="CL60" i="149" s="1"/>
  <c r="CM60" i="148"/>
  <c r="CJ60" i="149" s="1"/>
  <c r="BS60" i="148"/>
  <c r="BP60" i="149" s="1"/>
  <c r="BN60" i="148"/>
  <c r="BK60" i="149" s="1"/>
  <c r="CL60" i="148"/>
  <c r="CI60" i="149" s="1"/>
  <c r="CY60" i="148"/>
  <c r="CV60" i="149" s="1"/>
  <c r="CT60" i="148"/>
  <c r="CQ60" i="149" s="1"/>
  <c r="AX60" i="148"/>
  <c r="AU60" i="149" s="1"/>
  <c r="BH60" i="148"/>
  <c r="BE60" i="149" s="1"/>
  <c r="CZ60" i="148"/>
  <c r="CW60" i="149" s="1"/>
  <c r="CP60" i="148"/>
  <c r="CM60" i="149" s="1"/>
  <c r="BZ60" i="148"/>
  <c r="BW60" i="149" s="1"/>
  <c r="BV60" i="148"/>
  <c r="BS60" i="149" s="1"/>
  <c r="BL60" i="148"/>
  <c r="BI60" i="149" s="1"/>
  <c r="AZ60" i="148"/>
  <c r="AW60" i="149" s="1"/>
  <c r="BC60" i="148"/>
  <c r="AZ60" i="149" s="1"/>
  <c r="BA60" i="148"/>
  <c r="AX60" i="149" s="1"/>
  <c r="R60" i="148"/>
  <c r="CR60" i="148"/>
  <c r="CO60" i="149" s="1"/>
  <c r="CJ60" i="148"/>
  <c r="CG60" i="149" s="1"/>
  <c r="CS60" i="148"/>
  <c r="CP60" i="149" s="1"/>
  <c r="BQ60" i="148"/>
  <c r="BN60" i="149" s="1"/>
  <c r="H60" i="148"/>
  <c r="CU60" i="148"/>
  <c r="CR60" i="149" s="1"/>
  <c r="CB60" i="148"/>
  <c r="BY60" i="149" s="1"/>
  <c r="BW60" i="148"/>
  <c r="BT60" i="149" s="1"/>
  <c r="BF60" i="148"/>
  <c r="BC60" i="149" s="1"/>
  <c r="I60" i="148"/>
  <c r="CC60" i="148"/>
  <c r="BZ60" i="149" s="1"/>
  <c r="CG60" i="148"/>
  <c r="CD60" i="149" s="1"/>
  <c r="BR60" i="148"/>
  <c r="BO60" i="149" s="1"/>
  <c r="BP60" i="148"/>
  <c r="BM60" i="149" s="1"/>
  <c r="BB60" i="148"/>
  <c r="AY60" i="149" s="1"/>
  <c r="BM60" i="148"/>
  <c r="BJ60" i="149" s="1"/>
  <c r="V60" i="148"/>
  <c r="CX60" i="148"/>
  <c r="CU60" i="149" s="1"/>
  <c r="G60" i="148"/>
  <c r="BU60" i="148"/>
  <c r="BR60" i="149" s="1"/>
  <c r="BD60" i="148"/>
  <c r="BA60" i="149" s="1"/>
  <c r="F60" i="148"/>
  <c r="CE60" i="148"/>
  <c r="CB60" i="149" s="1"/>
  <c r="CK60" i="148"/>
  <c r="CH60" i="149" s="1"/>
  <c r="AW60" i="148"/>
  <c r="AT60" i="149" s="1"/>
  <c r="BI60" i="148"/>
  <c r="BF60" i="149" s="1"/>
  <c r="CF60" i="148"/>
  <c r="CC60" i="149" s="1"/>
  <c r="DA60" i="148"/>
  <c r="CX60" i="149" s="1"/>
  <c r="CI60" i="148"/>
  <c r="CF60" i="149" s="1"/>
  <c r="BE60" i="148"/>
  <c r="BB60" i="149" s="1"/>
  <c r="CN60" i="148"/>
  <c r="CK60" i="149" s="1"/>
  <c r="BY60" i="148"/>
  <c r="BV60" i="149" s="1"/>
  <c r="CQ60" i="148"/>
  <c r="CN60" i="149" s="1"/>
  <c r="BG60" i="148"/>
  <c r="BD60" i="149" s="1"/>
  <c r="CW60" i="148"/>
  <c r="CT60" i="149" s="1"/>
  <c r="CD60" i="148"/>
  <c r="CA60" i="149" s="1"/>
  <c r="CH60" i="148"/>
  <c r="CE60" i="149" s="1"/>
  <c r="BT60" i="148"/>
  <c r="BQ60" i="149" s="1"/>
  <c r="D60" i="148"/>
  <c r="CZ67" i="149"/>
  <c r="DB67" i="149"/>
  <c r="CY67" i="149"/>
  <c r="DA67" i="149"/>
  <c r="BL67" i="149"/>
  <c r="Q53" i="148"/>
  <c r="BI53" i="148"/>
  <c r="BF53" i="149" s="1"/>
  <c r="BZ53" i="148"/>
  <c r="BW53" i="149" s="1"/>
  <c r="CX53" i="148"/>
  <c r="CU53" i="149" s="1"/>
  <c r="CN53" i="148"/>
  <c r="CK53" i="149" s="1"/>
  <c r="BG53" i="148"/>
  <c r="BD53" i="149" s="1"/>
  <c r="BN53" i="148"/>
  <c r="BK53" i="149" s="1"/>
  <c r="BH53" i="148"/>
  <c r="BE53" i="149" s="1"/>
  <c r="CT53" i="148"/>
  <c r="CQ53" i="149" s="1"/>
  <c r="CU53" i="148"/>
  <c r="CR53" i="149" s="1"/>
  <c r="CL53" i="148"/>
  <c r="CI53" i="149" s="1"/>
  <c r="BR53" i="148"/>
  <c r="BO53" i="149" s="1"/>
  <c r="BL53" i="148"/>
  <c r="BI53" i="149" s="1"/>
  <c r="V53" i="148"/>
  <c r="DA53" i="148"/>
  <c r="CX53" i="149" s="1"/>
  <c r="CD53" i="148"/>
  <c r="CA53" i="149" s="1"/>
  <c r="G53" i="148"/>
  <c r="BE53" i="148"/>
  <c r="BB53" i="149" s="1"/>
  <c r="BO53" i="148"/>
  <c r="F53" i="148"/>
  <c r="CR53" i="148"/>
  <c r="CO53" i="149" s="1"/>
  <c r="CA53" i="148"/>
  <c r="BX53" i="149" s="1"/>
  <c r="AX53" i="148"/>
  <c r="AU53" i="149" s="1"/>
  <c r="AY53" i="148"/>
  <c r="AV53" i="149" s="1"/>
  <c r="BJ53" i="148"/>
  <c r="BG53" i="149" s="1"/>
  <c r="I53" i="148"/>
  <c r="CW53" i="148"/>
  <c r="CT53" i="149" s="1"/>
  <c r="BY53" i="148"/>
  <c r="BV53" i="149" s="1"/>
  <c r="BS53" i="148"/>
  <c r="BP53" i="149" s="1"/>
  <c r="BQ53" i="148"/>
  <c r="BN53" i="149" s="1"/>
  <c r="AZ53" i="148"/>
  <c r="AW53" i="149" s="1"/>
  <c r="H53" i="148"/>
  <c r="CH53" i="148"/>
  <c r="CE53" i="149" s="1"/>
  <c r="CG53" i="148"/>
  <c r="CD53" i="149" s="1"/>
  <c r="BD53" i="148"/>
  <c r="BA53" i="149" s="1"/>
  <c r="BW53" i="148"/>
  <c r="BT53" i="149" s="1"/>
  <c r="BC53" i="148"/>
  <c r="AZ53" i="149" s="1"/>
  <c r="R53" i="148"/>
  <c r="CM53" i="148"/>
  <c r="CJ53" i="149" s="1"/>
  <c r="CK53" i="148"/>
  <c r="CH53" i="149" s="1"/>
  <c r="BF53" i="148"/>
  <c r="BC53" i="149" s="1"/>
  <c r="BB53" i="148"/>
  <c r="AY53" i="149" s="1"/>
  <c r="CB53" i="148"/>
  <c r="BY53" i="149" s="1"/>
  <c r="CF53" i="148"/>
  <c r="CC53" i="149" s="1"/>
  <c r="CO53" i="148"/>
  <c r="CL53" i="149" s="1"/>
  <c r="BP53" i="148"/>
  <c r="BM53" i="149" s="1"/>
  <c r="BA53" i="148"/>
  <c r="AX53" i="149" s="1"/>
  <c r="CY53" i="148"/>
  <c r="CV53" i="149" s="1"/>
  <c r="CV53" i="148"/>
  <c r="CS53" i="149" s="1"/>
  <c r="CQ53" i="148"/>
  <c r="CN53" i="149" s="1"/>
  <c r="AV53" i="148"/>
  <c r="AS53" i="149" s="1"/>
  <c r="BM53" i="148"/>
  <c r="BJ53" i="149" s="1"/>
  <c r="CS53" i="148"/>
  <c r="CP53" i="149" s="1"/>
  <c r="CC53" i="148"/>
  <c r="BZ53" i="149" s="1"/>
  <c r="CP53" i="148"/>
  <c r="CM53" i="149" s="1"/>
  <c r="BV53" i="148"/>
  <c r="BS53" i="149" s="1"/>
  <c r="BK53" i="148"/>
  <c r="BH53" i="149" s="1"/>
  <c r="BX53" i="148"/>
  <c r="BU53" i="149" s="1"/>
  <c r="E53" i="148"/>
  <c r="CI53" i="148"/>
  <c r="CF53" i="149" s="1"/>
  <c r="CJ53" i="148"/>
  <c r="CG53" i="149" s="1"/>
  <c r="CZ53" i="148"/>
  <c r="CW53" i="149" s="1"/>
  <c r="CE53" i="148"/>
  <c r="CB53" i="149" s="1"/>
  <c r="BU53" i="148"/>
  <c r="BR53" i="149" s="1"/>
  <c r="AW53" i="148"/>
  <c r="AT53" i="149" s="1"/>
  <c r="BT53" i="148"/>
  <c r="BQ53" i="149" s="1"/>
  <c r="D53" i="148"/>
  <c r="Q54" i="148"/>
  <c r="BI54" i="148"/>
  <c r="BF54" i="149" s="1"/>
  <c r="CJ54" i="148"/>
  <c r="CG54" i="149" s="1"/>
  <c r="CX54" i="148"/>
  <c r="CU54" i="149" s="1"/>
  <c r="CG54" i="148"/>
  <c r="CD54" i="149" s="1"/>
  <c r="BF54" i="148"/>
  <c r="BC54" i="149" s="1"/>
  <c r="BO54" i="148"/>
  <c r="DA54" i="148"/>
  <c r="CX54" i="149" s="1"/>
  <c r="CD54" i="148"/>
  <c r="CA54" i="149" s="1"/>
  <c r="CP54" i="148"/>
  <c r="CM54" i="149" s="1"/>
  <c r="BG54" i="148"/>
  <c r="BD54" i="149" s="1"/>
  <c r="BJ54" i="148"/>
  <c r="BG54" i="149" s="1"/>
  <c r="F54" i="148"/>
  <c r="CR54" i="148"/>
  <c r="CO54" i="149" s="1"/>
  <c r="CI54" i="148"/>
  <c r="CF54" i="149" s="1"/>
  <c r="CU54" i="148"/>
  <c r="CR54" i="149" s="1"/>
  <c r="AY54" i="148"/>
  <c r="AV54" i="149" s="1"/>
  <c r="BH54" i="148"/>
  <c r="BE54" i="149" s="1"/>
  <c r="H54" i="148"/>
  <c r="CA54" i="148"/>
  <c r="BX54" i="149" s="1"/>
  <c r="BX54" i="148"/>
  <c r="BU54" i="149" s="1"/>
  <c r="BV54" i="148"/>
  <c r="BS54" i="149" s="1"/>
  <c r="BU54" i="148"/>
  <c r="BR54" i="149" s="1"/>
  <c r="BL54" i="148"/>
  <c r="BI54" i="149" s="1"/>
  <c r="R54" i="148"/>
  <c r="CN54" i="148"/>
  <c r="CK54" i="149" s="1"/>
  <c r="CH54" i="148"/>
  <c r="CE54" i="149" s="1"/>
  <c r="BT54" i="148"/>
  <c r="BQ54" i="149" s="1"/>
  <c r="AV54" i="148"/>
  <c r="AS54" i="149" s="1"/>
  <c r="BC54" i="148"/>
  <c r="AZ54" i="149" s="1"/>
  <c r="AZ54" i="148"/>
  <c r="AW54" i="149" s="1"/>
  <c r="I54" i="148"/>
  <c r="CS54" i="148"/>
  <c r="CP54" i="149" s="1"/>
  <c r="BY54" i="148"/>
  <c r="BV54" i="149" s="1"/>
  <c r="BS54" i="148"/>
  <c r="BP54" i="149" s="1"/>
  <c r="BA54" i="148"/>
  <c r="AX54" i="149" s="1"/>
  <c r="CB54" i="148"/>
  <c r="BY54" i="149" s="1"/>
  <c r="CF54" i="148"/>
  <c r="CC54" i="149" s="1"/>
  <c r="CQ54" i="148"/>
  <c r="CN54" i="149" s="1"/>
  <c r="BQ54" i="148"/>
  <c r="BN54" i="149" s="1"/>
  <c r="BB54" i="148"/>
  <c r="AY54" i="149" s="1"/>
  <c r="CT54" i="148"/>
  <c r="CQ54" i="149" s="1"/>
  <c r="CY54" i="148"/>
  <c r="CV54" i="149" s="1"/>
  <c r="BZ54" i="148"/>
  <c r="BW54" i="149" s="1"/>
  <c r="AX54" i="148"/>
  <c r="AU54" i="149" s="1"/>
  <c r="BM54" i="148"/>
  <c r="BJ54" i="149" s="1"/>
  <c r="CZ54" i="148"/>
  <c r="CW54" i="149" s="1"/>
  <c r="CV54" i="148"/>
  <c r="CS54" i="149" s="1"/>
  <c r="CM54" i="148"/>
  <c r="CJ54" i="149" s="1"/>
  <c r="BP54" i="148"/>
  <c r="BM54" i="149" s="1"/>
  <c r="BN54" i="148"/>
  <c r="BK54" i="149" s="1"/>
  <c r="V54" i="148"/>
  <c r="BR54" i="148"/>
  <c r="BO54" i="149" s="1"/>
  <c r="G54" i="148"/>
  <c r="E54" i="148"/>
  <c r="AW54" i="148"/>
  <c r="AT54" i="149" s="1"/>
  <c r="CW54" i="148"/>
  <c r="CT54" i="149" s="1"/>
  <c r="CE54" i="148"/>
  <c r="CB54" i="149" s="1"/>
  <c r="CK54" i="148"/>
  <c r="CH54" i="149" s="1"/>
  <c r="CC54" i="148"/>
  <c r="BZ54" i="149" s="1"/>
  <c r="CO54" i="148"/>
  <c r="CL54" i="149" s="1"/>
  <c r="CL54" i="148"/>
  <c r="CI54" i="149" s="1"/>
  <c r="BD54" i="148"/>
  <c r="BA54" i="149" s="1"/>
  <c r="BW54" i="148"/>
  <c r="BT54" i="149" s="1"/>
  <c r="BK54" i="148"/>
  <c r="BH54" i="149" s="1"/>
  <c r="BE54" i="148"/>
  <c r="BB54" i="149" s="1"/>
  <c r="D54" i="148"/>
  <c r="Q72" i="148"/>
  <c r="BI72" i="148"/>
  <c r="BF72" i="149" s="1"/>
  <c r="F72" i="148"/>
  <c r="CI72" i="148"/>
  <c r="CF72" i="149" s="1"/>
  <c r="CX72" i="148"/>
  <c r="CU72" i="149" s="1"/>
  <c r="BV72" i="148"/>
  <c r="BS72" i="149" s="1"/>
  <c r="BS72" i="148"/>
  <c r="BP72" i="149" s="1"/>
  <c r="BO72" i="148"/>
  <c r="CR72" i="148"/>
  <c r="CO72" i="149" s="1"/>
  <c r="CP72" i="148"/>
  <c r="CM72" i="149" s="1"/>
  <c r="CZ72" i="148"/>
  <c r="CW72" i="149" s="1"/>
  <c r="BW72" i="148"/>
  <c r="BT72" i="149" s="1"/>
  <c r="BJ72" i="148"/>
  <c r="BG72" i="149" s="1"/>
  <c r="CK72" i="148"/>
  <c r="CH72" i="149" s="1"/>
  <c r="CE72" i="148"/>
  <c r="CB72" i="149" s="1"/>
  <c r="CT72" i="148"/>
  <c r="CQ72" i="149" s="1"/>
  <c r="BQ72" i="148"/>
  <c r="BN72" i="149" s="1"/>
  <c r="BH72" i="148"/>
  <c r="BE72" i="149" s="1"/>
  <c r="BZ72" i="148"/>
  <c r="BW72" i="149" s="1"/>
  <c r="CU72" i="148"/>
  <c r="CR72" i="149" s="1"/>
  <c r="CM72" i="148"/>
  <c r="CJ72" i="149" s="1"/>
  <c r="AW72" i="148"/>
  <c r="AT72" i="149" s="1"/>
  <c r="BL72" i="148"/>
  <c r="BI72" i="149" s="1"/>
  <c r="CB72" i="148"/>
  <c r="BY72" i="149" s="1"/>
  <c r="G72" i="148"/>
  <c r="BX72" i="148"/>
  <c r="BU72" i="149" s="1"/>
  <c r="BE72" i="148"/>
  <c r="BB72" i="149" s="1"/>
  <c r="BC72" i="148"/>
  <c r="AZ72" i="149" s="1"/>
  <c r="CC72" i="148"/>
  <c r="BZ72" i="149" s="1"/>
  <c r="CD72" i="148"/>
  <c r="CA72" i="149" s="1"/>
  <c r="BY72" i="148"/>
  <c r="BV72" i="149" s="1"/>
  <c r="BU72" i="148"/>
  <c r="BR72" i="149" s="1"/>
  <c r="AZ72" i="148"/>
  <c r="AW72" i="149" s="1"/>
  <c r="H72" i="148"/>
  <c r="CW72" i="148"/>
  <c r="CT72" i="149" s="1"/>
  <c r="CL72" i="148"/>
  <c r="CI72" i="149" s="1"/>
  <c r="CO72" i="148"/>
  <c r="CL72" i="149" s="1"/>
  <c r="BT72" i="148"/>
  <c r="BQ72" i="149" s="1"/>
  <c r="BA72" i="148"/>
  <c r="AX72" i="149" s="1"/>
  <c r="R72" i="148"/>
  <c r="CV72" i="148"/>
  <c r="CS72" i="149" s="1"/>
  <c r="CG72" i="148"/>
  <c r="CD72" i="149" s="1"/>
  <c r="BD72" i="148"/>
  <c r="BA72" i="149" s="1"/>
  <c r="AV72" i="148"/>
  <c r="AS72" i="149" s="1"/>
  <c r="BB72" i="148"/>
  <c r="AY72" i="149" s="1"/>
  <c r="V72" i="148"/>
  <c r="CS72" i="148"/>
  <c r="CP72" i="149" s="1"/>
  <c r="CA72" i="148"/>
  <c r="BX72" i="149" s="1"/>
  <c r="AY72" i="148"/>
  <c r="AV72" i="149" s="1"/>
  <c r="BR72" i="148"/>
  <c r="BO72" i="149" s="1"/>
  <c r="BM72" i="148"/>
  <c r="BJ72" i="149" s="1"/>
  <c r="I72" i="148"/>
  <c r="CN72" i="148"/>
  <c r="CK72" i="149" s="1"/>
  <c r="CQ72" i="148"/>
  <c r="CN72" i="149" s="1"/>
  <c r="BP72" i="148"/>
  <c r="BM72" i="149" s="1"/>
  <c r="BF72" i="148"/>
  <c r="BC72" i="149" s="1"/>
  <c r="DA72" i="148"/>
  <c r="CX72" i="149" s="1"/>
  <c r="AX72" i="148"/>
  <c r="AU72" i="149" s="1"/>
  <c r="BG72" i="148"/>
  <c r="BD72" i="149" s="1"/>
  <c r="BN72" i="148"/>
  <c r="BK72" i="149" s="1"/>
  <c r="BK72" i="148"/>
  <c r="BH72" i="149" s="1"/>
  <c r="E72" i="148"/>
  <c r="CY72" i="148"/>
  <c r="CV72" i="149" s="1"/>
  <c r="CH72" i="148"/>
  <c r="CE72" i="149" s="1"/>
  <c r="CF72" i="148"/>
  <c r="CC72" i="149" s="1"/>
  <c r="CJ72" i="148"/>
  <c r="CG72" i="149" s="1"/>
  <c r="D72" i="148"/>
  <c r="Q32" i="148"/>
  <c r="BI32" i="148"/>
  <c r="BF32" i="149" s="1"/>
  <c r="BW32" i="148"/>
  <c r="BT32" i="149" s="1"/>
  <c r="CI32" i="148"/>
  <c r="CF32" i="149" s="1"/>
  <c r="CU32" i="148"/>
  <c r="CR32" i="149" s="1"/>
  <c r="CJ32" i="148"/>
  <c r="CG32" i="149" s="1"/>
  <c r="BK32" i="148"/>
  <c r="BH32" i="149" s="1"/>
  <c r="BO32" i="148"/>
  <c r="CD32" i="148"/>
  <c r="CA32" i="149" s="1"/>
  <c r="R32" i="148"/>
  <c r="CR32" i="148"/>
  <c r="CO32" i="149" s="1"/>
  <c r="CO32" i="148"/>
  <c r="CL32" i="149" s="1"/>
  <c r="BJ32" i="148"/>
  <c r="BG32" i="149" s="1"/>
  <c r="CA32" i="148"/>
  <c r="BX32" i="149" s="1"/>
  <c r="BV32" i="148"/>
  <c r="BS32" i="149" s="1"/>
  <c r="BP32" i="148"/>
  <c r="BM32" i="149" s="1"/>
  <c r="CX32" i="148"/>
  <c r="CU32" i="149" s="1"/>
  <c r="BH32" i="148"/>
  <c r="BE32" i="149" s="1"/>
  <c r="BL32" i="148"/>
  <c r="BI32" i="149" s="1"/>
  <c r="AZ32" i="148"/>
  <c r="AW32" i="149" s="1"/>
  <c r="BC32" i="148"/>
  <c r="AZ32" i="149" s="1"/>
  <c r="BA32" i="148"/>
  <c r="AX32" i="149" s="1"/>
  <c r="BB32" i="148"/>
  <c r="AY32" i="149" s="1"/>
  <c r="BM32" i="148"/>
  <c r="BJ32" i="149" s="1"/>
  <c r="E32" i="148"/>
  <c r="BY32" i="148"/>
  <c r="BV32" i="149" s="1"/>
  <c r="AX32" i="148"/>
  <c r="AU32" i="149" s="1"/>
  <c r="AW32" i="148"/>
  <c r="AT32" i="149" s="1"/>
  <c r="CV32" i="148"/>
  <c r="CS32" i="149" s="1"/>
  <c r="CP32" i="148"/>
  <c r="CM32" i="149" s="1"/>
  <c r="CN32" i="148"/>
  <c r="CK32" i="149" s="1"/>
  <c r="BE32" i="148"/>
  <c r="BB32" i="149" s="1"/>
  <c r="BZ32" i="148"/>
  <c r="BW32" i="149" s="1"/>
  <c r="BU32" i="148"/>
  <c r="BR32" i="149" s="1"/>
  <c r="CK32" i="148"/>
  <c r="CH32" i="149" s="1"/>
  <c r="CC32" i="148"/>
  <c r="BZ32" i="149" s="1"/>
  <c r="I32" i="148"/>
  <c r="AY32" i="148"/>
  <c r="AV32" i="149" s="1"/>
  <c r="CF32" i="148"/>
  <c r="CC32" i="149" s="1"/>
  <c r="BR32" i="148"/>
  <c r="BO32" i="149" s="1"/>
  <c r="CZ32" i="148"/>
  <c r="CW32" i="149" s="1"/>
  <c r="CW32" i="148"/>
  <c r="CT32" i="149" s="1"/>
  <c r="BN32" i="148"/>
  <c r="BK32" i="149" s="1"/>
  <c r="CM32" i="148"/>
  <c r="CJ32" i="149" s="1"/>
  <c r="CY32" i="148"/>
  <c r="CV32" i="149" s="1"/>
  <c r="CS32" i="148"/>
  <c r="CP32" i="149" s="1"/>
  <c r="CT32" i="148"/>
  <c r="CQ32" i="149" s="1"/>
  <c r="CB32" i="148"/>
  <c r="BY32" i="149" s="1"/>
  <c r="G32" i="148"/>
  <c r="CE32" i="148"/>
  <c r="CB32" i="149" s="1"/>
  <c r="CQ32" i="148"/>
  <c r="CN32" i="149" s="1"/>
  <c r="BD32" i="148"/>
  <c r="BA32" i="149" s="1"/>
  <c r="CH32" i="148"/>
  <c r="CE32" i="149" s="1"/>
  <c r="BQ32" i="148"/>
  <c r="BN32" i="149" s="1"/>
  <c r="CL32" i="148"/>
  <c r="CI32" i="149" s="1"/>
  <c r="H32" i="148"/>
  <c r="BF32" i="148"/>
  <c r="BC32" i="149" s="1"/>
  <c r="AV32" i="148"/>
  <c r="AS32" i="149" s="1"/>
  <c r="CG32" i="148"/>
  <c r="CD32" i="149" s="1"/>
  <c r="DA32" i="148"/>
  <c r="CX32" i="149" s="1"/>
  <c r="BX32" i="148"/>
  <c r="BU32" i="149" s="1"/>
  <c r="BS32" i="148"/>
  <c r="BP32" i="149" s="1"/>
  <c r="V32" i="148"/>
  <c r="BT32" i="148"/>
  <c r="BQ32" i="149" s="1"/>
  <c r="F32" i="148"/>
  <c r="BG32" i="148"/>
  <c r="BD32" i="149" s="1"/>
  <c r="D32" i="148"/>
  <c r="Q57" i="148"/>
  <c r="BN57" i="148"/>
  <c r="BK57" i="149" s="1"/>
  <c r="CZ57" i="148"/>
  <c r="CW57" i="149" s="1"/>
  <c r="G57" i="148"/>
  <c r="CN57" i="148"/>
  <c r="CK57" i="149" s="1"/>
  <c r="BD57" i="148"/>
  <c r="BA57" i="149" s="1"/>
  <c r="BH57" i="148"/>
  <c r="BE57" i="149" s="1"/>
  <c r="CX57" i="148"/>
  <c r="CU57" i="149" s="1"/>
  <c r="CF57" i="148"/>
  <c r="CC57" i="149" s="1"/>
  <c r="CD57" i="148"/>
  <c r="CA57" i="149" s="1"/>
  <c r="BQ57" i="148"/>
  <c r="BN57" i="149" s="1"/>
  <c r="BL57" i="148"/>
  <c r="BI57" i="149" s="1"/>
  <c r="CT57" i="148"/>
  <c r="CQ57" i="149" s="1"/>
  <c r="BY57" i="148"/>
  <c r="BV57" i="149" s="1"/>
  <c r="CJ57" i="148"/>
  <c r="CG57" i="149" s="1"/>
  <c r="BE57" i="148"/>
  <c r="BB57" i="149" s="1"/>
  <c r="BK57" i="148"/>
  <c r="BH57" i="149" s="1"/>
  <c r="CB57" i="148"/>
  <c r="BY57" i="149" s="1"/>
  <c r="CP57" i="148"/>
  <c r="CM57" i="149" s="1"/>
  <c r="CH57" i="148"/>
  <c r="CE57" i="149" s="1"/>
  <c r="BP57" i="148"/>
  <c r="BM57" i="149" s="1"/>
  <c r="BO57" i="148"/>
  <c r="F57" i="148"/>
  <c r="BZ57" i="148"/>
  <c r="BW57" i="149" s="1"/>
  <c r="CY57" i="148"/>
  <c r="CV57" i="149" s="1"/>
  <c r="CV57" i="148"/>
  <c r="CS57" i="149" s="1"/>
  <c r="BG57" i="148"/>
  <c r="BD57" i="149" s="1"/>
  <c r="BJ57" i="148"/>
  <c r="BG57" i="149" s="1"/>
  <c r="H57" i="148"/>
  <c r="CU57" i="148"/>
  <c r="CR57" i="149" s="1"/>
  <c r="CK57" i="148"/>
  <c r="CH57" i="149" s="1"/>
  <c r="BF57" i="148"/>
  <c r="BC57" i="149" s="1"/>
  <c r="BU57" i="148"/>
  <c r="BR57" i="149" s="1"/>
  <c r="AZ57" i="148"/>
  <c r="AW57" i="149" s="1"/>
  <c r="E57" i="148"/>
  <c r="CG57" i="148"/>
  <c r="CD57" i="149" s="1"/>
  <c r="CE57" i="148"/>
  <c r="CB57" i="149" s="1"/>
  <c r="AW57" i="148"/>
  <c r="AT57" i="149" s="1"/>
  <c r="AY57" i="148"/>
  <c r="AV57" i="149" s="1"/>
  <c r="BC57" i="148"/>
  <c r="AZ57" i="149" s="1"/>
  <c r="R57" i="148"/>
  <c r="CC57" i="148"/>
  <c r="BZ57" i="149" s="1"/>
  <c r="CO57" i="148"/>
  <c r="CL57" i="149" s="1"/>
  <c r="BT57" i="148"/>
  <c r="BQ57" i="149" s="1"/>
  <c r="AV57" i="148"/>
  <c r="AS57" i="149" s="1"/>
  <c r="BB57" i="148"/>
  <c r="AY57" i="149" s="1"/>
  <c r="I57" i="148"/>
  <c r="CL57" i="148"/>
  <c r="CI57" i="149" s="1"/>
  <c r="BX57" i="148"/>
  <c r="BU57" i="149" s="1"/>
  <c r="AX57" i="148"/>
  <c r="AU57" i="149" s="1"/>
  <c r="BR57" i="148"/>
  <c r="BO57" i="149" s="1"/>
  <c r="BA57" i="148"/>
  <c r="AX57" i="149" s="1"/>
  <c r="V57" i="148"/>
  <c r="CR57" i="148"/>
  <c r="CO57" i="149" s="1"/>
  <c r="CS57" i="148"/>
  <c r="CP57" i="149" s="1"/>
  <c r="BW57" i="148"/>
  <c r="BT57" i="149" s="1"/>
  <c r="BM57" i="148"/>
  <c r="BJ57" i="149" s="1"/>
  <c r="CQ57" i="148"/>
  <c r="CN57" i="149" s="1"/>
  <c r="CM57" i="148"/>
  <c r="CJ57" i="149" s="1"/>
  <c r="CI57" i="148"/>
  <c r="CF57" i="149" s="1"/>
  <c r="BV57" i="148"/>
  <c r="BS57" i="149" s="1"/>
  <c r="BI57" i="148"/>
  <c r="BF57" i="149" s="1"/>
  <c r="DA57" i="148"/>
  <c r="CX57" i="149" s="1"/>
  <c r="CW57" i="148"/>
  <c r="CT57" i="149" s="1"/>
  <c r="CA57" i="148"/>
  <c r="BX57" i="149" s="1"/>
  <c r="BS57" i="148"/>
  <c r="BP57" i="149" s="1"/>
  <c r="D57" i="148"/>
  <c r="DB149" i="149"/>
  <c r="DA149" i="149"/>
  <c r="CZ149" i="149"/>
  <c r="CY149" i="149"/>
  <c r="BE149" i="149"/>
  <c r="BL149" i="149"/>
  <c r="Q93" i="148"/>
  <c r="BF93" i="148"/>
  <c r="BC93" i="149" s="1"/>
  <c r="BQ93" i="148"/>
  <c r="BN93" i="149" s="1"/>
  <c r="BC93" i="148"/>
  <c r="AZ93" i="149" s="1"/>
  <c r="E93" i="148"/>
  <c r="AY93" i="148"/>
  <c r="AV93" i="149" s="1"/>
  <c r="BO93" i="148"/>
  <c r="CV93" i="148"/>
  <c r="CS93" i="149" s="1"/>
  <c r="CU93" i="148"/>
  <c r="CR93" i="149" s="1"/>
  <c r="CI93" i="148"/>
  <c r="CF93" i="149" s="1"/>
  <c r="AX93" i="148"/>
  <c r="AU93" i="149" s="1"/>
  <c r="BJ93" i="148"/>
  <c r="BG93" i="149" s="1"/>
  <c r="BL93" i="148"/>
  <c r="BI93" i="149" s="1"/>
  <c r="CT93" i="148"/>
  <c r="CQ93" i="149" s="1"/>
  <c r="R93" i="148"/>
  <c r="BU93" i="148"/>
  <c r="BR93" i="149" s="1"/>
  <c r="BH93" i="148"/>
  <c r="BE93" i="149" s="1"/>
  <c r="BY93" i="148"/>
  <c r="BV93" i="149" s="1"/>
  <c r="CR93" i="148"/>
  <c r="CO93" i="149" s="1"/>
  <c r="BK93" i="148"/>
  <c r="BH93" i="149" s="1"/>
  <c r="I93" i="148"/>
  <c r="CW93" i="148"/>
  <c r="CT93" i="149" s="1"/>
  <c r="CF93" i="148"/>
  <c r="CC93" i="149" s="1"/>
  <c r="V93" i="148"/>
  <c r="BV93" i="148"/>
  <c r="BS93" i="149" s="1"/>
  <c r="CK93" i="148"/>
  <c r="CH93" i="149" s="1"/>
  <c r="CG93" i="148"/>
  <c r="CD93" i="149" s="1"/>
  <c r="CA93" i="148"/>
  <c r="BX93" i="149" s="1"/>
  <c r="CY93" i="148"/>
  <c r="CV93" i="149" s="1"/>
  <c r="DA93" i="148"/>
  <c r="CX93" i="149" s="1"/>
  <c r="F93" i="148"/>
  <c r="CS93" i="148"/>
  <c r="CP93" i="149" s="1"/>
  <c r="CX93" i="148"/>
  <c r="CU93" i="149" s="1"/>
  <c r="H93" i="148"/>
  <c r="BS93" i="148"/>
  <c r="BP93" i="149" s="1"/>
  <c r="BW93" i="148"/>
  <c r="BT93" i="149" s="1"/>
  <c r="BD93" i="148"/>
  <c r="BA93" i="149" s="1"/>
  <c r="CJ93" i="148"/>
  <c r="CG93" i="149" s="1"/>
  <c r="CN93" i="148"/>
  <c r="CK93" i="149" s="1"/>
  <c r="BT93" i="148"/>
  <c r="BQ93" i="149" s="1"/>
  <c r="BZ93" i="148"/>
  <c r="BW93" i="149" s="1"/>
  <c r="BP93" i="148"/>
  <c r="BM93" i="149" s="1"/>
  <c r="BG93" i="148"/>
  <c r="BD93" i="149" s="1"/>
  <c r="CO93" i="148"/>
  <c r="CL93" i="149" s="1"/>
  <c r="CZ93" i="148"/>
  <c r="CW93" i="149" s="1"/>
  <c r="BN93" i="148"/>
  <c r="BK93" i="149" s="1"/>
  <c r="CP93" i="148"/>
  <c r="CM93" i="149" s="1"/>
  <c r="AV93" i="148"/>
  <c r="AS93" i="149" s="1"/>
  <c r="BM93" i="148"/>
  <c r="BJ93" i="149" s="1"/>
  <c r="CD93" i="148"/>
  <c r="CA93" i="149" s="1"/>
  <c r="AZ93" i="148"/>
  <c r="AW93" i="149" s="1"/>
  <c r="BI93" i="148"/>
  <c r="BF93" i="149" s="1"/>
  <c r="BE93" i="148"/>
  <c r="BB93" i="149" s="1"/>
  <c r="BB93" i="148"/>
  <c r="AY93" i="149" s="1"/>
  <c r="G93" i="148"/>
  <c r="BA93" i="148"/>
  <c r="AX93" i="149" s="1"/>
  <c r="CH93" i="148"/>
  <c r="CE93" i="149" s="1"/>
  <c r="BR93" i="148"/>
  <c r="BO93" i="149" s="1"/>
  <c r="BX93" i="148"/>
  <c r="BU93" i="149" s="1"/>
  <c r="CE93" i="148"/>
  <c r="CB93" i="149" s="1"/>
  <c r="AW93" i="148"/>
  <c r="AT93" i="149" s="1"/>
  <c r="CL93" i="148"/>
  <c r="CI93" i="149" s="1"/>
  <c r="CC93" i="148"/>
  <c r="BZ93" i="149" s="1"/>
  <c r="CQ93" i="148"/>
  <c r="CN93" i="149" s="1"/>
  <c r="CB93" i="148"/>
  <c r="BY93" i="149" s="1"/>
  <c r="CM93" i="148"/>
  <c r="CJ93" i="149" s="1"/>
  <c r="D93" i="148"/>
  <c r="CY150" i="149"/>
  <c r="DA150" i="149"/>
  <c r="CZ150" i="149"/>
  <c r="DB150" i="149"/>
  <c r="BE150" i="149"/>
  <c r="BL150" i="149"/>
  <c r="Q140" i="148"/>
  <c r="BJ140" i="148"/>
  <c r="BG140" i="149" s="1"/>
  <c r="CH140" i="148"/>
  <c r="CE140" i="149" s="1"/>
  <c r="BD140" i="148"/>
  <c r="BA140" i="149" s="1"/>
  <c r="AO140" i="148"/>
  <c r="AL140" i="149" s="1"/>
  <c r="J140" i="148"/>
  <c r="BF140" i="148"/>
  <c r="BC140" i="149" s="1"/>
  <c r="BS140" i="148"/>
  <c r="BP140" i="149" s="1"/>
  <c r="CT140" i="148"/>
  <c r="CQ140" i="149" s="1"/>
  <c r="AH140" i="148"/>
  <c r="AE140" i="149" s="1"/>
  <c r="BY140" i="148"/>
  <c r="BV140" i="149" s="1"/>
  <c r="CO140" i="148"/>
  <c r="CL140" i="149" s="1"/>
  <c r="AT140" i="148"/>
  <c r="AQ140" i="149" s="1"/>
  <c r="AM140" i="148"/>
  <c r="AJ140" i="149" s="1"/>
  <c r="CQ140" i="148"/>
  <c r="CN140" i="149" s="1"/>
  <c r="AK140" i="148"/>
  <c r="AH140" i="149" s="1"/>
  <c r="AD140" i="148"/>
  <c r="AA140" i="149" s="1"/>
  <c r="CG140" i="148"/>
  <c r="CD140" i="149" s="1"/>
  <c r="BK140" i="148"/>
  <c r="BH140" i="149" s="1"/>
  <c r="CC140" i="148"/>
  <c r="BZ140" i="149" s="1"/>
  <c r="CN140" i="148"/>
  <c r="CK140" i="149" s="1"/>
  <c r="I140" i="148"/>
  <c r="F140" i="148"/>
  <c r="CU140" i="148"/>
  <c r="CR140" i="149" s="1"/>
  <c r="AC140" i="148"/>
  <c r="Z140" i="149" s="1"/>
  <c r="BO140" i="148"/>
  <c r="P140" i="148"/>
  <c r="CB140" i="148"/>
  <c r="BY140" i="149" s="1"/>
  <c r="BR140" i="148"/>
  <c r="BO140" i="149" s="1"/>
  <c r="BG140" i="148"/>
  <c r="BD140" i="149" s="1"/>
  <c r="AY140" i="148"/>
  <c r="AV140" i="149" s="1"/>
  <c r="BL140" i="148"/>
  <c r="BI140" i="149" s="1"/>
  <c r="AN140" i="148"/>
  <c r="AK140" i="149" s="1"/>
  <c r="AL140" i="148"/>
  <c r="AI140" i="149" s="1"/>
  <c r="AF140" i="148"/>
  <c r="AC140" i="149" s="1"/>
  <c r="BX140" i="148"/>
  <c r="BU140" i="149" s="1"/>
  <c r="CY140" i="148"/>
  <c r="CV140" i="149" s="1"/>
  <c r="BC140" i="148"/>
  <c r="AZ140" i="149" s="1"/>
  <c r="BE140" i="148"/>
  <c r="BB140" i="149" s="1"/>
  <c r="K140" i="148"/>
  <c r="CA140" i="148"/>
  <c r="BX140" i="149" s="1"/>
  <c r="CL140" i="148"/>
  <c r="CI140" i="149" s="1"/>
  <c r="CI140" i="148"/>
  <c r="CF140" i="149" s="1"/>
  <c r="BN140" i="148"/>
  <c r="BK140" i="149" s="1"/>
  <c r="L140" i="148"/>
  <c r="BT140" i="148"/>
  <c r="BQ140" i="149" s="1"/>
  <c r="CF140" i="148"/>
  <c r="CC140" i="149" s="1"/>
  <c r="CR140" i="148"/>
  <c r="CO140" i="149" s="1"/>
  <c r="BU140" i="148"/>
  <c r="BR140" i="149" s="1"/>
  <c r="BI140" i="148"/>
  <c r="BF140" i="149" s="1"/>
  <c r="BQ140" i="148"/>
  <c r="BN140" i="149" s="1"/>
  <c r="CV140" i="148"/>
  <c r="CS140" i="149" s="1"/>
  <c r="R140" i="148"/>
  <c r="AJ140" i="148"/>
  <c r="AG140" i="149" s="1"/>
  <c r="Y140" i="148"/>
  <c r="V140" i="149" s="1"/>
  <c r="BH140" i="148"/>
  <c r="CE140" i="148"/>
  <c r="CB140" i="149" s="1"/>
  <c r="AU140" i="148"/>
  <c r="AR140" i="149" s="1"/>
  <c r="BB140" i="148"/>
  <c r="AY140" i="149" s="1"/>
  <c r="CP140" i="148"/>
  <c r="CM140" i="149" s="1"/>
  <c r="DA140" i="148"/>
  <c r="CX140" i="149" s="1"/>
  <c r="W140" i="148"/>
  <c r="BA140" i="148"/>
  <c r="AX140" i="149" s="1"/>
  <c r="Z140" i="148"/>
  <c r="W140" i="149" s="1"/>
  <c r="BZ140" i="148"/>
  <c r="BW140" i="149" s="1"/>
  <c r="CM140" i="148"/>
  <c r="CJ140" i="149" s="1"/>
  <c r="G140" i="148"/>
  <c r="U140" i="148"/>
  <c r="AP140" i="148"/>
  <c r="AM140" i="149" s="1"/>
  <c r="E140" i="148"/>
  <c r="CD140" i="148"/>
  <c r="CA140" i="149" s="1"/>
  <c r="CK140" i="148"/>
  <c r="CH140" i="149" s="1"/>
  <c r="BV140" i="148"/>
  <c r="BS140" i="149" s="1"/>
  <c r="AE140" i="148"/>
  <c r="AB140" i="149" s="1"/>
  <c r="X140" i="148"/>
  <c r="U140" i="149" s="1"/>
  <c r="AS140" i="148"/>
  <c r="AP140" i="149" s="1"/>
  <c r="CS140" i="148"/>
  <c r="CP140" i="149" s="1"/>
  <c r="V140" i="148"/>
  <c r="BP140" i="148"/>
  <c r="BM140" i="149" s="1"/>
  <c r="AV140" i="148"/>
  <c r="AS140" i="149" s="1"/>
  <c r="CJ140" i="148"/>
  <c r="CG140" i="149" s="1"/>
  <c r="BM140" i="148"/>
  <c r="BJ140" i="149" s="1"/>
  <c r="BW140" i="148"/>
  <c r="BT140" i="149" s="1"/>
  <c r="AI140" i="148"/>
  <c r="AF140" i="149" s="1"/>
  <c r="H140" i="148"/>
  <c r="CX140" i="148"/>
  <c r="CU140" i="149" s="1"/>
  <c r="CW140" i="148"/>
  <c r="CT140" i="149" s="1"/>
  <c r="CZ140" i="148"/>
  <c r="CW140" i="149" s="1"/>
  <c r="AG140" i="148"/>
  <c r="AD140" i="149" s="1"/>
  <c r="O140" i="148"/>
  <c r="N140" i="148"/>
  <c r="AB140" i="148"/>
  <c r="Y140" i="149" s="1"/>
  <c r="AZ140" i="148"/>
  <c r="AW140" i="149" s="1"/>
  <c r="AX140" i="148"/>
  <c r="AU140" i="149" s="1"/>
  <c r="AA140" i="148"/>
  <c r="X140" i="149" s="1"/>
  <c r="AQ140" i="148"/>
  <c r="AN140" i="149" s="1"/>
  <c r="AW140" i="148"/>
  <c r="AT140" i="149" s="1"/>
  <c r="AR140" i="148"/>
  <c r="AO140" i="149" s="1"/>
  <c r="M140" i="148"/>
  <c r="D140" i="148"/>
  <c r="DB105" i="149"/>
  <c r="CY105" i="149"/>
  <c r="DA105" i="149"/>
  <c r="CZ105" i="149"/>
  <c r="BL105" i="149"/>
  <c r="CY117" i="149"/>
  <c r="CZ117" i="149"/>
  <c r="DB117" i="149"/>
  <c r="DA117" i="149"/>
  <c r="BE117" i="149"/>
  <c r="BL117" i="149"/>
  <c r="Q105" i="148"/>
  <c r="V105" i="148"/>
  <c r="I105" i="148"/>
  <c r="H105" i="148"/>
  <c r="E105" i="148"/>
  <c r="F105" i="148"/>
  <c r="R105" i="148"/>
  <c r="CR105" i="148"/>
  <c r="CO105" i="149" s="1"/>
  <c r="CN105" i="148"/>
  <c r="CK105" i="149" s="1"/>
  <c r="CJ105" i="148"/>
  <c r="CG105" i="149" s="1"/>
  <c r="CI105" i="148"/>
  <c r="CF105" i="149" s="1"/>
  <c r="AX105" i="148"/>
  <c r="AU105" i="149" s="1"/>
  <c r="CV105" i="148"/>
  <c r="CS105" i="149" s="1"/>
  <c r="DA105" i="148"/>
  <c r="CX105" i="149" s="1"/>
  <c r="CQ105" i="148"/>
  <c r="CN105" i="149" s="1"/>
  <c r="BC105" i="148"/>
  <c r="AZ105" i="149" s="1"/>
  <c r="BN105" i="148"/>
  <c r="BK105" i="149" s="1"/>
  <c r="CX105" i="148"/>
  <c r="CU105" i="149" s="1"/>
  <c r="BB105" i="148"/>
  <c r="AY105" i="149" s="1"/>
  <c r="CW105" i="148"/>
  <c r="CT105" i="149" s="1"/>
  <c r="CF105" i="148"/>
  <c r="CC105" i="149" s="1"/>
  <c r="D105" i="148"/>
  <c r="CE105" i="148"/>
  <c r="CB105" i="149" s="1"/>
  <c r="BZ105" i="148"/>
  <c r="BW105" i="149" s="1"/>
  <c r="CM105" i="148"/>
  <c r="CJ105" i="149" s="1"/>
  <c r="BJ105" i="148"/>
  <c r="BG105" i="149" s="1"/>
  <c r="BX105" i="148"/>
  <c r="BU105" i="149" s="1"/>
  <c r="BU105" i="148"/>
  <c r="BR105" i="149" s="1"/>
  <c r="BF105" i="148"/>
  <c r="BC105" i="149" s="1"/>
  <c r="CB105" i="148"/>
  <c r="BY105" i="149" s="1"/>
  <c r="CO105" i="148"/>
  <c r="CL105" i="149" s="1"/>
  <c r="BA105" i="148"/>
  <c r="AX105" i="149" s="1"/>
  <c r="CG105" i="148"/>
  <c r="CD105" i="149" s="1"/>
  <c r="BP105" i="148"/>
  <c r="BM105" i="149" s="1"/>
  <c r="CP105" i="148"/>
  <c r="CM105" i="149" s="1"/>
  <c r="BQ105" i="148"/>
  <c r="BN105" i="149" s="1"/>
  <c r="BD105" i="148"/>
  <c r="BA105" i="149" s="1"/>
  <c r="BM105" i="148"/>
  <c r="BJ105" i="149" s="1"/>
  <c r="BE105" i="148"/>
  <c r="BB105" i="149" s="1"/>
  <c r="CT105" i="148"/>
  <c r="CQ105" i="149" s="1"/>
  <c r="CZ105" i="148"/>
  <c r="CW105" i="149" s="1"/>
  <c r="CK105" i="148"/>
  <c r="CH105" i="149" s="1"/>
  <c r="CD105" i="148"/>
  <c r="CA105" i="149" s="1"/>
  <c r="AW105" i="148"/>
  <c r="AT105" i="149" s="1"/>
  <c r="AY105" i="148"/>
  <c r="AV105" i="149" s="1"/>
  <c r="BI105" i="148"/>
  <c r="BF105" i="149" s="1"/>
  <c r="BG105" i="148"/>
  <c r="BD105" i="149" s="1"/>
  <c r="AV105" i="148"/>
  <c r="AS105" i="149" s="1"/>
  <c r="BV105" i="148"/>
  <c r="BS105" i="149" s="1"/>
  <c r="BK105" i="148"/>
  <c r="BH105" i="149" s="1"/>
  <c r="BT105" i="148"/>
  <c r="BQ105" i="149" s="1"/>
  <c r="CH105" i="148"/>
  <c r="CE105" i="149" s="1"/>
  <c r="AZ105" i="148"/>
  <c r="AW105" i="149" s="1"/>
  <c r="BL105" i="148"/>
  <c r="BI105" i="149" s="1"/>
  <c r="BS105" i="148"/>
  <c r="BP105" i="149" s="1"/>
  <c r="BW105" i="148"/>
  <c r="BT105" i="149" s="1"/>
  <c r="CC105" i="148"/>
  <c r="BZ105" i="149" s="1"/>
  <c r="CY105" i="148"/>
  <c r="CV105" i="149" s="1"/>
  <c r="BR105" i="148"/>
  <c r="BO105" i="149" s="1"/>
  <c r="BY105" i="148"/>
  <c r="BV105" i="149" s="1"/>
  <c r="CU105" i="148"/>
  <c r="CR105" i="149" s="1"/>
  <c r="BH105" i="148"/>
  <c r="BE105" i="149" s="1"/>
  <c r="CL105" i="148"/>
  <c r="CI105" i="149" s="1"/>
  <c r="CA105" i="148"/>
  <c r="BX105" i="149" s="1"/>
  <c r="BO105" i="148"/>
  <c r="CS105" i="148"/>
  <c r="CP105" i="149" s="1"/>
  <c r="G105" i="148"/>
  <c r="DA112" i="149"/>
  <c r="CZ112" i="149"/>
  <c r="CY112" i="149"/>
  <c r="DB112" i="149"/>
  <c r="BL112" i="149"/>
  <c r="CY114" i="149"/>
  <c r="DA114" i="149"/>
  <c r="CZ114" i="149"/>
  <c r="DB114" i="149"/>
  <c r="BE114" i="149"/>
  <c r="DB98" i="149"/>
  <c r="DA98" i="149"/>
  <c r="CY98" i="149"/>
  <c r="CZ98" i="149"/>
  <c r="BL98" i="149"/>
  <c r="DB130" i="149"/>
  <c r="DA130" i="149"/>
  <c r="CY130" i="149"/>
  <c r="CZ130" i="149"/>
  <c r="BE130" i="149"/>
  <c r="DB45" i="149"/>
  <c r="CZ45" i="149"/>
  <c r="DA45" i="149"/>
  <c r="CY45" i="149"/>
  <c r="BL45" i="149"/>
  <c r="CY131" i="149"/>
  <c r="DA131" i="149"/>
  <c r="DB131" i="149"/>
  <c r="CZ131" i="149"/>
  <c r="BL131" i="149"/>
  <c r="Q61" i="148"/>
  <c r="I61" i="148"/>
  <c r="CO61" i="148"/>
  <c r="CL61" i="149" s="1"/>
  <c r="CZ61" i="148"/>
  <c r="CW61" i="149" s="1"/>
  <c r="CT61" i="148"/>
  <c r="CQ61" i="149" s="1"/>
  <c r="E61" i="148"/>
  <c r="CP61" i="148"/>
  <c r="CM61" i="149" s="1"/>
  <c r="BX61" i="148"/>
  <c r="BU61" i="149" s="1"/>
  <c r="V61" i="148"/>
  <c r="CS61" i="148"/>
  <c r="CP61" i="149" s="1"/>
  <c r="CY61" i="148"/>
  <c r="CV61" i="149" s="1"/>
  <c r="R61" i="148"/>
  <c r="CN61" i="148"/>
  <c r="CK61" i="149" s="1"/>
  <c r="CF61" i="148"/>
  <c r="CC61" i="149" s="1"/>
  <c r="H61" i="148"/>
  <c r="CB61" i="148"/>
  <c r="BY61" i="149" s="1"/>
  <c r="CX61" i="148"/>
  <c r="CU61" i="149" s="1"/>
  <c r="F61" i="148"/>
  <c r="DA61" i="148"/>
  <c r="CX61" i="149" s="1"/>
  <c r="CW61" i="148"/>
  <c r="CT61" i="149" s="1"/>
  <c r="CJ61" i="148"/>
  <c r="CG61" i="149" s="1"/>
  <c r="BY61" i="148"/>
  <c r="BV61" i="149" s="1"/>
  <c r="CR61" i="148"/>
  <c r="CO61" i="149" s="1"/>
  <c r="CL61" i="148"/>
  <c r="CI61" i="149" s="1"/>
  <c r="G61" i="148"/>
  <c r="CD61" i="148"/>
  <c r="CA61" i="149" s="1"/>
  <c r="CH61" i="148"/>
  <c r="CE61" i="149" s="1"/>
  <c r="CC61" i="148"/>
  <c r="BZ61" i="149" s="1"/>
  <c r="CI61" i="148"/>
  <c r="CF61" i="149" s="1"/>
  <c r="BZ61" i="148"/>
  <c r="BW61" i="149" s="1"/>
  <c r="CA61" i="148"/>
  <c r="BX61" i="149" s="1"/>
  <c r="CQ61" i="148"/>
  <c r="CN61" i="149" s="1"/>
  <c r="CK61" i="148"/>
  <c r="CH61" i="149" s="1"/>
  <c r="CG61" i="148"/>
  <c r="CD61" i="149" s="1"/>
  <c r="CU61" i="148"/>
  <c r="CR61" i="149" s="1"/>
  <c r="CE61" i="148"/>
  <c r="CB61" i="149" s="1"/>
  <c r="CM61" i="148"/>
  <c r="CJ61" i="149" s="1"/>
  <c r="CV61" i="148"/>
  <c r="CS61" i="149" s="1"/>
  <c r="BV61" i="148"/>
  <c r="BS61" i="149" s="1"/>
  <c r="BA61" i="148"/>
  <c r="AX61" i="149" s="1"/>
  <c r="AV61" i="148"/>
  <c r="AS61" i="149" s="1"/>
  <c r="AY61" i="148"/>
  <c r="AV61" i="149" s="1"/>
  <c r="BK61" i="148"/>
  <c r="BH61" i="149" s="1"/>
  <c r="BP61" i="148"/>
  <c r="BM61" i="149" s="1"/>
  <c r="BG61" i="148"/>
  <c r="BD61" i="149" s="1"/>
  <c r="BT61" i="148"/>
  <c r="BQ61" i="149" s="1"/>
  <c r="AZ61" i="148"/>
  <c r="AW61" i="149" s="1"/>
  <c r="AX61" i="148"/>
  <c r="AU61" i="149" s="1"/>
  <c r="BQ61" i="148"/>
  <c r="BN61" i="149" s="1"/>
  <c r="BI61" i="148"/>
  <c r="BF61" i="149" s="1"/>
  <c r="BJ61" i="148"/>
  <c r="BG61" i="149" s="1"/>
  <c r="BR61" i="148"/>
  <c r="BO61" i="149" s="1"/>
  <c r="BH61" i="148"/>
  <c r="BE61" i="149" s="1"/>
  <c r="BM61" i="148"/>
  <c r="BJ61" i="149" s="1"/>
  <c r="BL61" i="148"/>
  <c r="BI61" i="149" s="1"/>
  <c r="BB61" i="148"/>
  <c r="AY61" i="149" s="1"/>
  <c r="BF61" i="148"/>
  <c r="BC61" i="149" s="1"/>
  <c r="BO61" i="148"/>
  <c r="BE61" i="148"/>
  <c r="BB61" i="149" s="1"/>
  <c r="BS61" i="148"/>
  <c r="BP61" i="149" s="1"/>
  <c r="BC61" i="148"/>
  <c r="AZ61" i="149" s="1"/>
  <c r="D61" i="148"/>
  <c r="BN61" i="148"/>
  <c r="BK61" i="149" s="1"/>
  <c r="CZ86" i="149"/>
  <c r="DA86" i="149"/>
  <c r="CY86" i="149"/>
  <c r="DB86" i="149"/>
  <c r="BL86" i="149"/>
  <c r="DB21" i="149"/>
  <c r="CZ21" i="149"/>
  <c r="DA21" i="149"/>
  <c r="BL21" i="149"/>
  <c r="CZ56" i="149"/>
  <c r="DB56" i="149"/>
  <c r="DA56" i="149"/>
  <c r="BL56" i="149"/>
  <c r="DB106" i="149"/>
  <c r="CZ106" i="149"/>
  <c r="CY106" i="149"/>
  <c r="DA106" i="149"/>
  <c r="BL106" i="149"/>
  <c r="H11" i="151"/>
  <c r="P11" i="151"/>
  <c r="G11" i="151"/>
  <c r="D11" i="151"/>
  <c r="E11" i="151"/>
  <c r="R11" i="151"/>
  <c r="CN11" i="151"/>
  <c r="CA11" i="151"/>
  <c r="BU11" i="151"/>
  <c r="CO11" i="151"/>
  <c r="BW11" i="151"/>
  <c r="CK11" i="151"/>
  <c r="CQ11" i="151"/>
  <c r="BY11" i="151"/>
  <c r="BT11" i="151"/>
  <c r="CW11" i="151"/>
  <c r="CV11" i="151"/>
  <c r="CU11" i="151"/>
  <c r="CM11" i="151"/>
  <c r="CB11" i="151"/>
  <c r="CG11" i="151"/>
  <c r="CP11" i="151"/>
  <c r="CE11" i="151"/>
  <c r="CR11" i="151"/>
  <c r="CJ11" i="151"/>
  <c r="BV11" i="151"/>
  <c r="CS11" i="151"/>
  <c r="CD11" i="151"/>
  <c r="F11" i="151"/>
  <c r="CT11" i="151"/>
  <c r="BX11" i="151"/>
  <c r="CL11" i="151"/>
  <c r="CH11" i="151"/>
  <c r="CI11" i="151"/>
  <c r="CF11" i="151"/>
  <c r="BZ11" i="151"/>
  <c r="CC11" i="151"/>
  <c r="AR11" i="151"/>
  <c r="BR11" i="151"/>
  <c r="BK11" i="151"/>
  <c r="BM11" i="151"/>
  <c r="AW11" i="151"/>
  <c r="BG11" i="151"/>
  <c r="AU11" i="151"/>
  <c r="AS11" i="151"/>
  <c r="BD11" i="151"/>
  <c r="AY11" i="151"/>
  <c r="BO11" i="151"/>
  <c r="BJ11" i="151"/>
  <c r="AZ11" i="151"/>
  <c r="BI11" i="151"/>
  <c r="BF11" i="151"/>
  <c r="BH11" i="151"/>
  <c r="BB11" i="151"/>
  <c r="BC11" i="151"/>
  <c r="BP11" i="151"/>
  <c r="BN11" i="151"/>
  <c r="AT11" i="151"/>
  <c r="AV11" i="151"/>
  <c r="BA11" i="151"/>
  <c r="AX11" i="151"/>
  <c r="R7" i="153"/>
  <c r="P7" i="153"/>
  <c r="G7" i="153"/>
  <c r="D7" i="153"/>
  <c r="E7" i="153"/>
  <c r="H7" i="153"/>
  <c r="C7" i="153"/>
  <c r="CL7" i="153"/>
  <c r="CC7" i="153"/>
  <c r="CM7" i="153"/>
  <c r="CB7" i="153"/>
  <c r="BZ7" i="153"/>
  <c r="CS7" i="153"/>
  <c r="CJ7" i="153"/>
  <c r="CA7" i="153"/>
  <c r="CR7" i="153"/>
  <c r="BT7" i="153"/>
  <c r="CI7" i="153"/>
  <c r="CF7" i="153"/>
  <c r="CV7" i="153"/>
  <c r="F7" i="153"/>
  <c r="CT7" i="153"/>
  <c r="BX7" i="153"/>
  <c r="CH7" i="153"/>
  <c r="CG7" i="153"/>
  <c r="BU7" i="153"/>
  <c r="CQ7" i="153"/>
  <c r="CO7" i="153"/>
  <c r="CW7" i="153"/>
  <c r="CU7" i="153"/>
  <c r="CN7" i="153"/>
  <c r="CP7" i="153"/>
  <c r="CK7" i="153"/>
  <c r="BV7" i="153"/>
  <c r="CD7" i="153"/>
  <c r="BW7" i="153"/>
  <c r="CE7" i="153"/>
  <c r="BY7" i="153"/>
  <c r="BI7" i="153"/>
  <c r="BS7" i="153"/>
  <c r="AW7" i="153"/>
  <c r="BQ7" i="153"/>
  <c r="BH7" i="153"/>
  <c r="AY7" i="153"/>
  <c r="BB7" i="153"/>
  <c r="AV7" i="153"/>
  <c r="BN7" i="153"/>
  <c r="BM7" i="153"/>
  <c r="BK7" i="153"/>
  <c r="AX7" i="153"/>
  <c r="BE7" i="153"/>
  <c r="BF7" i="153"/>
  <c r="AS7" i="153"/>
  <c r="BO7" i="153"/>
  <c r="AU7" i="153"/>
  <c r="BP7" i="153"/>
  <c r="BR7" i="153"/>
  <c r="BG7" i="153"/>
  <c r="AR7" i="153"/>
  <c r="BC7" i="153"/>
  <c r="BD7" i="153"/>
  <c r="BL7" i="153"/>
  <c r="AT7" i="153"/>
  <c r="AZ7" i="153"/>
  <c r="BA7" i="153"/>
  <c r="BJ7" i="153"/>
  <c r="D8" i="151"/>
  <c r="H8" i="151"/>
  <c r="R8" i="151"/>
  <c r="P8" i="151"/>
  <c r="G8" i="151"/>
  <c r="CV8" i="151"/>
  <c r="BY8" i="151"/>
  <c r="CA8" i="151"/>
  <c r="CJ8" i="151"/>
  <c r="BX8" i="151"/>
  <c r="CO8" i="151"/>
  <c r="CS8" i="151"/>
  <c r="CB8" i="151"/>
  <c r="CE8" i="151"/>
  <c r="CC8" i="151"/>
  <c r="CP8" i="151"/>
  <c r="CD8" i="151"/>
  <c r="CL8" i="151"/>
  <c r="BV8" i="151"/>
  <c r="CM8" i="151"/>
  <c r="CI8" i="151"/>
  <c r="CG8" i="151"/>
  <c r="CR8" i="151"/>
  <c r="F8" i="151"/>
  <c r="BW8" i="151"/>
  <c r="BU8" i="151"/>
  <c r="CF8" i="151"/>
  <c r="CK8" i="151"/>
  <c r="CU8" i="151"/>
  <c r="CN8" i="151"/>
  <c r="BZ8" i="151"/>
  <c r="CH8" i="151"/>
  <c r="BT8" i="151"/>
  <c r="CW8" i="151"/>
  <c r="CQ8" i="151"/>
  <c r="CT8" i="151"/>
  <c r="AU8" i="151"/>
  <c r="BR8" i="151"/>
  <c r="BS8" i="151"/>
  <c r="AX8" i="151"/>
  <c r="BQ8" i="151"/>
  <c r="BM8" i="151"/>
  <c r="AV8" i="151"/>
  <c r="AS8" i="151"/>
  <c r="BL8" i="151"/>
  <c r="BK8" i="151"/>
  <c r="BJ8" i="151"/>
  <c r="AT8" i="151"/>
  <c r="BG8" i="151"/>
  <c r="BE8" i="151"/>
  <c r="BP8" i="151"/>
  <c r="BH8" i="151"/>
  <c r="BF8" i="151"/>
  <c r="BB8" i="151"/>
  <c r="BI8" i="151"/>
  <c r="AZ8" i="151"/>
  <c r="BO8" i="151"/>
  <c r="BD8" i="151"/>
  <c r="BN8" i="151"/>
  <c r="AW8" i="151"/>
  <c r="AY8" i="151"/>
  <c r="BA8" i="151"/>
  <c r="AR8" i="151"/>
  <c r="BC8" i="151"/>
  <c r="H13" i="151"/>
  <c r="R13" i="151"/>
  <c r="E13" i="151"/>
  <c r="G13" i="151"/>
  <c r="D13" i="151"/>
  <c r="P13" i="151"/>
  <c r="CS13" i="151"/>
  <c r="CQ13" i="151"/>
  <c r="CG13" i="151"/>
  <c r="BU13" i="151"/>
  <c r="CM13" i="151"/>
  <c r="CO13" i="151"/>
  <c r="BW13" i="151"/>
  <c r="BV13" i="151"/>
  <c r="CJ13" i="151"/>
  <c r="CB13" i="151"/>
  <c r="BT13" i="151"/>
  <c r="CK13" i="151"/>
  <c r="BZ13" i="151"/>
  <c r="CP13" i="151"/>
  <c r="BY13" i="151"/>
  <c r="CU13" i="151"/>
  <c r="CW13" i="151"/>
  <c r="CT13" i="151"/>
  <c r="CV13" i="151"/>
  <c r="CH13" i="151"/>
  <c r="BX13" i="151"/>
  <c r="CE13" i="151"/>
  <c r="CD13" i="151"/>
  <c r="CC13" i="151"/>
  <c r="F13" i="151"/>
  <c r="CF13" i="151"/>
  <c r="CN13" i="151"/>
  <c r="CR13" i="151"/>
  <c r="CA13" i="151"/>
  <c r="CL13" i="151"/>
  <c r="CI13" i="151"/>
  <c r="BP13" i="151"/>
  <c r="BJ13" i="151"/>
  <c r="AS13" i="151"/>
  <c r="BK13" i="151"/>
  <c r="BQ13" i="151"/>
  <c r="BG13" i="151"/>
  <c r="BS13" i="151"/>
  <c r="BF13" i="151"/>
  <c r="AV13" i="151"/>
  <c r="BO13" i="151"/>
  <c r="AU13" i="151"/>
  <c r="AY13" i="151"/>
  <c r="BB13" i="151"/>
  <c r="BR13" i="151"/>
  <c r="AW13" i="151"/>
  <c r="AX13" i="151"/>
  <c r="BE13" i="151"/>
  <c r="BI13" i="151"/>
  <c r="BH13" i="151"/>
  <c r="BD13" i="151"/>
  <c r="BN13" i="151"/>
  <c r="AR13" i="151"/>
  <c r="AZ13" i="151"/>
  <c r="BC13" i="151"/>
  <c r="BA13" i="151"/>
  <c r="BL13" i="151"/>
  <c r="AT13" i="151"/>
  <c r="BM13" i="151"/>
  <c r="P33" i="151"/>
  <c r="E33" i="151"/>
  <c r="R33" i="151"/>
  <c r="H33" i="151"/>
  <c r="G33" i="151"/>
  <c r="D33" i="151"/>
  <c r="CM33" i="151"/>
  <c r="CN33" i="151"/>
  <c r="CG33" i="151"/>
  <c r="CP33" i="151"/>
  <c r="CW33" i="151"/>
  <c r="CO33" i="151"/>
  <c r="CI33" i="151"/>
  <c r="CE33" i="151"/>
  <c r="CV33" i="151"/>
  <c r="BZ33" i="151"/>
  <c r="CD33" i="151"/>
  <c r="CQ33" i="151"/>
  <c r="CH33" i="151"/>
  <c r="BU33" i="151"/>
  <c r="CC33" i="151"/>
  <c r="CR33" i="151"/>
  <c r="BT33" i="151"/>
  <c r="BY33" i="151"/>
  <c r="CA33" i="151"/>
  <c r="CU33" i="151"/>
  <c r="CT33" i="151"/>
  <c r="BX33" i="151"/>
  <c r="CS33" i="151"/>
  <c r="CF33" i="151"/>
  <c r="CJ33" i="151"/>
  <c r="CK33" i="151"/>
  <c r="CL33" i="151"/>
  <c r="BV33" i="151"/>
  <c r="F33" i="151"/>
  <c r="CB33" i="151"/>
  <c r="BW33" i="151"/>
  <c r="BO33" i="151"/>
  <c r="AS33" i="151"/>
  <c r="AT33" i="151"/>
  <c r="BD33" i="151"/>
  <c r="BJ33" i="151"/>
  <c r="BI33" i="151"/>
  <c r="BR33" i="151"/>
  <c r="AY33" i="151"/>
  <c r="BS33" i="151"/>
  <c r="BH33" i="151"/>
  <c r="BF33" i="151"/>
  <c r="AZ33" i="151"/>
  <c r="AV33" i="151"/>
  <c r="BP33" i="151"/>
  <c r="BG33" i="151"/>
  <c r="BK33" i="151"/>
  <c r="AW33" i="151"/>
  <c r="BN33" i="151"/>
  <c r="BB33" i="151"/>
  <c r="BL33" i="151"/>
  <c r="AR33" i="151"/>
  <c r="BQ33" i="151"/>
  <c r="BE33" i="151"/>
  <c r="BM33" i="151"/>
  <c r="BA33" i="151"/>
  <c r="AX33" i="151"/>
  <c r="BC33" i="151"/>
  <c r="AU33" i="151"/>
  <c r="Q18" i="148"/>
  <c r="CK18" i="148"/>
  <c r="CH18" i="149" s="1"/>
  <c r="G18" i="148"/>
  <c r="BY18" i="148"/>
  <c r="BV18" i="149" s="1"/>
  <c r="BW18" i="148"/>
  <c r="BT18" i="149" s="1"/>
  <c r="CC18" i="148"/>
  <c r="BZ18" i="149" s="1"/>
  <c r="CU18" i="148"/>
  <c r="CR18" i="149" s="1"/>
  <c r="CB18" i="148"/>
  <c r="BY18" i="149" s="1"/>
  <c r="AV18" i="148"/>
  <c r="AS18" i="149" s="1"/>
  <c r="CS18" i="148"/>
  <c r="CP18" i="149" s="1"/>
  <c r="BZ18" i="148"/>
  <c r="BW18" i="149" s="1"/>
  <c r="CL18" i="148"/>
  <c r="CI18" i="149" s="1"/>
  <c r="BS18" i="148"/>
  <c r="BP18" i="149" s="1"/>
  <c r="CE18" i="148"/>
  <c r="CB18" i="149" s="1"/>
  <c r="CH18" i="148"/>
  <c r="CE18" i="149" s="1"/>
  <c r="CI18" i="148"/>
  <c r="CF18" i="149" s="1"/>
  <c r="BP18" i="148"/>
  <c r="BM18" i="149" s="1"/>
  <c r="V18" i="148"/>
  <c r="CZ18" i="148"/>
  <c r="CW18" i="149" s="1"/>
  <c r="BT18" i="148"/>
  <c r="BQ18" i="149" s="1"/>
  <c r="E18" i="148"/>
  <c r="BX18" i="148"/>
  <c r="BU18" i="149" s="1"/>
  <c r="BV18" i="148"/>
  <c r="BS18" i="149" s="1"/>
  <c r="CM18" i="148"/>
  <c r="CJ18" i="149" s="1"/>
  <c r="F18" i="148"/>
  <c r="CR18" i="148"/>
  <c r="CO18" i="149" s="1"/>
  <c r="BQ18" i="148"/>
  <c r="BN18" i="149" s="1"/>
  <c r="CO18" i="148"/>
  <c r="CL18" i="149" s="1"/>
  <c r="R18" i="148"/>
  <c r="CW18" i="148"/>
  <c r="CT18" i="149" s="1"/>
  <c r="BD18" i="148"/>
  <c r="BA18" i="149" s="1"/>
  <c r="CT18" i="148"/>
  <c r="CQ18" i="149" s="1"/>
  <c r="CJ18" i="148"/>
  <c r="CG18" i="149" s="1"/>
  <c r="BR18" i="148"/>
  <c r="BO18" i="149" s="1"/>
  <c r="CP18" i="148"/>
  <c r="CM18" i="149" s="1"/>
  <c r="DA18" i="148"/>
  <c r="CX18" i="149" s="1"/>
  <c r="CG18" i="148"/>
  <c r="CD18" i="149" s="1"/>
  <c r="BF18" i="148"/>
  <c r="BC18" i="149" s="1"/>
  <c r="H18" i="148"/>
  <c r="CD18" i="148"/>
  <c r="CA18" i="149" s="1"/>
  <c r="CX18" i="148"/>
  <c r="CU18" i="149" s="1"/>
  <c r="BG18" i="148"/>
  <c r="BD18" i="149" s="1"/>
  <c r="CF18" i="148"/>
  <c r="CC18" i="149" s="1"/>
  <c r="CA18" i="148"/>
  <c r="BX18" i="149" s="1"/>
  <c r="AY18" i="148"/>
  <c r="AV18" i="149" s="1"/>
  <c r="CV18" i="148"/>
  <c r="CS18" i="149" s="1"/>
  <c r="CN18" i="148"/>
  <c r="CK18" i="149" s="1"/>
  <c r="BU18" i="148"/>
  <c r="BR18" i="149" s="1"/>
  <c r="CY18" i="148"/>
  <c r="CV18" i="149" s="1"/>
  <c r="AW18" i="148"/>
  <c r="AT18" i="149" s="1"/>
  <c r="BE18" i="148"/>
  <c r="BB18" i="149" s="1"/>
  <c r="I18" i="148"/>
  <c r="CQ18" i="148"/>
  <c r="CN18" i="149" s="1"/>
  <c r="AX18" i="148"/>
  <c r="AU18" i="149" s="1"/>
  <c r="BC18" i="148"/>
  <c r="AZ18" i="149" s="1"/>
  <c r="AZ18" i="148"/>
  <c r="AW18" i="149" s="1"/>
  <c r="BA18" i="148"/>
  <c r="AX18" i="149" s="1"/>
  <c r="BJ18" i="148"/>
  <c r="BG18" i="149" s="1"/>
  <c r="BI18" i="148"/>
  <c r="BF18" i="149" s="1"/>
  <c r="BK18" i="148"/>
  <c r="BH18" i="149" s="1"/>
  <c r="BO18" i="148"/>
  <c r="D18" i="148"/>
  <c r="BB18" i="148"/>
  <c r="AY18" i="149" s="1"/>
  <c r="BN18" i="148"/>
  <c r="BK18" i="149" s="1"/>
  <c r="BL18" i="148"/>
  <c r="BI18" i="149" s="1"/>
  <c r="BM18" i="148"/>
  <c r="BJ18" i="149" s="1"/>
  <c r="BH18" i="148"/>
  <c r="DA74" i="149"/>
  <c r="DB74" i="149"/>
  <c r="CZ74" i="149"/>
  <c r="BL74" i="149"/>
  <c r="Q55" i="148"/>
  <c r="BI55" i="148"/>
  <c r="BF55" i="149" s="1"/>
  <c r="V55" i="148"/>
  <c r="CB55" i="148"/>
  <c r="BY55" i="149" s="1"/>
  <c r="CC55" i="148"/>
  <c r="BZ55" i="149" s="1"/>
  <c r="CM55" i="148"/>
  <c r="CJ55" i="149" s="1"/>
  <c r="AW55" i="148"/>
  <c r="AT55" i="149" s="1"/>
  <c r="BH55" i="148"/>
  <c r="BE55" i="149" s="1"/>
  <c r="F55" i="148"/>
  <c r="CL55" i="148"/>
  <c r="CI55" i="149" s="1"/>
  <c r="CR55" i="148"/>
  <c r="CO55" i="149" s="1"/>
  <c r="BG55" i="148"/>
  <c r="BD55" i="149" s="1"/>
  <c r="BL55" i="148"/>
  <c r="BI55" i="149" s="1"/>
  <c r="I55" i="148"/>
  <c r="DA55" i="148"/>
  <c r="CX55" i="149" s="1"/>
  <c r="CZ55" i="148"/>
  <c r="CW55" i="149" s="1"/>
  <c r="BT55" i="148"/>
  <c r="BQ55" i="149" s="1"/>
  <c r="BO55" i="148"/>
  <c r="BJ55" i="148"/>
  <c r="BG55" i="149" s="1"/>
  <c r="CA55" i="148"/>
  <c r="BX55" i="149" s="1"/>
  <c r="CI55" i="148"/>
  <c r="CF55" i="149" s="1"/>
  <c r="CN55" i="148"/>
  <c r="CK55" i="149" s="1"/>
  <c r="BP55" i="148"/>
  <c r="BM55" i="149" s="1"/>
  <c r="AZ55" i="148"/>
  <c r="AW55" i="149" s="1"/>
  <c r="BC55" i="148"/>
  <c r="AZ55" i="149" s="1"/>
  <c r="BZ55" i="148"/>
  <c r="BW55" i="149" s="1"/>
  <c r="CJ55" i="148"/>
  <c r="CG55" i="149" s="1"/>
  <c r="CE55" i="148"/>
  <c r="CB55" i="149" s="1"/>
  <c r="BQ55" i="148"/>
  <c r="BN55" i="149" s="1"/>
  <c r="BB55" i="148"/>
  <c r="AY55" i="149" s="1"/>
  <c r="BX55" i="148"/>
  <c r="BU55" i="149" s="1"/>
  <c r="CG55" i="148"/>
  <c r="CD55" i="149" s="1"/>
  <c r="CD55" i="148"/>
  <c r="CA55" i="149" s="1"/>
  <c r="AY55" i="148"/>
  <c r="AV55" i="149" s="1"/>
  <c r="BA55" i="148"/>
  <c r="AX55" i="149" s="1"/>
  <c r="BM55" i="148"/>
  <c r="BJ55" i="149" s="1"/>
  <c r="CW55" i="148"/>
  <c r="CT55" i="149" s="1"/>
  <c r="CY55" i="148"/>
  <c r="CV55" i="149" s="1"/>
  <c r="CX55" i="148"/>
  <c r="CU55" i="149" s="1"/>
  <c r="BR55" i="148"/>
  <c r="BO55" i="149" s="1"/>
  <c r="CF55" i="148"/>
  <c r="CC55" i="149" s="1"/>
  <c r="BS55" i="148"/>
  <c r="BP55" i="149" s="1"/>
  <c r="CT55" i="148"/>
  <c r="CQ55" i="149" s="1"/>
  <c r="BE55" i="148"/>
  <c r="BB55" i="149" s="1"/>
  <c r="BY55" i="148"/>
  <c r="BV55" i="149" s="1"/>
  <c r="CK55" i="148"/>
  <c r="CH55" i="149" s="1"/>
  <c r="G55" i="148"/>
  <c r="BN55" i="148"/>
  <c r="BK55" i="149" s="1"/>
  <c r="CH55" i="148"/>
  <c r="CE55" i="149" s="1"/>
  <c r="BK55" i="148"/>
  <c r="BH55" i="149" s="1"/>
  <c r="R55" i="148"/>
  <c r="CS55" i="148"/>
  <c r="CP55" i="149" s="1"/>
  <c r="E55" i="148"/>
  <c r="CP55" i="148"/>
  <c r="CM55" i="149" s="1"/>
  <c r="H55" i="148"/>
  <c r="CU55" i="148"/>
  <c r="CR55" i="149" s="1"/>
  <c r="CV55" i="148"/>
  <c r="CS55" i="149" s="1"/>
  <c r="BV55" i="148"/>
  <c r="BS55" i="149" s="1"/>
  <c r="CO55" i="148"/>
  <c r="CL55" i="149" s="1"/>
  <c r="AX55" i="148"/>
  <c r="AU55" i="149" s="1"/>
  <c r="CQ55" i="148"/>
  <c r="CN55" i="149" s="1"/>
  <c r="BF55" i="148"/>
  <c r="BC55" i="149" s="1"/>
  <c r="D55" i="148"/>
  <c r="DB145" i="149"/>
  <c r="CY145" i="149"/>
  <c r="DA145" i="149"/>
  <c r="CZ145" i="149"/>
  <c r="BL145" i="149"/>
  <c r="Q132" i="148"/>
  <c r="CN132" i="148"/>
  <c r="CK132" i="149" s="1"/>
  <c r="BC132" i="148"/>
  <c r="AZ132" i="149" s="1"/>
  <c r="BZ132" i="148"/>
  <c r="BW132" i="149" s="1"/>
  <c r="CX132" i="148"/>
  <c r="CU132" i="149" s="1"/>
  <c r="BX132" i="148"/>
  <c r="BU132" i="149" s="1"/>
  <c r="BV132" i="148"/>
  <c r="BS132" i="149" s="1"/>
  <c r="BI132" i="148"/>
  <c r="BF132" i="149" s="1"/>
  <c r="E132" i="148"/>
  <c r="BT132" i="148"/>
  <c r="BQ132" i="149" s="1"/>
  <c r="AV132" i="148"/>
  <c r="AS132" i="149" s="1"/>
  <c r="R132" i="148"/>
  <c r="BA132" i="148"/>
  <c r="AX132" i="149" s="1"/>
  <c r="CB132" i="148"/>
  <c r="BY132" i="149" s="1"/>
  <c r="CU132" i="148"/>
  <c r="CR132" i="149" s="1"/>
  <c r="G132" i="148"/>
  <c r="BK132" i="148"/>
  <c r="BH132" i="149" s="1"/>
  <c r="BQ132" i="148"/>
  <c r="BN132" i="149" s="1"/>
  <c r="BD132" i="148"/>
  <c r="BA132" i="149" s="1"/>
  <c r="I132" i="148"/>
  <c r="CV132" i="148"/>
  <c r="CS132" i="149" s="1"/>
  <c r="CJ132" i="148"/>
  <c r="CG132" i="149" s="1"/>
  <c r="AZ132" i="148"/>
  <c r="AW132" i="149" s="1"/>
  <c r="AW132" i="148"/>
  <c r="AT132" i="149" s="1"/>
  <c r="CW132" i="148"/>
  <c r="CT132" i="149" s="1"/>
  <c r="BJ132" i="148"/>
  <c r="BG132" i="149" s="1"/>
  <c r="CH132" i="148"/>
  <c r="CE132" i="149" s="1"/>
  <c r="CC132" i="148"/>
  <c r="BZ132" i="149" s="1"/>
  <c r="CI132" i="148"/>
  <c r="CF132" i="149" s="1"/>
  <c r="CS132" i="148"/>
  <c r="CP132" i="149" s="1"/>
  <c r="BS132" i="148"/>
  <c r="BP132" i="149" s="1"/>
  <c r="CP132" i="148"/>
  <c r="CM132" i="149" s="1"/>
  <c r="BY132" i="148"/>
  <c r="BV132" i="149" s="1"/>
  <c r="CD132" i="148"/>
  <c r="CA132" i="149" s="1"/>
  <c r="CG132" i="148"/>
  <c r="CD132" i="149" s="1"/>
  <c r="CZ132" i="148"/>
  <c r="CW132" i="149" s="1"/>
  <c r="BP132" i="148"/>
  <c r="BM132" i="149" s="1"/>
  <c r="F132" i="148"/>
  <c r="BG132" i="148"/>
  <c r="BD132" i="149" s="1"/>
  <c r="CY132" i="148"/>
  <c r="CV132" i="149" s="1"/>
  <c r="CF132" i="148"/>
  <c r="CC132" i="149" s="1"/>
  <c r="CE132" i="148"/>
  <c r="CB132" i="149" s="1"/>
  <c r="CT132" i="148"/>
  <c r="CQ132" i="149" s="1"/>
  <c r="DA132" i="148"/>
  <c r="CX132" i="149" s="1"/>
  <c r="H132" i="148"/>
  <c r="CL132" i="148"/>
  <c r="CI132" i="149" s="1"/>
  <c r="BO132" i="148"/>
  <c r="BU132" i="148"/>
  <c r="BR132" i="149" s="1"/>
  <c r="BM132" i="148"/>
  <c r="BJ132" i="149" s="1"/>
  <c r="CR132" i="148"/>
  <c r="CO132" i="149" s="1"/>
  <c r="BH132" i="148"/>
  <c r="BB132" i="148"/>
  <c r="AY132" i="149" s="1"/>
  <c r="AX132" i="148"/>
  <c r="AU132" i="149" s="1"/>
  <c r="BF132" i="148"/>
  <c r="BC132" i="149" s="1"/>
  <c r="V132" i="148"/>
  <c r="CO132" i="148"/>
  <c r="CL132" i="149" s="1"/>
  <c r="CK132" i="148"/>
  <c r="CH132" i="149" s="1"/>
  <c r="BR132" i="148"/>
  <c r="BO132" i="149" s="1"/>
  <c r="BL132" i="148"/>
  <c r="BI132" i="149" s="1"/>
  <c r="BN132" i="148"/>
  <c r="BK132" i="149" s="1"/>
  <c r="CM132" i="148"/>
  <c r="CJ132" i="149" s="1"/>
  <c r="BE132" i="148"/>
  <c r="BB132" i="149" s="1"/>
  <c r="CQ132" i="148"/>
  <c r="CN132" i="149" s="1"/>
  <c r="CA132" i="148"/>
  <c r="BX132" i="149" s="1"/>
  <c r="AY132" i="148"/>
  <c r="AV132" i="149" s="1"/>
  <c r="BW132" i="148"/>
  <c r="BT132" i="149" s="1"/>
  <c r="D132" i="148"/>
  <c r="DB82" i="149"/>
  <c r="DA82" i="149"/>
  <c r="CZ82" i="149"/>
  <c r="BL82" i="149"/>
  <c r="DB148" i="149"/>
  <c r="DA148" i="149"/>
  <c r="CY148" i="149"/>
  <c r="CZ148" i="149"/>
  <c r="BE148" i="149"/>
  <c r="BL148" i="149"/>
  <c r="Q102" i="148"/>
  <c r="CZ102" i="148"/>
  <c r="CW102" i="149" s="1"/>
  <c r="AW102" i="148"/>
  <c r="AT102" i="149" s="1"/>
  <c r="AY102" i="148"/>
  <c r="AV102" i="149" s="1"/>
  <c r="CM102" i="148"/>
  <c r="CJ102" i="149" s="1"/>
  <c r="BT102" i="148"/>
  <c r="BQ102" i="149" s="1"/>
  <c r="BM102" i="148"/>
  <c r="BJ102" i="149" s="1"/>
  <c r="CT102" i="148"/>
  <c r="CQ102" i="149" s="1"/>
  <c r="BU102" i="148"/>
  <c r="BR102" i="149" s="1"/>
  <c r="CD102" i="148"/>
  <c r="CA102" i="149" s="1"/>
  <c r="CL102" i="148"/>
  <c r="CI102" i="149" s="1"/>
  <c r="BX102" i="148"/>
  <c r="BU102" i="149" s="1"/>
  <c r="AZ102" i="148"/>
  <c r="AW102" i="149" s="1"/>
  <c r="CY102" i="148"/>
  <c r="CV102" i="149" s="1"/>
  <c r="BV102" i="148"/>
  <c r="BS102" i="149" s="1"/>
  <c r="CN102" i="148"/>
  <c r="CK102" i="149" s="1"/>
  <c r="BI102" i="148"/>
  <c r="BF102" i="149" s="1"/>
  <c r="CX102" i="148"/>
  <c r="CU102" i="149" s="1"/>
  <c r="E102" i="148"/>
  <c r="CS102" i="148"/>
  <c r="CP102" i="149" s="1"/>
  <c r="CF102" i="148"/>
  <c r="CC102" i="149" s="1"/>
  <c r="BQ102" i="148"/>
  <c r="BN102" i="149" s="1"/>
  <c r="CW102" i="148"/>
  <c r="CT102" i="149" s="1"/>
  <c r="F102" i="148"/>
  <c r="AV102" i="148"/>
  <c r="AS102" i="149" s="1"/>
  <c r="BK102" i="148"/>
  <c r="BH102" i="149" s="1"/>
  <c r="CO102" i="148"/>
  <c r="CL102" i="149" s="1"/>
  <c r="BW102" i="148"/>
  <c r="BT102" i="149" s="1"/>
  <c r="G102" i="148"/>
  <c r="CA102" i="148"/>
  <c r="BX102" i="149" s="1"/>
  <c r="BH102" i="148"/>
  <c r="BE102" i="149" s="1"/>
  <c r="CP102" i="148"/>
  <c r="CM102" i="149" s="1"/>
  <c r="BR102" i="148"/>
  <c r="BO102" i="149" s="1"/>
  <c r="R102" i="148"/>
  <c r="BP102" i="148"/>
  <c r="BM102" i="149" s="1"/>
  <c r="BC102" i="148"/>
  <c r="AZ102" i="149" s="1"/>
  <c r="CU102" i="148"/>
  <c r="CR102" i="149" s="1"/>
  <c r="BJ102" i="148"/>
  <c r="BG102" i="149" s="1"/>
  <c r="AX102" i="148"/>
  <c r="AU102" i="149" s="1"/>
  <c r="BY102" i="148"/>
  <c r="BV102" i="149" s="1"/>
  <c r="BN102" i="148"/>
  <c r="BK102" i="149" s="1"/>
  <c r="H102" i="148"/>
  <c r="CC102" i="148"/>
  <c r="BZ102" i="149" s="1"/>
  <c r="CH102" i="148"/>
  <c r="CE102" i="149" s="1"/>
  <c r="BZ102" i="148"/>
  <c r="BW102" i="149" s="1"/>
  <c r="BO102" i="148"/>
  <c r="V102" i="148"/>
  <c r="BS102" i="148"/>
  <c r="BP102" i="149" s="1"/>
  <c r="CB102" i="148"/>
  <c r="BY102" i="149" s="1"/>
  <c r="CE102" i="148"/>
  <c r="CB102" i="149" s="1"/>
  <c r="BB102" i="148"/>
  <c r="AY102" i="149" s="1"/>
  <c r="BD102" i="148"/>
  <c r="BA102" i="149" s="1"/>
  <c r="CG102" i="148"/>
  <c r="CD102" i="149" s="1"/>
  <c r="BA102" i="148"/>
  <c r="AX102" i="149" s="1"/>
  <c r="CR102" i="148"/>
  <c r="CO102" i="149" s="1"/>
  <c r="BL102" i="148"/>
  <c r="BI102" i="149" s="1"/>
  <c r="CV102" i="148"/>
  <c r="CS102" i="149" s="1"/>
  <c r="I102" i="148"/>
  <c r="CJ102" i="148"/>
  <c r="CG102" i="149" s="1"/>
  <c r="BE102" i="148"/>
  <c r="BB102" i="149" s="1"/>
  <c r="CQ102" i="148"/>
  <c r="CN102" i="149" s="1"/>
  <c r="CK102" i="148"/>
  <c r="CH102" i="149" s="1"/>
  <c r="BF102" i="148"/>
  <c r="BC102" i="149" s="1"/>
  <c r="DA102" i="148"/>
  <c r="CX102" i="149" s="1"/>
  <c r="CI102" i="148"/>
  <c r="CF102" i="149" s="1"/>
  <c r="BG102" i="148"/>
  <c r="BD102" i="149" s="1"/>
  <c r="D102" i="148"/>
  <c r="Q122" i="148"/>
  <c r="F122" i="148"/>
  <c r="E122" i="148"/>
  <c r="I122" i="148"/>
  <c r="V122" i="148"/>
  <c r="H122" i="148"/>
  <c r="R122" i="148"/>
  <c r="CM122" i="148"/>
  <c r="CZ122" i="148"/>
  <c r="CW122" i="149" s="1"/>
  <c r="BJ122" i="148"/>
  <c r="BG122" i="149" s="1"/>
  <c r="BB122" i="148"/>
  <c r="AY122" i="149" s="1"/>
  <c r="CV122" i="148"/>
  <c r="CS122" i="149" s="1"/>
  <c r="BT122" i="148"/>
  <c r="BQ122" i="149" s="1"/>
  <c r="BI122" i="148"/>
  <c r="BF122" i="149" s="1"/>
  <c r="CQ122" i="148"/>
  <c r="CN122" i="149" s="1"/>
  <c r="AV122" i="148"/>
  <c r="AS122" i="149" s="1"/>
  <c r="CI122" i="148"/>
  <c r="CF122" i="149" s="1"/>
  <c r="CJ122" i="148"/>
  <c r="CG122" i="149" s="1"/>
  <c r="AY122" i="148"/>
  <c r="AV122" i="149" s="1"/>
  <c r="D122" i="148"/>
  <c r="BD122" i="148"/>
  <c r="BA122" i="149" s="1"/>
  <c r="BO122" i="148"/>
  <c r="BW122" i="148"/>
  <c r="BT122" i="149" s="1"/>
  <c r="AW122" i="148"/>
  <c r="AT122" i="149" s="1"/>
  <c r="BC122" i="148"/>
  <c r="AZ122" i="149" s="1"/>
  <c r="CY122" i="148"/>
  <c r="CV122" i="149" s="1"/>
  <c r="CX122" i="148"/>
  <c r="CU122" i="149" s="1"/>
  <c r="CN122" i="148"/>
  <c r="CK122" i="149" s="1"/>
  <c r="AZ122" i="148"/>
  <c r="AW122" i="149" s="1"/>
  <c r="CA122" i="148"/>
  <c r="BX122" i="149" s="1"/>
  <c r="BX122" i="148"/>
  <c r="BU122" i="149" s="1"/>
  <c r="CO122" i="148"/>
  <c r="CL122" i="149" s="1"/>
  <c r="BH122" i="148"/>
  <c r="BE122" i="149" s="1"/>
  <c r="BE122" i="148"/>
  <c r="BB122" i="149" s="1"/>
  <c r="CE122" i="148"/>
  <c r="CB122" i="149" s="1"/>
  <c r="BY122" i="148"/>
  <c r="BV122" i="149" s="1"/>
  <c r="CG122" i="148"/>
  <c r="CD122" i="149" s="1"/>
  <c r="BG122" i="148"/>
  <c r="BD122" i="149" s="1"/>
  <c r="CW122" i="148"/>
  <c r="CT122" i="149" s="1"/>
  <c r="BV122" i="148"/>
  <c r="BS122" i="149" s="1"/>
  <c r="CK122" i="148"/>
  <c r="CH122" i="149" s="1"/>
  <c r="BN122" i="148"/>
  <c r="BK122" i="149" s="1"/>
  <c r="CU122" i="148"/>
  <c r="CR122" i="149" s="1"/>
  <c r="BA122" i="148"/>
  <c r="AX122" i="149" s="1"/>
  <c r="DA122" i="148"/>
  <c r="CX122" i="149" s="1"/>
  <c r="BL122" i="148"/>
  <c r="BI122" i="149" s="1"/>
  <c r="BZ122" i="148"/>
  <c r="BW122" i="149" s="1"/>
  <c r="BK122" i="148"/>
  <c r="BH122" i="149" s="1"/>
  <c r="CH122" i="148"/>
  <c r="CE122" i="149" s="1"/>
  <c r="CT122" i="148"/>
  <c r="CQ122" i="149" s="1"/>
  <c r="BF122" i="148"/>
  <c r="BC122" i="149" s="1"/>
  <c r="G122" i="148"/>
  <c r="BQ122" i="148"/>
  <c r="BN122" i="149" s="1"/>
  <c r="CD122" i="148"/>
  <c r="CA122" i="149" s="1"/>
  <c r="CB122" i="148"/>
  <c r="BY122" i="149" s="1"/>
  <c r="BR122" i="148"/>
  <c r="BO122" i="149" s="1"/>
  <c r="CR122" i="148"/>
  <c r="CO122" i="149" s="1"/>
  <c r="BM122" i="148"/>
  <c r="BJ122" i="149" s="1"/>
  <c r="CC122" i="148"/>
  <c r="BZ122" i="149" s="1"/>
  <c r="CP122" i="148"/>
  <c r="CM122" i="149" s="1"/>
  <c r="CL122" i="148"/>
  <c r="CI122" i="149" s="1"/>
  <c r="CS122" i="148"/>
  <c r="CP122" i="149" s="1"/>
  <c r="BU122" i="148"/>
  <c r="BR122" i="149" s="1"/>
  <c r="BP122" i="148"/>
  <c r="BM122" i="149" s="1"/>
  <c r="CF122" i="148"/>
  <c r="CC122" i="149" s="1"/>
  <c r="AX122" i="148"/>
  <c r="AU122" i="149" s="1"/>
  <c r="BS122" i="148"/>
  <c r="BP122" i="149" s="1"/>
  <c r="Q24" i="148"/>
  <c r="I24" i="148"/>
  <c r="E24" i="148"/>
  <c r="H24" i="148"/>
  <c r="F24" i="148"/>
  <c r="R24" i="148"/>
  <c r="V24" i="148"/>
  <c r="D24" i="148"/>
  <c r="CO24" i="148"/>
  <c r="CF24" i="148"/>
  <c r="CP24" i="148"/>
  <c r="CK24" i="148"/>
  <c r="BX24" i="148"/>
  <c r="BY24" i="148"/>
  <c r="CJ24" i="148"/>
  <c r="CV24" i="148"/>
  <c r="CA24" i="148"/>
  <c r="CT24" i="148"/>
  <c r="CS24" i="148"/>
  <c r="CH24" i="148"/>
  <c r="CX24" i="148"/>
  <c r="CU24" i="148"/>
  <c r="BS24" i="148"/>
  <c r="CL24" i="148"/>
  <c r="BT24" i="148"/>
  <c r="CZ24" i="148"/>
  <c r="BD24" i="148"/>
  <c r="CW24" i="148"/>
  <c r="CD24" i="148"/>
  <c r="CB24" i="148"/>
  <c r="BF24" i="148"/>
  <c r="CR24" i="148"/>
  <c r="DA24" i="148"/>
  <c r="CG24" i="148"/>
  <c r="CE24" i="148"/>
  <c r="BG24" i="148"/>
  <c r="CC24" i="148"/>
  <c r="CM24" i="148"/>
  <c r="CQ24" i="148"/>
  <c r="BU24" i="148"/>
  <c r="G24" i="148"/>
  <c r="CY24" i="148"/>
  <c r="CN24" i="148"/>
  <c r="BZ24" i="148"/>
  <c r="AX24" i="148"/>
  <c r="CI24" i="148"/>
  <c r="BR24" i="148"/>
  <c r="BH24" i="148"/>
  <c r="BJ24" i="148"/>
  <c r="BA24" i="148"/>
  <c r="BC24" i="148"/>
  <c r="BE24" i="148"/>
  <c r="AV24" i="148"/>
  <c r="BW24" i="148"/>
  <c r="AY24" i="148"/>
  <c r="AW24" i="148"/>
  <c r="BQ24" i="148"/>
  <c r="BV24" i="148"/>
  <c r="BB24" i="148"/>
  <c r="BK24" i="148"/>
  <c r="BM24" i="148"/>
  <c r="BO24" i="148"/>
  <c r="AZ24" i="148"/>
  <c r="BL24" i="148"/>
  <c r="BP24" i="148"/>
  <c r="BN24" i="148"/>
  <c r="BI24" i="148"/>
  <c r="CY140" i="149"/>
  <c r="DB140" i="149"/>
  <c r="DA140" i="149"/>
  <c r="CZ140" i="149"/>
  <c r="BL140" i="149"/>
  <c r="BE140" i="149"/>
  <c r="D140" i="149"/>
  <c r="Q38" i="148"/>
  <c r="BM38" i="148"/>
  <c r="BJ38" i="149" s="1"/>
  <c r="R38" i="148"/>
  <c r="CO38" i="148"/>
  <c r="CL38" i="149" s="1"/>
  <c r="CD38" i="148"/>
  <c r="CA38" i="149" s="1"/>
  <c r="AY38" i="148"/>
  <c r="AV38" i="149" s="1"/>
  <c r="AX38" i="148"/>
  <c r="AU38" i="149" s="1"/>
  <c r="BK38" i="148"/>
  <c r="BH38" i="149" s="1"/>
  <c r="I38" i="148"/>
  <c r="CN38" i="148"/>
  <c r="CK38" i="149" s="1"/>
  <c r="CM38" i="148"/>
  <c r="CJ38" i="149" s="1"/>
  <c r="BO38" i="148"/>
  <c r="H38" i="148"/>
  <c r="CC38" i="148"/>
  <c r="BZ38" i="149" s="1"/>
  <c r="CP38" i="148"/>
  <c r="CM38" i="149" s="1"/>
  <c r="AW38" i="148"/>
  <c r="AT38" i="149" s="1"/>
  <c r="BN38" i="148"/>
  <c r="BK38" i="149" s="1"/>
  <c r="V38" i="148"/>
  <c r="BZ38" i="148"/>
  <c r="BW38" i="149" s="1"/>
  <c r="CL38" i="148"/>
  <c r="CI38" i="149" s="1"/>
  <c r="BR38" i="148"/>
  <c r="BO38" i="149" s="1"/>
  <c r="BC38" i="148"/>
  <c r="AZ38" i="149" s="1"/>
  <c r="DA38" i="148"/>
  <c r="CX38" i="149" s="1"/>
  <c r="BY38" i="148"/>
  <c r="BV38" i="149" s="1"/>
  <c r="CA38" i="148"/>
  <c r="BX38" i="149" s="1"/>
  <c r="AV38" i="148"/>
  <c r="AS38" i="149" s="1"/>
  <c r="F38" i="148"/>
  <c r="CV38" i="148"/>
  <c r="CS38" i="149" s="1"/>
  <c r="CB38" i="148"/>
  <c r="BY38" i="149" s="1"/>
  <c r="CY38" i="148"/>
  <c r="CV38" i="149" s="1"/>
  <c r="BQ38" i="148"/>
  <c r="BN38" i="149" s="1"/>
  <c r="BX38" i="148"/>
  <c r="BU38" i="149" s="1"/>
  <c r="CG38" i="148"/>
  <c r="CD38" i="149" s="1"/>
  <c r="CH38" i="148"/>
  <c r="CE38" i="149" s="1"/>
  <c r="G38" i="148"/>
  <c r="CU38" i="148"/>
  <c r="CR38" i="149" s="1"/>
  <c r="CJ38" i="148"/>
  <c r="CG38" i="149" s="1"/>
  <c r="CI38" i="148"/>
  <c r="CF38" i="149" s="1"/>
  <c r="CF38" i="148"/>
  <c r="CC38" i="149" s="1"/>
  <c r="CK38" i="148"/>
  <c r="CH38" i="149" s="1"/>
  <c r="CW38" i="148"/>
  <c r="CT38" i="149" s="1"/>
  <c r="CQ38" i="148"/>
  <c r="CN38" i="149" s="1"/>
  <c r="CE38" i="148"/>
  <c r="CB38" i="149" s="1"/>
  <c r="BJ38" i="148"/>
  <c r="BG38" i="149" s="1"/>
  <c r="CR38" i="148"/>
  <c r="CO38" i="149" s="1"/>
  <c r="BS38" i="148"/>
  <c r="BP38" i="149" s="1"/>
  <c r="BD38" i="148"/>
  <c r="BA38" i="149" s="1"/>
  <c r="E38" i="148"/>
  <c r="BH38" i="148"/>
  <c r="BE38" i="149" s="1"/>
  <c r="CS38" i="148"/>
  <c r="CP38" i="149" s="1"/>
  <c r="BE38" i="148"/>
  <c r="BB38" i="149" s="1"/>
  <c r="BL38" i="148"/>
  <c r="BI38" i="149" s="1"/>
  <c r="CZ38" i="148"/>
  <c r="CW38" i="149" s="1"/>
  <c r="BA38" i="148"/>
  <c r="AX38" i="149" s="1"/>
  <c r="AZ38" i="148"/>
  <c r="AW38" i="149" s="1"/>
  <c r="CX38" i="148"/>
  <c r="CU38" i="149" s="1"/>
  <c r="BG38" i="148"/>
  <c r="BD38" i="149" s="1"/>
  <c r="BF38" i="148"/>
  <c r="BC38" i="149" s="1"/>
  <c r="BB38" i="148"/>
  <c r="AY38" i="149" s="1"/>
  <c r="CT38" i="148"/>
  <c r="CQ38" i="149" s="1"/>
  <c r="BT38" i="148"/>
  <c r="BQ38" i="149" s="1"/>
  <c r="D38" i="148"/>
  <c r="DA110" i="149"/>
  <c r="CY110" i="149"/>
  <c r="DB110" i="149"/>
  <c r="CZ110" i="149"/>
  <c r="BL110" i="149"/>
  <c r="Q134" i="148"/>
  <c r="BO134" i="148"/>
  <c r="CR134" i="148"/>
  <c r="BS134" i="148"/>
  <c r="CL134" i="148"/>
  <c r="F134" i="148"/>
  <c r="R134" i="148"/>
  <c r="BL134" i="148"/>
  <c r="BY134" i="148"/>
  <c r="E134" i="148"/>
  <c r="CA134" i="148"/>
  <c r="BU134" i="148"/>
  <c r="CO134" i="148"/>
  <c r="AZ134" i="148"/>
  <c r="AW134" i="148"/>
  <c r="BW134" i="148"/>
  <c r="CF134" i="148"/>
  <c r="BR134" i="148"/>
  <c r="BI134" i="148"/>
  <c r="CC134" i="148"/>
  <c r="CT134" i="148"/>
  <c r="CE134" i="148"/>
  <c r="AX134" i="148"/>
  <c r="BM134" i="148"/>
  <c r="CN134" i="148"/>
  <c r="BF134" i="148"/>
  <c r="DA134" i="148"/>
  <c r="BC134" i="148"/>
  <c r="CQ134" i="148"/>
  <c r="H134" i="148"/>
  <c r="CI134" i="148"/>
  <c r="G134" i="148"/>
  <c r="BE134" i="148"/>
  <c r="CM134" i="148"/>
  <c r="BV134" i="148"/>
  <c r="CZ134" i="148"/>
  <c r="AV134" i="148"/>
  <c r="CW134" i="148"/>
  <c r="CU134" i="148"/>
  <c r="BK134" i="148"/>
  <c r="CP134" i="148"/>
  <c r="CB134" i="148"/>
  <c r="V134" i="148"/>
  <c r="BZ134" i="148"/>
  <c r="BQ134" i="148"/>
  <c r="BX134" i="148"/>
  <c r="CG134" i="148"/>
  <c r="CS134" i="148"/>
  <c r="BN134" i="148"/>
  <c r="CH134" i="148"/>
  <c r="BD134" i="148"/>
  <c r="CJ134" i="148"/>
  <c r="CY134" i="148"/>
  <c r="BA134" i="148"/>
  <c r="CD134" i="148"/>
  <c r="BP134" i="148"/>
  <c r="AY134" i="148"/>
  <c r="CK134" i="148"/>
  <c r="CV134" i="148"/>
  <c r="BG134" i="148"/>
  <c r="BH134" i="148"/>
  <c r="BB134" i="148"/>
  <c r="BJ134" i="148"/>
  <c r="CX134" i="148"/>
  <c r="I134" i="148"/>
  <c r="BT134" i="148"/>
  <c r="D134" i="148"/>
  <c r="CZ129" i="149"/>
  <c r="DA129" i="149"/>
  <c r="CY129" i="149"/>
  <c r="DB129" i="149"/>
  <c r="BE129" i="149"/>
  <c r="BL129" i="149"/>
  <c r="Q42" i="148"/>
  <c r="BK42" i="148"/>
  <c r="BH42" i="149" s="1"/>
  <c r="F42" i="148"/>
  <c r="CF42" i="148"/>
  <c r="CC42" i="149" s="1"/>
  <c r="CM42" i="148"/>
  <c r="CJ42" i="149" s="1"/>
  <c r="AW42" i="148"/>
  <c r="AT42" i="149" s="1"/>
  <c r="BO42" i="148"/>
  <c r="CH42" i="148"/>
  <c r="CE42" i="149" s="1"/>
  <c r="CA42" i="148"/>
  <c r="BX42" i="149" s="1"/>
  <c r="CR42" i="148"/>
  <c r="CO42" i="149" s="1"/>
  <c r="BW42" i="148"/>
  <c r="BT42" i="149" s="1"/>
  <c r="BJ42" i="148"/>
  <c r="BG42" i="149" s="1"/>
  <c r="BY42" i="148"/>
  <c r="BV42" i="149" s="1"/>
  <c r="G42" i="148"/>
  <c r="CW42" i="148"/>
  <c r="CT42" i="149" s="1"/>
  <c r="BE42" i="148"/>
  <c r="BB42" i="149" s="1"/>
  <c r="BN42" i="148"/>
  <c r="BK42" i="149" s="1"/>
  <c r="CP42" i="148"/>
  <c r="CM42" i="149" s="1"/>
  <c r="CB42" i="148"/>
  <c r="BY42" i="149" s="1"/>
  <c r="CI42" i="148"/>
  <c r="CF42" i="149" s="1"/>
  <c r="AV42" i="148"/>
  <c r="AS42" i="149" s="1"/>
  <c r="BH42" i="148"/>
  <c r="BE42" i="149" s="1"/>
  <c r="CL42" i="148"/>
  <c r="CI42" i="149" s="1"/>
  <c r="CG42" i="148"/>
  <c r="CD42" i="149" s="1"/>
  <c r="CN42" i="148"/>
  <c r="CK42" i="149" s="1"/>
  <c r="BS42" i="148"/>
  <c r="BP42" i="149" s="1"/>
  <c r="BL42" i="148"/>
  <c r="BI42" i="149" s="1"/>
  <c r="CQ42" i="148"/>
  <c r="CN42" i="149" s="1"/>
  <c r="CZ42" i="148"/>
  <c r="CW42" i="149" s="1"/>
  <c r="CS42" i="148"/>
  <c r="CP42" i="149" s="1"/>
  <c r="BG42" i="148"/>
  <c r="BD42" i="149" s="1"/>
  <c r="AZ42" i="148"/>
  <c r="AW42" i="149" s="1"/>
  <c r="CY42" i="148"/>
  <c r="CV42" i="149" s="1"/>
  <c r="CK42" i="148"/>
  <c r="CH42" i="149" s="1"/>
  <c r="CD42" i="148"/>
  <c r="CA42" i="149" s="1"/>
  <c r="BD42" i="148"/>
  <c r="BA42" i="149" s="1"/>
  <c r="BC42" i="148"/>
  <c r="AZ42" i="149" s="1"/>
  <c r="I42" i="148"/>
  <c r="CV42" i="148"/>
  <c r="CS42" i="149" s="1"/>
  <c r="CU42" i="148"/>
  <c r="CR42" i="149" s="1"/>
  <c r="DA42" i="148"/>
  <c r="CX42" i="149" s="1"/>
  <c r="AX42" i="148"/>
  <c r="AU42" i="149" s="1"/>
  <c r="BB42" i="148"/>
  <c r="AY42" i="149" s="1"/>
  <c r="R42" i="148"/>
  <c r="BZ42" i="148"/>
  <c r="BW42" i="149" s="1"/>
  <c r="CJ42" i="148"/>
  <c r="CG42" i="149" s="1"/>
  <c r="BT42" i="148"/>
  <c r="BQ42" i="149" s="1"/>
  <c r="BU42" i="148"/>
  <c r="BR42" i="149" s="1"/>
  <c r="BA42" i="148"/>
  <c r="AX42" i="149" s="1"/>
  <c r="E42" i="148"/>
  <c r="CT42" i="148"/>
  <c r="CQ42" i="149" s="1"/>
  <c r="CE42" i="148"/>
  <c r="CB42" i="149" s="1"/>
  <c r="BQ42" i="148"/>
  <c r="BN42" i="149" s="1"/>
  <c r="AY42" i="148"/>
  <c r="AV42" i="149" s="1"/>
  <c r="BM42" i="148"/>
  <c r="BJ42" i="149" s="1"/>
  <c r="V42" i="148"/>
  <c r="BX42" i="148"/>
  <c r="BU42" i="149" s="1"/>
  <c r="CX42" i="148"/>
  <c r="CU42" i="149" s="1"/>
  <c r="BR42" i="148"/>
  <c r="BO42" i="149" s="1"/>
  <c r="BV42" i="148"/>
  <c r="BS42" i="149" s="1"/>
  <c r="BI42" i="148"/>
  <c r="BF42" i="149" s="1"/>
  <c r="H42" i="148"/>
  <c r="CO42" i="148"/>
  <c r="CL42" i="149" s="1"/>
  <c r="CC42" i="148"/>
  <c r="BZ42" i="149" s="1"/>
  <c r="BF42" i="148"/>
  <c r="BC42" i="149" s="1"/>
  <c r="BP42" i="148"/>
  <c r="BM42" i="149" s="1"/>
  <c r="D42" i="148"/>
  <c r="Q146" i="148"/>
  <c r="F146" i="148"/>
  <c r="CE146" i="148"/>
  <c r="CB146" i="149" s="1"/>
  <c r="CK146" i="148"/>
  <c r="CH146" i="149" s="1"/>
  <c r="CO146" i="148"/>
  <c r="CL146" i="149" s="1"/>
  <c r="BT146" i="148"/>
  <c r="BQ146" i="149" s="1"/>
  <c r="BW146" i="148"/>
  <c r="BT146" i="149" s="1"/>
  <c r="CI146" i="148"/>
  <c r="CF146" i="149" s="1"/>
  <c r="V146" i="148"/>
  <c r="BU146" i="148"/>
  <c r="BR146" i="149" s="1"/>
  <c r="CA146" i="148"/>
  <c r="BX146" i="149" s="1"/>
  <c r="BV146" i="148"/>
  <c r="BS146" i="149" s="1"/>
  <c r="DA146" i="148"/>
  <c r="CX146" i="149" s="1"/>
  <c r="BR146" i="148"/>
  <c r="BO146" i="149" s="1"/>
  <c r="CR146" i="148"/>
  <c r="CO146" i="149" s="1"/>
  <c r="BE146" i="148"/>
  <c r="BB146" i="149" s="1"/>
  <c r="BZ146" i="148"/>
  <c r="BW146" i="149" s="1"/>
  <c r="AX146" i="148"/>
  <c r="AU146" i="149" s="1"/>
  <c r="CT146" i="148"/>
  <c r="CQ146" i="149" s="1"/>
  <c r="CQ146" i="148"/>
  <c r="CN146" i="149" s="1"/>
  <c r="BD146" i="148"/>
  <c r="BA146" i="149" s="1"/>
  <c r="CD146" i="148"/>
  <c r="CA146" i="149" s="1"/>
  <c r="CP146" i="148"/>
  <c r="CM146" i="149" s="1"/>
  <c r="H146" i="148"/>
  <c r="CU146" i="148"/>
  <c r="CR146" i="149" s="1"/>
  <c r="BS146" i="148"/>
  <c r="BP146" i="149" s="1"/>
  <c r="CG146" i="148"/>
  <c r="CD146" i="149" s="1"/>
  <c r="CC146" i="148"/>
  <c r="BZ146" i="149" s="1"/>
  <c r="BF146" i="148"/>
  <c r="BC146" i="149" s="1"/>
  <c r="CY146" i="148"/>
  <c r="CV146" i="149" s="1"/>
  <c r="BG146" i="148"/>
  <c r="BD146" i="149" s="1"/>
  <c r="BQ146" i="148"/>
  <c r="BN146" i="149" s="1"/>
  <c r="CS146" i="148"/>
  <c r="CP146" i="149" s="1"/>
  <c r="I146" i="148"/>
  <c r="CH146" i="148"/>
  <c r="CE146" i="149" s="1"/>
  <c r="E146" i="148"/>
  <c r="R146" i="148"/>
  <c r="BP146" i="148"/>
  <c r="BM146" i="149" s="1"/>
  <c r="G146" i="148"/>
  <c r="CF146" i="148"/>
  <c r="CC146" i="149" s="1"/>
  <c r="CL146" i="148"/>
  <c r="CI146" i="149" s="1"/>
  <c r="BY146" i="148"/>
  <c r="BV146" i="149" s="1"/>
  <c r="BX146" i="148"/>
  <c r="BU146" i="149" s="1"/>
  <c r="CM146" i="148"/>
  <c r="CJ146" i="149" s="1"/>
  <c r="CJ146" i="148"/>
  <c r="CG146" i="149" s="1"/>
  <c r="CX146" i="148"/>
  <c r="CU146" i="149" s="1"/>
  <c r="AY146" i="148"/>
  <c r="AV146" i="149" s="1"/>
  <c r="AW146" i="148"/>
  <c r="AT146" i="149" s="1"/>
  <c r="CN146" i="148"/>
  <c r="CK146" i="149" s="1"/>
  <c r="CV146" i="148"/>
  <c r="CS146" i="149" s="1"/>
  <c r="CB146" i="148"/>
  <c r="BY146" i="149" s="1"/>
  <c r="AV146" i="148"/>
  <c r="AS146" i="149" s="1"/>
  <c r="CW146" i="148"/>
  <c r="CT146" i="149" s="1"/>
  <c r="CZ146" i="148"/>
  <c r="CW146" i="149" s="1"/>
  <c r="BH146" i="148"/>
  <c r="BE146" i="149" s="1"/>
  <c r="AZ146" i="148"/>
  <c r="AW146" i="149" s="1"/>
  <c r="BA146" i="148"/>
  <c r="AX146" i="149" s="1"/>
  <c r="BC146" i="148"/>
  <c r="AZ146" i="149" s="1"/>
  <c r="BI146" i="148"/>
  <c r="BF146" i="149" s="1"/>
  <c r="BJ146" i="148"/>
  <c r="BG146" i="149" s="1"/>
  <c r="BL146" i="148"/>
  <c r="BI146" i="149" s="1"/>
  <c r="BO146" i="148"/>
  <c r="BM146" i="148"/>
  <c r="BJ146" i="149" s="1"/>
  <c r="BB146" i="148"/>
  <c r="AY146" i="149" s="1"/>
  <c r="BK146" i="148"/>
  <c r="BH146" i="149" s="1"/>
  <c r="BN146" i="148"/>
  <c r="BK146" i="149" s="1"/>
  <c r="D146" i="148"/>
  <c r="CZ46" i="149"/>
  <c r="DA46" i="149"/>
  <c r="DB46" i="149"/>
  <c r="BL46" i="149"/>
  <c r="BE46" i="149"/>
  <c r="DA151" i="149"/>
  <c r="DB151" i="149"/>
  <c r="CY151" i="149"/>
  <c r="CZ151" i="149"/>
  <c r="BE151" i="149"/>
  <c r="BL151" i="149"/>
  <c r="Q88" i="148"/>
  <c r="BX88" i="148"/>
  <c r="BU88" i="149" s="1"/>
  <c r="CY88" i="148"/>
  <c r="CV88" i="149" s="1"/>
  <c r="CO88" i="148"/>
  <c r="CL88" i="149" s="1"/>
  <c r="CS88" i="148"/>
  <c r="CP88" i="149" s="1"/>
  <c r="CR88" i="148"/>
  <c r="CO88" i="149" s="1"/>
  <c r="CB88" i="148"/>
  <c r="BY88" i="149" s="1"/>
  <c r="CN88" i="148"/>
  <c r="CK88" i="149" s="1"/>
  <c r="CU88" i="148"/>
  <c r="CR88" i="149" s="1"/>
  <c r="V88" i="148"/>
  <c r="CX88" i="148"/>
  <c r="CU88" i="149" s="1"/>
  <c r="DA88" i="148"/>
  <c r="CX88" i="149" s="1"/>
  <c r="BY88" i="148"/>
  <c r="BV88" i="149" s="1"/>
  <c r="H88" i="148"/>
  <c r="CE88" i="148"/>
  <c r="CB88" i="149" s="1"/>
  <c r="CD88" i="148"/>
  <c r="CA88" i="149" s="1"/>
  <c r="R88" i="148"/>
  <c r="CK88" i="148"/>
  <c r="CH88" i="149" s="1"/>
  <c r="BU88" i="148"/>
  <c r="BR88" i="149" s="1"/>
  <c r="CA88" i="148"/>
  <c r="BX88" i="149" s="1"/>
  <c r="CM88" i="148"/>
  <c r="CJ88" i="149" s="1"/>
  <c r="BG88" i="148"/>
  <c r="BD88" i="149" s="1"/>
  <c r="G88" i="148"/>
  <c r="CC88" i="148"/>
  <c r="BZ88" i="149" s="1"/>
  <c r="CP88" i="148"/>
  <c r="CM88" i="149" s="1"/>
  <c r="CT88" i="148"/>
  <c r="CQ88" i="149" s="1"/>
  <c r="BZ88" i="148"/>
  <c r="BW88" i="149" s="1"/>
  <c r="E88" i="148"/>
  <c r="CF88" i="148"/>
  <c r="CC88" i="149" s="1"/>
  <c r="CZ88" i="148"/>
  <c r="CW88" i="149" s="1"/>
  <c r="CL88" i="148"/>
  <c r="CI88" i="149" s="1"/>
  <c r="CG88" i="148"/>
  <c r="CD88" i="149" s="1"/>
  <c r="CV88" i="148"/>
  <c r="CS88" i="149" s="1"/>
  <c r="CH88" i="148"/>
  <c r="CE88" i="149" s="1"/>
  <c r="BF88" i="148"/>
  <c r="BC88" i="149" s="1"/>
  <c r="I88" i="148"/>
  <c r="CW88" i="148"/>
  <c r="CT88" i="149" s="1"/>
  <c r="F88" i="148"/>
  <c r="CQ88" i="148"/>
  <c r="CN88" i="149" s="1"/>
  <c r="CJ88" i="148"/>
  <c r="CG88" i="149" s="1"/>
  <c r="CI88" i="148"/>
  <c r="CF88" i="149" s="1"/>
  <c r="BA88" i="148"/>
  <c r="AX88" i="149" s="1"/>
  <c r="BH88" i="148"/>
  <c r="BE88" i="149" s="1"/>
  <c r="BT88" i="148"/>
  <c r="BQ88" i="149" s="1"/>
  <c r="BC88" i="148"/>
  <c r="AZ88" i="149" s="1"/>
  <c r="AV88" i="148"/>
  <c r="AS88" i="149" s="1"/>
  <c r="D88" i="148"/>
  <c r="BK88" i="148"/>
  <c r="BH88" i="149" s="1"/>
  <c r="BB88" i="148"/>
  <c r="AY88" i="149" s="1"/>
  <c r="BI88" i="148"/>
  <c r="BF88" i="149" s="1"/>
  <c r="BE88" i="148"/>
  <c r="BB88" i="149" s="1"/>
  <c r="BS88" i="148"/>
  <c r="BP88" i="149" s="1"/>
  <c r="BO88" i="148"/>
  <c r="AW88" i="148"/>
  <c r="AT88" i="149" s="1"/>
  <c r="BP88" i="148"/>
  <c r="BM88" i="149" s="1"/>
  <c r="BN88" i="148"/>
  <c r="BK88" i="149" s="1"/>
  <c r="BM88" i="148"/>
  <c r="BJ88" i="149" s="1"/>
  <c r="BJ88" i="148"/>
  <c r="BG88" i="149" s="1"/>
  <c r="BD88" i="148"/>
  <c r="BA88" i="149" s="1"/>
  <c r="BW88" i="148"/>
  <c r="BT88" i="149" s="1"/>
  <c r="BQ88" i="148"/>
  <c r="BN88" i="149" s="1"/>
  <c r="AZ88" i="148"/>
  <c r="AW88" i="149" s="1"/>
  <c r="AX88" i="148"/>
  <c r="AU88" i="149" s="1"/>
  <c r="AY88" i="148"/>
  <c r="AV88" i="149" s="1"/>
  <c r="BV88" i="148"/>
  <c r="BS88" i="149" s="1"/>
  <c r="BR88" i="148"/>
  <c r="BO88" i="149" s="1"/>
  <c r="BL88" i="148"/>
  <c r="BI88" i="149" s="1"/>
  <c r="Q46" i="148"/>
  <c r="CY46" i="148"/>
  <c r="CV46" i="149" s="1"/>
  <c r="G46" i="148"/>
  <c r="CS46" i="148"/>
  <c r="CP46" i="149" s="1"/>
  <c r="AX46" i="148"/>
  <c r="AU46" i="149" s="1"/>
  <c r="CL46" i="148"/>
  <c r="CI46" i="149" s="1"/>
  <c r="CM46" i="148"/>
  <c r="CJ46" i="149" s="1"/>
  <c r="CT46" i="148"/>
  <c r="CQ46" i="149" s="1"/>
  <c r="AW46" i="148"/>
  <c r="AT46" i="149" s="1"/>
  <c r="CC46" i="148"/>
  <c r="BZ46" i="149" s="1"/>
  <c r="CH46" i="148"/>
  <c r="CE46" i="149" s="1"/>
  <c r="CR46" i="148"/>
  <c r="CO46" i="149" s="1"/>
  <c r="BU46" i="148"/>
  <c r="BR46" i="149" s="1"/>
  <c r="CI46" i="148"/>
  <c r="CF46" i="149" s="1"/>
  <c r="BY46" i="148"/>
  <c r="BV46" i="149" s="1"/>
  <c r="CV46" i="148"/>
  <c r="CS46" i="149" s="1"/>
  <c r="BP46" i="148"/>
  <c r="BM46" i="149" s="1"/>
  <c r="CQ46" i="148"/>
  <c r="CN46" i="149" s="1"/>
  <c r="CA46" i="148"/>
  <c r="BX46" i="149" s="1"/>
  <c r="CP46" i="148"/>
  <c r="CM46" i="149" s="1"/>
  <c r="AV46" i="148"/>
  <c r="AS46" i="149" s="1"/>
  <c r="V46" i="148"/>
  <c r="CE46" i="148"/>
  <c r="CB46" i="149" s="1"/>
  <c r="CO46" i="148"/>
  <c r="CL46" i="149" s="1"/>
  <c r="BZ46" i="148"/>
  <c r="BW46" i="149" s="1"/>
  <c r="BW46" i="148"/>
  <c r="BT46" i="149" s="1"/>
  <c r="H46" i="148"/>
  <c r="CF46" i="148"/>
  <c r="CC46" i="149" s="1"/>
  <c r="CN46" i="148"/>
  <c r="CK46" i="149" s="1"/>
  <c r="BG46" i="148"/>
  <c r="BD46" i="149" s="1"/>
  <c r="I46" i="148"/>
  <c r="DA46" i="148"/>
  <c r="CX46" i="149" s="1"/>
  <c r="CD46" i="148"/>
  <c r="CA46" i="149" s="1"/>
  <c r="BE46" i="148"/>
  <c r="BB46" i="149" s="1"/>
  <c r="F46" i="148"/>
  <c r="CZ46" i="148"/>
  <c r="CW46" i="149" s="1"/>
  <c r="CG46" i="148"/>
  <c r="CD46" i="149" s="1"/>
  <c r="BV46" i="148"/>
  <c r="BS46" i="149" s="1"/>
  <c r="R46" i="148"/>
  <c r="CK46" i="148"/>
  <c r="CH46" i="149" s="1"/>
  <c r="CB46" i="148"/>
  <c r="BY46" i="149" s="1"/>
  <c r="BR46" i="148"/>
  <c r="BO46" i="149" s="1"/>
  <c r="E46" i="148"/>
  <c r="CJ46" i="148"/>
  <c r="CG46" i="149" s="1"/>
  <c r="BX46" i="148"/>
  <c r="BU46" i="149" s="1"/>
  <c r="BQ46" i="148"/>
  <c r="BN46" i="149" s="1"/>
  <c r="CW46" i="148"/>
  <c r="CT46" i="149" s="1"/>
  <c r="CU46" i="148"/>
  <c r="CR46" i="149" s="1"/>
  <c r="CX46" i="148"/>
  <c r="CU46" i="149" s="1"/>
  <c r="AY46" i="148"/>
  <c r="AV46" i="149" s="1"/>
  <c r="BB46" i="148"/>
  <c r="AY46" i="149" s="1"/>
  <c r="BD46" i="148"/>
  <c r="BA46" i="149" s="1"/>
  <c r="BS46" i="148"/>
  <c r="BP46" i="149" s="1"/>
  <c r="BL46" i="148"/>
  <c r="BI46" i="149" s="1"/>
  <c r="BO46" i="148"/>
  <c r="BC46" i="148"/>
  <c r="AZ46" i="149" s="1"/>
  <c r="BI46" i="148"/>
  <c r="BF46" i="149" s="1"/>
  <c r="AZ46" i="148"/>
  <c r="AW46" i="149" s="1"/>
  <c r="BT46" i="148"/>
  <c r="BQ46" i="149" s="1"/>
  <c r="BF46" i="148"/>
  <c r="BC46" i="149" s="1"/>
  <c r="BJ46" i="148"/>
  <c r="BG46" i="149" s="1"/>
  <c r="BM46" i="148"/>
  <c r="BJ46" i="149" s="1"/>
  <c r="BN46" i="148"/>
  <c r="BK46" i="149" s="1"/>
  <c r="BA46" i="148"/>
  <c r="AX46" i="149" s="1"/>
  <c r="BK46" i="148"/>
  <c r="BH46" i="149" s="1"/>
  <c r="D46" i="148"/>
  <c r="BH46" i="148"/>
  <c r="DA136" i="149"/>
  <c r="CY136" i="149"/>
  <c r="DB136" i="149"/>
  <c r="CZ136" i="149"/>
  <c r="BE136" i="149"/>
  <c r="BL136" i="149"/>
  <c r="D28" i="153"/>
  <c r="E28" i="153"/>
  <c r="G28" i="153"/>
  <c r="P28" i="153"/>
  <c r="H28" i="153"/>
  <c r="R28" i="153"/>
  <c r="C28" i="153"/>
  <c r="F28" i="153"/>
  <c r="BV28" i="153"/>
  <c r="CP28" i="153"/>
  <c r="CV28" i="153"/>
  <c r="CK28" i="153"/>
  <c r="CJ28" i="153"/>
  <c r="BU28" i="153"/>
  <c r="BX28" i="153"/>
  <c r="CN28" i="153"/>
  <c r="CL28" i="153"/>
  <c r="BW28" i="153"/>
  <c r="CQ28" i="153"/>
  <c r="CB28" i="153"/>
  <c r="BY28" i="153"/>
  <c r="CD28" i="153"/>
  <c r="CU28" i="153"/>
  <c r="CF28" i="153"/>
  <c r="CS28" i="153"/>
  <c r="CA28" i="153"/>
  <c r="CG28" i="153"/>
  <c r="CT28" i="153"/>
  <c r="CE28" i="153"/>
  <c r="CM28" i="153"/>
  <c r="BT28" i="153"/>
  <c r="CH28" i="153"/>
  <c r="CO28" i="153"/>
  <c r="CI28" i="153"/>
  <c r="CC28" i="153"/>
  <c r="CR28" i="153"/>
  <c r="CW28" i="153"/>
  <c r="BZ28" i="153"/>
  <c r="AX28" i="153"/>
  <c r="AT28" i="153"/>
  <c r="AZ28" i="153"/>
  <c r="BK28" i="153"/>
  <c r="BE28" i="153"/>
  <c r="BD28" i="153"/>
  <c r="BQ28" i="153"/>
  <c r="BN28" i="153"/>
  <c r="AS28" i="153"/>
  <c r="AR28" i="153"/>
  <c r="BB28" i="153"/>
  <c r="BA28" i="153"/>
  <c r="BM28" i="153"/>
  <c r="BS28" i="153"/>
  <c r="BI28" i="153"/>
  <c r="BG28" i="153"/>
  <c r="BO28" i="153"/>
  <c r="BH28" i="153"/>
  <c r="BF28" i="153"/>
  <c r="AY28" i="153"/>
  <c r="BL28" i="153"/>
  <c r="BC28" i="153"/>
  <c r="BJ28" i="153"/>
  <c r="BR28" i="153"/>
  <c r="BP28" i="153"/>
  <c r="AU28" i="153"/>
  <c r="AV28" i="153"/>
  <c r="AW28" i="153"/>
  <c r="G12" i="151"/>
  <c r="R12" i="151"/>
  <c r="D12" i="151"/>
  <c r="P12" i="151"/>
  <c r="E12" i="151"/>
  <c r="H12" i="151"/>
  <c r="CW12" i="151"/>
  <c r="CB12" i="151"/>
  <c r="CH12" i="151"/>
  <c r="BX12" i="151"/>
  <c r="CO12" i="151"/>
  <c r="BU12" i="151"/>
  <c r="CE12" i="151"/>
  <c r="CJ12" i="151"/>
  <c r="CN12" i="151"/>
  <c r="CS12" i="151"/>
  <c r="CC12" i="151"/>
  <c r="CG12" i="151"/>
  <c r="CF12" i="151"/>
  <c r="CQ12" i="151"/>
  <c r="BV12" i="151"/>
  <c r="CA12" i="151"/>
  <c r="CI12" i="151"/>
  <c r="CU12" i="151"/>
  <c r="CD12" i="151"/>
  <c r="CM12" i="151"/>
  <c r="CK12" i="151"/>
  <c r="CP12" i="151"/>
  <c r="CR12" i="151"/>
  <c r="CL12" i="151"/>
  <c r="CT12" i="151"/>
  <c r="BY12" i="151"/>
  <c r="BW12" i="151"/>
  <c r="BZ12" i="151"/>
  <c r="CV12" i="151"/>
  <c r="BT12" i="151"/>
  <c r="F12" i="151"/>
  <c r="BN12" i="151"/>
  <c r="AT12" i="151"/>
  <c r="BA12" i="151"/>
  <c r="BG12" i="151"/>
  <c r="AY12" i="151"/>
  <c r="BM12" i="151"/>
  <c r="BP12" i="151"/>
  <c r="BO12" i="151"/>
  <c r="AS12" i="151"/>
  <c r="BQ12" i="151"/>
  <c r="AR12" i="151"/>
  <c r="AU12" i="151"/>
  <c r="AV12" i="151"/>
  <c r="BR12" i="151"/>
  <c r="BB12" i="151"/>
  <c r="BC12" i="151"/>
  <c r="AX12" i="151"/>
  <c r="BL12" i="151"/>
  <c r="BF12" i="151"/>
  <c r="AW12" i="151"/>
  <c r="BI12" i="151"/>
  <c r="BE12" i="151"/>
  <c r="BH12" i="151"/>
  <c r="BJ12" i="151"/>
  <c r="BK12" i="151"/>
  <c r="BD12" i="151"/>
  <c r="AZ12" i="151"/>
  <c r="G10" i="153"/>
  <c r="P10" i="153"/>
  <c r="E10" i="153"/>
  <c r="D10" i="153"/>
  <c r="R10" i="153"/>
  <c r="H10" i="153"/>
  <c r="C10" i="153"/>
  <c r="CO10" i="153"/>
  <c r="BT10" i="153"/>
  <c r="CS10" i="153"/>
  <c r="CI10" i="153"/>
  <c r="CR10" i="153"/>
  <c r="CM10" i="153"/>
  <c r="CF10" i="153"/>
  <c r="CL10" i="153"/>
  <c r="CT10" i="153"/>
  <c r="CU10" i="153"/>
  <c r="CN10" i="153"/>
  <c r="CW10" i="153"/>
  <c r="CQ10" i="153"/>
  <c r="BU10" i="153"/>
  <c r="CV10" i="153"/>
  <c r="CE10" i="153"/>
  <c r="CC10" i="153"/>
  <c r="F10" i="153"/>
  <c r="BW10" i="153"/>
  <c r="BX10" i="153"/>
  <c r="BV10" i="153"/>
  <c r="CG10" i="153"/>
  <c r="CK10" i="153"/>
  <c r="CB10" i="153"/>
  <c r="CA10" i="153"/>
  <c r="CD10" i="153"/>
  <c r="BZ10" i="153"/>
  <c r="CP10" i="153"/>
  <c r="BY10" i="153"/>
  <c r="CJ10" i="153"/>
  <c r="CH10" i="153"/>
  <c r="AW10" i="153"/>
  <c r="AZ10" i="153"/>
  <c r="BB10" i="153"/>
  <c r="AY10" i="153"/>
  <c r="BR10" i="153"/>
  <c r="BF10" i="153"/>
  <c r="BQ10" i="153"/>
  <c r="BP10" i="153"/>
  <c r="AX10" i="153"/>
  <c r="BM10" i="153"/>
  <c r="AU10" i="153"/>
  <c r="BJ10" i="153"/>
  <c r="BS10" i="153"/>
  <c r="BK10" i="153"/>
  <c r="BE10" i="153"/>
  <c r="BC10" i="153"/>
  <c r="AV10" i="153"/>
  <c r="BG10" i="153"/>
  <c r="BO10" i="153"/>
  <c r="BD10" i="153"/>
  <c r="AS10" i="153"/>
  <c r="BH10" i="153"/>
  <c r="AT10" i="153"/>
  <c r="BA10" i="153"/>
  <c r="BL10" i="153"/>
  <c r="AR10" i="153"/>
  <c r="BI10" i="153"/>
  <c r="BN10" i="153"/>
  <c r="D31" i="151"/>
  <c r="E31" i="151"/>
  <c r="R31" i="151"/>
  <c r="P31" i="151"/>
  <c r="G31" i="151"/>
  <c r="H31" i="151"/>
  <c r="CC31" i="151"/>
  <c r="CW31" i="151"/>
  <c r="CU31" i="151"/>
  <c r="CG31" i="151"/>
  <c r="CH31" i="151"/>
  <c r="CO31" i="151"/>
  <c r="CL31" i="151"/>
  <c r="BX31" i="151"/>
  <c r="BV31" i="151"/>
  <c r="CN31" i="151"/>
  <c r="CR31" i="151"/>
  <c r="F31" i="151"/>
  <c r="CT31" i="151"/>
  <c r="CM31" i="151"/>
  <c r="CF31" i="151"/>
  <c r="CI31" i="151"/>
  <c r="CQ31" i="151"/>
  <c r="CJ31" i="151"/>
  <c r="BY31" i="151"/>
  <c r="BW31" i="151"/>
  <c r="CV31" i="151"/>
  <c r="BU31" i="151"/>
  <c r="CP31" i="151"/>
  <c r="CK31" i="151"/>
  <c r="CE31" i="151"/>
  <c r="CA31" i="151"/>
  <c r="CD31" i="151"/>
  <c r="CB31" i="151"/>
  <c r="CS31" i="151"/>
  <c r="BZ31" i="151"/>
  <c r="BT31" i="151"/>
  <c r="BO31" i="151"/>
  <c r="AR31" i="151"/>
  <c r="AU31" i="151"/>
  <c r="BF31" i="151"/>
  <c r="BE31" i="151"/>
  <c r="BP31" i="151"/>
  <c r="BK31" i="151"/>
  <c r="BQ31" i="151"/>
  <c r="BB31" i="151"/>
  <c r="BM31" i="151"/>
  <c r="AZ31" i="151"/>
  <c r="AY31" i="151"/>
  <c r="BA31" i="151"/>
  <c r="AT31" i="151"/>
  <c r="BN31" i="151"/>
  <c r="BL31" i="151"/>
  <c r="BI31" i="151"/>
  <c r="BC31" i="151"/>
  <c r="BH31" i="151"/>
  <c r="BG31" i="151"/>
  <c r="BD31" i="151"/>
  <c r="AX31" i="151"/>
  <c r="AV31" i="151"/>
  <c r="BS31" i="151"/>
  <c r="AS31" i="151"/>
  <c r="BJ31" i="151"/>
  <c r="BR31" i="151"/>
  <c r="AW31" i="151"/>
  <c r="DA35" i="149"/>
  <c r="CZ35" i="149"/>
  <c r="DB35" i="149"/>
  <c r="BL35" i="149"/>
  <c r="DB28" i="149"/>
  <c r="DA28" i="149"/>
  <c r="CZ28" i="149"/>
  <c r="BL28" i="149"/>
  <c r="DB48" i="149"/>
  <c r="CZ48" i="149"/>
  <c r="DA48" i="149"/>
  <c r="BL48" i="149"/>
  <c r="Q77" i="148"/>
  <c r="BK77" i="148"/>
  <c r="BH77" i="149" s="1"/>
  <c r="CG77" i="148"/>
  <c r="CD77" i="149" s="1"/>
  <c r="CB77" i="148"/>
  <c r="BY77" i="149" s="1"/>
  <c r="CM77" i="148"/>
  <c r="CJ77" i="149" s="1"/>
  <c r="AX77" i="148"/>
  <c r="AU77" i="149" s="1"/>
  <c r="BN77" i="148"/>
  <c r="BK77" i="149" s="1"/>
  <c r="BJ77" i="148"/>
  <c r="BG77" i="149" s="1"/>
  <c r="I77" i="148"/>
  <c r="CO77" i="148"/>
  <c r="CL77" i="149" s="1"/>
  <c r="CJ77" i="148"/>
  <c r="CG77" i="149" s="1"/>
  <c r="CI77" i="148"/>
  <c r="CF77" i="149" s="1"/>
  <c r="AV77" i="148"/>
  <c r="AS77" i="149" s="1"/>
  <c r="BM77" i="148"/>
  <c r="BJ77" i="149" s="1"/>
  <c r="R77" i="148"/>
  <c r="CT77" i="148"/>
  <c r="CQ77" i="149" s="1"/>
  <c r="CE77" i="148"/>
  <c r="CB77" i="149" s="1"/>
  <c r="AY77" i="148"/>
  <c r="AV77" i="149" s="1"/>
  <c r="BF77" i="148"/>
  <c r="BC77" i="149" s="1"/>
  <c r="BL77" i="148"/>
  <c r="BI77" i="149" s="1"/>
  <c r="BH77" i="148"/>
  <c r="BE77" i="149" s="1"/>
  <c r="H77" i="148"/>
  <c r="CC77" i="148"/>
  <c r="BZ77" i="149" s="1"/>
  <c r="CN77" i="148"/>
  <c r="CK77" i="149" s="1"/>
  <c r="AW77" i="148"/>
  <c r="AT77" i="149" s="1"/>
  <c r="BR77" i="148"/>
  <c r="BO77" i="149" s="1"/>
  <c r="AZ77" i="148"/>
  <c r="AW77" i="149" s="1"/>
  <c r="BC77" i="148"/>
  <c r="AZ77" i="149" s="1"/>
  <c r="CL77" i="148"/>
  <c r="CI77" i="149" s="1"/>
  <c r="CQ77" i="148"/>
  <c r="CN77" i="149" s="1"/>
  <c r="CS77" i="148"/>
  <c r="CP77" i="149" s="1"/>
  <c r="BP77" i="148"/>
  <c r="BM77" i="149" s="1"/>
  <c r="BB77" i="148"/>
  <c r="AY77" i="149" s="1"/>
  <c r="CR77" i="148"/>
  <c r="CO77" i="149" s="1"/>
  <c r="CA77" i="148"/>
  <c r="BX77" i="149" s="1"/>
  <c r="DA77" i="148"/>
  <c r="CX77" i="149" s="1"/>
  <c r="BU77" i="148"/>
  <c r="BR77" i="149" s="1"/>
  <c r="BA77" i="148"/>
  <c r="AX77" i="149" s="1"/>
  <c r="CZ77" i="148"/>
  <c r="CW77" i="149" s="1"/>
  <c r="CX77" i="148"/>
  <c r="CU77" i="149" s="1"/>
  <c r="CK77" i="148"/>
  <c r="CH77" i="149" s="1"/>
  <c r="BG77" i="148"/>
  <c r="BD77" i="149" s="1"/>
  <c r="BO77" i="148"/>
  <c r="BX77" i="148"/>
  <c r="BU77" i="149" s="1"/>
  <c r="CV77" i="148"/>
  <c r="CS77" i="149" s="1"/>
  <c r="CH77" i="148"/>
  <c r="CE77" i="149" s="1"/>
  <c r="BW77" i="148"/>
  <c r="BT77" i="149" s="1"/>
  <c r="CU77" i="148"/>
  <c r="CR77" i="149" s="1"/>
  <c r="BD77" i="148"/>
  <c r="BA77" i="149" s="1"/>
  <c r="BZ77" i="148"/>
  <c r="BW77" i="149" s="1"/>
  <c r="E77" i="148"/>
  <c r="BE77" i="148"/>
  <c r="BB77" i="149" s="1"/>
  <c r="BI77" i="148"/>
  <c r="BF77" i="149" s="1"/>
  <c r="F77" i="148"/>
  <c r="BT77" i="148"/>
  <c r="BQ77" i="149" s="1"/>
  <c r="BY77" i="148"/>
  <c r="BV77" i="149" s="1"/>
  <c r="BS77" i="148"/>
  <c r="BP77" i="149" s="1"/>
  <c r="CP77" i="148"/>
  <c r="CM77" i="149" s="1"/>
  <c r="BV77" i="148"/>
  <c r="BS77" i="149" s="1"/>
  <c r="G77" i="148"/>
  <c r="BQ77" i="148"/>
  <c r="BN77" i="149" s="1"/>
  <c r="CD77" i="148"/>
  <c r="CA77" i="149" s="1"/>
  <c r="CF77" i="148"/>
  <c r="CC77" i="149" s="1"/>
  <c r="CW77" i="148"/>
  <c r="CT77" i="149" s="1"/>
  <c r="CY77" i="148"/>
  <c r="CV77" i="149" s="1"/>
  <c r="V77" i="148"/>
  <c r="D77" i="148"/>
  <c r="Q75" i="148"/>
  <c r="BK75" i="148"/>
  <c r="BH75" i="149" s="1"/>
  <c r="R75" i="148"/>
  <c r="BY75" i="148"/>
  <c r="BV75" i="149" s="1"/>
  <c r="BQ75" i="148"/>
  <c r="BN75" i="149" s="1"/>
  <c r="CR75" i="148"/>
  <c r="CO75" i="149" s="1"/>
  <c r="BN75" i="148"/>
  <c r="BK75" i="149" s="1"/>
  <c r="BJ75" i="148"/>
  <c r="BG75" i="149" s="1"/>
  <c r="CB75" i="148"/>
  <c r="BY75" i="149" s="1"/>
  <c r="BT75" i="148"/>
  <c r="BQ75" i="149" s="1"/>
  <c r="V75" i="148"/>
  <c r="BE75" i="148"/>
  <c r="BB75" i="149" s="1"/>
  <c r="BM75" i="148"/>
  <c r="BJ75" i="149" s="1"/>
  <c r="CQ75" i="148"/>
  <c r="CN75" i="149" s="1"/>
  <c r="CM75" i="148"/>
  <c r="CJ75" i="149" s="1"/>
  <c r="CY75" i="148"/>
  <c r="CV75" i="149" s="1"/>
  <c r="CF75" i="148"/>
  <c r="CC75" i="149" s="1"/>
  <c r="CO75" i="148"/>
  <c r="CL75" i="149" s="1"/>
  <c r="BL75" i="148"/>
  <c r="BI75" i="149" s="1"/>
  <c r="CL75" i="148"/>
  <c r="CI75" i="149" s="1"/>
  <c r="CZ75" i="148"/>
  <c r="CW75" i="149" s="1"/>
  <c r="CG75" i="148"/>
  <c r="CD75" i="149" s="1"/>
  <c r="AW75" i="148"/>
  <c r="AT75" i="149" s="1"/>
  <c r="CD75" i="148"/>
  <c r="CA75" i="149" s="1"/>
  <c r="BH75" i="148"/>
  <c r="BE75" i="149" s="1"/>
  <c r="BW75" i="148"/>
  <c r="BT75" i="149" s="1"/>
  <c r="CS75" i="148"/>
  <c r="CP75" i="149" s="1"/>
  <c r="E75" i="148"/>
  <c r="CJ75" i="148"/>
  <c r="CG75" i="149" s="1"/>
  <c r="CH75" i="148"/>
  <c r="CE75" i="149" s="1"/>
  <c r="AZ75" i="148"/>
  <c r="AW75" i="149" s="1"/>
  <c r="CA75" i="148"/>
  <c r="BX75" i="149" s="1"/>
  <c r="CI75" i="148"/>
  <c r="CF75" i="149" s="1"/>
  <c r="H75" i="148"/>
  <c r="BX75" i="148"/>
  <c r="BU75" i="149" s="1"/>
  <c r="CE75" i="148"/>
  <c r="CB75" i="149" s="1"/>
  <c r="BC75" i="148"/>
  <c r="AZ75" i="149" s="1"/>
  <c r="DA75" i="148"/>
  <c r="CX75" i="149" s="1"/>
  <c r="F75" i="148"/>
  <c r="BU75" i="148"/>
  <c r="BR75" i="149" s="1"/>
  <c r="CU75" i="148"/>
  <c r="CR75" i="149" s="1"/>
  <c r="BB75" i="148"/>
  <c r="AY75" i="149" s="1"/>
  <c r="BV75" i="148"/>
  <c r="BS75" i="149" s="1"/>
  <c r="BG75" i="148"/>
  <c r="BD75" i="149" s="1"/>
  <c r="BS75" i="148"/>
  <c r="BP75" i="149" s="1"/>
  <c r="G75" i="148"/>
  <c r="BA75" i="148"/>
  <c r="AX75" i="149" s="1"/>
  <c r="BZ75" i="148"/>
  <c r="BW75" i="149" s="1"/>
  <c r="CT75" i="148"/>
  <c r="CQ75" i="149" s="1"/>
  <c r="CV75" i="148"/>
  <c r="CS75" i="149" s="1"/>
  <c r="CW75" i="148"/>
  <c r="CT75" i="149" s="1"/>
  <c r="BO75" i="148"/>
  <c r="AV75" i="148"/>
  <c r="AS75" i="149" s="1"/>
  <c r="BF75" i="148"/>
  <c r="BC75" i="149" s="1"/>
  <c r="BD75" i="148"/>
  <c r="BA75" i="149" s="1"/>
  <c r="CP75" i="148"/>
  <c r="CM75" i="149" s="1"/>
  <c r="BI75" i="148"/>
  <c r="BF75" i="149" s="1"/>
  <c r="BR75" i="148"/>
  <c r="BO75" i="149" s="1"/>
  <c r="CK75" i="148"/>
  <c r="CH75" i="149" s="1"/>
  <c r="I75" i="148"/>
  <c r="AX75" i="148"/>
  <c r="AU75" i="149" s="1"/>
  <c r="CC75" i="148"/>
  <c r="BZ75" i="149" s="1"/>
  <c r="CX75" i="148"/>
  <c r="CU75" i="149" s="1"/>
  <c r="BP75" i="148"/>
  <c r="BM75" i="149" s="1"/>
  <c r="AY75" i="148"/>
  <c r="AV75" i="149" s="1"/>
  <c r="CN75" i="148"/>
  <c r="CK75" i="149" s="1"/>
  <c r="D75" i="148"/>
  <c r="DB17" i="149"/>
  <c r="CZ17" i="149"/>
  <c r="DA17" i="149"/>
  <c r="BL17" i="149"/>
  <c r="BE17" i="149"/>
  <c r="Q59" i="148"/>
  <c r="BN59" i="148"/>
  <c r="BK59" i="149" s="1"/>
  <c r="I59" i="148"/>
  <c r="CN59" i="148"/>
  <c r="CK59" i="149" s="1"/>
  <c r="CZ59" i="148"/>
  <c r="CW59" i="149" s="1"/>
  <c r="CG59" i="148"/>
  <c r="CD59" i="149" s="1"/>
  <c r="BS59" i="148"/>
  <c r="BP59" i="149" s="1"/>
  <c r="BH59" i="148"/>
  <c r="BE59" i="149" s="1"/>
  <c r="R59" i="148"/>
  <c r="CC59" i="148"/>
  <c r="BZ59" i="149" s="1"/>
  <c r="CM59" i="148"/>
  <c r="CJ59" i="149" s="1"/>
  <c r="BU59" i="148"/>
  <c r="BR59" i="149" s="1"/>
  <c r="BV59" i="148"/>
  <c r="BS59" i="149" s="1"/>
  <c r="BL59" i="148"/>
  <c r="BI59" i="149" s="1"/>
  <c r="V59" i="148"/>
  <c r="CD59" i="148"/>
  <c r="CA59" i="149" s="1"/>
  <c r="CS59" i="148"/>
  <c r="CP59" i="149" s="1"/>
  <c r="AV59" i="148"/>
  <c r="AS59" i="149" s="1"/>
  <c r="BE59" i="148"/>
  <c r="BB59" i="149" s="1"/>
  <c r="BK59" i="148"/>
  <c r="BH59" i="149" s="1"/>
  <c r="H59" i="148"/>
  <c r="CU59" i="148"/>
  <c r="CR59" i="149" s="1"/>
  <c r="CB59" i="148"/>
  <c r="BY59" i="149" s="1"/>
  <c r="AY59" i="148"/>
  <c r="AV59" i="149" s="1"/>
  <c r="BF59" i="148"/>
  <c r="BC59" i="149" s="1"/>
  <c r="BO59" i="148"/>
  <c r="E59" i="148"/>
  <c r="CI59" i="148"/>
  <c r="CF59" i="149" s="1"/>
  <c r="CX59" i="148"/>
  <c r="CU59" i="149" s="1"/>
  <c r="BD59" i="148"/>
  <c r="BA59" i="149" s="1"/>
  <c r="BQ59" i="148"/>
  <c r="BN59" i="149" s="1"/>
  <c r="BJ59" i="148"/>
  <c r="BG59" i="149" s="1"/>
  <c r="F59" i="148"/>
  <c r="CR59" i="148"/>
  <c r="CO59" i="149" s="1"/>
  <c r="BX59" i="148"/>
  <c r="BU59" i="149" s="1"/>
  <c r="BW59" i="148"/>
  <c r="BT59" i="149" s="1"/>
  <c r="AZ59" i="148"/>
  <c r="AW59" i="149" s="1"/>
  <c r="CY59" i="148"/>
  <c r="CV59" i="149" s="1"/>
  <c r="G59" i="148"/>
  <c r="CQ59" i="148"/>
  <c r="CN59" i="149" s="1"/>
  <c r="BP59" i="148"/>
  <c r="BM59" i="149" s="1"/>
  <c r="BC59" i="148"/>
  <c r="AZ59" i="149" s="1"/>
  <c r="CK59" i="148"/>
  <c r="CH59" i="149" s="1"/>
  <c r="CV59" i="148"/>
  <c r="CS59" i="149" s="1"/>
  <c r="CW59" i="148"/>
  <c r="CT59" i="149" s="1"/>
  <c r="AW59" i="148"/>
  <c r="AT59" i="149" s="1"/>
  <c r="BB59" i="148"/>
  <c r="AY59" i="149" s="1"/>
  <c r="BY59" i="148"/>
  <c r="BV59" i="149" s="1"/>
  <c r="CJ59" i="148"/>
  <c r="CG59" i="149" s="1"/>
  <c r="BZ59" i="148"/>
  <c r="BW59" i="149" s="1"/>
  <c r="BG59" i="148"/>
  <c r="BD59" i="149" s="1"/>
  <c r="BA59" i="148"/>
  <c r="AX59" i="149" s="1"/>
  <c r="CP59" i="148"/>
  <c r="CM59" i="149" s="1"/>
  <c r="CO59" i="148"/>
  <c r="CL59" i="149" s="1"/>
  <c r="CE59" i="148"/>
  <c r="CB59" i="149" s="1"/>
  <c r="BR59" i="148"/>
  <c r="BO59" i="149" s="1"/>
  <c r="BM59" i="148"/>
  <c r="BJ59" i="149" s="1"/>
  <c r="CL59" i="148"/>
  <c r="CI59" i="149" s="1"/>
  <c r="CA59" i="148"/>
  <c r="BX59" i="149" s="1"/>
  <c r="DA59" i="148"/>
  <c r="CX59" i="149" s="1"/>
  <c r="AX59" i="148"/>
  <c r="AU59" i="149" s="1"/>
  <c r="BI59" i="148"/>
  <c r="BF59" i="149" s="1"/>
  <c r="CH59" i="148"/>
  <c r="CE59" i="149" s="1"/>
  <c r="CT59" i="148"/>
  <c r="CQ59" i="149" s="1"/>
  <c r="CF59" i="148"/>
  <c r="CC59" i="149" s="1"/>
  <c r="BT59" i="148"/>
  <c r="BQ59" i="149" s="1"/>
  <c r="D59" i="148"/>
  <c r="Q94" i="148"/>
  <c r="BH94" i="148"/>
  <c r="BE94" i="149" s="1"/>
  <c r="BY94" i="148"/>
  <c r="BV94" i="149" s="1"/>
  <c r="BX94" i="148"/>
  <c r="BU94" i="149" s="1"/>
  <c r="CP94" i="148"/>
  <c r="CM94" i="149" s="1"/>
  <c r="BI94" i="148"/>
  <c r="BF94" i="149" s="1"/>
  <c r="CC94" i="148"/>
  <c r="BZ94" i="149" s="1"/>
  <c r="BN94" i="148"/>
  <c r="BK94" i="149" s="1"/>
  <c r="BQ94" i="148"/>
  <c r="BN94" i="149" s="1"/>
  <c r="CS94" i="148"/>
  <c r="CP94" i="149" s="1"/>
  <c r="BG94" i="148"/>
  <c r="BD94" i="149" s="1"/>
  <c r="CQ94" i="148"/>
  <c r="CN94" i="149" s="1"/>
  <c r="BO94" i="148"/>
  <c r="I94" i="148"/>
  <c r="AW94" i="148"/>
  <c r="AT94" i="149" s="1"/>
  <c r="H94" i="148"/>
  <c r="CW94" i="148"/>
  <c r="CT94" i="149" s="1"/>
  <c r="BB94" i="148"/>
  <c r="AY94" i="149" s="1"/>
  <c r="CJ94" i="148"/>
  <c r="CG94" i="149" s="1"/>
  <c r="CN94" i="148"/>
  <c r="CK94" i="149" s="1"/>
  <c r="CB94" i="148"/>
  <c r="BY94" i="149" s="1"/>
  <c r="CA94" i="148"/>
  <c r="BX94" i="149" s="1"/>
  <c r="AZ94" i="148"/>
  <c r="AW94" i="149" s="1"/>
  <c r="CI94" i="148"/>
  <c r="CF94" i="149" s="1"/>
  <c r="CD94" i="148"/>
  <c r="CA94" i="149" s="1"/>
  <c r="G94" i="148"/>
  <c r="CY94" i="148"/>
  <c r="CV94" i="149" s="1"/>
  <c r="BV94" i="148"/>
  <c r="BS94" i="149" s="1"/>
  <c r="BD94" i="148"/>
  <c r="BA94" i="149" s="1"/>
  <c r="R94" i="148"/>
  <c r="CH94" i="148"/>
  <c r="CE94" i="149" s="1"/>
  <c r="AV94" i="148"/>
  <c r="AS94" i="149" s="1"/>
  <c r="BE94" i="148"/>
  <c r="BB94" i="149" s="1"/>
  <c r="BL94" i="148"/>
  <c r="BI94" i="149" s="1"/>
  <c r="CX94" i="148"/>
  <c r="CU94" i="149" s="1"/>
  <c r="CM94" i="148"/>
  <c r="CJ94" i="149" s="1"/>
  <c r="BS94" i="148"/>
  <c r="BP94" i="149" s="1"/>
  <c r="CR94" i="148"/>
  <c r="CO94" i="149" s="1"/>
  <c r="BR94" i="148"/>
  <c r="BO94" i="149" s="1"/>
  <c r="BM94" i="148"/>
  <c r="BJ94" i="149" s="1"/>
  <c r="DA94" i="148"/>
  <c r="CX94" i="149" s="1"/>
  <c r="BF94" i="148"/>
  <c r="BC94" i="149" s="1"/>
  <c r="BJ94" i="148"/>
  <c r="BG94" i="149" s="1"/>
  <c r="F94" i="148"/>
  <c r="BZ94" i="148"/>
  <c r="BW94" i="149" s="1"/>
  <c r="BC94" i="148"/>
  <c r="AZ94" i="149" s="1"/>
  <c r="BP94" i="148"/>
  <c r="BM94" i="149" s="1"/>
  <c r="CV94" i="148"/>
  <c r="CS94" i="149" s="1"/>
  <c r="CL94" i="148"/>
  <c r="CI94" i="149" s="1"/>
  <c r="CF94" i="148"/>
  <c r="CC94" i="149" s="1"/>
  <c r="CT94" i="148"/>
  <c r="CQ94" i="149" s="1"/>
  <c r="CK94" i="148"/>
  <c r="CH94" i="149" s="1"/>
  <c r="BW94" i="148"/>
  <c r="BT94" i="149" s="1"/>
  <c r="BK94" i="148"/>
  <c r="BH94" i="149" s="1"/>
  <c r="CE94" i="148"/>
  <c r="CB94" i="149" s="1"/>
  <c r="BA94" i="148"/>
  <c r="AX94" i="149" s="1"/>
  <c r="E94" i="148"/>
  <c r="BT94" i="148"/>
  <c r="BQ94" i="149" s="1"/>
  <c r="AY94" i="148"/>
  <c r="AV94" i="149" s="1"/>
  <c r="V94" i="148"/>
  <c r="BU94" i="148"/>
  <c r="BR94" i="149" s="1"/>
  <c r="CG94" i="148"/>
  <c r="CD94" i="149" s="1"/>
  <c r="CU94" i="148"/>
  <c r="CR94" i="149" s="1"/>
  <c r="CZ94" i="148"/>
  <c r="CW94" i="149" s="1"/>
  <c r="AX94" i="148"/>
  <c r="AU94" i="149" s="1"/>
  <c r="CO94" i="148"/>
  <c r="CL94" i="149" s="1"/>
  <c r="D94" i="148"/>
  <c r="Q92" i="148"/>
  <c r="V92" i="148"/>
  <c r="AY92" i="148"/>
  <c r="AV92" i="149" s="1"/>
  <c r="BR92" i="148"/>
  <c r="BO92" i="149" s="1"/>
  <c r="BW92" i="148"/>
  <c r="BT92" i="149" s="1"/>
  <c r="DA92" i="148"/>
  <c r="CX92" i="149" s="1"/>
  <c r="R92" i="148"/>
  <c r="CX92" i="148"/>
  <c r="CU92" i="149" s="1"/>
  <c r="BK92" i="148"/>
  <c r="BH92" i="149" s="1"/>
  <c r="BQ92" i="148"/>
  <c r="BN92" i="149" s="1"/>
  <c r="BV92" i="148"/>
  <c r="BS92" i="149" s="1"/>
  <c r="CK92" i="148"/>
  <c r="CH92" i="149" s="1"/>
  <c r="BP92" i="148"/>
  <c r="BM92" i="149" s="1"/>
  <c r="BH92" i="148"/>
  <c r="BL92" i="149" s="1"/>
  <c r="CU92" i="148"/>
  <c r="CR92" i="149" s="1"/>
  <c r="CA92" i="148"/>
  <c r="BX92" i="149" s="1"/>
  <c r="BI92" i="148"/>
  <c r="BF92" i="149" s="1"/>
  <c r="AV92" i="148"/>
  <c r="AS92" i="149" s="1"/>
  <c r="BA92" i="148"/>
  <c r="AX92" i="149" s="1"/>
  <c r="AW92" i="148"/>
  <c r="AT92" i="149" s="1"/>
  <c r="BJ92" i="148"/>
  <c r="BG92" i="149" s="1"/>
  <c r="CT92" i="148"/>
  <c r="CQ92" i="149" s="1"/>
  <c r="I92" i="148"/>
  <c r="BO92" i="148"/>
  <c r="F92" i="148"/>
  <c r="CL92" i="148"/>
  <c r="CI92" i="149" s="1"/>
  <c r="CY92" i="148"/>
  <c r="CV92" i="149" s="1"/>
  <c r="BY92" i="148"/>
  <c r="BV92" i="149" s="1"/>
  <c r="BB92" i="148"/>
  <c r="AY92" i="149" s="1"/>
  <c r="G92" i="148"/>
  <c r="BT92" i="148"/>
  <c r="BQ92" i="149" s="1"/>
  <c r="H92" i="148"/>
  <c r="BL92" i="148"/>
  <c r="BI92" i="149" s="1"/>
  <c r="CQ92" i="148"/>
  <c r="CN92" i="149" s="1"/>
  <c r="CB92" i="148"/>
  <c r="BY92" i="149" s="1"/>
  <c r="CI92" i="148"/>
  <c r="CF92" i="149" s="1"/>
  <c r="CV92" i="148"/>
  <c r="CS92" i="149" s="1"/>
  <c r="CS92" i="148"/>
  <c r="CP92" i="149" s="1"/>
  <c r="BM92" i="148"/>
  <c r="BJ92" i="149" s="1"/>
  <c r="BZ92" i="148"/>
  <c r="BW92" i="149" s="1"/>
  <c r="CM92" i="148"/>
  <c r="CJ92" i="149" s="1"/>
  <c r="CO92" i="148"/>
  <c r="CL92" i="149" s="1"/>
  <c r="CC92" i="148"/>
  <c r="BZ92" i="149" s="1"/>
  <c r="AZ92" i="148"/>
  <c r="AW92" i="149" s="1"/>
  <c r="BC92" i="148"/>
  <c r="AZ92" i="149" s="1"/>
  <c r="AX92" i="148"/>
  <c r="AU92" i="149" s="1"/>
  <c r="CP92" i="148"/>
  <c r="CM92" i="149" s="1"/>
  <c r="CF92" i="148"/>
  <c r="CC92" i="149" s="1"/>
  <c r="CD92" i="148"/>
  <c r="CA92" i="149" s="1"/>
  <c r="BD92" i="148"/>
  <c r="BA92" i="149" s="1"/>
  <c r="CR92" i="148"/>
  <c r="CO92" i="149" s="1"/>
  <c r="E92" i="148"/>
  <c r="CW92" i="148"/>
  <c r="CT92" i="149" s="1"/>
  <c r="BG92" i="148"/>
  <c r="BD92" i="149" s="1"/>
  <c r="CG92" i="148"/>
  <c r="CD92" i="149" s="1"/>
  <c r="BN92" i="148"/>
  <c r="BK92" i="149" s="1"/>
  <c r="BX92" i="148"/>
  <c r="BU92" i="149" s="1"/>
  <c r="CZ92" i="148"/>
  <c r="CW92" i="149" s="1"/>
  <c r="CH92" i="148"/>
  <c r="CE92" i="149" s="1"/>
  <c r="BE92" i="148"/>
  <c r="BB92" i="149" s="1"/>
  <c r="BU92" i="148"/>
  <c r="BR92" i="149" s="1"/>
  <c r="CN92" i="148"/>
  <c r="CK92" i="149" s="1"/>
  <c r="CJ92" i="148"/>
  <c r="CG92" i="149" s="1"/>
  <c r="CE92" i="148"/>
  <c r="CB92" i="149" s="1"/>
  <c r="BS92" i="148"/>
  <c r="BP92" i="149" s="1"/>
  <c r="BF92" i="148"/>
  <c r="BC92" i="149" s="1"/>
  <c r="D92" i="148"/>
  <c r="DB135" i="149"/>
  <c r="DA135" i="149"/>
  <c r="CZ135" i="149"/>
  <c r="CY135" i="149"/>
  <c r="BL135" i="149"/>
  <c r="DA157" i="149"/>
  <c r="CZ157" i="149"/>
  <c r="DB157" i="149"/>
  <c r="BL157" i="149"/>
  <c r="Q22" i="148"/>
  <c r="F22" i="148"/>
  <c r="V22" i="148"/>
  <c r="I22" i="148"/>
  <c r="E22" i="148"/>
  <c r="R22" i="148"/>
  <c r="H22" i="148"/>
  <c r="CY22" i="148"/>
  <c r="CV22" i="149" s="1"/>
  <c r="CA22" i="148"/>
  <c r="BX22" i="149" s="1"/>
  <c r="CZ22" i="148"/>
  <c r="CW22" i="149" s="1"/>
  <c r="CS22" i="148"/>
  <c r="CP22" i="149" s="1"/>
  <c r="D22" i="148"/>
  <c r="CP22" i="148"/>
  <c r="CM22" i="149" s="1"/>
  <c r="CX22" i="148"/>
  <c r="CU22" i="149" s="1"/>
  <c r="CD22" i="148"/>
  <c r="CA22" i="149" s="1"/>
  <c r="CL22" i="148"/>
  <c r="CI22" i="149" s="1"/>
  <c r="CH22" i="148"/>
  <c r="CE22" i="149" s="1"/>
  <c r="BZ22" i="148"/>
  <c r="BW22" i="149" s="1"/>
  <c r="CQ22" i="148"/>
  <c r="CN22" i="149" s="1"/>
  <c r="CB22" i="148"/>
  <c r="BY22" i="149" s="1"/>
  <c r="CK22" i="148"/>
  <c r="CH22" i="149" s="1"/>
  <c r="CM22" i="148"/>
  <c r="CJ22" i="149" s="1"/>
  <c r="CR22" i="148"/>
  <c r="CO22" i="149" s="1"/>
  <c r="BE22" i="148"/>
  <c r="BB22" i="149" s="1"/>
  <c r="DA22" i="148"/>
  <c r="CX22" i="149" s="1"/>
  <c r="BV22" i="148"/>
  <c r="BS22" i="149" s="1"/>
  <c r="CE22" i="148"/>
  <c r="CB22" i="149" s="1"/>
  <c r="AV22" i="148"/>
  <c r="AS22" i="149" s="1"/>
  <c r="BW22" i="148"/>
  <c r="BT22" i="149" s="1"/>
  <c r="BX22" i="148"/>
  <c r="BU22" i="149" s="1"/>
  <c r="CC22" i="148"/>
  <c r="BZ22" i="149" s="1"/>
  <c r="CO22" i="148"/>
  <c r="CL22" i="149" s="1"/>
  <c r="CG22" i="148"/>
  <c r="CD22" i="149" s="1"/>
  <c r="AX22" i="148"/>
  <c r="AU22" i="149" s="1"/>
  <c r="CV22" i="148"/>
  <c r="CS22" i="149" s="1"/>
  <c r="CJ22" i="148"/>
  <c r="CG22" i="149" s="1"/>
  <c r="BF22" i="148"/>
  <c r="BC22" i="149" s="1"/>
  <c r="CF22" i="148"/>
  <c r="CC22" i="149" s="1"/>
  <c r="CN22" i="148"/>
  <c r="CK22" i="149" s="1"/>
  <c r="CW22" i="148"/>
  <c r="CT22" i="149" s="1"/>
  <c r="BY22" i="148"/>
  <c r="BV22" i="149" s="1"/>
  <c r="AW22" i="148"/>
  <c r="AT22" i="149" s="1"/>
  <c r="CT22" i="148"/>
  <c r="CQ22" i="149" s="1"/>
  <c r="CU22" i="148"/>
  <c r="CR22" i="149" s="1"/>
  <c r="BD22" i="148"/>
  <c r="BA22" i="149" s="1"/>
  <c r="G22" i="148"/>
  <c r="BP22" i="148"/>
  <c r="BM22" i="149" s="1"/>
  <c r="CI22" i="148"/>
  <c r="CF22" i="149" s="1"/>
  <c r="BU22" i="148"/>
  <c r="BR22" i="149" s="1"/>
  <c r="BR22" i="148"/>
  <c r="BO22" i="149" s="1"/>
  <c r="BG22" i="148"/>
  <c r="BD22" i="149" s="1"/>
  <c r="AY22" i="148"/>
  <c r="AV22" i="149" s="1"/>
  <c r="BK22" i="148"/>
  <c r="BH22" i="149" s="1"/>
  <c r="BM22" i="148"/>
  <c r="BJ22" i="149" s="1"/>
  <c r="BQ22" i="148"/>
  <c r="BN22" i="149" s="1"/>
  <c r="BT22" i="148"/>
  <c r="BQ22" i="149" s="1"/>
  <c r="BO22" i="148"/>
  <c r="BI22" i="148"/>
  <c r="BF22" i="149" s="1"/>
  <c r="AZ22" i="148"/>
  <c r="AW22" i="149" s="1"/>
  <c r="BJ22" i="148"/>
  <c r="BG22" i="149" s="1"/>
  <c r="BB22" i="148"/>
  <c r="AY22" i="149" s="1"/>
  <c r="BL22" i="148"/>
  <c r="BI22" i="149" s="1"/>
  <c r="BH22" i="148"/>
  <c r="BC22" i="148"/>
  <c r="AZ22" i="149" s="1"/>
  <c r="BN22" i="148"/>
  <c r="BK22" i="149" s="1"/>
  <c r="BS22" i="148"/>
  <c r="BP22" i="149" s="1"/>
  <c r="BA22" i="148"/>
  <c r="AX22" i="149" s="1"/>
  <c r="Q139" i="148"/>
  <c r="F139" i="148"/>
  <c r="I139" i="148"/>
  <c r="H139" i="148"/>
  <c r="V139" i="148"/>
  <c r="E139" i="148"/>
  <c r="R139" i="148"/>
  <c r="CS139" i="148"/>
  <c r="CP139" i="149" s="1"/>
  <c r="BQ139" i="148"/>
  <c r="BN139" i="149" s="1"/>
  <c r="AY139" i="148"/>
  <c r="AV139" i="149" s="1"/>
  <c r="BP139" i="148"/>
  <c r="BM139" i="149" s="1"/>
  <c r="AX139" i="148"/>
  <c r="AU139" i="149" s="1"/>
  <c r="BX139" i="148"/>
  <c r="BU139" i="149" s="1"/>
  <c r="CY139" i="148"/>
  <c r="CV139" i="149" s="1"/>
  <c r="CZ139" i="148"/>
  <c r="CW139" i="149" s="1"/>
  <c r="BE139" i="148"/>
  <c r="BB139" i="149" s="1"/>
  <c r="CL139" i="148"/>
  <c r="CI139" i="149" s="1"/>
  <c r="BH139" i="148"/>
  <c r="BE139" i="149" s="1"/>
  <c r="G139" i="148"/>
  <c r="CK139" i="148"/>
  <c r="CH139" i="149" s="1"/>
  <c r="CE139" i="148"/>
  <c r="CB139" i="149" s="1"/>
  <c r="AZ139" i="148"/>
  <c r="AW139" i="149" s="1"/>
  <c r="CP139" i="148"/>
  <c r="CM139" i="149" s="1"/>
  <c r="BN139" i="148"/>
  <c r="BK139" i="149" s="1"/>
  <c r="CO139" i="148"/>
  <c r="CL139" i="149" s="1"/>
  <c r="DA139" i="148"/>
  <c r="CX139" i="149" s="1"/>
  <c r="BC139" i="148"/>
  <c r="AZ139" i="149" s="1"/>
  <c r="BG139" i="148"/>
  <c r="BD139" i="149" s="1"/>
  <c r="BW139" i="148"/>
  <c r="BT139" i="149" s="1"/>
  <c r="CQ139" i="148"/>
  <c r="CN139" i="149" s="1"/>
  <c r="BZ139" i="148"/>
  <c r="BW139" i="149" s="1"/>
  <c r="BL139" i="148"/>
  <c r="BI139" i="149" s="1"/>
  <c r="AV139" i="148"/>
  <c r="AS139" i="149" s="1"/>
  <c r="CF139" i="148"/>
  <c r="CC139" i="149" s="1"/>
  <c r="BI139" i="148"/>
  <c r="BF139" i="149" s="1"/>
  <c r="BU139" i="148"/>
  <c r="BR139" i="149" s="1"/>
  <c r="BY139" i="148"/>
  <c r="BV139" i="149" s="1"/>
  <c r="BM139" i="148"/>
  <c r="BJ139" i="149" s="1"/>
  <c r="CV139" i="148"/>
  <c r="CS139" i="149" s="1"/>
  <c r="BJ139" i="148"/>
  <c r="BG139" i="149" s="1"/>
  <c r="CM139" i="148"/>
  <c r="CJ139" i="149" s="1"/>
  <c r="CG139" i="148"/>
  <c r="CD139" i="149" s="1"/>
  <c r="CX139" i="148"/>
  <c r="CU139" i="149" s="1"/>
  <c r="CB139" i="148"/>
  <c r="BY139" i="149" s="1"/>
  <c r="BV139" i="148"/>
  <c r="BS139" i="149" s="1"/>
  <c r="CA139" i="148"/>
  <c r="BX139" i="149" s="1"/>
  <c r="CT139" i="148"/>
  <c r="CQ139" i="149" s="1"/>
  <c r="AW139" i="148"/>
  <c r="AT139" i="149" s="1"/>
  <c r="CW139" i="148"/>
  <c r="CT139" i="149" s="1"/>
  <c r="CJ139" i="148"/>
  <c r="CG139" i="149" s="1"/>
  <c r="CN139" i="148"/>
  <c r="CK139" i="149" s="1"/>
  <c r="D139" i="148"/>
  <c r="CH139" i="148"/>
  <c r="CE139" i="149" s="1"/>
  <c r="BD139" i="148"/>
  <c r="BA139" i="149" s="1"/>
  <c r="CD139" i="148"/>
  <c r="CA139" i="149" s="1"/>
  <c r="BA139" i="148"/>
  <c r="AX139" i="149" s="1"/>
  <c r="BT139" i="148"/>
  <c r="BQ139" i="149" s="1"/>
  <c r="BK139" i="148"/>
  <c r="BH139" i="149" s="1"/>
  <c r="CC139" i="148"/>
  <c r="BZ139" i="149" s="1"/>
  <c r="BB139" i="148"/>
  <c r="AY139" i="149" s="1"/>
  <c r="CU139" i="148"/>
  <c r="CR139" i="149" s="1"/>
  <c r="CI139" i="148"/>
  <c r="CF139" i="149" s="1"/>
  <c r="BO139" i="148"/>
  <c r="BF139" i="148"/>
  <c r="BC139" i="149" s="1"/>
  <c r="BS139" i="148"/>
  <c r="BP139" i="149" s="1"/>
  <c r="BR139" i="148"/>
  <c r="BO139" i="149" s="1"/>
  <c r="CR139" i="148"/>
  <c r="CO139" i="149" s="1"/>
  <c r="DB120" i="149"/>
  <c r="CY120" i="149"/>
  <c r="DA120" i="149"/>
  <c r="CZ120" i="149"/>
  <c r="BE120" i="149"/>
  <c r="BL120" i="149"/>
  <c r="DA152" i="149"/>
  <c r="DB152" i="149"/>
  <c r="CZ152" i="149"/>
  <c r="CY152" i="149"/>
  <c r="BL152" i="149"/>
  <c r="BS38" i="149"/>
  <c r="DB38" i="149"/>
  <c r="DA38" i="149"/>
  <c r="CZ38" i="149"/>
  <c r="BL38" i="149"/>
  <c r="DA132" i="149"/>
  <c r="CZ132" i="149"/>
  <c r="DB132" i="149"/>
  <c r="CY132" i="149"/>
  <c r="BE132" i="149"/>
  <c r="BL132" i="149"/>
  <c r="CZ63" i="149"/>
  <c r="DA63" i="149"/>
  <c r="DB63" i="149"/>
  <c r="BE63" i="149"/>
  <c r="BL63" i="149"/>
  <c r="DA44" i="149"/>
  <c r="DB44" i="149"/>
  <c r="CZ44" i="149"/>
  <c r="BL44" i="149"/>
  <c r="DA116" i="149"/>
  <c r="CZ116" i="149"/>
  <c r="DB116" i="149"/>
  <c r="CY116" i="149"/>
  <c r="BL116" i="149"/>
  <c r="DB36" i="149"/>
  <c r="DA36" i="149"/>
  <c r="CZ36" i="149"/>
  <c r="BL36" i="149"/>
  <c r="DB88" i="149"/>
  <c r="DA88" i="149"/>
  <c r="CZ88" i="149"/>
  <c r="CY88" i="149"/>
  <c r="BL88" i="149"/>
  <c r="Q116" i="148"/>
  <c r="BK116" i="148"/>
  <c r="BH116" i="149" s="1"/>
  <c r="CB116" i="148"/>
  <c r="BY116" i="149" s="1"/>
  <c r="CH116" i="148"/>
  <c r="CE116" i="149" s="1"/>
  <c r="CW116" i="148"/>
  <c r="CT116" i="149" s="1"/>
  <c r="CI116" i="148"/>
  <c r="CF116" i="149" s="1"/>
  <c r="BS116" i="148"/>
  <c r="BP116" i="149" s="1"/>
  <c r="I116" i="148"/>
  <c r="V116" i="148"/>
  <c r="CV116" i="148"/>
  <c r="CS116" i="149" s="1"/>
  <c r="R116" i="148"/>
  <c r="DA116" i="148"/>
  <c r="CX116" i="149" s="1"/>
  <c r="CP116" i="148"/>
  <c r="CM116" i="149" s="1"/>
  <c r="CD116" i="148"/>
  <c r="CA116" i="149" s="1"/>
  <c r="CF116" i="148"/>
  <c r="CC116" i="149" s="1"/>
  <c r="BP116" i="148"/>
  <c r="BM116" i="149" s="1"/>
  <c r="CK116" i="148"/>
  <c r="CH116" i="149" s="1"/>
  <c r="E116" i="148"/>
  <c r="G116" i="148"/>
  <c r="CM116" i="148"/>
  <c r="CJ116" i="149" s="1"/>
  <c r="CT116" i="148"/>
  <c r="CQ116" i="149" s="1"/>
  <c r="BG116" i="148"/>
  <c r="BD116" i="149" s="1"/>
  <c r="BZ116" i="148"/>
  <c r="BW116" i="149" s="1"/>
  <c r="CY116" i="148"/>
  <c r="CV116" i="149" s="1"/>
  <c r="H116" i="148"/>
  <c r="CS116" i="148"/>
  <c r="CP116" i="149" s="1"/>
  <c r="CC116" i="148"/>
  <c r="BZ116" i="149" s="1"/>
  <c r="BF116" i="148"/>
  <c r="BC116" i="149" s="1"/>
  <c r="BX116" i="148"/>
  <c r="BU116" i="149" s="1"/>
  <c r="CE116" i="148"/>
  <c r="CB116" i="149" s="1"/>
  <c r="CL116" i="148"/>
  <c r="CI116" i="149" s="1"/>
  <c r="CN116" i="148"/>
  <c r="CK116" i="149" s="1"/>
  <c r="CU116" i="148"/>
  <c r="CR116" i="149" s="1"/>
  <c r="F116" i="148"/>
  <c r="BT116" i="148"/>
  <c r="BQ116" i="149" s="1"/>
  <c r="CO116" i="148"/>
  <c r="CL116" i="149" s="1"/>
  <c r="AV116" i="148"/>
  <c r="AS116" i="149" s="1"/>
  <c r="AY116" i="148"/>
  <c r="AV116" i="149" s="1"/>
  <c r="CQ116" i="148"/>
  <c r="CN116" i="149" s="1"/>
  <c r="CA116" i="148"/>
  <c r="BX116" i="149" s="1"/>
  <c r="BY116" i="148"/>
  <c r="BV116" i="149" s="1"/>
  <c r="CJ116" i="148"/>
  <c r="CG116" i="149" s="1"/>
  <c r="CG116" i="148"/>
  <c r="CD116" i="149" s="1"/>
  <c r="CX116" i="148"/>
  <c r="CU116" i="149" s="1"/>
  <c r="CZ116" i="148"/>
  <c r="CW116" i="149" s="1"/>
  <c r="BR116" i="148"/>
  <c r="BO116" i="149" s="1"/>
  <c r="CR116" i="148"/>
  <c r="CO116" i="149" s="1"/>
  <c r="AW116" i="148"/>
  <c r="AT116" i="149" s="1"/>
  <c r="BC116" i="148"/>
  <c r="AZ116" i="149" s="1"/>
  <c r="BV116" i="148"/>
  <c r="BS116" i="149" s="1"/>
  <c r="BI116" i="148"/>
  <c r="BF116" i="149" s="1"/>
  <c r="BA116" i="148"/>
  <c r="AX116" i="149" s="1"/>
  <c r="BN116" i="148"/>
  <c r="BK116" i="149" s="1"/>
  <c r="BB116" i="148"/>
  <c r="AY116" i="149" s="1"/>
  <c r="BL116" i="148"/>
  <c r="BI116" i="149" s="1"/>
  <c r="BE116" i="148"/>
  <c r="BB116" i="149" s="1"/>
  <c r="BH116" i="148"/>
  <c r="BE116" i="149" s="1"/>
  <c r="BQ116" i="148"/>
  <c r="BN116" i="149" s="1"/>
  <c r="BJ116" i="148"/>
  <c r="BG116" i="149" s="1"/>
  <c r="AZ116" i="148"/>
  <c r="AW116" i="149" s="1"/>
  <c r="D116" i="148"/>
  <c r="BM116" i="148"/>
  <c r="BJ116" i="149" s="1"/>
  <c r="BO116" i="148"/>
  <c r="Q51" i="148"/>
  <c r="I51" i="148"/>
  <c r="CX51" i="148"/>
  <c r="CU51" i="149" s="1"/>
  <c r="CW51" i="148"/>
  <c r="CT51" i="149" s="1"/>
  <c r="AW51" i="148"/>
  <c r="AT51" i="149" s="1"/>
  <c r="R51" i="148"/>
  <c r="CI51" i="148"/>
  <c r="CF51" i="149" s="1"/>
  <c r="CH51" i="148"/>
  <c r="CE51" i="149" s="1"/>
  <c r="BF51" i="148"/>
  <c r="BC51" i="149" s="1"/>
  <c r="AX51" i="148"/>
  <c r="AU51" i="149" s="1"/>
  <c r="H51" i="148"/>
  <c r="CQ51" i="148"/>
  <c r="CN51" i="149" s="1"/>
  <c r="CG51" i="148"/>
  <c r="CD51" i="149" s="1"/>
  <c r="CO51" i="148"/>
  <c r="CL51" i="149" s="1"/>
  <c r="BT51" i="148"/>
  <c r="BQ51" i="149" s="1"/>
  <c r="E51" i="148"/>
  <c r="CA51" i="148"/>
  <c r="BX51" i="149" s="1"/>
  <c r="CL51" i="148"/>
  <c r="CI51" i="149" s="1"/>
  <c r="AY51" i="148"/>
  <c r="AV51" i="149" s="1"/>
  <c r="CR51" i="148"/>
  <c r="CO51" i="149" s="1"/>
  <c r="V51" i="148"/>
  <c r="CC51" i="148"/>
  <c r="BZ51" i="149" s="1"/>
  <c r="CY51" i="148"/>
  <c r="CV51" i="149" s="1"/>
  <c r="BG51" i="148"/>
  <c r="BD51" i="149" s="1"/>
  <c r="F51" i="148"/>
  <c r="BY51" i="148"/>
  <c r="BV51" i="149" s="1"/>
  <c r="CK51" i="148"/>
  <c r="CH51" i="149" s="1"/>
  <c r="BR51" i="148"/>
  <c r="BO51" i="149" s="1"/>
  <c r="G51" i="148"/>
  <c r="CD51" i="148"/>
  <c r="CA51" i="149" s="1"/>
  <c r="CJ51" i="148"/>
  <c r="CG51" i="149" s="1"/>
  <c r="BP51" i="148"/>
  <c r="BM51" i="149" s="1"/>
  <c r="CP51" i="148"/>
  <c r="CM51" i="149" s="1"/>
  <c r="DA51" i="148"/>
  <c r="CX51" i="149" s="1"/>
  <c r="CT51" i="148"/>
  <c r="CQ51" i="149" s="1"/>
  <c r="BV51" i="148"/>
  <c r="BS51" i="149" s="1"/>
  <c r="CN51" i="148"/>
  <c r="CK51" i="149" s="1"/>
  <c r="BZ51" i="148"/>
  <c r="BW51" i="149" s="1"/>
  <c r="CF51" i="148"/>
  <c r="CC51" i="149" s="1"/>
  <c r="BS51" i="148"/>
  <c r="BP51" i="149" s="1"/>
  <c r="CB51" i="148"/>
  <c r="BY51" i="149" s="1"/>
  <c r="CS51" i="148"/>
  <c r="CP51" i="149" s="1"/>
  <c r="CM51" i="148"/>
  <c r="CJ51" i="149" s="1"/>
  <c r="CU51" i="148"/>
  <c r="CR51" i="149" s="1"/>
  <c r="CZ51" i="148"/>
  <c r="CW51" i="149" s="1"/>
  <c r="CE51" i="148"/>
  <c r="CB51" i="149" s="1"/>
  <c r="BE51" i="148"/>
  <c r="BB51" i="149" s="1"/>
  <c r="BQ51" i="148"/>
  <c r="BN51" i="149" s="1"/>
  <c r="BX51" i="148"/>
  <c r="BU51" i="149" s="1"/>
  <c r="BH51" i="148"/>
  <c r="BE51" i="149" s="1"/>
  <c r="BA51" i="148"/>
  <c r="AX51" i="149" s="1"/>
  <c r="BJ51" i="148"/>
  <c r="BG51" i="149" s="1"/>
  <c r="BK51" i="148"/>
  <c r="BH51" i="149" s="1"/>
  <c r="BC51" i="148"/>
  <c r="AZ51" i="149" s="1"/>
  <c r="BL51" i="148"/>
  <c r="BI51" i="149" s="1"/>
  <c r="BM51" i="148"/>
  <c r="BJ51" i="149" s="1"/>
  <c r="AZ51" i="148"/>
  <c r="AW51" i="149" s="1"/>
  <c r="BI51" i="148"/>
  <c r="BF51" i="149" s="1"/>
  <c r="BB51" i="148"/>
  <c r="AY51" i="149" s="1"/>
  <c r="BO51" i="148"/>
  <c r="BN51" i="148"/>
  <c r="BK51" i="149" s="1"/>
  <c r="D51" i="148"/>
  <c r="DB89" i="149"/>
  <c r="CY89" i="149"/>
  <c r="DA89" i="149"/>
  <c r="CZ89" i="149"/>
  <c r="BL89" i="149"/>
  <c r="R32" i="151"/>
  <c r="D32" i="151"/>
  <c r="G32" i="151"/>
  <c r="P32" i="151"/>
  <c r="H32" i="151"/>
  <c r="E32" i="151"/>
  <c r="CU32" i="151"/>
  <c r="CF32" i="151"/>
  <c r="CC32" i="151"/>
  <c r="CI32" i="151"/>
  <c r="CB32" i="151"/>
  <c r="CH32" i="151"/>
  <c r="CE32" i="151"/>
  <c r="BX32" i="151"/>
  <c r="F32" i="151"/>
  <c r="BT32" i="151"/>
  <c r="CD32" i="151"/>
  <c r="CJ32" i="151"/>
  <c r="BV32" i="151"/>
  <c r="BU32" i="151"/>
  <c r="CL32" i="151"/>
  <c r="CS32" i="151"/>
  <c r="CM32" i="151"/>
  <c r="BW32" i="151"/>
  <c r="CV32" i="151"/>
  <c r="CG32" i="151"/>
  <c r="CO32" i="151"/>
  <c r="CN32" i="151"/>
  <c r="CW32" i="151"/>
  <c r="CP32" i="151"/>
  <c r="CT32" i="151"/>
  <c r="CK32" i="151"/>
  <c r="BZ32" i="151"/>
  <c r="CR32" i="151"/>
  <c r="CQ32" i="151"/>
  <c r="BY32" i="151"/>
  <c r="CA32" i="151"/>
  <c r="BR32" i="151"/>
  <c r="AU32" i="151"/>
  <c r="BF32" i="151"/>
  <c r="BA32" i="151"/>
  <c r="AT32" i="151"/>
  <c r="AR32" i="151"/>
  <c r="BB32" i="151"/>
  <c r="BD32" i="151"/>
  <c r="BC32" i="151"/>
  <c r="BO32" i="151"/>
  <c r="BQ32" i="151"/>
  <c r="AW32" i="151"/>
  <c r="AZ32" i="151"/>
  <c r="BL32" i="151"/>
  <c r="BE32" i="151"/>
  <c r="AY32" i="151"/>
  <c r="AX32" i="151"/>
  <c r="BH32" i="151"/>
  <c r="BM32" i="151"/>
  <c r="AV32" i="151"/>
  <c r="AS32" i="151"/>
  <c r="BN32" i="151"/>
  <c r="BI32" i="151"/>
  <c r="BG32" i="151"/>
  <c r="BP32" i="151"/>
  <c r="BS32" i="151"/>
  <c r="BJ32" i="151"/>
  <c r="BK32" i="151"/>
  <c r="H22" i="153"/>
  <c r="G22" i="153"/>
  <c r="D22" i="153"/>
  <c r="P22" i="153"/>
  <c r="R22" i="153"/>
  <c r="E22" i="153"/>
  <c r="C22" i="153"/>
  <c r="CP22" i="153"/>
  <c r="CK22" i="153"/>
  <c r="CE22" i="153"/>
  <c r="F22" i="153"/>
  <c r="CV22" i="153"/>
  <c r="BT22" i="153"/>
  <c r="CH22" i="153"/>
  <c r="CM22" i="153"/>
  <c r="CD22" i="153"/>
  <c r="BY22" i="153"/>
  <c r="CL22" i="153"/>
  <c r="BX22" i="153"/>
  <c r="BU22" i="153"/>
  <c r="BZ22" i="153"/>
  <c r="CR22" i="153"/>
  <c r="CC22" i="153"/>
  <c r="CO22" i="153"/>
  <c r="CB22" i="153"/>
  <c r="CA22" i="153"/>
  <c r="CQ22" i="153"/>
  <c r="BV22" i="153"/>
  <c r="BW22" i="153"/>
  <c r="CS22" i="153"/>
  <c r="CI22" i="153"/>
  <c r="CT22" i="153"/>
  <c r="CW22" i="153"/>
  <c r="CG22" i="153"/>
  <c r="CU22" i="153"/>
  <c r="CJ22" i="153"/>
  <c r="CN22" i="153"/>
  <c r="CF22" i="153"/>
  <c r="BC22" i="153"/>
  <c r="BL22" i="153"/>
  <c r="AU22" i="153"/>
  <c r="BH22" i="153"/>
  <c r="BJ22" i="153"/>
  <c r="BK22" i="153"/>
  <c r="AW22" i="153"/>
  <c r="BS22" i="153"/>
  <c r="AZ22" i="153"/>
  <c r="BM22" i="153"/>
  <c r="AR22" i="153"/>
  <c r="BF22" i="153"/>
  <c r="AT22" i="153"/>
  <c r="BP22" i="153"/>
  <c r="BG22" i="153"/>
  <c r="AX22" i="153"/>
  <c r="BD22" i="153"/>
  <c r="BO22" i="153"/>
  <c r="BB22" i="153"/>
  <c r="BE22" i="153"/>
  <c r="BA22" i="153"/>
  <c r="AS22" i="153"/>
  <c r="BR22" i="153"/>
  <c r="AY22" i="153"/>
  <c r="BN22" i="153"/>
  <c r="BI22" i="153"/>
  <c r="BQ22" i="153"/>
  <c r="AV22" i="153"/>
  <c r="R16" i="151"/>
  <c r="P16" i="151"/>
  <c r="G16" i="151"/>
  <c r="E16" i="151"/>
  <c r="H16" i="151"/>
  <c r="D16" i="151"/>
  <c r="BV16" i="151"/>
  <c r="CC16" i="151"/>
  <c r="BX16" i="151"/>
  <c r="CF16" i="151"/>
  <c r="BY16" i="151"/>
  <c r="BU16" i="151"/>
  <c r="BW16" i="151"/>
  <c r="CJ16" i="151"/>
  <c r="CO16" i="151"/>
  <c r="CK16" i="151"/>
  <c r="CT16" i="151"/>
  <c r="BT16" i="151"/>
  <c r="CD16" i="151"/>
  <c r="CV16" i="151"/>
  <c r="BZ16" i="151"/>
  <c r="CA16" i="151"/>
  <c r="CU16" i="151"/>
  <c r="F16" i="151"/>
  <c r="CW16" i="151"/>
  <c r="CG16" i="151"/>
  <c r="CQ16" i="151"/>
  <c r="CN16" i="151"/>
  <c r="CP16" i="151"/>
  <c r="CL16" i="151"/>
  <c r="CM16" i="151"/>
  <c r="CE16" i="151"/>
  <c r="CB16" i="151"/>
  <c r="CS16" i="151"/>
  <c r="CH16" i="151"/>
  <c r="CR16" i="151"/>
  <c r="CI16" i="151"/>
  <c r="BE16" i="151"/>
  <c r="AW16" i="151"/>
  <c r="BG16" i="151"/>
  <c r="BB16" i="151"/>
  <c r="BA16" i="151"/>
  <c r="BP16" i="151"/>
  <c r="BO16" i="151"/>
  <c r="BM16" i="151"/>
  <c r="BR16" i="151"/>
  <c r="AT16" i="151"/>
  <c r="AY16" i="151"/>
  <c r="BJ16" i="151"/>
  <c r="BH16" i="151"/>
  <c r="AR16" i="151"/>
  <c r="BC16" i="151"/>
  <c r="BN16" i="151"/>
  <c r="BF16" i="151"/>
  <c r="BK16" i="151"/>
  <c r="AX16" i="151"/>
  <c r="BD16" i="151"/>
  <c r="BI16" i="151"/>
  <c r="BL16" i="151"/>
  <c r="AU16" i="151"/>
  <c r="AV16" i="151"/>
  <c r="H14" i="151"/>
  <c r="D14" i="151"/>
  <c r="P14" i="151"/>
  <c r="G14" i="151"/>
  <c r="R14" i="151"/>
  <c r="E14" i="151"/>
  <c r="CG14" i="151"/>
  <c r="CA14" i="151"/>
  <c r="CN14" i="151"/>
  <c r="CS14" i="151"/>
  <c r="BW14" i="151"/>
  <c r="BV14" i="151"/>
  <c r="CO14" i="151"/>
  <c r="CE14" i="151"/>
  <c r="F14" i="151"/>
  <c r="CH14" i="151"/>
  <c r="CL14" i="151"/>
  <c r="CP14" i="151"/>
  <c r="BU14" i="151"/>
  <c r="CB14" i="151"/>
  <c r="CF14" i="151"/>
  <c r="CU14" i="151"/>
  <c r="CV14" i="151"/>
  <c r="CD14" i="151"/>
  <c r="CJ14" i="151"/>
  <c r="BT14" i="151"/>
  <c r="CM14" i="151"/>
  <c r="CC14" i="151"/>
  <c r="CI14" i="151"/>
  <c r="CT14" i="151"/>
  <c r="CQ14" i="151"/>
  <c r="BZ14" i="151"/>
  <c r="BY14" i="151"/>
  <c r="CW14" i="151"/>
  <c r="CK14" i="151"/>
  <c r="BX14" i="151"/>
  <c r="AS14" i="151"/>
  <c r="AT14" i="151"/>
  <c r="BL14" i="151"/>
  <c r="BM14" i="151"/>
  <c r="BE14" i="151"/>
  <c r="AU14" i="151"/>
  <c r="BK14" i="151"/>
  <c r="BR14" i="151"/>
  <c r="BN14" i="151"/>
  <c r="BG14" i="151"/>
  <c r="AV14" i="151"/>
  <c r="BJ14" i="151"/>
  <c r="AW14" i="151"/>
  <c r="BD14" i="151"/>
  <c r="BH14" i="151"/>
  <c r="BA14" i="151"/>
  <c r="BP14" i="151"/>
  <c r="BF14" i="151"/>
  <c r="BI14" i="151"/>
  <c r="AY14" i="151"/>
  <c r="BC14" i="151"/>
  <c r="AX14" i="151"/>
  <c r="BB14" i="151"/>
  <c r="BO14" i="151"/>
  <c r="E17" i="153"/>
  <c r="P17" i="153"/>
  <c r="D17" i="153"/>
  <c r="R17" i="153"/>
  <c r="H17" i="153"/>
  <c r="G17" i="153"/>
  <c r="C17" i="153"/>
  <c r="CU17" i="153"/>
  <c r="CK17" i="153"/>
  <c r="BT17" i="153"/>
  <c r="CF17" i="153"/>
  <c r="CH17" i="153"/>
  <c r="CQ17" i="153"/>
  <c r="CR17" i="153"/>
  <c r="BU17" i="153"/>
  <c r="CI17" i="153"/>
  <c r="CT17" i="153"/>
  <c r="CP17" i="153"/>
  <c r="BZ17" i="153"/>
  <c r="CV17" i="153"/>
  <c r="F17" i="153"/>
  <c r="CA17" i="153"/>
  <c r="CM17" i="153"/>
  <c r="CN17" i="153"/>
  <c r="CL17" i="153"/>
  <c r="CS17" i="153"/>
  <c r="CB17" i="153"/>
  <c r="CJ17" i="153"/>
  <c r="CD17" i="153"/>
  <c r="BX17" i="153"/>
  <c r="CO17" i="153"/>
  <c r="BW17" i="153"/>
  <c r="CC17" i="153"/>
  <c r="CE17" i="153"/>
  <c r="BY17" i="153"/>
  <c r="CG17" i="153"/>
  <c r="BV17" i="153"/>
  <c r="CW17" i="153"/>
  <c r="BI17" i="153"/>
  <c r="BN17" i="153"/>
  <c r="AW17" i="153"/>
  <c r="BK17" i="153"/>
  <c r="BS17" i="153"/>
  <c r="BE17" i="153"/>
  <c r="BP17" i="153"/>
  <c r="BH17" i="153"/>
  <c r="BD17" i="153"/>
  <c r="AU17" i="153"/>
  <c r="BR17" i="153"/>
  <c r="BQ17" i="153"/>
  <c r="AS17" i="153"/>
  <c r="BA17" i="153"/>
  <c r="AR17" i="153"/>
  <c r="BL17" i="153"/>
  <c r="BG17" i="153"/>
  <c r="BJ17" i="153"/>
  <c r="AX17" i="153"/>
  <c r="BM17" i="153"/>
  <c r="AV17" i="153"/>
  <c r="BB17" i="153"/>
  <c r="BC17" i="153"/>
  <c r="BO17" i="153"/>
  <c r="AZ17" i="153"/>
  <c r="BF17" i="153"/>
  <c r="AT17" i="153"/>
  <c r="AY17" i="153"/>
  <c r="B486" i="154"/>
  <c r="C486" i="154"/>
  <c r="D460" i="154"/>
  <c r="C714" i="154" l="1"/>
  <c r="B714" i="154"/>
  <c r="C34" i="151"/>
  <c r="C33" i="151"/>
  <c r="C32" i="151"/>
  <c r="C31" i="151"/>
  <c r="C30" i="151"/>
  <c r="C29" i="151"/>
  <c r="C28" i="151"/>
  <c r="C27" i="151"/>
  <c r="C26" i="151"/>
  <c r="C25" i="151"/>
  <c r="C24" i="151"/>
  <c r="C23" i="151"/>
  <c r="C22" i="151"/>
  <c r="C21" i="151"/>
  <c r="C20" i="151"/>
  <c r="C19" i="151"/>
  <c r="C18" i="151"/>
  <c r="C17" i="151"/>
  <c r="C16" i="151"/>
  <c r="C15" i="151"/>
  <c r="C14" i="151"/>
  <c r="C13" i="151"/>
  <c r="C12" i="151"/>
  <c r="C11" i="151"/>
  <c r="C10" i="151"/>
  <c r="C9" i="151"/>
  <c r="C7" i="151"/>
  <c r="C6" i="151"/>
  <c r="C5" i="151"/>
  <c r="C487" i="154"/>
  <c r="B487" i="154"/>
  <c r="D461" i="154"/>
  <c r="C715" i="154" l="1"/>
  <c r="Z5" i="134"/>
  <c r="AD5" i="134"/>
  <c r="Z6" i="134"/>
  <c r="AC5" i="134"/>
  <c r="AA4" i="134"/>
  <c r="AA5" i="134"/>
  <c r="Z4" i="134"/>
  <c r="AB5" i="134"/>
  <c r="AD6" i="134"/>
  <c r="AB6" i="134"/>
  <c r="AA6" i="134"/>
  <c r="AB3" i="134"/>
  <c r="AA3" i="134"/>
  <c r="AE6" i="134"/>
  <c r="AC3" i="134"/>
  <c r="AC6" i="134"/>
  <c r="Z3" i="134"/>
  <c r="AE5" i="134"/>
  <c r="C488" i="154"/>
  <c r="B488" i="154"/>
  <c r="D462" i="154"/>
  <c r="AC7" i="134" l="1"/>
  <c r="AE7" i="134"/>
  <c r="AB8" i="134"/>
  <c r="AB7" i="134"/>
  <c r="AD8" i="134"/>
  <c r="AC8" i="134"/>
  <c r="AD7" i="134"/>
  <c r="AA8" i="134"/>
  <c r="AA7" i="134"/>
  <c r="Z7" i="134"/>
  <c r="AE8" i="134"/>
  <c r="Z8" i="134"/>
  <c r="C489" i="154"/>
  <c r="D463" i="154"/>
  <c r="F9" i="135" l="1"/>
  <c r="B490" i="154"/>
  <c r="C490" i="154"/>
  <c r="D464" i="154"/>
  <c r="D465" i="154"/>
  <c r="B491" i="154" l="1"/>
  <c r="C491" i="154"/>
  <c r="D466" i="154"/>
  <c r="D467" i="154"/>
  <c r="B492" i="154" l="1"/>
  <c r="C492" i="154"/>
  <c r="D468" i="154"/>
  <c r="B493" i="154" l="1"/>
  <c r="C493" i="154"/>
  <c r="D469" i="154"/>
  <c r="B494" i="154" l="1"/>
  <c r="C494" i="154"/>
  <c r="D470" i="154"/>
  <c r="B508" i="154" l="1"/>
  <c r="C495" i="154"/>
  <c r="B495" i="154"/>
  <c r="D471" i="154"/>
  <c r="B496" i="154" l="1"/>
  <c r="C496" i="154"/>
  <c r="D472" i="154"/>
  <c r="B497" i="154" l="1"/>
  <c r="C497" i="154"/>
  <c r="D473" i="154"/>
  <c r="D474" i="154"/>
  <c r="C498" i="154" l="1"/>
  <c r="D475" i="154"/>
  <c r="C499" i="154" l="1"/>
  <c r="B499" i="154"/>
  <c r="D476" i="154"/>
  <c r="C500" i="154" l="1"/>
  <c r="B500" i="154"/>
  <c r="D477" i="154"/>
  <c r="B501" i="154" l="1"/>
  <c r="C501" i="154"/>
  <c r="D478" i="154"/>
  <c r="B502" i="154" l="1"/>
  <c r="C502" i="154"/>
  <c r="D479" i="154"/>
  <c r="D480" i="154"/>
  <c r="C503" i="154" l="1"/>
  <c r="B503" i="154"/>
  <c r="D481" i="154"/>
  <c r="B518" i="154" l="1"/>
  <c r="B504" i="154"/>
  <c r="C504" i="154"/>
  <c r="D482" i="154"/>
  <c r="C505" i="154" l="1"/>
  <c r="B505" i="154"/>
  <c r="D483" i="154"/>
  <c r="B506" i="154" l="1"/>
  <c r="C506" i="154"/>
  <c r="D484" i="154"/>
  <c r="C507" i="154" l="1"/>
  <c r="B507" i="154"/>
  <c r="D485" i="154"/>
  <c r="C508" i="154" l="1"/>
  <c r="D486" i="154"/>
  <c r="B509" i="154" l="1"/>
  <c r="C509" i="154"/>
  <c r="D487" i="154"/>
  <c r="C510" i="154" l="1"/>
  <c r="B510" i="154"/>
  <c r="D488" i="154"/>
  <c r="D489" i="154"/>
  <c r="C511" i="154" l="1"/>
  <c r="B511" i="154"/>
  <c r="D490" i="154"/>
  <c r="B512" i="154" l="1"/>
  <c r="C512" i="154"/>
  <c r="D491" i="154"/>
  <c r="D492" i="154"/>
  <c r="B513" i="154" l="1"/>
  <c r="C513" i="154"/>
  <c r="D493" i="154"/>
  <c r="B528" i="154" l="1"/>
  <c r="C514" i="154"/>
  <c r="B514" i="154"/>
  <c r="D494" i="154"/>
  <c r="D495" i="154"/>
  <c r="B515" i="154" l="1"/>
  <c r="C515" i="154"/>
  <c r="D496" i="154"/>
  <c r="C516" i="154" l="1"/>
  <c r="B516" i="154"/>
  <c r="D497" i="154"/>
  <c r="D498" i="154"/>
  <c r="C517" i="154" l="1"/>
  <c r="B517" i="154"/>
  <c r="D499" i="154"/>
  <c r="C518" i="154" l="1"/>
  <c r="D500" i="154"/>
  <c r="C519" i="154" l="1"/>
  <c r="B519" i="154"/>
  <c r="D501" i="154"/>
  <c r="D502" i="154"/>
  <c r="B520" i="154" l="1"/>
  <c r="C520" i="154"/>
  <c r="D503" i="154"/>
  <c r="B521" i="154" l="1"/>
  <c r="C521" i="154"/>
  <c r="D504" i="154"/>
  <c r="C522" i="154" l="1"/>
  <c r="B522" i="154"/>
  <c r="D505" i="154"/>
  <c r="B537" i="154" l="1"/>
  <c r="C523" i="154"/>
  <c r="B523" i="154"/>
  <c r="D506" i="154"/>
  <c r="C524" i="154" l="1"/>
  <c r="B524" i="154"/>
  <c r="D507" i="154"/>
  <c r="C525" i="154" l="1"/>
  <c r="B525" i="154"/>
  <c r="D508" i="154"/>
  <c r="B526" i="154" l="1"/>
  <c r="C526" i="154"/>
  <c r="D509" i="154"/>
  <c r="B527" i="154" l="1"/>
  <c r="C527" i="154"/>
  <c r="D510" i="154"/>
  <c r="B542" i="154" l="1"/>
  <c r="C528" i="154"/>
  <c r="D511" i="154"/>
  <c r="C529" i="154" l="1"/>
  <c r="B529" i="154"/>
  <c r="D512" i="154"/>
  <c r="B530" i="154" l="1"/>
  <c r="C530" i="154"/>
  <c r="D513" i="154"/>
  <c r="D514" i="154"/>
  <c r="B531" i="154" l="1"/>
  <c r="C531" i="154"/>
  <c r="D515" i="154"/>
  <c r="B532" i="154" l="1"/>
  <c r="C532" i="154"/>
  <c r="D516" i="154"/>
  <c r="B547" i="154" l="1"/>
  <c r="C533" i="154"/>
  <c r="B533" i="154"/>
  <c r="D517" i="154"/>
  <c r="D518" i="154"/>
  <c r="C534" i="154" l="1"/>
  <c r="B534" i="154"/>
  <c r="D519" i="154"/>
  <c r="B535" i="154" l="1"/>
  <c r="C535" i="154"/>
  <c r="D520" i="154"/>
  <c r="B536" i="154" l="1"/>
  <c r="C536" i="154"/>
  <c r="D521" i="154"/>
  <c r="C537" i="154" l="1"/>
  <c r="D522" i="154"/>
  <c r="C538" i="154" l="1"/>
  <c r="B538" i="154"/>
  <c r="D523" i="154"/>
  <c r="B539" i="154" l="1"/>
  <c r="C539" i="154"/>
  <c r="D524" i="154"/>
  <c r="B540" i="154" l="1"/>
  <c r="C540" i="154"/>
  <c r="D525" i="154"/>
  <c r="B541" i="154" l="1"/>
  <c r="C541" i="154"/>
  <c r="D526" i="154"/>
  <c r="C542" i="154" l="1"/>
  <c r="D527" i="154"/>
  <c r="B543" i="154" l="1"/>
  <c r="C543" i="154"/>
  <c r="D528" i="154"/>
  <c r="B557" i="154" l="1"/>
  <c r="C544" i="154"/>
  <c r="B544" i="154"/>
  <c r="D529" i="154"/>
  <c r="C545" i="154" l="1"/>
  <c r="B545" i="154"/>
  <c r="D530" i="154"/>
  <c r="C546" i="154" l="1"/>
  <c r="B546" i="154"/>
  <c r="D531" i="154"/>
  <c r="C547" i="154" l="1"/>
  <c r="D532" i="154"/>
  <c r="C561" i="154" l="1"/>
  <c r="C548" i="154"/>
  <c r="B548" i="154"/>
  <c r="D533" i="154"/>
  <c r="C549" i="154" l="1"/>
  <c r="B549" i="154"/>
  <c r="D534" i="154"/>
  <c r="B550" i="154" l="1"/>
  <c r="C550" i="154"/>
  <c r="D535" i="154"/>
  <c r="C551" i="154" l="1"/>
  <c r="B551" i="154"/>
  <c r="D536" i="154"/>
  <c r="C552" i="154" l="1"/>
  <c r="B552" i="154"/>
  <c r="D537" i="154"/>
  <c r="B553" i="154" l="1"/>
  <c r="C553" i="154"/>
  <c r="D538" i="154"/>
  <c r="B567" i="154" l="1"/>
  <c r="B554" i="154"/>
  <c r="C554" i="154"/>
  <c r="D539" i="154"/>
  <c r="B555" i="154" l="1"/>
  <c r="C555" i="154"/>
  <c r="D540" i="154"/>
  <c r="C556" i="154" l="1"/>
  <c r="B556" i="154"/>
  <c r="D541" i="154"/>
  <c r="C557" i="154" l="1"/>
  <c r="D542" i="154"/>
  <c r="B558" i="154" l="1"/>
  <c r="C558" i="154"/>
  <c r="D543" i="154"/>
  <c r="B559" i="154" l="1"/>
  <c r="C559" i="154"/>
  <c r="D544" i="154"/>
  <c r="B560" i="154" l="1"/>
  <c r="C560" i="154"/>
  <c r="D545" i="154"/>
  <c r="B561" i="154" l="1"/>
  <c r="D546" i="154"/>
  <c r="B577" i="154" l="1"/>
  <c r="B562" i="154"/>
  <c r="C562" i="154"/>
  <c r="D547" i="154"/>
  <c r="B563" i="154" l="1"/>
  <c r="C563" i="154"/>
  <c r="D548" i="154"/>
  <c r="B564" i="154" l="1"/>
  <c r="C564" i="154"/>
  <c r="D549" i="154"/>
  <c r="B565" i="154" l="1"/>
  <c r="C565" i="154"/>
  <c r="D550" i="154"/>
  <c r="C566" i="154" l="1"/>
  <c r="B566" i="154"/>
  <c r="D551" i="154"/>
  <c r="C567" i="154" l="1"/>
  <c r="D552" i="154"/>
  <c r="B568" i="154" l="1"/>
  <c r="C568" i="154"/>
  <c r="D553" i="154"/>
  <c r="B569" i="154" l="1"/>
  <c r="C569" i="154"/>
  <c r="D554" i="154"/>
  <c r="B570" i="154" l="1"/>
  <c r="C570" i="154"/>
  <c r="D555" i="154"/>
  <c r="B594" i="154" l="1"/>
  <c r="C571" i="154"/>
  <c r="B571" i="154"/>
  <c r="D556" i="154"/>
  <c r="B572" i="154" l="1"/>
  <c r="C572" i="154"/>
  <c r="D557" i="154"/>
  <c r="C574" i="154" l="1"/>
  <c r="B574" i="154"/>
  <c r="D558" i="154"/>
  <c r="C575" i="154" l="1"/>
  <c r="B575" i="154"/>
  <c r="D559" i="154"/>
  <c r="C577" i="154" l="1"/>
  <c r="D560" i="154"/>
  <c r="B585" i="154" l="1"/>
  <c r="C585" i="154"/>
  <c r="D561" i="154"/>
  <c r="B586" i="154" l="1"/>
  <c r="C586" i="154"/>
  <c r="D562" i="154"/>
  <c r="B588" i="154" l="1"/>
  <c r="C588" i="154"/>
  <c r="D563" i="154"/>
  <c r="C589" i="154" l="1"/>
  <c r="B589" i="154"/>
  <c r="D564" i="154"/>
  <c r="C590" i="154" l="1"/>
  <c r="B590" i="154"/>
  <c r="D565" i="154"/>
  <c r="B604" i="154" l="1"/>
  <c r="C591" i="154"/>
  <c r="B591" i="154"/>
  <c r="D566" i="154"/>
  <c r="B592" i="154" l="1"/>
  <c r="C592" i="154"/>
  <c r="D567" i="154"/>
  <c r="B593" i="154" l="1"/>
  <c r="C593" i="154"/>
  <c r="D568" i="154"/>
  <c r="C594" i="154" l="1"/>
  <c r="D569" i="154"/>
  <c r="B595" i="154" l="1"/>
  <c r="C595" i="154"/>
  <c r="D570" i="154"/>
  <c r="B596" i="154" l="1"/>
  <c r="C596" i="154"/>
  <c r="D571" i="154"/>
  <c r="C597" i="154" l="1"/>
  <c r="B597" i="154"/>
  <c r="D572" i="154"/>
  <c r="C598" i="154" l="1"/>
  <c r="B598" i="154"/>
  <c r="D574" i="154"/>
  <c r="C599" i="154" l="1"/>
  <c r="B599" i="154"/>
  <c r="D575" i="154"/>
  <c r="C600" i="154" l="1"/>
  <c r="B600" i="154"/>
  <c r="D577" i="154"/>
  <c r="B614" i="154" l="1"/>
  <c r="C601" i="154"/>
  <c r="B601" i="154"/>
  <c r="D585" i="154"/>
  <c r="B602" i="154" l="1"/>
  <c r="C602" i="154"/>
  <c r="D586" i="154"/>
  <c r="B603" i="154" l="1"/>
  <c r="C603" i="154"/>
  <c r="D588" i="154"/>
  <c r="C604" i="154" l="1"/>
  <c r="D589" i="154"/>
  <c r="B605" i="154" l="1"/>
  <c r="C605" i="154"/>
  <c r="D590" i="154"/>
  <c r="C606" i="154" l="1"/>
  <c r="B606" i="154"/>
  <c r="D591" i="154"/>
  <c r="C607" i="154" l="1"/>
  <c r="B607" i="154"/>
  <c r="D592" i="154"/>
  <c r="B608" i="154" l="1"/>
  <c r="C608" i="154"/>
  <c r="D593" i="154"/>
  <c r="C609" i="154" l="1"/>
  <c r="B609" i="154"/>
  <c r="D594" i="154"/>
  <c r="C610" i="154" l="1"/>
  <c r="B610" i="154"/>
  <c r="D595" i="154"/>
  <c r="B624" i="154" l="1"/>
  <c r="B611" i="154"/>
  <c r="C611" i="154"/>
  <c r="D596" i="154"/>
  <c r="B612" i="154" l="1"/>
  <c r="C612" i="154"/>
  <c r="D597" i="154"/>
  <c r="C613" i="154" l="1"/>
  <c r="B613" i="154"/>
  <c r="D598" i="154"/>
  <c r="B628" i="154" l="1"/>
  <c r="C628" i="154"/>
  <c r="C627" i="154"/>
  <c r="C614" i="154"/>
  <c r="D599" i="154"/>
  <c r="C629" i="154" l="1"/>
  <c r="B629" i="154"/>
  <c r="B615" i="154"/>
  <c r="C615" i="154"/>
  <c r="D600" i="154"/>
  <c r="C630" i="154" l="1"/>
  <c r="B630" i="154"/>
  <c r="C616" i="154"/>
  <c r="B616" i="154"/>
  <c r="D601" i="154"/>
  <c r="B631" i="154" l="1"/>
  <c r="C631" i="154"/>
  <c r="B617" i="154"/>
  <c r="C617" i="154"/>
  <c r="D602" i="154"/>
  <c r="B632" i="154" l="1"/>
  <c r="C632" i="154"/>
  <c r="C618" i="154"/>
  <c r="B618" i="154"/>
  <c r="D603" i="154"/>
  <c r="C633" i="154" l="1"/>
  <c r="B633" i="154"/>
  <c r="B619" i="154"/>
  <c r="C619" i="154"/>
  <c r="D604" i="154"/>
  <c r="B634" i="154" l="1"/>
  <c r="C634" i="154"/>
  <c r="B620" i="154"/>
  <c r="C620" i="154"/>
  <c r="D605" i="154"/>
  <c r="B635" i="154" l="1"/>
  <c r="C635" i="154"/>
  <c r="C621" i="154"/>
  <c r="B621" i="154"/>
  <c r="D606" i="154"/>
  <c r="C636" i="154" l="1"/>
  <c r="B622" i="154"/>
  <c r="C622" i="154"/>
  <c r="D607" i="154"/>
  <c r="C637" i="154" l="1"/>
  <c r="B637" i="154"/>
  <c r="C623" i="154"/>
  <c r="B623" i="154"/>
  <c r="D608" i="154"/>
  <c r="B638" i="154" l="1"/>
  <c r="C638" i="154"/>
  <c r="C624" i="154"/>
  <c r="D609" i="154"/>
  <c r="B639" i="154" l="1"/>
  <c r="C639" i="154"/>
  <c r="C625" i="154"/>
  <c r="B625" i="154"/>
  <c r="D610" i="154"/>
  <c r="C640" i="154" l="1"/>
  <c r="B640" i="154"/>
  <c r="B626" i="154"/>
  <c r="C626" i="154"/>
  <c r="D611" i="154"/>
  <c r="B641" i="154" l="1"/>
  <c r="C641" i="154"/>
  <c r="D612" i="154"/>
  <c r="B642" i="154" l="1"/>
  <c r="C642" i="154"/>
  <c r="D613" i="154"/>
  <c r="C643" i="154" l="1"/>
  <c r="B643" i="154"/>
  <c r="D614" i="154"/>
  <c r="B644" i="154" l="1"/>
  <c r="C644" i="154"/>
  <c r="D615" i="154"/>
  <c r="B645" i="154" l="1"/>
  <c r="C645" i="154"/>
  <c r="D616" i="154"/>
  <c r="C646" i="154" l="1"/>
  <c r="D617" i="154"/>
  <c r="F5" i="135" l="1"/>
  <c r="F6" i="135"/>
  <c r="F7" i="135"/>
  <c r="F4" i="135"/>
  <c r="C647" i="154"/>
  <c r="D618" i="154"/>
  <c r="X5" i="139" l="1"/>
  <c r="X7" i="139"/>
  <c r="X4" i="139"/>
  <c r="X6" i="139"/>
  <c r="X9" i="139"/>
  <c r="I4" i="135"/>
  <c r="G4" i="135"/>
  <c r="H4" i="135"/>
  <c r="H7" i="135"/>
  <c r="G7" i="135"/>
  <c r="G6" i="135"/>
  <c r="H6" i="135"/>
  <c r="H5" i="135"/>
  <c r="G5" i="135"/>
  <c r="C648" i="154"/>
  <c r="D619" i="154"/>
  <c r="C649" i="154" l="1"/>
  <c r="B7" i="137"/>
  <c r="B29" i="137"/>
  <c r="B22" i="137"/>
  <c r="B19" i="137"/>
  <c r="B5" i="137"/>
  <c r="B23" i="137"/>
  <c r="B28" i="137"/>
  <c r="B20" i="137"/>
  <c r="B6" i="137"/>
  <c r="B21" i="137"/>
  <c r="B24" i="137"/>
  <c r="B30" i="137"/>
  <c r="B8" i="137"/>
  <c r="B9" i="137"/>
  <c r="B11" i="137"/>
  <c r="D620" i="154"/>
  <c r="C650" i="154" l="1"/>
  <c r="K30" i="137"/>
  <c r="AW30" i="137"/>
  <c r="F30" i="137"/>
  <c r="AH30" i="137"/>
  <c r="BN30" i="137"/>
  <c r="BG30" i="137"/>
  <c r="BY30" i="137"/>
  <c r="AY30" i="137"/>
  <c r="BS30" i="137"/>
  <c r="BH30" i="137"/>
  <c r="BK30" i="137"/>
  <c r="AA30" i="137"/>
  <c r="AB30" i="137"/>
  <c r="BB30" i="137"/>
  <c r="Y30" i="137"/>
  <c r="BU30" i="137"/>
  <c r="AJ30" i="137"/>
  <c r="BX30" i="137"/>
  <c r="AK30" i="137"/>
  <c r="CE30" i="137"/>
  <c r="BQ30" i="137"/>
  <c r="AQ30" i="137"/>
  <c r="AF30" i="137"/>
  <c r="Z30" i="137"/>
  <c r="AX30" i="137"/>
  <c r="AI30" i="137"/>
  <c r="AP30" i="137"/>
  <c r="W30" i="137"/>
  <c r="AM30" i="137"/>
  <c r="AO30" i="137"/>
  <c r="AE30" i="137"/>
  <c r="O30" i="137"/>
  <c r="U30" i="137"/>
  <c r="AR30" i="137"/>
  <c r="R30" i="137"/>
  <c r="BM30" i="137"/>
  <c r="Q30" i="137"/>
  <c r="AG30" i="137"/>
  <c r="BC30" i="137"/>
  <c r="CC30" i="137"/>
  <c r="AD30" i="137"/>
  <c r="CD30" i="137"/>
  <c r="BP30" i="137"/>
  <c r="AV30" i="137"/>
  <c r="BL30" i="137"/>
  <c r="P30" i="137"/>
  <c r="J30" i="137"/>
  <c r="CA30" i="137"/>
  <c r="AZ30" i="137"/>
  <c r="BJ30" i="137"/>
  <c r="CB30" i="137"/>
  <c r="G30" i="137"/>
  <c r="AS30" i="137"/>
  <c r="BD30" i="137"/>
  <c r="I30" i="137"/>
  <c r="BV30" i="137"/>
  <c r="H30" i="137"/>
  <c r="M30" i="137"/>
  <c r="AL30" i="137"/>
  <c r="V30" i="137"/>
  <c r="BF30" i="137"/>
  <c r="AC30" i="137"/>
  <c r="BZ30" i="137"/>
  <c r="BI30" i="137"/>
  <c r="BE30" i="137"/>
  <c r="L30" i="137"/>
  <c r="BO30" i="137"/>
  <c r="T30" i="137"/>
  <c r="AT30" i="137"/>
  <c r="AU30" i="137"/>
  <c r="BA30" i="137"/>
  <c r="AN30" i="137"/>
  <c r="BR30" i="137"/>
  <c r="S30" i="137"/>
  <c r="N30" i="137"/>
  <c r="X30" i="137"/>
  <c r="BW30" i="137"/>
  <c r="BT30" i="137"/>
  <c r="AH24" i="137"/>
  <c r="BG24" i="137"/>
  <c r="F24" i="137"/>
  <c r="BP24" i="137"/>
  <c r="AN24" i="137"/>
  <c r="BQ24" i="137"/>
  <c r="AY24" i="137"/>
  <c r="AG24" i="137"/>
  <c r="AZ24" i="137"/>
  <c r="BC24" i="137"/>
  <c r="AQ24" i="137"/>
  <c r="BE24" i="137"/>
  <c r="AS24" i="137"/>
  <c r="AR24" i="137"/>
  <c r="AK24" i="137"/>
  <c r="BZ24" i="137"/>
  <c r="Z24" i="137"/>
  <c r="K24" i="137"/>
  <c r="AD24" i="137"/>
  <c r="J24" i="137"/>
  <c r="AB24" i="137"/>
  <c r="V24" i="137"/>
  <c r="L24" i="137"/>
  <c r="Y24" i="137"/>
  <c r="BY24" i="137"/>
  <c r="U24" i="137"/>
  <c r="AM24" i="137"/>
  <c r="BD24" i="137"/>
  <c r="AA24" i="137"/>
  <c r="G24" i="137"/>
  <c r="H24" i="137"/>
  <c r="BM24" i="137"/>
  <c r="BH24" i="137"/>
  <c r="AJ24" i="137"/>
  <c r="W24" i="137"/>
  <c r="BU24" i="137"/>
  <c r="S24" i="137"/>
  <c r="BR24" i="137"/>
  <c r="CA24" i="137"/>
  <c r="BX24" i="137"/>
  <c r="AV24" i="137"/>
  <c r="CB24" i="137"/>
  <c r="CD24" i="137"/>
  <c r="Q24" i="137"/>
  <c r="AI24" i="137"/>
  <c r="M24" i="137"/>
  <c r="AF24" i="137"/>
  <c r="BS24" i="137"/>
  <c r="AU24" i="137"/>
  <c r="AP24" i="137"/>
  <c r="BI24" i="137"/>
  <c r="AO24" i="137"/>
  <c r="BT24" i="137"/>
  <c r="BB24" i="137"/>
  <c r="N24" i="137"/>
  <c r="BO24" i="137"/>
  <c r="AT24" i="137"/>
  <c r="T24" i="137"/>
  <c r="BV24" i="137"/>
  <c r="O24" i="137"/>
  <c r="I24" i="137"/>
  <c r="BK24" i="137"/>
  <c r="BN24" i="137"/>
  <c r="AC24" i="137"/>
  <c r="BA24" i="137"/>
  <c r="CC24" i="137"/>
  <c r="AL24" i="137"/>
  <c r="P24" i="137"/>
  <c r="AW24" i="137"/>
  <c r="BW24" i="137"/>
  <c r="CE24" i="137"/>
  <c r="X24" i="137"/>
  <c r="AX24" i="137"/>
  <c r="BF24" i="137"/>
  <c r="R24" i="137"/>
  <c r="AE24" i="137"/>
  <c r="BJ24" i="137"/>
  <c r="BL24" i="137"/>
  <c r="AD21" i="137"/>
  <c r="K21" i="137"/>
  <c r="BM21" i="137"/>
  <c r="AO21" i="137"/>
  <c r="P21" i="137"/>
  <c r="AU21" i="137"/>
  <c r="AP21" i="137"/>
  <c r="BB21" i="137"/>
  <c r="BU21" i="137"/>
  <c r="BE21" i="137"/>
  <c r="BT21" i="137"/>
  <c r="BG21" i="137"/>
  <c r="W21" i="137"/>
  <c r="AI21" i="137"/>
  <c r="AE21" i="137"/>
  <c r="CA21" i="137"/>
  <c r="BF21" i="137"/>
  <c r="CB21" i="137"/>
  <c r="AH21" i="137"/>
  <c r="Y21" i="137"/>
  <c r="BK21" i="137"/>
  <c r="BO21" i="137"/>
  <c r="U21" i="137"/>
  <c r="H21" i="137"/>
  <c r="AT21" i="137"/>
  <c r="J21" i="137"/>
  <c r="BI21" i="137"/>
  <c r="AN21" i="137"/>
  <c r="BA21" i="137"/>
  <c r="BW21" i="137"/>
  <c r="AL21" i="137"/>
  <c r="AB21" i="137"/>
  <c r="O21" i="137"/>
  <c r="BX21" i="137"/>
  <c r="BD21" i="137"/>
  <c r="CE21" i="137"/>
  <c r="BY21" i="137"/>
  <c r="AF21" i="137"/>
  <c r="BL21" i="137"/>
  <c r="BZ21" i="137"/>
  <c r="AK21" i="137"/>
  <c r="BQ21" i="137"/>
  <c r="T21" i="137"/>
  <c r="X21" i="137"/>
  <c r="AA21" i="137"/>
  <c r="BJ21" i="137"/>
  <c r="I21" i="137"/>
  <c r="BH21" i="137"/>
  <c r="BV21" i="137"/>
  <c r="S21" i="137"/>
  <c r="BR21" i="137"/>
  <c r="CD21" i="137"/>
  <c r="G21" i="137"/>
  <c r="Z21" i="137"/>
  <c r="BC21" i="137"/>
  <c r="AR21" i="137"/>
  <c r="F21" i="137"/>
  <c r="AV21" i="137"/>
  <c r="M21" i="137"/>
  <c r="AJ21" i="137"/>
  <c r="V21" i="137"/>
  <c r="AQ21" i="137"/>
  <c r="AW21" i="137"/>
  <c r="AS21" i="137"/>
  <c r="N21" i="137"/>
  <c r="AZ21" i="137"/>
  <c r="AX21" i="137"/>
  <c r="BP21" i="137"/>
  <c r="AC21" i="137"/>
  <c r="BS21" i="137"/>
  <c r="AM21" i="137"/>
  <c r="CC21" i="137"/>
  <c r="AY21" i="137"/>
  <c r="Q21" i="137"/>
  <c r="AG21" i="137"/>
  <c r="L21" i="137"/>
  <c r="BN21" i="137"/>
  <c r="R21" i="137"/>
  <c r="BP6" i="137"/>
  <c r="AI6" i="137"/>
  <c r="CE6" i="137"/>
  <c r="F6" i="137"/>
  <c r="R6" i="137"/>
  <c r="BL6" i="137"/>
  <c r="L6" i="137"/>
  <c r="I6" i="137"/>
  <c r="BU6" i="137"/>
  <c r="CC6" i="137"/>
  <c r="BX6" i="137"/>
  <c r="BS6" i="137"/>
  <c r="BY6" i="137"/>
  <c r="V6" i="137"/>
  <c r="BJ6" i="137"/>
  <c r="N6" i="137"/>
  <c r="AJ6" i="137"/>
  <c r="AN6" i="137"/>
  <c r="AO6" i="137"/>
  <c r="BC6" i="137"/>
  <c r="BG6" i="137"/>
  <c r="M6" i="137"/>
  <c r="AR6" i="137"/>
  <c r="BB6" i="137"/>
  <c r="AX6" i="137"/>
  <c r="AL6" i="137"/>
  <c r="AK6" i="137"/>
  <c r="BV6" i="137"/>
  <c r="AC6" i="137"/>
  <c r="P6" i="137"/>
  <c r="AY6" i="137"/>
  <c r="W6" i="137"/>
  <c r="AQ6" i="137"/>
  <c r="AV6" i="137"/>
  <c r="J6" i="137"/>
  <c r="BF6" i="137"/>
  <c r="BW6" i="137"/>
  <c r="BH6" i="137"/>
  <c r="Y6" i="137"/>
  <c r="AZ6" i="137"/>
  <c r="BN6" i="137"/>
  <c r="AT6" i="137"/>
  <c r="AH6" i="137"/>
  <c r="BD6" i="137"/>
  <c r="O6" i="137"/>
  <c r="G6" i="137"/>
  <c r="AM6" i="137"/>
  <c r="Q6" i="137"/>
  <c r="BK6" i="137"/>
  <c r="K6" i="137"/>
  <c r="BZ6" i="137"/>
  <c r="AE6" i="137"/>
  <c r="T6" i="137"/>
  <c r="CD6" i="137"/>
  <c r="BR6" i="137"/>
  <c r="BI6" i="137"/>
  <c r="BT6" i="137"/>
  <c r="AD6" i="137"/>
  <c r="S6" i="137"/>
  <c r="Z6" i="137"/>
  <c r="BE6" i="137"/>
  <c r="AS6" i="137"/>
  <c r="AF6" i="137"/>
  <c r="CB6" i="137"/>
  <c r="U6" i="137"/>
  <c r="AG6" i="137"/>
  <c r="AB6" i="137"/>
  <c r="AP6" i="137"/>
  <c r="BA6" i="137"/>
  <c r="X6" i="137"/>
  <c r="CA6" i="137"/>
  <c r="BQ6" i="137"/>
  <c r="H6" i="137"/>
  <c r="BO6" i="137"/>
  <c r="AW6" i="137"/>
  <c r="BM6" i="137"/>
  <c r="AA6" i="137"/>
  <c r="AU6" i="137"/>
  <c r="J20" i="137"/>
  <c r="AO20" i="137"/>
  <c r="AW20" i="137"/>
  <c r="CA20" i="137"/>
  <c r="AS20" i="137"/>
  <c r="BA20" i="137"/>
  <c r="CB20" i="137"/>
  <c r="CE20" i="137"/>
  <c r="Q20" i="137"/>
  <c r="AR20" i="137"/>
  <c r="AE20" i="137"/>
  <c r="AI20" i="137"/>
  <c r="BP20" i="137"/>
  <c r="BX20" i="137"/>
  <c r="BF20" i="137"/>
  <c r="BR20" i="137"/>
  <c r="AM20" i="137"/>
  <c r="BN20" i="137"/>
  <c r="AN20" i="137"/>
  <c r="H20" i="137"/>
  <c r="AV20" i="137"/>
  <c r="AU20" i="137"/>
  <c r="R20" i="137"/>
  <c r="AQ20" i="137"/>
  <c r="K20" i="137"/>
  <c r="BY20" i="137"/>
  <c r="CD20" i="137"/>
  <c r="BD20" i="137"/>
  <c r="Y20" i="137"/>
  <c r="AB20" i="137"/>
  <c r="BC20" i="137"/>
  <c r="X20" i="137"/>
  <c r="BQ20" i="137"/>
  <c r="AH20" i="137"/>
  <c r="BU20" i="137"/>
  <c r="BS20" i="137"/>
  <c r="AK20" i="137"/>
  <c r="BE20" i="137"/>
  <c r="AX20" i="137"/>
  <c r="BV20" i="137"/>
  <c r="BK20" i="137"/>
  <c r="P20" i="137"/>
  <c r="AD20" i="137"/>
  <c r="BZ20" i="137"/>
  <c r="Z20" i="137"/>
  <c r="O20" i="137"/>
  <c r="BG20" i="137"/>
  <c r="BT20" i="137"/>
  <c r="AF20" i="137"/>
  <c r="BL20" i="137"/>
  <c r="U20" i="137"/>
  <c r="AZ20" i="137"/>
  <c r="F20" i="137"/>
  <c r="AJ20" i="137"/>
  <c r="BO20" i="137"/>
  <c r="G20" i="137"/>
  <c r="V20" i="137"/>
  <c r="M20" i="137"/>
  <c r="W20" i="137"/>
  <c r="BM20" i="137"/>
  <c r="AP20" i="137"/>
  <c r="AA20" i="137"/>
  <c r="AC20" i="137"/>
  <c r="T20" i="137"/>
  <c r="S20" i="137"/>
  <c r="L20" i="137"/>
  <c r="BB20" i="137"/>
  <c r="BJ20" i="137"/>
  <c r="BH20" i="137"/>
  <c r="AY20" i="137"/>
  <c r="BW20" i="137"/>
  <c r="AT20" i="137"/>
  <c r="BI20" i="137"/>
  <c r="AL20" i="137"/>
  <c r="AG20" i="137"/>
  <c r="CC20" i="137"/>
  <c r="I20" i="137"/>
  <c r="N20" i="137"/>
  <c r="AI28" i="137"/>
  <c r="BL28" i="137"/>
  <c r="N28" i="137"/>
  <c r="BS28" i="137"/>
  <c r="AO28" i="137"/>
  <c r="BO28" i="137"/>
  <c r="AT28" i="137"/>
  <c r="AC28" i="137"/>
  <c r="AE28" i="137"/>
  <c r="BV28" i="137"/>
  <c r="J28" i="137"/>
  <c r="AM28" i="137"/>
  <c r="BK28" i="137"/>
  <c r="CA28" i="137"/>
  <c r="CE28" i="137"/>
  <c r="T28" i="137"/>
  <c r="AS28" i="137"/>
  <c r="BP28" i="137"/>
  <c r="BF28" i="137"/>
  <c r="AU28" i="137"/>
  <c r="BQ28" i="137"/>
  <c r="AK28" i="137"/>
  <c r="W28" i="137"/>
  <c r="AF28" i="137"/>
  <c r="G28" i="137"/>
  <c r="BW28" i="137"/>
  <c r="AY28" i="137"/>
  <c r="BU28" i="137"/>
  <c r="S28" i="137"/>
  <c r="AQ28" i="137"/>
  <c r="BZ28" i="137"/>
  <c r="AB28" i="137"/>
  <c r="AG28" i="137"/>
  <c r="BR28" i="137"/>
  <c r="BX28" i="137"/>
  <c r="O28" i="137"/>
  <c r="BH28" i="137"/>
  <c r="AH28" i="137"/>
  <c r="AN28" i="137"/>
  <c r="AA28" i="137"/>
  <c r="I28" i="137"/>
  <c r="BE28" i="137"/>
  <c r="AZ28" i="137"/>
  <c r="CD28" i="137"/>
  <c r="X28" i="137"/>
  <c r="BT28" i="137"/>
  <c r="M28" i="137"/>
  <c r="Y28" i="137"/>
  <c r="AX28" i="137"/>
  <c r="AV28" i="137"/>
  <c r="Q28" i="137"/>
  <c r="AR28" i="137"/>
  <c r="CB28" i="137"/>
  <c r="V28" i="137"/>
  <c r="BJ28" i="137"/>
  <c r="AP28" i="137"/>
  <c r="AW28" i="137"/>
  <c r="BC28" i="137"/>
  <c r="AD28" i="137"/>
  <c r="BM28" i="137"/>
  <c r="F28" i="137"/>
  <c r="Z28" i="137"/>
  <c r="H28" i="137"/>
  <c r="AL28" i="137"/>
  <c r="BB28" i="137"/>
  <c r="U28" i="137"/>
  <c r="BN28" i="137"/>
  <c r="BG28" i="137"/>
  <c r="AJ28" i="137"/>
  <c r="BY28" i="137"/>
  <c r="CC28" i="137"/>
  <c r="K28" i="137"/>
  <c r="P28" i="137"/>
  <c r="R28" i="137"/>
  <c r="L28" i="137"/>
  <c r="BI28" i="137"/>
  <c r="BA28" i="137"/>
  <c r="BD28" i="137"/>
  <c r="BO23" i="137"/>
  <c r="BR23" i="137"/>
  <c r="AZ23" i="137"/>
  <c r="CC23" i="137"/>
  <c r="I23" i="137"/>
  <c r="BX23" i="137"/>
  <c r="AD23" i="137"/>
  <c r="AN23" i="137"/>
  <c r="BK23" i="137"/>
  <c r="AE23" i="137"/>
  <c r="AP23" i="137"/>
  <c r="F23" i="137"/>
  <c r="BE23" i="137"/>
  <c r="U23" i="137"/>
  <c r="M23" i="137"/>
  <c r="V23" i="137"/>
  <c r="BC23" i="137"/>
  <c r="BB23" i="137"/>
  <c r="AX23" i="137"/>
  <c r="AW23" i="137"/>
  <c r="BW23" i="137"/>
  <c r="BD23" i="137"/>
  <c r="AG23" i="137"/>
  <c r="CA23" i="137"/>
  <c r="G23" i="137"/>
  <c r="CB23" i="137"/>
  <c r="BH23" i="137"/>
  <c r="J23" i="137"/>
  <c r="P23" i="137"/>
  <c r="L23" i="137"/>
  <c r="Q23" i="137"/>
  <c r="BM23" i="137"/>
  <c r="AF23" i="137"/>
  <c r="BY23" i="137"/>
  <c r="R23" i="137"/>
  <c r="AB23" i="137"/>
  <c r="Y23" i="137"/>
  <c r="CD23" i="137"/>
  <c r="W23" i="137"/>
  <c r="BN23" i="137"/>
  <c r="BS23" i="137"/>
  <c r="Z23" i="137"/>
  <c r="AR23" i="137"/>
  <c r="BJ23" i="137"/>
  <c r="K23" i="137"/>
  <c r="AQ23" i="137"/>
  <c r="AC23" i="137"/>
  <c r="T23" i="137"/>
  <c r="BU23" i="137"/>
  <c r="BT23" i="137"/>
  <c r="AM23" i="137"/>
  <c r="BF23" i="137"/>
  <c r="BG23" i="137"/>
  <c r="BL23" i="137"/>
  <c r="AI23" i="137"/>
  <c r="S23" i="137"/>
  <c r="X23" i="137"/>
  <c r="AK23" i="137"/>
  <c r="AH23" i="137"/>
  <c r="AJ23" i="137"/>
  <c r="AA23" i="137"/>
  <c r="AS23" i="137"/>
  <c r="O23" i="137"/>
  <c r="N23" i="137"/>
  <c r="BQ23" i="137"/>
  <c r="BP23" i="137"/>
  <c r="CE23" i="137"/>
  <c r="BI23" i="137"/>
  <c r="H23" i="137"/>
  <c r="BZ23" i="137"/>
  <c r="AV23" i="137"/>
  <c r="AU23" i="137"/>
  <c r="BV23" i="137"/>
  <c r="AF5" i="137"/>
  <c r="N5" i="137"/>
  <c r="X5" i="137"/>
  <c r="AP5" i="137"/>
  <c r="BS5" i="137"/>
  <c r="BB5" i="137"/>
  <c r="M5" i="137"/>
  <c r="AT5" i="137"/>
  <c r="CD5" i="137"/>
  <c r="BF5" i="137"/>
  <c r="BT5" i="137"/>
  <c r="AZ5" i="137"/>
  <c r="F5" i="137"/>
  <c r="BH5" i="137"/>
  <c r="J5" i="137"/>
  <c r="V5" i="137"/>
  <c r="K5" i="137"/>
  <c r="P5" i="137"/>
  <c r="BC5" i="137"/>
  <c r="BZ5" i="137"/>
  <c r="AX5" i="137"/>
  <c r="H5" i="137"/>
  <c r="Q5" i="137"/>
  <c r="AG5" i="137"/>
  <c r="BG5" i="137"/>
  <c r="BE5" i="137"/>
  <c r="BI5" i="137"/>
  <c r="I5" i="137"/>
  <c r="BL5" i="137"/>
  <c r="BW5" i="137"/>
  <c r="AD5" i="137"/>
  <c r="L5" i="137"/>
  <c r="S5" i="137"/>
  <c r="CA5" i="137"/>
  <c r="AV5" i="137"/>
  <c r="BD5" i="137"/>
  <c r="BM5" i="137"/>
  <c r="U5" i="137"/>
  <c r="Z5" i="137"/>
  <c r="BR5" i="137"/>
  <c r="BU5" i="137"/>
  <c r="BQ5" i="137"/>
  <c r="G5" i="137"/>
  <c r="AE5" i="137"/>
  <c r="Y5" i="137"/>
  <c r="AM5" i="137"/>
  <c r="R5" i="137"/>
  <c r="AB5" i="137"/>
  <c r="BN5" i="137"/>
  <c r="BO5" i="137"/>
  <c r="CE5" i="137"/>
  <c r="AR5" i="137"/>
  <c r="BJ5" i="137"/>
  <c r="AC5" i="137"/>
  <c r="AN5" i="137"/>
  <c r="AQ5" i="137"/>
  <c r="CB5" i="137"/>
  <c r="W5" i="137"/>
  <c r="BK5" i="137"/>
  <c r="T5" i="137"/>
  <c r="AA5" i="137"/>
  <c r="AI5" i="137"/>
  <c r="AU5" i="137"/>
  <c r="AL5" i="137"/>
  <c r="AS5" i="137"/>
  <c r="BP5" i="137"/>
  <c r="BY5" i="137"/>
  <c r="AH5" i="137"/>
  <c r="O5" i="137"/>
  <c r="CC5" i="137"/>
  <c r="BV5" i="137"/>
  <c r="AW5" i="137"/>
  <c r="BX5" i="137"/>
  <c r="AD19" i="137"/>
  <c r="U19" i="137"/>
  <c r="AP19" i="137"/>
  <c r="Q19" i="137"/>
  <c r="AM19" i="137"/>
  <c r="X19" i="137"/>
  <c r="AU19" i="137"/>
  <c r="BX19" i="137"/>
  <c r="AH19" i="137"/>
  <c r="AZ19" i="137"/>
  <c r="Y19" i="137"/>
  <c r="BO19" i="137"/>
  <c r="BV19" i="137"/>
  <c r="CB19" i="137"/>
  <c r="S19" i="137"/>
  <c r="AY19" i="137"/>
  <c r="I19" i="137"/>
  <c r="CC19" i="137"/>
  <c r="AV19" i="137"/>
  <c r="T19" i="137"/>
  <c r="AF19" i="137"/>
  <c r="AI19" i="137"/>
  <c r="AR19" i="137"/>
  <c r="BU19" i="137"/>
  <c r="AJ19" i="137"/>
  <c r="AS19" i="137"/>
  <c r="CE19" i="137"/>
  <c r="H19" i="137"/>
  <c r="AC19" i="137"/>
  <c r="Z19" i="137"/>
  <c r="AW19" i="137"/>
  <c r="V19" i="137"/>
  <c r="N19" i="137"/>
  <c r="BI19" i="137"/>
  <c r="BH19" i="137"/>
  <c r="AK19" i="137"/>
  <c r="R19" i="137"/>
  <c r="BP19" i="137"/>
  <c r="BF19" i="137"/>
  <c r="P19" i="137"/>
  <c r="BE19" i="137"/>
  <c r="BN19" i="137"/>
  <c r="BK19" i="137"/>
  <c r="BA19" i="137"/>
  <c r="AX19" i="137"/>
  <c r="K19" i="137"/>
  <c r="L19" i="137"/>
  <c r="BL19" i="137"/>
  <c r="BQ19" i="137"/>
  <c r="AT19" i="137"/>
  <c r="AO19" i="137"/>
  <c r="BW19" i="137"/>
  <c r="BJ19" i="137"/>
  <c r="BS19" i="137"/>
  <c r="F19" i="137"/>
  <c r="BG19" i="137"/>
  <c r="BM19" i="137"/>
  <c r="J19" i="137"/>
  <c r="CA19" i="137"/>
  <c r="BT19" i="137"/>
  <c r="AG19" i="137"/>
  <c r="BR19" i="137"/>
  <c r="W19" i="137"/>
  <c r="BB19" i="137"/>
  <c r="G19" i="137"/>
  <c r="AB19" i="137"/>
  <c r="AQ19" i="137"/>
  <c r="AE19" i="137"/>
  <c r="BZ19" i="137"/>
  <c r="BC19" i="137"/>
  <c r="AL19" i="137"/>
  <c r="CD19" i="137"/>
  <c r="M19" i="137"/>
  <c r="BY19" i="137"/>
  <c r="BD19" i="137"/>
  <c r="O19" i="137"/>
  <c r="AA19" i="137"/>
  <c r="AN19" i="137"/>
  <c r="BE11" i="137"/>
  <c r="Y11" i="137"/>
  <c r="AQ11" i="137"/>
  <c r="V11" i="137"/>
  <c r="AG11" i="137"/>
  <c r="AB11" i="137"/>
  <c r="AC11" i="137"/>
  <c r="CC11" i="137"/>
  <c r="CE11" i="137"/>
  <c r="BU11" i="137"/>
  <c r="AW11" i="137"/>
  <c r="W11" i="137"/>
  <c r="BW11" i="137"/>
  <c r="BR11" i="137"/>
  <c r="AZ11" i="137"/>
  <c r="BC11" i="137"/>
  <c r="Q11" i="137"/>
  <c r="K11" i="137"/>
  <c r="AH11" i="137"/>
  <c r="AR11" i="137"/>
  <c r="BY11" i="137"/>
  <c r="BJ11" i="137"/>
  <c r="G11" i="137"/>
  <c r="BF11" i="137"/>
  <c r="CB11" i="137"/>
  <c r="AS11" i="137"/>
  <c r="BK11" i="137"/>
  <c r="M11" i="137"/>
  <c r="BT11" i="137"/>
  <c r="N11" i="137"/>
  <c r="CA11" i="137"/>
  <c r="AU11" i="137"/>
  <c r="BP11" i="137"/>
  <c r="BN11" i="137"/>
  <c r="BS11" i="137"/>
  <c r="BV11" i="137"/>
  <c r="J11" i="137"/>
  <c r="S11" i="137"/>
  <c r="P11" i="137"/>
  <c r="AD11" i="137"/>
  <c r="T11" i="137"/>
  <c r="AT11" i="137"/>
  <c r="I11" i="137"/>
  <c r="CD11" i="137"/>
  <c r="AN11" i="137"/>
  <c r="BX11" i="137"/>
  <c r="U11" i="137"/>
  <c r="BI11" i="137"/>
  <c r="BG11" i="137"/>
  <c r="BB11" i="137"/>
  <c r="BH11" i="137"/>
  <c r="H11" i="137"/>
  <c r="BL11" i="137"/>
  <c r="AP11" i="137"/>
  <c r="L11" i="137"/>
  <c r="AE11" i="137"/>
  <c r="AI11" i="137"/>
  <c r="BD11" i="137"/>
  <c r="BM11" i="137"/>
  <c r="O11" i="137"/>
  <c r="AM11" i="137"/>
  <c r="BO11" i="137"/>
  <c r="AV11" i="137"/>
  <c r="X11" i="137"/>
  <c r="F11" i="137"/>
  <c r="AA11" i="137"/>
  <c r="AX11" i="137"/>
  <c r="R11" i="137"/>
  <c r="Z11" i="137"/>
  <c r="BQ11" i="137"/>
  <c r="AF11" i="137"/>
  <c r="R22" i="137"/>
  <c r="AR22" i="137"/>
  <c r="CB22" i="137"/>
  <c r="BA22" i="137"/>
  <c r="AE22" i="137"/>
  <c r="BS22" i="137"/>
  <c r="BM22" i="137"/>
  <c r="BI22" i="137"/>
  <c r="BY22" i="137"/>
  <c r="AF22" i="137"/>
  <c r="AK22" i="137"/>
  <c r="BN22" i="137"/>
  <c r="AH22" i="137"/>
  <c r="AX22" i="137"/>
  <c r="BC22" i="137"/>
  <c r="S22" i="137"/>
  <c r="BZ22" i="137"/>
  <c r="T22" i="137"/>
  <c r="BU22" i="137"/>
  <c r="BE22" i="137"/>
  <c r="BQ22" i="137"/>
  <c r="AD22" i="137"/>
  <c r="BB22" i="137"/>
  <c r="AG22" i="137"/>
  <c r="AC22" i="137"/>
  <c r="I22" i="137"/>
  <c r="BD22" i="137"/>
  <c r="BL22" i="137"/>
  <c r="U22" i="137"/>
  <c r="O22" i="137"/>
  <c r="N22" i="137"/>
  <c r="BT22" i="137"/>
  <c r="V22" i="137"/>
  <c r="J22" i="137"/>
  <c r="AT22" i="137"/>
  <c r="M22" i="137"/>
  <c r="Z22" i="137"/>
  <c r="CA22" i="137"/>
  <c r="CE22" i="137"/>
  <c r="BP22" i="137"/>
  <c r="BR22" i="137"/>
  <c r="BF22" i="137"/>
  <c r="AY22" i="137"/>
  <c r="AB22" i="137"/>
  <c r="BX22" i="137"/>
  <c r="CD22" i="137"/>
  <c r="BK22" i="137"/>
  <c r="CC22" i="137"/>
  <c r="BH22" i="137"/>
  <c r="P22" i="137"/>
  <c r="AU22" i="137"/>
  <c r="BO22" i="137"/>
  <c r="AN22" i="137"/>
  <c r="AA22" i="137"/>
  <c r="AJ22" i="137"/>
  <c r="AM22" i="137"/>
  <c r="G22" i="137"/>
  <c r="W22" i="137"/>
  <c r="AW22" i="137"/>
  <c r="AL22" i="137"/>
  <c r="L22" i="137"/>
  <c r="K22" i="137"/>
  <c r="AP22" i="137"/>
  <c r="F22" i="137"/>
  <c r="AI22" i="137"/>
  <c r="Q22" i="137"/>
  <c r="BG22" i="137"/>
  <c r="H22" i="137"/>
  <c r="AZ22" i="137"/>
  <c r="AV22" i="137"/>
  <c r="AS22" i="137"/>
  <c r="Y22" i="137"/>
  <c r="AO22" i="137"/>
  <c r="AQ22" i="137"/>
  <c r="BJ22" i="137"/>
  <c r="BW22" i="137"/>
  <c r="X22" i="137"/>
  <c r="BV22" i="137"/>
  <c r="BI9" i="137"/>
  <c r="M9" i="137"/>
  <c r="CD9" i="137"/>
  <c r="BC9" i="137"/>
  <c r="AM9" i="137"/>
  <c r="AU9" i="137"/>
  <c r="BL9" i="137"/>
  <c r="L9" i="137"/>
  <c r="BB9" i="137"/>
  <c r="BT9" i="137"/>
  <c r="J9" i="137"/>
  <c r="BS9" i="137"/>
  <c r="CE9" i="137"/>
  <c r="P9" i="137"/>
  <c r="BG9" i="137"/>
  <c r="BN9" i="137"/>
  <c r="K9" i="137"/>
  <c r="AZ9" i="137"/>
  <c r="BQ9" i="137"/>
  <c r="AL9" i="137"/>
  <c r="AO9" i="137"/>
  <c r="V9" i="137"/>
  <c r="AF9" i="137"/>
  <c r="AT9" i="137"/>
  <c r="AG9" i="137"/>
  <c r="CC9" i="137"/>
  <c r="BY9" i="137"/>
  <c r="AP9" i="137"/>
  <c r="AV9" i="137"/>
  <c r="AN9" i="137"/>
  <c r="BF9" i="137"/>
  <c r="T9" i="137"/>
  <c r="BW9" i="137"/>
  <c r="BK9" i="137"/>
  <c r="BO9" i="137"/>
  <c r="AB9" i="137"/>
  <c r="BJ9" i="137"/>
  <c r="AK9" i="137"/>
  <c r="AQ9" i="137"/>
  <c r="AE9" i="137"/>
  <c r="AI9" i="137"/>
  <c r="H9" i="137"/>
  <c r="S9" i="137"/>
  <c r="O9" i="137"/>
  <c r="BP9" i="137"/>
  <c r="Y9" i="137"/>
  <c r="AH9" i="137"/>
  <c r="CA9" i="137"/>
  <c r="W9" i="137"/>
  <c r="BV9" i="137"/>
  <c r="BE9" i="137"/>
  <c r="I9" i="137"/>
  <c r="BM9" i="137"/>
  <c r="AX9" i="137"/>
  <c r="BH9" i="137"/>
  <c r="BU9" i="137"/>
  <c r="AW9" i="137"/>
  <c r="AR9" i="137"/>
  <c r="U9" i="137"/>
  <c r="Z9" i="137"/>
  <c r="R9" i="137"/>
  <c r="BX9" i="137"/>
  <c r="BZ9" i="137"/>
  <c r="N9" i="137"/>
  <c r="AY9" i="137"/>
  <c r="AD9" i="137"/>
  <c r="Q9" i="137"/>
  <c r="BR9" i="137"/>
  <c r="AC9" i="137"/>
  <c r="G9" i="137"/>
  <c r="CB9" i="137"/>
  <c r="X9" i="137"/>
  <c r="BA9" i="137"/>
  <c r="AS9" i="137"/>
  <c r="AJ9" i="137"/>
  <c r="F9" i="137"/>
  <c r="AA9" i="137"/>
  <c r="BD9" i="137"/>
  <c r="CE29" i="137"/>
  <c r="BH29" i="137"/>
  <c r="BL29" i="137"/>
  <c r="AC29" i="137"/>
  <c r="BZ29" i="137"/>
  <c r="L29" i="137"/>
  <c r="AM29" i="137"/>
  <c r="AW29" i="137"/>
  <c r="BJ29" i="137"/>
  <c r="BD29" i="137"/>
  <c r="CB29" i="137"/>
  <c r="S29" i="137"/>
  <c r="BC29" i="137"/>
  <c r="BI29" i="137"/>
  <c r="F29" i="137"/>
  <c r="AP29" i="137"/>
  <c r="AV29" i="137"/>
  <c r="AJ29" i="137"/>
  <c r="BN29" i="137"/>
  <c r="AI29" i="137"/>
  <c r="AH29" i="137"/>
  <c r="AU29" i="137"/>
  <c r="Q29" i="137"/>
  <c r="M29" i="137"/>
  <c r="J29" i="137"/>
  <c r="BP29" i="137"/>
  <c r="W29" i="137"/>
  <c r="T29" i="137"/>
  <c r="AZ29" i="137"/>
  <c r="N29" i="137"/>
  <c r="AD29" i="137"/>
  <c r="BV29" i="137"/>
  <c r="AX29" i="137"/>
  <c r="P29" i="137"/>
  <c r="Y29" i="137"/>
  <c r="I29" i="137"/>
  <c r="BG29" i="137"/>
  <c r="U29" i="137"/>
  <c r="AR29" i="137"/>
  <c r="BR29" i="137"/>
  <c r="K29" i="137"/>
  <c r="R29" i="137"/>
  <c r="BF29" i="137"/>
  <c r="AE29" i="137"/>
  <c r="AN29" i="137"/>
  <c r="AB29" i="137"/>
  <c r="H29" i="137"/>
  <c r="AA29" i="137"/>
  <c r="CA29" i="137"/>
  <c r="AQ29" i="137"/>
  <c r="CC29" i="137"/>
  <c r="AO29" i="137"/>
  <c r="BM29" i="137"/>
  <c r="O29" i="137"/>
  <c r="BB29" i="137"/>
  <c r="BK29" i="137"/>
  <c r="BY29" i="137"/>
  <c r="AT29" i="137"/>
  <c r="BE29" i="137"/>
  <c r="AK29" i="137"/>
  <c r="CD29" i="137"/>
  <c r="AS29" i="137"/>
  <c r="AL29" i="137"/>
  <c r="BA29" i="137"/>
  <c r="BX29" i="137"/>
  <c r="BS29" i="137"/>
  <c r="V29" i="137"/>
  <c r="BO29" i="137"/>
  <c r="AF29" i="137"/>
  <c r="BW29" i="137"/>
  <c r="AG29" i="137"/>
  <c r="BT29" i="137"/>
  <c r="X29" i="137"/>
  <c r="G29" i="137"/>
  <c r="AY29" i="137"/>
  <c r="BQ29" i="137"/>
  <c r="BU29" i="137"/>
  <c r="Z29" i="137"/>
  <c r="U8" i="137"/>
  <c r="BK8" i="137"/>
  <c r="BY8" i="137"/>
  <c r="BD8" i="137"/>
  <c r="AR8" i="137"/>
  <c r="G8" i="137"/>
  <c r="L8" i="137"/>
  <c r="CC8" i="137"/>
  <c r="BZ8" i="137"/>
  <c r="W8" i="137"/>
  <c r="I8" i="137"/>
  <c r="BW8" i="137"/>
  <c r="BB8" i="137"/>
  <c r="CA8" i="137"/>
  <c r="R8" i="137"/>
  <c r="O8" i="137"/>
  <c r="CE8" i="137"/>
  <c r="V8" i="137"/>
  <c r="T8" i="137"/>
  <c r="AI8" i="137"/>
  <c r="P8" i="137"/>
  <c r="AW8" i="137"/>
  <c r="S8" i="137"/>
  <c r="BJ8" i="137"/>
  <c r="BT8" i="137"/>
  <c r="AM8" i="137"/>
  <c r="AA8" i="137"/>
  <c r="Q8" i="137"/>
  <c r="X8" i="137"/>
  <c r="BL8" i="137"/>
  <c r="N8" i="137"/>
  <c r="H8" i="137"/>
  <c r="BG8" i="137"/>
  <c r="BM8" i="137"/>
  <c r="BX8" i="137"/>
  <c r="AQ8" i="137"/>
  <c r="BH8" i="137"/>
  <c r="AN8" i="137"/>
  <c r="CB8" i="137"/>
  <c r="AC8" i="137"/>
  <c r="BI8" i="137"/>
  <c r="Y8" i="137"/>
  <c r="M8" i="137"/>
  <c r="AH8" i="137"/>
  <c r="AU8" i="137"/>
  <c r="BU8" i="137"/>
  <c r="AE8" i="137"/>
  <c r="CD8" i="137"/>
  <c r="AV8" i="137"/>
  <c r="BV8" i="137"/>
  <c r="BR8" i="137"/>
  <c r="AX8" i="137"/>
  <c r="AF8" i="137"/>
  <c r="AG8" i="137"/>
  <c r="BQ8" i="137"/>
  <c r="BE8" i="137"/>
  <c r="J8" i="137"/>
  <c r="BS8" i="137"/>
  <c r="BP8" i="137"/>
  <c r="AB8" i="137"/>
  <c r="AZ8" i="137"/>
  <c r="F8" i="137"/>
  <c r="K8" i="137"/>
  <c r="AP8" i="137"/>
  <c r="BN8" i="137"/>
  <c r="AD8" i="137"/>
  <c r="BF8" i="137"/>
  <c r="BC8" i="137"/>
  <c r="BO8" i="137"/>
  <c r="Z8" i="137"/>
  <c r="AS8" i="137"/>
  <c r="AT8" i="137"/>
  <c r="BQ7" i="137"/>
  <c r="Z7" i="137"/>
  <c r="BE7" i="137"/>
  <c r="BM7" i="137"/>
  <c r="M7" i="137"/>
  <c r="AN7" i="137"/>
  <c r="AE7" i="137"/>
  <c r="AX7" i="137"/>
  <c r="T7" i="137"/>
  <c r="K7" i="137"/>
  <c r="G7" i="137"/>
  <c r="BO7" i="137"/>
  <c r="BB7" i="137"/>
  <c r="L7" i="137"/>
  <c r="S7" i="137"/>
  <c r="BA7" i="137"/>
  <c r="AS7" i="137"/>
  <c r="BR7" i="137"/>
  <c r="AP7" i="137"/>
  <c r="AB7" i="137"/>
  <c r="H7" i="137"/>
  <c r="BN7" i="137"/>
  <c r="J7" i="137"/>
  <c r="BD7" i="137"/>
  <c r="R7" i="137"/>
  <c r="O7" i="137"/>
  <c r="BV7" i="137"/>
  <c r="I7" i="137"/>
  <c r="BY7" i="137"/>
  <c r="BT7" i="137"/>
  <c r="BW7" i="137"/>
  <c r="AH7" i="137"/>
  <c r="CB7" i="137"/>
  <c r="BL7" i="137"/>
  <c r="BP7" i="137"/>
  <c r="AF7" i="137"/>
  <c r="AG7" i="137"/>
  <c r="F7" i="137"/>
  <c r="AW7" i="137"/>
  <c r="AQ7" i="137"/>
  <c r="AU7" i="137"/>
  <c r="AO7" i="137"/>
  <c r="AJ7" i="137"/>
  <c r="AL7" i="137"/>
  <c r="BK7" i="137"/>
  <c r="AD7" i="137"/>
  <c r="BF7" i="137"/>
  <c r="BH7" i="137"/>
  <c r="BI7" i="137"/>
  <c r="V7" i="137"/>
  <c r="BX7" i="137"/>
  <c r="CA7" i="137"/>
  <c r="U7" i="137"/>
  <c r="Y7" i="137"/>
  <c r="X7" i="137"/>
  <c r="BG7" i="137"/>
  <c r="AI7" i="137"/>
  <c r="N7" i="137"/>
  <c r="AA7" i="137"/>
  <c r="BC7" i="137"/>
  <c r="BS7" i="137"/>
  <c r="BU7" i="137"/>
  <c r="Q7" i="137"/>
  <c r="BJ7" i="137"/>
  <c r="AC7" i="137"/>
  <c r="AM7" i="137"/>
  <c r="AZ7" i="137"/>
  <c r="AK7" i="137"/>
  <c r="AT7" i="137"/>
  <c r="AV7" i="137"/>
  <c r="W7" i="137"/>
  <c r="CC7" i="137"/>
  <c r="CE7" i="137"/>
  <c r="P7" i="137"/>
  <c r="CD7" i="137"/>
  <c r="BZ7" i="137"/>
  <c r="AR7" i="137"/>
  <c r="AY7" i="137"/>
  <c r="D621" i="154"/>
  <c r="C651" i="154" l="1"/>
  <c r="D622" i="154"/>
  <c r="C652" i="154" l="1"/>
  <c r="D623" i="154"/>
  <c r="C653" i="154" l="1"/>
  <c r="D624" i="154"/>
  <c r="C654" i="154" l="1"/>
  <c r="D625" i="154"/>
  <c r="C655" i="154" l="1"/>
  <c r="D626" i="154"/>
  <c r="C656" i="154" l="1"/>
  <c r="D627" i="154"/>
  <c r="C657" i="154" l="1"/>
  <c r="D628" i="154"/>
  <c r="C658" i="154" l="1"/>
  <c r="D629" i="154"/>
  <c r="C659" i="154" l="1"/>
  <c r="D630" i="154"/>
  <c r="C660" i="154" l="1"/>
  <c r="D631" i="154"/>
  <c r="C661" i="154" l="1"/>
  <c r="D632" i="154"/>
  <c r="C662" i="154" l="1"/>
  <c r="D633" i="154"/>
  <c r="C663" i="154" l="1"/>
  <c r="D634" i="154"/>
  <c r="C664" i="154" l="1"/>
  <c r="D635" i="154"/>
  <c r="C665" i="154" l="1"/>
  <c r="D636" i="154"/>
  <c r="D824" i="154"/>
  <c r="C666" i="154" l="1"/>
  <c r="D637" i="154"/>
  <c r="D825" i="154"/>
  <c r="C667" i="154" l="1"/>
  <c r="D638" i="154"/>
  <c r="D826" i="154"/>
  <c r="C668" i="154" l="1"/>
  <c r="D639" i="154"/>
  <c r="D827" i="154"/>
  <c r="C669" i="154" l="1"/>
  <c r="D640" i="154"/>
  <c r="D828" i="154"/>
  <c r="C670" i="154" l="1"/>
  <c r="D641" i="154"/>
  <c r="D829" i="154"/>
  <c r="C671" i="154" l="1"/>
  <c r="D642" i="154"/>
  <c r="D830" i="154"/>
  <c r="C672" i="154" l="1"/>
  <c r="D643" i="154"/>
  <c r="D831" i="154"/>
  <c r="C673" i="154" l="1"/>
  <c r="D644" i="154"/>
  <c r="D833" i="154"/>
  <c r="D832" i="154"/>
  <c r="C674" i="154" l="1"/>
  <c r="D645" i="154"/>
  <c r="C675" i="154" l="1"/>
  <c r="D646" i="154"/>
  <c r="C676" i="154" l="1"/>
  <c r="D647" i="154"/>
  <c r="C677" i="154" l="1"/>
  <c r="D648" i="154"/>
  <c r="C678" i="154" l="1"/>
  <c r="D649" i="154"/>
  <c r="C679" i="154" l="1"/>
  <c r="D650" i="154"/>
  <c r="C680" i="154" l="1"/>
  <c r="D651" i="154"/>
  <c r="C681" i="154" l="1"/>
  <c r="D652" i="154"/>
  <c r="C682" i="154" l="1"/>
  <c r="D653" i="154"/>
  <c r="C683" i="154" l="1"/>
  <c r="D654" i="154"/>
  <c r="C684" i="154" l="1"/>
  <c r="D655" i="154"/>
  <c r="C685" i="154" l="1"/>
  <c r="D656" i="154"/>
  <c r="C686" i="154" l="1"/>
  <c r="D657" i="154"/>
  <c r="C687" i="154" l="1"/>
  <c r="D658" i="154"/>
  <c r="C688" i="154" l="1"/>
  <c r="D659" i="154"/>
  <c r="C689" i="154" l="1"/>
  <c r="D660" i="154"/>
  <c r="C690" i="154" l="1"/>
  <c r="D661" i="154"/>
  <c r="C691" i="154" l="1"/>
  <c r="D662" i="154"/>
  <c r="AQ7" i="101" l="1"/>
  <c r="C692" i="154"/>
  <c r="D663" i="154"/>
  <c r="I9" i="135" l="1"/>
  <c r="F8" i="135"/>
  <c r="I8" i="135" s="1"/>
  <c r="D664" i="154"/>
  <c r="G8" i="135" l="1"/>
  <c r="H8" i="135"/>
  <c r="H9" i="135"/>
  <c r="G9" i="135"/>
  <c r="AJ9" i="139"/>
  <c r="X8" i="139"/>
  <c r="AK9" i="139"/>
  <c r="D665" i="154"/>
  <c r="D666" i="154" l="1"/>
  <c r="D667" i="154" l="1"/>
  <c r="D668" i="154" l="1"/>
  <c r="D669" i="154" l="1"/>
  <c r="D670" i="154" l="1"/>
  <c r="D671" i="154" l="1"/>
  <c r="D672" i="154" l="1"/>
  <c r="D673" i="154" l="1"/>
  <c r="D674" i="154" l="1"/>
  <c r="D675" i="154" l="1"/>
  <c r="D676" i="154" l="1"/>
  <c r="D677" i="154" l="1"/>
  <c r="D678" i="154" l="1"/>
  <c r="C107" i="143" l="1"/>
  <c r="C108" i="143"/>
  <c r="C106" i="143"/>
  <c r="C105" i="143"/>
  <c r="C134" i="143"/>
  <c r="C101" i="143"/>
  <c r="C70" i="143"/>
  <c r="C72" i="143"/>
  <c r="D679" i="154"/>
  <c r="AC105" i="143" l="1"/>
  <c r="M105" i="143"/>
  <c r="X105" i="143"/>
  <c r="S105" i="143"/>
  <c r="I105" i="143"/>
  <c r="V105" i="143"/>
  <c r="J105" i="143"/>
  <c r="F105" i="143"/>
  <c r="P105" i="143"/>
  <c r="Y105" i="143"/>
  <c r="AE105" i="143"/>
  <c r="O105" i="143"/>
  <c r="K105" i="143"/>
  <c r="AF105" i="143"/>
  <c r="AB105" i="143"/>
  <c r="U105" i="143"/>
  <c r="L105" i="143"/>
  <c r="H105" i="143"/>
  <c r="T105" i="143"/>
  <c r="AA105" i="143"/>
  <c r="Z105" i="143"/>
  <c r="AD105" i="143"/>
  <c r="E105" i="143"/>
  <c r="D105" i="143" s="1"/>
  <c r="R105" i="143"/>
  <c r="G105" i="143"/>
  <c r="Q105" i="143"/>
  <c r="AG105" i="143"/>
  <c r="N105" i="143"/>
  <c r="AC106" i="143"/>
  <c r="AE106" i="143"/>
  <c r="U106" i="143"/>
  <c r="S106" i="143"/>
  <c r="AF106" i="143"/>
  <c r="G106" i="143"/>
  <c r="V106" i="143"/>
  <c r="X106" i="143"/>
  <c r="L106" i="143"/>
  <c r="J106" i="143"/>
  <c r="N106" i="143"/>
  <c r="AB106" i="143"/>
  <c r="Y106" i="143"/>
  <c r="M106" i="143"/>
  <c r="AA106" i="143"/>
  <c r="H106" i="143"/>
  <c r="P106" i="143"/>
  <c r="AG106" i="143"/>
  <c r="E106" i="143"/>
  <c r="AD106" i="143"/>
  <c r="O106" i="143"/>
  <c r="I106" i="143"/>
  <c r="Z106" i="143"/>
  <c r="F106" i="143"/>
  <c r="K106" i="143"/>
  <c r="Q106" i="143"/>
  <c r="T106" i="143"/>
  <c r="R106" i="143"/>
  <c r="M108" i="143"/>
  <c r="P108" i="143"/>
  <c r="AB108" i="143"/>
  <c r="AG108" i="143"/>
  <c r="AE108" i="143"/>
  <c r="O108" i="143"/>
  <c r="J108" i="143"/>
  <c r="I108" i="143"/>
  <c r="L108" i="143"/>
  <c r="K108" i="143"/>
  <c r="R108" i="143"/>
  <c r="Y108" i="143"/>
  <c r="N108" i="143"/>
  <c r="AC108" i="143"/>
  <c r="T108" i="143"/>
  <c r="S108" i="143"/>
  <c r="Z108" i="143"/>
  <c r="E108" i="143"/>
  <c r="G108" i="143"/>
  <c r="X108" i="143"/>
  <c r="H108" i="143"/>
  <c r="F108" i="143"/>
  <c r="AD108" i="143"/>
  <c r="AF108" i="143"/>
  <c r="V108" i="143"/>
  <c r="Q108" i="143"/>
  <c r="U108" i="143"/>
  <c r="AA108" i="143"/>
  <c r="AA107" i="143"/>
  <c r="AC107" i="143"/>
  <c r="T107" i="143"/>
  <c r="I107" i="143"/>
  <c r="E107" i="143"/>
  <c r="Z107" i="143"/>
  <c r="AG107" i="143"/>
  <c r="AE107" i="143"/>
  <c r="R107" i="143"/>
  <c r="O107" i="143"/>
  <c r="U107" i="143"/>
  <c r="X107" i="143"/>
  <c r="V107" i="143"/>
  <c r="AB107" i="143"/>
  <c r="K107" i="143"/>
  <c r="G107" i="143"/>
  <c r="S107" i="143"/>
  <c r="H107" i="143"/>
  <c r="L107" i="143"/>
  <c r="J107" i="143"/>
  <c r="AD107" i="143"/>
  <c r="F107" i="143"/>
  <c r="N107" i="143"/>
  <c r="M107" i="143"/>
  <c r="AF107" i="143"/>
  <c r="P107" i="143"/>
  <c r="Q107" i="143"/>
  <c r="Y107" i="143"/>
  <c r="D107" i="143"/>
  <c r="W107" i="143"/>
  <c r="D680" i="154"/>
  <c r="W105" i="143" l="1"/>
  <c r="D108" i="143"/>
  <c r="W108" i="143"/>
  <c r="D106" i="143"/>
  <c r="W106" i="143"/>
  <c r="D681" i="154"/>
  <c r="D682" i="154" l="1"/>
  <c r="D683" i="154" l="1"/>
  <c r="D684" i="154" l="1"/>
  <c r="D685" i="154" l="1"/>
  <c r="D686" i="154" l="1"/>
  <c r="D687" i="154" l="1"/>
  <c r="D688" i="154" l="1"/>
  <c r="D689" i="154" l="1"/>
  <c r="D690" i="154" l="1"/>
  <c r="D691" i="154" l="1"/>
  <c r="D692" i="154" l="1"/>
  <c r="D693" i="154" l="1"/>
  <c r="D694" i="154" l="1"/>
  <c r="D695" i="154" l="1"/>
  <c r="D696" i="154" l="1"/>
  <c r="D697" i="154" l="1"/>
  <c r="D698" i="154" l="1"/>
  <c r="D699" i="154" l="1"/>
  <c r="D700" i="154" l="1"/>
  <c r="D701" i="154" l="1"/>
  <c r="D702" i="154" l="1"/>
  <c r="D703" i="154" l="1"/>
  <c r="D704" i="154" l="1"/>
  <c r="D705" i="154" l="1"/>
  <c r="D706" i="154" l="1"/>
  <c r="D707" i="154" l="1"/>
  <c r="D708" i="154" l="1"/>
  <c r="D709" i="154" l="1"/>
  <c r="D710" i="154" l="1"/>
  <c r="D711" i="154" l="1"/>
  <c r="D712" i="154" l="1"/>
  <c r="D713" i="154" l="1"/>
  <c r="D714" i="154" l="1"/>
  <c r="D715" i="154" l="1"/>
  <c r="D716" i="154" l="1"/>
  <c r="D717" i="154" l="1"/>
  <c r="D718" i="154" l="1"/>
  <c r="D719" i="154" l="1"/>
  <c r="D720" i="154" l="1"/>
  <c r="D721" i="154" l="1"/>
  <c r="D722" i="154" l="1"/>
  <c r="D723" i="154" l="1"/>
  <c r="D724" i="154" l="1"/>
  <c r="D725" i="154" l="1"/>
  <c r="D726" i="154" l="1"/>
  <c r="D727" i="154" l="1"/>
  <c r="D728" i="154" l="1"/>
  <c r="D729" i="154" l="1"/>
  <c r="D730" i="154" l="1"/>
  <c r="D731" i="154" l="1"/>
  <c r="D732" i="154" l="1"/>
  <c r="D733" i="154" l="1"/>
  <c r="D734" i="154" l="1"/>
  <c r="D735" i="154" l="1"/>
  <c r="D736" i="154" l="1"/>
  <c r="D737" i="154" l="1"/>
  <c r="D738" i="154" l="1"/>
  <c r="D739" i="154" l="1"/>
  <c r="D740" i="154" l="1"/>
  <c r="D741" i="154" l="1"/>
  <c r="D742" i="154" l="1"/>
  <c r="D743" i="154" l="1"/>
  <c r="D744" i="154" l="1"/>
  <c r="D745" i="154" l="1"/>
  <c r="D746" i="154" l="1"/>
  <c r="D747" i="154" l="1"/>
  <c r="D748" i="154" l="1"/>
  <c r="D749" i="154" l="1"/>
  <c r="D750" i="154" l="1"/>
  <c r="D751" i="154" l="1"/>
  <c r="D752" i="154" l="1"/>
  <c r="D753" i="154" l="1"/>
  <c r="D754" i="154" l="1"/>
  <c r="D755" i="154" l="1"/>
  <c r="D756" i="154" l="1"/>
  <c r="D757" i="154" l="1"/>
  <c r="D758" i="154" l="1"/>
  <c r="D759" i="154" l="1"/>
  <c r="D760" i="154" l="1"/>
  <c r="D761" i="154" l="1"/>
  <c r="D762" i="154" l="1"/>
  <c r="D763" i="154" l="1"/>
  <c r="D764" i="154" l="1"/>
  <c r="D765" i="154" l="1"/>
  <c r="D766" i="154" l="1"/>
  <c r="D767" i="154" l="1"/>
  <c r="D768" i="154" l="1"/>
  <c r="D769" i="154" l="1"/>
  <c r="D770" i="154" l="1"/>
  <c r="D771" i="154" l="1"/>
  <c r="D772" i="154" l="1"/>
  <c r="D773" i="154" l="1"/>
  <c r="D774" i="154" l="1"/>
  <c r="D775" i="154" l="1"/>
  <c r="D776" i="154" l="1"/>
  <c r="D777" i="154" l="1"/>
  <c r="D779" i="154" l="1"/>
  <c r="D780" i="154" l="1"/>
  <c r="D781" i="154" l="1"/>
  <c r="D782" i="154" l="1"/>
  <c r="D783" i="154" l="1"/>
  <c r="D784" i="154" l="1"/>
  <c r="D785" i="154" l="1"/>
  <c r="D786" i="154" l="1"/>
  <c r="D787" i="154" l="1"/>
  <c r="D788" i="154" l="1"/>
  <c r="D789" i="154" l="1"/>
  <c r="D790" i="154" l="1"/>
  <c r="D791" i="154" l="1"/>
  <c r="D792" i="154" l="1"/>
  <c r="D793" i="154" l="1"/>
  <c r="D794" i="154" l="1"/>
  <c r="D795" i="154" l="1"/>
  <c r="D796" i="154" l="1"/>
  <c r="D797" i="154" l="1"/>
  <c r="D798" i="154" l="1"/>
  <c r="D799" i="154" l="1"/>
  <c r="D800" i="154" l="1"/>
  <c r="D801" i="154" l="1"/>
  <c r="Y88" i="148"/>
  <c r="V88" i="149" s="1"/>
  <c r="N88" i="148"/>
  <c r="AQ88" i="148"/>
  <c r="AN88" i="149" s="1"/>
  <c r="J88" i="148"/>
  <c r="M88" i="148"/>
  <c r="AP88" i="148"/>
  <c r="AM88" i="149" s="1"/>
  <c r="AM88" i="148"/>
  <c r="AJ88" i="149" s="1"/>
  <c r="AB88" i="148"/>
  <c r="Y88" i="149" s="1"/>
  <c r="K88" i="148"/>
  <c r="AR88" i="148"/>
  <c r="AO88" i="149" s="1"/>
  <c r="AI88" i="148"/>
  <c r="AF88" i="149" s="1"/>
  <c r="AL88" i="148"/>
  <c r="AI88" i="149" s="1"/>
  <c r="AG88" i="148"/>
  <c r="AD88" i="149" s="1"/>
  <c r="AE88" i="148"/>
  <c r="AB88" i="149" s="1"/>
  <c r="AU88" i="148"/>
  <c r="AR88" i="149" s="1"/>
  <c r="AN88" i="148"/>
  <c r="AK88" i="149" s="1"/>
  <c r="AA88" i="148"/>
  <c r="X88" i="149" s="1"/>
  <c r="AS88" i="148"/>
  <c r="AP88" i="149" s="1"/>
  <c r="AC88" i="148"/>
  <c r="Z88" i="149" s="1"/>
  <c r="AK88" i="148"/>
  <c r="AH88" i="149" s="1"/>
  <c r="AF88" i="148"/>
  <c r="AC88" i="149" s="1"/>
  <c r="AH88" i="148"/>
  <c r="AE88" i="149" s="1"/>
  <c r="O88" i="148"/>
  <c r="U88" i="148"/>
  <c r="X88" i="148"/>
  <c r="U88" i="149" s="1"/>
  <c r="AT88" i="148"/>
  <c r="AQ88" i="149" s="1"/>
  <c r="L88" i="148"/>
  <c r="AO88" i="148"/>
  <c r="AL88" i="149" s="1"/>
  <c r="Z88" i="148"/>
  <c r="W88" i="149" s="1"/>
  <c r="AJ88" i="148"/>
  <c r="AG88" i="149" s="1"/>
  <c r="P88" i="148"/>
  <c r="W88" i="148"/>
  <c r="AD88" i="148"/>
  <c r="AA88" i="149" s="1"/>
  <c r="AB62" i="148"/>
  <c r="Y62" i="149" s="1"/>
  <c r="J62" i="148"/>
  <c r="AE62" i="148"/>
  <c r="AB62" i="149" s="1"/>
  <c r="AM62" i="148"/>
  <c r="AJ62" i="149" s="1"/>
  <c r="AN62" i="148"/>
  <c r="AK62" i="149" s="1"/>
  <c r="AT62" i="148"/>
  <c r="AQ62" i="149" s="1"/>
  <c r="AP62" i="148"/>
  <c r="AM62" i="149" s="1"/>
  <c r="AG62" i="148"/>
  <c r="AD62" i="149" s="1"/>
  <c r="O62" i="148"/>
  <c r="Y62" i="148"/>
  <c r="V62" i="149" s="1"/>
  <c r="K62" i="148"/>
  <c r="AL62" i="148"/>
  <c r="AI62" i="149" s="1"/>
  <c r="AI62" i="148"/>
  <c r="AF62" i="149" s="1"/>
  <c r="AS62" i="148"/>
  <c r="AP62" i="149" s="1"/>
  <c r="L62" i="148"/>
  <c r="N62" i="148"/>
  <c r="AR62" i="148"/>
  <c r="AO62" i="149" s="1"/>
  <c r="AO62" i="148"/>
  <c r="AL62" i="149" s="1"/>
  <c r="M62" i="148"/>
  <c r="AC62" i="148"/>
  <c r="Z62" i="149" s="1"/>
  <c r="Z62" i="148"/>
  <c r="W62" i="149" s="1"/>
  <c r="AD62" i="148"/>
  <c r="AA62" i="149" s="1"/>
  <c r="AJ62" i="148"/>
  <c r="AG62" i="149" s="1"/>
  <c r="W62" i="148"/>
  <c r="AU62" i="148"/>
  <c r="AR62" i="149" s="1"/>
  <c r="AH62" i="148"/>
  <c r="AE62" i="149" s="1"/>
  <c r="AK62" i="148"/>
  <c r="AH62" i="149" s="1"/>
  <c r="X62" i="148"/>
  <c r="U62" i="149" s="1"/>
  <c r="AF62" i="148"/>
  <c r="AC62" i="149" s="1"/>
  <c r="P62" i="148"/>
  <c r="AQ62" i="148"/>
  <c r="AN62" i="149" s="1"/>
  <c r="U62" i="148"/>
  <c r="AA62" i="148"/>
  <c r="X62" i="149" s="1"/>
  <c r="AF127" i="148"/>
  <c r="AC127" i="149" s="1"/>
  <c r="AM127" i="148"/>
  <c r="AJ127" i="149" s="1"/>
  <c r="AC127" i="148"/>
  <c r="Z127" i="149" s="1"/>
  <c r="AH127" i="148"/>
  <c r="AE127" i="149" s="1"/>
  <c r="AL127" i="148"/>
  <c r="AI127" i="149" s="1"/>
  <c r="X127" i="148"/>
  <c r="U127" i="149" s="1"/>
  <c r="AG127" i="148"/>
  <c r="AD127" i="149" s="1"/>
  <c r="J127" i="148"/>
  <c r="AB127" i="148"/>
  <c r="Y127" i="149" s="1"/>
  <c r="AK127" i="148"/>
  <c r="AH127" i="149" s="1"/>
  <c r="AU127" i="148"/>
  <c r="AR127" i="149" s="1"/>
  <c r="AR127" i="148"/>
  <c r="AO127" i="149" s="1"/>
  <c r="P127" i="148"/>
  <c r="AQ127" i="148"/>
  <c r="AN127" i="149" s="1"/>
  <c r="O127" i="148"/>
  <c r="Z127" i="148"/>
  <c r="W127" i="149" s="1"/>
  <c r="AN127" i="148"/>
  <c r="AK127" i="149" s="1"/>
  <c r="W127" i="148"/>
  <c r="AD127" i="148"/>
  <c r="AA127" i="149" s="1"/>
  <c r="N127" i="148"/>
  <c r="U127" i="148"/>
  <c r="AS127" i="148"/>
  <c r="AP127" i="149" s="1"/>
  <c r="M127" i="148"/>
  <c r="AP127" i="148"/>
  <c r="AM127" i="149" s="1"/>
  <c r="AE127" i="148"/>
  <c r="AB127" i="149" s="1"/>
  <c r="AJ127" i="148"/>
  <c r="AG127" i="149" s="1"/>
  <c r="K127" i="148"/>
  <c r="AI127" i="148"/>
  <c r="AF127" i="149" s="1"/>
  <c r="L127" i="148"/>
  <c r="Y127" i="148"/>
  <c r="V127" i="149" s="1"/>
  <c r="AO127" i="148"/>
  <c r="AL127" i="149" s="1"/>
  <c r="AA127" i="148"/>
  <c r="X127" i="149" s="1"/>
  <c r="AT127" i="148"/>
  <c r="AQ127" i="149" s="1"/>
  <c r="AK109" i="148"/>
  <c r="AH109" i="149" s="1"/>
  <c r="AG109" i="148"/>
  <c r="AD109" i="149" s="1"/>
  <c r="AO109" i="148"/>
  <c r="AL109" i="149" s="1"/>
  <c r="AF109" i="148"/>
  <c r="AC109" i="149" s="1"/>
  <c r="AU109" i="148"/>
  <c r="AR109" i="149" s="1"/>
  <c r="K114" i="148"/>
  <c r="Y114" i="148"/>
  <c r="V114" i="149" s="1"/>
  <c r="AP114" i="148"/>
  <c r="AM114" i="149" s="1"/>
  <c r="AH114" i="148"/>
  <c r="AE114" i="149" s="1"/>
  <c r="AC114" i="148"/>
  <c r="Z114" i="149" s="1"/>
  <c r="AI114" i="148"/>
  <c r="AF114" i="149" s="1"/>
  <c r="AQ114" i="148"/>
  <c r="AN114" i="149" s="1"/>
  <c r="AU114" i="148"/>
  <c r="AR114" i="149" s="1"/>
  <c r="J114" i="148"/>
  <c r="AU40" i="148"/>
  <c r="AR40" i="149" s="1"/>
  <c r="AC40" i="148"/>
  <c r="Z40" i="149" s="1"/>
  <c r="AF40" i="148"/>
  <c r="AC40" i="149" s="1"/>
  <c r="W40" i="148"/>
  <c r="P40" i="148"/>
  <c r="AR40" i="148"/>
  <c r="AO40" i="149" s="1"/>
  <c r="L40" i="148"/>
  <c r="AJ40" i="148"/>
  <c r="AG40" i="149" s="1"/>
  <c r="AI40" i="148"/>
  <c r="AF40" i="149" s="1"/>
  <c r="AK40" i="148"/>
  <c r="AH40" i="149" s="1"/>
  <c r="AP109" i="148"/>
  <c r="AM109" i="149" s="1"/>
  <c r="AE109" i="148"/>
  <c r="AB109" i="149" s="1"/>
  <c r="N109" i="148"/>
  <c r="X109" i="148"/>
  <c r="U109" i="149" s="1"/>
  <c r="K109" i="148"/>
  <c r="AT109" i="148"/>
  <c r="AQ109" i="149" s="1"/>
  <c r="AI109" i="148"/>
  <c r="AF109" i="149" s="1"/>
  <c r="AQ109" i="148"/>
  <c r="AN109" i="149" s="1"/>
  <c r="AL114" i="148"/>
  <c r="AI114" i="149" s="1"/>
  <c r="AJ114" i="148"/>
  <c r="AG114" i="149" s="1"/>
  <c r="X114" i="148"/>
  <c r="U114" i="149" s="1"/>
  <c r="AB114" i="148"/>
  <c r="Y114" i="149" s="1"/>
  <c r="AM114" i="148"/>
  <c r="AJ114" i="149" s="1"/>
  <c r="U114" i="148"/>
  <c r="L114" i="148"/>
  <c r="N114" i="148"/>
  <c r="O114" i="148"/>
  <c r="Y40" i="148"/>
  <c r="V40" i="149" s="1"/>
  <c r="AG40" i="148"/>
  <c r="AD40" i="149" s="1"/>
  <c r="AQ40" i="148"/>
  <c r="AN40" i="149" s="1"/>
  <c r="AD40" i="148"/>
  <c r="AA40" i="149" s="1"/>
  <c r="AH40" i="148"/>
  <c r="AE40" i="149" s="1"/>
  <c r="AN40" i="148"/>
  <c r="AK40" i="149" s="1"/>
  <c r="AB40" i="148"/>
  <c r="Y40" i="149" s="1"/>
  <c r="O40" i="148"/>
  <c r="J40" i="148"/>
  <c r="AL109" i="148"/>
  <c r="AI109" i="149" s="1"/>
  <c r="AM109" i="148"/>
  <c r="AJ109" i="149" s="1"/>
  <c r="AD109" i="148"/>
  <c r="AA109" i="149" s="1"/>
  <c r="J109" i="148"/>
  <c r="AC109" i="148"/>
  <c r="Z109" i="149" s="1"/>
  <c r="U109" i="148"/>
  <c r="AS109" i="148"/>
  <c r="AP109" i="149" s="1"/>
  <c r="AA109" i="148"/>
  <c r="X109" i="149" s="1"/>
  <c r="AT114" i="148"/>
  <c r="AQ114" i="149" s="1"/>
  <c r="AD114" i="148"/>
  <c r="AA114" i="149" s="1"/>
  <c r="P114" i="148"/>
  <c r="AN114" i="148"/>
  <c r="AK114" i="149" s="1"/>
  <c r="AR114" i="148"/>
  <c r="AO114" i="149" s="1"/>
  <c r="AP40" i="148"/>
  <c r="AM40" i="149" s="1"/>
  <c r="U40" i="148"/>
  <c r="AE40" i="148"/>
  <c r="AB40" i="149" s="1"/>
  <c r="AA40" i="148"/>
  <c r="X40" i="149" s="1"/>
  <c r="AM40" i="148"/>
  <c r="AJ40" i="149" s="1"/>
  <c r="W109" i="148"/>
  <c r="AB109" i="148"/>
  <c r="Y109" i="149" s="1"/>
  <c r="O109" i="148"/>
  <c r="AR109" i="148"/>
  <c r="AO109" i="149" s="1"/>
  <c r="L109" i="148"/>
  <c r="AJ109" i="148"/>
  <c r="AG109" i="149" s="1"/>
  <c r="Y109" i="148"/>
  <c r="V109" i="149" s="1"/>
  <c r="P109" i="148"/>
  <c r="AN109" i="148"/>
  <c r="AK109" i="149" s="1"/>
  <c r="Z109" i="148"/>
  <c r="W109" i="149" s="1"/>
  <c r="M109" i="148"/>
  <c r="AH109" i="148"/>
  <c r="AE109" i="149" s="1"/>
  <c r="W114" i="148"/>
  <c r="AG114" i="148"/>
  <c r="AD114" i="149" s="1"/>
  <c r="AA114" i="148"/>
  <c r="X114" i="149" s="1"/>
  <c r="AE114" i="148"/>
  <c r="AB114" i="149" s="1"/>
  <c r="M114" i="148"/>
  <c r="AO114" i="148"/>
  <c r="AL114" i="149" s="1"/>
  <c r="AS114" i="148"/>
  <c r="AP114" i="149" s="1"/>
  <c r="AK114" i="148"/>
  <c r="AH114" i="149" s="1"/>
  <c r="AF114" i="148"/>
  <c r="AC114" i="149" s="1"/>
  <c r="Z114" i="148"/>
  <c r="W114" i="149" s="1"/>
  <c r="AS40" i="148"/>
  <c r="AP40" i="149" s="1"/>
  <c r="X40" i="148"/>
  <c r="U40" i="149" s="1"/>
  <c r="Z40" i="148"/>
  <c r="W40" i="149" s="1"/>
  <c r="AL40" i="148"/>
  <c r="AI40" i="149" s="1"/>
  <c r="K40" i="148"/>
  <c r="AT40" i="148"/>
  <c r="AQ40" i="149" s="1"/>
  <c r="M40" i="148"/>
  <c r="AO40" i="148"/>
  <c r="AL40" i="149" s="1"/>
  <c r="N40" i="148"/>
  <c r="AN118" i="148"/>
  <c r="AK118" i="149" s="1"/>
  <c r="AT118" i="148"/>
  <c r="AQ118" i="149" s="1"/>
  <c r="AQ118" i="148"/>
  <c r="AN118" i="149" s="1"/>
  <c r="AS118" i="148"/>
  <c r="AP118" i="149" s="1"/>
  <c r="AI118" i="148"/>
  <c r="AF118" i="149" s="1"/>
  <c r="AH118" i="148"/>
  <c r="AE118" i="149" s="1"/>
  <c r="AM118" i="148"/>
  <c r="AJ118" i="149" s="1"/>
  <c r="K118" i="148"/>
  <c r="X118" i="148"/>
  <c r="U118" i="149" s="1"/>
  <c r="Z118" i="148"/>
  <c r="W118" i="149" s="1"/>
  <c r="U118" i="148"/>
  <c r="O118" i="148"/>
  <c r="AE118" i="148"/>
  <c r="AB118" i="149" s="1"/>
  <c r="Z105" i="148"/>
  <c r="W105" i="149" s="1"/>
  <c r="J118" i="148"/>
  <c r="AG118" i="148"/>
  <c r="AD118" i="149" s="1"/>
  <c r="AL118" i="148"/>
  <c r="AI118" i="149" s="1"/>
  <c r="AP118" i="148"/>
  <c r="AM118" i="149" s="1"/>
  <c r="N118" i="148"/>
  <c r="AA118" i="148"/>
  <c r="X118" i="149" s="1"/>
  <c r="AB118" i="148"/>
  <c r="Y118" i="149" s="1"/>
  <c r="AC118" i="148"/>
  <c r="Z118" i="149" s="1"/>
  <c r="AF118" i="148"/>
  <c r="AC118" i="149" s="1"/>
  <c r="AJ118" i="148"/>
  <c r="AG118" i="149" s="1"/>
  <c r="L118" i="148"/>
  <c r="AR118" i="148"/>
  <c r="AO118" i="149" s="1"/>
  <c r="P118" i="148"/>
  <c r="Y118" i="148"/>
  <c r="V118" i="149" s="1"/>
  <c r="AU118" i="148"/>
  <c r="AR118" i="149" s="1"/>
  <c r="M118" i="148"/>
  <c r="AK118" i="148"/>
  <c r="AH118" i="149" s="1"/>
  <c r="W118" i="148"/>
  <c r="AO118" i="148"/>
  <c r="AL118" i="149" s="1"/>
  <c r="AD118" i="148"/>
  <c r="AA118" i="149" s="1"/>
  <c r="AQ105" i="148"/>
  <c r="AN105" i="149" s="1"/>
  <c r="L105" i="148"/>
  <c r="AC105" i="148"/>
  <c r="Z105" i="149" s="1"/>
  <c r="AE105" i="148"/>
  <c r="AB105" i="149" s="1"/>
  <c r="N105" i="148"/>
  <c r="AA105" i="148"/>
  <c r="X105" i="149" s="1"/>
  <c r="AD105" i="148"/>
  <c r="AA105" i="149" s="1"/>
  <c r="K105" i="148"/>
  <c r="AR105" i="148"/>
  <c r="AO105" i="149" s="1"/>
  <c r="AU105" i="148"/>
  <c r="AR105" i="149" s="1"/>
  <c r="Y105" i="148"/>
  <c r="V105" i="149" s="1"/>
  <c r="AB105" i="148"/>
  <c r="Y105" i="149" s="1"/>
  <c r="AM105" i="148"/>
  <c r="AJ105" i="149" s="1"/>
  <c r="M105" i="148"/>
  <c r="P105" i="148"/>
  <c r="J105" i="148"/>
  <c r="AN105" i="148"/>
  <c r="AK105" i="149" s="1"/>
  <c r="AP105" i="148"/>
  <c r="AM105" i="149" s="1"/>
  <c r="X105" i="148"/>
  <c r="U105" i="149" s="1"/>
  <c r="AK105" i="148"/>
  <c r="AH105" i="149" s="1"/>
  <c r="AH105" i="148"/>
  <c r="AE105" i="149" s="1"/>
  <c r="W105" i="148"/>
  <c r="AT105" i="148"/>
  <c r="AQ105" i="149" s="1"/>
  <c r="AJ105" i="148"/>
  <c r="AG105" i="149" s="1"/>
  <c r="O105" i="148"/>
  <c r="U105" i="148"/>
  <c r="AI105" i="148"/>
  <c r="AF105" i="149" s="1"/>
  <c r="AL105" i="148"/>
  <c r="AI105" i="149" s="1"/>
  <c r="AG105" i="148"/>
  <c r="AD105" i="149" s="1"/>
  <c r="AO105" i="148"/>
  <c r="AL105" i="149" s="1"/>
  <c r="AS105" i="148"/>
  <c r="AP105" i="149" s="1"/>
  <c r="AF105" i="148"/>
  <c r="AC105" i="149" s="1"/>
  <c r="AI92" i="148"/>
  <c r="AF92" i="149" s="1"/>
  <c r="L92" i="148"/>
  <c r="M92" i="148"/>
  <c r="AO92" i="148"/>
  <c r="AL92" i="149" s="1"/>
  <c r="W92" i="148"/>
  <c r="X92" i="148"/>
  <c r="U92" i="149" s="1"/>
  <c r="AB92" i="148"/>
  <c r="Y92" i="149" s="1"/>
  <c r="AK92" i="148"/>
  <c r="AH92" i="149" s="1"/>
  <c r="AL92" i="148"/>
  <c r="AI92" i="149" s="1"/>
  <c r="AH135" i="148"/>
  <c r="AE135" i="149" s="1"/>
  <c r="K135" i="148"/>
  <c r="AM135" i="148"/>
  <c r="AJ135" i="149" s="1"/>
  <c r="AS135" i="148"/>
  <c r="AP135" i="149" s="1"/>
  <c r="X135" i="148"/>
  <c r="U135" i="149" s="1"/>
  <c r="N135" i="148"/>
  <c r="AG135" i="148"/>
  <c r="AD135" i="149" s="1"/>
  <c r="J135" i="148"/>
  <c r="W83" i="148"/>
  <c r="P83" i="148"/>
  <c r="O83" i="148"/>
  <c r="N83" i="148"/>
  <c r="AJ83" i="148"/>
  <c r="AG83" i="149" s="1"/>
  <c r="AG83" i="148"/>
  <c r="AD83" i="149" s="1"/>
  <c r="AO83" i="148"/>
  <c r="AL83" i="149" s="1"/>
  <c r="AQ83" i="148"/>
  <c r="AN83" i="149" s="1"/>
  <c r="X83" i="148"/>
  <c r="U83" i="149" s="1"/>
  <c r="M83" i="148"/>
  <c r="AT92" i="148"/>
  <c r="AQ92" i="149" s="1"/>
  <c r="AS92" i="148"/>
  <c r="AP92" i="149" s="1"/>
  <c r="P92" i="148"/>
  <c r="AB135" i="148"/>
  <c r="Y135" i="149" s="1"/>
  <c r="AI135" i="148"/>
  <c r="AF135" i="149" s="1"/>
  <c r="AO135" i="148"/>
  <c r="AL135" i="149" s="1"/>
  <c r="P135" i="148"/>
  <c r="AC135" i="148"/>
  <c r="Z135" i="149" s="1"/>
  <c r="AJ135" i="148"/>
  <c r="AG135" i="149" s="1"/>
  <c r="U135" i="148"/>
  <c r="AU135" i="148"/>
  <c r="AR135" i="149" s="1"/>
  <c r="AA135" i="148"/>
  <c r="X135" i="149" s="1"/>
  <c r="AU83" i="148"/>
  <c r="AR83" i="149" s="1"/>
  <c r="AR83" i="148"/>
  <c r="AO83" i="149" s="1"/>
  <c r="AK83" i="148"/>
  <c r="AH83" i="149" s="1"/>
  <c r="U83" i="148"/>
  <c r="AC83" i="148"/>
  <c r="Z83" i="149" s="1"/>
  <c r="AP83" i="148"/>
  <c r="AM83" i="149" s="1"/>
  <c r="Y83" i="148"/>
  <c r="V83" i="149" s="1"/>
  <c r="AM83" i="148"/>
  <c r="AJ83" i="149" s="1"/>
  <c r="L83" i="148"/>
  <c r="AF92" i="148"/>
  <c r="AC92" i="149" s="1"/>
  <c r="AC92" i="148"/>
  <c r="Z92" i="149" s="1"/>
  <c r="O92" i="148"/>
  <c r="AD92" i="148"/>
  <c r="AA92" i="149" s="1"/>
  <c r="AN92" i="148"/>
  <c r="AK92" i="149" s="1"/>
  <c r="AP92" i="148"/>
  <c r="AM92" i="149" s="1"/>
  <c r="AQ92" i="148"/>
  <c r="AN92" i="149" s="1"/>
  <c r="N92" i="148"/>
  <c r="Y92" i="148"/>
  <c r="V92" i="149" s="1"/>
  <c r="K92" i="148"/>
  <c r="AJ92" i="148"/>
  <c r="AG92" i="149" s="1"/>
  <c r="AG92" i="148"/>
  <c r="AD92" i="149" s="1"/>
  <c r="L135" i="148"/>
  <c r="Y135" i="148"/>
  <c r="V135" i="149" s="1"/>
  <c r="AF135" i="148"/>
  <c r="AC135" i="149" s="1"/>
  <c r="AE135" i="148"/>
  <c r="AB135" i="149" s="1"/>
  <c r="AR135" i="148"/>
  <c r="AO135" i="149" s="1"/>
  <c r="O135" i="148"/>
  <c r="W135" i="148"/>
  <c r="AN135" i="148"/>
  <c r="AK135" i="149" s="1"/>
  <c r="AL83" i="148"/>
  <c r="AI83" i="149" s="1"/>
  <c r="AA83" i="148"/>
  <c r="X83" i="149" s="1"/>
  <c r="AI83" i="148"/>
  <c r="AF83" i="149" s="1"/>
  <c r="AH83" i="148"/>
  <c r="AE83" i="149" s="1"/>
  <c r="K83" i="148"/>
  <c r="Z83" i="148"/>
  <c r="W83" i="149" s="1"/>
  <c r="AA92" i="148"/>
  <c r="X92" i="149" s="1"/>
  <c r="AH92" i="148"/>
  <c r="AE92" i="149" s="1"/>
  <c r="AR92" i="148"/>
  <c r="AO92" i="149" s="1"/>
  <c r="AU92" i="148"/>
  <c r="AR92" i="149" s="1"/>
  <c r="U92" i="148"/>
  <c r="AE92" i="148"/>
  <c r="AB92" i="149" s="1"/>
  <c r="J92" i="148"/>
  <c r="Z92" i="148"/>
  <c r="W92" i="149" s="1"/>
  <c r="AM92" i="148"/>
  <c r="AJ92" i="149" s="1"/>
  <c r="AT135" i="148"/>
  <c r="AQ135" i="149" s="1"/>
  <c r="AQ135" i="148"/>
  <c r="AN135" i="149" s="1"/>
  <c r="M135" i="148"/>
  <c r="AL135" i="148"/>
  <c r="AI135" i="149" s="1"/>
  <c r="AK135" i="148"/>
  <c r="AH135" i="149" s="1"/>
  <c r="Z135" i="148"/>
  <c r="W135" i="149" s="1"/>
  <c r="AP135" i="148"/>
  <c r="AM135" i="149" s="1"/>
  <c r="AD135" i="148"/>
  <c r="AA135" i="149" s="1"/>
  <c r="AF83" i="148"/>
  <c r="AC83" i="149" s="1"/>
  <c r="AN83" i="148"/>
  <c r="AK83" i="149" s="1"/>
  <c r="AD83" i="148"/>
  <c r="AA83" i="149" s="1"/>
  <c r="AT83" i="148"/>
  <c r="AQ83" i="149" s="1"/>
  <c r="AS83" i="148"/>
  <c r="AP83" i="149" s="1"/>
  <c r="AE83" i="148"/>
  <c r="AB83" i="149" s="1"/>
  <c r="AB83" i="148"/>
  <c r="Y83" i="149" s="1"/>
  <c r="J83" i="148"/>
  <c r="L34" i="153"/>
  <c r="AH34" i="153"/>
  <c r="AL34" i="153"/>
  <c r="K34" i="153"/>
  <c r="AO34" i="153"/>
  <c r="AK34" i="153"/>
  <c r="Z34" i="153"/>
  <c r="AN15" i="153"/>
  <c r="K15" i="153"/>
  <c r="M15" i="153"/>
  <c r="V15" i="153"/>
  <c r="Y15" i="153"/>
  <c r="L15" i="153"/>
  <c r="Q15" i="153"/>
  <c r="AI15" i="153"/>
  <c r="AD9" i="151"/>
  <c r="V9" i="151"/>
  <c r="AM9" i="151"/>
  <c r="AO9" i="151"/>
  <c r="T9" i="151"/>
  <c r="AP9" i="151"/>
  <c r="AG9" i="151"/>
  <c r="Y9" i="151"/>
  <c r="O9" i="151"/>
  <c r="AM27" i="151"/>
  <c r="Y27" i="151"/>
  <c r="AJ27" i="151"/>
  <c r="AN27" i="151"/>
  <c r="AC27" i="151"/>
  <c r="K27" i="151"/>
  <c r="J27" i="151"/>
  <c r="AP27" i="151"/>
  <c r="Q29" i="153"/>
  <c r="V29" i="153"/>
  <c r="X29" i="153"/>
  <c r="AM29" i="153"/>
  <c r="AA29" i="153"/>
  <c r="K29" i="153"/>
  <c r="V7" i="151"/>
  <c r="AD7" i="151"/>
  <c r="AC7" i="151"/>
  <c r="AJ7" i="151"/>
  <c r="AK7" i="151"/>
  <c r="AQ7" i="151"/>
  <c r="Y7" i="151"/>
  <c r="AA7" i="151"/>
  <c r="AE26" i="151"/>
  <c r="Y26" i="151"/>
  <c r="M26" i="151"/>
  <c r="AP26" i="151"/>
  <c r="V26" i="151"/>
  <c r="S26" i="151"/>
  <c r="W26" i="151"/>
  <c r="Z26" i="151"/>
  <c r="N18" i="153"/>
  <c r="Z18" i="153"/>
  <c r="AE18" i="153"/>
  <c r="W18" i="153"/>
  <c r="L18" i="153"/>
  <c r="AM18" i="153"/>
  <c r="M18" i="153"/>
  <c r="AO18" i="153"/>
  <c r="AP18" i="153"/>
  <c r="AL16" i="153"/>
  <c r="AE16" i="153"/>
  <c r="AB16" i="153"/>
  <c r="AI16" i="153"/>
  <c r="Q16" i="153"/>
  <c r="Y16" i="153"/>
  <c r="AM16" i="153"/>
  <c r="V16" i="153"/>
  <c r="AO16" i="153"/>
  <c r="AD15" i="151"/>
  <c r="N15" i="151"/>
  <c r="U15" i="151"/>
  <c r="T15" i="151"/>
  <c r="V15" i="151"/>
  <c r="L15" i="151"/>
  <c r="AC15" i="151"/>
  <c r="AI15" i="151"/>
  <c r="AO15" i="151"/>
  <c r="Z10" i="153"/>
  <c r="AD10" i="153"/>
  <c r="AN10" i="153"/>
  <c r="U10" i="153"/>
  <c r="S10" i="153"/>
  <c r="X10" i="153"/>
  <c r="AF10" i="153"/>
  <c r="V24" i="151"/>
  <c r="Z24" i="151"/>
  <c r="AO24" i="151"/>
  <c r="AC24" i="151"/>
  <c r="AK24" i="151"/>
  <c r="AQ24" i="151"/>
  <c r="AD24" i="151"/>
  <c r="AF16" i="153"/>
  <c r="J16" i="153"/>
  <c r="U16" i="153"/>
  <c r="AA16" i="153"/>
  <c r="I16" i="153"/>
  <c r="AD16" i="153"/>
  <c r="Z15" i="151"/>
  <c r="I15" i="151"/>
  <c r="AL15" i="151"/>
  <c r="AH15" i="151"/>
  <c r="AF15" i="151"/>
  <c r="AE15" i="151"/>
  <c r="AN15" i="151"/>
  <c r="AA34" i="153"/>
  <c r="AF34" i="153"/>
  <c r="S34" i="153"/>
  <c r="I34" i="153"/>
  <c r="J34" i="153"/>
  <c r="V34" i="153"/>
  <c r="AB34" i="153"/>
  <c r="T34" i="153"/>
  <c r="O15" i="153"/>
  <c r="AD15" i="153"/>
  <c r="AF15" i="153"/>
  <c r="N15" i="153"/>
  <c r="AJ15" i="153"/>
  <c r="U15" i="153"/>
  <c r="J15" i="153"/>
  <c r="AP15" i="153"/>
  <c r="AO15" i="153"/>
  <c r="AB9" i="151"/>
  <c r="X9" i="151"/>
  <c r="U9" i="151"/>
  <c r="AL9" i="151"/>
  <c r="K9" i="151"/>
  <c r="L9" i="151"/>
  <c r="AJ9" i="151"/>
  <c r="AI9" i="151"/>
  <c r="AK9" i="151"/>
  <c r="S27" i="151"/>
  <c r="X27" i="151"/>
  <c r="AF27" i="151"/>
  <c r="AK27" i="151"/>
  <c r="Z27" i="151"/>
  <c r="AQ27" i="151"/>
  <c r="O27" i="151"/>
  <c r="AO27" i="151"/>
  <c r="J29" i="153"/>
  <c r="U29" i="153"/>
  <c r="AP29" i="153"/>
  <c r="L29" i="153"/>
  <c r="M29" i="153"/>
  <c r="W29" i="153"/>
  <c r="AO29" i="153"/>
  <c r="I29" i="153"/>
  <c r="L7" i="151"/>
  <c r="M7" i="151"/>
  <c r="AB7" i="151"/>
  <c r="AN7" i="151"/>
  <c r="N7" i="151"/>
  <c r="AE7" i="151"/>
  <c r="AH7" i="151"/>
  <c r="I7" i="151"/>
  <c r="AQ26" i="151"/>
  <c r="O26" i="151"/>
  <c r="AG26" i="151"/>
  <c r="J26" i="151"/>
  <c r="AD26" i="151"/>
  <c r="AO26" i="151"/>
  <c r="AC26" i="151"/>
  <c r="AJ18" i="153"/>
  <c r="K18" i="153"/>
  <c r="V18" i="153"/>
  <c r="AB18" i="153"/>
  <c r="X18" i="153"/>
  <c r="Y18" i="153"/>
  <c r="I18" i="153"/>
  <c r="U18" i="153"/>
  <c r="J18" i="153"/>
  <c r="W16" i="153"/>
  <c r="AQ16" i="153"/>
  <c r="N16" i="153"/>
  <c r="S16" i="153"/>
  <c r="L16" i="153"/>
  <c r="AJ16" i="153"/>
  <c r="Z16" i="153"/>
  <c r="AH16" i="153"/>
  <c r="J15" i="151"/>
  <c r="Q15" i="151"/>
  <c r="W15" i="151"/>
  <c r="K15" i="151"/>
  <c r="AQ15" i="151"/>
  <c r="X15" i="151"/>
  <c r="AG15" i="151"/>
  <c r="AP15" i="151"/>
  <c r="V10" i="153"/>
  <c r="AJ10" i="153"/>
  <c r="I10" i="153"/>
  <c r="AA10" i="153"/>
  <c r="AH10" i="153"/>
  <c r="L10" i="153"/>
  <c r="K10" i="153"/>
  <c r="N10" i="153"/>
  <c r="AP24" i="151"/>
  <c r="S24" i="151"/>
  <c r="N24" i="151"/>
  <c r="AB24" i="151"/>
  <c r="O24" i="151"/>
  <c r="K24" i="151"/>
  <c r="AA24" i="151"/>
  <c r="U24" i="151"/>
  <c r="AM10" i="153"/>
  <c r="AO10" i="153"/>
  <c r="Q10" i="153"/>
  <c r="J10" i="153"/>
  <c r="AI10" i="153"/>
  <c r="AP10" i="153"/>
  <c r="AE10" i="153"/>
  <c r="AK10" i="153"/>
  <c r="AQ10" i="153"/>
  <c r="J24" i="151"/>
  <c r="Y24" i="151"/>
  <c r="AP34" i="153"/>
  <c r="Y34" i="153"/>
  <c r="U34" i="153"/>
  <c r="W34" i="153"/>
  <c r="O34" i="153"/>
  <c r="X34" i="153"/>
  <c r="AM34" i="153"/>
  <c r="N34" i="153"/>
  <c r="AQ34" i="153"/>
  <c r="AL15" i="153"/>
  <c r="AB15" i="153"/>
  <c r="T15" i="153"/>
  <c r="I15" i="153"/>
  <c r="AE15" i="153"/>
  <c r="X15" i="153"/>
  <c r="S15" i="153"/>
  <c r="W9" i="151"/>
  <c r="J9" i="151"/>
  <c r="AA9" i="151"/>
  <c r="AN9" i="151"/>
  <c r="AC9" i="151"/>
  <c r="S9" i="151"/>
  <c r="Z9" i="151"/>
  <c r="Q9" i="151"/>
  <c r="W27" i="151"/>
  <c r="AB27" i="151"/>
  <c r="T27" i="151"/>
  <c r="L27" i="151"/>
  <c r="AI27" i="151"/>
  <c r="Q27" i="151"/>
  <c r="U27" i="151"/>
  <c r="AA27" i="151"/>
  <c r="AD27" i="151"/>
  <c r="N27" i="151"/>
  <c r="AJ29" i="153"/>
  <c r="N29" i="153"/>
  <c r="AI29" i="153"/>
  <c r="AN29" i="153"/>
  <c r="AK29" i="153"/>
  <c r="S29" i="153"/>
  <c r="AL29" i="153"/>
  <c r="Z29" i="153"/>
  <c r="AF7" i="151"/>
  <c r="AI7" i="151"/>
  <c r="O7" i="151"/>
  <c r="J7" i="151"/>
  <c r="Z7" i="151"/>
  <c r="AM7" i="151"/>
  <c r="U7" i="151"/>
  <c r="AP7" i="151"/>
  <c r="AK26" i="151"/>
  <c r="AF26" i="151"/>
  <c r="AA26" i="151"/>
  <c r="T26" i="151"/>
  <c r="K26" i="151"/>
  <c r="I26" i="151"/>
  <c r="U26" i="151"/>
  <c r="X26" i="151"/>
  <c r="AN26" i="151"/>
  <c r="O18" i="153"/>
  <c r="AF18" i="153"/>
  <c r="AN18" i="153"/>
  <c r="Q18" i="153"/>
  <c r="AQ18" i="153"/>
  <c r="S18" i="153"/>
  <c r="AL18" i="153"/>
  <c r="AK18" i="153"/>
  <c r="AK16" i="153"/>
  <c r="K16" i="153"/>
  <c r="O16" i="153"/>
  <c r="T16" i="153"/>
  <c r="M16" i="153"/>
  <c r="X16" i="153"/>
  <c r="AN16" i="153"/>
  <c r="AP16" i="153"/>
  <c r="S15" i="151"/>
  <c r="AK15" i="151"/>
  <c r="AJ15" i="151"/>
  <c r="AA15" i="151"/>
  <c r="M15" i="151"/>
  <c r="Y15" i="151"/>
  <c r="AM15" i="151"/>
  <c r="T10" i="153"/>
  <c r="AL10" i="153"/>
  <c r="W10" i="153"/>
  <c r="O10" i="153"/>
  <c r="M10" i="153"/>
  <c r="Y10" i="153"/>
  <c r="AB10" i="153"/>
  <c r="L24" i="151"/>
  <c r="X24" i="151"/>
  <c r="Q24" i="151"/>
  <c r="AM24" i="151"/>
  <c r="AN24" i="151"/>
  <c r="M24" i="151"/>
  <c r="AG24" i="151"/>
  <c r="AI24" i="151"/>
  <c r="T24" i="151"/>
  <c r="I24" i="151"/>
  <c r="AB26" i="151"/>
  <c r="AJ26" i="151"/>
  <c r="Q26" i="151"/>
  <c r="N26" i="151"/>
  <c r="AL26" i="151"/>
  <c r="AH26" i="151"/>
  <c r="L26" i="151"/>
  <c r="AM26" i="151"/>
  <c r="AI26" i="151"/>
  <c r="AB15" i="151"/>
  <c r="O15" i="151"/>
  <c r="AL24" i="151"/>
  <c r="W24" i="151"/>
  <c r="AE24" i="151"/>
  <c r="AJ24" i="151"/>
  <c r="AH24" i="151"/>
  <c r="AF24" i="151"/>
  <c r="AJ34" i="153"/>
  <c r="AE34" i="153"/>
  <c r="AN34" i="153"/>
  <c r="Q34" i="153"/>
  <c r="AI34" i="153"/>
  <c r="M34" i="153"/>
  <c r="AD34" i="153"/>
  <c r="AM15" i="153"/>
  <c r="AA15" i="153"/>
  <c r="AH15" i="153"/>
  <c r="Z15" i="153"/>
  <c r="AQ15" i="153"/>
  <c r="AK15" i="153"/>
  <c r="W15" i="153"/>
  <c r="AE9" i="151"/>
  <c r="M9" i="151"/>
  <c r="AH9" i="151"/>
  <c r="AF9" i="151"/>
  <c r="I9" i="151"/>
  <c r="N9" i="151"/>
  <c r="AQ9" i="151"/>
  <c r="AG27" i="151"/>
  <c r="AE27" i="151"/>
  <c r="I27" i="151"/>
  <c r="M27" i="151"/>
  <c r="V27" i="151"/>
  <c r="AL27" i="151"/>
  <c r="AH27" i="151"/>
  <c r="AF29" i="153"/>
  <c r="AB29" i="153"/>
  <c r="AD29" i="153"/>
  <c r="Y29" i="153"/>
  <c r="AE29" i="153"/>
  <c r="AH29" i="153"/>
  <c r="AQ29" i="153"/>
  <c r="T29" i="153"/>
  <c r="O29" i="153"/>
  <c r="S7" i="151"/>
  <c r="Q7" i="151"/>
  <c r="AG7" i="151"/>
  <c r="X7" i="151"/>
  <c r="T7" i="151"/>
  <c r="AL7" i="151"/>
  <c r="K7" i="151"/>
  <c r="W7" i="151"/>
  <c r="AO7" i="151"/>
  <c r="T18" i="153"/>
  <c r="AA18" i="153"/>
  <c r="AD18" i="153"/>
  <c r="AI18" i="153"/>
  <c r="AH18" i="153"/>
  <c r="AN14" i="151"/>
  <c r="W14" i="151"/>
  <c r="J14" i="151"/>
  <c r="AC14" i="151"/>
  <c r="AI14" i="151"/>
  <c r="L14" i="151"/>
  <c r="AE14" i="151"/>
  <c r="AP14" i="151"/>
  <c r="AO14" i="151"/>
  <c r="AE30" i="153"/>
  <c r="M30" i="153"/>
  <c r="AF30" i="153"/>
  <c r="N30" i="153"/>
  <c r="V30" i="153"/>
  <c r="X30" i="153"/>
  <c r="AI30" i="153"/>
  <c r="AN30" i="153"/>
  <c r="I30" i="153"/>
  <c r="S21" i="153"/>
  <c r="Y21" i="153"/>
  <c r="AL21" i="153"/>
  <c r="AQ21" i="153"/>
  <c r="AI21" i="153"/>
  <c r="AM21" i="153"/>
  <c r="AI16" i="151"/>
  <c r="AE16" i="151"/>
  <c r="U16" i="151"/>
  <c r="AK16" i="151"/>
  <c r="M16" i="151"/>
  <c r="AD16" i="151"/>
  <c r="AH16" i="151"/>
  <c r="AB16" i="151"/>
  <c r="AP16" i="151"/>
  <c r="AO22" i="151"/>
  <c r="AH22" i="151"/>
  <c r="X22" i="151"/>
  <c r="O22" i="151"/>
  <c r="AD22" i="151"/>
  <c r="AC22" i="151"/>
  <c r="Y22" i="151"/>
  <c r="I22" i="151"/>
  <c r="X13" i="151"/>
  <c r="AQ13" i="151"/>
  <c r="Y13" i="151"/>
  <c r="Q13" i="151"/>
  <c r="AF13" i="151"/>
  <c r="J13" i="151"/>
  <c r="L13" i="151"/>
  <c r="AO13" i="151"/>
  <c r="AI33" i="151"/>
  <c r="V33" i="151"/>
  <c r="AM33" i="151"/>
  <c r="O33" i="151"/>
  <c r="I33" i="151"/>
  <c r="Z33" i="151"/>
  <c r="AJ33" i="151"/>
  <c r="AG33" i="151"/>
  <c r="J27" i="153"/>
  <c r="AF27" i="153"/>
  <c r="AB27" i="153"/>
  <c r="AJ27" i="153"/>
  <c r="M27" i="153"/>
  <c r="AI27" i="153"/>
  <c r="AE27" i="153"/>
  <c r="O6" i="153"/>
  <c r="J6" i="153"/>
  <c r="AA6" i="153"/>
  <c r="AF6" i="153"/>
  <c r="S6" i="153"/>
  <c r="AM6" i="153"/>
  <c r="AE6" i="153"/>
  <c r="X6" i="153"/>
  <c r="W6" i="153"/>
  <c r="AM31" i="151"/>
  <c r="S31" i="151"/>
  <c r="O31" i="151"/>
  <c r="X31" i="151"/>
  <c r="AK31" i="151"/>
  <c r="T31" i="151"/>
  <c r="AO31" i="151"/>
  <c r="Q31" i="151"/>
  <c r="X33" i="153"/>
  <c r="N33" i="153"/>
  <c r="J33" i="153"/>
  <c r="V33" i="153"/>
  <c r="AP33" i="153"/>
  <c r="AN33" i="153"/>
  <c r="J17" i="151"/>
  <c r="Y17" i="151"/>
  <c r="AG17" i="151"/>
  <c r="AF17" i="151"/>
  <c r="I17" i="151"/>
  <c r="W17" i="151"/>
  <c r="AA17" i="151"/>
  <c r="X23" i="153"/>
  <c r="AD23" i="153"/>
  <c r="AL23" i="153"/>
  <c r="S23" i="153"/>
  <c r="AP23" i="153"/>
  <c r="AI23" i="153"/>
  <c r="O23" i="153"/>
  <c r="M10" i="151"/>
  <c r="AA10" i="151"/>
  <c r="AJ10" i="151"/>
  <c r="I10" i="151"/>
  <c r="AF10" i="151"/>
  <c r="X10" i="151"/>
  <c r="AI10" i="151"/>
  <c r="AG10" i="151"/>
  <c r="AA12" i="153"/>
  <c r="AE12" i="153"/>
  <c r="AN12" i="153"/>
  <c r="U12" i="153"/>
  <c r="AK12" i="153"/>
  <c r="AM12" i="153"/>
  <c r="K12" i="153"/>
  <c r="AO12" i="153"/>
  <c r="AE34" i="151"/>
  <c r="M34" i="151"/>
  <c r="AH34" i="151"/>
  <c r="V34" i="151"/>
  <c r="AP34" i="151"/>
  <c r="K34" i="151"/>
  <c r="AN34" i="151"/>
  <c r="AI34" i="151"/>
  <c r="O34" i="151"/>
  <c r="AP19" i="153"/>
  <c r="AB19" i="153"/>
  <c r="M19" i="153"/>
  <c r="Y19" i="153"/>
  <c r="T19" i="153"/>
  <c r="AK19" i="153"/>
  <c r="AJ19" i="153"/>
  <c r="V19" i="153"/>
  <c r="AG25" i="151"/>
  <c r="AL25" i="151"/>
  <c r="M25" i="151"/>
  <c r="AH25" i="151"/>
  <c r="K25" i="151"/>
  <c r="N25" i="151"/>
  <c r="AB25" i="151"/>
  <c r="AK25" i="151"/>
  <c r="AN25" i="151"/>
  <c r="AC25" i="151"/>
  <c r="AB20" i="153"/>
  <c r="AM20" i="153"/>
  <c r="S20" i="153"/>
  <c r="AE20" i="153"/>
  <c r="AI20" i="153"/>
  <c r="Z20" i="153"/>
  <c r="W20" i="153"/>
  <c r="AA20" i="153"/>
  <c r="Q20" i="153"/>
  <c r="AN20" i="151"/>
  <c r="AD20" i="151"/>
  <c r="Y20" i="151"/>
  <c r="AC20" i="151"/>
  <c r="AI20" i="151"/>
  <c r="AB20" i="151"/>
  <c r="T20" i="151"/>
  <c r="AG20" i="151"/>
  <c r="Z18" i="151"/>
  <c r="O18" i="151"/>
  <c r="AH18" i="151"/>
  <c r="AQ18" i="151"/>
  <c r="I18" i="151"/>
  <c r="AJ18" i="151"/>
  <c r="W18" i="151"/>
  <c r="AI18" i="151"/>
  <c r="AE18" i="151"/>
  <c r="AK18" i="151"/>
  <c r="AO18" i="151"/>
  <c r="Q25" i="153"/>
  <c r="AH25" i="153"/>
  <c r="AM25" i="153"/>
  <c r="I25" i="153"/>
  <c r="Y25" i="153"/>
  <c r="V25" i="153"/>
  <c r="AB32" i="151"/>
  <c r="I32" i="151"/>
  <c r="AN32" i="151"/>
  <c r="N32" i="151"/>
  <c r="AJ32" i="151"/>
  <c r="L32" i="151"/>
  <c r="T32" i="151"/>
  <c r="Q32" i="151"/>
  <c r="AL32" i="151"/>
  <c r="AL35" i="153"/>
  <c r="T35" i="153"/>
  <c r="AJ35" i="153"/>
  <c r="S35" i="153"/>
  <c r="AB35" i="153"/>
  <c r="O35" i="153"/>
  <c r="AL31" i="153"/>
  <c r="AO31" i="153"/>
  <c r="AA31" i="153"/>
  <c r="AQ31" i="153"/>
  <c r="AH31" i="153"/>
  <c r="M31" i="153"/>
  <c r="X31" i="153"/>
  <c r="AJ28" i="151"/>
  <c r="W28" i="151"/>
  <c r="AF28" i="151"/>
  <c r="L28" i="151"/>
  <c r="T28" i="151"/>
  <c r="O28" i="151"/>
  <c r="AP28" i="151"/>
  <c r="Y14" i="151"/>
  <c r="T14" i="151"/>
  <c r="M14" i="151"/>
  <c r="U14" i="151"/>
  <c r="AB14" i="151"/>
  <c r="I14" i="151"/>
  <c r="AH14" i="151"/>
  <c r="AL14" i="151"/>
  <c r="Z30" i="153"/>
  <c r="J30" i="153"/>
  <c r="Y30" i="153"/>
  <c r="AQ30" i="153"/>
  <c r="AA30" i="153"/>
  <c r="O30" i="153"/>
  <c r="K30" i="153"/>
  <c r="L30" i="153"/>
  <c r="AH30" i="153"/>
  <c r="AN21" i="153"/>
  <c r="AE21" i="153"/>
  <c r="K21" i="153"/>
  <c r="AH21" i="153"/>
  <c r="N21" i="153"/>
  <c r="AB21" i="153"/>
  <c r="T21" i="153"/>
  <c r="X21" i="153"/>
  <c r="L21" i="153"/>
  <c r="X16" i="151"/>
  <c r="AA16" i="151"/>
  <c r="AM16" i="151"/>
  <c r="AL16" i="151"/>
  <c r="V16" i="151"/>
  <c r="Q16" i="151"/>
  <c r="W16" i="151"/>
  <c r="Z16" i="151"/>
  <c r="V22" i="151"/>
  <c r="AJ22" i="151"/>
  <c r="AL22" i="151"/>
  <c r="K22" i="151"/>
  <c r="AP22" i="151"/>
  <c r="AA22" i="151"/>
  <c r="AF22" i="151"/>
  <c r="AE22" i="151"/>
  <c r="Z13" i="151"/>
  <c r="M13" i="151"/>
  <c r="AG13" i="151"/>
  <c r="N13" i="151"/>
  <c r="AC13" i="151"/>
  <c r="T13" i="151"/>
  <c r="AB13" i="151"/>
  <c r="AL13" i="151"/>
  <c r="AP13" i="151"/>
  <c r="AF33" i="151"/>
  <c r="AK33" i="151"/>
  <c r="L33" i="151"/>
  <c r="N33" i="151"/>
  <c r="AD33" i="151"/>
  <c r="AQ33" i="151"/>
  <c r="AC33" i="151"/>
  <c r="Y33" i="151"/>
  <c r="S27" i="153"/>
  <c r="AD27" i="153"/>
  <c r="U27" i="153"/>
  <c r="AP27" i="153"/>
  <c r="AO27" i="153"/>
  <c r="X27" i="153"/>
  <c r="W27" i="153"/>
  <c r="AA27" i="153"/>
  <c r="Y6" i="153"/>
  <c r="N6" i="153"/>
  <c r="Z6" i="153"/>
  <c r="L6" i="153"/>
  <c r="V6" i="153"/>
  <c r="AO6" i="153"/>
  <c r="M6" i="153"/>
  <c r="AC31" i="151"/>
  <c r="AI31" i="151"/>
  <c r="V31" i="151"/>
  <c r="AG31" i="151"/>
  <c r="Y31" i="151"/>
  <c r="Z31" i="151"/>
  <c r="U31" i="151"/>
  <c r="AD31" i="151"/>
  <c r="AL31" i="151"/>
  <c r="AJ33" i="153"/>
  <c r="AF33" i="153"/>
  <c r="Q33" i="153"/>
  <c r="K33" i="153"/>
  <c r="AQ33" i="153"/>
  <c r="O33" i="153"/>
  <c r="AB33" i="153"/>
  <c r="AM17" i="151"/>
  <c r="K17" i="151"/>
  <c r="AE17" i="151"/>
  <c r="L17" i="151"/>
  <c r="AL17" i="151"/>
  <c r="AI17" i="151"/>
  <c r="AQ17" i="151"/>
  <c r="Q17" i="151"/>
  <c r="Z23" i="153"/>
  <c r="Y23" i="153"/>
  <c r="I23" i="153"/>
  <c r="L23" i="153"/>
  <c r="T23" i="153"/>
  <c r="AJ23" i="153"/>
  <c r="AF23" i="153"/>
  <c r="V23" i="153"/>
  <c r="AQ10" i="151"/>
  <c r="AM10" i="151"/>
  <c r="AN10" i="151"/>
  <c r="K10" i="151"/>
  <c r="S10" i="151"/>
  <c r="Z10" i="151"/>
  <c r="AD10" i="151"/>
  <c r="AP10" i="151"/>
  <c r="Q12" i="153"/>
  <c r="AD12" i="153"/>
  <c r="Z12" i="153"/>
  <c r="AF12" i="153"/>
  <c r="T12" i="153"/>
  <c r="N12" i="153"/>
  <c r="V12" i="153"/>
  <c r="AB34" i="151"/>
  <c r="J34" i="151"/>
  <c r="AM34" i="151"/>
  <c r="AQ34" i="151"/>
  <c r="AD34" i="151"/>
  <c r="S34" i="151"/>
  <c r="AO34" i="151"/>
  <c r="L34" i="151"/>
  <c r="AK34" i="151"/>
  <c r="AE19" i="153"/>
  <c r="AD19" i="153"/>
  <c r="U19" i="153"/>
  <c r="K19" i="153"/>
  <c r="AN19" i="153"/>
  <c r="AO19" i="153"/>
  <c r="AO25" i="151"/>
  <c r="AM25" i="151"/>
  <c r="AQ25" i="151"/>
  <c r="AF25" i="151"/>
  <c r="AD25" i="151"/>
  <c r="S25" i="151"/>
  <c r="O25" i="151"/>
  <c r="T25" i="151"/>
  <c r="AP25" i="151"/>
  <c r="Y20" i="153"/>
  <c r="V20" i="153"/>
  <c r="AQ20" i="153"/>
  <c r="AP20" i="153"/>
  <c r="X20" i="153"/>
  <c r="L20" i="153"/>
  <c r="AL20" i="151"/>
  <c r="I20" i="151"/>
  <c r="AP20" i="151"/>
  <c r="X20" i="151"/>
  <c r="W20" i="151"/>
  <c r="Z20" i="151"/>
  <c r="K20" i="151"/>
  <c r="AO20" i="151"/>
  <c r="L20" i="151"/>
  <c r="O20" i="151"/>
  <c r="AF18" i="151"/>
  <c r="J18" i="151"/>
  <c r="AC18" i="151"/>
  <c r="T18" i="151"/>
  <c r="V18" i="151"/>
  <c r="X18" i="151"/>
  <c r="AQ25" i="153"/>
  <c r="S25" i="153"/>
  <c r="AJ25" i="153"/>
  <c r="K25" i="153"/>
  <c r="AP25" i="153"/>
  <c r="Z25" i="153"/>
  <c r="J25" i="153"/>
  <c r="AK25" i="153"/>
  <c r="AO25" i="153"/>
  <c r="AM32" i="151"/>
  <c r="AI32" i="151"/>
  <c r="AP32" i="151"/>
  <c r="AD32" i="151"/>
  <c r="AH32" i="151"/>
  <c r="AF32" i="151"/>
  <c r="AC32" i="151"/>
  <c r="O32" i="151"/>
  <c r="K35" i="153"/>
  <c r="AA35" i="153"/>
  <c r="I35" i="153"/>
  <c r="AF35" i="153"/>
  <c r="AD35" i="153"/>
  <c r="AK35" i="153"/>
  <c r="U35" i="153"/>
  <c r="AQ35" i="153"/>
  <c r="AP31" i="153"/>
  <c r="L31" i="153"/>
  <c r="Q31" i="153"/>
  <c r="Z31" i="153"/>
  <c r="N31" i="153"/>
  <c r="AI31" i="153"/>
  <c r="AD31" i="153"/>
  <c r="AM28" i="151"/>
  <c r="AK28" i="151"/>
  <c r="AB28" i="151"/>
  <c r="I28" i="151"/>
  <c r="AL28" i="151"/>
  <c r="AC28" i="151"/>
  <c r="V28" i="151"/>
  <c r="AN14" i="153"/>
  <c r="X14" i="153"/>
  <c r="AD14" i="153"/>
  <c r="Q14" i="153"/>
  <c r="AQ14" i="153"/>
  <c r="T14" i="153"/>
  <c r="AJ14" i="153"/>
  <c r="Y14" i="153"/>
  <c r="AM14" i="151"/>
  <c r="K14" i="151"/>
  <c r="AK14" i="151"/>
  <c r="X14" i="151"/>
  <c r="Q14" i="151"/>
  <c r="AF14" i="151"/>
  <c r="AJ14" i="151"/>
  <c r="AA14" i="151"/>
  <c r="S30" i="153"/>
  <c r="AO30" i="153"/>
  <c r="U30" i="153"/>
  <c r="AM30" i="153"/>
  <c r="T30" i="153"/>
  <c r="AL30" i="153"/>
  <c r="W30" i="153"/>
  <c r="AD21" i="153"/>
  <c r="AJ21" i="153"/>
  <c r="U21" i="153"/>
  <c r="AK21" i="153"/>
  <c r="Q21" i="153"/>
  <c r="AO21" i="153"/>
  <c r="V21" i="153"/>
  <c r="AF21" i="153"/>
  <c r="AN16" i="151"/>
  <c r="O16" i="151"/>
  <c r="AC16" i="151"/>
  <c r="Y16" i="151"/>
  <c r="AF16" i="151"/>
  <c r="AJ16" i="151"/>
  <c r="I16" i="151"/>
  <c r="J16" i="151"/>
  <c r="M22" i="151"/>
  <c r="AM22" i="151"/>
  <c r="S22" i="151"/>
  <c r="AN22" i="151"/>
  <c r="U22" i="151"/>
  <c r="W22" i="151"/>
  <c r="AG22" i="151"/>
  <c r="Z22" i="151"/>
  <c r="AQ22" i="151"/>
  <c r="AM13" i="151"/>
  <c r="W13" i="151"/>
  <c r="AH13" i="151"/>
  <c r="I13" i="151"/>
  <c r="AJ13" i="151"/>
  <c r="AA13" i="151"/>
  <c r="AK13" i="151"/>
  <c r="AI13" i="151"/>
  <c r="T33" i="151"/>
  <c r="AO33" i="151"/>
  <c r="AE33" i="151"/>
  <c r="J33" i="151"/>
  <c r="AH33" i="151"/>
  <c r="W33" i="151"/>
  <c r="X33" i="151"/>
  <c r="U33" i="151"/>
  <c r="AP33" i="151"/>
  <c r="AB33" i="151"/>
  <c r="T27" i="153"/>
  <c r="AK27" i="153"/>
  <c r="AM27" i="153"/>
  <c r="Z27" i="153"/>
  <c r="Q27" i="153"/>
  <c r="K27" i="153"/>
  <c r="AH27" i="153"/>
  <c r="AL27" i="153"/>
  <c r="AJ6" i="153"/>
  <c r="AH6" i="153"/>
  <c r="AN6" i="153"/>
  <c r="T6" i="153"/>
  <c r="U6" i="153"/>
  <c r="AB6" i="153"/>
  <c r="AP6" i="153"/>
  <c r="I6" i="153"/>
  <c r="AQ31" i="151"/>
  <c r="M31" i="151"/>
  <c r="J31" i="151"/>
  <c r="I31" i="151"/>
  <c r="AJ31" i="151"/>
  <c r="N31" i="151"/>
  <c r="AF31" i="151"/>
  <c r="T33" i="153"/>
  <c r="M33" i="153"/>
  <c r="AE33" i="153"/>
  <c r="AM33" i="153"/>
  <c r="AA33" i="153"/>
  <c r="AI33" i="153"/>
  <c r="AK33" i="153"/>
  <c r="Y33" i="153"/>
  <c r="AN17" i="151"/>
  <c r="N17" i="151"/>
  <c r="AB17" i="151"/>
  <c r="M17" i="151"/>
  <c r="U17" i="151"/>
  <c r="V17" i="151"/>
  <c r="AC17" i="151"/>
  <c r="AD17" i="151"/>
  <c r="AP17" i="151"/>
  <c r="AA23" i="153"/>
  <c r="N23" i="153"/>
  <c r="U23" i="153"/>
  <c r="AE23" i="153"/>
  <c r="AQ23" i="153"/>
  <c r="AB23" i="153"/>
  <c r="W23" i="153"/>
  <c r="AM23" i="153"/>
  <c r="K23" i="153"/>
  <c r="N10" i="151"/>
  <c r="AO10" i="151"/>
  <c r="AK10" i="151"/>
  <c r="AH10" i="151"/>
  <c r="AE10" i="151"/>
  <c r="AC10" i="151"/>
  <c r="O10" i="151"/>
  <c r="L10" i="151"/>
  <c r="AQ12" i="153"/>
  <c r="Y12" i="153"/>
  <c r="L12" i="153"/>
  <c r="W12" i="153"/>
  <c r="X12" i="153"/>
  <c r="M12" i="153"/>
  <c r="I12" i="153"/>
  <c r="AL12" i="153"/>
  <c r="AP12" i="153"/>
  <c r="Z34" i="151"/>
  <c r="Q34" i="151"/>
  <c r="AA34" i="151"/>
  <c r="I34" i="151"/>
  <c r="W34" i="151"/>
  <c r="X34" i="151"/>
  <c r="AF34" i="151"/>
  <c r="AJ34" i="151"/>
  <c r="Z19" i="153"/>
  <c r="W19" i="153"/>
  <c r="AM19" i="153"/>
  <c r="AQ19" i="153"/>
  <c r="J19" i="153"/>
  <c r="AA19" i="153"/>
  <c r="AI19" i="153"/>
  <c r="I19" i="153"/>
  <c r="AA25" i="151"/>
  <c r="W25" i="151"/>
  <c r="U25" i="151"/>
  <c r="I25" i="151"/>
  <c r="AE25" i="151"/>
  <c r="AI25" i="151"/>
  <c r="J25" i="151"/>
  <c r="AJ20" i="153"/>
  <c r="O20" i="153"/>
  <c r="AD20" i="153"/>
  <c r="T20" i="153"/>
  <c r="AF20" i="153"/>
  <c r="AN20" i="153"/>
  <c r="I20" i="153"/>
  <c r="K20" i="153"/>
  <c r="AH20" i="153"/>
  <c r="AE20" i="151"/>
  <c r="AK20" i="151"/>
  <c r="S20" i="151"/>
  <c r="AH20" i="151"/>
  <c r="M20" i="151"/>
  <c r="J20" i="151"/>
  <c r="AM18" i="151"/>
  <c r="M18" i="151"/>
  <c r="AG18" i="151"/>
  <c r="AB18" i="151"/>
  <c r="AA18" i="151"/>
  <c r="Q18" i="151"/>
  <c r="L18" i="151"/>
  <c r="AE25" i="153"/>
  <c r="AD25" i="153"/>
  <c r="T25" i="153"/>
  <c r="AB25" i="153"/>
  <c r="AF25" i="153"/>
  <c r="U25" i="153"/>
  <c r="O25" i="153"/>
  <c r="X25" i="153"/>
  <c r="U32" i="151"/>
  <c r="AQ32" i="151"/>
  <c r="M32" i="151"/>
  <c r="S32" i="151"/>
  <c r="AA32" i="151"/>
  <c r="X32" i="151"/>
  <c r="Z32" i="151"/>
  <c r="V32" i="151"/>
  <c r="AM35" i="153"/>
  <c r="AO35" i="153"/>
  <c r="W35" i="153"/>
  <c r="AP35" i="153"/>
  <c r="Y35" i="153"/>
  <c r="J35" i="153"/>
  <c r="L35" i="153"/>
  <c r="N35" i="153"/>
  <c r="AN35" i="153"/>
  <c r="AN31" i="153"/>
  <c r="AB31" i="153"/>
  <c r="AM31" i="153"/>
  <c r="AJ31" i="153"/>
  <c r="Y31" i="153"/>
  <c r="AF31" i="153"/>
  <c r="O31" i="153"/>
  <c r="U31" i="153"/>
  <c r="T31" i="153"/>
  <c r="AH28" i="151"/>
  <c r="AI28" i="151"/>
  <c r="AG28" i="151"/>
  <c r="M28" i="151"/>
  <c r="X28" i="151"/>
  <c r="J28" i="151"/>
  <c r="N28" i="151"/>
  <c r="K28" i="151"/>
  <c r="AG14" i="151"/>
  <c r="V14" i="151"/>
  <c r="O14" i="151"/>
  <c r="N14" i="151"/>
  <c r="AD14" i="151"/>
  <c r="AQ14" i="151"/>
  <c r="Z14" i="151"/>
  <c r="S14" i="151"/>
  <c r="AD30" i="153"/>
  <c r="AP30" i="153"/>
  <c r="AK30" i="153"/>
  <c r="AJ30" i="153"/>
  <c r="Q30" i="153"/>
  <c r="AB30" i="153"/>
  <c r="M21" i="153"/>
  <c r="AA21" i="153"/>
  <c r="Z21" i="153"/>
  <c r="I21" i="153"/>
  <c r="W21" i="153"/>
  <c r="J21" i="153"/>
  <c r="AP21" i="153"/>
  <c r="O21" i="153"/>
  <c r="N16" i="151"/>
  <c r="L16" i="151"/>
  <c r="K16" i="151"/>
  <c r="T16" i="151"/>
  <c r="AG16" i="151"/>
  <c r="S16" i="151"/>
  <c r="AQ16" i="151"/>
  <c r="AO16" i="151"/>
  <c r="Q22" i="151"/>
  <c r="AK22" i="151"/>
  <c r="J22" i="151"/>
  <c r="AB22" i="151"/>
  <c r="T22" i="151"/>
  <c r="AI22" i="151"/>
  <c r="N22" i="151"/>
  <c r="L22" i="151"/>
  <c r="AD13" i="151"/>
  <c r="AN13" i="151"/>
  <c r="O13" i="151"/>
  <c r="U13" i="151"/>
  <c r="V13" i="151"/>
  <c r="AE13" i="151"/>
  <c r="K13" i="151"/>
  <c r="S13" i="151"/>
  <c r="S33" i="151"/>
  <c r="AA33" i="151"/>
  <c r="AN33" i="151"/>
  <c r="M33" i="151"/>
  <c r="AL33" i="151"/>
  <c r="K33" i="151"/>
  <c r="Q33" i="151"/>
  <c r="O27" i="153"/>
  <c r="N27" i="153"/>
  <c r="Y27" i="153"/>
  <c r="AQ27" i="153"/>
  <c r="AN27" i="153"/>
  <c r="I27" i="153"/>
  <c r="L27" i="153"/>
  <c r="V27" i="153"/>
  <c r="K6" i="153"/>
  <c r="AI6" i="153"/>
  <c r="AQ6" i="153"/>
  <c r="Q6" i="153"/>
  <c r="AD6" i="153"/>
  <c r="AL6" i="153"/>
  <c r="AK6" i="153"/>
  <c r="K31" i="151"/>
  <c r="W31" i="151"/>
  <c r="AE31" i="151"/>
  <c r="AN31" i="151"/>
  <c r="AH31" i="151"/>
  <c r="AB31" i="151"/>
  <c r="AP31" i="151"/>
  <c r="L31" i="151"/>
  <c r="AA31" i="151"/>
  <c r="AH33" i="153"/>
  <c r="U33" i="153"/>
  <c r="W33" i="153"/>
  <c r="Z33" i="153"/>
  <c r="AL33" i="153"/>
  <c r="I33" i="153"/>
  <c r="L33" i="153"/>
  <c r="S33" i="153"/>
  <c r="AO33" i="153"/>
  <c r="AD33" i="153"/>
  <c r="T17" i="151"/>
  <c r="O17" i="151"/>
  <c r="S17" i="151"/>
  <c r="Z17" i="151"/>
  <c r="AH17" i="151"/>
  <c r="AO17" i="151"/>
  <c r="M23" i="153"/>
  <c r="J23" i="153"/>
  <c r="V10" i="151"/>
  <c r="Y10" i="151"/>
  <c r="AC34" i="151"/>
  <c r="AF19" i="153"/>
  <c r="AJ25" i="151"/>
  <c r="L25" i="151"/>
  <c r="N20" i="153"/>
  <c r="AL20" i="153"/>
  <c r="J20" i="153"/>
  <c r="AN18" i="151"/>
  <c r="U18" i="151"/>
  <c r="L25" i="153"/>
  <c r="K32" i="151"/>
  <c r="AO32" i="151"/>
  <c r="AE32" i="151"/>
  <c r="Q35" i="153"/>
  <c r="V35" i="153"/>
  <c r="J31" i="153"/>
  <c r="S31" i="153"/>
  <c r="I31" i="153"/>
  <c r="V31" i="153"/>
  <c r="Q28" i="151"/>
  <c r="Z28" i="151"/>
  <c r="AN28" i="151"/>
  <c r="S28" i="151"/>
  <c r="U14" i="153"/>
  <c r="M14" i="153"/>
  <c r="Z14" i="153"/>
  <c r="K14" i="153"/>
  <c r="AK14" i="153"/>
  <c r="AP14" i="153"/>
  <c r="AI22" i="153"/>
  <c r="AH22" i="153"/>
  <c r="AL22" i="153"/>
  <c r="K22" i="153"/>
  <c r="AA22" i="153"/>
  <c r="M22" i="153"/>
  <c r="Q22" i="153"/>
  <c r="S22" i="153"/>
  <c r="Q6" i="151"/>
  <c r="AP6" i="151"/>
  <c r="U6" i="151"/>
  <c r="M6" i="151"/>
  <c r="Y6" i="151"/>
  <c r="K6" i="151"/>
  <c r="AA6" i="151"/>
  <c r="N6" i="151"/>
  <c r="U8" i="151"/>
  <c r="T8" i="151"/>
  <c r="AA8" i="151"/>
  <c r="AE8" i="151"/>
  <c r="AI8" i="151"/>
  <c r="AN8" i="151"/>
  <c r="AB8" i="151"/>
  <c r="AM8" i="151"/>
  <c r="O23" i="151"/>
  <c r="M23" i="151"/>
  <c r="AM23" i="151"/>
  <c r="I23" i="151"/>
  <c r="X23" i="151"/>
  <c r="AN23" i="151"/>
  <c r="AQ23" i="151"/>
  <c r="AO23" i="151"/>
  <c r="AG23" i="151"/>
  <c r="I17" i="153"/>
  <c r="AJ17" i="153"/>
  <c r="J17" i="153"/>
  <c r="AA17" i="153"/>
  <c r="W17" i="153"/>
  <c r="AE17" i="153"/>
  <c r="V17" i="153"/>
  <c r="AL17" i="153"/>
  <c r="J12" i="151"/>
  <c r="AM12" i="151"/>
  <c r="M12" i="151"/>
  <c r="X12" i="151"/>
  <c r="I12" i="151"/>
  <c r="AL12" i="151"/>
  <c r="AI12" i="151"/>
  <c r="V12" i="151"/>
  <c r="AP12" i="151"/>
  <c r="S7" i="153"/>
  <c r="V7" i="153"/>
  <c r="L7" i="153"/>
  <c r="AN7" i="153"/>
  <c r="AI7" i="153"/>
  <c r="AH7" i="153"/>
  <c r="AK7" i="153"/>
  <c r="AP7" i="153"/>
  <c r="V21" i="151"/>
  <c r="AD21" i="151"/>
  <c r="L21" i="151"/>
  <c r="AM21" i="151"/>
  <c r="U21" i="151"/>
  <c r="AE21" i="151"/>
  <c r="AJ21" i="151"/>
  <c r="AK21" i="151"/>
  <c r="N21" i="151"/>
  <c r="V13" i="153"/>
  <c r="M13" i="153"/>
  <c r="AE13" i="153"/>
  <c r="Q13" i="153"/>
  <c r="AD13" i="153"/>
  <c r="Y13" i="153"/>
  <c r="AP13" i="153"/>
  <c r="O9" i="153"/>
  <c r="W9" i="153"/>
  <c r="AK9" i="153"/>
  <c r="T9" i="153"/>
  <c r="AI9" i="153"/>
  <c r="AP9" i="153"/>
  <c r="U9" i="153"/>
  <c r="V24" i="153"/>
  <c r="AP24" i="153"/>
  <c r="K24" i="153"/>
  <c r="AK24" i="153"/>
  <c r="AI24" i="153"/>
  <c r="AL24" i="153"/>
  <c r="J26" i="153"/>
  <c r="L26" i="153"/>
  <c r="AK26" i="153"/>
  <c r="O26" i="153"/>
  <c r="AH26" i="153"/>
  <c r="Y26" i="153"/>
  <c r="AM26" i="153"/>
  <c r="N26" i="153"/>
  <c r="AE11" i="151"/>
  <c r="AQ11" i="151"/>
  <c r="Z11" i="151"/>
  <c r="AD11" i="151"/>
  <c r="AF11" i="151"/>
  <c r="AC11" i="151"/>
  <c r="Q11" i="151"/>
  <c r="AI11" i="151"/>
  <c r="AG30" i="151"/>
  <c r="T30" i="151"/>
  <c r="AF30" i="151"/>
  <c r="AC30" i="151"/>
  <c r="AK30" i="151"/>
  <c r="Y30" i="151"/>
  <c r="Q30" i="151"/>
  <c r="AM30" i="151"/>
  <c r="AJ30" i="151"/>
  <c r="I28" i="153"/>
  <c r="AO28" i="153"/>
  <c r="N28" i="153"/>
  <c r="X28" i="153"/>
  <c r="M28" i="153"/>
  <c r="AL28" i="153"/>
  <c r="AJ28" i="153"/>
  <c r="AD28" i="153"/>
  <c r="AH29" i="151"/>
  <c r="K29" i="151"/>
  <c r="AJ29" i="151"/>
  <c r="AM29" i="151"/>
  <c r="X29" i="151"/>
  <c r="AF29" i="151"/>
  <c r="M29" i="151"/>
  <c r="AA29" i="151"/>
  <c r="S29" i="151"/>
  <c r="X19" i="151"/>
  <c r="V19" i="151"/>
  <c r="AG19" i="151"/>
  <c r="AI19" i="151"/>
  <c r="AP19" i="151"/>
  <c r="K19" i="151"/>
  <c r="S19" i="151"/>
  <c r="AF19" i="151"/>
  <c r="AM8" i="153"/>
  <c r="AL8" i="153"/>
  <c r="AJ8" i="153"/>
  <c r="AK8" i="153"/>
  <c r="L8" i="153"/>
  <c r="AD8" i="153"/>
  <c r="AB8" i="153"/>
  <c r="AL11" i="153"/>
  <c r="AD11" i="153"/>
  <c r="K11" i="153"/>
  <c r="AQ11" i="153"/>
  <c r="J11" i="153"/>
  <c r="AA11" i="153"/>
  <c r="AM11" i="153"/>
  <c r="AN32" i="153"/>
  <c r="AK32" i="153"/>
  <c r="J32" i="153"/>
  <c r="I32" i="153"/>
  <c r="AH32" i="153"/>
  <c r="AO32" i="153"/>
  <c r="AP32" i="153"/>
  <c r="T11" i="153"/>
  <c r="Z11" i="153"/>
  <c r="AN11" i="153"/>
  <c r="Y11" i="153"/>
  <c r="Q11" i="153"/>
  <c r="AK11" i="153"/>
  <c r="AH11" i="153"/>
  <c r="X17" i="151"/>
  <c r="AK17" i="151"/>
  <c r="U10" i="151"/>
  <c r="AB10" i="151"/>
  <c r="T10" i="151"/>
  <c r="J10" i="151"/>
  <c r="J12" i="153"/>
  <c r="U34" i="151"/>
  <c r="O19" i="153"/>
  <c r="AL19" i="153"/>
  <c r="M20" i="153"/>
  <c r="U20" i="153"/>
  <c r="AK20" i="153"/>
  <c r="AO20" i="153"/>
  <c r="AQ20" i="151"/>
  <c r="AP18" i="151"/>
  <c r="AL25" i="153"/>
  <c r="AA25" i="153"/>
  <c r="N25" i="153"/>
  <c r="AN25" i="153"/>
  <c r="Z35" i="153"/>
  <c r="AE35" i="153"/>
  <c r="AH35" i="153"/>
  <c r="AK31" i="153"/>
  <c r="K31" i="153"/>
  <c r="W31" i="153"/>
  <c r="AE28" i="151"/>
  <c r="AM14" i="153"/>
  <c r="AE14" i="153"/>
  <c r="AI14" i="153"/>
  <c r="AB14" i="153"/>
  <c r="AH14" i="153"/>
  <c r="J22" i="153"/>
  <c r="T22" i="153"/>
  <c r="L22" i="153"/>
  <c r="W22" i="153"/>
  <c r="O22" i="153"/>
  <c r="AQ22" i="153"/>
  <c r="Z22" i="153"/>
  <c r="V6" i="151"/>
  <c r="O6" i="151"/>
  <c r="L6" i="151"/>
  <c r="I6" i="151"/>
  <c r="J6" i="151"/>
  <c r="W6" i="151"/>
  <c r="AQ6" i="151"/>
  <c r="AD6" i="151"/>
  <c r="I8" i="151"/>
  <c r="W8" i="151"/>
  <c r="S8" i="151"/>
  <c r="X8" i="151"/>
  <c r="K8" i="151"/>
  <c r="O8" i="151"/>
  <c r="L8" i="151"/>
  <c r="AP8" i="151"/>
  <c r="AD23" i="151"/>
  <c r="AL23" i="151"/>
  <c r="S23" i="151"/>
  <c r="AK23" i="151"/>
  <c r="AF23" i="151"/>
  <c r="K23" i="151"/>
  <c r="AI23" i="151"/>
  <c r="AH17" i="153"/>
  <c r="M17" i="153"/>
  <c r="Q17" i="153"/>
  <c r="L17" i="153"/>
  <c r="T17" i="153"/>
  <c r="Z17" i="153"/>
  <c r="X17" i="153"/>
  <c r="U17" i="153"/>
  <c r="AP17" i="153"/>
  <c r="N12" i="151"/>
  <c r="AG12" i="151"/>
  <c r="AC12" i="151"/>
  <c r="AN12" i="151"/>
  <c r="Q12" i="151"/>
  <c r="AK12" i="151"/>
  <c r="S12" i="151"/>
  <c r="AQ12" i="151"/>
  <c r="U7" i="153"/>
  <c r="Y7" i="153"/>
  <c r="AD7" i="153"/>
  <c r="Q7" i="153"/>
  <c r="K7" i="153"/>
  <c r="J7" i="153"/>
  <c r="AL7" i="153"/>
  <c r="AO7" i="153"/>
  <c r="AI21" i="151"/>
  <c r="AQ21" i="151"/>
  <c r="Q21" i="151"/>
  <c r="AO21" i="151"/>
  <c r="W21" i="151"/>
  <c r="X21" i="151"/>
  <c r="J21" i="151"/>
  <c r="AH21" i="151"/>
  <c r="Z13" i="153"/>
  <c r="T13" i="153"/>
  <c r="I13" i="153"/>
  <c r="AJ13" i="153"/>
  <c r="AI13" i="153"/>
  <c r="W13" i="153"/>
  <c r="O13" i="153"/>
  <c r="S13" i="153"/>
  <c r="Q9" i="153"/>
  <c r="L9" i="153"/>
  <c r="J9" i="153"/>
  <c r="X9" i="153"/>
  <c r="Y9" i="153"/>
  <c r="AJ9" i="153"/>
  <c r="N9" i="153"/>
  <c r="AM9" i="153"/>
  <c r="AQ9" i="153"/>
  <c r="L24" i="153"/>
  <c r="M24" i="153"/>
  <c r="S24" i="153"/>
  <c r="U24" i="153"/>
  <c r="Y24" i="153"/>
  <c r="AJ24" i="153"/>
  <c r="AH24" i="153"/>
  <c r="AB26" i="153"/>
  <c r="AP26" i="153"/>
  <c r="Q26" i="153"/>
  <c r="AO26" i="153"/>
  <c r="Z26" i="153"/>
  <c r="V26" i="153"/>
  <c r="AE26" i="153"/>
  <c r="T26" i="153"/>
  <c r="X11" i="151"/>
  <c r="W11" i="151"/>
  <c r="AL11" i="151"/>
  <c r="AN11" i="151"/>
  <c r="N11" i="151"/>
  <c r="Y11" i="151"/>
  <c r="AG11" i="151"/>
  <c r="AO11" i="151"/>
  <c r="V30" i="151"/>
  <c r="AH30" i="151"/>
  <c r="L30" i="151"/>
  <c r="X30" i="151"/>
  <c r="AD30" i="151"/>
  <c r="AI30" i="151"/>
  <c r="J28" i="153"/>
  <c r="K28" i="153"/>
  <c r="AK28" i="153"/>
  <c r="Z28" i="153"/>
  <c r="AF28" i="153"/>
  <c r="Q28" i="153"/>
  <c r="Y28" i="153"/>
  <c r="AI28" i="153"/>
  <c r="AH28" i="153"/>
  <c r="AO29" i="151"/>
  <c r="Q29" i="151"/>
  <c r="AP29" i="151"/>
  <c r="W29" i="151"/>
  <c r="L29" i="151"/>
  <c r="AK29" i="151"/>
  <c r="O29" i="151"/>
  <c r="U29" i="151"/>
  <c r="N19" i="151"/>
  <c r="AQ19" i="151"/>
  <c r="O19" i="151"/>
  <c r="U19" i="151"/>
  <c r="M19" i="151"/>
  <c r="AB19" i="151"/>
  <c r="AL19" i="151"/>
  <c r="AO19" i="151"/>
  <c r="J8" i="153"/>
  <c r="T8" i="153"/>
  <c r="AH8" i="153"/>
  <c r="I8" i="153"/>
  <c r="Q8" i="153"/>
  <c r="AQ8" i="153"/>
  <c r="AI8" i="153"/>
  <c r="W8" i="153"/>
  <c r="AN23" i="153"/>
  <c r="W10" i="151"/>
  <c r="Q10" i="151"/>
  <c r="AL10" i="151"/>
  <c r="AB12" i="153"/>
  <c r="AH12" i="153"/>
  <c r="S12" i="153"/>
  <c r="AI12" i="153"/>
  <c r="N34" i="151"/>
  <c r="S19" i="153"/>
  <c r="Q19" i="153"/>
  <c r="X19" i="153"/>
  <c r="V25" i="151"/>
  <c r="Q20" i="151"/>
  <c r="AJ20" i="151"/>
  <c r="AM20" i="151"/>
  <c r="U20" i="151"/>
  <c r="Y18" i="151"/>
  <c r="AD18" i="151"/>
  <c r="AI25" i="153"/>
  <c r="M25" i="153"/>
  <c r="W25" i="153"/>
  <c r="AK32" i="151"/>
  <c r="J32" i="151"/>
  <c r="M35" i="153"/>
  <c r="AE31" i="153"/>
  <c r="AA28" i="151"/>
  <c r="AD28" i="151"/>
  <c r="V14" i="153"/>
  <c r="AL14" i="153"/>
  <c r="L14" i="153"/>
  <c r="O14" i="153"/>
  <c r="I14" i="153"/>
  <c r="AO14" i="153"/>
  <c r="AD22" i="153"/>
  <c r="V22" i="153"/>
  <c r="N22" i="153"/>
  <c r="Y22" i="153"/>
  <c r="AJ22" i="153"/>
  <c r="AO22" i="153"/>
  <c r="AE22" i="153"/>
  <c r="U22" i="153"/>
  <c r="AF22" i="153"/>
  <c r="AB6" i="151"/>
  <c r="AO6" i="151"/>
  <c r="Z6" i="151"/>
  <c r="AK6" i="151"/>
  <c r="AJ6" i="151"/>
  <c r="AM6" i="151"/>
  <c r="AF6" i="151"/>
  <c r="AG6" i="151"/>
  <c r="Y8" i="151"/>
  <c r="AD8" i="151"/>
  <c r="AC8" i="151"/>
  <c r="AH8" i="151"/>
  <c r="AK8" i="151"/>
  <c r="V8" i="151"/>
  <c r="AQ8" i="151"/>
  <c r="Z8" i="151"/>
  <c r="AO8" i="151"/>
  <c r="Z23" i="151"/>
  <c r="U23" i="151"/>
  <c r="AC23" i="151"/>
  <c r="V23" i="151"/>
  <c r="T23" i="151"/>
  <c r="W23" i="151"/>
  <c r="Q23" i="151"/>
  <c r="AB23" i="151"/>
  <c r="AK17" i="153"/>
  <c r="AF17" i="153"/>
  <c r="AQ17" i="153"/>
  <c r="Y17" i="153"/>
  <c r="K17" i="153"/>
  <c r="AM17" i="153"/>
  <c r="S17" i="153"/>
  <c r="AO17" i="153"/>
  <c r="AF12" i="151"/>
  <c r="AE12" i="151"/>
  <c r="AB12" i="151"/>
  <c r="U12" i="151"/>
  <c r="AA12" i="151"/>
  <c r="K12" i="151"/>
  <c r="O12" i="151"/>
  <c r="AH12" i="151"/>
  <c r="AO12" i="151"/>
  <c r="N7" i="153"/>
  <c r="O7" i="153"/>
  <c r="Z7" i="153"/>
  <c r="AF7" i="153"/>
  <c r="AA7" i="153"/>
  <c r="AM7" i="153"/>
  <c r="AB7" i="153"/>
  <c r="W7" i="153"/>
  <c r="K21" i="151"/>
  <c r="Y21" i="151"/>
  <c r="AF21" i="151"/>
  <c r="O21" i="151"/>
  <c r="M21" i="151"/>
  <c r="AG21" i="151"/>
  <c r="AA21" i="151"/>
  <c r="AC21" i="151"/>
  <c r="AK13" i="153"/>
  <c r="J13" i="153"/>
  <c r="AM13" i="153"/>
  <c r="K13" i="153"/>
  <c r="AN13" i="153"/>
  <c r="AQ13" i="153"/>
  <c r="L13" i="153"/>
  <c r="X13" i="153"/>
  <c r="AO13" i="153"/>
  <c r="AN9" i="153"/>
  <c r="M9" i="153"/>
  <c r="AO9" i="153"/>
  <c r="AA9" i="153"/>
  <c r="V9" i="153"/>
  <c r="I9" i="153"/>
  <c r="K9" i="153"/>
  <c r="Z24" i="153"/>
  <c r="N24" i="153"/>
  <c r="J24" i="153"/>
  <c r="T24" i="153"/>
  <c r="I24" i="153"/>
  <c r="X24" i="153"/>
  <c r="W24" i="153"/>
  <c r="AQ24" i="153"/>
  <c r="AO24" i="153"/>
  <c r="X26" i="153"/>
  <c r="AL26" i="153"/>
  <c r="AJ26" i="153"/>
  <c r="AN26" i="153"/>
  <c r="AQ26" i="153"/>
  <c r="K26" i="153"/>
  <c r="I26" i="153"/>
  <c r="AA26" i="153"/>
  <c r="AK11" i="151"/>
  <c r="J11" i="151"/>
  <c r="AB11" i="151"/>
  <c r="O11" i="151"/>
  <c r="M11" i="151"/>
  <c r="AJ11" i="151"/>
  <c r="AH11" i="151"/>
  <c r="T11" i="151"/>
  <c r="M30" i="151"/>
  <c r="U30" i="151"/>
  <c r="I30" i="151"/>
  <c r="AB30" i="151"/>
  <c r="AO30" i="151"/>
  <c r="N30" i="151"/>
  <c r="W30" i="151"/>
  <c r="K30" i="151"/>
  <c r="AE30" i="151"/>
  <c r="AE28" i="153"/>
  <c r="AQ28" i="153"/>
  <c r="AM28" i="153"/>
  <c r="AN28" i="153"/>
  <c r="V28" i="153"/>
  <c r="W28" i="153"/>
  <c r="AP28" i="153"/>
  <c r="U28" i="153"/>
  <c r="AE29" i="151"/>
  <c r="AB29" i="151"/>
  <c r="AQ29" i="151"/>
  <c r="J29" i="151"/>
  <c r="N29" i="151"/>
  <c r="AC29" i="151"/>
  <c r="T29" i="151"/>
  <c r="AC19" i="151"/>
  <c r="T19" i="151"/>
  <c r="L19" i="151"/>
  <c r="W19" i="151"/>
  <c r="Q19" i="151"/>
  <c r="J19" i="151"/>
  <c r="Y19" i="151"/>
  <c r="AD19" i="151"/>
  <c r="AJ19" i="151"/>
  <c r="U8" i="153"/>
  <c r="K8" i="153"/>
  <c r="S8" i="153"/>
  <c r="X8" i="153"/>
  <c r="N8" i="153"/>
  <c r="AF8" i="153"/>
  <c r="AO8" i="153"/>
  <c r="M11" i="153"/>
  <c r="AE11" i="153"/>
  <c r="L11" i="153"/>
  <c r="V11" i="153"/>
  <c r="AJ17" i="151"/>
  <c r="Q23" i="153"/>
  <c r="AK23" i="153"/>
  <c r="AO23" i="153"/>
  <c r="AH23" i="153"/>
  <c r="O12" i="153"/>
  <c r="AJ12" i="153"/>
  <c r="AG34" i="151"/>
  <c r="Y34" i="151"/>
  <c r="AL34" i="151"/>
  <c r="T34" i="151"/>
  <c r="L19" i="153"/>
  <c r="N19" i="153"/>
  <c r="AH19" i="153"/>
  <c r="Z25" i="151"/>
  <c r="X25" i="151"/>
  <c r="Y25" i="151"/>
  <c r="Q25" i="151"/>
  <c r="N20" i="151"/>
  <c r="AF20" i="151"/>
  <c r="V20" i="151"/>
  <c r="AA20" i="151"/>
  <c r="AL18" i="151"/>
  <c r="N18" i="151"/>
  <c r="S18" i="151"/>
  <c r="K18" i="151"/>
  <c r="W32" i="151"/>
  <c r="Y32" i="151"/>
  <c r="AG32" i="151"/>
  <c r="X35" i="153"/>
  <c r="AI35" i="153"/>
  <c r="U28" i="151"/>
  <c r="AQ28" i="151"/>
  <c r="Y28" i="151"/>
  <c r="AO28" i="151"/>
  <c r="AA14" i="153"/>
  <c r="W14" i="153"/>
  <c r="S14" i="153"/>
  <c r="J14" i="153"/>
  <c r="N14" i="153"/>
  <c r="AF14" i="153"/>
  <c r="AP22" i="153"/>
  <c r="AB22" i="153"/>
  <c r="AM22" i="153"/>
  <c r="X22" i="153"/>
  <c r="AN22" i="153"/>
  <c r="I22" i="153"/>
  <c r="AK22" i="153"/>
  <c r="T6" i="151"/>
  <c r="AC6" i="151"/>
  <c r="AI6" i="151"/>
  <c r="AL6" i="151"/>
  <c r="X6" i="151"/>
  <c r="AN6" i="151"/>
  <c r="AH6" i="151"/>
  <c r="S6" i="151"/>
  <c r="AE6" i="151"/>
  <c r="AG8" i="151"/>
  <c r="AJ8" i="151"/>
  <c r="M8" i="151"/>
  <c r="J8" i="151"/>
  <c r="N8" i="151"/>
  <c r="Q8" i="151"/>
  <c r="AL8" i="151"/>
  <c r="AF8" i="151"/>
  <c r="N23" i="151"/>
  <c r="AP23" i="151"/>
  <c r="AE23" i="151"/>
  <c r="AH23" i="151"/>
  <c r="AJ23" i="151"/>
  <c r="L23" i="151"/>
  <c r="AA23" i="151"/>
  <c r="Y23" i="151"/>
  <c r="J23" i="151"/>
  <c r="AB17" i="153"/>
  <c r="O17" i="153"/>
  <c r="AI17" i="153"/>
  <c r="AD17" i="153"/>
  <c r="AN17" i="153"/>
  <c r="N17" i="153"/>
  <c r="L12" i="151"/>
  <c r="Y12" i="151"/>
  <c r="AJ12" i="151"/>
  <c r="T12" i="151"/>
  <c r="Z12" i="151"/>
  <c r="AD12" i="151"/>
  <c r="W12" i="151"/>
  <c r="AJ7" i="153"/>
  <c r="X7" i="153"/>
  <c r="AQ7" i="153"/>
  <c r="M7" i="153"/>
  <c r="I7" i="153"/>
  <c r="T7" i="153"/>
  <c r="AE7" i="153"/>
  <c r="AN21" i="151"/>
  <c r="AB21" i="151"/>
  <c r="S21" i="151"/>
  <c r="I21" i="151"/>
  <c r="T21" i="151"/>
  <c r="AP21" i="151"/>
  <c r="AL21" i="151"/>
  <c r="Z21" i="151"/>
  <c r="AA13" i="153"/>
  <c r="AB9" i="153"/>
  <c r="S9" i="153"/>
  <c r="AH9" i="153"/>
  <c r="Z9" i="153"/>
  <c r="O24" i="153"/>
  <c r="AB24" i="153"/>
  <c r="W26" i="153"/>
  <c r="U26" i="153"/>
  <c r="S26" i="153"/>
  <c r="AP30" i="151"/>
  <c r="J30" i="151"/>
  <c r="AL30" i="151"/>
  <c r="O30" i="151"/>
  <c r="AA28" i="153"/>
  <c r="AG29" i="151"/>
  <c r="AD29" i="151"/>
  <c r="AK19" i="151"/>
  <c r="AN19" i="151"/>
  <c r="AE8" i="153"/>
  <c r="V8" i="153"/>
  <c r="AP8" i="153"/>
  <c r="N11" i="153"/>
  <c r="S11" i="153"/>
  <c r="AA32" i="153"/>
  <c r="AD32" i="153"/>
  <c r="O32" i="153"/>
  <c r="U32" i="153"/>
  <c r="N32" i="153"/>
  <c r="AQ32" i="153"/>
  <c r="AD24" i="153"/>
  <c r="AA24" i="153"/>
  <c r="AA11" i="151"/>
  <c r="AM11" i="151"/>
  <c r="I11" i="151"/>
  <c r="AP11" i="151"/>
  <c r="AA30" i="151"/>
  <c r="AQ30" i="151"/>
  <c r="T28" i="153"/>
  <c r="AI29" i="151"/>
  <c r="AL29" i="151"/>
  <c r="V29" i="151"/>
  <c r="M8" i="153"/>
  <c r="Y8" i="153"/>
  <c r="AF11" i="153"/>
  <c r="AI11" i="153"/>
  <c r="I11" i="153"/>
  <c r="AO11" i="153"/>
  <c r="Q32" i="153"/>
  <c r="K32" i="153"/>
  <c r="L32" i="153"/>
  <c r="T32" i="153"/>
  <c r="AI32" i="153"/>
  <c r="AE32" i="153"/>
  <c r="Z32" i="153"/>
  <c r="AL32" i="153"/>
  <c r="AF32" i="153"/>
  <c r="AL13" i="153"/>
  <c r="AB13" i="153"/>
  <c r="N13" i="153"/>
  <c r="AN24" i="153"/>
  <c r="AF24" i="153"/>
  <c r="S11" i="151"/>
  <c r="K11" i="151"/>
  <c r="U11" i="151"/>
  <c r="L11" i="151"/>
  <c r="S28" i="153"/>
  <c r="L28" i="153"/>
  <c r="AB28" i="153"/>
  <c r="I29" i="151"/>
  <c r="Y29" i="151"/>
  <c r="AN29" i="151"/>
  <c r="AM19" i="151"/>
  <c r="Z19" i="151"/>
  <c r="I19" i="151"/>
  <c r="Z8" i="153"/>
  <c r="O8" i="153"/>
  <c r="U11" i="153"/>
  <c r="AJ11" i="153"/>
  <c r="AB11" i="153"/>
  <c r="O11" i="153"/>
  <c r="AP11" i="153"/>
  <c r="Y32" i="153"/>
  <c r="AJ32" i="153"/>
  <c r="W32" i="153"/>
  <c r="AB32" i="153"/>
  <c r="M32" i="153"/>
  <c r="S32" i="153"/>
  <c r="Z29" i="151"/>
  <c r="AH19" i="151"/>
  <c r="AE19" i="151"/>
  <c r="AA19" i="151"/>
  <c r="AN8" i="153"/>
  <c r="AA8" i="153"/>
  <c r="X11" i="153"/>
  <c r="W11" i="153"/>
  <c r="AH13" i="153"/>
  <c r="AF13" i="153"/>
  <c r="U13" i="153"/>
  <c r="AF9" i="153"/>
  <c r="AD9" i="153"/>
  <c r="AE9" i="153"/>
  <c r="AL9" i="153"/>
  <c r="AM24" i="153"/>
  <c r="AE24" i="153"/>
  <c r="Q24" i="153"/>
  <c r="AF26" i="153"/>
  <c r="M26" i="153"/>
  <c r="AD26" i="153"/>
  <c r="AI26" i="153"/>
  <c r="V11" i="151"/>
  <c r="S30" i="151"/>
  <c r="Z30" i="151"/>
  <c r="AN30" i="151"/>
  <c r="O28" i="153"/>
  <c r="X32" i="153"/>
  <c r="AM32" i="153"/>
  <c r="V32" i="153"/>
  <c r="AI141" i="148"/>
  <c r="AF141" i="149" s="1"/>
  <c r="AC141" i="148"/>
  <c r="Z141" i="149" s="1"/>
  <c r="AN141" i="148"/>
  <c r="AK141" i="149" s="1"/>
  <c r="AH141" i="148"/>
  <c r="AE141" i="149" s="1"/>
  <c r="AM141" i="148"/>
  <c r="AJ141" i="149" s="1"/>
  <c r="AT141" i="148"/>
  <c r="AQ141" i="149" s="1"/>
  <c r="U141" i="148"/>
  <c r="AB141" i="148"/>
  <c r="Y141" i="149" s="1"/>
  <c r="M141" i="148"/>
  <c r="AS141" i="148"/>
  <c r="AP141" i="149" s="1"/>
  <c r="J126" i="148"/>
  <c r="AT126" i="148"/>
  <c r="AQ126" i="149" s="1"/>
  <c r="AR126" i="148"/>
  <c r="AO126" i="149" s="1"/>
  <c r="M126" i="148"/>
  <c r="AK126" i="148"/>
  <c r="AH126" i="149" s="1"/>
  <c r="AN126" i="148"/>
  <c r="AK126" i="149" s="1"/>
  <c r="L126" i="148"/>
  <c r="X126" i="148"/>
  <c r="U126" i="149" s="1"/>
  <c r="AU126" i="148"/>
  <c r="AR126" i="149" s="1"/>
  <c r="AL126" i="148"/>
  <c r="AI126" i="149" s="1"/>
  <c r="P126" i="148"/>
  <c r="K126" i="148"/>
  <c r="M91" i="148"/>
  <c r="AP91" i="148"/>
  <c r="AM91" i="149" s="1"/>
  <c r="AQ91" i="148"/>
  <c r="AN91" i="149" s="1"/>
  <c r="AB91" i="148"/>
  <c r="Y91" i="149" s="1"/>
  <c r="AT91" i="148"/>
  <c r="AQ91" i="149" s="1"/>
  <c r="AC91" i="148"/>
  <c r="Z91" i="149" s="1"/>
  <c r="AL91" i="148"/>
  <c r="AI91" i="149" s="1"/>
  <c r="AT106" i="148"/>
  <c r="AQ106" i="149" s="1"/>
  <c r="AJ106" i="148"/>
  <c r="AG106" i="149" s="1"/>
  <c r="AC106" i="148"/>
  <c r="Z106" i="149" s="1"/>
  <c r="AS106" i="148"/>
  <c r="AP106" i="149" s="1"/>
  <c r="L106" i="148"/>
  <c r="X106" i="148"/>
  <c r="U106" i="149" s="1"/>
  <c r="AH106" i="148"/>
  <c r="AE106" i="149" s="1"/>
  <c r="U87" i="148"/>
  <c r="Z87" i="148"/>
  <c r="W87" i="149" s="1"/>
  <c r="AC87" i="148"/>
  <c r="Z87" i="149" s="1"/>
  <c r="AD87" i="148"/>
  <c r="AA87" i="149" s="1"/>
  <c r="M87" i="148"/>
  <c r="AS87" i="148"/>
  <c r="AP87" i="149" s="1"/>
  <c r="AO87" i="148"/>
  <c r="AL87" i="149" s="1"/>
  <c r="O87" i="148"/>
  <c r="AQ87" i="148"/>
  <c r="AN87" i="149" s="1"/>
  <c r="AO90" i="148"/>
  <c r="AL90" i="149" s="1"/>
  <c r="AH90" i="148"/>
  <c r="AE90" i="149" s="1"/>
  <c r="AN90" i="148"/>
  <c r="AK90" i="149" s="1"/>
  <c r="Z90" i="148"/>
  <c r="W90" i="149" s="1"/>
  <c r="Y90" i="148"/>
  <c r="V90" i="149" s="1"/>
  <c r="AD90" i="148"/>
  <c r="AA90" i="149" s="1"/>
  <c r="P90" i="148"/>
  <c r="AJ90" i="148"/>
  <c r="AG90" i="149" s="1"/>
  <c r="W90" i="148"/>
  <c r="K90" i="148"/>
  <c r="AO116" i="148"/>
  <c r="AL116" i="149" s="1"/>
  <c r="AT116" i="148"/>
  <c r="AQ116" i="149" s="1"/>
  <c r="AU116" i="148"/>
  <c r="AR116" i="149" s="1"/>
  <c r="AC116" i="148"/>
  <c r="Z116" i="149" s="1"/>
  <c r="AI116" i="148"/>
  <c r="AF116" i="149" s="1"/>
  <c r="AR116" i="148"/>
  <c r="AO116" i="149" s="1"/>
  <c r="AA96" i="148"/>
  <c r="X96" i="149" s="1"/>
  <c r="K96" i="148"/>
  <c r="AP96" i="148"/>
  <c r="AM96" i="149" s="1"/>
  <c r="AO96" i="148"/>
  <c r="AL96" i="149" s="1"/>
  <c r="AC89" i="148"/>
  <c r="Z89" i="149" s="1"/>
  <c r="AE89" i="148"/>
  <c r="AB89" i="149" s="1"/>
  <c r="AT89" i="148"/>
  <c r="AQ89" i="149" s="1"/>
  <c r="AS89" i="148"/>
  <c r="AP89" i="149" s="1"/>
  <c r="AO89" i="148"/>
  <c r="AL89" i="149" s="1"/>
  <c r="K89" i="148"/>
  <c r="AU89" i="148"/>
  <c r="AR89" i="149" s="1"/>
  <c r="P89" i="148"/>
  <c r="AQ101" i="148"/>
  <c r="AN101" i="149" s="1"/>
  <c r="N101" i="148"/>
  <c r="AD101" i="148"/>
  <c r="AA101" i="149" s="1"/>
  <c r="AU101" i="148"/>
  <c r="AR101" i="149" s="1"/>
  <c r="AK101" i="148"/>
  <c r="AH101" i="149" s="1"/>
  <c r="AR101" i="148"/>
  <c r="AO101" i="149" s="1"/>
  <c r="AP101" i="148"/>
  <c r="AM101" i="149" s="1"/>
  <c r="AL131" i="148"/>
  <c r="AI131" i="149" s="1"/>
  <c r="AC131" i="148"/>
  <c r="Z131" i="149" s="1"/>
  <c r="AF131" i="148"/>
  <c r="AC131" i="149" s="1"/>
  <c r="O131" i="148"/>
  <c r="P131" i="148"/>
  <c r="AA131" i="148"/>
  <c r="X131" i="149" s="1"/>
  <c r="AM146" i="148"/>
  <c r="AJ146" i="149" s="1"/>
  <c r="J146" i="148"/>
  <c r="AJ146" i="148"/>
  <c r="AG146" i="149" s="1"/>
  <c r="AR146" i="148"/>
  <c r="AO146" i="149" s="1"/>
  <c r="AQ146" i="148"/>
  <c r="AN146" i="149" s="1"/>
  <c r="M146" i="148"/>
  <c r="P146" i="148"/>
  <c r="AH146" i="148"/>
  <c r="AE146" i="149" s="1"/>
  <c r="AS146" i="148"/>
  <c r="AP146" i="149" s="1"/>
  <c r="P141" i="148"/>
  <c r="AO141" i="148"/>
  <c r="AL141" i="149" s="1"/>
  <c r="Z141" i="148"/>
  <c r="W141" i="149" s="1"/>
  <c r="AQ141" i="148"/>
  <c r="AN141" i="149" s="1"/>
  <c r="J141" i="148"/>
  <c r="N126" i="148"/>
  <c r="AO126" i="148"/>
  <c r="AL126" i="149" s="1"/>
  <c r="Y126" i="148"/>
  <c r="V126" i="149" s="1"/>
  <c r="AI126" i="148"/>
  <c r="AF126" i="149" s="1"/>
  <c r="AB126" i="148"/>
  <c r="Y126" i="149" s="1"/>
  <c r="AP126" i="148"/>
  <c r="AM126" i="149" s="1"/>
  <c r="AA126" i="148"/>
  <c r="X126" i="149" s="1"/>
  <c r="O126" i="148"/>
  <c r="O91" i="148"/>
  <c r="AI91" i="148"/>
  <c r="AF91" i="149" s="1"/>
  <c r="J91" i="148"/>
  <c r="AM91" i="148"/>
  <c r="AJ91" i="149" s="1"/>
  <c r="U91" i="148"/>
  <c r="AA91" i="148"/>
  <c r="X91" i="149" s="1"/>
  <c r="AD91" i="148"/>
  <c r="AA91" i="149" s="1"/>
  <c r="AU91" i="148"/>
  <c r="AR91" i="149" s="1"/>
  <c r="AH91" i="148"/>
  <c r="AE91" i="149" s="1"/>
  <c r="AS91" i="148"/>
  <c r="AP91" i="149" s="1"/>
  <c r="AN106" i="148"/>
  <c r="AK106" i="149" s="1"/>
  <c r="O106" i="148"/>
  <c r="AG106" i="148"/>
  <c r="AD106" i="149" s="1"/>
  <c r="AM106" i="148"/>
  <c r="AJ106" i="149" s="1"/>
  <c r="AD106" i="148"/>
  <c r="AA106" i="149" s="1"/>
  <c r="W106" i="148"/>
  <c r="K106" i="148"/>
  <c r="AB106" i="148"/>
  <c r="Y106" i="149" s="1"/>
  <c r="AA106" i="148"/>
  <c r="X106" i="149" s="1"/>
  <c r="AQ106" i="148"/>
  <c r="AN106" i="149" s="1"/>
  <c r="AL106" i="148"/>
  <c r="AI106" i="149" s="1"/>
  <c r="N87" i="148"/>
  <c r="AM87" i="148"/>
  <c r="AJ87" i="149" s="1"/>
  <c r="AK87" i="148"/>
  <c r="AH87" i="149" s="1"/>
  <c r="AG87" i="148"/>
  <c r="AD87" i="149" s="1"/>
  <c r="AB87" i="148"/>
  <c r="Y87" i="149" s="1"/>
  <c r="AE87" i="148"/>
  <c r="AB87" i="149" s="1"/>
  <c r="AL87" i="148"/>
  <c r="AI87" i="149" s="1"/>
  <c r="AR90" i="148"/>
  <c r="AO90" i="149" s="1"/>
  <c r="AT90" i="148"/>
  <c r="AQ90" i="149" s="1"/>
  <c r="AI90" i="148"/>
  <c r="AF90" i="149" s="1"/>
  <c r="AL90" i="148"/>
  <c r="AI90" i="149" s="1"/>
  <c r="AK90" i="148"/>
  <c r="AH90" i="149" s="1"/>
  <c r="AF90" i="148"/>
  <c r="AC90" i="149" s="1"/>
  <c r="AM90" i="148"/>
  <c r="AJ90" i="149" s="1"/>
  <c r="N90" i="148"/>
  <c r="L141" i="148"/>
  <c r="N141" i="148"/>
  <c r="AR141" i="148"/>
  <c r="AO141" i="149" s="1"/>
  <c r="AJ141" i="148"/>
  <c r="AG141" i="149" s="1"/>
  <c r="AU141" i="148"/>
  <c r="AR141" i="149" s="1"/>
  <c r="W141" i="148"/>
  <c r="Y141" i="148"/>
  <c r="V141" i="149" s="1"/>
  <c r="AE141" i="148"/>
  <c r="AB141" i="149" s="1"/>
  <c r="U126" i="148"/>
  <c r="AC126" i="148"/>
  <c r="Z126" i="149" s="1"/>
  <c r="W126" i="148"/>
  <c r="AM126" i="148"/>
  <c r="AJ126" i="149" s="1"/>
  <c r="AS126" i="148"/>
  <c r="AP126" i="149" s="1"/>
  <c r="AD126" i="148"/>
  <c r="AA126" i="149" s="1"/>
  <c r="X91" i="148"/>
  <c r="U91" i="149" s="1"/>
  <c r="AG91" i="148"/>
  <c r="AD91" i="149" s="1"/>
  <c r="Z91" i="148"/>
  <c r="W91" i="149" s="1"/>
  <c r="W91" i="148"/>
  <c r="AR91" i="148"/>
  <c r="AO91" i="149" s="1"/>
  <c r="Z106" i="148"/>
  <c r="W106" i="149" s="1"/>
  <c r="AR106" i="148"/>
  <c r="AO106" i="149" s="1"/>
  <c r="U106" i="148"/>
  <c r="AK106" i="148"/>
  <c r="AH106" i="149" s="1"/>
  <c r="M106" i="148"/>
  <c r="AE106" i="148"/>
  <c r="AB106" i="149" s="1"/>
  <c r="AP106" i="148"/>
  <c r="AM106" i="149" s="1"/>
  <c r="J106" i="148"/>
  <c r="AU106" i="148"/>
  <c r="AR106" i="149" s="1"/>
  <c r="AI87" i="148"/>
  <c r="AF87" i="149" s="1"/>
  <c r="AR87" i="148"/>
  <c r="AO87" i="149" s="1"/>
  <c r="AJ87" i="148"/>
  <c r="AG87" i="149" s="1"/>
  <c r="W87" i="148"/>
  <c r="X87" i="148"/>
  <c r="U87" i="149" s="1"/>
  <c r="Y87" i="148"/>
  <c r="V87" i="149" s="1"/>
  <c r="L90" i="148"/>
  <c r="J90" i="148"/>
  <c r="AU90" i="148"/>
  <c r="AR90" i="149" s="1"/>
  <c r="X90" i="148"/>
  <c r="U90" i="149" s="1"/>
  <c r="U90" i="148"/>
  <c r="M90" i="148"/>
  <c r="AS90" i="148"/>
  <c r="AP90" i="149" s="1"/>
  <c r="J116" i="148"/>
  <c r="Y116" i="148"/>
  <c r="V116" i="149" s="1"/>
  <c r="AD116" i="148"/>
  <c r="AA116" i="149" s="1"/>
  <c r="AQ116" i="148"/>
  <c r="AN116" i="149" s="1"/>
  <c r="AE116" i="148"/>
  <c r="AB116" i="149" s="1"/>
  <c r="AN116" i="148"/>
  <c r="AK116" i="149" s="1"/>
  <c r="W116" i="148"/>
  <c r="AF116" i="148"/>
  <c r="AC116" i="149" s="1"/>
  <c r="AK116" i="148"/>
  <c r="AH116" i="149" s="1"/>
  <c r="AP116" i="148"/>
  <c r="AM116" i="149" s="1"/>
  <c r="Z116" i="148"/>
  <c r="W116" i="149" s="1"/>
  <c r="AS116" i="148"/>
  <c r="AP116" i="149" s="1"/>
  <c r="O96" i="148"/>
  <c r="AG96" i="148"/>
  <c r="AD96" i="149" s="1"/>
  <c r="AJ96" i="148"/>
  <c r="AG96" i="149" s="1"/>
  <c r="AT96" i="148"/>
  <c r="AQ96" i="149" s="1"/>
  <c r="AS96" i="148"/>
  <c r="AP96" i="149" s="1"/>
  <c r="W96" i="148"/>
  <c r="AD96" i="148"/>
  <c r="AA96" i="149" s="1"/>
  <c r="N89" i="148"/>
  <c r="Z89" i="148"/>
  <c r="W89" i="149" s="1"/>
  <c r="L89" i="148"/>
  <c r="AJ89" i="148"/>
  <c r="AG89" i="149" s="1"/>
  <c r="AK89" i="148"/>
  <c r="AH89" i="149" s="1"/>
  <c r="AQ89" i="148"/>
  <c r="AN89" i="149" s="1"/>
  <c r="AD89" i="148"/>
  <c r="AA89" i="149" s="1"/>
  <c r="AB89" i="148"/>
  <c r="Y89" i="149" s="1"/>
  <c r="AH89" i="148"/>
  <c r="AE89" i="149" s="1"/>
  <c r="AL89" i="148"/>
  <c r="AI89" i="149" s="1"/>
  <c r="O101" i="148"/>
  <c r="P101" i="148"/>
  <c r="AJ101" i="148"/>
  <c r="AG101" i="149" s="1"/>
  <c r="AA101" i="148"/>
  <c r="X101" i="149" s="1"/>
  <c r="K101" i="148"/>
  <c r="AE101" i="148"/>
  <c r="AB101" i="149" s="1"/>
  <c r="AH101" i="148"/>
  <c r="AE101" i="149" s="1"/>
  <c r="AI101" i="148"/>
  <c r="AF101" i="149" s="1"/>
  <c r="AO131" i="148"/>
  <c r="AL131" i="149" s="1"/>
  <c r="AT131" i="148"/>
  <c r="AQ131" i="149" s="1"/>
  <c r="AQ131" i="148"/>
  <c r="AN131" i="149" s="1"/>
  <c r="U131" i="148"/>
  <c r="AN131" i="148"/>
  <c r="AK131" i="149" s="1"/>
  <c r="AH131" i="148"/>
  <c r="AE131" i="149" s="1"/>
  <c r="Z131" i="148"/>
  <c r="W131" i="149" s="1"/>
  <c r="AR131" i="148"/>
  <c r="AO131" i="149" s="1"/>
  <c r="N131" i="148"/>
  <c r="AI131" i="148"/>
  <c r="AF131" i="149" s="1"/>
  <c r="AG146" i="148"/>
  <c r="AD146" i="149" s="1"/>
  <c r="AA146" i="148"/>
  <c r="X146" i="149" s="1"/>
  <c r="AT146" i="148"/>
  <c r="AQ146" i="149" s="1"/>
  <c r="O146" i="148"/>
  <c r="AI146" i="148"/>
  <c r="AF146" i="149" s="1"/>
  <c r="Y146" i="148"/>
  <c r="V146" i="149" s="1"/>
  <c r="Z146" i="148"/>
  <c r="W146" i="149" s="1"/>
  <c r="AD141" i="148"/>
  <c r="AA141" i="149" s="1"/>
  <c r="AG126" i="148"/>
  <c r="AD126" i="149" s="1"/>
  <c r="N91" i="148"/>
  <c r="P91" i="148"/>
  <c r="AK91" i="148"/>
  <c r="AH91" i="149" s="1"/>
  <c r="AO91" i="148"/>
  <c r="AL91" i="149" s="1"/>
  <c r="AF91" i="148"/>
  <c r="AC91" i="149" s="1"/>
  <c r="AO106" i="148"/>
  <c r="AL106" i="149" s="1"/>
  <c r="AN87" i="148"/>
  <c r="AK87" i="149" s="1"/>
  <c r="K87" i="148"/>
  <c r="L87" i="148"/>
  <c r="AF87" i="148"/>
  <c r="AC87" i="149" s="1"/>
  <c r="AQ90" i="148"/>
  <c r="AN90" i="149" s="1"/>
  <c r="AC90" i="148"/>
  <c r="Z90" i="149" s="1"/>
  <c r="AG90" i="148"/>
  <c r="AD90" i="149" s="1"/>
  <c r="AG116" i="148"/>
  <c r="AD116" i="149" s="1"/>
  <c r="N116" i="148"/>
  <c r="AA116" i="148"/>
  <c r="X116" i="149" s="1"/>
  <c r="L116" i="148"/>
  <c r="U116" i="148"/>
  <c r="P96" i="148"/>
  <c r="AQ96" i="148"/>
  <c r="AN96" i="149" s="1"/>
  <c r="AN96" i="148"/>
  <c r="AK96" i="149" s="1"/>
  <c r="AF96" i="148"/>
  <c r="AC96" i="149" s="1"/>
  <c r="AR96" i="148"/>
  <c r="AO96" i="149" s="1"/>
  <c r="L96" i="148"/>
  <c r="J96" i="148"/>
  <c r="M96" i="148"/>
  <c r="X89" i="148"/>
  <c r="U89" i="149" s="1"/>
  <c r="M101" i="148"/>
  <c r="AN101" i="148"/>
  <c r="AK101" i="149" s="1"/>
  <c r="AO101" i="148"/>
  <c r="AL101" i="149" s="1"/>
  <c r="U101" i="148"/>
  <c r="AF101" i="148"/>
  <c r="AC101" i="149" s="1"/>
  <c r="AU131" i="148"/>
  <c r="AR131" i="149" s="1"/>
  <c r="AJ131" i="148"/>
  <c r="AG131" i="149" s="1"/>
  <c r="M131" i="148"/>
  <c r="J131" i="148"/>
  <c r="AE131" i="148"/>
  <c r="AB131" i="149" s="1"/>
  <c r="AE146" i="148"/>
  <c r="AB146" i="149" s="1"/>
  <c r="U146" i="148"/>
  <c r="L136" i="148"/>
  <c r="AG136" i="148"/>
  <c r="AD136" i="149" s="1"/>
  <c r="O136" i="148"/>
  <c r="Z136" i="148"/>
  <c r="W136" i="149" s="1"/>
  <c r="AJ136" i="148"/>
  <c r="AG136" i="149" s="1"/>
  <c r="AN136" i="148"/>
  <c r="AK136" i="149" s="1"/>
  <c r="AS136" i="148"/>
  <c r="AP136" i="149" s="1"/>
  <c r="AR136" i="148"/>
  <c r="AO136" i="149" s="1"/>
  <c r="AT136" i="148"/>
  <c r="AQ136" i="149" s="1"/>
  <c r="AB136" i="148"/>
  <c r="Y136" i="149" s="1"/>
  <c r="AA141" i="148"/>
  <c r="X141" i="149" s="1"/>
  <c r="K141" i="148"/>
  <c r="X141" i="148"/>
  <c r="U141" i="149" s="1"/>
  <c r="AJ126" i="148"/>
  <c r="AG126" i="149" s="1"/>
  <c r="AQ126" i="148"/>
  <c r="AN126" i="149" s="1"/>
  <c r="AH126" i="148"/>
  <c r="AE126" i="149" s="1"/>
  <c r="AN91" i="148"/>
  <c r="AK91" i="149" s="1"/>
  <c r="K91" i="148"/>
  <c r="AE91" i="148"/>
  <c r="AB91" i="149" s="1"/>
  <c r="Y106" i="148"/>
  <c r="V106" i="149" s="1"/>
  <c r="N106" i="148"/>
  <c r="AH87" i="148"/>
  <c r="AE87" i="149" s="1"/>
  <c r="P87" i="148"/>
  <c r="J87" i="148"/>
  <c r="AA87" i="148"/>
  <c r="X87" i="149" s="1"/>
  <c r="AB90" i="148"/>
  <c r="Y90" i="149" s="1"/>
  <c r="O90" i="148"/>
  <c r="AE90" i="148"/>
  <c r="AB90" i="149" s="1"/>
  <c r="AB116" i="148"/>
  <c r="Y116" i="149" s="1"/>
  <c r="AL116" i="148"/>
  <c r="AI116" i="149" s="1"/>
  <c r="K116" i="148"/>
  <c r="AJ116" i="148"/>
  <c r="AG116" i="149" s="1"/>
  <c r="M116" i="148"/>
  <c r="AH96" i="148"/>
  <c r="AE96" i="149" s="1"/>
  <c r="Y96" i="148"/>
  <c r="V96" i="149" s="1"/>
  <c r="AM96" i="148"/>
  <c r="AJ96" i="149" s="1"/>
  <c r="U96" i="148"/>
  <c r="AC96" i="148"/>
  <c r="Z96" i="149" s="1"/>
  <c r="AI96" i="148"/>
  <c r="AF96" i="149" s="1"/>
  <c r="AM89" i="148"/>
  <c r="AJ89" i="149" s="1"/>
  <c r="AN89" i="148"/>
  <c r="AK89" i="149" s="1"/>
  <c r="W89" i="148"/>
  <c r="AT101" i="148"/>
  <c r="AQ101" i="149" s="1"/>
  <c r="AM101" i="148"/>
  <c r="AJ101" i="149" s="1"/>
  <c r="AS101" i="148"/>
  <c r="AP101" i="149" s="1"/>
  <c r="L101" i="148"/>
  <c r="AK131" i="148"/>
  <c r="AH131" i="149" s="1"/>
  <c r="AP131" i="148"/>
  <c r="AM131" i="149" s="1"/>
  <c r="AO146" i="148"/>
  <c r="AL146" i="149" s="1"/>
  <c r="AU146" i="148"/>
  <c r="AR146" i="149" s="1"/>
  <c r="W146" i="148"/>
  <c r="AP146" i="148"/>
  <c r="AM146" i="149" s="1"/>
  <c r="X146" i="148"/>
  <c r="U146" i="149" s="1"/>
  <c r="AC146" i="148"/>
  <c r="Z146" i="149" s="1"/>
  <c r="AM136" i="148"/>
  <c r="AJ136" i="149" s="1"/>
  <c r="U136" i="148"/>
  <c r="AD136" i="148"/>
  <c r="AA136" i="149" s="1"/>
  <c r="J136" i="148"/>
  <c r="AA136" i="148"/>
  <c r="X136" i="149" s="1"/>
  <c r="M136" i="148"/>
  <c r="AF136" i="148"/>
  <c r="AC136" i="149" s="1"/>
  <c r="AQ86" i="148"/>
  <c r="AN86" i="149" s="1"/>
  <c r="AI86" i="148"/>
  <c r="AF86" i="149" s="1"/>
  <c r="AT86" i="148"/>
  <c r="AQ86" i="149" s="1"/>
  <c r="AL86" i="148"/>
  <c r="AI86" i="149" s="1"/>
  <c r="AR86" i="148"/>
  <c r="AO86" i="149" s="1"/>
  <c r="AG86" i="148"/>
  <c r="AD86" i="149" s="1"/>
  <c r="AA86" i="148"/>
  <c r="X86" i="149" s="1"/>
  <c r="M86" i="148"/>
  <c r="K86" i="148"/>
  <c r="AQ111" i="148"/>
  <c r="AN111" i="149" s="1"/>
  <c r="AO111" i="148"/>
  <c r="AL111" i="149" s="1"/>
  <c r="AA111" i="148"/>
  <c r="X111" i="149" s="1"/>
  <c r="AH111" i="148"/>
  <c r="AE111" i="149" s="1"/>
  <c r="AU111" i="148"/>
  <c r="AR111" i="149" s="1"/>
  <c r="AJ111" i="148"/>
  <c r="AG111" i="149" s="1"/>
  <c r="AF111" i="148"/>
  <c r="AC111" i="149" s="1"/>
  <c r="N111" i="148"/>
  <c r="AT111" i="148"/>
  <c r="AQ111" i="149" s="1"/>
  <c r="AD121" i="148"/>
  <c r="AA121" i="149" s="1"/>
  <c r="N121" i="148"/>
  <c r="AN121" i="148"/>
  <c r="AK121" i="149" s="1"/>
  <c r="AK121" i="148"/>
  <c r="AH121" i="149" s="1"/>
  <c r="X121" i="148"/>
  <c r="U121" i="149" s="1"/>
  <c r="AM121" i="148"/>
  <c r="AJ121" i="149" s="1"/>
  <c r="Y121" i="148"/>
  <c r="V121" i="149" s="1"/>
  <c r="AU121" i="148"/>
  <c r="AR121" i="149" s="1"/>
  <c r="U121" i="148"/>
  <c r="AE151" i="148"/>
  <c r="AB151" i="149" s="1"/>
  <c r="M151" i="148"/>
  <c r="L151" i="148"/>
  <c r="AC151" i="148"/>
  <c r="Z151" i="149" s="1"/>
  <c r="AG151" i="148"/>
  <c r="AD151" i="149" s="1"/>
  <c r="AD151" i="148"/>
  <c r="AA151" i="149" s="1"/>
  <c r="AQ151" i="148"/>
  <c r="AN151" i="149" s="1"/>
  <c r="K151" i="148"/>
  <c r="AU151" i="148"/>
  <c r="AR151" i="149" s="1"/>
  <c r="AK151" i="148"/>
  <c r="AH151" i="149" s="1"/>
  <c r="AL141" i="148"/>
  <c r="AI141" i="149" s="1"/>
  <c r="O141" i="148"/>
  <c r="AK141" i="148"/>
  <c r="AH141" i="149" s="1"/>
  <c r="AF141" i="148"/>
  <c r="AC141" i="149" s="1"/>
  <c r="AF126" i="148"/>
  <c r="AC126" i="149" s="1"/>
  <c r="AE126" i="148"/>
  <c r="AB126" i="149" s="1"/>
  <c r="L91" i="148"/>
  <c r="Y91" i="148"/>
  <c r="V91" i="149" s="1"/>
  <c r="AF106" i="148"/>
  <c r="AC106" i="149" s="1"/>
  <c r="AT87" i="148"/>
  <c r="AQ87" i="149" s="1"/>
  <c r="AU87" i="148"/>
  <c r="AR87" i="149" s="1"/>
  <c r="AA90" i="148"/>
  <c r="X90" i="149" s="1"/>
  <c r="AP90" i="148"/>
  <c r="AM90" i="149" s="1"/>
  <c r="P116" i="148"/>
  <c r="AB96" i="148"/>
  <c r="Y96" i="149" s="1"/>
  <c r="AL96" i="148"/>
  <c r="AI96" i="149" s="1"/>
  <c r="Z96" i="148"/>
  <c r="W96" i="149" s="1"/>
  <c r="X96" i="148"/>
  <c r="U96" i="149" s="1"/>
  <c r="AE96" i="148"/>
  <c r="AB96" i="149" s="1"/>
  <c r="AR89" i="148"/>
  <c r="AO89" i="149" s="1"/>
  <c r="AG89" i="148"/>
  <c r="AD89" i="149" s="1"/>
  <c r="AA89" i="148"/>
  <c r="X89" i="149" s="1"/>
  <c r="Y89" i="148"/>
  <c r="V89" i="149" s="1"/>
  <c r="AG101" i="148"/>
  <c r="AD101" i="149" s="1"/>
  <c r="Z101" i="148"/>
  <c r="W101" i="149" s="1"/>
  <c r="W101" i="148"/>
  <c r="X101" i="148"/>
  <c r="U101" i="149" s="1"/>
  <c r="Y101" i="148"/>
  <c r="V101" i="149" s="1"/>
  <c r="AL101" i="148"/>
  <c r="AI101" i="149" s="1"/>
  <c r="X131" i="148"/>
  <c r="U131" i="149" s="1"/>
  <c r="AD131" i="148"/>
  <c r="AA131" i="149" s="1"/>
  <c r="L131" i="148"/>
  <c r="N146" i="148"/>
  <c r="AF146" i="148"/>
  <c r="AC146" i="149" s="1"/>
  <c r="L146" i="148"/>
  <c r="AB146" i="148"/>
  <c r="Y146" i="149" s="1"/>
  <c r="Y136" i="148"/>
  <c r="V136" i="149" s="1"/>
  <c r="AH136" i="148"/>
  <c r="AE136" i="149" s="1"/>
  <c r="AQ136" i="148"/>
  <c r="AN136" i="149" s="1"/>
  <c r="N136" i="148"/>
  <c r="AK136" i="148"/>
  <c r="AH136" i="149" s="1"/>
  <c r="AE136" i="148"/>
  <c r="AB136" i="149" s="1"/>
  <c r="AC86" i="148"/>
  <c r="Z86" i="149" s="1"/>
  <c r="P86" i="148"/>
  <c r="AK86" i="148"/>
  <c r="AH86" i="149" s="1"/>
  <c r="W86" i="148"/>
  <c r="AP86" i="148"/>
  <c r="AM86" i="149" s="1"/>
  <c r="Z86" i="148"/>
  <c r="W86" i="149" s="1"/>
  <c r="Y86" i="148"/>
  <c r="V86" i="149" s="1"/>
  <c r="O86" i="148"/>
  <c r="AN111" i="148"/>
  <c r="AK111" i="149" s="1"/>
  <c r="P111" i="148"/>
  <c r="AG111" i="148"/>
  <c r="AD111" i="149" s="1"/>
  <c r="AI111" i="148"/>
  <c r="AF111" i="149" s="1"/>
  <c r="J111" i="148"/>
  <c r="AE111" i="148"/>
  <c r="AB111" i="149" s="1"/>
  <c r="AK111" i="148"/>
  <c r="AH111" i="149" s="1"/>
  <c r="W111" i="148"/>
  <c r="AE121" i="148"/>
  <c r="AB121" i="149" s="1"/>
  <c r="AP141" i="148"/>
  <c r="AM141" i="149" s="1"/>
  <c r="AG141" i="148"/>
  <c r="AD141" i="149" s="1"/>
  <c r="Z126" i="148"/>
  <c r="W126" i="149" s="1"/>
  <c r="AJ91" i="148"/>
  <c r="AG91" i="149" s="1"/>
  <c r="P106" i="148"/>
  <c r="AI106" i="148"/>
  <c r="AF106" i="149" s="1"/>
  <c r="AP87" i="148"/>
  <c r="AM87" i="149" s="1"/>
  <c r="O116" i="148"/>
  <c r="AM116" i="148"/>
  <c r="AJ116" i="149" s="1"/>
  <c r="X116" i="148"/>
  <c r="U116" i="149" s="1"/>
  <c r="AH116" i="148"/>
  <c r="AE116" i="149" s="1"/>
  <c r="AK96" i="148"/>
  <c r="AH96" i="149" s="1"/>
  <c r="N96" i="148"/>
  <c r="AU96" i="148"/>
  <c r="AR96" i="149" s="1"/>
  <c r="M89" i="148"/>
  <c r="AI89" i="148"/>
  <c r="AF89" i="149" s="1"/>
  <c r="J89" i="148"/>
  <c r="O89" i="148"/>
  <c r="AF89" i="148"/>
  <c r="AC89" i="149" s="1"/>
  <c r="U89" i="148"/>
  <c r="AP89" i="148"/>
  <c r="AM89" i="149" s="1"/>
  <c r="AB101" i="148"/>
  <c r="Y101" i="149" s="1"/>
  <c r="J101" i="148"/>
  <c r="AC101" i="148"/>
  <c r="Z101" i="149" s="1"/>
  <c r="AS131" i="148"/>
  <c r="AP131" i="149" s="1"/>
  <c r="K131" i="148"/>
  <c r="AM131" i="148"/>
  <c r="AJ131" i="149" s="1"/>
  <c r="AB131" i="148"/>
  <c r="Y131" i="149" s="1"/>
  <c r="Y131" i="148"/>
  <c r="V131" i="149" s="1"/>
  <c r="AG131" i="148"/>
  <c r="AD131" i="149" s="1"/>
  <c r="W131" i="148"/>
  <c r="AK146" i="148"/>
  <c r="AH146" i="149" s="1"/>
  <c r="AN146" i="148"/>
  <c r="AK146" i="149" s="1"/>
  <c r="K146" i="148"/>
  <c r="AL146" i="148"/>
  <c r="AI146" i="149" s="1"/>
  <c r="AD146" i="148"/>
  <c r="AA146" i="149" s="1"/>
  <c r="AI136" i="148"/>
  <c r="AF136" i="149" s="1"/>
  <c r="AC136" i="148"/>
  <c r="Z136" i="149" s="1"/>
  <c r="AO136" i="148"/>
  <c r="AL136" i="149" s="1"/>
  <c r="AF86" i="148"/>
  <c r="AC86" i="149" s="1"/>
  <c r="AD86" i="148"/>
  <c r="AA86" i="149" s="1"/>
  <c r="AB86" i="148"/>
  <c r="Y86" i="149" s="1"/>
  <c r="J86" i="148"/>
  <c r="AO86" i="148"/>
  <c r="AL86" i="149" s="1"/>
  <c r="Y111" i="148"/>
  <c r="V111" i="149" s="1"/>
  <c r="AP111" i="148"/>
  <c r="AM111" i="149" s="1"/>
  <c r="AL111" i="148"/>
  <c r="AI111" i="149" s="1"/>
  <c r="M111" i="148"/>
  <c r="AQ121" i="148"/>
  <c r="AN121" i="149" s="1"/>
  <c r="J121" i="148"/>
  <c r="L121" i="148"/>
  <c r="AC121" i="148"/>
  <c r="Z121" i="149" s="1"/>
  <c r="AT121" i="148"/>
  <c r="AQ121" i="149" s="1"/>
  <c r="AJ121" i="148"/>
  <c r="AG121" i="149" s="1"/>
  <c r="W121" i="148"/>
  <c r="AR121" i="148"/>
  <c r="AO121" i="149" s="1"/>
  <c r="AT151" i="148"/>
  <c r="AQ151" i="149" s="1"/>
  <c r="N151" i="148"/>
  <c r="AN151" i="148"/>
  <c r="AK151" i="149" s="1"/>
  <c r="Z151" i="148"/>
  <c r="W151" i="149" s="1"/>
  <c r="AL151" i="148"/>
  <c r="AI151" i="149" s="1"/>
  <c r="L111" i="148"/>
  <c r="AF121" i="148"/>
  <c r="AC121" i="149" s="1"/>
  <c r="AG121" i="148"/>
  <c r="AD121" i="149" s="1"/>
  <c r="U151" i="148"/>
  <c r="AI121" i="148"/>
  <c r="AF121" i="149" s="1"/>
  <c r="K121" i="148"/>
  <c r="AP151" i="148"/>
  <c r="AM151" i="149" s="1"/>
  <c r="AM151" i="148"/>
  <c r="AJ151" i="149" s="1"/>
  <c r="AI151" i="148"/>
  <c r="AF151" i="149" s="1"/>
  <c r="AB151" i="148"/>
  <c r="Y151" i="149" s="1"/>
  <c r="AA151" i="148"/>
  <c r="X151" i="149" s="1"/>
  <c r="AP136" i="148"/>
  <c r="AM136" i="149" s="1"/>
  <c r="AH86" i="148"/>
  <c r="AE86" i="149" s="1"/>
  <c r="AJ86" i="148"/>
  <c r="AG86" i="149" s="1"/>
  <c r="N86" i="148"/>
  <c r="U86" i="148"/>
  <c r="Z111" i="148"/>
  <c r="W111" i="149" s="1"/>
  <c r="AS111" i="148"/>
  <c r="AP111" i="149" s="1"/>
  <c r="AA121" i="148"/>
  <c r="X121" i="149" s="1"/>
  <c r="AS121" i="148"/>
  <c r="AP121" i="149" s="1"/>
  <c r="AO121" i="148"/>
  <c r="AL121" i="149" s="1"/>
  <c r="W151" i="148"/>
  <c r="AH151" i="148"/>
  <c r="AE151" i="149" s="1"/>
  <c r="J151" i="148"/>
  <c r="AO151" i="148"/>
  <c r="AL151" i="149" s="1"/>
  <c r="AJ151" i="148"/>
  <c r="AG151" i="149" s="1"/>
  <c r="P136" i="148"/>
  <c r="W136" i="148"/>
  <c r="AU136" i="148"/>
  <c r="AR136" i="149" s="1"/>
  <c r="X86" i="148"/>
  <c r="U86" i="149" s="1"/>
  <c r="AU86" i="148"/>
  <c r="AR86" i="149" s="1"/>
  <c r="AN86" i="148"/>
  <c r="AK86" i="149" s="1"/>
  <c r="K111" i="148"/>
  <c r="AD111" i="148"/>
  <c r="AA111" i="149" s="1"/>
  <c r="O111" i="148"/>
  <c r="X111" i="148"/>
  <c r="U111" i="149" s="1"/>
  <c r="AR111" i="148"/>
  <c r="AO111" i="149" s="1"/>
  <c r="U111" i="148"/>
  <c r="O121" i="148"/>
  <c r="M121" i="148"/>
  <c r="AH121" i="148"/>
  <c r="AE121" i="149" s="1"/>
  <c r="AL121" i="148"/>
  <c r="AI121" i="149" s="1"/>
  <c r="AR151" i="148"/>
  <c r="AO151" i="149" s="1"/>
  <c r="X151" i="148"/>
  <c r="U151" i="149" s="1"/>
  <c r="Y151" i="148"/>
  <c r="V151" i="149" s="1"/>
  <c r="AF151" i="148"/>
  <c r="AC151" i="149" s="1"/>
  <c r="P151" i="148"/>
  <c r="AS151" i="148"/>
  <c r="AP151" i="149" s="1"/>
  <c r="AL136" i="148"/>
  <c r="AI136" i="149" s="1"/>
  <c r="K136" i="148"/>
  <c r="X136" i="148"/>
  <c r="U136" i="149" s="1"/>
  <c r="AS86" i="148"/>
  <c r="AP86" i="149" s="1"/>
  <c r="AM86" i="148"/>
  <c r="AJ86" i="149" s="1"/>
  <c r="AE86" i="148"/>
  <c r="AB86" i="149" s="1"/>
  <c r="L86" i="148"/>
  <c r="AB111" i="148"/>
  <c r="Y111" i="149" s="1"/>
  <c r="AC111" i="148"/>
  <c r="Z111" i="149" s="1"/>
  <c r="AM111" i="148"/>
  <c r="AJ111" i="149" s="1"/>
  <c r="Z121" i="148"/>
  <c r="W121" i="149" s="1"/>
  <c r="AB121" i="148"/>
  <c r="Y121" i="149" s="1"/>
  <c r="AP121" i="148"/>
  <c r="AM121" i="149" s="1"/>
  <c r="P121" i="148"/>
  <c r="O151" i="148"/>
  <c r="AE45" i="148"/>
  <c r="AB45" i="149" s="1"/>
  <c r="AP45" i="148"/>
  <c r="AM45" i="149" s="1"/>
  <c r="AI45" i="148"/>
  <c r="AF45" i="149" s="1"/>
  <c r="W45" i="148"/>
  <c r="AU45" i="148"/>
  <c r="AR45" i="149" s="1"/>
  <c r="Y45" i="148"/>
  <c r="V45" i="149" s="1"/>
  <c r="U45" i="148"/>
  <c r="L45" i="148"/>
  <c r="AT45" i="148"/>
  <c r="AQ45" i="149" s="1"/>
  <c r="P45" i="148"/>
  <c r="AB45" i="148"/>
  <c r="Y45" i="149" s="1"/>
  <c r="AG45" i="148"/>
  <c r="AD45" i="149" s="1"/>
  <c r="J45" i="148"/>
  <c r="AS45" i="148"/>
  <c r="AP45" i="149" s="1"/>
  <c r="AO45" i="148"/>
  <c r="AL45" i="149" s="1"/>
  <c r="N45" i="148"/>
  <c r="K45" i="148"/>
  <c r="O45" i="148"/>
  <c r="M45" i="148"/>
  <c r="AA45" i="148"/>
  <c r="X45" i="149" s="1"/>
  <c r="AC45" i="148"/>
  <c r="Z45" i="149" s="1"/>
  <c r="AR45" i="148"/>
  <c r="AO45" i="149" s="1"/>
  <c r="Z45" i="148"/>
  <c r="W45" i="149" s="1"/>
  <c r="AM45" i="148"/>
  <c r="AJ45" i="149" s="1"/>
  <c r="AQ45" i="148"/>
  <c r="AN45" i="149" s="1"/>
  <c r="AK45" i="148"/>
  <c r="AH45" i="149" s="1"/>
  <c r="AD45" i="148"/>
  <c r="AA45" i="149" s="1"/>
  <c r="AH45" i="148"/>
  <c r="AE45" i="149" s="1"/>
  <c r="X45" i="148"/>
  <c r="U45" i="149" s="1"/>
  <c r="AJ45" i="148"/>
  <c r="AG45" i="149" s="1"/>
  <c r="AL45" i="148"/>
  <c r="AI45" i="149" s="1"/>
  <c r="AN45" i="148"/>
  <c r="AK45" i="149" s="1"/>
  <c r="AF45" i="148"/>
  <c r="AC45" i="149" s="1"/>
  <c r="Z130" i="148"/>
  <c r="W130" i="149" s="1"/>
  <c r="AR130" i="148"/>
  <c r="AO130" i="149" s="1"/>
  <c r="AM130" i="148"/>
  <c r="AJ130" i="149" s="1"/>
  <c r="U130" i="148"/>
  <c r="AO130" i="148"/>
  <c r="AL130" i="149" s="1"/>
  <c r="AN129" i="148"/>
  <c r="AK129" i="149" s="1"/>
  <c r="AI129" i="148"/>
  <c r="AF129" i="149" s="1"/>
  <c r="AD129" i="148"/>
  <c r="AA129" i="149" s="1"/>
  <c r="O129" i="148"/>
  <c r="W129" i="148"/>
  <c r="X129" i="148"/>
  <c r="U129" i="149" s="1"/>
  <c r="AA130" i="148"/>
  <c r="X130" i="149" s="1"/>
  <c r="K130" i="148"/>
  <c r="AF130" i="148"/>
  <c r="AC130" i="149" s="1"/>
  <c r="Y130" i="148"/>
  <c r="V130" i="149" s="1"/>
  <c r="AN130" i="148"/>
  <c r="AK130" i="149" s="1"/>
  <c r="AD130" i="148"/>
  <c r="AA130" i="149" s="1"/>
  <c r="AJ130" i="148"/>
  <c r="AG130" i="149" s="1"/>
  <c r="AH130" i="148"/>
  <c r="AE130" i="149" s="1"/>
  <c r="AQ130" i="148"/>
  <c r="AN130" i="149" s="1"/>
  <c r="X130" i="148"/>
  <c r="U130" i="149" s="1"/>
  <c r="AU130" i="148"/>
  <c r="AR130" i="149" s="1"/>
  <c r="N129" i="148"/>
  <c r="Z129" i="148"/>
  <c r="W129" i="149" s="1"/>
  <c r="Y129" i="148"/>
  <c r="V129" i="149" s="1"/>
  <c r="AB129" i="148"/>
  <c r="Y129" i="149" s="1"/>
  <c r="AS129" i="148"/>
  <c r="AP129" i="149" s="1"/>
  <c r="M129" i="148"/>
  <c r="AP128" i="148"/>
  <c r="AM128" i="149" s="1"/>
  <c r="AR128" i="148"/>
  <c r="AO128" i="149" s="1"/>
  <c r="Y128" i="148"/>
  <c r="V128" i="149" s="1"/>
  <c r="AL128" i="148"/>
  <c r="AI128" i="149" s="1"/>
  <c r="AS128" i="148"/>
  <c r="AP128" i="149" s="1"/>
  <c r="AD128" i="148"/>
  <c r="AA128" i="149" s="1"/>
  <c r="N128" i="148"/>
  <c r="X128" i="148"/>
  <c r="U128" i="149" s="1"/>
  <c r="M128" i="148"/>
  <c r="AG128" i="148"/>
  <c r="AD128" i="149" s="1"/>
  <c r="AE128" i="148"/>
  <c r="AB128" i="149" s="1"/>
  <c r="AC128" i="148"/>
  <c r="Z128" i="149" s="1"/>
  <c r="K128" i="148"/>
  <c r="AE130" i="148"/>
  <c r="AB130" i="149" s="1"/>
  <c r="N130" i="148"/>
  <c r="AS130" i="148"/>
  <c r="AP130" i="149" s="1"/>
  <c r="M130" i="148"/>
  <c r="AL130" i="148"/>
  <c r="AI130" i="149" s="1"/>
  <c r="P130" i="148"/>
  <c r="AQ129" i="148"/>
  <c r="AN129" i="149" s="1"/>
  <c r="K129" i="148"/>
  <c r="U129" i="148"/>
  <c r="AO129" i="148"/>
  <c r="AL129" i="149" s="1"/>
  <c r="AM129" i="148"/>
  <c r="AJ129" i="149" s="1"/>
  <c r="AK129" i="148"/>
  <c r="AH129" i="149" s="1"/>
  <c r="AE129" i="148"/>
  <c r="AB129" i="149" s="1"/>
  <c r="P129" i="148"/>
  <c r="AU129" i="148"/>
  <c r="AR129" i="149" s="1"/>
  <c r="AG129" i="148"/>
  <c r="AD129" i="149" s="1"/>
  <c r="AL129" i="148"/>
  <c r="AI129" i="149" s="1"/>
  <c r="AP129" i="148"/>
  <c r="AM129" i="149" s="1"/>
  <c r="P128" i="148"/>
  <c r="AK128" i="148"/>
  <c r="AH128" i="149" s="1"/>
  <c r="Z128" i="148"/>
  <c r="W128" i="149" s="1"/>
  <c r="W128" i="148"/>
  <c r="AO128" i="148"/>
  <c r="AL128" i="149" s="1"/>
  <c r="U128" i="148"/>
  <c r="L128" i="148"/>
  <c r="AB128" i="148"/>
  <c r="Y128" i="149" s="1"/>
  <c r="AN128" i="148"/>
  <c r="AK128" i="149" s="1"/>
  <c r="AB130" i="148"/>
  <c r="Y130" i="149" s="1"/>
  <c r="AK130" i="148"/>
  <c r="AH130" i="149" s="1"/>
  <c r="J130" i="148"/>
  <c r="AI130" i="148"/>
  <c r="AF130" i="149" s="1"/>
  <c r="AG130" i="148"/>
  <c r="AD130" i="149" s="1"/>
  <c r="AC130" i="148"/>
  <c r="Z130" i="149" s="1"/>
  <c r="W130" i="148"/>
  <c r="AT130" i="148"/>
  <c r="AQ130" i="149" s="1"/>
  <c r="L130" i="148"/>
  <c r="O130" i="148"/>
  <c r="AP130" i="148"/>
  <c r="AM130" i="149" s="1"/>
  <c r="AJ129" i="148"/>
  <c r="AG129" i="149" s="1"/>
  <c r="AH129" i="148"/>
  <c r="AE129" i="149" s="1"/>
  <c r="AF129" i="148"/>
  <c r="AC129" i="149" s="1"/>
  <c r="AR129" i="148"/>
  <c r="AO129" i="149" s="1"/>
  <c r="AC129" i="148"/>
  <c r="Z129" i="149" s="1"/>
  <c r="L129" i="148"/>
  <c r="AT129" i="148"/>
  <c r="AQ129" i="149" s="1"/>
  <c r="J129" i="148"/>
  <c r="AA129" i="148"/>
  <c r="X129" i="149" s="1"/>
  <c r="AT128" i="148"/>
  <c r="AQ128" i="149" s="1"/>
  <c r="AQ128" i="148"/>
  <c r="AN128" i="149" s="1"/>
  <c r="AH128" i="148"/>
  <c r="AE128" i="149" s="1"/>
  <c r="AU128" i="148"/>
  <c r="AR128" i="149" s="1"/>
  <c r="AI128" i="148"/>
  <c r="AF128" i="149" s="1"/>
  <c r="AA128" i="148"/>
  <c r="X128" i="149" s="1"/>
  <c r="O128" i="148"/>
  <c r="AF128" i="148"/>
  <c r="AC128" i="149" s="1"/>
  <c r="J128" i="148"/>
  <c r="AJ128" i="148"/>
  <c r="AG128" i="149" s="1"/>
  <c r="AM128" i="148"/>
  <c r="AJ128" i="149" s="1"/>
  <c r="W98" i="148"/>
  <c r="L98" i="148"/>
  <c r="N98" i="148"/>
  <c r="Y98" i="148"/>
  <c r="V98" i="149" s="1"/>
  <c r="AG98" i="148"/>
  <c r="AD98" i="149" s="1"/>
  <c r="AO98" i="148"/>
  <c r="AL98" i="149" s="1"/>
  <c r="Z98" i="148"/>
  <c r="W98" i="149" s="1"/>
  <c r="AN134" i="148"/>
  <c r="AK134" i="149" s="1"/>
  <c r="P134" i="148"/>
  <c r="N134" i="148"/>
  <c r="AR134" i="148"/>
  <c r="AO134" i="149" s="1"/>
  <c r="AG134" i="148"/>
  <c r="AD134" i="149" s="1"/>
  <c r="M134" i="148"/>
  <c r="AP134" i="148"/>
  <c r="AM134" i="149" s="1"/>
  <c r="L134" i="148"/>
  <c r="AC134" i="148"/>
  <c r="Z134" i="149" s="1"/>
  <c r="X134" i="148"/>
  <c r="U134" i="149" s="1"/>
  <c r="AQ98" i="148"/>
  <c r="AN98" i="149" s="1"/>
  <c r="AU98" i="148"/>
  <c r="AR98" i="149" s="1"/>
  <c r="M98" i="148"/>
  <c r="AF98" i="148"/>
  <c r="AC98" i="149" s="1"/>
  <c r="AT98" i="148"/>
  <c r="AQ98" i="149" s="1"/>
  <c r="AM98" i="148"/>
  <c r="AJ98" i="149" s="1"/>
  <c r="AN98" i="148"/>
  <c r="AK98" i="149" s="1"/>
  <c r="AR98" i="148"/>
  <c r="AO98" i="149" s="1"/>
  <c r="AJ98" i="148"/>
  <c r="AG98" i="149" s="1"/>
  <c r="AO134" i="148"/>
  <c r="AL134" i="149" s="1"/>
  <c r="O134" i="148"/>
  <c r="W134" i="148"/>
  <c r="U134" i="148"/>
  <c r="AK134" i="148"/>
  <c r="AH134" i="149" s="1"/>
  <c r="AU134" i="148"/>
  <c r="AR134" i="149" s="1"/>
  <c r="Y134" i="148"/>
  <c r="V134" i="149" s="1"/>
  <c r="J98" i="148"/>
  <c r="AA98" i="148"/>
  <c r="X98" i="149" s="1"/>
  <c r="AE98" i="148"/>
  <c r="AB98" i="149" s="1"/>
  <c r="AC98" i="148"/>
  <c r="Z98" i="149" s="1"/>
  <c r="U98" i="148"/>
  <c r="AS98" i="148"/>
  <c r="AP98" i="149" s="1"/>
  <c r="AK98" i="148"/>
  <c r="AH98" i="149" s="1"/>
  <c r="K134" i="148"/>
  <c r="AS134" i="148"/>
  <c r="AP134" i="149" s="1"/>
  <c r="J134" i="148"/>
  <c r="AH134" i="148"/>
  <c r="AE134" i="149" s="1"/>
  <c r="K98" i="148"/>
  <c r="O98" i="148"/>
  <c r="AL98" i="148"/>
  <c r="AI98" i="149" s="1"/>
  <c r="AD98" i="148"/>
  <c r="AA98" i="149" s="1"/>
  <c r="AH98" i="148"/>
  <c r="AE98" i="149" s="1"/>
  <c r="AP98" i="148"/>
  <c r="AM98" i="149" s="1"/>
  <c r="P98" i="148"/>
  <c r="AI98" i="148"/>
  <c r="AF98" i="149" s="1"/>
  <c r="X98" i="148"/>
  <c r="U98" i="149" s="1"/>
  <c r="AB98" i="148"/>
  <c r="Y98" i="149" s="1"/>
  <c r="AI134" i="148"/>
  <c r="AF134" i="149" s="1"/>
  <c r="AA134" i="148"/>
  <c r="X134" i="149" s="1"/>
  <c r="AF134" i="148"/>
  <c r="AC134" i="149" s="1"/>
  <c r="AD134" i="148"/>
  <c r="AA134" i="149" s="1"/>
  <c r="AT134" i="148"/>
  <c r="AQ134" i="149" s="1"/>
  <c r="AB134" i="148"/>
  <c r="Y134" i="149" s="1"/>
  <c r="AM134" i="148"/>
  <c r="AJ134" i="149" s="1"/>
  <c r="AE134" i="148"/>
  <c r="AB134" i="149" s="1"/>
  <c r="AQ134" i="148"/>
  <c r="AN134" i="149" s="1"/>
  <c r="AJ134" i="148"/>
  <c r="AG134" i="149" s="1"/>
  <c r="AL134" i="148"/>
  <c r="AI134" i="149" s="1"/>
  <c r="Z134" i="148"/>
  <c r="W134" i="149" s="1"/>
  <c r="AS99" i="148"/>
  <c r="AP99" i="149" s="1"/>
  <c r="N99" i="148"/>
  <c r="AN99" i="148"/>
  <c r="AK99" i="149" s="1"/>
  <c r="AE99" i="148"/>
  <c r="AB99" i="149" s="1"/>
  <c r="W99" i="148"/>
  <c r="U99" i="148"/>
  <c r="AU99" i="148"/>
  <c r="AR99" i="149" s="1"/>
  <c r="L99" i="148"/>
  <c r="J99" i="148"/>
  <c r="AK99" i="148"/>
  <c r="AH99" i="149" s="1"/>
  <c r="AK97" i="148"/>
  <c r="AH97" i="149" s="1"/>
  <c r="AI97" i="148"/>
  <c r="AF97" i="149" s="1"/>
  <c r="AN97" i="148"/>
  <c r="AK97" i="149" s="1"/>
  <c r="AJ97" i="148"/>
  <c r="AG97" i="149" s="1"/>
  <c r="AL97" i="148"/>
  <c r="AI97" i="149" s="1"/>
  <c r="P97" i="148"/>
  <c r="AE97" i="148"/>
  <c r="AB97" i="149" s="1"/>
  <c r="N97" i="148"/>
  <c r="K100" i="148"/>
  <c r="AH100" i="148"/>
  <c r="AE100" i="149" s="1"/>
  <c r="Z100" i="148"/>
  <c r="W100" i="149" s="1"/>
  <c r="AO100" i="148"/>
  <c r="AL100" i="149" s="1"/>
  <c r="L100" i="148"/>
  <c r="AM100" i="148"/>
  <c r="AJ100" i="149" s="1"/>
  <c r="AU100" i="148"/>
  <c r="AR100" i="149" s="1"/>
  <c r="AL100" i="148"/>
  <c r="AI100" i="149" s="1"/>
  <c r="AQ100" i="148"/>
  <c r="AN100" i="149" s="1"/>
  <c r="AL99" i="148"/>
  <c r="AI99" i="149" s="1"/>
  <c r="AP99" i="148"/>
  <c r="AM99" i="149" s="1"/>
  <c r="P99" i="148"/>
  <c r="AF99" i="148"/>
  <c r="AC99" i="149" s="1"/>
  <c r="AI99" i="148"/>
  <c r="AF99" i="149" s="1"/>
  <c r="AQ99" i="148"/>
  <c r="AN99" i="149" s="1"/>
  <c r="AD97" i="148"/>
  <c r="AA97" i="149" s="1"/>
  <c r="K97" i="148"/>
  <c r="AC97" i="148"/>
  <c r="Z97" i="149" s="1"/>
  <c r="AR97" i="148"/>
  <c r="AO97" i="149" s="1"/>
  <c r="AG97" i="148"/>
  <c r="AD97" i="149" s="1"/>
  <c r="AC100" i="148"/>
  <c r="Z100" i="149" s="1"/>
  <c r="Y99" i="148"/>
  <c r="V99" i="149" s="1"/>
  <c r="AB99" i="148"/>
  <c r="Y99" i="149" s="1"/>
  <c r="AC99" i="148"/>
  <c r="Z99" i="149" s="1"/>
  <c r="AJ99" i="148"/>
  <c r="AG99" i="149" s="1"/>
  <c r="AR99" i="148"/>
  <c r="AO99" i="149" s="1"/>
  <c r="AD99" i="148"/>
  <c r="AA99" i="149" s="1"/>
  <c r="AT99" i="148"/>
  <c r="AQ99" i="149" s="1"/>
  <c r="W97" i="148"/>
  <c r="L97" i="148"/>
  <c r="U97" i="148"/>
  <c r="Z97" i="148"/>
  <c r="W97" i="149" s="1"/>
  <c r="AU97" i="148"/>
  <c r="AR97" i="149" s="1"/>
  <c r="AP97" i="148"/>
  <c r="AM97" i="149" s="1"/>
  <c r="AT97" i="148"/>
  <c r="AQ97" i="149" s="1"/>
  <c r="AB100" i="148"/>
  <c r="Y100" i="149" s="1"/>
  <c r="AP100" i="148"/>
  <c r="AM100" i="149" s="1"/>
  <c r="N100" i="148"/>
  <c r="P100" i="148"/>
  <c r="M100" i="148"/>
  <c r="AJ100" i="148"/>
  <c r="AG100" i="149" s="1"/>
  <c r="J100" i="148"/>
  <c r="AA99" i="148"/>
  <c r="X99" i="149" s="1"/>
  <c r="AM99" i="148"/>
  <c r="AJ99" i="149" s="1"/>
  <c r="AO99" i="148"/>
  <c r="AL99" i="149" s="1"/>
  <c r="K99" i="148"/>
  <c r="X99" i="148"/>
  <c r="U99" i="149" s="1"/>
  <c r="Z99" i="148"/>
  <c r="W99" i="149" s="1"/>
  <c r="O99" i="148"/>
  <c r="AH99" i="148"/>
  <c r="AE99" i="149" s="1"/>
  <c r="AG99" i="148"/>
  <c r="AD99" i="149" s="1"/>
  <c r="Y97" i="148"/>
  <c r="V97" i="149" s="1"/>
  <c r="AQ97" i="148"/>
  <c r="AN97" i="149" s="1"/>
  <c r="X97" i="148"/>
  <c r="U97" i="149" s="1"/>
  <c r="M97" i="148"/>
  <c r="AH97" i="148"/>
  <c r="AE97" i="149" s="1"/>
  <c r="AB97" i="148"/>
  <c r="Y97" i="149" s="1"/>
  <c r="AS97" i="148"/>
  <c r="AP97" i="149" s="1"/>
  <c r="X100" i="148"/>
  <c r="U100" i="149" s="1"/>
  <c r="W100" i="148"/>
  <c r="O100" i="148"/>
  <c r="Y100" i="148"/>
  <c r="V100" i="149" s="1"/>
  <c r="AE100" i="148"/>
  <c r="AB100" i="149" s="1"/>
  <c r="AT100" i="148"/>
  <c r="AQ100" i="149" s="1"/>
  <c r="AG100" i="148"/>
  <c r="AD100" i="149" s="1"/>
  <c r="AI100" i="148"/>
  <c r="AF100" i="149" s="1"/>
  <c r="AK100" i="148"/>
  <c r="AH100" i="149" s="1"/>
  <c r="M99" i="148"/>
  <c r="J97" i="148"/>
  <c r="AF97" i="148"/>
  <c r="AC97" i="149" s="1"/>
  <c r="O97" i="148"/>
  <c r="AM97" i="148"/>
  <c r="AJ97" i="149" s="1"/>
  <c r="AA97" i="148"/>
  <c r="X97" i="149" s="1"/>
  <c r="AO97" i="148"/>
  <c r="AL97" i="149" s="1"/>
  <c r="AA100" i="148"/>
  <c r="X100" i="149" s="1"/>
  <c r="U100" i="148"/>
  <c r="AN100" i="148"/>
  <c r="AK100" i="149" s="1"/>
  <c r="AD100" i="148"/>
  <c r="AA100" i="149" s="1"/>
  <c r="AS100" i="148"/>
  <c r="AP100" i="149" s="1"/>
  <c r="AR100" i="148"/>
  <c r="AO100" i="149" s="1"/>
  <c r="AF100" i="148"/>
  <c r="AC100" i="149" s="1"/>
  <c r="W115" i="148"/>
  <c r="X115" i="148"/>
  <c r="U115" i="149" s="1"/>
  <c r="AB115" i="148"/>
  <c r="Y115" i="149" s="1"/>
  <c r="AF115" i="148"/>
  <c r="AC115" i="149" s="1"/>
  <c r="P115" i="148"/>
  <c r="AR115" i="148"/>
  <c r="AO115" i="149" s="1"/>
  <c r="AP115" i="148"/>
  <c r="AM115" i="149" s="1"/>
  <c r="AI115" i="148"/>
  <c r="AF115" i="149" s="1"/>
  <c r="AQ115" i="148"/>
  <c r="AN115" i="149" s="1"/>
  <c r="AG115" i="148"/>
  <c r="AD115" i="149" s="1"/>
  <c r="AC115" i="148"/>
  <c r="Z115" i="149" s="1"/>
  <c r="AO110" i="148"/>
  <c r="AL110" i="149" s="1"/>
  <c r="AE110" i="148"/>
  <c r="AB110" i="149" s="1"/>
  <c r="AA110" i="148"/>
  <c r="X110" i="149" s="1"/>
  <c r="AK110" i="148"/>
  <c r="AH110" i="149" s="1"/>
  <c r="AM110" i="148"/>
  <c r="AJ110" i="149" s="1"/>
  <c r="X110" i="148"/>
  <c r="U110" i="149" s="1"/>
  <c r="J110" i="148"/>
  <c r="AD110" i="148"/>
  <c r="AA110" i="149" s="1"/>
  <c r="AT110" i="148"/>
  <c r="AQ110" i="149" s="1"/>
  <c r="O107" i="148"/>
  <c r="AS107" i="148"/>
  <c r="AP107" i="149" s="1"/>
  <c r="AU107" i="148"/>
  <c r="AR107" i="149" s="1"/>
  <c r="AA107" i="148"/>
  <c r="X107" i="149" s="1"/>
  <c r="AJ107" i="148"/>
  <c r="AG107" i="149" s="1"/>
  <c r="AC107" i="148"/>
  <c r="Z107" i="149" s="1"/>
  <c r="AD107" i="148"/>
  <c r="AA107" i="149" s="1"/>
  <c r="AM107" i="148"/>
  <c r="AJ107" i="149" s="1"/>
  <c r="L107" i="148"/>
  <c r="AN107" i="148"/>
  <c r="AK107" i="149" s="1"/>
  <c r="K107" i="148"/>
  <c r="AM113" i="148"/>
  <c r="AJ113" i="149" s="1"/>
  <c r="AU113" i="148"/>
  <c r="AR113" i="149" s="1"/>
  <c r="AD113" i="148"/>
  <c r="AA113" i="149" s="1"/>
  <c r="M113" i="148"/>
  <c r="AP113" i="148"/>
  <c r="AM113" i="149" s="1"/>
  <c r="J113" i="148"/>
  <c r="AS113" i="148"/>
  <c r="AP113" i="149" s="1"/>
  <c r="U115" i="148"/>
  <c r="M115" i="148"/>
  <c r="AH115" i="148"/>
  <c r="AE115" i="149" s="1"/>
  <c r="AS115" i="148"/>
  <c r="AP115" i="149" s="1"/>
  <c r="K110" i="148"/>
  <c r="AL110" i="148"/>
  <c r="AI110" i="149" s="1"/>
  <c r="M110" i="148"/>
  <c r="P110" i="148"/>
  <c r="AC110" i="148"/>
  <c r="Z110" i="149" s="1"/>
  <c r="AN110" i="148"/>
  <c r="AK110" i="149" s="1"/>
  <c r="AP107" i="148"/>
  <c r="AM107" i="149" s="1"/>
  <c r="X107" i="148"/>
  <c r="U107" i="149" s="1"/>
  <c r="AK107" i="148"/>
  <c r="AH107" i="149" s="1"/>
  <c r="M107" i="148"/>
  <c r="AO107" i="148"/>
  <c r="AL107" i="149" s="1"/>
  <c r="AR113" i="148"/>
  <c r="AO113" i="149" s="1"/>
  <c r="X113" i="148"/>
  <c r="U113" i="149" s="1"/>
  <c r="AQ113" i="148"/>
  <c r="AN113" i="149" s="1"/>
  <c r="W113" i="148"/>
  <c r="AE113" i="148"/>
  <c r="AB113" i="149" s="1"/>
  <c r="Z115" i="148"/>
  <c r="W115" i="149" s="1"/>
  <c r="AD115" i="148"/>
  <c r="AA115" i="149" s="1"/>
  <c r="J115" i="148"/>
  <c r="N115" i="148"/>
  <c r="L115" i="148"/>
  <c r="AK115" i="148"/>
  <c r="AH115" i="149" s="1"/>
  <c r="O115" i="148"/>
  <c r="AJ115" i="148"/>
  <c r="AG115" i="149" s="1"/>
  <c r="AE115" i="148"/>
  <c r="AB115" i="149" s="1"/>
  <c r="AL115" i="148"/>
  <c r="AI115" i="149" s="1"/>
  <c r="W110" i="148"/>
  <c r="AF110" i="148"/>
  <c r="AC110" i="149" s="1"/>
  <c r="AG110" i="148"/>
  <c r="AD110" i="149" s="1"/>
  <c r="U110" i="148"/>
  <c r="AR110" i="148"/>
  <c r="AO110" i="149" s="1"/>
  <c r="AS110" i="148"/>
  <c r="AP110" i="149" s="1"/>
  <c r="AI110" i="148"/>
  <c r="AF110" i="149" s="1"/>
  <c r="L110" i="148"/>
  <c r="Y110" i="148"/>
  <c r="V110" i="149" s="1"/>
  <c r="AJ110" i="148"/>
  <c r="AG110" i="149" s="1"/>
  <c r="AU110" i="148"/>
  <c r="AR110" i="149" s="1"/>
  <c r="AP110" i="148"/>
  <c r="AM110" i="149" s="1"/>
  <c r="W107" i="148"/>
  <c r="AQ107" i="148"/>
  <c r="AN107" i="149" s="1"/>
  <c r="U107" i="148"/>
  <c r="P107" i="148"/>
  <c r="AT107" i="148"/>
  <c r="AQ107" i="149" s="1"/>
  <c r="AB107" i="148"/>
  <c r="Y107" i="149" s="1"/>
  <c r="AI107" i="148"/>
  <c r="AF107" i="149" s="1"/>
  <c r="AE107" i="148"/>
  <c r="AB107" i="149" s="1"/>
  <c r="AG107" i="148"/>
  <c r="AD107" i="149" s="1"/>
  <c r="AB113" i="148"/>
  <c r="Y113" i="149" s="1"/>
  <c r="Y113" i="148"/>
  <c r="V113" i="149" s="1"/>
  <c r="AC113" i="148"/>
  <c r="Z113" i="149" s="1"/>
  <c r="L113" i="148"/>
  <c r="AL113" i="148"/>
  <c r="AI113" i="149" s="1"/>
  <c r="AK113" i="148"/>
  <c r="AH113" i="149" s="1"/>
  <c r="AA113" i="148"/>
  <c r="X113" i="149" s="1"/>
  <c r="U113" i="148"/>
  <c r="K113" i="148"/>
  <c r="Z113" i="148"/>
  <c r="W113" i="149" s="1"/>
  <c r="AT113" i="148"/>
  <c r="AQ113" i="149" s="1"/>
  <c r="O113" i="148"/>
  <c r="AJ113" i="148"/>
  <c r="AG113" i="149" s="1"/>
  <c r="AO113" i="148"/>
  <c r="AL113" i="149" s="1"/>
  <c r="N113" i="148"/>
  <c r="AG113" i="148"/>
  <c r="AD113" i="149" s="1"/>
  <c r="P113" i="148"/>
  <c r="AN113" i="148"/>
  <c r="AK113" i="149" s="1"/>
  <c r="AM115" i="148"/>
  <c r="AJ115" i="149" s="1"/>
  <c r="K115" i="148"/>
  <c r="AA115" i="148"/>
  <c r="X115" i="149" s="1"/>
  <c r="AU115" i="148"/>
  <c r="AR115" i="149" s="1"/>
  <c r="AT115" i="148"/>
  <c r="AQ115" i="149" s="1"/>
  <c r="Y115" i="148"/>
  <c r="V115" i="149" s="1"/>
  <c r="AN115" i="148"/>
  <c r="AK115" i="149" s="1"/>
  <c r="AO115" i="148"/>
  <c r="AL115" i="149" s="1"/>
  <c r="O110" i="148"/>
  <c r="Z110" i="148"/>
  <c r="W110" i="149" s="1"/>
  <c r="AQ110" i="148"/>
  <c r="AN110" i="149" s="1"/>
  <c r="AH110" i="148"/>
  <c r="AE110" i="149" s="1"/>
  <c r="AB110" i="148"/>
  <c r="Y110" i="149" s="1"/>
  <c r="N110" i="148"/>
  <c r="N107" i="148"/>
  <c r="AR107" i="148"/>
  <c r="AO107" i="149" s="1"/>
  <c r="AL107" i="148"/>
  <c r="AI107" i="149" s="1"/>
  <c r="AF107" i="148"/>
  <c r="AC107" i="149" s="1"/>
  <c r="Y107" i="148"/>
  <c r="V107" i="149" s="1"/>
  <c r="Z107" i="148"/>
  <c r="W107" i="149" s="1"/>
  <c r="J107" i="148"/>
  <c r="AH107" i="148"/>
  <c r="AE107" i="149" s="1"/>
  <c r="AF113" i="148"/>
  <c r="AC113" i="149" s="1"/>
  <c r="AH113" i="148"/>
  <c r="AE113" i="149" s="1"/>
  <c r="AI113" i="148"/>
  <c r="AF113" i="149" s="1"/>
  <c r="AR152" i="148"/>
  <c r="AO152" i="149" s="1"/>
  <c r="AC152" i="148"/>
  <c r="Z152" i="149" s="1"/>
  <c r="AH152" i="148"/>
  <c r="AE152" i="149" s="1"/>
  <c r="W152" i="148"/>
  <c r="O152" i="148"/>
  <c r="AO152" i="148"/>
  <c r="AL152" i="149" s="1"/>
  <c r="AI152" i="148"/>
  <c r="AF152" i="149" s="1"/>
  <c r="U152" i="148"/>
  <c r="J152" i="148"/>
  <c r="AD152" i="148"/>
  <c r="AA152" i="149" s="1"/>
  <c r="AQ154" i="148"/>
  <c r="AN154" i="149" s="1"/>
  <c r="AA154" i="148"/>
  <c r="X154" i="149" s="1"/>
  <c r="AT154" i="148"/>
  <c r="AQ154" i="149" s="1"/>
  <c r="O154" i="148"/>
  <c r="AL154" i="148"/>
  <c r="AI154" i="149" s="1"/>
  <c r="AI154" i="148"/>
  <c r="AF154" i="149" s="1"/>
  <c r="Z154" i="148"/>
  <c r="W154" i="149" s="1"/>
  <c r="AN108" i="148"/>
  <c r="AK108" i="149" s="1"/>
  <c r="AA108" i="148"/>
  <c r="X108" i="149" s="1"/>
  <c r="AU108" i="148"/>
  <c r="AR108" i="149" s="1"/>
  <c r="X108" i="148"/>
  <c r="U108" i="149" s="1"/>
  <c r="Z108" i="148"/>
  <c r="W108" i="149" s="1"/>
  <c r="AO108" i="148"/>
  <c r="AL108" i="149" s="1"/>
  <c r="AF108" i="148"/>
  <c r="AC108" i="149" s="1"/>
  <c r="AL112" i="148"/>
  <c r="AI112" i="149" s="1"/>
  <c r="AB112" i="148"/>
  <c r="Y112" i="149" s="1"/>
  <c r="AF112" i="148"/>
  <c r="AC112" i="149" s="1"/>
  <c r="AM112" i="148"/>
  <c r="AJ112" i="149" s="1"/>
  <c r="K112" i="148"/>
  <c r="AU112" i="148"/>
  <c r="AR112" i="149" s="1"/>
  <c r="AT112" i="148"/>
  <c r="AQ112" i="149" s="1"/>
  <c r="Z112" i="148"/>
  <c r="W112" i="149" s="1"/>
  <c r="P152" i="148"/>
  <c r="K152" i="148"/>
  <c r="AK152" i="148"/>
  <c r="AH152" i="149" s="1"/>
  <c r="AT152" i="148"/>
  <c r="AQ152" i="149" s="1"/>
  <c r="AJ152" i="148"/>
  <c r="AG152" i="149" s="1"/>
  <c r="AB152" i="148"/>
  <c r="Y152" i="149" s="1"/>
  <c r="AS152" i="148"/>
  <c r="AP152" i="149" s="1"/>
  <c r="AQ152" i="148"/>
  <c r="AN152" i="149" s="1"/>
  <c r="X152" i="148"/>
  <c r="U152" i="149" s="1"/>
  <c r="AB154" i="148"/>
  <c r="Y154" i="149" s="1"/>
  <c r="AG154" i="148"/>
  <c r="AD154" i="149" s="1"/>
  <c r="N154" i="148"/>
  <c r="X154" i="148"/>
  <c r="U154" i="149" s="1"/>
  <c r="W154" i="148"/>
  <c r="M154" i="148"/>
  <c r="P154" i="148"/>
  <c r="M108" i="148"/>
  <c r="AK108" i="148"/>
  <c r="AH108" i="149" s="1"/>
  <c r="AB108" i="148"/>
  <c r="Y108" i="149" s="1"/>
  <c r="AI108" i="148"/>
  <c r="AF108" i="149" s="1"/>
  <c r="O108" i="148"/>
  <c r="AQ108" i="148"/>
  <c r="AN108" i="149" s="1"/>
  <c r="Y108" i="148"/>
  <c r="V108" i="149" s="1"/>
  <c r="M112" i="148"/>
  <c r="O112" i="148"/>
  <c r="AQ112" i="148"/>
  <c r="AN112" i="149" s="1"/>
  <c r="AC112" i="148"/>
  <c r="Z112" i="149" s="1"/>
  <c r="U112" i="148"/>
  <c r="AN112" i="148"/>
  <c r="AK112" i="149" s="1"/>
  <c r="AH112" i="148"/>
  <c r="AE112" i="149" s="1"/>
  <c r="AI112" i="148"/>
  <c r="AF112" i="149" s="1"/>
  <c r="AO112" i="148"/>
  <c r="AL112" i="149" s="1"/>
  <c r="AP152" i="148"/>
  <c r="AM152" i="149" s="1"/>
  <c r="AU152" i="148"/>
  <c r="AR152" i="149" s="1"/>
  <c r="AE152" i="148"/>
  <c r="AB152" i="149" s="1"/>
  <c r="N152" i="148"/>
  <c r="L152" i="148"/>
  <c r="AG152" i="148"/>
  <c r="AD152" i="149" s="1"/>
  <c r="Z152" i="148"/>
  <c r="W152" i="149" s="1"/>
  <c r="AM152" i="148"/>
  <c r="AJ152" i="149" s="1"/>
  <c r="Y152" i="148"/>
  <c r="V152" i="149" s="1"/>
  <c r="AN154" i="148"/>
  <c r="AK154" i="149" s="1"/>
  <c r="AU154" i="148"/>
  <c r="AR154" i="149" s="1"/>
  <c r="AC154" i="148"/>
  <c r="Z154" i="149" s="1"/>
  <c r="AM154" i="148"/>
  <c r="AJ154" i="149" s="1"/>
  <c r="AS154" i="148"/>
  <c r="AP154" i="149" s="1"/>
  <c r="L154" i="148"/>
  <c r="AO154" i="148"/>
  <c r="AL154" i="149" s="1"/>
  <c r="J154" i="148"/>
  <c r="AP154" i="148"/>
  <c r="AM154" i="149" s="1"/>
  <c r="AR154" i="148"/>
  <c r="AO154" i="149" s="1"/>
  <c r="AE154" i="148"/>
  <c r="AB154" i="149" s="1"/>
  <c r="U154" i="148"/>
  <c r="U108" i="148"/>
  <c r="AD108" i="148"/>
  <c r="AA108" i="149" s="1"/>
  <c r="AS108" i="148"/>
  <c r="AP108" i="149" s="1"/>
  <c r="AT108" i="148"/>
  <c r="AQ108" i="149" s="1"/>
  <c r="AC108" i="148"/>
  <c r="Z108" i="149" s="1"/>
  <c r="AL108" i="148"/>
  <c r="AI108" i="149" s="1"/>
  <c r="AJ108" i="148"/>
  <c r="AG108" i="149" s="1"/>
  <c r="AP108" i="148"/>
  <c r="AM108" i="149" s="1"/>
  <c r="AP112" i="148"/>
  <c r="AM112" i="149" s="1"/>
  <c r="P112" i="148"/>
  <c r="J112" i="148"/>
  <c r="AK112" i="148"/>
  <c r="AH112" i="149" s="1"/>
  <c r="AS112" i="148"/>
  <c r="AP112" i="149" s="1"/>
  <c r="L112" i="148"/>
  <c r="AE112" i="148"/>
  <c r="AB112" i="149" s="1"/>
  <c r="AR112" i="148"/>
  <c r="AO112" i="149" s="1"/>
  <c r="AA152" i="148"/>
  <c r="X152" i="149" s="1"/>
  <c r="M152" i="148"/>
  <c r="AN152" i="148"/>
  <c r="AK152" i="149" s="1"/>
  <c r="AF152" i="148"/>
  <c r="AC152" i="149" s="1"/>
  <c r="AL152" i="148"/>
  <c r="AI152" i="149" s="1"/>
  <c r="AK154" i="148"/>
  <c r="AH154" i="149" s="1"/>
  <c r="Y154" i="148"/>
  <c r="V154" i="149" s="1"/>
  <c r="AJ154" i="148"/>
  <c r="AG154" i="149" s="1"/>
  <c r="AD154" i="148"/>
  <c r="AA154" i="149" s="1"/>
  <c r="AH154" i="148"/>
  <c r="AE154" i="149" s="1"/>
  <c r="AF154" i="148"/>
  <c r="AC154" i="149" s="1"/>
  <c r="K154" i="148"/>
  <c r="AE108" i="148"/>
  <c r="AB108" i="149" s="1"/>
  <c r="K108" i="148"/>
  <c r="N108" i="148"/>
  <c r="AM108" i="148"/>
  <c r="AJ108" i="149" s="1"/>
  <c r="P108" i="148"/>
  <c r="AG108" i="148"/>
  <c r="AD108" i="149" s="1"/>
  <c r="J108" i="148"/>
  <c r="L108" i="148"/>
  <c r="AR108" i="148"/>
  <c r="AO108" i="149" s="1"/>
  <c r="W108" i="148"/>
  <c r="AH108" i="148"/>
  <c r="AE108" i="149" s="1"/>
  <c r="AJ112" i="148"/>
  <c r="AG112" i="149" s="1"/>
  <c r="X112" i="148"/>
  <c r="U112" i="149" s="1"/>
  <c r="AG112" i="148"/>
  <c r="AD112" i="149" s="1"/>
  <c r="W112" i="148"/>
  <c r="Y112" i="148"/>
  <c r="V112" i="149" s="1"/>
  <c r="AA112" i="148"/>
  <c r="X112" i="149" s="1"/>
  <c r="AD112" i="148"/>
  <c r="AA112" i="149" s="1"/>
  <c r="N112" i="148"/>
  <c r="X103" i="148"/>
  <c r="U103" i="149" s="1"/>
  <c r="AJ103" i="148"/>
  <c r="AG103" i="149" s="1"/>
  <c r="N103" i="148"/>
  <c r="U103" i="148"/>
  <c r="AG103" i="148"/>
  <c r="AD103" i="149" s="1"/>
  <c r="M103" i="148"/>
  <c r="AR103" i="148"/>
  <c r="AO103" i="149" s="1"/>
  <c r="K103" i="148"/>
  <c r="AD103" i="148"/>
  <c r="AA103" i="149" s="1"/>
  <c r="O103" i="148"/>
  <c r="J155" i="148"/>
  <c r="AC155" i="148"/>
  <c r="Z155" i="149" s="1"/>
  <c r="AG155" i="148"/>
  <c r="AD155" i="149" s="1"/>
  <c r="AA155" i="148"/>
  <c r="X155" i="149" s="1"/>
  <c r="AM155" i="148"/>
  <c r="AJ155" i="149" s="1"/>
  <c r="AN155" i="148"/>
  <c r="AK155" i="149" s="1"/>
  <c r="AJ120" i="148"/>
  <c r="AG120" i="149" s="1"/>
  <c r="Z120" i="148"/>
  <c r="W120" i="149" s="1"/>
  <c r="Y120" i="148"/>
  <c r="V120" i="149" s="1"/>
  <c r="AE120" i="148"/>
  <c r="AB120" i="149" s="1"/>
  <c r="AU120" i="148"/>
  <c r="AR120" i="149" s="1"/>
  <c r="J137" i="148"/>
  <c r="W137" i="148"/>
  <c r="AG137" i="148"/>
  <c r="AD137" i="149" s="1"/>
  <c r="AH137" i="148"/>
  <c r="AE137" i="149" s="1"/>
  <c r="O137" i="148"/>
  <c r="AR137" i="148"/>
  <c r="AO137" i="149" s="1"/>
  <c r="AJ137" i="148"/>
  <c r="AG137" i="149" s="1"/>
  <c r="AT137" i="148"/>
  <c r="AQ137" i="149" s="1"/>
  <c r="AI137" i="148"/>
  <c r="AF137" i="149" s="1"/>
  <c r="AQ137" i="148"/>
  <c r="AN137" i="149" s="1"/>
  <c r="AU137" i="148"/>
  <c r="AR137" i="149" s="1"/>
  <c r="AN137" i="148"/>
  <c r="AK137" i="149" s="1"/>
  <c r="N138" i="148"/>
  <c r="AK138" i="148"/>
  <c r="AH138" i="149" s="1"/>
  <c r="AO138" i="148"/>
  <c r="AL138" i="149" s="1"/>
  <c r="M138" i="148"/>
  <c r="AM138" i="148"/>
  <c r="AJ138" i="149" s="1"/>
  <c r="AJ138" i="148"/>
  <c r="AG138" i="149" s="1"/>
  <c r="AB138" i="148"/>
  <c r="Y138" i="149" s="1"/>
  <c r="AT138" i="148"/>
  <c r="AQ138" i="149" s="1"/>
  <c r="AE138" i="148"/>
  <c r="AB138" i="149" s="1"/>
  <c r="AQ138" i="148"/>
  <c r="AN138" i="149" s="1"/>
  <c r="AP138" i="148"/>
  <c r="AM138" i="149" s="1"/>
  <c r="K138" i="148"/>
  <c r="AM139" i="148"/>
  <c r="AJ139" i="149" s="1"/>
  <c r="AD139" i="148"/>
  <c r="AA139" i="149" s="1"/>
  <c r="AP139" i="148"/>
  <c r="AM139" i="149" s="1"/>
  <c r="AT139" i="148"/>
  <c r="AQ139" i="149" s="1"/>
  <c r="AF139" i="148"/>
  <c r="AC139" i="149" s="1"/>
  <c r="U139" i="148"/>
  <c r="AS139" i="148"/>
  <c r="AP139" i="149" s="1"/>
  <c r="AI139" i="148"/>
  <c r="AF139" i="149" s="1"/>
  <c r="AH139" i="148"/>
  <c r="AE139" i="149" s="1"/>
  <c r="Z125" i="148"/>
  <c r="W125" i="149" s="1"/>
  <c r="AL125" i="148"/>
  <c r="AI125" i="149" s="1"/>
  <c r="AC125" i="148"/>
  <c r="Z125" i="149" s="1"/>
  <c r="AS125" i="148"/>
  <c r="AP125" i="149" s="1"/>
  <c r="P125" i="148"/>
  <c r="X125" i="148"/>
  <c r="U125" i="149" s="1"/>
  <c r="AD125" i="148"/>
  <c r="AA125" i="149" s="1"/>
  <c r="K125" i="148"/>
  <c r="L125" i="148"/>
  <c r="AA125" i="148"/>
  <c r="X125" i="149" s="1"/>
  <c r="AB125" i="148"/>
  <c r="Y125" i="149" s="1"/>
  <c r="AO125" i="148"/>
  <c r="AL125" i="149" s="1"/>
  <c r="X122" i="148"/>
  <c r="U122" i="149" s="1"/>
  <c r="AS122" i="148"/>
  <c r="AP122" i="149" s="1"/>
  <c r="AB122" i="148"/>
  <c r="Y122" i="149" s="1"/>
  <c r="Z122" i="148"/>
  <c r="W122" i="149" s="1"/>
  <c r="AP122" i="148"/>
  <c r="AM122" i="149" s="1"/>
  <c r="AR122" i="148"/>
  <c r="AO122" i="149" s="1"/>
  <c r="AU122" i="148"/>
  <c r="AR122" i="149" s="1"/>
  <c r="AQ122" i="148"/>
  <c r="AN122" i="149" s="1"/>
  <c r="O122" i="148"/>
  <c r="AH122" i="148"/>
  <c r="AE122" i="149" s="1"/>
  <c r="AD122" i="148"/>
  <c r="AA122" i="149" s="1"/>
  <c r="P122" i="148"/>
  <c r="J23" i="148"/>
  <c r="AF23" i="148"/>
  <c r="AC23" i="149" s="1"/>
  <c r="AQ23" i="148"/>
  <c r="AN23" i="149" s="1"/>
  <c r="AD23" i="148"/>
  <c r="AA23" i="149" s="1"/>
  <c r="AK23" i="148"/>
  <c r="AH23" i="149" s="1"/>
  <c r="AM23" i="148"/>
  <c r="AJ23" i="149" s="1"/>
  <c r="L23" i="148"/>
  <c r="Y103" i="148"/>
  <c r="V103" i="149" s="1"/>
  <c r="AS103" i="148"/>
  <c r="AP103" i="149" s="1"/>
  <c r="Z103" i="148"/>
  <c r="W103" i="149" s="1"/>
  <c r="AO103" i="148"/>
  <c r="AL103" i="149" s="1"/>
  <c r="AL103" i="148"/>
  <c r="AI103" i="149" s="1"/>
  <c r="AP103" i="148"/>
  <c r="AM103" i="149" s="1"/>
  <c r="P103" i="148"/>
  <c r="AH103" i="148"/>
  <c r="AE103" i="149" s="1"/>
  <c r="W103" i="148"/>
  <c r="AC103" i="148"/>
  <c r="Z103" i="149" s="1"/>
  <c r="AE103" i="148"/>
  <c r="AB103" i="149" s="1"/>
  <c r="AU103" i="148"/>
  <c r="AR103" i="149" s="1"/>
  <c r="AP155" i="148"/>
  <c r="AM155" i="149" s="1"/>
  <c r="AF155" i="148"/>
  <c r="AC155" i="149" s="1"/>
  <c r="K155" i="148"/>
  <c r="O155" i="148"/>
  <c r="AR155" i="148"/>
  <c r="AO155" i="149" s="1"/>
  <c r="P155" i="148"/>
  <c r="AS155" i="148"/>
  <c r="AP155" i="149" s="1"/>
  <c r="AB155" i="148"/>
  <c r="Y155" i="149" s="1"/>
  <c r="L120" i="148"/>
  <c r="AB120" i="148"/>
  <c r="Y120" i="149" s="1"/>
  <c r="AC120" i="148"/>
  <c r="Z120" i="149" s="1"/>
  <c r="AK120" i="148"/>
  <c r="AH120" i="149" s="1"/>
  <c r="W120" i="148"/>
  <c r="AF120" i="148"/>
  <c r="AC120" i="149" s="1"/>
  <c r="P120" i="148"/>
  <c r="AF137" i="148"/>
  <c r="AC137" i="149" s="1"/>
  <c r="N137" i="148"/>
  <c r="AA137" i="148"/>
  <c r="X137" i="149" s="1"/>
  <c r="AL137" i="148"/>
  <c r="AI137" i="149" s="1"/>
  <c r="U137" i="148"/>
  <c r="AC137" i="148"/>
  <c r="Z137" i="149" s="1"/>
  <c r="K137" i="148"/>
  <c r="AL138" i="148"/>
  <c r="AI138" i="149" s="1"/>
  <c r="Y138" i="148"/>
  <c r="V138" i="149" s="1"/>
  <c r="AF138" i="148"/>
  <c r="AC138" i="149" s="1"/>
  <c r="AA138" i="148"/>
  <c r="X138" i="149" s="1"/>
  <c r="W138" i="148"/>
  <c r="AH138" i="148"/>
  <c r="AE138" i="149" s="1"/>
  <c r="U138" i="148"/>
  <c r="L139" i="148"/>
  <c r="X139" i="148"/>
  <c r="U139" i="149" s="1"/>
  <c r="AK139" i="148"/>
  <c r="AH139" i="149" s="1"/>
  <c r="J139" i="148"/>
  <c r="AJ139" i="148"/>
  <c r="AG139" i="149" s="1"/>
  <c r="AQ139" i="148"/>
  <c r="AN139" i="149" s="1"/>
  <c r="AO139" i="148"/>
  <c r="AL139" i="149" s="1"/>
  <c r="AE139" i="148"/>
  <c r="AB139" i="149" s="1"/>
  <c r="AA139" i="148"/>
  <c r="X139" i="149" s="1"/>
  <c r="AU125" i="148"/>
  <c r="AR125" i="149" s="1"/>
  <c r="AK125" i="148"/>
  <c r="AH125" i="149" s="1"/>
  <c r="U125" i="148"/>
  <c r="AG125" i="148"/>
  <c r="AD125" i="149" s="1"/>
  <c r="AF125" i="148"/>
  <c r="AC125" i="149" s="1"/>
  <c r="M125" i="148"/>
  <c r="AH125" i="148"/>
  <c r="AE125" i="149" s="1"/>
  <c r="AI122" i="148"/>
  <c r="AF122" i="149" s="1"/>
  <c r="AK122" i="148"/>
  <c r="AH122" i="149" s="1"/>
  <c r="Y122" i="148"/>
  <c r="V122" i="149" s="1"/>
  <c r="J122" i="148"/>
  <c r="U122" i="148"/>
  <c r="AL122" i="148"/>
  <c r="AI122" i="149" s="1"/>
  <c r="AC122" i="148"/>
  <c r="Z122" i="149" s="1"/>
  <c r="U23" i="148"/>
  <c r="Z23" i="148"/>
  <c r="W23" i="149" s="1"/>
  <c r="AJ23" i="148"/>
  <c r="AG23" i="149" s="1"/>
  <c r="N23" i="148"/>
  <c r="O23" i="148"/>
  <c r="AP23" i="148"/>
  <c r="AM23" i="149" s="1"/>
  <c r="AU23" i="148"/>
  <c r="AR23" i="149" s="1"/>
  <c r="AT23" i="148"/>
  <c r="AQ23" i="149" s="1"/>
  <c r="AA23" i="148"/>
  <c r="X23" i="149" s="1"/>
  <c r="P23" i="148"/>
  <c r="Y23" i="148"/>
  <c r="V23" i="149" s="1"/>
  <c r="M23" i="148"/>
  <c r="AQ103" i="148"/>
  <c r="AN103" i="149" s="1"/>
  <c r="AM103" i="148"/>
  <c r="AJ103" i="149" s="1"/>
  <c r="AB103" i="148"/>
  <c r="Y103" i="149" s="1"/>
  <c r="J103" i="148"/>
  <c r="AK103" i="148"/>
  <c r="AH103" i="149" s="1"/>
  <c r="AT103" i="148"/>
  <c r="AQ103" i="149" s="1"/>
  <c r="AJ155" i="148"/>
  <c r="AG155" i="149" s="1"/>
  <c r="X155" i="148"/>
  <c r="U155" i="149" s="1"/>
  <c r="AT155" i="148"/>
  <c r="AQ155" i="149" s="1"/>
  <c r="AU155" i="148"/>
  <c r="AR155" i="149" s="1"/>
  <c r="U155" i="148"/>
  <c r="N155" i="148"/>
  <c r="K120" i="148"/>
  <c r="AO120" i="148"/>
  <c r="AL120" i="149" s="1"/>
  <c r="AI120" i="148"/>
  <c r="AF120" i="149" s="1"/>
  <c r="O120" i="148"/>
  <c r="AL120" i="148"/>
  <c r="AI120" i="149" s="1"/>
  <c r="M120" i="148"/>
  <c r="AG120" i="148"/>
  <c r="AD120" i="149" s="1"/>
  <c r="J120" i="148"/>
  <c r="X120" i="148"/>
  <c r="U120" i="149" s="1"/>
  <c r="U120" i="148"/>
  <c r="AD120" i="148"/>
  <c r="AA120" i="149" s="1"/>
  <c r="X137" i="148"/>
  <c r="U137" i="149" s="1"/>
  <c r="AP137" i="148"/>
  <c r="AM137" i="149" s="1"/>
  <c r="AE137" i="148"/>
  <c r="AB137" i="149" s="1"/>
  <c r="AO137" i="148"/>
  <c r="AL137" i="149" s="1"/>
  <c r="AM137" i="148"/>
  <c r="AJ137" i="149" s="1"/>
  <c r="AK137" i="148"/>
  <c r="AH137" i="149" s="1"/>
  <c r="AS137" i="148"/>
  <c r="AP137" i="149" s="1"/>
  <c r="AB137" i="148"/>
  <c r="Y137" i="149" s="1"/>
  <c r="AI138" i="148"/>
  <c r="AF138" i="149" s="1"/>
  <c r="Z138" i="148"/>
  <c r="W138" i="149" s="1"/>
  <c r="J138" i="148"/>
  <c r="AG138" i="148"/>
  <c r="AD138" i="149" s="1"/>
  <c r="X138" i="148"/>
  <c r="U138" i="149" s="1"/>
  <c r="AU138" i="148"/>
  <c r="AR138" i="149" s="1"/>
  <c r="AR138" i="148"/>
  <c r="AO138" i="149" s="1"/>
  <c r="AN138" i="148"/>
  <c r="AK138" i="149" s="1"/>
  <c r="AL139" i="148"/>
  <c r="AI139" i="149" s="1"/>
  <c r="P139" i="148"/>
  <c r="AB139" i="148"/>
  <c r="Y139" i="149" s="1"/>
  <c r="N139" i="148"/>
  <c r="AN139" i="148"/>
  <c r="AK139" i="149" s="1"/>
  <c r="W139" i="148"/>
  <c r="Y139" i="148"/>
  <c r="V139" i="149" s="1"/>
  <c r="AR139" i="148"/>
  <c r="AO139" i="149" s="1"/>
  <c r="AG139" i="148"/>
  <c r="AD139" i="149" s="1"/>
  <c r="K139" i="148"/>
  <c r="AJ125" i="148"/>
  <c r="AG125" i="149" s="1"/>
  <c r="AE125" i="148"/>
  <c r="AB125" i="149" s="1"/>
  <c r="AQ125" i="148"/>
  <c r="AN125" i="149" s="1"/>
  <c r="J125" i="148"/>
  <c r="N125" i="148"/>
  <c r="AI125" i="148"/>
  <c r="AF125" i="149" s="1"/>
  <c r="AP125" i="148"/>
  <c r="AM125" i="149" s="1"/>
  <c r="O125" i="148"/>
  <c r="AE122" i="148"/>
  <c r="AB122" i="149" s="1"/>
  <c r="K122" i="148"/>
  <c r="AA122" i="148"/>
  <c r="X122" i="149" s="1"/>
  <c r="AT122" i="148"/>
  <c r="AQ122" i="149" s="1"/>
  <c r="AO122" i="148"/>
  <c r="AL122" i="149" s="1"/>
  <c r="AN122" i="148"/>
  <c r="AK122" i="149" s="1"/>
  <c r="AI23" i="148"/>
  <c r="AF23" i="149" s="1"/>
  <c r="X23" i="148"/>
  <c r="U23" i="149" s="1"/>
  <c r="AC23" i="148"/>
  <c r="Z23" i="149" s="1"/>
  <c r="AH23" i="148"/>
  <c r="AE23" i="149" s="1"/>
  <c r="AS23" i="148"/>
  <c r="AP23" i="149" s="1"/>
  <c r="AB23" i="148"/>
  <c r="Y23" i="149" s="1"/>
  <c r="AN23" i="148"/>
  <c r="AK23" i="149" s="1"/>
  <c r="AR23" i="148"/>
  <c r="AO23" i="149" s="1"/>
  <c r="AG23" i="148"/>
  <c r="AD23" i="149" s="1"/>
  <c r="W23" i="148"/>
  <c r="AO23" i="148"/>
  <c r="AL23" i="149" s="1"/>
  <c r="L103" i="148"/>
  <c r="AA103" i="148"/>
  <c r="X103" i="149" s="1"/>
  <c r="AN103" i="148"/>
  <c r="AK103" i="149" s="1"/>
  <c r="AF103" i="148"/>
  <c r="AC103" i="149" s="1"/>
  <c r="AI103" i="148"/>
  <c r="AF103" i="149" s="1"/>
  <c r="AL155" i="148"/>
  <c r="AI155" i="149" s="1"/>
  <c r="W155" i="148"/>
  <c r="Y155" i="148"/>
  <c r="V155" i="149" s="1"/>
  <c r="AH155" i="148"/>
  <c r="AE155" i="149" s="1"/>
  <c r="AQ155" i="148"/>
  <c r="AN155" i="149" s="1"/>
  <c r="AE155" i="148"/>
  <c r="AB155" i="149" s="1"/>
  <c r="M155" i="148"/>
  <c r="AK155" i="148"/>
  <c r="AH155" i="149" s="1"/>
  <c r="AI155" i="148"/>
  <c r="AF155" i="149" s="1"/>
  <c r="L155" i="148"/>
  <c r="Z155" i="148"/>
  <c r="W155" i="149" s="1"/>
  <c r="AO155" i="148"/>
  <c r="AL155" i="149" s="1"/>
  <c r="AD155" i="148"/>
  <c r="AA155" i="149" s="1"/>
  <c r="AS120" i="148"/>
  <c r="AP120" i="149" s="1"/>
  <c r="AN120" i="148"/>
  <c r="AK120" i="149" s="1"/>
  <c r="AA120" i="148"/>
  <c r="X120" i="149" s="1"/>
  <c r="AP120" i="148"/>
  <c r="AM120" i="149" s="1"/>
  <c r="AM120" i="148"/>
  <c r="AJ120" i="149" s="1"/>
  <c r="N120" i="148"/>
  <c r="AQ120" i="148"/>
  <c r="AN120" i="149" s="1"/>
  <c r="AH120" i="148"/>
  <c r="AE120" i="149" s="1"/>
  <c r="AT120" i="148"/>
  <c r="AQ120" i="149" s="1"/>
  <c r="AR120" i="148"/>
  <c r="AO120" i="149" s="1"/>
  <c r="L137" i="148"/>
  <c r="Y137" i="148"/>
  <c r="V137" i="149" s="1"/>
  <c r="Z137" i="148"/>
  <c r="W137" i="149" s="1"/>
  <c r="M137" i="148"/>
  <c r="P137" i="148"/>
  <c r="AD137" i="148"/>
  <c r="AA137" i="149" s="1"/>
  <c r="AS138" i="148"/>
  <c r="AP138" i="149" s="1"/>
  <c r="P138" i="148"/>
  <c r="O138" i="148"/>
  <c r="AC138" i="148"/>
  <c r="Z138" i="149" s="1"/>
  <c r="AD138" i="148"/>
  <c r="AA138" i="149" s="1"/>
  <c r="L138" i="148"/>
  <c r="M139" i="148"/>
  <c r="AC139" i="148"/>
  <c r="Z139" i="149" s="1"/>
  <c r="Z139" i="148"/>
  <c r="W139" i="149" s="1"/>
  <c r="AU139" i="148"/>
  <c r="AR139" i="149" s="1"/>
  <c r="O139" i="148"/>
  <c r="AN125" i="148"/>
  <c r="AK125" i="149" s="1"/>
  <c r="AT125" i="148"/>
  <c r="AQ125" i="149" s="1"/>
  <c r="AM125" i="148"/>
  <c r="AJ125" i="149" s="1"/>
  <c r="AR125" i="148"/>
  <c r="AO125" i="149" s="1"/>
  <c r="W125" i="148"/>
  <c r="Y125" i="148"/>
  <c r="V125" i="149" s="1"/>
  <c r="N122" i="148"/>
  <c r="AM122" i="148"/>
  <c r="AJ122" i="149" s="1"/>
  <c r="AG122" i="148"/>
  <c r="AD122" i="149" s="1"/>
  <c r="M122" i="148"/>
  <c r="L122" i="148"/>
  <c r="AJ122" i="148"/>
  <c r="AG122" i="149" s="1"/>
  <c r="W122" i="148"/>
  <c r="AF122" i="148"/>
  <c r="AC122" i="149" s="1"/>
  <c r="AL23" i="148"/>
  <c r="AI23" i="149" s="1"/>
  <c r="K23" i="148"/>
  <c r="AE23" i="148"/>
  <c r="AB23" i="149" s="1"/>
  <c r="K117" i="148"/>
  <c r="AB117" i="148"/>
  <c r="Y117" i="149" s="1"/>
  <c r="X117" i="148"/>
  <c r="U117" i="149" s="1"/>
  <c r="N117" i="148"/>
  <c r="AR117" i="148"/>
  <c r="AO117" i="149" s="1"/>
  <c r="Z117" i="148"/>
  <c r="W117" i="149" s="1"/>
  <c r="AM117" i="148"/>
  <c r="AJ117" i="149" s="1"/>
  <c r="AE117" i="148"/>
  <c r="AB117" i="149" s="1"/>
  <c r="AH104" i="148"/>
  <c r="AE104" i="149" s="1"/>
  <c r="AC104" i="148"/>
  <c r="Z104" i="149" s="1"/>
  <c r="Z104" i="148"/>
  <c r="W104" i="149" s="1"/>
  <c r="AD104" i="148"/>
  <c r="AA104" i="149" s="1"/>
  <c r="AN104" i="148"/>
  <c r="AK104" i="149" s="1"/>
  <c r="AB104" i="148"/>
  <c r="Y104" i="149" s="1"/>
  <c r="AL104" i="148"/>
  <c r="AI104" i="149" s="1"/>
  <c r="AA102" i="148"/>
  <c r="X102" i="149" s="1"/>
  <c r="AU102" i="148"/>
  <c r="AR102" i="149" s="1"/>
  <c r="AP102" i="148"/>
  <c r="AM102" i="149" s="1"/>
  <c r="AK102" i="148"/>
  <c r="AH102" i="149" s="1"/>
  <c r="P102" i="148"/>
  <c r="AD102" i="148"/>
  <c r="AA102" i="149" s="1"/>
  <c r="Z102" i="148"/>
  <c r="W102" i="149" s="1"/>
  <c r="AM102" i="148"/>
  <c r="AJ102" i="149" s="1"/>
  <c r="K119" i="148"/>
  <c r="AL119" i="148"/>
  <c r="AI119" i="149" s="1"/>
  <c r="AP119" i="148"/>
  <c r="AM119" i="149" s="1"/>
  <c r="U119" i="148"/>
  <c r="W119" i="148"/>
  <c r="J119" i="148"/>
  <c r="AF119" i="148"/>
  <c r="AC119" i="149" s="1"/>
  <c r="AE119" i="148"/>
  <c r="AB119" i="149" s="1"/>
  <c r="AB119" i="148"/>
  <c r="Y119" i="149" s="1"/>
  <c r="AN123" i="148"/>
  <c r="AK123" i="149" s="1"/>
  <c r="O123" i="148"/>
  <c r="AQ123" i="148"/>
  <c r="AN123" i="149" s="1"/>
  <c r="AH123" i="148"/>
  <c r="AE123" i="149" s="1"/>
  <c r="AG123" i="148"/>
  <c r="AD123" i="149" s="1"/>
  <c r="AB123" i="148"/>
  <c r="Y123" i="149" s="1"/>
  <c r="J123" i="148"/>
  <c r="P123" i="148"/>
  <c r="M123" i="148"/>
  <c r="J160" i="148"/>
  <c r="K160" i="148"/>
  <c r="AI160" i="148"/>
  <c r="AF160" i="149" s="1"/>
  <c r="AK160" i="148"/>
  <c r="AH160" i="149" s="1"/>
  <c r="AD160" i="148"/>
  <c r="AA160" i="149" s="1"/>
  <c r="AU160" i="148"/>
  <c r="AR160" i="149" s="1"/>
  <c r="AT160" i="148"/>
  <c r="AQ160" i="149" s="1"/>
  <c r="AM160" i="148"/>
  <c r="AJ160" i="149" s="1"/>
  <c r="O160" i="148"/>
  <c r="AS160" i="148"/>
  <c r="AP160" i="149" s="1"/>
  <c r="W159" i="148"/>
  <c r="X159" i="148"/>
  <c r="U159" i="149" s="1"/>
  <c r="U159" i="148"/>
  <c r="AO159" i="148"/>
  <c r="AL159" i="149" s="1"/>
  <c r="N159" i="148"/>
  <c r="J159" i="148"/>
  <c r="AE159" i="148"/>
  <c r="AB159" i="149" s="1"/>
  <c r="Z159" i="148"/>
  <c r="W159" i="149" s="1"/>
  <c r="AC159" i="148"/>
  <c r="Z159" i="149" s="1"/>
  <c r="M159" i="148"/>
  <c r="AB159" i="148"/>
  <c r="Y159" i="149" s="1"/>
  <c r="AD159" i="148"/>
  <c r="AA159" i="149" s="1"/>
  <c r="AR159" i="148"/>
  <c r="AO159" i="149" s="1"/>
  <c r="AH124" i="148"/>
  <c r="AE124" i="149" s="1"/>
  <c r="AP124" i="148"/>
  <c r="AM124" i="149" s="1"/>
  <c r="AS124" i="148"/>
  <c r="AP124" i="149" s="1"/>
  <c r="AA124" i="148"/>
  <c r="X124" i="149" s="1"/>
  <c r="AM124" i="148"/>
  <c r="AJ124" i="149" s="1"/>
  <c r="AI124" i="148"/>
  <c r="AF124" i="149" s="1"/>
  <c r="AQ124" i="148"/>
  <c r="AN124" i="149" s="1"/>
  <c r="P117" i="148"/>
  <c r="AP117" i="148"/>
  <c r="AM117" i="149" s="1"/>
  <c r="AI117" i="148"/>
  <c r="AF117" i="149" s="1"/>
  <c r="AK117" i="148"/>
  <c r="AH117" i="149" s="1"/>
  <c r="Y117" i="148"/>
  <c r="V117" i="149" s="1"/>
  <c r="AS117" i="148"/>
  <c r="AP117" i="149" s="1"/>
  <c r="AL117" i="148"/>
  <c r="AI117" i="149" s="1"/>
  <c r="L117" i="148"/>
  <c r="AC117" i="148"/>
  <c r="Z117" i="149" s="1"/>
  <c r="U117" i="148"/>
  <c r="Y104" i="148"/>
  <c r="V104" i="149" s="1"/>
  <c r="J104" i="148"/>
  <c r="AM104" i="148"/>
  <c r="AJ104" i="149" s="1"/>
  <c r="AA104" i="148"/>
  <c r="X104" i="149" s="1"/>
  <c r="AE104" i="148"/>
  <c r="AB104" i="149" s="1"/>
  <c r="K104" i="148"/>
  <c r="O104" i="148"/>
  <c r="AR104" i="148"/>
  <c r="AO104" i="149" s="1"/>
  <c r="AG104" i="148"/>
  <c r="AD104" i="149" s="1"/>
  <c r="AR102" i="148"/>
  <c r="AO102" i="149" s="1"/>
  <c r="AE102" i="148"/>
  <c r="AB102" i="149" s="1"/>
  <c r="Y102" i="148"/>
  <c r="V102" i="149" s="1"/>
  <c r="AI102" i="148"/>
  <c r="AF102" i="149" s="1"/>
  <c r="X102" i="148"/>
  <c r="U102" i="149" s="1"/>
  <c r="AT102" i="148"/>
  <c r="AQ102" i="149" s="1"/>
  <c r="AJ102" i="148"/>
  <c r="AG102" i="149" s="1"/>
  <c r="AC102" i="148"/>
  <c r="Z102" i="149" s="1"/>
  <c r="AS119" i="148"/>
  <c r="AP119" i="149" s="1"/>
  <c r="X119" i="148"/>
  <c r="U119" i="149" s="1"/>
  <c r="AO119" i="148"/>
  <c r="AL119" i="149" s="1"/>
  <c r="M119" i="148"/>
  <c r="O119" i="148"/>
  <c r="AQ119" i="148"/>
  <c r="AN119" i="149" s="1"/>
  <c r="AC123" i="148"/>
  <c r="Z123" i="149" s="1"/>
  <c r="Z123" i="148"/>
  <c r="W123" i="149" s="1"/>
  <c r="AO123" i="148"/>
  <c r="AL123" i="149" s="1"/>
  <c r="AI123" i="148"/>
  <c r="AF123" i="149" s="1"/>
  <c r="AK123" i="148"/>
  <c r="AH123" i="149" s="1"/>
  <c r="AH160" i="148"/>
  <c r="AE160" i="149" s="1"/>
  <c r="AO160" i="148"/>
  <c r="AL160" i="149" s="1"/>
  <c r="AL160" i="148"/>
  <c r="AI160" i="149" s="1"/>
  <c r="AR160" i="148"/>
  <c r="AO160" i="149" s="1"/>
  <c r="U160" i="148"/>
  <c r="Z160" i="148"/>
  <c r="W160" i="149" s="1"/>
  <c r="AG160" i="148"/>
  <c r="AD160" i="149" s="1"/>
  <c r="N160" i="148"/>
  <c r="AA160" i="148"/>
  <c r="X160" i="149" s="1"/>
  <c r="AQ160" i="148"/>
  <c r="AN160" i="149" s="1"/>
  <c r="AJ159" i="148"/>
  <c r="AG159" i="149" s="1"/>
  <c r="AN159" i="148"/>
  <c r="AK159" i="149" s="1"/>
  <c r="AT159" i="148"/>
  <c r="AQ159" i="149" s="1"/>
  <c r="AP159" i="148"/>
  <c r="AM159" i="149" s="1"/>
  <c r="AT124" i="148"/>
  <c r="AQ124" i="149" s="1"/>
  <c r="AE124" i="148"/>
  <c r="AB124" i="149" s="1"/>
  <c r="AD124" i="148"/>
  <c r="AA124" i="149" s="1"/>
  <c r="Z124" i="148"/>
  <c r="W124" i="149" s="1"/>
  <c r="W124" i="148"/>
  <c r="AR124" i="148"/>
  <c r="AO124" i="149" s="1"/>
  <c r="K124" i="148"/>
  <c r="AU124" i="148"/>
  <c r="AR124" i="149" s="1"/>
  <c r="AN117" i="148"/>
  <c r="AK117" i="149" s="1"/>
  <c r="O117" i="148"/>
  <c r="AJ117" i="148"/>
  <c r="AG117" i="149" s="1"/>
  <c r="AT117" i="148"/>
  <c r="AQ117" i="149" s="1"/>
  <c r="J117" i="148"/>
  <c r="AA117" i="148"/>
  <c r="X117" i="149" s="1"/>
  <c r="AD117" i="148"/>
  <c r="AA117" i="149" s="1"/>
  <c r="AQ117" i="148"/>
  <c r="AN117" i="149" s="1"/>
  <c r="AF117" i="148"/>
  <c r="AC117" i="149" s="1"/>
  <c r="AO117" i="148"/>
  <c r="AL117" i="149" s="1"/>
  <c r="AT104" i="148"/>
  <c r="AQ104" i="149" s="1"/>
  <c r="N104" i="148"/>
  <c r="L104" i="148"/>
  <c r="AF104" i="148"/>
  <c r="AC104" i="149" s="1"/>
  <c r="AP104" i="148"/>
  <c r="AM104" i="149" s="1"/>
  <c r="AI104" i="148"/>
  <c r="AF104" i="149" s="1"/>
  <c r="AK104" i="148"/>
  <c r="AH104" i="149" s="1"/>
  <c r="P104" i="148"/>
  <c r="J102" i="148"/>
  <c r="AG102" i="148"/>
  <c r="AD102" i="149" s="1"/>
  <c r="AB102" i="148"/>
  <c r="Y102" i="149" s="1"/>
  <c r="AF102" i="148"/>
  <c r="AC102" i="149" s="1"/>
  <c r="L102" i="148"/>
  <c r="AO102" i="148"/>
  <c r="AL102" i="149" s="1"/>
  <c r="AN102" i="148"/>
  <c r="AK102" i="149" s="1"/>
  <c r="AQ102" i="148"/>
  <c r="AN102" i="149" s="1"/>
  <c r="K102" i="148"/>
  <c r="P119" i="148"/>
  <c r="AA119" i="148"/>
  <c r="X119" i="149" s="1"/>
  <c r="AT119" i="148"/>
  <c r="AQ119" i="149" s="1"/>
  <c r="AC119" i="148"/>
  <c r="Z119" i="149" s="1"/>
  <c r="AK119" i="148"/>
  <c r="AH119" i="149" s="1"/>
  <c r="N119" i="148"/>
  <c r="Z119" i="148"/>
  <c r="W119" i="149" s="1"/>
  <c r="AI119" i="148"/>
  <c r="AF119" i="149" s="1"/>
  <c r="AM119" i="148"/>
  <c r="AJ119" i="149" s="1"/>
  <c r="Y119" i="148"/>
  <c r="V119" i="149" s="1"/>
  <c r="AM123" i="148"/>
  <c r="AJ123" i="149" s="1"/>
  <c r="AA123" i="148"/>
  <c r="X123" i="149" s="1"/>
  <c r="U123" i="148"/>
  <c r="X123" i="148"/>
  <c r="U123" i="149" s="1"/>
  <c r="Y123" i="148"/>
  <c r="V123" i="149" s="1"/>
  <c r="AD123" i="148"/>
  <c r="AA123" i="149" s="1"/>
  <c r="AL123" i="148"/>
  <c r="AI123" i="149" s="1"/>
  <c r="AU123" i="148"/>
  <c r="AR123" i="149" s="1"/>
  <c r="AJ123" i="148"/>
  <c r="AG123" i="149" s="1"/>
  <c r="AS123" i="148"/>
  <c r="AP123" i="149" s="1"/>
  <c r="L160" i="148"/>
  <c r="AJ160" i="148"/>
  <c r="AG160" i="149" s="1"/>
  <c r="AN160" i="148"/>
  <c r="AK160" i="149" s="1"/>
  <c r="AP160" i="148"/>
  <c r="AM160" i="149" s="1"/>
  <c r="AF160" i="148"/>
  <c r="AC160" i="149" s="1"/>
  <c r="AC160" i="148"/>
  <c r="Z160" i="149" s="1"/>
  <c r="AH159" i="148"/>
  <c r="AE159" i="149" s="1"/>
  <c r="AG159" i="148"/>
  <c r="AD159" i="149" s="1"/>
  <c r="AS159" i="148"/>
  <c r="AP159" i="149" s="1"/>
  <c r="P159" i="148"/>
  <c r="L159" i="148"/>
  <c r="O159" i="148"/>
  <c r="AL159" i="148"/>
  <c r="AI159" i="149" s="1"/>
  <c r="AI159" i="148"/>
  <c r="AF159" i="149" s="1"/>
  <c r="Y159" i="148"/>
  <c r="V159" i="149" s="1"/>
  <c r="AN124" i="148"/>
  <c r="AK124" i="149" s="1"/>
  <c r="AG124" i="148"/>
  <c r="AD124" i="149" s="1"/>
  <c r="AO124" i="148"/>
  <c r="AL124" i="149" s="1"/>
  <c r="O124" i="148"/>
  <c r="AK124" i="148"/>
  <c r="AH124" i="149" s="1"/>
  <c r="AL124" i="148"/>
  <c r="AI124" i="149" s="1"/>
  <c r="L124" i="148"/>
  <c r="AG117" i="148"/>
  <c r="AD117" i="149" s="1"/>
  <c r="AU117" i="148"/>
  <c r="AR117" i="149" s="1"/>
  <c r="M117" i="148"/>
  <c r="W117" i="148"/>
  <c r="AH117" i="148"/>
  <c r="AE117" i="149" s="1"/>
  <c r="AU104" i="148"/>
  <c r="AR104" i="149" s="1"/>
  <c r="M104" i="148"/>
  <c r="U104" i="148"/>
  <c r="AS104" i="148"/>
  <c r="AP104" i="149" s="1"/>
  <c r="AQ104" i="148"/>
  <c r="AN104" i="149" s="1"/>
  <c r="AJ104" i="148"/>
  <c r="AG104" i="149" s="1"/>
  <c r="X104" i="148"/>
  <c r="U104" i="149" s="1"/>
  <c r="AO104" i="148"/>
  <c r="AL104" i="149" s="1"/>
  <c r="W104" i="148"/>
  <c r="O102" i="148"/>
  <c r="AL102" i="148"/>
  <c r="AI102" i="149" s="1"/>
  <c r="AH102" i="148"/>
  <c r="AE102" i="149" s="1"/>
  <c r="N102" i="148"/>
  <c r="M102" i="148"/>
  <c r="U102" i="148"/>
  <c r="AS102" i="148"/>
  <c r="AP102" i="149" s="1"/>
  <c r="W102" i="148"/>
  <c r="AJ119" i="148"/>
  <c r="AG119" i="149" s="1"/>
  <c r="AH119" i="148"/>
  <c r="AE119" i="149" s="1"/>
  <c r="AD119" i="148"/>
  <c r="AA119" i="149" s="1"/>
  <c r="AG119" i="148"/>
  <c r="AD119" i="149" s="1"/>
  <c r="AR119" i="148"/>
  <c r="AO119" i="149" s="1"/>
  <c r="AN119" i="148"/>
  <c r="AK119" i="149" s="1"/>
  <c r="L119" i="148"/>
  <c r="AU119" i="148"/>
  <c r="AR119" i="149" s="1"/>
  <c r="AT123" i="148"/>
  <c r="AQ123" i="149" s="1"/>
  <c r="AP123" i="148"/>
  <c r="AM123" i="149" s="1"/>
  <c r="W123" i="148"/>
  <c r="L123" i="148"/>
  <c r="AE123" i="148"/>
  <c r="AB123" i="149" s="1"/>
  <c r="AF123" i="148"/>
  <c r="AC123" i="149" s="1"/>
  <c r="AR123" i="148"/>
  <c r="AO123" i="149" s="1"/>
  <c r="K123" i="148"/>
  <c r="N123" i="148"/>
  <c r="X160" i="148"/>
  <c r="U160" i="149" s="1"/>
  <c r="AB160" i="148"/>
  <c r="Y160" i="149" s="1"/>
  <c r="Y160" i="148"/>
  <c r="V160" i="149" s="1"/>
  <c r="P160" i="148"/>
  <c r="M160" i="148"/>
  <c r="W160" i="148"/>
  <c r="AE160" i="148"/>
  <c r="AB160" i="149" s="1"/>
  <c r="AK159" i="148"/>
  <c r="AH159" i="149" s="1"/>
  <c r="AU159" i="148"/>
  <c r="AR159" i="149" s="1"/>
  <c r="AM159" i="148"/>
  <c r="AJ159" i="149" s="1"/>
  <c r="AF159" i="148"/>
  <c r="AC159" i="149" s="1"/>
  <c r="K159" i="148"/>
  <c r="AA159" i="148"/>
  <c r="X159" i="149" s="1"/>
  <c r="AQ159" i="148"/>
  <c r="AN159" i="149" s="1"/>
  <c r="N124" i="148"/>
  <c r="Y124" i="148"/>
  <c r="V124" i="149" s="1"/>
  <c r="J124" i="148"/>
  <c r="U124" i="148"/>
  <c r="M124" i="148"/>
  <c r="AB124" i="148"/>
  <c r="Y124" i="149" s="1"/>
  <c r="AJ124" i="148"/>
  <c r="AG124" i="149" s="1"/>
  <c r="X124" i="148"/>
  <c r="U124" i="149" s="1"/>
  <c r="AF124" i="148"/>
  <c r="AC124" i="149" s="1"/>
  <c r="P124" i="148"/>
  <c r="AC124" i="148"/>
  <c r="Z124" i="149" s="1"/>
  <c r="AL149" i="148"/>
  <c r="AI149" i="149" s="1"/>
  <c r="Z149" i="148"/>
  <c r="W149" i="149" s="1"/>
  <c r="AN149" i="148"/>
  <c r="AK149" i="149" s="1"/>
  <c r="X149" i="148"/>
  <c r="U149" i="149" s="1"/>
  <c r="AO149" i="148"/>
  <c r="AL149" i="149" s="1"/>
  <c r="AU149" i="148"/>
  <c r="AR149" i="149" s="1"/>
  <c r="AA149" i="148"/>
  <c r="X149" i="149" s="1"/>
  <c r="Y149" i="148"/>
  <c r="V149" i="149" s="1"/>
  <c r="K149" i="148"/>
  <c r="AH149" i="148"/>
  <c r="AE149" i="149" s="1"/>
  <c r="AJ94" i="148"/>
  <c r="AG94" i="149" s="1"/>
  <c r="AI94" i="148"/>
  <c r="AF94" i="149" s="1"/>
  <c r="AG94" i="148"/>
  <c r="AD94" i="149" s="1"/>
  <c r="AH94" i="148"/>
  <c r="AE94" i="149" s="1"/>
  <c r="X94" i="148"/>
  <c r="U94" i="149" s="1"/>
  <c r="AR94" i="148"/>
  <c r="AO94" i="149" s="1"/>
  <c r="AM94" i="148"/>
  <c r="AJ94" i="149" s="1"/>
  <c r="J94" i="148"/>
  <c r="O94" i="148"/>
  <c r="Y94" i="148"/>
  <c r="V94" i="149" s="1"/>
  <c r="AF147" i="148"/>
  <c r="AC147" i="149" s="1"/>
  <c r="AS147" i="148"/>
  <c r="AP147" i="149" s="1"/>
  <c r="Z147" i="148"/>
  <c r="W147" i="149" s="1"/>
  <c r="O147" i="148"/>
  <c r="Y147" i="148"/>
  <c r="V147" i="149" s="1"/>
  <c r="AP147" i="148"/>
  <c r="AM147" i="149" s="1"/>
  <c r="X133" i="148"/>
  <c r="U133" i="149" s="1"/>
  <c r="N133" i="148"/>
  <c r="K133" i="148"/>
  <c r="AL133" i="148"/>
  <c r="AI133" i="149" s="1"/>
  <c r="Y133" i="148"/>
  <c r="V133" i="149" s="1"/>
  <c r="AA133" i="148"/>
  <c r="X133" i="149" s="1"/>
  <c r="AF95" i="148"/>
  <c r="AC95" i="149" s="1"/>
  <c r="J95" i="148"/>
  <c r="AQ95" i="148"/>
  <c r="AN95" i="149" s="1"/>
  <c r="AM95" i="148"/>
  <c r="AJ95" i="149" s="1"/>
  <c r="M95" i="148"/>
  <c r="AL95" i="148"/>
  <c r="AI95" i="149" s="1"/>
  <c r="AJ95" i="148"/>
  <c r="AG95" i="149" s="1"/>
  <c r="W95" i="148"/>
  <c r="P95" i="148"/>
  <c r="X95" i="148"/>
  <c r="U95" i="149" s="1"/>
  <c r="AN132" i="148"/>
  <c r="AK132" i="149" s="1"/>
  <c r="AR132" i="148"/>
  <c r="AO132" i="149" s="1"/>
  <c r="X132" i="148"/>
  <c r="U132" i="149" s="1"/>
  <c r="W132" i="148"/>
  <c r="AG132" i="148"/>
  <c r="AD132" i="149" s="1"/>
  <c r="N132" i="148"/>
  <c r="AO132" i="148"/>
  <c r="AL132" i="149" s="1"/>
  <c r="AC132" i="148"/>
  <c r="Z132" i="149" s="1"/>
  <c r="AL132" i="148"/>
  <c r="AI132" i="149" s="1"/>
  <c r="AF132" i="148"/>
  <c r="AC132" i="149" s="1"/>
  <c r="AD132" i="148"/>
  <c r="AA132" i="149" s="1"/>
  <c r="Y150" i="148"/>
  <c r="V150" i="149" s="1"/>
  <c r="AI150" i="148"/>
  <c r="AF150" i="149" s="1"/>
  <c r="J150" i="148"/>
  <c r="AO150" i="148"/>
  <c r="AL150" i="149" s="1"/>
  <c r="AC150" i="148"/>
  <c r="Z150" i="149" s="1"/>
  <c r="N150" i="148"/>
  <c r="AA150" i="148"/>
  <c r="X150" i="149" s="1"/>
  <c r="AK150" i="148"/>
  <c r="AH150" i="149" s="1"/>
  <c r="U150" i="148"/>
  <c r="AE93" i="148"/>
  <c r="AB93" i="149" s="1"/>
  <c r="AN93" i="148"/>
  <c r="AK93" i="149" s="1"/>
  <c r="AP93" i="148"/>
  <c r="AM93" i="149" s="1"/>
  <c r="AU93" i="148"/>
  <c r="AR93" i="149" s="1"/>
  <c r="M93" i="148"/>
  <c r="AL93" i="148"/>
  <c r="AI93" i="149" s="1"/>
  <c r="AD93" i="148"/>
  <c r="AA93" i="149" s="1"/>
  <c r="N93" i="148"/>
  <c r="AB93" i="148"/>
  <c r="Y93" i="149" s="1"/>
  <c r="AE84" i="148"/>
  <c r="AB84" i="149" s="1"/>
  <c r="K84" i="148"/>
  <c r="AI84" i="148"/>
  <c r="AF84" i="149" s="1"/>
  <c r="AU84" i="148"/>
  <c r="AR84" i="149" s="1"/>
  <c r="L84" i="148"/>
  <c r="AT84" i="148"/>
  <c r="AQ84" i="149" s="1"/>
  <c r="U84" i="148"/>
  <c r="P84" i="148"/>
  <c r="O149" i="148"/>
  <c r="AR149" i="148"/>
  <c r="AO149" i="149" s="1"/>
  <c r="AE149" i="148"/>
  <c r="AB149" i="149" s="1"/>
  <c r="AC149" i="148"/>
  <c r="Z149" i="149" s="1"/>
  <c r="AA94" i="148"/>
  <c r="X94" i="149" s="1"/>
  <c r="N94" i="148"/>
  <c r="AN94" i="148"/>
  <c r="AK94" i="149" s="1"/>
  <c r="K94" i="148"/>
  <c r="W94" i="148"/>
  <c r="AQ94" i="148"/>
  <c r="AN94" i="149" s="1"/>
  <c r="AK94" i="148"/>
  <c r="AH94" i="149" s="1"/>
  <c r="AP94" i="148"/>
  <c r="AM94" i="149" s="1"/>
  <c r="AO94" i="148"/>
  <c r="AL94" i="149" s="1"/>
  <c r="L94" i="148"/>
  <c r="M147" i="148"/>
  <c r="AO147" i="148"/>
  <c r="AL147" i="149" s="1"/>
  <c r="AT147" i="148"/>
  <c r="AQ147" i="149" s="1"/>
  <c r="L147" i="148"/>
  <c r="U147" i="148"/>
  <c r="AI147" i="148"/>
  <c r="AF147" i="149" s="1"/>
  <c r="AL147" i="148"/>
  <c r="AI147" i="149" s="1"/>
  <c r="AM147" i="148"/>
  <c r="AJ147" i="149" s="1"/>
  <c r="AR147" i="148"/>
  <c r="AO147" i="149" s="1"/>
  <c r="W147" i="148"/>
  <c r="P133" i="148"/>
  <c r="AN133" i="148"/>
  <c r="AK133" i="149" s="1"/>
  <c r="AM133" i="148"/>
  <c r="AJ133" i="149" s="1"/>
  <c r="O133" i="148"/>
  <c r="J133" i="148"/>
  <c r="AB133" i="148"/>
  <c r="Y133" i="149" s="1"/>
  <c r="AE133" i="148"/>
  <c r="AB133" i="149" s="1"/>
  <c r="AO133" i="148"/>
  <c r="AL133" i="149" s="1"/>
  <c r="AS133" i="148"/>
  <c r="AP133" i="149" s="1"/>
  <c r="N95" i="148"/>
  <c r="AB95" i="148"/>
  <c r="Y95" i="149" s="1"/>
  <c r="AS95" i="148"/>
  <c r="AP95" i="149" s="1"/>
  <c r="AH95" i="148"/>
  <c r="AE95" i="149" s="1"/>
  <c r="Z95" i="148"/>
  <c r="W95" i="149" s="1"/>
  <c r="AD95" i="148"/>
  <c r="AA95" i="149" s="1"/>
  <c r="Y95" i="148"/>
  <c r="V95" i="149" s="1"/>
  <c r="L95" i="148"/>
  <c r="AA95" i="148"/>
  <c r="X95" i="149" s="1"/>
  <c r="AK132" i="148"/>
  <c r="AH132" i="149" s="1"/>
  <c r="AJ132" i="148"/>
  <c r="AG132" i="149" s="1"/>
  <c r="K132" i="148"/>
  <c r="L132" i="148"/>
  <c r="AA132" i="148"/>
  <c r="X132" i="149" s="1"/>
  <c r="AS132" i="148"/>
  <c r="AP132" i="149" s="1"/>
  <c r="AI132" i="148"/>
  <c r="AF132" i="149" s="1"/>
  <c r="J132" i="148"/>
  <c r="M150" i="148"/>
  <c r="AJ150" i="148"/>
  <c r="AG150" i="149" s="1"/>
  <c r="AN150" i="148"/>
  <c r="AK150" i="149" s="1"/>
  <c r="AP150" i="148"/>
  <c r="AM150" i="149" s="1"/>
  <c r="AT150" i="148"/>
  <c r="AQ150" i="149" s="1"/>
  <c r="AB150" i="148"/>
  <c r="Y150" i="149" s="1"/>
  <c r="AE150" i="148"/>
  <c r="AB150" i="149" s="1"/>
  <c r="AS150" i="148"/>
  <c r="AP150" i="149" s="1"/>
  <c r="W93" i="148"/>
  <c r="U93" i="148"/>
  <c r="AF93" i="148"/>
  <c r="AC93" i="149" s="1"/>
  <c r="AM93" i="148"/>
  <c r="AJ93" i="149" s="1"/>
  <c r="AI93" i="148"/>
  <c r="AF93" i="149" s="1"/>
  <c r="L93" i="148"/>
  <c r="AO93" i="148"/>
  <c r="AL93" i="149" s="1"/>
  <c r="P93" i="148"/>
  <c r="AH93" i="148"/>
  <c r="AE93" i="149" s="1"/>
  <c r="J84" i="148"/>
  <c r="AG84" i="148"/>
  <c r="AD84" i="149" s="1"/>
  <c r="Y84" i="148"/>
  <c r="V84" i="149" s="1"/>
  <c r="AC84" i="148"/>
  <c r="Z84" i="149" s="1"/>
  <c r="AS84" i="148"/>
  <c r="AP84" i="149" s="1"/>
  <c r="AB84" i="148"/>
  <c r="Y84" i="149" s="1"/>
  <c r="AN84" i="148"/>
  <c r="AK84" i="149" s="1"/>
  <c r="AO84" i="148"/>
  <c r="AL84" i="149" s="1"/>
  <c r="Z84" i="148"/>
  <c r="W84" i="149" s="1"/>
  <c r="AK84" i="148"/>
  <c r="AH84" i="149" s="1"/>
  <c r="AD84" i="148"/>
  <c r="AA84" i="149" s="1"/>
  <c r="AF149" i="148"/>
  <c r="AC149" i="149" s="1"/>
  <c r="AM149" i="148"/>
  <c r="AJ149" i="149" s="1"/>
  <c r="J149" i="148"/>
  <c r="AQ149" i="148"/>
  <c r="AN149" i="149" s="1"/>
  <c r="AS149" i="148"/>
  <c r="AP149" i="149" s="1"/>
  <c r="M149" i="148"/>
  <c r="AJ149" i="148"/>
  <c r="AG149" i="149" s="1"/>
  <c r="U149" i="148"/>
  <c r="AK149" i="148"/>
  <c r="AH149" i="149" s="1"/>
  <c r="AP149" i="148"/>
  <c r="AM149" i="149" s="1"/>
  <c r="W149" i="148"/>
  <c r="AS94" i="148"/>
  <c r="AP94" i="149" s="1"/>
  <c r="AT94" i="148"/>
  <c r="AQ94" i="149" s="1"/>
  <c r="AE94" i="148"/>
  <c r="AB94" i="149" s="1"/>
  <c r="M94" i="148"/>
  <c r="AH147" i="148"/>
  <c r="AE147" i="149" s="1"/>
  <c r="AA147" i="148"/>
  <c r="X147" i="149" s="1"/>
  <c r="N147" i="148"/>
  <c r="AJ147" i="148"/>
  <c r="AG147" i="149" s="1"/>
  <c r="AE147" i="148"/>
  <c r="AB147" i="149" s="1"/>
  <c r="P147" i="148"/>
  <c r="AK147" i="148"/>
  <c r="AH147" i="149" s="1"/>
  <c r="AR133" i="148"/>
  <c r="AO133" i="149" s="1"/>
  <c r="M133" i="148"/>
  <c r="AD133" i="148"/>
  <c r="AA133" i="149" s="1"/>
  <c r="AG133" i="148"/>
  <c r="AD133" i="149" s="1"/>
  <c r="AT133" i="148"/>
  <c r="AQ133" i="149" s="1"/>
  <c r="AC133" i="148"/>
  <c r="Z133" i="149" s="1"/>
  <c r="AK133" i="148"/>
  <c r="AH133" i="149" s="1"/>
  <c r="U133" i="148"/>
  <c r="L133" i="148"/>
  <c r="W133" i="148"/>
  <c r="Z133" i="148"/>
  <c r="W133" i="149" s="1"/>
  <c r="AR95" i="148"/>
  <c r="AO95" i="149" s="1"/>
  <c r="AI95" i="148"/>
  <c r="AF95" i="149" s="1"/>
  <c r="U95" i="148"/>
  <c r="AO95" i="148"/>
  <c r="AL95" i="149" s="1"/>
  <c r="AE95" i="148"/>
  <c r="AB95" i="149" s="1"/>
  <c r="K95" i="148"/>
  <c r="AM132" i="148"/>
  <c r="AJ132" i="149" s="1"/>
  <c r="AQ132" i="148"/>
  <c r="AN132" i="149" s="1"/>
  <c r="Y132" i="148"/>
  <c r="V132" i="149" s="1"/>
  <c r="U132" i="148"/>
  <c r="O132" i="148"/>
  <c r="AP132" i="148"/>
  <c r="AM132" i="149" s="1"/>
  <c r="AE132" i="148"/>
  <c r="AB132" i="149" s="1"/>
  <c r="M132" i="148"/>
  <c r="X150" i="148"/>
  <c r="U150" i="149" s="1"/>
  <c r="AD150" i="148"/>
  <c r="AA150" i="149" s="1"/>
  <c r="AH150" i="148"/>
  <c r="AE150" i="149" s="1"/>
  <c r="L150" i="148"/>
  <c r="AM150" i="148"/>
  <c r="AJ150" i="149" s="1"/>
  <c r="AR150" i="148"/>
  <c r="AO150" i="149" s="1"/>
  <c r="P150" i="148"/>
  <c r="AU150" i="148"/>
  <c r="AR150" i="149" s="1"/>
  <c r="AF150" i="148"/>
  <c r="AC150" i="149" s="1"/>
  <c r="J93" i="148"/>
  <c r="AK93" i="148"/>
  <c r="AH93" i="149" s="1"/>
  <c r="AC93" i="148"/>
  <c r="Z93" i="149" s="1"/>
  <c r="Z93" i="148"/>
  <c r="W93" i="149" s="1"/>
  <c r="X93" i="148"/>
  <c r="U93" i="149" s="1"/>
  <c r="AS93" i="148"/>
  <c r="AP93" i="149" s="1"/>
  <c r="AG93" i="148"/>
  <c r="AD93" i="149" s="1"/>
  <c r="AQ84" i="148"/>
  <c r="AN84" i="149" s="1"/>
  <c r="X84" i="148"/>
  <c r="U84" i="149" s="1"/>
  <c r="N84" i="148"/>
  <c r="AH84" i="148"/>
  <c r="AE84" i="149" s="1"/>
  <c r="AF84" i="148"/>
  <c r="AC84" i="149" s="1"/>
  <c r="AM84" i="148"/>
  <c r="AJ84" i="149" s="1"/>
  <c r="P149" i="148"/>
  <c r="AD149" i="148"/>
  <c r="AA149" i="149" s="1"/>
  <c r="AG149" i="148"/>
  <c r="AD149" i="149" s="1"/>
  <c r="N149" i="148"/>
  <c r="AI149" i="148"/>
  <c r="AF149" i="149" s="1"/>
  <c r="L149" i="148"/>
  <c r="AT149" i="148"/>
  <c r="AQ149" i="149" s="1"/>
  <c r="AB149" i="148"/>
  <c r="Y149" i="149" s="1"/>
  <c r="AC94" i="148"/>
  <c r="Z94" i="149" s="1"/>
  <c r="AD94" i="148"/>
  <c r="AA94" i="149" s="1"/>
  <c r="U94" i="148"/>
  <c r="AU94" i="148"/>
  <c r="AR94" i="149" s="1"/>
  <c r="AF94" i="148"/>
  <c r="AC94" i="149" s="1"/>
  <c r="AL94" i="148"/>
  <c r="AI94" i="149" s="1"/>
  <c r="AB94" i="148"/>
  <c r="Y94" i="149" s="1"/>
  <c r="P94" i="148"/>
  <c r="Z94" i="148"/>
  <c r="W94" i="149" s="1"/>
  <c r="K147" i="148"/>
  <c r="AQ147" i="148"/>
  <c r="AN147" i="149" s="1"/>
  <c r="X147" i="148"/>
  <c r="U147" i="149" s="1"/>
  <c r="AB147" i="148"/>
  <c r="Y147" i="149" s="1"/>
  <c r="J147" i="148"/>
  <c r="AD147" i="148"/>
  <c r="AA147" i="149" s="1"/>
  <c r="AU147" i="148"/>
  <c r="AR147" i="149" s="1"/>
  <c r="AG147" i="148"/>
  <c r="AD147" i="149" s="1"/>
  <c r="AN147" i="148"/>
  <c r="AK147" i="149" s="1"/>
  <c r="AC147" i="148"/>
  <c r="Z147" i="149" s="1"/>
  <c r="AI133" i="148"/>
  <c r="AF133" i="149" s="1"/>
  <c r="AH133" i="148"/>
  <c r="AE133" i="149" s="1"/>
  <c r="AQ133" i="148"/>
  <c r="AN133" i="149" s="1"/>
  <c r="AU133" i="148"/>
  <c r="AR133" i="149" s="1"/>
  <c r="AF133" i="148"/>
  <c r="AC133" i="149" s="1"/>
  <c r="AJ133" i="148"/>
  <c r="AG133" i="149" s="1"/>
  <c r="AP133" i="148"/>
  <c r="AM133" i="149" s="1"/>
  <c r="AN95" i="148"/>
  <c r="AK95" i="149" s="1"/>
  <c r="O95" i="148"/>
  <c r="AK95" i="148"/>
  <c r="AH95" i="149" s="1"/>
  <c r="AC95" i="148"/>
  <c r="Z95" i="149" s="1"/>
  <c r="AG95" i="148"/>
  <c r="AD95" i="149" s="1"/>
  <c r="AP95" i="148"/>
  <c r="AM95" i="149" s="1"/>
  <c r="AU95" i="148"/>
  <c r="AR95" i="149" s="1"/>
  <c r="AT95" i="148"/>
  <c r="AQ95" i="149" s="1"/>
  <c r="AB132" i="148"/>
  <c r="Y132" i="149" s="1"/>
  <c r="AT132" i="148"/>
  <c r="AQ132" i="149" s="1"/>
  <c r="P132" i="148"/>
  <c r="AH132" i="148"/>
  <c r="AE132" i="149" s="1"/>
  <c r="AU132" i="148"/>
  <c r="AR132" i="149" s="1"/>
  <c r="Z132" i="148"/>
  <c r="W132" i="149" s="1"/>
  <c r="AL150" i="148"/>
  <c r="AI150" i="149" s="1"/>
  <c r="O150" i="148"/>
  <c r="AG150" i="148"/>
  <c r="AD150" i="149" s="1"/>
  <c r="K150" i="148"/>
  <c r="W150" i="148"/>
  <c r="AQ150" i="148"/>
  <c r="AN150" i="149" s="1"/>
  <c r="Z150" i="148"/>
  <c r="W150" i="149" s="1"/>
  <c r="AJ93" i="148"/>
  <c r="AG93" i="149" s="1"/>
  <c r="AA93" i="148"/>
  <c r="X93" i="149" s="1"/>
  <c r="K93" i="148"/>
  <c r="AR93" i="148"/>
  <c r="AO93" i="149" s="1"/>
  <c r="AT93" i="148"/>
  <c r="AQ93" i="149" s="1"/>
  <c r="O93" i="148"/>
  <c r="Y93" i="148"/>
  <c r="V93" i="149" s="1"/>
  <c r="AQ93" i="148"/>
  <c r="AN93" i="149" s="1"/>
  <c r="AA84" i="148"/>
  <c r="X84" i="149" s="1"/>
  <c r="AR84" i="148"/>
  <c r="AO84" i="149" s="1"/>
  <c r="O84" i="148"/>
  <c r="AJ84" i="148"/>
  <c r="AG84" i="149" s="1"/>
  <c r="W84" i="148"/>
  <c r="AL84" i="148"/>
  <c r="AI84" i="149" s="1"/>
  <c r="AP84" i="148"/>
  <c r="AM84" i="149" s="1"/>
  <c r="M84" i="148"/>
  <c r="Z148" i="148"/>
  <c r="W148" i="149" s="1"/>
  <c r="AR148" i="148"/>
  <c r="AO148" i="149" s="1"/>
  <c r="AQ148" i="148"/>
  <c r="AN148" i="149" s="1"/>
  <c r="AB148" i="148"/>
  <c r="Y148" i="149" s="1"/>
  <c r="AE148" i="148"/>
  <c r="AB148" i="149" s="1"/>
  <c r="L148" i="148"/>
  <c r="N148" i="148"/>
  <c r="AJ148" i="148"/>
  <c r="AG148" i="149" s="1"/>
  <c r="O148" i="148"/>
  <c r="AG148" i="148"/>
  <c r="AD148" i="149" s="1"/>
  <c r="U148" i="148"/>
  <c r="AQ58" i="148"/>
  <c r="AN58" i="149" s="1"/>
  <c r="AO58" i="148"/>
  <c r="AL58" i="149" s="1"/>
  <c r="AM58" i="148"/>
  <c r="AJ58" i="149" s="1"/>
  <c r="X58" i="148"/>
  <c r="U58" i="149" s="1"/>
  <c r="AF58" i="148"/>
  <c r="AC58" i="149" s="1"/>
  <c r="J58" i="148"/>
  <c r="P58" i="148"/>
  <c r="AJ58" i="148"/>
  <c r="AG58" i="149" s="1"/>
  <c r="K58" i="148"/>
  <c r="M58" i="148"/>
  <c r="W58" i="148"/>
  <c r="M148" i="148"/>
  <c r="AA148" i="148"/>
  <c r="X148" i="149" s="1"/>
  <c r="AL148" i="148"/>
  <c r="AI148" i="149" s="1"/>
  <c r="AP148" i="148"/>
  <c r="AM148" i="149" s="1"/>
  <c r="AH148" i="148"/>
  <c r="AE148" i="149" s="1"/>
  <c r="Y58" i="148"/>
  <c r="V58" i="149" s="1"/>
  <c r="O58" i="148"/>
  <c r="AS58" i="148"/>
  <c r="AP58" i="149" s="1"/>
  <c r="AI58" i="148"/>
  <c r="AF58" i="149" s="1"/>
  <c r="AB58" i="148"/>
  <c r="Y58" i="149" s="1"/>
  <c r="L58" i="148"/>
  <c r="AN58" i="148"/>
  <c r="AK58" i="149" s="1"/>
  <c r="AK148" i="148"/>
  <c r="AH148" i="149" s="1"/>
  <c r="AF148" i="148"/>
  <c r="AC148" i="149" s="1"/>
  <c r="AC148" i="148"/>
  <c r="Z148" i="149" s="1"/>
  <c r="K148" i="148"/>
  <c r="AO148" i="148"/>
  <c r="AL148" i="149" s="1"/>
  <c r="AI148" i="148"/>
  <c r="AF148" i="149" s="1"/>
  <c r="P148" i="148"/>
  <c r="AN148" i="148"/>
  <c r="AK148" i="149" s="1"/>
  <c r="AM148" i="148"/>
  <c r="AJ148" i="149" s="1"/>
  <c r="N58" i="148"/>
  <c r="AC58" i="148"/>
  <c r="Z58" i="149" s="1"/>
  <c r="AU58" i="148"/>
  <c r="AR58" i="149" s="1"/>
  <c r="Z58" i="148"/>
  <c r="W58" i="149" s="1"/>
  <c r="AE58" i="148"/>
  <c r="AB58" i="149" s="1"/>
  <c r="AP58" i="148"/>
  <c r="AM58" i="149" s="1"/>
  <c r="AA58" i="148"/>
  <c r="X58" i="149" s="1"/>
  <c r="Y148" i="148"/>
  <c r="V148" i="149" s="1"/>
  <c r="X148" i="148"/>
  <c r="U148" i="149" s="1"/>
  <c r="AD148" i="148"/>
  <c r="AA148" i="149" s="1"/>
  <c r="AU148" i="148"/>
  <c r="AR148" i="149" s="1"/>
  <c r="J148" i="148"/>
  <c r="AS148" i="148"/>
  <c r="AP148" i="149" s="1"/>
  <c r="AT148" i="148"/>
  <c r="AQ148" i="149" s="1"/>
  <c r="W148" i="148"/>
  <c r="U58" i="148"/>
  <c r="AG58" i="148"/>
  <c r="AD58" i="149" s="1"/>
  <c r="AL58" i="148"/>
  <c r="AI58" i="149" s="1"/>
  <c r="AT58" i="148"/>
  <c r="AQ58" i="149" s="1"/>
  <c r="AR58" i="148"/>
  <c r="AO58" i="149" s="1"/>
  <c r="AH58" i="148"/>
  <c r="AE58" i="149" s="1"/>
  <c r="AD58" i="148"/>
  <c r="AA58" i="149" s="1"/>
  <c r="AK58" i="148"/>
  <c r="AH58" i="149" s="1"/>
  <c r="AA75" i="148"/>
  <c r="X75" i="149" s="1"/>
  <c r="AI75" i="148"/>
  <c r="AF75" i="149" s="1"/>
  <c r="AB75" i="148"/>
  <c r="Y75" i="149" s="1"/>
  <c r="AH75" i="148"/>
  <c r="AE75" i="149" s="1"/>
  <c r="AO19" i="148"/>
  <c r="AL19" i="149" s="1"/>
  <c r="W19" i="148"/>
  <c r="AG19" i="148"/>
  <c r="AD19" i="149" s="1"/>
  <c r="AH19" i="148"/>
  <c r="AE19" i="149" s="1"/>
  <c r="AQ19" i="148"/>
  <c r="AN19" i="149" s="1"/>
  <c r="Z19" i="148"/>
  <c r="W19" i="149" s="1"/>
  <c r="AP19" i="148"/>
  <c r="AM19" i="149" s="1"/>
  <c r="AK19" i="148"/>
  <c r="AH19" i="149" s="1"/>
  <c r="AM67" i="148"/>
  <c r="AJ67" i="149" s="1"/>
  <c r="AT67" i="148"/>
  <c r="AQ67" i="149" s="1"/>
  <c r="AE67" i="148"/>
  <c r="AB67" i="149" s="1"/>
  <c r="AF67" i="148"/>
  <c r="AC67" i="149" s="1"/>
  <c r="M67" i="148"/>
  <c r="AN67" i="148"/>
  <c r="AK67" i="149" s="1"/>
  <c r="AQ67" i="148"/>
  <c r="AN67" i="149" s="1"/>
  <c r="AI67" i="148"/>
  <c r="AF67" i="149" s="1"/>
  <c r="AH67" i="148"/>
  <c r="AE67" i="149" s="1"/>
  <c r="AS67" i="148"/>
  <c r="AP67" i="149" s="1"/>
  <c r="K32" i="148"/>
  <c r="AA32" i="148"/>
  <c r="X32" i="149" s="1"/>
  <c r="AS32" i="148"/>
  <c r="AP32" i="149" s="1"/>
  <c r="AL32" i="148"/>
  <c r="AI32" i="149" s="1"/>
  <c r="N32" i="148"/>
  <c r="AE32" i="148"/>
  <c r="AB32" i="149" s="1"/>
  <c r="U32" i="148"/>
  <c r="AO32" i="148"/>
  <c r="AL32" i="149" s="1"/>
  <c r="AB32" i="148"/>
  <c r="Y32" i="149" s="1"/>
  <c r="O32" i="148"/>
  <c r="AG32" i="148"/>
  <c r="AD32" i="149" s="1"/>
  <c r="M32" i="148"/>
  <c r="AR49" i="148"/>
  <c r="AO49" i="149" s="1"/>
  <c r="AA49" i="148"/>
  <c r="X49" i="149" s="1"/>
  <c r="K49" i="148"/>
  <c r="Y49" i="148"/>
  <c r="V49" i="149" s="1"/>
  <c r="AB49" i="148"/>
  <c r="Y49" i="149" s="1"/>
  <c r="N49" i="148"/>
  <c r="W49" i="148"/>
  <c r="K75" i="148"/>
  <c r="W75" i="148"/>
  <c r="AF75" i="148"/>
  <c r="AC75" i="149" s="1"/>
  <c r="P75" i="148"/>
  <c r="U75" i="148"/>
  <c r="AG75" i="148"/>
  <c r="AD75" i="149" s="1"/>
  <c r="AD75" i="148"/>
  <c r="AA75" i="149" s="1"/>
  <c r="AT75" i="148"/>
  <c r="AQ75" i="149" s="1"/>
  <c r="AR75" i="148"/>
  <c r="AO75" i="149" s="1"/>
  <c r="U19" i="148"/>
  <c r="AS19" i="148"/>
  <c r="AP19" i="149" s="1"/>
  <c r="Y19" i="148"/>
  <c r="V19" i="149" s="1"/>
  <c r="AJ19" i="148"/>
  <c r="AG19" i="149" s="1"/>
  <c r="AC19" i="148"/>
  <c r="Z19" i="149" s="1"/>
  <c r="AL19" i="148"/>
  <c r="AI19" i="149" s="1"/>
  <c r="AF19" i="148"/>
  <c r="AC19" i="149" s="1"/>
  <c r="AE19" i="148"/>
  <c r="AB19" i="149" s="1"/>
  <c r="AR19" i="148"/>
  <c r="AO19" i="149" s="1"/>
  <c r="AA19" i="148"/>
  <c r="X19" i="149" s="1"/>
  <c r="AR67" i="148"/>
  <c r="AO67" i="149" s="1"/>
  <c r="U67" i="148"/>
  <c r="N67" i="148"/>
  <c r="P67" i="148"/>
  <c r="Y67" i="148"/>
  <c r="V67" i="149" s="1"/>
  <c r="L67" i="148"/>
  <c r="AF32" i="148"/>
  <c r="AC32" i="149" s="1"/>
  <c r="AI32" i="148"/>
  <c r="AF32" i="149" s="1"/>
  <c r="Z32" i="148"/>
  <c r="W32" i="149" s="1"/>
  <c r="W32" i="148"/>
  <c r="AR32" i="148"/>
  <c r="AO32" i="149" s="1"/>
  <c r="AT49" i="148"/>
  <c r="AQ49" i="149" s="1"/>
  <c r="AU49" i="148"/>
  <c r="AR49" i="149" s="1"/>
  <c r="U49" i="148"/>
  <c r="AL49" i="148"/>
  <c r="AI49" i="149" s="1"/>
  <c r="AD49" i="148"/>
  <c r="AA49" i="149" s="1"/>
  <c r="AH49" i="148"/>
  <c r="AE49" i="149" s="1"/>
  <c r="P49" i="148"/>
  <c r="L49" i="148"/>
  <c r="X75" i="148"/>
  <c r="U75" i="149" s="1"/>
  <c r="J75" i="148"/>
  <c r="AJ75" i="148"/>
  <c r="AG75" i="149" s="1"/>
  <c r="AS75" i="148"/>
  <c r="AP75" i="149" s="1"/>
  <c r="AM75" i="148"/>
  <c r="AJ75" i="149" s="1"/>
  <c r="O75" i="148"/>
  <c r="AQ75" i="148"/>
  <c r="AN75" i="149" s="1"/>
  <c r="AN75" i="148"/>
  <c r="AK75" i="149" s="1"/>
  <c r="AP75" i="148"/>
  <c r="AM75" i="149" s="1"/>
  <c r="AO75" i="148"/>
  <c r="AL75" i="149" s="1"/>
  <c r="AT19" i="148"/>
  <c r="AQ19" i="149" s="1"/>
  <c r="O19" i="148"/>
  <c r="AU19" i="148"/>
  <c r="AR19" i="149" s="1"/>
  <c r="P19" i="148"/>
  <c r="L19" i="148"/>
  <c r="AI19" i="148"/>
  <c r="AF19" i="149" s="1"/>
  <c r="J19" i="148"/>
  <c r="AM19" i="148"/>
  <c r="AJ19" i="149" s="1"/>
  <c r="X19" i="148"/>
  <c r="U19" i="149" s="1"/>
  <c r="K19" i="148"/>
  <c r="X67" i="148"/>
  <c r="U67" i="149" s="1"/>
  <c r="AO67" i="148"/>
  <c r="AL67" i="149" s="1"/>
  <c r="W67" i="148"/>
  <c r="O67" i="148"/>
  <c r="J67" i="148"/>
  <c r="AA67" i="148"/>
  <c r="X67" i="149" s="1"/>
  <c r="AB67" i="148"/>
  <c r="Y67" i="149" s="1"/>
  <c r="AL67" i="148"/>
  <c r="AI67" i="149" s="1"/>
  <c r="Z67" i="148"/>
  <c r="W67" i="149" s="1"/>
  <c r="AC32" i="148"/>
  <c r="Z32" i="149" s="1"/>
  <c r="AD32" i="148"/>
  <c r="AA32" i="149" s="1"/>
  <c r="L32" i="148"/>
  <c r="J32" i="148"/>
  <c r="AP32" i="148"/>
  <c r="AM32" i="149" s="1"/>
  <c r="AM32" i="148"/>
  <c r="AJ32" i="149" s="1"/>
  <c r="AU32" i="148"/>
  <c r="AR32" i="149" s="1"/>
  <c r="AQ32" i="148"/>
  <c r="AN32" i="149" s="1"/>
  <c r="Y32" i="148"/>
  <c r="V32" i="149" s="1"/>
  <c r="O49" i="148"/>
  <c r="AJ49" i="148"/>
  <c r="AG49" i="149" s="1"/>
  <c r="AC49" i="148"/>
  <c r="Z49" i="149" s="1"/>
  <c r="AN49" i="148"/>
  <c r="AK49" i="149" s="1"/>
  <c r="Z49" i="148"/>
  <c r="W49" i="149" s="1"/>
  <c r="AS49" i="148"/>
  <c r="AP49" i="149" s="1"/>
  <c r="M49" i="148"/>
  <c r="J49" i="148"/>
  <c r="AK49" i="148"/>
  <c r="AH49" i="149" s="1"/>
  <c r="AQ49" i="148"/>
  <c r="AN49" i="149" s="1"/>
  <c r="M75" i="148"/>
  <c r="Y75" i="148"/>
  <c r="V75" i="149" s="1"/>
  <c r="N75" i="148"/>
  <c r="AK75" i="148"/>
  <c r="AH75" i="149" s="1"/>
  <c r="Z75" i="148"/>
  <c r="W75" i="149" s="1"/>
  <c r="AE75" i="148"/>
  <c r="AB75" i="149" s="1"/>
  <c r="AU75" i="148"/>
  <c r="AR75" i="149" s="1"/>
  <c r="AL75" i="148"/>
  <c r="AI75" i="149" s="1"/>
  <c r="AC75" i="148"/>
  <c r="Z75" i="149" s="1"/>
  <c r="L75" i="148"/>
  <c r="AD19" i="148"/>
  <c r="AA19" i="149" s="1"/>
  <c r="AN19" i="148"/>
  <c r="AK19" i="149" s="1"/>
  <c r="M19" i="148"/>
  <c r="N19" i="148"/>
  <c r="AB19" i="148"/>
  <c r="Y19" i="149" s="1"/>
  <c r="AG67" i="148"/>
  <c r="AD67" i="149" s="1"/>
  <c r="AC67" i="148"/>
  <c r="Z67" i="149" s="1"/>
  <c r="AU67" i="148"/>
  <c r="AR67" i="149" s="1"/>
  <c r="AK67" i="148"/>
  <c r="AH67" i="149" s="1"/>
  <c r="AP67" i="148"/>
  <c r="AM67" i="149" s="1"/>
  <c r="AD67" i="148"/>
  <c r="AA67" i="149" s="1"/>
  <c r="K67" i="148"/>
  <c r="AJ67" i="148"/>
  <c r="AG67" i="149" s="1"/>
  <c r="AK32" i="148"/>
  <c r="AH32" i="149" s="1"/>
  <c r="AJ32" i="148"/>
  <c r="AG32" i="149" s="1"/>
  <c r="AH32" i="148"/>
  <c r="AE32" i="149" s="1"/>
  <c r="P32" i="148"/>
  <c r="X32" i="148"/>
  <c r="U32" i="149" s="1"/>
  <c r="AT32" i="148"/>
  <c r="AQ32" i="149" s="1"/>
  <c r="AN32" i="148"/>
  <c r="AK32" i="149" s="1"/>
  <c r="AI49" i="148"/>
  <c r="AF49" i="149" s="1"/>
  <c r="X49" i="148"/>
  <c r="U49" i="149" s="1"/>
  <c r="AE49" i="148"/>
  <c r="AB49" i="149" s="1"/>
  <c r="AF49" i="148"/>
  <c r="AC49" i="149" s="1"/>
  <c r="AO49" i="148"/>
  <c r="AL49" i="149" s="1"/>
  <c r="AG49" i="148"/>
  <c r="AD49" i="149" s="1"/>
  <c r="AM49" i="148"/>
  <c r="AJ49" i="149" s="1"/>
  <c r="AP49" i="148"/>
  <c r="AM49" i="149" s="1"/>
  <c r="U5" i="153"/>
  <c r="Q5" i="153"/>
  <c r="AA5" i="153"/>
  <c r="AH5" i="153"/>
  <c r="I5" i="153"/>
  <c r="Z5" i="153"/>
  <c r="AF5" i="153"/>
  <c r="AP5" i="153"/>
  <c r="AL5" i="153"/>
  <c r="AB5" i="153"/>
  <c r="AM5" i="153"/>
  <c r="AE5" i="153"/>
  <c r="AN5" i="153"/>
  <c r="L5" i="153"/>
  <c r="V5" i="153"/>
  <c r="K5" i="153"/>
  <c r="W5" i="153"/>
  <c r="AO5" i="153"/>
  <c r="N5" i="153"/>
  <c r="M5" i="153"/>
  <c r="AQ5" i="153"/>
  <c r="Y5" i="153"/>
  <c r="AI5" i="153"/>
  <c r="J5" i="153"/>
  <c r="AK5" i="153"/>
  <c r="T5" i="153"/>
  <c r="O5" i="153"/>
  <c r="X5" i="153"/>
  <c r="AJ5" i="153"/>
  <c r="AD5" i="153"/>
  <c r="S5" i="153"/>
  <c r="W35" i="151"/>
  <c r="AA35" i="151"/>
  <c r="N35" i="151"/>
  <c r="O35" i="151"/>
  <c r="AG35" i="151"/>
  <c r="AM35" i="151"/>
  <c r="M35" i="151"/>
  <c r="K35" i="151"/>
  <c r="AQ35" i="151"/>
  <c r="T35" i="151"/>
  <c r="AO35" i="151"/>
  <c r="AL35" i="151"/>
  <c r="L35" i="151"/>
  <c r="U35" i="151"/>
  <c r="J35" i="151"/>
  <c r="AI35" i="151"/>
  <c r="AB35" i="151"/>
  <c r="Q35" i="151"/>
  <c r="AD35" i="151"/>
  <c r="Z35" i="151"/>
  <c r="AE35" i="151"/>
  <c r="X35" i="151"/>
  <c r="AC35" i="151"/>
  <c r="AH35" i="151"/>
  <c r="AJ35" i="151"/>
  <c r="AF35" i="151"/>
  <c r="AK35" i="151"/>
  <c r="S35" i="151"/>
  <c r="AN35" i="151"/>
  <c r="Y35" i="151"/>
  <c r="I35" i="151"/>
  <c r="AP35" i="151"/>
  <c r="V35" i="151"/>
  <c r="M5" i="151"/>
  <c r="S5" i="151"/>
  <c r="X5" i="151"/>
  <c r="AH5" i="151"/>
  <c r="L5" i="151"/>
  <c r="V5" i="151"/>
  <c r="I5" i="151"/>
  <c r="Z5" i="151"/>
  <c r="W5" i="151"/>
  <c r="AC5" i="151"/>
  <c r="AM5" i="151"/>
  <c r="AN5" i="151"/>
  <c r="AI5" i="151"/>
  <c r="AB5" i="151"/>
  <c r="AL5" i="151"/>
  <c r="Y5" i="151"/>
  <c r="T5" i="151"/>
  <c r="N5" i="151"/>
  <c r="K5" i="151"/>
  <c r="Q5" i="151"/>
  <c r="AA5" i="151"/>
  <c r="U5" i="151"/>
  <c r="AQ5" i="151"/>
  <c r="AJ5" i="151"/>
  <c r="AD5" i="151"/>
  <c r="O5" i="151"/>
  <c r="AG5" i="151"/>
  <c r="AE5" i="151"/>
  <c r="AK5" i="151"/>
  <c r="AF5" i="151"/>
  <c r="J5" i="151"/>
  <c r="AO5" i="151"/>
  <c r="AP5" i="151"/>
  <c r="AE156" i="148"/>
  <c r="AB156" i="149" s="1"/>
  <c r="O156" i="148"/>
  <c r="N156" i="148"/>
  <c r="AL156" i="148"/>
  <c r="AI156" i="149" s="1"/>
  <c r="AN156" i="148"/>
  <c r="AK156" i="149" s="1"/>
  <c r="W156" i="148"/>
  <c r="AE157" i="148"/>
  <c r="AB157" i="149" s="1"/>
  <c r="AN157" i="148"/>
  <c r="AK157" i="149" s="1"/>
  <c r="Z157" i="148"/>
  <c r="W157" i="149" s="1"/>
  <c r="AC157" i="148"/>
  <c r="Z157" i="149" s="1"/>
  <c r="AB157" i="148"/>
  <c r="Y157" i="149" s="1"/>
  <c r="O157" i="148"/>
  <c r="AK157" i="148"/>
  <c r="AH157" i="149" s="1"/>
  <c r="J157" i="148"/>
  <c r="AI156" i="148"/>
  <c r="AF156" i="149" s="1"/>
  <c r="Z156" i="148"/>
  <c r="W156" i="149" s="1"/>
  <c r="AR156" i="148"/>
  <c r="AO156" i="149" s="1"/>
  <c r="AC156" i="148"/>
  <c r="Z156" i="149" s="1"/>
  <c r="AA156" i="148"/>
  <c r="X156" i="149" s="1"/>
  <c r="X156" i="148"/>
  <c r="U156" i="149" s="1"/>
  <c r="X157" i="148"/>
  <c r="U157" i="149" s="1"/>
  <c r="AG157" i="148"/>
  <c r="AD157" i="149" s="1"/>
  <c r="K157" i="148"/>
  <c r="Y157" i="148"/>
  <c r="V157" i="149" s="1"/>
  <c r="W157" i="148"/>
  <c r="AL157" i="148"/>
  <c r="AI157" i="149" s="1"/>
  <c r="AA157" i="148"/>
  <c r="X157" i="149" s="1"/>
  <c r="L157" i="148"/>
  <c r="AT157" i="148"/>
  <c r="AQ157" i="149" s="1"/>
  <c r="AM156" i="148"/>
  <c r="AJ156" i="149" s="1"/>
  <c r="AG156" i="148"/>
  <c r="AD156" i="149" s="1"/>
  <c r="AS156" i="148"/>
  <c r="AP156" i="149" s="1"/>
  <c r="AD156" i="148"/>
  <c r="AA156" i="149" s="1"/>
  <c r="Y156" i="148"/>
  <c r="V156" i="149" s="1"/>
  <c r="AP156" i="148"/>
  <c r="AM156" i="149" s="1"/>
  <c r="L156" i="148"/>
  <c r="AK156" i="148"/>
  <c r="AH156" i="149" s="1"/>
  <c r="AB156" i="148"/>
  <c r="Y156" i="149" s="1"/>
  <c r="N157" i="148"/>
  <c r="AP157" i="148"/>
  <c r="AM157" i="149" s="1"/>
  <c r="AF157" i="148"/>
  <c r="AC157" i="149" s="1"/>
  <c r="AR157" i="148"/>
  <c r="AO157" i="149" s="1"/>
  <c r="P157" i="148"/>
  <c r="AH157" i="148"/>
  <c r="AE157" i="149" s="1"/>
  <c r="U157" i="148"/>
  <c r="AO157" i="148"/>
  <c r="AL157" i="149" s="1"/>
  <c r="AS157" i="148"/>
  <c r="AP157" i="149" s="1"/>
  <c r="U156" i="148"/>
  <c r="AQ156" i="148"/>
  <c r="AN156" i="149" s="1"/>
  <c r="AU156" i="148"/>
  <c r="AR156" i="149" s="1"/>
  <c r="AO156" i="148"/>
  <c r="AL156" i="149" s="1"/>
  <c r="K156" i="148"/>
  <c r="AH156" i="148"/>
  <c r="AE156" i="149" s="1"/>
  <c r="AJ156" i="148"/>
  <c r="AG156" i="149" s="1"/>
  <c r="AT156" i="148"/>
  <c r="AQ156" i="149" s="1"/>
  <c r="M156" i="148"/>
  <c r="P156" i="148"/>
  <c r="J156" i="148"/>
  <c r="AF156" i="148"/>
  <c r="AC156" i="149" s="1"/>
  <c r="AD157" i="148"/>
  <c r="AA157" i="149" s="1"/>
  <c r="M157" i="148"/>
  <c r="AU157" i="148"/>
  <c r="AR157" i="149" s="1"/>
  <c r="AQ157" i="148"/>
  <c r="AN157" i="149" s="1"/>
  <c r="AJ157" i="148"/>
  <c r="AG157" i="149" s="1"/>
  <c r="AI157" i="148"/>
  <c r="AF157" i="149" s="1"/>
  <c r="AM157" i="148"/>
  <c r="AJ157" i="149" s="1"/>
  <c r="AP81" i="148"/>
  <c r="AM81" i="149" s="1"/>
  <c r="AB81" i="148"/>
  <c r="Y81" i="149" s="1"/>
  <c r="AJ81" i="148"/>
  <c r="AG81" i="149" s="1"/>
  <c r="AI81" i="148"/>
  <c r="AF81" i="149" s="1"/>
  <c r="W81" i="148"/>
  <c r="U81" i="148"/>
  <c r="O81" i="148"/>
  <c r="AK81" i="148"/>
  <c r="AH81" i="149" s="1"/>
  <c r="AO81" i="148"/>
  <c r="AL81" i="149" s="1"/>
  <c r="K81" i="148"/>
  <c r="AF81" i="148"/>
  <c r="AC81" i="149" s="1"/>
  <c r="AN81" i="148"/>
  <c r="AK81" i="149" s="1"/>
  <c r="AM81" i="148"/>
  <c r="AJ81" i="149" s="1"/>
  <c r="AA81" i="148"/>
  <c r="X81" i="149" s="1"/>
  <c r="AT81" i="148"/>
  <c r="AQ81" i="149" s="1"/>
  <c r="Y81" i="148"/>
  <c r="V81" i="149" s="1"/>
  <c r="AS81" i="148"/>
  <c r="AP81" i="149" s="1"/>
  <c r="M81" i="148"/>
  <c r="AR81" i="148"/>
  <c r="AO81" i="149" s="1"/>
  <c r="AQ81" i="148"/>
  <c r="AN81" i="149" s="1"/>
  <c r="L81" i="148"/>
  <c r="AH81" i="148"/>
  <c r="AE81" i="149" s="1"/>
  <c r="J81" i="148"/>
  <c r="AC81" i="148"/>
  <c r="Z81" i="149" s="1"/>
  <c r="AL81" i="148"/>
  <c r="AI81" i="149" s="1"/>
  <c r="X81" i="148"/>
  <c r="U81" i="149" s="1"/>
  <c r="Z81" i="148"/>
  <c r="W81" i="149" s="1"/>
  <c r="AE81" i="148"/>
  <c r="AB81" i="149" s="1"/>
  <c r="P81" i="148"/>
  <c r="AU81" i="148"/>
  <c r="AR81" i="149" s="1"/>
  <c r="N81" i="148"/>
  <c r="AG81" i="148"/>
  <c r="AD81" i="149" s="1"/>
  <c r="AD81" i="148"/>
  <c r="AA81" i="149" s="1"/>
  <c r="AT85" i="148"/>
  <c r="AQ85" i="149" s="1"/>
  <c r="AL85" i="148"/>
  <c r="AI85" i="149" s="1"/>
  <c r="AQ85" i="148"/>
  <c r="AN85" i="149" s="1"/>
  <c r="W85" i="148"/>
  <c r="O85" i="148"/>
  <c r="AO85" i="148"/>
  <c r="AL85" i="149" s="1"/>
  <c r="AF85" i="148"/>
  <c r="AC85" i="149" s="1"/>
  <c r="AG82" i="148"/>
  <c r="AD82" i="149" s="1"/>
  <c r="AM82" i="148"/>
  <c r="AJ82" i="149" s="1"/>
  <c r="P82" i="148"/>
  <c r="L82" i="148"/>
  <c r="AI82" i="148"/>
  <c r="AF82" i="149" s="1"/>
  <c r="AL82" i="148"/>
  <c r="AI82" i="149" s="1"/>
  <c r="N82" i="148"/>
  <c r="J82" i="148"/>
  <c r="AP85" i="148"/>
  <c r="AM85" i="149" s="1"/>
  <c r="Z85" i="148"/>
  <c r="W85" i="149" s="1"/>
  <c r="AU85" i="148"/>
  <c r="AR85" i="149" s="1"/>
  <c r="AH85" i="148"/>
  <c r="AE85" i="149" s="1"/>
  <c r="AR85" i="148"/>
  <c r="AO85" i="149" s="1"/>
  <c r="AK85" i="148"/>
  <c r="AH85" i="149" s="1"/>
  <c r="AB85" i="148"/>
  <c r="Y85" i="149" s="1"/>
  <c r="AM85" i="148"/>
  <c r="AJ85" i="149" s="1"/>
  <c r="AC85" i="148"/>
  <c r="Z85" i="149" s="1"/>
  <c r="AE82" i="148"/>
  <c r="AB82" i="149" s="1"/>
  <c r="Y82" i="148"/>
  <c r="V82" i="149" s="1"/>
  <c r="AA82" i="148"/>
  <c r="X82" i="149" s="1"/>
  <c r="AQ82" i="148"/>
  <c r="AN82" i="149" s="1"/>
  <c r="AN82" i="148"/>
  <c r="AK82" i="149" s="1"/>
  <c r="AP82" i="148"/>
  <c r="AM82" i="149" s="1"/>
  <c r="U82" i="148"/>
  <c r="AD82" i="148"/>
  <c r="AA82" i="149" s="1"/>
  <c r="AR82" i="148"/>
  <c r="AO82" i="149" s="1"/>
  <c r="K82" i="148"/>
  <c r="AI85" i="148"/>
  <c r="AF85" i="149" s="1"/>
  <c r="M85" i="148"/>
  <c r="N85" i="148"/>
  <c r="Y85" i="148"/>
  <c r="V85" i="149" s="1"/>
  <c r="AD85" i="148"/>
  <c r="AA85" i="149" s="1"/>
  <c r="K85" i="148"/>
  <c r="AA85" i="148"/>
  <c r="X85" i="149" s="1"/>
  <c r="AF82" i="148"/>
  <c r="AC82" i="149" s="1"/>
  <c r="AT82" i="148"/>
  <c r="AQ82" i="149" s="1"/>
  <c r="AO82" i="148"/>
  <c r="AL82" i="149" s="1"/>
  <c r="AK82" i="148"/>
  <c r="AH82" i="149" s="1"/>
  <c r="X82" i="148"/>
  <c r="U82" i="149" s="1"/>
  <c r="W82" i="148"/>
  <c r="AB82" i="148"/>
  <c r="Y82" i="149" s="1"/>
  <c r="AS82" i="148"/>
  <c r="AP82" i="149" s="1"/>
  <c r="O82" i="148"/>
  <c r="X85" i="148"/>
  <c r="U85" i="149" s="1"/>
  <c r="AN85" i="148"/>
  <c r="AK85" i="149" s="1"/>
  <c r="P85" i="148"/>
  <c r="AE85" i="148"/>
  <c r="AB85" i="149" s="1"/>
  <c r="L85" i="148"/>
  <c r="AJ85" i="148"/>
  <c r="AG85" i="149" s="1"/>
  <c r="J85" i="148"/>
  <c r="AS85" i="148"/>
  <c r="AP85" i="149" s="1"/>
  <c r="U85" i="148"/>
  <c r="AG85" i="148"/>
  <c r="AD85" i="149" s="1"/>
  <c r="AH82" i="148"/>
  <c r="AE82" i="149" s="1"/>
  <c r="AC82" i="148"/>
  <c r="Z82" i="149" s="1"/>
  <c r="AU82" i="148"/>
  <c r="AR82" i="149" s="1"/>
  <c r="Z82" i="148"/>
  <c r="W82" i="149" s="1"/>
  <c r="AJ82" i="148"/>
  <c r="AG82" i="149" s="1"/>
  <c r="M82" i="148"/>
  <c r="Z80" i="148"/>
  <c r="W80" i="149" s="1"/>
  <c r="AH80" i="148"/>
  <c r="AE80" i="149" s="1"/>
  <c r="AG80" i="148"/>
  <c r="AD80" i="149" s="1"/>
  <c r="AC80" i="148"/>
  <c r="Z80" i="149" s="1"/>
  <c r="AR80" i="148"/>
  <c r="AO80" i="149" s="1"/>
  <c r="AQ80" i="148"/>
  <c r="AN80" i="149" s="1"/>
  <c r="AM80" i="148"/>
  <c r="AJ80" i="149" s="1"/>
  <c r="Z78" i="148"/>
  <c r="W78" i="149" s="1"/>
  <c r="AU78" i="148"/>
  <c r="AR78" i="149" s="1"/>
  <c r="P78" i="148"/>
  <c r="X78" i="148"/>
  <c r="U78" i="149" s="1"/>
  <c r="AK80" i="148"/>
  <c r="AH80" i="149" s="1"/>
  <c r="K80" i="148"/>
  <c r="N80" i="148"/>
  <c r="AD80" i="148"/>
  <c r="AA80" i="149" s="1"/>
  <c r="J80" i="148"/>
  <c r="O80" i="148"/>
  <c r="L80" i="148"/>
  <c r="P80" i="148"/>
  <c r="AT80" i="148"/>
  <c r="AQ80" i="149" s="1"/>
  <c r="AA80" i="148"/>
  <c r="X80" i="149" s="1"/>
  <c r="AA78" i="148"/>
  <c r="X78" i="149" s="1"/>
  <c r="AK78" i="148"/>
  <c r="AH78" i="149" s="1"/>
  <c r="AR78" i="148"/>
  <c r="AO78" i="149" s="1"/>
  <c r="O78" i="148"/>
  <c r="N78" i="148"/>
  <c r="W78" i="148"/>
  <c r="AC78" i="148"/>
  <c r="Z78" i="149" s="1"/>
  <c r="AL78" i="148"/>
  <c r="AI78" i="149" s="1"/>
  <c r="AQ78" i="148"/>
  <c r="AN78" i="149" s="1"/>
  <c r="AG78" i="148"/>
  <c r="AD78" i="149" s="1"/>
  <c r="AN78" i="148"/>
  <c r="AK78" i="149" s="1"/>
  <c r="M80" i="148"/>
  <c r="AE80" i="148"/>
  <c r="AB80" i="149" s="1"/>
  <c r="AS80" i="148"/>
  <c r="AP80" i="149" s="1"/>
  <c r="AJ80" i="148"/>
  <c r="AG80" i="149" s="1"/>
  <c r="AF80" i="148"/>
  <c r="AC80" i="149" s="1"/>
  <c r="Y80" i="148"/>
  <c r="V80" i="149" s="1"/>
  <c r="AU80" i="148"/>
  <c r="AR80" i="149" s="1"/>
  <c r="AM78" i="148"/>
  <c r="AJ78" i="149" s="1"/>
  <c r="AS78" i="148"/>
  <c r="AP78" i="149" s="1"/>
  <c r="M78" i="148"/>
  <c r="AI78" i="148"/>
  <c r="AF78" i="149" s="1"/>
  <c r="AD78" i="148"/>
  <c r="AA78" i="149" s="1"/>
  <c r="AP78" i="148"/>
  <c r="AM78" i="149" s="1"/>
  <c r="L78" i="148"/>
  <c r="AL80" i="148"/>
  <c r="AI80" i="149" s="1"/>
  <c r="AI80" i="148"/>
  <c r="AF80" i="149" s="1"/>
  <c r="AB80" i="148"/>
  <c r="Y80" i="149" s="1"/>
  <c r="AO80" i="148"/>
  <c r="AL80" i="149" s="1"/>
  <c r="U80" i="148"/>
  <c r="W80" i="148"/>
  <c r="AN80" i="148"/>
  <c r="AK80" i="149" s="1"/>
  <c r="AP80" i="148"/>
  <c r="AM80" i="149" s="1"/>
  <c r="X80" i="148"/>
  <c r="U80" i="149" s="1"/>
  <c r="Y78" i="148"/>
  <c r="V78" i="149" s="1"/>
  <c r="AB78" i="148"/>
  <c r="Y78" i="149" s="1"/>
  <c r="J78" i="148"/>
  <c r="AO78" i="148"/>
  <c r="AL78" i="149" s="1"/>
  <c r="AT78" i="148"/>
  <c r="AQ78" i="149" s="1"/>
  <c r="AE78" i="148"/>
  <c r="AB78" i="149" s="1"/>
  <c r="AH78" i="148"/>
  <c r="AE78" i="149" s="1"/>
  <c r="AF78" i="148"/>
  <c r="AC78" i="149" s="1"/>
  <c r="AJ78" i="148"/>
  <c r="AG78" i="149" s="1"/>
  <c r="K78" i="148"/>
  <c r="U78" i="148"/>
  <c r="AN61" i="148"/>
  <c r="AK61" i="149" s="1"/>
  <c r="AG61" i="148"/>
  <c r="AD61" i="149" s="1"/>
  <c r="AJ61" i="148"/>
  <c r="AG61" i="149" s="1"/>
  <c r="Y61" i="148"/>
  <c r="V61" i="149" s="1"/>
  <c r="X61" i="148"/>
  <c r="U61" i="149" s="1"/>
  <c r="AO61" i="148"/>
  <c r="AL61" i="149" s="1"/>
  <c r="M61" i="148"/>
  <c r="L61" i="148"/>
  <c r="Z6" i="148"/>
  <c r="W6" i="149" s="1"/>
  <c r="X6" i="149"/>
  <c r="Y6" i="148"/>
  <c r="V6" i="149" s="1"/>
  <c r="X6" i="148"/>
  <c r="U6" i="149" s="1"/>
  <c r="AR6" i="148"/>
  <c r="AO6" i="149" s="1"/>
  <c r="AP6" i="148"/>
  <c r="AM6" i="149" s="1"/>
  <c r="AL6" i="148"/>
  <c r="AI6" i="149" s="1"/>
  <c r="AK6" i="148"/>
  <c r="AH6" i="149" s="1"/>
  <c r="AF71" i="148"/>
  <c r="AC71" i="149" s="1"/>
  <c r="AD71" i="148"/>
  <c r="AA71" i="149" s="1"/>
  <c r="AN71" i="148"/>
  <c r="AK71" i="149" s="1"/>
  <c r="L71" i="148"/>
  <c r="N71" i="148"/>
  <c r="W71" i="148"/>
  <c r="AS71" i="148"/>
  <c r="AP71" i="149" s="1"/>
  <c r="AL71" i="148"/>
  <c r="AI71" i="149" s="1"/>
  <c r="AR31" i="148"/>
  <c r="AO31" i="149" s="1"/>
  <c r="AB31" i="148"/>
  <c r="Y31" i="149" s="1"/>
  <c r="AO31" i="148"/>
  <c r="AL31" i="149" s="1"/>
  <c r="AP31" i="148"/>
  <c r="AM31" i="149" s="1"/>
  <c r="J31" i="148"/>
  <c r="AM31" i="148"/>
  <c r="AJ31" i="149" s="1"/>
  <c r="AD31" i="148"/>
  <c r="AA31" i="149" s="1"/>
  <c r="Z31" i="148"/>
  <c r="W31" i="149" s="1"/>
  <c r="AQ11" i="148"/>
  <c r="AN11" i="149" s="1"/>
  <c r="AN11" i="148"/>
  <c r="AK11" i="149" s="1"/>
  <c r="Y11" i="148"/>
  <c r="V11" i="149" s="1"/>
  <c r="L11" i="148"/>
  <c r="X11" i="148"/>
  <c r="U11" i="149" s="1"/>
  <c r="W11" i="148"/>
  <c r="AU11" i="148"/>
  <c r="AR11" i="149" s="1"/>
  <c r="N11" i="148"/>
  <c r="AJ46" i="148"/>
  <c r="AG46" i="149" s="1"/>
  <c r="J46" i="148"/>
  <c r="AK46" i="148"/>
  <c r="AH46" i="149" s="1"/>
  <c r="AM46" i="148"/>
  <c r="AJ46" i="149" s="1"/>
  <c r="AB46" i="148"/>
  <c r="Y46" i="149" s="1"/>
  <c r="AF46" i="148"/>
  <c r="AC46" i="149" s="1"/>
  <c r="AN46" i="148"/>
  <c r="AK46" i="149" s="1"/>
  <c r="L46" i="148"/>
  <c r="W36" i="148"/>
  <c r="M36" i="148"/>
  <c r="AR36" i="148"/>
  <c r="AO36" i="149" s="1"/>
  <c r="O36" i="148"/>
  <c r="AA36" i="148"/>
  <c r="X36" i="149" s="1"/>
  <c r="AK36" i="148"/>
  <c r="AH36" i="149" s="1"/>
  <c r="AL36" i="148"/>
  <c r="AI36" i="149" s="1"/>
  <c r="AG36" i="148"/>
  <c r="AD36" i="149" s="1"/>
  <c r="L26" i="148"/>
  <c r="AA26" i="148"/>
  <c r="X26" i="149" s="1"/>
  <c r="AH26" i="148"/>
  <c r="AE26" i="149" s="1"/>
  <c r="Y26" i="148"/>
  <c r="V26" i="149" s="1"/>
  <c r="AR26" i="148"/>
  <c r="AO26" i="149" s="1"/>
  <c r="AJ26" i="148"/>
  <c r="AG26" i="149" s="1"/>
  <c r="AE26" i="148"/>
  <c r="AB26" i="149" s="1"/>
  <c r="AI26" i="148"/>
  <c r="AF26" i="149" s="1"/>
  <c r="AM66" i="148"/>
  <c r="AJ66" i="149" s="1"/>
  <c r="P66" i="148"/>
  <c r="AP66" i="148"/>
  <c r="AM66" i="149" s="1"/>
  <c r="AE66" i="148"/>
  <c r="AB66" i="149" s="1"/>
  <c r="N66" i="148"/>
  <c r="AS66" i="148"/>
  <c r="AP66" i="149" s="1"/>
  <c r="L66" i="148"/>
  <c r="AN66" i="148"/>
  <c r="AK66" i="149" s="1"/>
  <c r="AN21" i="148"/>
  <c r="AK21" i="149" s="1"/>
  <c r="M21" i="148"/>
  <c r="AH21" i="148"/>
  <c r="AE21" i="149" s="1"/>
  <c r="AB21" i="148"/>
  <c r="Y21" i="149" s="1"/>
  <c r="J21" i="148"/>
  <c r="AF21" i="148"/>
  <c r="AC21" i="149" s="1"/>
  <c r="AI21" i="148"/>
  <c r="AF21" i="149" s="1"/>
  <c r="AF41" i="148"/>
  <c r="AC41" i="149" s="1"/>
  <c r="AJ41" i="148"/>
  <c r="AG41" i="149" s="1"/>
  <c r="J41" i="148"/>
  <c r="AK41" i="148"/>
  <c r="AH41" i="149" s="1"/>
  <c r="AS41" i="148"/>
  <c r="AP41" i="149" s="1"/>
  <c r="W41" i="148"/>
  <c r="AQ41" i="148"/>
  <c r="AN41" i="149" s="1"/>
  <c r="AD41" i="148"/>
  <c r="AA41" i="149" s="1"/>
  <c r="W51" i="148"/>
  <c r="AI51" i="148"/>
  <c r="AF51" i="149" s="1"/>
  <c r="AG51" i="148"/>
  <c r="AD51" i="149" s="1"/>
  <c r="AP51" i="148"/>
  <c r="AM51" i="149" s="1"/>
  <c r="AC51" i="148"/>
  <c r="Z51" i="149" s="1"/>
  <c r="Z51" i="148"/>
  <c r="W51" i="149" s="1"/>
  <c r="AU51" i="148"/>
  <c r="AR51" i="149" s="1"/>
  <c r="O51" i="148"/>
  <c r="J16" i="148"/>
  <c r="AK16" i="148"/>
  <c r="AH16" i="149" s="1"/>
  <c r="O16" i="148"/>
  <c r="AA16" i="148"/>
  <c r="X16" i="149" s="1"/>
  <c r="AF16" i="148"/>
  <c r="AC16" i="149" s="1"/>
  <c r="AB16" i="148"/>
  <c r="Y16" i="149" s="1"/>
  <c r="Z16" i="148"/>
  <c r="W16" i="149" s="1"/>
  <c r="AI16" i="148"/>
  <c r="AF16" i="149" s="1"/>
  <c r="AP56" i="148"/>
  <c r="AM56" i="149" s="1"/>
  <c r="AB56" i="148"/>
  <c r="Y56" i="149" s="1"/>
  <c r="AU56" i="148"/>
  <c r="AR56" i="149" s="1"/>
  <c r="AL56" i="148"/>
  <c r="AI56" i="149" s="1"/>
  <c r="J56" i="148"/>
  <c r="AK56" i="148"/>
  <c r="AH56" i="149" s="1"/>
  <c r="AG56" i="148"/>
  <c r="AD56" i="149" s="1"/>
  <c r="AN56" i="148"/>
  <c r="AK56" i="149" s="1"/>
  <c r="N76" i="148"/>
  <c r="Y76" i="148"/>
  <c r="V76" i="149" s="1"/>
  <c r="L76" i="148"/>
  <c r="W76" i="148"/>
  <c r="K61" i="148"/>
  <c r="U61" i="148"/>
  <c r="AP61" i="148"/>
  <c r="AM61" i="149" s="1"/>
  <c r="AH61" i="148"/>
  <c r="AE61" i="149" s="1"/>
  <c r="AI61" i="148"/>
  <c r="AF61" i="149" s="1"/>
  <c r="AF61" i="148"/>
  <c r="AC61" i="149" s="1"/>
  <c r="AC61" i="148"/>
  <c r="Z61" i="149" s="1"/>
  <c r="AM61" i="148"/>
  <c r="AJ61" i="149" s="1"/>
  <c r="U6" i="148"/>
  <c r="P6" i="148"/>
  <c r="AQ6" i="148"/>
  <c r="AN6" i="149" s="1"/>
  <c r="AD6" i="148"/>
  <c r="AA6" i="149" s="1"/>
  <c r="AG6" i="148"/>
  <c r="AD6" i="149" s="1"/>
  <c r="M6" i="148"/>
  <c r="K6" i="148"/>
  <c r="L6" i="148"/>
  <c r="AE6" i="148"/>
  <c r="AB6" i="149" s="1"/>
  <c r="O71" i="148"/>
  <c r="AC71" i="148"/>
  <c r="Z71" i="149" s="1"/>
  <c r="Z71" i="148"/>
  <c r="W71" i="149" s="1"/>
  <c r="AM71" i="148"/>
  <c r="AJ71" i="149" s="1"/>
  <c r="AP71" i="148"/>
  <c r="AM71" i="149" s="1"/>
  <c r="AA71" i="148"/>
  <c r="X71" i="149" s="1"/>
  <c r="AH71" i="148"/>
  <c r="AE71" i="149" s="1"/>
  <c r="Y71" i="148"/>
  <c r="V71" i="149" s="1"/>
  <c r="O31" i="148"/>
  <c r="AS31" i="148"/>
  <c r="AP31" i="149" s="1"/>
  <c r="W31" i="148"/>
  <c r="AU31" i="148"/>
  <c r="AR31" i="149" s="1"/>
  <c r="K31" i="148"/>
  <c r="P31" i="148"/>
  <c r="U31" i="148"/>
  <c r="AL31" i="148"/>
  <c r="AI31" i="149" s="1"/>
  <c r="O11" i="148"/>
  <c r="AS11" i="148"/>
  <c r="AP11" i="149" s="1"/>
  <c r="AD11" i="148"/>
  <c r="AA11" i="149" s="1"/>
  <c r="AJ11" i="148"/>
  <c r="AG11" i="149" s="1"/>
  <c r="AL11" i="148"/>
  <c r="AI11" i="149" s="1"/>
  <c r="M11" i="148"/>
  <c r="AB11" i="148"/>
  <c r="Y11" i="149" s="1"/>
  <c r="AF11" i="148"/>
  <c r="AC11" i="149" s="1"/>
  <c r="AE11" i="148"/>
  <c r="AB11" i="149" s="1"/>
  <c r="AI46" i="148"/>
  <c r="AF46" i="149" s="1"/>
  <c r="Y46" i="148"/>
  <c r="V46" i="149" s="1"/>
  <c r="W46" i="148"/>
  <c r="AP46" i="148"/>
  <c r="AM46" i="149" s="1"/>
  <c r="AS46" i="148"/>
  <c r="AP46" i="149" s="1"/>
  <c r="N46" i="148"/>
  <c r="M46" i="148"/>
  <c r="AT46" i="148"/>
  <c r="AQ46" i="149" s="1"/>
  <c r="AO46" i="148"/>
  <c r="AL46" i="149" s="1"/>
  <c r="AI36" i="148"/>
  <c r="AF36" i="149" s="1"/>
  <c r="AT36" i="148"/>
  <c r="AQ36" i="149" s="1"/>
  <c r="AH36" i="148"/>
  <c r="AE36" i="149" s="1"/>
  <c r="AP36" i="148"/>
  <c r="AM36" i="149" s="1"/>
  <c r="AJ36" i="148"/>
  <c r="AG36" i="149" s="1"/>
  <c r="AU36" i="148"/>
  <c r="AR36" i="149" s="1"/>
  <c r="AE36" i="148"/>
  <c r="AB36" i="149" s="1"/>
  <c r="Z36" i="148"/>
  <c r="W36" i="149" s="1"/>
  <c r="AK26" i="148"/>
  <c r="AH26" i="149" s="1"/>
  <c r="O26" i="148"/>
  <c r="AF26" i="148"/>
  <c r="AC26" i="149" s="1"/>
  <c r="AD26" i="148"/>
  <c r="AA26" i="149" s="1"/>
  <c r="U26" i="148"/>
  <c r="P26" i="148"/>
  <c r="AG26" i="148"/>
  <c r="AD26" i="149" s="1"/>
  <c r="AM26" i="148"/>
  <c r="AJ26" i="149" s="1"/>
  <c r="K66" i="148"/>
  <c r="Y66" i="148"/>
  <c r="V66" i="149" s="1"/>
  <c r="AQ66" i="148"/>
  <c r="AN66" i="149" s="1"/>
  <c r="AU66" i="148"/>
  <c r="AR66" i="149" s="1"/>
  <c r="AA66" i="148"/>
  <c r="X66" i="149" s="1"/>
  <c r="M66" i="148"/>
  <c r="Z66" i="148"/>
  <c r="W66" i="149" s="1"/>
  <c r="AG66" i="148"/>
  <c r="AD66" i="149" s="1"/>
  <c r="AR21" i="148"/>
  <c r="AO21" i="149" s="1"/>
  <c r="AT21" i="148"/>
  <c r="AQ21" i="149" s="1"/>
  <c r="AM21" i="148"/>
  <c r="AJ21" i="149" s="1"/>
  <c r="AQ21" i="148"/>
  <c r="AN21" i="149" s="1"/>
  <c r="O21" i="148"/>
  <c r="AP21" i="148"/>
  <c r="AM21" i="149" s="1"/>
  <c r="AS21" i="148"/>
  <c r="AP21" i="149" s="1"/>
  <c r="AK21" i="148"/>
  <c r="AH21" i="149" s="1"/>
  <c r="AE41" i="148"/>
  <c r="AB41" i="149" s="1"/>
  <c r="AU41" i="148"/>
  <c r="AR41" i="149" s="1"/>
  <c r="M41" i="148"/>
  <c r="AL41" i="148"/>
  <c r="AI41" i="149" s="1"/>
  <c r="AO41" i="148"/>
  <c r="AL41" i="149" s="1"/>
  <c r="X41" i="148"/>
  <c r="U41" i="149" s="1"/>
  <c r="AB41" i="148"/>
  <c r="Y41" i="149" s="1"/>
  <c r="AA41" i="148"/>
  <c r="X41" i="149" s="1"/>
  <c r="M51" i="148"/>
  <c r="U51" i="148"/>
  <c r="P51" i="148"/>
  <c r="AA51" i="148"/>
  <c r="X51" i="149" s="1"/>
  <c r="AD51" i="148"/>
  <c r="AA51" i="149" s="1"/>
  <c r="AL51" i="148"/>
  <c r="AI51" i="149" s="1"/>
  <c r="AF51" i="148"/>
  <c r="AC51" i="149" s="1"/>
  <c r="Y51" i="148"/>
  <c r="V51" i="149" s="1"/>
  <c r="AS51" i="148"/>
  <c r="AP51" i="149" s="1"/>
  <c r="AU16" i="148"/>
  <c r="AR16" i="149" s="1"/>
  <c r="AS16" i="148"/>
  <c r="AP16" i="149" s="1"/>
  <c r="AE16" i="148"/>
  <c r="AB16" i="149" s="1"/>
  <c r="N16" i="148"/>
  <c r="AQ16" i="148"/>
  <c r="AN16" i="149" s="1"/>
  <c r="AM16" i="148"/>
  <c r="AJ16" i="149" s="1"/>
  <c r="K16" i="148"/>
  <c r="AD16" i="148"/>
  <c r="AA16" i="149" s="1"/>
  <c r="AG16" i="148"/>
  <c r="AD16" i="149" s="1"/>
  <c r="AI56" i="148"/>
  <c r="AF56" i="149" s="1"/>
  <c r="X56" i="148"/>
  <c r="U56" i="149" s="1"/>
  <c r="AR56" i="148"/>
  <c r="AO56" i="149" s="1"/>
  <c r="N56" i="148"/>
  <c r="AT56" i="148"/>
  <c r="AQ56" i="149" s="1"/>
  <c r="AO56" i="148"/>
  <c r="AL56" i="149" s="1"/>
  <c r="K56" i="148"/>
  <c r="AA56" i="148"/>
  <c r="X56" i="149" s="1"/>
  <c r="AL76" i="148"/>
  <c r="AI76" i="149" s="1"/>
  <c r="AT76" i="148"/>
  <c r="AQ76" i="149" s="1"/>
  <c r="AM76" i="148"/>
  <c r="AJ76" i="149" s="1"/>
  <c r="AK76" i="148"/>
  <c r="AH76" i="149" s="1"/>
  <c r="AJ76" i="148"/>
  <c r="AG76" i="149" s="1"/>
  <c r="AA76" i="148"/>
  <c r="X76" i="149" s="1"/>
  <c r="O76" i="148"/>
  <c r="AE76" i="148"/>
  <c r="AB76" i="149" s="1"/>
  <c r="AA61" i="148"/>
  <c r="X61" i="149" s="1"/>
  <c r="P61" i="148"/>
  <c r="AB61" i="148"/>
  <c r="Y61" i="149" s="1"/>
  <c r="AS61" i="148"/>
  <c r="AP61" i="149" s="1"/>
  <c r="W61" i="148"/>
  <c r="O61" i="148"/>
  <c r="Z61" i="148"/>
  <c r="W61" i="149" s="1"/>
  <c r="AL61" i="148"/>
  <c r="AI61" i="149" s="1"/>
  <c r="AQ61" i="148"/>
  <c r="AN61" i="149" s="1"/>
  <c r="AS6" i="148"/>
  <c r="AP6" i="149" s="1"/>
  <c r="AF6" i="148"/>
  <c r="AC6" i="149" s="1"/>
  <c r="N6" i="148"/>
  <c r="AI6" i="148"/>
  <c r="AF6" i="149" s="1"/>
  <c r="AH6" i="148"/>
  <c r="AE6" i="149" s="1"/>
  <c r="AT6" i="148"/>
  <c r="AQ6" i="149" s="1"/>
  <c r="W6" i="148"/>
  <c r="AJ6" i="148"/>
  <c r="AG6" i="149" s="1"/>
  <c r="AJ71" i="148"/>
  <c r="AG71" i="149" s="1"/>
  <c r="AQ71" i="148"/>
  <c r="AN71" i="149" s="1"/>
  <c r="AU71" i="148"/>
  <c r="AR71" i="149" s="1"/>
  <c r="AT71" i="148"/>
  <c r="AQ71" i="149" s="1"/>
  <c r="AG71" i="148"/>
  <c r="AD71" i="149" s="1"/>
  <c r="AR71" i="148"/>
  <c r="AO71" i="149" s="1"/>
  <c r="AO71" i="148"/>
  <c r="AL71" i="149" s="1"/>
  <c r="AB71" i="148"/>
  <c r="Y71" i="149" s="1"/>
  <c r="AH31" i="148"/>
  <c r="AE31" i="149" s="1"/>
  <c r="AK31" i="148"/>
  <c r="AH31" i="149" s="1"/>
  <c r="AQ31" i="148"/>
  <c r="AN31" i="149" s="1"/>
  <c r="AT31" i="148"/>
  <c r="AQ31" i="149" s="1"/>
  <c r="Y31" i="148"/>
  <c r="V31" i="149" s="1"/>
  <c r="N31" i="148"/>
  <c r="L31" i="148"/>
  <c r="AC31" i="148"/>
  <c r="Z31" i="149" s="1"/>
  <c r="AJ31" i="148"/>
  <c r="AG31" i="149" s="1"/>
  <c r="P11" i="148"/>
  <c r="J11" i="148"/>
  <c r="AA11" i="148"/>
  <c r="X11" i="149" s="1"/>
  <c r="AH11" i="148"/>
  <c r="AE11" i="149" s="1"/>
  <c r="AT11" i="148"/>
  <c r="AQ11" i="149" s="1"/>
  <c r="AC11" i="148"/>
  <c r="Z11" i="149" s="1"/>
  <c r="AG11" i="148"/>
  <c r="AD11" i="149" s="1"/>
  <c r="Z11" i="148"/>
  <c r="W11" i="149" s="1"/>
  <c r="O46" i="148"/>
  <c r="AA46" i="148"/>
  <c r="X46" i="149" s="1"/>
  <c r="K46" i="148"/>
  <c r="AQ46" i="148"/>
  <c r="AN46" i="149" s="1"/>
  <c r="AU46" i="148"/>
  <c r="AR46" i="149" s="1"/>
  <c r="AH46" i="148"/>
  <c r="AE46" i="149" s="1"/>
  <c r="U46" i="148"/>
  <c r="AC46" i="148"/>
  <c r="Z46" i="149" s="1"/>
  <c r="AN36" i="148"/>
  <c r="AK36" i="149" s="1"/>
  <c r="X36" i="148"/>
  <c r="U36" i="149" s="1"/>
  <c r="AD36" i="148"/>
  <c r="AA36" i="149" s="1"/>
  <c r="AC36" i="148"/>
  <c r="Z36" i="149" s="1"/>
  <c r="AS36" i="148"/>
  <c r="AP36" i="149" s="1"/>
  <c r="L36" i="148"/>
  <c r="N36" i="148"/>
  <c r="K36" i="148"/>
  <c r="J36" i="148"/>
  <c r="AS26" i="148"/>
  <c r="AP26" i="149" s="1"/>
  <c r="J26" i="148"/>
  <c r="X26" i="148"/>
  <c r="U26" i="149" s="1"/>
  <c r="AT26" i="148"/>
  <c r="AQ26" i="149" s="1"/>
  <c r="AC26" i="148"/>
  <c r="Z26" i="149" s="1"/>
  <c r="Z26" i="148"/>
  <c r="W26" i="149" s="1"/>
  <c r="M26" i="148"/>
  <c r="AL26" i="148"/>
  <c r="AI26" i="149" s="1"/>
  <c r="AQ26" i="148"/>
  <c r="AN26" i="149" s="1"/>
  <c r="U66" i="148"/>
  <c r="AH66" i="148"/>
  <c r="AE66" i="149" s="1"/>
  <c r="AJ66" i="148"/>
  <c r="AG66" i="149" s="1"/>
  <c r="J66" i="148"/>
  <c r="O66" i="148"/>
  <c r="AK66" i="148"/>
  <c r="AH66" i="149" s="1"/>
  <c r="AC66" i="148"/>
  <c r="Z66" i="149" s="1"/>
  <c r="AD66" i="148"/>
  <c r="AA66" i="149" s="1"/>
  <c r="N21" i="148"/>
  <c r="Z21" i="148"/>
  <c r="W21" i="149" s="1"/>
  <c r="U21" i="148"/>
  <c r="AD21" i="148"/>
  <c r="AA21" i="149" s="1"/>
  <c r="X21" i="148"/>
  <c r="U21" i="149" s="1"/>
  <c r="AA21" i="148"/>
  <c r="X21" i="149" s="1"/>
  <c r="W21" i="148"/>
  <c r="AE21" i="148"/>
  <c r="AB21" i="149" s="1"/>
  <c r="AU21" i="148"/>
  <c r="AR21" i="149" s="1"/>
  <c r="N41" i="148"/>
  <c r="L41" i="148"/>
  <c r="AI41" i="148"/>
  <c r="AF41" i="149" s="1"/>
  <c r="Z41" i="148"/>
  <c r="W41" i="149" s="1"/>
  <c r="U41" i="148"/>
  <c r="AP41" i="148"/>
  <c r="AM41" i="149" s="1"/>
  <c r="K41" i="148"/>
  <c r="AG41" i="148"/>
  <c r="AD41" i="149" s="1"/>
  <c r="AB51" i="148"/>
  <c r="Y51" i="149" s="1"/>
  <c r="L51" i="148"/>
  <c r="AO51" i="148"/>
  <c r="AL51" i="149" s="1"/>
  <c r="AT51" i="148"/>
  <c r="AQ51" i="149" s="1"/>
  <c r="AN51" i="148"/>
  <c r="AK51" i="149" s="1"/>
  <c r="AR51" i="148"/>
  <c r="AO51" i="149" s="1"/>
  <c r="AM51" i="148"/>
  <c r="AJ51" i="149" s="1"/>
  <c r="K51" i="148"/>
  <c r="Y16" i="148"/>
  <c r="V16" i="149" s="1"/>
  <c r="AP16" i="148"/>
  <c r="AM16" i="149" s="1"/>
  <c r="X16" i="148"/>
  <c r="U16" i="149" s="1"/>
  <c r="AR16" i="148"/>
  <c r="AO16" i="149" s="1"/>
  <c r="P16" i="148"/>
  <c r="AJ16" i="148"/>
  <c r="AG16" i="149" s="1"/>
  <c r="W16" i="148"/>
  <c r="AL16" i="148"/>
  <c r="AI16" i="149" s="1"/>
  <c r="P56" i="148"/>
  <c r="U56" i="148"/>
  <c r="AD56" i="148"/>
  <c r="AA56" i="149" s="1"/>
  <c r="W56" i="148"/>
  <c r="AH56" i="148"/>
  <c r="AE56" i="149" s="1"/>
  <c r="AM56" i="148"/>
  <c r="AJ56" i="149" s="1"/>
  <c r="O56" i="148"/>
  <c r="Y56" i="148"/>
  <c r="V56" i="149" s="1"/>
  <c r="U76" i="148"/>
  <c r="AB76" i="148"/>
  <c r="Y76" i="149" s="1"/>
  <c r="P76" i="148"/>
  <c r="K76" i="148"/>
  <c r="AG76" i="148"/>
  <c r="AD76" i="149" s="1"/>
  <c r="AC76" i="148"/>
  <c r="Z76" i="149" s="1"/>
  <c r="AF76" i="148"/>
  <c r="AC76" i="149" s="1"/>
  <c r="AN76" i="148"/>
  <c r="AK76" i="149" s="1"/>
  <c r="Z76" i="148"/>
  <c r="W76" i="149" s="1"/>
  <c r="AR76" i="148"/>
  <c r="AO76" i="149" s="1"/>
  <c r="N61" i="148"/>
  <c r="AK61" i="148"/>
  <c r="AH61" i="149" s="1"/>
  <c r="J61" i="148"/>
  <c r="AE61" i="148"/>
  <c r="AB61" i="149" s="1"/>
  <c r="AT61" i="148"/>
  <c r="AQ61" i="149" s="1"/>
  <c r="AD61" i="148"/>
  <c r="AA61" i="149" s="1"/>
  <c r="AR61" i="148"/>
  <c r="AO61" i="149" s="1"/>
  <c r="AU61" i="148"/>
  <c r="AR61" i="149" s="1"/>
  <c r="J6" i="148"/>
  <c r="AB6" i="148"/>
  <c r="Y6" i="149" s="1"/>
  <c r="O6" i="148"/>
  <c r="AU6" i="148"/>
  <c r="AM6" i="148"/>
  <c r="AJ6" i="149" s="1"/>
  <c r="AC6" i="148"/>
  <c r="Z6" i="149" s="1"/>
  <c r="AN6" i="148"/>
  <c r="AK6" i="149" s="1"/>
  <c r="AO6" i="148"/>
  <c r="AL6" i="149" s="1"/>
  <c r="AK71" i="148"/>
  <c r="AH71" i="149" s="1"/>
  <c r="J71" i="148"/>
  <c r="P71" i="148"/>
  <c r="AI71" i="148"/>
  <c r="AF71" i="149" s="1"/>
  <c r="X71" i="148"/>
  <c r="U71" i="149" s="1"/>
  <c r="M71" i="148"/>
  <c r="K71" i="148"/>
  <c r="U71" i="148"/>
  <c r="AE71" i="148"/>
  <c r="AB71" i="149" s="1"/>
  <c r="AE31" i="148"/>
  <c r="AB31" i="149" s="1"/>
  <c r="X31" i="148"/>
  <c r="U31" i="149" s="1"/>
  <c r="AG31" i="148"/>
  <c r="AD31" i="149" s="1"/>
  <c r="AI31" i="148"/>
  <c r="AF31" i="149" s="1"/>
  <c r="M31" i="148"/>
  <c r="AA31" i="148"/>
  <c r="X31" i="149" s="1"/>
  <c r="AN31" i="148"/>
  <c r="AK31" i="149" s="1"/>
  <c r="AF31" i="148"/>
  <c r="AC31" i="149" s="1"/>
  <c r="AP11" i="148"/>
  <c r="AM11" i="149" s="1"/>
  <c r="AR11" i="148"/>
  <c r="AO11" i="149" s="1"/>
  <c r="U11" i="148"/>
  <c r="K11" i="148"/>
  <c r="AO11" i="148"/>
  <c r="AL11" i="149" s="1"/>
  <c r="AM11" i="148"/>
  <c r="AJ11" i="149" s="1"/>
  <c r="AI11" i="148"/>
  <c r="AF11" i="149" s="1"/>
  <c r="AK11" i="148"/>
  <c r="AH11" i="149" s="1"/>
  <c r="AR46" i="148"/>
  <c r="AO46" i="149" s="1"/>
  <c r="AE46" i="148"/>
  <c r="AB46" i="149" s="1"/>
  <c r="Z46" i="148"/>
  <c r="W46" i="149" s="1"/>
  <c r="X46" i="148"/>
  <c r="U46" i="149" s="1"/>
  <c r="P46" i="148"/>
  <c r="AG46" i="148"/>
  <c r="AD46" i="149" s="1"/>
  <c r="AL46" i="148"/>
  <c r="AI46" i="149" s="1"/>
  <c r="AD46" i="148"/>
  <c r="AA46" i="149" s="1"/>
  <c r="P36" i="148"/>
  <c r="U36" i="148"/>
  <c r="AQ36" i="148"/>
  <c r="AN36" i="149" s="1"/>
  <c r="AO36" i="148"/>
  <c r="AL36" i="149" s="1"/>
  <c r="AF36" i="148"/>
  <c r="AC36" i="149" s="1"/>
  <c r="Y36" i="148"/>
  <c r="V36" i="149" s="1"/>
  <c r="AB36" i="148"/>
  <c r="Y36" i="149" s="1"/>
  <c r="AM36" i="148"/>
  <c r="AJ36" i="149" s="1"/>
  <c r="AU26" i="148"/>
  <c r="AR26" i="149" s="1"/>
  <c r="AP26" i="148"/>
  <c r="AM26" i="149" s="1"/>
  <c r="AO26" i="148"/>
  <c r="AL26" i="149" s="1"/>
  <c r="K26" i="148"/>
  <c r="AB26" i="148"/>
  <c r="Y26" i="149" s="1"/>
  <c r="N26" i="148"/>
  <c r="AN26" i="148"/>
  <c r="AK26" i="149" s="1"/>
  <c r="W26" i="148"/>
  <c r="X66" i="148"/>
  <c r="U66" i="149" s="1"/>
  <c r="AI66" i="148"/>
  <c r="AF66" i="149" s="1"/>
  <c r="AF66" i="148"/>
  <c r="AC66" i="149" s="1"/>
  <c r="AB66" i="148"/>
  <c r="Y66" i="149" s="1"/>
  <c r="AR66" i="148"/>
  <c r="AO66" i="149" s="1"/>
  <c r="AT66" i="148"/>
  <c r="AQ66" i="149" s="1"/>
  <c r="AL66" i="148"/>
  <c r="AI66" i="149" s="1"/>
  <c r="AO66" i="148"/>
  <c r="AL66" i="149" s="1"/>
  <c r="W66" i="148"/>
  <c r="Y21" i="148"/>
  <c r="V21" i="149" s="1"/>
  <c r="AJ21" i="148"/>
  <c r="AG21" i="149" s="1"/>
  <c r="AC21" i="148"/>
  <c r="Z21" i="149" s="1"/>
  <c r="K21" i="148"/>
  <c r="L21" i="148"/>
  <c r="P21" i="148"/>
  <c r="AG21" i="148"/>
  <c r="AD21" i="149" s="1"/>
  <c r="AL21" i="148"/>
  <c r="AI21" i="149" s="1"/>
  <c r="AO21" i="148"/>
  <c r="AL21" i="149" s="1"/>
  <c r="P41" i="148"/>
  <c r="AH41" i="148"/>
  <c r="AE41" i="149" s="1"/>
  <c r="AC41" i="148"/>
  <c r="Z41" i="149" s="1"/>
  <c r="AM41" i="148"/>
  <c r="AJ41" i="149" s="1"/>
  <c r="AN41" i="148"/>
  <c r="AK41" i="149" s="1"/>
  <c r="O41" i="148"/>
  <c r="AR41" i="148"/>
  <c r="AO41" i="149" s="1"/>
  <c r="AT41" i="148"/>
  <c r="AQ41" i="149" s="1"/>
  <c r="Y41" i="148"/>
  <c r="V41" i="149" s="1"/>
  <c r="AE51" i="148"/>
  <c r="AB51" i="149" s="1"/>
  <c r="AJ51" i="148"/>
  <c r="AG51" i="149" s="1"/>
  <c r="X51" i="148"/>
  <c r="U51" i="149" s="1"/>
  <c r="AH51" i="148"/>
  <c r="AE51" i="149" s="1"/>
  <c r="AK51" i="148"/>
  <c r="AH51" i="149" s="1"/>
  <c r="N51" i="148"/>
  <c r="AQ51" i="148"/>
  <c r="AN51" i="149" s="1"/>
  <c r="J51" i="148"/>
  <c r="L16" i="148"/>
  <c r="AO16" i="148"/>
  <c r="AL16" i="149" s="1"/>
  <c r="U16" i="148"/>
  <c r="AN16" i="148"/>
  <c r="AK16" i="149" s="1"/>
  <c r="AH16" i="148"/>
  <c r="AE16" i="149" s="1"/>
  <c r="M16" i="148"/>
  <c r="AT16" i="148"/>
  <c r="AQ16" i="149" s="1"/>
  <c r="AC16" i="148"/>
  <c r="Z16" i="149" s="1"/>
  <c r="AC56" i="148"/>
  <c r="Z56" i="149" s="1"/>
  <c r="Z56" i="148"/>
  <c r="W56" i="149" s="1"/>
  <c r="M56" i="148"/>
  <c r="L56" i="148"/>
  <c r="AF56" i="148"/>
  <c r="AC56" i="149" s="1"/>
  <c r="AJ56" i="148"/>
  <c r="AG56" i="149" s="1"/>
  <c r="AS56" i="148"/>
  <c r="AP56" i="149" s="1"/>
  <c r="AE56" i="148"/>
  <c r="AB56" i="149" s="1"/>
  <c r="AQ56" i="148"/>
  <c r="AN56" i="149" s="1"/>
  <c r="AH76" i="148"/>
  <c r="AE76" i="149" s="1"/>
  <c r="AO76" i="148"/>
  <c r="AL76" i="149" s="1"/>
  <c r="AD76" i="148"/>
  <c r="AA76" i="149" s="1"/>
  <c r="AQ76" i="148"/>
  <c r="AN76" i="149" s="1"/>
  <c r="AI76" i="148"/>
  <c r="AF76" i="149" s="1"/>
  <c r="M76" i="148"/>
  <c r="X76" i="148"/>
  <c r="U76" i="149" s="1"/>
  <c r="AS76" i="148"/>
  <c r="AP76" i="149" s="1"/>
  <c r="AP76" i="148"/>
  <c r="AM76" i="149" s="1"/>
  <c r="J76" i="148"/>
  <c r="AU76" i="148"/>
  <c r="AR76" i="149" s="1"/>
  <c r="M27" i="148"/>
  <c r="N27" i="148"/>
  <c r="AT27" i="148"/>
  <c r="AQ27" i="149" s="1"/>
  <c r="L27" i="148"/>
  <c r="AA27" i="148"/>
  <c r="X27" i="149" s="1"/>
  <c r="X27" i="148"/>
  <c r="U27" i="149" s="1"/>
  <c r="AE27" i="148"/>
  <c r="AB27" i="149" s="1"/>
  <c r="Y27" i="148"/>
  <c r="V27" i="149" s="1"/>
  <c r="W27" i="148"/>
  <c r="AJ42" i="148"/>
  <c r="AG42" i="149" s="1"/>
  <c r="AI42" i="148"/>
  <c r="AF42" i="149" s="1"/>
  <c r="AD42" i="148"/>
  <c r="AA42" i="149" s="1"/>
  <c r="K42" i="148"/>
  <c r="P42" i="148"/>
  <c r="AB42" i="148"/>
  <c r="Y42" i="149" s="1"/>
  <c r="AH42" i="148"/>
  <c r="AE42" i="149" s="1"/>
  <c r="AM42" i="148"/>
  <c r="AJ42" i="149" s="1"/>
  <c r="N43" i="148"/>
  <c r="X43" i="148"/>
  <c r="U43" i="149" s="1"/>
  <c r="AA43" i="148"/>
  <c r="X43" i="149" s="1"/>
  <c r="AQ43" i="148"/>
  <c r="AN43" i="149" s="1"/>
  <c r="Z43" i="148"/>
  <c r="W43" i="149" s="1"/>
  <c r="AS43" i="148"/>
  <c r="AP43" i="149" s="1"/>
  <c r="M43" i="148"/>
  <c r="AP43" i="148"/>
  <c r="AM43" i="149" s="1"/>
  <c r="AI30" i="148"/>
  <c r="AF30" i="149" s="1"/>
  <c r="AQ30" i="148"/>
  <c r="AN30" i="149" s="1"/>
  <c r="N30" i="148"/>
  <c r="AK30" i="148"/>
  <c r="AH30" i="149" s="1"/>
  <c r="L30" i="148"/>
  <c r="AO30" i="148"/>
  <c r="AL30" i="149" s="1"/>
  <c r="AF30" i="148"/>
  <c r="AC30" i="149" s="1"/>
  <c r="AB30" i="148"/>
  <c r="Y30" i="149" s="1"/>
  <c r="M44" i="148"/>
  <c r="U44" i="148"/>
  <c r="AA44" i="148"/>
  <c r="X44" i="149" s="1"/>
  <c r="AM44" i="148"/>
  <c r="AJ44" i="149" s="1"/>
  <c r="AE44" i="148"/>
  <c r="AB44" i="149" s="1"/>
  <c r="AN44" i="148"/>
  <c r="AK44" i="149" s="1"/>
  <c r="O44" i="148"/>
  <c r="AS44" i="148"/>
  <c r="AP44" i="149" s="1"/>
  <c r="AL27" i="148"/>
  <c r="AI27" i="149" s="1"/>
  <c r="AR27" i="148"/>
  <c r="AO27" i="149" s="1"/>
  <c r="U27" i="148"/>
  <c r="P27" i="148"/>
  <c r="AK27" i="148"/>
  <c r="AH27" i="149" s="1"/>
  <c r="AO27" i="148"/>
  <c r="AL27" i="149" s="1"/>
  <c r="O27" i="148"/>
  <c r="AU27" i="148"/>
  <c r="AR27" i="149" s="1"/>
  <c r="AR42" i="148"/>
  <c r="AO42" i="149" s="1"/>
  <c r="AL42" i="148"/>
  <c r="AI42" i="149" s="1"/>
  <c r="AS42" i="148"/>
  <c r="AP42" i="149" s="1"/>
  <c r="O42" i="148"/>
  <c r="AQ42" i="148"/>
  <c r="AN42" i="149" s="1"/>
  <c r="AC42" i="148"/>
  <c r="Z42" i="149" s="1"/>
  <c r="AA42" i="148"/>
  <c r="X42" i="149" s="1"/>
  <c r="L42" i="148"/>
  <c r="AN43" i="148"/>
  <c r="AK43" i="149" s="1"/>
  <c r="AC43" i="148"/>
  <c r="Z43" i="149" s="1"/>
  <c r="AE43" i="148"/>
  <c r="AB43" i="149" s="1"/>
  <c r="U43" i="148"/>
  <c r="Y43" i="148"/>
  <c r="V43" i="149" s="1"/>
  <c r="AT43" i="148"/>
  <c r="AQ43" i="149" s="1"/>
  <c r="AG43" i="148"/>
  <c r="AD43" i="149" s="1"/>
  <c r="AD43" i="148"/>
  <c r="AA43" i="149" s="1"/>
  <c r="AN30" i="148"/>
  <c r="AK30" i="149" s="1"/>
  <c r="AP30" i="148"/>
  <c r="AM30" i="149" s="1"/>
  <c r="AU30" i="148"/>
  <c r="AR30" i="149" s="1"/>
  <c r="U30" i="148"/>
  <c r="M30" i="148"/>
  <c r="P30" i="148"/>
  <c r="AA30" i="148"/>
  <c r="X30" i="149" s="1"/>
  <c r="AS30" i="148"/>
  <c r="AP30" i="149" s="1"/>
  <c r="AD44" i="148"/>
  <c r="AA44" i="149" s="1"/>
  <c r="AR44" i="148"/>
  <c r="AO44" i="149" s="1"/>
  <c r="W44" i="148"/>
  <c r="K44" i="148"/>
  <c r="AI44" i="148"/>
  <c r="AF44" i="149" s="1"/>
  <c r="AG44" i="148"/>
  <c r="AD44" i="149" s="1"/>
  <c r="X44" i="148"/>
  <c r="U44" i="149" s="1"/>
  <c r="N44" i="148"/>
  <c r="AS27" i="148"/>
  <c r="AP27" i="149" s="1"/>
  <c r="AJ27" i="148"/>
  <c r="AG27" i="149" s="1"/>
  <c r="AI27" i="148"/>
  <c r="AF27" i="149" s="1"/>
  <c r="AB27" i="148"/>
  <c r="Y27" i="149" s="1"/>
  <c r="AM27" i="148"/>
  <c r="AJ27" i="149" s="1"/>
  <c r="AH27" i="148"/>
  <c r="AE27" i="149" s="1"/>
  <c r="J27" i="148"/>
  <c r="Z27" i="148"/>
  <c r="W27" i="149" s="1"/>
  <c r="Z42" i="148"/>
  <c r="W42" i="149" s="1"/>
  <c r="AU42" i="148"/>
  <c r="AR42" i="149" s="1"/>
  <c r="AG42" i="148"/>
  <c r="AD42" i="149" s="1"/>
  <c r="N42" i="148"/>
  <c r="AO42" i="148"/>
  <c r="AL42" i="149" s="1"/>
  <c r="AK42" i="148"/>
  <c r="AH42" i="149" s="1"/>
  <c r="AP42" i="148"/>
  <c r="AM42" i="149" s="1"/>
  <c r="M42" i="148"/>
  <c r="AH43" i="148"/>
  <c r="AE43" i="149" s="1"/>
  <c r="AM43" i="148"/>
  <c r="AJ43" i="149" s="1"/>
  <c r="AJ43" i="148"/>
  <c r="AG43" i="149" s="1"/>
  <c r="AK43" i="148"/>
  <c r="AH43" i="149" s="1"/>
  <c r="AB43" i="148"/>
  <c r="Y43" i="149" s="1"/>
  <c r="AU43" i="148"/>
  <c r="AR43" i="149" s="1"/>
  <c r="AI43" i="148"/>
  <c r="AF43" i="149" s="1"/>
  <c r="AF43" i="148"/>
  <c r="AC43" i="149" s="1"/>
  <c r="W30" i="148"/>
  <c r="X30" i="148"/>
  <c r="U30" i="149" s="1"/>
  <c r="AC30" i="148"/>
  <c r="Z30" i="149" s="1"/>
  <c r="AL30" i="148"/>
  <c r="AI30" i="149" s="1"/>
  <c r="AR30" i="148"/>
  <c r="AO30" i="149" s="1"/>
  <c r="O30" i="148"/>
  <c r="Y30" i="148"/>
  <c r="V30" i="149" s="1"/>
  <c r="AD30" i="148"/>
  <c r="AA30" i="149" s="1"/>
  <c r="AG30" i="148"/>
  <c r="AD30" i="149" s="1"/>
  <c r="AP44" i="148"/>
  <c r="AM44" i="149" s="1"/>
  <c r="AL44" i="148"/>
  <c r="AI44" i="149" s="1"/>
  <c r="AF44" i="148"/>
  <c r="AC44" i="149" s="1"/>
  <c r="AT44" i="148"/>
  <c r="AQ44" i="149" s="1"/>
  <c r="Z44" i="148"/>
  <c r="W44" i="149" s="1"/>
  <c r="AC44" i="148"/>
  <c r="Z44" i="149" s="1"/>
  <c r="AO44" i="148"/>
  <c r="AL44" i="149" s="1"/>
  <c r="P44" i="148"/>
  <c r="K27" i="148"/>
  <c r="AQ27" i="148"/>
  <c r="AN27" i="149" s="1"/>
  <c r="AD27" i="148"/>
  <c r="AA27" i="149" s="1"/>
  <c r="AP27" i="148"/>
  <c r="AM27" i="149" s="1"/>
  <c r="AG27" i="148"/>
  <c r="AD27" i="149" s="1"/>
  <c r="AN27" i="148"/>
  <c r="AK27" i="149" s="1"/>
  <c r="AF27" i="148"/>
  <c r="AC27" i="149" s="1"/>
  <c r="AC27" i="148"/>
  <c r="Z27" i="149" s="1"/>
  <c r="AF42" i="148"/>
  <c r="AC42" i="149" s="1"/>
  <c r="AT42" i="148"/>
  <c r="AQ42" i="149" s="1"/>
  <c r="AN42" i="148"/>
  <c r="AK42" i="149" s="1"/>
  <c r="AE42" i="148"/>
  <c r="AB42" i="149" s="1"/>
  <c r="Y42" i="148"/>
  <c r="V42" i="149" s="1"/>
  <c r="U42" i="148"/>
  <c r="J42" i="148"/>
  <c r="X42" i="148"/>
  <c r="U42" i="149" s="1"/>
  <c r="W42" i="148"/>
  <c r="K43" i="148"/>
  <c r="AO43" i="148"/>
  <c r="AL43" i="149" s="1"/>
  <c r="J43" i="148"/>
  <c r="W43" i="148"/>
  <c r="P43" i="148"/>
  <c r="O43" i="148"/>
  <c r="L43" i="148"/>
  <c r="AL43" i="148"/>
  <c r="AI43" i="149" s="1"/>
  <c r="AR43" i="148"/>
  <c r="AO43" i="149" s="1"/>
  <c r="K30" i="148"/>
  <c r="AJ30" i="148"/>
  <c r="AG30" i="149" s="1"/>
  <c r="AH30" i="148"/>
  <c r="AE30" i="149" s="1"/>
  <c r="AE30" i="148"/>
  <c r="AB30" i="149" s="1"/>
  <c r="J30" i="148"/>
  <c r="Z30" i="148"/>
  <c r="W30" i="149" s="1"/>
  <c r="AT30" i="148"/>
  <c r="AQ30" i="149" s="1"/>
  <c r="AM30" i="148"/>
  <c r="AJ30" i="149" s="1"/>
  <c r="AB44" i="148"/>
  <c r="Y44" i="149" s="1"/>
  <c r="J44" i="148"/>
  <c r="AH44" i="148"/>
  <c r="AE44" i="149" s="1"/>
  <c r="AJ44" i="148"/>
  <c r="AG44" i="149" s="1"/>
  <c r="Y44" i="148"/>
  <c r="V44" i="149" s="1"/>
  <c r="AQ44" i="148"/>
  <c r="AN44" i="149" s="1"/>
  <c r="AU44" i="148"/>
  <c r="AR44" i="149" s="1"/>
  <c r="L44" i="148"/>
  <c r="AK44" i="148"/>
  <c r="AH44" i="149" s="1"/>
  <c r="W63" i="148"/>
  <c r="AA63" i="148"/>
  <c r="X63" i="149" s="1"/>
  <c r="AU63" i="148"/>
  <c r="AR63" i="149" s="1"/>
  <c r="AB63" i="148"/>
  <c r="Y63" i="149" s="1"/>
  <c r="AF63" i="148"/>
  <c r="AC63" i="149" s="1"/>
  <c r="AE63" i="148"/>
  <c r="AB63" i="149" s="1"/>
  <c r="M63" i="148"/>
  <c r="AS63" i="148"/>
  <c r="AP63" i="149" s="1"/>
  <c r="AP63" i="148"/>
  <c r="AM63" i="149" s="1"/>
  <c r="AC64" i="148"/>
  <c r="Z64" i="149" s="1"/>
  <c r="AS64" i="148"/>
  <c r="AP64" i="149" s="1"/>
  <c r="AR64" i="148"/>
  <c r="AO64" i="149" s="1"/>
  <c r="AQ64" i="148"/>
  <c r="AN64" i="149" s="1"/>
  <c r="AA64" i="148"/>
  <c r="X64" i="149" s="1"/>
  <c r="AF64" i="148"/>
  <c r="AC64" i="149" s="1"/>
  <c r="M64" i="148"/>
  <c r="AT64" i="148"/>
  <c r="AQ64" i="149" s="1"/>
  <c r="AB65" i="148"/>
  <c r="Y65" i="149" s="1"/>
  <c r="M65" i="148"/>
  <c r="AK65" i="148"/>
  <c r="AH65" i="149" s="1"/>
  <c r="AM65" i="148"/>
  <c r="AJ65" i="149" s="1"/>
  <c r="W65" i="148"/>
  <c r="AE65" i="148"/>
  <c r="AB65" i="149" s="1"/>
  <c r="N65" i="148"/>
  <c r="P65" i="148"/>
  <c r="AH63" i="148"/>
  <c r="AE63" i="149" s="1"/>
  <c r="O63" i="148"/>
  <c r="AD63" i="148"/>
  <c r="AA63" i="149" s="1"/>
  <c r="U63" i="148"/>
  <c r="AM63" i="148"/>
  <c r="AJ63" i="149" s="1"/>
  <c r="AQ63" i="148"/>
  <c r="AN63" i="149" s="1"/>
  <c r="Y63" i="148"/>
  <c r="V63" i="149" s="1"/>
  <c r="N63" i="148"/>
  <c r="X64" i="148"/>
  <c r="U64" i="149" s="1"/>
  <c r="AB64" i="148"/>
  <c r="Y64" i="149" s="1"/>
  <c r="Y64" i="148"/>
  <c r="V64" i="149" s="1"/>
  <c r="AH64" i="148"/>
  <c r="AE64" i="149" s="1"/>
  <c r="AP64" i="148"/>
  <c r="AM64" i="149" s="1"/>
  <c r="AJ64" i="148"/>
  <c r="AG64" i="149" s="1"/>
  <c r="AL64" i="148"/>
  <c r="AI64" i="149" s="1"/>
  <c r="AG64" i="148"/>
  <c r="AD64" i="149" s="1"/>
  <c r="AO65" i="148"/>
  <c r="AL65" i="149" s="1"/>
  <c r="AR65" i="148"/>
  <c r="AO65" i="149" s="1"/>
  <c r="J65" i="148"/>
  <c r="AA65" i="148"/>
  <c r="X65" i="149" s="1"/>
  <c r="K65" i="148"/>
  <c r="AD65" i="148"/>
  <c r="AA65" i="149" s="1"/>
  <c r="AI65" i="148"/>
  <c r="AF65" i="149" s="1"/>
  <c r="Y65" i="148"/>
  <c r="V65" i="149" s="1"/>
  <c r="Z63" i="148"/>
  <c r="W63" i="149" s="1"/>
  <c r="AR63" i="148"/>
  <c r="AO63" i="149" s="1"/>
  <c r="J63" i="148"/>
  <c r="L63" i="148"/>
  <c r="AN63" i="148"/>
  <c r="AK63" i="149" s="1"/>
  <c r="AJ63" i="148"/>
  <c r="AG63" i="149" s="1"/>
  <c r="X63" i="148"/>
  <c r="U63" i="149" s="1"/>
  <c r="AL63" i="148"/>
  <c r="AI63" i="149" s="1"/>
  <c r="J64" i="148"/>
  <c r="W64" i="148"/>
  <c r="L64" i="148"/>
  <c r="AE64" i="148"/>
  <c r="AB64" i="149" s="1"/>
  <c r="Z64" i="148"/>
  <c r="W64" i="149" s="1"/>
  <c r="AM64" i="148"/>
  <c r="AJ64" i="149" s="1"/>
  <c r="AK64" i="148"/>
  <c r="AH64" i="149" s="1"/>
  <c r="AD64" i="148"/>
  <c r="AA64" i="149" s="1"/>
  <c r="U64" i="148"/>
  <c r="AP65" i="148"/>
  <c r="AM65" i="149" s="1"/>
  <c r="AQ65" i="148"/>
  <c r="AN65" i="149" s="1"/>
  <c r="L65" i="148"/>
  <c r="AJ65" i="148"/>
  <c r="AG65" i="149" s="1"/>
  <c r="AS65" i="148"/>
  <c r="AP65" i="149" s="1"/>
  <c r="AL65" i="148"/>
  <c r="AI65" i="149" s="1"/>
  <c r="AF65" i="148"/>
  <c r="AC65" i="149" s="1"/>
  <c r="AN65" i="148"/>
  <c r="AK65" i="149" s="1"/>
  <c r="AU65" i="148"/>
  <c r="AR65" i="149" s="1"/>
  <c r="P63" i="148"/>
  <c r="K63" i="148"/>
  <c r="AO63" i="148"/>
  <c r="AL63" i="149" s="1"/>
  <c r="AI63" i="148"/>
  <c r="AF63" i="149" s="1"/>
  <c r="AG63" i="148"/>
  <c r="AD63" i="149" s="1"/>
  <c r="AC63" i="148"/>
  <c r="Z63" i="149" s="1"/>
  <c r="AT63" i="148"/>
  <c r="AQ63" i="149" s="1"/>
  <c r="AK63" i="148"/>
  <c r="AH63" i="149" s="1"/>
  <c r="AU64" i="148"/>
  <c r="AR64" i="149" s="1"/>
  <c r="N64" i="148"/>
  <c r="AO64" i="148"/>
  <c r="AL64" i="149" s="1"/>
  <c r="P64" i="148"/>
  <c r="AI64" i="148"/>
  <c r="AF64" i="149" s="1"/>
  <c r="AN64" i="148"/>
  <c r="AK64" i="149" s="1"/>
  <c r="O64" i="148"/>
  <c r="K64" i="148"/>
  <c r="O65" i="148"/>
  <c r="AH65" i="148"/>
  <c r="AE65" i="149" s="1"/>
  <c r="AT65" i="148"/>
  <c r="AQ65" i="149" s="1"/>
  <c r="U65" i="148"/>
  <c r="AG65" i="148"/>
  <c r="AD65" i="149" s="1"/>
  <c r="AC65" i="148"/>
  <c r="Z65" i="149" s="1"/>
  <c r="X65" i="148"/>
  <c r="U65" i="149" s="1"/>
  <c r="Z65" i="148"/>
  <c r="W65" i="149" s="1"/>
  <c r="P38" i="148"/>
  <c r="Z38" i="148"/>
  <c r="W38" i="149" s="1"/>
  <c r="AH38" i="148"/>
  <c r="AE38" i="149" s="1"/>
  <c r="AP38" i="148"/>
  <c r="AM38" i="149" s="1"/>
  <c r="AF38" i="148"/>
  <c r="AC38" i="149" s="1"/>
  <c r="AQ38" i="148"/>
  <c r="AN38" i="149" s="1"/>
  <c r="AR38" i="148"/>
  <c r="AO38" i="149" s="1"/>
  <c r="AC38" i="148"/>
  <c r="Z38" i="149" s="1"/>
  <c r="AI38" i="148"/>
  <c r="AF38" i="149" s="1"/>
  <c r="AR37" i="148"/>
  <c r="AO37" i="149" s="1"/>
  <c r="AD37" i="148"/>
  <c r="AA37" i="149" s="1"/>
  <c r="AU37" i="148"/>
  <c r="AR37" i="149" s="1"/>
  <c r="AH37" i="148"/>
  <c r="AE37" i="149" s="1"/>
  <c r="AC37" i="148"/>
  <c r="Z37" i="149" s="1"/>
  <c r="M37" i="148"/>
  <c r="Y37" i="148"/>
  <c r="V37" i="149" s="1"/>
  <c r="AQ37" i="148"/>
  <c r="AN37" i="149" s="1"/>
  <c r="AL37" i="148"/>
  <c r="AI37" i="149" s="1"/>
  <c r="AM39" i="148"/>
  <c r="AJ39" i="149" s="1"/>
  <c r="AL39" i="148"/>
  <c r="AI39" i="149" s="1"/>
  <c r="N39" i="148"/>
  <c r="J39" i="148"/>
  <c r="AB39" i="148"/>
  <c r="Y39" i="149" s="1"/>
  <c r="M39" i="148"/>
  <c r="AJ39" i="148"/>
  <c r="AG39" i="149" s="1"/>
  <c r="X39" i="148"/>
  <c r="U39" i="149" s="1"/>
  <c r="AK38" i="148"/>
  <c r="AH38" i="149" s="1"/>
  <c r="X38" i="148"/>
  <c r="U38" i="149" s="1"/>
  <c r="AG38" i="148"/>
  <c r="AD38" i="149" s="1"/>
  <c r="AO38" i="148"/>
  <c r="AL38" i="149" s="1"/>
  <c r="K38" i="148"/>
  <c r="AT38" i="148"/>
  <c r="AQ38" i="149" s="1"/>
  <c r="AU38" i="148"/>
  <c r="AR38" i="149" s="1"/>
  <c r="AS38" i="148"/>
  <c r="AP38" i="149" s="1"/>
  <c r="P37" i="148"/>
  <c r="X37" i="148"/>
  <c r="U37" i="149" s="1"/>
  <c r="W37" i="148"/>
  <c r="AP37" i="148"/>
  <c r="AM37" i="149" s="1"/>
  <c r="O37" i="148"/>
  <c r="N37" i="148"/>
  <c r="AG37" i="148"/>
  <c r="AD37" i="149" s="1"/>
  <c r="Z37" i="148"/>
  <c r="W37" i="149" s="1"/>
  <c r="AT37" i="148"/>
  <c r="AQ37" i="149" s="1"/>
  <c r="K39" i="148"/>
  <c r="AF39" i="148"/>
  <c r="AC39" i="149" s="1"/>
  <c r="P39" i="148"/>
  <c r="AR39" i="148"/>
  <c r="AO39" i="149" s="1"/>
  <c r="O39" i="148"/>
  <c r="AD39" i="148"/>
  <c r="AA39" i="149" s="1"/>
  <c r="AC39" i="148"/>
  <c r="Z39" i="149" s="1"/>
  <c r="L39" i="148"/>
  <c r="M38" i="148"/>
  <c r="AJ38" i="148"/>
  <c r="AG38" i="149" s="1"/>
  <c r="AB38" i="148"/>
  <c r="Y38" i="149" s="1"/>
  <c r="AN38" i="148"/>
  <c r="AK38" i="149" s="1"/>
  <c r="AE38" i="148"/>
  <c r="AB38" i="149" s="1"/>
  <c r="AD38" i="148"/>
  <c r="AA38" i="149" s="1"/>
  <c r="AA38" i="148"/>
  <c r="X38" i="149" s="1"/>
  <c r="AL38" i="148"/>
  <c r="AI38" i="149" s="1"/>
  <c r="AI37" i="148"/>
  <c r="AF37" i="149" s="1"/>
  <c r="AN37" i="148"/>
  <c r="AK37" i="149" s="1"/>
  <c r="AF37" i="148"/>
  <c r="AC37" i="149" s="1"/>
  <c r="AM37" i="148"/>
  <c r="AJ37" i="149" s="1"/>
  <c r="J37" i="148"/>
  <c r="AB37" i="148"/>
  <c r="Y37" i="149" s="1"/>
  <c r="AS37" i="148"/>
  <c r="AP37" i="149" s="1"/>
  <c r="AA37" i="148"/>
  <c r="X37" i="149" s="1"/>
  <c r="AS39" i="148"/>
  <c r="AP39" i="149" s="1"/>
  <c r="Y39" i="148"/>
  <c r="V39" i="149" s="1"/>
  <c r="AI39" i="148"/>
  <c r="AF39" i="149" s="1"/>
  <c r="AE39" i="148"/>
  <c r="AB39" i="149" s="1"/>
  <c r="AT39" i="148"/>
  <c r="AQ39" i="149" s="1"/>
  <c r="AN39" i="148"/>
  <c r="AK39" i="149" s="1"/>
  <c r="AH39" i="148"/>
  <c r="AE39" i="149" s="1"/>
  <c r="AA39" i="148"/>
  <c r="X39" i="149" s="1"/>
  <c r="Y38" i="148"/>
  <c r="V38" i="149" s="1"/>
  <c r="L38" i="148"/>
  <c r="U38" i="148"/>
  <c r="W38" i="148"/>
  <c r="O38" i="148"/>
  <c r="N38" i="148"/>
  <c r="J38" i="148"/>
  <c r="AM38" i="148"/>
  <c r="AJ38" i="149" s="1"/>
  <c r="AJ37" i="148"/>
  <c r="AG37" i="149" s="1"/>
  <c r="L37" i="148"/>
  <c r="AE37" i="148"/>
  <c r="AB37" i="149" s="1"/>
  <c r="AO37" i="148"/>
  <c r="AL37" i="149" s="1"/>
  <c r="U37" i="148"/>
  <c r="K37" i="148"/>
  <c r="AK37" i="148"/>
  <c r="AH37" i="149" s="1"/>
  <c r="AQ39" i="148"/>
  <c r="AN39" i="149" s="1"/>
  <c r="AO39" i="148"/>
  <c r="AL39" i="149" s="1"/>
  <c r="AK39" i="148"/>
  <c r="AH39" i="149" s="1"/>
  <c r="AP39" i="148"/>
  <c r="AM39" i="149" s="1"/>
  <c r="AG39" i="148"/>
  <c r="AD39" i="149" s="1"/>
  <c r="U39" i="148"/>
  <c r="W39" i="148"/>
  <c r="AU39" i="148"/>
  <c r="AR39" i="149" s="1"/>
  <c r="Z39" i="148"/>
  <c r="W39" i="149" s="1"/>
  <c r="AL25" i="148"/>
  <c r="AI25" i="149" s="1"/>
  <c r="AQ25" i="148"/>
  <c r="AN25" i="149" s="1"/>
  <c r="AG25" i="148"/>
  <c r="AD25" i="149" s="1"/>
  <c r="AM25" i="148"/>
  <c r="AJ25" i="149" s="1"/>
  <c r="M25" i="148"/>
  <c r="X25" i="148"/>
  <c r="U25" i="149" s="1"/>
  <c r="L25" i="148"/>
  <c r="AP25" i="148"/>
  <c r="AM25" i="149" s="1"/>
  <c r="N24" i="148"/>
  <c r="AI24" i="148"/>
  <c r="AF24" i="149" s="1"/>
  <c r="AJ24" i="148"/>
  <c r="AG24" i="149" s="1"/>
  <c r="AQ24" i="148"/>
  <c r="AN24" i="149" s="1"/>
  <c r="Y24" i="148"/>
  <c r="V24" i="149" s="1"/>
  <c r="AG24" i="148"/>
  <c r="AD24" i="149" s="1"/>
  <c r="AH24" i="148"/>
  <c r="AE24" i="149" s="1"/>
  <c r="M24" i="148"/>
  <c r="AE22" i="148"/>
  <c r="AB22" i="149" s="1"/>
  <c r="N22" i="148"/>
  <c r="K22" i="148"/>
  <c r="AM22" i="148"/>
  <c r="AJ22" i="149" s="1"/>
  <c r="AC22" i="148"/>
  <c r="Z22" i="149" s="1"/>
  <c r="J22" i="148"/>
  <c r="AK22" i="148"/>
  <c r="AH22" i="149" s="1"/>
  <c r="Y22" i="148"/>
  <c r="V22" i="149" s="1"/>
  <c r="AD25" i="148"/>
  <c r="AA25" i="149" s="1"/>
  <c r="K25" i="148"/>
  <c r="N25" i="148"/>
  <c r="O25" i="148"/>
  <c r="AH25" i="148"/>
  <c r="AE25" i="149" s="1"/>
  <c r="AF25" i="148"/>
  <c r="AC25" i="149" s="1"/>
  <c r="AS25" i="148"/>
  <c r="AP25" i="149" s="1"/>
  <c r="Z25" i="148"/>
  <c r="W25" i="149" s="1"/>
  <c r="L24" i="148"/>
  <c r="AK24" i="148"/>
  <c r="AH24" i="149" s="1"/>
  <c r="AP24" i="148"/>
  <c r="AM24" i="149" s="1"/>
  <c r="AC24" i="148"/>
  <c r="Z24" i="149" s="1"/>
  <c r="AU24" i="148"/>
  <c r="AR24" i="149" s="1"/>
  <c r="J24" i="148"/>
  <c r="X24" i="148"/>
  <c r="U24" i="149" s="1"/>
  <c r="Z24" i="148"/>
  <c r="W24" i="149" s="1"/>
  <c r="X22" i="148"/>
  <c r="U22" i="149" s="1"/>
  <c r="W22" i="148"/>
  <c r="U22" i="148"/>
  <c r="AG22" i="148"/>
  <c r="AD22" i="149" s="1"/>
  <c r="O22" i="148"/>
  <c r="AO22" i="148"/>
  <c r="AL22" i="149" s="1"/>
  <c r="AJ22" i="148"/>
  <c r="AG22" i="149" s="1"/>
  <c r="AU22" i="148"/>
  <c r="AR22" i="149" s="1"/>
  <c r="L22" i="148"/>
  <c r="AN25" i="148"/>
  <c r="AK25" i="149" s="1"/>
  <c r="W25" i="148"/>
  <c r="AJ25" i="148"/>
  <c r="AG25" i="149" s="1"/>
  <c r="AB25" i="148"/>
  <c r="Y25" i="149" s="1"/>
  <c r="Y25" i="148"/>
  <c r="V25" i="149" s="1"/>
  <c r="AO25" i="148"/>
  <c r="AL25" i="149" s="1"/>
  <c r="U25" i="148"/>
  <c r="AC25" i="148"/>
  <c r="Z25" i="149" s="1"/>
  <c r="AO24" i="148"/>
  <c r="AL24" i="149" s="1"/>
  <c r="W24" i="148"/>
  <c r="AD24" i="148"/>
  <c r="AA24" i="149" s="1"/>
  <c r="AN24" i="148"/>
  <c r="AK24" i="149" s="1"/>
  <c r="AM24" i="148"/>
  <c r="AJ24" i="149" s="1"/>
  <c r="AB24" i="148"/>
  <c r="Y24" i="149" s="1"/>
  <c r="AS24" i="148"/>
  <c r="AP24" i="149" s="1"/>
  <c r="O24" i="148"/>
  <c r="AA24" i="148"/>
  <c r="X24" i="149" s="1"/>
  <c r="AF22" i="148"/>
  <c r="AC22" i="149" s="1"/>
  <c r="AS22" i="148"/>
  <c r="AP22" i="149" s="1"/>
  <c r="AP22" i="148"/>
  <c r="AM22" i="149" s="1"/>
  <c r="AB22" i="148"/>
  <c r="Y22" i="149" s="1"/>
  <c r="AR22" i="148"/>
  <c r="AO22" i="149" s="1"/>
  <c r="P22" i="148"/>
  <c r="Z22" i="148"/>
  <c r="W22" i="149" s="1"/>
  <c r="AH22" i="148"/>
  <c r="AE22" i="149" s="1"/>
  <c r="AI25" i="148"/>
  <c r="AF25" i="149" s="1"/>
  <c r="AA25" i="148"/>
  <c r="X25" i="149" s="1"/>
  <c r="J25" i="148"/>
  <c r="AT25" i="148"/>
  <c r="AQ25" i="149" s="1"/>
  <c r="P25" i="148"/>
  <c r="AK25" i="148"/>
  <c r="AH25" i="149" s="1"/>
  <c r="AR25" i="148"/>
  <c r="AO25" i="149" s="1"/>
  <c r="AE25" i="148"/>
  <c r="AB25" i="149" s="1"/>
  <c r="AU25" i="148"/>
  <c r="AR25" i="149" s="1"/>
  <c r="AE24" i="148"/>
  <c r="AB24" i="149" s="1"/>
  <c r="U24" i="148"/>
  <c r="AF24" i="148"/>
  <c r="AC24" i="149" s="1"/>
  <c r="K24" i="148"/>
  <c r="AR24" i="148"/>
  <c r="AO24" i="149" s="1"/>
  <c r="AT24" i="148"/>
  <c r="AQ24" i="149" s="1"/>
  <c r="P24" i="148"/>
  <c r="AL24" i="148"/>
  <c r="AI24" i="149" s="1"/>
  <c r="AL22" i="148"/>
  <c r="AI22" i="149" s="1"/>
  <c r="AI22" i="148"/>
  <c r="AF22" i="149" s="1"/>
  <c r="AN22" i="148"/>
  <c r="AK22" i="149" s="1"/>
  <c r="M22" i="148"/>
  <c r="AT22" i="148"/>
  <c r="AQ22" i="149" s="1"/>
  <c r="AQ22" i="148"/>
  <c r="AN22" i="149" s="1"/>
  <c r="AA22" i="148"/>
  <c r="X22" i="149" s="1"/>
  <c r="AD22" i="148"/>
  <c r="AA22" i="149" s="1"/>
  <c r="AD17" i="148"/>
  <c r="AA17" i="149" s="1"/>
  <c r="L17" i="148"/>
  <c r="AR17" i="148"/>
  <c r="AO17" i="149" s="1"/>
  <c r="X17" i="148"/>
  <c r="U17" i="149" s="1"/>
  <c r="Z17" i="148"/>
  <c r="W17" i="149" s="1"/>
  <c r="AT17" i="148"/>
  <c r="AQ17" i="149" s="1"/>
  <c r="W17" i="148"/>
  <c r="AO17" i="148"/>
  <c r="AL17" i="149" s="1"/>
  <c r="AS17" i="148"/>
  <c r="AP17" i="149" s="1"/>
  <c r="AF57" i="148"/>
  <c r="AC57" i="149" s="1"/>
  <c r="AR57" i="148"/>
  <c r="AO57" i="149" s="1"/>
  <c r="Y57" i="148"/>
  <c r="V57" i="149" s="1"/>
  <c r="X57" i="148"/>
  <c r="U57" i="149" s="1"/>
  <c r="AM57" i="148"/>
  <c r="AJ57" i="149" s="1"/>
  <c r="L57" i="148"/>
  <c r="W57" i="148"/>
  <c r="AA57" i="148"/>
  <c r="X57" i="149" s="1"/>
  <c r="AE59" i="148"/>
  <c r="AB59" i="149" s="1"/>
  <c r="AB59" i="148"/>
  <c r="Y59" i="149" s="1"/>
  <c r="AO59" i="148"/>
  <c r="AL59" i="149" s="1"/>
  <c r="U59" i="148"/>
  <c r="K59" i="148"/>
  <c r="AU59" i="148"/>
  <c r="AR59" i="149" s="1"/>
  <c r="AM59" i="148"/>
  <c r="AJ59" i="149" s="1"/>
  <c r="AD59" i="148"/>
  <c r="AA59" i="149" s="1"/>
  <c r="AS60" i="148"/>
  <c r="AP60" i="149" s="1"/>
  <c r="P60" i="148"/>
  <c r="AU60" i="148"/>
  <c r="AR60" i="149" s="1"/>
  <c r="AQ60" i="148"/>
  <c r="AN60" i="149" s="1"/>
  <c r="AA60" i="148"/>
  <c r="X60" i="149" s="1"/>
  <c r="AF60" i="148"/>
  <c r="AC60" i="149" s="1"/>
  <c r="L60" i="148"/>
  <c r="Z60" i="148"/>
  <c r="W60" i="149" s="1"/>
  <c r="AG17" i="148"/>
  <c r="AD17" i="149" s="1"/>
  <c r="Y17" i="148"/>
  <c r="V17" i="149" s="1"/>
  <c r="U17" i="148"/>
  <c r="AM17" i="148"/>
  <c r="AJ17" i="149" s="1"/>
  <c r="AU17" i="148"/>
  <c r="AR17" i="149" s="1"/>
  <c r="P17" i="148"/>
  <c r="K17" i="148"/>
  <c r="AF17" i="148"/>
  <c r="AC17" i="149" s="1"/>
  <c r="AH57" i="148"/>
  <c r="AE57" i="149" s="1"/>
  <c r="AL57" i="148"/>
  <c r="AI57" i="149" s="1"/>
  <c r="N57" i="148"/>
  <c r="O57" i="148"/>
  <c r="AT57" i="148"/>
  <c r="AQ57" i="149" s="1"/>
  <c r="AG57" i="148"/>
  <c r="AD57" i="149" s="1"/>
  <c r="M57" i="148"/>
  <c r="AD57" i="148"/>
  <c r="AA57" i="149" s="1"/>
  <c r="AS59" i="148"/>
  <c r="AP59" i="149" s="1"/>
  <c r="Y59" i="148"/>
  <c r="V59" i="149" s="1"/>
  <c r="AF59" i="148"/>
  <c r="AC59" i="149" s="1"/>
  <c r="AI59" i="148"/>
  <c r="AF59" i="149" s="1"/>
  <c r="W59" i="148"/>
  <c r="AQ59" i="148"/>
  <c r="AN59" i="149" s="1"/>
  <c r="P59" i="148"/>
  <c r="AH59" i="148"/>
  <c r="AE59" i="149" s="1"/>
  <c r="Y60" i="148"/>
  <c r="V60" i="149" s="1"/>
  <c r="AB60" i="148"/>
  <c r="Y60" i="149" s="1"/>
  <c r="AD60" i="148"/>
  <c r="AA60" i="149" s="1"/>
  <c r="N60" i="148"/>
  <c r="AI60" i="148"/>
  <c r="AF60" i="149" s="1"/>
  <c r="AT60" i="148"/>
  <c r="AQ60" i="149" s="1"/>
  <c r="J60" i="148"/>
  <c r="O60" i="148"/>
  <c r="N17" i="148"/>
  <c r="AP17" i="148"/>
  <c r="AM17" i="149" s="1"/>
  <c r="AB17" i="148"/>
  <c r="Y17" i="149" s="1"/>
  <c r="AQ17" i="148"/>
  <c r="AN17" i="149" s="1"/>
  <c r="AL17" i="148"/>
  <c r="AI17" i="149" s="1"/>
  <c r="O17" i="148"/>
  <c r="AJ17" i="148"/>
  <c r="AG17" i="149" s="1"/>
  <c r="AI17" i="148"/>
  <c r="AF17" i="149" s="1"/>
  <c r="AN57" i="148"/>
  <c r="AK57" i="149" s="1"/>
  <c r="AO57" i="148"/>
  <c r="AL57" i="149" s="1"/>
  <c r="AC57" i="148"/>
  <c r="Z57" i="149" s="1"/>
  <c r="AS57" i="148"/>
  <c r="AP57" i="149" s="1"/>
  <c r="AB57" i="148"/>
  <c r="Y57" i="149" s="1"/>
  <c r="AI57" i="148"/>
  <c r="AF57" i="149" s="1"/>
  <c r="P57" i="148"/>
  <c r="AJ57" i="148"/>
  <c r="AG57" i="149" s="1"/>
  <c r="Z57" i="148"/>
  <c r="W57" i="149" s="1"/>
  <c r="AA59" i="148"/>
  <c r="X59" i="149" s="1"/>
  <c r="J59" i="148"/>
  <c r="AC59" i="148"/>
  <c r="Z59" i="149" s="1"/>
  <c r="AN59" i="148"/>
  <c r="AK59" i="149" s="1"/>
  <c r="AK59" i="148"/>
  <c r="AH59" i="149" s="1"/>
  <c r="L59" i="148"/>
  <c r="AR59" i="148"/>
  <c r="AO59" i="149" s="1"/>
  <c r="AJ59" i="148"/>
  <c r="AG59" i="149" s="1"/>
  <c r="M59" i="148"/>
  <c r="M60" i="148"/>
  <c r="X60" i="148"/>
  <c r="U60" i="149" s="1"/>
  <c r="AR60" i="148"/>
  <c r="AO60" i="149" s="1"/>
  <c r="W60" i="148"/>
  <c r="AK60" i="148"/>
  <c r="AH60" i="149" s="1"/>
  <c r="AG60" i="148"/>
  <c r="AD60" i="149" s="1"/>
  <c r="AH60" i="148"/>
  <c r="AE60" i="149" s="1"/>
  <c r="AP60" i="148"/>
  <c r="AM60" i="149" s="1"/>
  <c r="AN60" i="148"/>
  <c r="AK60" i="149" s="1"/>
  <c r="AO60" i="148"/>
  <c r="AL60" i="149" s="1"/>
  <c r="AL60" i="148"/>
  <c r="AI60" i="149" s="1"/>
  <c r="K60" i="148"/>
  <c r="AC60" i="148"/>
  <c r="Z60" i="149" s="1"/>
  <c r="AH17" i="148"/>
  <c r="AE17" i="149" s="1"/>
  <c r="M17" i="148"/>
  <c r="AK17" i="148"/>
  <c r="AH17" i="149" s="1"/>
  <c r="AC17" i="148"/>
  <c r="Z17" i="149" s="1"/>
  <c r="AE17" i="148"/>
  <c r="AB17" i="149" s="1"/>
  <c r="AN17" i="148"/>
  <c r="AK17" i="149" s="1"/>
  <c r="AA17" i="148"/>
  <c r="X17" i="149" s="1"/>
  <c r="J17" i="148"/>
  <c r="AP57" i="148"/>
  <c r="AM57" i="149" s="1"/>
  <c r="AU57" i="148"/>
  <c r="AR57" i="149" s="1"/>
  <c r="AE57" i="148"/>
  <c r="AB57" i="149" s="1"/>
  <c r="U57" i="148"/>
  <c r="AK57" i="148"/>
  <c r="AH57" i="149" s="1"/>
  <c r="AQ57" i="148"/>
  <c r="AN57" i="149" s="1"/>
  <c r="K57" i="148"/>
  <c r="J57" i="148"/>
  <c r="AL59" i="148"/>
  <c r="AI59" i="149" s="1"/>
  <c r="AP59" i="148"/>
  <c r="AM59" i="149" s="1"/>
  <c r="AT59" i="148"/>
  <c r="AQ59" i="149" s="1"/>
  <c r="N59" i="148"/>
  <c r="Z59" i="148"/>
  <c r="W59" i="149" s="1"/>
  <c r="X59" i="148"/>
  <c r="U59" i="149" s="1"/>
  <c r="O59" i="148"/>
  <c r="AG59" i="148"/>
  <c r="AD59" i="149" s="1"/>
  <c r="U60" i="148"/>
  <c r="AE60" i="148"/>
  <c r="AB60" i="149" s="1"/>
  <c r="AJ60" i="148"/>
  <c r="AG60" i="149" s="1"/>
  <c r="AM60" i="148"/>
  <c r="AJ60" i="149" s="1"/>
  <c r="K53" i="148"/>
  <c r="AF53" i="148"/>
  <c r="AC53" i="149" s="1"/>
  <c r="AL53" i="148"/>
  <c r="AI53" i="149" s="1"/>
  <c r="AP53" i="148"/>
  <c r="AM53" i="149" s="1"/>
  <c r="AJ53" i="148"/>
  <c r="AG53" i="149" s="1"/>
  <c r="AS53" i="148"/>
  <c r="AP53" i="149" s="1"/>
  <c r="AA53" i="148"/>
  <c r="X53" i="149" s="1"/>
  <c r="AK53" i="148"/>
  <c r="AH53" i="149" s="1"/>
  <c r="AM20" i="148"/>
  <c r="AJ20" i="149" s="1"/>
  <c r="AE20" i="148"/>
  <c r="AB20" i="149" s="1"/>
  <c r="W20" i="148"/>
  <c r="N20" i="148"/>
  <c r="AH20" i="148"/>
  <c r="AE20" i="149" s="1"/>
  <c r="AG20" i="148"/>
  <c r="AD20" i="149" s="1"/>
  <c r="L20" i="148"/>
  <c r="AP20" i="148"/>
  <c r="AM20" i="149" s="1"/>
  <c r="AU79" i="148"/>
  <c r="AR79" i="149" s="1"/>
  <c r="AE79" i="148"/>
  <c r="AB79" i="149" s="1"/>
  <c r="K79" i="148"/>
  <c r="Y79" i="148"/>
  <c r="V79" i="149" s="1"/>
  <c r="AG79" i="148"/>
  <c r="AD79" i="149" s="1"/>
  <c r="AD79" i="148"/>
  <c r="AA79" i="149" s="1"/>
  <c r="AI79" i="148"/>
  <c r="AF79" i="149" s="1"/>
  <c r="U79" i="148"/>
  <c r="J72" i="148"/>
  <c r="L72" i="148"/>
  <c r="AJ72" i="148"/>
  <c r="AG72" i="149" s="1"/>
  <c r="K72" i="148"/>
  <c r="AG72" i="148"/>
  <c r="AD72" i="149" s="1"/>
  <c r="AC72" i="148"/>
  <c r="Z72" i="149" s="1"/>
  <c r="AQ72" i="148"/>
  <c r="AN72" i="149" s="1"/>
  <c r="AI72" i="148"/>
  <c r="AF72" i="149" s="1"/>
  <c r="AB73" i="148"/>
  <c r="Y73" i="149" s="1"/>
  <c r="AA73" i="148"/>
  <c r="X73" i="149" s="1"/>
  <c r="AE73" i="148"/>
  <c r="AB73" i="149" s="1"/>
  <c r="Z73" i="148"/>
  <c r="W73" i="149" s="1"/>
  <c r="AM73" i="148"/>
  <c r="AJ73" i="149" s="1"/>
  <c r="AU73" i="148"/>
  <c r="AR73" i="149" s="1"/>
  <c r="AN73" i="148"/>
  <c r="AK73" i="149" s="1"/>
  <c r="AH73" i="148"/>
  <c r="AE73" i="149" s="1"/>
  <c r="AM74" i="148"/>
  <c r="AJ74" i="149" s="1"/>
  <c r="AO74" i="148"/>
  <c r="AL74" i="149" s="1"/>
  <c r="L74" i="148"/>
  <c r="AE74" i="148"/>
  <c r="AB74" i="149" s="1"/>
  <c r="AU74" i="148"/>
  <c r="AR74" i="149" s="1"/>
  <c r="J74" i="148"/>
  <c r="AG74" i="148"/>
  <c r="AD74" i="149" s="1"/>
  <c r="AR74" i="148"/>
  <c r="AO74" i="149" s="1"/>
  <c r="AS74" i="148"/>
  <c r="AP74" i="149" s="1"/>
  <c r="AD33" i="148"/>
  <c r="AA33" i="149" s="1"/>
  <c r="M33" i="148"/>
  <c r="AQ33" i="148"/>
  <c r="AN33" i="149" s="1"/>
  <c r="AS33" i="148"/>
  <c r="AP33" i="149" s="1"/>
  <c r="AP33" i="148"/>
  <c r="AM33" i="149" s="1"/>
  <c r="AJ33" i="148"/>
  <c r="AG33" i="149" s="1"/>
  <c r="AL33" i="148"/>
  <c r="AI33" i="149" s="1"/>
  <c r="AU33" i="148"/>
  <c r="AR33" i="149" s="1"/>
  <c r="X54" i="148"/>
  <c r="U54" i="149" s="1"/>
  <c r="O54" i="148"/>
  <c r="AU54" i="148"/>
  <c r="AR54" i="149" s="1"/>
  <c r="AK54" i="148"/>
  <c r="AH54" i="149" s="1"/>
  <c r="AT54" i="148"/>
  <c r="AQ54" i="149" s="1"/>
  <c r="AO54" i="148"/>
  <c r="AL54" i="149" s="1"/>
  <c r="U54" i="148"/>
  <c r="J54" i="148"/>
  <c r="AG70" i="148"/>
  <c r="AD70" i="149" s="1"/>
  <c r="K70" i="148"/>
  <c r="M70" i="148"/>
  <c r="AK70" i="148"/>
  <c r="AH70" i="149" s="1"/>
  <c r="AF70" i="148"/>
  <c r="AC70" i="149" s="1"/>
  <c r="AQ70" i="148"/>
  <c r="AN70" i="149" s="1"/>
  <c r="AJ70" i="148"/>
  <c r="AG70" i="149" s="1"/>
  <c r="AS70" i="148"/>
  <c r="AP70" i="149" s="1"/>
  <c r="AI47" i="148"/>
  <c r="AF47" i="149" s="1"/>
  <c r="AB47" i="148"/>
  <c r="Y47" i="149" s="1"/>
  <c r="AM47" i="148"/>
  <c r="AJ47" i="149" s="1"/>
  <c r="AF47" i="148"/>
  <c r="AC47" i="149" s="1"/>
  <c r="AO47" i="148"/>
  <c r="AL47" i="149" s="1"/>
  <c r="X47" i="148"/>
  <c r="U47" i="149" s="1"/>
  <c r="AQ47" i="148"/>
  <c r="AN47" i="149" s="1"/>
  <c r="P47" i="148"/>
  <c r="Y47" i="148"/>
  <c r="V47" i="149" s="1"/>
  <c r="Y77" i="148"/>
  <c r="V77" i="149" s="1"/>
  <c r="AI77" i="148"/>
  <c r="AF77" i="149" s="1"/>
  <c r="W77" i="148"/>
  <c r="X77" i="148"/>
  <c r="U77" i="149" s="1"/>
  <c r="AR77" i="148"/>
  <c r="AO77" i="149" s="1"/>
  <c r="AP77" i="148"/>
  <c r="AM77" i="149" s="1"/>
  <c r="AE77" i="148"/>
  <c r="AB77" i="149" s="1"/>
  <c r="AD77" i="148"/>
  <c r="AA77" i="149" s="1"/>
  <c r="K77" i="148"/>
  <c r="AC34" i="148"/>
  <c r="Z34" i="149" s="1"/>
  <c r="O34" i="148"/>
  <c r="AA34" i="148"/>
  <c r="X34" i="149" s="1"/>
  <c r="AU34" i="148"/>
  <c r="AR34" i="149" s="1"/>
  <c r="AS34" i="148"/>
  <c r="AP34" i="149" s="1"/>
  <c r="Z34" i="148"/>
  <c r="W34" i="149" s="1"/>
  <c r="AQ34" i="148"/>
  <c r="AN34" i="149" s="1"/>
  <c r="AL34" i="148"/>
  <c r="AI34" i="149" s="1"/>
  <c r="AR55" i="148"/>
  <c r="AO55" i="149" s="1"/>
  <c r="AK55" i="148"/>
  <c r="AH55" i="149" s="1"/>
  <c r="AI55" i="148"/>
  <c r="AF55" i="149" s="1"/>
  <c r="L55" i="148"/>
  <c r="AP55" i="148"/>
  <c r="AM55" i="149" s="1"/>
  <c r="U55" i="148"/>
  <c r="Z55" i="148"/>
  <c r="W55" i="149" s="1"/>
  <c r="AQ55" i="148"/>
  <c r="AN55" i="149" s="1"/>
  <c r="U52" i="148"/>
  <c r="N52" i="148"/>
  <c r="AI52" i="148"/>
  <c r="AF52" i="149" s="1"/>
  <c r="AL52" i="148"/>
  <c r="AI52" i="149" s="1"/>
  <c r="P52" i="148"/>
  <c r="AK52" i="148"/>
  <c r="AH52" i="149" s="1"/>
  <c r="AH52" i="148"/>
  <c r="AE52" i="149" s="1"/>
  <c r="AD52" i="148"/>
  <c r="AA52" i="149" s="1"/>
  <c r="AK68" i="148"/>
  <c r="AH68" i="149" s="1"/>
  <c r="P68" i="148"/>
  <c r="AI68" i="148"/>
  <c r="AF68" i="149" s="1"/>
  <c r="AF68" i="148"/>
  <c r="AC68" i="149" s="1"/>
  <c r="M68" i="148"/>
  <c r="AN68" i="148"/>
  <c r="AK68" i="149" s="1"/>
  <c r="AP68" i="148"/>
  <c r="AM68" i="149" s="1"/>
  <c r="Y68" i="148"/>
  <c r="V68" i="149" s="1"/>
  <c r="AO29" i="148"/>
  <c r="AL29" i="149" s="1"/>
  <c r="AL29" i="148"/>
  <c r="AI29" i="149" s="1"/>
  <c r="X29" i="148"/>
  <c r="U29" i="149" s="1"/>
  <c r="AU29" i="148"/>
  <c r="AR29" i="149" s="1"/>
  <c r="AK29" i="148"/>
  <c r="AH29" i="149" s="1"/>
  <c r="L29" i="148"/>
  <c r="N29" i="148"/>
  <c r="AI29" i="148"/>
  <c r="AF29" i="149" s="1"/>
  <c r="N50" i="148"/>
  <c r="AL50" i="148"/>
  <c r="AI50" i="149" s="1"/>
  <c r="W50" i="148"/>
  <c r="M50" i="148"/>
  <c r="X50" i="148"/>
  <c r="U50" i="149" s="1"/>
  <c r="AA50" i="148"/>
  <c r="X50" i="149" s="1"/>
  <c r="AP50" i="148"/>
  <c r="AM50" i="149" s="1"/>
  <c r="P50" i="148"/>
  <c r="J18" i="148"/>
  <c r="AF18" i="148"/>
  <c r="AC18" i="149" s="1"/>
  <c r="AQ18" i="148"/>
  <c r="AN18" i="149" s="1"/>
  <c r="AD18" i="148"/>
  <c r="AA18" i="149" s="1"/>
  <c r="X18" i="148"/>
  <c r="U18" i="149" s="1"/>
  <c r="AP18" i="148"/>
  <c r="AM18" i="149" s="1"/>
  <c r="AU18" i="148"/>
  <c r="AR18" i="149" s="1"/>
  <c r="AR18" i="148"/>
  <c r="AO18" i="149" s="1"/>
  <c r="L35" i="148"/>
  <c r="Z35" i="148"/>
  <c r="W35" i="149" s="1"/>
  <c r="AR35" i="148"/>
  <c r="AO35" i="149" s="1"/>
  <c r="AQ35" i="148"/>
  <c r="AN35" i="149" s="1"/>
  <c r="W35" i="148"/>
  <c r="AF35" i="148"/>
  <c r="AC35" i="149" s="1"/>
  <c r="AM35" i="148"/>
  <c r="AJ35" i="149" s="1"/>
  <c r="AP35" i="148"/>
  <c r="AM35" i="149" s="1"/>
  <c r="AM69" i="148"/>
  <c r="AJ69" i="149" s="1"/>
  <c r="AK69" i="148"/>
  <c r="AH69" i="149" s="1"/>
  <c r="AS69" i="148"/>
  <c r="AP69" i="149" s="1"/>
  <c r="K69" i="148"/>
  <c r="AA69" i="148"/>
  <c r="X69" i="149" s="1"/>
  <c r="O69" i="148"/>
  <c r="Y69" i="148"/>
  <c r="V69" i="149" s="1"/>
  <c r="AC69" i="148"/>
  <c r="Z69" i="149" s="1"/>
  <c r="Y28" i="148"/>
  <c r="V28" i="149" s="1"/>
  <c r="P28" i="148"/>
  <c r="AG28" i="148"/>
  <c r="AD28" i="149" s="1"/>
  <c r="AD28" i="148"/>
  <c r="AA28" i="149" s="1"/>
  <c r="AL28" i="148"/>
  <c r="AI28" i="149" s="1"/>
  <c r="AM28" i="148"/>
  <c r="AJ28" i="149" s="1"/>
  <c r="U28" i="148"/>
  <c r="AH28" i="148"/>
  <c r="AE28" i="149" s="1"/>
  <c r="AR48" i="148"/>
  <c r="AO48" i="149" s="1"/>
  <c r="AT48" i="148"/>
  <c r="AQ48" i="149" s="1"/>
  <c r="W48" i="148"/>
  <c r="M48" i="148"/>
  <c r="AP48" i="148"/>
  <c r="AM48" i="149" s="1"/>
  <c r="X48" i="148"/>
  <c r="U48" i="149" s="1"/>
  <c r="AI48" i="148"/>
  <c r="AF48" i="149" s="1"/>
  <c r="AQ48" i="148"/>
  <c r="AN48" i="149" s="1"/>
  <c r="AA48" i="148"/>
  <c r="X48" i="149" s="1"/>
  <c r="U53" i="148"/>
  <c r="M53" i="148"/>
  <c r="AQ53" i="148"/>
  <c r="AN53" i="149" s="1"/>
  <c r="P53" i="148"/>
  <c r="AD53" i="148"/>
  <c r="AA53" i="149" s="1"/>
  <c r="AN53" i="148"/>
  <c r="AK53" i="149" s="1"/>
  <c r="AM53" i="148"/>
  <c r="AJ53" i="149" s="1"/>
  <c r="AH53" i="148"/>
  <c r="AE53" i="149" s="1"/>
  <c r="M20" i="148"/>
  <c r="AU20" i="148"/>
  <c r="AR20" i="149" s="1"/>
  <c r="AJ20" i="148"/>
  <c r="AG20" i="149" s="1"/>
  <c r="AS20" i="148"/>
  <c r="AP20" i="149" s="1"/>
  <c r="AK20" i="148"/>
  <c r="AH20" i="149" s="1"/>
  <c r="AR20" i="148"/>
  <c r="AO20" i="149" s="1"/>
  <c r="K20" i="148"/>
  <c r="X20" i="148"/>
  <c r="U20" i="149" s="1"/>
  <c r="AL79" i="148"/>
  <c r="AI79" i="149" s="1"/>
  <c r="AO79" i="148"/>
  <c r="AL79" i="149" s="1"/>
  <c r="AS79" i="148"/>
  <c r="AP79" i="149" s="1"/>
  <c r="AN79" i="148"/>
  <c r="AK79" i="149" s="1"/>
  <c r="AR79" i="148"/>
  <c r="AO79" i="149" s="1"/>
  <c r="AC79" i="148"/>
  <c r="Z79" i="149" s="1"/>
  <c r="AP79" i="148"/>
  <c r="AM79" i="149" s="1"/>
  <c r="P79" i="148"/>
  <c r="M72" i="148"/>
  <c r="W72" i="148"/>
  <c r="AD72" i="148"/>
  <c r="AA72" i="149" s="1"/>
  <c r="AA72" i="148"/>
  <c r="X72" i="149" s="1"/>
  <c r="AS72" i="148"/>
  <c r="AP72" i="149" s="1"/>
  <c r="Y72" i="148"/>
  <c r="V72" i="149" s="1"/>
  <c r="AE72" i="148"/>
  <c r="AB72" i="149" s="1"/>
  <c r="AP72" i="148"/>
  <c r="AM72" i="149" s="1"/>
  <c r="J73" i="148"/>
  <c r="AP73" i="148"/>
  <c r="AM73" i="149" s="1"/>
  <c r="AJ73" i="148"/>
  <c r="AG73" i="149" s="1"/>
  <c r="AF73" i="148"/>
  <c r="AC73" i="149" s="1"/>
  <c r="O73" i="148"/>
  <c r="L73" i="148"/>
  <c r="Y73" i="148"/>
  <c r="V73" i="149" s="1"/>
  <c r="K73" i="148"/>
  <c r="AQ74" i="148"/>
  <c r="AN74" i="149" s="1"/>
  <c r="W74" i="148"/>
  <c r="O74" i="148"/>
  <c r="AH74" i="148"/>
  <c r="AE74" i="149" s="1"/>
  <c r="Z74" i="148"/>
  <c r="W74" i="149" s="1"/>
  <c r="AA74" i="148"/>
  <c r="X74" i="149" s="1"/>
  <c r="AB74" i="148"/>
  <c r="Y74" i="149" s="1"/>
  <c r="M74" i="148"/>
  <c r="AA33" i="148"/>
  <c r="X33" i="149" s="1"/>
  <c r="AR33" i="148"/>
  <c r="AO33" i="149" s="1"/>
  <c r="X33" i="148"/>
  <c r="U33" i="149" s="1"/>
  <c r="N33" i="148"/>
  <c r="AK33" i="148"/>
  <c r="AH33" i="149" s="1"/>
  <c r="AG33" i="148"/>
  <c r="AD33" i="149" s="1"/>
  <c r="Y33" i="148"/>
  <c r="V33" i="149" s="1"/>
  <c r="AH33" i="148"/>
  <c r="AE33" i="149" s="1"/>
  <c r="AO33" i="148"/>
  <c r="AL33" i="149" s="1"/>
  <c r="Y54" i="148"/>
  <c r="V54" i="149" s="1"/>
  <c r="M54" i="148"/>
  <c r="AQ54" i="148"/>
  <c r="AN54" i="149" s="1"/>
  <c r="W54" i="148"/>
  <c r="AM54" i="148"/>
  <c r="AJ54" i="149" s="1"/>
  <c r="AR54" i="148"/>
  <c r="AO54" i="149" s="1"/>
  <c r="N54" i="148"/>
  <c r="K54" i="148"/>
  <c r="AS54" i="148"/>
  <c r="AP54" i="149" s="1"/>
  <c r="AP70" i="148"/>
  <c r="AM70" i="149" s="1"/>
  <c r="AE70" i="148"/>
  <c r="AB70" i="149" s="1"/>
  <c r="W70" i="148"/>
  <c r="AN70" i="148"/>
  <c r="AK70" i="149" s="1"/>
  <c r="AB70" i="148"/>
  <c r="Y70" i="149" s="1"/>
  <c r="J70" i="148"/>
  <c r="P70" i="148"/>
  <c r="AH70" i="148"/>
  <c r="AE70" i="149" s="1"/>
  <c r="N70" i="148"/>
  <c r="N47" i="148"/>
  <c r="AD47" i="148"/>
  <c r="AA47" i="149" s="1"/>
  <c r="AT47" i="148"/>
  <c r="AQ47" i="149" s="1"/>
  <c r="Z47" i="148"/>
  <c r="W47" i="149" s="1"/>
  <c r="AR47" i="148"/>
  <c r="AO47" i="149" s="1"/>
  <c r="AL47" i="148"/>
  <c r="AI47" i="149" s="1"/>
  <c r="U47" i="148"/>
  <c r="AC47" i="148"/>
  <c r="Z47" i="149" s="1"/>
  <c r="AB77" i="148"/>
  <c r="Y77" i="149" s="1"/>
  <c r="AJ77" i="148"/>
  <c r="AG77" i="149" s="1"/>
  <c r="AM77" i="148"/>
  <c r="AJ77" i="149" s="1"/>
  <c r="AK77" i="148"/>
  <c r="AH77" i="149" s="1"/>
  <c r="AS77" i="148"/>
  <c r="AP77" i="149" s="1"/>
  <c r="AL77" i="148"/>
  <c r="AI77" i="149" s="1"/>
  <c r="P77" i="148"/>
  <c r="AC77" i="148"/>
  <c r="Z77" i="149" s="1"/>
  <c r="X34" i="148"/>
  <c r="U34" i="149" s="1"/>
  <c r="N34" i="148"/>
  <c r="W34" i="148"/>
  <c r="AN34" i="148"/>
  <c r="AK34" i="149" s="1"/>
  <c r="AM34" i="148"/>
  <c r="AJ34" i="149" s="1"/>
  <c r="AJ34" i="148"/>
  <c r="AG34" i="149" s="1"/>
  <c r="AH34" i="148"/>
  <c r="AE34" i="149" s="1"/>
  <c r="AO34" i="148"/>
  <c r="AL34" i="149" s="1"/>
  <c r="AB55" i="148"/>
  <c r="Y55" i="149" s="1"/>
  <c r="AH55" i="148"/>
  <c r="AE55" i="149" s="1"/>
  <c r="K55" i="148"/>
  <c r="AL55" i="148"/>
  <c r="AI55" i="149" s="1"/>
  <c r="AA55" i="148"/>
  <c r="X55" i="149" s="1"/>
  <c r="AT55" i="148"/>
  <c r="AQ55" i="149" s="1"/>
  <c r="AD55" i="148"/>
  <c r="AA55" i="149" s="1"/>
  <c r="AM55" i="148"/>
  <c r="AJ55" i="149" s="1"/>
  <c r="P55" i="148"/>
  <c r="AU52" i="148"/>
  <c r="AR52" i="149" s="1"/>
  <c r="AA52" i="148"/>
  <c r="X52" i="149" s="1"/>
  <c r="M52" i="148"/>
  <c r="X52" i="148"/>
  <c r="U52" i="149" s="1"/>
  <c r="AN52" i="148"/>
  <c r="AK52" i="149" s="1"/>
  <c r="AO52" i="148"/>
  <c r="AL52" i="149" s="1"/>
  <c r="W52" i="148"/>
  <c r="J52" i="148"/>
  <c r="AE68" i="148"/>
  <c r="AB68" i="149" s="1"/>
  <c r="O68" i="148"/>
  <c r="AG68" i="148"/>
  <c r="AD68" i="149" s="1"/>
  <c r="AB68" i="148"/>
  <c r="Y68" i="149" s="1"/>
  <c r="AL68" i="148"/>
  <c r="AI68" i="149" s="1"/>
  <c r="AD68" i="148"/>
  <c r="AA68" i="149" s="1"/>
  <c r="K68" i="148"/>
  <c r="AU68" i="148"/>
  <c r="AR68" i="149" s="1"/>
  <c r="AT68" i="148"/>
  <c r="AQ68" i="149" s="1"/>
  <c r="AB29" i="148"/>
  <c r="Y29" i="149" s="1"/>
  <c r="AG29" i="148"/>
  <c r="AD29" i="149" s="1"/>
  <c r="W29" i="148"/>
  <c r="AQ29" i="148"/>
  <c r="AN29" i="149" s="1"/>
  <c r="J29" i="148"/>
  <c r="AN29" i="148"/>
  <c r="AK29" i="149" s="1"/>
  <c r="AD29" i="148"/>
  <c r="AA29" i="149" s="1"/>
  <c r="AA29" i="148"/>
  <c r="X29" i="149" s="1"/>
  <c r="O50" i="148"/>
  <c r="AE50" i="148"/>
  <c r="AB50" i="149" s="1"/>
  <c r="AQ50" i="148"/>
  <c r="AN50" i="149" s="1"/>
  <c r="AI50" i="148"/>
  <c r="AF50" i="149" s="1"/>
  <c r="K50" i="148"/>
  <c r="AH50" i="148"/>
  <c r="AE50" i="149" s="1"/>
  <c r="AR50" i="148"/>
  <c r="AO50" i="149" s="1"/>
  <c r="AC50" i="148"/>
  <c r="Z50" i="149" s="1"/>
  <c r="P18" i="148"/>
  <c r="AA18" i="148"/>
  <c r="X18" i="149" s="1"/>
  <c r="L18" i="148"/>
  <c r="Z18" i="148"/>
  <c r="W18" i="149" s="1"/>
  <c r="M18" i="148"/>
  <c r="AT18" i="148"/>
  <c r="AQ18" i="149" s="1"/>
  <c r="Y18" i="148"/>
  <c r="V18" i="149" s="1"/>
  <c r="AM18" i="148"/>
  <c r="AJ18" i="149" s="1"/>
  <c r="AC18" i="148"/>
  <c r="Z18" i="149" s="1"/>
  <c r="AD35" i="148"/>
  <c r="AA35" i="149" s="1"/>
  <c r="AS35" i="148"/>
  <c r="AP35" i="149" s="1"/>
  <c r="AT35" i="148"/>
  <c r="AQ35" i="149" s="1"/>
  <c r="AH35" i="148"/>
  <c r="AE35" i="149" s="1"/>
  <c r="M35" i="148"/>
  <c r="AN35" i="148"/>
  <c r="AK35" i="149" s="1"/>
  <c r="K35" i="148"/>
  <c r="AG35" i="148"/>
  <c r="AD35" i="149" s="1"/>
  <c r="AB35" i="148"/>
  <c r="Y35" i="149" s="1"/>
  <c r="N69" i="148"/>
  <c r="Z69" i="148"/>
  <c r="W69" i="149" s="1"/>
  <c r="AF69" i="148"/>
  <c r="AC69" i="149" s="1"/>
  <c r="AQ69" i="148"/>
  <c r="AN69" i="149" s="1"/>
  <c r="AG69" i="148"/>
  <c r="AD69" i="149" s="1"/>
  <c r="AB69" i="148"/>
  <c r="Y69" i="149" s="1"/>
  <c r="L69" i="148"/>
  <c r="AN69" i="148"/>
  <c r="AK69" i="149" s="1"/>
  <c r="AN28" i="148"/>
  <c r="AK28" i="149" s="1"/>
  <c r="AP28" i="148"/>
  <c r="AM28" i="149" s="1"/>
  <c r="AB28" i="148"/>
  <c r="Y28" i="149" s="1"/>
  <c r="X28" i="148"/>
  <c r="U28" i="149" s="1"/>
  <c r="AI28" i="148"/>
  <c r="AF28" i="149" s="1"/>
  <c r="AU28" i="148"/>
  <c r="AR28" i="149" s="1"/>
  <c r="J28" i="148"/>
  <c r="AE28" i="148"/>
  <c r="AB28" i="149" s="1"/>
  <c r="AC28" i="148"/>
  <c r="Z28" i="149" s="1"/>
  <c r="AO48" i="148"/>
  <c r="AL48" i="149" s="1"/>
  <c r="U48" i="148"/>
  <c r="AG48" i="148"/>
  <c r="AD48" i="149" s="1"/>
  <c r="N48" i="148"/>
  <c r="AN48" i="148"/>
  <c r="AK48" i="149" s="1"/>
  <c r="AL48" i="148"/>
  <c r="AI48" i="149" s="1"/>
  <c r="P48" i="148"/>
  <c r="AC48" i="148"/>
  <c r="Z48" i="149" s="1"/>
  <c r="AG53" i="148"/>
  <c r="AD53" i="149" s="1"/>
  <c r="AE53" i="148"/>
  <c r="AB53" i="149" s="1"/>
  <c r="Y53" i="148"/>
  <c r="V53" i="149" s="1"/>
  <c r="AO53" i="148"/>
  <c r="AL53" i="149" s="1"/>
  <c r="X53" i="148"/>
  <c r="U53" i="149" s="1"/>
  <c r="AB53" i="148"/>
  <c r="Y53" i="149" s="1"/>
  <c r="Z53" i="148"/>
  <c r="W53" i="149" s="1"/>
  <c r="AU53" i="148"/>
  <c r="AR53" i="149" s="1"/>
  <c r="AO20" i="148"/>
  <c r="AL20" i="149" s="1"/>
  <c r="P20" i="148"/>
  <c r="AL20" i="148"/>
  <c r="AI20" i="149" s="1"/>
  <c r="AB20" i="148"/>
  <c r="Y20" i="149" s="1"/>
  <c r="AI20" i="148"/>
  <c r="AF20" i="149" s="1"/>
  <c r="AQ20" i="148"/>
  <c r="AN20" i="149" s="1"/>
  <c r="AT20" i="148"/>
  <c r="AQ20" i="149" s="1"/>
  <c r="U20" i="148"/>
  <c r="AA20" i="148"/>
  <c r="X20" i="149" s="1"/>
  <c r="AM79" i="148"/>
  <c r="AJ79" i="149" s="1"/>
  <c r="Z79" i="148"/>
  <c r="W79" i="149" s="1"/>
  <c r="M79" i="148"/>
  <c r="L79" i="148"/>
  <c r="AK79" i="148"/>
  <c r="AH79" i="149" s="1"/>
  <c r="AT79" i="148"/>
  <c r="AQ79" i="149" s="1"/>
  <c r="AF79" i="148"/>
  <c r="AC79" i="149" s="1"/>
  <c r="AJ79" i="148"/>
  <c r="AG79" i="149" s="1"/>
  <c r="AA79" i="148"/>
  <c r="X79" i="149" s="1"/>
  <c r="AU72" i="148"/>
  <c r="AR72" i="149" s="1"/>
  <c r="O72" i="148"/>
  <c r="AO72" i="148"/>
  <c r="AL72" i="149" s="1"/>
  <c r="AN72" i="148"/>
  <c r="AK72" i="149" s="1"/>
  <c r="AL72" i="148"/>
  <c r="AI72" i="149" s="1"/>
  <c r="AB72" i="148"/>
  <c r="Y72" i="149" s="1"/>
  <c r="N72" i="148"/>
  <c r="Z72" i="148"/>
  <c r="W72" i="149" s="1"/>
  <c r="P73" i="148"/>
  <c r="AQ73" i="148"/>
  <c r="AN73" i="149" s="1"/>
  <c r="X73" i="148"/>
  <c r="U73" i="149" s="1"/>
  <c r="AI73" i="148"/>
  <c r="AF73" i="149" s="1"/>
  <c r="N73" i="148"/>
  <c r="AT73" i="148"/>
  <c r="AQ73" i="149" s="1"/>
  <c r="AC73" i="148"/>
  <c r="Z73" i="149" s="1"/>
  <c r="AO73" i="148"/>
  <c r="AL73" i="149" s="1"/>
  <c r="AN74" i="148"/>
  <c r="AK74" i="149" s="1"/>
  <c r="AD74" i="148"/>
  <c r="AA74" i="149" s="1"/>
  <c r="X74" i="148"/>
  <c r="U74" i="149" s="1"/>
  <c r="P74" i="148"/>
  <c r="AL74" i="148"/>
  <c r="AI74" i="149" s="1"/>
  <c r="AT74" i="148"/>
  <c r="AQ74" i="149" s="1"/>
  <c r="Y74" i="148"/>
  <c r="V74" i="149" s="1"/>
  <c r="AI74" i="148"/>
  <c r="AF74" i="149" s="1"/>
  <c r="O33" i="148"/>
  <c r="W33" i="148"/>
  <c r="Z33" i="148"/>
  <c r="W33" i="149" s="1"/>
  <c r="AF33" i="148"/>
  <c r="AC33" i="149" s="1"/>
  <c r="J33" i="148"/>
  <c r="AM33" i="148"/>
  <c r="AJ33" i="149" s="1"/>
  <c r="K33" i="148"/>
  <c r="U33" i="148"/>
  <c r="AA54" i="148"/>
  <c r="X54" i="149" s="1"/>
  <c r="AD54" i="148"/>
  <c r="AA54" i="149" s="1"/>
  <c r="AL54" i="148"/>
  <c r="AI54" i="149" s="1"/>
  <c r="AN54" i="148"/>
  <c r="AK54" i="149" s="1"/>
  <c r="P54" i="148"/>
  <c r="L54" i="148"/>
  <c r="AF54" i="148"/>
  <c r="AC54" i="149" s="1"/>
  <c r="Z54" i="148"/>
  <c r="W54" i="149" s="1"/>
  <c r="AA70" i="148"/>
  <c r="X70" i="149" s="1"/>
  <c r="AM70" i="148"/>
  <c r="AJ70" i="149" s="1"/>
  <c r="AD70" i="148"/>
  <c r="AA70" i="149" s="1"/>
  <c r="AI70" i="148"/>
  <c r="AF70" i="149" s="1"/>
  <c r="U70" i="148"/>
  <c r="AL70" i="148"/>
  <c r="AI70" i="149" s="1"/>
  <c r="Z70" i="148"/>
  <c r="W70" i="149" s="1"/>
  <c r="AT70" i="148"/>
  <c r="AQ70" i="149" s="1"/>
  <c r="W47" i="148"/>
  <c r="AE47" i="148"/>
  <c r="AB47" i="149" s="1"/>
  <c r="AS47" i="148"/>
  <c r="AP47" i="149" s="1"/>
  <c r="AG47" i="148"/>
  <c r="AD47" i="149" s="1"/>
  <c r="AA47" i="148"/>
  <c r="X47" i="149" s="1"/>
  <c r="O47" i="148"/>
  <c r="AP47" i="148"/>
  <c r="AM47" i="149" s="1"/>
  <c r="AK47" i="148"/>
  <c r="AH47" i="149" s="1"/>
  <c r="O77" i="148"/>
  <c r="AG77" i="148"/>
  <c r="AD77" i="149" s="1"/>
  <c r="AO77" i="148"/>
  <c r="AL77" i="149" s="1"/>
  <c r="AH77" i="148"/>
  <c r="AE77" i="149" s="1"/>
  <c r="AQ77" i="148"/>
  <c r="AN77" i="149" s="1"/>
  <c r="L77" i="148"/>
  <c r="AU77" i="148"/>
  <c r="AR77" i="149" s="1"/>
  <c r="AT77" i="148"/>
  <c r="AQ77" i="149" s="1"/>
  <c r="AI34" i="148"/>
  <c r="AF34" i="149" s="1"/>
  <c r="L34" i="148"/>
  <c r="U34" i="148"/>
  <c r="AR34" i="148"/>
  <c r="AO34" i="149" s="1"/>
  <c r="M34" i="148"/>
  <c r="P34" i="148"/>
  <c r="AB34" i="148"/>
  <c r="Y34" i="149" s="1"/>
  <c r="AF34" i="148"/>
  <c r="AC34" i="149" s="1"/>
  <c r="AP34" i="148"/>
  <c r="AM34" i="149" s="1"/>
  <c r="AG55" i="148"/>
  <c r="AD55" i="149" s="1"/>
  <c r="AU55" i="148"/>
  <c r="AR55" i="149" s="1"/>
  <c r="AO55" i="148"/>
  <c r="AL55" i="149" s="1"/>
  <c r="J55" i="148"/>
  <c r="O55" i="148"/>
  <c r="Y55" i="148"/>
  <c r="V55" i="149" s="1"/>
  <c r="M55" i="148"/>
  <c r="AJ55" i="148"/>
  <c r="AG55" i="149" s="1"/>
  <c r="AB52" i="148"/>
  <c r="Y52" i="149" s="1"/>
  <c r="AF52" i="148"/>
  <c r="AC52" i="149" s="1"/>
  <c r="Y52" i="148"/>
  <c r="V52" i="149" s="1"/>
  <c r="O52" i="148"/>
  <c r="AE52" i="148"/>
  <c r="AB52" i="149" s="1"/>
  <c r="AQ52" i="148"/>
  <c r="AN52" i="149" s="1"/>
  <c r="AM52" i="148"/>
  <c r="AJ52" i="149" s="1"/>
  <c r="AP52" i="148"/>
  <c r="AM52" i="149" s="1"/>
  <c r="AC52" i="148"/>
  <c r="Z52" i="149" s="1"/>
  <c r="X68" i="148"/>
  <c r="U68" i="149" s="1"/>
  <c r="W68" i="148"/>
  <c r="AQ68" i="148"/>
  <c r="AN68" i="149" s="1"/>
  <c r="AS68" i="148"/>
  <c r="AP68" i="149" s="1"/>
  <c r="AH68" i="148"/>
  <c r="AE68" i="149" s="1"/>
  <c r="J68" i="148"/>
  <c r="Z68" i="148"/>
  <c r="W68" i="149" s="1"/>
  <c r="N68" i="148"/>
  <c r="AE29" i="148"/>
  <c r="AB29" i="149" s="1"/>
  <c r="AS29" i="148"/>
  <c r="AP29" i="149" s="1"/>
  <c r="AM29" i="148"/>
  <c r="AJ29" i="149" s="1"/>
  <c r="AH29" i="148"/>
  <c r="AE29" i="149" s="1"/>
  <c r="AF29" i="148"/>
  <c r="AC29" i="149" s="1"/>
  <c r="K29" i="148"/>
  <c r="P29" i="148"/>
  <c r="AJ29" i="148"/>
  <c r="AG29" i="149" s="1"/>
  <c r="J50" i="148"/>
  <c r="AB50" i="148"/>
  <c r="Y50" i="149" s="1"/>
  <c r="AD50" i="148"/>
  <c r="AA50" i="149" s="1"/>
  <c r="AF50" i="148"/>
  <c r="AC50" i="149" s="1"/>
  <c r="AU50" i="148"/>
  <c r="AR50" i="149" s="1"/>
  <c r="L50" i="148"/>
  <c r="AG50" i="148"/>
  <c r="AD50" i="149" s="1"/>
  <c r="AO50" i="148"/>
  <c r="AL50" i="149" s="1"/>
  <c r="U50" i="148"/>
  <c r="AG18" i="148"/>
  <c r="AD18" i="149" s="1"/>
  <c r="K18" i="148"/>
  <c r="W18" i="148"/>
  <c r="O18" i="148"/>
  <c r="U18" i="148"/>
  <c r="AJ18" i="148"/>
  <c r="AG18" i="149" s="1"/>
  <c r="AL18" i="148"/>
  <c r="AI18" i="149" s="1"/>
  <c r="AO18" i="148"/>
  <c r="AL18" i="149" s="1"/>
  <c r="O35" i="148"/>
  <c r="AU35" i="148"/>
  <c r="AR35" i="149" s="1"/>
  <c r="Y35" i="148"/>
  <c r="V35" i="149" s="1"/>
  <c r="AA35" i="148"/>
  <c r="X35" i="149" s="1"/>
  <c r="AC35" i="148"/>
  <c r="Z35" i="149" s="1"/>
  <c r="AJ35" i="148"/>
  <c r="AG35" i="149" s="1"/>
  <c r="AL35" i="148"/>
  <c r="AI35" i="149" s="1"/>
  <c r="AE35" i="148"/>
  <c r="AB35" i="149" s="1"/>
  <c r="W69" i="148"/>
  <c r="AJ69" i="148"/>
  <c r="AG69" i="149" s="1"/>
  <c r="AU69" i="148"/>
  <c r="AR69" i="149" s="1"/>
  <c r="AL69" i="148"/>
  <c r="AI69" i="149" s="1"/>
  <c r="AD69" i="148"/>
  <c r="AA69" i="149" s="1"/>
  <c r="AH69" i="148"/>
  <c r="AE69" i="149" s="1"/>
  <c r="P69" i="148"/>
  <c r="M69" i="148"/>
  <c r="J69" i="148"/>
  <c r="Z28" i="148"/>
  <c r="W28" i="149" s="1"/>
  <c r="AS28" i="148"/>
  <c r="AP28" i="149" s="1"/>
  <c r="L28" i="148"/>
  <c r="W28" i="148"/>
  <c r="AR28" i="148"/>
  <c r="AO28" i="149" s="1"/>
  <c r="O28" i="148"/>
  <c r="K28" i="148"/>
  <c r="AT28" i="148"/>
  <c r="AQ28" i="149" s="1"/>
  <c r="L48" i="148"/>
  <c r="K48" i="148"/>
  <c r="AM48" i="148"/>
  <c r="AJ48" i="149" s="1"/>
  <c r="O48" i="148"/>
  <c r="J48" i="148"/>
  <c r="AU48" i="148"/>
  <c r="AR48" i="149" s="1"/>
  <c r="AD48" i="148"/>
  <c r="AA48" i="149" s="1"/>
  <c r="J53" i="148"/>
  <c r="N53" i="148"/>
  <c r="AR53" i="148"/>
  <c r="AO53" i="149" s="1"/>
  <c r="AC53" i="148"/>
  <c r="Z53" i="149" s="1"/>
  <c r="W53" i="148"/>
  <c r="O53" i="148"/>
  <c r="AT53" i="148"/>
  <c r="AQ53" i="149" s="1"/>
  <c r="L53" i="148"/>
  <c r="AI53" i="148"/>
  <c r="AF53" i="149" s="1"/>
  <c r="Z20" i="148"/>
  <c r="W20" i="149" s="1"/>
  <c r="O20" i="148"/>
  <c r="J20" i="148"/>
  <c r="Y20" i="148"/>
  <c r="V20" i="149" s="1"/>
  <c r="AN20" i="148"/>
  <c r="AK20" i="149" s="1"/>
  <c r="AC20" i="148"/>
  <c r="Z20" i="149" s="1"/>
  <c r="AD20" i="148"/>
  <c r="AA20" i="149" s="1"/>
  <c r="AF20" i="148"/>
  <c r="AC20" i="149" s="1"/>
  <c r="AH79" i="148"/>
  <c r="AE79" i="149" s="1"/>
  <c r="AQ79" i="148"/>
  <c r="AN79" i="149" s="1"/>
  <c r="J79" i="148"/>
  <c r="O79" i="148"/>
  <c r="W79" i="148"/>
  <c r="X79" i="148"/>
  <c r="U79" i="149" s="1"/>
  <c r="AB79" i="148"/>
  <c r="Y79" i="149" s="1"/>
  <c r="N79" i="148"/>
  <c r="U72" i="148"/>
  <c r="X72" i="148"/>
  <c r="U72" i="149" s="1"/>
  <c r="AF72" i="148"/>
  <c r="AC72" i="149" s="1"/>
  <c r="AR72" i="148"/>
  <c r="AO72" i="149" s="1"/>
  <c r="P72" i="148"/>
  <c r="AK72" i="148"/>
  <c r="AH72" i="149" s="1"/>
  <c r="AH72" i="148"/>
  <c r="AE72" i="149" s="1"/>
  <c r="AT72" i="148"/>
  <c r="AQ72" i="149" s="1"/>
  <c r="AM72" i="148"/>
  <c r="AJ72" i="149" s="1"/>
  <c r="U73" i="148"/>
  <c r="AG73" i="148"/>
  <c r="AD73" i="149" s="1"/>
  <c r="AK73" i="148"/>
  <c r="AH73" i="149" s="1"/>
  <c r="AD73" i="148"/>
  <c r="AA73" i="149" s="1"/>
  <c r="AL73" i="148"/>
  <c r="AI73" i="149" s="1"/>
  <c r="W73" i="148"/>
  <c r="AR73" i="148"/>
  <c r="AO73" i="149" s="1"/>
  <c r="M73" i="148"/>
  <c r="AS73" i="148"/>
  <c r="AP73" i="149" s="1"/>
  <c r="AJ74" i="148"/>
  <c r="AG74" i="149" s="1"/>
  <c r="AP74" i="148"/>
  <c r="AM74" i="149" s="1"/>
  <c r="K74" i="148"/>
  <c r="AC74" i="148"/>
  <c r="Z74" i="149" s="1"/>
  <c r="AK74" i="148"/>
  <c r="AH74" i="149" s="1"/>
  <c r="AF74" i="148"/>
  <c r="AC74" i="149" s="1"/>
  <c r="N74" i="148"/>
  <c r="U74" i="148"/>
  <c r="L33" i="148"/>
  <c r="AI33" i="148"/>
  <c r="AF33" i="149" s="1"/>
  <c r="P33" i="148"/>
  <c r="AE33" i="148"/>
  <c r="AB33" i="149" s="1"/>
  <c r="AT33" i="148"/>
  <c r="AQ33" i="149" s="1"/>
  <c r="AN33" i="148"/>
  <c r="AK33" i="149" s="1"/>
  <c r="AC33" i="148"/>
  <c r="Z33" i="149" s="1"/>
  <c r="AB33" i="148"/>
  <c r="Y33" i="149" s="1"/>
  <c r="AB54" i="148"/>
  <c r="Y54" i="149" s="1"/>
  <c r="AG54" i="148"/>
  <c r="AD54" i="149" s="1"/>
  <c r="AP54" i="148"/>
  <c r="AM54" i="149" s="1"/>
  <c r="AE54" i="148"/>
  <c r="AB54" i="149" s="1"/>
  <c r="AC54" i="148"/>
  <c r="Z54" i="149" s="1"/>
  <c r="AH54" i="148"/>
  <c r="AE54" i="149" s="1"/>
  <c r="AJ54" i="148"/>
  <c r="AG54" i="149" s="1"/>
  <c r="AI54" i="148"/>
  <c r="AF54" i="149" s="1"/>
  <c r="Y70" i="148"/>
  <c r="V70" i="149" s="1"/>
  <c r="AR70" i="148"/>
  <c r="AO70" i="149" s="1"/>
  <c r="AC70" i="148"/>
  <c r="Z70" i="149" s="1"/>
  <c r="L70" i="148"/>
  <c r="X70" i="148"/>
  <c r="U70" i="149" s="1"/>
  <c r="AO70" i="148"/>
  <c r="AL70" i="149" s="1"/>
  <c r="O70" i="148"/>
  <c r="AU70" i="148"/>
  <c r="AR70" i="149" s="1"/>
  <c r="AU47" i="148"/>
  <c r="AR47" i="149" s="1"/>
  <c r="AH47" i="148"/>
  <c r="AE47" i="149" s="1"/>
  <c r="AN47" i="148"/>
  <c r="AK47" i="149" s="1"/>
  <c r="J47" i="148"/>
  <c r="AJ47" i="148"/>
  <c r="AG47" i="149" s="1"/>
  <c r="K47" i="148"/>
  <c r="M47" i="148"/>
  <c r="L47" i="148"/>
  <c r="J77" i="148"/>
  <c r="AA77" i="148"/>
  <c r="X77" i="149" s="1"/>
  <c r="AN77" i="148"/>
  <c r="AK77" i="149" s="1"/>
  <c r="Z77" i="148"/>
  <c r="W77" i="149" s="1"/>
  <c r="U77" i="148"/>
  <c r="M77" i="148"/>
  <c r="AF77" i="148"/>
  <c r="AC77" i="149" s="1"/>
  <c r="N77" i="148"/>
  <c r="AG34" i="148"/>
  <c r="AD34" i="149" s="1"/>
  <c r="J34" i="148"/>
  <c r="AD34" i="148"/>
  <c r="AA34" i="149" s="1"/>
  <c r="AE34" i="148"/>
  <c r="AB34" i="149" s="1"/>
  <c r="Y34" i="148"/>
  <c r="V34" i="149" s="1"/>
  <c r="K34" i="148"/>
  <c r="AT34" i="148"/>
  <c r="AQ34" i="149" s="1"/>
  <c r="AK34" i="148"/>
  <c r="AH34" i="149" s="1"/>
  <c r="W55" i="148"/>
  <c r="N55" i="148"/>
  <c r="AN55" i="148"/>
  <c r="AK55" i="149" s="1"/>
  <c r="AS55" i="148"/>
  <c r="AP55" i="149" s="1"/>
  <c r="AC55" i="148"/>
  <c r="Z55" i="149" s="1"/>
  <c r="AE55" i="148"/>
  <c r="AB55" i="149" s="1"/>
  <c r="AF55" i="148"/>
  <c r="AC55" i="149" s="1"/>
  <c r="X55" i="148"/>
  <c r="U55" i="149" s="1"/>
  <c r="AR52" i="148"/>
  <c r="AO52" i="149" s="1"/>
  <c r="AT52" i="148"/>
  <c r="AQ52" i="149" s="1"/>
  <c r="K52" i="148"/>
  <c r="L52" i="148"/>
  <c r="AJ52" i="148"/>
  <c r="AG52" i="149" s="1"/>
  <c r="Z52" i="148"/>
  <c r="W52" i="149" s="1"/>
  <c r="AG52" i="148"/>
  <c r="AD52" i="149" s="1"/>
  <c r="AS52" i="148"/>
  <c r="AP52" i="149" s="1"/>
  <c r="AO68" i="148"/>
  <c r="AL68" i="149" s="1"/>
  <c r="L68" i="148"/>
  <c r="AM68" i="148"/>
  <c r="AJ68" i="149" s="1"/>
  <c r="U68" i="148"/>
  <c r="AR68" i="148"/>
  <c r="AO68" i="149" s="1"/>
  <c r="AC68" i="148"/>
  <c r="Z68" i="149" s="1"/>
  <c r="AJ68" i="148"/>
  <c r="AG68" i="149" s="1"/>
  <c r="AA68" i="148"/>
  <c r="X68" i="149" s="1"/>
  <c r="M29" i="148"/>
  <c r="O29" i="148"/>
  <c r="Z29" i="148"/>
  <c r="W29" i="149" s="1"/>
  <c r="AR29" i="148"/>
  <c r="AO29" i="149" s="1"/>
  <c r="AP29" i="148"/>
  <c r="AM29" i="149" s="1"/>
  <c r="Y29" i="148"/>
  <c r="V29" i="149" s="1"/>
  <c r="AT29" i="148"/>
  <c r="AQ29" i="149" s="1"/>
  <c r="U29" i="148"/>
  <c r="AC29" i="148"/>
  <c r="Z29" i="149" s="1"/>
  <c r="AK50" i="148"/>
  <c r="AH50" i="149" s="1"/>
  <c r="AN50" i="148"/>
  <c r="AK50" i="149" s="1"/>
  <c r="AM50" i="148"/>
  <c r="AJ50" i="149" s="1"/>
  <c r="Y50" i="148"/>
  <c r="V50" i="149" s="1"/>
  <c r="AT50" i="148"/>
  <c r="AQ50" i="149" s="1"/>
  <c r="AS50" i="148"/>
  <c r="AP50" i="149" s="1"/>
  <c r="AJ50" i="148"/>
  <c r="AG50" i="149" s="1"/>
  <c r="Z50" i="148"/>
  <c r="W50" i="149" s="1"/>
  <c r="AS18" i="148"/>
  <c r="AP18" i="149" s="1"/>
  <c r="AE18" i="148"/>
  <c r="AB18" i="149" s="1"/>
  <c r="AK18" i="148"/>
  <c r="AH18" i="149" s="1"/>
  <c r="AB18" i="148"/>
  <c r="Y18" i="149" s="1"/>
  <c r="AH18" i="148"/>
  <c r="AE18" i="149" s="1"/>
  <c r="AN18" i="148"/>
  <c r="AK18" i="149" s="1"/>
  <c r="N18" i="148"/>
  <c r="AI18" i="148"/>
  <c r="AF18" i="149" s="1"/>
  <c r="AO35" i="148"/>
  <c r="AL35" i="149" s="1"/>
  <c r="X35" i="148"/>
  <c r="U35" i="149" s="1"/>
  <c r="P35" i="148"/>
  <c r="J35" i="148"/>
  <c r="U35" i="148"/>
  <c r="AK35" i="148"/>
  <c r="AH35" i="149" s="1"/>
  <c r="AI35" i="148"/>
  <c r="AF35" i="149" s="1"/>
  <c r="N35" i="148"/>
  <c r="AR69" i="148"/>
  <c r="AO69" i="149" s="1"/>
  <c r="AI69" i="148"/>
  <c r="AF69" i="149" s="1"/>
  <c r="AO69" i="148"/>
  <c r="AL69" i="149" s="1"/>
  <c r="X69" i="148"/>
  <c r="U69" i="149" s="1"/>
  <c r="AE69" i="148"/>
  <c r="AB69" i="149" s="1"/>
  <c r="AT69" i="148"/>
  <c r="AQ69" i="149" s="1"/>
  <c r="AP69" i="148"/>
  <c r="AM69" i="149" s="1"/>
  <c r="U69" i="148"/>
  <c r="AO28" i="148"/>
  <c r="AL28" i="149" s="1"/>
  <c r="N28" i="148"/>
  <c r="AK28" i="148"/>
  <c r="AH28" i="149" s="1"/>
  <c r="AA28" i="148"/>
  <c r="X28" i="149" s="1"/>
  <c r="AQ28" i="148"/>
  <c r="AN28" i="149" s="1"/>
  <c r="AF28" i="148"/>
  <c r="AC28" i="149" s="1"/>
  <c r="M28" i="148"/>
  <c r="AJ28" i="148"/>
  <c r="AG28" i="149" s="1"/>
  <c r="AJ48" i="148"/>
  <c r="AG48" i="149" s="1"/>
  <c r="AK48" i="148"/>
  <c r="AH48" i="149" s="1"/>
  <c r="Z48" i="148"/>
  <c r="W48" i="149" s="1"/>
  <c r="AB48" i="148"/>
  <c r="Y48" i="149" s="1"/>
  <c r="AS48" i="148"/>
  <c r="AP48" i="149" s="1"/>
  <c r="Y48" i="148"/>
  <c r="V48" i="149" s="1"/>
  <c r="AH48" i="148"/>
  <c r="AE48" i="149" s="1"/>
  <c r="AE48" i="148"/>
  <c r="AB48" i="149" s="1"/>
  <c r="AF48" i="148"/>
  <c r="AC48" i="149" s="1"/>
  <c r="D802" i="154" l="1"/>
  <c r="D83" i="149"/>
  <c r="D109" i="149"/>
  <c r="D62" i="149"/>
  <c r="D105" i="149"/>
  <c r="D118" i="149"/>
  <c r="D40" i="149"/>
  <c r="D114" i="149"/>
  <c r="D127" i="149"/>
  <c r="D135" i="149"/>
  <c r="D92" i="149"/>
  <c r="D88" i="149"/>
  <c r="D136" i="149"/>
  <c r="D93" i="149"/>
  <c r="D103" i="149"/>
  <c r="D154" i="149"/>
  <c r="D152" i="149"/>
  <c r="D108" i="149"/>
  <c r="D110" i="149"/>
  <c r="D97" i="149"/>
  <c r="D101" i="149"/>
  <c r="D146" i="149"/>
  <c r="D141" i="149"/>
  <c r="D87" i="149"/>
  <c r="D49" i="149"/>
  <c r="D32" i="149"/>
  <c r="D67" i="149"/>
  <c r="D75" i="149"/>
  <c r="D148" i="149"/>
  <c r="D58" i="149"/>
  <c r="D145" i="149"/>
  <c r="D147" i="149"/>
  <c r="D124" i="149"/>
  <c r="D159" i="149"/>
  <c r="D139" i="149"/>
  <c r="D125" i="149"/>
  <c r="D134" i="149"/>
  <c r="D130" i="149"/>
  <c r="D86" i="149"/>
  <c r="D131" i="149"/>
  <c r="D121" i="149"/>
  <c r="D89" i="149"/>
  <c r="D19" i="149"/>
  <c r="D150" i="149"/>
  <c r="D133" i="149"/>
  <c r="D143" i="149"/>
  <c r="D149" i="149"/>
  <c r="D160" i="149"/>
  <c r="D104" i="149"/>
  <c r="D123" i="149"/>
  <c r="D119" i="149"/>
  <c r="D23" i="149"/>
  <c r="D120" i="149"/>
  <c r="D122" i="149"/>
  <c r="D113" i="149"/>
  <c r="D128" i="149"/>
  <c r="D45" i="149"/>
  <c r="D116" i="149"/>
  <c r="D91" i="149"/>
  <c r="D84" i="149"/>
  <c r="D132" i="149"/>
  <c r="D142" i="149"/>
  <c r="D95" i="149"/>
  <c r="D94" i="149"/>
  <c r="D102" i="149"/>
  <c r="D117" i="149"/>
  <c r="D138" i="149"/>
  <c r="D137" i="149"/>
  <c r="D155" i="149"/>
  <c r="D112" i="149"/>
  <c r="D99" i="149"/>
  <c r="D129" i="149"/>
  <c r="D151" i="149"/>
  <c r="D90" i="149"/>
  <c r="D126" i="149"/>
  <c r="AR6" i="149"/>
  <c r="D803" i="154" l="1"/>
  <c r="C15" i="148"/>
  <c r="Q15" i="148" s="1"/>
  <c r="C12" i="149"/>
  <c r="C14" i="149"/>
  <c r="D804" i="154" l="1"/>
  <c r="R15" i="148"/>
  <c r="I15" i="148"/>
  <c r="H15" i="148"/>
  <c r="V15" i="148"/>
  <c r="E15" i="148"/>
  <c r="F15" i="148"/>
  <c r="CZ14" i="149"/>
  <c r="DB14" i="149"/>
  <c r="CY14" i="149"/>
  <c r="DA14" i="149"/>
  <c r="C12" i="148"/>
  <c r="Q12" i="148" s="1"/>
  <c r="C14" i="148"/>
  <c r="Q14" i="148" s="1"/>
  <c r="CZ12" i="149"/>
  <c r="DA12" i="149"/>
  <c r="DB12" i="149"/>
  <c r="C10" i="148"/>
  <c r="Q10" i="148" s="1"/>
  <c r="C8" i="148"/>
  <c r="C8" i="149"/>
  <c r="C10" i="149"/>
  <c r="C9" i="148"/>
  <c r="C7" i="149"/>
  <c r="C7" i="148"/>
  <c r="Q7" i="148" s="1"/>
  <c r="C9" i="149"/>
  <c r="C15" i="149"/>
  <c r="C13" i="149"/>
  <c r="C13" i="148"/>
  <c r="Q13" i="148" s="1"/>
  <c r="AB15" i="148"/>
  <c r="D805" i="154" l="1"/>
  <c r="Q8" i="148"/>
  <c r="AA8" i="148"/>
  <c r="X8" i="149" s="1"/>
  <c r="Q9" i="148"/>
  <c r="Z9" i="148"/>
  <c r="W9" i="149" s="1"/>
  <c r="BM9" i="148"/>
  <c r="BJ9" i="149" s="1"/>
  <c r="BI9" i="148"/>
  <c r="BF9" i="149" s="1"/>
  <c r="BJ9" i="148"/>
  <c r="BG9" i="149" s="1"/>
  <c r="BN9" i="148"/>
  <c r="BK9" i="149" s="1"/>
  <c r="BH9" i="148"/>
  <c r="BE9" i="149" s="1"/>
  <c r="BL9" i="148"/>
  <c r="BI9" i="149" s="1"/>
  <c r="BK9" i="148"/>
  <c r="BH9" i="149" s="1"/>
  <c r="AZ9" i="148"/>
  <c r="AW9" i="149" s="1"/>
  <c r="BO9" i="148"/>
  <c r="BC9" i="148"/>
  <c r="AZ9" i="149" s="1"/>
  <c r="BB9" i="148"/>
  <c r="AY9" i="149" s="1"/>
  <c r="BA9" i="148"/>
  <c r="AX9" i="149" s="1"/>
  <c r="BM10" i="148"/>
  <c r="BJ10" i="149" s="1"/>
  <c r="BI10" i="148"/>
  <c r="BF10" i="149" s="1"/>
  <c r="BL10" i="148"/>
  <c r="BI10" i="149" s="1"/>
  <c r="BK10" i="148"/>
  <c r="BH10" i="149" s="1"/>
  <c r="BO10" i="148"/>
  <c r="BJ10" i="148"/>
  <c r="BG10" i="149" s="1"/>
  <c r="BN10" i="148"/>
  <c r="BK10" i="149" s="1"/>
  <c r="BH10" i="148"/>
  <c r="BE10" i="149" s="1"/>
  <c r="AZ10" i="148"/>
  <c r="AW10" i="149" s="1"/>
  <c r="BA10" i="148"/>
  <c r="AX10" i="149" s="1"/>
  <c r="BC10" i="148"/>
  <c r="AZ10" i="149" s="1"/>
  <c r="BB10" i="148"/>
  <c r="AY10" i="149" s="1"/>
  <c r="BM7" i="148"/>
  <c r="BJ7" i="149" s="1"/>
  <c r="BI7" i="148"/>
  <c r="BF7" i="149" s="1"/>
  <c r="BO7" i="148"/>
  <c r="BN7" i="148"/>
  <c r="BK7" i="149" s="1"/>
  <c r="BH7" i="148"/>
  <c r="BE7" i="149" s="1"/>
  <c r="BL7" i="148"/>
  <c r="BI7" i="149" s="1"/>
  <c r="BK7" i="148"/>
  <c r="BH7" i="149" s="1"/>
  <c r="AZ7" i="148"/>
  <c r="AW7" i="149" s="1"/>
  <c r="BJ7" i="148"/>
  <c r="BG7" i="149" s="1"/>
  <c r="BB7" i="148"/>
  <c r="AY7" i="149" s="1"/>
  <c r="BC7" i="148"/>
  <c r="AZ7" i="149" s="1"/>
  <c r="BA7" i="148"/>
  <c r="AX7" i="149" s="1"/>
  <c r="BM8" i="148"/>
  <c r="BJ8" i="149" s="1"/>
  <c r="BI8" i="148"/>
  <c r="BF8" i="149" s="1"/>
  <c r="BK8" i="148"/>
  <c r="BH8" i="149" s="1"/>
  <c r="BO8" i="148"/>
  <c r="BJ8" i="148"/>
  <c r="BG8" i="149" s="1"/>
  <c r="BN8" i="148"/>
  <c r="BK8" i="149" s="1"/>
  <c r="BH8" i="148"/>
  <c r="BE8" i="149" s="1"/>
  <c r="AZ8" i="148"/>
  <c r="AW8" i="149" s="1"/>
  <c r="BL8" i="148"/>
  <c r="BI8" i="149" s="1"/>
  <c r="BB8" i="148"/>
  <c r="AY8" i="149" s="1"/>
  <c r="BA8" i="148"/>
  <c r="AX8" i="149" s="1"/>
  <c r="BC8" i="148"/>
  <c r="AZ8" i="149" s="1"/>
  <c r="BK14" i="148"/>
  <c r="BH14" i="149" s="1"/>
  <c r="D15" i="148"/>
  <c r="Y15" i="149"/>
  <c r="DA15" i="149"/>
  <c r="DB15" i="149"/>
  <c r="CZ15" i="149"/>
  <c r="H9" i="148"/>
  <c r="F9" i="148"/>
  <c r="V9" i="148"/>
  <c r="E9" i="148"/>
  <c r="R9" i="148"/>
  <c r="I9" i="148"/>
  <c r="BX9" i="148"/>
  <c r="BU9" i="149" s="1"/>
  <c r="CY9" i="148"/>
  <c r="CV9" i="149" s="1"/>
  <c r="CP9" i="148"/>
  <c r="CM9" i="149" s="1"/>
  <c r="CJ9" i="148"/>
  <c r="CG9" i="149" s="1"/>
  <c r="CS9" i="148"/>
  <c r="CP9" i="149" s="1"/>
  <c r="CF9" i="148"/>
  <c r="CC9" i="149" s="1"/>
  <c r="CK9" i="148"/>
  <c r="CH9" i="149" s="1"/>
  <c r="BD9" i="148"/>
  <c r="BA9" i="149" s="1"/>
  <c r="AV9" i="148"/>
  <c r="AS9" i="149" s="1"/>
  <c r="BS9" i="148"/>
  <c r="BP9" i="149" s="1"/>
  <c r="BV9" i="148"/>
  <c r="BS9" i="149" s="1"/>
  <c r="X9" i="148"/>
  <c r="U9" i="149" s="1"/>
  <c r="AI9" i="148"/>
  <c r="AF9" i="149" s="1"/>
  <c r="AN9" i="148"/>
  <c r="AK9" i="149" s="1"/>
  <c r="AU9" i="148"/>
  <c r="AR9" i="149" s="1"/>
  <c r="AQ9" i="148"/>
  <c r="AN9" i="149" s="1"/>
  <c r="AO9" i="148"/>
  <c r="AL9" i="149" s="1"/>
  <c r="CR9" i="148"/>
  <c r="CO9" i="149" s="1"/>
  <c r="CD9" i="148"/>
  <c r="CA9" i="149" s="1"/>
  <c r="CI9" i="148"/>
  <c r="CF9" i="149" s="1"/>
  <c r="CO9" i="148"/>
  <c r="CL9" i="149" s="1"/>
  <c r="CU9" i="148"/>
  <c r="CR9" i="149" s="1"/>
  <c r="CH9" i="148"/>
  <c r="CE9" i="149" s="1"/>
  <c r="CQ9" i="148"/>
  <c r="CN9" i="149" s="1"/>
  <c r="BZ9" i="148"/>
  <c r="BW9" i="149" s="1"/>
  <c r="BU9" i="148"/>
  <c r="BR9" i="149" s="1"/>
  <c r="BE9" i="148"/>
  <c r="BB9" i="149" s="1"/>
  <c r="BR9" i="148"/>
  <c r="BO9" i="149" s="1"/>
  <c r="AT9" i="148"/>
  <c r="AQ9" i="149" s="1"/>
  <c r="AL9" i="148"/>
  <c r="AI9" i="149" s="1"/>
  <c r="AH9" i="148"/>
  <c r="AE9" i="149" s="1"/>
  <c r="AS9" i="148"/>
  <c r="AP9" i="149" s="1"/>
  <c r="AC9" i="148"/>
  <c r="Z9" i="149" s="1"/>
  <c r="AA9" i="148"/>
  <c r="X9" i="149" s="1"/>
  <c r="Y9" i="148"/>
  <c r="V9" i="149" s="1"/>
  <c r="CB9" i="148"/>
  <c r="BY9" i="149" s="1"/>
  <c r="CC9" i="148"/>
  <c r="BZ9" i="149" s="1"/>
  <c r="CX9" i="148"/>
  <c r="CU9" i="149" s="1"/>
  <c r="CE9" i="148"/>
  <c r="CB9" i="149" s="1"/>
  <c r="CG9" i="148"/>
  <c r="CD9" i="149" s="1"/>
  <c r="CA9" i="148"/>
  <c r="BX9" i="149" s="1"/>
  <c r="BY9" i="148"/>
  <c r="BV9" i="149" s="1"/>
  <c r="BQ9" i="148"/>
  <c r="BN9" i="149" s="1"/>
  <c r="BT9" i="148"/>
  <c r="BQ9" i="149" s="1"/>
  <c r="AW9" i="148"/>
  <c r="AT9" i="149" s="1"/>
  <c r="BG9" i="148"/>
  <c r="BD9" i="149" s="1"/>
  <c r="AX9" i="148"/>
  <c r="AU9" i="149" s="1"/>
  <c r="BF9" i="148"/>
  <c r="BC9" i="149" s="1"/>
  <c r="AF9" i="148"/>
  <c r="AC9" i="149" s="1"/>
  <c r="AK9" i="148"/>
  <c r="AH9" i="149" s="1"/>
  <c r="AR9" i="148"/>
  <c r="AO9" i="149" s="1"/>
  <c r="AG9" i="148"/>
  <c r="AD9" i="149" s="1"/>
  <c r="AE9" i="148"/>
  <c r="AB9" i="149" s="1"/>
  <c r="CM9" i="148"/>
  <c r="CJ9" i="149" s="1"/>
  <c r="DA9" i="148"/>
  <c r="CX9" i="149" s="1"/>
  <c r="CN9" i="148"/>
  <c r="CK9" i="149" s="1"/>
  <c r="CW9" i="148"/>
  <c r="CT9" i="149" s="1"/>
  <c r="CZ9" i="148"/>
  <c r="CW9" i="149" s="1"/>
  <c r="CT9" i="148"/>
  <c r="CQ9" i="149" s="1"/>
  <c r="CV9" i="148"/>
  <c r="CS9" i="149" s="1"/>
  <c r="CL9" i="148"/>
  <c r="CI9" i="149" s="1"/>
  <c r="AY9" i="148"/>
  <c r="AV9" i="149" s="1"/>
  <c r="BP9" i="148"/>
  <c r="BM9" i="149" s="1"/>
  <c r="BW9" i="148"/>
  <c r="BT9" i="149" s="1"/>
  <c r="AM9" i="148"/>
  <c r="AJ9" i="149" s="1"/>
  <c r="AB9" i="148"/>
  <c r="Y9" i="149" s="1"/>
  <c r="AD9" i="148"/>
  <c r="AA9" i="149" s="1"/>
  <c r="AJ9" i="148"/>
  <c r="AG9" i="149" s="1"/>
  <c r="M9" i="148"/>
  <c r="L9" i="148"/>
  <c r="W9" i="148"/>
  <c r="J9" i="148"/>
  <c r="U9" i="148"/>
  <c r="N9" i="148"/>
  <c r="K9" i="148"/>
  <c r="G9" i="148"/>
  <c r="AP9" i="148"/>
  <c r="AM9" i="149" s="1"/>
  <c r="P9" i="148"/>
  <c r="O9" i="148"/>
  <c r="CP10" i="148"/>
  <c r="CM10" i="149" s="1"/>
  <c r="BZ10" i="148"/>
  <c r="BW10" i="149" s="1"/>
  <c r="CS10" i="148"/>
  <c r="CP10" i="149" s="1"/>
  <c r="CC10" i="148"/>
  <c r="BZ10" i="149" s="1"/>
  <c r="CF10" i="148"/>
  <c r="CC10" i="149" s="1"/>
  <c r="CU10" i="148"/>
  <c r="CR10" i="149" s="1"/>
  <c r="CQ10" i="148"/>
  <c r="CN10" i="149" s="1"/>
  <c r="BW10" i="148"/>
  <c r="BT10" i="149" s="1"/>
  <c r="BS10" i="148"/>
  <c r="BP10" i="149" s="1"/>
  <c r="AU10" i="148"/>
  <c r="AR10" i="149" s="1"/>
  <c r="AF10" i="148"/>
  <c r="AC10" i="149" s="1"/>
  <c r="AY10" i="148"/>
  <c r="AV10" i="149" s="1"/>
  <c r="AI10" i="148"/>
  <c r="AF10" i="149" s="1"/>
  <c r="AX10" i="148"/>
  <c r="AU10" i="149" s="1"/>
  <c r="AH10" i="148"/>
  <c r="AE10" i="149" s="1"/>
  <c r="AW10" i="148"/>
  <c r="AT10" i="149" s="1"/>
  <c r="AC10" i="148"/>
  <c r="Z10" i="149" s="1"/>
  <c r="V10" i="148"/>
  <c r="N10" i="148"/>
  <c r="I10" i="148"/>
  <c r="H10" i="148"/>
  <c r="G10" i="148"/>
  <c r="DA10" i="148"/>
  <c r="CX10" i="149" s="1"/>
  <c r="CL10" i="148"/>
  <c r="CI10" i="149" s="1"/>
  <c r="BX10" i="148"/>
  <c r="BU10" i="149" s="1"/>
  <c r="CO10" i="148"/>
  <c r="CL10" i="149" s="1"/>
  <c r="BY10" i="148"/>
  <c r="BV10" i="149" s="1"/>
  <c r="CX10" i="148"/>
  <c r="CU10" i="149" s="1"/>
  <c r="CR10" i="148"/>
  <c r="CO10" i="149" s="1"/>
  <c r="CI10" i="148"/>
  <c r="CF10" i="149" s="1"/>
  <c r="BV10" i="148"/>
  <c r="BS10" i="149" s="1"/>
  <c r="BR10" i="148"/>
  <c r="BO10" i="149" s="1"/>
  <c r="BG10" i="148"/>
  <c r="BD10" i="149" s="1"/>
  <c r="AR10" i="148"/>
  <c r="AO10" i="149" s="1"/>
  <c r="AB10" i="148"/>
  <c r="Y10" i="149" s="1"/>
  <c r="AT10" i="148"/>
  <c r="AQ10" i="149" s="1"/>
  <c r="AE10" i="148"/>
  <c r="AB10" i="149" s="1"/>
  <c r="AS10" i="148"/>
  <c r="AP10" i="149" s="1"/>
  <c r="AD10" i="148"/>
  <c r="AA10" i="149" s="1"/>
  <c r="AO10" i="148"/>
  <c r="AL10" i="149" s="1"/>
  <c r="Y10" i="148"/>
  <c r="V10" i="149" s="1"/>
  <c r="W10" i="148"/>
  <c r="J10" i="148"/>
  <c r="E10" i="148"/>
  <c r="CW10" i="148"/>
  <c r="CT10" i="149" s="1"/>
  <c r="CH10" i="148"/>
  <c r="CE10" i="149" s="1"/>
  <c r="CZ10" i="148"/>
  <c r="CW10" i="149" s="1"/>
  <c r="CK10" i="148"/>
  <c r="CH10" i="149" s="1"/>
  <c r="CY10" i="148"/>
  <c r="CV10" i="149" s="1"/>
  <c r="CM10" i="148"/>
  <c r="CJ10" i="149" s="1"/>
  <c r="CJ10" i="148"/>
  <c r="CG10" i="149" s="1"/>
  <c r="CA10" i="148"/>
  <c r="BX10" i="149" s="1"/>
  <c r="BU10" i="148"/>
  <c r="BR10" i="149" s="1"/>
  <c r="BQ10" i="148"/>
  <c r="BN10" i="149" s="1"/>
  <c r="AN10" i="148"/>
  <c r="AK10" i="149" s="1"/>
  <c r="X10" i="148"/>
  <c r="U10" i="149" s="1"/>
  <c r="AQ10" i="148"/>
  <c r="AN10" i="149" s="1"/>
  <c r="AA10" i="148"/>
  <c r="X10" i="149" s="1"/>
  <c r="AP10" i="148"/>
  <c r="AM10" i="149" s="1"/>
  <c r="Z10" i="148"/>
  <c r="W10" i="149" s="1"/>
  <c r="AK10" i="148"/>
  <c r="AH10" i="149" s="1"/>
  <c r="U10" i="148"/>
  <c r="F10" i="148"/>
  <c r="P10" i="148"/>
  <c r="O10" i="148"/>
  <c r="CT10" i="148"/>
  <c r="CQ10" i="149" s="1"/>
  <c r="CD10" i="148"/>
  <c r="CA10" i="149" s="1"/>
  <c r="CV10" i="148"/>
  <c r="CS10" i="149" s="1"/>
  <c r="CG10" i="148"/>
  <c r="CD10" i="149" s="1"/>
  <c r="CN10" i="148"/>
  <c r="CK10" i="149" s="1"/>
  <c r="CE10" i="148"/>
  <c r="CB10" i="149" s="1"/>
  <c r="CB10" i="148"/>
  <c r="BY10" i="149" s="1"/>
  <c r="BT10" i="148"/>
  <c r="BQ10" i="149" s="1"/>
  <c r="BP10" i="148"/>
  <c r="BM10" i="149" s="1"/>
  <c r="AV10" i="148"/>
  <c r="AS10" i="149" s="1"/>
  <c r="AJ10" i="148"/>
  <c r="AG10" i="149" s="1"/>
  <c r="BF10" i="148"/>
  <c r="BC10" i="149" s="1"/>
  <c r="AM10" i="148"/>
  <c r="AJ10" i="149" s="1"/>
  <c r="BE10" i="148"/>
  <c r="BB10" i="149" s="1"/>
  <c r="AL10" i="148"/>
  <c r="AI10" i="149" s="1"/>
  <c r="BD10" i="148"/>
  <c r="BA10" i="149" s="1"/>
  <c r="AG10" i="148"/>
  <c r="AD10" i="149" s="1"/>
  <c r="R10" i="148"/>
  <c r="M10" i="148"/>
  <c r="L10" i="148"/>
  <c r="K10" i="148"/>
  <c r="AB14" i="148"/>
  <c r="Y14" i="149" s="1"/>
  <c r="CL14" i="148"/>
  <c r="CI14" i="149" s="1"/>
  <c r="CH14" i="148"/>
  <c r="CE14" i="149" s="1"/>
  <c r="AU14" i="148"/>
  <c r="AR14" i="149" s="1"/>
  <c r="Z14" i="148"/>
  <c r="W14" i="149" s="1"/>
  <c r="CU14" i="148"/>
  <c r="CR14" i="149" s="1"/>
  <c r="BD14" i="148"/>
  <c r="BA14" i="149" s="1"/>
  <c r="J14" i="148"/>
  <c r="F14" i="148"/>
  <c r="CW14" i="148"/>
  <c r="CT14" i="149" s="1"/>
  <c r="AI14" i="148"/>
  <c r="AF14" i="149" s="1"/>
  <c r="AA14" i="148"/>
  <c r="X14" i="149" s="1"/>
  <c r="E14" i="148"/>
  <c r="P14" i="148"/>
  <c r="AW14" i="148"/>
  <c r="AT14" i="149" s="1"/>
  <c r="N14" i="148"/>
  <c r="AD14" i="148"/>
  <c r="AA14" i="149" s="1"/>
  <c r="BX14" i="148"/>
  <c r="BU14" i="149" s="1"/>
  <c r="BY14" i="148"/>
  <c r="BV14" i="149" s="1"/>
  <c r="CJ14" i="148"/>
  <c r="CG14" i="149" s="1"/>
  <c r="AQ14" i="148"/>
  <c r="AN14" i="149" s="1"/>
  <c r="CC14" i="148"/>
  <c r="BZ14" i="149" s="1"/>
  <c r="BQ14" i="148"/>
  <c r="BN14" i="149" s="1"/>
  <c r="X14" i="148"/>
  <c r="U14" i="149" s="1"/>
  <c r="CY14" i="148"/>
  <c r="CV14" i="149" s="1"/>
  <c r="AY14" i="148"/>
  <c r="AV14" i="149" s="1"/>
  <c r="AF14" i="148"/>
  <c r="AC14" i="149" s="1"/>
  <c r="BW14" i="148"/>
  <c r="BT14" i="149" s="1"/>
  <c r="AJ14" i="148"/>
  <c r="AG14" i="149" s="1"/>
  <c r="CD14" i="148"/>
  <c r="CA14" i="149" s="1"/>
  <c r="R14" i="148"/>
  <c r="BG14" i="148"/>
  <c r="BD14" i="149" s="1"/>
  <c r="CM14" i="148"/>
  <c r="CJ14" i="149" s="1"/>
  <c r="CT14" i="148"/>
  <c r="CQ14" i="149" s="1"/>
  <c r="W14" i="148"/>
  <c r="AM14" i="148"/>
  <c r="AJ14" i="149" s="1"/>
  <c r="AX14" i="148"/>
  <c r="AU14" i="149" s="1"/>
  <c r="CB14" i="148"/>
  <c r="BY14" i="149" s="1"/>
  <c r="K14" i="148"/>
  <c r="O14" i="148"/>
  <c r="CQ14" i="148"/>
  <c r="CN14" i="149" s="1"/>
  <c r="AS14" i="148"/>
  <c r="AP14" i="149" s="1"/>
  <c r="CE14" i="148"/>
  <c r="CB14" i="149" s="1"/>
  <c r="AE14" i="148"/>
  <c r="AB14" i="149" s="1"/>
  <c r="G14" i="148"/>
  <c r="CG14" i="148"/>
  <c r="CD14" i="149" s="1"/>
  <c r="CA14" i="148"/>
  <c r="BX14" i="149" s="1"/>
  <c r="AC14" i="148"/>
  <c r="Z14" i="149" s="1"/>
  <c r="AO14" i="148"/>
  <c r="AL14" i="149" s="1"/>
  <c r="AH14" i="148"/>
  <c r="AE14" i="149" s="1"/>
  <c r="BT14" i="148"/>
  <c r="BQ14" i="149" s="1"/>
  <c r="CR14" i="148"/>
  <c r="CO14" i="149" s="1"/>
  <c r="H14" i="148"/>
  <c r="V14" i="148"/>
  <c r="I14" i="148"/>
  <c r="AN14" i="148"/>
  <c r="AK14" i="149" s="1"/>
  <c r="M14" i="148"/>
  <c r="CN14" i="148"/>
  <c r="CK14" i="149" s="1"/>
  <c r="BS14" i="148"/>
  <c r="BP14" i="149" s="1"/>
  <c r="AT14" i="148"/>
  <c r="AQ14" i="149" s="1"/>
  <c r="CF14" i="148"/>
  <c r="CC14" i="149" s="1"/>
  <c r="Y14" i="148"/>
  <c r="V14" i="149" s="1"/>
  <c r="U14" i="148"/>
  <c r="BU14" i="148"/>
  <c r="BR14" i="149" s="1"/>
  <c r="L14" i="148"/>
  <c r="BV14" i="148"/>
  <c r="BS14" i="149" s="1"/>
  <c r="CK14" i="148"/>
  <c r="CH14" i="149" s="1"/>
  <c r="AL14" i="148"/>
  <c r="AI14" i="149" s="1"/>
  <c r="AP14" i="148"/>
  <c r="AM14" i="149" s="1"/>
  <c r="BF14" i="148"/>
  <c r="BC14" i="149" s="1"/>
  <c r="BR14" i="148"/>
  <c r="BO14" i="149" s="1"/>
  <c r="CS14" i="148"/>
  <c r="CP14" i="149" s="1"/>
  <c r="BE14" i="148"/>
  <c r="BB14" i="149" s="1"/>
  <c r="CI14" i="148"/>
  <c r="CF14" i="149" s="1"/>
  <c r="CZ14" i="148"/>
  <c r="CW14" i="149" s="1"/>
  <c r="AG14" i="148"/>
  <c r="AD14" i="149" s="1"/>
  <c r="DA14" i="148"/>
  <c r="CX14" i="149" s="1"/>
  <c r="AK14" i="148"/>
  <c r="AH14" i="149" s="1"/>
  <c r="CP14" i="148"/>
  <c r="CM14" i="149" s="1"/>
  <c r="BP14" i="148"/>
  <c r="BM14" i="149" s="1"/>
  <c r="CX14" i="148"/>
  <c r="CU14" i="149" s="1"/>
  <c r="CO14" i="148"/>
  <c r="CL14" i="149" s="1"/>
  <c r="AR14" i="148"/>
  <c r="AO14" i="149" s="1"/>
  <c r="AV14" i="148"/>
  <c r="AS14" i="149" s="1"/>
  <c r="CV14" i="148"/>
  <c r="CS14" i="149" s="1"/>
  <c r="BZ14" i="148"/>
  <c r="BW14" i="149" s="1"/>
  <c r="CJ15" i="148"/>
  <c r="CG15" i="149" s="1"/>
  <c r="CU15" i="148"/>
  <c r="CR15" i="149" s="1"/>
  <c r="AG15" i="148"/>
  <c r="AD15" i="149" s="1"/>
  <c r="CV15" i="148"/>
  <c r="CS15" i="149" s="1"/>
  <c r="CK15" i="148"/>
  <c r="CH15" i="149" s="1"/>
  <c r="M15" i="148"/>
  <c r="AR15" i="148"/>
  <c r="AO15" i="149" s="1"/>
  <c r="AQ15" i="148"/>
  <c r="AN15" i="149" s="1"/>
  <c r="BZ15" i="148"/>
  <c r="BW15" i="149" s="1"/>
  <c r="CI15" i="148"/>
  <c r="CF15" i="149" s="1"/>
  <c r="AF15" i="148"/>
  <c r="AC15" i="149" s="1"/>
  <c r="P15" i="148"/>
  <c r="CW15" i="148"/>
  <c r="CT15" i="149" s="1"/>
  <c r="CN15" i="148"/>
  <c r="CK15" i="149" s="1"/>
  <c r="AP15" i="148"/>
  <c r="AM15" i="149" s="1"/>
  <c r="AH15" i="148"/>
  <c r="AE15" i="149" s="1"/>
  <c r="DB9" i="149"/>
  <c r="CZ9" i="149"/>
  <c r="DA9" i="149"/>
  <c r="DA10" i="149"/>
  <c r="DB10" i="149"/>
  <c r="CY10" i="149"/>
  <c r="CZ10" i="149"/>
  <c r="R12" i="148"/>
  <c r="E12" i="148"/>
  <c r="H12" i="148"/>
  <c r="F12" i="148"/>
  <c r="I12" i="148"/>
  <c r="V12" i="148"/>
  <c r="AR12" i="148"/>
  <c r="AO12" i="149" s="1"/>
  <c r="AP12" i="148"/>
  <c r="AM12" i="149" s="1"/>
  <c r="N12" i="148"/>
  <c r="M12" i="148"/>
  <c r="W12" i="148"/>
  <c r="AD12" i="148"/>
  <c r="AA12" i="149" s="1"/>
  <c r="K12" i="148"/>
  <c r="AI12" i="148"/>
  <c r="AF12" i="149" s="1"/>
  <c r="L12" i="148"/>
  <c r="AC12" i="148"/>
  <c r="Z12" i="149" s="1"/>
  <c r="G12" i="148"/>
  <c r="CI12" i="148"/>
  <c r="CF12" i="149" s="1"/>
  <c r="CF12" i="148"/>
  <c r="CC12" i="149" s="1"/>
  <c r="CN12" i="148"/>
  <c r="CK12" i="149" s="1"/>
  <c r="CJ12" i="148"/>
  <c r="CG12" i="149" s="1"/>
  <c r="CD12" i="148"/>
  <c r="CA12" i="149" s="1"/>
  <c r="CH12" i="148"/>
  <c r="CE12" i="149" s="1"/>
  <c r="CW12" i="148"/>
  <c r="CT12" i="149" s="1"/>
  <c r="AU12" i="148"/>
  <c r="AR12" i="149" s="1"/>
  <c r="AT12" i="148"/>
  <c r="AQ12" i="149" s="1"/>
  <c r="AG12" i="148"/>
  <c r="AD12" i="149" s="1"/>
  <c r="X12" i="148"/>
  <c r="U12" i="149" s="1"/>
  <c r="Y12" i="148"/>
  <c r="V12" i="149" s="1"/>
  <c r="U12" i="148"/>
  <c r="Z12" i="148"/>
  <c r="W12" i="149" s="1"/>
  <c r="CB12" i="148"/>
  <c r="BY12" i="149" s="1"/>
  <c r="BX12" i="148"/>
  <c r="BU12" i="149" s="1"/>
  <c r="CE12" i="148"/>
  <c r="CB12" i="149" s="1"/>
  <c r="CV12" i="148"/>
  <c r="CS12" i="149" s="1"/>
  <c r="CT12" i="148"/>
  <c r="CQ12" i="149" s="1"/>
  <c r="CL12" i="148"/>
  <c r="CI12" i="149" s="1"/>
  <c r="CX12" i="148"/>
  <c r="CU12" i="149" s="1"/>
  <c r="AN12" i="148"/>
  <c r="AK12" i="149" s="1"/>
  <c r="J12" i="148"/>
  <c r="AM12" i="148"/>
  <c r="AJ12" i="149" s="1"/>
  <c r="AK12" i="148"/>
  <c r="AH12" i="149" s="1"/>
  <c r="AL12" i="148"/>
  <c r="AI12" i="149" s="1"/>
  <c r="P12" i="148"/>
  <c r="AE12" i="148"/>
  <c r="AB12" i="149" s="1"/>
  <c r="CZ12" i="148"/>
  <c r="CW12" i="149" s="1"/>
  <c r="CA12" i="148"/>
  <c r="BX12" i="149" s="1"/>
  <c r="CQ12" i="148"/>
  <c r="CN12" i="149" s="1"/>
  <c r="CP12" i="148"/>
  <c r="CM12" i="149" s="1"/>
  <c r="CR12" i="148"/>
  <c r="CO12" i="149" s="1"/>
  <c r="CM12" i="148"/>
  <c r="CJ12" i="149" s="1"/>
  <c r="CY12" i="148"/>
  <c r="CV12" i="149" s="1"/>
  <c r="CO12" i="148"/>
  <c r="CL12" i="149" s="1"/>
  <c r="AS12" i="148"/>
  <c r="AP12" i="149" s="1"/>
  <c r="AQ12" i="148"/>
  <c r="AN12" i="149" s="1"/>
  <c r="AO12" i="148"/>
  <c r="AL12" i="149" s="1"/>
  <c r="AA12" i="148"/>
  <c r="X12" i="149" s="1"/>
  <c r="AB12" i="148"/>
  <c r="Y12" i="149" s="1"/>
  <c r="AH12" i="148"/>
  <c r="AE12" i="149" s="1"/>
  <c r="O12" i="148"/>
  <c r="AF12" i="148"/>
  <c r="AC12" i="149" s="1"/>
  <c r="AJ12" i="148"/>
  <c r="AG12" i="149" s="1"/>
  <c r="DA12" i="148"/>
  <c r="CX12" i="149" s="1"/>
  <c r="BY12" i="148"/>
  <c r="BV12" i="149" s="1"/>
  <c r="CG12" i="148"/>
  <c r="CD12" i="149" s="1"/>
  <c r="CU12" i="148"/>
  <c r="CR12" i="149" s="1"/>
  <c r="CC12" i="148"/>
  <c r="BZ12" i="149" s="1"/>
  <c r="CK12" i="148"/>
  <c r="CH12" i="149" s="1"/>
  <c r="BZ12" i="148"/>
  <c r="BW12" i="149" s="1"/>
  <c r="CS12" i="148"/>
  <c r="CP12" i="149" s="1"/>
  <c r="CM15" i="148"/>
  <c r="CJ15" i="149" s="1"/>
  <c r="CG15" i="148"/>
  <c r="CD15" i="149" s="1"/>
  <c r="AC15" i="148"/>
  <c r="Z15" i="149" s="1"/>
  <c r="Z15" i="148"/>
  <c r="W15" i="149" s="1"/>
  <c r="CD15" i="148"/>
  <c r="CA15" i="149" s="1"/>
  <c r="BX15" i="148"/>
  <c r="BU15" i="149" s="1"/>
  <c r="AO15" i="148"/>
  <c r="AL15" i="149" s="1"/>
  <c r="J15" i="148"/>
  <c r="CP15" i="148"/>
  <c r="CM15" i="149" s="1"/>
  <c r="CS15" i="148"/>
  <c r="CP15" i="149" s="1"/>
  <c r="AM15" i="148"/>
  <c r="AJ15" i="149" s="1"/>
  <c r="AE15" i="148"/>
  <c r="AB15" i="149" s="1"/>
  <c r="O15" i="148"/>
  <c r="G15" i="148"/>
  <c r="AS15" i="148"/>
  <c r="AP15" i="149" s="1"/>
  <c r="U15" i="148"/>
  <c r="H13" i="148"/>
  <c r="V13" i="148"/>
  <c r="F13" i="148"/>
  <c r="I13" i="148"/>
  <c r="R13" i="148"/>
  <c r="E13" i="148"/>
  <c r="L13" i="148"/>
  <c r="AI13" i="148"/>
  <c r="AF13" i="149" s="1"/>
  <c r="Y13" i="148"/>
  <c r="V13" i="149" s="1"/>
  <c r="AS13" i="148"/>
  <c r="AP13" i="149" s="1"/>
  <c r="AP13" i="148"/>
  <c r="AM13" i="149" s="1"/>
  <c r="AH13" i="148"/>
  <c r="AE13" i="149" s="1"/>
  <c r="AT13" i="148"/>
  <c r="AQ13" i="149" s="1"/>
  <c r="CR13" i="148"/>
  <c r="CO13" i="149" s="1"/>
  <c r="CV13" i="148"/>
  <c r="CS13" i="149" s="1"/>
  <c r="DA13" i="148"/>
  <c r="CX13" i="149" s="1"/>
  <c r="CH13" i="148"/>
  <c r="CE13" i="149" s="1"/>
  <c r="CI13" i="148"/>
  <c r="CF13" i="149" s="1"/>
  <c r="CY13" i="148"/>
  <c r="CV13" i="149" s="1"/>
  <c r="CJ13" i="148"/>
  <c r="CG13" i="149" s="1"/>
  <c r="AQ13" i="148"/>
  <c r="AN13" i="149" s="1"/>
  <c r="AB13" i="148"/>
  <c r="Y13" i="149" s="1"/>
  <c r="AO13" i="148"/>
  <c r="AL13" i="149" s="1"/>
  <c r="Z13" i="148"/>
  <c r="W13" i="149" s="1"/>
  <c r="X13" i="148"/>
  <c r="U13" i="149" s="1"/>
  <c r="AF13" i="148"/>
  <c r="AC13" i="149" s="1"/>
  <c r="K13" i="148"/>
  <c r="CK13" i="148"/>
  <c r="CH13" i="149" s="1"/>
  <c r="CW13" i="148"/>
  <c r="CT13" i="149" s="1"/>
  <c r="G13" i="148"/>
  <c r="CQ13" i="148"/>
  <c r="CN13" i="149" s="1"/>
  <c r="CE13" i="148"/>
  <c r="CB13" i="149" s="1"/>
  <c r="CO13" i="148"/>
  <c r="CL13" i="149" s="1"/>
  <c r="CF13" i="148"/>
  <c r="CC13" i="149" s="1"/>
  <c r="W13" i="148"/>
  <c r="AU13" i="148"/>
  <c r="AR13" i="149" s="1"/>
  <c r="AD13" i="148"/>
  <c r="AA13" i="149" s="1"/>
  <c r="AJ13" i="148"/>
  <c r="AG13" i="149" s="1"/>
  <c r="AK13" i="148"/>
  <c r="AH13" i="149" s="1"/>
  <c r="P13" i="148"/>
  <c r="M13" i="148"/>
  <c r="O13" i="148"/>
  <c r="J13" i="148"/>
  <c r="AA13" i="148"/>
  <c r="X13" i="149" s="1"/>
  <c r="CC13" i="148"/>
  <c r="BZ13" i="149" s="1"/>
  <c r="CG13" i="148"/>
  <c r="CD13" i="149" s="1"/>
  <c r="BZ13" i="148"/>
  <c r="BW13" i="149" s="1"/>
  <c r="CU13" i="148"/>
  <c r="CR13" i="149" s="1"/>
  <c r="CN13" i="148"/>
  <c r="CK13" i="149" s="1"/>
  <c r="BX13" i="148"/>
  <c r="BU13" i="149" s="1"/>
  <c r="CB13" i="148"/>
  <c r="BY13" i="149" s="1"/>
  <c r="CL13" i="148"/>
  <c r="CI13" i="149" s="1"/>
  <c r="N13" i="148"/>
  <c r="U13" i="148"/>
  <c r="AM13" i="148"/>
  <c r="AJ13" i="149" s="1"/>
  <c r="AR13" i="148"/>
  <c r="AO13" i="149" s="1"/>
  <c r="AC13" i="148"/>
  <c r="Z13" i="149" s="1"/>
  <c r="AE13" i="148"/>
  <c r="AB13" i="149" s="1"/>
  <c r="AG13" i="148"/>
  <c r="AD13" i="149" s="1"/>
  <c r="AN13" i="148"/>
  <c r="AK13" i="149" s="1"/>
  <c r="AL13" i="148"/>
  <c r="AI13" i="149" s="1"/>
  <c r="CP13" i="148"/>
  <c r="CM13" i="149" s="1"/>
  <c r="BY13" i="148"/>
  <c r="BV13" i="149" s="1"/>
  <c r="CZ13" i="148"/>
  <c r="CW13" i="149" s="1"/>
  <c r="CD13" i="148"/>
  <c r="CA13" i="149" s="1"/>
  <c r="CX13" i="148"/>
  <c r="CU13" i="149" s="1"/>
  <c r="CM13" i="148"/>
  <c r="CJ13" i="149" s="1"/>
  <c r="CS13" i="148"/>
  <c r="CP13" i="149" s="1"/>
  <c r="CA13" i="148"/>
  <c r="BX13" i="149" s="1"/>
  <c r="CT13" i="148"/>
  <c r="CQ13" i="149" s="1"/>
  <c r="F7" i="148"/>
  <c r="H7" i="148"/>
  <c r="V7" i="148"/>
  <c r="E7" i="148"/>
  <c r="R7" i="148"/>
  <c r="I7" i="148"/>
  <c r="CR7" i="148"/>
  <c r="CO7" i="149" s="1"/>
  <c r="CU7" i="148"/>
  <c r="CR7" i="149" s="1"/>
  <c r="CI7" i="148"/>
  <c r="CF7" i="149" s="1"/>
  <c r="CS7" i="148"/>
  <c r="CP7" i="149" s="1"/>
  <c r="CW7" i="148"/>
  <c r="CT7" i="149" s="1"/>
  <c r="CL7" i="148"/>
  <c r="CI7" i="149" s="1"/>
  <c r="CF7" i="148"/>
  <c r="CC7" i="149" s="1"/>
  <c r="BY7" i="148"/>
  <c r="BV7" i="149" s="1"/>
  <c r="AV7" i="148"/>
  <c r="AS7" i="149" s="1"/>
  <c r="BW7" i="148"/>
  <c r="BT7" i="149" s="1"/>
  <c r="AY7" i="148"/>
  <c r="AV7" i="149" s="1"/>
  <c r="BE7" i="148"/>
  <c r="BB7" i="149" s="1"/>
  <c r="AB7" i="148"/>
  <c r="Y7" i="149" s="1"/>
  <c r="AC7" i="148"/>
  <c r="Z7" i="149" s="1"/>
  <c r="AM7" i="148"/>
  <c r="AJ7" i="149" s="1"/>
  <c r="AS7" i="148"/>
  <c r="AP7" i="149" s="1"/>
  <c r="Y7" i="148"/>
  <c r="V7" i="149" s="1"/>
  <c r="AE7" i="148"/>
  <c r="AB7" i="149" s="1"/>
  <c r="CB7" i="148"/>
  <c r="BY7" i="149" s="1"/>
  <c r="CZ7" i="148"/>
  <c r="CW7" i="149" s="1"/>
  <c r="CP7" i="148"/>
  <c r="CM7" i="149" s="1"/>
  <c r="CE7" i="148"/>
  <c r="CB7" i="149" s="1"/>
  <c r="CK7" i="148"/>
  <c r="CH7" i="149" s="1"/>
  <c r="CQ7" i="148"/>
  <c r="CN7" i="149" s="1"/>
  <c r="CD7" i="148"/>
  <c r="CA7" i="149" s="1"/>
  <c r="AX7" i="148"/>
  <c r="AU7" i="149" s="1"/>
  <c r="BS7" i="148"/>
  <c r="BP7" i="149" s="1"/>
  <c r="BV7" i="148"/>
  <c r="BS7" i="149" s="1"/>
  <c r="BU7" i="148"/>
  <c r="BR7" i="149" s="1"/>
  <c r="AQ7" i="148"/>
  <c r="AN7" i="149" s="1"/>
  <c r="AG7" i="148"/>
  <c r="AD7" i="149" s="1"/>
  <c r="AP7" i="148"/>
  <c r="AM7" i="149" s="1"/>
  <c r="AL7" i="148"/>
  <c r="AI7" i="149" s="1"/>
  <c r="CM7" i="148"/>
  <c r="CJ7" i="149" s="1"/>
  <c r="CY7" i="148"/>
  <c r="CV7" i="149" s="1"/>
  <c r="CN7" i="148"/>
  <c r="CK7" i="149" s="1"/>
  <c r="CO7" i="148"/>
  <c r="CL7" i="149" s="1"/>
  <c r="CH7" i="148"/>
  <c r="CE7" i="149" s="1"/>
  <c r="CA7" i="148"/>
  <c r="BX7" i="149" s="1"/>
  <c r="CC7" i="148"/>
  <c r="BZ7" i="149" s="1"/>
  <c r="BT7" i="148"/>
  <c r="BQ7" i="149" s="1"/>
  <c r="BR7" i="148"/>
  <c r="BO7" i="149" s="1"/>
  <c r="BQ7" i="148"/>
  <c r="BN7" i="149" s="1"/>
  <c r="AA7" i="148"/>
  <c r="X7" i="149" s="1"/>
  <c r="AT7" i="148"/>
  <c r="AQ7" i="149" s="1"/>
  <c r="CV7" i="148"/>
  <c r="CS7" i="149" s="1"/>
  <c r="BX7" i="148"/>
  <c r="BU7" i="149" s="1"/>
  <c r="DA7" i="148"/>
  <c r="CX7" i="149" s="1"/>
  <c r="CT7" i="148"/>
  <c r="CQ7" i="149" s="1"/>
  <c r="CJ7" i="148"/>
  <c r="CG7" i="149" s="1"/>
  <c r="CG7" i="148"/>
  <c r="CD7" i="149" s="1"/>
  <c r="CX7" i="148"/>
  <c r="CU7" i="149" s="1"/>
  <c r="BZ7" i="148"/>
  <c r="BW7" i="149" s="1"/>
  <c r="BP7" i="148"/>
  <c r="BM7" i="149" s="1"/>
  <c r="BF7" i="148"/>
  <c r="BC7" i="149" s="1"/>
  <c r="BG7" i="148"/>
  <c r="BD7" i="149" s="1"/>
  <c r="BD7" i="148"/>
  <c r="BA7" i="149" s="1"/>
  <c r="AW7" i="148"/>
  <c r="AT7" i="149" s="1"/>
  <c r="AR7" i="148"/>
  <c r="AO7" i="149" s="1"/>
  <c r="AH7" i="148"/>
  <c r="AE7" i="149" s="1"/>
  <c r="AN7" i="148"/>
  <c r="AK7" i="149" s="1"/>
  <c r="AD7" i="148"/>
  <c r="AA7" i="149" s="1"/>
  <c r="AI7" i="148"/>
  <c r="AF7" i="149" s="1"/>
  <c r="AK7" i="148"/>
  <c r="AH7" i="149" s="1"/>
  <c r="AU7" i="148"/>
  <c r="AR7" i="149" s="1"/>
  <c r="Z7" i="148"/>
  <c r="W7" i="149" s="1"/>
  <c r="AF7" i="148"/>
  <c r="AC7" i="149" s="1"/>
  <c r="W7" i="148"/>
  <c r="O7" i="148"/>
  <c r="K7" i="148"/>
  <c r="AO7" i="148"/>
  <c r="AL7" i="149" s="1"/>
  <c r="N7" i="148"/>
  <c r="G7" i="148"/>
  <c r="X7" i="148"/>
  <c r="U7" i="149" s="1"/>
  <c r="L7" i="148"/>
  <c r="P7" i="148"/>
  <c r="AJ7" i="148"/>
  <c r="AG7" i="149" s="1"/>
  <c r="M7" i="148"/>
  <c r="J7" i="148"/>
  <c r="U7" i="148"/>
  <c r="DB8" i="149"/>
  <c r="CZ8" i="149"/>
  <c r="DA8" i="149"/>
  <c r="CT15" i="148"/>
  <c r="CQ15" i="149" s="1"/>
  <c r="CC15" i="148"/>
  <c r="BZ15" i="149" s="1"/>
  <c r="K15" i="148"/>
  <c r="AA15" i="148"/>
  <c r="X15" i="149" s="1"/>
  <c r="CA15" i="148"/>
  <c r="BX15" i="149" s="1"/>
  <c r="CE15" i="148"/>
  <c r="CB15" i="149" s="1"/>
  <c r="AN15" i="148"/>
  <c r="AK15" i="149" s="1"/>
  <c r="AU15" i="148"/>
  <c r="AR15" i="149" s="1"/>
  <c r="DA15" i="148"/>
  <c r="CX15" i="149" s="1"/>
  <c r="CR15" i="148"/>
  <c r="CO15" i="149" s="1"/>
  <c r="Y15" i="148"/>
  <c r="V15" i="149" s="1"/>
  <c r="AI15" i="148"/>
  <c r="AF15" i="149" s="1"/>
  <c r="CF15" i="148"/>
  <c r="CC15" i="149" s="1"/>
  <c r="CB15" i="148"/>
  <c r="BY15" i="149" s="1"/>
  <c r="AJ15" i="148"/>
  <c r="AG15" i="149" s="1"/>
  <c r="DB13" i="149"/>
  <c r="CZ13" i="149"/>
  <c r="DA13" i="149"/>
  <c r="DB7" i="149"/>
  <c r="DA7" i="149"/>
  <c r="CZ7" i="149"/>
  <c r="V8" i="148"/>
  <c r="E8" i="148"/>
  <c r="R8" i="148"/>
  <c r="I8" i="148"/>
  <c r="F8" i="148"/>
  <c r="H8" i="148"/>
  <c r="CG8" i="148"/>
  <c r="CD8" i="149" s="1"/>
  <c r="CM8" i="148"/>
  <c r="CJ8" i="149" s="1"/>
  <c r="CH8" i="148"/>
  <c r="CE8" i="149" s="1"/>
  <c r="CI8" i="148"/>
  <c r="CF8" i="149" s="1"/>
  <c r="CT8" i="148"/>
  <c r="CQ8" i="149" s="1"/>
  <c r="CB8" i="148"/>
  <c r="BY8" i="149" s="1"/>
  <c r="CP8" i="148"/>
  <c r="CM8" i="149" s="1"/>
  <c r="CV8" i="148"/>
  <c r="CS8" i="149" s="1"/>
  <c r="BF8" i="148"/>
  <c r="BC8" i="149" s="1"/>
  <c r="BD8" i="148"/>
  <c r="BA8" i="149" s="1"/>
  <c r="BR8" i="148"/>
  <c r="BO8" i="149" s="1"/>
  <c r="BU8" i="148"/>
  <c r="BR8" i="149" s="1"/>
  <c r="AN8" i="148"/>
  <c r="AK8" i="149" s="1"/>
  <c r="AK8" i="148"/>
  <c r="AH8" i="149" s="1"/>
  <c r="AD8" i="148"/>
  <c r="AA8" i="149" s="1"/>
  <c r="AR8" i="148"/>
  <c r="AO8" i="149" s="1"/>
  <c r="AL8" i="148"/>
  <c r="AI8" i="149" s="1"/>
  <c r="CY8" i="148"/>
  <c r="CV8" i="149" s="1"/>
  <c r="CR8" i="148"/>
  <c r="CO8" i="149" s="1"/>
  <c r="CS8" i="148"/>
  <c r="CP8" i="149" s="1"/>
  <c r="CF8" i="148"/>
  <c r="CC8" i="149" s="1"/>
  <c r="CD8" i="148"/>
  <c r="CA8" i="149" s="1"/>
  <c r="CA8" i="148"/>
  <c r="BX8" i="149" s="1"/>
  <c r="BZ8" i="148"/>
  <c r="BW8" i="149" s="1"/>
  <c r="DA8" i="148"/>
  <c r="CX8" i="149" s="1"/>
  <c r="BT8" i="148"/>
  <c r="BQ8" i="149" s="1"/>
  <c r="AY8" i="148"/>
  <c r="AV8" i="149" s="1"/>
  <c r="AW8" i="148"/>
  <c r="AT8" i="149" s="1"/>
  <c r="BE8" i="148"/>
  <c r="BB8" i="149" s="1"/>
  <c r="BQ8" i="148"/>
  <c r="BN8" i="149" s="1"/>
  <c r="AI8" i="148"/>
  <c r="AF8" i="149" s="1"/>
  <c r="AJ8" i="148"/>
  <c r="AG8" i="149" s="1"/>
  <c r="AC8" i="148"/>
  <c r="Z8" i="149" s="1"/>
  <c r="AS8" i="148"/>
  <c r="AP8" i="149" s="1"/>
  <c r="AP8" i="148"/>
  <c r="AM8" i="149" s="1"/>
  <c r="AB8" i="148"/>
  <c r="Y8" i="149" s="1"/>
  <c r="X8" i="148"/>
  <c r="U8" i="149" s="1"/>
  <c r="CL8" i="148"/>
  <c r="CI8" i="149" s="1"/>
  <c r="CQ8" i="148"/>
  <c r="CN8" i="149" s="1"/>
  <c r="CC8" i="148"/>
  <c r="BZ8" i="149" s="1"/>
  <c r="CE8" i="148"/>
  <c r="CB8" i="149" s="1"/>
  <c r="CO8" i="148"/>
  <c r="CL8" i="149" s="1"/>
  <c r="BX8" i="148"/>
  <c r="BU8" i="149" s="1"/>
  <c r="CK8" i="148"/>
  <c r="CH8" i="149" s="1"/>
  <c r="CZ8" i="148"/>
  <c r="CW8" i="149" s="1"/>
  <c r="BP8" i="148"/>
  <c r="BM8" i="149" s="1"/>
  <c r="BW8" i="148"/>
  <c r="BT8" i="149" s="1"/>
  <c r="AX8" i="148"/>
  <c r="AU8" i="149" s="1"/>
  <c r="Y8" i="148"/>
  <c r="V8" i="149" s="1"/>
  <c r="AE8" i="148"/>
  <c r="AB8" i="149" s="1"/>
  <c r="AF8" i="148"/>
  <c r="AC8" i="149" s="1"/>
  <c r="Z8" i="148"/>
  <c r="W8" i="149" s="1"/>
  <c r="CX8" i="148"/>
  <c r="CU8" i="149" s="1"/>
  <c r="CN8" i="148"/>
  <c r="CK8" i="149" s="1"/>
  <c r="CU8" i="148"/>
  <c r="CR8" i="149" s="1"/>
  <c r="CJ8" i="148"/>
  <c r="CG8" i="149" s="1"/>
  <c r="BY8" i="148"/>
  <c r="BV8" i="149" s="1"/>
  <c r="CW8" i="148"/>
  <c r="CT8" i="149" s="1"/>
  <c r="BG8" i="148"/>
  <c r="BD8" i="149" s="1"/>
  <c r="AV8" i="148"/>
  <c r="AS8" i="149" s="1"/>
  <c r="BS8" i="148"/>
  <c r="BP8" i="149" s="1"/>
  <c r="BV8" i="148"/>
  <c r="BS8" i="149" s="1"/>
  <c r="AH8" i="148"/>
  <c r="AE8" i="149" s="1"/>
  <c r="AU8" i="148"/>
  <c r="AR8" i="149" s="1"/>
  <c r="AQ8" i="148"/>
  <c r="AN8" i="149" s="1"/>
  <c r="AT8" i="148"/>
  <c r="AQ8" i="149" s="1"/>
  <c r="AG8" i="148"/>
  <c r="AD8" i="149" s="1"/>
  <c r="J8" i="148"/>
  <c r="K8" i="148"/>
  <c r="AM8" i="148"/>
  <c r="AJ8" i="149" s="1"/>
  <c r="W8" i="148"/>
  <c r="M8" i="148"/>
  <c r="U8" i="148"/>
  <c r="P8" i="148"/>
  <c r="L8" i="148"/>
  <c r="AO8" i="148"/>
  <c r="AL8" i="149" s="1"/>
  <c r="O8" i="148"/>
  <c r="N8" i="148"/>
  <c r="G8" i="148"/>
  <c r="CX15" i="148"/>
  <c r="CU15" i="149" s="1"/>
  <c r="CO15" i="148"/>
  <c r="CL15" i="149" s="1"/>
  <c r="N15" i="148"/>
  <c r="L15" i="148"/>
  <c r="BY15" i="148"/>
  <c r="BV15" i="149" s="1"/>
  <c r="CY15" i="148"/>
  <c r="CV15" i="149" s="1"/>
  <c r="AK15" i="148"/>
  <c r="AH15" i="149" s="1"/>
  <c r="AT15" i="148"/>
  <c r="AQ15" i="149" s="1"/>
  <c r="CL15" i="148"/>
  <c r="CI15" i="149" s="1"/>
  <c r="CZ15" i="148"/>
  <c r="CW15" i="149" s="1"/>
  <c r="W15" i="148"/>
  <c r="X15" i="148"/>
  <c r="U15" i="149" s="1"/>
  <c r="CQ15" i="148"/>
  <c r="CN15" i="149" s="1"/>
  <c r="CH15" i="148"/>
  <c r="CE15" i="149" s="1"/>
  <c r="AD15" i="148"/>
  <c r="AA15" i="149" s="1"/>
  <c r="AL15" i="148"/>
  <c r="AI15" i="149" s="1"/>
  <c r="D806" i="154" l="1"/>
  <c r="BC14" i="148"/>
  <c r="AZ14" i="149" s="1"/>
  <c r="BH14" i="148"/>
  <c r="BE14" i="149" s="1"/>
  <c r="BA14" i="148"/>
  <c r="AX14" i="149" s="1"/>
  <c r="BN14" i="148"/>
  <c r="BK14" i="149" s="1"/>
  <c r="BI14" i="148"/>
  <c r="BF14" i="149" s="1"/>
  <c r="BL14" i="148"/>
  <c r="BI14" i="149" s="1"/>
  <c r="BJ14" i="148"/>
  <c r="BG14" i="149" s="1"/>
  <c r="BM14" i="148"/>
  <c r="BJ14" i="149" s="1"/>
  <c r="BB14" i="148"/>
  <c r="AY14" i="149" s="1"/>
  <c r="AZ14" i="148"/>
  <c r="AW14" i="149" s="1"/>
  <c r="BO14" i="148"/>
  <c r="D14" i="148"/>
  <c r="BL9" i="149"/>
  <c r="BI15" i="148"/>
  <c r="BF15" i="149" s="1"/>
  <c r="BL15" i="148"/>
  <c r="BI15" i="149" s="1"/>
  <c r="BA15" i="148"/>
  <c r="AX15" i="149" s="1"/>
  <c r="BO15" i="148"/>
  <c r="BK15" i="148"/>
  <c r="BH15" i="149" s="1"/>
  <c r="BC15" i="148"/>
  <c r="AZ15" i="149" s="1"/>
  <c r="BN15" i="148"/>
  <c r="BK15" i="149" s="1"/>
  <c r="AZ15" i="148"/>
  <c r="AW15" i="149" s="1"/>
  <c r="BB15" i="148"/>
  <c r="AY15" i="149" s="1"/>
  <c r="BM15" i="148"/>
  <c r="BJ15" i="149" s="1"/>
  <c r="BH15" i="148"/>
  <c r="BE15" i="149" s="1"/>
  <c r="BJ15" i="148"/>
  <c r="BG15" i="149" s="1"/>
  <c r="BA12" i="148"/>
  <c r="AX12" i="149" s="1"/>
  <c r="BN12" i="148"/>
  <c r="BK12" i="149" s="1"/>
  <c r="BI12" i="148"/>
  <c r="BF12" i="149" s="1"/>
  <c r="BC13" i="148"/>
  <c r="AZ13" i="149" s="1"/>
  <c r="BL13" i="148"/>
  <c r="BI13" i="149" s="1"/>
  <c r="BI13" i="148"/>
  <c r="BF13" i="149" s="1"/>
  <c r="BL12" i="148"/>
  <c r="BI12" i="149" s="1"/>
  <c r="BJ12" i="148"/>
  <c r="BG12" i="149" s="1"/>
  <c r="BM12" i="148"/>
  <c r="BJ12" i="149" s="1"/>
  <c r="BJ13" i="148"/>
  <c r="BG13" i="149" s="1"/>
  <c r="BH13" i="148"/>
  <c r="BE13" i="149" s="1"/>
  <c r="BM13" i="148"/>
  <c r="BJ13" i="149" s="1"/>
  <c r="BC12" i="148"/>
  <c r="AZ12" i="149" s="1"/>
  <c r="AZ12" i="148"/>
  <c r="AW12" i="149" s="1"/>
  <c r="BO12" i="148"/>
  <c r="BA13" i="148"/>
  <c r="AX13" i="149" s="1"/>
  <c r="AZ13" i="148"/>
  <c r="AW13" i="149" s="1"/>
  <c r="BN13" i="148"/>
  <c r="BK13" i="149" s="1"/>
  <c r="BB12" i="148"/>
  <c r="AY12" i="149" s="1"/>
  <c r="BH12" i="148"/>
  <c r="BE12" i="149" s="1"/>
  <c r="BK12" i="148"/>
  <c r="BH12" i="149" s="1"/>
  <c r="BB13" i="148"/>
  <c r="AY13" i="149" s="1"/>
  <c r="BK13" i="148"/>
  <c r="BH13" i="149" s="1"/>
  <c r="BO13" i="148"/>
  <c r="BL7" i="149"/>
  <c r="BL10" i="149"/>
  <c r="D10" i="149" s="1"/>
  <c r="BL8" i="149"/>
  <c r="D10" i="148"/>
  <c r="D12" i="148"/>
  <c r="D8" i="148"/>
  <c r="D9" i="148"/>
  <c r="D7" i="148"/>
  <c r="D13" i="148"/>
  <c r="BG15" i="148"/>
  <c r="BD15" i="149" s="1"/>
  <c r="BP15" i="148"/>
  <c r="BM15" i="149" s="1"/>
  <c r="BS15" i="148"/>
  <c r="BP15" i="149" s="1"/>
  <c r="BE15" i="148"/>
  <c r="BB15" i="149" s="1"/>
  <c r="BV15" i="148"/>
  <c r="BS15" i="149" s="1"/>
  <c r="AV15" i="148"/>
  <c r="AS15" i="149" s="1"/>
  <c r="BF15" i="148"/>
  <c r="BC15" i="149" s="1"/>
  <c r="AW15" i="148"/>
  <c r="AT15" i="149" s="1"/>
  <c r="BQ15" i="148"/>
  <c r="BN15" i="149" s="1"/>
  <c r="BR15" i="148"/>
  <c r="BO15" i="149" s="1"/>
  <c r="AY15" i="148"/>
  <c r="AV15" i="149" s="1"/>
  <c r="BT15" i="148"/>
  <c r="BQ15" i="149" s="1"/>
  <c r="BR13" i="148"/>
  <c r="BO13" i="149" s="1"/>
  <c r="BP13" i="148"/>
  <c r="BM13" i="149" s="1"/>
  <c r="BQ13" i="148"/>
  <c r="BN13" i="149" s="1"/>
  <c r="BG13" i="148"/>
  <c r="BD13" i="149" s="1"/>
  <c r="BV12" i="148"/>
  <c r="BS12" i="149" s="1"/>
  <c r="AW12" i="148"/>
  <c r="AT12" i="149" s="1"/>
  <c r="AY12" i="148"/>
  <c r="AV12" i="149" s="1"/>
  <c r="BS13" i="148"/>
  <c r="BP13" i="149" s="1"/>
  <c r="BU13" i="148"/>
  <c r="BR13" i="149" s="1"/>
  <c r="BT13" i="148"/>
  <c r="BQ13" i="149" s="1"/>
  <c r="BF13" i="148"/>
  <c r="BC13" i="149" s="1"/>
  <c r="BF12" i="148"/>
  <c r="BC12" i="149" s="1"/>
  <c r="BS12" i="148"/>
  <c r="BP12" i="149" s="1"/>
  <c r="BW12" i="148"/>
  <c r="BT12" i="149" s="1"/>
  <c r="BE12" i="148"/>
  <c r="BB12" i="149" s="1"/>
  <c r="BE13" i="148"/>
  <c r="BB13" i="149" s="1"/>
  <c r="AV13" i="148"/>
  <c r="AS13" i="149" s="1"/>
  <c r="BD13" i="148"/>
  <c r="BA13" i="149" s="1"/>
  <c r="BW13" i="148"/>
  <c r="BT13" i="149" s="1"/>
  <c r="BP12" i="148"/>
  <c r="BM12" i="149" s="1"/>
  <c r="BU12" i="148"/>
  <c r="BR12" i="149" s="1"/>
  <c r="AV12" i="148"/>
  <c r="AS12" i="149" s="1"/>
  <c r="AX12" i="148"/>
  <c r="AU12" i="149" s="1"/>
  <c r="BR12" i="148"/>
  <c r="BO12" i="149" s="1"/>
  <c r="AY13" i="148"/>
  <c r="AV13" i="149" s="1"/>
  <c r="AX13" i="148"/>
  <c r="AU13" i="149" s="1"/>
  <c r="AW13" i="148"/>
  <c r="AT13" i="149" s="1"/>
  <c r="BV13" i="148"/>
  <c r="BS13" i="149" s="1"/>
  <c r="BQ12" i="148"/>
  <c r="BN12" i="149" s="1"/>
  <c r="BD12" i="148"/>
  <c r="BA12" i="149" s="1"/>
  <c r="BT12" i="148"/>
  <c r="BQ12" i="149" s="1"/>
  <c r="BG12" i="148"/>
  <c r="BD12" i="149" s="1"/>
  <c r="D807" i="154" l="1"/>
  <c r="BL12" i="149"/>
  <c r="BL14" i="149"/>
  <c r="D14" i="149" s="1"/>
  <c r="BL15" i="149"/>
  <c r="BL13" i="149"/>
  <c r="D808" i="154" l="1"/>
  <c r="D809" i="154" l="1"/>
  <c r="D810" i="154" l="1"/>
  <c r="D811" i="154" l="1"/>
  <c r="D812" i="154" l="1"/>
  <c r="CY7" i="149"/>
  <c r="D7" i="149" s="1"/>
  <c r="CY82" i="149"/>
  <c r="D82" i="149" s="1"/>
  <c r="CY156" i="149"/>
  <c r="D156" i="149" s="1"/>
  <c r="CY157" i="149"/>
  <c r="D157" i="149" s="1"/>
  <c r="CY81" i="149"/>
  <c r="D81" i="149" s="1"/>
  <c r="CY85" i="149"/>
  <c r="D85" i="149" s="1"/>
  <c r="CY73" i="149"/>
  <c r="D73" i="149" s="1"/>
  <c r="CY80" i="149"/>
  <c r="D80" i="149" s="1"/>
  <c r="CY60" i="149"/>
  <c r="D60" i="149" s="1"/>
  <c r="CY36" i="149"/>
  <c r="CY26" i="149"/>
  <c r="D26" i="149" s="1"/>
  <c r="CY33" i="149"/>
  <c r="D33" i="149" s="1"/>
  <c r="CY65" i="149"/>
  <c r="D65" i="149" s="1"/>
  <c r="CY38" i="149"/>
  <c r="CY11" i="149"/>
  <c r="D11" i="149" s="1"/>
  <c r="CY17" i="149"/>
  <c r="D17" i="149" s="1"/>
  <c r="CY78" i="149"/>
  <c r="D78" i="149" s="1"/>
  <c r="CY74" i="149"/>
  <c r="D74" i="149" s="1"/>
  <c r="CY15" i="149"/>
  <c r="D15" i="149" s="1"/>
  <c r="CY42" i="149"/>
  <c r="D42" i="149" s="1"/>
  <c r="CY63" i="149"/>
  <c r="D63" i="149" s="1"/>
  <c r="CY48" i="149"/>
  <c r="D48" i="149" s="1"/>
  <c r="CY21" i="149"/>
  <c r="D21" i="149" s="1"/>
  <c r="CY12" i="149"/>
  <c r="D12" i="149" s="1"/>
  <c r="CY16" i="149"/>
  <c r="D16" i="149" s="1"/>
  <c r="CY68" i="149"/>
  <c r="D68" i="149" s="1"/>
  <c r="CY71" i="149"/>
  <c r="D71" i="149" s="1"/>
  <c r="CY76" i="149"/>
  <c r="D76" i="149" s="1"/>
  <c r="CY51" i="149"/>
  <c r="CY52" i="149"/>
  <c r="CY9" i="149"/>
  <c r="D9" i="149" s="1"/>
  <c r="CY79" i="149"/>
  <c r="D79" i="149" s="1"/>
  <c r="CY70" i="149"/>
  <c r="D70" i="149" s="1"/>
  <c r="CY55" i="149"/>
  <c r="D55" i="149" s="1"/>
  <c r="CY27" i="149"/>
  <c r="D27" i="149" s="1"/>
  <c r="CY64" i="149"/>
  <c r="D64" i="149" s="1"/>
  <c r="CY30" i="149"/>
  <c r="D30" i="149" s="1"/>
  <c r="CY20" i="149"/>
  <c r="D20" i="149" s="1"/>
  <c r="CY69" i="149"/>
  <c r="D69" i="149" s="1"/>
  <c r="CY22" i="149"/>
  <c r="D22" i="149" s="1"/>
  <c r="CY35" i="149"/>
  <c r="D35" i="149" s="1"/>
  <c r="CY37" i="149"/>
  <c r="D37" i="149" s="1"/>
  <c r="CY13" i="149"/>
  <c r="D13" i="149" s="1"/>
  <c r="CY29" i="149"/>
  <c r="D29" i="149" s="1"/>
  <c r="CY8" i="149"/>
  <c r="D8" i="149" s="1"/>
  <c r="CY6" i="149"/>
  <c r="D6" i="149" s="1"/>
  <c r="CY24" i="149"/>
  <c r="D24" i="149" s="1"/>
  <c r="CY77" i="149"/>
  <c r="D77" i="149" s="1"/>
  <c r="CY39" i="149"/>
  <c r="D39" i="149" s="1"/>
  <c r="CY25" i="149"/>
  <c r="D25" i="149" s="1"/>
  <c r="CY28" i="149"/>
  <c r="D28" i="149" s="1"/>
  <c r="CY44" i="149"/>
  <c r="CY47" i="149"/>
  <c r="D47" i="149" s="1"/>
  <c r="CY57" i="149"/>
  <c r="D57" i="149" s="1"/>
  <c r="CY53" i="149"/>
  <c r="D53" i="149" s="1"/>
  <c r="CY31" i="149"/>
  <c r="D31" i="149" s="1"/>
  <c r="CY43" i="149"/>
  <c r="D43" i="149" s="1"/>
  <c r="CY56" i="149"/>
  <c r="D56" i="149" s="1"/>
  <c r="CY41" i="149"/>
  <c r="CY72" i="149"/>
  <c r="D72" i="149" s="1"/>
  <c r="CY34" i="149"/>
  <c r="D34" i="149" s="1"/>
  <c r="CY61" i="149"/>
  <c r="D61" i="149" s="1"/>
  <c r="CY66" i="149"/>
  <c r="D66" i="149" s="1"/>
  <c r="CY46" i="149"/>
  <c r="D46" i="149" s="1"/>
  <c r="CY54" i="149"/>
  <c r="D54" i="149" s="1"/>
  <c r="CY18" i="149"/>
  <c r="D18" i="149" s="1"/>
  <c r="CY59" i="149"/>
  <c r="D59" i="149" s="1"/>
  <c r="CY50" i="149"/>
  <c r="D50" i="149" s="1"/>
  <c r="D813" i="154" l="1"/>
  <c r="D814" i="154" l="1"/>
  <c r="CR14" i="153"/>
  <c r="CR14" i="151"/>
  <c r="CV51" i="148"/>
  <c r="CS51" i="149" s="1"/>
  <c r="D51" i="149" s="1"/>
  <c r="CV52" i="148"/>
  <c r="CS52" i="149" s="1"/>
  <c r="D52" i="149" s="1"/>
  <c r="BZ11" i="137"/>
  <c r="BE26" i="153"/>
  <c r="BE26" i="151"/>
  <c r="BI111" i="148"/>
  <c r="BF111" i="149" s="1"/>
  <c r="BI115" i="148"/>
  <c r="BF115" i="149" s="1"/>
  <c r="BL26" i="151"/>
  <c r="D815" i="154" l="1"/>
  <c r="BP111" i="148"/>
  <c r="BM111" i="149" s="1"/>
  <c r="BQ26" i="151"/>
  <c r="AT23" i="137"/>
  <c r="BP115" i="148"/>
  <c r="BM115" i="149" s="1"/>
  <c r="BQ26" i="153"/>
  <c r="BL26" i="153"/>
  <c r="D816" i="154" l="1"/>
  <c r="BU115" i="148"/>
  <c r="BR115" i="149" s="1"/>
  <c r="BU111" i="148"/>
  <c r="BR111" i="149" s="1"/>
  <c r="BS26" i="151"/>
  <c r="BW111" i="148"/>
  <c r="BT111" i="149" s="1"/>
  <c r="BS26" i="153"/>
  <c r="BW115" i="148"/>
  <c r="BT115" i="149" s="1"/>
  <c r="D817" i="154" l="1"/>
  <c r="D115" i="149"/>
  <c r="D111" i="149"/>
  <c r="BE11" i="151"/>
  <c r="BE11" i="153"/>
  <c r="BL11" i="151"/>
  <c r="BP36" i="148"/>
  <c r="BM36" i="149" s="1"/>
  <c r="BL11" i="153"/>
  <c r="BP38" i="148"/>
  <c r="BM38" i="149" s="1"/>
  <c r="BI36" i="148"/>
  <c r="BF36" i="149" s="1"/>
  <c r="BI38" i="148"/>
  <c r="BF38" i="149" s="1"/>
  <c r="BU38" i="148"/>
  <c r="BR38" i="149" s="1"/>
  <c r="D818" i="154" l="1"/>
  <c r="BU36" i="148"/>
  <c r="BR36" i="149" s="1"/>
  <c r="BQ11" i="151"/>
  <c r="BQ11" i="153"/>
  <c r="D819" i="154" l="1"/>
  <c r="BW41" i="148"/>
  <c r="BT41" i="149" s="1"/>
  <c r="D41" i="149" s="1"/>
  <c r="BS12" i="153"/>
  <c r="BS12" i="151"/>
  <c r="BW44" i="148"/>
  <c r="BT44" i="149" s="1"/>
  <c r="D44" i="149" s="1"/>
  <c r="BS11" i="153"/>
  <c r="BW36" i="148"/>
  <c r="BT36" i="149" s="1"/>
  <c r="D36" i="149" s="1"/>
  <c r="BS11" i="151"/>
  <c r="BW38" i="148"/>
  <c r="BT38" i="149" s="1"/>
  <c r="D38" i="149" s="1"/>
  <c r="AL23" i="137"/>
  <c r="AT25" i="151"/>
  <c r="AT25" i="153"/>
  <c r="BD106" i="148"/>
  <c r="BA106" i="149" s="1"/>
  <c r="BD107" i="148"/>
  <c r="BA107" i="149" s="1"/>
  <c r="AX107" i="148"/>
  <c r="AU107" i="149" s="1"/>
  <c r="AZ25" i="151"/>
  <c r="BU107" i="148"/>
  <c r="BR107" i="149" s="1"/>
  <c r="BU106" i="148"/>
  <c r="BR106" i="149" s="1"/>
  <c r="AX106" i="148"/>
  <c r="AU106" i="149" s="1"/>
  <c r="D820" i="154" l="1"/>
  <c r="AY23" i="137"/>
  <c r="BQ25" i="151"/>
  <c r="AO23" i="137"/>
  <c r="AZ25" i="153"/>
  <c r="BQ25" i="153"/>
  <c r="D821" i="154" l="1"/>
  <c r="BS25" i="153"/>
  <c r="BS25" i="151"/>
  <c r="BW106" i="148"/>
  <c r="BT106" i="149" s="1"/>
  <c r="D106" i="149" s="1"/>
  <c r="BA23" i="137"/>
  <c r="BW107" i="148"/>
  <c r="BT107" i="149" s="1"/>
  <c r="D107" i="149" s="1"/>
  <c r="A8" i="101"/>
  <c r="C2" i="149"/>
  <c r="B37" i="151"/>
  <c r="BR37" i="151" s="1"/>
  <c r="B37" i="153"/>
  <c r="BR37" i="153" s="1"/>
  <c r="E8" i="153"/>
  <c r="C8" i="153" s="1"/>
  <c r="F21" i="148"/>
  <c r="E8" i="151"/>
  <c r="C8" i="151" s="1"/>
  <c r="F25" i="148"/>
  <c r="D25" i="148" s="1"/>
  <c r="C2" i="148"/>
  <c r="K1" i="101"/>
  <c r="N1" i="101" s="1"/>
  <c r="D21" i="148" l="1"/>
  <c r="D823" i="154"/>
  <c r="D822" i="154"/>
  <c r="CW2" i="148"/>
  <c r="CT2" i="149" s="1"/>
  <c r="BQ2" i="148"/>
  <c r="BN2" i="149" s="1"/>
  <c r="AR2" i="148"/>
  <c r="AO2" i="149" s="1"/>
  <c r="AA2" i="148"/>
  <c r="X2" i="149" s="1"/>
  <c r="BZ2" i="148"/>
  <c r="BW2" i="149" s="1"/>
  <c r="BB2" i="148"/>
  <c r="AY2" i="149" s="1"/>
  <c r="CM2" i="148"/>
  <c r="CJ2" i="149" s="1"/>
  <c r="AG2" i="148"/>
  <c r="AD2" i="149" s="1"/>
  <c r="AY2" i="148"/>
  <c r="AV2" i="149" s="1"/>
  <c r="BY2" i="148"/>
  <c r="BV2" i="149" s="1"/>
  <c r="CE2" i="148"/>
  <c r="CB2" i="149" s="1"/>
  <c r="BN2" i="148"/>
  <c r="BK2" i="149" s="1"/>
  <c r="U2" i="148"/>
  <c r="AO2" i="148"/>
  <c r="AL2" i="149" s="1"/>
  <c r="AK2" i="148"/>
  <c r="AH2" i="149" s="1"/>
  <c r="BA2" i="148"/>
  <c r="AX2" i="149" s="1"/>
  <c r="CT2" i="148"/>
  <c r="CQ2" i="149" s="1"/>
  <c r="BP2" i="148"/>
  <c r="BM2" i="149" s="1"/>
  <c r="W2" i="148"/>
  <c r="AQ2" i="148"/>
  <c r="AN2" i="149" s="1"/>
  <c r="BJ2" i="148"/>
  <c r="BG2" i="149" s="1"/>
  <c r="CH2" i="148"/>
  <c r="CE2" i="149" s="1"/>
  <c r="AB2" i="148"/>
  <c r="Y2" i="149" s="1"/>
  <c r="CN2" i="148"/>
  <c r="CK2" i="149" s="1"/>
  <c r="AE2" i="148"/>
  <c r="AB2" i="149" s="1"/>
  <c r="BI2" i="148"/>
  <c r="BF2" i="149" s="1"/>
  <c r="K2" i="148"/>
  <c r="BX2" i="148"/>
  <c r="BU2" i="149" s="1"/>
  <c r="CX2" i="148"/>
  <c r="CU2" i="149" s="1"/>
  <c r="I2" i="148"/>
  <c r="BC2" i="148"/>
  <c r="AZ2" i="149" s="1"/>
  <c r="AM2" i="148"/>
  <c r="AJ2" i="149" s="1"/>
  <c r="BE2" i="148"/>
  <c r="BB2" i="149" s="1"/>
  <c r="BK2" i="148"/>
  <c r="BH2" i="149" s="1"/>
  <c r="CD2" i="148"/>
  <c r="CA2" i="149" s="1"/>
  <c r="F2" i="148"/>
  <c r="AI2" i="148"/>
  <c r="AF2" i="149" s="1"/>
  <c r="AC2" i="148"/>
  <c r="Z2" i="149" s="1"/>
  <c r="AH2" i="148"/>
  <c r="AE2" i="149" s="1"/>
  <c r="CK2" i="148"/>
  <c r="CH2" i="149" s="1"/>
  <c r="AU2" i="148"/>
  <c r="AR2" i="149" s="1"/>
  <c r="BO2" i="148"/>
  <c r="BL2" i="149" s="1"/>
  <c r="BT2" i="148"/>
  <c r="BQ2" i="149" s="1"/>
  <c r="CQ2" i="148"/>
  <c r="CN2" i="149" s="1"/>
  <c r="CO2" i="148"/>
  <c r="CL2" i="149" s="1"/>
  <c r="CF2" i="148"/>
  <c r="CC2" i="149" s="1"/>
  <c r="CI2" i="148"/>
  <c r="CF2" i="149" s="1"/>
  <c r="CJ2" i="148"/>
  <c r="CG2" i="149" s="1"/>
  <c r="BR2" i="148"/>
  <c r="BO2" i="149" s="1"/>
  <c r="CB2" i="148"/>
  <c r="BY2" i="149" s="1"/>
  <c r="CA2" i="148"/>
  <c r="BX2" i="149" s="1"/>
  <c r="AJ2" i="148"/>
  <c r="AG2" i="149" s="1"/>
  <c r="E2" i="148"/>
  <c r="G2" i="148"/>
  <c r="AZ2" i="148"/>
  <c r="AW2" i="149" s="1"/>
  <c r="DA2" i="148"/>
  <c r="CX2" i="149" s="1"/>
  <c r="CV2" i="148"/>
  <c r="CS2" i="149" s="1"/>
  <c r="X2" i="148"/>
  <c r="U2" i="149" s="1"/>
  <c r="CL2" i="148"/>
  <c r="CI2" i="149" s="1"/>
  <c r="CY2" i="148"/>
  <c r="CV2" i="149" s="1"/>
  <c r="BL2" i="148"/>
  <c r="BI2" i="149" s="1"/>
  <c r="CG2" i="148"/>
  <c r="CD2" i="149" s="1"/>
  <c r="CP2" i="148"/>
  <c r="CM2" i="149" s="1"/>
  <c r="AN2" i="148"/>
  <c r="AK2" i="149" s="1"/>
  <c r="CS2" i="148"/>
  <c r="CP2" i="149" s="1"/>
  <c r="BS2" i="148"/>
  <c r="BP2" i="149" s="1"/>
  <c r="AP2" i="148"/>
  <c r="AM2" i="149" s="1"/>
  <c r="L2" i="148"/>
  <c r="AL2" i="148"/>
  <c r="AI2" i="149" s="1"/>
  <c r="BH2" i="148"/>
  <c r="BE2" i="149" s="1"/>
  <c r="BM2" i="148"/>
  <c r="BJ2" i="149" s="1"/>
  <c r="AD2" i="148"/>
  <c r="AA2" i="149" s="1"/>
  <c r="CZ2" i="148"/>
  <c r="CW2" i="149" s="1"/>
  <c r="H2" i="148"/>
  <c r="Y2" i="148"/>
  <c r="V2" i="149" s="1"/>
  <c r="AT2" i="148"/>
  <c r="AQ2" i="149" s="1"/>
  <c r="V2" i="148"/>
  <c r="BF2" i="148"/>
  <c r="BC2" i="149" s="1"/>
  <c r="AF2" i="148"/>
  <c r="AC2" i="149" s="1"/>
  <c r="Z2" i="148"/>
  <c r="W2" i="149" s="1"/>
  <c r="O2" i="148"/>
  <c r="BG2" i="148"/>
  <c r="BD2" i="149" s="1"/>
  <c r="R2" i="148"/>
  <c r="M2" i="148"/>
  <c r="Q2" i="148"/>
  <c r="CR2" i="148"/>
  <c r="CO2" i="149" s="1"/>
  <c r="CU2" i="148"/>
  <c r="CR2" i="149" s="1"/>
  <c r="J2" i="148"/>
  <c r="P2" i="148"/>
  <c r="CC2" i="148"/>
  <c r="BZ2" i="149" s="1"/>
  <c r="AS2" i="148"/>
  <c r="AP2" i="149" s="1"/>
  <c r="M1" i="101"/>
  <c r="BV2" i="148"/>
  <c r="BS2" i="149" s="1"/>
  <c r="BM37" i="153"/>
  <c r="BB37" i="153"/>
  <c r="BA37" i="153"/>
  <c r="L37" i="153"/>
  <c r="AI37" i="153"/>
  <c r="CP37" i="153"/>
  <c r="Q37" i="153"/>
  <c r="AD37" i="153"/>
  <c r="CS37" i="153"/>
  <c r="AP37" i="153"/>
  <c r="AV37" i="153"/>
  <c r="AB37" i="153"/>
  <c r="BW37" i="153"/>
  <c r="CD37" i="153"/>
  <c r="CH37" i="153"/>
  <c r="H37" i="153"/>
  <c r="BN37" i="153"/>
  <c r="AL37" i="153"/>
  <c r="CW37" i="153"/>
  <c r="AN37" i="153"/>
  <c r="I37" i="153"/>
  <c r="W37" i="153"/>
  <c r="BK37" i="153"/>
  <c r="O37" i="153"/>
  <c r="BC37" i="153"/>
  <c r="CL37" i="153"/>
  <c r="CI37" i="153"/>
  <c r="V37" i="153"/>
  <c r="AQ37" i="153"/>
  <c r="Z37" i="153"/>
  <c r="AM37" i="153"/>
  <c r="G37" i="153"/>
  <c r="BL37" i="153"/>
  <c r="AX37" i="153"/>
  <c r="E37" i="153"/>
  <c r="K37" i="153"/>
  <c r="CE37" i="153"/>
  <c r="U37" i="153"/>
  <c r="AJ37" i="153"/>
  <c r="N37" i="153"/>
  <c r="S37" i="153"/>
  <c r="CQ37" i="153"/>
  <c r="CU37" i="153"/>
  <c r="AU37" i="153"/>
  <c r="BH37" i="153"/>
  <c r="CC37" i="153"/>
  <c r="CN37" i="153"/>
  <c r="CG37" i="153"/>
  <c r="CT37" i="153"/>
  <c r="F37" i="153"/>
  <c r="BI37" i="153"/>
  <c r="BP37" i="153"/>
  <c r="T37" i="153"/>
  <c r="AF37" i="153"/>
  <c r="BO37" i="153"/>
  <c r="BY37" i="153"/>
  <c r="CA37" i="153"/>
  <c r="BU37" i="153"/>
  <c r="Y37" i="153"/>
  <c r="BX37" i="153"/>
  <c r="BJ37" i="153"/>
  <c r="AG37" i="153"/>
  <c r="CJ37" i="153"/>
  <c r="X37" i="153"/>
  <c r="BZ37" i="153"/>
  <c r="P37" i="153"/>
  <c r="AW37" i="153"/>
  <c r="CR37" i="153"/>
  <c r="CM37" i="153"/>
  <c r="CO37" i="153"/>
  <c r="BF37" i="153"/>
  <c r="CF37" i="153"/>
  <c r="J37" i="153"/>
  <c r="BV37" i="153"/>
  <c r="BG37" i="153"/>
  <c r="D37" i="153"/>
  <c r="CK37" i="153"/>
  <c r="AO37" i="153"/>
  <c r="AY37" i="153"/>
  <c r="AK37" i="153"/>
  <c r="BT37" i="153"/>
  <c r="CB37" i="153"/>
  <c r="AA37" i="153"/>
  <c r="CV37" i="153"/>
  <c r="AH37" i="153"/>
  <c r="BD37" i="153"/>
  <c r="BW37" i="151"/>
  <c r="BN37" i="151"/>
  <c r="CF37" i="151"/>
  <c r="BV37" i="151"/>
  <c r="F37" i="151"/>
  <c r="CN37" i="151"/>
  <c r="AJ37" i="151"/>
  <c r="Q37" i="151"/>
  <c r="CD37" i="151"/>
  <c r="P37" i="151"/>
  <c r="AG37" i="151"/>
  <c r="R37" i="151"/>
  <c r="Z37" i="151"/>
  <c r="BO37" i="151"/>
  <c r="AE37" i="151"/>
  <c r="CK37" i="151"/>
  <c r="O37" i="151"/>
  <c r="AC37" i="151"/>
  <c r="CJ37" i="151"/>
  <c r="CG37" i="151"/>
  <c r="U37" i="151"/>
  <c r="BX37" i="151"/>
  <c r="J37" i="151"/>
  <c r="BB37" i="151"/>
  <c r="L37" i="151"/>
  <c r="Y37" i="151"/>
  <c r="AB37" i="151"/>
  <c r="CR37" i="151"/>
  <c r="AN37" i="151"/>
  <c r="AH37" i="151"/>
  <c r="CQ37" i="151"/>
  <c r="AF37" i="151"/>
  <c r="BP37" i="151"/>
  <c r="CI37" i="151"/>
  <c r="BA37" i="151"/>
  <c r="AO37" i="151"/>
  <c r="S37" i="151"/>
  <c r="BY37" i="151"/>
  <c r="H37" i="151"/>
  <c r="N37" i="151"/>
  <c r="X37" i="151"/>
  <c r="BI37" i="151"/>
  <c r="CC37" i="151"/>
  <c r="CM37" i="151"/>
  <c r="V37" i="151"/>
  <c r="CU37" i="151"/>
  <c r="AW37" i="151"/>
  <c r="W37" i="151"/>
  <c r="AX37" i="151"/>
  <c r="BZ37" i="151"/>
  <c r="BG37" i="151"/>
  <c r="CS37" i="151"/>
  <c r="BE37" i="151"/>
  <c r="CH37" i="151"/>
  <c r="AD37" i="151"/>
  <c r="CO37" i="151"/>
  <c r="BC37" i="151"/>
  <c r="BK37" i="151"/>
  <c r="AI37" i="151"/>
  <c r="BD37" i="151"/>
  <c r="BJ37" i="151"/>
  <c r="CW37" i="151"/>
  <c r="BT37" i="151"/>
  <c r="AU37" i="151"/>
  <c r="CE37" i="151"/>
  <c r="K37" i="151"/>
  <c r="AY37" i="151"/>
  <c r="BF37" i="151"/>
  <c r="D37" i="151"/>
  <c r="CB37" i="151"/>
  <c r="G37" i="151"/>
  <c r="BL37" i="151"/>
  <c r="CL37" i="151"/>
  <c r="AP37" i="151"/>
  <c r="AM37" i="151"/>
  <c r="T37" i="151"/>
  <c r="AQ37" i="151"/>
  <c r="AA37" i="151"/>
  <c r="BH37" i="151"/>
  <c r="AV37" i="151"/>
  <c r="CV37" i="151"/>
  <c r="AK37" i="151"/>
  <c r="E37" i="151"/>
  <c r="CP37" i="151"/>
  <c r="AL37" i="151"/>
  <c r="CT37" i="151"/>
  <c r="CA37" i="151"/>
  <c r="BM37" i="151"/>
  <c r="BU37" i="151"/>
  <c r="I37" i="151"/>
  <c r="CY2" i="149"/>
  <c r="DB2" i="149"/>
  <c r="DA2" i="149"/>
  <c r="CZ2" i="149"/>
  <c r="BE37" i="153"/>
  <c r="AE37" i="153"/>
  <c r="AC37" i="153"/>
  <c r="R37" i="153"/>
  <c r="C37" i="151" l="1"/>
  <c r="D2" i="148"/>
  <c r="O1" i="101"/>
  <c r="Q1" i="101" s="1"/>
  <c r="C37" i="153"/>
  <c r="H8" i="101"/>
  <c r="I8" i="101"/>
  <c r="C81" i="143" l="1"/>
  <c r="C102" i="143"/>
  <c r="C9" i="143"/>
  <c r="C33" i="143"/>
  <c r="C6" i="143"/>
  <c r="C46" i="143"/>
  <c r="C115" i="143"/>
  <c r="C91" i="143"/>
  <c r="C95" i="143"/>
  <c r="C24" i="143"/>
  <c r="V24" i="143" s="1"/>
  <c r="C59" i="143"/>
  <c r="C48" i="143"/>
  <c r="C25" i="143"/>
  <c r="C11" i="143"/>
  <c r="C38" i="143"/>
  <c r="C65" i="143"/>
  <c r="C7" i="143"/>
  <c r="C57" i="143"/>
  <c r="C79" i="143"/>
  <c r="C75" i="143"/>
  <c r="C130" i="143"/>
  <c r="C16" i="143"/>
  <c r="C36" i="143"/>
  <c r="C56" i="143"/>
  <c r="C127" i="143"/>
  <c r="C28" i="143"/>
  <c r="C76" i="143"/>
  <c r="C135" i="143"/>
  <c r="C10" i="143"/>
  <c r="C42" i="143"/>
  <c r="C71" i="143"/>
  <c r="C37" i="143"/>
  <c r="C103" i="143"/>
  <c r="C83" i="143"/>
  <c r="C88" i="143"/>
  <c r="C20" i="143"/>
  <c r="C12" i="143"/>
  <c r="C34" i="143"/>
  <c r="C27" i="143"/>
  <c r="C32" i="143"/>
  <c r="C58" i="143"/>
  <c r="C82" i="143"/>
  <c r="C22" i="143"/>
  <c r="V22" i="143" s="1"/>
  <c r="C21" i="143"/>
  <c r="V21" i="143" s="1"/>
  <c r="C69" i="143"/>
  <c r="C68" i="143"/>
  <c r="C8" i="143"/>
  <c r="C80" i="143"/>
  <c r="C85" i="143"/>
  <c r="C136" i="143"/>
  <c r="C43" i="143"/>
  <c r="C47" i="143"/>
  <c r="C41" i="143"/>
  <c r="C40" i="143"/>
  <c r="C92" i="143"/>
  <c r="C90" i="143"/>
  <c r="C86" i="143"/>
  <c r="C119" i="143"/>
  <c r="C23" i="143"/>
  <c r="V23" i="143" s="1"/>
  <c r="C19" i="143"/>
  <c r="C128" i="143"/>
  <c r="C62" i="143"/>
  <c r="C35" i="143"/>
  <c r="C96" i="143"/>
  <c r="C77" i="143"/>
  <c r="C129" i="143"/>
  <c r="C52" i="143"/>
  <c r="I52" i="143" s="1"/>
  <c r="C51" i="143"/>
  <c r="C60" i="143"/>
  <c r="C66" i="143"/>
  <c r="C78" i="143"/>
  <c r="C133" i="143"/>
  <c r="C50" i="143"/>
  <c r="C29" i="143"/>
  <c r="C5" i="143"/>
  <c r="U5" i="143" s="1"/>
  <c r="C44" i="143"/>
  <c r="C87" i="143"/>
  <c r="C122" i="143"/>
  <c r="C118" i="143"/>
  <c r="C120" i="143"/>
  <c r="C15" i="143"/>
  <c r="C14" i="143"/>
  <c r="C31" i="143"/>
  <c r="C54" i="143"/>
  <c r="C67" i="143"/>
  <c r="C99" i="143"/>
  <c r="C17" i="143"/>
  <c r="C18" i="143"/>
  <c r="C39" i="143"/>
  <c r="C61" i="143"/>
  <c r="C121" i="143"/>
  <c r="C89" i="143"/>
  <c r="C93" i="143"/>
  <c r="C132" i="143"/>
  <c r="C13" i="143"/>
  <c r="C30" i="143"/>
  <c r="C45" i="143"/>
  <c r="C63" i="143"/>
  <c r="C123" i="143"/>
  <c r="C100" i="143"/>
  <c r="C94" i="143"/>
  <c r="C131" i="143"/>
  <c r="C64" i="143"/>
  <c r="C55" i="143"/>
  <c r="C125" i="143"/>
  <c r="C74" i="143"/>
  <c r="C98" i="143"/>
  <c r="C97" i="143"/>
  <c r="C73" i="143"/>
  <c r="C49" i="143"/>
  <c r="C26" i="143"/>
  <c r="C126" i="143"/>
  <c r="C53" i="143"/>
  <c r="C104" i="143"/>
  <c r="C84" i="143"/>
  <c r="C124" i="143"/>
  <c r="Z126" i="143" l="1"/>
  <c r="Y126" i="143"/>
  <c r="X126" i="143"/>
  <c r="W126" i="143"/>
  <c r="V126" i="143"/>
  <c r="AG126" i="143"/>
  <c r="U126" i="143"/>
  <c r="AF126" i="143"/>
  <c r="AE126" i="143"/>
  <c r="AD126" i="143"/>
  <c r="AC126" i="143"/>
  <c r="AB126" i="143"/>
  <c r="T126" i="143"/>
  <c r="S126" i="143"/>
  <c r="R126" i="143"/>
  <c r="AA126" i="143"/>
  <c r="N126" i="143"/>
  <c r="L126" i="143"/>
  <c r="K126" i="143"/>
  <c r="Q126" i="143"/>
  <c r="O126" i="143"/>
  <c r="M126" i="143"/>
  <c r="P126" i="143"/>
  <c r="J126" i="143"/>
  <c r="I126" i="143"/>
  <c r="H126" i="143"/>
  <c r="F126" i="143"/>
  <c r="E126" i="143"/>
  <c r="D126" i="143"/>
  <c r="G126" i="143"/>
  <c r="V94" i="143"/>
  <c r="AF94" i="143"/>
  <c r="AE94" i="143"/>
  <c r="AD94" i="143"/>
  <c r="AC94" i="143"/>
  <c r="AB94" i="143"/>
  <c r="Z94" i="143"/>
  <c r="Y94" i="143"/>
  <c r="X94" i="143"/>
  <c r="AG94" i="143"/>
  <c r="AA94" i="143"/>
  <c r="T94" i="143"/>
  <c r="U94" i="143"/>
  <c r="S94" i="143"/>
  <c r="R94" i="143"/>
  <c r="N94" i="143"/>
  <c r="L94" i="143"/>
  <c r="K94" i="143"/>
  <c r="Q94" i="143"/>
  <c r="O94" i="143"/>
  <c r="M94" i="143"/>
  <c r="J94" i="143"/>
  <c r="P94" i="143"/>
  <c r="F94" i="143"/>
  <c r="E94" i="143"/>
  <c r="H94" i="143"/>
  <c r="I94" i="143"/>
  <c r="G94" i="143"/>
  <c r="V39" i="143"/>
  <c r="AG39" i="143"/>
  <c r="U39" i="143"/>
  <c r="AF39" i="143"/>
  <c r="AE39" i="143"/>
  <c r="AD39" i="143"/>
  <c r="AB39" i="143"/>
  <c r="Z39" i="143"/>
  <c r="Y39" i="143"/>
  <c r="AC39" i="143"/>
  <c r="X39" i="143"/>
  <c r="S39" i="143"/>
  <c r="R39" i="143"/>
  <c r="Q39" i="143"/>
  <c r="J39" i="143"/>
  <c r="AA39" i="143"/>
  <c r="T39" i="143"/>
  <c r="O39" i="143"/>
  <c r="N39" i="143"/>
  <c r="K39" i="143"/>
  <c r="P39" i="143"/>
  <c r="M39" i="143"/>
  <c r="L39" i="143"/>
  <c r="F39" i="143"/>
  <c r="E39" i="143"/>
  <c r="I39" i="143"/>
  <c r="G39" i="143"/>
  <c r="H39" i="143"/>
  <c r="AC87" i="143"/>
  <c r="AA87" i="143"/>
  <c r="Z87" i="143"/>
  <c r="Y87" i="143"/>
  <c r="X87" i="143"/>
  <c r="AG87" i="143"/>
  <c r="U87" i="143"/>
  <c r="AF87" i="143"/>
  <c r="AE87" i="143"/>
  <c r="AB87" i="143"/>
  <c r="S87" i="143"/>
  <c r="V87" i="143"/>
  <c r="R87" i="143"/>
  <c r="AD87" i="143"/>
  <c r="T87" i="143"/>
  <c r="P87" i="143"/>
  <c r="O87" i="143"/>
  <c r="M87" i="143"/>
  <c r="L87" i="143"/>
  <c r="Q87" i="143"/>
  <c r="K87" i="143"/>
  <c r="J87" i="143"/>
  <c r="N87" i="143"/>
  <c r="I87" i="143"/>
  <c r="F87" i="143"/>
  <c r="E87" i="143"/>
  <c r="H87" i="143"/>
  <c r="G87" i="143"/>
  <c r="AG52" i="143"/>
  <c r="U52" i="143"/>
  <c r="AF52" i="143"/>
  <c r="AE52" i="143"/>
  <c r="AD52" i="143"/>
  <c r="AC52" i="143"/>
  <c r="AB52" i="143"/>
  <c r="AA52" i="143"/>
  <c r="Z52" i="143"/>
  <c r="Y52" i="143"/>
  <c r="X52" i="143"/>
  <c r="V52" i="143"/>
  <c r="R52" i="143"/>
  <c r="S52" i="143"/>
  <c r="O52" i="143"/>
  <c r="T52" i="143"/>
  <c r="N52" i="143"/>
  <c r="M52" i="143"/>
  <c r="L52" i="143"/>
  <c r="K52" i="143"/>
  <c r="Q52" i="143"/>
  <c r="P52" i="143"/>
  <c r="J52" i="143"/>
  <c r="G52" i="143"/>
  <c r="H52" i="143"/>
  <c r="F52" i="143"/>
  <c r="E52" i="143"/>
  <c r="X92" i="143"/>
  <c r="V92" i="143"/>
  <c r="AG92" i="143"/>
  <c r="U92" i="143"/>
  <c r="AF92" i="143"/>
  <c r="AE92" i="143"/>
  <c r="AD92" i="143"/>
  <c r="AB92" i="143"/>
  <c r="AA92" i="143"/>
  <c r="Z92" i="143"/>
  <c r="AC92" i="143"/>
  <c r="Y92" i="143"/>
  <c r="T92" i="143"/>
  <c r="N92" i="143"/>
  <c r="L92" i="143"/>
  <c r="K92" i="143"/>
  <c r="S92" i="143"/>
  <c r="R92" i="143"/>
  <c r="O92" i="143"/>
  <c r="P92" i="143"/>
  <c r="M92" i="143"/>
  <c r="Q92" i="143"/>
  <c r="J92" i="143"/>
  <c r="H92" i="143"/>
  <c r="F92" i="143"/>
  <c r="I92" i="143"/>
  <c r="E92" i="143"/>
  <c r="G92" i="143"/>
  <c r="AB21" i="143"/>
  <c r="AA21" i="143"/>
  <c r="Z21" i="143"/>
  <c r="Y21" i="143"/>
  <c r="X21" i="143"/>
  <c r="AF21" i="143"/>
  <c r="AE21" i="143"/>
  <c r="AC21" i="143"/>
  <c r="Q21" i="143"/>
  <c r="T21" i="143"/>
  <c r="S21" i="143"/>
  <c r="AD21" i="143"/>
  <c r="O21" i="143"/>
  <c r="J21" i="143"/>
  <c r="N21" i="143"/>
  <c r="U21" i="143"/>
  <c r="P21" i="143"/>
  <c r="M21" i="143"/>
  <c r="L21" i="143"/>
  <c r="K21" i="143"/>
  <c r="AG21" i="143"/>
  <c r="R21" i="143"/>
  <c r="G21" i="143"/>
  <c r="I21" i="143"/>
  <c r="F21" i="143"/>
  <c r="E21" i="143"/>
  <c r="H21" i="143"/>
  <c r="Y103" i="143"/>
  <c r="X103" i="143"/>
  <c r="V103" i="143"/>
  <c r="AG103" i="143"/>
  <c r="U103" i="143"/>
  <c r="AF103" i="143"/>
  <c r="AE103" i="143"/>
  <c r="AD103" i="143"/>
  <c r="AC103" i="143"/>
  <c r="AB103" i="143"/>
  <c r="AA103" i="143"/>
  <c r="Z103" i="143"/>
  <c r="S103" i="143"/>
  <c r="R103" i="143"/>
  <c r="T103" i="143"/>
  <c r="P103" i="143"/>
  <c r="O103" i="143"/>
  <c r="Q103" i="143"/>
  <c r="M103" i="143"/>
  <c r="L103" i="143"/>
  <c r="N103" i="143"/>
  <c r="K103" i="143"/>
  <c r="J103" i="143"/>
  <c r="F103" i="143"/>
  <c r="H103" i="143"/>
  <c r="E103" i="143"/>
  <c r="I103" i="143"/>
  <c r="G103" i="143"/>
  <c r="V130" i="143"/>
  <c r="W130" i="143" s="1"/>
  <c r="AG130" i="143"/>
  <c r="U130" i="143"/>
  <c r="AF130" i="143"/>
  <c r="AE130" i="143"/>
  <c r="AD130" i="143"/>
  <c r="AC130" i="143"/>
  <c r="AB130" i="143"/>
  <c r="AA130" i="143"/>
  <c r="Z130" i="143"/>
  <c r="Y130" i="143"/>
  <c r="X130" i="143"/>
  <c r="T130" i="143"/>
  <c r="S130" i="143"/>
  <c r="R130" i="143"/>
  <c r="N130" i="143"/>
  <c r="L130" i="143"/>
  <c r="K130" i="143"/>
  <c r="Q130" i="143"/>
  <c r="O130" i="143"/>
  <c r="M130" i="143"/>
  <c r="J130" i="143"/>
  <c r="P130" i="143"/>
  <c r="I130" i="143"/>
  <c r="F130" i="143"/>
  <c r="E130" i="143"/>
  <c r="D130" i="143" s="1"/>
  <c r="H130" i="143"/>
  <c r="G130" i="143"/>
  <c r="AG59" i="143"/>
  <c r="AE59" i="143"/>
  <c r="Y59" i="143"/>
  <c r="X59" i="143"/>
  <c r="AB59" i="143"/>
  <c r="AA59" i="143"/>
  <c r="Z59" i="143"/>
  <c r="V59" i="143"/>
  <c r="U59" i="143"/>
  <c r="AF59" i="143"/>
  <c r="AC59" i="143"/>
  <c r="AD59" i="143"/>
  <c r="S59" i="143"/>
  <c r="R59" i="143"/>
  <c r="Q59" i="143"/>
  <c r="T59" i="143"/>
  <c r="O59" i="143"/>
  <c r="N59" i="143"/>
  <c r="K59" i="143"/>
  <c r="J59" i="143"/>
  <c r="P59" i="143"/>
  <c r="M59" i="143"/>
  <c r="L59" i="143"/>
  <c r="I59" i="143"/>
  <c r="F59" i="143"/>
  <c r="E59" i="143"/>
  <c r="H59" i="143"/>
  <c r="G59" i="143"/>
  <c r="X104" i="143"/>
  <c r="V104" i="143"/>
  <c r="AG104" i="143"/>
  <c r="U104" i="143"/>
  <c r="AF104" i="143"/>
  <c r="AE104" i="143"/>
  <c r="AD104" i="143"/>
  <c r="AC104" i="143"/>
  <c r="AB104" i="143"/>
  <c r="AA104" i="143"/>
  <c r="Z104" i="143"/>
  <c r="T104" i="143"/>
  <c r="Y104" i="143"/>
  <c r="N104" i="143"/>
  <c r="L104" i="143"/>
  <c r="K104" i="143"/>
  <c r="S104" i="143"/>
  <c r="R104" i="143"/>
  <c r="O104" i="143"/>
  <c r="P104" i="143"/>
  <c r="M104" i="143"/>
  <c r="J104" i="143"/>
  <c r="Q104" i="143"/>
  <c r="I104" i="143"/>
  <c r="F104" i="143"/>
  <c r="E104" i="143"/>
  <c r="H104" i="143"/>
  <c r="G104" i="143"/>
  <c r="V26" i="143"/>
  <c r="AG26" i="143"/>
  <c r="U26" i="143"/>
  <c r="AF26" i="143"/>
  <c r="AE26" i="143"/>
  <c r="AC26" i="143"/>
  <c r="AA26" i="143"/>
  <c r="Z26" i="143"/>
  <c r="X26" i="143"/>
  <c r="Q26" i="143"/>
  <c r="T26" i="143"/>
  <c r="S26" i="143"/>
  <c r="AB26" i="143"/>
  <c r="Y26" i="143"/>
  <c r="O26" i="143"/>
  <c r="N26" i="143"/>
  <c r="J26" i="143"/>
  <c r="M26" i="143"/>
  <c r="AD26" i="143"/>
  <c r="R26" i="143"/>
  <c r="L26" i="143"/>
  <c r="K26" i="143"/>
  <c r="P26" i="143"/>
  <c r="I26" i="143"/>
  <c r="F26" i="143"/>
  <c r="E26" i="143"/>
  <c r="G26" i="143"/>
  <c r="H26" i="143"/>
  <c r="AB100" i="143"/>
  <c r="AA100" i="143"/>
  <c r="Z100" i="143"/>
  <c r="Y100" i="143"/>
  <c r="X100" i="143"/>
  <c r="V100" i="143"/>
  <c r="AG100" i="143"/>
  <c r="U100" i="143"/>
  <c r="AF100" i="143"/>
  <c r="AE100" i="143"/>
  <c r="AD100" i="143"/>
  <c r="AC100" i="143"/>
  <c r="T100" i="143"/>
  <c r="N100" i="143"/>
  <c r="L100" i="143"/>
  <c r="K100" i="143"/>
  <c r="S100" i="143"/>
  <c r="O100" i="143"/>
  <c r="R100" i="143"/>
  <c r="Q100" i="143"/>
  <c r="P100" i="143"/>
  <c r="M100" i="143"/>
  <c r="J100" i="143"/>
  <c r="I100" i="143"/>
  <c r="H100" i="143"/>
  <c r="G100" i="143"/>
  <c r="F100" i="143"/>
  <c r="E100" i="143"/>
  <c r="AE18" i="143"/>
  <c r="AD18" i="143"/>
  <c r="AC18" i="143"/>
  <c r="AB18" i="143"/>
  <c r="AA18" i="143"/>
  <c r="Y18" i="143"/>
  <c r="V18" i="143"/>
  <c r="AF18" i="143"/>
  <c r="T18" i="143"/>
  <c r="S18" i="143"/>
  <c r="AG18" i="143"/>
  <c r="Q18" i="143"/>
  <c r="U18" i="143"/>
  <c r="Z18" i="143"/>
  <c r="O18" i="143"/>
  <c r="X18" i="143"/>
  <c r="N18" i="143"/>
  <c r="M18" i="143"/>
  <c r="L18" i="143"/>
  <c r="K18" i="143"/>
  <c r="J18" i="143"/>
  <c r="P18" i="143"/>
  <c r="R18" i="143"/>
  <c r="H18" i="143"/>
  <c r="F18" i="143"/>
  <c r="E18" i="143"/>
  <c r="I18" i="143"/>
  <c r="G18" i="143"/>
  <c r="AC44" i="143"/>
  <c r="AB44" i="143"/>
  <c r="AA44" i="143"/>
  <c r="Z44" i="143"/>
  <c r="Y44" i="143"/>
  <c r="AG44" i="143"/>
  <c r="U44" i="143"/>
  <c r="AF44" i="143"/>
  <c r="AD44" i="143"/>
  <c r="R44" i="143"/>
  <c r="AE44" i="143"/>
  <c r="S44" i="143"/>
  <c r="O44" i="143"/>
  <c r="N44" i="143"/>
  <c r="M44" i="143"/>
  <c r="L44" i="143"/>
  <c r="Q44" i="143"/>
  <c r="J44" i="143"/>
  <c r="X44" i="143"/>
  <c r="V44" i="143"/>
  <c r="K44" i="143"/>
  <c r="P44" i="143"/>
  <c r="T44" i="143"/>
  <c r="I44" i="143"/>
  <c r="F44" i="143"/>
  <c r="E44" i="143"/>
  <c r="G44" i="143"/>
  <c r="H44" i="143"/>
  <c r="V129" i="143"/>
  <c r="AG129" i="143"/>
  <c r="U129" i="143"/>
  <c r="AF129" i="143"/>
  <c r="AE129" i="143"/>
  <c r="AD129" i="143"/>
  <c r="AC129" i="143"/>
  <c r="AB129" i="143"/>
  <c r="AA129" i="143"/>
  <c r="Z129" i="143"/>
  <c r="Y129" i="143"/>
  <c r="S129" i="143"/>
  <c r="X129" i="143"/>
  <c r="T129" i="143"/>
  <c r="R129" i="143"/>
  <c r="P129" i="143"/>
  <c r="Q129" i="143"/>
  <c r="O129" i="143"/>
  <c r="M129" i="143"/>
  <c r="L129" i="143"/>
  <c r="K129" i="143"/>
  <c r="J129" i="143"/>
  <c r="N129" i="143"/>
  <c r="I129" i="143"/>
  <c r="F129" i="143"/>
  <c r="G129" i="143"/>
  <c r="E129" i="143"/>
  <c r="H129" i="143"/>
  <c r="AG40" i="143"/>
  <c r="U40" i="143"/>
  <c r="AF40" i="143"/>
  <c r="AE40" i="143"/>
  <c r="AD40" i="143"/>
  <c r="AC40" i="143"/>
  <c r="AA40" i="143"/>
  <c r="Y40" i="143"/>
  <c r="X40" i="143"/>
  <c r="V40" i="143"/>
  <c r="R40" i="143"/>
  <c r="S40" i="143"/>
  <c r="AB40" i="143"/>
  <c r="O40" i="143"/>
  <c r="Z40" i="143"/>
  <c r="T40" i="143"/>
  <c r="N40" i="143"/>
  <c r="M40" i="143"/>
  <c r="L40" i="143"/>
  <c r="K40" i="143"/>
  <c r="Q40" i="143"/>
  <c r="P40" i="143"/>
  <c r="J40" i="143"/>
  <c r="I40" i="143"/>
  <c r="G40" i="143"/>
  <c r="F40" i="143"/>
  <c r="E40" i="143"/>
  <c r="H40" i="143"/>
  <c r="AA22" i="143"/>
  <c r="Z22" i="143"/>
  <c r="Y22" i="143"/>
  <c r="X22" i="143"/>
  <c r="AG22" i="143"/>
  <c r="U22" i="143"/>
  <c r="AE22" i="143"/>
  <c r="AD22" i="143"/>
  <c r="AB22" i="143"/>
  <c r="T22" i="143"/>
  <c r="Q22" i="143"/>
  <c r="S22" i="143"/>
  <c r="AF22" i="143"/>
  <c r="AC22" i="143"/>
  <c r="O22" i="143"/>
  <c r="N22" i="143"/>
  <c r="M22" i="143"/>
  <c r="L22" i="143"/>
  <c r="R22" i="143"/>
  <c r="K22" i="143"/>
  <c r="J22" i="143"/>
  <c r="P22" i="143"/>
  <c r="I22" i="143"/>
  <c r="F22" i="143"/>
  <c r="E22" i="143"/>
  <c r="G22" i="143"/>
  <c r="H22" i="143"/>
  <c r="X37" i="143"/>
  <c r="V37" i="143"/>
  <c r="AG37" i="143"/>
  <c r="U37" i="143"/>
  <c r="AF37" i="143"/>
  <c r="AD37" i="143"/>
  <c r="AB37" i="143"/>
  <c r="AA37" i="143"/>
  <c r="Y37" i="143"/>
  <c r="AC37" i="143"/>
  <c r="T37" i="143"/>
  <c r="Z37" i="143"/>
  <c r="S37" i="143"/>
  <c r="J37" i="143"/>
  <c r="AE37" i="143"/>
  <c r="O37" i="143"/>
  <c r="N37" i="143"/>
  <c r="Q37" i="143"/>
  <c r="R37" i="143"/>
  <c r="P37" i="143"/>
  <c r="M37" i="143"/>
  <c r="L37" i="143"/>
  <c r="K37" i="143"/>
  <c r="I37" i="143"/>
  <c r="F37" i="143"/>
  <c r="H37" i="143"/>
  <c r="E37" i="143"/>
  <c r="G37" i="143"/>
  <c r="AC75" i="143"/>
  <c r="AA75" i="143"/>
  <c r="Z75" i="143"/>
  <c r="Y75" i="143"/>
  <c r="X75" i="143"/>
  <c r="AG75" i="143"/>
  <c r="U75" i="143"/>
  <c r="AF75" i="143"/>
  <c r="AE75" i="143"/>
  <c r="AD75" i="143"/>
  <c r="AB75" i="143"/>
  <c r="V75" i="143"/>
  <c r="S75" i="143"/>
  <c r="R75" i="143"/>
  <c r="P75" i="143"/>
  <c r="M75" i="143"/>
  <c r="L75" i="143"/>
  <c r="Q75" i="143"/>
  <c r="N75" i="143"/>
  <c r="J75" i="143"/>
  <c r="K75" i="143"/>
  <c r="T75" i="143"/>
  <c r="O75" i="143"/>
  <c r="I75" i="143"/>
  <c r="F75" i="143"/>
  <c r="E75" i="143"/>
  <c r="H75" i="143"/>
  <c r="G75" i="143"/>
  <c r="Y24" i="143"/>
  <c r="X24" i="143"/>
  <c r="AG24" i="143"/>
  <c r="U24" i="143"/>
  <c r="AE24" i="143"/>
  <c r="AC24" i="143"/>
  <c r="AB24" i="143"/>
  <c r="Z24" i="143"/>
  <c r="AF24" i="143"/>
  <c r="R24" i="143"/>
  <c r="AA24" i="143"/>
  <c r="Q24" i="143"/>
  <c r="S24" i="143"/>
  <c r="O24" i="143"/>
  <c r="N24" i="143"/>
  <c r="M24" i="143"/>
  <c r="L24" i="143"/>
  <c r="J24" i="143"/>
  <c r="AD24" i="143"/>
  <c r="K24" i="143"/>
  <c r="T24" i="143"/>
  <c r="P24" i="143"/>
  <c r="I24" i="143"/>
  <c r="H24" i="143"/>
  <c r="F24" i="143"/>
  <c r="E24" i="143"/>
  <c r="G24" i="143"/>
  <c r="AF72" i="143"/>
  <c r="AD72" i="143"/>
  <c r="AC72" i="143"/>
  <c r="AB72" i="143"/>
  <c r="AA72" i="143"/>
  <c r="X72" i="143"/>
  <c r="V72" i="143"/>
  <c r="AE72" i="143"/>
  <c r="Z72" i="143"/>
  <c r="Y72" i="143"/>
  <c r="U72" i="143"/>
  <c r="AG72" i="143"/>
  <c r="R72" i="143"/>
  <c r="N72" i="143"/>
  <c r="Q72" i="143"/>
  <c r="L72" i="143"/>
  <c r="K72" i="143"/>
  <c r="S72" i="143"/>
  <c r="O72" i="143"/>
  <c r="J72" i="143"/>
  <c r="T72" i="143"/>
  <c r="P72" i="143"/>
  <c r="M72" i="143"/>
  <c r="I72" i="143"/>
  <c r="H72" i="143"/>
  <c r="F72" i="143"/>
  <c r="E72" i="143"/>
  <c r="G72" i="143"/>
  <c r="X49" i="143"/>
  <c r="V49" i="143"/>
  <c r="AG49" i="143"/>
  <c r="U49" i="143"/>
  <c r="AF49" i="143"/>
  <c r="AE49" i="143"/>
  <c r="AD49" i="143"/>
  <c r="AC49" i="143"/>
  <c r="AB49" i="143"/>
  <c r="AA49" i="143"/>
  <c r="Y49" i="143"/>
  <c r="T49" i="143"/>
  <c r="S49" i="143"/>
  <c r="J49" i="143"/>
  <c r="Z49" i="143"/>
  <c r="Q49" i="143"/>
  <c r="O49" i="143"/>
  <c r="N49" i="143"/>
  <c r="P49" i="143"/>
  <c r="M49" i="143"/>
  <c r="L49" i="143"/>
  <c r="K49" i="143"/>
  <c r="R49" i="143"/>
  <c r="F49" i="143"/>
  <c r="H49" i="143"/>
  <c r="E49" i="143"/>
  <c r="I49" i="143"/>
  <c r="G49" i="143"/>
  <c r="AC123" i="143"/>
  <c r="AB123" i="143"/>
  <c r="AA123" i="143"/>
  <c r="Z123" i="143"/>
  <c r="Y123" i="143"/>
  <c r="X123" i="143"/>
  <c r="V123" i="143"/>
  <c r="AG123" i="143"/>
  <c r="U123" i="143"/>
  <c r="AF123" i="143"/>
  <c r="AE123" i="143"/>
  <c r="S123" i="143"/>
  <c r="R123" i="143"/>
  <c r="AD123" i="143"/>
  <c r="T123" i="143"/>
  <c r="P123" i="143"/>
  <c r="O123" i="143"/>
  <c r="M123" i="143"/>
  <c r="L123" i="143"/>
  <c r="Q123" i="143"/>
  <c r="K123" i="143"/>
  <c r="J123" i="143"/>
  <c r="N123" i="143"/>
  <c r="I123" i="143"/>
  <c r="F123" i="143"/>
  <c r="G123" i="143"/>
  <c r="E123" i="143"/>
  <c r="H123" i="143"/>
  <c r="AF17" i="143"/>
  <c r="AE17" i="143"/>
  <c r="AD17" i="143"/>
  <c r="AC17" i="143"/>
  <c r="AB17" i="143"/>
  <c r="Z17" i="143"/>
  <c r="X17" i="143"/>
  <c r="AG17" i="143"/>
  <c r="U17" i="143"/>
  <c r="AA17" i="143"/>
  <c r="V17" i="143"/>
  <c r="T17" i="143"/>
  <c r="S17" i="143"/>
  <c r="R17" i="143"/>
  <c r="Y17" i="143"/>
  <c r="O17" i="143"/>
  <c r="N17" i="143"/>
  <c r="Q17" i="143"/>
  <c r="P17" i="143"/>
  <c r="M17" i="143"/>
  <c r="L17" i="143"/>
  <c r="K17" i="143"/>
  <c r="J17" i="143"/>
  <c r="I17" i="143"/>
  <c r="H17" i="143"/>
  <c r="F17" i="143"/>
  <c r="E17" i="143"/>
  <c r="G17" i="143"/>
  <c r="AF5" i="143"/>
  <c r="AA5" i="143"/>
  <c r="AG5" i="143"/>
  <c r="AD5" i="143"/>
  <c r="S5" i="143"/>
  <c r="AE5" i="143"/>
  <c r="R5" i="143"/>
  <c r="P5" i="143"/>
  <c r="M5" i="143"/>
  <c r="O5" i="143"/>
  <c r="L5" i="143"/>
  <c r="N5" i="143"/>
  <c r="J5" i="143"/>
  <c r="Q5" i="143"/>
  <c r="T5" i="143"/>
  <c r="K5" i="143"/>
  <c r="H5" i="143"/>
  <c r="I5" i="143"/>
  <c r="G5" i="143"/>
  <c r="F5" i="143"/>
  <c r="AA77" i="143"/>
  <c r="Y77" i="143"/>
  <c r="X77" i="143"/>
  <c r="V77" i="143"/>
  <c r="AG77" i="143"/>
  <c r="U77" i="143"/>
  <c r="AE77" i="143"/>
  <c r="AD77" i="143"/>
  <c r="AC77" i="143"/>
  <c r="AF77" i="143"/>
  <c r="AB77" i="143"/>
  <c r="Z77" i="143"/>
  <c r="P77" i="143"/>
  <c r="O77" i="143"/>
  <c r="T77" i="143"/>
  <c r="M77" i="143"/>
  <c r="S77" i="143"/>
  <c r="L77" i="143"/>
  <c r="R77" i="143"/>
  <c r="N77" i="143"/>
  <c r="J77" i="143"/>
  <c r="Q77" i="143"/>
  <c r="K77" i="143"/>
  <c r="I77" i="143"/>
  <c r="H77" i="143"/>
  <c r="F77" i="143"/>
  <c r="E77" i="143"/>
  <c r="G77" i="143"/>
  <c r="AF41" i="143"/>
  <c r="AE41" i="143"/>
  <c r="AD41" i="143"/>
  <c r="AC41" i="143"/>
  <c r="AB41" i="143"/>
  <c r="Z41" i="143"/>
  <c r="X41" i="143"/>
  <c r="AG41" i="143"/>
  <c r="U41" i="143"/>
  <c r="Y41" i="143"/>
  <c r="T41" i="143"/>
  <c r="V41" i="143"/>
  <c r="S41" i="143"/>
  <c r="R41" i="143"/>
  <c r="O41" i="143"/>
  <c r="N41" i="143"/>
  <c r="P41" i="143"/>
  <c r="AA41" i="143"/>
  <c r="M41" i="143"/>
  <c r="L41" i="143"/>
  <c r="K41" i="143"/>
  <c r="J41" i="143"/>
  <c r="Q41" i="143"/>
  <c r="I41" i="143"/>
  <c r="H41" i="143"/>
  <c r="F41" i="143"/>
  <c r="E41" i="143"/>
  <c r="G41" i="143"/>
  <c r="AG71" i="143"/>
  <c r="U71" i="143"/>
  <c r="AE71" i="143"/>
  <c r="AD71" i="143"/>
  <c r="AC71" i="143"/>
  <c r="AB71" i="143"/>
  <c r="Y71" i="143"/>
  <c r="X71" i="143"/>
  <c r="AF71" i="143"/>
  <c r="AA71" i="143"/>
  <c r="Z71" i="143"/>
  <c r="V71" i="143"/>
  <c r="S71" i="143"/>
  <c r="R71" i="143"/>
  <c r="Q71" i="143"/>
  <c r="M71" i="143"/>
  <c r="L71" i="143"/>
  <c r="N71" i="143"/>
  <c r="K71" i="143"/>
  <c r="T71" i="143"/>
  <c r="P71" i="143"/>
  <c r="J71" i="143"/>
  <c r="O71" i="143"/>
  <c r="I71" i="143"/>
  <c r="F71" i="143"/>
  <c r="E71" i="143"/>
  <c r="H71" i="143"/>
  <c r="G71" i="143"/>
  <c r="AA101" i="143"/>
  <c r="Z101" i="143"/>
  <c r="Y101" i="143"/>
  <c r="X101" i="143"/>
  <c r="V101" i="143"/>
  <c r="AG101" i="143"/>
  <c r="U101" i="143"/>
  <c r="AF101" i="143"/>
  <c r="AE101" i="143"/>
  <c r="AD101" i="143"/>
  <c r="AC101" i="143"/>
  <c r="AB101" i="143"/>
  <c r="S101" i="143"/>
  <c r="P101" i="143"/>
  <c r="O101" i="143"/>
  <c r="R101" i="143"/>
  <c r="M101" i="143"/>
  <c r="L101" i="143"/>
  <c r="Q101" i="143"/>
  <c r="N101" i="143"/>
  <c r="J101" i="143"/>
  <c r="K101" i="143"/>
  <c r="T101" i="143"/>
  <c r="I101" i="143"/>
  <c r="H101" i="143"/>
  <c r="F101" i="143"/>
  <c r="G101" i="143"/>
  <c r="E101" i="143"/>
  <c r="AD134" i="143"/>
  <c r="AC134" i="143"/>
  <c r="AB134" i="143"/>
  <c r="AA134" i="143"/>
  <c r="Z134" i="143"/>
  <c r="Y134" i="143"/>
  <c r="X134" i="143"/>
  <c r="W134" i="143"/>
  <c r="V134" i="143"/>
  <c r="AG134" i="143"/>
  <c r="U134" i="143"/>
  <c r="AF134" i="143"/>
  <c r="AE134" i="143"/>
  <c r="T134" i="143"/>
  <c r="S134" i="143"/>
  <c r="R134" i="143"/>
  <c r="Q134" i="143"/>
  <c r="N134" i="143"/>
  <c r="L134" i="143"/>
  <c r="K134" i="143"/>
  <c r="O134" i="143"/>
  <c r="P134" i="143"/>
  <c r="J134" i="143"/>
  <c r="M134" i="143"/>
  <c r="I134" i="143"/>
  <c r="AE73" i="143"/>
  <c r="AC73" i="143"/>
  <c r="AB73" i="143"/>
  <c r="AA73" i="143"/>
  <c r="Z73" i="143"/>
  <c r="Y73" i="143"/>
  <c r="V73" i="143"/>
  <c r="AG73" i="143"/>
  <c r="U73" i="143"/>
  <c r="AF73" i="143"/>
  <c r="AD73" i="143"/>
  <c r="T73" i="143"/>
  <c r="M73" i="143"/>
  <c r="S73" i="143"/>
  <c r="L73" i="143"/>
  <c r="X73" i="143"/>
  <c r="J73" i="143"/>
  <c r="N73" i="143"/>
  <c r="K73" i="143"/>
  <c r="Q73" i="143"/>
  <c r="R73" i="143"/>
  <c r="P73" i="143"/>
  <c r="O73" i="143"/>
  <c r="F73" i="143"/>
  <c r="H73" i="143"/>
  <c r="E73" i="143"/>
  <c r="I73" i="143"/>
  <c r="G73" i="143"/>
  <c r="AC63" i="143"/>
  <c r="AA63" i="143"/>
  <c r="Z63" i="143"/>
  <c r="Y63" i="143"/>
  <c r="X63" i="143"/>
  <c r="AG63" i="143"/>
  <c r="U63" i="143"/>
  <c r="AF63" i="143"/>
  <c r="AE63" i="143"/>
  <c r="AD63" i="143"/>
  <c r="AB63" i="143"/>
  <c r="V63" i="143"/>
  <c r="S63" i="143"/>
  <c r="R63" i="143"/>
  <c r="M63" i="143"/>
  <c r="L63" i="143"/>
  <c r="Q63" i="143"/>
  <c r="N63" i="143"/>
  <c r="J63" i="143"/>
  <c r="K63" i="143"/>
  <c r="T63" i="143"/>
  <c r="P63" i="143"/>
  <c r="O63" i="143"/>
  <c r="I63" i="143"/>
  <c r="F63" i="143"/>
  <c r="E63" i="143"/>
  <c r="G63" i="143"/>
  <c r="H63" i="143"/>
  <c r="AC99" i="143"/>
  <c r="AB99" i="143"/>
  <c r="AA99" i="143"/>
  <c r="Z99" i="143"/>
  <c r="Y99" i="143"/>
  <c r="X99" i="143"/>
  <c r="V99" i="143"/>
  <c r="AG99" i="143"/>
  <c r="U99" i="143"/>
  <c r="AF99" i="143"/>
  <c r="AE99" i="143"/>
  <c r="S99" i="143"/>
  <c r="R99" i="143"/>
  <c r="AD99" i="143"/>
  <c r="T99" i="143"/>
  <c r="P99" i="143"/>
  <c r="O99" i="143"/>
  <c r="M99" i="143"/>
  <c r="L99" i="143"/>
  <c r="Q99" i="143"/>
  <c r="K99" i="143"/>
  <c r="J99" i="143"/>
  <c r="N99" i="143"/>
  <c r="I99" i="143"/>
  <c r="F99" i="143"/>
  <c r="E99" i="143"/>
  <c r="H99" i="143"/>
  <c r="G99" i="143"/>
  <c r="AF29" i="143"/>
  <c r="AE29" i="143"/>
  <c r="AD29" i="143"/>
  <c r="AC29" i="143"/>
  <c r="AB29" i="143"/>
  <c r="Z29" i="143"/>
  <c r="X29" i="143"/>
  <c r="AG29" i="143"/>
  <c r="U29" i="143"/>
  <c r="T29" i="143"/>
  <c r="S29" i="143"/>
  <c r="V29" i="143"/>
  <c r="AA29" i="143"/>
  <c r="R29" i="143"/>
  <c r="Q29" i="143"/>
  <c r="Y29" i="143"/>
  <c r="O29" i="143"/>
  <c r="N29" i="143"/>
  <c r="J29" i="143"/>
  <c r="P29" i="143"/>
  <c r="M29" i="143"/>
  <c r="L29" i="143"/>
  <c r="K29" i="143"/>
  <c r="I29" i="143"/>
  <c r="H29" i="143"/>
  <c r="F29" i="143"/>
  <c r="E29" i="143"/>
  <c r="G29" i="143"/>
  <c r="AF96" i="143"/>
  <c r="AE96" i="143"/>
  <c r="AD96" i="143"/>
  <c r="AC96" i="143"/>
  <c r="AB96" i="143"/>
  <c r="AA96" i="143"/>
  <c r="Z96" i="143"/>
  <c r="Y96" i="143"/>
  <c r="X96" i="143"/>
  <c r="V96" i="143"/>
  <c r="AG96" i="143"/>
  <c r="U96" i="143"/>
  <c r="T96" i="143"/>
  <c r="S96" i="143"/>
  <c r="N96" i="143"/>
  <c r="Q96" i="143"/>
  <c r="L96" i="143"/>
  <c r="K96" i="143"/>
  <c r="O96" i="143"/>
  <c r="R96" i="143"/>
  <c r="J96" i="143"/>
  <c r="M96" i="143"/>
  <c r="P96" i="143"/>
  <c r="I96" i="143"/>
  <c r="H96" i="143"/>
  <c r="F96" i="143"/>
  <c r="E96" i="143"/>
  <c r="G96" i="143"/>
  <c r="Z47" i="143"/>
  <c r="Y47" i="143"/>
  <c r="X47" i="143"/>
  <c r="V47" i="143"/>
  <c r="AG47" i="143"/>
  <c r="U47" i="143"/>
  <c r="AF47" i="143"/>
  <c r="AE47" i="143"/>
  <c r="AD47" i="143"/>
  <c r="AC47" i="143"/>
  <c r="AA47" i="143"/>
  <c r="S47" i="143"/>
  <c r="AB47" i="143"/>
  <c r="R47" i="143"/>
  <c r="Q47" i="143"/>
  <c r="T47" i="143"/>
  <c r="O47" i="143"/>
  <c r="N47" i="143"/>
  <c r="K47" i="143"/>
  <c r="J47" i="143"/>
  <c r="P47" i="143"/>
  <c r="I47" i="143"/>
  <c r="F47" i="143"/>
  <c r="M47" i="143"/>
  <c r="E47" i="143"/>
  <c r="L47" i="143"/>
  <c r="H47" i="143"/>
  <c r="G47" i="143"/>
  <c r="V82" i="143"/>
  <c r="AF82" i="143"/>
  <c r="AE82" i="143"/>
  <c r="AD82" i="143"/>
  <c r="AC82" i="143"/>
  <c r="AB82" i="143"/>
  <c r="Z82" i="143"/>
  <c r="Y82" i="143"/>
  <c r="X82" i="143"/>
  <c r="AG82" i="143"/>
  <c r="AA82" i="143"/>
  <c r="U82" i="143"/>
  <c r="N82" i="143"/>
  <c r="L82" i="143"/>
  <c r="K82" i="143"/>
  <c r="T82" i="143"/>
  <c r="Q82" i="143"/>
  <c r="S82" i="143"/>
  <c r="O82" i="143"/>
  <c r="R82" i="143"/>
  <c r="M82" i="143"/>
  <c r="J82" i="143"/>
  <c r="P82" i="143"/>
  <c r="I82" i="143"/>
  <c r="F82" i="143"/>
  <c r="E82" i="143"/>
  <c r="G82" i="143"/>
  <c r="H82" i="143"/>
  <c r="AE42" i="143"/>
  <c r="AD42" i="143"/>
  <c r="AC42" i="143"/>
  <c r="AB42" i="143"/>
  <c r="AA42" i="143"/>
  <c r="Y42" i="143"/>
  <c r="V42" i="143"/>
  <c r="AF42" i="143"/>
  <c r="AG42" i="143"/>
  <c r="Z42" i="143"/>
  <c r="X42" i="143"/>
  <c r="T42" i="143"/>
  <c r="U42" i="143"/>
  <c r="S42" i="143"/>
  <c r="Q42" i="143"/>
  <c r="O42" i="143"/>
  <c r="N42" i="143"/>
  <c r="M42" i="143"/>
  <c r="L42" i="143"/>
  <c r="K42" i="143"/>
  <c r="J42" i="143"/>
  <c r="R42" i="143"/>
  <c r="P42" i="143"/>
  <c r="I42" i="143"/>
  <c r="H42" i="143"/>
  <c r="F42" i="143"/>
  <c r="E42" i="143"/>
  <c r="G42" i="143"/>
  <c r="Y79" i="143"/>
  <c r="V79" i="143"/>
  <c r="AG79" i="143"/>
  <c r="U79" i="143"/>
  <c r="AF79" i="143"/>
  <c r="AE79" i="143"/>
  <c r="AC79" i="143"/>
  <c r="AB79" i="143"/>
  <c r="AA79" i="143"/>
  <c r="AD79" i="143"/>
  <c r="Z79" i="143"/>
  <c r="X79" i="143"/>
  <c r="S79" i="143"/>
  <c r="R79" i="143"/>
  <c r="P79" i="143"/>
  <c r="O79" i="143"/>
  <c r="Q79" i="143"/>
  <c r="M79" i="143"/>
  <c r="L79" i="143"/>
  <c r="N79" i="143"/>
  <c r="K79" i="143"/>
  <c r="T79" i="143"/>
  <c r="J79" i="143"/>
  <c r="F79" i="143"/>
  <c r="H79" i="143"/>
  <c r="E79" i="143"/>
  <c r="I79" i="143"/>
  <c r="G79" i="143"/>
  <c r="AG95" i="143"/>
  <c r="U95" i="143"/>
  <c r="AE95" i="143"/>
  <c r="AD95" i="143"/>
  <c r="AC95" i="143"/>
  <c r="AB95" i="143"/>
  <c r="AA95" i="143"/>
  <c r="Y95" i="143"/>
  <c r="X95" i="143"/>
  <c r="S95" i="143"/>
  <c r="R95" i="143"/>
  <c r="AF95" i="143"/>
  <c r="V95" i="143"/>
  <c r="T95" i="143"/>
  <c r="Z95" i="143"/>
  <c r="Q95" i="143"/>
  <c r="P95" i="143"/>
  <c r="O95" i="143"/>
  <c r="M95" i="143"/>
  <c r="L95" i="143"/>
  <c r="N95" i="143"/>
  <c r="J95" i="143"/>
  <c r="K95" i="143"/>
  <c r="I95" i="143"/>
  <c r="F95" i="143"/>
  <c r="G95" i="143"/>
  <c r="E95" i="143"/>
  <c r="H95" i="143"/>
  <c r="AE97" i="143"/>
  <c r="AD97" i="143"/>
  <c r="AC97" i="143"/>
  <c r="AB97" i="143"/>
  <c r="AA97" i="143"/>
  <c r="Z97" i="143"/>
  <c r="Y97" i="143"/>
  <c r="X97" i="143"/>
  <c r="V97" i="143"/>
  <c r="AG97" i="143"/>
  <c r="U97" i="143"/>
  <c r="AF97" i="143"/>
  <c r="S97" i="143"/>
  <c r="P97" i="143"/>
  <c r="O97" i="143"/>
  <c r="M97" i="143"/>
  <c r="L97" i="143"/>
  <c r="R97" i="143"/>
  <c r="T97" i="143"/>
  <c r="Q97" i="143"/>
  <c r="J97" i="143"/>
  <c r="N97" i="143"/>
  <c r="K97" i="143"/>
  <c r="F97" i="143"/>
  <c r="H97" i="143"/>
  <c r="E97" i="143"/>
  <c r="I97" i="143"/>
  <c r="G97" i="143"/>
  <c r="AB45" i="143"/>
  <c r="AA45" i="143"/>
  <c r="Z45" i="143"/>
  <c r="Y45" i="143"/>
  <c r="X45" i="143"/>
  <c r="V45" i="143"/>
  <c r="AG45" i="143"/>
  <c r="AF45" i="143"/>
  <c r="AE45" i="143"/>
  <c r="AC45" i="143"/>
  <c r="AD45" i="143"/>
  <c r="Q45" i="143"/>
  <c r="U45" i="143"/>
  <c r="T45" i="143"/>
  <c r="S45" i="143"/>
  <c r="O45" i="143"/>
  <c r="J45" i="143"/>
  <c r="N45" i="143"/>
  <c r="P45" i="143"/>
  <c r="M45" i="143"/>
  <c r="L45" i="143"/>
  <c r="K45" i="143"/>
  <c r="R45" i="143"/>
  <c r="G45" i="143"/>
  <c r="F45" i="143"/>
  <c r="E45" i="143"/>
  <c r="I45" i="143"/>
  <c r="H45" i="143"/>
  <c r="Y67" i="143"/>
  <c r="V67" i="143"/>
  <c r="AG67" i="143"/>
  <c r="U67" i="143"/>
  <c r="AF67" i="143"/>
  <c r="AC67" i="143"/>
  <c r="AB67" i="143"/>
  <c r="AA67" i="143"/>
  <c r="X67" i="143"/>
  <c r="AE67" i="143"/>
  <c r="Z67" i="143"/>
  <c r="S67" i="143"/>
  <c r="R67" i="143"/>
  <c r="Q67" i="143"/>
  <c r="M67" i="143"/>
  <c r="L67" i="143"/>
  <c r="AD67" i="143"/>
  <c r="N67" i="143"/>
  <c r="K67" i="143"/>
  <c r="T67" i="143"/>
  <c r="J67" i="143"/>
  <c r="P67" i="143"/>
  <c r="O67" i="143"/>
  <c r="I67" i="143"/>
  <c r="F67" i="143"/>
  <c r="H67" i="143"/>
  <c r="E67" i="143"/>
  <c r="G67" i="143"/>
  <c r="V50" i="143"/>
  <c r="AG50" i="143"/>
  <c r="U50" i="143"/>
  <c r="AF50" i="143"/>
  <c r="AE50" i="143"/>
  <c r="AD50" i="143"/>
  <c r="AC50" i="143"/>
  <c r="AB50" i="143"/>
  <c r="AA50" i="143"/>
  <c r="Z50" i="143"/>
  <c r="X50" i="143"/>
  <c r="Y50" i="143"/>
  <c r="Q50" i="143"/>
  <c r="T50" i="143"/>
  <c r="S50" i="143"/>
  <c r="O50" i="143"/>
  <c r="N50" i="143"/>
  <c r="J50" i="143"/>
  <c r="M50" i="143"/>
  <c r="R50" i="143"/>
  <c r="L50" i="143"/>
  <c r="K50" i="143"/>
  <c r="P50" i="143"/>
  <c r="F50" i="143"/>
  <c r="E50" i="143"/>
  <c r="I50" i="143"/>
  <c r="G50" i="143"/>
  <c r="H50" i="143"/>
  <c r="Z35" i="143"/>
  <c r="Y35" i="143"/>
  <c r="X35" i="143"/>
  <c r="V35" i="143"/>
  <c r="AF35" i="143"/>
  <c r="AD35" i="143"/>
  <c r="AC35" i="143"/>
  <c r="AA35" i="143"/>
  <c r="AG35" i="143"/>
  <c r="AB35" i="143"/>
  <c r="S35" i="143"/>
  <c r="U35" i="143"/>
  <c r="R35" i="143"/>
  <c r="Q35" i="143"/>
  <c r="AE35" i="143"/>
  <c r="T35" i="143"/>
  <c r="O35" i="143"/>
  <c r="N35" i="143"/>
  <c r="K35" i="143"/>
  <c r="J35" i="143"/>
  <c r="P35" i="143"/>
  <c r="M35" i="143"/>
  <c r="I35" i="143"/>
  <c r="F35" i="143"/>
  <c r="E35" i="143"/>
  <c r="L35" i="143"/>
  <c r="H35" i="143"/>
  <c r="G35" i="143"/>
  <c r="AD43" i="143"/>
  <c r="AC43" i="143"/>
  <c r="AB43" i="143"/>
  <c r="AA43" i="143"/>
  <c r="Z43" i="143"/>
  <c r="X43" i="143"/>
  <c r="V43" i="143"/>
  <c r="AG43" i="143"/>
  <c r="U43" i="143"/>
  <c r="AE43" i="143"/>
  <c r="Y43" i="143"/>
  <c r="S43" i="143"/>
  <c r="R43" i="143"/>
  <c r="Q43" i="143"/>
  <c r="AF43" i="143"/>
  <c r="O43" i="143"/>
  <c r="N43" i="143"/>
  <c r="T43" i="143"/>
  <c r="K43" i="143"/>
  <c r="J43" i="143"/>
  <c r="P43" i="143"/>
  <c r="M43" i="143"/>
  <c r="L43" i="143"/>
  <c r="I43" i="143"/>
  <c r="F43" i="143"/>
  <c r="H43" i="143"/>
  <c r="E43" i="143"/>
  <c r="G43" i="143"/>
  <c r="AA58" i="143"/>
  <c r="Z58" i="143"/>
  <c r="Y58" i="143"/>
  <c r="X58" i="143"/>
  <c r="V58" i="143"/>
  <c r="AG58" i="143"/>
  <c r="U58" i="143"/>
  <c r="AF58" i="143"/>
  <c r="AE58" i="143"/>
  <c r="AD58" i="143"/>
  <c r="AB58" i="143"/>
  <c r="AC58" i="143"/>
  <c r="T58" i="143"/>
  <c r="Q58" i="143"/>
  <c r="S58" i="143"/>
  <c r="O58" i="143"/>
  <c r="N58" i="143"/>
  <c r="M58" i="143"/>
  <c r="L58" i="143"/>
  <c r="R58" i="143"/>
  <c r="K58" i="143"/>
  <c r="J58" i="143"/>
  <c r="P58" i="143"/>
  <c r="I58" i="143"/>
  <c r="F58" i="143"/>
  <c r="E58" i="143"/>
  <c r="H58" i="143"/>
  <c r="G58" i="143"/>
  <c r="AA10" i="143"/>
  <c r="Z10" i="143"/>
  <c r="Y10" i="143"/>
  <c r="X10" i="143"/>
  <c r="AG10" i="143"/>
  <c r="U10" i="143"/>
  <c r="AE10" i="143"/>
  <c r="AD10" i="143"/>
  <c r="AB10" i="143"/>
  <c r="V10" i="143"/>
  <c r="T10" i="143"/>
  <c r="Q10" i="143"/>
  <c r="S10" i="143"/>
  <c r="AC10" i="143"/>
  <c r="O10" i="143"/>
  <c r="N10" i="143"/>
  <c r="M10" i="143"/>
  <c r="L10" i="143"/>
  <c r="R10" i="143"/>
  <c r="K10" i="143"/>
  <c r="AF10" i="143"/>
  <c r="J10" i="143"/>
  <c r="P10" i="143"/>
  <c r="I10" i="143"/>
  <c r="F10" i="143"/>
  <c r="E10" i="143"/>
  <c r="H10" i="143"/>
  <c r="G10" i="143"/>
  <c r="AB57" i="143"/>
  <c r="AA57" i="143"/>
  <c r="Z57" i="143"/>
  <c r="Y57" i="143"/>
  <c r="X57" i="143"/>
  <c r="V57" i="143"/>
  <c r="AG57" i="143"/>
  <c r="U57" i="143"/>
  <c r="AF57" i="143"/>
  <c r="AE57" i="143"/>
  <c r="AC57" i="143"/>
  <c r="AD57" i="143"/>
  <c r="Q57" i="143"/>
  <c r="T57" i="143"/>
  <c r="S57" i="143"/>
  <c r="O57" i="143"/>
  <c r="J57" i="143"/>
  <c r="N57" i="143"/>
  <c r="P57" i="143"/>
  <c r="R57" i="143"/>
  <c r="M57" i="143"/>
  <c r="L57" i="143"/>
  <c r="K57" i="143"/>
  <c r="G57" i="143"/>
  <c r="I57" i="143"/>
  <c r="F57" i="143"/>
  <c r="E57" i="143"/>
  <c r="H57" i="143"/>
  <c r="Y91" i="143"/>
  <c r="V91" i="143"/>
  <c r="AG91" i="143"/>
  <c r="U91" i="143"/>
  <c r="AF91" i="143"/>
  <c r="AE91" i="143"/>
  <c r="AC91" i="143"/>
  <c r="AB91" i="143"/>
  <c r="AA91" i="143"/>
  <c r="X91" i="143"/>
  <c r="S91" i="143"/>
  <c r="R91" i="143"/>
  <c r="Z91" i="143"/>
  <c r="T91" i="143"/>
  <c r="AD91" i="143"/>
  <c r="P91" i="143"/>
  <c r="O91" i="143"/>
  <c r="Q91" i="143"/>
  <c r="M91" i="143"/>
  <c r="L91" i="143"/>
  <c r="N91" i="143"/>
  <c r="K91" i="143"/>
  <c r="J91" i="143"/>
  <c r="I91" i="143"/>
  <c r="F91" i="143"/>
  <c r="H91" i="143"/>
  <c r="E91" i="143"/>
  <c r="G91" i="143"/>
  <c r="AD98" i="143"/>
  <c r="AC98" i="143"/>
  <c r="AB98" i="143"/>
  <c r="AA98" i="143"/>
  <c r="Z98" i="143"/>
  <c r="Y98" i="143"/>
  <c r="X98" i="143"/>
  <c r="V98" i="143"/>
  <c r="AG98" i="143"/>
  <c r="U98" i="143"/>
  <c r="AF98" i="143"/>
  <c r="T98" i="143"/>
  <c r="S98" i="143"/>
  <c r="R98" i="143"/>
  <c r="AE98" i="143"/>
  <c r="Q98" i="143"/>
  <c r="N98" i="143"/>
  <c r="L98" i="143"/>
  <c r="K98" i="143"/>
  <c r="O98" i="143"/>
  <c r="P98" i="143"/>
  <c r="J98" i="143"/>
  <c r="M98" i="143"/>
  <c r="F98" i="143"/>
  <c r="E98" i="143"/>
  <c r="I98" i="143"/>
  <c r="G98" i="143"/>
  <c r="H98" i="143"/>
  <c r="AE30" i="143"/>
  <c r="AD30" i="143"/>
  <c r="AC30" i="143"/>
  <c r="AB30" i="143"/>
  <c r="AA30" i="143"/>
  <c r="Y30" i="143"/>
  <c r="V30" i="143"/>
  <c r="AF30" i="143"/>
  <c r="T30" i="143"/>
  <c r="AG30" i="143"/>
  <c r="S30" i="143"/>
  <c r="X30" i="143"/>
  <c r="U30" i="143"/>
  <c r="Q30" i="143"/>
  <c r="O30" i="143"/>
  <c r="N30" i="143"/>
  <c r="M30" i="143"/>
  <c r="L30" i="143"/>
  <c r="K30" i="143"/>
  <c r="Z30" i="143"/>
  <c r="P30" i="143"/>
  <c r="R30" i="143"/>
  <c r="J30" i="143"/>
  <c r="H30" i="143"/>
  <c r="F30" i="143"/>
  <c r="E30" i="143"/>
  <c r="I30" i="143"/>
  <c r="G30" i="143"/>
  <c r="AE54" i="143"/>
  <c r="AD54" i="143"/>
  <c r="AC54" i="143"/>
  <c r="AB54" i="143"/>
  <c r="AA54" i="143"/>
  <c r="Z54" i="143"/>
  <c r="Y54" i="143"/>
  <c r="X54" i="143"/>
  <c r="V54" i="143"/>
  <c r="AF54" i="143"/>
  <c r="T54" i="143"/>
  <c r="S54" i="143"/>
  <c r="AG54" i="143"/>
  <c r="U54" i="143"/>
  <c r="Q54" i="143"/>
  <c r="O54" i="143"/>
  <c r="N54" i="143"/>
  <c r="M54" i="143"/>
  <c r="L54" i="143"/>
  <c r="K54" i="143"/>
  <c r="R54" i="143"/>
  <c r="P54" i="143"/>
  <c r="J54" i="143"/>
  <c r="I54" i="143"/>
  <c r="H54" i="143"/>
  <c r="F54" i="143"/>
  <c r="E54" i="143"/>
  <c r="G54" i="143"/>
  <c r="AE133" i="143"/>
  <c r="AD133" i="143"/>
  <c r="AC133" i="143"/>
  <c r="AB133" i="143"/>
  <c r="AA133" i="143"/>
  <c r="Z133" i="143"/>
  <c r="Y133" i="143"/>
  <c r="X133" i="143"/>
  <c r="V133" i="143"/>
  <c r="AG133" i="143"/>
  <c r="U133" i="143"/>
  <c r="AF133" i="143"/>
  <c r="S133" i="143"/>
  <c r="T133" i="143"/>
  <c r="P133" i="143"/>
  <c r="O133" i="143"/>
  <c r="M133" i="143"/>
  <c r="L133" i="143"/>
  <c r="R133" i="143"/>
  <c r="Q133" i="143"/>
  <c r="J133" i="143"/>
  <c r="N133" i="143"/>
  <c r="K133" i="143"/>
  <c r="I133" i="143"/>
  <c r="AD62" i="143"/>
  <c r="AB62" i="143"/>
  <c r="AA62" i="143"/>
  <c r="Z62" i="143"/>
  <c r="Y62" i="143"/>
  <c r="V62" i="143"/>
  <c r="AG62" i="143"/>
  <c r="U62" i="143"/>
  <c r="AF62" i="143"/>
  <c r="AE62" i="143"/>
  <c r="AC62" i="143"/>
  <c r="X62" i="143"/>
  <c r="Q62" i="143"/>
  <c r="N62" i="143"/>
  <c r="L62" i="143"/>
  <c r="T62" i="143"/>
  <c r="S62" i="143"/>
  <c r="O62" i="143"/>
  <c r="J62" i="143"/>
  <c r="P62" i="143"/>
  <c r="R62" i="143"/>
  <c r="M62" i="143"/>
  <c r="K62" i="143"/>
  <c r="I62" i="143"/>
  <c r="F62" i="143"/>
  <c r="E62" i="143"/>
  <c r="H62" i="143"/>
  <c r="G62" i="143"/>
  <c r="AB136" i="143"/>
  <c r="AA136" i="143"/>
  <c r="Z136" i="143"/>
  <c r="Y136" i="143"/>
  <c r="X136" i="143"/>
  <c r="W136" i="143"/>
  <c r="V136" i="143"/>
  <c r="AG136" i="143"/>
  <c r="U136" i="143"/>
  <c r="AF136" i="143"/>
  <c r="AE136" i="143"/>
  <c r="AD136" i="143"/>
  <c r="AC136" i="143"/>
  <c r="T136" i="143"/>
  <c r="S136" i="143"/>
  <c r="N136" i="143"/>
  <c r="L136" i="143"/>
  <c r="K136" i="143"/>
  <c r="R136" i="143"/>
  <c r="O136" i="143"/>
  <c r="Q136" i="143"/>
  <c r="P136" i="143"/>
  <c r="M136" i="143"/>
  <c r="J136" i="143"/>
  <c r="I136" i="143"/>
  <c r="AC32" i="143"/>
  <c r="AB32" i="143"/>
  <c r="AA32" i="143"/>
  <c r="Z32" i="143"/>
  <c r="Y32" i="143"/>
  <c r="AG32" i="143"/>
  <c r="U32" i="143"/>
  <c r="AF32" i="143"/>
  <c r="AD32" i="143"/>
  <c r="X32" i="143"/>
  <c r="R32" i="143"/>
  <c r="AE32" i="143"/>
  <c r="S32" i="143"/>
  <c r="V32" i="143"/>
  <c r="O32" i="143"/>
  <c r="N32" i="143"/>
  <c r="M32" i="143"/>
  <c r="L32" i="143"/>
  <c r="J32" i="143"/>
  <c r="T32" i="143"/>
  <c r="K32" i="143"/>
  <c r="P32" i="143"/>
  <c r="Q32" i="143"/>
  <c r="I32" i="143"/>
  <c r="F32" i="143"/>
  <c r="H32" i="143"/>
  <c r="E32" i="143"/>
  <c r="G32" i="143"/>
  <c r="AC135" i="143"/>
  <c r="AB135" i="143"/>
  <c r="AA135" i="143"/>
  <c r="Z135" i="143"/>
  <c r="Y135" i="143"/>
  <c r="X135" i="143"/>
  <c r="W135" i="143"/>
  <c r="V135" i="143"/>
  <c r="AG135" i="143"/>
  <c r="U135" i="143"/>
  <c r="AF135" i="143"/>
  <c r="AE135" i="143"/>
  <c r="S135" i="143"/>
  <c r="AD135" i="143"/>
  <c r="R135" i="143"/>
  <c r="T135" i="143"/>
  <c r="P135" i="143"/>
  <c r="O135" i="143"/>
  <c r="M135" i="143"/>
  <c r="L135" i="143"/>
  <c r="Q135" i="143"/>
  <c r="K135" i="143"/>
  <c r="J135" i="143"/>
  <c r="N135" i="143"/>
  <c r="I135" i="143"/>
  <c r="AF7" i="143"/>
  <c r="AA7" i="143"/>
  <c r="AG7" i="143"/>
  <c r="AD7" i="143"/>
  <c r="S7" i="143"/>
  <c r="R7" i="143"/>
  <c r="Q7" i="143"/>
  <c r="T7" i="143"/>
  <c r="U7" i="143"/>
  <c r="P7" i="143"/>
  <c r="M7" i="143"/>
  <c r="L7" i="143"/>
  <c r="K7" i="143"/>
  <c r="O7" i="143"/>
  <c r="N7" i="143"/>
  <c r="J7" i="143"/>
  <c r="AE7" i="143"/>
  <c r="H7" i="143"/>
  <c r="E7" i="143"/>
  <c r="G7" i="143"/>
  <c r="F7" i="143"/>
  <c r="I7" i="143"/>
  <c r="Y115" i="143"/>
  <c r="X115" i="143"/>
  <c r="V115" i="143"/>
  <c r="AG115" i="143"/>
  <c r="U115" i="143"/>
  <c r="AF115" i="143"/>
  <c r="AE115" i="143"/>
  <c r="AD115" i="143"/>
  <c r="AC115" i="143"/>
  <c r="AB115" i="143"/>
  <c r="AA115" i="143"/>
  <c r="S115" i="143"/>
  <c r="R115" i="143"/>
  <c r="Z115" i="143"/>
  <c r="T115" i="143"/>
  <c r="P115" i="143"/>
  <c r="O115" i="143"/>
  <c r="Q115" i="143"/>
  <c r="M115" i="143"/>
  <c r="L115" i="143"/>
  <c r="N115" i="143"/>
  <c r="K115" i="143"/>
  <c r="J115" i="143"/>
  <c r="I115" i="143"/>
  <c r="F115" i="143"/>
  <c r="H115" i="143"/>
  <c r="E115" i="143"/>
  <c r="G115" i="143"/>
  <c r="AF53" i="143"/>
  <c r="AE53" i="143"/>
  <c r="AD53" i="143"/>
  <c r="AC53" i="143"/>
  <c r="AB53" i="143"/>
  <c r="AA53" i="143"/>
  <c r="Z53" i="143"/>
  <c r="Y53" i="143"/>
  <c r="X53" i="143"/>
  <c r="AG53" i="143"/>
  <c r="U53" i="143"/>
  <c r="T53" i="143"/>
  <c r="S53" i="143"/>
  <c r="R53" i="143"/>
  <c r="V53" i="143"/>
  <c r="O53" i="143"/>
  <c r="N53" i="143"/>
  <c r="J53" i="143"/>
  <c r="P53" i="143"/>
  <c r="M53" i="143"/>
  <c r="L53" i="143"/>
  <c r="K53" i="143"/>
  <c r="Q53" i="143"/>
  <c r="I53" i="143"/>
  <c r="H53" i="143"/>
  <c r="F53" i="143"/>
  <c r="E53" i="143"/>
  <c r="G53" i="143"/>
  <c r="AD74" i="143"/>
  <c r="AB74" i="143"/>
  <c r="AA74" i="143"/>
  <c r="Z74" i="143"/>
  <c r="Y74" i="143"/>
  <c r="X74" i="143"/>
  <c r="V74" i="143"/>
  <c r="AG74" i="143"/>
  <c r="U74" i="143"/>
  <c r="AF74" i="143"/>
  <c r="AE74" i="143"/>
  <c r="AC74" i="143"/>
  <c r="Q74" i="143"/>
  <c r="N74" i="143"/>
  <c r="L74" i="143"/>
  <c r="K74" i="143"/>
  <c r="T74" i="143"/>
  <c r="S74" i="143"/>
  <c r="O74" i="143"/>
  <c r="J74" i="143"/>
  <c r="P74" i="143"/>
  <c r="R74" i="143"/>
  <c r="M74" i="143"/>
  <c r="F74" i="143"/>
  <c r="E74" i="143"/>
  <c r="I74" i="143"/>
  <c r="H74" i="143"/>
  <c r="G74" i="143"/>
  <c r="X13" i="143"/>
  <c r="V13" i="143"/>
  <c r="AG13" i="143"/>
  <c r="U13" i="143"/>
  <c r="AF13" i="143"/>
  <c r="AD13" i="143"/>
  <c r="AB13" i="143"/>
  <c r="AA13" i="143"/>
  <c r="Y13" i="143"/>
  <c r="AE13" i="143"/>
  <c r="Z13" i="143"/>
  <c r="T13" i="143"/>
  <c r="S13" i="143"/>
  <c r="J13" i="143"/>
  <c r="AC13" i="143"/>
  <c r="Q13" i="143"/>
  <c r="O13" i="143"/>
  <c r="N13" i="143"/>
  <c r="R13" i="143"/>
  <c r="P13" i="143"/>
  <c r="M13" i="143"/>
  <c r="L13" i="143"/>
  <c r="K13" i="143"/>
  <c r="F13" i="143"/>
  <c r="H13" i="143"/>
  <c r="E13" i="143"/>
  <c r="I13" i="143"/>
  <c r="G13" i="143"/>
  <c r="AD31" i="143"/>
  <c r="AC31" i="143"/>
  <c r="AB31" i="143"/>
  <c r="AA31" i="143"/>
  <c r="Z31" i="143"/>
  <c r="X31" i="143"/>
  <c r="V31" i="143"/>
  <c r="AG31" i="143"/>
  <c r="U31" i="143"/>
  <c r="AE31" i="143"/>
  <c r="AF31" i="143"/>
  <c r="S31" i="143"/>
  <c r="Y31" i="143"/>
  <c r="R31" i="143"/>
  <c r="Q31" i="143"/>
  <c r="O31" i="143"/>
  <c r="N31" i="143"/>
  <c r="K31" i="143"/>
  <c r="T31" i="143"/>
  <c r="P31" i="143"/>
  <c r="M31" i="143"/>
  <c r="L31" i="143"/>
  <c r="J31" i="143"/>
  <c r="F31" i="143"/>
  <c r="H31" i="143"/>
  <c r="E31" i="143"/>
  <c r="I31" i="143"/>
  <c r="G31" i="143"/>
  <c r="X128" i="143"/>
  <c r="W128" i="143"/>
  <c r="V128" i="143"/>
  <c r="AG128" i="143"/>
  <c r="U128" i="143"/>
  <c r="AF128" i="143"/>
  <c r="AE128" i="143"/>
  <c r="AD128" i="143"/>
  <c r="AC128" i="143"/>
  <c r="AB128" i="143"/>
  <c r="AA128" i="143"/>
  <c r="Z128" i="143"/>
  <c r="T128" i="143"/>
  <c r="Y128" i="143"/>
  <c r="S128" i="143"/>
  <c r="N128" i="143"/>
  <c r="L128" i="143"/>
  <c r="K128" i="143"/>
  <c r="R128" i="143"/>
  <c r="O128" i="143"/>
  <c r="P128" i="143"/>
  <c r="M128" i="143"/>
  <c r="Q128" i="143"/>
  <c r="J128" i="143"/>
  <c r="G128" i="143"/>
  <c r="H128" i="143"/>
  <c r="F128" i="143"/>
  <c r="E128" i="143"/>
  <c r="D128" i="143"/>
  <c r="I128" i="143"/>
  <c r="V27" i="143"/>
  <c r="AG27" i="143"/>
  <c r="U27" i="143"/>
  <c r="AF27" i="143"/>
  <c r="AE27" i="143"/>
  <c r="AD27" i="143"/>
  <c r="AB27" i="143"/>
  <c r="Z27" i="143"/>
  <c r="Y27" i="143"/>
  <c r="S27" i="143"/>
  <c r="AC27" i="143"/>
  <c r="R27" i="143"/>
  <c r="AA27" i="143"/>
  <c r="X27" i="143"/>
  <c r="Q27" i="143"/>
  <c r="J27" i="143"/>
  <c r="T27" i="143"/>
  <c r="O27" i="143"/>
  <c r="N27" i="143"/>
  <c r="K27" i="143"/>
  <c r="P27" i="143"/>
  <c r="M27" i="143"/>
  <c r="L27" i="143"/>
  <c r="F27" i="143"/>
  <c r="E27" i="143"/>
  <c r="G27" i="143"/>
  <c r="I27" i="143"/>
  <c r="H27" i="143"/>
  <c r="AB76" i="143"/>
  <c r="Z76" i="143"/>
  <c r="Y76" i="143"/>
  <c r="X76" i="143"/>
  <c r="V76" i="143"/>
  <c r="AF76" i="143"/>
  <c r="AE76" i="143"/>
  <c r="AD76" i="143"/>
  <c r="AA76" i="143"/>
  <c r="U76" i="143"/>
  <c r="AC76" i="143"/>
  <c r="R76" i="143"/>
  <c r="N76" i="143"/>
  <c r="L76" i="143"/>
  <c r="K76" i="143"/>
  <c r="AG76" i="143"/>
  <c r="S76" i="143"/>
  <c r="O76" i="143"/>
  <c r="T76" i="143"/>
  <c r="Q76" i="143"/>
  <c r="P76" i="143"/>
  <c r="M76" i="143"/>
  <c r="J76" i="143"/>
  <c r="I76" i="143"/>
  <c r="H76" i="143"/>
  <c r="G76" i="143"/>
  <c r="F76" i="143"/>
  <c r="E76" i="143"/>
  <c r="AA65" i="143"/>
  <c r="Y65" i="143"/>
  <c r="X65" i="143"/>
  <c r="V65" i="143"/>
  <c r="AE65" i="143"/>
  <c r="AD65" i="143"/>
  <c r="AC65" i="143"/>
  <c r="AG65" i="143"/>
  <c r="AF65" i="143"/>
  <c r="AB65" i="143"/>
  <c r="Z65" i="143"/>
  <c r="U65" i="143"/>
  <c r="T65" i="143"/>
  <c r="M65" i="143"/>
  <c r="S65" i="143"/>
  <c r="L65" i="143"/>
  <c r="R65" i="143"/>
  <c r="Q65" i="143"/>
  <c r="N65" i="143"/>
  <c r="K65" i="143"/>
  <c r="J65" i="143"/>
  <c r="P65" i="143"/>
  <c r="O65" i="143"/>
  <c r="I65" i="143"/>
  <c r="H65" i="143"/>
  <c r="F65" i="143"/>
  <c r="E65" i="143"/>
  <c r="G65" i="143"/>
  <c r="AA46" i="143"/>
  <c r="Z46" i="143"/>
  <c r="Y46" i="143"/>
  <c r="X46" i="143"/>
  <c r="V46" i="143"/>
  <c r="AG46" i="143"/>
  <c r="U46" i="143"/>
  <c r="AF46" i="143"/>
  <c r="AE46" i="143"/>
  <c r="AD46" i="143"/>
  <c r="AB46" i="143"/>
  <c r="AC46" i="143"/>
  <c r="T46" i="143"/>
  <c r="Q46" i="143"/>
  <c r="S46" i="143"/>
  <c r="O46" i="143"/>
  <c r="N46" i="143"/>
  <c r="M46" i="143"/>
  <c r="L46" i="143"/>
  <c r="R46" i="143"/>
  <c r="K46" i="143"/>
  <c r="J46" i="143"/>
  <c r="P46" i="143"/>
  <c r="F46" i="143"/>
  <c r="E46" i="143"/>
  <c r="H46" i="143"/>
  <c r="G46" i="143"/>
  <c r="I46" i="143"/>
  <c r="AA125" i="143"/>
  <c r="Z125" i="143"/>
  <c r="Y125" i="143"/>
  <c r="X125" i="143"/>
  <c r="V125" i="143"/>
  <c r="AG125" i="143"/>
  <c r="U125" i="143"/>
  <c r="AF125" i="143"/>
  <c r="AE125" i="143"/>
  <c r="AD125" i="143"/>
  <c r="AC125" i="143"/>
  <c r="AB125" i="143"/>
  <c r="S125" i="143"/>
  <c r="P125" i="143"/>
  <c r="O125" i="143"/>
  <c r="R125" i="143"/>
  <c r="M125" i="143"/>
  <c r="L125" i="143"/>
  <c r="T125" i="143"/>
  <c r="N125" i="143"/>
  <c r="J125" i="143"/>
  <c r="K125" i="143"/>
  <c r="Q125" i="143"/>
  <c r="I125" i="143"/>
  <c r="H125" i="143"/>
  <c r="F125" i="143"/>
  <c r="E125" i="143"/>
  <c r="G125" i="143"/>
  <c r="AF132" i="143"/>
  <c r="AE132" i="143"/>
  <c r="AD132" i="143"/>
  <c r="AC132" i="143"/>
  <c r="AB132" i="143"/>
  <c r="AA132" i="143"/>
  <c r="Z132" i="143"/>
  <c r="Y132" i="143"/>
  <c r="X132" i="143"/>
  <c r="W132" i="143"/>
  <c r="V132" i="143"/>
  <c r="AG132" i="143"/>
  <c r="U132" i="143"/>
  <c r="T132" i="143"/>
  <c r="S132" i="143"/>
  <c r="N132" i="143"/>
  <c r="R132" i="143"/>
  <c r="Q132" i="143"/>
  <c r="L132" i="143"/>
  <c r="K132" i="143"/>
  <c r="O132" i="143"/>
  <c r="J132" i="143"/>
  <c r="M132" i="143"/>
  <c r="P132" i="143"/>
  <c r="I132" i="143"/>
  <c r="G132" i="143"/>
  <c r="H132" i="143"/>
  <c r="F132" i="143"/>
  <c r="E132" i="143"/>
  <c r="D132" i="143"/>
  <c r="V14" i="143"/>
  <c r="AG14" i="143"/>
  <c r="U14" i="143"/>
  <c r="AF14" i="143"/>
  <c r="AE14" i="143"/>
  <c r="AC14" i="143"/>
  <c r="AA14" i="143"/>
  <c r="Z14" i="143"/>
  <c r="X14" i="143"/>
  <c r="Q14" i="143"/>
  <c r="T14" i="143"/>
  <c r="S14" i="143"/>
  <c r="Y14" i="143"/>
  <c r="O14" i="143"/>
  <c r="N14" i="143"/>
  <c r="J14" i="143"/>
  <c r="M14" i="143"/>
  <c r="R14" i="143"/>
  <c r="L14" i="143"/>
  <c r="AD14" i="143"/>
  <c r="K14" i="143"/>
  <c r="AB14" i="143"/>
  <c r="P14" i="143"/>
  <c r="F14" i="143"/>
  <c r="E14" i="143"/>
  <c r="H14" i="143"/>
  <c r="I14" i="143"/>
  <c r="G14" i="143"/>
  <c r="AD19" i="143"/>
  <c r="AC19" i="143"/>
  <c r="AB19" i="143"/>
  <c r="AA19" i="143"/>
  <c r="Z19" i="143"/>
  <c r="X19" i="143"/>
  <c r="V19" i="143"/>
  <c r="AG19" i="143"/>
  <c r="U19" i="143"/>
  <c r="AE19" i="143"/>
  <c r="S19" i="143"/>
  <c r="R19" i="143"/>
  <c r="AF19" i="143"/>
  <c r="Q19" i="143"/>
  <c r="O19" i="143"/>
  <c r="N19" i="143"/>
  <c r="T19" i="143"/>
  <c r="K19" i="143"/>
  <c r="J19" i="143"/>
  <c r="P19" i="143"/>
  <c r="M19" i="143"/>
  <c r="L19" i="143"/>
  <c r="Y19" i="143"/>
  <c r="F19" i="143"/>
  <c r="H19" i="143"/>
  <c r="E19" i="143"/>
  <c r="I19" i="143"/>
  <c r="G19" i="143"/>
  <c r="AE85" i="143"/>
  <c r="AC85" i="143"/>
  <c r="AB85" i="143"/>
  <c r="AA85" i="143"/>
  <c r="Z85" i="143"/>
  <c r="Y85" i="143"/>
  <c r="V85" i="143"/>
  <c r="AG85" i="143"/>
  <c r="U85" i="143"/>
  <c r="AF85" i="143"/>
  <c r="AD85" i="143"/>
  <c r="S85" i="143"/>
  <c r="X85" i="143"/>
  <c r="P85" i="143"/>
  <c r="O85" i="143"/>
  <c r="M85" i="143"/>
  <c r="L85" i="143"/>
  <c r="R85" i="143"/>
  <c r="J85" i="143"/>
  <c r="N85" i="143"/>
  <c r="Q85" i="143"/>
  <c r="T85" i="143"/>
  <c r="K85" i="143"/>
  <c r="I85" i="143"/>
  <c r="F85" i="143"/>
  <c r="H85" i="143"/>
  <c r="E85" i="143"/>
  <c r="G85" i="143"/>
  <c r="AA34" i="143"/>
  <c r="Z34" i="143"/>
  <c r="Y34" i="143"/>
  <c r="X34" i="143"/>
  <c r="AG34" i="143"/>
  <c r="U34" i="143"/>
  <c r="AE34" i="143"/>
  <c r="AD34" i="143"/>
  <c r="AB34" i="143"/>
  <c r="AF34" i="143"/>
  <c r="T34" i="143"/>
  <c r="Q34" i="143"/>
  <c r="AC34" i="143"/>
  <c r="S34" i="143"/>
  <c r="O34" i="143"/>
  <c r="N34" i="143"/>
  <c r="M34" i="143"/>
  <c r="L34" i="143"/>
  <c r="V34" i="143"/>
  <c r="R34" i="143"/>
  <c r="K34" i="143"/>
  <c r="J34" i="143"/>
  <c r="P34" i="143"/>
  <c r="F34" i="143"/>
  <c r="E34" i="143"/>
  <c r="I34" i="143"/>
  <c r="H34" i="143"/>
  <c r="G34" i="143"/>
  <c r="AG28" i="143"/>
  <c r="U28" i="143"/>
  <c r="AF28" i="143"/>
  <c r="AE28" i="143"/>
  <c r="AD28" i="143"/>
  <c r="AC28" i="143"/>
  <c r="AA28" i="143"/>
  <c r="Y28" i="143"/>
  <c r="X28" i="143"/>
  <c r="V28" i="143"/>
  <c r="AB28" i="143"/>
  <c r="R28" i="143"/>
  <c r="S28" i="143"/>
  <c r="O28" i="143"/>
  <c r="T28" i="143"/>
  <c r="Q28" i="143"/>
  <c r="N28" i="143"/>
  <c r="Z28" i="143"/>
  <c r="M28" i="143"/>
  <c r="L28" i="143"/>
  <c r="K28" i="143"/>
  <c r="J28" i="143"/>
  <c r="P28" i="143"/>
  <c r="I28" i="143"/>
  <c r="H28" i="143"/>
  <c r="F28" i="143"/>
  <c r="E28" i="143"/>
  <c r="G28" i="143"/>
  <c r="V38" i="143"/>
  <c r="AG38" i="143"/>
  <c r="U38" i="143"/>
  <c r="AF38" i="143"/>
  <c r="AE38" i="143"/>
  <c r="AC38" i="143"/>
  <c r="AA38" i="143"/>
  <c r="Z38" i="143"/>
  <c r="X38" i="143"/>
  <c r="Q38" i="143"/>
  <c r="AD38" i="143"/>
  <c r="AB38" i="143"/>
  <c r="T38" i="143"/>
  <c r="Y38" i="143"/>
  <c r="S38" i="143"/>
  <c r="O38" i="143"/>
  <c r="N38" i="143"/>
  <c r="J38" i="143"/>
  <c r="M38" i="143"/>
  <c r="R38" i="143"/>
  <c r="L38" i="143"/>
  <c r="K38" i="143"/>
  <c r="P38" i="143"/>
  <c r="I38" i="143"/>
  <c r="F38" i="143"/>
  <c r="E38" i="143"/>
  <c r="H38" i="143"/>
  <c r="G38" i="143"/>
  <c r="AF6" i="143"/>
  <c r="AA6" i="143"/>
  <c r="AE6" i="143"/>
  <c r="U6" i="143"/>
  <c r="T6" i="143"/>
  <c r="S6" i="143"/>
  <c r="AG6" i="143"/>
  <c r="AD6" i="143"/>
  <c r="R6" i="143"/>
  <c r="Q6" i="143"/>
  <c r="P6" i="143"/>
  <c r="M6" i="143"/>
  <c r="L6" i="143"/>
  <c r="K6" i="143"/>
  <c r="O6" i="143"/>
  <c r="N6" i="143"/>
  <c r="J6" i="143"/>
  <c r="H6" i="143"/>
  <c r="E6" i="143"/>
  <c r="I6" i="143"/>
  <c r="G6" i="143"/>
  <c r="F6" i="143"/>
  <c r="AB124" i="143"/>
  <c r="AA124" i="143"/>
  <c r="Z124" i="143"/>
  <c r="Y124" i="143"/>
  <c r="X124" i="143"/>
  <c r="V124" i="143"/>
  <c r="AG124" i="143"/>
  <c r="U124" i="143"/>
  <c r="AF124" i="143"/>
  <c r="AE124" i="143"/>
  <c r="AD124" i="143"/>
  <c r="AC124" i="143"/>
  <c r="T124" i="143"/>
  <c r="N124" i="143"/>
  <c r="L124" i="143"/>
  <c r="K124" i="143"/>
  <c r="S124" i="143"/>
  <c r="O124" i="143"/>
  <c r="P124" i="143"/>
  <c r="M124" i="143"/>
  <c r="R124" i="143"/>
  <c r="Q124" i="143"/>
  <c r="J124" i="143"/>
  <c r="I124" i="143"/>
  <c r="H124" i="143"/>
  <c r="F124" i="143"/>
  <c r="E124" i="143"/>
  <c r="G124" i="143"/>
  <c r="AD55" i="143"/>
  <c r="AC55" i="143"/>
  <c r="AB55" i="143"/>
  <c r="AA55" i="143"/>
  <c r="Z55" i="143"/>
  <c r="Y55" i="143"/>
  <c r="X55" i="143"/>
  <c r="V55" i="143"/>
  <c r="AG55" i="143"/>
  <c r="U55" i="143"/>
  <c r="AE55" i="143"/>
  <c r="S55" i="143"/>
  <c r="R55" i="143"/>
  <c r="Q55" i="143"/>
  <c r="AF55" i="143"/>
  <c r="O55" i="143"/>
  <c r="N55" i="143"/>
  <c r="K55" i="143"/>
  <c r="T55" i="143"/>
  <c r="P55" i="143"/>
  <c r="M55" i="143"/>
  <c r="L55" i="143"/>
  <c r="J55" i="143"/>
  <c r="F55" i="143"/>
  <c r="H55" i="143"/>
  <c r="E55" i="143"/>
  <c r="I55" i="143"/>
  <c r="G55" i="143"/>
  <c r="AG93" i="143"/>
  <c r="U93" i="143"/>
  <c r="AF93" i="143"/>
  <c r="AE93" i="143"/>
  <c r="AD93" i="143"/>
  <c r="AC93" i="143"/>
  <c r="AA93" i="143"/>
  <c r="Z93" i="143"/>
  <c r="Y93" i="143"/>
  <c r="AB93" i="143"/>
  <c r="X93" i="143"/>
  <c r="V93" i="143"/>
  <c r="S93" i="143"/>
  <c r="T93" i="143"/>
  <c r="R93" i="143"/>
  <c r="P93" i="143"/>
  <c r="Q93" i="143"/>
  <c r="O93" i="143"/>
  <c r="M93" i="143"/>
  <c r="L93" i="143"/>
  <c r="K93" i="143"/>
  <c r="J93" i="143"/>
  <c r="N93" i="143"/>
  <c r="G93" i="143"/>
  <c r="F93" i="143"/>
  <c r="E93" i="143"/>
  <c r="H93" i="143"/>
  <c r="I93" i="143"/>
  <c r="V15" i="143"/>
  <c r="AG15" i="143"/>
  <c r="U15" i="143"/>
  <c r="AF15" i="143"/>
  <c r="AE15" i="143"/>
  <c r="AD15" i="143"/>
  <c r="AB15" i="143"/>
  <c r="Z15" i="143"/>
  <c r="Y15" i="143"/>
  <c r="S15" i="143"/>
  <c r="R15" i="143"/>
  <c r="AA15" i="143"/>
  <c r="X15" i="143"/>
  <c r="Q15" i="143"/>
  <c r="J15" i="143"/>
  <c r="T15" i="143"/>
  <c r="AC15" i="143"/>
  <c r="O15" i="143"/>
  <c r="N15" i="143"/>
  <c r="K15" i="143"/>
  <c r="P15" i="143"/>
  <c r="M15" i="143"/>
  <c r="L15" i="143"/>
  <c r="F15" i="143"/>
  <c r="E15" i="143"/>
  <c r="G15" i="143"/>
  <c r="H15" i="143"/>
  <c r="I15" i="143"/>
  <c r="Z78" i="143"/>
  <c r="X78" i="143"/>
  <c r="V78" i="143"/>
  <c r="AG78" i="143"/>
  <c r="U78" i="143"/>
  <c r="AF78" i="143"/>
  <c r="AD78" i="143"/>
  <c r="AC78" i="143"/>
  <c r="AB78" i="143"/>
  <c r="AE78" i="143"/>
  <c r="AA78" i="143"/>
  <c r="Y78" i="143"/>
  <c r="N78" i="143"/>
  <c r="L78" i="143"/>
  <c r="K78" i="143"/>
  <c r="T78" i="143"/>
  <c r="S78" i="143"/>
  <c r="Q78" i="143"/>
  <c r="O78" i="143"/>
  <c r="M78" i="143"/>
  <c r="P78" i="143"/>
  <c r="J78" i="143"/>
  <c r="R78" i="143"/>
  <c r="I78" i="143"/>
  <c r="H78" i="143"/>
  <c r="F78" i="143"/>
  <c r="E78" i="143"/>
  <c r="G78" i="143"/>
  <c r="Z23" i="143"/>
  <c r="Y23" i="143"/>
  <c r="X23" i="143"/>
  <c r="AF23" i="143"/>
  <c r="AD23" i="143"/>
  <c r="AC23" i="143"/>
  <c r="AA23" i="143"/>
  <c r="S23" i="143"/>
  <c r="AG23" i="143"/>
  <c r="R23" i="143"/>
  <c r="Q23" i="143"/>
  <c r="AE23" i="143"/>
  <c r="AB23" i="143"/>
  <c r="T23" i="143"/>
  <c r="O23" i="143"/>
  <c r="U23" i="143"/>
  <c r="N23" i="143"/>
  <c r="K23" i="143"/>
  <c r="J23" i="143"/>
  <c r="P23" i="143"/>
  <c r="M23" i="143"/>
  <c r="L23" i="143"/>
  <c r="I23" i="143"/>
  <c r="F23" i="143"/>
  <c r="E23" i="143"/>
  <c r="H23" i="143"/>
  <c r="G23" i="143"/>
  <c r="X80" i="143"/>
  <c r="V80" i="143"/>
  <c r="AG80" i="143"/>
  <c r="U80" i="143"/>
  <c r="AF80" i="143"/>
  <c r="AE80" i="143"/>
  <c r="AD80" i="143"/>
  <c r="AB80" i="143"/>
  <c r="AA80" i="143"/>
  <c r="Z80" i="143"/>
  <c r="Y80" i="143"/>
  <c r="R80" i="143"/>
  <c r="N80" i="143"/>
  <c r="L80" i="143"/>
  <c r="K80" i="143"/>
  <c r="AC80" i="143"/>
  <c r="S80" i="143"/>
  <c r="O80" i="143"/>
  <c r="P80" i="143"/>
  <c r="M80" i="143"/>
  <c r="Q80" i="143"/>
  <c r="J80" i="143"/>
  <c r="T80" i="143"/>
  <c r="G80" i="143"/>
  <c r="F80" i="143"/>
  <c r="E80" i="143"/>
  <c r="I80" i="143"/>
  <c r="H80" i="143"/>
  <c r="Y12" i="143"/>
  <c r="X12" i="143"/>
  <c r="V12" i="143"/>
  <c r="AG12" i="143"/>
  <c r="U12" i="143"/>
  <c r="AE12" i="143"/>
  <c r="AC12" i="143"/>
  <c r="AB12" i="143"/>
  <c r="Z12" i="143"/>
  <c r="R12" i="143"/>
  <c r="Q12" i="143"/>
  <c r="AF12" i="143"/>
  <c r="AD12" i="143"/>
  <c r="AA12" i="143"/>
  <c r="S12" i="143"/>
  <c r="O12" i="143"/>
  <c r="N12" i="143"/>
  <c r="M12" i="143"/>
  <c r="L12" i="143"/>
  <c r="J12" i="143"/>
  <c r="T12" i="143"/>
  <c r="K12" i="143"/>
  <c r="P12" i="143"/>
  <c r="I12" i="143"/>
  <c r="H12" i="143"/>
  <c r="F12" i="143"/>
  <c r="G12" i="143"/>
  <c r="E12" i="143"/>
  <c r="Y127" i="143"/>
  <c r="X127" i="143"/>
  <c r="W127" i="143"/>
  <c r="V127" i="143"/>
  <c r="AG127" i="143"/>
  <c r="U127" i="143"/>
  <c r="AF127" i="143"/>
  <c r="AE127" i="143"/>
  <c r="AD127" i="143"/>
  <c r="AC127" i="143"/>
  <c r="AB127" i="143"/>
  <c r="AA127" i="143"/>
  <c r="S127" i="143"/>
  <c r="R127" i="143"/>
  <c r="T127" i="143"/>
  <c r="Z127" i="143"/>
  <c r="P127" i="143"/>
  <c r="O127" i="143"/>
  <c r="Q127" i="143"/>
  <c r="M127" i="143"/>
  <c r="L127" i="143"/>
  <c r="N127" i="143"/>
  <c r="K127" i="143"/>
  <c r="J127" i="143"/>
  <c r="F127" i="143"/>
  <c r="H127" i="143"/>
  <c r="E127" i="143"/>
  <c r="D127" i="143"/>
  <c r="I127" i="143"/>
  <c r="G127" i="143"/>
  <c r="Z11" i="143"/>
  <c r="Y11" i="143"/>
  <c r="X11" i="143"/>
  <c r="V11" i="143"/>
  <c r="AF11" i="143"/>
  <c r="AD11" i="143"/>
  <c r="AC11" i="143"/>
  <c r="AA11" i="143"/>
  <c r="S11" i="143"/>
  <c r="R11" i="143"/>
  <c r="Q11" i="143"/>
  <c r="AE11" i="143"/>
  <c r="AB11" i="143"/>
  <c r="T11" i="143"/>
  <c r="O11" i="143"/>
  <c r="AG11" i="143"/>
  <c r="N11" i="143"/>
  <c r="K11" i="143"/>
  <c r="U11" i="143"/>
  <c r="J11" i="143"/>
  <c r="P11" i="143"/>
  <c r="M11" i="143"/>
  <c r="L11" i="143"/>
  <c r="F11" i="143"/>
  <c r="I11" i="143"/>
  <c r="E11" i="143"/>
  <c r="H11" i="143"/>
  <c r="G11" i="143"/>
  <c r="AB33" i="143"/>
  <c r="AA33" i="143"/>
  <c r="Z33" i="143"/>
  <c r="Y33" i="143"/>
  <c r="X33" i="143"/>
  <c r="V33" i="143"/>
  <c r="AF33" i="143"/>
  <c r="AE33" i="143"/>
  <c r="AC33" i="143"/>
  <c r="Q33" i="143"/>
  <c r="AG33" i="143"/>
  <c r="T33" i="143"/>
  <c r="AD33" i="143"/>
  <c r="S33" i="143"/>
  <c r="O33" i="143"/>
  <c r="J33" i="143"/>
  <c r="N33" i="143"/>
  <c r="P33" i="143"/>
  <c r="R33" i="143"/>
  <c r="M33" i="143"/>
  <c r="L33" i="143"/>
  <c r="K33" i="143"/>
  <c r="U33" i="143"/>
  <c r="G33" i="143"/>
  <c r="I33" i="143"/>
  <c r="F33" i="143"/>
  <c r="E33" i="143"/>
  <c r="H33" i="143"/>
  <c r="AF84" i="143"/>
  <c r="AD84" i="143"/>
  <c r="AC84" i="143"/>
  <c r="AB84" i="143"/>
  <c r="AA84" i="143"/>
  <c r="Z84" i="143"/>
  <c r="X84" i="143"/>
  <c r="V84" i="143"/>
  <c r="AG84" i="143"/>
  <c r="T84" i="143"/>
  <c r="AE84" i="143"/>
  <c r="U84" i="143"/>
  <c r="S84" i="143"/>
  <c r="N84" i="143"/>
  <c r="Q84" i="143"/>
  <c r="L84" i="143"/>
  <c r="K84" i="143"/>
  <c r="O84" i="143"/>
  <c r="J84" i="143"/>
  <c r="R84" i="143"/>
  <c r="M84" i="143"/>
  <c r="Y84" i="143"/>
  <c r="P84" i="143"/>
  <c r="I84" i="143"/>
  <c r="H84" i="143"/>
  <c r="F84" i="143"/>
  <c r="G84" i="143"/>
  <c r="E84" i="143"/>
  <c r="AB64" i="143"/>
  <c r="Z64" i="143"/>
  <c r="Y64" i="143"/>
  <c r="X64" i="143"/>
  <c r="AF64" i="143"/>
  <c r="AE64" i="143"/>
  <c r="AD64" i="143"/>
  <c r="AA64" i="143"/>
  <c r="V64" i="143"/>
  <c r="U64" i="143"/>
  <c r="AC64" i="143"/>
  <c r="AG64" i="143"/>
  <c r="R64" i="143"/>
  <c r="N64" i="143"/>
  <c r="L64" i="143"/>
  <c r="K64" i="143"/>
  <c r="S64" i="143"/>
  <c r="O64" i="143"/>
  <c r="T64" i="143"/>
  <c r="Q64" i="143"/>
  <c r="J64" i="143"/>
  <c r="P64" i="143"/>
  <c r="M64" i="143"/>
  <c r="I64" i="143"/>
  <c r="G64" i="143"/>
  <c r="F64" i="143"/>
  <c r="E64" i="143"/>
  <c r="H64" i="143"/>
  <c r="AA89" i="143"/>
  <c r="Y89" i="143"/>
  <c r="X89" i="143"/>
  <c r="V89" i="143"/>
  <c r="AG89" i="143"/>
  <c r="U89" i="143"/>
  <c r="AE89" i="143"/>
  <c r="AD89" i="143"/>
  <c r="AC89" i="143"/>
  <c r="AF89" i="143"/>
  <c r="AB89" i="143"/>
  <c r="Z89" i="143"/>
  <c r="S89" i="143"/>
  <c r="P89" i="143"/>
  <c r="O89" i="143"/>
  <c r="R89" i="143"/>
  <c r="M89" i="143"/>
  <c r="L89" i="143"/>
  <c r="T89" i="143"/>
  <c r="N89" i="143"/>
  <c r="Q89" i="143"/>
  <c r="K89" i="143"/>
  <c r="J89" i="143"/>
  <c r="I89" i="143"/>
  <c r="H89" i="143"/>
  <c r="F89" i="143"/>
  <c r="G89" i="143"/>
  <c r="E89" i="143"/>
  <c r="AF120" i="143"/>
  <c r="AE120" i="143"/>
  <c r="AD120" i="143"/>
  <c r="AC120" i="143"/>
  <c r="AB120" i="143"/>
  <c r="AA120" i="143"/>
  <c r="Z120" i="143"/>
  <c r="Y120" i="143"/>
  <c r="X120" i="143"/>
  <c r="V120" i="143"/>
  <c r="AG120" i="143"/>
  <c r="U120" i="143"/>
  <c r="T120" i="143"/>
  <c r="S120" i="143"/>
  <c r="N120" i="143"/>
  <c r="Q120" i="143"/>
  <c r="L120" i="143"/>
  <c r="K120" i="143"/>
  <c r="O120" i="143"/>
  <c r="J120" i="143"/>
  <c r="R120" i="143"/>
  <c r="M120" i="143"/>
  <c r="P120" i="143"/>
  <c r="I120" i="143"/>
  <c r="G120" i="143"/>
  <c r="H120" i="143"/>
  <c r="F120" i="143"/>
  <c r="E120" i="143"/>
  <c r="Z66" i="143"/>
  <c r="X66" i="143"/>
  <c r="V66" i="143"/>
  <c r="AG66" i="143"/>
  <c r="U66" i="143"/>
  <c r="AD66" i="143"/>
  <c r="AC66" i="143"/>
  <c r="AB66" i="143"/>
  <c r="AF66" i="143"/>
  <c r="AE66" i="143"/>
  <c r="AA66" i="143"/>
  <c r="Y66" i="143"/>
  <c r="N66" i="143"/>
  <c r="L66" i="143"/>
  <c r="K66" i="143"/>
  <c r="T66" i="143"/>
  <c r="S66" i="143"/>
  <c r="Q66" i="143"/>
  <c r="O66" i="143"/>
  <c r="P66" i="143"/>
  <c r="M66" i="143"/>
  <c r="J66" i="143"/>
  <c r="R66" i="143"/>
  <c r="I66" i="143"/>
  <c r="H66" i="143"/>
  <c r="F66" i="143"/>
  <c r="E66" i="143"/>
  <c r="G66" i="143"/>
  <c r="AG119" i="143"/>
  <c r="U119" i="143"/>
  <c r="AF119" i="143"/>
  <c r="AE119" i="143"/>
  <c r="AD119" i="143"/>
  <c r="AC119" i="143"/>
  <c r="AB119" i="143"/>
  <c r="AA119" i="143"/>
  <c r="Z119" i="143"/>
  <c r="Y119" i="143"/>
  <c r="X119" i="143"/>
  <c r="S119" i="143"/>
  <c r="R119" i="143"/>
  <c r="V119" i="143"/>
  <c r="T119" i="143"/>
  <c r="Q119" i="143"/>
  <c r="P119" i="143"/>
  <c r="O119" i="143"/>
  <c r="M119" i="143"/>
  <c r="L119" i="143"/>
  <c r="N119" i="143"/>
  <c r="J119" i="143"/>
  <c r="K119" i="143"/>
  <c r="I119" i="143"/>
  <c r="F119" i="143"/>
  <c r="E119" i="143"/>
  <c r="G119" i="143"/>
  <c r="H119" i="143"/>
  <c r="AF8" i="143"/>
  <c r="AA8" i="143"/>
  <c r="AE8" i="143"/>
  <c r="U8" i="143"/>
  <c r="AG8" i="143"/>
  <c r="AD8" i="143"/>
  <c r="S8" i="143"/>
  <c r="O8" i="143"/>
  <c r="L8" i="143"/>
  <c r="Q8" i="143"/>
  <c r="N8" i="143"/>
  <c r="K8" i="143"/>
  <c r="J8" i="143"/>
  <c r="T8" i="143"/>
  <c r="P8" i="143"/>
  <c r="M8" i="143"/>
  <c r="R8" i="143"/>
  <c r="E8" i="143"/>
  <c r="I8" i="143"/>
  <c r="G8" i="143"/>
  <c r="F8" i="143"/>
  <c r="H8" i="143"/>
  <c r="AC20" i="143"/>
  <c r="AB20" i="143"/>
  <c r="AA20" i="143"/>
  <c r="Z20" i="143"/>
  <c r="Y20" i="143"/>
  <c r="AG20" i="143"/>
  <c r="U20" i="143"/>
  <c r="AF20" i="143"/>
  <c r="AD20" i="143"/>
  <c r="R20" i="143"/>
  <c r="AE20" i="143"/>
  <c r="X20" i="143"/>
  <c r="V20" i="143"/>
  <c r="S20" i="143"/>
  <c r="O20" i="143"/>
  <c r="N20" i="143"/>
  <c r="M20" i="143"/>
  <c r="Q20" i="143"/>
  <c r="L20" i="143"/>
  <c r="J20" i="143"/>
  <c r="K20" i="143"/>
  <c r="P20" i="143"/>
  <c r="T20" i="143"/>
  <c r="F20" i="143"/>
  <c r="E20" i="143"/>
  <c r="G20" i="143"/>
  <c r="I20" i="143"/>
  <c r="H20" i="143"/>
  <c r="AC56" i="143"/>
  <c r="AB56" i="143"/>
  <c r="AA56" i="143"/>
  <c r="Z56" i="143"/>
  <c r="Y56" i="143"/>
  <c r="X56" i="143"/>
  <c r="AG56" i="143"/>
  <c r="U56" i="143"/>
  <c r="AF56" i="143"/>
  <c r="AD56" i="143"/>
  <c r="R56" i="143"/>
  <c r="AE56" i="143"/>
  <c r="S56" i="143"/>
  <c r="O56" i="143"/>
  <c r="N56" i="143"/>
  <c r="M56" i="143"/>
  <c r="Q56" i="143"/>
  <c r="L56" i="143"/>
  <c r="J56" i="143"/>
  <c r="T56" i="143"/>
  <c r="K56" i="143"/>
  <c r="P56" i="143"/>
  <c r="F56" i="143"/>
  <c r="H56" i="143"/>
  <c r="E56" i="143"/>
  <c r="I56" i="143"/>
  <c r="G56" i="143"/>
  <c r="V70" i="143"/>
  <c r="AF70" i="143"/>
  <c r="AE70" i="143"/>
  <c r="AD70" i="143"/>
  <c r="AC70" i="143"/>
  <c r="Z70" i="143"/>
  <c r="Y70" i="143"/>
  <c r="X70" i="143"/>
  <c r="U70" i="143"/>
  <c r="AG70" i="143"/>
  <c r="AB70" i="143"/>
  <c r="N70" i="143"/>
  <c r="L70" i="143"/>
  <c r="K70" i="143"/>
  <c r="T70" i="143"/>
  <c r="Q70" i="143"/>
  <c r="S70" i="143"/>
  <c r="O70" i="143"/>
  <c r="AA70" i="143"/>
  <c r="P70" i="143"/>
  <c r="M70" i="143"/>
  <c r="R70" i="143"/>
  <c r="J70" i="143"/>
  <c r="F70" i="143"/>
  <c r="E70" i="143"/>
  <c r="G70" i="143"/>
  <c r="I70" i="143"/>
  <c r="H70" i="143"/>
  <c r="AB9" i="143"/>
  <c r="AA9" i="143"/>
  <c r="Z9" i="143"/>
  <c r="Y9" i="143"/>
  <c r="X9" i="143"/>
  <c r="V9" i="143"/>
  <c r="AF9" i="143"/>
  <c r="AE9" i="143"/>
  <c r="AC9" i="143"/>
  <c r="AD9" i="143"/>
  <c r="U9" i="143"/>
  <c r="Q9" i="143"/>
  <c r="T9" i="143"/>
  <c r="S9" i="143"/>
  <c r="O9" i="143"/>
  <c r="J9" i="143"/>
  <c r="N9" i="143"/>
  <c r="P9" i="143"/>
  <c r="R9" i="143"/>
  <c r="M9" i="143"/>
  <c r="L9" i="143"/>
  <c r="AG9" i="143"/>
  <c r="K9" i="143"/>
  <c r="G9" i="143"/>
  <c r="I9" i="143"/>
  <c r="F9" i="143"/>
  <c r="E9" i="143"/>
  <c r="H9" i="143"/>
  <c r="AE121" i="143"/>
  <c r="AD121" i="143"/>
  <c r="AC121" i="143"/>
  <c r="AB121" i="143"/>
  <c r="AA121" i="143"/>
  <c r="Z121" i="143"/>
  <c r="Y121" i="143"/>
  <c r="X121" i="143"/>
  <c r="V121" i="143"/>
  <c r="AG121" i="143"/>
  <c r="U121" i="143"/>
  <c r="AF121" i="143"/>
  <c r="S121" i="143"/>
  <c r="P121" i="143"/>
  <c r="O121" i="143"/>
  <c r="M121" i="143"/>
  <c r="L121" i="143"/>
  <c r="R121" i="143"/>
  <c r="J121" i="143"/>
  <c r="N121" i="143"/>
  <c r="Q121" i="143"/>
  <c r="K121" i="143"/>
  <c r="T121" i="143"/>
  <c r="G121" i="143"/>
  <c r="F121" i="143"/>
  <c r="H121" i="143"/>
  <c r="E121" i="143"/>
  <c r="I121" i="143"/>
  <c r="V118" i="143"/>
  <c r="AG118" i="143"/>
  <c r="U118" i="143"/>
  <c r="AF118" i="143"/>
  <c r="AE118" i="143"/>
  <c r="AD118" i="143"/>
  <c r="AC118" i="143"/>
  <c r="AB118" i="143"/>
  <c r="AA118" i="143"/>
  <c r="Z118" i="143"/>
  <c r="Y118" i="143"/>
  <c r="X118" i="143"/>
  <c r="T118" i="143"/>
  <c r="S118" i="143"/>
  <c r="R118" i="143"/>
  <c r="N118" i="143"/>
  <c r="L118" i="143"/>
  <c r="K118" i="143"/>
  <c r="Q118" i="143"/>
  <c r="O118" i="143"/>
  <c r="M118" i="143"/>
  <c r="J118" i="143"/>
  <c r="P118" i="143"/>
  <c r="F118" i="143"/>
  <c r="E118" i="143"/>
  <c r="H118" i="143"/>
  <c r="G118" i="143"/>
  <c r="I118" i="143"/>
  <c r="AF60" i="143"/>
  <c r="AD60" i="143"/>
  <c r="AC60" i="143"/>
  <c r="AB60" i="143"/>
  <c r="X60" i="143"/>
  <c r="V60" i="143"/>
  <c r="AG60" i="143"/>
  <c r="AE60" i="143"/>
  <c r="AA60" i="143"/>
  <c r="Z60" i="143"/>
  <c r="Y60" i="143"/>
  <c r="U60" i="143"/>
  <c r="R60" i="143"/>
  <c r="Q60" i="143"/>
  <c r="S60" i="143"/>
  <c r="O60" i="143"/>
  <c r="N60" i="143"/>
  <c r="M60" i="143"/>
  <c r="L60" i="143"/>
  <c r="J60" i="143"/>
  <c r="T60" i="143"/>
  <c r="K60" i="143"/>
  <c r="P60" i="143"/>
  <c r="I60" i="143"/>
  <c r="H60" i="143"/>
  <c r="F60" i="143"/>
  <c r="E60" i="143"/>
  <c r="G60" i="143"/>
  <c r="AD86" i="143"/>
  <c r="AB86" i="143"/>
  <c r="AA86" i="143"/>
  <c r="Z86" i="143"/>
  <c r="Y86" i="143"/>
  <c r="X86" i="143"/>
  <c r="V86" i="143"/>
  <c r="AG86" i="143"/>
  <c r="U86" i="143"/>
  <c r="AF86" i="143"/>
  <c r="AE86" i="143"/>
  <c r="T86" i="143"/>
  <c r="AC86" i="143"/>
  <c r="S86" i="143"/>
  <c r="R86" i="143"/>
  <c r="Q86" i="143"/>
  <c r="N86" i="143"/>
  <c r="L86" i="143"/>
  <c r="K86" i="143"/>
  <c r="O86" i="143"/>
  <c r="P86" i="143"/>
  <c r="J86" i="143"/>
  <c r="M86" i="143"/>
  <c r="I86" i="143"/>
  <c r="F86" i="143"/>
  <c r="E86" i="143"/>
  <c r="H86" i="143"/>
  <c r="G86" i="143"/>
  <c r="X68" i="143"/>
  <c r="V68" i="143"/>
  <c r="AG68" i="143"/>
  <c r="U68" i="143"/>
  <c r="AF68" i="143"/>
  <c r="AE68" i="143"/>
  <c r="AB68" i="143"/>
  <c r="AA68" i="143"/>
  <c r="Z68" i="143"/>
  <c r="AD68" i="143"/>
  <c r="AC68" i="143"/>
  <c r="Y68" i="143"/>
  <c r="R68" i="143"/>
  <c r="N68" i="143"/>
  <c r="L68" i="143"/>
  <c r="K68" i="143"/>
  <c r="S68" i="143"/>
  <c r="O68" i="143"/>
  <c r="J68" i="143"/>
  <c r="P68" i="143"/>
  <c r="M68" i="143"/>
  <c r="Q68" i="143"/>
  <c r="T68" i="143"/>
  <c r="G68" i="143"/>
  <c r="F68" i="143"/>
  <c r="E68" i="143"/>
  <c r="I68" i="143"/>
  <c r="H68" i="143"/>
  <c r="AB88" i="143"/>
  <c r="Z88" i="143"/>
  <c r="Y88" i="143"/>
  <c r="X88" i="143"/>
  <c r="V88" i="143"/>
  <c r="AF88" i="143"/>
  <c r="AE88" i="143"/>
  <c r="AD88" i="143"/>
  <c r="AG88" i="143"/>
  <c r="AC88" i="143"/>
  <c r="T88" i="143"/>
  <c r="AA88" i="143"/>
  <c r="N88" i="143"/>
  <c r="L88" i="143"/>
  <c r="K88" i="143"/>
  <c r="U88" i="143"/>
  <c r="S88" i="143"/>
  <c r="O88" i="143"/>
  <c r="R88" i="143"/>
  <c r="Q88" i="143"/>
  <c r="P88" i="143"/>
  <c r="M88" i="143"/>
  <c r="J88" i="143"/>
  <c r="I88" i="143"/>
  <c r="H88" i="143"/>
  <c r="F88" i="143"/>
  <c r="E88" i="143"/>
  <c r="G88" i="143"/>
  <c r="Y36" i="143"/>
  <c r="X36" i="143"/>
  <c r="V36" i="143"/>
  <c r="AG36" i="143"/>
  <c r="U36" i="143"/>
  <c r="AE36" i="143"/>
  <c r="AC36" i="143"/>
  <c r="AB36" i="143"/>
  <c r="Z36" i="143"/>
  <c r="R36" i="143"/>
  <c r="Q36" i="143"/>
  <c r="AA36" i="143"/>
  <c r="S36" i="143"/>
  <c r="O36" i="143"/>
  <c r="N36" i="143"/>
  <c r="M36" i="143"/>
  <c r="L36" i="143"/>
  <c r="J36" i="143"/>
  <c r="AF36" i="143"/>
  <c r="T36" i="143"/>
  <c r="AD36" i="143"/>
  <c r="K36" i="143"/>
  <c r="P36" i="143"/>
  <c r="I36" i="143"/>
  <c r="H36" i="143"/>
  <c r="F36" i="143"/>
  <c r="E36" i="143"/>
  <c r="G36" i="143"/>
  <c r="X25" i="143"/>
  <c r="V25" i="143"/>
  <c r="AG25" i="143"/>
  <c r="U25" i="143"/>
  <c r="AF25" i="143"/>
  <c r="AD25" i="143"/>
  <c r="AB25" i="143"/>
  <c r="AA25" i="143"/>
  <c r="Y25" i="143"/>
  <c r="T25" i="143"/>
  <c r="S25" i="143"/>
  <c r="Z25" i="143"/>
  <c r="Q25" i="143"/>
  <c r="J25" i="143"/>
  <c r="AE25" i="143"/>
  <c r="O25" i="143"/>
  <c r="N25" i="143"/>
  <c r="P25" i="143"/>
  <c r="M25" i="143"/>
  <c r="L25" i="143"/>
  <c r="K25" i="143"/>
  <c r="R25" i="143"/>
  <c r="AC25" i="143"/>
  <c r="I25" i="143"/>
  <c r="F25" i="143"/>
  <c r="H25" i="143"/>
  <c r="E25" i="143"/>
  <c r="G25" i="143"/>
  <c r="Z102" i="143"/>
  <c r="Y102" i="143"/>
  <c r="X102" i="143"/>
  <c r="V102" i="143"/>
  <c r="AG102" i="143"/>
  <c r="U102" i="143"/>
  <c r="AF102" i="143"/>
  <c r="AE102" i="143"/>
  <c r="AD102" i="143"/>
  <c r="AC102" i="143"/>
  <c r="AB102" i="143"/>
  <c r="AA102" i="143"/>
  <c r="T102" i="143"/>
  <c r="S102" i="143"/>
  <c r="R102" i="143"/>
  <c r="N102" i="143"/>
  <c r="L102" i="143"/>
  <c r="K102" i="143"/>
  <c r="Q102" i="143"/>
  <c r="O102" i="143"/>
  <c r="M102" i="143"/>
  <c r="P102" i="143"/>
  <c r="I102" i="143"/>
  <c r="H102" i="143"/>
  <c r="F102" i="143"/>
  <c r="J102" i="143"/>
  <c r="E102" i="143"/>
  <c r="G102" i="143"/>
  <c r="AG131" i="143"/>
  <c r="U131" i="143"/>
  <c r="AF131" i="143"/>
  <c r="AE131" i="143"/>
  <c r="AD131" i="143"/>
  <c r="AC131" i="143"/>
  <c r="AB131" i="143"/>
  <c r="AA131" i="143"/>
  <c r="Z131" i="143"/>
  <c r="Y131" i="143"/>
  <c r="X131" i="143"/>
  <c r="W131" i="143"/>
  <c r="S131" i="143"/>
  <c r="R131" i="143"/>
  <c r="V131" i="143"/>
  <c r="T131" i="143"/>
  <c r="Q131" i="143"/>
  <c r="P131" i="143"/>
  <c r="O131" i="143"/>
  <c r="M131" i="143"/>
  <c r="L131" i="143"/>
  <c r="N131" i="143"/>
  <c r="J131" i="143"/>
  <c r="K131" i="143"/>
  <c r="I131" i="143"/>
  <c r="F131" i="143"/>
  <c r="E131" i="143"/>
  <c r="D131" i="143"/>
  <c r="G131" i="143"/>
  <c r="H131" i="143"/>
  <c r="AE61" i="143"/>
  <c r="AC61" i="143"/>
  <c r="AB61" i="143"/>
  <c r="AA61" i="143"/>
  <c r="Z61" i="143"/>
  <c r="V61" i="143"/>
  <c r="AG61" i="143"/>
  <c r="U61" i="143"/>
  <c r="AD61" i="143"/>
  <c r="Y61" i="143"/>
  <c r="X61" i="143"/>
  <c r="AF61" i="143"/>
  <c r="T61" i="143"/>
  <c r="S61" i="143"/>
  <c r="Q61" i="143"/>
  <c r="J61" i="143"/>
  <c r="O61" i="143"/>
  <c r="N61" i="143"/>
  <c r="R61" i="143"/>
  <c r="P61" i="143"/>
  <c r="M61" i="143"/>
  <c r="L61" i="143"/>
  <c r="K61" i="143"/>
  <c r="I61" i="143"/>
  <c r="F61" i="143"/>
  <c r="H61" i="143"/>
  <c r="E61" i="143"/>
  <c r="G61" i="143"/>
  <c r="AD122" i="143"/>
  <c r="AC122" i="143"/>
  <c r="AB122" i="143"/>
  <c r="AA122" i="143"/>
  <c r="Z122" i="143"/>
  <c r="Y122" i="143"/>
  <c r="X122" i="143"/>
  <c r="V122" i="143"/>
  <c r="AG122" i="143"/>
  <c r="U122" i="143"/>
  <c r="AF122" i="143"/>
  <c r="T122" i="143"/>
  <c r="AE122" i="143"/>
  <c r="S122" i="143"/>
  <c r="R122" i="143"/>
  <c r="Q122" i="143"/>
  <c r="N122" i="143"/>
  <c r="L122" i="143"/>
  <c r="K122" i="143"/>
  <c r="O122" i="143"/>
  <c r="P122" i="143"/>
  <c r="J122" i="143"/>
  <c r="M122" i="143"/>
  <c r="G122" i="143"/>
  <c r="F122" i="143"/>
  <c r="E122" i="143"/>
  <c r="I122" i="143"/>
  <c r="H122" i="143"/>
  <c r="V51" i="143"/>
  <c r="AG51" i="143"/>
  <c r="U51" i="143"/>
  <c r="AF51" i="143"/>
  <c r="AE51" i="143"/>
  <c r="AD51" i="143"/>
  <c r="AC51" i="143"/>
  <c r="AB51" i="143"/>
  <c r="AA51" i="143"/>
  <c r="Z51" i="143"/>
  <c r="Y51" i="143"/>
  <c r="S51" i="143"/>
  <c r="R51" i="143"/>
  <c r="X51" i="143"/>
  <c r="Q51" i="143"/>
  <c r="J51" i="143"/>
  <c r="T51" i="143"/>
  <c r="O51" i="143"/>
  <c r="N51" i="143"/>
  <c r="K51" i="143"/>
  <c r="P51" i="143"/>
  <c r="M51" i="143"/>
  <c r="L51" i="143"/>
  <c r="I51" i="143"/>
  <c r="F51" i="143"/>
  <c r="E51" i="143"/>
  <c r="G51" i="143"/>
  <c r="H51" i="143"/>
  <c r="Z90" i="143"/>
  <c r="X90" i="143"/>
  <c r="V90" i="143"/>
  <c r="AG90" i="143"/>
  <c r="U90" i="143"/>
  <c r="AF90" i="143"/>
  <c r="AD90" i="143"/>
  <c r="AC90" i="143"/>
  <c r="AB90" i="143"/>
  <c r="AE90" i="143"/>
  <c r="AA90" i="143"/>
  <c r="T90" i="143"/>
  <c r="Y90" i="143"/>
  <c r="S90" i="143"/>
  <c r="R90" i="143"/>
  <c r="N90" i="143"/>
  <c r="L90" i="143"/>
  <c r="K90" i="143"/>
  <c r="Q90" i="143"/>
  <c r="O90" i="143"/>
  <c r="M90" i="143"/>
  <c r="P90" i="143"/>
  <c r="J90" i="143"/>
  <c r="I90" i="143"/>
  <c r="H90" i="143"/>
  <c r="F90" i="143"/>
  <c r="E90" i="143"/>
  <c r="G90" i="143"/>
  <c r="AG69" i="143"/>
  <c r="U69" i="143"/>
  <c r="AF69" i="143"/>
  <c r="AE69" i="143"/>
  <c r="AD69" i="143"/>
  <c r="AA69" i="143"/>
  <c r="Z69" i="143"/>
  <c r="Y69" i="143"/>
  <c r="AC69" i="143"/>
  <c r="AB69" i="143"/>
  <c r="X69" i="143"/>
  <c r="V69" i="143"/>
  <c r="Q69" i="143"/>
  <c r="T69" i="143"/>
  <c r="M69" i="143"/>
  <c r="S69" i="143"/>
  <c r="L69" i="143"/>
  <c r="N69" i="143"/>
  <c r="J69" i="143"/>
  <c r="K69" i="143"/>
  <c r="P69" i="143"/>
  <c r="O69" i="143"/>
  <c r="R69" i="143"/>
  <c r="G69" i="143"/>
  <c r="F69" i="143"/>
  <c r="E69" i="143"/>
  <c r="I69" i="143"/>
  <c r="H69" i="143"/>
  <c r="AG83" i="143"/>
  <c r="U83" i="143"/>
  <c r="AE83" i="143"/>
  <c r="AD83" i="143"/>
  <c r="AC83" i="143"/>
  <c r="AB83" i="143"/>
  <c r="AA83" i="143"/>
  <c r="Y83" i="143"/>
  <c r="X83" i="143"/>
  <c r="AF83" i="143"/>
  <c r="Z83" i="143"/>
  <c r="V83" i="143"/>
  <c r="T83" i="143"/>
  <c r="S83" i="143"/>
  <c r="R83" i="143"/>
  <c r="Q83" i="143"/>
  <c r="P83" i="143"/>
  <c r="O83" i="143"/>
  <c r="M83" i="143"/>
  <c r="L83" i="143"/>
  <c r="N83" i="143"/>
  <c r="J83" i="143"/>
  <c r="K83" i="143"/>
  <c r="I83" i="143"/>
  <c r="F83" i="143"/>
  <c r="E83" i="143"/>
  <c r="H83" i="143"/>
  <c r="G83" i="143"/>
  <c r="AG16" i="143"/>
  <c r="U16" i="143"/>
  <c r="AF16" i="143"/>
  <c r="AE16" i="143"/>
  <c r="AD16" i="143"/>
  <c r="AC16" i="143"/>
  <c r="AA16" i="143"/>
  <c r="Y16" i="143"/>
  <c r="X16" i="143"/>
  <c r="V16" i="143"/>
  <c r="R16" i="143"/>
  <c r="AB16" i="143"/>
  <c r="Z16" i="143"/>
  <c r="S16" i="143"/>
  <c r="O16" i="143"/>
  <c r="T16" i="143"/>
  <c r="N16" i="143"/>
  <c r="M16" i="143"/>
  <c r="L16" i="143"/>
  <c r="Q16" i="143"/>
  <c r="K16" i="143"/>
  <c r="J16" i="143"/>
  <c r="P16" i="143"/>
  <c r="I16" i="143"/>
  <c r="F16" i="143"/>
  <c r="E16" i="143"/>
  <c r="G16" i="143"/>
  <c r="H16" i="143"/>
  <c r="Y48" i="143"/>
  <c r="X48" i="143"/>
  <c r="V48" i="143"/>
  <c r="AG48" i="143"/>
  <c r="U48" i="143"/>
  <c r="AF48" i="143"/>
  <c r="AE48" i="143"/>
  <c r="AD48" i="143"/>
  <c r="AC48" i="143"/>
  <c r="AB48" i="143"/>
  <c r="Z48" i="143"/>
  <c r="R48" i="143"/>
  <c r="AA48" i="143"/>
  <c r="Q48" i="143"/>
  <c r="S48" i="143"/>
  <c r="O48" i="143"/>
  <c r="N48" i="143"/>
  <c r="M48" i="143"/>
  <c r="L48" i="143"/>
  <c r="J48" i="143"/>
  <c r="K48" i="143"/>
  <c r="T48" i="143"/>
  <c r="P48" i="143"/>
  <c r="I48" i="143"/>
  <c r="H48" i="143"/>
  <c r="F48" i="143"/>
  <c r="E48" i="143"/>
  <c r="G48" i="143"/>
  <c r="AG81" i="143"/>
  <c r="U81" i="143"/>
  <c r="AF81" i="143"/>
  <c r="AE81" i="143"/>
  <c r="AD81" i="143"/>
  <c r="AC81" i="143"/>
  <c r="AA81" i="143"/>
  <c r="Z81" i="143"/>
  <c r="Y81" i="143"/>
  <c r="AB81" i="143"/>
  <c r="X81" i="143"/>
  <c r="V81" i="143"/>
  <c r="P81" i="143"/>
  <c r="Q81" i="143"/>
  <c r="O81" i="143"/>
  <c r="T81" i="143"/>
  <c r="M81" i="143"/>
  <c r="S81" i="143"/>
  <c r="L81" i="143"/>
  <c r="K81" i="143"/>
  <c r="J81" i="143"/>
  <c r="R81" i="143"/>
  <c r="N81" i="143"/>
  <c r="G81" i="143"/>
  <c r="I81" i="143"/>
  <c r="F81" i="143"/>
  <c r="E81" i="143"/>
  <c r="H81" i="143"/>
  <c r="F133" i="143"/>
  <c r="D133" i="143" s="1"/>
  <c r="G133" i="143"/>
  <c r="H133" i="143"/>
  <c r="E133" i="143"/>
  <c r="F135" i="143"/>
  <c r="G135" i="143"/>
  <c r="H135" i="143"/>
  <c r="D135" i="143"/>
  <c r="E135" i="143"/>
  <c r="E134" i="143"/>
  <c r="D134" i="143"/>
  <c r="G134" i="143"/>
  <c r="H134" i="143"/>
  <c r="F134" i="143"/>
  <c r="D136" i="143"/>
  <c r="H136" i="143"/>
  <c r="F136" i="143"/>
  <c r="E136" i="143"/>
  <c r="G136" i="143"/>
  <c r="E5" i="143"/>
  <c r="AC8" i="143"/>
  <c r="Y8" i="143"/>
  <c r="AB8" i="143"/>
  <c r="V8" i="143"/>
  <c r="Z8" i="143"/>
  <c r="X8" i="143"/>
  <c r="Y7" i="143"/>
  <c r="AC7" i="143"/>
  <c r="X7" i="143"/>
  <c r="AB7" i="143"/>
  <c r="Z7" i="143"/>
  <c r="Y6" i="143"/>
  <c r="Z6" i="143"/>
  <c r="X6" i="143"/>
  <c r="AB6" i="143"/>
  <c r="AC6" i="143"/>
  <c r="Y5" i="143"/>
  <c r="AC5" i="143"/>
  <c r="Z5" i="143"/>
  <c r="X5" i="143"/>
  <c r="AB5" i="143"/>
  <c r="C113" i="143"/>
  <c r="C114" i="143"/>
  <c r="C116" i="143"/>
  <c r="C117" i="143"/>
  <c r="W122" i="143" l="1"/>
  <c r="D122" i="143"/>
  <c r="D123" i="143"/>
  <c r="W123" i="143"/>
  <c r="W118" i="143"/>
  <c r="D118" i="143"/>
  <c r="W60" i="143"/>
  <c r="D124" i="143"/>
  <c r="W124" i="143"/>
  <c r="D115" i="143"/>
  <c r="W115" i="143"/>
  <c r="D129" i="143"/>
  <c r="D44" i="143"/>
  <c r="W44" i="143"/>
  <c r="D37" i="143"/>
  <c r="W37" i="143"/>
  <c r="D27" i="143"/>
  <c r="W27" i="143"/>
  <c r="D20" i="143"/>
  <c r="W20" i="143"/>
  <c r="D33" i="143"/>
  <c r="W33" i="143"/>
  <c r="W30" i="143"/>
  <c r="D30" i="143"/>
  <c r="D23" i="143"/>
  <c r="W23" i="143"/>
  <c r="W16" i="143"/>
  <c r="D16" i="143"/>
  <c r="D9" i="143"/>
  <c r="W9" i="143"/>
  <c r="W121" i="143"/>
  <c r="D119" i="143"/>
  <c r="W120" i="143"/>
  <c r="D120" i="143"/>
  <c r="W119" i="143"/>
  <c r="D101" i="143"/>
  <c r="W101" i="143"/>
  <c r="D125" i="143"/>
  <c r="W129" i="143"/>
  <c r="D121" i="143"/>
  <c r="W133" i="143"/>
  <c r="W125" i="143"/>
  <c r="D103" i="143"/>
  <c r="W103" i="143"/>
  <c r="D104" i="143"/>
  <c r="W104" i="143"/>
  <c r="W100" i="143"/>
  <c r="D100" i="143"/>
  <c r="D89" i="143"/>
  <c r="W96" i="143"/>
  <c r="D96" i="143"/>
  <c r="W89" i="143"/>
  <c r="D86" i="143"/>
  <c r="W86" i="143"/>
  <c r="D82" i="143"/>
  <c r="W82" i="143"/>
  <c r="D79" i="143"/>
  <c r="W79" i="143"/>
  <c r="D75" i="143"/>
  <c r="W75" i="143"/>
  <c r="D72" i="143"/>
  <c r="W72" i="143"/>
  <c r="D65" i="143"/>
  <c r="W65" i="143"/>
  <c r="D61" i="143"/>
  <c r="W61" i="143"/>
  <c r="D58" i="143"/>
  <c r="W58" i="143"/>
  <c r="W54" i="143"/>
  <c r="D54" i="143"/>
  <c r="W51" i="143"/>
  <c r="D51" i="143"/>
  <c r="D48" i="143"/>
  <c r="W48" i="143"/>
  <c r="D97" i="143"/>
  <c r="W102" i="143"/>
  <c r="D102" i="143"/>
  <c r="W97" i="143"/>
  <c r="D99" i="143"/>
  <c r="W99" i="143"/>
  <c r="D98" i="143"/>
  <c r="W98" i="143"/>
  <c r="D93" i="143"/>
  <c r="W93" i="143"/>
  <c r="D95" i="143"/>
  <c r="W95" i="143"/>
  <c r="D94" i="143"/>
  <c r="W94" i="143"/>
  <c r="W92" i="143"/>
  <c r="W91" i="143"/>
  <c r="D92" i="143"/>
  <c r="D91" i="143"/>
  <c r="D90" i="143"/>
  <c r="W90" i="143"/>
  <c r="W88" i="143"/>
  <c r="D88" i="143"/>
  <c r="D85" i="143"/>
  <c r="D87" i="143"/>
  <c r="W87" i="143"/>
  <c r="W84" i="143"/>
  <c r="W85" i="143"/>
  <c r="D84" i="143"/>
  <c r="D77" i="143"/>
  <c r="W83" i="143"/>
  <c r="D83" i="143"/>
  <c r="W81" i="143"/>
  <c r="D81" i="143"/>
  <c r="W80" i="143"/>
  <c r="D80" i="143"/>
  <c r="D78" i="143"/>
  <c r="W78" i="143"/>
  <c r="D73" i="143"/>
  <c r="W77" i="143"/>
  <c r="W76" i="143"/>
  <c r="D76" i="143"/>
  <c r="W74" i="143"/>
  <c r="D74" i="143"/>
  <c r="W73" i="143"/>
  <c r="D71" i="143"/>
  <c r="W71" i="143"/>
  <c r="D70" i="143"/>
  <c r="W70" i="143"/>
  <c r="D69" i="143"/>
  <c r="W69" i="143"/>
  <c r="D67" i="143"/>
  <c r="W67" i="143"/>
  <c r="D66" i="143"/>
  <c r="W66" i="143"/>
  <c r="D68" i="143"/>
  <c r="W68" i="143"/>
  <c r="D63" i="143"/>
  <c r="W63" i="143"/>
  <c r="D62" i="143"/>
  <c r="W62" i="143"/>
  <c r="W64" i="143"/>
  <c r="D64" i="143"/>
  <c r="D59" i="143"/>
  <c r="W59" i="143"/>
  <c r="D57" i="143"/>
  <c r="W57" i="143"/>
  <c r="D49" i="143"/>
  <c r="D53" i="143"/>
  <c r="D60" i="143"/>
  <c r="D55" i="143"/>
  <c r="W55" i="143"/>
  <c r="W53" i="143"/>
  <c r="W56" i="143"/>
  <c r="D56" i="143"/>
  <c r="D50" i="143"/>
  <c r="W50" i="143"/>
  <c r="W45" i="143"/>
  <c r="W49" i="143"/>
  <c r="D42" i="143"/>
  <c r="D52" i="143"/>
  <c r="W52" i="143"/>
  <c r="D46" i="143"/>
  <c r="W46" i="143"/>
  <c r="D45" i="143"/>
  <c r="D47" i="143"/>
  <c r="W47" i="143"/>
  <c r="W42" i="143"/>
  <c r="D41" i="143"/>
  <c r="W41" i="143"/>
  <c r="D43" i="143"/>
  <c r="W43" i="143"/>
  <c r="D40" i="143"/>
  <c r="D38" i="143"/>
  <c r="W38" i="143"/>
  <c r="W40" i="143"/>
  <c r="D39" i="143"/>
  <c r="W39" i="143"/>
  <c r="D34" i="143"/>
  <c r="W34" i="143"/>
  <c r="D36" i="143"/>
  <c r="W36" i="143"/>
  <c r="D35" i="143"/>
  <c r="W35" i="143"/>
  <c r="D29" i="143"/>
  <c r="W29" i="143"/>
  <c r="D32" i="143"/>
  <c r="W32" i="143"/>
  <c r="W31" i="143"/>
  <c r="D31" i="143"/>
  <c r="W25" i="143"/>
  <c r="D25" i="143"/>
  <c r="D28" i="143"/>
  <c r="W28" i="143"/>
  <c r="D26" i="143"/>
  <c r="W26" i="143"/>
  <c r="D21" i="143"/>
  <c r="W21" i="143"/>
  <c r="D24" i="143"/>
  <c r="W24" i="143"/>
  <c r="D22" i="143"/>
  <c r="W22" i="143"/>
  <c r="W17" i="143"/>
  <c r="D17" i="143"/>
  <c r="W19" i="143"/>
  <c r="D19" i="143"/>
  <c r="D18" i="143"/>
  <c r="W18" i="143"/>
  <c r="D13" i="143"/>
  <c r="W13" i="143"/>
  <c r="W15" i="143"/>
  <c r="D15" i="143"/>
  <c r="D14" i="143"/>
  <c r="W14" i="143"/>
  <c r="D12" i="143"/>
  <c r="W12" i="143"/>
  <c r="W11" i="143"/>
  <c r="D11" i="143"/>
  <c r="W10" i="143"/>
  <c r="D10" i="143"/>
  <c r="AA113" i="143"/>
  <c r="Z113" i="143"/>
  <c r="Y113" i="143"/>
  <c r="X113" i="143"/>
  <c r="V113" i="143"/>
  <c r="AG113" i="143"/>
  <c r="U113" i="143"/>
  <c r="AF113" i="143"/>
  <c r="AE113" i="143"/>
  <c r="AD113" i="143"/>
  <c r="AC113" i="143"/>
  <c r="AB113" i="143"/>
  <c r="S113" i="143"/>
  <c r="P113" i="143"/>
  <c r="O113" i="143"/>
  <c r="R113" i="143"/>
  <c r="M113" i="143"/>
  <c r="L113" i="143"/>
  <c r="T113" i="143"/>
  <c r="N113" i="143"/>
  <c r="K113" i="143"/>
  <c r="J113" i="143"/>
  <c r="Q113" i="143"/>
  <c r="I113" i="143"/>
  <c r="H113" i="143"/>
  <c r="F113" i="143"/>
  <c r="G113" i="143"/>
  <c r="E113" i="143"/>
  <c r="X116" i="143"/>
  <c r="V116" i="143"/>
  <c r="AG116" i="143"/>
  <c r="U116" i="143"/>
  <c r="AF116" i="143"/>
  <c r="AE116" i="143"/>
  <c r="AD116" i="143"/>
  <c r="AC116" i="143"/>
  <c r="AB116" i="143"/>
  <c r="AA116" i="143"/>
  <c r="Z116" i="143"/>
  <c r="T116" i="143"/>
  <c r="N116" i="143"/>
  <c r="L116" i="143"/>
  <c r="K116" i="143"/>
  <c r="S116" i="143"/>
  <c r="R116" i="143"/>
  <c r="O116" i="143"/>
  <c r="Y116" i="143"/>
  <c r="P116" i="143"/>
  <c r="M116" i="143"/>
  <c r="Q116" i="143"/>
  <c r="J116" i="143"/>
  <c r="I116" i="143"/>
  <c r="F116" i="143"/>
  <c r="E116" i="143"/>
  <c r="G116" i="143"/>
  <c r="H116" i="143"/>
  <c r="Z114" i="143"/>
  <c r="Y114" i="143"/>
  <c r="X114" i="143"/>
  <c r="V114" i="143"/>
  <c r="AG114" i="143"/>
  <c r="U114" i="143"/>
  <c r="AF114" i="143"/>
  <c r="AE114" i="143"/>
  <c r="AD114" i="143"/>
  <c r="AC114" i="143"/>
  <c r="AB114" i="143"/>
  <c r="AA114" i="143"/>
  <c r="T114" i="143"/>
  <c r="S114" i="143"/>
  <c r="R114" i="143"/>
  <c r="N114" i="143"/>
  <c r="L114" i="143"/>
  <c r="K114" i="143"/>
  <c r="Q114" i="143"/>
  <c r="O114" i="143"/>
  <c r="M114" i="143"/>
  <c r="P114" i="143"/>
  <c r="J114" i="143"/>
  <c r="I114" i="143"/>
  <c r="H114" i="143"/>
  <c r="F114" i="143"/>
  <c r="E114" i="143"/>
  <c r="G114" i="143"/>
  <c r="V117" i="143"/>
  <c r="AG117" i="143"/>
  <c r="U117" i="143"/>
  <c r="AF117" i="143"/>
  <c r="AE117" i="143"/>
  <c r="AD117" i="143"/>
  <c r="AC117" i="143"/>
  <c r="AB117" i="143"/>
  <c r="AA117" i="143"/>
  <c r="Z117" i="143"/>
  <c r="Y117" i="143"/>
  <c r="S117" i="143"/>
  <c r="X117" i="143"/>
  <c r="T117" i="143"/>
  <c r="R117" i="143"/>
  <c r="P117" i="143"/>
  <c r="Q117" i="143"/>
  <c r="O117" i="143"/>
  <c r="M117" i="143"/>
  <c r="L117" i="143"/>
  <c r="K117" i="143"/>
  <c r="J117" i="143"/>
  <c r="N117" i="143"/>
  <c r="F117" i="143"/>
  <c r="G117" i="143"/>
  <c r="E117" i="143"/>
  <c r="I117" i="143"/>
  <c r="H117" i="143"/>
  <c r="D6" i="143"/>
  <c r="D8" i="143"/>
  <c r="W8" i="143"/>
  <c r="D5" i="143"/>
  <c r="V6" i="143"/>
  <c r="W6" i="143" s="1"/>
  <c r="V7" i="143"/>
  <c r="W7" i="143" s="1"/>
  <c r="V5" i="143"/>
  <c r="W5" i="143" s="1"/>
  <c r="D7" i="143"/>
  <c r="D114" i="143" l="1"/>
  <c r="D116" i="143"/>
  <c r="W116" i="143"/>
  <c r="W114" i="143"/>
  <c r="W113" i="143"/>
  <c r="D113" i="143"/>
  <c r="W117" i="143"/>
  <c r="D117" i="143"/>
  <c r="AZ23" i="153"/>
  <c r="AZ23" i="151"/>
  <c r="AR23" i="153"/>
  <c r="AR23" i="151"/>
  <c r="BS23" i="153"/>
  <c r="BS23" i="151"/>
  <c r="BQ23" i="151"/>
  <c r="BQ23" i="153"/>
  <c r="BU98" i="148"/>
  <c r="BR98" i="149"/>
  <c r="BU96" i="148"/>
  <c r="BR96" i="149"/>
  <c r="BT100" i="149"/>
  <c r="BU100" i="148"/>
  <c r="BR100" i="149"/>
  <c r="BW100" i="148"/>
  <c r="BW96" i="148"/>
  <c r="BT96" i="149"/>
  <c r="BD96" i="148"/>
  <c r="BA96" i="149"/>
  <c r="BD100" i="148"/>
  <c r="BA100" i="149"/>
  <c r="BD98" i="148"/>
  <c r="BA98" i="149"/>
  <c r="AV98" i="148"/>
  <c r="AS98" i="149"/>
  <c r="D98" i="149"/>
  <c r="AV96" i="148"/>
  <c r="AS96" i="149"/>
  <c r="D96" i="149"/>
  <c r="AV100" i="148"/>
  <c r="AS100" i="149"/>
  <c r="D100" i="149"/>
  <c r="BW98" i="148"/>
  <c r="BT98" i="149"/>
  <c r="AJ8" i="137"/>
  <c r="K2" i="134" l="1"/>
  <c r="M37" i="151"/>
  <c r="M37" i="153"/>
  <c r="N2" i="148"/>
  <c r="BT55" i="149"/>
  <c r="BT51" i="149"/>
  <c r="BR55" i="149"/>
  <c r="BR51" i="149"/>
  <c r="BA55" i="149"/>
  <c r="BA51" i="149"/>
  <c r="AS55" i="149"/>
  <c r="AS51" i="149"/>
  <c r="AZ14" i="153"/>
  <c r="AR14" i="153"/>
  <c r="AR14" i="151"/>
  <c r="AV55" i="148"/>
  <c r="AV51" i="148"/>
  <c r="BD55" i="148"/>
  <c r="BU51" i="148"/>
  <c r="BU55" i="148" l="1"/>
  <c r="AZ14" i="151"/>
  <c r="BQ14" i="151"/>
  <c r="BD51" i="148"/>
  <c r="BQ14" i="153"/>
  <c r="BW55" i="148" l="1"/>
  <c r="BS14" i="153"/>
  <c r="BW51" i="148"/>
  <c r="BS14" i="151"/>
  <c r="BA73" i="149"/>
  <c r="BA71" i="149"/>
  <c r="BT73" i="149"/>
  <c r="BT71" i="149"/>
  <c r="BR73" i="149"/>
  <c r="BR71" i="149"/>
  <c r="AT73" i="149"/>
  <c r="AT71" i="149"/>
  <c r="AK8" i="137"/>
  <c r="AW71" i="148"/>
  <c r="AS18" i="151"/>
  <c r="AW73" i="148"/>
  <c r="AS18" i="153"/>
  <c r="BD73" i="148" l="1"/>
  <c r="AZ18" i="151"/>
  <c r="BD71" i="148"/>
  <c r="AZ18" i="153"/>
  <c r="BU73" i="148" l="1"/>
  <c r="BQ18" i="151"/>
  <c r="BU71" i="148"/>
  <c r="BQ18" i="153"/>
  <c r="BS18" i="153" l="1"/>
  <c r="BW71" i="148"/>
  <c r="BS18" i="151"/>
  <c r="BW73" i="148"/>
  <c r="BR65" i="149"/>
  <c r="BR61" i="149"/>
  <c r="BT65" i="149"/>
  <c r="BT61" i="149"/>
  <c r="BA65" i="149"/>
  <c r="BA61" i="149"/>
  <c r="AT65" i="149"/>
  <c r="AT61" i="149"/>
  <c r="BR58" i="149" l="1"/>
  <c r="BR56" i="149"/>
  <c r="BT58" i="149"/>
  <c r="BT56" i="149"/>
  <c r="BA58" i="149"/>
  <c r="BA56" i="149"/>
  <c r="AS58" i="149"/>
  <c r="AS56" i="149"/>
  <c r="AK5" i="137"/>
  <c r="AS16" i="151"/>
  <c r="AS37" i="151"/>
  <c r="AS16" i="153"/>
  <c r="AK11" i="137"/>
  <c r="AS37" i="153"/>
  <c r="AW65" i="148"/>
  <c r="AW61" i="148"/>
  <c r="AW2" i="148"/>
  <c r="AT2" i="149" s="1"/>
  <c r="AZ16" i="153"/>
  <c r="BQ16" i="151"/>
  <c r="BU65" i="148" l="1"/>
  <c r="AZ16" i="151"/>
  <c r="BD61" i="148"/>
  <c r="BQ16" i="153"/>
  <c r="BD65" i="148"/>
  <c r="BU61" i="148"/>
  <c r="BW65" i="148" l="1"/>
  <c r="BS16" i="153"/>
  <c r="BS16" i="151"/>
  <c r="BW61" i="148"/>
  <c r="BT117" i="149"/>
  <c r="BT116" i="149"/>
  <c r="BR117" i="149"/>
  <c r="BR116" i="149"/>
  <c r="BA117" i="149"/>
  <c r="BA116" i="149"/>
  <c r="AU117" i="149"/>
  <c r="AU116" i="149"/>
  <c r="AL11" i="137"/>
  <c r="AT27" i="151"/>
  <c r="AX117" i="148"/>
  <c r="AX116" i="148"/>
  <c r="AT27" i="153"/>
  <c r="AL8" i="137"/>
  <c r="BD116" i="148" l="1"/>
  <c r="AO8" i="137"/>
  <c r="AZ27" i="151"/>
  <c r="BD117" i="148"/>
  <c r="AZ27" i="153"/>
  <c r="BQ27" i="153" l="1"/>
  <c r="BU116" i="148"/>
  <c r="AY8" i="137"/>
  <c r="BQ27" i="151"/>
  <c r="BU117" i="148"/>
  <c r="BW117" i="148" l="1"/>
  <c r="BA8" i="137"/>
  <c r="BW116" i="148"/>
  <c r="BS27" i="151"/>
  <c r="BS27" i="153"/>
  <c r="AV58" i="148"/>
  <c r="AR15" i="153"/>
  <c r="AR37" i="151"/>
  <c r="AV56" i="148"/>
  <c r="AR37" i="153"/>
  <c r="AR15" i="151"/>
  <c r="BS15" i="151"/>
  <c r="BS15" i="153"/>
  <c r="BW56" i="148"/>
  <c r="BW58" i="148"/>
  <c r="BU56" i="148"/>
  <c r="BQ15" i="151"/>
  <c r="BU58" i="148"/>
  <c r="BQ15" i="153"/>
  <c r="BD58" i="148"/>
  <c r="BD56" i="148"/>
  <c r="AZ15" i="151"/>
  <c r="AZ15" i="153"/>
  <c r="AV2" i="148"/>
  <c r="AS2" i="149" s="1"/>
  <c r="AJ11" i="137"/>
  <c r="AJ5" i="137"/>
  <c r="AO5" i="137"/>
  <c r="AO11" i="137"/>
  <c r="BA11" i="137"/>
  <c r="BA5" i="137"/>
  <c r="AY5" i="137"/>
  <c r="AY11" i="137"/>
  <c r="BR15" i="149"/>
  <c r="BR11" i="149"/>
  <c r="BT15" i="149"/>
  <c r="BT11" i="149"/>
  <c r="BA15" i="149"/>
  <c r="BA11" i="149"/>
  <c r="AU15" i="149"/>
  <c r="AU11" i="149"/>
  <c r="BD15" i="148"/>
  <c r="AZ6" i="153"/>
  <c r="AT37" i="151"/>
  <c r="AT6" i="151"/>
  <c r="AT6" i="153"/>
  <c r="AX15" i="148"/>
  <c r="AX11" i="148"/>
  <c r="AT37" i="153"/>
  <c r="AX2" i="148"/>
  <c r="AU2" i="149" s="1"/>
  <c r="BD11" i="148"/>
  <c r="BU11" i="148"/>
  <c r="BQ6" i="151" l="1"/>
  <c r="AZ37" i="153"/>
  <c r="BU15" i="148"/>
  <c r="AZ6" i="151"/>
  <c r="BQ37" i="153"/>
  <c r="BS37" i="153" s="1"/>
  <c r="BQ6" i="153"/>
  <c r="BU2" i="148"/>
  <c r="BD2" i="148"/>
  <c r="BA2" i="149" s="1"/>
  <c r="BQ37" i="151"/>
  <c r="BS37" i="151" s="1"/>
  <c r="AZ37" i="151"/>
  <c r="BR2" i="149" l="1"/>
  <c r="BW2" i="148"/>
  <c r="BT2" i="149" s="1"/>
  <c r="BW15" i="148"/>
  <c r="BS6" i="151"/>
  <c r="BS6" i="153"/>
  <c r="BW11" i="148"/>
  <c r="D2" i="149" l="1"/>
  <c r="K7" i="101"/>
  <c r="N7" i="101" s="1"/>
  <c r="Q7" i="101"/>
  <c r="R7" i="101" s="1"/>
  <c r="Q8" i="101"/>
  <c r="R8" i="101" s="1"/>
  <c r="K8" i="101"/>
  <c r="M8" i="101" s="1"/>
  <c r="AQ8" i="101"/>
  <c r="AR8" i="101" s="1"/>
  <c r="AS8" i="101" s="1"/>
  <c r="B778" i="154"/>
  <c r="F5" i="134"/>
  <c r="AK7" i="101"/>
  <c r="AM7" i="101" s="1"/>
  <c r="AR7" i="101" l="1"/>
  <c r="C778" i="154"/>
  <c r="E9" i="154" s="1"/>
  <c r="I9" i="154" s="1"/>
  <c r="C142" i="148"/>
  <c r="C143" i="148"/>
  <c r="C144" i="148"/>
  <c r="C145" i="148"/>
  <c r="C109" i="143"/>
  <c r="C110" i="143"/>
  <c r="C112" i="143"/>
  <c r="C111" i="143"/>
  <c r="AM4" i="134"/>
  <c r="S6" i="135"/>
  <c r="N8" i="101"/>
  <c r="O8" i="101" s="1"/>
  <c r="W6" i="134"/>
  <c r="AM5" i="134"/>
  <c r="AJ4" i="134"/>
  <c r="S8" i="101"/>
  <c r="T8" i="101" s="1"/>
  <c r="S7" i="101"/>
  <c r="T7" i="101" s="1"/>
  <c r="AO6" i="134"/>
  <c r="D778" i="154"/>
  <c r="G6" i="134"/>
  <c r="G3" i="134"/>
  <c r="M3" i="134"/>
  <c r="O3" i="134"/>
  <c r="AM3" i="134"/>
  <c r="AG4" i="134"/>
  <c r="AD3" i="134"/>
  <c r="V3" i="134"/>
  <c r="AL5" i="134"/>
  <c r="AI5" i="134"/>
  <c r="AJ3" i="134"/>
  <c r="AP3" i="134"/>
  <c r="K4" i="134"/>
  <c r="P5" i="134"/>
  <c r="U3" i="134"/>
  <c r="S4" i="134"/>
  <c r="P3" i="134"/>
  <c r="X5" i="134"/>
  <c r="R6" i="134"/>
  <c r="R3" i="134"/>
  <c r="U6" i="134"/>
  <c r="Y4" i="134"/>
  <c r="V5" i="134"/>
  <c r="AE4" i="134"/>
  <c r="X4" i="134"/>
  <c r="P4" i="134"/>
  <c r="AH4" i="134"/>
  <c r="AI4" i="134"/>
  <c r="AJ6" i="134"/>
  <c r="R4" i="134"/>
  <c r="AF5" i="134"/>
  <c r="Y6" i="134"/>
  <c r="U4" i="134"/>
  <c r="S6" i="134"/>
  <c r="Q5" i="134"/>
  <c r="U5" i="134"/>
  <c r="AG3" i="134"/>
  <c r="AB4" i="134"/>
  <c r="AD4" i="134"/>
  <c r="W5" i="134"/>
  <c r="AL4" i="134"/>
  <c r="AF3" i="134"/>
  <c r="AE3" i="134"/>
  <c r="AL6" i="134"/>
  <c r="V4" i="134"/>
  <c r="Q3" i="134"/>
  <c r="R5" i="134"/>
  <c r="AC4" i="134"/>
  <c r="AK4" i="134"/>
  <c r="AG6" i="134"/>
  <c r="AH6" i="134"/>
  <c r="AJ5" i="134"/>
  <c r="Q4" i="134"/>
  <c r="Y5" i="134"/>
  <c r="AH3" i="134"/>
  <c r="AF6" i="134"/>
  <c r="AG5" i="134"/>
  <c r="X3" i="134"/>
  <c r="AN6" i="134"/>
  <c r="O5" i="134"/>
  <c r="V6" i="134"/>
  <c r="W3" i="134"/>
  <c r="AH5" i="134"/>
  <c r="Y3" i="134"/>
  <c r="P6" i="134"/>
  <c r="I5" i="134"/>
  <c r="N5" i="134"/>
  <c r="J3" i="134"/>
  <c r="AN4" i="134"/>
  <c r="AO3" i="134"/>
  <c r="F3" i="134"/>
  <c r="AP4" i="134"/>
  <c r="AI3" i="134"/>
  <c r="S3" i="134"/>
  <c r="AK3" i="134"/>
  <c r="AI6" i="134"/>
  <c r="AN3" i="134"/>
  <c r="N3" i="134"/>
  <c r="H3" i="134"/>
  <c r="AO4" i="134"/>
  <c r="K5" i="134"/>
  <c r="L3" i="134"/>
  <c r="L5" i="134"/>
  <c r="M5" i="134"/>
  <c r="AK5" i="134"/>
  <c r="AF4" i="134"/>
  <c r="AK6" i="134"/>
  <c r="M4" i="134"/>
  <c r="N4" i="134"/>
  <c r="J4" i="134"/>
  <c r="AP6" i="134"/>
  <c r="K3" i="134"/>
  <c r="H4" i="134"/>
  <c r="N6" i="134"/>
  <c r="M6" i="134"/>
  <c r="H5" i="134"/>
  <c r="AO5" i="134"/>
  <c r="AP5" i="134"/>
  <c r="I4" i="134"/>
  <c r="J6" i="134"/>
  <c r="L6" i="134"/>
  <c r="I6" i="134"/>
  <c r="G5" i="134"/>
  <c r="J5" i="134"/>
  <c r="F6" i="134"/>
  <c r="L4" i="134"/>
  <c r="F4" i="134"/>
  <c r="O6" i="134"/>
  <c r="G4" i="134"/>
  <c r="K6" i="134"/>
  <c r="AN5" i="134"/>
  <c r="H6" i="134"/>
  <c r="O4" i="134"/>
  <c r="W4" i="134"/>
  <c r="X6" i="134"/>
  <c r="Q6" i="134"/>
  <c r="S5" i="134"/>
  <c r="AL3" i="134"/>
  <c r="AL7" i="101"/>
  <c r="AN7" i="101" s="1"/>
  <c r="M7" i="101"/>
  <c r="O7" i="101" s="1"/>
  <c r="AK8" i="101"/>
  <c r="AL8" i="101" s="1"/>
  <c r="I3" i="134"/>
  <c r="E7" i="154"/>
  <c r="R7" i="154" s="1"/>
  <c r="E4" i="154"/>
  <c r="R4" i="154" s="1"/>
  <c r="E6" i="154"/>
  <c r="R6" i="154" s="1"/>
  <c r="E5" i="154"/>
  <c r="AM6" i="134"/>
  <c r="AS7" i="101" l="1"/>
  <c r="AT7" i="101" s="1"/>
  <c r="E8" i="154"/>
  <c r="T8" i="154" s="1"/>
  <c r="AC111" i="143"/>
  <c r="AB111" i="143"/>
  <c r="AA111" i="143"/>
  <c r="Z111" i="143"/>
  <c r="Y111" i="143"/>
  <c r="X111" i="143"/>
  <c r="V111" i="143"/>
  <c r="AG111" i="143"/>
  <c r="U111" i="143"/>
  <c r="AF111" i="143"/>
  <c r="AE111" i="143"/>
  <c r="S111" i="143"/>
  <c r="R111" i="143"/>
  <c r="AD111" i="143"/>
  <c r="T111" i="143"/>
  <c r="P111" i="143"/>
  <c r="O111" i="143"/>
  <c r="M111" i="143"/>
  <c r="L111" i="143"/>
  <c r="Q111" i="143"/>
  <c r="K111" i="143"/>
  <c r="J111" i="143"/>
  <c r="N111" i="143"/>
  <c r="I111" i="143"/>
  <c r="F111" i="143"/>
  <c r="E111" i="143"/>
  <c r="H111" i="143"/>
  <c r="G111" i="143"/>
  <c r="AB112" i="143"/>
  <c r="AA112" i="143"/>
  <c r="Z112" i="143"/>
  <c r="Y112" i="143"/>
  <c r="X112" i="143"/>
  <c r="V112" i="143"/>
  <c r="AG112" i="143"/>
  <c r="U112" i="143"/>
  <c r="AF112" i="143"/>
  <c r="AE112" i="143"/>
  <c r="AD112" i="143"/>
  <c r="AC112" i="143"/>
  <c r="T112" i="143"/>
  <c r="N112" i="143"/>
  <c r="L112" i="143"/>
  <c r="K112" i="143"/>
  <c r="S112" i="143"/>
  <c r="O112" i="143"/>
  <c r="P112" i="143"/>
  <c r="M112" i="143"/>
  <c r="R112" i="143"/>
  <c r="J112" i="143"/>
  <c r="Q112" i="143"/>
  <c r="I112" i="143"/>
  <c r="H112" i="143"/>
  <c r="G112" i="143"/>
  <c r="F112" i="143"/>
  <c r="E112" i="143"/>
  <c r="AD110" i="143"/>
  <c r="AC110" i="143"/>
  <c r="AB110" i="143"/>
  <c r="AA110" i="143"/>
  <c r="Z110" i="143"/>
  <c r="Y110" i="143"/>
  <c r="X110" i="143"/>
  <c r="V110" i="143"/>
  <c r="AG110" i="143"/>
  <c r="U110" i="143"/>
  <c r="AF110" i="143"/>
  <c r="T110" i="143"/>
  <c r="S110" i="143"/>
  <c r="AE110" i="143"/>
  <c r="R110" i="143"/>
  <c r="Q110" i="143"/>
  <c r="N110" i="143"/>
  <c r="L110" i="143"/>
  <c r="K110" i="143"/>
  <c r="O110" i="143"/>
  <c r="P110" i="143"/>
  <c r="J110" i="143"/>
  <c r="M110" i="143"/>
  <c r="I110" i="143"/>
  <c r="F110" i="143"/>
  <c r="E110" i="143"/>
  <c r="H110" i="143"/>
  <c r="G110" i="143"/>
  <c r="AE109" i="143"/>
  <c r="AD109" i="143"/>
  <c r="AC109" i="143"/>
  <c r="AB109" i="143"/>
  <c r="AA109" i="143"/>
  <c r="Z109" i="143"/>
  <c r="Y109" i="143"/>
  <c r="X109" i="143"/>
  <c r="V109" i="143"/>
  <c r="AG109" i="143"/>
  <c r="U109" i="143"/>
  <c r="AF109" i="143"/>
  <c r="S109" i="143"/>
  <c r="P109" i="143"/>
  <c r="O109" i="143"/>
  <c r="M109" i="143"/>
  <c r="L109" i="143"/>
  <c r="R109" i="143"/>
  <c r="J109" i="143"/>
  <c r="N109" i="143"/>
  <c r="Q109" i="143"/>
  <c r="K109" i="143"/>
  <c r="T109" i="143"/>
  <c r="I109" i="143"/>
  <c r="F109" i="143"/>
  <c r="H109" i="143"/>
  <c r="E109" i="143"/>
  <c r="G109" i="143"/>
  <c r="X9" i="154"/>
  <c r="Y9" i="154"/>
  <c r="O9" i="154"/>
  <c r="R9" i="154"/>
  <c r="G9" i="154"/>
  <c r="W9" i="154"/>
  <c r="Z9" i="154"/>
  <c r="AC9" i="154"/>
  <c r="L9" i="154"/>
  <c r="Q9" i="154"/>
  <c r="H9" i="154"/>
  <c r="T9" i="154"/>
  <c r="AF9" i="154"/>
  <c r="AH9" i="154"/>
  <c r="J9" i="154"/>
  <c r="P9" i="154"/>
  <c r="N9" i="154"/>
  <c r="S9" i="154"/>
  <c r="AG9" i="154"/>
  <c r="AB9" i="154"/>
  <c r="K9" i="154"/>
  <c r="Q145" i="148"/>
  <c r="CQ145" i="148"/>
  <c r="CN145" i="149" s="1"/>
  <c r="E145" i="148"/>
  <c r="CC145" i="148"/>
  <c r="BZ145" i="149" s="1"/>
  <c r="CV145" i="148"/>
  <c r="CS145" i="149" s="1"/>
  <c r="CW145" i="148"/>
  <c r="CT145" i="149" s="1"/>
  <c r="CP145" i="148"/>
  <c r="CM145" i="149" s="1"/>
  <c r="CA145" i="148"/>
  <c r="BX145" i="149" s="1"/>
  <c r="CJ145" i="148"/>
  <c r="CG145" i="149" s="1"/>
  <c r="BT145" i="148"/>
  <c r="BQ145" i="149" s="1"/>
  <c r="BQ145" i="148"/>
  <c r="BN145" i="149" s="1"/>
  <c r="BN145" i="148"/>
  <c r="BK145" i="149" s="1"/>
  <c r="CX145" i="148"/>
  <c r="CU145" i="149" s="1"/>
  <c r="BI145" i="148"/>
  <c r="BF145" i="149" s="1"/>
  <c r="CS145" i="148"/>
  <c r="CP145" i="149" s="1"/>
  <c r="CB145" i="148"/>
  <c r="BY145" i="149" s="1"/>
  <c r="V145" i="148"/>
  <c r="BK145" i="148"/>
  <c r="BH145" i="149" s="1"/>
  <c r="BR145" i="148"/>
  <c r="BO145" i="149" s="1"/>
  <c r="AX145" i="148"/>
  <c r="AU145" i="149" s="1"/>
  <c r="G145" i="148"/>
  <c r="CY145" i="148"/>
  <c r="CV145" i="149" s="1"/>
  <c r="AW145" i="148"/>
  <c r="AT145" i="149" s="1"/>
  <c r="BB145" i="148"/>
  <c r="AY145" i="149" s="1"/>
  <c r="I145" i="148"/>
  <c r="BU145" i="148"/>
  <c r="BR145" i="149" s="1"/>
  <c r="BL145" i="148"/>
  <c r="BI145" i="149" s="1"/>
  <c r="BY145" i="148"/>
  <c r="BV145" i="149" s="1"/>
  <c r="CK145" i="148"/>
  <c r="CH145" i="149" s="1"/>
  <c r="BJ145" i="148"/>
  <c r="BG145" i="149" s="1"/>
  <c r="BD145" i="148"/>
  <c r="BA145" i="149" s="1"/>
  <c r="AV145" i="148"/>
  <c r="AS145" i="149" s="1"/>
  <c r="CI145" i="148"/>
  <c r="CF145" i="149" s="1"/>
  <c r="CU145" i="148"/>
  <c r="CR145" i="149" s="1"/>
  <c r="DA145" i="148"/>
  <c r="CX145" i="149" s="1"/>
  <c r="BH145" i="148"/>
  <c r="BE145" i="149" s="1"/>
  <c r="BW145" i="148"/>
  <c r="BT145" i="149" s="1"/>
  <c r="CD145" i="148"/>
  <c r="CA145" i="149" s="1"/>
  <c r="BG145" i="148"/>
  <c r="BD145" i="149" s="1"/>
  <c r="CR145" i="148"/>
  <c r="CO145" i="149" s="1"/>
  <c r="CT145" i="148"/>
  <c r="CQ145" i="149" s="1"/>
  <c r="AZ145" i="148"/>
  <c r="AW145" i="149" s="1"/>
  <c r="CH145" i="148"/>
  <c r="CE145" i="149" s="1"/>
  <c r="BF145" i="148"/>
  <c r="BC145" i="149" s="1"/>
  <c r="R145" i="148"/>
  <c r="AY145" i="148"/>
  <c r="AV145" i="149" s="1"/>
  <c r="BM145" i="148"/>
  <c r="BJ145" i="149" s="1"/>
  <c r="BE145" i="148"/>
  <c r="BB145" i="149" s="1"/>
  <c r="H145" i="148"/>
  <c r="CN145" i="148"/>
  <c r="CK145" i="149" s="1"/>
  <c r="BP145" i="148"/>
  <c r="BM145" i="149" s="1"/>
  <c r="BO145" i="148"/>
  <c r="CO145" i="148"/>
  <c r="CL145" i="149" s="1"/>
  <c r="BZ145" i="148"/>
  <c r="BW145" i="149" s="1"/>
  <c r="BV145" i="148"/>
  <c r="BS145" i="149" s="1"/>
  <c r="CF145" i="148"/>
  <c r="CC145" i="149" s="1"/>
  <c r="BA145" i="148"/>
  <c r="AX145" i="149" s="1"/>
  <c r="BX145" i="148"/>
  <c r="BU145" i="149" s="1"/>
  <c r="BS145" i="148"/>
  <c r="BP145" i="149" s="1"/>
  <c r="CL145" i="148"/>
  <c r="CI145" i="149" s="1"/>
  <c r="CZ145" i="148"/>
  <c r="CW145" i="149" s="1"/>
  <c r="BC145" i="148"/>
  <c r="AZ145" i="149" s="1"/>
  <c r="F145" i="148"/>
  <c r="CE145" i="148"/>
  <c r="CB145" i="149" s="1"/>
  <c r="CM145" i="148"/>
  <c r="CJ145" i="149" s="1"/>
  <c r="CG145" i="148"/>
  <c r="CD145" i="149" s="1"/>
  <c r="AB145" i="148"/>
  <c r="Y145" i="149" s="1"/>
  <c r="AR145" i="148"/>
  <c r="AO145" i="149" s="1"/>
  <c r="AQ145" i="148"/>
  <c r="AN145" i="149" s="1"/>
  <c r="AD145" i="148"/>
  <c r="AA145" i="149" s="1"/>
  <c r="AA145" i="148"/>
  <c r="X145" i="149" s="1"/>
  <c r="AS145" i="148"/>
  <c r="AP145" i="149" s="1"/>
  <c r="AK145" i="148"/>
  <c r="AH145" i="149" s="1"/>
  <c r="K145" i="148"/>
  <c r="O145" i="148"/>
  <c r="J145" i="148"/>
  <c r="U145" i="148"/>
  <c r="AU145" i="148"/>
  <c r="AR145" i="149" s="1"/>
  <c r="Y145" i="148"/>
  <c r="V145" i="149" s="1"/>
  <c r="N145" i="148"/>
  <c r="AO145" i="148"/>
  <c r="AL145" i="149" s="1"/>
  <c r="M145" i="148"/>
  <c r="AG145" i="148"/>
  <c r="AD145" i="149" s="1"/>
  <c r="AN145" i="148"/>
  <c r="AK145" i="149" s="1"/>
  <c r="AJ145" i="148"/>
  <c r="AG145" i="149" s="1"/>
  <c r="AE145" i="148"/>
  <c r="AB145" i="149" s="1"/>
  <c r="AM145" i="148"/>
  <c r="AJ145" i="149" s="1"/>
  <c r="AP145" i="148"/>
  <c r="AM145" i="149" s="1"/>
  <c r="AC145" i="148"/>
  <c r="Z145" i="149" s="1"/>
  <c r="AH145" i="148"/>
  <c r="AE145" i="149" s="1"/>
  <c r="AL145" i="148"/>
  <c r="AI145" i="149" s="1"/>
  <c r="X145" i="148"/>
  <c r="U145" i="149" s="1"/>
  <c r="P145" i="148"/>
  <c r="L145" i="148"/>
  <c r="AI145" i="148"/>
  <c r="AF145" i="149" s="1"/>
  <c r="Z145" i="148"/>
  <c r="W145" i="149" s="1"/>
  <c r="W145" i="148"/>
  <c r="AT145" i="148"/>
  <c r="AQ145" i="149" s="1"/>
  <c r="AF145" i="148"/>
  <c r="AC145" i="149" s="1"/>
  <c r="V9" i="154"/>
  <c r="F9" i="154"/>
  <c r="AI9" i="154"/>
  <c r="Q144" i="148"/>
  <c r="AQ144" i="148"/>
  <c r="AN144" i="149" s="1"/>
  <c r="CR144" i="148"/>
  <c r="CO144" i="149" s="1"/>
  <c r="CE144" i="148"/>
  <c r="CB144" i="149" s="1"/>
  <c r="CM144" i="148"/>
  <c r="CJ144" i="149" s="1"/>
  <c r="BG144" i="148"/>
  <c r="BD144" i="149" s="1"/>
  <c r="O144" i="148"/>
  <c r="CD144" i="148"/>
  <c r="CA144" i="149" s="1"/>
  <c r="CC144" i="148"/>
  <c r="BZ144" i="149" s="1"/>
  <c r="U144" i="148"/>
  <c r="CF144" i="148"/>
  <c r="CC144" i="149" s="1"/>
  <c r="BX144" i="148"/>
  <c r="BU144" i="149" s="1"/>
  <c r="M144" i="148"/>
  <c r="BU144" i="148"/>
  <c r="BR144" i="149" s="1"/>
  <c r="CJ144" i="148"/>
  <c r="CG144" i="149" s="1"/>
  <c r="CK144" i="148"/>
  <c r="CH144" i="149" s="1"/>
  <c r="AS144" i="148"/>
  <c r="AP144" i="149" s="1"/>
  <c r="BN144" i="148"/>
  <c r="BK144" i="149" s="1"/>
  <c r="AV144" i="148"/>
  <c r="AS144" i="149" s="1"/>
  <c r="BV144" i="148"/>
  <c r="BS144" i="149" s="1"/>
  <c r="W144" i="148"/>
  <c r="P144" i="148"/>
  <c r="CY144" i="148"/>
  <c r="CV144" i="149" s="1"/>
  <c r="AA144" i="148"/>
  <c r="X144" i="149" s="1"/>
  <c r="CP144" i="148"/>
  <c r="CM144" i="149" s="1"/>
  <c r="BD144" i="148"/>
  <c r="BA144" i="149" s="1"/>
  <c r="BK144" i="148"/>
  <c r="BH144" i="149" s="1"/>
  <c r="BE144" i="148"/>
  <c r="BB144" i="149" s="1"/>
  <c r="BJ144" i="148"/>
  <c r="BG144" i="149" s="1"/>
  <c r="BF144" i="148"/>
  <c r="BC144" i="149" s="1"/>
  <c r="AU144" i="148"/>
  <c r="AR144" i="149" s="1"/>
  <c r="DA144" i="148"/>
  <c r="CX144" i="149" s="1"/>
  <c r="BT144" i="148"/>
  <c r="BQ144" i="149" s="1"/>
  <c r="CB144" i="148"/>
  <c r="BY144" i="149" s="1"/>
  <c r="AN144" i="148"/>
  <c r="AK144" i="149" s="1"/>
  <c r="BB144" i="148"/>
  <c r="AY144" i="149" s="1"/>
  <c r="AM144" i="148"/>
  <c r="AJ144" i="149" s="1"/>
  <c r="BH144" i="148"/>
  <c r="BE144" i="149" s="1"/>
  <c r="G144" i="148"/>
  <c r="X144" i="148"/>
  <c r="U144" i="149" s="1"/>
  <c r="AG144" i="148"/>
  <c r="AD144" i="149" s="1"/>
  <c r="BW144" i="148"/>
  <c r="BT144" i="149" s="1"/>
  <c r="V144" i="148"/>
  <c r="AP144" i="148"/>
  <c r="AM144" i="149" s="1"/>
  <c r="F144" i="148"/>
  <c r="AZ144" i="148"/>
  <c r="AW144" i="149" s="1"/>
  <c r="CX144" i="148"/>
  <c r="CU144" i="149" s="1"/>
  <c r="AE144" i="148"/>
  <c r="AB144" i="149" s="1"/>
  <c r="BP144" i="148"/>
  <c r="BM144" i="149" s="1"/>
  <c r="BI144" i="148"/>
  <c r="BF144" i="149" s="1"/>
  <c r="BL144" i="148"/>
  <c r="BI144" i="149" s="1"/>
  <c r="AH144" i="148"/>
  <c r="AE144" i="149" s="1"/>
  <c r="CT144" i="148"/>
  <c r="CQ144" i="149" s="1"/>
  <c r="BM144" i="148"/>
  <c r="BJ144" i="149" s="1"/>
  <c r="AT144" i="148"/>
  <c r="AQ144" i="149" s="1"/>
  <c r="CS144" i="148"/>
  <c r="CP144" i="149" s="1"/>
  <c r="BQ144" i="148"/>
  <c r="BN144" i="149" s="1"/>
  <c r="N144" i="148"/>
  <c r="AJ144" i="148"/>
  <c r="AG144" i="149" s="1"/>
  <c r="AL144" i="148"/>
  <c r="AI144" i="149" s="1"/>
  <c r="CA144" i="148"/>
  <c r="BX144" i="149" s="1"/>
  <c r="BO144" i="148"/>
  <c r="BS144" i="148"/>
  <c r="BP144" i="149" s="1"/>
  <c r="BC144" i="148"/>
  <c r="AZ144" i="149" s="1"/>
  <c r="AD144" i="148"/>
  <c r="AA144" i="149" s="1"/>
  <c r="BY144" i="148"/>
  <c r="BV144" i="149" s="1"/>
  <c r="CW144" i="148"/>
  <c r="CT144" i="149" s="1"/>
  <c r="E144" i="148"/>
  <c r="CL144" i="148"/>
  <c r="CI144" i="149" s="1"/>
  <c r="BA144" i="148"/>
  <c r="AX144" i="149" s="1"/>
  <c r="CO144" i="148"/>
  <c r="CL144" i="149" s="1"/>
  <c r="AY144" i="148"/>
  <c r="AV144" i="149" s="1"/>
  <c r="CG144" i="148"/>
  <c r="CD144" i="149" s="1"/>
  <c r="I144" i="148"/>
  <c r="CN144" i="148"/>
  <c r="CK144" i="149" s="1"/>
  <c r="CV144" i="148"/>
  <c r="CS144" i="149" s="1"/>
  <c r="BR144" i="148"/>
  <c r="BO144" i="149" s="1"/>
  <c r="CH144" i="148"/>
  <c r="CE144" i="149" s="1"/>
  <c r="CQ144" i="148"/>
  <c r="CN144" i="149" s="1"/>
  <c r="CI144" i="148"/>
  <c r="CF144" i="149" s="1"/>
  <c r="Y144" i="148"/>
  <c r="V144" i="149" s="1"/>
  <c r="H144" i="148"/>
  <c r="AK144" i="148"/>
  <c r="AH144" i="149" s="1"/>
  <c r="J144" i="148"/>
  <c r="Z144" i="148"/>
  <c r="W144" i="149" s="1"/>
  <c r="AC144" i="148"/>
  <c r="Z144" i="149" s="1"/>
  <c r="R144" i="148"/>
  <c r="AI144" i="148"/>
  <c r="AF144" i="149" s="1"/>
  <c r="K144" i="148"/>
  <c r="AF144" i="148"/>
  <c r="AC144" i="149" s="1"/>
  <c r="AO144" i="148"/>
  <c r="AL144" i="149" s="1"/>
  <c r="CZ144" i="148"/>
  <c r="CW144" i="149" s="1"/>
  <c r="CU144" i="148"/>
  <c r="CR144" i="149" s="1"/>
  <c r="AW144" i="148"/>
  <c r="AT144" i="149" s="1"/>
  <c r="AB144" i="148"/>
  <c r="Y144" i="149" s="1"/>
  <c r="L144" i="148"/>
  <c r="AR144" i="148"/>
  <c r="AO144" i="149" s="1"/>
  <c r="BZ144" i="148"/>
  <c r="BW144" i="149" s="1"/>
  <c r="AX144" i="148"/>
  <c r="AU144" i="149" s="1"/>
  <c r="AA9" i="154"/>
  <c r="U9" i="154"/>
  <c r="AD9" i="154"/>
  <c r="Q143" i="148"/>
  <c r="E143" i="148"/>
  <c r="R143" i="148"/>
  <c r="V143" i="148"/>
  <c r="H143" i="148"/>
  <c r="BB143" i="148"/>
  <c r="I143" i="148"/>
  <c r="F143" i="148"/>
  <c r="CI143" i="148"/>
  <c r="CF143" i="149" s="1"/>
  <c r="CW143" i="148"/>
  <c r="CT143" i="149" s="1"/>
  <c r="BN143" i="148"/>
  <c r="BK143" i="149" s="1"/>
  <c r="BH143" i="148"/>
  <c r="BE143" i="149" s="1"/>
  <c r="CH143" i="148"/>
  <c r="CE143" i="149" s="1"/>
  <c r="BI143" i="148"/>
  <c r="BF143" i="149" s="1"/>
  <c r="BQ143" i="148"/>
  <c r="BN143" i="149" s="1"/>
  <c r="BZ143" i="148"/>
  <c r="BW143" i="149" s="1"/>
  <c r="AY143" i="148"/>
  <c r="AV143" i="149" s="1"/>
  <c r="DA143" i="148"/>
  <c r="CX143" i="149" s="1"/>
  <c r="BW143" i="148"/>
  <c r="BT143" i="149" s="1"/>
  <c r="CU143" i="148"/>
  <c r="CR143" i="149" s="1"/>
  <c r="CB143" i="148"/>
  <c r="BY143" i="149" s="1"/>
  <c r="CV143" i="148"/>
  <c r="CS143" i="149" s="1"/>
  <c r="BL143" i="148"/>
  <c r="BI143" i="149" s="1"/>
  <c r="CC143" i="148"/>
  <c r="BZ143" i="149" s="1"/>
  <c r="CK143" i="148"/>
  <c r="CH143" i="149" s="1"/>
  <c r="BA143" i="148"/>
  <c r="AX143" i="149" s="1"/>
  <c r="CJ143" i="148"/>
  <c r="CG143" i="149" s="1"/>
  <c r="CO143" i="148"/>
  <c r="CL143" i="149" s="1"/>
  <c r="BU143" i="148"/>
  <c r="BR143" i="149" s="1"/>
  <c r="BE143" i="148"/>
  <c r="BB143" i="149" s="1"/>
  <c r="CE143" i="148"/>
  <c r="CB143" i="149" s="1"/>
  <c r="CP143" i="148"/>
  <c r="CM143" i="149" s="1"/>
  <c r="AX143" i="148"/>
  <c r="AU143" i="149" s="1"/>
  <c r="BC143" i="148"/>
  <c r="AZ143" i="149" s="1"/>
  <c r="CG143" i="148"/>
  <c r="CD143" i="149" s="1"/>
  <c r="BP143" i="148"/>
  <c r="BM143" i="149" s="1"/>
  <c r="CF143" i="148"/>
  <c r="CC143" i="149" s="1"/>
  <c r="CR143" i="148"/>
  <c r="CO143" i="149" s="1"/>
  <c r="BD143" i="148"/>
  <c r="BA143" i="149" s="1"/>
  <c r="CY143" i="148"/>
  <c r="CV143" i="149" s="1"/>
  <c r="CL143" i="148"/>
  <c r="CI143" i="149" s="1"/>
  <c r="CM143" i="148"/>
  <c r="CJ143" i="149" s="1"/>
  <c r="CS143" i="148"/>
  <c r="CP143" i="149" s="1"/>
  <c r="AV143" i="148"/>
  <c r="AS143" i="149" s="1"/>
  <c r="CA143" i="148"/>
  <c r="BX143" i="149" s="1"/>
  <c r="BV143" i="148"/>
  <c r="BS143" i="149" s="1"/>
  <c r="BO143" i="148"/>
  <c r="G143" i="148"/>
  <c r="BT143" i="148"/>
  <c r="BQ143" i="149" s="1"/>
  <c r="BM143" i="148"/>
  <c r="BJ143" i="149" s="1"/>
  <c r="AW143" i="148"/>
  <c r="AT143" i="149" s="1"/>
  <c r="CX143" i="148"/>
  <c r="CU143" i="149" s="1"/>
  <c r="BR143" i="148"/>
  <c r="BO143" i="149" s="1"/>
  <c r="BF143" i="148"/>
  <c r="BC143" i="149" s="1"/>
  <c r="BY143" i="148"/>
  <c r="BV143" i="149" s="1"/>
  <c r="CT143" i="148"/>
  <c r="CQ143" i="149" s="1"/>
  <c r="BX143" i="148"/>
  <c r="BU143" i="149" s="1"/>
  <c r="AZ143" i="148"/>
  <c r="AW143" i="149" s="1"/>
  <c r="CD143" i="148"/>
  <c r="CA143" i="149" s="1"/>
  <c r="CZ143" i="148"/>
  <c r="CW143" i="149" s="1"/>
  <c r="CQ143" i="148"/>
  <c r="CN143" i="149" s="1"/>
  <c r="CN143" i="148"/>
  <c r="CK143" i="149" s="1"/>
  <c r="BK143" i="148"/>
  <c r="BH143" i="149" s="1"/>
  <c r="BS143" i="148"/>
  <c r="BP143" i="149" s="1"/>
  <c r="BJ143" i="148"/>
  <c r="BG143" i="149" s="1"/>
  <c r="BG143" i="148"/>
  <c r="BD143" i="149" s="1"/>
  <c r="J143" i="148"/>
  <c r="Z143" i="148"/>
  <c r="W143" i="149" s="1"/>
  <c r="AN143" i="148"/>
  <c r="AK143" i="149" s="1"/>
  <c r="U143" i="148"/>
  <c r="O143" i="148"/>
  <c r="AO143" i="148"/>
  <c r="AL143" i="149" s="1"/>
  <c r="P143" i="148"/>
  <c r="AR143" i="148"/>
  <c r="AO143" i="149" s="1"/>
  <c r="K143" i="148"/>
  <c r="AM143" i="148"/>
  <c r="AJ143" i="149" s="1"/>
  <c r="AL143" i="148"/>
  <c r="AI143" i="149" s="1"/>
  <c r="AC143" i="148"/>
  <c r="Z143" i="149" s="1"/>
  <c r="AH143" i="148"/>
  <c r="AE143" i="149" s="1"/>
  <c r="AU143" i="148"/>
  <c r="AR143" i="149" s="1"/>
  <c r="AG143" i="148"/>
  <c r="AD143" i="149" s="1"/>
  <c r="AD143" i="148"/>
  <c r="AA143" i="149" s="1"/>
  <c r="AJ143" i="148"/>
  <c r="AG143" i="149" s="1"/>
  <c r="AB143" i="148"/>
  <c r="Y143" i="149" s="1"/>
  <c r="AP143" i="148"/>
  <c r="AM143" i="149" s="1"/>
  <c r="Y143" i="148"/>
  <c r="V143" i="149" s="1"/>
  <c r="AI143" i="148"/>
  <c r="AF143" i="149" s="1"/>
  <c r="X143" i="148"/>
  <c r="U143" i="149" s="1"/>
  <c r="W143" i="148"/>
  <c r="M143" i="148"/>
  <c r="N143" i="148"/>
  <c r="AE143" i="148"/>
  <c r="AB143" i="149" s="1"/>
  <c r="AK143" i="148"/>
  <c r="AH143" i="149" s="1"/>
  <c r="L143" i="148"/>
  <c r="AT143" i="148"/>
  <c r="AQ143" i="149" s="1"/>
  <c r="AF143" i="148"/>
  <c r="AC143" i="149" s="1"/>
  <c r="AS143" i="148"/>
  <c r="AP143" i="149" s="1"/>
  <c r="AQ143" i="148"/>
  <c r="AN143" i="149" s="1"/>
  <c r="AA143" i="148"/>
  <c r="X143" i="149" s="1"/>
  <c r="AE9" i="154"/>
  <c r="M9" i="154"/>
  <c r="Q142" i="148"/>
  <c r="E142" i="148"/>
  <c r="H142" i="148"/>
  <c r="F142" i="148"/>
  <c r="V142" i="148"/>
  <c r="I142" i="148"/>
  <c r="R142" i="148"/>
  <c r="BT142" i="148"/>
  <c r="BQ142" i="149" s="1"/>
  <c r="BQ142" i="148"/>
  <c r="BN142" i="149" s="1"/>
  <c r="CL142" i="148"/>
  <c r="CI142" i="149" s="1"/>
  <c r="BV142" i="148"/>
  <c r="BS142" i="149" s="1"/>
  <c r="CC142" i="148"/>
  <c r="BZ142" i="149" s="1"/>
  <c r="BN142" i="148"/>
  <c r="BK142" i="149" s="1"/>
  <c r="BY142" i="148"/>
  <c r="BV142" i="149" s="1"/>
  <c r="BU142" i="148"/>
  <c r="BR142" i="149" s="1"/>
  <c r="CO142" i="148"/>
  <c r="CL142" i="149" s="1"/>
  <c r="CM142" i="148"/>
  <c r="CJ142" i="149" s="1"/>
  <c r="CZ142" i="148"/>
  <c r="CW142" i="149" s="1"/>
  <c r="CF142" i="148"/>
  <c r="CC142" i="149" s="1"/>
  <c r="BS142" i="148"/>
  <c r="BP142" i="149" s="1"/>
  <c r="AW142" i="148"/>
  <c r="AT142" i="149" s="1"/>
  <c r="CV142" i="148"/>
  <c r="CS142" i="149" s="1"/>
  <c r="BG142" i="148"/>
  <c r="BD142" i="149" s="1"/>
  <c r="AX142" i="148"/>
  <c r="AU142" i="149" s="1"/>
  <c r="CE142" i="148"/>
  <c r="CB142" i="149" s="1"/>
  <c r="CH142" i="148"/>
  <c r="CE142" i="149" s="1"/>
  <c r="CU142" i="148"/>
  <c r="CR142" i="149" s="1"/>
  <c r="CQ142" i="148"/>
  <c r="CN142" i="149" s="1"/>
  <c r="AY142" i="148"/>
  <c r="AV142" i="149" s="1"/>
  <c r="CW142" i="148"/>
  <c r="CT142" i="149" s="1"/>
  <c r="CA142" i="148"/>
  <c r="BX142" i="149" s="1"/>
  <c r="BM142" i="148"/>
  <c r="BJ142" i="149" s="1"/>
  <c r="BB142" i="148"/>
  <c r="AY142" i="149" s="1"/>
  <c r="DA142" i="148"/>
  <c r="CX142" i="149" s="1"/>
  <c r="BP142" i="148"/>
  <c r="BM142" i="149" s="1"/>
  <c r="BI142" i="148"/>
  <c r="BF142" i="149" s="1"/>
  <c r="BF142" i="148"/>
  <c r="BC142" i="149" s="1"/>
  <c r="CY142" i="148"/>
  <c r="CV142" i="149" s="1"/>
  <c r="CJ142" i="148"/>
  <c r="CG142" i="149" s="1"/>
  <c r="BA142" i="148"/>
  <c r="AX142" i="149" s="1"/>
  <c r="BO142" i="148"/>
  <c r="BJ142" i="148"/>
  <c r="BG142" i="149" s="1"/>
  <c r="CN142" i="148"/>
  <c r="CK142" i="149" s="1"/>
  <c r="G142" i="148"/>
  <c r="BL142" i="148"/>
  <c r="BI142" i="149" s="1"/>
  <c r="BD142" i="148"/>
  <c r="BA142" i="149" s="1"/>
  <c r="BX142" i="148"/>
  <c r="BU142" i="149" s="1"/>
  <c r="CT142" i="148"/>
  <c r="CQ142" i="149" s="1"/>
  <c r="CS142" i="148"/>
  <c r="CP142" i="149" s="1"/>
  <c r="CG142" i="148"/>
  <c r="CD142" i="149" s="1"/>
  <c r="CB142" i="148"/>
  <c r="BY142" i="149" s="1"/>
  <c r="CX142" i="148"/>
  <c r="CU142" i="149" s="1"/>
  <c r="BC142" i="148"/>
  <c r="AZ142" i="149" s="1"/>
  <c r="BR142" i="148"/>
  <c r="BO142" i="149" s="1"/>
  <c r="BE142" i="148"/>
  <c r="BB142" i="149" s="1"/>
  <c r="AV142" i="148"/>
  <c r="AS142" i="149" s="1"/>
  <c r="BK142" i="148"/>
  <c r="BH142" i="149" s="1"/>
  <c r="CD142" i="148"/>
  <c r="CA142" i="149" s="1"/>
  <c r="AZ142" i="148"/>
  <c r="AW142" i="149" s="1"/>
  <c r="BW142" i="148"/>
  <c r="BT142" i="149" s="1"/>
  <c r="CP142" i="148"/>
  <c r="CM142" i="149" s="1"/>
  <c r="BZ142" i="148"/>
  <c r="BW142" i="149" s="1"/>
  <c r="CK142" i="148"/>
  <c r="CH142" i="149" s="1"/>
  <c r="CI142" i="148"/>
  <c r="CF142" i="149" s="1"/>
  <c r="CR142" i="148"/>
  <c r="CO142" i="149" s="1"/>
  <c r="BH142" i="148"/>
  <c r="BE142" i="149" s="1"/>
  <c r="AS142" i="148"/>
  <c r="AP142" i="149" s="1"/>
  <c r="AE142" i="148"/>
  <c r="AB142" i="149" s="1"/>
  <c r="AI142" i="148"/>
  <c r="AF142" i="149" s="1"/>
  <c r="Y142" i="148"/>
  <c r="V142" i="149" s="1"/>
  <c r="N142" i="148"/>
  <c r="AH142" i="148"/>
  <c r="AE142" i="149" s="1"/>
  <c r="AU142" i="148"/>
  <c r="AR142" i="149" s="1"/>
  <c r="Z142" i="148"/>
  <c r="W142" i="149" s="1"/>
  <c r="AL142" i="148"/>
  <c r="AI142" i="149" s="1"/>
  <c r="AM142" i="148"/>
  <c r="AJ142" i="149" s="1"/>
  <c r="U142" i="148"/>
  <c r="L142" i="148"/>
  <c r="AB142" i="148"/>
  <c r="Y142" i="149" s="1"/>
  <c r="AF142" i="148"/>
  <c r="AC142" i="149" s="1"/>
  <c r="AG142" i="148"/>
  <c r="AD142" i="149" s="1"/>
  <c r="X142" i="148"/>
  <c r="U142" i="149" s="1"/>
  <c r="AC142" i="148"/>
  <c r="Z142" i="149" s="1"/>
  <c r="K142" i="148"/>
  <c r="AN142" i="148"/>
  <c r="AK142" i="149" s="1"/>
  <c r="AA142" i="148"/>
  <c r="X142" i="149" s="1"/>
  <c r="AD142" i="148"/>
  <c r="AA142" i="149" s="1"/>
  <c r="AT142" i="148"/>
  <c r="AQ142" i="149" s="1"/>
  <c r="J142" i="148"/>
  <c r="AP142" i="148"/>
  <c r="AM142" i="149" s="1"/>
  <c r="AO142" i="148"/>
  <c r="AL142" i="149" s="1"/>
  <c r="O142" i="148"/>
  <c r="AK142" i="148"/>
  <c r="AH142" i="149" s="1"/>
  <c r="AJ142" i="148"/>
  <c r="AG142" i="149" s="1"/>
  <c r="P142" i="148"/>
  <c r="AR142" i="148"/>
  <c r="AO142" i="149" s="1"/>
  <c r="W142" i="148"/>
  <c r="AQ142" i="148"/>
  <c r="AN142" i="149" s="1"/>
  <c r="M142" i="148"/>
  <c r="L5" i="135"/>
  <c r="Z5" i="135"/>
  <c r="AF5" i="135"/>
  <c r="AH5" i="135"/>
  <c r="AJ5" i="135"/>
  <c r="AE5" i="135"/>
  <c r="V5" i="135"/>
  <c r="Y5" i="135"/>
  <c r="K5" i="135"/>
  <c r="O5" i="135"/>
  <c r="AG5" i="135"/>
  <c r="T5" i="135"/>
  <c r="AA5" i="135"/>
  <c r="Q5" i="135"/>
  <c r="AD5" i="135"/>
  <c r="J5" i="135"/>
  <c r="I5" i="135"/>
  <c r="P5" i="135"/>
  <c r="U5" i="135"/>
  <c r="P7" i="135"/>
  <c r="O7" i="135"/>
  <c r="AJ7" i="135"/>
  <c r="AF7" i="135"/>
  <c r="AE7" i="135"/>
  <c r="K7" i="135"/>
  <c r="Q7" i="135"/>
  <c r="AA7" i="135"/>
  <c r="AH7" i="135"/>
  <c r="Y7" i="135"/>
  <c r="T7" i="135"/>
  <c r="L7" i="135"/>
  <c r="U7" i="135"/>
  <c r="V7" i="135"/>
  <c r="I7" i="135"/>
  <c r="J7" i="135"/>
  <c r="AG7" i="135"/>
  <c r="Z7" i="135"/>
  <c r="AD7" i="135"/>
  <c r="S7" i="135"/>
  <c r="AM8" i="101"/>
  <c r="AN8" i="101" s="1"/>
  <c r="T5" i="154"/>
  <c r="J5" i="154"/>
  <c r="I5" i="154"/>
  <c r="AC5" i="154"/>
  <c r="L5" i="154"/>
  <c r="U5" i="154"/>
  <c r="M5" i="154"/>
  <c r="AF5" i="154"/>
  <c r="S5" i="154"/>
  <c r="AI5" i="154"/>
  <c r="W5" i="154"/>
  <c r="Z5" i="154"/>
  <c r="AE5" i="154"/>
  <c r="V5" i="154"/>
  <c r="Q5" i="154"/>
  <c r="F5" i="154"/>
  <c r="P5" i="154"/>
  <c r="AD5" i="154"/>
  <c r="N5" i="154"/>
  <c r="Y5" i="154"/>
  <c r="K5" i="154"/>
  <c r="H5" i="154"/>
  <c r="AH5" i="154"/>
  <c r="O5" i="154"/>
  <c r="AB5" i="154"/>
  <c r="AA5" i="154"/>
  <c r="G5" i="154"/>
  <c r="X5" i="154"/>
  <c r="AG5" i="154"/>
  <c r="R5" i="154"/>
  <c r="V6" i="135"/>
  <c r="P6" i="135"/>
  <c r="Q6" i="135"/>
  <c r="AH6" i="135"/>
  <c r="Z6" i="135"/>
  <c r="AE6" i="135"/>
  <c r="AF6" i="135"/>
  <c r="AG6" i="135"/>
  <c r="AA6" i="135"/>
  <c r="J6" i="135"/>
  <c r="I6" i="135"/>
  <c r="Y6" i="135"/>
  <c r="O6" i="135"/>
  <c r="K6" i="135"/>
  <c r="AD6" i="135"/>
  <c r="T6" i="135"/>
  <c r="AJ6" i="135"/>
  <c r="L6" i="135"/>
  <c r="U6" i="135"/>
  <c r="Q6" i="154"/>
  <c r="U6" i="154"/>
  <c r="M6" i="154"/>
  <c r="AA6" i="154"/>
  <c r="I6" i="154"/>
  <c r="AI6" i="154"/>
  <c r="AF6" i="154"/>
  <c r="N6" i="154"/>
  <c r="F6" i="154"/>
  <c r="V6" i="154"/>
  <c r="K6" i="154"/>
  <c r="AE6" i="154"/>
  <c r="S6" i="154"/>
  <c r="Y6" i="154"/>
  <c r="L6" i="154"/>
  <c r="W6" i="154"/>
  <c r="AC6" i="154"/>
  <c r="Z6" i="154"/>
  <c r="AB6" i="154"/>
  <c r="P6" i="154"/>
  <c r="T6" i="154"/>
  <c r="H6" i="154"/>
  <c r="AD6" i="154"/>
  <c r="AG6" i="154"/>
  <c r="X6" i="154"/>
  <c r="J6" i="154"/>
  <c r="AH6" i="154"/>
  <c r="G6" i="154"/>
  <c r="O6" i="154"/>
  <c r="S5" i="135"/>
  <c r="G4" i="154"/>
  <c r="AB4" i="154"/>
  <c r="Y4" i="154"/>
  <c r="K4" i="154"/>
  <c r="L4" i="154"/>
  <c r="F4" i="154"/>
  <c r="X4" i="154"/>
  <c r="Z4" i="154"/>
  <c r="AI4" i="154"/>
  <c r="J4" i="154"/>
  <c r="O4" i="154"/>
  <c r="W4" i="154"/>
  <c r="N4" i="154"/>
  <c r="P4" i="154"/>
  <c r="AF4" i="154"/>
  <c r="H4" i="154"/>
  <c r="S4" i="154"/>
  <c r="AC4" i="154"/>
  <c r="U4" i="154"/>
  <c r="Q4" i="154"/>
  <c r="AE4" i="154"/>
  <c r="M4" i="154"/>
  <c r="AA4" i="154"/>
  <c r="V4" i="154"/>
  <c r="AG4" i="154"/>
  <c r="AH4" i="154"/>
  <c r="I4" i="154"/>
  <c r="AD4" i="154"/>
  <c r="T4" i="154"/>
  <c r="AP7" i="134"/>
  <c r="H7" i="134"/>
  <c r="F7" i="134"/>
  <c r="O8" i="134"/>
  <c r="AM8" i="134"/>
  <c r="I7" i="134"/>
  <c r="AN8" i="134"/>
  <c r="O7" i="134"/>
  <c r="X7" i="134"/>
  <c r="P7" i="134"/>
  <c r="AJ7" i="134"/>
  <c r="U7" i="134"/>
  <c r="Y7" i="134"/>
  <c r="V7" i="134"/>
  <c r="R7" i="134"/>
  <c r="AL8" i="134"/>
  <c r="AH7" i="134"/>
  <c r="AG8" i="134"/>
  <c r="R8" i="134"/>
  <c r="AH8" i="134"/>
  <c r="P8" i="134"/>
  <c r="AK7" i="134"/>
  <c r="AG7" i="134"/>
  <c r="J8" i="134"/>
  <c r="G8" i="134"/>
  <c r="AL7" i="134"/>
  <c r="S7" i="134"/>
  <c r="I8" i="134"/>
  <c r="L7" i="134"/>
  <c r="AP8" i="134"/>
  <c r="J7" i="134"/>
  <c r="AO8" i="134"/>
  <c r="H8" i="134"/>
  <c r="N8" i="134"/>
  <c r="W8" i="134"/>
  <c r="AJ8" i="134"/>
  <c r="M7" i="134"/>
  <c r="F8" i="134"/>
  <c r="G7" i="134"/>
  <c r="AO7" i="134"/>
  <c r="S8" i="134"/>
  <c r="AF8" i="134"/>
  <c r="AK8" i="134"/>
  <c r="Q7" i="134"/>
  <c r="AM7" i="134"/>
  <c r="W7" i="134"/>
  <c r="V8" i="134"/>
  <c r="Q8" i="134"/>
  <c r="AI8" i="134"/>
  <c r="Y8" i="134"/>
  <c r="X8" i="134"/>
  <c r="AF7" i="134"/>
  <c r="AI7" i="134"/>
  <c r="U8" i="134"/>
  <c r="K8" i="134"/>
  <c r="K7" i="134"/>
  <c r="M8" i="134"/>
  <c r="L8" i="134"/>
  <c r="AN7" i="134"/>
  <c r="N7" i="134"/>
  <c r="AC7" i="154"/>
  <c r="AF7" i="154"/>
  <c r="AG7" i="154"/>
  <c r="V7" i="154"/>
  <c r="S7" i="154"/>
  <c r="Q7" i="154"/>
  <c r="J7" i="154"/>
  <c r="P7" i="154"/>
  <c r="F7" i="154"/>
  <c r="W7" i="154"/>
  <c r="K7" i="154"/>
  <c r="AA7" i="154"/>
  <c r="H7" i="154"/>
  <c r="I7" i="154"/>
  <c r="AB7" i="154"/>
  <c r="U7" i="154"/>
  <c r="AI7" i="154"/>
  <c r="G7" i="154"/>
  <c r="O7" i="154"/>
  <c r="X7" i="154"/>
  <c r="Z7" i="154"/>
  <c r="L7" i="154"/>
  <c r="Y7" i="154"/>
  <c r="M7" i="154"/>
  <c r="N7" i="154"/>
  <c r="AE7" i="154"/>
  <c r="AD7" i="154"/>
  <c r="AH7" i="154"/>
  <c r="T7" i="154"/>
  <c r="D112" i="143" l="1"/>
  <c r="W112" i="143"/>
  <c r="D110" i="143"/>
  <c r="W110" i="143"/>
  <c r="W111" i="143"/>
  <c r="D111" i="143"/>
  <c r="W109" i="143"/>
  <c r="D109" i="143"/>
  <c r="U8" i="154"/>
  <c r="AF8" i="154"/>
  <c r="V8" i="154"/>
  <c r="AD8" i="154"/>
  <c r="Q8" i="154"/>
  <c r="Y8" i="154"/>
  <c r="AA8" i="154"/>
  <c r="O8" i="154"/>
  <c r="AH8" i="154"/>
  <c r="F8" i="154"/>
  <c r="X8" i="154"/>
  <c r="AG8" i="154"/>
  <c r="N8" i="154"/>
  <c r="I8" i="154"/>
  <c r="S8" i="154"/>
  <c r="G8" i="154"/>
  <c r="J8" i="154"/>
  <c r="AC8" i="154"/>
  <c r="W8" i="154"/>
  <c r="AB8" i="154"/>
  <c r="P8" i="154"/>
  <c r="L8" i="154"/>
  <c r="E10" i="154"/>
  <c r="R10" i="154" s="1"/>
  <c r="Z8" i="154"/>
  <c r="AI8" i="154"/>
  <c r="M8" i="154"/>
  <c r="H8" i="154"/>
  <c r="R8" i="154"/>
  <c r="AE8" i="154"/>
  <c r="K8" i="154"/>
  <c r="AI5" i="135"/>
  <c r="AB5" i="135"/>
  <c r="AC5" i="135" s="1"/>
  <c r="AI6" i="135"/>
  <c r="AB7" i="135"/>
  <c r="AC7" i="135" s="1"/>
  <c r="AB6" i="135"/>
  <c r="AC6" i="135" s="1"/>
  <c r="AI7" i="135"/>
  <c r="W5" i="135"/>
  <c r="X5" i="135" s="1"/>
  <c r="W6" i="135"/>
  <c r="X6" i="135" s="1"/>
  <c r="R7" i="135"/>
  <c r="N6" i="135"/>
  <c r="N5" i="135"/>
  <c r="M5" i="135"/>
  <c r="W7" i="135"/>
  <c r="X7" i="135" s="1"/>
  <c r="R5" i="135"/>
  <c r="R6" i="135"/>
  <c r="M6" i="135"/>
  <c r="M7" i="135"/>
  <c r="N7" i="135"/>
  <c r="Q4" i="135"/>
  <c r="AG4" i="135"/>
  <c r="AH4" i="135"/>
  <c r="AD4" i="135"/>
  <c r="Z4" i="135"/>
  <c r="T4" i="135"/>
  <c r="J4" i="135"/>
  <c r="S4" i="135"/>
  <c r="AF4" i="135"/>
  <c r="V4" i="135"/>
  <c r="AJ4" i="135"/>
  <c r="AA4" i="135"/>
  <c r="O4" i="135"/>
  <c r="L4" i="135"/>
  <c r="Y4" i="135"/>
  <c r="AE4" i="135"/>
  <c r="U4" i="135"/>
  <c r="P4" i="135"/>
  <c r="K4" i="135"/>
  <c r="S5" i="139"/>
  <c r="T6" i="139"/>
  <c r="M6" i="139"/>
  <c r="Q4" i="139"/>
  <c r="S6" i="139"/>
  <c r="I7" i="139"/>
  <c r="Y6" i="139"/>
  <c r="J9" i="139"/>
  <c r="AF6" i="139"/>
  <c r="AI6" i="139"/>
  <c r="AB4" i="139"/>
  <c r="L4" i="139"/>
  <c r="J6" i="139"/>
  <c r="K6" i="139"/>
  <c r="H5" i="139"/>
  <c r="AC6" i="139"/>
  <c r="AI7" i="139"/>
  <c r="AE5" i="139"/>
  <c r="L6" i="139"/>
  <c r="K5" i="139"/>
  <c r="M9" i="139"/>
  <c r="K4" i="139"/>
  <c r="G6" i="139"/>
  <c r="H6" i="139"/>
  <c r="AJ7" i="139"/>
  <c r="W4" i="139"/>
  <c r="S9" i="139"/>
  <c r="AG7" i="139"/>
  <c r="G9" i="139"/>
  <c r="L5" i="139"/>
  <c r="AH9" i="139"/>
  <c r="P7" i="139"/>
  <c r="O5" i="139"/>
  <c r="AE4" i="139"/>
  <c r="H7" i="139"/>
  <c r="AK6" i="139"/>
  <c r="AK7" i="139"/>
  <c r="Y4" i="139"/>
  <c r="O4" i="139"/>
  <c r="F6" i="139"/>
  <c r="Q9" i="139"/>
  <c r="AG9" i="139"/>
  <c r="N4" i="139"/>
  <c r="AD6" i="139"/>
  <c r="AI9" i="139"/>
  <c r="V5" i="139"/>
  <c r="AB5" i="139"/>
  <c r="V7" i="139"/>
  <c r="AH7" i="139"/>
  <c r="U9" i="139"/>
  <c r="AH5" i="139"/>
  <c r="P5" i="139"/>
  <c r="G5" i="139"/>
  <c r="U4" i="139"/>
  <c r="Y9" i="139"/>
  <c r="I6" i="139"/>
  <c r="Y5" i="139"/>
  <c r="W9" i="139"/>
  <c r="S4" i="139"/>
  <c r="AB9" i="139"/>
  <c r="AF9" i="139"/>
  <c r="V9" i="139"/>
  <c r="AG4" i="139"/>
  <c r="AH4" i="139"/>
  <c r="AC9" i="139"/>
  <c r="H4" i="139"/>
  <c r="I4" i="139"/>
  <c r="AG6" i="139"/>
  <c r="I5" i="139"/>
  <c r="T9" i="139"/>
  <c r="F5" i="139"/>
  <c r="O9" i="139"/>
  <c r="AC5" i="139"/>
  <c r="AD5" i="139"/>
  <c r="AE9" i="139"/>
  <c r="M7" i="139"/>
  <c r="T5" i="139"/>
  <c r="N6" i="139"/>
  <c r="V6" i="139"/>
  <c r="AD7" i="139"/>
  <c r="V4" i="139"/>
  <c r="AE6" i="139"/>
  <c r="M4" i="139"/>
  <c r="O6" i="139"/>
  <c r="L9" i="139"/>
  <c r="AF4" i="139"/>
  <c r="Q6" i="139"/>
  <c r="Q5" i="139"/>
  <c r="AE7" i="139"/>
  <c r="K7" i="139"/>
  <c r="P9" i="139"/>
  <c r="AJ4" i="139"/>
  <c r="N7" i="139"/>
  <c r="AF7" i="139"/>
  <c r="AC4" i="139"/>
  <c r="F4" i="139"/>
  <c r="H9" i="139"/>
  <c r="AC7" i="139"/>
  <c r="U6" i="139"/>
  <c r="F7" i="139"/>
  <c r="AD4" i="139"/>
  <c r="AK5" i="139"/>
  <c r="J7" i="139"/>
  <c r="T7" i="139"/>
  <c r="P4" i="139"/>
  <c r="I9" i="139"/>
  <c r="AF5" i="139"/>
  <c r="J5" i="139"/>
  <c r="AJ5" i="139"/>
  <c r="AG5" i="139"/>
  <c r="T4" i="139"/>
  <c r="Q7" i="139"/>
  <c r="AB6" i="139"/>
  <c r="W6" i="139"/>
  <c r="AB7" i="139"/>
  <c r="W7" i="139"/>
  <c r="AH6" i="139"/>
  <c r="G7" i="139"/>
  <c r="G4" i="139"/>
  <c r="N9" i="139"/>
  <c r="AJ6" i="139"/>
  <c r="N5" i="139"/>
  <c r="S7" i="139"/>
  <c r="U5" i="139"/>
  <c r="AI5" i="139"/>
  <c r="L7" i="139"/>
  <c r="O7" i="139"/>
  <c r="K9" i="139"/>
  <c r="U7" i="139"/>
  <c r="Y7" i="139"/>
  <c r="P6" i="139"/>
  <c r="AD9" i="139"/>
  <c r="M5" i="139"/>
  <c r="J4" i="139"/>
  <c r="AK4" i="139"/>
  <c r="AI4" i="139"/>
  <c r="W5" i="139"/>
  <c r="D144" i="148"/>
  <c r="D142" i="148"/>
  <c r="D143" i="148"/>
  <c r="D145" i="148"/>
  <c r="AB4" i="135" l="1"/>
  <c r="AC4" i="135" s="1"/>
  <c r="AI4" i="135"/>
  <c r="M4" i="135"/>
  <c r="W4" i="135"/>
  <c r="X4" i="135" s="1"/>
  <c r="R4" i="135"/>
  <c r="N4" i="135"/>
  <c r="AL5" i="139"/>
  <c r="AL7" i="139"/>
  <c r="AL6" i="139"/>
  <c r="AL9" i="139"/>
  <c r="AL4" i="139"/>
  <c r="AB8" i="139"/>
  <c r="P8" i="139"/>
  <c r="N8" i="139"/>
  <c r="AF8" i="139"/>
  <c r="S8" i="139"/>
  <c r="AE8" i="139"/>
  <c r="AC8" i="139"/>
  <c r="J8" i="139"/>
  <c r="AK8" i="139"/>
  <c r="V8" i="139"/>
  <c r="T8" i="139"/>
  <c r="AD8" i="139"/>
  <c r="AH8" i="139"/>
  <c r="Y8" i="139"/>
  <c r="AG8" i="139"/>
  <c r="AI8" i="139"/>
  <c r="AJ8" i="139"/>
  <c r="U8" i="139"/>
  <c r="F8" i="139"/>
  <c r="Q8" i="139"/>
  <c r="I8" i="139"/>
  <c r="L8" i="139"/>
  <c r="K8" i="139"/>
  <c r="O8" i="139"/>
  <c r="G8" i="139"/>
  <c r="H8" i="139"/>
  <c r="M8" i="139"/>
  <c r="W8" i="139"/>
  <c r="F9" i="139"/>
  <c r="U8" i="135"/>
  <c r="AE8" i="135"/>
  <c r="J8" i="135"/>
  <c r="O8" i="135"/>
  <c r="S8" i="135"/>
  <c r="Q8" i="135"/>
  <c r="AJ8" i="135"/>
  <c r="K8" i="135"/>
  <c r="AA8" i="135"/>
  <c r="F10" i="135"/>
  <c r="AD8" i="135"/>
  <c r="Z8" i="135"/>
  <c r="AH8" i="135"/>
  <c r="Y8" i="135"/>
  <c r="AG8" i="135"/>
  <c r="AF8" i="135"/>
  <c r="L8" i="135"/>
  <c r="P8" i="135"/>
  <c r="T8" i="135"/>
  <c r="V8" i="135"/>
  <c r="Q9" i="135"/>
  <c r="AD9" i="135"/>
  <c r="AE9" i="135"/>
  <c r="AJ9" i="135"/>
  <c r="S9" i="135"/>
  <c r="AH9" i="135"/>
  <c r="AG9" i="135"/>
  <c r="J9" i="135"/>
  <c r="AA9" i="135"/>
  <c r="P9" i="135"/>
  <c r="O9" i="135"/>
  <c r="K9" i="135"/>
  <c r="V9" i="135"/>
  <c r="U9" i="135"/>
  <c r="AF9" i="135"/>
  <c r="Z9" i="135"/>
  <c r="T9" i="135"/>
  <c r="Y9" i="135"/>
  <c r="L9" i="135"/>
  <c r="AI9" i="135" l="1"/>
  <c r="AI8" i="135"/>
  <c r="AB9" i="135"/>
  <c r="AC9" i="135" s="1"/>
  <c r="W8" i="135"/>
  <c r="X8" i="135" s="1"/>
  <c r="AB8" i="135"/>
  <c r="AC8" i="135" s="1"/>
  <c r="W9" i="135"/>
  <c r="X9" i="135" s="1"/>
  <c r="H10" i="135"/>
  <c r="G10" i="135"/>
  <c r="M9" i="135"/>
  <c r="R8" i="135"/>
  <c r="R9" i="135"/>
  <c r="N9" i="135"/>
  <c r="N8" i="135"/>
  <c r="L10" i="135"/>
  <c r="I10" i="135"/>
  <c r="K10" i="135"/>
  <c r="J10" i="135"/>
  <c r="M8" i="135"/>
  <c r="Z10" i="135"/>
  <c r="U10" i="135"/>
  <c r="AH10" i="135"/>
  <c r="Y10" i="135"/>
  <c r="AG10" i="135"/>
  <c r="AA10" i="135"/>
  <c r="AF10" i="135"/>
  <c r="AD10" i="135"/>
  <c r="T10" i="135"/>
  <c r="S10" i="135"/>
  <c r="S1" i="101" s="1"/>
  <c r="AE10" i="135"/>
  <c r="V10" i="135"/>
  <c r="AJ10" i="135"/>
  <c r="AL8" i="139"/>
  <c r="F10" i="139"/>
  <c r="X10" i="139" l="1"/>
  <c r="AA10" i="139"/>
  <c r="W10" i="135"/>
  <c r="X10" i="135" s="1"/>
  <c r="AI10" i="135"/>
  <c r="AB10" i="135"/>
  <c r="AC10" i="135" s="1"/>
  <c r="M10" i="135"/>
  <c r="N10" i="135"/>
  <c r="O10" i="135"/>
  <c r="P10" i="135"/>
  <c r="Q10" i="135"/>
  <c r="J10" i="139"/>
  <c r="Q10" i="139"/>
  <c r="G10" i="139"/>
  <c r="K10" i="139"/>
  <c r="P10" i="139"/>
  <c r="M10" i="139"/>
  <c r="AF10" i="139"/>
  <c r="V10" i="139"/>
  <c r="AK10" i="139"/>
  <c r="AJ10" i="139"/>
  <c r="H10" i="139"/>
  <c r="O10" i="139"/>
  <c r="AI10" i="139"/>
  <c r="S10" i="139"/>
  <c r="W10" i="139"/>
  <c r="Y10" i="139"/>
  <c r="AG10" i="139"/>
  <c r="N10" i="139"/>
  <c r="AC10" i="139"/>
  <c r="T10" i="139"/>
  <c r="I10" i="139"/>
  <c r="AD10" i="139"/>
  <c r="U10" i="139"/>
  <c r="AB10" i="139"/>
  <c r="AH10" i="139"/>
  <c r="AE10" i="139"/>
  <c r="L10" i="139"/>
  <c r="R10" i="135" l="1"/>
  <c r="AL10" i="139"/>
  <c r="AT8" i="101" l="1"/>
  <c r="AU7" i="101" l="1"/>
  <c r="D26" i="154"/>
</calcChain>
</file>

<file path=xl/comments1.xml><?xml version="1.0" encoding="utf-8"?>
<comments xmlns="http://schemas.openxmlformats.org/spreadsheetml/2006/main">
  <authors>
    <author>DK</author>
  </authors>
  <commentList>
    <comment ref="C2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고장내용이 전기 E, 기계 M, 조업 S, 품질 Q, 기타 K로 표기요망
</t>
        </r>
      </text>
    </comment>
  </commentList>
</comments>
</file>

<file path=xl/sharedStrings.xml><?xml version="1.0" encoding="utf-8"?>
<sst xmlns="http://schemas.openxmlformats.org/spreadsheetml/2006/main" count="3951" uniqueCount="1064">
  <si>
    <t>Tap to Tap</t>
    <phoneticPr fontId="5" type="noConversion"/>
  </si>
  <si>
    <t>ton/hr</t>
    <phoneticPr fontId="5" type="noConversion"/>
  </si>
  <si>
    <t>반</t>
    <phoneticPr fontId="9" type="noConversion"/>
  </si>
  <si>
    <t>T.T.T</t>
    <phoneticPr fontId="9" type="noConversion"/>
  </si>
  <si>
    <t>고장제외</t>
    <phoneticPr fontId="9" type="noConversion"/>
  </si>
  <si>
    <t>제외</t>
    <phoneticPr fontId="5" type="noConversion"/>
  </si>
  <si>
    <t>고장</t>
    <phoneticPr fontId="5" type="noConversion"/>
  </si>
  <si>
    <t>계</t>
    <phoneticPr fontId="5" type="noConversion"/>
  </si>
  <si>
    <t>예정</t>
    <phoneticPr fontId="5" type="noConversion"/>
  </si>
  <si>
    <t>A</t>
    <phoneticPr fontId="5" type="noConversion"/>
  </si>
  <si>
    <t>C</t>
    <phoneticPr fontId="5" type="noConversion"/>
  </si>
  <si>
    <t>B</t>
    <phoneticPr fontId="9" type="noConversion"/>
  </si>
  <si>
    <t>반</t>
    <phoneticPr fontId="5" type="noConversion"/>
  </si>
  <si>
    <t>로</t>
    <phoneticPr fontId="5" type="noConversion"/>
  </si>
  <si>
    <t>H-NO.</t>
    <phoneticPr fontId="5" type="noConversion"/>
  </si>
  <si>
    <t>고장 시간</t>
    <phoneticPr fontId="5" type="noConversion"/>
  </si>
  <si>
    <t>구  분</t>
    <phoneticPr fontId="5" type="noConversion"/>
  </si>
  <si>
    <t xml:space="preserve">  LF
Fe-Si</t>
    <phoneticPr fontId="9" type="noConversion"/>
  </si>
  <si>
    <t>산소</t>
    <phoneticPr fontId="5" type="noConversion"/>
  </si>
  <si>
    <t>Event</t>
    <phoneticPr fontId="5" type="noConversion"/>
  </si>
  <si>
    <t>개시</t>
    <phoneticPr fontId="5" type="noConversion"/>
  </si>
  <si>
    <t>종료</t>
    <phoneticPr fontId="5" type="noConversion"/>
  </si>
  <si>
    <t>도착온도</t>
    <phoneticPr fontId="9" type="noConversion"/>
  </si>
  <si>
    <t>PPM</t>
    <phoneticPr fontId="5" type="noConversion"/>
  </si>
  <si>
    <t>반</t>
  </si>
  <si>
    <t>A</t>
  </si>
  <si>
    <t>B</t>
  </si>
  <si>
    <t>C</t>
  </si>
  <si>
    <t>A爐</t>
  </si>
  <si>
    <t>B爐</t>
  </si>
  <si>
    <t>월  일</t>
    <phoneticPr fontId="5" type="noConversion"/>
  </si>
  <si>
    <t>일</t>
    <phoneticPr fontId="5" type="noConversion"/>
  </si>
  <si>
    <t>월</t>
    <phoneticPr fontId="5" type="noConversion"/>
  </si>
  <si>
    <t>평균</t>
    <phoneticPr fontId="52" type="noConversion"/>
  </si>
  <si>
    <t>A반</t>
  </si>
  <si>
    <t>B반</t>
  </si>
  <si>
    <t>C반</t>
  </si>
  <si>
    <t>D반</t>
  </si>
  <si>
    <t>H/No.</t>
    <phoneticPr fontId="50" type="noConversion"/>
  </si>
  <si>
    <t>로</t>
    <phoneticPr fontId="53" type="noConversion"/>
  </si>
  <si>
    <t>강종</t>
    <phoneticPr fontId="53" type="noConversion"/>
  </si>
  <si>
    <t>LF1</t>
    <phoneticPr fontId="50" type="noConversion"/>
  </si>
  <si>
    <t>M1</t>
    <phoneticPr fontId="50" type="noConversion"/>
  </si>
  <si>
    <t>M2</t>
  </si>
  <si>
    <t>Tapping</t>
    <phoneticPr fontId="50" type="noConversion"/>
  </si>
  <si>
    <t>Cokes</t>
  </si>
  <si>
    <t>회수율</t>
    <phoneticPr fontId="50" type="noConversion"/>
  </si>
  <si>
    <t>출강량</t>
    <phoneticPr fontId="53" type="noConversion"/>
  </si>
  <si>
    <t>C</t>
    <phoneticPr fontId="50" type="noConversion"/>
  </si>
  <si>
    <t>Si</t>
    <phoneticPr fontId="50" type="noConversion"/>
  </si>
  <si>
    <t>Mn</t>
    <phoneticPr fontId="50" type="noConversion"/>
  </si>
  <si>
    <t>P</t>
    <phoneticPr fontId="50" type="noConversion"/>
  </si>
  <si>
    <t>S</t>
    <phoneticPr fontId="50" type="noConversion"/>
  </si>
  <si>
    <t>Cu</t>
    <phoneticPr fontId="50" type="noConversion"/>
  </si>
  <si>
    <t>Sn</t>
    <phoneticPr fontId="50" type="noConversion"/>
  </si>
  <si>
    <t>소괴탄</t>
  </si>
  <si>
    <t>CaO</t>
    <phoneticPr fontId="50" type="noConversion"/>
  </si>
  <si>
    <t>LBD</t>
    <phoneticPr fontId="50" type="noConversion"/>
  </si>
  <si>
    <t>AL35</t>
    <phoneticPr fontId="53" type="noConversion"/>
  </si>
  <si>
    <t>FC-Ball</t>
    <phoneticPr fontId="53" type="noConversion"/>
  </si>
  <si>
    <t>소괴탄</t>
    <phoneticPr fontId="50" type="noConversion"/>
  </si>
  <si>
    <t>CaO</t>
    <phoneticPr fontId="53" type="noConversion"/>
  </si>
  <si>
    <t>Mn-B</t>
    <phoneticPr fontId="53" type="noConversion"/>
  </si>
  <si>
    <t>AL65</t>
    <phoneticPr fontId="53" type="noConversion"/>
  </si>
  <si>
    <t>Si-Mn</t>
  </si>
  <si>
    <t>Fe-Si</t>
  </si>
  <si>
    <t>AL90</t>
    <phoneticPr fontId="53" type="noConversion"/>
  </si>
  <si>
    <t>Si-Ball</t>
    <phoneticPr fontId="53" type="noConversion"/>
  </si>
  <si>
    <t>반</t>
    <phoneticPr fontId="53" type="noConversion"/>
  </si>
  <si>
    <t>Heat</t>
    <phoneticPr fontId="53" type="noConversion"/>
  </si>
  <si>
    <t>M1</t>
  </si>
  <si>
    <t>R</t>
  </si>
  <si>
    <t>계</t>
  </si>
  <si>
    <t>원단위</t>
  </si>
  <si>
    <t>출강량</t>
    <phoneticPr fontId="53" type="noConversion"/>
  </si>
  <si>
    <r>
      <t xml:space="preserve">Lanma </t>
    </r>
    <r>
      <rPr>
        <b/>
        <sz val="10"/>
        <rFont val="신문바탕체"/>
        <family val="3"/>
        <charset val="129"/>
      </rPr>
      <t>산소</t>
    </r>
  </si>
  <si>
    <r>
      <t xml:space="preserve">VLB </t>
    </r>
    <r>
      <rPr>
        <b/>
        <sz val="10"/>
        <rFont val="신문바탕체"/>
        <family val="3"/>
        <charset val="129"/>
      </rPr>
      <t>및</t>
    </r>
    <r>
      <rPr>
        <b/>
        <sz val="10"/>
        <rFont val="Arial"/>
        <family val="2"/>
      </rPr>
      <t xml:space="preserve"> Burner </t>
    </r>
    <r>
      <rPr>
        <b/>
        <sz val="10"/>
        <rFont val="신문바탕체"/>
        <family val="3"/>
        <charset val="129"/>
      </rPr>
      <t>산소</t>
    </r>
    <phoneticPr fontId="59" type="noConversion"/>
  </si>
  <si>
    <t>산소계</t>
    <phoneticPr fontId="53" type="noConversion"/>
  </si>
  <si>
    <r>
      <t xml:space="preserve">VLB </t>
    </r>
    <r>
      <rPr>
        <b/>
        <sz val="10"/>
        <rFont val="신문바탕체"/>
        <family val="3"/>
        <charset val="129"/>
      </rPr>
      <t>및</t>
    </r>
    <r>
      <rPr>
        <b/>
        <sz val="10"/>
        <rFont val="Arial"/>
        <family val="2"/>
      </rPr>
      <t xml:space="preserve"> Burner </t>
    </r>
    <r>
      <rPr>
        <b/>
        <sz val="10"/>
        <rFont val="신문바탕체"/>
        <family val="3"/>
        <charset val="129"/>
      </rPr>
      <t>연료</t>
    </r>
    <phoneticPr fontId="59" type="noConversion"/>
  </si>
  <si>
    <t>시간</t>
  </si>
  <si>
    <t>전력</t>
  </si>
  <si>
    <t>사용량</t>
  </si>
  <si>
    <t>D</t>
    <phoneticPr fontId="53" type="noConversion"/>
  </si>
  <si>
    <r>
      <t>A</t>
    </r>
    <r>
      <rPr>
        <b/>
        <sz val="8"/>
        <rFont val="돋움"/>
        <family val="3"/>
        <charset val="129"/>
      </rPr>
      <t>로평균</t>
    </r>
    <phoneticPr fontId="53" type="noConversion"/>
  </si>
  <si>
    <r>
      <t>B</t>
    </r>
    <r>
      <rPr>
        <b/>
        <sz val="8"/>
        <rFont val="돋움"/>
        <family val="3"/>
        <charset val="129"/>
      </rPr>
      <t>로평균</t>
    </r>
    <phoneticPr fontId="53" type="noConversion"/>
  </si>
  <si>
    <t>Total Average</t>
    <phoneticPr fontId="53" type="noConversion"/>
  </si>
  <si>
    <t xml:space="preserve">반 </t>
    <phoneticPr fontId="53" type="noConversion"/>
  </si>
  <si>
    <t>Heat No</t>
  </si>
  <si>
    <t>강 종</t>
    <phoneticPr fontId="53" type="noConversion"/>
  </si>
  <si>
    <t>산소계</t>
    <phoneticPr fontId="53" type="noConversion"/>
  </si>
  <si>
    <t>사용량</t>
    <phoneticPr fontId="53" type="noConversion"/>
  </si>
  <si>
    <t>원단위</t>
    <phoneticPr fontId="53" type="noConversion"/>
  </si>
  <si>
    <t>반</t>
    <phoneticPr fontId="5" type="noConversion"/>
  </si>
  <si>
    <t>C</t>
    <phoneticPr fontId="5" type="noConversion"/>
  </si>
  <si>
    <t>D</t>
    <phoneticPr fontId="5" type="noConversion"/>
  </si>
  <si>
    <t>월 누계</t>
    <phoneticPr fontId="5" type="noConversion"/>
  </si>
  <si>
    <t>Ch수</t>
    <phoneticPr fontId="5" type="noConversion"/>
  </si>
  <si>
    <t>고장시간</t>
    <phoneticPr fontId="5" type="noConversion"/>
  </si>
  <si>
    <t>로</t>
    <phoneticPr fontId="5" type="noConversion"/>
  </si>
  <si>
    <t>A</t>
    <phoneticPr fontId="5" type="noConversion"/>
  </si>
  <si>
    <t>B</t>
    <phoneticPr fontId="5" type="noConversion"/>
  </si>
  <si>
    <t>HEAT수</t>
    <phoneticPr fontId="5" type="noConversion"/>
  </si>
  <si>
    <t>강  종</t>
    <phoneticPr fontId="5" type="noConversion"/>
  </si>
  <si>
    <t>월  일</t>
    <phoneticPr fontId="5" type="noConversion"/>
  </si>
  <si>
    <t>반</t>
    <phoneticPr fontId="5" type="noConversion"/>
  </si>
  <si>
    <t>구분</t>
    <phoneticPr fontId="5" type="noConversion"/>
  </si>
  <si>
    <t xml:space="preserve">시 간 </t>
    <phoneticPr fontId="5" type="noConversion"/>
  </si>
  <si>
    <t>내      용</t>
    <phoneticPr fontId="5" type="noConversion"/>
  </si>
  <si>
    <t>인수확인</t>
    <phoneticPr fontId="5" type="noConversion"/>
  </si>
  <si>
    <t>조치여부</t>
    <phoneticPr fontId="5" type="noConversion"/>
  </si>
  <si>
    <t>SS400*</t>
    <phoneticPr fontId="5" type="noConversion"/>
  </si>
  <si>
    <t>제조사</t>
    <phoneticPr fontId="5" type="noConversion"/>
  </si>
  <si>
    <t>제조번호</t>
    <phoneticPr fontId="5" type="noConversion"/>
  </si>
  <si>
    <t>전극 사용 현황</t>
    <phoneticPr fontId="5" type="noConversion"/>
  </si>
  <si>
    <t>중  량</t>
    <phoneticPr fontId="5" type="noConversion"/>
  </si>
  <si>
    <t>A로</t>
    <phoneticPr fontId="5" type="noConversion"/>
  </si>
  <si>
    <t>B로</t>
    <phoneticPr fontId="5" type="noConversion"/>
  </si>
  <si>
    <t>사용량</t>
    <phoneticPr fontId="5" type="noConversion"/>
  </si>
  <si>
    <t>원단위</t>
    <phoneticPr fontId="5" type="noConversion"/>
  </si>
  <si>
    <t>전
극</t>
    <phoneticPr fontId="5" type="noConversion"/>
  </si>
  <si>
    <t>S275JR</t>
    <phoneticPr fontId="5" type="noConversion"/>
  </si>
  <si>
    <t>SS400-01</t>
    <phoneticPr fontId="5" type="noConversion"/>
  </si>
  <si>
    <t>SS400-02</t>
    <phoneticPr fontId="5" type="noConversion"/>
  </si>
  <si>
    <t>S275JO</t>
    <phoneticPr fontId="5" type="noConversion"/>
  </si>
  <si>
    <t>S355JR</t>
    <phoneticPr fontId="5" type="noConversion"/>
  </si>
  <si>
    <t>SD300-01</t>
    <phoneticPr fontId="5" type="noConversion"/>
  </si>
  <si>
    <t>SD300-02</t>
    <phoneticPr fontId="5" type="noConversion"/>
  </si>
  <si>
    <t>출강량</t>
    <phoneticPr fontId="5" type="noConversion"/>
  </si>
  <si>
    <t>A</t>
    <phoneticPr fontId="5" type="noConversion"/>
  </si>
  <si>
    <t>수입고철</t>
    <phoneticPr fontId="59" type="noConversion"/>
  </si>
  <si>
    <t>국 내 고 철</t>
    <phoneticPr fontId="59" type="noConversion"/>
  </si>
  <si>
    <r>
      <t>발생</t>
    </r>
    <r>
      <rPr>
        <b/>
        <sz val="10"/>
        <rFont val="Arial"/>
        <family val="2"/>
      </rPr>
      <t xml:space="preserve"> </t>
    </r>
    <r>
      <rPr>
        <b/>
        <sz val="10"/>
        <rFont val="신문바탕체"/>
        <family val="3"/>
        <charset val="129"/>
      </rPr>
      <t>고철</t>
    </r>
  </si>
  <si>
    <t>Total</t>
  </si>
  <si>
    <t>출강량</t>
  </si>
  <si>
    <t>회수율</t>
  </si>
  <si>
    <t>HMS</t>
    <phoneticPr fontId="25" type="noConversion"/>
  </si>
  <si>
    <t>H1/2</t>
    <phoneticPr fontId="25" type="noConversion"/>
  </si>
  <si>
    <t>PI</t>
    <phoneticPr fontId="25" type="noConversion"/>
  </si>
  <si>
    <t>L/Stee</t>
    <phoneticPr fontId="25" type="noConversion"/>
  </si>
  <si>
    <t>P I-pow</t>
    <phoneticPr fontId="25" type="noConversion"/>
  </si>
  <si>
    <t>계</t>
    <phoneticPr fontId="59" type="noConversion"/>
  </si>
  <si>
    <t>DHS-1</t>
    <phoneticPr fontId="25" type="noConversion"/>
  </si>
  <si>
    <t>DHS-2</t>
    <phoneticPr fontId="53" type="noConversion"/>
  </si>
  <si>
    <t>D-BD</t>
    <phoneticPr fontId="87" type="noConversion"/>
  </si>
  <si>
    <t>DGS</t>
    <phoneticPr fontId="25" type="noConversion"/>
  </si>
  <si>
    <t>Re A</t>
  </si>
  <si>
    <t>Re B</t>
  </si>
  <si>
    <t>Re C</t>
    <phoneticPr fontId="87" type="noConversion"/>
  </si>
  <si>
    <t>구  분</t>
    <phoneticPr fontId="53" type="noConversion"/>
  </si>
  <si>
    <t>heat수</t>
    <phoneticPr fontId="53" type="noConversion"/>
  </si>
  <si>
    <t>발생 고철</t>
  </si>
  <si>
    <t>A로평균</t>
    <phoneticPr fontId="53" type="noConversion"/>
  </si>
  <si>
    <t>B로평균</t>
    <phoneticPr fontId="53" type="noConversion"/>
  </si>
  <si>
    <t>Total Av</t>
    <phoneticPr fontId="53" type="noConversion"/>
  </si>
  <si>
    <t>SS400-05</t>
    <phoneticPr fontId="5" type="noConversion"/>
  </si>
  <si>
    <t>SS400-04</t>
    <phoneticPr fontId="5" type="noConversion"/>
  </si>
  <si>
    <t>A572-50-01</t>
    <phoneticPr fontId="5" type="noConversion"/>
  </si>
  <si>
    <t>S355JO-01</t>
    <phoneticPr fontId="5" type="noConversion"/>
  </si>
  <si>
    <t>Heat수</t>
    <phoneticPr fontId="5" type="noConversion"/>
  </si>
  <si>
    <t>SHN400(BB)</t>
    <phoneticPr fontId="5" type="noConversion"/>
  </si>
  <si>
    <t>SD600</t>
    <phoneticPr fontId="5" type="noConversion"/>
  </si>
  <si>
    <t>SS400-08</t>
    <phoneticPr fontId="5" type="noConversion"/>
  </si>
  <si>
    <t xml:space="preserve">  일일 반별 평균</t>
    <phoneticPr fontId="5" type="noConversion"/>
  </si>
  <si>
    <t>반별</t>
    <phoneticPr fontId="5" type="noConversion"/>
  </si>
  <si>
    <t>HEAT수</t>
    <phoneticPr fontId="5" type="noConversion"/>
  </si>
  <si>
    <t>Tap to Tap</t>
    <phoneticPr fontId="5" type="noConversion"/>
  </si>
  <si>
    <t>LF1</t>
    <phoneticPr fontId="50" type="noConversion"/>
  </si>
  <si>
    <t>Lanma</t>
    <phoneticPr fontId="5" type="noConversion"/>
  </si>
  <si>
    <t>산소 사용계</t>
    <phoneticPr fontId="53" type="noConversion"/>
  </si>
  <si>
    <t>제외</t>
    <phoneticPr fontId="5" type="noConversion"/>
  </si>
  <si>
    <t>고장</t>
    <phoneticPr fontId="5" type="noConversion"/>
  </si>
  <si>
    <t>계</t>
    <phoneticPr fontId="5" type="noConversion"/>
  </si>
  <si>
    <t>C</t>
    <phoneticPr fontId="50" type="noConversion"/>
  </si>
  <si>
    <t>Si</t>
    <phoneticPr fontId="50" type="noConversion"/>
  </si>
  <si>
    <t>Mn</t>
    <phoneticPr fontId="50" type="noConversion"/>
  </si>
  <si>
    <t>P</t>
    <phoneticPr fontId="50" type="noConversion"/>
  </si>
  <si>
    <t>S</t>
    <phoneticPr fontId="50" type="noConversion"/>
  </si>
  <si>
    <t>Cu</t>
    <phoneticPr fontId="50" type="noConversion"/>
  </si>
  <si>
    <t>Sn</t>
    <phoneticPr fontId="50" type="noConversion"/>
  </si>
  <si>
    <t>사용량</t>
    <phoneticPr fontId="53" type="noConversion"/>
  </si>
  <si>
    <t>원단위</t>
    <phoneticPr fontId="53" type="noConversion"/>
  </si>
  <si>
    <t>고  철</t>
    <phoneticPr fontId="5" type="noConversion"/>
  </si>
  <si>
    <t>V및B 산소</t>
    <phoneticPr fontId="5" type="noConversion"/>
  </si>
  <si>
    <t>강종별 평균</t>
    <phoneticPr fontId="5" type="noConversion"/>
  </si>
  <si>
    <t>용락</t>
    <phoneticPr fontId="5" type="noConversion"/>
  </si>
  <si>
    <t>C</t>
    <phoneticPr fontId="5" type="noConversion"/>
  </si>
  <si>
    <t>COKES</t>
    <phoneticPr fontId="5" type="noConversion"/>
  </si>
  <si>
    <t>P.O.T</t>
    <phoneticPr fontId="5" type="noConversion"/>
  </si>
  <si>
    <t>C</t>
    <phoneticPr fontId="5" type="noConversion"/>
  </si>
  <si>
    <t>산소</t>
    <phoneticPr fontId="5" type="noConversion"/>
  </si>
  <si>
    <t>PPM</t>
    <phoneticPr fontId="5" type="noConversion"/>
  </si>
  <si>
    <t>L/F 도착</t>
    <phoneticPr fontId="5" type="noConversion"/>
  </si>
  <si>
    <t>온도</t>
    <phoneticPr fontId="5" type="noConversion"/>
  </si>
  <si>
    <t>L/F
Fe-Si</t>
    <phoneticPr fontId="9" type="noConversion"/>
  </si>
  <si>
    <t>부대전력</t>
    <phoneticPr fontId="5" type="noConversion"/>
  </si>
  <si>
    <t>수선비</t>
    <phoneticPr fontId="5" type="noConversion"/>
  </si>
  <si>
    <t>내화물</t>
    <phoneticPr fontId="5" type="noConversion"/>
  </si>
  <si>
    <t>전극봉</t>
    <phoneticPr fontId="5" type="noConversion"/>
  </si>
  <si>
    <t>사용갯수</t>
    <phoneticPr fontId="5" type="noConversion"/>
  </si>
  <si>
    <t>월 평균</t>
    <phoneticPr fontId="5" type="noConversion"/>
  </si>
  <si>
    <t>Fesi68</t>
    <phoneticPr fontId="5" type="noConversion"/>
  </si>
  <si>
    <t>AL35</t>
    <phoneticPr fontId="53" type="noConversion"/>
  </si>
  <si>
    <t>반</t>
    <phoneticPr fontId="5" type="noConversion"/>
  </si>
  <si>
    <t>A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</si>
  <si>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</si>
  <si>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</si>
  <si>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</si>
  <si>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HEAT
수</t>
    <phoneticPr fontId="5" type="noConversion"/>
  </si>
  <si>
    <t>일</t>
    <phoneticPr fontId="5" type="noConversion"/>
  </si>
  <si>
    <t>일별 반별 평균</t>
    <phoneticPr fontId="5" type="noConversion"/>
  </si>
  <si>
    <t>톤당원가</t>
    <phoneticPr fontId="5" type="noConversion"/>
  </si>
  <si>
    <t>전력 원단위</t>
    <phoneticPr fontId="5" type="noConversion"/>
  </si>
  <si>
    <t>Shindachi</t>
  </si>
  <si>
    <t>Shindachi</t>
    <phoneticPr fontId="25" type="noConversion"/>
  </si>
  <si>
    <t>Bonus</t>
  </si>
  <si>
    <t>HMS</t>
  </si>
  <si>
    <t>HMS</t>
    <phoneticPr fontId="25" type="noConversion"/>
  </si>
  <si>
    <t>HS</t>
  </si>
  <si>
    <t>HS</t>
    <phoneticPr fontId="25" type="noConversion"/>
  </si>
  <si>
    <t>Contaner</t>
  </si>
  <si>
    <t>Contaner</t>
    <phoneticPr fontId="25" type="noConversion"/>
  </si>
  <si>
    <t>수고상</t>
  </si>
  <si>
    <t>수고상</t>
    <phoneticPr fontId="59" type="noConversion"/>
  </si>
  <si>
    <t>수고중</t>
  </si>
  <si>
    <t>수고중</t>
    <phoneticPr fontId="5" type="noConversion"/>
  </si>
  <si>
    <t>H 1/2</t>
  </si>
  <si>
    <t>H 1/2</t>
    <phoneticPr fontId="25" type="noConversion"/>
  </si>
  <si>
    <t>수고하</t>
  </si>
  <si>
    <t>수고하</t>
    <phoneticPr fontId="5" type="noConversion"/>
  </si>
  <si>
    <t>DHS1-L</t>
    <phoneticPr fontId="53" type="noConversion"/>
  </si>
  <si>
    <t>DHS1</t>
    <phoneticPr fontId="25" type="noConversion"/>
  </si>
  <si>
    <t>BD-S</t>
    <phoneticPr fontId="87" type="noConversion"/>
  </si>
  <si>
    <t>몽짜</t>
    <phoneticPr fontId="5" type="noConversion"/>
  </si>
  <si>
    <t>DHS2</t>
    <phoneticPr fontId="5" type="noConversion"/>
  </si>
  <si>
    <t>DLS2-L</t>
    <phoneticPr fontId="5" type="noConversion"/>
  </si>
  <si>
    <t>BD-A</t>
    <phoneticPr fontId="5" type="noConversion"/>
  </si>
  <si>
    <t>DLS</t>
    <phoneticPr fontId="5" type="noConversion"/>
  </si>
  <si>
    <t>DLS-L</t>
    <phoneticPr fontId="5" type="noConversion"/>
  </si>
  <si>
    <t>선반</t>
    <phoneticPr fontId="5" type="noConversion"/>
  </si>
  <si>
    <t>BD-D</t>
    <phoneticPr fontId="25" type="noConversion"/>
  </si>
  <si>
    <t>국고상</t>
    <phoneticPr fontId="59" type="noConversion"/>
  </si>
  <si>
    <t>국고중</t>
    <phoneticPr fontId="5" type="noConversion"/>
  </si>
  <si>
    <t>국고하</t>
    <phoneticPr fontId="5" type="noConversion"/>
  </si>
  <si>
    <t>선반설</t>
    <phoneticPr fontId="5" type="noConversion"/>
  </si>
  <si>
    <t>PI</t>
  </si>
  <si>
    <t>PI</t>
    <phoneticPr fontId="5" type="noConversion"/>
  </si>
  <si>
    <t>PI 2nd</t>
  </si>
  <si>
    <t>PI 2nd</t>
    <phoneticPr fontId="5" type="noConversion"/>
  </si>
  <si>
    <t>선  철</t>
  </si>
  <si>
    <t>작업율</t>
    <phoneticPr fontId="5" type="noConversion"/>
  </si>
  <si>
    <t>생산기준
월  일</t>
    <phoneticPr fontId="5" type="noConversion"/>
  </si>
  <si>
    <t>누계</t>
    <phoneticPr fontId="5" type="noConversion"/>
  </si>
  <si>
    <t>작업율</t>
    <phoneticPr fontId="5" type="noConversion"/>
  </si>
  <si>
    <t>시간당</t>
    <phoneticPr fontId="5" type="noConversion"/>
  </si>
  <si>
    <t>TOTAL</t>
    <phoneticPr fontId="5" type="noConversion"/>
  </si>
  <si>
    <t>SLAG
이월%</t>
    <phoneticPr fontId="5" type="noConversion"/>
  </si>
  <si>
    <t>국고 계</t>
    <phoneticPr fontId="5" type="noConversion"/>
  </si>
  <si>
    <t>발고 계</t>
    <phoneticPr fontId="5" type="noConversion"/>
  </si>
  <si>
    <t>일별 사용량 현황</t>
    <phoneticPr fontId="5" type="noConversion"/>
  </si>
  <si>
    <t>월  일</t>
    <phoneticPr fontId="5" type="noConversion"/>
  </si>
  <si>
    <t>HEAT
수</t>
    <phoneticPr fontId="5" type="noConversion"/>
  </si>
  <si>
    <t>Tap to Tap</t>
    <phoneticPr fontId="5" type="noConversion"/>
  </si>
  <si>
    <t>P.O.T</t>
    <phoneticPr fontId="5" type="noConversion"/>
  </si>
  <si>
    <t>L/F
Fe-Si</t>
    <phoneticPr fontId="9" type="noConversion"/>
  </si>
  <si>
    <t>용락</t>
    <phoneticPr fontId="5" type="noConversion"/>
  </si>
  <si>
    <t>LF1</t>
    <phoneticPr fontId="50" type="noConversion"/>
  </si>
  <si>
    <t>산소</t>
    <phoneticPr fontId="5" type="noConversion"/>
  </si>
  <si>
    <t>L/F 도착</t>
    <phoneticPr fontId="5" type="noConversion"/>
  </si>
  <si>
    <t>COKES</t>
    <phoneticPr fontId="5" type="noConversion"/>
  </si>
  <si>
    <t>M1</t>
    <phoneticPr fontId="50" type="noConversion"/>
  </si>
  <si>
    <t>Tapping</t>
    <phoneticPr fontId="50" type="noConversion"/>
  </si>
  <si>
    <t>회수율</t>
    <phoneticPr fontId="50" type="noConversion"/>
  </si>
  <si>
    <t>출강량</t>
    <phoneticPr fontId="53" type="noConversion"/>
  </si>
  <si>
    <t>수고계</t>
    <phoneticPr fontId="5" type="noConversion"/>
  </si>
  <si>
    <t>국고상</t>
    <phoneticPr fontId="59" type="noConversion"/>
  </si>
  <si>
    <t>국고중</t>
    <phoneticPr fontId="5" type="noConversion"/>
  </si>
  <si>
    <t>국고하</t>
    <phoneticPr fontId="5" type="noConversion"/>
  </si>
  <si>
    <t>선반설</t>
    <phoneticPr fontId="5" type="noConversion"/>
  </si>
  <si>
    <t>국고계</t>
    <phoneticPr fontId="5" type="noConversion"/>
  </si>
  <si>
    <t>산소계</t>
    <phoneticPr fontId="53" type="noConversion"/>
  </si>
  <si>
    <t>제외</t>
    <phoneticPr fontId="5" type="noConversion"/>
  </si>
  <si>
    <t>고장</t>
    <phoneticPr fontId="5" type="noConversion"/>
  </si>
  <si>
    <t>계</t>
    <phoneticPr fontId="5" type="noConversion"/>
  </si>
  <si>
    <t>C</t>
    <phoneticPr fontId="5" type="noConversion"/>
  </si>
  <si>
    <t>C</t>
    <phoneticPr fontId="50" type="noConversion"/>
  </si>
  <si>
    <t>Si</t>
    <phoneticPr fontId="50" type="noConversion"/>
  </si>
  <si>
    <t>Mn</t>
    <phoneticPr fontId="50" type="noConversion"/>
  </si>
  <si>
    <t>P</t>
    <phoneticPr fontId="50" type="noConversion"/>
  </si>
  <si>
    <t>S</t>
    <phoneticPr fontId="50" type="noConversion"/>
  </si>
  <si>
    <t>Cu</t>
    <phoneticPr fontId="50" type="noConversion"/>
  </si>
  <si>
    <t>Sn</t>
    <phoneticPr fontId="50" type="noConversion"/>
  </si>
  <si>
    <t>PPM</t>
    <phoneticPr fontId="5" type="noConversion"/>
  </si>
  <si>
    <t>온도</t>
    <phoneticPr fontId="5" type="noConversion"/>
  </si>
  <si>
    <t>CaO</t>
    <phoneticPr fontId="50" type="noConversion"/>
  </si>
  <si>
    <t>LBD</t>
    <phoneticPr fontId="50" type="noConversion"/>
  </si>
  <si>
    <t>AL65</t>
    <phoneticPr fontId="53" type="noConversion"/>
  </si>
  <si>
    <t>AL35</t>
    <phoneticPr fontId="53" type="noConversion"/>
  </si>
  <si>
    <t>FC-Ball</t>
    <phoneticPr fontId="53" type="noConversion"/>
  </si>
  <si>
    <t>소괴탄</t>
    <phoneticPr fontId="50" type="noConversion"/>
  </si>
  <si>
    <t>CaO</t>
    <phoneticPr fontId="53" type="noConversion"/>
  </si>
  <si>
    <t>Mn-B</t>
    <phoneticPr fontId="53" type="noConversion"/>
  </si>
  <si>
    <t>AL90</t>
    <phoneticPr fontId="53" type="noConversion"/>
  </si>
  <si>
    <t>Fesi68</t>
    <phoneticPr fontId="5" type="noConversion"/>
  </si>
  <si>
    <t>Si-Ball</t>
    <phoneticPr fontId="53" type="noConversion"/>
  </si>
  <si>
    <t>DHS1</t>
    <phoneticPr fontId="25" type="noConversion"/>
  </si>
  <si>
    <t>DHS1-L</t>
    <phoneticPr fontId="53" type="noConversion"/>
  </si>
  <si>
    <t>BD-S</t>
    <phoneticPr fontId="87" type="noConversion"/>
  </si>
  <si>
    <t>몽짜</t>
    <phoneticPr fontId="5" type="noConversion"/>
  </si>
  <si>
    <t>DHS2</t>
    <phoneticPr fontId="5" type="noConversion"/>
  </si>
  <si>
    <t>DLS2-L</t>
    <phoneticPr fontId="5" type="noConversion"/>
  </si>
  <si>
    <t>BD-A</t>
    <phoneticPr fontId="5" type="noConversion"/>
  </si>
  <si>
    <t>DLS</t>
    <phoneticPr fontId="5" type="noConversion"/>
  </si>
  <si>
    <t>DLS-L</t>
    <phoneticPr fontId="5" type="noConversion"/>
  </si>
  <si>
    <t>선반</t>
    <phoneticPr fontId="5" type="noConversion"/>
  </si>
  <si>
    <t>BD-D</t>
    <phoneticPr fontId="25" type="noConversion"/>
  </si>
  <si>
    <t>Re C</t>
    <phoneticPr fontId="87" type="noConversion"/>
  </si>
  <si>
    <t>발고계</t>
    <phoneticPr fontId="5" type="noConversion"/>
  </si>
  <si>
    <t>사용량</t>
    <phoneticPr fontId="53" type="noConversion"/>
  </si>
  <si>
    <t>원단위</t>
    <phoneticPr fontId="53" type="noConversion"/>
  </si>
  <si>
    <t>월 누계</t>
    <phoneticPr fontId="5" type="noConversion"/>
  </si>
  <si>
    <t>열간보수재
사용량</t>
    <phoneticPr fontId="5" type="noConversion"/>
  </si>
  <si>
    <t>분 탄
평 균</t>
    <phoneticPr fontId="5" type="noConversion"/>
  </si>
  <si>
    <t>전기로톤당원가</t>
    <phoneticPr fontId="5" type="noConversion"/>
  </si>
  <si>
    <t>분 탄</t>
    <phoneticPr fontId="5" type="noConversion"/>
  </si>
  <si>
    <t>연주
연주수</t>
    <phoneticPr fontId="5" type="noConversion"/>
  </si>
  <si>
    <t>T/C</t>
    <phoneticPr fontId="5" type="noConversion"/>
  </si>
  <si>
    <t>몽짜</t>
    <phoneticPr fontId="5" type="noConversion"/>
  </si>
  <si>
    <t>유탕</t>
    <phoneticPr fontId="5" type="noConversion"/>
  </si>
  <si>
    <t>18년 11월 ENERGY 실적</t>
    <phoneticPr fontId="5" type="noConversion"/>
  </si>
  <si>
    <t>SS400-1</t>
    <phoneticPr fontId="5" type="noConversion"/>
  </si>
  <si>
    <t>SS400(ToMok)</t>
    <phoneticPr fontId="5" type="noConversion"/>
  </si>
  <si>
    <t>SS400-05</t>
    <phoneticPr fontId="5" type="noConversion"/>
  </si>
  <si>
    <t>SHN400(BL)</t>
    <phoneticPr fontId="5" type="noConversion"/>
  </si>
  <si>
    <t>S355JO/JR(BL)</t>
    <phoneticPr fontId="5" type="noConversion"/>
  </si>
  <si>
    <t>D</t>
  </si>
  <si>
    <t>SS400-02</t>
    <phoneticPr fontId="5" type="noConversion"/>
  </si>
  <si>
    <t>S355JO-01</t>
    <phoneticPr fontId="5" type="noConversion"/>
  </si>
  <si>
    <t>A572-50-01</t>
    <phoneticPr fontId="5" type="noConversion"/>
  </si>
  <si>
    <t>SHN400(BB)</t>
    <phoneticPr fontId="5" type="noConversion"/>
  </si>
  <si>
    <t>ENS275JR</t>
    <phoneticPr fontId="5" type="noConversion"/>
  </si>
  <si>
    <t>SS400-04</t>
  </si>
  <si>
    <t>SS400-04</t>
    <phoneticPr fontId="5" type="noConversion"/>
  </si>
  <si>
    <t>SS400-01</t>
  </si>
  <si>
    <t>SS400-01</t>
    <phoneticPr fontId="5" type="noConversion"/>
  </si>
  <si>
    <t>SS400(ToMok)</t>
    <phoneticPr fontId="5" type="noConversion"/>
  </si>
  <si>
    <t>Yesterday</t>
    <phoneticPr fontId="5" type="noConversion"/>
  </si>
  <si>
    <t>POT</t>
    <phoneticPr fontId="5" type="noConversion"/>
  </si>
  <si>
    <t>kwh/T</t>
    <phoneticPr fontId="5" type="noConversion"/>
  </si>
  <si>
    <t>Today</t>
    <phoneticPr fontId="5" type="noConversion"/>
  </si>
  <si>
    <t>Tapping</t>
    <phoneticPr fontId="5" type="noConversion"/>
  </si>
  <si>
    <t>kwh/Heat</t>
    <phoneticPr fontId="5" type="noConversion"/>
  </si>
  <si>
    <t>A</t>
    <phoneticPr fontId="5" type="noConversion"/>
  </si>
  <si>
    <t>B</t>
    <phoneticPr fontId="5" type="noConversion"/>
  </si>
  <si>
    <t>Smart Arc Off</t>
    <phoneticPr fontId="5" type="noConversion"/>
  </si>
  <si>
    <t>Smart Arc On</t>
    <phoneticPr fontId="5" type="noConversion"/>
  </si>
  <si>
    <t>11. 21</t>
    <phoneticPr fontId="5" type="noConversion"/>
  </si>
  <si>
    <t>내</t>
    <phoneticPr fontId="5" type="noConversion"/>
  </si>
  <si>
    <t>외</t>
    <phoneticPr fontId="5" type="noConversion"/>
  </si>
  <si>
    <t>2월 단가</t>
    <phoneticPr fontId="5" type="noConversion"/>
  </si>
  <si>
    <t>출강
소요
시간</t>
    <phoneticPr fontId="5" type="noConversion"/>
  </si>
  <si>
    <t>CaO85%</t>
    <phoneticPr fontId="50" type="noConversion"/>
  </si>
  <si>
    <t>CaO90%</t>
    <phoneticPr fontId="50" type="noConversion"/>
  </si>
  <si>
    <t>CaO85%</t>
    <phoneticPr fontId="50" type="noConversion"/>
  </si>
  <si>
    <t>A</t>
    <phoneticPr fontId="5" type="noConversion"/>
  </si>
  <si>
    <t>O</t>
    <phoneticPr fontId="5" type="noConversion"/>
  </si>
  <si>
    <t>명일 전량 09시30분전 완료. A로 열간 보수재 디스팬서 비울것.B로 착화빌렛 작은거준비(발코니 교체).야간 앙카스 4포씩 준비</t>
    <phoneticPr fontId="5" type="noConversion"/>
  </si>
  <si>
    <t>현 대리</t>
    <phoneticPr fontId="5" type="noConversion"/>
  </si>
  <si>
    <t>DHS2-L</t>
    <phoneticPr fontId="5" type="noConversion"/>
  </si>
  <si>
    <t>DLS-L</t>
  </si>
  <si>
    <t xml:space="preserve">7/17주간보수
전량출강 10시
A로 천정 누수부분 용접함
B로 #1키브젯 토출라인 호스교체
A로 EBT 오프너 실린더교체
앙카하스 A로4포준비
</t>
    <phoneticPr fontId="5" type="noConversion"/>
  </si>
  <si>
    <t>전</t>
    <phoneticPr fontId="5" type="noConversion"/>
  </si>
  <si>
    <t>고  장   내  용</t>
    <phoneticPr fontId="5" type="noConversion"/>
  </si>
  <si>
    <t>7/25 주간보수 전량출강 10시
 주요보수사항
  1) A로 EBT 동판넬 교체 작업 (8hr)
  2) A로 Roof 누수부 Cover해체 용접 작업
  3) B/F 모터 교체 
  4) B로 WCP S-14 set 교체
    7/24 야간반 앙카스 4포씩 올려주세요 
    7/25 전량출강 끝내고 B/F Off 후 전기실 연락 부탁드립니다</t>
    <phoneticPr fontId="5" type="noConversion"/>
  </si>
  <si>
    <t xml:space="preserve">8/5 주간보수 전량출강 10시
  주요보수사항
   1) B로 WCP S-9, 11 교체 및 #3 VLB 동판넬 교체
   2) A/B로 루프 누수 용접
   3) 연소탑 #7-1 냉각판넬 교체 (50톤 지상크레인 사용)
   야간반 A로측 앙카스 4포 올려주시기 바랍니다. </t>
    <phoneticPr fontId="5" type="noConversion"/>
  </si>
  <si>
    <t>8/9 주간보수 전량 10시
  주요보수사항
   1) A/B로 루프 용접
   2) C-1 호이스트 저항 점검 (오후 30분 정도), C-2 보권 브레이크 교체 (09~오전중 완료)
   3) A/B로 중 작업구 연와 및 전극봉 교체 예정
   야간반 앙카스 4포씩 올려주시기 바랍니다. 
   작업구 전극봉 1개 작업상으로 올려주시기 바랍니다. (B로 하부()</t>
    <phoneticPr fontId="5" type="noConversion"/>
  </si>
  <si>
    <t xml:space="preserve">8/21 주간보수 전량 10시
 주요보수사항
  1) A/B로 ROOF 누수부 용접 및 노즐 점검 청소
  2) B로 부원료 고정슈트(LD) 세트 교체 (50톤 지상크레인) 5~6시간 소요 (중간에 ROOF 2시간 CLOSE)
  3) A로 WCP S-13 SET 교체
  4) A로 작업구 전극봉 교체
  5) B로 고철대차 로드셀 및 케이블릴 점검
   야간반 앙카스 4포 A로에 올려주세요  
   작업구 전극봉 1개 A로 작업상에 올려주세요 (A로 하부 몽짜 옆에 있습니다)
   </t>
    <phoneticPr fontId="5" type="noConversion"/>
  </si>
  <si>
    <t xml:space="preserve">8/27 주간보수 전량출강 10시
  주요보수사항
   1) A/B로 ROOF 누수부 용접
   2) A로 JAM COOLER 용손 교체
   3) 연소탑 2-2, 2-3 수냉판넬 교체 
   4) LF A/B로 누수부 용접
   5) A/B로 고철대차 점검
     야간반 앙카스 4포씩 올려주세요 </t>
    <phoneticPr fontId="5" type="noConversion"/>
  </si>
  <si>
    <t xml:space="preserve">12/13 주간보수 전량 10시
   주요보수사항
    1) A로 EBT Slag Cutter 교체 
    2) A로 전극연결 발판 보강작업
    3) B/F 진동 관련 점검 (~16시) 
     야간반 앙카스 4포씩 올려주세요 
     </t>
    <phoneticPr fontId="5" type="noConversion"/>
  </si>
  <si>
    <t xml:space="preserve"> 12/26 주간보수 10시 전량
   주요보수사항
    1) A로 WCP S-11,14 SET교체
    2) A로 ROOF 선회 LOCK PIN 교체
    3) A로 #2VLB 동판넬 교체 (#2카브젯 원복)
    4) A로 전극 스프레이 링 교체 (5파이)
    5) B로 경동 수평 조정 및 스테빌라이져 라이너 조정 
    6) B/F 진동 소음 관련 점검
   요청사항
    1) 전량 후 A로 전극취외
    2) 전일 18시부터 몽짜/유탕 장입 제외
    3) 야간반 앙카스 올리기 </t>
    <phoneticPr fontId="5" type="noConversion"/>
  </si>
  <si>
    <t>12/30일오후부터크레인청소함니다 .</t>
    <phoneticPr fontId="5" type="noConversion"/>
  </si>
  <si>
    <t>▼ 야간반</t>
    <phoneticPr fontId="5" type="noConversion"/>
  </si>
  <si>
    <t>2. 금일 확정 생산 Heats : 31ch</t>
  </si>
  <si>
    <t>3. TTT: 49.2 분</t>
  </si>
  <si>
    <t xml:space="preserve">4. POT: 46.7분 </t>
  </si>
  <si>
    <t>5. 전력: 375.1 Kwh/ton</t>
  </si>
  <si>
    <t>6. 용락카본 : 8.44 개 . 용존산소: 522.6 PPM</t>
  </si>
  <si>
    <t>7. LF 도착 카본:  9.8개  Fe-Si 투입량 : 20.67</t>
  </si>
  <si>
    <t>8. 연연주수 : 18-108연주</t>
  </si>
  <si>
    <t>9. 개방Str : 1,2,3,4,5str</t>
  </si>
  <si>
    <t>10. 주조속도 : 0.90M/min(전기로 고철취외및 열간보수차 주속낮춤)</t>
  </si>
  <si>
    <t>11. H/C유무 : off</t>
  </si>
  <si>
    <t>연주:예비 T/D SES 체결외 이상무.</t>
  </si>
  <si>
    <t>※ 2020년 1월 1일部 오전반부터 적용</t>
  </si>
  <si>
    <t>*오전.오후반</t>
    <phoneticPr fontId="5" type="noConversion"/>
  </si>
  <si>
    <t>11. H/C유무 : off</t>
    <phoneticPr fontId="87" type="noConversion"/>
  </si>
  <si>
    <t>1월5일</t>
    <phoneticPr fontId="5" type="noConversion"/>
  </si>
  <si>
    <t>인계사항 : 주간보수 전날 앙카하스(스탐핑재) 전기로작업상 올릴때
          반드시 작업구와 멀리 올려주세요 포대 불붓어 문재발생됨                 전기로 앞쪽말고 옆쪽(3시.9시방향)</t>
    <phoneticPr fontId="5" type="noConversion"/>
  </si>
  <si>
    <t>*19:32분 5줄 START 실시</t>
    <phoneticPr fontId="87" type="noConversion"/>
  </si>
  <si>
    <t>~W/S 1-2stand Input Error 해지-&gt;종전 동일현상</t>
    <phoneticPr fontId="5" type="noConversion"/>
  </si>
  <si>
    <t xml:space="preserve">  Input 예비품없어 jump 잡음(차기보수일 교체예정)</t>
    <phoneticPr fontId="5" type="noConversion"/>
  </si>
  <si>
    <t>*W/S #3-3열,4-1열 상부에서 물 소량 떨어짐(증발)</t>
    <phoneticPr fontId="5" type="noConversion"/>
  </si>
  <si>
    <t>9. 개방Str : 2.3.4.5.str</t>
    <phoneticPr fontId="5" type="noConversion"/>
  </si>
  <si>
    <t>1. 생산강종: SS400-05(출강량:143.5톤,생산량:4.446톤)</t>
    <phoneticPr fontId="5" type="noConversion"/>
  </si>
  <si>
    <t xml:space="preserve">12. 특이사항 : 로 보수사항(A = 5포.B =11포) 송전(16:24) </t>
    <phoneticPr fontId="5" type="noConversion"/>
  </si>
  <si>
    <t>*21:10분 1str 중지(D/B Head 처리)</t>
    <phoneticPr fontId="5" type="noConversion"/>
  </si>
  <si>
    <t>*계근대 off line 분동 중량 체크</t>
    <phoneticPr fontId="5" type="noConversion"/>
  </si>
  <si>
    <t>~야간반 계근</t>
    <phoneticPr fontId="5" type="noConversion"/>
  </si>
  <si>
    <t>*#2 M/M X축에러발생 사용不-&gt;전기팀 점검중</t>
    <phoneticPr fontId="5" type="noConversion"/>
  </si>
  <si>
    <t>3. TTT: 124.2분</t>
    <phoneticPr fontId="87" type="noConversion"/>
  </si>
  <si>
    <t xml:space="preserve">4. POT: 50.7분 </t>
    <phoneticPr fontId="87" type="noConversion"/>
  </si>
  <si>
    <t>5. 전력: 412Kwh/ton</t>
    <phoneticPr fontId="87" type="noConversion"/>
  </si>
  <si>
    <t>6. 용락카본 : 7.67개 . 용존산소: 611.8PPM</t>
    <phoneticPr fontId="87" type="noConversion"/>
  </si>
  <si>
    <t>7. LF 도착 카본 : 8.0  Fe-Si 투입량 : 101.75</t>
    <phoneticPr fontId="87" type="noConversion"/>
  </si>
  <si>
    <t>8. 연연주수 : 5-5연주</t>
    <phoneticPr fontId="87" type="noConversion"/>
  </si>
  <si>
    <t>10. 주조속도 : 0.72 m/min</t>
    <phoneticPr fontId="87" type="noConversion"/>
  </si>
  <si>
    <t>1. 생산강종: SHN40(BB)(출강량:138.0톤)</t>
    <phoneticPr fontId="87" type="noConversion"/>
  </si>
  <si>
    <t>2. 현재 생산 Heats : 14ch(21:57)</t>
    <phoneticPr fontId="87" type="noConversion"/>
  </si>
  <si>
    <t>12. 특이사항 : B로 16회 사용후 전극연결</t>
    <phoneticPr fontId="5" type="noConversion"/>
  </si>
  <si>
    <t xml:space="preserve">   금일 생산 예정 Heats : 31ch (3:29분경) </t>
    <phoneticPr fontId="87" type="noConversion"/>
  </si>
  <si>
    <t>반 기준
월  일</t>
    <phoneticPr fontId="5" type="noConversion"/>
  </si>
  <si>
    <t>CaO90%</t>
    <phoneticPr fontId="53" type="noConversion"/>
  </si>
  <si>
    <t>B</t>
    <phoneticPr fontId="5" type="noConversion"/>
  </si>
  <si>
    <t>CaO90% 14번 벙커에 탄 500kg 혼입된 상태임 참고사항                                                                         .                                                                                                                      L/F 19번벙커 가탄재에 생석회 혼입추정(3458~3459h 250kg투입 카본3개 높아짐)/19벙커중단 20번벙커 가탄재 사용정상</t>
    <phoneticPr fontId="5" type="noConversion"/>
  </si>
  <si>
    <t>LBD75%</t>
    <phoneticPr fontId="50" type="noConversion"/>
  </si>
  <si>
    <t xml:space="preserve">                                             </t>
    <phoneticPr fontId="5" type="noConversion"/>
  </si>
  <si>
    <t>CaO_85%</t>
    <phoneticPr fontId="53" type="noConversion"/>
  </si>
  <si>
    <t>CaO_90%</t>
    <phoneticPr fontId="50" type="noConversion"/>
  </si>
  <si>
    <t>출강량</t>
    <phoneticPr fontId="5" type="noConversion"/>
  </si>
  <si>
    <t>조업 인수 인계 사항</t>
    <phoneticPr fontId="5" type="noConversion"/>
  </si>
  <si>
    <t xml:space="preserve"> </t>
    <phoneticPr fontId="5" type="noConversion"/>
  </si>
  <si>
    <t>Fesi60</t>
    <phoneticPr fontId="5" type="noConversion"/>
  </si>
  <si>
    <t>Lanma 산소</t>
  </si>
  <si>
    <t>VLB 및 Burner 산소</t>
    <phoneticPr fontId="59" type="noConversion"/>
  </si>
  <si>
    <t>VLB 및 Burner 연료</t>
    <phoneticPr fontId="59" type="noConversion"/>
  </si>
  <si>
    <t>선  철</t>
    <phoneticPr fontId="5" type="noConversion"/>
  </si>
  <si>
    <t>수고 계</t>
    <phoneticPr fontId="5" type="noConversion"/>
  </si>
  <si>
    <t>VLB 및 Burner 산소</t>
    <phoneticPr fontId="59" type="noConversion"/>
  </si>
  <si>
    <t>VLB 및 Burner 연료</t>
    <phoneticPr fontId="59" type="noConversion"/>
  </si>
  <si>
    <t>.</t>
    <phoneticPr fontId="5" type="noConversion"/>
  </si>
  <si>
    <t>Q</t>
    <phoneticPr fontId="5" type="noConversion"/>
  </si>
  <si>
    <t>연료 사용계</t>
    <phoneticPr fontId="5" type="noConversion"/>
  </si>
  <si>
    <t>장입량</t>
    <phoneticPr fontId="5" type="noConversion"/>
  </si>
  <si>
    <t>CM</t>
    <phoneticPr fontId="5" type="noConversion"/>
  </si>
  <si>
    <t>당월 집행 계획 생산성 목표</t>
    <phoneticPr fontId="5" type="noConversion"/>
  </si>
  <si>
    <t>형강재</t>
    <phoneticPr fontId="5" type="noConversion"/>
  </si>
  <si>
    <t>봉강재</t>
    <phoneticPr fontId="5" type="noConversion"/>
  </si>
  <si>
    <t>구분</t>
    <phoneticPr fontId="5" type="noConversion"/>
  </si>
  <si>
    <t>형강재</t>
    <phoneticPr fontId="5" type="noConversion"/>
  </si>
  <si>
    <t>봉강재</t>
    <phoneticPr fontId="5" type="noConversion"/>
  </si>
  <si>
    <t>TTT</t>
    <phoneticPr fontId="5" type="noConversion"/>
  </si>
  <si>
    <t>정상 CH</t>
    <phoneticPr fontId="5" type="noConversion"/>
  </si>
  <si>
    <t>Ton/ch</t>
    <phoneticPr fontId="5" type="noConversion"/>
  </si>
  <si>
    <t>열간보수 CH</t>
    <phoneticPr fontId="5" type="noConversion"/>
  </si>
  <si>
    <t>ch/일</t>
    <phoneticPr fontId="5" type="noConversion"/>
  </si>
  <si>
    <t>분전광</t>
    <phoneticPr fontId="5" type="noConversion"/>
  </si>
  <si>
    <t>선반설</t>
    <phoneticPr fontId="5" type="noConversion"/>
  </si>
  <si>
    <t>선반(압)</t>
    <phoneticPr fontId="25" type="noConversion"/>
  </si>
  <si>
    <t>일본</t>
    <phoneticPr fontId="25" type="noConversion"/>
  </si>
  <si>
    <t>컨테이너</t>
    <phoneticPr fontId="25" type="noConversion"/>
  </si>
  <si>
    <t>3A</t>
    <phoneticPr fontId="25" type="noConversion"/>
  </si>
  <si>
    <t>일본</t>
    <phoneticPr fontId="25" type="noConversion"/>
  </si>
  <si>
    <t>생철</t>
    <phoneticPr fontId="25" type="noConversion"/>
  </si>
  <si>
    <t>생철 L</t>
    <phoneticPr fontId="53" type="noConversion"/>
  </si>
  <si>
    <t>생철 압축</t>
    <phoneticPr fontId="87" type="noConversion"/>
  </si>
  <si>
    <t>중량</t>
    <phoneticPr fontId="5" type="noConversion"/>
  </si>
  <si>
    <t>중량 L</t>
    <phoneticPr fontId="5" type="noConversion"/>
  </si>
  <si>
    <t>압축</t>
    <phoneticPr fontId="5" type="noConversion"/>
  </si>
  <si>
    <t>냉연</t>
    <phoneticPr fontId="5" type="noConversion"/>
  </si>
  <si>
    <t>경량</t>
    <phoneticPr fontId="5" type="noConversion"/>
  </si>
  <si>
    <t>경량 L</t>
    <phoneticPr fontId="5" type="noConversion"/>
  </si>
  <si>
    <t>PNS</t>
    <phoneticPr fontId="25" type="noConversion"/>
  </si>
  <si>
    <t>T/S</t>
    <phoneticPr fontId="5" type="noConversion"/>
  </si>
  <si>
    <t>SLAG
이월량(ton)</t>
    <phoneticPr fontId="5" type="noConversion"/>
  </si>
  <si>
    <t>측정size</t>
    <phoneticPr fontId="5" type="noConversion"/>
  </si>
  <si>
    <t>용손율</t>
    <phoneticPr fontId="5" type="noConversion"/>
  </si>
  <si>
    <t>사용예상수명</t>
    <phoneticPr fontId="5" type="noConversion"/>
  </si>
  <si>
    <t>마모장길이</t>
    <phoneticPr fontId="5" type="noConversion"/>
  </si>
  <si>
    <t>해체기준</t>
    <phoneticPr fontId="5" type="noConversion"/>
  </si>
  <si>
    <t>신축(size)</t>
    <phoneticPr fontId="5" type="noConversion"/>
  </si>
  <si>
    <t>지금</t>
    <phoneticPr fontId="5" type="noConversion"/>
  </si>
  <si>
    <t>열간보수
사용량(Kg)</t>
    <phoneticPr fontId="5" type="noConversion"/>
  </si>
  <si>
    <t>HI-CaIc</t>
    <phoneticPr fontId="53" type="noConversion"/>
  </si>
  <si>
    <t>HI-Calc</t>
    <phoneticPr fontId="53" type="noConversion"/>
  </si>
  <si>
    <t>LBD75%</t>
    <phoneticPr fontId="50" type="noConversion"/>
  </si>
  <si>
    <t>AL35</t>
    <phoneticPr fontId="53" type="noConversion"/>
  </si>
  <si>
    <t>Re-A</t>
    <phoneticPr fontId="5" type="noConversion"/>
  </si>
  <si>
    <t>Re-B</t>
    <phoneticPr fontId="5" type="noConversion"/>
  </si>
  <si>
    <t>Re-C</t>
    <phoneticPr fontId="87" type="noConversion"/>
  </si>
  <si>
    <t>F/S</t>
    <phoneticPr fontId="5" type="noConversion"/>
  </si>
  <si>
    <t>단조</t>
    <phoneticPr fontId="5" type="noConversion"/>
  </si>
  <si>
    <t>DHS-S</t>
    <phoneticPr fontId="5" type="noConversion"/>
  </si>
  <si>
    <t>DHS-S</t>
    <phoneticPr fontId="5" type="noConversion"/>
  </si>
  <si>
    <t>당월수명</t>
    <phoneticPr fontId="5" type="noConversion"/>
  </si>
  <si>
    <t>금
월</t>
    <phoneticPr fontId="5" type="noConversion"/>
  </si>
  <si>
    <t>보수내역</t>
    <phoneticPr fontId="5" type="noConversion"/>
  </si>
  <si>
    <t>로 깊이</t>
    <phoneticPr fontId="5" type="noConversion"/>
  </si>
  <si>
    <t>직영</t>
  </si>
  <si>
    <t>동국 R&amp;S</t>
  </si>
  <si>
    <t>-</t>
  </si>
  <si>
    <t>작업구</t>
    <phoneticPr fontId="9" type="noConversion"/>
  </si>
  <si>
    <t>발코니</t>
    <phoneticPr fontId="9" type="noConversion"/>
  </si>
  <si>
    <t>VLB 
하단</t>
    <phoneticPr fontId="9" type="noConversion"/>
  </si>
  <si>
    <t>2차
라인</t>
    <phoneticPr fontId="9" type="noConversion"/>
  </si>
  <si>
    <t>月보수기
불량 건수</t>
    <phoneticPr fontId="9" type="noConversion"/>
  </si>
  <si>
    <t>열간보수
평균 사용량</t>
    <phoneticPr fontId="5" type="noConversion"/>
  </si>
  <si>
    <t>보수기
불량 여부
(양호/불량)</t>
    <phoneticPr fontId="9" type="noConversion"/>
  </si>
  <si>
    <t>열간보수 개소</t>
    <phoneticPr fontId="5" type="noConversion"/>
  </si>
  <si>
    <t>양호</t>
    <phoneticPr fontId="9" type="noConversion"/>
  </si>
  <si>
    <t>전월수명</t>
    <phoneticPr fontId="5" type="noConversion"/>
  </si>
  <si>
    <t>마모장~판넬</t>
    <phoneticPr fontId="5" type="noConversion"/>
  </si>
  <si>
    <t>전
월</t>
    <phoneticPr fontId="5" type="noConversion"/>
  </si>
  <si>
    <t>3포</t>
    <phoneticPr fontId="5" type="noConversion"/>
  </si>
  <si>
    <t>1포</t>
    <phoneticPr fontId="5" type="noConversion"/>
  </si>
  <si>
    <t>2포</t>
    <phoneticPr fontId="5" type="noConversion"/>
  </si>
  <si>
    <t>누적수명</t>
    <phoneticPr fontId="5" type="noConversion"/>
  </si>
  <si>
    <t>CCTV 조작 不(매뉴얼)</t>
    <phoneticPr fontId="9" type="noConversion"/>
  </si>
  <si>
    <t>CCTV P/W : q1w2e3r4t5</t>
    <phoneticPr fontId="9" type="noConversion"/>
  </si>
  <si>
    <t>1. A로 계단 부근 CCTV 판넬 open</t>
    <phoneticPr fontId="9" type="noConversion"/>
  </si>
  <si>
    <t>2. EBT 작업상 랜케이블 취부 및 재연결</t>
    <phoneticPr fontId="9" type="noConversion"/>
  </si>
  <si>
    <t>※CCTV 재연결 최대 5분 소요</t>
    <phoneticPr fontId="9" type="noConversion"/>
  </si>
  <si>
    <t>T-COR</t>
    <phoneticPr fontId="5" type="noConversion"/>
  </si>
  <si>
    <t>타이어코드</t>
    <phoneticPr fontId="5" type="noConversion"/>
  </si>
  <si>
    <t>10포</t>
    <phoneticPr fontId="5" type="noConversion"/>
  </si>
  <si>
    <t>5포</t>
    <phoneticPr fontId="5" type="noConversion"/>
  </si>
  <si>
    <t>4포</t>
    <phoneticPr fontId="5" type="noConversion"/>
  </si>
  <si>
    <t>금형</t>
    <phoneticPr fontId="5" type="noConversion"/>
  </si>
  <si>
    <t xml:space="preserve"> 2026년 09 전기로 조업일지</t>
    <phoneticPr fontId="5" type="noConversion"/>
  </si>
  <si>
    <t>SHN400(BL)</t>
    <phoneticPr fontId="9" type="noConversion"/>
  </si>
  <si>
    <t>SHN400(BL)</t>
    <phoneticPr fontId="5" type="noConversion"/>
  </si>
  <si>
    <t>고철+5톤</t>
    <phoneticPr fontId="9" type="noConversion"/>
  </si>
  <si>
    <t>열간보수</t>
    <phoneticPr fontId="9" type="noConversion"/>
  </si>
  <si>
    <t>O</t>
    <phoneticPr fontId="9" type="noConversion"/>
  </si>
  <si>
    <t>O</t>
    <phoneticPr fontId="9" type="noConversion"/>
  </si>
  <si>
    <t>SHN400(BL)</t>
    <phoneticPr fontId="5" type="noConversion"/>
  </si>
  <si>
    <t>A</t>
    <phoneticPr fontId="9" type="noConversion"/>
  </si>
  <si>
    <t>전극연결, 열간보수</t>
    <phoneticPr fontId="9" type="noConversion"/>
  </si>
  <si>
    <r>
      <t xml:space="preserve">초장 아크不 조업 지연, </t>
    </r>
    <r>
      <rPr>
        <sz val="9"/>
        <color rgb="FFFF0000"/>
        <rFont val="굴림"/>
        <family val="3"/>
        <charset val="129"/>
      </rPr>
      <t>탈산</t>
    </r>
    <phoneticPr fontId="9" type="noConversion"/>
  </si>
  <si>
    <t>전극연결(대기로 송전不)</t>
    <phoneticPr fontId="9" type="noConversion"/>
  </si>
  <si>
    <t>S.D.K</t>
    <phoneticPr fontId="9" type="noConversion"/>
  </si>
  <si>
    <t>열간보수, 로내 보이링 C 상승(5→17) 온도 저하 재송전</t>
    <phoneticPr fontId="9" type="noConversion"/>
  </si>
  <si>
    <r>
      <t xml:space="preserve">고철누름 (2'), </t>
    </r>
    <r>
      <rPr>
        <sz val="9"/>
        <color rgb="FFFF0000"/>
        <rFont val="굴림"/>
        <family val="3"/>
        <charset val="129"/>
      </rPr>
      <t>탈탄(2', C 21)</t>
    </r>
    <phoneticPr fontId="9" type="noConversion"/>
  </si>
  <si>
    <t>SS400-05</t>
    <phoneticPr fontId="5" type="noConversion"/>
  </si>
  <si>
    <t>BD-T</t>
    <phoneticPr fontId="25" type="noConversion"/>
  </si>
  <si>
    <t>탈탄(C 19)</t>
    <phoneticPr fontId="9" type="noConversion"/>
  </si>
  <si>
    <t>SS400-05</t>
    <phoneticPr fontId="9" type="noConversion"/>
  </si>
  <si>
    <t>S3 크레인 그라플 교체 스케쥴 조정</t>
    <phoneticPr fontId="9" type="noConversion"/>
  </si>
  <si>
    <t>C</t>
    <phoneticPr fontId="9" type="noConversion"/>
  </si>
  <si>
    <t>양호</t>
    <phoneticPr fontId="9" type="noConversion"/>
  </si>
  <si>
    <t>O</t>
    <phoneticPr fontId="9" type="noConversion"/>
  </si>
  <si>
    <t>B/S</t>
    <phoneticPr fontId="5" type="noConversion"/>
  </si>
  <si>
    <t>열간보수.고철+5톤.고철누름.S3 크레인 그라플 교체완료 정상장입</t>
    <phoneticPr fontId="9" type="noConversion"/>
  </si>
  <si>
    <t>양호</t>
    <phoneticPr fontId="9" type="noConversion"/>
  </si>
  <si>
    <t>X</t>
    <phoneticPr fontId="9" type="noConversion"/>
  </si>
  <si>
    <t>A로 보수재 4포충진</t>
    <phoneticPr fontId="9" type="noConversion"/>
  </si>
  <si>
    <t>EBT 몽짜막힘(출강량 小)</t>
    <phoneticPr fontId="9" type="noConversion"/>
  </si>
  <si>
    <t>전극연결.열간보수.고철+5톤</t>
    <phoneticPr fontId="9" type="noConversion"/>
  </si>
  <si>
    <t>지락발생 수회.고철누름(5').수동송전(7').고철-5톤</t>
    <phoneticPr fontId="9" type="noConversion"/>
  </si>
  <si>
    <t>WCP S3-10 로체온도 상승</t>
    <phoneticPr fontId="9" type="noConversion"/>
  </si>
  <si>
    <t>D</t>
    <phoneticPr fontId="9" type="noConversion"/>
  </si>
  <si>
    <t>유탕미용해</t>
    <phoneticPr fontId="9" type="noConversion"/>
  </si>
  <si>
    <t>측온不,소손,그라인딩</t>
    <phoneticPr fontId="9" type="noConversion"/>
  </si>
  <si>
    <t>홀더교체</t>
    <phoneticPr fontId="9" type="noConversion"/>
  </si>
  <si>
    <t>X</t>
    <phoneticPr fontId="9" type="noConversion"/>
  </si>
  <si>
    <t>X</t>
    <phoneticPr fontId="9" type="noConversion"/>
  </si>
  <si>
    <t>측온不,소손,그라인딩,유탕미용해</t>
    <phoneticPr fontId="9" type="noConversion"/>
  </si>
  <si>
    <t>전력5800경 지락 수회발생 수동송전,유탕미용해</t>
    <phoneticPr fontId="9" type="noConversion"/>
  </si>
  <si>
    <t>L/D 신축</t>
    <phoneticPr fontId="9" type="noConversion"/>
  </si>
  <si>
    <t>2회</t>
    <phoneticPr fontId="9" type="noConversion"/>
  </si>
  <si>
    <t>3회</t>
    <phoneticPr fontId="9" type="noConversion"/>
  </si>
  <si>
    <t>전극연결,열간보수</t>
    <phoneticPr fontId="9" type="noConversion"/>
  </si>
  <si>
    <t>S.D.K</t>
    <phoneticPr fontId="9" type="noConversion"/>
  </si>
  <si>
    <t>열간보수</t>
    <phoneticPr fontId="9" type="noConversion"/>
  </si>
  <si>
    <t>양호</t>
    <phoneticPr fontId="9" type="noConversion"/>
  </si>
  <si>
    <t>양호</t>
    <phoneticPr fontId="9" type="noConversion"/>
  </si>
  <si>
    <t>열간보수,몽짜미용해</t>
    <phoneticPr fontId="9" type="noConversion"/>
  </si>
  <si>
    <t>ㅌ</t>
    <phoneticPr fontId="9" type="noConversion"/>
  </si>
  <si>
    <t>지금미용해,측온不,소손,그라인딩</t>
    <phoneticPr fontId="9" type="noConversion"/>
  </si>
  <si>
    <t>홀더교체</t>
    <phoneticPr fontId="9" type="noConversion"/>
  </si>
  <si>
    <t>A</t>
    <phoneticPr fontId="9" type="noConversion"/>
  </si>
  <si>
    <r>
      <t xml:space="preserve">#2 카브젯 막힘 사용不, </t>
    </r>
    <r>
      <rPr>
        <sz val="9"/>
        <color rgb="FFFF0000"/>
        <rFont val="굴림"/>
        <family val="3"/>
        <charset val="129"/>
      </rPr>
      <t>탈산(C 3)</t>
    </r>
    <phoneticPr fontId="9" type="noConversion"/>
  </si>
  <si>
    <t>#2 카브젯 보수 대기로 송전不</t>
    <phoneticPr fontId="9" type="noConversion"/>
  </si>
  <si>
    <r>
      <t>4회,</t>
    </r>
    <r>
      <rPr>
        <sz val="9"/>
        <color rgb="FF0000CC"/>
        <rFont val="굴림"/>
        <family val="3"/>
        <charset val="129"/>
      </rPr>
      <t xml:space="preserve"> </t>
    </r>
    <r>
      <rPr>
        <sz val="9"/>
        <color theme="1"/>
        <rFont val="굴림"/>
        <family val="3"/>
        <charset val="129"/>
      </rPr>
      <t>고철누름</t>
    </r>
    <phoneticPr fontId="9" type="noConversion"/>
  </si>
  <si>
    <t>C</t>
    <phoneticPr fontId="9" type="noConversion"/>
  </si>
  <si>
    <t>6회</t>
    <phoneticPr fontId="9" type="noConversion"/>
  </si>
  <si>
    <t>8회</t>
    <phoneticPr fontId="9" type="noConversion"/>
  </si>
  <si>
    <t>5회.탈탄(112-12)</t>
    <phoneticPr fontId="9" type="noConversion"/>
  </si>
  <si>
    <t>전극연결.열간보수</t>
    <phoneticPr fontId="9" type="noConversion"/>
  </si>
  <si>
    <t>S.D.K</t>
    <phoneticPr fontId="9" type="noConversion"/>
  </si>
  <si>
    <t>B로 S3-8 누수용접(편로)</t>
    <phoneticPr fontId="9" type="noConversion"/>
  </si>
  <si>
    <t>전극연결.열간보수.온도저하(재송전).측온홀더 소손(그라인딩)</t>
    <phoneticPr fontId="9" type="noConversion"/>
  </si>
  <si>
    <t>열간보수</t>
    <phoneticPr fontId="9" type="noConversion"/>
  </si>
  <si>
    <t>고철+5톤</t>
    <phoneticPr fontId="9" type="noConversion"/>
  </si>
  <si>
    <t>전극연결,열간보수</t>
    <phoneticPr fontId="9" type="noConversion"/>
  </si>
  <si>
    <t>O</t>
    <phoneticPr fontId="9" type="noConversion"/>
  </si>
  <si>
    <t>고철+5톤,내화물부상</t>
    <phoneticPr fontId="9" type="noConversion"/>
  </si>
  <si>
    <t>란마랜스 누수</t>
    <phoneticPr fontId="9" type="noConversion"/>
  </si>
  <si>
    <t>란마랜스누수,교체,샤용不,측온Error,탈착중Stop,그라인딩</t>
    <phoneticPr fontId="9" type="noConversion"/>
  </si>
  <si>
    <t>랜스교체완료,대기로송전不,내화물부상,몽,유탕제외</t>
    <phoneticPr fontId="9" type="noConversion"/>
  </si>
  <si>
    <t>고철+5톤</t>
    <phoneticPr fontId="9" type="noConversion"/>
  </si>
  <si>
    <t>x</t>
    <phoneticPr fontId="9" type="noConversion"/>
  </si>
  <si>
    <t>B</t>
    <phoneticPr fontId="9" type="noConversion"/>
  </si>
  <si>
    <t>내화물부상(몽짜.유탕.지금장입금지).EBT Slag 유출(대기로 송전)</t>
    <phoneticPr fontId="9" type="noConversion"/>
  </si>
  <si>
    <t>전극연결</t>
    <phoneticPr fontId="9" type="noConversion"/>
  </si>
  <si>
    <t>S.D.K</t>
    <phoneticPr fontId="9" type="noConversion"/>
  </si>
  <si>
    <t>200 ?</t>
    <phoneticPr fontId="9" type="noConversion"/>
  </si>
  <si>
    <t>전극연결.고철누름</t>
    <phoneticPr fontId="9" type="noConversion"/>
  </si>
  <si>
    <t>내화물 처리(대기로 송전不).고철누름</t>
    <phoneticPr fontId="9" type="noConversion"/>
  </si>
  <si>
    <t>O</t>
    <phoneticPr fontId="9" type="noConversion"/>
  </si>
  <si>
    <t>내화물 처리(대기로 송전不).고철누름.내화물 막함(출강량 小)</t>
    <phoneticPr fontId="9" type="noConversion"/>
  </si>
  <si>
    <t>내화물 처리(대기로 송전不)고철누름</t>
    <phoneticPr fontId="9" type="noConversion"/>
  </si>
  <si>
    <t>전량</t>
    <phoneticPr fontId="9" type="noConversion"/>
  </si>
  <si>
    <t>전량</t>
    <phoneticPr fontId="9" type="noConversion"/>
  </si>
  <si>
    <r>
      <t>전극연결,</t>
    </r>
    <r>
      <rPr>
        <b/>
        <sz val="9"/>
        <color rgb="FF0000CC"/>
        <rFont val="굴림"/>
        <family val="3"/>
        <charset val="129"/>
      </rPr>
      <t xml:space="preserve"> L/D7회</t>
    </r>
    <phoneticPr fontId="9" type="noConversion"/>
  </si>
  <si>
    <t>L/D8회</t>
    <phoneticPr fontId="9" type="noConversion"/>
  </si>
  <si>
    <r>
      <t>전량</t>
    </r>
    <r>
      <rPr>
        <b/>
        <sz val="9"/>
        <color rgb="FF0000CC"/>
        <rFont val="굴림"/>
        <family val="3"/>
        <charset val="129"/>
      </rPr>
      <t>,10회</t>
    </r>
    <phoneticPr fontId="9" type="noConversion"/>
  </si>
  <si>
    <r>
      <rPr>
        <b/>
        <sz val="9"/>
        <color rgb="FF0000CC"/>
        <rFont val="굴림"/>
        <family val="3"/>
        <charset val="129"/>
      </rPr>
      <t>L/D9회,</t>
    </r>
    <r>
      <rPr>
        <sz val="9"/>
        <rFont val="굴림"/>
        <family val="3"/>
        <charset val="129"/>
      </rPr>
      <t>열간보수,VLB#3 가스라인막힘 청소</t>
    </r>
    <phoneticPr fontId="9" type="noConversion"/>
  </si>
  <si>
    <t>내화물처리,열간보수</t>
    <phoneticPr fontId="9" type="noConversion"/>
  </si>
  <si>
    <t>미용해재송전</t>
    <phoneticPr fontId="9" type="noConversion"/>
  </si>
  <si>
    <t>5포</t>
    <phoneticPr fontId="5" type="noConversion"/>
  </si>
  <si>
    <t>3포</t>
    <phoneticPr fontId="5" type="noConversion"/>
  </si>
  <si>
    <t>양호</t>
    <phoneticPr fontId="9" type="noConversion"/>
  </si>
  <si>
    <t>3포.주간보수.측온홀더 소손(그라인딩).           SS400-04</t>
    <phoneticPr fontId="9" type="noConversion"/>
  </si>
  <si>
    <t>SS400-04</t>
    <phoneticPr fontId="5" type="noConversion"/>
  </si>
  <si>
    <t>주간보수</t>
    <phoneticPr fontId="9" type="noConversion"/>
  </si>
  <si>
    <t>B</t>
    <phoneticPr fontId="9" type="noConversion"/>
  </si>
  <si>
    <t>5포.로체온도 상승1'(C-15).대기로 송전18'.L/D 대기6'</t>
    <phoneticPr fontId="9" type="noConversion"/>
  </si>
  <si>
    <t>S355JO-01</t>
    <phoneticPr fontId="5" type="noConversion"/>
  </si>
  <si>
    <t>A로 금형(소진)                    S355JO-01</t>
    <phoneticPr fontId="9" type="noConversion"/>
  </si>
  <si>
    <t>A</t>
    <phoneticPr fontId="9" type="noConversion"/>
  </si>
  <si>
    <t>전극연결, 열간보수, 고철누름</t>
    <phoneticPr fontId="9" type="noConversion"/>
  </si>
  <si>
    <t>탈산(C 4)</t>
    <phoneticPr fontId="9" type="noConversion"/>
  </si>
  <si>
    <r>
      <t>고철누름(1'),</t>
    </r>
    <r>
      <rPr>
        <sz val="9"/>
        <color rgb="FFFF0000"/>
        <rFont val="굴림"/>
        <family val="3"/>
        <charset val="129"/>
      </rPr>
      <t xml:space="preserve"> 탈산(3', C 5)</t>
    </r>
    <phoneticPr fontId="9" type="noConversion"/>
  </si>
  <si>
    <t>A572-50-01</t>
  </si>
  <si>
    <t>A572-50-01</t>
    <phoneticPr fontId="9" type="noConversion"/>
  </si>
  <si>
    <t>A572-50-01</t>
    <phoneticPr fontId="5" type="noConversion"/>
  </si>
  <si>
    <t>전극연결, 열간보수, 미용해 재송전</t>
    <phoneticPr fontId="9" type="noConversion"/>
  </si>
  <si>
    <t>열간보수,발코니포함</t>
    <phoneticPr fontId="9" type="noConversion"/>
  </si>
  <si>
    <t xml:space="preserve">                                      S355JO-01</t>
    <phoneticPr fontId="9" type="noConversion"/>
  </si>
  <si>
    <t>S355JO-01</t>
    <phoneticPr fontId="5" type="noConversion"/>
  </si>
  <si>
    <t>SHN275(BB)</t>
  </si>
  <si>
    <t>SHN275(BB)</t>
    <phoneticPr fontId="5" type="noConversion"/>
  </si>
  <si>
    <t>2차 측온시 고철붕괴(재송전)                    SHN275(BB).단조</t>
    <phoneticPr fontId="9" type="noConversion"/>
  </si>
  <si>
    <t>양호</t>
    <phoneticPr fontId="9" type="noConversion"/>
  </si>
  <si>
    <t>O</t>
    <phoneticPr fontId="9" type="noConversion"/>
  </si>
  <si>
    <t>S3-9 로체온도 상승.측온홀더 소손(그라인딩)</t>
    <phoneticPr fontId="9" type="noConversion"/>
  </si>
  <si>
    <t>고철누름</t>
    <phoneticPr fontId="9" type="noConversion"/>
  </si>
  <si>
    <t>SS400-02</t>
  </si>
  <si>
    <t>SS400-02</t>
    <phoneticPr fontId="9" type="noConversion"/>
  </si>
  <si>
    <t>SS400-02</t>
    <phoneticPr fontId="5" type="noConversion"/>
  </si>
  <si>
    <r>
      <t xml:space="preserve">내화물 처리 대기로 송전不, </t>
    </r>
    <r>
      <rPr>
        <sz val="9"/>
        <color rgb="FFFF0000"/>
        <rFont val="굴림"/>
        <family val="3"/>
        <charset val="129"/>
      </rPr>
      <t>탈탄(C 16→25)</t>
    </r>
    <phoneticPr fontId="9" type="noConversion"/>
  </si>
  <si>
    <r>
      <t xml:space="preserve">전극연결, 열간보수, </t>
    </r>
    <r>
      <rPr>
        <sz val="9"/>
        <color rgb="FFFF0000"/>
        <rFont val="굴림"/>
        <family val="3"/>
        <charset val="129"/>
      </rPr>
      <t>탈탄(C 18)</t>
    </r>
    <phoneticPr fontId="9" type="noConversion"/>
  </si>
  <si>
    <t>x</t>
    <phoneticPr fontId="9" type="noConversion"/>
  </si>
  <si>
    <t>SS400-04</t>
    <phoneticPr fontId="9" type="noConversion"/>
  </si>
  <si>
    <t>내화물부상(몽짜.유탕.지금장입금지)</t>
    <phoneticPr fontId="9" type="noConversion"/>
  </si>
  <si>
    <t>A572-50-01</t>
    <phoneticPr fontId="5" type="noConversion"/>
  </si>
  <si>
    <r>
      <t>A572-50-01</t>
    </r>
    <r>
      <rPr>
        <sz val="9"/>
        <rFont val="굴림"/>
        <family val="3"/>
        <charset val="129"/>
      </rPr>
      <t xml:space="preserve"> , 열간보수 , 대기로송전9분(연주FLYING)</t>
    </r>
    <phoneticPr fontId="9" type="noConversion"/>
  </si>
  <si>
    <t>EBT 내화물처리</t>
    <phoneticPr fontId="9" type="noConversion"/>
  </si>
  <si>
    <t>열간보수, EBT 내화물처리</t>
    <phoneticPr fontId="9" type="noConversion"/>
  </si>
  <si>
    <t>S3-6 로체온도상승9', #2 VLB 메인산소가스막힘,청소,대기로송전不</t>
    <phoneticPr fontId="9" type="noConversion"/>
  </si>
  <si>
    <t>S.D.K</t>
    <phoneticPr fontId="9" type="noConversion"/>
  </si>
  <si>
    <t>#2 VLB 메인산소가스막힘,S3-10 온도상승,</t>
    <phoneticPr fontId="9" type="noConversion"/>
  </si>
  <si>
    <t>믹서不</t>
    <phoneticPr fontId="9" type="noConversion"/>
  </si>
  <si>
    <r>
      <rPr>
        <b/>
        <sz val="9"/>
        <color rgb="FFFF0000"/>
        <rFont val="굴림"/>
        <family val="3"/>
        <charset val="129"/>
      </rPr>
      <t>SS400-02</t>
    </r>
    <r>
      <rPr>
        <sz val="9"/>
        <rFont val="굴림"/>
        <family val="3"/>
        <charset val="129"/>
      </rPr>
      <t>,홀더교체,전극연결,열간보수,고철누름</t>
    </r>
    <phoneticPr fontId="9" type="noConversion"/>
  </si>
  <si>
    <t>SS400-02</t>
    <phoneticPr fontId="5" type="noConversion"/>
  </si>
  <si>
    <t>SS400-02</t>
    <phoneticPr fontId="5" type="noConversion"/>
  </si>
  <si>
    <t>양호</t>
    <phoneticPr fontId="9" type="noConversion"/>
  </si>
  <si>
    <t>O</t>
    <phoneticPr fontId="9" type="noConversion"/>
  </si>
  <si>
    <t>SHN275(BB, 단조)</t>
    <phoneticPr fontId="9" type="noConversion"/>
  </si>
  <si>
    <t>SHN275(BB)</t>
    <phoneticPr fontId="5" type="noConversion"/>
  </si>
  <si>
    <r>
      <t>SHN275(BB, 단조),</t>
    </r>
    <r>
      <rPr>
        <sz val="9"/>
        <color rgb="FFFF0000"/>
        <rFont val="굴림"/>
        <family val="3"/>
        <charset val="129"/>
      </rPr>
      <t xml:space="preserve"> 작업문 온도 상승(39,800kwh), 로내 누수 확인,
#3 카브젯 Off 不 스라그 과다 처리</t>
    </r>
    <phoneticPr fontId="9" type="noConversion"/>
  </si>
  <si>
    <t>SS400-02</t>
    <phoneticPr fontId="5" type="noConversion"/>
  </si>
  <si>
    <t>탈탄(C 20)</t>
    <phoneticPr fontId="9" type="noConversion"/>
  </si>
  <si>
    <t>SHN275(BB)</t>
    <phoneticPr fontId="5" type="noConversion"/>
  </si>
  <si>
    <r>
      <rPr>
        <sz val="9"/>
        <color rgb="FFFF0000"/>
        <rFont val="굴림"/>
        <family val="3"/>
        <charset val="129"/>
      </rPr>
      <t>S3-#7 스파크 용손 교체,</t>
    </r>
    <r>
      <rPr>
        <sz val="9"/>
        <rFont val="굴림"/>
        <family val="3"/>
        <charset val="129"/>
      </rPr>
      <t xml:space="preserve"> 열간보수, #3 카브젯 해체 사용不,고철누름(3'), 
</t>
    </r>
    <r>
      <rPr>
        <sz val="9"/>
        <color rgb="FFFF0000"/>
        <rFont val="굴림"/>
        <family val="3"/>
        <charset val="129"/>
      </rPr>
      <t xml:space="preserve">탈탄(4', C 30), </t>
    </r>
    <r>
      <rPr>
        <sz val="9"/>
        <color theme="1"/>
        <rFont val="굴림"/>
        <family val="3"/>
        <charset val="129"/>
      </rPr>
      <t>수강대차 로드셀 헌팅</t>
    </r>
    <r>
      <rPr>
        <sz val="9"/>
        <color rgb="FFFF0000"/>
        <rFont val="굴림"/>
        <family val="3"/>
        <charset val="129"/>
      </rPr>
      <t xml:space="preserve"> </t>
    </r>
    <phoneticPr fontId="9" type="noConversion"/>
  </si>
  <si>
    <t>고철누름</t>
    <phoneticPr fontId="9" type="noConversion"/>
  </si>
  <si>
    <r>
      <rPr>
        <b/>
        <sz val="9"/>
        <color rgb="FFFF0000"/>
        <rFont val="굴림"/>
        <family val="3"/>
        <charset val="129"/>
      </rPr>
      <t>SHN275(BB, 단조),</t>
    </r>
    <r>
      <rPr>
        <sz val="9"/>
        <rFont val="굴림"/>
        <family val="3"/>
        <charset val="129"/>
      </rPr>
      <t xml:space="preserve"> 고철누름, 탈산(C 6)</t>
    </r>
    <phoneticPr fontId="9" type="noConversion"/>
  </si>
  <si>
    <r>
      <t>A로 S3-#7 스파크 용손 교체 편로, SS400-02,</t>
    </r>
    <r>
      <rPr>
        <sz val="9"/>
        <color theme="1"/>
        <rFont val="굴림"/>
        <family val="3"/>
        <charset val="129"/>
      </rPr>
      <t xml:space="preserve"> 고철누름 1'</t>
    </r>
    <phoneticPr fontId="9" type="noConversion"/>
  </si>
  <si>
    <r>
      <t xml:space="preserve">전극연결(대기로 송전不), </t>
    </r>
    <r>
      <rPr>
        <sz val="9"/>
        <color rgb="FFFF0000"/>
        <rFont val="굴림"/>
        <family val="3"/>
        <charset val="129"/>
      </rPr>
      <t>#3 카브젯 Off 不</t>
    </r>
    <phoneticPr fontId="9" type="noConversion"/>
  </si>
  <si>
    <t>S355JO-03(단조, 민감)</t>
    <phoneticPr fontId="9" type="noConversion"/>
  </si>
  <si>
    <t>B</t>
    <phoneticPr fontId="9" type="noConversion"/>
  </si>
  <si>
    <t>대기로송전不(G/M믹서기교체)</t>
    <phoneticPr fontId="9" type="noConversion"/>
  </si>
  <si>
    <t>S355JO-03</t>
    <phoneticPr fontId="5" type="noConversion"/>
  </si>
  <si>
    <t>열간보수</t>
    <phoneticPr fontId="9" type="noConversion"/>
  </si>
  <si>
    <t>4포</t>
    <phoneticPr fontId="9" type="noConversion"/>
  </si>
  <si>
    <t>4포</t>
    <phoneticPr fontId="9" type="noConversion"/>
  </si>
  <si>
    <r>
      <t>신축L/D,</t>
    </r>
    <r>
      <rPr>
        <sz val="9"/>
        <rFont val="굴림"/>
        <family val="3"/>
        <charset val="129"/>
      </rPr>
      <t>탄보급,탈산</t>
    </r>
    <phoneticPr fontId="9" type="noConversion"/>
  </si>
  <si>
    <t>고철+5톤,온도下재송전</t>
    <phoneticPr fontId="9" type="noConversion"/>
  </si>
  <si>
    <t>탈산</t>
    <phoneticPr fontId="9" type="noConversion"/>
  </si>
  <si>
    <r>
      <t>2회,</t>
    </r>
    <r>
      <rPr>
        <sz val="9"/>
        <rFont val="굴림"/>
        <family val="3"/>
        <charset val="129"/>
      </rPr>
      <t>탈산</t>
    </r>
    <phoneticPr fontId="9" type="noConversion"/>
  </si>
  <si>
    <t>S.D.K</t>
    <phoneticPr fontId="9" type="noConversion"/>
  </si>
  <si>
    <t>S.D.K</t>
    <phoneticPr fontId="9" type="noConversion"/>
  </si>
  <si>
    <t>전극연결,열간보수</t>
    <phoneticPr fontId="9" type="noConversion"/>
  </si>
  <si>
    <r>
      <t>3회,</t>
    </r>
    <r>
      <rPr>
        <sz val="9"/>
        <rFont val="굴림"/>
        <family val="3"/>
        <charset val="129"/>
      </rPr>
      <t>열간보수</t>
    </r>
    <phoneticPr fontId="9" type="noConversion"/>
  </si>
  <si>
    <t>온도下재송전,탈산</t>
    <phoneticPr fontId="9" type="noConversion"/>
  </si>
  <si>
    <t>6회</t>
    <phoneticPr fontId="9" type="noConversion"/>
  </si>
  <si>
    <t>7회</t>
    <phoneticPr fontId="9" type="noConversion"/>
  </si>
  <si>
    <t>S355JO-03</t>
    <phoneticPr fontId="5" type="noConversion"/>
  </si>
  <si>
    <t>탈탄(C 21)</t>
    <phoneticPr fontId="9" type="noConversion"/>
  </si>
  <si>
    <r>
      <t xml:space="preserve">4회, </t>
    </r>
    <r>
      <rPr>
        <b/>
        <sz val="9"/>
        <color rgb="FFFF0000"/>
        <rFont val="굴림"/>
        <family val="3"/>
        <charset val="129"/>
      </rPr>
      <t>A로 #1 VLB 판넬 누수 다듬질 9',</t>
    </r>
    <r>
      <rPr>
        <sz val="9"/>
        <color rgb="FFFF0000"/>
        <rFont val="굴림"/>
        <family val="3"/>
        <charset val="129"/>
      </rPr>
      <t xml:space="preserve"> 탈탄(8', C 43)</t>
    </r>
    <phoneticPr fontId="9" type="noConversion"/>
  </si>
  <si>
    <r>
      <t>SS400-02,</t>
    </r>
    <r>
      <rPr>
        <sz val="9"/>
        <color theme="1"/>
        <rFont val="굴림"/>
        <family val="3"/>
        <charset val="129"/>
      </rPr>
      <t xml:space="preserve"> 열간보수,</t>
    </r>
    <r>
      <rPr>
        <sz val="9"/>
        <color rgb="FFFF0000"/>
        <rFont val="굴림"/>
        <family val="3"/>
        <charset val="129"/>
      </rPr>
      <t xml:space="preserve"> #1 VLB 판넬 누수 다듬질</t>
    </r>
    <phoneticPr fontId="9" type="noConversion"/>
  </si>
  <si>
    <r>
      <t>A572-50-01,</t>
    </r>
    <r>
      <rPr>
        <sz val="9"/>
        <color theme="1"/>
        <rFont val="굴림"/>
        <family val="3"/>
        <charset val="129"/>
      </rPr>
      <t xml:space="preserve"> 열간보수, </t>
    </r>
    <r>
      <rPr>
        <sz val="9"/>
        <color rgb="FFFF0000"/>
        <rFont val="굴림"/>
        <family val="3"/>
        <charset val="129"/>
      </rPr>
      <t>탈탄(C 22)</t>
    </r>
    <phoneticPr fontId="9" type="noConversion"/>
  </si>
  <si>
    <r>
      <t xml:space="preserve">5회, </t>
    </r>
    <r>
      <rPr>
        <b/>
        <sz val="9"/>
        <color rgb="FFFF0000"/>
        <rFont val="굴림"/>
        <family val="3"/>
        <charset val="129"/>
      </rPr>
      <t>A572-50-01</t>
    </r>
    <phoneticPr fontId="9" type="noConversion"/>
  </si>
  <si>
    <r>
      <t>S355JO-03(단조, 민감),</t>
    </r>
    <r>
      <rPr>
        <sz val="9"/>
        <color theme="1"/>
        <rFont val="굴림"/>
        <family val="3"/>
        <charset val="129"/>
      </rPr>
      <t xml:space="preserve"> 연주 플라잉 대기로 송전</t>
    </r>
    <phoneticPr fontId="9" type="noConversion"/>
  </si>
  <si>
    <t>전극연결(대기로 송전不), T1 지원 대기로 송전(4'), 
측온 홀더 교체 그라인딩(4')</t>
    <phoneticPr fontId="9" type="noConversion"/>
  </si>
  <si>
    <t>재측온</t>
    <phoneticPr fontId="9" type="noConversion"/>
  </si>
  <si>
    <t>8회</t>
    <phoneticPr fontId="9" type="noConversion"/>
  </si>
  <si>
    <t>9회</t>
    <phoneticPr fontId="9" type="noConversion"/>
  </si>
  <si>
    <t xml:space="preserve">                                     S355JO-01</t>
    <phoneticPr fontId="9" type="noConversion"/>
  </si>
  <si>
    <t>B로 보수재 4포충진</t>
    <phoneticPr fontId="9" type="noConversion"/>
  </si>
  <si>
    <t>EBT 베젤링 고철제거.S3-10 로체온도 상승(대기로 송전)</t>
    <phoneticPr fontId="9" type="noConversion"/>
  </si>
  <si>
    <t>열간보수.측온홀더 소손(그라인딩)</t>
    <phoneticPr fontId="9" type="noConversion"/>
  </si>
  <si>
    <t>A572-50-03</t>
    <phoneticPr fontId="5" type="noConversion"/>
  </si>
  <si>
    <t>편로(4').고철누름(7').누수점검(32').로체온도 상승(23')
A572-50-03</t>
    <phoneticPr fontId="9" type="noConversion"/>
  </si>
  <si>
    <t>D</t>
    <phoneticPr fontId="9" type="noConversion"/>
  </si>
  <si>
    <t>B로 WCP#4 세트교체 A로편로조업</t>
    <phoneticPr fontId="9" type="noConversion"/>
  </si>
  <si>
    <t>수강대차 로드셀 카운터不(통신이상)</t>
    <phoneticPr fontId="9" type="noConversion"/>
  </si>
  <si>
    <r>
      <t>수강대차 로드셀 카운터不(통신이상),</t>
    </r>
    <r>
      <rPr>
        <b/>
        <sz val="9"/>
        <color rgb="FFFF0000"/>
        <rFont val="굴림"/>
        <family val="3"/>
        <charset val="129"/>
      </rPr>
      <t>A572-50-01</t>
    </r>
    <phoneticPr fontId="9" type="noConversion"/>
  </si>
  <si>
    <t>A272-50-01</t>
    <phoneticPr fontId="5" type="noConversion"/>
  </si>
  <si>
    <r>
      <t>9회,</t>
    </r>
    <r>
      <rPr>
        <sz val="9"/>
        <color theme="1"/>
        <rFont val="굴림"/>
        <family val="3"/>
        <charset val="129"/>
      </rPr>
      <t>열간보수,고철누름</t>
    </r>
    <phoneticPr fontId="9" type="noConversion"/>
  </si>
  <si>
    <t>양호</t>
    <phoneticPr fontId="9" type="noConversion"/>
  </si>
  <si>
    <r>
      <t>10회</t>
    </r>
    <r>
      <rPr>
        <sz val="9"/>
        <color theme="1"/>
        <rFont val="굴림"/>
        <family val="3"/>
        <charset val="129"/>
      </rPr>
      <t>,전극연결,열간보수</t>
    </r>
    <phoneticPr fontId="9" type="noConversion"/>
  </si>
  <si>
    <t>S.D.K</t>
    <phoneticPr fontId="9" type="noConversion"/>
  </si>
  <si>
    <t>4포</t>
    <phoneticPr fontId="9" type="noConversion"/>
  </si>
  <si>
    <t>S355JO-01</t>
    <phoneticPr fontId="9" type="noConversion"/>
  </si>
  <si>
    <t>전극연결, 열간보수</t>
    <phoneticPr fontId="9" type="noConversion"/>
  </si>
  <si>
    <r>
      <t>S355JO-01,</t>
    </r>
    <r>
      <rPr>
        <sz val="9"/>
        <color theme="1"/>
        <rFont val="굴림"/>
        <family val="3"/>
        <charset val="129"/>
      </rPr>
      <t xml:space="preserve"> 고철누름(1'), 로내 보이링 재측온(4')</t>
    </r>
    <phoneticPr fontId="9" type="noConversion"/>
  </si>
  <si>
    <t>전원 절체기 이상</t>
    <phoneticPr fontId="9" type="noConversion"/>
  </si>
  <si>
    <t>고철누름</t>
    <phoneticPr fontId="9" type="noConversion"/>
  </si>
  <si>
    <t>측온 에러 재측정</t>
    <phoneticPr fontId="9" type="noConversion"/>
  </si>
  <si>
    <t>C</t>
    <phoneticPr fontId="9" type="noConversion"/>
  </si>
  <si>
    <t>X</t>
    <phoneticPr fontId="9" type="noConversion"/>
  </si>
  <si>
    <t>B로 보수재 3포충진</t>
    <phoneticPr fontId="9" type="noConversion"/>
  </si>
  <si>
    <t>A.B로 금형(재고 無).               SHN275(BB).단조</t>
    <phoneticPr fontId="9" type="noConversion"/>
  </si>
  <si>
    <t>O</t>
    <phoneticPr fontId="9" type="noConversion"/>
  </si>
  <si>
    <t>고철누름.측온홀더 소손(그라인딩)       SHP275W(단조 X)</t>
    <phoneticPr fontId="9" type="noConversion"/>
  </si>
  <si>
    <t>SHP275W</t>
    <phoneticPr fontId="5" type="noConversion"/>
  </si>
  <si>
    <t xml:space="preserve">측온홀더 소손(그라인딩)      </t>
    <phoneticPr fontId="9" type="noConversion"/>
  </si>
  <si>
    <t>D</t>
    <phoneticPr fontId="9" type="noConversion"/>
  </si>
  <si>
    <t>전원절체기 이상</t>
    <phoneticPr fontId="9" type="noConversion"/>
  </si>
  <si>
    <t>SHP355W</t>
  </si>
  <si>
    <t>SHP355W</t>
    <phoneticPr fontId="9" type="noConversion"/>
  </si>
  <si>
    <t>SS400-02</t>
    <phoneticPr fontId="9" type="noConversion"/>
  </si>
  <si>
    <r>
      <t>A572-50-01,</t>
    </r>
    <r>
      <rPr>
        <sz val="9"/>
        <rFont val="굴림"/>
        <family val="3"/>
        <charset val="129"/>
      </rPr>
      <t>몽짜미용해</t>
    </r>
    <phoneticPr fontId="9" type="noConversion"/>
  </si>
  <si>
    <t>SHP355W</t>
    <phoneticPr fontId="5" type="noConversion"/>
  </si>
  <si>
    <r>
      <t>SHP355W,</t>
    </r>
    <r>
      <rPr>
        <sz val="9"/>
        <rFont val="굴림"/>
        <family val="3"/>
        <charset val="129"/>
      </rPr>
      <t>측온不,소손,그라인딩,</t>
    </r>
    <r>
      <rPr>
        <b/>
        <sz val="9"/>
        <color rgb="FFFF0000"/>
        <rFont val="굴림"/>
        <family val="3"/>
        <charset val="129"/>
      </rPr>
      <t>민감사이즈,단조</t>
    </r>
    <phoneticPr fontId="9" type="noConversion"/>
  </si>
  <si>
    <t>S.D.K</t>
    <phoneticPr fontId="9" type="noConversion"/>
  </si>
  <si>
    <t>O</t>
    <phoneticPr fontId="9" type="noConversion"/>
  </si>
  <si>
    <t>홀더교체,L/D대기(L/F #10 C/V 계량不,조업지연),재송전</t>
    <phoneticPr fontId="9" type="noConversion"/>
  </si>
  <si>
    <t>전극연결,열간보수,탈산</t>
    <phoneticPr fontId="9" type="noConversion"/>
  </si>
  <si>
    <t>S-2호 그라플 교체,장입조정</t>
    <phoneticPr fontId="9" type="noConversion"/>
  </si>
  <si>
    <t>20000??</t>
    <phoneticPr fontId="9" type="noConversion"/>
  </si>
  <si>
    <t>21??</t>
    <phoneticPr fontId="9" type="noConversion"/>
  </si>
  <si>
    <t>열간보수</t>
    <phoneticPr fontId="9" type="noConversion"/>
  </si>
  <si>
    <t>(민감끝)</t>
    <phoneticPr fontId="9" type="noConversion"/>
  </si>
  <si>
    <t>SHP275W</t>
    <phoneticPr fontId="9" type="noConversion"/>
  </si>
  <si>
    <t>전원 절체기 이상</t>
    <phoneticPr fontId="9" type="noConversion"/>
  </si>
  <si>
    <t>SHP275W</t>
    <phoneticPr fontId="5" type="noConversion"/>
  </si>
  <si>
    <t>전량(79)                           SS400-01</t>
    <phoneticPr fontId="9" type="noConversion"/>
  </si>
  <si>
    <t>SS400-01</t>
    <phoneticPr fontId="5" type="noConversion"/>
  </si>
  <si>
    <t>L/D 대기                           SHP275W</t>
    <phoneticPr fontId="9" type="noConversion"/>
  </si>
  <si>
    <t>전량(81).열간보수                SS400-01</t>
    <phoneticPr fontId="9" type="noConversion"/>
  </si>
  <si>
    <t>1포</t>
    <phoneticPr fontId="5" type="noConversion"/>
  </si>
  <si>
    <r>
      <t xml:space="preserve">SS400-02, </t>
    </r>
    <r>
      <rPr>
        <sz val="9"/>
        <rFont val="굴림"/>
        <family val="3"/>
        <charset val="129"/>
      </rPr>
      <t>A로17:39 송전,소결10'</t>
    </r>
    <phoneticPr fontId="9" type="noConversion"/>
  </si>
  <si>
    <t>주간보수,탄보급</t>
    <phoneticPr fontId="9" type="noConversion"/>
  </si>
  <si>
    <t>주간보수13'(소결16' A로추가장입)</t>
    <phoneticPr fontId="9" type="noConversion"/>
  </si>
  <si>
    <t>SHN275(BB),단조장입</t>
    <phoneticPr fontId="9" type="noConversion"/>
  </si>
  <si>
    <t>열간보수 , WCP S-3-11번누수용접(대기3분)</t>
    <phoneticPr fontId="9" type="noConversion"/>
  </si>
  <si>
    <t>O</t>
    <phoneticPr fontId="9" type="noConversion"/>
  </si>
  <si>
    <t>전극연결 , 열간보수</t>
    <phoneticPr fontId="9" type="noConversion"/>
  </si>
  <si>
    <t xml:space="preserve">전극연결                   </t>
    <phoneticPr fontId="9" type="noConversion"/>
  </si>
  <si>
    <t>C</t>
    <phoneticPr fontId="9" type="noConversion"/>
  </si>
  <si>
    <t>(민감사이즈).몽짜.지금.유탕 장입제외               단조(O)</t>
    <phoneticPr fontId="9" type="noConversion"/>
  </si>
  <si>
    <t>Roof 선회不(레일청소)</t>
    <phoneticPr fontId="9" type="noConversion"/>
  </si>
  <si>
    <t>탈탄(18-11)                      SS400-02(단조 X)</t>
    <phoneticPr fontId="9" type="noConversion"/>
  </si>
  <si>
    <t>열간보수</t>
    <phoneticPr fontId="9" type="noConversion"/>
  </si>
  <si>
    <t>양호</t>
    <phoneticPr fontId="9" type="noConversion"/>
  </si>
  <si>
    <r>
      <t xml:space="preserve">열간보수, 고철누름(2'), </t>
    </r>
    <r>
      <rPr>
        <sz val="9"/>
        <color rgb="FFFF0000"/>
        <rFont val="굴림"/>
        <family val="3"/>
        <charset val="129"/>
      </rPr>
      <t>탈탄(4', C 20)</t>
    </r>
    <phoneticPr fontId="9" type="noConversion"/>
  </si>
  <si>
    <t>탈탄(C 18)</t>
    <phoneticPr fontId="9" type="noConversion"/>
  </si>
  <si>
    <t>S.D.K</t>
    <phoneticPr fontId="9" type="noConversion"/>
  </si>
  <si>
    <t>S355JO-01</t>
    <phoneticPr fontId="5" type="noConversion"/>
  </si>
  <si>
    <r>
      <t>S355JO-01,</t>
    </r>
    <r>
      <rPr>
        <sz val="9"/>
        <color rgb="FFFF0000"/>
        <rFont val="굴림"/>
        <family val="3"/>
        <charset val="129"/>
      </rPr>
      <t xml:space="preserve"> </t>
    </r>
    <r>
      <rPr>
        <sz val="9"/>
        <color theme="1"/>
        <rFont val="굴림"/>
        <family val="3"/>
        <charset val="129"/>
      </rPr>
      <t>열간보수</t>
    </r>
    <phoneticPr fontId="9" type="noConversion"/>
  </si>
  <si>
    <t>전극연결, 열간보수, 내화물 부상, 고철누름</t>
    <phoneticPr fontId="9" type="noConversion"/>
  </si>
  <si>
    <t>L/D-1회</t>
    <phoneticPr fontId="9" type="noConversion"/>
  </si>
  <si>
    <t>전극연결 , 열간보수</t>
    <phoneticPr fontId="9" type="noConversion"/>
  </si>
  <si>
    <t>5회</t>
    <phoneticPr fontId="9" type="noConversion"/>
  </si>
  <si>
    <t>EBT 베젤링 고철제거</t>
    <phoneticPr fontId="9" type="noConversion"/>
  </si>
  <si>
    <t>SS400-01</t>
    <phoneticPr fontId="5" type="noConversion"/>
  </si>
  <si>
    <t>고철+5톤                                 A572-50-01</t>
    <phoneticPr fontId="9" type="noConversion"/>
  </si>
  <si>
    <t xml:space="preserve">                                             SS400-01</t>
    <phoneticPr fontId="9" type="noConversion"/>
  </si>
  <si>
    <t>4회                                 A572-50-03</t>
    <phoneticPr fontId="9" type="noConversion"/>
  </si>
  <si>
    <t>A572-50-03</t>
    <phoneticPr fontId="5" type="noConversion"/>
  </si>
  <si>
    <t>X</t>
    <phoneticPr fontId="9" type="noConversion"/>
  </si>
  <si>
    <t>X</t>
    <phoneticPr fontId="9" type="noConversion"/>
  </si>
  <si>
    <t>7회</t>
    <phoneticPr fontId="9" type="noConversion"/>
  </si>
  <si>
    <t>8회</t>
    <phoneticPr fontId="9" type="noConversion"/>
  </si>
  <si>
    <t>열간보수, 내화물 부상</t>
    <phoneticPr fontId="9" type="noConversion"/>
  </si>
  <si>
    <t>열간보수, 고철누름(3'), 로내 미용해 탄보급 재송전(4'), 
#1 카브젯 하부  호스 누기</t>
    <phoneticPr fontId="9" type="noConversion"/>
  </si>
  <si>
    <t>#1 카브젯 사용不</t>
    <phoneticPr fontId="9" type="noConversion"/>
  </si>
  <si>
    <t>전극연결, 열간보수, #1 카브젯 호스 교체</t>
    <phoneticPr fontId="9" type="noConversion"/>
  </si>
  <si>
    <r>
      <t>6회,</t>
    </r>
    <r>
      <rPr>
        <sz val="9"/>
        <color rgb="FFFF0000"/>
        <rFont val="굴림"/>
        <family val="3"/>
        <charset val="129"/>
      </rPr>
      <t xml:space="preserve"> 탈탄(C 21)</t>
    </r>
    <phoneticPr fontId="9" type="noConversion"/>
  </si>
  <si>
    <t>#2 카브젯 막힘 사용不</t>
    <phoneticPr fontId="9" type="noConversion"/>
  </si>
  <si>
    <r>
      <rPr>
        <b/>
        <sz val="9"/>
        <color rgb="FFFF0000"/>
        <rFont val="굴림"/>
        <family val="3"/>
        <charset val="129"/>
      </rPr>
      <t>S355JO-01,</t>
    </r>
    <r>
      <rPr>
        <sz val="9"/>
        <rFont val="굴림"/>
        <family val="3"/>
        <charset val="129"/>
      </rPr>
      <t xml:space="preserve"> 베젤링 고철 제거 대기로 송전不</t>
    </r>
    <phoneticPr fontId="9" type="noConversion"/>
  </si>
  <si>
    <t>측온 홀더 교체 그라인딩</t>
    <phoneticPr fontId="9" type="noConversion"/>
  </si>
  <si>
    <t>전극연결 , 열간보수</t>
    <phoneticPr fontId="9" type="noConversion"/>
  </si>
  <si>
    <t>(란마산소랜스누수교체) , (측온不)</t>
    <phoneticPr fontId="9" type="noConversion"/>
  </si>
  <si>
    <t>A572-50-03</t>
    <phoneticPr fontId="9" type="noConversion"/>
  </si>
  <si>
    <r>
      <t>10회,</t>
    </r>
    <r>
      <rPr>
        <sz val="10"/>
        <rFont val="굴림"/>
        <family val="3"/>
        <charset val="129"/>
      </rPr>
      <t>고철누름</t>
    </r>
    <phoneticPr fontId="9" type="noConversion"/>
  </si>
  <si>
    <t>9회 ,측온不(그라인딩)</t>
    <phoneticPr fontId="9" type="noConversion"/>
  </si>
  <si>
    <t>양호</t>
    <phoneticPr fontId="9" type="noConversion"/>
  </si>
  <si>
    <t>A</t>
    <phoneticPr fontId="9" type="noConversion"/>
  </si>
  <si>
    <r>
      <t xml:space="preserve">전극연결, 열간보수, </t>
    </r>
    <r>
      <rPr>
        <sz val="9"/>
        <color rgb="FFFF0000"/>
        <rFont val="굴림"/>
        <family val="3"/>
        <charset val="129"/>
      </rPr>
      <t>탈산(C 4)</t>
    </r>
    <phoneticPr fontId="9" type="noConversion"/>
  </si>
  <si>
    <t>고철누름(1'), 측온 에러 재측정(3')</t>
    <phoneticPr fontId="9" type="noConversion"/>
  </si>
  <si>
    <r>
      <rPr>
        <b/>
        <sz val="9"/>
        <color rgb="FF0000CC"/>
        <rFont val="굴림"/>
        <family val="3"/>
        <charset val="129"/>
      </rPr>
      <t>신축,</t>
    </r>
    <r>
      <rPr>
        <sz val="9"/>
        <rFont val="굴림"/>
        <family val="3"/>
        <charset val="129"/>
      </rPr>
      <t xml:space="preserve"> 재측온</t>
    </r>
    <phoneticPr fontId="9" type="noConversion"/>
  </si>
  <si>
    <r>
      <rPr>
        <b/>
        <sz val="9"/>
        <color rgb="FF0000CC"/>
        <rFont val="굴림"/>
        <family val="3"/>
        <charset val="129"/>
      </rPr>
      <t>2회,</t>
    </r>
    <r>
      <rPr>
        <sz val="9"/>
        <rFont val="굴림"/>
        <family val="3"/>
        <charset val="129"/>
      </rPr>
      <t xml:space="preserve"> 고철누름</t>
    </r>
    <phoneticPr fontId="9" type="noConversion"/>
  </si>
  <si>
    <t>3회</t>
    <phoneticPr fontId="9" type="noConversion"/>
  </si>
  <si>
    <r>
      <t xml:space="preserve">전극연결, 열간보수, </t>
    </r>
    <r>
      <rPr>
        <sz val="9"/>
        <color rgb="FFFF0000"/>
        <rFont val="굴림"/>
        <family val="3"/>
        <charset val="129"/>
      </rPr>
      <t>탈탄(C 20)</t>
    </r>
    <phoneticPr fontId="9" type="noConversion"/>
  </si>
  <si>
    <t>4회</t>
    <phoneticPr fontId="9" type="noConversion"/>
  </si>
  <si>
    <r>
      <t xml:space="preserve">5회 , </t>
    </r>
    <r>
      <rPr>
        <sz val="9"/>
        <rFont val="굴림"/>
        <family val="3"/>
        <charset val="129"/>
      </rPr>
      <t>열간보수</t>
    </r>
    <phoneticPr fontId="9" type="noConversion"/>
  </si>
  <si>
    <t>SS400(ToMok)</t>
    <phoneticPr fontId="9" type="noConversion"/>
  </si>
  <si>
    <t>SS400(ToMok)</t>
    <phoneticPr fontId="5" type="noConversion"/>
  </si>
  <si>
    <t>내화물부상</t>
    <phoneticPr fontId="9" type="noConversion"/>
  </si>
  <si>
    <t>내화물부상(몽짜.유탕.지금다시장입금지)</t>
    <phoneticPr fontId="9" type="noConversion"/>
  </si>
  <si>
    <t>8회</t>
    <phoneticPr fontId="9" type="noConversion"/>
  </si>
  <si>
    <t>9회</t>
    <phoneticPr fontId="9" type="noConversion"/>
  </si>
  <si>
    <r>
      <t>6회,</t>
    </r>
    <r>
      <rPr>
        <b/>
        <sz val="9"/>
        <color rgb="FFFF0000"/>
        <rFont val="굴림"/>
        <family val="3"/>
        <charset val="129"/>
      </rPr>
      <t>SHP275W</t>
    </r>
    <phoneticPr fontId="9" type="noConversion"/>
  </si>
  <si>
    <t>내화물처리,대기로송전不</t>
    <phoneticPr fontId="9" type="noConversion"/>
  </si>
  <si>
    <t>호스터짐</t>
    <phoneticPr fontId="9" type="noConversion"/>
  </si>
  <si>
    <r>
      <t>7회,</t>
    </r>
    <r>
      <rPr>
        <sz val="9"/>
        <rFont val="굴림"/>
        <family val="3"/>
        <charset val="129"/>
      </rPr>
      <t>온도下재송전</t>
    </r>
    <phoneticPr fontId="9" type="noConversion"/>
  </si>
  <si>
    <t>내화물처리,대기로송전不</t>
    <phoneticPr fontId="9" type="noConversion"/>
  </si>
  <si>
    <t>고철+5톤,G/M호스교체,대기로송전不</t>
    <phoneticPr fontId="9" type="noConversion"/>
  </si>
  <si>
    <r>
      <t>8회,</t>
    </r>
    <r>
      <rPr>
        <sz val="9"/>
        <rFont val="굴림"/>
        <family val="3"/>
        <charset val="129"/>
      </rPr>
      <t>열간보수</t>
    </r>
    <phoneticPr fontId="9" type="noConversion"/>
  </si>
  <si>
    <t>전극연결, 열간보수, 미용해 재송전 및 탄 보급</t>
    <phoneticPr fontId="9" type="noConversion"/>
  </si>
  <si>
    <t>10회</t>
    <phoneticPr fontId="9" type="noConversion"/>
  </si>
  <si>
    <t>EBT 지금 정리 대기로 송전不</t>
    <phoneticPr fontId="9" type="noConversion"/>
  </si>
  <si>
    <t>열간보수</t>
    <phoneticPr fontId="9" type="noConversion"/>
  </si>
  <si>
    <t>내화물 처리 대기로 송전不</t>
    <phoneticPr fontId="9" type="noConversion"/>
  </si>
  <si>
    <t>X</t>
    <phoneticPr fontId="9" type="noConversion"/>
  </si>
  <si>
    <t>전극연결.측온 에러(재송전).탈탄(18-10)</t>
    <phoneticPr fontId="9" type="noConversion"/>
  </si>
  <si>
    <t xml:space="preserve">                                         전량</t>
    <phoneticPr fontId="9" type="noConversion"/>
  </si>
  <si>
    <t>열간보수                              전량</t>
    <phoneticPr fontId="9" type="noConversion"/>
  </si>
  <si>
    <t>열간보수                 SS400(ToMok)</t>
    <phoneticPr fontId="9" type="noConversion"/>
  </si>
  <si>
    <t>E</t>
    <phoneticPr fontId="9" type="noConversion"/>
  </si>
  <si>
    <t>로저전극교체</t>
    <phoneticPr fontId="5" type="noConversion"/>
  </si>
  <si>
    <t>주간보수(1039').소결(10').AS500N(QTB.C10)         3포</t>
    <phoneticPr fontId="9" type="noConversion"/>
  </si>
  <si>
    <t>AS500N(QTB.C10)</t>
    <phoneticPr fontId="5" type="noConversion"/>
  </si>
  <si>
    <t>열간보수(19')</t>
    <phoneticPr fontId="9" type="noConversion"/>
  </si>
  <si>
    <t>측온不,소손,그라인딩</t>
    <phoneticPr fontId="9" type="noConversion"/>
  </si>
  <si>
    <t>홀더교체</t>
    <phoneticPr fontId="9" type="noConversion"/>
  </si>
  <si>
    <t>D</t>
    <phoneticPr fontId="9" type="noConversion"/>
  </si>
  <si>
    <t>예비바스켓 사용</t>
    <phoneticPr fontId="9" type="noConversion"/>
  </si>
  <si>
    <t>B</t>
    <phoneticPr fontId="9" type="noConversion"/>
  </si>
  <si>
    <t>B</t>
    <phoneticPr fontId="9" type="noConversion"/>
  </si>
  <si>
    <r>
      <rPr>
        <b/>
        <sz val="9"/>
        <color rgb="FFFF0000"/>
        <rFont val="굴림"/>
        <family val="3"/>
        <charset val="129"/>
      </rPr>
      <t>SS275[CS공장]</t>
    </r>
    <r>
      <rPr>
        <sz val="9"/>
        <rFont val="굴림"/>
        <family val="3"/>
        <charset val="129"/>
      </rPr>
      <t xml:space="preserve"> , 열간보수 , VL #2번가스청소완료</t>
    </r>
    <phoneticPr fontId="9" type="noConversion"/>
  </si>
  <si>
    <t>SS275[CS공장]</t>
    <phoneticPr fontId="5" type="noConversion"/>
  </si>
  <si>
    <t xml:space="preserve"> VLB#2번사용不(가스막힘) , 장입대기(2분)</t>
    <phoneticPr fontId="9" type="noConversion"/>
  </si>
  <si>
    <t>C1 횡행 동작不</t>
    <phoneticPr fontId="9" type="noConversion"/>
  </si>
  <si>
    <t>전극연결.열간보수</t>
    <phoneticPr fontId="9" type="noConversion"/>
  </si>
  <si>
    <t>탈탄(197-205-139-61-10)</t>
    <phoneticPr fontId="9" type="noConversion"/>
  </si>
  <si>
    <t>전극연결.열간보수.탙탄(23-21-16-12),재송전</t>
    <phoneticPr fontId="9" type="noConversion"/>
  </si>
  <si>
    <t>온도저하(재송전)</t>
    <phoneticPr fontId="9" type="noConversion"/>
  </si>
  <si>
    <t>내화물 처리 대기로 송전不,측온不,소손,그라인딩</t>
    <phoneticPr fontId="9" type="noConversion"/>
  </si>
  <si>
    <t>홀더교체,내화물처리,대기로송전不,고철-5톤</t>
    <phoneticPr fontId="9" type="noConversion"/>
  </si>
  <si>
    <t>열간보수</t>
    <phoneticPr fontId="9" type="noConversion"/>
  </si>
  <si>
    <t>양호</t>
    <phoneticPr fontId="9" type="noConversion"/>
  </si>
  <si>
    <t>내화물처리,대기로송전不</t>
    <phoneticPr fontId="9" type="noConversion"/>
  </si>
  <si>
    <t>S.D.K</t>
    <phoneticPr fontId="9" type="noConversion"/>
  </si>
  <si>
    <t>S.D.K</t>
    <phoneticPr fontId="9" type="noConversion"/>
  </si>
  <si>
    <t>전극연결, 온도상승3-10 (대기로송전2')</t>
    <phoneticPr fontId="9" type="noConversion"/>
  </si>
  <si>
    <t>내화물처리,대기로송전不,고철누름</t>
    <phoneticPr fontId="9" type="noConversion"/>
  </si>
  <si>
    <t>내화물처리,대기로송전不 , 고철누름(2분)</t>
    <phoneticPr fontId="9" type="noConversion"/>
  </si>
  <si>
    <t>내화물처리,대기로송전不 , 측온不(그라인딩)</t>
    <phoneticPr fontId="9" type="noConversion"/>
  </si>
  <si>
    <t>전극연결 , 열간보수 (홀다교체)</t>
    <phoneticPr fontId="9" type="noConversion"/>
  </si>
  <si>
    <t>B로 로체온도상승 점검및 긴급전량출강(30톤정도)</t>
    <phoneticPr fontId="9" type="noConversion"/>
  </si>
  <si>
    <t>편로</t>
    <phoneticPr fontId="9" type="noConversion"/>
  </si>
  <si>
    <t>편로.출강중 Slag 부풀어올라 80톤 출강함(L/D 잔탕 30톤정도 들어옴)</t>
    <phoneticPr fontId="9" type="noConversion"/>
  </si>
  <si>
    <t>편로.고철-47톤</t>
    <phoneticPr fontId="9" type="noConversion"/>
  </si>
  <si>
    <t>DKOIL</t>
    <phoneticPr fontId="5" type="noConversion"/>
  </si>
  <si>
    <t>E</t>
    <phoneticPr fontId="9" type="noConversion"/>
  </si>
  <si>
    <t>편로</t>
    <phoneticPr fontId="9" type="noConversion"/>
  </si>
  <si>
    <t>편로.열간보수(17')</t>
    <phoneticPr fontId="9" type="noConversion"/>
  </si>
  <si>
    <t>O</t>
    <phoneticPr fontId="9" type="noConversion"/>
  </si>
  <si>
    <t>고철-10톤, 열간보수, LF B로 전극절손 T/D 교체, S3-10 로체온도 상승</t>
    <phoneticPr fontId="9" type="noConversion"/>
  </si>
  <si>
    <r>
      <rPr>
        <sz val="9"/>
        <color rgb="FFFF0000"/>
        <rFont val="굴림"/>
        <family val="3"/>
        <charset val="129"/>
      </rPr>
      <t>S2-#10 누수(크랙) 용접,</t>
    </r>
    <r>
      <rPr>
        <sz val="9"/>
        <rFont val="굴림"/>
        <family val="3"/>
        <charset val="129"/>
      </rPr>
      <t xml:space="preserve"> 열간보수</t>
    </r>
    <phoneticPr fontId="9" type="noConversion"/>
  </si>
  <si>
    <t>S.D.K</t>
    <phoneticPr fontId="9" type="noConversion"/>
  </si>
  <si>
    <t>전극연결, 대기 L/D 투입 지연</t>
    <phoneticPr fontId="9" type="noConversion"/>
  </si>
  <si>
    <t>A</t>
    <phoneticPr fontId="9" type="noConversion"/>
  </si>
  <si>
    <t>열간보수(30분)</t>
    <phoneticPr fontId="9" type="noConversion"/>
  </si>
  <si>
    <t>신축1회. 고철누름</t>
    <phoneticPr fontId="9" type="noConversion"/>
  </si>
  <si>
    <t>2회.열간보수</t>
    <phoneticPr fontId="9" type="noConversion"/>
  </si>
  <si>
    <t>양호</t>
    <phoneticPr fontId="9" type="noConversion"/>
  </si>
  <si>
    <t>열간보수.고철누름</t>
    <phoneticPr fontId="9" type="noConversion"/>
  </si>
  <si>
    <t xml:space="preserve">                                             SS540</t>
    <phoneticPr fontId="9" type="noConversion"/>
  </si>
  <si>
    <t>SS540</t>
    <phoneticPr fontId="5" type="noConversion"/>
  </si>
  <si>
    <t>5회</t>
    <phoneticPr fontId="9" type="noConversion"/>
  </si>
  <si>
    <t>#4 카브젯 누기 사용不</t>
    <phoneticPr fontId="9" type="noConversion"/>
  </si>
  <si>
    <t>AS500N(QTB,C10)</t>
    <phoneticPr fontId="5" type="noConversion"/>
  </si>
  <si>
    <r>
      <t>AS500N(QTB,C10),</t>
    </r>
    <r>
      <rPr>
        <sz val="9"/>
        <color theme="1"/>
        <rFont val="굴림"/>
        <family val="3"/>
        <charset val="129"/>
      </rPr>
      <t xml:space="preserve"> #4 카브젯 보수 대기로 송전不, 온도 저하 재송전</t>
    </r>
    <phoneticPr fontId="9" type="noConversion"/>
  </si>
  <si>
    <r>
      <t>4회,</t>
    </r>
    <r>
      <rPr>
        <sz val="9"/>
        <color theme="1"/>
        <rFont val="굴림"/>
        <family val="3"/>
        <charset val="129"/>
      </rPr>
      <t xml:space="preserve"> 전극연결, 열간보수</t>
    </r>
    <phoneticPr fontId="9" type="noConversion"/>
  </si>
  <si>
    <r>
      <t xml:space="preserve">열간보수, </t>
    </r>
    <r>
      <rPr>
        <sz val="9"/>
        <color rgb="FFFF0000"/>
        <rFont val="굴림"/>
        <family val="3"/>
        <charset val="129"/>
      </rPr>
      <t>탈탄(C 10→28)</t>
    </r>
    <phoneticPr fontId="9" type="noConversion"/>
  </si>
  <si>
    <t>SS275[CS공장]</t>
    <phoneticPr fontId="5" type="noConversion"/>
  </si>
  <si>
    <t>SS275[CS공장]</t>
    <phoneticPr fontId="9" type="noConversion"/>
  </si>
  <si>
    <t>전극연결 , 열간보수</t>
    <phoneticPr fontId="9" type="noConversion"/>
  </si>
  <si>
    <t>전극연결 , 열간보수 , 탈탄5분(X-55-9)</t>
    <phoneticPr fontId="9" type="noConversion"/>
  </si>
  <si>
    <r>
      <t>7회 ,</t>
    </r>
    <r>
      <rPr>
        <sz val="9"/>
        <rFont val="굴림"/>
        <family val="3"/>
        <charset val="129"/>
      </rPr>
      <t xml:space="preserve"> C2크레인작동不</t>
    </r>
    <phoneticPr fontId="9" type="noConversion"/>
  </si>
  <si>
    <t>DKOIL</t>
    <phoneticPr fontId="9" type="noConversion"/>
  </si>
  <si>
    <t>DKOIL</t>
    <phoneticPr fontId="5" type="noConversion"/>
  </si>
  <si>
    <t>고철+5톤</t>
    <phoneticPr fontId="9" type="noConversion"/>
  </si>
  <si>
    <r>
      <t>10회,</t>
    </r>
    <r>
      <rPr>
        <sz val="9"/>
        <color theme="1"/>
        <rFont val="굴림"/>
        <family val="3"/>
        <charset val="129"/>
      </rPr>
      <t>전극연결,열간보수(발코니중점)</t>
    </r>
    <phoneticPr fontId="9" type="noConversion"/>
  </si>
  <si>
    <t>고철누름(3'), 재측온(2')</t>
    <phoneticPr fontId="9" type="noConversion"/>
  </si>
  <si>
    <r>
      <t>EBT 유탕 정리 대기로 송전不, 고철누름(2'),</t>
    </r>
    <r>
      <rPr>
        <sz val="9"/>
        <color rgb="FFFF0000"/>
        <rFont val="굴림"/>
        <family val="3"/>
        <charset val="129"/>
      </rPr>
      <t xml:space="preserve"> 탈탄(6', C 31→43)</t>
    </r>
    <phoneticPr fontId="9" type="noConversion"/>
  </si>
  <si>
    <t>B</t>
    <phoneticPr fontId="9" type="noConversion"/>
  </si>
  <si>
    <t>용강밀림연주대기(6분)</t>
    <phoneticPr fontId="9" type="noConversion"/>
  </si>
  <si>
    <t>열간보수 , 대기로송전(6분)연주플라잉</t>
    <phoneticPr fontId="9" type="noConversion"/>
  </si>
  <si>
    <t>열간보수 , 고철누름(3분)</t>
    <phoneticPr fontId="9" type="noConversion"/>
  </si>
  <si>
    <t>용강밀림연주대기(7분)</t>
    <phoneticPr fontId="9" type="noConversion"/>
  </si>
  <si>
    <t>고철+5톤,A로 F/D #1 L/S교체,대기로송전不</t>
    <phoneticPr fontId="9" type="noConversion"/>
  </si>
  <si>
    <t>O</t>
    <phoneticPr fontId="9" type="noConversion"/>
  </si>
  <si>
    <t>열간보수</t>
    <phoneticPr fontId="9" type="noConversion"/>
  </si>
  <si>
    <t>믹서不</t>
    <phoneticPr fontId="9" type="noConversion"/>
  </si>
  <si>
    <t>A</t>
    <phoneticPr fontId="9" type="noConversion"/>
  </si>
  <si>
    <t>탈산(C 5)</t>
    <phoneticPr fontId="9" type="noConversion"/>
  </si>
  <si>
    <t>전극연결, 열간보수</t>
    <phoneticPr fontId="9" type="noConversion"/>
  </si>
  <si>
    <t>X</t>
    <phoneticPr fontId="9" type="noConversion"/>
  </si>
  <si>
    <t>고철누름(2'), 측온 홀더 교체 그라인딩(1')</t>
    <phoneticPr fontId="9" type="noConversion"/>
  </si>
  <si>
    <t>보이링 스라그 Off</t>
    <phoneticPr fontId="9" type="noConversion"/>
  </si>
  <si>
    <t>스라그 Off</t>
    <phoneticPr fontId="9" type="noConversion"/>
  </si>
  <si>
    <t>측온 홀더 소손(그라인딩)</t>
    <phoneticPr fontId="9" type="noConversion"/>
  </si>
  <si>
    <t>EBT 측 베젤링 고철제거</t>
    <phoneticPr fontId="9" type="noConversion"/>
  </si>
  <si>
    <t>열간보수.고철누름.EBT 측 베젤링 고철제거</t>
    <phoneticPr fontId="9" type="noConversion"/>
  </si>
  <si>
    <t>탈탄(45-30-17).고철+5톤</t>
    <phoneticPr fontId="9" type="noConversion"/>
  </si>
  <si>
    <t>D</t>
    <phoneticPr fontId="9" type="noConversion"/>
  </si>
  <si>
    <t>O</t>
    <phoneticPr fontId="9" type="noConversion"/>
  </si>
  <si>
    <t>O</t>
    <phoneticPr fontId="9" type="noConversion"/>
  </si>
  <si>
    <t>믹서不</t>
    <phoneticPr fontId="9" type="noConversion"/>
  </si>
  <si>
    <t>전극연결,열간보수,측온不,소손,그라인딩</t>
    <phoneticPr fontId="9" type="noConversion"/>
  </si>
  <si>
    <t>홀더교체, 베젤링고철제거(대기로송전),탈탄 60-8</t>
    <phoneticPr fontId="9" type="noConversion"/>
  </si>
  <si>
    <t>전량(110톤장입</t>
    <phoneticPr fontId="9" type="noConversion"/>
  </si>
  <si>
    <t>전량(120톤장입)</t>
    <phoneticPr fontId="9" type="noConversion"/>
  </si>
  <si>
    <t>보수X</t>
    <phoneticPr fontId="5" type="noConversion"/>
  </si>
  <si>
    <t>주간보수                            SS400-01</t>
    <phoneticPr fontId="9" type="noConversion"/>
  </si>
  <si>
    <t>O</t>
    <phoneticPr fontId="9" type="noConversion"/>
  </si>
  <si>
    <t>소결(10').S3-9.10 로체온도 상승(2').A로 G/M 믹서기교체,A로5포
탈탄3'(23-11)</t>
    <phoneticPr fontId="9" type="noConversion"/>
  </si>
  <si>
    <t>주간보수.대기로 송전      SY300</t>
    <phoneticPr fontId="9" type="noConversion"/>
  </si>
  <si>
    <t>SY300</t>
    <phoneticPr fontId="5" type="noConversion"/>
  </si>
  <si>
    <t>SY400</t>
    <phoneticPr fontId="9" type="noConversion"/>
  </si>
  <si>
    <t>SY400</t>
    <phoneticPr fontId="5" type="noConversion"/>
  </si>
  <si>
    <t>몽짜처리,,대기로송전不</t>
    <phoneticPr fontId="9" type="noConversion"/>
  </si>
  <si>
    <t>SHP355W</t>
    <phoneticPr fontId="5" type="noConversion"/>
  </si>
  <si>
    <t>O</t>
    <phoneticPr fontId="9" type="noConversion"/>
  </si>
  <si>
    <t>열간보수(#10 동판넬하단중점)</t>
    <phoneticPr fontId="9" type="noConversion"/>
  </si>
  <si>
    <t>전극연결,열간보수(발코니중점, 발코니 동판넬#10 하단1M 잔존없음)</t>
    <phoneticPr fontId="9" type="noConversion"/>
  </si>
  <si>
    <t>양호</t>
    <phoneticPr fontId="9" type="noConversion"/>
  </si>
  <si>
    <r>
      <rPr>
        <b/>
        <sz val="9"/>
        <color rgb="FFFF0000"/>
        <rFont val="굴림"/>
        <family val="3"/>
        <charset val="129"/>
      </rPr>
      <t>S355JO-01</t>
    </r>
    <r>
      <rPr>
        <sz val="9"/>
        <rFont val="굴림"/>
        <family val="3"/>
        <charset val="129"/>
      </rPr>
      <t xml:space="preserve"> , 열간보수</t>
    </r>
    <phoneticPr fontId="9" type="noConversion"/>
  </si>
  <si>
    <t>S355JO-01</t>
    <phoneticPr fontId="5" type="noConversion"/>
  </si>
  <si>
    <t>SS400-01</t>
    <phoneticPr fontId="9" type="noConversion"/>
  </si>
  <si>
    <t>(승열조업중보링1회발생)</t>
    <phoneticPr fontId="9" type="noConversion"/>
  </si>
  <si>
    <t>탈탄5분(102-11)</t>
    <phoneticPr fontId="9" type="noConversion"/>
  </si>
  <si>
    <t>전극연결 , 열간보수</t>
    <phoneticPr fontId="9" type="noConversion"/>
  </si>
  <si>
    <t>열간보수(발코니중점)</t>
    <phoneticPr fontId="9" type="noConversion"/>
  </si>
  <si>
    <t>탈탄(24-10-15-20-6)</t>
    <phoneticPr fontId="9" type="noConversion"/>
  </si>
  <si>
    <t xml:space="preserve">고철+5톤.측온홀더 소손(그라인딩)      </t>
    <phoneticPr fontId="9" type="noConversion"/>
  </si>
  <si>
    <t>전극연결.열간보수</t>
    <phoneticPr fontId="9" type="noConversion"/>
  </si>
  <si>
    <t>O</t>
    <phoneticPr fontId="9" type="noConversion"/>
  </si>
  <si>
    <t>고철+5톤,측온Error,그라인딩</t>
    <phoneticPr fontId="9" type="noConversion"/>
  </si>
  <si>
    <t>열간보수(발코니중점)</t>
    <phoneticPr fontId="9" type="noConversion"/>
  </si>
  <si>
    <t>양호</t>
    <phoneticPr fontId="9" type="noConversion"/>
  </si>
  <si>
    <t>SY300</t>
    <phoneticPr fontId="5" type="noConversion"/>
  </si>
  <si>
    <r>
      <rPr>
        <b/>
        <sz val="9"/>
        <color rgb="FFFF0000"/>
        <rFont val="굴림"/>
        <family val="3"/>
        <charset val="129"/>
      </rPr>
      <t>SS400-01</t>
    </r>
    <r>
      <rPr>
        <sz val="9"/>
        <rFont val="굴림"/>
        <family val="3"/>
        <charset val="129"/>
      </rPr>
      <t xml:space="preserve"> , 대기로송전不(WCP S2-2번 베수호스교체) , 대기로송전8분</t>
    </r>
    <phoneticPr fontId="9" type="noConversion"/>
  </si>
  <si>
    <r>
      <t xml:space="preserve">SY300 , </t>
    </r>
    <r>
      <rPr>
        <sz val="9"/>
        <rFont val="굴림"/>
        <family val="3"/>
        <charset val="129"/>
      </rPr>
      <t>대기로송전(8분) , L/D대기2분</t>
    </r>
    <phoneticPr fontId="9" type="noConversion"/>
  </si>
  <si>
    <r>
      <t xml:space="preserve">S355JO-01 , </t>
    </r>
    <r>
      <rPr>
        <sz val="9"/>
        <rFont val="굴림"/>
        <family val="3"/>
        <charset val="129"/>
      </rPr>
      <t>열간보수</t>
    </r>
    <phoneticPr fontId="9" type="noConversion"/>
  </si>
  <si>
    <t>연주대기(15분) , 연주FLY대기로송전(18분)</t>
    <phoneticPr fontId="9" type="noConversion"/>
  </si>
  <si>
    <t>C</t>
    <phoneticPr fontId="9" type="noConversion"/>
  </si>
  <si>
    <t>용강밀림(대기로 송전)</t>
    <phoneticPr fontId="9" type="noConversion"/>
  </si>
  <si>
    <t>S3-10 로체온도 상승</t>
    <phoneticPr fontId="9" type="noConversion"/>
  </si>
  <si>
    <t>재송전</t>
    <phoneticPr fontId="9" type="noConversion"/>
  </si>
  <si>
    <t>대기로송전不(전극클림프및홀다주변청소)</t>
    <phoneticPr fontId="9" type="noConversion"/>
  </si>
  <si>
    <r>
      <t xml:space="preserve">전극연결(대기로송전不), 고철누름 1', </t>
    </r>
    <r>
      <rPr>
        <sz val="9"/>
        <color rgb="FFFF0000"/>
        <rFont val="굴림"/>
        <family val="3"/>
        <charset val="129"/>
      </rPr>
      <t>탈탄(8', C 25)</t>
    </r>
    <phoneticPr fontId="9" type="noConversion"/>
  </si>
  <si>
    <t>열간보수, 재측온</t>
    <phoneticPr fontId="9" type="noConversion"/>
  </si>
  <si>
    <t>측온 에러 재측정, 측온 홀더 교체 그라인딩</t>
    <phoneticPr fontId="9" type="noConversion"/>
  </si>
  <si>
    <r>
      <t>SS400(ToMok),</t>
    </r>
    <r>
      <rPr>
        <sz val="9"/>
        <color theme="1"/>
        <rFont val="굴림"/>
        <family val="3"/>
        <charset val="129"/>
      </rPr>
      <t xml:space="preserve"> #1 카브젯 누기 사용不</t>
    </r>
    <phoneticPr fontId="9" type="noConversion"/>
  </si>
  <si>
    <r>
      <t xml:space="preserve">EBT 몽짜 정리 대기로 송전不, </t>
    </r>
    <r>
      <rPr>
        <sz val="9"/>
        <color rgb="FFFF0000"/>
        <rFont val="굴림"/>
        <family val="3"/>
        <charset val="129"/>
      </rPr>
      <t>탈탄(C 23)</t>
    </r>
    <phoneticPr fontId="9" type="noConversion"/>
  </si>
  <si>
    <t>#! 카브젯 보수 대기로 송전不</t>
    <phoneticPr fontId="9" type="noConversion"/>
  </si>
  <si>
    <r>
      <t>SHP275W,</t>
    </r>
    <r>
      <rPr>
        <sz val="9"/>
        <color theme="1"/>
        <rFont val="굴림"/>
        <family val="3"/>
        <charset val="129"/>
      </rPr>
      <t xml:space="preserve"> 열간보수</t>
    </r>
    <phoneticPr fontId="9" type="noConversion"/>
  </si>
  <si>
    <t>B</t>
    <phoneticPr fontId="9" type="noConversion"/>
  </si>
  <si>
    <t>고철누름(2분)</t>
    <phoneticPr fontId="9" type="noConversion"/>
  </si>
  <si>
    <t>(VLB#2메인산소막힘청소)</t>
    <phoneticPr fontId="9" type="noConversion"/>
  </si>
  <si>
    <t>열간보수.탈탄(E-22-5)</t>
    <phoneticPr fontId="9" type="noConversion"/>
  </si>
  <si>
    <t>S3-10 로체온도 상승</t>
    <phoneticPr fontId="9" type="noConversion"/>
  </si>
  <si>
    <t xml:space="preserve">측온홀더 소손(그라인딩).재송전     </t>
    <phoneticPr fontId="9" type="noConversion"/>
  </si>
  <si>
    <t>SHN275(BB, 단조)</t>
    <phoneticPr fontId="9" type="noConversion"/>
  </si>
  <si>
    <t>SHN275(BB)</t>
    <phoneticPr fontId="5" type="noConversion"/>
  </si>
  <si>
    <t>전극연결, 열간보수, 고철누름</t>
    <phoneticPr fontId="9" type="noConversion"/>
  </si>
  <si>
    <t>SS400(ToMok)</t>
    <phoneticPr fontId="9" type="noConversion"/>
  </si>
  <si>
    <t>SS400(ToMok)</t>
    <phoneticPr fontId="5" type="noConversion"/>
  </si>
  <si>
    <r>
      <t>SS400-01,</t>
    </r>
    <r>
      <rPr>
        <sz val="9"/>
        <color theme="1"/>
        <rFont val="굴림"/>
        <family val="3"/>
        <charset val="129"/>
      </rPr>
      <t xml:space="preserve"> 전극연결, 열간보수</t>
    </r>
    <phoneticPr fontId="9" type="noConversion"/>
  </si>
  <si>
    <r>
      <t>SY300,</t>
    </r>
    <r>
      <rPr>
        <sz val="9"/>
        <color rgb="FFFF0000"/>
        <rFont val="굴림"/>
        <family val="3"/>
        <charset val="129"/>
      </rPr>
      <t xml:space="preserve"> 탈탄(C 63)</t>
    </r>
    <phoneticPr fontId="9" type="noConversion"/>
  </si>
  <si>
    <t>믹서不</t>
    <phoneticPr fontId="9" type="noConversion"/>
  </si>
  <si>
    <r>
      <rPr>
        <b/>
        <sz val="9"/>
        <color rgb="FFFF0000"/>
        <rFont val="굴림"/>
        <family val="3"/>
        <charset val="129"/>
      </rPr>
      <t>S355JO-01,</t>
    </r>
    <r>
      <rPr>
        <sz val="9"/>
        <rFont val="굴림"/>
        <family val="3"/>
        <charset val="129"/>
      </rPr>
      <t xml:space="preserve"> 열간보수</t>
    </r>
    <phoneticPr fontId="9" type="noConversion"/>
  </si>
  <si>
    <r>
      <t>열간보수,</t>
    </r>
    <r>
      <rPr>
        <sz val="9"/>
        <color rgb="FFFF0000"/>
        <rFont val="굴림"/>
        <family val="3"/>
        <charset val="129"/>
      </rPr>
      <t xml:space="preserve"> #2 VLB 버너 누수 사용不</t>
    </r>
    <phoneticPr fontId="9" type="noConversion"/>
  </si>
  <si>
    <t>B</t>
    <phoneticPr fontId="9" type="noConversion"/>
  </si>
  <si>
    <r>
      <t>A로 #2번 VLB 버너교체및잼쿨러용접(보수일교체예정)으로</t>
    </r>
    <r>
      <rPr>
        <b/>
        <sz val="9"/>
        <color rgb="FF0000CC"/>
        <rFont val="굴림"/>
        <family val="3"/>
        <charset val="129"/>
      </rPr>
      <t>B로편로조업</t>
    </r>
    <phoneticPr fontId="9" type="noConversion"/>
  </si>
  <si>
    <t>대기로송전不(G/M믹서기교체)</t>
    <phoneticPr fontId="9" type="noConversion"/>
  </si>
  <si>
    <t>D</t>
    <phoneticPr fontId="9" type="noConversion"/>
  </si>
  <si>
    <t>S3 그라플 교체완료(15:15),온도下재송전</t>
    <phoneticPr fontId="9" type="noConversion"/>
  </si>
  <si>
    <r>
      <rPr>
        <b/>
        <sz val="9"/>
        <color rgb="FFFF0000"/>
        <rFont val="굴림"/>
        <family val="3"/>
        <charset val="129"/>
      </rPr>
      <t>SHN275(BB),</t>
    </r>
    <r>
      <rPr>
        <sz val="9"/>
        <rFont val="굴림"/>
        <family val="3"/>
        <charset val="129"/>
      </rPr>
      <t>단조</t>
    </r>
    <phoneticPr fontId="9" type="noConversion"/>
  </si>
  <si>
    <t>SY300</t>
    <phoneticPr fontId="9" type="noConversion"/>
  </si>
  <si>
    <r>
      <rPr>
        <b/>
        <sz val="9"/>
        <color rgb="FFFF0000"/>
        <rFont val="굴림"/>
        <family val="3"/>
        <charset val="129"/>
      </rPr>
      <t>SHN275(BB),</t>
    </r>
    <r>
      <rPr>
        <sz val="9"/>
        <rFont val="굴림"/>
        <family val="3"/>
        <charset val="129"/>
      </rPr>
      <t>단조,측온不,소손,그라인딩</t>
    </r>
    <phoneticPr fontId="9" type="noConversion"/>
  </si>
  <si>
    <t>X</t>
    <phoneticPr fontId="9" type="noConversion"/>
  </si>
  <si>
    <t>O</t>
    <phoneticPr fontId="9" type="noConversion"/>
  </si>
  <si>
    <r>
      <t>SS400-02,</t>
    </r>
    <r>
      <rPr>
        <sz val="9"/>
        <color rgb="FFFF0000"/>
        <rFont val="굴림"/>
        <family val="3"/>
        <charset val="129"/>
      </rPr>
      <t xml:space="preserve"> </t>
    </r>
    <r>
      <rPr>
        <sz val="9"/>
        <rFont val="굴림"/>
        <family val="3"/>
        <charset val="129"/>
      </rPr>
      <t>열간보수</t>
    </r>
    <phoneticPr fontId="9" type="noConversion"/>
  </si>
  <si>
    <t>신축</t>
    <phoneticPr fontId="9" type="noConversion"/>
  </si>
  <si>
    <t>홀더교체,전극연결,열간보수</t>
    <phoneticPr fontId="9" type="noConversion"/>
  </si>
  <si>
    <t>SY300</t>
    <phoneticPr fontId="5" type="noConversion"/>
  </si>
  <si>
    <r>
      <t xml:space="preserve">2회, </t>
    </r>
    <r>
      <rPr>
        <b/>
        <sz val="9"/>
        <color rgb="FFFF0000"/>
        <rFont val="굴림"/>
        <family val="3"/>
        <charset val="129"/>
      </rPr>
      <t>SY300,</t>
    </r>
    <r>
      <rPr>
        <sz val="9"/>
        <color rgb="FFFF0000"/>
        <rFont val="굴림"/>
        <family val="3"/>
        <charset val="129"/>
      </rPr>
      <t xml:space="preserve"> 탈탄(C 21)</t>
    </r>
    <phoneticPr fontId="9" type="noConversion"/>
  </si>
  <si>
    <t>열간보수, 재송전</t>
    <phoneticPr fontId="9" type="noConversion"/>
  </si>
  <si>
    <t>B</t>
    <phoneticPr fontId="9" type="noConversion"/>
  </si>
  <si>
    <r>
      <t>4회 ,</t>
    </r>
    <r>
      <rPr>
        <b/>
        <sz val="9"/>
        <color rgb="FFFF0000"/>
        <rFont val="굴림"/>
        <family val="3"/>
        <charset val="129"/>
      </rPr>
      <t xml:space="preserve"> SHP275(BB)</t>
    </r>
    <phoneticPr fontId="9" type="noConversion"/>
  </si>
  <si>
    <t>SHP275(BB)</t>
    <phoneticPr fontId="5" type="noConversion"/>
  </si>
  <si>
    <r>
      <t>5회,</t>
    </r>
    <r>
      <rPr>
        <b/>
        <sz val="9"/>
        <color rgb="FFFF0000"/>
        <rFont val="굴림"/>
        <family val="3"/>
        <charset val="129"/>
      </rPr>
      <t>SS400-01</t>
    </r>
    <phoneticPr fontId="9" type="noConversion"/>
  </si>
  <si>
    <r>
      <t>6회,</t>
    </r>
    <r>
      <rPr>
        <sz val="9"/>
        <rFont val="굴림"/>
        <family val="3"/>
        <charset val="129"/>
      </rPr>
      <t>고철-5톤</t>
    </r>
    <phoneticPr fontId="9" type="noConversion"/>
  </si>
  <si>
    <t>O</t>
    <phoneticPr fontId="9" type="noConversion"/>
  </si>
  <si>
    <t>10회</t>
    <phoneticPr fontId="9" type="noConversion"/>
  </si>
  <si>
    <t>C 측정 에러 재측온</t>
    <phoneticPr fontId="9" type="noConversion"/>
  </si>
  <si>
    <r>
      <t>7회,</t>
    </r>
    <r>
      <rPr>
        <sz val="9"/>
        <rFont val="굴림"/>
        <family val="3"/>
        <charset val="129"/>
      </rPr>
      <t>전극연결,열간보수</t>
    </r>
    <phoneticPr fontId="9" type="noConversion"/>
  </si>
  <si>
    <t>탈탄(C 18→28)</t>
    <phoneticPr fontId="9" type="noConversion"/>
  </si>
  <si>
    <t>전극연결, 열간보수, T1 지원 장입 대기</t>
    <phoneticPr fontId="9" type="noConversion"/>
  </si>
  <si>
    <t>SHN275(BB)</t>
    <phoneticPr fontId="5" type="noConversion"/>
  </si>
  <si>
    <r>
      <t xml:space="preserve">9회, </t>
    </r>
    <r>
      <rPr>
        <b/>
        <sz val="9"/>
        <color rgb="FFFF0000"/>
        <rFont val="굴림"/>
        <family val="3"/>
        <charset val="129"/>
      </rPr>
      <t>SHN275(BB, 단조)</t>
    </r>
    <phoneticPr fontId="9" type="noConversion"/>
  </si>
  <si>
    <t>탈탄(C 21)</t>
    <phoneticPr fontId="9" type="noConversion"/>
  </si>
  <si>
    <t xml:space="preserve">                                   SS400-01</t>
    <phoneticPr fontId="9" type="noConversion"/>
  </si>
  <si>
    <t>2포</t>
    <phoneticPr fontId="5" type="noConversion"/>
  </si>
  <si>
    <t>3포</t>
    <phoneticPr fontId="5" type="noConversion"/>
  </si>
  <si>
    <t>A</t>
    <phoneticPr fontId="9" type="noConversion"/>
  </si>
  <si>
    <t>주간보수</t>
    <phoneticPr fontId="9" type="noConversion"/>
  </si>
  <si>
    <t>주간보수,소결10',B로3포</t>
    <phoneticPr fontId="9" type="noConversion"/>
  </si>
  <si>
    <t>S355JO/JR(BL)</t>
    <phoneticPr fontId="9" type="noConversion"/>
  </si>
  <si>
    <t>S355JO/JR(BL)</t>
    <phoneticPr fontId="5" type="noConversion"/>
  </si>
  <si>
    <t>2000000S</t>
    <phoneticPr fontId="9" type="noConversion"/>
  </si>
  <si>
    <r>
      <rPr>
        <sz val="9"/>
        <color theme="1"/>
        <rFont val="굴림"/>
        <family val="3"/>
        <charset val="129"/>
      </rPr>
      <t xml:space="preserve">열간보수, </t>
    </r>
    <r>
      <rPr>
        <sz val="9"/>
        <color rgb="FFFF0000"/>
        <rFont val="굴림"/>
        <family val="3"/>
        <charset val="129"/>
      </rPr>
      <t xml:space="preserve">S1-#13 누수(찍힘) 용접, </t>
    </r>
    <r>
      <rPr>
        <sz val="9"/>
        <color theme="1"/>
        <rFont val="굴림"/>
        <family val="3"/>
        <charset val="129"/>
      </rPr>
      <t>추가 대기</t>
    </r>
    <phoneticPr fontId="9" type="noConversion"/>
  </si>
  <si>
    <t>SHN400(BL)</t>
    <phoneticPr fontId="5" type="noConversion"/>
  </si>
  <si>
    <t>B로 S1-#13 누수(찍힘) 용접 편로</t>
    <phoneticPr fontId="9" type="noConversion"/>
  </si>
  <si>
    <r>
      <rPr>
        <b/>
        <sz val="9"/>
        <color rgb="FFFF0000"/>
        <rFont val="굴림"/>
        <family val="3"/>
        <charset val="129"/>
      </rPr>
      <t>SHN400(BL),</t>
    </r>
    <r>
      <rPr>
        <sz val="9"/>
        <color theme="1"/>
        <rFont val="굴림"/>
        <family val="3"/>
        <charset val="129"/>
      </rPr>
      <t xml:space="preserve"> 열간보수</t>
    </r>
    <r>
      <rPr>
        <sz val="11"/>
        <color theme="1"/>
        <rFont val="맑은 고딕"/>
        <family val="2"/>
        <charset val="129"/>
        <scheme val="minor"/>
      </rPr>
      <t/>
    </r>
    <phoneticPr fontId="9" type="noConversion"/>
  </si>
  <si>
    <t>200  ?</t>
    <phoneticPr fontId="9" type="noConversion"/>
  </si>
  <si>
    <t>탈탄(4)</t>
    <phoneticPr fontId="9" type="noConversion"/>
  </si>
  <si>
    <t>고철누름(3').탈탄3'(24-8).열간보수</t>
    <phoneticPr fontId="9" type="noConversion"/>
  </si>
  <si>
    <t>탈탄(20-27-17-17-15).바닥반응 온도저하(재송전)</t>
    <phoneticPr fontId="9" type="noConversion"/>
  </si>
  <si>
    <t>O</t>
    <phoneticPr fontId="9" type="noConversion"/>
  </si>
  <si>
    <r>
      <t>A로2포,</t>
    </r>
    <r>
      <rPr>
        <b/>
        <sz val="9"/>
        <color rgb="FFFF0000"/>
        <rFont val="굴림"/>
        <family val="3"/>
        <charset val="129"/>
      </rPr>
      <t>SS400-05,</t>
    </r>
    <r>
      <rPr>
        <sz val="9"/>
        <rFont val="굴림"/>
        <family val="3"/>
        <charset val="129"/>
      </rPr>
      <t>주간보수,소결10'</t>
    </r>
    <phoneticPr fontId="9" type="noConversion"/>
  </si>
  <si>
    <t>B로 WCP#13 교체  편로조업</t>
    <phoneticPr fontId="9" type="noConversion"/>
  </si>
  <si>
    <t>SS400-05</t>
    <phoneticPr fontId="9" type="noConversion"/>
  </si>
  <si>
    <t>WCP#13 하단부 축로실링작업,측온不,Error多,그라인딩</t>
    <phoneticPr fontId="9" type="noConversion"/>
  </si>
  <si>
    <t>열간보수</t>
    <phoneticPr fontId="9" type="noConversion"/>
  </si>
  <si>
    <t>SS400-05</t>
    <phoneticPr fontId="5" type="noConversion"/>
  </si>
  <si>
    <t>O</t>
    <phoneticPr fontId="9" type="noConversion"/>
  </si>
  <si>
    <t>양호</t>
    <phoneticPr fontId="9" type="noConversion"/>
  </si>
  <si>
    <t>열간보수 , (VLB#2번가스막힘청소)</t>
    <phoneticPr fontId="9" type="noConversion"/>
  </si>
  <si>
    <t>전극연결</t>
    <phoneticPr fontId="9" type="noConversion"/>
  </si>
  <si>
    <t>열간보수</t>
    <phoneticPr fontId="9" type="noConversion"/>
  </si>
  <si>
    <t>O</t>
    <phoneticPr fontId="9" type="noConversion"/>
  </si>
  <si>
    <t>S3-10 로체온도 상승(1').탈탄2'(19-11)</t>
    <phoneticPr fontId="9" type="noConversion"/>
  </si>
  <si>
    <t>열간보수.온도저하(재송전)</t>
    <phoneticPr fontId="9" type="noConversion"/>
  </si>
  <si>
    <t>탈산,탄보급</t>
    <phoneticPr fontId="9" type="noConversion"/>
  </si>
  <si>
    <t>열간보수,#2 VLB 가스막힘,청소</t>
    <phoneticPr fontId="9" type="noConversion"/>
  </si>
  <si>
    <t>고철-5톤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</si>
</sst>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[$-F800]dddd\,\ mmmm\ dd\,\ yyyy"/>
    <numFmt numFmtId="177" formatCode="#,##0_ ;[Red]\-#,##0\ "/>
    <numFmt numFmtId="178" formatCode="#,##0_);[Red]\(#,##0\)"/>
    <numFmt numFmtId="179" formatCode="0.0&quot;분&quot;"/>
    <numFmt numFmtId="180" formatCode="0.0_);[Red]&quot;₩&quot;&quot;₩&quot;\!\!\(0.0&quot;₩&quot;&quot;₩&quot;\!\!\)"/>
    <numFmt numFmtId="181" formatCode="0.0"/>
    <numFmt numFmtId="182" formatCode="0_);[Red]&quot;₩&quot;&quot;₩&quot;\!\!\(0&quot;₩&quot;&quot;₩&quot;\!\!\)"/>
    <numFmt numFmtId="183" formatCode="h:mm;@"/>
    <numFmt numFmtId="184" formatCode="0&quot; heat&quot;"/>
    <numFmt numFmtId="185" formatCode="0.0000000000000000%"/>
    <numFmt numFmtId="186" formatCode="_ * #,##0_ ;_ * \-#,##0_ ;_ * &quot;-&quot;_ ;_ @_ "/>
    <numFmt numFmtId="187" formatCode="_ * #,##0.00_ ;_ * \-#,##0.00_ ;_ * &quot;-&quot;??_ ;_ @_ "/>
    <numFmt numFmtId="188" formatCode="yy\.mm\."/>
    <numFmt numFmtId="189" formatCode="mm\.dd"/>
    <numFmt numFmtId="190" formatCode="&quot;$&quot;#,##0_);[Red]\(&quot;$&quot;#,##0\)"/>
    <numFmt numFmtId="191" formatCode="[Red][&gt;=750]###;General"/>
    <numFmt numFmtId="192" formatCode="m&quot;월&quot;\ d&quot;일&quot;;@"/>
    <numFmt numFmtId="193" formatCode="0_ "/>
    <numFmt numFmtId="194" formatCode="#,##0_ "/>
    <numFmt numFmtId="195" formatCode="#,##0.0_ "/>
    <numFmt numFmtId="196" formatCode="#,##0.0_);[Red]\(#,##0.0\)"/>
    <numFmt numFmtId="197" formatCode="0.0%"/>
    <numFmt numFmtId="198" formatCode="_-* #,##0.0_-;\-* #,##0.0_-;_-* &quot;-&quot;_-;_-@_-"/>
    <numFmt numFmtId="199" formatCode="0.0_);[Red]\(0.0\)"/>
    <numFmt numFmtId="200" formatCode="0_);[Red]\(0\)"/>
    <numFmt numFmtId="201" formatCode="0.00_);[Red]\(0.00\)"/>
    <numFmt numFmtId="202" formatCode="#,##0.00_);[Red]\(#,##0.00\)"/>
    <numFmt numFmtId="203" formatCode="_-* #,##0_-;&quot;₩&quot;&quot;₩&quot;&quot;₩&quot;\!\!\!\-* #,##0_-;_-* &quot;-&quot;_-;_-@_-"/>
    <numFmt numFmtId="204" formatCode="0&quot; Ch&quot;"/>
    <numFmt numFmtId="205" formatCode="mm&quot;월&quot;\ dd&quot;일&quot;"/>
    <numFmt numFmtId="206" formatCode="0.0_ "/>
    <numFmt numFmtId="207" formatCode="0.00_ "/>
    <numFmt numFmtId="208" formatCode="_-* #,##0.00_-;\-* #,##0.00_-;_-* &quot;-&quot;_-;_-@_-"/>
    <numFmt numFmtId="209" formatCode="mm&quot;월&quot;\ dd&quot;일&quot;\,&quot;현재 조업 사항&quot;"/>
    <numFmt numFmtId="210" formatCode="0&quot; Ton&quot;"/>
    <numFmt numFmtId="211" formatCode="0.000"/>
    <numFmt numFmtId="212" formatCode="#,#00&quot;mm&quot;"/>
  </numFmts>
  <fonts count="16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굴림체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u/>
      <sz val="12.1"/>
      <color indexed="12"/>
      <name val="돋움"/>
      <family val="3"/>
      <charset val="129"/>
    </font>
    <font>
      <b/>
      <sz val="9"/>
      <name val="굴림"/>
      <family val="3"/>
      <charset val="129"/>
    </font>
    <font>
      <u/>
      <sz val="12.1"/>
      <color indexed="36"/>
      <name val="돋움"/>
      <family val="3"/>
      <charset val="129"/>
    </font>
    <font>
      <b/>
      <sz val="9"/>
      <color indexed="10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sz val="12"/>
      <name val="¹UAAA¼"/>
      <family val="3"/>
      <charset val="129"/>
    </font>
    <font>
      <b/>
      <sz val="11"/>
      <color indexed="17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i/>
      <sz val="10"/>
      <color indexed="1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b/>
      <sz val="11"/>
      <color indexed="63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sz val="11"/>
      <color indexed="14"/>
      <name val="Calibri"/>
      <family val="2"/>
    </font>
    <font>
      <sz val="16"/>
      <name val="바탕체"/>
      <family val="1"/>
      <charset val="129"/>
    </font>
    <font>
      <sz val="14"/>
      <name val="뼻뮝"/>
      <family val="3"/>
      <charset val="129"/>
    </font>
    <font>
      <sz val="11"/>
      <name val="가는각진제목체"/>
      <family val="1"/>
      <charset val="129"/>
    </font>
    <font>
      <sz val="12"/>
      <name val="굴림체"/>
      <family val="3"/>
      <charset val="129"/>
    </font>
    <font>
      <b/>
      <sz val="11"/>
      <name val="돋움"/>
      <family val="3"/>
      <charset val="129"/>
    </font>
    <font>
      <sz val="11"/>
      <name val="신문바탕체"/>
      <family val="3"/>
      <charset val="129"/>
    </font>
    <font>
      <sz val="8"/>
      <name val="바탕"/>
      <family val="1"/>
      <charset val="129"/>
    </font>
    <font>
      <u/>
      <sz val="11"/>
      <color indexed="12"/>
      <name val="신문바탕체"/>
      <family val="3"/>
      <charset val="129"/>
    </font>
    <font>
      <u/>
      <sz val="11"/>
      <color indexed="20"/>
      <name val="신문바탕체"/>
      <family val="3"/>
      <charset val="129"/>
    </font>
    <font>
      <sz val="8"/>
      <name val="신문바탕체"/>
      <family val="3"/>
      <charset val="129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8"/>
      <name val="신문바탕체"/>
      <family val="3"/>
      <charset val="129"/>
    </font>
    <font>
      <b/>
      <sz val="10"/>
      <name val="신문바탕체"/>
      <family val="3"/>
      <charset val="129"/>
    </font>
    <font>
      <u/>
      <sz val="11"/>
      <color indexed="36"/>
      <name val="신문바탕체"/>
      <family val="3"/>
      <charset val="129"/>
    </font>
    <font>
      <b/>
      <sz val="10"/>
      <color indexed="8"/>
      <name val="돋움"/>
      <family val="3"/>
      <charset val="129"/>
    </font>
    <font>
      <sz val="9"/>
      <name val="Arial"/>
      <family val="2"/>
    </font>
    <font>
      <b/>
      <sz val="9"/>
      <color indexed="8"/>
      <name val="Arial"/>
      <family val="2"/>
    </font>
    <font>
      <b/>
      <sz val="8"/>
      <name val="돋움"/>
      <family val="3"/>
      <charset val="129"/>
    </font>
    <font>
      <b/>
      <i/>
      <sz val="8"/>
      <name val="Arial"/>
      <family val="2"/>
    </font>
    <font>
      <b/>
      <sz val="9"/>
      <color indexed="10"/>
      <name val="Arial"/>
      <family val="2"/>
    </font>
    <font>
      <sz val="11"/>
      <color indexed="12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9"/>
      <name val="휴먼옛체"/>
      <family val="1"/>
      <charset val="129"/>
    </font>
    <font>
      <sz val="16"/>
      <name val="HY헤드라인M"/>
      <family val="1"/>
      <charset val="129"/>
    </font>
    <font>
      <b/>
      <sz val="10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20"/>
      <color theme="1"/>
      <name val="굴림체"/>
      <family val="3"/>
      <charset val="129"/>
    </font>
    <font>
      <b/>
      <sz val="24"/>
      <name val="굴림체"/>
      <family val="3"/>
      <charset val="129"/>
    </font>
    <font>
      <sz val="12"/>
      <color rgb="FF000000"/>
      <name val="휴먼옛체"/>
      <family val="1"/>
      <charset val="129"/>
    </font>
    <font>
      <sz val="10"/>
      <color rgb="FF000000"/>
      <name val="굴림체"/>
      <family val="3"/>
      <charset val="129"/>
    </font>
    <font>
      <b/>
      <sz val="10"/>
      <color rgb="FFFF33CC"/>
      <name val="굴림체"/>
      <family val="3"/>
      <charset val="129"/>
    </font>
    <font>
      <b/>
      <sz val="12"/>
      <color rgb="FFFF0000"/>
      <name val="휴먼옛체"/>
      <family val="1"/>
      <charset val="129"/>
    </font>
    <font>
      <b/>
      <sz val="10"/>
      <color rgb="FFFF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0"/>
      <color rgb="FF0033CC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10"/>
      <color indexed="9"/>
      <name val="굴림체"/>
      <family val="3"/>
      <charset val="129"/>
    </font>
    <font>
      <b/>
      <sz val="10"/>
      <color theme="0"/>
      <name val="굴림체"/>
      <family val="3"/>
      <charset val="129"/>
    </font>
    <font>
      <b/>
      <sz val="11"/>
      <color theme="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color rgb="FFFF0000"/>
      <name val="굴림"/>
      <family val="3"/>
      <charset val="129"/>
    </font>
    <font>
      <b/>
      <sz val="11"/>
      <color theme="1"/>
      <name val="굴림체"/>
      <family val="3"/>
      <charset val="129"/>
    </font>
    <font>
      <sz val="11"/>
      <name val="돋움체"/>
      <family val="3"/>
      <charset val="129"/>
    </font>
    <font>
      <b/>
      <sz val="11"/>
      <name val="굴림체"/>
      <family val="3"/>
      <charset val="129"/>
    </font>
    <font>
      <sz val="10"/>
      <color rgb="FFFF0000"/>
      <name val="굴림"/>
      <family val="3"/>
      <charset val="129"/>
    </font>
    <font>
      <sz val="11"/>
      <name val="굴림체"/>
      <family val="3"/>
      <charset val="129"/>
    </font>
    <font>
      <sz val="11"/>
      <color rgb="FF0000CC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1"/>
      <color rgb="FFFF000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indexed="10"/>
      <name val="굴림"/>
      <family val="3"/>
      <charset val="129"/>
    </font>
    <font>
      <b/>
      <sz val="10"/>
      <name val="돋움"/>
      <family val="3"/>
      <charset val="129"/>
    </font>
    <font>
      <b/>
      <sz val="14"/>
      <color rgb="FFFF0000"/>
      <name val="돋움"/>
      <family val="3"/>
      <charset val="129"/>
    </font>
    <font>
      <sz val="12"/>
      <color theme="1"/>
      <name val="돋움"/>
      <family val="3"/>
      <charset val="129"/>
    </font>
    <font>
      <b/>
      <sz val="20"/>
      <color rgb="FFFF0000"/>
      <name val="굴림체"/>
      <family val="3"/>
      <charset val="129"/>
    </font>
    <font>
      <sz val="12"/>
      <name val="돋움"/>
      <family val="3"/>
      <charset val="129"/>
    </font>
    <font>
      <b/>
      <sz val="20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CC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color rgb="FFFFFF66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u/>
      <sz val="9"/>
      <color theme="0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inor"/>
    </font>
    <font>
      <u/>
      <sz val="11"/>
      <color indexed="12"/>
      <name val="맑은 고딕"/>
      <family val="3"/>
      <charset val="129"/>
      <scheme val="minor"/>
    </font>
    <font>
      <u/>
      <sz val="9"/>
      <color indexed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8"/>
      <color indexed="12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name val="굴림체"/>
      <family val="3"/>
      <charset val="129"/>
    </font>
    <font>
      <sz val="10"/>
      <color rgb="FF0000CC"/>
      <name val="굴림체"/>
      <family val="3"/>
      <charset val="129"/>
    </font>
    <font>
      <b/>
      <sz val="10"/>
      <color theme="3" tint="-0.249977111117893"/>
      <name val="맑은 고딕"/>
      <family val="3"/>
      <charset val="129"/>
      <scheme val="minor"/>
    </font>
    <font>
      <b/>
      <sz val="9"/>
      <color rgb="FF0000CC"/>
      <name val="굴림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9"/>
      <color rgb="FFFF0000"/>
      <name val="굴림"/>
      <family val="3"/>
      <charset val="129"/>
    </font>
    <font>
      <sz val="9"/>
      <name val="굴림"/>
      <family val="3"/>
      <charset val="129"/>
    </font>
    <font>
      <b/>
      <sz val="20"/>
      <name val="돋움"/>
      <family val="3"/>
      <charset val="129"/>
    </font>
    <font>
      <sz val="20"/>
      <name val="돋움"/>
      <family val="3"/>
      <charset val="129"/>
    </font>
    <font>
      <b/>
      <sz val="25"/>
      <name val="돋움"/>
      <family val="3"/>
      <charset val="129"/>
    </font>
    <font>
      <sz val="18"/>
      <name val="돋움"/>
      <family val="3"/>
      <charset val="129"/>
    </font>
    <font>
      <b/>
      <sz val="7"/>
      <name val="맑은 고딕"/>
      <family val="3"/>
      <charset val="129"/>
      <scheme val="minor"/>
    </font>
    <font>
      <b/>
      <sz val="7"/>
      <color theme="0"/>
      <name val="맑은 고딕"/>
      <family val="3"/>
      <charset val="129"/>
      <scheme val="minor"/>
    </font>
    <font>
      <b/>
      <sz val="8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0000CC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CC"/>
      <name val="굴림"/>
      <family val="3"/>
      <charset val="129"/>
    </font>
    <font>
      <sz val="10"/>
      <name val="굴림"/>
      <family val="3"/>
      <charset val="129"/>
    </font>
  </fonts>
  <fills count="10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4"/>
      </patternFill>
    </fill>
    <fill>
      <patternFill patternType="solid">
        <fgColor indexed="58"/>
      </patternFill>
    </fill>
    <fill>
      <patternFill patternType="solid">
        <fgColor indexed="51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0000FF"/>
        <bgColor indexed="64"/>
      </patternFill>
    </fill>
    <fill>
      <gradientFill degree="90">
        <stop position="0">
          <color rgb="FF00FF00"/>
        </stop>
        <stop position="0.5">
          <color theme="0"/>
        </stop>
        <stop position="1">
          <color rgb="FF00FF00"/>
        </stop>
      </gradientFill>
    </fill>
    <fill>
      <gradientFill degree="90">
        <stop position="0">
          <color rgb="FFFF99FF"/>
        </stop>
        <stop position="0.5">
          <color theme="0"/>
        </stop>
        <stop position="1">
          <color rgb="FFFF99FF"/>
        </stop>
      </gradient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B9BB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F5458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C000"/>
        <bgColor indexed="64"/>
      </patternFill>
    </fill>
  </fills>
  <borders count="19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8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double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 style="medium">
        <color indexed="64"/>
      </right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rgb="FFFF0000"/>
      </left>
      <right style="thin">
        <color theme="0"/>
      </right>
      <top style="thin">
        <color theme="0"/>
      </top>
      <bottom style="thick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FF000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ck">
        <color rgb="FFFF000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ck">
        <color rgb="FFFF0000"/>
      </bottom>
      <diagonal/>
    </border>
    <border>
      <left style="thick">
        <color rgb="FFFF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theme="0"/>
      </bottom>
      <diagonal/>
    </border>
    <border>
      <left/>
      <right/>
      <top style="thick">
        <color rgb="FFFF0000"/>
      </top>
      <bottom style="thin">
        <color theme="0"/>
      </bottom>
      <diagonal/>
    </border>
    <border>
      <left/>
      <right style="thick">
        <color rgb="FFFF0000"/>
      </right>
      <top style="thick">
        <color rgb="FFFF000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1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4" fillId="17" borderId="0" applyNumberFormat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6" fillId="24" borderId="0" applyNumberFormat="0" applyBorder="0" applyAlignment="0" applyProtection="0"/>
    <xf numFmtId="0" fontId="16" fillId="32" borderId="0" applyNumberFormat="0" applyBorder="0" applyAlignment="0" applyProtection="0"/>
    <xf numFmtId="0" fontId="15" fillId="25" borderId="0" applyNumberFormat="0" applyBorder="0" applyAlignment="0" applyProtection="0"/>
    <xf numFmtId="0" fontId="15" fillId="2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5" fillId="22" borderId="0" applyNumberFormat="0" applyBorder="0" applyAlignment="0" applyProtection="0"/>
    <xf numFmtId="0" fontId="15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5" fillId="38" borderId="0" applyNumberFormat="0" applyBorder="0" applyAlignment="0" applyProtection="0"/>
    <xf numFmtId="0" fontId="17" fillId="36" borderId="0" applyNumberFormat="0" applyBorder="0" applyAlignment="0" applyProtection="0"/>
    <xf numFmtId="0" fontId="18" fillId="0" borderId="0"/>
    <xf numFmtId="185" fontId="3" fillId="0" borderId="0" applyFill="0" applyBorder="0" applyAlignment="0"/>
    <xf numFmtId="0" fontId="19" fillId="39" borderId="60" applyNumberFormat="0" applyAlignment="0" applyProtection="0"/>
    <xf numFmtId="0" fontId="20" fillId="0" borderId="0"/>
    <xf numFmtId="0" fontId="21" fillId="31" borderId="61" applyNumberFormat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4" fillId="0" borderId="0" applyNumberFormat="0" applyFill="0" applyBorder="0" applyAlignment="0" applyProtection="0"/>
    <xf numFmtId="0" fontId="16" fillId="29" borderId="0" applyNumberFormat="0" applyBorder="0" applyAlignment="0" applyProtection="0"/>
    <xf numFmtId="38" fontId="25" fillId="43" borderId="0" applyNumberFormat="0" applyBorder="0" applyAlignment="0" applyProtection="0"/>
    <xf numFmtId="0" fontId="26" fillId="0" borderId="0">
      <alignment horizontal="left"/>
    </xf>
    <xf numFmtId="0" fontId="27" fillId="0" borderId="19" applyNumberFormat="0" applyAlignment="0" applyProtection="0">
      <alignment horizontal="left" vertical="center"/>
    </xf>
    <xf numFmtId="0" fontId="27" fillId="0" borderId="43">
      <alignment horizontal="left" vertical="center"/>
    </xf>
    <xf numFmtId="0" fontId="28" fillId="0" borderId="62" applyNumberFormat="0" applyFill="0" applyAlignment="0" applyProtection="0"/>
    <xf numFmtId="0" fontId="29" fillId="0" borderId="63" applyNumberFormat="0" applyFill="0" applyAlignment="0" applyProtection="0"/>
    <xf numFmtId="0" fontId="30" fillId="0" borderId="64" applyNumberFormat="0" applyFill="0" applyAlignment="0" applyProtection="0"/>
    <xf numFmtId="0" fontId="30" fillId="0" borderId="0" applyNumberFormat="0" applyFill="0" applyBorder="0" applyAlignment="0" applyProtection="0"/>
    <xf numFmtId="0" fontId="31" fillId="37" borderId="60" applyNumberFormat="0" applyAlignment="0" applyProtection="0"/>
    <xf numFmtId="10" fontId="25" fillId="43" borderId="9" applyNumberFormat="0" applyBorder="0" applyAlignment="0" applyProtection="0"/>
    <xf numFmtId="0" fontId="32" fillId="0" borderId="65" applyNumberFormat="0" applyFill="0" applyAlignment="0" applyProtection="0"/>
    <xf numFmtId="0" fontId="33" fillId="0" borderId="1"/>
    <xf numFmtId="0" fontId="32" fillId="37" borderId="0" applyNumberFormat="0" applyBorder="0" applyAlignment="0" applyProtection="0"/>
    <xf numFmtId="190" fontId="34" fillId="0" borderId="0"/>
    <xf numFmtId="0" fontId="22" fillId="0" borderId="0"/>
    <xf numFmtId="0" fontId="25" fillId="36" borderId="60" applyNumberFormat="0" applyFont="0" applyAlignment="0" applyProtection="0"/>
    <xf numFmtId="0" fontId="35" fillId="39" borderId="66" applyNumberFormat="0" applyAlignment="0" applyProtection="0"/>
    <xf numFmtId="10" fontId="22" fillId="0" borderId="0" applyFont="0" applyFill="0" applyBorder="0" applyAlignment="0" applyProtection="0"/>
    <xf numFmtId="0" fontId="34" fillId="0" borderId="0"/>
    <xf numFmtId="0" fontId="34" fillId="0" borderId="0"/>
    <xf numFmtId="4" fontId="25" fillId="44" borderId="60" applyNumberFormat="0" applyProtection="0">
      <alignment vertical="center"/>
    </xf>
    <xf numFmtId="4" fontId="36" fillId="45" borderId="60" applyNumberFormat="0" applyProtection="0">
      <alignment vertical="center"/>
    </xf>
    <xf numFmtId="4" fontId="25" fillId="45" borderId="60" applyNumberFormat="0" applyProtection="0">
      <alignment horizontal="left" vertical="center" indent="1"/>
    </xf>
    <xf numFmtId="0" fontId="37" fillId="44" borderId="67" applyNumberFormat="0" applyProtection="0">
      <alignment horizontal="left" vertical="top" indent="1"/>
    </xf>
    <xf numFmtId="4" fontId="25" fillId="46" borderId="60" applyNumberFormat="0" applyProtection="0">
      <alignment horizontal="left" vertical="center" indent="1"/>
    </xf>
    <xf numFmtId="4" fontId="25" fillId="47" borderId="60" applyNumberFormat="0" applyProtection="0">
      <alignment horizontal="right" vertical="center"/>
    </xf>
    <xf numFmtId="4" fontId="25" fillId="48" borderId="60" applyNumberFormat="0" applyProtection="0">
      <alignment horizontal="right" vertical="center"/>
    </xf>
    <xf numFmtId="4" fontId="25" fillId="49" borderId="68" applyNumberFormat="0" applyProtection="0">
      <alignment horizontal="right" vertical="center"/>
    </xf>
    <xf numFmtId="4" fontId="25" fillId="18" borderId="60" applyNumberFormat="0" applyProtection="0">
      <alignment horizontal="right" vertical="center"/>
    </xf>
    <xf numFmtId="4" fontId="25" fillId="50" borderId="60" applyNumberFormat="0" applyProtection="0">
      <alignment horizontal="right" vertical="center"/>
    </xf>
    <xf numFmtId="4" fontId="25" fillId="51" borderId="60" applyNumberFormat="0" applyProtection="0">
      <alignment horizontal="right" vertical="center"/>
    </xf>
    <xf numFmtId="4" fontId="25" fillId="14" borderId="60" applyNumberFormat="0" applyProtection="0">
      <alignment horizontal="right" vertical="center"/>
    </xf>
    <xf numFmtId="4" fontId="25" fillId="10" borderId="60" applyNumberFormat="0" applyProtection="0">
      <alignment horizontal="right" vertical="center"/>
    </xf>
    <xf numFmtId="4" fontId="25" fillId="52" borderId="60" applyNumberFormat="0" applyProtection="0">
      <alignment horizontal="right" vertical="center"/>
    </xf>
    <xf numFmtId="4" fontId="25" fillId="53" borderId="68" applyNumberFormat="0" applyProtection="0">
      <alignment horizontal="left" vertical="center" indent="1"/>
    </xf>
    <xf numFmtId="4" fontId="22" fillId="16" borderId="68" applyNumberFormat="0" applyProtection="0">
      <alignment horizontal="left" vertical="center" indent="1"/>
    </xf>
    <xf numFmtId="4" fontId="22" fillId="16" borderId="68" applyNumberFormat="0" applyProtection="0">
      <alignment horizontal="left" vertical="center" indent="1"/>
    </xf>
    <xf numFmtId="4" fontId="25" fillId="9" borderId="60" applyNumberFormat="0" applyProtection="0">
      <alignment horizontal="right" vertical="center"/>
    </xf>
    <xf numFmtId="4" fontId="25" fillId="8" borderId="68" applyNumberFormat="0" applyProtection="0">
      <alignment horizontal="left" vertical="center" indent="1"/>
    </xf>
    <xf numFmtId="4" fontId="25" fillId="9" borderId="68" applyNumberFormat="0" applyProtection="0">
      <alignment horizontal="left" vertical="center" indent="1"/>
    </xf>
    <xf numFmtId="0" fontId="25" fillId="13" borderId="60" applyNumberFormat="0" applyProtection="0">
      <alignment horizontal="left" vertical="center" indent="1"/>
    </xf>
    <xf numFmtId="0" fontId="25" fillId="16" borderId="67" applyNumberFormat="0" applyProtection="0">
      <alignment horizontal="left" vertical="top" indent="1"/>
    </xf>
    <xf numFmtId="0" fontId="25" fillId="54" borderId="60" applyNumberFormat="0" applyProtection="0">
      <alignment horizontal="left" vertical="center" indent="1"/>
    </xf>
    <xf numFmtId="0" fontId="25" fillId="9" borderId="67" applyNumberFormat="0" applyProtection="0">
      <alignment horizontal="left" vertical="top" indent="1"/>
    </xf>
    <xf numFmtId="0" fontId="25" fillId="55" borderId="60" applyNumberFormat="0" applyProtection="0">
      <alignment horizontal="left" vertical="center" indent="1"/>
    </xf>
    <xf numFmtId="0" fontId="25" fillId="55" borderId="67" applyNumberFormat="0" applyProtection="0">
      <alignment horizontal="left" vertical="top" indent="1"/>
    </xf>
    <xf numFmtId="0" fontId="25" fillId="8" borderId="60" applyNumberFormat="0" applyProtection="0">
      <alignment horizontal="left" vertical="center" indent="1"/>
    </xf>
    <xf numFmtId="0" fontId="25" fillId="8" borderId="67" applyNumberFormat="0" applyProtection="0">
      <alignment horizontal="left" vertical="top" indent="1"/>
    </xf>
    <xf numFmtId="0" fontId="25" fillId="56" borderId="69" applyNumberFormat="0">
      <protection locked="0"/>
    </xf>
    <xf numFmtId="0" fontId="38" fillId="16" borderId="70" applyBorder="0"/>
    <xf numFmtId="4" fontId="39" fillId="57" borderId="67" applyNumberFormat="0" applyProtection="0">
      <alignment vertical="center"/>
    </xf>
    <xf numFmtId="4" fontId="36" fillId="58" borderId="9" applyNumberFormat="0" applyProtection="0">
      <alignment vertical="center"/>
    </xf>
    <xf numFmtId="4" fontId="39" fillId="13" borderId="67" applyNumberFormat="0" applyProtection="0">
      <alignment horizontal="left" vertical="center" indent="1"/>
    </xf>
    <xf numFmtId="0" fontId="39" fillId="57" borderId="67" applyNumberFormat="0" applyProtection="0">
      <alignment horizontal="left" vertical="top" indent="1"/>
    </xf>
    <xf numFmtId="4" fontId="25" fillId="0" borderId="60" applyNumberFormat="0" applyProtection="0">
      <alignment horizontal="right" vertical="center"/>
    </xf>
    <xf numFmtId="4" fontId="36" fillId="43" borderId="60" applyNumberFormat="0" applyProtection="0">
      <alignment horizontal="right" vertical="center"/>
    </xf>
    <xf numFmtId="4" fontId="25" fillId="46" borderId="60" applyNumberFormat="0" applyProtection="0">
      <alignment horizontal="left" vertical="center" indent="1"/>
    </xf>
    <xf numFmtId="0" fontId="39" fillId="9" borderId="67" applyNumberFormat="0" applyProtection="0">
      <alignment horizontal="left" vertical="top" indent="1"/>
    </xf>
    <xf numFmtId="4" fontId="40" fillId="59" borderId="68" applyNumberFormat="0" applyProtection="0">
      <alignment horizontal="left" vertical="center" indent="1"/>
    </xf>
    <xf numFmtId="0" fontId="25" fillId="60" borderId="9"/>
    <xf numFmtId="4" fontId="41" fillId="56" borderId="60" applyNumberFormat="0" applyProtection="0">
      <alignment horizontal="right" vertical="center"/>
    </xf>
    <xf numFmtId="0" fontId="42" fillId="0" borderId="0" applyNumberFormat="0" applyFill="0" applyBorder="0" applyAlignment="0" applyProtection="0"/>
    <xf numFmtId="0" fontId="33" fillId="0" borderId="0"/>
    <xf numFmtId="0" fontId="34" fillId="0" borderId="0"/>
    <xf numFmtId="0" fontId="34" fillId="0" borderId="0"/>
    <xf numFmtId="0" fontId="42" fillId="0" borderId="0" applyNumberFormat="0" applyFill="0" applyBorder="0" applyAlignment="0" applyProtection="0"/>
    <xf numFmtId="0" fontId="2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>
      <alignment vertical="top"/>
    </xf>
    <xf numFmtId="0" fontId="45" fillId="0" borderId="0"/>
    <xf numFmtId="41" fontId="46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38" fontId="34" fillId="0" borderId="0" applyFont="0" applyFill="0" applyBorder="0" applyAlignment="0" applyProtection="0"/>
    <xf numFmtId="40" fontId="34" fillId="0" borderId="0" applyFont="0" applyFill="0" applyBorder="0" applyAlignment="0" applyProtection="0"/>
    <xf numFmtId="42" fontId="47" fillId="0" borderId="0" applyFont="0" applyFill="0" applyBorder="0" applyAlignment="0" applyProtection="0"/>
    <xf numFmtId="0" fontId="46" fillId="0" borderId="0"/>
    <xf numFmtId="0" fontId="47" fillId="0" borderId="0"/>
    <xf numFmtId="0" fontId="47" fillId="0" borderId="0"/>
    <xf numFmtId="0" fontId="49" fillId="0" borderId="0"/>
    <xf numFmtId="0" fontId="51" fillId="0" borderId="0" applyNumberForma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49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203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49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860">
    <xf numFmtId="0" fontId="0" fillId="0" borderId="0" xfId="0"/>
    <xf numFmtId="0" fontId="6" fillId="0" borderId="0" xfId="138" applyFont="1" applyAlignment="1" applyProtection="1">
      <alignment vertical="center"/>
      <protection locked="0"/>
    </xf>
    <xf numFmtId="0" fontId="22" fillId="0" borderId="0" xfId="142" applyFont="1" applyAlignment="1">
      <alignment vertical="center"/>
    </xf>
    <xf numFmtId="200" fontId="58" fillId="2" borderId="13" xfId="142" applyNumberFormat="1" applyFont="1" applyFill="1" applyBorder="1" applyAlignment="1">
      <alignment horizontal="right" vertical="center" shrinkToFit="1"/>
    </xf>
    <xf numFmtId="0" fontId="58" fillId="2" borderId="9" xfId="142" applyFont="1" applyFill="1" applyBorder="1" applyAlignment="1">
      <alignment horizontal="center" vertical="center" shrinkToFit="1"/>
    </xf>
    <xf numFmtId="200" fontId="58" fillId="2" borderId="9" xfId="142" applyNumberFormat="1" applyFont="1" applyFill="1" applyBorder="1" applyAlignment="1">
      <alignment horizontal="right" vertical="center" shrinkToFit="1"/>
    </xf>
    <xf numFmtId="0" fontId="58" fillId="2" borderId="12" xfId="142" applyFont="1" applyFill="1" applyBorder="1" applyAlignment="1">
      <alignment horizontal="center" vertical="center" shrinkToFit="1"/>
    </xf>
    <xf numFmtId="0" fontId="55" fillId="2" borderId="8" xfId="142" applyFont="1" applyFill="1" applyBorder="1" applyAlignment="1">
      <alignment horizontal="center" vertical="center" shrinkToFit="1"/>
    </xf>
    <xf numFmtId="0" fontId="55" fillId="2" borderId="9" xfId="142" applyFont="1" applyFill="1" applyBorder="1" applyAlignment="1">
      <alignment horizontal="center" vertical="center" shrinkToFit="1"/>
    </xf>
    <xf numFmtId="201" fontId="58" fillId="2" borderId="12" xfId="142" applyNumberFormat="1" applyFont="1" applyFill="1" applyBorder="1" applyAlignment="1">
      <alignment horizontal="center" vertical="center" shrinkToFit="1"/>
    </xf>
    <xf numFmtId="201" fontId="57" fillId="2" borderId="20" xfId="142" applyNumberFormat="1" applyFont="1" applyFill="1" applyBorder="1" applyAlignment="1">
      <alignment horizontal="center" vertical="center" shrinkToFit="1"/>
    </xf>
    <xf numFmtId="201" fontId="57" fillId="2" borderId="105" xfId="142" applyNumberFormat="1" applyFont="1" applyFill="1" applyBorder="1" applyAlignment="1">
      <alignment horizontal="center" vertical="center" shrinkToFit="1"/>
    </xf>
    <xf numFmtId="0" fontId="55" fillId="2" borderId="21" xfId="142" applyFont="1" applyFill="1" applyBorder="1" applyAlignment="1">
      <alignment horizontal="center" vertical="center" shrinkToFit="1"/>
    </xf>
    <xf numFmtId="0" fontId="55" fillId="2" borderId="10" xfId="142" applyFont="1" applyFill="1" applyBorder="1" applyAlignment="1">
      <alignment horizontal="center" vertical="center" shrinkToFit="1"/>
    </xf>
    <xf numFmtId="0" fontId="58" fillId="2" borderId="10" xfId="142" applyFont="1" applyFill="1" applyBorder="1" applyAlignment="1">
      <alignment horizontal="center" vertical="center" shrinkToFit="1"/>
    </xf>
    <xf numFmtId="201" fontId="58" fillId="2" borderId="11" xfId="142" applyNumberFormat="1" applyFont="1" applyFill="1" applyBorder="1" applyAlignment="1">
      <alignment horizontal="center" vertical="center" shrinkToFit="1"/>
    </xf>
    <xf numFmtId="184" fontId="25" fillId="0" borderId="22" xfId="142" applyNumberFormat="1" applyFont="1" applyFill="1" applyBorder="1" applyAlignment="1">
      <alignment horizontal="center" vertical="center"/>
    </xf>
    <xf numFmtId="178" fontId="61" fillId="0" borderId="92" xfId="142" applyNumberFormat="1" applyFont="1" applyFill="1" applyBorder="1" applyAlignment="1">
      <alignment horizontal="right" vertical="center" shrinkToFit="1"/>
    </xf>
    <xf numFmtId="178" fontId="61" fillId="0" borderId="41" xfId="142" applyNumberFormat="1" applyFont="1" applyFill="1" applyBorder="1" applyAlignment="1">
      <alignment horizontal="right" vertical="center" shrinkToFit="1"/>
    </xf>
    <xf numFmtId="178" fontId="61" fillId="5" borderId="41" xfId="142" applyNumberFormat="1" applyFont="1" applyFill="1" applyBorder="1" applyAlignment="1">
      <alignment horizontal="right" vertical="center" shrinkToFit="1"/>
    </xf>
    <xf numFmtId="178" fontId="61" fillId="5" borderId="103" xfId="142" applyNumberFormat="1" applyFont="1" applyFill="1" applyBorder="1" applyAlignment="1">
      <alignment horizontal="right" vertical="center" shrinkToFit="1"/>
    </xf>
    <xf numFmtId="200" fontId="61" fillId="0" borderId="40" xfId="142" applyNumberFormat="1" applyFont="1" applyFill="1" applyBorder="1" applyAlignment="1">
      <alignment horizontal="right" vertical="center" shrinkToFit="1"/>
    </xf>
    <xf numFmtId="200" fontId="61" fillId="0" borderId="41" xfId="142" applyNumberFormat="1" applyFont="1" applyFill="1" applyBorder="1" applyAlignment="1">
      <alignment horizontal="right" vertical="center" shrinkToFit="1"/>
    </xf>
    <xf numFmtId="200" fontId="61" fillId="5" borderId="22" xfId="142" applyNumberFormat="1" applyFont="1" applyFill="1" applyBorder="1" applyAlignment="1">
      <alignment horizontal="right" vertical="center" shrinkToFit="1"/>
    </xf>
    <xf numFmtId="199" fontId="61" fillId="6" borderId="48" xfId="142" applyNumberFormat="1" applyFont="1" applyFill="1" applyBorder="1" applyAlignment="1">
      <alignment horizontal="right" vertical="center"/>
    </xf>
    <xf numFmtId="201" fontId="56" fillId="7" borderId="22" xfId="142" applyNumberFormat="1" applyFont="1" applyFill="1" applyBorder="1" applyAlignment="1">
      <alignment horizontal="right" vertical="center" shrinkToFit="1"/>
    </xf>
    <xf numFmtId="178" fontId="62" fillId="65" borderId="8" xfId="142" applyNumberFormat="1" applyFont="1" applyFill="1" applyBorder="1" applyAlignment="1">
      <alignment horizontal="right" vertical="center" shrinkToFit="1"/>
    </xf>
    <xf numFmtId="201" fontId="62" fillId="65" borderId="12" xfId="142" applyNumberFormat="1" applyFont="1" applyFill="1" applyBorder="1" applyAlignment="1">
      <alignment horizontal="right" vertical="center" shrinkToFit="1"/>
    </xf>
    <xf numFmtId="200" fontId="61" fillId="0" borderId="13" xfId="142" applyNumberFormat="1" applyFont="1" applyFill="1" applyBorder="1" applyAlignment="1">
      <alignment horizontal="right" vertical="center" shrinkToFit="1"/>
    </xf>
    <xf numFmtId="200" fontId="61" fillId="0" borderId="9" xfId="142" applyNumberFormat="1" applyFont="1" applyFill="1" applyBorder="1" applyAlignment="1">
      <alignment horizontal="right" vertical="center" shrinkToFit="1"/>
    </xf>
    <xf numFmtId="200" fontId="61" fillId="5" borderId="9" xfId="142" applyNumberFormat="1" applyFont="1" applyFill="1" applyBorder="1" applyAlignment="1">
      <alignment horizontal="right" vertical="center" shrinkToFit="1"/>
    </xf>
    <xf numFmtId="201" fontId="56" fillId="7" borderId="12" xfId="142" applyNumberFormat="1" applyFont="1" applyFill="1" applyBorder="1" applyAlignment="1">
      <alignment horizontal="right" vertical="center" shrinkToFit="1"/>
    </xf>
    <xf numFmtId="0" fontId="25" fillId="0" borderId="0" xfId="142" applyFont="1" applyAlignment="1">
      <alignment vertical="center"/>
    </xf>
    <xf numFmtId="184" fontId="25" fillId="0" borderId="12" xfId="142" applyNumberFormat="1" applyFont="1" applyFill="1" applyBorder="1" applyAlignment="1">
      <alignment horizontal="center" vertical="center"/>
    </xf>
    <xf numFmtId="178" fontId="61" fillId="0" borderId="13" xfId="142" applyNumberFormat="1" applyFont="1" applyFill="1" applyBorder="1" applyAlignment="1">
      <alignment horizontal="right" vertical="center" shrinkToFit="1"/>
    </xf>
    <xf numFmtId="178" fontId="61" fillId="0" borderId="9" xfId="142" applyNumberFormat="1" applyFont="1" applyFill="1" applyBorder="1" applyAlignment="1">
      <alignment horizontal="right" vertical="center" shrinkToFit="1"/>
    </xf>
    <xf numFmtId="178" fontId="61" fillId="5" borderId="9" xfId="142" applyNumberFormat="1" applyFont="1" applyFill="1" applyBorder="1" applyAlignment="1">
      <alignment horizontal="right" vertical="center" shrinkToFit="1"/>
    </xf>
    <xf numFmtId="178" fontId="61" fillId="5" borderId="14" xfId="142" applyNumberFormat="1" applyFont="1" applyFill="1" applyBorder="1" applyAlignment="1">
      <alignment horizontal="right" vertical="center" shrinkToFit="1"/>
    </xf>
    <xf numFmtId="200" fontId="61" fillId="0" borderId="8" xfId="142" applyNumberFormat="1" applyFont="1" applyFill="1" applyBorder="1" applyAlignment="1">
      <alignment horizontal="right" vertical="center" shrinkToFit="1"/>
    </xf>
    <xf numFmtId="200" fontId="61" fillId="5" borderId="12" xfId="142" applyNumberFormat="1" applyFont="1" applyFill="1" applyBorder="1" applyAlignment="1">
      <alignment horizontal="right" vertical="center" shrinkToFit="1"/>
    </xf>
    <xf numFmtId="199" fontId="61" fillId="6" borderId="49" xfId="142" applyNumberFormat="1" applyFont="1" applyFill="1" applyBorder="1" applyAlignment="1">
      <alignment horizontal="right" vertical="center"/>
    </xf>
    <xf numFmtId="184" fontId="25" fillId="0" borderId="18" xfId="142" applyNumberFormat="1" applyFont="1" applyFill="1" applyBorder="1" applyAlignment="1">
      <alignment horizontal="center" vertical="center"/>
    </xf>
    <xf numFmtId="178" fontId="61" fillId="0" borderId="16" xfId="142" applyNumberFormat="1" applyFont="1" applyFill="1" applyBorder="1" applyAlignment="1">
      <alignment horizontal="right" vertical="center" shrinkToFit="1"/>
    </xf>
    <xf numFmtId="178" fontId="61" fillId="0" borderId="10" xfId="142" applyNumberFormat="1" applyFont="1" applyFill="1" applyBorder="1" applyAlignment="1">
      <alignment horizontal="right" vertical="center" shrinkToFit="1"/>
    </xf>
    <xf numFmtId="178" fontId="61" fillId="5" borderId="10" xfId="142" applyNumberFormat="1" applyFont="1" applyFill="1" applyBorder="1" applyAlignment="1">
      <alignment horizontal="right" vertical="center" shrinkToFit="1"/>
    </xf>
    <xf numFmtId="178" fontId="61" fillId="5" borderId="17" xfId="142" applyNumberFormat="1" applyFont="1" applyFill="1" applyBorder="1" applyAlignment="1">
      <alignment horizontal="right" vertical="center" shrinkToFit="1"/>
    </xf>
    <xf numFmtId="200" fontId="61" fillId="43" borderId="15" xfId="142" applyNumberFormat="1" applyFont="1" applyFill="1" applyBorder="1" applyAlignment="1">
      <alignment horizontal="right" vertical="center" shrinkToFit="1"/>
    </xf>
    <xf numFmtId="200" fontId="61" fillId="43" borderId="10" xfId="142" applyNumberFormat="1" applyFont="1" applyFill="1" applyBorder="1" applyAlignment="1">
      <alignment horizontal="right" vertical="center" shrinkToFit="1"/>
    </xf>
    <xf numFmtId="200" fontId="61" fillId="5" borderId="11" xfId="142" applyNumberFormat="1" applyFont="1" applyFill="1" applyBorder="1" applyAlignment="1">
      <alignment horizontal="right" vertical="center" shrinkToFit="1"/>
    </xf>
    <xf numFmtId="199" fontId="61" fillId="6" borderId="106" xfId="142" applyNumberFormat="1" applyFont="1" applyFill="1" applyBorder="1" applyAlignment="1">
      <alignment horizontal="right" vertical="center"/>
    </xf>
    <xf numFmtId="201" fontId="56" fillId="7" borderId="11" xfId="142" applyNumberFormat="1" applyFont="1" applyFill="1" applyBorder="1" applyAlignment="1">
      <alignment horizontal="right" vertical="center" shrinkToFit="1"/>
    </xf>
    <xf numFmtId="200" fontId="61" fillId="0" borderId="16" xfId="142" applyNumberFormat="1" applyFont="1" applyFill="1" applyBorder="1" applyAlignment="1">
      <alignment horizontal="right" vertical="center" shrinkToFit="1"/>
    </xf>
    <xf numFmtId="200" fontId="61" fillId="0" borderId="10" xfId="142" applyNumberFormat="1" applyFont="1" applyFill="1" applyBorder="1" applyAlignment="1">
      <alignment horizontal="right" vertical="center" shrinkToFit="1"/>
    </xf>
    <xf numFmtId="200" fontId="61" fillId="5" borderId="10" xfId="142" applyNumberFormat="1" applyFont="1" applyFill="1" applyBorder="1" applyAlignment="1">
      <alignment horizontal="right" vertical="center" shrinkToFit="1"/>
    </xf>
    <xf numFmtId="184" fontId="64" fillId="0" borderId="5" xfId="138" applyNumberFormat="1" applyFont="1" applyFill="1" applyBorder="1" applyAlignment="1">
      <alignment horizontal="center" vertical="center"/>
    </xf>
    <xf numFmtId="178" fontId="61" fillId="0" borderId="6" xfId="138" applyNumberFormat="1" applyFont="1" applyFill="1" applyBorder="1" applyAlignment="1">
      <alignment horizontal="right"/>
    </xf>
    <xf numFmtId="178" fontId="61" fillId="0" borderId="4" xfId="138" applyNumberFormat="1" applyFont="1" applyFill="1" applyBorder="1" applyAlignment="1">
      <alignment horizontal="right"/>
    </xf>
    <xf numFmtId="178" fontId="61" fillId="5" borderId="4" xfId="138" applyNumberFormat="1" applyFont="1" applyFill="1" applyBorder="1" applyAlignment="1">
      <alignment horizontal="right"/>
    </xf>
    <xf numFmtId="178" fontId="61" fillId="5" borderId="51" xfId="138" applyNumberFormat="1" applyFont="1" applyFill="1" applyBorder="1" applyAlignment="1">
      <alignment horizontal="right"/>
    </xf>
    <xf numFmtId="200" fontId="61" fillId="0" borderId="3" xfId="138" applyNumberFormat="1" applyFont="1" applyFill="1" applyBorder="1" applyAlignment="1">
      <alignment horizontal="right"/>
    </xf>
    <xf numFmtId="200" fontId="61" fillId="0" borderId="4" xfId="138" applyNumberFormat="1" applyFont="1" applyFill="1" applyBorder="1" applyAlignment="1">
      <alignment horizontal="right"/>
    </xf>
    <xf numFmtId="200" fontId="61" fillId="5" borderId="5" xfId="138" applyNumberFormat="1" applyFont="1" applyFill="1" applyBorder="1" applyAlignment="1">
      <alignment horizontal="right"/>
    </xf>
    <xf numFmtId="199" fontId="61" fillId="6" borderId="29" xfId="142" applyNumberFormat="1" applyFont="1" applyFill="1" applyBorder="1" applyAlignment="1">
      <alignment horizontal="right" vertical="center"/>
    </xf>
    <xf numFmtId="201" fontId="56" fillId="7" borderId="5" xfId="142" applyNumberFormat="1" applyFont="1" applyFill="1" applyBorder="1" applyAlignment="1">
      <alignment horizontal="right" vertical="center"/>
    </xf>
    <xf numFmtId="178" fontId="62" fillId="65" borderId="3" xfId="142" applyNumberFormat="1" applyFont="1" applyFill="1" applyBorder="1" applyAlignment="1">
      <alignment horizontal="right" vertical="center"/>
    </xf>
    <xf numFmtId="201" fontId="62" fillId="65" borderId="5" xfId="142" applyNumberFormat="1" applyFont="1" applyFill="1" applyBorder="1" applyAlignment="1">
      <alignment horizontal="right" vertical="center"/>
    </xf>
    <xf numFmtId="200" fontId="61" fillId="0" borderId="6" xfId="138" applyNumberFormat="1" applyFont="1" applyFill="1" applyBorder="1" applyAlignment="1">
      <alignment horizontal="right"/>
    </xf>
    <xf numFmtId="200" fontId="61" fillId="5" borderId="4" xfId="138" applyNumberFormat="1" applyFont="1" applyFill="1" applyBorder="1" applyAlignment="1">
      <alignment horizontal="right"/>
    </xf>
    <xf numFmtId="0" fontId="25" fillId="0" borderId="0" xfId="142" applyFont="1" applyAlignment="1">
      <alignment horizontal="center" vertical="center"/>
    </xf>
    <xf numFmtId="184" fontId="64" fillId="0" borderId="18" xfId="138" applyNumberFormat="1" applyFont="1" applyFill="1" applyBorder="1" applyAlignment="1">
      <alignment horizontal="center" vertical="center"/>
    </xf>
    <xf numFmtId="178" fontId="61" fillId="0" borderId="57" xfId="138" applyNumberFormat="1" applyFont="1" applyFill="1" applyBorder="1" applyAlignment="1">
      <alignment horizontal="right"/>
    </xf>
    <xf numFmtId="178" fontId="61" fillId="0" borderId="33" xfId="138" applyNumberFormat="1" applyFont="1" applyFill="1" applyBorder="1" applyAlignment="1">
      <alignment horizontal="right"/>
    </xf>
    <xf numFmtId="178" fontId="61" fillId="5" borderId="33" xfId="138" applyNumberFormat="1" applyFont="1" applyFill="1" applyBorder="1" applyAlignment="1">
      <alignment horizontal="right"/>
    </xf>
    <xf numFmtId="178" fontId="61" fillId="5" borderId="58" xfId="142" applyNumberFormat="1" applyFont="1" applyFill="1" applyBorder="1" applyAlignment="1">
      <alignment horizontal="right" vertical="center"/>
    </xf>
    <xf numFmtId="200" fontId="61" fillId="0" borderId="32" xfId="138" applyNumberFormat="1" applyFont="1" applyFill="1" applyBorder="1" applyAlignment="1">
      <alignment horizontal="right"/>
    </xf>
    <xf numFmtId="200" fontId="61" fillId="0" borderId="33" xfId="138" applyNumberFormat="1" applyFont="1" applyFill="1" applyBorder="1" applyAlignment="1">
      <alignment horizontal="right"/>
    </xf>
    <xf numFmtId="200" fontId="61" fillId="5" borderId="18" xfId="142" applyNumberFormat="1" applyFont="1" applyFill="1" applyBorder="1" applyAlignment="1">
      <alignment horizontal="right" vertical="center"/>
    </xf>
    <xf numFmtId="199" fontId="61" fillId="6" borderId="39" xfId="142" applyNumberFormat="1" applyFont="1" applyFill="1" applyBorder="1" applyAlignment="1">
      <alignment horizontal="right" vertical="center"/>
    </xf>
    <xf numFmtId="178" fontId="61" fillId="5" borderId="33" xfId="142" applyNumberFormat="1" applyFont="1" applyFill="1" applyBorder="1" applyAlignment="1">
      <alignment horizontal="right" vertical="center"/>
    </xf>
    <xf numFmtId="201" fontId="56" fillId="7" borderId="18" xfId="142" applyNumberFormat="1" applyFont="1" applyFill="1" applyBorder="1" applyAlignment="1">
      <alignment horizontal="right" vertical="center"/>
    </xf>
    <xf numFmtId="201" fontId="56" fillId="7" borderId="11" xfId="142" applyNumberFormat="1" applyFont="1" applyFill="1" applyBorder="1" applyAlignment="1">
      <alignment horizontal="right" vertical="center"/>
    </xf>
    <xf numFmtId="178" fontId="62" fillId="65" borderId="15" xfId="142" applyNumberFormat="1" applyFont="1" applyFill="1" applyBorder="1" applyAlignment="1">
      <alignment horizontal="right" vertical="center"/>
    </xf>
    <xf numFmtId="201" fontId="62" fillId="65" borderId="11" xfId="142" applyNumberFormat="1" applyFont="1" applyFill="1" applyBorder="1" applyAlignment="1">
      <alignment horizontal="right" vertical="center"/>
    </xf>
    <xf numFmtId="200" fontId="61" fillId="0" borderId="16" xfId="138" applyNumberFormat="1" applyFont="1" applyFill="1" applyBorder="1" applyAlignment="1">
      <alignment horizontal="right"/>
    </xf>
    <xf numFmtId="200" fontId="61" fillId="0" borderId="10" xfId="138" applyNumberFormat="1" applyFont="1" applyFill="1" applyBorder="1" applyAlignment="1">
      <alignment horizontal="right"/>
    </xf>
    <xf numFmtId="200" fontId="61" fillId="5" borderId="10" xfId="142" applyNumberFormat="1" applyFont="1" applyFill="1" applyBorder="1" applyAlignment="1">
      <alignment horizontal="right" vertical="center"/>
    </xf>
    <xf numFmtId="184" fontId="64" fillId="0" borderId="96" xfId="138" applyNumberFormat="1" applyFont="1" applyFill="1" applyBorder="1" applyAlignment="1">
      <alignment horizontal="center" vertical="center"/>
    </xf>
    <xf numFmtId="178" fontId="56" fillId="0" borderId="31" xfId="142" applyNumberFormat="1" applyFont="1" applyFill="1" applyBorder="1" applyAlignment="1">
      <alignment horizontal="right" vertical="center"/>
    </xf>
    <xf numFmtId="178" fontId="56" fillId="0" borderId="55" xfId="142" applyNumberFormat="1" applyFont="1" applyFill="1" applyBorder="1" applyAlignment="1">
      <alignment horizontal="right" vertical="center"/>
    </xf>
    <xf numFmtId="178" fontId="65" fillId="5" borderId="55" xfId="142" applyNumberFormat="1" applyFont="1" applyFill="1" applyBorder="1" applyAlignment="1">
      <alignment horizontal="right" vertical="center"/>
    </xf>
    <xf numFmtId="178" fontId="65" fillId="5" borderId="107" xfId="142" applyNumberFormat="1" applyFont="1" applyFill="1" applyBorder="1" applyAlignment="1">
      <alignment horizontal="right" vertical="center"/>
    </xf>
    <xf numFmtId="200" fontId="56" fillId="0" borderId="30" xfId="142" applyNumberFormat="1" applyFont="1" applyFill="1" applyBorder="1" applyAlignment="1">
      <alignment horizontal="right" vertical="center"/>
    </xf>
    <xf numFmtId="200" fontId="56" fillId="0" borderId="55" xfId="142" applyNumberFormat="1" applyFont="1" applyFill="1" applyBorder="1" applyAlignment="1">
      <alignment horizontal="right" vertical="center"/>
    </xf>
    <xf numFmtId="200" fontId="65" fillId="5" borderId="96" xfId="142" applyNumberFormat="1" applyFont="1" applyFill="1" applyBorder="1" applyAlignment="1">
      <alignment horizontal="right" vertical="center"/>
    </xf>
    <xf numFmtId="199" fontId="65" fillId="6" borderId="59" xfId="142" applyNumberFormat="1" applyFont="1" applyFill="1" applyBorder="1" applyAlignment="1">
      <alignment horizontal="right" vertical="center"/>
    </xf>
    <xf numFmtId="178" fontId="65" fillId="0" borderId="31" xfId="142" applyNumberFormat="1" applyFont="1" applyFill="1" applyBorder="1" applyAlignment="1">
      <alignment horizontal="right" vertical="center"/>
    </xf>
    <xf numFmtId="178" fontId="65" fillId="0" borderId="55" xfId="142" applyNumberFormat="1" applyFont="1" applyFill="1" applyBorder="1" applyAlignment="1">
      <alignment horizontal="right" vertical="center"/>
    </xf>
    <xf numFmtId="201" fontId="65" fillId="7" borderId="96" xfId="142" applyNumberFormat="1" applyFont="1" applyFill="1" applyBorder="1" applyAlignment="1">
      <alignment horizontal="right" vertical="center"/>
    </xf>
    <xf numFmtId="201" fontId="65" fillId="7" borderId="108" xfId="142" applyNumberFormat="1" applyFont="1" applyFill="1" applyBorder="1" applyAlignment="1">
      <alignment horizontal="right" vertical="center"/>
    </xf>
    <xf numFmtId="178" fontId="62" fillId="65" borderId="53" xfId="142" applyNumberFormat="1" applyFont="1" applyFill="1" applyBorder="1" applyAlignment="1">
      <alignment horizontal="right" vertical="center"/>
    </xf>
    <xf numFmtId="201" fontId="62" fillId="65" borderId="108" xfId="142" applyNumberFormat="1" applyFont="1" applyFill="1" applyBorder="1" applyAlignment="1">
      <alignment horizontal="right" vertical="center"/>
    </xf>
    <xf numFmtId="200" fontId="65" fillId="0" borderId="109" xfId="142" applyNumberFormat="1" applyFont="1" applyFill="1" applyBorder="1" applyAlignment="1">
      <alignment horizontal="right" vertical="center"/>
    </xf>
    <xf numFmtId="200" fontId="65" fillId="0" borderId="54" xfId="142" applyNumberFormat="1" applyFont="1" applyFill="1" applyBorder="1" applyAlignment="1">
      <alignment horizontal="right" vertical="center"/>
    </xf>
    <xf numFmtId="200" fontId="65" fillId="5" borderId="54" xfId="142" applyNumberFormat="1" applyFont="1" applyFill="1" applyBorder="1" applyAlignment="1">
      <alignment horizontal="right" vertical="center"/>
    </xf>
    <xf numFmtId="0" fontId="38" fillId="0" borderId="0" xfId="142" applyFont="1" applyAlignment="1">
      <alignment horizontal="center" vertical="center"/>
    </xf>
    <xf numFmtId="0" fontId="22" fillId="0" borderId="0" xfId="142" applyFont="1" applyFill="1" applyBorder="1" applyAlignment="1">
      <alignment vertical="center"/>
    </xf>
    <xf numFmtId="0" fontId="55" fillId="0" borderId="0" xfId="142" applyFont="1" applyAlignment="1">
      <alignment vertical="center"/>
    </xf>
    <xf numFmtId="200" fontId="58" fillId="0" borderId="57" xfId="142" applyNumberFormat="1" applyFont="1" applyBorder="1" applyAlignment="1">
      <alignment horizontal="right" vertical="center" shrinkToFit="1"/>
    </xf>
    <xf numFmtId="0" fontId="58" fillId="0" borderId="33" xfId="142" applyFont="1" applyBorder="1" applyAlignment="1">
      <alignment horizontal="center" vertical="center" shrinkToFit="1"/>
    </xf>
    <xf numFmtId="200" fontId="58" fillId="0" borderId="33" xfId="142" applyNumberFormat="1" applyFont="1" applyBorder="1" applyAlignment="1">
      <alignment horizontal="right" vertical="center" shrinkToFit="1"/>
    </xf>
    <xf numFmtId="200" fontId="58" fillId="0" borderId="33" xfId="142" applyNumberFormat="1" applyFont="1" applyFill="1" applyBorder="1" applyAlignment="1">
      <alignment horizontal="right" vertical="center" shrinkToFit="1"/>
    </xf>
    <xf numFmtId="0" fontId="58" fillId="0" borderId="18" xfId="142" applyFont="1" applyFill="1" applyBorder="1" applyAlignment="1">
      <alignment horizontal="center" vertical="center" shrinkToFit="1"/>
    </xf>
    <xf numFmtId="0" fontId="55" fillId="43" borderId="32" xfId="142" applyFont="1" applyFill="1" applyBorder="1" applyAlignment="1">
      <alignment horizontal="center" vertical="center" shrinkToFit="1"/>
    </xf>
    <xf numFmtId="0" fontId="55" fillId="43" borderId="33" xfId="142" applyFont="1" applyFill="1" applyBorder="1" applyAlignment="1">
      <alignment horizontal="center" vertical="center" shrinkToFit="1"/>
    </xf>
    <xf numFmtId="0" fontId="58" fillId="43" borderId="18" xfId="142" applyFont="1" applyFill="1" applyBorder="1" applyAlignment="1">
      <alignment horizontal="center" vertical="center" shrinkToFit="1"/>
    </xf>
    <xf numFmtId="0" fontId="55" fillId="0" borderId="32" xfId="142" applyFont="1" applyBorder="1" applyAlignment="1">
      <alignment horizontal="center" vertical="center" shrinkToFit="1"/>
    </xf>
    <xf numFmtId="0" fontId="55" fillId="0" borderId="33" xfId="142" applyFont="1" applyBorder="1" applyAlignment="1">
      <alignment horizontal="center" vertical="center" shrinkToFit="1"/>
    </xf>
    <xf numFmtId="0" fontId="58" fillId="43" borderId="33" xfId="142" applyFont="1" applyFill="1" applyBorder="1" applyAlignment="1">
      <alignment horizontal="center" vertical="center" shrinkToFit="1"/>
    </xf>
    <xf numFmtId="0" fontId="70" fillId="66" borderId="30" xfId="142" applyFont="1" applyFill="1" applyBorder="1" applyAlignment="1">
      <alignment horizontal="center" vertical="center" shrinkToFit="1"/>
    </xf>
    <xf numFmtId="0" fontId="70" fillId="66" borderId="96" xfId="142" applyFont="1" applyFill="1" applyBorder="1" applyAlignment="1">
      <alignment horizontal="center" vertical="center" shrinkToFit="1"/>
    </xf>
    <xf numFmtId="0" fontId="55" fillId="0" borderId="30" xfId="142" applyFont="1" applyBorder="1" applyAlignment="1">
      <alignment horizontal="center" vertical="center" shrinkToFit="1"/>
    </xf>
    <xf numFmtId="178" fontId="22" fillId="0" borderId="13" xfId="142" applyNumberFormat="1" applyFont="1" applyBorder="1" applyAlignment="1" applyProtection="1">
      <alignment horizontal="right" vertical="center" shrinkToFit="1"/>
      <protection locked="0"/>
    </xf>
    <xf numFmtId="178" fontId="22" fillId="0" borderId="9" xfId="142" applyNumberFormat="1" applyFont="1" applyBorder="1" applyAlignment="1" applyProtection="1">
      <alignment vertical="center" shrinkToFit="1"/>
      <protection locked="0"/>
    </xf>
    <xf numFmtId="178" fontId="22" fillId="0" borderId="9" xfId="142" applyNumberFormat="1" applyFont="1" applyBorder="1" applyAlignment="1" applyProtection="1">
      <alignment horizontal="right" vertical="center" shrinkToFit="1"/>
      <protection locked="0"/>
    </xf>
    <xf numFmtId="178" fontId="22" fillId="63" borderId="9" xfId="142" applyNumberFormat="1" applyFont="1" applyFill="1" applyBorder="1" applyAlignment="1">
      <alignment horizontal="right" vertical="center" shrinkToFit="1"/>
    </xf>
    <xf numFmtId="178" fontId="22" fillId="63" borderId="12" xfId="142" applyNumberFormat="1" applyFont="1" applyFill="1" applyBorder="1" applyAlignment="1">
      <alignment vertical="center" shrinkToFit="1"/>
    </xf>
    <xf numFmtId="200" fontId="22" fillId="0" borderId="40" xfId="142" applyNumberFormat="1" applyFont="1" applyFill="1" applyBorder="1" applyAlignment="1">
      <alignment vertical="center" shrinkToFit="1"/>
    </xf>
    <xf numFmtId="200" fontId="22" fillId="0" borderId="41" xfId="142" applyNumberFormat="1" applyFont="1" applyFill="1" applyBorder="1" applyAlignment="1">
      <alignment vertical="center" shrinkToFit="1"/>
    </xf>
    <xf numFmtId="200" fontId="55" fillId="63" borderId="12" xfId="142" applyNumberFormat="1" applyFont="1" applyFill="1" applyBorder="1" applyAlignment="1">
      <alignment vertical="center" shrinkToFit="1"/>
    </xf>
    <xf numFmtId="199" fontId="22" fillId="63" borderId="43" xfId="142" applyNumberFormat="1" applyFont="1" applyFill="1" applyBorder="1" applyAlignment="1">
      <alignment vertical="center" shrinkToFit="1"/>
    </xf>
    <xf numFmtId="178" fontId="22" fillId="0" borderId="8" xfId="142" applyNumberFormat="1" applyFont="1" applyBorder="1" applyAlignment="1">
      <alignment vertical="center" shrinkToFit="1"/>
    </xf>
    <xf numFmtId="178" fontId="22" fillId="0" borderId="9" xfId="142" applyNumberFormat="1" applyFont="1" applyBorder="1" applyAlignment="1">
      <alignment vertical="center" shrinkToFit="1"/>
    </xf>
    <xf numFmtId="178" fontId="22" fillId="63" borderId="9" xfId="142" applyNumberFormat="1" applyFont="1" applyFill="1" applyBorder="1" applyAlignment="1">
      <alignment vertical="center" shrinkToFit="1"/>
    </xf>
    <xf numFmtId="2" fontId="55" fillId="63" borderId="12" xfId="142" applyNumberFormat="1" applyFont="1" applyFill="1" applyBorder="1" applyAlignment="1">
      <alignment vertical="center" shrinkToFit="1"/>
    </xf>
    <xf numFmtId="178" fontId="69" fillId="65" borderId="40" xfId="142" applyNumberFormat="1" applyFont="1" applyFill="1" applyBorder="1" applyAlignment="1">
      <alignment vertical="center" shrinkToFit="1"/>
    </xf>
    <xf numFmtId="2" fontId="69" fillId="65" borderId="22" xfId="142" applyNumberFormat="1" applyFont="1" applyFill="1" applyBorder="1" applyAlignment="1">
      <alignment vertical="center" shrinkToFit="1"/>
    </xf>
    <xf numFmtId="0" fontId="22" fillId="0" borderId="8" xfId="142" applyFont="1" applyBorder="1" applyAlignment="1">
      <alignment vertical="center" shrinkToFit="1"/>
    </xf>
    <xf numFmtId="0" fontId="22" fillId="0" borderId="13" xfId="142" applyFont="1" applyBorder="1" applyAlignment="1">
      <alignment vertical="center" shrinkToFit="1"/>
    </xf>
    <xf numFmtId="0" fontId="22" fillId="63" borderId="9" xfId="142" applyFont="1" applyFill="1" applyBorder="1" applyAlignment="1">
      <alignment vertical="center" shrinkToFit="1"/>
    </xf>
    <xf numFmtId="0" fontId="22" fillId="0" borderId="0" xfId="142" applyNumberFormat="1" applyFont="1" applyAlignment="1">
      <alignment horizontal="center" vertical="center"/>
    </xf>
    <xf numFmtId="0" fontId="22" fillId="0" borderId="0" xfId="142" applyFont="1" applyAlignment="1">
      <alignment horizontal="center" vertical="center"/>
    </xf>
    <xf numFmtId="200" fontId="22" fillId="0" borderId="0" xfId="142" applyNumberFormat="1" applyFont="1" applyAlignment="1">
      <alignment horizontal="right" vertical="center"/>
    </xf>
    <xf numFmtId="199" fontId="22" fillId="0" borderId="0" xfId="142" applyNumberFormat="1" applyFont="1" applyAlignment="1">
      <alignment vertical="center"/>
    </xf>
    <xf numFmtId="0" fontId="55" fillId="0" borderId="0" xfId="142" applyFont="1" applyAlignment="1">
      <alignment vertical="center" shrinkToFit="1"/>
    </xf>
    <xf numFmtId="0" fontId="22" fillId="0" borderId="0" xfId="142" applyFont="1" applyAlignment="1">
      <alignment vertical="center" shrinkToFit="1"/>
    </xf>
    <xf numFmtId="0" fontId="4" fillId="69" borderId="0" xfId="0" applyFont="1" applyFill="1" applyBorder="1" applyAlignment="1" applyProtection="1">
      <alignment vertical="center"/>
      <protection locked="0"/>
    </xf>
    <xf numFmtId="0" fontId="71" fillId="69" borderId="0" xfId="142" applyFont="1" applyFill="1" applyAlignment="1">
      <alignment horizontal="left" vertical="center"/>
    </xf>
    <xf numFmtId="0" fontId="54" fillId="69" borderId="0" xfId="142" applyFont="1" applyFill="1" applyAlignment="1">
      <alignment horizontal="center" vertical="center"/>
    </xf>
    <xf numFmtId="0" fontId="49" fillId="69" borderId="0" xfId="138" applyFill="1" applyAlignment="1">
      <alignment horizontal="center" vertical="center"/>
    </xf>
    <xf numFmtId="199" fontId="51" fillId="69" borderId="0" xfId="143" applyNumberFormat="1" applyFill="1" applyAlignment="1" applyProtection="1">
      <alignment horizontal="center" vertical="center"/>
    </xf>
    <xf numFmtId="0" fontId="51" fillId="69" borderId="0" xfId="143" applyFont="1" applyFill="1" applyAlignment="1" applyProtection="1">
      <alignment horizontal="center" vertical="center"/>
    </xf>
    <xf numFmtId="0" fontId="51" fillId="69" borderId="0" xfId="143" applyFont="1" applyFill="1" applyAlignment="1" applyProtection="1">
      <alignment horizontal="center" vertical="center" shrinkToFit="1"/>
    </xf>
    <xf numFmtId="200" fontId="22" fillId="69" borderId="0" xfId="142" applyNumberFormat="1" applyFont="1" applyFill="1" applyAlignment="1">
      <alignment horizontal="right" vertical="center"/>
    </xf>
    <xf numFmtId="0" fontId="22" fillId="69" borderId="0" xfId="142" applyFont="1" applyFill="1" applyAlignment="1">
      <alignment vertical="center"/>
    </xf>
    <xf numFmtId="200" fontId="55" fillId="69" borderId="1" xfId="142" applyNumberFormat="1" applyFont="1" applyFill="1" applyBorder="1" applyAlignment="1">
      <alignment horizontal="center" vertical="center"/>
    </xf>
    <xf numFmtId="201" fontId="56" fillId="69" borderId="1" xfId="143" applyNumberFormat="1" applyFont="1" applyFill="1" applyBorder="1" applyAlignment="1" applyProtection="1">
      <alignment horizontal="center" vertical="center"/>
    </xf>
    <xf numFmtId="201" fontId="56" fillId="69" borderId="1" xfId="142" applyNumberFormat="1" applyFont="1" applyFill="1" applyBorder="1" applyAlignment="1">
      <alignment vertical="center"/>
    </xf>
    <xf numFmtId="0" fontId="57" fillId="69" borderId="1" xfId="142" applyNumberFormat="1" applyFont="1" applyFill="1" applyBorder="1" applyAlignment="1">
      <alignment horizontal="center" vertical="center"/>
    </xf>
    <xf numFmtId="201" fontId="55" fillId="69" borderId="1" xfId="142" applyNumberFormat="1" applyFont="1" applyFill="1" applyBorder="1" applyAlignment="1">
      <alignment horizontal="center" vertical="center"/>
    </xf>
    <xf numFmtId="201" fontId="55" fillId="69" borderId="52" xfId="142" applyNumberFormat="1" applyFont="1" applyFill="1" applyBorder="1" applyAlignment="1">
      <alignment horizontal="center" vertical="center"/>
    </xf>
    <xf numFmtId="202" fontId="22" fillId="69" borderId="0" xfId="142" applyNumberFormat="1" applyFont="1" applyFill="1" applyAlignment="1">
      <alignment vertical="center"/>
    </xf>
    <xf numFmtId="178" fontId="22" fillId="69" borderId="0" xfId="142" applyNumberFormat="1" applyFont="1" applyFill="1" applyAlignment="1">
      <alignment vertical="center"/>
    </xf>
    <xf numFmtId="0" fontId="6" fillId="69" borderId="0" xfId="138" applyFont="1" applyFill="1" applyAlignment="1" applyProtection="1">
      <alignment vertical="center"/>
      <protection locked="0"/>
    </xf>
    <xf numFmtId="176" fontId="66" fillId="69" borderId="1" xfId="142" applyNumberFormat="1" applyFont="1" applyFill="1" applyBorder="1" applyAlignment="1">
      <alignment horizontal="center" vertical="center" shrinkToFit="1"/>
    </xf>
    <xf numFmtId="0" fontId="49" fillId="69" borderId="1" xfId="138" applyFill="1" applyBorder="1" applyAlignment="1">
      <alignment vertical="center"/>
    </xf>
    <xf numFmtId="176" fontId="67" fillId="69" borderId="1" xfId="142" applyNumberFormat="1" applyFont="1" applyFill="1" applyBorder="1" applyAlignment="1">
      <alignment vertical="center"/>
    </xf>
    <xf numFmtId="200" fontId="22" fillId="69" borderId="0" xfId="142" applyNumberFormat="1" applyFont="1" applyFill="1" applyBorder="1" applyAlignment="1">
      <alignment horizontal="right" vertical="center"/>
    </xf>
    <xf numFmtId="0" fontId="22" fillId="69" borderId="0" xfId="142" applyFont="1" applyFill="1" applyBorder="1" applyAlignment="1">
      <alignment vertical="center"/>
    </xf>
    <xf numFmtId="201" fontId="68" fillId="69" borderId="110" xfId="144" applyNumberFormat="1" applyFont="1" applyFill="1" applyBorder="1" applyAlignment="1">
      <alignment horizontal="center" vertical="center"/>
    </xf>
    <xf numFmtId="0" fontId="69" fillId="69" borderId="94" xfId="142" applyNumberFormat="1" applyFont="1" applyFill="1" applyBorder="1" applyAlignment="1">
      <alignment horizontal="center" vertical="center"/>
    </xf>
    <xf numFmtId="201" fontId="68" fillId="69" borderId="94" xfId="142" applyNumberFormat="1" applyFont="1" applyFill="1" applyBorder="1" applyAlignment="1" applyProtection="1">
      <alignment horizontal="center" vertical="center"/>
      <protection locked="0"/>
    </xf>
    <xf numFmtId="192" fontId="6" fillId="0" borderId="8" xfId="138" applyNumberFormat="1" applyFont="1" applyFill="1" applyBorder="1" applyAlignment="1" applyProtection="1">
      <alignment horizontal="center" vertical="center"/>
      <protection locked="0"/>
    </xf>
    <xf numFmtId="0" fontId="22" fillId="0" borderId="9" xfId="142" applyNumberFormat="1" applyFont="1" applyFill="1" applyBorder="1" applyAlignment="1" applyProtection="1">
      <alignment horizontal="center" vertical="center" shrinkToFit="1"/>
      <protection locked="0"/>
    </xf>
    <xf numFmtId="0" fontId="75" fillId="71" borderId="0" xfId="0" applyFont="1" applyFill="1" applyBorder="1" applyAlignment="1" applyProtection="1">
      <alignment vertical="center"/>
      <protection locked="0"/>
    </xf>
    <xf numFmtId="0" fontId="72" fillId="67" borderId="115" xfId="0" applyFont="1" applyFill="1" applyBorder="1" applyAlignment="1">
      <alignment horizontal="center" vertical="center"/>
    </xf>
    <xf numFmtId="0" fontId="72" fillId="67" borderId="116" xfId="0" applyFont="1" applyFill="1" applyBorder="1" applyAlignment="1">
      <alignment horizontal="center" vertical="center"/>
    </xf>
    <xf numFmtId="0" fontId="72" fillId="67" borderId="117" xfId="0" applyFont="1" applyFill="1" applyBorder="1" applyAlignment="1">
      <alignment horizontal="center" vertical="center" wrapText="1"/>
    </xf>
    <xf numFmtId="0" fontId="72" fillId="67" borderId="117" xfId="0" applyFont="1" applyFill="1" applyBorder="1" applyAlignment="1">
      <alignment horizontal="center" vertical="center"/>
    </xf>
    <xf numFmtId="0" fontId="72" fillId="67" borderId="118" xfId="0" applyFont="1" applyFill="1" applyBorder="1" applyAlignment="1">
      <alignment horizontal="center" vertical="center"/>
    </xf>
    <xf numFmtId="205" fontId="72" fillId="0" borderId="92" xfId="0" applyNumberFormat="1" applyFont="1" applyBorder="1" applyAlignment="1">
      <alignment horizontal="center" vertical="center"/>
    </xf>
    <xf numFmtId="0" fontId="72" fillId="0" borderId="41" xfId="0" applyFont="1" applyBorder="1" applyAlignment="1">
      <alignment horizontal="center" vertical="center"/>
    </xf>
    <xf numFmtId="183" fontId="72" fillId="0" borderId="41" xfId="0" applyNumberFormat="1" applyFont="1" applyBorder="1" applyAlignment="1">
      <alignment horizontal="center" vertical="center"/>
    </xf>
    <xf numFmtId="0" fontId="72" fillId="0" borderId="41" xfId="0" applyFont="1" applyBorder="1" applyAlignment="1">
      <alignment vertical="center"/>
    </xf>
    <xf numFmtId="0" fontId="72" fillId="0" borderId="22" xfId="0" applyFont="1" applyBorder="1" applyAlignment="1">
      <alignment horizontal="center" vertical="center"/>
    </xf>
    <xf numFmtId="0" fontId="72" fillId="0" borderId="41" xfId="0" applyFont="1" applyBorder="1" applyAlignment="1">
      <alignment vertical="center" wrapText="1"/>
    </xf>
    <xf numFmtId="0" fontId="76" fillId="0" borderId="0" xfId="0" applyFont="1" applyFill="1" applyBorder="1" applyAlignment="1">
      <alignment horizontal="center" vertical="center" readingOrder="1"/>
    </xf>
    <xf numFmtId="0" fontId="0" fillId="0" borderId="0" xfId="0" applyFill="1" applyBorder="1" applyAlignment="1">
      <alignment readingOrder="1"/>
    </xf>
    <xf numFmtId="0" fontId="77" fillId="0" borderId="0" xfId="0" applyFont="1" applyFill="1" applyBorder="1" applyAlignment="1">
      <alignment horizontal="center" vertical="center" readingOrder="1"/>
    </xf>
    <xf numFmtId="0" fontId="78" fillId="0" borderId="41" xfId="0" applyFont="1" applyBorder="1" applyAlignment="1">
      <alignment vertical="center"/>
    </xf>
    <xf numFmtId="0" fontId="79" fillId="0" borderId="0" xfId="0" applyFont="1" applyFill="1" applyBorder="1" applyAlignment="1">
      <alignment horizontal="center" vertical="center" readingOrder="1"/>
    </xf>
    <xf numFmtId="0" fontId="80" fillId="0" borderId="41" xfId="0" applyFont="1" applyBorder="1" applyAlignment="1">
      <alignment vertical="center"/>
    </xf>
    <xf numFmtId="0" fontId="81" fillId="0" borderId="41" xfId="0" applyFont="1" applyBorder="1" applyAlignment="1">
      <alignment vertical="center"/>
    </xf>
    <xf numFmtId="0" fontId="82" fillId="0" borderId="41" xfId="0" applyFont="1" applyBorder="1" applyAlignment="1">
      <alignment vertical="center"/>
    </xf>
    <xf numFmtId="0" fontId="12" fillId="0" borderId="41" xfId="0" applyFont="1" applyBorder="1" applyAlignment="1">
      <alignment vertical="center"/>
    </xf>
    <xf numFmtId="0" fontId="82" fillId="3" borderId="4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33" xfId="0" applyBorder="1"/>
    <xf numFmtId="0" fontId="0" fillId="0" borderId="18" xfId="0" applyBorder="1"/>
    <xf numFmtId="206" fontId="0" fillId="0" borderId="9" xfId="0" applyNumberFormat="1" applyBorder="1"/>
    <xf numFmtId="0" fontId="73" fillId="67" borderId="9" xfId="0" applyNumberFormat="1" applyFont="1" applyFill="1" applyBorder="1" applyAlignment="1" applyProtection="1">
      <alignment vertical="center"/>
      <protection locked="0"/>
    </xf>
    <xf numFmtId="0" fontId="0" fillId="67" borderId="33" xfId="0" applyFill="1" applyBorder="1"/>
    <xf numFmtId="179" fontId="10" fillId="68" borderId="9" xfId="0" applyNumberFormat="1" applyFont="1" applyFill="1" applyBorder="1" applyAlignment="1" applyProtection="1">
      <alignment vertical="center"/>
      <protection locked="0"/>
    </xf>
    <xf numFmtId="0" fontId="0" fillId="68" borderId="33" xfId="0" applyFill="1" applyBorder="1"/>
    <xf numFmtId="0" fontId="8" fillId="0" borderId="12" xfId="138" applyNumberFormat="1" applyFont="1" applyBorder="1" applyAlignment="1">
      <alignment horizontal="center" vertical="center" shrinkToFit="1"/>
    </xf>
    <xf numFmtId="206" fontId="0" fillId="0" borderId="12" xfId="0" applyNumberFormat="1" applyBorder="1"/>
    <xf numFmtId="206" fontId="0" fillId="67" borderId="9" xfId="0" applyNumberFormat="1" applyFill="1" applyBorder="1"/>
    <xf numFmtId="206" fontId="0" fillId="72" borderId="9" xfId="0" applyNumberFormat="1" applyFill="1" applyBorder="1"/>
    <xf numFmtId="0" fontId="0" fillId="72" borderId="33" xfId="0" applyFill="1" applyBorder="1"/>
    <xf numFmtId="0" fontId="73" fillId="67" borderId="8" xfId="0" applyNumberFormat="1" applyFont="1" applyFill="1" applyBorder="1" applyAlignment="1" applyProtection="1">
      <alignment vertical="center"/>
      <protection locked="0"/>
    </xf>
    <xf numFmtId="0" fontId="0" fillId="67" borderId="32" xfId="0" applyFill="1" applyBorder="1"/>
    <xf numFmtId="0" fontId="55" fillId="77" borderId="117" xfId="146" applyFont="1" applyFill="1" applyBorder="1" applyAlignment="1" applyProtection="1">
      <alignment horizontal="center" vertical="center"/>
      <protection locked="0"/>
    </xf>
    <xf numFmtId="0" fontId="58" fillId="77" borderId="117" xfId="146" applyFont="1" applyFill="1" applyBorder="1" applyAlignment="1" applyProtection="1">
      <alignment horizontal="center" vertical="center"/>
      <protection locked="0"/>
    </xf>
    <xf numFmtId="206" fontId="0" fillId="77" borderId="9" xfId="0" applyNumberFormat="1" applyFill="1" applyBorder="1"/>
    <xf numFmtId="0" fontId="55" fillId="61" borderId="117" xfId="146" applyFont="1" applyFill="1" applyBorder="1" applyAlignment="1" applyProtection="1">
      <alignment horizontal="center" vertical="center"/>
      <protection locked="0"/>
    </xf>
    <xf numFmtId="0" fontId="58" fillId="61" borderId="117" xfId="146" applyFont="1" applyFill="1" applyBorder="1" applyAlignment="1" applyProtection="1">
      <alignment horizontal="center" vertical="center"/>
      <protection locked="0"/>
    </xf>
    <xf numFmtId="206" fontId="0" fillId="61" borderId="9" xfId="0" applyNumberFormat="1" applyFill="1" applyBorder="1"/>
    <xf numFmtId="179" fontId="10" fillId="68" borderId="41" xfId="0" applyNumberFormat="1" applyFont="1" applyFill="1" applyBorder="1" applyAlignment="1" applyProtection="1">
      <alignment vertical="center"/>
      <protection locked="0"/>
    </xf>
    <xf numFmtId="206" fontId="0" fillId="0" borderId="41" xfId="0" applyNumberFormat="1" applyBorder="1"/>
    <xf numFmtId="206" fontId="0" fillId="72" borderId="41" xfId="0" applyNumberFormat="1" applyFill="1" applyBorder="1"/>
    <xf numFmtId="206" fontId="0" fillId="67" borderId="41" xfId="0" applyNumberFormat="1" applyFill="1" applyBorder="1"/>
    <xf numFmtId="206" fontId="0" fillId="61" borderId="41" xfId="0" applyNumberFormat="1" applyFill="1" applyBorder="1"/>
    <xf numFmtId="206" fontId="0" fillId="77" borderId="41" xfId="0" applyNumberFormat="1" applyFill="1" applyBorder="1"/>
    <xf numFmtId="0" fontId="8" fillId="68" borderId="117" xfId="0" applyFont="1" applyFill="1" applyBorder="1" applyAlignment="1" applyProtection="1">
      <alignment horizontal="center" vertical="center"/>
      <protection locked="0"/>
    </xf>
    <xf numFmtId="0" fontId="11" fillId="0" borderId="117" xfId="138" applyFont="1" applyBorder="1" applyAlignment="1">
      <alignment horizontal="center" vertical="center"/>
    </xf>
    <xf numFmtId="0" fontId="11" fillId="72" borderId="117" xfId="138" applyFont="1" applyFill="1" applyBorder="1" applyAlignment="1">
      <alignment horizontal="center" vertical="center"/>
    </xf>
    <xf numFmtId="0" fontId="11" fillId="67" borderId="117" xfId="138" applyFont="1" applyFill="1" applyBorder="1" applyAlignment="1">
      <alignment horizontal="center" vertical="center"/>
    </xf>
    <xf numFmtId="200" fontId="58" fillId="0" borderId="117" xfId="142" applyNumberFormat="1" applyFont="1" applyBorder="1" applyAlignment="1">
      <alignment horizontal="right" vertical="center" shrinkToFit="1"/>
    </xf>
    <xf numFmtId="0" fontId="58" fillId="0" borderId="117" xfId="142" applyFont="1" applyBorder="1" applyAlignment="1">
      <alignment horizontal="center" vertical="center" shrinkToFit="1"/>
    </xf>
    <xf numFmtId="200" fontId="58" fillId="0" borderId="117" xfId="142" applyNumberFormat="1" applyFont="1" applyFill="1" applyBorder="1" applyAlignment="1">
      <alignment horizontal="right" vertical="center" shrinkToFit="1"/>
    </xf>
    <xf numFmtId="0" fontId="58" fillId="0" borderId="117" xfId="142" applyFont="1" applyFill="1" applyBorder="1" applyAlignment="1">
      <alignment horizontal="center" vertical="center" shrinkToFit="1"/>
    </xf>
    <xf numFmtId="0" fontId="55" fillId="43" borderId="117" xfId="142" applyFont="1" applyFill="1" applyBorder="1" applyAlignment="1">
      <alignment horizontal="center" vertical="center" shrinkToFit="1"/>
    </xf>
    <xf numFmtId="0" fontId="58" fillId="43" borderId="117" xfId="142" applyFont="1" applyFill="1" applyBorder="1" applyAlignment="1">
      <alignment horizontal="center" vertical="center" shrinkToFit="1"/>
    </xf>
    <xf numFmtId="0" fontId="55" fillId="0" borderId="117" xfId="142" applyFont="1" applyBorder="1" applyAlignment="1">
      <alignment horizontal="center" vertical="center" shrinkToFit="1"/>
    </xf>
    <xf numFmtId="0" fontId="58" fillId="43" borderId="118" xfId="142" applyFont="1" applyFill="1" applyBorder="1" applyAlignment="1">
      <alignment horizontal="center" vertical="center" shrinkToFit="1"/>
    </xf>
    <xf numFmtId="206" fontId="0" fillId="0" borderId="22" xfId="0" applyNumberFormat="1" applyBorder="1"/>
    <xf numFmtId="0" fontId="73" fillId="67" borderId="40" xfId="0" applyNumberFormat="1" applyFont="1" applyFill="1" applyBorder="1" applyAlignment="1" applyProtection="1">
      <alignment vertical="center"/>
      <protection locked="0"/>
    </xf>
    <xf numFmtId="0" fontId="8" fillId="68" borderId="116" xfId="0" applyFont="1" applyFill="1" applyBorder="1" applyAlignment="1" applyProtection="1">
      <alignment horizontal="center" vertical="center"/>
      <protection locked="0"/>
    </xf>
    <xf numFmtId="180" fontId="10" fillId="68" borderId="92" xfId="0" applyNumberFormat="1" applyFont="1" applyFill="1" applyBorder="1" applyAlignment="1" applyProtection="1">
      <alignment vertical="center"/>
      <protection locked="0"/>
    </xf>
    <xf numFmtId="180" fontId="10" fillId="68" borderId="13" xfId="0" applyNumberFormat="1" applyFont="1" applyFill="1" applyBorder="1" applyAlignment="1" applyProtection="1">
      <alignment vertical="center"/>
      <protection locked="0"/>
    </xf>
    <xf numFmtId="0" fontId="0" fillId="68" borderId="57" xfId="0" applyFill="1" applyBorder="1"/>
    <xf numFmtId="0" fontId="73" fillId="67" borderId="131" xfId="0" applyNumberFormat="1" applyFont="1" applyFill="1" applyBorder="1" applyAlignment="1" applyProtection="1">
      <alignment vertical="center"/>
      <protection locked="0"/>
    </xf>
    <xf numFmtId="0" fontId="73" fillId="67" borderId="128" xfId="0" applyNumberFormat="1" applyFont="1" applyFill="1" applyBorder="1" applyAlignment="1" applyProtection="1">
      <alignment vertical="center"/>
      <protection locked="0"/>
    </xf>
    <xf numFmtId="0" fontId="0" fillId="67" borderId="129" xfId="0" applyFill="1" applyBorder="1"/>
    <xf numFmtId="205" fontId="72" fillId="0" borderId="40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06" fontId="0" fillId="0" borderId="92" xfId="0" applyNumberFormat="1" applyBorder="1"/>
    <xf numFmtId="207" fontId="0" fillId="78" borderId="41" xfId="0" applyNumberFormat="1" applyFill="1" applyBorder="1"/>
    <xf numFmtId="206" fontId="0" fillId="0" borderId="13" xfId="0" applyNumberFormat="1" applyBorder="1"/>
    <xf numFmtId="207" fontId="0" fillId="78" borderId="9" xfId="0" applyNumberFormat="1" applyFill="1" applyBorder="1"/>
    <xf numFmtId="207" fontId="0" fillId="0" borderId="33" xfId="0" applyNumberFormat="1" applyBorder="1"/>
    <xf numFmtId="197" fontId="0" fillId="78" borderId="41" xfId="150" applyNumberFormat="1" applyFont="1" applyFill="1" applyBorder="1" applyAlignment="1"/>
    <xf numFmtId="197" fontId="0" fillId="78" borderId="9" xfId="150" applyNumberFormat="1" applyFont="1" applyFill="1" applyBorder="1" applyAlignment="1"/>
    <xf numFmtId="197" fontId="0" fillId="0" borderId="33" xfId="150" applyNumberFormat="1" applyFont="1" applyBorder="1" applyAlignment="1"/>
    <xf numFmtId="0" fontId="58" fillId="43" borderId="136" xfId="142" applyFont="1" applyFill="1" applyBorder="1" applyAlignment="1">
      <alignment horizontal="center" vertical="center" shrinkToFit="1"/>
    </xf>
    <xf numFmtId="206" fontId="0" fillId="0" borderId="103" xfId="0" applyNumberFormat="1" applyBorder="1"/>
    <xf numFmtId="206" fontId="0" fillId="0" borderId="14" xfId="0" applyNumberFormat="1" applyBorder="1"/>
    <xf numFmtId="0" fontId="0" fillId="0" borderId="58" xfId="0" applyBorder="1"/>
    <xf numFmtId="0" fontId="55" fillId="0" borderId="116" xfId="142" applyFont="1" applyBorder="1" applyAlignment="1">
      <alignment horizontal="center" vertical="center" shrinkToFit="1"/>
    </xf>
    <xf numFmtId="0" fontId="0" fillId="0" borderId="57" xfId="0" applyBorder="1"/>
    <xf numFmtId="206" fontId="86" fillId="74" borderId="147" xfId="0" applyNumberFormat="1" applyFont="1" applyFill="1" applyBorder="1"/>
    <xf numFmtId="206" fontId="86" fillId="74" borderId="148" xfId="0" applyNumberFormat="1" applyFont="1" applyFill="1" applyBorder="1"/>
    <xf numFmtId="0" fontId="86" fillId="74" borderId="149" xfId="0" applyFont="1" applyFill="1" applyBorder="1"/>
    <xf numFmtId="0" fontId="86" fillId="74" borderId="150" xfId="0" applyFont="1" applyFill="1" applyBorder="1"/>
    <xf numFmtId="192" fontId="6" fillId="3" borderId="8" xfId="138" applyNumberFormat="1" applyFont="1" applyFill="1" applyBorder="1" applyAlignment="1" applyProtection="1">
      <alignment horizontal="center" vertical="center"/>
      <protection locked="0"/>
    </xf>
    <xf numFmtId="206" fontId="86" fillId="74" borderId="151" xfId="0" applyNumberFormat="1" applyFont="1" applyFill="1" applyBorder="1"/>
    <xf numFmtId="206" fontId="86" fillId="74" borderId="152" xfId="0" applyNumberFormat="1" applyFont="1" applyFill="1" applyBorder="1"/>
    <xf numFmtId="0" fontId="84" fillId="74" borderId="153" xfId="142" applyFont="1" applyFill="1" applyBorder="1" applyAlignment="1">
      <alignment horizontal="center" vertical="center" shrinkToFit="1"/>
    </xf>
    <xf numFmtId="0" fontId="84" fillId="74" borderId="154" xfId="142" applyFont="1" applyFill="1" applyBorder="1" applyAlignment="1">
      <alignment horizontal="center" vertical="center" shrinkToFit="1"/>
    </xf>
    <xf numFmtId="0" fontId="89" fillId="83" borderId="100" xfId="0" applyFont="1" applyFill="1" applyBorder="1" applyAlignment="1" applyProtection="1">
      <alignment horizontal="center" vertical="center" wrapText="1"/>
      <protection locked="0"/>
    </xf>
    <xf numFmtId="0" fontId="91" fillId="83" borderId="104" xfId="138" applyFont="1" applyFill="1" applyBorder="1" applyAlignment="1">
      <alignment horizontal="center" vertical="center"/>
    </xf>
    <xf numFmtId="205" fontId="72" fillId="67" borderId="32" xfId="0" applyNumberFormat="1" applyFont="1" applyFill="1" applyBorder="1"/>
    <xf numFmtId="41" fontId="0" fillId="0" borderId="33" xfId="145" applyFont="1" applyBorder="1" applyAlignment="1"/>
    <xf numFmtId="205" fontId="72" fillId="67" borderId="8" xfId="0" applyNumberFormat="1" applyFont="1" applyFill="1" applyBorder="1"/>
    <xf numFmtId="0" fontId="72" fillId="67" borderId="9" xfId="0" applyNumberFormat="1" applyFont="1" applyFill="1" applyBorder="1" applyAlignment="1">
      <alignment horizontal="center" vertical="center"/>
    </xf>
    <xf numFmtId="0" fontId="72" fillId="67" borderId="33" xfId="0" applyNumberFormat="1" applyFont="1" applyFill="1" applyBorder="1" applyAlignment="1">
      <alignment horizontal="center" vertical="center"/>
    </xf>
    <xf numFmtId="0" fontId="73" fillId="67" borderId="33" xfId="0" applyNumberFormat="1" applyFont="1" applyFill="1" applyBorder="1" applyAlignment="1" applyProtection="1">
      <alignment vertical="center"/>
      <protection locked="0"/>
    </xf>
    <xf numFmtId="181" fontId="88" fillId="68" borderId="9" xfId="0" applyNumberFormat="1" applyFont="1" applyFill="1" applyBorder="1" applyAlignment="1" applyProtection="1">
      <alignment vertical="center"/>
      <protection locked="0"/>
    </xf>
    <xf numFmtId="181" fontId="88" fillId="68" borderId="33" xfId="0" applyNumberFormat="1" applyFont="1" applyFill="1" applyBorder="1" applyAlignment="1" applyProtection="1">
      <alignment vertical="center"/>
      <protection locked="0"/>
    </xf>
    <xf numFmtId="205" fontId="72" fillId="62" borderId="3" xfId="0" applyNumberFormat="1" applyFont="1" applyFill="1" applyBorder="1"/>
    <xf numFmtId="181" fontId="92" fillId="68" borderId="9" xfId="0" applyNumberFormat="1" applyFont="1" applyFill="1" applyBorder="1" applyAlignment="1" applyProtection="1">
      <alignment vertical="center"/>
      <protection locked="0"/>
    </xf>
    <xf numFmtId="181" fontId="93" fillId="83" borderId="9" xfId="0" applyNumberFormat="1" applyFont="1" applyFill="1" applyBorder="1" applyAlignment="1" applyProtection="1">
      <alignment vertical="center"/>
      <protection locked="0"/>
    </xf>
    <xf numFmtId="2" fontId="93" fillId="83" borderId="9" xfId="0" applyNumberFormat="1" applyFont="1" applyFill="1" applyBorder="1" applyAlignment="1" applyProtection="1">
      <alignment horizontal="center" vertical="center"/>
      <protection locked="0"/>
    </xf>
    <xf numFmtId="206" fontId="93" fillId="83" borderId="9" xfId="0" applyNumberFormat="1" applyFont="1" applyFill="1" applyBorder="1"/>
    <xf numFmtId="181" fontId="92" fillId="68" borderId="33" xfId="0" applyNumberFormat="1" applyFont="1" applyFill="1" applyBorder="1" applyAlignment="1" applyProtection="1">
      <alignment vertical="center"/>
      <protection locked="0"/>
    </xf>
    <xf numFmtId="181" fontId="93" fillId="83" borderId="33" xfId="0" applyNumberFormat="1" applyFont="1" applyFill="1" applyBorder="1" applyAlignment="1" applyProtection="1">
      <alignment vertical="center"/>
      <protection locked="0"/>
    </xf>
    <xf numFmtId="2" fontId="93" fillId="83" borderId="33" xfId="0" applyNumberFormat="1" applyFont="1" applyFill="1" applyBorder="1" applyAlignment="1" applyProtection="1">
      <alignment horizontal="center" vertical="center"/>
      <protection locked="0"/>
    </xf>
    <xf numFmtId="206" fontId="93" fillId="83" borderId="33" xfId="0" applyNumberFormat="1" applyFont="1" applyFill="1" applyBorder="1"/>
    <xf numFmtId="0" fontId="8" fillId="68" borderId="33" xfId="0" applyFont="1" applyFill="1" applyBorder="1" applyAlignment="1" applyProtection="1">
      <alignment horizontal="center" vertical="center"/>
      <protection locked="0"/>
    </xf>
    <xf numFmtId="0" fontId="89" fillId="83" borderId="96" xfId="0" applyFont="1" applyFill="1" applyBorder="1" applyAlignment="1" applyProtection="1">
      <alignment horizontal="center" vertical="center" wrapText="1"/>
      <protection locked="0"/>
    </xf>
    <xf numFmtId="0" fontId="91" fillId="83" borderId="55" xfId="138" applyFont="1" applyFill="1" applyBorder="1" applyAlignment="1">
      <alignment horizontal="center" vertical="center"/>
    </xf>
    <xf numFmtId="0" fontId="91" fillId="83" borderId="33" xfId="138" applyFont="1" applyFill="1" applyBorder="1" applyAlignment="1">
      <alignment horizontal="center" vertical="center"/>
    </xf>
    <xf numFmtId="0" fontId="91" fillId="83" borderId="58" xfId="138" applyFont="1" applyFill="1" applyBorder="1" applyAlignment="1">
      <alignment horizontal="center" vertical="center"/>
    </xf>
    <xf numFmtId="0" fontId="11" fillId="72" borderId="33" xfId="138" applyFont="1" applyFill="1" applyBorder="1" applyAlignment="1">
      <alignment horizontal="center" vertical="center"/>
    </xf>
    <xf numFmtId="0" fontId="11" fillId="0" borderId="33" xfId="138" applyFont="1" applyBorder="1" applyAlignment="1">
      <alignment horizontal="center" vertical="center"/>
    </xf>
    <xf numFmtId="41" fontId="0" fillId="85" borderId="54" xfId="145" applyFont="1" applyFill="1" applyBorder="1" applyAlignment="1"/>
    <xf numFmtId="0" fontId="73" fillId="86" borderId="54" xfId="0" applyNumberFormat="1" applyFont="1" applyFill="1" applyBorder="1" applyAlignment="1" applyProtection="1">
      <alignment vertical="center"/>
      <protection locked="0"/>
    </xf>
    <xf numFmtId="41" fontId="0" fillId="86" borderId="54" xfId="145" applyFont="1" applyFill="1" applyBorder="1" applyAlignment="1"/>
    <xf numFmtId="41" fontId="92" fillId="86" borderId="54" xfId="145" applyFont="1" applyFill="1" applyBorder="1" applyAlignment="1" applyProtection="1">
      <alignment vertical="center"/>
      <protection locked="0"/>
    </xf>
    <xf numFmtId="41" fontId="91" fillId="86" borderId="54" xfId="145" applyFont="1" applyFill="1" applyBorder="1" applyAlignment="1" applyProtection="1">
      <alignment horizontal="center" vertical="center"/>
      <protection locked="0"/>
    </xf>
    <xf numFmtId="41" fontId="48" fillId="86" borderId="54" xfId="145" applyFont="1" applyFill="1" applyBorder="1" applyAlignment="1"/>
    <xf numFmtId="41" fontId="95" fillId="86" borderId="54" xfId="145" applyFont="1" applyFill="1" applyBorder="1" applyAlignment="1"/>
    <xf numFmtId="41" fontId="90" fillId="86" borderId="54" xfId="145" applyFont="1" applyFill="1" applyBorder="1" applyAlignment="1"/>
    <xf numFmtId="41" fontId="0" fillId="86" borderId="108" xfId="145" applyFont="1" applyFill="1" applyBorder="1" applyAlignment="1"/>
    <xf numFmtId="0" fontId="8" fillId="68" borderId="51" xfId="0" applyFont="1" applyFill="1" applyBorder="1" applyAlignment="1" applyProtection="1">
      <alignment vertical="center"/>
      <protection locked="0"/>
    </xf>
    <xf numFmtId="0" fontId="8" fillId="68" borderId="6" xfId="0" applyFont="1" applyFill="1" applyBorder="1" applyAlignment="1" applyProtection="1">
      <alignment vertical="center"/>
      <protection locked="0"/>
    </xf>
    <xf numFmtId="41" fontId="0" fillId="0" borderId="4" xfId="145" applyFont="1" applyBorder="1" applyAlignment="1"/>
    <xf numFmtId="41" fontId="0" fillId="0" borderId="5" xfId="145" applyFont="1" applyBorder="1" applyAlignment="1"/>
    <xf numFmtId="41" fontId="73" fillId="85" borderId="54" xfId="145" applyFont="1" applyFill="1" applyBorder="1" applyAlignment="1" applyProtection="1">
      <alignment vertical="center"/>
      <protection locked="0"/>
    </xf>
    <xf numFmtId="41" fontId="91" fillId="85" borderId="54" xfId="145" applyFont="1" applyFill="1" applyBorder="1" applyAlignment="1" applyProtection="1">
      <alignment horizontal="center" vertical="center"/>
      <protection locked="0"/>
    </xf>
    <xf numFmtId="41" fontId="48" fillId="85" borderId="54" xfId="145" applyFont="1" applyFill="1" applyBorder="1" applyAlignment="1"/>
    <xf numFmtId="41" fontId="0" fillId="85" borderId="108" xfId="145" applyFont="1" applyFill="1" applyBorder="1" applyAlignment="1"/>
    <xf numFmtId="41" fontId="96" fillId="85" borderId="54" xfId="145" applyFont="1" applyFill="1" applyBorder="1" applyAlignment="1" applyProtection="1">
      <alignment vertical="center"/>
      <protection locked="0"/>
    </xf>
    <xf numFmtId="41" fontId="88" fillId="68" borderId="9" xfId="145" applyFont="1" applyFill="1" applyBorder="1" applyAlignment="1" applyProtection="1">
      <alignment vertical="center"/>
      <protection locked="0"/>
    </xf>
    <xf numFmtId="41" fontId="88" fillId="68" borderId="33" xfId="145" applyFont="1" applyFill="1" applyBorder="1" applyAlignment="1" applyProtection="1">
      <alignment vertical="center"/>
      <protection locked="0"/>
    </xf>
    <xf numFmtId="41" fontId="0" fillId="0" borderId="9" xfId="145" applyFont="1" applyBorder="1" applyAlignment="1"/>
    <xf numFmtId="0" fontId="72" fillId="62" borderId="4" xfId="0" applyNumberFormat="1" applyFont="1" applyFill="1" applyBorder="1" applyAlignment="1">
      <alignment horizontal="center" vertical="center"/>
    </xf>
    <xf numFmtId="0" fontId="73" fillId="62" borderId="4" xfId="0" applyNumberFormat="1" applyFont="1" applyFill="1" applyBorder="1" applyAlignment="1" applyProtection="1">
      <alignment vertical="center"/>
      <protection locked="0"/>
    </xf>
    <xf numFmtId="41" fontId="98" fillId="62" borderId="4" xfId="145" applyFont="1" applyFill="1" applyBorder="1" applyAlignment="1" applyProtection="1">
      <alignment vertical="center"/>
      <protection locked="0"/>
    </xf>
    <xf numFmtId="41" fontId="10" fillId="62" borderId="4" xfId="145" applyFont="1" applyFill="1" applyBorder="1" applyAlignment="1" applyProtection="1">
      <alignment vertical="center"/>
      <protection locked="0"/>
    </xf>
    <xf numFmtId="41" fontId="48" fillId="62" borderId="4" xfId="145" applyFont="1" applyFill="1" applyBorder="1" applyAlignment="1"/>
    <xf numFmtId="41" fontId="91" fillId="62" borderId="4" xfId="145" applyFont="1" applyFill="1" applyBorder="1" applyAlignment="1" applyProtection="1">
      <alignment horizontal="center" vertical="center"/>
      <protection locked="0"/>
    </xf>
    <xf numFmtId="41" fontId="0" fillId="62" borderId="4" xfId="145" applyFont="1" applyFill="1" applyBorder="1" applyAlignment="1"/>
    <xf numFmtId="41" fontId="90" fillId="62" borderId="4" xfId="145" applyFont="1" applyFill="1" applyBorder="1" applyAlignment="1"/>
    <xf numFmtId="41" fontId="72" fillId="62" borderId="4" xfId="145" applyFont="1" applyFill="1" applyBorder="1" applyAlignment="1"/>
    <xf numFmtId="41" fontId="94" fillId="82" borderId="9" xfId="145" applyFont="1" applyFill="1" applyBorder="1" applyAlignment="1"/>
    <xf numFmtId="205" fontId="72" fillId="62" borderId="8" xfId="0" applyNumberFormat="1" applyFont="1" applyFill="1" applyBorder="1"/>
    <xf numFmtId="0" fontId="72" fillId="62" borderId="9" xfId="0" applyNumberFormat="1" applyFont="1" applyFill="1" applyBorder="1" applyAlignment="1">
      <alignment horizontal="center" vertical="center"/>
    </xf>
    <xf numFmtId="0" fontId="73" fillId="62" borderId="9" xfId="0" applyNumberFormat="1" applyFont="1" applyFill="1" applyBorder="1" applyAlignment="1" applyProtection="1">
      <alignment vertical="center"/>
      <protection locked="0"/>
    </xf>
    <xf numFmtId="41" fontId="98" fillId="62" borderId="9" xfId="145" applyFont="1" applyFill="1" applyBorder="1" applyAlignment="1" applyProtection="1">
      <alignment vertical="center"/>
      <protection locked="0"/>
    </xf>
    <xf numFmtId="181" fontId="10" fillId="62" borderId="9" xfId="0" applyNumberFormat="1" applyFont="1" applyFill="1" applyBorder="1" applyAlignment="1" applyProtection="1">
      <alignment vertical="center"/>
      <protection locked="0"/>
    </xf>
    <xf numFmtId="181" fontId="48" fillId="62" borderId="9" xfId="0" applyNumberFormat="1" applyFont="1" applyFill="1" applyBorder="1"/>
    <xf numFmtId="2" fontId="91" fillId="62" borderId="9" xfId="0" applyNumberFormat="1" applyFont="1" applyFill="1" applyBorder="1" applyAlignment="1" applyProtection="1">
      <alignment horizontal="center" vertical="center"/>
      <protection locked="0"/>
    </xf>
    <xf numFmtId="206" fontId="48" fillId="62" borderId="9" xfId="0" applyNumberFormat="1" applyFont="1" applyFill="1" applyBorder="1"/>
    <xf numFmtId="181" fontId="91" fillId="62" borderId="9" xfId="0" applyNumberFormat="1" applyFont="1" applyFill="1" applyBorder="1" applyAlignment="1" applyProtection="1">
      <alignment horizontal="center" vertical="center"/>
      <protection locked="0"/>
    </xf>
    <xf numFmtId="206" fontId="0" fillId="62" borderId="9" xfId="0" applyNumberFormat="1" applyFill="1" applyBorder="1"/>
    <xf numFmtId="41" fontId="0" fillId="62" borderId="9" xfId="145" applyFont="1" applyFill="1" applyBorder="1" applyAlignment="1"/>
    <xf numFmtId="41" fontId="94" fillId="82" borderId="33" xfId="145" applyFont="1" applyFill="1" applyBorder="1" applyAlignment="1"/>
    <xf numFmtId="206" fontId="0" fillId="72" borderId="33" xfId="0" applyNumberFormat="1" applyFill="1" applyBorder="1"/>
    <xf numFmtId="200" fontId="58" fillId="0" borderId="10" xfId="142" applyNumberFormat="1" applyFont="1" applyBorder="1" applyAlignment="1">
      <alignment horizontal="right" vertical="center" shrinkToFit="1"/>
    </xf>
    <xf numFmtId="0" fontId="58" fillId="0" borderId="10" xfId="142" applyFont="1" applyBorder="1" applyAlignment="1">
      <alignment horizontal="center" vertical="center" shrinkToFit="1"/>
    </xf>
    <xf numFmtId="200" fontId="58" fillId="0" borderId="10" xfId="142" applyNumberFormat="1" applyFont="1" applyFill="1" applyBorder="1" applyAlignment="1">
      <alignment horizontal="right" vertical="center" shrinkToFit="1"/>
    </xf>
    <xf numFmtId="0" fontId="55" fillId="43" borderId="10" xfId="142" applyFont="1" applyFill="1" applyBorder="1" applyAlignment="1">
      <alignment horizontal="center" vertical="center" shrinkToFit="1"/>
    </xf>
    <xf numFmtId="0" fontId="58" fillId="43" borderId="10" xfId="142" applyFont="1" applyFill="1" applyBorder="1" applyAlignment="1">
      <alignment horizontal="center" vertical="center" shrinkToFit="1"/>
    </xf>
    <xf numFmtId="0" fontId="55" fillId="0" borderId="10" xfId="142" applyFont="1" applyBorder="1" applyAlignment="1">
      <alignment horizontal="center" vertical="center" shrinkToFit="1"/>
    </xf>
    <xf numFmtId="0" fontId="58" fillId="43" borderId="11" xfId="142" applyFont="1" applyFill="1" applyBorder="1" applyAlignment="1">
      <alignment horizontal="center" vertical="center" shrinkToFit="1"/>
    </xf>
    <xf numFmtId="41" fontId="0" fillId="67" borderId="9" xfId="145" applyFont="1" applyFill="1" applyBorder="1" applyAlignment="1"/>
    <xf numFmtId="41" fontId="0" fillId="67" borderId="33" xfId="145" applyFont="1" applyFill="1" applyBorder="1" applyAlignment="1"/>
    <xf numFmtId="0" fontId="72" fillId="62" borderId="41" xfId="0" applyFont="1" applyFill="1" applyBorder="1" applyAlignment="1">
      <alignment vertical="center" wrapText="1"/>
    </xf>
    <xf numFmtId="0" fontId="72" fillId="3" borderId="41" xfId="0" applyFont="1" applyFill="1" applyBorder="1" applyAlignment="1">
      <alignment vertical="center" wrapText="1"/>
    </xf>
    <xf numFmtId="0" fontId="8" fillId="62" borderId="12" xfId="138" applyNumberFormat="1" applyFont="1" applyFill="1" applyBorder="1" applyAlignment="1">
      <alignment horizontal="center" vertical="center" shrinkToFit="1"/>
    </xf>
    <xf numFmtId="0" fontId="22" fillId="62" borderId="9" xfId="142" applyNumberFormat="1" applyFont="1" applyFill="1" applyBorder="1" applyAlignment="1" applyProtection="1">
      <alignment horizontal="center" vertical="center" shrinkToFit="1"/>
      <protection locked="0"/>
    </xf>
    <xf numFmtId="196" fontId="22" fillId="63" borderId="9" xfId="142" applyNumberFormat="1" applyFont="1" applyFill="1" applyBorder="1" applyAlignment="1">
      <alignment horizontal="right" vertical="center" shrinkToFit="1"/>
    </xf>
    <xf numFmtId="178" fontId="22" fillId="62" borderId="13" xfId="142" applyNumberFormat="1" applyFont="1" applyFill="1" applyBorder="1" applyAlignment="1" applyProtection="1">
      <alignment horizontal="right" vertical="center" shrinkToFit="1"/>
      <protection locked="0"/>
    </xf>
    <xf numFmtId="196" fontId="22" fillId="62" borderId="9" xfId="142" applyNumberFormat="1" applyFont="1" applyFill="1" applyBorder="1" applyAlignment="1" applyProtection="1">
      <alignment vertical="center" shrinkToFit="1"/>
      <protection locked="0"/>
    </xf>
    <xf numFmtId="178" fontId="22" fillId="62" borderId="9" xfId="142" applyNumberFormat="1" applyFont="1" applyFill="1" applyBorder="1" applyAlignment="1" applyProtection="1">
      <alignment vertical="center" shrinkToFit="1"/>
      <protection locked="0"/>
    </xf>
    <xf numFmtId="178" fontId="0" fillId="0" borderId="0" xfId="0" applyNumberFormat="1"/>
    <xf numFmtId="196" fontId="0" fillId="0" borderId="0" xfId="0" applyNumberFormat="1"/>
    <xf numFmtId="200" fontId="0" fillId="0" borderId="0" xfId="0" applyNumberFormat="1"/>
    <xf numFmtId="199" fontId="0" fillId="0" borderId="0" xfId="0" applyNumberFormat="1"/>
    <xf numFmtId="2" fontId="0" fillId="0" borderId="0" xfId="0" applyNumberFormat="1"/>
    <xf numFmtId="0" fontId="0" fillId="76" borderId="0" xfId="0" applyFill="1"/>
    <xf numFmtId="178" fontId="22" fillId="3" borderId="13" xfId="142" applyNumberFormat="1" applyFont="1" applyFill="1" applyBorder="1" applyAlignment="1" applyProtection="1">
      <alignment horizontal="right" vertical="center" shrinkToFit="1"/>
      <protection locked="0"/>
    </xf>
    <xf numFmtId="196" fontId="22" fillId="3" borderId="9" xfId="142" applyNumberFormat="1" applyFont="1" applyFill="1" applyBorder="1" applyAlignment="1" applyProtection="1">
      <alignment vertical="center" shrinkToFit="1"/>
      <protection locked="0"/>
    </xf>
    <xf numFmtId="178" fontId="22" fillId="3" borderId="9" xfId="142" applyNumberFormat="1" applyFont="1" applyFill="1" applyBorder="1" applyAlignment="1" applyProtection="1">
      <alignment vertical="center" shrinkToFit="1"/>
      <protection locked="0"/>
    </xf>
    <xf numFmtId="205" fontId="0" fillId="0" borderId="9" xfId="0" applyNumberFormat="1" applyBorder="1" applyAlignment="1">
      <alignment horizontal="center"/>
    </xf>
    <xf numFmtId="200" fontId="58" fillId="0" borderId="16" xfId="142" applyNumberFormat="1" applyFont="1" applyBorder="1" applyAlignment="1">
      <alignment horizontal="right" vertical="center" shrinkToFit="1"/>
    </xf>
    <xf numFmtId="0" fontId="58" fillId="0" borderId="11" xfId="142" applyFont="1" applyFill="1" applyBorder="1" applyAlignment="1">
      <alignment horizontal="center" vertical="center" shrinkToFit="1"/>
    </xf>
    <xf numFmtId="0" fontId="55" fillId="43" borderId="15" xfId="142" applyFont="1" applyFill="1" applyBorder="1" applyAlignment="1">
      <alignment horizontal="center" vertical="center" shrinkToFit="1"/>
    </xf>
    <xf numFmtId="0" fontId="55" fillId="0" borderId="15" xfId="142" applyFont="1" applyBorder="1" applyAlignment="1">
      <alignment horizontal="center" vertical="center" shrinkToFit="1"/>
    </xf>
    <xf numFmtId="0" fontId="70" fillId="66" borderId="20" xfId="142" applyFont="1" applyFill="1" applyBorder="1" applyAlignment="1">
      <alignment horizontal="center" vertical="center" shrinkToFit="1"/>
    </xf>
    <xf numFmtId="0" fontId="70" fillId="66" borderId="105" xfId="142" applyFont="1" applyFill="1" applyBorder="1" applyAlignment="1">
      <alignment horizontal="center" vertical="center" shrinkToFit="1"/>
    </xf>
    <xf numFmtId="0" fontId="55" fillId="0" borderId="20" xfId="142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192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200" fontId="0" fillId="0" borderId="9" xfId="0" applyNumberFormat="1" applyBorder="1" applyAlignment="1">
      <alignment horizontal="center" vertical="center"/>
    </xf>
    <xf numFmtId="199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72" fillId="92" borderId="41" xfId="0" applyFont="1" applyFill="1" applyBorder="1" applyAlignment="1">
      <alignment vertical="center" wrapText="1"/>
    </xf>
    <xf numFmtId="0" fontId="81" fillId="3" borderId="41" xfId="0" applyFont="1" applyFill="1" applyBorder="1" applyAlignment="1">
      <alignment vertical="center" wrapText="1"/>
    </xf>
    <xf numFmtId="0" fontId="100" fillId="0" borderId="0" xfId="0" applyFont="1"/>
    <xf numFmtId="0" fontId="0" fillId="0" borderId="0" xfId="0" applyAlignment="1"/>
    <xf numFmtId="0" fontId="0" fillId="0" borderId="0" xfId="0" applyAlignment="1">
      <alignment vertical="top" wrapText="1"/>
    </xf>
    <xf numFmtId="0" fontId="102" fillId="92" borderId="4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01" fillId="0" borderId="0" xfId="0" applyFont="1" applyAlignment="1"/>
    <xf numFmtId="0" fontId="103" fillId="0" borderId="0" xfId="0" applyFont="1" applyAlignment="1"/>
    <xf numFmtId="0" fontId="103" fillId="0" borderId="0" xfId="0" applyFont="1" applyAlignment="1">
      <alignment horizontal="left"/>
    </xf>
    <xf numFmtId="0" fontId="101" fillId="0" borderId="0" xfId="0" applyFont="1" applyAlignment="1">
      <alignment horizontal="left" vertical="center"/>
    </xf>
    <xf numFmtId="41" fontId="0" fillId="0" borderId="0" xfId="145" applyFont="1" applyAlignment="1"/>
    <xf numFmtId="41" fontId="11" fillId="72" borderId="33" xfId="145" applyFont="1" applyFill="1" applyBorder="1" applyAlignment="1">
      <alignment horizontal="center" vertical="center"/>
    </xf>
    <xf numFmtId="41" fontId="0" fillId="72" borderId="9" xfId="145" applyFont="1" applyFill="1" applyBorder="1" applyAlignment="1"/>
    <xf numFmtId="41" fontId="0" fillId="72" borderId="33" xfId="145" applyFont="1" applyFill="1" applyBorder="1" applyAlignment="1"/>
    <xf numFmtId="41" fontId="11" fillId="67" borderId="33" xfId="145" applyFont="1" applyFill="1" applyBorder="1" applyAlignment="1">
      <alignment horizontal="center" vertical="center"/>
    </xf>
    <xf numFmtId="41" fontId="55" fillId="61" borderId="33" xfId="145" applyFont="1" applyFill="1" applyBorder="1" applyAlignment="1" applyProtection="1">
      <alignment horizontal="center" vertical="center"/>
      <protection locked="0"/>
    </xf>
    <xf numFmtId="41" fontId="55" fillId="45" borderId="117" xfId="145" applyFont="1" applyFill="1" applyBorder="1" applyAlignment="1" applyProtection="1">
      <alignment horizontal="center" vertical="center"/>
      <protection locked="0"/>
    </xf>
    <xf numFmtId="41" fontId="99" fillId="45" borderId="117" xfId="145" applyFont="1" applyFill="1" applyBorder="1" applyAlignment="1" applyProtection="1">
      <alignment horizontal="center" vertical="center"/>
      <protection locked="0"/>
    </xf>
    <xf numFmtId="41" fontId="90" fillId="61" borderId="9" xfId="145" applyFont="1" applyFill="1" applyBorder="1" applyAlignment="1"/>
    <xf numFmtId="41" fontId="90" fillId="77" borderId="9" xfId="145" applyFont="1" applyFill="1" applyBorder="1" applyAlignment="1"/>
    <xf numFmtId="41" fontId="90" fillId="62" borderId="9" xfId="145" applyFont="1" applyFill="1" applyBorder="1" applyAlignment="1"/>
    <xf numFmtId="41" fontId="90" fillId="61" borderId="33" xfId="145" applyFont="1" applyFill="1" applyBorder="1" applyAlignment="1"/>
    <xf numFmtId="41" fontId="90" fillId="77" borderId="33" xfId="145" applyFont="1" applyFill="1" applyBorder="1" applyAlignment="1"/>
    <xf numFmtId="41" fontId="58" fillId="61" borderId="33" xfId="145" applyFont="1" applyFill="1" applyBorder="1" applyAlignment="1" applyProtection="1">
      <alignment horizontal="center" vertical="center"/>
      <protection locked="0"/>
    </xf>
    <xf numFmtId="41" fontId="58" fillId="0" borderId="33" xfId="145" applyFont="1" applyBorder="1" applyAlignment="1">
      <alignment horizontal="right" vertical="center" shrinkToFit="1"/>
    </xf>
    <xf numFmtId="41" fontId="58" fillId="0" borderId="33" xfId="145" applyFont="1" applyBorder="1" applyAlignment="1">
      <alignment horizontal="center" vertical="center" shrinkToFit="1"/>
    </xf>
    <xf numFmtId="41" fontId="58" fillId="0" borderId="33" xfId="145" applyFont="1" applyFill="1" applyBorder="1" applyAlignment="1">
      <alignment horizontal="right" vertical="center" shrinkToFit="1"/>
    </xf>
    <xf numFmtId="41" fontId="58" fillId="0" borderId="33" xfId="145" applyFont="1" applyFill="1" applyBorder="1" applyAlignment="1">
      <alignment horizontal="center" vertical="center" shrinkToFit="1"/>
    </xf>
    <xf numFmtId="41" fontId="55" fillId="43" borderId="33" xfId="145" applyFont="1" applyFill="1" applyBorder="1" applyAlignment="1">
      <alignment horizontal="center" vertical="center" shrinkToFit="1"/>
    </xf>
    <xf numFmtId="41" fontId="58" fillId="43" borderId="33" xfId="145" applyFont="1" applyFill="1" applyBorder="1" applyAlignment="1">
      <alignment horizontal="center" vertical="center" shrinkToFit="1"/>
    </xf>
    <xf numFmtId="41" fontId="55" fillId="0" borderId="33" xfId="145" applyFont="1" applyBorder="1" applyAlignment="1">
      <alignment horizontal="center" vertical="center" shrinkToFit="1"/>
    </xf>
    <xf numFmtId="41" fontId="85" fillId="73" borderId="125" xfId="145" applyFont="1" applyFill="1" applyBorder="1" applyAlignment="1">
      <alignment horizontal="center" vertical="center" shrinkToFit="1"/>
    </xf>
    <xf numFmtId="41" fontId="85" fillId="73" borderId="126" xfId="145" applyFont="1" applyFill="1" applyBorder="1" applyAlignment="1">
      <alignment horizontal="center" vertical="center" shrinkToFit="1"/>
    </xf>
    <xf numFmtId="41" fontId="58" fillId="43" borderId="18" xfId="145" applyFont="1" applyFill="1" applyBorder="1" applyAlignment="1">
      <alignment horizontal="center" vertical="center" shrinkToFit="1"/>
    </xf>
    <xf numFmtId="41" fontId="0" fillId="78" borderId="9" xfId="145" applyFont="1" applyFill="1" applyBorder="1" applyAlignment="1"/>
    <xf numFmtId="41" fontId="85" fillId="73" borderId="9" xfId="145" applyFont="1" applyFill="1" applyBorder="1" applyAlignment="1"/>
    <xf numFmtId="41" fontId="0" fillId="0" borderId="12" xfId="145" applyFont="1" applyBorder="1" applyAlignment="1"/>
    <xf numFmtId="41" fontId="72" fillId="62" borderId="9" xfId="145" applyFont="1" applyFill="1" applyBorder="1" applyAlignment="1"/>
    <xf numFmtId="41" fontId="0" fillId="78" borderId="33" xfId="145" applyFont="1" applyFill="1" applyBorder="1" applyAlignment="1"/>
    <xf numFmtId="41" fontId="85" fillId="73" borderId="33" xfId="145" applyFont="1" applyFill="1" applyBorder="1" applyAlignment="1"/>
    <xf numFmtId="41" fontId="0" fillId="0" borderId="18" xfId="145" applyFont="1" applyBorder="1" applyAlignment="1"/>
    <xf numFmtId="0" fontId="72" fillId="0" borderId="103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107" fillId="0" borderId="0" xfId="0" applyFont="1" applyAlignment="1" applyProtection="1">
      <alignment vertical="center"/>
      <protection locked="0"/>
    </xf>
    <xf numFmtId="0" fontId="109" fillId="90" borderId="105" xfId="0" applyFont="1" applyFill="1" applyBorder="1" applyAlignment="1" applyProtection="1">
      <alignment horizontal="centerContinuous" vertical="center"/>
      <protection locked="0"/>
    </xf>
    <xf numFmtId="0" fontId="109" fillId="90" borderId="105" xfId="0" applyFont="1" applyFill="1" applyBorder="1" applyAlignment="1" applyProtection="1">
      <alignment horizontal="center" vertical="center"/>
      <protection locked="0"/>
    </xf>
    <xf numFmtId="0" fontId="111" fillId="90" borderId="8" xfId="0" applyFont="1" applyFill="1" applyBorder="1" applyAlignment="1" applyProtection="1">
      <alignment horizontal="center" vertical="center"/>
      <protection locked="0"/>
    </xf>
    <xf numFmtId="179" fontId="109" fillId="3" borderId="9" xfId="0" applyNumberFormat="1" applyFont="1" applyFill="1" applyBorder="1" applyAlignment="1" applyProtection="1">
      <alignment horizontal="center" vertical="center"/>
      <protection locked="0"/>
    </xf>
    <xf numFmtId="179" fontId="109" fillId="3" borderId="14" xfId="0" applyNumberFormat="1" applyFont="1" applyFill="1" applyBorder="1" applyAlignment="1" applyProtection="1">
      <alignment horizontal="center" vertical="center"/>
      <protection locked="0"/>
    </xf>
    <xf numFmtId="179" fontId="111" fillId="90" borderId="112" xfId="0" applyNumberFormat="1" applyFont="1" applyFill="1" applyBorder="1" applyAlignment="1" applyProtection="1">
      <alignment horizontal="center" vertical="center"/>
      <protection locked="0"/>
    </xf>
    <xf numFmtId="0" fontId="109" fillId="3" borderId="9" xfId="0" applyFont="1" applyFill="1" applyBorder="1" applyAlignment="1" applyProtection="1">
      <alignment horizontal="center" vertical="center"/>
      <protection locked="0"/>
    </xf>
    <xf numFmtId="179" fontId="115" fillId="3" borderId="18" xfId="0" applyNumberFormat="1" applyFont="1" applyFill="1" applyBorder="1" applyAlignment="1" applyProtection="1">
      <alignment horizontal="center" vertical="center"/>
      <protection locked="0"/>
    </xf>
    <xf numFmtId="0" fontId="111" fillId="90" borderId="32" xfId="0" applyFont="1" applyFill="1" applyBorder="1" applyAlignment="1" applyProtection="1">
      <alignment horizontal="center" vertical="center"/>
      <protection locked="0"/>
    </xf>
    <xf numFmtId="179" fontId="109" fillId="3" borderId="33" xfId="0" applyNumberFormat="1" applyFont="1" applyFill="1" applyBorder="1" applyAlignment="1" applyProtection="1">
      <alignment horizontal="center" vertical="center"/>
      <protection locked="0"/>
    </xf>
    <xf numFmtId="179" fontId="109" fillId="3" borderId="58" xfId="0" applyNumberFormat="1" applyFont="1" applyFill="1" applyBorder="1" applyAlignment="1" applyProtection="1">
      <alignment horizontal="center" vertical="center"/>
      <protection locked="0"/>
    </xf>
    <xf numFmtId="179" fontId="111" fillId="90" borderId="113" xfId="0" applyNumberFormat="1" applyFont="1" applyFill="1" applyBorder="1" applyAlignment="1" applyProtection="1">
      <alignment horizontal="center" vertical="center"/>
      <protection locked="0"/>
    </xf>
    <xf numFmtId="0" fontId="109" fillId="3" borderId="33" xfId="0" applyFont="1" applyFill="1" applyBorder="1" applyAlignment="1" applyProtection="1">
      <alignment horizontal="center" vertical="center"/>
      <protection locked="0"/>
    </xf>
    <xf numFmtId="0" fontId="109" fillId="68" borderId="33" xfId="0" applyFont="1" applyFill="1" applyBorder="1" applyAlignment="1" applyProtection="1">
      <alignment horizontal="center" vertical="center"/>
      <protection locked="0"/>
    </xf>
    <xf numFmtId="180" fontId="116" fillId="3" borderId="1" xfId="0" applyNumberFormat="1" applyFont="1" applyFill="1" applyBorder="1" applyAlignment="1" applyProtection="1">
      <alignment horizontal="center" vertical="center"/>
      <protection locked="0"/>
    </xf>
    <xf numFmtId="183" fontId="107" fillId="0" borderId="0" xfId="0" applyNumberFormat="1" applyFont="1" applyAlignment="1" applyProtection="1">
      <alignment vertical="center"/>
      <protection locked="0"/>
    </xf>
    <xf numFmtId="183" fontId="107" fillId="0" borderId="0" xfId="0" applyNumberFormat="1" applyFont="1" applyAlignment="1" applyProtection="1">
      <alignment horizontal="center" vertical="center"/>
      <protection locked="0"/>
    </xf>
    <xf numFmtId="178" fontId="109" fillId="0" borderId="0" xfId="0" applyNumberFormat="1" applyFont="1" applyFill="1" applyBorder="1" applyAlignment="1" applyProtection="1">
      <alignment horizontal="center" vertical="center"/>
      <protection hidden="1"/>
    </xf>
    <xf numFmtId="41" fontId="107" fillId="0" borderId="0" xfId="0" applyNumberFormat="1" applyFont="1" applyBorder="1" applyAlignment="1" applyProtection="1">
      <alignment horizontal="center" vertical="center"/>
      <protection locked="0"/>
    </xf>
    <xf numFmtId="41" fontId="107" fillId="0" borderId="0" xfId="0" applyNumberFormat="1" applyFont="1" applyBorder="1" applyAlignment="1" applyProtection="1">
      <alignment vertical="center"/>
      <protection locked="0"/>
    </xf>
    <xf numFmtId="0" fontId="109" fillId="3" borderId="32" xfId="0" applyFont="1" applyFill="1" applyBorder="1" applyAlignment="1" applyProtection="1">
      <alignment horizontal="center" vertical="center"/>
      <protection locked="0"/>
    </xf>
    <xf numFmtId="41" fontId="107" fillId="0" borderId="49" xfId="0" applyNumberFormat="1" applyFont="1" applyBorder="1" applyAlignment="1" applyProtection="1">
      <alignment vertical="center"/>
      <protection hidden="1"/>
    </xf>
    <xf numFmtId="0" fontId="107" fillId="0" borderId="0" xfId="0" applyFont="1" applyFill="1" applyAlignment="1" applyProtection="1">
      <alignment vertical="center"/>
      <protection locked="0"/>
    </xf>
    <xf numFmtId="0" fontId="117" fillId="0" borderId="0" xfId="0" applyFont="1" applyFill="1" applyAlignment="1" applyProtection="1">
      <alignment horizontal="center" vertical="center"/>
      <protection locked="0"/>
    </xf>
    <xf numFmtId="0" fontId="107" fillId="0" borderId="0" xfId="0" applyFont="1" applyAlignment="1" applyProtection="1">
      <alignment horizontal="right" vertical="center"/>
      <protection locked="0"/>
    </xf>
    <xf numFmtId="41" fontId="120" fillId="0" borderId="0" xfId="0" applyNumberFormat="1" applyFont="1" applyBorder="1" applyAlignment="1" applyProtection="1">
      <alignment vertical="center"/>
      <protection locked="0"/>
    </xf>
    <xf numFmtId="0" fontId="117" fillId="0" borderId="0" xfId="0" applyFont="1" applyAlignment="1" applyProtection="1">
      <alignment vertical="center"/>
      <protection locked="0"/>
    </xf>
    <xf numFmtId="0" fontId="107" fillId="0" borderId="0" xfId="0" applyFont="1" applyFill="1" applyAlignment="1" applyProtection="1">
      <alignment horizontal="center" vertical="center"/>
      <protection locked="0"/>
    </xf>
    <xf numFmtId="179" fontId="113" fillId="90" borderId="8" xfId="0" applyNumberFormat="1" applyFont="1" applyFill="1" applyBorder="1" applyAlignment="1" applyProtection="1">
      <alignment horizontal="center" vertical="center"/>
      <protection locked="0"/>
    </xf>
    <xf numFmtId="179" fontId="113" fillId="90" borderId="32" xfId="0" applyNumberFormat="1" applyFont="1" applyFill="1" applyBorder="1" applyAlignment="1" applyProtection="1">
      <alignment horizontal="center" vertical="center"/>
      <protection locked="0"/>
    </xf>
    <xf numFmtId="0" fontId="109" fillId="90" borderId="33" xfId="0" applyFont="1" applyFill="1" applyBorder="1" applyAlignment="1" applyProtection="1">
      <alignment horizontal="center" vertical="center"/>
      <protection locked="0"/>
    </xf>
    <xf numFmtId="179" fontId="109" fillId="3" borderId="12" xfId="0" applyNumberFormat="1" applyFont="1" applyFill="1" applyBorder="1" applyAlignment="1" applyProtection="1">
      <alignment horizontal="center" vertical="center"/>
      <protection locked="0"/>
    </xf>
    <xf numFmtId="179" fontId="109" fillId="3" borderId="18" xfId="0" applyNumberFormat="1" applyFont="1" applyFill="1" applyBorder="1" applyAlignment="1" applyProtection="1">
      <alignment horizontal="center" vertical="center"/>
      <protection locked="0"/>
    </xf>
    <xf numFmtId="0" fontId="109" fillId="90" borderId="20" xfId="0" applyFont="1" applyFill="1" applyBorder="1" applyAlignment="1" applyProtection="1">
      <alignment horizontal="center" vertical="center" wrapText="1"/>
      <protection locked="0"/>
    </xf>
    <xf numFmtId="0" fontId="109" fillId="90" borderId="123" xfId="0" applyFont="1" applyFill="1" applyBorder="1" applyAlignment="1" applyProtection="1">
      <alignment horizontal="center" vertical="center"/>
      <protection locked="0"/>
    </xf>
    <xf numFmtId="0" fontId="107" fillId="3" borderId="89" xfId="0" applyFont="1" applyFill="1" applyBorder="1" applyAlignment="1" applyProtection="1">
      <alignment horizontal="center" vertical="center"/>
      <protection locked="0"/>
    </xf>
    <xf numFmtId="41" fontId="107" fillId="3" borderId="89" xfId="145" applyFont="1" applyFill="1" applyBorder="1" applyAlignment="1" applyProtection="1">
      <alignment horizontal="center" vertical="center"/>
      <protection locked="0"/>
    </xf>
    <xf numFmtId="43" fontId="107" fillId="3" borderId="124" xfId="0" applyNumberFormat="1" applyFont="1" applyFill="1" applyBorder="1" applyAlignment="1" applyProtection="1">
      <alignment horizontal="center" vertical="center"/>
      <protection locked="0"/>
    </xf>
    <xf numFmtId="204" fontId="115" fillId="3" borderId="59" xfId="0" applyNumberFormat="1" applyFont="1" applyFill="1" applyBorder="1" applyAlignment="1" applyProtection="1">
      <alignment vertical="center"/>
      <protection locked="0"/>
    </xf>
    <xf numFmtId="181" fontId="115" fillId="3" borderId="32" xfId="0" applyNumberFormat="1" applyFont="1" applyFill="1" applyBorder="1" applyAlignment="1" applyProtection="1">
      <alignment horizontal="center" vertical="center"/>
      <protection locked="0"/>
    </xf>
    <xf numFmtId="181" fontId="115" fillId="3" borderId="18" xfId="0" quotePrefix="1" applyNumberFormat="1" applyFont="1" applyFill="1" applyBorder="1" applyAlignment="1" applyProtection="1">
      <alignment horizontal="center" vertical="center"/>
      <protection locked="0"/>
    </xf>
    <xf numFmtId="0" fontId="109" fillId="90" borderId="113" xfId="0" applyFont="1" applyFill="1" applyBorder="1" applyAlignment="1" applyProtection="1">
      <alignment horizontal="center" vertical="center"/>
      <protection locked="0"/>
    </xf>
    <xf numFmtId="0" fontId="107" fillId="3" borderId="33" xfId="0" applyFont="1" applyFill="1" applyBorder="1" applyAlignment="1" applyProtection="1">
      <alignment horizontal="center" vertical="center"/>
      <protection locked="0"/>
    </xf>
    <xf numFmtId="41" fontId="107" fillId="3" borderId="33" xfId="145" applyFont="1" applyFill="1" applyBorder="1" applyAlignment="1" applyProtection="1">
      <alignment horizontal="center" vertical="center"/>
      <protection locked="0"/>
    </xf>
    <xf numFmtId="43" fontId="107" fillId="3" borderId="58" xfId="0" applyNumberFormat="1" applyFont="1" applyFill="1" applyBorder="1" applyAlignment="1" applyProtection="1">
      <alignment horizontal="center" vertical="center"/>
      <protection locked="0"/>
    </xf>
    <xf numFmtId="200" fontId="109" fillId="90" borderId="32" xfId="0" applyNumberFormat="1" applyFont="1" applyFill="1" applyBorder="1" applyAlignment="1" applyProtection="1">
      <alignment horizontal="center" vertical="center"/>
      <protection locked="0"/>
    </xf>
    <xf numFmtId="200" fontId="109" fillId="90" borderId="57" xfId="0" applyNumberFormat="1" applyFont="1" applyFill="1" applyBorder="1" applyAlignment="1" applyProtection="1">
      <alignment horizontal="center" vertical="center"/>
      <protection locked="0"/>
    </xf>
    <xf numFmtId="0" fontId="104" fillId="93" borderId="0" xfId="0" applyFont="1" applyFill="1" applyBorder="1" applyAlignment="1" applyProtection="1">
      <alignment vertical="center"/>
      <protection locked="0"/>
    </xf>
    <xf numFmtId="201" fontId="105" fillId="93" borderId="1" xfId="143" applyNumberFormat="1" applyFont="1" applyFill="1" applyBorder="1" applyAlignment="1" applyProtection="1">
      <alignment horizontal="center" vertical="center"/>
    </xf>
    <xf numFmtId="201" fontId="105" fillId="93" borderId="1" xfId="142" applyNumberFormat="1" applyFont="1" applyFill="1" applyBorder="1" applyAlignment="1">
      <alignment vertical="center"/>
    </xf>
    <xf numFmtId="0" fontId="107" fillId="93" borderId="0" xfId="138" applyFont="1" applyFill="1" applyAlignment="1" applyProtection="1">
      <alignment vertical="center"/>
      <protection locked="0"/>
    </xf>
    <xf numFmtId="178" fontId="107" fillId="0" borderId="92" xfId="142" applyNumberFormat="1" applyFont="1" applyFill="1" applyBorder="1" applyAlignment="1">
      <alignment horizontal="right" vertical="center" shrinkToFit="1"/>
    </xf>
    <xf numFmtId="178" fontId="107" fillId="0" borderId="41" xfId="142" applyNumberFormat="1" applyFont="1" applyFill="1" applyBorder="1" applyAlignment="1">
      <alignment horizontal="right" vertical="center" shrinkToFit="1"/>
    </xf>
    <xf numFmtId="178" fontId="107" fillId="5" borderId="41" xfId="142" applyNumberFormat="1" applyFont="1" applyFill="1" applyBorder="1" applyAlignment="1">
      <alignment horizontal="right" vertical="center" shrinkToFit="1"/>
    </xf>
    <xf numFmtId="178" fontId="107" fillId="5" borderId="103" xfId="142" applyNumberFormat="1" applyFont="1" applyFill="1" applyBorder="1" applyAlignment="1">
      <alignment horizontal="right" vertical="center" shrinkToFit="1"/>
    </xf>
    <xf numFmtId="200" fontId="107" fillId="0" borderId="40" xfId="142" applyNumberFormat="1" applyFont="1" applyFill="1" applyBorder="1" applyAlignment="1">
      <alignment horizontal="right" vertical="center" shrinkToFit="1"/>
    </xf>
    <xf numFmtId="200" fontId="107" fillId="0" borderId="41" xfId="142" applyNumberFormat="1" applyFont="1" applyFill="1" applyBorder="1" applyAlignment="1">
      <alignment horizontal="right" vertical="center" shrinkToFit="1"/>
    </xf>
    <xf numFmtId="200" fontId="107" fillId="5" borderId="22" xfId="142" applyNumberFormat="1" applyFont="1" applyFill="1" applyBorder="1" applyAlignment="1">
      <alignment horizontal="right" vertical="center" shrinkToFit="1"/>
    </xf>
    <xf numFmtId="199" fontId="107" fillId="6" borderId="48" xfId="142" applyNumberFormat="1" applyFont="1" applyFill="1" applyBorder="1" applyAlignment="1">
      <alignment horizontal="right" vertical="center"/>
    </xf>
    <xf numFmtId="201" fontId="109" fillId="7" borderId="22" xfId="142" applyNumberFormat="1" applyFont="1" applyFill="1" applyBorder="1" applyAlignment="1">
      <alignment horizontal="right" vertical="center" shrinkToFit="1"/>
    </xf>
    <xf numFmtId="178" fontId="123" fillId="65" borderId="8" xfId="142" applyNumberFormat="1" applyFont="1" applyFill="1" applyBorder="1" applyAlignment="1">
      <alignment horizontal="right" vertical="center" shrinkToFit="1"/>
    </xf>
    <xf numFmtId="201" fontId="123" fillId="65" borderId="12" xfId="142" applyNumberFormat="1" applyFont="1" applyFill="1" applyBorder="1" applyAlignment="1">
      <alignment horizontal="right" vertical="center" shrinkToFit="1"/>
    </xf>
    <xf numFmtId="200" fontId="107" fillId="0" borderId="13" xfId="142" applyNumberFormat="1" applyFont="1" applyFill="1" applyBorder="1" applyAlignment="1">
      <alignment horizontal="right" vertical="center" shrinkToFit="1"/>
    </xf>
    <xf numFmtId="200" fontId="107" fillId="0" borderId="9" xfId="142" applyNumberFormat="1" applyFont="1" applyFill="1" applyBorder="1" applyAlignment="1">
      <alignment horizontal="right" vertical="center" shrinkToFit="1"/>
    </xf>
    <xf numFmtId="200" fontId="107" fillId="5" borderId="9" xfId="142" applyNumberFormat="1" applyFont="1" applyFill="1" applyBorder="1" applyAlignment="1">
      <alignment horizontal="right" vertical="center" shrinkToFit="1"/>
    </xf>
    <xf numFmtId="201" fontId="109" fillId="7" borderId="12" xfId="142" applyNumberFormat="1" applyFont="1" applyFill="1" applyBorder="1" applyAlignment="1">
      <alignment horizontal="right" vertical="center" shrinkToFit="1"/>
    </xf>
    <xf numFmtId="178" fontId="107" fillId="0" borderId="13" xfId="142" applyNumberFormat="1" applyFont="1" applyFill="1" applyBorder="1" applyAlignment="1">
      <alignment horizontal="right" vertical="center" shrinkToFit="1"/>
    </xf>
    <xf numFmtId="178" fontId="107" fillId="0" borderId="9" xfId="142" applyNumberFormat="1" applyFont="1" applyFill="1" applyBorder="1" applyAlignment="1">
      <alignment horizontal="right" vertical="center" shrinkToFit="1"/>
    </xf>
    <xf numFmtId="178" fontId="107" fillId="5" borderId="9" xfId="142" applyNumberFormat="1" applyFont="1" applyFill="1" applyBorder="1" applyAlignment="1">
      <alignment horizontal="right" vertical="center" shrinkToFit="1"/>
    </xf>
    <xf numFmtId="200" fontId="107" fillId="0" borderId="8" xfId="142" applyNumberFormat="1" applyFont="1" applyFill="1" applyBorder="1" applyAlignment="1">
      <alignment horizontal="right" vertical="center" shrinkToFit="1"/>
    </xf>
    <xf numFmtId="200" fontId="107" fillId="5" borderId="12" xfId="142" applyNumberFormat="1" applyFont="1" applyFill="1" applyBorder="1" applyAlignment="1">
      <alignment horizontal="right" vertical="center" shrinkToFit="1"/>
    </xf>
    <xf numFmtId="199" fontId="107" fillId="6" borderId="49" xfId="142" applyNumberFormat="1" applyFont="1" applyFill="1" applyBorder="1" applyAlignment="1">
      <alignment horizontal="right" vertical="center"/>
    </xf>
    <xf numFmtId="178" fontId="107" fillId="0" borderId="16" xfId="142" applyNumberFormat="1" applyFont="1" applyFill="1" applyBorder="1" applyAlignment="1">
      <alignment horizontal="right" vertical="center" shrinkToFit="1"/>
    </xf>
    <xf numFmtId="178" fontId="107" fillId="0" borderId="10" xfId="142" applyNumberFormat="1" applyFont="1" applyFill="1" applyBorder="1" applyAlignment="1">
      <alignment horizontal="right" vertical="center" shrinkToFit="1"/>
    </xf>
    <xf numFmtId="200" fontId="107" fillId="43" borderId="15" xfId="142" applyNumberFormat="1" applyFont="1" applyFill="1" applyBorder="1" applyAlignment="1">
      <alignment horizontal="right" vertical="center" shrinkToFit="1"/>
    </xf>
    <xf numFmtId="200" fontId="107" fillId="43" borderId="10" xfId="142" applyNumberFormat="1" applyFont="1" applyFill="1" applyBorder="1" applyAlignment="1">
      <alignment horizontal="right" vertical="center" shrinkToFit="1"/>
    </xf>
    <xf numFmtId="200" fontId="107" fillId="5" borderId="11" xfId="142" applyNumberFormat="1" applyFont="1" applyFill="1" applyBorder="1" applyAlignment="1">
      <alignment horizontal="right" vertical="center" shrinkToFit="1"/>
    </xf>
    <xf numFmtId="199" fontId="107" fillId="6" borderId="106" xfId="142" applyNumberFormat="1" applyFont="1" applyFill="1" applyBorder="1" applyAlignment="1">
      <alignment horizontal="right" vertical="center"/>
    </xf>
    <xf numFmtId="201" fontId="109" fillId="7" borderId="11" xfId="142" applyNumberFormat="1" applyFont="1" applyFill="1" applyBorder="1" applyAlignment="1">
      <alignment horizontal="right" vertical="center" shrinkToFit="1"/>
    </xf>
    <xf numFmtId="200" fontId="107" fillId="0" borderId="16" xfId="142" applyNumberFormat="1" applyFont="1" applyFill="1" applyBorder="1" applyAlignment="1">
      <alignment horizontal="right" vertical="center" shrinkToFit="1"/>
    </xf>
    <xf numFmtId="200" fontId="107" fillId="0" borderId="10" xfId="142" applyNumberFormat="1" applyFont="1" applyFill="1" applyBorder="1" applyAlignment="1">
      <alignment horizontal="right" vertical="center" shrinkToFit="1"/>
    </xf>
    <xf numFmtId="178" fontId="107" fillId="0" borderId="6" xfId="138" applyNumberFormat="1" applyFont="1" applyFill="1" applyBorder="1" applyAlignment="1">
      <alignment horizontal="right"/>
    </xf>
    <xf numFmtId="178" fontId="107" fillId="0" borderId="4" xfId="138" applyNumberFormat="1" applyFont="1" applyFill="1" applyBorder="1" applyAlignment="1">
      <alignment horizontal="right"/>
    </xf>
    <xf numFmtId="178" fontId="107" fillId="5" borderId="4" xfId="138" applyNumberFormat="1" applyFont="1" applyFill="1" applyBorder="1" applyAlignment="1">
      <alignment horizontal="right"/>
    </xf>
    <xf numFmtId="178" fontId="107" fillId="5" borderId="51" xfId="138" applyNumberFormat="1" applyFont="1" applyFill="1" applyBorder="1" applyAlignment="1">
      <alignment horizontal="right"/>
    </xf>
    <xf numFmtId="200" fontId="107" fillId="0" borderId="3" xfId="138" applyNumberFormat="1" applyFont="1" applyFill="1" applyBorder="1" applyAlignment="1">
      <alignment horizontal="right"/>
    </xf>
    <xf numFmtId="200" fontId="107" fillId="0" borderId="4" xfId="138" applyNumberFormat="1" applyFont="1" applyFill="1" applyBorder="1" applyAlignment="1">
      <alignment horizontal="right"/>
    </xf>
    <xf numFmtId="200" fontId="107" fillId="5" borderId="5" xfId="138" applyNumberFormat="1" applyFont="1" applyFill="1" applyBorder="1" applyAlignment="1">
      <alignment horizontal="right"/>
    </xf>
    <xf numFmtId="199" fontId="107" fillId="6" borderId="29" xfId="142" applyNumberFormat="1" applyFont="1" applyFill="1" applyBorder="1" applyAlignment="1">
      <alignment horizontal="right" vertical="center"/>
    </xf>
    <xf numFmtId="201" fontId="109" fillId="7" borderId="5" xfId="142" applyNumberFormat="1" applyFont="1" applyFill="1" applyBorder="1" applyAlignment="1">
      <alignment horizontal="right" vertical="center"/>
    </xf>
    <xf numFmtId="178" fontId="123" fillId="65" borderId="3" xfId="142" applyNumberFormat="1" applyFont="1" applyFill="1" applyBorder="1" applyAlignment="1">
      <alignment horizontal="right" vertical="center"/>
    </xf>
    <xf numFmtId="201" fontId="123" fillId="65" borderId="5" xfId="142" applyNumberFormat="1" applyFont="1" applyFill="1" applyBorder="1" applyAlignment="1">
      <alignment horizontal="right" vertical="center"/>
    </xf>
    <xf numFmtId="200" fontId="107" fillId="0" borderId="6" xfId="138" applyNumberFormat="1" applyFont="1" applyFill="1" applyBorder="1" applyAlignment="1">
      <alignment horizontal="right"/>
    </xf>
    <xf numFmtId="200" fontId="107" fillId="5" borderId="4" xfId="138" applyNumberFormat="1" applyFont="1" applyFill="1" applyBorder="1" applyAlignment="1">
      <alignment horizontal="right"/>
    </xf>
    <xf numFmtId="178" fontId="107" fillId="0" borderId="57" xfId="138" applyNumberFormat="1" applyFont="1" applyFill="1" applyBorder="1" applyAlignment="1">
      <alignment horizontal="right"/>
    </xf>
    <xf numFmtId="178" fontId="107" fillId="0" borderId="33" xfId="138" applyNumberFormat="1" applyFont="1" applyFill="1" applyBorder="1" applyAlignment="1">
      <alignment horizontal="right"/>
    </xf>
    <xf numFmtId="178" fontId="107" fillId="5" borderId="58" xfId="142" applyNumberFormat="1" applyFont="1" applyFill="1" applyBorder="1" applyAlignment="1">
      <alignment horizontal="right" vertical="center"/>
    </xf>
    <xf numFmtId="200" fontId="107" fillId="0" borderId="32" xfId="138" applyNumberFormat="1" applyFont="1" applyFill="1" applyBorder="1" applyAlignment="1">
      <alignment horizontal="right"/>
    </xf>
    <xf numFmtId="200" fontId="107" fillId="0" borderId="33" xfId="138" applyNumberFormat="1" applyFont="1" applyFill="1" applyBorder="1" applyAlignment="1">
      <alignment horizontal="right"/>
    </xf>
    <xf numFmtId="200" fontId="107" fillId="5" borderId="18" xfId="142" applyNumberFormat="1" applyFont="1" applyFill="1" applyBorder="1" applyAlignment="1">
      <alignment horizontal="right" vertical="center"/>
    </xf>
    <xf numFmtId="199" fontId="107" fillId="6" borderId="39" xfId="142" applyNumberFormat="1" applyFont="1" applyFill="1" applyBorder="1" applyAlignment="1">
      <alignment horizontal="right" vertical="center"/>
    </xf>
    <xf numFmtId="178" fontId="107" fillId="5" borderId="33" xfId="142" applyNumberFormat="1" applyFont="1" applyFill="1" applyBorder="1" applyAlignment="1">
      <alignment horizontal="right" vertical="center"/>
    </xf>
    <xf numFmtId="201" fontId="109" fillId="7" borderId="11" xfId="142" applyNumberFormat="1" applyFont="1" applyFill="1" applyBorder="1" applyAlignment="1">
      <alignment horizontal="right" vertical="center"/>
    </xf>
    <xf numFmtId="178" fontId="123" fillId="65" borderId="15" xfId="142" applyNumberFormat="1" applyFont="1" applyFill="1" applyBorder="1" applyAlignment="1">
      <alignment horizontal="right" vertical="center"/>
    </xf>
    <xf numFmtId="201" fontId="123" fillId="65" borderId="11" xfId="142" applyNumberFormat="1" applyFont="1" applyFill="1" applyBorder="1" applyAlignment="1">
      <alignment horizontal="right" vertical="center"/>
    </xf>
    <xf numFmtId="200" fontId="107" fillId="0" borderId="16" xfId="138" applyNumberFormat="1" applyFont="1" applyFill="1" applyBorder="1" applyAlignment="1">
      <alignment horizontal="right"/>
    </xf>
    <xf numFmtId="200" fontId="107" fillId="0" borderId="10" xfId="138" applyNumberFormat="1" applyFont="1" applyFill="1" applyBorder="1" applyAlignment="1">
      <alignment horizontal="right"/>
    </xf>
    <xf numFmtId="200" fontId="107" fillId="5" borderId="10" xfId="142" applyNumberFormat="1" applyFont="1" applyFill="1" applyBorder="1" applyAlignment="1">
      <alignment horizontal="right" vertical="center"/>
    </xf>
    <xf numFmtId="178" fontId="109" fillId="0" borderId="55" xfId="142" applyNumberFormat="1" applyFont="1" applyFill="1" applyBorder="1" applyAlignment="1">
      <alignment horizontal="right" vertical="center"/>
    </xf>
    <xf numFmtId="178" fontId="116" fillId="5" borderId="55" xfId="142" applyNumberFormat="1" applyFont="1" applyFill="1" applyBorder="1" applyAlignment="1">
      <alignment horizontal="right" vertical="center"/>
    </xf>
    <xf numFmtId="200" fontId="109" fillId="0" borderId="30" xfId="142" applyNumberFormat="1" applyFont="1" applyFill="1" applyBorder="1" applyAlignment="1">
      <alignment horizontal="right" vertical="center"/>
    </xf>
    <xf numFmtId="200" fontId="109" fillId="0" borderId="55" xfId="142" applyNumberFormat="1" applyFont="1" applyFill="1" applyBorder="1" applyAlignment="1">
      <alignment horizontal="right" vertical="center"/>
    </xf>
    <xf numFmtId="200" fontId="116" fillId="5" borderId="96" xfId="142" applyNumberFormat="1" applyFont="1" applyFill="1" applyBorder="1" applyAlignment="1">
      <alignment horizontal="right" vertical="center"/>
    </xf>
    <xf numFmtId="199" fontId="116" fillId="6" borderId="59" xfId="142" applyNumberFormat="1" applyFont="1" applyFill="1" applyBorder="1" applyAlignment="1">
      <alignment horizontal="right" vertical="center"/>
    </xf>
    <xf numFmtId="178" fontId="116" fillId="0" borderId="31" xfId="142" applyNumberFormat="1" applyFont="1" applyFill="1" applyBorder="1" applyAlignment="1">
      <alignment horizontal="right" vertical="center"/>
    </xf>
    <xf numFmtId="178" fontId="116" fillId="0" borderId="55" xfId="142" applyNumberFormat="1" applyFont="1" applyFill="1" applyBorder="1" applyAlignment="1">
      <alignment horizontal="right" vertical="center"/>
    </xf>
    <xf numFmtId="201" fontId="116" fillId="7" borderId="96" xfId="142" applyNumberFormat="1" applyFont="1" applyFill="1" applyBorder="1" applyAlignment="1">
      <alignment horizontal="right" vertical="center"/>
    </xf>
    <xf numFmtId="201" fontId="116" fillId="7" borderId="108" xfId="142" applyNumberFormat="1" applyFont="1" applyFill="1" applyBorder="1" applyAlignment="1">
      <alignment horizontal="right" vertical="center"/>
    </xf>
    <xf numFmtId="178" fontId="123" fillId="65" borderId="53" xfId="142" applyNumberFormat="1" applyFont="1" applyFill="1" applyBorder="1" applyAlignment="1">
      <alignment horizontal="right" vertical="center"/>
    </xf>
    <xf numFmtId="201" fontId="123" fillId="65" borderId="108" xfId="142" applyNumberFormat="1" applyFont="1" applyFill="1" applyBorder="1" applyAlignment="1">
      <alignment horizontal="right" vertical="center"/>
    </xf>
    <xf numFmtId="200" fontId="116" fillId="0" borderId="109" xfId="142" applyNumberFormat="1" applyFont="1" applyFill="1" applyBorder="1" applyAlignment="1">
      <alignment horizontal="right" vertical="center"/>
    </xf>
    <xf numFmtId="200" fontId="116" fillId="0" borderId="54" xfId="142" applyNumberFormat="1" applyFont="1" applyFill="1" applyBorder="1" applyAlignment="1">
      <alignment horizontal="right" vertical="center"/>
    </xf>
    <xf numFmtId="200" fontId="116" fillId="5" borderId="54" xfId="142" applyNumberFormat="1" applyFont="1" applyFill="1" applyBorder="1" applyAlignment="1">
      <alignment horizontal="right" vertical="center"/>
    </xf>
    <xf numFmtId="0" fontId="107" fillId="0" borderId="0" xfId="138" applyFont="1" applyAlignment="1" applyProtection="1">
      <alignment vertical="center"/>
      <protection locked="0"/>
    </xf>
    <xf numFmtId="0" fontId="105" fillId="93" borderId="0" xfId="0" applyFont="1" applyFill="1" applyBorder="1" applyAlignment="1" applyProtection="1">
      <alignment vertical="center"/>
      <protection locked="0"/>
    </xf>
    <xf numFmtId="0" fontId="106" fillId="93" borderId="0" xfId="138" applyFont="1" applyFill="1" applyAlignment="1">
      <alignment horizontal="center" vertical="center"/>
    </xf>
    <xf numFmtId="199" fontId="124" fillId="93" borderId="0" xfId="143" applyNumberFormat="1" applyFont="1" applyFill="1" applyAlignment="1" applyProtection="1">
      <alignment horizontal="center" vertical="center"/>
    </xf>
    <xf numFmtId="0" fontId="106" fillId="93" borderId="0" xfId="142" applyFont="1" applyFill="1" applyAlignment="1">
      <alignment horizontal="left" vertical="center"/>
    </xf>
    <xf numFmtId="0" fontId="124" fillId="93" borderId="0" xfId="143" applyFont="1" applyFill="1" applyAlignment="1" applyProtection="1">
      <alignment horizontal="center" vertical="center" shrinkToFit="1"/>
    </xf>
    <xf numFmtId="0" fontId="106" fillId="93" borderId="0" xfId="142" applyFont="1" applyFill="1" applyAlignment="1">
      <alignment vertical="center"/>
    </xf>
    <xf numFmtId="200" fontId="105" fillId="93" borderId="1" xfId="142" applyNumberFormat="1" applyFont="1" applyFill="1" applyBorder="1" applyAlignment="1">
      <alignment horizontal="center" vertical="center"/>
    </xf>
    <xf numFmtId="0" fontId="105" fillId="93" borderId="1" xfId="142" applyNumberFormat="1" applyFont="1" applyFill="1" applyBorder="1" applyAlignment="1">
      <alignment horizontal="center" vertical="center"/>
    </xf>
    <xf numFmtId="201" fontId="105" fillId="93" borderId="1" xfId="142" applyNumberFormat="1" applyFont="1" applyFill="1" applyBorder="1" applyAlignment="1">
      <alignment horizontal="center" vertical="center"/>
    </xf>
    <xf numFmtId="201" fontId="105" fillId="93" borderId="52" xfId="142" applyNumberFormat="1" applyFont="1" applyFill="1" applyBorder="1" applyAlignment="1">
      <alignment horizontal="center" vertical="center"/>
    </xf>
    <xf numFmtId="202" fontId="106" fillId="93" borderId="0" xfId="142" applyNumberFormat="1" applyFont="1" applyFill="1" applyAlignment="1">
      <alignment vertical="center"/>
    </xf>
    <xf numFmtId="178" fontId="106" fillId="93" borderId="0" xfId="142" applyNumberFormat="1" applyFont="1" applyFill="1" applyAlignment="1">
      <alignment vertical="center"/>
    </xf>
    <xf numFmtId="0" fontId="107" fillId="0" borderId="0" xfId="142" applyFont="1" applyAlignment="1">
      <alignment vertical="center"/>
    </xf>
    <xf numFmtId="0" fontId="109" fillId="2" borderId="9" xfId="142" applyFont="1" applyFill="1" applyBorder="1" applyAlignment="1">
      <alignment horizontal="center" vertical="center" shrinkToFit="1"/>
    </xf>
    <xf numFmtId="0" fontId="109" fillId="2" borderId="12" xfId="142" applyFont="1" applyFill="1" applyBorder="1" applyAlignment="1">
      <alignment horizontal="center" vertical="center" shrinkToFit="1"/>
    </xf>
    <xf numFmtId="0" fontId="109" fillId="2" borderId="8" xfId="142" applyFont="1" applyFill="1" applyBorder="1" applyAlignment="1">
      <alignment horizontal="center" vertical="center" shrinkToFit="1"/>
    </xf>
    <xf numFmtId="201" fontId="109" fillId="2" borderId="12" xfId="142" applyNumberFormat="1" applyFont="1" applyFill="1" applyBorder="1" applyAlignment="1">
      <alignment horizontal="center" vertical="center" shrinkToFit="1"/>
    </xf>
    <xf numFmtId="201" fontId="123" fillId="2" borderId="20" xfId="142" applyNumberFormat="1" applyFont="1" applyFill="1" applyBorder="1" applyAlignment="1">
      <alignment horizontal="center" vertical="center" shrinkToFit="1"/>
    </xf>
    <xf numFmtId="201" fontId="123" fillId="2" borderId="105" xfId="142" applyNumberFormat="1" applyFont="1" applyFill="1" applyBorder="1" applyAlignment="1">
      <alignment horizontal="center" vertical="center" shrinkToFit="1"/>
    </xf>
    <xf numFmtId="0" fontId="109" fillId="2" borderId="21" xfId="142" applyFont="1" applyFill="1" applyBorder="1" applyAlignment="1">
      <alignment horizontal="center" vertical="center" shrinkToFit="1"/>
    </xf>
    <xf numFmtId="0" fontId="109" fillId="2" borderId="10" xfId="142" applyFont="1" applyFill="1" applyBorder="1" applyAlignment="1">
      <alignment horizontal="center" vertical="center" shrinkToFit="1"/>
    </xf>
    <xf numFmtId="201" fontId="109" fillId="2" borderId="11" xfId="142" applyNumberFormat="1" applyFont="1" applyFill="1" applyBorder="1" applyAlignment="1">
      <alignment horizontal="center" vertical="center" shrinkToFit="1"/>
    </xf>
    <xf numFmtId="184" fontId="107" fillId="0" borderId="22" xfId="142" applyNumberFormat="1" applyFont="1" applyFill="1" applyBorder="1" applyAlignment="1">
      <alignment horizontal="center" vertical="center"/>
    </xf>
    <xf numFmtId="184" fontId="125" fillId="0" borderId="5" xfId="138" applyNumberFormat="1" applyFont="1" applyFill="1" applyBorder="1" applyAlignment="1">
      <alignment horizontal="center" vertical="center"/>
    </xf>
    <xf numFmtId="0" fontId="107" fillId="0" borderId="0" xfId="142" applyFont="1" applyAlignment="1">
      <alignment horizontal="center" vertical="center"/>
    </xf>
    <xf numFmtId="184" fontId="125" fillId="0" borderId="96" xfId="138" applyNumberFormat="1" applyFont="1" applyFill="1" applyBorder="1" applyAlignment="1">
      <alignment horizontal="center" vertical="center"/>
    </xf>
    <xf numFmtId="0" fontId="109" fillId="0" borderId="0" xfId="142" applyFont="1" applyAlignment="1">
      <alignment horizontal="center" vertical="center"/>
    </xf>
    <xf numFmtId="176" fontId="126" fillId="93" borderId="1" xfId="142" applyNumberFormat="1" applyFont="1" applyFill="1" applyBorder="1" applyAlignment="1">
      <alignment horizontal="center" vertical="center" shrinkToFit="1"/>
    </xf>
    <xf numFmtId="0" fontId="107" fillId="93" borderId="1" xfId="138" applyFont="1" applyFill="1" applyBorder="1" applyAlignment="1">
      <alignment vertical="center"/>
    </xf>
    <xf numFmtId="176" fontId="109" fillId="93" borderId="1" xfId="142" applyNumberFormat="1" applyFont="1" applyFill="1" applyBorder="1" applyAlignment="1">
      <alignment vertical="center"/>
    </xf>
    <xf numFmtId="0" fontId="107" fillId="93" borderId="0" xfId="142" applyFont="1" applyFill="1" applyBorder="1" applyAlignment="1">
      <alignment vertical="center"/>
    </xf>
    <xf numFmtId="200" fontId="109" fillId="93" borderId="1" xfId="142" applyNumberFormat="1" applyFont="1" applyFill="1" applyBorder="1" applyAlignment="1">
      <alignment horizontal="center" vertical="center"/>
    </xf>
    <xf numFmtId="201" fontId="116" fillId="93" borderId="110" xfId="144" applyNumberFormat="1" applyFont="1" applyFill="1" applyBorder="1" applyAlignment="1">
      <alignment horizontal="center" vertical="center"/>
    </xf>
    <xf numFmtId="0" fontId="123" fillId="93" borderId="94" xfId="142" applyNumberFormat="1" applyFont="1" applyFill="1" applyBorder="1" applyAlignment="1">
      <alignment horizontal="center" vertical="center"/>
    </xf>
    <xf numFmtId="201" fontId="116" fillId="93" borderId="94" xfId="142" applyNumberFormat="1" applyFont="1" applyFill="1" applyBorder="1" applyAlignment="1" applyProtection="1">
      <alignment horizontal="center" vertical="center"/>
      <protection locked="0"/>
    </xf>
    <xf numFmtId="0" fontId="107" fillId="0" borderId="0" xfId="142" applyFont="1" applyFill="1" applyBorder="1" applyAlignment="1">
      <alignment vertical="center"/>
    </xf>
    <xf numFmtId="0" fontId="109" fillId="0" borderId="0" xfId="142" applyFont="1" applyAlignment="1">
      <alignment vertical="center"/>
    </xf>
    <xf numFmtId="0" fontId="109" fillId="0" borderId="33" xfId="142" applyFont="1" applyBorder="1" applyAlignment="1">
      <alignment horizontal="center" vertical="center" shrinkToFit="1"/>
    </xf>
    <xf numFmtId="200" fontId="109" fillId="0" borderId="33" xfId="142" applyNumberFormat="1" applyFont="1" applyBorder="1" applyAlignment="1">
      <alignment horizontal="right" vertical="center" shrinkToFit="1"/>
    </xf>
    <xf numFmtId="200" fontId="109" fillId="0" borderId="33" xfId="142" applyNumberFormat="1" applyFont="1" applyFill="1" applyBorder="1" applyAlignment="1">
      <alignment horizontal="right" vertical="center" shrinkToFit="1"/>
    </xf>
    <xf numFmtId="0" fontId="109" fillId="0" borderId="18" xfId="142" applyFont="1" applyFill="1" applyBorder="1" applyAlignment="1">
      <alignment horizontal="center" vertical="center" shrinkToFit="1"/>
    </xf>
    <xf numFmtId="0" fontId="109" fillId="43" borderId="32" xfId="142" applyFont="1" applyFill="1" applyBorder="1" applyAlignment="1">
      <alignment horizontal="center" vertical="center" shrinkToFit="1"/>
    </xf>
    <xf numFmtId="0" fontId="109" fillId="43" borderId="33" xfId="142" applyFont="1" applyFill="1" applyBorder="1" applyAlignment="1">
      <alignment horizontal="center" vertical="center" shrinkToFit="1"/>
    </xf>
    <xf numFmtId="0" fontId="109" fillId="43" borderId="18" xfId="142" applyFont="1" applyFill="1" applyBorder="1" applyAlignment="1">
      <alignment horizontal="center" vertical="center" shrinkToFit="1"/>
    </xf>
    <xf numFmtId="0" fontId="109" fillId="0" borderId="32" xfId="142" applyFont="1" applyBorder="1" applyAlignment="1">
      <alignment horizontal="center" vertical="center" shrinkToFit="1"/>
    </xf>
    <xf numFmtId="0" fontId="127" fillId="66" borderId="30" xfId="142" applyFont="1" applyFill="1" applyBorder="1" applyAlignment="1">
      <alignment horizontal="center" vertical="center" shrinkToFit="1"/>
    </xf>
    <xf numFmtId="0" fontId="127" fillId="66" borderId="96" xfId="142" applyFont="1" applyFill="1" applyBorder="1" applyAlignment="1">
      <alignment horizontal="center" vertical="center" shrinkToFit="1"/>
    </xf>
    <xf numFmtId="0" fontId="109" fillId="0" borderId="30" xfId="142" applyFont="1" applyBorder="1" applyAlignment="1">
      <alignment horizontal="center" vertical="center" shrinkToFit="1"/>
    </xf>
    <xf numFmtId="0" fontId="107" fillId="0" borderId="0" xfId="142" applyFont="1" applyFill="1" applyAlignment="1">
      <alignment vertical="center"/>
    </xf>
    <xf numFmtId="0" fontId="107" fillId="62" borderId="0" xfId="142" applyFont="1" applyFill="1" applyAlignment="1">
      <alignment vertical="center"/>
    </xf>
    <xf numFmtId="0" fontId="107" fillId="0" borderId="0" xfId="142" applyNumberFormat="1" applyFont="1" applyAlignment="1">
      <alignment horizontal="center" vertical="center"/>
    </xf>
    <xf numFmtId="199" fontId="107" fillId="0" borderId="0" xfId="142" applyNumberFormat="1" applyFont="1" applyAlignment="1">
      <alignment vertical="center"/>
    </xf>
    <xf numFmtId="0" fontId="109" fillId="0" borderId="0" xfId="142" applyFont="1" applyAlignment="1">
      <alignment vertical="center" shrinkToFit="1"/>
    </xf>
    <xf numFmtId="0" fontId="107" fillId="0" borderId="0" xfId="142" applyFont="1" applyAlignment="1">
      <alignment vertical="center" shrinkToFit="1"/>
    </xf>
    <xf numFmtId="176" fontId="128" fillId="76" borderId="0" xfId="146" applyNumberFormat="1" applyFont="1" applyFill="1" applyAlignment="1" applyProtection="1">
      <alignment vertical="center"/>
      <protection locked="0"/>
    </xf>
    <xf numFmtId="0" fontId="109" fillId="75" borderId="116" xfId="146" applyFont="1" applyFill="1" applyBorder="1" applyAlignment="1" applyProtection="1">
      <alignment horizontal="center" vertical="center"/>
      <protection locked="0"/>
    </xf>
    <xf numFmtId="41" fontId="107" fillId="75" borderId="87" xfId="145" applyFont="1" applyFill="1" applyBorder="1" applyAlignment="1" applyProtection="1">
      <alignment horizontal="center" vertical="center"/>
      <protection locked="0"/>
    </xf>
    <xf numFmtId="41" fontId="107" fillId="75" borderId="89" xfId="145" applyFont="1" applyFill="1" applyBorder="1" applyAlignment="1" applyProtection="1">
      <alignment horizontal="center" vertical="center"/>
      <protection locked="0"/>
    </xf>
    <xf numFmtId="41" fontId="107" fillId="77" borderId="89" xfId="145" applyFont="1" applyFill="1" applyBorder="1" applyAlignment="1" applyProtection="1">
      <alignment horizontal="center" vertical="center"/>
      <protection locked="0"/>
    </xf>
    <xf numFmtId="41" fontId="107" fillId="61" borderId="89" xfId="145" applyFont="1" applyFill="1" applyBorder="1" applyAlignment="1" applyProtection="1">
      <alignment horizontal="center" vertical="center"/>
      <protection locked="0"/>
    </xf>
    <xf numFmtId="41" fontId="107" fillId="79" borderId="89" xfId="145" applyFont="1" applyFill="1" applyBorder="1" applyAlignment="1" applyProtection="1">
      <alignment horizontal="center" vertical="center"/>
      <protection locked="0"/>
    </xf>
    <xf numFmtId="208" fontId="107" fillId="79" borderId="89" xfId="145" applyNumberFormat="1" applyFont="1" applyFill="1" applyBorder="1" applyAlignment="1" applyProtection="1">
      <alignment horizontal="center" vertical="center"/>
      <protection locked="0"/>
    </xf>
    <xf numFmtId="2" fontId="107" fillId="79" borderId="89" xfId="145" applyNumberFormat="1" applyFont="1" applyFill="1" applyBorder="1" applyAlignment="1" applyProtection="1">
      <alignment horizontal="center" vertical="center"/>
      <protection locked="0"/>
    </xf>
    <xf numFmtId="41" fontId="107" fillId="75" borderId="13" xfId="145" applyFont="1" applyFill="1" applyBorder="1" applyAlignment="1" applyProtection="1">
      <alignment horizontal="center" vertical="center"/>
      <protection locked="0"/>
    </xf>
    <xf numFmtId="41" fontId="107" fillId="75" borderId="9" xfId="145" applyFont="1" applyFill="1" applyBorder="1" applyAlignment="1" applyProtection="1">
      <alignment horizontal="center" vertical="center"/>
      <protection locked="0"/>
    </xf>
    <xf numFmtId="41" fontId="107" fillId="77" borderId="9" xfId="145" applyFont="1" applyFill="1" applyBorder="1" applyAlignment="1" applyProtection="1">
      <alignment horizontal="center" vertical="center"/>
      <protection locked="0"/>
    </xf>
    <xf numFmtId="41" fontId="107" fillId="61" borderId="9" xfId="145" applyFont="1" applyFill="1" applyBorder="1" applyAlignment="1" applyProtection="1">
      <alignment horizontal="center" vertical="center"/>
      <protection locked="0"/>
    </xf>
    <xf numFmtId="41" fontId="107" fillId="79" borderId="9" xfId="145" applyFont="1" applyFill="1" applyBorder="1" applyAlignment="1" applyProtection="1">
      <alignment horizontal="center" vertical="center"/>
      <protection locked="0"/>
    </xf>
    <xf numFmtId="208" fontId="107" fillId="79" borderId="9" xfId="145" applyNumberFormat="1" applyFont="1" applyFill="1" applyBorder="1" applyAlignment="1" applyProtection="1">
      <alignment horizontal="center" vertical="center"/>
      <protection locked="0"/>
    </xf>
    <xf numFmtId="41" fontId="107" fillId="75" borderId="116" xfId="145" applyFont="1" applyFill="1" applyBorder="1" applyAlignment="1" applyProtection="1">
      <alignment horizontal="center" vertical="center"/>
      <protection locked="0"/>
    </xf>
    <xf numFmtId="41" fontId="107" fillId="75" borderId="117" xfId="145" applyFont="1" applyFill="1" applyBorder="1" applyAlignment="1" applyProtection="1">
      <alignment horizontal="center" vertical="center"/>
      <protection locked="0"/>
    </xf>
    <xf numFmtId="41" fontId="107" fillId="77" borderId="117" xfId="145" applyFont="1" applyFill="1" applyBorder="1" applyAlignment="1" applyProtection="1">
      <alignment horizontal="center" vertical="center"/>
      <protection locked="0"/>
    </xf>
    <xf numFmtId="41" fontId="107" fillId="61" borderId="117" xfId="145" applyFont="1" applyFill="1" applyBorder="1" applyAlignment="1" applyProtection="1">
      <alignment horizontal="center" vertical="center"/>
      <protection locked="0"/>
    </xf>
    <xf numFmtId="41" fontId="107" fillId="79" borderId="117" xfId="145" applyFont="1" applyFill="1" applyBorder="1" applyAlignment="1" applyProtection="1">
      <alignment horizontal="center" vertical="center"/>
      <protection locked="0"/>
    </xf>
    <xf numFmtId="208" fontId="107" fillId="79" borderId="117" xfId="145" applyNumberFormat="1" applyFont="1" applyFill="1" applyBorder="1" applyAlignment="1" applyProtection="1">
      <alignment horizontal="center" vertical="center"/>
      <protection locked="0"/>
    </xf>
    <xf numFmtId="41" fontId="107" fillId="75" borderId="92" xfId="145" applyFont="1" applyFill="1" applyBorder="1" applyAlignment="1" applyProtection="1">
      <alignment horizontal="center" vertical="center"/>
      <protection locked="0"/>
    </xf>
    <xf numFmtId="41" fontId="107" fillId="75" borderId="41" xfId="145" applyFont="1" applyFill="1" applyBorder="1" applyAlignment="1" applyProtection="1">
      <alignment horizontal="center" vertical="center"/>
      <protection locked="0"/>
    </xf>
    <xf numFmtId="41" fontId="107" fillId="77" borderId="41" xfId="145" applyFont="1" applyFill="1" applyBorder="1" applyAlignment="1" applyProtection="1">
      <alignment horizontal="center" vertical="center"/>
      <protection locked="0"/>
    </xf>
    <xf numFmtId="41" fontId="107" fillId="61" borderId="41" xfId="145" applyFont="1" applyFill="1" applyBorder="1" applyAlignment="1" applyProtection="1">
      <alignment horizontal="center" vertical="center"/>
      <protection locked="0"/>
    </xf>
    <xf numFmtId="41" fontId="107" fillId="79" borderId="41" xfId="145" applyFont="1" applyFill="1" applyBorder="1" applyAlignment="1" applyProtection="1">
      <alignment horizontal="center" vertical="center"/>
      <protection locked="0"/>
    </xf>
    <xf numFmtId="208" fontId="107" fillId="79" borderId="41" xfId="145" applyNumberFormat="1" applyFont="1" applyFill="1" applyBorder="1" applyAlignment="1" applyProtection="1">
      <alignment horizontal="center" vertical="center"/>
      <protection locked="0"/>
    </xf>
    <xf numFmtId="41" fontId="107" fillId="75" borderId="57" xfId="145" applyFont="1" applyFill="1" applyBorder="1" applyAlignment="1" applyProtection="1">
      <alignment horizontal="center" vertical="center"/>
      <protection locked="0"/>
    </xf>
    <xf numFmtId="41" fontId="107" fillId="75" borderId="33" xfId="145" applyFont="1" applyFill="1" applyBorder="1" applyAlignment="1" applyProtection="1">
      <alignment horizontal="center" vertical="center"/>
      <protection locked="0"/>
    </xf>
    <xf numFmtId="41" fontId="107" fillId="77" borderId="33" xfId="145" applyFont="1" applyFill="1" applyBorder="1" applyAlignment="1" applyProtection="1">
      <alignment horizontal="center" vertical="center"/>
      <protection locked="0"/>
    </xf>
    <xf numFmtId="41" fontId="107" fillId="61" borderId="33" xfId="145" applyFont="1" applyFill="1" applyBorder="1" applyAlignment="1" applyProtection="1">
      <alignment horizontal="center" vertical="center"/>
      <protection locked="0"/>
    </xf>
    <xf numFmtId="41" fontId="107" fillId="79" borderId="33" xfId="145" applyFont="1" applyFill="1" applyBorder="1" applyAlignment="1" applyProtection="1">
      <alignment horizontal="center" vertical="center"/>
      <protection locked="0"/>
    </xf>
    <xf numFmtId="208" fontId="107" fillId="79" borderId="33" xfId="145" applyNumberFormat="1" applyFont="1" applyFill="1" applyBorder="1" applyAlignment="1" applyProtection="1">
      <alignment horizontal="center" vertical="center"/>
      <protection locked="0"/>
    </xf>
    <xf numFmtId="176" fontId="109" fillId="76" borderId="0" xfId="146" applyNumberFormat="1" applyFont="1" applyFill="1" applyAlignment="1" applyProtection="1">
      <alignment horizontal="left" vertical="center"/>
      <protection locked="0"/>
    </xf>
    <xf numFmtId="0" fontId="117" fillId="76" borderId="0" xfId="147" applyFont="1" applyFill="1" applyAlignment="1">
      <alignment vertical="center"/>
    </xf>
    <xf numFmtId="0" fontId="107" fillId="76" borderId="0" xfId="146" applyFont="1" applyFill="1" applyAlignment="1" applyProtection="1">
      <alignment vertical="center"/>
      <protection locked="0"/>
    </xf>
    <xf numFmtId="176" fontId="109" fillId="76" borderId="0" xfId="146" applyNumberFormat="1" applyFont="1" applyFill="1" applyAlignment="1" applyProtection="1">
      <alignment vertical="center"/>
      <protection locked="0"/>
    </xf>
    <xf numFmtId="176" fontId="109" fillId="76" borderId="0" xfId="146" applyNumberFormat="1" applyFont="1" applyFill="1" applyAlignment="1" applyProtection="1">
      <alignment horizontal="center" vertical="center"/>
      <protection locked="0"/>
    </xf>
    <xf numFmtId="0" fontId="130" fillId="76" borderId="0" xfId="143" applyFont="1" applyFill="1" applyAlignment="1" applyProtection="1">
      <alignment horizontal="center" vertical="center"/>
      <protection locked="0"/>
    </xf>
    <xf numFmtId="0" fontId="107" fillId="0" borderId="0" xfId="146" applyFont="1" applyAlignment="1" applyProtection="1">
      <alignment vertical="center"/>
      <protection locked="0"/>
    </xf>
    <xf numFmtId="0" fontId="109" fillId="76" borderId="0" xfId="142" applyNumberFormat="1" applyFont="1" applyFill="1" applyBorder="1" applyAlignment="1">
      <alignment vertical="center" wrapText="1"/>
    </xf>
    <xf numFmtId="0" fontId="109" fillId="75" borderId="117" xfId="146" applyFont="1" applyFill="1" applyBorder="1" applyAlignment="1" applyProtection="1">
      <alignment horizontal="center" vertical="center"/>
      <protection locked="0"/>
    </xf>
    <xf numFmtId="0" fontId="109" fillId="45" borderId="117" xfId="146" applyFont="1" applyFill="1" applyBorder="1" applyAlignment="1" applyProtection="1">
      <alignment horizontal="center" vertical="center"/>
      <protection locked="0"/>
    </xf>
    <xf numFmtId="0" fontId="109" fillId="61" borderId="10" xfId="146" applyFont="1" applyFill="1" applyBorder="1" applyAlignment="1" applyProtection="1">
      <alignment horizontal="center" vertical="center"/>
      <protection locked="0"/>
    </xf>
    <xf numFmtId="0" fontId="109" fillId="76" borderId="0" xfId="142" applyNumberFormat="1" applyFont="1" applyFill="1" applyBorder="1" applyAlignment="1">
      <alignment vertical="center"/>
    </xf>
    <xf numFmtId="184" fontId="109" fillId="0" borderId="133" xfId="142" applyNumberFormat="1" applyFont="1" applyFill="1" applyBorder="1" applyAlignment="1">
      <alignment horizontal="center" vertical="center"/>
    </xf>
    <xf numFmtId="184" fontId="109" fillId="0" borderId="128" xfId="142" applyNumberFormat="1" applyFont="1" applyFill="1" applyBorder="1" applyAlignment="1">
      <alignment horizontal="center" vertical="center"/>
    </xf>
    <xf numFmtId="184" fontId="109" fillId="0" borderId="134" xfId="142" applyNumberFormat="1" applyFont="1" applyFill="1" applyBorder="1" applyAlignment="1">
      <alignment horizontal="center" vertical="center"/>
    </xf>
    <xf numFmtId="184" fontId="125" fillId="0" borderId="131" xfId="138" applyNumberFormat="1" applyFont="1" applyFill="1" applyBorder="1" applyAlignment="1">
      <alignment horizontal="center" vertical="center"/>
    </xf>
    <xf numFmtId="184" fontId="125" fillId="0" borderId="128" xfId="138" applyNumberFormat="1" applyFont="1" applyFill="1" applyBorder="1" applyAlignment="1">
      <alignment horizontal="center" vertical="center"/>
    </xf>
    <xf numFmtId="0" fontId="109" fillId="76" borderId="0" xfId="142" applyFont="1" applyFill="1" applyBorder="1" applyAlignment="1">
      <alignment vertical="center"/>
    </xf>
    <xf numFmtId="184" fontId="125" fillId="0" borderId="129" xfId="138" applyNumberFormat="1" applyFont="1" applyFill="1" applyBorder="1" applyAlignment="1">
      <alignment horizontal="center" vertical="center"/>
    </xf>
    <xf numFmtId="0" fontId="107" fillId="76" borderId="0" xfId="146" applyFont="1" applyFill="1" applyBorder="1" applyAlignment="1" applyProtection="1">
      <alignment horizontal="center" vertical="center"/>
      <protection locked="0"/>
    </xf>
    <xf numFmtId="176" fontId="131" fillId="76" borderId="0" xfId="146" applyNumberFormat="1" applyFont="1" applyFill="1" applyAlignment="1" applyProtection="1">
      <alignment horizontal="left" vertical="center"/>
      <protection locked="0"/>
    </xf>
    <xf numFmtId="0" fontId="131" fillId="68" borderId="0" xfId="0" applyFont="1" applyFill="1" applyBorder="1" applyAlignment="1" applyProtection="1">
      <alignment vertical="center"/>
      <protection locked="0"/>
    </xf>
    <xf numFmtId="0" fontId="129" fillId="68" borderId="0" xfId="139" applyFont="1" applyFill="1" applyBorder="1" applyAlignment="1">
      <alignment horizontal="center" vertical="center"/>
    </xf>
    <xf numFmtId="0" fontId="129" fillId="68" borderId="2" xfId="139" applyFont="1" applyFill="1" applyBorder="1" applyAlignment="1">
      <alignment horizontal="center" vertical="center"/>
    </xf>
    <xf numFmtId="0" fontId="112" fillId="68" borderId="0" xfId="138" applyFont="1" applyFill="1" applyAlignment="1">
      <alignment horizontal="center" vertical="center"/>
    </xf>
    <xf numFmtId="0" fontId="112" fillId="0" borderId="0" xfId="138" applyFont="1" applyAlignment="1">
      <alignment horizontal="center" vertical="center"/>
    </xf>
    <xf numFmtId="0" fontId="107" fillId="68" borderId="0" xfId="138" applyFont="1" applyFill="1" applyAlignment="1" applyProtection="1">
      <alignment vertical="center"/>
      <protection locked="0"/>
    </xf>
    <xf numFmtId="193" fontId="109" fillId="63" borderId="75" xfId="138" applyNumberFormat="1" applyFont="1" applyFill="1" applyBorder="1" applyAlignment="1">
      <alignment horizontal="center" vertical="center"/>
    </xf>
    <xf numFmtId="193" fontId="109" fillId="63" borderId="76" xfId="138" applyNumberFormat="1" applyFont="1" applyFill="1" applyBorder="1" applyAlignment="1">
      <alignment horizontal="center" vertical="center"/>
    </xf>
    <xf numFmtId="193" fontId="109" fillId="63" borderId="77" xfId="138" applyNumberFormat="1" applyFont="1" applyFill="1" applyBorder="1" applyAlignment="1">
      <alignment horizontal="center" vertical="center"/>
    </xf>
    <xf numFmtId="194" fontId="107" fillId="63" borderId="75" xfId="138" applyNumberFormat="1" applyFont="1" applyFill="1" applyBorder="1" applyAlignment="1">
      <alignment horizontal="center" vertical="center"/>
    </xf>
    <xf numFmtId="194" fontId="107" fillId="63" borderId="78" xfId="138" applyNumberFormat="1" applyFont="1" applyFill="1" applyBorder="1" applyAlignment="1">
      <alignment horizontal="center" vertical="center"/>
    </xf>
    <xf numFmtId="194" fontId="107" fillId="63" borderId="79" xfId="138" applyNumberFormat="1" applyFont="1" applyFill="1" applyBorder="1" applyAlignment="1">
      <alignment horizontal="center" vertical="center"/>
    </xf>
    <xf numFmtId="194" fontId="107" fillId="63" borderId="76" xfId="138" applyNumberFormat="1" applyFont="1" applyFill="1" applyBorder="1" applyAlignment="1">
      <alignment horizontal="center" vertical="center"/>
    </xf>
    <xf numFmtId="194" fontId="107" fillId="63" borderId="167" xfId="138" applyNumberFormat="1" applyFont="1" applyFill="1" applyBorder="1" applyAlignment="1">
      <alignment horizontal="center" vertical="center"/>
    </xf>
    <xf numFmtId="194" fontId="107" fillId="63" borderId="80" xfId="138" applyNumberFormat="1" applyFont="1" applyFill="1" applyBorder="1" applyAlignment="1">
      <alignment horizontal="center" vertical="center"/>
    </xf>
    <xf numFmtId="194" fontId="107" fillId="63" borderId="168" xfId="138" applyNumberFormat="1" applyFont="1" applyFill="1" applyBorder="1" applyAlignment="1">
      <alignment horizontal="center" vertical="center"/>
    </xf>
    <xf numFmtId="9" fontId="107" fillId="63" borderId="78" xfId="150" applyFont="1" applyFill="1" applyBorder="1" applyAlignment="1">
      <alignment horizontal="center" vertical="center"/>
    </xf>
    <xf numFmtId="9" fontId="107" fillId="63" borderId="81" xfId="150" applyFont="1" applyFill="1" applyBorder="1" applyAlignment="1">
      <alignment horizontal="center" vertical="center"/>
    </xf>
    <xf numFmtId="195" fontId="107" fillId="63" borderId="82" xfId="138" applyNumberFormat="1" applyFont="1" applyFill="1" applyBorder="1" applyAlignment="1">
      <alignment horizontal="center" vertical="center"/>
    </xf>
    <xf numFmtId="0" fontId="110" fillId="0" borderId="0" xfId="138" applyFont="1" applyAlignment="1">
      <alignment horizontal="center" vertical="center"/>
    </xf>
    <xf numFmtId="184" fontId="125" fillId="4" borderId="86" xfId="138" applyNumberFormat="1" applyFont="1" applyFill="1" applyBorder="1" applyAlignment="1">
      <alignment horizontal="center" vertical="center"/>
    </xf>
    <xf numFmtId="1" fontId="109" fillId="4" borderId="87" xfId="138" applyNumberFormat="1" applyFont="1" applyFill="1" applyBorder="1" applyAlignment="1">
      <alignment horizontal="center" vertical="center"/>
    </xf>
    <xf numFmtId="1" fontId="109" fillId="4" borderId="88" xfId="138" applyNumberFormat="1" applyFont="1" applyFill="1" applyBorder="1" applyAlignment="1">
      <alignment horizontal="center" vertical="center"/>
    </xf>
    <xf numFmtId="178" fontId="109" fillId="4" borderId="87" xfId="138" applyNumberFormat="1" applyFont="1" applyFill="1" applyBorder="1" applyAlignment="1">
      <alignment horizontal="center" vertical="center"/>
    </xf>
    <xf numFmtId="178" fontId="109" fillId="4" borderId="88" xfId="138" applyNumberFormat="1" applyFont="1" applyFill="1" applyBorder="1" applyAlignment="1">
      <alignment horizontal="center" vertical="center"/>
    </xf>
    <xf numFmtId="9" fontId="109" fillId="4" borderId="87" xfId="150" applyFont="1" applyFill="1" applyBorder="1" applyAlignment="1">
      <alignment horizontal="center" vertical="center"/>
    </xf>
    <xf numFmtId="196" fontId="109" fillId="4" borderId="90" xfId="138" applyNumberFormat="1" applyFont="1" applyFill="1" applyBorder="1" applyAlignment="1">
      <alignment horizontal="center" vertical="center"/>
    </xf>
    <xf numFmtId="184" fontId="125" fillId="4" borderId="22" xfId="138" applyNumberFormat="1" applyFont="1" applyFill="1" applyBorder="1" applyAlignment="1">
      <alignment horizontal="center" vertical="center"/>
    </xf>
    <xf numFmtId="1" fontId="109" fillId="4" borderId="92" xfId="138" applyNumberFormat="1" applyFont="1" applyFill="1" applyBorder="1" applyAlignment="1">
      <alignment horizontal="center" vertical="center"/>
    </xf>
    <xf numFmtId="1" fontId="109" fillId="4" borderId="25" xfId="138" applyNumberFormat="1" applyFont="1" applyFill="1" applyBorder="1" applyAlignment="1">
      <alignment horizontal="center" vertical="center"/>
    </xf>
    <xf numFmtId="178" fontId="109" fillId="4" borderId="92" xfId="138" applyNumberFormat="1" applyFont="1" applyFill="1" applyBorder="1" applyAlignment="1">
      <alignment horizontal="center" vertical="center"/>
    </xf>
    <xf numFmtId="178" fontId="109" fillId="4" borderId="25" xfId="138" applyNumberFormat="1" applyFont="1" applyFill="1" applyBorder="1" applyAlignment="1">
      <alignment horizontal="center" vertical="center"/>
    </xf>
    <xf numFmtId="9" fontId="109" fillId="4" borderId="92" xfId="150" applyFont="1" applyFill="1" applyBorder="1" applyAlignment="1">
      <alignment horizontal="center" vertical="center"/>
    </xf>
    <xf numFmtId="196" fontId="109" fillId="4" borderId="48" xfId="138" applyNumberFormat="1" applyFont="1" applyFill="1" applyBorder="1" applyAlignment="1">
      <alignment horizontal="center" vertical="center"/>
    </xf>
    <xf numFmtId="184" fontId="125" fillId="4" borderId="96" xfId="138" applyNumberFormat="1" applyFont="1" applyFill="1" applyBorder="1" applyAlignment="1">
      <alignment horizontal="center" vertical="center"/>
    </xf>
    <xf numFmtId="1" fontId="109" fillId="4" borderId="31" xfId="138" applyNumberFormat="1" applyFont="1" applyFill="1" applyBorder="1" applyAlignment="1">
      <alignment horizontal="center" vertical="center"/>
    </xf>
    <xf numFmtId="1" fontId="109" fillId="4" borderId="35" xfId="138" applyNumberFormat="1" applyFont="1" applyFill="1" applyBorder="1" applyAlignment="1">
      <alignment horizontal="center" vertical="center"/>
    </xf>
    <xf numFmtId="178" fontId="109" fillId="4" borderId="31" xfId="138" applyNumberFormat="1" applyFont="1" applyFill="1" applyBorder="1" applyAlignment="1">
      <alignment horizontal="center" vertical="center"/>
    </xf>
    <xf numFmtId="178" fontId="109" fillId="4" borderId="35" xfId="138" applyNumberFormat="1" applyFont="1" applyFill="1" applyBorder="1" applyAlignment="1">
      <alignment horizontal="center" vertical="center"/>
    </xf>
    <xf numFmtId="9" fontId="109" fillId="4" borderId="31" xfId="150" applyFont="1" applyFill="1" applyBorder="1" applyAlignment="1">
      <alignment horizontal="center" vertical="center"/>
    </xf>
    <xf numFmtId="196" fontId="109" fillId="4" borderId="59" xfId="138" applyNumberFormat="1" applyFont="1" applyFill="1" applyBorder="1" applyAlignment="1">
      <alignment horizontal="center" vertical="center"/>
    </xf>
    <xf numFmtId="184" fontId="125" fillId="7" borderId="48" xfId="138" applyNumberFormat="1" applyFont="1" applyFill="1" applyBorder="1" applyAlignment="1">
      <alignment horizontal="center" vertical="center"/>
    </xf>
    <xf numFmtId="1" fontId="109" fillId="7" borderId="92" xfId="138" applyNumberFormat="1" applyFont="1" applyFill="1" applyBorder="1" applyAlignment="1">
      <alignment horizontal="center" vertical="center"/>
    </xf>
    <xf numFmtId="1" fontId="109" fillId="7" borderId="25" xfId="138" applyNumberFormat="1" applyFont="1" applyFill="1" applyBorder="1" applyAlignment="1">
      <alignment horizontal="center" vertical="center"/>
    </xf>
    <xf numFmtId="178" fontId="109" fillId="7" borderId="92" xfId="138" applyNumberFormat="1" applyFont="1" applyFill="1" applyBorder="1" applyAlignment="1">
      <alignment horizontal="center" vertical="center"/>
    </xf>
    <xf numFmtId="178" fontId="109" fillId="7" borderId="25" xfId="138" applyNumberFormat="1" applyFont="1" applyFill="1" applyBorder="1" applyAlignment="1">
      <alignment horizontal="center" vertical="center"/>
    </xf>
    <xf numFmtId="9" fontId="109" fillId="7" borderId="92" xfId="150" applyFont="1" applyFill="1" applyBorder="1" applyAlignment="1">
      <alignment horizontal="center" vertical="center"/>
    </xf>
    <xf numFmtId="196" fontId="109" fillId="7" borderId="48" xfId="138" applyNumberFormat="1" applyFont="1" applyFill="1" applyBorder="1" applyAlignment="1">
      <alignment horizontal="center" vertical="center"/>
    </xf>
    <xf numFmtId="184" fontId="125" fillId="7" borderId="39" xfId="138" applyNumberFormat="1" applyFont="1" applyFill="1" applyBorder="1" applyAlignment="1">
      <alignment horizontal="center" vertical="center"/>
    </xf>
    <xf numFmtId="1" fontId="109" fillId="7" borderId="31" xfId="138" applyNumberFormat="1" applyFont="1" applyFill="1" applyBorder="1" applyAlignment="1">
      <alignment horizontal="center" vertical="center"/>
    </xf>
    <xf numFmtId="1" fontId="109" fillId="7" borderId="35" xfId="138" applyNumberFormat="1" applyFont="1" applyFill="1" applyBorder="1" applyAlignment="1">
      <alignment horizontal="center" vertical="center"/>
    </xf>
    <xf numFmtId="178" fontId="109" fillId="7" borderId="31" xfId="138" applyNumberFormat="1" applyFont="1" applyFill="1" applyBorder="1" applyAlignment="1">
      <alignment horizontal="center" vertical="center"/>
    </xf>
    <xf numFmtId="178" fontId="109" fillId="7" borderId="35" xfId="138" applyNumberFormat="1" applyFont="1" applyFill="1" applyBorder="1" applyAlignment="1">
      <alignment horizontal="center" vertical="center"/>
    </xf>
    <xf numFmtId="9" fontId="109" fillId="7" borderId="31" xfId="150" applyFont="1" applyFill="1" applyBorder="1" applyAlignment="1">
      <alignment horizontal="center" vertical="center"/>
    </xf>
    <xf numFmtId="196" fontId="109" fillId="7" borderId="59" xfId="138" applyNumberFormat="1" applyFont="1" applyFill="1" applyBorder="1" applyAlignment="1">
      <alignment horizontal="center" vertical="center"/>
    </xf>
    <xf numFmtId="0" fontId="132" fillId="68" borderId="1" xfId="138" applyFont="1" applyFill="1" applyBorder="1" applyAlignment="1">
      <alignment horizontal="center" vertical="center"/>
    </xf>
    <xf numFmtId="0" fontId="112" fillId="68" borderId="1" xfId="138" applyFont="1" applyFill="1" applyBorder="1" applyAlignment="1">
      <alignment horizontal="center" vertical="center"/>
    </xf>
    <xf numFmtId="14" fontId="112" fillId="68" borderId="0" xfId="138" applyNumberFormat="1" applyFont="1" applyFill="1" applyBorder="1" applyAlignment="1">
      <alignment horizontal="center" vertical="center"/>
    </xf>
    <xf numFmtId="0" fontId="112" fillId="68" borderId="0" xfId="138" applyFont="1" applyFill="1" applyBorder="1" applyAlignment="1">
      <alignment horizontal="center" vertical="center"/>
    </xf>
    <xf numFmtId="0" fontId="108" fillId="0" borderId="0" xfId="138" applyFont="1" applyAlignment="1">
      <alignment horizontal="center" vertical="center"/>
    </xf>
    <xf numFmtId="0" fontId="108" fillId="0" borderId="30" xfId="138" applyFont="1" applyBorder="1" applyAlignment="1">
      <alignment horizontal="center" vertical="center"/>
    </xf>
    <xf numFmtId="0" fontId="108" fillId="0" borderId="31" xfId="138" applyFont="1" applyBorder="1" applyAlignment="1">
      <alignment horizontal="center" vertical="center"/>
    </xf>
    <xf numFmtId="0" fontId="108" fillId="0" borderId="35" xfId="138" applyFont="1" applyBorder="1" applyAlignment="1">
      <alignment horizontal="center" vertical="center"/>
    </xf>
    <xf numFmtId="0" fontId="108" fillId="2" borderId="31" xfId="138" applyFont="1" applyFill="1" applyBorder="1" applyAlignment="1">
      <alignment horizontal="center" vertical="center"/>
    </xf>
    <xf numFmtId="0" fontId="108" fillId="2" borderId="18" xfId="138" applyFont="1" applyFill="1" applyBorder="1" applyAlignment="1">
      <alignment horizontal="center" vertical="center"/>
    </xf>
    <xf numFmtId="0" fontId="108" fillId="2" borderId="1" xfId="138" applyFont="1" applyFill="1" applyBorder="1" applyAlignment="1">
      <alignment horizontal="center" vertical="center"/>
    </xf>
    <xf numFmtId="0" fontId="108" fillId="2" borderId="32" xfId="138" applyFont="1" applyFill="1" applyBorder="1" applyAlignment="1">
      <alignment horizontal="center" vertical="center"/>
    </xf>
    <xf numFmtId="0" fontId="108" fillId="2" borderId="33" xfId="138" applyFont="1" applyFill="1" applyBorder="1" applyAlignment="1">
      <alignment horizontal="center" vertical="center"/>
    </xf>
    <xf numFmtId="0" fontId="108" fillId="64" borderId="31" xfId="138" applyFont="1" applyFill="1" applyBorder="1" applyAlignment="1">
      <alignment horizontal="center" vertical="center"/>
    </xf>
    <xf numFmtId="0" fontId="108" fillId="64" borderId="35" xfId="138" applyFont="1" applyFill="1" applyBorder="1" applyAlignment="1">
      <alignment horizontal="center" vertical="center"/>
    </xf>
    <xf numFmtId="0" fontId="114" fillId="0" borderId="40" xfId="138" applyFont="1" applyBorder="1" applyAlignment="1">
      <alignment horizontal="center" vertical="center"/>
    </xf>
    <xf numFmtId="0" fontId="114" fillId="0" borderId="92" xfId="138" applyFont="1" applyBorder="1" applyAlignment="1">
      <alignment horizontal="center" vertical="center"/>
    </xf>
    <xf numFmtId="0" fontId="114" fillId="0" borderId="92" xfId="138" applyFont="1" applyBorder="1" applyAlignment="1" applyProtection="1">
      <alignment horizontal="center" vertical="center"/>
      <protection locked="0"/>
    </xf>
    <xf numFmtId="0" fontId="108" fillId="0" borderId="8" xfId="138" applyFont="1" applyBorder="1" applyAlignment="1">
      <alignment horizontal="center" vertical="center"/>
    </xf>
    <xf numFmtId="0" fontId="108" fillId="0" borderId="92" xfId="138" applyFont="1" applyBorder="1" applyAlignment="1">
      <alignment horizontal="center" vertical="center"/>
    </xf>
    <xf numFmtId="0" fontId="108" fillId="0" borderId="9" xfId="138" applyFont="1" applyBorder="1" applyAlignment="1">
      <alignment horizontal="center" vertical="center"/>
    </xf>
    <xf numFmtId="0" fontId="108" fillId="0" borderId="25" xfId="138" applyFont="1" applyBorder="1" applyAlignment="1">
      <alignment horizontal="center" vertical="center"/>
    </xf>
    <xf numFmtId="0" fontId="114" fillId="2" borderId="92" xfId="138" applyFont="1" applyFill="1" applyBorder="1" applyAlignment="1">
      <alignment horizontal="center" vertical="center"/>
    </xf>
    <xf numFmtId="0" fontId="114" fillId="2" borderId="92" xfId="138" applyNumberFormat="1" applyFont="1" applyFill="1" applyBorder="1" applyAlignment="1">
      <alignment horizontal="center" vertical="center"/>
    </xf>
    <xf numFmtId="0" fontId="114" fillId="2" borderId="40" xfId="138" applyFont="1" applyFill="1" applyBorder="1" applyAlignment="1">
      <alignment horizontal="center" vertical="center"/>
    </xf>
    <xf numFmtId="0" fontId="114" fillId="2" borderId="103" xfId="138" applyFont="1" applyFill="1" applyBorder="1" applyAlignment="1">
      <alignment horizontal="center" vertical="center"/>
    </xf>
    <xf numFmtId="0" fontId="114" fillId="2" borderId="41" xfId="138" applyFont="1" applyFill="1" applyBorder="1" applyAlignment="1">
      <alignment horizontal="center" vertical="center"/>
    </xf>
    <xf numFmtId="194" fontId="114" fillId="0" borderId="48" xfId="138" applyNumberFormat="1" applyFont="1" applyFill="1" applyBorder="1" applyAlignment="1">
      <alignment horizontal="center" vertical="center"/>
    </xf>
    <xf numFmtId="197" fontId="122" fillId="64" borderId="92" xfId="140" applyNumberFormat="1" applyFont="1" applyFill="1" applyBorder="1" applyAlignment="1">
      <alignment horizontal="center" vertical="center"/>
    </xf>
    <xf numFmtId="197" fontId="122" fillId="64" borderId="25" xfId="140" applyNumberFormat="1" applyFont="1" applyFill="1" applyBorder="1" applyAlignment="1">
      <alignment horizontal="center" vertical="center"/>
    </xf>
    <xf numFmtId="198" fontId="114" fillId="0" borderId="49" xfId="141" applyNumberFormat="1" applyFont="1" applyBorder="1" applyAlignment="1">
      <alignment horizontal="center" vertical="center"/>
    </xf>
    <xf numFmtId="0" fontId="112" fillId="62" borderId="0" xfId="138" applyFont="1" applyFill="1" applyAlignment="1">
      <alignment horizontal="center" vertical="center"/>
    </xf>
    <xf numFmtId="0" fontId="131" fillId="69" borderId="0" xfId="0" applyFont="1" applyFill="1" applyBorder="1" applyAlignment="1" applyProtection="1">
      <alignment vertical="center"/>
      <protection locked="0"/>
    </xf>
    <xf numFmtId="0" fontId="109" fillId="69" borderId="0" xfId="0" applyFont="1" applyFill="1" applyBorder="1" applyAlignment="1" applyProtection="1">
      <alignment vertical="center"/>
      <protection locked="0"/>
    </xf>
    <xf numFmtId="0" fontId="109" fillId="3" borderId="0" xfId="0" applyFont="1" applyFill="1" applyBorder="1" applyAlignment="1" applyProtection="1">
      <alignment vertical="center"/>
      <protection locked="0"/>
    </xf>
    <xf numFmtId="0" fontId="107" fillId="0" borderId="0" xfId="0" applyFont="1"/>
    <xf numFmtId="0" fontId="107" fillId="3" borderId="0" xfId="0" applyFont="1" applyFill="1"/>
    <xf numFmtId="0" fontId="115" fillId="83" borderId="100" xfId="0" applyFont="1" applyFill="1" applyBorder="1" applyAlignment="1" applyProtection="1">
      <alignment horizontal="center" vertical="center" wrapText="1"/>
      <protection locked="0"/>
    </xf>
    <xf numFmtId="0" fontId="109" fillId="83" borderId="104" xfId="138" applyFont="1" applyFill="1" applyBorder="1" applyAlignment="1">
      <alignment horizontal="center" vertical="center"/>
    </xf>
    <xf numFmtId="0" fontId="109" fillId="72" borderId="6" xfId="142" applyFont="1" applyFill="1" applyBorder="1" applyAlignment="1">
      <alignment horizontal="center" vertical="center" shrinkToFit="1"/>
    </xf>
    <xf numFmtId="0" fontId="109" fillId="72" borderId="4" xfId="142" applyFont="1" applyFill="1" applyBorder="1" applyAlignment="1">
      <alignment horizontal="center" vertical="center"/>
    </xf>
    <xf numFmtId="0" fontId="109" fillId="68" borderId="115" xfId="0" applyFont="1" applyFill="1" applyBorder="1" applyAlignment="1" applyProtection="1">
      <alignment horizontal="center" vertical="center"/>
      <protection locked="0"/>
    </xf>
    <xf numFmtId="0" fontId="109" fillId="68" borderId="117" xfId="0" applyFont="1" applyFill="1" applyBorder="1" applyAlignment="1" applyProtection="1">
      <alignment horizontal="center" vertical="center"/>
      <protection locked="0"/>
    </xf>
    <xf numFmtId="0" fontId="109" fillId="68" borderId="136" xfId="0" applyFont="1" applyFill="1" applyBorder="1" applyAlignment="1" applyProtection="1">
      <alignment horizontal="center" vertical="center"/>
      <protection locked="0"/>
    </xf>
    <xf numFmtId="0" fontId="115" fillId="83" borderId="143" xfId="0" applyFont="1" applyFill="1" applyBorder="1" applyAlignment="1" applyProtection="1">
      <alignment horizontal="center" vertical="center" wrapText="1"/>
      <protection locked="0"/>
    </xf>
    <xf numFmtId="0" fontId="109" fillId="83" borderId="116" xfId="138" applyFont="1" applyFill="1" applyBorder="1" applyAlignment="1">
      <alignment horizontal="center" vertical="center"/>
    </xf>
    <xf numFmtId="0" fontId="109" fillId="83" borderId="117" xfId="138" applyFont="1" applyFill="1" applyBorder="1" applyAlignment="1">
      <alignment horizontal="center" vertical="center"/>
    </xf>
    <xf numFmtId="0" fontId="109" fillId="83" borderId="139" xfId="138" applyFont="1" applyFill="1" applyBorder="1" applyAlignment="1">
      <alignment horizontal="center" vertical="center"/>
    </xf>
    <xf numFmtId="0" fontId="109" fillId="83" borderId="136" xfId="138" applyFont="1" applyFill="1" applyBorder="1" applyAlignment="1">
      <alignment horizontal="center" vertical="center"/>
    </xf>
    <xf numFmtId="0" fontId="109" fillId="80" borderId="116" xfId="146" applyFont="1" applyFill="1" applyBorder="1" applyAlignment="1" applyProtection="1">
      <alignment horizontal="center" vertical="center"/>
      <protection locked="0"/>
    </xf>
    <xf numFmtId="0" fontId="109" fillId="80" borderId="117" xfId="146" applyFont="1" applyFill="1" applyBorder="1" applyAlignment="1" applyProtection="1">
      <alignment horizontal="center" vertical="center"/>
      <protection locked="0"/>
    </xf>
    <xf numFmtId="0" fontId="109" fillId="80" borderId="136" xfId="146" applyFont="1" applyFill="1" applyBorder="1" applyAlignment="1" applyProtection="1">
      <alignment horizontal="center" vertical="center"/>
      <protection locked="0"/>
    </xf>
    <xf numFmtId="0" fontId="111" fillId="81" borderId="115" xfId="142" applyFont="1" applyFill="1" applyBorder="1" applyAlignment="1">
      <alignment horizontal="center" vertical="center" shrinkToFit="1"/>
    </xf>
    <xf numFmtId="0" fontId="111" fillId="81" borderId="117" xfId="142" applyFont="1" applyFill="1" applyBorder="1" applyAlignment="1">
      <alignment horizontal="center" vertical="center" shrinkToFit="1"/>
    </xf>
    <xf numFmtId="0" fontId="111" fillId="81" borderId="118" xfId="142" applyFont="1" applyFill="1" applyBorder="1" applyAlignment="1">
      <alignment horizontal="center" vertical="center" shrinkToFit="1"/>
    </xf>
    <xf numFmtId="0" fontId="109" fillId="72" borderId="116" xfId="142" applyFont="1" applyFill="1" applyBorder="1" applyAlignment="1">
      <alignment horizontal="center" vertical="center" shrinkToFit="1"/>
    </xf>
    <xf numFmtId="0" fontId="109" fillId="72" borderId="117" xfId="142" applyFont="1" applyFill="1" applyBorder="1" applyAlignment="1">
      <alignment horizontal="center" vertical="center" shrinkToFit="1"/>
    </xf>
    <xf numFmtId="0" fontId="115" fillId="70" borderId="117" xfId="142" applyFont="1" applyFill="1" applyBorder="1" applyAlignment="1">
      <alignment horizontal="center" vertical="center" shrinkToFit="1"/>
    </xf>
    <xf numFmtId="0" fontId="109" fillId="43" borderId="117" xfId="142" applyFont="1" applyFill="1" applyBorder="1" applyAlignment="1">
      <alignment horizontal="center" vertical="center" shrinkToFit="1"/>
    </xf>
    <xf numFmtId="0" fontId="109" fillId="43" borderId="118" xfId="142" applyFont="1" applyFill="1" applyBorder="1" applyAlignment="1">
      <alignment horizontal="center" vertical="center" shrinkToFit="1"/>
    </xf>
    <xf numFmtId="205" fontId="109" fillId="67" borderId="87" xfId="0" applyNumberFormat="1" applyFont="1" applyFill="1" applyBorder="1" applyAlignment="1">
      <alignment horizontal="center"/>
    </xf>
    <xf numFmtId="0" fontId="111" fillId="67" borderId="124" xfId="0" applyNumberFormat="1" applyFont="1" applyFill="1" applyBorder="1" applyAlignment="1" applyProtection="1">
      <alignment vertical="center"/>
      <protection locked="0"/>
    </xf>
    <xf numFmtId="205" fontId="109" fillId="67" borderId="13" xfId="0" applyNumberFormat="1" applyFont="1" applyFill="1" applyBorder="1" applyAlignment="1">
      <alignment horizontal="center"/>
    </xf>
    <xf numFmtId="0" fontId="111" fillId="67" borderId="14" xfId="0" applyNumberFormat="1" applyFont="1" applyFill="1" applyBorder="1" applyAlignment="1" applyProtection="1">
      <alignment vertical="center"/>
      <protection locked="0"/>
    </xf>
    <xf numFmtId="205" fontId="109" fillId="67" borderId="116" xfId="0" applyNumberFormat="1" applyFont="1" applyFill="1" applyBorder="1" applyAlignment="1">
      <alignment horizontal="center"/>
    </xf>
    <xf numFmtId="0" fontId="111" fillId="67" borderId="136" xfId="0" applyNumberFormat="1" applyFont="1" applyFill="1" applyBorder="1" applyAlignment="1" applyProtection="1">
      <alignment vertical="center"/>
      <protection locked="0"/>
    </xf>
    <xf numFmtId="205" fontId="109" fillId="67" borderId="92" xfId="0" applyNumberFormat="1" applyFont="1" applyFill="1" applyBorder="1" applyAlignment="1">
      <alignment horizontal="center"/>
    </xf>
    <xf numFmtId="0" fontId="111" fillId="67" borderId="103" xfId="0" applyNumberFormat="1" applyFont="1" applyFill="1" applyBorder="1" applyAlignment="1" applyProtection="1">
      <alignment vertical="center"/>
      <protection locked="0"/>
    </xf>
    <xf numFmtId="205" fontId="109" fillId="67" borderId="142" xfId="0" applyNumberFormat="1" applyFont="1" applyFill="1" applyBorder="1" applyAlignment="1">
      <alignment horizontal="center"/>
    </xf>
    <xf numFmtId="0" fontId="111" fillId="67" borderId="144" xfId="0" applyNumberFormat="1" applyFont="1" applyFill="1" applyBorder="1" applyAlignment="1" applyProtection="1">
      <alignment vertical="center"/>
      <protection locked="0"/>
    </xf>
    <xf numFmtId="205" fontId="109" fillId="67" borderId="31" xfId="0" applyNumberFormat="1" applyFont="1" applyFill="1" applyBorder="1" applyAlignment="1">
      <alignment horizontal="center"/>
    </xf>
    <xf numFmtId="0" fontId="111" fillId="67" borderId="107" xfId="0" applyNumberFormat="1" applyFont="1" applyFill="1" applyBorder="1" applyAlignment="1" applyProtection="1">
      <alignment vertical="center"/>
      <protection locked="0"/>
    </xf>
    <xf numFmtId="181" fontId="116" fillId="62" borderId="41" xfId="0" applyNumberFormat="1" applyFont="1" applyFill="1" applyBorder="1" applyAlignment="1" applyProtection="1">
      <alignment vertical="center"/>
      <protection locked="0"/>
    </xf>
    <xf numFmtId="0" fontId="111" fillId="85" borderId="54" xfId="0" applyNumberFormat="1" applyFont="1" applyFill="1" applyBorder="1" applyAlignment="1" applyProtection="1">
      <alignment vertical="center"/>
      <protection locked="0"/>
    </xf>
    <xf numFmtId="181" fontId="119" fillId="85" borderId="54" xfId="0" applyNumberFormat="1" applyFont="1" applyFill="1" applyBorder="1" applyAlignment="1" applyProtection="1">
      <alignment vertical="center"/>
      <protection locked="0"/>
    </xf>
    <xf numFmtId="0" fontId="107" fillId="85" borderId="54" xfId="0" applyFont="1" applyFill="1" applyBorder="1"/>
    <xf numFmtId="181" fontId="109" fillId="85" borderId="54" xfId="0" applyNumberFormat="1" applyFont="1" applyFill="1" applyBorder="1" applyAlignment="1" applyProtection="1">
      <alignment horizontal="center" vertical="center"/>
      <protection locked="0"/>
    </xf>
    <xf numFmtId="206" fontId="109" fillId="85" borderId="54" xfId="0" applyNumberFormat="1" applyFont="1" applyFill="1" applyBorder="1"/>
    <xf numFmtId="206" fontId="107" fillId="85" borderId="54" xfId="0" applyNumberFormat="1" applyFont="1" applyFill="1" applyBorder="1"/>
    <xf numFmtId="207" fontId="107" fillId="85" borderId="54" xfId="0" applyNumberFormat="1" applyFont="1" applyFill="1" applyBorder="1"/>
    <xf numFmtId="41" fontId="107" fillId="85" borderId="54" xfId="145" applyFont="1" applyFill="1" applyBorder="1" applyAlignment="1"/>
    <xf numFmtId="206" fontId="107" fillId="85" borderId="108" xfId="0" applyNumberFormat="1" applyFont="1" applyFill="1" applyBorder="1"/>
    <xf numFmtId="0" fontId="115" fillId="83" borderId="96" xfId="0" applyFont="1" applyFill="1" applyBorder="1" applyAlignment="1" applyProtection="1">
      <alignment horizontal="center" vertical="center" wrapText="1"/>
      <protection locked="0"/>
    </xf>
    <xf numFmtId="0" fontId="109" fillId="0" borderId="33" xfId="138" applyFont="1" applyBorder="1" applyAlignment="1">
      <alignment horizontal="center" vertical="center"/>
    </xf>
    <xf numFmtId="0" fontId="109" fillId="83" borderId="55" xfId="138" applyFont="1" applyFill="1" applyBorder="1" applyAlignment="1">
      <alignment horizontal="center" vertical="center"/>
    </xf>
    <xf numFmtId="0" fontId="109" fillId="83" borderId="33" xfId="138" applyFont="1" applyFill="1" applyBorder="1" applyAlignment="1">
      <alignment horizontal="center" vertical="center"/>
    </xf>
    <xf numFmtId="0" fontId="109" fillId="83" borderId="58" xfId="138" applyFont="1" applyFill="1" applyBorder="1" applyAlignment="1">
      <alignment horizontal="center" vertical="center"/>
    </xf>
    <xf numFmtId="0" fontId="109" fillId="72" borderId="33" xfId="138" applyFont="1" applyFill="1" applyBorder="1" applyAlignment="1">
      <alignment horizontal="center" vertical="center"/>
    </xf>
    <xf numFmtId="0" fontId="109" fillId="67" borderId="33" xfId="138" applyFont="1" applyFill="1" applyBorder="1" applyAlignment="1">
      <alignment horizontal="center" vertical="center"/>
    </xf>
    <xf numFmtId="0" fontId="109" fillId="61" borderId="33" xfId="146" applyFont="1" applyFill="1" applyBorder="1" applyAlignment="1" applyProtection="1">
      <alignment horizontal="center" vertical="center"/>
      <protection locked="0"/>
    </xf>
    <xf numFmtId="0" fontId="109" fillId="0" borderId="33" xfId="142" applyFont="1" applyFill="1" applyBorder="1" applyAlignment="1">
      <alignment horizontal="center" vertical="center" shrinkToFit="1"/>
    </xf>
    <xf numFmtId="0" fontId="105" fillId="73" borderId="125" xfId="142" applyFont="1" applyFill="1" applyBorder="1" applyAlignment="1">
      <alignment horizontal="center" vertical="center" shrinkToFit="1"/>
    </xf>
    <xf numFmtId="0" fontId="105" fillId="73" borderId="126" xfId="142" applyFont="1" applyFill="1" applyBorder="1" applyAlignment="1">
      <alignment horizontal="center" vertical="center" shrinkToFit="1"/>
    </xf>
    <xf numFmtId="205" fontId="109" fillId="62" borderId="40" xfId="0" applyNumberFormat="1" applyFont="1" applyFill="1" applyBorder="1"/>
    <xf numFmtId="0" fontId="109" fillId="62" borderId="41" xfId="0" applyNumberFormat="1" applyFont="1" applyFill="1" applyBorder="1" applyAlignment="1">
      <alignment horizontal="center" vertical="center"/>
    </xf>
    <xf numFmtId="0" fontId="111" fillId="62" borderId="41" xfId="0" applyNumberFormat="1" applyFont="1" applyFill="1" applyBorder="1" applyAlignment="1" applyProtection="1">
      <alignment vertical="center"/>
      <protection locked="0"/>
    </xf>
    <xf numFmtId="181" fontId="109" fillId="62" borderId="41" xfId="0" applyNumberFormat="1" applyFont="1" applyFill="1" applyBorder="1"/>
    <xf numFmtId="2" fontId="109" fillId="62" borderId="41" xfId="0" applyNumberFormat="1" applyFont="1" applyFill="1" applyBorder="1" applyAlignment="1" applyProtection="1">
      <alignment horizontal="center" vertical="center"/>
      <protection locked="0"/>
    </xf>
    <xf numFmtId="206" fontId="109" fillId="62" borderId="41" xfId="0" applyNumberFormat="1" applyFont="1" applyFill="1" applyBorder="1"/>
    <xf numFmtId="181" fontId="109" fillId="62" borderId="41" xfId="0" applyNumberFormat="1" applyFont="1" applyFill="1" applyBorder="1" applyAlignment="1" applyProtection="1">
      <alignment horizontal="center" vertical="center"/>
      <protection locked="0"/>
    </xf>
    <xf numFmtId="206" fontId="107" fillId="62" borderId="41" xfId="0" applyNumberFormat="1" applyFont="1" applyFill="1" applyBorder="1"/>
    <xf numFmtId="207" fontId="107" fillId="62" borderId="41" xfId="0" applyNumberFormat="1" applyFont="1" applyFill="1" applyBorder="1"/>
    <xf numFmtId="41" fontId="107" fillId="62" borderId="41" xfId="145" applyFont="1" applyFill="1" applyBorder="1" applyAlignment="1"/>
    <xf numFmtId="206" fontId="109" fillId="62" borderId="137" xfId="0" applyNumberFormat="1" applyFont="1" applyFill="1" applyBorder="1"/>
    <xf numFmtId="206" fontId="109" fillId="62" borderId="138" xfId="0" applyNumberFormat="1" applyFont="1" applyFill="1" applyBorder="1"/>
    <xf numFmtId="206" fontId="107" fillId="62" borderId="22" xfId="0" applyNumberFormat="1" applyFont="1" applyFill="1" applyBorder="1"/>
    <xf numFmtId="205" fontId="109" fillId="67" borderId="8" xfId="0" applyNumberFormat="1" applyFont="1" applyFill="1" applyBorder="1"/>
    <xf numFmtId="0" fontId="109" fillId="67" borderId="9" xfId="0" applyNumberFormat="1" applyFont="1" applyFill="1" applyBorder="1" applyAlignment="1">
      <alignment horizontal="center" vertical="center"/>
    </xf>
    <xf numFmtId="0" fontId="111" fillId="67" borderId="9" xfId="0" applyNumberFormat="1" applyFont="1" applyFill="1" applyBorder="1" applyAlignment="1" applyProtection="1">
      <alignment vertical="center"/>
      <protection locked="0"/>
    </xf>
    <xf numFmtId="181" fontId="119" fillId="68" borderId="9" xfId="0" applyNumberFormat="1" applyFont="1" applyFill="1" applyBorder="1" applyAlignment="1" applyProtection="1">
      <alignment vertical="center"/>
      <protection locked="0"/>
    </xf>
    <xf numFmtId="181" fontId="107" fillId="83" borderId="9" xfId="0" applyNumberFormat="1" applyFont="1" applyFill="1" applyBorder="1" applyAlignment="1" applyProtection="1">
      <alignment vertical="center"/>
      <protection locked="0"/>
    </xf>
    <xf numFmtId="2" fontId="107" fillId="83" borderId="9" xfId="0" applyNumberFormat="1" applyFont="1" applyFill="1" applyBorder="1" applyAlignment="1" applyProtection="1">
      <alignment horizontal="center" vertical="center"/>
      <protection locked="0"/>
    </xf>
    <xf numFmtId="206" fontId="107" fillId="83" borderId="9" xfId="0" applyNumberFormat="1" applyFont="1" applyFill="1" applyBorder="1"/>
    <xf numFmtId="41" fontId="118" fillId="82" borderId="12" xfId="145" applyFont="1" applyFill="1" applyBorder="1" applyAlignment="1"/>
    <xf numFmtId="206" fontId="107" fillId="72" borderId="41" xfId="0" applyNumberFormat="1" applyFont="1" applyFill="1" applyBorder="1"/>
    <xf numFmtId="207" fontId="107" fillId="67" borderId="41" xfId="0" applyNumberFormat="1" applyFont="1" applyFill="1" applyBorder="1"/>
    <xf numFmtId="206" fontId="107" fillId="0" borderId="41" xfId="0" applyNumberFormat="1" applyFont="1" applyBorder="1"/>
    <xf numFmtId="206" fontId="107" fillId="61" borderId="41" xfId="0" applyNumberFormat="1" applyFont="1" applyFill="1" applyBorder="1"/>
    <xf numFmtId="206" fontId="107" fillId="77" borderId="41" xfId="0" applyNumberFormat="1" applyFont="1" applyFill="1" applyBorder="1"/>
    <xf numFmtId="206" fontId="107" fillId="78" borderId="41" xfId="0" applyNumberFormat="1" applyFont="1" applyFill="1" applyBorder="1"/>
    <xf numFmtId="41" fontId="107" fillId="0" borderId="41" xfId="145" applyFont="1" applyBorder="1" applyAlignment="1"/>
    <xf numFmtId="206" fontId="105" fillId="73" borderId="137" xfId="0" applyNumberFormat="1" applyFont="1" applyFill="1" applyBorder="1"/>
    <xf numFmtId="206" fontId="105" fillId="73" borderId="138" xfId="0" applyNumberFormat="1" applyFont="1" applyFill="1" applyBorder="1"/>
    <xf numFmtId="206" fontId="107" fillId="0" borderId="22" xfId="0" applyNumberFormat="1" applyFont="1" applyBorder="1"/>
    <xf numFmtId="205" fontId="109" fillId="67" borderId="32" xfId="0" applyNumberFormat="1" applyFont="1" applyFill="1" applyBorder="1"/>
    <xf numFmtId="0" fontId="109" fillId="67" borderId="33" xfId="0" applyNumberFormat="1" applyFont="1" applyFill="1" applyBorder="1" applyAlignment="1">
      <alignment horizontal="center" vertical="center"/>
    </xf>
    <xf numFmtId="0" fontId="111" fillId="67" borderId="33" xfId="0" applyNumberFormat="1" applyFont="1" applyFill="1" applyBorder="1" applyAlignment="1" applyProtection="1">
      <alignment vertical="center"/>
      <protection locked="0"/>
    </xf>
    <xf numFmtId="181" fontId="119" fillId="68" borderId="33" xfId="0" applyNumberFormat="1" applyFont="1" applyFill="1" applyBorder="1" applyAlignment="1" applyProtection="1">
      <alignment vertical="center"/>
      <protection locked="0"/>
    </xf>
    <xf numFmtId="181" fontId="107" fillId="83" borderId="33" xfId="0" applyNumberFormat="1" applyFont="1" applyFill="1" applyBorder="1" applyAlignment="1" applyProtection="1">
      <alignment vertical="center"/>
      <protection locked="0"/>
    </xf>
    <xf numFmtId="2" fontId="107" fillId="83" borderId="33" xfId="0" applyNumberFormat="1" applyFont="1" applyFill="1" applyBorder="1" applyAlignment="1" applyProtection="1">
      <alignment horizontal="center" vertical="center"/>
      <protection locked="0"/>
    </xf>
    <xf numFmtId="206" fontId="107" fillId="83" borderId="33" xfId="0" applyNumberFormat="1" applyFont="1" applyFill="1" applyBorder="1"/>
    <xf numFmtId="41" fontId="118" fillId="82" borderId="18" xfId="145" applyFont="1" applyFill="1" applyBorder="1" applyAlignment="1"/>
    <xf numFmtId="205" fontId="109" fillId="62" borderId="3" xfId="0" applyNumberFormat="1" applyFont="1" applyFill="1" applyBorder="1"/>
    <xf numFmtId="0" fontId="109" fillId="62" borderId="6" xfId="0" applyNumberFormat="1" applyFont="1" applyFill="1" applyBorder="1" applyAlignment="1">
      <alignment horizontal="center" vertical="center"/>
    </xf>
    <xf numFmtId="205" fontId="109" fillId="67" borderId="40" xfId="0" applyNumberFormat="1" applyFont="1" applyFill="1" applyBorder="1"/>
    <xf numFmtId="0" fontId="109" fillId="67" borderId="92" xfId="0" applyNumberFormat="1" applyFont="1" applyFill="1" applyBorder="1" applyAlignment="1">
      <alignment horizontal="center" vertical="center"/>
    </xf>
    <xf numFmtId="205" fontId="109" fillId="67" borderId="30" xfId="0" applyNumberFormat="1" applyFont="1" applyFill="1" applyBorder="1"/>
    <xf numFmtId="0" fontId="109" fillId="67" borderId="31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vertical="center"/>
    </xf>
    <xf numFmtId="0" fontId="107" fillId="3" borderId="0" xfId="0" applyFont="1" applyFill="1" applyAlignment="1">
      <alignment vertical="center"/>
    </xf>
    <xf numFmtId="0" fontId="109" fillId="68" borderId="10" xfId="0" applyFont="1" applyFill="1" applyBorder="1" applyAlignment="1" applyProtection="1">
      <alignment horizontal="center" vertical="center"/>
      <protection locked="0"/>
    </xf>
    <xf numFmtId="0" fontId="115" fillId="83" borderId="105" xfId="0" applyFont="1" applyFill="1" applyBorder="1" applyAlignment="1" applyProtection="1">
      <alignment horizontal="center" vertical="center" wrapText="1"/>
      <protection locked="0"/>
    </xf>
    <xf numFmtId="0" fontId="109" fillId="0" borderId="10" xfId="138" applyFont="1" applyBorder="1" applyAlignment="1">
      <alignment horizontal="center" vertical="center"/>
    </xf>
    <xf numFmtId="0" fontId="109" fillId="83" borderId="157" xfId="138" applyFont="1" applyFill="1" applyBorder="1" applyAlignment="1">
      <alignment horizontal="center" vertical="center"/>
    </xf>
    <xf numFmtId="0" fontId="109" fillId="83" borderId="10" xfId="138" applyFont="1" applyFill="1" applyBorder="1" applyAlignment="1">
      <alignment horizontal="center" vertical="center"/>
    </xf>
    <xf numFmtId="0" fontId="109" fillId="83" borderId="17" xfId="138" applyFont="1" applyFill="1" applyBorder="1" applyAlignment="1">
      <alignment horizontal="center" vertical="center"/>
    </xf>
    <xf numFmtId="0" fontId="109" fillId="72" borderId="10" xfId="138" applyFont="1" applyFill="1" applyBorder="1" applyAlignment="1">
      <alignment horizontal="center" vertical="center"/>
    </xf>
    <xf numFmtId="0" fontId="109" fillId="67" borderId="10" xfId="138" applyFont="1" applyFill="1" applyBorder="1" applyAlignment="1">
      <alignment horizontal="center" vertical="center"/>
    </xf>
    <xf numFmtId="0" fontId="109" fillId="45" borderId="10" xfId="146" applyFont="1" applyFill="1" applyBorder="1" applyAlignment="1" applyProtection="1">
      <alignment horizontal="center" vertical="center"/>
      <protection locked="0"/>
    </xf>
    <xf numFmtId="200" fontId="109" fillId="0" borderId="10" xfId="142" applyNumberFormat="1" applyFont="1" applyBorder="1" applyAlignment="1">
      <alignment horizontal="right" vertical="center" shrinkToFit="1"/>
    </xf>
    <xf numFmtId="0" fontId="109" fillId="0" borderId="10" xfId="142" applyFont="1" applyBorder="1" applyAlignment="1">
      <alignment horizontal="center" vertical="center" shrinkToFit="1"/>
    </xf>
    <xf numFmtId="200" fontId="109" fillId="0" borderId="10" xfId="142" applyNumberFormat="1" applyFont="1" applyFill="1" applyBorder="1" applyAlignment="1">
      <alignment horizontal="right" vertical="center" shrinkToFit="1"/>
    </xf>
    <xf numFmtId="0" fontId="109" fillId="0" borderId="10" xfId="142" applyFont="1" applyFill="1" applyBorder="1" applyAlignment="1">
      <alignment horizontal="center" vertical="center" shrinkToFit="1"/>
    </xf>
    <xf numFmtId="0" fontId="109" fillId="43" borderId="10" xfId="142" applyFont="1" applyFill="1" applyBorder="1" applyAlignment="1">
      <alignment horizontal="center" vertical="center" shrinkToFit="1"/>
    </xf>
    <xf numFmtId="0" fontId="105" fillId="73" borderId="159" xfId="142" applyFont="1" applyFill="1" applyBorder="1" applyAlignment="1">
      <alignment horizontal="center" vertical="center" shrinkToFit="1"/>
    </xf>
    <xf numFmtId="0" fontId="105" fillId="73" borderId="160" xfId="142" applyFont="1" applyFill="1" applyBorder="1" applyAlignment="1">
      <alignment horizontal="center" vertical="center" shrinkToFit="1"/>
    </xf>
    <xf numFmtId="0" fontId="109" fillId="43" borderId="11" xfId="142" applyFont="1" applyFill="1" applyBorder="1" applyAlignment="1">
      <alignment horizontal="center" vertical="center" shrinkToFit="1"/>
    </xf>
    <xf numFmtId="205" fontId="109" fillId="0" borderId="3" xfId="0" applyNumberFormat="1" applyFont="1" applyFill="1" applyBorder="1" applyAlignment="1">
      <alignment vertical="center"/>
    </xf>
    <xf numFmtId="0" fontId="111" fillId="0" borderId="4" xfId="0" applyNumberFormat="1" applyFont="1" applyFill="1" applyBorder="1" applyAlignment="1" applyProtection="1">
      <alignment vertical="center"/>
      <protection locked="0"/>
    </xf>
    <xf numFmtId="181" fontId="116" fillId="0" borderId="4" xfId="0" applyNumberFormat="1" applyFont="1" applyFill="1" applyBorder="1" applyAlignment="1" applyProtection="1">
      <alignment vertical="center"/>
      <protection locked="0"/>
    </xf>
    <xf numFmtId="181" fontId="109" fillId="0" borderId="4" xfId="0" applyNumberFormat="1" applyFont="1" applyFill="1" applyBorder="1" applyAlignment="1">
      <alignment vertical="center"/>
    </xf>
    <xf numFmtId="2" fontId="109" fillId="0" borderId="4" xfId="0" applyNumberFormat="1" applyFont="1" applyFill="1" applyBorder="1" applyAlignment="1" applyProtection="1">
      <alignment horizontal="center" vertical="center"/>
      <protection locked="0"/>
    </xf>
    <xf numFmtId="206" fontId="109" fillId="0" borderId="4" xfId="0" applyNumberFormat="1" applyFont="1" applyFill="1" applyBorder="1" applyAlignment="1">
      <alignment vertical="center"/>
    </xf>
    <xf numFmtId="181" fontId="109" fillId="0" borderId="4" xfId="0" applyNumberFormat="1" applyFont="1" applyFill="1" applyBorder="1" applyAlignment="1" applyProtection="1">
      <alignment horizontal="center" vertical="center"/>
      <protection locked="0"/>
    </xf>
    <xf numFmtId="206" fontId="107" fillId="0" borderId="4" xfId="0" applyNumberFormat="1" applyFont="1" applyFill="1" applyBorder="1" applyAlignment="1">
      <alignment vertical="center"/>
    </xf>
    <xf numFmtId="207" fontId="107" fillId="0" borderId="4" xfId="0" applyNumberFormat="1" applyFont="1" applyFill="1" applyBorder="1" applyAlignment="1">
      <alignment vertical="center"/>
    </xf>
    <xf numFmtId="41" fontId="107" fillId="0" borderId="4" xfId="145" applyFont="1" applyFill="1" applyBorder="1" applyAlignment="1">
      <alignment vertical="center"/>
    </xf>
    <xf numFmtId="206" fontId="107" fillId="0" borderId="5" xfId="0" applyNumberFormat="1" applyFont="1" applyFill="1" applyBorder="1" applyAlignment="1">
      <alignment vertical="center"/>
    </xf>
    <xf numFmtId="205" fontId="109" fillId="0" borderId="8" xfId="0" applyNumberFormat="1" applyFont="1" applyFill="1" applyBorder="1" applyAlignment="1">
      <alignment vertical="center"/>
    </xf>
    <xf numFmtId="0" fontId="111" fillId="0" borderId="9" xfId="0" applyNumberFormat="1" applyFont="1" applyFill="1" applyBorder="1" applyAlignment="1" applyProtection="1">
      <alignment vertical="center"/>
      <protection locked="0"/>
    </xf>
    <xf numFmtId="181" fontId="116" fillId="0" borderId="9" xfId="0" applyNumberFormat="1" applyFont="1" applyFill="1" applyBorder="1" applyAlignment="1" applyProtection="1">
      <alignment vertical="center"/>
      <protection locked="0"/>
    </xf>
    <xf numFmtId="181" fontId="109" fillId="0" borderId="9" xfId="0" applyNumberFormat="1" applyFont="1" applyFill="1" applyBorder="1" applyAlignment="1">
      <alignment vertical="center"/>
    </xf>
    <xf numFmtId="2" fontId="109" fillId="0" borderId="9" xfId="0" applyNumberFormat="1" applyFont="1" applyFill="1" applyBorder="1" applyAlignment="1" applyProtection="1">
      <alignment horizontal="center" vertical="center"/>
      <protection locked="0"/>
    </xf>
    <xf numFmtId="206" fontId="109" fillId="0" borderId="9" xfId="0" applyNumberFormat="1" applyFont="1" applyFill="1" applyBorder="1" applyAlignment="1">
      <alignment vertical="center"/>
    </xf>
    <xf numFmtId="181" fontId="109" fillId="0" borderId="9" xfId="0" applyNumberFormat="1" applyFont="1" applyFill="1" applyBorder="1" applyAlignment="1" applyProtection="1">
      <alignment horizontal="center" vertical="center"/>
      <protection locked="0"/>
    </xf>
    <xf numFmtId="206" fontId="107" fillId="0" borderId="9" xfId="0" applyNumberFormat="1" applyFont="1" applyFill="1" applyBorder="1" applyAlignment="1">
      <alignment vertical="center"/>
    </xf>
    <xf numFmtId="207" fontId="107" fillId="0" borderId="9" xfId="0" applyNumberFormat="1" applyFont="1" applyFill="1" applyBorder="1" applyAlignment="1">
      <alignment vertical="center"/>
    </xf>
    <xf numFmtId="41" fontId="107" fillId="0" borderId="9" xfId="145" applyFont="1" applyFill="1" applyBorder="1" applyAlignment="1">
      <alignment vertical="center"/>
    </xf>
    <xf numFmtId="206" fontId="107" fillId="0" borderId="12" xfId="0" applyNumberFormat="1" applyFont="1" applyFill="1" applyBorder="1" applyAlignment="1">
      <alignment vertical="center"/>
    </xf>
    <xf numFmtId="205" fontId="109" fillId="0" borderId="32" xfId="0" applyNumberFormat="1" applyFont="1" applyFill="1" applyBorder="1" applyAlignment="1">
      <alignment vertical="center"/>
    </xf>
    <xf numFmtId="0" fontId="111" fillId="0" borderId="33" xfId="0" applyNumberFormat="1" applyFont="1" applyFill="1" applyBorder="1" applyAlignment="1" applyProtection="1">
      <alignment vertical="center"/>
      <protection locked="0"/>
    </xf>
    <xf numFmtId="181" fontId="116" fillId="0" borderId="33" xfId="0" applyNumberFormat="1" applyFont="1" applyFill="1" applyBorder="1" applyAlignment="1" applyProtection="1">
      <alignment vertical="center"/>
      <protection locked="0"/>
    </xf>
    <xf numFmtId="181" fontId="109" fillId="0" borderId="33" xfId="0" applyNumberFormat="1" applyFont="1" applyFill="1" applyBorder="1" applyAlignment="1">
      <alignment vertical="center"/>
    </xf>
    <xf numFmtId="2" fontId="109" fillId="0" borderId="33" xfId="0" applyNumberFormat="1" applyFont="1" applyFill="1" applyBorder="1" applyAlignment="1" applyProtection="1">
      <alignment horizontal="center" vertical="center"/>
      <protection locked="0"/>
    </xf>
    <xf numFmtId="206" fontId="109" fillId="0" borderId="33" xfId="0" applyNumberFormat="1" applyFont="1" applyFill="1" applyBorder="1" applyAlignment="1">
      <alignment vertical="center"/>
    </xf>
    <xf numFmtId="181" fontId="109" fillId="0" borderId="33" xfId="0" applyNumberFormat="1" applyFont="1" applyFill="1" applyBorder="1" applyAlignment="1" applyProtection="1">
      <alignment horizontal="center" vertical="center"/>
      <protection locked="0"/>
    </xf>
    <xf numFmtId="206" fontId="107" fillId="0" borderId="33" xfId="0" applyNumberFormat="1" applyFont="1" applyFill="1" applyBorder="1" applyAlignment="1">
      <alignment vertical="center"/>
    </xf>
    <xf numFmtId="207" fontId="107" fillId="0" borderId="33" xfId="0" applyNumberFormat="1" applyFont="1" applyFill="1" applyBorder="1" applyAlignment="1">
      <alignment vertical="center"/>
    </xf>
    <xf numFmtId="41" fontId="107" fillId="0" borderId="33" xfId="145" applyFont="1" applyFill="1" applyBorder="1" applyAlignment="1">
      <alignment vertical="center"/>
    </xf>
    <xf numFmtId="206" fontId="107" fillId="0" borderId="18" xfId="0" applyNumberFormat="1" applyFont="1" applyFill="1" applyBorder="1" applyAlignment="1">
      <alignment vertical="center"/>
    </xf>
    <xf numFmtId="205" fontId="109" fillId="85" borderId="156" xfId="0" applyNumberFormat="1" applyFont="1" applyFill="1" applyBorder="1" applyAlignment="1">
      <alignment horizontal="center" vertical="center"/>
    </xf>
    <xf numFmtId="0" fontId="107" fillId="85" borderId="54" xfId="0" applyFont="1" applyFill="1" applyBorder="1" applyAlignment="1">
      <alignment vertical="center"/>
    </xf>
    <xf numFmtId="206" fontId="109" fillId="85" borderId="54" xfId="0" applyNumberFormat="1" applyFont="1" applyFill="1" applyBorder="1" applyAlignment="1">
      <alignment vertical="center"/>
    </xf>
    <xf numFmtId="206" fontId="107" fillId="85" borderId="54" xfId="0" applyNumberFormat="1" applyFont="1" applyFill="1" applyBorder="1" applyAlignment="1">
      <alignment vertical="center"/>
    </xf>
    <xf numFmtId="207" fontId="107" fillId="85" borderId="54" xfId="0" applyNumberFormat="1" applyFont="1" applyFill="1" applyBorder="1" applyAlignment="1">
      <alignment vertical="center"/>
    </xf>
    <xf numFmtId="41" fontId="107" fillId="85" borderId="54" xfId="145" applyFont="1" applyFill="1" applyBorder="1" applyAlignment="1">
      <alignment vertical="center"/>
    </xf>
    <xf numFmtId="206" fontId="107" fillId="85" borderId="108" xfId="0" applyNumberFormat="1" applyFont="1" applyFill="1" applyBorder="1" applyAlignment="1">
      <alignment vertical="center"/>
    </xf>
    <xf numFmtId="0" fontId="131" fillId="69" borderId="0" xfId="0" applyFont="1" applyFill="1" applyBorder="1" applyAlignment="1" applyProtection="1">
      <alignment horizontal="left" vertical="center" indent="1"/>
      <protection locked="0"/>
    </xf>
    <xf numFmtId="0" fontId="109" fillId="69" borderId="0" xfId="0" applyFont="1" applyFill="1" applyBorder="1" applyAlignment="1" applyProtection="1">
      <alignment horizontal="left" vertical="center" indent="1"/>
      <protection locked="0"/>
    </xf>
    <xf numFmtId="0" fontId="109" fillId="69" borderId="10" xfId="138" applyFont="1" applyFill="1" applyBorder="1" applyAlignment="1">
      <alignment horizontal="center" vertical="center"/>
    </xf>
    <xf numFmtId="0" fontId="109" fillId="87" borderId="10" xfId="138" applyFont="1" applyFill="1" applyBorder="1" applyAlignment="1">
      <alignment horizontal="center" vertical="center"/>
    </xf>
    <xf numFmtId="0" fontId="109" fillId="81" borderId="10" xfId="138" applyFont="1" applyFill="1" applyBorder="1" applyAlignment="1">
      <alignment horizontal="center" vertical="center"/>
    </xf>
    <xf numFmtId="0" fontId="109" fillId="88" borderId="10" xfId="146" applyFont="1" applyFill="1" applyBorder="1" applyAlignment="1" applyProtection="1">
      <alignment horizontal="center" vertical="center"/>
      <protection locked="0"/>
    </xf>
    <xf numFmtId="0" fontId="109" fillId="89" borderId="10" xfId="146" applyFont="1" applyFill="1" applyBorder="1" applyAlignment="1" applyProtection="1">
      <alignment horizontal="center" vertical="center"/>
      <protection locked="0"/>
    </xf>
    <xf numFmtId="0" fontId="109" fillId="90" borderId="10" xfId="146" applyFont="1" applyFill="1" applyBorder="1" applyAlignment="1" applyProtection="1">
      <alignment horizontal="center" vertical="center"/>
      <protection locked="0"/>
    </xf>
    <xf numFmtId="0" fontId="109" fillId="91" borderId="10" xfId="142" applyFont="1" applyFill="1" applyBorder="1" applyAlignment="1">
      <alignment horizontal="center" vertical="center" shrinkToFit="1"/>
    </xf>
    <xf numFmtId="205" fontId="109" fillId="0" borderId="3" xfId="0" applyNumberFormat="1" applyFont="1" applyFill="1" applyBorder="1"/>
    <xf numFmtId="181" fontId="109" fillId="0" borderId="4" xfId="0" applyNumberFormat="1" applyFont="1" applyFill="1" applyBorder="1"/>
    <xf numFmtId="206" fontId="109" fillId="0" borderId="4" xfId="0" applyNumberFormat="1" applyFont="1" applyFill="1" applyBorder="1"/>
    <xf numFmtId="41" fontId="109" fillId="68" borderId="4" xfId="145" applyNumberFormat="1" applyFont="1" applyFill="1" applyBorder="1" applyAlignment="1"/>
    <xf numFmtId="41" fontId="107" fillId="67" borderId="4" xfId="145" applyFont="1" applyFill="1" applyBorder="1" applyAlignment="1"/>
    <xf numFmtId="41" fontId="107" fillId="69" borderId="4" xfId="145" applyFont="1" applyFill="1" applyBorder="1" applyAlignment="1"/>
    <xf numFmtId="41" fontId="107" fillId="87" borderId="4" xfId="145" applyFont="1" applyFill="1" applyBorder="1" applyAlignment="1"/>
    <xf numFmtId="41" fontId="107" fillId="76" borderId="4" xfId="145" applyFont="1" applyFill="1" applyBorder="1" applyAlignment="1"/>
    <xf numFmtId="207" fontId="107" fillId="81" borderId="4" xfId="0" applyNumberFormat="1" applyFont="1" applyFill="1" applyBorder="1"/>
    <xf numFmtId="41" fontId="107" fillId="0" borderId="4" xfId="145" applyFont="1" applyFill="1" applyBorder="1" applyAlignment="1"/>
    <xf numFmtId="41" fontId="107" fillId="88" borderId="4" xfId="145" applyFont="1" applyFill="1" applyBorder="1" applyAlignment="1"/>
    <xf numFmtId="41" fontId="107" fillId="89" borderId="4" xfId="145" applyFont="1" applyFill="1" applyBorder="1" applyAlignment="1"/>
    <xf numFmtId="41" fontId="107" fillId="90" borderId="4" xfId="145" applyFont="1" applyFill="1" applyBorder="1" applyAlignment="1"/>
    <xf numFmtId="41" fontId="107" fillId="68" borderId="4" xfId="145" applyFont="1" applyFill="1" applyBorder="1" applyAlignment="1"/>
    <xf numFmtId="206" fontId="107" fillId="68" borderId="4" xfId="0" applyNumberFormat="1" applyFont="1" applyFill="1" applyBorder="1"/>
    <xf numFmtId="41" fontId="107" fillId="91" borderId="4" xfId="145" applyFont="1" applyFill="1" applyBorder="1" applyAlignment="1"/>
    <xf numFmtId="41" fontId="109" fillId="0" borderId="4" xfId="145" applyFont="1" applyFill="1" applyBorder="1" applyAlignment="1"/>
    <xf numFmtId="41" fontId="107" fillId="0" borderId="5" xfId="145" applyFont="1" applyFill="1" applyBorder="1" applyAlignment="1"/>
    <xf numFmtId="205" fontId="109" fillId="0" borderId="8" xfId="0" applyNumberFormat="1" applyFont="1" applyFill="1" applyBorder="1"/>
    <xf numFmtId="181" fontId="109" fillId="0" borderId="9" xfId="0" applyNumberFormat="1" applyFont="1" applyFill="1" applyBorder="1"/>
    <xf numFmtId="206" fontId="109" fillId="0" borderId="9" xfId="0" applyNumberFormat="1" applyFont="1" applyFill="1" applyBorder="1"/>
    <xf numFmtId="41" fontId="109" fillId="68" borderId="9" xfId="145" applyNumberFormat="1" applyFont="1" applyFill="1" applyBorder="1" applyAlignment="1"/>
    <xf numFmtId="41" fontId="107" fillId="67" borderId="9" xfId="145" applyFont="1" applyFill="1" applyBorder="1" applyAlignment="1"/>
    <xf numFmtId="41" fontId="107" fillId="69" borderId="9" xfId="145" applyFont="1" applyFill="1" applyBorder="1" applyAlignment="1"/>
    <xf numFmtId="41" fontId="107" fillId="87" borderId="9" xfId="145" applyFont="1" applyFill="1" applyBorder="1" applyAlignment="1"/>
    <xf numFmtId="41" fontId="107" fillId="76" borderId="9" xfId="145" applyFont="1" applyFill="1" applyBorder="1" applyAlignment="1"/>
    <xf numFmtId="207" fontId="107" fillId="81" borderId="9" xfId="0" applyNumberFormat="1" applyFont="1" applyFill="1" applyBorder="1"/>
    <xf numFmtId="41" fontId="107" fillId="0" borderId="9" xfId="145" applyFont="1" applyFill="1" applyBorder="1" applyAlignment="1"/>
    <xf numFmtId="41" fontId="107" fillId="88" borderId="9" xfId="145" applyFont="1" applyFill="1" applyBorder="1" applyAlignment="1"/>
    <xf numFmtId="41" fontId="107" fillId="89" borderId="9" xfId="145" applyFont="1" applyFill="1" applyBorder="1" applyAlignment="1"/>
    <xf numFmtId="41" fontId="107" fillId="90" borderId="9" xfId="145" applyFont="1" applyFill="1" applyBorder="1" applyAlignment="1"/>
    <xf numFmtId="41" fontId="107" fillId="68" borderId="9" xfId="145" applyFont="1" applyFill="1" applyBorder="1" applyAlignment="1"/>
    <xf numFmtId="206" fontId="107" fillId="68" borderId="9" xfId="0" applyNumberFormat="1" applyFont="1" applyFill="1" applyBorder="1"/>
    <xf numFmtId="41" fontId="107" fillId="91" borderId="9" xfId="145" applyFont="1" applyFill="1" applyBorder="1" applyAlignment="1"/>
    <xf numFmtId="41" fontId="109" fillId="0" borderId="9" xfId="145" applyFont="1" applyFill="1" applyBorder="1" applyAlignment="1"/>
    <xf numFmtId="41" fontId="107" fillId="0" borderId="12" xfId="145" applyFont="1" applyFill="1" applyBorder="1" applyAlignment="1"/>
    <xf numFmtId="205" fontId="109" fillId="0" borderId="32" xfId="0" applyNumberFormat="1" applyFont="1" applyFill="1" applyBorder="1"/>
    <xf numFmtId="181" fontId="109" fillId="0" borderId="33" xfId="0" applyNumberFormat="1" applyFont="1" applyFill="1" applyBorder="1"/>
    <xf numFmtId="206" fontId="109" fillId="0" borderId="33" xfId="0" applyNumberFormat="1" applyFont="1" applyFill="1" applyBorder="1"/>
    <xf numFmtId="41" fontId="109" fillId="68" borderId="33" xfId="145" applyNumberFormat="1" applyFont="1" applyFill="1" applyBorder="1" applyAlignment="1"/>
    <xf numFmtId="41" fontId="107" fillId="67" borderId="33" xfId="145" applyFont="1" applyFill="1" applyBorder="1" applyAlignment="1"/>
    <xf numFmtId="41" fontId="107" fillId="69" borderId="33" xfId="145" applyFont="1" applyFill="1" applyBorder="1" applyAlignment="1"/>
    <xf numFmtId="41" fontId="107" fillId="87" borderId="33" xfId="145" applyFont="1" applyFill="1" applyBorder="1" applyAlignment="1"/>
    <xf numFmtId="41" fontId="107" fillId="76" borderId="33" xfId="145" applyFont="1" applyFill="1" applyBorder="1" applyAlignment="1"/>
    <xf numFmtId="207" fontId="107" fillId="81" borderId="33" xfId="0" applyNumberFormat="1" applyFont="1" applyFill="1" applyBorder="1"/>
    <xf numFmtId="41" fontId="107" fillId="0" borderId="33" xfId="145" applyFont="1" applyFill="1" applyBorder="1" applyAlignment="1"/>
    <xf numFmtId="41" fontId="107" fillId="88" borderId="33" xfId="145" applyFont="1" applyFill="1" applyBorder="1" applyAlignment="1"/>
    <xf numFmtId="41" fontId="107" fillId="89" borderId="33" xfId="145" applyFont="1" applyFill="1" applyBorder="1" applyAlignment="1"/>
    <xf numFmtId="41" fontId="107" fillId="90" borderId="33" xfId="145" applyFont="1" applyFill="1" applyBorder="1" applyAlignment="1"/>
    <xf numFmtId="41" fontId="107" fillId="68" borderId="33" xfId="145" applyFont="1" applyFill="1" applyBorder="1" applyAlignment="1"/>
    <xf numFmtId="206" fontId="107" fillId="68" borderId="33" xfId="0" applyNumberFormat="1" applyFont="1" applyFill="1" applyBorder="1"/>
    <xf numFmtId="41" fontId="107" fillId="91" borderId="33" xfId="145" applyFont="1" applyFill="1" applyBorder="1" applyAlignment="1"/>
    <xf numFmtId="41" fontId="109" fillId="0" borderId="33" xfId="145" applyFont="1" applyFill="1" applyBorder="1" applyAlignment="1"/>
    <xf numFmtId="41" fontId="107" fillId="0" borderId="18" xfId="145" applyFont="1" applyFill="1" applyBorder="1" applyAlignment="1"/>
    <xf numFmtId="205" fontId="109" fillId="85" borderId="156" xfId="0" applyNumberFormat="1" applyFont="1" applyFill="1" applyBorder="1" applyAlignment="1">
      <alignment horizontal="center"/>
    </xf>
    <xf numFmtId="41" fontId="109" fillId="85" borderId="54" xfId="145" applyFont="1" applyFill="1" applyBorder="1" applyAlignment="1"/>
    <xf numFmtId="41" fontId="107" fillId="85" borderId="108" xfId="145" applyFont="1" applyFill="1" applyBorder="1" applyAlignment="1"/>
    <xf numFmtId="178" fontId="114" fillId="75" borderId="9" xfId="148" applyNumberFormat="1" applyFont="1" applyFill="1" applyBorder="1" applyAlignment="1" applyProtection="1">
      <alignment vertical="center"/>
      <protection locked="0"/>
    </xf>
    <xf numFmtId="178" fontId="114" fillId="45" borderId="9" xfId="148" applyNumberFormat="1" applyFont="1" applyFill="1" applyBorder="1" applyAlignment="1" applyProtection="1">
      <alignment vertical="center"/>
      <protection locked="0"/>
    </xf>
    <xf numFmtId="178" fontId="114" fillId="75" borderId="13" xfId="148" applyNumberFormat="1" applyFont="1" applyFill="1" applyBorder="1" applyAlignment="1" applyProtection="1">
      <alignment vertical="center"/>
      <protection locked="0"/>
    </xf>
    <xf numFmtId="178" fontId="114" fillId="2" borderId="9" xfId="148" applyNumberFormat="1" applyFont="1" applyFill="1" applyBorder="1" applyAlignment="1" applyProtection="1">
      <alignment vertical="center"/>
      <protection locked="0"/>
    </xf>
    <xf numFmtId="196" fontId="114" fillId="63" borderId="9" xfId="148" applyNumberFormat="1" applyFont="1" applyFill="1" applyBorder="1" applyAlignment="1" applyProtection="1">
      <alignment vertical="center"/>
      <protection locked="0"/>
    </xf>
    <xf numFmtId="197" fontId="114" fillId="63" borderId="22" xfId="149" applyNumberFormat="1" applyFont="1" applyFill="1" applyBorder="1" applyAlignment="1" applyProtection="1">
      <alignment vertical="center"/>
      <protection locked="0"/>
    </xf>
    <xf numFmtId="178" fontId="114" fillId="63" borderId="12" xfId="142" applyNumberFormat="1" applyFont="1" applyFill="1" applyBorder="1" applyAlignment="1">
      <alignment vertical="center" shrinkToFit="1"/>
    </xf>
    <xf numFmtId="178" fontId="114" fillId="0" borderId="9" xfId="142" applyNumberFormat="1" applyFont="1" applyBorder="1" applyAlignment="1" applyProtection="1">
      <alignment vertical="center" shrinkToFit="1"/>
      <protection locked="0"/>
    </xf>
    <xf numFmtId="200" fontId="114" fillId="0" borderId="40" xfId="142" applyNumberFormat="1" applyFont="1" applyFill="1" applyBorder="1" applyAlignment="1">
      <alignment vertical="center" shrinkToFit="1"/>
    </xf>
    <xf numFmtId="200" fontId="114" fillId="0" borderId="41" xfId="142" applyNumberFormat="1" applyFont="1" applyFill="1" applyBorder="1" applyAlignment="1">
      <alignment vertical="center" shrinkToFit="1"/>
    </xf>
    <xf numFmtId="200" fontId="108" fillId="63" borderId="12" xfId="142" applyNumberFormat="1" applyFont="1" applyFill="1" applyBorder="1" applyAlignment="1">
      <alignment vertical="center" shrinkToFit="1"/>
    </xf>
    <xf numFmtId="199" fontId="114" fillId="63" borderId="43" xfId="142" applyNumberFormat="1" applyFont="1" applyFill="1" applyBorder="1" applyAlignment="1">
      <alignment vertical="center" shrinkToFit="1"/>
    </xf>
    <xf numFmtId="178" fontId="114" fillId="0" borderId="8" xfId="142" applyNumberFormat="1" applyFont="1" applyBorder="1" applyAlignment="1">
      <alignment vertical="center" shrinkToFit="1"/>
    </xf>
    <xf numFmtId="178" fontId="114" fillId="0" borderId="9" xfId="142" applyNumberFormat="1" applyFont="1" applyBorder="1" applyAlignment="1">
      <alignment vertical="center" shrinkToFit="1"/>
    </xf>
    <xf numFmtId="178" fontId="114" fillId="63" borderId="9" xfId="142" applyNumberFormat="1" applyFont="1" applyFill="1" applyBorder="1" applyAlignment="1">
      <alignment vertical="center" shrinkToFit="1"/>
    </xf>
    <xf numFmtId="2" fontId="108" fillId="63" borderId="12" xfId="142" applyNumberFormat="1" applyFont="1" applyFill="1" applyBorder="1" applyAlignment="1">
      <alignment vertical="center" shrinkToFit="1"/>
    </xf>
    <xf numFmtId="178" fontId="133" fillId="65" borderId="40" xfId="142" applyNumberFormat="1" applyFont="1" applyFill="1" applyBorder="1" applyAlignment="1">
      <alignment vertical="center" shrinkToFit="1"/>
    </xf>
    <xf numFmtId="2" fontId="133" fillId="65" borderId="22" xfId="142" applyNumberFormat="1" applyFont="1" applyFill="1" applyBorder="1" applyAlignment="1">
      <alignment vertical="center" shrinkToFit="1"/>
    </xf>
    <xf numFmtId="0" fontId="114" fillId="0" borderId="8" xfId="142" applyFont="1" applyBorder="1" applyAlignment="1">
      <alignment vertical="center" shrinkToFit="1"/>
    </xf>
    <xf numFmtId="0" fontId="114" fillId="0" borderId="13" xfId="142" applyFont="1" applyBorder="1" applyAlignment="1">
      <alignment vertical="center" shrinkToFit="1"/>
    </xf>
    <xf numFmtId="0" fontId="114" fillId="63" borderId="9" xfId="142" applyFont="1" applyFill="1" applyBorder="1" applyAlignment="1">
      <alignment vertical="center" shrinkToFit="1"/>
    </xf>
    <xf numFmtId="192" fontId="114" fillId="0" borderId="8" xfId="138" applyNumberFormat="1" applyFont="1" applyFill="1" applyBorder="1" applyAlignment="1" applyProtection="1">
      <alignment horizontal="center" vertical="center"/>
      <protection locked="0"/>
    </xf>
    <xf numFmtId="0" fontId="114" fillId="0" borderId="9" xfId="142" applyNumberFormat="1" applyFont="1" applyFill="1" applyBorder="1" applyAlignment="1" applyProtection="1">
      <alignment horizontal="center" vertical="center" shrinkToFit="1"/>
      <protection locked="0"/>
    </xf>
    <xf numFmtId="0" fontId="108" fillId="0" borderId="12" xfId="138" applyNumberFormat="1" applyFont="1" applyBorder="1" applyAlignment="1">
      <alignment horizontal="center" vertical="center" shrinkToFit="1"/>
    </xf>
    <xf numFmtId="192" fontId="114" fillId="0" borderId="43" xfId="138" applyNumberFormat="1" applyFont="1" applyFill="1" applyBorder="1" applyAlignment="1" applyProtection="1">
      <alignment horizontal="center" vertical="center"/>
      <protection locked="0"/>
    </xf>
    <xf numFmtId="0" fontId="114" fillId="0" borderId="14" xfId="142" applyNumberFormat="1" applyFont="1" applyFill="1" applyBorder="1" applyAlignment="1" applyProtection="1">
      <alignment horizontal="center" vertical="center" shrinkToFit="1"/>
      <protection locked="0"/>
    </xf>
    <xf numFmtId="0" fontId="114" fillId="0" borderId="8" xfId="142" applyNumberFormat="1" applyFont="1" applyFill="1" applyBorder="1" applyAlignment="1" applyProtection="1">
      <alignment horizontal="center" vertical="center" shrinkToFit="1"/>
      <protection locked="0"/>
    </xf>
    <xf numFmtId="192" fontId="114" fillId="0" borderId="8" xfId="0" applyNumberFormat="1" applyFont="1" applyFill="1" applyBorder="1" applyAlignment="1" applyProtection="1">
      <alignment horizontal="center" vertical="center"/>
      <protection locked="0"/>
    </xf>
    <xf numFmtId="0" fontId="114" fillId="0" borderId="8" xfId="0" applyFont="1" applyFill="1" applyBorder="1" applyAlignment="1" applyProtection="1">
      <alignment horizontal="center" vertical="center"/>
      <protection locked="0"/>
    </xf>
    <xf numFmtId="0" fontId="108" fillId="0" borderId="9" xfId="0" applyFont="1" applyFill="1" applyBorder="1" applyAlignment="1" applyProtection="1">
      <alignment horizontal="center" vertical="center"/>
      <protection locked="0"/>
    </xf>
    <xf numFmtId="0" fontId="108" fillId="0" borderId="12" xfId="0" applyFont="1" applyFill="1" applyBorder="1" applyAlignment="1" applyProtection="1">
      <alignment horizontal="center" vertical="center"/>
      <protection locked="0"/>
    </xf>
    <xf numFmtId="20" fontId="108" fillId="90" borderId="9" xfId="0" applyNumberFormat="1" applyFont="1" applyFill="1" applyBorder="1" applyAlignment="1" applyProtection="1">
      <alignment horizontal="center" vertical="center"/>
      <protection locked="0"/>
    </xf>
    <xf numFmtId="182" fontId="114" fillId="0" borderId="12" xfId="0" applyNumberFormat="1" applyFont="1" applyFill="1" applyBorder="1" applyAlignment="1" applyProtection="1">
      <alignment horizontal="center" vertical="center"/>
      <protection locked="0"/>
    </xf>
    <xf numFmtId="200" fontId="114" fillId="90" borderId="40" xfId="0" applyNumberFormat="1" applyFont="1" applyFill="1" applyBorder="1" applyAlignment="1" applyProtection="1">
      <alignment horizontal="center" vertical="center"/>
      <protection locked="0"/>
    </xf>
    <xf numFmtId="200" fontId="114" fillId="90" borderId="92" xfId="0" applyNumberFormat="1" applyFont="1" applyFill="1" applyBorder="1" applyAlignment="1" applyProtection="1">
      <alignment horizontal="center" vertical="center"/>
      <protection locked="0"/>
    </xf>
    <xf numFmtId="20" fontId="114" fillId="90" borderId="41" xfId="0" applyNumberFormat="1" applyFont="1" applyFill="1" applyBorder="1" applyAlignment="1" applyProtection="1">
      <alignment horizontal="center" vertical="center"/>
      <protection locked="0"/>
    </xf>
    <xf numFmtId="20" fontId="114" fillId="0" borderId="22" xfId="0" applyNumberFormat="1" applyFont="1" applyBorder="1" applyAlignment="1" applyProtection="1">
      <alignment horizontal="center" vertical="center"/>
      <protection locked="0"/>
    </xf>
    <xf numFmtId="0" fontId="114" fillId="0" borderId="44" xfId="0" applyFont="1" applyFill="1" applyBorder="1" applyAlignment="1" applyProtection="1">
      <alignment horizontal="center" vertical="center"/>
      <protection locked="0"/>
    </xf>
    <xf numFmtId="206" fontId="114" fillId="0" borderId="44" xfId="0" applyNumberFormat="1" applyFont="1" applyFill="1" applyBorder="1" applyAlignment="1" applyProtection="1">
      <alignment horizontal="center" vertical="center"/>
      <protection locked="0"/>
    </xf>
    <xf numFmtId="194" fontId="108" fillId="81" borderId="49" xfId="0" applyNumberFormat="1" applyFont="1" applyFill="1" applyBorder="1" applyAlignment="1" applyProtection="1">
      <alignment horizontal="center" vertical="center"/>
      <protection locked="0"/>
    </xf>
    <xf numFmtId="0" fontId="114" fillId="90" borderId="8" xfId="0" applyFont="1" applyFill="1" applyBorder="1" applyAlignment="1" applyProtection="1">
      <alignment horizontal="center" vertical="center"/>
      <protection locked="0"/>
    </xf>
    <xf numFmtId="0" fontId="114" fillId="3" borderId="22" xfId="0" quotePrefix="1" applyFont="1" applyFill="1" applyBorder="1" applyAlignment="1" applyProtection="1">
      <alignment horizontal="center" vertical="center"/>
      <protection locked="0"/>
    </xf>
    <xf numFmtId="0" fontId="114" fillId="0" borderId="45" xfId="0" applyFont="1" applyBorder="1" applyAlignment="1" applyProtection="1">
      <alignment horizontal="center" vertical="center"/>
      <protection locked="0"/>
    </xf>
    <xf numFmtId="191" fontId="114" fillId="0" borderId="46" xfId="0" applyNumberFormat="1" applyFont="1" applyBorder="1" applyAlignment="1" applyProtection="1">
      <alignment horizontal="center" vertical="center"/>
      <protection locked="0"/>
    </xf>
    <xf numFmtId="191" fontId="114" fillId="0" borderId="43" xfId="0" applyNumberFormat="1" applyFont="1" applyBorder="1" applyAlignment="1" applyProtection="1">
      <alignment horizontal="center" vertical="center"/>
      <protection locked="0"/>
    </xf>
    <xf numFmtId="20" fontId="114" fillId="4" borderId="47" xfId="0" applyNumberFormat="1" applyFont="1" applyFill="1" applyBorder="1" applyAlignment="1" applyProtection="1">
      <alignment horizontal="center" vertical="center"/>
      <protection locked="0"/>
    </xf>
    <xf numFmtId="0" fontId="114" fillId="3" borderId="8" xfId="0" applyNumberFormat="1" applyFont="1" applyFill="1" applyBorder="1" applyAlignment="1" applyProtection="1">
      <alignment horizontal="center" vertical="center"/>
      <protection locked="0"/>
    </xf>
    <xf numFmtId="0" fontId="114" fillId="3" borderId="9" xfId="0" applyNumberFormat="1" applyFont="1" applyFill="1" applyBorder="1" applyAlignment="1" applyProtection="1">
      <alignment horizontal="center" vertical="center"/>
      <protection locked="0"/>
    </xf>
    <xf numFmtId="179" fontId="80" fillId="68" borderId="132" xfId="0" applyNumberFormat="1" applyFont="1" applyFill="1" applyBorder="1" applyAlignment="1" applyProtection="1">
      <alignment vertical="center"/>
      <protection locked="0"/>
    </xf>
    <xf numFmtId="179" fontId="136" fillId="68" borderId="89" xfId="0" applyNumberFormat="1" applyFont="1" applyFill="1" applyBorder="1" applyAlignment="1" applyProtection="1">
      <alignment vertical="center"/>
      <protection locked="0"/>
    </xf>
    <xf numFmtId="179" fontId="80" fillId="68" borderId="124" xfId="0" applyNumberFormat="1" applyFont="1" applyFill="1" applyBorder="1" applyAlignment="1" applyProtection="1">
      <alignment vertical="center"/>
      <protection locked="0"/>
    </xf>
    <xf numFmtId="179" fontId="72" fillId="83" borderId="89" xfId="0" applyNumberFormat="1" applyFont="1" applyFill="1" applyBorder="1" applyAlignment="1" applyProtection="1">
      <alignment vertical="center"/>
      <protection locked="0"/>
    </xf>
    <xf numFmtId="2" fontId="72" fillId="83" borderId="124" xfId="0" applyNumberFormat="1" applyFont="1" applyFill="1" applyBorder="1" applyAlignment="1" applyProtection="1">
      <alignment horizontal="center" vertical="center"/>
      <protection locked="0"/>
    </xf>
    <xf numFmtId="2" fontId="72" fillId="83" borderId="86" xfId="0" applyNumberFormat="1" applyFont="1" applyFill="1" applyBorder="1" applyAlignment="1" applyProtection="1">
      <alignment horizontal="center" vertical="center"/>
      <protection locked="0"/>
    </xf>
    <xf numFmtId="206" fontId="72" fillId="83" borderId="87" xfId="0" applyNumberFormat="1" applyFont="1" applyFill="1" applyBorder="1"/>
    <xf numFmtId="206" fontId="72" fillId="83" borderId="89" xfId="0" applyNumberFormat="1" applyFont="1" applyFill="1" applyBorder="1"/>
    <xf numFmtId="206" fontId="72" fillId="83" borderId="124" xfId="0" applyNumberFormat="1" applyFont="1" applyFill="1" applyBorder="1"/>
    <xf numFmtId="41" fontId="73" fillId="82" borderId="90" xfId="145" applyFont="1" applyFill="1" applyBorder="1" applyAlignment="1"/>
    <xf numFmtId="206" fontId="137" fillId="80" borderId="87" xfId="0" applyNumberFormat="1" applyFont="1" applyFill="1" applyBorder="1"/>
    <xf numFmtId="207" fontId="137" fillId="80" borderId="124" xfId="0" applyNumberFormat="1" applyFont="1" applyFill="1" applyBorder="1"/>
    <xf numFmtId="206" fontId="138" fillId="81" borderId="132" xfId="0" applyNumberFormat="1" applyFont="1" applyFill="1" applyBorder="1"/>
    <xf numFmtId="206" fontId="138" fillId="81" borderId="89" xfId="0" applyNumberFormat="1" applyFont="1" applyFill="1" applyBorder="1"/>
    <xf numFmtId="206" fontId="73" fillId="81" borderId="86" xfId="0" applyNumberFormat="1" applyFont="1" applyFill="1" applyBorder="1"/>
    <xf numFmtId="207" fontId="137" fillId="72" borderId="87" xfId="0" applyNumberFormat="1" applyFont="1" applyFill="1" applyBorder="1"/>
    <xf numFmtId="207" fontId="137" fillId="72" borderId="89" xfId="0" applyNumberFormat="1" applyFont="1" applyFill="1" applyBorder="1"/>
    <xf numFmtId="193" fontId="81" fillId="70" borderId="89" xfId="0" applyNumberFormat="1" applyFont="1" applyFill="1" applyBorder="1"/>
    <xf numFmtId="207" fontId="81" fillId="70" borderId="89" xfId="0" applyNumberFormat="1" applyFont="1" applyFill="1" applyBorder="1"/>
    <xf numFmtId="206" fontId="137" fillId="0" borderId="89" xfId="0" applyNumberFormat="1" applyFont="1" applyFill="1" applyBorder="1"/>
    <xf numFmtId="207" fontId="137" fillId="0" borderId="86" xfId="0" applyNumberFormat="1" applyFont="1" applyFill="1" applyBorder="1"/>
    <xf numFmtId="179" fontId="80" fillId="68" borderId="8" xfId="0" applyNumberFormat="1" applyFont="1" applyFill="1" applyBorder="1" applyAlignment="1" applyProtection="1">
      <alignment vertical="center"/>
      <protection locked="0"/>
    </xf>
    <xf numFmtId="179" fontId="136" fillId="68" borderId="9" xfId="0" applyNumberFormat="1" applyFont="1" applyFill="1" applyBorder="1" applyAlignment="1" applyProtection="1">
      <alignment vertical="center"/>
      <protection locked="0"/>
    </xf>
    <xf numFmtId="179" fontId="80" fillId="68" borderId="14" xfId="0" applyNumberFormat="1" applyFont="1" applyFill="1" applyBorder="1" applyAlignment="1" applyProtection="1">
      <alignment vertical="center"/>
      <protection locked="0"/>
    </xf>
    <xf numFmtId="179" fontId="72" fillId="83" borderId="9" xfId="0" applyNumberFormat="1" applyFont="1" applyFill="1" applyBorder="1" applyAlignment="1" applyProtection="1">
      <alignment vertical="center"/>
      <protection locked="0"/>
    </xf>
    <xf numFmtId="2" fontId="72" fillId="83" borderId="14" xfId="0" applyNumberFormat="1" applyFont="1" applyFill="1" applyBorder="1" applyAlignment="1" applyProtection="1">
      <alignment horizontal="center" vertical="center"/>
      <protection locked="0"/>
    </xf>
    <xf numFmtId="2" fontId="72" fillId="83" borderId="12" xfId="0" applyNumberFormat="1" applyFont="1" applyFill="1" applyBorder="1" applyAlignment="1" applyProtection="1">
      <alignment horizontal="center" vertical="center"/>
      <protection locked="0"/>
    </xf>
    <xf numFmtId="206" fontId="72" fillId="83" borderId="13" xfId="0" applyNumberFormat="1" applyFont="1" applyFill="1" applyBorder="1"/>
    <xf numFmtId="206" fontId="72" fillId="83" borderId="9" xfId="0" applyNumberFormat="1" applyFont="1" applyFill="1" applyBorder="1"/>
    <xf numFmtId="206" fontId="72" fillId="83" borderId="14" xfId="0" applyNumberFormat="1" applyFont="1" applyFill="1" applyBorder="1"/>
    <xf numFmtId="41" fontId="73" fillId="82" borderId="49" xfId="145" applyFont="1" applyFill="1" applyBorder="1" applyAlignment="1"/>
    <xf numFmtId="206" fontId="137" fillId="80" borderId="13" xfId="0" applyNumberFormat="1" applyFont="1" applyFill="1" applyBorder="1"/>
    <xf numFmtId="207" fontId="137" fillId="80" borderId="14" xfId="0" applyNumberFormat="1" applyFont="1" applyFill="1" applyBorder="1"/>
    <xf numFmtId="206" fontId="138" fillId="81" borderId="8" xfId="0" applyNumberFormat="1" applyFont="1" applyFill="1" applyBorder="1"/>
    <xf numFmtId="206" fontId="138" fillId="81" borderId="9" xfId="0" applyNumberFormat="1" applyFont="1" applyFill="1" applyBorder="1"/>
    <xf numFmtId="206" fontId="73" fillId="81" borderId="12" xfId="0" applyNumberFormat="1" applyFont="1" applyFill="1" applyBorder="1"/>
    <xf numFmtId="207" fontId="137" fillId="72" borderId="13" xfId="0" applyNumberFormat="1" applyFont="1" applyFill="1" applyBorder="1"/>
    <xf numFmtId="207" fontId="137" fillId="72" borderId="9" xfId="0" applyNumberFormat="1" applyFont="1" applyFill="1" applyBorder="1"/>
    <xf numFmtId="193" fontId="81" fillId="70" borderId="9" xfId="0" applyNumberFormat="1" applyFont="1" applyFill="1" applyBorder="1"/>
    <xf numFmtId="207" fontId="81" fillId="70" borderId="9" xfId="0" applyNumberFormat="1" applyFont="1" applyFill="1" applyBorder="1"/>
    <xf numFmtId="206" fontId="137" fillId="0" borderId="9" xfId="0" applyNumberFormat="1" applyFont="1" applyFill="1" applyBorder="1"/>
    <xf numFmtId="207" fontId="137" fillId="0" borderId="12" xfId="0" applyNumberFormat="1" applyFont="1" applyFill="1" applyBorder="1"/>
    <xf numFmtId="179" fontId="80" fillId="68" borderId="115" xfId="0" applyNumberFormat="1" applyFont="1" applyFill="1" applyBorder="1" applyAlignment="1" applyProtection="1">
      <alignment vertical="center"/>
      <protection locked="0"/>
    </xf>
    <xf numFmtId="179" fontId="136" fillId="68" borderId="117" xfId="0" applyNumberFormat="1" applyFont="1" applyFill="1" applyBorder="1" applyAlignment="1" applyProtection="1">
      <alignment vertical="center"/>
      <protection locked="0"/>
    </xf>
    <xf numFmtId="179" fontId="80" fillId="68" borderId="136" xfId="0" applyNumberFormat="1" applyFont="1" applyFill="1" applyBorder="1" applyAlignment="1" applyProtection="1">
      <alignment vertical="center"/>
      <protection locked="0"/>
    </xf>
    <xf numFmtId="179" fontId="72" fillId="83" borderId="117" xfId="0" applyNumberFormat="1" applyFont="1" applyFill="1" applyBorder="1" applyAlignment="1" applyProtection="1">
      <alignment vertical="center"/>
      <protection locked="0"/>
    </xf>
    <xf numFmtId="2" fontId="72" fillId="83" borderId="136" xfId="0" applyNumberFormat="1" applyFont="1" applyFill="1" applyBorder="1" applyAlignment="1" applyProtection="1">
      <alignment horizontal="center" vertical="center"/>
      <protection locked="0"/>
    </xf>
    <xf numFmtId="2" fontId="72" fillId="83" borderId="118" xfId="0" applyNumberFormat="1" applyFont="1" applyFill="1" applyBorder="1" applyAlignment="1" applyProtection="1">
      <alignment horizontal="center" vertical="center"/>
      <protection locked="0"/>
    </xf>
    <xf numFmtId="206" fontId="72" fillId="83" borderId="116" xfId="0" applyNumberFormat="1" applyFont="1" applyFill="1" applyBorder="1"/>
    <xf numFmtId="206" fontId="72" fillId="83" borderId="117" xfId="0" applyNumberFormat="1" applyFont="1" applyFill="1" applyBorder="1"/>
    <xf numFmtId="206" fontId="72" fillId="83" borderId="136" xfId="0" applyNumberFormat="1" applyFont="1" applyFill="1" applyBorder="1"/>
    <xf numFmtId="41" fontId="73" fillId="82" borderId="155" xfId="145" applyFont="1" applyFill="1" applyBorder="1" applyAlignment="1"/>
    <xf numFmtId="206" fontId="137" fillId="80" borderId="116" xfId="0" applyNumberFormat="1" applyFont="1" applyFill="1" applyBorder="1"/>
    <xf numFmtId="207" fontId="137" fillId="80" borderId="136" xfId="0" applyNumberFormat="1" applyFont="1" applyFill="1" applyBorder="1"/>
    <xf numFmtId="206" fontId="138" fillId="81" borderId="115" xfId="0" applyNumberFormat="1" applyFont="1" applyFill="1" applyBorder="1"/>
    <xf numFmtId="206" fontId="138" fillId="81" borderId="117" xfId="0" applyNumberFormat="1" applyFont="1" applyFill="1" applyBorder="1"/>
    <xf numFmtId="206" fontId="73" fillId="81" borderId="118" xfId="0" applyNumberFormat="1" applyFont="1" applyFill="1" applyBorder="1"/>
    <xf numFmtId="207" fontId="137" fillId="72" borderId="116" xfId="0" applyNumberFormat="1" applyFont="1" applyFill="1" applyBorder="1"/>
    <xf numFmtId="207" fontId="137" fillId="72" borderId="117" xfId="0" applyNumberFormat="1" applyFont="1" applyFill="1" applyBorder="1"/>
    <xf numFmtId="193" fontId="81" fillId="70" borderId="117" xfId="0" applyNumberFormat="1" applyFont="1" applyFill="1" applyBorder="1"/>
    <xf numFmtId="207" fontId="81" fillId="70" borderId="117" xfId="0" applyNumberFormat="1" applyFont="1" applyFill="1" applyBorder="1"/>
    <xf numFmtId="206" fontId="137" fillId="0" borderId="117" xfId="0" applyNumberFormat="1" applyFont="1" applyFill="1" applyBorder="1"/>
    <xf numFmtId="207" fontId="137" fillId="0" borderId="118" xfId="0" applyNumberFormat="1" applyFont="1" applyFill="1" applyBorder="1"/>
    <xf numFmtId="0" fontId="8" fillId="75" borderId="116" xfId="146" applyFont="1" applyFill="1" applyBorder="1" applyAlignment="1" applyProtection="1">
      <alignment horizontal="center" vertical="center"/>
      <protection locked="0"/>
    </xf>
    <xf numFmtId="0" fontId="8" fillId="75" borderId="117" xfId="146" applyFont="1" applyFill="1" applyBorder="1" applyAlignment="1" applyProtection="1">
      <alignment horizontal="center" vertical="center"/>
      <protection locked="0"/>
    </xf>
    <xf numFmtId="0" fontId="8" fillId="45" borderId="117" xfId="146" applyFont="1" applyFill="1" applyBorder="1" applyAlignment="1" applyProtection="1">
      <alignment horizontal="center" vertical="center"/>
      <protection locked="0"/>
    </xf>
    <xf numFmtId="0" fontId="8" fillId="2" borderId="117" xfId="146" applyFont="1" applyFill="1" applyBorder="1" applyAlignment="1" applyProtection="1">
      <alignment horizontal="center" vertical="center"/>
      <protection locked="0"/>
    </xf>
    <xf numFmtId="0" fontId="139" fillId="88" borderId="12" xfId="0" applyNumberFormat="1" applyFont="1" applyFill="1" applyBorder="1" applyAlignment="1" applyProtection="1">
      <alignment horizontal="center" vertical="center"/>
      <protection locked="0"/>
    </xf>
    <xf numFmtId="0" fontId="108" fillId="0" borderId="128" xfId="138" applyNumberFormat="1" applyFont="1" applyFill="1" applyBorder="1" applyAlignment="1">
      <alignment horizontal="center" vertical="center" shrinkToFit="1"/>
    </xf>
    <xf numFmtId="0" fontId="107" fillId="62" borderId="0" xfId="146" applyFont="1" applyFill="1" applyAlignment="1" applyProtection="1">
      <alignment vertical="center"/>
      <protection locked="0"/>
    </xf>
    <xf numFmtId="0" fontId="108" fillId="0" borderId="12" xfId="138" applyFont="1" applyFill="1" applyBorder="1" applyAlignment="1">
      <alignment horizontal="center" vertical="center" shrinkToFit="1"/>
    </xf>
    <xf numFmtId="201" fontId="109" fillId="7" borderId="18" xfId="142" applyNumberFormat="1" applyFont="1" applyFill="1" applyBorder="1" applyAlignment="1">
      <alignment horizontal="right" vertical="center" shrinkToFit="1"/>
    </xf>
    <xf numFmtId="201" fontId="113" fillId="7" borderId="22" xfId="142" applyNumberFormat="1" applyFont="1" applyFill="1" applyBorder="1" applyAlignment="1">
      <alignment horizontal="right" vertical="center" shrinkToFit="1"/>
    </xf>
    <xf numFmtId="192" fontId="114" fillId="0" borderId="13" xfId="138" applyNumberFormat="1" applyFont="1" applyFill="1" applyBorder="1" applyAlignment="1" applyProtection="1">
      <alignment horizontal="center" vertical="center"/>
      <protection locked="0"/>
    </xf>
    <xf numFmtId="192" fontId="114" fillId="0" borderId="40" xfId="138" applyNumberFormat="1" applyFont="1" applyFill="1" applyBorder="1" applyAlignment="1" applyProtection="1">
      <alignment horizontal="center" vertical="center"/>
      <protection locked="0"/>
    </xf>
    <xf numFmtId="206" fontId="72" fillId="80" borderId="89" xfId="0" applyNumberFormat="1" applyFont="1" applyFill="1" applyBorder="1"/>
    <xf numFmtId="206" fontId="72" fillId="80" borderId="9" xfId="0" applyNumberFormat="1" applyFont="1" applyFill="1" applyBorder="1"/>
    <xf numFmtId="206" fontId="72" fillId="80" borderId="117" xfId="0" applyNumberFormat="1" applyFont="1" applyFill="1" applyBorder="1"/>
    <xf numFmtId="0" fontId="108" fillId="62" borderId="12" xfId="138" applyNumberFormat="1" applyFont="1" applyFill="1" applyBorder="1" applyAlignment="1">
      <alignment horizontal="center" vertical="center" shrinkToFit="1"/>
    </xf>
    <xf numFmtId="41" fontId="107" fillId="3" borderId="0" xfId="0" applyNumberFormat="1" applyFont="1" applyFill="1" applyBorder="1" applyAlignment="1" applyProtection="1">
      <alignment vertical="center"/>
      <protection locked="0"/>
    </xf>
    <xf numFmtId="178" fontId="114" fillId="75" borderId="14" xfId="148" applyNumberFormat="1" applyFont="1" applyFill="1" applyBorder="1" applyAlignment="1" applyProtection="1">
      <alignment vertical="center"/>
      <protection locked="0"/>
    </xf>
    <xf numFmtId="0" fontId="8" fillId="45" borderId="115" xfId="146" applyFont="1" applyFill="1" applyBorder="1" applyAlignment="1" applyProtection="1">
      <alignment horizontal="center" vertical="center"/>
      <protection locked="0"/>
    </xf>
    <xf numFmtId="178" fontId="114" fillId="45" borderId="8" xfId="148" applyNumberFormat="1" applyFont="1" applyFill="1" applyBorder="1" applyAlignment="1" applyProtection="1">
      <alignment vertical="center"/>
      <protection locked="0"/>
    </xf>
    <xf numFmtId="178" fontId="114" fillId="45" borderId="12" xfId="148" applyNumberFormat="1" applyFont="1" applyFill="1" applyBorder="1" applyAlignment="1" applyProtection="1">
      <alignment vertical="center"/>
      <protection locked="0"/>
    </xf>
    <xf numFmtId="178" fontId="114" fillId="63" borderId="13" xfId="148" applyNumberFormat="1" applyFont="1" applyFill="1" applyBorder="1" applyAlignment="1" applyProtection="1">
      <alignment vertical="center"/>
      <protection locked="0"/>
    </xf>
    <xf numFmtId="0" fontId="8" fillId="2" borderId="115" xfId="146" applyFont="1" applyFill="1" applyBorder="1" applyAlignment="1" applyProtection="1">
      <alignment horizontal="center" vertical="center"/>
      <protection locked="0"/>
    </xf>
    <xf numFmtId="0" fontId="8" fillId="2" borderId="118" xfId="146" applyFont="1" applyFill="1" applyBorder="1" applyAlignment="1" applyProtection="1">
      <alignment horizontal="center" vertical="center"/>
      <protection locked="0"/>
    </xf>
    <xf numFmtId="178" fontId="114" fillId="2" borderId="8" xfId="148" applyNumberFormat="1" applyFont="1" applyFill="1" applyBorder="1" applyAlignment="1" applyProtection="1">
      <alignment vertical="center"/>
      <protection locked="0"/>
    </xf>
    <xf numFmtId="178" fontId="114" fillId="2" borderId="12" xfId="148" applyNumberFormat="1" applyFont="1" applyFill="1" applyBorder="1" applyAlignment="1" applyProtection="1">
      <alignment vertical="center"/>
      <protection locked="0"/>
    </xf>
    <xf numFmtId="0" fontId="109" fillId="90" borderId="18" xfId="0" applyFont="1" applyFill="1" applyBorder="1" applyAlignment="1" applyProtection="1">
      <alignment horizontal="center" vertical="center"/>
      <protection locked="0"/>
    </xf>
    <xf numFmtId="0" fontId="109" fillId="90" borderId="32" xfId="0" applyFont="1" applyFill="1" applyBorder="1" applyAlignment="1" applyProtection="1">
      <alignment horizontal="center" vertical="center"/>
      <protection locked="0"/>
    </xf>
    <xf numFmtId="0" fontId="109" fillId="90" borderId="1" xfId="0" applyFont="1" applyFill="1" applyBorder="1" applyAlignment="1" applyProtection="1">
      <alignment horizontal="center" vertical="center" shrinkToFit="1"/>
      <protection locked="0"/>
    </xf>
    <xf numFmtId="0" fontId="109" fillId="90" borderId="7" xfId="0" applyFont="1" applyFill="1" applyBorder="1" applyAlignment="1" applyProtection="1">
      <alignment horizontal="center" vertical="center" shrinkToFit="1"/>
      <protection locked="0"/>
    </xf>
    <xf numFmtId="0" fontId="105" fillId="96" borderId="0" xfId="0" applyNumberFormat="1" applyFont="1" applyFill="1" applyBorder="1" applyAlignment="1" applyProtection="1">
      <alignment horizontal="center"/>
      <protection locked="0"/>
    </xf>
    <xf numFmtId="0" fontId="105" fillId="96" borderId="0" xfId="0" applyNumberFormat="1" applyFont="1" applyFill="1" applyBorder="1" applyAlignment="1" applyProtection="1">
      <alignment horizontal="centerContinuous"/>
      <protection locked="0"/>
    </xf>
    <xf numFmtId="179" fontId="105" fillId="96" borderId="0" xfId="0" applyNumberFormat="1" applyFont="1" applyFill="1" applyBorder="1" applyAlignment="1" applyProtection="1">
      <alignment horizontal="center"/>
      <protection locked="0"/>
    </xf>
    <xf numFmtId="0" fontId="105" fillId="96" borderId="2" xfId="1" quotePrefix="1" applyFont="1" applyFill="1" applyBorder="1" applyAlignment="1" applyProtection="1">
      <alignment horizontal="center"/>
      <protection locked="0"/>
    </xf>
    <xf numFmtId="0" fontId="105" fillId="96" borderId="2" xfId="1" applyFont="1" applyFill="1" applyBorder="1" applyAlignment="1" applyProtection="1">
      <alignment vertical="center"/>
      <protection locked="0"/>
    </xf>
    <xf numFmtId="0" fontId="105" fillId="96" borderId="2" xfId="1" applyFont="1" applyFill="1" applyBorder="1" applyAlignment="1" applyProtection="1">
      <alignment horizontal="center" vertical="center"/>
      <protection locked="0"/>
    </xf>
    <xf numFmtId="0" fontId="106" fillId="96" borderId="0" xfId="0" applyFont="1" applyFill="1" applyBorder="1" applyAlignment="1" applyProtection="1">
      <alignment vertical="center"/>
      <protection locked="0"/>
    </xf>
    <xf numFmtId="177" fontId="105" fillId="96" borderId="0" xfId="0" applyNumberFormat="1" applyFont="1" applyFill="1" applyBorder="1" applyAlignment="1" applyProtection="1">
      <alignment vertical="center"/>
      <protection hidden="1"/>
    </xf>
    <xf numFmtId="41" fontId="106" fillId="96" borderId="0" xfId="0" applyNumberFormat="1" applyFont="1" applyFill="1" applyBorder="1" applyAlignment="1" applyProtection="1">
      <alignment vertical="center"/>
      <protection locked="0"/>
    </xf>
    <xf numFmtId="0" fontId="106" fillId="96" borderId="0" xfId="0" applyFont="1" applyFill="1" applyAlignment="1" applyProtection="1">
      <alignment vertical="center"/>
      <protection locked="0"/>
    </xf>
    <xf numFmtId="20" fontId="145" fillId="95" borderId="33" xfId="0" applyNumberFormat="1" applyFont="1" applyFill="1" applyBorder="1" applyAlignment="1" applyProtection="1">
      <alignment horizontal="center" vertical="center"/>
      <protection locked="0"/>
    </xf>
    <xf numFmtId="0" fontId="105" fillId="96" borderId="41" xfId="0" applyFont="1" applyFill="1" applyBorder="1" applyAlignment="1" applyProtection="1">
      <alignment horizontal="center" vertical="center"/>
      <protection locked="0"/>
    </xf>
    <xf numFmtId="0" fontId="105" fillId="96" borderId="103" xfId="0" applyFont="1" applyFill="1" applyBorder="1" applyAlignment="1" applyProtection="1">
      <alignment horizontal="center" vertical="center"/>
      <protection locked="0"/>
    </xf>
    <xf numFmtId="0" fontId="105" fillId="96" borderId="4" xfId="0" applyFont="1" applyFill="1" applyBorder="1" applyAlignment="1" applyProtection="1">
      <alignment horizontal="center" vertical="center"/>
      <protection locked="0"/>
    </xf>
    <xf numFmtId="0" fontId="105" fillId="96" borderId="5" xfId="0" applyFont="1" applyFill="1" applyBorder="1" applyAlignment="1" applyProtection="1">
      <alignment horizontal="center" vertical="center"/>
      <protection locked="0"/>
    </xf>
    <xf numFmtId="0" fontId="105" fillId="96" borderId="99" xfId="0" applyFont="1" applyFill="1" applyBorder="1" applyAlignment="1" applyProtection="1">
      <alignment horizontal="center" vertical="center"/>
      <protection locked="0"/>
    </xf>
    <xf numFmtId="0" fontId="105" fillId="96" borderId="122" xfId="0" applyFont="1" applyFill="1" applyBorder="1" applyAlignment="1" applyProtection="1">
      <alignment horizontal="center" vertical="center"/>
      <protection locked="0"/>
    </xf>
    <xf numFmtId="0" fontId="105" fillId="98" borderId="161" xfId="0" applyFont="1" applyFill="1" applyBorder="1" applyAlignment="1" applyProtection="1">
      <alignment horizontal="center" vertical="center"/>
      <protection locked="0"/>
    </xf>
    <xf numFmtId="0" fontId="107" fillId="0" borderId="0" xfId="0" applyFont="1" applyFill="1" applyAlignment="1" applyProtection="1">
      <alignment horizontal="left" vertical="center"/>
      <protection locked="0"/>
    </xf>
    <xf numFmtId="20" fontId="114" fillId="0" borderId="40" xfId="0" applyNumberFormat="1" applyFont="1" applyFill="1" applyBorder="1" applyAlignment="1" applyProtection="1">
      <alignment horizontal="center" vertical="center"/>
      <protection locked="0"/>
    </xf>
    <xf numFmtId="20" fontId="114" fillId="0" borderId="22" xfId="0" applyNumberFormat="1" applyFont="1" applyFill="1" applyBorder="1" applyAlignment="1" applyProtection="1">
      <alignment horizontal="center" vertical="center"/>
      <protection locked="0"/>
    </xf>
    <xf numFmtId="0" fontId="114" fillId="0" borderId="22" xfId="0" quotePrefix="1" applyFont="1" applyFill="1" applyBorder="1" applyAlignment="1" applyProtection="1">
      <alignment horizontal="center" vertical="center"/>
      <protection locked="0"/>
    </xf>
    <xf numFmtId="0" fontId="114" fillId="0" borderId="45" xfId="0" applyFont="1" applyFill="1" applyBorder="1" applyAlignment="1" applyProtection="1">
      <alignment horizontal="center" vertical="center"/>
      <protection locked="0"/>
    </xf>
    <xf numFmtId="191" fontId="114" fillId="0" borderId="46" xfId="0" applyNumberFormat="1" applyFont="1" applyFill="1" applyBorder="1" applyAlignment="1" applyProtection="1">
      <alignment horizontal="center" vertical="center"/>
      <protection locked="0"/>
    </xf>
    <xf numFmtId="191" fontId="114" fillId="0" borderId="43" xfId="0" applyNumberFormat="1" applyFont="1" applyFill="1" applyBorder="1" applyAlignment="1" applyProtection="1">
      <alignment horizontal="center" vertical="center"/>
      <protection locked="0"/>
    </xf>
    <xf numFmtId="41" fontId="107" fillId="0" borderId="49" xfId="0" applyNumberFormat="1" applyFont="1" applyFill="1" applyBorder="1" applyAlignment="1" applyProtection="1">
      <alignment vertical="center"/>
      <protection hidden="1"/>
    </xf>
    <xf numFmtId="0" fontId="115" fillId="95" borderId="27" xfId="0" applyFont="1" applyFill="1" applyBorder="1" applyAlignment="1" applyProtection="1">
      <alignment horizontal="center" vertical="center" wrapText="1"/>
      <protection locked="0"/>
    </xf>
    <xf numFmtId="0" fontId="115" fillId="95" borderId="37" xfId="0" applyFont="1" applyFill="1" applyBorder="1" applyAlignment="1" applyProtection="1">
      <alignment horizontal="center" vertical="center"/>
      <protection locked="0"/>
    </xf>
    <xf numFmtId="0" fontId="113" fillId="95" borderId="58" xfId="0" applyFont="1" applyFill="1" applyBorder="1" applyAlignment="1" applyProtection="1">
      <alignment horizontal="center" vertical="center"/>
      <protection locked="0"/>
    </xf>
    <xf numFmtId="0" fontId="111" fillId="88" borderId="18" xfId="0" applyFont="1" applyFill="1" applyBorder="1" applyAlignment="1" applyProtection="1">
      <alignment horizontal="center" vertical="center"/>
      <protection locked="0"/>
    </xf>
    <xf numFmtId="0" fontId="134" fillId="95" borderId="12" xfId="0" applyNumberFormat="1" applyFont="1" applyFill="1" applyBorder="1" applyAlignment="1" applyProtection="1">
      <alignment horizontal="center" vertical="center"/>
      <protection locked="0"/>
    </xf>
    <xf numFmtId="193" fontId="114" fillId="0" borderId="41" xfId="0" applyNumberFormat="1" applyFont="1" applyFill="1" applyBorder="1" applyAlignment="1" applyProtection="1">
      <alignment horizontal="center" vertical="center"/>
      <protection locked="0"/>
    </xf>
    <xf numFmtId="0" fontId="105" fillId="98" borderId="40" xfId="0" applyFont="1" applyFill="1" applyBorder="1" applyAlignment="1" applyProtection="1">
      <alignment horizontal="center" vertical="center"/>
      <protection locked="0"/>
    </xf>
    <xf numFmtId="0" fontId="105" fillId="98" borderId="171" xfId="0" applyFont="1" applyFill="1" applyBorder="1" applyAlignment="1" applyProtection="1">
      <alignment horizontal="center" vertical="center"/>
      <protection locked="0"/>
    </xf>
    <xf numFmtId="0" fontId="105" fillId="98" borderId="3" xfId="0" applyFont="1" applyFill="1" applyBorder="1" applyAlignment="1" applyProtection="1">
      <alignment horizontal="center" vertical="center"/>
      <protection locked="0"/>
    </xf>
    <xf numFmtId="0" fontId="105" fillId="98" borderId="104" xfId="0" applyFont="1" applyFill="1" applyBorder="1" applyAlignment="1" applyProtection="1">
      <alignment horizontal="center" vertical="center"/>
      <protection locked="0"/>
    </xf>
    <xf numFmtId="207" fontId="108" fillId="0" borderId="9" xfId="0" applyNumberFormat="1" applyFont="1" applyFill="1" applyBorder="1" applyAlignment="1" applyProtection="1">
      <alignment horizontal="center" vertical="center"/>
      <protection locked="0"/>
    </xf>
    <xf numFmtId="206" fontId="147" fillId="95" borderId="44" xfId="0" applyNumberFormat="1" applyFont="1" applyFill="1" applyBorder="1" applyAlignment="1" applyProtection="1">
      <alignment horizontal="center" vertical="center"/>
      <protection locked="0"/>
    </xf>
    <xf numFmtId="0" fontId="105" fillId="96" borderId="2" xfId="1" quotePrefix="1" applyFont="1" applyFill="1" applyBorder="1" applyAlignment="1" applyProtection="1">
      <protection locked="0"/>
    </xf>
    <xf numFmtId="210" fontId="105" fillId="96" borderId="2" xfId="145" quotePrefix="1" applyNumberFormat="1" applyFont="1" applyFill="1" applyBorder="1" applyAlignment="1" applyProtection="1">
      <protection locked="0"/>
    </xf>
    <xf numFmtId="0" fontId="105" fillId="96" borderId="2" xfId="1" quotePrefix="1" applyFont="1" applyFill="1" applyBorder="1" applyAlignment="1" applyProtection="1">
      <alignment vertical="center"/>
      <protection locked="0"/>
    </xf>
    <xf numFmtId="0" fontId="105" fillId="96" borderId="2" xfId="1" quotePrefix="1" applyFont="1" applyFill="1" applyBorder="1" applyAlignment="1" applyProtection="1">
      <alignment horizontal="center" vertical="center"/>
      <protection locked="0"/>
    </xf>
    <xf numFmtId="0" fontId="105" fillId="96" borderId="0" xfId="1" quotePrefix="1" applyFont="1" applyFill="1" applyBorder="1" applyAlignment="1" applyProtection="1">
      <protection locked="0"/>
    </xf>
    <xf numFmtId="210" fontId="105" fillId="96" borderId="0" xfId="145" quotePrefix="1" applyNumberFormat="1" applyFont="1" applyFill="1" applyBorder="1" applyAlignment="1" applyProtection="1">
      <protection locked="0"/>
    </xf>
    <xf numFmtId="0" fontId="105" fillId="96" borderId="0" xfId="1" quotePrefix="1" applyFont="1" applyFill="1" applyBorder="1" applyAlignment="1" applyProtection="1">
      <alignment vertical="center"/>
      <protection locked="0"/>
    </xf>
    <xf numFmtId="0" fontId="105" fillId="96" borderId="0" xfId="1" quotePrefix="1" applyFont="1" applyFill="1" applyBorder="1" applyAlignment="1" applyProtection="1">
      <alignment horizontal="center" vertical="center"/>
      <protection locked="0"/>
    </xf>
    <xf numFmtId="0" fontId="105" fillId="96" borderId="0" xfId="1" applyFont="1" applyFill="1" applyBorder="1" applyAlignment="1" applyProtection="1">
      <alignment vertical="center"/>
      <protection locked="0"/>
    </xf>
    <xf numFmtId="0" fontId="105" fillId="96" borderId="0" xfId="1" applyFont="1" applyFill="1" applyBorder="1" applyAlignment="1" applyProtection="1">
      <alignment horizontal="center" vertical="center"/>
      <protection locked="0"/>
    </xf>
    <xf numFmtId="41" fontId="109" fillId="90" borderId="169" xfId="0" applyNumberFormat="1" applyFont="1" applyFill="1" applyBorder="1" applyAlignment="1" applyProtection="1">
      <alignment horizontal="center" vertical="center"/>
      <protection locked="0"/>
    </xf>
    <xf numFmtId="41" fontId="109" fillId="90" borderId="170" xfId="0" applyNumberFormat="1" applyFont="1" applyFill="1" applyBorder="1" applyAlignment="1" applyProtection="1">
      <alignment horizontal="center" vertical="center"/>
      <protection locked="0"/>
    </xf>
    <xf numFmtId="41" fontId="109" fillId="90" borderId="35" xfId="0" applyNumberFormat="1" applyFont="1" applyFill="1" applyBorder="1" applyAlignment="1" applyProtection="1">
      <alignment horizontal="center" vertical="center"/>
      <protection locked="0"/>
    </xf>
    <xf numFmtId="0" fontId="108" fillId="62" borderId="128" xfId="138" applyNumberFormat="1" applyFont="1" applyFill="1" applyBorder="1" applyAlignment="1">
      <alignment horizontal="center" vertical="center" shrinkToFit="1"/>
    </xf>
    <xf numFmtId="0" fontId="108" fillId="2" borderId="98" xfId="138" applyFont="1" applyFill="1" applyBorder="1" applyAlignment="1">
      <alignment horizontal="center" vertical="center"/>
    </xf>
    <xf numFmtId="199" fontId="114" fillId="0" borderId="13" xfId="142" applyNumberFormat="1" applyFont="1" applyBorder="1" applyAlignment="1" applyProtection="1">
      <alignment horizontal="right" vertical="center" shrinkToFit="1"/>
      <protection locked="0"/>
    </xf>
    <xf numFmtId="199" fontId="114" fillId="0" borderId="9" xfId="142" applyNumberFormat="1" applyFont="1" applyBorder="1" applyAlignment="1" applyProtection="1">
      <alignment horizontal="right" vertical="center" shrinkToFit="1"/>
      <protection locked="0"/>
    </xf>
    <xf numFmtId="199" fontId="114" fillId="63" borderId="9" xfId="142" applyNumberFormat="1" applyFont="1" applyFill="1" applyBorder="1" applyAlignment="1">
      <alignment horizontal="right" vertical="center" shrinkToFit="1"/>
    </xf>
    <xf numFmtId="199" fontId="105" fillId="93" borderId="0" xfId="0" applyNumberFormat="1" applyFont="1" applyFill="1" applyBorder="1" applyAlignment="1" applyProtection="1">
      <alignment vertical="center"/>
      <protection locked="0"/>
    </xf>
    <xf numFmtId="199" fontId="109" fillId="2" borderId="13" xfId="142" applyNumberFormat="1" applyFont="1" applyFill="1" applyBorder="1" applyAlignment="1">
      <alignment horizontal="right" vertical="center" shrinkToFit="1"/>
    </xf>
    <xf numFmtId="199" fontId="107" fillId="0" borderId="92" xfId="142" applyNumberFormat="1" applyFont="1" applyFill="1" applyBorder="1" applyAlignment="1">
      <alignment horizontal="right" vertical="center" shrinkToFit="1"/>
    </xf>
    <xf numFmtId="199" fontId="107" fillId="0" borderId="13" xfId="142" applyNumberFormat="1" applyFont="1" applyFill="1" applyBorder="1" applyAlignment="1">
      <alignment horizontal="right" vertical="center" shrinkToFit="1"/>
    </xf>
    <xf numFmtId="199" fontId="107" fillId="0" borderId="16" xfId="142" applyNumberFormat="1" applyFont="1" applyFill="1" applyBorder="1" applyAlignment="1">
      <alignment horizontal="right" vertical="center" shrinkToFit="1"/>
    </xf>
    <xf numFmtId="199" fontId="107" fillId="0" borderId="6" xfId="138" applyNumberFormat="1" applyFont="1" applyFill="1" applyBorder="1" applyAlignment="1">
      <alignment horizontal="right"/>
    </xf>
    <xf numFmtId="199" fontId="107" fillId="0" borderId="57" xfId="138" applyNumberFormat="1" applyFont="1" applyFill="1" applyBorder="1" applyAlignment="1">
      <alignment horizontal="right"/>
    </xf>
    <xf numFmtId="199" fontId="109" fillId="0" borderId="31" xfId="142" applyNumberFormat="1" applyFont="1" applyFill="1" applyBorder="1" applyAlignment="1">
      <alignment horizontal="right" vertical="center"/>
    </xf>
    <xf numFmtId="199" fontId="107" fillId="93" borderId="1" xfId="138" applyNumberFormat="1" applyFont="1" applyFill="1" applyBorder="1" applyAlignment="1">
      <alignment vertical="center"/>
    </xf>
    <xf numFmtId="199" fontId="109" fillId="0" borderId="57" xfId="142" applyNumberFormat="1" applyFont="1" applyBorder="1" applyAlignment="1">
      <alignment horizontal="right" vertical="center" shrinkToFit="1"/>
    </xf>
    <xf numFmtId="199" fontId="107" fillId="0" borderId="0" xfId="142" applyNumberFormat="1" applyFont="1" applyAlignment="1">
      <alignment horizontal="right" vertical="center"/>
    </xf>
    <xf numFmtId="199" fontId="109" fillId="2" borderId="9" xfId="142" applyNumberFormat="1" applyFont="1" applyFill="1" applyBorder="1" applyAlignment="1">
      <alignment horizontal="right" vertical="center" shrinkToFit="1"/>
    </xf>
    <xf numFmtId="199" fontId="107" fillId="0" borderId="41" xfId="142" applyNumberFormat="1" applyFont="1" applyFill="1" applyBorder="1" applyAlignment="1">
      <alignment horizontal="right" vertical="center" shrinkToFit="1"/>
    </xf>
    <xf numFmtId="199" fontId="107" fillId="0" borderId="9" xfId="142" applyNumberFormat="1" applyFont="1" applyFill="1" applyBorder="1" applyAlignment="1">
      <alignment horizontal="right" vertical="center" shrinkToFit="1"/>
    </xf>
    <xf numFmtId="199" fontId="107" fillId="0" borderId="10" xfId="142" applyNumberFormat="1" applyFont="1" applyFill="1" applyBorder="1" applyAlignment="1">
      <alignment horizontal="right" vertical="center" shrinkToFit="1"/>
    </xf>
    <xf numFmtId="199" fontId="109" fillId="0" borderId="55" xfId="142" applyNumberFormat="1" applyFont="1" applyFill="1" applyBorder="1" applyAlignment="1">
      <alignment horizontal="right" vertical="center"/>
    </xf>
    <xf numFmtId="199" fontId="109" fillId="93" borderId="1" xfId="142" applyNumberFormat="1" applyFont="1" applyFill="1" applyBorder="1" applyAlignment="1">
      <alignment vertical="center"/>
    </xf>
    <xf numFmtId="199" fontId="109" fillId="0" borderId="33" xfId="142" applyNumberFormat="1" applyFont="1" applyBorder="1" applyAlignment="1">
      <alignment horizontal="right" vertical="center" shrinkToFit="1"/>
    </xf>
    <xf numFmtId="199" fontId="107" fillId="0" borderId="4" xfId="138" applyNumberFormat="1" applyFont="1" applyFill="1" applyBorder="1" applyAlignment="1">
      <alignment horizontal="right"/>
    </xf>
    <xf numFmtId="199" fontId="107" fillId="0" borderId="33" xfId="138" applyNumberFormat="1" applyFont="1" applyFill="1" applyBorder="1" applyAlignment="1">
      <alignment horizontal="right"/>
    </xf>
    <xf numFmtId="199" fontId="106" fillId="93" borderId="0" xfId="142" applyNumberFormat="1" applyFont="1" applyFill="1" applyAlignment="1">
      <alignment horizontal="right" vertical="center"/>
    </xf>
    <xf numFmtId="199" fontId="107" fillId="5" borderId="41" xfId="142" applyNumberFormat="1" applyFont="1" applyFill="1" applyBorder="1" applyAlignment="1">
      <alignment horizontal="right" vertical="center" shrinkToFit="1"/>
    </xf>
    <xf numFmtId="199" fontId="107" fillId="5" borderId="4" xfId="138" applyNumberFormat="1" applyFont="1" applyFill="1" applyBorder="1" applyAlignment="1">
      <alignment horizontal="right"/>
    </xf>
    <xf numFmtId="199" fontId="107" fillId="5" borderId="33" xfId="138" applyNumberFormat="1" applyFont="1" applyFill="1" applyBorder="1" applyAlignment="1">
      <alignment horizontal="right"/>
    </xf>
    <xf numFmtId="199" fontId="116" fillId="5" borderId="55" xfId="142" applyNumberFormat="1" applyFont="1" applyFill="1" applyBorder="1" applyAlignment="1">
      <alignment horizontal="right" vertical="center"/>
    </xf>
    <xf numFmtId="199" fontId="107" fillId="93" borderId="0" xfId="142" applyNumberFormat="1" applyFont="1" applyFill="1" applyBorder="1" applyAlignment="1">
      <alignment horizontal="right" vertical="center"/>
    </xf>
    <xf numFmtId="199" fontId="109" fillId="0" borderId="33" xfId="142" applyNumberFormat="1" applyFont="1" applyFill="1" applyBorder="1" applyAlignment="1">
      <alignment horizontal="right" vertical="center" shrinkToFit="1"/>
    </xf>
    <xf numFmtId="0" fontId="114" fillId="2" borderId="24" xfId="138" applyFont="1" applyFill="1" applyBorder="1" applyAlignment="1">
      <alignment horizontal="center" vertical="center"/>
    </xf>
    <xf numFmtId="41" fontId="109" fillId="90" borderId="21" xfId="0" applyNumberFormat="1" applyFont="1" applyFill="1" applyBorder="1" applyAlignment="1" applyProtection="1">
      <alignment horizontal="center" vertical="center"/>
      <protection locked="0"/>
    </xf>
    <xf numFmtId="0" fontId="107" fillId="0" borderId="21" xfId="0" applyFont="1" applyFill="1" applyBorder="1" applyAlignment="1" applyProtection="1">
      <alignment horizontal="center" vertical="center"/>
      <protection locked="0"/>
    </xf>
    <xf numFmtId="0" fontId="107" fillId="0" borderId="21" xfId="0" applyFont="1" applyFill="1" applyBorder="1" applyAlignment="1" applyProtection="1">
      <alignment vertical="center"/>
      <protection locked="0"/>
    </xf>
    <xf numFmtId="0" fontId="155" fillId="0" borderId="0" xfId="0" applyFont="1" applyAlignment="1">
      <alignment vertical="center"/>
    </xf>
    <xf numFmtId="41" fontId="111" fillId="3" borderId="1" xfId="145" applyFont="1" applyFill="1" applyBorder="1" applyAlignment="1" applyProtection="1">
      <alignment vertical="center"/>
      <protection locked="0"/>
    </xf>
    <xf numFmtId="194" fontId="108" fillId="0" borderId="42" xfId="0" applyNumberFormat="1" applyFont="1" applyFill="1" applyBorder="1" applyAlignment="1" applyProtection="1">
      <alignment horizontal="center" vertical="center"/>
      <protection locked="0"/>
    </xf>
    <xf numFmtId="0" fontId="157" fillId="81" borderId="59" xfId="0" applyFont="1" applyFill="1" applyBorder="1" applyAlignment="1" applyProtection="1">
      <alignment horizontal="center" vertical="center" wrapText="1"/>
      <protection locked="0"/>
    </xf>
    <xf numFmtId="200" fontId="111" fillId="81" borderId="193" xfId="0" applyNumberFormat="1" applyFont="1" applyFill="1" applyBorder="1" applyAlignment="1" applyProtection="1">
      <alignment horizontal="center" vertical="center"/>
      <protection locked="0"/>
    </xf>
    <xf numFmtId="0" fontId="149" fillId="0" borderId="33" xfId="0" applyFont="1" applyBorder="1" applyAlignment="1">
      <alignment horizontal="center" vertical="center"/>
    </xf>
    <xf numFmtId="0" fontId="153" fillId="99" borderId="72" xfId="0" applyFont="1" applyFill="1" applyBorder="1" applyAlignment="1">
      <alignment horizontal="center" vertical="center"/>
    </xf>
    <xf numFmtId="0" fontId="153" fillId="99" borderId="56" xfId="0" applyFont="1" applyFill="1" applyBorder="1" applyAlignment="1">
      <alignment horizontal="center" vertical="center"/>
    </xf>
    <xf numFmtId="212" fontId="156" fillId="0" borderId="169" xfId="0" applyNumberFormat="1" applyFont="1" applyBorder="1" applyAlignment="1">
      <alignment horizontal="center" vertical="center"/>
    </xf>
    <xf numFmtId="0" fontId="150" fillId="78" borderId="9" xfId="0" applyFont="1" applyFill="1" applyBorder="1" applyAlignment="1">
      <alignment horizontal="center" vertical="center"/>
    </xf>
    <xf numFmtId="0" fontId="149" fillId="0" borderId="9" xfId="0" applyFont="1" applyBorder="1" applyAlignment="1">
      <alignment horizontal="center" vertical="center"/>
    </xf>
    <xf numFmtId="0" fontId="149" fillId="3" borderId="9" xfId="0" applyFont="1" applyFill="1" applyBorder="1" applyAlignment="1">
      <alignment horizontal="center" vertical="center"/>
    </xf>
    <xf numFmtId="0" fontId="150" fillId="78" borderId="3" xfId="0" applyFont="1" applyFill="1" applyBorder="1" applyAlignment="1">
      <alignment horizontal="center" vertical="center"/>
    </xf>
    <xf numFmtId="0" fontId="150" fillId="78" borderId="4" xfId="0" applyFont="1" applyFill="1" applyBorder="1" applyAlignment="1">
      <alignment horizontal="center" vertical="center"/>
    </xf>
    <xf numFmtId="0" fontId="150" fillId="78" borderId="5" xfId="0" applyFont="1" applyFill="1" applyBorder="1" applyAlignment="1">
      <alignment horizontal="center" vertical="center"/>
    </xf>
    <xf numFmtId="0" fontId="150" fillId="78" borderId="8" xfId="0" applyFont="1" applyFill="1" applyBorder="1" applyAlignment="1">
      <alignment horizontal="center" vertical="center"/>
    </xf>
    <xf numFmtId="0" fontId="150" fillId="78" borderId="12" xfId="0" applyFont="1" applyFill="1" applyBorder="1" applyAlignment="1">
      <alignment horizontal="center" vertical="center"/>
    </xf>
    <xf numFmtId="0" fontId="149" fillId="0" borderId="8" xfId="0" applyFont="1" applyBorder="1" applyAlignment="1">
      <alignment horizontal="center" vertical="center"/>
    </xf>
    <xf numFmtId="0" fontId="150" fillId="78" borderId="51" xfId="0" applyFont="1" applyFill="1" applyBorder="1" applyAlignment="1">
      <alignment horizontal="center" vertical="center"/>
    </xf>
    <xf numFmtId="0" fontId="150" fillId="78" borderId="14" xfId="0" applyFont="1" applyFill="1" applyBorder="1" applyAlignment="1">
      <alignment horizontal="center" vertical="center"/>
    </xf>
    <xf numFmtId="0" fontId="153" fillId="78" borderId="2" xfId="0" applyFont="1" applyFill="1" applyBorder="1" applyAlignment="1">
      <alignment horizontal="center" vertical="center"/>
    </xf>
    <xf numFmtId="0" fontId="153" fillId="78" borderId="1" xfId="0" applyFont="1" applyFill="1" applyBorder="1" applyAlignment="1">
      <alignment horizontal="center" vertical="center"/>
    </xf>
    <xf numFmtId="0" fontId="105" fillId="96" borderId="0" xfId="1" quotePrefix="1" applyFont="1" applyFill="1" applyBorder="1" applyAlignment="1" applyProtection="1">
      <alignment horizontal="left" vertical="center"/>
      <protection locked="0"/>
    </xf>
    <xf numFmtId="0" fontId="159" fillId="45" borderId="117" xfId="146" applyFont="1" applyFill="1" applyBorder="1" applyAlignment="1" applyProtection="1">
      <alignment horizontal="center" vertical="center"/>
      <protection locked="0"/>
    </xf>
    <xf numFmtId="0" fontId="149" fillId="0" borderId="32" xfId="0" applyFont="1" applyBorder="1" applyAlignment="1">
      <alignment horizontal="center" vertical="center"/>
    </xf>
    <xf numFmtId="0" fontId="108" fillId="62" borderId="12" xfId="138" applyFont="1" applyFill="1" applyBorder="1" applyAlignment="1">
      <alignment horizontal="center" vertical="center" shrinkToFit="1"/>
    </xf>
    <xf numFmtId="0" fontId="114" fillId="62" borderId="9" xfId="142" applyNumberFormat="1" applyFont="1" applyFill="1" applyBorder="1" applyAlignment="1" applyProtection="1">
      <alignment horizontal="center" vertical="center" shrinkToFit="1"/>
      <protection locked="0"/>
    </xf>
    <xf numFmtId="0" fontId="114" fillId="62" borderId="8" xfId="142" applyNumberFormat="1" applyFont="1" applyFill="1" applyBorder="1" applyAlignment="1" applyProtection="1">
      <alignment horizontal="center" vertical="center" shrinkToFit="1"/>
      <protection locked="0"/>
    </xf>
    <xf numFmtId="0" fontId="114" fillId="62" borderId="92" xfId="138" applyFont="1" applyFill="1" applyBorder="1" applyAlignment="1" applyProtection="1">
      <alignment horizontal="center" vertical="center"/>
      <protection locked="0"/>
    </xf>
    <xf numFmtId="0" fontId="114" fillId="62" borderId="8" xfId="0" applyFont="1" applyFill="1" applyBorder="1" applyAlignment="1" applyProtection="1">
      <alignment horizontal="center" vertical="center"/>
      <protection locked="0"/>
    </xf>
    <xf numFmtId="0" fontId="108" fillId="62" borderId="12" xfId="0" applyFont="1" applyFill="1" applyBorder="1" applyAlignment="1" applyProtection="1">
      <alignment horizontal="center" vertical="center"/>
      <protection locked="0"/>
    </xf>
    <xf numFmtId="178" fontId="114" fillId="77" borderId="14" xfId="148" applyNumberFormat="1" applyFont="1" applyFill="1" applyBorder="1" applyAlignment="1" applyProtection="1">
      <alignment vertical="center"/>
      <protection locked="0"/>
    </xf>
    <xf numFmtId="0" fontId="108" fillId="77" borderId="12" xfId="138" applyNumberFormat="1" applyFont="1" applyFill="1" applyBorder="1" applyAlignment="1">
      <alignment horizontal="center" vertical="center" shrinkToFit="1"/>
    </xf>
    <xf numFmtId="0" fontId="108" fillId="77" borderId="128" xfId="138" applyNumberFormat="1" applyFont="1" applyFill="1" applyBorder="1" applyAlignment="1">
      <alignment horizontal="center" vertical="center" shrinkToFit="1"/>
    </xf>
    <xf numFmtId="0" fontId="108" fillId="77" borderId="12" xfId="138" applyFont="1" applyFill="1" applyBorder="1" applyAlignment="1">
      <alignment horizontal="center" vertical="center" shrinkToFit="1"/>
    </xf>
    <xf numFmtId="194" fontId="109" fillId="0" borderId="42" xfId="0" applyNumberFormat="1" applyFont="1" applyFill="1" applyBorder="1" applyAlignment="1" applyProtection="1">
      <alignment horizontal="center" vertical="center"/>
      <protection locked="0"/>
    </xf>
    <xf numFmtId="192" fontId="114" fillId="62" borderId="8" xfId="0" applyNumberFormat="1" applyFont="1" applyFill="1" applyBorder="1" applyAlignment="1" applyProtection="1">
      <alignment horizontal="center" vertical="center"/>
      <protection locked="0"/>
    </xf>
    <xf numFmtId="0" fontId="60" fillId="2" borderId="3" xfId="142" applyFont="1" applyFill="1" applyBorder="1" applyAlignment="1">
      <alignment horizontal="center" vertical="center"/>
    </xf>
    <xf numFmtId="0" fontId="60" fillId="2" borderId="5" xfId="142" applyFont="1" applyFill="1" applyBorder="1" applyAlignment="1">
      <alignment horizontal="center" vertical="center"/>
    </xf>
    <xf numFmtId="0" fontId="55" fillId="2" borderId="7" xfId="142" applyFont="1" applyFill="1" applyBorder="1" applyAlignment="1">
      <alignment horizontal="center" vertical="center"/>
    </xf>
    <xf numFmtId="0" fontId="55" fillId="2" borderId="52" xfId="142" applyFont="1" applyFill="1" applyBorder="1" applyAlignment="1">
      <alignment horizontal="center" vertical="center"/>
    </xf>
    <xf numFmtId="0" fontId="58" fillId="2" borderId="50" xfId="142" applyNumberFormat="1" applyFont="1" applyFill="1" applyBorder="1" applyAlignment="1">
      <alignment horizontal="center" vertical="center" wrapText="1"/>
    </xf>
    <xf numFmtId="0" fontId="55" fillId="2" borderId="2" xfId="142" applyNumberFormat="1" applyFont="1" applyFill="1" applyBorder="1" applyAlignment="1">
      <alignment horizontal="center" vertical="center" wrapText="1"/>
    </xf>
    <xf numFmtId="0" fontId="55" fillId="2" borderId="104" xfId="142" applyNumberFormat="1" applyFont="1" applyFill="1" applyBorder="1" applyAlignment="1">
      <alignment horizontal="center" vertical="center" wrapText="1"/>
    </xf>
    <xf numFmtId="0" fontId="55" fillId="2" borderId="23" xfId="142" applyNumberFormat="1" applyFont="1" applyFill="1" applyBorder="1" applyAlignment="1">
      <alignment horizontal="center" vertical="center" wrapText="1"/>
    </xf>
    <xf numFmtId="0" fontId="55" fillId="2" borderId="24" xfId="142" applyNumberFormat="1" applyFont="1" applyFill="1" applyBorder="1" applyAlignment="1">
      <alignment horizontal="center" vertical="center" wrapText="1"/>
    </xf>
    <xf numFmtId="0" fontId="55" fillId="2" borderId="92" xfId="142" applyNumberFormat="1" applyFont="1" applyFill="1" applyBorder="1" applyAlignment="1">
      <alignment horizontal="center" vertical="center" wrapText="1"/>
    </xf>
    <xf numFmtId="0" fontId="55" fillId="2" borderId="5" xfId="142" applyFont="1" applyFill="1" applyBorder="1" applyAlignment="1">
      <alignment horizontal="center" vertical="center" wrapText="1"/>
    </xf>
    <xf numFmtId="0" fontId="55" fillId="2" borderId="12" xfId="142" applyFont="1" applyFill="1" applyBorder="1" applyAlignment="1">
      <alignment horizontal="center" vertical="center" wrapText="1"/>
    </xf>
    <xf numFmtId="0" fontId="55" fillId="2" borderId="97" xfId="142" applyFont="1" applyFill="1" applyBorder="1" applyAlignment="1">
      <alignment horizontal="center" vertical="center" shrinkToFit="1"/>
    </xf>
    <xf numFmtId="0" fontId="55" fillId="2" borderId="6" xfId="142" applyFont="1" applyFill="1" applyBorder="1" applyAlignment="1">
      <alignment horizontal="center" vertical="center" shrinkToFit="1"/>
    </xf>
    <xf numFmtId="0" fontId="55" fillId="2" borderId="4" xfId="142" applyFont="1" applyFill="1" applyBorder="1" applyAlignment="1">
      <alignment horizontal="center" vertical="center" shrinkToFit="1"/>
    </xf>
    <xf numFmtId="0" fontId="58" fillId="2" borderId="4" xfId="142" applyFont="1" applyFill="1" applyBorder="1" applyAlignment="1">
      <alignment horizontal="center" vertical="center" shrinkToFit="1"/>
    </xf>
    <xf numFmtId="0" fontId="55" fillId="2" borderId="5" xfId="142" applyFont="1" applyFill="1" applyBorder="1" applyAlignment="1">
      <alignment horizontal="center" vertical="center" shrinkToFit="1"/>
    </xf>
    <xf numFmtId="0" fontId="38" fillId="45" borderId="32" xfId="142" applyNumberFormat="1" applyFont="1" applyFill="1" applyBorder="1" applyAlignment="1">
      <alignment horizontal="center" vertical="center"/>
    </xf>
    <xf numFmtId="0" fontId="38" fillId="45" borderId="33" xfId="142" applyNumberFormat="1" applyFont="1" applyFill="1" applyBorder="1" applyAlignment="1">
      <alignment horizontal="center" vertical="center"/>
    </xf>
    <xf numFmtId="0" fontId="58" fillId="2" borderId="3" xfId="142" applyFont="1" applyFill="1" applyBorder="1" applyAlignment="1">
      <alignment horizontal="center" vertical="center" shrinkToFit="1"/>
    </xf>
    <xf numFmtId="199" fontId="58" fillId="2" borderId="7" xfId="142" applyNumberFormat="1" applyFont="1" applyFill="1" applyBorder="1" applyAlignment="1">
      <alignment horizontal="center" vertical="center" shrinkToFit="1"/>
    </xf>
    <xf numFmtId="199" fontId="55" fillId="2" borderId="43" xfId="142" applyNumberFormat="1" applyFont="1" applyFill="1" applyBorder="1" applyAlignment="1">
      <alignment horizontal="center" vertical="center" shrinkToFit="1"/>
    </xf>
    <xf numFmtId="0" fontId="55" fillId="2" borderId="3" xfId="142" applyFont="1" applyFill="1" applyBorder="1" applyAlignment="1">
      <alignment horizontal="center" vertical="center" shrinkToFit="1"/>
    </xf>
    <xf numFmtId="0" fontId="55" fillId="2" borderId="97" xfId="142" applyFont="1" applyFill="1" applyBorder="1" applyAlignment="1">
      <alignment horizontal="center" vertical="center"/>
    </xf>
    <xf numFmtId="0" fontId="38" fillId="45" borderId="40" xfId="142" applyNumberFormat="1" applyFont="1" applyFill="1" applyBorder="1" applyAlignment="1">
      <alignment horizontal="center" vertical="center"/>
    </xf>
    <xf numFmtId="0" fontId="38" fillId="45" borderId="41" xfId="142" applyNumberFormat="1" applyFont="1" applyFill="1" applyBorder="1" applyAlignment="1">
      <alignment horizontal="center" vertical="center"/>
    </xf>
    <xf numFmtId="0" fontId="38" fillId="45" borderId="8" xfId="142" applyNumberFormat="1" applyFont="1" applyFill="1" applyBorder="1" applyAlignment="1">
      <alignment horizontal="center" vertical="center"/>
    </xf>
    <xf numFmtId="0" fontId="38" fillId="45" borderId="9" xfId="142" applyNumberFormat="1" applyFont="1" applyFill="1" applyBorder="1" applyAlignment="1">
      <alignment horizontal="center" vertical="center"/>
    </xf>
    <xf numFmtId="0" fontId="38" fillId="45" borderId="15" xfId="142" applyNumberFormat="1" applyFont="1" applyFill="1" applyBorder="1" applyAlignment="1">
      <alignment horizontal="center" vertical="center"/>
    </xf>
    <xf numFmtId="0" fontId="38" fillId="45" borderId="10" xfId="142" applyNumberFormat="1" applyFont="1" applyFill="1" applyBorder="1" applyAlignment="1">
      <alignment horizontal="center" vertical="center"/>
    </xf>
    <xf numFmtId="0" fontId="38" fillId="45" borderId="3" xfId="142" applyNumberFormat="1" applyFont="1" applyFill="1" applyBorder="1" applyAlignment="1">
      <alignment horizontal="center" vertical="center"/>
    </xf>
    <xf numFmtId="0" fontId="38" fillId="45" borderId="4" xfId="142" applyNumberFormat="1" applyFont="1" applyFill="1" applyBorder="1" applyAlignment="1">
      <alignment horizontal="center" vertical="center"/>
    </xf>
    <xf numFmtId="0" fontId="38" fillId="45" borderId="34" xfId="142" applyFont="1" applyFill="1" applyBorder="1" applyAlignment="1">
      <alignment horizontal="center" vertical="center"/>
    </xf>
    <xf numFmtId="0" fontId="38" fillId="45" borderId="1" xfId="142" applyFont="1" applyFill="1" applyBorder="1" applyAlignment="1">
      <alignment horizontal="center" vertical="center"/>
    </xf>
    <xf numFmtId="0" fontId="12" fillId="0" borderId="72" xfId="138" applyFont="1" applyFill="1" applyBorder="1" applyAlignment="1" applyProtection="1">
      <alignment horizontal="center" vertical="center"/>
      <protection locked="0"/>
    </xf>
    <xf numFmtId="0" fontId="48" fillId="0" borderId="40" xfId="138" applyFont="1" applyFill="1" applyBorder="1" applyAlignment="1">
      <alignment horizontal="center" vertical="center"/>
    </xf>
    <xf numFmtId="0" fontId="58" fillId="0" borderId="4" xfId="142" applyNumberFormat="1" applyFont="1" applyBorder="1" applyAlignment="1">
      <alignment horizontal="center" vertical="center" wrapText="1"/>
    </xf>
    <xf numFmtId="0" fontId="55" fillId="0" borderId="33" xfId="142" applyNumberFormat="1" applyFont="1" applyBorder="1" applyAlignment="1">
      <alignment horizontal="center" vertical="center" wrapText="1"/>
    </xf>
    <xf numFmtId="0" fontId="55" fillId="0" borderId="4" xfId="142" applyFont="1" applyBorder="1" applyAlignment="1">
      <alignment horizontal="center" vertical="center" wrapText="1"/>
    </xf>
    <xf numFmtId="0" fontId="55" fillId="0" borderId="33" xfId="142" applyFont="1" applyBorder="1" applyAlignment="1">
      <alignment horizontal="center" vertical="center" wrapText="1"/>
    </xf>
    <xf numFmtId="0" fontId="70" fillId="66" borderId="3" xfId="142" applyFont="1" applyFill="1" applyBorder="1" applyAlignment="1">
      <alignment horizontal="center" vertical="center"/>
    </xf>
    <xf numFmtId="0" fontId="70" fillId="66" borderId="5" xfId="142" applyFont="1" applyFill="1" applyBorder="1" applyAlignment="1">
      <alignment horizontal="center" vertical="center"/>
    </xf>
    <xf numFmtId="0" fontId="55" fillId="0" borderId="97" xfId="142" applyFont="1" applyBorder="1" applyAlignment="1">
      <alignment horizontal="center" vertical="center"/>
    </xf>
    <xf numFmtId="0" fontId="55" fillId="0" borderId="7" xfId="142" applyFont="1" applyBorder="1" applyAlignment="1">
      <alignment horizontal="center" vertical="center"/>
    </xf>
    <xf numFmtId="0" fontId="55" fillId="0" borderId="52" xfId="142" applyFont="1" applyBorder="1" applyAlignment="1">
      <alignment horizontal="center" vertical="center"/>
    </xf>
    <xf numFmtId="0" fontId="8" fillId="62" borderId="11" xfId="138" applyNumberFormat="1" applyFont="1" applyFill="1" applyBorder="1" applyAlignment="1">
      <alignment horizontal="center" vertical="center" shrinkToFit="1"/>
    </xf>
    <xf numFmtId="0" fontId="8" fillId="62" borderId="105" xfId="138" applyNumberFormat="1" applyFont="1" applyFill="1" applyBorder="1" applyAlignment="1">
      <alignment horizontal="center" vertical="center" shrinkToFit="1"/>
    </xf>
    <xf numFmtId="0" fontId="8" fillId="62" borderId="22" xfId="138" applyNumberFormat="1" applyFont="1" applyFill="1" applyBorder="1" applyAlignment="1">
      <alignment horizontal="center" vertical="center" shrinkToFit="1"/>
    </xf>
    <xf numFmtId="178" fontId="22" fillId="62" borderId="42" xfId="142" applyNumberFormat="1" applyFont="1" applyFill="1" applyBorder="1" applyAlignment="1" applyProtection="1">
      <alignment horizontal="center" vertical="center" shrinkToFit="1"/>
      <protection locked="0"/>
    </xf>
    <xf numFmtId="178" fontId="22" fillId="62" borderId="13" xfId="142" applyNumberFormat="1" applyFont="1" applyFill="1" applyBorder="1" applyAlignment="1" applyProtection="1">
      <alignment horizontal="center" vertical="center" shrinkToFit="1"/>
      <protection locked="0"/>
    </xf>
    <xf numFmtId="0" fontId="55" fillId="0" borderId="97" xfId="142" applyFont="1" applyBorder="1" applyAlignment="1">
      <alignment horizontal="center" vertical="center" shrinkToFit="1"/>
    </xf>
    <xf numFmtId="0" fontId="55" fillId="0" borderId="6" xfId="142" applyFont="1" applyBorder="1" applyAlignment="1">
      <alignment horizontal="center" vertical="center" shrinkToFit="1"/>
    </xf>
    <xf numFmtId="0" fontId="55" fillId="0" borderId="4" xfId="142" applyFont="1" applyBorder="1" applyAlignment="1">
      <alignment horizontal="center" vertical="center" shrinkToFit="1"/>
    </xf>
    <xf numFmtId="0" fontId="58" fillId="0" borderId="4" xfId="142" applyFont="1" applyFill="1" applyBorder="1" applyAlignment="1">
      <alignment horizontal="center" vertical="center" shrinkToFit="1"/>
    </xf>
    <xf numFmtId="0" fontId="55" fillId="0" borderId="5" xfId="142" applyFont="1" applyFill="1" applyBorder="1" applyAlignment="1">
      <alignment horizontal="center" vertical="center" shrinkToFit="1"/>
    </xf>
    <xf numFmtId="0" fontId="58" fillId="43" borderId="3" xfId="142" applyFont="1" applyFill="1" applyBorder="1" applyAlignment="1">
      <alignment horizontal="center" vertical="center" shrinkToFit="1"/>
    </xf>
    <xf numFmtId="0" fontId="55" fillId="43" borderId="4" xfId="142" applyFont="1" applyFill="1" applyBorder="1" applyAlignment="1">
      <alignment horizontal="center" vertical="center" shrinkToFit="1"/>
    </xf>
    <xf numFmtId="0" fontId="55" fillId="43" borderId="5" xfId="142" applyFont="1" applyFill="1" applyBorder="1" applyAlignment="1">
      <alignment horizontal="center" vertical="center" shrinkToFit="1"/>
    </xf>
    <xf numFmtId="199" fontId="58" fillId="43" borderId="7" xfId="142" applyNumberFormat="1" applyFont="1" applyFill="1" applyBorder="1" applyAlignment="1">
      <alignment horizontal="center" vertical="center" shrinkToFit="1"/>
    </xf>
    <xf numFmtId="199" fontId="55" fillId="43" borderId="94" xfId="142" applyNumberFormat="1" applyFont="1" applyFill="1" applyBorder="1" applyAlignment="1">
      <alignment horizontal="center" vertical="center" shrinkToFit="1"/>
    </xf>
    <xf numFmtId="0" fontId="58" fillId="0" borderId="5" xfId="142" applyFont="1" applyBorder="1" applyAlignment="1">
      <alignment horizontal="center" vertical="center" wrapText="1"/>
    </xf>
    <xf numFmtId="0" fontId="55" fillId="0" borderId="18" xfId="142" applyFont="1" applyBorder="1" applyAlignment="1">
      <alignment horizontal="center" vertical="center" wrapText="1"/>
    </xf>
    <xf numFmtId="0" fontId="55" fillId="0" borderId="7" xfId="142" applyFont="1" applyBorder="1" applyAlignment="1">
      <alignment horizontal="center" vertical="center" shrinkToFit="1"/>
    </xf>
    <xf numFmtId="0" fontId="55" fillId="0" borderId="52" xfId="142" applyFont="1" applyBorder="1" applyAlignment="1">
      <alignment horizontal="center" vertical="center" shrinkToFit="1"/>
    </xf>
    <xf numFmtId="0" fontId="8" fillId="3" borderId="11" xfId="138" applyNumberFormat="1" applyFont="1" applyFill="1" applyBorder="1" applyAlignment="1">
      <alignment horizontal="center" vertical="center" shrinkToFit="1"/>
    </xf>
    <xf numFmtId="0" fontId="8" fillId="3" borderId="105" xfId="138" applyNumberFormat="1" applyFont="1" applyFill="1" applyBorder="1" applyAlignment="1">
      <alignment horizontal="center" vertical="center" shrinkToFit="1"/>
    </xf>
    <xf numFmtId="0" fontId="8" fillId="3" borderId="22" xfId="138" applyNumberFormat="1" applyFont="1" applyFill="1" applyBorder="1" applyAlignment="1">
      <alignment horizontal="center" vertical="center" shrinkToFit="1"/>
    </xf>
    <xf numFmtId="178" fontId="55" fillId="82" borderId="42" xfId="142" applyNumberFormat="1" applyFont="1" applyFill="1" applyBorder="1" applyAlignment="1" applyProtection="1">
      <alignment horizontal="center" vertical="center" shrinkToFit="1"/>
      <protection locked="0"/>
    </xf>
    <xf numFmtId="178" fontId="55" fillId="82" borderId="13" xfId="142" applyNumberFormat="1" applyFont="1" applyFill="1" applyBorder="1" applyAlignment="1" applyProtection="1">
      <alignment horizontal="center" vertical="center" shrinkToFit="1"/>
      <protection locked="0"/>
    </xf>
    <xf numFmtId="178" fontId="55" fillId="67" borderId="42" xfId="142" applyNumberFormat="1" applyFont="1" applyFill="1" applyBorder="1" applyAlignment="1" applyProtection="1">
      <alignment horizontal="center" vertical="center" shrinkToFit="1"/>
      <protection locked="0"/>
    </xf>
    <xf numFmtId="178" fontId="55" fillId="67" borderId="13" xfId="142" applyNumberFormat="1" applyFont="1" applyFill="1" applyBorder="1" applyAlignment="1" applyProtection="1">
      <alignment horizontal="center" vertical="center" shrinkToFit="1"/>
      <protection locked="0"/>
    </xf>
    <xf numFmtId="0" fontId="48" fillId="0" borderId="20" xfId="138" applyFont="1" applyFill="1" applyBorder="1" applyAlignment="1">
      <alignment horizontal="center" vertical="center"/>
    </xf>
    <xf numFmtId="0" fontId="55" fillId="0" borderId="10" xfId="142" applyNumberFormat="1" applyFont="1" applyBorder="1" applyAlignment="1">
      <alignment horizontal="center" vertical="center" wrapText="1"/>
    </xf>
    <xf numFmtId="0" fontId="55" fillId="0" borderId="10" xfId="142" applyFont="1" applyBorder="1" applyAlignment="1">
      <alignment horizontal="center" vertical="center" wrapText="1"/>
    </xf>
    <xf numFmtId="0" fontId="55" fillId="0" borderId="11" xfId="142" applyFont="1" applyBorder="1" applyAlignment="1">
      <alignment horizontal="center" vertical="center" wrapText="1"/>
    </xf>
    <xf numFmtId="199" fontId="55" fillId="43" borderId="166" xfId="142" applyNumberFormat="1" applyFont="1" applyFill="1" applyBorder="1" applyAlignment="1">
      <alignment horizontal="center" vertical="center" shrinkToFit="1"/>
    </xf>
    <xf numFmtId="0" fontId="74" fillId="71" borderId="24" xfId="0" applyFont="1" applyFill="1" applyBorder="1" applyAlignment="1" applyProtection="1">
      <alignment horizontal="left" vertical="center" indent="1"/>
      <protection locked="0"/>
    </xf>
    <xf numFmtId="0" fontId="135" fillId="0" borderId="42" xfId="0" applyFont="1" applyFill="1" applyBorder="1" applyAlignment="1" applyProtection="1">
      <alignment horizontal="left" vertical="center" wrapText="1"/>
      <protection locked="0"/>
    </xf>
    <xf numFmtId="0" fontId="135" fillId="0" borderId="43" xfId="0" applyFont="1" applyFill="1" applyBorder="1" applyAlignment="1" applyProtection="1">
      <alignment horizontal="left" vertical="center" wrapText="1"/>
      <protection locked="0"/>
    </xf>
    <xf numFmtId="0" fontId="135" fillId="0" borderId="44" xfId="0" applyFont="1" applyFill="1" applyBorder="1" applyAlignment="1" applyProtection="1">
      <alignment horizontal="left" vertical="center" wrapText="1"/>
      <protection locked="0"/>
    </xf>
    <xf numFmtId="0" fontId="152" fillId="0" borderId="42" xfId="0" applyFont="1" applyFill="1" applyBorder="1" applyAlignment="1" applyProtection="1">
      <alignment horizontal="left" vertical="center" wrapText="1"/>
      <protection locked="0"/>
    </xf>
    <xf numFmtId="0" fontId="152" fillId="0" borderId="43" xfId="0" applyFont="1" applyFill="1" applyBorder="1" applyAlignment="1" applyProtection="1">
      <alignment horizontal="left" vertical="center" wrapText="1"/>
      <protection locked="0"/>
    </xf>
    <xf numFmtId="0" fontId="152" fillId="0" borderId="44" xfId="0" applyFont="1" applyFill="1" applyBorder="1" applyAlignment="1" applyProtection="1">
      <alignment horizontal="left" vertical="center" wrapText="1"/>
      <protection locked="0"/>
    </xf>
    <xf numFmtId="0" fontId="140" fillId="0" borderId="42" xfId="0" applyFont="1" applyFill="1" applyBorder="1" applyAlignment="1" applyProtection="1">
      <alignment horizontal="left" vertical="center" wrapText="1"/>
      <protection locked="0"/>
    </xf>
    <xf numFmtId="0" fontId="140" fillId="0" borderId="43" xfId="0" applyFont="1" applyFill="1" applyBorder="1" applyAlignment="1" applyProtection="1">
      <alignment horizontal="left" vertical="center" wrapText="1"/>
      <protection locked="0"/>
    </xf>
    <xf numFmtId="0" fontId="140" fillId="0" borderId="44" xfId="0" applyFont="1" applyFill="1" applyBorder="1" applyAlignment="1" applyProtection="1">
      <alignment horizontal="left" vertical="center" wrapText="1"/>
      <protection locked="0"/>
    </xf>
    <xf numFmtId="0" fontId="163" fillId="0" borderId="42" xfId="0" applyFont="1" applyFill="1" applyBorder="1" applyAlignment="1" applyProtection="1">
      <alignment horizontal="left" vertical="center" wrapText="1"/>
      <protection locked="0"/>
    </xf>
    <xf numFmtId="0" fontId="163" fillId="0" borderId="43" xfId="0" applyFont="1" applyFill="1" applyBorder="1" applyAlignment="1" applyProtection="1">
      <alignment horizontal="left" vertical="center" wrapText="1"/>
      <protection locked="0"/>
    </xf>
    <xf numFmtId="0" fontId="163" fillId="0" borderId="44" xfId="0" applyFont="1" applyFill="1" applyBorder="1" applyAlignment="1" applyProtection="1">
      <alignment horizontal="left" vertical="center" wrapText="1"/>
      <protection locked="0"/>
    </xf>
    <xf numFmtId="0" fontId="164" fillId="0" borderId="42" xfId="0" applyFont="1" applyFill="1" applyBorder="1" applyAlignment="1" applyProtection="1">
      <alignment horizontal="left" vertical="center" wrapText="1"/>
      <protection locked="0"/>
    </xf>
    <xf numFmtId="0" fontId="164" fillId="0" borderId="43" xfId="0" applyFont="1" applyFill="1" applyBorder="1" applyAlignment="1" applyProtection="1">
      <alignment horizontal="left" vertical="center" wrapText="1"/>
      <protection locked="0"/>
    </xf>
    <xf numFmtId="0" fontId="164" fillId="0" borderId="44" xfId="0" applyFont="1" applyFill="1" applyBorder="1" applyAlignment="1" applyProtection="1">
      <alignment horizontal="left" vertical="center" wrapText="1"/>
      <protection locked="0"/>
    </xf>
    <xf numFmtId="0" fontId="160" fillId="0" borderId="42" xfId="0" applyFont="1" applyFill="1" applyBorder="1" applyAlignment="1" applyProtection="1">
      <alignment horizontal="left" vertical="center" wrapText="1"/>
      <protection locked="0"/>
    </xf>
    <xf numFmtId="0" fontId="160" fillId="0" borderId="43" xfId="0" applyFont="1" applyFill="1" applyBorder="1" applyAlignment="1" applyProtection="1">
      <alignment horizontal="left" vertical="center" wrapText="1"/>
      <protection locked="0"/>
    </xf>
    <xf numFmtId="0" fontId="160" fillId="0" borderId="44" xfId="0" applyFont="1" applyFill="1" applyBorder="1" applyAlignment="1" applyProtection="1">
      <alignment horizontal="left" vertical="center" wrapText="1"/>
      <protection locked="0"/>
    </xf>
    <xf numFmtId="0" fontId="151" fillId="0" borderId="42" xfId="0" applyFont="1" applyFill="1" applyBorder="1" applyAlignment="1" applyProtection="1">
      <alignment horizontal="left" vertical="center" wrapText="1"/>
      <protection locked="0"/>
    </xf>
    <xf numFmtId="0" fontId="151" fillId="0" borderId="43" xfId="0" applyFont="1" applyFill="1" applyBorder="1" applyAlignment="1" applyProtection="1">
      <alignment horizontal="left" vertical="center" wrapText="1"/>
      <protection locked="0"/>
    </xf>
    <xf numFmtId="0" fontId="151" fillId="0" borderId="44" xfId="0" applyFont="1" applyFill="1" applyBorder="1" applyAlignment="1" applyProtection="1">
      <alignment horizontal="left" vertical="center" wrapText="1"/>
      <protection locked="0"/>
    </xf>
    <xf numFmtId="0" fontId="104" fillId="96" borderId="0" xfId="0" applyFont="1" applyFill="1" applyBorder="1" applyAlignment="1" applyProtection="1">
      <alignment horizontal="left" vertical="center"/>
      <protection locked="0"/>
    </xf>
    <xf numFmtId="0" fontId="113" fillId="90" borderId="100" xfId="0" applyFont="1" applyFill="1" applyBorder="1" applyAlignment="1" applyProtection="1">
      <alignment horizontal="center" vertical="center"/>
      <protection locked="0"/>
    </xf>
    <xf numFmtId="0" fontId="119" fillId="90" borderId="96" xfId="0" applyFont="1" applyFill="1" applyBorder="1" applyAlignment="1">
      <alignment horizontal="center" vertical="center"/>
    </xf>
    <xf numFmtId="0" fontId="161" fillId="0" borderId="42" xfId="0" applyFont="1" applyFill="1" applyBorder="1" applyAlignment="1" applyProtection="1">
      <alignment horizontal="left" vertical="center" wrapText="1"/>
      <protection locked="0"/>
    </xf>
    <xf numFmtId="20" fontId="152" fillId="0" borderId="42" xfId="0" applyNumberFormat="1" applyFont="1" applyFill="1" applyBorder="1" applyAlignment="1" applyProtection="1">
      <alignment horizontal="left" vertical="center" wrapText="1"/>
      <protection locked="0"/>
    </xf>
    <xf numFmtId="0" fontId="152" fillId="62" borderId="42" xfId="0" applyFont="1" applyFill="1" applyBorder="1" applyAlignment="1" applyProtection="1">
      <alignment horizontal="left" vertical="center" wrapText="1"/>
      <protection locked="0"/>
    </xf>
    <xf numFmtId="0" fontId="152" fillId="62" borderId="43" xfId="0" applyFont="1" applyFill="1" applyBorder="1" applyAlignment="1" applyProtection="1">
      <alignment horizontal="left" vertical="center" wrapText="1"/>
      <protection locked="0"/>
    </xf>
    <xf numFmtId="0" fontId="152" fillId="62" borderId="44" xfId="0" applyFont="1" applyFill="1" applyBorder="1" applyAlignment="1" applyProtection="1">
      <alignment horizontal="left" vertical="center" wrapText="1"/>
      <protection locked="0"/>
    </xf>
    <xf numFmtId="0" fontId="105" fillId="97" borderId="158" xfId="0" applyFont="1" applyFill="1" applyBorder="1" applyAlignment="1" applyProtection="1">
      <alignment horizontal="center" vertical="center"/>
      <protection locked="0"/>
    </xf>
    <xf numFmtId="0" fontId="105" fillId="97" borderId="114" xfId="0" applyFont="1" applyFill="1" applyBorder="1" applyAlignment="1" applyProtection="1">
      <alignment horizontal="center" vertical="center"/>
      <protection locked="0"/>
    </xf>
    <xf numFmtId="0" fontId="109" fillId="90" borderId="72" xfId="0" applyFont="1" applyFill="1" applyBorder="1" applyAlignment="1" applyProtection="1">
      <alignment horizontal="center" vertical="center" wrapText="1"/>
      <protection locked="0"/>
    </xf>
    <xf numFmtId="0" fontId="109" fillId="90" borderId="30" xfId="0" applyFont="1" applyFill="1" applyBorder="1" applyAlignment="1">
      <alignment horizontal="center" vertical="center"/>
    </xf>
    <xf numFmtId="0" fontId="109" fillId="90" borderId="100" xfId="0" applyFont="1" applyFill="1" applyBorder="1" applyAlignment="1" applyProtection="1">
      <alignment horizontal="center" vertical="center"/>
      <protection locked="0"/>
    </xf>
    <xf numFmtId="0" fontId="109" fillId="90" borderId="96" xfId="0" applyFont="1" applyFill="1" applyBorder="1" applyAlignment="1" applyProtection="1">
      <alignment horizontal="center" vertical="center"/>
      <protection locked="0"/>
    </xf>
    <xf numFmtId="209" fontId="105" fillId="96" borderId="34" xfId="0" applyNumberFormat="1" applyFont="1" applyFill="1" applyBorder="1" applyAlignment="1" applyProtection="1">
      <alignment horizontal="center" vertical="center"/>
      <protection locked="0"/>
    </xf>
    <xf numFmtId="209" fontId="105" fillId="96" borderId="1" xfId="0" applyNumberFormat="1" applyFont="1" applyFill="1" applyBorder="1" applyAlignment="1" applyProtection="1">
      <alignment horizontal="center" vertical="center"/>
      <protection locked="0"/>
    </xf>
    <xf numFmtId="209" fontId="105" fillId="96" borderId="35" xfId="0" applyNumberFormat="1" applyFont="1" applyFill="1" applyBorder="1" applyAlignment="1" applyProtection="1">
      <alignment horizontal="center" vertical="center"/>
      <protection locked="0"/>
    </xf>
    <xf numFmtId="192" fontId="105" fillId="97" borderId="158" xfId="0" applyNumberFormat="1" applyFont="1" applyFill="1" applyBorder="1" applyAlignment="1" applyProtection="1">
      <alignment horizontal="center" vertical="center"/>
      <protection locked="0"/>
    </xf>
    <xf numFmtId="0" fontId="109" fillId="90" borderId="40" xfId="0" applyFont="1" applyFill="1" applyBorder="1" applyAlignment="1" applyProtection="1">
      <alignment horizontal="center" vertical="center"/>
      <protection locked="0"/>
    </xf>
    <xf numFmtId="0" fontId="109" fillId="90" borderId="41" xfId="0" applyFont="1" applyFill="1" applyBorder="1" applyAlignment="1" applyProtection="1">
      <alignment horizontal="center" vertical="center"/>
      <protection locked="0"/>
    </xf>
    <xf numFmtId="179" fontId="115" fillId="3" borderId="93" xfId="0" applyNumberFormat="1" applyFont="1" applyFill="1" applyBorder="1" applyAlignment="1" applyProtection="1">
      <alignment horizontal="center" vertical="center"/>
      <protection locked="0"/>
    </xf>
    <xf numFmtId="179" fontId="115" fillId="3" borderId="57" xfId="0" applyNumberFormat="1" applyFont="1" applyFill="1" applyBorder="1" applyAlignment="1" applyProtection="1">
      <alignment horizontal="center" vertical="center"/>
      <protection locked="0"/>
    </xf>
    <xf numFmtId="0" fontId="109" fillId="90" borderId="103" xfId="0" applyFont="1" applyFill="1" applyBorder="1" applyAlignment="1" applyProtection="1">
      <alignment horizontal="center" vertical="center"/>
      <protection locked="0"/>
    </xf>
    <xf numFmtId="0" fontId="109" fillId="90" borderId="92" xfId="0" applyFont="1" applyFill="1" applyBorder="1" applyAlignment="1" applyProtection="1">
      <alignment horizontal="center" vertical="center"/>
      <protection locked="0"/>
    </xf>
    <xf numFmtId="179" fontId="115" fillId="3" borderId="58" xfId="0" applyNumberFormat="1" applyFont="1" applyFill="1" applyBorder="1" applyAlignment="1" applyProtection="1">
      <alignment horizontal="center" vertical="center"/>
      <protection locked="0"/>
    </xf>
    <xf numFmtId="0" fontId="109" fillId="90" borderId="72" xfId="0" applyFont="1" applyFill="1" applyBorder="1" applyAlignment="1" applyProtection="1">
      <alignment horizontal="center" vertical="center"/>
      <protection locked="0"/>
    </xf>
    <xf numFmtId="0" fontId="109" fillId="90" borderId="30" xfId="0" applyFont="1" applyFill="1" applyBorder="1" applyAlignment="1" applyProtection="1">
      <alignment horizontal="center" vertical="center"/>
      <protection locked="0"/>
    </xf>
    <xf numFmtId="0" fontId="109" fillId="90" borderId="104" xfId="0" applyFont="1" applyFill="1" applyBorder="1" applyAlignment="1" applyProtection="1">
      <alignment horizontal="center" vertical="center"/>
      <protection locked="0"/>
    </xf>
    <xf numFmtId="0" fontId="109" fillId="90" borderId="31" xfId="0" applyFont="1" applyFill="1" applyBorder="1" applyAlignment="1" applyProtection="1">
      <alignment horizontal="center" vertical="center"/>
      <protection locked="0"/>
    </xf>
    <xf numFmtId="0" fontId="109" fillId="90" borderId="97" xfId="0" applyFont="1" applyFill="1" applyBorder="1" applyAlignment="1" applyProtection="1">
      <alignment horizontal="center" vertical="center"/>
      <protection locked="0"/>
    </xf>
    <xf numFmtId="0" fontId="109" fillId="90" borderId="7" xfId="0" applyFont="1" applyFill="1" applyBorder="1" applyAlignment="1" applyProtection="1">
      <alignment horizontal="center" vertical="center"/>
      <protection locked="0"/>
    </xf>
    <xf numFmtId="0" fontId="109" fillId="90" borderId="52" xfId="0" applyFont="1" applyFill="1" applyBorder="1" applyAlignment="1" applyProtection="1">
      <alignment horizontal="center" vertical="center"/>
      <protection locked="0"/>
    </xf>
    <xf numFmtId="0" fontId="109" fillId="90" borderId="51" xfId="0" applyFont="1" applyFill="1" applyBorder="1" applyAlignment="1" applyProtection="1">
      <alignment horizontal="center" vertical="center"/>
      <protection locked="0"/>
    </xf>
    <xf numFmtId="0" fontId="109" fillId="90" borderId="52" xfId="0" applyFont="1" applyFill="1" applyBorder="1" applyAlignment="1">
      <alignment horizontal="center" vertical="center"/>
    </xf>
    <xf numFmtId="0" fontId="105" fillId="98" borderId="119" xfId="0" applyFont="1" applyFill="1" applyBorder="1" applyAlignment="1" applyProtection="1">
      <alignment horizontal="center" vertical="center" wrapText="1"/>
      <protection locked="0"/>
    </xf>
    <xf numFmtId="0" fontId="105" fillId="98" borderId="120" xfId="0" applyFont="1" applyFill="1" applyBorder="1" applyAlignment="1" applyProtection="1">
      <alignment horizontal="center" vertical="center"/>
      <protection locked="0"/>
    </xf>
    <xf numFmtId="0" fontId="105" fillId="98" borderId="121" xfId="0" applyFont="1" applyFill="1" applyBorder="1" applyAlignment="1" applyProtection="1">
      <alignment horizontal="center" vertical="center"/>
      <protection locked="0"/>
    </xf>
    <xf numFmtId="0" fontId="110" fillId="81" borderId="56" xfId="0" applyFont="1" applyFill="1" applyBorder="1" applyAlignment="1" applyProtection="1">
      <alignment horizontal="center" vertical="center" wrapText="1"/>
      <protection locked="0"/>
    </xf>
    <xf numFmtId="0" fontId="110" fillId="81" borderId="59" xfId="0" applyFont="1" applyFill="1" applyBorder="1" applyAlignment="1" applyProtection="1">
      <alignment horizontal="center" vertical="center" wrapText="1"/>
      <protection locked="0"/>
    </xf>
    <xf numFmtId="0" fontId="109" fillId="90" borderId="56" xfId="0" applyFont="1" applyFill="1" applyBorder="1" applyAlignment="1" applyProtection="1">
      <alignment horizontal="center" vertical="center"/>
      <protection locked="0"/>
    </xf>
    <xf numFmtId="0" fontId="109" fillId="90" borderId="59" xfId="0" applyFont="1" applyFill="1" applyBorder="1" applyAlignment="1" applyProtection="1">
      <alignment horizontal="center" vertical="center"/>
      <protection locked="0"/>
    </xf>
    <xf numFmtId="211" fontId="107" fillId="3" borderId="162" xfId="0" applyNumberFormat="1" applyFont="1" applyFill="1" applyBorder="1" applyAlignment="1" applyProtection="1">
      <alignment horizontal="center" vertical="center"/>
      <protection locked="0"/>
    </xf>
    <xf numFmtId="211" fontId="107" fillId="3" borderId="163" xfId="0" applyNumberFormat="1" applyFont="1" applyFill="1" applyBorder="1" applyAlignment="1" applyProtection="1">
      <alignment horizontal="center" vertical="center"/>
      <protection locked="0"/>
    </xf>
    <xf numFmtId="0" fontId="115" fillId="95" borderId="56" xfId="0" applyFont="1" applyFill="1" applyBorder="1" applyAlignment="1" applyProtection="1">
      <alignment horizontal="center" vertical="center" wrapText="1"/>
      <protection locked="0"/>
    </xf>
    <xf numFmtId="0" fontId="115" fillId="95" borderId="59" xfId="0" applyFont="1" applyFill="1" applyBorder="1" applyAlignment="1" applyProtection="1">
      <alignment horizontal="center" vertical="center" wrapText="1"/>
      <protection locked="0"/>
    </xf>
    <xf numFmtId="0" fontId="113" fillId="4" borderId="28" xfId="0" applyFont="1" applyFill="1" applyBorder="1" applyAlignment="1" applyProtection="1">
      <alignment horizontal="center" vertical="center" wrapText="1"/>
      <protection locked="0"/>
    </xf>
    <xf numFmtId="0" fontId="113" fillId="4" borderId="38" xfId="0" applyFont="1" applyFill="1" applyBorder="1" applyAlignment="1" applyProtection="1">
      <alignment horizontal="center" vertical="center"/>
      <protection locked="0"/>
    </xf>
    <xf numFmtId="0" fontId="115" fillId="95" borderId="26" xfId="0" applyFont="1" applyFill="1" applyBorder="1" applyAlignment="1" applyProtection="1">
      <alignment horizontal="center" vertical="center" wrapText="1"/>
      <protection locked="0"/>
    </xf>
    <xf numFmtId="0" fontId="115" fillId="95" borderId="36" xfId="0" applyFont="1" applyFill="1" applyBorder="1" applyAlignment="1" applyProtection="1">
      <alignment horizontal="center" vertical="center" wrapText="1"/>
      <protection locked="0"/>
    </xf>
    <xf numFmtId="0" fontId="115" fillId="95" borderId="164" xfId="0" applyFont="1" applyFill="1" applyBorder="1" applyAlignment="1" applyProtection="1">
      <alignment horizontal="center" vertical="center" wrapText="1"/>
      <protection locked="0"/>
    </xf>
    <xf numFmtId="0" fontId="115" fillId="95" borderId="165" xfId="0" applyFont="1" applyFill="1" applyBorder="1" applyAlignment="1" applyProtection="1">
      <alignment horizontal="center" vertical="center" wrapText="1"/>
      <protection locked="0"/>
    </xf>
    <xf numFmtId="0" fontId="111" fillId="81" borderId="99" xfId="0" applyFont="1" applyFill="1" applyBorder="1" applyAlignment="1" applyProtection="1">
      <alignment horizontal="center" vertical="center" wrapText="1"/>
      <protection locked="0"/>
    </xf>
    <xf numFmtId="0" fontId="111" fillId="81" borderId="55" xfId="0" applyFont="1" applyFill="1" applyBorder="1" applyAlignment="1" applyProtection="1">
      <alignment horizontal="center" vertical="center" wrapText="1"/>
      <protection locked="0"/>
    </xf>
    <xf numFmtId="0" fontId="105" fillId="94" borderId="3" xfId="0" applyFont="1" applyFill="1" applyBorder="1" applyAlignment="1" applyProtection="1">
      <alignment horizontal="center" vertical="center" wrapText="1"/>
      <protection locked="0"/>
    </xf>
    <xf numFmtId="0" fontId="105" fillId="94" borderId="4" xfId="0" applyFont="1" applyFill="1" applyBorder="1" applyAlignment="1" applyProtection="1">
      <alignment horizontal="center" vertical="center" wrapText="1"/>
      <protection locked="0"/>
    </xf>
    <xf numFmtId="0" fontId="105" fillId="94" borderId="51" xfId="0" applyFont="1" applyFill="1" applyBorder="1" applyAlignment="1" applyProtection="1">
      <alignment horizontal="center" vertical="center" wrapText="1"/>
      <protection locked="0"/>
    </xf>
    <xf numFmtId="0" fontId="105" fillId="94" borderId="5" xfId="0" applyFont="1" applyFill="1" applyBorder="1" applyAlignment="1" applyProtection="1">
      <alignment horizontal="center" vertical="center" wrapText="1"/>
      <protection locked="0"/>
    </xf>
    <xf numFmtId="0" fontId="105" fillId="96" borderId="104" xfId="0" applyFont="1" applyFill="1" applyBorder="1" applyAlignment="1" applyProtection="1">
      <alignment horizontal="center" vertical="center" wrapText="1"/>
      <protection locked="0"/>
    </xf>
    <xf numFmtId="0" fontId="105" fillId="96" borderId="92" xfId="0" applyFont="1" applyFill="1" applyBorder="1" applyAlignment="1" applyProtection="1">
      <alignment horizontal="center" vertical="center"/>
      <protection locked="0"/>
    </xf>
    <xf numFmtId="0" fontId="105" fillId="96" borderId="51" xfId="0" applyFont="1" applyFill="1" applyBorder="1" applyAlignment="1" applyProtection="1">
      <alignment horizontal="center" vertical="center"/>
      <protection locked="0"/>
    </xf>
    <xf numFmtId="0" fontId="105" fillId="96" borderId="52" xfId="0" applyFont="1" applyFill="1" applyBorder="1" applyAlignment="1" applyProtection="1">
      <alignment horizontal="center" vertical="center"/>
      <protection locked="0"/>
    </xf>
    <xf numFmtId="41" fontId="121" fillId="84" borderId="43" xfId="145" applyFont="1" applyFill="1" applyBorder="1" applyAlignment="1" applyProtection="1">
      <alignment horizontal="center" vertical="center"/>
      <protection locked="0"/>
    </xf>
    <xf numFmtId="41" fontId="121" fillId="84" borderId="44" xfId="145" applyFont="1" applyFill="1" applyBorder="1" applyAlignment="1" applyProtection="1">
      <alignment horizontal="center" vertical="center"/>
      <protection locked="0"/>
    </xf>
    <xf numFmtId="41" fontId="121" fillId="84" borderId="94" xfId="145" applyFont="1" applyFill="1" applyBorder="1" applyAlignment="1" applyProtection="1">
      <alignment horizontal="center" vertical="center"/>
      <protection locked="0"/>
    </xf>
    <xf numFmtId="41" fontId="121" fillId="84" borderId="98" xfId="145" applyFont="1" applyFill="1" applyBorder="1" applyAlignment="1" applyProtection="1">
      <alignment horizontal="center" vertical="center"/>
      <protection locked="0"/>
    </xf>
    <xf numFmtId="0" fontId="109" fillId="90" borderId="99" xfId="0" applyFont="1" applyFill="1" applyBorder="1" applyAlignment="1" applyProtection="1">
      <alignment horizontal="center" vertical="center"/>
      <protection locked="0"/>
    </xf>
    <xf numFmtId="0" fontId="107" fillId="90" borderId="55" xfId="0" applyFont="1" applyFill="1" applyBorder="1" applyAlignment="1">
      <alignment horizontal="center" vertical="center"/>
    </xf>
    <xf numFmtId="0" fontId="109" fillId="90" borderId="104" xfId="0" applyFont="1" applyFill="1" applyBorder="1" applyAlignment="1" applyProtection="1">
      <alignment horizontal="center" vertical="center" wrapText="1"/>
      <protection locked="0"/>
    </xf>
    <xf numFmtId="200" fontId="111" fillId="81" borderId="156" xfId="0" applyNumberFormat="1" applyFont="1" applyFill="1" applyBorder="1" applyAlignment="1" applyProtection="1">
      <alignment horizontal="center" vertical="center"/>
      <protection locked="0"/>
    </xf>
    <xf numFmtId="200" fontId="111" fillId="81" borderId="197" xfId="0" applyNumberFormat="1" applyFont="1" applyFill="1" applyBorder="1" applyAlignment="1" applyProtection="1">
      <alignment horizontal="center" vertical="center"/>
      <protection locked="0"/>
    </xf>
    <xf numFmtId="192" fontId="111" fillId="81" borderId="156" xfId="0" applyNumberFormat="1" applyFont="1" applyFill="1" applyBorder="1" applyAlignment="1" applyProtection="1">
      <alignment horizontal="center" vertical="center"/>
      <protection locked="0"/>
    </xf>
    <xf numFmtId="192" fontId="111" fillId="81" borderId="19" xfId="0" applyNumberFormat="1" applyFont="1" applyFill="1" applyBorder="1" applyAlignment="1" applyProtection="1">
      <alignment horizontal="center" vertical="center"/>
      <protection locked="0"/>
    </xf>
    <xf numFmtId="0" fontId="105" fillId="96" borderId="50" xfId="0" applyFont="1" applyFill="1" applyBorder="1" applyAlignment="1" applyProtection="1">
      <alignment horizontal="center" vertical="center"/>
      <protection locked="0"/>
    </xf>
    <xf numFmtId="0" fontId="105" fillId="96" borderId="2" xfId="0" applyFont="1" applyFill="1" applyBorder="1" applyAlignment="1" applyProtection="1">
      <alignment horizontal="center" vertical="center"/>
      <protection locked="0"/>
    </xf>
    <xf numFmtId="0" fontId="105" fillId="96" borderId="194" xfId="0" applyFont="1" applyFill="1" applyBorder="1" applyAlignment="1" applyProtection="1">
      <alignment horizontal="center" vertical="center"/>
      <protection locked="0"/>
    </xf>
    <xf numFmtId="0" fontId="105" fillId="96" borderId="0" xfId="0" applyFont="1" applyFill="1" applyBorder="1" applyAlignment="1" applyProtection="1">
      <alignment horizontal="center" vertical="center"/>
      <protection locked="0"/>
    </xf>
    <xf numFmtId="192" fontId="105" fillId="96" borderId="50" xfId="0" applyNumberFormat="1" applyFont="1" applyFill="1" applyBorder="1" applyAlignment="1" applyProtection="1">
      <alignment horizontal="center" vertical="center" wrapText="1"/>
      <protection locked="0"/>
    </xf>
    <xf numFmtId="192" fontId="105" fillId="96" borderId="2" xfId="0" applyNumberFormat="1" applyFont="1" applyFill="1" applyBorder="1" applyAlignment="1" applyProtection="1">
      <alignment horizontal="center" vertical="center" wrapText="1"/>
      <protection locked="0"/>
    </xf>
    <xf numFmtId="192" fontId="105" fillId="96" borderId="194" xfId="0" applyNumberFormat="1" applyFont="1" applyFill="1" applyBorder="1" applyAlignment="1" applyProtection="1">
      <alignment horizontal="center" vertical="center" wrapText="1"/>
      <protection locked="0"/>
    </xf>
    <xf numFmtId="192" fontId="105" fillId="96" borderId="0" xfId="0" applyNumberFormat="1" applyFont="1" applyFill="1" applyBorder="1" applyAlignment="1" applyProtection="1">
      <alignment horizontal="center" vertical="center" wrapText="1"/>
      <protection locked="0"/>
    </xf>
    <xf numFmtId="0" fontId="110" fillId="81" borderId="156" xfId="0" applyFont="1" applyFill="1" applyBorder="1" applyAlignment="1" applyProtection="1">
      <alignment horizontal="center" vertical="center" wrapText="1"/>
      <protection locked="0"/>
    </xf>
    <xf numFmtId="0" fontId="110" fillId="81" borderId="19" xfId="0" applyFont="1" applyFill="1" applyBorder="1" applyAlignment="1" applyProtection="1">
      <alignment horizontal="center" vertical="center" wrapText="1"/>
      <protection locked="0"/>
    </xf>
    <xf numFmtId="192" fontId="158" fillId="96" borderId="56" xfId="0" applyNumberFormat="1" applyFont="1" applyFill="1" applyBorder="1" applyAlignment="1" applyProtection="1">
      <alignment horizontal="center" vertical="center" wrapText="1"/>
      <protection locked="0"/>
    </xf>
    <xf numFmtId="192" fontId="158" fillId="96" borderId="158" xfId="0" applyNumberFormat="1" applyFont="1" applyFill="1" applyBorder="1" applyAlignment="1" applyProtection="1">
      <alignment horizontal="center" vertical="center"/>
      <protection locked="0"/>
    </xf>
    <xf numFmtId="0" fontId="157" fillId="81" borderId="56" xfId="0" applyFont="1" applyFill="1" applyBorder="1" applyAlignment="1" applyProtection="1">
      <alignment horizontal="center" vertical="center" wrapText="1"/>
      <protection locked="0"/>
    </xf>
    <xf numFmtId="0" fontId="157" fillId="81" borderId="59" xfId="0" applyFont="1" applyFill="1" applyBorder="1" applyAlignment="1" applyProtection="1">
      <alignment horizontal="center" vertical="center" wrapText="1"/>
      <protection locked="0"/>
    </xf>
    <xf numFmtId="0" fontId="107" fillId="90" borderId="96" xfId="0" applyFont="1" applyFill="1" applyBorder="1" applyAlignment="1">
      <alignment horizontal="center" vertical="center"/>
    </xf>
    <xf numFmtId="0" fontId="109" fillId="3" borderId="58" xfId="0" applyFont="1" applyFill="1" applyBorder="1" applyAlignment="1" applyProtection="1">
      <alignment horizontal="center" vertical="center"/>
      <protection locked="0"/>
    </xf>
    <xf numFmtId="0" fontId="109" fillId="3" borderId="57" xfId="0" applyFont="1" applyFill="1" applyBorder="1" applyAlignment="1" applyProtection="1">
      <alignment horizontal="center" vertical="center"/>
      <protection locked="0"/>
    </xf>
    <xf numFmtId="0" fontId="109" fillId="3" borderId="14" xfId="0" applyFont="1" applyFill="1" applyBorder="1" applyAlignment="1" applyProtection="1">
      <alignment horizontal="center" vertical="center"/>
      <protection locked="0"/>
    </xf>
    <xf numFmtId="0" fontId="109" fillId="3" borderId="13" xfId="0" applyFont="1" applyFill="1" applyBorder="1" applyAlignment="1" applyProtection="1">
      <alignment horizontal="center" vertical="center"/>
      <protection locked="0"/>
    </xf>
    <xf numFmtId="0" fontId="105" fillId="96" borderId="103" xfId="0" applyFont="1" applyFill="1" applyBorder="1" applyAlignment="1" applyProtection="1">
      <alignment horizontal="center" vertical="center"/>
      <protection locked="0"/>
    </xf>
    <xf numFmtId="0" fontId="106" fillId="96" borderId="7" xfId="0" applyFont="1" applyFill="1" applyBorder="1" applyAlignment="1">
      <alignment vertical="center"/>
    </xf>
    <xf numFmtId="0" fontId="106" fillId="96" borderId="52" xfId="0" applyFont="1" applyFill="1" applyBorder="1" applyAlignment="1">
      <alignment vertical="center"/>
    </xf>
    <xf numFmtId="179" fontId="109" fillId="3" borderId="14" xfId="0" applyNumberFormat="1" applyFont="1" applyFill="1" applyBorder="1" applyAlignment="1" applyProtection="1">
      <alignment horizontal="center" vertical="center"/>
      <protection locked="0"/>
    </xf>
    <xf numFmtId="0" fontId="107" fillId="3" borderId="43" xfId="0" applyFont="1" applyFill="1" applyBorder="1" applyAlignment="1">
      <alignment vertical="center"/>
    </xf>
    <xf numFmtId="0" fontId="107" fillId="3" borderId="44" xfId="0" applyFont="1" applyFill="1" applyBorder="1" applyAlignment="1">
      <alignment vertical="center"/>
    </xf>
    <xf numFmtId="179" fontId="109" fillId="3" borderId="58" xfId="0" applyNumberFormat="1" applyFont="1" applyFill="1" applyBorder="1" applyAlignment="1" applyProtection="1">
      <alignment horizontal="center" vertical="center"/>
      <protection locked="0"/>
    </xf>
    <xf numFmtId="0" fontId="107" fillId="3" borderId="94" xfId="0" applyFont="1" applyFill="1" applyBorder="1" applyAlignment="1">
      <alignment vertical="center"/>
    </xf>
    <xf numFmtId="0" fontId="107" fillId="3" borderId="98" xfId="0" applyFont="1" applyFill="1" applyBorder="1" applyAlignment="1">
      <alignment vertical="center"/>
    </xf>
    <xf numFmtId="0" fontId="162" fillId="0" borderId="42" xfId="0" applyFont="1" applyFill="1" applyBorder="1" applyAlignment="1" applyProtection="1">
      <alignment horizontal="left" vertical="center" wrapText="1"/>
      <protection locked="0"/>
    </xf>
    <xf numFmtId="0" fontId="162" fillId="0" borderId="43" xfId="0" applyFont="1" applyFill="1" applyBorder="1" applyAlignment="1" applyProtection="1">
      <alignment horizontal="left" vertical="center" wrapText="1"/>
      <protection locked="0"/>
    </xf>
    <xf numFmtId="0" fontId="162" fillId="0" borderId="44" xfId="0" applyFont="1" applyFill="1" applyBorder="1" applyAlignment="1" applyProtection="1">
      <alignment horizontal="left" vertical="center" wrapText="1"/>
      <protection locked="0"/>
    </xf>
    <xf numFmtId="0" fontId="141" fillId="73" borderId="190" xfId="0" applyFont="1" applyFill="1" applyBorder="1" applyAlignment="1" applyProtection="1">
      <alignment horizontal="center" vertical="center"/>
      <protection locked="0"/>
    </xf>
    <xf numFmtId="0" fontId="141" fillId="73" borderId="191" xfId="0" applyFont="1" applyFill="1" applyBorder="1" applyAlignment="1" applyProtection="1">
      <alignment horizontal="center" vertical="center"/>
      <protection locked="0"/>
    </xf>
    <xf numFmtId="0" fontId="146" fillId="73" borderId="191" xfId="0" applyFont="1" applyFill="1" applyBorder="1" applyAlignment="1"/>
    <xf numFmtId="0" fontId="146" fillId="73" borderId="192" xfId="0" applyFont="1" applyFill="1" applyBorder="1" applyAlignment="1"/>
    <xf numFmtId="0" fontId="143" fillId="73" borderId="188" xfId="0" applyFont="1" applyFill="1" applyBorder="1" applyAlignment="1" applyProtection="1">
      <alignment horizontal="center" vertical="center"/>
      <protection locked="0"/>
    </xf>
    <xf numFmtId="0" fontId="143" fillId="73" borderId="187" xfId="0" applyFont="1" applyFill="1" applyBorder="1" applyAlignment="1" applyProtection="1">
      <alignment horizontal="center" vertical="center"/>
      <protection locked="0"/>
    </xf>
    <xf numFmtId="0" fontId="143" fillId="73" borderId="138" xfId="0" applyFont="1" applyFill="1" applyBorder="1" applyAlignment="1" applyProtection="1">
      <alignment horizontal="center" vertical="center"/>
      <protection locked="0"/>
    </xf>
    <xf numFmtId="0" fontId="115" fillId="77" borderId="41" xfId="0" applyFont="1" applyFill="1" applyBorder="1" applyAlignment="1" applyProtection="1">
      <alignment horizontal="center" vertical="center"/>
      <protection locked="0"/>
    </xf>
    <xf numFmtId="0" fontId="144" fillId="77" borderId="41" xfId="0" applyFont="1" applyFill="1" applyBorder="1" applyAlignment="1">
      <alignment horizontal="center" vertical="center"/>
    </xf>
    <xf numFmtId="0" fontId="115" fillId="77" borderId="103" xfId="0" applyFont="1" applyFill="1" applyBorder="1" applyAlignment="1" applyProtection="1">
      <alignment horizontal="center" vertical="center"/>
      <protection locked="0"/>
    </xf>
    <xf numFmtId="0" fontId="144" fillId="77" borderId="189" xfId="0" applyFont="1" applyFill="1" applyBorder="1" applyAlignment="1">
      <alignment horizontal="center" vertical="center"/>
    </xf>
    <xf numFmtId="0" fontId="143" fillId="73" borderId="184" xfId="0" applyFont="1" applyFill="1" applyBorder="1" applyAlignment="1" applyProtection="1">
      <alignment horizontal="center" vertical="center"/>
      <protection locked="0"/>
    </xf>
    <xf numFmtId="0" fontId="143" fillId="73" borderId="179" xfId="0" applyFont="1" applyFill="1" applyBorder="1" applyAlignment="1" applyProtection="1">
      <alignment horizontal="center" vertical="center"/>
      <protection locked="0"/>
    </xf>
    <xf numFmtId="0" fontId="143" fillId="73" borderId="182" xfId="0" applyFont="1" applyFill="1" applyBorder="1" applyAlignment="1" applyProtection="1">
      <alignment horizontal="center" vertical="center"/>
      <protection locked="0"/>
    </xf>
    <xf numFmtId="0" fontId="142" fillId="3" borderId="14" xfId="0" applyFont="1" applyFill="1" applyBorder="1" applyAlignment="1" applyProtection="1">
      <alignment horizontal="center" vertical="center"/>
      <protection locked="0"/>
    </xf>
    <xf numFmtId="0" fontId="144" fillId="3" borderId="13" xfId="0" applyFont="1" applyFill="1" applyBorder="1" applyAlignment="1">
      <alignment horizontal="center" vertical="center"/>
    </xf>
    <xf numFmtId="0" fontId="144" fillId="3" borderId="172" xfId="0" applyFont="1" applyFill="1" applyBorder="1" applyAlignment="1">
      <alignment horizontal="center" vertical="center"/>
    </xf>
    <xf numFmtId="0" fontId="143" fillId="73" borderId="185" xfId="0" applyFont="1" applyFill="1" applyBorder="1" applyAlignment="1" applyProtection="1">
      <alignment horizontal="center" vertical="center"/>
      <protection locked="0"/>
    </xf>
    <xf numFmtId="0" fontId="143" fillId="73" borderId="181" xfId="0" applyFont="1" applyFill="1" applyBorder="1" applyAlignment="1" applyProtection="1">
      <alignment horizontal="center" vertical="center"/>
      <protection locked="0"/>
    </xf>
    <xf numFmtId="0" fontId="143" fillId="73" borderId="183" xfId="0" applyFont="1" applyFill="1" applyBorder="1" applyAlignment="1" applyProtection="1">
      <alignment horizontal="center" vertical="center"/>
      <protection locked="0"/>
    </xf>
    <xf numFmtId="0" fontId="142" fillId="3" borderId="173" xfId="0" applyFont="1" applyFill="1" applyBorder="1" applyAlignment="1" applyProtection="1">
      <alignment horizontal="center" vertical="center"/>
      <protection locked="0"/>
    </xf>
    <xf numFmtId="0" fontId="144" fillId="3" borderId="174" xfId="0" applyFont="1" applyFill="1" applyBorder="1" applyAlignment="1">
      <alignment horizontal="center" vertical="center"/>
    </xf>
    <xf numFmtId="0" fontId="144" fillId="3" borderId="177" xfId="0" applyFont="1" applyFill="1" applyBorder="1" applyAlignment="1">
      <alignment horizontal="center" vertical="center"/>
    </xf>
    <xf numFmtId="0" fontId="143" fillId="73" borderId="186" xfId="0" applyFont="1" applyFill="1" applyBorder="1" applyAlignment="1" applyProtection="1">
      <alignment horizontal="center" vertical="center"/>
      <protection locked="0"/>
    </xf>
    <xf numFmtId="0" fontId="115" fillId="77" borderId="24" xfId="0" applyFont="1" applyFill="1" applyBorder="1" applyAlignment="1" applyProtection="1">
      <alignment horizontal="center" vertical="center"/>
      <protection locked="0"/>
    </xf>
    <xf numFmtId="0" fontId="115" fillId="77" borderId="25" xfId="0" applyFont="1" applyFill="1" applyBorder="1" applyAlignment="1" applyProtection="1">
      <alignment horizontal="center" vertical="center"/>
      <protection locked="0"/>
    </xf>
    <xf numFmtId="0" fontId="143" fillId="73" borderId="178" xfId="0" applyFont="1" applyFill="1" applyBorder="1" applyAlignment="1" applyProtection="1">
      <alignment horizontal="center" vertical="center"/>
      <protection locked="0"/>
    </xf>
    <xf numFmtId="0" fontId="143" fillId="73" borderId="180" xfId="0" applyFont="1" applyFill="1" applyBorder="1" applyAlignment="1" applyProtection="1">
      <alignment horizontal="center" vertical="center"/>
      <protection locked="0"/>
    </xf>
    <xf numFmtId="0" fontId="142" fillId="3" borderId="43" xfId="0" applyFont="1" applyFill="1" applyBorder="1" applyAlignment="1" applyProtection="1">
      <alignment horizontal="center" vertical="center"/>
      <protection locked="0"/>
    </xf>
    <xf numFmtId="0" fontId="142" fillId="3" borderId="13" xfId="0" applyFont="1" applyFill="1" applyBorder="1" applyAlignment="1" applyProtection="1">
      <alignment horizontal="center" vertical="center"/>
      <protection locked="0"/>
    </xf>
    <xf numFmtId="0" fontId="142" fillId="3" borderId="44" xfId="0" applyFont="1" applyFill="1" applyBorder="1" applyAlignment="1" applyProtection="1">
      <alignment horizontal="center" vertical="center"/>
      <protection locked="0"/>
    </xf>
    <xf numFmtId="0" fontId="143" fillId="73" borderId="181" xfId="0" applyFont="1" applyFill="1" applyBorder="1" applyAlignment="1" applyProtection="1">
      <alignment horizontal="center" vertical="center" wrapText="1"/>
      <protection locked="0"/>
    </xf>
    <xf numFmtId="0" fontId="143" fillId="73" borderId="183" xfId="0" applyFont="1" applyFill="1" applyBorder="1" applyAlignment="1" applyProtection="1">
      <alignment horizontal="center" vertical="center" wrapText="1"/>
      <protection locked="0"/>
    </xf>
    <xf numFmtId="0" fontId="142" fillId="3" borderId="175" xfId="0" applyFont="1" applyFill="1" applyBorder="1" applyAlignment="1" applyProtection="1">
      <alignment horizontal="center" vertical="center"/>
      <protection locked="0"/>
    </xf>
    <xf numFmtId="0" fontId="142" fillId="3" borderId="174" xfId="0" applyFont="1" applyFill="1" applyBorder="1" applyAlignment="1" applyProtection="1">
      <alignment horizontal="center" vertical="center"/>
      <protection locked="0"/>
    </xf>
    <xf numFmtId="181" fontId="148" fillId="3" borderId="173" xfId="0" applyNumberFormat="1" applyFont="1" applyFill="1" applyBorder="1" applyAlignment="1" applyProtection="1">
      <alignment horizontal="center" vertical="center"/>
      <protection locked="0"/>
    </xf>
    <xf numFmtId="181" fontId="148" fillId="3" borderId="175" xfId="0" applyNumberFormat="1" applyFont="1" applyFill="1" applyBorder="1" applyAlignment="1" applyProtection="1">
      <alignment horizontal="center" vertical="center"/>
      <protection locked="0"/>
    </xf>
    <xf numFmtId="181" fontId="148" fillId="3" borderId="176" xfId="0" applyNumberFormat="1" applyFont="1" applyFill="1" applyBorder="1" applyAlignment="1" applyProtection="1">
      <alignment horizontal="center" vertical="center"/>
      <protection locked="0"/>
    </xf>
    <xf numFmtId="0" fontId="109" fillId="2" borderId="7" xfId="142" applyFont="1" applyFill="1" applyBorder="1" applyAlignment="1">
      <alignment horizontal="center" vertical="center"/>
    </xf>
    <xf numFmtId="0" fontId="109" fillId="2" borderId="52" xfId="142" applyFont="1" applyFill="1" applyBorder="1" applyAlignment="1">
      <alignment horizontal="center" vertical="center"/>
    </xf>
    <xf numFmtId="0" fontId="109" fillId="2" borderId="50" xfId="142" applyNumberFormat="1" applyFont="1" applyFill="1" applyBorder="1" applyAlignment="1">
      <alignment horizontal="center" vertical="center" wrapText="1"/>
    </xf>
    <xf numFmtId="0" fontId="109" fillId="2" borderId="2" xfId="142" applyNumberFormat="1" applyFont="1" applyFill="1" applyBorder="1" applyAlignment="1">
      <alignment horizontal="center" vertical="center" wrapText="1"/>
    </xf>
    <xf numFmtId="0" fontId="109" fillId="2" borderId="104" xfId="142" applyNumberFormat="1" applyFont="1" applyFill="1" applyBorder="1" applyAlignment="1">
      <alignment horizontal="center" vertical="center" wrapText="1"/>
    </xf>
    <xf numFmtId="0" fontId="109" fillId="2" borderId="23" xfId="142" applyNumberFormat="1" applyFont="1" applyFill="1" applyBorder="1" applyAlignment="1">
      <alignment horizontal="center" vertical="center" wrapText="1"/>
    </xf>
    <xf numFmtId="0" fontId="109" fillId="2" borderId="24" xfId="142" applyNumberFormat="1" applyFont="1" applyFill="1" applyBorder="1" applyAlignment="1">
      <alignment horizontal="center" vertical="center" wrapText="1"/>
    </xf>
    <xf numFmtId="0" fontId="109" fillId="2" borderId="92" xfId="142" applyNumberFormat="1" applyFont="1" applyFill="1" applyBorder="1" applyAlignment="1">
      <alignment horizontal="center" vertical="center" wrapText="1"/>
    </xf>
    <xf numFmtId="0" fontId="109" fillId="2" borderId="5" xfId="142" applyFont="1" applyFill="1" applyBorder="1" applyAlignment="1">
      <alignment horizontal="center" vertical="center" wrapText="1"/>
    </xf>
    <xf numFmtId="0" fontId="109" fillId="2" borderId="12" xfId="142" applyFont="1" applyFill="1" applyBorder="1" applyAlignment="1">
      <alignment horizontal="center" vertical="center" wrapText="1"/>
    </xf>
    <xf numFmtId="0" fontId="109" fillId="2" borderId="97" xfId="142" applyFont="1" applyFill="1" applyBorder="1" applyAlignment="1">
      <alignment horizontal="center" vertical="center" shrinkToFit="1"/>
    </xf>
    <xf numFmtId="0" fontId="109" fillId="2" borderId="6" xfId="142" applyFont="1" applyFill="1" applyBorder="1" applyAlignment="1">
      <alignment horizontal="center" vertical="center" shrinkToFit="1"/>
    </xf>
    <xf numFmtId="0" fontId="109" fillId="2" borderId="4" xfId="142" applyFont="1" applyFill="1" applyBorder="1" applyAlignment="1">
      <alignment horizontal="center" vertical="center" shrinkToFit="1"/>
    </xf>
    <xf numFmtId="0" fontId="109" fillId="2" borderId="5" xfId="142" applyFont="1" applyFill="1" applyBorder="1" applyAlignment="1">
      <alignment horizontal="center" vertical="center" shrinkToFit="1"/>
    </xf>
    <xf numFmtId="0" fontId="109" fillId="2" borderId="3" xfId="142" applyFont="1" applyFill="1" applyBorder="1" applyAlignment="1">
      <alignment horizontal="center" vertical="center" shrinkToFit="1"/>
    </xf>
    <xf numFmtId="199" fontId="109" fillId="2" borderId="7" xfId="142" applyNumberFormat="1" applyFont="1" applyFill="1" applyBorder="1" applyAlignment="1">
      <alignment horizontal="center" vertical="center" shrinkToFit="1"/>
    </xf>
    <xf numFmtId="199" fontId="109" fillId="2" borderId="43" xfId="142" applyNumberFormat="1" applyFont="1" applyFill="1" applyBorder="1" applyAlignment="1">
      <alignment horizontal="center" vertical="center" shrinkToFit="1"/>
    </xf>
    <xf numFmtId="0" fontId="109" fillId="2" borderId="97" xfId="142" applyFont="1" applyFill="1" applyBorder="1" applyAlignment="1">
      <alignment horizontal="center" vertical="center"/>
    </xf>
    <xf numFmtId="0" fontId="123" fillId="2" borderId="3" xfId="142" applyFont="1" applyFill="1" applyBorder="1" applyAlignment="1">
      <alignment horizontal="center" vertical="center"/>
    </xf>
    <xf numFmtId="0" fontId="123" fillId="2" borderId="5" xfId="142" applyFont="1" applyFill="1" applyBorder="1" applyAlignment="1">
      <alignment horizontal="center" vertical="center"/>
    </xf>
    <xf numFmtId="0" fontId="109" fillId="0" borderId="97" xfId="142" applyFont="1" applyBorder="1" applyAlignment="1">
      <alignment horizontal="center" vertical="center"/>
    </xf>
    <xf numFmtId="0" fontId="109" fillId="0" borderId="7" xfId="142" applyFont="1" applyBorder="1" applyAlignment="1">
      <alignment horizontal="center" vertical="center"/>
    </xf>
    <xf numFmtId="0" fontId="109" fillId="0" borderId="52" xfId="142" applyFont="1" applyBorder="1" applyAlignment="1">
      <alignment horizontal="center" vertical="center"/>
    </xf>
    <xf numFmtId="0" fontId="109" fillId="0" borderId="97" xfId="142" applyFont="1" applyBorder="1" applyAlignment="1">
      <alignment horizontal="center" vertical="center" shrinkToFit="1"/>
    </xf>
    <xf numFmtId="0" fontId="109" fillId="0" borderId="6" xfId="142" applyFont="1" applyBorder="1" applyAlignment="1">
      <alignment horizontal="center" vertical="center" shrinkToFit="1"/>
    </xf>
    <xf numFmtId="0" fontId="109" fillId="0" borderId="4" xfId="142" applyFont="1" applyBorder="1" applyAlignment="1">
      <alignment horizontal="center" vertical="center" shrinkToFit="1"/>
    </xf>
    <xf numFmtId="0" fontId="109" fillId="0" borderId="4" xfId="142" applyFont="1" applyFill="1" applyBorder="1" applyAlignment="1">
      <alignment horizontal="center" vertical="center" shrinkToFit="1"/>
    </xf>
    <xf numFmtId="0" fontId="109" fillId="0" borderId="5" xfId="142" applyFont="1" applyFill="1" applyBorder="1" applyAlignment="1">
      <alignment horizontal="center" vertical="center" shrinkToFit="1"/>
    </xf>
    <xf numFmtId="0" fontId="109" fillId="43" borderId="3" xfId="142" applyFont="1" applyFill="1" applyBorder="1" applyAlignment="1">
      <alignment horizontal="center" vertical="center" shrinkToFit="1"/>
    </xf>
    <xf numFmtId="0" fontId="109" fillId="43" borderId="4" xfId="142" applyFont="1" applyFill="1" applyBorder="1" applyAlignment="1">
      <alignment horizontal="center" vertical="center" shrinkToFit="1"/>
    </xf>
    <xf numFmtId="0" fontId="109" fillId="43" borderId="5" xfId="142" applyFont="1" applyFill="1" applyBorder="1" applyAlignment="1">
      <alignment horizontal="center" vertical="center" shrinkToFit="1"/>
    </xf>
    <xf numFmtId="199" fontId="109" fillId="43" borderId="7" xfId="142" applyNumberFormat="1" applyFont="1" applyFill="1" applyBorder="1" applyAlignment="1">
      <alignment horizontal="center" vertical="center" shrinkToFit="1"/>
    </xf>
    <xf numFmtId="199" fontId="109" fillId="43" borderId="94" xfId="142" applyNumberFormat="1" applyFont="1" applyFill="1" applyBorder="1" applyAlignment="1">
      <alignment horizontal="center" vertical="center" shrinkToFit="1"/>
    </xf>
    <xf numFmtId="0" fontId="109" fillId="0" borderId="7" xfId="142" applyFont="1" applyBorder="1" applyAlignment="1">
      <alignment horizontal="center" vertical="center" shrinkToFit="1"/>
    </xf>
    <xf numFmtId="0" fontId="109" fillId="0" borderId="52" xfId="142" applyFont="1" applyBorder="1" applyAlignment="1">
      <alignment horizontal="center" vertical="center" shrinkToFit="1"/>
    </xf>
    <xf numFmtId="0" fontId="109" fillId="0" borderId="5" xfId="142" applyFont="1" applyBorder="1" applyAlignment="1">
      <alignment horizontal="center" vertical="center" wrapText="1"/>
    </xf>
    <xf numFmtId="0" fontId="109" fillId="0" borderId="18" xfId="142" applyFont="1" applyBorder="1" applyAlignment="1">
      <alignment horizontal="center" vertical="center" wrapText="1"/>
    </xf>
    <xf numFmtId="0" fontId="127" fillId="66" borderId="3" xfId="142" applyFont="1" applyFill="1" applyBorder="1" applyAlignment="1">
      <alignment horizontal="center" vertical="center"/>
    </xf>
    <xf numFmtId="0" fontId="127" fillId="66" borderId="5" xfId="142" applyFont="1" applyFill="1" applyBorder="1" applyAlignment="1">
      <alignment horizontal="center" vertical="center"/>
    </xf>
    <xf numFmtId="0" fontId="109" fillId="45" borderId="8" xfId="142" applyNumberFormat="1" applyFont="1" applyFill="1" applyBorder="1" applyAlignment="1">
      <alignment horizontal="center" vertical="center"/>
    </xf>
    <xf numFmtId="0" fontId="109" fillId="45" borderId="9" xfId="142" applyNumberFormat="1" applyFont="1" applyFill="1" applyBorder="1" applyAlignment="1">
      <alignment horizontal="center" vertical="center"/>
    </xf>
    <xf numFmtId="0" fontId="109" fillId="45" borderId="15" xfId="142" applyNumberFormat="1" applyFont="1" applyFill="1" applyBorder="1" applyAlignment="1">
      <alignment horizontal="center" vertical="center"/>
    </xf>
    <xf numFmtId="0" fontId="109" fillId="45" borderId="10" xfId="142" applyNumberFormat="1" applyFont="1" applyFill="1" applyBorder="1" applyAlignment="1">
      <alignment horizontal="center" vertical="center"/>
    </xf>
    <xf numFmtId="0" fontId="109" fillId="45" borderId="3" xfId="142" applyNumberFormat="1" applyFont="1" applyFill="1" applyBorder="1" applyAlignment="1">
      <alignment horizontal="center" vertical="center"/>
    </xf>
    <xf numFmtId="0" fontId="109" fillId="45" borderId="4" xfId="142" applyNumberFormat="1" applyFont="1" applyFill="1" applyBorder="1" applyAlignment="1">
      <alignment horizontal="center" vertical="center"/>
    </xf>
    <xf numFmtId="0" fontId="109" fillId="45" borderId="40" xfId="142" applyNumberFormat="1" applyFont="1" applyFill="1" applyBorder="1" applyAlignment="1">
      <alignment horizontal="center" vertical="center"/>
    </xf>
    <xf numFmtId="0" fontId="109" fillId="45" borderId="41" xfId="142" applyNumberFormat="1" applyFont="1" applyFill="1" applyBorder="1" applyAlignment="1">
      <alignment horizontal="center" vertical="center"/>
    </xf>
    <xf numFmtId="0" fontId="109" fillId="61" borderId="72" xfId="0" applyFont="1" applyFill="1" applyBorder="1" applyAlignment="1" applyProtection="1">
      <alignment horizontal="center" vertical="center" wrapText="1"/>
      <protection locked="0"/>
    </xf>
    <xf numFmtId="0" fontId="109" fillId="61" borderId="30" xfId="0" applyFont="1" applyFill="1" applyBorder="1" applyAlignment="1">
      <alignment horizontal="center" vertical="center"/>
    </xf>
    <xf numFmtId="0" fontId="109" fillId="0" borderId="4" xfId="142" applyNumberFormat="1" applyFont="1" applyBorder="1" applyAlignment="1">
      <alignment horizontal="center" vertical="center" wrapText="1"/>
    </xf>
    <xf numFmtId="0" fontId="109" fillId="0" borderId="33" xfId="142" applyNumberFormat="1" applyFont="1" applyBorder="1" applyAlignment="1">
      <alignment horizontal="center" vertical="center" wrapText="1"/>
    </xf>
    <xf numFmtId="0" fontId="109" fillId="0" borderId="4" xfId="142" applyFont="1" applyBorder="1" applyAlignment="1">
      <alignment horizontal="center" vertical="center" wrapText="1"/>
    </xf>
    <xf numFmtId="0" fontId="109" fillId="0" borderId="33" xfId="142" applyFont="1" applyBorder="1" applyAlignment="1">
      <alignment horizontal="center" vertical="center" wrapText="1"/>
    </xf>
    <xf numFmtId="0" fontId="109" fillId="45" borderId="32" xfId="142" applyNumberFormat="1" applyFont="1" applyFill="1" applyBorder="1" applyAlignment="1">
      <alignment horizontal="center" vertical="center"/>
    </xf>
    <xf numFmtId="0" fontId="109" fillId="45" borderId="33" xfId="142" applyNumberFormat="1" applyFont="1" applyFill="1" applyBorder="1" applyAlignment="1">
      <alignment horizontal="center" vertical="center"/>
    </xf>
    <xf numFmtId="0" fontId="109" fillId="45" borderId="34" xfId="142" applyFont="1" applyFill="1" applyBorder="1" applyAlignment="1">
      <alignment horizontal="center" vertical="center"/>
    </xf>
    <xf numFmtId="0" fontId="109" fillId="45" borderId="1" xfId="142" applyFont="1" applyFill="1" applyBorder="1" applyAlignment="1">
      <alignment horizontal="center" vertical="center"/>
    </xf>
    <xf numFmtId="0" fontId="109" fillId="45" borderId="51" xfId="146" applyFont="1" applyFill="1" applyBorder="1" applyAlignment="1" applyProtection="1">
      <alignment horizontal="center" vertical="center"/>
      <protection locked="0"/>
    </xf>
    <xf numFmtId="0" fontId="109" fillId="45" borderId="7" xfId="146" applyFont="1" applyFill="1" applyBorder="1" applyAlignment="1" applyProtection="1">
      <alignment horizontal="center" vertical="center"/>
      <protection locked="0"/>
    </xf>
    <xf numFmtId="0" fontId="109" fillId="45" borderId="6" xfId="146" applyFont="1" applyFill="1" applyBorder="1" applyAlignment="1" applyProtection="1">
      <alignment horizontal="center" vertical="center"/>
      <protection locked="0"/>
    </xf>
    <xf numFmtId="0" fontId="8" fillId="45" borderId="3" xfId="146" applyFont="1" applyFill="1" applyBorder="1" applyAlignment="1" applyProtection="1">
      <alignment horizontal="center" vertical="center"/>
      <protection locked="0"/>
    </xf>
    <xf numFmtId="0" fontId="8" fillId="45" borderId="4" xfId="146" applyFont="1" applyFill="1" applyBorder="1" applyAlignment="1" applyProtection="1">
      <alignment horizontal="center" vertical="center"/>
      <protection locked="0"/>
    </xf>
    <xf numFmtId="0" fontId="8" fillId="45" borderId="100" xfId="146" applyFont="1" applyFill="1" applyBorder="1" applyAlignment="1" applyProtection="1">
      <alignment horizontal="center" vertical="center"/>
      <protection locked="0"/>
    </xf>
    <xf numFmtId="0" fontId="8" fillId="45" borderId="143" xfId="146" applyFont="1" applyFill="1" applyBorder="1" applyAlignment="1" applyProtection="1">
      <alignment horizontal="center" vertical="center"/>
      <protection locked="0"/>
    </xf>
    <xf numFmtId="0" fontId="8" fillId="45" borderId="51" xfId="146" applyFont="1" applyFill="1" applyBorder="1" applyAlignment="1" applyProtection="1">
      <alignment horizontal="center" vertical="center"/>
      <protection locked="0"/>
    </xf>
    <xf numFmtId="0" fontId="8" fillId="45" borderId="7" xfId="146" applyFont="1" applyFill="1" applyBorder="1" applyAlignment="1" applyProtection="1">
      <alignment horizontal="center" vertical="center"/>
      <protection locked="0"/>
    </xf>
    <xf numFmtId="0" fontId="8" fillId="45" borderId="6" xfId="146" applyFont="1" applyFill="1" applyBorder="1" applyAlignment="1" applyProtection="1">
      <alignment horizontal="center" vertical="center"/>
      <protection locked="0"/>
    </xf>
    <xf numFmtId="0" fontId="109" fillId="75" borderId="4" xfId="146" applyFont="1" applyFill="1" applyBorder="1" applyAlignment="1" applyProtection="1">
      <alignment horizontal="center" vertical="center"/>
      <protection locked="0"/>
    </xf>
    <xf numFmtId="0" fontId="109" fillId="75" borderId="99" xfId="146" applyFont="1" applyFill="1" applyBorder="1" applyAlignment="1" applyProtection="1">
      <alignment horizontal="center" vertical="center"/>
      <protection locked="0"/>
    </xf>
    <xf numFmtId="0" fontId="109" fillId="75" borderId="139" xfId="146" applyFont="1" applyFill="1" applyBorder="1" applyAlignment="1" applyProtection="1">
      <alignment horizontal="center" vertical="center"/>
      <protection locked="0"/>
    </xf>
    <xf numFmtId="0" fontId="8" fillId="75" borderId="4" xfId="146" applyFont="1" applyFill="1" applyBorder="1" applyAlignment="1" applyProtection="1">
      <alignment horizontal="center" vertical="center"/>
      <protection locked="0"/>
    </xf>
    <xf numFmtId="0" fontId="109" fillId="79" borderId="5" xfId="146" applyFont="1" applyFill="1" applyBorder="1" applyAlignment="1" applyProtection="1">
      <alignment horizontal="center" vertical="center"/>
      <protection locked="0"/>
    </xf>
    <xf numFmtId="0" fontId="109" fillId="79" borderId="11" xfId="146" applyFont="1" applyFill="1" applyBorder="1" applyAlignment="1" applyProtection="1">
      <alignment horizontal="center" vertical="center"/>
      <protection locked="0"/>
    </xf>
    <xf numFmtId="0" fontId="109" fillId="0" borderId="51" xfId="142" applyNumberFormat="1" applyFont="1" applyBorder="1" applyAlignment="1">
      <alignment horizontal="center" vertical="center" wrapText="1"/>
    </xf>
    <xf numFmtId="0" fontId="109" fillId="0" borderId="136" xfId="142" applyNumberFormat="1" applyFont="1" applyBorder="1" applyAlignment="1">
      <alignment horizontal="center" vertical="center" wrapText="1"/>
    </xf>
    <xf numFmtId="0" fontId="109" fillId="0" borderId="3" xfId="142" applyNumberFormat="1" applyFont="1" applyBorder="1" applyAlignment="1">
      <alignment horizontal="center" vertical="center" wrapText="1"/>
    </xf>
    <xf numFmtId="0" fontId="109" fillId="0" borderId="115" xfId="142" applyNumberFormat="1" applyFont="1" applyBorder="1" applyAlignment="1">
      <alignment horizontal="center" vertical="center" wrapText="1"/>
    </xf>
    <xf numFmtId="0" fontId="109" fillId="0" borderId="117" xfId="142" applyFont="1" applyBorder="1" applyAlignment="1">
      <alignment horizontal="center" vertical="center" wrapText="1"/>
    </xf>
    <xf numFmtId="0" fontId="109" fillId="0" borderId="127" xfId="142" applyFont="1" applyBorder="1" applyAlignment="1">
      <alignment horizontal="center" vertical="center" wrapText="1"/>
    </xf>
    <xf numFmtId="0" fontId="109" fillId="0" borderId="134" xfId="142" applyFont="1" applyBorder="1" applyAlignment="1">
      <alignment horizontal="center" vertical="center" wrapText="1"/>
    </xf>
    <xf numFmtId="0" fontId="109" fillId="0" borderId="130" xfId="142" applyFont="1" applyBorder="1" applyAlignment="1">
      <alignment horizontal="center" vertical="center" wrapText="1"/>
    </xf>
    <xf numFmtId="0" fontId="109" fillId="63" borderId="5" xfId="146" applyFont="1" applyFill="1" applyBorder="1" applyAlignment="1" applyProtection="1">
      <alignment horizontal="center" vertical="center"/>
      <protection locked="0"/>
    </xf>
    <xf numFmtId="0" fontId="109" fillId="63" borderId="118" xfId="146" applyFont="1" applyFill="1" applyBorder="1" applyAlignment="1" applyProtection="1">
      <alignment horizontal="center" vertical="center"/>
      <protection locked="0"/>
    </xf>
    <xf numFmtId="0" fontId="8" fillId="2" borderId="3" xfId="146" applyFont="1" applyFill="1" applyBorder="1" applyAlignment="1" applyProtection="1">
      <alignment horizontal="center" vertical="center"/>
      <protection locked="0"/>
    </xf>
    <xf numFmtId="0" fontId="8" fillId="2" borderId="4" xfId="146" applyFont="1" applyFill="1" applyBorder="1" applyAlignment="1" applyProtection="1">
      <alignment horizontal="center" vertical="center"/>
      <protection locked="0"/>
    </xf>
    <xf numFmtId="0" fontId="8" fillId="2" borderId="5" xfId="146" applyFont="1" applyFill="1" applyBorder="1" applyAlignment="1" applyProtection="1">
      <alignment horizontal="center" vertical="center"/>
      <protection locked="0"/>
    </xf>
    <xf numFmtId="0" fontId="109" fillId="63" borderId="6" xfId="146" applyFont="1" applyFill="1" applyBorder="1" applyAlignment="1" applyProtection="1">
      <alignment horizontal="center" vertical="center"/>
      <protection locked="0"/>
    </xf>
    <xf numFmtId="0" fontId="109" fillId="63" borderId="116" xfId="146" applyFont="1" applyFill="1" applyBorder="1" applyAlignment="1" applyProtection="1">
      <alignment horizontal="center" vertical="center"/>
      <protection locked="0"/>
    </xf>
    <xf numFmtId="0" fontId="109" fillId="63" borderId="4" xfId="146" applyFont="1" applyFill="1" applyBorder="1" applyAlignment="1" applyProtection="1">
      <alignment horizontal="center" vertical="center"/>
      <protection locked="0"/>
    </xf>
    <xf numFmtId="0" fontId="109" fillId="63" borderId="117" xfId="146" applyFont="1" applyFill="1" applyBorder="1" applyAlignment="1" applyProtection="1">
      <alignment horizontal="center" vertical="center"/>
      <protection locked="0"/>
    </xf>
    <xf numFmtId="0" fontId="109" fillId="61" borderId="4" xfId="146" applyFont="1" applyFill="1" applyBorder="1" applyAlignment="1" applyProtection="1">
      <alignment horizontal="center" vertical="center"/>
      <protection locked="0"/>
    </xf>
    <xf numFmtId="0" fontId="109" fillId="79" borderId="4" xfId="146" applyFont="1" applyFill="1" applyBorder="1" applyAlignment="1" applyProtection="1">
      <alignment horizontal="center" vertical="center"/>
      <protection locked="0"/>
    </xf>
    <xf numFmtId="0" fontId="109" fillId="79" borderId="10" xfId="146" applyFont="1" applyFill="1" applyBorder="1" applyAlignment="1" applyProtection="1">
      <alignment horizontal="center" vertical="center"/>
      <protection locked="0"/>
    </xf>
    <xf numFmtId="0" fontId="109" fillId="68" borderId="32" xfId="142" applyFont="1" applyFill="1" applyBorder="1" applyAlignment="1">
      <alignment horizontal="center" vertical="center"/>
    </xf>
    <xf numFmtId="0" fontId="109" fillId="68" borderId="33" xfId="142" applyFont="1" applyFill="1" applyBorder="1" applyAlignment="1">
      <alignment horizontal="center" vertical="center"/>
    </xf>
    <xf numFmtId="0" fontId="109" fillId="68" borderId="3" xfId="142" applyNumberFormat="1" applyFont="1" applyFill="1" applyBorder="1" applyAlignment="1">
      <alignment horizontal="center" vertical="center" wrapText="1"/>
    </xf>
    <xf numFmtId="0" fontId="109" fillId="68" borderId="4" xfId="142" applyNumberFormat="1" applyFont="1" applyFill="1" applyBorder="1" applyAlignment="1">
      <alignment horizontal="center" vertical="center" wrapText="1"/>
    </xf>
    <xf numFmtId="0" fontId="109" fillId="68" borderId="15" xfId="142" applyNumberFormat="1" applyFont="1" applyFill="1" applyBorder="1" applyAlignment="1">
      <alignment horizontal="center" vertical="center" wrapText="1"/>
    </xf>
    <xf numFmtId="0" fontId="109" fillId="68" borderId="10" xfId="142" applyNumberFormat="1" applyFont="1" applyFill="1" applyBorder="1" applyAlignment="1">
      <alignment horizontal="center" vertical="center" wrapText="1"/>
    </xf>
    <xf numFmtId="0" fontId="109" fillId="45" borderId="99" xfId="146" applyFont="1" applyFill="1" applyBorder="1" applyAlignment="1" applyProtection="1">
      <alignment horizontal="center" vertical="center"/>
      <protection locked="0"/>
    </xf>
    <xf numFmtId="0" fontId="109" fillId="45" borderId="139" xfId="146" applyFont="1" applyFill="1" applyBorder="1" applyAlignment="1" applyProtection="1">
      <alignment horizontal="center" vertical="center"/>
      <protection locked="0"/>
    </xf>
    <xf numFmtId="0" fontId="109" fillId="68" borderId="8" xfId="142" applyNumberFormat="1" applyFont="1" applyFill="1" applyBorder="1" applyAlignment="1">
      <alignment horizontal="center" vertical="center"/>
    </xf>
    <xf numFmtId="0" fontId="109" fillId="68" borderId="9" xfId="142" applyNumberFormat="1" applyFont="1" applyFill="1" applyBorder="1" applyAlignment="1">
      <alignment horizontal="center" vertical="center"/>
    </xf>
    <xf numFmtId="0" fontId="109" fillId="45" borderId="4" xfId="146" applyFont="1" applyFill="1" applyBorder="1" applyAlignment="1" applyProtection="1">
      <alignment horizontal="center" vertical="center"/>
      <protection locked="0"/>
    </xf>
    <xf numFmtId="0" fontId="109" fillId="68" borderId="132" xfId="142" applyNumberFormat="1" applyFont="1" applyFill="1" applyBorder="1" applyAlignment="1">
      <alignment horizontal="center" vertical="center"/>
    </xf>
    <xf numFmtId="0" fontId="109" fillId="68" borderId="89" xfId="142" applyNumberFormat="1" applyFont="1" applyFill="1" applyBorder="1" applyAlignment="1">
      <alignment horizontal="center" vertical="center"/>
    </xf>
    <xf numFmtId="0" fontId="109" fillId="68" borderId="115" xfId="142" applyNumberFormat="1" applyFont="1" applyFill="1" applyBorder="1" applyAlignment="1">
      <alignment horizontal="center" vertical="center"/>
    </xf>
    <xf numFmtId="0" fontId="109" fillId="68" borderId="117" xfId="142" applyNumberFormat="1" applyFont="1" applyFill="1" applyBorder="1" applyAlignment="1">
      <alignment horizontal="center" vertical="center"/>
    </xf>
    <xf numFmtId="0" fontId="109" fillId="68" borderId="40" xfId="142" applyNumberFormat="1" applyFont="1" applyFill="1" applyBorder="1" applyAlignment="1">
      <alignment horizontal="center" vertical="center"/>
    </xf>
    <xf numFmtId="0" fontId="109" fillId="68" borderId="41" xfId="142" applyNumberFormat="1" applyFont="1" applyFill="1" applyBorder="1" applyAlignment="1">
      <alignment horizontal="center" vertical="center"/>
    </xf>
    <xf numFmtId="0" fontId="8" fillId="75" borderId="111" xfId="146" applyFont="1" applyFill="1" applyBorder="1" applyAlignment="1" applyProtection="1">
      <alignment horizontal="center" vertical="center"/>
      <protection locked="0"/>
    </xf>
    <xf numFmtId="0" fontId="8" fillId="75" borderId="122" xfId="146" applyFont="1" applyFill="1" applyBorder="1" applyAlignment="1" applyProtection="1">
      <alignment horizontal="center" vertical="center"/>
      <protection locked="0"/>
    </xf>
    <xf numFmtId="0" fontId="8" fillId="75" borderId="144" xfId="146" applyFont="1" applyFill="1" applyBorder="1" applyAlignment="1" applyProtection="1">
      <alignment horizontal="center" vertical="center"/>
      <protection locked="0"/>
    </xf>
    <xf numFmtId="0" fontId="109" fillId="75" borderId="111" xfId="146" applyFont="1" applyFill="1" applyBorder="1" applyAlignment="1" applyProtection="1">
      <alignment horizontal="center" vertical="center"/>
      <protection locked="0"/>
    </xf>
    <xf numFmtId="0" fontId="108" fillId="0" borderId="56" xfId="138" applyFont="1" applyBorder="1" applyAlignment="1">
      <alignment horizontal="center" vertical="center"/>
    </xf>
    <xf numFmtId="0" fontId="108" fillId="0" borderId="59" xfId="138" applyFont="1" applyBorder="1" applyAlignment="1">
      <alignment horizontal="center" vertical="center"/>
    </xf>
    <xf numFmtId="0" fontId="108" fillId="0" borderId="97" xfId="138" applyFont="1" applyBorder="1" applyAlignment="1">
      <alignment horizontal="center" vertical="center"/>
    </xf>
    <xf numFmtId="0" fontId="108" fillId="0" borderId="7" xfId="138" applyFont="1" applyBorder="1" applyAlignment="1">
      <alignment horizontal="center" vertical="center"/>
    </xf>
    <xf numFmtId="0" fontId="108" fillId="0" borderId="101" xfId="138" applyFont="1" applyBorder="1" applyAlignment="1">
      <alignment horizontal="center" vertical="center"/>
    </xf>
    <xf numFmtId="0" fontId="108" fillId="2" borderId="102" xfId="138" applyFont="1" applyFill="1" applyBorder="1" applyAlignment="1">
      <alignment horizontal="center" vertical="center"/>
    </xf>
    <xf numFmtId="0" fontId="108" fillId="2" borderId="7" xfId="138" applyFont="1" applyFill="1" applyBorder="1" applyAlignment="1">
      <alignment horizontal="center" vertical="center"/>
    </xf>
    <xf numFmtId="0" fontId="108" fillId="2" borderId="52" xfId="138" applyFont="1" applyFill="1" applyBorder="1" applyAlignment="1">
      <alignment horizontal="center" vertical="center"/>
    </xf>
    <xf numFmtId="0" fontId="108" fillId="2" borderId="97" xfId="138" applyFont="1" applyFill="1" applyBorder="1" applyAlignment="1">
      <alignment horizontal="center" vertical="center"/>
    </xf>
    <xf numFmtId="0" fontId="108" fillId="2" borderId="56" xfId="138" applyFont="1" applyFill="1" applyBorder="1" applyAlignment="1">
      <alignment horizontal="center" vertical="center"/>
    </xf>
    <xf numFmtId="0" fontId="108" fillId="2" borderId="59" xfId="138" applyFont="1" applyFill="1" applyBorder="1" applyAlignment="1">
      <alignment horizontal="center" vertical="center"/>
    </xf>
    <xf numFmtId="0" fontId="108" fillId="64" borderId="7" xfId="138" applyFont="1" applyFill="1" applyBorder="1" applyAlignment="1">
      <alignment horizontal="center" vertical="center"/>
    </xf>
    <xf numFmtId="0" fontId="108" fillId="64" borderId="52" xfId="138" applyFont="1" applyFill="1" applyBorder="1" applyAlignment="1">
      <alignment horizontal="center" vertical="center"/>
    </xf>
    <xf numFmtId="0" fontId="108" fillId="0" borderId="72" xfId="138" applyFont="1" applyBorder="1" applyAlignment="1">
      <alignment horizontal="center" vertical="center"/>
    </xf>
    <xf numFmtId="0" fontId="108" fillId="0" borderId="30" xfId="138" applyFont="1" applyBorder="1" applyAlignment="1">
      <alignment horizontal="center" vertical="center"/>
    </xf>
    <xf numFmtId="0" fontId="108" fillId="0" borderId="99" xfId="138" applyFont="1" applyBorder="1" applyAlignment="1">
      <alignment horizontal="center" vertical="center"/>
    </xf>
    <xf numFmtId="0" fontId="108" fillId="0" borderId="55" xfId="138" applyFont="1" applyBorder="1" applyAlignment="1">
      <alignment horizontal="center" vertical="center"/>
    </xf>
    <xf numFmtId="0" fontId="108" fillId="0" borderId="100" xfId="138" applyFont="1" applyBorder="1" applyAlignment="1">
      <alignment horizontal="center" vertical="center"/>
    </xf>
    <xf numFmtId="0" fontId="108" fillId="0" borderId="96" xfId="138" applyFont="1" applyBorder="1" applyAlignment="1">
      <alignment horizontal="center" vertical="center"/>
    </xf>
    <xf numFmtId="184" fontId="109" fillId="7" borderId="97" xfId="138" applyNumberFormat="1" applyFont="1" applyFill="1" applyBorder="1" applyAlignment="1">
      <alignment horizontal="center" vertical="center"/>
    </xf>
    <xf numFmtId="184" fontId="109" fillId="7" borderId="7" xfId="138" applyNumberFormat="1" applyFont="1" applyFill="1" applyBorder="1" applyAlignment="1">
      <alignment horizontal="center" vertical="center"/>
    </xf>
    <xf numFmtId="184" fontId="109" fillId="7" borderId="52" xfId="138" applyNumberFormat="1" applyFont="1" applyFill="1" applyBorder="1" applyAlignment="1">
      <alignment horizontal="center" vertical="center"/>
    </xf>
    <xf numFmtId="184" fontId="109" fillId="7" borderId="93" xfId="138" applyNumberFormat="1" applyFont="1" applyFill="1" applyBorder="1" applyAlignment="1">
      <alignment horizontal="center" vertical="center"/>
    </xf>
    <xf numFmtId="184" fontId="109" fillId="7" borderId="94" xfId="138" applyNumberFormat="1" applyFont="1" applyFill="1" applyBorder="1" applyAlignment="1">
      <alignment horizontal="center" vertical="center"/>
    </xf>
    <xf numFmtId="184" fontId="109" fillId="7" borderId="98" xfId="138" applyNumberFormat="1" applyFont="1" applyFill="1" applyBorder="1" applyAlignment="1">
      <alignment horizontal="center" vertical="center"/>
    </xf>
    <xf numFmtId="0" fontId="109" fillId="63" borderId="73" xfId="138" applyFont="1" applyFill="1" applyBorder="1" applyAlignment="1">
      <alignment horizontal="center" vertical="center"/>
    </xf>
    <xf numFmtId="0" fontId="109" fillId="63" borderId="74" xfId="138" applyFont="1" applyFill="1" applyBorder="1" applyAlignment="1">
      <alignment horizontal="center" vertical="center"/>
    </xf>
    <xf numFmtId="184" fontId="109" fillId="4" borderId="83" xfId="138" applyNumberFormat="1" applyFont="1" applyFill="1" applyBorder="1" applyAlignment="1">
      <alignment horizontal="center" vertical="center"/>
    </xf>
    <xf numFmtId="184" fontId="109" fillId="4" borderId="84" xfId="138" applyNumberFormat="1" applyFont="1" applyFill="1" applyBorder="1" applyAlignment="1">
      <alignment horizontal="center" vertical="center"/>
    </xf>
    <xf numFmtId="184" fontId="109" fillId="4" borderId="85" xfId="138" applyNumberFormat="1" applyFont="1" applyFill="1" applyBorder="1" applyAlignment="1">
      <alignment horizontal="center" vertical="center"/>
    </xf>
    <xf numFmtId="184" fontId="109" fillId="4" borderId="42" xfId="138" applyNumberFormat="1" applyFont="1" applyFill="1" applyBorder="1" applyAlignment="1">
      <alignment horizontal="center" vertical="center"/>
    </xf>
    <xf numFmtId="184" fontId="109" fillId="4" borderId="43" xfId="138" applyNumberFormat="1" applyFont="1" applyFill="1" applyBorder="1" applyAlignment="1">
      <alignment horizontal="center" vertical="center"/>
    </xf>
    <xf numFmtId="184" fontId="109" fillId="4" borderId="91" xfId="138" applyNumberFormat="1" applyFont="1" applyFill="1" applyBorder="1" applyAlignment="1">
      <alignment horizontal="center" vertical="center"/>
    </xf>
    <xf numFmtId="184" fontId="109" fillId="4" borderId="93" xfId="138" applyNumberFormat="1" applyFont="1" applyFill="1" applyBorder="1" applyAlignment="1">
      <alignment horizontal="center" vertical="center"/>
    </xf>
    <xf numFmtId="184" fontId="109" fillId="4" borderId="94" xfId="138" applyNumberFormat="1" applyFont="1" applyFill="1" applyBorder="1" applyAlignment="1">
      <alignment horizontal="center" vertical="center"/>
    </xf>
    <xf numFmtId="184" fontId="109" fillId="4" borderId="95" xfId="138" applyNumberFormat="1" applyFont="1" applyFill="1" applyBorder="1" applyAlignment="1">
      <alignment horizontal="center" vertical="center"/>
    </xf>
    <xf numFmtId="205" fontId="109" fillId="67" borderId="81" xfId="0" applyNumberFormat="1" applyFont="1" applyFill="1" applyBorder="1" applyAlignment="1">
      <alignment horizontal="center" vertical="center"/>
    </xf>
    <xf numFmtId="0" fontId="109" fillId="80" borderId="7" xfId="146" applyFont="1" applyFill="1" applyBorder="1" applyAlignment="1" applyProtection="1">
      <alignment horizontal="center" vertical="center"/>
      <protection locked="0"/>
    </xf>
    <xf numFmtId="0" fontId="111" fillId="81" borderId="3" xfId="142" applyFont="1" applyFill="1" applyBorder="1" applyAlignment="1">
      <alignment horizontal="center" vertical="center" shrinkToFit="1"/>
    </xf>
    <xf numFmtId="0" fontId="111" fillId="81" borderId="4" xfId="142" applyFont="1" applyFill="1" applyBorder="1" applyAlignment="1">
      <alignment horizontal="center" vertical="center" shrinkToFit="1"/>
    </xf>
    <xf numFmtId="0" fontId="111" fillId="81" borderId="5" xfId="142" applyFont="1" applyFill="1" applyBorder="1" applyAlignment="1">
      <alignment horizontal="center" vertical="center" shrinkToFit="1"/>
    </xf>
    <xf numFmtId="0" fontId="115" fillId="70" borderId="4" xfId="142" applyFont="1" applyFill="1" applyBorder="1" applyAlignment="1">
      <alignment horizontal="center" vertical="center"/>
    </xf>
    <xf numFmtId="0" fontId="109" fillId="0" borderId="51" xfId="142" applyFont="1" applyBorder="1" applyAlignment="1">
      <alignment horizontal="center" vertical="center"/>
    </xf>
    <xf numFmtId="205" fontId="109" fillId="67" borderId="20" xfId="0" applyNumberFormat="1" applyFont="1" applyFill="1" applyBorder="1" applyAlignment="1">
      <alignment horizontal="center" vertical="center"/>
    </xf>
    <xf numFmtId="205" fontId="109" fillId="67" borderId="135" xfId="0" applyNumberFormat="1" applyFont="1" applyFill="1" applyBorder="1" applyAlignment="1">
      <alignment horizontal="center" vertical="center"/>
    </xf>
    <xf numFmtId="0" fontId="115" fillId="83" borderId="99" xfId="0" applyFont="1" applyFill="1" applyBorder="1" applyAlignment="1" applyProtection="1">
      <alignment horizontal="center" vertical="center" wrapText="1"/>
      <protection locked="0"/>
    </xf>
    <xf numFmtId="0" fontId="115" fillId="83" borderId="139" xfId="0" applyFont="1" applyFill="1" applyBorder="1" applyAlignment="1" applyProtection="1">
      <alignment horizontal="center" vertical="center" wrapText="1"/>
      <protection locked="0"/>
    </xf>
    <xf numFmtId="41" fontId="111" fillId="82" borderId="56" xfId="145" applyFont="1" applyFill="1" applyBorder="1" applyAlignment="1">
      <alignment horizontal="center" vertical="center"/>
    </xf>
    <xf numFmtId="41" fontId="111" fillId="82" borderId="114" xfId="145" applyFont="1" applyFill="1" applyBorder="1" applyAlignment="1">
      <alignment horizontal="center" vertical="center"/>
    </xf>
    <xf numFmtId="0" fontId="109" fillId="83" borderId="7" xfId="138" applyFont="1" applyFill="1" applyBorder="1" applyAlignment="1">
      <alignment horizontal="center" vertical="center"/>
    </xf>
    <xf numFmtId="0" fontId="109" fillId="83" borderId="6" xfId="138" applyFont="1" applyFill="1" applyBorder="1" applyAlignment="1">
      <alignment horizontal="center" vertical="center"/>
    </xf>
    <xf numFmtId="0" fontId="109" fillId="83" borderId="4" xfId="138" applyFont="1" applyFill="1" applyBorder="1" applyAlignment="1">
      <alignment horizontal="center" vertical="center"/>
    </xf>
    <xf numFmtId="0" fontId="109" fillId="83" borderId="51" xfId="138" applyFont="1" applyFill="1" applyBorder="1" applyAlignment="1">
      <alignment horizontal="center" vertical="center"/>
    </xf>
    <xf numFmtId="0" fontId="109" fillId="83" borderId="99" xfId="0" applyFont="1" applyFill="1" applyBorder="1" applyAlignment="1" applyProtection="1">
      <alignment horizontal="center" vertical="center"/>
      <protection locked="0"/>
    </xf>
    <xf numFmtId="0" fontId="109" fillId="83" borderId="139" xfId="0" applyFont="1" applyFill="1" applyBorder="1" applyAlignment="1" applyProtection="1">
      <alignment horizontal="center" vertical="center"/>
      <protection locked="0"/>
    </xf>
    <xf numFmtId="0" fontId="109" fillId="67" borderId="72" xfId="0" applyFont="1" applyFill="1" applyBorder="1" applyAlignment="1" applyProtection="1">
      <alignment horizontal="center" vertical="center"/>
      <protection locked="0"/>
    </xf>
    <xf numFmtId="0" fontId="109" fillId="67" borderId="135" xfId="0" applyFont="1" applyFill="1" applyBorder="1" applyAlignment="1" applyProtection="1">
      <alignment horizontal="center" vertical="center"/>
      <protection locked="0"/>
    </xf>
    <xf numFmtId="0" fontId="109" fillId="67" borderId="99" xfId="0" applyFont="1" applyFill="1" applyBorder="1" applyAlignment="1" applyProtection="1">
      <alignment horizontal="center" vertical="center"/>
      <protection locked="0"/>
    </xf>
    <xf numFmtId="0" fontId="109" fillId="67" borderId="139" xfId="0" applyFont="1" applyFill="1" applyBorder="1" applyAlignment="1" applyProtection="1">
      <alignment horizontal="center" vertical="center"/>
      <protection locked="0"/>
    </xf>
    <xf numFmtId="0" fontId="109" fillId="67" borderId="122" xfId="0" applyFont="1" applyFill="1" applyBorder="1" applyAlignment="1" applyProtection="1">
      <alignment horizontal="center" vertical="center"/>
      <protection locked="0"/>
    </xf>
    <xf numFmtId="0" fontId="109" fillId="67" borderId="144" xfId="0" applyFont="1" applyFill="1" applyBorder="1" applyAlignment="1" applyProtection="1">
      <alignment horizontal="center" vertical="center"/>
      <protection locked="0"/>
    </xf>
    <xf numFmtId="0" fontId="109" fillId="68" borderId="3" xfId="0" applyFont="1" applyFill="1" applyBorder="1" applyAlignment="1" applyProtection="1">
      <alignment horizontal="center" vertical="center"/>
      <protection locked="0"/>
    </xf>
    <xf numFmtId="0" fontId="109" fillId="68" borderId="4" xfId="0" applyFont="1" applyFill="1" applyBorder="1" applyAlignment="1" applyProtection="1">
      <alignment horizontal="center" vertical="center"/>
      <protection locked="0"/>
    </xf>
    <xf numFmtId="0" fontId="109" fillId="68" borderId="51" xfId="0" applyFont="1" applyFill="1" applyBorder="1" applyAlignment="1" applyProtection="1">
      <alignment horizontal="center" vertical="center"/>
      <protection locked="0"/>
    </xf>
    <xf numFmtId="0" fontId="109" fillId="72" borderId="4" xfId="138" applyFont="1" applyFill="1" applyBorder="1" applyAlignment="1">
      <alignment horizontal="center" vertical="center"/>
    </xf>
    <xf numFmtId="0" fontId="131" fillId="69" borderId="0" xfId="0" applyFont="1" applyFill="1" applyBorder="1" applyAlignment="1" applyProtection="1">
      <alignment horizontal="left" vertical="center"/>
      <protection locked="0"/>
    </xf>
    <xf numFmtId="0" fontId="109" fillId="67" borderId="30" xfId="0" applyFont="1" applyFill="1" applyBorder="1" applyAlignment="1" applyProtection="1">
      <alignment horizontal="center" vertical="center"/>
      <protection locked="0"/>
    </xf>
    <xf numFmtId="0" fontId="109" fillId="67" borderId="99" xfId="0" applyFont="1" applyFill="1" applyBorder="1" applyAlignment="1" applyProtection="1">
      <alignment horizontal="center" vertical="center" wrapText="1"/>
      <protection locked="0"/>
    </xf>
    <xf numFmtId="0" fontId="109" fillId="67" borderId="55" xfId="0" applyFont="1" applyFill="1" applyBorder="1" applyAlignment="1" applyProtection="1">
      <alignment horizontal="center" vertical="center"/>
      <protection locked="0"/>
    </xf>
    <xf numFmtId="0" fontId="109" fillId="0" borderId="4" xfId="138" applyFont="1" applyBorder="1" applyAlignment="1">
      <alignment horizontal="center" vertical="center"/>
    </xf>
    <xf numFmtId="205" fontId="109" fillId="85" borderId="156" xfId="0" applyNumberFormat="1" applyFont="1" applyFill="1" applyBorder="1" applyAlignment="1">
      <alignment horizontal="center"/>
    </xf>
    <xf numFmtId="205" fontId="109" fillId="85" borderId="109" xfId="0" applyNumberFormat="1" applyFont="1" applyFill="1" applyBorder="1" applyAlignment="1">
      <alignment horizontal="center"/>
    </xf>
    <xf numFmtId="0" fontId="107" fillId="69" borderId="99" xfId="138" applyFont="1" applyFill="1" applyBorder="1" applyAlignment="1">
      <alignment horizontal="center" vertical="center" wrapText="1"/>
    </xf>
    <xf numFmtId="0" fontId="107" fillId="69" borderId="55" xfId="138" applyFont="1" applyFill="1" applyBorder="1" applyAlignment="1">
      <alignment horizontal="center" vertical="center"/>
    </xf>
    <xf numFmtId="0" fontId="109" fillId="78" borderId="4" xfId="146" applyFont="1" applyFill="1" applyBorder="1" applyAlignment="1" applyProtection="1">
      <alignment horizontal="center" vertical="center"/>
      <protection locked="0"/>
    </xf>
    <xf numFmtId="0" fontId="109" fillId="78" borderId="33" xfId="146" applyFont="1" applyFill="1" applyBorder="1" applyAlignment="1" applyProtection="1">
      <alignment horizontal="center" vertical="center"/>
      <protection locked="0"/>
    </xf>
    <xf numFmtId="0" fontId="109" fillId="78" borderId="5" xfId="146" applyFont="1" applyFill="1" applyBorder="1" applyAlignment="1" applyProtection="1">
      <alignment horizontal="center" vertical="center"/>
      <protection locked="0"/>
    </xf>
    <xf numFmtId="0" fontId="109" fillId="78" borderId="18" xfId="146" applyFont="1" applyFill="1" applyBorder="1" applyAlignment="1" applyProtection="1">
      <alignment horizontal="center" vertical="center"/>
      <protection locked="0"/>
    </xf>
    <xf numFmtId="0" fontId="109" fillId="72" borderId="33" xfId="138" applyFont="1" applyFill="1" applyBorder="1" applyAlignment="1">
      <alignment horizontal="center" vertical="center"/>
    </xf>
    <xf numFmtId="0" fontId="109" fillId="67" borderId="4" xfId="138" applyFont="1" applyFill="1" applyBorder="1" applyAlignment="1">
      <alignment horizontal="center" vertical="center"/>
    </xf>
    <xf numFmtId="0" fontId="109" fillId="0" borderId="33" xfId="138" applyFont="1" applyBorder="1" applyAlignment="1">
      <alignment horizontal="center" vertical="center"/>
    </xf>
    <xf numFmtId="0" fontId="109" fillId="61" borderId="99" xfId="146" applyFont="1" applyFill="1" applyBorder="1" applyAlignment="1" applyProtection="1">
      <alignment horizontal="center" vertical="center"/>
      <protection locked="0"/>
    </xf>
    <xf numFmtId="0" fontId="109" fillId="61" borderId="55" xfId="146" applyFont="1" applyFill="1" applyBorder="1" applyAlignment="1" applyProtection="1">
      <alignment horizontal="center" vertical="center"/>
      <protection locked="0"/>
    </xf>
    <xf numFmtId="0" fontId="109" fillId="0" borderId="4" xfId="142" applyFont="1" applyBorder="1" applyAlignment="1">
      <alignment horizontal="center" vertical="center"/>
    </xf>
    <xf numFmtId="0" fontId="105" fillId="73" borderId="140" xfId="142" applyFont="1" applyFill="1" applyBorder="1" applyAlignment="1">
      <alignment horizontal="center" vertical="center"/>
    </xf>
    <xf numFmtId="0" fontId="105" fillId="73" borderId="141" xfId="142" applyFont="1" applyFill="1" applyBorder="1" applyAlignment="1">
      <alignment horizontal="center" vertical="center"/>
    </xf>
    <xf numFmtId="0" fontId="109" fillId="0" borderId="5" xfId="142" applyFont="1" applyBorder="1" applyAlignment="1">
      <alignment horizontal="center" vertical="center"/>
    </xf>
    <xf numFmtId="0" fontId="109" fillId="83" borderId="55" xfId="0" applyFont="1" applyFill="1" applyBorder="1" applyAlignment="1" applyProtection="1">
      <alignment horizontal="center" vertical="center"/>
      <protection locked="0"/>
    </xf>
    <xf numFmtId="0" fontId="115" fillId="83" borderId="55" xfId="0" applyFont="1" applyFill="1" applyBorder="1" applyAlignment="1" applyProtection="1">
      <alignment horizontal="center" vertical="center" wrapText="1"/>
      <protection locked="0"/>
    </xf>
    <xf numFmtId="41" fontId="111" fillId="82" borderId="59" xfId="145" applyFont="1" applyFill="1" applyBorder="1" applyAlignment="1">
      <alignment horizontal="center" vertical="center"/>
    </xf>
    <xf numFmtId="199" fontId="109" fillId="43" borderId="4" xfId="142" applyNumberFormat="1" applyFont="1" applyFill="1" applyBorder="1" applyAlignment="1">
      <alignment horizontal="center" vertical="center" shrinkToFit="1"/>
    </xf>
    <xf numFmtId="199" fontId="109" fillId="43" borderId="33" xfId="142" applyNumberFormat="1" applyFont="1" applyFill="1" applyBorder="1" applyAlignment="1">
      <alignment horizontal="center" vertical="center" shrinkToFit="1"/>
    </xf>
    <xf numFmtId="41" fontId="91" fillId="0" borderId="99" xfId="145" applyFont="1" applyBorder="1" applyAlignment="1">
      <alignment horizontal="center" vertical="center"/>
    </xf>
    <xf numFmtId="41" fontId="91" fillId="0" borderId="55" xfId="145" applyFont="1" applyBorder="1" applyAlignment="1">
      <alignment horizontal="center" vertical="center"/>
    </xf>
    <xf numFmtId="41" fontId="91" fillId="0" borderId="100" xfId="145" applyFont="1" applyBorder="1" applyAlignment="1">
      <alignment horizontal="center"/>
    </xf>
    <xf numFmtId="41" fontId="91" fillId="0" borderId="96" xfId="145" applyFont="1" applyBorder="1" applyAlignment="1">
      <alignment horizontal="center"/>
    </xf>
    <xf numFmtId="41" fontId="11" fillId="67" borderId="4" xfId="145" applyFont="1" applyFill="1" applyBorder="1" applyAlignment="1">
      <alignment horizontal="center" vertical="center"/>
    </xf>
    <xf numFmtId="41" fontId="11" fillId="0" borderId="4" xfId="145" applyFont="1" applyBorder="1" applyAlignment="1">
      <alignment horizontal="center" vertical="center"/>
    </xf>
    <xf numFmtId="41" fontId="11" fillId="0" borderId="33" xfId="145" applyFont="1" applyBorder="1" applyAlignment="1">
      <alignment horizontal="center" vertical="center"/>
    </xf>
    <xf numFmtId="41" fontId="58" fillId="0" borderId="4" xfId="145" applyFont="1" applyFill="1" applyBorder="1" applyAlignment="1">
      <alignment horizontal="center" vertical="center" shrinkToFit="1"/>
    </xf>
    <xf numFmtId="41" fontId="55" fillId="0" borderId="4" xfId="145" applyFont="1" applyFill="1" applyBorder="1" applyAlignment="1">
      <alignment horizontal="center" vertical="center" shrinkToFit="1"/>
    </xf>
    <xf numFmtId="41" fontId="58" fillId="78" borderId="4" xfId="145" applyFont="1" applyFill="1" applyBorder="1" applyAlignment="1" applyProtection="1">
      <alignment horizontal="center" vertical="center"/>
      <protection locked="0"/>
    </xf>
    <xf numFmtId="41" fontId="55" fillId="78" borderId="33" xfId="145" applyFont="1" applyFill="1" applyBorder="1" applyAlignment="1" applyProtection="1">
      <alignment horizontal="center" vertical="center"/>
      <protection locked="0"/>
    </xf>
    <xf numFmtId="41" fontId="58" fillId="78" borderId="5" xfId="145" applyFont="1" applyFill="1" applyBorder="1" applyAlignment="1" applyProtection="1">
      <alignment horizontal="center" vertical="center"/>
      <protection locked="0"/>
    </xf>
    <xf numFmtId="41" fontId="55" fillId="78" borderId="18" xfId="145" applyFont="1" applyFill="1" applyBorder="1" applyAlignment="1" applyProtection="1">
      <alignment horizontal="center" vertical="center"/>
      <protection locked="0"/>
    </xf>
    <xf numFmtId="41" fontId="55" fillId="0" borderId="4" xfId="145" applyFont="1" applyBorder="1" applyAlignment="1">
      <alignment horizontal="center" vertical="center" shrinkToFit="1"/>
    </xf>
    <xf numFmtId="41" fontId="91" fillId="0" borderId="72" xfId="145" applyFont="1" applyBorder="1" applyAlignment="1">
      <alignment horizontal="center" vertical="center"/>
    </xf>
    <xf numFmtId="41" fontId="91" fillId="0" borderId="30" xfId="145" applyFont="1" applyBorder="1" applyAlignment="1">
      <alignment horizontal="center" vertical="center"/>
    </xf>
    <xf numFmtId="41" fontId="58" fillId="43" borderId="4" xfId="145" applyFont="1" applyFill="1" applyBorder="1" applyAlignment="1">
      <alignment horizontal="center" vertical="center" shrinkToFit="1"/>
    </xf>
    <xf numFmtId="41" fontId="55" fillId="43" borderId="4" xfId="145" applyFont="1" applyFill="1" applyBorder="1" applyAlignment="1">
      <alignment horizontal="center" vertical="center" shrinkToFit="1"/>
    </xf>
    <xf numFmtId="41" fontId="55" fillId="43" borderId="33" xfId="145" applyFont="1" applyFill="1" applyBorder="1" applyAlignment="1">
      <alignment horizontal="center" vertical="center" shrinkToFit="1"/>
    </xf>
    <xf numFmtId="41" fontId="55" fillId="0" borderId="4" xfId="145" applyFont="1" applyBorder="1" applyAlignment="1">
      <alignment horizontal="center" vertical="center"/>
    </xf>
    <xf numFmtId="41" fontId="85" fillId="73" borderId="140" xfId="145" applyFont="1" applyFill="1" applyBorder="1" applyAlignment="1">
      <alignment horizontal="center" vertical="center"/>
    </xf>
    <xf numFmtId="41" fontId="85" fillId="73" borderId="141" xfId="145" applyFont="1" applyFill="1" applyBorder="1" applyAlignment="1">
      <alignment horizontal="center" vertical="center"/>
    </xf>
    <xf numFmtId="41" fontId="55" fillId="0" borderId="5" xfId="145" applyFont="1" applyBorder="1" applyAlignment="1">
      <alignment horizontal="center" vertical="center"/>
    </xf>
    <xf numFmtId="41" fontId="58" fillId="61" borderId="4" xfId="145" applyFont="1" applyFill="1" applyBorder="1" applyAlignment="1" applyProtection="1">
      <alignment horizontal="center" vertical="center"/>
      <protection locked="0"/>
    </xf>
    <xf numFmtId="41" fontId="55" fillId="78" borderId="4" xfId="145" applyFont="1" applyFill="1" applyBorder="1" applyAlignment="1" applyProtection="1">
      <alignment horizontal="center" vertical="center"/>
      <protection locked="0"/>
    </xf>
    <xf numFmtId="41" fontId="55" fillId="61" borderId="4" xfId="145" applyFont="1" applyFill="1" applyBorder="1" applyAlignment="1" applyProtection="1">
      <alignment horizontal="center" vertical="center"/>
      <protection locked="0"/>
    </xf>
    <xf numFmtId="41" fontId="55" fillId="61" borderId="99" xfId="145" applyFont="1" applyFill="1" applyBorder="1" applyAlignment="1" applyProtection="1">
      <alignment horizontal="center" vertical="center"/>
      <protection locked="0"/>
    </xf>
    <xf numFmtId="41" fontId="55" fillId="61" borderId="55" xfId="145" applyFont="1" applyFill="1" applyBorder="1" applyAlignment="1" applyProtection="1">
      <alignment horizontal="center" vertical="center"/>
      <protection locked="0"/>
    </xf>
    <xf numFmtId="41" fontId="58" fillId="45" borderId="4" xfId="145" applyFont="1" applyFill="1" applyBorder="1" applyAlignment="1" applyProtection="1">
      <alignment horizontal="center" vertical="center"/>
      <protection locked="0"/>
    </xf>
    <xf numFmtId="41" fontId="58" fillId="45" borderId="99" xfId="145" applyFont="1" applyFill="1" applyBorder="1" applyAlignment="1" applyProtection="1">
      <alignment horizontal="center" vertical="center"/>
      <protection locked="0"/>
    </xf>
    <xf numFmtId="41" fontId="58" fillId="45" borderId="139" xfId="145" applyFont="1" applyFill="1" applyBorder="1" applyAlignment="1" applyProtection="1">
      <alignment horizontal="center" vertical="center"/>
      <protection locked="0"/>
    </xf>
    <xf numFmtId="41" fontId="11" fillId="72" borderId="4" xfId="145" applyFont="1" applyFill="1" applyBorder="1" applyAlignment="1">
      <alignment horizontal="center" vertical="center"/>
    </xf>
    <xf numFmtId="41" fontId="11" fillId="72" borderId="33" xfId="145" applyFont="1" applyFill="1" applyBorder="1" applyAlignment="1">
      <alignment horizontal="center" vertical="center"/>
    </xf>
    <xf numFmtId="0" fontId="4" fillId="69" borderId="0" xfId="0" applyFont="1" applyFill="1" applyBorder="1" applyAlignment="1" applyProtection="1">
      <alignment horizontal="left" vertical="center"/>
      <protection locked="0"/>
    </xf>
    <xf numFmtId="205" fontId="72" fillId="85" borderId="156" xfId="0" applyNumberFormat="1" applyFont="1" applyFill="1" applyBorder="1" applyAlignment="1">
      <alignment horizontal="center"/>
    </xf>
    <xf numFmtId="205" fontId="72" fillId="85" borderId="109" xfId="0" applyNumberFormat="1" applyFont="1" applyFill="1" applyBorder="1" applyAlignment="1">
      <alignment horizontal="center"/>
    </xf>
    <xf numFmtId="0" fontId="72" fillId="67" borderId="72" xfId="0" applyFont="1" applyFill="1" applyBorder="1" applyAlignment="1" applyProtection="1">
      <alignment horizontal="center" vertical="center"/>
      <protection locked="0"/>
    </xf>
    <xf numFmtId="0" fontId="72" fillId="67" borderId="30" xfId="0" applyFont="1" applyFill="1" applyBorder="1" applyAlignment="1" applyProtection="1">
      <alignment horizontal="center" vertical="center"/>
      <protection locked="0"/>
    </xf>
    <xf numFmtId="0" fontId="72" fillId="67" borderId="99" xfId="0" applyFont="1" applyFill="1" applyBorder="1" applyAlignment="1" applyProtection="1">
      <alignment horizontal="center" vertical="center"/>
      <protection locked="0"/>
    </xf>
    <xf numFmtId="0" fontId="72" fillId="67" borderId="55" xfId="0" applyFont="1" applyFill="1" applyBorder="1" applyAlignment="1" applyProtection="1">
      <alignment horizontal="center" vertical="center"/>
      <protection locked="0"/>
    </xf>
    <xf numFmtId="0" fontId="72" fillId="67" borderId="99" xfId="0" applyFont="1" applyFill="1" applyBorder="1" applyAlignment="1" applyProtection="1">
      <alignment horizontal="center" vertical="center" wrapText="1"/>
      <protection locked="0"/>
    </xf>
    <xf numFmtId="0" fontId="91" fillId="83" borderId="99" xfId="0" applyFont="1" applyFill="1" applyBorder="1" applyAlignment="1" applyProtection="1">
      <alignment horizontal="center" vertical="center"/>
      <protection locked="0"/>
    </xf>
    <xf numFmtId="0" fontId="91" fillId="83" borderId="55" xfId="0" applyFont="1" applyFill="1" applyBorder="1" applyAlignment="1" applyProtection="1">
      <alignment horizontal="center" vertical="center"/>
      <protection locked="0"/>
    </xf>
    <xf numFmtId="0" fontId="89" fillId="83" borderId="99" xfId="0" applyFont="1" applyFill="1" applyBorder="1" applyAlignment="1" applyProtection="1">
      <alignment horizontal="center" vertical="center" wrapText="1"/>
      <protection locked="0"/>
    </xf>
    <xf numFmtId="0" fontId="89" fillId="83" borderId="55" xfId="0" applyFont="1" applyFill="1" applyBorder="1" applyAlignment="1" applyProtection="1">
      <alignment horizontal="center" vertical="center" wrapText="1"/>
      <protection locked="0"/>
    </xf>
    <xf numFmtId="0" fontId="11" fillId="0" borderId="4" xfId="138" applyFont="1" applyBorder="1" applyAlignment="1">
      <alignment horizontal="center" vertical="center"/>
    </xf>
    <xf numFmtId="205" fontId="72" fillId="86" borderId="156" xfId="0" applyNumberFormat="1" applyFont="1" applyFill="1" applyBorder="1" applyAlignment="1">
      <alignment horizontal="center"/>
    </xf>
    <xf numFmtId="205" fontId="72" fillId="86" borderId="109" xfId="0" applyNumberFormat="1" applyFont="1" applyFill="1" applyBorder="1" applyAlignment="1">
      <alignment horizontal="center"/>
    </xf>
    <xf numFmtId="0" fontId="91" fillId="83" borderId="4" xfId="138" applyFont="1" applyFill="1" applyBorder="1" applyAlignment="1">
      <alignment horizontal="center" vertical="center"/>
    </xf>
    <xf numFmtId="0" fontId="91" fillId="83" borderId="51" xfId="138" applyFont="1" applyFill="1" applyBorder="1" applyAlignment="1">
      <alignment horizontal="center" vertical="center"/>
    </xf>
    <xf numFmtId="41" fontId="73" fillId="82" borderId="56" xfId="145" applyFont="1" applyFill="1" applyBorder="1" applyAlignment="1">
      <alignment horizontal="center" vertical="center"/>
    </xf>
    <xf numFmtId="41" fontId="73" fillId="82" borderId="59" xfId="145" applyFont="1" applyFill="1" applyBorder="1" applyAlignment="1">
      <alignment horizontal="center" vertical="center"/>
    </xf>
    <xf numFmtId="0" fontId="11" fillId="72" borderId="4" xfId="138" applyFont="1" applyFill="1" applyBorder="1" applyAlignment="1">
      <alignment horizontal="center" vertical="center"/>
    </xf>
    <xf numFmtId="41" fontId="97" fillId="68" borderId="99" xfId="145" applyFont="1" applyFill="1" applyBorder="1" applyAlignment="1" applyProtection="1">
      <alignment horizontal="center" vertical="center"/>
      <protection locked="0"/>
    </xf>
    <xf numFmtId="41" fontId="97" fillId="68" borderId="55" xfId="145" applyFont="1" applyFill="1" applyBorder="1" applyAlignment="1" applyProtection="1">
      <alignment horizontal="center" vertical="center"/>
      <protection locked="0"/>
    </xf>
    <xf numFmtId="0" fontId="58" fillId="61" borderId="4" xfId="146" applyFont="1" applyFill="1" applyBorder="1" applyAlignment="1" applyProtection="1">
      <alignment horizontal="center" vertical="center"/>
      <protection locked="0"/>
    </xf>
    <xf numFmtId="0" fontId="55" fillId="78" borderId="4" xfId="146" applyFont="1" applyFill="1" applyBorder="1" applyAlignment="1" applyProtection="1">
      <alignment horizontal="center" vertical="center"/>
      <protection locked="0"/>
    </xf>
    <xf numFmtId="0" fontId="55" fillId="78" borderId="117" xfId="146" applyFont="1" applyFill="1" applyBorder="1" applyAlignment="1" applyProtection="1">
      <alignment horizontal="center" vertical="center"/>
      <protection locked="0"/>
    </xf>
    <xf numFmtId="0" fontId="72" fillId="67" borderId="3" xfId="0" applyFont="1" applyFill="1" applyBorder="1" applyAlignment="1" applyProtection="1">
      <alignment horizontal="center" vertical="center"/>
      <protection locked="0"/>
    </xf>
    <xf numFmtId="0" fontId="72" fillId="67" borderId="115" xfId="0" applyFont="1" applyFill="1" applyBorder="1" applyAlignment="1" applyProtection="1">
      <alignment horizontal="center" vertical="center"/>
      <protection locked="0"/>
    </xf>
    <xf numFmtId="0" fontId="72" fillId="67" borderId="127" xfId="0" applyFont="1" applyFill="1" applyBorder="1" applyAlignment="1" applyProtection="1">
      <alignment horizontal="center" vertical="center"/>
      <protection locked="0"/>
    </xf>
    <xf numFmtId="0" fontId="72" fillId="67" borderId="134" xfId="0" applyFont="1" applyFill="1" applyBorder="1" applyAlignment="1" applyProtection="1">
      <alignment horizontal="center" vertical="center"/>
      <protection locked="0"/>
    </xf>
    <xf numFmtId="0" fontId="11" fillId="72" borderId="117" xfId="138" applyFont="1" applyFill="1" applyBorder="1" applyAlignment="1">
      <alignment horizontal="center" vertical="center"/>
    </xf>
    <xf numFmtId="0" fontId="8" fillId="68" borderId="6" xfId="0" applyFont="1" applyFill="1" applyBorder="1" applyAlignment="1" applyProtection="1">
      <alignment horizontal="center" vertical="center"/>
      <protection locked="0"/>
    </xf>
    <xf numFmtId="0" fontId="8" fillId="68" borderId="4" xfId="0" applyFont="1" applyFill="1" applyBorder="1" applyAlignment="1" applyProtection="1">
      <alignment horizontal="center" vertical="center"/>
      <protection locked="0"/>
    </xf>
    <xf numFmtId="0" fontId="58" fillId="78" borderId="4" xfId="146" applyFont="1" applyFill="1" applyBorder="1" applyAlignment="1" applyProtection="1">
      <alignment horizontal="center" vertical="center"/>
      <protection locked="0"/>
    </xf>
    <xf numFmtId="0" fontId="55" fillId="0" borderId="6" xfId="142" applyFont="1" applyBorder="1" applyAlignment="1">
      <alignment horizontal="center" vertical="center"/>
    </xf>
    <xf numFmtId="0" fontId="55" fillId="0" borderId="4" xfId="142" applyFont="1" applyBorder="1" applyAlignment="1">
      <alignment horizontal="center" vertical="center"/>
    </xf>
    <xf numFmtId="0" fontId="55" fillId="0" borderId="5" xfId="142" applyFont="1" applyBorder="1" applyAlignment="1">
      <alignment horizontal="center" vertical="center"/>
    </xf>
    <xf numFmtId="0" fontId="11" fillId="67" borderId="4" xfId="138" applyFont="1" applyFill="1" applyBorder="1" applyAlignment="1">
      <alignment horizontal="center" vertical="center"/>
    </xf>
    <xf numFmtId="0" fontId="11" fillId="0" borderId="117" xfId="138" applyFont="1" applyBorder="1" applyAlignment="1">
      <alignment horizontal="center" vertical="center"/>
    </xf>
    <xf numFmtId="0" fontId="55" fillId="0" borderId="4" xfId="142" applyFont="1" applyFill="1" applyBorder="1" applyAlignment="1">
      <alignment horizontal="center" vertical="center" shrinkToFit="1"/>
    </xf>
    <xf numFmtId="0" fontId="58" fillId="43" borderId="4" xfId="142" applyFont="1" applyFill="1" applyBorder="1" applyAlignment="1">
      <alignment horizontal="center" vertical="center" shrinkToFit="1"/>
    </xf>
    <xf numFmtId="199" fontId="58" fillId="43" borderId="4" xfId="142" applyNumberFormat="1" applyFont="1" applyFill="1" applyBorder="1" applyAlignment="1">
      <alignment horizontal="center" vertical="center" shrinkToFit="1"/>
    </xf>
    <xf numFmtId="199" fontId="55" fillId="43" borderId="117" xfId="142" applyNumberFormat="1" applyFont="1" applyFill="1" applyBorder="1" applyAlignment="1">
      <alignment horizontal="center" vertical="center" shrinkToFit="1"/>
    </xf>
    <xf numFmtId="0" fontId="55" fillId="0" borderId="51" xfId="142" applyFont="1" applyBorder="1" applyAlignment="1">
      <alignment horizontal="center" vertical="center"/>
    </xf>
    <xf numFmtId="0" fontId="84" fillId="74" borderId="145" xfId="142" applyFont="1" applyFill="1" applyBorder="1" applyAlignment="1">
      <alignment horizontal="center" vertical="center"/>
    </xf>
    <xf numFmtId="0" fontId="84" fillId="74" borderId="146" xfId="142" applyFont="1" applyFill="1" applyBorder="1" applyAlignment="1">
      <alignment horizontal="center" vertical="center"/>
    </xf>
    <xf numFmtId="0" fontId="55" fillId="61" borderId="4" xfId="146" applyFont="1" applyFill="1" applyBorder="1" applyAlignment="1" applyProtection="1">
      <alignment horizontal="center" vertical="center"/>
      <protection locked="0"/>
    </xf>
    <xf numFmtId="0" fontId="58" fillId="77" borderId="4" xfId="146" applyFont="1" applyFill="1" applyBorder="1" applyAlignment="1" applyProtection="1">
      <alignment horizontal="center" vertical="center"/>
      <protection locked="0"/>
    </xf>
    <xf numFmtId="0" fontId="109" fillId="67" borderId="20" xfId="0" applyFont="1" applyFill="1" applyBorder="1" applyAlignment="1" applyProtection="1">
      <alignment horizontal="center" vertical="center"/>
      <protection locked="0"/>
    </xf>
    <xf numFmtId="0" fontId="109" fillId="67" borderId="157" xfId="0" applyFont="1" applyFill="1" applyBorder="1" applyAlignment="1" applyProtection="1">
      <alignment horizontal="center" vertical="center"/>
      <protection locked="0"/>
    </xf>
    <xf numFmtId="0" fontId="109" fillId="83" borderId="157" xfId="0" applyFont="1" applyFill="1" applyBorder="1" applyAlignment="1" applyProtection="1">
      <alignment horizontal="center" vertical="center"/>
      <protection locked="0"/>
    </xf>
    <xf numFmtId="0" fontId="115" fillId="83" borderId="157" xfId="0" applyFont="1" applyFill="1" applyBorder="1" applyAlignment="1" applyProtection="1">
      <alignment horizontal="center" vertical="center" wrapText="1"/>
      <protection locked="0"/>
    </xf>
    <xf numFmtId="41" fontId="111" fillId="82" borderId="158" xfId="145" applyFont="1" applyFill="1" applyBorder="1" applyAlignment="1">
      <alignment horizontal="center" vertical="center"/>
    </xf>
    <xf numFmtId="0" fontId="109" fillId="72" borderId="10" xfId="138" applyFont="1" applyFill="1" applyBorder="1" applyAlignment="1">
      <alignment horizontal="center" vertical="center"/>
    </xf>
    <xf numFmtId="0" fontId="109" fillId="0" borderId="10" xfId="138" applyFont="1" applyBorder="1" applyAlignment="1">
      <alignment horizontal="center" vertical="center"/>
    </xf>
    <xf numFmtId="0" fontId="109" fillId="61" borderId="157" xfId="146" applyFont="1" applyFill="1" applyBorder="1" applyAlignment="1" applyProtection="1">
      <alignment horizontal="center" vertical="center"/>
      <protection locked="0"/>
    </xf>
    <xf numFmtId="0" fontId="109" fillId="45" borderId="157" xfId="146" applyFont="1" applyFill="1" applyBorder="1" applyAlignment="1" applyProtection="1">
      <alignment horizontal="center" vertical="center"/>
      <protection locked="0"/>
    </xf>
    <xf numFmtId="0" fontId="109" fillId="78" borderId="10" xfId="146" applyFont="1" applyFill="1" applyBorder="1" applyAlignment="1" applyProtection="1">
      <alignment horizontal="center" vertical="center"/>
      <protection locked="0"/>
    </xf>
    <xf numFmtId="0" fontId="109" fillId="78" borderId="11" xfId="146" applyFont="1" applyFill="1" applyBorder="1" applyAlignment="1" applyProtection="1">
      <alignment horizontal="center" vertical="center"/>
      <protection locked="0"/>
    </xf>
    <xf numFmtId="199" fontId="109" fillId="43" borderId="10" xfId="142" applyNumberFormat="1" applyFont="1" applyFill="1" applyBorder="1" applyAlignment="1">
      <alignment horizontal="center" vertical="center" shrinkToFit="1"/>
    </xf>
    <xf numFmtId="0" fontId="153" fillId="78" borderId="56" xfId="0" applyFont="1" applyFill="1" applyBorder="1" applyAlignment="1">
      <alignment horizontal="center" vertical="center"/>
    </xf>
    <xf numFmtId="0" fontId="153" fillId="78" borderId="59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2" xfId="0" applyBorder="1" applyAlignment="1">
      <alignment horizontal="center"/>
    </xf>
    <xf numFmtId="0" fontId="155" fillId="87" borderId="50" xfId="0" applyFont="1" applyFill="1" applyBorder="1" applyAlignment="1">
      <alignment horizontal="center" vertical="center" wrapText="1"/>
    </xf>
    <xf numFmtId="0" fontId="155" fillId="87" borderId="169" xfId="0" applyFont="1" applyFill="1" applyBorder="1" applyAlignment="1">
      <alignment horizontal="center" vertical="center" wrapText="1"/>
    </xf>
    <xf numFmtId="0" fontId="155" fillId="87" borderId="194" xfId="0" applyFont="1" applyFill="1" applyBorder="1" applyAlignment="1">
      <alignment horizontal="center" vertical="center" wrapText="1"/>
    </xf>
    <xf numFmtId="0" fontId="155" fillId="87" borderId="170" xfId="0" applyFont="1" applyFill="1" applyBorder="1" applyAlignment="1">
      <alignment horizontal="center" vertical="center" wrapText="1"/>
    </xf>
    <xf numFmtId="0" fontId="155" fillId="87" borderId="0" xfId="0" applyFont="1" applyFill="1" applyBorder="1" applyAlignment="1">
      <alignment horizontal="center" vertical="center" wrapText="1"/>
    </xf>
    <xf numFmtId="0" fontId="155" fillId="87" borderId="34" xfId="0" applyFont="1" applyFill="1" applyBorder="1" applyAlignment="1">
      <alignment horizontal="center" vertical="center" wrapText="1"/>
    </xf>
    <xf numFmtId="0" fontId="155" fillId="87" borderId="1" xfId="0" applyFont="1" applyFill="1" applyBorder="1" applyAlignment="1">
      <alignment horizontal="center" vertical="center" wrapText="1"/>
    </xf>
    <xf numFmtId="205" fontId="153" fillId="68" borderId="50" xfId="0" applyNumberFormat="1" applyFont="1" applyFill="1" applyBorder="1" applyAlignment="1">
      <alignment horizontal="center" vertical="center"/>
    </xf>
    <xf numFmtId="205" fontId="153" fillId="68" borderId="2" xfId="0" applyNumberFormat="1" applyFont="1" applyFill="1" applyBorder="1" applyAlignment="1">
      <alignment horizontal="center" vertical="center"/>
    </xf>
    <xf numFmtId="205" fontId="153" fillId="68" borderId="169" xfId="0" applyNumberFormat="1" applyFont="1" applyFill="1" applyBorder="1" applyAlignment="1">
      <alignment horizontal="center" vertical="center"/>
    </xf>
    <xf numFmtId="205" fontId="153" fillId="68" borderId="194" xfId="0" applyNumberFormat="1" applyFont="1" applyFill="1" applyBorder="1" applyAlignment="1">
      <alignment horizontal="center" vertical="center"/>
    </xf>
    <xf numFmtId="205" fontId="153" fillId="68" borderId="0" xfId="0" applyNumberFormat="1" applyFont="1" applyFill="1" applyBorder="1" applyAlignment="1">
      <alignment horizontal="center" vertical="center"/>
    </xf>
    <xf numFmtId="205" fontId="153" fillId="68" borderId="170" xfId="0" applyNumberFormat="1" applyFont="1" applyFill="1" applyBorder="1" applyAlignment="1">
      <alignment horizontal="center" vertical="center"/>
    </xf>
    <xf numFmtId="205" fontId="153" fillId="68" borderId="34" xfId="0" applyNumberFormat="1" applyFont="1" applyFill="1" applyBorder="1" applyAlignment="1">
      <alignment horizontal="center" vertical="center"/>
    </xf>
    <xf numFmtId="205" fontId="153" fillId="68" borderId="1" xfId="0" applyNumberFormat="1" applyFont="1" applyFill="1" applyBorder="1" applyAlignment="1">
      <alignment horizontal="center" vertical="center"/>
    </xf>
    <xf numFmtId="205" fontId="153" fillId="68" borderId="35" xfId="0" applyNumberFormat="1" applyFont="1" applyFill="1" applyBorder="1" applyAlignment="1">
      <alignment horizontal="center" vertical="center"/>
    </xf>
    <xf numFmtId="0" fontId="153" fillId="78" borderId="50" xfId="0" applyFont="1" applyFill="1" applyBorder="1" applyAlignment="1">
      <alignment horizontal="center" vertical="center"/>
    </xf>
    <xf numFmtId="0" fontId="153" fillId="78" borderId="2" xfId="0" applyFont="1" applyFill="1" applyBorder="1" applyAlignment="1">
      <alignment horizontal="center" vertical="center"/>
    </xf>
    <xf numFmtId="0" fontId="153" fillId="78" borderId="34" xfId="0" applyFont="1" applyFill="1" applyBorder="1" applyAlignment="1">
      <alignment horizontal="center" vertical="center"/>
    </xf>
    <xf numFmtId="0" fontId="153" fillId="78" borderId="1" xfId="0" applyFont="1" applyFill="1" applyBorder="1" applyAlignment="1">
      <alignment horizontal="center" vertical="center"/>
    </xf>
    <xf numFmtId="0" fontId="153" fillId="78" borderId="169" xfId="0" applyFont="1" applyFill="1" applyBorder="1" applyAlignment="1">
      <alignment horizontal="center" vertical="center"/>
    </xf>
    <xf numFmtId="0" fontId="153" fillId="78" borderId="35" xfId="0" applyFont="1" applyFill="1" applyBorder="1" applyAlignment="1">
      <alignment horizontal="center" vertical="center"/>
    </xf>
    <xf numFmtId="0" fontId="0" fillId="0" borderId="195" xfId="0" applyBorder="1" applyAlignment="1">
      <alignment horizontal="center"/>
    </xf>
    <xf numFmtId="0" fontId="0" fillId="0" borderId="16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8" xfId="0" applyBorder="1" applyAlignment="1">
      <alignment horizontal="center"/>
    </xf>
    <xf numFmtId="0" fontId="154" fillId="0" borderId="99" xfId="0" applyFont="1" applyBorder="1" applyAlignment="1">
      <alignment horizontal="center" vertical="center"/>
    </xf>
    <xf numFmtId="0" fontId="154" fillId="0" borderId="122" xfId="0" applyFont="1" applyBorder="1" applyAlignment="1">
      <alignment horizontal="center" vertical="center"/>
    </xf>
    <xf numFmtId="212" fontId="154" fillId="0" borderId="196" xfId="0" applyNumberFormat="1" applyFont="1" applyBorder="1" applyAlignment="1">
      <alignment horizontal="center" vertical="center" wrapText="1"/>
    </xf>
    <xf numFmtId="212" fontId="154" fillId="0" borderId="197" xfId="0" applyNumberFormat="1" applyFont="1" applyBorder="1" applyAlignment="1">
      <alignment horizontal="center" vertical="center" wrapText="1"/>
    </xf>
    <xf numFmtId="41" fontId="149" fillId="0" borderId="9" xfId="145" applyFont="1" applyBorder="1" applyAlignment="1">
      <alignment horizontal="center" vertical="center"/>
    </xf>
    <xf numFmtId="208" fontId="149" fillId="0" borderId="14" xfId="145" applyNumberFormat="1" applyFont="1" applyBorder="1" applyAlignment="1">
      <alignment horizontal="center" vertical="center"/>
    </xf>
    <xf numFmtId="208" fontId="149" fillId="0" borderId="12" xfId="145" applyNumberFormat="1" applyFont="1" applyBorder="1" applyAlignment="1">
      <alignment horizontal="center" vertical="center"/>
    </xf>
    <xf numFmtId="41" fontId="150" fillId="0" borderId="9" xfId="145" applyFont="1" applyBorder="1" applyAlignment="1">
      <alignment horizontal="center" vertical="center"/>
    </xf>
    <xf numFmtId="41" fontId="150" fillId="0" borderId="33" xfId="145" applyFont="1" applyBorder="1" applyAlignment="1">
      <alignment horizontal="center" vertical="center"/>
    </xf>
    <xf numFmtId="41" fontId="149" fillId="0" borderId="33" xfId="145" applyFont="1" applyBorder="1" applyAlignment="1">
      <alignment horizontal="center" vertical="center"/>
    </xf>
    <xf numFmtId="41" fontId="149" fillId="0" borderId="14" xfId="145" applyFont="1" applyBorder="1" applyAlignment="1">
      <alignment horizontal="center" vertical="center"/>
    </xf>
    <xf numFmtId="41" fontId="149" fillId="0" borderId="58" xfId="145" applyFont="1" applyBorder="1" applyAlignment="1">
      <alignment horizontal="center" vertical="center"/>
    </xf>
    <xf numFmtId="41" fontId="149" fillId="0" borderId="12" xfId="145" applyFont="1" applyBorder="1" applyAlignment="1">
      <alignment horizontal="center" vertical="center"/>
    </xf>
    <xf numFmtId="41" fontId="149" fillId="0" borderId="18" xfId="145" applyFont="1" applyBorder="1" applyAlignment="1">
      <alignment horizontal="center" vertical="center"/>
    </xf>
    <xf numFmtId="0" fontId="0" fillId="0" borderId="9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6" xfId="0" applyBorder="1" applyAlignment="1">
      <alignment horizontal="center"/>
    </xf>
    <xf numFmtId="0" fontId="155" fillId="67" borderId="50" xfId="0" applyFont="1" applyFill="1" applyBorder="1" applyAlignment="1">
      <alignment horizontal="center" vertical="center" wrapText="1"/>
    </xf>
    <xf numFmtId="0" fontId="155" fillId="67" borderId="169" xfId="0" applyFont="1" applyFill="1" applyBorder="1" applyAlignment="1">
      <alignment horizontal="center" vertical="center" wrapText="1"/>
    </xf>
    <xf numFmtId="0" fontId="155" fillId="67" borderId="194" xfId="0" applyFont="1" applyFill="1" applyBorder="1" applyAlignment="1">
      <alignment horizontal="center" vertical="center" wrapText="1"/>
    </xf>
    <xf numFmtId="0" fontId="155" fillId="67" borderId="170" xfId="0" applyFont="1" applyFill="1" applyBorder="1" applyAlignment="1">
      <alignment horizontal="center" vertical="center" wrapText="1"/>
    </xf>
    <xf numFmtId="0" fontId="155" fillId="67" borderId="34" xfId="0" applyFont="1" applyFill="1" applyBorder="1" applyAlignment="1">
      <alignment horizontal="center" vertical="center" wrapText="1"/>
    </xf>
    <xf numFmtId="0" fontId="155" fillId="67" borderId="35" xfId="0" applyFont="1" applyFill="1" applyBorder="1" applyAlignment="1">
      <alignment horizontal="center" vertical="center" wrapText="1"/>
    </xf>
    <xf numFmtId="0" fontId="109" fillId="88" borderId="4" xfId="146" applyFont="1" applyFill="1" applyBorder="1" applyAlignment="1" applyProtection="1">
      <alignment horizontal="center" vertical="center"/>
      <protection locked="0"/>
    </xf>
    <xf numFmtId="41" fontId="111" fillId="68" borderId="56" xfId="145" applyFont="1" applyFill="1" applyBorder="1" applyAlignment="1">
      <alignment horizontal="center" vertical="center"/>
    </xf>
    <xf numFmtId="41" fontId="111" fillId="68" borderId="158" xfId="145" applyFont="1" applyFill="1" applyBorder="1" applyAlignment="1">
      <alignment horizontal="center" vertical="center"/>
    </xf>
    <xf numFmtId="0" fontId="109" fillId="69" borderId="4" xfId="138" applyFont="1" applyFill="1" applyBorder="1" applyAlignment="1">
      <alignment horizontal="center" vertical="center"/>
    </xf>
    <xf numFmtId="0" fontId="109" fillId="87" borderId="4" xfId="138" applyFont="1" applyFill="1" applyBorder="1" applyAlignment="1">
      <alignment horizontal="center" vertical="center"/>
    </xf>
    <xf numFmtId="0" fontId="109" fillId="76" borderId="4" xfId="138" applyFont="1" applyFill="1" applyBorder="1" applyAlignment="1">
      <alignment horizontal="center" vertical="center"/>
    </xf>
    <xf numFmtId="0" fontId="109" fillId="76" borderId="10" xfId="138" applyFont="1" applyFill="1" applyBorder="1" applyAlignment="1">
      <alignment horizontal="center" vertical="center"/>
    </xf>
    <xf numFmtId="0" fontId="109" fillId="81" borderId="4" xfId="138" applyFont="1" applyFill="1" applyBorder="1" applyAlignment="1">
      <alignment horizontal="center" vertical="center"/>
    </xf>
    <xf numFmtId="0" fontId="109" fillId="88" borderId="99" xfId="146" applyFont="1" applyFill="1" applyBorder="1" applyAlignment="1" applyProtection="1">
      <alignment horizontal="center" vertical="center"/>
      <protection locked="0"/>
    </xf>
    <xf numFmtId="0" fontId="109" fillId="88" borderId="157" xfId="146" applyFont="1" applyFill="1" applyBorder="1" applyAlignment="1" applyProtection="1">
      <alignment horizontal="center" vertical="center"/>
      <protection locked="0"/>
    </xf>
    <xf numFmtId="0" fontId="109" fillId="89" borderId="4" xfId="146" applyFont="1" applyFill="1" applyBorder="1" applyAlignment="1" applyProtection="1">
      <alignment horizontal="center" vertical="center"/>
      <protection locked="0"/>
    </xf>
    <xf numFmtId="0" fontId="109" fillId="89" borderId="99" xfId="146" applyFont="1" applyFill="1" applyBorder="1" applyAlignment="1" applyProtection="1">
      <alignment horizontal="center" vertical="center"/>
      <protection locked="0"/>
    </xf>
    <xf numFmtId="0" fontId="109" fillId="89" borderId="157" xfId="146" applyFont="1" applyFill="1" applyBorder="1" applyAlignment="1" applyProtection="1">
      <alignment horizontal="center" vertical="center"/>
      <protection locked="0"/>
    </xf>
    <xf numFmtId="0" fontId="109" fillId="90" borderId="4" xfId="146" applyFont="1" applyFill="1" applyBorder="1" applyAlignment="1" applyProtection="1">
      <alignment horizontal="center" vertical="center"/>
      <protection locked="0"/>
    </xf>
    <xf numFmtId="0" fontId="109" fillId="68" borderId="4" xfId="146" applyFont="1" applyFill="1" applyBorder="1" applyAlignment="1" applyProtection="1">
      <alignment horizontal="center" vertical="center"/>
      <protection locked="0"/>
    </xf>
    <xf numFmtId="0" fontId="109" fillId="68" borderId="10" xfId="146" applyFont="1" applyFill="1" applyBorder="1" applyAlignment="1" applyProtection="1">
      <alignment horizontal="center" vertical="center"/>
      <protection locked="0"/>
    </xf>
    <xf numFmtId="0" fontId="109" fillId="68" borderId="5" xfId="146" applyFont="1" applyFill="1" applyBorder="1" applyAlignment="1" applyProtection="1">
      <alignment horizontal="center" vertical="center"/>
      <protection locked="0"/>
    </xf>
    <xf numFmtId="0" fontId="109" fillId="68" borderId="11" xfId="146" applyFont="1" applyFill="1" applyBorder="1" applyAlignment="1" applyProtection="1">
      <alignment horizontal="center" vertical="center"/>
      <protection locked="0"/>
    </xf>
    <xf numFmtId="0" fontId="109" fillId="91" borderId="4" xfId="142" applyFont="1" applyFill="1" applyBorder="1" applyAlignment="1">
      <alignment horizontal="center" vertical="center" shrinkToFit="1"/>
    </xf>
    <xf numFmtId="0" fontId="109" fillId="91" borderId="4" xfId="142" applyFont="1" applyFill="1" applyBorder="1" applyAlignment="1">
      <alignment horizontal="center" vertical="center"/>
    </xf>
  </cellXfs>
  <cellStyles count="151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1 - 20%" xfId="21"/>
    <cellStyle name="Accent1 - 40%" xfId="22"/>
    <cellStyle name="Accent1 - 60%" xfId="23"/>
    <cellStyle name="Accent2" xfId="24"/>
    <cellStyle name="Accent2 - 20%" xfId="25"/>
    <cellStyle name="Accent2 - 40%" xfId="26"/>
    <cellStyle name="Accent2 - 60%" xfId="27"/>
    <cellStyle name="Accent3" xfId="28"/>
    <cellStyle name="Accent3 - 20%" xfId="29"/>
    <cellStyle name="Accent3 - 40%" xfId="30"/>
    <cellStyle name="Accent3 - 60%" xfId="31"/>
    <cellStyle name="Accent4" xfId="32"/>
    <cellStyle name="Accent4 - 20%" xfId="33"/>
    <cellStyle name="Accent4 - 40%" xfId="34"/>
    <cellStyle name="Accent4 - 60%" xfId="35"/>
    <cellStyle name="Accent5" xfId="36"/>
    <cellStyle name="Accent5 - 20%" xfId="37"/>
    <cellStyle name="Accent5 - 40%" xfId="38"/>
    <cellStyle name="Accent5 - 60%" xfId="39"/>
    <cellStyle name="Accent6" xfId="40"/>
    <cellStyle name="Accent6 - 20%" xfId="41"/>
    <cellStyle name="Accent6 - 40%" xfId="42"/>
    <cellStyle name="Accent6 - 60%" xfId="43"/>
    <cellStyle name="Bad" xfId="44"/>
    <cellStyle name="C￥AØ_³o½E≫c¿A" xfId="45"/>
    <cellStyle name="Calc Currency (0)" xfId="46"/>
    <cellStyle name="Calculation" xfId="47"/>
    <cellStyle name="category" xfId="48"/>
    <cellStyle name="Check Cell" xfId="49"/>
    <cellStyle name="Comma [0]_ SG&amp;A Bridge " xfId="50"/>
    <cellStyle name="Comma_ SG&amp;A Bridge " xfId="51"/>
    <cellStyle name="Currency [0]_ SG&amp;A Bridge " xfId="52"/>
    <cellStyle name="Currency_ SG&amp;A Bridge " xfId="53"/>
    <cellStyle name="Emphasis 1" xfId="54"/>
    <cellStyle name="Emphasis 2" xfId="55"/>
    <cellStyle name="Emphasis 3" xfId="56"/>
    <cellStyle name="Explanatory Text" xfId="57"/>
    <cellStyle name="Good" xfId="58"/>
    <cellStyle name="Grey" xfId="59"/>
    <cellStyle name="HEADER" xfId="60"/>
    <cellStyle name="Header1" xfId="61"/>
    <cellStyle name="Header2" xfId="62"/>
    <cellStyle name="Heading 1" xfId="63"/>
    <cellStyle name="Heading 2" xfId="64"/>
    <cellStyle name="Heading 3" xfId="65"/>
    <cellStyle name="Heading 4" xfId="66"/>
    <cellStyle name="Input" xfId="67"/>
    <cellStyle name="Input [yellow]" xfId="68"/>
    <cellStyle name="Linked Cell" xfId="69"/>
    <cellStyle name="Model" xfId="70"/>
    <cellStyle name="Neutral" xfId="71"/>
    <cellStyle name="Normal - Style1" xfId="72"/>
    <cellStyle name="Normal_ SG&amp;A Bridge " xfId="73"/>
    <cellStyle name="Note" xfId="74"/>
    <cellStyle name="Output" xfId="75"/>
    <cellStyle name="Percent [2]" xfId="76"/>
    <cellStyle name="qbh_x0003__x000c_bh_x0017_&quot;blTT０_x0008__x0003__x0008_?)(일)" xfId="77"/>
    <cellStyle name="qbh_x0003__x000c_bh_x0017_&quot;blTT０_x0008__x0003__x0008_磚)(일)" xfId="78"/>
    <cellStyle name="SAPBEXaggData" xfId="79"/>
    <cellStyle name="SAPBEXaggDataEmph" xfId="80"/>
    <cellStyle name="SAPBEXaggItem" xfId="81"/>
    <cellStyle name="SAPBEXaggItemX" xfId="82"/>
    <cellStyle name="SAPBEXchaText" xfId="83"/>
    <cellStyle name="SAPBEXexcBad7" xfId="84"/>
    <cellStyle name="SAPBEXexcBad8" xfId="85"/>
    <cellStyle name="SAPBEXexcBad9" xfId="86"/>
    <cellStyle name="SAPBEXexcCritical4" xfId="87"/>
    <cellStyle name="SAPBEXexcCritical5" xfId="88"/>
    <cellStyle name="SAPBEXexcCritical6" xfId="89"/>
    <cellStyle name="SAPBEXexcGood1" xfId="90"/>
    <cellStyle name="SAPBEXexcGood2" xfId="91"/>
    <cellStyle name="SAPBEXexcGood3" xfId="92"/>
    <cellStyle name="SAPBEXfilterDrill" xfId="93"/>
    <cellStyle name="SAPBEXfilterItem" xfId="94"/>
    <cellStyle name="SAPBEXfilterText" xfId="95"/>
    <cellStyle name="SAPBEXformats" xfId="96"/>
    <cellStyle name="SAPBEXheaderItem" xfId="97"/>
    <cellStyle name="SAPBEXheaderText" xfId="98"/>
    <cellStyle name="SAPBEXHLevel0" xfId="99"/>
    <cellStyle name="SAPBEXHLevel0X" xfId="100"/>
    <cellStyle name="SAPBEXHLevel1" xfId="101"/>
    <cellStyle name="SAPBEXHLevel1X" xfId="102"/>
    <cellStyle name="SAPBEXHLevel2" xfId="103"/>
    <cellStyle name="SAPBEXHLevel2X" xfId="104"/>
    <cellStyle name="SAPBEXHLevel3" xfId="105"/>
    <cellStyle name="SAPBEXHLevel3X" xfId="106"/>
    <cellStyle name="SAPBEXinputData" xfId="107"/>
    <cellStyle name="SAPBEXItemHeader" xfId="108"/>
    <cellStyle name="SAPBEXresData" xfId="109"/>
    <cellStyle name="SAPBEXresDataEmph" xfId="110"/>
    <cellStyle name="SAPBEXresItem" xfId="111"/>
    <cellStyle name="SAPBEXresItemX" xfId="112"/>
    <cellStyle name="SAPBEXstdData" xfId="113"/>
    <cellStyle name="SAPBEXstdDataEmph" xfId="114"/>
    <cellStyle name="SAPBEXstdItem" xfId="115"/>
    <cellStyle name="SAPBEXstdItemX" xfId="116"/>
    <cellStyle name="SAPBEXtitle" xfId="117"/>
    <cellStyle name="SAPBEXunassignedItem" xfId="118"/>
    <cellStyle name="SAPBEXundefined" xfId="119"/>
    <cellStyle name="Sheet Title" xfId="120"/>
    <cellStyle name="subhead" xfId="121"/>
    <cellStyle name="T０_x0008__x0003__x0008_?)(일)" xfId="122"/>
    <cellStyle name="T０_x0008__x0003__x0008_磚)(일)" xfId="123"/>
    <cellStyle name="Title" xfId="124"/>
    <cellStyle name="Total" xfId="125"/>
    <cellStyle name="Warning Text" xfId="126"/>
    <cellStyle name="강조" xfId="127"/>
    <cellStyle name="백분율" xfId="150" builtinId="5"/>
    <cellStyle name="백분율 2" xfId="140"/>
    <cellStyle name="백분율 3" xfId="149"/>
    <cellStyle name="뷭?_뢙렳먓11" xfId="128"/>
    <cellStyle name="쉼표 [0]" xfId="145" builtinId="6"/>
    <cellStyle name="쉼표 [0] 2" xfId="129"/>
    <cellStyle name="쉼표 [0] 2 2" xfId="130"/>
    <cellStyle name="쉼표 [0] 3" xfId="131"/>
    <cellStyle name="쉼표 [0] 4" xfId="141"/>
    <cellStyle name="쉼표 [0] 5" xfId="142"/>
    <cellStyle name="쉼표 [0] 6" xfId="148"/>
    <cellStyle name="쉼표 [0]_성분2310" xfId="144"/>
    <cellStyle name="콤마 [0]_00식당" xfId="132"/>
    <cellStyle name="콤마 [0]_고철2001" xfId="146"/>
    <cellStyle name="콤마_00식당" xfId="133"/>
    <cellStyle name="통화 [0] 2" xfId="134"/>
    <cellStyle name="표준" xfId="0" builtinId="0"/>
    <cellStyle name="표준 2" xfId="135"/>
    <cellStyle name="표준 2 2" xfId="136"/>
    <cellStyle name="표준 3" xfId="137"/>
    <cellStyle name="표준 4" xfId="138"/>
    <cellStyle name="표준 5" xfId="147"/>
    <cellStyle name="하이퍼링크" xfId="1" builtinId="8"/>
    <cellStyle name="하이퍼링크 2" xfId="139"/>
    <cellStyle name="하이퍼링크 3" xfId="143"/>
  </cellStyles>
  <dxfs count="1127">
    <dxf>
      <fill>
        <patternFill>
          <bgColor theme="2" tint="-9.9948118533890809E-2"/>
        </patternFill>
      </fill>
    </dxf>
    <dxf>
      <font>
        <b/>
        <i val="0"/>
        <color rgb="FFFF0000"/>
      </font>
      <fill>
        <patternFill>
          <bgColor rgb="FFFFC9CA"/>
        </patternFill>
      </fill>
    </dxf>
    <dxf>
      <font>
        <b/>
        <i val="0"/>
        <color rgb="FFFF0000"/>
      </font>
      <fill>
        <patternFill patternType="solid">
          <bgColor rgb="FFFFC9CA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/>
        <i val="0"/>
        <color rgb="FFFF0000"/>
      </font>
      <fill>
        <patternFill>
          <bgColor rgb="FFFFC9CA"/>
        </patternFill>
      </fill>
    </dxf>
    <dxf>
      <font>
        <b/>
        <i val="0"/>
        <color rgb="FFFF0000"/>
      </font>
      <fill>
        <patternFill patternType="solid">
          <bgColor rgb="FFFFC9CA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ndense val="0"/>
        <extend val="0"/>
        <color indexed="9"/>
      </font>
      <fill>
        <patternFill>
          <bgColor indexed="63"/>
        </patternFill>
      </fill>
    </dxf>
    <dxf>
      <font>
        <b/>
        <i val="0"/>
        <condense val="0"/>
        <extend val="0"/>
        <color indexed="10"/>
      </font>
    </dxf>
    <dxf>
      <font>
        <b val="0"/>
        <i val="0"/>
        <condense val="0"/>
        <extend val="0"/>
        <color indexed="10"/>
      </font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0070C0"/>
      </font>
      <fill>
        <patternFill>
          <bgColor theme="3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3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00CC"/>
      </font>
      <fill>
        <patternFill>
          <bgColor theme="4" tint="0.79998168889431442"/>
        </patternFill>
      </fill>
    </dxf>
    <dxf>
      <font>
        <b/>
        <i val="0"/>
        <color rgb="FF0070C0"/>
      </font>
      <fill>
        <patternFill>
          <bgColor theme="3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b/>
        <i val="0"/>
        <color rgb="FF0033CC"/>
      </font>
    </dxf>
    <dxf>
      <font>
        <color rgb="FFFF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b/>
        <i val="0"/>
        <color rgb="FF0033CC"/>
      </font>
    </dxf>
    <dxf>
      <font>
        <color rgb="FFFF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FF33CC"/>
      </font>
    </dxf>
    <dxf>
      <font>
        <b/>
        <i val="0"/>
        <color rgb="FF00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b/>
        <i val="0"/>
        <color rgb="FF0033CC"/>
      </font>
    </dxf>
    <dxf>
      <font>
        <color rgb="FFFF33CC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ndense val="0"/>
        <extend val="0"/>
        <color indexed="9"/>
      </font>
      <fill>
        <patternFill>
          <bgColor indexed="63"/>
        </patternFill>
      </fill>
    </dxf>
    <dxf>
      <font>
        <b/>
        <i val="0"/>
        <condense val="0"/>
        <extend val="0"/>
        <color indexed="10"/>
      </font>
    </dxf>
    <dxf>
      <font>
        <b val="0"/>
        <i val="0"/>
        <condense val="0"/>
        <extend val="0"/>
        <color indexed="10"/>
      </font>
    </dxf>
  </dxfs>
  <tableStyles count="0" defaultTableStyle="TableStyleMedium2" defaultPivotStyle="PivotStyleLight16"/>
  <colors>
    <mruColors>
      <color rgb="FF0000CC"/>
      <color rgb="FFFFFF99"/>
      <color rgb="FFFFB9BB"/>
      <color rgb="FFFFDDDE"/>
      <color rgb="FFEF5458"/>
      <color rgb="FFFFFF66"/>
      <color rgb="FFFFC9CA"/>
      <color rgb="FF008000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defRPr>
            </a:pPr>
            <a:r>
              <a:rPr lang="en-US" altLang="ko-KR" sz="1800" b="0">
                <a:solidFill>
                  <a:schemeClr val="accent5">
                    <a:lumMod val="50000"/>
                  </a:schemeClr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HEAT  </a:t>
            </a:r>
            <a:r>
              <a:rPr lang="ko-KR" altLang="en-US" sz="1800" b="0">
                <a:solidFill>
                  <a:schemeClr val="accent5">
                    <a:lumMod val="50000"/>
                  </a:schemeClr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수</a:t>
            </a:r>
          </a:p>
        </c:rich>
      </c:tx>
      <c:layout>
        <c:manualLayout>
          <c:xMode val="edge"/>
          <c:yMode val="edge"/>
          <c:x val="0.45974425610591779"/>
          <c:y val="3.8505716269027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HY헤드라인M" panose="02030600000101010101" pitchFamily="18" charset="-127"/>
              <a:ea typeface="HY헤드라인M" panose="02030600000101010101" pitchFamily="18" charset="-127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6856392950881139E-2"/>
          <c:y val="3.5906421726014423E-2"/>
          <c:w val="0.94515475220769818"/>
          <c:h val="0.734796351469988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일별!$B$3</c:f>
              <c:strCache>
                <c:ptCount val="1"/>
                <c:pt idx="0">
                  <c:v>HEAT
수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일별!$A$5:$A$34</c:f>
              <c:numCache>
                <c:formatCode>mm"월"\ dd"일"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일별!$B$5:$B$35</c:f>
              <c:numCache>
                <c:formatCode>General</c:formatCode>
                <c:ptCount val="31"/>
                <c:pt idx="0">
                  <c:v>30</c:v>
                </c:pt>
                <c:pt idx="1">
                  <c:v>31</c:v>
                </c:pt>
                <c:pt idx="2">
                  <c:v>30</c:v>
                </c:pt>
                <c:pt idx="3">
                  <c:v>19</c:v>
                </c:pt>
                <c:pt idx="4">
                  <c:v>31</c:v>
                </c:pt>
                <c:pt idx="5">
                  <c:v>29</c:v>
                </c:pt>
                <c:pt idx="6">
                  <c:v>31</c:v>
                </c:pt>
                <c:pt idx="7">
                  <c:v>28</c:v>
                </c:pt>
                <c:pt idx="8">
                  <c:v>31</c:v>
                </c:pt>
                <c:pt idx="9">
                  <c:v>19</c:v>
                </c:pt>
                <c:pt idx="10">
                  <c:v>30</c:v>
                </c:pt>
                <c:pt idx="11">
                  <c:v>31</c:v>
                </c:pt>
                <c:pt idx="12">
                  <c:v>31</c:v>
                </c:pt>
                <c:pt idx="13">
                  <c:v>30</c:v>
                </c:pt>
                <c:pt idx="14">
                  <c:v>7</c:v>
                </c:pt>
                <c:pt idx="15">
                  <c:v>24</c:v>
                </c:pt>
                <c:pt idx="16">
                  <c:v>26</c:v>
                </c:pt>
                <c:pt idx="17">
                  <c:v>22</c:v>
                </c:pt>
                <c:pt idx="18">
                  <c:v>30</c:v>
                </c:pt>
                <c:pt idx="19">
                  <c:v>31</c:v>
                </c:pt>
                <c:pt idx="20">
                  <c:v>31</c:v>
                </c:pt>
                <c:pt idx="21">
                  <c:v>18</c:v>
                </c:pt>
                <c:pt idx="22">
                  <c:v>30</c:v>
                </c:pt>
                <c:pt idx="23">
                  <c:v>30</c:v>
                </c:pt>
                <c:pt idx="24">
                  <c:v>31</c:v>
                </c:pt>
                <c:pt idx="25">
                  <c:v>30</c:v>
                </c:pt>
                <c:pt idx="26">
                  <c:v>30</c:v>
                </c:pt>
                <c:pt idx="27">
                  <c:v>19</c:v>
                </c:pt>
                <c:pt idx="28">
                  <c:v>28</c:v>
                </c:pt>
                <c:pt idx="29">
                  <c:v>30</c:v>
                </c:pt>
                <c:pt idx="3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BC-436D-AD28-46849A8C1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08701408"/>
        <c:axId val="20870768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일별!$C$3:$C$4</c15:sqref>
                        </c15:formulaRef>
                      </c:ext>
                    </c:extLst>
                    <c:strCache>
                      <c:ptCount val="2"/>
                      <c:pt idx="0">
                        <c:v>Tap to Tap</c:v>
                      </c:pt>
                      <c:pt idx="1">
                        <c:v>제외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일별!$A$5:$A$35</c15:sqref>
                        </c15:formulaRef>
                      </c:ext>
                    </c:extLst>
                    <c:numCache>
                      <c:formatCode>mm"월"\ dd"일"</c:formatCode>
                      <c:ptCount val="31"/>
                      <c:pt idx="0">
                        <c:v>46266</c:v>
                      </c:pt>
                      <c:pt idx="1">
                        <c:v>46267</c:v>
                      </c:pt>
                      <c:pt idx="2">
                        <c:v>46268</c:v>
                      </c:pt>
                      <c:pt idx="3">
                        <c:v>46269</c:v>
                      </c:pt>
                      <c:pt idx="4">
                        <c:v>46270</c:v>
                      </c:pt>
                      <c:pt idx="5">
                        <c:v>46271</c:v>
                      </c:pt>
                      <c:pt idx="6">
                        <c:v>46272</c:v>
                      </c:pt>
                      <c:pt idx="7">
                        <c:v>46273</c:v>
                      </c:pt>
                      <c:pt idx="8">
                        <c:v>46274</c:v>
                      </c:pt>
                      <c:pt idx="9">
                        <c:v>46275</c:v>
                      </c:pt>
                      <c:pt idx="10">
                        <c:v>46276</c:v>
                      </c:pt>
                      <c:pt idx="11">
                        <c:v>46277</c:v>
                      </c:pt>
                      <c:pt idx="12">
                        <c:v>46278</c:v>
                      </c:pt>
                      <c:pt idx="13">
                        <c:v>46279</c:v>
                      </c:pt>
                      <c:pt idx="14">
                        <c:v>46280</c:v>
                      </c:pt>
                      <c:pt idx="15">
                        <c:v>46281</c:v>
                      </c:pt>
                      <c:pt idx="16">
                        <c:v>46282</c:v>
                      </c:pt>
                      <c:pt idx="17">
                        <c:v>46283</c:v>
                      </c:pt>
                      <c:pt idx="18">
                        <c:v>46284</c:v>
                      </c:pt>
                      <c:pt idx="19">
                        <c:v>46285</c:v>
                      </c:pt>
                      <c:pt idx="20">
                        <c:v>46286</c:v>
                      </c:pt>
                      <c:pt idx="21">
                        <c:v>46287</c:v>
                      </c:pt>
                      <c:pt idx="22">
                        <c:v>46288</c:v>
                      </c:pt>
                      <c:pt idx="23">
                        <c:v>46289</c:v>
                      </c:pt>
                      <c:pt idx="24">
                        <c:v>46290</c:v>
                      </c:pt>
                      <c:pt idx="25">
                        <c:v>46291</c:v>
                      </c:pt>
                      <c:pt idx="26">
                        <c:v>46292</c:v>
                      </c:pt>
                      <c:pt idx="27">
                        <c:v>46293</c:v>
                      </c:pt>
                      <c:pt idx="28">
                        <c:v>46294</c:v>
                      </c:pt>
                      <c:pt idx="29">
                        <c:v>46295</c:v>
                      </c:pt>
                      <c:pt idx="30">
                        <c:v>46296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일별!$C$5:$C$35</c15:sqref>
                        </c15:formulaRef>
                      </c:ext>
                    </c:extLst>
                    <c:numCache>
                      <c:formatCode>0.0</c:formatCode>
                      <c:ptCount val="31"/>
                      <c:pt idx="0">
                        <c:v>47.199999999999996</c:v>
                      </c:pt>
                      <c:pt idx="1">
                        <c:v>46.70967741935484</c:v>
                      </c:pt>
                      <c:pt idx="2">
                        <c:v>47.333333333333343</c:v>
                      </c:pt>
                      <c:pt idx="3">
                        <c:v>49.157894736842096</c:v>
                      </c:pt>
                      <c:pt idx="4">
                        <c:v>46.580645161290327</c:v>
                      </c:pt>
                      <c:pt idx="5">
                        <c:v>46.931034482758626</c:v>
                      </c:pt>
                      <c:pt idx="6">
                        <c:v>47.548387096774192</c:v>
                      </c:pt>
                      <c:pt idx="7">
                        <c:v>47.142857142857146</c:v>
                      </c:pt>
                      <c:pt idx="8">
                        <c:v>46.419354838709687</c:v>
                      </c:pt>
                      <c:pt idx="9">
                        <c:v>48.578947368421041</c:v>
                      </c:pt>
                      <c:pt idx="10">
                        <c:v>47.266666666666673</c:v>
                      </c:pt>
                      <c:pt idx="11">
                        <c:v>46.774193548387096</c:v>
                      </c:pt>
                      <c:pt idx="12">
                        <c:v>45.935483870967744</c:v>
                      </c:pt>
                      <c:pt idx="13">
                        <c:v>47.333333333333336</c:v>
                      </c:pt>
                      <c:pt idx="14">
                        <c:v>54</c:v>
                      </c:pt>
                      <c:pt idx="15">
                        <c:v>47.791666666666671</c:v>
                      </c:pt>
                      <c:pt idx="16">
                        <c:v>49.346153846153847</c:v>
                      </c:pt>
                      <c:pt idx="17">
                        <c:v>49.181818181818201</c:v>
                      </c:pt>
                      <c:pt idx="18">
                        <c:v>47.3</c:v>
                      </c:pt>
                      <c:pt idx="19">
                        <c:v>46.225806451612904</c:v>
                      </c:pt>
                      <c:pt idx="20">
                        <c:v>47.129032258064505</c:v>
                      </c:pt>
                      <c:pt idx="21">
                        <c:v>50.277777777777786</c:v>
                      </c:pt>
                      <c:pt idx="22">
                        <c:v>47.5</c:v>
                      </c:pt>
                      <c:pt idx="23">
                        <c:v>47.033333333333346</c:v>
                      </c:pt>
                      <c:pt idx="24">
                        <c:v>47.483870967741929</c:v>
                      </c:pt>
                      <c:pt idx="25">
                        <c:v>47.333333333333343</c:v>
                      </c:pt>
                      <c:pt idx="26">
                        <c:v>47.800000000000004</c:v>
                      </c:pt>
                      <c:pt idx="27">
                        <c:v>49.842105263157904</c:v>
                      </c:pt>
                      <c:pt idx="28">
                        <c:v>49.035714285714285</c:v>
                      </c:pt>
                      <c:pt idx="29">
                        <c:v>47.166666666666671</c:v>
                      </c:pt>
                      <c:pt idx="30">
                        <c:v>51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D1BC-436D-AD28-46849A8C1B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일별!$D$3:$D$4</c15:sqref>
                        </c15:formulaRef>
                      </c:ext>
                    </c:extLst>
                    <c:strCache>
                      <c:ptCount val="2"/>
                      <c:pt idx="0">
                        <c:v>Tap to Tap</c:v>
                      </c:pt>
                      <c:pt idx="1">
                        <c:v>고장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일별!$A$5:$A$35</c15:sqref>
                        </c15:formulaRef>
                      </c:ext>
                    </c:extLst>
                    <c:numCache>
                      <c:formatCode>mm"월"\ dd"일"</c:formatCode>
                      <c:ptCount val="31"/>
                      <c:pt idx="0">
                        <c:v>46266</c:v>
                      </c:pt>
                      <c:pt idx="1">
                        <c:v>46267</c:v>
                      </c:pt>
                      <c:pt idx="2">
                        <c:v>46268</c:v>
                      </c:pt>
                      <c:pt idx="3">
                        <c:v>46269</c:v>
                      </c:pt>
                      <c:pt idx="4">
                        <c:v>46270</c:v>
                      </c:pt>
                      <c:pt idx="5">
                        <c:v>46271</c:v>
                      </c:pt>
                      <c:pt idx="6">
                        <c:v>46272</c:v>
                      </c:pt>
                      <c:pt idx="7">
                        <c:v>46273</c:v>
                      </c:pt>
                      <c:pt idx="8">
                        <c:v>46274</c:v>
                      </c:pt>
                      <c:pt idx="9">
                        <c:v>46275</c:v>
                      </c:pt>
                      <c:pt idx="10">
                        <c:v>46276</c:v>
                      </c:pt>
                      <c:pt idx="11">
                        <c:v>46277</c:v>
                      </c:pt>
                      <c:pt idx="12">
                        <c:v>46278</c:v>
                      </c:pt>
                      <c:pt idx="13">
                        <c:v>46279</c:v>
                      </c:pt>
                      <c:pt idx="14">
                        <c:v>46280</c:v>
                      </c:pt>
                      <c:pt idx="15">
                        <c:v>46281</c:v>
                      </c:pt>
                      <c:pt idx="16">
                        <c:v>46282</c:v>
                      </c:pt>
                      <c:pt idx="17">
                        <c:v>46283</c:v>
                      </c:pt>
                      <c:pt idx="18">
                        <c:v>46284</c:v>
                      </c:pt>
                      <c:pt idx="19">
                        <c:v>46285</c:v>
                      </c:pt>
                      <c:pt idx="20">
                        <c:v>46286</c:v>
                      </c:pt>
                      <c:pt idx="21">
                        <c:v>46287</c:v>
                      </c:pt>
                      <c:pt idx="22">
                        <c:v>46288</c:v>
                      </c:pt>
                      <c:pt idx="23">
                        <c:v>46289</c:v>
                      </c:pt>
                      <c:pt idx="24">
                        <c:v>46290</c:v>
                      </c:pt>
                      <c:pt idx="25">
                        <c:v>46291</c:v>
                      </c:pt>
                      <c:pt idx="26">
                        <c:v>46292</c:v>
                      </c:pt>
                      <c:pt idx="27">
                        <c:v>46293</c:v>
                      </c:pt>
                      <c:pt idx="28">
                        <c:v>46294</c:v>
                      </c:pt>
                      <c:pt idx="29">
                        <c:v>46295</c:v>
                      </c:pt>
                      <c:pt idx="30">
                        <c:v>46296</c:v>
                      </c:pt>
                    </c:numCache>
                  </c:num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일별!$D$5:$D$35</c15:sqref>
                        </c15:formulaRef>
                      </c:ext>
                    </c:extLst>
                    <c:numCache>
                      <c:formatCode>0.0</c:formatCode>
                      <c:ptCount val="31"/>
                      <c:pt idx="0">
                        <c:v>0.2</c:v>
                      </c:pt>
                      <c:pt idx="1">
                        <c:v>0.32258064516129031</c:v>
                      </c:pt>
                      <c:pt idx="2">
                        <c:v>0</c:v>
                      </c:pt>
                      <c:pt idx="3">
                        <c:v>27.631578947368421</c:v>
                      </c:pt>
                      <c:pt idx="4">
                        <c:v>0</c:v>
                      </c:pt>
                      <c:pt idx="5">
                        <c:v>1.0344827586206897</c:v>
                      </c:pt>
                      <c:pt idx="6">
                        <c:v>0.77419354838709675</c:v>
                      </c:pt>
                      <c:pt idx="7">
                        <c:v>4.0714285714285712</c:v>
                      </c:pt>
                      <c:pt idx="8">
                        <c:v>3.2258064516129031E-2</c:v>
                      </c:pt>
                      <c:pt idx="9">
                        <c:v>27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3.3333333333333333E-2</c:v>
                      </c:pt>
                      <c:pt idx="14">
                        <c:v>158.42857142857142</c:v>
                      </c:pt>
                      <c:pt idx="15">
                        <c:v>11.416666666666666</c:v>
                      </c:pt>
                      <c:pt idx="16">
                        <c:v>1.6923076923076923</c:v>
                      </c:pt>
                      <c:pt idx="17">
                        <c:v>21.863636363636363</c:v>
                      </c:pt>
                      <c:pt idx="18">
                        <c:v>0</c:v>
                      </c:pt>
                      <c:pt idx="19">
                        <c:v>0.41935483870967744</c:v>
                      </c:pt>
                      <c:pt idx="20">
                        <c:v>0</c:v>
                      </c:pt>
                      <c:pt idx="21">
                        <c:v>29.333333333333332</c:v>
                      </c:pt>
                      <c:pt idx="22">
                        <c:v>0</c:v>
                      </c:pt>
                      <c:pt idx="23">
                        <c:v>0.53333333333333333</c:v>
                      </c:pt>
                      <c:pt idx="24">
                        <c:v>6.4516129032258063E-2</c:v>
                      </c:pt>
                      <c:pt idx="25">
                        <c:v>0.3</c:v>
                      </c:pt>
                      <c:pt idx="26">
                        <c:v>0</c:v>
                      </c:pt>
                      <c:pt idx="27">
                        <c:v>26.842105263157894</c:v>
                      </c:pt>
                      <c:pt idx="28">
                        <c:v>1.9642857142857142</c:v>
                      </c:pt>
                      <c:pt idx="29">
                        <c:v>6.6666666666666666E-2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2-D1BC-436D-AD28-46849A8C1B24}"/>
                  </c:ext>
                </c:extLst>
              </c15:ser>
            </c15:filteredBarSeries>
          </c:ext>
        </c:extLst>
      </c:barChart>
      <c:dateAx>
        <c:axId val="208701408"/>
        <c:scaling>
          <c:orientation val="minMax"/>
        </c:scaling>
        <c:delete val="0"/>
        <c:axPos val="b"/>
        <c:numFmt formatCode="mm&quot;월&quot;\ dd&quot;일&quot;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707680"/>
        <c:crossesAt val="0"/>
        <c:auto val="1"/>
        <c:lblOffset val="100"/>
        <c:baseTimeUnit val="days"/>
      </c:dateAx>
      <c:valAx>
        <c:axId val="208707680"/>
        <c:scaling>
          <c:orientation val="minMax"/>
          <c:max val="3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701408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CC"/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defRPr>
            </a:pPr>
            <a:r>
              <a:rPr lang="en-US" altLang="ko-KR" sz="1800" b="0">
                <a:solidFill>
                  <a:srgbClr val="0000CC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Tap to Tap</a:t>
            </a:r>
            <a:endParaRPr lang="ko-KR" altLang="en-US" sz="1800" b="0">
              <a:solidFill>
                <a:srgbClr val="0000CC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c:rich>
      </c:tx>
      <c:layout>
        <c:manualLayout>
          <c:xMode val="edge"/>
          <c:yMode val="edge"/>
          <c:x val="0.4601124156575086"/>
          <c:y val="4.210527479079286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6712311310635619E-2"/>
          <c:y val="2.3029440244784576E-2"/>
          <c:w val="0.94710481332297047"/>
          <c:h val="0.716330516488907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일별!$C$4</c:f>
              <c:strCache>
                <c:ptCount val="1"/>
                <c:pt idx="0">
                  <c:v>제외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일별!$C$5:$C$35</c:f>
              <c:numCache>
                <c:formatCode>0.0</c:formatCode>
                <c:ptCount val="31"/>
                <c:pt idx="0">
                  <c:v>47.199999999999996</c:v>
                </c:pt>
                <c:pt idx="1">
                  <c:v>46.70967741935484</c:v>
                </c:pt>
                <c:pt idx="2">
                  <c:v>47.333333333333343</c:v>
                </c:pt>
                <c:pt idx="3">
                  <c:v>49.157894736842096</c:v>
                </c:pt>
                <c:pt idx="4">
                  <c:v>46.580645161290327</c:v>
                </c:pt>
                <c:pt idx="5">
                  <c:v>46.931034482758626</c:v>
                </c:pt>
                <c:pt idx="6">
                  <c:v>47.548387096774192</c:v>
                </c:pt>
                <c:pt idx="7">
                  <c:v>47.142857142857146</c:v>
                </c:pt>
                <c:pt idx="8">
                  <c:v>46.419354838709687</c:v>
                </c:pt>
                <c:pt idx="9">
                  <c:v>48.578947368421041</c:v>
                </c:pt>
                <c:pt idx="10">
                  <c:v>47.266666666666673</c:v>
                </c:pt>
                <c:pt idx="11">
                  <c:v>46.774193548387096</c:v>
                </c:pt>
                <c:pt idx="12">
                  <c:v>45.935483870967744</c:v>
                </c:pt>
                <c:pt idx="13">
                  <c:v>47.333333333333336</c:v>
                </c:pt>
                <c:pt idx="14">
                  <c:v>54</c:v>
                </c:pt>
                <c:pt idx="15">
                  <c:v>47.791666666666671</c:v>
                </c:pt>
                <c:pt idx="16">
                  <c:v>49.346153846153847</c:v>
                </c:pt>
                <c:pt idx="17">
                  <c:v>49.181818181818201</c:v>
                </c:pt>
                <c:pt idx="18">
                  <c:v>47.3</c:v>
                </c:pt>
                <c:pt idx="19">
                  <c:v>46.225806451612904</c:v>
                </c:pt>
                <c:pt idx="20">
                  <c:v>47.129032258064505</c:v>
                </c:pt>
                <c:pt idx="21">
                  <c:v>50.277777777777786</c:v>
                </c:pt>
                <c:pt idx="22">
                  <c:v>47.5</c:v>
                </c:pt>
                <c:pt idx="23">
                  <c:v>47.033333333333346</c:v>
                </c:pt>
                <c:pt idx="24">
                  <c:v>47.483870967741929</c:v>
                </c:pt>
                <c:pt idx="25">
                  <c:v>47.333333333333343</c:v>
                </c:pt>
                <c:pt idx="26">
                  <c:v>47.800000000000004</c:v>
                </c:pt>
                <c:pt idx="27">
                  <c:v>49.842105263157904</c:v>
                </c:pt>
                <c:pt idx="28">
                  <c:v>49.035714285714285</c:v>
                </c:pt>
                <c:pt idx="29">
                  <c:v>47.166666666666671</c:v>
                </c:pt>
                <c:pt idx="30">
                  <c:v>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5-4989-A02E-42EA59D48370}"/>
            </c:ext>
          </c:extLst>
        </c:ser>
        <c:ser>
          <c:idx val="1"/>
          <c:order val="1"/>
          <c:tx>
            <c:strRef>
              <c:f>일별!$D$4</c:f>
              <c:strCache>
                <c:ptCount val="1"/>
                <c:pt idx="0">
                  <c:v>고장</c:v>
                </c:pt>
              </c:strCache>
            </c:strRef>
          </c:tx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일별!$D$5:$D$35</c:f>
              <c:numCache>
                <c:formatCode>0.0</c:formatCode>
                <c:ptCount val="31"/>
                <c:pt idx="0">
                  <c:v>0.2</c:v>
                </c:pt>
                <c:pt idx="1">
                  <c:v>0.32258064516129031</c:v>
                </c:pt>
                <c:pt idx="2">
                  <c:v>0</c:v>
                </c:pt>
                <c:pt idx="3">
                  <c:v>27.631578947368421</c:v>
                </c:pt>
                <c:pt idx="4">
                  <c:v>0</c:v>
                </c:pt>
                <c:pt idx="5">
                  <c:v>1.0344827586206897</c:v>
                </c:pt>
                <c:pt idx="6">
                  <c:v>0.77419354838709675</c:v>
                </c:pt>
                <c:pt idx="7">
                  <c:v>4.0714285714285712</c:v>
                </c:pt>
                <c:pt idx="8">
                  <c:v>3.2258064516129031E-2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3.3333333333333333E-2</c:v>
                </c:pt>
                <c:pt idx="14">
                  <c:v>158.42857142857142</c:v>
                </c:pt>
                <c:pt idx="15">
                  <c:v>11.416666666666666</c:v>
                </c:pt>
                <c:pt idx="16">
                  <c:v>1.6923076923076923</c:v>
                </c:pt>
                <c:pt idx="17">
                  <c:v>21.863636363636363</c:v>
                </c:pt>
                <c:pt idx="18">
                  <c:v>0</c:v>
                </c:pt>
                <c:pt idx="19">
                  <c:v>0.41935483870967744</c:v>
                </c:pt>
                <c:pt idx="20">
                  <c:v>0</c:v>
                </c:pt>
                <c:pt idx="21">
                  <c:v>29.333333333333332</c:v>
                </c:pt>
                <c:pt idx="22">
                  <c:v>0</c:v>
                </c:pt>
                <c:pt idx="23">
                  <c:v>0.53333333333333333</c:v>
                </c:pt>
                <c:pt idx="24">
                  <c:v>6.4516129032258063E-2</c:v>
                </c:pt>
                <c:pt idx="25">
                  <c:v>0.3</c:v>
                </c:pt>
                <c:pt idx="26">
                  <c:v>0</c:v>
                </c:pt>
                <c:pt idx="27">
                  <c:v>26.842105263157894</c:v>
                </c:pt>
                <c:pt idx="28">
                  <c:v>1.9642857142857142</c:v>
                </c:pt>
                <c:pt idx="29">
                  <c:v>6.6666666666666666E-2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8A5-4989-A02E-42EA59D48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8710032"/>
        <c:axId val="208699056"/>
        <c:extLst xmlns:c16r2="http://schemas.microsoft.com/office/drawing/2015/06/chart"/>
      </c:barChart>
      <c:dateAx>
        <c:axId val="208710032"/>
        <c:scaling>
          <c:orientation val="minMax"/>
        </c:scaling>
        <c:delete val="0"/>
        <c:axPos val="b"/>
        <c:numFmt formatCode="mm&quot;월&quot;\ dd&quot;일&quot;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699056"/>
        <c:crossesAt val="0"/>
        <c:auto val="1"/>
        <c:lblOffset val="100"/>
        <c:baseTimeUnit val="days"/>
      </c:dateAx>
      <c:valAx>
        <c:axId val="208699056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710032"/>
        <c:crosses val="autoZero"/>
        <c:crossBetween val="between"/>
        <c:majorUnit val="10"/>
        <c:min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1768674271096222"/>
          <c:y val="2.9187417562652449E-2"/>
          <c:w val="9.1491573018018219E-2"/>
          <c:h val="8.3794535947245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굴림체" panose="020B0609000101010101" pitchFamily="49" charset="-127"/>
              <a:ea typeface="굴림체" panose="020B0609000101010101" pitchFamily="49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defRPr>
            </a:pPr>
            <a:r>
              <a:rPr lang="ko-KR" altLang="en-US" sz="1800" b="0">
                <a:solidFill>
                  <a:schemeClr val="tx2">
                    <a:lumMod val="75000"/>
                  </a:schemeClr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전력 원단위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2553922139042966E-2"/>
          <c:y val="2.358847777256683E-2"/>
          <c:w val="0.94712323028586942"/>
          <c:h val="0.79353162359407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일별!$CB$4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일별!$CB$5:$CB$35</c:f>
              <c:numCache>
                <c:formatCode>0.0_ </c:formatCode>
                <c:ptCount val="31"/>
                <c:pt idx="0">
                  <c:v>159.61577051526456</c:v>
                </c:pt>
                <c:pt idx="1">
                  <c:v>161.66675133023784</c:v>
                </c:pt>
                <c:pt idx="2">
                  <c:v>161.44900641692064</c:v>
                </c:pt>
                <c:pt idx="3">
                  <c:v>166.42094863714001</c:v>
                </c:pt>
                <c:pt idx="4">
                  <c:v>162.90010869828879</c:v>
                </c:pt>
                <c:pt idx="5">
                  <c:v>163.38045429005453</c:v>
                </c:pt>
                <c:pt idx="6">
                  <c:v>162.75208266858436</c:v>
                </c:pt>
                <c:pt idx="7">
                  <c:v>159.99148272582755</c:v>
                </c:pt>
                <c:pt idx="8">
                  <c:v>159.20808821248647</c:v>
                </c:pt>
                <c:pt idx="9">
                  <c:v>168.85195548667801</c:v>
                </c:pt>
                <c:pt idx="10">
                  <c:v>158.50442229858081</c:v>
                </c:pt>
                <c:pt idx="11">
                  <c:v>159.13736492397959</c:v>
                </c:pt>
                <c:pt idx="12">
                  <c:v>158.6929886217213</c:v>
                </c:pt>
                <c:pt idx="13">
                  <c:v>160.74876262581031</c:v>
                </c:pt>
                <c:pt idx="14">
                  <c:v>185.73697360714138</c:v>
                </c:pt>
                <c:pt idx="15">
                  <c:v>163.55833984224134</c:v>
                </c:pt>
                <c:pt idx="16">
                  <c:v>165.33552297463609</c:v>
                </c:pt>
                <c:pt idx="17">
                  <c:v>171.5636367288341</c:v>
                </c:pt>
                <c:pt idx="18">
                  <c:v>160.90478695849146</c:v>
                </c:pt>
                <c:pt idx="19">
                  <c:v>162.46492367209166</c:v>
                </c:pt>
                <c:pt idx="20">
                  <c:v>161.81335620327849</c:v>
                </c:pt>
                <c:pt idx="21">
                  <c:v>172.37312368613092</c:v>
                </c:pt>
                <c:pt idx="22">
                  <c:v>159.92442974126439</c:v>
                </c:pt>
                <c:pt idx="23">
                  <c:v>159.9265336599579</c:v>
                </c:pt>
                <c:pt idx="24">
                  <c:v>161.18822983477585</c:v>
                </c:pt>
                <c:pt idx="25">
                  <c:v>162.39154547171768</c:v>
                </c:pt>
                <c:pt idx="26">
                  <c:v>160.86987184770877</c:v>
                </c:pt>
                <c:pt idx="27">
                  <c:v>170.64606222418684</c:v>
                </c:pt>
                <c:pt idx="28">
                  <c:v>161.40744424217399</c:v>
                </c:pt>
                <c:pt idx="29">
                  <c:v>158.33066530611333</c:v>
                </c:pt>
                <c:pt idx="30">
                  <c:v>169.87620357634111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D0-473B-AFAA-20BF57801704}"/>
            </c:ext>
          </c:extLst>
        </c:ser>
        <c:ser>
          <c:idx val="1"/>
          <c:order val="1"/>
          <c:tx>
            <c:strRef>
              <c:f>일별!$CC$4</c:f>
              <c:strCache>
                <c:ptCount val="1"/>
                <c:pt idx="0">
                  <c:v>M2</c:v>
                </c:pt>
              </c:strCache>
            </c:strRef>
          </c:tx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일별!$CC$5:$CC$35</c:f>
              <c:numCache>
                <c:formatCode>0.0_ </c:formatCode>
                <c:ptCount val="31"/>
                <c:pt idx="0">
                  <c:v>142.47757911671084</c:v>
                </c:pt>
                <c:pt idx="1">
                  <c:v>144.07633069641452</c:v>
                </c:pt>
                <c:pt idx="2">
                  <c:v>145.10562014844018</c:v>
                </c:pt>
                <c:pt idx="3">
                  <c:v>130.64029958804662</c:v>
                </c:pt>
                <c:pt idx="4">
                  <c:v>145.18155917453498</c:v>
                </c:pt>
                <c:pt idx="5">
                  <c:v>146.0199246558077</c:v>
                </c:pt>
                <c:pt idx="6">
                  <c:v>146.02336405837207</c:v>
                </c:pt>
                <c:pt idx="7">
                  <c:v>140.91980066389729</c:v>
                </c:pt>
                <c:pt idx="8">
                  <c:v>141.21657802056131</c:v>
                </c:pt>
                <c:pt idx="9">
                  <c:v>128.17604263940183</c:v>
                </c:pt>
                <c:pt idx="10">
                  <c:v>141.52855085932916</c:v>
                </c:pt>
                <c:pt idx="11">
                  <c:v>142.42559407983498</c:v>
                </c:pt>
                <c:pt idx="12">
                  <c:v>142.19121346177906</c:v>
                </c:pt>
                <c:pt idx="13">
                  <c:v>143.74354378846192</c:v>
                </c:pt>
                <c:pt idx="14">
                  <c:v>105.7049617328497</c:v>
                </c:pt>
                <c:pt idx="15">
                  <c:v>142.93034801351789</c:v>
                </c:pt>
                <c:pt idx="16">
                  <c:v>148.12451118273123</c:v>
                </c:pt>
                <c:pt idx="17">
                  <c:v>143.4884044523516</c:v>
                </c:pt>
                <c:pt idx="18">
                  <c:v>143.02904589360438</c:v>
                </c:pt>
                <c:pt idx="19">
                  <c:v>143.63987006552676</c:v>
                </c:pt>
                <c:pt idx="20">
                  <c:v>144.65167045311799</c:v>
                </c:pt>
                <c:pt idx="21">
                  <c:v>130.73292090642616</c:v>
                </c:pt>
                <c:pt idx="22">
                  <c:v>142.78800077021643</c:v>
                </c:pt>
                <c:pt idx="23">
                  <c:v>142.80097695236367</c:v>
                </c:pt>
                <c:pt idx="24">
                  <c:v>143.59428014112967</c:v>
                </c:pt>
                <c:pt idx="25">
                  <c:v>144.26900298970398</c:v>
                </c:pt>
                <c:pt idx="26">
                  <c:v>144.63022849572002</c:v>
                </c:pt>
                <c:pt idx="27">
                  <c:v>129.28740491099529</c:v>
                </c:pt>
                <c:pt idx="28">
                  <c:v>142.85716375906168</c:v>
                </c:pt>
                <c:pt idx="29">
                  <c:v>142.0976206388369</c:v>
                </c:pt>
                <c:pt idx="30">
                  <c:v>143.7414030261348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ED0-473B-AFAA-20BF57801704}"/>
            </c:ext>
          </c:extLst>
        </c:ser>
        <c:ser>
          <c:idx val="2"/>
          <c:order val="2"/>
          <c:tx>
            <c:strRef>
              <c:f>일별!$CD$4</c:f>
              <c:strCache>
                <c:ptCount val="1"/>
                <c:pt idx="0">
                  <c:v>R</c:v>
                </c:pt>
              </c:strCache>
            </c:strRef>
          </c:tx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일별!$CD$5:$CD$35</c:f>
              <c:numCache>
                <c:formatCode>0.0_ </c:formatCode>
                <c:ptCount val="31"/>
                <c:pt idx="0">
                  <c:v>80.426746516337772</c:v>
                </c:pt>
                <c:pt idx="1">
                  <c:v>82.833151320185081</c:v>
                </c:pt>
                <c:pt idx="2">
                  <c:v>84.745953188012649</c:v>
                </c:pt>
                <c:pt idx="3">
                  <c:v>89.269173645115245</c:v>
                </c:pt>
                <c:pt idx="4">
                  <c:v>80.363338395766817</c:v>
                </c:pt>
                <c:pt idx="5">
                  <c:v>80.667568854242333</c:v>
                </c:pt>
                <c:pt idx="6">
                  <c:v>90.751147129343551</c:v>
                </c:pt>
                <c:pt idx="7">
                  <c:v>90.998119363487362</c:v>
                </c:pt>
                <c:pt idx="8">
                  <c:v>88.382675714295132</c:v>
                </c:pt>
                <c:pt idx="9">
                  <c:v>94.447641873170738</c:v>
                </c:pt>
                <c:pt idx="10">
                  <c:v>84.615165239109245</c:v>
                </c:pt>
                <c:pt idx="11">
                  <c:v>80.152243966059146</c:v>
                </c:pt>
                <c:pt idx="12">
                  <c:v>81.278089896804147</c:v>
                </c:pt>
                <c:pt idx="13">
                  <c:v>85.53206221962725</c:v>
                </c:pt>
                <c:pt idx="14">
                  <c:v>126.14289742906614</c:v>
                </c:pt>
                <c:pt idx="15">
                  <c:v>96.158882507787879</c:v>
                </c:pt>
                <c:pt idx="16">
                  <c:v>81.139319471499164</c:v>
                </c:pt>
                <c:pt idx="17">
                  <c:v>90.3938117884165</c:v>
                </c:pt>
                <c:pt idx="18">
                  <c:v>83.951199826005379</c:v>
                </c:pt>
                <c:pt idx="19">
                  <c:v>81.702073780464289</c:v>
                </c:pt>
                <c:pt idx="20">
                  <c:v>86.094170965895202</c:v>
                </c:pt>
                <c:pt idx="21">
                  <c:v>96.747957832349357</c:v>
                </c:pt>
                <c:pt idx="22">
                  <c:v>84.567552005281044</c:v>
                </c:pt>
                <c:pt idx="23">
                  <c:v>84.535604721845132</c:v>
                </c:pt>
                <c:pt idx="24">
                  <c:v>90.446109070634336</c:v>
                </c:pt>
                <c:pt idx="25">
                  <c:v>88.63787027032437</c:v>
                </c:pt>
                <c:pt idx="26">
                  <c:v>92.393819984744127</c:v>
                </c:pt>
                <c:pt idx="27">
                  <c:v>107.29897958251753</c:v>
                </c:pt>
                <c:pt idx="28">
                  <c:v>94.997778867712313</c:v>
                </c:pt>
                <c:pt idx="29">
                  <c:v>86.458610421294878</c:v>
                </c:pt>
                <c:pt idx="30">
                  <c:v>79.09215955983494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ED0-473B-AFAA-20BF57801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35687472"/>
        <c:axId val="549948736"/>
        <c:extLst xmlns:c16r2="http://schemas.microsoft.com/office/drawing/2015/06/chart"/>
      </c:barChart>
      <c:dateAx>
        <c:axId val="135687472"/>
        <c:scaling>
          <c:orientation val="minMax"/>
        </c:scaling>
        <c:delete val="0"/>
        <c:axPos val="b"/>
        <c:numFmt formatCode="mm&quot;월&quot;\ dd&quot;일&quot;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9948736"/>
        <c:crosses val="autoZero"/>
        <c:auto val="1"/>
        <c:lblOffset val="100"/>
        <c:baseTimeUnit val="days"/>
      </c:dateAx>
      <c:valAx>
        <c:axId val="549948736"/>
        <c:scaling>
          <c:orientation val="minMax"/>
          <c:max val="5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687472"/>
        <c:crosses val="autoZero"/>
        <c:crossBetween val="between"/>
        <c:majorUnit val="1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547015243784182"/>
          <c:y val="5.2482248496367422E-2"/>
          <c:w val="8.5359605911330044E-2"/>
          <c:h val="6.8526481211792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굴림체" panose="020B0609000101010101" pitchFamily="49" charset="-127"/>
              <a:ea typeface="굴림체" panose="020B0609000101010101" pitchFamily="49" charset="-127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defRPr>
            </a:pPr>
            <a:r>
              <a:rPr lang="ko-KR" altLang="en-US" sz="1800">
                <a:solidFill>
                  <a:schemeClr val="accent6">
                    <a:lumMod val="50000"/>
                  </a:schemeClr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회 수 율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9299463356680069E-2"/>
          <c:y val="3.4259259259259253E-2"/>
          <c:w val="0.92434913818694786"/>
          <c:h val="0.77959098862642173"/>
        </c:manualLayout>
      </c:layout>
      <c:barChart>
        <c:barDir val="col"/>
        <c:grouping val="clustered"/>
        <c:varyColors val="0"/>
        <c:ser>
          <c:idx val="51"/>
          <c:order val="0"/>
          <c:tx>
            <c:strRef>
              <c:f>일별!$BS$3</c:f>
              <c:strCache>
                <c:ptCount val="1"/>
                <c:pt idx="0">
                  <c:v>회수율</c:v>
                </c:pt>
              </c:strCache>
            </c:strRef>
          </c:tx>
          <c:spPr>
            <a:solidFill>
              <a:srgbClr val="0000CC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05F6-4CE0-B9E9-FF2525181361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05F6-4CE0-B9E9-FF2525181361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05F6-4CE0-B9E9-FF2525181361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일별!$BS$5:$BS$35</c:f>
              <c:numCache>
                <c:formatCode>0.0_ </c:formatCode>
                <c:ptCount val="31"/>
                <c:pt idx="0">
                  <c:v>90.648471815822916</c:v>
                </c:pt>
                <c:pt idx="1">
                  <c:v>90.157172692241303</c:v>
                </c:pt>
                <c:pt idx="2">
                  <c:v>89.859014957552688</c:v>
                </c:pt>
                <c:pt idx="3">
                  <c:v>91.624820313546493</c:v>
                </c:pt>
                <c:pt idx="4">
                  <c:v>90.994941496593768</c:v>
                </c:pt>
                <c:pt idx="5">
                  <c:v>90.577881114754504</c:v>
                </c:pt>
                <c:pt idx="6">
                  <c:v>90.034047285070201</c:v>
                </c:pt>
                <c:pt idx="7">
                  <c:v>91.509368810998083</c:v>
                </c:pt>
                <c:pt idx="8">
                  <c:v>91.351398895408167</c:v>
                </c:pt>
                <c:pt idx="9">
                  <c:v>92.950507955523562</c:v>
                </c:pt>
                <c:pt idx="10">
                  <c:v>91.669946217834976</c:v>
                </c:pt>
                <c:pt idx="11">
                  <c:v>91.441535222571673</c:v>
                </c:pt>
                <c:pt idx="12">
                  <c:v>91.18144301971428</c:v>
                </c:pt>
                <c:pt idx="13">
                  <c:v>90.405739101808848</c:v>
                </c:pt>
                <c:pt idx="14">
                  <c:v>93.665458346981339</c:v>
                </c:pt>
                <c:pt idx="15">
                  <c:v>90.777341773227548</c:v>
                </c:pt>
                <c:pt idx="16">
                  <c:v>90.811412662207474</c:v>
                </c:pt>
                <c:pt idx="17">
                  <c:v>91.534891328496542</c:v>
                </c:pt>
                <c:pt idx="18">
                  <c:v>90.93636546761303</c:v>
                </c:pt>
                <c:pt idx="19">
                  <c:v>90.24289853477643</c:v>
                </c:pt>
                <c:pt idx="20">
                  <c:v>89.970771407406232</c:v>
                </c:pt>
                <c:pt idx="21">
                  <c:v>91.100348179536255</c:v>
                </c:pt>
                <c:pt idx="22">
                  <c:v>90.703881556529893</c:v>
                </c:pt>
                <c:pt idx="23">
                  <c:v>91.071483205132708</c:v>
                </c:pt>
                <c:pt idx="24">
                  <c:v>90.628232765708972</c:v>
                </c:pt>
                <c:pt idx="25">
                  <c:v>90.261265352337176</c:v>
                </c:pt>
                <c:pt idx="26">
                  <c:v>90.39206204583904</c:v>
                </c:pt>
                <c:pt idx="27">
                  <c:v>91.878000461399097</c:v>
                </c:pt>
                <c:pt idx="28">
                  <c:v>91.073542236656948</c:v>
                </c:pt>
                <c:pt idx="29">
                  <c:v>91.579570401446475</c:v>
                </c:pt>
                <c:pt idx="30">
                  <c:v>93.145419602818706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5F6-4CE0-B9E9-FF2525181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49943640"/>
        <c:axId val="549954224"/>
      </c:barChart>
      <c:dateAx>
        <c:axId val="549943640"/>
        <c:scaling>
          <c:orientation val="minMax"/>
        </c:scaling>
        <c:delete val="0"/>
        <c:axPos val="b"/>
        <c:numFmt formatCode="mm&quot;월&quot;\ dd&quot;일&quot;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9954224"/>
        <c:crosses val="autoZero"/>
        <c:auto val="1"/>
        <c:lblOffset val="100"/>
        <c:baseTimeUnit val="days"/>
      </c:dateAx>
      <c:valAx>
        <c:axId val="549954224"/>
        <c:scaling>
          <c:orientation val="minMax"/>
          <c:max val="100"/>
          <c:min val="5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9943640"/>
        <c:crosses val="autoZero"/>
        <c:crossBetween val="between"/>
        <c:majorUnit val="10"/>
        <c:minorUnit val="1"/>
      </c:valAx>
      <c:spPr>
        <a:solidFill>
          <a:schemeClr val="bg1"/>
        </a:solidFill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CC"/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defRPr>
            </a:pPr>
            <a:r>
              <a:rPr lang="ko-KR" altLang="en-US" sz="1800">
                <a:solidFill>
                  <a:srgbClr val="0000CC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고철 장입 현황</a:t>
            </a:r>
          </a:p>
        </c:rich>
      </c:tx>
      <c:layout>
        <c:manualLayout>
          <c:xMode val="edge"/>
          <c:yMode val="edge"/>
          <c:x val="0.41724788717767736"/>
          <c:y val="1.1235955056179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9299463356680069E-2"/>
          <c:y val="9.5085801483346263E-2"/>
          <c:w val="0.92434913818694786"/>
          <c:h val="0.740155026834806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일별!$AZ$3</c:f>
              <c:strCache>
                <c:ptCount val="1"/>
                <c:pt idx="0">
                  <c:v>수고 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일별!$AZ$5:$AZ$35</c:f>
              <c:numCache>
                <c:formatCode>0.0_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7.14</c:v>
                </c:pt>
                <c:pt idx="11">
                  <c:v>5.258064516129032</c:v>
                </c:pt>
                <c:pt idx="12">
                  <c:v>6.8388888888888886</c:v>
                </c:pt>
                <c:pt idx="13">
                  <c:v>8.2033333333333331</c:v>
                </c:pt>
                <c:pt idx="14">
                  <c:v>7.15</c:v>
                </c:pt>
                <c:pt idx="15">
                  <c:v>5.2250416666666668</c:v>
                </c:pt>
                <c:pt idx="16">
                  <c:v>5.5423076923076922</c:v>
                </c:pt>
                <c:pt idx="17">
                  <c:v>6.0380952380952388</c:v>
                </c:pt>
                <c:pt idx="18">
                  <c:v>5.6033333333333326</c:v>
                </c:pt>
                <c:pt idx="19">
                  <c:v>5.0225806451612911</c:v>
                </c:pt>
                <c:pt idx="20">
                  <c:v>5.3193548387096774</c:v>
                </c:pt>
                <c:pt idx="21">
                  <c:v>11.135714285714286</c:v>
                </c:pt>
                <c:pt idx="22">
                  <c:v>14.043333333333335</c:v>
                </c:pt>
                <c:pt idx="23">
                  <c:v>13.68</c:v>
                </c:pt>
                <c:pt idx="24">
                  <c:v>14.196774193548386</c:v>
                </c:pt>
                <c:pt idx="25">
                  <c:v>18.333333333333332</c:v>
                </c:pt>
                <c:pt idx="26">
                  <c:v>16.723333333333333</c:v>
                </c:pt>
                <c:pt idx="27">
                  <c:v>16.664705882352941</c:v>
                </c:pt>
                <c:pt idx="28">
                  <c:v>16.125</c:v>
                </c:pt>
                <c:pt idx="29">
                  <c:v>15.063333333333334</c:v>
                </c:pt>
                <c:pt idx="30">
                  <c:v>18.2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32-4412-95BE-C28867A1C43C}"/>
            </c:ext>
          </c:extLst>
        </c:ser>
        <c:ser>
          <c:idx val="1"/>
          <c:order val="1"/>
          <c:tx>
            <c:strRef>
              <c:f>일별!$BL$3</c:f>
              <c:strCache>
                <c:ptCount val="1"/>
                <c:pt idx="0">
                  <c:v>국고 계</c:v>
                </c:pt>
              </c:strCache>
            </c:strRef>
          </c:tx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일별!$BL$5:$BL$35</c:f>
              <c:numCache>
                <c:formatCode>0.0_ </c:formatCode>
                <c:ptCount val="31"/>
                <c:pt idx="0">
                  <c:v>142.77000000000001</c:v>
                </c:pt>
                <c:pt idx="1">
                  <c:v>141.19677419354841</c:v>
                </c:pt>
                <c:pt idx="2">
                  <c:v>142.58333333333334</c:v>
                </c:pt>
                <c:pt idx="3">
                  <c:v>133.43157894736842</c:v>
                </c:pt>
                <c:pt idx="4">
                  <c:v>140.22258064516132</c:v>
                </c:pt>
                <c:pt idx="5">
                  <c:v>141.02068965517242</c:v>
                </c:pt>
                <c:pt idx="6">
                  <c:v>140.09032258064516</c:v>
                </c:pt>
                <c:pt idx="7">
                  <c:v>139.90357142857141</c:v>
                </c:pt>
                <c:pt idx="8">
                  <c:v>140.17741935483869</c:v>
                </c:pt>
                <c:pt idx="9">
                  <c:v>133.95789473684209</c:v>
                </c:pt>
                <c:pt idx="10">
                  <c:v>136</c:v>
                </c:pt>
                <c:pt idx="11">
                  <c:v>131.3064516129032</c:v>
                </c:pt>
                <c:pt idx="12">
                  <c:v>132.88064516129035</c:v>
                </c:pt>
                <c:pt idx="13">
                  <c:v>132.43333333333334</c:v>
                </c:pt>
                <c:pt idx="14">
                  <c:v>120.21428571428571</c:v>
                </c:pt>
                <c:pt idx="15">
                  <c:v>135.86670833333335</c:v>
                </c:pt>
                <c:pt idx="16">
                  <c:v>132.25769230769231</c:v>
                </c:pt>
                <c:pt idx="17">
                  <c:v>131.5090909090909</c:v>
                </c:pt>
                <c:pt idx="18">
                  <c:v>133.63999999999999</c:v>
                </c:pt>
                <c:pt idx="19">
                  <c:v>134.72903225806451</c:v>
                </c:pt>
                <c:pt idx="20">
                  <c:v>134.54838709677418</c:v>
                </c:pt>
                <c:pt idx="21">
                  <c:v>126.11666666666667</c:v>
                </c:pt>
                <c:pt idx="22">
                  <c:v>126.64</c:v>
                </c:pt>
                <c:pt idx="23">
                  <c:v>122.88666666666667</c:v>
                </c:pt>
                <c:pt idx="24">
                  <c:v>125.14516129032258</c:v>
                </c:pt>
                <c:pt idx="25">
                  <c:v>118.49333333333333</c:v>
                </c:pt>
                <c:pt idx="26">
                  <c:v>122.51333333333334</c:v>
                </c:pt>
                <c:pt idx="27">
                  <c:v>119.49484210526316</c:v>
                </c:pt>
                <c:pt idx="28">
                  <c:v>125.01785714285714</c:v>
                </c:pt>
                <c:pt idx="29">
                  <c:v>124.57</c:v>
                </c:pt>
                <c:pt idx="30">
                  <c:v>123.9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732-4412-95BE-C28867A1C43C}"/>
            </c:ext>
          </c:extLst>
        </c:ser>
        <c:ser>
          <c:idx val="2"/>
          <c:order val="2"/>
          <c:tx>
            <c:strRef>
              <c:f>일별!$BP$4</c:f>
              <c:strCache>
                <c:ptCount val="1"/>
                <c:pt idx="0">
                  <c:v>발고 계</c:v>
                </c:pt>
              </c:strCache>
            </c:strRef>
          </c:tx>
          <c:invertIfNegative val="0"/>
          <c:cat>
            <c:numRef>
              <c:f>일별!$A$5:$A$35</c:f>
              <c:numCache>
                <c:formatCode>mm"월"\ dd"일"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일별!$BP$5:$BP$35</c:f>
              <c:numCache>
                <c:formatCode>0.0_ </c:formatCode>
                <c:ptCount val="31"/>
                <c:pt idx="0">
                  <c:v>16.773333333333333</c:v>
                </c:pt>
                <c:pt idx="1">
                  <c:v>17.890322580645162</c:v>
                </c:pt>
                <c:pt idx="2">
                  <c:v>16.23</c:v>
                </c:pt>
                <c:pt idx="3">
                  <c:v>20.46842105263158</c:v>
                </c:pt>
                <c:pt idx="4">
                  <c:v>18.293548387096774</c:v>
                </c:pt>
                <c:pt idx="5">
                  <c:v>17.434482758620689</c:v>
                </c:pt>
                <c:pt idx="6">
                  <c:v>18.948387096774194</c:v>
                </c:pt>
                <c:pt idx="7">
                  <c:v>18.732142857142858</c:v>
                </c:pt>
                <c:pt idx="8">
                  <c:v>18.396774193548385</c:v>
                </c:pt>
                <c:pt idx="9">
                  <c:v>19.389473684210525</c:v>
                </c:pt>
                <c:pt idx="10">
                  <c:v>20.396666666666668</c:v>
                </c:pt>
                <c:pt idx="11">
                  <c:v>22.064516129032256</c:v>
                </c:pt>
                <c:pt idx="12">
                  <c:v>21.812903225806451</c:v>
                </c:pt>
                <c:pt idx="13">
                  <c:v>18.113333333333333</c:v>
                </c:pt>
                <c:pt idx="14">
                  <c:v>20.2</c:v>
                </c:pt>
                <c:pt idx="15">
                  <c:v>17.3125</c:v>
                </c:pt>
                <c:pt idx="16">
                  <c:v>18.850000000000001</c:v>
                </c:pt>
                <c:pt idx="17">
                  <c:v>20.386363636363637</c:v>
                </c:pt>
                <c:pt idx="18">
                  <c:v>19.543333333333333</c:v>
                </c:pt>
                <c:pt idx="19">
                  <c:v>19.064516129032256</c:v>
                </c:pt>
                <c:pt idx="20">
                  <c:v>19.125806451612902</c:v>
                </c:pt>
                <c:pt idx="21">
                  <c:v>19.261111111111109</c:v>
                </c:pt>
                <c:pt idx="22">
                  <c:v>18.34</c:v>
                </c:pt>
                <c:pt idx="23">
                  <c:v>22</c:v>
                </c:pt>
                <c:pt idx="24">
                  <c:v>19.2258064516129</c:v>
                </c:pt>
                <c:pt idx="25">
                  <c:v>21.706666666666667</c:v>
                </c:pt>
                <c:pt idx="26">
                  <c:v>19.093333333333334</c:v>
                </c:pt>
                <c:pt idx="27">
                  <c:v>19.157894736842106</c:v>
                </c:pt>
                <c:pt idx="28">
                  <c:v>17.660714285714285</c:v>
                </c:pt>
                <c:pt idx="29">
                  <c:v>18.793333333333333</c:v>
                </c:pt>
                <c:pt idx="30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732-4412-95BE-C28867A1C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49953048"/>
        <c:axId val="549944032"/>
        <c:extLst xmlns:c16r2="http://schemas.microsoft.com/office/drawing/2015/06/chart"/>
      </c:barChart>
      <c:dateAx>
        <c:axId val="549953048"/>
        <c:scaling>
          <c:orientation val="minMax"/>
        </c:scaling>
        <c:delete val="0"/>
        <c:axPos val="b"/>
        <c:numFmt formatCode="mm&quot;월&quot;\ dd&quot;일&quot;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9944032"/>
        <c:crosses val="autoZero"/>
        <c:auto val="1"/>
        <c:lblOffset val="100"/>
        <c:baseTimeUnit val="days"/>
      </c:dateAx>
      <c:valAx>
        <c:axId val="549944032"/>
        <c:scaling>
          <c:orientation val="minMax"/>
          <c:max val="16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9953048"/>
        <c:crosses val="autoZero"/>
        <c:crossBetween val="between"/>
        <c:majorUnit val="10"/>
        <c:minorUnit val="1"/>
      </c:valAx>
      <c:spPr>
        <a:solidFill>
          <a:schemeClr val="bg1"/>
        </a:solid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9396684317565582"/>
          <c:y val="2.4870683299419032E-2"/>
          <c:w val="0.18406257838459847"/>
          <c:h val="6.0160831989885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g"/><Relationship Id="rId13" Type="http://schemas.openxmlformats.org/officeDocument/2006/relationships/image" Target="../media/image15.jpg"/><Relationship Id="rId18" Type="http://schemas.openxmlformats.org/officeDocument/2006/relationships/image" Target="../media/image20.jpg"/><Relationship Id="rId26" Type="http://schemas.openxmlformats.org/officeDocument/2006/relationships/image" Target="../media/image28.jpg"/><Relationship Id="rId3" Type="http://schemas.openxmlformats.org/officeDocument/2006/relationships/image" Target="../media/image5.jpg"/><Relationship Id="rId21" Type="http://schemas.openxmlformats.org/officeDocument/2006/relationships/image" Target="../media/image23.jpg"/><Relationship Id="rId7" Type="http://schemas.openxmlformats.org/officeDocument/2006/relationships/image" Target="../media/image9.jpg"/><Relationship Id="rId12" Type="http://schemas.openxmlformats.org/officeDocument/2006/relationships/image" Target="../media/image14.jpg"/><Relationship Id="rId17" Type="http://schemas.openxmlformats.org/officeDocument/2006/relationships/image" Target="../media/image19.jpg"/><Relationship Id="rId25" Type="http://schemas.openxmlformats.org/officeDocument/2006/relationships/image" Target="../media/image27.jpg"/><Relationship Id="rId2" Type="http://schemas.openxmlformats.org/officeDocument/2006/relationships/image" Target="../media/image4.jpg"/><Relationship Id="rId16" Type="http://schemas.openxmlformats.org/officeDocument/2006/relationships/image" Target="../media/image18.jpg"/><Relationship Id="rId20" Type="http://schemas.openxmlformats.org/officeDocument/2006/relationships/image" Target="../media/image22.jpg"/><Relationship Id="rId29" Type="http://schemas.openxmlformats.org/officeDocument/2006/relationships/image" Target="../media/image31.jpg"/><Relationship Id="rId1" Type="http://schemas.openxmlformats.org/officeDocument/2006/relationships/image" Target="../media/image3.jpg"/><Relationship Id="rId6" Type="http://schemas.openxmlformats.org/officeDocument/2006/relationships/image" Target="../media/image8.jpg"/><Relationship Id="rId11" Type="http://schemas.openxmlformats.org/officeDocument/2006/relationships/image" Target="../media/image13.jpg"/><Relationship Id="rId24" Type="http://schemas.openxmlformats.org/officeDocument/2006/relationships/image" Target="../media/image26.jpg"/><Relationship Id="rId32" Type="http://schemas.openxmlformats.org/officeDocument/2006/relationships/image" Target="../media/image34.jpg"/><Relationship Id="rId5" Type="http://schemas.openxmlformats.org/officeDocument/2006/relationships/image" Target="../media/image7.jpg"/><Relationship Id="rId15" Type="http://schemas.openxmlformats.org/officeDocument/2006/relationships/image" Target="../media/image17.jpg"/><Relationship Id="rId23" Type="http://schemas.openxmlformats.org/officeDocument/2006/relationships/image" Target="../media/image25.jpg"/><Relationship Id="rId28" Type="http://schemas.openxmlformats.org/officeDocument/2006/relationships/image" Target="../media/image30.jpg"/><Relationship Id="rId10" Type="http://schemas.openxmlformats.org/officeDocument/2006/relationships/image" Target="../media/image12.jpg"/><Relationship Id="rId19" Type="http://schemas.openxmlformats.org/officeDocument/2006/relationships/image" Target="../media/image21.jpg"/><Relationship Id="rId31" Type="http://schemas.openxmlformats.org/officeDocument/2006/relationships/image" Target="../media/image33.jpg"/><Relationship Id="rId4" Type="http://schemas.openxmlformats.org/officeDocument/2006/relationships/image" Target="../media/image6.jpg"/><Relationship Id="rId9" Type="http://schemas.openxmlformats.org/officeDocument/2006/relationships/image" Target="../media/image11.jpg"/><Relationship Id="rId14" Type="http://schemas.openxmlformats.org/officeDocument/2006/relationships/image" Target="../media/image16.jpg"/><Relationship Id="rId22" Type="http://schemas.openxmlformats.org/officeDocument/2006/relationships/image" Target="../media/image24.jpg"/><Relationship Id="rId27" Type="http://schemas.openxmlformats.org/officeDocument/2006/relationships/image" Target="../media/image29.jpg"/><Relationship Id="rId30" Type="http://schemas.openxmlformats.org/officeDocument/2006/relationships/image" Target="../media/image32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0</xdr:rowOff>
    </xdr:from>
    <xdr:to>
      <xdr:col>11</xdr:col>
      <xdr:colOff>514350</xdr:colOff>
      <xdr:row>1</xdr:row>
      <xdr:rowOff>257175</xdr:rowOff>
    </xdr:to>
    <xdr:sp macro="" textlink="">
      <xdr:nvSpPr>
        <xdr:cNvPr id="2" name="TextBox 1"/>
        <xdr:cNvSpPr txBox="1"/>
      </xdr:nvSpPr>
      <xdr:spPr>
        <a:xfrm>
          <a:off x="8820150" y="0"/>
          <a:ext cx="2371725" cy="6000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ko-KR" sz="1000" b="1">
              <a:latin typeface="굴림체" pitchFamily="49" charset="-127"/>
              <a:ea typeface="굴림체" pitchFamily="49" charset="-127"/>
            </a:rPr>
            <a:t>&lt;&lt;</a:t>
          </a:r>
          <a:r>
            <a:rPr lang="ko-KR" altLang="en-US" sz="1000" b="1">
              <a:latin typeface="굴림체" pitchFamily="49" charset="-127"/>
              <a:ea typeface="굴림체" pitchFamily="49" charset="-127"/>
            </a:rPr>
            <a:t> 구 분 </a:t>
          </a:r>
          <a:r>
            <a:rPr lang="en-US" altLang="ko-KR" sz="1000" b="1">
              <a:latin typeface="굴림체" pitchFamily="49" charset="-127"/>
              <a:ea typeface="굴림체" pitchFamily="49" charset="-127"/>
            </a:rPr>
            <a:t>&gt;&gt;    </a:t>
          </a:r>
          <a:r>
            <a:rPr lang="ko-KR" altLang="en-US" sz="1000" b="1">
              <a:solidFill>
                <a:srgbClr val="FF00FF"/>
              </a:solidFill>
              <a:latin typeface="굴림체" pitchFamily="49" charset="-127"/>
              <a:ea typeface="굴림체" pitchFamily="49" charset="-127"/>
            </a:rPr>
            <a:t>사무실 전달 </a:t>
          </a:r>
          <a:r>
            <a:rPr lang="en-US" altLang="ko-KR" sz="1000" b="1">
              <a:solidFill>
                <a:srgbClr val="FF00FF"/>
              </a:solidFill>
              <a:latin typeface="굴림체" pitchFamily="49" charset="-127"/>
              <a:ea typeface="굴림체" pitchFamily="49" charset="-127"/>
            </a:rPr>
            <a:t>:</a:t>
          </a:r>
          <a:r>
            <a:rPr lang="en-US" altLang="ko-KR" sz="1000" b="1" baseline="0">
              <a:solidFill>
                <a:srgbClr val="FF00FF"/>
              </a:solidFill>
              <a:latin typeface="굴림체" pitchFamily="49" charset="-127"/>
              <a:ea typeface="굴림체" pitchFamily="49" charset="-127"/>
            </a:rPr>
            <a:t> O</a:t>
          </a:r>
          <a:endParaRPr lang="en-US" altLang="ko-KR" sz="1000" b="1">
            <a:solidFill>
              <a:srgbClr val="FF00FF"/>
            </a:solidFill>
            <a:latin typeface="굴림체" pitchFamily="49" charset="-127"/>
            <a:ea typeface="굴림체" pitchFamily="49" charset="-127"/>
          </a:endParaRPr>
        </a:p>
        <a:p>
          <a:r>
            <a:rPr lang="ko-KR" altLang="en-US" sz="1000" b="1">
              <a:latin typeface="굴림체" pitchFamily="49" charset="-127"/>
              <a:ea typeface="굴림체" pitchFamily="49" charset="-127"/>
            </a:rPr>
            <a:t>기계 </a:t>
          </a:r>
          <a:r>
            <a:rPr lang="en-US" altLang="ko-KR" sz="1000" b="1">
              <a:latin typeface="굴림체" pitchFamily="49" charset="-127"/>
              <a:ea typeface="굴림체" pitchFamily="49" charset="-127"/>
            </a:rPr>
            <a:t>: M , </a:t>
          </a:r>
          <a:r>
            <a:rPr lang="ko-KR" altLang="en-US" sz="1000" b="1">
              <a:latin typeface="굴림체" pitchFamily="49" charset="-127"/>
              <a:ea typeface="굴림체" pitchFamily="49" charset="-127"/>
            </a:rPr>
            <a:t>전기 </a:t>
          </a:r>
          <a:r>
            <a:rPr lang="en-US" altLang="ko-KR" sz="1000" b="1">
              <a:latin typeface="굴림체" pitchFamily="49" charset="-127"/>
              <a:ea typeface="굴림체" pitchFamily="49" charset="-127"/>
            </a:rPr>
            <a:t>: E , </a:t>
          </a:r>
          <a:r>
            <a:rPr lang="ko-KR" altLang="en-US" sz="1000" b="1">
              <a:latin typeface="굴림체" pitchFamily="49" charset="-127"/>
              <a:ea typeface="굴림체" pitchFamily="49" charset="-127"/>
            </a:rPr>
            <a:t>연근 </a:t>
          </a:r>
          <a:r>
            <a:rPr lang="en-US" altLang="ko-KR" sz="1000" b="1">
              <a:latin typeface="굴림체" pitchFamily="49" charset="-127"/>
              <a:ea typeface="굴림체" pitchFamily="49" charset="-127"/>
            </a:rPr>
            <a:t>: </a:t>
          </a:r>
          <a:r>
            <a:rPr lang="ko-KR" altLang="en-US" sz="1000" b="1">
              <a:latin typeface="굴림체" pitchFamily="49" charset="-127"/>
              <a:ea typeface="굴림체" pitchFamily="49" charset="-127"/>
            </a:rPr>
            <a:t>연</a:t>
          </a:r>
          <a:endParaRPr lang="en-US" altLang="ko-KR" sz="1000" b="1">
            <a:latin typeface="굴림체" pitchFamily="49" charset="-127"/>
            <a:ea typeface="굴림체" pitchFamily="49" charset="-127"/>
          </a:endParaRPr>
        </a:p>
        <a:p>
          <a:r>
            <a:rPr lang="ko-KR" altLang="en-US" sz="1000" b="1">
              <a:latin typeface="굴림체" pitchFamily="49" charset="-127"/>
              <a:ea typeface="굴림체" pitchFamily="49" charset="-127"/>
            </a:rPr>
            <a:t>조업 </a:t>
          </a:r>
          <a:r>
            <a:rPr lang="en-US" altLang="ko-KR" sz="1000" b="1">
              <a:latin typeface="굴림체" pitchFamily="49" charset="-127"/>
              <a:ea typeface="굴림체" pitchFamily="49" charset="-127"/>
            </a:rPr>
            <a:t>: S , </a:t>
          </a:r>
          <a:r>
            <a:rPr lang="ko-KR" altLang="en-US" sz="1000" b="1">
              <a:latin typeface="굴림체" pitchFamily="49" charset="-127"/>
              <a:ea typeface="굴림체" pitchFamily="49" charset="-127"/>
            </a:rPr>
            <a:t>품질 </a:t>
          </a:r>
          <a:r>
            <a:rPr lang="en-US" altLang="ko-KR" sz="1000" b="1">
              <a:latin typeface="굴림체" pitchFamily="49" charset="-127"/>
              <a:ea typeface="굴림체" pitchFamily="49" charset="-127"/>
            </a:rPr>
            <a:t>: Q</a:t>
          </a:r>
          <a:r>
            <a:rPr lang="en-US" altLang="ko-KR" sz="1000" b="1" baseline="0">
              <a:latin typeface="굴림체" pitchFamily="49" charset="-127"/>
              <a:ea typeface="굴림체" pitchFamily="49" charset="-127"/>
            </a:rPr>
            <a:t> , </a:t>
          </a:r>
          <a:r>
            <a:rPr lang="ko-KR" altLang="en-US" sz="1000" b="1" baseline="0">
              <a:latin typeface="굴림체" pitchFamily="49" charset="-127"/>
              <a:ea typeface="굴림체" pitchFamily="49" charset="-127"/>
            </a:rPr>
            <a:t>기타 </a:t>
          </a:r>
          <a:r>
            <a:rPr lang="en-US" altLang="ko-KR" sz="1000" b="1" baseline="0">
              <a:latin typeface="굴림체" pitchFamily="49" charset="-127"/>
              <a:ea typeface="굴림체" pitchFamily="49" charset="-127"/>
            </a:rPr>
            <a:t>: K</a:t>
          </a:r>
          <a:endParaRPr lang="en-US" altLang="ko-KR" sz="1000" b="1">
            <a:latin typeface="굴림체" pitchFamily="49" charset="-127"/>
            <a:ea typeface="굴림체" pitchFamily="49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608134</xdr:colOff>
      <xdr:row>1</xdr:row>
      <xdr:rowOff>0</xdr:rowOff>
    </xdr:from>
    <xdr:to>
      <xdr:col>28</xdr:col>
      <xdr:colOff>208761</xdr:colOff>
      <xdr:row>4</xdr:row>
      <xdr:rowOff>26036</xdr:rowOff>
    </xdr:to>
    <xdr:pic>
      <xdr:nvPicPr>
        <xdr:cNvPr id="2" name="그림 1"/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3409" y="342900"/>
          <a:ext cx="714413" cy="711836"/>
        </a:xfrm>
        <a:prstGeom prst="rect">
          <a:avLst/>
        </a:prstGeom>
      </xdr:spPr>
    </xdr:pic>
    <xdr:clientData/>
  </xdr:twoCellAnchor>
  <xdr:twoCellAnchor editAs="oneCell">
    <xdr:from>
      <xdr:col>29</xdr:col>
      <xdr:colOff>315057</xdr:colOff>
      <xdr:row>1</xdr:row>
      <xdr:rowOff>0</xdr:rowOff>
    </xdr:from>
    <xdr:to>
      <xdr:col>32</xdr:col>
      <xdr:colOff>89883</xdr:colOff>
      <xdr:row>4</xdr:row>
      <xdr:rowOff>38596</xdr:rowOff>
    </xdr:to>
    <xdr:pic>
      <xdr:nvPicPr>
        <xdr:cNvPr id="3" name="그림 2"/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6232" y="342900"/>
          <a:ext cx="717801" cy="724396"/>
        </a:xfrm>
        <a:prstGeom prst="rect">
          <a:avLst/>
        </a:prstGeom>
      </xdr:spPr>
    </xdr:pic>
    <xdr:clientData/>
  </xdr:twoCellAnchor>
  <xdr:twoCellAnchor>
    <xdr:from>
      <xdr:col>28</xdr:col>
      <xdr:colOff>307730</xdr:colOff>
      <xdr:row>1</xdr:row>
      <xdr:rowOff>205154</xdr:rowOff>
    </xdr:from>
    <xdr:to>
      <xdr:col>29</xdr:col>
      <xdr:colOff>234461</xdr:colOff>
      <xdr:row>3</xdr:row>
      <xdr:rowOff>65941</xdr:rowOff>
    </xdr:to>
    <xdr:sp macro="" textlink="">
      <xdr:nvSpPr>
        <xdr:cNvPr id="4" name="오른쪽 화살표 3"/>
        <xdr:cNvSpPr/>
      </xdr:nvSpPr>
      <xdr:spPr>
        <a:xfrm>
          <a:off x="13204580" y="548054"/>
          <a:ext cx="241056" cy="317987"/>
        </a:xfrm>
        <a:prstGeom prst="rightArrow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6</xdr:row>
      <xdr:rowOff>126999</xdr:rowOff>
    </xdr:from>
    <xdr:to>
      <xdr:col>7</xdr:col>
      <xdr:colOff>1047750</xdr:colOff>
      <xdr:row>6</xdr:row>
      <xdr:rowOff>3397250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174749"/>
          <a:ext cx="5651500" cy="3270251"/>
        </a:xfrm>
        <a:prstGeom prst="rect">
          <a:avLst/>
        </a:prstGeom>
      </xdr:spPr>
    </xdr:pic>
    <xdr:clientData/>
  </xdr:twoCellAnchor>
  <xdr:twoCellAnchor editAs="oneCell">
    <xdr:from>
      <xdr:col>8</xdr:col>
      <xdr:colOff>118250</xdr:colOff>
      <xdr:row>6</xdr:row>
      <xdr:rowOff>229375</xdr:rowOff>
    </xdr:from>
    <xdr:to>
      <xdr:col>12</xdr:col>
      <xdr:colOff>1000125</xdr:colOff>
      <xdr:row>6</xdr:row>
      <xdr:rowOff>3371408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4500" y="1277125"/>
          <a:ext cx="5580875" cy="3142033"/>
        </a:xfrm>
        <a:prstGeom prst="rect">
          <a:avLst/>
        </a:prstGeom>
      </xdr:spPr>
    </xdr:pic>
    <xdr:clientData/>
  </xdr:twoCellAnchor>
  <xdr:twoCellAnchor editAs="oneCell">
    <xdr:from>
      <xdr:col>8</xdr:col>
      <xdr:colOff>77750</xdr:colOff>
      <xdr:row>7</xdr:row>
      <xdr:rowOff>331750</xdr:rowOff>
    </xdr:from>
    <xdr:to>
      <xdr:col>12</xdr:col>
      <xdr:colOff>984250</xdr:colOff>
      <xdr:row>7</xdr:row>
      <xdr:rowOff>3487647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4000" y="4618000"/>
          <a:ext cx="5605500" cy="3155897"/>
        </a:xfrm>
        <a:prstGeom prst="rect">
          <a:avLst/>
        </a:prstGeom>
      </xdr:spPr>
    </xdr:pic>
    <xdr:clientData/>
  </xdr:twoCellAnchor>
  <xdr:twoCellAnchor editAs="oneCell">
    <xdr:from>
      <xdr:col>3</xdr:col>
      <xdr:colOff>132500</xdr:colOff>
      <xdr:row>7</xdr:row>
      <xdr:rowOff>370626</xdr:rowOff>
    </xdr:from>
    <xdr:to>
      <xdr:col>7</xdr:col>
      <xdr:colOff>1016000</xdr:colOff>
      <xdr:row>7</xdr:row>
      <xdr:rowOff>3513574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000" y="4656876"/>
          <a:ext cx="5582500" cy="3142948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6</xdr:row>
      <xdr:rowOff>174626</xdr:rowOff>
    </xdr:from>
    <xdr:to>
      <xdr:col>22</xdr:col>
      <xdr:colOff>1031875</xdr:colOff>
      <xdr:row>6</xdr:row>
      <xdr:rowOff>3329608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00750" y="1222376"/>
          <a:ext cx="5603875" cy="3154982"/>
        </a:xfrm>
        <a:prstGeom prst="rect">
          <a:avLst/>
        </a:prstGeom>
      </xdr:spPr>
    </xdr:pic>
    <xdr:clientData/>
  </xdr:twoCellAnchor>
  <xdr:twoCellAnchor editAs="oneCell">
    <xdr:from>
      <xdr:col>13</xdr:col>
      <xdr:colOff>165875</xdr:colOff>
      <xdr:row>6</xdr:row>
      <xdr:rowOff>197626</xdr:rowOff>
    </xdr:from>
    <xdr:to>
      <xdr:col>17</xdr:col>
      <xdr:colOff>1070750</xdr:colOff>
      <xdr:row>6</xdr:row>
      <xdr:rowOff>3352608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5875" y="1245376"/>
          <a:ext cx="5603875" cy="3154982"/>
        </a:xfrm>
        <a:prstGeom prst="rect">
          <a:avLst/>
        </a:prstGeom>
      </xdr:spPr>
    </xdr:pic>
    <xdr:clientData/>
  </xdr:twoCellAnchor>
  <xdr:twoCellAnchor editAs="oneCell">
    <xdr:from>
      <xdr:col>13</xdr:col>
      <xdr:colOff>125375</xdr:colOff>
      <xdr:row>7</xdr:row>
      <xdr:rowOff>315876</xdr:rowOff>
    </xdr:from>
    <xdr:to>
      <xdr:col>17</xdr:col>
      <xdr:colOff>1030250</xdr:colOff>
      <xdr:row>7</xdr:row>
      <xdr:rowOff>3470858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5375" y="4602126"/>
          <a:ext cx="5603875" cy="3154982"/>
        </a:xfrm>
        <a:prstGeom prst="rect">
          <a:avLst/>
        </a:prstGeom>
      </xdr:spPr>
    </xdr:pic>
    <xdr:clientData/>
  </xdr:twoCellAnchor>
  <xdr:twoCellAnchor editAs="oneCell">
    <xdr:from>
      <xdr:col>18</xdr:col>
      <xdr:colOff>132500</xdr:colOff>
      <xdr:row>7</xdr:row>
      <xdr:rowOff>354751</xdr:rowOff>
    </xdr:from>
    <xdr:to>
      <xdr:col>22</xdr:col>
      <xdr:colOff>1037375</xdr:colOff>
      <xdr:row>7</xdr:row>
      <xdr:rowOff>3509733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06250" y="4641001"/>
          <a:ext cx="5603875" cy="3154982"/>
        </a:xfrm>
        <a:prstGeom prst="rect">
          <a:avLst/>
        </a:prstGeom>
      </xdr:spPr>
    </xdr:pic>
    <xdr:clientData/>
  </xdr:twoCellAnchor>
  <xdr:twoCellAnchor editAs="oneCell">
    <xdr:from>
      <xdr:col>23</xdr:col>
      <xdr:colOff>127000</xdr:colOff>
      <xdr:row>6</xdr:row>
      <xdr:rowOff>190500</xdr:rowOff>
    </xdr:from>
    <xdr:to>
      <xdr:col>27</xdr:col>
      <xdr:colOff>1026375</xdr:colOff>
      <xdr:row>6</xdr:row>
      <xdr:rowOff>3342385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0" y="1238250"/>
          <a:ext cx="5598375" cy="3151885"/>
        </a:xfrm>
        <a:prstGeom prst="rect">
          <a:avLst/>
        </a:prstGeom>
      </xdr:spPr>
    </xdr:pic>
    <xdr:clientData/>
  </xdr:twoCellAnchor>
  <xdr:twoCellAnchor editAs="oneCell">
    <xdr:from>
      <xdr:col>28</xdr:col>
      <xdr:colOff>118250</xdr:colOff>
      <xdr:row>6</xdr:row>
      <xdr:rowOff>197625</xdr:rowOff>
    </xdr:from>
    <xdr:to>
      <xdr:col>32</xdr:col>
      <xdr:colOff>1017625</xdr:colOff>
      <xdr:row>6</xdr:row>
      <xdr:rowOff>3349510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39500" y="1245375"/>
          <a:ext cx="5598375" cy="3151885"/>
        </a:xfrm>
        <a:prstGeom prst="rect">
          <a:avLst/>
        </a:prstGeom>
      </xdr:spPr>
    </xdr:pic>
    <xdr:clientData/>
  </xdr:twoCellAnchor>
  <xdr:twoCellAnchor editAs="oneCell">
    <xdr:from>
      <xdr:col>23</xdr:col>
      <xdr:colOff>125375</xdr:colOff>
      <xdr:row>7</xdr:row>
      <xdr:rowOff>347625</xdr:rowOff>
    </xdr:from>
    <xdr:to>
      <xdr:col>27</xdr:col>
      <xdr:colOff>1024750</xdr:colOff>
      <xdr:row>7</xdr:row>
      <xdr:rowOff>3499510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2875" y="4633875"/>
          <a:ext cx="5598375" cy="3151885"/>
        </a:xfrm>
        <a:prstGeom prst="rect">
          <a:avLst/>
        </a:prstGeom>
      </xdr:spPr>
    </xdr:pic>
    <xdr:clientData/>
  </xdr:twoCellAnchor>
  <xdr:twoCellAnchor editAs="oneCell">
    <xdr:from>
      <xdr:col>28</xdr:col>
      <xdr:colOff>148375</xdr:colOff>
      <xdr:row>7</xdr:row>
      <xdr:rowOff>338875</xdr:rowOff>
    </xdr:from>
    <xdr:to>
      <xdr:col>32</xdr:col>
      <xdr:colOff>1047750</xdr:colOff>
      <xdr:row>7</xdr:row>
      <xdr:rowOff>3490760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69625" y="4625125"/>
          <a:ext cx="5598375" cy="3151885"/>
        </a:xfrm>
        <a:prstGeom prst="rect">
          <a:avLst/>
        </a:prstGeom>
      </xdr:spPr>
    </xdr:pic>
    <xdr:clientData/>
  </xdr:twoCellAnchor>
  <xdr:twoCellAnchor editAs="oneCell">
    <xdr:from>
      <xdr:col>33</xdr:col>
      <xdr:colOff>15875</xdr:colOff>
      <xdr:row>6</xdr:row>
      <xdr:rowOff>142875</xdr:rowOff>
    </xdr:from>
    <xdr:to>
      <xdr:col>37</xdr:col>
      <xdr:colOff>1127125</xdr:colOff>
      <xdr:row>6</xdr:row>
      <xdr:rowOff>3414046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10875" y="1190625"/>
          <a:ext cx="5810250" cy="3271171"/>
        </a:xfrm>
        <a:prstGeom prst="rect">
          <a:avLst/>
        </a:prstGeom>
      </xdr:spPr>
    </xdr:pic>
    <xdr:clientData/>
  </xdr:twoCellAnchor>
  <xdr:twoCellAnchor editAs="oneCell">
    <xdr:from>
      <xdr:col>38</xdr:col>
      <xdr:colOff>54749</xdr:colOff>
      <xdr:row>6</xdr:row>
      <xdr:rowOff>165876</xdr:rowOff>
    </xdr:from>
    <xdr:to>
      <xdr:col>42</xdr:col>
      <xdr:colOff>1095312</xdr:colOff>
      <xdr:row>6</xdr:row>
      <xdr:rowOff>3397250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23499" y="1213626"/>
          <a:ext cx="5739563" cy="3231374"/>
        </a:xfrm>
        <a:prstGeom prst="rect">
          <a:avLst/>
        </a:prstGeom>
      </xdr:spPr>
    </xdr:pic>
    <xdr:clientData/>
  </xdr:twoCellAnchor>
  <xdr:twoCellAnchor editAs="oneCell">
    <xdr:from>
      <xdr:col>38</xdr:col>
      <xdr:colOff>109500</xdr:colOff>
      <xdr:row>7</xdr:row>
      <xdr:rowOff>331750</xdr:rowOff>
    </xdr:from>
    <xdr:to>
      <xdr:col>42</xdr:col>
      <xdr:colOff>1079500</xdr:colOff>
      <xdr:row>7</xdr:row>
      <xdr:rowOff>3523397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78250" y="4618000"/>
          <a:ext cx="5669000" cy="3191647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21</xdr:row>
      <xdr:rowOff>47625</xdr:rowOff>
    </xdr:from>
    <xdr:to>
      <xdr:col>7</xdr:col>
      <xdr:colOff>1079500</xdr:colOff>
      <xdr:row>21</xdr:row>
      <xdr:rowOff>3265170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11525250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8</xdr:col>
      <xdr:colOff>118250</xdr:colOff>
      <xdr:row>21</xdr:row>
      <xdr:rowOff>54750</xdr:rowOff>
    </xdr:from>
    <xdr:to>
      <xdr:col>12</xdr:col>
      <xdr:colOff>1134250</xdr:colOff>
      <xdr:row>21</xdr:row>
      <xdr:rowOff>3272295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4500" y="11532375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3</xdr:col>
      <xdr:colOff>30125</xdr:colOff>
      <xdr:row>22</xdr:row>
      <xdr:rowOff>125375</xdr:rowOff>
    </xdr:from>
    <xdr:to>
      <xdr:col>7</xdr:col>
      <xdr:colOff>1046125</xdr:colOff>
      <xdr:row>22</xdr:row>
      <xdr:rowOff>3342920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625" y="15000250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18</xdr:col>
      <xdr:colOff>79375</xdr:colOff>
      <xdr:row>21</xdr:row>
      <xdr:rowOff>79375</xdr:rowOff>
    </xdr:from>
    <xdr:to>
      <xdr:col>22</xdr:col>
      <xdr:colOff>1095375</xdr:colOff>
      <xdr:row>21</xdr:row>
      <xdr:rowOff>3296920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53125" y="11557000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13</xdr:col>
      <xdr:colOff>102375</xdr:colOff>
      <xdr:row>21</xdr:row>
      <xdr:rowOff>102375</xdr:rowOff>
    </xdr:from>
    <xdr:to>
      <xdr:col>17</xdr:col>
      <xdr:colOff>1118375</xdr:colOff>
      <xdr:row>21</xdr:row>
      <xdr:rowOff>3319920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2375" y="11580000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18</xdr:col>
      <xdr:colOff>93625</xdr:colOff>
      <xdr:row>22</xdr:row>
      <xdr:rowOff>77750</xdr:rowOff>
    </xdr:from>
    <xdr:to>
      <xdr:col>22</xdr:col>
      <xdr:colOff>1109625</xdr:colOff>
      <xdr:row>22</xdr:row>
      <xdr:rowOff>3295295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7375" y="14952625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13</xdr:col>
      <xdr:colOff>100750</xdr:colOff>
      <xdr:row>22</xdr:row>
      <xdr:rowOff>69000</xdr:rowOff>
    </xdr:from>
    <xdr:to>
      <xdr:col>17</xdr:col>
      <xdr:colOff>1116750</xdr:colOff>
      <xdr:row>22</xdr:row>
      <xdr:rowOff>3286545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0750" y="14943875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23</xdr:col>
      <xdr:colOff>79375</xdr:colOff>
      <xdr:row>21</xdr:row>
      <xdr:rowOff>95250</xdr:rowOff>
    </xdr:from>
    <xdr:to>
      <xdr:col>27</xdr:col>
      <xdr:colOff>1095375</xdr:colOff>
      <xdr:row>21</xdr:row>
      <xdr:rowOff>3312795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6875" y="11572875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28</xdr:col>
      <xdr:colOff>86500</xdr:colOff>
      <xdr:row>21</xdr:row>
      <xdr:rowOff>54750</xdr:rowOff>
    </xdr:from>
    <xdr:to>
      <xdr:col>32</xdr:col>
      <xdr:colOff>1102500</xdr:colOff>
      <xdr:row>21</xdr:row>
      <xdr:rowOff>3272295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07750" y="11532375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28</xdr:col>
      <xdr:colOff>93625</xdr:colOff>
      <xdr:row>22</xdr:row>
      <xdr:rowOff>46000</xdr:rowOff>
    </xdr:from>
    <xdr:to>
      <xdr:col>32</xdr:col>
      <xdr:colOff>1109625</xdr:colOff>
      <xdr:row>22</xdr:row>
      <xdr:rowOff>3263545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4875" y="14920875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95250</xdr:colOff>
      <xdr:row>21</xdr:row>
      <xdr:rowOff>111125</xdr:rowOff>
    </xdr:from>
    <xdr:to>
      <xdr:col>37</xdr:col>
      <xdr:colOff>1111250</xdr:colOff>
      <xdr:row>21</xdr:row>
      <xdr:rowOff>3328670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0" y="11588750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38</xdr:col>
      <xdr:colOff>86500</xdr:colOff>
      <xdr:row>21</xdr:row>
      <xdr:rowOff>86500</xdr:rowOff>
    </xdr:from>
    <xdr:to>
      <xdr:col>42</xdr:col>
      <xdr:colOff>873126</xdr:colOff>
      <xdr:row>21</xdr:row>
      <xdr:rowOff>3076367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55250" y="11564125"/>
          <a:ext cx="5485626" cy="2989867"/>
        </a:xfrm>
        <a:prstGeom prst="rect">
          <a:avLst/>
        </a:prstGeom>
      </xdr:spPr>
    </xdr:pic>
    <xdr:clientData/>
  </xdr:twoCellAnchor>
  <xdr:twoCellAnchor editAs="oneCell">
    <xdr:from>
      <xdr:col>33</xdr:col>
      <xdr:colOff>141249</xdr:colOff>
      <xdr:row>22</xdr:row>
      <xdr:rowOff>63500</xdr:rowOff>
    </xdr:from>
    <xdr:to>
      <xdr:col>37</xdr:col>
      <xdr:colOff>1127124</xdr:colOff>
      <xdr:row>22</xdr:row>
      <xdr:rowOff>3284389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36249" y="14938375"/>
          <a:ext cx="5684875" cy="3220889"/>
        </a:xfrm>
        <a:prstGeom prst="rect">
          <a:avLst/>
        </a:prstGeom>
      </xdr:spPr>
    </xdr:pic>
    <xdr:clientData/>
  </xdr:twoCellAnchor>
  <xdr:twoCellAnchor editAs="oneCell">
    <xdr:from>
      <xdr:col>43</xdr:col>
      <xdr:colOff>127000</xdr:colOff>
      <xdr:row>21</xdr:row>
      <xdr:rowOff>95250</xdr:rowOff>
    </xdr:from>
    <xdr:to>
      <xdr:col>47</xdr:col>
      <xdr:colOff>1143000</xdr:colOff>
      <xdr:row>21</xdr:row>
      <xdr:rowOff>3312795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9500" y="11572875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48</xdr:col>
      <xdr:colOff>86500</xdr:colOff>
      <xdr:row>21</xdr:row>
      <xdr:rowOff>70625</xdr:rowOff>
    </xdr:from>
    <xdr:to>
      <xdr:col>52</xdr:col>
      <xdr:colOff>1102500</xdr:colOff>
      <xdr:row>21</xdr:row>
      <xdr:rowOff>3288170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2750" y="11548250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43</xdr:col>
      <xdr:colOff>93625</xdr:colOff>
      <xdr:row>22</xdr:row>
      <xdr:rowOff>61875</xdr:rowOff>
    </xdr:from>
    <xdr:to>
      <xdr:col>47</xdr:col>
      <xdr:colOff>1109625</xdr:colOff>
      <xdr:row>22</xdr:row>
      <xdr:rowOff>3279420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36125" y="14936750"/>
          <a:ext cx="5715000" cy="3217545"/>
        </a:xfrm>
        <a:prstGeom prst="rect">
          <a:avLst/>
        </a:prstGeom>
      </xdr:spPr>
    </xdr:pic>
    <xdr:clientData/>
  </xdr:twoCellAnchor>
  <xdr:twoCellAnchor editAs="oneCell">
    <xdr:from>
      <xdr:col>48</xdr:col>
      <xdr:colOff>68999</xdr:colOff>
      <xdr:row>22</xdr:row>
      <xdr:rowOff>63499</xdr:rowOff>
    </xdr:from>
    <xdr:to>
      <xdr:col>52</xdr:col>
      <xdr:colOff>1079997</xdr:colOff>
      <xdr:row>22</xdr:row>
      <xdr:rowOff>3222624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85249" y="14938374"/>
          <a:ext cx="5709998" cy="3159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35</xdr:col>
      <xdr:colOff>0</xdr:colOff>
      <xdr:row>13</xdr:row>
      <xdr:rowOff>85726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13</xdr:row>
      <xdr:rowOff>85727</xdr:rowOff>
    </xdr:from>
    <xdr:to>
      <xdr:col>35</xdr:col>
      <xdr:colOff>0</xdr:colOff>
      <xdr:row>27</xdr:row>
      <xdr:rowOff>95250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85725</xdr:rowOff>
    </xdr:from>
    <xdr:to>
      <xdr:col>35</xdr:col>
      <xdr:colOff>0</xdr:colOff>
      <xdr:row>45</xdr:row>
      <xdr:rowOff>38100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38100</xdr:rowOff>
    </xdr:from>
    <xdr:to>
      <xdr:col>34</xdr:col>
      <xdr:colOff>276224</xdr:colOff>
      <xdr:row>61</xdr:row>
      <xdr:rowOff>38100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61</xdr:row>
      <xdr:rowOff>19049</xdr:rowOff>
    </xdr:from>
    <xdr:to>
      <xdr:col>35</xdr:col>
      <xdr:colOff>0</xdr:colOff>
      <xdr:row>81</xdr:row>
      <xdr:rowOff>152400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K960"/>
  <sheetViews>
    <sheetView zoomScale="115" zoomScaleNormal="115" workbookViewId="0">
      <pane xSplit="5" ySplit="13" topLeftCell="F561" activePane="bottomRight" state="frozen"/>
      <selection activeCell="J581" sqref="J581"/>
      <selection pane="topRight" activeCell="J581" sqref="J581"/>
      <selection pane="bottomLeft" activeCell="J581" sqref="J581"/>
      <selection pane="bottomRight" activeCell="E584" activeCellId="1" sqref="E573:G582 E584:G593"/>
    </sheetView>
  </sheetViews>
  <sheetFormatPr defaultColWidth="7.8984375" defaultRowHeight="13.2"/>
  <cols>
    <col min="1" max="1" width="6.8984375" style="1" customWidth="1"/>
    <col min="2" max="3" width="3" style="139" customWidth="1"/>
    <col min="4" max="4" width="5.3984375" style="140" customWidth="1"/>
    <col min="5" max="5" width="13.09765625" style="140" bestFit="1" customWidth="1"/>
    <col min="6" max="6" width="7.8984375" style="141" customWidth="1"/>
    <col min="7" max="7" width="6.69921875" style="2" customWidth="1"/>
    <col min="8" max="8" width="3.69921875" style="141" customWidth="1"/>
    <col min="9" max="9" width="6.69921875" style="2" customWidth="1"/>
    <col min="10" max="10" width="3.69921875" style="141" customWidth="1"/>
    <col min="11" max="11" width="6.69921875" style="2" customWidth="1"/>
    <col min="12" max="12" width="4.3984375" style="141" customWidth="1"/>
    <col min="13" max="13" width="5.796875" style="2" customWidth="1"/>
    <col min="14" max="14" width="5.19921875" style="2" customWidth="1"/>
    <col min="15" max="15" width="5.796875" style="106" customWidth="1"/>
    <col min="16" max="16" width="5.296875" style="2" customWidth="1"/>
    <col min="17" max="17" width="5.796875" style="106" customWidth="1"/>
    <col min="18" max="18" width="6" style="142" customWidth="1"/>
    <col min="19" max="19" width="4.796875" style="143" customWidth="1"/>
    <col min="20" max="20" width="4.796875" style="144" customWidth="1"/>
    <col min="21" max="21" width="4.796875" style="143" customWidth="1"/>
    <col min="22" max="22" width="5.3984375" style="144" customWidth="1"/>
    <col min="23" max="23" width="5.19921875" style="143" customWidth="1"/>
    <col min="24" max="24" width="6.09765625" style="106" customWidth="1"/>
    <col min="25" max="25" width="6.09765625" style="2" customWidth="1"/>
    <col min="26" max="26" width="5.796875" style="2" customWidth="1"/>
    <col min="27" max="28" width="6.296875" style="2" customWidth="1"/>
    <col min="29" max="30" width="6.19921875" style="2" customWidth="1"/>
    <col min="31" max="31" width="5.796875" style="2" customWidth="1"/>
    <col min="32" max="33" width="5.59765625" style="2" customWidth="1"/>
    <col min="34" max="35" width="5.19921875" style="2" customWidth="1"/>
    <col min="36" max="16384" width="7.8984375" style="2"/>
  </cols>
  <sheetData>
    <row r="1" spans="1:37" ht="25.5" hidden="1" customHeight="1" thickBot="1">
      <c r="A1" s="145" t="s">
        <v>328</v>
      </c>
      <c r="B1" s="146"/>
      <c r="C1" s="147"/>
      <c r="D1" s="147"/>
      <c r="E1" s="147"/>
      <c r="F1" s="148"/>
      <c r="G1" s="148"/>
      <c r="H1" s="149"/>
      <c r="I1" s="146"/>
      <c r="J1" s="150"/>
      <c r="K1" s="151"/>
      <c r="L1" s="152"/>
      <c r="M1" s="153"/>
      <c r="N1" s="154"/>
      <c r="O1" s="155"/>
      <c r="P1" s="154"/>
      <c r="Q1" s="156"/>
      <c r="R1" s="154"/>
      <c r="S1" s="156"/>
      <c r="T1" s="154"/>
      <c r="U1" s="156"/>
      <c r="V1" s="157"/>
      <c r="W1" s="158"/>
      <c r="X1" s="159"/>
      <c r="Y1" s="153"/>
      <c r="Z1" s="153"/>
      <c r="AA1" s="153"/>
      <c r="AB1" s="160"/>
      <c r="AC1" s="161"/>
      <c r="AD1" s="153"/>
      <c r="AE1" s="153"/>
      <c r="AF1" s="153"/>
      <c r="AG1" s="153"/>
      <c r="AH1" s="153"/>
      <c r="AI1" s="153"/>
    </row>
    <row r="2" spans="1:37" ht="12.75" hidden="1" customHeight="1">
      <c r="A2" s="162"/>
      <c r="B2" s="1247" t="s">
        <v>68</v>
      </c>
      <c r="C2" s="1248"/>
      <c r="D2" s="1249"/>
      <c r="E2" s="1253" t="s">
        <v>69</v>
      </c>
      <c r="F2" s="1255" t="s">
        <v>70</v>
      </c>
      <c r="G2" s="1256"/>
      <c r="H2" s="1257" t="s">
        <v>43</v>
      </c>
      <c r="I2" s="1257"/>
      <c r="J2" s="1257" t="s">
        <v>71</v>
      </c>
      <c r="K2" s="1257"/>
      <c r="L2" s="1258" t="s">
        <v>72</v>
      </c>
      <c r="M2" s="1259"/>
      <c r="N2" s="1262" t="s">
        <v>73</v>
      </c>
      <c r="O2" s="1257"/>
      <c r="P2" s="1257"/>
      <c r="Q2" s="1259"/>
      <c r="R2" s="1263" t="s">
        <v>47</v>
      </c>
      <c r="S2" s="1265" t="s">
        <v>75</v>
      </c>
      <c r="T2" s="1257"/>
      <c r="U2" s="1257"/>
      <c r="V2" s="1257"/>
      <c r="W2" s="1259"/>
      <c r="X2" s="1266" t="s">
        <v>76</v>
      </c>
      <c r="Y2" s="1245"/>
      <c r="Z2" s="1245"/>
      <c r="AA2" s="1245"/>
      <c r="AB2" s="1246"/>
      <c r="AC2" s="1243" t="s">
        <v>77</v>
      </c>
      <c r="AD2" s="1244"/>
      <c r="AE2" s="1245" t="s">
        <v>78</v>
      </c>
      <c r="AF2" s="1245"/>
      <c r="AG2" s="1245"/>
      <c r="AH2" s="1245"/>
      <c r="AI2" s="1246"/>
    </row>
    <row r="3" spans="1:37" ht="12.75" hidden="1" customHeight="1">
      <c r="A3" s="162"/>
      <c r="B3" s="1250"/>
      <c r="C3" s="1251"/>
      <c r="D3" s="1252"/>
      <c r="E3" s="1254"/>
      <c r="F3" s="3" t="s">
        <v>79</v>
      </c>
      <c r="G3" s="4" t="s">
        <v>80</v>
      </c>
      <c r="H3" s="5" t="s">
        <v>79</v>
      </c>
      <c r="I3" s="4" t="s">
        <v>80</v>
      </c>
      <c r="J3" s="5" t="s">
        <v>79</v>
      </c>
      <c r="K3" s="4" t="s">
        <v>80</v>
      </c>
      <c r="L3" s="5" t="s">
        <v>79</v>
      </c>
      <c r="M3" s="6" t="s">
        <v>80</v>
      </c>
      <c r="N3" s="7" t="s">
        <v>70</v>
      </c>
      <c r="O3" s="8" t="s">
        <v>43</v>
      </c>
      <c r="P3" s="8" t="s">
        <v>71</v>
      </c>
      <c r="Q3" s="6" t="s">
        <v>72</v>
      </c>
      <c r="R3" s="1264"/>
      <c r="S3" s="7" t="s">
        <v>70</v>
      </c>
      <c r="T3" s="8" t="s">
        <v>43</v>
      </c>
      <c r="U3" s="8" t="s">
        <v>71</v>
      </c>
      <c r="V3" s="4" t="s">
        <v>72</v>
      </c>
      <c r="W3" s="9" t="s">
        <v>73</v>
      </c>
      <c r="X3" s="7" t="s">
        <v>70</v>
      </c>
      <c r="Y3" s="8" t="s">
        <v>43</v>
      </c>
      <c r="Z3" s="8" t="s">
        <v>71</v>
      </c>
      <c r="AA3" s="4" t="s">
        <v>72</v>
      </c>
      <c r="AB3" s="9" t="s">
        <v>73</v>
      </c>
      <c r="AC3" s="10" t="s">
        <v>81</v>
      </c>
      <c r="AD3" s="11" t="s">
        <v>73</v>
      </c>
      <c r="AE3" s="12" t="s">
        <v>70</v>
      </c>
      <c r="AF3" s="13" t="s">
        <v>43</v>
      </c>
      <c r="AG3" s="13" t="s">
        <v>71</v>
      </c>
      <c r="AH3" s="14" t="s">
        <v>72</v>
      </c>
      <c r="AI3" s="15" t="s">
        <v>73</v>
      </c>
    </row>
    <row r="4" spans="1:37" s="32" customFormat="1" ht="14.25" hidden="1" customHeight="1">
      <c r="A4" s="162"/>
      <c r="B4" s="1267" t="s">
        <v>25</v>
      </c>
      <c r="C4" s="1268"/>
      <c r="D4" s="1268"/>
      <c r="E4" s="16">
        <f>COUNTIF(B$14:B$789,B4)</f>
        <v>207</v>
      </c>
      <c r="F4" s="17">
        <f>IF(E4=0,"",SUMIF($B$14:$B$960,$B4,F$14:F$960)/$E4)</f>
        <v>15.193236714975846</v>
      </c>
      <c r="G4" s="18">
        <f>IF(E4=0,"",SUMIF($B$14:$B$960,$B4,G$14:G$960)/$E4)</f>
        <v>17385.990338164251</v>
      </c>
      <c r="H4" s="18">
        <f t="shared" ref="H4:H9" si="0">IF(E4=0,"",SUMIF($B$14:$B$960,$B4,H$14:H$960)/$E4)</f>
        <v>12.352657004830919</v>
      </c>
      <c r="I4" s="18">
        <f>IF(E4=0,"",SUMIF($B$14:$B$960,$B4,I$14:I$960)/$E4)</f>
        <v>14615.942028985508</v>
      </c>
      <c r="J4" s="18">
        <f>IF(E4=0,"",SUMIF($B$14:$B$960,$B4,J$14:J$960)/$E4)</f>
        <v>6.0048309178743962</v>
      </c>
      <c r="K4" s="18">
        <f>IF(E4=0,"",SUMIF($B$14:$B$960,$B4,K$14:K$960)/$E4)</f>
        <v>7647.3429951690823</v>
      </c>
      <c r="L4" s="19">
        <f>IF(E4=0,"",SUMIF($B$14:$B$960,$B4,L$14:L$960)/$E4)</f>
        <v>33.550724637681157</v>
      </c>
      <c r="M4" s="20">
        <f>IF(E4=0,"",SUMIF($B$14:$B$960,$B4,M$14:M$960)/$E4)</f>
        <v>39649.27536231884</v>
      </c>
      <c r="N4" s="21">
        <f>IF(E4=0,"",SUMIF($B$14:$B$960,$B4,N$14:N$960)/$E4)</f>
        <v>119.47888997382078</v>
      </c>
      <c r="O4" s="22">
        <f>IF(E4=0,"",SUMIF($B$14:$B$960,$B4,O$14:O$960)/$E4)</f>
        <v>99.97453882607752</v>
      </c>
      <c r="P4" s="22">
        <f>IF(E4=0,"",SUMIF($B$14:$B$960,$B4,P$14:P$960)/$E4)</f>
        <v>52.683362449866998</v>
      </c>
      <c r="Q4" s="23">
        <f>IF($E4=0,"",SUMIF($B$14:$B$960,$B4,Q$14:Q$960)/$E4)</f>
        <v>272.13679124976539</v>
      </c>
      <c r="R4" s="24">
        <f>IF(ISERROR(SUMIF($B$14:$B$960,$B4,R$14:R$960)/$E4),"",(SUMIF($B$14:$B$960,$B4,R$14:R$960)/$E4))</f>
        <v>106.39371980676324</v>
      </c>
      <c r="S4" s="17">
        <f>IF(E4=0,"",SUMIF($B$14:$B$960,$B4,S$14:S$960)/$E4)</f>
        <v>0.62318840579710144</v>
      </c>
      <c r="T4" s="18">
        <f>IF(E4=0,"",SUMIF($B$14:$B$960,$B4,T$14:T$960)/$E4)</f>
        <v>106.42995169082126</v>
      </c>
      <c r="U4" s="18">
        <f>IF(E4=0,"",SUMIF($B$14:$B$960,$B4,U$14:U$960)/$E4)</f>
        <v>157.31400966183574</v>
      </c>
      <c r="V4" s="19">
        <f>IF(E4=0,"",SUMIF($B$14:$B$960,$B4,V$14:V$960)/$E4)</f>
        <v>264.3671497584541</v>
      </c>
      <c r="W4" s="25">
        <f>IF(E4=0,"",SUMIF($B$14:$B$960,$B4,W$14:W$960)/$E4)</f>
        <v>1.8159828658242019</v>
      </c>
      <c r="X4" s="17">
        <f>IF(E4=0,"",SUMIF($B$14:$B$960,$B4,X$14:X$960)/$E4)</f>
        <v>1264.8309178743962</v>
      </c>
      <c r="Y4" s="18">
        <f>IF(E4=0,"",SUMIF($B$14:$B$960,$B4,Y$14:Y$960)/$E4)</f>
        <v>1156.144927536232</v>
      </c>
      <c r="Z4" s="18">
        <f>IF(E4=0,"",SUMIF($B$14:$B$960,$B4,Z$14:Z$960)/$E4)</f>
        <v>621.42995169082121</v>
      </c>
      <c r="AA4" s="19">
        <f>IF(E4=0,"",SUMIF($B$14:$B$960,$B4,AA$14:AA$960)/$E4)</f>
        <v>3042.4057971014495</v>
      </c>
      <c r="AB4" s="25">
        <f>IF(E4=0,"",SUMIF($B$14:$B$960,$B4,AB$14:AB$960)/$E4)</f>
        <v>20.884554745662971</v>
      </c>
      <c r="AC4" s="26">
        <f>IF(E4=0,"",SUMIF($B$14:$B$960,$B4,AC$14:AC$960)/$E4)</f>
        <v>3306.7729468599032</v>
      </c>
      <c r="AD4" s="27">
        <f>IF(E4=0,"",SUMIF($B$14:$B$960,$B4,AD$14:AD$960)/$E4)</f>
        <v>22.700537611487178</v>
      </c>
      <c r="AE4" s="28">
        <f>IF(E4=0,"",SUMIF($B$14:$B$960,$B4,AE$14:AE$960)/$E4)</f>
        <v>18.763285024154591</v>
      </c>
      <c r="AF4" s="29">
        <f>IF(E4=0,"",SUMIF($B$14:$B$960,$B4,AF$14:AF$960)/$E4)</f>
        <v>18.483091787439612</v>
      </c>
      <c r="AG4" s="29">
        <f>IF(E4=0,"",SUMIF($B$14:$B$960,$B4,AG$14:AG$960)/$E4)</f>
        <v>0.1111111111111111</v>
      </c>
      <c r="AH4" s="30">
        <f>IF(E4=0,"",SUMIF($B$14:$B$960,$B4,AH$14:AH$960)/$E4)</f>
        <v>37.357487922705317</v>
      </c>
      <c r="AI4" s="31">
        <f>IF(E4=0,"",SUMIF($B$14:$B$960,$B4,AI$14:AI$960)/$E4)</f>
        <v>0.25659557758090512</v>
      </c>
    </row>
    <row r="5" spans="1:37" s="32" customFormat="1" ht="14.25" hidden="1" customHeight="1">
      <c r="A5" s="162"/>
      <c r="B5" s="1269" t="s">
        <v>26</v>
      </c>
      <c r="C5" s="1270"/>
      <c r="D5" s="1270"/>
      <c r="E5" s="33">
        <f>COUNTIF(B$14:B$789,B5)</f>
        <v>188</v>
      </c>
      <c r="F5" s="34">
        <f>IF(E5=0,"",SUMIF($B$14:$B$960,$B5,F$14:F$960)/$E5)</f>
        <v>15.111702127659575</v>
      </c>
      <c r="G5" s="35">
        <f>IF(E5=0,"",SUMIF($B$14:$B$960,$B5,G$14:G$960)/$E5)</f>
        <v>17297.872340425532</v>
      </c>
      <c r="H5" s="35">
        <f t="shared" si="0"/>
        <v>12.425531914893616</v>
      </c>
      <c r="I5" s="35">
        <f>IF(E5=0,"",SUMIF($B$14:$B$960,$B5,I$14:I$960)/$E5)</f>
        <v>14553.563829787234</v>
      </c>
      <c r="J5" s="35">
        <f>IF(E5=0,"",SUMIF($B$14:$B$960,$B5,J$14:J$960)/$E5)</f>
        <v>6.3351063829787231</v>
      </c>
      <c r="K5" s="35">
        <f>IF(E5=0,"",SUMIF($B$14:$B$960,$B5,K$14:K$960)/$E5)</f>
        <v>8136.1702127659573</v>
      </c>
      <c r="L5" s="36">
        <f>IF(E5=0,"",SUMIF($B$14:$B$960,$B5,L$14:L$960)/$E5)</f>
        <v>33.872340425531917</v>
      </c>
      <c r="M5" s="37">
        <f>IF(E5=0,"",SUMIF($B$14:$B$960,$B5,M$14:M$960)/$E5)</f>
        <v>39987.606382978724</v>
      </c>
      <c r="N5" s="38">
        <f>IF(E5=0,"",SUMIF($B$14:$B$960,$B5,N$14:N$960)/$E5)</f>
        <v>117.48750281333398</v>
      </c>
      <c r="O5" s="29">
        <f>IF(E5=0,"",SUMIF($B$14:$B$960,$B5,O$14:O$960)/$E5)</f>
        <v>98.566207564479484</v>
      </c>
      <c r="P5" s="29">
        <f>IF(E5=0,"",SUMIF($B$14:$B$960,$B5,P$14:P$960)/$E5)</f>
        <v>55.447756164504185</v>
      </c>
      <c r="Q5" s="39">
        <f>IF(E5=0,"",SUMIF($B$14:$B$960,$B5,Q$14:Q$960)/$E5)</f>
        <v>271.50146654231764</v>
      </c>
      <c r="R5" s="40">
        <f>IF(ISERROR(SUMIF($B$14:$B$960,$B5,R$14:R$960)/$E5),"",(SUMIF($B$14:$B$960,$B5,R$14:R$960)/$E5))</f>
        <v>107.4398936170213</v>
      </c>
      <c r="S5" s="34">
        <f>IF(E5=0,"",SUMIF($B$14:$B$960,$B5,S$14:S$960)/$E5)</f>
        <v>0</v>
      </c>
      <c r="T5" s="35">
        <f>IF(E5=0,"",SUMIF($B$14:$B$960,$B5,T$14:T$960)/$E5)</f>
        <v>108.48936170212765</v>
      </c>
      <c r="U5" s="35">
        <f>IF(E5=0,"",SUMIF($B$14:$B$960,$B5,U$14:U$960)/$E5)</f>
        <v>164.92021276595744</v>
      </c>
      <c r="V5" s="36">
        <f>IF(E5=0,"",SUMIF($B$14:$B$960,$B5,V$14:V$960)/$E5)</f>
        <v>273.40957446808511</v>
      </c>
      <c r="W5" s="31">
        <f>IF(E5=0,"",SUMIF($B$14:$B$960,$B5,W$14:W$960)/$E5)</f>
        <v>1.8573928798292627</v>
      </c>
      <c r="X5" s="34">
        <f>IF(E5=0,"",SUMIF($B$14:$B$960,$B5,X$14:X$960)/$E5)</f>
        <v>1266.2127659574469</v>
      </c>
      <c r="Y5" s="35">
        <f>IF(E5=0,"",SUMIF($B$14:$B$960,$B5,Y$14:Y$960)/$E5)</f>
        <v>1159.4840425531916</v>
      </c>
      <c r="Z5" s="35">
        <f>IF(E5=0,"",SUMIF($B$14:$B$960,$B5,Z$14:Z$960)/$E5)</f>
        <v>620.15957446808511</v>
      </c>
      <c r="AA5" s="36">
        <f>IF(E5=0,"",SUMIF($B$14:$B$960,$B5,AA$14:AA$960)/$E5)</f>
        <v>3045.8563829787236</v>
      </c>
      <c r="AB5" s="31">
        <f>IF(E5=0,"",SUMIF($B$14:$B$960,$B5,AB$14:AB$960)/$E5)</f>
        <v>20.679634779998548</v>
      </c>
      <c r="AC5" s="26">
        <f>IF(E5=0,"",SUMIF($B$14:$B$960,$B5,AC$14:AC$960)/$E5)</f>
        <v>3319.2659574468084</v>
      </c>
      <c r="AD5" s="27">
        <f>IF(E5=0,"",SUMIF($B$14:$B$960,$B5,AD$14:AD$960)/$E5)</f>
        <v>22.537027659827814</v>
      </c>
      <c r="AE5" s="28">
        <f>IF(E5=0,"",SUMIF($B$14:$B$960,$B5,AE$14:AE$960)/$E5)</f>
        <v>18.542553191489361</v>
      </c>
      <c r="AF5" s="29">
        <f>IF(E5=0,"",SUMIF($B$14:$B$960,$B5,AF$14:AF$960)/$E5)</f>
        <v>18.776595744680851</v>
      </c>
      <c r="AG5" s="29">
        <f>IF(E5=0,"",SUMIF($B$14:$B$960,$B5,AG$14:AG$960)/$E5)</f>
        <v>0.35638297872340424</v>
      </c>
      <c r="AH5" s="30">
        <f>IF(E5=0,"",SUMIF($B$14:$B$960,$B5,AH$14:AH$960)/$E5)</f>
        <v>37.675531914893618</v>
      </c>
      <c r="AI5" s="31">
        <f>IF(E5=0,"",SUMIF($B$14:$B$960,$B5,AI$14:AI$960)/$E5)</f>
        <v>0.2555592932813226</v>
      </c>
    </row>
    <row r="6" spans="1:37" s="32" customFormat="1" ht="14.25" hidden="1" customHeight="1">
      <c r="A6" s="162"/>
      <c r="B6" s="1269" t="s">
        <v>27</v>
      </c>
      <c r="C6" s="1270"/>
      <c r="D6" s="1270"/>
      <c r="E6" s="33">
        <f>COUNTIF(B$14:B$789,B6)</f>
        <v>176</v>
      </c>
      <c r="F6" s="34">
        <f>IF(E6=0,"",SUMIF($B$14:$B$960,$B6,F$14:F$960)/$E6)</f>
        <v>14.9375</v>
      </c>
      <c r="G6" s="35">
        <f>IF(E6=0,"",SUMIF($B$14:$B$960,$B6,G$14:G$960)/$E6)</f>
        <v>17186.245374112204</v>
      </c>
      <c r="H6" s="35">
        <f t="shared" si="0"/>
        <v>12.761363636363637</v>
      </c>
      <c r="I6" s="35">
        <f>IF(E6=0,"",SUMIF($B$14:$B$960,$B6,I$14:I$960)/$E6)</f>
        <v>14947.727272727272</v>
      </c>
      <c r="J6" s="35">
        <f>IF(E6=0,"",SUMIF($B$14:$B$960,$B6,J$14:J$960)/$E6)</f>
        <v>5.9147727272727275</v>
      </c>
      <c r="K6" s="35">
        <f>IF(E6=0,"",SUMIF($B$14:$B$960,$B6,K$14:K$960)/$E6)</f>
        <v>7426.136363636364</v>
      </c>
      <c r="L6" s="36">
        <f>IF(E6=0,"",SUMIF($B$14:$B$960,$B6,L$14:L$960)/$E6)</f>
        <v>33.613636363636367</v>
      </c>
      <c r="M6" s="37">
        <f>IF(E6=0,"",SUMIF($B$14:$B$960,$B6,M$14:M$960)/$E6)</f>
        <v>39560.109010475848</v>
      </c>
      <c r="N6" s="38" t="e">
        <f>IF(E6=0,"",SUMIF($B$14:$B$960,$B6,N$14:N$960)/$E6)</f>
        <v>#DIV/0!</v>
      </c>
      <c r="O6" s="29">
        <f>IF(E6=0,"",SUMIF($B$14:$B$960,$B6,O$14:O$960)/$E6)</f>
        <v>101.39551126037394</v>
      </c>
      <c r="P6" s="29">
        <f>IF(E6=0,"",SUMIF($B$14:$B$960,$B6,P$14:P$960)/$E6)</f>
        <v>50.383359483102929</v>
      </c>
      <c r="Q6" s="39">
        <f>IF(E6=0,"",SUMIF($B$14:$B$960,$B6,Q$14:Q$960)/$E6)</f>
        <v>267.02130420248039</v>
      </c>
      <c r="R6" s="40">
        <f>IF(ISERROR(SUMIF($B$14:$B$960,$B6,R$14:R$960)/$E6),"",(SUMIF($B$14:$B$960,$B6,R$14:R$960)/$E6))</f>
        <v>107.23522727272724</v>
      </c>
      <c r="S6" s="34">
        <f>IF(E6=0,"",SUMIF($B$14:$B$960,$B6,S$14:S$960)/$E6)</f>
        <v>0</v>
      </c>
      <c r="T6" s="35">
        <f>IF(E6=0,"",SUMIF($B$14:$B$960,$B6,T$14:T$960)/$E6)</f>
        <v>103.92045454545455</v>
      </c>
      <c r="U6" s="35">
        <f>IF(E6=0,"",SUMIF($B$14:$B$960,$B6,U$14:U$960)/$E6)</f>
        <v>166.25568181818181</v>
      </c>
      <c r="V6" s="36">
        <f>IF(E6=0,"",SUMIF($B$14:$B$960,$B6,V$14:V$960)/$E6)</f>
        <v>270.17613636363637</v>
      </c>
      <c r="W6" s="31">
        <f>IF(E6=0,"",SUMIF($B$14:$B$960,$B6,W$14:W$960)/$E6)</f>
        <v>1.8322390697329309</v>
      </c>
      <c r="X6" s="34">
        <f>IF(E6=0,"",SUMIF($B$14:$B$960,$B6,X$14:X$960)/$E6)</f>
        <v>1255.028409090909</v>
      </c>
      <c r="Y6" s="35">
        <f>IF(E6=0,"",SUMIF($B$14:$B$960,$B6,Y$14:Y$960)/$E6)</f>
        <v>1187.2670454545455</v>
      </c>
      <c r="Z6" s="35">
        <f>IF(E6=0,"",SUMIF($B$14:$B$960,$B6,Z$14:Z$960)/$E6)</f>
        <v>605.72159090909088</v>
      </c>
      <c r="AA6" s="36">
        <f>IF(E6=0,"",SUMIF($B$14:$B$960,$B6,AA$14:AA$960)/$E6)</f>
        <v>3048.0170454545455</v>
      </c>
      <c r="AB6" s="31">
        <f>IF(E6=0,"",SUMIF($B$14:$B$960,$B6,AB$14:AB$960)/$E6)</f>
        <v>20.677872653711933</v>
      </c>
      <c r="AC6" s="26">
        <f>IF(E6=0,"",SUMIF($B$14:$B$960,$B6,AC$14:AC$960)/$E6)</f>
        <v>3318.193181818182</v>
      </c>
      <c r="AD6" s="27">
        <f>IF(E6=0,"",SUMIF($B$14:$B$960,$B6,AD$14:AD$960)/$E6)</f>
        <v>22.510111723444862</v>
      </c>
      <c r="AE6" s="28">
        <f>IF(E6=0,"",SUMIF($B$14:$B$960,$B6,AE$14:AE$960)/$E6)</f>
        <v>18.318181818181817</v>
      </c>
      <c r="AF6" s="29">
        <f>IF(E6=0,"",SUMIF($B$14:$B$960,$B6,AF$14:AF$960)/$E6)</f>
        <v>19.238636363636363</v>
      </c>
      <c r="AG6" s="29">
        <f>IF(E6=0,"",SUMIF($B$14:$B$960,$B6,AG$14:AG$960)/$E6)</f>
        <v>0</v>
      </c>
      <c r="AH6" s="30">
        <f>IF(E6=0,"",SUMIF($B$14:$B$960,$B6,AH$14:AH$960)/$E6)</f>
        <v>37.55681818181818</v>
      </c>
      <c r="AI6" s="31">
        <f>IF(E6=0,"",SUMIF($B$14:$B$960,$B6,AI$14:AI$960)/$E6)</f>
        <v>0.25479673837860844</v>
      </c>
    </row>
    <row r="7" spans="1:37" s="32" customFormat="1" ht="14.25" hidden="1" customHeight="1" thickBot="1">
      <c r="A7" s="162"/>
      <c r="B7" s="1271" t="s">
        <v>82</v>
      </c>
      <c r="C7" s="1272"/>
      <c r="D7" s="1272"/>
      <c r="E7" s="41">
        <f>COUNTIF(B$14:B$789,B7)</f>
        <v>193</v>
      </c>
      <c r="F7" s="42">
        <f>IF(E7=0,"",SUMIF($B$14:$B$960,$B7,F$14:F$960)/$E7)</f>
        <v>14.632124352331607</v>
      </c>
      <c r="G7" s="43">
        <f>IF(E7=0,"",SUMIF($B$14:$B$960,$B7,G$14:G$960)/$E7)</f>
        <v>17012.737369777969</v>
      </c>
      <c r="H7" s="43">
        <f t="shared" si="0"/>
        <v>12.492227979274611</v>
      </c>
      <c r="I7" s="43">
        <f>IF(E7=0,"",SUMIF($B$14:$B$960,$B7,I$14:I$960)/$E7)</f>
        <v>14725.388601036269</v>
      </c>
      <c r="J7" s="43">
        <f>IF(E7=0,"",SUMIF($B$14:$B$960,$B7,J$14:J$960)/$E7)</f>
        <v>6.0777202072538863</v>
      </c>
      <c r="K7" s="43">
        <f>IF(E7=0,"",SUMIF($B$14:$B$960,$B7,K$14:K$960)/$E7)</f>
        <v>7648.7046632124357</v>
      </c>
      <c r="L7" s="44">
        <f>IF(E7=0,"",SUMIF($B$14:$B$960,$B7,L$14:L$960)/$E7)</f>
        <v>33.202072538860101</v>
      </c>
      <c r="M7" s="45">
        <f>IF(E7=0,"",SUMIF($B$14:$B$960,$B7,M$14:M$960)/$E7)</f>
        <v>39386.830634026672</v>
      </c>
      <c r="N7" s="46" t="e">
        <f>IF(E7=0,"",SUMIF($B$14:$B$960,$B7,N$14:N$960)/$E7)</f>
        <v>#DIV/0!</v>
      </c>
      <c r="O7" s="47">
        <f>IF(E7=0,"",SUMIF($B$14:$B$960,$B7,O$14:O$960)/$E7)</f>
        <v>100.04110854427834</v>
      </c>
      <c r="P7" s="47">
        <f>IF(E7=0,"",SUMIF($B$14:$B$960,$B7,P$14:P$960)/$E7)</f>
        <v>52.010257150534997</v>
      </c>
      <c r="Q7" s="48">
        <f>IF(E7=0,"",SUMIF($B$14:$B$960,$B7,Q$14:Q$960)/$E7)</f>
        <v>265.7604605242592</v>
      </c>
      <c r="R7" s="49">
        <f>IF(ISERROR(SUMIF($B$14:$B$960,$B7,R$14:R$960)/$E7),"",(SUMIF($B$14:$B$960,$B7,R$14:R$960)/$E7))</f>
        <v>105.27979274611396</v>
      </c>
      <c r="S7" s="42">
        <f>IF(E7=0,"",SUMIF($B$14:$B$960,$B7,S$14:S$960)/$E7)</f>
        <v>0</v>
      </c>
      <c r="T7" s="43">
        <f>IF(E7=0,"",SUMIF($B$14:$B$960,$B7,T$14:T$960)/$E7)</f>
        <v>115.12435233160622</v>
      </c>
      <c r="U7" s="43">
        <f>IF(E7=0,"",SUMIF($B$14:$B$960,$B7,U$14:U$960)/$E7)</f>
        <v>144.6476683937824</v>
      </c>
      <c r="V7" s="44">
        <f>IF(E7=0,"",SUMIF($B$14:$B$960,$B7,V$14:V$960)/$E7)</f>
        <v>259.77202072538859</v>
      </c>
      <c r="W7" s="50">
        <f>IF(E7=0,"",SUMIF($B$14:$B$960,$B7,W$14:W$960)/$E7)</f>
        <v>1.7649268043298201</v>
      </c>
      <c r="X7" s="42">
        <f>IF(E7=0,"",SUMIF($B$14:$B$960,$B7,X$14:X$960)/$E7)</f>
        <v>1211.8549222797928</v>
      </c>
      <c r="Y7" s="43">
        <f>IF(E7=0,"",SUMIF($B$14:$B$960,$B7,Y$14:Y$960)/$E7)</f>
        <v>1156.9170984455959</v>
      </c>
      <c r="Z7" s="43">
        <f>IF(E7=0,"",SUMIF($B$14:$B$960,$B7,Z$14:Z$960)/$E7)</f>
        <v>594.64248704663214</v>
      </c>
      <c r="AA7" s="44">
        <f>IF(E7=0,"",SUMIF($B$14:$B$960,$B7,AA$14:AA$960)/$E7)</f>
        <v>2963.4145077720209</v>
      </c>
      <c r="AB7" s="50">
        <f>IF(E7=0,"",SUMIF($B$14:$B$960,$B7,AB$14:AB$960)/$E7)</f>
        <v>20.138160140576112</v>
      </c>
      <c r="AC7" s="26">
        <f>IF(E7=0,"",SUMIF($B$14:$B$960,$B7,AC$14:AC$960)/$E7)</f>
        <v>3223.1865284974092</v>
      </c>
      <c r="AD7" s="27">
        <f>IF(E7=0,"",SUMIF($B$14:$B$960,$B7,AD$14:AD$960)/$E7)</f>
        <v>21.903086944905937</v>
      </c>
      <c r="AE7" s="51">
        <f>IF(E7=0,"",SUMIF($B$14:$B$960,$B7,AE$14:AE$960)/$E7)</f>
        <v>18.015544041450777</v>
      </c>
      <c r="AF7" s="52">
        <f>IF(E7=0,"",SUMIF($B$14:$B$960,$B7,AF$14:AF$960)/$E7)</f>
        <v>19.067357512953368</v>
      </c>
      <c r="AG7" s="52">
        <f>IF(E7=0,"",SUMIF($B$14:$B$960,$B7,AG$14:AG$960)/$E7)</f>
        <v>0.21243523316062177</v>
      </c>
      <c r="AH7" s="53">
        <f>IF(E7=0,"",SUMIF($B$14:$B$960,$B7,AH$14:AH$960)/$E7)</f>
        <v>37.295336787564764</v>
      </c>
      <c r="AI7" s="50">
        <f>IF(E7=0,"",SUMIF($B$14:$B$960,$B7,AI$14:AI$960)/$E7)</f>
        <v>0.25357061237716</v>
      </c>
    </row>
    <row r="8" spans="1:37" s="68" customFormat="1" ht="14.25" hidden="1" customHeight="1">
      <c r="A8" s="162"/>
      <c r="B8" s="1273" t="s">
        <v>83</v>
      </c>
      <c r="C8" s="1274"/>
      <c r="D8" s="1274"/>
      <c r="E8" s="54">
        <f>COUNTIF(C$14:C$789,"A")</f>
        <v>385</v>
      </c>
      <c r="F8" s="55">
        <f>IF($E$8=0,"",SUMIF($C$14:$C$960,"A",F14:F960)/$E$8)</f>
        <v>14.924675324675325</v>
      </c>
      <c r="G8" s="56">
        <f>IF($E$8=0,"",SUMIF($C$14:$C$960, "A", G14:G960)/$E$8)</f>
        <v>17353.400503006436</v>
      </c>
      <c r="H8" s="56">
        <f t="shared" si="0"/>
        <v>0</v>
      </c>
      <c r="I8" s="56">
        <f>IF($E$8=0,"",SUMIF($C$14:$C$960, "A", I14:I960)/$E$8)</f>
        <v>14748.493506493507</v>
      </c>
      <c r="J8" s="56">
        <f>IF($E$8=0,"",SUMIF($C$14:$C$960,"A",J14:J960)/$E$8)</f>
        <v>6.2727272727272725</v>
      </c>
      <c r="K8" s="56">
        <f t="shared" ref="K8:Q8" si="1">IF($E$8=0,"",SUMIF($C$14:$C$960, "A", K14:K960)/$E$8)</f>
        <v>7913.5064935064938</v>
      </c>
      <c r="L8" s="57">
        <f t="shared" si="1"/>
        <v>33.724675324675324</v>
      </c>
      <c r="M8" s="58">
        <f t="shared" si="1"/>
        <v>40015.400503006436</v>
      </c>
      <c r="N8" s="59" t="e">
        <f t="shared" si="1"/>
        <v>#DIV/0!</v>
      </c>
      <c r="O8" s="60">
        <f t="shared" si="1"/>
        <v>100.21006101726533</v>
      </c>
      <c r="P8" s="60">
        <f t="shared" si="1"/>
        <v>53.922050108941598</v>
      </c>
      <c r="Q8" s="61">
        <f t="shared" si="1"/>
        <v>270.63090117060057</v>
      </c>
      <c r="R8" s="62">
        <f>IF($E$8=0,"",SUMIF($C$14:$C$960,"A",R14:R960)/$E$8)</f>
        <v>107.01558441558434</v>
      </c>
      <c r="S8" s="55">
        <f t="shared" ref="S8:AI8" si="2">IF($E$8=0,"",SUMIF($C$14:$C$960, "A", S14:S960)/$E$8)</f>
        <v>0</v>
      </c>
      <c r="T8" s="56">
        <f t="shared" si="2"/>
        <v>109.31688311688312</v>
      </c>
      <c r="U8" s="56">
        <f t="shared" si="2"/>
        <v>161.15064935064936</v>
      </c>
      <c r="V8" s="57">
        <f t="shared" si="2"/>
        <v>270.46753246753246</v>
      </c>
      <c r="W8" s="63">
        <f t="shared" si="2"/>
        <v>1.8400969678128123</v>
      </c>
      <c r="X8" s="55">
        <f t="shared" si="2"/>
        <v>1251.5532467532466</v>
      </c>
      <c r="Y8" s="56">
        <f t="shared" si="2"/>
        <v>1168.5454545454545</v>
      </c>
      <c r="Z8" s="56">
        <f t="shared" si="2"/>
        <v>627.21298701298701</v>
      </c>
      <c r="AA8" s="57">
        <f t="shared" si="2"/>
        <v>3047.3116883116882</v>
      </c>
      <c r="AB8" s="63">
        <f t="shared" si="2"/>
        <v>20.727763469324739</v>
      </c>
      <c r="AC8" s="64">
        <f t="shared" si="2"/>
        <v>3317.7792207792209</v>
      </c>
      <c r="AD8" s="65">
        <f t="shared" si="2"/>
        <v>22.567860437137547</v>
      </c>
      <c r="AE8" s="66">
        <f t="shared" si="2"/>
        <v>18.358441558441559</v>
      </c>
      <c r="AF8" s="60">
        <f t="shared" si="2"/>
        <v>18.753246753246753</v>
      </c>
      <c r="AG8" s="60">
        <f t="shared" si="2"/>
        <v>0.2805194805194805</v>
      </c>
      <c r="AH8" s="67">
        <f t="shared" si="2"/>
        <v>37.392207792207792</v>
      </c>
      <c r="AI8" s="63">
        <f t="shared" si="2"/>
        <v>0.25433921920725916</v>
      </c>
    </row>
    <row r="9" spans="1:37" s="68" customFormat="1" ht="14.25" hidden="1" customHeight="1" thickBot="1">
      <c r="A9" s="162"/>
      <c r="B9" s="1260" t="s">
        <v>84</v>
      </c>
      <c r="C9" s="1261"/>
      <c r="D9" s="1261"/>
      <c r="E9" s="69">
        <f>COUNTIF(C$14:C$789,"B")</f>
        <v>379</v>
      </c>
      <c r="F9" s="70">
        <f>IF($E$9=0,"",SUMIF($C$14:$C$960,"B",F14:F960)/$E$9)</f>
        <v>15.021108179419524</v>
      </c>
      <c r="G9" s="71">
        <f>IF($E$9=0,"",SUMIF($C$14:$C$960,"B",G14:G960)/$E$9)</f>
        <v>17092.554893280787</v>
      </c>
      <c r="H9" s="71">
        <f t="shared" si="0"/>
        <v>0</v>
      </c>
      <c r="I9" s="71">
        <f>IF($E$9=0,"",SUMIF($C$14:$C$960,"B",I14:I960)/$E$9)</f>
        <v>14660.158311345647</v>
      </c>
      <c r="J9" s="71">
        <f>IF($E$9=0,"",SUMIF($C$14:$C$960,"B",J14:J960)/$E$9)</f>
        <v>5.891820580474934</v>
      </c>
      <c r="K9" s="71">
        <f>IF($E$9=0,"",SUMIF($C$14:$C$960,"B",K14:K960)/$E$9)</f>
        <v>7517.4142480211085</v>
      </c>
      <c r="L9" s="72">
        <f>IF($E$9=0,"",SUMIF($C$14:$C$960, "B", L14:L960)/$E$9)</f>
        <v>33.385224274406333</v>
      </c>
      <c r="M9" s="73">
        <f t="shared" ref="M9:AB9" si="3">IF($E$9=0,"",SUMIF($C$14:$C$960,"B",M14:M960)/$E$9)</f>
        <v>39270.127452647546</v>
      </c>
      <c r="N9" s="74" t="e">
        <f t="shared" si="3"/>
        <v>#DIV/0!</v>
      </c>
      <c r="O9" s="75">
        <f t="shared" si="3"/>
        <v>99.730467014101777</v>
      </c>
      <c r="P9" s="75">
        <f t="shared" si="3"/>
        <v>51.385477026876359</v>
      </c>
      <c r="Q9" s="76">
        <f t="shared" si="3"/>
        <v>267.7287941129141</v>
      </c>
      <c r="R9" s="77">
        <f t="shared" si="3"/>
        <v>106.10448548812663</v>
      </c>
      <c r="S9" s="70">
        <f t="shared" si="3"/>
        <v>0.34036939313984171</v>
      </c>
      <c r="T9" s="71">
        <f t="shared" si="3"/>
        <v>107.78100263852242</v>
      </c>
      <c r="U9" s="71">
        <f t="shared" si="3"/>
        <v>154.89182058047493</v>
      </c>
      <c r="V9" s="78">
        <f t="shared" si="3"/>
        <v>263.01319261213717</v>
      </c>
      <c r="W9" s="79">
        <f t="shared" si="3"/>
        <v>1.7935776557631409</v>
      </c>
      <c r="X9" s="70">
        <f t="shared" si="3"/>
        <v>1247.4749340369392</v>
      </c>
      <c r="Y9" s="71">
        <f t="shared" si="3"/>
        <v>1160.0501319261214</v>
      </c>
      <c r="Z9" s="71">
        <f t="shared" si="3"/>
        <v>593.98944591029021</v>
      </c>
      <c r="AA9" s="78">
        <f t="shared" si="3"/>
        <v>3001.5145118733508</v>
      </c>
      <c r="AB9" s="80">
        <f t="shared" si="3"/>
        <v>20.466110104185816</v>
      </c>
      <c r="AC9" s="81">
        <f>IF($E$9=0,"",SUMIF($C$14:$C$960, "B", AC14:AC960)/$E$9)</f>
        <v>3264.5277044854879</v>
      </c>
      <c r="AD9" s="82">
        <f>IF($E$9=0,"",SUMIF($C$14:$C$960, "B", AD14:AD960)/$E$9)</f>
        <v>22.259687759948978</v>
      </c>
      <c r="AE9" s="83">
        <f>IF($E$9=0,"",SUMIF($C$14:$C$960,"B",AE14:AE960)/$E$9)</f>
        <v>18.477572559366756</v>
      </c>
      <c r="AF9" s="84">
        <f>IF($E$9=0,"",SUMIF($C$14:$C$960,"B",AF14:AF960)/$E$9)</f>
        <v>19.002638522427439</v>
      </c>
      <c r="AG9" s="84">
        <f>IF($E$9=0,"",SUMIF($C$14:$C$960,"B",AG14:AG960)/$E$9)</f>
        <v>6.0686015831134567E-2</v>
      </c>
      <c r="AH9" s="85">
        <f>IF($E$9=0,"",SUMIF($C$14:$C$960,"B",AH14:AH960)/$E$9)</f>
        <v>37.540897097625333</v>
      </c>
      <c r="AI9" s="80">
        <f>IF($E$9=0,"",SUMIF($C$14:$C$960,"B",AI14:AI960)/$E$9)</f>
        <v>0.25599785341627523</v>
      </c>
    </row>
    <row r="10" spans="1:37" s="104" customFormat="1" ht="14.25" hidden="1" customHeight="1" thickBot="1">
      <c r="A10" s="162"/>
      <c r="B10" s="1275" t="s">
        <v>85</v>
      </c>
      <c r="C10" s="1276"/>
      <c r="D10" s="1276"/>
      <c r="E10" s="86">
        <f>E8+E9</f>
        <v>764</v>
      </c>
      <c r="F10" s="87">
        <f t="shared" ref="F10:Q10" si="4">IF(F14="","",AVERAGE(F14:F960))</f>
        <v>20.647482014388491</v>
      </c>
      <c r="G10" s="88">
        <f t="shared" si="4"/>
        <v>23375.905241627443</v>
      </c>
      <c r="H10" s="88">
        <f t="shared" si="4"/>
        <v>17.239208633093526</v>
      </c>
      <c r="I10" s="88">
        <f t="shared" si="4"/>
        <v>20279.98201438849</v>
      </c>
      <c r="J10" s="88">
        <f t="shared" si="4"/>
        <v>8.3938848920863318</v>
      </c>
      <c r="K10" s="88">
        <f t="shared" si="4"/>
        <v>10647.48201438849</v>
      </c>
      <c r="L10" s="89">
        <f t="shared" si="4"/>
        <v>45.382716049382715</v>
      </c>
      <c r="M10" s="90">
        <f t="shared" si="4"/>
        <v>53713.087452669424</v>
      </c>
      <c r="N10" s="91" t="e">
        <f t="shared" si="4"/>
        <v>#DIV/0!</v>
      </c>
      <c r="O10" s="92">
        <f t="shared" si="4"/>
        <v>137.87901496364509</v>
      </c>
      <c r="P10" s="92">
        <f t="shared" si="4"/>
        <v>72.662480220073959</v>
      </c>
      <c r="Q10" s="93">
        <f t="shared" si="4"/>
        <v>371.275071202373</v>
      </c>
      <c r="R10" s="94">
        <f>IF(E10="","",AVERAGE(R14:R960))</f>
        <v>146.95593525179859</v>
      </c>
      <c r="S10" s="95">
        <f t="shared" ref="S10:AI10" si="5">IF(S14="","",AVERAGE(S14:S960))</f>
        <v>0.23201438848920863</v>
      </c>
      <c r="T10" s="95">
        <f t="shared" si="5"/>
        <v>149.86330935251797</v>
      </c>
      <c r="U10" s="96">
        <f t="shared" si="5"/>
        <v>217.68884892086331</v>
      </c>
      <c r="V10" s="89">
        <f t="shared" si="5"/>
        <v>367.78417266187051</v>
      </c>
      <c r="W10" s="97">
        <f t="shared" si="5"/>
        <v>2.5050701456089919</v>
      </c>
      <c r="X10" s="95">
        <f t="shared" si="5"/>
        <v>1723.0395683453237</v>
      </c>
      <c r="Y10" s="96">
        <f t="shared" si="5"/>
        <v>1605.6978417266187</v>
      </c>
      <c r="Z10" s="96">
        <f t="shared" si="5"/>
        <v>842.08633093525179</v>
      </c>
      <c r="AA10" s="89">
        <f t="shared" si="5"/>
        <v>4170.8237410071943</v>
      </c>
      <c r="AB10" s="98">
        <f t="shared" si="5"/>
        <v>28.404252019075667</v>
      </c>
      <c r="AC10" s="99">
        <f t="shared" si="5"/>
        <v>4538.6079136690651</v>
      </c>
      <c r="AD10" s="100">
        <f t="shared" si="5"/>
        <v>30.909322164684657</v>
      </c>
      <c r="AE10" s="101">
        <f t="shared" si="5"/>
        <v>25.39568345323741</v>
      </c>
      <c r="AF10" s="102">
        <f t="shared" si="5"/>
        <v>26.023381294964029</v>
      </c>
      <c r="AG10" s="102">
        <f t="shared" si="5"/>
        <v>0.23561151079136691</v>
      </c>
      <c r="AH10" s="103">
        <f t="shared" si="5"/>
        <v>51.654676258992808</v>
      </c>
      <c r="AI10" s="98">
        <f t="shared" si="5"/>
        <v>0.35179734692397324</v>
      </c>
    </row>
    <row r="11" spans="1:37" ht="5.25" customHeight="1" thickBot="1">
      <c r="A11" s="162"/>
      <c r="B11" s="163"/>
      <c r="C11" s="163"/>
      <c r="D11" s="163"/>
      <c r="E11" s="163"/>
      <c r="F11" s="164"/>
      <c r="G11" s="164"/>
      <c r="H11" s="165"/>
      <c r="I11" s="165"/>
      <c r="J11" s="165"/>
      <c r="K11" s="165"/>
      <c r="L11" s="166"/>
      <c r="M11" s="167"/>
      <c r="N11" s="154"/>
      <c r="O11" s="168"/>
      <c r="P11" s="154"/>
      <c r="Q11" s="168"/>
      <c r="R11" s="154"/>
      <c r="S11" s="168"/>
      <c r="T11" s="154"/>
      <c r="U11" s="168"/>
      <c r="V11" s="169"/>
      <c r="W11" s="170"/>
      <c r="X11" s="170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05"/>
      <c r="AK11" s="105"/>
    </row>
    <row r="12" spans="1:37" s="106" customFormat="1" ht="13.5" customHeight="1">
      <c r="A12" s="1277" t="s">
        <v>30</v>
      </c>
      <c r="B12" s="1279" t="s">
        <v>86</v>
      </c>
      <c r="C12" s="1279" t="s">
        <v>39</v>
      </c>
      <c r="D12" s="1281" t="s">
        <v>87</v>
      </c>
      <c r="E12" s="1303" t="s">
        <v>88</v>
      </c>
      <c r="F12" s="1293" t="s">
        <v>70</v>
      </c>
      <c r="G12" s="1294"/>
      <c r="H12" s="1295" t="s">
        <v>43</v>
      </c>
      <c r="I12" s="1295"/>
      <c r="J12" s="1295" t="s">
        <v>71</v>
      </c>
      <c r="K12" s="1295"/>
      <c r="L12" s="1296" t="s">
        <v>72</v>
      </c>
      <c r="M12" s="1297"/>
      <c r="N12" s="1298" t="s">
        <v>73</v>
      </c>
      <c r="O12" s="1299"/>
      <c r="P12" s="1299"/>
      <c r="Q12" s="1300"/>
      <c r="R12" s="1301" t="s">
        <v>47</v>
      </c>
      <c r="S12" s="1293" t="s">
        <v>75</v>
      </c>
      <c r="T12" s="1305"/>
      <c r="U12" s="1305"/>
      <c r="V12" s="1305"/>
      <c r="W12" s="1306"/>
      <c r="X12" s="1285" t="s">
        <v>76</v>
      </c>
      <c r="Y12" s="1286"/>
      <c r="Z12" s="1286"/>
      <c r="AA12" s="1286"/>
      <c r="AB12" s="1287"/>
      <c r="AC12" s="1283" t="s">
        <v>77</v>
      </c>
      <c r="AD12" s="1284"/>
      <c r="AE12" s="1285" t="s">
        <v>78</v>
      </c>
      <c r="AF12" s="1286"/>
      <c r="AG12" s="1286"/>
      <c r="AH12" s="1286"/>
      <c r="AI12" s="1287"/>
    </row>
    <row r="13" spans="1:37" s="106" customFormat="1" ht="14.25" customHeight="1" thickBot="1">
      <c r="A13" s="1278"/>
      <c r="B13" s="1280"/>
      <c r="C13" s="1280"/>
      <c r="D13" s="1282"/>
      <c r="E13" s="1304"/>
      <c r="F13" s="107" t="s">
        <v>79</v>
      </c>
      <c r="G13" s="108" t="s">
        <v>80</v>
      </c>
      <c r="H13" s="109" t="s">
        <v>79</v>
      </c>
      <c r="I13" s="108" t="s">
        <v>80</v>
      </c>
      <c r="J13" s="109" t="s">
        <v>79</v>
      </c>
      <c r="K13" s="108" t="s">
        <v>80</v>
      </c>
      <c r="L13" s="110" t="s">
        <v>79</v>
      </c>
      <c r="M13" s="111" t="s">
        <v>80</v>
      </c>
      <c r="N13" s="112" t="s">
        <v>70</v>
      </c>
      <c r="O13" s="113" t="s">
        <v>43</v>
      </c>
      <c r="P13" s="113" t="s">
        <v>71</v>
      </c>
      <c r="Q13" s="114" t="s">
        <v>72</v>
      </c>
      <c r="R13" s="1302"/>
      <c r="S13" s="115" t="s">
        <v>70</v>
      </c>
      <c r="T13" s="116" t="s">
        <v>43</v>
      </c>
      <c r="U13" s="116" t="s">
        <v>71</v>
      </c>
      <c r="V13" s="117" t="s">
        <v>72</v>
      </c>
      <c r="W13" s="114" t="s">
        <v>73</v>
      </c>
      <c r="X13" s="115" t="s">
        <v>70</v>
      </c>
      <c r="Y13" s="116" t="s">
        <v>43</v>
      </c>
      <c r="Z13" s="116" t="s">
        <v>71</v>
      </c>
      <c r="AA13" s="117" t="s">
        <v>72</v>
      </c>
      <c r="AB13" s="114" t="s">
        <v>73</v>
      </c>
      <c r="AC13" s="118" t="s">
        <v>90</v>
      </c>
      <c r="AD13" s="119" t="s">
        <v>91</v>
      </c>
      <c r="AE13" s="120" t="s">
        <v>70</v>
      </c>
      <c r="AF13" s="116" t="s">
        <v>43</v>
      </c>
      <c r="AG13" s="116" t="s">
        <v>71</v>
      </c>
      <c r="AH13" s="117" t="s">
        <v>72</v>
      </c>
      <c r="AI13" s="114" t="s">
        <v>73</v>
      </c>
    </row>
    <row r="14" spans="1:37">
      <c r="A14" s="171" t="e">
        <f>IF('09월 조업일지'!#REF!="","",'09월 조업일지'!#REF!)</f>
        <v>#REF!</v>
      </c>
      <c r="B14" s="172" t="e">
        <f>'09월 조업일지'!#REF!</f>
        <v>#REF!</v>
      </c>
      <c r="C14" s="172" t="e">
        <f>'09월 조업일지'!#REF!</f>
        <v>#REF!</v>
      </c>
      <c r="D14" s="172" t="e">
        <f>'09월 화학성분'!#REF!</f>
        <v>#REF!</v>
      </c>
      <c r="E14" s="205" t="s">
        <v>329</v>
      </c>
      <c r="F14" s="121">
        <v>21</v>
      </c>
      <c r="G14" s="122">
        <v>23400</v>
      </c>
      <c r="H14" s="123">
        <v>17</v>
      </c>
      <c r="I14" s="122">
        <v>20800</v>
      </c>
      <c r="J14" s="123">
        <v>10</v>
      </c>
      <c r="K14" s="122">
        <v>12500</v>
      </c>
      <c r="L14" s="124">
        <f t="shared" ref="L14:M29" si="6">IF(ISBLANK(F14),"",SUM(F14,H14,J14))</f>
        <v>48</v>
      </c>
      <c r="M14" s="125">
        <f t="shared" si="6"/>
        <v>56700</v>
      </c>
      <c r="N14" s="126">
        <f t="shared" ref="N14:N77" si="7">IF(ISBLANK(G14),"",G14/R14)</f>
        <v>160.05471956224352</v>
      </c>
      <c r="O14" s="127">
        <f t="shared" ref="O14:O77" si="8">IF(ISBLANK(I14),"",+I14/R14)</f>
        <v>142.27086183310536</v>
      </c>
      <c r="P14" s="127">
        <f t="shared" ref="P14:P77" si="9">IF(ISBLANK(K14),"",K14/R14)</f>
        <v>85.499316005471968</v>
      </c>
      <c r="Q14" s="128">
        <f t="shared" ref="Q14:Q77" si="10">IF(ISBLANK(K14),"",SUM(N14:P14))</f>
        <v>387.82489740082087</v>
      </c>
      <c r="R14" s="129">
        <v>146.19999999999999</v>
      </c>
      <c r="S14" s="130">
        <v>0</v>
      </c>
      <c r="T14" s="131">
        <v>197</v>
      </c>
      <c r="U14" s="131">
        <v>133</v>
      </c>
      <c r="V14" s="132">
        <f t="shared" ref="V14:V77" si="11">IF(SUM(S14:U14)=0,"",SUM(S14:U14))</f>
        <v>330</v>
      </c>
      <c r="W14" s="133">
        <f t="shared" ref="W14:W77" si="12">IF(V14="","",V14/R14)</f>
        <v>2.2571819425444599</v>
      </c>
      <c r="X14" s="130">
        <v>1646</v>
      </c>
      <c r="Y14" s="131">
        <v>1615</v>
      </c>
      <c r="Z14" s="131">
        <v>945</v>
      </c>
      <c r="AA14" s="132">
        <f t="shared" ref="AA14:AA77" si="13">IF(SUM(X14:Z14)=0,"",SUM(X14:Z14))</f>
        <v>4206</v>
      </c>
      <c r="AB14" s="133">
        <f t="shared" ref="AB14:AB77" si="14">IF(AA14="","",AA14/R14)</f>
        <v>28.768809849521205</v>
      </c>
      <c r="AC14" s="134">
        <f t="shared" ref="AC14:AC77" si="15">IF(SUM(V14,AA14)=0,"",SUM(V14,AA14))</f>
        <v>4536</v>
      </c>
      <c r="AD14" s="135">
        <f t="shared" ref="AD14:AD77" si="16">IF(AC14="","",AC14/R14)</f>
        <v>31.025991792065668</v>
      </c>
      <c r="AE14" s="136">
        <v>26</v>
      </c>
      <c r="AF14" s="137">
        <v>23</v>
      </c>
      <c r="AG14" s="137">
        <v>0</v>
      </c>
      <c r="AH14" s="138">
        <f t="shared" ref="AH14:AH77" si="17">IF(SUM(AE14:AG14)=0,"",SUM(AE14:AG14))</f>
        <v>49</v>
      </c>
      <c r="AI14" s="133">
        <f t="shared" ref="AI14:AI77" si="18">IF(AH14="","",AH14/R14)</f>
        <v>0.33515731874145011</v>
      </c>
    </row>
    <row r="15" spans="1:37">
      <c r="A15" s="171">
        <f>IF('09월 조업일지'!A12="","",'09월 조업일지'!A12)</f>
        <v>46266</v>
      </c>
      <c r="B15" s="172" t="str">
        <f>'09월 조업일지'!E12</f>
        <v>D</v>
      </c>
      <c r="C15" s="172" t="str">
        <f>'09월 조업일지'!F12</f>
        <v>B</v>
      </c>
      <c r="D15" s="172">
        <f>'09월 화학성분'!C12</f>
        <v>85214</v>
      </c>
      <c r="E15" s="205" t="str">
        <f t="shared" ref="E15:E78" si="19">IF(F15="","",E14)</f>
        <v>SS400-1</v>
      </c>
      <c r="F15" s="121">
        <v>21</v>
      </c>
      <c r="G15" s="122">
        <v>23600</v>
      </c>
      <c r="H15" s="123">
        <v>17</v>
      </c>
      <c r="I15" s="122">
        <v>20600</v>
      </c>
      <c r="J15" s="123">
        <v>9</v>
      </c>
      <c r="K15" s="122">
        <v>11300</v>
      </c>
      <c r="L15" s="124">
        <f t="shared" si="6"/>
        <v>47</v>
      </c>
      <c r="M15" s="125">
        <f t="shared" si="6"/>
        <v>55500</v>
      </c>
      <c r="N15" s="126">
        <f t="shared" si="7"/>
        <v>162.87094547964114</v>
      </c>
      <c r="O15" s="127">
        <f t="shared" si="8"/>
        <v>142.16701173222913</v>
      </c>
      <c r="P15" s="127">
        <f t="shared" si="9"/>
        <v>77.9848171152519</v>
      </c>
      <c r="Q15" s="128">
        <f t="shared" si="10"/>
        <v>383.02277432712219</v>
      </c>
      <c r="R15" s="129">
        <v>144.9</v>
      </c>
      <c r="S15" s="130">
        <v>0</v>
      </c>
      <c r="T15" s="131">
        <v>185</v>
      </c>
      <c r="U15" s="131">
        <v>150</v>
      </c>
      <c r="V15" s="132">
        <f t="shared" si="11"/>
        <v>335</v>
      </c>
      <c r="W15" s="133">
        <f t="shared" si="12"/>
        <v>2.3119392684610074</v>
      </c>
      <c r="X15" s="130">
        <v>1603</v>
      </c>
      <c r="Y15" s="131">
        <v>1578</v>
      </c>
      <c r="Z15" s="131">
        <v>1014</v>
      </c>
      <c r="AA15" s="132">
        <f t="shared" si="13"/>
        <v>4195</v>
      </c>
      <c r="AB15" s="133">
        <f t="shared" si="14"/>
        <v>28.951000690131124</v>
      </c>
      <c r="AC15" s="134">
        <f t="shared" si="15"/>
        <v>4530</v>
      </c>
      <c r="AD15" s="135">
        <f t="shared" si="16"/>
        <v>31.262939958592131</v>
      </c>
      <c r="AE15" s="136">
        <v>24</v>
      </c>
      <c r="AF15" s="137">
        <v>28</v>
      </c>
      <c r="AG15" s="137">
        <v>0</v>
      </c>
      <c r="AH15" s="138">
        <f t="shared" si="17"/>
        <v>52</v>
      </c>
      <c r="AI15" s="133">
        <f t="shared" si="18"/>
        <v>0.35886818495514144</v>
      </c>
    </row>
    <row r="16" spans="1:37">
      <c r="A16" s="171">
        <f>IF('09월 조업일지'!A13="","",'09월 조업일지'!A13)</f>
        <v>46266</v>
      </c>
      <c r="B16" s="172" t="str">
        <f>'09월 조업일지'!E13</f>
        <v>D</v>
      </c>
      <c r="C16" s="172" t="str">
        <f>'09월 조업일지'!F13</f>
        <v>A</v>
      </c>
      <c r="D16" s="172">
        <f>'09월 화학성분'!C13</f>
        <v>85215</v>
      </c>
      <c r="E16" s="205" t="str">
        <f t="shared" si="19"/>
        <v>SS400-1</v>
      </c>
      <c r="F16" s="121">
        <v>20</v>
      </c>
      <c r="G16" s="122">
        <v>23300</v>
      </c>
      <c r="H16" s="123">
        <v>16</v>
      </c>
      <c r="I16" s="122">
        <v>20400</v>
      </c>
      <c r="J16" s="123">
        <v>10</v>
      </c>
      <c r="K16" s="122">
        <v>12900</v>
      </c>
      <c r="L16" s="124">
        <f t="shared" si="6"/>
        <v>46</v>
      </c>
      <c r="M16" s="125">
        <f t="shared" si="6"/>
        <v>56600</v>
      </c>
      <c r="N16" s="126">
        <f t="shared" si="7"/>
        <v>159.58904109589042</v>
      </c>
      <c r="O16" s="127">
        <f t="shared" si="8"/>
        <v>139.72602739726028</v>
      </c>
      <c r="P16" s="127">
        <f t="shared" si="9"/>
        <v>88.356164383561648</v>
      </c>
      <c r="Q16" s="128">
        <f t="shared" si="10"/>
        <v>387.67123287671234</v>
      </c>
      <c r="R16" s="129">
        <v>146</v>
      </c>
      <c r="S16" s="130">
        <v>0</v>
      </c>
      <c r="T16" s="131">
        <v>207</v>
      </c>
      <c r="U16" s="131">
        <v>117</v>
      </c>
      <c r="V16" s="132">
        <f t="shared" si="11"/>
        <v>324</v>
      </c>
      <c r="W16" s="133">
        <f t="shared" si="12"/>
        <v>2.2191780821917808</v>
      </c>
      <c r="X16" s="130">
        <v>1654</v>
      </c>
      <c r="Y16" s="131">
        <v>1563</v>
      </c>
      <c r="Z16" s="131">
        <v>1119</v>
      </c>
      <c r="AA16" s="132">
        <f t="shared" si="13"/>
        <v>4336</v>
      </c>
      <c r="AB16" s="133">
        <f t="shared" si="14"/>
        <v>29.698630136986303</v>
      </c>
      <c r="AC16" s="134">
        <f t="shared" si="15"/>
        <v>4660</v>
      </c>
      <c r="AD16" s="135">
        <f t="shared" si="16"/>
        <v>31.917808219178081</v>
      </c>
      <c r="AE16" s="136">
        <v>25</v>
      </c>
      <c r="AF16" s="137">
        <v>23</v>
      </c>
      <c r="AG16" s="137">
        <v>0</v>
      </c>
      <c r="AH16" s="138">
        <f t="shared" si="17"/>
        <v>48</v>
      </c>
      <c r="AI16" s="133">
        <f t="shared" si="18"/>
        <v>0.32876712328767121</v>
      </c>
    </row>
    <row r="17" spans="1:35">
      <c r="A17" s="171">
        <f>IF('09월 조업일지'!A14="","",'09월 조업일지'!A14)</f>
        <v>46266</v>
      </c>
      <c r="B17" s="172" t="str">
        <f>'09월 조업일지'!E14</f>
        <v>D</v>
      </c>
      <c r="C17" s="172" t="str">
        <f>'09월 조업일지'!F14</f>
        <v>B</v>
      </c>
      <c r="D17" s="172">
        <f>'09월 화학성분'!C14</f>
        <v>85216</v>
      </c>
      <c r="E17" s="205" t="str">
        <f t="shared" si="19"/>
        <v>SS400-1</v>
      </c>
      <c r="F17" s="121">
        <v>21</v>
      </c>
      <c r="G17" s="122">
        <v>23300</v>
      </c>
      <c r="H17" s="123">
        <v>17</v>
      </c>
      <c r="I17" s="122">
        <v>20600</v>
      </c>
      <c r="J17" s="123">
        <v>8</v>
      </c>
      <c r="K17" s="122">
        <v>10300</v>
      </c>
      <c r="L17" s="124">
        <f t="shared" si="6"/>
        <v>46</v>
      </c>
      <c r="M17" s="125">
        <f t="shared" si="6"/>
        <v>54200</v>
      </c>
      <c r="N17" s="126">
        <f t="shared" si="7"/>
        <v>159.37072503419975</v>
      </c>
      <c r="O17" s="127">
        <f t="shared" si="8"/>
        <v>140.90287277701779</v>
      </c>
      <c r="P17" s="127">
        <f t="shared" si="9"/>
        <v>70.451436388508895</v>
      </c>
      <c r="Q17" s="128">
        <f t="shared" si="10"/>
        <v>370.72503419972645</v>
      </c>
      <c r="R17" s="129">
        <v>146.19999999999999</v>
      </c>
      <c r="S17" s="130">
        <v>0</v>
      </c>
      <c r="T17" s="131">
        <v>195</v>
      </c>
      <c r="U17" s="131">
        <v>145</v>
      </c>
      <c r="V17" s="132">
        <f t="shared" si="11"/>
        <v>340</v>
      </c>
      <c r="W17" s="133">
        <f t="shared" si="12"/>
        <v>2.3255813953488373</v>
      </c>
      <c r="X17" s="130">
        <v>1616</v>
      </c>
      <c r="Y17" s="131">
        <v>1591</v>
      </c>
      <c r="Z17" s="131">
        <v>739</v>
      </c>
      <c r="AA17" s="132">
        <f t="shared" si="13"/>
        <v>3946</v>
      </c>
      <c r="AB17" s="133">
        <f t="shared" si="14"/>
        <v>26.99042407660739</v>
      </c>
      <c r="AC17" s="134">
        <f t="shared" si="15"/>
        <v>4286</v>
      </c>
      <c r="AD17" s="135">
        <f t="shared" si="16"/>
        <v>29.316005471956228</v>
      </c>
      <c r="AE17" s="136">
        <v>26</v>
      </c>
      <c r="AF17" s="137">
        <v>30</v>
      </c>
      <c r="AG17" s="137">
        <v>0</v>
      </c>
      <c r="AH17" s="138">
        <f t="shared" si="17"/>
        <v>56</v>
      </c>
      <c r="AI17" s="133">
        <f t="shared" si="18"/>
        <v>0.38303693570451441</v>
      </c>
    </row>
    <row r="18" spans="1:35">
      <c r="A18" s="171">
        <f>IF('09월 조업일지'!A15="","",'09월 조업일지'!A15)</f>
        <v>46266</v>
      </c>
      <c r="B18" s="172" t="str">
        <f>'09월 조업일지'!E15</f>
        <v>D</v>
      </c>
      <c r="C18" s="172" t="str">
        <f>'09월 조업일지'!F15</f>
        <v>A</v>
      </c>
      <c r="D18" s="172">
        <f>'09월 화학성분'!C15</f>
        <v>85217</v>
      </c>
      <c r="E18" s="205" t="str">
        <f t="shared" si="19"/>
        <v>SS400-1</v>
      </c>
      <c r="F18" s="121">
        <v>19</v>
      </c>
      <c r="G18" s="122">
        <v>23400</v>
      </c>
      <c r="H18" s="123">
        <v>18</v>
      </c>
      <c r="I18" s="122">
        <v>20700</v>
      </c>
      <c r="J18" s="123">
        <v>9</v>
      </c>
      <c r="K18" s="122">
        <v>10700</v>
      </c>
      <c r="L18" s="124">
        <f t="shared" si="6"/>
        <v>46</v>
      </c>
      <c r="M18" s="125">
        <f t="shared" si="6"/>
        <v>54800</v>
      </c>
      <c r="N18" s="126">
        <f t="shared" si="7"/>
        <v>160.71428571428572</v>
      </c>
      <c r="O18" s="127">
        <f t="shared" si="8"/>
        <v>142.17032967032966</v>
      </c>
      <c r="P18" s="127">
        <f t="shared" si="9"/>
        <v>73.489010989010993</v>
      </c>
      <c r="Q18" s="128">
        <f t="shared" si="10"/>
        <v>376.37362637362634</v>
      </c>
      <c r="R18" s="129">
        <v>145.6</v>
      </c>
      <c r="S18" s="130">
        <v>0</v>
      </c>
      <c r="T18" s="131">
        <v>232</v>
      </c>
      <c r="U18" s="131">
        <v>148</v>
      </c>
      <c r="V18" s="132">
        <f t="shared" si="11"/>
        <v>380</v>
      </c>
      <c r="W18" s="133">
        <f t="shared" si="12"/>
        <v>2.6098901098901099</v>
      </c>
      <c r="X18" s="130">
        <v>1660</v>
      </c>
      <c r="Y18" s="131">
        <v>1581</v>
      </c>
      <c r="Z18" s="131">
        <v>1149</v>
      </c>
      <c r="AA18" s="132">
        <f t="shared" si="13"/>
        <v>4390</v>
      </c>
      <c r="AB18" s="133">
        <f t="shared" si="14"/>
        <v>30.151098901098901</v>
      </c>
      <c r="AC18" s="134">
        <f t="shared" si="15"/>
        <v>4770</v>
      </c>
      <c r="AD18" s="135">
        <f t="shared" si="16"/>
        <v>32.760989010989015</v>
      </c>
      <c r="AE18" s="136">
        <v>23</v>
      </c>
      <c r="AF18" s="137">
        <v>25</v>
      </c>
      <c r="AG18" s="137">
        <v>0</v>
      </c>
      <c r="AH18" s="138">
        <f t="shared" si="17"/>
        <v>48</v>
      </c>
      <c r="AI18" s="133">
        <f t="shared" si="18"/>
        <v>0.32967032967032966</v>
      </c>
    </row>
    <row r="19" spans="1:35">
      <c r="A19" s="171">
        <f>IF('09월 조업일지'!A16="","",'09월 조업일지'!A16)</f>
        <v>46266</v>
      </c>
      <c r="B19" s="172" t="str">
        <f>'09월 조업일지'!E16</f>
        <v>A</v>
      </c>
      <c r="C19" s="172" t="str">
        <f>'09월 조업일지'!F16</f>
        <v>B</v>
      </c>
      <c r="D19" s="172">
        <f>'09월 화학성분'!C16</f>
        <v>85218</v>
      </c>
      <c r="E19" s="205" t="str">
        <f t="shared" si="19"/>
        <v>SS400-1</v>
      </c>
      <c r="F19" s="121">
        <v>22</v>
      </c>
      <c r="G19" s="122">
        <v>23600</v>
      </c>
      <c r="H19" s="123">
        <v>17</v>
      </c>
      <c r="I19" s="122">
        <v>20600</v>
      </c>
      <c r="J19" s="123">
        <v>8</v>
      </c>
      <c r="K19" s="122">
        <v>9800</v>
      </c>
      <c r="L19" s="124">
        <f t="shared" si="6"/>
        <v>47</v>
      </c>
      <c r="M19" s="125">
        <f t="shared" si="6"/>
        <v>54000</v>
      </c>
      <c r="N19" s="126">
        <f t="shared" si="7"/>
        <v>162.08791208791209</v>
      </c>
      <c r="O19" s="127">
        <f t="shared" si="8"/>
        <v>141.4835164835165</v>
      </c>
      <c r="P19" s="127">
        <f t="shared" si="9"/>
        <v>67.307692307692307</v>
      </c>
      <c r="Q19" s="128">
        <f t="shared" si="10"/>
        <v>370.87912087912088</v>
      </c>
      <c r="R19" s="129">
        <v>145.6</v>
      </c>
      <c r="S19" s="130">
        <v>0</v>
      </c>
      <c r="T19" s="131">
        <v>149</v>
      </c>
      <c r="U19" s="131">
        <v>209</v>
      </c>
      <c r="V19" s="132">
        <f t="shared" si="11"/>
        <v>358</v>
      </c>
      <c r="W19" s="133">
        <f t="shared" si="12"/>
        <v>2.4587912087912089</v>
      </c>
      <c r="X19" s="130">
        <v>1767</v>
      </c>
      <c r="Y19" s="131">
        <v>1605</v>
      </c>
      <c r="Z19" s="131">
        <v>812</v>
      </c>
      <c r="AA19" s="132">
        <f t="shared" si="13"/>
        <v>4184</v>
      </c>
      <c r="AB19" s="133">
        <f t="shared" si="14"/>
        <v>28.736263736263737</v>
      </c>
      <c r="AC19" s="134">
        <f t="shared" si="15"/>
        <v>4542</v>
      </c>
      <c r="AD19" s="135">
        <f t="shared" si="16"/>
        <v>31.195054945054945</v>
      </c>
      <c r="AE19" s="136">
        <v>27</v>
      </c>
      <c r="AF19" s="137">
        <v>29</v>
      </c>
      <c r="AG19" s="137">
        <v>0</v>
      </c>
      <c r="AH19" s="138">
        <f t="shared" si="17"/>
        <v>56</v>
      </c>
      <c r="AI19" s="133">
        <f t="shared" si="18"/>
        <v>0.38461538461538464</v>
      </c>
    </row>
    <row r="20" spans="1:35">
      <c r="A20" s="171">
        <f>IF('09월 조업일지'!A17="","",'09월 조업일지'!A17)</f>
        <v>46266</v>
      </c>
      <c r="B20" s="172" t="str">
        <f>'09월 조업일지'!E17</f>
        <v>A</v>
      </c>
      <c r="C20" s="172" t="str">
        <f>'09월 조업일지'!F17</f>
        <v>A</v>
      </c>
      <c r="D20" s="172">
        <f>'09월 화학성분'!C17</f>
        <v>85219</v>
      </c>
      <c r="E20" s="205" t="str">
        <f t="shared" si="19"/>
        <v>SS400-1</v>
      </c>
      <c r="F20" s="121">
        <v>20</v>
      </c>
      <c r="G20" s="122">
        <v>23100</v>
      </c>
      <c r="H20" s="123">
        <v>16</v>
      </c>
      <c r="I20" s="122">
        <v>20500</v>
      </c>
      <c r="J20" s="123">
        <v>6</v>
      </c>
      <c r="K20" s="122">
        <v>7700</v>
      </c>
      <c r="L20" s="124">
        <f t="shared" si="6"/>
        <v>42</v>
      </c>
      <c r="M20" s="125">
        <f t="shared" si="6"/>
        <v>51300</v>
      </c>
      <c r="N20" s="126">
        <f t="shared" si="7"/>
        <v>158.43621399176953</v>
      </c>
      <c r="O20" s="127">
        <f t="shared" si="8"/>
        <v>140.60356652949244</v>
      </c>
      <c r="P20" s="127">
        <f t="shared" si="9"/>
        <v>52.812071330589845</v>
      </c>
      <c r="Q20" s="128">
        <f t="shared" si="10"/>
        <v>351.85185185185179</v>
      </c>
      <c r="R20" s="129">
        <v>145.80000000000001</v>
      </c>
      <c r="S20" s="130">
        <v>0</v>
      </c>
      <c r="T20" s="131">
        <v>187</v>
      </c>
      <c r="U20" s="131">
        <v>123</v>
      </c>
      <c r="V20" s="132">
        <f t="shared" si="11"/>
        <v>310</v>
      </c>
      <c r="W20" s="133">
        <f t="shared" si="12"/>
        <v>2.1262002743484225</v>
      </c>
      <c r="X20" s="130">
        <v>1718</v>
      </c>
      <c r="Y20" s="131">
        <v>1617</v>
      </c>
      <c r="Z20" s="131">
        <v>626</v>
      </c>
      <c r="AA20" s="132">
        <f t="shared" si="13"/>
        <v>3961</v>
      </c>
      <c r="AB20" s="133">
        <f t="shared" si="14"/>
        <v>27.167352537722905</v>
      </c>
      <c r="AC20" s="134">
        <f t="shared" si="15"/>
        <v>4271</v>
      </c>
      <c r="AD20" s="135">
        <f t="shared" si="16"/>
        <v>29.293552812071329</v>
      </c>
      <c r="AE20" s="136">
        <v>26</v>
      </c>
      <c r="AF20" s="137">
        <v>27</v>
      </c>
      <c r="AG20" s="137">
        <v>0</v>
      </c>
      <c r="AH20" s="138">
        <f t="shared" si="17"/>
        <v>53</v>
      </c>
      <c r="AI20" s="133">
        <f t="shared" si="18"/>
        <v>0.36351165980795608</v>
      </c>
    </row>
    <row r="21" spans="1:35">
      <c r="A21" s="171">
        <f>IF('09월 조업일지'!A18="","",'09월 조업일지'!A18)</f>
        <v>46266</v>
      </c>
      <c r="B21" s="172" t="str">
        <f>'09월 조업일지'!E18</f>
        <v>A</v>
      </c>
      <c r="C21" s="172" t="str">
        <f>'09월 조업일지'!F18</f>
        <v>B</v>
      </c>
      <c r="D21" s="172">
        <f>'09월 화학성분'!C18</f>
        <v>85220</v>
      </c>
      <c r="E21" s="351" t="s">
        <v>157</v>
      </c>
      <c r="F21" s="121">
        <v>20</v>
      </c>
      <c r="G21" s="122">
        <v>23600</v>
      </c>
      <c r="H21" s="123">
        <v>18</v>
      </c>
      <c r="I21" s="122">
        <v>20600</v>
      </c>
      <c r="J21" s="123">
        <v>8</v>
      </c>
      <c r="K21" s="122">
        <v>9600</v>
      </c>
      <c r="L21" s="124">
        <f t="shared" si="6"/>
        <v>46</v>
      </c>
      <c r="M21" s="125">
        <f t="shared" si="6"/>
        <v>53800</v>
      </c>
      <c r="N21" s="126">
        <f t="shared" si="7"/>
        <v>164.91963661774983</v>
      </c>
      <c r="O21" s="127">
        <f t="shared" si="8"/>
        <v>143.95527603074774</v>
      </c>
      <c r="P21" s="127">
        <f t="shared" si="9"/>
        <v>67.085953878406713</v>
      </c>
      <c r="Q21" s="128">
        <f t="shared" si="10"/>
        <v>375.96086652690428</v>
      </c>
      <c r="R21" s="129">
        <v>143.1</v>
      </c>
      <c r="S21" s="130">
        <v>0</v>
      </c>
      <c r="T21" s="131">
        <v>150</v>
      </c>
      <c r="U21" s="131">
        <v>190</v>
      </c>
      <c r="V21" s="132">
        <f t="shared" si="11"/>
        <v>340</v>
      </c>
      <c r="W21" s="133">
        <f t="shared" si="12"/>
        <v>2.3759608665269045</v>
      </c>
      <c r="X21" s="130">
        <v>1585</v>
      </c>
      <c r="Y21" s="131">
        <v>1711</v>
      </c>
      <c r="Z21" s="131">
        <v>860</v>
      </c>
      <c r="AA21" s="132">
        <f t="shared" si="13"/>
        <v>4156</v>
      </c>
      <c r="AB21" s="133">
        <f t="shared" si="14"/>
        <v>29.042627533193571</v>
      </c>
      <c r="AC21" s="134">
        <f t="shared" si="15"/>
        <v>4496</v>
      </c>
      <c r="AD21" s="135">
        <f t="shared" si="16"/>
        <v>31.418588399720477</v>
      </c>
      <c r="AE21" s="136">
        <v>21</v>
      </c>
      <c r="AF21" s="137">
        <v>30</v>
      </c>
      <c r="AG21" s="137">
        <v>0</v>
      </c>
      <c r="AH21" s="138">
        <f t="shared" si="17"/>
        <v>51</v>
      </c>
      <c r="AI21" s="133">
        <f t="shared" si="18"/>
        <v>0.35639412997903563</v>
      </c>
    </row>
    <row r="22" spans="1:35">
      <c r="A22" s="171">
        <f>IF('09월 조업일지'!A19="","",'09월 조업일지'!A19)</f>
        <v>46266</v>
      </c>
      <c r="B22" s="172" t="str">
        <f>'09월 조업일지'!E19</f>
        <v>A</v>
      </c>
      <c r="C22" s="172" t="str">
        <f>'09월 조업일지'!F19</f>
        <v>A</v>
      </c>
      <c r="D22" s="172">
        <f>'09월 화학성분'!C19</f>
        <v>85221</v>
      </c>
      <c r="E22" s="205" t="str">
        <f t="shared" si="19"/>
        <v>S355JO-01</v>
      </c>
      <c r="F22" s="121">
        <v>20</v>
      </c>
      <c r="G22" s="122">
        <v>23300</v>
      </c>
      <c r="H22" s="123">
        <v>18</v>
      </c>
      <c r="I22" s="122">
        <v>20500</v>
      </c>
      <c r="J22" s="123">
        <v>9</v>
      </c>
      <c r="K22" s="122">
        <v>11300</v>
      </c>
      <c r="L22" s="124">
        <f t="shared" si="6"/>
        <v>47</v>
      </c>
      <c r="M22" s="125">
        <f t="shared" si="6"/>
        <v>55100</v>
      </c>
      <c r="N22" s="126">
        <f t="shared" si="7"/>
        <v>159.91763898421416</v>
      </c>
      <c r="O22" s="127">
        <f t="shared" si="8"/>
        <v>140.70006863417984</v>
      </c>
      <c r="P22" s="127">
        <f t="shared" si="9"/>
        <v>77.556623198352781</v>
      </c>
      <c r="Q22" s="128">
        <f t="shared" si="10"/>
        <v>378.17433081674676</v>
      </c>
      <c r="R22" s="129">
        <v>145.69999999999999</v>
      </c>
      <c r="S22" s="130">
        <v>0</v>
      </c>
      <c r="T22" s="131">
        <v>133</v>
      </c>
      <c r="U22" s="131">
        <v>185</v>
      </c>
      <c r="V22" s="132">
        <f t="shared" si="11"/>
        <v>318</v>
      </c>
      <c r="W22" s="133">
        <f t="shared" si="12"/>
        <v>2.182566918325326</v>
      </c>
      <c r="X22" s="130">
        <v>1665</v>
      </c>
      <c r="Y22" s="131">
        <v>1630</v>
      </c>
      <c r="Z22" s="131">
        <v>929</v>
      </c>
      <c r="AA22" s="132">
        <f t="shared" si="13"/>
        <v>4224</v>
      </c>
      <c r="AB22" s="133">
        <f t="shared" si="14"/>
        <v>28.9910775566232</v>
      </c>
      <c r="AC22" s="134">
        <f t="shared" si="15"/>
        <v>4542</v>
      </c>
      <c r="AD22" s="135">
        <f t="shared" si="16"/>
        <v>31.173644474948528</v>
      </c>
      <c r="AE22" s="136">
        <v>26</v>
      </c>
      <c r="AF22" s="137">
        <v>27</v>
      </c>
      <c r="AG22" s="137">
        <v>0</v>
      </c>
      <c r="AH22" s="138">
        <f t="shared" si="17"/>
        <v>53</v>
      </c>
      <c r="AI22" s="133">
        <f t="shared" si="18"/>
        <v>0.36376115305422102</v>
      </c>
    </row>
    <row r="23" spans="1:35">
      <c r="A23" s="171">
        <f>IF('09월 조업일지'!A20="","",'09월 조업일지'!A20)</f>
        <v>46266</v>
      </c>
      <c r="B23" s="172" t="str">
        <f>'09월 조업일지'!E20</f>
        <v>A</v>
      </c>
      <c r="C23" s="172" t="str">
        <f>'09월 조업일지'!F20</f>
        <v>B</v>
      </c>
      <c r="D23" s="172">
        <f>'09월 화학성분'!C20</f>
        <v>85222</v>
      </c>
      <c r="E23" s="205" t="str">
        <f t="shared" si="19"/>
        <v>S355JO-01</v>
      </c>
      <c r="F23" s="121">
        <v>20</v>
      </c>
      <c r="G23" s="122">
        <v>23700</v>
      </c>
      <c r="H23" s="123">
        <v>18</v>
      </c>
      <c r="I23" s="122">
        <v>20200</v>
      </c>
      <c r="J23" s="123">
        <v>9</v>
      </c>
      <c r="K23" s="122">
        <v>12400</v>
      </c>
      <c r="L23" s="124">
        <f t="shared" si="6"/>
        <v>47</v>
      </c>
      <c r="M23" s="125">
        <f t="shared" si="6"/>
        <v>56300</v>
      </c>
      <c r="N23" s="126">
        <f t="shared" si="7"/>
        <v>164.81223922114046</v>
      </c>
      <c r="O23" s="127">
        <f t="shared" si="8"/>
        <v>140.47287899860916</v>
      </c>
      <c r="P23" s="127">
        <f t="shared" si="9"/>
        <v>86.230876216967999</v>
      </c>
      <c r="Q23" s="128">
        <f t="shared" si="10"/>
        <v>391.51599443671762</v>
      </c>
      <c r="R23" s="129">
        <v>143.80000000000001</v>
      </c>
      <c r="S23" s="130">
        <v>0</v>
      </c>
      <c r="T23" s="131">
        <v>224</v>
      </c>
      <c r="U23" s="131">
        <v>180</v>
      </c>
      <c r="V23" s="132">
        <f t="shared" si="11"/>
        <v>404</v>
      </c>
      <c r="W23" s="133">
        <f t="shared" si="12"/>
        <v>2.8094575799721833</v>
      </c>
      <c r="X23" s="130">
        <v>1650</v>
      </c>
      <c r="Y23" s="131">
        <v>1574</v>
      </c>
      <c r="Z23" s="131">
        <v>1066</v>
      </c>
      <c r="AA23" s="132">
        <f t="shared" si="13"/>
        <v>4290</v>
      </c>
      <c r="AB23" s="133">
        <f t="shared" si="14"/>
        <v>29.833101529902642</v>
      </c>
      <c r="AC23" s="134">
        <f t="shared" si="15"/>
        <v>4694</v>
      </c>
      <c r="AD23" s="135">
        <f t="shared" si="16"/>
        <v>32.642559109874824</v>
      </c>
      <c r="AE23" s="136">
        <v>25</v>
      </c>
      <c r="AF23" s="137">
        <v>25</v>
      </c>
      <c r="AG23" s="137">
        <v>0</v>
      </c>
      <c r="AH23" s="138">
        <f t="shared" si="17"/>
        <v>50</v>
      </c>
      <c r="AI23" s="133">
        <f t="shared" si="18"/>
        <v>0.34770514603616132</v>
      </c>
    </row>
    <row r="24" spans="1:35">
      <c r="A24" s="171">
        <f>IF('09월 조업일지'!A21="","",'09월 조업일지'!A21)</f>
        <v>46266</v>
      </c>
      <c r="B24" s="172" t="str">
        <f>'09월 조업일지'!E21</f>
        <v>A</v>
      </c>
      <c r="C24" s="172" t="str">
        <f>'09월 조업일지'!F21</f>
        <v>A</v>
      </c>
      <c r="D24" s="172">
        <f>'09월 화학성분'!C21</f>
        <v>85223</v>
      </c>
      <c r="E24" s="205" t="str">
        <f t="shared" si="19"/>
        <v>S355JO-01</v>
      </c>
      <c r="F24" s="121">
        <v>19</v>
      </c>
      <c r="G24" s="122">
        <v>23500</v>
      </c>
      <c r="H24" s="123">
        <v>18</v>
      </c>
      <c r="I24" s="122">
        <v>20700</v>
      </c>
      <c r="J24" s="123">
        <v>7</v>
      </c>
      <c r="K24" s="122">
        <v>9800</v>
      </c>
      <c r="L24" s="124">
        <f t="shared" si="6"/>
        <v>44</v>
      </c>
      <c r="M24" s="125">
        <f t="shared" si="6"/>
        <v>54000</v>
      </c>
      <c r="N24" s="126">
        <f t="shared" si="7"/>
        <v>158.99864682002706</v>
      </c>
      <c r="O24" s="127">
        <f t="shared" si="8"/>
        <v>140.05412719891746</v>
      </c>
      <c r="P24" s="127">
        <f t="shared" si="9"/>
        <v>66.305818673883621</v>
      </c>
      <c r="Q24" s="128">
        <f t="shared" si="10"/>
        <v>365.35859269282815</v>
      </c>
      <c r="R24" s="129">
        <v>147.80000000000001</v>
      </c>
      <c r="S24" s="130">
        <v>0</v>
      </c>
      <c r="T24" s="131">
        <v>180</v>
      </c>
      <c r="U24" s="131">
        <v>148</v>
      </c>
      <c r="V24" s="132">
        <f t="shared" si="11"/>
        <v>328</v>
      </c>
      <c r="W24" s="133">
        <f t="shared" si="12"/>
        <v>2.2192151556156969</v>
      </c>
      <c r="X24" s="130">
        <v>1716</v>
      </c>
      <c r="Y24" s="131">
        <v>1620</v>
      </c>
      <c r="Z24" s="131">
        <v>798</v>
      </c>
      <c r="AA24" s="132">
        <f t="shared" si="13"/>
        <v>4134</v>
      </c>
      <c r="AB24" s="133">
        <f t="shared" si="14"/>
        <v>27.970230040595396</v>
      </c>
      <c r="AC24" s="134">
        <f t="shared" si="15"/>
        <v>4462</v>
      </c>
      <c r="AD24" s="135">
        <f t="shared" si="16"/>
        <v>30.189445196211093</v>
      </c>
      <c r="AE24" s="136">
        <v>23</v>
      </c>
      <c r="AF24" s="137">
        <v>25</v>
      </c>
      <c r="AG24" s="137">
        <v>0</v>
      </c>
      <c r="AH24" s="138">
        <f t="shared" si="17"/>
        <v>48</v>
      </c>
      <c r="AI24" s="133">
        <f t="shared" si="18"/>
        <v>0.32476319350473609</v>
      </c>
    </row>
    <row r="25" spans="1:35">
      <c r="A25" s="171">
        <f>IF('09월 조업일지'!A22="","",'09월 조업일지'!A22)</f>
        <v>46266</v>
      </c>
      <c r="B25" s="172" t="str">
        <f>'09월 조업일지'!E22</f>
        <v>A</v>
      </c>
      <c r="C25" s="172" t="str">
        <f>'09월 조업일지'!F22</f>
        <v>B</v>
      </c>
      <c r="D25" s="172">
        <f>'09월 화학성분'!C22</f>
        <v>85224</v>
      </c>
      <c r="E25" s="205" t="str">
        <f t="shared" si="19"/>
        <v>S355JO-01</v>
      </c>
      <c r="F25" s="121">
        <v>21</v>
      </c>
      <c r="G25" s="122">
        <v>23100</v>
      </c>
      <c r="H25" s="123">
        <v>18</v>
      </c>
      <c r="I25" s="122">
        <v>20400</v>
      </c>
      <c r="J25" s="123">
        <v>9</v>
      </c>
      <c r="K25" s="122">
        <v>12400</v>
      </c>
      <c r="L25" s="124">
        <f t="shared" si="6"/>
        <v>48</v>
      </c>
      <c r="M25" s="125">
        <f t="shared" si="6"/>
        <v>55900</v>
      </c>
      <c r="N25" s="126">
        <f t="shared" si="7"/>
        <v>158.54495538778312</v>
      </c>
      <c r="O25" s="127">
        <f t="shared" si="8"/>
        <v>140.01372683596432</v>
      </c>
      <c r="P25" s="127">
        <f t="shared" si="9"/>
        <v>85.106382978723417</v>
      </c>
      <c r="Q25" s="128">
        <f t="shared" si="10"/>
        <v>383.66506520247083</v>
      </c>
      <c r="R25" s="129">
        <v>145.69999999999999</v>
      </c>
      <c r="S25" s="130">
        <v>0</v>
      </c>
      <c r="T25" s="131">
        <v>104</v>
      </c>
      <c r="U25" s="131">
        <v>328</v>
      </c>
      <c r="V25" s="132">
        <f t="shared" si="11"/>
        <v>432</v>
      </c>
      <c r="W25" s="133">
        <f t="shared" si="12"/>
        <v>2.9649965682910091</v>
      </c>
      <c r="X25" s="130">
        <v>1661</v>
      </c>
      <c r="Y25" s="131">
        <v>1603</v>
      </c>
      <c r="Z25" s="131">
        <v>1260</v>
      </c>
      <c r="AA25" s="132">
        <f t="shared" si="13"/>
        <v>4524</v>
      </c>
      <c r="AB25" s="133">
        <f t="shared" si="14"/>
        <v>31.050102951269736</v>
      </c>
      <c r="AC25" s="134">
        <f t="shared" si="15"/>
        <v>4956</v>
      </c>
      <c r="AD25" s="135">
        <f t="shared" si="16"/>
        <v>34.015099519560742</v>
      </c>
      <c r="AE25" s="136">
        <v>23</v>
      </c>
      <c r="AF25" s="137">
        <v>30</v>
      </c>
      <c r="AG25" s="137">
        <v>0</v>
      </c>
      <c r="AH25" s="138">
        <f t="shared" si="17"/>
        <v>53</v>
      </c>
      <c r="AI25" s="133">
        <f t="shared" si="18"/>
        <v>0.36376115305422102</v>
      </c>
    </row>
    <row r="26" spans="1:35">
      <c r="A26" s="171">
        <f>IF('09월 조업일지'!A23="","",'09월 조업일지'!A23)</f>
        <v>46266</v>
      </c>
      <c r="B26" s="172" t="str">
        <f>'09월 조업일지'!E23</f>
        <v>A</v>
      </c>
      <c r="C26" s="172" t="str">
        <f>'09월 조업일지'!F23</f>
        <v>A</v>
      </c>
      <c r="D26" s="172">
        <f>'09월 화학성분'!C23</f>
        <v>85225</v>
      </c>
      <c r="E26" s="205" t="str">
        <f t="shared" si="19"/>
        <v>S355JO-01</v>
      </c>
      <c r="F26" s="121">
        <v>20</v>
      </c>
      <c r="G26" s="122">
        <v>23700</v>
      </c>
      <c r="H26" s="123">
        <v>17</v>
      </c>
      <c r="I26" s="122">
        <v>20700</v>
      </c>
      <c r="J26" s="123">
        <v>7</v>
      </c>
      <c r="K26" s="122">
        <v>8900</v>
      </c>
      <c r="L26" s="124">
        <f t="shared" si="6"/>
        <v>44</v>
      </c>
      <c r="M26" s="125">
        <f t="shared" si="6"/>
        <v>53300</v>
      </c>
      <c r="N26" s="126">
        <f t="shared" si="7"/>
        <v>159.27419354838707</v>
      </c>
      <c r="O26" s="127">
        <f t="shared" si="8"/>
        <v>139.11290322580643</v>
      </c>
      <c r="P26" s="127">
        <f t="shared" si="9"/>
        <v>59.811827956989241</v>
      </c>
      <c r="Q26" s="128">
        <f t="shared" si="10"/>
        <v>358.19892473118279</v>
      </c>
      <c r="R26" s="129">
        <v>148.80000000000001</v>
      </c>
      <c r="S26" s="130">
        <v>0</v>
      </c>
      <c r="T26" s="131">
        <v>146</v>
      </c>
      <c r="U26" s="131">
        <v>167</v>
      </c>
      <c r="V26" s="132">
        <f t="shared" si="11"/>
        <v>313</v>
      </c>
      <c r="W26" s="133">
        <f t="shared" si="12"/>
        <v>2.103494623655914</v>
      </c>
      <c r="X26" s="130">
        <v>1715</v>
      </c>
      <c r="Y26" s="131">
        <v>1577</v>
      </c>
      <c r="Z26" s="131">
        <v>779</v>
      </c>
      <c r="AA26" s="132">
        <f t="shared" si="13"/>
        <v>4071</v>
      </c>
      <c r="AB26" s="133">
        <f t="shared" si="14"/>
        <v>27.358870967741932</v>
      </c>
      <c r="AC26" s="134">
        <f t="shared" si="15"/>
        <v>4384</v>
      </c>
      <c r="AD26" s="135">
        <f t="shared" si="16"/>
        <v>29.462365591397848</v>
      </c>
      <c r="AE26" s="136">
        <v>27</v>
      </c>
      <c r="AF26" s="137">
        <v>24</v>
      </c>
      <c r="AG26" s="137">
        <v>0</v>
      </c>
      <c r="AH26" s="138">
        <f t="shared" si="17"/>
        <v>51</v>
      </c>
      <c r="AI26" s="133">
        <f t="shared" si="18"/>
        <v>0.34274193548387094</v>
      </c>
    </row>
    <row r="27" spans="1:35">
      <c r="A27" s="171">
        <f>IF('09월 조업일지'!A24="","",'09월 조업일지'!A24)</f>
        <v>46266</v>
      </c>
      <c r="B27" s="172" t="str">
        <f>'09월 조업일지'!E24</f>
        <v>A</v>
      </c>
      <c r="C27" s="172" t="str">
        <f>'09월 조업일지'!F24</f>
        <v>B</v>
      </c>
      <c r="D27" s="172">
        <f>'09월 화학성분'!C24</f>
        <v>85226</v>
      </c>
      <c r="E27" s="205" t="str">
        <f t="shared" si="19"/>
        <v>S355JO-01</v>
      </c>
      <c r="F27" s="121">
        <v>20</v>
      </c>
      <c r="G27" s="122">
        <v>23200</v>
      </c>
      <c r="H27" s="123">
        <v>18</v>
      </c>
      <c r="I27" s="122">
        <v>20600</v>
      </c>
      <c r="J27" s="123">
        <v>8</v>
      </c>
      <c r="K27" s="122">
        <v>10800</v>
      </c>
      <c r="L27" s="124">
        <f t="shared" si="6"/>
        <v>46</v>
      </c>
      <c r="M27" s="125">
        <f t="shared" si="6"/>
        <v>54600</v>
      </c>
      <c r="N27" s="126">
        <f t="shared" si="7"/>
        <v>158.36177474402731</v>
      </c>
      <c r="O27" s="127">
        <f t="shared" si="8"/>
        <v>140.61433447098977</v>
      </c>
      <c r="P27" s="127">
        <f t="shared" si="9"/>
        <v>73.720136518771326</v>
      </c>
      <c r="Q27" s="128">
        <f t="shared" si="10"/>
        <v>372.69624573378843</v>
      </c>
      <c r="R27" s="129">
        <v>146.5</v>
      </c>
      <c r="S27" s="130">
        <v>0</v>
      </c>
      <c r="T27" s="131">
        <v>240</v>
      </c>
      <c r="U27" s="131">
        <v>84</v>
      </c>
      <c r="V27" s="132">
        <f t="shared" si="11"/>
        <v>324</v>
      </c>
      <c r="W27" s="133">
        <f t="shared" si="12"/>
        <v>2.21160409556314</v>
      </c>
      <c r="X27" s="130">
        <v>1638</v>
      </c>
      <c r="Y27" s="131">
        <v>1599</v>
      </c>
      <c r="Z27" s="131">
        <v>1021</v>
      </c>
      <c r="AA27" s="132">
        <f t="shared" si="13"/>
        <v>4258</v>
      </c>
      <c r="AB27" s="133">
        <f t="shared" si="14"/>
        <v>29.064846416382252</v>
      </c>
      <c r="AC27" s="134">
        <f t="shared" si="15"/>
        <v>4582</v>
      </c>
      <c r="AD27" s="135">
        <f t="shared" si="16"/>
        <v>31.276450511945391</v>
      </c>
      <c r="AE27" s="136">
        <v>24</v>
      </c>
      <c r="AF27" s="137">
        <v>26</v>
      </c>
      <c r="AG27" s="137">
        <v>0</v>
      </c>
      <c r="AH27" s="138">
        <f t="shared" si="17"/>
        <v>50</v>
      </c>
      <c r="AI27" s="133">
        <f t="shared" si="18"/>
        <v>0.34129692832764508</v>
      </c>
    </row>
    <row r="28" spans="1:35">
      <c r="A28" s="171">
        <f>IF('09월 조업일지'!A25="","",'09월 조업일지'!A25)</f>
        <v>46266</v>
      </c>
      <c r="B28" s="172" t="str">
        <f>'09월 조업일지'!E25</f>
        <v>A</v>
      </c>
      <c r="C28" s="172" t="str">
        <f>'09월 조업일지'!F25</f>
        <v>A</v>
      </c>
      <c r="D28" s="172">
        <f>'09월 화학성분'!C25</f>
        <v>85227</v>
      </c>
      <c r="E28" s="205" t="str">
        <f t="shared" si="19"/>
        <v>S355JO-01</v>
      </c>
      <c r="F28" s="121">
        <v>21</v>
      </c>
      <c r="G28" s="122">
        <v>23600</v>
      </c>
      <c r="H28" s="123">
        <v>17</v>
      </c>
      <c r="I28" s="122">
        <v>20500</v>
      </c>
      <c r="J28" s="123">
        <v>7</v>
      </c>
      <c r="K28" s="122">
        <v>8700</v>
      </c>
      <c r="L28" s="124">
        <f t="shared" si="6"/>
        <v>45</v>
      </c>
      <c r="M28" s="125">
        <f t="shared" si="6"/>
        <v>52800</v>
      </c>
      <c r="N28" s="126">
        <f t="shared" si="7"/>
        <v>165.15045486354094</v>
      </c>
      <c r="O28" s="127">
        <f t="shared" si="8"/>
        <v>143.45696291112665</v>
      </c>
      <c r="P28" s="127">
        <f t="shared" si="9"/>
        <v>60.881735479356188</v>
      </c>
      <c r="Q28" s="128">
        <f t="shared" si="10"/>
        <v>369.48915325402379</v>
      </c>
      <c r="R28" s="129">
        <v>142.9</v>
      </c>
      <c r="S28" s="130">
        <v>0</v>
      </c>
      <c r="T28" s="131">
        <v>103</v>
      </c>
      <c r="U28" s="131">
        <v>249</v>
      </c>
      <c r="V28" s="132">
        <f t="shared" si="11"/>
        <v>352</v>
      </c>
      <c r="W28" s="133">
        <f t="shared" si="12"/>
        <v>2.463261021693492</v>
      </c>
      <c r="X28" s="130">
        <v>1746</v>
      </c>
      <c r="Y28" s="131">
        <v>1570</v>
      </c>
      <c r="Z28" s="131">
        <v>670</v>
      </c>
      <c r="AA28" s="132">
        <f t="shared" si="13"/>
        <v>3986</v>
      </c>
      <c r="AB28" s="133">
        <f t="shared" si="14"/>
        <v>27.893631910426869</v>
      </c>
      <c r="AC28" s="134">
        <f t="shared" si="15"/>
        <v>4338</v>
      </c>
      <c r="AD28" s="135">
        <f t="shared" si="16"/>
        <v>30.356892932120363</v>
      </c>
      <c r="AE28" s="136">
        <v>25</v>
      </c>
      <c r="AF28" s="137">
        <v>21</v>
      </c>
      <c r="AG28" s="137">
        <v>0</v>
      </c>
      <c r="AH28" s="138">
        <f t="shared" si="17"/>
        <v>46</v>
      </c>
      <c r="AI28" s="133">
        <f t="shared" si="18"/>
        <v>0.32190342897130858</v>
      </c>
    </row>
    <row r="29" spans="1:35">
      <c r="A29" s="171">
        <f>IF('09월 조업일지'!A26="","",'09월 조업일지'!A26)</f>
        <v>46266</v>
      </c>
      <c r="B29" s="172" t="str">
        <f>'09월 조업일지'!E26</f>
        <v>C</v>
      </c>
      <c r="C29" s="172" t="str">
        <f>'09월 조업일지'!F26</f>
        <v>B</v>
      </c>
      <c r="D29" s="172">
        <f>'09월 화학성분'!C26</f>
        <v>85228</v>
      </c>
      <c r="E29" s="205" t="str">
        <f t="shared" si="19"/>
        <v>S355JO-01</v>
      </c>
      <c r="F29" s="121">
        <v>20</v>
      </c>
      <c r="G29" s="122">
        <v>23600</v>
      </c>
      <c r="H29" s="123">
        <v>18</v>
      </c>
      <c r="I29" s="122">
        <v>20500</v>
      </c>
      <c r="J29" s="123">
        <v>8</v>
      </c>
      <c r="K29" s="122">
        <v>10000</v>
      </c>
      <c r="L29" s="124">
        <f t="shared" si="6"/>
        <v>46</v>
      </c>
      <c r="M29" s="125">
        <f t="shared" si="6"/>
        <v>54100</v>
      </c>
      <c r="N29" s="126">
        <f t="shared" si="7"/>
        <v>159.35178933153276</v>
      </c>
      <c r="O29" s="127">
        <f t="shared" si="8"/>
        <v>138.41998649561108</v>
      </c>
      <c r="P29" s="127">
        <f t="shared" si="9"/>
        <v>67.5219446320054</v>
      </c>
      <c r="Q29" s="128">
        <f t="shared" si="10"/>
        <v>365.29372045914926</v>
      </c>
      <c r="R29" s="129">
        <v>148.1</v>
      </c>
      <c r="S29" s="130">
        <v>0</v>
      </c>
      <c r="T29" s="131">
        <v>135</v>
      </c>
      <c r="U29" s="131">
        <v>215</v>
      </c>
      <c r="V29" s="132">
        <f t="shared" si="11"/>
        <v>350</v>
      </c>
      <c r="W29" s="133">
        <f t="shared" si="12"/>
        <v>2.3632680621201891</v>
      </c>
      <c r="X29" s="130">
        <v>1725</v>
      </c>
      <c r="Y29" s="131">
        <v>1595</v>
      </c>
      <c r="Z29" s="131">
        <v>704</v>
      </c>
      <c r="AA29" s="132">
        <f t="shared" si="13"/>
        <v>4024</v>
      </c>
      <c r="AB29" s="133">
        <f t="shared" si="14"/>
        <v>27.170830519918976</v>
      </c>
      <c r="AC29" s="134">
        <f t="shared" si="15"/>
        <v>4374</v>
      </c>
      <c r="AD29" s="135">
        <f t="shared" si="16"/>
        <v>29.534098582039164</v>
      </c>
      <c r="AE29" s="136">
        <v>25</v>
      </c>
      <c r="AF29" s="137">
        <v>26</v>
      </c>
      <c r="AG29" s="137">
        <v>0</v>
      </c>
      <c r="AH29" s="138">
        <f t="shared" si="17"/>
        <v>51</v>
      </c>
      <c r="AI29" s="133">
        <f t="shared" si="18"/>
        <v>0.34436191762322754</v>
      </c>
    </row>
    <row r="30" spans="1:35">
      <c r="A30" s="171">
        <f>IF('09월 조업일지'!A27="","",'09월 조업일지'!A27)</f>
        <v>46266</v>
      </c>
      <c r="B30" s="172" t="str">
        <f>'09월 조업일지'!E27</f>
        <v>C</v>
      </c>
      <c r="C30" s="172" t="str">
        <f>'09월 조업일지'!F27</f>
        <v>A</v>
      </c>
      <c r="D30" s="172">
        <f>'09월 화학성분'!C27</f>
        <v>85229</v>
      </c>
      <c r="E30" s="205" t="str">
        <f t="shared" si="19"/>
        <v>S355JO-01</v>
      </c>
      <c r="F30" s="121">
        <v>21</v>
      </c>
      <c r="G30" s="122">
        <v>24000</v>
      </c>
      <c r="H30" s="123">
        <v>18</v>
      </c>
      <c r="I30" s="122">
        <v>20600</v>
      </c>
      <c r="J30" s="123">
        <v>8</v>
      </c>
      <c r="K30" s="122">
        <v>9700</v>
      </c>
      <c r="L30" s="124">
        <f t="shared" ref="L30:M88" si="20">IF(ISBLANK(F30),"",SUM(F30,H30,J30))</f>
        <v>47</v>
      </c>
      <c r="M30" s="125">
        <f t="shared" si="20"/>
        <v>54300</v>
      </c>
      <c r="N30" s="126">
        <f t="shared" si="7"/>
        <v>161.39878950907868</v>
      </c>
      <c r="O30" s="127">
        <f t="shared" si="8"/>
        <v>138.53396099529255</v>
      </c>
      <c r="P30" s="127">
        <f t="shared" si="9"/>
        <v>65.232010759919305</v>
      </c>
      <c r="Q30" s="128">
        <f t="shared" si="10"/>
        <v>365.16476126429058</v>
      </c>
      <c r="R30" s="129">
        <v>148.69999999999999</v>
      </c>
      <c r="S30" s="130">
        <v>0</v>
      </c>
      <c r="T30" s="131">
        <v>168</v>
      </c>
      <c r="U30" s="131">
        <v>167</v>
      </c>
      <c r="V30" s="132">
        <f t="shared" si="11"/>
        <v>335</v>
      </c>
      <c r="W30" s="133">
        <f t="shared" si="12"/>
        <v>2.2528581035642232</v>
      </c>
      <c r="X30" s="130">
        <v>1806</v>
      </c>
      <c r="Y30" s="131">
        <v>1717</v>
      </c>
      <c r="Z30" s="131">
        <v>806</v>
      </c>
      <c r="AA30" s="132">
        <f t="shared" si="13"/>
        <v>4329</v>
      </c>
      <c r="AB30" s="133">
        <f t="shared" si="14"/>
        <v>29.112306657700071</v>
      </c>
      <c r="AC30" s="134">
        <f t="shared" si="15"/>
        <v>4664</v>
      </c>
      <c r="AD30" s="135">
        <f t="shared" si="16"/>
        <v>31.365164761264293</v>
      </c>
      <c r="AE30" s="136">
        <v>27</v>
      </c>
      <c r="AF30" s="137">
        <v>25</v>
      </c>
      <c r="AG30" s="137">
        <v>0</v>
      </c>
      <c r="AH30" s="138">
        <f t="shared" si="17"/>
        <v>52</v>
      </c>
      <c r="AI30" s="133">
        <f t="shared" si="18"/>
        <v>0.34969737726967048</v>
      </c>
    </row>
    <row r="31" spans="1:35">
      <c r="A31" s="171">
        <f>IF('09월 조업일지'!A28="","",'09월 조업일지'!A28)</f>
        <v>46266</v>
      </c>
      <c r="B31" s="172" t="str">
        <f>'09월 조업일지'!E28</f>
        <v>C</v>
      </c>
      <c r="C31" s="172" t="str">
        <f>'09월 조업일지'!F28</f>
        <v>B</v>
      </c>
      <c r="D31" s="172">
        <f>'09월 화학성분'!C28</f>
        <v>85230</v>
      </c>
      <c r="E31" s="205" t="str">
        <f t="shared" si="19"/>
        <v>S355JO-01</v>
      </c>
      <c r="F31" s="121">
        <v>20</v>
      </c>
      <c r="G31" s="122">
        <v>23800</v>
      </c>
      <c r="H31" s="123">
        <v>18</v>
      </c>
      <c r="I31" s="122">
        <v>20500</v>
      </c>
      <c r="J31" s="123">
        <v>7</v>
      </c>
      <c r="K31" s="122">
        <v>8800</v>
      </c>
      <c r="L31" s="124">
        <f t="shared" si="20"/>
        <v>45</v>
      </c>
      <c r="M31" s="125">
        <f t="shared" si="20"/>
        <v>53100</v>
      </c>
      <c r="N31" s="126">
        <f t="shared" si="7"/>
        <v>162.23585548738924</v>
      </c>
      <c r="O31" s="127">
        <f t="shared" si="8"/>
        <v>139.74096796182687</v>
      </c>
      <c r="P31" s="127">
        <f t="shared" si="9"/>
        <v>59.986366734832998</v>
      </c>
      <c r="Q31" s="128">
        <f t="shared" si="10"/>
        <v>361.9631901840491</v>
      </c>
      <c r="R31" s="129">
        <v>146.69999999999999</v>
      </c>
      <c r="S31" s="130">
        <v>0</v>
      </c>
      <c r="T31" s="131">
        <v>157</v>
      </c>
      <c r="U31" s="131">
        <v>224</v>
      </c>
      <c r="V31" s="132">
        <f t="shared" si="11"/>
        <v>381</v>
      </c>
      <c r="W31" s="133">
        <f t="shared" si="12"/>
        <v>2.5971370143149288</v>
      </c>
      <c r="X31" s="130">
        <v>1639</v>
      </c>
      <c r="Y31" s="131">
        <v>1643</v>
      </c>
      <c r="Z31" s="131">
        <v>769</v>
      </c>
      <c r="AA31" s="132">
        <f t="shared" si="13"/>
        <v>4051</v>
      </c>
      <c r="AB31" s="133">
        <f t="shared" si="14"/>
        <v>27.614178595773691</v>
      </c>
      <c r="AC31" s="134">
        <f t="shared" si="15"/>
        <v>4432</v>
      </c>
      <c r="AD31" s="135">
        <f t="shared" si="16"/>
        <v>30.211315610088619</v>
      </c>
      <c r="AE31" s="136">
        <v>25</v>
      </c>
      <c r="AF31" s="137">
        <v>30</v>
      </c>
      <c r="AG31" s="137">
        <v>0</v>
      </c>
      <c r="AH31" s="138">
        <f t="shared" si="17"/>
        <v>55</v>
      </c>
      <c r="AI31" s="133">
        <f t="shared" si="18"/>
        <v>0.37491479209270623</v>
      </c>
    </row>
    <row r="32" spans="1:35">
      <c r="A32" s="171">
        <f>IF('09월 조업일지'!A29="","",'09월 조업일지'!A29)</f>
        <v>46266</v>
      </c>
      <c r="B32" s="172" t="str">
        <f>'09월 조업일지'!E29</f>
        <v>C</v>
      </c>
      <c r="C32" s="172" t="str">
        <f>'09월 조업일지'!F29</f>
        <v>A</v>
      </c>
      <c r="D32" s="172">
        <f>'09월 화학성분'!C29</f>
        <v>85231</v>
      </c>
      <c r="E32" s="205" t="str">
        <f t="shared" si="19"/>
        <v>S355JO-01</v>
      </c>
      <c r="F32" s="121">
        <v>20</v>
      </c>
      <c r="G32" s="122">
        <v>23500</v>
      </c>
      <c r="H32" s="123">
        <v>16</v>
      </c>
      <c r="I32" s="122">
        <v>20400</v>
      </c>
      <c r="J32" s="123">
        <v>8</v>
      </c>
      <c r="K32" s="122">
        <v>9400</v>
      </c>
      <c r="L32" s="124">
        <f t="shared" si="20"/>
        <v>44</v>
      </c>
      <c r="M32" s="125">
        <f t="shared" si="20"/>
        <v>53300</v>
      </c>
      <c r="N32" s="126">
        <f t="shared" si="7"/>
        <v>156.87583444592789</v>
      </c>
      <c r="O32" s="127">
        <f t="shared" si="8"/>
        <v>136.18157543391186</v>
      </c>
      <c r="P32" s="127">
        <f t="shared" si="9"/>
        <v>62.750333778371157</v>
      </c>
      <c r="Q32" s="128">
        <f t="shared" si="10"/>
        <v>355.80774365821088</v>
      </c>
      <c r="R32" s="129">
        <v>149.80000000000001</v>
      </c>
      <c r="S32" s="130">
        <v>0</v>
      </c>
      <c r="T32" s="131">
        <v>173</v>
      </c>
      <c r="U32" s="131">
        <v>332</v>
      </c>
      <c r="V32" s="132">
        <f t="shared" si="11"/>
        <v>505</v>
      </c>
      <c r="W32" s="133">
        <f t="shared" si="12"/>
        <v>3.3711615487316418</v>
      </c>
      <c r="X32" s="130">
        <v>1729</v>
      </c>
      <c r="Y32" s="131">
        <v>1636</v>
      </c>
      <c r="Z32" s="131">
        <v>884</v>
      </c>
      <c r="AA32" s="132">
        <f t="shared" si="13"/>
        <v>4249</v>
      </c>
      <c r="AB32" s="133">
        <f t="shared" si="14"/>
        <v>28.364485981308409</v>
      </c>
      <c r="AC32" s="134">
        <f t="shared" si="15"/>
        <v>4754</v>
      </c>
      <c r="AD32" s="135">
        <f t="shared" si="16"/>
        <v>31.735647530040051</v>
      </c>
      <c r="AE32" s="136">
        <v>26</v>
      </c>
      <c r="AF32" s="137">
        <v>24</v>
      </c>
      <c r="AG32" s="137">
        <v>0</v>
      </c>
      <c r="AH32" s="138">
        <f t="shared" si="17"/>
        <v>50</v>
      </c>
      <c r="AI32" s="133">
        <f t="shared" si="18"/>
        <v>0.33377837116154868</v>
      </c>
    </row>
    <row r="33" spans="1:35">
      <c r="A33" s="171">
        <f>IF('09월 조업일지'!A30="","",'09월 조업일지'!A30)</f>
        <v>46266</v>
      </c>
      <c r="B33" s="172" t="str">
        <f>'09월 조업일지'!E30</f>
        <v>C</v>
      </c>
      <c r="C33" s="172" t="str">
        <f>'09월 조업일지'!F30</f>
        <v>B</v>
      </c>
      <c r="D33" s="172">
        <f>'09월 화학성분'!C30</f>
        <v>85232</v>
      </c>
      <c r="E33" s="205" t="str">
        <f t="shared" si="19"/>
        <v>S355JO-01</v>
      </c>
      <c r="F33" s="121">
        <v>20</v>
      </c>
      <c r="G33" s="122">
        <v>23100</v>
      </c>
      <c r="H33" s="123">
        <v>16</v>
      </c>
      <c r="I33" s="122">
        <v>20300</v>
      </c>
      <c r="J33" s="123">
        <v>8</v>
      </c>
      <c r="K33" s="122">
        <v>9600</v>
      </c>
      <c r="L33" s="124">
        <f t="shared" si="20"/>
        <v>44</v>
      </c>
      <c r="M33" s="125">
        <f t="shared" si="20"/>
        <v>53000</v>
      </c>
      <c r="N33" s="126">
        <f t="shared" si="7"/>
        <v>155.13767629281395</v>
      </c>
      <c r="O33" s="127">
        <f t="shared" si="8"/>
        <v>136.33310946944258</v>
      </c>
      <c r="P33" s="127">
        <f t="shared" si="9"/>
        <v>64.472800537273329</v>
      </c>
      <c r="Q33" s="128">
        <f t="shared" si="10"/>
        <v>355.94358629952984</v>
      </c>
      <c r="R33" s="129">
        <v>148.9</v>
      </c>
      <c r="S33" s="130">
        <v>0</v>
      </c>
      <c r="T33" s="131">
        <v>176</v>
      </c>
      <c r="U33" s="131">
        <v>257</v>
      </c>
      <c r="V33" s="132">
        <f t="shared" si="11"/>
        <v>433</v>
      </c>
      <c r="W33" s="133">
        <f t="shared" si="12"/>
        <v>2.9079919408999326</v>
      </c>
      <c r="X33" s="130">
        <v>1672</v>
      </c>
      <c r="Y33" s="131">
        <v>1612</v>
      </c>
      <c r="Z33" s="131">
        <v>736</v>
      </c>
      <c r="AA33" s="132">
        <f t="shared" si="13"/>
        <v>4020</v>
      </c>
      <c r="AB33" s="133">
        <f t="shared" si="14"/>
        <v>26.997985224983211</v>
      </c>
      <c r="AC33" s="134">
        <f t="shared" si="15"/>
        <v>4453</v>
      </c>
      <c r="AD33" s="135">
        <f t="shared" si="16"/>
        <v>29.90597716588314</v>
      </c>
      <c r="AE33" s="136">
        <v>25</v>
      </c>
      <c r="AF33" s="137">
        <v>31</v>
      </c>
      <c r="AG33" s="137">
        <v>0</v>
      </c>
      <c r="AH33" s="138">
        <f t="shared" si="17"/>
        <v>56</v>
      </c>
      <c r="AI33" s="133">
        <f t="shared" si="18"/>
        <v>0.37609133646742782</v>
      </c>
    </row>
    <row r="34" spans="1:35">
      <c r="A34" s="171">
        <f>IF('09월 조업일지'!A31="","",'09월 조업일지'!A31)</f>
        <v>46266</v>
      </c>
      <c r="B34" s="172" t="str">
        <f>'09월 조업일지'!E31</f>
        <v>C</v>
      </c>
      <c r="C34" s="172" t="str">
        <f>'09월 조업일지'!F31</f>
        <v>A</v>
      </c>
      <c r="D34" s="172">
        <f>'09월 화학성분'!C31</f>
        <v>85233</v>
      </c>
      <c r="E34" s="351" t="s">
        <v>330</v>
      </c>
      <c r="F34" s="121">
        <v>19</v>
      </c>
      <c r="G34" s="122">
        <v>23200</v>
      </c>
      <c r="H34" s="123">
        <v>18</v>
      </c>
      <c r="I34" s="122">
        <v>20300</v>
      </c>
      <c r="J34" s="123">
        <v>7</v>
      </c>
      <c r="K34" s="122">
        <v>8200</v>
      </c>
      <c r="L34" s="124">
        <f t="shared" si="20"/>
        <v>44</v>
      </c>
      <c r="M34" s="125">
        <f t="shared" si="20"/>
        <v>51700</v>
      </c>
      <c r="N34" s="126">
        <f t="shared" si="7"/>
        <v>154.76984656437625</v>
      </c>
      <c r="O34" s="127">
        <f t="shared" si="8"/>
        <v>135.4236157438292</v>
      </c>
      <c r="P34" s="127">
        <f t="shared" si="9"/>
        <v>54.703135423615741</v>
      </c>
      <c r="Q34" s="128">
        <f t="shared" si="10"/>
        <v>344.89659773182115</v>
      </c>
      <c r="R34" s="129">
        <v>149.9</v>
      </c>
      <c r="S34" s="130">
        <v>0</v>
      </c>
      <c r="T34" s="131">
        <v>94</v>
      </c>
      <c r="U34" s="131">
        <v>389</v>
      </c>
      <c r="V34" s="132">
        <f t="shared" si="11"/>
        <v>483</v>
      </c>
      <c r="W34" s="133">
        <f t="shared" si="12"/>
        <v>3.2221480987324882</v>
      </c>
      <c r="X34" s="130">
        <v>1673</v>
      </c>
      <c r="Y34" s="131">
        <v>1538</v>
      </c>
      <c r="Z34" s="131">
        <v>900</v>
      </c>
      <c r="AA34" s="132">
        <f t="shared" si="13"/>
        <v>4111</v>
      </c>
      <c r="AB34" s="133">
        <f t="shared" si="14"/>
        <v>27.42494996664443</v>
      </c>
      <c r="AC34" s="134">
        <f t="shared" si="15"/>
        <v>4594</v>
      </c>
      <c r="AD34" s="135">
        <f t="shared" si="16"/>
        <v>30.647098065376916</v>
      </c>
      <c r="AE34" s="136">
        <v>26</v>
      </c>
      <c r="AF34" s="137">
        <v>14</v>
      </c>
      <c r="AG34" s="137">
        <v>0</v>
      </c>
      <c r="AH34" s="138">
        <f t="shared" si="17"/>
        <v>40</v>
      </c>
      <c r="AI34" s="133">
        <f t="shared" si="18"/>
        <v>0.26684456304202803</v>
      </c>
    </row>
    <row r="35" spans="1:35">
      <c r="A35" s="171">
        <f>IF('09월 조업일지'!A32="","",'09월 조업일지'!A32)</f>
        <v>46266</v>
      </c>
      <c r="B35" s="172" t="str">
        <f>'09월 조업일지'!E32</f>
        <v>C</v>
      </c>
      <c r="C35" s="172" t="str">
        <f>'09월 조업일지'!F32</f>
        <v>B</v>
      </c>
      <c r="D35" s="172">
        <f>'09월 화학성분'!C32</f>
        <v>85234</v>
      </c>
      <c r="E35" s="205" t="str">
        <f t="shared" si="19"/>
        <v>SS400(ToMok)</v>
      </c>
      <c r="F35" s="121">
        <v>21</v>
      </c>
      <c r="G35" s="122">
        <v>23500</v>
      </c>
      <c r="H35" s="123">
        <v>18</v>
      </c>
      <c r="I35" s="122">
        <v>20800</v>
      </c>
      <c r="J35" s="123">
        <v>6</v>
      </c>
      <c r="K35" s="122">
        <v>6900</v>
      </c>
      <c r="L35" s="124">
        <f t="shared" si="20"/>
        <v>45</v>
      </c>
      <c r="M35" s="125">
        <f t="shared" si="20"/>
        <v>51200</v>
      </c>
      <c r="N35" s="126">
        <f t="shared" si="7"/>
        <v>157.71812080536913</v>
      </c>
      <c r="O35" s="127">
        <f t="shared" si="8"/>
        <v>139.59731543624162</v>
      </c>
      <c r="P35" s="127">
        <f t="shared" si="9"/>
        <v>46.308724832214764</v>
      </c>
      <c r="Q35" s="128">
        <f t="shared" si="10"/>
        <v>343.62416107382552</v>
      </c>
      <c r="R35" s="129">
        <v>149</v>
      </c>
      <c r="S35" s="130">
        <v>0</v>
      </c>
      <c r="T35" s="131">
        <v>200</v>
      </c>
      <c r="U35" s="131">
        <v>201</v>
      </c>
      <c r="V35" s="132">
        <f t="shared" si="11"/>
        <v>401</v>
      </c>
      <c r="W35" s="133">
        <f t="shared" si="12"/>
        <v>2.6912751677852347</v>
      </c>
      <c r="X35" s="130">
        <v>1639</v>
      </c>
      <c r="Y35" s="131">
        <v>1651</v>
      </c>
      <c r="Z35" s="131">
        <v>679</v>
      </c>
      <c r="AA35" s="132">
        <f t="shared" si="13"/>
        <v>3969</v>
      </c>
      <c r="AB35" s="133">
        <f t="shared" si="14"/>
        <v>26.63758389261745</v>
      </c>
      <c r="AC35" s="134">
        <f t="shared" si="15"/>
        <v>4370</v>
      </c>
      <c r="AD35" s="135">
        <f t="shared" si="16"/>
        <v>29.328859060402685</v>
      </c>
      <c r="AE35" s="136">
        <v>25</v>
      </c>
      <c r="AF35" s="137">
        <v>27</v>
      </c>
      <c r="AG35" s="137">
        <v>0</v>
      </c>
      <c r="AH35" s="138">
        <f t="shared" si="17"/>
        <v>52</v>
      </c>
      <c r="AI35" s="133">
        <f t="shared" si="18"/>
        <v>0.34899328859060402</v>
      </c>
    </row>
    <row r="36" spans="1:35">
      <c r="A36" s="171">
        <f>IF('09월 조업일지'!A33="","",'09월 조업일지'!A33)</f>
        <v>46266</v>
      </c>
      <c r="B36" s="172" t="str">
        <f>'09월 조업일지'!E33</f>
        <v>C</v>
      </c>
      <c r="C36" s="172" t="str">
        <f>'09월 조업일지'!F33</f>
        <v>A</v>
      </c>
      <c r="D36" s="172">
        <f>'09월 화학성분'!C33</f>
        <v>85235</v>
      </c>
      <c r="E36" s="205" t="str">
        <f t="shared" si="19"/>
        <v>SS400(ToMok)</v>
      </c>
      <c r="F36" s="121">
        <v>20</v>
      </c>
      <c r="G36" s="122">
        <v>23900</v>
      </c>
      <c r="H36" s="123">
        <v>17</v>
      </c>
      <c r="I36" s="122">
        <v>20300</v>
      </c>
      <c r="J36" s="123">
        <v>7</v>
      </c>
      <c r="K36" s="122">
        <v>8300</v>
      </c>
      <c r="L36" s="124">
        <f t="shared" si="20"/>
        <v>44</v>
      </c>
      <c r="M36" s="125">
        <f t="shared" si="20"/>
        <v>52500</v>
      </c>
      <c r="N36" s="126">
        <f t="shared" si="7"/>
        <v>161.59567275185935</v>
      </c>
      <c r="O36" s="127">
        <f t="shared" si="8"/>
        <v>137.25490196078431</v>
      </c>
      <c r="P36" s="127">
        <f t="shared" si="9"/>
        <v>56.118999323867477</v>
      </c>
      <c r="Q36" s="128">
        <f t="shared" si="10"/>
        <v>354.96957403651112</v>
      </c>
      <c r="R36" s="129">
        <v>147.9</v>
      </c>
      <c r="S36" s="130">
        <v>0</v>
      </c>
      <c r="T36" s="131">
        <v>172</v>
      </c>
      <c r="U36" s="131">
        <v>216</v>
      </c>
      <c r="V36" s="132">
        <f t="shared" si="11"/>
        <v>388</v>
      </c>
      <c r="W36" s="133">
        <f t="shared" si="12"/>
        <v>2.6233941852603109</v>
      </c>
      <c r="X36" s="130">
        <v>1734</v>
      </c>
      <c r="Y36" s="131">
        <v>1624</v>
      </c>
      <c r="Z36" s="131">
        <v>706</v>
      </c>
      <c r="AA36" s="132">
        <f t="shared" si="13"/>
        <v>4064</v>
      </c>
      <c r="AB36" s="133">
        <f t="shared" si="14"/>
        <v>27.478025693035836</v>
      </c>
      <c r="AC36" s="134">
        <f t="shared" si="15"/>
        <v>4452</v>
      </c>
      <c r="AD36" s="135">
        <f t="shared" si="16"/>
        <v>30.101419878296145</v>
      </c>
      <c r="AE36" s="136">
        <v>25</v>
      </c>
      <c r="AF36" s="137">
        <v>27</v>
      </c>
      <c r="AG36" s="137">
        <v>0</v>
      </c>
      <c r="AH36" s="138">
        <f t="shared" si="17"/>
        <v>52</v>
      </c>
      <c r="AI36" s="133">
        <f t="shared" si="18"/>
        <v>0.35158891142663962</v>
      </c>
    </row>
    <row r="37" spans="1:35">
      <c r="A37" s="171">
        <f>IF('09월 조업일지'!A34="","",'09월 조업일지'!A34)</f>
        <v>46266</v>
      </c>
      <c r="B37" s="172" t="str">
        <f>'09월 조업일지'!E34</f>
        <v>C</v>
      </c>
      <c r="C37" s="172" t="str">
        <f>'09월 조업일지'!F34</f>
        <v>B</v>
      </c>
      <c r="D37" s="172">
        <f>'09월 화학성분'!C34</f>
        <v>85236</v>
      </c>
      <c r="E37" s="205" t="str">
        <f t="shared" si="19"/>
        <v>SS400(ToMok)</v>
      </c>
      <c r="F37" s="121">
        <v>20</v>
      </c>
      <c r="G37" s="122">
        <v>23300</v>
      </c>
      <c r="H37" s="123">
        <v>16</v>
      </c>
      <c r="I37" s="122">
        <v>20400</v>
      </c>
      <c r="J37" s="123">
        <v>6</v>
      </c>
      <c r="K37" s="122">
        <v>7600</v>
      </c>
      <c r="L37" s="124">
        <f t="shared" si="20"/>
        <v>42</v>
      </c>
      <c r="M37" s="125">
        <f t="shared" si="20"/>
        <v>51300</v>
      </c>
      <c r="N37" s="126">
        <f t="shared" si="7"/>
        <v>156.9023569023569</v>
      </c>
      <c r="O37" s="127">
        <f t="shared" si="8"/>
        <v>137.37373737373738</v>
      </c>
      <c r="P37" s="127">
        <f t="shared" si="9"/>
        <v>51.178451178451176</v>
      </c>
      <c r="Q37" s="128">
        <f t="shared" si="10"/>
        <v>345.45454545454544</v>
      </c>
      <c r="R37" s="129">
        <v>148.5</v>
      </c>
      <c r="S37" s="130">
        <v>0</v>
      </c>
      <c r="T37" s="131">
        <v>81</v>
      </c>
      <c r="U37" s="131">
        <v>306</v>
      </c>
      <c r="V37" s="132">
        <f t="shared" si="11"/>
        <v>387</v>
      </c>
      <c r="W37" s="133">
        <f t="shared" si="12"/>
        <v>2.606060606060606</v>
      </c>
      <c r="X37" s="130">
        <v>1676</v>
      </c>
      <c r="Y37" s="131">
        <v>1632</v>
      </c>
      <c r="Z37" s="131">
        <v>683</v>
      </c>
      <c r="AA37" s="132">
        <f t="shared" si="13"/>
        <v>3991</v>
      </c>
      <c r="AB37" s="133">
        <f t="shared" si="14"/>
        <v>26.875420875420875</v>
      </c>
      <c r="AC37" s="134">
        <f t="shared" si="15"/>
        <v>4378</v>
      </c>
      <c r="AD37" s="135">
        <f t="shared" si="16"/>
        <v>29.481481481481481</v>
      </c>
      <c r="AE37" s="136">
        <v>25</v>
      </c>
      <c r="AF37" s="137">
        <v>34</v>
      </c>
      <c r="AG37" s="137">
        <v>0</v>
      </c>
      <c r="AH37" s="138">
        <f t="shared" si="17"/>
        <v>59</v>
      </c>
      <c r="AI37" s="133">
        <f t="shared" si="18"/>
        <v>0.39730639730639733</v>
      </c>
    </row>
    <row r="38" spans="1:35">
      <c r="A38" s="171">
        <f>IF('09월 조업일지'!A35="","",'09월 조업일지'!A35)</f>
        <v>46266</v>
      </c>
      <c r="B38" s="172" t="str">
        <f>'09월 조업일지'!E35</f>
        <v>C</v>
      </c>
      <c r="C38" s="172" t="str">
        <f>'09월 조업일지'!F35</f>
        <v>A</v>
      </c>
      <c r="D38" s="172">
        <f>'09월 화학성분'!C35</f>
        <v>85237</v>
      </c>
      <c r="E38" s="205" t="str">
        <f t="shared" si="19"/>
        <v>SS400(ToMok)</v>
      </c>
      <c r="F38" s="121">
        <v>21</v>
      </c>
      <c r="G38" s="122">
        <v>24500</v>
      </c>
      <c r="H38" s="123">
        <v>18</v>
      </c>
      <c r="I38" s="122">
        <v>20700</v>
      </c>
      <c r="J38" s="123">
        <v>7</v>
      </c>
      <c r="K38" s="122">
        <v>8100</v>
      </c>
      <c r="L38" s="124">
        <f t="shared" si="20"/>
        <v>46</v>
      </c>
      <c r="M38" s="125">
        <f t="shared" si="20"/>
        <v>53300</v>
      </c>
      <c r="N38" s="126">
        <f t="shared" si="7"/>
        <v>165.98915989159892</v>
      </c>
      <c r="O38" s="127">
        <f t="shared" si="8"/>
        <v>140.2439024390244</v>
      </c>
      <c r="P38" s="127">
        <f t="shared" si="9"/>
        <v>54.878048780487809</v>
      </c>
      <c r="Q38" s="128">
        <f t="shared" si="10"/>
        <v>361.11111111111109</v>
      </c>
      <c r="R38" s="129">
        <v>147.6</v>
      </c>
      <c r="S38" s="130">
        <v>0</v>
      </c>
      <c r="T38" s="131">
        <v>205</v>
      </c>
      <c r="U38" s="131">
        <v>201</v>
      </c>
      <c r="V38" s="132">
        <f t="shared" si="11"/>
        <v>406</v>
      </c>
      <c r="W38" s="133">
        <f t="shared" si="12"/>
        <v>2.7506775067750677</v>
      </c>
      <c r="X38" s="130">
        <v>1710</v>
      </c>
      <c r="Y38" s="131">
        <v>1644</v>
      </c>
      <c r="Z38" s="131">
        <v>709</v>
      </c>
      <c r="AA38" s="132">
        <f t="shared" si="13"/>
        <v>4063</v>
      </c>
      <c r="AB38" s="133">
        <f t="shared" si="14"/>
        <v>27.527100271002713</v>
      </c>
      <c r="AC38" s="134">
        <f t="shared" si="15"/>
        <v>4469</v>
      </c>
      <c r="AD38" s="135">
        <f t="shared" si="16"/>
        <v>30.277777777777779</v>
      </c>
      <c r="AE38" s="136">
        <v>25</v>
      </c>
      <c r="AF38" s="137">
        <v>26</v>
      </c>
      <c r="AG38" s="137">
        <v>0</v>
      </c>
      <c r="AH38" s="138">
        <f t="shared" si="17"/>
        <v>51</v>
      </c>
      <c r="AI38" s="133">
        <f t="shared" si="18"/>
        <v>0.34552845528455284</v>
      </c>
    </row>
    <row r="39" spans="1:35">
      <c r="A39" s="171">
        <f>IF('09월 조업일지'!A36="","",'09월 조업일지'!A36)</f>
        <v>46266</v>
      </c>
      <c r="B39" s="172" t="str">
        <f>'09월 조업일지'!E36</f>
        <v>D</v>
      </c>
      <c r="C39" s="172" t="str">
        <f>'09월 조업일지'!F36</f>
        <v>B</v>
      </c>
      <c r="D39" s="172">
        <f>'09월 화학성분'!C36</f>
        <v>85238</v>
      </c>
      <c r="E39" s="205" t="str">
        <f t="shared" si="19"/>
        <v>SS400(ToMok)</v>
      </c>
      <c r="F39" s="121">
        <v>19</v>
      </c>
      <c r="G39" s="122">
        <v>23100</v>
      </c>
      <c r="H39" s="123">
        <v>19</v>
      </c>
      <c r="I39" s="122">
        <v>20500</v>
      </c>
      <c r="J39" s="123">
        <v>7</v>
      </c>
      <c r="K39" s="122">
        <v>9300</v>
      </c>
      <c r="L39" s="124">
        <f t="shared" si="20"/>
        <v>45</v>
      </c>
      <c r="M39" s="125">
        <f t="shared" si="20"/>
        <v>52900</v>
      </c>
      <c r="N39" s="126">
        <f t="shared" si="7"/>
        <v>157.2498298162015</v>
      </c>
      <c r="O39" s="127">
        <f t="shared" si="8"/>
        <v>139.55071477195369</v>
      </c>
      <c r="P39" s="127">
        <f t="shared" si="9"/>
        <v>63.308373042886316</v>
      </c>
      <c r="Q39" s="128">
        <f t="shared" si="10"/>
        <v>360.10891763104149</v>
      </c>
      <c r="R39" s="129">
        <v>146.9</v>
      </c>
      <c r="S39" s="130">
        <v>0</v>
      </c>
      <c r="T39" s="131">
        <v>199</v>
      </c>
      <c r="U39" s="131">
        <v>206</v>
      </c>
      <c r="V39" s="132">
        <f t="shared" si="11"/>
        <v>405</v>
      </c>
      <c r="W39" s="133">
        <f t="shared" si="12"/>
        <v>2.7569775357385975</v>
      </c>
      <c r="X39" s="130">
        <v>1620</v>
      </c>
      <c r="Y39" s="131">
        <v>1684</v>
      </c>
      <c r="Z39" s="131">
        <v>795</v>
      </c>
      <c r="AA39" s="132">
        <f t="shared" si="13"/>
        <v>4099</v>
      </c>
      <c r="AB39" s="133">
        <f t="shared" si="14"/>
        <v>27.903335602450646</v>
      </c>
      <c r="AC39" s="134">
        <f t="shared" si="15"/>
        <v>4504</v>
      </c>
      <c r="AD39" s="135">
        <f t="shared" si="16"/>
        <v>30.660313138189242</v>
      </c>
      <c r="AE39" s="136">
        <v>23</v>
      </c>
      <c r="AF39" s="137">
        <v>30</v>
      </c>
      <c r="AG39" s="137">
        <v>0</v>
      </c>
      <c r="AH39" s="138">
        <f t="shared" si="17"/>
        <v>53</v>
      </c>
      <c r="AI39" s="133">
        <f t="shared" si="18"/>
        <v>0.36078965282505104</v>
      </c>
    </row>
    <row r="40" spans="1:35">
      <c r="A40" s="171">
        <f>IF('09월 조업일지'!A37="","",'09월 조업일지'!A37)</f>
        <v>46266</v>
      </c>
      <c r="B40" s="172" t="str">
        <f>'09월 조업일지'!E37</f>
        <v>D</v>
      </c>
      <c r="C40" s="172" t="str">
        <f>'09월 조업일지'!F37</f>
        <v>A</v>
      </c>
      <c r="D40" s="172">
        <f>'09월 화학성분'!C37</f>
        <v>85239</v>
      </c>
      <c r="E40" s="205" t="str">
        <f t="shared" si="19"/>
        <v>SS400(ToMok)</v>
      </c>
      <c r="F40" s="121">
        <v>20</v>
      </c>
      <c r="G40" s="122">
        <v>23100</v>
      </c>
      <c r="H40" s="123">
        <v>19</v>
      </c>
      <c r="I40" s="122">
        <v>20400</v>
      </c>
      <c r="J40" s="123">
        <v>6</v>
      </c>
      <c r="K40" s="122">
        <v>8700</v>
      </c>
      <c r="L40" s="124">
        <f t="shared" si="20"/>
        <v>45</v>
      </c>
      <c r="M40" s="125">
        <f t="shared" si="20"/>
        <v>52200</v>
      </c>
      <c r="N40" s="126">
        <f t="shared" si="7"/>
        <v>155.76534052596088</v>
      </c>
      <c r="O40" s="127">
        <f t="shared" si="8"/>
        <v>137.55900202292648</v>
      </c>
      <c r="P40" s="127">
        <f t="shared" si="9"/>
        <v>58.66486850977747</v>
      </c>
      <c r="Q40" s="128">
        <f t="shared" si="10"/>
        <v>351.98921105866481</v>
      </c>
      <c r="R40" s="129">
        <v>148.30000000000001</v>
      </c>
      <c r="S40" s="130">
        <v>0</v>
      </c>
      <c r="T40" s="131">
        <v>205</v>
      </c>
      <c r="U40" s="131">
        <v>203</v>
      </c>
      <c r="V40" s="132">
        <f t="shared" si="11"/>
        <v>408</v>
      </c>
      <c r="W40" s="133">
        <f t="shared" si="12"/>
        <v>2.7511800404585296</v>
      </c>
      <c r="X40" s="130">
        <v>1719</v>
      </c>
      <c r="Y40" s="131">
        <v>1640</v>
      </c>
      <c r="Z40" s="131">
        <v>717</v>
      </c>
      <c r="AA40" s="132">
        <f t="shared" si="13"/>
        <v>4076</v>
      </c>
      <c r="AB40" s="133">
        <f t="shared" si="14"/>
        <v>27.484828051247469</v>
      </c>
      <c r="AC40" s="134">
        <f t="shared" si="15"/>
        <v>4484</v>
      </c>
      <c r="AD40" s="135">
        <f t="shared" si="16"/>
        <v>30.236008091705997</v>
      </c>
      <c r="AE40" s="136">
        <v>26</v>
      </c>
      <c r="AF40" s="137">
        <v>28</v>
      </c>
      <c r="AG40" s="137">
        <v>0</v>
      </c>
      <c r="AH40" s="138">
        <f t="shared" si="17"/>
        <v>54</v>
      </c>
      <c r="AI40" s="133">
        <f t="shared" si="18"/>
        <v>0.36412677006068778</v>
      </c>
    </row>
    <row r="41" spans="1:35">
      <c r="A41" s="171">
        <f>IF('09월 조업일지'!A38="","",'09월 조업일지'!A38)</f>
        <v>46266</v>
      </c>
      <c r="B41" s="172" t="str">
        <f>'09월 조업일지'!E38</f>
        <v>D</v>
      </c>
      <c r="C41" s="172" t="str">
        <f>'09월 조업일지'!F38</f>
        <v>B</v>
      </c>
      <c r="D41" s="172">
        <f>'09월 화학성분'!C38</f>
        <v>85240</v>
      </c>
      <c r="E41" s="205" t="str">
        <f t="shared" si="19"/>
        <v>SS400(ToMok)</v>
      </c>
      <c r="F41" s="121">
        <v>19</v>
      </c>
      <c r="G41" s="122">
        <v>23500</v>
      </c>
      <c r="H41" s="123">
        <v>18</v>
      </c>
      <c r="I41" s="122">
        <v>20600</v>
      </c>
      <c r="J41" s="123">
        <v>6</v>
      </c>
      <c r="K41" s="122">
        <v>7900</v>
      </c>
      <c r="L41" s="124">
        <f t="shared" si="20"/>
        <v>43</v>
      </c>
      <c r="M41" s="125">
        <f t="shared" si="20"/>
        <v>52000</v>
      </c>
      <c r="N41" s="126">
        <f t="shared" si="7"/>
        <v>160.08174386920979</v>
      </c>
      <c r="O41" s="127">
        <f t="shared" si="8"/>
        <v>140.32697547683924</v>
      </c>
      <c r="P41" s="127">
        <f t="shared" si="9"/>
        <v>53.814713896457761</v>
      </c>
      <c r="Q41" s="128">
        <f t="shared" si="10"/>
        <v>354.22343324250676</v>
      </c>
      <c r="R41" s="129">
        <v>146.80000000000001</v>
      </c>
      <c r="S41" s="130">
        <v>0</v>
      </c>
      <c r="T41" s="131">
        <v>202</v>
      </c>
      <c r="U41" s="131">
        <v>200</v>
      </c>
      <c r="V41" s="132">
        <f t="shared" si="11"/>
        <v>402</v>
      </c>
      <c r="W41" s="133">
        <f t="shared" si="12"/>
        <v>2.73841961852861</v>
      </c>
      <c r="X41" s="130">
        <v>1680</v>
      </c>
      <c r="Y41" s="131">
        <v>1634</v>
      </c>
      <c r="Z41" s="131">
        <v>732</v>
      </c>
      <c r="AA41" s="132">
        <f t="shared" si="13"/>
        <v>4046</v>
      </c>
      <c r="AB41" s="133">
        <f t="shared" si="14"/>
        <v>27.561307901907355</v>
      </c>
      <c r="AC41" s="134">
        <f t="shared" si="15"/>
        <v>4448</v>
      </c>
      <c r="AD41" s="135">
        <f t="shared" si="16"/>
        <v>30.299727520435965</v>
      </c>
      <c r="AE41" s="136">
        <v>24</v>
      </c>
      <c r="AF41" s="137">
        <v>30</v>
      </c>
      <c r="AG41" s="137">
        <v>0</v>
      </c>
      <c r="AH41" s="138">
        <f t="shared" si="17"/>
        <v>54</v>
      </c>
      <c r="AI41" s="133">
        <f t="shared" si="18"/>
        <v>0.36784741144414168</v>
      </c>
    </row>
    <row r="42" spans="1:35">
      <c r="A42" s="171">
        <f>IF('09월 조업일지'!A39="","",'09월 조업일지'!A39)</f>
        <v>46266</v>
      </c>
      <c r="B42" s="172" t="str">
        <f>'09월 조업일지'!E39</f>
        <v>D</v>
      </c>
      <c r="C42" s="172" t="str">
        <f>'09월 조업일지'!F39</f>
        <v>A</v>
      </c>
      <c r="D42" s="172">
        <f>'09월 화학성분'!C39</f>
        <v>85241</v>
      </c>
      <c r="E42" s="205" t="str">
        <f t="shared" si="19"/>
        <v>SS400(ToMok)</v>
      </c>
      <c r="F42" s="121">
        <v>20</v>
      </c>
      <c r="G42" s="122">
        <v>23500</v>
      </c>
      <c r="H42" s="123">
        <v>19</v>
      </c>
      <c r="I42" s="122">
        <v>20400</v>
      </c>
      <c r="J42" s="123">
        <v>7</v>
      </c>
      <c r="K42" s="122">
        <v>9200</v>
      </c>
      <c r="L42" s="124">
        <f t="shared" si="20"/>
        <v>46</v>
      </c>
      <c r="M42" s="125">
        <f t="shared" si="20"/>
        <v>53100</v>
      </c>
      <c r="N42" s="126">
        <f t="shared" si="7"/>
        <v>158.56950067476384</v>
      </c>
      <c r="O42" s="127">
        <f t="shared" si="8"/>
        <v>137.65182186234819</v>
      </c>
      <c r="P42" s="127">
        <f t="shared" si="9"/>
        <v>62.078272604588399</v>
      </c>
      <c r="Q42" s="128">
        <f t="shared" si="10"/>
        <v>358.29959514170042</v>
      </c>
      <c r="R42" s="129">
        <v>148.19999999999999</v>
      </c>
      <c r="S42" s="130">
        <v>0</v>
      </c>
      <c r="T42" s="131">
        <v>214</v>
      </c>
      <c r="U42" s="131">
        <v>242</v>
      </c>
      <c r="V42" s="132">
        <f t="shared" si="11"/>
        <v>456</v>
      </c>
      <c r="W42" s="133">
        <f t="shared" si="12"/>
        <v>3.0769230769230771</v>
      </c>
      <c r="X42" s="130">
        <v>1699</v>
      </c>
      <c r="Y42" s="131">
        <v>1700</v>
      </c>
      <c r="Z42" s="131">
        <v>797</v>
      </c>
      <c r="AA42" s="132">
        <f t="shared" si="13"/>
        <v>4196</v>
      </c>
      <c r="AB42" s="133">
        <f t="shared" si="14"/>
        <v>28.313090418353578</v>
      </c>
      <c r="AC42" s="134">
        <f t="shared" si="15"/>
        <v>4652</v>
      </c>
      <c r="AD42" s="135">
        <f t="shared" si="16"/>
        <v>31.390013495276655</v>
      </c>
      <c r="AE42" s="136">
        <v>26</v>
      </c>
      <c r="AF42" s="137">
        <v>30</v>
      </c>
      <c r="AG42" s="137">
        <v>0</v>
      </c>
      <c r="AH42" s="138">
        <f t="shared" si="17"/>
        <v>56</v>
      </c>
      <c r="AI42" s="133">
        <f t="shared" si="18"/>
        <v>0.37786774628879893</v>
      </c>
    </row>
    <row r="43" spans="1:35">
      <c r="A43" s="265">
        <f>IF('09월 조업일지'!A40="","",'09월 조업일지'!A40)</f>
        <v>46266</v>
      </c>
      <c r="B43" s="172" t="str">
        <f>'09월 조업일지'!E40</f>
        <v>D</v>
      </c>
      <c r="C43" s="172" t="str">
        <f>'09월 조업일지'!F40</f>
        <v>B</v>
      </c>
      <c r="D43" s="172">
        <f>'09월 화학성분'!C40</f>
        <v>85242</v>
      </c>
      <c r="E43" s="205" t="str">
        <f t="shared" si="19"/>
        <v>SS400(ToMok)</v>
      </c>
      <c r="F43" s="121">
        <v>21</v>
      </c>
      <c r="G43" s="122">
        <v>23400</v>
      </c>
      <c r="H43" s="123">
        <v>18</v>
      </c>
      <c r="I43" s="122">
        <v>20500</v>
      </c>
      <c r="J43" s="123">
        <v>8</v>
      </c>
      <c r="K43" s="122">
        <v>9900</v>
      </c>
      <c r="L43" s="124">
        <f t="shared" si="20"/>
        <v>47</v>
      </c>
      <c r="M43" s="125">
        <f t="shared" si="20"/>
        <v>53800</v>
      </c>
      <c r="N43" s="126">
        <f t="shared" si="7"/>
        <v>159.94531784005466</v>
      </c>
      <c r="O43" s="127">
        <f t="shared" si="8"/>
        <v>140.12303485987695</v>
      </c>
      <c r="P43" s="127">
        <f t="shared" si="9"/>
        <v>67.669172932330824</v>
      </c>
      <c r="Q43" s="128">
        <f t="shared" si="10"/>
        <v>367.73752563226242</v>
      </c>
      <c r="R43" s="129">
        <v>146.30000000000001</v>
      </c>
      <c r="S43" s="130">
        <v>0</v>
      </c>
      <c r="T43" s="131">
        <v>207</v>
      </c>
      <c r="U43" s="131">
        <v>256</v>
      </c>
      <c r="V43" s="132">
        <f t="shared" si="11"/>
        <v>463</v>
      </c>
      <c r="W43" s="133">
        <f t="shared" si="12"/>
        <v>3.1647300068352697</v>
      </c>
      <c r="X43" s="130">
        <v>1670</v>
      </c>
      <c r="Y43" s="131">
        <v>1655</v>
      </c>
      <c r="Z43" s="131">
        <v>764</v>
      </c>
      <c r="AA43" s="132">
        <f t="shared" si="13"/>
        <v>4089</v>
      </c>
      <c r="AB43" s="133">
        <f t="shared" si="14"/>
        <v>27.949419002050579</v>
      </c>
      <c r="AC43" s="134">
        <f t="shared" si="15"/>
        <v>4552</v>
      </c>
      <c r="AD43" s="135">
        <f t="shared" si="16"/>
        <v>31.11414900888585</v>
      </c>
      <c r="AE43" s="136">
        <v>22</v>
      </c>
      <c r="AF43" s="137">
        <v>28</v>
      </c>
      <c r="AG43" s="137">
        <v>0</v>
      </c>
      <c r="AH43" s="138">
        <f t="shared" si="17"/>
        <v>50</v>
      </c>
      <c r="AI43" s="133">
        <f t="shared" si="18"/>
        <v>0.34176349965823649</v>
      </c>
    </row>
    <row r="44" spans="1:35">
      <c r="A44" s="171">
        <f>IF('09월 조업일지'!A41="","",'09월 조업일지'!A41)</f>
        <v>46266</v>
      </c>
      <c r="B44" s="172" t="str">
        <f>'09월 조업일지'!E41</f>
        <v>D</v>
      </c>
      <c r="C44" s="172" t="str">
        <f>'09월 조업일지'!F41</f>
        <v>A</v>
      </c>
      <c r="D44" s="172">
        <f>'09월 화학성분'!C41</f>
        <v>85243</v>
      </c>
      <c r="E44" s="205" t="str">
        <f t="shared" si="19"/>
        <v>SS400(ToMok)</v>
      </c>
      <c r="F44" s="121">
        <v>20</v>
      </c>
      <c r="G44" s="122">
        <v>23100</v>
      </c>
      <c r="H44" s="123">
        <v>17</v>
      </c>
      <c r="I44" s="122">
        <v>20300</v>
      </c>
      <c r="J44" s="123">
        <v>7</v>
      </c>
      <c r="K44" s="122">
        <v>8500</v>
      </c>
      <c r="L44" s="124">
        <f t="shared" si="20"/>
        <v>44</v>
      </c>
      <c r="M44" s="125">
        <f t="shared" si="20"/>
        <v>51900</v>
      </c>
      <c r="N44" s="126">
        <f t="shared" si="7"/>
        <v>156.82281059063135</v>
      </c>
      <c r="O44" s="127">
        <f t="shared" si="8"/>
        <v>137.81398506449423</v>
      </c>
      <c r="P44" s="127">
        <f t="shared" si="9"/>
        <v>57.70536320434487</v>
      </c>
      <c r="Q44" s="128">
        <f t="shared" si="10"/>
        <v>352.34215885947043</v>
      </c>
      <c r="R44" s="129">
        <v>147.30000000000001</v>
      </c>
      <c r="S44" s="130">
        <v>0</v>
      </c>
      <c r="T44" s="131">
        <v>179</v>
      </c>
      <c r="U44" s="131">
        <v>229</v>
      </c>
      <c r="V44" s="132">
        <f t="shared" si="11"/>
        <v>408</v>
      </c>
      <c r="W44" s="133">
        <f t="shared" si="12"/>
        <v>2.7698574338085535</v>
      </c>
      <c r="X44" s="130">
        <v>1712</v>
      </c>
      <c r="Y44" s="131">
        <v>1582</v>
      </c>
      <c r="Z44" s="131">
        <v>721</v>
      </c>
      <c r="AA44" s="132">
        <f t="shared" si="13"/>
        <v>4015</v>
      </c>
      <c r="AB44" s="133">
        <f t="shared" si="14"/>
        <v>27.257298031228782</v>
      </c>
      <c r="AC44" s="134">
        <f t="shared" si="15"/>
        <v>4423</v>
      </c>
      <c r="AD44" s="135">
        <f t="shared" si="16"/>
        <v>30.027155465037335</v>
      </c>
      <c r="AE44" s="136">
        <v>27</v>
      </c>
      <c r="AF44" s="137">
        <v>27</v>
      </c>
      <c r="AG44" s="137">
        <v>0</v>
      </c>
      <c r="AH44" s="138">
        <f t="shared" si="17"/>
        <v>54</v>
      </c>
      <c r="AI44" s="133">
        <f t="shared" si="18"/>
        <v>0.36659877800407331</v>
      </c>
    </row>
    <row r="45" spans="1:35">
      <c r="A45" s="171">
        <f>IF('09월 조업일지'!A42="","",'09월 조업일지'!A42)</f>
        <v>46267</v>
      </c>
      <c r="B45" s="172" t="str">
        <f>'09월 조업일지'!E42</f>
        <v>D</v>
      </c>
      <c r="C45" s="172" t="str">
        <f>'09월 조업일지'!F42</f>
        <v>B</v>
      </c>
      <c r="D45" s="172">
        <f>'09월 화학성분'!C42</f>
        <v>85244</v>
      </c>
      <c r="E45" s="205" t="str">
        <f t="shared" si="19"/>
        <v>SS400(ToMok)</v>
      </c>
      <c r="F45" s="121">
        <v>20</v>
      </c>
      <c r="G45" s="122">
        <v>23400</v>
      </c>
      <c r="H45" s="123">
        <v>17</v>
      </c>
      <c r="I45" s="122">
        <v>20400</v>
      </c>
      <c r="J45" s="123">
        <v>6</v>
      </c>
      <c r="K45" s="122">
        <v>7800</v>
      </c>
      <c r="L45" s="124">
        <f t="shared" si="20"/>
        <v>43</v>
      </c>
      <c r="M45" s="125">
        <f t="shared" si="20"/>
        <v>51600</v>
      </c>
      <c r="N45" s="126">
        <f t="shared" si="7"/>
        <v>158.21501014198782</v>
      </c>
      <c r="O45" s="127">
        <f t="shared" si="8"/>
        <v>137.93103448275861</v>
      </c>
      <c r="P45" s="127">
        <f t="shared" si="9"/>
        <v>52.738336713995942</v>
      </c>
      <c r="Q45" s="128">
        <f t="shared" si="10"/>
        <v>348.88438133874234</v>
      </c>
      <c r="R45" s="129">
        <v>147.9</v>
      </c>
      <c r="S45" s="130">
        <v>0</v>
      </c>
      <c r="T45" s="131">
        <v>209</v>
      </c>
      <c r="U45" s="131">
        <v>196</v>
      </c>
      <c r="V45" s="132">
        <f t="shared" si="11"/>
        <v>405</v>
      </c>
      <c r="W45" s="133">
        <f t="shared" si="12"/>
        <v>2.7383367139959431</v>
      </c>
      <c r="X45" s="130">
        <v>1630</v>
      </c>
      <c r="Y45" s="131">
        <v>1621</v>
      </c>
      <c r="Z45" s="131">
        <v>662</v>
      </c>
      <c r="AA45" s="132">
        <f t="shared" si="13"/>
        <v>3913</v>
      </c>
      <c r="AB45" s="133">
        <f t="shared" si="14"/>
        <v>26.457065584854629</v>
      </c>
      <c r="AC45" s="134">
        <f t="shared" si="15"/>
        <v>4318</v>
      </c>
      <c r="AD45" s="135">
        <f t="shared" si="16"/>
        <v>29.195402298850574</v>
      </c>
      <c r="AE45" s="136">
        <v>23</v>
      </c>
      <c r="AF45" s="137">
        <v>29</v>
      </c>
      <c r="AG45" s="137">
        <v>0</v>
      </c>
      <c r="AH45" s="138">
        <f t="shared" si="17"/>
        <v>52</v>
      </c>
      <c r="AI45" s="133">
        <f t="shared" si="18"/>
        <v>0.35158891142663962</v>
      </c>
    </row>
    <row r="46" spans="1:35">
      <c r="A46" s="171">
        <f>IF('09월 조업일지'!A43="","",'09월 조업일지'!A43)</f>
        <v>46267</v>
      </c>
      <c r="B46" s="172" t="str">
        <f>'09월 조업일지'!E43</f>
        <v>D</v>
      </c>
      <c r="C46" s="172" t="str">
        <f>'09월 조업일지'!F43</f>
        <v>A</v>
      </c>
      <c r="D46" s="172">
        <f>'09월 화학성분'!C43</f>
        <v>85245</v>
      </c>
      <c r="E46" s="205" t="str">
        <f t="shared" si="19"/>
        <v>SS400(ToMok)</v>
      </c>
      <c r="F46" s="121">
        <v>22</v>
      </c>
      <c r="G46" s="122">
        <v>23200</v>
      </c>
      <c r="H46" s="123">
        <v>16</v>
      </c>
      <c r="I46" s="122">
        <v>20700</v>
      </c>
      <c r="J46" s="123">
        <v>6</v>
      </c>
      <c r="K46" s="122">
        <v>6800</v>
      </c>
      <c r="L46" s="124">
        <f t="shared" si="20"/>
        <v>44</v>
      </c>
      <c r="M46" s="125">
        <f t="shared" si="20"/>
        <v>50700</v>
      </c>
      <c r="N46" s="126">
        <f t="shared" si="7"/>
        <v>155.18394648829431</v>
      </c>
      <c r="O46" s="127">
        <f t="shared" si="8"/>
        <v>138.46153846153845</v>
      </c>
      <c r="P46" s="127">
        <f t="shared" si="9"/>
        <v>45.484949832775918</v>
      </c>
      <c r="Q46" s="128">
        <f t="shared" si="10"/>
        <v>339.13043478260863</v>
      </c>
      <c r="R46" s="129">
        <v>149.5</v>
      </c>
      <c r="S46" s="130">
        <v>0</v>
      </c>
      <c r="T46" s="131">
        <v>200</v>
      </c>
      <c r="U46" s="131">
        <v>204</v>
      </c>
      <c r="V46" s="132">
        <f t="shared" si="11"/>
        <v>404</v>
      </c>
      <c r="W46" s="133">
        <f t="shared" si="12"/>
        <v>2.7023411371237458</v>
      </c>
      <c r="X46" s="130">
        <v>1787</v>
      </c>
      <c r="Y46" s="131">
        <v>1657</v>
      </c>
      <c r="Z46" s="131">
        <v>558</v>
      </c>
      <c r="AA46" s="132">
        <f t="shared" si="13"/>
        <v>4002</v>
      </c>
      <c r="AB46" s="133">
        <f t="shared" si="14"/>
        <v>26.76923076923077</v>
      </c>
      <c r="AC46" s="134">
        <f t="shared" si="15"/>
        <v>4406</v>
      </c>
      <c r="AD46" s="135">
        <f t="shared" si="16"/>
        <v>29.471571906354516</v>
      </c>
      <c r="AE46" s="136">
        <v>27</v>
      </c>
      <c r="AF46" s="137">
        <v>25</v>
      </c>
      <c r="AG46" s="137">
        <v>0</v>
      </c>
      <c r="AH46" s="138">
        <f t="shared" si="17"/>
        <v>52</v>
      </c>
      <c r="AI46" s="133">
        <f t="shared" si="18"/>
        <v>0.34782608695652173</v>
      </c>
    </row>
    <row r="47" spans="1:35">
      <c r="A47" s="171">
        <f>IF('09월 조업일지'!A44="","",'09월 조업일지'!A44)</f>
        <v>46267</v>
      </c>
      <c r="B47" s="172" t="str">
        <f>'09월 조업일지'!E44</f>
        <v>D</v>
      </c>
      <c r="C47" s="172" t="str">
        <f>'09월 조업일지'!F44</f>
        <v>B</v>
      </c>
      <c r="D47" s="172">
        <f>'09월 화학성분'!C44</f>
        <v>85246</v>
      </c>
      <c r="E47" s="205" t="str">
        <f t="shared" si="19"/>
        <v>SS400(ToMok)</v>
      </c>
      <c r="F47" s="121">
        <v>21</v>
      </c>
      <c r="G47" s="122">
        <v>23300</v>
      </c>
      <c r="H47" s="123">
        <v>17</v>
      </c>
      <c r="I47" s="122">
        <v>20500</v>
      </c>
      <c r="J47" s="123">
        <v>7</v>
      </c>
      <c r="K47" s="122">
        <v>9200</v>
      </c>
      <c r="L47" s="124">
        <f t="shared" si="20"/>
        <v>45</v>
      </c>
      <c r="M47" s="125">
        <f t="shared" si="20"/>
        <v>53000</v>
      </c>
      <c r="N47" s="126">
        <f t="shared" si="7"/>
        <v>157.96610169491527</v>
      </c>
      <c r="O47" s="127">
        <f t="shared" si="8"/>
        <v>138.98305084745763</v>
      </c>
      <c r="P47" s="127">
        <f t="shared" si="9"/>
        <v>62.372881355932201</v>
      </c>
      <c r="Q47" s="128">
        <f t="shared" si="10"/>
        <v>359.32203389830505</v>
      </c>
      <c r="R47" s="129">
        <v>147.5</v>
      </c>
      <c r="S47" s="130">
        <v>0</v>
      </c>
      <c r="T47" s="131">
        <v>178</v>
      </c>
      <c r="U47" s="131">
        <v>227</v>
      </c>
      <c r="V47" s="132">
        <f t="shared" si="11"/>
        <v>405</v>
      </c>
      <c r="W47" s="133">
        <f t="shared" si="12"/>
        <v>2.7457627118644066</v>
      </c>
      <c r="X47" s="130">
        <v>1677</v>
      </c>
      <c r="Y47" s="131">
        <v>1608</v>
      </c>
      <c r="Z47" s="131">
        <v>758</v>
      </c>
      <c r="AA47" s="132">
        <f t="shared" si="13"/>
        <v>4043</v>
      </c>
      <c r="AB47" s="133">
        <f t="shared" si="14"/>
        <v>27.410169491525423</v>
      </c>
      <c r="AC47" s="134">
        <f t="shared" si="15"/>
        <v>4448</v>
      </c>
      <c r="AD47" s="135">
        <f t="shared" si="16"/>
        <v>30.155932203389831</v>
      </c>
      <c r="AE47" s="136">
        <v>25</v>
      </c>
      <c r="AF47" s="137">
        <v>30</v>
      </c>
      <c r="AG47" s="137">
        <v>0</v>
      </c>
      <c r="AH47" s="138">
        <f t="shared" si="17"/>
        <v>55</v>
      </c>
      <c r="AI47" s="133">
        <f t="shared" si="18"/>
        <v>0.3728813559322034</v>
      </c>
    </row>
    <row r="48" spans="1:35">
      <c r="A48" s="171">
        <f>IF('09월 조업일지'!A45="","",'09월 조업일지'!A45)</f>
        <v>46267</v>
      </c>
      <c r="B48" s="172" t="str">
        <f>'09월 조업일지'!E45</f>
        <v>D</v>
      </c>
      <c r="C48" s="172" t="str">
        <f>'09월 조업일지'!F45</f>
        <v>A</v>
      </c>
      <c r="D48" s="172">
        <f>'09월 화학성분'!C45</f>
        <v>85247</v>
      </c>
      <c r="E48" s="205" t="str">
        <f t="shared" si="19"/>
        <v>SS400(ToMok)</v>
      </c>
      <c r="F48" s="121">
        <v>20</v>
      </c>
      <c r="G48" s="122">
        <v>23200</v>
      </c>
      <c r="H48" s="123">
        <v>17</v>
      </c>
      <c r="I48" s="122">
        <v>20600</v>
      </c>
      <c r="J48" s="123">
        <v>6</v>
      </c>
      <c r="K48" s="122">
        <v>7900</v>
      </c>
      <c r="L48" s="124">
        <f t="shared" si="20"/>
        <v>43</v>
      </c>
      <c r="M48" s="125">
        <f t="shared" si="20"/>
        <v>51700</v>
      </c>
      <c r="N48" s="126">
        <f t="shared" si="7"/>
        <v>156.96887686062246</v>
      </c>
      <c r="O48" s="127">
        <f t="shared" si="8"/>
        <v>139.37753721244925</v>
      </c>
      <c r="P48" s="127">
        <f t="shared" si="9"/>
        <v>53.450608930987819</v>
      </c>
      <c r="Q48" s="128">
        <f t="shared" si="10"/>
        <v>349.79702300405955</v>
      </c>
      <c r="R48" s="129">
        <v>147.80000000000001</v>
      </c>
      <c r="S48" s="130">
        <v>0</v>
      </c>
      <c r="T48" s="131">
        <v>208</v>
      </c>
      <c r="U48" s="131">
        <v>198</v>
      </c>
      <c r="V48" s="132">
        <f t="shared" si="11"/>
        <v>406</v>
      </c>
      <c r="W48" s="133">
        <f t="shared" si="12"/>
        <v>2.746955345060893</v>
      </c>
      <c r="X48" s="130">
        <v>1672</v>
      </c>
      <c r="Y48" s="131">
        <v>1627</v>
      </c>
      <c r="Z48" s="131">
        <v>552</v>
      </c>
      <c r="AA48" s="132">
        <f t="shared" si="13"/>
        <v>3851</v>
      </c>
      <c r="AB48" s="133">
        <f t="shared" si="14"/>
        <v>26.05548037889039</v>
      </c>
      <c r="AC48" s="134">
        <f t="shared" si="15"/>
        <v>4257</v>
      </c>
      <c r="AD48" s="135">
        <f t="shared" si="16"/>
        <v>28.802435723951284</v>
      </c>
      <c r="AE48" s="136">
        <v>25</v>
      </c>
      <c r="AF48" s="137">
        <v>26</v>
      </c>
      <c r="AG48" s="137">
        <v>0</v>
      </c>
      <c r="AH48" s="138">
        <f t="shared" si="17"/>
        <v>51</v>
      </c>
      <c r="AI48" s="133">
        <f t="shared" si="18"/>
        <v>0.34506089309878213</v>
      </c>
    </row>
    <row r="49" spans="1:35">
      <c r="A49" s="171">
        <f>IF('09월 조업일지'!A46="","",'09월 조업일지'!A46)</f>
        <v>46267</v>
      </c>
      <c r="B49" s="172" t="str">
        <f>'09월 조업일지'!E46</f>
        <v>A</v>
      </c>
      <c r="C49" s="172" t="str">
        <f>'09월 조업일지'!F46</f>
        <v>B</v>
      </c>
      <c r="D49" s="172">
        <f>'09월 화학성분'!C46</f>
        <v>85248</v>
      </c>
      <c r="E49" s="205" t="str">
        <f t="shared" si="19"/>
        <v>SS400(ToMok)</v>
      </c>
      <c r="F49" s="121">
        <v>19</v>
      </c>
      <c r="G49" s="122">
        <v>23000</v>
      </c>
      <c r="H49" s="123">
        <v>16</v>
      </c>
      <c r="I49" s="122">
        <v>20400</v>
      </c>
      <c r="J49" s="123">
        <v>8</v>
      </c>
      <c r="K49" s="122">
        <v>10500</v>
      </c>
      <c r="L49" s="124">
        <f t="shared" si="20"/>
        <v>43</v>
      </c>
      <c r="M49" s="125">
        <f t="shared" si="20"/>
        <v>53900</v>
      </c>
      <c r="N49" s="126">
        <f t="shared" si="7"/>
        <v>157.42642026009582</v>
      </c>
      <c r="O49" s="127">
        <f t="shared" si="8"/>
        <v>139.63039014373717</v>
      </c>
      <c r="P49" s="127">
        <f t="shared" si="9"/>
        <v>71.868583162217661</v>
      </c>
      <c r="Q49" s="128">
        <f t="shared" si="10"/>
        <v>368.92539356605062</v>
      </c>
      <c r="R49" s="129">
        <v>146.1</v>
      </c>
      <c r="S49" s="130">
        <v>0</v>
      </c>
      <c r="T49" s="131">
        <v>143</v>
      </c>
      <c r="U49" s="131">
        <v>201</v>
      </c>
      <c r="V49" s="132">
        <f t="shared" si="11"/>
        <v>344</v>
      </c>
      <c r="W49" s="133">
        <f t="shared" si="12"/>
        <v>2.3545516769336072</v>
      </c>
      <c r="X49" s="130">
        <v>1603</v>
      </c>
      <c r="Y49" s="131">
        <v>1620</v>
      </c>
      <c r="Z49" s="131">
        <v>902</v>
      </c>
      <c r="AA49" s="132">
        <f t="shared" si="13"/>
        <v>4125</v>
      </c>
      <c r="AB49" s="133">
        <f t="shared" si="14"/>
        <v>28.234086242299796</v>
      </c>
      <c r="AC49" s="134">
        <f t="shared" si="15"/>
        <v>4469</v>
      </c>
      <c r="AD49" s="135">
        <f t="shared" si="16"/>
        <v>30.588637919233403</v>
      </c>
      <c r="AE49" s="136">
        <v>22</v>
      </c>
      <c r="AF49" s="137">
        <v>31</v>
      </c>
      <c r="AG49" s="137">
        <v>0</v>
      </c>
      <c r="AH49" s="138">
        <f t="shared" si="17"/>
        <v>53</v>
      </c>
      <c r="AI49" s="133">
        <f t="shared" si="18"/>
        <v>0.36276522929500343</v>
      </c>
    </row>
    <row r="50" spans="1:35">
      <c r="A50" s="171">
        <f>IF('09월 조업일지'!A47="","",'09월 조업일지'!A47)</f>
        <v>46267</v>
      </c>
      <c r="B50" s="172" t="str">
        <f>'09월 조업일지'!E47</f>
        <v>A</v>
      </c>
      <c r="C50" s="172" t="str">
        <f>'09월 조업일지'!F47</f>
        <v>A</v>
      </c>
      <c r="D50" s="172">
        <f>'09월 화학성분'!C47</f>
        <v>85249</v>
      </c>
      <c r="E50" s="205" t="str">
        <f t="shared" si="19"/>
        <v>SS400(ToMok)</v>
      </c>
      <c r="F50" s="121">
        <v>20</v>
      </c>
      <c r="G50" s="122">
        <v>23400</v>
      </c>
      <c r="H50" s="123">
        <v>17</v>
      </c>
      <c r="I50" s="122">
        <v>20500</v>
      </c>
      <c r="J50" s="123">
        <v>7</v>
      </c>
      <c r="K50" s="122">
        <v>9000</v>
      </c>
      <c r="L50" s="124">
        <f t="shared" si="20"/>
        <v>44</v>
      </c>
      <c r="M50" s="125">
        <f t="shared" si="20"/>
        <v>52900</v>
      </c>
      <c r="N50" s="126">
        <f t="shared" si="7"/>
        <v>156</v>
      </c>
      <c r="O50" s="127">
        <f t="shared" si="8"/>
        <v>136.66666666666666</v>
      </c>
      <c r="P50" s="127">
        <f t="shared" si="9"/>
        <v>60</v>
      </c>
      <c r="Q50" s="128">
        <f t="shared" si="10"/>
        <v>352.66666666666663</v>
      </c>
      <c r="R50" s="129">
        <v>150</v>
      </c>
      <c r="S50" s="130">
        <v>0</v>
      </c>
      <c r="T50" s="131">
        <v>175</v>
      </c>
      <c r="U50" s="131">
        <v>140</v>
      </c>
      <c r="V50" s="132">
        <f t="shared" si="11"/>
        <v>315</v>
      </c>
      <c r="W50" s="133">
        <f t="shared" si="12"/>
        <v>2.1</v>
      </c>
      <c r="X50" s="130">
        <v>1697</v>
      </c>
      <c r="Y50" s="131">
        <v>1597</v>
      </c>
      <c r="Z50" s="131">
        <v>772</v>
      </c>
      <c r="AA50" s="132">
        <f t="shared" si="13"/>
        <v>4066</v>
      </c>
      <c r="AB50" s="133">
        <f t="shared" si="14"/>
        <v>27.106666666666666</v>
      </c>
      <c r="AC50" s="134">
        <f t="shared" si="15"/>
        <v>4381</v>
      </c>
      <c r="AD50" s="135">
        <f t="shared" si="16"/>
        <v>29.206666666666667</v>
      </c>
      <c r="AE50" s="136">
        <v>27</v>
      </c>
      <c r="AF50" s="137">
        <v>23</v>
      </c>
      <c r="AG50" s="137">
        <v>0</v>
      </c>
      <c r="AH50" s="138">
        <f t="shared" si="17"/>
        <v>50</v>
      </c>
      <c r="AI50" s="133">
        <f t="shared" si="18"/>
        <v>0.33333333333333331</v>
      </c>
    </row>
    <row r="51" spans="1:35">
      <c r="A51" s="171">
        <f>IF('09월 조업일지'!A48="","",'09월 조업일지'!A48)</f>
        <v>46267</v>
      </c>
      <c r="B51" s="172" t="str">
        <f>'09월 조업일지'!E48</f>
        <v>A</v>
      </c>
      <c r="C51" s="172" t="str">
        <f>'09월 조업일지'!F48</f>
        <v>B</v>
      </c>
      <c r="D51" s="172">
        <f>'09월 화학성분'!C48</f>
        <v>85250</v>
      </c>
      <c r="E51" s="205" t="str">
        <f t="shared" si="19"/>
        <v>SS400(ToMok)</v>
      </c>
      <c r="F51" s="121">
        <v>22</v>
      </c>
      <c r="G51" s="122">
        <v>23700</v>
      </c>
      <c r="H51" s="123">
        <v>17</v>
      </c>
      <c r="I51" s="122">
        <v>20800</v>
      </c>
      <c r="J51" s="123">
        <v>7</v>
      </c>
      <c r="K51" s="122">
        <v>8800</v>
      </c>
      <c r="L51" s="124">
        <f t="shared" si="20"/>
        <v>46</v>
      </c>
      <c r="M51" s="125">
        <f t="shared" si="20"/>
        <v>53300</v>
      </c>
      <c r="N51" s="126">
        <f t="shared" si="7"/>
        <v>163.78714581893576</v>
      </c>
      <c r="O51" s="127">
        <f t="shared" si="8"/>
        <v>143.74568071872841</v>
      </c>
      <c r="P51" s="127">
        <f t="shared" si="9"/>
        <v>60.815480304077404</v>
      </c>
      <c r="Q51" s="128">
        <f t="shared" si="10"/>
        <v>368.34830684174159</v>
      </c>
      <c r="R51" s="129">
        <v>144.69999999999999</v>
      </c>
      <c r="S51" s="130">
        <v>0</v>
      </c>
      <c r="T51" s="131">
        <v>185</v>
      </c>
      <c r="U51" s="131">
        <v>145</v>
      </c>
      <c r="V51" s="132">
        <f t="shared" si="11"/>
        <v>330</v>
      </c>
      <c r="W51" s="133">
        <f t="shared" si="12"/>
        <v>2.2805805114029027</v>
      </c>
      <c r="X51" s="130">
        <v>1765</v>
      </c>
      <c r="Y51" s="131">
        <v>1597</v>
      </c>
      <c r="Z51" s="131">
        <v>778</v>
      </c>
      <c r="AA51" s="132">
        <f t="shared" si="13"/>
        <v>4140</v>
      </c>
      <c r="AB51" s="133">
        <f t="shared" si="14"/>
        <v>28.610919143054598</v>
      </c>
      <c r="AC51" s="134">
        <f t="shared" si="15"/>
        <v>4470</v>
      </c>
      <c r="AD51" s="135">
        <f t="shared" si="16"/>
        <v>30.891499654457501</v>
      </c>
      <c r="AE51" s="136">
        <v>24</v>
      </c>
      <c r="AF51" s="137">
        <v>26</v>
      </c>
      <c r="AG51" s="137">
        <v>0</v>
      </c>
      <c r="AH51" s="138">
        <f t="shared" si="17"/>
        <v>50</v>
      </c>
      <c r="AI51" s="133">
        <f t="shared" si="18"/>
        <v>0.34554250172771256</v>
      </c>
    </row>
    <row r="52" spans="1:35">
      <c r="A52" s="171">
        <f>IF('09월 조업일지'!A49="","",'09월 조업일지'!A49)</f>
        <v>46267</v>
      </c>
      <c r="B52" s="172" t="str">
        <f>'09월 조업일지'!E49</f>
        <v>A</v>
      </c>
      <c r="C52" s="172" t="str">
        <f>'09월 조업일지'!F49</f>
        <v>A</v>
      </c>
      <c r="D52" s="172">
        <f>'09월 화학성분'!C49</f>
        <v>85251</v>
      </c>
      <c r="E52" s="205" t="str">
        <f t="shared" si="19"/>
        <v>SS400(ToMok)</v>
      </c>
      <c r="F52" s="121">
        <v>19</v>
      </c>
      <c r="G52" s="122">
        <v>23200</v>
      </c>
      <c r="H52" s="123">
        <v>18</v>
      </c>
      <c r="I52" s="122">
        <v>20500</v>
      </c>
      <c r="J52" s="123">
        <v>8</v>
      </c>
      <c r="K52" s="122">
        <v>10900</v>
      </c>
      <c r="L52" s="124">
        <f t="shared" si="20"/>
        <v>45</v>
      </c>
      <c r="M52" s="125">
        <f t="shared" si="20"/>
        <v>54600</v>
      </c>
      <c r="N52" s="126">
        <f t="shared" si="7"/>
        <v>159.45017182130584</v>
      </c>
      <c r="O52" s="127">
        <f t="shared" si="8"/>
        <v>140.89347079037802</v>
      </c>
      <c r="P52" s="127">
        <f t="shared" si="9"/>
        <v>74.914089347079042</v>
      </c>
      <c r="Q52" s="128">
        <f t="shared" si="10"/>
        <v>375.25773195876292</v>
      </c>
      <c r="R52" s="129">
        <v>145.5</v>
      </c>
      <c r="S52" s="130">
        <v>0</v>
      </c>
      <c r="T52" s="131">
        <v>186</v>
      </c>
      <c r="U52" s="131">
        <v>215</v>
      </c>
      <c r="V52" s="132">
        <f t="shared" si="11"/>
        <v>401</v>
      </c>
      <c r="W52" s="133">
        <f t="shared" si="12"/>
        <v>2.7560137457044673</v>
      </c>
      <c r="X52" s="130">
        <v>1260</v>
      </c>
      <c r="Y52" s="131">
        <v>1754</v>
      </c>
      <c r="Z52" s="131">
        <v>1006</v>
      </c>
      <c r="AA52" s="132">
        <f t="shared" si="13"/>
        <v>4020</v>
      </c>
      <c r="AB52" s="133">
        <f t="shared" si="14"/>
        <v>27.628865979381445</v>
      </c>
      <c r="AC52" s="134">
        <f t="shared" si="15"/>
        <v>4421</v>
      </c>
      <c r="AD52" s="135">
        <f t="shared" si="16"/>
        <v>30.384879725085909</v>
      </c>
      <c r="AE52" s="136">
        <v>3</v>
      </c>
      <c r="AF52" s="137">
        <v>26</v>
      </c>
      <c r="AG52" s="137">
        <v>0</v>
      </c>
      <c r="AH52" s="138">
        <f t="shared" si="17"/>
        <v>29</v>
      </c>
      <c r="AI52" s="133">
        <f t="shared" si="18"/>
        <v>0.19931271477663232</v>
      </c>
    </row>
    <row r="53" spans="1:35">
      <c r="A53" s="171">
        <f>IF('09월 조업일지'!A50="","",'09월 조업일지'!A50)</f>
        <v>46267</v>
      </c>
      <c r="B53" s="172" t="str">
        <f>'09월 조업일지'!E50</f>
        <v>A</v>
      </c>
      <c r="C53" s="172" t="str">
        <f>'09월 조업일지'!F50</f>
        <v>B</v>
      </c>
      <c r="D53" s="172">
        <f>'09월 화학성분'!C50</f>
        <v>85252</v>
      </c>
      <c r="E53" s="205" t="str">
        <f t="shared" si="19"/>
        <v>SS400(ToMok)</v>
      </c>
      <c r="F53" s="121">
        <v>20</v>
      </c>
      <c r="G53" s="122">
        <v>23500</v>
      </c>
      <c r="H53" s="123">
        <v>17</v>
      </c>
      <c r="I53" s="122">
        <v>20600</v>
      </c>
      <c r="J53" s="123">
        <v>7</v>
      </c>
      <c r="K53" s="122">
        <v>8300</v>
      </c>
      <c r="L53" s="124">
        <f t="shared" si="20"/>
        <v>44</v>
      </c>
      <c r="M53" s="125">
        <f t="shared" si="20"/>
        <v>52400</v>
      </c>
      <c r="N53" s="126">
        <f t="shared" si="7"/>
        <v>159.97277059223961</v>
      </c>
      <c r="O53" s="127">
        <f t="shared" si="8"/>
        <v>140.23144996596324</v>
      </c>
      <c r="P53" s="127">
        <f t="shared" si="9"/>
        <v>56.501021102791015</v>
      </c>
      <c r="Q53" s="128">
        <f t="shared" si="10"/>
        <v>356.70524166099386</v>
      </c>
      <c r="R53" s="129">
        <v>146.9</v>
      </c>
      <c r="S53" s="130">
        <v>0</v>
      </c>
      <c r="T53" s="131">
        <v>185</v>
      </c>
      <c r="U53" s="131">
        <v>173</v>
      </c>
      <c r="V53" s="132">
        <f t="shared" si="11"/>
        <v>358</v>
      </c>
      <c r="W53" s="133">
        <f t="shared" si="12"/>
        <v>2.4370319945541183</v>
      </c>
      <c r="X53" s="130">
        <v>1687</v>
      </c>
      <c r="Y53" s="131">
        <v>1595</v>
      </c>
      <c r="Z53" s="131">
        <v>732</v>
      </c>
      <c r="AA53" s="132">
        <f t="shared" si="13"/>
        <v>4014</v>
      </c>
      <c r="AB53" s="133">
        <f t="shared" si="14"/>
        <v>27.324710687542545</v>
      </c>
      <c r="AC53" s="134">
        <f t="shared" si="15"/>
        <v>4372</v>
      </c>
      <c r="AD53" s="135">
        <f t="shared" si="16"/>
        <v>29.761742682096664</v>
      </c>
      <c r="AE53" s="136">
        <v>23</v>
      </c>
      <c r="AF53" s="137">
        <v>26</v>
      </c>
      <c r="AG53" s="137">
        <v>0</v>
      </c>
      <c r="AH53" s="138">
        <f t="shared" si="17"/>
        <v>49</v>
      </c>
      <c r="AI53" s="133">
        <f t="shared" si="18"/>
        <v>0.33356024506466986</v>
      </c>
    </row>
    <row r="54" spans="1:35">
      <c r="A54" s="171">
        <f>IF('09월 조업일지'!A51="","",'09월 조업일지'!A51)</f>
        <v>46267</v>
      </c>
      <c r="B54" s="172" t="str">
        <f>'09월 조업일지'!E51</f>
        <v>A</v>
      </c>
      <c r="C54" s="172" t="str">
        <f>'09월 조업일지'!F51</f>
        <v>A</v>
      </c>
      <c r="D54" s="172">
        <f>'09월 화학성분'!C51</f>
        <v>85253</v>
      </c>
      <c r="E54" s="205" t="str">
        <f t="shared" si="19"/>
        <v>SS400(ToMok)</v>
      </c>
      <c r="F54" s="121">
        <v>20</v>
      </c>
      <c r="G54" s="122">
        <v>23300</v>
      </c>
      <c r="H54" s="123">
        <v>18</v>
      </c>
      <c r="I54" s="122">
        <v>20300</v>
      </c>
      <c r="J54" s="123">
        <v>9</v>
      </c>
      <c r="K54" s="122">
        <v>11500</v>
      </c>
      <c r="L54" s="124">
        <f t="shared" si="20"/>
        <v>47</v>
      </c>
      <c r="M54" s="125">
        <f t="shared" si="20"/>
        <v>55100</v>
      </c>
      <c r="N54" s="126">
        <f t="shared" si="7"/>
        <v>159.69842357779299</v>
      </c>
      <c r="O54" s="127">
        <f t="shared" si="8"/>
        <v>139.13639479095269</v>
      </c>
      <c r="P54" s="127">
        <f t="shared" si="9"/>
        <v>78.821110349554488</v>
      </c>
      <c r="Q54" s="128">
        <f t="shared" si="10"/>
        <v>377.65592871830017</v>
      </c>
      <c r="R54" s="129">
        <v>145.9</v>
      </c>
      <c r="S54" s="130">
        <v>0</v>
      </c>
      <c r="T54" s="131">
        <v>109</v>
      </c>
      <c r="U54" s="131">
        <v>392</v>
      </c>
      <c r="V54" s="132">
        <f t="shared" si="11"/>
        <v>501</v>
      </c>
      <c r="W54" s="133">
        <f t="shared" si="12"/>
        <v>3.4338588074023302</v>
      </c>
      <c r="X54" s="130">
        <v>1659</v>
      </c>
      <c r="Y54" s="131">
        <v>1655</v>
      </c>
      <c r="Z54" s="131">
        <v>1588</v>
      </c>
      <c r="AA54" s="132">
        <f t="shared" si="13"/>
        <v>4902</v>
      </c>
      <c r="AB54" s="133">
        <f t="shared" si="14"/>
        <v>33.598355037697054</v>
      </c>
      <c r="AC54" s="134">
        <f t="shared" si="15"/>
        <v>5403</v>
      </c>
      <c r="AD54" s="135">
        <f t="shared" si="16"/>
        <v>37.032213845099385</v>
      </c>
      <c r="AE54" s="136">
        <v>25</v>
      </c>
      <c r="AF54" s="137">
        <v>23</v>
      </c>
      <c r="AG54" s="137">
        <v>0</v>
      </c>
      <c r="AH54" s="138">
        <f t="shared" si="17"/>
        <v>48</v>
      </c>
      <c r="AI54" s="133">
        <f t="shared" si="18"/>
        <v>0.32899246058944481</v>
      </c>
    </row>
    <row r="55" spans="1:35">
      <c r="A55" s="171">
        <f>IF('09월 조업일지'!A52="","",'09월 조업일지'!A52)</f>
        <v>46267</v>
      </c>
      <c r="B55" s="172" t="str">
        <f>'09월 조업일지'!E52</f>
        <v>A</v>
      </c>
      <c r="C55" s="172" t="str">
        <f>'09월 조업일지'!F52</f>
        <v>B</v>
      </c>
      <c r="D55" s="172">
        <f>'09월 화학성분'!C52</f>
        <v>85254</v>
      </c>
      <c r="E55" s="205" t="str">
        <f t="shared" si="19"/>
        <v>SS400(ToMok)</v>
      </c>
      <c r="F55" s="121">
        <v>20</v>
      </c>
      <c r="G55" s="122">
        <v>23300</v>
      </c>
      <c r="H55" s="123">
        <v>17</v>
      </c>
      <c r="I55" s="122">
        <v>20600</v>
      </c>
      <c r="J55" s="123">
        <v>7</v>
      </c>
      <c r="K55" s="122">
        <v>8600</v>
      </c>
      <c r="L55" s="124">
        <f t="shared" si="20"/>
        <v>44</v>
      </c>
      <c r="M55" s="125">
        <f t="shared" si="20"/>
        <v>52500</v>
      </c>
      <c r="N55" s="126">
        <f t="shared" si="7"/>
        <v>159.80795610425238</v>
      </c>
      <c r="O55" s="127">
        <f t="shared" si="8"/>
        <v>141.28943758573388</v>
      </c>
      <c r="P55" s="127">
        <f t="shared" si="9"/>
        <v>58.984910836762687</v>
      </c>
      <c r="Q55" s="128">
        <f t="shared" si="10"/>
        <v>360.08230452674894</v>
      </c>
      <c r="R55" s="129">
        <v>145.80000000000001</v>
      </c>
      <c r="S55" s="130">
        <v>0</v>
      </c>
      <c r="T55" s="131">
        <v>180</v>
      </c>
      <c r="U55" s="131">
        <v>157</v>
      </c>
      <c r="V55" s="132">
        <f t="shared" si="11"/>
        <v>337</v>
      </c>
      <c r="W55" s="133">
        <f t="shared" si="12"/>
        <v>2.3113854595336076</v>
      </c>
      <c r="X55" s="130">
        <v>1669</v>
      </c>
      <c r="Y55" s="131">
        <v>1589</v>
      </c>
      <c r="Z55" s="131">
        <v>756</v>
      </c>
      <c r="AA55" s="132">
        <f t="shared" si="13"/>
        <v>4014</v>
      </c>
      <c r="AB55" s="133">
        <f t="shared" si="14"/>
        <v>27.53086419753086</v>
      </c>
      <c r="AC55" s="134">
        <f t="shared" si="15"/>
        <v>4351</v>
      </c>
      <c r="AD55" s="135">
        <f t="shared" si="16"/>
        <v>29.842249657064471</v>
      </c>
      <c r="AE55" s="136">
        <v>25</v>
      </c>
      <c r="AF55" s="137">
        <v>28</v>
      </c>
      <c r="AG55" s="137">
        <v>0</v>
      </c>
      <c r="AH55" s="138">
        <f t="shared" si="17"/>
        <v>53</v>
      </c>
      <c r="AI55" s="133">
        <f t="shared" si="18"/>
        <v>0.36351165980795608</v>
      </c>
    </row>
    <row r="56" spans="1:35">
      <c r="A56" s="171">
        <f>IF('09월 조업일지'!A53="","",'09월 조업일지'!A53)</f>
        <v>46267</v>
      </c>
      <c r="B56" s="172" t="str">
        <f>'09월 조업일지'!E53</f>
        <v>A</v>
      </c>
      <c r="C56" s="172" t="str">
        <f>'09월 조업일지'!F53</f>
        <v>A</v>
      </c>
      <c r="D56" s="172">
        <f>'09월 화학성분'!C53</f>
        <v>85255</v>
      </c>
      <c r="E56" s="205" t="str">
        <f t="shared" si="19"/>
        <v>SS400(ToMok)</v>
      </c>
      <c r="F56" s="121">
        <v>21</v>
      </c>
      <c r="G56" s="122">
        <v>23600</v>
      </c>
      <c r="H56" s="123">
        <v>16</v>
      </c>
      <c r="I56" s="122">
        <v>20400</v>
      </c>
      <c r="J56" s="123">
        <v>11</v>
      </c>
      <c r="K56" s="122">
        <v>13100</v>
      </c>
      <c r="L56" s="124">
        <f t="shared" si="20"/>
        <v>48</v>
      </c>
      <c r="M56" s="125">
        <f t="shared" si="20"/>
        <v>57100</v>
      </c>
      <c r="N56" s="126">
        <f t="shared" si="7"/>
        <v>167.61363636363635</v>
      </c>
      <c r="O56" s="127">
        <f t="shared" si="8"/>
        <v>144.88636363636363</v>
      </c>
      <c r="P56" s="127">
        <f t="shared" si="9"/>
        <v>93.03977272727272</v>
      </c>
      <c r="Q56" s="128">
        <f t="shared" si="10"/>
        <v>405.53977272727275</v>
      </c>
      <c r="R56" s="129">
        <v>140.80000000000001</v>
      </c>
      <c r="S56" s="130">
        <v>0</v>
      </c>
      <c r="T56" s="131">
        <v>159</v>
      </c>
      <c r="U56" s="131">
        <v>410</v>
      </c>
      <c r="V56" s="132">
        <f t="shared" si="11"/>
        <v>569</v>
      </c>
      <c r="W56" s="133">
        <f t="shared" si="12"/>
        <v>4.0411931818181817</v>
      </c>
      <c r="X56" s="130">
        <v>1714</v>
      </c>
      <c r="Y56" s="131">
        <v>1542</v>
      </c>
      <c r="Z56" s="131">
        <v>1751</v>
      </c>
      <c r="AA56" s="132">
        <f t="shared" si="13"/>
        <v>5007</v>
      </c>
      <c r="AB56" s="133">
        <f t="shared" si="14"/>
        <v>35.56107954545454</v>
      </c>
      <c r="AC56" s="134">
        <f t="shared" si="15"/>
        <v>5576</v>
      </c>
      <c r="AD56" s="135">
        <f t="shared" si="16"/>
        <v>39.602272727272727</v>
      </c>
      <c r="AE56" s="136">
        <v>25</v>
      </c>
      <c r="AF56" s="137">
        <v>22</v>
      </c>
      <c r="AG56" s="137">
        <v>0</v>
      </c>
      <c r="AH56" s="138">
        <f t="shared" si="17"/>
        <v>47</v>
      </c>
      <c r="AI56" s="133">
        <f t="shared" si="18"/>
        <v>0.33380681818181818</v>
      </c>
    </row>
    <row r="57" spans="1:35">
      <c r="A57" s="171">
        <f>IF('09월 조업일지'!A54="","",'09월 조업일지'!A54)</f>
        <v>46267</v>
      </c>
      <c r="B57" s="172" t="str">
        <f>'09월 조업일지'!E54</f>
        <v>A</v>
      </c>
      <c r="C57" s="172" t="str">
        <f>'09월 조업일지'!F54</f>
        <v>B</v>
      </c>
      <c r="D57" s="172">
        <f>'09월 화학성분'!C54</f>
        <v>85256</v>
      </c>
      <c r="E57" s="205" t="str">
        <f t="shared" si="19"/>
        <v>SS400(ToMok)</v>
      </c>
      <c r="F57" s="121">
        <v>19</v>
      </c>
      <c r="G57" s="122">
        <v>23300</v>
      </c>
      <c r="H57" s="123">
        <v>18</v>
      </c>
      <c r="I57" s="122">
        <v>20500</v>
      </c>
      <c r="J57" s="123">
        <v>5</v>
      </c>
      <c r="K57" s="122">
        <v>6100</v>
      </c>
      <c r="L57" s="124">
        <f t="shared" si="20"/>
        <v>42</v>
      </c>
      <c r="M57" s="125">
        <f t="shared" si="20"/>
        <v>49900</v>
      </c>
      <c r="N57" s="126">
        <f t="shared" si="7"/>
        <v>159.4798083504449</v>
      </c>
      <c r="O57" s="127">
        <f t="shared" si="8"/>
        <v>140.31485284052019</v>
      </c>
      <c r="P57" s="127">
        <f t="shared" si="9"/>
        <v>41.752224503764545</v>
      </c>
      <c r="Q57" s="128">
        <f t="shared" si="10"/>
        <v>341.54688569472961</v>
      </c>
      <c r="R57" s="129">
        <v>146.1</v>
      </c>
      <c r="S57" s="130">
        <v>0</v>
      </c>
      <c r="T57" s="131">
        <v>163</v>
      </c>
      <c r="U57" s="131">
        <v>190</v>
      </c>
      <c r="V57" s="132">
        <f t="shared" si="11"/>
        <v>353</v>
      </c>
      <c r="W57" s="133">
        <f t="shared" si="12"/>
        <v>2.4161533196440796</v>
      </c>
      <c r="X57" s="130">
        <v>1664</v>
      </c>
      <c r="Y57" s="131">
        <v>1662</v>
      </c>
      <c r="Z57" s="131">
        <v>577</v>
      </c>
      <c r="AA57" s="132">
        <f t="shared" si="13"/>
        <v>3903</v>
      </c>
      <c r="AB57" s="133">
        <f t="shared" si="14"/>
        <v>26.714579055441479</v>
      </c>
      <c r="AC57" s="134">
        <f t="shared" si="15"/>
        <v>4256</v>
      </c>
      <c r="AD57" s="135">
        <f t="shared" si="16"/>
        <v>29.130732375085557</v>
      </c>
      <c r="AE57" s="136">
        <v>26</v>
      </c>
      <c r="AF57" s="137">
        <v>27</v>
      </c>
      <c r="AG57" s="137">
        <v>0</v>
      </c>
      <c r="AH57" s="138">
        <f t="shared" si="17"/>
        <v>53</v>
      </c>
      <c r="AI57" s="133">
        <f t="shared" si="18"/>
        <v>0.36276522929500343</v>
      </c>
    </row>
    <row r="58" spans="1:35">
      <c r="A58" s="171">
        <f>IF('09월 조업일지'!A55="","",'09월 조업일지'!A55)</f>
        <v>46267</v>
      </c>
      <c r="B58" s="172" t="str">
        <f>'09월 조업일지'!E55</f>
        <v>A</v>
      </c>
      <c r="C58" s="172" t="str">
        <f>'09월 조업일지'!F55</f>
        <v>A</v>
      </c>
      <c r="D58" s="172">
        <f>'09월 화학성분'!C55</f>
        <v>85257</v>
      </c>
      <c r="E58" s="205" t="str">
        <f t="shared" si="19"/>
        <v>SS400(ToMok)</v>
      </c>
      <c r="F58" s="121">
        <v>20</v>
      </c>
      <c r="G58" s="122">
        <v>23800</v>
      </c>
      <c r="H58" s="123">
        <v>18</v>
      </c>
      <c r="I58" s="122">
        <v>20700</v>
      </c>
      <c r="J58" s="123">
        <v>7</v>
      </c>
      <c r="K58" s="122">
        <v>10000</v>
      </c>
      <c r="L58" s="124">
        <f t="shared" si="20"/>
        <v>45</v>
      </c>
      <c r="M58" s="125">
        <f t="shared" si="20"/>
        <v>54500</v>
      </c>
      <c r="N58" s="126">
        <f t="shared" si="7"/>
        <v>165.96931659693166</v>
      </c>
      <c r="O58" s="127">
        <f t="shared" si="8"/>
        <v>144.35146443514643</v>
      </c>
      <c r="P58" s="127">
        <f t="shared" si="9"/>
        <v>69.735006973500688</v>
      </c>
      <c r="Q58" s="128">
        <f t="shared" si="10"/>
        <v>380.05578800557879</v>
      </c>
      <c r="R58" s="129">
        <v>143.4</v>
      </c>
      <c r="S58" s="130">
        <v>0</v>
      </c>
      <c r="T58" s="131">
        <v>113</v>
      </c>
      <c r="U58" s="131">
        <v>553</v>
      </c>
      <c r="V58" s="132">
        <f t="shared" si="11"/>
        <v>666</v>
      </c>
      <c r="W58" s="133">
        <f t="shared" si="12"/>
        <v>4.6443514644351467</v>
      </c>
      <c r="X58" s="130">
        <v>1677</v>
      </c>
      <c r="Y58" s="131">
        <v>1640</v>
      </c>
      <c r="Z58" s="131">
        <v>1526</v>
      </c>
      <c r="AA58" s="132">
        <f t="shared" si="13"/>
        <v>4843</v>
      </c>
      <c r="AB58" s="133">
        <f t="shared" si="14"/>
        <v>33.772663877266389</v>
      </c>
      <c r="AC58" s="134">
        <f t="shared" si="15"/>
        <v>5509</v>
      </c>
      <c r="AD58" s="135">
        <f t="shared" si="16"/>
        <v>38.417015341701536</v>
      </c>
      <c r="AE58" s="136">
        <v>26</v>
      </c>
      <c r="AF58" s="137">
        <v>21</v>
      </c>
      <c r="AG58" s="137">
        <v>0</v>
      </c>
      <c r="AH58" s="138">
        <f t="shared" si="17"/>
        <v>47</v>
      </c>
      <c r="AI58" s="133">
        <f t="shared" si="18"/>
        <v>0.32775453277545324</v>
      </c>
    </row>
    <row r="59" spans="1:35">
      <c r="A59" s="171">
        <f>IF('09월 조업일지'!A56="","",'09월 조업일지'!A56)</f>
        <v>46267</v>
      </c>
      <c r="B59" s="172" t="str">
        <f>'09월 조업일지'!E56</f>
        <v>C</v>
      </c>
      <c r="C59" s="172" t="str">
        <f>'09월 조업일지'!F56</f>
        <v>B</v>
      </c>
      <c r="D59" s="172">
        <f>'09월 화학성분'!C56</f>
        <v>85258</v>
      </c>
      <c r="E59" s="205" t="str">
        <f t="shared" si="19"/>
        <v>SS400(ToMok)</v>
      </c>
      <c r="F59" s="121">
        <v>21</v>
      </c>
      <c r="G59" s="122">
        <v>23300</v>
      </c>
      <c r="H59" s="123">
        <v>19</v>
      </c>
      <c r="I59" s="122">
        <v>20800</v>
      </c>
      <c r="J59" s="123">
        <v>8</v>
      </c>
      <c r="K59" s="122">
        <v>10500</v>
      </c>
      <c r="L59" s="124">
        <f t="shared" si="20"/>
        <v>48</v>
      </c>
      <c r="M59" s="125">
        <f t="shared" si="20"/>
        <v>54600</v>
      </c>
      <c r="N59" s="126">
        <f t="shared" si="7"/>
        <v>158.61130020422056</v>
      </c>
      <c r="O59" s="127">
        <f t="shared" si="8"/>
        <v>141.59292035398229</v>
      </c>
      <c r="P59" s="127">
        <f t="shared" si="9"/>
        <v>71.477195371000676</v>
      </c>
      <c r="Q59" s="128">
        <f t="shared" si="10"/>
        <v>371.68141592920352</v>
      </c>
      <c r="R59" s="129">
        <v>146.9</v>
      </c>
      <c r="S59" s="130">
        <v>0</v>
      </c>
      <c r="T59" s="131">
        <v>128</v>
      </c>
      <c r="U59" s="131">
        <v>221</v>
      </c>
      <c r="V59" s="132">
        <f t="shared" si="11"/>
        <v>349</v>
      </c>
      <c r="W59" s="133">
        <f t="shared" si="12"/>
        <v>2.3757658270932605</v>
      </c>
      <c r="X59" s="130">
        <v>1658</v>
      </c>
      <c r="Y59" s="131">
        <v>1751</v>
      </c>
      <c r="Z59" s="131">
        <v>789</v>
      </c>
      <c r="AA59" s="132">
        <f t="shared" si="13"/>
        <v>4198</v>
      </c>
      <c r="AB59" s="133">
        <f t="shared" si="14"/>
        <v>28.577263444520081</v>
      </c>
      <c r="AC59" s="134">
        <f t="shared" si="15"/>
        <v>4547</v>
      </c>
      <c r="AD59" s="135">
        <f t="shared" si="16"/>
        <v>30.953029271613342</v>
      </c>
      <c r="AE59" s="136">
        <v>25</v>
      </c>
      <c r="AF59" s="137">
        <v>33</v>
      </c>
      <c r="AG59" s="137">
        <v>0</v>
      </c>
      <c r="AH59" s="138">
        <f t="shared" si="17"/>
        <v>58</v>
      </c>
      <c r="AI59" s="133">
        <f t="shared" si="18"/>
        <v>0.39482641252552758</v>
      </c>
    </row>
    <row r="60" spans="1:35">
      <c r="A60" s="171">
        <f>IF('09월 조업일지'!A57="","",'09월 조업일지'!A57)</f>
        <v>46267</v>
      </c>
      <c r="B60" s="172" t="str">
        <f>'09월 조업일지'!E57</f>
        <v>C</v>
      </c>
      <c r="C60" s="172" t="str">
        <f>'09월 조업일지'!F57</f>
        <v>A</v>
      </c>
      <c r="D60" s="172">
        <f>'09월 화학성분'!C57</f>
        <v>85259</v>
      </c>
      <c r="E60" s="205" t="str">
        <f t="shared" si="19"/>
        <v>SS400(ToMok)</v>
      </c>
      <c r="F60" s="121">
        <v>20</v>
      </c>
      <c r="G60" s="122">
        <v>23200</v>
      </c>
      <c r="H60" s="123">
        <v>17</v>
      </c>
      <c r="I60" s="122">
        <v>20700</v>
      </c>
      <c r="J60" s="123">
        <v>9</v>
      </c>
      <c r="K60" s="122">
        <v>11500</v>
      </c>
      <c r="L60" s="124">
        <f t="shared" si="20"/>
        <v>46</v>
      </c>
      <c r="M60" s="125">
        <f t="shared" si="20"/>
        <v>55400</v>
      </c>
      <c r="N60" s="126">
        <f t="shared" si="7"/>
        <v>157.93056501021101</v>
      </c>
      <c r="O60" s="127">
        <f t="shared" si="8"/>
        <v>140.91218515997278</v>
      </c>
      <c r="P60" s="127">
        <f t="shared" si="9"/>
        <v>78.284547311095977</v>
      </c>
      <c r="Q60" s="128">
        <f t="shared" si="10"/>
        <v>377.12729748127975</v>
      </c>
      <c r="R60" s="129">
        <v>146.9</v>
      </c>
      <c r="S60" s="130">
        <v>0</v>
      </c>
      <c r="T60" s="131">
        <v>153</v>
      </c>
      <c r="U60" s="131">
        <v>305</v>
      </c>
      <c r="V60" s="132">
        <f t="shared" si="11"/>
        <v>458</v>
      </c>
      <c r="W60" s="133">
        <f t="shared" si="12"/>
        <v>3.1177671885636484</v>
      </c>
      <c r="X60" s="130">
        <v>1683</v>
      </c>
      <c r="Y60" s="131">
        <v>1695</v>
      </c>
      <c r="Z60" s="131">
        <v>1027</v>
      </c>
      <c r="AA60" s="132">
        <f t="shared" si="13"/>
        <v>4405</v>
      </c>
      <c r="AB60" s="133">
        <f t="shared" si="14"/>
        <v>29.98638529611981</v>
      </c>
      <c r="AC60" s="134">
        <f t="shared" si="15"/>
        <v>4863</v>
      </c>
      <c r="AD60" s="135">
        <f t="shared" si="16"/>
        <v>33.104152484683453</v>
      </c>
      <c r="AE60" s="136">
        <v>23</v>
      </c>
      <c r="AF60" s="137">
        <v>23</v>
      </c>
      <c r="AG60" s="137">
        <v>0</v>
      </c>
      <c r="AH60" s="138">
        <f t="shared" si="17"/>
        <v>46</v>
      </c>
      <c r="AI60" s="133">
        <f t="shared" si="18"/>
        <v>0.31313818924438391</v>
      </c>
    </row>
    <row r="61" spans="1:35">
      <c r="A61" s="171">
        <f>IF('09월 조업일지'!A58="","",'09월 조업일지'!A58)</f>
        <v>46267</v>
      </c>
      <c r="B61" s="172" t="str">
        <f>'09월 조업일지'!E58</f>
        <v>C</v>
      </c>
      <c r="C61" s="172" t="str">
        <f>'09월 조업일지'!F58</f>
        <v>B</v>
      </c>
      <c r="D61" s="172">
        <f>'09월 화학성분'!C58</f>
        <v>85260</v>
      </c>
      <c r="E61" s="205" t="str">
        <f t="shared" si="19"/>
        <v>SS400(ToMok)</v>
      </c>
      <c r="F61" s="121">
        <v>23</v>
      </c>
      <c r="G61" s="122">
        <v>25000</v>
      </c>
      <c r="H61" s="123">
        <v>18</v>
      </c>
      <c r="I61" s="122">
        <v>20600</v>
      </c>
      <c r="J61" s="123">
        <v>5</v>
      </c>
      <c r="K61" s="122">
        <v>6700</v>
      </c>
      <c r="L61" s="124">
        <f t="shared" si="20"/>
        <v>46</v>
      </c>
      <c r="M61" s="125">
        <f t="shared" si="20"/>
        <v>52300</v>
      </c>
      <c r="N61" s="126">
        <f t="shared" si="7"/>
        <v>169.03313049357672</v>
      </c>
      <c r="O61" s="127">
        <f t="shared" si="8"/>
        <v>139.28329952670722</v>
      </c>
      <c r="P61" s="127">
        <f t="shared" si="9"/>
        <v>45.300878972278568</v>
      </c>
      <c r="Q61" s="128">
        <f t="shared" si="10"/>
        <v>353.61730899256253</v>
      </c>
      <c r="R61" s="129">
        <v>147.9</v>
      </c>
      <c r="S61" s="130">
        <v>0</v>
      </c>
      <c r="T61" s="131">
        <v>127</v>
      </c>
      <c r="U61" s="131">
        <v>295</v>
      </c>
      <c r="V61" s="132">
        <f t="shared" si="11"/>
        <v>422</v>
      </c>
      <c r="W61" s="133">
        <f t="shared" si="12"/>
        <v>2.8532792427315754</v>
      </c>
      <c r="X61" s="130">
        <v>1917</v>
      </c>
      <c r="Y61" s="131">
        <v>1657</v>
      </c>
      <c r="Z61" s="131">
        <v>592</v>
      </c>
      <c r="AA61" s="132">
        <f t="shared" si="13"/>
        <v>4166</v>
      </c>
      <c r="AB61" s="133">
        <f t="shared" si="14"/>
        <v>28.167680865449626</v>
      </c>
      <c r="AC61" s="134">
        <f t="shared" si="15"/>
        <v>4588</v>
      </c>
      <c r="AD61" s="135">
        <f t="shared" si="16"/>
        <v>31.020960108181203</v>
      </c>
      <c r="AE61" s="136">
        <v>28</v>
      </c>
      <c r="AF61" s="137">
        <v>29</v>
      </c>
      <c r="AG61" s="137">
        <v>0</v>
      </c>
      <c r="AH61" s="138">
        <f t="shared" si="17"/>
        <v>57</v>
      </c>
      <c r="AI61" s="133">
        <f t="shared" si="18"/>
        <v>0.38539553752535494</v>
      </c>
    </row>
    <row r="62" spans="1:35">
      <c r="A62" s="171">
        <f>IF('09월 조업일지'!A59="","",'09월 조업일지'!A59)</f>
        <v>46267</v>
      </c>
      <c r="B62" s="172" t="str">
        <f>'09월 조업일지'!E59</f>
        <v>C</v>
      </c>
      <c r="C62" s="172" t="str">
        <f>'09월 조업일지'!F59</f>
        <v>A</v>
      </c>
      <c r="D62" s="172">
        <f>'09월 화학성분'!C59</f>
        <v>85261</v>
      </c>
      <c r="E62" s="205" t="str">
        <f t="shared" si="19"/>
        <v>SS400(ToMok)</v>
      </c>
      <c r="F62" s="121">
        <v>20</v>
      </c>
      <c r="G62" s="122">
        <v>23600</v>
      </c>
      <c r="H62" s="123">
        <v>18</v>
      </c>
      <c r="I62" s="122">
        <v>20500</v>
      </c>
      <c r="J62" s="123">
        <v>8</v>
      </c>
      <c r="K62" s="122">
        <v>10000</v>
      </c>
      <c r="L62" s="124">
        <f t="shared" si="20"/>
        <v>46</v>
      </c>
      <c r="M62" s="125">
        <f t="shared" si="20"/>
        <v>54100</v>
      </c>
      <c r="N62" s="126">
        <f t="shared" si="7"/>
        <v>160.65350578624916</v>
      </c>
      <c r="O62" s="127">
        <f t="shared" si="8"/>
        <v>139.55071477195369</v>
      </c>
      <c r="P62" s="127">
        <f t="shared" si="9"/>
        <v>68.073519400953032</v>
      </c>
      <c r="Q62" s="128">
        <f t="shared" si="10"/>
        <v>368.27773995915589</v>
      </c>
      <c r="R62" s="129">
        <v>146.9</v>
      </c>
      <c r="S62" s="130">
        <v>0</v>
      </c>
      <c r="T62" s="131">
        <v>223</v>
      </c>
      <c r="U62" s="131">
        <v>95</v>
      </c>
      <c r="V62" s="132">
        <f t="shared" si="11"/>
        <v>318</v>
      </c>
      <c r="W62" s="133">
        <f t="shared" si="12"/>
        <v>2.164737916950306</v>
      </c>
      <c r="X62" s="130">
        <v>1742</v>
      </c>
      <c r="Y62" s="131">
        <v>1667</v>
      </c>
      <c r="Z62" s="131">
        <v>803</v>
      </c>
      <c r="AA62" s="132">
        <f t="shared" si="13"/>
        <v>4212</v>
      </c>
      <c r="AB62" s="133">
        <f t="shared" si="14"/>
        <v>28.672566371681416</v>
      </c>
      <c r="AC62" s="134">
        <f t="shared" si="15"/>
        <v>4530</v>
      </c>
      <c r="AD62" s="135">
        <f t="shared" si="16"/>
        <v>30.837304288631721</v>
      </c>
      <c r="AE62" s="136">
        <v>23</v>
      </c>
      <c r="AF62" s="137">
        <v>24</v>
      </c>
      <c r="AG62" s="137">
        <v>0</v>
      </c>
      <c r="AH62" s="138">
        <f t="shared" si="17"/>
        <v>47</v>
      </c>
      <c r="AI62" s="133">
        <f t="shared" si="18"/>
        <v>0.31994554118447921</v>
      </c>
    </row>
    <row r="63" spans="1:35">
      <c r="A63" s="171">
        <f>IF('09월 조업일지'!A60="","",'09월 조업일지'!A60)</f>
        <v>46267</v>
      </c>
      <c r="B63" s="172" t="str">
        <f>'09월 조업일지'!E60</f>
        <v>C</v>
      </c>
      <c r="C63" s="172" t="str">
        <f>'09월 조업일지'!F60</f>
        <v>A</v>
      </c>
      <c r="D63" s="172">
        <f>'09월 화학성분'!C60</f>
        <v>85262</v>
      </c>
      <c r="E63" s="205" t="str">
        <f t="shared" si="19"/>
        <v>SS400(ToMok)</v>
      </c>
      <c r="F63" s="121">
        <v>20</v>
      </c>
      <c r="G63" s="122">
        <v>23600</v>
      </c>
      <c r="H63" s="123">
        <v>16</v>
      </c>
      <c r="I63" s="122">
        <v>20600</v>
      </c>
      <c r="J63" s="123">
        <v>12</v>
      </c>
      <c r="K63" s="122">
        <v>14100</v>
      </c>
      <c r="L63" s="124">
        <f t="shared" si="20"/>
        <v>48</v>
      </c>
      <c r="M63" s="125">
        <f t="shared" si="20"/>
        <v>58300</v>
      </c>
      <c r="N63" s="126">
        <f t="shared" si="7"/>
        <v>165.73033707865167</v>
      </c>
      <c r="O63" s="127">
        <f t="shared" si="8"/>
        <v>144.6629213483146</v>
      </c>
      <c r="P63" s="127">
        <f t="shared" si="9"/>
        <v>99.016853932584269</v>
      </c>
      <c r="Q63" s="128">
        <f t="shared" si="10"/>
        <v>409.41011235955057</v>
      </c>
      <c r="R63" s="129">
        <v>142.4</v>
      </c>
      <c r="S63" s="130">
        <v>0</v>
      </c>
      <c r="T63" s="131">
        <v>149</v>
      </c>
      <c r="U63" s="131">
        <v>638</v>
      </c>
      <c r="V63" s="132">
        <f t="shared" si="11"/>
        <v>787</v>
      </c>
      <c r="W63" s="133">
        <f t="shared" si="12"/>
        <v>5.5266853932584263</v>
      </c>
      <c r="X63" s="130">
        <v>1634</v>
      </c>
      <c r="Y63" s="131">
        <v>1596</v>
      </c>
      <c r="Z63" s="131">
        <v>1858</v>
      </c>
      <c r="AA63" s="132">
        <f t="shared" si="13"/>
        <v>5088</v>
      </c>
      <c r="AB63" s="133">
        <f t="shared" si="14"/>
        <v>35.730337078651687</v>
      </c>
      <c r="AC63" s="134">
        <f t="shared" si="15"/>
        <v>5875</v>
      </c>
      <c r="AD63" s="135">
        <f t="shared" si="16"/>
        <v>41.257022471910112</v>
      </c>
      <c r="AE63" s="136">
        <v>25</v>
      </c>
      <c r="AF63" s="137">
        <v>28</v>
      </c>
      <c r="AG63" s="137">
        <v>0</v>
      </c>
      <c r="AH63" s="138">
        <f t="shared" si="17"/>
        <v>53</v>
      </c>
      <c r="AI63" s="133">
        <f t="shared" si="18"/>
        <v>0.37219101123595505</v>
      </c>
    </row>
    <row r="64" spans="1:35">
      <c r="A64" s="171">
        <f>IF('09월 조업일지'!A61="","",'09월 조업일지'!A61)</f>
        <v>46267</v>
      </c>
      <c r="B64" s="172" t="str">
        <f>'09월 조업일지'!E61</f>
        <v>C</v>
      </c>
      <c r="C64" s="172" t="str">
        <f>'09월 조업일지'!F61</f>
        <v>B</v>
      </c>
      <c r="D64" s="172">
        <f>'09월 화학성분'!C61</f>
        <v>85263</v>
      </c>
      <c r="E64" s="205" t="str">
        <f t="shared" si="19"/>
        <v>SS400(ToMok)</v>
      </c>
      <c r="F64" s="121">
        <v>23</v>
      </c>
      <c r="G64" s="122">
        <v>23700</v>
      </c>
      <c r="H64" s="123">
        <v>19</v>
      </c>
      <c r="I64" s="122">
        <v>20600</v>
      </c>
      <c r="J64" s="123">
        <v>13</v>
      </c>
      <c r="K64" s="122">
        <v>14200</v>
      </c>
      <c r="L64" s="124">
        <f t="shared" si="20"/>
        <v>55</v>
      </c>
      <c r="M64" s="125">
        <f t="shared" si="20"/>
        <v>58500</v>
      </c>
      <c r="N64" s="126">
        <f t="shared" si="7"/>
        <v>163.56107660455487</v>
      </c>
      <c r="O64" s="127">
        <f t="shared" si="8"/>
        <v>142.16701173222913</v>
      </c>
      <c r="P64" s="127">
        <f t="shared" si="9"/>
        <v>97.998619737750175</v>
      </c>
      <c r="Q64" s="128">
        <f t="shared" si="10"/>
        <v>403.7267080745342</v>
      </c>
      <c r="R64" s="129">
        <v>144.9</v>
      </c>
      <c r="S64" s="130">
        <v>0</v>
      </c>
      <c r="T64" s="131">
        <v>214</v>
      </c>
      <c r="U64" s="131">
        <v>33</v>
      </c>
      <c r="V64" s="132">
        <f t="shared" si="11"/>
        <v>247</v>
      </c>
      <c r="W64" s="133">
        <f t="shared" si="12"/>
        <v>1.7046238785369219</v>
      </c>
      <c r="X64" s="130">
        <v>1811</v>
      </c>
      <c r="Y64" s="131">
        <v>1695</v>
      </c>
      <c r="Z64" s="131">
        <v>719</v>
      </c>
      <c r="AA64" s="132">
        <f t="shared" si="13"/>
        <v>4225</v>
      </c>
      <c r="AB64" s="133">
        <f t="shared" si="14"/>
        <v>29.158040027605242</v>
      </c>
      <c r="AC64" s="134">
        <f t="shared" si="15"/>
        <v>4472</v>
      </c>
      <c r="AD64" s="135">
        <f t="shared" si="16"/>
        <v>30.862663906142167</v>
      </c>
      <c r="AE64" s="136">
        <v>26</v>
      </c>
      <c r="AF64" s="137">
        <v>25</v>
      </c>
      <c r="AG64" s="137">
        <v>0</v>
      </c>
      <c r="AH64" s="138">
        <f t="shared" si="17"/>
        <v>51</v>
      </c>
      <c r="AI64" s="133">
        <f t="shared" si="18"/>
        <v>0.3519668737060041</v>
      </c>
    </row>
    <row r="65" spans="1:35">
      <c r="A65" s="171">
        <f>IF('09월 조업일지'!A62="","",'09월 조업일지'!A62)</f>
        <v>46267</v>
      </c>
      <c r="B65" s="172" t="str">
        <f>'09월 조업일지'!E62</f>
        <v>C</v>
      </c>
      <c r="C65" s="172" t="str">
        <f>'09월 조업일지'!F62</f>
        <v>A</v>
      </c>
      <c r="D65" s="172">
        <f>'09월 화학성분'!C62</f>
        <v>85264</v>
      </c>
      <c r="E65" s="205" t="str">
        <f t="shared" si="19"/>
        <v>SS400(ToMok)</v>
      </c>
      <c r="F65" s="121">
        <v>20</v>
      </c>
      <c r="G65" s="122">
        <v>23800</v>
      </c>
      <c r="H65" s="123">
        <v>17</v>
      </c>
      <c r="I65" s="122">
        <v>20600</v>
      </c>
      <c r="J65" s="123">
        <v>10</v>
      </c>
      <c r="K65" s="122">
        <v>12800</v>
      </c>
      <c r="L65" s="124">
        <f t="shared" si="20"/>
        <v>47</v>
      </c>
      <c r="M65" s="125">
        <f t="shared" si="20"/>
        <v>57200</v>
      </c>
      <c r="N65" s="126">
        <f t="shared" si="7"/>
        <v>163.46153846153848</v>
      </c>
      <c r="O65" s="127">
        <f t="shared" si="8"/>
        <v>141.4835164835165</v>
      </c>
      <c r="P65" s="127">
        <f t="shared" si="9"/>
        <v>87.912087912087912</v>
      </c>
      <c r="Q65" s="128">
        <f t="shared" si="10"/>
        <v>392.85714285714289</v>
      </c>
      <c r="R65" s="129">
        <v>145.6</v>
      </c>
      <c r="S65" s="130">
        <v>0</v>
      </c>
      <c r="T65" s="131">
        <v>116</v>
      </c>
      <c r="U65" s="131">
        <v>350</v>
      </c>
      <c r="V65" s="132">
        <f t="shared" si="11"/>
        <v>466</v>
      </c>
      <c r="W65" s="133">
        <f t="shared" si="12"/>
        <v>3.2005494505494507</v>
      </c>
      <c r="X65" s="130">
        <v>1585</v>
      </c>
      <c r="Y65" s="131">
        <v>1546</v>
      </c>
      <c r="Z65" s="131">
        <v>1137</v>
      </c>
      <c r="AA65" s="132">
        <f t="shared" si="13"/>
        <v>4268</v>
      </c>
      <c r="AB65" s="133">
        <f t="shared" si="14"/>
        <v>29.313186813186814</v>
      </c>
      <c r="AC65" s="134">
        <f t="shared" si="15"/>
        <v>4734</v>
      </c>
      <c r="AD65" s="135">
        <f t="shared" si="16"/>
        <v>32.513736263736263</v>
      </c>
      <c r="AE65" s="136">
        <v>23</v>
      </c>
      <c r="AF65" s="137">
        <v>27</v>
      </c>
      <c r="AG65" s="137">
        <v>0</v>
      </c>
      <c r="AH65" s="138">
        <f t="shared" si="17"/>
        <v>50</v>
      </c>
      <c r="AI65" s="133">
        <f t="shared" si="18"/>
        <v>0.34340659340659341</v>
      </c>
    </row>
    <row r="66" spans="1:35">
      <c r="A66" s="171">
        <f>IF('09월 조업일지'!A63="","",'09월 조업일지'!A63)</f>
        <v>46267</v>
      </c>
      <c r="B66" s="172" t="str">
        <f>'09월 조업일지'!E63</f>
        <v>C</v>
      </c>
      <c r="C66" s="172" t="str">
        <f>'09월 조업일지'!F63</f>
        <v>B</v>
      </c>
      <c r="D66" s="172">
        <f>'09월 화학성분'!C63</f>
        <v>85265</v>
      </c>
      <c r="E66" s="205" t="str">
        <f t="shared" si="19"/>
        <v>SS400(ToMok)</v>
      </c>
      <c r="F66" s="121">
        <v>20</v>
      </c>
      <c r="G66" s="122">
        <v>22700</v>
      </c>
      <c r="H66" s="123">
        <v>18</v>
      </c>
      <c r="I66" s="122">
        <v>20500</v>
      </c>
      <c r="J66" s="123">
        <v>9</v>
      </c>
      <c r="K66" s="122">
        <v>11200</v>
      </c>
      <c r="L66" s="124">
        <f t="shared" si="20"/>
        <v>47</v>
      </c>
      <c r="M66" s="125">
        <f t="shared" si="20"/>
        <v>54400</v>
      </c>
      <c r="N66" s="126">
        <f t="shared" si="7"/>
        <v>154.10726408689749</v>
      </c>
      <c r="O66" s="127">
        <f t="shared" si="8"/>
        <v>139.17175831636115</v>
      </c>
      <c r="P66" s="127">
        <f t="shared" si="9"/>
        <v>76.035302104548535</v>
      </c>
      <c r="Q66" s="128">
        <f t="shared" si="10"/>
        <v>369.31432450780716</v>
      </c>
      <c r="R66" s="129">
        <v>147.30000000000001</v>
      </c>
      <c r="S66" s="130">
        <v>0</v>
      </c>
      <c r="T66" s="131">
        <v>145</v>
      </c>
      <c r="U66" s="131">
        <v>191</v>
      </c>
      <c r="V66" s="132">
        <f t="shared" si="11"/>
        <v>336</v>
      </c>
      <c r="W66" s="133">
        <f t="shared" si="12"/>
        <v>2.281059063136456</v>
      </c>
      <c r="X66" s="130">
        <v>1649</v>
      </c>
      <c r="Y66" s="131">
        <v>1665</v>
      </c>
      <c r="Z66" s="131">
        <v>996</v>
      </c>
      <c r="AA66" s="132">
        <f t="shared" si="13"/>
        <v>4310</v>
      </c>
      <c r="AB66" s="133">
        <f t="shared" si="14"/>
        <v>29.260013577732515</v>
      </c>
      <c r="AC66" s="134">
        <f t="shared" si="15"/>
        <v>4646</v>
      </c>
      <c r="AD66" s="135">
        <f t="shared" si="16"/>
        <v>31.541072640868972</v>
      </c>
      <c r="AE66" s="136">
        <v>26</v>
      </c>
      <c r="AF66" s="137">
        <v>24</v>
      </c>
      <c r="AG66" s="137">
        <v>0</v>
      </c>
      <c r="AH66" s="138">
        <f t="shared" si="17"/>
        <v>50</v>
      </c>
      <c r="AI66" s="133">
        <f t="shared" si="18"/>
        <v>0.33944331296673452</v>
      </c>
    </row>
    <row r="67" spans="1:35">
      <c r="A67" s="171">
        <f>IF('09월 조업일지'!A64="","",'09월 조업일지'!A64)</f>
        <v>46267</v>
      </c>
      <c r="B67" s="172" t="str">
        <f>'09월 조업일지'!E64</f>
        <v>C</v>
      </c>
      <c r="C67" s="172" t="str">
        <f>'09월 조업일지'!F64</f>
        <v>A</v>
      </c>
      <c r="D67" s="172">
        <f>'09월 화학성분'!C64</f>
        <v>85266</v>
      </c>
      <c r="E67" s="205" t="str">
        <f t="shared" si="19"/>
        <v>SS400(ToMok)</v>
      </c>
      <c r="F67" s="121">
        <v>21</v>
      </c>
      <c r="G67" s="122">
        <v>23700</v>
      </c>
      <c r="H67" s="123">
        <v>18</v>
      </c>
      <c r="I67" s="122">
        <v>20300</v>
      </c>
      <c r="J67" s="123">
        <v>6</v>
      </c>
      <c r="K67" s="122">
        <v>8100</v>
      </c>
      <c r="L67" s="124">
        <f t="shared" si="20"/>
        <v>45</v>
      </c>
      <c r="M67" s="125">
        <f t="shared" si="20"/>
        <v>52100</v>
      </c>
      <c r="N67" s="126">
        <f t="shared" si="7"/>
        <v>159.16722632639355</v>
      </c>
      <c r="O67" s="127">
        <f t="shared" si="8"/>
        <v>136.33310946944258</v>
      </c>
      <c r="P67" s="127">
        <f t="shared" si="9"/>
        <v>54.398925453324374</v>
      </c>
      <c r="Q67" s="128">
        <f t="shared" si="10"/>
        <v>349.89926124916047</v>
      </c>
      <c r="R67" s="129">
        <v>148.9</v>
      </c>
      <c r="S67" s="130">
        <v>0</v>
      </c>
      <c r="T67" s="131">
        <v>208</v>
      </c>
      <c r="U67" s="131">
        <v>327</v>
      </c>
      <c r="V67" s="132">
        <f t="shared" si="11"/>
        <v>535</v>
      </c>
      <c r="W67" s="133">
        <f t="shared" si="12"/>
        <v>3.5930154466084621</v>
      </c>
      <c r="X67" s="130">
        <v>1640</v>
      </c>
      <c r="Y67" s="131">
        <v>1576</v>
      </c>
      <c r="Z67" s="131">
        <v>921</v>
      </c>
      <c r="AA67" s="132">
        <f t="shared" si="13"/>
        <v>4137</v>
      </c>
      <c r="AB67" s="133">
        <f t="shared" si="14"/>
        <v>27.783747481531229</v>
      </c>
      <c r="AC67" s="134">
        <f t="shared" si="15"/>
        <v>4672</v>
      </c>
      <c r="AD67" s="135">
        <f t="shared" si="16"/>
        <v>31.376762928139691</v>
      </c>
      <c r="AE67" s="136">
        <v>24</v>
      </c>
      <c r="AF67" s="137">
        <v>27</v>
      </c>
      <c r="AG67" s="137">
        <v>0</v>
      </c>
      <c r="AH67" s="138">
        <f t="shared" si="17"/>
        <v>51</v>
      </c>
      <c r="AI67" s="133">
        <f t="shared" si="18"/>
        <v>0.34251175285426461</v>
      </c>
    </row>
    <row r="68" spans="1:35">
      <c r="A68" s="171">
        <f>IF('09월 조업일지'!A65="","",'09월 조업일지'!A65)</f>
        <v>46267</v>
      </c>
      <c r="B68" s="172" t="str">
        <f>'09월 조업일지'!E65</f>
        <v>C</v>
      </c>
      <c r="C68" s="172" t="str">
        <f>'09월 조업일지'!F65</f>
        <v>B</v>
      </c>
      <c r="D68" s="172">
        <f>'09월 화학성분'!C65</f>
        <v>85267</v>
      </c>
      <c r="E68" s="205" t="str">
        <f t="shared" si="19"/>
        <v>SS400(ToMok)</v>
      </c>
      <c r="F68" s="121">
        <v>20</v>
      </c>
      <c r="G68" s="122">
        <v>23700</v>
      </c>
      <c r="H68" s="123">
        <v>18</v>
      </c>
      <c r="I68" s="122">
        <v>20400</v>
      </c>
      <c r="J68" s="123">
        <v>6</v>
      </c>
      <c r="K68" s="122">
        <v>7900</v>
      </c>
      <c r="L68" s="124">
        <f t="shared" si="20"/>
        <v>44</v>
      </c>
      <c r="M68" s="125">
        <f t="shared" si="20"/>
        <v>52000</v>
      </c>
      <c r="N68" s="126">
        <f t="shared" si="7"/>
        <v>166.1991584852735</v>
      </c>
      <c r="O68" s="127">
        <f t="shared" si="8"/>
        <v>143.05750350631138</v>
      </c>
      <c r="P68" s="127">
        <f t="shared" si="9"/>
        <v>55.399719495091169</v>
      </c>
      <c r="Q68" s="128">
        <f t="shared" si="10"/>
        <v>364.65638148667608</v>
      </c>
      <c r="R68" s="129">
        <v>142.6</v>
      </c>
      <c r="S68" s="130">
        <v>0</v>
      </c>
      <c r="T68" s="131">
        <v>188</v>
      </c>
      <c r="U68" s="131">
        <v>119</v>
      </c>
      <c r="V68" s="132">
        <f t="shared" si="11"/>
        <v>307</v>
      </c>
      <c r="W68" s="133">
        <f t="shared" si="12"/>
        <v>2.1528751753155682</v>
      </c>
      <c r="X68" s="130">
        <v>1728</v>
      </c>
      <c r="Y68" s="131">
        <v>1620</v>
      </c>
      <c r="Z68" s="131">
        <v>708</v>
      </c>
      <c r="AA68" s="132">
        <f t="shared" si="13"/>
        <v>4056</v>
      </c>
      <c r="AB68" s="133">
        <f t="shared" si="14"/>
        <v>28.443197755960732</v>
      </c>
      <c r="AC68" s="134">
        <f t="shared" si="15"/>
        <v>4363</v>
      </c>
      <c r="AD68" s="135">
        <f t="shared" si="16"/>
        <v>30.5960729312763</v>
      </c>
      <c r="AE68" s="136">
        <v>26</v>
      </c>
      <c r="AF68" s="137">
        <v>25</v>
      </c>
      <c r="AG68" s="137">
        <v>0</v>
      </c>
      <c r="AH68" s="138">
        <f t="shared" si="17"/>
        <v>51</v>
      </c>
      <c r="AI68" s="133">
        <f t="shared" si="18"/>
        <v>0.35764375876577842</v>
      </c>
    </row>
    <row r="69" spans="1:35">
      <c r="A69" s="171">
        <f>IF('09월 조업일지'!A66="","",'09월 조업일지'!A66)</f>
        <v>46267</v>
      </c>
      <c r="B69" s="172" t="str">
        <f>'09월 조업일지'!E66</f>
        <v>D</v>
      </c>
      <c r="C69" s="172" t="str">
        <f>'09월 조업일지'!F66</f>
        <v>A</v>
      </c>
      <c r="D69" s="172">
        <f>'09월 화학성분'!C66</f>
        <v>85268</v>
      </c>
      <c r="E69" s="205" t="str">
        <f t="shared" si="19"/>
        <v>SS400(ToMok)</v>
      </c>
      <c r="F69" s="121">
        <v>21</v>
      </c>
      <c r="G69" s="122">
        <v>23000</v>
      </c>
      <c r="H69" s="123">
        <v>17</v>
      </c>
      <c r="I69" s="122">
        <v>20700</v>
      </c>
      <c r="J69" s="123">
        <v>8</v>
      </c>
      <c r="K69" s="122">
        <v>9700</v>
      </c>
      <c r="L69" s="124">
        <f t="shared" si="20"/>
        <v>46</v>
      </c>
      <c r="M69" s="125">
        <f t="shared" si="20"/>
        <v>53400</v>
      </c>
      <c r="N69" s="126">
        <f t="shared" si="7"/>
        <v>155.30047265361242</v>
      </c>
      <c r="O69" s="127">
        <f t="shared" si="8"/>
        <v>139.7704253882512</v>
      </c>
      <c r="P69" s="127">
        <f t="shared" si="9"/>
        <v>65.496286293045245</v>
      </c>
      <c r="Q69" s="128">
        <f t="shared" si="10"/>
        <v>360.56718433490892</v>
      </c>
      <c r="R69" s="129">
        <v>148.1</v>
      </c>
      <c r="S69" s="130">
        <v>0</v>
      </c>
      <c r="T69" s="131">
        <v>197</v>
      </c>
      <c r="U69" s="131">
        <v>150</v>
      </c>
      <c r="V69" s="132">
        <f t="shared" si="11"/>
        <v>347</v>
      </c>
      <c r="W69" s="133">
        <f t="shared" si="12"/>
        <v>2.3430114787305873</v>
      </c>
      <c r="X69" s="130">
        <v>1656</v>
      </c>
      <c r="Y69" s="131">
        <v>1605</v>
      </c>
      <c r="Z69" s="131">
        <v>848</v>
      </c>
      <c r="AA69" s="132">
        <f t="shared" si="13"/>
        <v>4109</v>
      </c>
      <c r="AB69" s="133">
        <f t="shared" si="14"/>
        <v>27.744767049291021</v>
      </c>
      <c r="AC69" s="134">
        <f t="shared" si="15"/>
        <v>4456</v>
      </c>
      <c r="AD69" s="135">
        <f t="shared" si="16"/>
        <v>30.087778528021609</v>
      </c>
      <c r="AE69" s="136">
        <v>25</v>
      </c>
      <c r="AF69" s="137">
        <v>30</v>
      </c>
      <c r="AG69" s="137">
        <v>0</v>
      </c>
      <c r="AH69" s="138">
        <f t="shared" si="17"/>
        <v>55</v>
      </c>
      <c r="AI69" s="133">
        <f t="shared" si="18"/>
        <v>0.37137069547602974</v>
      </c>
    </row>
    <row r="70" spans="1:35">
      <c r="A70" s="171">
        <f>IF('09월 조업일지'!A67="","",'09월 조업일지'!A67)</f>
        <v>46267</v>
      </c>
      <c r="B70" s="172" t="str">
        <f>'09월 조업일지'!E67</f>
        <v>D</v>
      </c>
      <c r="C70" s="172" t="str">
        <f>'09월 조업일지'!F67</f>
        <v>B</v>
      </c>
      <c r="D70" s="172">
        <f>'09월 화학성분'!C67</f>
        <v>85269</v>
      </c>
      <c r="E70" s="205" t="str">
        <f t="shared" si="19"/>
        <v>SS400(ToMok)</v>
      </c>
      <c r="F70" s="121">
        <v>20</v>
      </c>
      <c r="G70" s="122">
        <v>23300</v>
      </c>
      <c r="H70" s="123">
        <v>17</v>
      </c>
      <c r="I70" s="122">
        <v>20700</v>
      </c>
      <c r="J70" s="123">
        <v>8</v>
      </c>
      <c r="K70" s="122">
        <v>10100</v>
      </c>
      <c r="L70" s="124">
        <f t="shared" si="20"/>
        <v>45</v>
      </c>
      <c r="M70" s="125">
        <f t="shared" si="20"/>
        <v>54100</v>
      </c>
      <c r="N70" s="126">
        <f t="shared" si="7"/>
        <v>157.53887762001352</v>
      </c>
      <c r="O70" s="127">
        <f t="shared" si="8"/>
        <v>139.95943204868155</v>
      </c>
      <c r="P70" s="127">
        <f t="shared" si="9"/>
        <v>68.289384719405007</v>
      </c>
      <c r="Q70" s="128">
        <f t="shared" si="10"/>
        <v>365.78769438810008</v>
      </c>
      <c r="R70" s="129">
        <v>147.9</v>
      </c>
      <c r="S70" s="130">
        <v>0</v>
      </c>
      <c r="T70" s="131">
        <v>169</v>
      </c>
      <c r="U70" s="131">
        <v>187</v>
      </c>
      <c r="V70" s="132">
        <f t="shared" si="11"/>
        <v>356</v>
      </c>
      <c r="W70" s="133">
        <f t="shared" si="12"/>
        <v>2.4070317782285326</v>
      </c>
      <c r="X70" s="130">
        <v>1710</v>
      </c>
      <c r="Y70" s="131">
        <v>1638</v>
      </c>
      <c r="Z70" s="131">
        <v>800</v>
      </c>
      <c r="AA70" s="132">
        <f t="shared" si="13"/>
        <v>4148</v>
      </c>
      <c r="AB70" s="133">
        <f t="shared" si="14"/>
        <v>28.045977011494251</v>
      </c>
      <c r="AC70" s="134">
        <f t="shared" si="15"/>
        <v>4504</v>
      </c>
      <c r="AD70" s="135">
        <f t="shared" si="16"/>
        <v>30.453008789722784</v>
      </c>
      <c r="AE70" s="136">
        <v>23</v>
      </c>
      <c r="AF70" s="137">
        <v>25</v>
      </c>
      <c r="AG70" s="137">
        <v>0</v>
      </c>
      <c r="AH70" s="138">
        <f t="shared" si="17"/>
        <v>48</v>
      </c>
      <c r="AI70" s="133">
        <f t="shared" si="18"/>
        <v>0.32454361054766734</v>
      </c>
    </row>
    <row r="71" spans="1:35">
      <c r="A71" s="171">
        <f>IF('09월 조업일지'!A68="","",'09월 조업일지'!A68)</f>
        <v>46267</v>
      </c>
      <c r="B71" s="172" t="str">
        <f>'09월 조업일지'!E68</f>
        <v>D</v>
      </c>
      <c r="C71" s="172" t="str">
        <f>'09월 조업일지'!F68</f>
        <v>A</v>
      </c>
      <c r="D71" s="172">
        <f>'09월 화학성분'!C68</f>
        <v>85270</v>
      </c>
      <c r="E71" s="205" t="str">
        <f t="shared" si="19"/>
        <v>SS400(ToMok)</v>
      </c>
      <c r="F71" s="121">
        <v>21</v>
      </c>
      <c r="G71" s="122">
        <v>23300</v>
      </c>
      <c r="H71" s="123">
        <v>17</v>
      </c>
      <c r="I71" s="122">
        <v>20500</v>
      </c>
      <c r="J71" s="123">
        <v>8</v>
      </c>
      <c r="K71" s="122">
        <v>10500</v>
      </c>
      <c r="L71" s="124">
        <f t="shared" si="20"/>
        <v>46</v>
      </c>
      <c r="M71" s="125">
        <f t="shared" si="20"/>
        <v>54300</v>
      </c>
      <c r="N71" s="126">
        <f t="shared" si="7"/>
        <v>159.15300546448086</v>
      </c>
      <c r="O71" s="127">
        <f t="shared" si="8"/>
        <v>140.02732240437157</v>
      </c>
      <c r="P71" s="127">
        <f t="shared" si="9"/>
        <v>71.721311475409834</v>
      </c>
      <c r="Q71" s="128">
        <f t="shared" si="10"/>
        <v>370.90163934426226</v>
      </c>
      <c r="R71" s="129">
        <v>146.4</v>
      </c>
      <c r="S71" s="130">
        <v>0</v>
      </c>
      <c r="T71" s="131">
        <v>216</v>
      </c>
      <c r="U71" s="131">
        <v>110</v>
      </c>
      <c r="V71" s="132">
        <f t="shared" si="11"/>
        <v>326</v>
      </c>
      <c r="W71" s="133">
        <f t="shared" si="12"/>
        <v>2.2267759562841527</v>
      </c>
      <c r="X71" s="130">
        <v>1687</v>
      </c>
      <c r="Y71" s="131">
        <v>1589</v>
      </c>
      <c r="Z71" s="131">
        <v>909</v>
      </c>
      <c r="AA71" s="132">
        <f t="shared" si="13"/>
        <v>4185</v>
      </c>
      <c r="AB71" s="133">
        <f t="shared" si="14"/>
        <v>28.58606557377049</v>
      </c>
      <c r="AC71" s="134">
        <f t="shared" si="15"/>
        <v>4511</v>
      </c>
      <c r="AD71" s="135">
        <f t="shared" si="16"/>
        <v>30.812841530054644</v>
      </c>
      <c r="AE71" s="136">
        <v>25</v>
      </c>
      <c r="AF71" s="137">
        <v>30</v>
      </c>
      <c r="AG71" s="137">
        <v>0</v>
      </c>
      <c r="AH71" s="138">
        <f t="shared" si="17"/>
        <v>55</v>
      </c>
      <c r="AI71" s="133">
        <f t="shared" si="18"/>
        <v>0.37568306010928959</v>
      </c>
    </row>
    <row r="72" spans="1:35">
      <c r="A72" s="171">
        <f>IF('09월 조업일지'!A69="","",'09월 조업일지'!A69)</f>
        <v>46267</v>
      </c>
      <c r="B72" s="172" t="str">
        <f>'09월 조업일지'!E69</f>
        <v>D</v>
      </c>
      <c r="C72" s="172" t="str">
        <f>'09월 조업일지'!F69</f>
        <v>B</v>
      </c>
      <c r="D72" s="172">
        <f>'09월 화학성분'!C69</f>
        <v>85271</v>
      </c>
      <c r="E72" s="205" t="str">
        <f t="shared" si="19"/>
        <v>SS400(ToMok)</v>
      </c>
      <c r="F72" s="121">
        <v>20</v>
      </c>
      <c r="G72" s="122">
        <v>23200</v>
      </c>
      <c r="H72" s="123">
        <v>18</v>
      </c>
      <c r="I72" s="122">
        <v>20600</v>
      </c>
      <c r="J72" s="123">
        <v>9</v>
      </c>
      <c r="K72" s="122">
        <v>12300</v>
      </c>
      <c r="L72" s="124">
        <f t="shared" si="20"/>
        <v>47</v>
      </c>
      <c r="M72" s="125">
        <f t="shared" si="20"/>
        <v>56100</v>
      </c>
      <c r="N72" s="126">
        <f t="shared" si="7"/>
        <v>158.57826384142172</v>
      </c>
      <c r="O72" s="127">
        <f t="shared" si="8"/>
        <v>140.80656185919344</v>
      </c>
      <c r="P72" s="127">
        <f t="shared" si="9"/>
        <v>84.073820915926177</v>
      </c>
      <c r="Q72" s="128">
        <f t="shared" si="10"/>
        <v>383.45864661654127</v>
      </c>
      <c r="R72" s="129">
        <v>146.30000000000001</v>
      </c>
      <c r="S72" s="130">
        <v>0</v>
      </c>
      <c r="T72" s="131">
        <v>175</v>
      </c>
      <c r="U72" s="131">
        <v>171</v>
      </c>
      <c r="V72" s="132">
        <f t="shared" si="11"/>
        <v>346</v>
      </c>
      <c r="W72" s="133">
        <f t="shared" si="12"/>
        <v>2.3650034176349966</v>
      </c>
      <c r="X72" s="130">
        <v>1689</v>
      </c>
      <c r="Y72" s="131">
        <v>1572</v>
      </c>
      <c r="Z72" s="131">
        <v>791</v>
      </c>
      <c r="AA72" s="132">
        <f t="shared" si="13"/>
        <v>4052</v>
      </c>
      <c r="AB72" s="133">
        <f t="shared" si="14"/>
        <v>27.696514012303485</v>
      </c>
      <c r="AC72" s="134">
        <f t="shared" si="15"/>
        <v>4398</v>
      </c>
      <c r="AD72" s="135">
        <f t="shared" si="16"/>
        <v>30.06151742993848</v>
      </c>
      <c r="AE72" s="136">
        <v>22</v>
      </c>
      <c r="AF72" s="137">
        <v>26</v>
      </c>
      <c r="AG72" s="137">
        <v>0</v>
      </c>
      <c r="AH72" s="138">
        <f t="shared" si="17"/>
        <v>48</v>
      </c>
      <c r="AI72" s="133">
        <f t="shared" si="18"/>
        <v>0.32809295967190699</v>
      </c>
    </row>
    <row r="73" spans="1:35">
      <c r="A73" s="171">
        <f>IF('09월 조업일지'!A70="","",'09월 조업일지'!A70)</f>
        <v>46267</v>
      </c>
      <c r="B73" s="172" t="str">
        <f>'09월 조업일지'!E70</f>
        <v>D</v>
      </c>
      <c r="C73" s="172" t="str">
        <f>'09월 조업일지'!F70</f>
        <v>A</v>
      </c>
      <c r="D73" s="172">
        <f>'09월 화학성분'!C70</f>
        <v>85272</v>
      </c>
      <c r="E73" s="205" t="str">
        <f t="shared" si="19"/>
        <v>SS400(ToMok)</v>
      </c>
      <c r="F73" s="121">
        <v>20</v>
      </c>
      <c r="G73" s="122">
        <v>23200</v>
      </c>
      <c r="H73" s="123">
        <v>17</v>
      </c>
      <c r="I73" s="122">
        <v>20400</v>
      </c>
      <c r="J73" s="123">
        <v>7</v>
      </c>
      <c r="K73" s="122">
        <v>8900</v>
      </c>
      <c r="L73" s="124">
        <f t="shared" si="20"/>
        <v>44</v>
      </c>
      <c r="M73" s="125">
        <f t="shared" si="20"/>
        <v>52500</v>
      </c>
      <c r="N73" s="126">
        <f t="shared" si="7"/>
        <v>159.12208504801097</v>
      </c>
      <c r="O73" s="127">
        <f t="shared" si="8"/>
        <v>139.91769547325103</v>
      </c>
      <c r="P73" s="127">
        <f t="shared" si="9"/>
        <v>61.04252400548696</v>
      </c>
      <c r="Q73" s="128">
        <f t="shared" si="10"/>
        <v>360.08230452674894</v>
      </c>
      <c r="R73" s="129">
        <v>145.80000000000001</v>
      </c>
      <c r="S73" s="130">
        <v>0</v>
      </c>
      <c r="T73" s="131">
        <v>206</v>
      </c>
      <c r="U73" s="131">
        <v>129</v>
      </c>
      <c r="V73" s="132">
        <f t="shared" si="11"/>
        <v>335</v>
      </c>
      <c r="W73" s="133">
        <f t="shared" si="12"/>
        <v>2.2976680384087791</v>
      </c>
      <c r="X73" s="130">
        <v>1719</v>
      </c>
      <c r="Y73" s="131">
        <v>1576</v>
      </c>
      <c r="Z73" s="131">
        <v>749</v>
      </c>
      <c r="AA73" s="132">
        <f t="shared" si="13"/>
        <v>4044</v>
      </c>
      <c r="AB73" s="133">
        <f t="shared" si="14"/>
        <v>27.73662551440329</v>
      </c>
      <c r="AC73" s="134">
        <f t="shared" si="15"/>
        <v>4379</v>
      </c>
      <c r="AD73" s="135">
        <f t="shared" si="16"/>
        <v>30.03429355281207</v>
      </c>
      <c r="AE73" s="136">
        <v>25</v>
      </c>
      <c r="AF73" s="137">
        <v>27</v>
      </c>
      <c r="AG73" s="137">
        <v>0</v>
      </c>
      <c r="AH73" s="138">
        <f t="shared" si="17"/>
        <v>52</v>
      </c>
      <c r="AI73" s="133">
        <f t="shared" si="18"/>
        <v>0.35665294924554181</v>
      </c>
    </row>
    <row r="74" spans="1:35">
      <c r="A74" s="171">
        <f>IF('09월 조업일지'!A71="","",'09월 조업일지'!A71)</f>
        <v>46267</v>
      </c>
      <c r="B74" s="172" t="str">
        <f>'09월 조업일지'!E71</f>
        <v>D</v>
      </c>
      <c r="C74" s="172" t="str">
        <f>'09월 조업일지'!F71</f>
        <v>B</v>
      </c>
      <c r="D74" s="172">
        <f>'09월 화학성분'!C71</f>
        <v>85273</v>
      </c>
      <c r="E74" s="205" t="str">
        <f t="shared" si="19"/>
        <v>SS400(ToMok)</v>
      </c>
      <c r="F74" s="121">
        <v>20</v>
      </c>
      <c r="G74" s="122">
        <v>23400</v>
      </c>
      <c r="H74" s="123">
        <v>17</v>
      </c>
      <c r="I74" s="122">
        <v>20800</v>
      </c>
      <c r="J74" s="123">
        <v>8</v>
      </c>
      <c r="K74" s="122">
        <v>10200</v>
      </c>
      <c r="L74" s="124">
        <f t="shared" si="20"/>
        <v>45</v>
      </c>
      <c r="M74" s="125">
        <f t="shared" si="20"/>
        <v>54400</v>
      </c>
      <c r="N74" s="126">
        <f t="shared" si="7"/>
        <v>159.61800818553888</v>
      </c>
      <c r="O74" s="127">
        <f t="shared" si="8"/>
        <v>141.88267394270125</v>
      </c>
      <c r="P74" s="127">
        <f t="shared" si="9"/>
        <v>69.577080491132335</v>
      </c>
      <c r="Q74" s="128">
        <f t="shared" si="10"/>
        <v>371.07776261937244</v>
      </c>
      <c r="R74" s="129">
        <v>146.6</v>
      </c>
      <c r="S74" s="130">
        <v>0</v>
      </c>
      <c r="T74" s="131">
        <v>211</v>
      </c>
      <c r="U74" s="131">
        <v>123</v>
      </c>
      <c r="V74" s="132">
        <f t="shared" si="11"/>
        <v>334</v>
      </c>
      <c r="W74" s="133">
        <f t="shared" si="12"/>
        <v>2.2783083219645293</v>
      </c>
      <c r="X74" s="130">
        <v>1759</v>
      </c>
      <c r="Y74" s="131">
        <v>1608</v>
      </c>
      <c r="Z74" s="131">
        <v>905</v>
      </c>
      <c r="AA74" s="132">
        <f t="shared" si="13"/>
        <v>4272</v>
      </c>
      <c r="AB74" s="133">
        <f t="shared" si="14"/>
        <v>29.140518417462484</v>
      </c>
      <c r="AC74" s="134">
        <f t="shared" si="15"/>
        <v>4606</v>
      </c>
      <c r="AD74" s="135">
        <f t="shared" si="16"/>
        <v>31.418826739427015</v>
      </c>
      <c r="AE74" s="136">
        <v>26</v>
      </c>
      <c r="AF74" s="137">
        <v>27</v>
      </c>
      <c r="AG74" s="137">
        <v>0</v>
      </c>
      <c r="AH74" s="138">
        <f t="shared" si="17"/>
        <v>53</v>
      </c>
      <c r="AI74" s="133">
        <f t="shared" si="18"/>
        <v>0.36152796725784447</v>
      </c>
    </row>
    <row r="75" spans="1:35">
      <c r="A75" s="171">
        <f>IF('09월 조업일지'!A72="","",'09월 조업일지'!A72)</f>
        <v>46267</v>
      </c>
      <c r="B75" s="172" t="str">
        <f>'09월 조업일지'!E72</f>
        <v>D</v>
      </c>
      <c r="C75" s="172" t="str">
        <f>'09월 조업일지'!F72</f>
        <v>A</v>
      </c>
      <c r="D75" s="172">
        <f>'09월 화학성분'!C72</f>
        <v>85274</v>
      </c>
      <c r="E75" s="205" t="str">
        <f t="shared" si="19"/>
        <v>SS400(ToMok)</v>
      </c>
      <c r="F75" s="121">
        <v>21</v>
      </c>
      <c r="G75" s="122">
        <v>23100</v>
      </c>
      <c r="H75" s="123">
        <v>17</v>
      </c>
      <c r="I75" s="122">
        <v>20300</v>
      </c>
      <c r="J75" s="123">
        <v>9</v>
      </c>
      <c r="K75" s="122">
        <v>11400</v>
      </c>
      <c r="L75" s="124">
        <f t="shared" si="20"/>
        <v>47</v>
      </c>
      <c r="M75" s="125">
        <f t="shared" si="20"/>
        <v>54800</v>
      </c>
      <c r="N75" s="126">
        <f t="shared" si="7"/>
        <v>157.14285714285714</v>
      </c>
      <c r="O75" s="127">
        <f t="shared" si="8"/>
        <v>138.0952380952381</v>
      </c>
      <c r="P75" s="127">
        <f t="shared" si="9"/>
        <v>77.551020408163268</v>
      </c>
      <c r="Q75" s="128">
        <f t="shared" si="10"/>
        <v>372.78911564625849</v>
      </c>
      <c r="R75" s="129">
        <v>147</v>
      </c>
      <c r="S75" s="130">
        <v>0</v>
      </c>
      <c r="T75" s="131">
        <v>206</v>
      </c>
      <c r="U75" s="131">
        <v>124</v>
      </c>
      <c r="V75" s="132">
        <f t="shared" si="11"/>
        <v>330</v>
      </c>
      <c r="W75" s="133">
        <f t="shared" si="12"/>
        <v>2.2448979591836733</v>
      </c>
      <c r="X75" s="130">
        <v>1660</v>
      </c>
      <c r="Y75" s="131">
        <v>1589</v>
      </c>
      <c r="Z75" s="131">
        <v>957</v>
      </c>
      <c r="AA75" s="132">
        <f t="shared" si="13"/>
        <v>4206</v>
      </c>
      <c r="AB75" s="133">
        <f t="shared" si="14"/>
        <v>28.612244897959183</v>
      </c>
      <c r="AC75" s="134">
        <f t="shared" si="15"/>
        <v>4536</v>
      </c>
      <c r="AD75" s="135">
        <f t="shared" si="16"/>
        <v>30.857142857142858</v>
      </c>
      <c r="AE75" s="136">
        <v>25</v>
      </c>
      <c r="AF75" s="137">
        <v>30</v>
      </c>
      <c r="AG75" s="137">
        <v>0</v>
      </c>
      <c r="AH75" s="138">
        <f t="shared" si="17"/>
        <v>55</v>
      </c>
      <c r="AI75" s="133">
        <f t="shared" si="18"/>
        <v>0.37414965986394561</v>
      </c>
    </row>
    <row r="76" spans="1:35">
      <c r="A76" s="171">
        <f>IF('09월 조업일지'!A73="","",'09월 조업일지'!A73)</f>
        <v>46268</v>
      </c>
      <c r="B76" s="172" t="str">
        <f>'09월 조업일지'!E73</f>
        <v>D</v>
      </c>
      <c r="C76" s="172" t="str">
        <f>'09월 조업일지'!F73</f>
        <v>B</v>
      </c>
      <c r="D76" s="172">
        <f>'09월 화학성분'!C73</f>
        <v>85275</v>
      </c>
      <c r="E76" s="205" t="str">
        <f t="shared" si="19"/>
        <v>SS400(ToMok)</v>
      </c>
      <c r="F76" s="121">
        <v>21</v>
      </c>
      <c r="G76" s="122">
        <v>23700</v>
      </c>
      <c r="H76" s="123">
        <v>18</v>
      </c>
      <c r="I76" s="122">
        <v>20500</v>
      </c>
      <c r="J76" s="123">
        <v>7</v>
      </c>
      <c r="K76" s="122">
        <v>9000</v>
      </c>
      <c r="L76" s="124">
        <f t="shared" si="20"/>
        <v>46</v>
      </c>
      <c r="M76" s="125">
        <f t="shared" si="20"/>
        <v>53200</v>
      </c>
      <c r="N76" s="126">
        <f t="shared" si="7"/>
        <v>161.44414168937328</v>
      </c>
      <c r="O76" s="127">
        <f t="shared" si="8"/>
        <v>139.64577656675749</v>
      </c>
      <c r="P76" s="127">
        <f t="shared" si="9"/>
        <v>61.307901907356943</v>
      </c>
      <c r="Q76" s="128">
        <f t="shared" si="10"/>
        <v>362.39782016348772</v>
      </c>
      <c r="R76" s="129">
        <v>146.80000000000001</v>
      </c>
      <c r="S76" s="130">
        <v>0</v>
      </c>
      <c r="T76" s="131">
        <v>212</v>
      </c>
      <c r="U76" s="131">
        <v>137</v>
      </c>
      <c r="V76" s="132">
        <f t="shared" si="11"/>
        <v>349</v>
      </c>
      <c r="W76" s="133">
        <f t="shared" si="12"/>
        <v>2.377384196185286</v>
      </c>
      <c r="X76" s="130">
        <v>1729</v>
      </c>
      <c r="Y76" s="131">
        <v>1600</v>
      </c>
      <c r="Z76" s="131">
        <v>765</v>
      </c>
      <c r="AA76" s="132">
        <f t="shared" si="13"/>
        <v>4094</v>
      </c>
      <c r="AB76" s="133">
        <f t="shared" si="14"/>
        <v>27.888283378746593</v>
      </c>
      <c r="AC76" s="134">
        <f t="shared" si="15"/>
        <v>4443</v>
      </c>
      <c r="AD76" s="135">
        <f t="shared" si="16"/>
        <v>30.265667574931879</v>
      </c>
      <c r="AE76" s="136">
        <v>26</v>
      </c>
      <c r="AF76" s="137">
        <v>28</v>
      </c>
      <c r="AG76" s="137">
        <v>0</v>
      </c>
      <c r="AH76" s="138">
        <f t="shared" si="17"/>
        <v>54</v>
      </c>
      <c r="AI76" s="133">
        <f t="shared" si="18"/>
        <v>0.36784741144414168</v>
      </c>
    </row>
    <row r="77" spans="1:35">
      <c r="A77" s="171">
        <f>IF('09월 조업일지'!A74="","",'09월 조업일지'!A74)</f>
        <v>46268</v>
      </c>
      <c r="B77" s="172" t="str">
        <f>'09월 조업일지'!E74</f>
        <v>D</v>
      </c>
      <c r="C77" s="172" t="str">
        <f>'09월 조업일지'!F74</f>
        <v>A</v>
      </c>
      <c r="D77" s="172">
        <f>'09월 화학성분'!C74</f>
        <v>85276</v>
      </c>
      <c r="E77" s="205" t="str">
        <f t="shared" si="19"/>
        <v>SS400(ToMok)</v>
      </c>
      <c r="F77" s="121">
        <v>20</v>
      </c>
      <c r="G77" s="122">
        <v>22900</v>
      </c>
      <c r="H77" s="123">
        <v>18</v>
      </c>
      <c r="I77" s="122">
        <v>20400</v>
      </c>
      <c r="J77" s="123">
        <v>8</v>
      </c>
      <c r="K77" s="122">
        <v>10400</v>
      </c>
      <c r="L77" s="124">
        <f t="shared" si="20"/>
        <v>46</v>
      </c>
      <c r="M77" s="125">
        <f t="shared" si="20"/>
        <v>53700</v>
      </c>
      <c r="N77" s="126">
        <f t="shared" si="7"/>
        <v>156.84931506849315</v>
      </c>
      <c r="O77" s="127">
        <f t="shared" si="8"/>
        <v>139.72602739726028</v>
      </c>
      <c r="P77" s="127">
        <f t="shared" si="9"/>
        <v>71.232876712328761</v>
      </c>
      <c r="Q77" s="128">
        <f t="shared" si="10"/>
        <v>367.80821917808225</v>
      </c>
      <c r="R77" s="129">
        <v>146</v>
      </c>
      <c r="S77" s="130">
        <v>0</v>
      </c>
      <c r="T77" s="131">
        <v>209</v>
      </c>
      <c r="U77" s="131">
        <v>236</v>
      </c>
      <c r="V77" s="132">
        <f t="shared" si="11"/>
        <v>445</v>
      </c>
      <c r="W77" s="133">
        <f t="shared" si="12"/>
        <v>3.047945205479452</v>
      </c>
      <c r="X77" s="130">
        <v>1615</v>
      </c>
      <c r="Y77" s="131">
        <v>1699</v>
      </c>
      <c r="Z77" s="131">
        <v>855</v>
      </c>
      <c r="AA77" s="132">
        <f t="shared" si="13"/>
        <v>4169</v>
      </c>
      <c r="AB77" s="133">
        <f t="shared" si="14"/>
        <v>28.554794520547944</v>
      </c>
      <c r="AC77" s="134">
        <f t="shared" si="15"/>
        <v>4614</v>
      </c>
      <c r="AD77" s="135">
        <f t="shared" si="16"/>
        <v>31.602739726027398</v>
      </c>
      <c r="AE77" s="136">
        <v>23</v>
      </c>
      <c r="AF77" s="137">
        <v>29</v>
      </c>
      <c r="AG77" s="137">
        <v>0</v>
      </c>
      <c r="AH77" s="138">
        <f t="shared" si="17"/>
        <v>52</v>
      </c>
      <c r="AI77" s="133">
        <f t="shared" si="18"/>
        <v>0.35616438356164382</v>
      </c>
    </row>
    <row r="78" spans="1:35">
      <c r="A78" s="171">
        <f>IF('09월 조업일지'!A75="","",'09월 조업일지'!A75)</f>
        <v>46268</v>
      </c>
      <c r="B78" s="172" t="str">
        <f>'09월 조업일지'!E75</f>
        <v>D</v>
      </c>
      <c r="C78" s="172" t="str">
        <f>'09월 조업일지'!F75</f>
        <v>B</v>
      </c>
      <c r="D78" s="172">
        <f>'09월 화학성분'!C75</f>
        <v>85277</v>
      </c>
      <c r="E78" s="205" t="str">
        <f t="shared" si="19"/>
        <v>SS400(ToMok)</v>
      </c>
      <c r="F78" s="121">
        <v>20</v>
      </c>
      <c r="G78" s="122">
        <v>23500</v>
      </c>
      <c r="H78" s="123">
        <v>17</v>
      </c>
      <c r="I78" s="122">
        <v>20800</v>
      </c>
      <c r="J78" s="123">
        <v>9</v>
      </c>
      <c r="K78" s="122">
        <v>10500</v>
      </c>
      <c r="L78" s="124">
        <f t="shared" si="20"/>
        <v>46</v>
      </c>
      <c r="M78" s="125">
        <f t="shared" si="20"/>
        <v>54800</v>
      </c>
      <c r="N78" s="126">
        <f t="shared" ref="N78:N141" si="21">IF(ISBLANK(G78),"",G78/R78)</f>
        <v>160.95890410958904</v>
      </c>
      <c r="O78" s="127">
        <f t="shared" ref="O78:O141" si="22">IF(ISBLANK(I78),"",+I78/R78)</f>
        <v>142.46575342465752</v>
      </c>
      <c r="P78" s="127">
        <f t="shared" ref="P78:P141" si="23">IF(ISBLANK(K78),"",K78/R78)</f>
        <v>71.917808219178085</v>
      </c>
      <c r="Q78" s="128">
        <f t="shared" ref="Q78:Q141" si="24">IF(ISBLANK(K78),"",SUM(N78:P78))</f>
        <v>375.34246575342462</v>
      </c>
      <c r="R78" s="129">
        <v>146</v>
      </c>
      <c r="S78" s="130">
        <v>0</v>
      </c>
      <c r="T78" s="131">
        <v>199</v>
      </c>
      <c r="U78" s="131">
        <v>152</v>
      </c>
      <c r="V78" s="132">
        <f t="shared" ref="V78:V141" si="25">IF(SUM(S78:U78)=0,"",SUM(S78:U78))</f>
        <v>351</v>
      </c>
      <c r="W78" s="133">
        <f t="shared" ref="W78:W141" si="26">IF(V78="","",V78/R78)</f>
        <v>2.404109589041096</v>
      </c>
      <c r="X78" s="130">
        <v>1645</v>
      </c>
      <c r="Y78" s="131">
        <v>1586</v>
      </c>
      <c r="Z78" s="131">
        <v>850</v>
      </c>
      <c r="AA78" s="132">
        <f t="shared" ref="AA78:AA141" si="27">IF(SUM(X78:Z78)=0,"",SUM(X78:Z78))</f>
        <v>4081</v>
      </c>
      <c r="AB78" s="133">
        <f t="shared" ref="AB78:AB141" si="28">IF(AA78="","",AA78/R78)</f>
        <v>27.952054794520549</v>
      </c>
      <c r="AC78" s="134">
        <f t="shared" ref="AC78:AC141" si="29">IF(SUM(V78,AA78)=0,"",SUM(V78,AA78))</f>
        <v>4432</v>
      </c>
      <c r="AD78" s="135">
        <f t="shared" ref="AD78:AD141" si="30">IF(AC78="","",AC78/R78)</f>
        <v>30.356164383561644</v>
      </c>
      <c r="AE78" s="136">
        <v>26</v>
      </c>
      <c r="AF78" s="137">
        <v>23</v>
      </c>
      <c r="AG78" s="137">
        <v>0</v>
      </c>
      <c r="AH78" s="138">
        <f t="shared" ref="AH78:AH141" si="31">IF(SUM(AE78:AG78)=0,"",SUM(AE78:AG78))</f>
        <v>49</v>
      </c>
      <c r="AI78" s="133">
        <f t="shared" ref="AI78:AI141" si="32">IF(AH78="","",AH78/R78)</f>
        <v>0.33561643835616439</v>
      </c>
    </row>
    <row r="79" spans="1:35">
      <c r="A79" s="171">
        <f>IF('09월 조업일지'!A76="","",'09월 조업일지'!A76)</f>
        <v>46268</v>
      </c>
      <c r="B79" s="172" t="str">
        <f>'09월 조업일지'!E76</f>
        <v>D</v>
      </c>
      <c r="C79" s="172" t="str">
        <f>'09월 조업일지'!F76</f>
        <v>A</v>
      </c>
      <c r="D79" s="172">
        <f>'09월 화학성분'!C76</f>
        <v>85278</v>
      </c>
      <c r="E79" s="205" t="str">
        <f t="shared" ref="E79:E142" si="33">IF(F79="","",E78)</f>
        <v>SS400(ToMok)</v>
      </c>
      <c r="F79" s="121">
        <v>21</v>
      </c>
      <c r="G79" s="122">
        <v>24500</v>
      </c>
      <c r="H79" s="123">
        <v>17</v>
      </c>
      <c r="I79" s="122">
        <v>20600</v>
      </c>
      <c r="J79" s="123">
        <v>7</v>
      </c>
      <c r="K79" s="122">
        <v>8800</v>
      </c>
      <c r="L79" s="124">
        <f t="shared" si="20"/>
        <v>45</v>
      </c>
      <c r="M79" s="125">
        <f t="shared" si="20"/>
        <v>53900</v>
      </c>
      <c r="N79" s="126">
        <f t="shared" si="21"/>
        <v>167.00749829584186</v>
      </c>
      <c r="O79" s="127">
        <f t="shared" si="22"/>
        <v>140.42263122017724</v>
      </c>
      <c r="P79" s="127">
        <f t="shared" si="23"/>
        <v>59.986366734832998</v>
      </c>
      <c r="Q79" s="128">
        <f t="shared" si="24"/>
        <v>367.41649625085205</v>
      </c>
      <c r="R79" s="129">
        <v>146.69999999999999</v>
      </c>
      <c r="S79" s="130">
        <v>0</v>
      </c>
      <c r="T79" s="131">
        <v>140</v>
      </c>
      <c r="U79" s="131">
        <v>159</v>
      </c>
      <c r="V79" s="132">
        <f t="shared" si="25"/>
        <v>299</v>
      </c>
      <c r="W79" s="133">
        <f t="shared" si="26"/>
        <v>2.0381731424676213</v>
      </c>
      <c r="X79" s="130">
        <v>1738</v>
      </c>
      <c r="Y79" s="131">
        <v>1592</v>
      </c>
      <c r="Z79" s="131">
        <v>798</v>
      </c>
      <c r="AA79" s="132">
        <f t="shared" si="27"/>
        <v>4128</v>
      </c>
      <c r="AB79" s="133">
        <f t="shared" si="28"/>
        <v>28.13905930470348</v>
      </c>
      <c r="AC79" s="134">
        <f t="shared" si="29"/>
        <v>4427</v>
      </c>
      <c r="AD79" s="135">
        <f t="shared" si="30"/>
        <v>30.1772324471711</v>
      </c>
      <c r="AE79" s="136">
        <v>24</v>
      </c>
      <c r="AF79" s="137">
        <v>31</v>
      </c>
      <c r="AG79" s="137">
        <v>0</v>
      </c>
      <c r="AH79" s="138">
        <f t="shared" si="31"/>
        <v>55</v>
      </c>
      <c r="AI79" s="133">
        <f t="shared" si="32"/>
        <v>0.37491479209270623</v>
      </c>
    </row>
    <row r="80" spans="1:35">
      <c r="A80" s="171">
        <f>IF('09월 조업일지'!A77="","",'09월 조업일지'!A77)</f>
        <v>46268</v>
      </c>
      <c r="B80" s="172" t="str">
        <f>'09월 조업일지'!E77</f>
        <v>B</v>
      </c>
      <c r="C80" s="172" t="str">
        <f>'09월 조업일지'!F77</f>
        <v>B</v>
      </c>
      <c r="D80" s="172">
        <f>'09월 화학성분'!C77</f>
        <v>85279</v>
      </c>
      <c r="E80" s="205" t="str">
        <f t="shared" si="33"/>
        <v>SS400(ToMok)</v>
      </c>
      <c r="F80" s="121">
        <v>23</v>
      </c>
      <c r="G80" s="122">
        <v>23400</v>
      </c>
      <c r="H80" s="123">
        <v>18</v>
      </c>
      <c r="I80" s="122">
        <v>20400</v>
      </c>
      <c r="J80" s="123">
        <v>8</v>
      </c>
      <c r="K80" s="122">
        <v>10900</v>
      </c>
      <c r="L80" s="124">
        <f t="shared" si="20"/>
        <v>49</v>
      </c>
      <c r="M80" s="125">
        <f t="shared" si="20"/>
        <v>54700</v>
      </c>
      <c r="N80" s="126">
        <f t="shared" si="21"/>
        <v>156.52173913043478</v>
      </c>
      <c r="O80" s="127">
        <f t="shared" si="22"/>
        <v>136.45484949832775</v>
      </c>
      <c r="P80" s="127">
        <f t="shared" si="23"/>
        <v>72.909698996655521</v>
      </c>
      <c r="Q80" s="128">
        <f t="shared" si="24"/>
        <v>365.88628762541805</v>
      </c>
      <c r="R80" s="129">
        <v>149.5</v>
      </c>
      <c r="S80" s="130">
        <v>0</v>
      </c>
      <c r="T80" s="131">
        <v>144</v>
      </c>
      <c r="U80" s="131">
        <v>271</v>
      </c>
      <c r="V80" s="132">
        <f t="shared" si="25"/>
        <v>415</v>
      </c>
      <c r="W80" s="133">
        <f t="shared" si="26"/>
        <v>2.7759197324414715</v>
      </c>
      <c r="X80" s="130">
        <v>1804</v>
      </c>
      <c r="Y80" s="131">
        <v>1609</v>
      </c>
      <c r="Z80" s="131">
        <v>947</v>
      </c>
      <c r="AA80" s="132">
        <f t="shared" si="27"/>
        <v>4360</v>
      </c>
      <c r="AB80" s="133">
        <f t="shared" si="28"/>
        <v>29.163879598662206</v>
      </c>
      <c r="AC80" s="134">
        <f t="shared" si="29"/>
        <v>4775</v>
      </c>
      <c r="AD80" s="135">
        <f t="shared" si="30"/>
        <v>31.939799331103679</v>
      </c>
      <c r="AE80" s="136">
        <v>26</v>
      </c>
      <c r="AF80" s="137">
        <v>28</v>
      </c>
      <c r="AG80" s="137">
        <v>0</v>
      </c>
      <c r="AH80" s="138">
        <f t="shared" si="31"/>
        <v>54</v>
      </c>
      <c r="AI80" s="133">
        <f t="shared" si="32"/>
        <v>0.3612040133779264</v>
      </c>
    </row>
    <row r="81" spans="1:35">
      <c r="A81" s="171">
        <f>IF('09월 조업일지'!A78="","",'09월 조업일지'!A78)</f>
        <v>46268</v>
      </c>
      <c r="B81" s="172" t="str">
        <f>'09월 조업일지'!E78</f>
        <v>B</v>
      </c>
      <c r="C81" s="172" t="str">
        <f>'09월 조업일지'!F78</f>
        <v>A</v>
      </c>
      <c r="D81" s="172">
        <f>'09월 화학성분'!C78</f>
        <v>85280</v>
      </c>
      <c r="E81" s="205" t="str">
        <f t="shared" si="33"/>
        <v>SS400(ToMok)</v>
      </c>
      <c r="F81" s="121">
        <v>20</v>
      </c>
      <c r="G81" s="122">
        <v>23500</v>
      </c>
      <c r="H81" s="123">
        <v>18</v>
      </c>
      <c r="I81" s="122">
        <v>20500</v>
      </c>
      <c r="J81" s="123">
        <v>6</v>
      </c>
      <c r="K81" s="122">
        <v>8300</v>
      </c>
      <c r="L81" s="124">
        <f t="shared" si="20"/>
        <v>44</v>
      </c>
      <c r="M81" s="125">
        <f t="shared" si="20"/>
        <v>52300</v>
      </c>
      <c r="N81" s="126">
        <f t="shared" si="21"/>
        <v>159.97277059223961</v>
      </c>
      <c r="O81" s="127">
        <f t="shared" si="22"/>
        <v>139.55071477195369</v>
      </c>
      <c r="P81" s="127">
        <f t="shared" si="23"/>
        <v>56.501021102791015</v>
      </c>
      <c r="Q81" s="128">
        <f t="shared" si="24"/>
        <v>356.02450646698435</v>
      </c>
      <c r="R81" s="129">
        <v>146.9</v>
      </c>
      <c r="S81" s="130">
        <v>0</v>
      </c>
      <c r="T81" s="131">
        <v>193</v>
      </c>
      <c r="U81" s="131">
        <v>204</v>
      </c>
      <c r="V81" s="132">
        <f t="shared" si="25"/>
        <v>397</v>
      </c>
      <c r="W81" s="133">
        <f t="shared" si="26"/>
        <v>2.7025187202178351</v>
      </c>
      <c r="X81" s="130">
        <v>1673</v>
      </c>
      <c r="Y81" s="131">
        <v>1583</v>
      </c>
      <c r="Z81" s="131">
        <v>773</v>
      </c>
      <c r="AA81" s="132">
        <f t="shared" si="27"/>
        <v>4029</v>
      </c>
      <c r="AB81" s="133">
        <f t="shared" si="28"/>
        <v>27.426820966643973</v>
      </c>
      <c r="AC81" s="134">
        <f t="shared" si="29"/>
        <v>4426</v>
      </c>
      <c r="AD81" s="135">
        <f t="shared" si="30"/>
        <v>30.129339686861808</v>
      </c>
      <c r="AE81" s="136">
        <v>25</v>
      </c>
      <c r="AF81" s="137">
        <v>27</v>
      </c>
      <c r="AG81" s="137">
        <v>0</v>
      </c>
      <c r="AH81" s="138">
        <f t="shared" si="31"/>
        <v>52</v>
      </c>
      <c r="AI81" s="133">
        <f t="shared" si="32"/>
        <v>0.35398230088495575</v>
      </c>
    </row>
    <row r="82" spans="1:35">
      <c r="A82" s="171">
        <f>IF('09월 조업일지'!A79="","",'09월 조업일지'!A79)</f>
        <v>46268</v>
      </c>
      <c r="B82" s="172" t="str">
        <f>'09월 조업일지'!E79</f>
        <v>B</v>
      </c>
      <c r="C82" s="172" t="str">
        <f>'09월 조업일지'!F79</f>
        <v>B</v>
      </c>
      <c r="D82" s="172">
        <f>'09월 화학성분'!C79</f>
        <v>85281</v>
      </c>
      <c r="E82" s="205" t="str">
        <f t="shared" si="33"/>
        <v>SS400(ToMok)</v>
      </c>
      <c r="F82" s="121">
        <v>19</v>
      </c>
      <c r="G82" s="122">
        <v>23500</v>
      </c>
      <c r="H82" s="123">
        <v>18</v>
      </c>
      <c r="I82" s="122">
        <v>20300</v>
      </c>
      <c r="J82" s="123">
        <v>9</v>
      </c>
      <c r="K82" s="122">
        <v>12700</v>
      </c>
      <c r="L82" s="124">
        <f t="shared" si="20"/>
        <v>46</v>
      </c>
      <c r="M82" s="125">
        <f t="shared" si="20"/>
        <v>56500</v>
      </c>
      <c r="N82" s="126">
        <f t="shared" si="21"/>
        <v>158.89114266396214</v>
      </c>
      <c r="O82" s="127">
        <f t="shared" si="22"/>
        <v>137.25490196078431</v>
      </c>
      <c r="P82" s="127">
        <f t="shared" si="23"/>
        <v>85.86883029073698</v>
      </c>
      <c r="Q82" s="128">
        <f t="shared" si="24"/>
        <v>382.0148749154834</v>
      </c>
      <c r="R82" s="129">
        <v>147.9</v>
      </c>
      <c r="S82" s="130">
        <v>0</v>
      </c>
      <c r="T82" s="131">
        <v>125</v>
      </c>
      <c r="U82" s="131">
        <v>354</v>
      </c>
      <c r="V82" s="132">
        <f t="shared" si="25"/>
        <v>479</v>
      </c>
      <c r="W82" s="133">
        <f t="shared" si="26"/>
        <v>3.2386747802569302</v>
      </c>
      <c r="X82" s="130">
        <v>1690</v>
      </c>
      <c r="Y82" s="131">
        <v>1734</v>
      </c>
      <c r="Z82" s="131">
        <v>1299</v>
      </c>
      <c r="AA82" s="132">
        <f t="shared" si="27"/>
        <v>4723</v>
      </c>
      <c r="AB82" s="133">
        <f t="shared" si="28"/>
        <v>31.933739012846516</v>
      </c>
      <c r="AC82" s="134">
        <f t="shared" si="29"/>
        <v>5202</v>
      </c>
      <c r="AD82" s="135">
        <f t="shared" si="30"/>
        <v>35.172413793103445</v>
      </c>
      <c r="AE82" s="136">
        <v>25</v>
      </c>
      <c r="AF82" s="137">
        <v>24</v>
      </c>
      <c r="AG82" s="137">
        <v>0</v>
      </c>
      <c r="AH82" s="138">
        <f t="shared" si="31"/>
        <v>49</v>
      </c>
      <c r="AI82" s="133">
        <f t="shared" si="32"/>
        <v>0.33130493576741038</v>
      </c>
    </row>
    <row r="83" spans="1:35">
      <c r="A83" s="171">
        <f>IF('09월 조업일지'!A80="","",'09월 조업일지'!A80)</f>
        <v>46268</v>
      </c>
      <c r="B83" s="172" t="str">
        <f>'09월 조업일지'!E80</f>
        <v>B</v>
      </c>
      <c r="C83" s="172" t="str">
        <f>'09월 조업일지'!F80</f>
        <v>A</v>
      </c>
      <c r="D83" s="172">
        <f>'09월 화학성분'!C80</f>
        <v>85282</v>
      </c>
      <c r="E83" s="205" t="str">
        <f t="shared" si="33"/>
        <v>SS400(ToMok)</v>
      </c>
      <c r="F83" s="121">
        <v>21</v>
      </c>
      <c r="G83" s="122">
        <v>23500</v>
      </c>
      <c r="H83" s="123">
        <v>17</v>
      </c>
      <c r="I83" s="122">
        <v>20500</v>
      </c>
      <c r="J83" s="123">
        <v>6</v>
      </c>
      <c r="K83" s="122">
        <v>7800</v>
      </c>
      <c r="L83" s="124">
        <f t="shared" si="20"/>
        <v>44</v>
      </c>
      <c r="M83" s="125">
        <f t="shared" si="20"/>
        <v>51800</v>
      </c>
      <c r="N83" s="126">
        <f t="shared" si="21"/>
        <v>160.62884483937114</v>
      </c>
      <c r="O83" s="127">
        <f t="shared" si="22"/>
        <v>140.12303485987695</v>
      </c>
      <c r="P83" s="127">
        <f t="shared" si="23"/>
        <v>53.315105946684888</v>
      </c>
      <c r="Q83" s="128">
        <f t="shared" si="24"/>
        <v>354.06698564593296</v>
      </c>
      <c r="R83" s="129">
        <v>146.30000000000001</v>
      </c>
      <c r="S83" s="130">
        <v>0</v>
      </c>
      <c r="T83" s="131">
        <v>80</v>
      </c>
      <c r="U83" s="131">
        <v>264</v>
      </c>
      <c r="V83" s="132">
        <f t="shared" si="25"/>
        <v>344</v>
      </c>
      <c r="W83" s="133">
        <f t="shared" si="26"/>
        <v>2.3513328776486668</v>
      </c>
      <c r="X83" s="130">
        <v>1731</v>
      </c>
      <c r="Y83" s="131">
        <v>1645</v>
      </c>
      <c r="Z83" s="131">
        <v>689</v>
      </c>
      <c r="AA83" s="132">
        <f t="shared" si="27"/>
        <v>4065</v>
      </c>
      <c r="AB83" s="133">
        <f t="shared" si="28"/>
        <v>27.785372522214626</v>
      </c>
      <c r="AC83" s="134">
        <f t="shared" si="29"/>
        <v>4409</v>
      </c>
      <c r="AD83" s="135">
        <f t="shared" si="30"/>
        <v>30.136705399863292</v>
      </c>
      <c r="AE83" s="136">
        <v>25</v>
      </c>
      <c r="AF83" s="137">
        <v>32</v>
      </c>
      <c r="AG83" s="137">
        <v>0</v>
      </c>
      <c r="AH83" s="138">
        <f t="shared" si="31"/>
        <v>57</v>
      </c>
      <c r="AI83" s="133">
        <f t="shared" si="32"/>
        <v>0.38961038961038957</v>
      </c>
    </row>
    <row r="84" spans="1:35">
      <c r="A84" s="171">
        <f>IF('09월 조업일지'!A81="","",'09월 조업일지'!A81)</f>
        <v>46268</v>
      </c>
      <c r="B84" s="172" t="str">
        <f>'09월 조업일지'!E81</f>
        <v>B</v>
      </c>
      <c r="C84" s="172" t="str">
        <f>'09월 조업일지'!F81</f>
        <v>B</v>
      </c>
      <c r="D84" s="172">
        <f>'09월 화학성분'!C81</f>
        <v>85283</v>
      </c>
      <c r="E84" s="205" t="str">
        <f t="shared" si="33"/>
        <v>SS400(ToMok)</v>
      </c>
      <c r="F84" s="121">
        <v>19</v>
      </c>
      <c r="G84" s="122">
        <v>23500</v>
      </c>
      <c r="H84" s="123">
        <v>17</v>
      </c>
      <c r="I84" s="122">
        <v>20400</v>
      </c>
      <c r="J84" s="123">
        <v>8</v>
      </c>
      <c r="K84" s="122">
        <v>10200</v>
      </c>
      <c r="L84" s="124">
        <f t="shared" si="20"/>
        <v>44</v>
      </c>
      <c r="M84" s="125">
        <f t="shared" si="20"/>
        <v>54100</v>
      </c>
      <c r="N84" s="126">
        <f t="shared" si="21"/>
        <v>158.56950067476384</v>
      </c>
      <c r="O84" s="127">
        <f t="shared" si="22"/>
        <v>137.65182186234819</v>
      </c>
      <c r="P84" s="127">
        <f t="shared" si="23"/>
        <v>68.825910931174093</v>
      </c>
      <c r="Q84" s="128">
        <f t="shared" si="24"/>
        <v>365.04723346828609</v>
      </c>
      <c r="R84" s="129">
        <v>148.19999999999999</v>
      </c>
      <c r="S84" s="130">
        <v>0</v>
      </c>
      <c r="T84" s="131">
        <v>185</v>
      </c>
      <c r="U84" s="131">
        <v>169</v>
      </c>
      <c r="V84" s="132">
        <f t="shared" si="25"/>
        <v>354</v>
      </c>
      <c r="W84" s="133">
        <f t="shared" si="26"/>
        <v>2.3886639676113361</v>
      </c>
      <c r="X84" s="130">
        <v>1700</v>
      </c>
      <c r="Y84" s="131">
        <v>1568</v>
      </c>
      <c r="Z84" s="131">
        <v>1031</v>
      </c>
      <c r="AA84" s="132">
        <f t="shared" si="27"/>
        <v>4299</v>
      </c>
      <c r="AB84" s="133">
        <f t="shared" si="28"/>
        <v>29.008097165991906</v>
      </c>
      <c r="AC84" s="134">
        <f t="shared" si="29"/>
        <v>4653</v>
      </c>
      <c r="AD84" s="135">
        <f t="shared" si="30"/>
        <v>31.396761133603242</v>
      </c>
      <c r="AE84" s="136">
        <v>26</v>
      </c>
      <c r="AF84" s="137">
        <v>21</v>
      </c>
      <c r="AG84" s="137">
        <v>0</v>
      </c>
      <c r="AH84" s="138">
        <f t="shared" si="31"/>
        <v>47</v>
      </c>
      <c r="AI84" s="133">
        <f t="shared" si="32"/>
        <v>0.31713900134952772</v>
      </c>
    </row>
    <row r="85" spans="1:35">
      <c r="A85" s="171">
        <f>IF('09월 조업일지'!A82="","",'09월 조업일지'!A82)</f>
        <v>46268</v>
      </c>
      <c r="B85" s="172" t="str">
        <f>'09월 조업일지'!E82</f>
        <v>B</v>
      </c>
      <c r="C85" s="172" t="str">
        <f>'09월 조업일지'!F82</f>
        <v>A</v>
      </c>
      <c r="D85" s="172">
        <f>'09월 화학성분'!C82</f>
        <v>85284</v>
      </c>
      <c r="E85" s="205" t="str">
        <f t="shared" si="33"/>
        <v>SS400(ToMok)</v>
      </c>
      <c r="F85" s="121">
        <v>20</v>
      </c>
      <c r="G85" s="122">
        <v>23600</v>
      </c>
      <c r="H85" s="123">
        <v>17</v>
      </c>
      <c r="I85" s="122">
        <v>20300</v>
      </c>
      <c r="J85" s="123">
        <v>8</v>
      </c>
      <c r="K85" s="122">
        <v>9700</v>
      </c>
      <c r="L85" s="124">
        <f t="shared" si="20"/>
        <v>45</v>
      </c>
      <c r="M85" s="125">
        <f t="shared" si="20"/>
        <v>53600</v>
      </c>
      <c r="N85" s="126">
        <f t="shared" si="21"/>
        <v>159.89159891598916</v>
      </c>
      <c r="O85" s="127">
        <f t="shared" si="22"/>
        <v>137.5338753387534</v>
      </c>
      <c r="P85" s="127">
        <f t="shared" si="23"/>
        <v>65.718157181571812</v>
      </c>
      <c r="Q85" s="128">
        <f t="shared" si="24"/>
        <v>363.14363143631437</v>
      </c>
      <c r="R85" s="129">
        <v>147.6</v>
      </c>
      <c r="S85" s="130">
        <v>0</v>
      </c>
      <c r="T85" s="131">
        <v>57</v>
      </c>
      <c r="U85" s="131">
        <v>361</v>
      </c>
      <c r="V85" s="132">
        <f t="shared" si="25"/>
        <v>418</v>
      </c>
      <c r="W85" s="133">
        <f t="shared" si="26"/>
        <v>2.831978319783198</v>
      </c>
      <c r="X85" s="130">
        <v>1741</v>
      </c>
      <c r="Y85" s="131">
        <v>1684</v>
      </c>
      <c r="Z85" s="131">
        <v>667</v>
      </c>
      <c r="AA85" s="132">
        <f t="shared" si="27"/>
        <v>4092</v>
      </c>
      <c r="AB85" s="133">
        <f t="shared" si="28"/>
        <v>27.72357723577236</v>
      </c>
      <c r="AC85" s="134">
        <f t="shared" si="29"/>
        <v>4510</v>
      </c>
      <c r="AD85" s="135">
        <f t="shared" si="30"/>
        <v>30.555555555555557</v>
      </c>
      <c r="AE85" s="136">
        <v>25</v>
      </c>
      <c r="AF85" s="137">
        <v>32</v>
      </c>
      <c r="AG85" s="137">
        <v>0</v>
      </c>
      <c r="AH85" s="138">
        <f t="shared" si="31"/>
        <v>57</v>
      </c>
      <c r="AI85" s="133">
        <f t="shared" si="32"/>
        <v>0.38617886178861788</v>
      </c>
    </row>
    <row r="86" spans="1:35">
      <c r="A86" s="171">
        <f>IF('09월 조업일지'!A83="","",'09월 조업일지'!A83)</f>
        <v>46268</v>
      </c>
      <c r="B86" s="172" t="str">
        <f>'09월 조업일지'!E83</f>
        <v>B</v>
      </c>
      <c r="C86" s="172" t="str">
        <f>'09월 조업일지'!F83</f>
        <v>B</v>
      </c>
      <c r="D86" s="172">
        <f>'09월 화학성분'!C83</f>
        <v>85285</v>
      </c>
      <c r="E86" s="205" t="str">
        <f t="shared" si="33"/>
        <v>SS400(ToMok)</v>
      </c>
      <c r="F86" s="121">
        <v>20</v>
      </c>
      <c r="G86" s="122">
        <v>23800</v>
      </c>
      <c r="H86" s="123">
        <v>17</v>
      </c>
      <c r="I86" s="122">
        <v>20400</v>
      </c>
      <c r="J86" s="123">
        <v>6</v>
      </c>
      <c r="K86" s="122">
        <v>6900</v>
      </c>
      <c r="L86" s="124">
        <f t="shared" si="20"/>
        <v>43</v>
      </c>
      <c r="M86" s="125">
        <f t="shared" si="20"/>
        <v>51100</v>
      </c>
      <c r="N86" s="126">
        <f t="shared" si="21"/>
        <v>163.34934797529172</v>
      </c>
      <c r="O86" s="127">
        <f t="shared" si="22"/>
        <v>140.01372683596432</v>
      </c>
      <c r="P86" s="127">
        <f t="shared" si="23"/>
        <v>47.357584076870282</v>
      </c>
      <c r="Q86" s="128">
        <f t="shared" si="24"/>
        <v>350.72065888812637</v>
      </c>
      <c r="R86" s="129">
        <v>145.69999999999999</v>
      </c>
      <c r="S86" s="130">
        <v>0</v>
      </c>
      <c r="T86" s="131">
        <v>235</v>
      </c>
      <c r="U86" s="131">
        <v>81</v>
      </c>
      <c r="V86" s="132">
        <f t="shared" si="25"/>
        <v>316</v>
      </c>
      <c r="W86" s="133">
        <f t="shared" si="26"/>
        <v>2.1688400823610161</v>
      </c>
      <c r="X86" s="130">
        <v>1699</v>
      </c>
      <c r="Y86" s="131">
        <v>1568</v>
      </c>
      <c r="Z86" s="131">
        <v>572</v>
      </c>
      <c r="AA86" s="132">
        <f t="shared" si="27"/>
        <v>3839</v>
      </c>
      <c r="AB86" s="133">
        <f t="shared" si="28"/>
        <v>26.348661633493482</v>
      </c>
      <c r="AC86" s="134">
        <f t="shared" si="29"/>
        <v>4155</v>
      </c>
      <c r="AD86" s="135">
        <f t="shared" si="30"/>
        <v>28.517501715854497</v>
      </c>
      <c r="AE86" s="136">
        <v>26</v>
      </c>
      <c r="AF86" s="137">
        <v>21</v>
      </c>
      <c r="AG86" s="137">
        <v>0</v>
      </c>
      <c r="AH86" s="138">
        <f t="shared" si="31"/>
        <v>47</v>
      </c>
      <c r="AI86" s="133">
        <f t="shared" si="32"/>
        <v>0.32258064516129037</v>
      </c>
    </row>
    <row r="87" spans="1:35">
      <c r="A87" s="171">
        <f>IF('09월 조업일지'!A84="","",'09월 조업일지'!A84)</f>
        <v>46268</v>
      </c>
      <c r="B87" s="172" t="str">
        <f>'09월 조업일지'!E84</f>
        <v>B</v>
      </c>
      <c r="C87" s="172" t="str">
        <f>'09월 조업일지'!F84</f>
        <v>A</v>
      </c>
      <c r="D87" s="172">
        <f>'09월 화학성분'!C84</f>
        <v>85286</v>
      </c>
      <c r="E87" s="205" t="str">
        <f t="shared" si="33"/>
        <v>SS400(ToMok)</v>
      </c>
      <c r="F87" s="121">
        <v>20</v>
      </c>
      <c r="G87" s="122">
        <v>23300</v>
      </c>
      <c r="H87" s="123">
        <v>18</v>
      </c>
      <c r="I87" s="122">
        <v>20600</v>
      </c>
      <c r="J87" s="123">
        <v>6</v>
      </c>
      <c r="K87" s="122">
        <v>8300</v>
      </c>
      <c r="L87" s="124">
        <f t="shared" si="20"/>
        <v>44</v>
      </c>
      <c r="M87" s="125">
        <f t="shared" si="20"/>
        <v>52200</v>
      </c>
      <c r="N87" s="126">
        <f t="shared" si="21"/>
        <v>157.96610169491527</v>
      </c>
      <c r="O87" s="127">
        <f t="shared" si="22"/>
        <v>139.66101694915255</v>
      </c>
      <c r="P87" s="127">
        <f t="shared" si="23"/>
        <v>56.271186440677965</v>
      </c>
      <c r="Q87" s="128">
        <f t="shared" si="24"/>
        <v>353.8983050847458</v>
      </c>
      <c r="R87" s="129">
        <v>147.5</v>
      </c>
      <c r="S87" s="130">
        <v>0</v>
      </c>
      <c r="T87" s="131">
        <v>103</v>
      </c>
      <c r="U87" s="131">
        <v>259</v>
      </c>
      <c r="V87" s="132">
        <f t="shared" si="25"/>
        <v>362</v>
      </c>
      <c r="W87" s="133">
        <f t="shared" si="26"/>
        <v>2.4542372881355932</v>
      </c>
      <c r="X87" s="130">
        <v>1687</v>
      </c>
      <c r="Y87" s="131">
        <v>1589</v>
      </c>
      <c r="Z87" s="131">
        <v>753</v>
      </c>
      <c r="AA87" s="132">
        <f t="shared" si="27"/>
        <v>4029</v>
      </c>
      <c r="AB87" s="133">
        <f t="shared" si="28"/>
        <v>27.315254237288137</v>
      </c>
      <c r="AC87" s="134">
        <f t="shared" si="29"/>
        <v>4391</v>
      </c>
      <c r="AD87" s="135">
        <f t="shared" si="30"/>
        <v>29.769491525423728</v>
      </c>
      <c r="AE87" s="136">
        <v>25</v>
      </c>
      <c r="AF87" s="137">
        <v>31</v>
      </c>
      <c r="AG87" s="137">
        <v>0</v>
      </c>
      <c r="AH87" s="138">
        <f t="shared" si="31"/>
        <v>56</v>
      </c>
      <c r="AI87" s="133">
        <f t="shared" si="32"/>
        <v>0.37966101694915255</v>
      </c>
    </row>
    <row r="88" spans="1:35">
      <c r="A88" s="171">
        <f>IF('09월 조업일지'!A85="","",'09월 조업일지'!A85)</f>
        <v>46268</v>
      </c>
      <c r="B88" s="172" t="str">
        <f>'09월 조업일지'!E85</f>
        <v>B</v>
      </c>
      <c r="C88" s="172" t="str">
        <f>'09월 조업일지'!F85</f>
        <v>B</v>
      </c>
      <c r="D88" s="172">
        <f>'09월 화학성분'!C85</f>
        <v>85287</v>
      </c>
      <c r="E88" s="205" t="str">
        <f t="shared" si="33"/>
        <v>SS400(ToMok)</v>
      </c>
      <c r="F88" s="121">
        <v>21</v>
      </c>
      <c r="G88" s="122">
        <v>23500</v>
      </c>
      <c r="H88" s="123">
        <v>19</v>
      </c>
      <c r="I88" s="122">
        <v>20200</v>
      </c>
      <c r="J88" s="123">
        <v>7</v>
      </c>
      <c r="K88" s="122">
        <v>9300</v>
      </c>
      <c r="L88" s="124">
        <f t="shared" si="20"/>
        <v>47</v>
      </c>
      <c r="M88" s="125">
        <f t="shared" si="20"/>
        <v>53000</v>
      </c>
      <c r="N88" s="126">
        <f t="shared" si="21"/>
        <v>160.51912568306011</v>
      </c>
      <c r="O88" s="127">
        <f t="shared" si="22"/>
        <v>137.97814207650273</v>
      </c>
      <c r="P88" s="127">
        <f t="shared" si="23"/>
        <v>63.524590163934427</v>
      </c>
      <c r="Q88" s="128">
        <f t="shared" si="24"/>
        <v>362.02185792349729</v>
      </c>
      <c r="R88" s="129">
        <v>146.4</v>
      </c>
      <c r="S88" s="130">
        <v>0</v>
      </c>
      <c r="T88" s="131">
        <v>148</v>
      </c>
      <c r="U88" s="131">
        <v>163</v>
      </c>
      <c r="V88" s="132">
        <f t="shared" si="25"/>
        <v>311</v>
      </c>
      <c r="W88" s="133">
        <f t="shared" si="26"/>
        <v>2.1243169398907105</v>
      </c>
      <c r="X88" s="130">
        <v>1718</v>
      </c>
      <c r="Y88" s="131">
        <v>1715</v>
      </c>
      <c r="Z88" s="131">
        <v>804</v>
      </c>
      <c r="AA88" s="132">
        <f t="shared" si="27"/>
        <v>4237</v>
      </c>
      <c r="AB88" s="133">
        <f t="shared" si="28"/>
        <v>28.941256830601091</v>
      </c>
      <c r="AC88" s="134">
        <f t="shared" si="29"/>
        <v>4548</v>
      </c>
      <c r="AD88" s="135">
        <f t="shared" si="30"/>
        <v>31.065573770491802</v>
      </c>
      <c r="AE88" s="136">
        <v>26</v>
      </c>
      <c r="AF88" s="137">
        <v>27</v>
      </c>
      <c r="AG88" s="137">
        <v>0</v>
      </c>
      <c r="AH88" s="138">
        <f t="shared" si="31"/>
        <v>53</v>
      </c>
      <c r="AI88" s="133">
        <f t="shared" si="32"/>
        <v>0.36202185792349728</v>
      </c>
    </row>
    <row r="89" spans="1:35">
      <c r="A89" s="171">
        <f>IF('09월 조업일지'!A86="","",'09월 조업일지'!A86)</f>
        <v>46268</v>
      </c>
      <c r="B89" s="172" t="str">
        <f>'09월 조업일지'!E86</f>
        <v>B</v>
      </c>
      <c r="C89" s="172" t="str">
        <f>'09월 조업일지'!F86</f>
        <v>A</v>
      </c>
      <c r="D89" s="172">
        <f>'09월 화학성분'!C86</f>
        <v>85288</v>
      </c>
      <c r="E89" s="351" t="s">
        <v>122</v>
      </c>
      <c r="F89" s="121">
        <v>21</v>
      </c>
      <c r="G89" s="122">
        <v>23200</v>
      </c>
      <c r="H89" s="123">
        <v>17</v>
      </c>
      <c r="I89" s="122">
        <v>20600</v>
      </c>
      <c r="J89" s="123">
        <v>7</v>
      </c>
      <c r="K89" s="122">
        <v>8900</v>
      </c>
      <c r="L89" s="124">
        <f t="shared" ref="L89:M152" si="34">IF(ISBLANK(F89),"",SUM(F89,H89,J89))</f>
        <v>45</v>
      </c>
      <c r="M89" s="125">
        <f t="shared" si="34"/>
        <v>52700</v>
      </c>
      <c r="N89" s="126">
        <f t="shared" si="21"/>
        <v>153.13531353135315</v>
      </c>
      <c r="O89" s="127">
        <f t="shared" si="22"/>
        <v>135.97359735973598</v>
      </c>
      <c r="P89" s="127">
        <f t="shared" si="23"/>
        <v>58.745874587458744</v>
      </c>
      <c r="Q89" s="128">
        <f t="shared" si="24"/>
        <v>347.85478547854785</v>
      </c>
      <c r="R89" s="129">
        <v>151.5</v>
      </c>
      <c r="S89" s="130">
        <v>0</v>
      </c>
      <c r="T89" s="131">
        <v>168</v>
      </c>
      <c r="U89" s="131">
        <v>256</v>
      </c>
      <c r="V89" s="132">
        <f t="shared" si="25"/>
        <v>424</v>
      </c>
      <c r="W89" s="133">
        <f t="shared" si="26"/>
        <v>2.7986798679867988</v>
      </c>
      <c r="X89" s="130">
        <v>1694</v>
      </c>
      <c r="Y89" s="131">
        <v>1636</v>
      </c>
      <c r="Z89" s="131">
        <v>466</v>
      </c>
      <c r="AA89" s="132">
        <f t="shared" si="27"/>
        <v>3796</v>
      </c>
      <c r="AB89" s="133">
        <f t="shared" si="28"/>
        <v>25.056105610561055</v>
      </c>
      <c r="AC89" s="134">
        <f t="shared" si="29"/>
        <v>4220</v>
      </c>
      <c r="AD89" s="135">
        <f t="shared" si="30"/>
        <v>27.854785478547853</v>
      </c>
      <c r="AE89" s="136">
        <v>25</v>
      </c>
      <c r="AF89" s="137">
        <v>31</v>
      </c>
      <c r="AG89" s="137">
        <v>0</v>
      </c>
      <c r="AH89" s="138">
        <f t="shared" si="31"/>
        <v>56</v>
      </c>
      <c r="AI89" s="133">
        <f t="shared" si="32"/>
        <v>0.36963696369636961</v>
      </c>
    </row>
    <row r="90" spans="1:35">
      <c r="A90" s="171">
        <f>IF('09월 조업일지'!A87="","",'09월 조업일지'!A87)</f>
        <v>46268</v>
      </c>
      <c r="B90" s="172" t="str">
        <f>'09월 조업일지'!E87</f>
        <v>C</v>
      </c>
      <c r="C90" s="172" t="str">
        <f>'09월 조업일지'!F87</f>
        <v>B</v>
      </c>
      <c r="D90" s="172">
        <f>'09월 화학성분'!C87</f>
        <v>85289</v>
      </c>
      <c r="E90" s="205" t="str">
        <f t="shared" si="33"/>
        <v>SS400-02</v>
      </c>
      <c r="F90" s="121">
        <v>20</v>
      </c>
      <c r="G90" s="122">
        <v>23500</v>
      </c>
      <c r="H90" s="123">
        <v>18</v>
      </c>
      <c r="I90" s="122">
        <v>20500</v>
      </c>
      <c r="J90" s="123">
        <v>6</v>
      </c>
      <c r="K90" s="122">
        <v>7700</v>
      </c>
      <c r="L90" s="124">
        <f t="shared" si="34"/>
        <v>44</v>
      </c>
      <c r="M90" s="125">
        <f t="shared" si="34"/>
        <v>51700</v>
      </c>
      <c r="N90" s="126">
        <f t="shared" si="21"/>
        <v>159.75526852481306</v>
      </c>
      <c r="O90" s="127">
        <f t="shared" si="22"/>
        <v>139.36097892590075</v>
      </c>
      <c r="P90" s="127">
        <f t="shared" si="23"/>
        <v>52.34534330387492</v>
      </c>
      <c r="Q90" s="128">
        <f t="shared" si="24"/>
        <v>351.46159075458871</v>
      </c>
      <c r="R90" s="129">
        <v>147.1</v>
      </c>
      <c r="S90" s="130">
        <v>0</v>
      </c>
      <c r="T90" s="131">
        <v>180</v>
      </c>
      <c r="U90" s="131">
        <v>260</v>
      </c>
      <c r="V90" s="132">
        <f t="shared" si="25"/>
        <v>440</v>
      </c>
      <c r="W90" s="133">
        <f t="shared" si="26"/>
        <v>2.9911624745071381</v>
      </c>
      <c r="X90" s="130">
        <v>1775</v>
      </c>
      <c r="Y90" s="131">
        <v>1642</v>
      </c>
      <c r="Z90" s="131">
        <v>418</v>
      </c>
      <c r="AA90" s="132">
        <f t="shared" si="27"/>
        <v>3835</v>
      </c>
      <c r="AB90" s="133">
        <f t="shared" si="28"/>
        <v>26.070700203942899</v>
      </c>
      <c r="AC90" s="134">
        <f t="shared" si="29"/>
        <v>4275</v>
      </c>
      <c r="AD90" s="135">
        <f t="shared" si="30"/>
        <v>29.061862678450034</v>
      </c>
      <c r="AE90" s="136">
        <v>26</v>
      </c>
      <c r="AF90" s="137">
        <v>24</v>
      </c>
      <c r="AG90" s="137">
        <v>0</v>
      </c>
      <c r="AH90" s="138">
        <f t="shared" si="31"/>
        <v>50</v>
      </c>
      <c r="AI90" s="133">
        <f t="shared" si="32"/>
        <v>0.33990482664853844</v>
      </c>
    </row>
    <row r="91" spans="1:35">
      <c r="A91" s="171">
        <f>IF('09월 조업일지'!A88="","",'09월 조업일지'!A88)</f>
        <v>46268</v>
      </c>
      <c r="B91" s="172" t="str">
        <f>'09월 조업일지'!E88</f>
        <v>C</v>
      </c>
      <c r="C91" s="172" t="str">
        <f>'09월 조업일지'!F88</f>
        <v>A</v>
      </c>
      <c r="D91" s="172">
        <f>'09월 화학성분'!C88</f>
        <v>85290</v>
      </c>
      <c r="E91" s="205" t="str">
        <f t="shared" si="33"/>
        <v>SS400-02</v>
      </c>
      <c r="F91" s="121">
        <v>21</v>
      </c>
      <c r="G91" s="122">
        <v>23000</v>
      </c>
      <c r="H91" s="123">
        <v>18</v>
      </c>
      <c r="I91" s="122">
        <v>20600</v>
      </c>
      <c r="J91" s="123">
        <v>8</v>
      </c>
      <c r="K91" s="122">
        <v>10100</v>
      </c>
      <c r="L91" s="124">
        <f t="shared" si="34"/>
        <v>47</v>
      </c>
      <c r="M91" s="125">
        <f t="shared" si="34"/>
        <v>53700</v>
      </c>
      <c r="N91" s="126">
        <f t="shared" si="21"/>
        <v>152.72244355909694</v>
      </c>
      <c r="O91" s="127">
        <f t="shared" si="22"/>
        <v>136.78618857901728</v>
      </c>
      <c r="P91" s="127">
        <f t="shared" si="23"/>
        <v>67.06507304116866</v>
      </c>
      <c r="Q91" s="128">
        <f t="shared" si="24"/>
        <v>356.57370517928285</v>
      </c>
      <c r="R91" s="129">
        <v>150.6</v>
      </c>
      <c r="S91" s="130">
        <v>0</v>
      </c>
      <c r="T91" s="131">
        <v>134</v>
      </c>
      <c r="U91" s="131">
        <v>368</v>
      </c>
      <c r="V91" s="132">
        <f t="shared" si="25"/>
        <v>502</v>
      </c>
      <c r="W91" s="133">
        <f t="shared" si="26"/>
        <v>3.3333333333333335</v>
      </c>
      <c r="X91" s="130">
        <v>1658</v>
      </c>
      <c r="Y91" s="131">
        <v>1600</v>
      </c>
      <c r="Z91" s="131">
        <v>501</v>
      </c>
      <c r="AA91" s="132">
        <f t="shared" si="27"/>
        <v>3759</v>
      </c>
      <c r="AB91" s="133">
        <f t="shared" si="28"/>
        <v>24.960159362549803</v>
      </c>
      <c r="AC91" s="134">
        <f t="shared" si="29"/>
        <v>4261</v>
      </c>
      <c r="AD91" s="135">
        <f t="shared" si="30"/>
        <v>28.293492695883135</v>
      </c>
      <c r="AE91" s="136">
        <v>25</v>
      </c>
      <c r="AF91" s="137">
        <v>30</v>
      </c>
      <c r="AG91" s="137">
        <v>0</v>
      </c>
      <c r="AH91" s="138">
        <f t="shared" si="31"/>
        <v>55</v>
      </c>
      <c r="AI91" s="133">
        <f t="shared" si="32"/>
        <v>0.3652058432934927</v>
      </c>
    </row>
    <row r="92" spans="1:35">
      <c r="A92" s="171">
        <f>IF('09월 조업일지'!A89="","",'09월 조업일지'!A89)</f>
        <v>46268</v>
      </c>
      <c r="B92" s="172" t="str">
        <f>'09월 조업일지'!E89</f>
        <v>C</v>
      </c>
      <c r="C92" s="172" t="str">
        <f>'09월 조업일지'!F89</f>
        <v>B</v>
      </c>
      <c r="D92" s="172">
        <f>'09월 화학성분'!C89</f>
        <v>85291</v>
      </c>
      <c r="E92" s="205" t="str">
        <f t="shared" si="33"/>
        <v>SS400-02</v>
      </c>
      <c r="F92" s="121">
        <v>20</v>
      </c>
      <c r="G92" s="122">
        <v>23100</v>
      </c>
      <c r="H92" s="123">
        <v>16</v>
      </c>
      <c r="I92" s="122">
        <v>20500</v>
      </c>
      <c r="J92" s="123">
        <v>7</v>
      </c>
      <c r="K92" s="122">
        <v>9100</v>
      </c>
      <c r="L92" s="124">
        <f t="shared" si="34"/>
        <v>43</v>
      </c>
      <c r="M92" s="125">
        <f t="shared" si="34"/>
        <v>52700</v>
      </c>
      <c r="N92" s="126">
        <f t="shared" si="21"/>
        <v>154.41176470588235</v>
      </c>
      <c r="O92" s="127">
        <f t="shared" si="22"/>
        <v>137.03208556149733</v>
      </c>
      <c r="P92" s="127">
        <f t="shared" si="23"/>
        <v>60.828877005347593</v>
      </c>
      <c r="Q92" s="128">
        <f t="shared" si="24"/>
        <v>352.27272727272725</v>
      </c>
      <c r="R92" s="129">
        <v>149.6</v>
      </c>
      <c r="S92" s="130">
        <v>0</v>
      </c>
      <c r="T92" s="131">
        <v>207</v>
      </c>
      <c r="U92" s="131">
        <v>118</v>
      </c>
      <c r="V92" s="132">
        <f t="shared" si="25"/>
        <v>325</v>
      </c>
      <c r="W92" s="133">
        <f t="shared" si="26"/>
        <v>2.1724598930481283</v>
      </c>
      <c r="X92" s="130">
        <v>1709</v>
      </c>
      <c r="Y92" s="131">
        <v>1577</v>
      </c>
      <c r="Z92" s="131">
        <v>566</v>
      </c>
      <c r="AA92" s="132">
        <f t="shared" si="27"/>
        <v>3852</v>
      </c>
      <c r="AB92" s="133">
        <f t="shared" si="28"/>
        <v>25.748663101604279</v>
      </c>
      <c r="AC92" s="134">
        <f t="shared" si="29"/>
        <v>4177</v>
      </c>
      <c r="AD92" s="135">
        <f t="shared" si="30"/>
        <v>27.921122994652407</v>
      </c>
      <c r="AE92" s="136">
        <v>25</v>
      </c>
      <c r="AF92" s="137">
        <v>21</v>
      </c>
      <c r="AG92" s="137">
        <v>0</v>
      </c>
      <c r="AH92" s="138">
        <f t="shared" si="31"/>
        <v>46</v>
      </c>
      <c r="AI92" s="133">
        <f t="shared" si="32"/>
        <v>0.30748663101604279</v>
      </c>
    </row>
    <row r="93" spans="1:35">
      <c r="A93" s="171">
        <f>IF('09월 조업일지'!A90="","",'09월 조업일지'!A90)</f>
        <v>46268</v>
      </c>
      <c r="B93" s="172" t="str">
        <f>'09월 조업일지'!E90</f>
        <v>C</v>
      </c>
      <c r="C93" s="172" t="str">
        <f>'09월 조업일지'!F90</f>
        <v>A</v>
      </c>
      <c r="D93" s="172">
        <f>'09월 화학성분'!C90</f>
        <v>85292</v>
      </c>
      <c r="E93" s="205" t="str">
        <f t="shared" si="33"/>
        <v>SS400-02</v>
      </c>
      <c r="F93" s="121">
        <v>20</v>
      </c>
      <c r="G93" s="122">
        <v>23700</v>
      </c>
      <c r="H93" s="123">
        <v>16</v>
      </c>
      <c r="I93" s="122">
        <v>20600</v>
      </c>
      <c r="J93" s="123">
        <v>8</v>
      </c>
      <c r="K93" s="122">
        <v>10300</v>
      </c>
      <c r="L93" s="124">
        <f t="shared" si="34"/>
        <v>44</v>
      </c>
      <c r="M93" s="125">
        <f t="shared" si="34"/>
        <v>54600</v>
      </c>
      <c r="N93" s="126">
        <f t="shared" si="21"/>
        <v>158.42245989304814</v>
      </c>
      <c r="O93" s="127">
        <f t="shared" si="22"/>
        <v>137.70053475935831</v>
      </c>
      <c r="P93" s="127">
        <f t="shared" si="23"/>
        <v>68.850267379679153</v>
      </c>
      <c r="Q93" s="128">
        <f t="shared" si="24"/>
        <v>364.97326203208559</v>
      </c>
      <c r="R93" s="129">
        <v>149.6</v>
      </c>
      <c r="S93" s="130">
        <v>0</v>
      </c>
      <c r="T93" s="131">
        <v>127</v>
      </c>
      <c r="U93" s="131">
        <v>224</v>
      </c>
      <c r="V93" s="132">
        <f t="shared" si="25"/>
        <v>351</v>
      </c>
      <c r="W93" s="133">
        <f t="shared" si="26"/>
        <v>2.3462566844919786</v>
      </c>
      <c r="X93" s="130">
        <v>1678</v>
      </c>
      <c r="Y93" s="131">
        <v>1583</v>
      </c>
      <c r="Z93" s="131">
        <v>862</v>
      </c>
      <c r="AA93" s="132">
        <f t="shared" si="27"/>
        <v>4123</v>
      </c>
      <c r="AB93" s="133">
        <f t="shared" si="28"/>
        <v>27.560160427807489</v>
      </c>
      <c r="AC93" s="134">
        <f t="shared" si="29"/>
        <v>4474</v>
      </c>
      <c r="AD93" s="135">
        <f t="shared" si="30"/>
        <v>29.906417112299465</v>
      </c>
      <c r="AE93" s="136">
        <v>25</v>
      </c>
      <c r="AF93" s="137">
        <v>29</v>
      </c>
      <c r="AG93" s="137">
        <v>0</v>
      </c>
      <c r="AH93" s="138">
        <f t="shared" si="31"/>
        <v>54</v>
      </c>
      <c r="AI93" s="133">
        <f t="shared" si="32"/>
        <v>0.36096256684491979</v>
      </c>
    </row>
    <row r="94" spans="1:35">
      <c r="A94" s="171">
        <f>IF('09월 조업일지'!A91="","",'09월 조업일지'!A91)</f>
        <v>46268</v>
      </c>
      <c r="B94" s="172" t="str">
        <f>'09월 조업일지'!E91</f>
        <v>C</v>
      </c>
      <c r="C94" s="172" t="str">
        <f>'09월 조업일지'!F91</f>
        <v>B</v>
      </c>
      <c r="D94" s="172">
        <f>'09월 화학성분'!C91</f>
        <v>85293</v>
      </c>
      <c r="E94" s="205" t="str">
        <f t="shared" si="33"/>
        <v>SS400-02</v>
      </c>
      <c r="F94" s="121">
        <v>22</v>
      </c>
      <c r="G94" s="122">
        <v>23600</v>
      </c>
      <c r="H94" s="123">
        <v>17</v>
      </c>
      <c r="I94" s="122">
        <v>20400</v>
      </c>
      <c r="J94" s="123">
        <v>8</v>
      </c>
      <c r="K94" s="122">
        <v>10100</v>
      </c>
      <c r="L94" s="124">
        <f t="shared" si="34"/>
        <v>47</v>
      </c>
      <c r="M94" s="125">
        <f t="shared" si="34"/>
        <v>54100</v>
      </c>
      <c r="N94" s="126">
        <f t="shared" si="21"/>
        <v>157.12383488681758</v>
      </c>
      <c r="O94" s="127">
        <f t="shared" si="22"/>
        <v>135.81890812250333</v>
      </c>
      <c r="P94" s="127">
        <f t="shared" si="23"/>
        <v>67.243675099866849</v>
      </c>
      <c r="Q94" s="128">
        <f t="shared" si="24"/>
        <v>360.18641810918774</v>
      </c>
      <c r="R94" s="129">
        <v>150.19999999999999</v>
      </c>
      <c r="S94" s="130">
        <v>0</v>
      </c>
      <c r="T94" s="131">
        <v>198</v>
      </c>
      <c r="U94" s="131">
        <v>205</v>
      </c>
      <c r="V94" s="132">
        <f t="shared" si="25"/>
        <v>403</v>
      </c>
      <c r="W94" s="133">
        <f t="shared" si="26"/>
        <v>2.6830892143808258</v>
      </c>
      <c r="X94" s="130">
        <v>1873</v>
      </c>
      <c r="Y94" s="131">
        <v>1532</v>
      </c>
      <c r="Z94" s="131">
        <v>700</v>
      </c>
      <c r="AA94" s="132">
        <f t="shared" si="27"/>
        <v>4105</v>
      </c>
      <c r="AB94" s="133">
        <f t="shared" si="28"/>
        <v>27.330226364846872</v>
      </c>
      <c r="AC94" s="134">
        <f t="shared" si="29"/>
        <v>4508</v>
      </c>
      <c r="AD94" s="135">
        <f t="shared" si="30"/>
        <v>30.013315579227697</v>
      </c>
      <c r="AE94" s="136">
        <v>26</v>
      </c>
      <c r="AF94" s="137">
        <v>20</v>
      </c>
      <c r="AG94" s="137">
        <v>0</v>
      </c>
      <c r="AH94" s="138">
        <f t="shared" si="31"/>
        <v>46</v>
      </c>
      <c r="AI94" s="133">
        <f t="shared" si="32"/>
        <v>0.30625832223701732</v>
      </c>
    </row>
    <row r="95" spans="1:35">
      <c r="A95" s="171">
        <f>IF('09월 조업일지'!A92="","",'09월 조업일지'!A92)</f>
        <v>46268</v>
      </c>
      <c r="B95" s="172" t="str">
        <f>'09월 조업일지'!E92</f>
        <v>C</v>
      </c>
      <c r="C95" s="172" t="str">
        <f>'09월 조업일지'!F92</f>
        <v>A</v>
      </c>
      <c r="D95" s="172">
        <f>'09월 화학성분'!C92</f>
        <v>85294</v>
      </c>
      <c r="E95" s="205" t="str">
        <f t="shared" si="33"/>
        <v>SS400-02</v>
      </c>
      <c r="F95" s="121">
        <v>21</v>
      </c>
      <c r="G95" s="122">
        <v>23700</v>
      </c>
      <c r="H95" s="123">
        <v>18</v>
      </c>
      <c r="I95" s="122">
        <v>20300</v>
      </c>
      <c r="J95" s="123">
        <v>6</v>
      </c>
      <c r="K95" s="122">
        <v>8600</v>
      </c>
      <c r="L95" s="124">
        <f t="shared" si="34"/>
        <v>45</v>
      </c>
      <c r="M95" s="125">
        <f t="shared" si="34"/>
        <v>52600</v>
      </c>
      <c r="N95" s="126">
        <f t="shared" si="21"/>
        <v>160.24340770791073</v>
      </c>
      <c r="O95" s="127">
        <f t="shared" si="22"/>
        <v>137.25490196078431</v>
      </c>
      <c r="P95" s="127">
        <f t="shared" si="23"/>
        <v>58.1473968897904</v>
      </c>
      <c r="Q95" s="128">
        <f t="shared" si="24"/>
        <v>355.64570655848541</v>
      </c>
      <c r="R95" s="129">
        <v>147.9</v>
      </c>
      <c r="S95" s="130">
        <v>0</v>
      </c>
      <c r="T95" s="131">
        <v>124</v>
      </c>
      <c r="U95" s="131">
        <v>168</v>
      </c>
      <c r="V95" s="132">
        <f t="shared" si="25"/>
        <v>292</v>
      </c>
      <c r="W95" s="133">
        <f t="shared" si="26"/>
        <v>1.9743069641649762</v>
      </c>
      <c r="X95" s="130">
        <v>1752</v>
      </c>
      <c r="Y95" s="131">
        <v>1627</v>
      </c>
      <c r="Z95" s="131">
        <v>623</v>
      </c>
      <c r="AA95" s="132">
        <f t="shared" si="27"/>
        <v>4002</v>
      </c>
      <c r="AB95" s="133">
        <f t="shared" si="28"/>
        <v>27.058823529411764</v>
      </c>
      <c r="AC95" s="134">
        <f t="shared" si="29"/>
        <v>4294</v>
      </c>
      <c r="AD95" s="135">
        <f t="shared" si="30"/>
        <v>29.033130493576738</v>
      </c>
      <c r="AE95" s="136">
        <v>25</v>
      </c>
      <c r="AF95" s="137">
        <v>28</v>
      </c>
      <c r="AG95" s="137">
        <v>0</v>
      </c>
      <c r="AH95" s="138">
        <f t="shared" si="31"/>
        <v>53</v>
      </c>
      <c r="AI95" s="133">
        <f t="shared" si="32"/>
        <v>0.35835023664638266</v>
      </c>
    </row>
    <row r="96" spans="1:35">
      <c r="A96" s="171">
        <f>IF('09월 조업일지'!A93="","",'09월 조업일지'!A93)</f>
        <v>46268</v>
      </c>
      <c r="B96" s="172" t="str">
        <f>'09월 조업일지'!E93</f>
        <v>C</v>
      </c>
      <c r="C96" s="172" t="str">
        <f>'09월 조업일지'!F93</f>
        <v>B</v>
      </c>
      <c r="D96" s="172">
        <f>'09월 화학성분'!C93</f>
        <v>85295</v>
      </c>
      <c r="E96" s="205" t="str">
        <f t="shared" si="33"/>
        <v>SS400-02</v>
      </c>
      <c r="F96" s="121">
        <v>20</v>
      </c>
      <c r="G96" s="122">
        <v>23200</v>
      </c>
      <c r="H96" s="123">
        <v>18</v>
      </c>
      <c r="I96" s="122">
        <v>20900</v>
      </c>
      <c r="J96" s="123">
        <v>5</v>
      </c>
      <c r="K96" s="122">
        <v>7000</v>
      </c>
      <c r="L96" s="124">
        <f t="shared" si="34"/>
        <v>43</v>
      </c>
      <c r="M96" s="125">
        <f t="shared" si="34"/>
        <v>51100</v>
      </c>
      <c r="N96" s="126">
        <f t="shared" si="21"/>
        <v>158.36177474402731</v>
      </c>
      <c r="O96" s="127">
        <f t="shared" si="22"/>
        <v>142.66211604095562</v>
      </c>
      <c r="P96" s="127">
        <f t="shared" si="23"/>
        <v>47.781569965870304</v>
      </c>
      <c r="Q96" s="128">
        <f t="shared" si="24"/>
        <v>348.80546075085323</v>
      </c>
      <c r="R96" s="129">
        <v>146.5</v>
      </c>
      <c r="S96" s="130">
        <v>0</v>
      </c>
      <c r="T96" s="131">
        <v>257</v>
      </c>
      <c r="U96" s="131">
        <v>1</v>
      </c>
      <c r="V96" s="132">
        <f t="shared" si="25"/>
        <v>258</v>
      </c>
      <c r="W96" s="133">
        <f t="shared" si="26"/>
        <v>1.7610921501706485</v>
      </c>
      <c r="X96" s="130">
        <v>1695</v>
      </c>
      <c r="Y96" s="131">
        <v>1790</v>
      </c>
      <c r="Z96" s="131">
        <v>436</v>
      </c>
      <c r="AA96" s="132">
        <f t="shared" si="27"/>
        <v>3921</v>
      </c>
      <c r="AB96" s="133">
        <f t="shared" si="28"/>
        <v>26.764505119453926</v>
      </c>
      <c r="AC96" s="134">
        <f t="shared" si="29"/>
        <v>4179</v>
      </c>
      <c r="AD96" s="135">
        <f t="shared" si="30"/>
        <v>28.525597269624573</v>
      </c>
      <c r="AE96" s="136">
        <v>26</v>
      </c>
      <c r="AF96" s="137">
        <v>25</v>
      </c>
      <c r="AG96" s="137">
        <v>0</v>
      </c>
      <c r="AH96" s="138">
        <f t="shared" si="31"/>
        <v>51</v>
      </c>
      <c r="AI96" s="133">
        <f t="shared" si="32"/>
        <v>0.34812286689419797</v>
      </c>
    </row>
    <row r="97" spans="1:35">
      <c r="A97" s="171">
        <f>IF('09월 조업일지'!A94="","",'09월 조업일지'!A94)</f>
        <v>46268</v>
      </c>
      <c r="B97" s="172" t="str">
        <f>'09월 조업일지'!E94</f>
        <v>C</v>
      </c>
      <c r="C97" s="352" t="str">
        <f>'09월 조업일지'!F94</f>
        <v>A</v>
      </c>
      <c r="D97" s="172">
        <f>'09월 화학성분'!C94</f>
        <v>85296</v>
      </c>
      <c r="E97" s="205" t="str">
        <f t="shared" si="33"/>
        <v>SS400-02</v>
      </c>
      <c r="F97" s="121">
        <v>21</v>
      </c>
      <c r="G97" s="122">
        <v>24600</v>
      </c>
      <c r="H97" s="123">
        <v>18</v>
      </c>
      <c r="I97" s="122">
        <v>20300</v>
      </c>
      <c r="J97" s="123">
        <v>6</v>
      </c>
      <c r="K97" s="122">
        <v>7400</v>
      </c>
      <c r="L97" s="124">
        <f t="shared" si="34"/>
        <v>45</v>
      </c>
      <c r="M97" s="125">
        <f t="shared" si="34"/>
        <v>52300</v>
      </c>
      <c r="N97" s="126">
        <f t="shared" si="21"/>
        <v>164.54849498327758</v>
      </c>
      <c r="O97" s="127">
        <f t="shared" si="22"/>
        <v>135.78595317725751</v>
      </c>
      <c r="P97" s="127">
        <f t="shared" si="23"/>
        <v>49.498327759197323</v>
      </c>
      <c r="Q97" s="128">
        <f t="shared" si="24"/>
        <v>349.8327759197324</v>
      </c>
      <c r="R97" s="129">
        <v>149.5</v>
      </c>
      <c r="S97" s="130">
        <v>0</v>
      </c>
      <c r="T97" s="131">
        <v>181</v>
      </c>
      <c r="U97" s="131">
        <v>164</v>
      </c>
      <c r="V97" s="132">
        <f t="shared" si="25"/>
        <v>345</v>
      </c>
      <c r="W97" s="133">
        <f t="shared" si="26"/>
        <v>2.3076923076923075</v>
      </c>
      <c r="X97" s="130">
        <v>1840</v>
      </c>
      <c r="Y97" s="131">
        <v>1593</v>
      </c>
      <c r="Z97" s="131">
        <v>658</v>
      </c>
      <c r="AA97" s="132">
        <f t="shared" si="27"/>
        <v>4091</v>
      </c>
      <c r="AB97" s="133">
        <f t="shared" si="28"/>
        <v>27.364548494983278</v>
      </c>
      <c r="AC97" s="134">
        <f t="shared" si="29"/>
        <v>4436</v>
      </c>
      <c r="AD97" s="135">
        <f t="shared" si="30"/>
        <v>29.672240802675585</v>
      </c>
      <c r="AE97" s="136">
        <v>26</v>
      </c>
      <c r="AF97" s="137">
        <v>22</v>
      </c>
      <c r="AG97" s="137">
        <v>0</v>
      </c>
      <c r="AH97" s="138">
        <f t="shared" si="31"/>
        <v>48</v>
      </c>
      <c r="AI97" s="133">
        <f t="shared" si="32"/>
        <v>0.32107023411371238</v>
      </c>
    </row>
    <row r="98" spans="1:35">
      <c r="A98" s="171">
        <f>IF('09월 조업일지'!A95="","",'09월 조업일지'!A95)</f>
        <v>46268</v>
      </c>
      <c r="B98" s="172" t="str">
        <f>'09월 조업일지'!E95</f>
        <v>C</v>
      </c>
      <c r="C98" s="352" t="str">
        <f>'09월 조업일지'!F95</f>
        <v>B</v>
      </c>
      <c r="D98" s="172">
        <f>'09월 화학성분'!C95</f>
        <v>85297</v>
      </c>
      <c r="E98" s="205" t="str">
        <f t="shared" si="33"/>
        <v>SS400-02</v>
      </c>
      <c r="F98" s="121">
        <v>22</v>
      </c>
      <c r="G98" s="122">
        <v>24900</v>
      </c>
      <c r="H98" s="123">
        <v>16</v>
      </c>
      <c r="I98" s="122">
        <v>20400</v>
      </c>
      <c r="J98" s="123">
        <v>7</v>
      </c>
      <c r="K98" s="122">
        <v>9200</v>
      </c>
      <c r="L98" s="124">
        <f t="shared" si="34"/>
        <v>45</v>
      </c>
      <c r="M98" s="125">
        <f t="shared" si="34"/>
        <v>54500</v>
      </c>
      <c r="N98" s="126">
        <f t="shared" si="21"/>
        <v>167.67676767676767</v>
      </c>
      <c r="O98" s="127">
        <f t="shared" si="22"/>
        <v>137.37373737373738</v>
      </c>
      <c r="P98" s="127">
        <f t="shared" si="23"/>
        <v>61.952861952861952</v>
      </c>
      <c r="Q98" s="128">
        <f t="shared" si="24"/>
        <v>367.00336700336703</v>
      </c>
      <c r="R98" s="129">
        <v>148.5</v>
      </c>
      <c r="S98" s="130">
        <v>0</v>
      </c>
      <c r="T98" s="131">
        <v>169</v>
      </c>
      <c r="U98" s="131">
        <v>168</v>
      </c>
      <c r="V98" s="132">
        <f t="shared" si="25"/>
        <v>337</v>
      </c>
      <c r="W98" s="133">
        <f t="shared" si="26"/>
        <v>2.2693602693602695</v>
      </c>
      <c r="X98" s="130">
        <v>1831</v>
      </c>
      <c r="Y98" s="131">
        <v>1564</v>
      </c>
      <c r="Z98" s="131">
        <v>825</v>
      </c>
      <c r="AA98" s="132">
        <f t="shared" si="27"/>
        <v>4220</v>
      </c>
      <c r="AB98" s="133">
        <f t="shared" si="28"/>
        <v>28.417508417508419</v>
      </c>
      <c r="AC98" s="134">
        <f t="shared" si="29"/>
        <v>4557</v>
      </c>
      <c r="AD98" s="135">
        <f t="shared" si="30"/>
        <v>30.686868686868689</v>
      </c>
      <c r="AE98" s="136">
        <v>26</v>
      </c>
      <c r="AF98" s="137">
        <v>25</v>
      </c>
      <c r="AG98" s="137">
        <v>0</v>
      </c>
      <c r="AH98" s="138">
        <f t="shared" si="31"/>
        <v>51</v>
      </c>
      <c r="AI98" s="133">
        <f t="shared" si="32"/>
        <v>0.34343434343434343</v>
      </c>
    </row>
    <row r="99" spans="1:35">
      <c r="A99" s="171">
        <f>IF('09월 조업일지'!A96="","",'09월 조업일지'!A96)</f>
        <v>46268</v>
      </c>
      <c r="B99" s="172" t="str">
        <f>'09월 조업일지'!E96</f>
        <v>C</v>
      </c>
      <c r="C99" s="352" t="str">
        <f>'09월 조업일지'!F96</f>
        <v>A</v>
      </c>
      <c r="D99" s="172">
        <f>'09월 화학성분'!C96</f>
        <v>85298</v>
      </c>
      <c r="E99" s="205" t="str">
        <f t="shared" si="33"/>
        <v>SS400-02</v>
      </c>
      <c r="F99" s="121">
        <v>20</v>
      </c>
      <c r="G99" s="122">
        <v>23500</v>
      </c>
      <c r="H99" s="123">
        <v>17</v>
      </c>
      <c r="I99" s="122">
        <v>20300</v>
      </c>
      <c r="J99" s="123">
        <v>9</v>
      </c>
      <c r="K99" s="122">
        <v>11300</v>
      </c>
      <c r="L99" s="124">
        <f t="shared" si="34"/>
        <v>46</v>
      </c>
      <c r="M99" s="125">
        <f t="shared" si="34"/>
        <v>55100</v>
      </c>
      <c r="N99" s="126">
        <f t="shared" si="21"/>
        <v>158.89114266396214</v>
      </c>
      <c r="O99" s="127">
        <f t="shared" si="22"/>
        <v>137.25490196078431</v>
      </c>
      <c r="P99" s="127">
        <f t="shared" si="23"/>
        <v>76.402974983096684</v>
      </c>
      <c r="Q99" s="128">
        <f t="shared" si="24"/>
        <v>372.54901960784309</v>
      </c>
      <c r="R99" s="129">
        <v>147.9</v>
      </c>
      <c r="S99" s="130">
        <v>0</v>
      </c>
      <c r="T99" s="131">
        <v>0</v>
      </c>
      <c r="U99" s="131">
        <v>343</v>
      </c>
      <c r="V99" s="132">
        <f t="shared" si="25"/>
        <v>343</v>
      </c>
      <c r="W99" s="133">
        <f t="shared" si="26"/>
        <v>2.319134550371873</v>
      </c>
      <c r="X99" s="130">
        <v>1782</v>
      </c>
      <c r="Y99" s="131">
        <v>1578</v>
      </c>
      <c r="Z99" s="131">
        <v>908</v>
      </c>
      <c r="AA99" s="132">
        <f t="shared" si="27"/>
        <v>4268</v>
      </c>
      <c r="AB99" s="133">
        <f t="shared" si="28"/>
        <v>28.857336037863419</v>
      </c>
      <c r="AC99" s="134">
        <f t="shared" si="29"/>
        <v>4611</v>
      </c>
      <c r="AD99" s="135">
        <f t="shared" si="30"/>
        <v>31.176470588235293</v>
      </c>
      <c r="AE99" s="136">
        <v>23</v>
      </c>
      <c r="AF99" s="137">
        <v>26</v>
      </c>
      <c r="AG99" s="137">
        <v>0</v>
      </c>
      <c r="AH99" s="138">
        <f t="shared" si="31"/>
        <v>49</v>
      </c>
      <c r="AI99" s="133">
        <f t="shared" si="32"/>
        <v>0.33130493576741038</v>
      </c>
    </row>
    <row r="100" spans="1:35">
      <c r="A100" s="171">
        <f>IF('09월 조업일지'!A97="","",'09월 조업일지'!A97)</f>
        <v>46268</v>
      </c>
      <c r="B100" s="172" t="str">
        <f>'09월 조업일지'!E97</f>
        <v>D</v>
      </c>
      <c r="C100" s="352" t="str">
        <f>'09월 조업일지'!F97</f>
        <v>B</v>
      </c>
      <c r="D100" s="172">
        <f>'09월 화학성분'!C97</f>
        <v>85299</v>
      </c>
      <c r="E100" s="205" t="str">
        <f t="shared" si="33"/>
        <v>SS400-02</v>
      </c>
      <c r="F100" s="121">
        <v>20</v>
      </c>
      <c r="G100" s="122">
        <v>23500</v>
      </c>
      <c r="H100" s="123">
        <v>17</v>
      </c>
      <c r="I100" s="122">
        <v>20900</v>
      </c>
      <c r="J100" s="123">
        <v>9</v>
      </c>
      <c r="K100" s="122">
        <v>10700</v>
      </c>
      <c r="L100" s="124">
        <f t="shared" si="34"/>
        <v>46</v>
      </c>
      <c r="M100" s="125">
        <f t="shared" si="34"/>
        <v>55100</v>
      </c>
      <c r="N100" s="126">
        <f t="shared" si="21"/>
        <v>158.99864682002706</v>
      </c>
      <c r="O100" s="127">
        <f t="shared" si="22"/>
        <v>141.40730717185386</v>
      </c>
      <c r="P100" s="127">
        <f t="shared" si="23"/>
        <v>72.395128552097418</v>
      </c>
      <c r="Q100" s="128">
        <f t="shared" si="24"/>
        <v>372.80108254397828</v>
      </c>
      <c r="R100" s="129">
        <v>147.80000000000001</v>
      </c>
      <c r="S100" s="130">
        <v>0</v>
      </c>
      <c r="T100" s="131">
        <v>0</v>
      </c>
      <c r="U100" s="131">
        <v>314</v>
      </c>
      <c r="V100" s="132">
        <f t="shared" si="25"/>
        <v>314</v>
      </c>
      <c r="W100" s="133">
        <f t="shared" si="26"/>
        <v>2.1244925575101488</v>
      </c>
      <c r="X100" s="130">
        <v>1699</v>
      </c>
      <c r="Y100" s="131">
        <v>1620</v>
      </c>
      <c r="Z100" s="131">
        <v>800</v>
      </c>
      <c r="AA100" s="132">
        <f t="shared" si="27"/>
        <v>4119</v>
      </c>
      <c r="AB100" s="133">
        <f t="shared" si="28"/>
        <v>27.868741542625166</v>
      </c>
      <c r="AC100" s="134">
        <f t="shared" si="29"/>
        <v>4433</v>
      </c>
      <c r="AD100" s="135">
        <f t="shared" si="30"/>
        <v>29.993234100135314</v>
      </c>
      <c r="AE100" s="136">
        <v>26</v>
      </c>
      <c r="AF100" s="137">
        <v>21</v>
      </c>
      <c r="AG100" s="137">
        <v>0</v>
      </c>
      <c r="AH100" s="138">
        <f t="shared" si="31"/>
        <v>47</v>
      </c>
      <c r="AI100" s="133">
        <f t="shared" si="32"/>
        <v>0.31799729364005408</v>
      </c>
    </row>
    <row r="101" spans="1:35">
      <c r="A101" s="171">
        <f>IF('09월 조업일지'!A98="","",'09월 조업일지'!A98)</f>
        <v>46268</v>
      </c>
      <c r="B101" s="172" t="str">
        <f>'09월 조업일지'!E98</f>
        <v>D</v>
      </c>
      <c r="C101" s="172" t="str">
        <f>'09월 조업일지'!F98</f>
        <v>A</v>
      </c>
      <c r="D101" s="172">
        <f>'09월 화학성분'!C98</f>
        <v>85300</v>
      </c>
      <c r="E101" s="205" t="str">
        <f t="shared" si="33"/>
        <v>SS400-02</v>
      </c>
      <c r="F101" s="121">
        <v>21</v>
      </c>
      <c r="G101" s="122">
        <v>23300</v>
      </c>
      <c r="H101" s="123">
        <v>21</v>
      </c>
      <c r="I101" s="122">
        <v>20000</v>
      </c>
      <c r="J101" s="123">
        <v>27</v>
      </c>
      <c r="K101" s="122">
        <v>25700</v>
      </c>
      <c r="L101" s="124">
        <f t="shared" si="34"/>
        <v>69</v>
      </c>
      <c r="M101" s="125">
        <f t="shared" si="34"/>
        <v>69000</v>
      </c>
      <c r="N101" s="126">
        <f t="shared" si="21"/>
        <v>161.80555555555554</v>
      </c>
      <c r="O101" s="127">
        <f t="shared" si="22"/>
        <v>138.88888888888889</v>
      </c>
      <c r="P101" s="127">
        <f t="shared" si="23"/>
        <v>178.47222222222223</v>
      </c>
      <c r="Q101" s="128">
        <f t="shared" si="24"/>
        <v>479.16666666666669</v>
      </c>
      <c r="R101" s="129">
        <v>144</v>
      </c>
      <c r="S101" s="130">
        <v>0</v>
      </c>
      <c r="T101" s="131">
        <v>100</v>
      </c>
      <c r="U101" s="131">
        <v>741</v>
      </c>
      <c r="V101" s="132">
        <f t="shared" si="25"/>
        <v>841</v>
      </c>
      <c r="W101" s="133">
        <f t="shared" si="26"/>
        <v>5.8402777777777777</v>
      </c>
      <c r="X101" s="130">
        <v>1786</v>
      </c>
      <c r="Y101" s="131">
        <v>1754</v>
      </c>
      <c r="Z101" s="131">
        <v>1536</v>
      </c>
      <c r="AA101" s="132">
        <f t="shared" si="27"/>
        <v>5076</v>
      </c>
      <c r="AB101" s="133">
        <f t="shared" si="28"/>
        <v>35.25</v>
      </c>
      <c r="AC101" s="134">
        <f t="shared" si="29"/>
        <v>5917</v>
      </c>
      <c r="AD101" s="135">
        <f t="shared" si="30"/>
        <v>41.090277777777779</v>
      </c>
      <c r="AE101" s="136">
        <v>26</v>
      </c>
      <c r="AF101" s="137">
        <v>37</v>
      </c>
      <c r="AG101" s="137">
        <v>14</v>
      </c>
      <c r="AH101" s="138">
        <f t="shared" si="31"/>
        <v>77</v>
      </c>
      <c r="AI101" s="133">
        <f t="shared" si="32"/>
        <v>0.53472222222222221</v>
      </c>
    </row>
    <row r="102" spans="1:35">
      <c r="A102" s="171">
        <f>IF('09월 조업일지'!A99="","",'09월 조업일지'!A99)</f>
        <v>46268</v>
      </c>
      <c r="B102" s="172" t="str">
        <f>'09월 조업일지'!E99</f>
        <v>D</v>
      </c>
      <c r="C102" s="172" t="str">
        <f>'09월 조업일지'!F99</f>
        <v>B</v>
      </c>
      <c r="D102" s="172">
        <f>'09월 화학성분'!C99</f>
        <v>85301</v>
      </c>
      <c r="E102" s="205" t="str">
        <f t="shared" si="33"/>
        <v>SS400-02</v>
      </c>
      <c r="F102" s="121">
        <v>21</v>
      </c>
      <c r="G102" s="122">
        <v>23200</v>
      </c>
      <c r="H102" s="123">
        <v>16</v>
      </c>
      <c r="I102" s="122">
        <v>20500</v>
      </c>
      <c r="J102" s="123">
        <v>9</v>
      </c>
      <c r="K102" s="122">
        <v>11300</v>
      </c>
      <c r="L102" s="124">
        <f t="shared" si="34"/>
        <v>46</v>
      </c>
      <c r="M102" s="125">
        <f t="shared" si="34"/>
        <v>55000</v>
      </c>
      <c r="N102" s="126">
        <f t="shared" si="21"/>
        <v>156.75675675675674</v>
      </c>
      <c r="O102" s="127">
        <f t="shared" si="22"/>
        <v>138.51351351351352</v>
      </c>
      <c r="P102" s="127">
        <f t="shared" si="23"/>
        <v>76.351351351351354</v>
      </c>
      <c r="Q102" s="128">
        <f t="shared" si="24"/>
        <v>371.62162162162161</v>
      </c>
      <c r="R102" s="129">
        <v>148</v>
      </c>
      <c r="S102" s="130">
        <v>0</v>
      </c>
      <c r="T102" s="131">
        <v>201</v>
      </c>
      <c r="U102" s="131">
        <v>143</v>
      </c>
      <c r="V102" s="132">
        <f t="shared" si="25"/>
        <v>344</v>
      </c>
      <c r="W102" s="133">
        <f t="shared" si="26"/>
        <v>2.3243243243243241</v>
      </c>
      <c r="X102" s="130">
        <v>1868</v>
      </c>
      <c r="Y102" s="131">
        <v>1578</v>
      </c>
      <c r="Z102" s="131">
        <v>956</v>
      </c>
      <c r="AA102" s="132">
        <f t="shared" si="27"/>
        <v>4402</v>
      </c>
      <c r="AB102" s="133">
        <f t="shared" si="28"/>
        <v>29.743243243243242</v>
      </c>
      <c r="AC102" s="134">
        <f t="shared" si="29"/>
        <v>4746</v>
      </c>
      <c r="AD102" s="135">
        <f t="shared" si="30"/>
        <v>32.067567567567565</v>
      </c>
      <c r="AE102" s="136">
        <v>26</v>
      </c>
      <c r="AF102" s="137">
        <v>25</v>
      </c>
      <c r="AG102" s="137">
        <v>0</v>
      </c>
      <c r="AH102" s="138">
        <f t="shared" si="31"/>
        <v>51</v>
      </c>
      <c r="AI102" s="133">
        <f t="shared" si="32"/>
        <v>0.34459459459459457</v>
      </c>
    </row>
    <row r="103" spans="1:35">
      <c r="A103" s="171">
        <f>IF('09월 조업일지'!A100="","",'09월 조업일지'!A100)</f>
        <v>46268</v>
      </c>
      <c r="B103" s="172" t="str">
        <f>'09월 조업일지'!E100</f>
        <v>D</v>
      </c>
      <c r="C103" s="172" t="str">
        <f>'09월 조업일지'!F100</f>
        <v>A</v>
      </c>
      <c r="D103" s="172">
        <f>'09월 화학성분'!C100</f>
        <v>85302</v>
      </c>
      <c r="E103" s="205" t="str">
        <f t="shared" si="33"/>
        <v>SS400-02</v>
      </c>
      <c r="F103" s="121">
        <v>21</v>
      </c>
      <c r="G103" s="122">
        <v>23300</v>
      </c>
      <c r="H103" s="123">
        <v>17</v>
      </c>
      <c r="I103" s="122">
        <v>20800</v>
      </c>
      <c r="J103" s="123">
        <v>10</v>
      </c>
      <c r="K103" s="122">
        <v>12900</v>
      </c>
      <c r="L103" s="124">
        <f t="shared" si="34"/>
        <v>48</v>
      </c>
      <c r="M103" s="125">
        <f t="shared" si="34"/>
        <v>57000</v>
      </c>
      <c r="N103" s="126">
        <f t="shared" si="21"/>
        <v>158.82753919563737</v>
      </c>
      <c r="O103" s="127">
        <f t="shared" si="22"/>
        <v>141.785957736878</v>
      </c>
      <c r="P103" s="127">
        <f t="shared" si="23"/>
        <v>87.934560327198369</v>
      </c>
      <c r="Q103" s="128">
        <f t="shared" si="24"/>
        <v>388.54805725971374</v>
      </c>
      <c r="R103" s="129">
        <v>146.69999999999999</v>
      </c>
      <c r="S103" s="130">
        <v>0</v>
      </c>
      <c r="T103" s="131">
        <v>163</v>
      </c>
      <c r="U103" s="131">
        <v>172</v>
      </c>
      <c r="V103" s="132">
        <f t="shared" si="25"/>
        <v>335</v>
      </c>
      <c r="W103" s="133">
        <f t="shared" si="26"/>
        <v>2.2835719154737562</v>
      </c>
      <c r="X103" s="130">
        <v>1633</v>
      </c>
      <c r="Y103" s="131">
        <v>1623</v>
      </c>
      <c r="Z103" s="131">
        <v>1159</v>
      </c>
      <c r="AA103" s="132">
        <f t="shared" si="27"/>
        <v>4415</v>
      </c>
      <c r="AB103" s="133">
        <f t="shared" si="28"/>
        <v>30.095432856169055</v>
      </c>
      <c r="AC103" s="134">
        <f t="shared" si="29"/>
        <v>4750</v>
      </c>
      <c r="AD103" s="135">
        <f t="shared" si="30"/>
        <v>32.379004771642812</v>
      </c>
      <c r="AE103" s="136">
        <v>24</v>
      </c>
      <c r="AF103" s="137">
        <v>31</v>
      </c>
      <c r="AG103" s="137">
        <v>0</v>
      </c>
      <c r="AH103" s="138">
        <f t="shared" si="31"/>
        <v>55</v>
      </c>
      <c r="AI103" s="133">
        <f t="shared" si="32"/>
        <v>0.37491479209270623</v>
      </c>
    </row>
    <row r="104" spans="1:35">
      <c r="A104" s="171">
        <f>IF('09월 조업일지'!A101="","",'09월 조업일지'!A101)</f>
        <v>46268</v>
      </c>
      <c r="B104" s="172" t="str">
        <f>'09월 조업일지'!E101</f>
        <v>D</v>
      </c>
      <c r="C104" s="172" t="str">
        <f>'09월 조업일지'!F101</f>
        <v>B</v>
      </c>
      <c r="D104" s="172">
        <f>'09월 화학성분'!C101</f>
        <v>85303</v>
      </c>
      <c r="E104" s="205" t="str">
        <f t="shared" si="33"/>
        <v>SS400-02</v>
      </c>
      <c r="F104" s="121">
        <v>21</v>
      </c>
      <c r="G104" s="122">
        <v>23300</v>
      </c>
      <c r="H104" s="123">
        <v>18</v>
      </c>
      <c r="I104" s="122">
        <v>20700</v>
      </c>
      <c r="J104" s="123">
        <v>7</v>
      </c>
      <c r="K104" s="122">
        <v>9200</v>
      </c>
      <c r="L104" s="124">
        <f t="shared" si="34"/>
        <v>46</v>
      </c>
      <c r="M104" s="125">
        <f t="shared" si="34"/>
        <v>53200</v>
      </c>
      <c r="N104" s="126">
        <f t="shared" si="21"/>
        <v>157.11395819285232</v>
      </c>
      <c r="O104" s="127">
        <f t="shared" si="22"/>
        <v>139.58192852326366</v>
      </c>
      <c r="P104" s="127">
        <f t="shared" si="23"/>
        <v>62.036412677006062</v>
      </c>
      <c r="Q104" s="128">
        <f t="shared" si="24"/>
        <v>358.73229939312205</v>
      </c>
      <c r="R104" s="129">
        <v>148.30000000000001</v>
      </c>
      <c r="S104" s="130">
        <v>0</v>
      </c>
      <c r="T104" s="131">
        <v>196</v>
      </c>
      <c r="U104" s="131">
        <v>144</v>
      </c>
      <c r="V104" s="132">
        <f t="shared" si="25"/>
        <v>340</v>
      </c>
      <c r="W104" s="133">
        <f t="shared" si="26"/>
        <v>2.2926500337154416</v>
      </c>
      <c r="X104" s="130">
        <v>1868</v>
      </c>
      <c r="Y104" s="131">
        <v>1584</v>
      </c>
      <c r="Z104" s="131">
        <v>868</v>
      </c>
      <c r="AA104" s="132">
        <f t="shared" si="27"/>
        <v>4320</v>
      </c>
      <c r="AB104" s="133">
        <f t="shared" si="28"/>
        <v>29.130141604855023</v>
      </c>
      <c r="AC104" s="134">
        <f t="shared" si="29"/>
        <v>4660</v>
      </c>
      <c r="AD104" s="135">
        <f t="shared" si="30"/>
        <v>31.422791638570462</v>
      </c>
      <c r="AE104" s="136">
        <v>26</v>
      </c>
      <c r="AF104" s="137">
        <v>23</v>
      </c>
      <c r="AG104" s="137">
        <v>0</v>
      </c>
      <c r="AH104" s="138">
        <f t="shared" si="31"/>
        <v>49</v>
      </c>
      <c r="AI104" s="133">
        <f t="shared" si="32"/>
        <v>0.33041132838840187</v>
      </c>
    </row>
    <row r="105" spans="1:35">
      <c r="A105" s="171">
        <f>IF('09월 조업일지'!A102="","",'09월 조업일지'!A102)</f>
        <v>46268</v>
      </c>
      <c r="B105" s="172" t="str">
        <f>'09월 조업일지'!E102</f>
        <v>D</v>
      </c>
      <c r="C105" s="172" t="str">
        <f>'09월 조업일지'!F102</f>
        <v>A</v>
      </c>
      <c r="D105" s="172">
        <f>'09월 화학성분'!C102</f>
        <v>85304</v>
      </c>
      <c r="E105" s="205" t="str">
        <f t="shared" si="33"/>
        <v>SS400-02</v>
      </c>
      <c r="F105" s="121">
        <v>20</v>
      </c>
      <c r="G105" s="122">
        <v>23200</v>
      </c>
      <c r="H105" s="123">
        <v>17</v>
      </c>
      <c r="I105" s="122">
        <v>20600</v>
      </c>
      <c r="J105" s="123">
        <v>7</v>
      </c>
      <c r="K105" s="122">
        <v>9200</v>
      </c>
      <c r="L105" s="124">
        <f t="shared" si="34"/>
        <v>44</v>
      </c>
      <c r="M105" s="125">
        <f t="shared" si="34"/>
        <v>53000</v>
      </c>
      <c r="N105" s="126">
        <f t="shared" si="21"/>
        <v>157.39484396200814</v>
      </c>
      <c r="O105" s="127">
        <f t="shared" si="22"/>
        <v>139.75576662143826</v>
      </c>
      <c r="P105" s="127">
        <f t="shared" si="23"/>
        <v>62.415196743554951</v>
      </c>
      <c r="Q105" s="128">
        <f t="shared" si="24"/>
        <v>359.56580732700132</v>
      </c>
      <c r="R105" s="129">
        <v>147.4</v>
      </c>
      <c r="S105" s="130">
        <v>0</v>
      </c>
      <c r="T105" s="131">
        <v>198</v>
      </c>
      <c r="U105" s="131">
        <v>147</v>
      </c>
      <c r="V105" s="132">
        <f t="shared" si="25"/>
        <v>345</v>
      </c>
      <c r="W105" s="133">
        <f t="shared" si="26"/>
        <v>2.3405698778833108</v>
      </c>
      <c r="X105" s="130">
        <v>1662</v>
      </c>
      <c r="Y105" s="131">
        <v>1671</v>
      </c>
      <c r="Z105" s="131">
        <v>689</v>
      </c>
      <c r="AA105" s="132">
        <f t="shared" si="27"/>
        <v>4022</v>
      </c>
      <c r="AB105" s="133">
        <f t="shared" si="28"/>
        <v>27.28629579375848</v>
      </c>
      <c r="AC105" s="134">
        <f t="shared" si="29"/>
        <v>4367</v>
      </c>
      <c r="AD105" s="135">
        <f t="shared" si="30"/>
        <v>29.626865671641792</v>
      </c>
      <c r="AE105" s="136">
        <v>24</v>
      </c>
      <c r="AF105" s="137">
        <v>33</v>
      </c>
      <c r="AG105" s="137">
        <v>0</v>
      </c>
      <c r="AH105" s="138">
        <f t="shared" si="31"/>
        <v>57</v>
      </c>
      <c r="AI105" s="133">
        <f t="shared" si="32"/>
        <v>0.38670284938941651</v>
      </c>
    </row>
    <row r="106" spans="1:35">
      <c r="A106" s="171">
        <f>IF('09월 조업일지'!A103="","",'09월 조업일지'!A103)</f>
        <v>46269</v>
      </c>
      <c r="B106" s="172" t="str">
        <f>'09월 조업일지'!E103</f>
        <v>D</v>
      </c>
      <c r="C106" s="172" t="str">
        <f>'09월 조업일지'!F103</f>
        <v>B</v>
      </c>
      <c r="D106" s="172">
        <f>'09월 화학성분'!C103</f>
        <v>85305</v>
      </c>
      <c r="E106" s="205" t="str">
        <f t="shared" si="33"/>
        <v>SS400-02</v>
      </c>
      <c r="F106" s="121">
        <v>20</v>
      </c>
      <c r="G106" s="122">
        <v>23500</v>
      </c>
      <c r="H106" s="123">
        <v>18</v>
      </c>
      <c r="I106" s="122">
        <v>20800</v>
      </c>
      <c r="J106" s="123">
        <v>9</v>
      </c>
      <c r="K106" s="122">
        <v>11900</v>
      </c>
      <c r="L106" s="124">
        <f t="shared" si="34"/>
        <v>47</v>
      </c>
      <c r="M106" s="125">
        <f t="shared" si="34"/>
        <v>56200</v>
      </c>
      <c r="N106" s="126">
        <f t="shared" si="21"/>
        <v>160.08174386920979</v>
      </c>
      <c r="O106" s="127">
        <f t="shared" si="22"/>
        <v>141.6893732970027</v>
      </c>
      <c r="P106" s="127">
        <f t="shared" si="23"/>
        <v>81.062670299727515</v>
      </c>
      <c r="Q106" s="128">
        <f t="shared" si="24"/>
        <v>382.83378746594002</v>
      </c>
      <c r="R106" s="129">
        <v>146.80000000000001</v>
      </c>
      <c r="S106" s="130">
        <v>0</v>
      </c>
      <c r="T106" s="131">
        <v>175</v>
      </c>
      <c r="U106" s="131">
        <v>191</v>
      </c>
      <c r="V106" s="132">
        <f t="shared" si="25"/>
        <v>366</v>
      </c>
      <c r="W106" s="133">
        <f t="shared" si="26"/>
        <v>2.4931880108991824</v>
      </c>
      <c r="X106" s="130">
        <v>1723</v>
      </c>
      <c r="Y106" s="131">
        <v>1628</v>
      </c>
      <c r="Z106" s="131">
        <v>769</v>
      </c>
      <c r="AA106" s="132">
        <f t="shared" si="27"/>
        <v>4120</v>
      </c>
      <c r="AB106" s="133">
        <f t="shared" si="28"/>
        <v>28.065395095367844</v>
      </c>
      <c r="AC106" s="134">
        <f t="shared" si="29"/>
        <v>4486</v>
      </c>
      <c r="AD106" s="135">
        <f t="shared" si="30"/>
        <v>30.558583106267026</v>
      </c>
      <c r="AE106" s="136">
        <v>26</v>
      </c>
      <c r="AF106" s="137">
        <v>27</v>
      </c>
      <c r="AG106" s="137">
        <v>0</v>
      </c>
      <c r="AH106" s="138">
        <f t="shared" si="31"/>
        <v>53</v>
      </c>
      <c r="AI106" s="133">
        <f t="shared" si="32"/>
        <v>0.3610354223433242</v>
      </c>
    </row>
    <row r="107" spans="1:35">
      <c r="A107" s="171">
        <f>IF('09월 조업일지'!A104="","",'09월 조업일지'!A104)</f>
        <v>46269</v>
      </c>
      <c r="B107" s="172" t="str">
        <f>'09월 조업일지'!E104</f>
        <v>D</v>
      </c>
      <c r="C107" s="172" t="str">
        <f>'09월 조업일지'!F104</f>
        <v>A</v>
      </c>
      <c r="D107" s="172">
        <f>'09월 화학성분'!C104</f>
        <v>85306</v>
      </c>
      <c r="E107" s="205" t="str">
        <f t="shared" si="33"/>
        <v>SS400-02</v>
      </c>
      <c r="F107" s="121">
        <v>20</v>
      </c>
      <c r="G107" s="122">
        <v>23200</v>
      </c>
      <c r="H107" s="123">
        <v>18</v>
      </c>
      <c r="I107" s="122">
        <v>20700</v>
      </c>
      <c r="J107" s="123">
        <v>10</v>
      </c>
      <c r="K107" s="122">
        <v>10600</v>
      </c>
      <c r="L107" s="124">
        <f t="shared" si="34"/>
        <v>48</v>
      </c>
      <c r="M107" s="125">
        <f t="shared" si="34"/>
        <v>54500</v>
      </c>
      <c r="N107" s="126">
        <f t="shared" si="21"/>
        <v>157.50169721656482</v>
      </c>
      <c r="O107" s="127">
        <f t="shared" si="22"/>
        <v>140.52953156822809</v>
      </c>
      <c r="P107" s="127">
        <f t="shared" si="23"/>
        <v>71.961982348947714</v>
      </c>
      <c r="Q107" s="128">
        <f t="shared" si="24"/>
        <v>369.9932111337406</v>
      </c>
      <c r="R107" s="129">
        <v>147.30000000000001</v>
      </c>
      <c r="S107" s="130">
        <v>0</v>
      </c>
      <c r="T107" s="131">
        <v>203</v>
      </c>
      <c r="U107" s="131">
        <v>137</v>
      </c>
      <c r="V107" s="132">
        <f t="shared" si="25"/>
        <v>340</v>
      </c>
      <c r="W107" s="133">
        <f t="shared" si="26"/>
        <v>2.3082145281737949</v>
      </c>
      <c r="X107" s="130">
        <v>1625</v>
      </c>
      <c r="Y107" s="131">
        <v>1599</v>
      </c>
      <c r="Z107" s="131">
        <v>877</v>
      </c>
      <c r="AA107" s="132">
        <f t="shared" si="27"/>
        <v>4101</v>
      </c>
      <c r="AB107" s="133">
        <f t="shared" si="28"/>
        <v>27.841140529531565</v>
      </c>
      <c r="AC107" s="134">
        <f t="shared" si="29"/>
        <v>4441</v>
      </c>
      <c r="AD107" s="135">
        <f t="shared" si="30"/>
        <v>30.14935505770536</v>
      </c>
      <c r="AE107" s="136">
        <v>25</v>
      </c>
      <c r="AF107" s="137">
        <v>28</v>
      </c>
      <c r="AG107" s="137">
        <v>0</v>
      </c>
      <c r="AH107" s="138">
        <f t="shared" si="31"/>
        <v>53</v>
      </c>
      <c r="AI107" s="133">
        <f t="shared" si="32"/>
        <v>0.35980991174473859</v>
      </c>
    </row>
    <row r="108" spans="1:35">
      <c r="A108" s="171">
        <f>IF('09월 조업일지'!A105="","",'09월 조업일지'!A105)</f>
        <v>46269</v>
      </c>
      <c r="B108" s="172" t="str">
        <f>'09월 조업일지'!E105</f>
        <v>D</v>
      </c>
      <c r="C108" s="172" t="str">
        <f>'09월 조업일지'!F105</f>
        <v>B</v>
      </c>
      <c r="D108" s="172">
        <f>'09월 화학성분'!C105</f>
        <v>85307</v>
      </c>
      <c r="E108" s="205" t="str">
        <f t="shared" si="33"/>
        <v>SS400-02</v>
      </c>
      <c r="F108" s="121">
        <v>20</v>
      </c>
      <c r="G108" s="122">
        <v>23200</v>
      </c>
      <c r="H108" s="123">
        <v>17</v>
      </c>
      <c r="I108" s="122">
        <v>20400</v>
      </c>
      <c r="J108" s="123">
        <v>7</v>
      </c>
      <c r="K108" s="122">
        <v>9000</v>
      </c>
      <c r="L108" s="124">
        <f t="shared" si="34"/>
        <v>44</v>
      </c>
      <c r="M108" s="125">
        <f t="shared" si="34"/>
        <v>52600</v>
      </c>
      <c r="N108" s="126">
        <f t="shared" si="21"/>
        <v>153.84615384615384</v>
      </c>
      <c r="O108" s="127">
        <f t="shared" si="22"/>
        <v>135.27851458885939</v>
      </c>
      <c r="P108" s="127">
        <f t="shared" si="23"/>
        <v>59.681697612732094</v>
      </c>
      <c r="Q108" s="128">
        <f t="shared" si="24"/>
        <v>348.80636604774531</v>
      </c>
      <c r="R108" s="129">
        <v>150.80000000000001</v>
      </c>
      <c r="S108" s="130">
        <v>0</v>
      </c>
      <c r="T108" s="131">
        <v>45</v>
      </c>
      <c r="U108" s="131">
        <v>282</v>
      </c>
      <c r="V108" s="132">
        <f t="shared" si="25"/>
        <v>327</v>
      </c>
      <c r="W108" s="133">
        <f t="shared" si="26"/>
        <v>2.1684350132625991</v>
      </c>
      <c r="X108" s="130">
        <v>1694</v>
      </c>
      <c r="Y108" s="131">
        <v>1547</v>
      </c>
      <c r="Z108" s="131">
        <v>714</v>
      </c>
      <c r="AA108" s="132">
        <f t="shared" si="27"/>
        <v>3955</v>
      </c>
      <c r="AB108" s="133">
        <f t="shared" si="28"/>
        <v>26.22679045092838</v>
      </c>
      <c r="AC108" s="134">
        <f t="shared" si="29"/>
        <v>4282</v>
      </c>
      <c r="AD108" s="135">
        <f t="shared" si="30"/>
        <v>28.395225464190979</v>
      </c>
      <c r="AE108" s="136">
        <v>27</v>
      </c>
      <c r="AF108" s="137">
        <v>25</v>
      </c>
      <c r="AG108" s="137">
        <v>0</v>
      </c>
      <c r="AH108" s="138">
        <f t="shared" si="31"/>
        <v>52</v>
      </c>
      <c r="AI108" s="133">
        <f t="shared" si="32"/>
        <v>0.34482758620689652</v>
      </c>
    </row>
    <row r="109" spans="1:35">
      <c r="A109" s="171">
        <f>IF('09월 조업일지'!A106="","",'09월 조업일지'!A106)</f>
        <v>46269</v>
      </c>
      <c r="B109" s="172" t="str">
        <f>'09월 조업일지'!E106</f>
        <v>D</v>
      </c>
      <c r="C109" s="172" t="str">
        <f>'09월 조업일지'!F106</f>
        <v>A</v>
      </c>
      <c r="D109" s="172">
        <f>'09월 화학성분'!C106</f>
        <v>85308</v>
      </c>
      <c r="E109" s="205" t="str">
        <f t="shared" si="33"/>
        <v>SS400-02</v>
      </c>
      <c r="F109" s="121">
        <v>20</v>
      </c>
      <c r="G109" s="122">
        <v>23300</v>
      </c>
      <c r="H109" s="123">
        <v>17</v>
      </c>
      <c r="I109" s="122">
        <v>20200</v>
      </c>
      <c r="J109" s="123">
        <v>7</v>
      </c>
      <c r="K109" s="122">
        <v>9600</v>
      </c>
      <c r="L109" s="124">
        <f t="shared" si="34"/>
        <v>44</v>
      </c>
      <c r="M109" s="125">
        <f t="shared" si="34"/>
        <v>53100</v>
      </c>
      <c r="N109" s="126">
        <f t="shared" si="21"/>
        <v>153.89696169088506</v>
      </c>
      <c r="O109" s="127">
        <f t="shared" si="22"/>
        <v>133.4214002642008</v>
      </c>
      <c r="P109" s="127">
        <f t="shared" si="23"/>
        <v>63.408190224570674</v>
      </c>
      <c r="Q109" s="128">
        <f t="shared" si="24"/>
        <v>350.72655217965649</v>
      </c>
      <c r="R109" s="129">
        <v>151.4</v>
      </c>
      <c r="S109" s="130">
        <v>0</v>
      </c>
      <c r="T109" s="131">
        <v>85</v>
      </c>
      <c r="U109" s="131">
        <v>252</v>
      </c>
      <c r="V109" s="132">
        <f t="shared" si="25"/>
        <v>337</v>
      </c>
      <c r="W109" s="133">
        <f t="shared" si="26"/>
        <v>2.2258916776750328</v>
      </c>
      <c r="X109" s="130">
        <v>1645</v>
      </c>
      <c r="Y109" s="131">
        <v>1584</v>
      </c>
      <c r="Z109" s="131">
        <v>778</v>
      </c>
      <c r="AA109" s="132">
        <f t="shared" si="27"/>
        <v>4007</v>
      </c>
      <c r="AB109" s="133">
        <f t="shared" si="28"/>
        <v>26.466314398943197</v>
      </c>
      <c r="AC109" s="134">
        <f t="shared" si="29"/>
        <v>4344</v>
      </c>
      <c r="AD109" s="135">
        <f t="shared" si="30"/>
        <v>28.692206076618231</v>
      </c>
      <c r="AE109" s="136">
        <v>25</v>
      </c>
      <c r="AF109" s="137">
        <v>31</v>
      </c>
      <c r="AG109" s="137">
        <v>0</v>
      </c>
      <c r="AH109" s="138">
        <f t="shared" si="31"/>
        <v>56</v>
      </c>
      <c r="AI109" s="133">
        <f t="shared" si="32"/>
        <v>0.36988110964332893</v>
      </c>
    </row>
    <row r="110" spans="1:35">
      <c r="A110" s="171">
        <f>IF('09월 조업일지'!A107="","",'09월 조업일지'!A107)</f>
        <v>46269</v>
      </c>
      <c r="B110" s="172" t="str">
        <f>'09월 조업일지'!E107</f>
        <v>B</v>
      </c>
      <c r="C110" s="172" t="str">
        <f>'09월 조업일지'!F107</f>
        <v>B</v>
      </c>
      <c r="D110" s="172">
        <f>'09월 화학성분'!C107</f>
        <v>85309</v>
      </c>
      <c r="E110" s="205" t="str">
        <f t="shared" si="33"/>
        <v>SS400-02</v>
      </c>
      <c r="F110" s="121">
        <v>21</v>
      </c>
      <c r="G110" s="122">
        <v>23400</v>
      </c>
      <c r="H110" s="123">
        <v>18</v>
      </c>
      <c r="I110" s="122">
        <v>20400</v>
      </c>
      <c r="J110" s="123">
        <v>9</v>
      </c>
      <c r="K110" s="122">
        <v>11600</v>
      </c>
      <c r="L110" s="124">
        <f t="shared" si="34"/>
        <v>48</v>
      </c>
      <c r="M110" s="125">
        <f t="shared" si="34"/>
        <v>55400</v>
      </c>
      <c r="N110" s="126">
        <f t="shared" si="21"/>
        <v>154.55746367239101</v>
      </c>
      <c r="O110" s="127">
        <f t="shared" si="22"/>
        <v>134.74240422721269</v>
      </c>
      <c r="P110" s="127">
        <f t="shared" si="23"/>
        <v>76.618229854689559</v>
      </c>
      <c r="Q110" s="128">
        <f t="shared" si="24"/>
        <v>365.91809775429323</v>
      </c>
      <c r="R110" s="129">
        <v>151.4</v>
      </c>
      <c r="S110" s="130">
        <v>0</v>
      </c>
      <c r="T110" s="131">
        <v>83</v>
      </c>
      <c r="U110" s="131">
        <v>237</v>
      </c>
      <c r="V110" s="132">
        <f t="shared" si="25"/>
        <v>320</v>
      </c>
      <c r="W110" s="133">
        <f t="shared" si="26"/>
        <v>2.1136063408190222</v>
      </c>
      <c r="X110" s="130">
        <v>1736</v>
      </c>
      <c r="Y110" s="131">
        <v>1574</v>
      </c>
      <c r="Z110" s="131">
        <v>773</v>
      </c>
      <c r="AA110" s="132">
        <f t="shared" si="27"/>
        <v>4083</v>
      </c>
      <c r="AB110" s="133">
        <f t="shared" si="28"/>
        <v>26.968295904887714</v>
      </c>
      <c r="AC110" s="134">
        <f t="shared" si="29"/>
        <v>4403</v>
      </c>
      <c r="AD110" s="135">
        <f t="shared" si="30"/>
        <v>29.081902245706736</v>
      </c>
      <c r="AE110" s="136">
        <v>23</v>
      </c>
      <c r="AF110" s="137">
        <v>28</v>
      </c>
      <c r="AG110" s="137">
        <v>0</v>
      </c>
      <c r="AH110" s="138">
        <f t="shared" si="31"/>
        <v>51</v>
      </c>
      <c r="AI110" s="133">
        <f t="shared" si="32"/>
        <v>0.33685601056803172</v>
      </c>
    </row>
    <row r="111" spans="1:35">
      <c r="A111" s="171">
        <f>IF('09월 조업일지'!A108="","",'09월 조업일지'!A108)</f>
        <v>46269</v>
      </c>
      <c r="B111" s="172" t="str">
        <f>'09월 조업일지'!E108</f>
        <v>B</v>
      </c>
      <c r="C111" s="172" t="str">
        <f>'09월 조업일지'!F108</f>
        <v>A</v>
      </c>
      <c r="D111" s="172">
        <f>'09월 화학성분'!C108</f>
        <v>85310</v>
      </c>
      <c r="E111" s="205" t="str">
        <f t="shared" si="33"/>
        <v>SS400-02</v>
      </c>
      <c r="F111" s="121">
        <v>21</v>
      </c>
      <c r="G111" s="122">
        <v>23500</v>
      </c>
      <c r="H111" s="123">
        <v>17</v>
      </c>
      <c r="I111" s="122">
        <v>20400</v>
      </c>
      <c r="J111" s="123">
        <v>6</v>
      </c>
      <c r="K111" s="122">
        <v>8300</v>
      </c>
      <c r="L111" s="124">
        <f t="shared" si="34"/>
        <v>44</v>
      </c>
      <c r="M111" s="125">
        <f t="shared" si="34"/>
        <v>52200</v>
      </c>
      <c r="N111" s="126">
        <f t="shared" si="21"/>
        <v>155.83554376657824</v>
      </c>
      <c r="O111" s="127">
        <f t="shared" si="22"/>
        <v>135.27851458885939</v>
      </c>
      <c r="P111" s="127">
        <f t="shared" si="23"/>
        <v>55.039787798408483</v>
      </c>
      <c r="Q111" s="128">
        <f t="shared" si="24"/>
        <v>346.15384615384613</v>
      </c>
      <c r="R111" s="129">
        <v>150.80000000000001</v>
      </c>
      <c r="S111" s="130">
        <v>0</v>
      </c>
      <c r="T111" s="131">
        <v>90</v>
      </c>
      <c r="U111" s="131">
        <v>252</v>
      </c>
      <c r="V111" s="132">
        <f t="shared" si="25"/>
        <v>342</v>
      </c>
      <c r="W111" s="133">
        <f t="shared" si="26"/>
        <v>2.2679045092838193</v>
      </c>
      <c r="X111" s="130">
        <v>1725</v>
      </c>
      <c r="Y111" s="131">
        <v>1583</v>
      </c>
      <c r="Z111" s="131">
        <v>567</v>
      </c>
      <c r="AA111" s="132">
        <f t="shared" si="27"/>
        <v>3875</v>
      </c>
      <c r="AB111" s="133">
        <f t="shared" si="28"/>
        <v>25.69628647214854</v>
      </c>
      <c r="AC111" s="134">
        <f t="shared" si="29"/>
        <v>4217</v>
      </c>
      <c r="AD111" s="135">
        <f t="shared" si="30"/>
        <v>27.96419098143236</v>
      </c>
      <c r="AE111" s="136">
        <v>24</v>
      </c>
      <c r="AF111" s="137">
        <v>27</v>
      </c>
      <c r="AG111" s="137">
        <v>0</v>
      </c>
      <c r="AH111" s="138">
        <f t="shared" si="31"/>
        <v>51</v>
      </c>
      <c r="AI111" s="133">
        <f t="shared" si="32"/>
        <v>0.3381962864721485</v>
      </c>
    </row>
    <row r="112" spans="1:35">
      <c r="A112" s="171">
        <f>IF('09월 조업일지'!A109="","",'09월 조업일지'!A109)</f>
        <v>46269</v>
      </c>
      <c r="B112" s="172" t="str">
        <f>'09월 조업일지'!E109</f>
        <v>B</v>
      </c>
      <c r="C112" s="172" t="str">
        <f>'09월 조업일지'!F109</f>
        <v>B</v>
      </c>
      <c r="D112" s="172">
        <f>'09월 화학성분'!C109</f>
        <v>85311</v>
      </c>
      <c r="E112" s="205" t="str">
        <f t="shared" si="33"/>
        <v>SS400-02</v>
      </c>
      <c r="F112" s="121">
        <v>20</v>
      </c>
      <c r="G112" s="122">
        <v>23700</v>
      </c>
      <c r="H112" s="123">
        <v>18</v>
      </c>
      <c r="I112" s="122">
        <v>20400</v>
      </c>
      <c r="J112" s="123">
        <v>10</v>
      </c>
      <c r="K112" s="122">
        <v>12700</v>
      </c>
      <c r="L112" s="124">
        <f t="shared" si="34"/>
        <v>48</v>
      </c>
      <c r="M112" s="125">
        <f t="shared" si="34"/>
        <v>56800</v>
      </c>
      <c r="N112" s="126">
        <f t="shared" si="21"/>
        <v>154.90196078431373</v>
      </c>
      <c r="O112" s="127">
        <f t="shared" si="22"/>
        <v>133.33333333333334</v>
      </c>
      <c r="P112" s="127">
        <f t="shared" si="23"/>
        <v>83.006535947712422</v>
      </c>
      <c r="Q112" s="128">
        <f t="shared" si="24"/>
        <v>371.24183006535952</v>
      </c>
      <c r="R112" s="129">
        <v>153</v>
      </c>
      <c r="S112" s="130">
        <v>0</v>
      </c>
      <c r="T112" s="131">
        <v>153</v>
      </c>
      <c r="U112" s="131">
        <v>194</v>
      </c>
      <c r="V112" s="132">
        <f t="shared" si="25"/>
        <v>347</v>
      </c>
      <c r="W112" s="133">
        <f t="shared" si="26"/>
        <v>2.2679738562091503</v>
      </c>
      <c r="X112" s="130">
        <v>1735</v>
      </c>
      <c r="Y112" s="131">
        <v>1575</v>
      </c>
      <c r="Z112" s="131">
        <v>873</v>
      </c>
      <c r="AA112" s="132">
        <f t="shared" si="27"/>
        <v>4183</v>
      </c>
      <c r="AB112" s="133">
        <f t="shared" si="28"/>
        <v>27.33986928104575</v>
      </c>
      <c r="AC112" s="134">
        <f t="shared" si="29"/>
        <v>4530</v>
      </c>
      <c r="AD112" s="135">
        <f t="shared" si="30"/>
        <v>29.607843137254903</v>
      </c>
      <c r="AE112" s="136">
        <v>26</v>
      </c>
      <c r="AF112" s="137">
        <v>21</v>
      </c>
      <c r="AG112" s="137">
        <v>0</v>
      </c>
      <c r="AH112" s="138">
        <f t="shared" si="31"/>
        <v>47</v>
      </c>
      <c r="AI112" s="133">
        <f t="shared" si="32"/>
        <v>0.30718954248366015</v>
      </c>
    </row>
    <row r="113" spans="1:35">
      <c r="A113" s="171">
        <f>IF('09월 조업일지'!A110="","",'09월 조업일지'!A110)</f>
        <v>46269</v>
      </c>
      <c r="B113" s="172" t="str">
        <f>'09월 조업일지'!E110</f>
        <v>C</v>
      </c>
      <c r="C113" s="172" t="str">
        <f>'09월 조업일지'!F110</f>
        <v>B</v>
      </c>
      <c r="D113" s="172">
        <f>'09월 화학성분'!C110</f>
        <v>85312</v>
      </c>
      <c r="E113" s="205" t="str">
        <f t="shared" si="33"/>
        <v>SS400-02</v>
      </c>
      <c r="F113" s="121">
        <v>20</v>
      </c>
      <c r="G113" s="122">
        <v>23000</v>
      </c>
      <c r="H113" s="123">
        <v>17</v>
      </c>
      <c r="I113" s="122">
        <v>20500</v>
      </c>
      <c r="J113" s="123">
        <v>8</v>
      </c>
      <c r="K113" s="122">
        <v>9600</v>
      </c>
      <c r="L113" s="124">
        <f t="shared" si="34"/>
        <v>45</v>
      </c>
      <c r="M113" s="125">
        <f t="shared" si="34"/>
        <v>53100</v>
      </c>
      <c r="N113" s="126">
        <f t="shared" si="21"/>
        <v>152.41882041086811</v>
      </c>
      <c r="O113" s="127">
        <f t="shared" si="22"/>
        <v>135.85155732273029</v>
      </c>
      <c r="P113" s="127">
        <f t="shared" si="23"/>
        <v>63.618290258449299</v>
      </c>
      <c r="Q113" s="128">
        <f t="shared" si="24"/>
        <v>351.88866799204766</v>
      </c>
      <c r="R113" s="129">
        <v>150.9</v>
      </c>
      <c r="S113" s="130">
        <v>0</v>
      </c>
      <c r="T113" s="131">
        <v>114</v>
      </c>
      <c r="U113" s="131">
        <v>222</v>
      </c>
      <c r="V113" s="132">
        <f t="shared" si="25"/>
        <v>336</v>
      </c>
      <c r="W113" s="133">
        <f t="shared" si="26"/>
        <v>2.2266401590457257</v>
      </c>
      <c r="X113" s="130">
        <v>1607</v>
      </c>
      <c r="Y113" s="131">
        <v>1588</v>
      </c>
      <c r="Z113" s="131">
        <v>550</v>
      </c>
      <c r="AA113" s="132">
        <f t="shared" si="27"/>
        <v>3745</v>
      </c>
      <c r="AB113" s="133">
        <f t="shared" si="28"/>
        <v>24.817760106030484</v>
      </c>
      <c r="AC113" s="134">
        <f t="shared" si="29"/>
        <v>4081</v>
      </c>
      <c r="AD113" s="135">
        <f t="shared" si="30"/>
        <v>27.044400265076209</v>
      </c>
      <c r="AE113" s="136">
        <v>25</v>
      </c>
      <c r="AF113" s="137">
        <v>31</v>
      </c>
      <c r="AG113" s="137">
        <v>0</v>
      </c>
      <c r="AH113" s="138">
        <f t="shared" si="31"/>
        <v>56</v>
      </c>
      <c r="AI113" s="133">
        <f t="shared" si="32"/>
        <v>0.37110669317428757</v>
      </c>
    </row>
    <row r="114" spans="1:35">
      <c r="A114" s="171">
        <f>IF('09월 조업일지'!A111="","",'09월 조업일지'!A111)</f>
        <v>46269</v>
      </c>
      <c r="B114" s="172" t="str">
        <f>'09월 조업일지'!E111</f>
        <v>C</v>
      </c>
      <c r="C114" s="172" t="str">
        <f>'09월 조업일지'!F111</f>
        <v>B</v>
      </c>
      <c r="D114" s="172">
        <f>'09월 화학성분'!C111</f>
        <v>85313</v>
      </c>
      <c r="E114" s="205" t="str">
        <f t="shared" si="33"/>
        <v>SS400-02</v>
      </c>
      <c r="F114" s="121">
        <v>20</v>
      </c>
      <c r="G114" s="122">
        <v>23500</v>
      </c>
      <c r="H114" s="123">
        <v>17</v>
      </c>
      <c r="I114" s="122">
        <v>20400</v>
      </c>
      <c r="J114" s="123">
        <v>7</v>
      </c>
      <c r="K114" s="122">
        <v>8800</v>
      </c>
      <c r="L114" s="124">
        <f t="shared" si="34"/>
        <v>44</v>
      </c>
      <c r="M114" s="125">
        <f t="shared" si="34"/>
        <v>52700</v>
      </c>
      <c r="N114" s="126">
        <f t="shared" si="21"/>
        <v>155.62913907284769</v>
      </c>
      <c r="O114" s="127">
        <f t="shared" si="22"/>
        <v>135.09933774834437</v>
      </c>
      <c r="P114" s="127">
        <f t="shared" si="23"/>
        <v>58.278145695364238</v>
      </c>
      <c r="Q114" s="128">
        <f t="shared" si="24"/>
        <v>349.00662251655632</v>
      </c>
      <c r="R114" s="129">
        <v>151</v>
      </c>
      <c r="S114" s="130">
        <v>0</v>
      </c>
      <c r="T114" s="131">
        <v>159</v>
      </c>
      <c r="U114" s="131">
        <v>181</v>
      </c>
      <c r="V114" s="132">
        <f t="shared" si="25"/>
        <v>340</v>
      </c>
      <c r="W114" s="133">
        <f t="shared" si="26"/>
        <v>2.2516556291390728</v>
      </c>
      <c r="X114" s="130">
        <v>1724</v>
      </c>
      <c r="Y114" s="131">
        <v>1571</v>
      </c>
      <c r="Z114" s="131">
        <v>752</v>
      </c>
      <c r="AA114" s="132">
        <f t="shared" si="27"/>
        <v>4047</v>
      </c>
      <c r="AB114" s="133">
        <f t="shared" si="28"/>
        <v>26.801324503311257</v>
      </c>
      <c r="AC114" s="134">
        <f t="shared" si="29"/>
        <v>4387</v>
      </c>
      <c r="AD114" s="135">
        <f t="shared" si="30"/>
        <v>29.05298013245033</v>
      </c>
      <c r="AE114" s="136">
        <v>23</v>
      </c>
      <c r="AF114" s="137">
        <v>23</v>
      </c>
      <c r="AG114" s="137">
        <v>0</v>
      </c>
      <c r="AH114" s="138">
        <f t="shared" si="31"/>
        <v>46</v>
      </c>
      <c r="AI114" s="133">
        <f t="shared" si="32"/>
        <v>0.30463576158940397</v>
      </c>
    </row>
    <row r="115" spans="1:35">
      <c r="A115" s="171">
        <f>IF('09월 조업일지'!A112="","",'09월 조업일지'!A112)</f>
        <v>46269</v>
      </c>
      <c r="B115" s="172" t="str">
        <f>'09월 조업일지'!E112</f>
        <v>C</v>
      </c>
      <c r="C115" s="172" t="str">
        <f>'09월 조업일지'!F112</f>
        <v>A</v>
      </c>
      <c r="D115" s="172">
        <f>'09월 화학성분'!C112</f>
        <v>85314</v>
      </c>
      <c r="E115" s="205" t="str">
        <f t="shared" si="33"/>
        <v>SS400-02</v>
      </c>
      <c r="F115" s="121">
        <v>21</v>
      </c>
      <c r="G115" s="122">
        <v>23300</v>
      </c>
      <c r="H115" s="123">
        <v>18</v>
      </c>
      <c r="I115" s="122">
        <v>20500</v>
      </c>
      <c r="J115" s="123">
        <v>6</v>
      </c>
      <c r="K115" s="122">
        <v>8000</v>
      </c>
      <c r="L115" s="124">
        <f t="shared" si="34"/>
        <v>45</v>
      </c>
      <c r="M115" s="125">
        <f t="shared" si="34"/>
        <v>51800</v>
      </c>
      <c r="N115" s="126">
        <f t="shared" si="21"/>
        <v>155.74866310160428</v>
      </c>
      <c r="O115" s="127">
        <f t="shared" si="22"/>
        <v>137.03208556149733</v>
      </c>
      <c r="P115" s="127">
        <f t="shared" si="23"/>
        <v>53.475935828877006</v>
      </c>
      <c r="Q115" s="128">
        <f t="shared" si="24"/>
        <v>346.2566844919786</v>
      </c>
      <c r="R115" s="129">
        <v>149.6</v>
      </c>
      <c r="S115" s="130">
        <v>0</v>
      </c>
      <c r="T115" s="131">
        <v>171</v>
      </c>
      <c r="U115" s="131">
        <v>166</v>
      </c>
      <c r="V115" s="132">
        <f t="shared" si="25"/>
        <v>337</v>
      </c>
      <c r="W115" s="133">
        <f t="shared" si="26"/>
        <v>2.2526737967914441</v>
      </c>
      <c r="X115" s="130">
        <v>1684</v>
      </c>
      <c r="Y115" s="131">
        <v>1625</v>
      </c>
      <c r="Z115" s="131">
        <v>452</v>
      </c>
      <c r="AA115" s="132">
        <f t="shared" si="27"/>
        <v>3761</v>
      </c>
      <c r="AB115" s="133">
        <f t="shared" si="28"/>
        <v>25.140374331550802</v>
      </c>
      <c r="AC115" s="134">
        <f t="shared" si="29"/>
        <v>4098</v>
      </c>
      <c r="AD115" s="135">
        <f t="shared" si="30"/>
        <v>27.393048128342247</v>
      </c>
      <c r="AE115" s="136">
        <v>23</v>
      </c>
      <c r="AF115" s="137">
        <v>29</v>
      </c>
      <c r="AG115" s="137">
        <v>0</v>
      </c>
      <c r="AH115" s="138">
        <f t="shared" si="31"/>
        <v>52</v>
      </c>
      <c r="AI115" s="133">
        <f t="shared" si="32"/>
        <v>0.34759358288770054</v>
      </c>
    </row>
    <row r="116" spans="1:35">
      <c r="A116" s="171">
        <f>IF('09월 조업일지'!A113="","",'09월 조업일지'!A113)</f>
        <v>46269</v>
      </c>
      <c r="B116" s="172" t="str">
        <f>'09월 조업일지'!E113</f>
        <v>C</v>
      </c>
      <c r="C116" s="172" t="str">
        <f>'09월 조업일지'!F113</f>
        <v>B</v>
      </c>
      <c r="D116" s="172">
        <f>'09월 화학성분'!C113</f>
        <v>85315</v>
      </c>
      <c r="E116" s="205" t="str">
        <f t="shared" si="33"/>
        <v>SS400-02</v>
      </c>
      <c r="F116" s="121">
        <v>21</v>
      </c>
      <c r="G116" s="122">
        <v>24300</v>
      </c>
      <c r="H116" s="123">
        <v>19</v>
      </c>
      <c r="I116" s="122">
        <v>20600</v>
      </c>
      <c r="J116" s="123">
        <v>7</v>
      </c>
      <c r="K116" s="122">
        <v>8800</v>
      </c>
      <c r="L116" s="124">
        <f t="shared" si="34"/>
        <v>47</v>
      </c>
      <c r="M116" s="125">
        <f t="shared" si="34"/>
        <v>53700</v>
      </c>
      <c r="N116" s="126">
        <f t="shared" si="21"/>
        <v>165.19374575118968</v>
      </c>
      <c r="O116" s="127">
        <f t="shared" si="22"/>
        <v>140.04078857919782</v>
      </c>
      <c r="P116" s="127">
        <f t="shared" si="23"/>
        <v>59.823249490142764</v>
      </c>
      <c r="Q116" s="128">
        <f t="shared" si="24"/>
        <v>365.05778382053029</v>
      </c>
      <c r="R116" s="129">
        <v>147.1</v>
      </c>
      <c r="S116" s="130">
        <v>0</v>
      </c>
      <c r="T116" s="131">
        <v>197</v>
      </c>
      <c r="U116" s="131">
        <v>272</v>
      </c>
      <c r="V116" s="132">
        <f t="shared" si="25"/>
        <v>469</v>
      </c>
      <c r="W116" s="133">
        <f t="shared" si="26"/>
        <v>3.1883072739632903</v>
      </c>
      <c r="X116" s="130">
        <v>1741</v>
      </c>
      <c r="Y116" s="131">
        <v>1676</v>
      </c>
      <c r="Z116" s="131">
        <v>997</v>
      </c>
      <c r="AA116" s="132">
        <f t="shared" si="27"/>
        <v>4414</v>
      </c>
      <c r="AB116" s="133">
        <f t="shared" si="28"/>
        <v>30.006798096532972</v>
      </c>
      <c r="AC116" s="134">
        <f t="shared" si="29"/>
        <v>4883</v>
      </c>
      <c r="AD116" s="135">
        <f t="shared" si="30"/>
        <v>33.195105370496265</v>
      </c>
      <c r="AE116" s="136">
        <v>25</v>
      </c>
      <c r="AF116" s="137">
        <v>23</v>
      </c>
      <c r="AG116" s="137">
        <v>0</v>
      </c>
      <c r="AH116" s="138">
        <f t="shared" si="31"/>
        <v>48</v>
      </c>
      <c r="AI116" s="133">
        <f t="shared" si="32"/>
        <v>0.32630863358259687</v>
      </c>
    </row>
    <row r="117" spans="1:35">
      <c r="A117" s="171">
        <f>IF('09월 조업일지'!A114="","",'09월 조업일지'!A114)</f>
        <v>46269</v>
      </c>
      <c r="B117" s="172" t="str">
        <f>'09월 조업일지'!E114</f>
        <v>C</v>
      </c>
      <c r="C117" s="172" t="str">
        <f>'09월 조업일지'!F114</f>
        <v>A</v>
      </c>
      <c r="D117" s="172">
        <f>'09월 화학성분'!C114</f>
        <v>85316</v>
      </c>
      <c r="E117" s="351" t="s">
        <v>121</v>
      </c>
      <c r="F117" s="121">
        <v>21</v>
      </c>
      <c r="G117" s="122">
        <v>24400</v>
      </c>
      <c r="H117" s="123">
        <v>16</v>
      </c>
      <c r="I117" s="122">
        <v>20500</v>
      </c>
      <c r="J117" s="123">
        <v>8</v>
      </c>
      <c r="K117" s="122">
        <v>10400</v>
      </c>
      <c r="L117" s="124">
        <f t="shared" si="34"/>
        <v>45</v>
      </c>
      <c r="M117" s="125">
        <f t="shared" si="34"/>
        <v>55300</v>
      </c>
      <c r="N117" s="126">
        <f t="shared" si="21"/>
        <v>165.98639455782313</v>
      </c>
      <c r="O117" s="127">
        <f t="shared" si="22"/>
        <v>139.45578231292518</v>
      </c>
      <c r="P117" s="127">
        <f t="shared" si="23"/>
        <v>70.748299319727892</v>
      </c>
      <c r="Q117" s="128">
        <f t="shared" si="24"/>
        <v>376.1904761904762</v>
      </c>
      <c r="R117" s="129">
        <v>147</v>
      </c>
      <c r="S117" s="130">
        <v>0</v>
      </c>
      <c r="T117" s="131">
        <v>172</v>
      </c>
      <c r="U117" s="131">
        <v>187</v>
      </c>
      <c r="V117" s="132">
        <f t="shared" si="25"/>
        <v>359</v>
      </c>
      <c r="W117" s="133">
        <f t="shared" si="26"/>
        <v>2.4421768707482991</v>
      </c>
      <c r="X117" s="130">
        <v>2281</v>
      </c>
      <c r="Y117" s="131">
        <v>1583</v>
      </c>
      <c r="Z117" s="131">
        <v>710</v>
      </c>
      <c r="AA117" s="132">
        <f t="shared" si="27"/>
        <v>4574</v>
      </c>
      <c r="AB117" s="133">
        <f t="shared" si="28"/>
        <v>31.1156462585034</v>
      </c>
      <c r="AC117" s="134">
        <f t="shared" si="29"/>
        <v>4933</v>
      </c>
      <c r="AD117" s="135">
        <f t="shared" si="30"/>
        <v>33.557823129251702</v>
      </c>
      <c r="AE117" s="136">
        <v>40</v>
      </c>
      <c r="AF117" s="137">
        <v>28</v>
      </c>
      <c r="AG117" s="137">
        <v>0</v>
      </c>
      <c r="AH117" s="138">
        <f t="shared" si="31"/>
        <v>68</v>
      </c>
      <c r="AI117" s="133">
        <f t="shared" si="32"/>
        <v>0.46258503401360546</v>
      </c>
    </row>
    <row r="118" spans="1:35">
      <c r="A118" s="171">
        <f>IF('09월 조업일지'!A115="","",'09월 조업일지'!A115)</f>
        <v>46269</v>
      </c>
      <c r="B118" s="172" t="str">
        <f>'09월 조업일지'!E115</f>
        <v>A</v>
      </c>
      <c r="C118" s="172" t="str">
        <f>'09월 조업일지'!F115</f>
        <v>B</v>
      </c>
      <c r="D118" s="172">
        <f>'09월 화학성분'!C115</f>
        <v>85317</v>
      </c>
      <c r="E118" s="205" t="str">
        <f t="shared" si="33"/>
        <v>SS400-01</v>
      </c>
      <c r="F118" s="121">
        <v>22</v>
      </c>
      <c r="G118" s="122">
        <v>23400</v>
      </c>
      <c r="H118" s="123">
        <v>18</v>
      </c>
      <c r="I118" s="122">
        <v>20400</v>
      </c>
      <c r="J118" s="123">
        <v>7</v>
      </c>
      <c r="K118" s="122">
        <v>9200</v>
      </c>
      <c r="L118" s="124">
        <f t="shared" si="34"/>
        <v>47</v>
      </c>
      <c r="M118" s="125">
        <f t="shared" si="34"/>
        <v>53000</v>
      </c>
      <c r="N118" s="126">
        <f t="shared" si="21"/>
        <v>158.53658536585365</v>
      </c>
      <c r="O118" s="127">
        <f t="shared" si="22"/>
        <v>138.21138211382114</v>
      </c>
      <c r="P118" s="127">
        <f t="shared" si="23"/>
        <v>62.330623306233065</v>
      </c>
      <c r="Q118" s="128">
        <f t="shared" si="24"/>
        <v>359.07859078590786</v>
      </c>
      <c r="R118" s="129">
        <v>147.6</v>
      </c>
      <c r="S118" s="130">
        <v>0</v>
      </c>
      <c r="T118" s="131">
        <v>157</v>
      </c>
      <c r="U118" s="131">
        <v>255</v>
      </c>
      <c r="V118" s="132">
        <f t="shared" si="25"/>
        <v>412</v>
      </c>
      <c r="W118" s="133">
        <f t="shared" si="26"/>
        <v>2.7913279132791331</v>
      </c>
      <c r="X118" s="130">
        <v>1735</v>
      </c>
      <c r="Y118" s="131">
        <v>1629</v>
      </c>
      <c r="Z118" s="131">
        <v>845</v>
      </c>
      <c r="AA118" s="132">
        <f t="shared" si="27"/>
        <v>4209</v>
      </c>
      <c r="AB118" s="133">
        <f t="shared" si="28"/>
        <v>28.516260162601625</v>
      </c>
      <c r="AC118" s="134">
        <f t="shared" si="29"/>
        <v>4621</v>
      </c>
      <c r="AD118" s="135">
        <f t="shared" si="30"/>
        <v>31.307588075880759</v>
      </c>
      <c r="AE118" s="136">
        <v>26</v>
      </c>
      <c r="AF118" s="137">
        <v>24</v>
      </c>
      <c r="AG118" s="137">
        <v>0</v>
      </c>
      <c r="AH118" s="138">
        <f t="shared" si="31"/>
        <v>50</v>
      </c>
      <c r="AI118" s="133">
        <f t="shared" si="32"/>
        <v>0.33875338753387535</v>
      </c>
    </row>
    <row r="119" spans="1:35">
      <c r="A119" s="171">
        <f>IF('09월 조업일지'!A116="","",'09월 조업일지'!A116)</f>
        <v>46269</v>
      </c>
      <c r="B119" s="172" t="str">
        <f>'09월 조업일지'!E116</f>
        <v>A</v>
      </c>
      <c r="C119" s="172" t="str">
        <f>'09월 조업일지'!F116</f>
        <v>A</v>
      </c>
      <c r="D119" s="172">
        <f>'09월 화학성분'!C116</f>
        <v>85318</v>
      </c>
      <c r="E119" s="205" t="str">
        <f t="shared" si="33"/>
        <v>SS400-01</v>
      </c>
      <c r="F119" s="121">
        <v>22</v>
      </c>
      <c r="G119" s="122">
        <v>23800</v>
      </c>
      <c r="H119" s="123">
        <v>17</v>
      </c>
      <c r="I119" s="122">
        <v>20500</v>
      </c>
      <c r="J119" s="123">
        <v>11</v>
      </c>
      <c r="K119" s="122">
        <v>12300</v>
      </c>
      <c r="L119" s="124">
        <f t="shared" si="34"/>
        <v>50</v>
      </c>
      <c r="M119" s="125">
        <f t="shared" si="34"/>
        <v>56600</v>
      </c>
      <c r="N119" s="126">
        <f t="shared" si="21"/>
        <v>161.7946974847043</v>
      </c>
      <c r="O119" s="127">
        <f t="shared" si="22"/>
        <v>139.36097892590075</v>
      </c>
      <c r="P119" s="127">
        <f t="shared" si="23"/>
        <v>83.616587355540446</v>
      </c>
      <c r="Q119" s="128">
        <f t="shared" si="24"/>
        <v>384.7722637661455</v>
      </c>
      <c r="R119" s="129">
        <v>147.1</v>
      </c>
      <c r="S119" s="130">
        <v>0</v>
      </c>
      <c r="T119" s="131">
        <v>192</v>
      </c>
      <c r="U119" s="131">
        <v>250</v>
      </c>
      <c r="V119" s="132">
        <f t="shared" si="25"/>
        <v>442</v>
      </c>
      <c r="W119" s="133">
        <f t="shared" si="26"/>
        <v>3.0047586675730797</v>
      </c>
      <c r="X119" s="130">
        <v>1804</v>
      </c>
      <c r="Y119" s="131">
        <v>1560</v>
      </c>
      <c r="Z119" s="131">
        <v>1049</v>
      </c>
      <c r="AA119" s="132">
        <f t="shared" si="27"/>
        <v>4413</v>
      </c>
      <c r="AB119" s="133">
        <f t="shared" si="28"/>
        <v>30</v>
      </c>
      <c r="AC119" s="134">
        <f t="shared" si="29"/>
        <v>4855</v>
      </c>
      <c r="AD119" s="135">
        <f t="shared" si="30"/>
        <v>33.004758667573078</v>
      </c>
      <c r="AE119" s="136">
        <v>25</v>
      </c>
      <c r="AF119" s="137">
        <v>26</v>
      </c>
      <c r="AG119" s="137">
        <v>0</v>
      </c>
      <c r="AH119" s="138">
        <f t="shared" si="31"/>
        <v>51</v>
      </c>
      <c r="AI119" s="133">
        <f t="shared" si="32"/>
        <v>0.34670292318150919</v>
      </c>
    </row>
    <row r="120" spans="1:35">
      <c r="A120" s="171">
        <f>IF('09월 조업일지'!A117="","",'09월 조업일지'!A117)</f>
        <v>46269</v>
      </c>
      <c r="B120" s="172" t="str">
        <f>'09월 조업일지'!E117</f>
        <v>A</v>
      </c>
      <c r="C120" s="172" t="str">
        <f>'09월 조업일지'!F117</f>
        <v>B</v>
      </c>
      <c r="D120" s="172">
        <f>'09월 화학성분'!C117</f>
        <v>85319</v>
      </c>
      <c r="E120" s="205" t="str">
        <f t="shared" si="33"/>
        <v>SS400-01</v>
      </c>
      <c r="F120" s="121">
        <v>21</v>
      </c>
      <c r="G120" s="122">
        <v>23400</v>
      </c>
      <c r="H120" s="123">
        <v>18</v>
      </c>
      <c r="I120" s="122">
        <v>20400</v>
      </c>
      <c r="J120" s="123">
        <v>12</v>
      </c>
      <c r="K120" s="122">
        <v>13600</v>
      </c>
      <c r="L120" s="124">
        <f t="shared" si="34"/>
        <v>51</v>
      </c>
      <c r="M120" s="125">
        <f t="shared" si="34"/>
        <v>57400</v>
      </c>
      <c r="N120" s="126">
        <f t="shared" si="21"/>
        <v>158.85947046843177</v>
      </c>
      <c r="O120" s="127">
        <f t="shared" si="22"/>
        <v>138.49287169042768</v>
      </c>
      <c r="P120" s="127">
        <f t="shared" si="23"/>
        <v>92.328581126951789</v>
      </c>
      <c r="Q120" s="128">
        <f t="shared" si="24"/>
        <v>389.68092328581122</v>
      </c>
      <c r="R120" s="129">
        <v>147.30000000000001</v>
      </c>
      <c r="S120" s="130">
        <v>0</v>
      </c>
      <c r="T120" s="131">
        <v>176</v>
      </c>
      <c r="U120" s="131">
        <v>390</v>
      </c>
      <c r="V120" s="132">
        <f t="shared" si="25"/>
        <v>566</v>
      </c>
      <c r="W120" s="133">
        <f t="shared" si="26"/>
        <v>3.8424983027834347</v>
      </c>
      <c r="X120" s="130">
        <v>1744</v>
      </c>
      <c r="Y120" s="131">
        <v>1634</v>
      </c>
      <c r="Z120" s="131">
        <v>1383</v>
      </c>
      <c r="AA120" s="132">
        <f t="shared" si="27"/>
        <v>4761</v>
      </c>
      <c r="AB120" s="133">
        <f t="shared" si="28"/>
        <v>32.321792260692462</v>
      </c>
      <c r="AC120" s="134">
        <f t="shared" si="29"/>
        <v>5327</v>
      </c>
      <c r="AD120" s="135">
        <f t="shared" si="30"/>
        <v>36.164290563475895</v>
      </c>
      <c r="AE120" s="136">
        <v>26</v>
      </c>
      <c r="AF120" s="137">
        <v>24</v>
      </c>
      <c r="AG120" s="137">
        <v>0</v>
      </c>
      <c r="AH120" s="138">
        <f t="shared" si="31"/>
        <v>50</v>
      </c>
      <c r="AI120" s="133">
        <f t="shared" si="32"/>
        <v>0.33944331296673452</v>
      </c>
    </row>
    <row r="121" spans="1:35">
      <c r="A121" s="171">
        <f>IF('09월 조업일지'!A118="","",'09월 조업일지'!A118)</f>
        <v>46269</v>
      </c>
      <c r="B121" s="172" t="str">
        <f>'09월 조업일지'!E118</f>
        <v>A</v>
      </c>
      <c r="C121" s="172" t="str">
        <f>'09월 조업일지'!F118</f>
        <v>A</v>
      </c>
      <c r="D121" s="172">
        <f>'09월 화학성분'!C118</f>
        <v>85320</v>
      </c>
      <c r="E121" s="205" t="str">
        <f t="shared" si="33"/>
        <v>SS400-01</v>
      </c>
      <c r="F121" s="121">
        <v>23</v>
      </c>
      <c r="G121" s="122">
        <v>23500</v>
      </c>
      <c r="H121" s="123">
        <v>18</v>
      </c>
      <c r="I121" s="122">
        <v>20400</v>
      </c>
      <c r="J121" s="123">
        <v>6</v>
      </c>
      <c r="K121" s="122">
        <v>8500</v>
      </c>
      <c r="L121" s="124">
        <f t="shared" si="34"/>
        <v>47</v>
      </c>
      <c r="M121" s="125">
        <f t="shared" si="34"/>
        <v>52400</v>
      </c>
      <c r="N121" s="126">
        <f t="shared" si="21"/>
        <v>161.73434273916035</v>
      </c>
      <c r="O121" s="127">
        <f t="shared" si="22"/>
        <v>140.39917412250514</v>
      </c>
      <c r="P121" s="127">
        <f t="shared" si="23"/>
        <v>58.499655884377148</v>
      </c>
      <c r="Q121" s="128">
        <f t="shared" si="24"/>
        <v>360.63317274604265</v>
      </c>
      <c r="R121" s="129">
        <v>145.30000000000001</v>
      </c>
      <c r="S121" s="130">
        <v>0</v>
      </c>
      <c r="T121" s="131">
        <v>193</v>
      </c>
      <c r="U121" s="131">
        <v>139</v>
      </c>
      <c r="V121" s="132">
        <f t="shared" si="25"/>
        <v>332</v>
      </c>
      <c r="W121" s="133">
        <f t="shared" si="26"/>
        <v>2.2849277357192013</v>
      </c>
      <c r="X121" s="130">
        <v>1865</v>
      </c>
      <c r="Y121" s="131">
        <v>1606</v>
      </c>
      <c r="Z121" s="131">
        <v>718</v>
      </c>
      <c r="AA121" s="132">
        <f t="shared" si="27"/>
        <v>4189</v>
      </c>
      <c r="AB121" s="133">
        <f t="shared" si="28"/>
        <v>28.830006882312453</v>
      </c>
      <c r="AC121" s="134">
        <f t="shared" si="29"/>
        <v>4521</v>
      </c>
      <c r="AD121" s="135">
        <f t="shared" si="30"/>
        <v>31.114934618031658</v>
      </c>
      <c r="AE121" s="136">
        <v>25</v>
      </c>
      <c r="AF121" s="137">
        <v>30</v>
      </c>
      <c r="AG121" s="137">
        <v>0</v>
      </c>
      <c r="AH121" s="138">
        <f t="shared" si="31"/>
        <v>55</v>
      </c>
      <c r="AI121" s="133">
        <f t="shared" si="32"/>
        <v>0.37852718513420508</v>
      </c>
    </row>
    <row r="122" spans="1:35">
      <c r="A122" s="171">
        <f>IF('09월 조업일지'!A119="","",'09월 조업일지'!A119)</f>
        <v>46269</v>
      </c>
      <c r="B122" s="172" t="str">
        <f>'09월 조업일지'!E119</f>
        <v>A</v>
      </c>
      <c r="C122" s="172" t="str">
        <f>'09월 조업일지'!F119</f>
        <v>B</v>
      </c>
      <c r="D122" s="172">
        <f>'09월 화학성분'!C119</f>
        <v>85321</v>
      </c>
      <c r="E122" s="205" t="str">
        <f t="shared" si="33"/>
        <v>SS400-01</v>
      </c>
      <c r="F122" s="121">
        <v>22</v>
      </c>
      <c r="G122" s="122">
        <v>25500</v>
      </c>
      <c r="H122" s="123">
        <v>18</v>
      </c>
      <c r="I122" s="122">
        <v>20600</v>
      </c>
      <c r="J122" s="123">
        <v>6</v>
      </c>
      <c r="K122" s="122">
        <v>8000</v>
      </c>
      <c r="L122" s="124">
        <f t="shared" si="34"/>
        <v>46</v>
      </c>
      <c r="M122" s="125">
        <f t="shared" si="34"/>
        <v>54100</v>
      </c>
      <c r="N122" s="126">
        <f t="shared" si="21"/>
        <v>172.76422764227644</v>
      </c>
      <c r="O122" s="127">
        <f t="shared" si="22"/>
        <v>139.56639566395665</v>
      </c>
      <c r="P122" s="127">
        <f t="shared" si="23"/>
        <v>54.200542005420054</v>
      </c>
      <c r="Q122" s="128">
        <f t="shared" si="24"/>
        <v>366.53116531165313</v>
      </c>
      <c r="R122" s="129">
        <v>147.6</v>
      </c>
      <c r="S122" s="130">
        <v>0</v>
      </c>
      <c r="T122" s="131">
        <v>236</v>
      </c>
      <c r="U122" s="131">
        <v>222</v>
      </c>
      <c r="V122" s="132">
        <f t="shared" si="25"/>
        <v>458</v>
      </c>
      <c r="W122" s="133">
        <f t="shared" si="26"/>
        <v>3.1029810298102984</v>
      </c>
      <c r="X122" s="130">
        <v>1871</v>
      </c>
      <c r="Y122" s="131">
        <v>1571</v>
      </c>
      <c r="Z122" s="131">
        <v>708</v>
      </c>
      <c r="AA122" s="132">
        <f t="shared" si="27"/>
        <v>4150</v>
      </c>
      <c r="AB122" s="133">
        <f t="shared" si="28"/>
        <v>28.116531165311653</v>
      </c>
      <c r="AC122" s="134">
        <f t="shared" si="29"/>
        <v>4608</v>
      </c>
      <c r="AD122" s="135">
        <f t="shared" si="30"/>
        <v>31.219512195121954</v>
      </c>
      <c r="AE122" s="136">
        <v>25</v>
      </c>
      <c r="AF122" s="137">
        <v>20</v>
      </c>
      <c r="AG122" s="137">
        <v>0</v>
      </c>
      <c r="AH122" s="138">
        <f t="shared" si="31"/>
        <v>45</v>
      </c>
      <c r="AI122" s="133">
        <f t="shared" si="32"/>
        <v>0.3048780487804878</v>
      </c>
    </row>
    <row r="123" spans="1:35">
      <c r="A123" s="171">
        <f>IF('09월 조업일지'!A120="","",'09월 조업일지'!A120)</f>
        <v>46269</v>
      </c>
      <c r="B123" s="172" t="str">
        <f>'09월 조업일지'!E120</f>
        <v>A</v>
      </c>
      <c r="C123" s="172" t="str">
        <f>'09월 조업일지'!F120</f>
        <v>A</v>
      </c>
      <c r="D123" s="172">
        <f>'09월 화학성분'!C120</f>
        <v>85322</v>
      </c>
      <c r="E123" s="205" t="str">
        <f t="shared" si="33"/>
        <v>SS400-01</v>
      </c>
      <c r="F123" s="121">
        <v>21</v>
      </c>
      <c r="G123" s="122">
        <v>23300</v>
      </c>
      <c r="H123" s="123">
        <v>17</v>
      </c>
      <c r="I123" s="122">
        <v>20600</v>
      </c>
      <c r="J123" s="123">
        <v>8</v>
      </c>
      <c r="K123" s="122">
        <v>9600</v>
      </c>
      <c r="L123" s="124">
        <f t="shared" si="34"/>
        <v>46</v>
      </c>
      <c r="M123" s="125">
        <f t="shared" si="34"/>
        <v>53500</v>
      </c>
      <c r="N123" s="126">
        <f t="shared" si="21"/>
        <v>158.0732700135685</v>
      </c>
      <c r="O123" s="127">
        <f t="shared" si="22"/>
        <v>139.75576662143826</v>
      </c>
      <c r="P123" s="127">
        <f t="shared" si="23"/>
        <v>65.128900949796474</v>
      </c>
      <c r="Q123" s="128">
        <f t="shared" si="24"/>
        <v>362.95793758480329</v>
      </c>
      <c r="R123" s="129">
        <v>147.4</v>
      </c>
      <c r="S123" s="130">
        <v>0</v>
      </c>
      <c r="T123" s="131">
        <v>96</v>
      </c>
      <c r="U123" s="131">
        <v>190</v>
      </c>
      <c r="V123" s="132">
        <f t="shared" si="25"/>
        <v>286</v>
      </c>
      <c r="W123" s="133">
        <f t="shared" si="26"/>
        <v>1.9402985074626864</v>
      </c>
      <c r="X123" s="130">
        <v>1700</v>
      </c>
      <c r="Y123" s="131">
        <v>1571</v>
      </c>
      <c r="Z123" s="131">
        <v>697</v>
      </c>
      <c r="AA123" s="132">
        <f t="shared" si="27"/>
        <v>3968</v>
      </c>
      <c r="AB123" s="133">
        <f t="shared" si="28"/>
        <v>26.919945725915873</v>
      </c>
      <c r="AC123" s="134">
        <f t="shared" si="29"/>
        <v>4254</v>
      </c>
      <c r="AD123" s="135">
        <f t="shared" si="30"/>
        <v>28.860244233378559</v>
      </c>
      <c r="AE123" s="136">
        <v>23</v>
      </c>
      <c r="AF123" s="137">
        <v>33</v>
      </c>
      <c r="AG123" s="137">
        <v>0</v>
      </c>
      <c r="AH123" s="138">
        <f t="shared" si="31"/>
        <v>56</v>
      </c>
      <c r="AI123" s="133">
        <f t="shared" si="32"/>
        <v>0.37991858887381275</v>
      </c>
    </row>
    <row r="124" spans="1:35">
      <c r="A124" s="171">
        <f>IF('09월 조업일지'!A121="","",'09월 조업일지'!A121)</f>
        <v>46269</v>
      </c>
      <c r="B124" s="172" t="str">
        <f>'09월 조업일지'!E121</f>
        <v>A</v>
      </c>
      <c r="C124" s="172" t="str">
        <f>'09월 조업일지'!F121</f>
        <v>B</v>
      </c>
      <c r="D124" s="172">
        <f>'09월 화학성분'!C121</f>
        <v>85323</v>
      </c>
      <c r="E124" s="205" t="str">
        <f t="shared" si="33"/>
        <v>SS400-01</v>
      </c>
      <c r="F124" s="121">
        <v>22</v>
      </c>
      <c r="G124" s="122">
        <v>23500</v>
      </c>
      <c r="H124" s="123">
        <v>17</v>
      </c>
      <c r="I124" s="122">
        <v>20600</v>
      </c>
      <c r="J124" s="123">
        <v>8</v>
      </c>
      <c r="K124" s="122">
        <v>9900</v>
      </c>
      <c r="L124" s="124">
        <f t="shared" si="34"/>
        <v>47</v>
      </c>
      <c r="M124" s="125">
        <f t="shared" si="34"/>
        <v>54000</v>
      </c>
      <c r="N124" s="126">
        <f t="shared" si="21"/>
        <v>159.75526852481306</v>
      </c>
      <c r="O124" s="127">
        <f t="shared" si="22"/>
        <v>140.04078857919782</v>
      </c>
      <c r="P124" s="127">
        <f t="shared" si="23"/>
        <v>67.301155676410602</v>
      </c>
      <c r="Q124" s="128">
        <f t="shared" si="24"/>
        <v>367.09721278042144</v>
      </c>
      <c r="R124" s="129">
        <v>147.1</v>
      </c>
      <c r="S124" s="130">
        <v>0</v>
      </c>
      <c r="T124" s="131">
        <v>127</v>
      </c>
      <c r="U124" s="131">
        <v>290</v>
      </c>
      <c r="V124" s="132">
        <f t="shared" si="25"/>
        <v>417</v>
      </c>
      <c r="W124" s="133">
        <f t="shared" si="26"/>
        <v>2.8348062542488104</v>
      </c>
      <c r="X124" s="130">
        <v>1770</v>
      </c>
      <c r="Y124" s="131">
        <v>1626</v>
      </c>
      <c r="Z124" s="131">
        <v>713</v>
      </c>
      <c r="AA124" s="132">
        <f t="shared" si="27"/>
        <v>4109</v>
      </c>
      <c r="AB124" s="133">
        <f t="shared" si="28"/>
        <v>27.933378653976888</v>
      </c>
      <c r="AC124" s="134">
        <f t="shared" si="29"/>
        <v>4526</v>
      </c>
      <c r="AD124" s="135">
        <f t="shared" si="30"/>
        <v>30.768184908225699</v>
      </c>
      <c r="AE124" s="136">
        <v>26</v>
      </c>
      <c r="AF124" s="137">
        <v>25</v>
      </c>
      <c r="AG124" s="137">
        <v>0</v>
      </c>
      <c r="AH124" s="138">
        <f t="shared" si="31"/>
        <v>51</v>
      </c>
      <c r="AI124" s="133">
        <f t="shared" si="32"/>
        <v>0.34670292318150919</v>
      </c>
    </row>
    <row r="125" spans="1:35">
      <c r="A125" s="171">
        <f>IF('09월 조업일지'!A122="","",'09월 조업일지'!A122)</f>
        <v>46270</v>
      </c>
      <c r="B125" s="172" t="str">
        <f>'09월 조업일지'!E122</f>
        <v>A</v>
      </c>
      <c r="C125" s="172" t="str">
        <f>'09월 조업일지'!F122</f>
        <v>A</v>
      </c>
      <c r="D125" s="172">
        <f>'09월 화학성분'!C122</f>
        <v>85324</v>
      </c>
      <c r="E125" s="205" t="str">
        <f t="shared" si="33"/>
        <v>SS400-01</v>
      </c>
      <c r="F125" s="121">
        <v>21</v>
      </c>
      <c r="G125" s="122">
        <v>23400</v>
      </c>
      <c r="H125" s="123">
        <v>17</v>
      </c>
      <c r="I125" s="122">
        <v>20500</v>
      </c>
      <c r="J125" s="123">
        <v>7</v>
      </c>
      <c r="K125" s="122">
        <v>9700</v>
      </c>
      <c r="L125" s="124">
        <f t="shared" si="34"/>
        <v>45</v>
      </c>
      <c r="M125" s="125">
        <f t="shared" si="34"/>
        <v>53600</v>
      </c>
      <c r="N125" s="126">
        <f t="shared" si="21"/>
        <v>159.8360655737705</v>
      </c>
      <c r="O125" s="127">
        <f t="shared" si="22"/>
        <v>140.02732240437157</v>
      </c>
      <c r="P125" s="127">
        <f t="shared" si="23"/>
        <v>66.256830601092901</v>
      </c>
      <c r="Q125" s="128">
        <f t="shared" si="24"/>
        <v>366.12021857923503</v>
      </c>
      <c r="R125" s="129">
        <v>146.4</v>
      </c>
      <c r="S125" s="130">
        <v>0</v>
      </c>
      <c r="T125" s="131">
        <v>215</v>
      </c>
      <c r="U125" s="131">
        <v>210</v>
      </c>
      <c r="V125" s="132">
        <f t="shared" si="25"/>
        <v>425</v>
      </c>
      <c r="W125" s="133">
        <f t="shared" si="26"/>
        <v>2.903005464480874</v>
      </c>
      <c r="X125" s="130">
        <v>1722</v>
      </c>
      <c r="Y125" s="131">
        <v>1581</v>
      </c>
      <c r="Z125" s="131">
        <v>1122</v>
      </c>
      <c r="AA125" s="132">
        <f t="shared" si="27"/>
        <v>4425</v>
      </c>
      <c r="AB125" s="133">
        <f t="shared" si="28"/>
        <v>30.225409836065573</v>
      </c>
      <c r="AC125" s="134">
        <f t="shared" si="29"/>
        <v>4850</v>
      </c>
      <c r="AD125" s="135">
        <f t="shared" si="30"/>
        <v>33.12841530054645</v>
      </c>
      <c r="AE125" s="136">
        <v>24</v>
      </c>
      <c r="AF125" s="137">
        <v>28</v>
      </c>
      <c r="AG125" s="137">
        <v>0</v>
      </c>
      <c r="AH125" s="138">
        <f t="shared" si="31"/>
        <v>52</v>
      </c>
      <c r="AI125" s="133">
        <f t="shared" si="32"/>
        <v>0.3551912568306011</v>
      </c>
    </row>
    <row r="126" spans="1:35">
      <c r="A126" s="171">
        <f>IF('09월 조업일지'!A123="","",'09월 조업일지'!A123)</f>
        <v>46270</v>
      </c>
      <c r="B126" s="172" t="str">
        <f>'09월 조업일지'!E123</f>
        <v>A</v>
      </c>
      <c r="C126" s="172" t="str">
        <f>'09월 조업일지'!F123</f>
        <v>B</v>
      </c>
      <c r="D126" s="172">
        <f>'09월 화학성분'!C123</f>
        <v>85325</v>
      </c>
      <c r="E126" s="205" t="str">
        <f t="shared" si="33"/>
        <v>SS400-01</v>
      </c>
      <c r="F126" s="121">
        <v>20</v>
      </c>
      <c r="G126" s="122">
        <v>23100</v>
      </c>
      <c r="H126" s="123">
        <v>17</v>
      </c>
      <c r="I126" s="122">
        <v>20600</v>
      </c>
      <c r="J126" s="123">
        <v>10</v>
      </c>
      <c r="K126" s="122">
        <v>12400</v>
      </c>
      <c r="L126" s="124">
        <f t="shared" si="34"/>
        <v>47</v>
      </c>
      <c r="M126" s="125">
        <f t="shared" si="34"/>
        <v>56100</v>
      </c>
      <c r="N126" s="126">
        <f t="shared" si="21"/>
        <v>156.08108108108109</v>
      </c>
      <c r="O126" s="127">
        <f t="shared" si="22"/>
        <v>139.18918918918919</v>
      </c>
      <c r="P126" s="127">
        <f t="shared" si="23"/>
        <v>83.78378378378379</v>
      </c>
      <c r="Q126" s="128">
        <f t="shared" si="24"/>
        <v>379.05405405405412</v>
      </c>
      <c r="R126" s="129">
        <v>148</v>
      </c>
      <c r="S126" s="130">
        <v>0</v>
      </c>
      <c r="T126" s="131">
        <v>118</v>
      </c>
      <c r="U126" s="131">
        <v>255</v>
      </c>
      <c r="V126" s="132">
        <f t="shared" si="25"/>
        <v>373</v>
      </c>
      <c r="W126" s="133">
        <f t="shared" si="26"/>
        <v>2.5202702702702702</v>
      </c>
      <c r="X126" s="130">
        <v>1691</v>
      </c>
      <c r="Y126" s="131">
        <v>1581</v>
      </c>
      <c r="Z126" s="131">
        <v>1266</v>
      </c>
      <c r="AA126" s="132">
        <f t="shared" si="27"/>
        <v>4538</v>
      </c>
      <c r="AB126" s="133">
        <f t="shared" si="28"/>
        <v>30.662162162162161</v>
      </c>
      <c r="AC126" s="134">
        <f t="shared" si="29"/>
        <v>4911</v>
      </c>
      <c r="AD126" s="135">
        <f t="shared" si="30"/>
        <v>33.182432432432435</v>
      </c>
      <c r="AE126" s="136">
        <v>24</v>
      </c>
      <c r="AF126" s="137">
        <v>22</v>
      </c>
      <c r="AG126" s="137">
        <v>0</v>
      </c>
      <c r="AH126" s="138">
        <f t="shared" si="31"/>
        <v>46</v>
      </c>
      <c r="AI126" s="133">
        <f t="shared" si="32"/>
        <v>0.3108108108108108</v>
      </c>
    </row>
    <row r="127" spans="1:35">
      <c r="A127" s="171">
        <f>IF('09월 조업일지'!A124="","",'09월 조업일지'!A124)</f>
        <v>46270</v>
      </c>
      <c r="B127" s="172" t="str">
        <f>'09월 조업일지'!E124</f>
        <v>A</v>
      </c>
      <c r="C127" s="172" t="str">
        <f>'09월 조업일지'!F124</f>
        <v>A</v>
      </c>
      <c r="D127" s="172">
        <f>'09월 화학성분'!C124</f>
        <v>85326</v>
      </c>
      <c r="E127" s="205" t="str">
        <f t="shared" si="33"/>
        <v>SS400-01</v>
      </c>
      <c r="F127" s="121">
        <v>21</v>
      </c>
      <c r="G127" s="122">
        <v>24800</v>
      </c>
      <c r="H127" s="123">
        <v>17</v>
      </c>
      <c r="I127" s="122">
        <v>20400</v>
      </c>
      <c r="J127" s="123">
        <v>8</v>
      </c>
      <c r="K127" s="122">
        <v>9800</v>
      </c>
      <c r="L127" s="124">
        <f t="shared" si="34"/>
        <v>46</v>
      </c>
      <c r="M127" s="125">
        <f t="shared" si="34"/>
        <v>55000</v>
      </c>
      <c r="N127" s="126">
        <f t="shared" si="21"/>
        <v>172.82229965156793</v>
      </c>
      <c r="O127" s="127">
        <f t="shared" si="22"/>
        <v>142.1602787456446</v>
      </c>
      <c r="P127" s="127">
        <f t="shared" si="23"/>
        <v>68.292682926829272</v>
      </c>
      <c r="Q127" s="128">
        <f t="shared" si="24"/>
        <v>383.27526132404182</v>
      </c>
      <c r="R127" s="129">
        <v>143.5</v>
      </c>
      <c r="S127" s="130">
        <v>0</v>
      </c>
      <c r="T127" s="131">
        <v>116</v>
      </c>
      <c r="U127" s="131">
        <v>285</v>
      </c>
      <c r="V127" s="132">
        <f t="shared" si="25"/>
        <v>401</v>
      </c>
      <c r="W127" s="133">
        <f t="shared" si="26"/>
        <v>2.7944250871080141</v>
      </c>
      <c r="X127" s="130">
        <v>1725</v>
      </c>
      <c r="Y127" s="131">
        <v>1572</v>
      </c>
      <c r="Z127" s="131">
        <v>979</v>
      </c>
      <c r="AA127" s="132">
        <f t="shared" si="27"/>
        <v>4276</v>
      </c>
      <c r="AB127" s="133">
        <f t="shared" si="28"/>
        <v>29.797909407665504</v>
      </c>
      <c r="AC127" s="134">
        <f t="shared" si="29"/>
        <v>4677</v>
      </c>
      <c r="AD127" s="135">
        <f t="shared" si="30"/>
        <v>32.592334494773517</v>
      </c>
      <c r="AE127" s="136">
        <v>25</v>
      </c>
      <c r="AF127" s="137">
        <v>29</v>
      </c>
      <c r="AG127" s="137">
        <v>0</v>
      </c>
      <c r="AH127" s="138">
        <f t="shared" si="31"/>
        <v>54</v>
      </c>
      <c r="AI127" s="133">
        <f t="shared" si="32"/>
        <v>0.37630662020905925</v>
      </c>
    </row>
    <row r="128" spans="1:35">
      <c r="A128" s="171">
        <f>IF('09월 조업일지'!A125="","",'09월 조업일지'!A125)</f>
        <v>46270</v>
      </c>
      <c r="B128" s="172" t="str">
        <f>'09월 조업일지'!E125</f>
        <v>A</v>
      </c>
      <c r="C128" s="172" t="str">
        <f>'09월 조업일지'!F125</f>
        <v>B</v>
      </c>
      <c r="D128" s="172">
        <f>'09월 화학성분'!C125</f>
        <v>85327</v>
      </c>
      <c r="E128" s="205" t="str">
        <f t="shared" si="33"/>
        <v>SS400-01</v>
      </c>
      <c r="F128" s="121">
        <v>21</v>
      </c>
      <c r="G128" s="122">
        <v>23700</v>
      </c>
      <c r="H128" s="123">
        <v>19</v>
      </c>
      <c r="I128" s="122">
        <v>20400</v>
      </c>
      <c r="J128" s="123">
        <v>6</v>
      </c>
      <c r="K128" s="122">
        <v>7600</v>
      </c>
      <c r="L128" s="124">
        <f t="shared" si="34"/>
        <v>46</v>
      </c>
      <c r="M128" s="125">
        <f t="shared" si="34"/>
        <v>51700</v>
      </c>
      <c r="N128" s="126">
        <f t="shared" si="21"/>
        <v>161.00543478260872</v>
      </c>
      <c r="O128" s="127">
        <f t="shared" si="22"/>
        <v>138.58695652173915</v>
      </c>
      <c r="P128" s="127">
        <f t="shared" si="23"/>
        <v>51.630434782608702</v>
      </c>
      <c r="Q128" s="128">
        <f t="shared" si="24"/>
        <v>351.22282608695656</v>
      </c>
      <c r="R128" s="129">
        <v>147.19999999999999</v>
      </c>
      <c r="S128" s="130">
        <v>0</v>
      </c>
      <c r="T128" s="131">
        <v>206</v>
      </c>
      <c r="U128" s="131">
        <v>135</v>
      </c>
      <c r="V128" s="132">
        <f t="shared" si="25"/>
        <v>341</v>
      </c>
      <c r="W128" s="133">
        <f t="shared" si="26"/>
        <v>2.316576086956522</v>
      </c>
      <c r="X128" s="130">
        <v>1748</v>
      </c>
      <c r="Y128" s="131">
        <v>1595</v>
      </c>
      <c r="Z128" s="131">
        <v>520</v>
      </c>
      <c r="AA128" s="132">
        <f t="shared" si="27"/>
        <v>3863</v>
      </c>
      <c r="AB128" s="133">
        <f t="shared" si="28"/>
        <v>26.243206521739133</v>
      </c>
      <c r="AC128" s="134">
        <f t="shared" si="29"/>
        <v>4204</v>
      </c>
      <c r="AD128" s="135">
        <f t="shared" si="30"/>
        <v>28.559782608695656</v>
      </c>
      <c r="AE128" s="136">
        <v>26</v>
      </c>
      <c r="AF128" s="137">
        <v>24</v>
      </c>
      <c r="AG128" s="137">
        <v>0</v>
      </c>
      <c r="AH128" s="138">
        <f t="shared" si="31"/>
        <v>50</v>
      </c>
      <c r="AI128" s="133">
        <f t="shared" si="32"/>
        <v>0.33967391304347827</v>
      </c>
    </row>
    <row r="129" spans="1:35">
      <c r="A129" s="171">
        <f>IF('09월 조업일지'!A126="","",'09월 조업일지'!A126)</f>
        <v>46270</v>
      </c>
      <c r="B129" s="172" t="str">
        <f>'09월 조업일지'!E126</f>
        <v>B</v>
      </c>
      <c r="C129" s="172" t="str">
        <f>'09월 조업일지'!F126</f>
        <v>A</v>
      </c>
      <c r="D129" s="172">
        <f>'09월 화학성분'!C126</f>
        <v>85328</v>
      </c>
      <c r="E129" s="205" t="str">
        <f t="shared" si="33"/>
        <v>SS400-01</v>
      </c>
      <c r="F129" s="121">
        <v>20</v>
      </c>
      <c r="G129" s="122">
        <v>23100</v>
      </c>
      <c r="H129" s="123">
        <v>17</v>
      </c>
      <c r="I129" s="122">
        <v>20300</v>
      </c>
      <c r="J129" s="123">
        <v>8</v>
      </c>
      <c r="K129" s="122">
        <v>11000</v>
      </c>
      <c r="L129" s="124">
        <f t="shared" si="34"/>
        <v>45</v>
      </c>
      <c r="M129" s="125">
        <f t="shared" si="34"/>
        <v>54400</v>
      </c>
      <c r="N129" s="126">
        <f t="shared" si="21"/>
        <v>156.29228687415426</v>
      </c>
      <c r="O129" s="127">
        <f t="shared" si="22"/>
        <v>137.34776725304465</v>
      </c>
      <c r="P129" s="127">
        <f t="shared" si="23"/>
        <v>74.424898511502022</v>
      </c>
      <c r="Q129" s="128">
        <f t="shared" si="24"/>
        <v>368.06495263870096</v>
      </c>
      <c r="R129" s="129">
        <v>147.80000000000001</v>
      </c>
      <c r="S129" s="130">
        <v>0</v>
      </c>
      <c r="T129" s="131">
        <v>185</v>
      </c>
      <c r="U129" s="131">
        <v>156</v>
      </c>
      <c r="V129" s="132">
        <f t="shared" si="25"/>
        <v>341</v>
      </c>
      <c r="W129" s="133">
        <f t="shared" si="26"/>
        <v>2.3071718538565626</v>
      </c>
      <c r="X129" s="130">
        <v>1582</v>
      </c>
      <c r="Y129" s="131">
        <v>1479</v>
      </c>
      <c r="Z129" s="131">
        <v>814</v>
      </c>
      <c r="AA129" s="132">
        <f t="shared" si="27"/>
        <v>3875</v>
      </c>
      <c r="AB129" s="133">
        <f t="shared" si="28"/>
        <v>26.217861975642759</v>
      </c>
      <c r="AC129" s="134">
        <f t="shared" si="29"/>
        <v>4216</v>
      </c>
      <c r="AD129" s="135">
        <f t="shared" si="30"/>
        <v>28.525033829499321</v>
      </c>
      <c r="AE129" s="136">
        <v>22</v>
      </c>
      <c r="AF129" s="137">
        <v>13</v>
      </c>
      <c r="AG129" s="137">
        <v>0</v>
      </c>
      <c r="AH129" s="138">
        <f t="shared" si="31"/>
        <v>35</v>
      </c>
      <c r="AI129" s="133">
        <f t="shared" si="32"/>
        <v>0.23680649526387007</v>
      </c>
    </row>
    <row r="130" spans="1:35">
      <c r="A130" s="171">
        <f>IF('09월 조업일지'!A127="","",'09월 조업일지'!A127)</f>
        <v>46270</v>
      </c>
      <c r="B130" s="172" t="str">
        <f>'09월 조업일지'!E127</f>
        <v>B</v>
      </c>
      <c r="C130" s="172" t="str">
        <f>'09월 조업일지'!F127</f>
        <v>B</v>
      </c>
      <c r="D130" s="172">
        <f>'09월 화학성분'!C127</f>
        <v>85329</v>
      </c>
      <c r="E130" s="205" t="str">
        <f t="shared" si="33"/>
        <v>SS400-01</v>
      </c>
      <c r="F130" s="121">
        <v>22</v>
      </c>
      <c r="G130" s="122">
        <v>23500</v>
      </c>
      <c r="H130" s="123">
        <v>17</v>
      </c>
      <c r="I130" s="122">
        <v>20500</v>
      </c>
      <c r="J130" s="123">
        <v>9</v>
      </c>
      <c r="K130" s="122">
        <v>10900</v>
      </c>
      <c r="L130" s="124">
        <f t="shared" si="34"/>
        <v>48</v>
      </c>
      <c r="M130" s="125">
        <f t="shared" si="34"/>
        <v>54900</v>
      </c>
      <c r="N130" s="126">
        <f t="shared" si="21"/>
        <v>158.89114266396214</v>
      </c>
      <c r="O130" s="127">
        <f t="shared" si="22"/>
        <v>138.60716700473293</v>
      </c>
      <c r="P130" s="127">
        <f t="shared" si="23"/>
        <v>73.698444895199458</v>
      </c>
      <c r="Q130" s="128">
        <f t="shared" si="24"/>
        <v>371.1967545638945</v>
      </c>
      <c r="R130" s="129">
        <v>147.9</v>
      </c>
      <c r="S130" s="130">
        <v>0</v>
      </c>
      <c r="T130" s="131">
        <v>196</v>
      </c>
      <c r="U130" s="131">
        <v>143</v>
      </c>
      <c r="V130" s="132">
        <f t="shared" si="25"/>
        <v>339</v>
      </c>
      <c r="W130" s="133">
        <f t="shared" si="26"/>
        <v>2.2920892494929004</v>
      </c>
      <c r="X130" s="130">
        <v>1994</v>
      </c>
      <c r="Y130" s="131">
        <v>1597</v>
      </c>
      <c r="Z130" s="131">
        <v>833</v>
      </c>
      <c r="AA130" s="132">
        <f t="shared" si="27"/>
        <v>4424</v>
      </c>
      <c r="AB130" s="133">
        <f t="shared" si="28"/>
        <v>29.912102772143339</v>
      </c>
      <c r="AC130" s="134">
        <f t="shared" si="29"/>
        <v>4763</v>
      </c>
      <c r="AD130" s="135">
        <f t="shared" si="30"/>
        <v>32.204192021636239</v>
      </c>
      <c r="AE130" s="136">
        <v>23</v>
      </c>
      <c r="AF130" s="137">
        <v>30</v>
      </c>
      <c r="AG130" s="137">
        <v>0</v>
      </c>
      <c r="AH130" s="138">
        <f t="shared" si="31"/>
        <v>53</v>
      </c>
      <c r="AI130" s="133">
        <f t="shared" si="32"/>
        <v>0.35835023664638266</v>
      </c>
    </row>
    <row r="131" spans="1:35">
      <c r="A131" s="171">
        <f>IF('09월 조업일지'!A128="","",'09월 조업일지'!A128)</f>
        <v>46270</v>
      </c>
      <c r="B131" s="172" t="str">
        <f>'09월 조업일지'!E128</f>
        <v>B</v>
      </c>
      <c r="C131" s="172" t="str">
        <f>'09월 조업일지'!F128</f>
        <v>A</v>
      </c>
      <c r="D131" s="172">
        <f>'09월 화학성분'!C128</f>
        <v>85330</v>
      </c>
      <c r="E131" s="205" t="str">
        <f t="shared" si="33"/>
        <v>SS400-01</v>
      </c>
      <c r="F131" s="121">
        <v>20</v>
      </c>
      <c r="G131" s="122">
        <v>23200</v>
      </c>
      <c r="H131" s="123">
        <v>17</v>
      </c>
      <c r="I131" s="122">
        <v>20600</v>
      </c>
      <c r="J131" s="123">
        <v>7</v>
      </c>
      <c r="K131" s="122">
        <v>8700</v>
      </c>
      <c r="L131" s="124">
        <f t="shared" si="34"/>
        <v>44</v>
      </c>
      <c r="M131" s="125">
        <f t="shared" si="34"/>
        <v>52500</v>
      </c>
      <c r="N131" s="126">
        <f t="shared" si="21"/>
        <v>159.88973121984839</v>
      </c>
      <c r="O131" s="127">
        <f t="shared" si="22"/>
        <v>141.9710544452102</v>
      </c>
      <c r="P131" s="127">
        <f t="shared" si="23"/>
        <v>59.958649207443145</v>
      </c>
      <c r="Q131" s="128">
        <f t="shared" si="24"/>
        <v>361.81943487250174</v>
      </c>
      <c r="R131" s="129">
        <v>145.1</v>
      </c>
      <c r="S131" s="130">
        <v>0</v>
      </c>
      <c r="T131" s="131">
        <v>211</v>
      </c>
      <c r="U131" s="131">
        <v>120</v>
      </c>
      <c r="V131" s="132">
        <f t="shared" si="25"/>
        <v>331</v>
      </c>
      <c r="W131" s="133">
        <f t="shared" si="26"/>
        <v>2.2811853893866298</v>
      </c>
      <c r="X131" s="130">
        <v>1637</v>
      </c>
      <c r="Y131" s="131">
        <v>1548</v>
      </c>
      <c r="Z131" s="131">
        <v>792</v>
      </c>
      <c r="AA131" s="132">
        <f t="shared" si="27"/>
        <v>3977</v>
      </c>
      <c r="AB131" s="133">
        <f t="shared" si="28"/>
        <v>27.408683666436943</v>
      </c>
      <c r="AC131" s="134">
        <f t="shared" si="29"/>
        <v>4308</v>
      </c>
      <c r="AD131" s="135">
        <f t="shared" si="30"/>
        <v>29.689869055823571</v>
      </c>
      <c r="AE131" s="136">
        <v>25</v>
      </c>
      <c r="AF131" s="137">
        <v>26</v>
      </c>
      <c r="AG131" s="137">
        <v>0</v>
      </c>
      <c r="AH131" s="138">
        <f t="shared" si="31"/>
        <v>51</v>
      </c>
      <c r="AI131" s="133">
        <f t="shared" si="32"/>
        <v>0.35148173673328742</v>
      </c>
    </row>
    <row r="132" spans="1:35">
      <c r="A132" s="171">
        <f>IF('09월 조업일지'!A129="","",'09월 조업일지'!A129)</f>
        <v>46270</v>
      </c>
      <c r="B132" s="172" t="str">
        <f>'09월 조업일지'!E129</f>
        <v>B</v>
      </c>
      <c r="C132" s="172" t="str">
        <f>'09월 조업일지'!F129</f>
        <v>B</v>
      </c>
      <c r="D132" s="172">
        <f>'09월 화학성분'!C129</f>
        <v>85331</v>
      </c>
      <c r="E132" s="205" t="str">
        <f t="shared" si="33"/>
        <v>SS400-01</v>
      </c>
      <c r="F132" s="121">
        <v>21</v>
      </c>
      <c r="G132" s="122">
        <v>23400</v>
      </c>
      <c r="H132" s="123">
        <v>17</v>
      </c>
      <c r="I132" s="122">
        <v>20600</v>
      </c>
      <c r="J132" s="123">
        <v>6</v>
      </c>
      <c r="K132" s="122">
        <v>9000</v>
      </c>
      <c r="L132" s="124">
        <f t="shared" si="34"/>
        <v>44</v>
      </c>
      <c r="M132" s="125">
        <f t="shared" si="34"/>
        <v>53000</v>
      </c>
      <c r="N132" s="126">
        <f t="shared" si="21"/>
        <v>158.00135043889264</v>
      </c>
      <c r="O132" s="127">
        <f t="shared" si="22"/>
        <v>139.09520594193114</v>
      </c>
      <c r="P132" s="127">
        <f t="shared" si="23"/>
        <v>60.769750168804862</v>
      </c>
      <c r="Q132" s="128">
        <f t="shared" si="24"/>
        <v>357.86630654962869</v>
      </c>
      <c r="R132" s="129">
        <v>148.1</v>
      </c>
      <c r="S132" s="130">
        <v>0</v>
      </c>
      <c r="T132" s="131">
        <v>193</v>
      </c>
      <c r="U132" s="131">
        <v>144</v>
      </c>
      <c r="V132" s="132">
        <f t="shared" si="25"/>
        <v>337</v>
      </c>
      <c r="W132" s="133">
        <f t="shared" si="26"/>
        <v>2.2754895340985821</v>
      </c>
      <c r="X132" s="130">
        <v>1736</v>
      </c>
      <c r="Y132" s="131">
        <v>1611</v>
      </c>
      <c r="Z132" s="131">
        <v>786</v>
      </c>
      <c r="AA132" s="132">
        <f t="shared" si="27"/>
        <v>4133</v>
      </c>
      <c r="AB132" s="133">
        <f t="shared" si="28"/>
        <v>27.906819716407835</v>
      </c>
      <c r="AC132" s="134">
        <f t="shared" si="29"/>
        <v>4470</v>
      </c>
      <c r="AD132" s="135">
        <f t="shared" si="30"/>
        <v>30.182309250506417</v>
      </c>
      <c r="AE132" s="136">
        <v>25</v>
      </c>
      <c r="AF132" s="137">
        <v>22</v>
      </c>
      <c r="AG132" s="137">
        <v>0</v>
      </c>
      <c r="AH132" s="138">
        <f t="shared" si="31"/>
        <v>47</v>
      </c>
      <c r="AI132" s="133">
        <f t="shared" si="32"/>
        <v>0.3173531397704254</v>
      </c>
    </row>
    <row r="133" spans="1:35">
      <c r="A133" s="171">
        <f>IF('09월 조업일지'!A130="","",'09월 조업일지'!A130)</f>
        <v>46270</v>
      </c>
      <c r="B133" s="172" t="str">
        <f>'09월 조업일지'!E130</f>
        <v>B</v>
      </c>
      <c r="C133" s="172" t="str">
        <f>'09월 조업일지'!F130</f>
        <v>A</v>
      </c>
      <c r="D133" s="172">
        <f>'09월 화학성분'!C130</f>
        <v>85332</v>
      </c>
      <c r="E133" s="205" t="str">
        <f t="shared" si="33"/>
        <v>SS400-01</v>
      </c>
      <c r="F133" s="121">
        <v>20</v>
      </c>
      <c r="G133" s="122">
        <v>23300</v>
      </c>
      <c r="H133" s="123">
        <v>17</v>
      </c>
      <c r="I133" s="122">
        <v>20500</v>
      </c>
      <c r="J133" s="123">
        <v>10</v>
      </c>
      <c r="K133" s="122">
        <v>12800</v>
      </c>
      <c r="L133" s="124">
        <f t="shared" si="34"/>
        <v>47</v>
      </c>
      <c r="M133" s="125">
        <f t="shared" si="34"/>
        <v>56600</v>
      </c>
      <c r="N133" s="126">
        <f t="shared" si="21"/>
        <v>155.02328675981369</v>
      </c>
      <c r="O133" s="127">
        <f t="shared" si="22"/>
        <v>136.39387890884896</v>
      </c>
      <c r="P133" s="127">
        <f t="shared" si="23"/>
        <v>85.163007318695932</v>
      </c>
      <c r="Q133" s="128">
        <f t="shared" si="24"/>
        <v>376.58017298735854</v>
      </c>
      <c r="R133" s="129">
        <v>150.30000000000001</v>
      </c>
      <c r="S133" s="130">
        <v>0</v>
      </c>
      <c r="T133" s="131">
        <v>194</v>
      </c>
      <c r="U133" s="131">
        <v>138</v>
      </c>
      <c r="V133" s="132">
        <f t="shared" si="25"/>
        <v>332</v>
      </c>
      <c r="W133" s="133">
        <f t="shared" si="26"/>
        <v>2.2089155023286757</v>
      </c>
      <c r="X133" s="130">
        <v>1671</v>
      </c>
      <c r="Y133" s="131">
        <v>1542</v>
      </c>
      <c r="Z133" s="131">
        <v>878</v>
      </c>
      <c r="AA133" s="132">
        <f t="shared" si="27"/>
        <v>4091</v>
      </c>
      <c r="AB133" s="133">
        <f t="shared" si="28"/>
        <v>27.218895542248834</v>
      </c>
      <c r="AC133" s="134">
        <f t="shared" si="29"/>
        <v>4423</v>
      </c>
      <c r="AD133" s="135">
        <f t="shared" si="30"/>
        <v>29.42781104457751</v>
      </c>
      <c r="AE133" s="136">
        <v>24</v>
      </c>
      <c r="AF133" s="137">
        <v>27</v>
      </c>
      <c r="AG133" s="137">
        <v>0</v>
      </c>
      <c r="AH133" s="138">
        <f t="shared" si="31"/>
        <v>51</v>
      </c>
      <c r="AI133" s="133">
        <f t="shared" si="32"/>
        <v>0.33932135728542911</v>
      </c>
    </row>
    <row r="134" spans="1:35">
      <c r="A134" s="171">
        <f>IF('09월 조업일지'!A131="","",'09월 조업일지'!A131)</f>
        <v>46270</v>
      </c>
      <c r="B134" s="172" t="str">
        <f>'09월 조업일지'!E131</f>
        <v>B</v>
      </c>
      <c r="C134" s="172" t="str">
        <f>'09월 조업일지'!F131</f>
        <v>B</v>
      </c>
      <c r="D134" s="172">
        <f>'09월 화학성분'!C131</f>
        <v>85333</v>
      </c>
      <c r="E134" s="205" t="str">
        <f t="shared" si="33"/>
        <v>SS400-01</v>
      </c>
      <c r="F134" s="121">
        <v>22</v>
      </c>
      <c r="G134" s="122">
        <v>23800</v>
      </c>
      <c r="H134" s="123">
        <v>17</v>
      </c>
      <c r="I134" s="122">
        <v>20500</v>
      </c>
      <c r="J134" s="123">
        <v>11</v>
      </c>
      <c r="K134" s="122">
        <v>13800</v>
      </c>
      <c r="L134" s="124">
        <f t="shared" si="34"/>
        <v>50</v>
      </c>
      <c r="M134" s="125">
        <f t="shared" si="34"/>
        <v>58100</v>
      </c>
      <c r="N134" s="126">
        <f t="shared" si="21"/>
        <v>158.56095936042638</v>
      </c>
      <c r="O134" s="127">
        <f t="shared" si="22"/>
        <v>136.57561625582946</v>
      </c>
      <c r="P134" s="127">
        <f t="shared" si="23"/>
        <v>91.938707528314467</v>
      </c>
      <c r="Q134" s="128">
        <f t="shared" si="24"/>
        <v>387.07528314457034</v>
      </c>
      <c r="R134" s="129">
        <v>150.1</v>
      </c>
      <c r="S134" s="130">
        <v>0</v>
      </c>
      <c r="T134" s="131">
        <v>148</v>
      </c>
      <c r="U134" s="131">
        <v>254</v>
      </c>
      <c r="V134" s="132">
        <f t="shared" si="25"/>
        <v>402</v>
      </c>
      <c r="W134" s="133">
        <f t="shared" si="26"/>
        <v>2.6782145236508996</v>
      </c>
      <c r="X134" s="130">
        <v>1884</v>
      </c>
      <c r="Y134" s="131">
        <v>1547</v>
      </c>
      <c r="Z134" s="131">
        <v>658</v>
      </c>
      <c r="AA134" s="132">
        <f t="shared" si="27"/>
        <v>4089</v>
      </c>
      <c r="AB134" s="133">
        <f t="shared" si="28"/>
        <v>27.241838774150569</v>
      </c>
      <c r="AC134" s="134">
        <f t="shared" si="29"/>
        <v>4491</v>
      </c>
      <c r="AD134" s="135">
        <f t="shared" si="30"/>
        <v>29.920053297801466</v>
      </c>
      <c r="AE134" s="136">
        <v>26</v>
      </c>
      <c r="AF134" s="137">
        <v>22</v>
      </c>
      <c r="AG134" s="137">
        <v>0</v>
      </c>
      <c r="AH134" s="138">
        <f t="shared" si="31"/>
        <v>48</v>
      </c>
      <c r="AI134" s="133">
        <f t="shared" si="32"/>
        <v>0.31978680879413723</v>
      </c>
    </row>
    <row r="135" spans="1:35">
      <c r="A135" s="171">
        <f>IF('09월 조업일지'!A132="","",'09월 조업일지'!A132)</f>
        <v>46270</v>
      </c>
      <c r="B135" s="172" t="str">
        <f>'09월 조업일지'!E132</f>
        <v>B</v>
      </c>
      <c r="C135" s="172" t="str">
        <f>'09월 조업일지'!F132</f>
        <v>A</v>
      </c>
      <c r="D135" s="172">
        <f>'09월 화학성분'!C132</f>
        <v>85334</v>
      </c>
      <c r="E135" s="205" t="str">
        <f t="shared" si="33"/>
        <v>SS400-01</v>
      </c>
      <c r="F135" s="121">
        <v>22</v>
      </c>
      <c r="G135" s="122">
        <v>23600</v>
      </c>
      <c r="H135" s="123">
        <v>17</v>
      </c>
      <c r="I135" s="122">
        <v>20600</v>
      </c>
      <c r="J135" s="123">
        <v>11</v>
      </c>
      <c r="K135" s="122">
        <v>13900</v>
      </c>
      <c r="L135" s="124">
        <f t="shared" si="34"/>
        <v>50</v>
      </c>
      <c r="M135" s="125">
        <f t="shared" si="34"/>
        <v>58100</v>
      </c>
      <c r="N135" s="126">
        <f t="shared" si="21"/>
        <v>157.33333333333334</v>
      </c>
      <c r="O135" s="127">
        <f t="shared" si="22"/>
        <v>137.33333333333334</v>
      </c>
      <c r="P135" s="127">
        <f t="shared" si="23"/>
        <v>92.666666666666671</v>
      </c>
      <c r="Q135" s="128">
        <f t="shared" si="24"/>
        <v>387.33333333333337</v>
      </c>
      <c r="R135" s="129">
        <v>150</v>
      </c>
      <c r="S135" s="130">
        <v>0</v>
      </c>
      <c r="T135" s="131">
        <v>158</v>
      </c>
      <c r="U135" s="131">
        <v>194</v>
      </c>
      <c r="V135" s="132">
        <f t="shared" si="25"/>
        <v>352</v>
      </c>
      <c r="W135" s="133">
        <f t="shared" si="26"/>
        <v>2.3466666666666667</v>
      </c>
      <c r="X135" s="130">
        <v>1929</v>
      </c>
      <c r="Y135" s="131">
        <v>1582</v>
      </c>
      <c r="Z135" s="131">
        <v>838</v>
      </c>
      <c r="AA135" s="132">
        <f t="shared" si="27"/>
        <v>4349</v>
      </c>
      <c r="AB135" s="133">
        <f t="shared" si="28"/>
        <v>28.993333333333332</v>
      </c>
      <c r="AC135" s="134">
        <f t="shared" si="29"/>
        <v>4701</v>
      </c>
      <c r="AD135" s="135">
        <f t="shared" si="30"/>
        <v>31.34</v>
      </c>
      <c r="AE135" s="136">
        <v>31</v>
      </c>
      <c r="AF135" s="137">
        <v>29</v>
      </c>
      <c r="AG135" s="137">
        <v>0</v>
      </c>
      <c r="AH135" s="138">
        <f t="shared" si="31"/>
        <v>60</v>
      </c>
      <c r="AI135" s="133">
        <f t="shared" si="32"/>
        <v>0.4</v>
      </c>
    </row>
    <row r="136" spans="1:35">
      <c r="A136" s="171">
        <f>IF('09월 조업일지'!A133="","",'09월 조업일지'!A133)</f>
        <v>46270</v>
      </c>
      <c r="B136" s="172" t="str">
        <f>'09월 조업일지'!E133</f>
        <v>B</v>
      </c>
      <c r="C136" s="172" t="str">
        <f>'09월 조업일지'!F133</f>
        <v>B</v>
      </c>
      <c r="D136" s="172">
        <f>'09월 화학성분'!C133</f>
        <v>85335</v>
      </c>
      <c r="E136" s="205" t="str">
        <f t="shared" si="33"/>
        <v>SS400-01</v>
      </c>
      <c r="F136" s="121">
        <v>22</v>
      </c>
      <c r="G136" s="122">
        <v>23400</v>
      </c>
      <c r="H136" s="123">
        <v>18</v>
      </c>
      <c r="I136" s="122">
        <v>20400</v>
      </c>
      <c r="J136" s="123">
        <v>10</v>
      </c>
      <c r="K136" s="122">
        <v>12800</v>
      </c>
      <c r="L136" s="124">
        <f t="shared" si="34"/>
        <v>50</v>
      </c>
      <c r="M136" s="125">
        <f t="shared" si="34"/>
        <v>56600</v>
      </c>
      <c r="N136" s="126">
        <f t="shared" si="21"/>
        <v>152.34375</v>
      </c>
      <c r="O136" s="127">
        <f t="shared" si="22"/>
        <v>132.8125</v>
      </c>
      <c r="P136" s="127">
        <f t="shared" si="23"/>
        <v>83.333333333333343</v>
      </c>
      <c r="Q136" s="128">
        <f t="shared" si="24"/>
        <v>368.48958333333337</v>
      </c>
      <c r="R136" s="129">
        <v>153.6</v>
      </c>
      <c r="S136" s="130">
        <v>0</v>
      </c>
      <c r="T136" s="131">
        <v>58</v>
      </c>
      <c r="U136" s="131">
        <v>283</v>
      </c>
      <c r="V136" s="132">
        <f t="shared" si="25"/>
        <v>341</v>
      </c>
      <c r="W136" s="133">
        <f t="shared" si="26"/>
        <v>2.2200520833333335</v>
      </c>
      <c r="X136" s="130">
        <v>1764</v>
      </c>
      <c r="Y136" s="131">
        <v>1576</v>
      </c>
      <c r="Z136" s="131">
        <v>797</v>
      </c>
      <c r="AA136" s="132">
        <f t="shared" si="27"/>
        <v>4137</v>
      </c>
      <c r="AB136" s="133">
        <f t="shared" si="28"/>
        <v>26.93359375</v>
      </c>
      <c r="AC136" s="134">
        <f t="shared" si="29"/>
        <v>4478</v>
      </c>
      <c r="AD136" s="135">
        <f t="shared" si="30"/>
        <v>29.153645833333336</v>
      </c>
      <c r="AE136" s="136">
        <v>28</v>
      </c>
      <c r="AF136" s="137">
        <v>25</v>
      </c>
      <c r="AG136" s="137">
        <v>0</v>
      </c>
      <c r="AH136" s="138">
        <f t="shared" si="31"/>
        <v>53</v>
      </c>
      <c r="AI136" s="133">
        <f t="shared" si="32"/>
        <v>0.34505208333333337</v>
      </c>
    </row>
    <row r="137" spans="1:35">
      <c r="A137" s="171">
        <f>IF('09월 조업일지'!A134="","",'09월 조업일지'!A134)</f>
        <v>46270</v>
      </c>
      <c r="B137" s="172" t="str">
        <f>'09월 조업일지'!E134</f>
        <v>B</v>
      </c>
      <c r="C137" s="172" t="str">
        <f>'09월 조업일지'!F134</f>
        <v>A</v>
      </c>
      <c r="D137" s="172">
        <f>'09월 화학성분'!C134</f>
        <v>85336</v>
      </c>
      <c r="E137" s="205" t="str">
        <f t="shared" si="33"/>
        <v>SS400-01</v>
      </c>
      <c r="F137" s="121">
        <v>20</v>
      </c>
      <c r="G137" s="122">
        <v>23500</v>
      </c>
      <c r="H137" s="123">
        <v>17</v>
      </c>
      <c r="I137" s="122">
        <v>20400</v>
      </c>
      <c r="J137" s="123">
        <v>8</v>
      </c>
      <c r="K137" s="122">
        <v>10500</v>
      </c>
      <c r="L137" s="124">
        <f t="shared" si="34"/>
        <v>45</v>
      </c>
      <c r="M137" s="125">
        <f t="shared" si="34"/>
        <v>54400</v>
      </c>
      <c r="N137" s="126">
        <f t="shared" si="21"/>
        <v>159.21409214092142</v>
      </c>
      <c r="O137" s="127">
        <f t="shared" si="22"/>
        <v>138.21138211382114</v>
      </c>
      <c r="P137" s="127">
        <f t="shared" si="23"/>
        <v>71.138211382113823</v>
      </c>
      <c r="Q137" s="128">
        <f t="shared" si="24"/>
        <v>368.56368563685635</v>
      </c>
      <c r="R137" s="129">
        <v>147.6</v>
      </c>
      <c r="S137" s="130">
        <v>0</v>
      </c>
      <c r="T137" s="131">
        <v>150</v>
      </c>
      <c r="U137" s="131">
        <v>200</v>
      </c>
      <c r="V137" s="132">
        <f t="shared" si="25"/>
        <v>350</v>
      </c>
      <c r="W137" s="133">
        <f t="shared" si="26"/>
        <v>2.3712737127371275</v>
      </c>
      <c r="X137" s="130">
        <v>1680</v>
      </c>
      <c r="Y137" s="131">
        <v>1602</v>
      </c>
      <c r="Z137" s="131">
        <v>753</v>
      </c>
      <c r="AA137" s="132">
        <f t="shared" si="27"/>
        <v>4035</v>
      </c>
      <c r="AB137" s="133">
        <f t="shared" si="28"/>
        <v>27.337398373983742</v>
      </c>
      <c r="AC137" s="134">
        <f t="shared" si="29"/>
        <v>4385</v>
      </c>
      <c r="AD137" s="135">
        <f t="shared" si="30"/>
        <v>29.708672086720867</v>
      </c>
      <c r="AE137" s="136">
        <v>24</v>
      </c>
      <c r="AF137" s="137">
        <v>32</v>
      </c>
      <c r="AG137" s="137">
        <v>0</v>
      </c>
      <c r="AH137" s="138">
        <f t="shared" si="31"/>
        <v>56</v>
      </c>
      <c r="AI137" s="133">
        <f t="shared" si="32"/>
        <v>0.37940379403794039</v>
      </c>
    </row>
    <row r="138" spans="1:35">
      <c r="A138" s="171">
        <f>IF('09월 조업일지'!A135="","",'09월 조업일지'!A135)</f>
        <v>46270</v>
      </c>
      <c r="B138" s="172" t="str">
        <f>'09월 조업일지'!E135</f>
        <v>B</v>
      </c>
      <c r="C138" s="172" t="str">
        <f>'09월 조업일지'!F135</f>
        <v>B</v>
      </c>
      <c r="D138" s="172">
        <f>'09월 화학성분'!C135</f>
        <v>85337</v>
      </c>
      <c r="E138" s="205" t="str">
        <f t="shared" si="33"/>
        <v>SS400-01</v>
      </c>
      <c r="F138" s="121">
        <v>21</v>
      </c>
      <c r="G138" s="122">
        <v>24900</v>
      </c>
      <c r="H138" s="123">
        <v>17</v>
      </c>
      <c r="I138" s="122">
        <v>20700</v>
      </c>
      <c r="J138" s="123">
        <v>7</v>
      </c>
      <c r="K138" s="122">
        <v>9200</v>
      </c>
      <c r="L138" s="124">
        <f t="shared" si="34"/>
        <v>45</v>
      </c>
      <c r="M138" s="125">
        <f t="shared" si="34"/>
        <v>54800</v>
      </c>
      <c r="N138" s="126">
        <f t="shared" si="21"/>
        <v>164.6825396825397</v>
      </c>
      <c r="O138" s="127">
        <f t="shared" si="22"/>
        <v>136.90476190476193</v>
      </c>
      <c r="P138" s="127">
        <f t="shared" si="23"/>
        <v>60.846560846560848</v>
      </c>
      <c r="Q138" s="128">
        <f t="shared" si="24"/>
        <v>362.43386243386249</v>
      </c>
      <c r="R138" s="129">
        <v>151.19999999999999</v>
      </c>
      <c r="S138" s="130">
        <v>0</v>
      </c>
      <c r="T138" s="131">
        <v>107</v>
      </c>
      <c r="U138" s="131">
        <v>297</v>
      </c>
      <c r="V138" s="132">
        <f t="shared" si="25"/>
        <v>404</v>
      </c>
      <c r="W138" s="133">
        <f t="shared" si="26"/>
        <v>2.6719576719576721</v>
      </c>
      <c r="X138" s="130">
        <v>1843</v>
      </c>
      <c r="Y138" s="131">
        <v>1589</v>
      </c>
      <c r="Z138" s="131">
        <v>884</v>
      </c>
      <c r="AA138" s="132">
        <f t="shared" si="27"/>
        <v>4316</v>
      </c>
      <c r="AB138" s="133">
        <f t="shared" si="28"/>
        <v>28.544973544973548</v>
      </c>
      <c r="AC138" s="134">
        <f t="shared" si="29"/>
        <v>4720</v>
      </c>
      <c r="AD138" s="135">
        <f t="shared" si="30"/>
        <v>31.216931216931219</v>
      </c>
      <c r="AE138" s="136">
        <v>25</v>
      </c>
      <c r="AF138" s="137">
        <v>22</v>
      </c>
      <c r="AG138" s="137">
        <v>0</v>
      </c>
      <c r="AH138" s="138">
        <f t="shared" si="31"/>
        <v>47</v>
      </c>
      <c r="AI138" s="133">
        <f t="shared" si="32"/>
        <v>0.31084656084656087</v>
      </c>
    </row>
    <row r="139" spans="1:35">
      <c r="A139" s="171">
        <f>IF('09월 조업일지'!A136="","",'09월 조업일지'!A136)</f>
        <v>46270</v>
      </c>
      <c r="B139" s="172" t="str">
        <f>'09월 조업일지'!E136</f>
        <v>C</v>
      </c>
      <c r="C139" s="172" t="str">
        <f>'09월 조업일지'!F136</f>
        <v>A</v>
      </c>
      <c r="D139" s="172">
        <f>'09월 화학성분'!C136</f>
        <v>85338</v>
      </c>
      <c r="E139" s="205" t="str">
        <f t="shared" si="33"/>
        <v>SS400-01</v>
      </c>
      <c r="F139" s="121">
        <v>21</v>
      </c>
      <c r="G139" s="122">
        <v>23700</v>
      </c>
      <c r="H139" s="123">
        <v>18</v>
      </c>
      <c r="I139" s="122">
        <v>20500</v>
      </c>
      <c r="J139" s="123">
        <v>9</v>
      </c>
      <c r="K139" s="122">
        <v>11500</v>
      </c>
      <c r="L139" s="124">
        <f t="shared" si="34"/>
        <v>48</v>
      </c>
      <c r="M139" s="125">
        <f t="shared" si="34"/>
        <v>55700</v>
      </c>
      <c r="N139" s="126">
        <f t="shared" si="21"/>
        <v>160.13513513513513</v>
      </c>
      <c r="O139" s="127">
        <f t="shared" si="22"/>
        <v>138.51351351351352</v>
      </c>
      <c r="P139" s="127">
        <f t="shared" si="23"/>
        <v>77.702702702702709</v>
      </c>
      <c r="Q139" s="128">
        <f t="shared" si="24"/>
        <v>376.35135135135135</v>
      </c>
      <c r="R139" s="129">
        <v>148</v>
      </c>
      <c r="S139" s="130">
        <v>0</v>
      </c>
      <c r="T139" s="131">
        <v>152</v>
      </c>
      <c r="U139" s="131">
        <v>409</v>
      </c>
      <c r="V139" s="132">
        <f t="shared" si="25"/>
        <v>561</v>
      </c>
      <c r="W139" s="133">
        <f t="shared" si="26"/>
        <v>3.7905405405405403</v>
      </c>
      <c r="X139" s="130">
        <v>1715</v>
      </c>
      <c r="Y139" s="131">
        <v>1563</v>
      </c>
      <c r="Z139" s="131">
        <v>802</v>
      </c>
      <c r="AA139" s="132">
        <f t="shared" si="27"/>
        <v>4080</v>
      </c>
      <c r="AB139" s="133">
        <f t="shared" si="28"/>
        <v>27.567567567567568</v>
      </c>
      <c r="AC139" s="134">
        <f t="shared" si="29"/>
        <v>4641</v>
      </c>
      <c r="AD139" s="135">
        <f t="shared" si="30"/>
        <v>31.358108108108109</v>
      </c>
      <c r="AE139" s="136">
        <v>17</v>
      </c>
      <c r="AF139" s="137">
        <v>29</v>
      </c>
      <c r="AG139" s="137">
        <v>0</v>
      </c>
      <c r="AH139" s="138">
        <f t="shared" si="31"/>
        <v>46</v>
      </c>
      <c r="AI139" s="133">
        <f t="shared" si="32"/>
        <v>0.3108108108108108</v>
      </c>
    </row>
    <row r="140" spans="1:35">
      <c r="A140" s="171">
        <f>IF('09월 조업일지'!A137="","",'09월 조업일지'!A137)</f>
        <v>46270</v>
      </c>
      <c r="B140" s="172" t="str">
        <f>'09월 조업일지'!E137</f>
        <v>C</v>
      </c>
      <c r="C140" s="172" t="str">
        <f>'09월 조업일지'!F137</f>
        <v>B</v>
      </c>
      <c r="D140" s="172">
        <f>'09월 화학성분'!C137</f>
        <v>85339</v>
      </c>
      <c r="E140" s="205" t="str">
        <f t="shared" si="33"/>
        <v>SS400-01</v>
      </c>
      <c r="F140" s="121">
        <v>19</v>
      </c>
      <c r="G140" s="122">
        <v>23400</v>
      </c>
      <c r="H140" s="123">
        <v>17</v>
      </c>
      <c r="I140" s="122">
        <v>20600</v>
      </c>
      <c r="J140" s="123">
        <v>8</v>
      </c>
      <c r="K140" s="122">
        <v>10800</v>
      </c>
      <c r="L140" s="124">
        <f t="shared" si="34"/>
        <v>44</v>
      </c>
      <c r="M140" s="125">
        <f t="shared" si="34"/>
        <v>54800</v>
      </c>
      <c r="N140" s="126">
        <f t="shared" si="21"/>
        <v>154.96688741721854</v>
      </c>
      <c r="O140" s="127">
        <f t="shared" si="22"/>
        <v>136.42384105960264</v>
      </c>
      <c r="P140" s="127">
        <f t="shared" si="23"/>
        <v>71.523178807947019</v>
      </c>
      <c r="Q140" s="128">
        <f t="shared" si="24"/>
        <v>362.91390728476824</v>
      </c>
      <c r="R140" s="129">
        <v>151</v>
      </c>
      <c r="S140" s="130">
        <v>0</v>
      </c>
      <c r="T140" s="131">
        <v>195</v>
      </c>
      <c r="U140" s="131">
        <v>238</v>
      </c>
      <c r="V140" s="132">
        <f t="shared" si="25"/>
        <v>433</v>
      </c>
      <c r="W140" s="133">
        <f t="shared" si="26"/>
        <v>2.8675496688741724</v>
      </c>
      <c r="X140" s="130">
        <v>1676</v>
      </c>
      <c r="Y140" s="131">
        <v>1571</v>
      </c>
      <c r="Z140" s="131">
        <v>768</v>
      </c>
      <c r="AA140" s="132">
        <f t="shared" si="27"/>
        <v>4015</v>
      </c>
      <c r="AB140" s="133">
        <f t="shared" si="28"/>
        <v>26.589403973509935</v>
      </c>
      <c r="AC140" s="134">
        <f t="shared" si="29"/>
        <v>4448</v>
      </c>
      <c r="AD140" s="135">
        <f t="shared" si="30"/>
        <v>29.456953642384107</v>
      </c>
      <c r="AE140" s="136">
        <v>25</v>
      </c>
      <c r="AF140" s="137">
        <v>21</v>
      </c>
      <c r="AG140" s="137">
        <v>0</v>
      </c>
      <c r="AH140" s="138">
        <f t="shared" si="31"/>
        <v>46</v>
      </c>
      <c r="AI140" s="133">
        <f t="shared" si="32"/>
        <v>0.30463576158940397</v>
      </c>
    </row>
    <row r="141" spans="1:35">
      <c r="A141" s="171">
        <f>IF('09월 조업일지'!A138="","",'09월 조업일지'!A138)</f>
        <v>46270</v>
      </c>
      <c r="B141" s="172" t="str">
        <f>'09월 조업일지'!E138</f>
        <v>C</v>
      </c>
      <c r="C141" s="172" t="str">
        <f>'09월 조업일지'!F138</f>
        <v>A</v>
      </c>
      <c r="D141" s="172">
        <f>'09월 화학성분'!C138</f>
        <v>85340</v>
      </c>
      <c r="E141" s="205" t="str">
        <f t="shared" si="33"/>
        <v>SS400-01</v>
      </c>
      <c r="F141" s="121">
        <v>21</v>
      </c>
      <c r="G141" s="122">
        <v>23200</v>
      </c>
      <c r="H141" s="123">
        <v>18</v>
      </c>
      <c r="I141" s="122">
        <v>20700</v>
      </c>
      <c r="J141" s="123">
        <v>11</v>
      </c>
      <c r="K141" s="122">
        <v>12300</v>
      </c>
      <c r="L141" s="124">
        <f t="shared" si="34"/>
        <v>50</v>
      </c>
      <c r="M141" s="125">
        <f t="shared" si="34"/>
        <v>56200</v>
      </c>
      <c r="N141" s="126">
        <f t="shared" si="21"/>
        <v>154.66666666666666</v>
      </c>
      <c r="O141" s="127">
        <f t="shared" si="22"/>
        <v>138</v>
      </c>
      <c r="P141" s="127">
        <f t="shared" si="23"/>
        <v>82</v>
      </c>
      <c r="Q141" s="128">
        <f t="shared" si="24"/>
        <v>374.66666666666663</v>
      </c>
      <c r="R141" s="129">
        <v>150</v>
      </c>
      <c r="S141" s="130">
        <v>0</v>
      </c>
      <c r="T141" s="131">
        <v>191</v>
      </c>
      <c r="U141" s="131">
        <v>167</v>
      </c>
      <c r="V141" s="132">
        <f t="shared" si="25"/>
        <v>358</v>
      </c>
      <c r="W141" s="133">
        <f t="shared" si="26"/>
        <v>2.3866666666666667</v>
      </c>
      <c r="X141" s="130">
        <v>1694</v>
      </c>
      <c r="Y141" s="131">
        <v>1784</v>
      </c>
      <c r="Z141" s="131">
        <v>752</v>
      </c>
      <c r="AA141" s="132">
        <f t="shared" si="27"/>
        <v>4230</v>
      </c>
      <c r="AB141" s="133">
        <f t="shared" si="28"/>
        <v>28.2</v>
      </c>
      <c r="AC141" s="134">
        <f t="shared" si="29"/>
        <v>4588</v>
      </c>
      <c r="AD141" s="135">
        <f t="shared" si="30"/>
        <v>30.586666666666666</v>
      </c>
      <c r="AE141" s="136">
        <v>24</v>
      </c>
      <c r="AF141" s="137">
        <v>30</v>
      </c>
      <c r="AG141" s="137">
        <v>0</v>
      </c>
      <c r="AH141" s="138">
        <f t="shared" si="31"/>
        <v>54</v>
      </c>
      <c r="AI141" s="133">
        <f t="shared" si="32"/>
        <v>0.36</v>
      </c>
    </row>
    <row r="142" spans="1:35">
      <c r="A142" s="171">
        <f>IF('09월 조업일지'!A139="","",'09월 조업일지'!A139)</f>
        <v>46270</v>
      </c>
      <c r="B142" s="172" t="str">
        <f>'09월 조업일지'!E139</f>
        <v>C</v>
      </c>
      <c r="C142" s="172" t="str">
        <f>'09월 조업일지'!F139</f>
        <v>B</v>
      </c>
      <c r="D142" s="172">
        <f>'09월 화학성분'!C139</f>
        <v>85341</v>
      </c>
      <c r="E142" s="205" t="str">
        <f t="shared" si="33"/>
        <v>SS400-01</v>
      </c>
      <c r="F142" s="121">
        <v>20</v>
      </c>
      <c r="G142" s="122">
        <v>23300</v>
      </c>
      <c r="H142" s="123">
        <v>17</v>
      </c>
      <c r="I142" s="122">
        <v>20500</v>
      </c>
      <c r="J142" s="123">
        <v>8</v>
      </c>
      <c r="K142" s="122">
        <v>9300</v>
      </c>
      <c r="L142" s="124">
        <f t="shared" si="34"/>
        <v>45</v>
      </c>
      <c r="M142" s="125">
        <f t="shared" si="34"/>
        <v>53100</v>
      </c>
      <c r="N142" s="126">
        <f t="shared" ref="N142:N205" si="35">IF(ISBLANK(G142),"",G142/R142)</f>
        <v>158.50340136054422</v>
      </c>
      <c r="O142" s="127">
        <f t="shared" ref="O142:O205" si="36">IF(ISBLANK(I142),"",+I142/R142)</f>
        <v>139.45578231292518</v>
      </c>
      <c r="P142" s="127">
        <f t="shared" ref="P142:P205" si="37">IF(ISBLANK(K142),"",K142/R142)</f>
        <v>63.265306122448976</v>
      </c>
      <c r="Q142" s="128">
        <f t="shared" ref="Q142:Q205" si="38">IF(ISBLANK(K142),"",SUM(N142:P142))</f>
        <v>361.22448979591837</v>
      </c>
      <c r="R142" s="129">
        <v>147</v>
      </c>
      <c r="S142" s="130">
        <v>0</v>
      </c>
      <c r="T142" s="131">
        <v>119</v>
      </c>
      <c r="U142" s="131">
        <v>344</v>
      </c>
      <c r="V142" s="132">
        <f t="shared" ref="V142:V205" si="39">IF(SUM(S142:U142)=0,"",SUM(S142:U142))</f>
        <v>463</v>
      </c>
      <c r="W142" s="133">
        <f t="shared" ref="W142:W205" si="40">IF(V142="","",V142/R142)</f>
        <v>3.1496598639455784</v>
      </c>
      <c r="X142" s="130">
        <v>1644</v>
      </c>
      <c r="Y142" s="131">
        <v>1601</v>
      </c>
      <c r="Z142" s="131">
        <v>909</v>
      </c>
      <c r="AA142" s="132">
        <f t="shared" ref="AA142:AA205" si="41">IF(SUM(X142:Z142)=0,"",SUM(X142:Z142))</f>
        <v>4154</v>
      </c>
      <c r="AB142" s="133">
        <f t="shared" ref="AB142:AB205" si="42">IF(AA142="","",AA142/R142)</f>
        <v>28.258503401360546</v>
      </c>
      <c r="AC142" s="134">
        <f t="shared" ref="AC142:AC205" si="43">IF(SUM(V142,AA142)=0,"",SUM(V142,AA142))</f>
        <v>4617</v>
      </c>
      <c r="AD142" s="135">
        <f t="shared" ref="AD142:AD205" si="44">IF(AC142="","",AC142/R142)</f>
        <v>31.408163265306122</v>
      </c>
      <c r="AE142" s="136">
        <v>26</v>
      </c>
      <c r="AF142" s="137">
        <v>20</v>
      </c>
      <c r="AG142" s="137">
        <v>0</v>
      </c>
      <c r="AH142" s="138">
        <f t="shared" ref="AH142:AH205" si="45">IF(SUM(AE142:AG142)=0,"",SUM(AE142:AG142))</f>
        <v>46</v>
      </c>
      <c r="AI142" s="133">
        <f t="shared" ref="AI142:AI205" si="46">IF(AH142="","",AH142/R142)</f>
        <v>0.31292517006802723</v>
      </c>
    </row>
    <row r="143" spans="1:35">
      <c r="A143" s="171">
        <f>IF('09월 조업일지'!A140="","",'09월 조업일지'!A140)</f>
        <v>46270</v>
      </c>
      <c r="B143" s="172" t="str">
        <f>'09월 조업일지'!E140</f>
        <v>C</v>
      </c>
      <c r="C143" s="172" t="str">
        <f>'09월 조업일지'!F140</f>
        <v>A</v>
      </c>
      <c r="D143" s="172">
        <f>'09월 화학성분'!C140</f>
        <v>85342</v>
      </c>
      <c r="E143" s="205" t="str">
        <f t="shared" ref="E143:E206" si="47">IF(F143="","",E142)</f>
        <v>SS400-01</v>
      </c>
      <c r="F143" s="121">
        <v>22</v>
      </c>
      <c r="G143" s="122">
        <v>24600</v>
      </c>
      <c r="H143" s="123">
        <v>18</v>
      </c>
      <c r="I143" s="122">
        <v>20300</v>
      </c>
      <c r="J143" s="123">
        <v>8</v>
      </c>
      <c r="K143" s="122">
        <v>10100</v>
      </c>
      <c r="L143" s="124">
        <f t="shared" si="34"/>
        <v>48</v>
      </c>
      <c r="M143" s="125">
        <f t="shared" si="34"/>
        <v>55000</v>
      </c>
      <c r="N143" s="126">
        <f t="shared" si="35"/>
        <v>166.21621621621622</v>
      </c>
      <c r="O143" s="127">
        <f t="shared" si="36"/>
        <v>137.16216216216216</v>
      </c>
      <c r="P143" s="127">
        <f t="shared" si="37"/>
        <v>68.243243243243242</v>
      </c>
      <c r="Q143" s="128">
        <f t="shared" si="38"/>
        <v>371.62162162162161</v>
      </c>
      <c r="R143" s="129">
        <v>148</v>
      </c>
      <c r="S143" s="130">
        <v>0</v>
      </c>
      <c r="T143" s="131">
        <v>169</v>
      </c>
      <c r="U143" s="131">
        <v>280</v>
      </c>
      <c r="V143" s="132">
        <f t="shared" si="39"/>
        <v>449</v>
      </c>
      <c r="W143" s="133">
        <f t="shared" si="40"/>
        <v>3.0337837837837838</v>
      </c>
      <c r="X143" s="130">
        <v>1855</v>
      </c>
      <c r="Y143" s="131">
        <v>1625</v>
      </c>
      <c r="Z143" s="131">
        <v>1010</v>
      </c>
      <c r="AA143" s="132">
        <f t="shared" si="41"/>
        <v>4490</v>
      </c>
      <c r="AB143" s="133">
        <f t="shared" si="42"/>
        <v>30.337837837837839</v>
      </c>
      <c r="AC143" s="134">
        <f t="shared" si="43"/>
        <v>4939</v>
      </c>
      <c r="AD143" s="135">
        <f t="shared" si="44"/>
        <v>33.371621621621621</v>
      </c>
      <c r="AE143" s="136">
        <v>24</v>
      </c>
      <c r="AF143" s="137">
        <v>28</v>
      </c>
      <c r="AG143" s="137">
        <v>0</v>
      </c>
      <c r="AH143" s="138">
        <f t="shared" si="45"/>
        <v>52</v>
      </c>
      <c r="AI143" s="133">
        <f t="shared" si="46"/>
        <v>0.35135135135135137</v>
      </c>
    </row>
    <row r="144" spans="1:35">
      <c r="A144" s="171">
        <f>IF('09월 조업일지'!A141="","",'09월 조업일지'!A141)</f>
        <v>46270</v>
      </c>
      <c r="B144" s="172" t="str">
        <f>'09월 조업일지'!E141</f>
        <v>C</v>
      </c>
      <c r="C144" s="172" t="str">
        <f>'09월 조업일지'!F141</f>
        <v>B</v>
      </c>
      <c r="D144" s="172">
        <f>'09월 화학성분'!C141</f>
        <v>85343</v>
      </c>
      <c r="E144" s="205" t="str">
        <f t="shared" si="47"/>
        <v>SS400-01</v>
      </c>
      <c r="F144" s="121">
        <v>20</v>
      </c>
      <c r="G144" s="122">
        <v>23600</v>
      </c>
      <c r="H144" s="123">
        <v>18</v>
      </c>
      <c r="I144" s="122">
        <v>20800</v>
      </c>
      <c r="J144" s="123">
        <v>8</v>
      </c>
      <c r="K144" s="122">
        <v>10700</v>
      </c>
      <c r="L144" s="124">
        <f t="shared" si="34"/>
        <v>46</v>
      </c>
      <c r="M144" s="125">
        <f t="shared" si="34"/>
        <v>55100</v>
      </c>
      <c r="N144" s="126">
        <f t="shared" si="35"/>
        <v>161.42270861833106</v>
      </c>
      <c r="O144" s="127">
        <f t="shared" si="36"/>
        <v>142.27086183310536</v>
      </c>
      <c r="P144" s="127">
        <f t="shared" si="37"/>
        <v>73.187414500684</v>
      </c>
      <c r="Q144" s="128">
        <f t="shared" si="38"/>
        <v>376.8809849521204</v>
      </c>
      <c r="R144" s="129">
        <v>146.19999999999999</v>
      </c>
      <c r="S144" s="130">
        <v>0</v>
      </c>
      <c r="T144" s="131">
        <v>183</v>
      </c>
      <c r="U144" s="131">
        <v>267</v>
      </c>
      <c r="V144" s="132">
        <f t="shared" si="39"/>
        <v>450</v>
      </c>
      <c r="W144" s="133">
        <f t="shared" si="40"/>
        <v>3.0779753761969908</v>
      </c>
      <c r="X144" s="130">
        <v>1696</v>
      </c>
      <c r="Y144" s="131">
        <v>1775</v>
      </c>
      <c r="Z144" s="131">
        <v>739</v>
      </c>
      <c r="AA144" s="132">
        <f t="shared" si="41"/>
        <v>4210</v>
      </c>
      <c r="AB144" s="133">
        <f t="shared" si="42"/>
        <v>28.796169630642957</v>
      </c>
      <c r="AC144" s="134">
        <f t="shared" si="43"/>
        <v>4660</v>
      </c>
      <c r="AD144" s="135">
        <f t="shared" si="44"/>
        <v>31.874145006839949</v>
      </c>
      <c r="AE144" s="136">
        <v>25</v>
      </c>
      <c r="AF144" s="137">
        <v>21</v>
      </c>
      <c r="AG144" s="137">
        <v>0</v>
      </c>
      <c r="AH144" s="138">
        <f t="shared" si="45"/>
        <v>46</v>
      </c>
      <c r="AI144" s="133">
        <f t="shared" si="46"/>
        <v>0.31463748290013682</v>
      </c>
    </row>
    <row r="145" spans="1:35">
      <c r="A145" s="171">
        <f>IF('09월 조업일지'!A142="","",'09월 조업일지'!A142)</f>
        <v>46270</v>
      </c>
      <c r="B145" s="172" t="str">
        <f>'09월 조업일지'!E142</f>
        <v>C</v>
      </c>
      <c r="C145" s="172" t="str">
        <f>'09월 조업일지'!F142</f>
        <v>A</v>
      </c>
      <c r="D145" s="172">
        <f>'09월 화학성분'!C142</f>
        <v>85344</v>
      </c>
      <c r="E145" s="205" t="str">
        <f t="shared" si="47"/>
        <v>SS400-01</v>
      </c>
      <c r="F145" s="121">
        <v>21</v>
      </c>
      <c r="G145" s="122">
        <v>25100</v>
      </c>
      <c r="H145" s="123">
        <v>17</v>
      </c>
      <c r="I145" s="122">
        <v>20700</v>
      </c>
      <c r="J145" s="123">
        <v>9</v>
      </c>
      <c r="K145" s="122">
        <v>10700</v>
      </c>
      <c r="L145" s="124">
        <f t="shared" si="34"/>
        <v>47</v>
      </c>
      <c r="M145" s="125">
        <f t="shared" si="34"/>
        <v>56500</v>
      </c>
      <c r="N145" s="126">
        <f t="shared" si="35"/>
        <v>169.93906567366284</v>
      </c>
      <c r="O145" s="127">
        <f t="shared" si="36"/>
        <v>140.14895057549086</v>
      </c>
      <c r="P145" s="127">
        <f t="shared" si="37"/>
        <v>72.444143534190928</v>
      </c>
      <c r="Q145" s="128">
        <f t="shared" si="38"/>
        <v>382.53215978334464</v>
      </c>
      <c r="R145" s="129">
        <v>147.69999999999999</v>
      </c>
      <c r="S145" s="130">
        <v>0</v>
      </c>
      <c r="T145" s="131">
        <v>75</v>
      </c>
      <c r="U145" s="131">
        <v>309</v>
      </c>
      <c r="V145" s="132">
        <f t="shared" si="39"/>
        <v>384</v>
      </c>
      <c r="W145" s="133">
        <f t="shared" si="40"/>
        <v>2.5998645903859177</v>
      </c>
      <c r="X145" s="130">
        <v>1787</v>
      </c>
      <c r="Y145" s="131">
        <v>1647</v>
      </c>
      <c r="Z145" s="131">
        <v>863</v>
      </c>
      <c r="AA145" s="132">
        <f t="shared" si="41"/>
        <v>4297</v>
      </c>
      <c r="AB145" s="133">
        <f t="shared" si="42"/>
        <v>29.092755585646582</v>
      </c>
      <c r="AC145" s="134">
        <f t="shared" si="43"/>
        <v>4681</v>
      </c>
      <c r="AD145" s="135">
        <f t="shared" si="44"/>
        <v>31.692620176032502</v>
      </c>
      <c r="AE145" s="136">
        <v>24</v>
      </c>
      <c r="AF145" s="137">
        <v>25</v>
      </c>
      <c r="AG145" s="137">
        <v>0</v>
      </c>
      <c r="AH145" s="138">
        <f t="shared" si="45"/>
        <v>49</v>
      </c>
      <c r="AI145" s="133">
        <f t="shared" si="46"/>
        <v>0.33175355450236971</v>
      </c>
    </row>
    <row r="146" spans="1:35">
      <c r="A146" s="171">
        <f>IF('09월 조업일지'!A143="","",'09월 조업일지'!A143)</f>
        <v>46270</v>
      </c>
      <c r="B146" s="172" t="str">
        <f>'09월 조업일지'!E143</f>
        <v>C</v>
      </c>
      <c r="C146" s="172" t="str">
        <f>'09월 조업일지'!F143</f>
        <v>B</v>
      </c>
      <c r="D146" s="172">
        <f>'09월 화학성분'!C143</f>
        <v>85345</v>
      </c>
      <c r="E146" s="205" t="str">
        <f t="shared" si="47"/>
        <v>SS400-01</v>
      </c>
      <c r="F146" s="121">
        <v>20</v>
      </c>
      <c r="G146" s="122">
        <v>23600</v>
      </c>
      <c r="H146" s="123">
        <v>18</v>
      </c>
      <c r="I146" s="122">
        <v>20500</v>
      </c>
      <c r="J146" s="123">
        <v>6</v>
      </c>
      <c r="K146" s="122">
        <v>8100</v>
      </c>
      <c r="L146" s="124">
        <f t="shared" si="34"/>
        <v>44</v>
      </c>
      <c r="M146" s="125">
        <f t="shared" si="34"/>
        <v>52200</v>
      </c>
      <c r="N146" s="126">
        <f t="shared" si="35"/>
        <v>163.6615811373093</v>
      </c>
      <c r="O146" s="127">
        <f t="shared" si="36"/>
        <v>142.16366158113732</v>
      </c>
      <c r="P146" s="127">
        <f t="shared" si="37"/>
        <v>56.171983356449381</v>
      </c>
      <c r="Q146" s="128">
        <f t="shared" si="38"/>
        <v>361.99722607489599</v>
      </c>
      <c r="R146" s="129">
        <v>144.19999999999999</v>
      </c>
      <c r="S146" s="130">
        <v>0</v>
      </c>
      <c r="T146" s="131">
        <v>156</v>
      </c>
      <c r="U146" s="131">
        <v>179</v>
      </c>
      <c r="V146" s="132">
        <f t="shared" si="39"/>
        <v>335</v>
      </c>
      <c r="W146" s="133">
        <f t="shared" si="40"/>
        <v>2.3231622746185856</v>
      </c>
      <c r="X146" s="130">
        <v>1752</v>
      </c>
      <c r="Y146" s="131">
        <v>1579</v>
      </c>
      <c r="Z146" s="131">
        <v>672</v>
      </c>
      <c r="AA146" s="132">
        <f t="shared" si="41"/>
        <v>4003</v>
      </c>
      <c r="AB146" s="133">
        <f t="shared" si="42"/>
        <v>27.760055478502082</v>
      </c>
      <c r="AC146" s="134">
        <f t="shared" si="43"/>
        <v>4338</v>
      </c>
      <c r="AD146" s="135">
        <f t="shared" si="44"/>
        <v>30.083217753120667</v>
      </c>
      <c r="AE146" s="136">
        <v>25</v>
      </c>
      <c r="AF146" s="137">
        <v>23</v>
      </c>
      <c r="AG146" s="137">
        <v>0</v>
      </c>
      <c r="AH146" s="138">
        <f t="shared" si="45"/>
        <v>48</v>
      </c>
      <c r="AI146" s="133">
        <f t="shared" si="46"/>
        <v>0.33287101248266299</v>
      </c>
    </row>
    <row r="147" spans="1:35">
      <c r="A147" s="171">
        <f>IF('09월 조업일지'!A144="","",'09월 조업일지'!A144)</f>
        <v>46270</v>
      </c>
      <c r="B147" s="172" t="str">
        <f>'09월 조업일지'!E144</f>
        <v>C</v>
      </c>
      <c r="C147" s="172" t="str">
        <f>'09월 조업일지'!F144</f>
        <v>A</v>
      </c>
      <c r="D147" s="172">
        <f>'09월 화학성분'!C144</f>
        <v>85346</v>
      </c>
      <c r="E147" s="205" t="str">
        <f t="shared" si="47"/>
        <v>SS400-01</v>
      </c>
      <c r="F147" s="121">
        <v>21</v>
      </c>
      <c r="G147" s="122">
        <v>23600</v>
      </c>
      <c r="H147" s="123">
        <v>16</v>
      </c>
      <c r="I147" s="122">
        <v>20300</v>
      </c>
      <c r="J147" s="123">
        <v>7</v>
      </c>
      <c r="K147" s="122">
        <v>8400</v>
      </c>
      <c r="L147" s="124">
        <f t="shared" si="34"/>
        <v>44</v>
      </c>
      <c r="M147" s="125">
        <f t="shared" si="34"/>
        <v>52300</v>
      </c>
      <c r="N147" s="126">
        <f t="shared" si="35"/>
        <v>157.33333333333334</v>
      </c>
      <c r="O147" s="127">
        <f t="shared" si="36"/>
        <v>135.33333333333334</v>
      </c>
      <c r="P147" s="127">
        <f t="shared" si="37"/>
        <v>56</v>
      </c>
      <c r="Q147" s="128">
        <f t="shared" si="38"/>
        <v>348.66666666666669</v>
      </c>
      <c r="R147" s="129">
        <v>150</v>
      </c>
      <c r="S147" s="130">
        <v>0</v>
      </c>
      <c r="T147" s="131">
        <v>160</v>
      </c>
      <c r="U147" s="131">
        <v>324</v>
      </c>
      <c r="V147" s="132">
        <f t="shared" si="39"/>
        <v>484</v>
      </c>
      <c r="W147" s="133">
        <f t="shared" si="40"/>
        <v>3.2266666666666666</v>
      </c>
      <c r="X147" s="130">
        <v>1612</v>
      </c>
      <c r="Y147" s="131">
        <v>1536</v>
      </c>
      <c r="Z147" s="131">
        <v>721</v>
      </c>
      <c r="AA147" s="132">
        <f t="shared" si="41"/>
        <v>3869</v>
      </c>
      <c r="AB147" s="133">
        <f t="shared" si="42"/>
        <v>25.793333333333333</v>
      </c>
      <c r="AC147" s="134">
        <f t="shared" si="43"/>
        <v>4353</v>
      </c>
      <c r="AD147" s="135">
        <f t="shared" si="44"/>
        <v>29.02</v>
      </c>
      <c r="AE147" s="136">
        <v>25</v>
      </c>
      <c r="AF147" s="137">
        <v>25</v>
      </c>
      <c r="AG147" s="137">
        <v>0</v>
      </c>
      <c r="AH147" s="138">
        <f t="shared" si="45"/>
        <v>50</v>
      </c>
      <c r="AI147" s="133">
        <f t="shared" si="46"/>
        <v>0.33333333333333331</v>
      </c>
    </row>
    <row r="148" spans="1:35">
      <c r="A148" s="171">
        <f>IF('09월 조업일지'!A145="","",'09월 조업일지'!A145)</f>
        <v>46270</v>
      </c>
      <c r="B148" s="172" t="str">
        <f>'09월 조업일지'!E145</f>
        <v>C</v>
      </c>
      <c r="C148" s="172" t="str">
        <f>'09월 조업일지'!F145</f>
        <v>B</v>
      </c>
      <c r="D148" s="172">
        <f>'09월 화학성분'!C145</f>
        <v>85347</v>
      </c>
      <c r="E148" s="205" t="str">
        <f t="shared" si="47"/>
        <v>SS400-01</v>
      </c>
      <c r="F148" s="121">
        <v>24</v>
      </c>
      <c r="G148" s="122">
        <v>24900</v>
      </c>
      <c r="H148" s="123">
        <v>17</v>
      </c>
      <c r="I148" s="122">
        <v>20800</v>
      </c>
      <c r="J148" s="123">
        <v>9</v>
      </c>
      <c r="K148" s="122">
        <v>10500</v>
      </c>
      <c r="L148" s="124">
        <f t="shared" si="34"/>
        <v>50</v>
      </c>
      <c r="M148" s="125">
        <f t="shared" si="34"/>
        <v>56200</v>
      </c>
      <c r="N148" s="126">
        <f t="shared" si="35"/>
        <v>170.08196721311475</v>
      </c>
      <c r="O148" s="127">
        <f t="shared" si="36"/>
        <v>142.07650273224044</v>
      </c>
      <c r="P148" s="127">
        <f t="shared" si="37"/>
        <v>71.721311475409834</v>
      </c>
      <c r="Q148" s="128">
        <f t="shared" si="38"/>
        <v>383.87978142076503</v>
      </c>
      <c r="R148" s="129">
        <v>146.4</v>
      </c>
      <c r="S148" s="130">
        <v>0</v>
      </c>
      <c r="T148" s="131">
        <v>182</v>
      </c>
      <c r="U148" s="131">
        <v>315</v>
      </c>
      <c r="V148" s="132">
        <f t="shared" si="39"/>
        <v>497</v>
      </c>
      <c r="W148" s="133">
        <f t="shared" si="40"/>
        <v>3.3948087431693987</v>
      </c>
      <c r="X148" s="130">
        <v>2003</v>
      </c>
      <c r="Y148" s="131">
        <v>1644</v>
      </c>
      <c r="Z148" s="131">
        <v>740</v>
      </c>
      <c r="AA148" s="132">
        <f t="shared" si="41"/>
        <v>4387</v>
      </c>
      <c r="AB148" s="133">
        <f t="shared" si="42"/>
        <v>29.965846994535518</v>
      </c>
      <c r="AC148" s="134">
        <f t="shared" si="43"/>
        <v>4884</v>
      </c>
      <c r="AD148" s="135">
        <f t="shared" si="44"/>
        <v>33.360655737704917</v>
      </c>
      <c r="AE148" s="136">
        <v>26</v>
      </c>
      <c r="AF148" s="137">
        <v>20</v>
      </c>
      <c r="AG148" s="137">
        <v>0</v>
      </c>
      <c r="AH148" s="138">
        <f t="shared" si="45"/>
        <v>46</v>
      </c>
      <c r="AI148" s="133">
        <f t="shared" si="46"/>
        <v>0.314207650273224</v>
      </c>
    </row>
    <row r="149" spans="1:35">
      <c r="A149" s="171">
        <f>IF('09월 조업일지'!A146="","",'09월 조업일지'!A146)</f>
        <v>46270</v>
      </c>
      <c r="B149" s="172" t="str">
        <f>'09월 조업일지'!E146</f>
        <v>A</v>
      </c>
      <c r="C149" s="172" t="str">
        <f>'09월 조업일지'!F146</f>
        <v>A</v>
      </c>
      <c r="D149" s="172">
        <f>'09월 화학성분'!C146</f>
        <v>85348</v>
      </c>
      <c r="E149" s="205" t="str">
        <f t="shared" si="47"/>
        <v>SS400-01</v>
      </c>
      <c r="F149" s="121">
        <v>20</v>
      </c>
      <c r="G149" s="122">
        <v>23600</v>
      </c>
      <c r="H149" s="123">
        <v>17</v>
      </c>
      <c r="I149" s="122">
        <v>20500</v>
      </c>
      <c r="J149" s="123">
        <v>8</v>
      </c>
      <c r="K149" s="122">
        <v>9900</v>
      </c>
      <c r="L149" s="124">
        <f t="shared" si="34"/>
        <v>45</v>
      </c>
      <c r="M149" s="125">
        <f t="shared" si="34"/>
        <v>54000</v>
      </c>
      <c r="N149" s="126">
        <f t="shared" si="35"/>
        <v>160.54421768707482</v>
      </c>
      <c r="O149" s="127">
        <f t="shared" si="36"/>
        <v>139.45578231292518</v>
      </c>
      <c r="P149" s="127">
        <f t="shared" si="37"/>
        <v>67.34693877551021</v>
      </c>
      <c r="Q149" s="128">
        <f t="shared" si="38"/>
        <v>367.34693877551024</v>
      </c>
      <c r="R149" s="129">
        <v>147</v>
      </c>
      <c r="S149" s="130">
        <v>0</v>
      </c>
      <c r="T149" s="131">
        <v>97</v>
      </c>
      <c r="U149" s="131">
        <v>251</v>
      </c>
      <c r="V149" s="132">
        <f t="shared" si="39"/>
        <v>348</v>
      </c>
      <c r="W149" s="133">
        <f t="shared" si="40"/>
        <v>2.3673469387755102</v>
      </c>
      <c r="X149" s="130">
        <v>1683</v>
      </c>
      <c r="Y149" s="131">
        <v>1587</v>
      </c>
      <c r="Z149" s="131">
        <v>608</v>
      </c>
      <c r="AA149" s="132">
        <f t="shared" si="41"/>
        <v>3878</v>
      </c>
      <c r="AB149" s="133">
        <f t="shared" si="42"/>
        <v>26.38095238095238</v>
      </c>
      <c r="AC149" s="134">
        <f t="shared" si="43"/>
        <v>4226</v>
      </c>
      <c r="AD149" s="135">
        <f t="shared" si="44"/>
        <v>28.748299319727892</v>
      </c>
      <c r="AE149" s="136">
        <v>21</v>
      </c>
      <c r="AF149" s="137">
        <v>28</v>
      </c>
      <c r="AG149" s="137">
        <v>0</v>
      </c>
      <c r="AH149" s="138">
        <f t="shared" si="45"/>
        <v>49</v>
      </c>
      <c r="AI149" s="133">
        <f t="shared" si="46"/>
        <v>0.33333333333333331</v>
      </c>
    </row>
    <row r="150" spans="1:35">
      <c r="A150" s="171">
        <f>IF('09월 조업일지'!A147="","",'09월 조업일지'!A147)</f>
        <v>46270</v>
      </c>
      <c r="B150" s="172" t="str">
        <f>'09월 조업일지'!E147</f>
        <v>A</v>
      </c>
      <c r="C150" s="172" t="str">
        <f>'09월 조업일지'!F147</f>
        <v>B</v>
      </c>
      <c r="D150" s="172">
        <f>'09월 화학성분'!C147</f>
        <v>85349</v>
      </c>
      <c r="E150" s="205" t="str">
        <f t="shared" si="47"/>
        <v>SS400-01</v>
      </c>
      <c r="F150" s="121">
        <v>21</v>
      </c>
      <c r="G150" s="122">
        <v>23300</v>
      </c>
      <c r="H150" s="123">
        <v>17</v>
      </c>
      <c r="I150" s="122">
        <v>20300</v>
      </c>
      <c r="J150" s="123">
        <v>8</v>
      </c>
      <c r="K150" s="122">
        <v>10000</v>
      </c>
      <c r="L150" s="124">
        <f t="shared" si="34"/>
        <v>46</v>
      </c>
      <c r="M150" s="125">
        <f t="shared" si="34"/>
        <v>53600</v>
      </c>
      <c r="N150" s="126">
        <f t="shared" si="35"/>
        <v>158.71934604904632</v>
      </c>
      <c r="O150" s="127">
        <f t="shared" si="36"/>
        <v>138.283378746594</v>
      </c>
      <c r="P150" s="127">
        <f t="shared" si="37"/>
        <v>68.119891008174378</v>
      </c>
      <c r="Q150" s="128">
        <f t="shared" si="38"/>
        <v>365.12261580381471</v>
      </c>
      <c r="R150" s="129">
        <v>146.80000000000001</v>
      </c>
      <c r="S150" s="130">
        <v>0</v>
      </c>
      <c r="T150" s="131">
        <v>130</v>
      </c>
      <c r="U150" s="131">
        <v>178</v>
      </c>
      <c r="V150" s="132">
        <f t="shared" si="39"/>
        <v>308</v>
      </c>
      <c r="W150" s="133">
        <f t="shared" si="40"/>
        <v>2.0980926430517708</v>
      </c>
      <c r="X150" s="130">
        <v>1778</v>
      </c>
      <c r="Y150" s="131">
        <v>1556</v>
      </c>
      <c r="Z150" s="131">
        <v>869</v>
      </c>
      <c r="AA150" s="132">
        <f t="shared" si="41"/>
        <v>4203</v>
      </c>
      <c r="AB150" s="133">
        <f t="shared" si="42"/>
        <v>28.630790190735691</v>
      </c>
      <c r="AC150" s="134">
        <f t="shared" si="43"/>
        <v>4511</v>
      </c>
      <c r="AD150" s="135">
        <f t="shared" si="44"/>
        <v>30.728882833787463</v>
      </c>
      <c r="AE150" s="136">
        <v>26</v>
      </c>
      <c r="AF150" s="137">
        <v>22</v>
      </c>
      <c r="AG150" s="137">
        <v>0</v>
      </c>
      <c r="AH150" s="138">
        <f t="shared" si="45"/>
        <v>48</v>
      </c>
      <c r="AI150" s="133">
        <f t="shared" si="46"/>
        <v>0.32697547683923706</v>
      </c>
    </row>
    <row r="151" spans="1:35">
      <c r="A151" s="171">
        <f>IF('09월 조업일지'!A148="","",'09월 조업일지'!A148)</f>
        <v>46270</v>
      </c>
      <c r="B151" s="172" t="str">
        <f>'09월 조업일지'!E148</f>
        <v>A</v>
      </c>
      <c r="C151" s="172" t="str">
        <f>'09월 조업일지'!F148</f>
        <v>A</v>
      </c>
      <c r="D151" s="172">
        <f>'09월 화학성분'!C148</f>
        <v>85350</v>
      </c>
      <c r="E151" s="205" t="str">
        <f t="shared" si="47"/>
        <v>SS400-01</v>
      </c>
      <c r="F151" s="121">
        <v>20</v>
      </c>
      <c r="G151" s="122">
        <v>23400</v>
      </c>
      <c r="H151" s="123">
        <v>17</v>
      </c>
      <c r="I151" s="122">
        <v>20500</v>
      </c>
      <c r="J151" s="123">
        <v>9</v>
      </c>
      <c r="K151" s="122">
        <v>11400</v>
      </c>
      <c r="L151" s="124">
        <f t="shared" si="34"/>
        <v>46</v>
      </c>
      <c r="M151" s="125">
        <f t="shared" si="34"/>
        <v>55300</v>
      </c>
      <c r="N151" s="126">
        <f t="shared" si="35"/>
        <v>158.1081081081081</v>
      </c>
      <c r="O151" s="127">
        <f t="shared" si="36"/>
        <v>138.51351351351352</v>
      </c>
      <c r="P151" s="127">
        <f t="shared" si="37"/>
        <v>77.027027027027032</v>
      </c>
      <c r="Q151" s="128">
        <f t="shared" si="38"/>
        <v>373.64864864864865</v>
      </c>
      <c r="R151" s="129">
        <v>148</v>
      </c>
      <c r="S151" s="130">
        <v>0</v>
      </c>
      <c r="T151" s="131">
        <v>157</v>
      </c>
      <c r="U151" s="131">
        <v>291</v>
      </c>
      <c r="V151" s="132">
        <f t="shared" si="39"/>
        <v>448</v>
      </c>
      <c r="W151" s="133">
        <f t="shared" si="40"/>
        <v>3.0270270270270272</v>
      </c>
      <c r="X151" s="130">
        <v>1666</v>
      </c>
      <c r="Y151" s="131">
        <v>1603</v>
      </c>
      <c r="Z151" s="131">
        <v>764</v>
      </c>
      <c r="AA151" s="132">
        <f t="shared" si="41"/>
        <v>4033</v>
      </c>
      <c r="AB151" s="133">
        <f t="shared" si="42"/>
        <v>27.25</v>
      </c>
      <c r="AC151" s="134">
        <f t="shared" si="43"/>
        <v>4481</v>
      </c>
      <c r="AD151" s="135">
        <f t="shared" si="44"/>
        <v>30.277027027027028</v>
      </c>
      <c r="AE151" s="136">
        <v>23</v>
      </c>
      <c r="AF151" s="137">
        <v>28</v>
      </c>
      <c r="AG151" s="137">
        <v>0</v>
      </c>
      <c r="AH151" s="138">
        <f t="shared" si="45"/>
        <v>51</v>
      </c>
      <c r="AI151" s="133">
        <f t="shared" si="46"/>
        <v>0.34459459459459457</v>
      </c>
    </row>
    <row r="152" spans="1:35">
      <c r="A152" s="171">
        <f>IF('09월 조업일지'!A149="","",'09월 조업일지'!A149)</f>
        <v>46270</v>
      </c>
      <c r="B152" s="172" t="str">
        <f>'09월 조업일지'!E149</f>
        <v>A</v>
      </c>
      <c r="C152" s="172" t="str">
        <f>'09월 조업일지'!F149</f>
        <v>B</v>
      </c>
      <c r="D152" s="172">
        <f>'09월 화학성분'!C149</f>
        <v>85351</v>
      </c>
      <c r="E152" s="205" t="str">
        <f t="shared" si="47"/>
        <v>SS400-01</v>
      </c>
      <c r="F152" s="121">
        <v>19</v>
      </c>
      <c r="G152" s="122">
        <v>23700</v>
      </c>
      <c r="H152" s="123">
        <v>17</v>
      </c>
      <c r="I152" s="122">
        <v>20500</v>
      </c>
      <c r="J152" s="123">
        <v>9</v>
      </c>
      <c r="K152" s="122">
        <v>10500</v>
      </c>
      <c r="L152" s="124">
        <f t="shared" si="34"/>
        <v>45</v>
      </c>
      <c r="M152" s="125">
        <f t="shared" si="34"/>
        <v>54700</v>
      </c>
      <c r="N152" s="126">
        <f t="shared" si="35"/>
        <v>161.66439290586632</v>
      </c>
      <c r="O152" s="127">
        <f t="shared" si="36"/>
        <v>139.83628922237381</v>
      </c>
      <c r="P152" s="127">
        <f t="shared" si="37"/>
        <v>71.623465211459759</v>
      </c>
      <c r="Q152" s="128">
        <f t="shared" si="38"/>
        <v>373.12414733969985</v>
      </c>
      <c r="R152" s="129">
        <v>146.6</v>
      </c>
      <c r="S152" s="130">
        <v>0</v>
      </c>
      <c r="T152" s="131">
        <v>124</v>
      </c>
      <c r="U152" s="131">
        <v>234</v>
      </c>
      <c r="V152" s="132">
        <f t="shared" si="39"/>
        <v>358</v>
      </c>
      <c r="W152" s="133">
        <f t="shared" si="40"/>
        <v>2.4420190995907229</v>
      </c>
      <c r="X152" s="130">
        <v>1684</v>
      </c>
      <c r="Y152" s="131">
        <v>1565</v>
      </c>
      <c r="Z152" s="131">
        <v>684</v>
      </c>
      <c r="AA152" s="132">
        <f t="shared" si="41"/>
        <v>3933</v>
      </c>
      <c r="AB152" s="133">
        <f t="shared" si="42"/>
        <v>26.828103683492497</v>
      </c>
      <c r="AC152" s="134">
        <f t="shared" si="43"/>
        <v>4291</v>
      </c>
      <c r="AD152" s="135">
        <f t="shared" si="44"/>
        <v>29.27012278308322</v>
      </c>
      <c r="AE152" s="136">
        <v>24</v>
      </c>
      <c r="AF152" s="137">
        <v>22</v>
      </c>
      <c r="AG152" s="137">
        <v>0</v>
      </c>
      <c r="AH152" s="138">
        <f t="shared" si="45"/>
        <v>46</v>
      </c>
      <c r="AI152" s="133">
        <f t="shared" si="46"/>
        <v>0.31377899045020463</v>
      </c>
    </row>
    <row r="153" spans="1:35">
      <c r="A153" s="171">
        <f>IF('09월 조업일지'!A150="","",'09월 조업일지'!A150)</f>
        <v>46270</v>
      </c>
      <c r="B153" s="172" t="str">
        <f>'09월 조업일지'!E150</f>
        <v>A</v>
      </c>
      <c r="C153" s="172" t="str">
        <f>'09월 조업일지'!F150</f>
        <v>A</v>
      </c>
      <c r="D153" s="172">
        <f>'09월 화학성분'!C150</f>
        <v>85352</v>
      </c>
      <c r="E153" s="205" t="str">
        <f t="shared" si="47"/>
        <v>SS400-01</v>
      </c>
      <c r="F153" s="121">
        <v>22</v>
      </c>
      <c r="G153" s="122">
        <v>25000</v>
      </c>
      <c r="H153" s="123">
        <v>17</v>
      </c>
      <c r="I153" s="122">
        <v>20600</v>
      </c>
      <c r="J153" s="123">
        <v>8</v>
      </c>
      <c r="K153" s="122">
        <v>10500</v>
      </c>
      <c r="L153" s="124">
        <f t="shared" ref="L153:M194" si="48">IF(ISBLANK(F153),"",SUM(F153,H153,J153))</f>
        <v>47</v>
      </c>
      <c r="M153" s="125">
        <f t="shared" si="48"/>
        <v>56100</v>
      </c>
      <c r="N153" s="126">
        <f t="shared" si="35"/>
        <v>172.41379310344828</v>
      </c>
      <c r="O153" s="127">
        <f t="shared" si="36"/>
        <v>142.06896551724137</v>
      </c>
      <c r="P153" s="127">
        <f t="shared" si="37"/>
        <v>72.41379310344827</v>
      </c>
      <c r="Q153" s="128">
        <f t="shared" si="38"/>
        <v>386.89655172413791</v>
      </c>
      <c r="R153" s="129">
        <v>145</v>
      </c>
      <c r="S153" s="130">
        <v>0</v>
      </c>
      <c r="T153" s="131">
        <v>148</v>
      </c>
      <c r="U153" s="131">
        <v>164</v>
      </c>
      <c r="V153" s="132">
        <f t="shared" si="39"/>
        <v>312</v>
      </c>
      <c r="W153" s="133">
        <f t="shared" si="40"/>
        <v>2.1517241379310343</v>
      </c>
      <c r="X153" s="130">
        <v>1769</v>
      </c>
      <c r="Y153" s="131">
        <v>1635</v>
      </c>
      <c r="Z153" s="131">
        <v>687</v>
      </c>
      <c r="AA153" s="132">
        <f t="shared" si="41"/>
        <v>4091</v>
      </c>
      <c r="AB153" s="133">
        <f t="shared" si="42"/>
        <v>28.213793103448275</v>
      </c>
      <c r="AC153" s="134">
        <f t="shared" si="43"/>
        <v>4403</v>
      </c>
      <c r="AD153" s="135">
        <f t="shared" si="44"/>
        <v>30.365517241379312</v>
      </c>
      <c r="AE153" s="136">
        <v>25</v>
      </c>
      <c r="AF153" s="137">
        <v>31</v>
      </c>
      <c r="AG153" s="137">
        <v>0</v>
      </c>
      <c r="AH153" s="138">
        <f t="shared" si="45"/>
        <v>56</v>
      </c>
      <c r="AI153" s="133">
        <f t="shared" si="46"/>
        <v>0.38620689655172413</v>
      </c>
    </row>
    <row r="154" spans="1:35">
      <c r="A154" s="171">
        <f>IF('09월 조업일지'!A151="","",'09월 조업일지'!A151)</f>
        <v>46270</v>
      </c>
      <c r="B154" s="172" t="str">
        <f>'09월 조업일지'!E151</f>
        <v>A</v>
      </c>
      <c r="C154" s="172" t="str">
        <f>'09월 조업일지'!F151</f>
        <v>B</v>
      </c>
      <c r="D154" s="172">
        <f>'09월 화학성분'!C151</f>
        <v>85353</v>
      </c>
      <c r="E154" s="205" t="str">
        <f t="shared" si="47"/>
        <v>SS400-01</v>
      </c>
      <c r="F154" s="121">
        <v>21</v>
      </c>
      <c r="G154" s="122">
        <v>23200</v>
      </c>
      <c r="H154" s="123">
        <v>18</v>
      </c>
      <c r="I154" s="122">
        <v>20700</v>
      </c>
      <c r="J154" s="123">
        <v>7</v>
      </c>
      <c r="K154" s="122">
        <v>9600</v>
      </c>
      <c r="L154" s="124">
        <f t="shared" si="48"/>
        <v>46</v>
      </c>
      <c r="M154" s="125">
        <f t="shared" si="48"/>
        <v>53500</v>
      </c>
      <c r="N154" s="126">
        <f t="shared" si="35"/>
        <v>157.18157181571817</v>
      </c>
      <c r="O154" s="127">
        <f t="shared" si="36"/>
        <v>140.2439024390244</v>
      </c>
      <c r="P154" s="127">
        <f t="shared" si="37"/>
        <v>65.040650406504071</v>
      </c>
      <c r="Q154" s="128">
        <f t="shared" si="38"/>
        <v>362.46612466124662</v>
      </c>
      <c r="R154" s="129">
        <v>147.6</v>
      </c>
      <c r="S154" s="130">
        <v>0</v>
      </c>
      <c r="T154" s="131">
        <v>174</v>
      </c>
      <c r="U154" s="131">
        <v>171</v>
      </c>
      <c r="V154" s="132">
        <f t="shared" si="39"/>
        <v>345</v>
      </c>
      <c r="W154" s="133">
        <f t="shared" si="40"/>
        <v>2.3373983739837398</v>
      </c>
      <c r="X154" s="130">
        <v>1848</v>
      </c>
      <c r="Y154" s="131">
        <v>1624</v>
      </c>
      <c r="Z154" s="131">
        <v>831</v>
      </c>
      <c r="AA154" s="132">
        <f t="shared" si="41"/>
        <v>4303</v>
      </c>
      <c r="AB154" s="133">
        <f t="shared" si="42"/>
        <v>29.153116531165313</v>
      </c>
      <c r="AC154" s="134">
        <f t="shared" si="43"/>
        <v>4648</v>
      </c>
      <c r="AD154" s="135">
        <f t="shared" si="44"/>
        <v>31.490514905149052</v>
      </c>
      <c r="AE154" s="136">
        <v>25</v>
      </c>
      <c r="AF154" s="137">
        <v>23</v>
      </c>
      <c r="AG154" s="137">
        <v>0</v>
      </c>
      <c r="AH154" s="138">
        <f t="shared" si="45"/>
        <v>48</v>
      </c>
      <c r="AI154" s="133">
        <f t="shared" si="46"/>
        <v>0.32520325203252032</v>
      </c>
    </row>
    <row r="155" spans="1:35">
      <c r="A155" s="171">
        <f>IF('09월 조업일지'!A152="","",'09월 조업일지'!A152)</f>
        <v>46270</v>
      </c>
      <c r="B155" s="172" t="str">
        <f>'09월 조업일지'!E152</f>
        <v>A</v>
      </c>
      <c r="C155" s="172" t="str">
        <f>'09월 조업일지'!F152</f>
        <v>A</v>
      </c>
      <c r="D155" s="172">
        <f>'09월 화학성분'!C152</f>
        <v>85354</v>
      </c>
      <c r="E155" s="205" t="str">
        <f t="shared" si="47"/>
        <v>SS400-01</v>
      </c>
      <c r="F155" s="121">
        <v>21</v>
      </c>
      <c r="G155" s="122">
        <v>23600</v>
      </c>
      <c r="H155" s="123">
        <v>17</v>
      </c>
      <c r="I155" s="122">
        <v>20500</v>
      </c>
      <c r="J155" s="123">
        <v>10</v>
      </c>
      <c r="K155" s="122">
        <v>12000</v>
      </c>
      <c r="L155" s="124">
        <f t="shared" si="48"/>
        <v>48</v>
      </c>
      <c r="M155" s="125">
        <f t="shared" si="48"/>
        <v>56100</v>
      </c>
      <c r="N155" s="126">
        <f t="shared" si="35"/>
        <v>164.68946266573622</v>
      </c>
      <c r="O155" s="127">
        <f t="shared" si="36"/>
        <v>143.05652477320305</v>
      </c>
      <c r="P155" s="127">
        <f t="shared" si="37"/>
        <v>83.740404745289595</v>
      </c>
      <c r="Q155" s="128">
        <f t="shared" si="38"/>
        <v>391.48639218422886</v>
      </c>
      <c r="R155" s="129">
        <v>143.30000000000001</v>
      </c>
      <c r="S155" s="130">
        <v>0</v>
      </c>
      <c r="T155" s="131">
        <v>155</v>
      </c>
      <c r="U155" s="131">
        <v>182</v>
      </c>
      <c r="V155" s="132">
        <f t="shared" si="39"/>
        <v>337</v>
      </c>
      <c r="W155" s="133">
        <f t="shared" si="40"/>
        <v>2.3517096999302161</v>
      </c>
      <c r="X155" s="130">
        <v>1683</v>
      </c>
      <c r="Y155" s="131">
        <v>1583</v>
      </c>
      <c r="Z155" s="131">
        <v>824</v>
      </c>
      <c r="AA155" s="132">
        <f t="shared" si="41"/>
        <v>4090</v>
      </c>
      <c r="AB155" s="133">
        <f t="shared" si="42"/>
        <v>28.541521284019538</v>
      </c>
      <c r="AC155" s="134">
        <f t="shared" si="43"/>
        <v>4427</v>
      </c>
      <c r="AD155" s="135">
        <f t="shared" si="44"/>
        <v>30.893230983949753</v>
      </c>
      <c r="AE155" s="136">
        <v>25</v>
      </c>
      <c r="AF155" s="137">
        <v>27</v>
      </c>
      <c r="AG155" s="137">
        <v>0</v>
      </c>
      <c r="AH155" s="138">
        <f t="shared" si="45"/>
        <v>52</v>
      </c>
      <c r="AI155" s="133">
        <f t="shared" si="46"/>
        <v>0.36287508722958822</v>
      </c>
    </row>
    <row r="156" spans="1:35">
      <c r="A156" s="171">
        <f>IF('09월 조업일지'!A153="","",'09월 조업일지'!A153)</f>
        <v>46271</v>
      </c>
      <c r="B156" s="172" t="str">
        <f>'09월 조업일지'!E153</f>
        <v>A</v>
      </c>
      <c r="C156" s="172" t="str">
        <f>'09월 조업일지'!F153</f>
        <v>B</v>
      </c>
      <c r="D156" s="172">
        <f>'09월 화학성분'!C153</f>
        <v>85355</v>
      </c>
      <c r="E156" s="205" t="str">
        <f t="shared" si="47"/>
        <v>SS400-01</v>
      </c>
      <c r="F156" s="121">
        <v>22</v>
      </c>
      <c r="G156" s="122">
        <v>23800</v>
      </c>
      <c r="H156" s="123">
        <v>17</v>
      </c>
      <c r="I156" s="122">
        <v>20500</v>
      </c>
      <c r="J156" s="123">
        <v>7</v>
      </c>
      <c r="K156" s="122">
        <v>8600</v>
      </c>
      <c r="L156" s="124">
        <f t="shared" si="48"/>
        <v>46</v>
      </c>
      <c r="M156" s="125">
        <f t="shared" si="48"/>
        <v>52900</v>
      </c>
      <c r="N156" s="126">
        <f t="shared" si="35"/>
        <v>161.68478260869566</v>
      </c>
      <c r="O156" s="127">
        <f t="shared" si="36"/>
        <v>139.26630434782609</v>
      </c>
      <c r="P156" s="127">
        <f t="shared" si="37"/>
        <v>58.423913043478265</v>
      </c>
      <c r="Q156" s="128">
        <f t="shared" si="38"/>
        <v>359.375</v>
      </c>
      <c r="R156" s="129">
        <v>147.19999999999999</v>
      </c>
      <c r="S156" s="130">
        <v>0</v>
      </c>
      <c r="T156" s="131">
        <v>183</v>
      </c>
      <c r="U156" s="131">
        <v>132</v>
      </c>
      <c r="V156" s="132">
        <f t="shared" si="39"/>
        <v>315</v>
      </c>
      <c r="W156" s="133">
        <f t="shared" si="40"/>
        <v>2.1399456521739131</v>
      </c>
      <c r="X156" s="130">
        <v>1941</v>
      </c>
      <c r="Y156" s="131">
        <v>1599</v>
      </c>
      <c r="Z156" s="131">
        <v>627</v>
      </c>
      <c r="AA156" s="132">
        <f t="shared" si="41"/>
        <v>4167</v>
      </c>
      <c r="AB156" s="133">
        <f t="shared" si="42"/>
        <v>28.30842391304348</v>
      </c>
      <c r="AC156" s="134">
        <f t="shared" si="43"/>
        <v>4482</v>
      </c>
      <c r="AD156" s="135">
        <f t="shared" si="44"/>
        <v>30.448369565217394</v>
      </c>
      <c r="AE156" s="136">
        <v>26</v>
      </c>
      <c r="AF156" s="137">
        <v>23</v>
      </c>
      <c r="AG156" s="137">
        <v>0</v>
      </c>
      <c r="AH156" s="138">
        <f t="shared" si="45"/>
        <v>49</v>
      </c>
      <c r="AI156" s="133">
        <f t="shared" si="46"/>
        <v>0.3328804347826087</v>
      </c>
    </row>
    <row r="157" spans="1:35">
      <c r="A157" s="171">
        <f>IF('09월 조업일지'!A154="","",'09월 조업일지'!A154)</f>
        <v>46271</v>
      </c>
      <c r="B157" s="172" t="str">
        <f>'09월 조업일지'!E154</f>
        <v>A</v>
      </c>
      <c r="C157" s="172" t="str">
        <f>'09월 조업일지'!F154</f>
        <v>A</v>
      </c>
      <c r="D157" s="172">
        <f>'09월 화학성분'!C154</f>
        <v>85356</v>
      </c>
      <c r="E157" s="205" t="str">
        <f t="shared" si="47"/>
        <v>SS400-01</v>
      </c>
      <c r="F157" s="121">
        <v>21</v>
      </c>
      <c r="G157" s="122">
        <v>23300</v>
      </c>
      <c r="H157" s="123">
        <v>18</v>
      </c>
      <c r="I157" s="122">
        <v>20600</v>
      </c>
      <c r="J157" s="123">
        <v>8</v>
      </c>
      <c r="K157" s="122">
        <v>9800</v>
      </c>
      <c r="L157" s="124">
        <f t="shared" si="48"/>
        <v>47</v>
      </c>
      <c r="M157" s="125">
        <f t="shared" si="48"/>
        <v>53700</v>
      </c>
      <c r="N157" s="126">
        <f t="shared" si="35"/>
        <v>164.08450704225353</v>
      </c>
      <c r="O157" s="127">
        <f t="shared" si="36"/>
        <v>145.07042253521126</v>
      </c>
      <c r="P157" s="127">
        <f t="shared" si="37"/>
        <v>69.014084507042256</v>
      </c>
      <c r="Q157" s="128">
        <f t="shared" si="38"/>
        <v>378.16901408450707</v>
      </c>
      <c r="R157" s="129">
        <v>142</v>
      </c>
      <c r="S157" s="130">
        <v>0</v>
      </c>
      <c r="T157" s="131">
        <v>79</v>
      </c>
      <c r="U157" s="131">
        <v>240</v>
      </c>
      <c r="V157" s="132">
        <f t="shared" si="39"/>
        <v>319</v>
      </c>
      <c r="W157" s="133">
        <f t="shared" si="40"/>
        <v>2.2464788732394365</v>
      </c>
      <c r="X157" s="130">
        <v>1718</v>
      </c>
      <c r="Y157" s="131">
        <v>1574</v>
      </c>
      <c r="Z157" s="131">
        <v>741</v>
      </c>
      <c r="AA157" s="132">
        <f t="shared" si="41"/>
        <v>4033</v>
      </c>
      <c r="AB157" s="133">
        <f t="shared" si="42"/>
        <v>28.401408450704224</v>
      </c>
      <c r="AC157" s="134">
        <f t="shared" si="43"/>
        <v>4352</v>
      </c>
      <c r="AD157" s="135">
        <f t="shared" si="44"/>
        <v>30.64788732394366</v>
      </c>
      <c r="AE157" s="136">
        <v>27</v>
      </c>
      <c r="AF157" s="137">
        <v>31</v>
      </c>
      <c r="AG157" s="137">
        <v>0</v>
      </c>
      <c r="AH157" s="138">
        <f t="shared" si="45"/>
        <v>58</v>
      </c>
      <c r="AI157" s="133">
        <f t="shared" si="46"/>
        <v>0.40845070422535212</v>
      </c>
    </row>
    <row r="158" spans="1:35">
      <c r="A158" s="171">
        <f>IF('09월 조업일지'!A155="","",'09월 조업일지'!A155)</f>
        <v>46271</v>
      </c>
      <c r="B158" s="172" t="str">
        <f>'09월 조업일지'!E155</f>
        <v>A</v>
      </c>
      <c r="C158" s="172" t="str">
        <f>'09월 조업일지'!F155</f>
        <v>B</v>
      </c>
      <c r="D158" s="172">
        <f>'09월 화학성분'!C155</f>
        <v>85357</v>
      </c>
      <c r="E158" s="205" t="str">
        <f t="shared" si="47"/>
        <v>SS400-01</v>
      </c>
      <c r="F158" s="121">
        <v>20</v>
      </c>
      <c r="G158" s="122">
        <v>23500</v>
      </c>
      <c r="H158" s="123">
        <v>18</v>
      </c>
      <c r="I158" s="122">
        <v>20600</v>
      </c>
      <c r="J158" s="123">
        <v>5</v>
      </c>
      <c r="K158" s="122">
        <v>6600</v>
      </c>
      <c r="L158" s="124">
        <f t="shared" si="48"/>
        <v>43</v>
      </c>
      <c r="M158" s="125">
        <f t="shared" si="48"/>
        <v>50700</v>
      </c>
      <c r="N158" s="126">
        <f t="shared" si="35"/>
        <v>179.66360856269111</v>
      </c>
      <c r="O158" s="127">
        <f t="shared" si="36"/>
        <v>157.49235474006116</v>
      </c>
      <c r="P158" s="127">
        <f t="shared" si="37"/>
        <v>50.458715596330272</v>
      </c>
      <c r="Q158" s="128">
        <f t="shared" si="38"/>
        <v>387.61467889908255</v>
      </c>
      <c r="R158" s="129">
        <v>130.80000000000001</v>
      </c>
      <c r="S158" s="130">
        <v>0</v>
      </c>
      <c r="T158" s="131">
        <v>184</v>
      </c>
      <c r="U158" s="131">
        <v>137</v>
      </c>
      <c r="V158" s="132">
        <f t="shared" si="39"/>
        <v>321</v>
      </c>
      <c r="W158" s="133">
        <f t="shared" si="40"/>
        <v>2.4541284403669721</v>
      </c>
      <c r="X158" s="130">
        <v>1718</v>
      </c>
      <c r="Y158" s="131">
        <v>1652</v>
      </c>
      <c r="Z158" s="131">
        <v>565</v>
      </c>
      <c r="AA158" s="132">
        <f t="shared" si="41"/>
        <v>3935</v>
      </c>
      <c r="AB158" s="133">
        <f t="shared" si="42"/>
        <v>30.084097859327215</v>
      </c>
      <c r="AC158" s="134">
        <f t="shared" si="43"/>
        <v>4256</v>
      </c>
      <c r="AD158" s="135">
        <f t="shared" si="44"/>
        <v>32.538226299694188</v>
      </c>
      <c r="AE158" s="136">
        <v>24</v>
      </c>
      <c r="AF158" s="137">
        <v>22</v>
      </c>
      <c r="AG158" s="137">
        <v>0</v>
      </c>
      <c r="AH158" s="138">
        <f t="shared" si="45"/>
        <v>46</v>
      </c>
      <c r="AI158" s="133">
        <f t="shared" si="46"/>
        <v>0.35168195718654433</v>
      </c>
    </row>
    <row r="159" spans="1:35">
      <c r="A159" s="171">
        <f>IF('09월 조업일지'!A156="","",'09월 조업일지'!A156)</f>
        <v>46271</v>
      </c>
      <c r="B159" s="172" t="str">
        <f>'09월 조업일지'!E156</f>
        <v>A</v>
      </c>
      <c r="C159" s="172" t="str">
        <f>'09월 조업일지'!F156</f>
        <v>A</v>
      </c>
      <c r="D159" s="172">
        <f>'09월 화학성분'!C156</f>
        <v>85358</v>
      </c>
      <c r="E159" s="205" t="str">
        <f t="shared" si="47"/>
        <v>SS400-01</v>
      </c>
      <c r="F159" s="121">
        <v>20</v>
      </c>
      <c r="G159" s="122">
        <v>23300</v>
      </c>
      <c r="H159" s="123">
        <v>17</v>
      </c>
      <c r="I159" s="122">
        <v>20500</v>
      </c>
      <c r="J159" s="123">
        <v>12</v>
      </c>
      <c r="K159" s="122">
        <v>11900</v>
      </c>
      <c r="L159" s="124">
        <f t="shared" si="48"/>
        <v>49</v>
      </c>
      <c r="M159" s="125">
        <f t="shared" si="48"/>
        <v>55700</v>
      </c>
      <c r="N159" s="126">
        <f t="shared" si="35"/>
        <v>169.45454545454547</v>
      </c>
      <c r="O159" s="127">
        <f t="shared" si="36"/>
        <v>149.09090909090909</v>
      </c>
      <c r="P159" s="127">
        <f t="shared" si="37"/>
        <v>86.545454545454547</v>
      </c>
      <c r="Q159" s="128">
        <f t="shared" si="38"/>
        <v>405.09090909090912</v>
      </c>
      <c r="R159" s="129">
        <v>137.5</v>
      </c>
      <c r="S159" s="130">
        <v>0</v>
      </c>
      <c r="T159" s="131">
        <v>152</v>
      </c>
      <c r="U159" s="131">
        <v>428</v>
      </c>
      <c r="V159" s="132">
        <f t="shared" si="39"/>
        <v>580</v>
      </c>
      <c r="W159" s="133">
        <f t="shared" si="40"/>
        <v>4.2181818181818178</v>
      </c>
      <c r="X159" s="130">
        <v>1638</v>
      </c>
      <c r="Y159" s="131">
        <v>1607</v>
      </c>
      <c r="Z159" s="131">
        <v>1907</v>
      </c>
      <c r="AA159" s="132">
        <f t="shared" si="41"/>
        <v>5152</v>
      </c>
      <c r="AB159" s="133">
        <f t="shared" si="42"/>
        <v>37.469090909090909</v>
      </c>
      <c r="AC159" s="134">
        <f t="shared" si="43"/>
        <v>5732</v>
      </c>
      <c r="AD159" s="135">
        <f t="shared" si="44"/>
        <v>41.687272727272727</v>
      </c>
      <c r="AE159" s="136">
        <v>23</v>
      </c>
      <c r="AF159" s="137">
        <v>32</v>
      </c>
      <c r="AG159" s="137">
        <v>0</v>
      </c>
      <c r="AH159" s="138">
        <f t="shared" si="45"/>
        <v>55</v>
      </c>
      <c r="AI159" s="133">
        <f t="shared" si="46"/>
        <v>0.4</v>
      </c>
    </row>
    <row r="160" spans="1:35">
      <c r="A160" s="171">
        <f>IF('09월 조업일지'!A157="","",'09월 조업일지'!A157)</f>
        <v>46271</v>
      </c>
      <c r="B160" s="172" t="str">
        <f>'09월 조업일지'!E157</f>
        <v>B</v>
      </c>
      <c r="C160" s="172" t="str">
        <f>'09월 조업일지'!F157</f>
        <v>B</v>
      </c>
      <c r="D160" s="172">
        <f>'09월 화학성분'!C157</f>
        <v>85359</v>
      </c>
      <c r="E160" s="205" t="str">
        <f t="shared" si="47"/>
        <v>SS400-01</v>
      </c>
      <c r="F160" s="121">
        <v>22</v>
      </c>
      <c r="G160" s="122">
        <v>25600</v>
      </c>
      <c r="H160" s="123">
        <v>16</v>
      </c>
      <c r="I160" s="122">
        <v>18800</v>
      </c>
      <c r="J160" s="123">
        <v>6</v>
      </c>
      <c r="K160" s="122">
        <v>7000</v>
      </c>
      <c r="L160" s="124">
        <f t="shared" si="48"/>
        <v>44</v>
      </c>
      <c r="M160" s="125">
        <f t="shared" si="48"/>
        <v>51400</v>
      </c>
      <c r="N160" s="126">
        <f t="shared" si="35"/>
        <v>177.28531855955677</v>
      </c>
      <c r="O160" s="127">
        <f t="shared" si="36"/>
        <v>130.19390581717451</v>
      </c>
      <c r="P160" s="127">
        <f t="shared" si="37"/>
        <v>48.476454293628805</v>
      </c>
      <c r="Q160" s="128">
        <f t="shared" si="38"/>
        <v>355.9556786703601</v>
      </c>
      <c r="R160" s="129">
        <v>144.4</v>
      </c>
      <c r="S160" s="130">
        <v>0</v>
      </c>
      <c r="T160" s="131">
        <v>184</v>
      </c>
      <c r="U160" s="131">
        <v>141</v>
      </c>
      <c r="V160" s="132">
        <f t="shared" si="39"/>
        <v>325</v>
      </c>
      <c r="W160" s="133">
        <f t="shared" si="40"/>
        <v>2.250692520775623</v>
      </c>
      <c r="X160" s="130">
        <v>1877</v>
      </c>
      <c r="Y160" s="131">
        <v>1421</v>
      </c>
      <c r="Z160" s="131">
        <v>615</v>
      </c>
      <c r="AA160" s="132">
        <f t="shared" si="41"/>
        <v>3913</v>
      </c>
      <c r="AB160" s="133">
        <f t="shared" si="42"/>
        <v>27.098337950138504</v>
      </c>
      <c r="AC160" s="134">
        <f t="shared" si="43"/>
        <v>4238</v>
      </c>
      <c r="AD160" s="135">
        <f t="shared" si="44"/>
        <v>29.349030470914126</v>
      </c>
      <c r="AE160" s="136">
        <v>26</v>
      </c>
      <c r="AF160" s="137">
        <v>24</v>
      </c>
      <c r="AG160" s="137">
        <v>0</v>
      </c>
      <c r="AH160" s="138">
        <f t="shared" si="45"/>
        <v>50</v>
      </c>
      <c r="AI160" s="133">
        <f t="shared" si="46"/>
        <v>0.34626038781163432</v>
      </c>
    </row>
    <row r="161" spans="1:35">
      <c r="A161" s="171">
        <f>IF('09월 조업일지'!A158="","",'09월 조업일지'!A158)</f>
        <v>46271</v>
      </c>
      <c r="B161" s="172" t="str">
        <f>'09월 조업일지'!E158</f>
        <v>B</v>
      </c>
      <c r="C161" s="172" t="str">
        <f>'09월 조업일지'!F158</f>
        <v>A</v>
      </c>
      <c r="D161" s="172">
        <f>'09월 화학성분'!C158</f>
        <v>85360</v>
      </c>
      <c r="E161" s="205" t="str">
        <f t="shared" si="47"/>
        <v>SS400-01</v>
      </c>
      <c r="F161" s="121">
        <v>21</v>
      </c>
      <c r="G161" s="122">
        <v>23600</v>
      </c>
      <c r="H161" s="123">
        <v>17</v>
      </c>
      <c r="I161" s="122">
        <v>20500</v>
      </c>
      <c r="J161" s="123">
        <v>5</v>
      </c>
      <c r="K161" s="122">
        <v>6500</v>
      </c>
      <c r="L161" s="124">
        <f t="shared" si="48"/>
        <v>43</v>
      </c>
      <c r="M161" s="125">
        <f t="shared" si="48"/>
        <v>50600</v>
      </c>
      <c r="N161" s="126">
        <f t="shared" si="35"/>
        <v>167.02052370842179</v>
      </c>
      <c r="O161" s="127">
        <f t="shared" si="36"/>
        <v>145.08138711960368</v>
      </c>
      <c r="P161" s="127">
        <f t="shared" si="37"/>
        <v>46.001415428167014</v>
      </c>
      <c r="Q161" s="128">
        <f t="shared" si="38"/>
        <v>358.10332625619247</v>
      </c>
      <c r="R161" s="129">
        <v>141.30000000000001</v>
      </c>
      <c r="S161" s="130">
        <v>0</v>
      </c>
      <c r="T161" s="131">
        <v>156</v>
      </c>
      <c r="U161" s="131">
        <v>183</v>
      </c>
      <c r="V161" s="132">
        <f t="shared" si="39"/>
        <v>339</v>
      </c>
      <c r="W161" s="133">
        <f t="shared" si="40"/>
        <v>2.3991507430997876</v>
      </c>
      <c r="X161" s="130">
        <v>1714</v>
      </c>
      <c r="Y161" s="131">
        <v>1633</v>
      </c>
      <c r="Z161" s="131">
        <v>551</v>
      </c>
      <c r="AA161" s="132">
        <f t="shared" si="41"/>
        <v>3898</v>
      </c>
      <c r="AB161" s="133">
        <f t="shared" si="42"/>
        <v>27.586694975230007</v>
      </c>
      <c r="AC161" s="134">
        <f t="shared" si="43"/>
        <v>4237</v>
      </c>
      <c r="AD161" s="135">
        <f t="shared" si="44"/>
        <v>29.985845718329792</v>
      </c>
      <c r="AE161" s="136">
        <v>23</v>
      </c>
      <c r="AF161" s="137">
        <v>29</v>
      </c>
      <c r="AG161" s="137">
        <v>0</v>
      </c>
      <c r="AH161" s="138">
        <f t="shared" si="45"/>
        <v>52</v>
      </c>
      <c r="AI161" s="133">
        <f t="shared" si="46"/>
        <v>0.36801132342533616</v>
      </c>
    </row>
    <row r="162" spans="1:35">
      <c r="A162" s="171">
        <f>IF('09월 조업일지'!A159="","",'09월 조업일지'!A159)</f>
        <v>46271</v>
      </c>
      <c r="B162" s="172" t="str">
        <f>'09월 조업일지'!E159</f>
        <v>B</v>
      </c>
      <c r="C162" s="172" t="str">
        <f>'09월 조업일지'!F159</f>
        <v>B</v>
      </c>
      <c r="D162" s="172">
        <f>'09월 화학성분'!C159</f>
        <v>85361</v>
      </c>
      <c r="E162" s="205" t="str">
        <f t="shared" si="47"/>
        <v>SS400-01</v>
      </c>
      <c r="F162" s="121">
        <v>20</v>
      </c>
      <c r="G162" s="122">
        <v>23700</v>
      </c>
      <c r="H162" s="123">
        <v>18</v>
      </c>
      <c r="I162" s="122">
        <v>20600</v>
      </c>
      <c r="J162" s="123">
        <v>10</v>
      </c>
      <c r="K162" s="122">
        <v>13000</v>
      </c>
      <c r="L162" s="124">
        <f t="shared" si="48"/>
        <v>48</v>
      </c>
      <c r="M162" s="125">
        <f t="shared" si="48"/>
        <v>57300</v>
      </c>
      <c r="N162" s="126">
        <f t="shared" si="35"/>
        <v>159.59595959595958</v>
      </c>
      <c r="O162" s="127">
        <f t="shared" si="36"/>
        <v>138.72053872053871</v>
      </c>
      <c r="P162" s="127">
        <f t="shared" si="37"/>
        <v>87.542087542087543</v>
      </c>
      <c r="Q162" s="128">
        <f t="shared" si="38"/>
        <v>385.8585858585858</v>
      </c>
      <c r="R162" s="129">
        <v>148.5</v>
      </c>
      <c r="S162" s="130">
        <v>0</v>
      </c>
      <c r="T162" s="131">
        <v>169</v>
      </c>
      <c r="U162" s="131">
        <v>185</v>
      </c>
      <c r="V162" s="132">
        <f t="shared" si="39"/>
        <v>354</v>
      </c>
      <c r="W162" s="133">
        <f t="shared" si="40"/>
        <v>2.3838383838383836</v>
      </c>
      <c r="X162" s="130">
        <v>1827</v>
      </c>
      <c r="Y162" s="131">
        <v>1615</v>
      </c>
      <c r="Z162" s="131">
        <v>1084</v>
      </c>
      <c r="AA162" s="132">
        <f t="shared" si="41"/>
        <v>4526</v>
      </c>
      <c r="AB162" s="133">
        <f t="shared" si="42"/>
        <v>30.478114478114477</v>
      </c>
      <c r="AC162" s="134">
        <f t="shared" si="43"/>
        <v>4880</v>
      </c>
      <c r="AD162" s="135">
        <f t="shared" si="44"/>
        <v>32.861952861952865</v>
      </c>
      <c r="AE162" s="136">
        <v>26</v>
      </c>
      <c r="AF162" s="137">
        <v>25</v>
      </c>
      <c r="AG162" s="137">
        <v>0</v>
      </c>
      <c r="AH162" s="138">
        <f t="shared" si="45"/>
        <v>51</v>
      </c>
      <c r="AI162" s="133">
        <f t="shared" si="46"/>
        <v>0.34343434343434343</v>
      </c>
    </row>
    <row r="163" spans="1:35">
      <c r="A163" s="171">
        <f>IF('09월 조업일지'!A160="","",'09월 조업일지'!A160)</f>
        <v>46271</v>
      </c>
      <c r="B163" s="172" t="str">
        <f>'09월 조업일지'!E160</f>
        <v>B</v>
      </c>
      <c r="C163" s="172" t="str">
        <f>'09월 조업일지'!F160</f>
        <v>A</v>
      </c>
      <c r="D163" s="172">
        <f>'09월 화학성분'!C160</f>
        <v>85362</v>
      </c>
      <c r="E163" s="205" t="str">
        <f t="shared" si="47"/>
        <v>SS400-01</v>
      </c>
      <c r="F163" s="121">
        <v>21</v>
      </c>
      <c r="G163" s="122">
        <v>23400</v>
      </c>
      <c r="H163" s="123">
        <v>16</v>
      </c>
      <c r="I163" s="122">
        <v>20500</v>
      </c>
      <c r="J163" s="123">
        <v>8</v>
      </c>
      <c r="K163" s="122">
        <v>10500</v>
      </c>
      <c r="L163" s="124">
        <f t="shared" si="48"/>
        <v>45</v>
      </c>
      <c r="M163" s="125">
        <f t="shared" si="48"/>
        <v>54400</v>
      </c>
      <c r="N163" s="126">
        <f t="shared" si="35"/>
        <v>165.25423728813561</v>
      </c>
      <c r="O163" s="127">
        <f t="shared" si="36"/>
        <v>144.77401129943505</v>
      </c>
      <c r="P163" s="127">
        <f t="shared" si="37"/>
        <v>74.152542372881356</v>
      </c>
      <c r="Q163" s="128">
        <f t="shared" si="38"/>
        <v>384.18079096045199</v>
      </c>
      <c r="R163" s="129">
        <v>141.6</v>
      </c>
      <c r="S163" s="130">
        <v>0</v>
      </c>
      <c r="T163" s="131">
        <v>247</v>
      </c>
      <c r="U163" s="131">
        <v>120</v>
      </c>
      <c r="V163" s="132">
        <f t="shared" si="39"/>
        <v>367</v>
      </c>
      <c r="W163" s="133">
        <f t="shared" si="40"/>
        <v>2.5918079096045199</v>
      </c>
      <c r="X163" s="130">
        <v>1686</v>
      </c>
      <c r="Y163" s="131">
        <v>1612</v>
      </c>
      <c r="Z163" s="131">
        <v>623</v>
      </c>
      <c r="AA163" s="132">
        <f t="shared" si="41"/>
        <v>3921</v>
      </c>
      <c r="AB163" s="133">
        <f t="shared" si="42"/>
        <v>27.690677966101696</v>
      </c>
      <c r="AC163" s="134">
        <f t="shared" si="43"/>
        <v>4288</v>
      </c>
      <c r="AD163" s="135">
        <f t="shared" si="44"/>
        <v>30.282485875706215</v>
      </c>
      <c r="AE163" s="136">
        <v>27</v>
      </c>
      <c r="AF163" s="137">
        <v>29</v>
      </c>
      <c r="AG163" s="137">
        <v>0</v>
      </c>
      <c r="AH163" s="138">
        <f t="shared" si="45"/>
        <v>56</v>
      </c>
      <c r="AI163" s="133">
        <f t="shared" si="46"/>
        <v>0.39548022598870058</v>
      </c>
    </row>
    <row r="164" spans="1:35">
      <c r="A164" s="171">
        <f>IF('09월 조업일지'!A161="","",'09월 조업일지'!A161)</f>
        <v>46271</v>
      </c>
      <c r="B164" s="172" t="str">
        <f>'09월 조업일지'!E161</f>
        <v>B</v>
      </c>
      <c r="C164" s="172" t="str">
        <f>'09월 조업일지'!F161</f>
        <v>B</v>
      </c>
      <c r="D164" s="172">
        <f>'09월 화학성분'!C161</f>
        <v>85363</v>
      </c>
      <c r="E164" s="205" t="str">
        <f t="shared" si="47"/>
        <v>SS400-01</v>
      </c>
      <c r="F164" s="121">
        <v>20</v>
      </c>
      <c r="G164" s="122">
        <v>23500</v>
      </c>
      <c r="H164" s="123">
        <v>17</v>
      </c>
      <c r="I164" s="122">
        <v>20400</v>
      </c>
      <c r="J164" s="123">
        <v>8</v>
      </c>
      <c r="K164" s="122">
        <v>10200</v>
      </c>
      <c r="L164" s="124">
        <f t="shared" si="48"/>
        <v>45</v>
      </c>
      <c r="M164" s="125">
        <f t="shared" si="48"/>
        <v>54100</v>
      </c>
      <c r="N164" s="126">
        <f t="shared" si="35"/>
        <v>156.9806279225117</v>
      </c>
      <c r="O164" s="127">
        <f t="shared" si="36"/>
        <v>136.27254509018036</v>
      </c>
      <c r="P164" s="127">
        <f t="shared" si="37"/>
        <v>68.136272545090179</v>
      </c>
      <c r="Q164" s="128">
        <f t="shared" si="38"/>
        <v>361.38944555778221</v>
      </c>
      <c r="R164" s="129">
        <v>149.69999999999999</v>
      </c>
      <c r="S164" s="130">
        <v>0</v>
      </c>
      <c r="T164" s="131">
        <v>139</v>
      </c>
      <c r="U164" s="131">
        <v>184</v>
      </c>
      <c r="V164" s="132">
        <f t="shared" si="39"/>
        <v>323</v>
      </c>
      <c r="W164" s="133">
        <f t="shared" si="40"/>
        <v>2.1576486305945224</v>
      </c>
      <c r="X164" s="130">
        <v>1705</v>
      </c>
      <c r="Y164" s="131">
        <v>1560</v>
      </c>
      <c r="Z164" s="131">
        <v>834</v>
      </c>
      <c r="AA164" s="132">
        <f t="shared" si="41"/>
        <v>4099</v>
      </c>
      <c r="AB164" s="133">
        <f t="shared" si="42"/>
        <v>27.381429525718104</v>
      </c>
      <c r="AC164" s="134">
        <f t="shared" si="43"/>
        <v>4422</v>
      </c>
      <c r="AD164" s="135">
        <f t="shared" si="44"/>
        <v>29.539078156312627</v>
      </c>
      <c r="AE164" s="136">
        <v>26</v>
      </c>
      <c r="AF164" s="137">
        <v>25</v>
      </c>
      <c r="AG164" s="137">
        <v>0</v>
      </c>
      <c r="AH164" s="138">
        <f t="shared" si="45"/>
        <v>51</v>
      </c>
      <c r="AI164" s="133">
        <f t="shared" si="46"/>
        <v>0.34068136272545091</v>
      </c>
    </row>
    <row r="165" spans="1:35">
      <c r="A165" s="171">
        <f>IF('09월 조업일지'!A162="","",'09월 조업일지'!A162)</f>
        <v>46271</v>
      </c>
      <c r="B165" s="172" t="str">
        <f>'09월 조업일지'!E162</f>
        <v>B</v>
      </c>
      <c r="C165" s="172" t="str">
        <f>'09월 조업일지'!F162</f>
        <v>A</v>
      </c>
      <c r="D165" s="172">
        <f>'09월 화학성분'!C162</f>
        <v>85364</v>
      </c>
      <c r="E165" s="205" t="str">
        <f t="shared" si="47"/>
        <v>SS400-01</v>
      </c>
      <c r="F165" s="121">
        <v>20</v>
      </c>
      <c r="G165" s="122">
        <v>23700</v>
      </c>
      <c r="H165" s="123">
        <v>17</v>
      </c>
      <c r="I165" s="122">
        <v>20800</v>
      </c>
      <c r="J165" s="123">
        <v>8</v>
      </c>
      <c r="K165" s="122">
        <v>10300</v>
      </c>
      <c r="L165" s="124">
        <f t="shared" si="48"/>
        <v>45</v>
      </c>
      <c r="M165" s="125">
        <f t="shared" si="48"/>
        <v>54800</v>
      </c>
      <c r="N165" s="126">
        <f t="shared" si="35"/>
        <v>155.81854043392505</v>
      </c>
      <c r="O165" s="127">
        <f t="shared" si="36"/>
        <v>136.75213675213675</v>
      </c>
      <c r="P165" s="127">
        <f t="shared" si="37"/>
        <v>67.718606180144647</v>
      </c>
      <c r="Q165" s="128">
        <f t="shared" si="38"/>
        <v>360.28928336620646</v>
      </c>
      <c r="R165" s="129">
        <v>152.1</v>
      </c>
      <c r="S165" s="130">
        <v>0</v>
      </c>
      <c r="T165" s="131">
        <v>156</v>
      </c>
      <c r="U165" s="131">
        <v>227</v>
      </c>
      <c r="V165" s="132">
        <f t="shared" si="39"/>
        <v>383</v>
      </c>
      <c r="W165" s="133">
        <f t="shared" si="40"/>
        <v>2.518080210387903</v>
      </c>
      <c r="X165" s="130">
        <v>1736</v>
      </c>
      <c r="Y165" s="131">
        <v>1569</v>
      </c>
      <c r="Z165" s="131">
        <v>825</v>
      </c>
      <c r="AA165" s="132">
        <f t="shared" si="41"/>
        <v>4130</v>
      </c>
      <c r="AB165" s="133">
        <f t="shared" si="42"/>
        <v>27.153188691650232</v>
      </c>
      <c r="AC165" s="134">
        <f t="shared" si="43"/>
        <v>4513</v>
      </c>
      <c r="AD165" s="135">
        <f t="shared" si="44"/>
        <v>29.671268902038133</v>
      </c>
      <c r="AE165" s="136">
        <v>26</v>
      </c>
      <c r="AF165" s="137">
        <v>29</v>
      </c>
      <c r="AG165" s="137">
        <v>0</v>
      </c>
      <c r="AH165" s="138">
        <f t="shared" si="45"/>
        <v>55</v>
      </c>
      <c r="AI165" s="133">
        <f t="shared" si="46"/>
        <v>0.36160420775805391</v>
      </c>
    </row>
    <row r="166" spans="1:35">
      <c r="A166" s="171">
        <f>IF('09월 조업일지'!A163="","",'09월 조업일지'!A163)</f>
        <v>46271</v>
      </c>
      <c r="B166" s="172" t="str">
        <f>'09월 조업일지'!E163</f>
        <v>B</v>
      </c>
      <c r="C166" s="172" t="str">
        <f>'09월 조업일지'!F163</f>
        <v>B</v>
      </c>
      <c r="D166" s="172">
        <f>'09월 화학성분'!C163</f>
        <v>85365</v>
      </c>
      <c r="E166" s="205" t="str">
        <f t="shared" si="47"/>
        <v>SS400-01</v>
      </c>
      <c r="F166" s="121">
        <v>26</v>
      </c>
      <c r="G166" s="122">
        <v>28600</v>
      </c>
      <c r="H166" s="123">
        <v>0</v>
      </c>
      <c r="I166" s="122">
        <v>0</v>
      </c>
      <c r="J166" s="123">
        <v>12</v>
      </c>
      <c r="K166" s="122">
        <v>19300</v>
      </c>
      <c r="L166" s="124">
        <f t="shared" si="48"/>
        <v>38</v>
      </c>
      <c r="M166" s="125">
        <f t="shared" si="48"/>
        <v>47900</v>
      </c>
      <c r="N166" s="126">
        <f t="shared" si="35"/>
        <v>211.85185185185185</v>
      </c>
      <c r="O166" s="127">
        <f t="shared" si="36"/>
        <v>0</v>
      </c>
      <c r="P166" s="127">
        <f t="shared" si="37"/>
        <v>142.96296296296296</v>
      </c>
      <c r="Q166" s="128">
        <f t="shared" si="38"/>
        <v>354.81481481481478</v>
      </c>
      <c r="R166" s="129">
        <v>135</v>
      </c>
      <c r="S166" s="130">
        <v>0</v>
      </c>
      <c r="T166" s="131">
        <v>0</v>
      </c>
      <c r="U166" s="131">
        <v>421</v>
      </c>
      <c r="V166" s="132">
        <f t="shared" si="39"/>
        <v>421</v>
      </c>
      <c r="W166" s="133">
        <f t="shared" si="40"/>
        <v>3.1185185185185187</v>
      </c>
      <c r="X166" s="130">
        <v>2221</v>
      </c>
      <c r="Y166" s="131">
        <v>0</v>
      </c>
      <c r="Z166" s="131">
        <v>1304</v>
      </c>
      <c r="AA166" s="132">
        <f t="shared" si="41"/>
        <v>3525</v>
      </c>
      <c r="AB166" s="133">
        <f t="shared" si="42"/>
        <v>26.111111111111111</v>
      </c>
      <c r="AC166" s="134">
        <f t="shared" si="43"/>
        <v>3946</v>
      </c>
      <c r="AD166" s="135">
        <f t="shared" si="44"/>
        <v>29.229629629629631</v>
      </c>
      <c r="AE166" s="136">
        <v>27</v>
      </c>
      <c r="AF166" s="137">
        <v>0</v>
      </c>
      <c r="AG166" s="137">
        <v>0</v>
      </c>
      <c r="AH166" s="138">
        <f t="shared" si="45"/>
        <v>27</v>
      </c>
      <c r="AI166" s="133">
        <f t="shared" si="46"/>
        <v>0.2</v>
      </c>
    </row>
    <row r="167" spans="1:35">
      <c r="A167" s="171">
        <f>IF('09월 조업일지'!A164="","",'09월 조업일지'!A164)</f>
        <v>46271</v>
      </c>
      <c r="B167" s="172" t="str">
        <f>'09월 조업일지'!E164</f>
        <v>B</v>
      </c>
      <c r="C167" s="172" t="str">
        <f>'09월 조업일지'!F164</f>
        <v>A</v>
      </c>
      <c r="D167" s="172">
        <f>'09월 화학성분'!C164</f>
        <v>85366</v>
      </c>
      <c r="E167" s="205" t="str">
        <f t="shared" si="47"/>
        <v>SS400-01</v>
      </c>
      <c r="F167" s="121">
        <v>24</v>
      </c>
      <c r="G167" s="122">
        <v>28400</v>
      </c>
      <c r="H167" s="123">
        <v>0</v>
      </c>
      <c r="I167" s="122">
        <v>0</v>
      </c>
      <c r="J167" s="123">
        <v>11</v>
      </c>
      <c r="K167" s="122">
        <v>20300</v>
      </c>
      <c r="L167" s="124">
        <f t="shared" si="48"/>
        <v>35</v>
      </c>
      <c r="M167" s="125">
        <f t="shared" si="48"/>
        <v>48700</v>
      </c>
      <c r="N167" s="126">
        <f t="shared" si="35"/>
        <v>190.22103148024112</v>
      </c>
      <c r="O167" s="127">
        <f t="shared" si="36"/>
        <v>0</v>
      </c>
      <c r="P167" s="127">
        <f t="shared" si="37"/>
        <v>135.96784996651036</v>
      </c>
      <c r="Q167" s="128">
        <f t="shared" si="38"/>
        <v>326.18888144675145</v>
      </c>
      <c r="R167" s="129">
        <v>149.30000000000001</v>
      </c>
      <c r="S167" s="130">
        <v>0</v>
      </c>
      <c r="T167" s="131">
        <v>0</v>
      </c>
      <c r="U167" s="131">
        <v>631</v>
      </c>
      <c r="V167" s="132">
        <f t="shared" si="39"/>
        <v>631</v>
      </c>
      <c r="W167" s="133">
        <f t="shared" si="40"/>
        <v>4.2263898191560614</v>
      </c>
      <c r="X167" s="130">
        <v>2095</v>
      </c>
      <c r="Y167" s="131">
        <v>0</v>
      </c>
      <c r="Z167" s="131">
        <v>2154</v>
      </c>
      <c r="AA167" s="132">
        <f t="shared" si="41"/>
        <v>4249</v>
      </c>
      <c r="AB167" s="133">
        <f t="shared" si="42"/>
        <v>28.45947756195579</v>
      </c>
      <c r="AC167" s="134">
        <f t="shared" si="43"/>
        <v>4880</v>
      </c>
      <c r="AD167" s="135">
        <f t="shared" si="44"/>
        <v>32.685867381111855</v>
      </c>
      <c r="AE167" s="136">
        <v>26</v>
      </c>
      <c r="AF167" s="137">
        <v>0</v>
      </c>
      <c r="AG167" s="137">
        <v>2</v>
      </c>
      <c r="AH167" s="138">
        <f t="shared" si="45"/>
        <v>28</v>
      </c>
      <c r="AI167" s="133">
        <f t="shared" si="46"/>
        <v>0.18754186202277293</v>
      </c>
    </row>
    <row r="168" spans="1:35">
      <c r="A168" s="171">
        <f>IF('09월 조업일지'!A165="","",'09월 조업일지'!A165)</f>
        <v>46271</v>
      </c>
      <c r="B168" s="172" t="str">
        <f>'09월 조업일지'!E165</f>
        <v>B</v>
      </c>
      <c r="C168" s="172" t="str">
        <f>'09월 조업일지'!F165</f>
        <v>B</v>
      </c>
      <c r="D168" s="172">
        <f>'09월 화학성분'!C165</f>
        <v>85367</v>
      </c>
      <c r="E168" s="205" t="str">
        <f t="shared" si="47"/>
        <v>SS400-01</v>
      </c>
      <c r="F168" s="121">
        <v>27</v>
      </c>
      <c r="G168" s="122">
        <v>28900</v>
      </c>
      <c r="H168" s="123">
        <v>0</v>
      </c>
      <c r="I168" s="122">
        <v>0</v>
      </c>
      <c r="J168" s="123">
        <v>8</v>
      </c>
      <c r="K168" s="122">
        <v>23500</v>
      </c>
      <c r="L168" s="124">
        <f t="shared" si="48"/>
        <v>35</v>
      </c>
      <c r="M168" s="125">
        <f t="shared" si="48"/>
        <v>52400</v>
      </c>
      <c r="N168" s="126">
        <f t="shared" si="35"/>
        <v>243.4709351305813</v>
      </c>
      <c r="O168" s="127">
        <f t="shared" si="36"/>
        <v>0</v>
      </c>
      <c r="P168" s="127">
        <f t="shared" si="37"/>
        <v>197.97809604043806</v>
      </c>
      <c r="Q168" s="128">
        <f t="shared" si="38"/>
        <v>441.44903117101933</v>
      </c>
      <c r="R168" s="129">
        <v>118.7</v>
      </c>
      <c r="S168" s="130">
        <v>0</v>
      </c>
      <c r="T168" s="131">
        <v>0</v>
      </c>
      <c r="U168" s="131">
        <v>526</v>
      </c>
      <c r="V168" s="132">
        <f t="shared" si="39"/>
        <v>526</v>
      </c>
      <c r="W168" s="133">
        <f t="shared" si="40"/>
        <v>4.4313395113732099</v>
      </c>
      <c r="X168" s="130">
        <v>2309</v>
      </c>
      <c r="Y168" s="131">
        <v>0</v>
      </c>
      <c r="Z168" s="131">
        <v>2028</v>
      </c>
      <c r="AA168" s="132">
        <f t="shared" si="41"/>
        <v>4337</v>
      </c>
      <c r="AB168" s="133">
        <f t="shared" si="42"/>
        <v>36.537489469250211</v>
      </c>
      <c r="AC168" s="134">
        <f t="shared" si="43"/>
        <v>4863</v>
      </c>
      <c r="AD168" s="135">
        <f t="shared" si="44"/>
        <v>40.968828980623421</v>
      </c>
      <c r="AE168" s="136">
        <v>30</v>
      </c>
      <c r="AF168" s="137">
        <v>0</v>
      </c>
      <c r="AG168" s="137">
        <v>0</v>
      </c>
      <c r="AH168" s="138">
        <f t="shared" si="45"/>
        <v>30</v>
      </c>
      <c r="AI168" s="133">
        <f t="shared" si="46"/>
        <v>0.25273799494524007</v>
      </c>
    </row>
    <row r="169" spans="1:35">
      <c r="A169" s="171">
        <f>IF('09월 조업일지'!A166="","",'09월 조업일지'!A166)</f>
        <v>46271</v>
      </c>
      <c r="B169" s="172" t="str">
        <f>'09월 조업일지'!E166</f>
        <v>B</v>
      </c>
      <c r="C169" s="172" t="str">
        <f>'09월 조업일지'!F166</f>
        <v>A</v>
      </c>
      <c r="D169" s="172">
        <f>'09월 화학성분'!C166</f>
        <v>85368</v>
      </c>
      <c r="E169" s="351" t="s">
        <v>331</v>
      </c>
      <c r="F169" s="121">
        <v>29</v>
      </c>
      <c r="G169" s="122">
        <v>27800</v>
      </c>
      <c r="H169" s="123">
        <v>16</v>
      </c>
      <c r="I169" s="122">
        <v>20600</v>
      </c>
      <c r="J169" s="123">
        <v>12</v>
      </c>
      <c r="K169" s="122">
        <v>15500</v>
      </c>
      <c r="L169" s="124">
        <f t="shared" si="48"/>
        <v>57</v>
      </c>
      <c r="M169" s="125">
        <f t="shared" si="48"/>
        <v>63900</v>
      </c>
      <c r="N169" s="126">
        <f t="shared" si="35"/>
        <v>201.01229211858276</v>
      </c>
      <c r="O169" s="127">
        <f t="shared" si="36"/>
        <v>148.95155459146781</v>
      </c>
      <c r="P169" s="127">
        <f t="shared" si="37"/>
        <v>112.07519884309471</v>
      </c>
      <c r="Q169" s="128">
        <f t="shared" si="38"/>
        <v>462.03904555314529</v>
      </c>
      <c r="R169" s="129">
        <v>138.30000000000001</v>
      </c>
      <c r="S169" s="130">
        <v>0</v>
      </c>
      <c r="T169" s="131">
        <v>217</v>
      </c>
      <c r="U169" s="131">
        <v>41</v>
      </c>
      <c r="V169" s="132">
        <f t="shared" si="39"/>
        <v>258</v>
      </c>
      <c r="W169" s="133">
        <f t="shared" si="40"/>
        <v>1.8655097613882863</v>
      </c>
      <c r="X169" s="130">
        <v>1924</v>
      </c>
      <c r="Y169" s="131">
        <v>1630</v>
      </c>
      <c r="Z169" s="131">
        <v>1184</v>
      </c>
      <c r="AA169" s="132">
        <f t="shared" si="41"/>
        <v>4738</v>
      </c>
      <c r="AB169" s="133">
        <f t="shared" si="42"/>
        <v>34.258857556037597</v>
      </c>
      <c r="AC169" s="134">
        <f t="shared" si="43"/>
        <v>4996</v>
      </c>
      <c r="AD169" s="135">
        <f t="shared" si="44"/>
        <v>36.124367317425886</v>
      </c>
      <c r="AE169" s="136">
        <v>57</v>
      </c>
      <c r="AF169" s="137">
        <v>29</v>
      </c>
      <c r="AG169" s="137">
        <v>0</v>
      </c>
      <c r="AH169" s="138">
        <f t="shared" si="45"/>
        <v>86</v>
      </c>
      <c r="AI169" s="133">
        <f t="shared" si="46"/>
        <v>0.62183658712942869</v>
      </c>
    </row>
    <row r="170" spans="1:35">
      <c r="A170" s="171">
        <f>IF('09월 조업일지'!A167="","",'09월 조업일지'!A167)</f>
        <v>46271</v>
      </c>
      <c r="B170" s="172" t="str">
        <f>'09월 조업일지'!E167</f>
        <v>D</v>
      </c>
      <c r="C170" s="172" t="str">
        <f>'09월 조업일지'!F167</f>
        <v>B</v>
      </c>
      <c r="D170" s="172">
        <f>'09월 화학성분'!C167</f>
        <v>85369</v>
      </c>
      <c r="E170" s="205" t="str">
        <f t="shared" si="47"/>
        <v>SS400-05</v>
      </c>
      <c r="F170" s="121">
        <v>28</v>
      </c>
      <c r="G170" s="122">
        <v>27700</v>
      </c>
      <c r="H170" s="123">
        <v>18</v>
      </c>
      <c r="I170" s="122">
        <v>20500</v>
      </c>
      <c r="J170" s="123">
        <v>14</v>
      </c>
      <c r="K170" s="122">
        <v>14900</v>
      </c>
      <c r="L170" s="124">
        <f t="shared" si="48"/>
        <v>60</v>
      </c>
      <c r="M170" s="125">
        <f t="shared" si="48"/>
        <v>63100</v>
      </c>
      <c r="N170" s="126">
        <f t="shared" si="35"/>
        <v>207.80195048762189</v>
      </c>
      <c r="O170" s="127">
        <f t="shared" si="36"/>
        <v>153.78844711177794</v>
      </c>
      <c r="P170" s="127">
        <f t="shared" si="37"/>
        <v>111.77794448612153</v>
      </c>
      <c r="Q170" s="128">
        <f t="shared" si="38"/>
        <v>473.36834208552136</v>
      </c>
      <c r="R170" s="129">
        <v>133.30000000000001</v>
      </c>
      <c r="S170" s="130">
        <v>0</v>
      </c>
      <c r="T170" s="131">
        <v>92</v>
      </c>
      <c r="U170" s="131">
        <v>266</v>
      </c>
      <c r="V170" s="132">
        <f t="shared" si="39"/>
        <v>358</v>
      </c>
      <c r="W170" s="133">
        <f t="shared" si="40"/>
        <v>2.6856714178544632</v>
      </c>
      <c r="X170" s="130">
        <v>2026</v>
      </c>
      <c r="Y170" s="131">
        <v>1608</v>
      </c>
      <c r="Z170" s="131">
        <v>937</v>
      </c>
      <c r="AA170" s="132">
        <f t="shared" si="41"/>
        <v>4571</v>
      </c>
      <c r="AB170" s="133">
        <f t="shared" si="42"/>
        <v>34.291072768192045</v>
      </c>
      <c r="AC170" s="134">
        <f t="shared" si="43"/>
        <v>4929</v>
      </c>
      <c r="AD170" s="135">
        <f t="shared" si="44"/>
        <v>36.97674418604651</v>
      </c>
      <c r="AE170" s="136">
        <v>71</v>
      </c>
      <c r="AF170" s="137">
        <v>28</v>
      </c>
      <c r="AG170" s="137">
        <v>0</v>
      </c>
      <c r="AH170" s="138">
        <f t="shared" si="45"/>
        <v>99</v>
      </c>
      <c r="AI170" s="133">
        <f t="shared" si="46"/>
        <v>0.74268567141785435</v>
      </c>
    </row>
    <row r="171" spans="1:35">
      <c r="A171" s="171">
        <f>IF('09월 조업일지'!A168="","",'09월 조업일지'!A168)</f>
        <v>46271</v>
      </c>
      <c r="B171" s="172" t="str">
        <f>'09월 조업일지'!E168</f>
        <v>D</v>
      </c>
      <c r="C171" s="172" t="str">
        <f>'09월 조업일지'!F168</f>
        <v>A</v>
      </c>
      <c r="D171" s="172">
        <f>'09월 화학성분'!C168</f>
        <v>85370</v>
      </c>
      <c r="E171" s="205" t="str">
        <f t="shared" si="47"/>
        <v>SS400-05</v>
      </c>
      <c r="F171" s="121">
        <v>21</v>
      </c>
      <c r="G171" s="122">
        <v>24000</v>
      </c>
      <c r="H171" s="123">
        <v>17</v>
      </c>
      <c r="I171" s="122">
        <v>20100</v>
      </c>
      <c r="J171" s="123">
        <v>9</v>
      </c>
      <c r="K171" s="122">
        <v>11600</v>
      </c>
      <c r="L171" s="124">
        <f t="shared" si="48"/>
        <v>47</v>
      </c>
      <c r="M171" s="125">
        <f t="shared" si="48"/>
        <v>55700</v>
      </c>
      <c r="N171" s="126">
        <f t="shared" si="35"/>
        <v>176.08217168011737</v>
      </c>
      <c r="O171" s="127">
        <f t="shared" si="36"/>
        <v>147.46881878209831</v>
      </c>
      <c r="P171" s="127">
        <f t="shared" si="37"/>
        <v>85.106382978723403</v>
      </c>
      <c r="Q171" s="128">
        <f t="shared" si="38"/>
        <v>408.65737344093907</v>
      </c>
      <c r="R171" s="129">
        <v>136.30000000000001</v>
      </c>
      <c r="S171" s="130">
        <v>0</v>
      </c>
      <c r="T171" s="131">
        <v>129</v>
      </c>
      <c r="U171" s="131">
        <v>202</v>
      </c>
      <c r="V171" s="132">
        <f t="shared" si="39"/>
        <v>331</v>
      </c>
      <c r="W171" s="133">
        <f t="shared" si="40"/>
        <v>2.4284666177549523</v>
      </c>
      <c r="X171" s="130">
        <v>1780</v>
      </c>
      <c r="Y171" s="131">
        <v>1565</v>
      </c>
      <c r="Z171" s="131">
        <v>896</v>
      </c>
      <c r="AA171" s="132">
        <f t="shared" si="41"/>
        <v>4241</v>
      </c>
      <c r="AB171" s="133">
        <f t="shared" si="42"/>
        <v>31.115187087307408</v>
      </c>
      <c r="AC171" s="134">
        <f t="shared" si="43"/>
        <v>4572</v>
      </c>
      <c r="AD171" s="135">
        <f t="shared" si="44"/>
        <v>33.543653705062361</v>
      </c>
      <c r="AE171" s="136">
        <v>23</v>
      </c>
      <c r="AF171" s="137">
        <v>32</v>
      </c>
      <c r="AG171" s="137">
        <v>0</v>
      </c>
      <c r="AH171" s="138">
        <f t="shared" si="45"/>
        <v>55</v>
      </c>
      <c r="AI171" s="133">
        <f t="shared" si="46"/>
        <v>0.40352164343360231</v>
      </c>
    </row>
    <row r="172" spans="1:35">
      <c r="A172" s="171">
        <f>IF('09월 조업일지'!A169="","",'09월 조업일지'!A169)</f>
        <v>46271</v>
      </c>
      <c r="B172" s="172" t="str">
        <f>'09월 조업일지'!E169</f>
        <v>D</v>
      </c>
      <c r="C172" s="172" t="str">
        <f>'09월 조업일지'!F169</f>
        <v>B</v>
      </c>
      <c r="D172" s="172">
        <f>'09월 화학성분'!C169</f>
        <v>85371</v>
      </c>
      <c r="E172" s="205" t="str">
        <f t="shared" si="47"/>
        <v>SS400-05</v>
      </c>
      <c r="F172" s="121">
        <v>21</v>
      </c>
      <c r="G172" s="122">
        <v>23400</v>
      </c>
      <c r="H172" s="123">
        <v>17</v>
      </c>
      <c r="I172" s="122">
        <v>20700</v>
      </c>
      <c r="J172" s="123">
        <v>9</v>
      </c>
      <c r="K172" s="122">
        <v>10600</v>
      </c>
      <c r="L172" s="124">
        <f t="shared" si="48"/>
        <v>47</v>
      </c>
      <c r="M172" s="125">
        <f t="shared" si="48"/>
        <v>54700</v>
      </c>
      <c r="N172" s="126">
        <f t="shared" si="35"/>
        <v>172.3122238586156</v>
      </c>
      <c r="O172" s="127">
        <f t="shared" si="36"/>
        <v>152.43004418262149</v>
      </c>
      <c r="P172" s="127">
        <f t="shared" si="37"/>
        <v>78.055964653902791</v>
      </c>
      <c r="Q172" s="128">
        <f t="shared" si="38"/>
        <v>402.79823269513986</v>
      </c>
      <c r="R172" s="129">
        <v>135.80000000000001</v>
      </c>
      <c r="S172" s="130">
        <v>0</v>
      </c>
      <c r="T172" s="131">
        <v>210</v>
      </c>
      <c r="U172" s="131">
        <v>76</v>
      </c>
      <c r="V172" s="132">
        <f t="shared" si="39"/>
        <v>286</v>
      </c>
      <c r="W172" s="133">
        <f t="shared" si="40"/>
        <v>2.1060382916053015</v>
      </c>
      <c r="X172" s="130">
        <v>1767</v>
      </c>
      <c r="Y172" s="131">
        <v>1589</v>
      </c>
      <c r="Z172" s="131">
        <v>465</v>
      </c>
      <c r="AA172" s="132">
        <f t="shared" si="41"/>
        <v>3821</v>
      </c>
      <c r="AB172" s="133">
        <f t="shared" si="42"/>
        <v>28.136966126656844</v>
      </c>
      <c r="AC172" s="134">
        <f t="shared" si="43"/>
        <v>4107</v>
      </c>
      <c r="AD172" s="135">
        <f t="shared" si="44"/>
        <v>30.243004418262149</v>
      </c>
      <c r="AE172" s="136">
        <v>26</v>
      </c>
      <c r="AF172" s="137">
        <v>24</v>
      </c>
      <c r="AG172" s="137">
        <v>0</v>
      </c>
      <c r="AH172" s="138">
        <f t="shared" si="45"/>
        <v>50</v>
      </c>
      <c r="AI172" s="133">
        <f t="shared" si="46"/>
        <v>0.36818851251840939</v>
      </c>
    </row>
    <row r="173" spans="1:35">
      <c r="A173" s="171">
        <f>IF('09월 조업일지'!A170="","",'09월 조업일지'!A170)</f>
        <v>46271</v>
      </c>
      <c r="B173" s="172" t="str">
        <f>'09월 조업일지'!E170</f>
        <v>D</v>
      </c>
      <c r="C173" s="172" t="str">
        <f>'09월 조업일지'!F170</f>
        <v>A</v>
      </c>
      <c r="D173" s="172">
        <f>'09월 화학성분'!C170</f>
        <v>85372</v>
      </c>
      <c r="E173" s="351" t="s">
        <v>332</v>
      </c>
      <c r="F173" s="121">
        <v>21</v>
      </c>
      <c r="G173" s="122">
        <v>23700</v>
      </c>
      <c r="H173" s="123">
        <v>18</v>
      </c>
      <c r="I173" s="122">
        <v>20500</v>
      </c>
      <c r="J173" s="123">
        <v>7</v>
      </c>
      <c r="K173" s="122">
        <v>9600</v>
      </c>
      <c r="L173" s="124">
        <f t="shared" si="48"/>
        <v>46</v>
      </c>
      <c r="M173" s="125">
        <f t="shared" si="48"/>
        <v>53800</v>
      </c>
      <c r="N173" s="126">
        <f t="shared" si="35"/>
        <v>160.13513513513513</v>
      </c>
      <c r="O173" s="127">
        <f t="shared" si="36"/>
        <v>138.51351351351352</v>
      </c>
      <c r="P173" s="127">
        <f t="shared" si="37"/>
        <v>64.86486486486487</v>
      </c>
      <c r="Q173" s="128">
        <f t="shared" si="38"/>
        <v>363.51351351351354</v>
      </c>
      <c r="R173" s="129">
        <v>148</v>
      </c>
      <c r="S173" s="130">
        <v>0</v>
      </c>
      <c r="T173" s="131">
        <v>174</v>
      </c>
      <c r="U173" s="131">
        <v>122</v>
      </c>
      <c r="V173" s="132">
        <f t="shared" si="39"/>
        <v>296</v>
      </c>
      <c r="W173" s="133">
        <f t="shared" si="40"/>
        <v>2</v>
      </c>
      <c r="X173" s="130">
        <v>1735</v>
      </c>
      <c r="Y173" s="131">
        <v>1590</v>
      </c>
      <c r="Z173" s="131">
        <v>861</v>
      </c>
      <c r="AA173" s="132">
        <f t="shared" si="41"/>
        <v>4186</v>
      </c>
      <c r="AB173" s="133">
        <f t="shared" si="42"/>
        <v>28.283783783783782</v>
      </c>
      <c r="AC173" s="134">
        <f t="shared" si="43"/>
        <v>4482</v>
      </c>
      <c r="AD173" s="135">
        <f t="shared" si="44"/>
        <v>30.283783783783782</v>
      </c>
      <c r="AE173" s="136">
        <v>25</v>
      </c>
      <c r="AF173" s="137">
        <v>30</v>
      </c>
      <c r="AG173" s="137">
        <v>0</v>
      </c>
      <c r="AH173" s="138">
        <f t="shared" si="45"/>
        <v>55</v>
      </c>
      <c r="AI173" s="133">
        <f t="shared" si="46"/>
        <v>0.3716216216216216</v>
      </c>
    </row>
    <row r="174" spans="1:35">
      <c r="A174" s="171">
        <f>IF('09월 조업일지'!A171="","",'09월 조업일지'!A171)</f>
        <v>46271</v>
      </c>
      <c r="B174" s="172" t="str">
        <f>'09월 조업일지'!E171</f>
        <v>D</v>
      </c>
      <c r="C174" s="172" t="str">
        <f>'09월 조업일지'!F171</f>
        <v>B</v>
      </c>
      <c r="D174" s="172">
        <f>'09월 화학성분'!C171</f>
        <v>85373</v>
      </c>
      <c r="E174" s="205" t="str">
        <f t="shared" si="47"/>
        <v>SHN400(BL)</v>
      </c>
      <c r="F174" s="121">
        <v>20</v>
      </c>
      <c r="G174" s="122">
        <v>23700</v>
      </c>
      <c r="H174" s="123">
        <v>17</v>
      </c>
      <c r="I174" s="122">
        <v>20600</v>
      </c>
      <c r="J174" s="123">
        <v>10</v>
      </c>
      <c r="K174" s="122">
        <v>12500</v>
      </c>
      <c r="L174" s="124">
        <f t="shared" si="48"/>
        <v>47</v>
      </c>
      <c r="M174" s="125">
        <f t="shared" si="48"/>
        <v>56800</v>
      </c>
      <c r="N174" s="126">
        <f t="shared" si="35"/>
        <v>162.6630061770762</v>
      </c>
      <c r="O174" s="127">
        <f t="shared" si="36"/>
        <v>141.38641043239534</v>
      </c>
      <c r="P174" s="127">
        <f t="shared" si="37"/>
        <v>85.792724776938925</v>
      </c>
      <c r="Q174" s="128">
        <f t="shared" si="38"/>
        <v>389.8421413864105</v>
      </c>
      <c r="R174" s="129">
        <v>145.69999999999999</v>
      </c>
      <c r="S174" s="130">
        <v>0</v>
      </c>
      <c r="T174" s="131">
        <v>191</v>
      </c>
      <c r="U174" s="131">
        <v>154</v>
      </c>
      <c r="V174" s="132">
        <f t="shared" si="39"/>
        <v>345</v>
      </c>
      <c r="W174" s="133">
        <f t="shared" si="40"/>
        <v>2.3678792038435144</v>
      </c>
      <c r="X174" s="130">
        <v>1777</v>
      </c>
      <c r="Y174" s="131">
        <v>1601</v>
      </c>
      <c r="Z174" s="131">
        <v>668</v>
      </c>
      <c r="AA174" s="132">
        <f t="shared" si="41"/>
        <v>4046</v>
      </c>
      <c r="AB174" s="133">
        <f t="shared" si="42"/>
        <v>27.76938915579959</v>
      </c>
      <c r="AC174" s="134">
        <f t="shared" si="43"/>
        <v>4391</v>
      </c>
      <c r="AD174" s="135">
        <f t="shared" si="44"/>
        <v>30.137268359643105</v>
      </c>
      <c r="AE174" s="136">
        <v>27</v>
      </c>
      <c r="AF174" s="137">
        <v>21</v>
      </c>
      <c r="AG174" s="137">
        <v>0</v>
      </c>
      <c r="AH174" s="138">
        <f t="shared" si="45"/>
        <v>48</v>
      </c>
      <c r="AI174" s="133">
        <f t="shared" si="46"/>
        <v>0.32944406314344549</v>
      </c>
    </row>
    <row r="175" spans="1:35">
      <c r="A175" s="171">
        <f>IF('09월 조업일지'!A172="","",'09월 조업일지'!A172)</f>
        <v>46271</v>
      </c>
      <c r="B175" s="172" t="str">
        <f>'09월 조업일지'!E172</f>
        <v>D</v>
      </c>
      <c r="C175" s="172" t="str">
        <f>'09월 조업일지'!F172</f>
        <v>A</v>
      </c>
      <c r="D175" s="172">
        <f>'09월 화학성분'!C172</f>
        <v>85374</v>
      </c>
      <c r="E175" s="205" t="str">
        <f t="shared" si="47"/>
        <v>SHN400(BL)</v>
      </c>
      <c r="F175" s="121">
        <v>21</v>
      </c>
      <c r="G175" s="122">
        <v>23400</v>
      </c>
      <c r="H175" s="123">
        <v>17</v>
      </c>
      <c r="I175" s="122">
        <v>20500</v>
      </c>
      <c r="J175" s="123">
        <v>5</v>
      </c>
      <c r="K175" s="122">
        <v>6700</v>
      </c>
      <c r="L175" s="124">
        <f t="shared" si="48"/>
        <v>43</v>
      </c>
      <c r="M175" s="125">
        <f t="shared" si="48"/>
        <v>50600</v>
      </c>
      <c r="N175" s="126">
        <f t="shared" si="35"/>
        <v>159.18367346938774</v>
      </c>
      <c r="O175" s="127">
        <f t="shared" si="36"/>
        <v>139.45578231292518</v>
      </c>
      <c r="P175" s="127">
        <f t="shared" si="37"/>
        <v>45.57823129251701</v>
      </c>
      <c r="Q175" s="128">
        <f t="shared" si="38"/>
        <v>344.21768707482988</v>
      </c>
      <c r="R175" s="129">
        <v>147</v>
      </c>
      <c r="S175" s="130">
        <v>0</v>
      </c>
      <c r="T175" s="131">
        <v>170</v>
      </c>
      <c r="U175" s="131">
        <v>142</v>
      </c>
      <c r="V175" s="132">
        <f t="shared" si="39"/>
        <v>312</v>
      </c>
      <c r="W175" s="133">
        <f t="shared" si="40"/>
        <v>2.1224489795918369</v>
      </c>
      <c r="X175" s="130">
        <v>1684</v>
      </c>
      <c r="Y175" s="131">
        <v>1583</v>
      </c>
      <c r="Z175" s="131">
        <v>590</v>
      </c>
      <c r="AA175" s="132">
        <f t="shared" si="41"/>
        <v>3857</v>
      </c>
      <c r="AB175" s="133">
        <f t="shared" si="42"/>
        <v>26.238095238095237</v>
      </c>
      <c r="AC175" s="134">
        <f t="shared" si="43"/>
        <v>4169</v>
      </c>
      <c r="AD175" s="135">
        <f t="shared" si="44"/>
        <v>28.360544217687075</v>
      </c>
      <c r="AE175" s="136">
        <v>25</v>
      </c>
      <c r="AF175" s="137">
        <v>26</v>
      </c>
      <c r="AG175" s="137">
        <v>0</v>
      </c>
      <c r="AH175" s="138">
        <f t="shared" si="45"/>
        <v>51</v>
      </c>
      <c r="AI175" s="133">
        <f t="shared" si="46"/>
        <v>0.34693877551020408</v>
      </c>
    </row>
    <row r="176" spans="1:35">
      <c r="A176" s="171">
        <f>IF('09월 조업일지'!A173="","",'09월 조업일지'!A173)</f>
        <v>46271</v>
      </c>
      <c r="B176" s="172" t="str">
        <f>'09월 조업일지'!E173</f>
        <v>D</v>
      </c>
      <c r="C176" s="172" t="str">
        <f>'09월 조업일지'!F173</f>
        <v>B</v>
      </c>
      <c r="D176" s="172">
        <f>'09월 화학성분'!C173</f>
        <v>85375</v>
      </c>
      <c r="E176" s="351" t="s">
        <v>333</v>
      </c>
      <c r="F176" s="121">
        <v>22</v>
      </c>
      <c r="G176" s="122">
        <v>23600</v>
      </c>
      <c r="H176" s="123">
        <v>18</v>
      </c>
      <c r="I176" s="122">
        <v>20700</v>
      </c>
      <c r="J176" s="123">
        <v>10</v>
      </c>
      <c r="K176" s="122">
        <v>13100</v>
      </c>
      <c r="L176" s="124">
        <f t="shared" si="48"/>
        <v>50</v>
      </c>
      <c r="M176" s="125">
        <f t="shared" si="48"/>
        <v>57400</v>
      </c>
      <c r="N176" s="126">
        <f t="shared" si="35"/>
        <v>160.32608695652175</v>
      </c>
      <c r="O176" s="127">
        <f t="shared" si="36"/>
        <v>140.625</v>
      </c>
      <c r="P176" s="127">
        <f t="shared" si="37"/>
        <v>88.994565217391312</v>
      </c>
      <c r="Q176" s="128">
        <f t="shared" si="38"/>
        <v>389.94565217391306</v>
      </c>
      <c r="R176" s="129">
        <v>147.19999999999999</v>
      </c>
      <c r="S176" s="130">
        <v>0</v>
      </c>
      <c r="T176" s="131">
        <v>136</v>
      </c>
      <c r="U176" s="131">
        <v>184</v>
      </c>
      <c r="V176" s="132">
        <f t="shared" si="39"/>
        <v>320</v>
      </c>
      <c r="W176" s="133">
        <f t="shared" si="40"/>
        <v>2.1739130434782612</v>
      </c>
      <c r="X176" s="130">
        <v>1773</v>
      </c>
      <c r="Y176" s="131">
        <v>1619</v>
      </c>
      <c r="Z176" s="131">
        <v>1105</v>
      </c>
      <c r="AA176" s="132">
        <f t="shared" si="41"/>
        <v>4497</v>
      </c>
      <c r="AB176" s="133">
        <f t="shared" si="42"/>
        <v>30.550271739130437</v>
      </c>
      <c r="AC176" s="134">
        <f t="shared" si="43"/>
        <v>4817</v>
      </c>
      <c r="AD176" s="135">
        <f t="shared" si="44"/>
        <v>32.724184782608695</v>
      </c>
      <c r="AE176" s="136">
        <v>26</v>
      </c>
      <c r="AF176" s="137">
        <v>25</v>
      </c>
      <c r="AG176" s="137">
        <v>0</v>
      </c>
      <c r="AH176" s="138">
        <f t="shared" si="45"/>
        <v>51</v>
      </c>
      <c r="AI176" s="133">
        <f t="shared" si="46"/>
        <v>0.34646739130434784</v>
      </c>
    </row>
    <row r="177" spans="1:35">
      <c r="A177" s="171">
        <f>IF('09월 조업일지'!A174="","",'09월 조업일지'!A174)</f>
        <v>46271</v>
      </c>
      <c r="B177" s="172" t="str">
        <f>'09월 조업일지'!E174</f>
        <v>D</v>
      </c>
      <c r="C177" s="172" t="str">
        <f>'09월 조업일지'!F174</f>
        <v>A</v>
      </c>
      <c r="D177" s="172">
        <f>'09월 화학성분'!C174</f>
        <v>85376</v>
      </c>
      <c r="E177" s="205" t="str">
        <f t="shared" si="47"/>
        <v>S355JO/JR(BL)</v>
      </c>
      <c r="F177" s="121">
        <v>21</v>
      </c>
      <c r="G177" s="122">
        <v>23400</v>
      </c>
      <c r="H177" s="123">
        <v>17</v>
      </c>
      <c r="I177" s="122">
        <v>20600</v>
      </c>
      <c r="J177" s="123">
        <v>9</v>
      </c>
      <c r="K177" s="122">
        <v>10900</v>
      </c>
      <c r="L177" s="124">
        <f t="shared" si="48"/>
        <v>47</v>
      </c>
      <c r="M177" s="125">
        <f t="shared" si="48"/>
        <v>54900</v>
      </c>
      <c r="N177" s="126">
        <f t="shared" si="35"/>
        <v>159.18367346938774</v>
      </c>
      <c r="O177" s="127">
        <f t="shared" si="36"/>
        <v>140.1360544217687</v>
      </c>
      <c r="P177" s="127">
        <f t="shared" si="37"/>
        <v>74.149659863945573</v>
      </c>
      <c r="Q177" s="128">
        <f t="shared" si="38"/>
        <v>373.46938775510205</v>
      </c>
      <c r="R177" s="129">
        <v>147</v>
      </c>
      <c r="S177" s="130">
        <v>0</v>
      </c>
      <c r="T177" s="131">
        <v>82</v>
      </c>
      <c r="U177" s="131">
        <v>266</v>
      </c>
      <c r="V177" s="132">
        <f t="shared" si="39"/>
        <v>348</v>
      </c>
      <c r="W177" s="133">
        <f t="shared" si="40"/>
        <v>2.3673469387755102</v>
      </c>
      <c r="X177" s="130">
        <v>1693</v>
      </c>
      <c r="Y177" s="131">
        <v>1659</v>
      </c>
      <c r="Z177" s="131">
        <v>876</v>
      </c>
      <c r="AA177" s="132">
        <f t="shared" si="41"/>
        <v>4228</v>
      </c>
      <c r="AB177" s="133">
        <f t="shared" si="42"/>
        <v>28.761904761904763</v>
      </c>
      <c r="AC177" s="134">
        <f t="shared" si="43"/>
        <v>4576</v>
      </c>
      <c r="AD177" s="135">
        <f t="shared" si="44"/>
        <v>31.129251700680271</v>
      </c>
      <c r="AE177" s="136">
        <v>26</v>
      </c>
      <c r="AF177" s="137">
        <v>30</v>
      </c>
      <c r="AG177" s="137">
        <v>0</v>
      </c>
      <c r="AH177" s="138">
        <f t="shared" si="45"/>
        <v>56</v>
      </c>
      <c r="AI177" s="133">
        <f t="shared" si="46"/>
        <v>0.38095238095238093</v>
      </c>
    </row>
    <row r="178" spans="1:35">
      <c r="A178" s="171">
        <f>IF('09월 조업일지'!A175="","",'09월 조업일지'!A175)</f>
        <v>46271</v>
      </c>
      <c r="B178" s="172" t="str">
        <f>'09월 조업일지'!E175</f>
        <v>D</v>
      </c>
      <c r="C178" s="172" t="str">
        <f>'09월 조업일지'!F175</f>
        <v>B</v>
      </c>
      <c r="D178" s="172">
        <f>'09월 화학성분'!C175</f>
        <v>85377</v>
      </c>
      <c r="E178" s="351" t="s">
        <v>331</v>
      </c>
      <c r="F178" s="121">
        <v>21</v>
      </c>
      <c r="G178" s="122">
        <v>23600</v>
      </c>
      <c r="H178" s="123">
        <v>18</v>
      </c>
      <c r="I178" s="122">
        <v>20400</v>
      </c>
      <c r="J178" s="123">
        <v>11</v>
      </c>
      <c r="K178" s="122">
        <v>14400</v>
      </c>
      <c r="L178" s="124">
        <f t="shared" si="48"/>
        <v>50</v>
      </c>
      <c r="M178" s="125">
        <f t="shared" si="48"/>
        <v>58400</v>
      </c>
      <c r="N178" s="126">
        <f t="shared" si="35"/>
        <v>157.22851432378414</v>
      </c>
      <c r="O178" s="127">
        <f t="shared" si="36"/>
        <v>135.90939373750834</v>
      </c>
      <c r="P178" s="127">
        <f t="shared" si="37"/>
        <v>95.936042638241176</v>
      </c>
      <c r="Q178" s="128">
        <f t="shared" si="38"/>
        <v>389.07395069953367</v>
      </c>
      <c r="R178" s="129">
        <v>150.1</v>
      </c>
      <c r="S178" s="130">
        <v>0</v>
      </c>
      <c r="T178" s="131">
        <v>137</v>
      </c>
      <c r="U178" s="131">
        <v>229</v>
      </c>
      <c r="V178" s="132">
        <f t="shared" si="39"/>
        <v>366</v>
      </c>
      <c r="W178" s="133">
        <f t="shared" si="40"/>
        <v>2.4383744170552966</v>
      </c>
      <c r="X178" s="130">
        <v>1787</v>
      </c>
      <c r="Y178" s="131">
        <v>1624</v>
      </c>
      <c r="Z178" s="131">
        <v>1183</v>
      </c>
      <c r="AA178" s="132">
        <f t="shared" si="41"/>
        <v>4594</v>
      </c>
      <c r="AB178" s="133">
        <f t="shared" si="42"/>
        <v>30.606262491672219</v>
      </c>
      <c r="AC178" s="134">
        <f t="shared" si="43"/>
        <v>4960</v>
      </c>
      <c r="AD178" s="135">
        <f t="shared" si="44"/>
        <v>33.044636908727519</v>
      </c>
      <c r="AE178" s="136">
        <v>26</v>
      </c>
      <c r="AF178" s="137">
        <v>23</v>
      </c>
      <c r="AG178" s="137">
        <v>0</v>
      </c>
      <c r="AH178" s="138">
        <f t="shared" si="45"/>
        <v>49</v>
      </c>
      <c r="AI178" s="133">
        <f t="shared" si="46"/>
        <v>0.32644903397734842</v>
      </c>
    </row>
    <row r="179" spans="1:35">
      <c r="A179" s="171">
        <f>IF('09월 조업일지'!A176="","",'09월 조업일지'!A176)</f>
        <v>46271</v>
      </c>
      <c r="B179" s="172" t="str">
        <f>'09월 조업일지'!E176</f>
        <v>D</v>
      </c>
      <c r="C179" s="172" t="str">
        <f>'09월 조업일지'!F176</f>
        <v>A</v>
      </c>
      <c r="D179" s="172">
        <f>'09월 화학성분'!C176</f>
        <v>85378</v>
      </c>
      <c r="E179" s="205" t="str">
        <f t="shared" si="47"/>
        <v>SS400-05</v>
      </c>
      <c r="F179" s="121">
        <v>20</v>
      </c>
      <c r="G179" s="122">
        <v>23400</v>
      </c>
      <c r="H179" s="123">
        <v>17</v>
      </c>
      <c r="I179" s="122">
        <v>20500</v>
      </c>
      <c r="J179" s="123">
        <v>8</v>
      </c>
      <c r="K179" s="122">
        <v>10500</v>
      </c>
      <c r="L179" s="124">
        <f t="shared" si="48"/>
        <v>45</v>
      </c>
      <c r="M179" s="125">
        <f t="shared" si="48"/>
        <v>54400</v>
      </c>
      <c r="N179" s="126">
        <f t="shared" si="35"/>
        <v>158.1081081081081</v>
      </c>
      <c r="O179" s="127">
        <f t="shared" si="36"/>
        <v>138.51351351351352</v>
      </c>
      <c r="P179" s="127">
        <f t="shared" si="37"/>
        <v>70.945945945945951</v>
      </c>
      <c r="Q179" s="128">
        <f t="shared" si="38"/>
        <v>367.56756756756755</v>
      </c>
      <c r="R179" s="129">
        <v>148</v>
      </c>
      <c r="S179" s="130">
        <v>0</v>
      </c>
      <c r="T179" s="131">
        <v>90</v>
      </c>
      <c r="U179" s="131">
        <v>312</v>
      </c>
      <c r="V179" s="132">
        <f t="shared" si="39"/>
        <v>402</v>
      </c>
      <c r="W179" s="133">
        <f t="shared" si="40"/>
        <v>2.7162162162162162</v>
      </c>
      <c r="X179" s="130">
        <v>1646</v>
      </c>
      <c r="Y179" s="131">
        <v>1581</v>
      </c>
      <c r="Z179" s="131">
        <v>660</v>
      </c>
      <c r="AA179" s="132">
        <f t="shared" si="41"/>
        <v>3887</v>
      </c>
      <c r="AB179" s="133">
        <f t="shared" si="42"/>
        <v>26.263513513513512</v>
      </c>
      <c r="AC179" s="134">
        <f t="shared" si="43"/>
        <v>4289</v>
      </c>
      <c r="AD179" s="135">
        <f t="shared" si="44"/>
        <v>28.97972972972973</v>
      </c>
      <c r="AE179" s="136">
        <v>25</v>
      </c>
      <c r="AF179" s="137">
        <v>27</v>
      </c>
      <c r="AG179" s="137">
        <v>0</v>
      </c>
      <c r="AH179" s="138">
        <f t="shared" si="45"/>
        <v>52</v>
      </c>
      <c r="AI179" s="133">
        <f t="shared" si="46"/>
        <v>0.35135135135135137</v>
      </c>
    </row>
    <row r="180" spans="1:35">
      <c r="A180" s="171" t="e">
        <f>IF('09월 조업일지'!#REF!="","",'09월 조업일지'!#REF!)</f>
        <v>#REF!</v>
      </c>
      <c r="B180" s="172" t="e">
        <f>'09월 조업일지'!#REF!</f>
        <v>#REF!</v>
      </c>
      <c r="C180" s="172" t="e">
        <f>'09월 조업일지'!#REF!</f>
        <v>#REF!</v>
      </c>
      <c r="D180" s="172">
        <f>'09월 화학성분'!C177</f>
        <v>85379</v>
      </c>
      <c r="E180" s="205" t="str">
        <f t="shared" si="47"/>
        <v>SS400-05</v>
      </c>
      <c r="F180" s="121">
        <v>20</v>
      </c>
      <c r="G180" s="122">
        <v>23400</v>
      </c>
      <c r="H180" s="123">
        <v>18</v>
      </c>
      <c r="I180" s="122">
        <v>20500</v>
      </c>
      <c r="J180" s="123">
        <v>9</v>
      </c>
      <c r="K180" s="122">
        <v>11700</v>
      </c>
      <c r="L180" s="124">
        <f t="shared" si="48"/>
        <v>47</v>
      </c>
      <c r="M180" s="125">
        <f t="shared" si="48"/>
        <v>55600</v>
      </c>
      <c r="N180" s="126">
        <f t="shared" si="35"/>
        <v>159.50920245398774</v>
      </c>
      <c r="O180" s="127">
        <f t="shared" si="36"/>
        <v>139.74096796182687</v>
      </c>
      <c r="P180" s="127">
        <f t="shared" si="37"/>
        <v>79.75460122699387</v>
      </c>
      <c r="Q180" s="128">
        <f t="shared" si="38"/>
        <v>379.00477164280852</v>
      </c>
      <c r="R180" s="129">
        <v>146.69999999999999</v>
      </c>
      <c r="S180" s="130">
        <v>0</v>
      </c>
      <c r="T180" s="131">
        <v>191</v>
      </c>
      <c r="U180" s="131">
        <v>155</v>
      </c>
      <c r="V180" s="132">
        <f t="shared" si="39"/>
        <v>346</v>
      </c>
      <c r="W180" s="133">
        <f t="shared" si="40"/>
        <v>2.3585548738922975</v>
      </c>
      <c r="X180" s="130">
        <v>1723</v>
      </c>
      <c r="Y180" s="131">
        <v>1604</v>
      </c>
      <c r="Z180" s="131">
        <v>656</v>
      </c>
      <c r="AA180" s="132">
        <f t="shared" si="41"/>
        <v>3983</v>
      </c>
      <c r="AB180" s="133">
        <f t="shared" si="42"/>
        <v>27.150647580095434</v>
      </c>
      <c r="AC180" s="134">
        <f t="shared" si="43"/>
        <v>4329</v>
      </c>
      <c r="AD180" s="135">
        <f t="shared" si="44"/>
        <v>29.509202453987733</v>
      </c>
      <c r="AE180" s="136">
        <v>23</v>
      </c>
      <c r="AF180" s="137">
        <v>24</v>
      </c>
      <c r="AG180" s="137">
        <v>0</v>
      </c>
      <c r="AH180" s="138">
        <f t="shared" si="45"/>
        <v>47</v>
      </c>
      <c r="AI180" s="133">
        <f t="shared" si="46"/>
        <v>0.32038173142467624</v>
      </c>
    </row>
    <row r="181" spans="1:35">
      <c r="A181" s="171">
        <f>IF('09월 조업일지'!A177="","",'09월 조업일지'!A177)</f>
        <v>46271</v>
      </c>
      <c r="B181" s="172" t="str">
        <f>'09월 조업일지'!E177</f>
        <v>A</v>
      </c>
      <c r="C181" s="172" t="str">
        <f>'09월 조업일지'!F177</f>
        <v>B</v>
      </c>
      <c r="D181" s="172">
        <f>'09월 화학성분'!C178</f>
        <v>85380</v>
      </c>
      <c r="E181" s="205" t="str">
        <f t="shared" si="47"/>
        <v>SS400-05</v>
      </c>
      <c r="F181" s="121">
        <v>21</v>
      </c>
      <c r="G181" s="122">
        <v>23600</v>
      </c>
      <c r="H181" s="123">
        <v>17</v>
      </c>
      <c r="I181" s="122">
        <v>20600</v>
      </c>
      <c r="J181" s="123">
        <v>12</v>
      </c>
      <c r="K181" s="122">
        <v>14400</v>
      </c>
      <c r="L181" s="124">
        <f t="shared" si="48"/>
        <v>50</v>
      </c>
      <c r="M181" s="125">
        <f t="shared" si="48"/>
        <v>58600</v>
      </c>
      <c r="N181" s="126">
        <f t="shared" si="35"/>
        <v>160.54421768707482</v>
      </c>
      <c r="O181" s="127">
        <f t="shared" si="36"/>
        <v>140.1360544217687</v>
      </c>
      <c r="P181" s="127">
        <f t="shared" si="37"/>
        <v>97.959183673469383</v>
      </c>
      <c r="Q181" s="128">
        <f t="shared" si="38"/>
        <v>398.63945578231289</v>
      </c>
      <c r="R181" s="129">
        <v>147</v>
      </c>
      <c r="S181" s="130">
        <v>0</v>
      </c>
      <c r="T181" s="131">
        <v>60</v>
      </c>
      <c r="U181" s="131">
        <v>293</v>
      </c>
      <c r="V181" s="132">
        <f t="shared" si="39"/>
        <v>353</v>
      </c>
      <c r="W181" s="133">
        <f t="shared" si="40"/>
        <v>2.4013605442176869</v>
      </c>
      <c r="X181" s="130">
        <v>1782</v>
      </c>
      <c r="Y181" s="131">
        <v>1631</v>
      </c>
      <c r="Z181" s="131">
        <v>865</v>
      </c>
      <c r="AA181" s="132">
        <f t="shared" si="41"/>
        <v>4278</v>
      </c>
      <c r="AB181" s="133">
        <f t="shared" si="42"/>
        <v>29.102040816326532</v>
      </c>
      <c r="AC181" s="134">
        <f t="shared" si="43"/>
        <v>4631</v>
      </c>
      <c r="AD181" s="135">
        <f t="shared" si="44"/>
        <v>31.503401360544217</v>
      </c>
      <c r="AE181" s="136">
        <v>26</v>
      </c>
      <c r="AF181" s="137">
        <v>29</v>
      </c>
      <c r="AG181" s="137">
        <v>0</v>
      </c>
      <c r="AH181" s="138">
        <f t="shared" si="45"/>
        <v>55</v>
      </c>
      <c r="AI181" s="133">
        <f t="shared" si="46"/>
        <v>0.37414965986394561</v>
      </c>
    </row>
    <row r="182" spans="1:35">
      <c r="A182" s="171">
        <f>IF('09월 조업일지'!A178="","",'09월 조업일지'!A178)</f>
        <v>46271</v>
      </c>
      <c r="B182" s="172" t="str">
        <f>'09월 조업일지'!E178</f>
        <v>A</v>
      </c>
      <c r="C182" s="172" t="str">
        <f>'09월 조업일지'!F178</f>
        <v>A</v>
      </c>
      <c r="D182" s="172">
        <f>'09월 화학성분'!C179</f>
        <v>85381</v>
      </c>
      <c r="E182" s="205" t="str">
        <f t="shared" si="47"/>
        <v>SS400-05</v>
      </c>
      <c r="F182" s="121">
        <v>21</v>
      </c>
      <c r="G182" s="122">
        <v>23600</v>
      </c>
      <c r="H182" s="123">
        <v>17</v>
      </c>
      <c r="I182" s="122">
        <v>20600</v>
      </c>
      <c r="J182" s="123">
        <v>9</v>
      </c>
      <c r="K182" s="122">
        <v>10400</v>
      </c>
      <c r="L182" s="124">
        <f t="shared" si="48"/>
        <v>47</v>
      </c>
      <c r="M182" s="125">
        <f t="shared" si="48"/>
        <v>54600</v>
      </c>
      <c r="N182" s="126">
        <f t="shared" si="35"/>
        <v>156.60252156602522</v>
      </c>
      <c r="O182" s="127">
        <f t="shared" si="36"/>
        <v>136.69542136695424</v>
      </c>
      <c r="P182" s="127">
        <f t="shared" si="37"/>
        <v>69.011280690112812</v>
      </c>
      <c r="Q182" s="128">
        <f t="shared" si="38"/>
        <v>362.30922362309229</v>
      </c>
      <c r="R182" s="129">
        <v>150.69999999999999</v>
      </c>
      <c r="S182" s="130">
        <v>0</v>
      </c>
      <c r="T182" s="131">
        <v>153</v>
      </c>
      <c r="U182" s="131">
        <v>173</v>
      </c>
      <c r="V182" s="132">
        <f t="shared" si="39"/>
        <v>326</v>
      </c>
      <c r="W182" s="133">
        <f t="shared" si="40"/>
        <v>2.1632382216323824</v>
      </c>
      <c r="X182" s="130">
        <v>1724</v>
      </c>
      <c r="Y182" s="131">
        <v>1596</v>
      </c>
      <c r="Z182" s="131">
        <v>534</v>
      </c>
      <c r="AA182" s="132">
        <f t="shared" si="41"/>
        <v>3854</v>
      </c>
      <c r="AB182" s="133">
        <f t="shared" si="42"/>
        <v>25.573988055739882</v>
      </c>
      <c r="AC182" s="134">
        <f t="shared" si="43"/>
        <v>4180</v>
      </c>
      <c r="AD182" s="135">
        <f t="shared" si="44"/>
        <v>27.737226277372265</v>
      </c>
      <c r="AE182" s="136">
        <v>26</v>
      </c>
      <c r="AF182" s="137">
        <v>23</v>
      </c>
      <c r="AG182" s="137">
        <v>0</v>
      </c>
      <c r="AH182" s="138">
        <f t="shared" si="45"/>
        <v>49</v>
      </c>
      <c r="AI182" s="133">
        <f t="shared" si="46"/>
        <v>0.32514930325149305</v>
      </c>
    </row>
    <row r="183" spans="1:35">
      <c r="A183" s="171">
        <f>IF('09월 조업일지'!A179="","",'09월 조업일지'!A179)</f>
        <v>46271</v>
      </c>
      <c r="B183" s="172" t="str">
        <f>'09월 조업일지'!E179</f>
        <v>A</v>
      </c>
      <c r="C183" s="172" t="str">
        <f>'09월 조업일지'!F179</f>
        <v>B</v>
      </c>
      <c r="D183" s="172">
        <f>'09월 화학성분'!C180</f>
        <v>85382</v>
      </c>
      <c r="E183" s="205" t="str">
        <f t="shared" si="47"/>
        <v>SS400-05</v>
      </c>
      <c r="F183" s="121">
        <v>21</v>
      </c>
      <c r="G183" s="122">
        <v>23200</v>
      </c>
      <c r="H183" s="123">
        <v>18</v>
      </c>
      <c r="I183" s="122">
        <v>20600</v>
      </c>
      <c r="J183" s="123">
        <v>8</v>
      </c>
      <c r="K183" s="122">
        <v>10500</v>
      </c>
      <c r="L183" s="124">
        <f t="shared" si="48"/>
        <v>47</v>
      </c>
      <c r="M183" s="125">
        <f t="shared" si="48"/>
        <v>54300</v>
      </c>
      <c r="N183" s="126">
        <f t="shared" si="35"/>
        <v>152.93342122610417</v>
      </c>
      <c r="O183" s="127">
        <f t="shared" si="36"/>
        <v>135.79433091628215</v>
      </c>
      <c r="P183" s="127">
        <f t="shared" si="37"/>
        <v>69.215557020435071</v>
      </c>
      <c r="Q183" s="128">
        <f t="shared" si="38"/>
        <v>357.94330916282138</v>
      </c>
      <c r="R183" s="129">
        <v>151.69999999999999</v>
      </c>
      <c r="S183" s="130">
        <v>0</v>
      </c>
      <c r="T183" s="131">
        <v>176</v>
      </c>
      <c r="U183" s="131">
        <v>190</v>
      </c>
      <c r="V183" s="132">
        <f t="shared" si="39"/>
        <v>366</v>
      </c>
      <c r="W183" s="133">
        <f t="shared" si="40"/>
        <v>2.4126565589980227</v>
      </c>
      <c r="X183" s="130">
        <v>1717</v>
      </c>
      <c r="Y183" s="131">
        <v>1623</v>
      </c>
      <c r="Z183" s="131">
        <v>625</v>
      </c>
      <c r="AA183" s="132">
        <f t="shared" si="41"/>
        <v>3965</v>
      </c>
      <c r="AB183" s="133">
        <f t="shared" si="42"/>
        <v>26.137112722478577</v>
      </c>
      <c r="AC183" s="134">
        <f t="shared" si="43"/>
        <v>4331</v>
      </c>
      <c r="AD183" s="135">
        <f t="shared" si="44"/>
        <v>28.5497692814766</v>
      </c>
      <c r="AE183" s="136">
        <v>26</v>
      </c>
      <c r="AF183" s="137">
        <v>28</v>
      </c>
      <c r="AG183" s="137">
        <v>0</v>
      </c>
      <c r="AH183" s="138">
        <f t="shared" si="45"/>
        <v>54</v>
      </c>
      <c r="AI183" s="133">
        <f t="shared" si="46"/>
        <v>0.35596572181938041</v>
      </c>
    </row>
    <row r="184" spans="1:35">
      <c r="A184" s="171">
        <f>IF('09월 조업일지'!A180="","",'09월 조업일지'!A180)</f>
        <v>46271</v>
      </c>
      <c r="B184" s="172" t="str">
        <f>'09월 조업일지'!E180</f>
        <v>A</v>
      </c>
      <c r="C184" s="172" t="str">
        <f>'09월 조업일지'!F180</f>
        <v>B</v>
      </c>
      <c r="D184" s="172">
        <f>'09월 화학성분'!C181</f>
        <v>85383</v>
      </c>
      <c r="E184" s="205" t="str">
        <f t="shared" si="47"/>
        <v>SS400-05</v>
      </c>
      <c r="F184" s="121">
        <v>21</v>
      </c>
      <c r="G184" s="122">
        <v>23500</v>
      </c>
      <c r="H184" s="123">
        <v>18</v>
      </c>
      <c r="I184" s="122">
        <v>20600</v>
      </c>
      <c r="J184" s="123">
        <v>7</v>
      </c>
      <c r="K184" s="122">
        <v>9900</v>
      </c>
      <c r="L184" s="124">
        <f t="shared" si="48"/>
        <v>46</v>
      </c>
      <c r="M184" s="125">
        <f t="shared" si="48"/>
        <v>54000</v>
      </c>
      <c r="N184" s="126">
        <f t="shared" si="35"/>
        <v>156.04249667994688</v>
      </c>
      <c r="O184" s="127">
        <f t="shared" si="36"/>
        <v>136.78618857901728</v>
      </c>
      <c r="P184" s="127">
        <f t="shared" si="37"/>
        <v>65.737051792828694</v>
      </c>
      <c r="Q184" s="128">
        <f t="shared" si="38"/>
        <v>358.56573705179284</v>
      </c>
      <c r="R184" s="129">
        <v>150.6</v>
      </c>
      <c r="S184" s="130">
        <v>0</v>
      </c>
      <c r="T184" s="131">
        <v>132</v>
      </c>
      <c r="U184" s="131">
        <v>190</v>
      </c>
      <c r="V184" s="132">
        <f t="shared" si="39"/>
        <v>322</v>
      </c>
      <c r="W184" s="133">
        <f t="shared" si="40"/>
        <v>2.1381142098273571</v>
      </c>
      <c r="X184" s="130">
        <v>1654</v>
      </c>
      <c r="Y184" s="131">
        <v>1599</v>
      </c>
      <c r="Z184" s="131">
        <v>663</v>
      </c>
      <c r="AA184" s="132">
        <f t="shared" si="41"/>
        <v>3916</v>
      </c>
      <c r="AB184" s="133">
        <f t="shared" si="42"/>
        <v>26.002656042496682</v>
      </c>
      <c r="AC184" s="134">
        <f t="shared" si="43"/>
        <v>4238</v>
      </c>
      <c r="AD184" s="135">
        <f t="shared" si="44"/>
        <v>28.140770252324039</v>
      </c>
      <c r="AE184" s="136">
        <v>26</v>
      </c>
      <c r="AF184" s="137">
        <v>24</v>
      </c>
      <c r="AG184" s="137">
        <v>0</v>
      </c>
      <c r="AH184" s="138">
        <f t="shared" si="45"/>
        <v>50</v>
      </c>
      <c r="AI184" s="133">
        <f t="shared" si="46"/>
        <v>0.3320053120849934</v>
      </c>
    </row>
    <row r="185" spans="1:35">
      <c r="A185" s="171">
        <f>IF('09월 조업일지'!A181="","",'09월 조업일지'!A181)</f>
        <v>46271</v>
      </c>
      <c r="B185" s="172" t="str">
        <f>'09월 조업일지'!E181</f>
        <v>A</v>
      </c>
      <c r="C185" s="172" t="str">
        <f>'09월 조업일지'!F181</f>
        <v>B</v>
      </c>
      <c r="D185" s="172">
        <f>'09월 화학성분'!C182</f>
        <v>85384</v>
      </c>
      <c r="E185" s="205" t="str">
        <f t="shared" si="47"/>
        <v>SS400-05</v>
      </c>
      <c r="F185" s="121">
        <v>20</v>
      </c>
      <c r="G185" s="122">
        <v>23400</v>
      </c>
      <c r="H185" s="123">
        <v>17</v>
      </c>
      <c r="I185" s="122">
        <v>20300</v>
      </c>
      <c r="J185" s="123">
        <v>14</v>
      </c>
      <c r="K185" s="122">
        <v>13300</v>
      </c>
      <c r="L185" s="124">
        <f t="shared" si="48"/>
        <v>51</v>
      </c>
      <c r="M185" s="125">
        <f t="shared" si="48"/>
        <v>57000</v>
      </c>
      <c r="N185" s="126">
        <f t="shared" si="35"/>
        <v>152.54237288135593</v>
      </c>
      <c r="O185" s="127">
        <f t="shared" si="36"/>
        <v>132.33376792698826</v>
      </c>
      <c r="P185" s="127">
        <f t="shared" si="37"/>
        <v>86.701434159061279</v>
      </c>
      <c r="Q185" s="128">
        <f t="shared" si="38"/>
        <v>371.57757496740544</v>
      </c>
      <c r="R185" s="129">
        <v>153.4</v>
      </c>
      <c r="S185" s="130">
        <v>0</v>
      </c>
      <c r="T185" s="131">
        <v>92</v>
      </c>
      <c r="U185" s="131">
        <v>333</v>
      </c>
      <c r="V185" s="132">
        <f t="shared" si="39"/>
        <v>425</v>
      </c>
      <c r="W185" s="133">
        <f t="shared" si="40"/>
        <v>2.7705345501955669</v>
      </c>
      <c r="X185" s="130">
        <v>1679</v>
      </c>
      <c r="Y185" s="131">
        <v>1561</v>
      </c>
      <c r="Z185" s="131">
        <v>1288</v>
      </c>
      <c r="AA185" s="132">
        <f t="shared" si="41"/>
        <v>4528</v>
      </c>
      <c r="AB185" s="133">
        <f t="shared" si="42"/>
        <v>29.517601043024772</v>
      </c>
      <c r="AC185" s="134">
        <f t="shared" si="43"/>
        <v>4953</v>
      </c>
      <c r="AD185" s="135">
        <f t="shared" si="44"/>
        <v>32.288135593220339</v>
      </c>
      <c r="AE185" s="136">
        <v>23</v>
      </c>
      <c r="AF185" s="137">
        <v>29</v>
      </c>
      <c r="AG185" s="137">
        <v>0</v>
      </c>
      <c r="AH185" s="138">
        <f t="shared" si="45"/>
        <v>52</v>
      </c>
      <c r="AI185" s="133">
        <f t="shared" si="46"/>
        <v>0.33898305084745761</v>
      </c>
    </row>
    <row r="186" spans="1:35">
      <c r="A186" s="171">
        <f>IF('09월 조업일지'!A182="","",'09월 조업일지'!A182)</f>
        <v>46272</v>
      </c>
      <c r="B186" s="172" t="str">
        <f>'09월 조업일지'!E182</f>
        <v>A</v>
      </c>
      <c r="C186" s="172" t="str">
        <f>'09월 조업일지'!F182</f>
        <v>B</v>
      </c>
      <c r="D186" s="172">
        <f>'09월 화학성분'!C183</f>
        <v>85385</v>
      </c>
      <c r="E186" s="205" t="str">
        <f t="shared" si="47"/>
        <v>SS400-05</v>
      </c>
      <c r="F186" s="121">
        <v>20</v>
      </c>
      <c r="G186" s="122">
        <v>23700</v>
      </c>
      <c r="H186" s="123">
        <v>18</v>
      </c>
      <c r="I186" s="122">
        <v>20900</v>
      </c>
      <c r="J186" s="123">
        <v>6</v>
      </c>
      <c r="K186" s="122">
        <v>8200</v>
      </c>
      <c r="L186" s="124">
        <f t="shared" si="48"/>
        <v>44</v>
      </c>
      <c r="M186" s="125">
        <f t="shared" si="48"/>
        <v>52800</v>
      </c>
      <c r="N186" s="126">
        <f t="shared" si="35"/>
        <v>156.95364238410596</v>
      </c>
      <c r="O186" s="127">
        <f t="shared" si="36"/>
        <v>138.41059602649005</v>
      </c>
      <c r="P186" s="127">
        <f t="shared" si="37"/>
        <v>54.304635761589402</v>
      </c>
      <c r="Q186" s="128">
        <f t="shared" si="38"/>
        <v>349.66887417218544</v>
      </c>
      <c r="R186" s="129">
        <v>151</v>
      </c>
      <c r="S186" s="130">
        <v>0</v>
      </c>
      <c r="T186" s="131">
        <v>182</v>
      </c>
      <c r="U186" s="131">
        <v>239</v>
      </c>
      <c r="V186" s="132">
        <f t="shared" si="39"/>
        <v>421</v>
      </c>
      <c r="W186" s="133">
        <f t="shared" si="40"/>
        <v>2.7880794701986753</v>
      </c>
      <c r="X186" s="130">
        <v>1735</v>
      </c>
      <c r="Y186" s="131">
        <v>1629</v>
      </c>
      <c r="Z186" s="131">
        <v>682</v>
      </c>
      <c r="AA186" s="132">
        <f t="shared" si="41"/>
        <v>4046</v>
      </c>
      <c r="AB186" s="133">
        <f t="shared" si="42"/>
        <v>26.794701986754966</v>
      </c>
      <c r="AC186" s="134">
        <f t="shared" si="43"/>
        <v>4467</v>
      </c>
      <c r="AD186" s="135">
        <f t="shared" si="44"/>
        <v>29.582781456953644</v>
      </c>
      <c r="AE186" s="136">
        <v>25</v>
      </c>
      <c r="AF186" s="137">
        <v>22</v>
      </c>
      <c r="AG186" s="137">
        <v>0</v>
      </c>
      <c r="AH186" s="138">
        <f t="shared" si="45"/>
        <v>47</v>
      </c>
      <c r="AI186" s="133">
        <f t="shared" si="46"/>
        <v>0.31125827814569534</v>
      </c>
    </row>
    <row r="187" spans="1:35">
      <c r="A187" s="171">
        <f>IF('09월 조업일지'!A183="","",'09월 조업일지'!A183)</f>
        <v>46272</v>
      </c>
      <c r="B187" s="172" t="str">
        <f>'09월 조업일지'!E183</f>
        <v>A</v>
      </c>
      <c r="C187" s="172" t="str">
        <f>'09월 조업일지'!F183</f>
        <v>A</v>
      </c>
      <c r="D187" s="172">
        <f>'09월 화학성분'!C184</f>
        <v>85386</v>
      </c>
      <c r="E187" s="205" t="str">
        <f t="shared" si="47"/>
        <v>SS400-05</v>
      </c>
      <c r="F187" s="121">
        <v>22</v>
      </c>
      <c r="G187" s="122">
        <v>23700</v>
      </c>
      <c r="H187" s="123">
        <v>17</v>
      </c>
      <c r="I187" s="122">
        <v>20500</v>
      </c>
      <c r="J187" s="123">
        <v>9</v>
      </c>
      <c r="K187" s="122">
        <v>10700</v>
      </c>
      <c r="L187" s="124">
        <f t="shared" si="48"/>
        <v>48</v>
      </c>
      <c r="M187" s="125">
        <f t="shared" si="48"/>
        <v>54900</v>
      </c>
      <c r="N187" s="126">
        <f t="shared" si="35"/>
        <v>155.92105263157896</v>
      </c>
      <c r="O187" s="127">
        <f t="shared" si="36"/>
        <v>134.86842105263159</v>
      </c>
      <c r="P187" s="127">
        <f t="shared" si="37"/>
        <v>70.39473684210526</v>
      </c>
      <c r="Q187" s="128">
        <f t="shared" si="38"/>
        <v>361.18421052631578</v>
      </c>
      <c r="R187" s="129">
        <v>152</v>
      </c>
      <c r="S187" s="130">
        <v>0</v>
      </c>
      <c r="T187" s="131">
        <v>185</v>
      </c>
      <c r="U187" s="131">
        <v>175</v>
      </c>
      <c r="V187" s="132">
        <f t="shared" si="39"/>
        <v>360</v>
      </c>
      <c r="W187" s="133">
        <f t="shared" si="40"/>
        <v>2.3684210526315788</v>
      </c>
      <c r="X187" s="130">
        <v>1809</v>
      </c>
      <c r="Y187" s="131">
        <v>1614</v>
      </c>
      <c r="Z187" s="131">
        <v>731</v>
      </c>
      <c r="AA187" s="132">
        <f t="shared" si="41"/>
        <v>4154</v>
      </c>
      <c r="AB187" s="133">
        <f t="shared" si="42"/>
        <v>27.328947368421051</v>
      </c>
      <c r="AC187" s="134">
        <f t="shared" si="43"/>
        <v>4514</v>
      </c>
      <c r="AD187" s="135">
        <f t="shared" si="44"/>
        <v>29.69736842105263</v>
      </c>
      <c r="AE187" s="136">
        <v>25</v>
      </c>
      <c r="AF187" s="137">
        <v>30</v>
      </c>
      <c r="AG187" s="137">
        <v>0</v>
      </c>
      <c r="AH187" s="138">
        <f t="shared" si="45"/>
        <v>55</v>
      </c>
      <c r="AI187" s="133">
        <f t="shared" si="46"/>
        <v>0.36184210526315791</v>
      </c>
    </row>
    <row r="188" spans="1:35">
      <c r="A188" s="171">
        <f>IF('09월 조업일지'!A184="","",'09월 조업일지'!A184)</f>
        <v>46272</v>
      </c>
      <c r="B188" s="172" t="str">
        <f>'09월 조업일지'!E184</f>
        <v>A</v>
      </c>
      <c r="C188" s="172" t="str">
        <f>'09월 조업일지'!F184</f>
        <v>B</v>
      </c>
      <c r="D188" s="172">
        <f>'09월 화학성분'!C185</f>
        <v>85387</v>
      </c>
      <c r="E188" s="205" t="str">
        <f t="shared" si="47"/>
        <v>SS400-05</v>
      </c>
      <c r="F188" s="121">
        <v>20</v>
      </c>
      <c r="G188" s="122">
        <v>23500</v>
      </c>
      <c r="H188" s="123">
        <v>18</v>
      </c>
      <c r="I188" s="122">
        <v>20800</v>
      </c>
      <c r="J188" s="123">
        <v>8</v>
      </c>
      <c r="K188" s="122">
        <v>9600</v>
      </c>
      <c r="L188" s="124">
        <f t="shared" si="48"/>
        <v>46</v>
      </c>
      <c r="M188" s="125">
        <f t="shared" si="48"/>
        <v>53900</v>
      </c>
      <c r="N188" s="126">
        <f t="shared" si="35"/>
        <v>155.62913907284769</v>
      </c>
      <c r="O188" s="127">
        <f t="shared" si="36"/>
        <v>137.74834437086093</v>
      </c>
      <c r="P188" s="127">
        <f t="shared" si="37"/>
        <v>63.576158940397349</v>
      </c>
      <c r="Q188" s="128">
        <f t="shared" si="38"/>
        <v>356.95364238410599</v>
      </c>
      <c r="R188" s="129">
        <v>151</v>
      </c>
      <c r="S188" s="130">
        <v>0</v>
      </c>
      <c r="T188" s="131">
        <v>205</v>
      </c>
      <c r="U188" s="131">
        <v>131</v>
      </c>
      <c r="V188" s="132">
        <f t="shared" si="39"/>
        <v>336</v>
      </c>
      <c r="W188" s="133">
        <f t="shared" si="40"/>
        <v>2.2251655629139071</v>
      </c>
      <c r="X188" s="130">
        <v>1684</v>
      </c>
      <c r="Y188" s="131">
        <v>1660</v>
      </c>
      <c r="Z188" s="131">
        <v>655</v>
      </c>
      <c r="AA188" s="132">
        <f t="shared" si="41"/>
        <v>3999</v>
      </c>
      <c r="AB188" s="133">
        <f t="shared" si="42"/>
        <v>26.483443708609272</v>
      </c>
      <c r="AC188" s="134">
        <f t="shared" si="43"/>
        <v>4335</v>
      </c>
      <c r="AD188" s="135">
        <f t="shared" si="44"/>
        <v>28.70860927152318</v>
      </c>
      <c r="AE188" s="136">
        <v>26</v>
      </c>
      <c r="AF188" s="137">
        <v>26</v>
      </c>
      <c r="AG188" s="137">
        <v>0</v>
      </c>
      <c r="AH188" s="138">
        <f t="shared" si="45"/>
        <v>52</v>
      </c>
      <c r="AI188" s="133">
        <f t="shared" si="46"/>
        <v>0.3443708609271523</v>
      </c>
    </row>
    <row r="189" spans="1:35">
      <c r="A189" s="171">
        <f>IF('09월 조업일지'!A185="","",'09월 조업일지'!A185)</f>
        <v>46272</v>
      </c>
      <c r="B189" s="172" t="str">
        <f>'09월 조업일지'!E185</f>
        <v>A</v>
      </c>
      <c r="C189" s="172" t="str">
        <f>'09월 조업일지'!F185</f>
        <v>A</v>
      </c>
      <c r="D189" s="172">
        <f>'09월 화학성분'!C186</f>
        <v>85388</v>
      </c>
      <c r="E189" s="205" t="str">
        <f t="shared" si="47"/>
        <v>SS400-05</v>
      </c>
      <c r="F189" s="121">
        <v>21</v>
      </c>
      <c r="G189" s="122">
        <v>23500</v>
      </c>
      <c r="H189" s="123">
        <v>19</v>
      </c>
      <c r="I189" s="122">
        <v>20600</v>
      </c>
      <c r="J189" s="123">
        <v>7</v>
      </c>
      <c r="K189" s="122">
        <v>9400</v>
      </c>
      <c r="L189" s="124">
        <f t="shared" si="48"/>
        <v>47</v>
      </c>
      <c r="M189" s="125">
        <f t="shared" si="48"/>
        <v>53500</v>
      </c>
      <c r="N189" s="126">
        <f t="shared" si="35"/>
        <v>155.42328042328043</v>
      </c>
      <c r="O189" s="127">
        <f t="shared" si="36"/>
        <v>136.24338624338625</v>
      </c>
      <c r="P189" s="127">
        <f t="shared" si="37"/>
        <v>62.169312169312171</v>
      </c>
      <c r="Q189" s="128">
        <f t="shared" si="38"/>
        <v>353.83597883597884</v>
      </c>
      <c r="R189" s="129">
        <v>151.19999999999999</v>
      </c>
      <c r="S189" s="130">
        <v>0</v>
      </c>
      <c r="T189" s="131">
        <v>213</v>
      </c>
      <c r="U189" s="131">
        <v>126</v>
      </c>
      <c r="V189" s="132">
        <f t="shared" si="39"/>
        <v>339</v>
      </c>
      <c r="W189" s="133">
        <f t="shared" si="40"/>
        <v>2.2420634920634921</v>
      </c>
      <c r="X189" s="130">
        <v>1653</v>
      </c>
      <c r="Y189" s="131">
        <v>1639</v>
      </c>
      <c r="Z189" s="131">
        <v>691</v>
      </c>
      <c r="AA189" s="132">
        <f t="shared" si="41"/>
        <v>3983</v>
      </c>
      <c r="AB189" s="133">
        <f t="shared" si="42"/>
        <v>26.342592592592595</v>
      </c>
      <c r="AC189" s="134">
        <f t="shared" si="43"/>
        <v>4322</v>
      </c>
      <c r="AD189" s="135">
        <f t="shared" si="44"/>
        <v>28.584656084656086</v>
      </c>
      <c r="AE189" s="136">
        <v>25</v>
      </c>
      <c r="AF189" s="137">
        <v>29</v>
      </c>
      <c r="AG189" s="137">
        <v>0</v>
      </c>
      <c r="AH189" s="138">
        <f t="shared" si="45"/>
        <v>54</v>
      </c>
      <c r="AI189" s="133">
        <f t="shared" si="46"/>
        <v>0.35714285714285715</v>
      </c>
    </row>
    <row r="190" spans="1:35">
      <c r="A190" s="171">
        <f>IF('09월 조업일지'!A186="","",'09월 조업일지'!A186)</f>
        <v>46272</v>
      </c>
      <c r="B190" s="172" t="str">
        <f>'09월 조업일지'!E186</f>
        <v>B</v>
      </c>
      <c r="C190" s="172" t="str">
        <f>'09월 조업일지'!F186</f>
        <v>B</v>
      </c>
      <c r="D190" s="172">
        <f>'09월 화학성분'!C187</f>
        <v>85389</v>
      </c>
      <c r="E190" s="205" t="str">
        <f t="shared" si="47"/>
        <v>SS400-05</v>
      </c>
      <c r="F190" s="121">
        <v>20</v>
      </c>
      <c r="G190" s="122">
        <v>23200</v>
      </c>
      <c r="H190" s="123">
        <v>18</v>
      </c>
      <c r="I190" s="122">
        <v>20600</v>
      </c>
      <c r="J190" s="123">
        <v>11</v>
      </c>
      <c r="K190" s="122">
        <v>14200</v>
      </c>
      <c r="L190" s="124">
        <f t="shared" si="48"/>
        <v>49</v>
      </c>
      <c r="M190" s="125">
        <f t="shared" si="48"/>
        <v>58000</v>
      </c>
      <c r="N190" s="126">
        <f t="shared" si="35"/>
        <v>154.46071904127831</v>
      </c>
      <c r="O190" s="127">
        <f t="shared" si="36"/>
        <v>137.15046604527299</v>
      </c>
      <c r="P190" s="127">
        <f t="shared" si="37"/>
        <v>94.540612516644487</v>
      </c>
      <c r="Q190" s="128">
        <f t="shared" si="38"/>
        <v>386.1517976031958</v>
      </c>
      <c r="R190" s="129">
        <v>150.19999999999999</v>
      </c>
      <c r="S190" s="130">
        <v>0</v>
      </c>
      <c r="T190" s="131">
        <v>149</v>
      </c>
      <c r="U190" s="131">
        <v>447</v>
      </c>
      <c r="V190" s="132">
        <f t="shared" si="39"/>
        <v>596</v>
      </c>
      <c r="W190" s="133">
        <f t="shared" si="40"/>
        <v>3.9680426098535291</v>
      </c>
      <c r="X190" s="130">
        <v>1732</v>
      </c>
      <c r="Y190" s="131">
        <v>1602</v>
      </c>
      <c r="Z190" s="131">
        <v>1305</v>
      </c>
      <c r="AA190" s="132">
        <f t="shared" si="41"/>
        <v>4639</v>
      </c>
      <c r="AB190" s="133">
        <f t="shared" si="42"/>
        <v>30.885486018641814</v>
      </c>
      <c r="AC190" s="134">
        <f t="shared" si="43"/>
        <v>5235</v>
      </c>
      <c r="AD190" s="135">
        <f t="shared" si="44"/>
        <v>34.85352862849534</v>
      </c>
      <c r="AE190" s="136">
        <v>26</v>
      </c>
      <c r="AF190" s="137">
        <v>19</v>
      </c>
      <c r="AG190" s="137">
        <v>0</v>
      </c>
      <c r="AH190" s="138">
        <f t="shared" si="45"/>
        <v>45</v>
      </c>
      <c r="AI190" s="133">
        <f t="shared" si="46"/>
        <v>0.29960053262316916</v>
      </c>
    </row>
    <row r="191" spans="1:35">
      <c r="A191" s="171">
        <f>IF('09월 조업일지'!A187="","",'09월 조업일지'!A187)</f>
        <v>46272</v>
      </c>
      <c r="B191" s="172" t="str">
        <f>'09월 조업일지'!E187</f>
        <v>B</v>
      </c>
      <c r="C191" s="172" t="str">
        <f>'09월 조업일지'!F187</f>
        <v>A</v>
      </c>
      <c r="D191" s="172">
        <f>'09월 화학성분'!C188</f>
        <v>85390</v>
      </c>
      <c r="E191" s="205" t="str">
        <f t="shared" si="47"/>
        <v>SS400-05</v>
      </c>
      <c r="F191" s="121">
        <v>20</v>
      </c>
      <c r="G191" s="122">
        <v>23400</v>
      </c>
      <c r="H191" s="123">
        <v>18</v>
      </c>
      <c r="I191" s="122">
        <v>20400</v>
      </c>
      <c r="J191" s="123">
        <v>8</v>
      </c>
      <c r="K191" s="122">
        <v>10700</v>
      </c>
      <c r="L191" s="124">
        <f t="shared" si="48"/>
        <v>46</v>
      </c>
      <c r="M191" s="125">
        <f t="shared" si="48"/>
        <v>54500</v>
      </c>
      <c r="N191" s="126">
        <f t="shared" si="35"/>
        <v>155.8960692871419</v>
      </c>
      <c r="O191" s="127">
        <f t="shared" si="36"/>
        <v>135.90939373750834</v>
      </c>
      <c r="P191" s="127">
        <f t="shared" si="37"/>
        <v>71.285809460359758</v>
      </c>
      <c r="Q191" s="128">
        <f t="shared" si="38"/>
        <v>363.09127248500999</v>
      </c>
      <c r="R191" s="129">
        <v>150.1</v>
      </c>
      <c r="S191" s="130">
        <v>0</v>
      </c>
      <c r="T191" s="131">
        <v>153</v>
      </c>
      <c r="U191" s="131">
        <v>204</v>
      </c>
      <c r="V191" s="132">
        <f t="shared" si="39"/>
        <v>357</v>
      </c>
      <c r="W191" s="133">
        <f t="shared" si="40"/>
        <v>2.3784143904063959</v>
      </c>
      <c r="X191" s="130">
        <v>1450</v>
      </c>
      <c r="Y191" s="131">
        <v>1611</v>
      </c>
      <c r="Z191" s="131">
        <v>733</v>
      </c>
      <c r="AA191" s="132">
        <f t="shared" si="41"/>
        <v>3794</v>
      </c>
      <c r="AB191" s="133">
        <f t="shared" si="42"/>
        <v>25.276482345103265</v>
      </c>
      <c r="AC191" s="134">
        <f t="shared" si="43"/>
        <v>4151</v>
      </c>
      <c r="AD191" s="135">
        <f t="shared" si="44"/>
        <v>27.654896735509663</v>
      </c>
      <c r="AE191" s="136">
        <v>11</v>
      </c>
      <c r="AF191" s="137">
        <v>28</v>
      </c>
      <c r="AG191" s="137">
        <v>0</v>
      </c>
      <c r="AH191" s="138">
        <f t="shared" si="45"/>
        <v>39</v>
      </c>
      <c r="AI191" s="133">
        <f t="shared" si="46"/>
        <v>0.25982678214523652</v>
      </c>
    </row>
    <row r="192" spans="1:35">
      <c r="A192" s="171">
        <f>IF('09월 조업일지'!A188="","",'09월 조업일지'!A188)</f>
        <v>46272</v>
      </c>
      <c r="B192" s="172" t="str">
        <f>'09월 조업일지'!E188</f>
        <v>B</v>
      </c>
      <c r="C192" s="172" t="str">
        <f>'09월 조업일지'!F188</f>
        <v>B</v>
      </c>
      <c r="D192" s="172">
        <f>'09월 화학성분'!C189</f>
        <v>85391</v>
      </c>
      <c r="E192" s="205" t="str">
        <f t="shared" si="47"/>
        <v>SS400-05</v>
      </c>
      <c r="F192" s="121">
        <v>21</v>
      </c>
      <c r="G192" s="122">
        <v>24600</v>
      </c>
      <c r="H192" s="123">
        <v>17</v>
      </c>
      <c r="I192" s="122">
        <v>20400</v>
      </c>
      <c r="J192" s="123">
        <v>10</v>
      </c>
      <c r="K192" s="122">
        <v>12300</v>
      </c>
      <c r="L192" s="124">
        <f t="shared" si="48"/>
        <v>48</v>
      </c>
      <c r="M192" s="125">
        <f t="shared" si="48"/>
        <v>57300</v>
      </c>
      <c r="N192" s="126">
        <f t="shared" si="35"/>
        <v>168.26265389876883</v>
      </c>
      <c r="O192" s="127">
        <f t="shared" si="36"/>
        <v>139.53488372093025</v>
      </c>
      <c r="P192" s="127">
        <f t="shared" si="37"/>
        <v>84.131326949384416</v>
      </c>
      <c r="Q192" s="128">
        <f t="shared" si="38"/>
        <v>391.92886456908349</v>
      </c>
      <c r="R192" s="129">
        <v>146.19999999999999</v>
      </c>
      <c r="S192" s="130">
        <v>0</v>
      </c>
      <c r="T192" s="131">
        <v>209</v>
      </c>
      <c r="U192" s="131">
        <v>202</v>
      </c>
      <c r="V192" s="132">
        <f t="shared" si="39"/>
        <v>411</v>
      </c>
      <c r="W192" s="133">
        <f t="shared" si="40"/>
        <v>2.811217510259918</v>
      </c>
      <c r="X192" s="130">
        <v>1812</v>
      </c>
      <c r="Y192" s="131">
        <v>1606</v>
      </c>
      <c r="Z192" s="131">
        <v>871</v>
      </c>
      <c r="AA192" s="132">
        <f t="shared" si="41"/>
        <v>4289</v>
      </c>
      <c r="AB192" s="133">
        <f t="shared" si="42"/>
        <v>29.33652530779754</v>
      </c>
      <c r="AC192" s="134">
        <f t="shared" si="43"/>
        <v>4700</v>
      </c>
      <c r="AD192" s="135">
        <f t="shared" si="44"/>
        <v>32.147742818057459</v>
      </c>
      <c r="AE192" s="136">
        <v>26</v>
      </c>
      <c r="AF192" s="137">
        <v>20</v>
      </c>
      <c r="AG192" s="137">
        <v>0</v>
      </c>
      <c r="AH192" s="138">
        <f t="shared" si="45"/>
        <v>46</v>
      </c>
      <c r="AI192" s="133">
        <f t="shared" si="46"/>
        <v>0.31463748290013682</v>
      </c>
    </row>
    <row r="193" spans="1:35">
      <c r="A193" s="171">
        <f>IF('09월 조업일지'!A189="","",'09월 조업일지'!A189)</f>
        <v>46272</v>
      </c>
      <c r="B193" s="172" t="str">
        <f>'09월 조업일지'!E189</f>
        <v>B</v>
      </c>
      <c r="C193" s="172" t="str">
        <f>'09월 조업일지'!F189</f>
        <v>A</v>
      </c>
      <c r="D193" s="172">
        <f>'09월 화학성분'!C190</f>
        <v>85392</v>
      </c>
      <c r="E193" s="205" t="str">
        <f t="shared" si="47"/>
        <v>SS400-05</v>
      </c>
      <c r="F193" s="121">
        <v>20</v>
      </c>
      <c r="G193" s="122">
        <v>23500</v>
      </c>
      <c r="H193" s="123">
        <v>18</v>
      </c>
      <c r="I193" s="122">
        <v>20700</v>
      </c>
      <c r="J193" s="123">
        <v>8</v>
      </c>
      <c r="K193" s="122">
        <v>10800</v>
      </c>
      <c r="L193" s="124">
        <f t="shared" si="48"/>
        <v>46</v>
      </c>
      <c r="M193" s="125">
        <f t="shared" si="48"/>
        <v>55000</v>
      </c>
      <c r="N193" s="126">
        <f t="shared" si="35"/>
        <v>162.62975778546712</v>
      </c>
      <c r="O193" s="127">
        <f t="shared" si="36"/>
        <v>143.25259515570934</v>
      </c>
      <c r="P193" s="127">
        <f t="shared" si="37"/>
        <v>74.740484429065745</v>
      </c>
      <c r="Q193" s="128">
        <f t="shared" si="38"/>
        <v>380.62283737024222</v>
      </c>
      <c r="R193" s="129">
        <v>144.5</v>
      </c>
      <c r="S193" s="130">
        <v>0</v>
      </c>
      <c r="T193" s="131">
        <v>220</v>
      </c>
      <c r="U193" s="131">
        <v>152</v>
      </c>
      <c r="V193" s="132">
        <f t="shared" si="39"/>
        <v>372</v>
      </c>
      <c r="W193" s="133">
        <f t="shared" si="40"/>
        <v>2.57439446366782</v>
      </c>
      <c r="X193" s="130">
        <v>1664</v>
      </c>
      <c r="Y193" s="131">
        <v>1644</v>
      </c>
      <c r="Z193" s="131">
        <v>840</v>
      </c>
      <c r="AA193" s="132">
        <f t="shared" si="41"/>
        <v>4148</v>
      </c>
      <c r="AB193" s="133">
        <f t="shared" si="42"/>
        <v>28.705882352941178</v>
      </c>
      <c r="AC193" s="134">
        <f t="shared" si="43"/>
        <v>4520</v>
      </c>
      <c r="AD193" s="135">
        <f t="shared" si="44"/>
        <v>31.280276816608996</v>
      </c>
      <c r="AE193" s="136">
        <v>23</v>
      </c>
      <c r="AF193" s="137">
        <v>28</v>
      </c>
      <c r="AG193" s="137">
        <v>0</v>
      </c>
      <c r="AH193" s="138">
        <f t="shared" si="45"/>
        <v>51</v>
      </c>
      <c r="AI193" s="133">
        <f t="shared" si="46"/>
        <v>0.35294117647058826</v>
      </c>
    </row>
    <row r="194" spans="1:35">
      <c r="A194" s="171">
        <f>IF('09월 조업일지'!A190="","",'09월 조업일지'!A190)</f>
        <v>46272</v>
      </c>
      <c r="B194" s="172" t="str">
        <f>'09월 조업일지'!E190</f>
        <v>B</v>
      </c>
      <c r="C194" s="172" t="str">
        <f>'09월 조업일지'!F190</f>
        <v>B</v>
      </c>
      <c r="D194" s="172">
        <f>'09월 화학성분'!C191</f>
        <v>85393</v>
      </c>
      <c r="E194" s="205" t="str">
        <f t="shared" si="47"/>
        <v>SS400-05</v>
      </c>
      <c r="F194" s="121">
        <v>20</v>
      </c>
      <c r="G194" s="122">
        <v>23100</v>
      </c>
      <c r="H194" s="123">
        <v>17</v>
      </c>
      <c r="I194" s="122">
        <v>20600</v>
      </c>
      <c r="J194" s="123">
        <v>8</v>
      </c>
      <c r="K194" s="122">
        <v>10700</v>
      </c>
      <c r="L194" s="124">
        <f t="shared" si="48"/>
        <v>45</v>
      </c>
      <c r="M194" s="125">
        <f t="shared" si="48"/>
        <v>54400</v>
      </c>
      <c r="N194" s="126">
        <f t="shared" si="35"/>
        <v>157.03602991162475</v>
      </c>
      <c r="O194" s="127">
        <f t="shared" si="36"/>
        <v>140.04078857919782</v>
      </c>
      <c r="P194" s="127">
        <f t="shared" si="37"/>
        <v>72.739632902787221</v>
      </c>
      <c r="Q194" s="128">
        <f t="shared" si="38"/>
        <v>369.81645139360978</v>
      </c>
      <c r="R194" s="129">
        <v>147.1</v>
      </c>
      <c r="S194" s="130">
        <v>0</v>
      </c>
      <c r="T194" s="131">
        <v>211</v>
      </c>
      <c r="U194" s="131">
        <v>131</v>
      </c>
      <c r="V194" s="132">
        <f t="shared" si="39"/>
        <v>342</v>
      </c>
      <c r="W194" s="133">
        <f t="shared" si="40"/>
        <v>2.3249490142760028</v>
      </c>
      <c r="X194" s="130">
        <v>1619</v>
      </c>
      <c r="Y194" s="131">
        <v>1560</v>
      </c>
      <c r="Z194" s="131">
        <v>809</v>
      </c>
      <c r="AA194" s="132">
        <f t="shared" si="41"/>
        <v>3988</v>
      </c>
      <c r="AB194" s="133">
        <f t="shared" si="42"/>
        <v>27.110808973487426</v>
      </c>
      <c r="AC194" s="134">
        <f t="shared" si="43"/>
        <v>4330</v>
      </c>
      <c r="AD194" s="135">
        <f t="shared" si="44"/>
        <v>29.435757987763427</v>
      </c>
      <c r="AE194" s="136">
        <v>24</v>
      </c>
      <c r="AF194" s="137">
        <v>22</v>
      </c>
      <c r="AG194" s="137">
        <v>0</v>
      </c>
      <c r="AH194" s="138">
        <f t="shared" si="45"/>
        <v>46</v>
      </c>
      <c r="AI194" s="133">
        <f t="shared" si="46"/>
        <v>0.31271244051665537</v>
      </c>
    </row>
    <row r="195" spans="1:35">
      <c r="A195" s="171">
        <f>IF('09월 조업일지'!A191="","",'09월 조업일지'!A191)</f>
        <v>46272</v>
      </c>
      <c r="B195" s="172" t="str">
        <f>'09월 조업일지'!E191</f>
        <v>B</v>
      </c>
      <c r="C195" s="172" t="str">
        <f>'09월 조업일지'!F191</f>
        <v>A</v>
      </c>
      <c r="D195" s="172">
        <f>'09월 화학성분'!C192</f>
        <v>85394</v>
      </c>
      <c r="E195" s="205" t="str">
        <f t="shared" si="47"/>
        <v>SS400-05</v>
      </c>
      <c r="F195" s="121">
        <v>20</v>
      </c>
      <c r="G195" s="122">
        <v>23200</v>
      </c>
      <c r="H195" s="123">
        <v>19</v>
      </c>
      <c r="I195" s="122">
        <v>20400</v>
      </c>
      <c r="J195" s="123">
        <v>8</v>
      </c>
      <c r="K195" s="122">
        <v>10700</v>
      </c>
      <c r="L195" s="124">
        <f t="shared" ref="L195:M216" si="49">IF(ISBLANK(F195),"",SUM(F195,H195,J195))</f>
        <v>47</v>
      </c>
      <c r="M195" s="125">
        <f t="shared" si="49"/>
        <v>54300</v>
      </c>
      <c r="N195" s="126">
        <f t="shared" si="35"/>
        <v>158.03814713896458</v>
      </c>
      <c r="O195" s="127">
        <f t="shared" si="36"/>
        <v>138.96457765667574</v>
      </c>
      <c r="P195" s="127">
        <f t="shared" si="37"/>
        <v>72.888283378746593</v>
      </c>
      <c r="Q195" s="128">
        <f t="shared" si="38"/>
        <v>369.89100817438691</v>
      </c>
      <c r="R195" s="129">
        <v>146.80000000000001</v>
      </c>
      <c r="S195" s="130">
        <v>0</v>
      </c>
      <c r="T195" s="131">
        <v>185</v>
      </c>
      <c r="U195" s="131">
        <v>147</v>
      </c>
      <c r="V195" s="132">
        <f t="shared" si="39"/>
        <v>332</v>
      </c>
      <c r="W195" s="133">
        <f t="shared" si="40"/>
        <v>2.2615803814713895</v>
      </c>
      <c r="X195" s="130">
        <v>1683</v>
      </c>
      <c r="Y195" s="131">
        <v>1651</v>
      </c>
      <c r="Z195" s="131">
        <v>882</v>
      </c>
      <c r="AA195" s="132">
        <f t="shared" si="41"/>
        <v>4216</v>
      </c>
      <c r="AB195" s="133">
        <f t="shared" si="42"/>
        <v>28.719346049046319</v>
      </c>
      <c r="AC195" s="134">
        <f t="shared" si="43"/>
        <v>4548</v>
      </c>
      <c r="AD195" s="135">
        <f t="shared" si="44"/>
        <v>30.980926430517709</v>
      </c>
      <c r="AE195" s="136">
        <v>23</v>
      </c>
      <c r="AF195" s="137">
        <v>32</v>
      </c>
      <c r="AG195" s="137">
        <v>0</v>
      </c>
      <c r="AH195" s="138">
        <f t="shared" si="45"/>
        <v>55</v>
      </c>
      <c r="AI195" s="133">
        <f t="shared" si="46"/>
        <v>0.37465940054495911</v>
      </c>
    </row>
    <row r="196" spans="1:35">
      <c r="A196" s="171">
        <f>IF('09월 조업일지'!A192="","",'09월 조업일지'!A192)</f>
        <v>46272</v>
      </c>
      <c r="B196" s="172" t="str">
        <f>'09월 조업일지'!E192</f>
        <v>B</v>
      </c>
      <c r="C196" s="172" t="str">
        <f>'09월 조업일지'!F192</f>
        <v>B</v>
      </c>
      <c r="D196" s="172">
        <f>'09월 화학성분'!C193</f>
        <v>85395</v>
      </c>
      <c r="E196" s="205" t="str">
        <f t="shared" si="47"/>
        <v>SS400-05</v>
      </c>
      <c r="F196" s="121">
        <v>21</v>
      </c>
      <c r="G196" s="122">
        <v>23300</v>
      </c>
      <c r="H196" s="123">
        <v>18</v>
      </c>
      <c r="I196" s="122">
        <v>20700</v>
      </c>
      <c r="J196" s="123">
        <v>8</v>
      </c>
      <c r="K196" s="122">
        <v>11000</v>
      </c>
      <c r="L196" s="124">
        <f t="shared" si="49"/>
        <v>47</v>
      </c>
      <c r="M196" s="125">
        <f t="shared" si="49"/>
        <v>55000</v>
      </c>
      <c r="N196" s="126">
        <f t="shared" si="35"/>
        <v>157.96610169491527</v>
      </c>
      <c r="O196" s="127">
        <f t="shared" si="36"/>
        <v>140.33898305084745</v>
      </c>
      <c r="P196" s="127">
        <f t="shared" si="37"/>
        <v>74.576271186440678</v>
      </c>
      <c r="Q196" s="128">
        <f t="shared" si="38"/>
        <v>372.88135593220341</v>
      </c>
      <c r="R196" s="129">
        <v>147.5</v>
      </c>
      <c r="S196" s="130">
        <v>0</v>
      </c>
      <c r="T196" s="131">
        <v>222</v>
      </c>
      <c r="U196" s="131">
        <v>109</v>
      </c>
      <c r="V196" s="132">
        <f t="shared" si="39"/>
        <v>331</v>
      </c>
      <c r="W196" s="133">
        <f t="shared" si="40"/>
        <v>2.2440677966101696</v>
      </c>
      <c r="X196" s="130">
        <v>1797</v>
      </c>
      <c r="Y196" s="131">
        <v>1580</v>
      </c>
      <c r="Z196" s="131">
        <v>762</v>
      </c>
      <c r="AA196" s="132">
        <f t="shared" si="41"/>
        <v>4139</v>
      </c>
      <c r="AB196" s="133">
        <f t="shared" si="42"/>
        <v>28.061016949152542</v>
      </c>
      <c r="AC196" s="134">
        <f t="shared" si="43"/>
        <v>4470</v>
      </c>
      <c r="AD196" s="135">
        <f t="shared" si="44"/>
        <v>30.305084745762713</v>
      </c>
      <c r="AE196" s="136">
        <v>26</v>
      </c>
      <c r="AF196" s="137">
        <v>23</v>
      </c>
      <c r="AG196" s="137">
        <v>0</v>
      </c>
      <c r="AH196" s="138">
        <f t="shared" si="45"/>
        <v>49</v>
      </c>
      <c r="AI196" s="133">
        <f t="shared" si="46"/>
        <v>0.33220338983050846</v>
      </c>
    </row>
    <row r="197" spans="1:35">
      <c r="A197" s="171">
        <f>IF('09월 조업일지'!A193="","",'09월 조업일지'!A193)</f>
        <v>46272</v>
      </c>
      <c r="B197" s="172" t="str">
        <f>'09월 조업일지'!E193</f>
        <v>B</v>
      </c>
      <c r="C197" s="172" t="str">
        <f>'09월 조업일지'!F193</f>
        <v>A</v>
      </c>
      <c r="D197" s="172">
        <f>'09월 화학성분'!C194</f>
        <v>85396</v>
      </c>
      <c r="E197" s="205" t="str">
        <f t="shared" si="47"/>
        <v>SS400-05</v>
      </c>
      <c r="F197" s="121">
        <v>19</v>
      </c>
      <c r="G197" s="122">
        <v>22600</v>
      </c>
      <c r="H197" s="123">
        <v>17</v>
      </c>
      <c r="I197" s="122">
        <v>20800</v>
      </c>
      <c r="J197" s="123">
        <v>10</v>
      </c>
      <c r="K197" s="122">
        <v>12100</v>
      </c>
      <c r="L197" s="124">
        <f t="shared" si="49"/>
        <v>46</v>
      </c>
      <c r="M197" s="125">
        <f t="shared" si="49"/>
        <v>55500</v>
      </c>
      <c r="N197" s="126">
        <f t="shared" si="35"/>
        <v>153.42837746096401</v>
      </c>
      <c r="O197" s="127">
        <f t="shared" si="36"/>
        <v>141.20841819416157</v>
      </c>
      <c r="P197" s="127">
        <f t="shared" si="37"/>
        <v>82.145281737949759</v>
      </c>
      <c r="Q197" s="128">
        <f t="shared" si="38"/>
        <v>376.78207739307533</v>
      </c>
      <c r="R197" s="129">
        <v>147.30000000000001</v>
      </c>
      <c r="S197" s="130">
        <v>0</v>
      </c>
      <c r="T197" s="131">
        <v>173</v>
      </c>
      <c r="U197" s="131">
        <v>167</v>
      </c>
      <c r="V197" s="132">
        <f t="shared" si="39"/>
        <v>340</v>
      </c>
      <c r="W197" s="133">
        <f t="shared" si="40"/>
        <v>2.3082145281737949</v>
      </c>
      <c r="X197" s="130">
        <v>1553</v>
      </c>
      <c r="Y197" s="131">
        <v>1729</v>
      </c>
      <c r="Z197" s="131">
        <v>898</v>
      </c>
      <c r="AA197" s="132">
        <f t="shared" si="41"/>
        <v>4180</v>
      </c>
      <c r="AB197" s="133">
        <f t="shared" si="42"/>
        <v>28.377460964019008</v>
      </c>
      <c r="AC197" s="134">
        <f t="shared" si="43"/>
        <v>4520</v>
      </c>
      <c r="AD197" s="135">
        <f t="shared" si="44"/>
        <v>30.6856754921928</v>
      </c>
      <c r="AE197" s="136">
        <v>25</v>
      </c>
      <c r="AF197" s="137">
        <v>29</v>
      </c>
      <c r="AG197" s="137">
        <v>0</v>
      </c>
      <c r="AH197" s="138">
        <f t="shared" si="45"/>
        <v>54</v>
      </c>
      <c r="AI197" s="133">
        <f t="shared" si="46"/>
        <v>0.36659877800407331</v>
      </c>
    </row>
    <row r="198" spans="1:35">
      <c r="A198" s="171">
        <f>IF('09월 조업일지'!A194="","",'09월 조업일지'!A194)</f>
        <v>46272</v>
      </c>
      <c r="B198" s="172" t="str">
        <f>'09월 조업일지'!E194</f>
        <v>B</v>
      </c>
      <c r="C198" s="172" t="str">
        <f>'09월 조업일지'!F194</f>
        <v>B</v>
      </c>
      <c r="D198" s="172">
        <f>'09월 화학성분'!C195</f>
        <v>85397</v>
      </c>
      <c r="E198" s="205" t="str">
        <f t="shared" si="47"/>
        <v>SS400-05</v>
      </c>
      <c r="F198" s="121">
        <v>19</v>
      </c>
      <c r="G198" s="122">
        <v>23200</v>
      </c>
      <c r="H198" s="123">
        <v>17</v>
      </c>
      <c r="I198" s="122">
        <v>20400</v>
      </c>
      <c r="J198" s="123">
        <v>7</v>
      </c>
      <c r="K198" s="122">
        <v>8900</v>
      </c>
      <c r="L198" s="124">
        <f t="shared" si="49"/>
        <v>43</v>
      </c>
      <c r="M198" s="125">
        <f t="shared" si="49"/>
        <v>52500</v>
      </c>
      <c r="N198" s="126">
        <f t="shared" si="35"/>
        <v>158.36177474402731</v>
      </c>
      <c r="O198" s="127">
        <f t="shared" si="36"/>
        <v>139.24914675767917</v>
      </c>
      <c r="P198" s="127">
        <f t="shared" si="37"/>
        <v>60.750853242320822</v>
      </c>
      <c r="Q198" s="128">
        <f t="shared" si="38"/>
        <v>358.36177474402729</v>
      </c>
      <c r="R198" s="129">
        <v>146.5</v>
      </c>
      <c r="S198" s="130">
        <v>0</v>
      </c>
      <c r="T198" s="131">
        <v>189</v>
      </c>
      <c r="U198" s="131">
        <v>135</v>
      </c>
      <c r="V198" s="132">
        <f t="shared" si="39"/>
        <v>324</v>
      </c>
      <c r="W198" s="133">
        <f t="shared" si="40"/>
        <v>2.21160409556314</v>
      </c>
      <c r="X198" s="130">
        <v>1601</v>
      </c>
      <c r="Y198" s="131">
        <v>1589</v>
      </c>
      <c r="Z198" s="131">
        <v>703</v>
      </c>
      <c r="AA198" s="132">
        <f t="shared" si="41"/>
        <v>3893</v>
      </c>
      <c r="AB198" s="133">
        <f t="shared" si="42"/>
        <v>26.573378839590443</v>
      </c>
      <c r="AC198" s="134">
        <f t="shared" si="43"/>
        <v>4217</v>
      </c>
      <c r="AD198" s="135">
        <f t="shared" si="44"/>
        <v>28.784982935153582</v>
      </c>
      <c r="AE198" s="136">
        <v>26</v>
      </c>
      <c r="AF198" s="137">
        <v>24</v>
      </c>
      <c r="AG198" s="137">
        <v>0</v>
      </c>
      <c r="AH198" s="138">
        <f t="shared" si="45"/>
        <v>50</v>
      </c>
      <c r="AI198" s="133">
        <f t="shared" si="46"/>
        <v>0.34129692832764508</v>
      </c>
    </row>
    <row r="199" spans="1:35">
      <c r="A199" s="171">
        <f>IF('09월 조업일지'!A195="","",'09월 조업일지'!A195)</f>
        <v>46272</v>
      </c>
      <c r="B199" s="172" t="str">
        <f>'09월 조업일지'!E195</f>
        <v>B</v>
      </c>
      <c r="C199" s="172" t="str">
        <f>'09월 조업일지'!F195</f>
        <v>A</v>
      </c>
      <c r="D199" s="172">
        <f>'09월 화학성분'!C196</f>
        <v>85398</v>
      </c>
      <c r="E199" s="205" t="str">
        <f t="shared" si="47"/>
        <v>SS400-05</v>
      </c>
      <c r="F199" s="121">
        <v>21</v>
      </c>
      <c r="G199" s="122">
        <v>23100</v>
      </c>
      <c r="H199" s="123">
        <v>17</v>
      </c>
      <c r="I199" s="122">
        <v>20300</v>
      </c>
      <c r="J199" s="123">
        <v>9</v>
      </c>
      <c r="K199" s="122">
        <v>10800</v>
      </c>
      <c r="L199" s="124">
        <f t="shared" si="49"/>
        <v>47</v>
      </c>
      <c r="M199" s="125">
        <f t="shared" si="49"/>
        <v>54200</v>
      </c>
      <c r="N199" s="126">
        <f t="shared" si="35"/>
        <v>157.03602991162475</v>
      </c>
      <c r="O199" s="127">
        <f t="shared" si="36"/>
        <v>138.00135961930661</v>
      </c>
      <c r="P199" s="127">
        <f t="shared" si="37"/>
        <v>73.419442556084306</v>
      </c>
      <c r="Q199" s="128">
        <f t="shared" si="38"/>
        <v>368.45683208701564</v>
      </c>
      <c r="R199" s="129">
        <v>147.1</v>
      </c>
      <c r="S199" s="130">
        <v>0</v>
      </c>
      <c r="T199" s="131">
        <v>205</v>
      </c>
      <c r="U199" s="131">
        <v>123</v>
      </c>
      <c r="V199" s="132">
        <f t="shared" si="39"/>
        <v>328</v>
      </c>
      <c r="W199" s="133">
        <f t="shared" si="40"/>
        <v>2.2297756628144119</v>
      </c>
      <c r="X199" s="130">
        <v>1605</v>
      </c>
      <c r="Y199" s="131">
        <v>1623</v>
      </c>
      <c r="Z199" s="131">
        <v>847</v>
      </c>
      <c r="AA199" s="132">
        <f t="shared" si="41"/>
        <v>4075</v>
      </c>
      <c r="AB199" s="133">
        <f t="shared" si="42"/>
        <v>27.702243371855882</v>
      </c>
      <c r="AC199" s="134">
        <f t="shared" si="43"/>
        <v>4403</v>
      </c>
      <c r="AD199" s="135">
        <f t="shared" si="44"/>
        <v>29.932019034670294</v>
      </c>
      <c r="AE199" s="136">
        <v>25</v>
      </c>
      <c r="AF199" s="137">
        <v>30</v>
      </c>
      <c r="AG199" s="137">
        <v>0</v>
      </c>
      <c r="AH199" s="138">
        <f t="shared" si="45"/>
        <v>55</v>
      </c>
      <c r="AI199" s="133">
        <f t="shared" si="46"/>
        <v>0.37389530931339227</v>
      </c>
    </row>
    <row r="200" spans="1:35">
      <c r="A200" s="171">
        <f>IF('09월 조업일지'!A196="","",'09월 조업일지'!A196)</f>
        <v>46272</v>
      </c>
      <c r="B200" s="172" t="str">
        <f>'09월 조업일지'!E196</f>
        <v>D</v>
      </c>
      <c r="C200" s="172" t="str">
        <f>'09월 조업일지'!F196</f>
        <v>B</v>
      </c>
      <c r="D200" s="172">
        <f>'09월 화학성분'!C197</f>
        <v>85399</v>
      </c>
      <c r="E200" s="205" t="str">
        <f t="shared" si="47"/>
        <v>SS400-05</v>
      </c>
      <c r="F200" s="121">
        <v>20</v>
      </c>
      <c r="G200" s="122">
        <v>23400</v>
      </c>
      <c r="H200" s="123">
        <v>17</v>
      </c>
      <c r="I200" s="122">
        <v>20500</v>
      </c>
      <c r="J200" s="123">
        <v>10</v>
      </c>
      <c r="K200" s="122">
        <v>11200</v>
      </c>
      <c r="L200" s="124">
        <f t="shared" si="49"/>
        <v>47</v>
      </c>
      <c r="M200" s="125">
        <f t="shared" si="49"/>
        <v>55100</v>
      </c>
      <c r="N200" s="126">
        <f t="shared" si="35"/>
        <v>159.61800818553888</v>
      </c>
      <c r="O200" s="127">
        <f t="shared" si="36"/>
        <v>139.83628922237381</v>
      </c>
      <c r="P200" s="127">
        <f t="shared" si="37"/>
        <v>76.398362892223744</v>
      </c>
      <c r="Q200" s="128">
        <f t="shared" si="38"/>
        <v>375.85266030013645</v>
      </c>
      <c r="R200" s="129">
        <v>146.6</v>
      </c>
      <c r="S200" s="130">
        <v>0</v>
      </c>
      <c r="T200" s="131">
        <v>206</v>
      </c>
      <c r="U200" s="131">
        <v>110</v>
      </c>
      <c r="V200" s="132">
        <f t="shared" si="39"/>
        <v>316</v>
      </c>
      <c r="W200" s="133">
        <f t="shared" si="40"/>
        <v>2.1555252387448842</v>
      </c>
      <c r="X200" s="130">
        <v>1755</v>
      </c>
      <c r="Y200" s="131">
        <v>1670</v>
      </c>
      <c r="Z200" s="131">
        <v>915</v>
      </c>
      <c r="AA200" s="132">
        <f t="shared" si="41"/>
        <v>4340</v>
      </c>
      <c r="AB200" s="133">
        <f t="shared" si="42"/>
        <v>29.604365620736701</v>
      </c>
      <c r="AC200" s="134">
        <f t="shared" si="43"/>
        <v>4656</v>
      </c>
      <c r="AD200" s="135">
        <f t="shared" si="44"/>
        <v>31.759890859481583</v>
      </c>
      <c r="AE200" s="136">
        <v>25</v>
      </c>
      <c r="AF200" s="137">
        <v>21</v>
      </c>
      <c r="AG200" s="137">
        <v>0</v>
      </c>
      <c r="AH200" s="138">
        <f t="shared" si="45"/>
        <v>46</v>
      </c>
      <c r="AI200" s="133">
        <f t="shared" si="46"/>
        <v>0.31377899045020463</v>
      </c>
    </row>
    <row r="201" spans="1:35">
      <c r="A201" s="171">
        <f>IF('09월 조업일지'!A197="","",'09월 조업일지'!A197)</f>
        <v>46272</v>
      </c>
      <c r="B201" s="172" t="str">
        <f>'09월 조업일지'!E197</f>
        <v>D</v>
      </c>
      <c r="C201" s="172" t="str">
        <f>'09월 조업일지'!F197</f>
        <v>A</v>
      </c>
      <c r="D201" s="172">
        <f>'09월 화학성분'!C198</f>
        <v>85400</v>
      </c>
      <c r="E201" s="205" t="str">
        <f t="shared" si="47"/>
        <v>SS400-05</v>
      </c>
      <c r="F201" s="121">
        <v>20</v>
      </c>
      <c r="G201" s="122">
        <v>23500</v>
      </c>
      <c r="H201" s="123">
        <v>18</v>
      </c>
      <c r="I201" s="122">
        <v>20300</v>
      </c>
      <c r="J201" s="123">
        <v>7</v>
      </c>
      <c r="K201" s="122">
        <v>9400</v>
      </c>
      <c r="L201" s="124">
        <f t="shared" si="49"/>
        <v>45</v>
      </c>
      <c r="M201" s="125">
        <f t="shared" si="49"/>
        <v>53200</v>
      </c>
      <c r="N201" s="126">
        <f t="shared" si="35"/>
        <v>160.62884483937114</v>
      </c>
      <c r="O201" s="127">
        <f t="shared" si="36"/>
        <v>138.75598086124401</v>
      </c>
      <c r="P201" s="127">
        <f t="shared" si="37"/>
        <v>64.251537935748459</v>
      </c>
      <c r="Q201" s="128">
        <f t="shared" si="38"/>
        <v>363.63636363636357</v>
      </c>
      <c r="R201" s="129">
        <v>146.30000000000001</v>
      </c>
      <c r="S201" s="130">
        <v>0</v>
      </c>
      <c r="T201" s="131">
        <v>203</v>
      </c>
      <c r="U201" s="131">
        <v>141</v>
      </c>
      <c r="V201" s="132">
        <f t="shared" si="39"/>
        <v>344</v>
      </c>
      <c r="W201" s="133">
        <f t="shared" si="40"/>
        <v>2.3513328776486668</v>
      </c>
      <c r="X201" s="130">
        <v>1618</v>
      </c>
      <c r="Y201" s="131">
        <v>1637</v>
      </c>
      <c r="Z201" s="131">
        <v>856</v>
      </c>
      <c r="AA201" s="132">
        <f t="shared" si="41"/>
        <v>4111</v>
      </c>
      <c r="AB201" s="133">
        <f t="shared" si="42"/>
        <v>28.099794941900203</v>
      </c>
      <c r="AC201" s="134">
        <f t="shared" si="43"/>
        <v>4455</v>
      </c>
      <c r="AD201" s="135">
        <f t="shared" si="44"/>
        <v>30.451127819548869</v>
      </c>
      <c r="AE201" s="136">
        <v>23</v>
      </c>
      <c r="AF201" s="137">
        <v>32</v>
      </c>
      <c r="AG201" s="137">
        <v>0</v>
      </c>
      <c r="AH201" s="138">
        <f t="shared" si="45"/>
        <v>55</v>
      </c>
      <c r="AI201" s="133">
        <f t="shared" si="46"/>
        <v>0.37593984962406013</v>
      </c>
    </row>
    <row r="202" spans="1:35">
      <c r="A202" s="171">
        <f>IF('09월 조업일지'!A198="","",'09월 조업일지'!A198)</f>
        <v>46272</v>
      </c>
      <c r="B202" s="172" t="str">
        <f>'09월 조업일지'!E198</f>
        <v>D</v>
      </c>
      <c r="C202" s="172" t="str">
        <f>'09월 조업일지'!F198</f>
        <v>B</v>
      </c>
      <c r="D202" s="172">
        <f>'09월 화학성분'!C199</f>
        <v>85401</v>
      </c>
      <c r="E202" s="205" t="str">
        <f t="shared" si="47"/>
        <v>SS400-05</v>
      </c>
      <c r="F202" s="121">
        <v>22</v>
      </c>
      <c r="G202" s="122">
        <v>23700</v>
      </c>
      <c r="H202" s="123">
        <v>18</v>
      </c>
      <c r="I202" s="122">
        <v>20800</v>
      </c>
      <c r="J202" s="123">
        <v>10</v>
      </c>
      <c r="K202" s="122">
        <v>13400</v>
      </c>
      <c r="L202" s="124">
        <f t="shared" si="49"/>
        <v>50</v>
      </c>
      <c r="M202" s="125">
        <f t="shared" si="49"/>
        <v>57900</v>
      </c>
      <c r="N202" s="126">
        <f t="shared" si="35"/>
        <v>161.99589883800408</v>
      </c>
      <c r="O202" s="127">
        <f t="shared" si="36"/>
        <v>142.17361585782638</v>
      </c>
      <c r="P202" s="127">
        <f t="shared" si="37"/>
        <v>91.592617908407377</v>
      </c>
      <c r="Q202" s="128">
        <f t="shared" si="38"/>
        <v>395.76213260423782</v>
      </c>
      <c r="R202" s="129">
        <v>146.30000000000001</v>
      </c>
      <c r="S202" s="130">
        <v>0</v>
      </c>
      <c r="T202" s="131">
        <v>71</v>
      </c>
      <c r="U202" s="131">
        <v>364</v>
      </c>
      <c r="V202" s="132">
        <f t="shared" si="39"/>
        <v>435</v>
      </c>
      <c r="W202" s="133">
        <f t="shared" si="40"/>
        <v>2.9733424470266572</v>
      </c>
      <c r="X202" s="130">
        <v>1799</v>
      </c>
      <c r="Y202" s="131">
        <v>1658</v>
      </c>
      <c r="Z202" s="131">
        <v>865</v>
      </c>
      <c r="AA202" s="132">
        <f t="shared" si="41"/>
        <v>4322</v>
      </c>
      <c r="AB202" s="133">
        <f t="shared" si="42"/>
        <v>29.542036910457959</v>
      </c>
      <c r="AC202" s="134">
        <f t="shared" si="43"/>
        <v>4757</v>
      </c>
      <c r="AD202" s="135">
        <f t="shared" si="44"/>
        <v>32.515379357484619</v>
      </c>
      <c r="AE202" s="136">
        <v>26</v>
      </c>
      <c r="AF202" s="137">
        <v>25</v>
      </c>
      <c r="AG202" s="137">
        <v>0</v>
      </c>
      <c r="AH202" s="138">
        <f t="shared" si="45"/>
        <v>51</v>
      </c>
      <c r="AI202" s="133">
        <f t="shared" si="46"/>
        <v>0.34859876965140119</v>
      </c>
    </row>
    <row r="203" spans="1:35">
      <c r="A203" s="171">
        <f>IF('09월 조업일지'!A199="","",'09월 조업일지'!A199)</f>
        <v>46272</v>
      </c>
      <c r="B203" s="172" t="str">
        <f>'09월 조업일지'!E199</f>
        <v>D</v>
      </c>
      <c r="C203" s="172" t="str">
        <f>'09월 조업일지'!F199</f>
        <v>A</v>
      </c>
      <c r="D203" s="172">
        <f>'09월 화학성분'!C200</f>
        <v>85402</v>
      </c>
      <c r="E203" s="205" t="str">
        <f t="shared" si="47"/>
        <v>SS400-05</v>
      </c>
      <c r="F203" s="121">
        <v>20</v>
      </c>
      <c r="G203" s="122">
        <v>23200</v>
      </c>
      <c r="H203" s="123">
        <v>18</v>
      </c>
      <c r="I203" s="122">
        <v>20700</v>
      </c>
      <c r="J203" s="123">
        <v>13</v>
      </c>
      <c r="K203" s="122">
        <v>16200</v>
      </c>
      <c r="L203" s="124">
        <f t="shared" si="49"/>
        <v>51</v>
      </c>
      <c r="M203" s="125">
        <f t="shared" si="49"/>
        <v>60100</v>
      </c>
      <c r="N203" s="126">
        <f t="shared" si="35"/>
        <v>165.71428571428572</v>
      </c>
      <c r="O203" s="127">
        <f t="shared" si="36"/>
        <v>147.85714285714286</v>
      </c>
      <c r="P203" s="127">
        <f t="shared" si="37"/>
        <v>115.71428571428571</v>
      </c>
      <c r="Q203" s="128">
        <f t="shared" si="38"/>
        <v>429.28571428571428</v>
      </c>
      <c r="R203" s="129">
        <v>140</v>
      </c>
      <c r="S203" s="130">
        <v>0</v>
      </c>
      <c r="T203" s="131">
        <v>194</v>
      </c>
      <c r="U203" s="131">
        <v>346</v>
      </c>
      <c r="V203" s="132">
        <f t="shared" si="39"/>
        <v>540</v>
      </c>
      <c r="W203" s="133">
        <f t="shared" si="40"/>
        <v>3.8571428571428572</v>
      </c>
      <c r="X203" s="130">
        <v>1581</v>
      </c>
      <c r="Y203" s="131">
        <v>1623</v>
      </c>
      <c r="Z203" s="131">
        <v>1933</v>
      </c>
      <c r="AA203" s="132">
        <f t="shared" si="41"/>
        <v>5137</v>
      </c>
      <c r="AB203" s="133">
        <f t="shared" si="42"/>
        <v>36.692857142857143</v>
      </c>
      <c r="AC203" s="134">
        <f t="shared" si="43"/>
        <v>5677</v>
      </c>
      <c r="AD203" s="135">
        <f t="shared" si="44"/>
        <v>40.549999999999997</v>
      </c>
      <c r="AE203" s="136">
        <v>25</v>
      </c>
      <c r="AF203" s="137">
        <v>28</v>
      </c>
      <c r="AG203" s="137">
        <v>0</v>
      </c>
      <c r="AH203" s="138">
        <f t="shared" si="45"/>
        <v>53</v>
      </c>
      <c r="AI203" s="133">
        <f t="shared" si="46"/>
        <v>0.37857142857142856</v>
      </c>
    </row>
    <row r="204" spans="1:35">
      <c r="A204" s="171">
        <f>IF('09월 조업일지'!A200="","",'09월 조업일지'!A200)</f>
        <v>46272</v>
      </c>
      <c r="B204" s="172" t="str">
        <f>'09월 조업일지'!E200</f>
        <v>D</v>
      </c>
      <c r="C204" s="172" t="str">
        <f>'09월 조업일지'!F200</f>
        <v>B</v>
      </c>
      <c r="D204" s="172">
        <f>'09월 화학성분'!C201</f>
        <v>85403</v>
      </c>
      <c r="E204" s="205" t="str">
        <f t="shared" si="47"/>
        <v>SS400-05</v>
      </c>
      <c r="F204" s="121">
        <v>20</v>
      </c>
      <c r="G204" s="122">
        <v>23900</v>
      </c>
      <c r="H204" s="123">
        <v>18</v>
      </c>
      <c r="I204" s="122">
        <v>20800</v>
      </c>
      <c r="J204" s="123">
        <v>7</v>
      </c>
      <c r="K204" s="122">
        <v>9500</v>
      </c>
      <c r="L204" s="124">
        <f t="shared" si="49"/>
        <v>45</v>
      </c>
      <c r="M204" s="125">
        <f t="shared" si="49"/>
        <v>54200</v>
      </c>
      <c r="N204" s="126">
        <f t="shared" si="35"/>
        <v>161.26855600539812</v>
      </c>
      <c r="O204" s="127">
        <f t="shared" si="36"/>
        <v>140.35087719298247</v>
      </c>
      <c r="P204" s="127">
        <f t="shared" si="37"/>
        <v>64.102564102564102</v>
      </c>
      <c r="Q204" s="128">
        <f t="shared" si="38"/>
        <v>365.72199730094468</v>
      </c>
      <c r="R204" s="129">
        <v>148.19999999999999</v>
      </c>
      <c r="S204" s="130">
        <v>0</v>
      </c>
      <c r="T204" s="131">
        <v>209</v>
      </c>
      <c r="U204" s="131">
        <v>108</v>
      </c>
      <c r="V204" s="132">
        <f t="shared" si="39"/>
        <v>317</v>
      </c>
      <c r="W204" s="133">
        <f t="shared" si="40"/>
        <v>2.1390013495276654</v>
      </c>
      <c r="X204" s="130">
        <v>1727</v>
      </c>
      <c r="Y204" s="131">
        <v>1645</v>
      </c>
      <c r="Z204" s="131">
        <v>821</v>
      </c>
      <c r="AA204" s="132">
        <f t="shared" si="41"/>
        <v>4193</v>
      </c>
      <c r="AB204" s="133">
        <f t="shared" si="42"/>
        <v>28.292847503373821</v>
      </c>
      <c r="AC204" s="134">
        <f t="shared" si="43"/>
        <v>4510</v>
      </c>
      <c r="AD204" s="135">
        <f t="shared" si="44"/>
        <v>30.431848852901489</v>
      </c>
      <c r="AE204" s="136">
        <v>25</v>
      </c>
      <c r="AF204" s="137">
        <v>20</v>
      </c>
      <c r="AG204" s="137">
        <v>0</v>
      </c>
      <c r="AH204" s="138">
        <f t="shared" si="45"/>
        <v>45</v>
      </c>
      <c r="AI204" s="133">
        <f t="shared" si="46"/>
        <v>0.30364372469635631</v>
      </c>
    </row>
    <row r="205" spans="1:35">
      <c r="A205" s="171">
        <f>IF('09월 조업일지'!A201="","",'09월 조업일지'!A201)</f>
        <v>46272</v>
      </c>
      <c r="B205" s="172" t="str">
        <f>'09월 조업일지'!E201</f>
        <v>D</v>
      </c>
      <c r="C205" s="172" t="str">
        <f>'09월 조업일지'!F201</f>
        <v>A</v>
      </c>
      <c r="D205" s="172">
        <f>'09월 화학성분'!C202</f>
        <v>85404</v>
      </c>
      <c r="E205" s="205" t="str">
        <f t="shared" si="47"/>
        <v>SS400-05</v>
      </c>
      <c r="F205" s="121">
        <v>21</v>
      </c>
      <c r="G205" s="122">
        <v>23600</v>
      </c>
      <c r="H205" s="123">
        <v>18</v>
      </c>
      <c r="I205" s="122">
        <v>20500</v>
      </c>
      <c r="J205" s="123">
        <v>7</v>
      </c>
      <c r="K205" s="122">
        <v>8000</v>
      </c>
      <c r="L205" s="124">
        <f t="shared" si="49"/>
        <v>46</v>
      </c>
      <c r="M205" s="125">
        <f t="shared" si="49"/>
        <v>52100</v>
      </c>
      <c r="N205" s="126">
        <f t="shared" si="35"/>
        <v>160.54421768707482</v>
      </c>
      <c r="O205" s="127">
        <f t="shared" si="36"/>
        <v>139.45578231292518</v>
      </c>
      <c r="P205" s="127">
        <f t="shared" si="37"/>
        <v>54.42176870748299</v>
      </c>
      <c r="Q205" s="128">
        <f t="shared" si="38"/>
        <v>354.42176870748301</v>
      </c>
      <c r="R205" s="129">
        <v>147</v>
      </c>
      <c r="S205" s="130">
        <v>0</v>
      </c>
      <c r="T205" s="131">
        <v>67</v>
      </c>
      <c r="U205" s="131">
        <v>281</v>
      </c>
      <c r="V205" s="132">
        <f t="shared" si="39"/>
        <v>348</v>
      </c>
      <c r="W205" s="133">
        <f t="shared" si="40"/>
        <v>2.3673469387755102</v>
      </c>
      <c r="X205" s="130">
        <v>1608</v>
      </c>
      <c r="Y205" s="131">
        <v>1629</v>
      </c>
      <c r="Z205" s="131">
        <v>793</v>
      </c>
      <c r="AA205" s="132">
        <f t="shared" si="41"/>
        <v>4030</v>
      </c>
      <c r="AB205" s="133">
        <f t="shared" si="42"/>
        <v>27.414965986394559</v>
      </c>
      <c r="AC205" s="134">
        <f t="shared" si="43"/>
        <v>4378</v>
      </c>
      <c r="AD205" s="135">
        <f t="shared" si="44"/>
        <v>29.782312925170068</v>
      </c>
      <c r="AE205" s="136">
        <v>24</v>
      </c>
      <c r="AF205" s="137">
        <v>33</v>
      </c>
      <c r="AG205" s="137">
        <v>0</v>
      </c>
      <c r="AH205" s="138">
        <f t="shared" si="45"/>
        <v>57</v>
      </c>
      <c r="AI205" s="133">
        <f t="shared" si="46"/>
        <v>0.38775510204081631</v>
      </c>
    </row>
    <row r="206" spans="1:35">
      <c r="A206" s="171">
        <f>IF('09월 조업일지'!A202="","",'09월 조업일지'!A202)</f>
        <v>46272</v>
      </c>
      <c r="B206" s="172" t="str">
        <f>'09월 조업일지'!E202</f>
        <v>D</v>
      </c>
      <c r="C206" s="172" t="str">
        <f>'09월 조업일지'!F202</f>
        <v>B</v>
      </c>
      <c r="D206" s="172">
        <f>'09월 화학성분'!C203</f>
        <v>85405</v>
      </c>
      <c r="E206" s="205" t="str">
        <f t="shared" si="47"/>
        <v>SS400-05</v>
      </c>
      <c r="F206" s="121">
        <v>20</v>
      </c>
      <c r="G206" s="122">
        <v>23500</v>
      </c>
      <c r="H206" s="123">
        <v>18</v>
      </c>
      <c r="I206" s="122">
        <v>20500</v>
      </c>
      <c r="J206" s="123">
        <v>5</v>
      </c>
      <c r="K206" s="122">
        <v>6800</v>
      </c>
      <c r="L206" s="124">
        <f t="shared" si="49"/>
        <v>43</v>
      </c>
      <c r="M206" s="125">
        <f t="shared" si="49"/>
        <v>50800</v>
      </c>
      <c r="N206" s="126">
        <f t="shared" ref="N206:N269" si="50">IF(ISBLANK(G206),"",G206/R206)</f>
        <v>158.35579514824798</v>
      </c>
      <c r="O206" s="127">
        <f t="shared" ref="O206:O269" si="51">IF(ISBLANK(I206),"",+I206/R206)</f>
        <v>138.14016172506737</v>
      </c>
      <c r="P206" s="127">
        <f t="shared" ref="P206:P269" si="52">IF(ISBLANK(K206),"",K206/R206)</f>
        <v>45.822102425876011</v>
      </c>
      <c r="Q206" s="128">
        <f t="shared" ref="Q206:Q269" si="53">IF(ISBLANK(K206),"",SUM(N206:P206))</f>
        <v>342.3180592991913</v>
      </c>
      <c r="R206" s="129">
        <v>148.4</v>
      </c>
      <c r="S206" s="130">
        <v>0</v>
      </c>
      <c r="T206" s="131">
        <v>153</v>
      </c>
      <c r="U206" s="131">
        <v>194</v>
      </c>
      <c r="V206" s="132">
        <f t="shared" ref="V206:V269" si="54">IF(SUM(S206:U206)=0,"",SUM(S206:U206))</f>
        <v>347</v>
      </c>
      <c r="W206" s="133">
        <f t="shared" ref="W206:W269" si="55">IF(V206="","",V206/R206)</f>
        <v>2.3382749326145551</v>
      </c>
      <c r="X206" s="130">
        <v>1777</v>
      </c>
      <c r="Y206" s="131">
        <v>1599</v>
      </c>
      <c r="Z206" s="131">
        <v>567</v>
      </c>
      <c r="AA206" s="132">
        <f t="shared" ref="AA206:AA269" si="56">IF(SUM(X206:Z206)=0,"",SUM(X206:Z206))</f>
        <v>3943</v>
      </c>
      <c r="AB206" s="133">
        <f t="shared" ref="AB206:AB269" si="57">IF(AA206="","",AA206/R206)</f>
        <v>26.570080862533693</v>
      </c>
      <c r="AC206" s="134">
        <f t="shared" ref="AC206:AC269" si="58">IF(SUM(V206,AA206)=0,"",SUM(V206,AA206))</f>
        <v>4290</v>
      </c>
      <c r="AD206" s="135">
        <f t="shared" ref="AD206:AD269" si="59">IF(AC206="","",AC206/R206)</f>
        <v>28.908355795148246</v>
      </c>
      <c r="AE206" s="136">
        <v>23</v>
      </c>
      <c r="AF206" s="137">
        <v>25</v>
      </c>
      <c r="AG206" s="137">
        <v>0</v>
      </c>
      <c r="AH206" s="138">
        <f t="shared" ref="AH206:AH269" si="60">IF(SUM(AE206:AG206)=0,"",SUM(AE206:AG206))</f>
        <v>48</v>
      </c>
      <c r="AI206" s="133">
        <f t="shared" ref="AI206:AI269" si="61">IF(AH206="","",AH206/R206)</f>
        <v>0.32345013477088946</v>
      </c>
    </row>
    <row r="207" spans="1:35">
      <c r="A207" s="171">
        <f>IF('09월 조업일지'!A203="","",'09월 조업일지'!A203)</f>
        <v>46272</v>
      </c>
      <c r="B207" s="172" t="str">
        <f>'09월 조업일지'!E203</f>
        <v>D</v>
      </c>
      <c r="C207" s="172" t="str">
        <f>'09월 조업일지'!F203</f>
        <v>A</v>
      </c>
      <c r="D207" s="172">
        <f>'09월 화학성분'!C204</f>
        <v>85406</v>
      </c>
      <c r="E207" s="205" t="str">
        <f t="shared" ref="E207:E270" si="62">IF(F207="","",E206)</f>
        <v>SS400-05</v>
      </c>
      <c r="F207" s="121">
        <v>22</v>
      </c>
      <c r="G207" s="122">
        <v>23400</v>
      </c>
      <c r="H207" s="123">
        <v>18</v>
      </c>
      <c r="I207" s="122">
        <v>20700</v>
      </c>
      <c r="J207" s="123">
        <v>5</v>
      </c>
      <c r="K207" s="122">
        <v>6900</v>
      </c>
      <c r="L207" s="124">
        <f t="shared" si="49"/>
        <v>45</v>
      </c>
      <c r="M207" s="125">
        <f t="shared" si="49"/>
        <v>51000</v>
      </c>
      <c r="N207" s="126">
        <f t="shared" si="50"/>
        <v>157.04697986577182</v>
      </c>
      <c r="O207" s="127">
        <f t="shared" si="51"/>
        <v>138.92617449664431</v>
      </c>
      <c r="P207" s="127">
        <f t="shared" si="52"/>
        <v>46.308724832214764</v>
      </c>
      <c r="Q207" s="128">
        <f t="shared" si="53"/>
        <v>342.2818791946309</v>
      </c>
      <c r="R207" s="129">
        <v>149</v>
      </c>
      <c r="S207" s="130">
        <v>0</v>
      </c>
      <c r="T207" s="131">
        <v>166</v>
      </c>
      <c r="U207" s="131">
        <v>173</v>
      </c>
      <c r="V207" s="132">
        <f t="shared" si="54"/>
        <v>339</v>
      </c>
      <c r="W207" s="133">
        <f t="shared" si="55"/>
        <v>2.2751677852348995</v>
      </c>
      <c r="X207" s="130">
        <v>1746</v>
      </c>
      <c r="Y207" s="131">
        <v>1626</v>
      </c>
      <c r="Z207" s="131">
        <v>557</v>
      </c>
      <c r="AA207" s="132">
        <f t="shared" si="56"/>
        <v>3929</v>
      </c>
      <c r="AB207" s="133">
        <f t="shared" si="57"/>
        <v>26.369127516778523</v>
      </c>
      <c r="AC207" s="134">
        <f t="shared" si="58"/>
        <v>4268</v>
      </c>
      <c r="AD207" s="135">
        <f t="shared" si="59"/>
        <v>28.644295302013422</v>
      </c>
      <c r="AE207" s="136">
        <v>24</v>
      </c>
      <c r="AF207" s="137">
        <v>32</v>
      </c>
      <c r="AG207" s="137">
        <v>0</v>
      </c>
      <c r="AH207" s="138">
        <f t="shared" si="60"/>
        <v>56</v>
      </c>
      <c r="AI207" s="133">
        <f t="shared" si="61"/>
        <v>0.37583892617449666</v>
      </c>
    </row>
    <row r="208" spans="1:35">
      <c r="A208" s="171">
        <f>IF('09월 조업일지'!A204="","",'09월 조업일지'!A204)</f>
        <v>46272</v>
      </c>
      <c r="B208" s="172" t="str">
        <f>'09월 조업일지'!E204</f>
        <v>D</v>
      </c>
      <c r="C208" s="172" t="str">
        <f>'09월 조업일지'!F204</f>
        <v>B</v>
      </c>
      <c r="D208" s="172">
        <f>'09월 화학성분'!C205</f>
        <v>85407</v>
      </c>
      <c r="E208" s="205" t="str">
        <f t="shared" si="62"/>
        <v>SS400-05</v>
      </c>
      <c r="F208" s="121">
        <v>20</v>
      </c>
      <c r="G208" s="122">
        <v>23300</v>
      </c>
      <c r="H208" s="123">
        <v>18</v>
      </c>
      <c r="I208" s="122">
        <v>20900</v>
      </c>
      <c r="J208" s="123">
        <v>5</v>
      </c>
      <c r="K208" s="122">
        <v>7400</v>
      </c>
      <c r="L208" s="124">
        <f t="shared" si="49"/>
        <v>43</v>
      </c>
      <c r="M208" s="125">
        <f t="shared" si="49"/>
        <v>51600</v>
      </c>
      <c r="N208" s="126">
        <f t="shared" si="50"/>
        <v>156.58602150537632</v>
      </c>
      <c r="O208" s="127">
        <f t="shared" si="51"/>
        <v>140.45698924731181</v>
      </c>
      <c r="P208" s="127">
        <f t="shared" si="52"/>
        <v>49.731182795698921</v>
      </c>
      <c r="Q208" s="128">
        <f t="shared" si="53"/>
        <v>346.77419354838707</v>
      </c>
      <c r="R208" s="129">
        <v>148.80000000000001</v>
      </c>
      <c r="S208" s="130">
        <v>0</v>
      </c>
      <c r="T208" s="131">
        <v>156</v>
      </c>
      <c r="U208" s="131">
        <v>153</v>
      </c>
      <c r="V208" s="132">
        <f t="shared" si="54"/>
        <v>309</v>
      </c>
      <c r="W208" s="133">
        <f t="shared" si="55"/>
        <v>2.0766129032258065</v>
      </c>
      <c r="X208" s="130">
        <v>1672</v>
      </c>
      <c r="Y208" s="131">
        <v>1643</v>
      </c>
      <c r="Z208" s="131">
        <v>575</v>
      </c>
      <c r="AA208" s="132">
        <f t="shared" si="56"/>
        <v>3890</v>
      </c>
      <c r="AB208" s="133">
        <f t="shared" si="57"/>
        <v>26.142473118279568</v>
      </c>
      <c r="AC208" s="134">
        <f t="shared" si="58"/>
        <v>4199</v>
      </c>
      <c r="AD208" s="135">
        <f t="shared" si="59"/>
        <v>28.219086021505372</v>
      </c>
      <c r="AE208" s="136">
        <v>26</v>
      </c>
      <c r="AF208" s="137">
        <v>20</v>
      </c>
      <c r="AG208" s="137">
        <v>0</v>
      </c>
      <c r="AH208" s="138">
        <f t="shared" si="60"/>
        <v>46</v>
      </c>
      <c r="AI208" s="133">
        <f t="shared" si="61"/>
        <v>0.30913978494623656</v>
      </c>
    </row>
    <row r="209" spans="1:35">
      <c r="A209" s="171">
        <f>IF('09월 조업일지'!A205="","",'09월 조업일지'!A205)</f>
        <v>46272</v>
      </c>
      <c r="B209" s="172" t="str">
        <f>'09월 조업일지'!E205</f>
        <v>D</v>
      </c>
      <c r="C209" s="172" t="str">
        <f>'09월 조업일지'!F205</f>
        <v>A</v>
      </c>
      <c r="D209" s="172">
        <f>'09월 화학성분'!C206</f>
        <v>85408</v>
      </c>
      <c r="E209" s="205" t="str">
        <f t="shared" si="62"/>
        <v>SS400-05</v>
      </c>
      <c r="F209" s="121">
        <v>21</v>
      </c>
      <c r="G209" s="122">
        <v>23500</v>
      </c>
      <c r="H209" s="123">
        <v>17</v>
      </c>
      <c r="I209" s="122">
        <v>20800</v>
      </c>
      <c r="J209" s="123">
        <v>7</v>
      </c>
      <c r="K209" s="122">
        <v>8900</v>
      </c>
      <c r="L209" s="124">
        <f t="shared" si="49"/>
        <v>45</v>
      </c>
      <c r="M209" s="125">
        <f t="shared" si="49"/>
        <v>53200</v>
      </c>
      <c r="N209" s="126">
        <f t="shared" si="50"/>
        <v>158.78378378378378</v>
      </c>
      <c r="O209" s="127">
        <f t="shared" si="51"/>
        <v>140.54054054054055</v>
      </c>
      <c r="P209" s="127">
        <f t="shared" si="52"/>
        <v>60.135135135135137</v>
      </c>
      <c r="Q209" s="128">
        <f t="shared" si="53"/>
        <v>359.45945945945948</v>
      </c>
      <c r="R209" s="129">
        <v>148</v>
      </c>
      <c r="S209" s="130">
        <v>0</v>
      </c>
      <c r="T209" s="131">
        <v>138</v>
      </c>
      <c r="U209" s="131">
        <v>221</v>
      </c>
      <c r="V209" s="132">
        <f t="shared" si="54"/>
        <v>359</v>
      </c>
      <c r="W209" s="133">
        <f t="shared" si="55"/>
        <v>2.4256756756756759</v>
      </c>
      <c r="X209" s="130">
        <v>1729</v>
      </c>
      <c r="Y209" s="131">
        <v>1622</v>
      </c>
      <c r="Z209" s="131">
        <v>774</v>
      </c>
      <c r="AA209" s="132">
        <f t="shared" si="56"/>
        <v>4125</v>
      </c>
      <c r="AB209" s="133">
        <f t="shared" si="57"/>
        <v>27.871621621621621</v>
      </c>
      <c r="AC209" s="134">
        <f t="shared" si="58"/>
        <v>4484</v>
      </c>
      <c r="AD209" s="135">
        <f t="shared" si="59"/>
        <v>30.297297297297298</v>
      </c>
      <c r="AE209" s="136">
        <v>27</v>
      </c>
      <c r="AF209" s="137">
        <v>30</v>
      </c>
      <c r="AG209" s="137">
        <v>0</v>
      </c>
      <c r="AH209" s="138">
        <f t="shared" si="60"/>
        <v>57</v>
      </c>
      <c r="AI209" s="133">
        <f t="shared" si="61"/>
        <v>0.38513513513513514</v>
      </c>
    </row>
    <row r="210" spans="1:35">
      <c r="A210" s="171">
        <f>IF('09월 조업일지'!A206="","",'09월 조업일지'!A206)</f>
        <v>46272</v>
      </c>
      <c r="B210" s="172" t="str">
        <f>'09월 조업일지'!E206</f>
        <v>D</v>
      </c>
      <c r="C210" s="172" t="str">
        <f>'09월 조업일지'!F206</f>
        <v>B</v>
      </c>
      <c r="D210" s="172">
        <f>'09월 화학성분'!C207</f>
        <v>85409</v>
      </c>
      <c r="E210" s="205" t="str">
        <f t="shared" si="62"/>
        <v>SS400-05</v>
      </c>
      <c r="F210" s="121">
        <v>20</v>
      </c>
      <c r="G210" s="122">
        <v>23700</v>
      </c>
      <c r="H210" s="123">
        <v>16</v>
      </c>
      <c r="I210" s="122">
        <v>20200</v>
      </c>
      <c r="J210" s="123">
        <v>9</v>
      </c>
      <c r="K210" s="122">
        <v>11400</v>
      </c>
      <c r="L210" s="124">
        <f t="shared" si="49"/>
        <v>45</v>
      </c>
      <c r="M210" s="125">
        <f t="shared" si="49"/>
        <v>55300</v>
      </c>
      <c r="N210" s="126">
        <f t="shared" si="50"/>
        <v>159.16722632639355</v>
      </c>
      <c r="O210" s="127">
        <f t="shared" si="51"/>
        <v>135.6615177971793</v>
      </c>
      <c r="P210" s="127">
        <f t="shared" si="52"/>
        <v>76.56145063801209</v>
      </c>
      <c r="Q210" s="128">
        <f t="shared" si="53"/>
        <v>371.39019476158495</v>
      </c>
      <c r="R210" s="129">
        <v>148.9</v>
      </c>
      <c r="S210" s="130">
        <v>0</v>
      </c>
      <c r="T210" s="131">
        <v>169</v>
      </c>
      <c r="U210" s="131">
        <v>198</v>
      </c>
      <c r="V210" s="132">
        <f t="shared" si="54"/>
        <v>367</v>
      </c>
      <c r="W210" s="133">
        <f t="shared" si="55"/>
        <v>2.4647414372061784</v>
      </c>
      <c r="X210" s="130">
        <v>1688</v>
      </c>
      <c r="Y210" s="131">
        <v>1564</v>
      </c>
      <c r="Z210" s="131">
        <v>747</v>
      </c>
      <c r="AA210" s="132">
        <f t="shared" si="56"/>
        <v>3999</v>
      </c>
      <c r="AB210" s="133">
        <f t="shared" si="57"/>
        <v>26.856950973807923</v>
      </c>
      <c r="AC210" s="134">
        <f t="shared" si="58"/>
        <v>4366</v>
      </c>
      <c r="AD210" s="135">
        <f t="shared" si="59"/>
        <v>29.321692411014102</v>
      </c>
      <c r="AE210" s="136">
        <v>26</v>
      </c>
      <c r="AF210" s="137">
        <v>20</v>
      </c>
      <c r="AG210" s="137">
        <v>0</v>
      </c>
      <c r="AH210" s="138">
        <f t="shared" si="60"/>
        <v>46</v>
      </c>
      <c r="AI210" s="133">
        <f t="shared" si="61"/>
        <v>0.3089321692411014</v>
      </c>
    </row>
    <row r="211" spans="1:35">
      <c r="A211" s="171">
        <f>IF('09월 조업일지'!A207="","",'09월 조업일지'!A207)</f>
        <v>46272</v>
      </c>
      <c r="B211" s="172" t="str">
        <f>'09월 조업일지'!E207</f>
        <v>A</v>
      </c>
      <c r="C211" s="172" t="str">
        <f>'09월 조업일지'!F207</f>
        <v>A</v>
      </c>
      <c r="D211" s="172">
        <f>'09월 화학성분'!C208</f>
        <v>85410</v>
      </c>
      <c r="E211" s="205" t="str">
        <f t="shared" si="62"/>
        <v>SS400-05</v>
      </c>
      <c r="F211" s="121">
        <v>21</v>
      </c>
      <c r="G211" s="122">
        <v>23300</v>
      </c>
      <c r="H211" s="123">
        <v>18</v>
      </c>
      <c r="I211" s="122">
        <v>20500</v>
      </c>
      <c r="J211" s="123">
        <v>8</v>
      </c>
      <c r="K211" s="122">
        <v>9900</v>
      </c>
      <c r="L211" s="124">
        <f t="shared" si="49"/>
        <v>47</v>
      </c>
      <c r="M211" s="125">
        <f t="shared" si="49"/>
        <v>53700</v>
      </c>
      <c r="N211" s="126">
        <f t="shared" si="50"/>
        <v>155.33333333333334</v>
      </c>
      <c r="O211" s="127">
        <f t="shared" si="51"/>
        <v>136.66666666666666</v>
      </c>
      <c r="P211" s="127">
        <f t="shared" si="52"/>
        <v>66</v>
      </c>
      <c r="Q211" s="128">
        <f t="shared" si="53"/>
        <v>358</v>
      </c>
      <c r="R211" s="129">
        <v>150</v>
      </c>
      <c r="S211" s="130">
        <v>0</v>
      </c>
      <c r="T211" s="131">
        <v>125</v>
      </c>
      <c r="U211" s="131">
        <v>213</v>
      </c>
      <c r="V211" s="132">
        <f t="shared" si="54"/>
        <v>338</v>
      </c>
      <c r="W211" s="133">
        <f t="shared" si="55"/>
        <v>2.2533333333333334</v>
      </c>
      <c r="X211" s="130">
        <v>1645</v>
      </c>
      <c r="Y211" s="131">
        <v>1681</v>
      </c>
      <c r="Z211" s="131">
        <v>887</v>
      </c>
      <c r="AA211" s="132">
        <f t="shared" si="56"/>
        <v>4213</v>
      </c>
      <c r="AB211" s="133">
        <f t="shared" si="57"/>
        <v>28.086666666666666</v>
      </c>
      <c r="AC211" s="134">
        <f t="shared" si="58"/>
        <v>4551</v>
      </c>
      <c r="AD211" s="135">
        <f t="shared" si="59"/>
        <v>30.34</v>
      </c>
      <c r="AE211" s="136">
        <v>24</v>
      </c>
      <c r="AF211" s="137">
        <v>32</v>
      </c>
      <c r="AG211" s="137">
        <v>0</v>
      </c>
      <c r="AH211" s="138">
        <f t="shared" si="60"/>
        <v>56</v>
      </c>
      <c r="AI211" s="133">
        <f t="shared" si="61"/>
        <v>0.37333333333333335</v>
      </c>
    </row>
    <row r="212" spans="1:35">
      <c r="A212" s="171">
        <f>IF('09월 조업일지'!A208="","",'09월 조업일지'!A208)</f>
        <v>46272</v>
      </c>
      <c r="B212" s="172" t="str">
        <f>'09월 조업일지'!E208</f>
        <v>A</v>
      </c>
      <c r="C212" s="172" t="str">
        <f>'09월 조업일지'!F208</f>
        <v>B</v>
      </c>
      <c r="D212" s="172">
        <f>'09월 화학성분'!C209</f>
        <v>85411</v>
      </c>
      <c r="E212" s="205" t="str">
        <f t="shared" si="62"/>
        <v>SS400-05</v>
      </c>
      <c r="F212" s="121">
        <v>21</v>
      </c>
      <c r="G212" s="122">
        <v>23900</v>
      </c>
      <c r="H212" s="123">
        <v>17</v>
      </c>
      <c r="I212" s="122">
        <v>20600</v>
      </c>
      <c r="J212" s="123">
        <v>6</v>
      </c>
      <c r="K212" s="122">
        <v>6600</v>
      </c>
      <c r="L212" s="124">
        <f t="shared" si="49"/>
        <v>44</v>
      </c>
      <c r="M212" s="125">
        <f t="shared" si="49"/>
        <v>51100</v>
      </c>
      <c r="N212" s="126">
        <f t="shared" si="50"/>
        <v>172.93777134587555</v>
      </c>
      <c r="O212" s="127">
        <f t="shared" si="51"/>
        <v>149.05933429811867</v>
      </c>
      <c r="P212" s="127">
        <f t="shared" si="52"/>
        <v>47.756874095513751</v>
      </c>
      <c r="Q212" s="128">
        <f t="shared" si="53"/>
        <v>369.753979739508</v>
      </c>
      <c r="R212" s="129">
        <v>138.19999999999999</v>
      </c>
      <c r="S212" s="130">
        <v>0</v>
      </c>
      <c r="T212" s="131">
        <v>242</v>
      </c>
      <c r="U212" s="131">
        <v>64</v>
      </c>
      <c r="V212" s="132">
        <f t="shared" si="54"/>
        <v>306</v>
      </c>
      <c r="W212" s="133">
        <f t="shared" si="55"/>
        <v>2.214182344428365</v>
      </c>
      <c r="X212" s="130">
        <v>1793</v>
      </c>
      <c r="Y212" s="131">
        <v>1616</v>
      </c>
      <c r="Z212" s="131">
        <v>546</v>
      </c>
      <c r="AA212" s="132">
        <f t="shared" si="56"/>
        <v>3955</v>
      </c>
      <c r="AB212" s="133">
        <f t="shared" si="57"/>
        <v>28.617945007235893</v>
      </c>
      <c r="AC212" s="134">
        <f t="shared" si="58"/>
        <v>4261</v>
      </c>
      <c r="AD212" s="135">
        <f t="shared" si="59"/>
        <v>30.832127351664258</v>
      </c>
      <c r="AE212" s="136">
        <v>26</v>
      </c>
      <c r="AF212" s="137">
        <v>24</v>
      </c>
      <c r="AG212" s="137">
        <v>0</v>
      </c>
      <c r="AH212" s="138">
        <f t="shared" si="60"/>
        <v>50</v>
      </c>
      <c r="AI212" s="133">
        <f t="shared" si="61"/>
        <v>0.36179450072358904</v>
      </c>
    </row>
    <row r="213" spans="1:35">
      <c r="A213" s="171">
        <f>IF('09월 조업일지'!A209="","",'09월 조업일지'!A209)</f>
        <v>46272</v>
      </c>
      <c r="B213" s="172" t="str">
        <f>'09월 조업일지'!E209</f>
        <v>A</v>
      </c>
      <c r="C213" s="172" t="str">
        <f>'09월 조업일지'!F209</f>
        <v>B</v>
      </c>
      <c r="D213" s="172">
        <f>'09월 화학성분'!C210</f>
        <v>85412</v>
      </c>
      <c r="E213" s="205" t="str">
        <f t="shared" si="62"/>
        <v>SS400-05</v>
      </c>
      <c r="F213" s="121">
        <v>20</v>
      </c>
      <c r="G213" s="122">
        <v>23400</v>
      </c>
      <c r="H213" s="123">
        <v>17</v>
      </c>
      <c r="I213" s="122">
        <v>20700</v>
      </c>
      <c r="J213" s="123">
        <v>7</v>
      </c>
      <c r="K213" s="122">
        <v>9400</v>
      </c>
      <c r="L213" s="124">
        <f t="shared" si="49"/>
        <v>44</v>
      </c>
      <c r="M213" s="125">
        <f t="shared" si="49"/>
        <v>53500</v>
      </c>
      <c r="N213" s="126">
        <f t="shared" si="50"/>
        <v>155.3784860557769</v>
      </c>
      <c r="O213" s="127">
        <f t="shared" si="51"/>
        <v>137.45019920318725</v>
      </c>
      <c r="P213" s="127">
        <f t="shared" si="52"/>
        <v>62.416998671978753</v>
      </c>
      <c r="Q213" s="128">
        <f t="shared" si="53"/>
        <v>355.2456839309429</v>
      </c>
      <c r="R213" s="129">
        <v>150.6</v>
      </c>
      <c r="S213" s="130">
        <v>0</v>
      </c>
      <c r="T213" s="131">
        <v>152</v>
      </c>
      <c r="U213" s="131">
        <v>173</v>
      </c>
      <c r="V213" s="132">
        <f t="shared" si="54"/>
        <v>325</v>
      </c>
      <c r="W213" s="133">
        <f t="shared" si="55"/>
        <v>2.1580345285524567</v>
      </c>
      <c r="X213" s="130">
        <v>1719</v>
      </c>
      <c r="Y213" s="131">
        <v>1642</v>
      </c>
      <c r="Z213" s="131">
        <v>682</v>
      </c>
      <c r="AA213" s="132">
        <f t="shared" si="56"/>
        <v>4043</v>
      </c>
      <c r="AB213" s="133">
        <f t="shared" si="57"/>
        <v>26.845949535192563</v>
      </c>
      <c r="AC213" s="134">
        <f t="shared" si="58"/>
        <v>4368</v>
      </c>
      <c r="AD213" s="135">
        <f t="shared" si="59"/>
        <v>29.003984063745023</v>
      </c>
      <c r="AE213" s="136">
        <v>26</v>
      </c>
      <c r="AF213" s="137">
        <v>29</v>
      </c>
      <c r="AG213" s="137">
        <v>0</v>
      </c>
      <c r="AH213" s="138">
        <f t="shared" si="60"/>
        <v>55</v>
      </c>
      <c r="AI213" s="133">
        <f t="shared" si="61"/>
        <v>0.3652058432934927</v>
      </c>
    </row>
    <row r="214" spans="1:35">
      <c r="A214" s="171">
        <f>IF('09월 조업일지'!A210="","",'09월 조업일지'!A210)</f>
        <v>46272</v>
      </c>
      <c r="B214" s="172" t="str">
        <f>'09월 조업일지'!E210</f>
        <v>A</v>
      </c>
      <c r="C214" s="172" t="str">
        <f>'09월 조업일지'!F210</f>
        <v>A</v>
      </c>
      <c r="D214" s="172">
        <f>'09월 화학성분'!C211</f>
        <v>85413</v>
      </c>
      <c r="E214" s="205" t="str">
        <f t="shared" si="62"/>
        <v>SS400-05</v>
      </c>
      <c r="F214" s="121">
        <v>20</v>
      </c>
      <c r="G214" s="122">
        <v>23800</v>
      </c>
      <c r="H214" s="123">
        <v>17</v>
      </c>
      <c r="I214" s="122">
        <v>20400</v>
      </c>
      <c r="J214" s="123">
        <v>8</v>
      </c>
      <c r="K214" s="122">
        <v>10300</v>
      </c>
      <c r="L214" s="124">
        <f t="shared" si="49"/>
        <v>45</v>
      </c>
      <c r="M214" s="125">
        <f t="shared" si="49"/>
        <v>54500</v>
      </c>
      <c r="N214" s="126">
        <f t="shared" si="50"/>
        <v>157.40740740740742</v>
      </c>
      <c r="O214" s="127">
        <f t="shared" si="51"/>
        <v>134.92063492063494</v>
      </c>
      <c r="P214" s="127">
        <f t="shared" si="52"/>
        <v>68.121693121693127</v>
      </c>
      <c r="Q214" s="128">
        <f t="shared" si="53"/>
        <v>360.44973544973544</v>
      </c>
      <c r="R214" s="129">
        <v>151.19999999999999</v>
      </c>
      <c r="S214" s="130">
        <v>0</v>
      </c>
      <c r="T214" s="131">
        <v>150</v>
      </c>
      <c r="U214" s="131">
        <v>215</v>
      </c>
      <c r="V214" s="132">
        <f t="shared" si="54"/>
        <v>365</v>
      </c>
      <c r="W214" s="133">
        <f t="shared" si="55"/>
        <v>2.4140211640211642</v>
      </c>
      <c r="X214" s="130">
        <v>1728</v>
      </c>
      <c r="Y214" s="131">
        <v>2192</v>
      </c>
      <c r="Z214" s="131">
        <v>454</v>
      </c>
      <c r="AA214" s="132">
        <f t="shared" si="56"/>
        <v>4374</v>
      </c>
      <c r="AB214" s="133">
        <f t="shared" si="57"/>
        <v>28.928571428571431</v>
      </c>
      <c r="AC214" s="134">
        <f t="shared" si="58"/>
        <v>4739</v>
      </c>
      <c r="AD214" s="135">
        <f t="shared" si="59"/>
        <v>31.342592592592595</v>
      </c>
      <c r="AE214" s="136">
        <v>24</v>
      </c>
      <c r="AF214" s="137">
        <v>22</v>
      </c>
      <c r="AG214" s="137">
        <v>0</v>
      </c>
      <c r="AH214" s="138">
        <f t="shared" si="60"/>
        <v>46</v>
      </c>
      <c r="AI214" s="133">
        <f t="shared" si="61"/>
        <v>0.30423280423280424</v>
      </c>
    </row>
    <row r="215" spans="1:35">
      <c r="A215" s="171">
        <f>IF('09월 조업일지'!A211="","",'09월 조업일지'!A211)</f>
        <v>46272</v>
      </c>
      <c r="B215" s="172" t="str">
        <f>'09월 조업일지'!E211</f>
        <v>A</v>
      </c>
      <c r="C215" s="172" t="str">
        <f>'09월 조업일지'!F211</f>
        <v>B</v>
      </c>
      <c r="D215" s="172">
        <f>'09월 화학성분'!C212</f>
        <v>85414</v>
      </c>
      <c r="E215" s="205" t="str">
        <f t="shared" si="62"/>
        <v>SS400-05</v>
      </c>
      <c r="F215" s="121">
        <v>21</v>
      </c>
      <c r="G215" s="122">
        <v>23500</v>
      </c>
      <c r="H215" s="123">
        <v>19</v>
      </c>
      <c r="I215" s="122">
        <v>20400</v>
      </c>
      <c r="J215" s="123">
        <v>7</v>
      </c>
      <c r="K215" s="122">
        <v>9500</v>
      </c>
      <c r="L215" s="124">
        <f t="shared" si="49"/>
        <v>47</v>
      </c>
      <c r="M215" s="125">
        <f t="shared" si="49"/>
        <v>53400</v>
      </c>
      <c r="N215" s="126">
        <f t="shared" si="50"/>
        <v>156.45805592543277</v>
      </c>
      <c r="O215" s="127">
        <f t="shared" si="51"/>
        <v>135.81890812250333</v>
      </c>
      <c r="P215" s="127">
        <f t="shared" si="52"/>
        <v>63.249001331557928</v>
      </c>
      <c r="Q215" s="128">
        <f t="shared" si="53"/>
        <v>355.52596537949398</v>
      </c>
      <c r="R215" s="129">
        <v>150.19999999999999</v>
      </c>
      <c r="S215" s="130">
        <v>0</v>
      </c>
      <c r="T215" s="131">
        <v>248</v>
      </c>
      <c r="U215" s="131">
        <v>212</v>
      </c>
      <c r="V215" s="132">
        <f t="shared" si="54"/>
        <v>460</v>
      </c>
      <c r="W215" s="133">
        <f t="shared" si="55"/>
        <v>3.0625832223701734</v>
      </c>
      <c r="X215" s="130">
        <v>1800</v>
      </c>
      <c r="Y215" s="131">
        <v>1858</v>
      </c>
      <c r="Z215" s="131">
        <v>749</v>
      </c>
      <c r="AA215" s="132">
        <f t="shared" si="56"/>
        <v>4407</v>
      </c>
      <c r="AB215" s="133">
        <f t="shared" si="57"/>
        <v>29.34087882822903</v>
      </c>
      <c r="AC215" s="134">
        <f t="shared" si="58"/>
        <v>4867</v>
      </c>
      <c r="AD215" s="135">
        <f t="shared" si="59"/>
        <v>32.403462050599202</v>
      </c>
      <c r="AE215" s="136">
        <v>26</v>
      </c>
      <c r="AF215" s="137">
        <v>33</v>
      </c>
      <c r="AG215" s="137">
        <v>0</v>
      </c>
      <c r="AH215" s="138">
        <f t="shared" si="60"/>
        <v>59</v>
      </c>
      <c r="AI215" s="133">
        <f t="shared" si="61"/>
        <v>0.39280958721704395</v>
      </c>
    </row>
    <row r="216" spans="1:35">
      <c r="A216" s="171">
        <f>IF('09월 조업일지'!A212="","",'09월 조업일지'!A212)</f>
        <v>46272</v>
      </c>
      <c r="B216" s="172" t="str">
        <f>'09월 조업일지'!E212</f>
        <v>A</v>
      </c>
      <c r="C216" s="172" t="str">
        <f>'09월 조업일지'!F212</f>
        <v>A</v>
      </c>
      <c r="D216" s="172">
        <f>'09월 화학성분'!C213</f>
        <v>85415</v>
      </c>
      <c r="E216" s="205" t="str">
        <f t="shared" si="62"/>
        <v>SS400-05</v>
      </c>
      <c r="F216" s="121">
        <v>20</v>
      </c>
      <c r="G216" s="122">
        <v>23400</v>
      </c>
      <c r="H216" s="123">
        <v>17</v>
      </c>
      <c r="I216" s="122">
        <v>20600</v>
      </c>
      <c r="J216" s="123">
        <v>10</v>
      </c>
      <c r="K216" s="122">
        <v>12500</v>
      </c>
      <c r="L216" s="124">
        <f t="shared" si="49"/>
        <v>47</v>
      </c>
      <c r="M216" s="125">
        <f t="shared" si="49"/>
        <v>56500</v>
      </c>
      <c r="N216" s="126">
        <f t="shared" si="50"/>
        <v>154.96688741721854</v>
      </c>
      <c r="O216" s="127">
        <f t="shared" si="51"/>
        <v>136.42384105960264</v>
      </c>
      <c r="P216" s="127">
        <f t="shared" si="52"/>
        <v>82.78145695364239</v>
      </c>
      <c r="Q216" s="128">
        <f t="shared" si="53"/>
        <v>374.17218543046363</v>
      </c>
      <c r="R216" s="129">
        <v>151</v>
      </c>
      <c r="S216" s="130">
        <v>0</v>
      </c>
      <c r="T216" s="131">
        <v>180</v>
      </c>
      <c r="U216" s="131">
        <v>140</v>
      </c>
      <c r="V216" s="132">
        <f t="shared" si="54"/>
        <v>320</v>
      </c>
      <c r="W216" s="133">
        <f t="shared" si="55"/>
        <v>2.1192052980132452</v>
      </c>
      <c r="X216" s="130">
        <v>1735</v>
      </c>
      <c r="Y216" s="131">
        <v>1830</v>
      </c>
      <c r="Z216" s="131">
        <v>628</v>
      </c>
      <c r="AA216" s="132">
        <f t="shared" si="56"/>
        <v>4193</v>
      </c>
      <c r="AB216" s="133">
        <f t="shared" si="57"/>
        <v>27.768211920529801</v>
      </c>
      <c r="AC216" s="134">
        <f t="shared" si="58"/>
        <v>4513</v>
      </c>
      <c r="AD216" s="135">
        <f t="shared" si="59"/>
        <v>29.887417218543046</v>
      </c>
      <c r="AE216" s="136">
        <v>24</v>
      </c>
      <c r="AF216" s="137">
        <v>22</v>
      </c>
      <c r="AG216" s="137">
        <v>0</v>
      </c>
      <c r="AH216" s="138">
        <f t="shared" si="60"/>
        <v>46</v>
      </c>
      <c r="AI216" s="133">
        <f t="shared" si="61"/>
        <v>0.30463576158940397</v>
      </c>
    </row>
    <row r="217" spans="1:35">
      <c r="A217" s="171">
        <f>IF('09월 조업일지'!A213="","",'09월 조업일지'!A213)</f>
        <v>46273</v>
      </c>
      <c r="B217" s="172" t="str">
        <f>'09월 조업일지'!E213</f>
        <v>A</v>
      </c>
      <c r="C217" s="172" t="str">
        <f>'09월 조업일지'!F213</f>
        <v>B</v>
      </c>
      <c r="D217" s="172">
        <f>'09월 화학성분'!C214</f>
        <v>85416</v>
      </c>
      <c r="E217" s="205" t="str">
        <f t="shared" si="62"/>
        <v>SS400-05</v>
      </c>
      <c r="F217" s="121">
        <v>20</v>
      </c>
      <c r="G217" s="122">
        <v>23400</v>
      </c>
      <c r="H217" s="123">
        <v>19</v>
      </c>
      <c r="I217" s="122">
        <v>20700</v>
      </c>
      <c r="J217" s="123">
        <v>7</v>
      </c>
      <c r="K217" s="122">
        <v>9900</v>
      </c>
      <c r="L217" s="124">
        <f t="shared" ref="L217:M280" si="63">IF(ISBLANK(F217),"",SUM(F217,H217,J217))</f>
        <v>46</v>
      </c>
      <c r="M217" s="125">
        <f t="shared" si="63"/>
        <v>54000</v>
      </c>
      <c r="N217" s="126">
        <f t="shared" si="50"/>
        <v>157.57575757575756</v>
      </c>
      <c r="O217" s="127">
        <f t="shared" si="51"/>
        <v>139.39393939393941</v>
      </c>
      <c r="P217" s="127">
        <f t="shared" si="52"/>
        <v>66.666666666666671</v>
      </c>
      <c r="Q217" s="128">
        <f t="shared" si="53"/>
        <v>363.63636363636368</v>
      </c>
      <c r="R217" s="129">
        <v>148.5</v>
      </c>
      <c r="S217" s="130">
        <v>0</v>
      </c>
      <c r="T217" s="131">
        <v>198</v>
      </c>
      <c r="U217" s="131">
        <v>159</v>
      </c>
      <c r="V217" s="132">
        <f t="shared" si="54"/>
        <v>357</v>
      </c>
      <c r="W217" s="133">
        <f t="shared" si="55"/>
        <v>2.404040404040404</v>
      </c>
      <c r="X217" s="130">
        <v>1671</v>
      </c>
      <c r="Y217" s="131">
        <v>1646</v>
      </c>
      <c r="Z217" s="131">
        <v>647</v>
      </c>
      <c r="AA217" s="132">
        <f t="shared" si="56"/>
        <v>3964</v>
      </c>
      <c r="AB217" s="133">
        <f t="shared" si="57"/>
        <v>26.693602693602692</v>
      </c>
      <c r="AC217" s="134">
        <f t="shared" si="58"/>
        <v>4321</v>
      </c>
      <c r="AD217" s="135">
        <f t="shared" si="59"/>
        <v>29.097643097643097</v>
      </c>
      <c r="AE217" s="136">
        <v>24</v>
      </c>
      <c r="AF217" s="137">
        <v>32</v>
      </c>
      <c r="AG217" s="137">
        <v>0</v>
      </c>
      <c r="AH217" s="138">
        <f t="shared" si="60"/>
        <v>56</v>
      </c>
      <c r="AI217" s="133">
        <f t="shared" si="61"/>
        <v>0.37710437710437711</v>
      </c>
    </row>
    <row r="218" spans="1:35">
      <c r="A218" s="171">
        <f>IF('09월 조업일지'!A214="","",'09월 조업일지'!A214)</f>
        <v>46273</v>
      </c>
      <c r="B218" s="172" t="str">
        <f>'09월 조업일지'!E214</f>
        <v>A</v>
      </c>
      <c r="C218" s="172" t="str">
        <f>'09월 조업일지'!F214</f>
        <v>A</v>
      </c>
      <c r="D218" s="172">
        <f>'09월 화학성분'!C215</f>
        <v>85417</v>
      </c>
      <c r="E218" s="205" t="str">
        <f t="shared" si="62"/>
        <v>SS400-05</v>
      </c>
      <c r="F218" s="121">
        <v>21</v>
      </c>
      <c r="G218" s="122">
        <v>23500</v>
      </c>
      <c r="H218" s="123">
        <v>16</v>
      </c>
      <c r="I218" s="122">
        <v>20400</v>
      </c>
      <c r="J218" s="123">
        <v>7</v>
      </c>
      <c r="K218" s="122">
        <v>9200</v>
      </c>
      <c r="L218" s="124">
        <f t="shared" si="63"/>
        <v>44</v>
      </c>
      <c r="M218" s="125">
        <f t="shared" si="63"/>
        <v>53100</v>
      </c>
      <c r="N218" s="126">
        <f t="shared" si="50"/>
        <v>159.64673913043478</v>
      </c>
      <c r="O218" s="127">
        <f t="shared" si="51"/>
        <v>138.58695652173915</v>
      </c>
      <c r="P218" s="127">
        <f t="shared" si="52"/>
        <v>62.500000000000007</v>
      </c>
      <c r="Q218" s="128">
        <f t="shared" si="53"/>
        <v>360.73369565217394</v>
      </c>
      <c r="R218" s="129">
        <v>147.19999999999999</v>
      </c>
      <c r="S218" s="130">
        <v>0</v>
      </c>
      <c r="T218" s="131">
        <v>26</v>
      </c>
      <c r="U218" s="131">
        <v>301</v>
      </c>
      <c r="V218" s="132">
        <f t="shared" si="54"/>
        <v>327</v>
      </c>
      <c r="W218" s="133">
        <f t="shared" si="55"/>
        <v>2.2214673913043481</v>
      </c>
      <c r="X218" s="130">
        <v>1742</v>
      </c>
      <c r="Y218" s="131">
        <v>1622</v>
      </c>
      <c r="Z218" s="131">
        <v>789</v>
      </c>
      <c r="AA218" s="132">
        <f t="shared" si="56"/>
        <v>4153</v>
      </c>
      <c r="AB218" s="133">
        <f t="shared" si="57"/>
        <v>28.213315217391308</v>
      </c>
      <c r="AC218" s="134">
        <f t="shared" si="58"/>
        <v>4480</v>
      </c>
      <c r="AD218" s="135">
        <f t="shared" si="59"/>
        <v>30.434782608695656</v>
      </c>
      <c r="AE218" s="136">
        <v>25</v>
      </c>
      <c r="AF218" s="137">
        <v>23</v>
      </c>
      <c r="AG218" s="137">
        <v>0</v>
      </c>
      <c r="AH218" s="138">
        <f t="shared" si="60"/>
        <v>48</v>
      </c>
      <c r="AI218" s="133">
        <f t="shared" si="61"/>
        <v>0.32608695652173914</v>
      </c>
    </row>
    <row r="219" spans="1:35">
      <c r="A219" s="171">
        <f>IF('09월 조업일지'!A215="","",'09월 조업일지'!A215)</f>
        <v>46273</v>
      </c>
      <c r="B219" s="172" t="str">
        <f>'09월 조업일지'!E215</f>
        <v>A</v>
      </c>
      <c r="C219" s="172" t="str">
        <f>'09월 조업일지'!F215</f>
        <v>B</v>
      </c>
      <c r="D219" s="172">
        <f>'09월 화학성분'!C216</f>
        <v>85418</v>
      </c>
      <c r="E219" s="205" t="str">
        <f t="shared" si="62"/>
        <v>SS400-05</v>
      </c>
      <c r="F219" s="121">
        <v>20</v>
      </c>
      <c r="G219" s="122">
        <v>23300</v>
      </c>
      <c r="H219" s="123">
        <v>17</v>
      </c>
      <c r="I219" s="122">
        <v>20400</v>
      </c>
      <c r="J219" s="123">
        <v>8</v>
      </c>
      <c r="K219" s="122">
        <v>10000</v>
      </c>
      <c r="L219" s="124">
        <f t="shared" si="63"/>
        <v>45</v>
      </c>
      <c r="M219" s="125">
        <f t="shared" si="63"/>
        <v>53700</v>
      </c>
      <c r="N219" s="126">
        <f t="shared" si="50"/>
        <v>158.18058384249829</v>
      </c>
      <c r="O219" s="127">
        <f t="shared" si="51"/>
        <v>138.49287169042768</v>
      </c>
      <c r="P219" s="127">
        <f t="shared" si="52"/>
        <v>67.888662593346908</v>
      </c>
      <c r="Q219" s="128">
        <f t="shared" si="53"/>
        <v>364.56211812627288</v>
      </c>
      <c r="R219" s="129">
        <v>147.30000000000001</v>
      </c>
      <c r="S219" s="130">
        <v>0</v>
      </c>
      <c r="T219" s="131">
        <v>149</v>
      </c>
      <c r="U219" s="131">
        <v>176</v>
      </c>
      <c r="V219" s="132">
        <f t="shared" si="54"/>
        <v>325</v>
      </c>
      <c r="W219" s="133">
        <f t="shared" si="55"/>
        <v>2.2063815342837745</v>
      </c>
      <c r="X219" s="130">
        <v>2043</v>
      </c>
      <c r="Y219" s="131">
        <v>1719</v>
      </c>
      <c r="Z219" s="131">
        <v>513</v>
      </c>
      <c r="AA219" s="132">
        <f t="shared" si="56"/>
        <v>4275</v>
      </c>
      <c r="AB219" s="133">
        <f t="shared" si="57"/>
        <v>29.022403258655803</v>
      </c>
      <c r="AC219" s="134">
        <f t="shared" si="58"/>
        <v>4600</v>
      </c>
      <c r="AD219" s="135">
        <f t="shared" si="59"/>
        <v>31.228784792939578</v>
      </c>
      <c r="AE219" s="136">
        <v>38</v>
      </c>
      <c r="AF219" s="137">
        <v>27</v>
      </c>
      <c r="AG219" s="137">
        <v>0</v>
      </c>
      <c r="AH219" s="138">
        <f t="shared" si="60"/>
        <v>65</v>
      </c>
      <c r="AI219" s="133">
        <f t="shared" si="61"/>
        <v>0.4412763068567549</v>
      </c>
    </row>
    <row r="220" spans="1:35">
      <c r="A220" s="171">
        <f>IF('09월 조업일지'!A216="","",'09월 조업일지'!A216)</f>
        <v>46273</v>
      </c>
      <c r="B220" s="172" t="str">
        <f>'09월 조업일지'!E216</f>
        <v>A</v>
      </c>
      <c r="C220" s="172" t="str">
        <f>'09월 조업일지'!F216</f>
        <v>A</v>
      </c>
      <c r="D220" s="172">
        <f>'09월 화학성분'!C217</f>
        <v>85419</v>
      </c>
      <c r="E220" s="205" t="str">
        <f t="shared" si="62"/>
        <v>SS400-05</v>
      </c>
      <c r="F220" s="121">
        <v>21</v>
      </c>
      <c r="G220" s="122">
        <v>23700</v>
      </c>
      <c r="H220" s="123">
        <v>17</v>
      </c>
      <c r="I220" s="122">
        <v>20600</v>
      </c>
      <c r="J220" s="123">
        <v>13</v>
      </c>
      <c r="K220" s="122">
        <v>14900</v>
      </c>
      <c r="L220" s="124">
        <f t="shared" si="63"/>
        <v>51</v>
      </c>
      <c r="M220" s="125">
        <f t="shared" si="63"/>
        <v>59200</v>
      </c>
      <c r="N220" s="126">
        <f t="shared" si="50"/>
        <v>161.1148878314072</v>
      </c>
      <c r="O220" s="127">
        <f t="shared" si="51"/>
        <v>140.04078857919782</v>
      </c>
      <c r="P220" s="127">
        <f t="shared" si="52"/>
        <v>101.29163834126444</v>
      </c>
      <c r="Q220" s="128">
        <f t="shared" si="53"/>
        <v>402.44731475186944</v>
      </c>
      <c r="R220" s="129">
        <v>147.1</v>
      </c>
      <c r="S220" s="130">
        <v>0</v>
      </c>
      <c r="T220" s="131">
        <v>180</v>
      </c>
      <c r="U220" s="131">
        <v>195</v>
      </c>
      <c r="V220" s="132">
        <f t="shared" si="54"/>
        <v>375</v>
      </c>
      <c r="W220" s="133">
        <f t="shared" si="55"/>
        <v>2.5492861998640381</v>
      </c>
      <c r="X220" s="130">
        <v>1767</v>
      </c>
      <c r="Y220" s="131">
        <v>1633</v>
      </c>
      <c r="Z220" s="131">
        <v>1240</v>
      </c>
      <c r="AA220" s="132">
        <f t="shared" si="56"/>
        <v>4640</v>
      </c>
      <c r="AB220" s="133">
        <f t="shared" si="57"/>
        <v>31.543167912984366</v>
      </c>
      <c r="AC220" s="134">
        <f t="shared" si="58"/>
        <v>5015</v>
      </c>
      <c r="AD220" s="135">
        <f t="shared" si="59"/>
        <v>34.092454112848401</v>
      </c>
      <c r="AE220" s="136">
        <v>26</v>
      </c>
      <c r="AF220" s="137">
        <v>24</v>
      </c>
      <c r="AG220" s="137">
        <v>0</v>
      </c>
      <c r="AH220" s="138">
        <f t="shared" si="60"/>
        <v>50</v>
      </c>
      <c r="AI220" s="133">
        <f t="shared" si="61"/>
        <v>0.33990482664853844</v>
      </c>
    </row>
    <row r="221" spans="1:35">
      <c r="A221" s="171">
        <f>IF('09월 조업일지'!A217="","",'09월 조업일지'!A217)</f>
        <v>46273</v>
      </c>
      <c r="B221" s="172" t="str">
        <f>'09월 조업일지'!E217</f>
        <v>C</v>
      </c>
      <c r="C221" s="172" t="str">
        <f>'09월 조업일지'!F217</f>
        <v>B</v>
      </c>
      <c r="D221" s="172">
        <f>'09월 화학성분'!C218</f>
        <v>85420</v>
      </c>
      <c r="E221" s="205" t="str">
        <f t="shared" si="62"/>
        <v>SS400-05</v>
      </c>
      <c r="F221" s="121">
        <v>20</v>
      </c>
      <c r="G221" s="122">
        <v>23300</v>
      </c>
      <c r="H221" s="123">
        <v>19</v>
      </c>
      <c r="I221" s="122">
        <v>20500</v>
      </c>
      <c r="J221" s="123">
        <v>7</v>
      </c>
      <c r="K221" s="122">
        <v>8400</v>
      </c>
      <c r="L221" s="124">
        <f t="shared" si="63"/>
        <v>46</v>
      </c>
      <c r="M221" s="125">
        <f t="shared" si="63"/>
        <v>52200</v>
      </c>
      <c r="N221" s="126">
        <f t="shared" si="50"/>
        <v>160.13745704467354</v>
      </c>
      <c r="O221" s="127">
        <f t="shared" si="51"/>
        <v>140.89347079037802</v>
      </c>
      <c r="P221" s="127">
        <f t="shared" si="52"/>
        <v>57.731958762886599</v>
      </c>
      <c r="Q221" s="128">
        <f t="shared" si="53"/>
        <v>358.76288659793818</v>
      </c>
      <c r="R221" s="129">
        <v>145.5</v>
      </c>
      <c r="S221" s="130">
        <v>0</v>
      </c>
      <c r="T221" s="131">
        <v>192</v>
      </c>
      <c r="U221" s="131">
        <v>155</v>
      </c>
      <c r="V221" s="132">
        <f t="shared" si="54"/>
        <v>347</v>
      </c>
      <c r="W221" s="133">
        <f t="shared" si="55"/>
        <v>2.3848797250859106</v>
      </c>
      <c r="X221" s="130">
        <v>2496</v>
      </c>
      <c r="Y221" s="131">
        <v>1720</v>
      </c>
      <c r="Z221" s="131">
        <v>607</v>
      </c>
      <c r="AA221" s="132">
        <f t="shared" si="56"/>
        <v>4823</v>
      </c>
      <c r="AB221" s="133">
        <f t="shared" si="57"/>
        <v>33.147766323024058</v>
      </c>
      <c r="AC221" s="134">
        <f t="shared" si="58"/>
        <v>5170</v>
      </c>
      <c r="AD221" s="135">
        <f t="shared" si="59"/>
        <v>35.532646048109967</v>
      </c>
      <c r="AE221" s="136">
        <v>54</v>
      </c>
      <c r="AF221" s="137">
        <v>32</v>
      </c>
      <c r="AG221" s="137">
        <v>0</v>
      </c>
      <c r="AH221" s="138">
        <f t="shared" si="60"/>
        <v>86</v>
      </c>
      <c r="AI221" s="133">
        <f t="shared" si="61"/>
        <v>0.59106529209621994</v>
      </c>
    </row>
    <row r="222" spans="1:35">
      <c r="A222" s="171">
        <f>IF('09월 조업일지'!A218="","",'09월 조업일지'!A218)</f>
        <v>46273</v>
      </c>
      <c r="B222" s="172" t="str">
        <f>'09월 조업일지'!E218</f>
        <v>C</v>
      </c>
      <c r="C222" s="172" t="str">
        <f>'09월 조업일지'!F218</f>
        <v>A</v>
      </c>
      <c r="D222" s="172">
        <f>'09월 화학성분'!C219</f>
        <v>85421</v>
      </c>
      <c r="E222" s="205" t="str">
        <f t="shared" si="62"/>
        <v>SS400-05</v>
      </c>
      <c r="F222" s="121">
        <v>20</v>
      </c>
      <c r="G222" s="122">
        <v>23600</v>
      </c>
      <c r="H222" s="123">
        <v>18</v>
      </c>
      <c r="I222" s="122">
        <v>20700</v>
      </c>
      <c r="J222" s="123">
        <v>10</v>
      </c>
      <c r="K222" s="122">
        <v>11900</v>
      </c>
      <c r="L222" s="124">
        <f t="shared" si="63"/>
        <v>48</v>
      </c>
      <c r="M222" s="125">
        <f t="shared" si="63"/>
        <v>56200</v>
      </c>
      <c r="N222" s="126">
        <f t="shared" si="50"/>
        <v>161.64383561643837</v>
      </c>
      <c r="O222" s="127">
        <f t="shared" si="51"/>
        <v>141.78082191780823</v>
      </c>
      <c r="P222" s="127">
        <f t="shared" si="52"/>
        <v>81.506849315068493</v>
      </c>
      <c r="Q222" s="128">
        <f t="shared" si="53"/>
        <v>384.9315068493151</v>
      </c>
      <c r="R222" s="129">
        <v>146</v>
      </c>
      <c r="S222" s="130">
        <v>0</v>
      </c>
      <c r="T222" s="131">
        <v>208</v>
      </c>
      <c r="U222" s="131">
        <v>138</v>
      </c>
      <c r="V222" s="132">
        <f t="shared" si="54"/>
        <v>346</v>
      </c>
      <c r="W222" s="133">
        <f t="shared" si="55"/>
        <v>2.3698630136986303</v>
      </c>
      <c r="X222" s="130">
        <v>1667</v>
      </c>
      <c r="Y222" s="131">
        <v>1743</v>
      </c>
      <c r="Z222" s="131">
        <v>806</v>
      </c>
      <c r="AA222" s="132">
        <f t="shared" si="56"/>
        <v>4216</v>
      </c>
      <c r="AB222" s="133">
        <f t="shared" si="57"/>
        <v>28.876712328767123</v>
      </c>
      <c r="AC222" s="134">
        <f t="shared" si="58"/>
        <v>4562</v>
      </c>
      <c r="AD222" s="135">
        <f t="shared" si="59"/>
        <v>31.246575342465754</v>
      </c>
      <c r="AE222" s="136">
        <v>24</v>
      </c>
      <c r="AF222" s="137">
        <v>22</v>
      </c>
      <c r="AG222" s="137">
        <v>0</v>
      </c>
      <c r="AH222" s="138">
        <f t="shared" si="60"/>
        <v>46</v>
      </c>
      <c r="AI222" s="133">
        <f t="shared" si="61"/>
        <v>0.31506849315068491</v>
      </c>
    </row>
    <row r="223" spans="1:35">
      <c r="A223" s="171">
        <f>IF('09월 조업일지'!A219="","",'09월 조업일지'!A219)</f>
        <v>46273</v>
      </c>
      <c r="B223" s="172" t="str">
        <f>'09월 조업일지'!E219</f>
        <v>C</v>
      </c>
      <c r="C223" s="172" t="str">
        <f>'09월 조업일지'!F219</f>
        <v>B</v>
      </c>
      <c r="D223" s="172">
        <f>'09월 화학성분'!C220</f>
        <v>85422</v>
      </c>
      <c r="E223" s="205" t="str">
        <f t="shared" si="62"/>
        <v>SS400-05</v>
      </c>
      <c r="F223" s="121">
        <v>20</v>
      </c>
      <c r="G223" s="122">
        <v>22700</v>
      </c>
      <c r="H223" s="123">
        <v>18</v>
      </c>
      <c r="I223" s="122">
        <v>20800</v>
      </c>
      <c r="J223" s="123">
        <v>9</v>
      </c>
      <c r="K223" s="122">
        <v>11000</v>
      </c>
      <c r="L223" s="124">
        <f t="shared" si="63"/>
        <v>47</v>
      </c>
      <c r="M223" s="125">
        <f t="shared" si="63"/>
        <v>54500</v>
      </c>
      <c r="N223" s="126">
        <f t="shared" si="50"/>
        <v>155.37303216974675</v>
      </c>
      <c r="O223" s="127">
        <f t="shared" si="51"/>
        <v>142.36824093086926</v>
      </c>
      <c r="P223" s="127">
        <f t="shared" si="52"/>
        <v>75.290896646132794</v>
      </c>
      <c r="Q223" s="128">
        <f t="shared" si="53"/>
        <v>373.03216974674882</v>
      </c>
      <c r="R223" s="129">
        <v>146.1</v>
      </c>
      <c r="S223" s="130">
        <v>0</v>
      </c>
      <c r="T223" s="131">
        <v>202</v>
      </c>
      <c r="U223" s="131">
        <v>132</v>
      </c>
      <c r="V223" s="132">
        <f t="shared" si="54"/>
        <v>334</v>
      </c>
      <c r="W223" s="133">
        <f t="shared" si="55"/>
        <v>2.2861054072553046</v>
      </c>
      <c r="X223" s="130">
        <v>1766</v>
      </c>
      <c r="Y223" s="131">
        <v>1675</v>
      </c>
      <c r="Z223" s="131">
        <v>799</v>
      </c>
      <c r="AA223" s="132">
        <f t="shared" si="56"/>
        <v>4240</v>
      </c>
      <c r="AB223" s="133">
        <f t="shared" si="57"/>
        <v>29.021218343600275</v>
      </c>
      <c r="AC223" s="134">
        <f t="shared" si="58"/>
        <v>4574</v>
      </c>
      <c r="AD223" s="135">
        <f t="shared" si="59"/>
        <v>31.307323750855581</v>
      </c>
      <c r="AE223" s="136">
        <v>30</v>
      </c>
      <c r="AF223" s="137">
        <v>28</v>
      </c>
      <c r="AG223" s="137">
        <v>0</v>
      </c>
      <c r="AH223" s="138">
        <f t="shared" si="60"/>
        <v>58</v>
      </c>
      <c r="AI223" s="133">
        <f t="shared" si="61"/>
        <v>0.39698836413415473</v>
      </c>
    </row>
    <row r="224" spans="1:35">
      <c r="A224" s="171">
        <f>IF('09월 조업일지'!A220="","",'09월 조업일지'!A220)</f>
        <v>46273</v>
      </c>
      <c r="B224" s="172" t="str">
        <f>'09월 조업일지'!E220</f>
        <v>C</v>
      </c>
      <c r="C224" s="172" t="str">
        <f>'09월 조업일지'!F220</f>
        <v>A</v>
      </c>
      <c r="D224" s="172">
        <f>'09월 화학성분'!C221</f>
        <v>85423</v>
      </c>
      <c r="E224" s="205" t="str">
        <f t="shared" si="62"/>
        <v>SS400-05</v>
      </c>
      <c r="F224" s="121">
        <v>21</v>
      </c>
      <c r="G224" s="122">
        <v>23300</v>
      </c>
      <c r="H224" s="123">
        <v>17</v>
      </c>
      <c r="I224" s="122">
        <v>20500</v>
      </c>
      <c r="J224" s="123">
        <v>6</v>
      </c>
      <c r="K224" s="122">
        <v>8700</v>
      </c>
      <c r="L224" s="124">
        <f t="shared" si="63"/>
        <v>44</v>
      </c>
      <c r="M224" s="125">
        <f t="shared" si="63"/>
        <v>52500</v>
      </c>
      <c r="N224" s="126">
        <f t="shared" si="50"/>
        <v>160.02747252747253</v>
      </c>
      <c r="O224" s="127">
        <f t="shared" si="51"/>
        <v>140.7967032967033</v>
      </c>
      <c r="P224" s="127">
        <f t="shared" si="52"/>
        <v>59.752747252747255</v>
      </c>
      <c r="Q224" s="128">
        <f t="shared" si="53"/>
        <v>360.57692307692309</v>
      </c>
      <c r="R224" s="129">
        <v>145.6</v>
      </c>
      <c r="S224" s="130">
        <v>0</v>
      </c>
      <c r="T224" s="131">
        <v>190</v>
      </c>
      <c r="U224" s="131">
        <v>150</v>
      </c>
      <c r="V224" s="132">
        <f t="shared" si="54"/>
        <v>340</v>
      </c>
      <c r="W224" s="133">
        <f t="shared" si="55"/>
        <v>2.3351648351648353</v>
      </c>
      <c r="X224" s="130">
        <v>1791</v>
      </c>
      <c r="Y224" s="131">
        <v>1575</v>
      </c>
      <c r="Z224" s="131">
        <v>674</v>
      </c>
      <c r="AA224" s="132">
        <f t="shared" si="56"/>
        <v>4040</v>
      </c>
      <c r="AB224" s="133">
        <f t="shared" si="57"/>
        <v>27.747252747252748</v>
      </c>
      <c r="AC224" s="134">
        <f t="shared" si="58"/>
        <v>4380</v>
      </c>
      <c r="AD224" s="135">
        <f t="shared" si="59"/>
        <v>30.082417582417584</v>
      </c>
      <c r="AE224" s="136">
        <v>26</v>
      </c>
      <c r="AF224" s="137">
        <v>24</v>
      </c>
      <c r="AG224" s="137">
        <v>0</v>
      </c>
      <c r="AH224" s="138">
        <f t="shared" si="60"/>
        <v>50</v>
      </c>
      <c r="AI224" s="133">
        <f t="shared" si="61"/>
        <v>0.34340659340659341</v>
      </c>
    </row>
    <row r="225" spans="1:35">
      <c r="A225" s="171">
        <f>IF('09월 조업일지'!A221="","",'09월 조업일지'!A221)</f>
        <v>46273</v>
      </c>
      <c r="B225" s="172" t="str">
        <f>'09월 조업일지'!E221</f>
        <v>C</v>
      </c>
      <c r="C225" s="172" t="str">
        <f>'09월 조업일지'!F221</f>
        <v>B</v>
      </c>
      <c r="D225" s="172">
        <f>'09월 화학성분'!C222</f>
        <v>85424</v>
      </c>
      <c r="E225" s="205" t="str">
        <f t="shared" si="62"/>
        <v>SS400-05</v>
      </c>
      <c r="F225" s="121">
        <v>20</v>
      </c>
      <c r="G225" s="122">
        <v>22900</v>
      </c>
      <c r="H225" s="123">
        <v>18</v>
      </c>
      <c r="I225" s="122">
        <v>20800</v>
      </c>
      <c r="J225" s="123">
        <v>9</v>
      </c>
      <c r="K225" s="122">
        <v>10800</v>
      </c>
      <c r="L225" s="124">
        <f t="shared" si="63"/>
        <v>47</v>
      </c>
      <c r="M225" s="125">
        <f t="shared" si="63"/>
        <v>54500</v>
      </c>
      <c r="N225" s="126">
        <f t="shared" si="50"/>
        <v>156.4207650273224</v>
      </c>
      <c r="O225" s="127">
        <f t="shared" si="51"/>
        <v>142.07650273224044</v>
      </c>
      <c r="P225" s="127">
        <f t="shared" si="52"/>
        <v>73.770491803278688</v>
      </c>
      <c r="Q225" s="128">
        <f t="shared" si="53"/>
        <v>372.26775956284155</v>
      </c>
      <c r="R225" s="129">
        <v>146.4</v>
      </c>
      <c r="S225" s="130">
        <v>0</v>
      </c>
      <c r="T225" s="131">
        <v>180</v>
      </c>
      <c r="U225" s="131">
        <v>170</v>
      </c>
      <c r="V225" s="132">
        <f t="shared" si="54"/>
        <v>350</v>
      </c>
      <c r="W225" s="133">
        <f t="shared" si="55"/>
        <v>2.3907103825136611</v>
      </c>
      <c r="X225" s="130">
        <v>1570</v>
      </c>
      <c r="Y225" s="131">
        <v>1664</v>
      </c>
      <c r="Z225" s="131">
        <v>944</v>
      </c>
      <c r="AA225" s="132">
        <f t="shared" si="56"/>
        <v>4178</v>
      </c>
      <c r="AB225" s="133">
        <f t="shared" si="57"/>
        <v>28.538251366120218</v>
      </c>
      <c r="AC225" s="134">
        <f t="shared" si="58"/>
        <v>4528</v>
      </c>
      <c r="AD225" s="135">
        <f t="shared" si="59"/>
        <v>30.928961748633878</v>
      </c>
      <c r="AE225" s="136">
        <v>26</v>
      </c>
      <c r="AF225" s="137">
        <v>29</v>
      </c>
      <c r="AG225" s="137">
        <v>0</v>
      </c>
      <c r="AH225" s="138">
        <f t="shared" si="60"/>
        <v>55</v>
      </c>
      <c r="AI225" s="133">
        <f t="shared" si="61"/>
        <v>0.37568306010928959</v>
      </c>
    </row>
    <row r="226" spans="1:35">
      <c r="A226" s="171">
        <f>IF('09월 조업일지'!A222="","",'09월 조업일지'!A222)</f>
        <v>46273</v>
      </c>
      <c r="B226" s="172" t="str">
        <f>'09월 조업일지'!E222</f>
        <v>C</v>
      </c>
      <c r="C226" s="172" t="str">
        <f>'09월 조업일지'!F222</f>
        <v>A</v>
      </c>
      <c r="D226" s="172">
        <f>'09월 화학성분'!C223</f>
        <v>85425</v>
      </c>
      <c r="E226" s="205" t="str">
        <f t="shared" si="62"/>
        <v>SS400-05</v>
      </c>
      <c r="F226" s="121">
        <v>20</v>
      </c>
      <c r="G226" s="122">
        <v>23400</v>
      </c>
      <c r="H226" s="123">
        <v>18</v>
      </c>
      <c r="I226" s="122">
        <v>20200</v>
      </c>
      <c r="J226" s="123">
        <v>10</v>
      </c>
      <c r="K226" s="122">
        <v>13500</v>
      </c>
      <c r="L226" s="124">
        <f t="shared" si="63"/>
        <v>48</v>
      </c>
      <c r="M226" s="125">
        <f t="shared" si="63"/>
        <v>57100</v>
      </c>
      <c r="N226" s="126">
        <f t="shared" si="50"/>
        <v>157.68194070080861</v>
      </c>
      <c r="O226" s="127">
        <f t="shared" si="51"/>
        <v>136.11859838274933</v>
      </c>
      <c r="P226" s="127">
        <f t="shared" si="52"/>
        <v>90.970350404312669</v>
      </c>
      <c r="Q226" s="128">
        <f t="shared" si="53"/>
        <v>384.77088948787065</v>
      </c>
      <c r="R226" s="129">
        <v>148.4</v>
      </c>
      <c r="S226" s="130">
        <v>0</v>
      </c>
      <c r="T226" s="131">
        <v>177</v>
      </c>
      <c r="U226" s="131">
        <v>166</v>
      </c>
      <c r="V226" s="132">
        <f t="shared" si="54"/>
        <v>343</v>
      </c>
      <c r="W226" s="133">
        <f t="shared" si="55"/>
        <v>2.3113207547169812</v>
      </c>
      <c r="X226" s="130">
        <v>1693</v>
      </c>
      <c r="Y226" s="131">
        <v>1617</v>
      </c>
      <c r="Z226" s="131">
        <v>1036</v>
      </c>
      <c r="AA226" s="132">
        <f t="shared" si="56"/>
        <v>4346</v>
      </c>
      <c r="AB226" s="133">
        <f t="shared" si="57"/>
        <v>29.285714285714285</v>
      </c>
      <c r="AC226" s="134">
        <f t="shared" si="58"/>
        <v>4689</v>
      </c>
      <c r="AD226" s="135">
        <f t="shared" si="59"/>
        <v>31.597035040431265</v>
      </c>
      <c r="AE226" s="136">
        <v>26</v>
      </c>
      <c r="AF226" s="137">
        <v>26</v>
      </c>
      <c r="AG226" s="137">
        <v>0</v>
      </c>
      <c r="AH226" s="138">
        <f t="shared" si="60"/>
        <v>52</v>
      </c>
      <c r="AI226" s="133">
        <f t="shared" si="61"/>
        <v>0.35040431266846361</v>
      </c>
    </row>
    <row r="227" spans="1:35">
      <c r="A227" s="171">
        <f>IF('09월 조업일지'!A223="","",'09월 조업일지'!A223)</f>
        <v>46273</v>
      </c>
      <c r="B227" s="172" t="str">
        <f>'09월 조업일지'!E223</f>
        <v>C</v>
      </c>
      <c r="C227" s="172" t="str">
        <f>'09월 조업일지'!F223</f>
        <v>B</v>
      </c>
      <c r="D227" s="172">
        <f>'09월 화학성분'!C224</f>
        <v>85426</v>
      </c>
      <c r="E227" s="205" t="str">
        <f t="shared" si="62"/>
        <v>SS400-05</v>
      </c>
      <c r="F227" s="121">
        <v>20</v>
      </c>
      <c r="G227" s="122">
        <v>23400</v>
      </c>
      <c r="H227" s="123">
        <v>18</v>
      </c>
      <c r="I227" s="122">
        <v>20500</v>
      </c>
      <c r="J227" s="123">
        <v>9</v>
      </c>
      <c r="K227" s="122">
        <v>10600</v>
      </c>
      <c r="L227" s="124">
        <f t="shared" si="63"/>
        <v>47</v>
      </c>
      <c r="M227" s="125">
        <f t="shared" si="63"/>
        <v>54500</v>
      </c>
      <c r="N227" s="126">
        <f t="shared" si="50"/>
        <v>160.38382453735434</v>
      </c>
      <c r="O227" s="127">
        <f t="shared" si="51"/>
        <v>140.50719671007539</v>
      </c>
      <c r="P227" s="127">
        <f t="shared" si="52"/>
        <v>72.652501713502403</v>
      </c>
      <c r="Q227" s="128">
        <f t="shared" si="53"/>
        <v>373.54352296093214</v>
      </c>
      <c r="R227" s="129">
        <v>145.9</v>
      </c>
      <c r="S227" s="130">
        <v>0</v>
      </c>
      <c r="T227" s="131">
        <v>208</v>
      </c>
      <c r="U227" s="131">
        <v>157</v>
      </c>
      <c r="V227" s="132">
        <f t="shared" si="54"/>
        <v>365</v>
      </c>
      <c r="W227" s="133">
        <f t="shared" si="55"/>
        <v>2.5017135023989034</v>
      </c>
      <c r="X227" s="130">
        <v>1673</v>
      </c>
      <c r="Y227" s="131">
        <v>1732</v>
      </c>
      <c r="Z227" s="131">
        <v>850</v>
      </c>
      <c r="AA227" s="132">
        <f t="shared" si="56"/>
        <v>4255</v>
      </c>
      <c r="AB227" s="133">
        <f t="shared" si="57"/>
        <v>29.163810829335159</v>
      </c>
      <c r="AC227" s="134">
        <f t="shared" si="58"/>
        <v>4620</v>
      </c>
      <c r="AD227" s="135">
        <f t="shared" si="59"/>
        <v>31.665524331734062</v>
      </c>
      <c r="AE227" s="136">
        <v>25</v>
      </c>
      <c r="AF227" s="137">
        <v>31</v>
      </c>
      <c r="AG227" s="137">
        <v>0</v>
      </c>
      <c r="AH227" s="138">
        <f t="shared" si="60"/>
        <v>56</v>
      </c>
      <c r="AI227" s="133">
        <f t="shared" si="61"/>
        <v>0.38382453735435229</v>
      </c>
    </row>
    <row r="228" spans="1:35">
      <c r="A228" s="171">
        <f>IF('09월 조업일지'!A224="","",'09월 조업일지'!A224)</f>
        <v>46273</v>
      </c>
      <c r="B228" s="172" t="str">
        <f>'09월 조업일지'!E224</f>
        <v>C</v>
      </c>
      <c r="C228" s="172" t="str">
        <f>'09월 조업일지'!F224</f>
        <v>B</v>
      </c>
      <c r="D228" s="172">
        <f>'09월 화학성분'!C225</f>
        <v>85427</v>
      </c>
      <c r="E228" s="205" t="str">
        <f t="shared" si="62"/>
        <v>SS400-05</v>
      </c>
      <c r="F228" s="121">
        <v>20</v>
      </c>
      <c r="G228" s="122">
        <v>23500</v>
      </c>
      <c r="H228" s="123">
        <v>16</v>
      </c>
      <c r="I228" s="122">
        <v>20700</v>
      </c>
      <c r="J228" s="123">
        <v>8</v>
      </c>
      <c r="K228" s="122">
        <v>10300</v>
      </c>
      <c r="L228" s="124">
        <f t="shared" si="63"/>
        <v>44</v>
      </c>
      <c r="M228" s="125">
        <f t="shared" si="63"/>
        <v>54500</v>
      </c>
      <c r="N228" s="126">
        <f t="shared" si="50"/>
        <v>159.64673913043478</v>
      </c>
      <c r="O228" s="127">
        <f t="shared" si="51"/>
        <v>140.625</v>
      </c>
      <c r="P228" s="127">
        <f t="shared" si="52"/>
        <v>69.97282608695653</v>
      </c>
      <c r="Q228" s="128">
        <f t="shared" si="53"/>
        <v>370.24456521739125</v>
      </c>
      <c r="R228" s="129">
        <v>147.19999999999999</v>
      </c>
      <c r="S228" s="130">
        <v>0</v>
      </c>
      <c r="T228" s="131">
        <v>206</v>
      </c>
      <c r="U228" s="131">
        <v>141</v>
      </c>
      <c r="V228" s="132">
        <f t="shared" si="54"/>
        <v>347</v>
      </c>
      <c r="W228" s="133">
        <f t="shared" si="55"/>
        <v>2.3573369565217392</v>
      </c>
      <c r="X228" s="130">
        <v>1697</v>
      </c>
      <c r="Y228" s="131">
        <v>1610</v>
      </c>
      <c r="Z228" s="131">
        <v>775</v>
      </c>
      <c r="AA228" s="132">
        <f t="shared" si="56"/>
        <v>4082</v>
      </c>
      <c r="AB228" s="133">
        <f t="shared" si="57"/>
        <v>27.730978260869566</v>
      </c>
      <c r="AC228" s="134">
        <f t="shared" si="58"/>
        <v>4429</v>
      </c>
      <c r="AD228" s="135">
        <f t="shared" si="59"/>
        <v>30.088315217391308</v>
      </c>
      <c r="AE228" s="136">
        <v>26</v>
      </c>
      <c r="AF228" s="137">
        <v>21</v>
      </c>
      <c r="AG228" s="137">
        <v>0</v>
      </c>
      <c r="AH228" s="138">
        <f t="shared" si="60"/>
        <v>47</v>
      </c>
      <c r="AI228" s="133">
        <f t="shared" si="61"/>
        <v>0.31929347826086957</v>
      </c>
    </row>
    <row r="229" spans="1:35">
      <c r="A229" s="171">
        <f>IF('09월 조업일지'!A225="","",'09월 조업일지'!A225)</f>
        <v>46273</v>
      </c>
      <c r="B229" s="172" t="str">
        <f>'09월 조업일지'!E225</f>
        <v>D</v>
      </c>
      <c r="C229" s="172" t="str">
        <f>'09월 조업일지'!F225</f>
        <v>A</v>
      </c>
      <c r="D229" s="172">
        <f>'09월 화학성분'!C226</f>
        <v>85428</v>
      </c>
      <c r="E229" s="205" t="str">
        <f t="shared" si="62"/>
        <v>SS400-05</v>
      </c>
      <c r="F229" s="121">
        <v>21</v>
      </c>
      <c r="G229" s="122">
        <v>23700</v>
      </c>
      <c r="H229" s="123">
        <v>17</v>
      </c>
      <c r="I229" s="122">
        <v>20500</v>
      </c>
      <c r="J229" s="123">
        <v>9</v>
      </c>
      <c r="K229" s="122">
        <v>10100</v>
      </c>
      <c r="L229" s="124">
        <f t="shared" si="63"/>
        <v>47</v>
      </c>
      <c r="M229" s="125">
        <f t="shared" si="63"/>
        <v>54300</v>
      </c>
      <c r="N229" s="126">
        <f t="shared" si="50"/>
        <v>163.33563059958649</v>
      </c>
      <c r="O229" s="127">
        <f t="shared" si="51"/>
        <v>141.28187456926258</v>
      </c>
      <c r="P229" s="127">
        <f t="shared" si="52"/>
        <v>69.607167470709854</v>
      </c>
      <c r="Q229" s="128">
        <f t="shared" si="53"/>
        <v>374.22467263955895</v>
      </c>
      <c r="R229" s="129">
        <v>145.1</v>
      </c>
      <c r="S229" s="130">
        <v>0</v>
      </c>
      <c r="T229" s="131">
        <v>200</v>
      </c>
      <c r="U229" s="131">
        <v>165</v>
      </c>
      <c r="V229" s="132">
        <f t="shared" si="54"/>
        <v>365</v>
      </c>
      <c r="W229" s="133">
        <f t="shared" si="55"/>
        <v>2.5155065472088216</v>
      </c>
      <c r="X229" s="130">
        <v>1730</v>
      </c>
      <c r="Y229" s="131">
        <v>1649</v>
      </c>
      <c r="Z229" s="131">
        <v>805</v>
      </c>
      <c r="AA229" s="132">
        <f t="shared" si="56"/>
        <v>4184</v>
      </c>
      <c r="AB229" s="133">
        <f t="shared" si="57"/>
        <v>28.83528600964852</v>
      </c>
      <c r="AC229" s="134">
        <f t="shared" si="58"/>
        <v>4549</v>
      </c>
      <c r="AD229" s="135">
        <f t="shared" si="59"/>
        <v>31.350792556857343</v>
      </c>
      <c r="AE229" s="136">
        <v>24</v>
      </c>
      <c r="AF229" s="137">
        <v>30</v>
      </c>
      <c r="AG229" s="137">
        <v>0</v>
      </c>
      <c r="AH229" s="138">
        <f t="shared" si="60"/>
        <v>54</v>
      </c>
      <c r="AI229" s="133">
        <f t="shared" si="61"/>
        <v>0.37215713301171605</v>
      </c>
    </row>
    <row r="230" spans="1:35">
      <c r="A230" s="171">
        <f>IF('09월 조업일지'!A226="","",'09월 조업일지'!A226)</f>
        <v>46273</v>
      </c>
      <c r="B230" s="172" t="str">
        <f>'09월 조업일지'!E226</f>
        <v>D</v>
      </c>
      <c r="C230" s="172" t="str">
        <f>'09월 조업일지'!F226</f>
        <v>A</v>
      </c>
      <c r="D230" s="172">
        <f>'09월 화학성분'!C227</f>
        <v>85429</v>
      </c>
      <c r="E230" s="205" t="str">
        <f t="shared" si="62"/>
        <v>SS400-05</v>
      </c>
      <c r="F230" s="121">
        <v>20</v>
      </c>
      <c r="G230" s="122">
        <v>23300</v>
      </c>
      <c r="H230" s="123">
        <v>17</v>
      </c>
      <c r="I230" s="122">
        <v>20800</v>
      </c>
      <c r="J230" s="123">
        <v>6</v>
      </c>
      <c r="K230" s="122">
        <v>8100</v>
      </c>
      <c r="L230" s="124">
        <f t="shared" si="63"/>
        <v>43</v>
      </c>
      <c r="M230" s="125">
        <f t="shared" si="63"/>
        <v>52200</v>
      </c>
      <c r="N230" s="126">
        <f t="shared" si="50"/>
        <v>157.53887762001352</v>
      </c>
      <c r="O230" s="127">
        <f t="shared" si="51"/>
        <v>140.63556457065584</v>
      </c>
      <c r="P230" s="127">
        <f t="shared" si="52"/>
        <v>54.766734279918865</v>
      </c>
      <c r="Q230" s="128">
        <f t="shared" si="53"/>
        <v>352.94117647058823</v>
      </c>
      <c r="R230" s="129">
        <v>147.9</v>
      </c>
      <c r="S230" s="130">
        <v>0</v>
      </c>
      <c r="T230" s="131">
        <v>201</v>
      </c>
      <c r="U230" s="131">
        <v>108</v>
      </c>
      <c r="V230" s="132">
        <f t="shared" si="54"/>
        <v>309</v>
      </c>
      <c r="W230" s="133">
        <f t="shared" si="55"/>
        <v>2.0892494929006085</v>
      </c>
      <c r="X230" s="130">
        <v>1637</v>
      </c>
      <c r="Y230" s="131">
        <v>1589</v>
      </c>
      <c r="Z230" s="131">
        <v>731</v>
      </c>
      <c r="AA230" s="132">
        <f t="shared" si="56"/>
        <v>3957</v>
      </c>
      <c r="AB230" s="133">
        <f t="shared" si="57"/>
        <v>26.754563894523326</v>
      </c>
      <c r="AC230" s="134">
        <f t="shared" si="58"/>
        <v>4266</v>
      </c>
      <c r="AD230" s="135">
        <f t="shared" si="59"/>
        <v>28.843813387423936</v>
      </c>
      <c r="AE230" s="136">
        <v>26</v>
      </c>
      <c r="AF230" s="137">
        <v>24</v>
      </c>
      <c r="AG230" s="137">
        <v>0</v>
      </c>
      <c r="AH230" s="138">
        <f t="shared" si="60"/>
        <v>50</v>
      </c>
      <c r="AI230" s="133">
        <f t="shared" si="61"/>
        <v>0.33806626098715348</v>
      </c>
    </row>
    <row r="231" spans="1:35">
      <c r="A231" s="171">
        <f>IF('09월 조업일지'!A227="","",'09월 조업일지'!A227)</f>
        <v>46273</v>
      </c>
      <c r="B231" s="172" t="str">
        <f>'09월 조업일지'!E227</f>
        <v>D</v>
      </c>
      <c r="C231" s="172" t="str">
        <f>'09월 조업일지'!F227</f>
        <v>A</v>
      </c>
      <c r="D231" s="172">
        <f>'09월 화학성분'!C228</f>
        <v>85430</v>
      </c>
      <c r="E231" s="205" t="str">
        <f t="shared" si="62"/>
        <v>SS400-05</v>
      </c>
      <c r="F231" s="121">
        <v>20</v>
      </c>
      <c r="G231" s="122">
        <v>23700</v>
      </c>
      <c r="H231" s="123">
        <v>17</v>
      </c>
      <c r="I231" s="122">
        <v>20300</v>
      </c>
      <c r="J231" s="123">
        <v>8</v>
      </c>
      <c r="K231" s="122">
        <v>10400</v>
      </c>
      <c r="L231" s="124">
        <f t="shared" si="63"/>
        <v>45</v>
      </c>
      <c r="M231" s="125">
        <f t="shared" si="63"/>
        <v>54400</v>
      </c>
      <c r="N231" s="126">
        <f t="shared" si="50"/>
        <v>162.88659793814432</v>
      </c>
      <c r="O231" s="127">
        <f t="shared" si="51"/>
        <v>139.5189003436426</v>
      </c>
      <c r="P231" s="127">
        <f t="shared" si="52"/>
        <v>71.477663230240552</v>
      </c>
      <c r="Q231" s="128">
        <f t="shared" si="53"/>
        <v>373.88316151202741</v>
      </c>
      <c r="R231" s="129">
        <v>145.5</v>
      </c>
      <c r="S231" s="130">
        <v>0</v>
      </c>
      <c r="T231" s="131">
        <v>215</v>
      </c>
      <c r="U231" s="131">
        <v>164</v>
      </c>
      <c r="V231" s="132">
        <f t="shared" si="54"/>
        <v>379</v>
      </c>
      <c r="W231" s="133">
        <f t="shared" si="55"/>
        <v>2.604810996563574</v>
      </c>
      <c r="X231" s="130">
        <v>1650</v>
      </c>
      <c r="Y231" s="131">
        <v>1610</v>
      </c>
      <c r="Z231" s="131">
        <v>881</v>
      </c>
      <c r="AA231" s="132">
        <f t="shared" si="56"/>
        <v>4141</v>
      </c>
      <c r="AB231" s="133">
        <f t="shared" si="57"/>
        <v>28.460481099656356</v>
      </c>
      <c r="AC231" s="134">
        <f t="shared" si="58"/>
        <v>4520</v>
      </c>
      <c r="AD231" s="135">
        <f t="shared" si="59"/>
        <v>31.065292096219931</v>
      </c>
      <c r="AE231" s="136">
        <v>24</v>
      </c>
      <c r="AF231" s="137">
        <v>27</v>
      </c>
      <c r="AG231" s="137">
        <v>0</v>
      </c>
      <c r="AH231" s="138">
        <f t="shared" si="60"/>
        <v>51</v>
      </c>
      <c r="AI231" s="133">
        <f t="shared" si="61"/>
        <v>0.35051546391752575</v>
      </c>
    </row>
    <row r="232" spans="1:35">
      <c r="A232" s="171">
        <f>IF('09월 조업일지'!A228="","",'09월 조업일지'!A228)</f>
        <v>46273</v>
      </c>
      <c r="B232" s="172" t="str">
        <f>'09월 조업일지'!E228</f>
        <v>D</v>
      </c>
      <c r="C232" s="172" t="str">
        <f>'09월 조업일지'!F228</f>
        <v>A</v>
      </c>
      <c r="D232" s="172">
        <f>'09월 화학성분'!C229</f>
        <v>85431</v>
      </c>
      <c r="E232" s="205" t="str">
        <f t="shared" si="62"/>
        <v>SS400-05</v>
      </c>
      <c r="F232" s="121">
        <v>21</v>
      </c>
      <c r="G232" s="122">
        <v>23700</v>
      </c>
      <c r="H232" s="123">
        <v>16</v>
      </c>
      <c r="I232" s="122">
        <v>20900</v>
      </c>
      <c r="J232" s="123">
        <v>8</v>
      </c>
      <c r="K232" s="122">
        <v>10300</v>
      </c>
      <c r="L232" s="124">
        <f t="shared" si="63"/>
        <v>45</v>
      </c>
      <c r="M232" s="125">
        <f t="shared" si="63"/>
        <v>54900</v>
      </c>
      <c r="N232" s="126">
        <f t="shared" si="50"/>
        <v>159.16722632639355</v>
      </c>
      <c r="O232" s="127">
        <f t="shared" si="51"/>
        <v>140.36265950302214</v>
      </c>
      <c r="P232" s="127">
        <f t="shared" si="52"/>
        <v>69.173942243116187</v>
      </c>
      <c r="Q232" s="128">
        <f t="shared" si="53"/>
        <v>368.70382807253185</v>
      </c>
      <c r="R232" s="129">
        <v>148.9</v>
      </c>
      <c r="S232" s="130">
        <v>0</v>
      </c>
      <c r="T232" s="131">
        <v>201</v>
      </c>
      <c r="U232" s="131">
        <v>142</v>
      </c>
      <c r="V232" s="132">
        <f t="shared" si="54"/>
        <v>343</v>
      </c>
      <c r="W232" s="133">
        <f t="shared" si="55"/>
        <v>2.3035594358629954</v>
      </c>
      <c r="X232" s="130">
        <v>1810</v>
      </c>
      <c r="Y232" s="131">
        <v>1607</v>
      </c>
      <c r="Z232" s="131">
        <v>608</v>
      </c>
      <c r="AA232" s="132">
        <f t="shared" si="56"/>
        <v>4025</v>
      </c>
      <c r="AB232" s="133">
        <f t="shared" si="57"/>
        <v>27.031564808596372</v>
      </c>
      <c r="AC232" s="134">
        <f t="shared" si="58"/>
        <v>4368</v>
      </c>
      <c r="AD232" s="135">
        <f t="shared" si="59"/>
        <v>29.335124244459369</v>
      </c>
      <c r="AE232" s="136">
        <v>26</v>
      </c>
      <c r="AF232" s="137">
        <v>20</v>
      </c>
      <c r="AG232" s="137">
        <v>0</v>
      </c>
      <c r="AH232" s="138">
        <f t="shared" si="60"/>
        <v>46</v>
      </c>
      <c r="AI232" s="133">
        <f t="shared" si="61"/>
        <v>0.3089321692411014</v>
      </c>
    </row>
    <row r="233" spans="1:35">
      <c r="A233" s="171">
        <f>IF('09월 조업일지'!A229="","",'09월 조업일지'!A229)</f>
        <v>46273</v>
      </c>
      <c r="B233" s="172" t="str">
        <f>'09월 조업일지'!E229</f>
        <v>D</v>
      </c>
      <c r="C233" s="172" t="str">
        <f>'09월 조업일지'!F229</f>
        <v>B</v>
      </c>
      <c r="D233" s="172">
        <f>'09월 화학성분'!C230</f>
        <v>85432</v>
      </c>
      <c r="E233" s="205" t="str">
        <f t="shared" si="62"/>
        <v>SS400-05</v>
      </c>
      <c r="F233" s="121">
        <v>22</v>
      </c>
      <c r="G233" s="122">
        <v>23400</v>
      </c>
      <c r="H233" s="123">
        <v>16</v>
      </c>
      <c r="I233" s="122">
        <v>20300</v>
      </c>
      <c r="J233" s="123">
        <v>8</v>
      </c>
      <c r="K233" s="122">
        <v>10200</v>
      </c>
      <c r="L233" s="124">
        <f t="shared" si="63"/>
        <v>46</v>
      </c>
      <c r="M233" s="125">
        <f t="shared" si="63"/>
        <v>53900</v>
      </c>
      <c r="N233" s="126">
        <f t="shared" si="50"/>
        <v>159.72696245733789</v>
      </c>
      <c r="O233" s="127">
        <f t="shared" si="51"/>
        <v>138.5665529010239</v>
      </c>
      <c r="P233" s="127">
        <f t="shared" si="52"/>
        <v>69.624573378839585</v>
      </c>
      <c r="Q233" s="128">
        <f t="shared" si="53"/>
        <v>367.9180887372014</v>
      </c>
      <c r="R233" s="129">
        <v>146.5</v>
      </c>
      <c r="S233" s="130">
        <v>0</v>
      </c>
      <c r="T233" s="131">
        <v>113</v>
      </c>
      <c r="U233" s="131">
        <v>257</v>
      </c>
      <c r="V233" s="132">
        <f t="shared" si="54"/>
        <v>370</v>
      </c>
      <c r="W233" s="133">
        <f t="shared" si="55"/>
        <v>2.5255972696245732</v>
      </c>
      <c r="X233" s="130">
        <v>1712</v>
      </c>
      <c r="Y233" s="131">
        <v>1581</v>
      </c>
      <c r="Z233" s="131">
        <v>703</v>
      </c>
      <c r="AA233" s="132">
        <f t="shared" si="56"/>
        <v>3996</v>
      </c>
      <c r="AB233" s="133">
        <f t="shared" si="57"/>
        <v>27.276450511945391</v>
      </c>
      <c r="AC233" s="134">
        <f t="shared" si="58"/>
        <v>4366</v>
      </c>
      <c r="AD233" s="135">
        <f t="shared" si="59"/>
        <v>29.802047781569964</v>
      </c>
      <c r="AE233" s="136">
        <v>25</v>
      </c>
      <c r="AF233" s="137">
        <v>30</v>
      </c>
      <c r="AG233" s="137">
        <v>0</v>
      </c>
      <c r="AH233" s="138">
        <f t="shared" si="60"/>
        <v>55</v>
      </c>
      <c r="AI233" s="133">
        <f t="shared" si="61"/>
        <v>0.37542662116040953</v>
      </c>
    </row>
    <row r="234" spans="1:35">
      <c r="A234" s="171">
        <f>IF('09월 조업일지'!A230="","",'09월 조업일지'!A230)</f>
        <v>46273</v>
      </c>
      <c r="B234" s="172" t="str">
        <f>'09월 조업일지'!E230</f>
        <v>D</v>
      </c>
      <c r="C234" s="172" t="str">
        <f>'09월 조업일지'!F230</f>
        <v>A</v>
      </c>
      <c r="D234" s="172">
        <f>'09월 화학성분'!C231</f>
        <v>85433</v>
      </c>
      <c r="E234" s="205" t="str">
        <f t="shared" si="62"/>
        <v>SS400-05</v>
      </c>
      <c r="F234" s="121">
        <v>20</v>
      </c>
      <c r="G234" s="122">
        <v>23400</v>
      </c>
      <c r="H234" s="123">
        <v>18</v>
      </c>
      <c r="I234" s="122">
        <v>20300</v>
      </c>
      <c r="J234" s="123">
        <v>9</v>
      </c>
      <c r="K234" s="122">
        <v>11200</v>
      </c>
      <c r="L234" s="124">
        <f t="shared" si="63"/>
        <v>47</v>
      </c>
      <c r="M234" s="125">
        <f t="shared" si="63"/>
        <v>54900</v>
      </c>
      <c r="N234" s="126">
        <f t="shared" si="50"/>
        <v>157.78826702629803</v>
      </c>
      <c r="O234" s="127">
        <f t="shared" si="51"/>
        <v>136.88469318948077</v>
      </c>
      <c r="P234" s="127">
        <f t="shared" si="52"/>
        <v>75.522589345920423</v>
      </c>
      <c r="Q234" s="128">
        <f t="shared" si="53"/>
        <v>370.19554956169924</v>
      </c>
      <c r="R234" s="129">
        <v>148.30000000000001</v>
      </c>
      <c r="S234" s="130">
        <v>0</v>
      </c>
      <c r="T234" s="131">
        <v>97</v>
      </c>
      <c r="U234" s="131">
        <v>234</v>
      </c>
      <c r="V234" s="132">
        <f t="shared" si="54"/>
        <v>331</v>
      </c>
      <c r="W234" s="133">
        <f t="shared" si="55"/>
        <v>2.2319622387053268</v>
      </c>
      <c r="X234" s="130">
        <v>1710</v>
      </c>
      <c r="Y234" s="131">
        <v>1599</v>
      </c>
      <c r="Z234" s="131">
        <v>979</v>
      </c>
      <c r="AA234" s="132">
        <f t="shared" si="56"/>
        <v>4288</v>
      </c>
      <c r="AB234" s="133">
        <f t="shared" si="57"/>
        <v>28.914362778152391</v>
      </c>
      <c r="AC234" s="134">
        <f t="shared" si="58"/>
        <v>4619</v>
      </c>
      <c r="AD234" s="135">
        <f t="shared" si="59"/>
        <v>31.14632501685772</v>
      </c>
      <c r="AE234" s="136">
        <v>26</v>
      </c>
      <c r="AF234" s="137">
        <v>25</v>
      </c>
      <c r="AG234" s="137">
        <v>0</v>
      </c>
      <c r="AH234" s="138">
        <f t="shared" si="60"/>
        <v>51</v>
      </c>
      <c r="AI234" s="133">
        <f t="shared" si="61"/>
        <v>0.3438975050573162</v>
      </c>
    </row>
    <row r="235" spans="1:35">
      <c r="A235" s="171">
        <f>IF('09월 조업일지'!A231="","",'09월 조업일지'!A231)</f>
        <v>46273</v>
      </c>
      <c r="B235" s="172" t="str">
        <f>'09월 조업일지'!E231</f>
        <v>D</v>
      </c>
      <c r="C235" s="172" t="str">
        <f>'09월 조업일지'!F231</f>
        <v>B</v>
      </c>
      <c r="D235" s="172">
        <f>'09월 화학성분'!C232</f>
        <v>85434</v>
      </c>
      <c r="E235" s="205" t="str">
        <f t="shared" si="62"/>
        <v>SS400-05</v>
      </c>
      <c r="F235" s="121">
        <v>20</v>
      </c>
      <c r="G235" s="122">
        <v>23600</v>
      </c>
      <c r="H235" s="123">
        <v>18</v>
      </c>
      <c r="I235" s="122">
        <v>20700</v>
      </c>
      <c r="J235" s="123">
        <v>6</v>
      </c>
      <c r="K235" s="122">
        <v>8500</v>
      </c>
      <c r="L235" s="124">
        <f t="shared" si="63"/>
        <v>44</v>
      </c>
      <c r="M235" s="125">
        <f t="shared" si="63"/>
        <v>52800</v>
      </c>
      <c r="N235" s="126">
        <f t="shared" si="50"/>
        <v>161.86556927297667</v>
      </c>
      <c r="O235" s="127">
        <f t="shared" si="51"/>
        <v>141.97530864197529</v>
      </c>
      <c r="P235" s="127">
        <f t="shared" si="52"/>
        <v>58.299039780521255</v>
      </c>
      <c r="Q235" s="128">
        <f t="shared" si="53"/>
        <v>362.13991769547323</v>
      </c>
      <c r="R235" s="129">
        <v>145.80000000000001</v>
      </c>
      <c r="S235" s="130">
        <v>0</v>
      </c>
      <c r="T235" s="131">
        <v>299</v>
      </c>
      <c r="U235" s="131">
        <v>36</v>
      </c>
      <c r="V235" s="132">
        <f t="shared" si="54"/>
        <v>335</v>
      </c>
      <c r="W235" s="133">
        <f t="shared" si="55"/>
        <v>2.2976680384087791</v>
      </c>
      <c r="X235" s="130">
        <v>1732</v>
      </c>
      <c r="Y235" s="131">
        <v>1656</v>
      </c>
      <c r="Z235" s="131">
        <v>721</v>
      </c>
      <c r="AA235" s="132">
        <f t="shared" si="56"/>
        <v>4109</v>
      </c>
      <c r="AB235" s="133">
        <f t="shared" si="57"/>
        <v>28.182441700960219</v>
      </c>
      <c r="AC235" s="134">
        <f t="shared" si="58"/>
        <v>4444</v>
      </c>
      <c r="AD235" s="135">
        <f t="shared" si="59"/>
        <v>30.480109739368995</v>
      </c>
      <c r="AE235" s="136">
        <v>25</v>
      </c>
      <c r="AF235" s="137">
        <v>29</v>
      </c>
      <c r="AG235" s="137">
        <v>0</v>
      </c>
      <c r="AH235" s="138">
        <f t="shared" si="60"/>
        <v>54</v>
      </c>
      <c r="AI235" s="133">
        <f t="shared" si="61"/>
        <v>0.37037037037037035</v>
      </c>
    </row>
    <row r="236" spans="1:35">
      <c r="A236" s="171">
        <f>IF('09월 조업일지'!A232="","",'09월 조업일지'!A232)</f>
        <v>46273</v>
      </c>
      <c r="B236" s="172" t="str">
        <f>'09월 조업일지'!E232</f>
        <v>D</v>
      </c>
      <c r="C236" s="172" t="str">
        <f>'09월 조업일지'!F232</f>
        <v>A</v>
      </c>
      <c r="D236" s="172">
        <f>'09월 화학성분'!C233</f>
        <v>85435</v>
      </c>
      <c r="E236" s="205" t="str">
        <f t="shared" si="62"/>
        <v>SS400-05</v>
      </c>
      <c r="F236" s="121">
        <v>20</v>
      </c>
      <c r="G236" s="122">
        <v>23600</v>
      </c>
      <c r="H236" s="123">
        <v>17</v>
      </c>
      <c r="I236" s="122">
        <v>20700</v>
      </c>
      <c r="J236" s="123">
        <v>11</v>
      </c>
      <c r="K236" s="122">
        <v>14700</v>
      </c>
      <c r="L236" s="124">
        <f t="shared" si="63"/>
        <v>48</v>
      </c>
      <c r="M236" s="125">
        <f t="shared" si="63"/>
        <v>59000</v>
      </c>
      <c r="N236" s="126">
        <f t="shared" si="50"/>
        <v>160</v>
      </c>
      <c r="O236" s="127">
        <f t="shared" si="51"/>
        <v>140.33898305084745</v>
      </c>
      <c r="P236" s="127">
        <f t="shared" si="52"/>
        <v>99.66101694915254</v>
      </c>
      <c r="Q236" s="128">
        <f t="shared" si="53"/>
        <v>400</v>
      </c>
      <c r="R236" s="129">
        <v>147.5</v>
      </c>
      <c r="S236" s="130">
        <v>0</v>
      </c>
      <c r="T236" s="131">
        <v>148</v>
      </c>
      <c r="U236" s="131">
        <v>189</v>
      </c>
      <c r="V236" s="132">
        <f t="shared" si="54"/>
        <v>337</v>
      </c>
      <c r="W236" s="133">
        <f t="shared" si="55"/>
        <v>2.2847457627118644</v>
      </c>
      <c r="X236" s="130">
        <v>1698</v>
      </c>
      <c r="Y236" s="131">
        <v>1596</v>
      </c>
      <c r="Z236" s="131">
        <v>1297</v>
      </c>
      <c r="AA236" s="132">
        <f t="shared" si="56"/>
        <v>4591</v>
      </c>
      <c r="AB236" s="133">
        <f t="shared" si="57"/>
        <v>31.125423728813558</v>
      </c>
      <c r="AC236" s="134">
        <f t="shared" si="58"/>
        <v>4928</v>
      </c>
      <c r="AD236" s="135">
        <f t="shared" si="59"/>
        <v>33.410169491525423</v>
      </c>
      <c r="AE236" s="136">
        <v>26</v>
      </c>
      <c r="AF236" s="137">
        <v>20</v>
      </c>
      <c r="AG236" s="137">
        <v>0</v>
      </c>
      <c r="AH236" s="138">
        <f t="shared" si="60"/>
        <v>46</v>
      </c>
      <c r="AI236" s="133">
        <f t="shared" si="61"/>
        <v>0.31186440677966104</v>
      </c>
    </row>
    <row r="237" spans="1:35">
      <c r="A237" s="171">
        <f>IF('09월 조업일지'!A233="","",'09월 조업일지'!A233)</f>
        <v>46273</v>
      </c>
      <c r="B237" s="172" t="str">
        <f>'09월 조업일지'!E233</f>
        <v>D</v>
      </c>
      <c r="C237" s="172" t="str">
        <f>'09월 조업일지'!F233</f>
        <v>B</v>
      </c>
      <c r="D237" s="172">
        <f>'09월 화학성분'!C234</f>
        <v>85436</v>
      </c>
      <c r="E237" s="205" t="str">
        <f t="shared" si="62"/>
        <v>SS400-05</v>
      </c>
      <c r="F237" s="121">
        <v>20</v>
      </c>
      <c r="G237" s="122">
        <v>23700</v>
      </c>
      <c r="H237" s="123">
        <v>18</v>
      </c>
      <c r="I237" s="122">
        <v>20600</v>
      </c>
      <c r="J237" s="123">
        <v>10</v>
      </c>
      <c r="K237" s="122">
        <v>13300</v>
      </c>
      <c r="L237" s="124">
        <f t="shared" si="63"/>
        <v>48</v>
      </c>
      <c r="M237" s="125">
        <f t="shared" si="63"/>
        <v>57600</v>
      </c>
      <c r="N237" s="126">
        <f t="shared" si="50"/>
        <v>161.55419222903888</v>
      </c>
      <c r="O237" s="127">
        <f t="shared" si="51"/>
        <v>140.42263122017724</v>
      </c>
      <c r="P237" s="127">
        <f t="shared" si="52"/>
        <v>90.661213360599874</v>
      </c>
      <c r="Q237" s="128">
        <f t="shared" si="53"/>
        <v>392.63803680981596</v>
      </c>
      <c r="R237" s="129">
        <v>146.69999999999999</v>
      </c>
      <c r="S237" s="130">
        <v>0</v>
      </c>
      <c r="T237" s="131">
        <v>153</v>
      </c>
      <c r="U237" s="131">
        <v>213</v>
      </c>
      <c r="V237" s="132">
        <f t="shared" si="54"/>
        <v>366</v>
      </c>
      <c r="W237" s="133">
        <f t="shared" si="55"/>
        <v>2.4948875255623726</v>
      </c>
      <c r="X237" s="130">
        <v>1680</v>
      </c>
      <c r="Y237" s="131">
        <v>1577</v>
      </c>
      <c r="Z237" s="131">
        <v>942</v>
      </c>
      <c r="AA237" s="132">
        <f t="shared" si="56"/>
        <v>4199</v>
      </c>
      <c r="AB237" s="133">
        <f t="shared" si="57"/>
        <v>28.623040218132246</v>
      </c>
      <c r="AC237" s="134">
        <f t="shared" si="58"/>
        <v>4565</v>
      </c>
      <c r="AD237" s="135">
        <f t="shared" si="59"/>
        <v>31.117927743694619</v>
      </c>
      <c r="AE237" s="136">
        <v>24</v>
      </c>
      <c r="AF237" s="137">
        <v>28</v>
      </c>
      <c r="AG237" s="137">
        <v>0</v>
      </c>
      <c r="AH237" s="138">
        <f t="shared" si="60"/>
        <v>52</v>
      </c>
      <c r="AI237" s="133">
        <f t="shared" si="61"/>
        <v>0.35446489434219497</v>
      </c>
    </row>
    <row r="238" spans="1:35">
      <c r="A238" s="171">
        <f>IF('09월 조업일지'!A234="","",'09월 조업일지'!A234)</f>
        <v>46273</v>
      </c>
      <c r="B238" s="172" t="str">
        <f>'09월 조업일지'!E234</f>
        <v>A</v>
      </c>
      <c r="C238" s="172" t="str">
        <f>'09월 조업일지'!F234</f>
        <v>A</v>
      </c>
      <c r="D238" s="172">
        <f>'09월 화학성분'!C235</f>
        <v>85437</v>
      </c>
      <c r="E238" s="205" t="str">
        <f t="shared" si="62"/>
        <v>SS400-05</v>
      </c>
      <c r="F238" s="121">
        <v>19</v>
      </c>
      <c r="G238" s="122">
        <v>23600</v>
      </c>
      <c r="H238" s="123">
        <v>18</v>
      </c>
      <c r="I238" s="122">
        <v>20600</v>
      </c>
      <c r="J238" s="123">
        <v>9</v>
      </c>
      <c r="K238" s="122">
        <v>12000</v>
      </c>
      <c r="L238" s="124">
        <f t="shared" si="63"/>
        <v>46</v>
      </c>
      <c r="M238" s="125">
        <f t="shared" si="63"/>
        <v>56200</v>
      </c>
      <c r="N238" s="126">
        <f t="shared" si="50"/>
        <v>163.20885200553252</v>
      </c>
      <c r="O238" s="127">
        <f t="shared" si="51"/>
        <v>142.46196403872753</v>
      </c>
      <c r="P238" s="127">
        <f t="shared" si="52"/>
        <v>82.987551867219921</v>
      </c>
      <c r="Q238" s="128">
        <f t="shared" si="53"/>
        <v>388.65836791147996</v>
      </c>
      <c r="R238" s="129">
        <v>144.6</v>
      </c>
      <c r="S238" s="130">
        <v>0</v>
      </c>
      <c r="T238" s="131">
        <v>149</v>
      </c>
      <c r="U238" s="131">
        <v>189</v>
      </c>
      <c r="V238" s="132">
        <f t="shared" si="54"/>
        <v>338</v>
      </c>
      <c r="W238" s="133">
        <f t="shared" si="55"/>
        <v>2.3374827109266945</v>
      </c>
      <c r="X238" s="130">
        <v>1682</v>
      </c>
      <c r="Y238" s="131">
        <v>1616</v>
      </c>
      <c r="Z238" s="131">
        <v>1014</v>
      </c>
      <c r="AA238" s="132">
        <f t="shared" si="56"/>
        <v>4312</v>
      </c>
      <c r="AB238" s="133">
        <f t="shared" si="57"/>
        <v>29.820193637621024</v>
      </c>
      <c r="AC238" s="134">
        <f t="shared" si="58"/>
        <v>4650</v>
      </c>
      <c r="AD238" s="135">
        <f t="shared" si="59"/>
        <v>32.157676348547717</v>
      </c>
      <c r="AE238" s="136">
        <v>26</v>
      </c>
      <c r="AF238" s="137">
        <v>20</v>
      </c>
      <c r="AG238" s="137">
        <v>0</v>
      </c>
      <c r="AH238" s="138">
        <f t="shared" si="60"/>
        <v>46</v>
      </c>
      <c r="AI238" s="133">
        <f t="shared" si="61"/>
        <v>0.31811894882434305</v>
      </c>
    </row>
    <row r="239" spans="1:35">
      <c r="A239" s="171">
        <f>IF('09월 조업일지'!A235="","",'09월 조업일지'!A235)</f>
        <v>46273</v>
      </c>
      <c r="B239" s="172" t="str">
        <f>'09월 조업일지'!E235</f>
        <v>A</v>
      </c>
      <c r="C239" s="172" t="str">
        <f>'09월 조업일지'!F235</f>
        <v>B</v>
      </c>
      <c r="D239" s="172">
        <f>'09월 화학성분'!C236</f>
        <v>85438</v>
      </c>
      <c r="E239" s="205" t="str">
        <f t="shared" si="62"/>
        <v>SS400-05</v>
      </c>
      <c r="F239" s="121">
        <v>21</v>
      </c>
      <c r="G239" s="122">
        <v>23900</v>
      </c>
      <c r="H239" s="123">
        <v>18</v>
      </c>
      <c r="I239" s="122">
        <v>20500</v>
      </c>
      <c r="J239" s="123">
        <v>6</v>
      </c>
      <c r="K239" s="122">
        <v>8500</v>
      </c>
      <c r="L239" s="124">
        <f t="shared" si="63"/>
        <v>45</v>
      </c>
      <c r="M239" s="125">
        <f t="shared" si="63"/>
        <v>52900</v>
      </c>
      <c r="N239" s="126">
        <f t="shared" si="50"/>
        <v>165.85704371963914</v>
      </c>
      <c r="O239" s="127">
        <f t="shared" si="51"/>
        <v>142.26231783483692</v>
      </c>
      <c r="P239" s="127">
        <f t="shared" si="52"/>
        <v>58.986814712005554</v>
      </c>
      <c r="Q239" s="128">
        <f t="shared" si="53"/>
        <v>367.10617626648161</v>
      </c>
      <c r="R239" s="129">
        <v>144.1</v>
      </c>
      <c r="S239" s="130">
        <v>0</v>
      </c>
      <c r="T239" s="131">
        <v>224</v>
      </c>
      <c r="U239" s="131">
        <v>92</v>
      </c>
      <c r="V239" s="132">
        <f t="shared" si="54"/>
        <v>316</v>
      </c>
      <c r="W239" s="133">
        <f t="shared" si="55"/>
        <v>2.1929215822345594</v>
      </c>
      <c r="X239" s="130">
        <v>1696</v>
      </c>
      <c r="Y239" s="131">
        <v>1585</v>
      </c>
      <c r="Z239" s="131">
        <v>693</v>
      </c>
      <c r="AA239" s="132">
        <f t="shared" si="56"/>
        <v>3974</v>
      </c>
      <c r="AB239" s="133">
        <f t="shared" si="57"/>
        <v>27.578070784177655</v>
      </c>
      <c r="AC239" s="134">
        <f t="shared" si="58"/>
        <v>4290</v>
      </c>
      <c r="AD239" s="135">
        <f t="shared" si="59"/>
        <v>29.770992366412216</v>
      </c>
      <c r="AE239" s="136">
        <v>24</v>
      </c>
      <c r="AF239" s="137">
        <v>30</v>
      </c>
      <c r="AG239" s="137">
        <v>0</v>
      </c>
      <c r="AH239" s="138">
        <f t="shared" si="60"/>
        <v>54</v>
      </c>
      <c r="AI239" s="133">
        <f t="shared" si="61"/>
        <v>0.37473976405274118</v>
      </c>
    </row>
    <row r="240" spans="1:35">
      <c r="A240" s="171">
        <f>IF('09월 조업일지'!A236="","",'09월 조업일지'!A236)</f>
        <v>46273</v>
      </c>
      <c r="B240" s="172" t="str">
        <f>'09월 조업일지'!E236</f>
        <v>A</v>
      </c>
      <c r="C240" s="172" t="str">
        <f>'09월 조업일지'!F236</f>
        <v>A</v>
      </c>
      <c r="D240" s="172">
        <f>'09월 화학성분'!C237</f>
        <v>85439</v>
      </c>
      <c r="E240" s="205" t="str">
        <f t="shared" si="62"/>
        <v>SS400-05</v>
      </c>
      <c r="F240" s="121">
        <v>19</v>
      </c>
      <c r="G240" s="122">
        <v>23600</v>
      </c>
      <c r="H240" s="123">
        <v>17</v>
      </c>
      <c r="I240" s="122">
        <v>20500</v>
      </c>
      <c r="J240" s="123">
        <v>9</v>
      </c>
      <c r="K240" s="122">
        <v>10900</v>
      </c>
      <c r="L240" s="124">
        <f t="shared" si="63"/>
        <v>45</v>
      </c>
      <c r="M240" s="125">
        <f t="shared" si="63"/>
        <v>55000</v>
      </c>
      <c r="N240" s="126">
        <f t="shared" si="50"/>
        <v>161.09215017064847</v>
      </c>
      <c r="O240" s="127">
        <f t="shared" si="51"/>
        <v>139.93174061433447</v>
      </c>
      <c r="P240" s="127">
        <f t="shared" si="52"/>
        <v>74.402730375426614</v>
      </c>
      <c r="Q240" s="128">
        <f t="shared" si="53"/>
        <v>375.42662116040958</v>
      </c>
      <c r="R240" s="129">
        <v>146.5</v>
      </c>
      <c r="S240" s="130">
        <v>0</v>
      </c>
      <c r="T240" s="131">
        <v>67</v>
      </c>
      <c r="U240" s="131">
        <v>261</v>
      </c>
      <c r="V240" s="132">
        <f t="shared" si="54"/>
        <v>328</v>
      </c>
      <c r="W240" s="133">
        <f t="shared" si="55"/>
        <v>2.2389078498293515</v>
      </c>
      <c r="X240" s="130">
        <v>1683</v>
      </c>
      <c r="Y240" s="131">
        <v>1624</v>
      </c>
      <c r="Z240" s="131">
        <v>931</v>
      </c>
      <c r="AA240" s="132">
        <f t="shared" si="56"/>
        <v>4238</v>
      </c>
      <c r="AB240" s="133">
        <f t="shared" si="57"/>
        <v>28.928327645051194</v>
      </c>
      <c r="AC240" s="134">
        <f t="shared" si="58"/>
        <v>4566</v>
      </c>
      <c r="AD240" s="135">
        <f t="shared" si="59"/>
        <v>31.167235494880547</v>
      </c>
      <c r="AE240" s="136">
        <v>26</v>
      </c>
      <c r="AF240" s="137">
        <v>20</v>
      </c>
      <c r="AG240" s="137">
        <v>0</v>
      </c>
      <c r="AH240" s="138">
        <f t="shared" si="60"/>
        <v>46</v>
      </c>
      <c r="AI240" s="133">
        <f t="shared" si="61"/>
        <v>0.31399317406143346</v>
      </c>
    </row>
    <row r="241" spans="1:35">
      <c r="A241" s="171">
        <f>IF('09월 조업일지'!A237="","",'09월 조업일지'!A237)</f>
        <v>46273</v>
      </c>
      <c r="B241" s="172" t="str">
        <f>'09월 조업일지'!E237</f>
        <v>A</v>
      </c>
      <c r="C241" s="172" t="str">
        <f>'09월 조업일지'!F237</f>
        <v>B</v>
      </c>
      <c r="D241" s="172">
        <f>'09월 화학성분'!C238</f>
        <v>85440</v>
      </c>
      <c r="E241" s="205" t="str">
        <f t="shared" si="62"/>
        <v>SS400-05</v>
      </c>
      <c r="F241" s="121">
        <v>21</v>
      </c>
      <c r="G241" s="122">
        <v>22900</v>
      </c>
      <c r="H241" s="123">
        <v>18</v>
      </c>
      <c r="I241" s="122">
        <v>20400</v>
      </c>
      <c r="J241" s="123">
        <v>10</v>
      </c>
      <c r="K241" s="122">
        <v>13100</v>
      </c>
      <c r="L241" s="124">
        <f t="shared" si="63"/>
        <v>49</v>
      </c>
      <c r="M241" s="125">
        <f t="shared" si="63"/>
        <v>56400</v>
      </c>
      <c r="N241" s="126">
        <f t="shared" si="50"/>
        <v>156.52768284347229</v>
      </c>
      <c r="O241" s="127">
        <f t="shared" si="51"/>
        <v>139.43950786056047</v>
      </c>
      <c r="P241" s="127">
        <f t="shared" si="52"/>
        <v>89.542036910457952</v>
      </c>
      <c r="Q241" s="128">
        <f t="shared" si="53"/>
        <v>385.50922761449073</v>
      </c>
      <c r="R241" s="129">
        <v>146.30000000000001</v>
      </c>
      <c r="S241" s="130">
        <v>0</v>
      </c>
      <c r="T241" s="131">
        <v>140</v>
      </c>
      <c r="U241" s="131">
        <v>322</v>
      </c>
      <c r="V241" s="132">
        <f t="shared" si="54"/>
        <v>462</v>
      </c>
      <c r="W241" s="133">
        <f t="shared" si="55"/>
        <v>3.1578947368421049</v>
      </c>
      <c r="X241" s="130">
        <v>1716</v>
      </c>
      <c r="Y241" s="131">
        <v>1614</v>
      </c>
      <c r="Z241" s="131">
        <v>978</v>
      </c>
      <c r="AA241" s="132">
        <f t="shared" si="56"/>
        <v>4308</v>
      </c>
      <c r="AB241" s="133">
        <f t="shared" si="57"/>
        <v>29.446343130553654</v>
      </c>
      <c r="AC241" s="134">
        <f t="shared" si="58"/>
        <v>4770</v>
      </c>
      <c r="AD241" s="135">
        <f t="shared" si="59"/>
        <v>32.60423786739576</v>
      </c>
      <c r="AE241" s="136">
        <v>27</v>
      </c>
      <c r="AF241" s="137">
        <v>29</v>
      </c>
      <c r="AG241" s="137">
        <v>0</v>
      </c>
      <c r="AH241" s="138">
        <f t="shared" si="60"/>
        <v>56</v>
      </c>
      <c r="AI241" s="133">
        <f t="shared" si="61"/>
        <v>0.38277511961722482</v>
      </c>
    </row>
    <row r="242" spans="1:35">
      <c r="A242" s="171">
        <f>IF('09월 조업일지'!A238="","",'09월 조업일지'!A238)</f>
        <v>46273</v>
      </c>
      <c r="B242" s="172" t="str">
        <f>'09월 조업일지'!E238</f>
        <v>A</v>
      </c>
      <c r="C242" s="172" t="str">
        <f>'09월 조업일지'!F238</f>
        <v>A</v>
      </c>
      <c r="D242" s="172">
        <f>'09월 화학성분'!C239</f>
        <v>85441</v>
      </c>
      <c r="E242" s="205" t="str">
        <f t="shared" si="62"/>
        <v>SS400-05</v>
      </c>
      <c r="F242" s="121">
        <v>22</v>
      </c>
      <c r="G242" s="122">
        <v>24300</v>
      </c>
      <c r="H242" s="123">
        <v>17</v>
      </c>
      <c r="I242" s="122">
        <v>20300</v>
      </c>
      <c r="J242" s="123">
        <v>12</v>
      </c>
      <c r="K242" s="122">
        <v>14200</v>
      </c>
      <c r="L242" s="124">
        <f t="shared" si="63"/>
        <v>51</v>
      </c>
      <c r="M242" s="125">
        <f t="shared" si="63"/>
        <v>58800</v>
      </c>
      <c r="N242" s="126">
        <f t="shared" si="50"/>
        <v>166.43835616438355</v>
      </c>
      <c r="O242" s="127">
        <f t="shared" si="51"/>
        <v>139.04109589041096</v>
      </c>
      <c r="P242" s="127">
        <f t="shared" si="52"/>
        <v>97.260273972602747</v>
      </c>
      <c r="Q242" s="128">
        <f t="shared" si="53"/>
        <v>402.73972602739724</v>
      </c>
      <c r="R242" s="129">
        <v>146</v>
      </c>
      <c r="S242" s="130">
        <v>0</v>
      </c>
      <c r="T242" s="131">
        <v>147</v>
      </c>
      <c r="U242" s="131">
        <v>321</v>
      </c>
      <c r="V242" s="132">
        <f t="shared" si="54"/>
        <v>468</v>
      </c>
      <c r="W242" s="133">
        <f t="shared" si="55"/>
        <v>3.2054794520547945</v>
      </c>
      <c r="X242" s="130">
        <v>1791</v>
      </c>
      <c r="Y242" s="131">
        <v>1555</v>
      </c>
      <c r="Z242" s="131">
        <v>1006</v>
      </c>
      <c r="AA242" s="132">
        <f t="shared" si="56"/>
        <v>4352</v>
      </c>
      <c r="AB242" s="133">
        <f t="shared" si="57"/>
        <v>29.80821917808219</v>
      </c>
      <c r="AC242" s="134">
        <f t="shared" si="58"/>
        <v>4820</v>
      </c>
      <c r="AD242" s="135">
        <f t="shared" si="59"/>
        <v>33.013698630136986</v>
      </c>
      <c r="AE242" s="136">
        <v>25</v>
      </c>
      <c r="AF242" s="137">
        <v>20</v>
      </c>
      <c r="AG242" s="137">
        <v>0</v>
      </c>
      <c r="AH242" s="138">
        <f t="shared" si="60"/>
        <v>45</v>
      </c>
      <c r="AI242" s="133">
        <f t="shared" si="61"/>
        <v>0.30821917808219179</v>
      </c>
    </row>
    <row r="243" spans="1:35">
      <c r="A243" s="171">
        <f>IF('09월 조업일지'!A239="","",'09월 조업일지'!A239)</f>
        <v>46273</v>
      </c>
      <c r="B243" s="172" t="str">
        <f>'09월 조업일지'!E239</f>
        <v>A</v>
      </c>
      <c r="C243" s="172" t="str">
        <f>'09월 조업일지'!F239</f>
        <v>B</v>
      </c>
      <c r="D243" s="172">
        <f>'09월 화학성분'!C240</f>
        <v>85442</v>
      </c>
      <c r="E243" s="205" t="str">
        <f t="shared" si="62"/>
        <v>SS400-05</v>
      </c>
      <c r="F243" s="121">
        <v>21</v>
      </c>
      <c r="G243" s="122">
        <v>24700</v>
      </c>
      <c r="H243" s="123">
        <v>15</v>
      </c>
      <c r="I243" s="122">
        <v>19800</v>
      </c>
      <c r="J243" s="123">
        <v>6</v>
      </c>
      <c r="K243" s="122">
        <v>7800</v>
      </c>
      <c r="L243" s="124">
        <f t="shared" si="63"/>
        <v>42</v>
      </c>
      <c r="M243" s="125">
        <f t="shared" si="63"/>
        <v>52300</v>
      </c>
      <c r="N243" s="126">
        <f t="shared" si="50"/>
        <v>170.34482758620689</v>
      </c>
      <c r="O243" s="127">
        <f t="shared" si="51"/>
        <v>136.55172413793105</v>
      </c>
      <c r="P243" s="127">
        <f t="shared" si="52"/>
        <v>53.793103448275865</v>
      </c>
      <c r="Q243" s="128">
        <f t="shared" si="53"/>
        <v>360.68965517241378</v>
      </c>
      <c r="R243" s="129">
        <v>145</v>
      </c>
      <c r="S243" s="130">
        <v>0</v>
      </c>
      <c r="T243" s="131">
        <v>179</v>
      </c>
      <c r="U243" s="131">
        <v>108</v>
      </c>
      <c r="V243" s="132">
        <f t="shared" si="54"/>
        <v>287</v>
      </c>
      <c r="W243" s="133">
        <f t="shared" si="55"/>
        <v>1.9793103448275862</v>
      </c>
      <c r="X243" s="130">
        <v>1754</v>
      </c>
      <c r="Y243" s="131">
        <v>1584</v>
      </c>
      <c r="Z243" s="131">
        <v>660</v>
      </c>
      <c r="AA243" s="132">
        <f t="shared" si="56"/>
        <v>3998</v>
      </c>
      <c r="AB243" s="133">
        <f t="shared" si="57"/>
        <v>27.572413793103447</v>
      </c>
      <c r="AC243" s="134">
        <f t="shared" si="58"/>
        <v>4285</v>
      </c>
      <c r="AD243" s="135">
        <f t="shared" si="59"/>
        <v>29.551724137931036</v>
      </c>
      <c r="AE243" s="136">
        <v>24</v>
      </c>
      <c r="AF243" s="137">
        <v>28</v>
      </c>
      <c r="AG243" s="137">
        <v>0</v>
      </c>
      <c r="AH243" s="138">
        <f t="shared" si="60"/>
        <v>52</v>
      </c>
      <c r="AI243" s="133">
        <f t="shared" si="61"/>
        <v>0.35862068965517241</v>
      </c>
    </row>
    <row r="244" spans="1:35">
      <c r="A244" s="171">
        <f>IF('09월 조업일지'!A240="","",'09월 조업일지'!A240)</f>
        <v>46273</v>
      </c>
      <c r="B244" s="172" t="str">
        <f>'09월 조업일지'!E240</f>
        <v>A</v>
      </c>
      <c r="C244" s="172" t="str">
        <f>'09월 조업일지'!F240</f>
        <v>A</v>
      </c>
      <c r="D244" s="172">
        <f>'09월 화학성분'!C241</f>
        <v>85443</v>
      </c>
      <c r="E244" s="205" t="str">
        <f t="shared" si="62"/>
        <v>SS400-05</v>
      </c>
      <c r="F244" s="121">
        <v>25</v>
      </c>
      <c r="G244" s="122">
        <v>29200</v>
      </c>
      <c r="H244" s="123">
        <v>0</v>
      </c>
      <c r="I244" s="122">
        <v>0</v>
      </c>
      <c r="J244" s="123">
        <v>23</v>
      </c>
      <c r="K244" s="122">
        <v>24200</v>
      </c>
      <c r="L244" s="124">
        <f t="shared" si="63"/>
        <v>48</v>
      </c>
      <c r="M244" s="125">
        <f t="shared" si="63"/>
        <v>53400</v>
      </c>
      <c r="N244" s="126">
        <f t="shared" si="50"/>
        <v>223.24159021406726</v>
      </c>
      <c r="O244" s="127">
        <f t="shared" si="51"/>
        <v>0</v>
      </c>
      <c r="P244" s="127">
        <f t="shared" si="52"/>
        <v>185.01529051987765</v>
      </c>
      <c r="Q244" s="128">
        <f t="shared" si="53"/>
        <v>408.25688073394491</v>
      </c>
      <c r="R244" s="129">
        <v>130.80000000000001</v>
      </c>
      <c r="S244" s="130">
        <v>0</v>
      </c>
      <c r="T244" s="131">
        <v>0</v>
      </c>
      <c r="U244" s="131">
        <v>440</v>
      </c>
      <c r="V244" s="132">
        <f t="shared" si="54"/>
        <v>440</v>
      </c>
      <c r="W244" s="133">
        <f t="shared" si="55"/>
        <v>3.3639143730886847</v>
      </c>
      <c r="X244" s="130">
        <v>2239</v>
      </c>
      <c r="Y244" s="131">
        <v>0</v>
      </c>
      <c r="Z244" s="131">
        <v>1733</v>
      </c>
      <c r="AA244" s="132">
        <f t="shared" si="56"/>
        <v>3972</v>
      </c>
      <c r="AB244" s="133">
        <f t="shared" si="57"/>
        <v>30.366972477064216</v>
      </c>
      <c r="AC244" s="134">
        <f t="shared" si="58"/>
        <v>4412</v>
      </c>
      <c r="AD244" s="135">
        <f t="shared" si="59"/>
        <v>33.730886850152899</v>
      </c>
      <c r="AE244" s="136">
        <v>27</v>
      </c>
      <c r="AF244" s="137">
        <v>0</v>
      </c>
      <c r="AG244" s="137">
        <v>0</v>
      </c>
      <c r="AH244" s="138">
        <f t="shared" si="60"/>
        <v>27</v>
      </c>
      <c r="AI244" s="133">
        <f t="shared" si="61"/>
        <v>0.20642201834862384</v>
      </c>
    </row>
    <row r="245" spans="1:35">
      <c r="A245" s="171">
        <f>IF('09월 조업일지'!A241="","",'09월 조업일지'!A241)</f>
        <v>46274</v>
      </c>
      <c r="B245" s="172" t="str">
        <f>'09월 조업일지'!E241</f>
        <v>A</v>
      </c>
      <c r="C245" s="172" t="str">
        <f>'09월 조업일지'!F241</f>
        <v>B</v>
      </c>
      <c r="D245" s="172">
        <f>'09월 화학성분'!C242</f>
        <v>85444</v>
      </c>
      <c r="E245" s="205" t="str">
        <f t="shared" si="62"/>
        <v>SS400-05</v>
      </c>
      <c r="F245" s="121">
        <v>25</v>
      </c>
      <c r="G245" s="122">
        <v>28600</v>
      </c>
      <c r="H245" s="123">
        <v>0</v>
      </c>
      <c r="I245" s="122">
        <v>0</v>
      </c>
      <c r="J245" s="123">
        <v>22</v>
      </c>
      <c r="K245" s="122">
        <v>25200</v>
      </c>
      <c r="L245" s="124">
        <f t="shared" si="63"/>
        <v>47</v>
      </c>
      <c r="M245" s="125">
        <f t="shared" si="63"/>
        <v>53800</v>
      </c>
      <c r="N245" s="126">
        <f t="shared" si="50"/>
        <v>232.14285714285714</v>
      </c>
      <c r="O245" s="127">
        <f t="shared" si="51"/>
        <v>0</v>
      </c>
      <c r="P245" s="127">
        <f t="shared" si="52"/>
        <v>204.54545454545453</v>
      </c>
      <c r="Q245" s="128">
        <f t="shared" si="53"/>
        <v>436.68831168831167</v>
      </c>
      <c r="R245" s="129">
        <v>123.2</v>
      </c>
      <c r="S245" s="130">
        <v>0</v>
      </c>
      <c r="T245" s="131">
        <v>0</v>
      </c>
      <c r="U245" s="131">
        <v>108</v>
      </c>
      <c r="V245" s="132">
        <f t="shared" si="54"/>
        <v>108</v>
      </c>
      <c r="W245" s="133">
        <f t="shared" si="55"/>
        <v>0.87662337662337664</v>
      </c>
      <c r="X245" s="130">
        <v>2155</v>
      </c>
      <c r="Y245" s="131">
        <v>0</v>
      </c>
      <c r="Z245" s="131">
        <v>2104</v>
      </c>
      <c r="AA245" s="132">
        <f t="shared" si="56"/>
        <v>4259</v>
      </c>
      <c r="AB245" s="133">
        <f t="shared" si="57"/>
        <v>34.569805194805191</v>
      </c>
      <c r="AC245" s="134">
        <f t="shared" si="58"/>
        <v>4367</v>
      </c>
      <c r="AD245" s="135">
        <f t="shared" si="59"/>
        <v>35.446428571428569</v>
      </c>
      <c r="AE245" s="136">
        <v>26</v>
      </c>
      <c r="AF245" s="137">
        <v>0</v>
      </c>
      <c r="AG245" s="137">
        <v>1</v>
      </c>
      <c r="AH245" s="138">
        <f t="shared" si="60"/>
        <v>27</v>
      </c>
      <c r="AI245" s="133">
        <f t="shared" si="61"/>
        <v>0.21915584415584416</v>
      </c>
    </row>
    <row r="246" spans="1:35">
      <c r="A246" s="171">
        <f>IF('09월 조업일지'!A242="","",'09월 조업일지'!A242)</f>
        <v>46274</v>
      </c>
      <c r="B246" s="172" t="str">
        <f>'09월 조업일지'!E242</f>
        <v>A</v>
      </c>
      <c r="C246" s="172" t="str">
        <f>'09월 조업일지'!F242</f>
        <v>A</v>
      </c>
      <c r="D246" s="172">
        <f>'09월 화학성분'!C243</f>
        <v>85445</v>
      </c>
      <c r="E246" s="205" t="str">
        <f t="shared" si="62"/>
        <v>SS400-05</v>
      </c>
      <c r="F246" s="121">
        <v>21</v>
      </c>
      <c r="G246" s="122">
        <v>26400</v>
      </c>
      <c r="H246" s="123">
        <v>18</v>
      </c>
      <c r="I246" s="122">
        <v>20600</v>
      </c>
      <c r="J246" s="123">
        <v>8</v>
      </c>
      <c r="K246" s="122">
        <v>10400</v>
      </c>
      <c r="L246" s="124">
        <f t="shared" si="63"/>
        <v>47</v>
      </c>
      <c r="M246" s="125">
        <f t="shared" si="63"/>
        <v>57400</v>
      </c>
      <c r="N246" s="126">
        <f t="shared" si="50"/>
        <v>194.97784342688331</v>
      </c>
      <c r="O246" s="127">
        <f t="shared" si="51"/>
        <v>152.14180206794683</v>
      </c>
      <c r="P246" s="127">
        <f t="shared" si="52"/>
        <v>76.809453471196449</v>
      </c>
      <c r="Q246" s="128">
        <f t="shared" si="53"/>
        <v>423.92909896602657</v>
      </c>
      <c r="R246" s="129">
        <v>135.4</v>
      </c>
      <c r="S246" s="130">
        <v>0</v>
      </c>
      <c r="T246" s="131">
        <v>0</v>
      </c>
      <c r="U246" s="131">
        <v>396</v>
      </c>
      <c r="V246" s="132">
        <f t="shared" si="54"/>
        <v>396</v>
      </c>
      <c r="W246" s="133">
        <f t="shared" si="55"/>
        <v>2.9246676514032495</v>
      </c>
      <c r="X246" s="130">
        <v>1858</v>
      </c>
      <c r="Y246" s="131">
        <v>1675</v>
      </c>
      <c r="Z246" s="131">
        <v>1073</v>
      </c>
      <c r="AA246" s="132">
        <f t="shared" si="56"/>
        <v>4606</v>
      </c>
      <c r="AB246" s="133">
        <f t="shared" si="57"/>
        <v>34.01772525849335</v>
      </c>
      <c r="AC246" s="134">
        <f t="shared" si="58"/>
        <v>5002</v>
      </c>
      <c r="AD246" s="135">
        <f t="shared" si="59"/>
        <v>36.942392909896604</v>
      </c>
      <c r="AE246" s="136">
        <v>85</v>
      </c>
      <c r="AF246" s="137">
        <v>24</v>
      </c>
      <c r="AG246" s="137">
        <v>0</v>
      </c>
      <c r="AH246" s="138">
        <f t="shared" si="60"/>
        <v>109</v>
      </c>
      <c r="AI246" s="133">
        <f t="shared" si="61"/>
        <v>0.80502215657311671</v>
      </c>
    </row>
    <row r="247" spans="1:35">
      <c r="A247" s="171">
        <f>IF('09월 조업일지'!A243="","",'09월 조업일지'!A243)</f>
        <v>46274</v>
      </c>
      <c r="B247" s="172" t="str">
        <f>'09월 조업일지'!E243</f>
        <v>A</v>
      </c>
      <c r="C247" s="172" t="str">
        <f>'09월 조업일지'!F243</f>
        <v>B</v>
      </c>
      <c r="D247" s="172">
        <f>'09월 화학성분'!C244</f>
        <v>85446</v>
      </c>
      <c r="E247" s="205" t="str">
        <f t="shared" si="62"/>
        <v>SS400-05</v>
      </c>
      <c r="F247" s="121">
        <v>27</v>
      </c>
      <c r="G247" s="122">
        <v>26600</v>
      </c>
      <c r="H247" s="123">
        <v>17</v>
      </c>
      <c r="I247" s="122">
        <v>20400</v>
      </c>
      <c r="J247" s="123">
        <v>8</v>
      </c>
      <c r="K247" s="122">
        <v>10500</v>
      </c>
      <c r="L247" s="124">
        <f t="shared" si="63"/>
        <v>52</v>
      </c>
      <c r="M247" s="125">
        <f t="shared" si="63"/>
        <v>57500</v>
      </c>
      <c r="N247" s="126">
        <f t="shared" si="50"/>
        <v>196.16519174041298</v>
      </c>
      <c r="O247" s="127">
        <f t="shared" si="51"/>
        <v>150.44247787610621</v>
      </c>
      <c r="P247" s="127">
        <f t="shared" si="52"/>
        <v>77.43362831858407</v>
      </c>
      <c r="Q247" s="128">
        <f t="shared" si="53"/>
        <v>424.04129793510322</v>
      </c>
      <c r="R247" s="129">
        <v>135.6</v>
      </c>
      <c r="S247" s="130">
        <v>0</v>
      </c>
      <c r="T247" s="131">
        <v>0</v>
      </c>
      <c r="U247" s="131">
        <v>540</v>
      </c>
      <c r="V247" s="132">
        <f t="shared" si="54"/>
        <v>540</v>
      </c>
      <c r="W247" s="133">
        <f t="shared" si="55"/>
        <v>3.9823008849557522</v>
      </c>
      <c r="X247" s="130">
        <v>1496</v>
      </c>
      <c r="Y247" s="131">
        <v>1621</v>
      </c>
      <c r="Z247" s="131">
        <v>1245</v>
      </c>
      <c r="AA247" s="132">
        <f t="shared" si="56"/>
        <v>4362</v>
      </c>
      <c r="AB247" s="133">
        <f t="shared" si="57"/>
        <v>32.168141592920357</v>
      </c>
      <c r="AC247" s="134">
        <f t="shared" si="58"/>
        <v>4902</v>
      </c>
      <c r="AD247" s="135">
        <f t="shared" si="59"/>
        <v>36.150442477876105</v>
      </c>
      <c r="AE247" s="136">
        <v>63</v>
      </c>
      <c r="AF247" s="137">
        <v>30</v>
      </c>
      <c r="AG247" s="137">
        <v>0</v>
      </c>
      <c r="AH247" s="138">
        <f t="shared" si="60"/>
        <v>93</v>
      </c>
      <c r="AI247" s="133">
        <f t="shared" si="61"/>
        <v>0.68584070796460184</v>
      </c>
    </row>
    <row r="248" spans="1:35">
      <c r="A248" s="171">
        <f>IF('09월 조업일지'!A244="","",'09월 조업일지'!A244)</f>
        <v>46274</v>
      </c>
      <c r="B248" s="172" t="str">
        <f>'09월 조업일지'!E244</f>
        <v>A</v>
      </c>
      <c r="C248" s="172" t="str">
        <f>'09월 조업일지'!F244</f>
        <v>A</v>
      </c>
      <c r="D248" s="172">
        <f>'09월 화학성분'!C245</f>
        <v>85447</v>
      </c>
      <c r="E248" s="205" t="str">
        <f t="shared" si="62"/>
        <v>SS400-05</v>
      </c>
      <c r="F248" s="121">
        <v>20</v>
      </c>
      <c r="G248" s="122">
        <v>23200</v>
      </c>
      <c r="H248" s="123">
        <v>17</v>
      </c>
      <c r="I248" s="122">
        <v>20300</v>
      </c>
      <c r="J248" s="123">
        <v>7</v>
      </c>
      <c r="K248" s="122">
        <v>9000</v>
      </c>
      <c r="L248" s="124">
        <f t="shared" si="63"/>
        <v>44</v>
      </c>
      <c r="M248" s="125">
        <f t="shared" si="63"/>
        <v>52500</v>
      </c>
      <c r="N248" s="126">
        <f t="shared" si="50"/>
        <v>160.77616077616076</v>
      </c>
      <c r="O248" s="127">
        <f t="shared" si="51"/>
        <v>140.67914067914066</v>
      </c>
      <c r="P248" s="127">
        <f t="shared" si="52"/>
        <v>62.370062370062364</v>
      </c>
      <c r="Q248" s="128">
        <f t="shared" si="53"/>
        <v>363.82536382536381</v>
      </c>
      <c r="R248" s="129">
        <v>144.30000000000001</v>
      </c>
      <c r="S248" s="130">
        <v>0</v>
      </c>
      <c r="T248" s="131">
        <v>177</v>
      </c>
      <c r="U248" s="131">
        <v>175</v>
      </c>
      <c r="V248" s="132">
        <f t="shared" si="54"/>
        <v>352</v>
      </c>
      <c r="W248" s="133">
        <f t="shared" si="55"/>
        <v>2.4393624393624393</v>
      </c>
      <c r="X248" s="130">
        <v>1774</v>
      </c>
      <c r="Y248" s="131">
        <v>1539</v>
      </c>
      <c r="Z248" s="131">
        <v>683</v>
      </c>
      <c r="AA248" s="132">
        <f t="shared" si="56"/>
        <v>3996</v>
      </c>
      <c r="AB248" s="133">
        <f t="shared" si="57"/>
        <v>27.69230769230769</v>
      </c>
      <c r="AC248" s="134">
        <f t="shared" si="58"/>
        <v>4348</v>
      </c>
      <c r="AD248" s="135">
        <f t="shared" si="59"/>
        <v>30.131670131670131</v>
      </c>
      <c r="AE248" s="136">
        <v>26</v>
      </c>
      <c r="AF248" s="137">
        <v>22</v>
      </c>
      <c r="AG248" s="137">
        <v>0</v>
      </c>
      <c r="AH248" s="138">
        <f t="shared" si="60"/>
        <v>48</v>
      </c>
      <c r="AI248" s="133">
        <f t="shared" si="61"/>
        <v>0.3326403326403326</v>
      </c>
    </row>
    <row r="249" spans="1:35">
      <c r="A249" s="171">
        <f>IF('09월 조업일지'!A245="","",'09월 조업일지'!A245)</f>
        <v>46274</v>
      </c>
      <c r="B249" s="172" t="str">
        <f>'09월 조업일지'!E245</f>
        <v>C</v>
      </c>
      <c r="C249" s="172" t="str">
        <f>'09월 조업일지'!F245</f>
        <v>B</v>
      </c>
      <c r="D249" s="172">
        <f>'09월 화학성분'!C246</f>
        <v>85448</v>
      </c>
      <c r="E249" s="351" t="s">
        <v>332</v>
      </c>
      <c r="F249" s="121">
        <v>19</v>
      </c>
      <c r="G249" s="122">
        <v>23200</v>
      </c>
      <c r="H249" s="123">
        <v>18</v>
      </c>
      <c r="I249" s="122">
        <v>20900</v>
      </c>
      <c r="J249" s="123">
        <v>7</v>
      </c>
      <c r="K249" s="122">
        <v>9900</v>
      </c>
      <c r="L249" s="124">
        <f t="shared" si="63"/>
        <v>44</v>
      </c>
      <c r="M249" s="125">
        <f t="shared" si="63"/>
        <v>54000</v>
      </c>
      <c r="N249" s="126">
        <f t="shared" si="50"/>
        <v>161.78521617852161</v>
      </c>
      <c r="O249" s="127">
        <f t="shared" si="51"/>
        <v>145.74616457461644</v>
      </c>
      <c r="P249" s="127">
        <f t="shared" si="52"/>
        <v>69.037656903765694</v>
      </c>
      <c r="Q249" s="128">
        <f t="shared" si="53"/>
        <v>376.56903765690373</v>
      </c>
      <c r="R249" s="129">
        <v>143.4</v>
      </c>
      <c r="S249" s="130">
        <v>0</v>
      </c>
      <c r="T249" s="131">
        <v>196</v>
      </c>
      <c r="U249" s="131">
        <v>176</v>
      </c>
      <c r="V249" s="132">
        <f t="shared" si="54"/>
        <v>372</v>
      </c>
      <c r="W249" s="133">
        <f t="shared" si="55"/>
        <v>2.5941422594142258</v>
      </c>
      <c r="X249" s="130">
        <v>1633</v>
      </c>
      <c r="Y249" s="131">
        <v>1677</v>
      </c>
      <c r="Z249" s="131">
        <v>845</v>
      </c>
      <c r="AA249" s="132">
        <f t="shared" si="56"/>
        <v>4155</v>
      </c>
      <c r="AB249" s="133">
        <f t="shared" si="57"/>
        <v>28.97489539748954</v>
      </c>
      <c r="AC249" s="134">
        <f t="shared" si="58"/>
        <v>4527</v>
      </c>
      <c r="AD249" s="135">
        <f t="shared" si="59"/>
        <v>31.569037656903763</v>
      </c>
      <c r="AE249" s="136">
        <v>21</v>
      </c>
      <c r="AF249" s="137">
        <v>31</v>
      </c>
      <c r="AG249" s="137">
        <v>0</v>
      </c>
      <c r="AH249" s="138">
        <f t="shared" si="60"/>
        <v>52</v>
      </c>
      <c r="AI249" s="133">
        <f t="shared" si="61"/>
        <v>0.36262203626220363</v>
      </c>
    </row>
    <row r="250" spans="1:35">
      <c r="A250" s="171">
        <f>IF('09월 조업일지'!A246="","",'09월 조업일지'!A246)</f>
        <v>46274</v>
      </c>
      <c r="B250" s="172" t="str">
        <f>'09월 조업일지'!E246</f>
        <v>C</v>
      </c>
      <c r="C250" s="172" t="str">
        <f>'09월 조업일지'!F246</f>
        <v>A</v>
      </c>
      <c r="D250" s="172">
        <f>'09월 화학성분'!C247</f>
        <v>85449</v>
      </c>
      <c r="E250" s="205" t="str">
        <f t="shared" si="62"/>
        <v>SHN400(BL)</v>
      </c>
      <c r="F250" s="121">
        <v>20</v>
      </c>
      <c r="G250" s="122">
        <v>23400</v>
      </c>
      <c r="H250" s="123">
        <v>19</v>
      </c>
      <c r="I250" s="122">
        <v>20900</v>
      </c>
      <c r="J250" s="123">
        <v>8</v>
      </c>
      <c r="K250" s="122">
        <v>9700</v>
      </c>
      <c r="L250" s="124">
        <f t="shared" si="63"/>
        <v>47</v>
      </c>
      <c r="M250" s="125">
        <f t="shared" si="63"/>
        <v>54000</v>
      </c>
      <c r="N250" s="126">
        <f t="shared" si="50"/>
        <v>160.93535075653369</v>
      </c>
      <c r="O250" s="127">
        <f t="shared" si="51"/>
        <v>143.7414030261348</v>
      </c>
      <c r="P250" s="127">
        <f t="shared" si="52"/>
        <v>66.712517193947733</v>
      </c>
      <c r="Q250" s="128">
        <f t="shared" si="53"/>
        <v>371.38927097661622</v>
      </c>
      <c r="R250" s="129">
        <v>145.4</v>
      </c>
      <c r="S250" s="130">
        <v>0</v>
      </c>
      <c r="T250" s="131">
        <v>201</v>
      </c>
      <c r="U250" s="131">
        <v>121</v>
      </c>
      <c r="V250" s="132">
        <f t="shared" si="54"/>
        <v>322</v>
      </c>
      <c r="W250" s="133">
        <f t="shared" si="55"/>
        <v>2.2145804676753782</v>
      </c>
      <c r="X250" s="130">
        <v>1632</v>
      </c>
      <c r="Y250" s="131">
        <v>1726</v>
      </c>
      <c r="Z250" s="131">
        <v>832</v>
      </c>
      <c r="AA250" s="132">
        <f t="shared" si="56"/>
        <v>4190</v>
      </c>
      <c r="AB250" s="133">
        <f t="shared" si="57"/>
        <v>28.817056396148555</v>
      </c>
      <c r="AC250" s="134">
        <f t="shared" si="58"/>
        <v>4512</v>
      </c>
      <c r="AD250" s="135">
        <f t="shared" si="59"/>
        <v>31.031636863823934</v>
      </c>
      <c r="AE250" s="136">
        <v>25</v>
      </c>
      <c r="AF250" s="137">
        <v>27</v>
      </c>
      <c r="AG250" s="137">
        <v>0</v>
      </c>
      <c r="AH250" s="138">
        <f t="shared" si="60"/>
        <v>52</v>
      </c>
      <c r="AI250" s="133">
        <f t="shared" si="61"/>
        <v>0.35763411279229712</v>
      </c>
    </row>
    <row r="251" spans="1:35">
      <c r="A251" s="171">
        <f>IF('09월 조업일지'!A247="","",'09월 조업일지'!A247)</f>
        <v>46274</v>
      </c>
      <c r="B251" s="172" t="str">
        <f>'09월 조업일지'!E247</f>
        <v>C</v>
      </c>
      <c r="C251" s="172" t="str">
        <f>'09월 조업일지'!F247</f>
        <v>B</v>
      </c>
      <c r="D251" s="172">
        <f>'09월 화학성분'!C248</f>
        <v>85450</v>
      </c>
      <c r="E251" s="205" t="str">
        <f t="shared" si="62"/>
        <v>SHN400(BL)</v>
      </c>
      <c r="F251" s="121">
        <v>21</v>
      </c>
      <c r="G251" s="122">
        <v>23000</v>
      </c>
      <c r="H251" s="123">
        <v>17</v>
      </c>
      <c r="I251" s="122">
        <v>20400</v>
      </c>
      <c r="J251" s="123">
        <v>7</v>
      </c>
      <c r="K251" s="122">
        <v>9100</v>
      </c>
      <c r="L251" s="124">
        <f t="shared" si="63"/>
        <v>45</v>
      </c>
      <c r="M251" s="125">
        <f t="shared" si="63"/>
        <v>52500</v>
      </c>
      <c r="N251" s="126">
        <f t="shared" si="50"/>
        <v>158.62068965517241</v>
      </c>
      <c r="O251" s="127">
        <f t="shared" si="51"/>
        <v>140.68965517241378</v>
      </c>
      <c r="P251" s="127">
        <f t="shared" si="52"/>
        <v>62.758620689655174</v>
      </c>
      <c r="Q251" s="128">
        <f t="shared" si="53"/>
        <v>362.06896551724134</v>
      </c>
      <c r="R251" s="129">
        <v>145</v>
      </c>
      <c r="S251" s="130">
        <v>0</v>
      </c>
      <c r="T251" s="131">
        <v>189</v>
      </c>
      <c r="U251" s="131">
        <v>135</v>
      </c>
      <c r="V251" s="132">
        <f t="shared" si="54"/>
        <v>324</v>
      </c>
      <c r="W251" s="133">
        <f t="shared" si="55"/>
        <v>2.2344827586206897</v>
      </c>
      <c r="X251" s="130">
        <v>1606</v>
      </c>
      <c r="Y251" s="131">
        <v>1643</v>
      </c>
      <c r="Z251" s="131">
        <v>766</v>
      </c>
      <c r="AA251" s="132">
        <f t="shared" si="56"/>
        <v>4015</v>
      </c>
      <c r="AB251" s="133">
        <f t="shared" si="57"/>
        <v>27.689655172413794</v>
      </c>
      <c r="AC251" s="134">
        <f t="shared" si="58"/>
        <v>4339</v>
      </c>
      <c r="AD251" s="135">
        <f t="shared" si="59"/>
        <v>29.924137931034483</v>
      </c>
      <c r="AE251" s="136">
        <v>24</v>
      </c>
      <c r="AF251" s="137">
        <v>25</v>
      </c>
      <c r="AG251" s="137">
        <v>0</v>
      </c>
      <c r="AH251" s="138">
        <f t="shared" si="60"/>
        <v>49</v>
      </c>
      <c r="AI251" s="133">
        <f t="shared" si="61"/>
        <v>0.33793103448275863</v>
      </c>
    </row>
    <row r="252" spans="1:35">
      <c r="A252" s="171">
        <f>IF('09월 조업일지'!A248="","",'09월 조업일지'!A248)</f>
        <v>46274</v>
      </c>
      <c r="B252" s="172" t="str">
        <f>'09월 조업일지'!E248</f>
        <v>C</v>
      </c>
      <c r="C252" s="172" t="str">
        <f>'09월 조업일지'!F248</f>
        <v>A</v>
      </c>
      <c r="D252" s="172">
        <f>'09월 화학성분'!C249</f>
        <v>85451</v>
      </c>
      <c r="E252" s="205" t="str">
        <f t="shared" si="62"/>
        <v>SHN400(BL)</v>
      </c>
      <c r="F252" s="121">
        <v>19</v>
      </c>
      <c r="G252" s="122">
        <v>23400</v>
      </c>
      <c r="H252" s="123">
        <v>18</v>
      </c>
      <c r="I252" s="122">
        <v>20500</v>
      </c>
      <c r="J252" s="123">
        <v>9</v>
      </c>
      <c r="K252" s="122">
        <v>11100</v>
      </c>
      <c r="L252" s="124">
        <f t="shared" si="63"/>
        <v>46</v>
      </c>
      <c r="M252" s="125">
        <f t="shared" si="63"/>
        <v>55000</v>
      </c>
      <c r="N252" s="126">
        <f t="shared" si="50"/>
        <v>159.50920245398774</v>
      </c>
      <c r="O252" s="127">
        <f t="shared" si="51"/>
        <v>139.74096796182687</v>
      </c>
      <c r="P252" s="127">
        <f t="shared" si="52"/>
        <v>75.664621676891628</v>
      </c>
      <c r="Q252" s="128">
        <f t="shared" si="53"/>
        <v>374.91479209270625</v>
      </c>
      <c r="R252" s="129">
        <v>146.69999999999999</v>
      </c>
      <c r="S252" s="130">
        <v>0</v>
      </c>
      <c r="T252" s="131">
        <v>135</v>
      </c>
      <c r="U252" s="131">
        <v>182</v>
      </c>
      <c r="V252" s="132">
        <f t="shared" si="54"/>
        <v>317</v>
      </c>
      <c r="W252" s="133">
        <f t="shared" si="55"/>
        <v>2.1608725289706885</v>
      </c>
      <c r="X252" s="130">
        <v>1595</v>
      </c>
      <c r="Y252" s="131">
        <v>1651</v>
      </c>
      <c r="Z252" s="131">
        <v>927</v>
      </c>
      <c r="AA252" s="132">
        <f t="shared" si="56"/>
        <v>4173</v>
      </c>
      <c r="AB252" s="133">
        <f t="shared" si="57"/>
        <v>28.445807770961146</v>
      </c>
      <c r="AC252" s="134">
        <f t="shared" si="58"/>
        <v>4490</v>
      </c>
      <c r="AD252" s="135">
        <f t="shared" si="59"/>
        <v>30.606680299931835</v>
      </c>
      <c r="AE252" s="136">
        <v>25</v>
      </c>
      <c r="AF252" s="137">
        <v>25</v>
      </c>
      <c r="AG252" s="137">
        <v>0</v>
      </c>
      <c r="AH252" s="138">
        <f t="shared" si="60"/>
        <v>50</v>
      </c>
      <c r="AI252" s="133">
        <f t="shared" si="61"/>
        <v>0.3408316291751875</v>
      </c>
    </row>
    <row r="253" spans="1:35">
      <c r="A253" s="171">
        <f>IF('09월 조업일지'!A249="","",'09월 조업일지'!A249)</f>
        <v>46274</v>
      </c>
      <c r="B253" s="172" t="str">
        <f>'09월 조업일지'!E249</f>
        <v>C</v>
      </c>
      <c r="C253" s="172" t="str">
        <f>'09월 조업일지'!F249</f>
        <v>B</v>
      </c>
      <c r="D253" s="172">
        <f>'09월 화학성분'!C250</f>
        <v>85452</v>
      </c>
      <c r="E253" s="205" t="str">
        <f t="shared" si="62"/>
        <v>SHN400(BL)</v>
      </c>
      <c r="F253" s="121">
        <v>19</v>
      </c>
      <c r="G253" s="122">
        <v>23200</v>
      </c>
      <c r="H253" s="123">
        <v>19</v>
      </c>
      <c r="I253" s="122">
        <v>20600</v>
      </c>
      <c r="J253" s="123">
        <v>10</v>
      </c>
      <c r="K253" s="122">
        <v>12800</v>
      </c>
      <c r="L253" s="124">
        <f t="shared" si="63"/>
        <v>48</v>
      </c>
      <c r="M253" s="125">
        <f t="shared" si="63"/>
        <v>56600</v>
      </c>
      <c r="N253" s="126">
        <f t="shared" si="50"/>
        <v>159.55983493810177</v>
      </c>
      <c r="O253" s="127">
        <f t="shared" si="51"/>
        <v>141.67812929848694</v>
      </c>
      <c r="P253" s="127">
        <f t="shared" si="52"/>
        <v>88.033012379642358</v>
      </c>
      <c r="Q253" s="128">
        <f t="shared" si="53"/>
        <v>389.27097661623105</v>
      </c>
      <c r="R253" s="129">
        <v>145.4</v>
      </c>
      <c r="S253" s="130">
        <v>0</v>
      </c>
      <c r="T253" s="131">
        <v>135</v>
      </c>
      <c r="U253" s="131">
        <v>221</v>
      </c>
      <c r="V253" s="132">
        <f t="shared" si="54"/>
        <v>356</v>
      </c>
      <c r="W253" s="133">
        <f t="shared" si="55"/>
        <v>2.448418156808803</v>
      </c>
      <c r="X253" s="130">
        <v>1609</v>
      </c>
      <c r="Y253" s="131">
        <v>1692</v>
      </c>
      <c r="Z253" s="131">
        <v>931</v>
      </c>
      <c r="AA253" s="132">
        <f t="shared" si="56"/>
        <v>4232</v>
      </c>
      <c r="AB253" s="133">
        <f t="shared" si="57"/>
        <v>29.105914718019257</v>
      </c>
      <c r="AC253" s="134">
        <f t="shared" si="58"/>
        <v>4588</v>
      </c>
      <c r="AD253" s="135">
        <f t="shared" si="59"/>
        <v>31.554332874828059</v>
      </c>
      <c r="AE253" s="136">
        <v>25</v>
      </c>
      <c r="AF253" s="137">
        <v>31</v>
      </c>
      <c r="AG253" s="137">
        <v>0</v>
      </c>
      <c r="AH253" s="138">
        <f t="shared" si="60"/>
        <v>56</v>
      </c>
      <c r="AI253" s="133">
        <f t="shared" si="61"/>
        <v>0.38514442916093533</v>
      </c>
    </row>
    <row r="254" spans="1:35">
      <c r="A254" s="171">
        <f>IF('09월 조업일지'!A250="","",'09월 조업일지'!A250)</f>
        <v>46274</v>
      </c>
      <c r="B254" s="172" t="str">
        <f>'09월 조업일지'!E250</f>
        <v>C</v>
      </c>
      <c r="C254" s="172" t="str">
        <f>'09월 조업일지'!F250</f>
        <v>A</v>
      </c>
      <c r="D254" s="172">
        <f>'09월 화학성분'!C251</f>
        <v>85453</v>
      </c>
      <c r="E254" s="351" t="s">
        <v>333</v>
      </c>
      <c r="F254" s="121">
        <v>20</v>
      </c>
      <c r="G254" s="122">
        <v>23400</v>
      </c>
      <c r="H254" s="123">
        <v>17</v>
      </c>
      <c r="I254" s="122">
        <v>20500</v>
      </c>
      <c r="J254" s="123">
        <v>11</v>
      </c>
      <c r="K254" s="122">
        <v>12700</v>
      </c>
      <c r="L254" s="124">
        <f t="shared" si="63"/>
        <v>48</v>
      </c>
      <c r="M254" s="125">
        <f t="shared" si="63"/>
        <v>56600</v>
      </c>
      <c r="N254" s="126">
        <f t="shared" si="50"/>
        <v>158.7516960651289</v>
      </c>
      <c r="O254" s="127">
        <f t="shared" si="51"/>
        <v>139.07734056987789</v>
      </c>
      <c r="P254" s="127">
        <f t="shared" si="52"/>
        <v>86.160108548168253</v>
      </c>
      <c r="Q254" s="128">
        <f t="shared" si="53"/>
        <v>383.98914518317503</v>
      </c>
      <c r="R254" s="129">
        <v>147.4</v>
      </c>
      <c r="S254" s="130">
        <v>0</v>
      </c>
      <c r="T254" s="131">
        <v>102</v>
      </c>
      <c r="U254" s="131">
        <v>315</v>
      </c>
      <c r="V254" s="132">
        <f t="shared" si="54"/>
        <v>417</v>
      </c>
      <c r="W254" s="133">
        <f t="shared" si="55"/>
        <v>2.8290366350067844</v>
      </c>
      <c r="X254" s="130">
        <v>1685</v>
      </c>
      <c r="Y254" s="131">
        <v>1579</v>
      </c>
      <c r="Z254" s="131">
        <v>1296</v>
      </c>
      <c r="AA254" s="132">
        <f t="shared" si="56"/>
        <v>4560</v>
      </c>
      <c r="AB254" s="133">
        <f t="shared" si="57"/>
        <v>30.936227951153324</v>
      </c>
      <c r="AC254" s="134">
        <f t="shared" si="58"/>
        <v>4977</v>
      </c>
      <c r="AD254" s="135">
        <f t="shared" si="59"/>
        <v>33.765264586160107</v>
      </c>
      <c r="AE254" s="136">
        <v>25</v>
      </c>
      <c r="AF254" s="137">
        <v>24</v>
      </c>
      <c r="AG254" s="137">
        <v>0</v>
      </c>
      <c r="AH254" s="138">
        <f t="shared" si="60"/>
        <v>49</v>
      </c>
      <c r="AI254" s="133">
        <f t="shared" si="61"/>
        <v>0.33242876526458615</v>
      </c>
    </row>
    <row r="255" spans="1:35">
      <c r="A255" s="171">
        <f>IF('09월 조업일지'!A251="","",'09월 조업일지'!A251)</f>
        <v>46274</v>
      </c>
      <c r="B255" s="172" t="str">
        <f>'09월 조업일지'!E251</f>
        <v>C</v>
      </c>
      <c r="C255" s="172" t="str">
        <f>'09월 조업일지'!F251</f>
        <v>B</v>
      </c>
      <c r="D255" s="172">
        <f>'09월 화학성분'!C252</f>
        <v>85454</v>
      </c>
      <c r="E255" s="205" t="str">
        <f t="shared" si="62"/>
        <v>S355JO/JR(BL)</v>
      </c>
      <c r="F255" s="121">
        <v>21</v>
      </c>
      <c r="G255" s="122">
        <v>23000</v>
      </c>
      <c r="H255" s="123">
        <v>17</v>
      </c>
      <c r="I255" s="122">
        <v>20600</v>
      </c>
      <c r="J255" s="123">
        <v>7</v>
      </c>
      <c r="K255" s="122">
        <v>8300</v>
      </c>
      <c r="L255" s="124">
        <f t="shared" si="63"/>
        <v>45</v>
      </c>
      <c r="M255" s="125">
        <f t="shared" si="63"/>
        <v>51900</v>
      </c>
      <c r="N255" s="126">
        <f t="shared" si="50"/>
        <v>158.62068965517241</v>
      </c>
      <c r="O255" s="127">
        <f t="shared" si="51"/>
        <v>142.06896551724137</v>
      </c>
      <c r="P255" s="127">
        <f t="shared" si="52"/>
        <v>57.241379310344826</v>
      </c>
      <c r="Q255" s="128">
        <f t="shared" si="53"/>
        <v>357.93103448275861</v>
      </c>
      <c r="R255" s="129">
        <v>145</v>
      </c>
      <c r="S255" s="130">
        <v>0</v>
      </c>
      <c r="T255" s="131">
        <v>127</v>
      </c>
      <c r="U255" s="131">
        <v>192</v>
      </c>
      <c r="V255" s="132">
        <f t="shared" si="54"/>
        <v>319</v>
      </c>
      <c r="W255" s="133">
        <f t="shared" si="55"/>
        <v>2.2000000000000002</v>
      </c>
      <c r="X255" s="130">
        <v>1603</v>
      </c>
      <c r="Y255" s="131">
        <v>1646</v>
      </c>
      <c r="Z255" s="131">
        <v>695</v>
      </c>
      <c r="AA255" s="132">
        <f t="shared" si="56"/>
        <v>3944</v>
      </c>
      <c r="AB255" s="133">
        <f t="shared" si="57"/>
        <v>27.2</v>
      </c>
      <c r="AC255" s="134">
        <f t="shared" si="58"/>
        <v>4263</v>
      </c>
      <c r="AD255" s="135">
        <f t="shared" si="59"/>
        <v>29.4</v>
      </c>
      <c r="AE255" s="136">
        <v>22</v>
      </c>
      <c r="AF255" s="137">
        <v>30</v>
      </c>
      <c r="AG255" s="137">
        <v>0</v>
      </c>
      <c r="AH255" s="138">
        <f t="shared" si="60"/>
        <v>52</v>
      </c>
      <c r="AI255" s="133">
        <f t="shared" si="61"/>
        <v>0.35862068965517241</v>
      </c>
    </row>
    <row r="256" spans="1:35">
      <c r="A256" s="171">
        <f>IF('09월 조업일지'!A252="","",'09월 조업일지'!A252)</f>
        <v>46274</v>
      </c>
      <c r="B256" s="172" t="str">
        <f>'09월 조업일지'!E252</f>
        <v>C</v>
      </c>
      <c r="C256" s="172" t="str">
        <f>'09월 조업일지'!F252</f>
        <v>A</v>
      </c>
      <c r="D256" s="172">
        <f>'09월 화학성분'!C253</f>
        <v>85455</v>
      </c>
      <c r="E256" s="205" t="str">
        <f t="shared" si="62"/>
        <v>S355JO/JR(BL)</v>
      </c>
      <c r="F256" s="121">
        <v>19</v>
      </c>
      <c r="G256" s="122">
        <v>23100</v>
      </c>
      <c r="H256" s="123">
        <v>18</v>
      </c>
      <c r="I256" s="122">
        <v>20500</v>
      </c>
      <c r="J256" s="123">
        <v>9</v>
      </c>
      <c r="K256" s="122">
        <v>12400</v>
      </c>
      <c r="L256" s="124">
        <f t="shared" si="63"/>
        <v>46</v>
      </c>
      <c r="M256" s="125">
        <f t="shared" si="63"/>
        <v>56000</v>
      </c>
      <c r="N256" s="126">
        <f t="shared" si="50"/>
        <v>158.98141775636611</v>
      </c>
      <c r="O256" s="127">
        <f t="shared" si="51"/>
        <v>141.08740536820372</v>
      </c>
      <c r="P256" s="127">
        <f t="shared" si="52"/>
        <v>85.340674466620783</v>
      </c>
      <c r="Q256" s="128">
        <f t="shared" si="53"/>
        <v>385.40949759119059</v>
      </c>
      <c r="R256" s="129">
        <v>145.30000000000001</v>
      </c>
      <c r="S256" s="130">
        <v>0</v>
      </c>
      <c r="T256" s="131">
        <v>98</v>
      </c>
      <c r="U256" s="131">
        <v>226</v>
      </c>
      <c r="V256" s="132">
        <f t="shared" si="54"/>
        <v>324</v>
      </c>
      <c r="W256" s="133">
        <f t="shared" si="55"/>
        <v>2.2298692360633172</v>
      </c>
      <c r="X256" s="130">
        <v>1619</v>
      </c>
      <c r="Y256" s="131">
        <v>1606</v>
      </c>
      <c r="Z256" s="131">
        <v>983</v>
      </c>
      <c r="AA256" s="132">
        <f t="shared" si="56"/>
        <v>4208</v>
      </c>
      <c r="AB256" s="133">
        <f t="shared" si="57"/>
        <v>28.960770818995179</v>
      </c>
      <c r="AC256" s="134">
        <f t="shared" si="58"/>
        <v>4532</v>
      </c>
      <c r="AD256" s="135">
        <f t="shared" si="59"/>
        <v>31.190640055058498</v>
      </c>
      <c r="AE256" s="136">
        <v>22</v>
      </c>
      <c r="AF256" s="137">
        <v>26</v>
      </c>
      <c r="AG256" s="137">
        <v>0</v>
      </c>
      <c r="AH256" s="138">
        <f t="shared" si="60"/>
        <v>48</v>
      </c>
      <c r="AI256" s="133">
        <f t="shared" si="61"/>
        <v>0.33035099793530626</v>
      </c>
    </row>
    <row r="257" spans="1:35">
      <c r="A257" s="171">
        <f>IF('09월 조업일지'!A253="","",'09월 조업일지'!A253)</f>
        <v>46274</v>
      </c>
      <c r="B257" s="172" t="str">
        <f>'09월 조업일지'!E253</f>
        <v>C</v>
      </c>
      <c r="C257" s="172" t="str">
        <f>'09월 조업일지'!F253</f>
        <v>B</v>
      </c>
      <c r="D257" s="172">
        <f>'09월 화학성분'!C254</f>
        <v>85456</v>
      </c>
      <c r="E257" s="205" t="str">
        <f t="shared" si="62"/>
        <v>S355JO/JR(BL)</v>
      </c>
      <c r="F257" s="121">
        <v>18</v>
      </c>
      <c r="G257" s="122">
        <v>22300</v>
      </c>
      <c r="H257" s="123">
        <v>16</v>
      </c>
      <c r="I257" s="122">
        <v>20400</v>
      </c>
      <c r="J257" s="123">
        <v>8</v>
      </c>
      <c r="K257" s="122">
        <v>9600</v>
      </c>
      <c r="L257" s="124">
        <f t="shared" si="63"/>
        <v>42</v>
      </c>
      <c r="M257" s="125">
        <f t="shared" si="63"/>
        <v>52300</v>
      </c>
      <c r="N257" s="126">
        <f t="shared" si="50"/>
        <v>152.11459754433835</v>
      </c>
      <c r="O257" s="127">
        <f t="shared" si="51"/>
        <v>139.15416098226467</v>
      </c>
      <c r="P257" s="127">
        <f t="shared" si="52"/>
        <v>65.484311050477487</v>
      </c>
      <c r="Q257" s="128">
        <f t="shared" si="53"/>
        <v>356.75306957708051</v>
      </c>
      <c r="R257" s="129">
        <v>146.6</v>
      </c>
      <c r="S257" s="130">
        <v>0</v>
      </c>
      <c r="T257" s="131">
        <v>43</v>
      </c>
      <c r="U257" s="131">
        <v>282</v>
      </c>
      <c r="V257" s="132">
        <f t="shared" si="54"/>
        <v>325</v>
      </c>
      <c r="W257" s="133">
        <f t="shared" si="55"/>
        <v>2.216916780354707</v>
      </c>
      <c r="X257" s="130">
        <v>1530</v>
      </c>
      <c r="Y257" s="131">
        <v>1638</v>
      </c>
      <c r="Z257" s="131">
        <v>846</v>
      </c>
      <c r="AA257" s="132">
        <f t="shared" si="56"/>
        <v>4014</v>
      </c>
      <c r="AB257" s="133">
        <f t="shared" si="57"/>
        <v>27.380627557980901</v>
      </c>
      <c r="AC257" s="134">
        <f t="shared" si="58"/>
        <v>4339</v>
      </c>
      <c r="AD257" s="135">
        <f t="shared" si="59"/>
        <v>29.597544338335609</v>
      </c>
      <c r="AE257" s="136">
        <v>25</v>
      </c>
      <c r="AF257" s="137">
        <v>31</v>
      </c>
      <c r="AG257" s="137">
        <v>0</v>
      </c>
      <c r="AH257" s="138">
        <f t="shared" si="60"/>
        <v>56</v>
      </c>
      <c r="AI257" s="133">
        <f t="shared" si="61"/>
        <v>0.38199181446111868</v>
      </c>
    </row>
    <row r="258" spans="1:35">
      <c r="A258" s="171">
        <f>IF('09월 조업일지'!A254="","",'09월 조업일지'!A254)</f>
        <v>46274</v>
      </c>
      <c r="B258" s="172" t="str">
        <f>'09월 조업일지'!E254</f>
        <v>C</v>
      </c>
      <c r="C258" s="172" t="str">
        <f>'09월 조업일지'!F254</f>
        <v>A</v>
      </c>
      <c r="D258" s="172">
        <f>'09월 화학성분'!C255</f>
        <v>85457</v>
      </c>
      <c r="E258" s="205" t="str">
        <f t="shared" si="62"/>
        <v>S355JO/JR(BL)</v>
      </c>
      <c r="F258" s="121">
        <v>19</v>
      </c>
      <c r="G258" s="122">
        <v>23000</v>
      </c>
      <c r="H258" s="123">
        <v>18</v>
      </c>
      <c r="I258" s="122">
        <v>20600</v>
      </c>
      <c r="J258" s="123">
        <v>8</v>
      </c>
      <c r="K258" s="122">
        <v>11400</v>
      </c>
      <c r="L258" s="124">
        <f t="shared" si="63"/>
        <v>45</v>
      </c>
      <c r="M258" s="125">
        <f t="shared" si="63"/>
        <v>55000</v>
      </c>
      <c r="N258" s="126">
        <f t="shared" si="50"/>
        <v>155.40540540540542</v>
      </c>
      <c r="O258" s="127">
        <f t="shared" si="51"/>
        <v>139.18918918918919</v>
      </c>
      <c r="P258" s="127">
        <f t="shared" si="52"/>
        <v>77.027027027027032</v>
      </c>
      <c r="Q258" s="128">
        <f t="shared" si="53"/>
        <v>371.62162162162161</v>
      </c>
      <c r="R258" s="129">
        <v>148</v>
      </c>
      <c r="S258" s="130">
        <v>0</v>
      </c>
      <c r="T258" s="131">
        <v>73</v>
      </c>
      <c r="U258" s="131">
        <v>255</v>
      </c>
      <c r="V258" s="132">
        <f t="shared" si="54"/>
        <v>328</v>
      </c>
      <c r="W258" s="133">
        <f t="shared" si="55"/>
        <v>2.2162162162162162</v>
      </c>
      <c r="X258" s="130">
        <v>1617</v>
      </c>
      <c r="Y258" s="131">
        <v>1616</v>
      </c>
      <c r="Z258" s="131">
        <v>747</v>
      </c>
      <c r="AA258" s="132">
        <f t="shared" si="56"/>
        <v>3980</v>
      </c>
      <c r="AB258" s="133">
        <f t="shared" si="57"/>
        <v>26.891891891891891</v>
      </c>
      <c r="AC258" s="134">
        <f t="shared" si="58"/>
        <v>4308</v>
      </c>
      <c r="AD258" s="135">
        <f t="shared" si="59"/>
        <v>29.108108108108109</v>
      </c>
      <c r="AE258" s="136">
        <v>26</v>
      </c>
      <c r="AF258" s="137">
        <v>20</v>
      </c>
      <c r="AG258" s="137">
        <v>0</v>
      </c>
      <c r="AH258" s="138">
        <f t="shared" si="60"/>
        <v>46</v>
      </c>
      <c r="AI258" s="133">
        <f t="shared" si="61"/>
        <v>0.3108108108108108</v>
      </c>
    </row>
    <row r="259" spans="1:35">
      <c r="A259" s="171">
        <f>IF('09월 조업일지'!A255="","",'09월 조업일지'!A255)</f>
        <v>46274</v>
      </c>
      <c r="B259" s="172" t="str">
        <f>'09월 조업일지'!E255</f>
        <v>D</v>
      </c>
      <c r="C259" s="172" t="str">
        <f>'09월 조업일지'!F255</f>
        <v>B</v>
      </c>
      <c r="D259" s="172">
        <f>'09월 화학성분'!C256</f>
        <v>85458</v>
      </c>
      <c r="E259" s="205" t="str">
        <f t="shared" si="62"/>
        <v>S355JO/JR(BL)</v>
      </c>
      <c r="F259" s="121">
        <v>19</v>
      </c>
      <c r="G259" s="122">
        <v>23100</v>
      </c>
      <c r="H259" s="123">
        <v>19</v>
      </c>
      <c r="I259" s="122">
        <v>20300</v>
      </c>
      <c r="J259" s="123">
        <v>8</v>
      </c>
      <c r="K259" s="122">
        <v>10400</v>
      </c>
      <c r="L259" s="124">
        <f t="shared" si="63"/>
        <v>46</v>
      </c>
      <c r="M259" s="125">
        <f t="shared" si="63"/>
        <v>53800</v>
      </c>
      <c r="N259" s="126">
        <f t="shared" si="50"/>
        <v>157.35694822888283</v>
      </c>
      <c r="O259" s="127">
        <f t="shared" si="51"/>
        <v>138.283378746594</v>
      </c>
      <c r="P259" s="127">
        <f t="shared" si="52"/>
        <v>70.844686648501352</v>
      </c>
      <c r="Q259" s="128">
        <f t="shared" si="53"/>
        <v>366.48501362397815</v>
      </c>
      <c r="R259" s="129">
        <v>146.80000000000001</v>
      </c>
      <c r="S259" s="130">
        <v>0</v>
      </c>
      <c r="T259" s="131">
        <v>75</v>
      </c>
      <c r="U259" s="131">
        <v>249</v>
      </c>
      <c r="V259" s="132">
        <f t="shared" si="54"/>
        <v>324</v>
      </c>
      <c r="W259" s="133">
        <f t="shared" si="55"/>
        <v>2.2070844686648501</v>
      </c>
      <c r="X259" s="130">
        <v>1563</v>
      </c>
      <c r="Y259" s="131">
        <v>1629</v>
      </c>
      <c r="Z259" s="131">
        <v>1034</v>
      </c>
      <c r="AA259" s="132">
        <f t="shared" si="56"/>
        <v>4226</v>
      </c>
      <c r="AB259" s="133">
        <f t="shared" si="57"/>
        <v>28.787465940054492</v>
      </c>
      <c r="AC259" s="134">
        <f t="shared" si="58"/>
        <v>4550</v>
      </c>
      <c r="AD259" s="135">
        <f t="shared" si="59"/>
        <v>30.994550408719345</v>
      </c>
      <c r="AE259" s="136">
        <v>25</v>
      </c>
      <c r="AF259" s="137">
        <v>33</v>
      </c>
      <c r="AG259" s="137">
        <v>2</v>
      </c>
      <c r="AH259" s="138">
        <f t="shared" si="60"/>
        <v>60</v>
      </c>
      <c r="AI259" s="133">
        <f t="shared" si="61"/>
        <v>0.40871934604904631</v>
      </c>
    </row>
    <row r="260" spans="1:35">
      <c r="A260" s="171">
        <f>IF('09월 조업일지'!A256="","",'09월 조업일지'!A256)</f>
        <v>46274</v>
      </c>
      <c r="B260" s="172" t="str">
        <f>'09월 조업일지'!E256</f>
        <v>D</v>
      </c>
      <c r="C260" s="172" t="str">
        <f>'09월 조업일지'!F256</f>
        <v>A</v>
      </c>
      <c r="D260" s="172">
        <f>'09월 화학성분'!C257</f>
        <v>85459</v>
      </c>
      <c r="E260" s="205" t="str">
        <f t="shared" si="62"/>
        <v>S355JO/JR(BL)</v>
      </c>
      <c r="F260" s="121">
        <v>20</v>
      </c>
      <c r="G260" s="122">
        <v>23900</v>
      </c>
      <c r="H260" s="123">
        <v>18</v>
      </c>
      <c r="I260" s="122">
        <v>20600</v>
      </c>
      <c r="J260" s="123">
        <v>11</v>
      </c>
      <c r="K260" s="122">
        <v>14900</v>
      </c>
      <c r="L260" s="124">
        <f t="shared" si="63"/>
        <v>49</v>
      </c>
      <c r="M260" s="125">
        <f t="shared" si="63"/>
        <v>59400</v>
      </c>
      <c r="N260" s="126">
        <f t="shared" si="50"/>
        <v>165.51246537396122</v>
      </c>
      <c r="O260" s="127">
        <f t="shared" si="51"/>
        <v>142.65927977839334</v>
      </c>
      <c r="P260" s="127">
        <f t="shared" si="52"/>
        <v>103.18559556786703</v>
      </c>
      <c r="Q260" s="128">
        <f t="shared" si="53"/>
        <v>411.3573407202216</v>
      </c>
      <c r="R260" s="129">
        <v>144.4</v>
      </c>
      <c r="S260" s="130">
        <v>0</v>
      </c>
      <c r="T260" s="131">
        <v>23</v>
      </c>
      <c r="U260" s="131">
        <v>321</v>
      </c>
      <c r="V260" s="132">
        <f t="shared" si="54"/>
        <v>344</v>
      </c>
      <c r="W260" s="133">
        <f t="shared" si="55"/>
        <v>2.3822714681440442</v>
      </c>
      <c r="X260" s="130">
        <v>1679</v>
      </c>
      <c r="Y260" s="131">
        <v>1606</v>
      </c>
      <c r="Z260" s="131">
        <v>1044</v>
      </c>
      <c r="AA260" s="132">
        <f t="shared" si="56"/>
        <v>4329</v>
      </c>
      <c r="AB260" s="133">
        <f t="shared" si="57"/>
        <v>29.979224376731302</v>
      </c>
      <c r="AC260" s="134">
        <f t="shared" si="58"/>
        <v>4673</v>
      </c>
      <c r="AD260" s="135">
        <f t="shared" si="59"/>
        <v>32.361495844875343</v>
      </c>
      <c r="AE260" s="136">
        <v>25</v>
      </c>
      <c r="AF260" s="137">
        <v>22</v>
      </c>
      <c r="AG260" s="137">
        <v>0</v>
      </c>
      <c r="AH260" s="138">
        <f t="shared" si="60"/>
        <v>47</v>
      </c>
      <c r="AI260" s="133">
        <f t="shared" si="61"/>
        <v>0.32548476454293629</v>
      </c>
    </row>
    <row r="261" spans="1:35">
      <c r="A261" s="171">
        <f>IF('09월 조업일지'!A257="","",'09월 조업일지'!A257)</f>
        <v>46274</v>
      </c>
      <c r="B261" s="172" t="str">
        <f>'09월 조업일지'!E257</f>
        <v>D</v>
      </c>
      <c r="C261" s="172" t="str">
        <f>'09월 조업일지'!F257</f>
        <v>B</v>
      </c>
      <c r="D261" s="172">
        <f>'09월 화학성분'!C258</f>
        <v>85460</v>
      </c>
      <c r="E261" s="205" t="str">
        <f t="shared" si="62"/>
        <v>S355JO/JR(BL)</v>
      </c>
      <c r="F261" s="121">
        <v>20</v>
      </c>
      <c r="G261" s="122">
        <v>23300</v>
      </c>
      <c r="H261" s="123">
        <v>18</v>
      </c>
      <c r="I261" s="122">
        <v>20400</v>
      </c>
      <c r="J261" s="123">
        <v>8</v>
      </c>
      <c r="K261" s="122">
        <v>10600</v>
      </c>
      <c r="L261" s="124">
        <f t="shared" si="63"/>
        <v>46</v>
      </c>
      <c r="M261" s="125">
        <f t="shared" si="63"/>
        <v>54300</v>
      </c>
      <c r="N261" s="126">
        <f t="shared" si="50"/>
        <v>160.35788024776323</v>
      </c>
      <c r="O261" s="127">
        <f t="shared" si="51"/>
        <v>140.39917412250514</v>
      </c>
      <c r="P261" s="127">
        <f t="shared" si="52"/>
        <v>72.952512044046799</v>
      </c>
      <c r="Q261" s="128">
        <f t="shared" si="53"/>
        <v>373.70956641431519</v>
      </c>
      <c r="R261" s="129">
        <v>145.30000000000001</v>
      </c>
      <c r="S261" s="130">
        <v>0</v>
      </c>
      <c r="T261" s="131">
        <v>79</v>
      </c>
      <c r="U261" s="131">
        <v>248</v>
      </c>
      <c r="V261" s="132">
        <f t="shared" si="54"/>
        <v>327</v>
      </c>
      <c r="W261" s="133">
        <f t="shared" si="55"/>
        <v>2.2505161734342738</v>
      </c>
      <c r="X261" s="130">
        <v>1663</v>
      </c>
      <c r="Y261" s="131">
        <v>1654</v>
      </c>
      <c r="Z261" s="131">
        <v>905</v>
      </c>
      <c r="AA261" s="132">
        <f t="shared" si="56"/>
        <v>4222</v>
      </c>
      <c r="AB261" s="133">
        <f t="shared" si="57"/>
        <v>29.057123193392979</v>
      </c>
      <c r="AC261" s="134">
        <f t="shared" si="58"/>
        <v>4549</v>
      </c>
      <c r="AD261" s="135">
        <f t="shared" si="59"/>
        <v>31.307639366827253</v>
      </c>
      <c r="AE261" s="136">
        <v>24</v>
      </c>
      <c r="AF261" s="137">
        <v>32</v>
      </c>
      <c r="AG261" s="137">
        <v>0</v>
      </c>
      <c r="AH261" s="138">
        <f t="shared" si="60"/>
        <v>56</v>
      </c>
      <c r="AI261" s="133">
        <f t="shared" si="61"/>
        <v>0.38540949759119059</v>
      </c>
    </row>
    <row r="262" spans="1:35">
      <c r="A262" s="171">
        <f>IF('09월 조업일지'!A258="","",'09월 조업일지'!A258)</f>
        <v>46274</v>
      </c>
      <c r="B262" s="172" t="str">
        <f>'09월 조업일지'!E258</f>
        <v>D</v>
      </c>
      <c r="C262" s="172" t="str">
        <f>'09월 조업일지'!F258</f>
        <v>A</v>
      </c>
      <c r="D262" s="172">
        <f>'09월 화학성분'!C259</f>
        <v>85461</v>
      </c>
      <c r="E262" s="205" t="str">
        <f t="shared" si="62"/>
        <v>S355JO/JR(BL)</v>
      </c>
      <c r="F262" s="121">
        <v>21</v>
      </c>
      <c r="G262" s="122">
        <v>23800</v>
      </c>
      <c r="H262" s="123">
        <v>17</v>
      </c>
      <c r="I262" s="122">
        <v>20400</v>
      </c>
      <c r="J262" s="123">
        <v>11</v>
      </c>
      <c r="K262" s="122">
        <v>13200</v>
      </c>
      <c r="L262" s="124">
        <f t="shared" si="63"/>
        <v>49</v>
      </c>
      <c r="M262" s="125">
        <f t="shared" si="63"/>
        <v>57400</v>
      </c>
      <c r="N262" s="126">
        <f t="shared" si="50"/>
        <v>161.46540027137041</v>
      </c>
      <c r="O262" s="127">
        <f t="shared" si="51"/>
        <v>138.3989145183175</v>
      </c>
      <c r="P262" s="127">
        <f t="shared" si="52"/>
        <v>89.552238805970148</v>
      </c>
      <c r="Q262" s="128">
        <f t="shared" si="53"/>
        <v>389.41655359565806</v>
      </c>
      <c r="R262" s="129">
        <v>147.4</v>
      </c>
      <c r="S262" s="130">
        <v>0</v>
      </c>
      <c r="T262" s="131">
        <v>102</v>
      </c>
      <c r="U262" s="131">
        <v>183</v>
      </c>
      <c r="V262" s="132">
        <f t="shared" si="54"/>
        <v>285</v>
      </c>
      <c r="W262" s="133">
        <f t="shared" si="55"/>
        <v>1.9335142469470827</v>
      </c>
      <c r="X262" s="130">
        <v>1731</v>
      </c>
      <c r="Y262" s="131">
        <v>1564</v>
      </c>
      <c r="Z262" s="131">
        <v>950</v>
      </c>
      <c r="AA262" s="132">
        <f t="shared" si="56"/>
        <v>4245</v>
      </c>
      <c r="AB262" s="133">
        <f t="shared" si="57"/>
        <v>28.799185888738126</v>
      </c>
      <c r="AC262" s="134">
        <f t="shared" si="58"/>
        <v>4530</v>
      </c>
      <c r="AD262" s="135">
        <f t="shared" si="59"/>
        <v>30.73270013568521</v>
      </c>
      <c r="AE262" s="136">
        <v>25</v>
      </c>
      <c r="AF262" s="137">
        <v>24</v>
      </c>
      <c r="AG262" s="137">
        <v>0</v>
      </c>
      <c r="AH262" s="138">
        <f t="shared" si="60"/>
        <v>49</v>
      </c>
      <c r="AI262" s="133">
        <f t="shared" si="61"/>
        <v>0.33242876526458615</v>
      </c>
    </row>
    <row r="263" spans="1:35">
      <c r="A263" s="171">
        <f>IF('09월 조업일지'!A259="","",'09월 조업일지'!A259)</f>
        <v>46274</v>
      </c>
      <c r="B263" s="172" t="str">
        <f>'09월 조업일지'!E259</f>
        <v>D</v>
      </c>
      <c r="C263" s="172" t="str">
        <f>'09월 조업일지'!F259</f>
        <v>B</v>
      </c>
      <c r="D263" s="172">
        <f>'09월 화학성분'!C260</f>
        <v>85462</v>
      </c>
      <c r="E263" s="205" t="str">
        <f t="shared" si="62"/>
        <v>S355JO/JR(BL)</v>
      </c>
      <c r="F263" s="121">
        <v>21</v>
      </c>
      <c r="G263" s="122">
        <v>23900</v>
      </c>
      <c r="H263" s="123">
        <v>18</v>
      </c>
      <c r="I263" s="122">
        <v>20700</v>
      </c>
      <c r="J263" s="123">
        <v>8</v>
      </c>
      <c r="K263" s="122">
        <v>10600</v>
      </c>
      <c r="L263" s="124">
        <f t="shared" si="63"/>
        <v>47</v>
      </c>
      <c r="M263" s="125">
        <f t="shared" si="63"/>
        <v>55200</v>
      </c>
      <c r="N263" s="126">
        <f t="shared" si="50"/>
        <v>161.70500676589984</v>
      </c>
      <c r="O263" s="127">
        <f t="shared" si="51"/>
        <v>140.05412719891746</v>
      </c>
      <c r="P263" s="127">
        <f t="shared" si="52"/>
        <v>71.718538565629217</v>
      </c>
      <c r="Q263" s="128">
        <f t="shared" si="53"/>
        <v>373.47767253044651</v>
      </c>
      <c r="R263" s="129">
        <v>147.80000000000001</v>
      </c>
      <c r="S263" s="130">
        <v>0</v>
      </c>
      <c r="T263" s="131">
        <v>218</v>
      </c>
      <c r="U263" s="131">
        <v>80</v>
      </c>
      <c r="V263" s="132">
        <f t="shared" si="54"/>
        <v>298</v>
      </c>
      <c r="W263" s="133">
        <f t="shared" si="55"/>
        <v>2.0162381596752366</v>
      </c>
      <c r="X263" s="130">
        <v>1704</v>
      </c>
      <c r="Y263" s="131">
        <v>1595</v>
      </c>
      <c r="Z263" s="131">
        <v>861</v>
      </c>
      <c r="AA263" s="132">
        <f t="shared" si="56"/>
        <v>4160</v>
      </c>
      <c r="AB263" s="133">
        <f t="shared" si="57"/>
        <v>28.146143437077129</v>
      </c>
      <c r="AC263" s="134">
        <f t="shared" si="58"/>
        <v>4458</v>
      </c>
      <c r="AD263" s="135">
        <f t="shared" si="59"/>
        <v>30.162381596752365</v>
      </c>
      <c r="AE263" s="136">
        <v>26</v>
      </c>
      <c r="AF263" s="137">
        <v>29</v>
      </c>
      <c r="AG263" s="137">
        <v>0</v>
      </c>
      <c r="AH263" s="138">
        <f t="shared" si="60"/>
        <v>55</v>
      </c>
      <c r="AI263" s="133">
        <f t="shared" si="61"/>
        <v>0.37212449255751012</v>
      </c>
    </row>
    <row r="264" spans="1:35">
      <c r="A264" s="171">
        <f>IF('09월 조업일지'!A260="","",'09월 조업일지'!A260)</f>
        <v>46274</v>
      </c>
      <c r="B264" s="172" t="str">
        <f>'09월 조업일지'!E260</f>
        <v>D</v>
      </c>
      <c r="C264" s="172" t="str">
        <f>'09월 조업일지'!F260</f>
        <v>A</v>
      </c>
      <c r="D264" s="172">
        <f>'09월 화학성분'!C261</f>
        <v>85463</v>
      </c>
      <c r="E264" s="205" t="str">
        <f t="shared" si="62"/>
        <v>S355JO/JR(BL)</v>
      </c>
      <c r="F264" s="121">
        <v>21</v>
      </c>
      <c r="G264" s="122">
        <v>23700</v>
      </c>
      <c r="H264" s="123">
        <v>18</v>
      </c>
      <c r="I264" s="122">
        <v>20900</v>
      </c>
      <c r="J264" s="123">
        <v>9</v>
      </c>
      <c r="K264" s="122">
        <v>11600</v>
      </c>
      <c r="L264" s="124">
        <f t="shared" si="63"/>
        <v>48</v>
      </c>
      <c r="M264" s="125">
        <f t="shared" si="63"/>
        <v>56200</v>
      </c>
      <c r="N264" s="126">
        <f t="shared" si="50"/>
        <v>162.10670314637485</v>
      </c>
      <c r="O264" s="127">
        <f t="shared" si="51"/>
        <v>142.95485636114913</v>
      </c>
      <c r="P264" s="127">
        <f t="shared" si="52"/>
        <v>79.343365253077977</v>
      </c>
      <c r="Q264" s="128">
        <f t="shared" si="53"/>
        <v>384.40492476060194</v>
      </c>
      <c r="R264" s="129">
        <v>146.19999999999999</v>
      </c>
      <c r="S264" s="130">
        <v>0</v>
      </c>
      <c r="T264" s="131">
        <v>110</v>
      </c>
      <c r="U264" s="131">
        <v>178</v>
      </c>
      <c r="V264" s="132">
        <f t="shared" si="54"/>
        <v>288</v>
      </c>
      <c r="W264" s="133">
        <f t="shared" si="55"/>
        <v>1.9699042407660741</v>
      </c>
      <c r="X264" s="130">
        <v>1694</v>
      </c>
      <c r="Y264" s="131">
        <v>1648</v>
      </c>
      <c r="Z264" s="131">
        <v>962</v>
      </c>
      <c r="AA264" s="132">
        <f t="shared" si="56"/>
        <v>4304</v>
      </c>
      <c r="AB264" s="133">
        <f t="shared" si="57"/>
        <v>29.439124487004108</v>
      </c>
      <c r="AC264" s="134">
        <f t="shared" si="58"/>
        <v>4592</v>
      </c>
      <c r="AD264" s="135">
        <f t="shared" si="59"/>
        <v>31.409028727770181</v>
      </c>
      <c r="AE264" s="136">
        <v>25</v>
      </c>
      <c r="AF264" s="137">
        <v>23</v>
      </c>
      <c r="AG264" s="137">
        <v>0</v>
      </c>
      <c r="AH264" s="138">
        <f t="shared" si="60"/>
        <v>48</v>
      </c>
      <c r="AI264" s="133">
        <f t="shared" si="61"/>
        <v>0.32831737346101236</v>
      </c>
    </row>
    <row r="265" spans="1:35">
      <c r="A265" s="171">
        <f>IF('09월 조업일지'!A261="","",'09월 조업일지'!A261)</f>
        <v>46274</v>
      </c>
      <c r="B265" s="172" t="str">
        <f>'09월 조업일지'!E261</f>
        <v>D</v>
      </c>
      <c r="C265" s="172" t="str">
        <f>'09월 조업일지'!F261</f>
        <v>B</v>
      </c>
      <c r="D265" s="172">
        <f>'09월 화학성분'!C262</f>
        <v>85464</v>
      </c>
      <c r="E265" s="205" t="str">
        <f t="shared" si="62"/>
        <v>S355JO/JR(BL)</v>
      </c>
      <c r="F265" s="121">
        <v>22</v>
      </c>
      <c r="G265" s="122">
        <v>23600</v>
      </c>
      <c r="H265" s="123">
        <v>18</v>
      </c>
      <c r="I265" s="122">
        <v>20500</v>
      </c>
      <c r="J265" s="123">
        <v>6</v>
      </c>
      <c r="K265" s="122">
        <v>8500</v>
      </c>
      <c r="L265" s="124">
        <f t="shared" si="63"/>
        <v>46</v>
      </c>
      <c r="M265" s="125">
        <f t="shared" si="63"/>
        <v>52600</v>
      </c>
      <c r="N265" s="126">
        <f t="shared" si="50"/>
        <v>160.54421768707482</v>
      </c>
      <c r="O265" s="127">
        <f t="shared" si="51"/>
        <v>139.45578231292518</v>
      </c>
      <c r="P265" s="127">
        <f t="shared" si="52"/>
        <v>57.823129251700678</v>
      </c>
      <c r="Q265" s="128">
        <f t="shared" si="53"/>
        <v>357.82312925170066</v>
      </c>
      <c r="R265" s="129">
        <v>147</v>
      </c>
      <c r="S265" s="130">
        <v>0</v>
      </c>
      <c r="T265" s="131">
        <v>167</v>
      </c>
      <c r="U265" s="131">
        <v>293</v>
      </c>
      <c r="V265" s="132">
        <f t="shared" si="54"/>
        <v>460</v>
      </c>
      <c r="W265" s="133">
        <f t="shared" si="55"/>
        <v>3.129251700680272</v>
      </c>
      <c r="X265" s="130">
        <v>1789</v>
      </c>
      <c r="Y265" s="131">
        <v>1599</v>
      </c>
      <c r="Z265" s="131">
        <v>1019</v>
      </c>
      <c r="AA265" s="132">
        <f t="shared" si="56"/>
        <v>4407</v>
      </c>
      <c r="AB265" s="133">
        <f t="shared" si="57"/>
        <v>29.979591836734695</v>
      </c>
      <c r="AC265" s="134">
        <f t="shared" si="58"/>
        <v>4867</v>
      </c>
      <c r="AD265" s="135">
        <f t="shared" si="59"/>
        <v>33.108843537414963</v>
      </c>
      <c r="AE265" s="136">
        <v>22</v>
      </c>
      <c r="AF265" s="137">
        <v>14</v>
      </c>
      <c r="AG265" s="137">
        <v>0</v>
      </c>
      <c r="AH265" s="138">
        <f t="shared" si="60"/>
        <v>36</v>
      </c>
      <c r="AI265" s="133">
        <f t="shared" si="61"/>
        <v>0.24489795918367346</v>
      </c>
    </row>
    <row r="266" spans="1:35">
      <c r="A266" s="171">
        <f>IF('09월 조업일지'!A262="","",'09월 조업일지'!A262)</f>
        <v>46274</v>
      </c>
      <c r="B266" s="172" t="str">
        <f>'09월 조업일지'!E262</f>
        <v>D</v>
      </c>
      <c r="C266" s="172" t="str">
        <f>'09월 조업일지'!F262</f>
        <v>A</v>
      </c>
      <c r="D266" s="172">
        <f>'09월 화학성분'!C263</f>
        <v>85465</v>
      </c>
      <c r="E266" s="351" t="s">
        <v>331</v>
      </c>
      <c r="F266" s="121">
        <v>20</v>
      </c>
      <c r="G266" s="122">
        <v>24700</v>
      </c>
      <c r="H266" s="123">
        <v>17</v>
      </c>
      <c r="I266" s="122">
        <v>20900</v>
      </c>
      <c r="J266" s="123">
        <v>5</v>
      </c>
      <c r="K266" s="122">
        <v>5000</v>
      </c>
      <c r="L266" s="124">
        <f t="shared" si="63"/>
        <v>42</v>
      </c>
      <c r="M266" s="125">
        <f t="shared" si="63"/>
        <v>50600</v>
      </c>
      <c r="N266" s="126">
        <f t="shared" si="50"/>
        <v>167.45762711864407</v>
      </c>
      <c r="O266" s="127">
        <f t="shared" si="51"/>
        <v>141.69491525423729</v>
      </c>
      <c r="P266" s="127">
        <f t="shared" si="52"/>
        <v>33.898305084745765</v>
      </c>
      <c r="Q266" s="128">
        <f t="shared" si="53"/>
        <v>343.05084745762713</v>
      </c>
      <c r="R266" s="129">
        <v>147.5</v>
      </c>
      <c r="S266" s="130">
        <v>0</v>
      </c>
      <c r="T266" s="131">
        <v>170</v>
      </c>
      <c r="U266" s="131">
        <v>150</v>
      </c>
      <c r="V266" s="132">
        <f t="shared" si="54"/>
        <v>320</v>
      </c>
      <c r="W266" s="133">
        <f t="shared" si="55"/>
        <v>2.1694915254237288</v>
      </c>
      <c r="X266" s="130">
        <v>1761</v>
      </c>
      <c r="Y266" s="131">
        <v>1600</v>
      </c>
      <c r="Z266" s="131">
        <v>489</v>
      </c>
      <c r="AA266" s="132">
        <f t="shared" si="56"/>
        <v>3850</v>
      </c>
      <c r="AB266" s="133">
        <f t="shared" si="57"/>
        <v>26.101694915254239</v>
      </c>
      <c r="AC266" s="134">
        <f t="shared" si="58"/>
        <v>4170</v>
      </c>
      <c r="AD266" s="135">
        <f t="shared" si="59"/>
        <v>28.271186440677965</v>
      </c>
      <c r="AE266" s="136">
        <v>22</v>
      </c>
      <c r="AF266" s="137">
        <v>25</v>
      </c>
      <c r="AG266" s="137">
        <v>0</v>
      </c>
      <c r="AH266" s="138">
        <f t="shared" si="60"/>
        <v>47</v>
      </c>
      <c r="AI266" s="133">
        <f t="shared" si="61"/>
        <v>0.31864406779661014</v>
      </c>
    </row>
    <row r="267" spans="1:35">
      <c r="A267" s="171">
        <f>IF('09월 조업일지'!A263="","",'09월 조업일지'!A263)</f>
        <v>46274</v>
      </c>
      <c r="B267" s="172" t="str">
        <f>'09월 조업일지'!E263</f>
        <v>D</v>
      </c>
      <c r="C267" s="172" t="str">
        <f>'09월 조업일지'!F263</f>
        <v>B</v>
      </c>
      <c r="D267" s="172">
        <f>'09월 화학성분'!C264</f>
        <v>85466</v>
      </c>
      <c r="E267" s="205" t="str">
        <f t="shared" si="62"/>
        <v>SS400-05</v>
      </c>
      <c r="F267" s="121">
        <v>22</v>
      </c>
      <c r="G267" s="122">
        <v>23200</v>
      </c>
      <c r="H267" s="123">
        <v>18</v>
      </c>
      <c r="I267" s="122">
        <v>20500</v>
      </c>
      <c r="J267" s="123">
        <v>10</v>
      </c>
      <c r="K267" s="122">
        <v>10900</v>
      </c>
      <c r="L267" s="124">
        <f t="shared" si="63"/>
        <v>50</v>
      </c>
      <c r="M267" s="125">
        <f t="shared" si="63"/>
        <v>54600</v>
      </c>
      <c r="N267" s="126">
        <f t="shared" si="50"/>
        <v>157.60869565217394</v>
      </c>
      <c r="O267" s="127">
        <f t="shared" si="51"/>
        <v>139.26630434782609</v>
      </c>
      <c r="P267" s="127">
        <f t="shared" si="52"/>
        <v>74.048913043478265</v>
      </c>
      <c r="Q267" s="128">
        <f t="shared" si="53"/>
        <v>370.92391304347825</v>
      </c>
      <c r="R267" s="129">
        <v>147.19999999999999</v>
      </c>
      <c r="S267" s="130">
        <v>0</v>
      </c>
      <c r="T267" s="131">
        <v>150</v>
      </c>
      <c r="U267" s="131">
        <v>181</v>
      </c>
      <c r="V267" s="132">
        <f t="shared" si="54"/>
        <v>331</v>
      </c>
      <c r="W267" s="133">
        <f t="shared" si="55"/>
        <v>2.2486413043478262</v>
      </c>
      <c r="X267" s="130">
        <v>1750</v>
      </c>
      <c r="Y267" s="131">
        <v>1614</v>
      </c>
      <c r="Z267" s="131">
        <v>897</v>
      </c>
      <c r="AA267" s="132">
        <f t="shared" si="56"/>
        <v>4261</v>
      </c>
      <c r="AB267" s="133">
        <f t="shared" si="57"/>
        <v>28.947010869565219</v>
      </c>
      <c r="AC267" s="134">
        <f t="shared" si="58"/>
        <v>4592</v>
      </c>
      <c r="AD267" s="135">
        <f t="shared" si="59"/>
        <v>31.195652173913047</v>
      </c>
      <c r="AE267" s="136">
        <v>24</v>
      </c>
      <c r="AF267" s="137">
        <v>30</v>
      </c>
      <c r="AG267" s="137">
        <v>0</v>
      </c>
      <c r="AH267" s="138">
        <f t="shared" si="60"/>
        <v>54</v>
      </c>
      <c r="AI267" s="133">
        <f t="shared" si="61"/>
        <v>0.36684782608695654</v>
      </c>
    </row>
    <row r="268" spans="1:35">
      <c r="A268" s="171">
        <f>IF('09월 조업일지'!A264="","",'09월 조업일지'!A264)</f>
        <v>46274</v>
      </c>
      <c r="B268" s="172" t="str">
        <f>'09월 조업일지'!E264</f>
        <v>D</v>
      </c>
      <c r="C268" s="172" t="str">
        <f>'09월 조업일지'!F264</f>
        <v>A</v>
      </c>
      <c r="D268" s="172">
        <f>'09월 화학성분'!C265</f>
        <v>85467</v>
      </c>
      <c r="E268" s="205" t="str">
        <f t="shared" si="62"/>
        <v>SS400-05</v>
      </c>
      <c r="F268" s="121">
        <v>21</v>
      </c>
      <c r="G268" s="122">
        <v>23300</v>
      </c>
      <c r="H268" s="123">
        <v>16</v>
      </c>
      <c r="I268" s="122">
        <v>20600</v>
      </c>
      <c r="J268" s="123">
        <v>8</v>
      </c>
      <c r="K268" s="122">
        <v>10100</v>
      </c>
      <c r="L268" s="124">
        <f t="shared" si="63"/>
        <v>45</v>
      </c>
      <c r="M268" s="125">
        <f t="shared" si="63"/>
        <v>54000</v>
      </c>
      <c r="N268" s="126">
        <f t="shared" si="50"/>
        <v>160.68965517241378</v>
      </c>
      <c r="O268" s="127">
        <f t="shared" si="51"/>
        <v>142.06896551724137</v>
      </c>
      <c r="P268" s="127">
        <f t="shared" si="52"/>
        <v>69.65517241379311</v>
      </c>
      <c r="Q268" s="128">
        <f t="shared" si="53"/>
        <v>372.41379310344826</v>
      </c>
      <c r="R268" s="129">
        <v>145</v>
      </c>
      <c r="S268" s="130">
        <v>0</v>
      </c>
      <c r="T268" s="131">
        <v>81</v>
      </c>
      <c r="U268" s="131">
        <v>245</v>
      </c>
      <c r="V268" s="132">
        <f t="shared" si="54"/>
        <v>326</v>
      </c>
      <c r="W268" s="133">
        <f t="shared" si="55"/>
        <v>2.2482758620689656</v>
      </c>
      <c r="X268" s="130">
        <v>1778</v>
      </c>
      <c r="Y268" s="131">
        <v>1569</v>
      </c>
      <c r="Z268" s="131">
        <v>593</v>
      </c>
      <c r="AA268" s="132">
        <f t="shared" si="56"/>
        <v>3940</v>
      </c>
      <c r="AB268" s="133">
        <f t="shared" si="57"/>
        <v>27.172413793103448</v>
      </c>
      <c r="AC268" s="134">
        <f t="shared" si="58"/>
        <v>4266</v>
      </c>
      <c r="AD268" s="135">
        <f t="shared" si="59"/>
        <v>29.420689655172414</v>
      </c>
      <c r="AE268" s="136">
        <v>26</v>
      </c>
      <c r="AF268" s="137">
        <v>22</v>
      </c>
      <c r="AG268" s="137">
        <v>0</v>
      </c>
      <c r="AH268" s="138">
        <f t="shared" si="60"/>
        <v>48</v>
      </c>
      <c r="AI268" s="133">
        <f t="shared" si="61"/>
        <v>0.33103448275862069</v>
      </c>
    </row>
    <row r="269" spans="1:35">
      <c r="A269" s="171">
        <f>IF('09월 조업일지'!A265="","",'09월 조업일지'!A265)</f>
        <v>46274</v>
      </c>
      <c r="B269" s="172" t="str">
        <f>'09월 조업일지'!E265</f>
        <v>D</v>
      </c>
      <c r="C269" s="172" t="str">
        <f>'09월 조업일지'!F265</f>
        <v>B</v>
      </c>
      <c r="D269" s="172">
        <f>'09월 화학성분'!C266</f>
        <v>85468</v>
      </c>
      <c r="E269" s="205" t="str">
        <f t="shared" si="62"/>
        <v>SS400-05</v>
      </c>
      <c r="F269" s="121">
        <v>21</v>
      </c>
      <c r="G269" s="122">
        <v>23200</v>
      </c>
      <c r="H269" s="123">
        <v>18</v>
      </c>
      <c r="I269" s="122">
        <v>20600</v>
      </c>
      <c r="J269" s="123">
        <v>9</v>
      </c>
      <c r="K269" s="122">
        <v>10500</v>
      </c>
      <c r="L269" s="124">
        <f t="shared" si="63"/>
        <v>48</v>
      </c>
      <c r="M269" s="125">
        <f t="shared" si="63"/>
        <v>54300</v>
      </c>
      <c r="N269" s="126">
        <f t="shared" si="50"/>
        <v>157.50169721656482</v>
      </c>
      <c r="O269" s="127">
        <f t="shared" si="51"/>
        <v>139.85064494229462</v>
      </c>
      <c r="P269" s="127">
        <f t="shared" si="52"/>
        <v>71.283095723014256</v>
      </c>
      <c r="Q269" s="128">
        <f t="shared" si="53"/>
        <v>368.63543788187366</v>
      </c>
      <c r="R269" s="129">
        <v>147.30000000000001</v>
      </c>
      <c r="S269" s="130">
        <v>0</v>
      </c>
      <c r="T269" s="131">
        <v>117</v>
      </c>
      <c r="U269" s="131">
        <v>287</v>
      </c>
      <c r="V269" s="132">
        <f t="shared" si="54"/>
        <v>404</v>
      </c>
      <c r="W269" s="133">
        <f t="shared" si="55"/>
        <v>2.7427019687712151</v>
      </c>
      <c r="X269" s="130">
        <v>1606</v>
      </c>
      <c r="Y269" s="131">
        <v>1668</v>
      </c>
      <c r="Z269" s="131">
        <v>1089</v>
      </c>
      <c r="AA269" s="132">
        <f t="shared" si="56"/>
        <v>4363</v>
      </c>
      <c r="AB269" s="133">
        <f t="shared" si="57"/>
        <v>29.619823489477255</v>
      </c>
      <c r="AC269" s="134">
        <f t="shared" si="58"/>
        <v>4767</v>
      </c>
      <c r="AD269" s="135">
        <f t="shared" si="59"/>
        <v>32.36252545824847</v>
      </c>
      <c r="AE269" s="136">
        <v>24</v>
      </c>
      <c r="AF269" s="137">
        <v>27</v>
      </c>
      <c r="AG269" s="137">
        <v>0</v>
      </c>
      <c r="AH269" s="138">
        <f t="shared" si="60"/>
        <v>51</v>
      </c>
      <c r="AI269" s="133">
        <f t="shared" si="61"/>
        <v>0.34623217922606919</v>
      </c>
    </row>
    <row r="270" spans="1:35">
      <c r="A270" s="171">
        <f>IF('09월 조업일지'!A266="","",'09월 조업일지'!A266)</f>
        <v>46274</v>
      </c>
      <c r="B270" s="172" t="str">
        <f>'09월 조업일지'!E266</f>
        <v>B</v>
      </c>
      <c r="C270" s="172" t="str">
        <f>'09월 조업일지'!F266</f>
        <v>A</v>
      </c>
      <c r="D270" s="172">
        <f>'09월 화학성분'!C267</f>
        <v>85469</v>
      </c>
      <c r="E270" s="205" t="str">
        <f t="shared" si="62"/>
        <v>SS400-05</v>
      </c>
      <c r="F270" s="121">
        <v>21</v>
      </c>
      <c r="G270" s="122">
        <v>23500</v>
      </c>
      <c r="H270" s="123">
        <v>18</v>
      </c>
      <c r="I270" s="122">
        <v>20300</v>
      </c>
      <c r="J270" s="123">
        <v>7</v>
      </c>
      <c r="K270" s="122">
        <v>8700</v>
      </c>
      <c r="L270" s="124">
        <f t="shared" si="63"/>
        <v>46</v>
      </c>
      <c r="M270" s="125">
        <f t="shared" si="63"/>
        <v>52500</v>
      </c>
      <c r="N270" s="126">
        <f t="shared" ref="N270:N333" si="64">IF(ISBLANK(G270),"",G270/R270)</f>
        <v>162.1808143547274</v>
      </c>
      <c r="O270" s="127">
        <f t="shared" ref="O270:O333" si="65">IF(ISBLANK(I270),"",+I270/R270)</f>
        <v>140.09661835748793</v>
      </c>
      <c r="P270" s="127">
        <f t="shared" ref="P270:P333" si="66">IF(ISBLANK(K270),"",K270/R270)</f>
        <v>60.041407867494819</v>
      </c>
      <c r="Q270" s="128">
        <f t="shared" ref="Q270:Q333" si="67">IF(ISBLANK(K270),"",SUM(N270:P270))</f>
        <v>362.31884057971013</v>
      </c>
      <c r="R270" s="129">
        <v>144.9</v>
      </c>
      <c r="S270" s="130">
        <v>0</v>
      </c>
      <c r="T270" s="131">
        <v>124</v>
      </c>
      <c r="U270" s="131">
        <v>167</v>
      </c>
      <c r="V270" s="132">
        <f t="shared" ref="V270:V333" si="68">IF(SUM(S270:U270)=0,"",SUM(S270:U270))</f>
        <v>291</v>
      </c>
      <c r="W270" s="133">
        <f t="shared" ref="W270:W333" si="69">IF(V270="","",V270/R270)</f>
        <v>2.0082815734989645</v>
      </c>
      <c r="X270" s="130">
        <v>1745</v>
      </c>
      <c r="Y270" s="131">
        <v>1598</v>
      </c>
      <c r="Z270" s="131">
        <v>750</v>
      </c>
      <c r="AA270" s="132">
        <f t="shared" ref="AA270:AA333" si="70">IF(SUM(X270:Z270)=0,"",SUM(X270:Z270))</f>
        <v>4093</v>
      </c>
      <c r="AB270" s="133">
        <f t="shared" ref="AB270:AB333" si="71">IF(AA270="","",AA270/R270)</f>
        <v>28.247066942719115</v>
      </c>
      <c r="AC270" s="134">
        <f t="shared" ref="AC270:AC333" si="72">IF(SUM(V270,AA270)=0,"",SUM(V270,AA270))</f>
        <v>4384</v>
      </c>
      <c r="AD270" s="135">
        <f t="shared" ref="AD270:AD333" si="73">IF(AC270="","",AC270/R270)</f>
        <v>30.255348516218081</v>
      </c>
      <c r="AE270" s="136">
        <v>28</v>
      </c>
      <c r="AF270" s="137">
        <v>22</v>
      </c>
      <c r="AG270" s="137">
        <v>0</v>
      </c>
      <c r="AH270" s="138">
        <f t="shared" ref="AH270:AH333" si="74">IF(SUM(AE270:AG270)=0,"",SUM(AE270:AG270))</f>
        <v>50</v>
      </c>
      <c r="AI270" s="133">
        <f t="shared" ref="AI270:AI333" si="75">IF(AH270="","",AH270/R270)</f>
        <v>0.34506556245686681</v>
      </c>
    </row>
    <row r="271" spans="1:35">
      <c r="A271" s="171">
        <f>IF('09월 조업일지'!A267="","",'09월 조업일지'!A267)</f>
        <v>46274</v>
      </c>
      <c r="B271" s="172" t="str">
        <f>'09월 조업일지'!E267</f>
        <v>B</v>
      </c>
      <c r="C271" s="172" t="str">
        <f>'09월 조업일지'!F267</f>
        <v>B</v>
      </c>
      <c r="D271" s="172">
        <f>'09월 화학성분'!C268</f>
        <v>85470</v>
      </c>
      <c r="E271" s="205" t="str">
        <f t="shared" ref="E271:E334" si="76">IF(F271="","",E270)</f>
        <v>SS400-05</v>
      </c>
      <c r="F271" s="121">
        <v>22</v>
      </c>
      <c r="G271" s="122">
        <v>25100</v>
      </c>
      <c r="H271" s="123">
        <v>17</v>
      </c>
      <c r="I271" s="122">
        <v>20500</v>
      </c>
      <c r="J271" s="123">
        <v>8</v>
      </c>
      <c r="K271" s="122">
        <v>10200</v>
      </c>
      <c r="L271" s="124">
        <f t="shared" si="63"/>
        <v>47</v>
      </c>
      <c r="M271" s="125">
        <f t="shared" si="63"/>
        <v>55800</v>
      </c>
      <c r="N271" s="126">
        <f t="shared" si="64"/>
        <v>169.93906567366284</v>
      </c>
      <c r="O271" s="127">
        <f t="shared" si="65"/>
        <v>138.79485443466487</v>
      </c>
      <c r="P271" s="127">
        <f t="shared" si="66"/>
        <v>69.058903182125931</v>
      </c>
      <c r="Q271" s="128">
        <f t="shared" si="67"/>
        <v>377.79282329045361</v>
      </c>
      <c r="R271" s="129">
        <v>147.69999999999999</v>
      </c>
      <c r="S271" s="130">
        <v>0</v>
      </c>
      <c r="T271" s="131">
        <v>109</v>
      </c>
      <c r="U271" s="131">
        <v>273</v>
      </c>
      <c r="V271" s="132">
        <f t="shared" si="68"/>
        <v>382</v>
      </c>
      <c r="W271" s="133">
        <f t="shared" si="69"/>
        <v>2.5863236289776577</v>
      </c>
      <c r="X271" s="130">
        <v>1857</v>
      </c>
      <c r="Y271" s="131">
        <v>1568</v>
      </c>
      <c r="Z271" s="131">
        <v>908</v>
      </c>
      <c r="AA271" s="132">
        <f t="shared" si="70"/>
        <v>4333</v>
      </c>
      <c r="AB271" s="133">
        <f t="shared" si="71"/>
        <v>29.336492890995263</v>
      </c>
      <c r="AC271" s="134">
        <f t="shared" si="72"/>
        <v>4715</v>
      </c>
      <c r="AD271" s="135">
        <f t="shared" si="73"/>
        <v>31.922816519972919</v>
      </c>
      <c r="AE271" s="136">
        <v>24</v>
      </c>
      <c r="AF271" s="137">
        <v>25</v>
      </c>
      <c r="AG271" s="137">
        <v>0</v>
      </c>
      <c r="AH271" s="138">
        <f t="shared" si="74"/>
        <v>49</v>
      </c>
      <c r="AI271" s="133">
        <f t="shared" si="75"/>
        <v>0.33175355450236971</v>
      </c>
    </row>
    <row r="272" spans="1:35">
      <c r="A272" s="171">
        <f>IF('09월 조업일지'!A268="","",'09월 조업일지'!A268)</f>
        <v>46274</v>
      </c>
      <c r="B272" s="172" t="str">
        <f>'09월 조업일지'!E268</f>
        <v>B</v>
      </c>
      <c r="C272" s="172" t="str">
        <f>'09월 조업일지'!F268</f>
        <v>A</v>
      </c>
      <c r="D272" s="172">
        <f>'09월 화학성분'!C269</f>
        <v>85471</v>
      </c>
      <c r="E272" s="205" t="str">
        <f t="shared" si="76"/>
        <v>SS400-05</v>
      </c>
      <c r="F272" s="121">
        <v>20</v>
      </c>
      <c r="G272" s="122">
        <v>23400</v>
      </c>
      <c r="H272" s="123">
        <v>20</v>
      </c>
      <c r="I272" s="122">
        <v>20500</v>
      </c>
      <c r="J272" s="123">
        <v>9</v>
      </c>
      <c r="K272" s="122">
        <v>11200</v>
      </c>
      <c r="L272" s="124">
        <f t="shared" si="63"/>
        <v>49</v>
      </c>
      <c r="M272" s="125">
        <f t="shared" si="63"/>
        <v>55100</v>
      </c>
      <c r="N272" s="126">
        <f t="shared" si="64"/>
        <v>158.32205683355886</v>
      </c>
      <c r="O272" s="127">
        <f t="shared" si="65"/>
        <v>138.70094722598105</v>
      </c>
      <c r="P272" s="127">
        <f t="shared" si="66"/>
        <v>75.778078484438424</v>
      </c>
      <c r="Q272" s="128">
        <f t="shared" si="67"/>
        <v>372.80108254397834</v>
      </c>
      <c r="R272" s="129">
        <v>147.80000000000001</v>
      </c>
      <c r="S272" s="130">
        <v>0</v>
      </c>
      <c r="T272" s="131">
        <v>189</v>
      </c>
      <c r="U272" s="131">
        <v>180</v>
      </c>
      <c r="V272" s="132">
        <f t="shared" si="68"/>
        <v>369</v>
      </c>
      <c r="W272" s="133">
        <f t="shared" si="69"/>
        <v>2.496617050067659</v>
      </c>
      <c r="X272" s="130">
        <v>1690</v>
      </c>
      <c r="Y272" s="131">
        <v>1722</v>
      </c>
      <c r="Z272" s="131">
        <v>1018</v>
      </c>
      <c r="AA272" s="132">
        <f t="shared" si="70"/>
        <v>4430</v>
      </c>
      <c r="AB272" s="133">
        <f t="shared" si="71"/>
        <v>29.972936400541268</v>
      </c>
      <c r="AC272" s="134">
        <f t="shared" si="72"/>
        <v>4799</v>
      </c>
      <c r="AD272" s="135">
        <f t="shared" si="73"/>
        <v>32.469553450608927</v>
      </c>
      <c r="AE272" s="136">
        <v>23</v>
      </c>
      <c r="AF272" s="137">
        <v>26</v>
      </c>
      <c r="AG272" s="137">
        <v>0</v>
      </c>
      <c r="AH272" s="138">
        <f t="shared" si="74"/>
        <v>49</v>
      </c>
      <c r="AI272" s="133">
        <f t="shared" si="75"/>
        <v>0.3315290933694181</v>
      </c>
    </row>
    <row r="273" spans="1:35">
      <c r="A273" s="171">
        <f>IF('09월 조업일지'!A269="","",'09월 조업일지'!A269)</f>
        <v>46274</v>
      </c>
      <c r="B273" s="172" t="str">
        <f>'09월 조업일지'!E269</f>
        <v>B</v>
      </c>
      <c r="C273" s="172" t="str">
        <f>'09월 조업일지'!F269</f>
        <v>B</v>
      </c>
      <c r="D273" s="172">
        <f>'09월 화학성분'!C270</f>
        <v>85472</v>
      </c>
      <c r="E273" s="205" t="str">
        <f t="shared" si="76"/>
        <v>SS400-05</v>
      </c>
      <c r="F273" s="121">
        <v>22</v>
      </c>
      <c r="G273" s="122">
        <v>23400</v>
      </c>
      <c r="H273" s="123">
        <v>18</v>
      </c>
      <c r="I273" s="122">
        <v>20600</v>
      </c>
      <c r="J273" s="123">
        <v>8</v>
      </c>
      <c r="K273" s="122">
        <v>11000</v>
      </c>
      <c r="L273" s="124">
        <f t="shared" si="63"/>
        <v>48</v>
      </c>
      <c r="M273" s="125">
        <f t="shared" si="63"/>
        <v>55000</v>
      </c>
      <c r="N273" s="126">
        <f t="shared" si="64"/>
        <v>159.50920245398774</v>
      </c>
      <c r="O273" s="127">
        <f t="shared" si="65"/>
        <v>140.42263122017724</v>
      </c>
      <c r="P273" s="127">
        <f t="shared" si="66"/>
        <v>74.982958418541244</v>
      </c>
      <c r="Q273" s="128">
        <f t="shared" si="67"/>
        <v>374.91479209270619</v>
      </c>
      <c r="R273" s="129">
        <v>146.69999999999999</v>
      </c>
      <c r="S273" s="130">
        <v>0</v>
      </c>
      <c r="T273" s="131">
        <v>202</v>
      </c>
      <c r="U273" s="131">
        <v>151</v>
      </c>
      <c r="V273" s="132">
        <f t="shared" si="68"/>
        <v>353</v>
      </c>
      <c r="W273" s="133">
        <f t="shared" si="69"/>
        <v>2.4062713019768238</v>
      </c>
      <c r="X273" s="130">
        <v>1742</v>
      </c>
      <c r="Y273" s="131">
        <v>1670</v>
      </c>
      <c r="Z273" s="131">
        <v>965</v>
      </c>
      <c r="AA273" s="132">
        <f t="shared" si="70"/>
        <v>4377</v>
      </c>
      <c r="AB273" s="133">
        <f t="shared" si="71"/>
        <v>29.836400817995912</v>
      </c>
      <c r="AC273" s="134">
        <f t="shared" si="72"/>
        <v>4730</v>
      </c>
      <c r="AD273" s="135">
        <f t="shared" si="73"/>
        <v>32.242672119972738</v>
      </c>
      <c r="AE273" s="136">
        <v>24</v>
      </c>
      <c r="AF273" s="137">
        <v>32</v>
      </c>
      <c r="AG273" s="137">
        <v>0</v>
      </c>
      <c r="AH273" s="138">
        <f t="shared" si="74"/>
        <v>56</v>
      </c>
      <c r="AI273" s="133">
        <f t="shared" si="75"/>
        <v>0.38173142467620996</v>
      </c>
    </row>
    <row r="274" spans="1:35">
      <c r="A274" s="171">
        <f>IF('09월 조업일지'!A270="","",'09월 조업일지'!A270)</f>
        <v>46274</v>
      </c>
      <c r="B274" s="172" t="str">
        <f>'09월 조업일지'!E270</f>
        <v>B</v>
      </c>
      <c r="C274" s="172" t="str">
        <f>'09월 조업일지'!F270</f>
        <v>A</v>
      </c>
      <c r="D274" s="172">
        <f>'09월 화학성분'!C271</f>
        <v>85473</v>
      </c>
      <c r="E274" s="205" t="str">
        <f t="shared" si="76"/>
        <v>SS400-05</v>
      </c>
      <c r="F274" s="121">
        <v>20</v>
      </c>
      <c r="G274" s="122">
        <v>23100</v>
      </c>
      <c r="H274" s="123">
        <v>17</v>
      </c>
      <c r="I274" s="122">
        <v>20600</v>
      </c>
      <c r="J274" s="123">
        <v>8</v>
      </c>
      <c r="K274" s="122">
        <v>10700</v>
      </c>
      <c r="L274" s="124">
        <f t="shared" si="63"/>
        <v>45</v>
      </c>
      <c r="M274" s="125">
        <f t="shared" si="63"/>
        <v>54400</v>
      </c>
      <c r="N274" s="126">
        <f t="shared" si="64"/>
        <v>156.92934782608697</v>
      </c>
      <c r="O274" s="127">
        <f t="shared" si="65"/>
        <v>139.94565217391306</v>
      </c>
      <c r="P274" s="127">
        <f t="shared" si="66"/>
        <v>72.690217391304358</v>
      </c>
      <c r="Q274" s="128">
        <f t="shared" si="67"/>
        <v>369.56521739130437</v>
      </c>
      <c r="R274" s="129">
        <v>147.19999999999999</v>
      </c>
      <c r="S274" s="130">
        <v>0</v>
      </c>
      <c r="T274" s="131">
        <v>212</v>
      </c>
      <c r="U274" s="131">
        <v>144</v>
      </c>
      <c r="V274" s="132">
        <f t="shared" si="68"/>
        <v>356</v>
      </c>
      <c r="W274" s="133">
        <f t="shared" si="69"/>
        <v>2.4184782608695654</v>
      </c>
      <c r="X274" s="130">
        <v>1662</v>
      </c>
      <c r="Y274" s="131">
        <v>1639</v>
      </c>
      <c r="Z274" s="131">
        <v>940</v>
      </c>
      <c r="AA274" s="132">
        <f t="shared" si="70"/>
        <v>4241</v>
      </c>
      <c r="AB274" s="133">
        <f t="shared" si="71"/>
        <v>28.811141304347828</v>
      </c>
      <c r="AC274" s="134">
        <f t="shared" si="72"/>
        <v>4597</v>
      </c>
      <c r="AD274" s="135">
        <f t="shared" si="73"/>
        <v>31.229619565217394</v>
      </c>
      <c r="AE274" s="136">
        <v>24</v>
      </c>
      <c r="AF274" s="137">
        <v>21</v>
      </c>
      <c r="AG274" s="137">
        <v>0</v>
      </c>
      <c r="AH274" s="138">
        <f t="shared" si="74"/>
        <v>45</v>
      </c>
      <c r="AI274" s="133">
        <f t="shared" si="75"/>
        <v>0.30570652173913043</v>
      </c>
    </row>
    <row r="275" spans="1:35">
      <c r="A275" s="171">
        <f>IF('09월 조업일지'!A271="","",'09월 조업일지'!A271)</f>
        <v>46274</v>
      </c>
      <c r="B275" s="172" t="str">
        <f>'09월 조업일지'!E271</f>
        <v>B</v>
      </c>
      <c r="C275" s="172" t="str">
        <f>'09월 조업일지'!F271</f>
        <v>B</v>
      </c>
      <c r="D275" s="172">
        <v>11884</v>
      </c>
      <c r="E275" s="205" t="str">
        <f t="shared" si="76"/>
        <v>SS400-05</v>
      </c>
      <c r="F275" s="121">
        <v>20</v>
      </c>
      <c r="G275" s="122">
        <v>23300</v>
      </c>
      <c r="H275" s="123">
        <v>18</v>
      </c>
      <c r="I275" s="122">
        <v>20300</v>
      </c>
      <c r="J275" s="123">
        <v>7</v>
      </c>
      <c r="K275" s="122">
        <v>9100</v>
      </c>
      <c r="L275" s="124">
        <f t="shared" si="63"/>
        <v>45</v>
      </c>
      <c r="M275" s="125">
        <f t="shared" si="63"/>
        <v>52700</v>
      </c>
      <c r="N275" s="126">
        <f t="shared" si="64"/>
        <v>159.37072503419975</v>
      </c>
      <c r="O275" s="127">
        <f t="shared" si="65"/>
        <v>138.85088919288646</v>
      </c>
      <c r="P275" s="127">
        <f t="shared" si="66"/>
        <v>62.24350205198359</v>
      </c>
      <c r="Q275" s="128">
        <f t="shared" si="67"/>
        <v>360.46511627906978</v>
      </c>
      <c r="R275" s="129">
        <v>146.19999999999999</v>
      </c>
      <c r="S275" s="130">
        <v>0</v>
      </c>
      <c r="T275" s="131">
        <v>207</v>
      </c>
      <c r="U275" s="131">
        <v>146</v>
      </c>
      <c r="V275" s="132">
        <f t="shared" si="68"/>
        <v>353</v>
      </c>
      <c r="W275" s="133">
        <f t="shared" si="69"/>
        <v>2.4145006839945284</v>
      </c>
      <c r="X275" s="130">
        <v>1651</v>
      </c>
      <c r="Y275" s="131">
        <v>1620</v>
      </c>
      <c r="Z275" s="131">
        <v>835</v>
      </c>
      <c r="AA275" s="132">
        <f t="shared" si="70"/>
        <v>4106</v>
      </c>
      <c r="AB275" s="133">
        <f t="shared" si="71"/>
        <v>28.084815321477432</v>
      </c>
      <c r="AC275" s="134">
        <f t="shared" si="72"/>
        <v>4459</v>
      </c>
      <c r="AD275" s="135">
        <f t="shared" si="73"/>
        <v>30.499316005471957</v>
      </c>
      <c r="AE275" s="136">
        <v>24</v>
      </c>
      <c r="AF275" s="137">
        <v>30</v>
      </c>
      <c r="AG275" s="137">
        <v>0</v>
      </c>
      <c r="AH275" s="138">
        <f t="shared" si="74"/>
        <v>54</v>
      </c>
      <c r="AI275" s="133">
        <f t="shared" si="75"/>
        <v>0.36935704514363887</v>
      </c>
    </row>
    <row r="276" spans="1:35">
      <c r="A276" s="171">
        <f>IF('09월 조업일지'!A272="","",'09월 조업일지'!A272)</f>
        <v>46275</v>
      </c>
      <c r="B276" s="172" t="str">
        <f>'09월 조업일지'!E272</f>
        <v>B</v>
      </c>
      <c r="C276" s="172" t="str">
        <f>'09월 조업일지'!F272</f>
        <v>A</v>
      </c>
      <c r="D276" s="172">
        <f>'09월 화학성분'!C273</f>
        <v>85475</v>
      </c>
      <c r="E276" s="205" t="str">
        <f t="shared" si="76"/>
        <v>SS400-05</v>
      </c>
      <c r="F276" s="121">
        <v>20</v>
      </c>
      <c r="G276" s="122">
        <v>23500</v>
      </c>
      <c r="H276" s="123">
        <v>18</v>
      </c>
      <c r="I276" s="122">
        <v>20800</v>
      </c>
      <c r="J276" s="123">
        <v>7</v>
      </c>
      <c r="K276" s="122">
        <v>9300</v>
      </c>
      <c r="L276" s="124">
        <f t="shared" si="63"/>
        <v>45</v>
      </c>
      <c r="M276" s="125">
        <f t="shared" si="63"/>
        <v>53600</v>
      </c>
      <c r="N276" s="126">
        <f t="shared" si="64"/>
        <v>158.24915824915826</v>
      </c>
      <c r="O276" s="127">
        <f t="shared" si="65"/>
        <v>140.06734006734007</v>
      </c>
      <c r="P276" s="127">
        <f t="shared" si="66"/>
        <v>62.626262626262623</v>
      </c>
      <c r="Q276" s="128">
        <f t="shared" si="67"/>
        <v>360.94276094276097</v>
      </c>
      <c r="R276" s="129">
        <v>148.5</v>
      </c>
      <c r="S276" s="130">
        <v>0</v>
      </c>
      <c r="T276" s="131">
        <v>212</v>
      </c>
      <c r="U276" s="131">
        <v>145</v>
      </c>
      <c r="V276" s="132">
        <f t="shared" si="68"/>
        <v>357</v>
      </c>
      <c r="W276" s="133">
        <f t="shared" si="69"/>
        <v>2.404040404040404</v>
      </c>
      <c r="X276" s="130">
        <v>1695</v>
      </c>
      <c r="Y276" s="131">
        <v>1633</v>
      </c>
      <c r="Z276" s="131">
        <v>804</v>
      </c>
      <c r="AA276" s="132">
        <f t="shared" si="70"/>
        <v>4132</v>
      </c>
      <c r="AB276" s="133">
        <f t="shared" si="71"/>
        <v>27.824915824915823</v>
      </c>
      <c r="AC276" s="134">
        <f t="shared" si="72"/>
        <v>4489</v>
      </c>
      <c r="AD276" s="135">
        <f t="shared" si="73"/>
        <v>30.228956228956228</v>
      </c>
      <c r="AE276" s="136">
        <v>26</v>
      </c>
      <c r="AF276" s="137">
        <v>24</v>
      </c>
      <c r="AG276" s="137">
        <v>0</v>
      </c>
      <c r="AH276" s="138">
        <f t="shared" si="74"/>
        <v>50</v>
      </c>
      <c r="AI276" s="133">
        <f t="shared" si="75"/>
        <v>0.33670033670033672</v>
      </c>
    </row>
    <row r="277" spans="1:35">
      <c r="A277" s="171">
        <f>IF('09월 조업일지'!A273="","",'09월 조업일지'!A273)</f>
        <v>46275</v>
      </c>
      <c r="B277" s="172" t="str">
        <f>'09월 조업일지'!E273</f>
        <v>B</v>
      </c>
      <c r="C277" s="172" t="str">
        <f>'09월 조업일지'!F273</f>
        <v>B</v>
      </c>
      <c r="D277" s="172">
        <f>'09월 화학성분'!C274</f>
        <v>85476</v>
      </c>
      <c r="E277" s="205" t="str">
        <f t="shared" si="76"/>
        <v>SS400-05</v>
      </c>
      <c r="F277" s="121">
        <v>21</v>
      </c>
      <c r="G277" s="122">
        <v>23400</v>
      </c>
      <c r="H277" s="123">
        <v>19</v>
      </c>
      <c r="I277" s="122">
        <v>20500</v>
      </c>
      <c r="J277" s="123">
        <v>9</v>
      </c>
      <c r="K277" s="122">
        <v>11300</v>
      </c>
      <c r="L277" s="124">
        <f t="shared" si="63"/>
        <v>49</v>
      </c>
      <c r="M277" s="125">
        <f t="shared" si="63"/>
        <v>55200</v>
      </c>
      <c r="N277" s="126">
        <f t="shared" si="64"/>
        <v>158.53658536585365</v>
      </c>
      <c r="O277" s="127">
        <f t="shared" si="65"/>
        <v>138.88888888888889</v>
      </c>
      <c r="P277" s="127">
        <f t="shared" si="66"/>
        <v>76.558265582655835</v>
      </c>
      <c r="Q277" s="128">
        <f t="shared" si="67"/>
        <v>373.98373983739839</v>
      </c>
      <c r="R277" s="129">
        <v>147.6</v>
      </c>
      <c r="S277" s="130">
        <v>0</v>
      </c>
      <c r="T277" s="131">
        <v>194</v>
      </c>
      <c r="U277" s="131">
        <v>183</v>
      </c>
      <c r="V277" s="132">
        <f t="shared" si="68"/>
        <v>377</v>
      </c>
      <c r="W277" s="133">
        <f t="shared" si="69"/>
        <v>2.5542005420054203</v>
      </c>
      <c r="X277" s="130">
        <v>1728</v>
      </c>
      <c r="Y277" s="131">
        <v>1740</v>
      </c>
      <c r="Z277" s="131">
        <v>967</v>
      </c>
      <c r="AA277" s="132">
        <f t="shared" si="70"/>
        <v>4435</v>
      </c>
      <c r="AB277" s="133">
        <f t="shared" si="71"/>
        <v>30.047425474254744</v>
      </c>
      <c r="AC277" s="134">
        <f t="shared" si="72"/>
        <v>4812</v>
      </c>
      <c r="AD277" s="135">
        <f t="shared" si="73"/>
        <v>32.601626016260163</v>
      </c>
      <c r="AE277" s="136">
        <v>26</v>
      </c>
      <c r="AF277" s="137">
        <v>32</v>
      </c>
      <c r="AG277" s="137">
        <v>0</v>
      </c>
      <c r="AH277" s="138">
        <f t="shared" si="74"/>
        <v>58</v>
      </c>
      <c r="AI277" s="133">
        <f t="shared" si="75"/>
        <v>0.39295392953929542</v>
      </c>
    </row>
    <row r="278" spans="1:35">
      <c r="A278" s="171">
        <f>IF('09월 조업일지'!A274="","",'09월 조업일지'!A274)</f>
        <v>46275</v>
      </c>
      <c r="B278" s="172" t="str">
        <f>'09월 조업일지'!E274</f>
        <v>B</v>
      </c>
      <c r="C278" s="172" t="str">
        <f>'09월 조업일지'!F274</f>
        <v>A</v>
      </c>
      <c r="D278" s="172">
        <f>'09월 화학성분'!C275</f>
        <v>85477</v>
      </c>
      <c r="E278" s="205" t="str">
        <f t="shared" si="76"/>
        <v>SS400-05</v>
      </c>
      <c r="F278" s="121">
        <v>21</v>
      </c>
      <c r="G278" s="122">
        <v>23000</v>
      </c>
      <c r="H278" s="123">
        <v>16</v>
      </c>
      <c r="I278" s="122">
        <v>20600</v>
      </c>
      <c r="J278" s="123">
        <v>8</v>
      </c>
      <c r="K278" s="122">
        <v>10300</v>
      </c>
      <c r="L278" s="124">
        <f t="shared" si="63"/>
        <v>45</v>
      </c>
      <c r="M278" s="125">
        <f t="shared" si="63"/>
        <v>53900</v>
      </c>
      <c r="N278" s="126">
        <f t="shared" si="64"/>
        <v>154.36241610738256</v>
      </c>
      <c r="O278" s="127">
        <f t="shared" si="65"/>
        <v>138.25503355704697</v>
      </c>
      <c r="P278" s="127">
        <f t="shared" si="66"/>
        <v>69.127516778523486</v>
      </c>
      <c r="Q278" s="128">
        <f t="shared" si="67"/>
        <v>361.744966442953</v>
      </c>
      <c r="R278" s="129">
        <v>149</v>
      </c>
      <c r="S278" s="130">
        <v>0</v>
      </c>
      <c r="T278" s="131">
        <v>193</v>
      </c>
      <c r="U278" s="131">
        <v>155</v>
      </c>
      <c r="V278" s="132">
        <f t="shared" si="68"/>
        <v>348</v>
      </c>
      <c r="W278" s="133">
        <f t="shared" si="69"/>
        <v>2.3355704697986579</v>
      </c>
      <c r="X278" s="130">
        <v>1694</v>
      </c>
      <c r="Y278" s="131">
        <v>1574</v>
      </c>
      <c r="Z278" s="131">
        <v>824</v>
      </c>
      <c r="AA278" s="132">
        <f t="shared" si="70"/>
        <v>4092</v>
      </c>
      <c r="AB278" s="133">
        <f t="shared" si="71"/>
        <v>27.463087248322147</v>
      </c>
      <c r="AC278" s="134">
        <f t="shared" si="72"/>
        <v>4440</v>
      </c>
      <c r="AD278" s="135">
        <f t="shared" si="73"/>
        <v>29.798657718120804</v>
      </c>
      <c r="AE278" s="136">
        <v>25</v>
      </c>
      <c r="AF278" s="137">
        <v>20</v>
      </c>
      <c r="AG278" s="137">
        <v>0</v>
      </c>
      <c r="AH278" s="138">
        <f t="shared" si="74"/>
        <v>45</v>
      </c>
      <c r="AI278" s="133">
        <f t="shared" si="75"/>
        <v>0.30201342281879195</v>
      </c>
    </row>
    <row r="279" spans="1:35">
      <c r="A279" s="171">
        <f>IF('09월 조업일지'!A275="","",'09월 조업일지'!A275)</f>
        <v>46275</v>
      </c>
      <c r="B279" s="172" t="str">
        <f>'09월 조업일지'!E275</f>
        <v>C</v>
      </c>
      <c r="C279" s="172" t="str">
        <f>'09월 조업일지'!F275</f>
        <v>B</v>
      </c>
      <c r="D279" s="172">
        <f>'09월 화학성분'!C276</f>
        <v>85478</v>
      </c>
      <c r="E279" s="205" t="str">
        <f t="shared" si="76"/>
        <v>SS400-05</v>
      </c>
      <c r="F279" s="121">
        <v>20</v>
      </c>
      <c r="G279" s="122">
        <v>23200</v>
      </c>
      <c r="H279" s="123">
        <v>18</v>
      </c>
      <c r="I279" s="122">
        <v>20600</v>
      </c>
      <c r="J279" s="123">
        <v>7</v>
      </c>
      <c r="K279" s="122">
        <v>8900</v>
      </c>
      <c r="L279" s="124">
        <f t="shared" si="63"/>
        <v>45</v>
      </c>
      <c r="M279" s="125">
        <f t="shared" si="63"/>
        <v>52700</v>
      </c>
      <c r="N279" s="126">
        <f t="shared" si="64"/>
        <v>158.9041095890411</v>
      </c>
      <c r="O279" s="127">
        <f t="shared" si="65"/>
        <v>141.0958904109589</v>
      </c>
      <c r="P279" s="127">
        <f t="shared" si="66"/>
        <v>60.958904109589042</v>
      </c>
      <c r="Q279" s="128">
        <f t="shared" si="67"/>
        <v>360.95890410958907</v>
      </c>
      <c r="R279" s="129">
        <v>146</v>
      </c>
      <c r="S279" s="130">
        <v>0</v>
      </c>
      <c r="T279" s="131">
        <v>195</v>
      </c>
      <c r="U279" s="131">
        <v>157</v>
      </c>
      <c r="V279" s="132">
        <f t="shared" si="68"/>
        <v>352</v>
      </c>
      <c r="W279" s="133">
        <f t="shared" si="69"/>
        <v>2.4109589041095889</v>
      </c>
      <c r="X279" s="130">
        <v>1672</v>
      </c>
      <c r="Y279" s="131">
        <v>1636</v>
      </c>
      <c r="Z279" s="131">
        <v>768</v>
      </c>
      <c r="AA279" s="132">
        <f t="shared" si="70"/>
        <v>4076</v>
      </c>
      <c r="AB279" s="133">
        <f t="shared" si="71"/>
        <v>27.917808219178081</v>
      </c>
      <c r="AC279" s="134">
        <f t="shared" si="72"/>
        <v>4428</v>
      </c>
      <c r="AD279" s="135">
        <f t="shared" si="73"/>
        <v>30.328767123287673</v>
      </c>
      <c r="AE279" s="136">
        <v>24</v>
      </c>
      <c r="AF279" s="137">
        <v>31</v>
      </c>
      <c r="AG279" s="137">
        <v>0</v>
      </c>
      <c r="AH279" s="138">
        <f t="shared" si="74"/>
        <v>55</v>
      </c>
      <c r="AI279" s="133">
        <f t="shared" si="75"/>
        <v>0.37671232876712329</v>
      </c>
    </row>
    <row r="280" spans="1:35">
      <c r="A280" s="171">
        <f>IF('09월 조업일지'!A276="","",'09월 조업일지'!A276)</f>
        <v>46275</v>
      </c>
      <c r="B280" s="172" t="str">
        <f>'09월 조업일지'!E276</f>
        <v>C</v>
      </c>
      <c r="C280" s="172" t="str">
        <f>'09월 조업일지'!F276</f>
        <v>A</v>
      </c>
      <c r="D280" s="172">
        <f>'09월 화학성분'!C277</f>
        <v>85479</v>
      </c>
      <c r="E280" s="205" t="str">
        <f t="shared" si="76"/>
        <v>SS400-05</v>
      </c>
      <c r="F280" s="121">
        <v>20</v>
      </c>
      <c r="G280" s="122">
        <v>23600</v>
      </c>
      <c r="H280" s="123">
        <v>18</v>
      </c>
      <c r="I280" s="122">
        <v>20800</v>
      </c>
      <c r="J280" s="123">
        <v>7</v>
      </c>
      <c r="K280" s="122">
        <v>8600</v>
      </c>
      <c r="L280" s="124">
        <f t="shared" si="63"/>
        <v>45</v>
      </c>
      <c r="M280" s="125">
        <f t="shared" si="63"/>
        <v>53000</v>
      </c>
      <c r="N280" s="126">
        <f t="shared" si="64"/>
        <v>161.42270861833106</v>
      </c>
      <c r="O280" s="127">
        <f t="shared" si="65"/>
        <v>142.27086183310536</v>
      </c>
      <c r="P280" s="127">
        <f t="shared" si="66"/>
        <v>58.82352941176471</v>
      </c>
      <c r="Q280" s="128">
        <f t="shared" si="67"/>
        <v>362.51709986320111</v>
      </c>
      <c r="R280" s="129">
        <v>146.19999999999999</v>
      </c>
      <c r="S280" s="130">
        <v>0</v>
      </c>
      <c r="T280" s="131">
        <v>194</v>
      </c>
      <c r="U280" s="131">
        <v>165</v>
      </c>
      <c r="V280" s="132">
        <f t="shared" si="68"/>
        <v>359</v>
      </c>
      <c r="W280" s="133">
        <f t="shared" si="69"/>
        <v>2.4555403556771549</v>
      </c>
      <c r="X280" s="130">
        <v>1675</v>
      </c>
      <c r="Y280" s="131">
        <v>1643</v>
      </c>
      <c r="Z280" s="131">
        <v>723</v>
      </c>
      <c r="AA280" s="132">
        <f t="shared" si="70"/>
        <v>4041</v>
      </c>
      <c r="AB280" s="133">
        <f t="shared" si="71"/>
        <v>27.640218878248977</v>
      </c>
      <c r="AC280" s="134">
        <f t="shared" si="72"/>
        <v>4400</v>
      </c>
      <c r="AD280" s="135">
        <f t="shared" si="73"/>
        <v>30.095759233926131</v>
      </c>
      <c r="AE280" s="136">
        <v>26</v>
      </c>
      <c r="AF280" s="137">
        <v>25</v>
      </c>
      <c r="AG280" s="137">
        <v>0</v>
      </c>
      <c r="AH280" s="138">
        <f t="shared" si="74"/>
        <v>51</v>
      </c>
      <c r="AI280" s="133">
        <f t="shared" si="75"/>
        <v>0.34883720930232559</v>
      </c>
    </row>
    <row r="281" spans="1:35">
      <c r="A281" s="171">
        <f>IF('09월 조업일지'!A277="","",'09월 조업일지'!A277)</f>
        <v>46275</v>
      </c>
      <c r="B281" s="172" t="str">
        <f>'09월 조업일지'!E277</f>
        <v>C</v>
      </c>
      <c r="C281" s="172" t="str">
        <f>'09월 조업일지'!F277</f>
        <v>B</v>
      </c>
      <c r="D281" s="172">
        <f>'09월 화학성분'!C278</f>
        <v>85480</v>
      </c>
      <c r="E281" s="205" t="str">
        <f t="shared" si="76"/>
        <v>SS400-05</v>
      </c>
      <c r="F281" s="121">
        <v>19</v>
      </c>
      <c r="G281" s="122">
        <v>23400</v>
      </c>
      <c r="H281" s="123">
        <v>16</v>
      </c>
      <c r="I281" s="122">
        <v>20500</v>
      </c>
      <c r="J281" s="123">
        <v>9</v>
      </c>
      <c r="K281" s="122">
        <v>10600</v>
      </c>
      <c r="L281" s="124">
        <f t="shared" ref="L281:M344" si="77">IF(ISBLANK(F281),"",SUM(F281,H281,J281))</f>
        <v>44</v>
      </c>
      <c r="M281" s="125">
        <f t="shared" si="77"/>
        <v>54500</v>
      </c>
      <c r="N281" s="126">
        <f t="shared" si="64"/>
        <v>160.82474226804123</v>
      </c>
      <c r="O281" s="127">
        <f t="shared" si="65"/>
        <v>140.89347079037802</v>
      </c>
      <c r="P281" s="127">
        <f t="shared" si="66"/>
        <v>72.852233676975942</v>
      </c>
      <c r="Q281" s="128">
        <f t="shared" si="67"/>
        <v>374.57044673539519</v>
      </c>
      <c r="R281" s="129">
        <v>145.5</v>
      </c>
      <c r="S281" s="130">
        <v>0</v>
      </c>
      <c r="T281" s="131">
        <v>197</v>
      </c>
      <c r="U281" s="131">
        <v>159</v>
      </c>
      <c r="V281" s="132">
        <f t="shared" si="68"/>
        <v>356</v>
      </c>
      <c r="W281" s="133">
        <f t="shared" si="69"/>
        <v>2.4467353951890036</v>
      </c>
      <c r="X281" s="130">
        <v>1635</v>
      </c>
      <c r="Y281" s="131">
        <v>1615</v>
      </c>
      <c r="Z281" s="131">
        <v>897</v>
      </c>
      <c r="AA281" s="132">
        <f t="shared" si="70"/>
        <v>4147</v>
      </c>
      <c r="AB281" s="133">
        <f t="shared" si="71"/>
        <v>28.501718213058421</v>
      </c>
      <c r="AC281" s="134">
        <f t="shared" si="72"/>
        <v>4503</v>
      </c>
      <c r="AD281" s="135">
        <f t="shared" si="73"/>
        <v>30.948453608247423</v>
      </c>
      <c r="AE281" s="136">
        <v>21</v>
      </c>
      <c r="AF281" s="137">
        <v>29</v>
      </c>
      <c r="AG281" s="137">
        <v>0</v>
      </c>
      <c r="AH281" s="138">
        <f t="shared" si="74"/>
        <v>50</v>
      </c>
      <c r="AI281" s="133">
        <f t="shared" si="75"/>
        <v>0.3436426116838488</v>
      </c>
    </row>
    <row r="282" spans="1:35">
      <c r="A282" s="171">
        <f>IF('09월 조업일지'!A278="","",'09월 조업일지'!A278)</f>
        <v>46275</v>
      </c>
      <c r="B282" s="172" t="str">
        <f>'09월 조업일지'!E278</f>
        <v>C</v>
      </c>
      <c r="C282" s="172" t="str">
        <f>'09월 조업일지'!F278</f>
        <v>A</v>
      </c>
      <c r="D282" s="172">
        <f>'09월 화학성분'!C279</f>
        <v>85481</v>
      </c>
      <c r="E282" s="205" t="str">
        <f t="shared" si="76"/>
        <v>SS400-05</v>
      </c>
      <c r="F282" s="121">
        <v>20</v>
      </c>
      <c r="G282" s="122">
        <v>23200</v>
      </c>
      <c r="H282" s="123">
        <v>19</v>
      </c>
      <c r="I282" s="122">
        <v>20500</v>
      </c>
      <c r="J282" s="123">
        <v>9</v>
      </c>
      <c r="K282" s="122">
        <v>11300</v>
      </c>
      <c r="L282" s="124">
        <f t="shared" si="77"/>
        <v>48</v>
      </c>
      <c r="M282" s="125">
        <f t="shared" si="77"/>
        <v>55000</v>
      </c>
      <c r="N282" s="126">
        <f t="shared" si="64"/>
        <v>158.57826384142172</v>
      </c>
      <c r="O282" s="127">
        <f t="shared" si="65"/>
        <v>140.12303485987695</v>
      </c>
      <c r="P282" s="127">
        <f t="shared" si="66"/>
        <v>77.238550922761448</v>
      </c>
      <c r="Q282" s="128">
        <f t="shared" si="67"/>
        <v>375.93984962406012</v>
      </c>
      <c r="R282" s="129">
        <v>146.30000000000001</v>
      </c>
      <c r="S282" s="130">
        <v>0</v>
      </c>
      <c r="T282" s="131">
        <v>163</v>
      </c>
      <c r="U282" s="131">
        <v>164</v>
      </c>
      <c r="V282" s="132">
        <f t="shared" si="68"/>
        <v>327</v>
      </c>
      <c r="W282" s="133">
        <f t="shared" si="69"/>
        <v>2.2351332877648664</v>
      </c>
      <c r="X282" s="130">
        <v>1772</v>
      </c>
      <c r="Y282" s="131">
        <v>1629</v>
      </c>
      <c r="Z282" s="131">
        <v>835</v>
      </c>
      <c r="AA282" s="132">
        <f t="shared" si="70"/>
        <v>4236</v>
      </c>
      <c r="AB282" s="133">
        <f t="shared" si="71"/>
        <v>28.954203691045794</v>
      </c>
      <c r="AC282" s="134">
        <f t="shared" si="72"/>
        <v>4563</v>
      </c>
      <c r="AD282" s="135">
        <f t="shared" si="73"/>
        <v>31.189336978810662</v>
      </c>
      <c r="AE282" s="136">
        <v>25</v>
      </c>
      <c r="AF282" s="137">
        <v>25</v>
      </c>
      <c r="AG282" s="137">
        <v>0</v>
      </c>
      <c r="AH282" s="138">
        <f t="shared" si="74"/>
        <v>50</v>
      </c>
      <c r="AI282" s="133">
        <f t="shared" si="75"/>
        <v>0.34176349965823649</v>
      </c>
    </row>
    <row r="283" spans="1:35">
      <c r="A283" s="171">
        <f>IF('09월 조업일지'!A279="","",'09월 조업일지'!A279)</f>
        <v>46275</v>
      </c>
      <c r="B283" s="172" t="str">
        <f>'09월 조업일지'!E279</f>
        <v>C</v>
      </c>
      <c r="C283" s="172" t="str">
        <f>'09월 조업일지'!F279</f>
        <v>A</v>
      </c>
      <c r="D283" s="172">
        <f>'09월 화학성분'!C280</f>
        <v>85482</v>
      </c>
      <c r="E283" s="205" t="str">
        <f t="shared" si="76"/>
        <v>SS400-05</v>
      </c>
      <c r="F283" s="121">
        <v>19</v>
      </c>
      <c r="G283" s="122">
        <v>23100</v>
      </c>
      <c r="H283" s="123">
        <v>16</v>
      </c>
      <c r="I283" s="122">
        <v>20700</v>
      </c>
      <c r="J283" s="123">
        <v>8</v>
      </c>
      <c r="K283" s="122">
        <v>9900</v>
      </c>
      <c r="L283" s="124">
        <f t="shared" si="77"/>
        <v>43</v>
      </c>
      <c r="M283" s="125">
        <f t="shared" si="77"/>
        <v>53700</v>
      </c>
      <c r="N283" s="126">
        <f t="shared" si="64"/>
        <v>157.4642126789366</v>
      </c>
      <c r="O283" s="127">
        <f t="shared" si="65"/>
        <v>141.10429447852761</v>
      </c>
      <c r="P283" s="127">
        <f t="shared" si="66"/>
        <v>67.484662576687128</v>
      </c>
      <c r="Q283" s="128">
        <f t="shared" si="67"/>
        <v>366.05316973415131</v>
      </c>
      <c r="R283" s="129">
        <v>146.69999999999999</v>
      </c>
      <c r="S283" s="130">
        <v>0</v>
      </c>
      <c r="T283" s="131">
        <v>150</v>
      </c>
      <c r="U283" s="131">
        <v>190</v>
      </c>
      <c r="V283" s="132">
        <f t="shared" si="68"/>
        <v>340</v>
      </c>
      <c r="W283" s="133">
        <f t="shared" si="69"/>
        <v>2.317655078391275</v>
      </c>
      <c r="X283" s="130">
        <v>1647</v>
      </c>
      <c r="Y283" s="131">
        <v>1583</v>
      </c>
      <c r="Z283" s="131">
        <v>857</v>
      </c>
      <c r="AA283" s="132">
        <f t="shared" si="70"/>
        <v>4087</v>
      </c>
      <c r="AB283" s="133">
        <f t="shared" si="71"/>
        <v>27.859577368779824</v>
      </c>
      <c r="AC283" s="134">
        <f t="shared" si="72"/>
        <v>4427</v>
      </c>
      <c r="AD283" s="135">
        <f t="shared" si="73"/>
        <v>30.1772324471711</v>
      </c>
      <c r="AE283" s="136">
        <v>22</v>
      </c>
      <c r="AF283" s="137">
        <v>27</v>
      </c>
      <c r="AG283" s="137">
        <v>0</v>
      </c>
      <c r="AH283" s="138">
        <f t="shared" si="74"/>
        <v>49</v>
      </c>
      <c r="AI283" s="133">
        <f t="shared" si="75"/>
        <v>0.33401499659168371</v>
      </c>
    </row>
    <row r="284" spans="1:35">
      <c r="A284" s="171">
        <f>IF('09월 조업일지'!A280="","",'09월 조업일지'!A280)</f>
        <v>46275</v>
      </c>
      <c r="B284" s="172" t="str">
        <f>'09월 조업일지'!E280</f>
        <v>D</v>
      </c>
      <c r="C284" s="172" t="str">
        <f>'09월 조업일지'!F280</f>
        <v>A</v>
      </c>
      <c r="D284" s="172">
        <f>'09월 화학성분'!C281</f>
        <v>85483</v>
      </c>
      <c r="E284" s="205" t="str">
        <f t="shared" si="76"/>
        <v>SS400-05</v>
      </c>
      <c r="F284" s="121">
        <v>21</v>
      </c>
      <c r="G284" s="122">
        <v>23200</v>
      </c>
      <c r="H284" s="123">
        <v>18</v>
      </c>
      <c r="I284" s="122">
        <v>20600</v>
      </c>
      <c r="J284" s="123">
        <v>9</v>
      </c>
      <c r="K284" s="122">
        <v>11800</v>
      </c>
      <c r="L284" s="124">
        <f t="shared" si="77"/>
        <v>48</v>
      </c>
      <c r="M284" s="125">
        <f t="shared" si="77"/>
        <v>55600</v>
      </c>
      <c r="N284" s="126">
        <f t="shared" si="64"/>
        <v>157.07515233581586</v>
      </c>
      <c r="O284" s="127">
        <f t="shared" si="65"/>
        <v>139.47190250507788</v>
      </c>
      <c r="P284" s="127">
        <f t="shared" si="66"/>
        <v>79.891672308733931</v>
      </c>
      <c r="Q284" s="128">
        <f t="shared" si="67"/>
        <v>376.43872714962765</v>
      </c>
      <c r="R284" s="129">
        <v>147.69999999999999</v>
      </c>
      <c r="S284" s="130">
        <v>0</v>
      </c>
      <c r="T284" s="131">
        <v>23</v>
      </c>
      <c r="U284" s="131">
        <v>319</v>
      </c>
      <c r="V284" s="132">
        <f t="shared" si="68"/>
        <v>342</v>
      </c>
      <c r="W284" s="133">
        <f t="shared" si="69"/>
        <v>2.3155044008124577</v>
      </c>
      <c r="X284" s="130">
        <v>1766</v>
      </c>
      <c r="Y284" s="131">
        <v>1583</v>
      </c>
      <c r="Z284" s="131">
        <v>966</v>
      </c>
      <c r="AA284" s="132">
        <f t="shared" si="70"/>
        <v>4315</v>
      </c>
      <c r="AB284" s="133">
        <f t="shared" si="71"/>
        <v>29.214624238320923</v>
      </c>
      <c r="AC284" s="134">
        <f t="shared" si="72"/>
        <v>4657</v>
      </c>
      <c r="AD284" s="135">
        <f t="shared" si="73"/>
        <v>31.53012863913338</v>
      </c>
      <c r="AE284" s="136">
        <v>26</v>
      </c>
      <c r="AF284" s="137">
        <v>25</v>
      </c>
      <c r="AG284" s="137">
        <v>0</v>
      </c>
      <c r="AH284" s="138">
        <f t="shared" si="74"/>
        <v>51</v>
      </c>
      <c r="AI284" s="133">
        <f t="shared" si="75"/>
        <v>0.34529451591062971</v>
      </c>
    </row>
    <row r="285" spans="1:35">
      <c r="A285" s="171">
        <f>IF('09월 조업일지'!A281="","",'09월 조업일지'!A281)</f>
        <v>46275</v>
      </c>
      <c r="B285" s="172" t="str">
        <f>'09월 조업일지'!E281</f>
        <v>D</v>
      </c>
      <c r="C285" s="172" t="str">
        <f>'09월 조업일지'!F281</f>
        <v>A</v>
      </c>
      <c r="D285" s="172">
        <f>'09월 화학성분'!C282</f>
        <v>85484</v>
      </c>
      <c r="E285" s="205" t="str">
        <f t="shared" si="76"/>
        <v>SS400-05</v>
      </c>
      <c r="F285" s="121">
        <v>21</v>
      </c>
      <c r="G285" s="122">
        <v>23700</v>
      </c>
      <c r="H285" s="123">
        <v>18</v>
      </c>
      <c r="I285" s="122">
        <v>20400</v>
      </c>
      <c r="J285" s="123">
        <v>6</v>
      </c>
      <c r="K285" s="122">
        <v>7700</v>
      </c>
      <c r="L285" s="124">
        <f t="shared" si="77"/>
        <v>45</v>
      </c>
      <c r="M285" s="125">
        <f t="shared" si="77"/>
        <v>51800</v>
      </c>
      <c r="N285" s="126">
        <f t="shared" si="64"/>
        <v>163.11080523055745</v>
      </c>
      <c r="O285" s="127">
        <f t="shared" si="65"/>
        <v>140.39917412250514</v>
      </c>
      <c r="P285" s="127">
        <f t="shared" si="66"/>
        <v>52.993805918788709</v>
      </c>
      <c r="Q285" s="128">
        <f t="shared" si="67"/>
        <v>356.50378527185131</v>
      </c>
      <c r="R285" s="129">
        <v>145.30000000000001</v>
      </c>
      <c r="S285" s="130">
        <v>0</v>
      </c>
      <c r="T285" s="131">
        <v>189</v>
      </c>
      <c r="U285" s="131">
        <v>143</v>
      </c>
      <c r="V285" s="132">
        <f t="shared" si="68"/>
        <v>332</v>
      </c>
      <c r="W285" s="133">
        <f t="shared" si="69"/>
        <v>2.2849277357192013</v>
      </c>
      <c r="X285" s="130">
        <v>1731</v>
      </c>
      <c r="Y285" s="131">
        <v>1590</v>
      </c>
      <c r="Z285" s="131">
        <v>679</v>
      </c>
      <c r="AA285" s="132">
        <f t="shared" si="70"/>
        <v>4000</v>
      </c>
      <c r="AB285" s="133">
        <f t="shared" si="71"/>
        <v>27.529249827942188</v>
      </c>
      <c r="AC285" s="134">
        <f t="shared" si="72"/>
        <v>4332</v>
      </c>
      <c r="AD285" s="135">
        <f t="shared" si="73"/>
        <v>29.814177563661389</v>
      </c>
      <c r="AE285" s="136">
        <v>25</v>
      </c>
      <c r="AF285" s="137">
        <v>28</v>
      </c>
      <c r="AG285" s="137">
        <v>0</v>
      </c>
      <c r="AH285" s="138">
        <f t="shared" si="74"/>
        <v>53</v>
      </c>
      <c r="AI285" s="133">
        <f t="shared" si="75"/>
        <v>0.36476256022023396</v>
      </c>
    </row>
    <row r="286" spans="1:35">
      <c r="A286" s="171">
        <f>IF('09월 조업일지'!A282="","",'09월 조업일지'!A282)</f>
        <v>46275</v>
      </c>
      <c r="B286" s="172" t="str">
        <f>'09월 조업일지'!E282</f>
        <v>D</v>
      </c>
      <c r="C286" s="172" t="str">
        <f>'09월 조업일지'!F282</f>
        <v>A</v>
      </c>
      <c r="D286" s="172">
        <f>'09월 화학성분'!C283</f>
        <v>85485</v>
      </c>
      <c r="E286" s="205" t="str">
        <f t="shared" si="76"/>
        <v>SS400-05</v>
      </c>
      <c r="F286" s="121">
        <v>20</v>
      </c>
      <c r="G286" s="122">
        <v>23200</v>
      </c>
      <c r="H286" s="123">
        <v>18</v>
      </c>
      <c r="I286" s="122">
        <v>20300</v>
      </c>
      <c r="J286" s="123">
        <v>11</v>
      </c>
      <c r="K286" s="122">
        <v>13700</v>
      </c>
      <c r="L286" s="124">
        <f t="shared" si="77"/>
        <v>49</v>
      </c>
      <c r="M286" s="125">
        <f t="shared" si="77"/>
        <v>57200</v>
      </c>
      <c r="N286" s="126">
        <f t="shared" si="64"/>
        <v>156.22895622895624</v>
      </c>
      <c r="O286" s="127">
        <f t="shared" si="65"/>
        <v>136.70033670033669</v>
      </c>
      <c r="P286" s="127">
        <f t="shared" si="66"/>
        <v>92.255892255892249</v>
      </c>
      <c r="Q286" s="128">
        <f t="shared" si="67"/>
        <v>385.18518518518522</v>
      </c>
      <c r="R286" s="129">
        <v>148.5</v>
      </c>
      <c r="S286" s="130">
        <v>0</v>
      </c>
      <c r="T286" s="131">
        <v>162</v>
      </c>
      <c r="U286" s="131">
        <v>253</v>
      </c>
      <c r="V286" s="132">
        <f t="shared" si="68"/>
        <v>415</v>
      </c>
      <c r="W286" s="133">
        <f t="shared" si="69"/>
        <v>2.7946127946127945</v>
      </c>
      <c r="X286" s="130">
        <v>1710</v>
      </c>
      <c r="Y286" s="131">
        <v>1554</v>
      </c>
      <c r="Z286" s="131">
        <v>1211</v>
      </c>
      <c r="AA286" s="132">
        <f t="shared" si="70"/>
        <v>4475</v>
      </c>
      <c r="AB286" s="133">
        <f t="shared" si="71"/>
        <v>30.134680134680135</v>
      </c>
      <c r="AC286" s="134">
        <f t="shared" si="72"/>
        <v>4890</v>
      </c>
      <c r="AD286" s="135">
        <f t="shared" si="73"/>
        <v>32.929292929292927</v>
      </c>
      <c r="AE286" s="136">
        <v>26</v>
      </c>
      <c r="AF286" s="137">
        <v>25</v>
      </c>
      <c r="AG286" s="137">
        <v>0</v>
      </c>
      <c r="AH286" s="138">
        <f t="shared" si="74"/>
        <v>51</v>
      </c>
      <c r="AI286" s="133">
        <f t="shared" si="75"/>
        <v>0.34343434343434343</v>
      </c>
    </row>
    <row r="287" spans="1:35">
      <c r="A287" s="171">
        <f>IF('09월 조업일지'!A283="","",'09월 조업일지'!A283)</f>
        <v>46275</v>
      </c>
      <c r="B287" s="172" t="str">
        <f>'09월 조업일지'!E283</f>
        <v>D</v>
      </c>
      <c r="C287" s="172" t="str">
        <f>'09월 조업일지'!F283</f>
        <v>B</v>
      </c>
      <c r="D287" s="172">
        <f>'09월 화학성분'!C284</f>
        <v>85486</v>
      </c>
      <c r="E287" s="205" t="str">
        <f t="shared" si="76"/>
        <v>SS400-05</v>
      </c>
      <c r="F287" s="121">
        <v>20</v>
      </c>
      <c r="G287" s="122">
        <v>23400</v>
      </c>
      <c r="H287" s="123">
        <v>18</v>
      </c>
      <c r="I287" s="122">
        <v>20700</v>
      </c>
      <c r="J287" s="123">
        <v>8</v>
      </c>
      <c r="K287" s="122">
        <v>10200</v>
      </c>
      <c r="L287" s="124">
        <f t="shared" si="77"/>
        <v>46</v>
      </c>
      <c r="M287" s="125">
        <f t="shared" si="77"/>
        <v>54300</v>
      </c>
      <c r="N287" s="126">
        <f t="shared" si="64"/>
        <v>159.07545887151599</v>
      </c>
      <c r="O287" s="127">
        <f t="shared" si="65"/>
        <v>140.72059823249489</v>
      </c>
      <c r="P287" s="127">
        <f t="shared" si="66"/>
        <v>69.340584636301841</v>
      </c>
      <c r="Q287" s="128">
        <f t="shared" si="67"/>
        <v>369.13664174031271</v>
      </c>
      <c r="R287" s="129">
        <v>147.1</v>
      </c>
      <c r="S287" s="130">
        <v>0</v>
      </c>
      <c r="T287" s="131">
        <v>89</v>
      </c>
      <c r="U287" s="131">
        <v>239</v>
      </c>
      <c r="V287" s="132">
        <f t="shared" si="68"/>
        <v>328</v>
      </c>
      <c r="W287" s="133">
        <f t="shared" si="69"/>
        <v>2.2297756628144119</v>
      </c>
      <c r="X287" s="130">
        <v>1666</v>
      </c>
      <c r="Y287" s="131">
        <v>1618</v>
      </c>
      <c r="Z287" s="131">
        <v>833</v>
      </c>
      <c r="AA287" s="132">
        <f t="shared" si="70"/>
        <v>4117</v>
      </c>
      <c r="AB287" s="133">
        <f t="shared" si="71"/>
        <v>27.987763426240654</v>
      </c>
      <c r="AC287" s="134">
        <f t="shared" si="72"/>
        <v>4445</v>
      </c>
      <c r="AD287" s="135">
        <f t="shared" si="73"/>
        <v>30.217539089055066</v>
      </c>
      <c r="AE287" s="136">
        <v>23</v>
      </c>
      <c r="AF287" s="137">
        <v>34</v>
      </c>
      <c r="AG287" s="137">
        <v>0</v>
      </c>
      <c r="AH287" s="138">
        <f t="shared" si="74"/>
        <v>57</v>
      </c>
      <c r="AI287" s="133">
        <f t="shared" si="75"/>
        <v>0.38749150237933377</v>
      </c>
    </row>
    <row r="288" spans="1:35">
      <c r="A288" s="171">
        <f>IF('09월 조업일지'!A284="","",'09월 조업일지'!A284)</f>
        <v>46275</v>
      </c>
      <c r="B288" s="172" t="str">
        <f>'09월 조업일지'!E284</f>
        <v>D</v>
      </c>
      <c r="C288" s="172" t="str">
        <f>'09월 조업일지'!F284</f>
        <v>A</v>
      </c>
      <c r="D288" s="172">
        <f>'09월 화학성분'!C285</f>
        <v>85487</v>
      </c>
      <c r="E288" s="205" t="str">
        <f t="shared" si="76"/>
        <v>SS400-05</v>
      </c>
      <c r="F288" s="121">
        <v>20</v>
      </c>
      <c r="G288" s="122">
        <v>23400</v>
      </c>
      <c r="H288" s="123">
        <v>18</v>
      </c>
      <c r="I288" s="122">
        <v>20800</v>
      </c>
      <c r="J288" s="123">
        <v>9</v>
      </c>
      <c r="K288" s="122">
        <v>11600</v>
      </c>
      <c r="L288" s="124">
        <f t="shared" si="77"/>
        <v>47</v>
      </c>
      <c r="M288" s="125">
        <f t="shared" si="77"/>
        <v>55800</v>
      </c>
      <c r="N288" s="126">
        <f t="shared" si="64"/>
        <v>157.68194070080861</v>
      </c>
      <c r="O288" s="127">
        <f t="shared" si="65"/>
        <v>140.16172506738545</v>
      </c>
      <c r="P288" s="127">
        <f t="shared" si="66"/>
        <v>78.167115902964952</v>
      </c>
      <c r="Q288" s="128">
        <f t="shared" si="67"/>
        <v>376.01078167115901</v>
      </c>
      <c r="R288" s="129">
        <v>148.4</v>
      </c>
      <c r="S288" s="130">
        <v>0</v>
      </c>
      <c r="T288" s="131">
        <v>211</v>
      </c>
      <c r="U288" s="131">
        <v>147</v>
      </c>
      <c r="V288" s="132">
        <f t="shared" si="68"/>
        <v>358</v>
      </c>
      <c r="W288" s="133">
        <f t="shared" si="69"/>
        <v>2.4123989218328838</v>
      </c>
      <c r="X288" s="130">
        <v>1674</v>
      </c>
      <c r="Y288" s="131">
        <v>1622</v>
      </c>
      <c r="Z288" s="131">
        <v>935</v>
      </c>
      <c r="AA288" s="132">
        <f t="shared" si="70"/>
        <v>4231</v>
      </c>
      <c r="AB288" s="133">
        <f t="shared" si="71"/>
        <v>28.51078167115903</v>
      </c>
      <c r="AC288" s="134">
        <f t="shared" si="72"/>
        <v>4589</v>
      </c>
      <c r="AD288" s="135">
        <f t="shared" si="73"/>
        <v>30.923180592991912</v>
      </c>
      <c r="AE288" s="136">
        <v>25</v>
      </c>
      <c r="AF288" s="137">
        <v>22</v>
      </c>
      <c r="AG288" s="137">
        <v>0</v>
      </c>
      <c r="AH288" s="138">
        <f t="shared" si="74"/>
        <v>47</v>
      </c>
      <c r="AI288" s="133">
        <f t="shared" si="75"/>
        <v>0.31671159029649593</v>
      </c>
    </row>
    <row r="289" spans="1:35">
      <c r="A289" s="171">
        <f>IF('09월 조업일지'!A285="","",'09월 조업일지'!A285)</f>
        <v>46275</v>
      </c>
      <c r="B289" s="172" t="str">
        <f>'09월 조업일지'!E285</f>
        <v>B</v>
      </c>
      <c r="C289" s="172" t="str">
        <f>'09월 조업일지'!F285</f>
        <v>B</v>
      </c>
      <c r="D289" s="172">
        <f>'09월 화학성분'!C286</f>
        <v>85488</v>
      </c>
      <c r="E289" s="205" t="str">
        <f t="shared" si="76"/>
        <v>SS400-05</v>
      </c>
      <c r="F289" s="121">
        <v>21</v>
      </c>
      <c r="G289" s="122">
        <v>23200</v>
      </c>
      <c r="H289" s="123">
        <v>18</v>
      </c>
      <c r="I289" s="122">
        <v>20900</v>
      </c>
      <c r="J289" s="123">
        <v>6</v>
      </c>
      <c r="K289" s="122">
        <v>8400</v>
      </c>
      <c r="L289" s="124">
        <f t="shared" si="77"/>
        <v>45</v>
      </c>
      <c r="M289" s="125">
        <f t="shared" si="77"/>
        <v>52500</v>
      </c>
      <c r="N289" s="126">
        <f t="shared" si="64"/>
        <v>159.23129718599864</v>
      </c>
      <c r="O289" s="127">
        <f t="shared" si="65"/>
        <v>143.44543582704188</v>
      </c>
      <c r="P289" s="127">
        <f t="shared" si="66"/>
        <v>57.652711050102958</v>
      </c>
      <c r="Q289" s="128">
        <f t="shared" si="67"/>
        <v>360.32944406314346</v>
      </c>
      <c r="R289" s="129">
        <v>145.69999999999999</v>
      </c>
      <c r="S289" s="130">
        <v>0</v>
      </c>
      <c r="T289" s="131">
        <v>234</v>
      </c>
      <c r="U289" s="131">
        <v>125</v>
      </c>
      <c r="V289" s="132">
        <f t="shared" si="68"/>
        <v>359</v>
      </c>
      <c r="W289" s="133">
        <f t="shared" si="69"/>
        <v>2.4639670555936859</v>
      </c>
      <c r="X289" s="130">
        <v>1641</v>
      </c>
      <c r="Y289" s="131">
        <v>1615</v>
      </c>
      <c r="Z289" s="131">
        <v>589</v>
      </c>
      <c r="AA289" s="132">
        <f t="shared" si="70"/>
        <v>3845</v>
      </c>
      <c r="AB289" s="133">
        <f t="shared" si="71"/>
        <v>26.389842141386413</v>
      </c>
      <c r="AC289" s="134">
        <f t="shared" si="72"/>
        <v>4204</v>
      </c>
      <c r="AD289" s="135">
        <f t="shared" si="73"/>
        <v>28.853809196980098</v>
      </c>
      <c r="AE289" s="136">
        <v>25</v>
      </c>
      <c r="AF289" s="137">
        <v>26</v>
      </c>
      <c r="AG289" s="137">
        <v>0</v>
      </c>
      <c r="AH289" s="138">
        <f t="shared" si="74"/>
        <v>51</v>
      </c>
      <c r="AI289" s="133">
        <f t="shared" si="75"/>
        <v>0.35003431708991078</v>
      </c>
    </row>
    <row r="290" spans="1:35">
      <c r="A290" s="171">
        <f>IF('09월 조업일지'!A286="","",'09월 조업일지'!A286)</f>
        <v>46275</v>
      </c>
      <c r="B290" s="172" t="str">
        <f>'09월 조업일지'!E286</f>
        <v>B</v>
      </c>
      <c r="C290" s="172" t="str">
        <f>'09월 조업일지'!F286</f>
        <v>A</v>
      </c>
      <c r="D290" s="172">
        <f>'09월 화학성분'!C287</f>
        <v>85489</v>
      </c>
      <c r="E290" s="205" t="str">
        <f t="shared" si="76"/>
        <v>SS400-05</v>
      </c>
      <c r="F290" s="121">
        <v>20</v>
      </c>
      <c r="G290" s="122">
        <v>23200</v>
      </c>
      <c r="H290" s="123">
        <v>16</v>
      </c>
      <c r="I290" s="122">
        <v>20500</v>
      </c>
      <c r="J290" s="123">
        <v>6</v>
      </c>
      <c r="K290" s="122">
        <v>7600</v>
      </c>
      <c r="L290" s="124">
        <f t="shared" si="77"/>
        <v>42</v>
      </c>
      <c r="M290" s="125">
        <f t="shared" si="77"/>
        <v>51300</v>
      </c>
      <c r="N290" s="126">
        <f t="shared" si="64"/>
        <v>156.01882985877606</v>
      </c>
      <c r="O290" s="127">
        <f t="shared" si="65"/>
        <v>137.86146603900471</v>
      </c>
      <c r="P290" s="127">
        <f t="shared" si="66"/>
        <v>51.109616677874918</v>
      </c>
      <c r="Q290" s="128">
        <f t="shared" si="67"/>
        <v>344.98991257565569</v>
      </c>
      <c r="R290" s="129">
        <v>148.69999999999999</v>
      </c>
      <c r="S290" s="130">
        <v>0</v>
      </c>
      <c r="T290" s="131">
        <v>174</v>
      </c>
      <c r="U290" s="131">
        <v>229</v>
      </c>
      <c r="V290" s="132">
        <f t="shared" si="68"/>
        <v>403</v>
      </c>
      <c r="W290" s="133">
        <f t="shared" si="69"/>
        <v>2.7101546738399462</v>
      </c>
      <c r="X290" s="130">
        <v>1702</v>
      </c>
      <c r="Y290" s="131">
        <v>1567</v>
      </c>
      <c r="Z290" s="131">
        <v>605</v>
      </c>
      <c r="AA290" s="132">
        <f t="shared" si="70"/>
        <v>3874</v>
      </c>
      <c r="AB290" s="133">
        <f t="shared" si="71"/>
        <v>26.052454606590452</v>
      </c>
      <c r="AC290" s="134">
        <f t="shared" si="72"/>
        <v>4277</v>
      </c>
      <c r="AD290" s="135">
        <f t="shared" si="73"/>
        <v>28.7626092804304</v>
      </c>
      <c r="AE290" s="136">
        <v>25</v>
      </c>
      <c r="AF290" s="137">
        <v>23</v>
      </c>
      <c r="AG290" s="137">
        <v>0</v>
      </c>
      <c r="AH290" s="138">
        <f t="shared" si="74"/>
        <v>48</v>
      </c>
      <c r="AI290" s="133">
        <f t="shared" si="75"/>
        <v>0.32279757901815737</v>
      </c>
    </row>
    <row r="291" spans="1:35">
      <c r="A291" s="171">
        <f>IF('09월 조업일지'!A287="","",'09월 조업일지'!A287)</f>
        <v>46275</v>
      </c>
      <c r="B291" s="172" t="str">
        <f>'09월 조업일지'!E287</f>
        <v>B</v>
      </c>
      <c r="C291" s="172" t="str">
        <f>'09월 조업일지'!F287</f>
        <v>B</v>
      </c>
      <c r="D291" s="172">
        <f>'09월 화학성분'!C288</f>
        <v>85490</v>
      </c>
      <c r="E291" s="205" t="str">
        <f t="shared" si="76"/>
        <v>SS400-05</v>
      </c>
      <c r="F291" s="121">
        <v>21</v>
      </c>
      <c r="G291" s="122">
        <v>23500</v>
      </c>
      <c r="H291" s="123">
        <v>17</v>
      </c>
      <c r="I291" s="122">
        <v>20600</v>
      </c>
      <c r="J291" s="123">
        <v>7</v>
      </c>
      <c r="K291" s="122">
        <v>8800</v>
      </c>
      <c r="L291" s="124">
        <f t="shared" si="77"/>
        <v>45</v>
      </c>
      <c r="M291" s="125">
        <f t="shared" si="77"/>
        <v>52900</v>
      </c>
      <c r="N291" s="126">
        <f t="shared" si="64"/>
        <v>157.50670241286863</v>
      </c>
      <c r="O291" s="127">
        <f t="shared" si="65"/>
        <v>138.06970509383379</v>
      </c>
      <c r="P291" s="127">
        <f t="shared" si="66"/>
        <v>58.981233243967836</v>
      </c>
      <c r="Q291" s="128">
        <f t="shared" si="67"/>
        <v>354.55764075067026</v>
      </c>
      <c r="R291" s="129">
        <v>149.19999999999999</v>
      </c>
      <c r="S291" s="130">
        <v>0</v>
      </c>
      <c r="T291" s="131">
        <v>186</v>
      </c>
      <c r="U291" s="131">
        <v>155</v>
      </c>
      <c r="V291" s="132">
        <f t="shared" si="68"/>
        <v>341</v>
      </c>
      <c r="W291" s="133">
        <f t="shared" si="69"/>
        <v>2.2855227882037537</v>
      </c>
      <c r="X291" s="130">
        <v>1683</v>
      </c>
      <c r="Y291" s="131">
        <v>1633</v>
      </c>
      <c r="Z291" s="131">
        <v>746</v>
      </c>
      <c r="AA291" s="132">
        <f t="shared" si="70"/>
        <v>4062</v>
      </c>
      <c r="AB291" s="133">
        <f t="shared" si="71"/>
        <v>27.22520107238606</v>
      </c>
      <c r="AC291" s="134">
        <f t="shared" si="72"/>
        <v>4403</v>
      </c>
      <c r="AD291" s="135">
        <f t="shared" si="73"/>
        <v>29.510723860589813</v>
      </c>
      <c r="AE291" s="136">
        <v>23</v>
      </c>
      <c r="AF291" s="137">
        <v>28</v>
      </c>
      <c r="AG291" s="137">
        <v>0</v>
      </c>
      <c r="AH291" s="138">
        <f t="shared" si="74"/>
        <v>51</v>
      </c>
      <c r="AI291" s="133">
        <f t="shared" si="75"/>
        <v>0.3418230563002681</v>
      </c>
    </row>
    <row r="292" spans="1:35">
      <c r="A292" s="171">
        <f>IF('09월 조업일지'!A288="","",'09월 조업일지'!A288)</f>
        <v>46275</v>
      </c>
      <c r="B292" s="172" t="str">
        <f>'09월 조업일지'!E288</f>
        <v>B</v>
      </c>
      <c r="C292" s="172" t="str">
        <f>'09월 조업일지'!F288</f>
        <v>A</v>
      </c>
      <c r="D292" s="172">
        <f>'09월 화학성분'!C289</f>
        <v>85491</v>
      </c>
      <c r="E292" s="205" t="str">
        <f t="shared" si="76"/>
        <v>SS400-05</v>
      </c>
      <c r="F292" s="121">
        <v>22</v>
      </c>
      <c r="G292" s="122">
        <v>23700</v>
      </c>
      <c r="H292" s="123">
        <v>16</v>
      </c>
      <c r="I292" s="122">
        <v>20600</v>
      </c>
      <c r="J292" s="123">
        <v>6</v>
      </c>
      <c r="K292" s="122">
        <v>8200</v>
      </c>
      <c r="L292" s="124">
        <f t="shared" si="77"/>
        <v>44</v>
      </c>
      <c r="M292" s="125">
        <f t="shared" si="77"/>
        <v>52500</v>
      </c>
      <c r="N292" s="126">
        <f t="shared" si="64"/>
        <v>159.4885598923284</v>
      </c>
      <c r="O292" s="127">
        <f t="shared" si="65"/>
        <v>138.6271870794078</v>
      </c>
      <c r="P292" s="127">
        <f t="shared" si="66"/>
        <v>55.181695827725441</v>
      </c>
      <c r="Q292" s="128">
        <f t="shared" si="67"/>
        <v>353.29744279946163</v>
      </c>
      <c r="R292" s="129">
        <v>148.6</v>
      </c>
      <c r="S292" s="130">
        <v>0</v>
      </c>
      <c r="T292" s="131">
        <v>144</v>
      </c>
      <c r="U292" s="131">
        <v>273</v>
      </c>
      <c r="V292" s="132">
        <f t="shared" si="68"/>
        <v>417</v>
      </c>
      <c r="W292" s="133">
        <f t="shared" si="69"/>
        <v>2.8061911170928671</v>
      </c>
      <c r="X292" s="130">
        <v>1801</v>
      </c>
      <c r="Y292" s="131">
        <v>1604</v>
      </c>
      <c r="Z292" s="131">
        <v>697</v>
      </c>
      <c r="AA292" s="132">
        <f t="shared" si="70"/>
        <v>4102</v>
      </c>
      <c r="AB292" s="133">
        <f t="shared" si="71"/>
        <v>27.604306864064604</v>
      </c>
      <c r="AC292" s="134">
        <f t="shared" si="72"/>
        <v>4519</v>
      </c>
      <c r="AD292" s="135">
        <f t="shared" si="73"/>
        <v>30.410497981157469</v>
      </c>
      <c r="AE292" s="136">
        <v>25</v>
      </c>
      <c r="AF292" s="137">
        <v>25</v>
      </c>
      <c r="AG292" s="137">
        <v>0</v>
      </c>
      <c r="AH292" s="138">
        <f t="shared" si="74"/>
        <v>50</v>
      </c>
      <c r="AI292" s="133">
        <f t="shared" si="75"/>
        <v>0.33647375504710636</v>
      </c>
    </row>
    <row r="293" spans="1:35">
      <c r="A293" s="171">
        <f>IF('09월 조업일지'!A289="","",'09월 조업일지'!A289)</f>
        <v>46275</v>
      </c>
      <c r="B293" s="172" t="str">
        <f>'09월 조업일지'!E289</f>
        <v>B</v>
      </c>
      <c r="C293" s="172" t="str">
        <f>'09월 조업일지'!F289</f>
        <v>B</v>
      </c>
      <c r="D293" s="172">
        <f>'09월 화학성분'!C290</f>
        <v>85492</v>
      </c>
      <c r="E293" s="205" t="str">
        <f t="shared" si="76"/>
        <v>SS400-05</v>
      </c>
      <c r="F293" s="121">
        <v>20</v>
      </c>
      <c r="G293" s="122">
        <v>23400</v>
      </c>
      <c r="H293" s="123">
        <v>18</v>
      </c>
      <c r="I293" s="122">
        <v>20700</v>
      </c>
      <c r="J293" s="123">
        <v>8</v>
      </c>
      <c r="K293" s="122">
        <v>10700</v>
      </c>
      <c r="L293" s="124">
        <f t="shared" si="77"/>
        <v>46</v>
      </c>
      <c r="M293" s="125">
        <f t="shared" si="77"/>
        <v>54800</v>
      </c>
      <c r="N293" s="126">
        <f t="shared" si="64"/>
        <v>159.18367346938774</v>
      </c>
      <c r="O293" s="127">
        <f t="shared" si="65"/>
        <v>140.81632653061226</v>
      </c>
      <c r="P293" s="127">
        <f t="shared" si="66"/>
        <v>72.789115646258509</v>
      </c>
      <c r="Q293" s="128">
        <f t="shared" si="67"/>
        <v>372.78911564625849</v>
      </c>
      <c r="R293" s="129">
        <v>147</v>
      </c>
      <c r="S293" s="130">
        <v>0</v>
      </c>
      <c r="T293" s="131">
        <v>153</v>
      </c>
      <c r="U293" s="131">
        <v>422</v>
      </c>
      <c r="V293" s="132">
        <f t="shared" si="68"/>
        <v>575</v>
      </c>
      <c r="W293" s="133">
        <f t="shared" si="69"/>
        <v>3.9115646258503403</v>
      </c>
      <c r="X293" s="130">
        <v>1603</v>
      </c>
      <c r="Y293" s="131">
        <v>1710</v>
      </c>
      <c r="Z293" s="131">
        <v>904</v>
      </c>
      <c r="AA293" s="132">
        <f t="shared" si="70"/>
        <v>4217</v>
      </c>
      <c r="AB293" s="133">
        <f t="shared" si="71"/>
        <v>28.687074829931973</v>
      </c>
      <c r="AC293" s="134">
        <f t="shared" si="72"/>
        <v>4792</v>
      </c>
      <c r="AD293" s="135">
        <f t="shared" si="73"/>
        <v>32.598639455782312</v>
      </c>
      <c r="AE293" s="136">
        <v>25</v>
      </c>
      <c r="AF293" s="137">
        <v>29</v>
      </c>
      <c r="AG293" s="137">
        <v>0</v>
      </c>
      <c r="AH293" s="138">
        <f t="shared" si="74"/>
        <v>54</v>
      </c>
      <c r="AI293" s="133">
        <f t="shared" si="75"/>
        <v>0.36734693877551022</v>
      </c>
    </row>
    <row r="294" spans="1:35">
      <c r="A294" s="171">
        <f>IF('09월 조업일지'!A290="","",'09월 조업일지'!A290)</f>
        <v>46275</v>
      </c>
      <c r="B294" s="172" t="str">
        <f>'09월 조업일지'!E290</f>
        <v>B</v>
      </c>
      <c r="C294" s="172" t="str">
        <f>'09월 조업일지'!F290</f>
        <v>A</v>
      </c>
      <c r="D294" s="172">
        <f>'09월 화학성분'!C291</f>
        <v>85493</v>
      </c>
      <c r="E294" s="205" t="str">
        <f t="shared" si="76"/>
        <v>SS400-05</v>
      </c>
      <c r="F294" s="121">
        <v>22</v>
      </c>
      <c r="G294" s="122">
        <v>25000</v>
      </c>
      <c r="H294" s="123">
        <v>17</v>
      </c>
      <c r="I294" s="122">
        <v>20500</v>
      </c>
      <c r="J294" s="123">
        <v>9</v>
      </c>
      <c r="K294" s="122">
        <v>10800</v>
      </c>
      <c r="L294" s="124">
        <f t="shared" si="77"/>
        <v>48</v>
      </c>
      <c r="M294" s="125">
        <f t="shared" si="77"/>
        <v>56300</v>
      </c>
      <c r="N294" s="126">
        <f t="shared" si="64"/>
        <v>168.69095816464238</v>
      </c>
      <c r="O294" s="127">
        <f t="shared" si="65"/>
        <v>138.32658569500677</v>
      </c>
      <c r="P294" s="127">
        <f t="shared" si="66"/>
        <v>72.874493927125513</v>
      </c>
      <c r="Q294" s="128">
        <f t="shared" si="67"/>
        <v>379.89203778677467</v>
      </c>
      <c r="R294" s="129">
        <v>148.19999999999999</v>
      </c>
      <c r="S294" s="130">
        <v>0</v>
      </c>
      <c r="T294" s="131">
        <v>138</v>
      </c>
      <c r="U294" s="131">
        <v>324</v>
      </c>
      <c r="V294" s="132">
        <f t="shared" si="68"/>
        <v>462</v>
      </c>
      <c r="W294" s="133">
        <f t="shared" si="69"/>
        <v>3.1174089068825914</v>
      </c>
      <c r="X294" s="130">
        <v>1832</v>
      </c>
      <c r="Y294" s="131">
        <v>1594</v>
      </c>
      <c r="Z294" s="131">
        <v>1228</v>
      </c>
      <c r="AA294" s="132">
        <f t="shared" si="70"/>
        <v>4654</v>
      </c>
      <c r="AB294" s="133">
        <f t="shared" si="71"/>
        <v>31.403508771929825</v>
      </c>
      <c r="AC294" s="134">
        <f t="shared" si="72"/>
        <v>5116</v>
      </c>
      <c r="AD294" s="135">
        <f t="shared" si="73"/>
        <v>34.520917678812417</v>
      </c>
      <c r="AE294" s="136">
        <v>26</v>
      </c>
      <c r="AF294" s="137">
        <v>26</v>
      </c>
      <c r="AG294" s="137">
        <v>0</v>
      </c>
      <c r="AH294" s="138">
        <f t="shared" si="74"/>
        <v>52</v>
      </c>
      <c r="AI294" s="133">
        <f t="shared" si="75"/>
        <v>0.35087719298245618</v>
      </c>
    </row>
    <row r="295" spans="1:35">
      <c r="A295" s="171">
        <f>IF('09월 조업일지'!A291="","",'09월 조업일지'!A291)</f>
        <v>46276</v>
      </c>
      <c r="B295" s="172" t="str">
        <f>'09월 조업일지'!E291</f>
        <v>B</v>
      </c>
      <c r="C295" s="172" t="str">
        <f>'09월 조업일지'!F291</f>
        <v>B</v>
      </c>
      <c r="D295" s="172">
        <f>'09월 화학성분'!C292</f>
        <v>85494</v>
      </c>
      <c r="E295" s="205" t="str">
        <f t="shared" si="76"/>
        <v>SS400-05</v>
      </c>
      <c r="F295" s="121">
        <v>21</v>
      </c>
      <c r="G295" s="122">
        <v>23500</v>
      </c>
      <c r="H295" s="123">
        <v>18</v>
      </c>
      <c r="I295" s="122">
        <v>20500</v>
      </c>
      <c r="J295" s="123">
        <v>5</v>
      </c>
      <c r="K295" s="122">
        <v>7500</v>
      </c>
      <c r="L295" s="124">
        <f t="shared" si="77"/>
        <v>44</v>
      </c>
      <c r="M295" s="125">
        <f t="shared" si="77"/>
        <v>51500</v>
      </c>
      <c r="N295" s="126">
        <f t="shared" si="64"/>
        <v>161.95727084769126</v>
      </c>
      <c r="O295" s="127">
        <f t="shared" si="65"/>
        <v>141.28187456926258</v>
      </c>
      <c r="P295" s="127">
        <f t="shared" si="66"/>
        <v>51.688490696071675</v>
      </c>
      <c r="Q295" s="128">
        <f t="shared" si="67"/>
        <v>354.92763611302553</v>
      </c>
      <c r="R295" s="129">
        <v>145.1</v>
      </c>
      <c r="S295" s="130">
        <v>0</v>
      </c>
      <c r="T295" s="131">
        <v>143</v>
      </c>
      <c r="U295" s="131">
        <v>274</v>
      </c>
      <c r="V295" s="132">
        <f t="shared" si="68"/>
        <v>417</v>
      </c>
      <c r="W295" s="133">
        <f t="shared" si="69"/>
        <v>2.8738800827015853</v>
      </c>
      <c r="X295" s="130">
        <v>1671</v>
      </c>
      <c r="Y295" s="131">
        <v>1603</v>
      </c>
      <c r="Z295" s="131">
        <v>617</v>
      </c>
      <c r="AA295" s="132">
        <f t="shared" si="70"/>
        <v>3891</v>
      </c>
      <c r="AB295" s="133">
        <f t="shared" si="71"/>
        <v>26.815988973121986</v>
      </c>
      <c r="AC295" s="134">
        <f t="shared" si="72"/>
        <v>4308</v>
      </c>
      <c r="AD295" s="135">
        <f t="shared" si="73"/>
        <v>29.689869055823571</v>
      </c>
      <c r="AE295" s="136">
        <v>24</v>
      </c>
      <c r="AF295" s="137">
        <v>29</v>
      </c>
      <c r="AG295" s="137">
        <v>0</v>
      </c>
      <c r="AH295" s="138">
        <f t="shared" si="74"/>
        <v>53</v>
      </c>
      <c r="AI295" s="133">
        <f t="shared" si="75"/>
        <v>0.36526533425223984</v>
      </c>
    </row>
    <row r="296" spans="1:35">
      <c r="A296" s="171">
        <f>IF('09월 조업일지'!A292="","",'09월 조업일지'!A292)</f>
        <v>46276</v>
      </c>
      <c r="B296" s="172" t="str">
        <f>'09월 조업일지'!E292</f>
        <v>B</v>
      </c>
      <c r="C296" s="172" t="str">
        <f>'09월 조업일지'!F292</f>
        <v>A</v>
      </c>
      <c r="D296" s="172">
        <f>'09월 화학성분'!C293</f>
        <v>85495</v>
      </c>
      <c r="E296" s="205" t="str">
        <f t="shared" si="76"/>
        <v>SS400-05</v>
      </c>
      <c r="F296" s="121">
        <v>21</v>
      </c>
      <c r="G296" s="122">
        <v>23700</v>
      </c>
      <c r="H296" s="123">
        <v>16</v>
      </c>
      <c r="I296" s="122">
        <v>20400</v>
      </c>
      <c r="J296" s="123">
        <v>8</v>
      </c>
      <c r="K296" s="122">
        <v>10600</v>
      </c>
      <c r="L296" s="124">
        <f t="shared" si="77"/>
        <v>45</v>
      </c>
      <c r="M296" s="125">
        <f t="shared" si="77"/>
        <v>54700</v>
      </c>
      <c r="N296" s="126">
        <f t="shared" si="64"/>
        <v>158.84718498659518</v>
      </c>
      <c r="O296" s="127">
        <f t="shared" si="65"/>
        <v>136.72922252010724</v>
      </c>
      <c r="P296" s="127">
        <f t="shared" si="66"/>
        <v>71.045576407506701</v>
      </c>
      <c r="Q296" s="128">
        <f t="shared" si="67"/>
        <v>366.62198391420912</v>
      </c>
      <c r="R296" s="129">
        <v>149.19999999999999</v>
      </c>
      <c r="S296" s="130">
        <v>0</v>
      </c>
      <c r="T296" s="131">
        <v>39</v>
      </c>
      <c r="U296" s="131">
        <v>288</v>
      </c>
      <c r="V296" s="132">
        <f t="shared" si="68"/>
        <v>327</v>
      </c>
      <c r="W296" s="133">
        <f t="shared" si="69"/>
        <v>2.1916890080428955</v>
      </c>
      <c r="X296" s="130">
        <v>1801</v>
      </c>
      <c r="Y296" s="131">
        <v>1548</v>
      </c>
      <c r="Z296" s="131">
        <v>914</v>
      </c>
      <c r="AA296" s="132">
        <f t="shared" si="70"/>
        <v>4263</v>
      </c>
      <c r="AB296" s="133">
        <f t="shared" si="71"/>
        <v>28.572386058981234</v>
      </c>
      <c r="AC296" s="134">
        <f t="shared" si="72"/>
        <v>4590</v>
      </c>
      <c r="AD296" s="135">
        <f t="shared" si="73"/>
        <v>30.76407506702413</v>
      </c>
      <c r="AE296" s="136">
        <v>26</v>
      </c>
      <c r="AF296" s="137">
        <v>22</v>
      </c>
      <c r="AG296" s="137">
        <v>0</v>
      </c>
      <c r="AH296" s="138">
        <f t="shared" si="74"/>
        <v>48</v>
      </c>
      <c r="AI296" s="133">
        <f t="shared" si="75"/>
        <v>0.32171581769437002</v>
      </c>
    </row>
    <row r="297" spans="1:35">
      <c r="A297" s="171">
        <f>IF('09월 조업일지'!A293="","",'09월 조업일지'!A293)</f>
        <v>46276</v>
      </c>
      <c r="B297" s="172" t="str">
        <f>'09월 조업일지'!E293</f>
        <v>B</v>
      </c>
      <c r="C297" s="172" t="str">
        <f>'09월 조업일지'!F293</f>
        <v>B</v>
      </c>
      <c r="D297" s="172">
        <f>'09월 화학성분'!C294</f>
        <v>85496</v>
      </c>
      <c r="E297" s="205" t="str">
        <f t="shared" si="76"/>
        <v>SS400-05</v>
      </c>
      <c r="F297" s="121">
        <v>20</v>
      </c>
      <c r="G297" s="122">
        <v>23600</v>
      </c>
      <c r="H297" s="123">
        <v>17</v>
      </c>
      <c r="I297" s="122">
        <v>20300</v>
      </c>
      <c r="J297" s="123">
        <v>9</v>
      </c>
      <c r="K297" s="122">
        <v>11000</v>
      </c>
      <c r="L297" s="124">
        <f t="shared" si="77"/>
        <v>46</v>
      </c>
      <c r="M297" s="125">
        <f t="shared" si="77"/>
        <v>54900</v>
      </c>
      <c r="N297" s="126">
        <f t="shared" si="64"/>
        <v>164.11682892906813</v>
      </c>
      <c r="O297" s="127">
        <f t="shared" si="65"/>
        <v>141.16828929068149</v>
      </c>
      <c r="P297" s="127">
        <f t="shared" si="66"/>
        <v>76.495132127955486</v>
      </c>
      <c r="Q297" s="128">
        <f t="shared" si="67"/>
        <v>381.78025034770508</v>
      </c>
      <c r="R297" s="129">
        <v>143.80000000000001</v>
      </c>
      <c r="S297" s="130">
        <v>0</v>
      </c>
      <c r="T297" s="131">
        <v>28</v>
      </c>
      <c r="U297" s="131">
        <v>389</v>
      </c>
      <c r="V297" s="132">
        <f t="shared" si="68"/>
        <v>417</v>
      </c>
      <c r="W297" s="133">
        <f t="shared" si="69"/>
        <v>2.8998609179415853</v>
      </c>
      <c r="X297" s="130">
        <v>1672</v>
      </c>
      <c r="Y297" s="131">
        <v>1646</v>
      </c>
      <c r="Z297" s="131">
        <v>850</v>
      </c>
      <c r="AA297" s="132">
        <f t="shared" si="70"/>
        <v>4168</v>
      </c>
      <c r="AB297" s="133">
        <f t="shared" si="71"/>
        <v>28.984700973574405</v>
      </c>
      <c r="AC297" s="134">
        <f t="shared" si="72"/>
        <v>4585</v>
      </c>
      <c r="AD297" s="135">
        <f t="shared" si="73"/>
        <v>31.884561891515993</v>
      </c>
      <c r="AE297" s="136">
        <v>25</v>
      </c>
      <c r="AF297" s="137">
        <v>33</v>
      </c>
      <c r="AG297" s="137">
        <v>0</v>
      </c>
      <c r="AH297" s="138">
        <f t="shared" si="74"/>
        <v>58</v>
      </c>
      <c r="AI297" s="133">
        <f t="shared" si="75"/>
        <v>0.40333796940194711</v>
      </c>
    </row>
    <row r="298" spans="1:35">
      <c r="A298" s="171">
        <f>IF('09월 조업일지'!A294="","",'09월 조업일지'!A294)</f>
        <v>46276</v>
      </c>
      <c r="B298" s="172" t="str">
        <f>'09월 조업일지'!E294</f>
        <v>B</v>
      </c>
      <c r="C298" s="172" t="str">
        <f>'09월 조업일지'!F294</f>
        <v>A</v>
      </c>
      <c r="D298" s="172">
        <f>'09월 화학성분'!C295</f>
        <v>85497</v>
      </c>
      <c r="E298" s="205" t="str">
        <f t="shared" si="76"/>
        <v>SS400-05</v>
      </c>
      <c r="F298" s="121">
        <v>22</v>
      </c>
      <c r="G298" s="122">
        <v>25400</v>
      </c>
      <c r="H298" s="123">
        <v>18</v>
      </c>
      <c r="I298" s="122">
        <v>20800</v>
      </c>
      <c r="J298" s="123">
        <v>5</v>
      </c>
      <c r="K298" s="122">
        <v>6300</v>
      </c>
      <c r="L298" s="124">
        <f t="shared" si="77"/>
        <v>45</v>
      </c>
      <c r="M298" s="125">
        <f t="shared" si="77"/>
        <v>52500</v>
      </c>
      <c r="N298" s="126">
        <f t="shared" si="64"/>
        <v>177.87114845938373</v>
      </c>
      <c r="O298" s="127">
        <f t="shared" si="65"/>
        <v>145.65826330532212</v>
      </c>
      <c r="P298" s="127">
        <f t="shared" si="66"/>
        <v>44.117647058823529</v>
      </c>
      <c r="Q298" s="128">
        <f t="shared" si="67"/>
        <v>367.64705882352939</v>
      </c>
      <c r="R298" s="129">
        <v>142.80000000000001</v>
      </c>
      <c r="S298" s="130">
        <v>0</v>
      </c>
      <c r="T298" s="131">
        <v>166</v>
      </c>
      <c r="U298" s="131">
        <v>189</v>
      </c>
      <c r="V298" s="132">
        <f t="shared" si="68"/>
        <v>355</v>
      </c>
      <c r="W298" s="133">
        <f t="shared" si="69"/>
        <v>2.4859943977591032</v>
      </c>
      <c r="X298" s="130">
        <v>1818</v>
      </c>
      <c r="Y298" s="131">
        <v>1627</v>
      </c>
      <c r="Z298" s="131">
        <v>523</v>
      </c>
      <c r="AA298" s="132">
        <f t="shared" si="70"/>
        <v>3968</v>
      </c>
      <c r="AB298" s="133">
        <f t="shared" si="71"/>
        <v>27.787114845938373</v>
      </c>
      <c r="AC298" s="134">
        <f t="shared" si="72"/>
        <v>4323</v>
      </c>
      <c r="AD298" s="135">
        <f t="shared" si="73"/>
        <v>30.273109243697476</v>
      </c>
      <c r="AE298" s="136">
        <v>23</v>
      </c>
      <c r="AF298" s="137">
        <v>26</v>
      </c>
      <c r="AG298" s="137">
        <v>0</v>
      </c>
      <c r="AH298" s="138">
        <f t="shared" si="74"/>
        <v>49</v>
      </c>
      <c r="AI298" s="133">
        <f t="shared" si="75"/>
        <v>0.34313725490196073</v>
      </c>
    </row>
    <row r="299" spans="1:35">
      <c r="A299" s="171">
        <f>IF('09월 조업일지'!A295="","",'09월 조업일지'!A295)</f>
        <v>46276</v>
      </c>
      <c r="B299" s="172" t="str">
        <f>'09월 조업일지'!E295</f>
        <v>C</v>
      </c>
      <c r="C299" s="172" t="str">
        <f>'09월 조업일지'!F295</f>
        <v>B</v>
      </c>
      <c r="D299" s="172">
        <f>'09월 화학성분'!C296</f>
        <v>85498</v>
      </c>
      <c r="E299" s="205" t="str">
        <f t="shared" si="76"/>
        <v>SS400-05</v>
      </c>
      <c r="F299" s="121">
        <v>20</v>
      </c>
      <c r="G299" s="122">
        <v>23500</v>
      </c>
      <c r="H299" s="123">
        <v>18</v>
      </c>
      <c r="I299" s="122">
        <v>20600</v>
      </c>
      <c r="J299" s="123">
        <v>7</v>
      </c>
      <c r="K299" s="122">
        <v>8100</v>
      </c>
      <c r="L299" s="124">
        <f t="shared" si="77"/>
        <v>45</v>
      </c>
      <c r="M299" s="125">
        <f t="shared" si="77"/>
        <v>52200</v>
      </c>
      <c r="N299" s="126">
        <f t="shared" si="64"/>
        <v>157.50670241286863</v>
      </c>
      <c r="O299" s="127">
        <f t="shared" si="65"/>
        <v>138.06970509383379</v>
      </c>
      <c r="P299" s="127">
        <f t="shared" si="66"/>
        <v>54.289544235924936</v>
      </c>
      <c r="Q299" s="128">
        <f t="shared" si="67"/>
        <v>349.86595174262737</v>
      </c>
      <c r="R299" s="129">
        <v>149.19999999999999</v>
      </c>
      <c r="S299" s="130">
        <v>0</v>
      </c>
      <c r="T299" s="131">
        <v>147</v>
      </c>
      <c r="U299" s="131">
        <v>229</v>
      </c>
      <c r="V299" s="132">
        <f t="shared" si="68"/>
        <v>376</v>
      </c>
      <c r="W299" s="133">
        <f t="shared" si="69"/>
        <v>2.5201072386058985</v>
      </c>
      <c r="X299" s="130">
        <v>1639</v>
      </c>
      <c r="Y299" s="131">
        <v>1641</v>
      </c>
      <c r="Z299" s="131">
        <v>651</v>
      </c>
      <c r="AA299" s="132">
        <f t="shared" si="70"/>
        <v>3931</v>
      </c>
      <c r="AB299" s="133">
        <f t="shared" si="71"/>
        <v>26.347184986595177</v>
      </c>
      <c r="AC299" s="134">
        <f t="shared" si="72"/>
        <v>4307</v>
      </c>
      <c r="AD299" s="135">
        <f t="shared" si="73"/>
        <v>28.867292225201073</v>
      </c>
      <c r="AE299" s="136">
        <v>24</v>
      </c>
      <c r="AF299" s="137">
        <v>30</v>
      </c>
      <c r="AG299" s="137">
        <v>0</v>
      </c>
      <c r="AH299" s="138">
        <f t="shared" si="74"/>
        <v>54</v>
      </c>
      <c r="AI299" s="133">
        <f t="shared" si="75"/>
        <v>0.36193029490616624</v>
      </c>
    </row>
    <row r="300" spans="1:35">
      <c r="A300" s="171">
        <f>IF('09월 조업일지'!A296="","",'09월 조업일지'!A296)</f>
        <v>46276</v>
      </c>
      <c r="B300" s="172" t="str">
        <f>'09월 조업일지'!E296</f>
        <v>C</v>
      </c>
      <c r="C300" s="172" t="str">
        <f>'09월 조업일지'!F296</f>
        <v>A</v>
      </c>
      <c r="D300" s="172">
        <f>'09월 화학성분'!C297</f>
        <v>85499</v>
      </c>
      <c r="E300" s="205" t="str">
        <f t="shared" si="76"/>
        <v>SS400-05</v>
      </c>
      <c r="F300" s="121">
        <v>20</v>
      </c>
      <c r="G300" s="122">
        <v>23700</v>
      </c>
      <c r="H300" s="123">
        <v>18</v>
      </c>
      <c r="I300" s="122">
        <v>20100</v>
      </c>
      <c r="J300" s="123">
        <v>8</v>
      </c>
      <c r="K300" s="122">
        <v>10200</v>
      </c>
      <c r="L300" s="124">
        <f t="shared" si="77"/>
        <v>46</v>
      </c>
      <c r="M300" s="125">
        <f t="shared" si="77"/>
        <v>54000</v>
      </c>
      <c r="N300" s="126">
        <f t="shared" si="64"/>
        <v>160.24340770791073</v>
      </c>
      <c r="O300" s="127">
        <f t="shared" si="65"/>
        <v>135.90263691683569</v>
      </c>
      <c r="P300" s="127">
        <f t="shared" si="66"/>
        <v>68.965517241379303</v>
      </c>
      <c r="Q300" s="128">
        <f t="shared" si="67"/>
        <v>365.11156186612573</v>
      </c>
      <c r="R300" s="129">
        <v>147.9</v>
      </c>
      <c r="S300" s="130">
        <v>0</v>
      </c>
      <c r="T300" s="131">
        <v>63</v>
      </c>
      <c r="U300" s="131">
        <v>404</v>
      </c>
      <c r="V300" s="132">
        <f t="shared" si="68"/>
        <v>467</v>
      </c>
      <c r="W300" s="133">
        <f t="shared" si="69"/>
        <v>3.1575388776200133</v>
      </c>
      <c r="X300" s="130">
        <v>1782</v>
      </c>
      <c r="Y300" s="131">
        <v>1665</v>
      </c>
      <c r="Z300" s="131">
        <v>789</v>
      </c>
      <c r="AA300" s="132">
        <f t="shared" si="70"/>
        <v>4236</v>
      </c>
      <c r="AB300" s="133">
        <f t="shared" si="71"/>
        <v>28.640973630831642</v>
      </c>
      <c r="AC300" s="134">
        <f t="shared" si="72"/>
        <v>4703</v>
      </c>
      <c r="AD300" s="135">
        <f t="shared" si="73"/>
        <v>31.798512508451655</v>
      </c>
      <c r="AE300" s="136">
        <v>25</v>
      </c>
      <c r="AF300" s="137">
        <v>26</v>
      </c>
      <c r="AG300" s="137">
        <v>0</v>
      </c>
      <c r="AH300" s="138">
        <f t="shared" si="74"/>
        <v>51</v>
      </c>
      <c r="AI300" s="133">
        <f t="shared" si="75"/>
        <v>0.34482758620689652</v>
      </c>
    </row>
    <row r="301" spans="1:35">
      <c r="A301" s="171">
        <f>IF('09월 조업일지'!A297="","",'09월 조업일지'!A297)</f>
        <v>46276</v>
      </c>
      <c r="B301" s="172" t="str">
        <f>'09월 조업일지'!E297</f>
        <v>C</v>
      </c>
      <c r="C301" s="172" t="str">
        <f>'09월 조업일지'!F297</f>
        <v>B</v>
      </c>
      <c r="D301" s="172">
        <f>'09월 화학성분'!C298</f>
        <v>85500</v>
      </c>
      <c r="E301" s="205" t="str">
        <f t="shared" si="76"/>
        <v>SS400-05</v>
      </c>
      <c r="F301" s="121">
        <v>21</v>
      </c>
      <c r="G301" s="122">
        <v>24800</v>
      </c>
      <c r="H301" s="123">
        <v>17</v>
      </c>
      <c r="I301" s="122">
        <v>20400</v>
      </c>
      <c r="J301" s="123">
        <v>7</v>
      </c>
      <c r="K301" s="122">
        <v>8200</v>
      </c>
      <c r="L301" s="124">
        <f t="shared" si="77"/>
        <v>45</v>
      </c>
      <c r="M301" s="125">
        <f t="shared" si="77"/>
        <v>53400</v>
      </c>
      <c r="N301" s="126">
        <f t="shared" si="64"/>
        <v>170.21276595744683</v>
      </c>
      <c r="O301" s="127">
        <f t="shared" si="65"/>
        <v>140.01372683596432</v>
      </c>
      <c r="P301" s="127">
        <f t="shared" si="66"/>
        <v>56.280027453671934</v>
      </c>
      <c r="Q301" s="128">
        <f t="shared" si="67"/>
        <v>366.50652024708307</v>
      </c>
      <c r="R301" s="129">
        <v>145.69999999999999</v>
      </c>
      <c r="S301" s="130">
        <v>0</v>
      </c>
      <c r="T301" s="131">
        <v>109</v>
      </c>
      <c r="U301" s="131">
        <v>181</v>
      </c>
      <c r="V301" s="132">
        <f t="shared" si="68"/>
        <v>290</v>
      </c>
      <c r="W301" s="133">
        <f t="shared" si="69"/>
        <v>1.9903912148249829</v>
      </c>
      <c r="X301" s="130">
        <v>1776</v>
      </c>
      <c r="Y301" s="131">
        <v>1606</v>
      </c>
      <c r="Z301" s="131">
        <v>596</v>
      </c>
      <c r="AA301" s="132">
        <f t="shared" si="70"/>
        <v>3978</v>
      </c>
      <c r="AB301" s="133">
        <f t="shared" si="71"/>
        <v>27.302676733013044</v>
      </c>
      <c r="AC301" s="134">
        <f t="shared" si="72"/>
        <v>4268</v>
      </c>
      <c r="AD301" s="135">
        <f t="shared" si="73"/>
        <v>29.293067947838026</v>
      </c>
      <c r="AE301" s="136">
        <v>23</v>
      </c>
      <c r="AF301" s="137">
        <v>29</v>
      </c>
      <c r="AG301" s="137">
        <v>0</v>
      </c>
      <c r="AH301" s="138">
        <f t="shared" si="74"/>
        <v>52</v>
      </c>
      <c r="AI301" s="133">
        <f t="shared" si="75"/>
        <v>0.3568977350720659</v>
      </c>
    </row>
    <row r="302" spans="1:35">
      <c r="A302" s="171">
        <f>IF('09월 조업일지'!A298="","",'09월 조업일지'!A298)</f>
        <v>46276</v>
      </c>
      <c r="B302" s="172" t="str">
        <f>'09월 조업일지'!E298</f>
        <v>C</v>
      </c>
      <c r="C302" s="172" t="str">
        <f>'09월 조업일지'!F298</f>
        <v>A</v>
      </c>
      <c r="D302" s="172">
        <f>'09월 화학성분'!C299</f>
        <v>85501</v>
      </c>
      <c r="E302" s="205" t="str">
        <f t="shared" si="76"/>
        <v>SS400-05</v>
      </c>
      <c r="F302" s="121">
        <v>21</v>
      </c>
      <c r="G302" s="122">
        <v>23400</v>
      </c>
      <c r="H302" s="123">
        <v>18</v>
      </c>
      <c r="I302" s="122">
        <v>20600</v>
      </c>
      <c r="J302" s="123">
        <v>9</v>
      </c>
      <c r="K302" s="122">
        <v>10700</v>
      </c>
      <c r="L302" s="124">
        <f t="shared" si="77"/>
        <v>48</v>
      </c>
      <c r="M302" s="125">
        <f t="shared" si="77"/>
        <v>54700</v>
      </c>
      <c r="N302" s="126">
        <f t="shared" si="64"/>
        <v>156.7314132618888</v>
      </c>
      <c r="O302" s="127">
        <f t="shared" si="65"/>
        <v>137.97722705961152</v>
      </c>
      <c r="P302" s="127">
        <f t="shared" si="66"/>
        <v>71.667782987273938</v>
      </c>
      <c r="Q302" s="128">
        <f t="shared" si="67"/>
        <v>366.37642330877424</v>
      </c>
      <c r="R302" s="129">
        <v>149.30000000000001</v>
      </c>
      <c r="S302" s="130">
        <v>0</v>
      </c>
      <c r="T302" s="131">
        <v>71</v>
      </c>
      <c r="U302" s="131">
        <v>451</v>
      </c>
      <c r="V302" s="132">
        <f t="shared" si="68"/>
        <v>522</v>
      </c>
      <c r="W302" s="133">
        <f t="shared" si="69"/>
        <v>3.496316141995981</v>
      </c>
      <c r="X302" s="130">
        <v>1765</v>
      </c>
      <c r="Y302" s="131">
        <v>1665</v>
      </c>
      <c r="Z302" s="131">
        <v>1136</v>
      </c>
      <c r="AA302" s="132">
        <f t="shared" si="70"/>
        <v>4566</v>
      </c>
      <c r="AB302" s="133">
        <f t="shared" si="71"/>
        <v>30.582719356999327</v>
      </c>
      <c r="AC302" s="134">
        <f t="shared" si="72"/>
        <v>5088</v>
      </c>
      <c r="AD302" s="135">
        <f t="shared" si="73"/>
        <v>34.07903549899531</v>
      </c>
      <c r="AE302" s="136">
        <v>26</v>
      </c>
      <c r="AF302" s="137">
        <v>25</v>
      </c>
      <c r="AG302" s="137">
        <v>0</v>
      </c>
      <c r="AH302" s="138">
        <f t="shared" si="74"/>
        <v>51</v>
      </c>
      <c r="AI302" s="133">
        <f t="shared" si="75"/>
        <v>0.34159410582719352</v>
      </c>
    </row>
    <row r="303" spans="1:35">
      <c r="A303" s="171">
        <f>IF('09월 조업일지'!A299="","",'09월 조업일지'!A299)</f>
        <v>46276</v>
      </c>
      <c r="B303" s="172" t="str">
        <f>'09월 조업일지'!E299</f>
        <v>C</v>
      </c>
      <c r="C303" s="172" t="str">
        <f>'09월 조업일지'!F299</f>
        <v>B</v>
      </c>
      <c r="D303" s="172">
        <f>'09월 화학성분'!C300</f>
        <v>85502</v>
      </c>
      <c r="E303" s="205" t="str">
        <f t="shared" si="76"/>
        <v>SS400-05</v>
      </c>
      <c r="F303" s="121">
        <v>20</v>
      </c>
      <c r="G303" s="122">
        <v>23500</v>
      </c>
      <c r="H303" s="123">
        <v>18</v>
      </c>
      <c r="I303" s="122">
        <v>20700</v>
      </c>
      <c r="J303" s="123">
        <v>8</v>
      </c>
      <c r="K303" s="122">
        <v>10200</v>
      </c>
      <c r="L303" s="124">
        <f t="shared" si="77"/>
        <v>46</v>
      </c>
      <c r="M303" s="125">
        <f t="shared" si="77"/>
        <v>54400</v>
      </c>
      <c r="N303" s="126">
        <f t="shared" si="64"/>
        <v>160.19086571233811</v>
      </c>
      <c r="O303" s="127">
        <f t="shared" si="65"/>
        <v>141.10429447852761</v>
      </c>
      <c r="P303" s="127">
        <f t="shared" si="66"/>
        <v>69.52965235173825</v>
      </c>
      <c r="Q303" s="128">
        <f t="shared" si="67"/>
        <v>370.82481254260398</v>
      </c>
      <c r="R303" s="129">
        <v>146.69999999999999</v>
      </c>
      <c r="S303" s="130">
        <v>0</v>
      </c>
      <c r="T303" s="131">
        <v>208</v>
      </c>
      <c r="U303" s="131">
        <v>157</v>
      </c>
      <c r="V303" s="132">
        <f t="shared" si="68"/>
        <v>365</v>
      </c>
      <c r="W303" s="133">
        <f t="shared" si="69"/>
        <v>2.4880708929788686</v>
      </c>
      <c r="X303" s="130">
        <v>1609</v>
      </c>
      <c r="Y303" s="131">
        <v>1604</v>
      </c>
      <c r="Z303" s="131">
        <v>771</v>
      </c>
      <c r="AA303" s="132">
        <f t="shared" si="70"/>
        <v>3984</v>
      </c>
      <c r="AB303" s="133">
        <f t="shared" si="71"/>
        <v>27.157464212678939</v>
      </c>
      <c r="AC303" s="134">
        <f t="shared" si="72"/>
        <v>4349</v>
      </c>
      <c r="AD303" s="135">
        <f t="shared" si="73"/>
        <v>29.645535105657807</v>
      </c>
      <c r="AE303" s="136">
        <v>23</v>
      </c>
      <c r="AF303" s="137">
        <v>31</v>
      </c>
      <c r="AG303" s="137">
        <v>0</v>
      </c>
      <c r="AH303" s="138">
        <f t="shared" si="74"/>
        <v>54</v>
      </c>
      <c r="AI303" s="133">
        <f t="shared" si="75"/>
        <v>0.36809815950920249</v>
      </c>
    </row>
    <row r="304" spans="1:35">
      <c r="A304" s="171">
        <f>IF('09월 조업일지'!A300="","",'09월 조업일지'!A300)</f>
        <v>46276</v>
      </c>
      <c r="B304" s="172" t="str">
        <f>'09월 조업일지'!E300</f>
        <v>C</v>
      </c>
      <c r="C304" s="172" t="str">
        <f>'09월 조업일지'!F300</f>
        <v>A</v>
      </c>
      <c r="D304" s="172">
        <f>'09월 화학성분'!C301</f>
        <v>85503</v>
      </c>
      <c r="E304" s="205" t="str">
        <f t="shared" si="76"/>
        <v>SS400-05</v>
      </c>
      <c r="F304" s="121">
        <v>20</v>
      </c>
      <c r="G304" s="122">
        <v>23200</v>
      </c>
      <c r="H304" s="123">
        <v>17</v>
      </c>
      <c r="I304" s="122">
        <v>20600</v>
      </c>
      <c r="J304" s="123">
        <v>8</v>
      </c>
      <c r="K304" s="122">
        <v>10200</v>
      </c>
      <c r="L304" s="124">
        <f t="shared" si="77"/>
        <v>45</v>
      </c>
      <c r="M304" s="125">
        <f t="shared" si="77"/>
        <v>54000</v>
      </c>
      <c r="N304" s="126">
        <f t="shared" si="64"/>
        <v>157.71583956492182</v>
      </c>
      <c r="O304" s="127">
        <f t="shared" si="65"/>
        <v>140.04078857919782</v>
      </c>
      <c r="P304" s="127">
        <f t="shared" si="66"/>
        <v>69.340584636301841</v>
      </c>
      <c r="Q304" s="128">
        <f t="shared" si="67"/>
        <v>367.0972127804215</v>
      </c>
      <c r="R304" s="129">
        <v>147.1</v>
      </c>
      <c r="S304" s="130">
        <v>0</v>
      </c>
      <c r="T304" s="131">
        <v>200</v>
      </c>
      <c r="U304" s="131">
        <v>134</v>
      </c>
      <c r="V304" s="132">
        <f t="shared" si="68"/>
        <v>334</v>
      </c>
      <c r="W304" s="133">
        <f t="shared" si="69"/>
        <v>2.2705642420122367</v>
      </c>
      <c r="X304" s="130">
        <v>1783</v>
      </c>
      <c r="Y304" s="131">
        <v>1590</v>
      </c>
      <c r="Z304" s="131">
        <v>805</v>
      </c>
      <c r="AA304" s="132">
        <f t="shared" si="70"/>
        <v>4178</v>
      </c>
      <c r="AB304" s="133">
        <f t="shared" si="71"/>
        <v>28.402447314751871</v>
      </c>
      <c r="AC304" s="134">
        <f t="shared" si="72"/>
        <v>4512</v>
      </c>
      <c r="AD304" s="135">
        <f t="shared" si="73"/>
        <v>30.673011556764106</v>
      </c>
      <c r="AE304" s="136">
        <v>25</v>
      </c>
      <c r="AF304" s="137">
        <v>20</v>
      </c>
      <c r="AG304" s="137">
        <v>0</v>
      </c>
      <c r="AH304" s="138">
        <f t="shared" si="74"/>
        <v>45</v>
      </c>
      <c r="AI304" s="133">
        <f t="shared" si="75"/>
        <v>0.30591434398368456</v>
      </c>
    </row>
    <row r="305" spans="1:35">
      <c r="A305" s="171">
        <f>IF('09월 조업일지'!A301="","",'09월 조업일지'!A301)</f>
        <v>46276</v>
      </c>
      <c r="B305" s="172" t="str">
        <f>'09월 조업일지'!E301</f>
        <v>C</v>
      </c>
      <c r="C305" s="172" t="str">
        <f>'09월 조업일지'!F301</f>
        <v>B</v>
      </c>
      <c r="D305" s="172">
        <f>'09월 화학성분'!C302</f>
        <v>85504</v>
      </c>
      <c r="E305" s="205" t="str">
        <f t="shared" si="76"/>
        <v>SS400-05</v>
      </c>
      <c r="F305" s="121">
        <v>21</v>
      </c>
      <c r="G305" s="122">
        <v>23100</v>
      </c>
      <c r="H305" s="123">
        <v>18</v>
      </c>
      <c r="I305" s="122">
        <v>20600</v>
      </c>
      <c r="J305" s="123">
        <v>8</v>
      </c>
      <c r="K305" s="122">
        <v>10100</v>
      </c>
      <c r="L305" s="124">
        <f t="shared" si="77"/>
        <v>47</v>
      </c>
      <c r="M305" s="125">
        <f t="shared" si="77"/>
        <v>53800</v>
      </c>
      <c r="N305" s="126">
        <f t="shared" si="64"/>
        <v>157.03602991162475</v>
      </c>
      <c r="O305" s="127">
        <f t="shared" si="65"/>
        <v>140.04078857919782</v>
      </c>
      <c r="P305" s="127">
        <f t="shared" si="66"/>
        <v>68.660774983004757</v>
      </c>
      <c r="Q305" s="128">
        <f t="shared" si="67"/>
        <v>365.73759347382736</v>
      </c>
      <c r="R305" s="129">
        <v>147.1</v>
      </c>
      <c r="S305" s="130">
        <v>0</v>
      </c>
      <c r="T305" s="131">
        <v>198</v>
      </c>
      <c r="U305" s="131">
        <v>154</v>
      </c>
      <c r="V305" s="132">
        <f t="shared" si="68"/>
        <v>352</v>
      </c>
      <c r="W305" s="133">
        <f t="shared" si="69"/>
        <v>2.3929299796057104</v>
      </c>
      <c r="X305" s="130">
        <v>1672</v>
      </c>
      <c r="Y305" s="131">
        <v>1624</v>
      </c>
      <c r="Z305" s="131">
        <v>715</v>
      </c>
      <c r="AA305" s="132">
        <f t="shared" si="70"/>
        <v>4011</v>
      </c>
      <c r="AB305" s="133">
        <f t="shared" si="71"/>
        <v>27.267165193745754</v>
      </c>
      <c r="AC305" s="134">
        <f t="shared" si="72"/>
        <v>4363</v>
      </c>
      <c r="AD305" s="135">
        <f t="shared" si="73"/>
        <v>29.660095173351461</v>
      </c>
      <c r="AE305" s="136">
        <v>24</v>
      </c>
      <c r="AF305" s="137">
        <v>29</v>
      </c>
      <c r="AG305" s="137">
        <v>0</v>
      </c>
      <c r="AH305" s="138">
        <f t="shared" si="74"/>
        <v>53</v>
      </c>
      <c r="AI305" s="133">
        <f t="shared" si="75"/>
        <v>0.3602991162474507</v>
      </c>
    </row>
    <row r="306" spans="1:35">
      <c r="A306" s="171">
        <f>IF('09월 조업일지'!A302="","",'09월 조업일지'!A302)</f>
        <v>46276</v>
      </c>
      <c r="B306" s="172" t="str">
        <f>'09월 조업일지'!E302</f>
        <v>C</v>
      </c>
      <c r="C306" s="172" t="str">
        <f>'09월 조업일지'!F302</f>
        <v>A</v>
      </c>
      <c r="D306" s="172">
        <f>'09월 화학성분'!C303</f>
        <v>85505</v>
      </c>
      <c r="E306" s="205" t="str">
        <f t="shared" si="76"/>
        <v>SS400-05</v>
      </c>
      <c r="F306" s="121">
        <v>19</v>
      </c>
      <c r="G306" s="122">
        <v>23500</v>
      </c>
      <c r="H306" s="123">
        <v>16</v>
      </c>
      <c r="I306" s="122">
        <v>20400</v>
      </c>
      <c r="J306" s="123">
        <v>9</v>
      </c>
      <c r="K306" s="122">
        <v>11400</v>
      </c>
      <c r="L306" s="124">
        <f t="shared" si="77"/>
        <v>44</v>
      </c>
      <c r="M306" s="125">
        <f t="shared" si="77"/>
        <v>55300</v>
      </c>
      <c r="N306" s="126">
        <f t="shared" si="64"/>
        <v>159.32203389830508</v>
      </c>
      <c r="O306" s="127">
        <f t="shared" si="65"/>
        <v>138.30508474576271</v>
      </c>
      <c r="P306" s="127">
        <f t="shared" si="66"/>
        <v>77.288135593220332</v>
      </c>
      <c r="Q306" s="128">
        <v>147.5</v>
      </c>
      <c r="R306" s="129">
        <v>147.5</v>
      </c>
      <c r="S306" s="130">
        <v>0</v>
      </c>
      <c r="T306" s="131">
        <v>194</v>
      </c>
      <c r="U306" s="131">
        <v>162</v>
      </c>
      <c r="V306" s="132">
        <f t="shared" si="68"/>
        <v>356</v>
      </c>
      <c r="W306" s="133">
        <f t="shared" si="69"/>
        <v>2.4135593220338984</v>
      </c>
      <c r="X306" s="130">
        <v>1790</v>
      </c>
      <c r="Y306" s="131">
        <v>1608</v>
      </c>
      <c r="Z306" s="131">
        <v>894</v>
      </c>
      <c r="AA306" s="132">
        <f t="shared" si="70"/>
        <v>4292</v>
      </c>
      <c r="AB306" s="133">
        <f t="shared" si="71"/>
        <v>29.098305084745764</v>
      </c>
      <c r="AC306" s="134">
        <f t="shared" si="72"/>
        <v>4648</v>
      </c>
      <c r="AD306" s="135">
        <f t="shared" si="73"/>
        <v>31.511864406779662</v>
      </c>
      <c r="AE306" s="136">
        <v>26</v>
      </c>
      <c r="AF306" s="137">
        <v>22</v>
      </c>
      <c r="AG306" s="137">
        <v>0</v>
      </c>
      <c r="AH306" s="138">
        <f t="shared" si="74"/>
        <v>48</v>
      </c>
      <c r="AI306" s="133">
        <f t="shared" si="75"/>
        <v>0.3254237288135593</v>
      </c>
    </row>
    <row r="307" spans="1:35">
      <c r="A307" s="171">
        <f>IF('09월 조업일지'!A303="","",'09월 조업일지'!A303)</f>
        <v>46276</v>
      </c>
      <c r="B307" s="172" t="str">
        <f>'09월 조업일지'!E303</f>
        <v>C</v>
      </c>
      <c r="C307" s="172" t="str">
        <f>'09월 조업일지'!F303</f>
        <v>B</v>
      </c>
      <c r="D307" s="172">
        <f>'09월 화학성분'!C304</f>
        <v>85506</v>
      </c>
      <c r="E307" s="205" t="str">
        <f t="shared" si="76"/>
        <v>SS400-05</v>
      </c>
      <c r="F307" s="121">
        <v>20</v>
      </c>
      <c r="G307" s="122">
        <v>23200</v>
      </c>
      <c r="H307" s="123">
        <v>18</v>
      </c>
      <c r="I307" s="122">
        <v>20800</v>
      </c>
      <c r="J307" s="123">
        <v>6</v>
      </c>
      <c r="K307" s="122">
        <v>8400</v>
      </c>
      <c r="L307" s="124">
        <f t="shared" si="77"/>
        <v>44</v>
      </c>
      <c r="M307" s="125">
        <f t="shared" si="77"/>
        <v>52400</v>
      </c>
      <c r="N307" s="126">
        <f t="shared" si="64"/>
        <v>158.57826384142172</v>
      </c>
      <c r="O307" s="127">
        <f t="shared" si="65"/>
        <v>142.17361585782638</v>
      </c>
      <c r="P307" s="127">
        <f t="shared" si="66"/>
        <v>57.41626794258373</v>
      </c>
      <c r="Q307" s="128">
        <f t="shared" si="67"/>
        <v>358.16814764183181</v>
      </c>
      <c r="R307" s="129">
        <v>146.30000000000001</v>
      </c>
      <c r="S307" s="130">
        <v>0</v>
      </c>
      <c r="T307" s="131">
        <v>187</v>
      </c>
      <c r="U307" s="131">
        <v>180</v>
      </c>
      <c r="V307" s="132">
        <f t="shared" si="68"/>
        <v>367</v>
      </c>
      <c r="W307" s="133">
        <f t="shared" si="69"/>
        <v>2.5085440874914555</v>
      </c>
      <c r="X307" s="130">
        <v>1597</v>
      </c>
      <c r="Y307" s="131">
        <v>1650</v>
      </c>
      <c r="Z307" s="131">
        <v>686</v>
      </c>
      <c r="AA307" s="132">
        <f t="shared" si="70"/>
        <v>3933</v>
      </c>
      <c r="AB307" s="133">
        <f t="shared" si="71"/>
        <v>26.88311688311688</v>
      </c>
      <c r="AC307" s="134">
        <f t="shared" si="72"/>
        <v>4300</v>
      </c>
      <c r="AD307" s="135">
        <f t="shared" si="73"/>
        <v>29.391660970608338</v>
      </c>
      <c r="AE307" s="136">
        <v>26</v>
      </c>
      <c r="AF307" s="137">
        <v>28</v>
      </c>
      <c r="AG307" s="137">
        <v>0</v>
      </c>
      <c r="AH307" s="138">
        <f t="shared" si="74"/>
        <v>54</v>
      </c>
      <c r="AI307" s="133">
        <f t="shared" si="75"/>
        <v>0.36910457963089538</v>
      </c>
    </row>
    <row r="308" spans="1:35">
      <c r="A308" s="171">
        <f>IF('09월 조업일지'!A304="","",'09월 조업일지'!A304)</f>
        <v>46276</v>
      </c>
      <c r="B308" s="172" t="str">
        <f>'09월 조업일지'!E304</f>
        <v>C</v>
      </c>
      <c r="C308" s="172" t="str">
        <f>'09월 조업일지'!F304</f>
        <v>A</v>
      </c>
      <c r="D308" s="172">
        <f>'09월 화학성분'!C305</f>
        <v>85507</v>
      </c>
      <c r="E308" s="205" t="str">
        <f t="shared" si="76"/>
        <v>SS400-05</v>
      </c>
      <c r="F308" s="121">
        <v>20</v>
      </c>
      <c r="G308" s="122">
        <v>23100</v>
      </c>
      <c r="H308" s="123">
        <v>17</v>
      </c>
      <c r="I308" s="122">
        <v>20800</v>
      </c>
      <c r="J308" s="123">
        <v>9</v>
      </c>
      <c r="K308" s="122">
        <v>11100</v>
      </c>
      <c r="L308" s="124">
        <f t="shared" si="77"/>
        <v>46</v>
      </c>
      <c r="M308" s="125">
        <f t="shared" si="77"/>
        <v>55000</v>
      </c>
      <c r="N308" s="126">
        <f t="shared" si="64"/>
        <v>155.97569209993247</v>
      </c>
      <c r="O308" s="127">
        <f t="shared" si="65"/>
        <v>140.44564483457125</v>
      </c>
      <c r="P308" s="127">
        <f t="shared" si="66"/>
        <v>74.949358541525996</v>
      </c>
      <c r="Q308" s="128">
        <f t="shared" si="67"/>
        <v>371.37069547602977</v>
      </c>
      <c r="R308" s="129">
        <v>148.1</v>
      </c>
      <c r="S308" s="130">
        <v>0</v>
      </c>
      <c r="T308" s="131">
        <v>203</v>
      </c>
      <c r="U308" s="131">
        <v>135</v>
      </c>
      <c r="V308" s="132">
        <f t="shared" si="68"/>
        <v>338</v>
      </c>
      <c r="W308" s="133">
        <f t="shared" si="69"/>
        <v>2.2822417285617829</v>
      </c>
      <c r="X308" s="130">
        <v>1685</v>
      </c>
      <c r="Y308" s="131">
        <v>1624</v>
      </c>
      <c r="Z308" s="131">
        <v>841</v>
      </c>
      <c r="AA308" s="132">
        <f t="shared" si="70"/>
        <v>4150</v>
      </c>
      <c r="AB308" s="133">
        <f t="shared" si="71"/>
        <v>28.021607022282243</v>
      </c>
      <c r="AC308" s="134">
        <f t="shared" si="72"/>
        <v>4488</v>
      </c>
      <c r="AD308" s="135">
        <f t="shared" si="73"/>
        <v>30.303848750844026</v>
      </c>
      <c r="AE308" s="136">
        <v>26</v>
      </c>
      <c r="AF308" s="137">
        <v>23</v>
      </c>
      <c r="AG308" s="137">
        <v>0</v>
      </c>
      <c r="AH308" s="138">
        <f t="shared" si="74"/>
        <v>49</v>
      </c>
      <c r="AI308" s="133">
        <f t="shared" si="75"/>
        <v>0.3308575286968265</v>
      </c>
    </row>
    <row r="309" spans="1:35">
      <c r="A309" s="171">
        <f>IF('09월 조업일지'!A305="","",'09월 조업일지'!A305)</f>
        <v>46276</v>
      </c>
      <c r="B309" s="172" t="str">
        <f>'09월 조업일지'!E305</f>
        <v>A</v>
      </c>
      <c r="C309" s="172" t="str">
        <f>'09월 조업일지'!F305</f>
        <v>B</v>
      </c>
      <c r="D309" s="172">
        <f>'09월 화학성분'!C306</f>
        <v>85508</v>
      </c>
      <c r="E309" s="205" t="str">
        <f t="shared" si="76"/>
        <v>SS400-05</v>
      </c>
      <c r="F309" s="121">
        <v>21</v>
      </c>
      <c r="G309" s="122">
        <v>23500</v>
      </c>
      <c r="H309" s="123">
        <v>17</v>
      </c>
      <c r="I309" s="122">
        <v>20300</v>
      </c>
      <c r="J309" s="123">
        <v>8</v>
      </c>
      <c r="K309" s="122">
        <v>11300</v>
      </c>
      <c r="L309" s="124">
        <f t="shared" si="77"/>
        <v>46</v>
      </c>
      <c r="M309" s="125">
        <f t="shared" si="77"/>
        <v>55100</v>
      </c>
      <c r="N309" s="126">
        <f t="shared" si="64"/>
        <v>161.06922549691569</v>
      </c>
      <c r="O309" s="127">
        <f t="shared" si="65"/>
        <v>139.13639479095269</v>
      </c>
      <c r="P309" s="127">
        <f t="shared" si="66"/>
        <v>77.450308430431804</v>
      </c>
      <c r="Q309" s="128">
        <f t="shared" si="67"/>
        <v>377.65592871830017</v>
      </c>
      <c r="R309" s="129">
        <v>145.9</v>
      </c>
      <c r="S309" s="130">
        <v>0</v>
      </c>
      <c r="T309" s="131">
        <v>179</v>
      </c>
      <c r="U309" s="131">
        <v>180</v>
      </c>
      <c r="V309" s="132">
        <f t="shared" si="68"/>
        <v>359</v>
      </c>
      <c r="W309" s="133">
        <f t="shared" si="69"/>
        <v>2.4605894448252226</v>
      </c>
      <c r="X309" s="130">
        <v>1682</v>
      </c>
      <c r="Y309" s="131">
        <v>1569</v>
      </c>
      <c r="Z309" s="131">
        <v>875</v>
      </c>
      <c r="AA309" s="132">
        <f t="shared" si="70"/>
        <v>4126</v>
      </c>
      <c r="AB309" s="133">
        <f t="shared" si="71"/>
        <v>28.279643591501028</v>
      </c>
      <c r="AC309" s="134">
        <f t="shared" si="72"/>
        <v>4485</v>
      </c>
      <c r="AD309" s="135">
        <f t="shared" si="73"/>
        <v>30.740233036326249</v>
      </c>
      <c r="AE309" s="136">
        <v>25</v>
      </c>
      <c r="AF309" s="137">
        <v>27</v>
      </c>
      <c r="AG309" s="137">
        <v>0</v>
      </c>
      <c r="AH309" s="138">
        <f t="shared" si="74"/>
        <v>52</v>
      </c>
      <c r="AI309" s="133">
        <f t="shared" si="75"/>
        <v>0.35640849897189852</v>
      </c>
    </row>
    <row r="310" spans="1:35">
      <c r="A310" s="171">
        <f>IF('09월 조업일지'!A306="","",'09월 조업일지'!A306)</f>
        <v>46276</v>
      </c>
      <c r="B310" s="172" t="str">
        <f>'09월 조업일지'!E306</f>
        <v>A</v>
      </c>
      <c r="C310" s="172" t="str">
        <f>'09월 조업일지'!F306</f>
        <v>A</v>
      </c>
      <c r="D310" s="172">
        <f>'09월 화학성분'!C307</f>
        <v>85509</v>
      </c>
      <c r="E310" s="205" t="str">
        <f t="shared" si="76"/>
        <v>SS400-05</v>
      </c>
      <c r="F310" s="121">
        <v>20</v>
      </c>
      <c r="G310" s="122">
        <v>23800</v>
      </c>
      <c r="H310" s="123">
        <v>16</v>
      </c>
      <c r="I310" s="122">
        <v>20400</v>
      </c>
      <c r="J310" s="123">
        <v>9</v>
      </c>
      <c r="K310" s="122">
        <v>11500</v>
      </c>
      <c r="L310" s="124">
        <f t="shared" si="77"/>
        <v>45</v>
      </c>
      <c r="M310" s="125">
        <f t="shared" si="77"/>
        <v>55700</v>
      </c>
      <c r="N310" s="126">
        <f t="shared" si="64"/>
        <v>162.12534059945503</v>
      </c>
      <c r="O310" s="127">
        <f t="shared" si="65"/>
        <v>138.96457765667574</v>
      </c>
      <c r="P310" s="127">
        <f t="shared" si="66"/>
        <v>78.337874659400541</v>
      </c>
      <c r="Q310" s="128">
        <f t="shared" si="67"/>
        <v>379.42779291553131</v>
      </c>
      <c r="R310" s="129">
        <v>146.80000000000001</v>
      </c>
      <c r="S310" s="130">
        <v>0</v>
      </c>
      <c r="T310" s="131">
        <v>190</v>
      </c>
      <c r="U310" s="131">
        <v>267</v>
      </c>
      <c r="V310" s="132">
        <f t="shared" si="68"/>
        <v>457</v>
      </c>
      <c r="W310" s="133">
        <f t="shared" si="69"/>
        <v>3.1130790190735693</v>
      </c>
      <c r="X310" s="130">
        <v>1696</v>
      </c>
      <c r="Y310" s="131">
        <v>1553</v>
      </c>
      <c r="Z310" s="131">
        <v>973</v>
      </c>
      <c r="AA310" s="132">
        <f t="shared" si="70"/>
        <v>4222</v>
      </c>
      <c r="AB310" s="133">
        <f t="shared" si="71"/>
        <v>28.760217983651224</v>
      </c>
      <c r="AC310" s="134">
        <f t="shared" si="72"/>
        <v>4679</v>
      </c>
      <c r="AD310" s="135">
        <f t="shared" si="73"/>
        <v>31.873297002724794</v>
      </c>
      <c r="AE310" s="136">
        <v>26</v>
      </c>
      <c r="AF310" s="137">
        <v>20</v>
      </c>
      <c r="AG310" s="137">
        <v>0</v>
      </c>
      <c r="AH310" s="138">
        <f t="shared" si="74"/>
        <v>46</v>
      </c>
      <c r="AI310" s="133">
        <f t="shared" si="75"/>
        <v>0.31335149863760214</v>
      </c>
    </row>
    <row r="311" spans="1:35">
      <c r="A311" s="171">
        <f>IF('09월 조업일지'!A307="","",'09월 조업일지'!A307)</f>
        <v>46276</v>
      </c>
      <c r="B311" s="172" t="str">
        <f>'09월 조업일지'!E307</f>
        <v>A</v>
      </c>
      <c r="C311" s="172" t="str">
        <f>'09월 조업일지'!F307</f>
        <v>B</v>
      </c>
      <c r="D311" s="172">
        <f>'09월 화학성분'!C308</f>
        <v>85510</v>
      </c>
      <c r="E311" s="205" t="str">
        <f t="shared" si="76"/>
        <v>SS400-05</v>
      </c>
      <c r="F311" s="121">
        <v>20</v>
      </c>
      <c r="G311" s="122">
        <v>23500</v>
      </c>
      <c r="H311" s="123">
        <v>16</v>
      </c>
      <c r="I311" s="122">
        <v>20400</v>
      </c>
      <c r="J311" s="123">
        <v>7</v>
      </c>
      <c r="K311" s="122">
        <v>8100</v>
      </c>
      <c r="L311" s="124">
        <f t="shared" si="77"/>
        <v>43</v>
      </c>
      <c r="M311" s="125">
        <f t="shared" si="77"/>
        <v>52000</v>
      </c>
      <c r="N311" s="126">
        <f t="shared" si="64"/>
        <v>163.08119361554478</v>
      </c>
      <c r="O311" s="127">
        <f t="shared" si="65"/>
        <v>141.56835530881332</v>
      </c>
      <c r="P311" s="127">
        <f t="shared" si="66"/>
        <v>56.210964607911173</v>
      </c>
      <c r="Q311" s="128">
        <f t="shared" si="67"/>
        <v>360.86051353226929</v>
      </c>
      <c r="R311" s="129">
        <v>144.1</v>
      </c>
      <c r="S311" s="130">
        <v>0</v>
      </c>
      <c r="T311" s="131">
        <v>192</v>
      </c>
      <c r="U311" s="131">
        <v>176</v>
      </c>
      <c r="V311" s="132">
        <f t="shared" si="68"/>
        <v>368</v>
      </c>
      <c r="W311" s="133">
        <f t="shared" si="69"/>
        <v>2.5537820957668287</v>
      </c>
      <c r="X311" s="130">
        <v>1687</v>
      </c>
      <c r="Y311" s="131">
        <v>1614</v>
      </c>
      <c r="Z311" s="131">
        <v>715</v>
      </c>
      <c r="AA311" s="132">
        <f t="shared" si="70"/>
        <v>4016</v>
      </c>
      <c r="AB311" s="133">
        <f t="shared" si="71"/>
        <v>27.869535045107565</v>
      </c>
      <c r="AC311" s="134">
        <f t="shared" si="72"/>
        <v>4384</v>
      </c>
      <c r="AD311" s="135">
        <f t="shared" si="73"/>
        <v>30.423317140874396</v>
      </c>
      <c r="AE311" s="136">
        <v>24</v>
      </c>
      <c r="AF311" s="137">
        <v>30</v>
      </c>
      <c r="AG311" s="137">
        <v>0</v>
      </c>
      <c r="AH311" s="138">
        <f t="shared" si="74"/>
        <v>54</v>
      </c>
      <c r="AI311" s="133">
        <f t="shared" si="75"/>
        <v>0.37473976405274118</v>
      </c>
    </row>
    <row r="312" spans="1:35">
      <c r="A312" s="171">
        <f>IF('09월 조업일지'!A308="","",'09월 조업일지'!A308)</f>
        <v>46276</v>
      </c>
      <c r="B312" s="172" t="str">
        <f>'09월 조업일지'!E308</f>
        <v>A</v>
      </c>
      <c r="C312" s="172" t="str">
        <f>'09월 조업일지'!F308</f>
        <v>A</v>
      </c>
      <c r="D312" s="172">
        <f>'09월 화학성분'!C309</f>
        <v>85511</v>
      </c>
      <c r="E312" s="205" t="str">
        <f t="shared" si="76"/>
        <v>SS400-05</v>
      </c>
      <c r="F312" s="121">
        <v>21</v>
      </c>
      <c r="G312" s="122">
        <v>23000</v>
      </c>
      <c r="H312" s="123">
        <v>17</v>
      </c>
      <c r="I312" s="122">
        <v>20600</v>
      </c>
      <c r="J312" s="123">
        <v>7</v>
      </c>
      <c r="K312" s="122">
        <v>8500</v>
      </c>
      <c r="L312" s="124">
        <f t="shared" si="77"/>
        <v>45</v>
      </c>
      <c r="M312" s="125">
        <f t="shared" si="77"/>
        <v>52100</v>
      </c>
      <c r="N312" s="126">
        <f t="shared" si="64"/>
        <v>157.10382513661202</v>
      </c>
      <c r="O312" s="127">
        <f t="shared" si="65"/>
        <v>140.71038251366119</v>
      </c>
      <c r="P312" s="127">
        <f t="shared" si="66"/>
        <v>58.060109289617486</v>
      </c>
      <c r="Q312" s="128">
        <f t="shared" si="67"/>
        <v>355.87431693989072</v>
      </c>
      <c r="R312" s="129">
        <v>146.4</v>
      </c>
      <c r="S312" s="130">
        <v>0</v>
      </c>
      <c r="T312" s="131">
        <v>210</v>
      </c>
      <c r="U312" s="131">
        <v>128</v>
      </c>
      <c r="V312" s="132">
        <f t="shared" si="68"/>
        <v>338</v>
      </c>
      <c r="W312" s="133">
        <f t="shared" si="69"/>
        <v>2.3087431693989071</v>
      </c>
      <c r="X312" s="130">
        <v>1713</v>
      </c>
      <c r="Y312" s="131">
        <v>1578</v>
      </c>
      <c r="Z312" s="131">
        <v>707</v>
      </c>
      <c r="AA312" s="132">
        <f t="shared" si="70"/>
        <v>3998</v>
      </c>
      <c r="AB312" s="133">
        <f t="shared" si="71"/>
        <v>27.308743169398905</v>
      </c>
      <c r="AC312" s="134">
        <f t="shared" si="72"/>
        <v>4336</v>
      </c>
      <c r="AD312" s="135">
        <f t="shared" si="73"/>
        <v>29.617486338797814</v>
      </c>
      <c r="AE312" s="136">
        <v>25</v>
      </c>
      <c r="AF312" s="137">
        <v>20</v>
      </c>
      <c r="AG312" s="137">
        <v>0</v>
      </c>
      <c r="AH312" s="138">
        <f t="shared" si="74"/>
        <v>45</v>
      </c>
      <c r="AI312" s="133">
        <f t="shared" si="75"/>
        <v>0.30737704918032788</v>
      </c>
    </row>
    <row r="313" spans="1:35">
      <c r="A313" s="171">
        <f>IF('09월 조업일지'!A309="","",'09월 조업일지'!A309)</f>
        <v>46276</v>
      </c>
      <c r="B313" s="172" t="str">
        <f>'09월 조업일지'!E309</f>
        <v>A</v>
      </c>
      <c r="C313" s="172" t="str">
        <f>'09월 조업일지'!F309</f>
        <v>B</v>
      </c>
      <c r="D313" s="172">
        <f>'09월 화학성분'!C310</f>
        <v>85512</v>
      </c>
      <c r="E313" s="205" t="str">
        <f t="shared" si="76"/>
        <v>SS400-05</v>
      </c>
      <c r="F313" s="121">
        <v>21</v>
      </c>
      <c r="G313" s="122">
        <v>23300</v>
      </c>
      <c r="H313" s="123">
        <v>17</v>
      </c>
      <c r="I313" s="122">
        <v>20400</v>
      </c>
      <c r="J313" s="123">
        <v>7</v>
      </c>
      <c r="K313" s="122">
        <v>8900</v>
      </c>
      <c r="L313" s="124">
        <f t="shared" si="77"/>
        <v>45</v>
      </c>
      <c r="M313" s="125">
        <f t="shared" si="77"/>
        <v>52600</v>
      </c>
      <c r="N313" s="126">
        <f t="shared" si="64"/>
        <v>159.58904109589042</v>
      </c>
      <c r="O313" s="127">
        <f t="shared" si="65"/>
        <v>139.72602739726028</v>
      </c>
      <c r="P313" s="127">
        <f t="shared" si="66"/>
        <v>60.958904109589042</v>
      </c>
      <c r="Q313" s="128">
        <f t="shared" si="67"/>
        <v>360.27397260273972</v>
      </c>
      <c r="R313" s="129">
        <v>146</v>
      </c>
      <c r="S313" s="130">
        <v>0</v>
      </c>
      <c r="T313" s="131">
        <v>86</v>
      </c>
      <c r="U313" s="131">
        <v>277</v>
      </c>
      <c r="V313" s="132">
        <f t="shared" si="68"/>
        <v>363</v>
      </c>
      <c r="W313" s="133">
        <f t="shared" si="69"/>
        <v>2.4863013698630136</v>
      </c>
      <c r="X313" s="130">
        <v>1762</v>
      </c>
      <c r="Y313" s="131">
        <v>1553</v>
      </c>
      <c r="Z313" s="131">
        <v>698</v>
      </c>
      <c r="AA313" s="132">
        <f t="shared" si="70"/>
        <v>4013</v>
      </c>
      <c r="AB313" s="133">
        <f t="shared" si="71"/>
        <v>27.486301369863014</v>
      </c>
      <c r="AC313" s="134">
        <f t="shared" si="72"/>
        <v>4376</v>
      </c>
      <c r="AD313" s="135">
        <f t="shared" si="73"/>
        <v>29.972602739726028</v>
      </c>
      <c r="AE313" s="136">
        <v>26</v>
      </c>
      <c r="AF313" s="137">
        <v>30</v>
      </c>
      <c r="AG313" s="137">
        <v>0</v>
      </c>
      <c r="AH313" s="138">
        <f t="shared" si="74"/>
        <v>56</v>
      </c>
      <c r="AI313" s="133">
        <f t="shared" si="75"/>
        <v>0.38356164383561642</v>
      </c>
    </row>
    <row r="314" spans="1:35">
      <c r="A314" s="171">
        <f>IF('09월 조업일지'!A310="","",'09월 조업일지'!A310)</f>
        <v>46276</v>
      </c>
      <c r="B314" s="172" t="str">
        <f>'09월 조업일지'!E310</f>
        <v>A</v>
      </c>
      <c r="C314" s="172" t="str">
        <f>'09월 조업일지'!F310</f>
        <v>A</v>
      </c>
      <c r="D314" s="172">
        <f>'09월 화학성분'!C311</f>
        <v>85513</v>
      </c>
      <c r="E314" s="205" t="str">
        <f t="shared" si="76"/>
        <v>SS400-05</v>
      </c>
      <c r="F314" s="121">
        <v>19</v>
      </c>
      <c r="G314" s="122">
        <v>23500</v>
      </c>
      <c r="H314" s="123">
        <v>18</v>
      </c>
      <c r="I314" s="122">
        <v>20500</v>
      </c>
      <c r="J314" s="123">
        <v>7</v>
      </c>
      <c r="K314" s="122">
        <v>8800</v>
      </c>
      <c r="L314" s="124">
        <f t="shared" si="77"/>
        <v>44</v>
      </c>
      <c r="M314" s="125">
        <f t="shared" si="77"/>
        <v>52800</v>
      </c>
      <c r="N314" s="126">
        <f t="shared" si="64"/>
        <v>163.76306620209058</v>
      </c>
      <c r="O314" s="127">
        <f t="shared" si="65"/>
        <v>142.85714285714286</v>
      </c>
      <c r="P314" s="127">
        <f t="shared" si="66"/>
        <v>61.324041811846691</v>
      </c>
      <c r="Q314" s="128">
        <f t="shared" si="67"/>
        <v>367.94425087108016</v>
      </c>
      <c r="R314" s="129">
        <v>143.5</v>
      </c>
      <c r="S314" s="130">
        <v>0</v>
      </c>
      <c r="T314" s="131">
        <v>104</v>
      </c>
      <c r="U314" s="131">
        <v>257</v>
      </c>
      <c r="V314" s="132">
        <f t="shared" si="68"/>
        <v>361</v>
      </c>
      <c r="W314" s="133">
        <f t="shared" si="69"/>
        <v>2.515679442508711</v>
      </c>
      <c r="X314" s="130">
        <v>1663</v>
      </c>
      <c r="Y314" s="131">
        <v>1620</v>
      </c>
      <c r="Z314" s="131">
        <v>749</v>
      </c>
      <c r="AA314" s="132">
        <f t="shared" si="70"/>
        <v>4032</v>
      </c>
      <c r="AB314" s="133">
        <f t="shared" si="71"/>
        <v>28.097560975609756</v>
      </c>
      <c r="AC314" s="134">
        <f t="shared" si="72"/>
        <v>4393</v>
      </c>
      <c r="AD314" s="135">
        <f t="shared" si="73"/>
        <v>30.613240418118465</v>
      </c>
      <c r="AE314" s="136">
        <v>26</v>
      </c>
      <c r="AF314" s="137">
        <v>20</v>
      </c>
      <c r="AG314" s="137">
        <v>0</v>
      </c>
      <c r="AH314" s="138">
        <f t="shared" si="74"/>
        <v>46</v>
      </c>
      <c r="AI314" s="133">
        <f t="shared" si="75"/>
        <v>0.32055749128919858</v>
      </c>
    </row>
    <row r="315" spans="1:35">
      <c r="A315" s="171">
        <f>IF('09월 조업일지'!A311="","",'09월 조업일지'!A311)</f>
        <v>46276</v>
      </c>
      <c r="B315" s="172" t="str">
        <f>'09월 조업일지'!E311</f>
        <v>A</v>
      </c>
      <c r="C315" s="172" t="str">
        <f>'09월 조업일지'!F311</f>
        <v>B</v>
      </c>
      <c r="D315" s="172">
        <f>'09월 화학성분'!C312</f>
        <v>85514</v>
      </c>
      <c r="E315" s="205" t="str">
        <f t="shared" si="76"/>
        <v>SS400-05</v>
      </c>
      <c r="F315" s="121">
        <v>20</v>
      </c>
      <c r="G315" s="122">
        <v>23100</v>
      </c>
      <c r="H315" s="123">
        <v>17</v>
      </c>
      <c r="I315" s="122">
        <v>20600</v>
      </c>
      <c r="J315" s="123">
        <v>6</v>
      </c>
      <c r="K315" s="122">
        <v>8300</v>
      </c>
      <c r="L315" s="124">
        <f t="shared" si="77"/>
        <v>43</v>
      </c>
      <c r="M315" s="125">
        <f t="shared" si="77"/>
        <v>52000</v>
      </c>
      <c r="N315" s="126">
        <f t="shared" si="64"/>
        <v>157.67918088737201</v>
      </c>
      <c r="O315" s="127">
        <f t="shared" si="65"/>
        <v>140.61433447098977</v>
      </c>
      <c r="P315" s="127">
        <f t="shared" si="66"/>
        <v>56.655290102389081</v>
      </c>
      <c r="Q315" s="128">
        <f t="shared" si="67"/>
        <v>354.94880546075086</v>
      </c>
      <c r="R315" s="129">
        <v>146.5</v>
      </c>
      <c r="S315" s="130">
        <v>0</v>
      </c>
      <c r="T315" s="131">
        <v>4</v>
      </c>
      <c r="U315" s="131">
        <v>353</v>
      </c>
      <c r="V315" s="132">
        <f t="shared" si="68"/>
        <v>357</v>
      </c>
      <c r="W315" s="133">
        <f t="shared" si="69"/>
        <v>2.4368600682593855</v>
      </c>
      <c r="X315" s="130">
        <v>1671</v>
      </c>
      <c r="Y315" s="131">
        <v>1626</v>
      </c>
      <c r="Z315" s="131">
        <v>687</v>
      </c>
      <c r="AA315" s="132">
        <f t="shared" si="70"/>
        <v>3984</v>
      </c>
      <c r="AB315" s="133">
        <f t="shared" si="71"/>
        <v>27.194539249146757</v>
      </c>
      <c r="AC315" s="134">
        <f t="shared" si="72"/>
        <v>4341</v>
      </c>
      <c r="AD315" s="135">
        <f t="shared" si="73"/>
        <v>29.631399317406142</v>
      </c>
      <c r="AE315" s="136">
        <v>24</v>
      </c>
      <c r="AF315" s="137">
        <v>30</v>
      </c>
      <c r="AG315" s="137">
        <v>0</v>
      </c>
      <c r="AH315" s="138">
        <f t="shared" si="74"/>
        <v>54</v>
      </c>
      <c r="AI315" s="133">
        <f t="shared" si="75"/>
        <v>0.36860068259385664</v>
      </c>
    </row>
    <row r="316" spans="1:35">
      <c r="A316" s="171">
        <f>IF('09월 조업일지'!A312="","",'09월 조업일지'!A312)</f>
        <v>46276</v>
      </c>
      <c r="B316" s="172" t="str">
        <f>'09월 조업일지'!E312</f>
        <v>A</v>
      </c>
      <c r="C316" s="172" t="str">
        <f>'09월 조업일지'!F312</f>
        <v>A</v>
      </c>
      <c r="D316" s="172">
        <f>'09월 화학성분'!C313</f>
        <v>85515</v>
      </c>
      <c r="E316" s="205" t="str">
        <f t="shared" si="76"/>
        <v>SS400-05</v>
      </c>
      <c r="F316" s="121">
        <v>20</v>
      </c>
      <c r="G316" s="122">
        <v>23300</v>
      </c>
      <c r="H316" s="123">
        <v>17</v>
      </c>
      <c r="I316" s="122">
        <v>20600</v>
      </c>
      <c r="J316" s="123">
        <v>8</v>
      </c>
      <c r="K316" s="122">
        <v>10200</v>
      </c>
      <c r="L316" s="124">
        <f t="shared" si="77"/>
        <v>45</v>
      </c>
      <c r="M316" s="125">
        <f t="shared" si="77"/>
        <v>54100</v>
      </c>
      <c r="N316" s="126">
        <f t="shared" si="64"/>
        <v>159.15300546448086</v>
      </c>
      <c r="O316" s="127">
        <f t="shared" si="65"/>
        <v>140.71038251366119</v>
      </c>
      <c r="P316" s="127">
        <f t="shared" si="66"/>
        <v>69.672131147540981</v>
      </c>
      <c r="Q316" s="128">
        <f t="shared" si="67"/>
        <v>369.53551912568304</v>
      </c>
      <c r="R316" s="129">
        <v>146.4</v>
      </c>
      <c r="S316" s="130">
        <v>0</v>
      </c>
      <c r="T316" s="131">
        <v>131</v>
      </c>
      <c r="U316" s="131">
        <v>222</v>
      </c>
      <c r="V316" s="132">
        <f t="shared" si="68"/>
        <v>353</v>
      </c>
      <c r="W316" s="133">
        <f t="shared" si="69"/>
        <v>2.4112021857923498</v>
      </c>
      <c r="X316" s="130">
        <v>1749</v>
      </c>
      <c r="Y316" s="131">
        <v>1590</v>
      </c>
      <c r="Z316" s="131">
        <v>913</v>
      </c>
      <c r="AA316" s="132">
        <f t="shared" si="70"/>
        <v>4252</v>
      </c>
      <c r="AB316" s="133">
        <f t="shared" si="71"/>
        <v>29.043715846994534</v>
      </c>
      <c r="AC316" s="134">
        <f t="shared" si="72"/>
        <v>4605</v>
      </c>
      <c r="AD316" s="135">
        <f t="shared" si="73"/>
        <v>31.454918032786885</v>
      </c>
      <c r="AE316" s="136">
        <v>26</v>
      </c>
      <c r="AF316" s="137">
        <v>24</v>
      </c>
      <c r="AG316" s="137">
        <v>0</v>
      </c>
      <c r="AH316" s="138">
        <f t="shared" si="74"/>
        <v>50</v>
      </c>
      <c r="AI316" s="133">
        <f t="shared" si="75"/>
        <v>0.34153005464480873</v>
      </c>
    </row>
    <row r="317" spans="1:35">
      <c r="A317" s="171">
        <f>IF('09월 조업일지'!A313="","",'09월 조업일지'!A313)</f>
        <v>46276</v>
      </c>
      <c r="B317" s="172" t="str">
        <f>'09월 조업일지'!E313</f>
        <v>A</v>
      </c>
      <c r="C317" s="172" t="str">
        <f>'09월 조업일지'!F313</f>
        <v>B</v>
      </c>
      <c r="D317" s="172">
        <f>'09월 화학성분'!C314</f>
        <v>85516</v>
      </c>
      <c r="E317" s="205" t="str">
        <f t="shared" si="76"/>
        <v>SS400-05</v>
      </c>
      <c r="F317" s="121">
        <v>21</v>
      </c>
      <c r="G317" s="122">
        <v>23200</v>
      </c>
      <c r="H317" s="123">
        <v>18</v>
      </c>
      <c r="I317" s="122">
        <v>20800</v>
      </c>
      <c r="J317" s="123">
        <v>7</v>
      </c>
      <c r="K317" s="122">
        <v>9700</v>
      </c>
      <c r="L317" s="124">
        <f t="shared" si="77"/>
        <v>46</v>
      </c>
      <c r="M317" s="125">
        <f t="shared" si="77"/>
        <v>53700</v>
      </c>
      <c r="N317" s="126">
        <f t="shared" si="64"/>
        <v>157.60869565217394</v>
      </c>
      <c r="O317" s="127">
        <f t="shared" si="65"/>
        <v>141.30434782608697</v>
      </c>
      <c r="P317" s="127">
        <f t="shared" si="66"/>
        <v>65.896739130434781</v>
      </c>
      <c r="Q317" s="128">
        <f t="shared" si="67"/>
        <v>364.80978260869563</v>
      </c>
      <c r="R317" s="129">
        <v>147.19999999999999</v>
      </c>
      <c r="S317" s="130">
        <v>0</v>
      </c>
      <c r="T317" s="131">
        <v>107</v>
      </c>
      <c r="U317" s="131">
        <v>268</v>
      </c>
      <c r="V317" s="132">
        <f t="shared" si="68"/>
        <v>375</v>
      </c>
      <c r="W317" s="133">
        <f t="shared" si="69"/>
        <v>2.5475543478260874</v>
      </c>
      <c r="X317" s="130">
        <v>1709</v>
      </c>
      <c r="Y317" s="131">
        <v>1609</v>
      </c>
      <c r="Z317" s="131">
        <v>822</v>
      </c>
      <c r="AA317" s="132">
        <f t="shared" si="70"/>
        <v>4140</v>
      </c>
      <c r="AB317" s="133">
        <f t="shared" si="71"/>
        <v>28.125000000000004</v>
      </c>
      <c r="AC317" s="134">
        <f t="shared" si="72"/>
        <v>4515</v>
      </c>
      <c r="AD317" s="135">
        <f t="shared" si="73"/>
        <v>30.67255434782609</v>
      </c>
      <c r="AE317" s="136">
        <v>24</v>
      </c>
      <c r="AF317" s="137">
        <v>30</v>
      </c>
      <c r="AG317" s="137">
        <v>0</v>
      </c>
      <c r="AH317" s="138">
        <f t="shared" si="74"/>
        <v>54</v>
      </c>
      <c r="AI317" s="133">
        <f t="shared" si="75"/>
        <v>0.36684782608695654</v>
      </c>
    </row>
    <row r="318" spans="1:35">
      <c r="A318" s="171">
        <f>IF('09월 조업일지'!A314="","",'09월 조업일지'!A314)</f>
        <v>46276</v>
      </c>
      <c r="B318" s="172" t="str">
        <f>'09월 조업일지'!E314</f>
        <v>A</v>
      </c>
      <c r="C318" s="352" t="str">
        <f>'09월 조업일지'!F314</f>
        <v>A</v>
      </c>
      <c r="D318" s="172">
        <f>'09월 화학성분'!C315</f>
        <v>85517</v>
      </c>
      <c r="E318" s="205" t="str">
        <f t="shared" si="76"/>
        <v>SS400-05</v>
      </c>
      <c r="F318" s="121">
        <v>19</v>
      </c>
      <c r="G318" s="122">
        <v>23400</v>
      </c>
      <c r="H318" s="123">
        <v>17</v>
      </c>
      <c r="I318" s="122">
        <v>20600</v>
      </c>
      <c r="J318" s="123">
        <v>9</v>
      </c>
      <c r="K318" s="122">
        <v>10900</v>
      </c>
      <c r="L318" s="124">
        <f t="shared" si="77"/>
        <v>45</v>
      </c>
      <c r="M318" s="125">
        <f t="shared" si="77"/>
        <v>54900</v>
      </c>
      <c r="N318" s="126">
        <f t="shared" si="64"/>
        <v>156.52173913043478</v>
      </c>
      <c r="O318" s="127">
        <f t="shared" si="65"/>
        <v>137.79264214046822</v>
      </c>
      <c r="P318" s="127">
        <f t="shared" si="66"/>
        <v>72.909698996655521</v>
      </c>
      <c r="Q318" s="128">
        <f t="shared" si="67"/>
        <v>367.22408026755852</v>
      </c>
      <c r="R318" s="129">
        <v>149.5</v>
      </c>
      <c r="S318" s="130">
        <v>0</v>
      </c>
      <c r="T318" s="131">
        <v>130</v>
      </c>
      <c r="U318" s="131">
        <v>265</v>
      </c>
      <c r="V318" s="132">
        <f t="shared" si="68"/>
        <v>395</v>
      </c>
      <c r="W318" s="133">
        <f t="shared" si="69"/>
        <v>2.6421404682274248</v>
      </c>
      <c r="X318" s="130">
        <v>1620</v>
      </c>
      <c r="Y318" s="131">
        <v>1632</v>
      </c>
      <c r="Z318" s="131">
        <v>934</v>
      </c>
      <c r="AA318" s="132">
        <f t="shared" si="70"/>
        <v>4186</v>
      </c>
      <c r="AB318" s="133">
        <f t="shared" si="71"/>
        <v>28</v>
      </c>
      <c r="AC318" s="134">
        <f t="shared" si="72"/>
        <v>4581</v>
      </c>
      <c r="AD318" s="135">
        <f t="shared" si="73"/>
        <v>30.642140468227424</v>
      </c>
      <c r="AE318" s="136">
        <v>25</v>
      </c>
      <c r="AF318" s="137">
        <v>31</v>
      </c>
      <c r="AG318" s="137">
        <v>0</v>
      </c>
      <c r="AH318" s="138">
        <f t="shared" si="74"/>
        <v>56</v>
      </c>
      <c r="AI318" s="133">
        <f t="shared" si="75"/>
        <v>0.37458193979933108</v>
      </c>
    </row>
    <row r="319" spans="1:35">
      <c r="A319" s="171">
        <f>IF('09월 조업일지'!A315="","",'09월 조업일지'!A315)</f>
        <v>46276</v>
      </c>
      <c r="B319" s="172" t="str">
        <f>'09월 조업일지'!E315</f>
        <v>B</v>
      </c>
      <c r="C319" s="352" t="str">
        <f>'09월 조업일지'!F315</f>
        <v>B</v>
      </c>
      <c r="D319" s="172">
        <f>'09월 화학성분'!C316</f>
        <v>85518</v>
      </c>
      <c r="E319" s="205" t="str">
        <f t="shared" si="76"/>
        <v>SS400-05</v>
      </c>
      <c r="F319" s="121">
        <v>20</v>
      </c>
      <c r="G319" s="122">
        <v>23600</v>
      </c>
      <c r="H319" s="123">
        <v>19</v>
      </c>
      <c r="I319" s="122">
        <v>20200</v>
      </c>
      <c r="J319" s="123">
        <v>9</v>
      </c>
      <c r="K319" s="122">
        <v>10900</v>
      </c>
      <c r="L319" s="124">
        <f t="shared" si="77"/>
        <v>48</v>
      </c>
      <c r="M319" s="125">
        <f t="shared" si="77"/>
        <v>54700</v>
      </c>
      <c r="N319" s="126">
        <f t="shared" si="64"/>
        <v>159.56727518593644</v>
      </c>
      <c r="O319" s="127">
        <f t="shared" si="65"/>
        <v>136.57876943881001</v>
      </c>
      <c r="P319" s="127">
        <f t="shared" si="66"/>
        <v>73.698444895199458</v>
      </c>
      <c r="Q319" s="128">
        <f t="shared" si="67"/>
        <v>369.84448951994591</v>
      </c>
      <c r="R319" s="129">
        <v>147.9</v>
      </c>
      <c r="S319" s="130">
        <v>0</v>
      </c>
      <c r="T319" s="131">
        <v>164</v>
      </c>
      <c r="U319" s="131">
        <v>342</v>
      </c>
      <c r="V319" s="132">
        <f t="shared" si="68"/>
        <v>506</v>
      </c>
      <c r="W319" s="133">
        <f t="shared" si="69"/>
        <v>3.4212305611899931</v>
      </c>
      <c r="X319" s="130">
        <v>1658</v>
      </c>
      <c r="Y319" s="131">
        <v>1741</v>
      </c>
      <c r="Z319" s="131">
        <v>1131</v>
      </c>
      <c r="AA319" s="132">
        <f t="shared" si="70"/>
        <v>4530</v>
      </c>
      <c r="AB319" s="133">
        <f t="shared" si="71"/>
        <v>30.628803245436103</v>
      </c>
      <c r="AC319" s="134">
        <f t="shared" si="72"/>
        <v>5036</v>
      </c>
      <c r="AD319" s="135">
        <f t="shared" si="73"/>
        <v>34.050033806626097</v>
      </c>
      <c r="AE319" s="136">
        <v>22</v>
      </c>
      <c r="AF319" s="137">
        <v>32</v>
      </c>
      <c r="AG319" s="137">
        <v>0</v>
      </c>
      <c r="AH319" s="138">
        <f t="shared" si="74"/>
        <v>54</v>
      </c>
      <c r="AI319" s="133">
        <f t="shared" si="75"/>
        <v>0.36511156186612576</v>
      </c>
    </row>
    <row r="320" spans="1:35">
      <c r="A320" s="171">
        <f>IF('09월 조업일지'!A316="","",'09월 조업일지'!A316)</f>
        <v>46276</v>
      </c>
      <c r="B320" s="172" t="str">
        <f>'09월 조업일지'!E316</f>
        <v>B</v>
      </c>
      <c r="C320" s="352" t="str">
        <f>'09월 조업일지'!F316</f>
        <v>A</v>
      </c>
      <c r="D320" s="172">
        <f>'09월 화학성분'!C317</f>
        <v>85519</v>
      </c>
      <c r="E320" s="205" t="str">
        <f t="shared" si="76"/>
        <v>SS400-05</v>
      </c>
      <c r="F320" s="121">
        <v>20</v>
      </c>
      <c r="G320" s="122">
        <v>24000</v>
      </c>
      <c r="H320" s="123">
        <v>17</v>
      </c>
      <c r="I320" s="122">
        <v>20500</v>
      </c>
      <c r="J320" s="123">
        <v>6</v>
      </c>
      <c r="K320" s="122">
        <v>7900</v>
      </c>
      <c r="L320" s="124">
        <f t="shared" si="77"/>
        <v>43</v>
      </c>
      <c r="M320" s="125">
        <f t="shared" si="77"/>
        <v>52400</v>
      </c>
      <c r="N320" s="126">
        <f t="shared" si="64"/>
        <v>164.83516483516485</v>
      </c>
      <c r="O320" s="127">
        <f t="shared" si="65"/>
        <v>140.7967032967033</v>
      </c>
      <c r="P320" s="127">
        <f t="shared" si="66"/>
        <v>54.258241758241759</v>
      </c>
      <c r="Q320" s="128">
        <f t="shared" si="67"/>
        <v>359.8901098901099</v>
      </c>
      <c r="R320" s="129">
        <v>145.6</v>
      </c>
      <c r="S320" s="130">
        <v>0</v>
      </c>
      <c r="T320" s="131">
        <v>133</v>
      </c>
      <c r="U320" s="131">
        <v>385</v>
      </c>
      <c r="V320" s="132">
        <f t="shared" si="68"/>
        <v>518</v>
      </c>
      <c r="W320" s="133">
        <f t="shared" si="69"/>
        <v>3.5576923076923079</v>
      </c>
      <c r="X320" s="130">
        <v>1702</v>
      </c>
      <c r="Y320" s="131">
        <v>1636</v>
      </c>
      <c r="Z320" s="131">
        <v>842</v>
      </c>
      <c r="AA320" s="132">
        <f t="shared" si="70"/>
        <v>4180</v>
      </c>
      <c r="AB320" s="133">
        <f t="shared" si="71"/>
        <v>28.708791208791212</v>
      </c>
      <c r="AC320" s="134">
        <f t="shared" si="72"/>
        <v>4698</v>
      </c>
      <c r="AD320" s="135">
        <f t="shared" si="73"/>
        <v>32.266483516483518</v>
      </c>
      <c r="AE320" s="136">
        <v>24</v>
      </c>
      <c r="AF320" s="137">
        <v>29</v>
      </c>
      <c r="AG320" s="137">
        <v>0</v>
      </c>
      <c r="AH320" s="138">
        <f t="shared" si="74"/>
        <v>53</v>
      </c>
      <c r="AI320" s="133">
        <f t="shared" si="75"/>
        <v>0.36401098901098905</v>
      </c>
    </row>
    <row r="321" spans="1:35">
      <c r="A321" s="171">
        <f>IF('09월 조업일지'!A317="","",'09월 조업일지'!A317)</f>
        <v>46276</v>
      </c>
      <c r="B321" s="172" t="str">
        <f>'09월 조업일지'!E317</f>
        <v>B</v>
      </c>
      <c r="C321" s="352" t="str">
        <f>'09월 조업일지'!F317</f>
        <v>B</v>
      </c>
      <c r="D321" s="172">
        <f>'09월 화학성분'!C318</f>
        <v>85520</v>
      </c>
      <c r="E321" s="205" t="str">
        <f t="shared" si="76"/>
        <v>SS400-05</v>
      </c>
      <c r="F321" s="121">
        <v>20</v>
      </c>
      <c r="G321" s="122">
        <v>23300</v>
      </c>
      <c r="H321" s="123">
        <v>17</v>
      </c>
      <c r="I321" s="122">
        <v>20800</v>
      </c>
      <c r="J321" s="123">
        <v>7</v>
      </c>
      <c r="K321" s="122">
        <v>9200</v>
      </c>
      <c r="L321" s="124">
        <f t="shared" si="77"/>
        <v>44</v>
      </c>
      <c r="M321" s="125">
        <f t="shared" si="77"/>
        <v>53300</v>
      </c>
      <c r="N321" s="126">
        <f t="shared" si="64"/>
        <v>156.79676985195155</v>
      </c>
      <c r="O321" s="127">
        <f t="shared" si="65"/>
        <v>139.97308209959624</v>
      </c>
      <c r="P321" s="127">
        <f t="shared" si="66"/>
        <v>61.911170928667566</v>
      </c>
      <c r="Q321" s="128">
        <f t="shared" si="67"/>
        <v>358.68102288021538</v>
      </c>
      <c r="R321" s="129">
        <v>148.6</v>
      </c>
      <c r="S321" s="130">
        <v>0</v>
      </c>
      <c r="T321" s="131">
        <v>165</v>
      </c>
      <c r="U321" s="131">
        <v>200</v>
      </c>
      <c r="V321" s="132">
        <f t="shared" si="68"/>
        <v>365</v>
      </c>
      <c r="W321" s="133">
        <f t="shared" si="69"/>
        <v>2.4562584118438764</v>
      </c>
      <c r="X321" s="130">
        <v>1627</v>
      </c>
      <c r="Y321" s="131">
        <v>1624</v>
      </c>
      <c r="Z321" s="131">
        <v>793</v>
      </c>
      <c r="AA321" s="132">
        <f t="shared" si="70"/>
        <v>4044</v>
      </c>
      <c r="AB321" s="133">
        <f t="shared" si="71"/>
        <v>27.213997308209962</v>
      </c>
      <c r="AC321" s="134">
        <f t="shared" si="72"/>
        <v>4409</v>
      </c>
      <c r="AD321" s="135">
        <f t="shared" si="73"/>
        <v>29.670255720053838</v>
      </c>
      <c r="AE321" s="136">
        <v>26</v>
      </c>
      <c r="AF321" s="137">
        <v>26</v>
      </c>
      <c r="AG321" s="137">
        <v>0</v>
      </c>
      <c r="AH321" s="138">
        <f t="shared" si="74"/>
        <v>52</v>
      </c>
      <c r="AI321" s="133">
        <f t="shared" si="75"/>
        <v>0.34993270524899062</v>
      </c>
    </row>
    <row r="322" spans="1:35">
      <c r="A322" s="171">
        <f>IF('09월 조업일지'!A318="","",'09월 조업일지'!A318)</f>
        <v>46276</v>
      </c>
      <c r="B322" s="172" t="str">
        <f>'09월 조업일지'!E318</f>
        <v>B</v>
      </c>
      <c r="C322" s="172" t="str">
        <f>'09월 조업일지'!F318</f>
        <v>A</v>
      </c>
      <c r="D322" s="172">
        <f>'09월 화학성분'!C319</f>
        <v>85521</v>
      </c>
      <c r="E322" s="205" t="str">
        <f t="shared" si="76"/>
        <v>SS400-05</v>
      </c>
      <c r="F322" s="121">
        <v>20</v>
      </c>
      <c r="G322" s="122">
        <v>23100</v>
      </c>
      <c r="H322" s="123">
        <v>18</v>
      </c>
      <c r="I322" s="122">
        <v>20300</v>
      </c>
      <c r="J322" s="123">
        <f>104-18-20</f>
        <v>66</v>
      </c>
      <c r="K322" s="122">
        <v>71800</v>
      </c>
      <c r="L322" s="124">
        <f t="shared" si="77"/>
        <v>104</v>
      </c>
      <c r="M322" s="125">
        <f t="shared" si="77"/>
        <v>115200</v>
      </c>
      <c r="N322" s="126">
        <f t="shared" si="64"/>
        <v>166.54650324441241</v>
      </c>
      <c r="O322" s="127">
        <f t="shared" si="65"/>
        <v>146.35904830569575</v>
      </c>
      <c r="P322" s="127">
        <f t="shared" si="66"/>
        <v>517.66402307137707</v>
      </c>
      <c r="Q322" s="128">
        <f t="shared" si="67"/>
        <v>830.56957462148523</v>
      </c>
      <c r="R322" s="129">
        <v>138.69999999999999</v>
      </c>
      <c r="S322" s="130">
        <v>0</v>
      </c>
      <c r="T322" s="131">
        <v>78</v>
      </c>
      <c r="U322" s="131">
        <v>618</v>
      </c>
      <c r="V322" s="132">
        <f t="shared" si="68"/>
        <v>696</v>
      </c>
      <c r="W322" s="133">
        <f t="shared" si="69"/>
        <v>5.0180245133381405</v>
      </c>
      <c r="X322" s="130">
        <v>1728</v>
      </c>
      <c r="Y322" s="131">
        <v>1677</v>
      </c>
      <c r="Z322" s="131">
        <v>2965</v>
      </c>
      <c r="AA322" s="132">
        <f t="shared" si="70"/>
        <v>6370</v>
      </c>
      <c r="AB322" s="133">
        <f t="shared" si="71"/>
        <v>45.926459985580394</v>
      </c>
      <c r="AC322" s="134">
        <f t="shared" si="72"/>
        <v>7066</v>
      </c>
      <c r="AD322" s="135">
        <f t="shared" si="73"/>
        <v>50.944484498918534</v>
      </c>
      <c r="AE322" s="136">
        <v>27</v>
      </c>
      <c r="AF322" s="137">
        <v>24</v>
      </c>
      <c r="AG322" s="137">
        <v>14</v>
      </c>
      <c r="AH322" s="138">
        <f t="shared" si="74"/>
        <v>65</v>
      </c>
      <c r="AI322" s="133">
        <f t="shared" si="75"/>
        <v>0.46863734679163666</v>
      </c>
    </row>
    <row r="323" spans="1:35">
      <c r="A323" s="171">
        <f>IF('09월 조업일지'!A319="","",'09월 조업일지'!A319)</f>
        <v>46276</v>
      </c>
      <c r="B323" s="172" t="str">
        <f>'09월 조업일지'!E319</f>
        <v>B</v>
      </c>
      <c r="C323" s="172" t="str">
        <f>'09월 조업일지'!F319</f>
        <v>B</v>
      </c>
      <c r="D323" s="172">
        <f>'09월 화학성분'!C320</f>
        <v>85522</v>
      </c>
      <c r="E323" s="205" t="str">
        <f t="shared" si="76"/>
        <v>SS400-05</v>
      </c>
      <c r="F323" s="121">
        <v>21</v>
      </c>
      <c r="G323" s="122">
        <v>24900</v>
      </c>
      <c r="H323" s="123">
        <v>17</v>
      </c>
      <c r="I323" s="122">
        <v>20500</v>
      </c>
      <c r="J323" s="123">
        <v>7</v>
      </c>
      <c r="K323" s="122">
        <v>9300</v>
      </c>
      <c r="L323" s="124">
        <f t="shared" si="77"/>
        <v>45</v>
      </c>
      <c r="M323" s="125">
        <f t="shared" si="77"/>
        <v>54700</v>
      </c>
      <c r="N323" s="126">
        <f t="shared" si="64"/>
        <v>166.89008042895443</v>
      </c>
      <c r="O323" s="127">
        <f t="shared" si="65"/>
        <v>137.39946380697052</v>
      </c>
      <c r="P323" s="127">
        <f t="shared" si="66"/>
        <v>62.332439678284189</v>
      </c>
      <c r="Q323" s="128">
        <f t="shared" si="67"/>
        <v>366.62198391420912</v>
      </c>
      <c r="R323" s="129">
        <v>149.19999999999999</v>
      </c>
      <c r="S323" s="130">
        <v>0</v>
      </c>
      <c r="T323" s="131">
        <v>159</v>
      </c>
      <c r="U323" s="131">
        <v>211</v>
      </c>
      <c r="V323" s="132">
        <f t="shared" si="68"/>
        <v>370</v>
      </c>
      <c r="W323" s="133">
        <f t="shared" si="69"/>
        <v>2.479892761394102</v>
      </c>
      <c r="X323" s="130">
        <v>1777</v>
      </c>
      <c r="Y323" s="131">
        <v>1574</v>
      </c>
      <c r="Z323" s="131">
        <v>576</v>
      </c>
      <c r="AA323" s="132">
        <f t="shared" si="70"/>
        <v>3927</v>
      </c>
      <c r="AB323" s="133">
        <f t="shared" si="71"/>
        <v>26.320375335120644</v>
      </c>
      <c r="AC323" s="134">
        <f t="shared" si="72"/>
        <v>4297</v>
      </c>
      <c r="AD323" s="135">
        <f t="shared" si="73"/>
        <v>28.800268096514749</v>
      </c>
      <c r="AE323" s="136">
        <v>24</v>
      </c>
      <c r="AF323" s="137">
        <v>25</v>
      </c>
      <c r="AG323" s="137">
        <v>0</v>
      </c>
      <c r="AH323" s="138">
        <f t="shared" si="74"/>
        <v>49</v>
      </c>
      <c r="AI323" s="133">
        <f t="shared" si="75"/>
        <v>0.32841823056300273</v>
      </c>
    </row>
    <row r="324" spans="1:35">
      <c r="A324" s="171">
        <f>IF('09월 조업일지'!A320="","",'09월 조업일지'!A320)</f>
        <v>46276</v>
      </c>
      <c r="B324" s="172" t="str">
        <f>'09월 조업일지'!E320</f>
        <v>B</v>
      </c>
      <c r="C324" s="172" t="str">
        <f>'09월 조업일지'!F320</f>
        <v>A</v>
      </c>
      <c r="D324" s="172">
        <f>'09월 화학성분'!C321</f>
        <v>85523</v>
      </c>
      <c r="E324" s="205" t="str">
        <f t="shared" si="76"/>
        <v>SS400-05</v>
      </c>
      <c r="F324" s="121">
        <v>21</v>
      </c>
      <c r="G324" s="122">
        <v>24900</v>
      </c>
      <c r="H324" s="123">
        <v>17</v>
      </c>
      <c r="I324" s="122">
        <v>20600</v>
      </c>
      <c r="J324" s="123">
        <v>8</v>
      </c>
      <c r="K324" s="122">
        <v>10800</v>
      </c>
      <c r="L324" s="124">
        <f t="shared" si="77"/>
        <v>46</v>
      </c>
      <c r="M324" s="125">
        <f t="shared" si="77"/>
        <v>56300</v>
      </c>
      <c r="N324" s="126">
        <f t="shared" si="64"/>
        <v>171.36958017894011</v>
      </c>
      <c r="O324" s="127">
        <f t="shared" si="65"/>
        <v>141.77563661390226</v>
      </c>
      <c r="P324" s="127">
        <f t="shared" si="66"/>
        <v>74.328974535443905</v>
      </c>
      <c r="Q324" s="128">
        <f t="shared" si="67"/>
        <v>387.47419132828622</v>
      </c>
      <c r="R324" s="129">
        <v>145.30000000000001</v>
      </c>
      <c r="S324" s="130">
        <v>0</v>
      </c>
      <c r="T324" s="131">
        <v>175</v>
      </c>
      <c r="U324" s="131">
        <v>164</v>
      </c>
      <c r="V324" s="132">
        <f t="shared" si="68"/>
        <v>339</v>
      </c>
      <c r="W324" s="133">
        <f t="shared" si="69"/>
        <v>2.3331039229181001</v>
      </c>
      <c r="X324" s="130">
        <v>1844</v>
      </c>
      <c r="Y324" s="131">
        <v>1582</v>
      </c>
      <c r="Z324" s="131">
        <v>491</v>
      </c>
      <c r="AA324" s="132">
        <f t="shared" si="70"/>
        <v>3917</v>
      </c>
      <c r="AB324" s="133">
        <f t="shared" si="71"/>
        <v>26.958017894012386</v>
      </c>
      <c r="AC324" s="134">
        <f t="shared" si="72"/>
        <v>4256</v>
      </c>
      <c r="AD324" s="135">
        <f t="shared" si="73"/>
        <v>29.291121816930488</v>
      </c>
      <c r="AE324" s="136">
        <v>26</v>
      </c>
      <c r="AF324" s="137">
        <v>23</v>
      </c>
      <c r="AG324" s="137">
        <v>0</v>
      </c>
      <c r="AH324" s="138">
        <f t="shared" si="74"/>
        <v>49</v>
      </c>
      <c r="AI324" s="133">
        <f t="shared" si="75"/>
        <v>0.33723331039229176</v>
      </c>
    </row>
    <row r="325" spans="1:35">
      <c r="A325" s="171">
        <f>IF('09월 조업일지'!A321="","",'09월 조업일지'!A321)</f>
        <v>46277</v>
      </c>
      <c r="B325" s="172" t="str">
        <f>'09월 조업일지'!E321</f>
        <v>B</v>
      </c>
      <c r="C325" s="172" t="str">
        <f>'09월 조업일지'!F321</f>
        <v>B</v>
      </c>
      <c r="D325" s="172">
        <f>'09월 화학성분'!C322</f>
        <v>85524</v>
      </c>
      <c r="E325" s="205" t="str">
        <f t="shared" si="76"/>
        <v>SS400-05</v>
      </c>
      <c r="F325" s="121">
        <v>22</v>
      </c>
      <c r="G325" s="122">
        <v>23600</v>
      </c>
      <c r="H325" s="123">
        <v>18</v>
      </c>
      <c r="I325" s="122">
        <v>20800</v>
      </c>
      <c r="J325" s="123">
        <v>8</v>
      </c>
      <c r="K325" s="122">
        <v>10900</v>
      </c>
      <c r="L325" s="124">
        <f t="shared" si="77"/>
        <v>48</v>
      </c>
      <c r="M325" s="125">
        <f t="shared" si="77"/>
        <v>55300</v>
      </c>
      <c r="N325" s="126">
        <f t="shared" si="64"/>
        <v>161.09215017064847</v>
      </c>
      <c r="O325" s="127">
        <f t="shared" si="65"/>
        <v>141.97952218430035</v>
      </c>
      <c r="P325" s="127">
        <f t="shared" si="66"/>
        <v>74.402730375426614</v>
      </c>
      <c r="Q325" s="128">
        <f t="shared" si="67"/>
        <v>377.47440273037546</v>
      </c>
      <c r="R325" s="129">
        <v>146.5</v>
      </c>
      <c r="S325" s="130">
        <v>0</v>
      </c>
      <c r="T325" s="131">
        <v>189</v>
      </c>
      <c r="U325" s="131">
        <v>120</v>
      </c>
      <c r="V325" s="132">
        <f t="shared" si="68"/>
        <v>309</v>
      </c>
      <c r="W325" s="133">
        <f t="shared" si="69"/>
        <v>2.1092150170648463</v>
      </c>
      <c r="X325" s="130">
        <v>1707</v>
      </c>
      <c r="Y325" s="131">
        <v>1587</v>
      </c>
      <c r="Z325" s="131">
        <v>984</v>
      </c>
      <c r="AA325" s="132">
        <f t="shared" si="70"/>
        <v>4278</v>
      </c>
      <c r="AB325" s="133">
        <f t="shared" si="71"/>
        <v>29.201365187713311</v>
      </c>
      <c r="AC325" s="134">
        <f t="shared" si="72"/>
        <v>4587</v>
      </c>
      <c r="AD325" s="135">
        <f t="shared" si="73"/>
        <v>31.310580204778159</v>
      </c>
      <c r="AE325" s="136">
        <v>25</v>
      </c>
      <c r="AF325" s="137">
        <v>26</v>
      </c>
      <c r="AG325" s="137">
        <v>0</v>
      </c>
      <c r="AH325" s="138">
        <f t="shared" si="74"/>
        <v>51</v>
      </c>
      <c r="AI325" s="133">
        <f t="shared" si="75"/>
        <v>0.34812286689419797</v>
      </c>
    </row>
    <row r="326" spans="1:35">
      <c r="A326" s="171">
        <f>IF('09월 조업일지'!A322="","",'09월 조업일지'!A322)</f>
        <v>46277</v>
      </c>
      <c r="B326" s="172" t="str">
        <f>'09월 조업일지'!E322</f>
        <v>B</v>
      </c>
      <c r="C326" s="172" t="str">
        <f>'09월 조업일지'!F322</f>
        <v>A</v>
      </c>
      <c r="D326" s="172">
        <f>'09월 화학성분'!C323</f>
        <v>85525</v>
      </c>
      <c r="E326" s="205" t="str">
        <f t="shared" si="76"/>
        <v>SS400-05</v>
      </c>
      <c r="F326" s="121">
        <v>21</v>
      </c>
      <c r="G326" s="122">
        <v>23700</v>
      </c>
      <c r="H326" s="123">
        <v>18</v>
      </c>
      <c r="I326" s="122">
        <v>20500</v>
      </c>
      <c r="J326" s="123">
        <v>12</v>
      </c>
      <c r="K326" s="122">
        <v>16200</v>
      </c>
      <c r="L326" s="124">
        <f t="shared" si="77"/>
        <v>51</v>
      </c>
      <c r="M326" s="125">
        <f t="shared" si="77"/>
        <v>60400</v>
      </c>
      <c r="N326" s="126">
        <f t="shared" si="64"/>
        <v>163.67403314917127</v>
      </c>
      <c r="O326" s="127">
        <f t="shared" si="65"/>
        <v>141.57458563535911</v>
      </c>
      <c r="P326" s="127">
        <f t="shared" si="66"/>
        <v>111.87845303867402</v>
      </c>
      <c r="Q326" s="128">
        <f t="shared" si="67"/>
        <v>417.1270718232044</v>
      </c>
      <c r="R326" s="129">
        <v>144.80000000000001</v>
      </c>
      <c r="S326" s="130">
        <v>0</v>
      </c>
      <c r="T326" s="131">
        <v>34</v>
      </c>
      <c r="U326" s="131">
        <v>281</v>
      </c>
      <c r="V326" s="132">
        <f t="shared" si="68"/>
        <v>315</v>
      </c>
      <c r="W326" s="133">
        <f t="shared" si="69"/>
        <v>2.1754143646408837</v>
      </c>
      <c r="X326" s="130">
        <v>1737</v>
      </c>
      <c r="Y326" s="131">
        <v>1586</v>
      </c>
      <c r="Z326" s="131">
        <v>880</v>
      </c>
      <c r="AA326" s="132">
        <f t="shared" si="70"/>
        <v>4203</v>
      </c>
      <c r="AB326" s="133">
        <f t="shared" si="71"/>
        <v>29.026243093922648</v>
      </c>
      <c r="AC326" s="134">
        <f t="shared" si="72"/>
        <v>4518</v>
      </c>
      <c r="AD326" s="135">
        <f t="shared" si="73"/>
        <v>31.201657458563535</v>
      </c>
      <c r="AE326" s="136">
        <v>25</v>
      </c>
      <c r="AF326" s="137">
        <v>23</v>
      </c>
      <c r="AG326" s="137">
        <v>0</v>
      </c>
      <c r="AH326" s="138">
        <f t="shared" si="74"/>
        <v>48</v>
      </c>
      <c r="AI326" s="133">
        <f t="shared" si="75"/>
        <v>0.33149171270718231</v>
      </c>
    </row>
    <row r="327" spans="1:35">
      <c r="A327" s="171">
        <f>IF('09월 조업일지'!A323="","",'09월 조업일지'!A323)</f>
        <v>46277</v>
      </c>
      <c r="B327" s="172" t="str">
        <f>'09월 조업일지'!E323</f>
        <v>B</v>
      </c>
      <c r="C327" s="172" t="str">
        <f>'09월 조업일지'!F323</f>
        <v>B</v>
      </c>
      <c r="D327" s="172">
        <f>'09월 화학성분'!C324</f>
        <v>85526</v>
      </c>
      <c r="E327" s="205" t="str">
        <f t="shared" si="76"/>
        <v>SS400-05</v>
      </c>
      <c r="F327" s="121">
        <v>21</v>
      </c>
      <c r="G327" s="122">
        <v>25200</v>
      </c>
      <c r="H327" s="123">
        <v>18</v>
      </c>
      <c r="I327" s="122">
        <v>20400</v>
      </c>
      <c r="J327" s="123">
        <v>6</v>
      </c>
      <c r="K327" s="122">
        <v>8400</v>
      </c>
      <c r="L327" s="124">
        <f t="shared" si="77"/>
        <v>45</v>
      </c>
      <c r="M327" s="125">
        <f t="shared" si="77"/>
        <v>54000</v>
      </c>
      <c r="N327" s="126">
        <f t="shared" si="64"/>
        <v>172.36662106703147</v>
      </c>
      <c r="O327" s="127">
        <f t="shared" si="65"/>
        <v>139.53488372093025</v>
      </c>
      <c r="P327" s="127">
        <f t="shared" si="66"/>
        <v>57.455540355677158</v>
      </c>
      <c r="Q327" s="128">
        <f t="shared" si="67"/>
        <v>369.35704514363886</v>
      </c>
      <c r="R327" s="129">
        <v>146.19999999999999</v>
      </c>
      <c r="S327" s="130">
        <v>0</v>
      </c>
      <c r="T327" s="131">
        <v>128</v>
      </c>
      <c r="U327" s="131">
        <v>226</v>
      </c>
      <c r="V327" s="132">
        <f t="shared" si="68"/>
        <v>354</v>
      </c>
      <c r="W327" s="133">
        <f t="shared" si="69"/>
        <v>2.4213406292749662</v>
      </c>
      <c r="X327" s="130">
        <v>2146</v>
      </c>
      <c r="Y327" s="131">
        <v>1632</v>
      </c>
      <c r="Z327" s="131">
        <v>715</v>
      </c>
      <c r="AA327" s="132">
        <f t="shared" si="70"/>
        <v>4493</v>
      </c>
      <c r="AB327" s="133">
        <f t="shared" si="71"/>
        <v>30.731874145006842</v>
      </c>
      <c r="AC327" s="134">
        <f t="shared" si="72"/>
        <v>4847</v>
      </c>
      <c r="AD327" s="135">
        <f t="shared" si="73"/>
        <v>33.153214774281807</v>
      </c>
      <c r="AE327" s="136">
        <v>35</v>
      </c>
      <c r="AF327" s="137">
        <v>28</v>
      </c>
      <c r="AG327" s="137">
        <v>0</v>
      </c>
      <c r="AH327" s="138">
        <f t="shared" si="74"/>
        <v>63</v>
      </c>
      <c r="AI327" s="133">
        <f t="shared" si="75"/>
        <v>0.43091655266757867</v>
      </c>
    </row>
    <row r="328" spans="1:35">
      <c r="A328" s="171">
        <f>IF('09월 조업일지'!A324="","",'09월 조업일지'!A324)</f>
        <v>46277</v>
      </c>
      <c r="B328" s="172" t="str">
        <f>'09월 조업일지'!E324</f>
        <v>B</v>
      </c>
      <c r="C328" s="172" t="str">
        <f>'09월 조업일지'!F324</f>
        <v>A</v>
      </c>
      <c r="D328" s="172">
        <f>'09월 화학성분'!C325</f>
        <v>85527</v>
      </c>
      <c r="E328" s="205" t="str">
        <f t="shared" si="76"/>
        <v>SS400-05</v>
      </c>
      <c r="F328" s="121">
        <v>19</v>
      </c>
      <c r="G328" s="122">
        <v>23700</v>
      </c>
      <c r="H328" s="123">
        <v>18</v>
      </c>
      <c r="I328" s="122">
        <v>20700</v>
      </c>
      <c r="J328" s="123">
        <v>9</v>
      </c>
      <c r="K328" s="122">
        <v>12600</v>
      </c>
      <c r="L328" s="124">
        <f t="shared" si="77"/>
        <v>46</v>
      </c>
      <c r="M328" s="125">
        <f t="shared" si="77"/>
        <v>57000</v>
      </c>
      <c r="N328" s="126">
        <f t="shared" si="64"/>
        <v>162.10670314637485</v>
      </c>
      <c r="O328" s="127">
        <f t="shared" si="65"/>
        <v>141.58686730506156</v>
      </c>
      <c r="P328" s="127">
        <f t="shared" si="66"/>
        <v>86.183310533515737</v>
      </c>
      <c r="Q328" s="128">
        <f t="shared" si="67"/>
        <v>389.87688098495215</v>
      </c>
      <c r="R328" s="129">
        <v>146.19999999999999</v>
      </c>
      <c r="S328" s="130">
        <v>0</v>
      </c>
      <c r="T328" s="131">
        <v>164</v>
      </c>
      <c r="U328" s="131">
        <v>236</v>
      </c>
      <c r="V328" s="132">
        <f t="shared" si="68"/>
        <v>400</v>
      </c>
      <c r="W328" s="133">
        <f t="shared" si="69"/>
        <v>2.7359781121751028</v>
      </c>
      <c r="X328" s="130">
        <v>1667</v>
      </c>
      <c r="Y328" s="131">
        <v>1589</v>
      </c>
      <c r="Z328" s="131">
        <v>739</v>
      </c>
      <c r="AA328" s="132">
        <f t="shared" si="70"/>
        <v>3995</v>
      </c>
      <c r="AB328" s="133">
        <f t="shared" si="71"/>
        <v>27.325581395348838</v>
      </c>
      <c r="AC328" s="134">
        <f t="shared" si="72"/>
        <v>4395</v>
      </c>
      <c r="AD328" s="135">
        <f t="shared" si="73"/>
        <v>30.061559507523942</v>
      </c>
      <c r="AE328" s="136">
        <v>23</v>
      </c>
      <c r="AF328" s="137">
        <v>22</v>
      </c>
      <c r="AG328" s="137">
        <v>0</v>
      </c>
      <c r="AH328" s="138">
        <f t="shared" si="74"/>
        <v>45</v>
      </c>
      <c r="AI328" s="133">
        <f t="shared" si="75"/>
        <v>0.30779753761969908</v>
      </c>
    </row>
    <row r="329" spans="1:35">
      <c r="A329" s="171">
        <f>IF('09월 조업일지'!A325="","",'09월 조업일지'!A325)</f>
        <v>46277</v>
      </c>
      <c r="B329" s="172" t="str">
        <f>'09월 조업일지'!E325</f>
        <v>C</v>
      </c>
      <c r="C329" s="172" t="str">
        <f>'09월 조업일지'!F325</f>
        <v>B</v>
      </c>
      <c r="D329" s="172">
        <f>'09월 화학성분'!C326</f>
        <v>85528</v>
      </c>
      <c r="E329" s="205" t="str">
        <f t="shared" si="76"/>
        <v>SS400-05</v>
      </c>
      <c r="F329" s="121">
        <v>22</v>
      </c>
      <c r="G329" s="122">
        <v>24700</v>
      </c>
      <c r="H329" s="123">
        <v>18</v>
      </c>
      <c r="I329" s="122">
        <v>20700</v>
      </c>
      <c r="J329" s="123">
        <v>9</v>
      </c>
      <c r="K329" s="122">
        <v>8800</v>
      </c>
      <c r="L329" s="124">
        <f t="shared" si="77"/>
        <v>49</v>
      </c>
      <c r="M329" s="125">
        <f t="shared" si="77"/>
        <v>54200</v>
      </c>
      <c r="N329" s="126">
        <f t="shared" si="64"/>
        <v>171.05263157894737</v>
      </c>
      <c r="O329" s="127">
        <f t="shared" si="65"/>
        <v>143.35180055401662</v>
      </c>
      <c r="P329" s="127">
        <f t="shared" si="66"/>
        <v>60.941828254847643</v>
      </c>
      <c r="Q329" s="128">
        <f t="shared" si="67"/>
        <v>375.34626038781158</v>
      </c>
      <c r="R329" s="129">
        <v>144.4</v>
      </c>
      <c r="S329" s="130">
        <v>0</v>
      </c>
      <c r="T329" s="131">
        <v>169</v>
      </c>
      <c r="U329" s="131">
        <v>258</v>
      </c>
      <c r="V329" s="132">
        <f t="shared" si="68"/>
        <v>427</v>
      </c>
      <c r="W329" s="133">
        <f t="shared" si="69"/>
        <v>2.9570637119113572</v>
      </c>
      <c r="X329" s="130">
        <v>1891</v>
      </c>
      <c r="Y329" s="131">
        <v>1683</v>
      </c>
      <c r="Z329" s="131">
        <v>697</v>
      </c>
      <c r="AA329" s="132">
        <f t="shared" si="70"/>
        <v>4271</v>
      </c>
      <c r="AB329" s="133">
        <f t="shared" si="71"/>
        <v>29.577562326869806</v>
      </c>
      <c r="AC329" s="134">
        <f t="shared" si="72"/>
        <v>4698</v>
      </c>
      <c r="AD329" s="135">
        <f t="shared" si="73"/>
        <v>32.534626038781163</v>
      </c>
      <c r="AE329" s="136">
        <v>25</v>
      </c>
      <c r="AF329" s="137">
        <v>28</v>
      </c>
      <c r="AG329" s="137">
        <v>0</v>
      </c>
      <c r="AH329" s="138">
        <f t="shared" si="74"/>
        <v>53</v>
      </c>
      <c r="AI329" s="133">
        <f t="shared" si="75"/>
        <v>0.3670360110803324</v>
      </c>
    </row>
    <row r="330" spans="1:35">
      <c r="A330" s="171">
        <f>IF('09월 조업일지'!A326="","",'09월 조업일지'!A326)</f>
        <v>46277</v>
      </c>
      <c r="B330" s="172" t="str">
        <f>'09월 조업일지'!E326</f>
        <v>C</v>
      </c>
      <c r="C330" s="172" t="str">
        <f>'09월 조업일지'!F326</f>
        <v>A</v>
      </c>
      <c r="D330" s="172">
        <f>'09월 화학성분'!C327</f>
        <v>85529</v>
      </c>
      <c r="E330" s="205" t="str">
        <f t="shared" si="76"/>
        <v>SS400-05</v>
      </c>
      <c r="F330" s="121">
        <v>21</v>
      </c>
      <c r="G330" s="122">
        <v>23700</v>
      </c>
      <c r="H330" s="123">
        <v>18</v>
      </c>
      <c r="I330" s="122">
        <v>20600</v>
      </c>
      <c r="J330" s="123">
        <v>7</v>
      </c>
      <c r="K330" s="122">
        <v>9500</v>
      </c>
      <c r="L330" s="124">
        <f t="shared" si="77"/>
        <v>46</v>
      </c>
      <c r="M330" s="125">
        <f t="shared" si="77"/>
        <v>53800</v>
      </c>
      <c r="N330" s="126">
        <f t="shared" si="64"/>
        <v>160.46039268788084</v>
      </c>
      <c r="O330" s="127">
        <f t="shared" si="65"/>
        <v>139.47190250507788</v>
      </c>
      <c r="P330" s="127">
        <f t="shared" si="66"/>
        <v>64.319566689234946</v>
      </c>
      <c r="Q330" s="128">
        <f t="shared" si="67"/>
        <v>364.25186188219362</v>
      </c>
      <c r="R330" s="129">
        <v>147.69999999999999</v>
      </c>
      <c r="S330" s="130">
        <v>0</v>
      </c>
      <c r="T330" s="131">
        <v>156</v>
      </c>
      <c r="U330" s="131">
        <v>159</v>
      </c>
      <c r="V330" s="132">
        <f t="shared" si="68"/>
        <v>315</v>
      </c>
      <c r="W330" s="133">
        <f t="shared" si="69"/>
        <v>2.1327014218009479</v>
      </c>
      <c r="X330" s="130">
        <v>1673</v>
      </c>
      <c r="Y330" s="131">
        <v>1615</v>
      </c>
      <c r="Z330" s="131">
        <v>817</v>
      </c>
      <c r="AA330" s="132">
        <f t="shared" si="70"/>
        <v>4105</v>
      </c>
      <c r="AB330" s="133">
        <f t="shared" si="71"/>
        <v>27.792823290453626</v>
      </c>
      <c r="AC330" s="134">
        <f t="shared" si="72"/>
        <v>4420</v>
      </c>
      <c r="AD330" s="135">
        <f t="shared" si="73"/>
        <v>29.925524712254571</v>
      </c>
      <c r="AE330" s="136">
        <v>26</v>
      </c>
      <c r="AF330" s="137">
        <v>23</v>
      </c>
      <c r="AG330" s="137">
        <v>0</v>
      </c>
      <c r="AH330" s="138">
        <f t="shared" si="74"/>
        <v>49</v>
      </c>
      <c r="AI330" s="133">
        <f t="shared" si="75"/>
        <v>0.33175355450236971</v>
      </c>
    </row>
    <row r="331" spans="1:35">
      <c r="A331" s="171">
        <f>IF('09월 조업일지'!A327="","",'09월 조업일지'!A327)</f>
        <v>46277</v>
      </c>
      <c r="B331" s="172" t="str">
        <f>'09월 조업일지'!E327</f>
        <v>C</v>
      </c>
      <c r="C331" s="172" t="str">
        <f>'09월 조업일지'!F327</f>
        <v>B</v>
      </c>
      <c r="D331" s="172">
        <f>'09월 화학성분'!C328</f>
        <v>85530</v>
      </c>
      <c r="E331" s="205" t="str">
        <f t="shared" si="76"/>
        <v>SS400-05</v>
      </c>
      <c r="F331" s="121">
        <v>20</v>
      </c>
      <c r="G331" s="122">
        <v>23200</v>
      </c>
      <c r="H331" s="123">
        <v>17</v>
      </c>
      <c r="I331" s="122">
        <v>20500</v>
      </c>
      <c r="J331" s="123">
        <v>11</v>
      </c>
      <c r="K331" s="122">
        <v>13000</v>
      </c>
      <c r="L331" s="124">
        <f t="shared" si="77"/>
        <v>48</v>
      </c>
      <c r="M331" s="125">
        <f t="shared" si="77"/>
        <v>56700</v>
      </c>
      <c r="N331" s="126">
        <f t="shared" si="64"/>
        <v>157.07515233581586</v>
      </c>
      <c r="O331" s="127">
        <f t="shared" si="65"/>
        <v>138.79485443466487</v>
      </c>
      <c r="P331" s="127">
        <f t="shared" si="66"/>
        <v>88.016249153689913</v>
      </c>
      <c r="Q331" s="128">
        <f t="shared" si="67"/>
        <v>383.8862559241706</v>
      </c>
      <c r="R331" s="129">
        <v>147.69999999999999</v>
      </c>
      <c r="S331" s="130">
        <v>0</v>
      </c>
      <c r="T331" s="131">
        <v>88</v>
      </c>
      <c r="U331" s="131">
        <v>278</v>
      </c>
      <c r="V331" s="132">
        <f t="shared" si="68"/>
        <v>366</v>
      </c>
      <c r="W331" s="133">
        <f t="shared" si="69"/>
        <v>2.4779959377115777</v>
      </c>
      <c r="X331" s="130">
        <v>1636</v>
      </c>
      <c r="Y331" s="131">
        <v>1576</v>
      </c>
      <c r="Z331" s="131">
        <v>938</v>
      </c>
      <c r="AA331" s="132">
        <f t="shared" si="70"/>
        <v>4150</v>
      </c>
      <c r="AB331" s="133">
        <f t="shared" si="71"/>
        <v>28.097494922139475</v>
      </c>
      <c r="AC331" s="134">
        <f t="shared" si="72"/>
        <v>4516</v>
      </c>
      <c r="AD331" s="135">
        <f t="shared" si="73"/>
        <v>30.575490859851051</v>
      </c>
      <c r="AE331" s="136">
        <v>24</v>
      </c>
      <c r="AF331" s="137">
        <v>27</v>
      </c>
      <c r="AG331" s="137">
        <v>0</v>
      </c>
      <c r="AH331" s="138">
        <f t="shared" si="74"/>
        <v>51</v>
      </c>
      <c r="AI331" s="133">
        <f t="shared" si="75"/>
        <v>0.34529451591062971</v>
      </c>
    </row>
    <row r="332" spans="1:35">
      <c r="A332" s="171">
        <f>IF('09월 조업일지'!A328="","",'09월 조업일지'!A328)</f>
        <v>46277</v>
      </c>
      <c r="B332" s="172" t="str">
        <f>'09월 조업일지'!E328</f>
        <v>C</v>
      </c>
      <c r="C332" s="172" t="str">
        <f>'09월 조업일지'!F328</f>
        <v>A</v>
      </c>
      <c r="D332" s="172">
        <f>'09월 화학성분'!C329</f>
        <v>85531</v>
      </c>
      <c r="E332" s="205" t="str">
        <f t="shared" si="76"/>
        <v>SS400-05</v>
      </c>
      <c r="F332" s="121">
        <v>21</v>
      </c>
      <c r="G332" s="122">
        <v>23500</v>
      </c>
      <c r="H332" s="123">
        <v>16</v>
      </c>
      <c r="I332" s="122">
        <v>20500</v>
      </c>
      <c r="J332" s="123">
        <v>7</v>
      </c>
      <c r="K332" s="122">
        <v>8400</v>
      </c>
      <c r="L332" s="124">
        <f t="shared" si="77"/>
        <v>44</v>
      </c>
      <c r="M332" s="125">
        <f t="shared" si="77"/>
        <v>52400</v>
      </c>
      <c r="N332" s="126">
        <f t="shared" si="64"/>
        <v>156.45805592543277</v>
      </c>
      <c r="O332" s="127">
        <f t="shared" si="65"/>
        <v>136.48468708388816</v>
      </c>
      <c r="P332" s="127">
        <f t="shared" si="66"/>
        <v>55.925432756324902</v>
      </c>
      <c r="Q332" s="128">
        <f t="shared" si="67"/>
        <v>348.86817576564579</v>
      </c>
      <c r="R332" s="129">
        <v>150.19999999999999</v>
      </c>
      <c r="S332" s="130">
        <v>0</v>
      </c>
      <c r="T332" s="131">
        <v>163</v>
      </c>
      <c r="U332" s="131">
        <v>178</v>
      </c>
      <c r="V332" s="132">
        <f t="shared" si="68"/>
        <v>341</v>
      </c>
      <c r="W332" s="133">
        <f t="shared" si="69"/>
        <v>2.2703062583222371</v>
      </c>
      <c r="X332" s="130">
        <v>1795</v>
      </c>
      <c r="Y332" s="131">
        <v>1732</v>
      </c>
      <c r="Z332" s="131">
        <v>619</v>
      </c>
      <c r="AA332" s="132">
        <f t="shared" si="70"/>
        <v>4146</v>
      </c>
      <c r="AB332" s="133">
        <f t="shared" si="71"/>
        <v>27.603195739014648</v>
      </c>
      <c r="AC332" s="134">
        <f t="shared" si="72"/>
        <v>4487</v>
      </c>
      <c r="AD332" s="135">
        <f t="shared" si="73"/>
        <v>29.873501997336888</v>
      </c>
      <c r="AE332" s="136">
        <v>26</v>
      </c>
      <c r="AF332" s="137">
        <v>21</v>
      </c>
      <c r="AG332" s="137">
        <v>0</v>
      </c>
      <c r="AH332" s="138">
        <f t="shared" si="74"/>
        <v>47</v>
      </c>
      <c r="AI332" s="133">
        <f t="shared" si="75"/>
        <v>0.31291611185086554</v>
      </c>
    </row>
    <row r="333" spans="1:35">
      <c r="A333" s="171">
        <f>IF('09월 조업일지'!A329="","",'09월 조업일지'!A329)</f>
        <v>46277</v>
      </c>
      <c r="B333" s="172" t="str">
        <f>'09월 조업일지'!E329</f>
        <v>C</v>
      </c>
      <c r="C333" s="172" t="str">
        <f>'09월 조업일지'!F329</f>
        <v>B</v>
      </c>
      <c r="D333" s="172">
        <f>'09월 화학성분'!C330</f>
        <v>85532</v>
      </c>
      <c r="E333" s="205" t="str">
        <f t="shared" si="76"/>
        <v>SS400-05</v>
      </c>
      <c r="F333" s="121">
        <v>21</v>
      </c>
      <c r="G333" s="122">
        <v>23500</v>
      </c>
      <c r="H333" s="123">
        <v>17</v>
      </c>
      <c r="I333" s="122">
        <v>20600</v>
      </c>
      <c r="J333" s="123">
        <v>9</v>
      </c>
      <c r="K333" s="122">
        <v>11300</v>
      </c>
      <c r="L333" s="124">
        <f t="shared" si="77"/>
        <v>47</v>
      </c>
      <c r="M333" s="125">
        <f t="shared" si="77"/>
        <v>55400</v>
      </c>
      <c r="N333" s="126">
        <f t="shared" si="64"/>
        <v>164.45066480055982</v>
      </c>
      <c r="O333" s="127">
        <f t="shared" si="65"/>
        <v>144.15675297410777</v>
      </c>
      <c r="P333" s="127">
        <f t="shared" si="66"/>
        <v>79.076277116864944</v>
      </c>
      <c r="Q333" s="128">
        <f t="shared" si="67"/>
        <v>387.68369489153258</v>
      </c>
      <c r="R333" s="129">
        <v>142.9</v>
      </c>
      <c r="S333" s="130">
        <v>0</v>
      </c>
      <c r="T333" s="131">
        <v>68</v>
      </c>
      <c r="U333" s="131">
        <v>306</v>
      </c>
      <c r="V333" s="132">
        <f t="shared" si="68"/>
        <v>374</v>
      </c>
      <c r="W333" s="133">
        <f t="shared" si="69"/>
        <v>2.6172148355493352</v>
      </c>
      <c r="X333" s="130">
        <v>1754</v>
      </c>
      <c r="Y333" s="131">
        <v>1615</v>
      </c>
      <c r="Z333" s="131">
        <v>1050</v>
      </c>
      <c r="AA333" s="132">
        <f t="shared" si="70"/>
        <v>4419</v>
      </c>
      <c r="AB333" s="133">
        <f t="shared" si="71"/>
        <v>30.92372288313506</v>
      </c>
      <c r="AC333" s="134">
        <f t="shared" si="72"/>
        <v>4793</v>
      </c>
      <c r="AD333" s="135">
        <f t="shared" si="73"/>
        <v>33.540937718684397</v>
      </c>
      <c r="AE333" s="136">
        <v>28</v>
      </c>
      <c r="AF333" s="137">
        <v>28</v>
      </c>
      <c r="AG333" s="137">
        <v>0</v>
      </c>
      <c r="AH333" s="138">
        <f t="shared" si="74"/>
        <v>56</v>
      </c>
      <c r="AI333" s="133">
        <f t="shared" si="75"/>
        <v>0.39188243526941918</v>
      </c>
    </row>
    <row r="334" spans="1:35">
      <c r="A334" s="171">
        <f>IF('09월 조업일지'!A330="","",'09월 조업일지'!A330)</f>
        <v>46277</v>
      </c>
      <c r="B334" s="172" t="str">
        <f>'09월 조업일지'!E330</f>
        <v>C</v>
      </c>
      <c r="C334" s="172" t="str">
        <f>'09월 조업일지'!F330</f>
        <v>A</v>
      </c>
      <c r="D334" s="172">
        <f>'09월 화학성분'!C331</f>
        <v>85533</v>
      </c>
      <c r="E334" s="205" t="str">
        <f t="shared" si="76"/>
        <v>SS400-05</v>
      </c>
      <c r="F334" s="121">
        <v>20</v>
      </c>
      <c r="G334" s="122">
        <v>23200</v>
      </c>
      <c r="H334" s="123">
        <v>17</v>
      </c>
      <c r="I334" s="122">
        <v>20400</v>
      </c>
      <c r="J334" s="123">
        <v>9</v>
      </c>
      <c r="K334" s="122">
        <v>11400</v>
      </c>
      <c r="L334" s="124">
        <f t="shared" si="77"/>
        <v>46</v>
      </c>
      <c r="M334" s="125">
        <f t="shared" si="77"/>
        <v>55000</v>
      </c>
      <c r="N334" s="126">
        <f t="shared" ref="N334:N397" si="78">IF(ISBLANK(G334),"",G334/R334)</f>
        <v>155.91397849462365</v>
      </c>
      <c r="O334" s="127">
        <f t="shared" ref="O334:O397" si="79">IF(ISBLANK(I334),"",+I334/R334)</f>
        <v>137.09677419354838</v>
      </c>
      <c r="P334" s="127">
        <f t="shared" ref="P334:P397" si="80">IF(ISBLANK(K334),"",K334/R334)</f>
        <v>76.612903225806448</v>
      </c>
      <c r="Q334" s="128">
        <f t="shared" ref="Q334:Q397" si="81">IF(ISBLANK(K334),"",SUM(N334:P334))</f>
        <v>369.6236559139785</v>
      </c>
      <c r="R334" s="129">
        <v>148.80000000000001</v>
      </c>
      <c r="S334" s="130">
        <v>0</v>
      </c>
      <c r="T334" s="131">
        <v>126</v>
      </c>
      <c r="U334" s="131">
        <v>166</v>
      </c>
      <c r="V334" s="132">
        <f t="shared" ref="V334:V397" si="82">IF(SUM(S334:U334)=0,"",SUM(S334:U334))</f>
        <v>292</v>
      </c>
      <c r="W334" s="133">
        <f t="shared" ref="W334:W397" si="83">IF(V334="","",V334/R334)</f>
        <v>1.9623655913978493</v>
      </c>
      <c r="X334" s="130">
        <v>1685</v>
      </c>
      <c r="Y334" s="131">
        <v>1595</v>
      </c>
      <c r="Z334" s="131">
        <v>936</v>
      </c>
      <c r="AA334" s="132">
        <f t="shared" ref="AA334:AA397" si="84">IF(SUM(X334:Z334)=0,"",SUM(X334:Z334))</f>
        <v>4216</v>
      </c>
      <c r="AB334" s="133">
        <f t="shared" ref="AB334:AB397" si="85">IF(AA334="","",AA334/R334)</f>
        <v>28.333333333333332</v>
      </c>
      <c r="AC334" s="134">
        <f t="shared" ref="AC334:AC397" si="86">IF(SUM(V334,AA334)=0,"",SUM(V334,AA334))</f>
        <v>4508</v>
      </c>
      <c r="AD334" s="135">
        <f t="shared" ref="AD334:AD397" si="87">IF(AC334="","",AC334/R334)</f>
        <v>30.29569892473118</v>
      </c>
      <c r="AE334" s="136">
        <v>25</v>
      </c>
      <c r="AF334" s="137">
        <v>22</v>
      </c>
      <c r="AG334" s="137">
        <v>0</v>
      </c>
      <c r="AH334" s="138">
        <f t="shared" ref="AH334:AH397" si="88">IF(SUM(AE334:AG334)=0,"",SUM(AE334:AG334))</f>
        <v>47</v>
      </c>
      <c r="AI334" s="133">
        <f t="shared" ref="AI334:AI397" si="89">IF(AH334="","",AH334/R334)</f>
        <v>0.31586021505376344</v>
      </c>
    </row>
    <row r="335" spans="1:35">
      <c r="A335" s="171">
        <f>IF('09월 조업일지'!A331="","",'09월 조업일지'!A331)</f>
        <v>46277</v>
      </c>
      <c r="B335" s="172" t="str">
        <f>'09월 조업일지'!E331</f>
        <v>C</v>
      </c>
      <c r="C335" s="172" t="str">
        <f>'09월 조업일지'!F331</f>
        <v>B</v>
      </c>
      <c r="D335" s="172">
        <f>'09월 화학성분'!C332</f>
        <v>85534</v>
      </c>
      <c r="E335" s="205" t="str">
        <f t="shared" ref="E335:E398" si="90">IF(F335="","",E334)</f>
        <v>SS400-05</v>
      </c>
      <c r="F335" s="121">
        <v>19</v>
      </c>
      <c r="G335" s="122">
        <v>23400</v>
      </c>
      <c r="H335" s="123">
        <v>17</v>
      </c>
      <c r="I335" s="122">
        <v>20300</v>
      </c>
      <c r="J335" s="123">
        <v>11</v>
      </c>
      <c r="K335" s="122">
        <v>13900</v>
      </c>
      <c r="L335" s="124">
        <f t="shared" si="77"/>
        <v>47</v>
      </c>
      <c r="M335" s="125">
        <f t="shared" si="77"/>
        <v>57600</v>
      </c>
      <c r="N335" s="126">
        <f t="shared" si="78"/>
        <v>160.49382716049382</v>
      </c>
      <c r="O335" s="127">
        <f t="shared" si="79"/>
        <v>139.23182441700959</v>
      </c>
      <c r="P335" s="127">
        <f t="shared" si="80"/>
        <v>95.336076817558293</v>
      </c>
      <c r="Q335" s="128">
        <f t="shared" si="81"/>
        <v>395.06172839506172</v>
      </c>
      <c r="R335" s="129">
        <v>145.80000000000001</v>
      </c>
      <c r="S335" s="130">
        <v>0</v>
      </c>
      <c r="T335" s="131">
        <v>141</v>
      </c>
      <c r="U335" s="131">
        <v>182</v>
      </c>
      <c r="V335" s="132">
        <f t="shared" si="82"/>
        <v>323</v>
      </c>
      <c r="W335" s="133">
        <f t="shared" si="83"/>
        <v>2.2153635116598078</v>
      </c>
      <c r="X335" s="130">
        <v>1632</v>
      </c>
      <c r="Y335" s="131">
        <v>1610</v>
      </c>
      <c r="Z335" s="131">
        <v>926</v>
      </c>
      <c r="AA335" s="132">
        <f t="shared" si="84"/>
        <v>4168</v>
      </c>
      <c r="AB335" s="133">
        <f t="shared" si="85"/>
        <v>28.587105624142659</v>
      </c>
      <c r="AC335" s="134">
        <f t="shared" si="86"/>
        <v>4491</v>
      </c>
      <c r="AD335" s="135">
        <f t="shared" si="87"/>
        <v>30.802469135802468</v>
      </c>
      <c r="AE335" s="136">
        <v>24</v>
      </c>
      <c r="AF335" s="137">
        <v>27</v>
      </c>
      <c r="AG335" s="137">
        <v>0</v>
      </c>
      <c r="AH335" s="138">
        <f t="shared" si="88"/>
        <v>51</v>
      </c>
      <c r="AI335" s="133">
        <f t="shared" si="89"/>
        <v>0.34979423868312753</v>
      </c>
    </row>
    <row r="336" spans="1:35">
      <c r="A336" s="171">
        <f>IF('09월 조업일지'!A332="","",'09월 조업일지'!A332)</f>
        <v>46277</v>
      </c>
      <c r="B336" s="172" t="str">
        <f>'09월 조업일지'!E332</f>
        <v>C</v>
      </c>
      <c r="C336" s="172" t="str">
        <f>'09월 조업일지'!F332</f>
        <v>A</v>
      </c>
      <c r="D336" s="172">
        <f>'09월 화학성분'!C333</f>
        <v>85535</v>
      </c>
      <c r="E336" s="205" t="str">
        <f t="shared" si="90"/>
        <v>SS400-05</v>
      </c>
      <c r="F336" s="121">
        <v>20</v>
      </c>
      <c r="G336" s="122">
        <v>23700</v>
      </c>
      <c r="H336" s="123">
        <v>17</v>
      </c>
      <c r="I336" s="122">
        <v>20400</v>
      </c>
      <c r="J336" s="123">
        <v>9</v>
      </c>
      <c r="K336" s="122">
        <v>11400</v>
      </c>
      <c r="L336" s="124">
        <f t="shared" si="77"/>
        <v>46</v>
      </c>
      <c r="M336" s="125">
        <f t="shared" si="77"/>
        <v>55500</v>
      </c>
      <c r="N336" s="126">
        <f t="shared" si="78"/>
        <v>157.47508305647841</v>
      </c>
      <c r="O336" s="127">
        <f t="shared" si="79"/>
        <v>135.54817275747507</v>
      </c>
      <c r="P336" s="127">
        <f t="shared" si="80"/>
        <v>75.747508305647841</v>
      </c>
      <c r="Q336" s="128">
        <f t="shared" si="81"/>
        <v>368.77076411960132</v>
      </c>
      <c r="R336" s="129">
        <v>150.5</v>
      </c>
      <c r="S336" s="130">
        <v>0</v>
      </c>
      <c r="T336" s="131">
        <v>138</v>
      </c>
      <c r="U336" s="131">
        <v>384</v>
      </c>
      <c r="V336" s="132">
        <f t="shared" si="82"/>
        <v>522</v>
      </c>
      <c r="W336" s="133">
        <f t="shared" si="83"/>
        <v>3.4684385382059801</v>
      </c>
      <c r="X336" s="130">
        <v>1782</v>
      </c>
      <c r="Y336" s="131">
        <v>1570</v>
      </c>
      <c r="Z336" s="131">
        <v>1378</v>
      </c>
      <c r="AA336" s="132">
        <f t="shared" si="84"/>
        <v>4730</v>
      </c>
      <c r="AB336" s="133">
        <f t="shared" si="85"/>
        <v>31.428571428571427</v>
      </c>
      <c r="AC336" s="134">
        <f t="shared" si="86"/>
        <v>5252</v>
      </c>
      <c r="AD336" s="135">
        <f t="shared" si="87"/>
        <v>34.897009966777411</v>
      </c>
      <c r="AE336" s="136">
        <v>25</v>
      </c>
      <c r="AF336" s="137">
        <v>22</v>
      </c>
      <c r="AG336" s="137">
        <v>0</v>
      </c>
      <c r="AH336" s="138">
        <f t="shared" si="88"/>
        <v>47</v>
      </c>
      <c r="AI336" s="133">
        <f t="shared" si="89"/>
        <v>0.3122923588039867</v>
      </c>
    </row>
    <row r="337" spans="1:35">
      <c r="A337" s="171">
        <f>IF('09월 조업일지'!A333="","",'09월 조업일지'!A333)</f>
        <v>46277</v>
      </c>
      <c r="B337" s="172" t="str">
        <f>'09월 조업일지'!E333</f>
        <v>C</v>
      </c>
      <c r="C337" s="172" t="str">
        <f>'09월 조업일지'!F333</f>
        <v>B</v>
      </c>
      <c r="D337" s="172">
        <f>'09월 화학성분'!C334</f>
        <v>85536</v>
      </c>
      <c r="E337" s="205" t="str">
        <f t="shared" si="90"/>
        <v>SS400-05</v>
      </c>
      <c r="F337" s="121">
        <v>20</v>
      </c>
      <c r="G337" s="122">
        <v>23700</v>
      </c>
      <c r="H337" s="123">
        <v>17</v>
      </c>
      <c r="I337" s="122">
        <v>20300</v>
      </c>
      <c r="J337" s="123">
        <v>7</v>
      </c>
      <c r="K337" s="122">
        <v>9200</v>
      </c>
      <c r="L337" s="124">
        <f t="shared" si="77"/>
        <v>44</v>
      </c>
      <c r="M337" s="125">
        <f t="shared" si="77"/>
        <v>53200</v>
      </c>
      <c r="N337" s="126">
        <f t="shared" si="78"/>
        <v>160.89613034623216</v>
      </c>
      <c r="O337" s="127">
        <f t="shared" si="79"/>
        <v>137.81398506449423</v>
      </c>
      <c r="P337" s="127">
        <f t="shared" si="80"/>
        <v>62.457569585879156</v>
      </c>
      <c r="Q337" s="128">
        <f t="shared" si="81"/>
        <v>361.16768499660554</v>
      </c>
      <c r="R337" s="129">
        <v>147.30000000000001</v>
      </c>
      <c r="S337" s="130">
        <v>0</v>
      </c>
      <c r="T337" s="131">
        <v>168</v>
      </c>
      <c r="U337" s="131">
        <v>147</v>
      </c>
      <c r="V337" s="132">
        <f t="shared" si="82"/>
        <v>315</v>
      </c>
      <c r="W337" s="133">
        <f t="shared" si="83"/>
        <v>2.1384928716904277</v>
      </c>
      <c r="X337" s="130">
        <v>1760</v>
      </c>
      <c r="Y337" s="131">
        <v>1637</v>
      </c>
      <c r="Z337" s="131">
        <v>765</v>
      </c>
      <c r="AA337" s="132">
        <f t="shared" si="84"/>
        <v>4162</v>
      </c>
      <c r="AB337" s="133">
        <f t="shared" si="85"/>
        <v>28.255261371350983</v>
      </c>
      <c r="AC337" s="134">
        <f t="shared" si="86"/>
        <v>4477</v>
      </c>
      <c r="AD337" s="135">
        <f t="shared" si="87"/>
        <v>30.39375424304141</v>
      </c>
      <c r="AE337" s="136">
        <v>29</v>
      </c>
      <c r="AF337" s="137">
        <v>26</v>
      </c>
      <c r="AG337" s="137">
        <v>0</v>
      </c>
      <c r="AH337" s="138">
        <f t="shared" si="88"/>
        <v>55</v>
      </c>
      <c r="AI337" s="133">
        <f t="shared" si="89"/>
        <v>0.37338764426340798</v>
      </c>
    </row>
    <row r="338" spans="1:35">
      <c r="A338" s="171">
        <f>IF('09월 조업일지'!A334="","",'09월 조업일지'!A334)</f>
        <v>46277</v>
      </c>
      <c r="B338" s="172" t="str">
        <f>'09월 조업일지'!E334</f>
        <v>C</v>
      </c>
      <c r="C338" s="172" t="str">
        <f>'09월 조업일지'!F334</f>
        <v>A</v>
      </c>
      <c r="D338" s="172">
        <f>'09월 화학성분'!C335</f>
        <v>85537</v>
      </c>
      <c r="E338" s="205" t="str">
        <f t="shared" si="90"/>
        <v>SS400-05</v>
      </c>
      <c r="F338" s="121">
        <v>20</v>
      </c>
      <c r="G338" s="122">
        <v>23200</v>
      </c>
      <c r="H338" s="123">
        <v>16</v>
      </c>
      <c r="I338" s="122">
        <v>20300</v>
      </c>
      <c r="J338" s="123">
        <v>10</v>
      </c>
      <c r="K338" s="122">
        <v>12900</v>
      </c>
      <c r="L338" s="124">
        <f t="shared" si="77"/>
        <v>46</v>
      </c>
      <c r="M338" s="125">
        <f t="shared" si="77"/>
        <v>56400</v>
      </c>
      <c r="N338" s="126">
        <f t="shared" si="78"/>
        <v>154.46071904127831</v>
      </c>
      <c r="O338" s="127">
        <f t="shared" si="79"/>
        <v>135.15312916111853</v>
      </c>
      <c r="P338" s="127">
        <f t="shared" si="80"/>
        <v>85.885486018641814</v>
      </c>
      <c r="Q338" s="128">
        <f t="shared" si="81"/>
        <v>375.49933422103868</v>
      </c>
      <c r="R338" s="129">
        <v>150.19999999999999</v>
      </c>
      <c r="S338" s="130">
        <v>0</v>
      </c>
      <c r="T338" s="131">
        <v>150</v>
      </c>
      <c r="U338" s="131">
        <v>161</v>
      </c>
      <c r="V338" s="132">
        <f t="shared" si="82"/>
        <v>311</v>
      </c>
      <c r="W338" s="133">
        <f t="shared" si="83"/>
        <v>2.0705725699067909</v>
      </c>
      <c r="X338" s="130">
        <v>1758</v>
      </c>
      <c r="Y338" s="131">
        <v>1615</v>
      </c>
      <c r="Z338" s="131">
        <v>1064</v>
      </c>
      <c r="AA338" s="132">
        <f t="shared" si="84"/>
        <v>4437</v>
      </c>
      <c r="AB338" s="133">
        <f t="shared" si="85"/>
        <v>29.540612516644476</v>
      </c>
      <c r="AC338" s="134">
        <f t="shared" si="86"/>
        <v>4748</v>
      </c>
      <c r="AD338" s="135">
        <f t="shared" si="87"/>
        <v>31.611185086551266</v>
      </c>
      <c r="AE338" s="136">
        <v>27</v>
      </c>
      <c r="AF338" s="137">
        <v>24</v>
      </c>
      <c r="AG338" s="137">
        <v>0</v>
      </c>
      <c r="AH338" s="138">
        <f t="shared" si="88"/>
        <v>51</v>
      </c>
      <c r="AI338" s="133">
        <f t="shared" si="89"/>
        <v>0.33954727030625836</v>
      </c>
    </row>
    <row r="339" spans="1:35">
      <c r="A339" s="171">
        <f>IF('09월 조업일지'!A335="","",'09월 조업일지'!A335)</f>
        <v>46277</v>
      </c>
      <c r="B339" s="172" t="str">
        <f>'09월 조업일지'!E335</f>
        <v>C</v>
      </c>
      <c r="C339" s="172" t="str">
        <f>'09월 조업일지'!F335</f>
        <v>B</v>
      </c>
      <c r="D339" s="172">
        <f>'09월 화학성분'!C336</f>
        <v>85538</v>
      </c>
      <c r="E339" s="205" t="str">
        <f t="shared" si="90"/>
        <v>SS400-05</v>
      </c>
      <c r="F339" s="121">
        <v>21</v>
      </c>
      <c r="G339" s="122">
        <v>23200</v>
      </c>
      <c r="H339" s="123">
        <v>17</v>
      </c>
      <c r="I339" s="122">
        <v>20700</v>
      </c>
      <c r="J339" s="123">
        <v>9</v>
      </c>
      <c r="K339" s="122">
        <v>11000</v>
      </c>
      <c r="L339" s="124">
        <f t="shared" si="77"/>
        <v>47</v>
      </c>
      <c r="M339" s="125">
        <f t="shared" si="77"/>
        <v>54900</v>
      </c>
      <c r="N339" s="126">
        <f t="shared" si="78"/>
        <v>157.18157181571817</v>
      </c>
      <c r="O339" s="127">
        <f t="shared" si="79"/>
        <v>140.2439024390244</v>
      </c>
      <c r="P339" s="127">
        <f t="shared" si="80"/>
        <v>74.525745257452584</v>
      </c>
      <c r="Q339" s="128">
        <f t="shared" si="81"/>
        <v>371.95121951219511</v>
      </c>
      <c r="R339" s="129">
        <v>147.6</v>
      </c>
      <c r="S339" s="130">
        <v>0</v>
      </c>
      <c r="T339" s="131">
        <v>103</v>
      </c>
      <c r="U339" s="131">
        <v>218</v>
      </c>
      <c r="V339" s="132">
        <f t="shared" si="82"/>
        <v>321</v>
      </c>
      <c r="W339" s="133">
        <f t="shared" si="83"/>
        <v>2.1747967479674797</v>
      </c>
      <c r="X339" s="130">
        <v>1682</v>
      </c>
      <c r="Y339" s="131">
        <v>1636</v>
      </c>
      <c r="Z339" s="131">
        <v>995</v>
      </c>
      <c r="AA339" s="132">
        <f t="shared" si="84"/>
        <v>4313</v>
      </c>
      <c r="AB339" s="133">
        <f t="shared" si="85"/>
        <v>29.22086720867209</v>
      </c>
      <c r="AC339" s="134">
        <f t="shared" si="86"/>
        <v>4634</v>
      </c>
      <c r="AD339" s="135">
        <f t="shared" si="87"/>
        <v>31.395663956639567</v>
      </c>
      <c r="AE339" s="136">
        <v>25</v>
      </c>
      <c r="AF339" s="137">
        <v>28</v>
      </c>
      <c r="AG339" s="137">
        <v>0</v>
      </c>
      <c r="AH339" s="138">
        <f t="shared" si="88"/>
        <v>53</v>
      </c>
      <c r="AI339" s="133">
        <f t="shared" si="89"/>
        <v>0.35907859078590787</v>
      </c>
    </row>
    <row r="340" spans="1:35">
      <c r="A340" s="171">
        <f>IF('09월 조업일지'!A336="","",'09월 조업일지'!A336)</f>
        <v>46277</v>
      </c>
      <c r="B340" s="172" t="str">
        <f>'09월 조업일지'!E336</f>
        <v>A</v>
      </c>
      <c r="C340" s="172" t="str">
        <f>'09월 조업일지'!F336</f>
        <v>A</v>
      </c>
      <c r="D340" s="172">
        <f>'09월 화학성분'!C337</f>
        <v>85539</v>
      </c>
      <c r="E340" s="205" t="str">
        <f t="shared" si="90"/>
        <v>SS400-05</v>
      </c>
      <c r="F340" s="121">
        <v>21</v>
      </c>
      <c r="G340" s="122">
        <v>23400</v>
      </c>
      <c r="H340" s="123">
        <v>17</v>
      </c>
      <c r="I340" s="122">
        <v>20300</v>
      </c>
      <c r="J340" s="123">
        <v>11</v>
      </c>
      <c r="K340" s="122">
        <v>13700</v>
      </c>
      <c r="L340" s="124">
        <f t="shared" si="77"/>
        <v>49</v>
      </c>
      <c r="M340" s="125">
        <f t="shared" si="77"/>
        <v>57400</v>
      </c>
      <c r="N340" s="126">
        <f t="shared" si="78"/>
        <v>154.65961665565101</v>
      </c>
      <c r="O340" s="127">
        <f t="shared" si="79"/>
        <v>134.17052214144084</v>
      </c>
      <c r="P340" s="127">
        <f t="shared" si="80"/>
        <v>90.548578982154652</v>
      </c>
      <c r="Q340" s="128">
        <f t="shared" si="81"/>
        <v>379.37871777924653</v>
      </c>
      <c r="R340" s="129">
        <v>151.30000000000001</v>
      </c>
      <c r="S340" s="130">
        <v>0</v>
      </c>
      <c r="T340" s="131">
        <v>34</v>
      </c>
      <c r="U340" s="131">
        <v>286</v>
      </c>
      <c r="V340" s="132">
        <f t="shared" si="82"/>
        <v>320</v>
      </c>
      <c r="W340" s="133">
        <f t="shared" si="83"/>
        <v>2.1150033046926633</v>
      </c>
      <c r="X340" s="130">
        <v>1809</v>
      </c>
      <c r="Y340" s="131">
        <v>1612</v>
      </c>
      <c r="Z340" s="131">
        <v>754</v>
      </c>
      <c r="AA340" s="132">
        <f t="shared" si="84"/>
        <v>4175</v>
      </c>
      <c r="AB340" s="133">
        <f t="shared" si="85"/>
        <v>27.594183740912094</v>
      </c>
      <c r="AC340" s="134">
        <f t="shared" si="86"/>
        <v>4495</v>
      </c>
      <c r="AD340" s="135">
        <f t="shared" si="87"/>
        <v>29.709187045604757</v>
      </c>
      <c r="AE340" s="136">
        <v>26</v>
      </c>
      <c r="AF340" s="137">
        <v>22</v>
      </c>
      <c r="AG340" s="137">
        <v>0</v>
      </c>
      <c r="AH340" s="138">
        <f t="shared" si="88"/>
        <v>48</v>
      </c>
      <c r="AI340" s="133">
        <f t="shared" si="89"/>
        <v>0.31725049570389952</v>
      </c>
    </row>
    <row r="341" spans="1:35">
      <c r="A341" s="171">
        <f>IF('09월 조업일지'!A337="","",'09월 조업일지'!A337)</f>
        <v>46277</v>
      </c>
      <c r="B341" s="172" t="str">
        <f>'09월 조업일지'!E337</f>
        <v>A</v>
      </c>
      <c r="C341" s="172" t="str">
        <f>'09월 조업일지'!F337</f>
        <v>B</v>
      </c>
      <c r="D341" s="172">
        <f>'09월 화학성분'!C338</f>
        <v>85540</v>
      </c>
      <c r="E341" s="205" t="str">
        <f t="shared" si="90"/>
        <v>SS400-05</v>
      </c>
      <c r="F341" s="121">
        <v>20</v>
      </c>
      <c r="G341" s="122">
        <v>23100</v>
      </c>
      <c r="H341" s="123">
        <v>17</v>
      </c>
      <c r="I341" s="122">
        <v>20300</v>
      </c>
      <c r="J341" s="123">
        <v>9</v>
      </c>
      <c r="K341" s="122">
        <v>12200</v>
      </c>
      <c r="L341" s="124">
        <f t="shared" si="77"/>
        <v>46</v>
      </c>
      <c r="M341" s="125">
        <f t="shared" si="77"/>
        <v>55600</v>
      </c>
      <c r="N341" s="126">
        <f t="shared" si="78"/>
        <v>153.59042553191489</v>
      </c>
      <c r="O341" s="127">
        <f t="shared" si="79"/>
        <v>134.97340425531914</v>
      </c>
      <c r="P341" s="127">
        <f t="shared" si="80"/>
        <v>81.117021276595736</v>
      </c>
      <c r="Q341" s="128">
        <f t="shared" si="81"/>
        <v>369.68085106382972</v>
      </c>
      <c r="R341" s="129">
        <v>150.4</v>
      </c>
      <c r="S341" s="130">
        <v>0</v>
      </c>
      <c r="T341" s="131">
        <v>89</v>
      </c>
      <c r="U341" s="131">
        <v>240</v>
      </c>
      <c r="V341" s="132">
        <f t="shared" si="82"/>
        <v>329</v>
      </c>
      <c r="W341" s="133">
        <f t="shared" si="83"/>
        <v>2.1875</v>
      </c>
      <c r="X341" s="130">
        <v>1638</v>
      </c>
      <c r="Y341" s="131">
        <v>1618</v>
      </c>
      <c r="Z341" s="131">
        <v>674</v>
      </c>
      <c r="AA341" s="132">
        <f t="shared" si="84"/>
        <v>3930</v>
      </c>
      <c r="AB341" s="133">
        <f t="shared" si="85"/>
        <v>26.13031914893617</v>
      </c>
      <c r="AC341" s="134">
        <f t="shared" si="86"/>
        <v>4259</v>
      </c>
      <c r="AD341" s="135">
        <f t="shared" si="87"/>
        <v>28.31781914893617</v>
      </c>
      <c r="AE341" s="136">
        <v>25</v>
      </c>
      <c r="AF341" s="137">
        <v>33</v>
      </c>
      <c r="AG341" s="137">
        <v>0</v>
      </c>
      <c r="AH341" s="138">
        <f t="shared" si="88"/>
        <v>58</v>
      </c>
      <c r="AI341" s="133">
        <f t="shared" si="89"/>
        <v>0.38563829787234039</v>
      </c>
    </row>
    <row r="342" spans="1:35">
      <c r="A342" s="171">
        <f>IF('09월 조업일지'!A338="","",'09월 조업일지'!A338)</f>
        <v>46277</v>
      </c>
      <c r="B342" s="172" t="str">
        <f>'09월 조업일지'!E338</f>
        <v>A</v>
      </c>
      <c r="C342" s="172" t="str">
        <f>'09월 조업일지'!F338</f>
        <v>A</v>
      </c>
      <c r="D342" s="172">
        <f>'09월 화학성분'!C339</f>
        <v>85541</v>
      </c>
      <c r="E342" s="205" t="str">
        <f t="shared" si="90"/>
        <v>SS400-05</v>
      </c>
      <c r="F342" s="121">
        <v>19</v>
      </c>
      <c r="G342" s="122">
        <v>23200</v>
      </c>
      <c r="H342" s="123">
        <v>17</v>
      </c>
      <c r="I342" s="122">
        <v>20900</v>
      </c>
      <c r="J342" s="123">
        <v>8</v>
      </c>
      <c r="K342" s="122">
        <v>9700</v>
      </c>
      <c r="L342" s="124">
        <f t="shared" si="77"/>
        <v>44</v>
      </c>
      <c r="M342" s="125">
        <f t="shared" si="77"/>
        <v>53800</v>
      </c>
      <c r="N342" s="126">
        <f t="shared" si="78"/>
        <v>154.87316421895861</v>
      </c>
      <c r="O342" s="127">
        <f t="shared" si="79"/>
        <v>139.51935914552735</v>
      </c>
      <c r="P342" s="127">
        <f t="shared" si="80"/>
        <v>64.753004005340443</v>
      </c>
      <c r="Q342" s="128">
        <f t="shared" si="81"/>
        <v>359.14552736982637</v>
      </c>
      <c r="R342" s="129">
        <v>149.80000000000001</v>
      </c>
      <c r="S342" s="130">
        <v>0</v>
      </c>
      <c r="T342" s="131">
        <v>197</v>
      </c>
      <c r="U342" s="131">
        <v>167</v>
      </c>
      <c r="V342" s="132">
        <f t="shared" si="82"/>
        <v>364</v>
      </c>
      <c r="W342" s="133">
        <f t="shared" si="83"/>
        <v>2.4299065420560746</v>
      </c>
      <c r="X342" s="130">
        <v>1760</v>
      </c>
      <c r="Y342" s="131">
        <v>1646</v>
      </c>
      <c r="Z342" s="131">
        <v>539</v>
      </c>
      <c r="AA342" s="132">
        <f t="shared" si="84"/>
        <v>3945</v>
      </c>
      <c r="AB342" s="133">
        <f t="shared" si="85"/>
        <v>26.335113484646193</v>
      </c>
      <c r="AC342" s="134">
        <f t="shared" si="86"/>
        <v>4309</v>
      </c>
      <c r="AD342" s="135">
        <f t="shared" si="87"/>
        <v>28.765020026702267</v>
      </c>
      <c r="AE342" s="136">
        <v>26</v>
      </c>
      <c r="AF342" s="137">
        <v>24</v>
      </c>
      <c r="AG342" s="137">
        <v>0</v>
      </c>
      <c r="AH342" s="138">
        <f t="shared" si="88"/>
        <v>50</v>
      </c>
      <c r="AI342" s="133">
        <f t="shared" si="89"/>
        <v>0.33377837116154868</v>
      </c>
    </row>
    <row r="343" spans="1:35">
      <c r="A343" s="171">
        <f>IF('09월 조업일지'!A339="","",'09월 조업일지'!A339)</f>
        <v>46277</v>
      </c>
      <c r="B343" s="172" t="str">
        <f>'09월 조업일지'!E339</f>
        <v>A</v>
      </c>
      <c r="C343" s="172" t="str">
        <f>'09월 조업일지'!F339</f>
        <v>B</v>
      </c>
      <c r="D343" s="172">
        <f>'09월 화학성분'!C340</f>
        <v>85542</v>
      </c>
      <c r="E343" s="205" t="str">
        <f t="shared" si="90"/>
        <v>SS400-05</v>
      </c>
      <c r="F343" s="121">
        <v>20</v>
      </c>
      <c r="G343" s="122">
        <v>23400</v>
      </c>
      <c r="H343" s="123">
        <v>18</v>
      </c>
      <c r="I343" s="122">
        <v>20700</v>
      </c>
      <c r="J343" s="123">
        <v>8</v>
      </c>
      <c r="K343" s="122">
        <v>10300</v>
      </c>
      <c r="L343" s="124">
        <f t="shared" si="77"/>
        <v>46</v>
      </c>
      <c r="M343" s="125">
        <f t="shared" si="77"/>
        <v>54400</v>
      </c>
      <c r="N343" s="126">
        <f t="shared" si="78"/>
        <v>156.62650602409639</v>
      </c>
      <c r="O343" s="127">
        <f t="shared" si="79"/>
        <v>138.55421686746988</v>
      </c>
      <c r="P343" s="127">
        <f t="shared" si="80"/>
        <v>68.942436412315928</v>
      </c>
      <c r="Q343" s="128">
        <f t="shared" si="81"/>
        <v>364.12315930388218</v>
      </c>
      <c r="R343" s="129">
        <v>149.4</v>
      </c>
      <c r="S343" s="130">
        <v>0</v>
      </c>
      <c r="T343" s="131">
        <v>177</v>
      </c>
      <c r="U343" s="131">
        <v>187</v>
      </c>
      <c r="V343" s="132">
        <f t="shared" si="82"/>
        <v>364</v>
      </c>
      <c r="W343" s="133">
        <f t="shared" si="83"/>
        <v>2.4364123159303883</v>
      </c>
      <c r="X343" s="130">
        <v>1671</v>
      </c>
      <c r="Y343" s="131">
        <v>1677</v>
      </c>
      <c r="Z343" s="131">
        <v>598</v>
      </c>
      <c r="AA343" s="132">
        <f t="shared" si="84"/>
        <v>3946</v>
      </c>
      <c r="AB343" s="133">
        <f t="shared" si="85"/>
        <v>26.412315930388218</v>
      </c>
      <c r="AC343" s="134">
        <f t="shared" si="86"/>
        <v>4310</v>
      </c>
      <c r="AD343" s="135">
        <f t="shared" si="87"/>
        <v>28.848728246318608</v>
      </c>
      <c r="AE343" s="136">
        <v>25</v>
      </c>
      <c r="AF343" s="137">
        <v>30</v>
      </c>
      <c r="AG343" s="137">
        <v>0</v>
      </c>
      <c r="AH343" s="138">
        <f t="shared" si="88"/>
        <v>55</v>
      </c>
      <c r="AI343" s="133">
        <f t="shared" si="89"/>
        <v>0.36813922356091028</v>
      </c>
    </row>
    <row r="344" spans="1:35">
      <c r="A344" s="171">
        <f>IF('09월 조업일지'!A340="","",'09월 조업일지'!A340)</f>
        <v>46277</v>
      </c>
      <c r="B344" s="172" t="str">
        <f>'09월 조업일지'!E340</f>
        <v>A</v>
      </c>
      <c r="C344" s="172" t="str">
        <f>'09월 조업일지'!F340</f>
        <v>A</v>
      </c>
      <c r="D344" s="172">
        <f>'09월 화학성분'!C341</f>
        <v>85543</v>
      </c>
      <c r="E344" s="205" t="str">
        <f t="shared" si="90"/>
        <v>SS400-05</v>
      </c>
      <c r="F344" s="121">
        <v>21</v>
      </c>
      <c r="G344" s="122">
        <v>23200</v>
      </c>
      <c r="H344" s="123">
        <v>18</v>
      </c>
      <c r="I344" s="122">
        <v>20200</v>
      </c>
      <c r="J344" s="123">
        <v>9</v>
      </c>
      <c r="K344" s="122">
        <v>11900</v>
      </c>
      <c r="L344" s="124">
        <f t="shared" si="77"/>
        <v>48</v>
      </c>
      <c r="M344" s="125">
        <f t="shared" si="77"/>
        <v>55300</v>
      </c>
      <c r="N344" s="126">
        <f t="shared" si="78"/>
        <v>153.54070152217076</v>
      </c>
      <c r="O344" s="127">
        <f t="shared" si="79"/>
        <v>133.68630046326936</v>
      </c>
      <c r="P344" s="127">
        <f t="shared" si="80"/>
        <v>78.755790866975516</v>
      </c>
      <c r="Q344" s="128">
        <f t="shared" si="81"/>
        <v>365.98279285241563</v>
      </c>
      <c r="R344" s="129">
        <v>151.1</v>
      </c>
      <c r="S344" s="130">
        <v>0</v>
      </c>
      <c r="T344" s="131">
        <v>146</v>
      </c>
      <c r="U344" s="131">
        <v>216</v>
      </c>
      <c r="V344" s="132">
        <f t="shared" si="82"/>
        <v>362</v>
      </c>
      <c r="W344" s="133">
        <f t="shared" si="83"/>
        <v>2.3957643944407678</v>
      </c>
      <c r="X344" s="130">
        <v>1787</v>
      </c>
      <c r="Y344" s="131">
        <v>1686</v>
      </c>
      <c r="Z344" s="131">
        <v>799</v>
      </c>
      <c r="AA344" s="132">
        <f t="shared" si="84"/>
        <v>4272</v>
      </c>
      <c r="AB344" s="133">
        <f t="shared" si="85"/>
        <v>28.272667107875581</v>
      </c>
      <c r="AC344" s="134">
        <f t="shared" si="86"/>
        <v>4634</v>
      </c>
      <c r="AD344" s="135">
        <f t="shared" si="87"/>
        <v>30.668431502316349</v>
      </c>
      <c r="AE344" s="136">
        <v>26</v>
      </c>
      <c r="AF344" s="137">
        <v>22</v>
      </c>
      <c r="AG344" s="137">
        <v>0</v>
      </c>
      <c r="AH344" s="138">
        <f t="shared" si="88"/>
        <v>48</v>
      </c>
      <c r="AI344" s="133">
        <f t="shared" si="89"/>
        <v>0.31767041694242226</v>
      </c>
    </row>
    <row r="345" spans="1:35">
      <c r="A345" s="171">
        <f>IF('09월 조업일지'!A341="","",'09월 조업일지'!A341)</f>
        <v>46277</v>
      </c>
      <c r="B345" s="172" t="str">
        <f>'09월 조업일지'!E341</f>
        <v>A</v>
      </c>
      <c r="C345" s="172" t="str">
        <f>'09월 조업일지'!F341</f>
        <v>B</v>
      </c>
      <c r="D345" s="172">
        <f>'09월 화학성분'!C342</f>
        <v>85544</v>
      </c>
      <c r="E345" s="205" t="str">
        <f t="shared" si="90"/>
        <v>SS400-05</v>
      </c>
      <c r="F345" s="121">
        <v>21</v>
      </c>
      <c r="G345" s="122">
        <v>24200</v>
      </c>
      <c r="H345" s="123">
        <v>18</v>
      </c>
      <c r="I345" s="122">
        <v>20400</v>
      </c>
      <c r="J345" s="123">
        <v>7</v>
      </c>
      <c r="K345" s="122">
        <v>9700</v>
      </c>
      <c r="L345" s="124">
        <f t="shared" ref="L345:M408" si="91">IF(ISBLANK(F345),"",SUM(F345,H345,J345))</f>
        <v>46</v>
      </c>
      <c r="M345" s="125">
        <f t="shared" si="91"/>
        <v>54300</v>
      </c>
      <c r="N345" s="126">
        <f t="shared" si="78"/>
        <v>161.54873164218958</v>
      </c>
      <c r="O345" s="127">
        <f t="shared" si="79"/>
        <v>136.18157543391186</v>
      </c>
      <c r="P345" s="127">
        <f t="shared" si="80"/>
        <v>64.753004005340443</v>
      </c>
      <c r="Q345" s="128">
        <f t="shared" si="81"/>
        <v>362.48331108144191</v>
      </c>
      <c r="R345" s="129">
        <v>149.80000000000001</v>
      </c>
      <c r="S345" s="130">
        <v>0</v>
      </c>
      <c r="T345" s="131">
        <v>53</v>
      </c>
      <c r="U345" s="131">
        <v>278</v>
      </c>
      <c r="V345" s="132">
        <f t="shared" si="82"/>
        <v>331</v>
      </c>
      <c r="W345" s="133">
        <f t="shared" si="83"/>
        <v>2.2096128170894525</v>
      </c>
      <c r="X345" s="130">
        <v>1781</v>
      </c>
      <c r="Y345" s="131">
        <v>1599</v>
      </c>
      <c r="Z345" s="131">
        <v>768</v>
      </c>
      <c r="AA345" s="132">
        <f t="shared" si="84"/>
        <v>4148</v>
      </c>
      <c r="AB345" s="133">
        <f t="shared" si="85"/>
        <v>27.690253671562079</v>
      </c>
      <c r="AC345" s="134">
        <f t="shared" si="86"/>
        <v>4479</v>
      </c>
      <c r="AD345" s="135">
        <f t="shared" si="87"/>
        <v>29.899866488651533</v>
      </c>
      <c r="AE345" s="136">
        <v>25</v>
      </c>
      <c r="AF345" s="137">
        <v>27</v>
      </c>
      <c r="AG345" s="137">
        <v>0</v>
      </c>
      <c r="AH345" s="138">
        <f t="shared" si="88"/>
        <v>52</v>
      </c>
      <c r="AI345" s="133">
        <f t="shared" si="89"/>
        <v>0.34712950600801068</v>
      </c>
    </row>
    <row r="346" spans="1:35">
      <c r="A346" s="171">
        <f>IF('09월 조업일지'!A342="","",'09월 조업일지'!A342)</f>
        <v>46277</v>
      </c>
      <c r="B346" s="172" t="str">
        <f>'09월 조업일지'!E342</f>
        <v>A</v>
      </c>
      <c r="C346" s="172" t="str">
        <f>'09월 조업일지'!F342</f>
        <v>A</v>
      </c>
      <c r="D346" s="172">
        <f>'09월 화학성분'!C343</f>
        <v>85545</v>
      </c>
      <c r="E346" s="205" t="str">
        <f t="shared" si="90"/>
        <v>SS400-05</v>
      </c>
      <c r="F346" s="121">
        <v>20</v>
      </c>
      <c r="G346" s="122">
        <v>23800</v>
      </c>
      <c r="H346" s="123">
        <v>18</v>
      </c>
      <c r="I346" s="122">
        <v>20600</v>
      </c>
      <c r="J346" s="123">
        <v>9</v>
      </c>
      <c r="K346" s="122">
        <v>11500</v>
      </c>
      <c r="L346" s="124">
        <f t="shared" si="91"/>
        <v>47</v>
      </c>
      <c r="M346" s="125">
        <f t="shared" si="91"/>
        <v>55900</v>
      </c>
      <c r="N346" s="126">
        <f t="shared" si="78"/>
        <v>155.75916230366491</v>
      </c>
      <c r="O346" s="127">
        <f t="shared" si="79"/>
        <v>134.81675392670155</v>
      </c>
      <c r="P346" s="127">
        <f t="shared" si="80"/>
        <v>75.261780104712031</v>
      </c>
      <c r="Q346" s="128">
        <f t="shared" si="81"/>
        <v>365.83769633507853</v>
      </c>
      <c r="R346" s="129">
        <v>152.80000000000001</v>
      </c>
      <c r="S346" s="130">
        <v>0</v>
      </c>
      <c r="T346" s="131">
        <v>192</v>
      </c>
      <c r="U346" s="131">
        <v>122</v>
      </c>
      <c r="V346" s="132">
        <f t="shared" si="82"/>
        <v>314</v>
      </c>
      <c r="W346" s="133">
        <f t="shared" si="83"/>
        <v>2.0549738219895288</v>
      </c>
      <c r="X346" s="130">
        <v>1754</v>
      </c>
      <c r="Y346" s="131">
        <v>1595</v>
      </c>
      <c r="Z346" s="131">
        <v>618</v>
      </c>
      <c r="AA346" s="132">
        <f t="shared" si="84"/>
        <v>3967</v>
      </c>
      <c r="AB346" s="133">
        <f t="shared" si="85"/>
        <v>25.962041884816752</v>
      </c>
      <c r="AC346" s="134">
        <f t="shared" si="86"/>
        <v>4281</v>
      </c>
      <c r="AD346" s="135">
        <f t="shared" si="87"/>
        <v>28.01701570680628</v>
      </c>
      <c r="AE346" s="136">
        <v>22</v>
      </c>
      <c r="AF346" s="137">
        <v>24</v>
      </c>
      <c r="AG346" s="137">
        <v>0</v>
      </c>
      <c r="AH346" s="138">
        <f t="shared" si="88"/>
        <v>46</v>
      </c>
      <c r="AI346" s="133">
        <f t="shared" si="89"/>
        <v>0.30104712041884812</v>
      </c>
    </row>
    <row r="347" spans="1:35">
      <c r="A347" s="171">
        <f>IF('09월 조업일지'!A343="","",'09월 조업일지'!A343)</f>
        <v>46277</v>
      </c>
      <c r="B347" s="172" t="str">
        <f>'09월 조업일지'!E343</f>
        <v>A</v>
      </c>
      <c r="C347" s="172" t="str">
        <f>'09월 조업일지'!F343</f>
        <v>B</v>
      </c>
      <c r="D347" s="172">
        <f>'09월 화학성분'!C344</f>
        <v>85546</v>
      </c>
      <c r="E347" s="205" t="str">
        <f t="shared" si="90"/>
        <v>SS400-05</v>
      </c>
      <c r="F347" s="121">
        <v>21</v>
      </c>
      <c r="G347" s="122">
        <v>24300</v>
      </c>
      <c r="H347" s="123">
        <v>18</v>
      </c>
      <c r="I347" s="122">
        <v>20500</v>
      </c>
      <c r="J347" s="123">
        <v>7</v>
      </c>
      <c r="K347" s="122">
        <v>9600</v>
      </c>
      <c r="L347" s="124">
        <f t="shared" si="91"/>
        <v>46</v>
      </c>
      <c r="M347" s="125">
        <f t="shared" si="91"/>
        <v>54400</v>
      </c>
      <c r="N347" s="126">
        <f t="shared" si="78"/>
        <v>162.32464929859719</v>
      </c>
      <c r="O347" s="127">
        <f t="shared" si="79"/>
        <v>136.94054776219104</v>
      </c>
      <c r="P347" s="127">
        <f t="shared" si="80"/>
        <v>64.128256513026059</v>
      </c>
      <c r="Q347" s="128">
        <f t="shared" si="81"/>
        <v>363.39345357381433</v>
      </c>
      <c r="R347" s="129">
        <v>149.69999999999999</v>
      </c>
      <c r="S347" s="130">
        <v>0</v>
      </c>
      <c r="T347" s="131">
        <v>132</v>
      </c>
      <c r="U347" s="131">
        <v>210</v>
      </c>
      <c r="V347" s="132">
        <f t="shared" si="82"/>
        <v>342</v>
      </c>
      <c r="W347" s="133">
        <f t="shared" si="83"/>
        <v>2.2845691382765532</v>
      </c>
      <c r="X347" s="130">
        <v>1731</v>
      </c>
      <c r="Y347" s="131">
        <v>1661</v>
      </c>
      <c r="Z347" s="131">
        <v>647</v>
      </c>
      <c r="AA347" s="132">
        <f t="shared" si="84"/>
        <v>4039</v>
      </c>
      <c r="AB347" s="133">
        <f t="shared" si="85"/>
        <v>26.980627922511694</v>
      </c>
      <c r="AC347" s="134">
        <f t="shared" si="86"/>
        <v>4381</v>
      </c>
      <c r="AD347" s="135">
        <f t="shared" si="87"/>
        <v>29.265197060788246</v>
      </c>
      <c r="AE347" s="136">
        <v>22</v>
      </c>
      <c r="AF347" s="137">
        <v>34</v>
      </c>
      <c r="AG347" s="137">
        <v>0</v>
      </c>
      <c r="AH347" s="138">
        <f t="shared" si="88"/>
        <v>56</v>
      </c>
      <c r="AI347" s="133">
        <f t="shared" si="89"/>
        <v>0.37408149632598531</v>
      </c>
    </row>
    <row r="348" spans="1:35">
      <c r="A348" s="171">
        <f>IF('09월 조업일지'!A344="","",'09월 조업일지'!A344)</f>
        <v>46277</v>
      </c>
      <c r="B348" s="172" t="str">
        <f>'09월 조업일지'!E344</f>
        <v>A</v>
      </c>
      <c r="C348" s="172" t="str">
        <f>'09월 조업일지'!F344</f>
        <v>A</v>
      </c>
      <c r="D348" s="172">
        <f>'09월 화학성분'!C345</f>
        <v>85547</v>
      </c>
      <c r="E348" s="205" t="str">
        <f t="shared" si="90"/>
        <v>SS400-05</v>
      </c>
      <c r="F348" s="121">
        <v>21</v>
      </c>
      <c r="G348" s="122">
        <v>24200</v>
      </c>
      <c r="H348" s="123">
        <v>16</v>
      </c>
      <c r="I348" s="122">
        <v>20500</v>
      </c>
      <c r="J348" s="123">
        <v>6</v>
      </c>
      <c r="K348" s="122">
        <v>7600</v>
      </c>
      <c r="L348" s="124">
        <f t="shared" si="91"/>
        <v>43</v>
      </c>
      <c r="M348" s="125">
        <f t="shared" si="91"/>
        <v>52300</v>
      </c>
      <c r="N348" s="126">
        <f t="shared" si="78"/>
        <v>160.47745358090185</v>
      </c>
      <c r="O348" s="127">
        <f t="shared" si="79"/>
        <v>135.9416445623342</v>
      </c>
      <c r="P348" s="127">
        <f t="shared" si="80"/>
        <v>50.397877984084879</v>
      </c>
      <c r="Q348" s="128">
        <f t="shared" si="81"/>
        <v>346.81697612732091</v>
      </c>
      <c r="R348" s="129">
        <v>150.80000000000001</v>
      </c>
      <c r="S348" s="130">
        <v>0</v>
      </c>
      <c r="T348" s="131">
        <v>200</v>
      </c>
      <c r="U348" s="131">
        <v>166</v>
      </c>
      <c r="V348" s="132">
        <f t="shared" si="82"/>
        <v>366</v>
      </c>
      <c r="W348" s="133">
        <f t="shared" si="83"/>
        <v>2.4270557029177717</v>
      </c>
      <c r="X348" s="130">
        <v>1810</v>
      </c>
      <c r="Y348" s="131">
        <v>1726</v>
      </c>
      <c r="Z348" s="131">
        <v>446</v>
      </c>
      <c r="AA348" s="132">
        <f t="shared" si="84"/>
        <v>3982</v>
      </c>
      <c r="AB348" s="133">
        <f t="shared" si="85"/>
        <v>26.405835543766575</v>
      </c>
      <c r="AC348" s="134">
        <f t="shared" si="86"/>
        <v>4348</v>
      </c>
      <c r="AD348" s="135">
        <f t="shared" si="87"/>
        <v>28.832891246684348</v>
      </c>
      <c r="AE348" s="136">
        <v>28</v>
      </c>
      <c r="AF348" s="137">
        <v>25</v>
      </c>
      <c r="AG348" s="137">
        <v>0</v>
      </c>
      <c r="AH348" s="138">
        <f t="shared" si="88"/>
        <v>53</v>
      </c>
      <c r="AI348" s="133">
        <f t="shared" si="89"/>
        <v>0.35145888594164454</v>
      </c>
    </row>
    <row r="349" spans="1:35">
      <c r="A349" s="171">
        <f>IF('09월 조업일지'!A345="","",'09월 조업일지'!A345)</f>
        <v>46277</v>
      </c>
      <c r="B349" s="172" t="str">
        <f>'09월 조업일지'!E345</f>
        <v>A</v>
      </c>
      <c r="C349" s="172" t="str">
        <f>'09월 조업일지'!F345</f>
        <v>B</v>
      </c>
      <c r="D349" s="172">
        <f>'09월 화학성분'!C346</f>
        <v>85548</v>
      </c>
      <c r="E349" s="205" t="str">
        <f t="shared" si="90"/>
        <v>SS400-05</v>
      </c>
      <c r="F349" s="121">
        <v>23</v>
      </c>
      <c r="G349" s="122">
        <v>23600</v>
      </c>
      <c r="H349" s="123">
        <v>17</v>
      </c>
      <c r="I349" s="122">
        <v>20400</v>
      </c>
      <c r="J349" s="123">
        <v>8</v>
      </c>
      <c r="K349" s="122">
        <v>10300</v>
      </c>
      <c r="L349" s="124">
        <f t="shared" si="91"/>
        <v>48</v>
      </c>
      <c r="M349" s="125">
        <f t="shared" si="91"/>
        <v>54300</v>
      </c>
      <c r="N349" s="126">
        <f t="shared" si="78"/>
        <v>161.86556927297667</v>
      </c>
      <c r="O349" s="127">
        <f t="shared" si="79"/>
        <v>139.91769547325103</v>
      </c>
      <c r="P349" s="127">
        <f t="shared" si="80"/>
        <v>70.644718792866939</v>
      </c>
      <c r="Q349" s="128">
        <f t="shared" si="81"/>
        <v>372.42798353909461</v>
      </c>
      <c r="R349" s="129">
        <v>145.80000000000001</v>
      </c>
      <c r="S349" s="130">
        <v>0</v>
      </c>
      <c r="T349" s="131">
        <v>42</v>
      </c>
      <c r="U349" s="131">
        <v>294</v>
      </c>
      <c r="V349" s="132">
        <f t="shared" si="82"/>
        <v>336</v>
      </c>
      <c r="W349" s="133">
        <f t="shared" si="83"/>
        <v>2.3045267489711931</v>
      </c>
      <c r="X349" s="130">
        <v>1820</v>
      </c>
      <c r="Y349" s="131">
        <v>1623</v>
      </c>
      <c r="Z349" s="131">
        <v>740</v>
      </c>
      <c r="AA349" s="132">
        <f t="shared" si="84"/>
        <v>4183</v>
      </c>
      <c r="AB349" s="133">
        <f t="shared" si="85"/>
        <v>28.689986282578872</v>
      </c>
      <c r="AC349" s="134">
        <f t="shared" si="86"/>
        <v>4519</v>
      </c>
      <c r="AD349" s="135">
        <f t="shared" si="87"/>
        <v>30.994513031550067</v>
      </c>
      <c r="AE349" s="136">
        <v>25</v>
      </c>
      <c r="AF349" s="137">
        <v>32</v>
      </c>
      <c r="AG349" s="137">
        <v>0</v>
      </c>
      <c r="AH349" s="138">
        <f t="shared" si="88"/>
        <v>57</v>
      </c>
      <c r="AI349" s="133">
        <f t="shared" si="89"/>
        <v>0.39094650205761317</v>
      </c>
    </row>
    <row r="350" spans="1:35">
      <c r="A350" s="171">
        <f>IF('09월 조업일지'!A346="","",'09월 조업일지'!A346)</f>
        <v>46277</v>
      </c>
      <c r="B350" s="172" t="str">
        <f>'09월 조업일지'!E346</f>
        <v>B</v>
      </c>
      <c r="C350" s="172" t="str">
        <f>'09월 조업일지'!F346</f>
        <v>A</v>
      </c>
      <c r="D350" s="172">
        <f>'09월 화학성분'!C347</f>
        <v>85549</v>
      </c>
      <c r="E350" s="205" t="str">
        <f t="shared" si="90"/>
        <v>SS400-05</v>
      </c>
      <c r="F350" s="121">
        <v>21</v>
      </c>
      <c r="G350" s="122">
        <v>23500</v>
      </c>
      <c r="H350" s="123">
        <v>18</v>
      </c>
      <c r="I350" s="122">
        <v>20300</v>
      </c>
      <c r="J350" s="123">
        <v>14</v>
      </c>
      <c r="K350" s="122">
        <v>16900</v>
      </c>
      <c r="L350" s="124">
        <f t="shared" si="91"/>
        <v>53</v>
      </c>
      <c r="M350" s="125">
        <f t="shared" si="91"/>
        <v>60700</v>
      </c>
      <c r="N350" s="126">
        <f t="shared" si="78"/>
        <v>162.1808143547274</v>
      </c>
      <c r="O350" s="127">
        <f t="shared" si="79"/>
        <v>140.09661835748793</v>
      </c>
      <c r="P350" s="127">
        <f t="shared" si="80"/>
        <v>116.63216011042097</v>
      </c>
      <c r="Q350" s="128">
        <f t="shared" si="81"/>
        <v>418.90959282263628</v>
      </c>
      <c r="R350" s="129">
        <v>144.9</v>
      </c>
      <c r="S350" s="130">
        <v>0</v>
      </c>
      <c r="T350" s="131">
        <v>0</v>
      </c>
      <c r="U350" s="131">
        <v>435</v>
      </c>
      <c r="V350" s="132">
        <f t="shared" si="82"/>
        <v>435</v>
      </c>
      <c r="W350" s="133">
        <f t="shared" si="83"/>
        <v>3.002070393374741</v>
      </c>
      <c r="X350" s="130">
        <v>1767</v>
      </c>
      <c r="Y350" s="131">
        <v>1578</v>
      </c>
      <c r="Z350" s="131">
        <v>1767</v>
      </c>
      <c r="AA350" s="132">
        <f t="shared" si="84"/>
        <v>5112</v>
      </c>
      <c r="AB350" s="133">
        <f t="shared" si="85"/>
        <v>35.279503105590059</v>
      </c>
      <c r="AC350" s="134">
        <f t="shared" si="86"/>
        <v>5547</v>
      </c>
      <c r="AD350" s="135">
        <f t="shared" si="87"/>
        <v>38.281573498964804</v>
      </c>
      <c r="AE350" s="136">
        <v>25</v>
      </c>
      <c r="AF350" s="137">
        <v>25</v>
      </c>
      <c r="AG350" s="137">
        <v>0</v>
      </c>
      <c r="AH350" s="138">
        <f t="shared" si="88"/>
        <v>50</v>
      </c>
      <c r="AI350" s="133">
        <f t="shared" si="89"/>
        <v>0.34506556245686681</v>
      </c>
    </row>
    <row r="351" spans="1:35">
      <c r="A351" s="171">
        <f>IF('09월 조업일지'!A347="","",'09월 조업일지'!A347)</f>
        <v>46277</v>
      </c>
      <c r="B351" s="172" t="str">
        <f>'09월 조업일지'!E347</f>
        <v>B</v>
      </c>
      <c r="C351" s="172" t="str">
        <f>'09월 조업일지'!F347</f>
        <v>B</v>
      </c>
      <c r="D351" s="172">
        <f>'09월 화학성분'!C348</f>
        <v>85550</v>
      </c>
      <c r="E351" s="205" t="str">
        <f t="shared" si="90"/>
        <v>SS400-05</v>
      </c>
      <c r="F351" s="121">
        <v>20</v>
      </c>
      <c r="G351" s="122">
        <v>23700</v>
      </c>
      <c r="H351" s="123">
        <v>17</v>
      </c>
      <c r="I351" s="122">
        <v>20500</v>
      </c>
      <c r="J351" s="123">
        <v>11</v>
      </c>
      <c r="K351" s="122">
        <v>13400</v>
      </c>
      <c r="L351" s="124">
        <f t="shared" si="91"/>
        <v>48</v>
      </c>
      <c r="M351" s="125">
        <f t="shared" si="91"/>
        <v>57600</v>
      </c>
      <c r="N351" s="126">
        <f t="shared" si="78"/>
        <v>166.78395496129488</v>
      </c>
      <c r="O351" s="127">
        <f t="shared" si="79"/>
        <v>144.26460239268121</v>
      </c>
      <c r="P351" s="127">
        <f t="shared" si="80"/>
        <v>94.299788881069674</v>
      </c>
      <c r="Q351" s="128">
        <f t="shared" si="81"/>
        <v>405.34834623504577</v>
      </c>
      <c r="R351" s="129">
        <v>142.1</v>
      </c>
      <c r="S351" s="130">
        <v>0</v>
      </c>
      <c r="T351" s="131">
        <v>63</v>
      </c>
      <c r="U351" s="131">
        <v>227</v>
      </c>
      <c r="V351" s="132">
        <f t="shared" si="82"/>
        <v>290</v>
      </c>
      <c r="W351" s="133">
        <f t="shared" si="83"/>
        <v>2.0408163265306123</v>
      </c>
      <c r="X351" s="130">
        <v>1651</v>
      </c>
      <c r="Y351" s="131">
        <v>1583</v>
      </c>
      <c r="Z351" s="131">
        <v>970</v>
      </c>
      <c r="AA351" s="132">
        <f t="shared" si="84"/>
        <v>4204</v>
      </c>
      <c r="AB351" s="133">
        <f t="shared" si="85"/>
        <v>29.584799437016187</v>
      </c>
      <c r="AC351" s="134">
        <f t="shared" si="86"/>
        <v>4494</v>
      </c>
      <c r="AD351" s="135">
        <f t="shared" si="87"/>
        <v>31.625615763546801</v>
      </c>
      <c r="AE351" s="136">
        <v>25</v>
      </c>
      <c r="AF351" s="137">
        <v>26</v>
      </c>
      <c r="AG351" s="137">
        <v>0</v>
      </c>
      <c r="AH351" s="138">
        <f t="shared" si="88"/>
        <v>51</v>
      </c>
      <c r="AI351" s="133">
        <f t="shared" si="89"/>
        <v>0.3589021815622801</v>
      </c>
    </row>
    <row r="352" spans="1:35">
      <c r="A352" s="171">
        <f>IF('09월 조업일지'!A348="","",'09월 조업일지'!A348)</f>
        <v>46277</v>
      </c>
      <c r="B352" s="172" t="str">
        <f>'09월 조업일지'!E348</f>
        <v>B</v>
      </c>
      <c r="C352" s="172" t="str">
        <f>'09월 조업일지'!F348</f>
        <v>A</v>
      </c>
      <c r="D352" s="172">
        <f>'09월 화학성분'!C349</f>
        <v>85551</v>
      </c>
      <c r="E352" s="205" t="str">
        <f t="shared" si="90"/>
        <v>SS400-05</v>
      </c>
      <c r="F352" s="121">
        <v>20</v>
      </c>
      <c r="G352" s="122">
        <v>23700</v>
      </c>
      <c r="H352" s="123">
        <v>17</v>
      </c>
      <c r="I352" s="122">
        <v>20300</v>
      </c>
      <c r="J352" s="123">
        <v>8</v>
      </c>
      <c r="K352" s="122">
        <v>9900</v>
      </c>
      <c r="L352" s="124">
        <f t="shared" si="91"/>
        <v>45</v>
      </c>
      <c r="M352" s="125">
        <f t="shared" si="91"/>
        <v>53900</v>
      </c>
      <c r="N352" s="126">
        <f t="shared" si="78"/>
        <v>162.88659793814432</v>
      </c>
      <c r="O352" s="127">
        <f t="shared" si="79"/>
        <v>139.5189003436426</v>
      </c>
      <c r="P352" s="127">
        <f t="shared" si="80"/>
        <v>68.041237113402062</v>
      </c>
      <c r="Q352" s="128">
        <f t="shared" si="81"/>
        <v>370.44673539518897</v>
      </c>
      <c r="R352" s="129">
        <v>145.5</v>
      </c>
      <c r="S352" s="130">
        <v>0</v>
      </c>
      <c r="T352" s="131">
        <v>170</v>
      </c>
      <c r="U352" s="131">
        <v>77</v>
      </c>
      <c r="V352" s="132">
        <f t="shared" si="82"/>
        <v>247</v>
      </c>
      <c r="W352" s="133">
        <f t="shared" si="83"/>
        <v>1.697594501718213</v>
      </c>
      <c r="X352" s="130">
        <v>2382</v>
      </c>
      <c r="Y352" s="131">
        <v>1561</v>
      </c>
      <c r="Z352" s="131">
        <v>900</v>
      </c>
      <c r="AA352" s="132">
        <f t="shared" si="84"/>
        <v>4843</v>
      </c>
      <c r="AB352" s="133">
        <f t="shared" si="85"/>
        <v>33.285223367697597</v>
      </c>
      <c r="AC352" s="134">
        <f t="shared" si="86"/>
        <v>5090</v>
      </c>
      <c r="AD352" s="135">
        <f t="shared" si="87"/>
        <v>34.982817869415804</v>
      </c>
      <c r="AE352" s="136">
        <v>28</v>
      </c>
      <c r="AF352" s="137">
        <v>21</v>
      </c>
      <c r="AG352" s="137">
        <v>0</v>
      </c>
      <c r="AH352" s="138">
        <f t="shared" si="88"/>
        <v>49</v>
      </c>
      <c r="AI352" s="133">
        <f t="shared" si="89"/>
        <v>0.33676975945017185</v>
      </c>
    </row>
    <row r="353" spans="1:35">
      <c r="A353" s="171">
        <f>IF('09월 조업일지'!A349="","",'09월 조업일지'!A349)</f>
        <v>46277</v>
      </c>
      <c r="B353" s="172" t="str">
        <f>'09월 조업일지'!E349</f>
        <v>B</v>
      </c>
      <c r="C353" s="172" t="str">
        <f>'09월 조업일지'!F349</f>
        <v>B</v>
      </c>
      <c r="D353" s="172">
        <f>'09월 화학성분'!C350</f>
        <v>85552</v>
      </c>
      <c r="E353" s="205" t="str">
        <f t="shared" si="90"/>
        <v>SS400-05</v>
      </c>
      <c r="F353" s="121">
        <v>21</v>
      </c>
      <c r="G353" s="122">
        <v>23300</v>
      </c>
      <c r="H353" s="123">
        <v>17</v>
      </c>
      <c r="I353" s="122">
        <v>20500</v>
      </c>
      <c r="J353" s="123">
        <v>10</v>
      </c>
      <c r="K353" s="122">
        <v>12100</v>
      </c>
      <c r="L353" s="124">
        <f t="shared" si="91"/>
        <v>48</v>
      </c>
      <c r="M353" s="125">
        <f t="shared" si="91"/>
        <v>55900</v>
      </c>
      <c r="N353" s="126">
        <f t="shared" si="78"/>
        <v>164.20014094432699</v>
      </c>
      <c r="O353" s="127">
        <f t="shared" si="79"/>
        <v>144.46793516560959</v>
      </c>
      <c r="P353" s="127">
        <f t="shared" si="80"/>
        <v>85.271317829457359</v>
      </c>
      <c r="Q353" s="128">
        <f t="shared" si="81"/>
        <v>393.93939393939394</v>
      </c>
      <c r="R353" s="129">
        <v>141.9</v>
      </c>
      <c r="S353" s="130">
        <v>0</v>
      </c>
      <c r="T353" s="131">
        <v>112</v>
      </c>
      <c r="U353" s="131">
        <v>292</v>
      </c>
      <c r="V353" s="132">
        <f t="shared" si="82"/>
        <v>404</v>
      </c>
      <c r="W353" s="133">
        <f t="shared" si="83"/>
        <v>2.8470754052149401</v>
      </c>
      <c r="X353" s="130">
        <v>1650</v>
      </c>
      <c r="Y353" s="131">
        <v>1789</v>
      </c>
      <c r="Z353" s="131">
        <v>1166</v>
      </c>
      <c r="AA353" s="132">
        <f t="shared" si="84"/>
        <v>4605</v>
      </c>
      <c r="AB353" s="133">
        <f t="shared" si="85"/>
        <v>32.452431289640593</v>
      </c>
      <c r="AC353" s="134">
        <f t="shared" si="86"/>
        <v>5009</v>
      </c>
      <c r="AD353" s="135">
        <f t="shared" si="87"/>
        <v>35.29950669485553</v>
      </c>
      <c r="AE353" s="136">
        <v>23</v>
      </c>
      <c r="AF353" s="137">
        <v>35</v>
      </c>
      <c r="AG353" s="137">
        <v>0</v>
      </c>
      <c r="AH353" s="138">
        <f t="shared" si="88"/>
        <v>58</v>
      </c>
      <c r="AI353" s="133">
        <f t="shared" si="89"/>
        <v>0.40873854827343198</v>
      </c>
    </row>
    <row r="354" spans="1:35">
      <c r="A354" s="171">
        <f>IF('09월 조업일지'!A350="","",'09월 조업일지'!A350)</f>
        <v>46277</v>
      </c>
      <c r="B354" s="172" t="str">
        <f>'09월 조업일지'!E350</f>
        <v>B</v>
      </c>
      <c r="C354" s="172" t="str">
        <f>'09월 조업일지'!F350</f>
        <v>A</v>
      </c>
      <c r="D354" s="172">
        <f>'09월 화학성분'!C351</f>
        <v>85553</v>
      </c>
      <c r="E354" s="205" t="str">
        <f t="shared" si="90"/>
        <v>SS400-05</v>
      </c>
      <c r="F354" s="121">
        <v>21</v>
      </c>
      <c r="G354" s="122">
        <v>23100</v>
      </c>
      <c r="H354" s="123">
        <v>19</v>
      </c>
      <c r="I354" s="122">
        <v>20600</v>
      </c>
      <c r="J354" s="123">
        <v>8</v>
      </c>
      <c r="K354" s="122">
        <v>10300</v>
      </c>
      <c r="L354" s="124">
        <f t="shared" si="91"/>
        <v>48</v>
      </c>
      <c r="M354" s="125">
        <f t="shared" si="91"/>
        <v>54000</v>
      </c>
      <c r="N354" s="126">
        <f t="shared" si="78"/>
        <v>156.1866125760649</v>
      </c>
      <c r="O354" s="127">
        <f t="shared" si="79"/>
        <v>139.28329952670722</v>
      </c>
      <c r="P354" s="127">
        <f t="shared" si="80"/>
        <v>69.641649763353612</v>
      </c>
      <c r="Q354" s="128">
        <f t="shared" si="81"/>
        <v>365.11156186612573</v>
      </c>
      <c r="R354" s="129">
        <v>147.9</v>
      </c>
      <c r="S354" s="130">
        <v>0</v>
      </c>
      <c r="T354" s="131">
        <v>135</v>
      </c>
      <c r="U354" s="131">
        <v>187</v>
      </c>
      <c r="V354" s="132">
        <f t="shared" si="82"/>
        <v>322</v>
      </c>
      <c r="W354" s="133">
        <f t="shared" si="83"/>
        <v>2.1771467207572686</v>
      </c>
      <c r="X354" s="130">
        <v>1702</v>
      </c>
      <c r="Y354" s="131">
        <v>1671</v>
      </c>
      <c r="Z354" s="131">
        <v>1046</v>
      </c>
      <c r="AA354" s="132">
        <f t="shared" si="84"/>
        <v>4419</v>
      </c>
      <c r="AB354" s="133">
        <f t="shared" si="85"/>
        <v>29.878296146044622</v>
      </c>
      <c r="AC354" s="134">
        <f t="shared" si="86"/>
        <v>4741</v>
      </c>
      <c r="AD354" s="135">
        <f t="shared" si="87"/>
        <v>32.05544286680189</v>
      </c>
      <c r="AE354" s="136">
        <v>26</v>
      </c>
      <c r="AF354" s="137">
        <v>21</v>
      </c>
      <c r="AG354" s="137">
        <v>0</v>
      </c>
      <c r="AH354" s="138">
        <f t="shared" si="88"/>
        <v>47</v>
      </c>
      <c r="AI354" s="133">
        <f t="shared" si="89"/>
        <v>0.31778228532792424</v>
      </c>
    </row>
    <row r="355" spans="1:35">
      <c r="A355" s="171">
        <f>IF('09월 조업일지'!A351="","",'09월 조업일지'!A351)</f>
        <v>46277</v>
      </c>
      <c r="B355" s="172" t="str">
        <f>'09월 조업일지'!E351</f>
        <v>B</v>
      </c>
      <c r="C355" s="172" t="str">
        <f>'09월 조업일지'!F351</f>
        <v>B</v>
      </c>
      <c r="D355" s="172">
        <f>'09월 화학성분'!C352</f>
        <v>85554</v>
      </c>
      <c r="E355" s="205" t="str">
        <f t="shared" si="90"/>
        <v>SS400-05</v>
      </c>
      <c r="F355" s="121">
        <v>24</v>
      </c>
      <c r="G355" s="122">
        <v>24700</v>
      </c>
      <c r="H355" s="123">
        <v>17</v>
      </c>
      <c r="I355" s="122">
        <v>20600</v>
      </c>
      <c r="J355" s="123">
        <v>7</v>
      </c>
      <c r="K355" s="122">
        <v>8200</v>
      </c>
      <c r="L355" s="124">
        <f t="shared" si="91"/>
        <v>48</v>
      </c>
      <c r="M355" s="125">
        <f t="shared" si="91"/>
        <v>53500</v>
      </c>
      <c r="N355" s="126">
        <f t="shared" si="78"/>
        <v>172.60656883298392</v>
      </c>
      <c r="O355" s="127">
        <f t="shared" si="79"/>
        <v>143.95527603074774</v>
      </c>
      <c r="P355" s="127">
        <f t="shared" si="80"/>
        <v>57.302585604472398</v>
      </c>
      <c r="Q355" s="128">
        <f t="shared" si="81"/>
        <v>373.86443046820409</v>
      </c>
      <c r="R355" s="129">
        <v>143.1</v>
      </c>
      <c r="S355" s="130">
        <v>0</v>
      </c>
      <c r="T355" s="131">
        <v>180</v>
      </c>
      <c r="U355" s="131">
        <v>275</v>
      </c>
      <c r="V355" s="132">
        <f t="shared" si="82"/>
        <v>455</v>
      </c>
      <c r="W355" s="133">
        <f t="shared" si="83"/>
        <v>3.1795946890286513</v>
      </c>
      <c r="X355" s="130">
        <v>1958</v>
      </c>
      <c r="Y355" s="131">
        <v>1598</v>
      </c>
      <c r="Z355" s="131">
        <v>677</v>
      </c>
      <c r="AA355" s="132">
        <f t="shared" si="84"/>
        <v>4233</v>
      </c>
      <c r="AB355" s="133">
        <f t="shared" si="85"/>
        <v>29.580712788259959</v>
      </c>
      <c r="AC355" s="134">
        <f t="shared" si="86"/>
        <v>4688</v>
      </c>
      <c r="AD355" s="135">
        <f t="shared" si="87"/>
        <v>32.760307477288613</v>
      </c>
      <c r="AE355" s="136">
        <v>27</v>
      </c>
      <c r="AF355" s="137">
        <v>28</v>
      </c>
      <c r="AG355" s="137">
        <v>0</v>
      </c>
      <c r="AH355" s="138">
        <f t="shared" si="88"/>
        <v>55</v>
      </c>
      <c r="AI355" s="133">
        <f t="shared" si="89"/>
        <v>0.38434661076170512</v>
      </c>
    </row>
    <row r="356" spans="1:35">
      <c r="A356" s="171">
        <f>IF('09월 조업일지'!A352="","",'09월 조업일지'!A352)</f>
        <v>46278</v>
      </c>
      <c r="B356" s="172" t="str">
        <f>'09월 조업일지'!E352</f>
        <v>B</v>
      </c>
      <c r="C356" s="172" t="str">
        <f>'09월 조업일지'!F352</f>
        <v>A</v>
      </c>
      <c r="D356" s="172">
        <f>'09월 화학성분'!C353</f>
        <v>85555</v>
      </c>
      <c r="E356" s="205" t="str">
        <f t="shared" si="90"/>
        <v>SS400-05</v>
      </c>
      <c r="F356" s="121">
        <v>22</v>
      </c>
      <c r="G356" s="122">
        <v>25100</v>
      </c>
      <c r="H356" s="123">
        <v>18</v>
      </c>
      <c r="I356" s="122">
        <v>20500</v>
      </c>
      <c r="J356" s="123">
        <v>7</v>
      </c>
      <c r="K356" s="122">
        <v>8200</v>
      </c>
      <c r="L356" s="124">
        <f t="shared" si="91"/>
        <v>47</v>
      </c>
      <c r="M356" s="125">
        <f t="shared" si="91"/>
        <v>53800</v>
      </c>
      <c r="N356" s="126">
        <f t="shared" si="78"/>
        <v>173.58229598893499</v>
      </c>
      <c r="O356" s="127">
        <f t="shared" si="79"/>
        <v>141.77040110650069</v>
      </c>
      <c r="P356" s="127">
        <f t="shared" si="80"/>
        <v>56.708160442600281</v>
      </c>
      <c r="Q356" s="128">
        <f t="shared" si="81"/>
        <v>372.06085753803598</v>
      </c>
      <c r="R356" s="129">
        <v>144.6</v>
      </c>
      <c r="S356" s="130">
        <v>0</v>
      </c>
      <c r="T356" s="131">
        <v>144</v>
      </c>
      <c r="U356" s="131">
        <v>244</v>
      </c>
      <c r="V356" s="132">
        <f t="shared" si="82"/>
        <v>388</v>
      </c>
      <c r="W356" s="133">
        <f t="shared" si="83"/>
        <v>2.6832641770401109</v>
      </c>
      <c r="X356" s="130">
        <v>1836</v>
      </c>
      <c r="Y356" s="131">
        <v>1669</v>
      </c>
      <c r="Z356" s="131">
        <v>600</v>
      </c>
      <c r="AA356" s="132">
        <f t="shared" si="84"/>
        <v>4105</v>
      </c>
      <c r="AB356" s="133">
        <f t="shared" si="85"/>
        <v>28.388658367911482</v>
      </c>
      <c r="AC356" s="134">
        <f t="shared" si="86"/>
        <v>4493</v>
      </c>
      <c r="AD356" s="135">
        <f t="shared" si="87"/>
        <v>31.07192254495159</v>
      </c>
      <c r="AE356" s="136">
        <v>26</v>
      </c>
      <c r="AF356" s="137">
        <v>24</v>
      </c>
      <c r="AG356" s="137">
        <v>0</v>
      </c>
      <c r="AH356" s="138">
        <f t="shared" si="88"/>
        <v>50</v>
      </c>
      <c r="AI356" s="133">
        <f t="shared" si="89"/>
        <v>0.34578146611341631</v>
      </c>
    </row>
    <row r="357" spans="1:35">
      <c r="A357" s="171">
        <f>IF('09월 조업일지'!A353="","",'09월 조업일지'!A353)</f>
        <v>46278</v>
      </c>
      <c r="B357" s="172" t="str">
        <f>'09월 조업일지'!E353</f>
        <v>B</v>
      </c>
      <c r="C357" s="172" t="str">
        <f>'09월 조업일지'!F353</f>
        <v>B</v>
      </c>
      <c r="D357" s="172">
        <f>'09월 화학성분'!C354</f>
        <v>85556</v>
      </c>
      <c r="E357" s="205" t="str">
        <f t="shared" si="90"/>
        <v>SS400-05</v>
      </c>
      <c r="F357" s="121">
        <v>20</v>
      </c>
      <c r="G357" s="122">
        <v>23300</v>
      </c>
      <c r="H357" s="123">
        <v>17</v>
      </c>
      <c r="I357" s="122">
        <v>20700</v>
      </c>
      <c r="J357" s="123">
        <v>9</v>
      </c>
      <c r="K357" s="122">
        <v>10300</v>
      </c>
      <c r="L357" s="124">
        <f t="shared" si="91"/>
        <v>46</v>
      </c>
      <c r="M357" s="125">
        <f t="shared" si="91"/>
        <v>54300</v>
      </c>
      <c r="N357" s="126">
        <f t="shared" si="78"/>
        <v>158.0732700135685</v>
      </c>
      <c r="O357" s="127">
        <f t="shared" si="79"/>
        <v>140.43419267299865</v>
      </c>
      <c r="P357" s="127">
        <f t="shared" si="80"/>
        <v>69.877883310719128</v>
      </c>
      <c r="Q357" s="128">
        <f t="shared" si="81"/>
        <v>368.38534599728627</v>
      </c>
      <c r="R357" s="129">
        <v>147.4</v>
      </c>
      <c r="S357" s="130">
        <v>0</v>
      </c>
      <c r="T357" s="131">
        <v>162</v>
      </c>
      <c r="U357" s="131">
        <v>300</v>
      </c>
      <c r="V357" s="132">
        <f t="shared" si="82"/>
        <v>462</v>
      </c>
      <c r="W357" s="133">
        <f t="shared" si="83"/>
        <v>3.1343283582089549</v>
      </c>
      <c r="X357" s="130">
        <v>1654</v>
      </c>
      <c r="Y357" s="131">
        <v>1725</v>
      </c>
      <c r="Z357" s="131">
        <v>806</v>
      </c>
      <c r="AA357" s="132">
        <f t="shared" si="84"/>
        <v>4185</v>
      </c>
      <c r="AB357" s="133">
        <f t="shared" si="85"/>
        <v>28.392130257801899</v>
      </c>
      <c r="AC357" s="134">
        <f t="shared" si="86"/>
        <v>4647</v>
      </c>
      <c r="AD357" s="135">
        <f t="shared" si="87"/>
        <v>31.526458616010853</v>
      </c>
      <c r="AE357" s="136">
        <v>25</v>
      </c>
      <c r="AF357" s="137">
        <v>30</v>
      </c>
      <c r="AG357" s="137">
        <v>0</v>
      </c>
      <c r="AH357" s="138">
        <f t="shared" si="88"/>
        <v>55</v>
      </c>
      <c r="AI357" s="133">
        <f t="shared" si="89"/>
        <v>0.37313432835820892</v>
      </c>
    </row>
    <row r="358" spans="1:35">
      <c r="A358" s="171">
        <f>IF('09월 조업일지'!A354="","",'09월 조업일지'!A354)</f>
        <v>46278</v>
      </c>
      <c r="B358" s="172" t="str">
        <f>'09월 조업일지'!E354</f>
        <v>B</v>
      </c>
      <c r="C358" s="172" t="str">
        <f>'09월 조업일지'!F354</f>
        <v>A</v>
      </c>
      <c r="D358" s="172">
        <f>'09월 화학성분'!C355</f>
        <v>85557</v>
      </c>
      <c r="E358" s="205" t="str">
        <f t="shared" si="90"/>
        <v>SS400-05</v>
      </c>
      <c r="F358" s="121">
        <v>21</v>
      </c>
      <c r="G358" s="122">
        <v>23800</v>
      </c>
      <c r="H358" s="123">
        <v>17</v>
      </c>
      <c r="I358" s="122">
        <v>20700</v>
      </c>
      <c r="J358" s="123">
        <v>8</v>
      </c>
      <c r="K358" s="122">
        <v>9700</v>
      </c>
      <c r="L358" s="124">
        <f t="shared" si="91"/>
        <v>46</v>
      </c>
      <c r="M358" s="125">
        <f t="shared" si="91"/>
        <v>54200</v>
      </c>
      <c r="N358" s="126">
        <f t="shared" si="78"/>
        <v>162.12534059945503</v>
      </c>
      <c r="O358" s="127">
        <f t="shared" si="79"/>
        <v>141.00817438692096</v>
      </c>
      <c r="P358" s="127">
        <f t="shared" si="80"/>
        <v>66.076294277929151</v>
      </c>
      <c r="Q358" s="128">
        <f t="shared" si="81"/>
        <v>369.20980926430514</v>
      </c>
      <c r="R358" s="129">
        <v>146.80000000000001</v>
      </c>
      <c r="S358" s="130">
        <v>0</v>
      </c>
      <c r="T358" s="131">
        <v>139</v>
      </c>
      <c r="U358" s="131">
        <v>152</v>
      </c>
      <c r="V358" s="132">
        <f t="shared" si="82"/>
        <v>291</v>
      </c>
      <c r="W358" s="133">
        <f t="shared" si="83"/>
        <v>1.9822888283378746</v>
      </c>
      <c r="X358" s="130">
        <v>1765</v>
      </c>
      <c r="Y358" s="131">
        <v>1710</v>
      </c>
      <c r="Z358" s="131">
        <v>777</v>
      </c>
      <c r="AA358" s="132">
        <f t="shared" si="84"/>
        <v>4252</v>
      </c>
      <c r="AB358" s="133">
        <f t="shared" si="85"/>
        <v>28.964577656675747</v>
      </c>
      <c r="AC358" s="134">
        <f t="shared" si="86"/>
        <v>4543</v>
      </c>
      <c r="AD358" s="135">
        <f t="shared" si="87"/>
        <v>30.946866485013622</v>
      </c>
      <c r="AE358" s="136">
        <v>25</v>
      </c>
      <c r="AF358" s="137">
        <v>24</v>
      </c>
      <c r="AG358" s="137">
        <v>0</v>
      </c>
      <c r="AH358" s="138">
        <f t="shared" si="88"/>
        <v>49</v>
      </c>
      <c r="AI358" s="133">
        <f t="shared" si="89"/>
        <v>0.33378746594005448</v>
      </c>
    </row>
    <row r="359" spans="1:35">
      <c r="A359" s="171">
        <f>IF('09월 조업일지'!A355="","",'09월 조업일지'!A355)</f>
        <v>46278</v>
      </c>
      <c r="B359" s="172" t="str">
        <f>'09월 조업일지'!E355</f>
        <v>B</v>
      </c>
      <c r="C359" s="172" t="str">
        <f>'09월 조업일지'!F355</f>
        <v>B</v>
      </c>
      <c r="D359" s="172">
        <f>'09월 화학성분'!C356</f>
        <v>85558</v>
      </c>
      <c r="E359" s="205" t="str">
        <f t="shared" si="90"/>
        <v>SS400-05</v>
      </c>
      <c r="F359" s="121">
        <v>21</v>
      </c>
      <c r="G359" s="122">
        <v>23500</v>
      </c>
      <c r="H359" s="123">
        <v>18</v>
      </c>
      <c r="I359" s="122">
        <v>20400</v>
      </c>
      <c r="J359" s="123">
        <v>5</v>
      </c>
      <c r="K359" s="122">
        <v>6600</v>
      </c>
      <c r="L359" s="124">
        <f t="shared" si="91"/>
        <v>44</v>
      </c>
      <c r="M359" s="125">
        <f t="shared" si="91"/>
        <v>50500</v>
      </c>
      <c r="N359" s="126">
        <f t="shared" si="78"/>
        <v>162.1808143547274</v>
      </c>
      <c r="O359" s="127">
        <f t="shared" si="79"/>
        <v>140.78674948240166</v>
      </c>
      <c r="P359" s="127">
        <f t="shared" si="80"/>
        <v>45.54865424430642</v>
      </c>
      <c r="Q359" s="128">
        <f t="shared" si="81"/>
        <v>348.51621808143551</v>
      </c>
      <c r="R359" s="129">
        <v>144.9</v>
      </c>
      <c r="S359" s="130">
        <v>0</v>
      </c>
      <c r="T359" s="131">
        <v>122</v>
      </c>
      <c r="U359" s="131">
        <v>297</v>
      </c>
      <c r="V359" s="132">
        <f t="shared" si="82"/>
        <v>419</v>
      </c>
      <c r="W359" s="133">
        <f t="shared" si="83"/>
        <v>2.8916494133885435</v>
      </c>
      <c r="X359" s="130">
        <v>1680</v>
      </c>
      <c r="Y359" s="131">
        <v>1644</v>
      </c>
      <c r="Z359" s="131">
        <v>530</v>
      </c>
      <c r="AA359" s="132">
        <f t="shared" si="84"/>
        <v>3854</v>
      </c>
      <c r="AB359" s="133">
        <f t="shared" si="85"/>
        <v>26.597653554175292</v>
      </c>
      <c r="AC359" s="134">
        <f t="shared" si="86"/>
        <v>4273</v>
      </c>
      <c r="AD359" s="135">
        <f t="shared" si="87"/>
        <v>29.489302967563837</v>
      </c>
      <c r="AE359" s="136">
        <v>24</v>
      </c>
      <c r="AF359" s="137">
        <v>28</v>
      </c>
      <c r="AG359" s="137">
        <v>0</v>
      </c>
      <c r="AH359" s="138">
        <f t="shared" si="88"/>
        <v>52</v>
      </c>
      <c r="AI359" s="133">
        <f t="shared" si="89"/>
        <v>0.35886818495514144</v>
      </c>
    </row>
    <row r="360" spans="1:35">
      <c r="A360" s="171">
        <f>IF('09월 조업일지'!A356="","",'09월 조업일지'!A356)</f>
        <v>46278</v>
      </c>
      <c r="B360" s="172" t="str">
        <f>'09월 조업일지'!E356</f>
        <v>D</v>
      </c>
      <c r="C360" s="172" t="str">
        <f>'09월 조업일지'!F356</f>
        <v>A</v>
      </c>
      <c r="D360" s="172">
        <f>'09월 화학성분'!C357</f>
        <v>85559</v>
      </c>
      <c r="E360" s="205" t="str">
        <f t="shared" si="90"/>
        <v>SS400-05</v>
      </c>
      <c r="F360" s="121">
        <v>20</v>
      </c>
      <c r="G360" s="122">
        <v>23300</v>
      </c>
      <c r="H360" s="123">
        <v>16</v>
      </c>
      <c r="I360" s="122">
        <v>20900</v>
      </c>
      <c r="J360" s="123">
        <v>7</v>
      </c>
      <c r="K360" s="122">
        <v>9100</v>
      </c>
      <c r="L360" s="124">
        <f t="shared" si="91"/>
        <v>43</v>
      </c>
      <c r="M360" s="125">
        <f t="shared" si="91"/>
        <v>53300</v>
      </c>
      <c r="N360" s="126">
        <f t="shared" si="78"/>
        <v>157.64546684709066</v>
      </c>
      <c r="O360" s="127">
        <f t="shared" si="79"/>
        <v>141.40730717185386</v>
      </c>
      <c r="P360" s="127">
        <f t="shared" si="80"/>
        <v>61.56968876860622</v>
      </c>
      <c r="Q360" s="128">
        <f t="shared" si="81"/>
        <v>360.62246278755077</v>
      </c>
      <c r="R360" s="129">
        <v>147.80000000000001</v>
      </c>
      <c r="S360" s="130">
        <v>0</v>
      </c>
      <c r="T360" s="131">
        <v>127</v>
      </c>
      <c r="U360" s="131">
        <v>186</v>
      </c>
      <c r="V360" s="132">
        <f t="shared" si="82"/>
        <v>313</v>
      </c>
      <c r="W360" s="133">
        <f t="shared" si="83"/>
        <v>2.1177266576454667</v>
      </c>
      <c r="X360" s="130">
        <v>1699</v>
      </c>
      <c r="Y360" s="131">
        <v>1599</v>
      </c>
      <c r="Z360" s="131">
        <v>686</v>
      </c>
      <c r="AA360" s="132">
        <f t="shared" si="84"/>
        <v>3984</v>
      </c>
      <c r="AB360" s="133">
        <f t="shared" si="85"/>
        <v>26.955345060893098</v>
      </c>
      <c r="AC360" s="134">
        <f t="shared" si="86"/>
        <v>4297</v>
      </c>
      <c r="AD360" s="135">
        <f t="shared" si="87"/>
        <v>29.073071718538564</v>
      </c>
      <c r="AE360" s="136">
        <v>26</v>
      </c>
      <c r="AF360" s="137">
        <v>22</v>
      </c>
      <c r="AG360" s="137">
        <v>0</v>
      </c>
      <c r="AH360" s="138">
        <f t="shared" si="88"/>
        <v>48</v>
      </c>
      <c r="AI360" s="133">
        <f t="shared" si="89"/>
        <v>0.32476319350473609</v>
      </c>
    </row>
    <row r="361" spans="1:35">
      <c r="A361" s="171">
        <f>IF('09월 조업일지'!A357="","",'09월 조업일지'!A357)</f>
        <v>46278</v>
      </c>
      <c r="B361" s="172" t="str">
        <f>'09월 조업일지'!E357</f>
        <v>D</v>
      </c>
      <c r="C361" s="172" t="str">
        <f>'09월 조업일지'!F357</f>
        <v>B</v>
      </c>
      <c r="D361" s="172">
        <f>'09월 화학성분'!C358</f>
        <v>85560</v>
      </c>
      <c r="E361" s="205" t="str">
        <f t="shared" si="90"/>
        <v>SS400-05</v>
      </c>
      <c r="F361" s="121">
        <v>24</v>
      </c>
      <c r="G361" s="122">
        <v>14000</v>
      </c>
      <c r="H361" s="123">
        <v>17</v>
      </c>
      <c r="I361" s="122">
        <v>20500</v>
      </c>
      <c r="J361" s="123">
        <v>17</v>
      </c>
      <c r="K361" s="122">
        <v>18500</v>
      </c>
      <c r="L361" s="124">
        <f t="shared" si="91"/>
        <v>58</v>
      </c>
      <c r="M361" s="125">
        <f t="shared" si="91"/>
        <v>53000</v>
      </c>
      <c r="N361" s="126">
        <f t="shared" si="78"/>
        <v>97.560975609756099</v>
      </c>
      <c r="O361" s="127">
        <f t="shared" si="79"/>
        <v>142.85714285714286</v>
      </c>
      <c r="P361" s="127">
        <f t="shared" si="80"/>
        <v>128.91986062717771</v>
      </c>
      <c r="Q361" s="128">
        <f t="shared" si="81"/>
        <v>369.33797909407667</v>
      </c>
      <c r="R361" s="129">
        <v>143.5</v>
      </c>
      <c r="S361" s="130">
        <v>0</v>
      </c>
      <c r="T361" s="131">
        <v>185</v>
      </c>
      <c r="U361" s="131">
        <v>230</v>
      </c>
      <c r="V361" s="132">
        <f t="shared" si="82"/>
        <v>415</v>
      </c>
      <c r="W361" s="133">
        <f t="shared" si="83"/>
        <v>2.8919860627177703</v>
      </c>
      <c r="X361" s="130">
        <v>1570</v>
      </c>
      <c r="Y361" s="131">
        <v>1620</v>
      </c>
      <c r="Z361" s="131">
        <v>1552</v>
      </c>
      <c r="AA361" s="132">
        <f t="shared" si="84"/>
        <v>4742</v>
      </c>
      <c r="AB361" s="133">
        <f t="shared" si="85"/>
        <v>33.045296167247386</v>
      </c>
      <c r="AC361" s="134">
        <f t="shared" si="86"/>
        <v>5157</v>
      </c>
      <c r="AD361" s="135">
        <f t="shared" si="87"/>
        <v>35.937282229965156</v>
      </c>
      <c r="AE361" s="136">
        <v>28</v>
      </c>
      <c r="AF361" s="137">
        <v>23</v>
      </c>
      <c r="AG361" s="137">
        <v>0</v>
      </c>
      <c r="AH361" s="138">
        <f t="shared" si="88"/>
        <v>51</v>
      </c>
      <c r="AI361" s="133">
        <f t="shared" si="89"/>
        <v>0.35540069686411152</v>
      </c>
    </row>
    <row r="362" spans="1:35">
      <c r="A362" s="171">
        <f>IF('09월 조업일지'!A358="","",'09월 조업일지'!A358)</f>
        <v>46278</v>
      </c>
      <c r="B362" s="172" t="str">
        <f>'09월 조업일지'!E358</f>
        <v>D</v>
      </c>
      <c r="C362" s="172" t="str">
        <f>'09월 조업일지'!F358</f>
        <v>A</v>
      </c>
      <c r="D362" s="172">
        <f>'09월 화학성분'!C359</f>
        <v>85561</v>
      </c>
      <c r="E362" s="205" t="str">
        <f t="shared" si="90"/>
        <v>SS400-05</v>
      </c>
      <c r="F362" s="121">
        <v>22</v>
      </c>
      <c r="G362" s="122">
        <v>24700</v>
      </c>
      <c r="H362" s="123">
        <v>17</v>
      </c>
      <c r="I362" s="122">
        <v>20500</v>
      </c>
      <c r="J362" s="123">
        <v>14</v>
      </c>
      <c r="K362" s="122">
        <v>18000</v>
      </c>
      <c r="L362" s="124">
        <f t="shared" si="91"/>
        <v>53</v>
      </c>
      <c r="M362" s="125">
        <f t="shared" si="91"/>
        <v>63200</v>
      </c>
      <c r="N362" s="126">
        <f t="shared" si="78"/>
        <v>167.23087339201084</v>
      </c>
      <c r="O362" s="127">
        <f t="shared" si="79"/>
        <v>138.79485443466487</v>
      </c>
      <c r="P362" s="127">
        <f t="shared" si="80"/>
        <v>121.86865267433988</v>
      </c>
      <c r="Q362" s="128">
        <f t="shared" si="81"/>
        <v>427.89438050101563</v>
      </c>
      <c r="R362" s="129">
        <v>147.69999999999999</v>
      </c>
      <c r="S362" s="130">
        <v>0</v>
      </c>
      <c r="T362" s="131">
        <v>249</v>
      </c>
      <c r="U362" s="131">
        <v>221</v>
      </c>
      <c r="V362" s="132">
        <f t="shared" si="82"/>
        <v>470</v>
      </c>
      <c r="W362" s="133">
        <f t="shared" si="83"/>
        <v>3.1821259309410972</v>
      </c>
      <c r="X362" s="130">
        <v>1532</v>
      </c>
      <c r="Y362" s="131">
        <v>1587</v>
      </c>
      <c r="Z362" s="131">
        <v>1153</v>
      </c>
      <c r="AA362" s="132">
        <f t="shared" si="84"/>
        <v>4272</v>
      </c>
      <c r="AB362" s="133">
        <f t="shared" si="85"/>
        <v>28.923493568043334</v>
      </c>
      <c r="AC362" s="134">
        <f t="shared" si="86"/>
        <v>4742</v>
      </c>
      <c r="AD362" s="135">
        <f t="shared" si="87"/>
        <v>32.105619498984431</v>
      </c>
      <c r="AE362" s="136">
        <v>8</v>
      </c>
      <c r="AF362" s="137">
        <v>23</v>
      </c>
      <c r="AG362" s="137">
        <v>0</v>
      </c>
      <c r="AH362" s="138">
        <f t="shared" si="88"/>
        <v>31</v>
      </c>
      <c r="AI362" s="133">
        <f t="shared" si="89"/>
        <v>0.2098849018280298</v>
      </c>
    </row>
    <row r="363" spans="1:35">
      <c r="A363" s="171">
        <f>IF('09월 조업일지'!A359="","",'09월 조업일지'!A359)</f>
        <v>46278</v>
      </c>
      <c r="B363" s="172" t="str">
        <f>'09월 조업일지'!E359</f>
        <v>D</v>
      </c>
      <c r="C363" s="172" t="str">
        <f>'09월 조업일지'!F359</f>
        <v>B</v>
      </c>
      <c r="D363" s="172">
        <f>'09월 화학성분'!C360</f>
        <v>85562</v>
      </c>
      <c r="E363" s="205" t="str">
        <f t="shared" si="90"/>
        <v>SS400-05</v>
      </c>
      <c r="F363" s="121">
        <v>21</v>
      </c>
      <c r="G363" s="122">
        <v>23500</v>
      </c>
      <c r="H363" s="123">
        <v>18</v>
      </c>
      <c r="I363" s="122">
        <v>20900</v>
      </c>
      <c r="J363" s="123">
        <v>12</v>
      </c>
      <c r="K363" s="122">
        <v>15100</v>
      </c>
      <c r="L363" s="124">
        <f t="shared" si="91"/>
        <v>51</v>
      </c>
      <c r="M363" s="125">
        <f t="shared" si="91"/>
        <v>59500</v>
      </c>
      <c r="N363" s="126">
        <f t="shared" si="78"/>
        <v>157.19063545150502</v>
      </c>
      <c r="O363" s="127">
        <f t="shared" si="79"/>
        <v>139.79933110367892</v>
      </c>
      <c r="P363" s="127">
        <f t="shared" si="80"/>
        <v>101.00334448160535</v>
      </c>
      <c r="Q363" s="128">
        <f t="shared" si="81"/>
        <v>397.99331103678935</v>
      </c>
      <c r="R363" s="129">
        <v>149.5</v>
      </c>
      <c r="S363" s="130">
        <v>0</v>
      </c>
      <c r="T363" s="131">
        <v>15</v>
      </c>
      <c r="U363" s="131">
        <v>223</v>
      </c>
      <c r="V363" s="132">
        <f t="shared" si="82"/>
        <v>238</v>
      </c>
      <c r="W363" s="133">
        <f t="shared" si="83"/>
        <v>1.5919732441471572</v>
      </c>
      <c r="X363" s="130">
        <v>1771</v>
      </c>
      <c r="Y363" s="131">
        <v>1653</v>
      </c>
      <c r="Z363" s="131">
        <v>593</v>
      </c>
      <c r="AA363" s="132">
        <f t="shared" si="84"/>
        <v>4017</v>
      </c>
      <c r="AB363" s="133">
        <f t="shared" si="85"/>
        <v>26.869565217391305</v>
      </c>
      <c r="AC363" s="134">
        <f t="shared" si="86"/>
        <v>4255</v>
      </c>
      <c r="AD363" s="135">
        <f t="shared" si="87"/>
        <v>28.46153846153846</v>
      </c>
      <c r="AE363" s="136">
        <v>24</v>
      </c>
      <c r="AF363" s="137">
        <v>32</v>
      </c>
      <c r="AG363" s="137">
        <v>0</v>
      </c>
      <c r="AH363" s="138">
        <f t="shared" si="88"/>
        <v>56</v>
      </c>
      <c r="AI363" s="133">
        <f t="shared" si="89"/>
        <v>0.37458193979933108</v>
      </c>
    </row>
    <row r="364" spans="1:35">
      <c r="A364" s="171">
        <f>IF('09월 조업일지'!A360="","",'09월 조업일지'!A360)</f>
        <v>46278</v>
      </c>
      <c r="B364" s="172" t="str">
        <f>'09월 조업일지'!E360</f>
        <v>D</v>
      </c>
      <c r="C364" s="172" t="str">
        <f>'09월 조업일지'!F360</f>
        <v>A</v>
      </c>
      <c r="D364" s="172">
        <f>'09월 화학성분'!C361</f>
        <v>85563</v>
      </c>
      <c r="E364" s="205" t="str">
        <f t="shared" si="90"/>
        <v>SS400-05</v>
      </c>
      <c r="F364" s="121">
        <v>20</v>
      </c>
      <c r="G364" s="122">
        <v>23700</v>
      </c>
      <c r="H364" s="123">
        <v>18</v>
      </c>
      <c r="I364" s="122">
        <v>20600</v>
      </c>
      <c r="J364" s="123">
        <v>11</v>
      </c>
      <c r="K364" s="122">
        <v>13800</v>
      </c>
      <c r="L364" s="124">
        <f t="shared" si="91"/>
        <v>49</v>
      </c>
      <c r="M364" s="125">
        <f t="shared" si="91"/>
        <v>58100</v>
      </c>
      <c r="N364" s="126">
        <f t="shared" si="78"/>
        <v>155.1047120418848</v>
      </c>
      <c r="O364" s="127">
        <f t="shared" si="79"/>
        <v>134.81675392670155</v>
      </c>
      <c r="P364" s="127">
        <f t="shared" si="80"/>
        <v>90.314136125654443</v>
      </c>
      <c r="Q364" s="128">
        <f t="shared" si="81"/>
        <v>380.23560209424079</v>
      </c>
      <c r="R364" s="129">
        <v>152.80000000000001</v>
      </c>
      <c r="S364" s="130">
        <v>0</v>
      </c>
      <c r="T364" s="131">
        <v>194</v>
      </c>
      <c r="U364" s="131">
        <v>152</v>
      </c>
      <c r="V364" s="132">
        <f t="shared" si="82"/>
        <v>346</v>
      </c>
      <c r="W364" s="133">
        <f t="shared" si="83"/>
        <v>2.2643979057591621</v>
      </c>
      <c r="X364" s="130">
        <v>1749</v>
      </c>
      <c r="Y364" s="131">
        <v>1670</v>
      </c>
      <c r="Z364" s="131">
        <v>963</v>
      </c>
      <c r="AA364" s="132">
        <f t="shared" si="84"/>
        <v>4382</v>
      </c>
      <c r="AB364" s="133">
        <f t="shared" si="85"/>
        <v>28.678010471204185</v>
      </c>
      <c r="AC364" s="134">
        <f t="shared" si="86"/>
        <v>4728</v>
      </c>
      <c r="AD364" s="135">
        <f t="shared" si="87"/>
        <v>30.94240837696335</v>
      </c>
      <c r="AE364" s="136">
        <v>25</v>
      </c>
      <c r="AF364" s="137">
        <v>27</v>
      </c>
      <c r="AG364" s="137">
        <v>0</v>
      </c>
      <c r="AH364" s="138">
        <f t="shared" si="88"/>
        <v>52</v>
      </c>
      <c r="AI364" s="133">
        <f t="shared" si="89"/>
        <v>0.34031413612565442</v>
      </c>
    </row>
    <row r="365" spans="1:35">
      <c r="A365" s="171">
        <f>IF('09월 조업일지'!A361="","",'09월 조업일지'!A361)</f>
        <v>46278</v>
      </c>
      <c r="B365" s="172" t="str">
        <f>'09월 조업일지'!E361</f>
        <v>D</v>
      </c>
      <c r="C365" s="172" t="str">
        <f>'09월 조업일지'!F361</f>
        <v>B</v>
      </c>
      <c r="D365" s="172">
        <f>'09월 화학성분'!C362</f>
        <v>85564</v>
      </c>
      <c r="E365" s="205" t="str">
        <f t="shared" si="90"/>
        <v>SS400-05</v>
      </c>
      <c r="F365" s="121">
        <v>20</v>
      </c>
      <c r="G365" s="122">
        <v>23100</v>
      </c>
      <c r="H365" s="123">
        <v>18</v>
      </c>
      <c r="I365" s="122">
        <v>20400</v>
      </c>
      <c r="J365" s="123">
        <v>7</v>
      </c>
      <c r="K365" s="122">
        <v>9700</v>
      </c>
      <c r="L365" s="124">
        <f t="shared" si="91"/>
        <v>45</v>
      </c>
      <c r="M365" s="125">
        <f t="shared" si="91"/>
        <v>53200</v>
      </c>
      <c r="N365" s="126">
        <f t="shared" si="78"/>
        <v>156.29228687415426</v>
      </c>
      <c r="O365" s="127">
        <f t="shared" si="79"/>
        <v>138.02435723951285</v>
      </c>
      <c r="P365" s="127">
        <f t="shared" si="80"/>
        <v>65.62922868741542</v>
      </c>
      <c r="Q365" s="128">
        <f t="shared" si="81"/>
        <v>359.94587280108254</v>
      </c>
      <c r="R365" s="129">
        <v>147.80000000000001</v>
      </c>
      <c r="S365" s="130">
        <v>0</v>
      </c>
      <c r="T365" s="131">
        <v>99</v>
      </c>
      <c r="U365" s="131">
        <v>389</v>
      </c>
      <c r="V365" s="132">
        <f t="shared" si="82"/>
        <v>488</v>
      </c>
      <c r="W365" s="133">
        <f t="shared" si="83"/>
        <v>3.3017591339648171</v>
      </c>
      <c r="X365" s="130">
        <v>1608</v>
      </c>
      <c r="Y365" s="131">
        <v>1604</v>
      </c>
      <c r="Z365" s="131">
        <v>703</v>
      </c>
      <c r="AA365" s="132">
        <f t="shared" si="84"/>
        <v>3915</v>
      </c>
      <c r="AB365" s="133">
        <f t="shared" si="85"/>
        <v>26.488497970230039</v>
      </c>
      <c r="AC365" s="134">
        <f t="shared" si="86"/>
        <v>4403</v>
      </c>
      <c r="AD365" s="135">
        <f t="shared" si="87"/>
        <v>29.790257104194854</v>
      </c>
      <c r="AE365" s="136">
        <v>24</v>
      </c>
      <c r="AF365" s="137">
        <v>30</v>
      </c>
      <c r="AG365" s="137">
        <v>0</v>
      </c>
      <c r="AH365" s="138">
        <f t="shared" si="88"/>
        <v>54</v>
      </c>
      <c r="AI365" s="133">
        <f t="shared" si="89"/>
        <v>0.36535859269282811</v>
      </c>
    </row>
    <row r="366" spans="1:35">
      <c r="A366" s="171">
        <f>IF('09월 조업일지'!A362="","",'09월 조업일지'!A362)</f>
        <v>46278</v>
      </c>
      <c r="B366" s="172" t="str">
        <f>'09월 조업일지'!E362</f>
        <v>D</v>
      </c>
      <c r="C366" s="172" t="str">
        <f>'09월 조업일지'!F362</f>
        <v>A</v>
      </c>
      <c r="D366" s="172">
        <f>'09월 화학성분'!C363</f>
        <v>85565</v>
      </c>
      <c r="E366" s="205" t="str">
        <f t="shared" si="90"/>
        <v>SS400-05</v>
      </c>
      <c r="F366" s="121">
        <v>19</v>
      </c>
      <c r="G366" s="122">
        <v>23400</v>
      </c>
      <c r="H366" s="123">
        <v>20</v>
      </c>
      <c r="I366" s="122">
        <v>20400</v>
      </c>
      <c r="J366" s="123">
        <v>8</v>
      </c>
      <c r="K366" s="122">
        <v>10600</v>
      </c>
      <c r="L366" s="124">
        <f t="shared" si="91"/>
        <v>47</v>
      </c>
      <c r="M366" s="125">
        <f t="shared" si="91"/>
        <v>54400</v>
      </c>
      <c r="N366" s="126">
        <f t="shared" si="78"/>
        <v>154.76190476190479</v>
      </c>
      <c r="O366" s="127">
        <f t="shared" si="79"/>
        <v>134.92063492063494</v>
      </c>
      <c r="P366" s="127">
        <f t="shared" si="80"/>
        <v>70.105820105820115</v>
      </c>
      <c r="Q366" s="128">
        <f t="shared" si="81"/>
        <v>359.78835978835986</v>
      </c>
      <c r="R366" s="129">
        <v>151.19999999999999</v>
      </c>
      <c r="S366" s="130">
        <v>0</v>
      </c>
      <c r="T366" s="131">
        <v>188</v>
      </c>
      <c r="U366" s="131">
        <v>396</v>
      </c>
      <c r="V366" s="132">
        <f t="shared" si="82"/>
        <v>584</v>
      </c>
      <c r="W366" s="133">
        <f t="shared" si="83"/>
        <v>3.8624338624338628</v>
      </c>
      <c r="X366" s="130">
        <v>1669</v>
      </c>
      <c r="Y366" s="131">
        <v>1764</v>
      </c>
      <c r="Z366" s="131">
        <v>933</v>
      </c>
      <c r="AA366" s="132">
        <f t="shared" si="84"/>
        <v>4366</v>
      </c>
      <c r="AB366" s="133">
        <f t="shared" si="85"/>
        <v>28.875661375661377</v>
      </c>
      <c r="AC366" s="134">
        <f t="shared" si="86"/>
        <v>4950</v>
      </c>
      <c r="AD366" s="135">
        <f t="shared" si="87"/>
        <v>32.738095238095241</v>
      </c>
      <c r="AE366" s="136">
        <v>26</v>
      </c>
      <c r="AF366" s="137">
        <v>24</v>
      </c>
      <c r="AG366" s="137">
        <v>0</v>
      </c>
      <c r="AH366" s="138">
        <f t="shared" si="88"/>
        <v>50</v>
      </c>
      <c r="AI366" s="133">
        <f t="shared" si="89"/>
        <v>0.3306878306878307</v>
      </c>
    </row>
    <row r="367" spans="1:35">
      <c r="A367" s="171">
        <f>IF('09월 조업일지'!A363="","",'09월 조업일지'!A363)</f>
        <v>46278</v>
      </c>
      <c r="B367" s="172" t="str">
        <f>'09월 조업일지'!E363</f>
        <v>D</v>
      </c>
      <c r="C367" s="172" t="str">
        <f>'09월 조업일지'!F363</f>
        <v>B</v>
      </c>
      <c r="D367" s="172">
        <f>'09월 화학성분'!C364</f>
        <v>85566</v>
      </c>
      <c r="E367" s="205" t="str">
        <f t="shared" si="90"/>
        <v>SS400-05</v>
      </c>
      <c r="F367" s="121">
        <v>20</v>
      </c>
      <c r="G367" s="122">
        <v>23600</v>
      </c>
      <c r="H367" s="123">
        <v>18</v>
      </c>
      <c r="I367" s="122">
        <v>20500</v>
      </c>
      <c r="J367" s="123">
        <v>8</v>
      </c>
      <c r="K367" s="122">
        <v>9900</v>
      </c>
      <c r="L367" s="124">
        <f t="shared" si="91"/>
        <v>46</v>
      </c>
      <c r="M367" s="125">
        <f t="shared" si="91"/>
        <v>54000</v>
      </c>
      <c r="N367" s="126">
        <f t="shared" si="78"/>
        <v>157.43829219479653</v>
      </c>
      <c r="O367" s="127">
        <f t="shared" si="79"/>
        <v>136.75783855903936</v>
      </c>
      <c r="P367" s="127">
        <f t="shared" si="80"/>
        <v>66.04402935290193</v>
      </c>
      <c r="Q367" s="128">
        <f t="shared" si="81"/>
        <v>360.24016010673779</v>
      </c>
      <c r="R367" s="129">
        <v>149.9</v>
      </c>
      <c r="S367" s="130">
        <v>0</v>
      </c>
      <c r="T367" s="131">
        <v>117</v>
      </c>
      <c r="U367" s="131">
        <v>247</v>
      </c>
      <c r="V367" s="132">
        <f t="shared" si="82"/>
        <v>364</v>
      </c>
      <c r="W367" s="133">
        <f t="shared" si="83"/>
        <v>2.428285523682455</v>
      </c>
      <c r="X367" s="130">
        <v>1732</v>
      </c>
      <c r="Y367" s="131">
        <v>1590</v>
      </c>
      <c r="Z367" s="131">
        <v>572</v>
      </c>
      <c r="AA367" s="132">
        <f t="shared" si="84"/>
        <v>3894</v>
      </c>
      <c r="AB367" s="133">
        <f t="shared" si="85"/>
        <v>25.977318212141427</v>
      </c>
      <c r="AC367" s="134">
        <f t="shared" si="86"/>
        <v>4258</v>
      </c>
      <c r="AD367" s="135">
        <f t="shared" si="87"/>
        <v>28.405603735823881</v>
      </c>
      <c r="AE367" s="136">
        <v>25</v>
      </c>
      <c r="AF367" s="137">
        <v>32</v>
      </c>
      <c r="AG367" s="137">
        <v>0</v>
      </c>
      <c r="AH367" s="138">
        <f t="shared" si="88"/>
        <v>57</v>
      </c>
      <c r="AI367" s="133">
        <f t="shared" si="89"/>
        <v>0.38025350233488991</v>
      </c>
    </row>
    <row r="368" spans="1:35">
      <c r="A368" s="171">
        <f>IF('09월 조업일지'!A364="","",'09월 조업일지'!A364)</f>
        <v>46278</v>
      </c>
      <c r="B368" s="172" t="str">
        <f>'09월 조업일지'!E364</f>
        <v>D</v>
      </c>
      <c r="C368" s="172" t="str">
        <f>'09월 조업일지'!F364</f>
        <v>A</v>
      </c>
      <c r="D368" s="172">
        <f>'09월 화학성분'!C365</f>
        <v>85567</v>
      </c>
      <c r="E368" s="205" t="str">
        <f t="shared" si="90"/>
        <v>SS400-05</v>
      </c>
      <c r="F368" s="121">
        <v>21</v>
      </c>
      <c r="G368" s="122">
        <v>23600</v>
      </c>
      <c r="H368" s="123">
        <v>18</v>
      </c>
      <c r="I368" s="122">
        <v>20400</v>
      </c>
      <c r="J368" s="123">
        <v>9</v>
      </c>
      <c r="K368" s="122">
        <v>11800</v>
      </c>
      <c r="L368" s="124">
        <f t="shared" si="91"/>
        <v>48</v>
      </c>
      <c r="M368" s="125">
        <f t="shared" si="91"/>
        <v>55800</v>
      </c>
      <c r="N368" s="126">
        <f t="shared" si="78"/>
        <v>156.0846560846561</v>
      </c>
      <c r="O368" s="127">
        <f t="shared" si="79"/>
        <v>134.92063492063494</v>
      </c>
      <c r="P368" s="127">
        <f t="shared" si="80"/>
        <v>78.042328042328052</v>
      </c>
      <c r="Q368" s="128">
        <f t="shared" si="81"/>
        <v>369.04761904761909</v>
      </c>
      <c r="R368" s="129">
        <v>151.19999999999999</v>
      </c>
      <c r="S368" s="130">
        <v>0</v>
      </c>
      <c r="T368" s="131">
        <v>96</v>
      </c>
      <c r="U368" s="131">
        <v>271</v>
      </c>
      <c r="V368" s="132">
        <f t="shared" si="82"/>
        <v>367</v>
      </c>
      <c r="W368" s="133">
        <f t="shared" si="83"/>
        <v>2.4272486772486772</v>
      </c>
      <c r="X368" s="130">
        <v>1794</v>
      </c>
      <c r="Y368" s="131">
        <v>1655</v>
      </c>
      <c r="Z368" s="131">
        <v>608</v>
      </c>
      <c r="AA368" s="132">
        <f t="shared" si="84"/>
        <v>4057</v>
      </c>
      <c r="AB368" s="133">
        <f t="shared" si="85"/>
        <v>26.832010582010582</v>
      </c>
      <c r="AC368" s="134">
        <f t="shared" si="86"/>
        <v>4424</v>
      </c>
      <c r="AD368" s="135">
        <f t="shared" si="87"/>
        <v>29.259259259259263</v>
      </c>
      <c r="AE368" s="136">
        <v>26</v>
      </c>
      <c r="AF368" s="137">
        <v>26</v>
      </c>
      <c r="AG368" s="137">
        <v>0</v>
      </c>
      <c r="AH368" s="138">
        <f t="shared" si="88"/>
        <v>52</v>
      </c>
      <c r="AI368" s="133">
        <f t="shared" si="89"/>
        <v>0.34391534391534395</v>
      </c>
    </row>
    <row r="369" spans="1:35">
      <c r="A369" s="171">
        <f>IF('09월 조업일지'!A365="","",'09월 조업일지'!A365)</f>
        <v>46278</v>
      </c>
      <c r="B369" s="172" t="str">
        <f>'09월 조업일지'!E365</f>
        <v>D</v>
      </c>
      <c r="C369" s="172" t="str">
        <f>'09월 조업일지'!F365</f>
        <v>B</v>
      </c>
      <c r="D369" s="172">
        <f>'09월 화학성분'!C366</f>
        <v>85568</v>
      </c>
      <c r="E369" s="205" t="str">
        <f t="shared" si="90"/>
        <v>SS400-05</v>
      </c>
      <c r="F369" s="121">
        <v>20</v>
      </c>
      <c r="G369" s="122">
        <v>23300</v>
      </c>
      <c r="H369" s="123">
        <v>18</v>
      </c>
      <c r="I369" s="122">
        <v>20600</v>
      </c>
      <c r="J369" s="123">
        <v>8</v>
      </c>
      <c r="K369" s="122">
        <v>9900</v>
      </c>
      <c r="L369" s="124">
        <f t="shared" si="91"/>
        <v>46</v>
      </c>
      <c r="M369" s="125">
        <f t="shared" si="91"/>
        <v>53800</v>
      </c>
      <c r="N369" s="126">
        <f t="shared" si="78"/>
        <v>156.27095908786049</v>
      </c>
      <c r="O369" s="127">
        <f t="shared" si="79"/>
        <v>138.16230717639169</v>
      </c>
      <c r="P369" s="127">
        <f t="shared" si="80"/>
        <v>66.398390342052323</v>
      </c>
      <c r="Q369" s="128">
        <f t="shared" si="81"/>
        <v>360.83165660630453</v>
      </c>
      <c r="R369" s="129">
        <v>149.1</v>
      </c>
      <c r="S369" s="130">
        <v>0</v>
      </c>
      <c r="T369" s="131">
        <v>199</v>
      </c>
      <c r="U369" s="131">
        <v>160</v>
      </c>
      <c r="V369" s="132">
        <f t="shared" si="82"/>
        <v>359</v>
      </c>
      <c r="W369" s="133">
        <f t="shared" si="83"/>
        <v>2.4077800134138165</v>
      </c>
      <c r="X369" s="130">
        <v>1645</v>
      </c>
      <c r="Y369" s="131">
        <v>1616</v>
      </c>
      <c r="Z369" s="131">
        <v>552</v>
      </c>
      <c r="AA369" s="132">
        <f t="shared" si="84"/>
        <v>3813</v>
      </c>
      <c r="AB369" s="133">
        <f t="shared" si="85"/>
        <v>25.573440643863179</v>
      </c>
      <c r="AC369" s="134">
        <f t="shared" si="86"/>
        <v>4172</v>
      </c>
      <c r="AD369" s="135">
        <f t="shared" si="87"/>
        <v>27.981220657276996</v>
      </c>
      <c r="AE369" s="136">
        <v>24</v>
      </c>
      <c r="AF369" s="137">
        <v>27</v>
      </c>
      <c r="AG369" s="137">
        <v>0</v>
      </c>
      <c r="AH369" s="138">
        <f t="shared" si="88"/>
        <v>51</v>
      </c>
      <c r="AI369" s="133">
        <f t="shared" si="89"/>
        <v>0.34205231388329982</v>
      </c>
    </row>
    <row r="370" spans="1:35">
      <c r="A370" s="171">
        <f>IF('09월 조업일지'!A366="","",'09월 조업일지'!A366)</f>
        <v>46278</v>
      </c>
      <c r="B370" s="172" t="str">
        <f>'09월 조업일지'!E366</f>
        <v>A</v>
      </c>
      <c r="C370" s="172" t="str">
        <f>'09월 조업일지'!F366</f>
        <v>A</v>
      </c>
      <c r="D370" s="172">
        <f>'09월 화학성분'!C367</f>
        <v>85569</v>
      </c>
      <c r="E370" s="205" t="str">
        <f t="shared" si="90"/>
        <v>SS400-05</v>
      </c>
      <c r="F370" s="121">
        <v>20</v>
      </c>
      <c r="G370" s="122">
        <v>23500</v>
      </c>
      <c r="H370" s="123">
        <v>17</v>
      </c>
      <c r="I370" s="122">
        <v>20400</v>
      </c>
      <c r="J370" s="123">
        <v>8</v>
      </c>
      <c r="K370" s="122">
        <v>10400</v>
      </c>
      <c r="L370" s="124">
        <f t="shared" si="91"/>
        <v>45</v>
      </c>
      <c r="M370" s="125">
        <f t="shared" si="91"/>
        <v>54300</v>
      </c>
      <c r="N370" s="126">
        <f t="shared" si="78"/>
        <v>155.32055518836748</v>
      </c>
      <c r="O370" s="127">
        <f t="shared" si="79"/>
        <v>134.83146067415728</v>
      </c>
      <c r="P370" s="127">
        <f t="shared" si="80"/>
        <v>68.737607402511557</v>
      </c>
      <c r="Q370" s="128">
        <f t="shared" si="81"/>
        <v>358.88962326503633</v>
      </c>
      <c r="R370" s="129">
        <v>151.30000000000001</v>
      </c>
      <c r="S370" s="130">
        <v>0</v>
      </c>
      <c r="T370" s="131">
        <v>185</v>
      </c>
      <c r="U370" s="131">
        <v>175</v>
      </c>
      <c r="V370" s="132">
        <f t="shared" si="82"/>
        <v>360</v>
      </c>
      <c r="W370" s="133">
        <f t="shared" si="83"/>
        <v>2.3793787177792463</v>
      </c>
      <c r="X370" s="130">
        <v>1729</v>
      </c>
      <c r="Y370" s="131">
        <v>1602</v>
      </c>
      <c r="Z370" s="131">
        <v>664</v>
      </c>
      <c r="AA370" s="132">
        <f t="shared" si="84"/>
        <v>3995</v>
      </c>
      <c r="AB370" s="133">
        <f t="shared" si="85"/>
        <v>26.40449438202247</v>
      </c>
      <c r="AC370" s="134">
        <f t="shared" si="86"/>
        <v>4355</v>
      </c>
      <c r="AD370" s="135">
        <f t="shared" si="87"/>
        <v>28.783873099801717</v>
      </c>
      <c r="AE370" s="136">
        <v>26</v>
      </c>
      <c r="AF370" s="137">
        <v>22</v>
      </c>
      <c r="AG370" s="137">
        <v>0</v>
      </c>
      <c r="AH370" s="138">
        <f t="shared" si="88"/>
        <v>48</v>
      </c>
      <c r="AI370" s="133">
        <f t="shared" si="89"/>
        <v>0.31725049570389952</v>
      </c>
    </row>
    <row r="371" spans="1:35">
      <c r="A371" s="171">
        <f>IF('09월 조업일지'!A367="","",'09월 조업일지'!A367)</f>
        <v>46278</v>
      </c>
      <c r="B371" s="172" t="str">
        <f>'09월 조업일지'!E367</f>
        <v>A</v>
      </c>
      <c r="C371" s="172" t="str">
        <f>'09월 조업일지'!F367</f>
        <v>B</v>
      </c>
      <c r="D371" s="172">
        <f>'09월 화학성분'!C368</f>
        <v>85570</v>
      </c>
      <c r="E371" s="205" t="str">
        <f t="shared" si="90"/>
        <v>SS400-05</v>
      </c>
      <c r="F371" s="121">
        <v>21</v>
      </c>
      <c r="G371" s="122">
        <v>23400</v>
      </c>
      <c r="H371" s="123">
        <v>17</v>
      </c>
      <c r="I371" s="122">
        <v>20900</v>
      </c>
      <c r="J371" s="123">
        <v>7</v>
      </c>
      <c r="K371" s="122">
        <v>8900</v>
      </c>
      <c r="L371" s="124">
        <f t="shared" si="91"/>
        <v>45</v>
      </c>
      <c r="M371" s="125">
        <f t="shared" si="91"/>
        <v>53200</v>
      </c>
      <c r="N371" s="126">
        <f t="shared" si="78"/>
        <v>156.10406937958638</v>
      </c>
      <c r="O371" s="127">
        <f t="shared" si="79"/>
        <v>139.42628418945964</v>
      </c>
      <c r="P371" s="127">
        <f t="shared" si="80"/>
        <v>59.372915276851231</v>
      </c>
      <c r="Q371" s="128">
        <f t="shared" si="81"/>
        <v>354.90326884589729</v>
      </c>
      <c r="R371" s="129">
        <v>149.9</v>
      </c>
      <c r="S371" s="130">
        <v>0</v>
      </c>
      <c r="T371" s="131">
        <v>152</v>
      </c>
      <c r="U371" s="131">
        <v>181</v>
      </c>
      <c r="V371" s="132">
        <f t="shared" si="82"/>
        <v>333</v>
      </c>
      <c r="W371" s="133">
        <f t="shared" si="83"/>
        <v>2.2214809873248833</v>
      </c>
      <c r="X371" s="130">
        <v>1657</v>
      </c>
      <c r="Y371" s="131">
        <v>1632</v>
      </c>
      <c r="Z371" s="131">
        <v>675</v>
      </c>
      <c r="AA371" s="132">
        <f t="shared" si="84"/>
        <v>3964</v>
      </c>
      <c r="AB371" s="133">
        <f t="shared" si="85"/>
        <v>26.444296197464976</v>
      </c>
      <c r="AC371" s="134">
        <f t="shared" si="86"/>
        <v>4297</v>
      </c>
      <c r="AD371" s="135">
        <f t="shared" si="87"/>
        <v>28.66577718478986</v>
      </c>
      <c r="AE371" s="136">
        <v>27</v>
      </c>
      <c r="AF371" s="137">
        <v>26</v>
      </c>
      <c r="AG371" s="137">
        <v>0</v>
      </c>
      <c r="AH371" s="138">
        <f t="shared" si="88"/>
        <v>53</v>
      </c>
      <c r="AI371" s="133">
        <f t="shared" si="89"/>
        <v>0.35356904603068712</v>
      </c>
    </row>
    <row r="372" spans="1:35">
      <c r="A372" s="171">
        <f>IF('09월 조업일지'!A368="","",'09월 조업일지'!A368)</f>
        <v>46278</v>
      </c>
      <c r="B372" s="172" t="str">
        <f>'09월 조업일지'!E368</f>
        <v>A</v>
      </c>
      <c r="C372" s="172" t="str">
        <f>'09월 조업일지'!F368</f>
        <v>A</v>
      </c>
      <c r="D372" s="172">
        <f>'09월 화학성분'!C369</f>
        <v>85571</v>
      </c>
      <c r="E372" s="205" t="str">
        <f t="shared" si="90"/>
        <v>SS400-05</v>
      </c>
      <c r="F372" s="121">
        <v>20</v>
      </c>
      <c r="G372" s="122">
        <v>24000</v>
      </c>
      <c r="H372" s="123">
        <v>18</v>
      </c>
      <c r="I372" s="122">
        <v>20700</v>
      </c>
      <c r="J372" s="123">
        <v>11</v>
      </c>
      <c r="K372" s="122">
        <v>14900</v>
      </c>
      <c r="L372" s="124">
        <f t="shared" si="91"/>
        <v>49</v>
      </c>
      <c r="M372" s="125">
        <f t="shared" si="91"/>
        <v>59600</v>
      </c>
      <c r="N372" s="126">
        <f t="shared" si="78"/>
        <v>158.52047556142668</v>
      </c>
      <c r="O372" s="127">
        <f t="shared" si="79"/>
        <v>136.72391017173052</v>
      </c>
      <c r="P372" s="127">
        <f t="shared" si="80"/>
        <v>98.414795244385729</v>
      </c>
      <c r="Q372" s="128">
        <f t="shared" si="81"/>
        <v>393.65918097754292</v>
      </c>
      <c r="R372" s="129">
        <v>151.4</v>
      </c>
      <c r="S372" s="130">
        <v>0</v>
      </c>
      <c r="T372" s="131">
        <v>193</v>
      </c>
      <c r="U372" s="131">
        <v>151</v>
      </c>
      <c r="V372" s="132">
        <f t="shared" si="82"/>
        <v>344</v>
      </c>
      <c r="W372" s="133">
        <f t="shared" si="83"/>
        <v>2.2721268163804491</v>
      </c>
      <c r="X372" s="130">
        <v>1778</v>
      </c>
      <c r="Y372" s="131">
        <v>1599</v>
      </c>
      <c r="Z372" s="131">
        <v>618</v>
      </c>
      <c r="AA372" s="132">
        <f t="shared" si="84"/>
        <v>3995</v>
      </c>
      <c r="AB372" s="133">
        <f t="shared" si="85"/>
        <v>26.387054161162482</v>
      </c>
      <c r="AC372" s="134">
        <f t="shared" si="86"/>
        <v>4339</v>
      </c>
      <c r="AD372" s="135">
        <f t="shared" si="87"/>
        <v>28.659180977542931</v>
      </c>
      <c r="AE372" s="136">
        <v>27</v>
      </c>
      <c r="AF372" s="137">
        <v>24</v>
      </c>
      <c r="AG372" s="137">
        <v>0</v>
      </c>
      <c r="AH372" s="138">
        <f t="shared" si="88"/>
        <v>51</v>
      </c>
      <c r="AI372" s="133">
        <f t="shared" si="89"/>
        <v>0.33685601056803172</v>
      </c>
    </row>
    <row r="373" spans="1:35">
      <c r="A373" s="171">
        <f>IF('09월 조업일지'!A369="","",'09월 조업일지'!A369)</f>
        <v>46278</v>
      </c>
      <c r="B373" s="172" t="str">
        <f>'09월 조업일지'!E369</f>
        <v>A</v>
      </c>
      <c r="C373" s="172" t="str">
        <f>'09월 조업일지'!F369</f>
        <v>B</v>
      </c>
      <c r="D373" s="172">
        <f>'09월 화학성분'!C370</f>
        <v>85572</v>
      </c>
      <c r="E373" s="205" t="str">
        <f t="shared" si="90"/>
        <v>SS400-05</v>
      </c>
      <c r="F373" s="121">
        <v>21</v>
      </c>
      <c r="G373" s="122">
        <v>23500</v>
      </c>
      <c r="H373" s="123">
        <v>17</v>
      </c>
      <c r="I373" s="122">
        <v>20400</v>
      </c>
      <c r="J373" s="123">
        <v>7</v>
      </c>
      <c r="K373" s="122">
        <v>8700</v>
      </c>
      <c r="L373" s="124">
        <f t="shared" si="91"/>
        <v>45</v>
      </c>
      <c r="M373" s="125">
        <f t="shared" si="91"/>
        <v>52600</v>
      </c>
      <c r="N373" s="126">
        <f t="shared" si="78"/>
        <v>160.51912568306011</v>
      </c>
      <c r="O373" s="127">
        <f t="shared" si="79"/>
        <v>139.34426229508196</v>
      </c>
      <c r="P373" s="127">
        <f t="shared" si="80"/>
        <v>59.42622950819672</v>
      </c>
      <c r="Q373" s="128">
        <f t="shared" si="81"/>
        <v>359.28961748633884</v>
      </c>
      <c r="R373" s="129">
        <v>146.4</v>
      </c>
      <c r="S373" s="130">
        <v>0</v>
      </c>
      <c r="T373" s="131">
        <v>210</v>
      </c>
      <c r="U373" s="131">
        <v>161</v>
      </c>
      <c r="V373" s="132">
        <f t="shared" si="82"/>
        <v>371</v>
      </c>
      <c r="W373" s="133">
        <f t="shared" si="83"/>
        <v>2.5341530054644807</v>
      </c>
      <c r="X373" s="130">
        <v>1673</v>
      </c>
      <c r="Y373" s="131">
        <v>1574</v>
      </c>
      <c r="Z373" s="131">
        <v>801</v>
      </c>
      <c r="AA373" s="132">
        <f t="shared" si="84"/>
        <v>4048</v>
      </c>
      <c r="AB373" s="133">
        <f t="shared" si="85"/>
        <v>27.650273224043715</v>
      </c>
      <c r="AC373" s="134">
        <f t="shared" si="86"/>
        <v>4419</v>
      </c>
      <c r="AD373" s="135">
        <f t="shared" si="87"/>
        <v>30.184426229508194</v>
      </c>
      <c r="AE373" s="136">
        <v>22</v>
      </c>
      <c r="AF373" s="137">
        <v>28</v>
      </c>
      <c r="AG373" s="137">
        <v>0</v>
      </c>
      <c r="AH373" s="138">
        <f t="shared" si="88"/>
        <v>50</v>
      </c>
      <c r="AI373" s="133">
        <f t="shared" si="89"/>
        <v>0.34153005464480873</v>
      </c>
    </row>
    <row r="374" spans="1:35">
      <c r="A374" s="171">
        <f>IF('09월 조업일지'!A370="","",'09월 조업일지'!A370)</f>
        <v>46278</v>
      </c>
      <c r="B374" s="172" t="str">
        <f>'09월 조업일지'!E370</f>
        <v>A</v>
      </c>
      <c r="C374" s="172" t="str">
        <f>'09월 조업일지'!F370</f>
        <v>A</v>
      </c>
      <c r="D374" s="172">
        <f>'09월 화학성분'!C371</f>
        <v>85573</v>
      </c>
      <c r="E374" s="205" t="str">
        <f t="shared" si="90"/>
        <v>SS400-05</v>
      </c>
      <c r="F374" s="121">
        <v>19</v>
      </c>
      <c r="G374" s="122">
        <v>23700</v>
      </c>
      <c r="H374" s="123">
        <v>18</v>
      </c>
      <c r="I374" s="122">
        <v>20500</v>
      </c>
      <c r="J374" s="123">
        <v>7</v>
      </c>
      <c r="K374" s="122">
        <v>8800</v>
      </c>
      <c r="L374" s="124">
        <f t="shared" si="91"/>
        <v>44</v>
      </c>
      <c r="M374" s="125">
        <f t="shared" si="91"/>
        <v>53000</v>
      </c>
      <c r="N374" s="126">
        <f t="shared" si="78"/>
        <v>161.44414168937328</v>
      </c>
      <c r="O374" s="127">
        <f t="shared" si="79"/>
        <v>139.64577656675749</v>
      </c>
      <c r="P374" s="127">
        <f t="shared" si="80"/>
        <v>59.945504087193456</v>
      </c>
      <c r="Q374" s="128">
        <f t="shared" si="81"/>
        <v>361.03542234332423</v>
      </c>
      <c r="R374" s="129">
        <v>146.80000000000001</v>
      </c>
      <c r="S374" s="130">
        <v>0</v>
      </c>
      <c r="T374" s="131">
        <v>177</v>
      </c>
      <c r="U374" s="131">
        <v>184</v>
      </c>
      <c r="V374" s="132">
        <f t="shared" si="82"/>
        <v>361</v>
      </c>
      <c r="W374" s="133">
        <f t="shared" si="83"/>
        <v>2.4591280653950953</v>
      </c>
      <c r="X374" s="130">
        <v>1692</v>
      </c>
      <c r="Y374" s="131">
        <v>1637</v>
      </c>
      <c r="Z374" s="131">
        <v>786</v>
      </c>
      <c r="AA374" s="132">
        <f t="shared" si="84"/>
        <v>4115</v>
      </c>
      <c r="AB374" s="133">
        <f t="shared" si="85"/>
        <v>28.031335149863757</v>
      </c>
      <c r="AC374" s="134">
        <f t="shared" si="86"/>
        <v>4476</v>
      </c>
      <c r="AD374" s="135">
        <f t="shared" si="87"/>
        <v>30.490463215258853</v>
      </c>
      <c r="AE374" s="136">
        <v>24</v>
      </c>
      <c r="AF374" s="137">
        <v>24</v>
      </c>
      <c r="AG374" s="137">
        <v>0</v>
      </c>
      <c r="AH374" s="138">
        <f t="shared" si="88"/>
        <v>48</v>
      </c>
      <c r="AI374" s="133">
        <f t="shared" si="89"/>
        <v>0.32697547683923706</v>
      </c>
    </row>
    <row r="375" spans="1:35">
      <c r="A375" s="171">
        <f>IF('09월 조업일지'!A371="","",'09월 조업일지'!A371)</f>
        <v>46278</v>
      </c>
      <c r="B375" s="172" t="str">
        <f>'09월 조업일지'!E371</f>
        <v>A</v>
      </c>
      <c r="C375" s="172" t="str">
        <f>'09월 조업일지'!F371</f>
        <v>B</v>
      </c>
      <c r="D375" s="172">
        <f>'09월 화학성분'!C372</f>
        <v>85574</v>
      </c>
      <c r="E375" s="205" t="str">
        <f t="shared" si="90"/>
        <v>SS400-05</v>
      </c>
      <c r="F375" s="121">
        <v>26</v>
      </c>
      <c r="G375" s="122">
        <v>29500</v>
      </c>
      <c r="H375" s="123">
        <v>0</v>
      </c>
      <c r="I375" s="122">
        <v>0</v>
      </c>
      <c r="J375" s="123">
        <v>6</v>
      </c>
      <c r="K375" s="122">
        <v>17600</v>
      </c>
      <c r="L375" s="124">
        <f t="shared" si="91"/>
        <v>32</v>
      </c>
      <c r="M375" s="125">
        <f t="shared" si="91"/>
        <v>47100</v>
      </c>
      <c r="N375" s="126">
        <f t="shared" si="78"/>
        <v>226.22699386503066</v>
      </c>
      <c r="O375" s="127">
        <f t="shared" si="79"/>
        <v>0</v>
      </c>
      <c r="P375" s="127">
        <f t="shared" si="80"/>
        <v>134.96932515337423</v>
      </c>
      <c r="Q375" s="128">
        <f t="shared" si="81"/>
        <v>361.19631901840489</v>
      </c>
      <c r="R375" s="129">
        <v>130.4</v>
      </c>
      <c r="S375" s="130">
        <v>0</v>
      </c>
      <c r="T375" s="131">
        <v>0</v>
      </c>
      <c r="U375" s="131">
        <v>556</v>
      </c>
      <c r="V375" s="132">
        <f t="shared" si="82"/>
        <v>556</v>
      </c>
      <c r="W375" s="133">
        <f t="shared" si="83"/>
        <v>4.2638036809815949</v>
      </c>
      <c r="X375" s="130">
        <v>2217</v>
      </c>
      <c r="Y375" s="131">
        <v>0</v>
      </c>
      <c r="Z375" s="131">
        <v>979</v>
      </c>
      <c r="AA375" s="132">
        <f t="shared" si="84"/>
        <v>3196</v>
      </c>
      <c r="AB375" s="133">
        <f t="shared" si="85"/>
        <v>24.509202453987729</v>
      </c>
      <c r="AC375" s="134">
        <f t="shared" si="86"/>
        <v>3752</v>
      </c>
      <c r="AD375" s="135">
        <f t="shared" si="87"/>
        <v>28.773006134969325</v>
      </c>
      <c r="AE375" s="136">
        <v>25</v>
      </c>
      <c r="AF375" s="137">
        <v>0</v>
      </c>
      <c r="AG375" s="137">
        <v>1</v>
      </c>
      <c r="AH375" s="138">
        <f t="shared" si="88"/>
        <v>26</v>
      </c>
      <c r="AI375" s="133">
        <f t="shared" si="89"/>
        <v>0.19938650306748465</v>
      </c>
    </row>
    <row r="376" spans="1:35">
      <c r="A376" s="171">
        <f>IF('09월 조업일지'!A372="","",'09월 조업일지'!A372)</f>
        <v>46278</v>
      </c>
      <c r="B376" s="172" t="str">
        <f>'09월 조업일지'!E372</f>
        <v>A</v>
      </c>
      <c r="C376" s="172" t="str">
        <f>'09월 조업일지'!F372</f>
        <v>A</v>
      </c>
      <c r="D376" s="172">
        <f>'09월 화학성분'!C373</f>
        <v>85575</v>
      </c>
      <c r="E376" s="205" t="str">
        <f t="shared" si="90"/>
        <v>SS400-05</v>
      </c>
      <c r="F376" s="121">
        <v>23</v>
      </c>
      <c r="G376" s="122">
        <v>29100</v>
      </c>
      <c r="H376" s="123">
        <v>0</v>
      </c>
      <c r="I376" s="122">
        <v>0</v>
      </c>
      <c r="J376" s="123">
        <v>12</v>
      </c>
      <c r="K376" s="122">
        <v>20300</v>
      </c>
      <c r="L376" s="124">
        <f t="shared" si="91"/>
        <v>35</v>
      </c>
      <c r="M376" s="125">
        <f t="shared" si="91"/>
        <v>49400</v>
      </c>
      <c r="N376" s="126">
        <f t="shared" si="78"/>
        <v>219.78851963746223</v>
      </c>
      <c r="O376" s="127">
        <f t="shared" si="79"/>
        <v>0</v>
      </c>
      <c r="P376" s="127">
        <f t="shared" si="80"/>
        <v>153.32326283987913</v>
      </c>
      <c r="Q376" s="128">
        <f t="shared" si="81"/>
        <v>373.11178247734136</v>
      </c>
      <c r="R376" s="129">
        <v>132.4</v>
      </c>
      <c r="S376" s="130">
        <v>0</v>
      </c>
      <c r="T376" s="131">
        <v>0</v>
      </c>
      <c r="U376" s="131">
        <v>490</v>
      </c>
      <c r="V376" s="132">
        <f t="shared" si="82"/>
        <v>490</v>
      </c>
      <c r="W376" s="133">
        <f t="shared" si="83"/>
        <v>3.7009063444108761</v>
      </c>
      <c r="X376" s="130">
        <v>2288</v>
      </c>
      <c r="Y376" s="131">
        <v>0</v>
      </c>
      <c r="Z376" s="131">
        <v>1389</v>
      </c>
      <c r="AA376" s="132">
        <f t="shared" si="84"/>
        <v>3677</v>
      </c>
      <c r="AB376" s="133">
        <f t="shared" si="85"/>
        <v>27.771903323262837</v>
      </c>
      <c r="AC376" s="134">
        <f t="shared" si="86"/>
        <v>4167</v>
      </c>
      <c r="AD376" s="135">
        <f t="shared" si="87"/>
        <v>31.472809667673715</v>
      </c>
      <c r="AE376" s="136">
        <v>27</v>
      </c>
      <c r="AF376" s="137">
        <v>0</v>
      </c>
      <c r="AG376" s="137">
        <v>0</v>
      </c>
      <c r="AH376" s="138">
        <f t="shared" si="88"/>
        <v>27</v>
      </c>
      <c r="AI376" s="133">
        <f t="shared" si="89"/>
        <v>0.2039274924471299</v>
      </c>
    </row>
    <row r="377" spans="1:35">
      <c r="A377" s="171">
        <f>IF('09월 조업일지'!A373="","",'09월 조업일지'!A373)</f>
        <v>46278</v>
      </c>
      <c r="B377" s="172" t="str">
        <f>'09월 조업일지'!E373</f>
        <v>A</v>
      </c>
      <c r="C377" s="172" t="str">
        <f>'09월 조업일지'!F373</f>
        <v>B</v>
      </c>
      <c r="D377" s="172">
        <f>'09월 화학성분'!C374</f>
        <v>85576</v>
      </c>
      <c r="E377" s="351" t="s">
        <v>335</v>
      </c>
      <c r="F377" s="121">
        <v>31</v>
      </c>
      <c r="G377" s="122">
        <v>26800</v>
      </c>
      <c r="H377" s="123">
        <v>18</v>
      </c>
      <c r="I377" s="122">
        <v>20800</v>
      </c>
      <c r="J377" s="123">
        <v>7</v>
      </c>
      <c r="K377" s="122">
        <v>8800</v>
      </c>
      <c r="L377" s="124">
        <f t="shared" si="91"/>
        <v>56</v>
      </c>
      <c r="M377" s="125">
        <f t="shared" si="91"/>
        <v>56400</v>
      </c>
      <c r="N377" s="126">
        <f t="shared" si="78"/>
        <v>207.43034055727557</v>
      </c>
      <c r="O377" s="127">
        <f t="shared" si="79"/>
        <v>160.99071207430342</v>
      </c>
      <c r="P377" s="127">
        <f t="shared" si="80"/>
        <v>68.111455108359138</v>
      </c>
      <c r="Q377" s="128">
        <f t="shared" si="81"/>
        <v>436.53250773993807</v>
      </c>
      <c r="R377" s="129">
        <v>129.19999999999999</v>
      </c>
      <c r="S377" s="130">
        <v>129</v>
      </c>
      <c r="T377" s="131">
        <v>190</v>
      </c>
      <c r="U377" s="131">
        <v>107</v>
      </c>
      <c r="V377" s="132">
        <f t="shared" si="82"/>
        <v>426</v>
      </c>
      <c r="W377" s="133">
        <f t="shared" si="83"/>
        <v>3.297213622291022</v>
      </c>
      <c r="X377" s="130">
        <v>1918</v>
      </c>
      <c r="Y377" s="131">
        <v>1648</v>
      </c>
      <c r="Z377" s="131">
        <v>685</v>
      </c>
      <c r="AA377" s="132">
        <f t="shared" si="84"/>
        <v>4251</v>
      </c>
      <c r="AB377" s="133">
        <f t="shared" si="85"/>
        <v>32.902476780185765</v>
      </c>
      <c r="AC377" s="134">
        <f t="shared" si="86"/>
        <v>4677</v>
      </c>
      <c r="AD377" s="135">
        <f t="shared" si="87"/>
        <v>36.199690402476783</v>
      </c>
      <c r="AE377" s="136">
        <v>50</v>
      </c>
      <c r="AF377" s="137">
        <v>34</v>
      </c>
      <c r="AG377" s="137">
        <v>19</v>
      </c>
      <c r="AH377" s="138">
        <f t="shared" si="88"/>
        <v>103</v>
      </c>
      <c r="AI377" s="133">
        <f t="shared" si="89"/>
        <v>0.79721362229102177</v>
      </c>
    </row>
    <row r="378" spans="1:35">
      <c r="A378" s="171">
        <f>IF('09월 조업일지'!A374="","",'09월 조업일지'!A374)</f>
        <v>46278</v>
      </c>
      <c r="B378" s="172" t="str">
        <f>'09월 조업일지'!E374</f>
        <v>A</v>
      </c>
      <c r="C378" s="172" t="str">
        <f>'09월 조업일지'!F374</f>
        <v>A</v>
      </c>
      <c r="D378" s="172">
        <f>'09월 화학성분'!C375</f>
        <v>85577</v>
      </c>
      <c r="E378" s="205" t="str">
        <f t="shared" si="90"/>
        <v>SS400-02</v>
      </c>
      <c r="F378" s="121">
        <v>28</v>
      </c>
      <c r="G378" s="122">
        <v>27300</v>
      </c>
      <c r="H378" s="123">
        <v>16</v>
      </c>
      <c r="I378" s="122">
        <v>20600</v>
      </c>
      <c r="J378" s="123">
        <v>9</v>
      </c>
      <c r="K378" s="122">
        <v>11400</v>
      </c>
      <c r="L378" s="124">
        <f t="shared" si="91"/>
        <v>53</v>
      </c>
      <c r="M378" s="125">
        <f t="shared" si="91"/>
        <v>59300</v>
      </c>
      <c r="N378" s="126">
        <f t="shared" si="78"/>
        <v>209.83858570330517</v>
      </c>
      <c r="O378" s="127">
        <f t="shared" si="79"/>
        <v>158.33973866256727</v>
      </c>
      <c r="P378" s="127">
        <f t="shared" si="80"/>
        <v>87.624903920061499</v>
      </c>
      <c r="Q378" s="128">
        <f t="shared" si="81"/>
        <v>455.80322828593393</v>
      </c>
      <c r="R378" s="129">
        <v>130.1</v>
      </c>
      <c r="S378" s="130">
        <v>0</v>
      </c>
      <c r="T378" s="131">
        <v>136</v>
      </c>
      <c r="U378" s="131">
        <v>208</v>
      </c>
      <c r="V378" s="132">
        <f t="shared" si="82"/>
        <v>344</v>
      </c>
      <c r="W378" s="133">
        <f t="shared" si="83"/>
        <v>2.6441199077632591</v>
      </c>
      <c r="X378" s="130">
        <v>1870</v>
      </c>
      <c r="Y378" s="131">
        <v>1604</v>
      </c>
      <c r="Z378" s="131">
        <v>943</v>
      </c>
      <c r="AA378" s="132">
        <f t="shared" si="84"/>
        <v>4417</v>
      </c>
      <c r="AB378" s="133">
        <f t="shared" si="85"/>
        <v>33.950807071483474</v>
      </c>
      <c r="AC378" s="134">
        <f t="shared" si="86"/>
        <v>4761</v>
      </c>
      <c r="AD378" s="135">
        <f t="shared" si="87"/>
        <v>36.594926979246736</v>
      </c>
      <c r="AE378" s="136">
        <v>39</v>
      </c>
      <c r="AF378" s="137">
        <v>28</v>
      </c>
      <c r="AG378" s="137">
        <v>2</v>
      </c>
      <c r="AH378" s="138">
        <f t="shared" si="88"/>
        <v>69</v>
      </c>
      <c r="AI378" s="133">
        <f t="shared" si="89"/>
        <v>0.53036126056879329</v>
      </c>
    </row>
    <row r="379" spans="1:35">
      <c r="A379" s="171">
        <f>IF('09월 조업일지'!A375="","",'09월 조업일지'!A375)</f>
        <v>46278</v>
      </c>
      <c r="B379" s="172" t="str">
        <f>'09월 조업일지'!E375</f>
        <v>A</v>
      </c>
      <c r="C379" s="172" t="str">
        <f>'09월 조업일지'!F375</f>
        <v>B</v>
      </c>
      <c r="D379" s="172">
        <f>'09월 화학성분'!C376</f>
        <v>85578</v>
      </c>
      <c r="E379" s="205" t="str">
        <f t="shared" si="90"/>
        <v>SS400-02</v>
      </c>
      <c r="F379" s="121">
        <v>21</v>
      </c>
      <c r="G379" s="122">
        <v>23400</v>
      </c>
      <c r="H379" s="123">
        <v>18</v>
      </c>
      <c r="I379" s="122">
        <v>20400</v>
      </c>
      <c r="J379" s="123">
        <v>13</v>
      </c>
      <c r="K379" s="122">
        <v>16600</v>
      </c>
      <c r="L379" s="124">
        <f t="shared" si="91"/>
        <v>52</v>
      </c>
      <c r="M379" s="125">
        <f t="shared" si="91"/>
        <v>60400</v>
      </c>
      <c r="N379" s="126">
        <f t="shared" si="78"/>
        <v>170.92768444119795</v>
      </c>
      <c r="O379" s="127">
        <f t="shared" si="79"/>
        <v>149.01387874360847</v>
      </c>
      <c r="P379" s="127">
        <f t="shared" si="80"/>
        <v>121.25639152666179</v>
      </c>
      <c r="Q379" s="128">
        <f t="shared" si="81"/>
        <v>441.19795471146824</v>
      </c>
      <c r="R379" s="129">
        <v>136.9</v>
      </c>
      <c r="S379" s="130">
        <v>0</v>
      </c>
      <c r="T379" s="131">
        <v>94</v>
      </c>
      <c r="U379" s="131">
        <v>288</v>
      </c>
      <c r="V379" s="132">
        <f t="shared" si="82"/>
        <v>382</v>
      </c>
      <c r="W379" s="133">
        <f t="shared" si="83"/>
        <v>2.7903579254930606</v>
      </c>
      <c r="X379" s="130">
        <v>1646</v>
      </c>
      <c r="Y379" s="131">
        <v>1587</v>
      </c>
      <c r="Z379" s="131">
        <v>834</v>
      </c>
      <c r="AA379" s="132">
        <f t="shared" si="84"/>
        <v>4067</v>
      </c>
      <c r="AB379" s="133">
        <f t="shared" si="85"/>
        <v>29.70781592403214</v>
      </c>
      <c r="AC379" s="134">
        <f t="shared" si="86"/>
        <v>4449</v>
      </c>
      <c r="AD379" s="135">
        <f t="shared" si="87"/>
        <v>32.498173849525202</v>
      </c>
      <c r="AE379" s="136">
        <v>31</v>
      </c>
      <c r="AF379" s="137">
        <v>30</v>
      </c>
      <c r="AG379" s="137">
        <v>0</v>
      </c>
      <c r="AH379" s="138">
        <f t="shared" si="88"/>
        <v>61</v>
      </c>
      <c r="AI379" s="133">
        <f t="shared" si="89"/>
        <v>0.44558071585098608</v>
      </c>
    </row>
    <row r="380" spans="1:35">
      <c r="A380" s="171">
        <f>IF('09월 조업일지'!A376="","",'09월 조업일지'!A376)</f>
        <v>46278</v>
      </c>
      <c r="B380" s="172" t="str">
        <f>'09월 조업일지'!E376</f>
        <v>A</v>
      </c>
      <c r="C380" s="172" t="str">
        <f>'09월 조업일지'!F376</f>
        <v>A</v>
      </c>
      <c r="D380" s="172">
        <f>'09월 화학성분'!C377</f>
        <v>85579</v>
      </c>
      <c r="E380" s="205" t="str">
        <f t="shared" si="90"/>
        <v>SS400-02</v>
      </c>
      <c r="F380" s="121">
        <v>20</v>
      </c>
      <c r="G380" s="122">
        <v>23800</v>
      </c>
      <c r="H380" s="123">
        <v>17</v>
      </c>
      <c r="I380" s="122">
        <v>20400</v>
      </c>
      <c r="J380" s="123">
        <v>10</v>
      </c>
      <c r="K380" s="122">
        <v>13300</v>
      </c>
      <c r="L380" s="124">
        <f t="shared" si="91"/>
        <v>47</v>
      </c>
      <c r="M380" s="125">
        <f t="shared" si="91"/>
        <v>57500</v>
      </c>
      <c r="N380" s="126">
        <f t="shared" si="78"/>
        <v>174.35897435897436</v>
      </c>
      <c r="O380" s="127">
        <f t="shared" si="79"/>
        <v>149.45054945054946</v>
      </c>
      <c r="P380" s="127">
        <f t="shared" si="80"/>
        <v>97.435897435897431</v>
      </c>
      <c r="Q380" s="128">
        <f t="shared" si="81"/>
        <v>421.24542124542131</v>
      </c>
      <c r="R380" s="129">
        <v>136.5</v>
      </c>
      <c r="S380" s="130">
        <v>0</v>
      </c>
      <c r="T380" s="131">
        <v>231</v>
      </c>
      <c r="U380" s="131">
        <v>81</v>
      </c>
      <c r="V380" s="132">
        <f t="shared" si="82"/>
        <v>312</v>
      </c>
      <c r="W380" s="133">
        <f t="shared" si="83"/>
        <v>2.2857142857142856</v>
      </c>
      <c r="X380" s="130">
        <v>1804</v>
      </c>
      <c r="Y380" s="131">
        <v>1690</v>
      </c>
      <c r="Z380" s="131">
        <v>1088</v>
      </c>
      <c r="AA380" s="132">
        <f t="shared" si="84"/>
        <v>4582</v>
      </c>
      <c r="AB380" s="133">
        <f t="shared" si="85"/>
        <v>33.567765567765569</v>
      </c>
      <c r="AC380" s="134">
        <f t="shared" si="86"/>
        <v>4894</v>
      </c>
      <c r="AD380" s="135">
        <f t="shared" si="87"/>
        <v>35.853479853479854</v>
      </c>
      <c r="AE380" s="136">
        <v>37</v>
      </c>
      <c r="AF380" s="137">
        <v>34</v>
      </c>
      <c r="AG380" s="137">
        <v>0</v>
      </c>
      <c r="AH380" s="138">
        <f t="shared" si="88"/>
        <v>71</v>
      </c>
      <c r="AI380" s="133">
        <f t="shared" si="89"/>
        <v>0.52014652014652019</v>
      </c>
    </row>
    <row r="381" spans="1:35">
      <c r="A381" s="171">
        <f>IF('09월 조업일지'!A377="","",'09월 조업일지'!A377)</f>
        <v>46278</v>
      </c>
      <c r="B381" s="172" t="str">
        <f>'09월 조업일지'!E377</f>
        <v>B</v>
      </c>
      <c r="C381" s="172" t="str">
        <f>'09월 조업일지'!F377</f>
        <v>B</v>
      </c>
      <c r="D381" s="172">
        <f>'09월 화학성분'!C378</f>
        <v>85580</v>
      </c>
      <c r="E381" s="351" t="s">
        <v>336</v>
      </c>
      <c r="F381" s="121">
        <v>20</v>
      </c>
      <c r="G381" s="122">
        <v>23400</v>
      </c>
      <c r="H381" s="123">
        <v>18</v>
      </c>
      <c r="I381" s="122">
        <v>20700</v>
      </c>
      <c r="J381" s="123">
        <v>10</v>
      </c>
      <c r="K381" s="122">
        <v>11700</v>
      </c>
      <c r="L381" s="124">
        <f t="shared" si="91"/>
        <v>48</v>
      </c>
      <c r="M381" s="125">
        <f t="shared" si="91"/>
        <v>55800</v>
      </c>
      <c r="N381" s="126">
        <f t="shared" si="78"/>
        <v>160.05471956224352</v>
      </c>
      <c r="O381" s="127">
        <f t="shared" si="79"/>
        <v>141.58686730506156</v>
      </c>
      <c r="P381" s="127">
        <f t="shared" si="80"/>
        <v>80.02735978112176</v>
      </c>
      <c r="Q381" s="128">
        <f t="shared" si="81"/>
        <v>381.66894664842687</v>
      </c>
      <c r="R381" s="129">
        <v>146.19999999999999</v>
      </c>
      <c r="S381" s="130">
        <v>0</v>
      </c>
      <c r="T381" s="131">
        <v>201</v>
      </c>
      <c r="U381" s="131">
        <v>182</v>
      </c>
      <c r="V381" s="132">
        <f t="shared" si="82"/>
        <v>383</v>
      </c>
      <c r="W381" s="133">
        <f t="shared" si="83"/>
        <v>2.6196990424076612</v>
      </c>
      <c r="X381" s="130">
        <v>1697</v>
      </c>
      <c r="Y381" s="131">
        <v>1646</v>
      </c>
      <c r="Z381" s="131">
        <v>1016</v>
      </c>
      <c r="AA381" s="132">
        <f t="shared" si="84"/>
        <v>4359</v>
      </c>
      <c r="AB381" s="133">
        <f t="shared" si="85"/>
        <v>29.815321477428181</v>
      </c>
      <c r="AC381" s="134">
        <f t="shared" si="86"/>
        <v>4742</v>
      </c>
      <c r="AD381" s="135">
        <f t="shared" si="87"/>
        <v>32.435020519835845</v>
      </c>
      <c r="AE381" s="136">
        <v>26</v>
      </c>
      <c r="AF381" s="137">
        <v>27</v>
      </c>
      <c r="AG381" s="137">
        <v>0</v>
      </c>
      <c r="AH381" s="138">
        <f t="shared" si="88"/>
        <v>53</v>
      </c>
      <c r="AI381" s="133">
        <f t="shared" si="89"/>
        <v>0.36251709986320113</v>
      </c>
    </row>
    <row r="382" spans="1:35">
      <c r="A382" s="171">
        <f>IF('09월 조업일지'!A378="","",'09월 조업일지'!A378)</f>
        <v>46278</v>
      </c>
      <c r="B382" s="172" t="str">
        <f>'09월 조업일지'!E378</f>
        <v>B</v>
      </c>
      <c r="C382" s="172" t="str">
        <f>'09월 조업일지'!F378</f>
        <v>A</v>
      </c>
      <c r="D382" s="172">
        <f>'09월 화학성분'!C379</f>
        <v>85581</v>
      </c>
      <c r="E382" s="205" t="str">
        <f t="shared" si="90"/>
        <v>S355JO-01</v>
      </c>
      <c r="F382" s="121">
        <v>23</v>
      </c>
      <c r="G382" s="122">
        <v>23700</v>
      </c>
      <c r="H382" s="123">
        <v>17</v>
      </c>
      <c r="I382" s="122">
        <v>20600</v>
      </c>
      <c r="J382" s="123">
        <v>10</v>
      </c>
      <c r="K382" s="122">
        <v>13200</v>
      </c>
      <c r="L382" s="124">
        <f t="shared" si="91"/>
        <v>50</v>
      </c>
      <c r="M382" s="125">
        <f t="shared" si="91"/>
        <v>57500</v>
      </c>
      <c r="N382" s="126">
        <f t="shared" si="78"/>
        <v>160.78697421981005</v>
      </c>
      <c r="O382" s="127">
        <f t="shared" si="79"/>
        <v>139.75576662143826</v>
      </c>
      <c r="P382" s="127">
        <f t="shared" si="80"/>
        <v>89.552238805970148</v>
      </c>
      <c r="Q382" s="128">
        <f t="shared" si="81"/>
        <v>390.09497964721845</v>
      </c>
      <c r="R382" s="129">
        <v>147.4</v>
      </c>
      <c r="S382" s="130">
        <v>0</v>
      </c>
      <c r="T382" s="131">
        <v>146</v>
      </c>
      <c r="U382" s="131">
        <v>432</v>
      </c>
      <c r="V382" s="132">
        <f t="shared" si="82"/>
        <v>578</v>
      </c>
      <c r="W382" s="133">
        <f t="shared" si="83"/>
        <v>3.9213025780189956</v>
      </c>
      <c r="X382" s="130">
        <v>1842</v>
      </c>
      <c r="Y382" s="131">
        <v>1565</v>
      </c>
      <c r="Z382" s="131">
        <v>1243</v>
      </c>
      <c r="AA382" s="132">
        <f t="shared" si="84"/>
        <v>4650</v>
      </c>
      <c r="AB382" s="133">
        <f t="shared" si="85"/>
        <v>31.546811397557665</v>
      </c>
      <c r="AC382" s="134">
        <f t="shared" si="86"/>
        <v>5228</v>
      </c>
      <c r="AD382" s="135">
        <f t="shared" si="87"/>
        <v>35.468113975576664</v>
      </c>
      <c r="AE382" s="136">
        <v>37</v>
      </c>
      <c r="AF382" s="137">
        <v>27</v>
      </c>
      <c r="AG382" s="137">
        <v>9</v>
      </c>
      <c r="AH382" s="138">
        <f t="shared" si="88"/>
        <v>73</v>
      </c>
      <c r="AI382" s="133">
        <f t="shared" si="89"/>
        <v>0.49525101763907731</v>
      </c>
    </row>
    <row r="383" spans="1:35">
      <c r="A383" s="171">
        <f>IF('09월 조업일지'!A379="","",'09월 조업일지'!A379)</f>
        <v>46278</v>
      </c>
      <c r="B383" s="172" t="str">
        <f>'09월 조업일지'!E379</f>
        <v>B</v>
      </c>
      <c r="C383" s="172" t="str">
        <f>'09월 조업일지'!F379</f>
        <v>B</v>
      </c>
      <c r="D383" s="172">
        <f>'09월 화학성분'!C380</f>
        <v>85582</v>
      </c>
      <c r="E383" s="205" t="str">
        <f t="shared" si="90"/>
        <v>S355JO-01</v>
      </c>
      <c r="F383" s="121">
        <v>23</v>
      </c>
      <c r="G383" s="122">
        <v>23800</v>
      </c>
      <c r="H383" s="123">
        <v>18</v>
      </c>
      <c r="I383" s="122">
        <v>20600</v>
      </c>
      <c r="J383" s="123">
        <v>11</v>
      </c>
      <c r="K383" s="122">
        <v>11700</v>
      </c>
      <c r="L383" s="124">
        <f t="shared" si="91"/>
        <v>52</v>
      </c>
      <c r="M383" s="125">
        <f t="shared" si="91"/>
        <v>56100</v>
      </c>
      <c r="N383" s="126">
        <f t="shared" si="78"/>
        <v>163.57388316151201</v>
      </c>
      <c r="O383" s="127">
        <f t="shared" si="79"/>
        <v>141.58075601374571</v>
      </c>
      <c r="P383" s="127">
        <f t="shared" si="80"/>
        <v>80.412371134020617</v>
      </c>
      <c r="Q383" s="128">
        <f t="shared" si="81"/>
        <v>385.56701030927832</v>
      </c>
      <c r="R383" s="129">
        <v>145.5</v>
      </c>
      <c r="S383" s="130">
        <v>0</v>
      </c>
      <c r="T383" s="131">
        <v>197</v>
      </c>
      <c r="U383" s="131">
        <v>204</v>
      </c>
      <c r="V383" s="132">
        <f t="shared" si="82"/>
        <v>401</v>
      </c>
      <c r="W383" s="133">
        <f t="shared" si="83"/>
        <v>2.7560137457044673</v>
      </c>
      <c r="X383" s="130">
        <v>1836</v>
      </c>
      <c r="Y383" s="131">
        <v>1605</v>
      </c>
      <c r="Z383" s="131">
        <v>1016</v>
      </c>
      <c r="AA383" s="132">
        <f t="shared" si="84"/>
        <v>4457</v>
      </c>
      <c r="AB383" s="133">
        <f t="shared" si="85"/>
        <v>30.632302405498283</v>
      </c>
      <c r="AC383" s="134">
        <f t="shared" si="86"/>
        <v>4858</v>
      </c>
      <c r="AD383" s="135">
        <f t="shared" si="87"/>
        <v>33.388316151202751</v>
      </c>
      <c r="AE383" s="136">
        <v>25</v>
      </c>
      <c r="AF383" s="137">
        <v>32</v>
      </c>
      <c r="AG383" s="137">
        <v>0</v>
      </c>
      <c r="AH383" s="138">
        <f t="shared" si="88"/>
        <v>57</v>
      </c>
      <c r="AI383" s="133">
        <f t="shared" si="89"/>
        <v>0.39175257731958762</v>
      </c>
    </row>
    <row r="384" spans="1:35">
      <c r="A384" s="171">
        <f>IF('09월 조업일지'!A380="","",'09월 조업일지'!A380)</f>
        <v>46278</v>
      </c>
      <c r="B384" s="172" t="str">
        <f>'09월 조업일지'!E380</f>
        <v>B</v>
      </c>
      <c r="C384" s="172" t="str">
        <f>'09월 조업일지'!F380</f>
        <v>A</v>
      </c>
      <c r="D384" s="172">
        <f>'09월 화학성분'!C381</f>
        <v>85583</v>
      </c>
      <c r="E384" s="205" t="str">
        <f t="shared" si="90"/>
        <v>S355JO-01</v>
      </c>
      <c r="F384" s="121">
        <v>21</v>
      </c>
      <c r="G384" s="122">
        <v>23800</v>
      </c>
      <c r="H384" s="123">
        <v>17</v>
      </c>
      <c r="I384" s="122">
        <v>2070</v>
      </c>
      <c r="J384" s="123">
        <v>11</v>
      </c>
      <c r="K384" s="122">
        <v>14100</v>
      </c>
      <c r="L384" s="124">
        <f t="shared" si="91"/>
        <v>49</v>
      </c>
      <c r="M384" s="125">
        <f t="shared" si="91"/>
        <v>39970</v>
      </c>
      <c r="N384" s="126">
        <f t="shared" si="78"/>
        <v>155.96330275229357</v>
      </c>
      <c r="O384" s="127">
        <f t="shared" si="79"/>
        <v>13.564875491480997</v>
      </c>
      <c r="P384" s="127">
        <f t="shared" si="80"/>
        <v>92.398427260812582</v>
      </c>
      <c r="Q384" s="128">
        <f t="shared" si="81"/>
        <v>261.92660550458714</v>
      </c>
      <c r="R384" s="129">
        <v>152.6</v>
      </c>
      <c r="S384" s="130">
        <v>0</v>
      </c>
      <c r="T384" s="131">
        <v>150</v>
      </c>
      <c r="U384" s="131">
        <v>231</v>
      </c>
      <c r="V384" s="132">
        <f t="shared" si="82"/>
        <v>381</v>
      </c>
      <c r="W384" s="133">
        <f t="shared" si="83"/>
        <v>2.4967234600262125</v>
      </c>
      <c r="X384" s="130">
        <v>1740</v>
      </c>
      <c r="Y384" s="131">
        <v>1582</v>
      </c>
      <c r="Z384" s="131">
        <v>997</v>
      </c>
      <c r="AA384" s="132">
        <f t="shared" si="84"/>
        <v>4319</v>
      </c>
      <c r="AB384" s="133">
        <f t="shared" si="85"/>
        <v>28.302752293577981</v>
      </c>
      <c r="AC384" s="134">
        <f t="shared" si="86"/>
        <v>4700</v>
      </c>
      <c r="AD384" s="135">
        <f t="shared" si="87"/>
        <v>30.799475753604195</v>
      </c>
      <c r="AE384" s="136">
        <v>34</v>
      </c>
      <c r="AF384" s="137">
        <v>26</v>
      </c>
      <c r="AG384" s="137">
        <v>13</v>
      </c>
      <c r="AH384" s="138">
        <f t="shared" si="88"/>
        <v>73</v>
      </c>
      <c r="AI384" s="133">
        <f t="shared" si="89"/>
        <v>0.47837483617300131</v>
      </c>
    </row>
    <row r="385" spans="1:35">
      <c r="A385" s="171">
        <f>IF('09월 조업일지'!A381="","",'09월 조업일지'!A381)</f>
        <v>46278</v>
      </c>
      <c r="B385" s="172" t="str">
        <f>'09월 조업일지'!E381</f>
        <v>B</v>
      </c>
      <c r="C385" s="172" t="str">
        <f>'09월 조업일지'!F381</f>
        <v>B</v>
      </c>
      <c r="D385" s="172">
        <f>'09월 화학성분'!C382</f>
        <v>85584</v>
      </c>
      <c r="E385" s="205" t="str">
        <f t="shared" si="90"/>
        <v>S355JO-01</v>
      </c>
      <c r="F385" s="121">
        <v>19</v>
      </c>
      <c r="G385" s="122">
        <v>23400</v>
      </c>
      <c r="H385" s="123">
        <v>17</v>
      </c>
      <c r="I385" s="122">
        <v>20200</v>
      </c>
      <c r="J385" s="123">
        <v>12</v>
      </c>
      <c r="K385" s="122">
        <v>15200</v>
      </c>
      <c r="L385" s="124">
        <f t="shared" si="91"/>
        <v>48</v>
      </c>
      <c r="M385" s="125">
        <f t="shared" si="91"/>
        <v>58800</v>
      </c>
      <c r="N385" s="126">
        <f t="shared" si="78"/>
        <v>156.52173913043478</v>
      </c>
      <c r="O385" s="127">
        <f t="shared" si="79"/>
        <v>135.1170568561873</v>
      </c>
      <c r="P385" s="127">
        <f t="shared" si="80"/>
        <v>101.67224080267559</v>
      </c>
      <c r="Q385" s="128">
        <f t="shared" si="81"/>
        <v>393.31103678929765</v>
      </c>
      <c r="R385" s="129">
        <v>149.5</v>
      </c>
      <c r="S385" s="130">
        <v>0</v>
      </c>
      <c r="T385" s="131">
        <v>155</v>
      </c>
      <c r="U385" s="131">
        <v>227</v>
      </c>
      <c r="V385" s="132">
        <f t="shared" si="82"/>
        <v>382</v>
      </c>
      <c r="W385" s="133">
        <f t="shared" si="83"/>
        <v>2.5551839464882944</v>
      </c>
      <c r="X385" s="130">
        <v>1665</v>
      </c>
      <c r="Y385" s="131">
        <v>1610</v>
      </c>
      <c r="Z385" s="131">
        <v>769</v>
      </c>
      <c r="AA385" s="132">
        <f t="shared" si="84"/>
        <v>4044</v>
      </c>
      <c r="AB385" s="133">
        <f t="shared" si="85"/>
        <v>27.050167224080269</v>
      </c>
      <c r="AC385" s="134">
        <f t="shared" si="86"/>
        <v>4426</v>
      </c>
      <c r="AD385" s="135">
        <f t="shared" si="87"/>
        <v>29.605351170568561</v>
      </c>
      <c r="AE385" s="136">
        <v>24</v>
      </c>
      <c r="AF385" s="137">
        <v>31</v>
      </c>
      <c r="AG385" s="137">
        <v>0</v>
      </c>
      <c r="AH385" s="138">
        <f t="shared" si="88"/>
        <v>55</v>
      </c>
      <c r="AI385" s="133">
        <f t="shared" si="89"/>
        <v>0.36789297658862874</v>
      </c>
    </row>
    <row r="386" spans="1:35">
      <c r="A386" s="171">
        <f>IF('09월 조업일지'!A382="","",'09월 조업일지'!A382)</f>
        <v>46278</v>
      </c>
      <c r="B386" s="172" t="str">
        <f>'09월 조업일지'!E382</f>
        <v>B</v>
      </c>
      <c r="C386" s="172" t="str">
        <f>'09월 조업일지'!F382</f>
        <v>A</v>
      </c>
      <c r="D386" s="172">
        <f>'09월 화학성분'!C383</f>
        <v>85585</v>
      </c>
      <c r="E386" s="351" t="s">
        <v>335</v>
      </c>
      <c r="F386" s="121">
        <v>20</v>
      </c>
      <c r="G386" s="122">
        <v>23500</v>
      </c>
      <c r="H386" s="123">
        <v>18</v>
      </c>
      <c r="I386" s="122">
        <v>20600</v>
      </c>
      <c r="J386" s="123">
        <v>10</v>
      </c>
      <c r="K386" s="122">
        <v>13400</v>
      </c>
      <c r="L386" s="124">
        <f t="shared" si="91"/>
        <v>48</v>
      </c>
      <c r="M386" s="125">
        <f t="shared" si="91"/>
        <v>57500</v>
      </c>
      <c r="N386" s="126">
        <f t="shared" si="78"/>
        <v>154.80895915678522</v>
      </c>
      <c r="O386" s="127">
        <f t="shared" si="79"/>
        <v>135.7048748353096</v>
      </c>
      <c r="P386" s="127">
        <f t="shared" si="80"/>
        <v>88.274044795783922</v>
      </c>
      <c r="Q386" s="128">
        <f t="shared" si="81"/>
        <v>378.78787878787875</v>
      </c>
      <c r="R386" s="129">
        <v>151.80000000000001</v>
      </c>
      <c r="S386" s="130">
        <v>0</v>
      </c>
      <c r="T386" s="131">
        <v>180</v>
      </c>
      <c r="U386" s="131">
        <v>172</v>
      </c>
      <c r="V386" s="132">
        <f t="shared" si="82"/>
        <v>352</v>
      </c>
      <c r="W386" s="133">
        <f t="shared" si="83"/>
        <v>2.3188405797101446</v>
      </c>
      <c r="X386" s="130">
        <v>1689</v>
      </c>
      <c r="Y386" s="131">
        <v>1573</v>
      </c>
      <c r="Z386" s="131">
        <v>790</v>
      </c>
      <c r="AA386" s="132">
        <f t="shared" si="84"/>
        <v>4052</v>
      </c>
      <c r="AB386" s="133">
        <f t="shared" si="85"/>
        <v>26.693017127799735</v>
      </c>
      <c r="AC386" s="134">
        <f t="shared" si="86"/>
        <v>4404</v>
      </c>
      <c r="AD386" s="135">
        <f t="shared" si="87"/>
        <v>29.011857707509879</v>
      </c>
      <c r="AE386" s="136">
        <v>29</v>
      </c>
      <c r="AF386" s="137">
        <v>30</v>
      </c>
      <c r="AG386" s="137">
        <v>10</v>
      </c>
      <c r="AH386" s="138">
        <f t="shared" si="88"/>
        <v>69</v>
      </c>
      <c r="AI386" s="133">
        <f t="shared" si="89"/>
        <v>0.45454545454545453</v>
      </c>
    </row>
    <row r="387" spans="1:35">
      <c r="A387" s="171">
        <f>IF('09월 조업일지'!A383="","",'09월 조업일지'!A383)</f>
        <v>46279</v>
      </c>
      <c r="B387" s="172" t="str">
        <f>'09월 조업일지'!E383</f>
        <v>B</v>
      </c>
      <c r="C387" s="172" t="str">
        <f>'09월 조업일지'!F383</f>
        <v>B</v>
      </c>
      <c r="D387" s="172">
        <f>'09월 화학성분'!C384</f>
        <v>85586</v>
      </c>
      <c r="E387" s="205" t="str">
        <f t="shared" si="90"/>
        <v>SS400-02</v>
      </c>
      <c r="F387" s="121">
        <v>20</v>
      </c>
      <c r="G387" s="122">
        <v>23900</v>
      </c>
      <c r="H387" s="123">
        <v>18</v>
      </c>
      <c r="I387" s="122">
        <v>20700</v>
      </c>
      <c r="J387" s="123">
        <v>7</v>
      </c>
      <c r="K387" s="122">
        <v>9100</v>
      </c>
      <c r="L387" s="124">
        <f t="shared" si="91"/>
        <v>45</v>
      </c>
      <c r="M387" s="125">
        <f t="shared" si="91"/>
        <v>53700</v>
      </c>
      <c r="N387" s="126">
        <f t="shared" si="78"/>
        <v>159.86622073578596</v>
      </c>
      <c r="O387" s="127">
        <f t="shared" si="79"/>
        <v>138.46153846153845</v>
      </c>
      <c r="P387" s="127">
        <f t="shared" si="80"/>
        <v>60.869565217391305</v>
      </c>
      <c r="Q387" s="128">
        <f t="shared" si="81"/>
        <v>359.19732441471575</v>
      </c>
      <c r="R387" s="129">
        <v>149.5</v>
      </c>
      <c r="S387" s="130">
        <v>0</v>
      </c>
      <c r="T387" s="131">
        <v>165</v>
      </c>
      <c r="U387" s="131">
        <v>280</v>
      </c>
      <c r="V387" s="132">
        <f t="shared" si="82"/>
        <v>445</v>
      </c>
      <c r="W387" s="133">
        <f t="shared" si="83"/>
        <v>2.9765886287625416</v>
      </c>
      <c r="X387" s="130">
        <v>1656</v>
      </c>
      <c r="Y387" s="131">
        <v>1596</v>
      </c>
      <c r="Z387" s="131">
        <v>854</v>
      </c>
      <c r="AA387" s="132">
        <f t="shared" si="84"/>
        <v>4106</v>
      </c>
      <c r="AB387" s="133">
        <f t="shared" si="85"/>
        <v>27.464882943143813</v>
      </c>
      <c r="AC387" s="134">
        <f t="shared" si="86"/>
        <v>4551</v>
      </c>
      <c r="AD387" s="135">
        <f t="shared" si="87"/>
        <v>30.441471571906355</v>
      </c>
      <c r="AE387" s="136">
        <v>25</v>
      </c>
      <c r="AF387" s="137">
        <v>29</v>
      </c>
      <c r="AG387" s="137">
        <v>0</v>
      </c>
      <c r="AH387" s="138">
        <f t="shared" si="88"/>
        <v>54</v>
      </c>
      <c r="AI387" s="133">
        <f t="shared" si="89"/>
        <v>0.3612040133779264</v>
      </c>
    </row>
    <row r="388" spans="1:35">
      <c r="A388" s="171">
        <f>IF('09월 조업일지'!A384="","",'09월 조업일지'!A384)</f>
        <v>46279</v>
      </c>
      <c r="B388" s="172" t="str">
        <f>'09월 조업일지'!E384</f>
        <v>B</v>
      </c>
      <c r="C388" s="172" t="str">
        <f>'09월 조업일지'!F384</f>
        <v>A</v>
      </c>
      <c r="D388" s="172">
        <f>'09월 화학성분'!C385</f>
        <v>85587</v>
      </c>
      <c r="E388" s="351" t="s">
        <v>337</v>
      </c>
      <c r="F388" s="121">
        <v>21</v>
      </c>
      <c r="G388" s="122">
        <v>23500</v>
      </c>
      <c r="H388" s="123">
        <v>17</v>
      </c>
      <c r="I388" s="122">
        <v>20500</v>
      </c>
      <c r="J388" s="123">
        <v>9</v>
      </c>
      <c r="K388" s="122">
        <v>11200</v>
      </c>
      <c r="L388" s="124">
        <f t="shared" si="91"/>
        <v>47</v>
      </c>
      <c r="M388" s="125">
        <f t="shared" si="91"/>
        <v>55200</v>
      </c>
      <c r="N388" s="126">
        <f t="shared" si="78"/>
        <v>155.0131926121372</v>
      </c>
      <c r="O388" s="127">
        <f t="shared" si="79"/>
        <v>135.22427440633246</v>
      </c>
      <c r="P388" s="127">
        <f t="shared" si="80"/>
        <v>73.878627968337739</v>
      </c>
      <c r="Q388" s="128">
        <f t="shared" si="81"/>
        <v>364.11609498680741</v>
      </c>
      <c r="R388" s="129">
        <v>151.6</v>
      </c>
      <c r="S388" s="130">
        <v>0</v>
      </c>
      <c r="T388" s="131">
        <v>141</v>
      </c>
      <c r="U388" s="131">
        <v>212</v>
      </c>
      <c r="V388" s="132">
        <f t="shared" si="82"/>
        <v>353</v>
      </c>
      <c r="W388" s="133">
        <f t="shared" si="83"/>
        <v>2.3284960422163588</v>
      </c>
      <c r="X388" s="130">
        <v>1778</v>
      </c>
      <c r="Y388" s="131">
        <v>1584</v>
      </c>
      <c r="Z388" s="131">
        <v>822</v>
      </c>
      <c r="AA388" s="132">
        <f t="shared" si="84"/>
        <v>4184</v>
      </c>
      <c r="AB388" s="133">
        <f t="shared" si="85"/>
        <v>27.598944591029024</v>
      </c>
      <c r="AC388" s="134">
        <f t="shared" si="86"/>
        <v>4537</v>
      </c>
      <c r="AD388" s="135">
        <f t="shared" si="87"/>
        <v>29.927440633245382</v>
      </c>
      <c r="AE388" s="136">
        <v>35</v>
      </c>
      <c r="AF388" s="137">
        <v>28</v>
      </c>
      <c r="AG388" s="137">
        <v>11</v>
      </c>
      <c r="AH388" s="138">
        <f t="shared" si="88"/>
        <v>74</v>
      </c>
      <c r="AI388" s="133">
        <f t="shared" si="89"/>
        <v>0.48812664907651715</v>
      </c>
    </row>
    <row r="389" spans="1:35">
      <c r="A389" s="171">
        <f>IF('09월 조업일지'!A385="","",'09월 조업일지'!A385)</f>
        <v>46279</v>
      </c>
      <c r="B389" s="172" t="str">
        <f>'09월 조업일지'!E385</f>
        <v>B</v>
      </c>
      <c r="C389" s="172" t="str">
        <f>'09월 조업일지'!F385</f>
        <v>B</v>
      </c>
      <c r="D389" s="172">
        <f>'09월 화학성분'!C386</f>
        <v>85588</v>
      </c>
      <c r="E389" s="205" t="str">
        <f t="shared" si="90"/>
        <v>A572-50-01</v>
      </c>
      <c r="F389" s="121">
        <v>21</v>
      </c>
      <c r="G389" s="122">
        <v>23600</v>
      </c>
      <c r="H389" s="123">
        <v>18</v>
      </c>
      <c r="I389" s="122">
        <v>20500</v>
      </c>
      <c r="J389" s="123">
        <v>7</v>
      </c>
      <c r="K389" s="122">
        <v>9900</v>
      </c>
      <c r="L389" s="124">
        <f t="shared" si="91"/>
        <v>46</v>
      </c>
      <c r="M389" s="125">
        <f t="shared" si="91"/>
        <v>54000</v>
      </c>
      <c r="N389" s="126">
        <f t="shared" si="78"/>
        <v>158.38926174496643</v>
      </c>
      <c r="O389" s="127">
        <f t="shared" si="79"/>
        <v>137.58389261744966</v>
      </c>
      <c r="P389" s="127">
        <f t="shared" si="80"/>
        <v>66.442953020134226</v>
      </c>
      <c r="Q389" s="128">
        <f t="shared" si="81"/>
        <v>362.41610738255031</v>
      </c>
      <c r="R389" s="129">
        <v>149</v>
      </c>
      <c r="S389" s="130">
        <v>0</v>
      </c>
      <c r="T389" s="131">
        <v>152</v>
      </c>
      <c r="U389" s="131">
        <v>191</v>
      </c>
      <c r="V389" s="132">
        <f t="shared" si="82"/>
        <v>343</v>
      </c>
      <c r="W389" s="133">
        <f t="shared" si="83"/>
        <v>2.3020134228187921</v>
      </c>
      <c r="X389" s="130">
        <v>1703</v>
      </c>
      <c r="Y389" s="131">
        <v>1634</v>
      </c>
      <c r="Z389" s="131">
        <v>617</v>
      </c>
      <c r="AA389" s="132">
        <f t="shared" si="84"/>
        <v>3954</v>
      </c>
      <c r="AB389" s="133">
        <f t="shared" si="85"/>
        <v>26.536912751677853</v>
      </c>
      <c r="AC389" s="134">
        <f t="shared" si="86"/>
        <v>4297</v>
      </c>
      <c r="AD389" s="135">
        <f t="shared" si="87"/>
        <v>28.838926174496645</v>
      </c>
      <c r="AE389" s="136">
        <v>25</v>
      </c>
      <c r="AF389" s="137">
        <v>27</v>
      </c>
      <c r="AG389" s="137">
        <v>0</v>
      </c>
      <c r="AH389" s="138">
        <f t="shared" si="88"/>
        <v>52</v>
      </c>
      <c r="AI389" s="133">
        <f t="shared" si="89"/>
        <v>0.34899328859060402</v>
      </c>
    </row>
    <row r="390" spans="1:35">
      <c r="A390" s="171">
        <f>IF('09월 조업일지'!A386="","",'09월 조업일지'!A386)</f>
        <v>46279</v>
      </c>
      <c r="B390" s="172" t="str">
        <f>'09월 조업일지'!E386</f>
        <v>B</v>
      </c>
      <c r="C390" s="172" t="str">
        <f>'09월 조업일지'!F386</f>
        <v>A</v>
      </c>
      <c r="D390" s="172">
        <f>'09월 화학성분'!C387</f>
        <v>85589</v>
      </c>
      <c r="E390" s="205" t="str">
        <f t="shared" si="90"/>
        <v>A572-50-01</v>
      </c>
      <c r="F390" s="121">
        <v>19</v>
      </c>
      <c r="G390" s="122">
        <v>23500</v>
      </c>
      <c r="H390" s="123">
        <v>18</v>
      </c>
      <c r="I390" s="122">
        <v>20800</v>
      </c>
      <c r="J390" s="123">
        <v>10</v>
      </c>
      <c r="K390" s="122">
        <v>13700</v>
      </c>
      <c r="L390" s="124">
        <f t="shared" si="91"/>
        <v>47</v>
      </c>
      <c r="M390" s="125">
        <f t="shared" si="91"/>
        <v>58000</v>
      </c>
      <c r="N390" s="126">
        <f t="shared" si="78"/>
        <v>155.0131926121372</v>
      </c>
      <c r="O390" s="127">
        <f t="shared" si="79"/>
        <v>137.20316622691294</v>
      </c>
      <c r="P390" s="127">
        <f t="shared" si="80"/>
        <v>90.369393139841691</v>
      </c>
      <c r="Q390" s="128">
        <f t="shared" si="81"/>
        <v>382.58575197889184</v>
      </c>
      <c r="R390" s="129">
        <v>151.6</v>
      </c>
      <c r="S390" s="130">
        <v>0</v>
      </c>
      <c r="T390" s="131">
        <v>177</v>
      </c>
      <c r="U390" s="131">
        <v>182</v>
      </c>
      <c r="V390" s="132">
        <f t="shared" si="82"/>
        <v>359</v>
      </c>
      <c r="W390" s="133">
        <f t="shared" si="83"/>
        <v>2.3680738786279685</v>
      </c>
      <c r="X390" s="130">
        <v>1662</v>
      </c>
      <c r="Y390" s="131">
        <v>1611</v>
      </c>
      <c r="Z390" s="131">
        <v>854</v>
      </c>
      <c r="AA390" s="132">
        <f t="shared" si="84"/>
        <v>4127</v>
      </c>
      <c r="AB390" s="133">
        <f t="shared" si="85"/>
        <v>27.222955145118735</v>
      </c>
      <c r="AC390" s="134">
        <f t="shared" si="86"/>
        <v>4486</v>
      </c>
      <c r="AD390" s="135">
        <f t="shared" si="87"/>
        <v>29.591029023746703</v>
      </c>
      <c r="AE390" s="136">
        <v>32</v>
      </c>
      <c r="AF390" s="137">
        <v>29</v>
      </c>
      <c r="AG390" s="137">
        <v>8</v>
      </c>
      <c r="AH390" s="138">
        <f t="shared" si="88"/>
        <v>69</v>
      </c>
      <c r="AI390" s="133">
        <f t="shared" si="89"/>
        <v>0.45514511873350927</v>
      </c>
    </row>
    <row r="391" spans="1:35">
      <c r="A391" s="171">
        <f>IF('09월 조업일지'!A387="","",'09월 조업일지'!A387)</f>
        <v>46279</v>
      </c>
      <c r="B391" s="172" t="str">
        <f>'09월 조업일지'!E387</f>
        <v>D</v>
      </c>
      <c r="C391" s="172" t="str">
        <f>'09월 조업일지'!F387</f>
        <v>B</v>
      </c>
      <c r="D391" s="172">
        <f>'09월 화학성분'!C388</f>
        <v>85590</v>
      </c>
      <c r="E391" s="205" t="str">
        <f t="shared" si="90"/>
        <v>A572-50-01</v>
      </c>
      <c r="F391" s="121">
        <v>20</v>
      </c>
      <c r="G391" s="122">
        <v>23500</v>
      </c>
      <c r="H391" s="123">
        <v>17</v>
      </c>
      <c r="I391" s="122">
        <v>20800</v>
      </c>
      <c r="J391" s="123">
        <v>10</v>
      </c>
      <c r="K391" s="122">
        <v>11900</v>
      </c>
      <c r="L391" s="124">
        <f t="shared" si="91"/>
        <v>47</v>
      </c>
      <c r="M391" s="125">
        <f t="shared" si="91"/>
        <v>56200</v>
      </c>
      <c r="N391" s="126">
        <f t="shared" si="78"/>
        <v>157.08556149732621</v>
      </c>
      <c r="O391" s="127">
        <f t="shared" si="79"/>
        <v>139.03743315508021</v>
      </c>
      <c r="P391" s="127">
        <f t="shared" si="80"/>
        <v>79.545454545454547</v>
      </c>
      <c r="Q391" s="128">
        <f t="shared" si="81"/>
        <v>375.66844919786098</v>
      </c>
      <c r="R391" s="129">
        <v>149.6</v>
      </c>
      <c r="S391" s="130">
        <v>0</v>
      </c>
      <c r="T391" s="131">
        <v>199</v>
      </c>
      <c r="U391" s="131">
        <v>152</v>
      </c>
      <c r="V391" s="132">
        <f t="shared" si="82"/>
        <v>351</v>
      </c>
      <c r="W391" s="133">
        <f t="shared" si="83"/>
        <v>2.3462566844919786</v>
      </c>
      <c r="X391" s="130">
        <v>1617</v>
      </c>
      <c r="Y391" s="131">
        <v>1612</v>
      </c>
      <c r="Z391" s="131">
        <v>688</v>
      </c>
      <c r="AA391" s="132">
        <f t="shared" si="84"/>
        <v>3917</v>
      </c>
      <c r="AB391" s="133">
        <f t="shared" si="85"/>
        <v>26.183155080213904</v>
      </c>
      <c r="AC391" s="134">
        <f t="shared" si="86"/>
        <v>4268</v>
      </c>
      <c r="AD391" s="135">
        <f t="shared" si="87"/>
        <v>28.529411764705884</v>
      </c>
      <c r="AE391" s="136">
        <v>25</v>
      </c>
      <c r="AF391" s="137">
        <v>28</v>
      </c>
      <c r="AG391" s="137">
        <v>0</v>
      </c>
      <c r="AH391" s="138">
        <f t="shared" si="88"/>
        <v>53</v>
      </c>
      <c r="AI391" s="133">
        <f t="shared" si="89"/>
        <v>0.35427807486631019</v>
      </c>
    </row>
    <row r="392" spans="1:35">
      <c r="A392" s="171">
        <f>IF('09월 조업일지'!A388="","",'09월 조업일지'!A388)</f>
        <v>46279</v>
      </c>
      <c r="B392" s="172" t="str">
        <f>'09월 조업일지'!E388</f>
        <v>D</v>
      </c>
      <c r="C392" s="172" t="str">
        <f>'09월 조업일지'!F388</f>
        <v>A</v>
      </c>
      <c r="D392" s="172">
        <f>'09월 화학성분'!C389</f>
        <v>85591</v>
      </c>
      <c r="E392" s="205" t="str">
        <f t="shared" si="90"/>
        <v>A572-50-01</v>
      </c>
      <c r="F392" s="121">
        <v>21</v>
      </c>
      <c r="G392" s="122">
        <v>23400</v>
      </c>
      <c r="H392" s="123">
        <v>17</v>
      </c>
      <c r="I392" s="122">
        <v>20600</v>
      </c>
      <c r="J392" s="123">
        <v>9</v>
      </c>
      <c r="K392" s="122">
        <v>10900</v>
      </c>
      <c r="L392" s="124">
        <f t="shared" si="91"/>
        <v>47</v>
      </c>
      <c r="M392" s="125">
        <f t="shared" si="91"/>
        <v>54900</v>
      </c>
      <c r="N392" s="126">
        <f t="shared" si="78"/>
        <v>155.06958250497019</v>
      </c>
      <c r="O392" s="127">
        <f t="shared" si="79"/>
        <v>136.51424784625578</v>
      </c>
      <c r="P392" s="127">
        <f t="shared" si="80"/>
        <v>72.23326706428098</v>
      </c>
      <c r="Q392" s="128">
        <f t="shared" si="81"/>
        <v>363.81709741550696</v>
      </c>
      <c r="R392" s="129">
        <v>150.9</v>
      </c>
      <c r="S392" s="130">
        <v>0</v>
      </c>
      <c r="T392" s="131">
        <v>98</v>
      </c>
      <c r="U392" s="131">
        <v>384</v>
      </c>
      <c r="V392" s="132">
        <f t="shared" si="82"/>
        <v>482</v>
      </c>
      <c r="W392" s="133">
        <f t="shared" si="83"/>
        <v>3.1941683233929754</v>
      </c>
      <c r="X392" s="130">
        <v>1680</v>
      </c>
      <c r="Y392" s="131">
        <v>1588</v>
      </c>
      <c r="Z392" s="131">
        <v>1235</v>
      </c>
      <c r="AA392" s="132">
        <f t="shared" si="84"/>
        <v>4503</v>
      </c>
      <c r="AB392" s="133">
        <f t="shared" si="85"/>
        <v>29.840954274353876</v>
      </c>
      <c r="AC392" s="134">
        <f t="shared" si="86"/>
        <v>4985</v>
      </c>
      <c r="AD392" s="135">
        <f t="shared" si="87"/>
        <v>33.035122597746849</v>
      </c>
      <c r="AE392" s="136">
        <v>32</v>
      </c>
      <c r="AF392" s="137">
        <v>28</v>
      </c>
      <c r="AG392" s="137">
        <v>15</v>
      </c>
      <c r="AH392" s="138">
        <f t="shared" si="88"/>
        <v>75</v>
      </c>
      <c r="AI392" s="133">
        <f t="shared" si="89"/>
        <v>0.49701789264413515</v>
      </c>
    </row>
    <row r="393" spans="1:35">
      <c r="A393" s="171">
        <f>IF('09월 조업일지'!A389="","",'09월 조업일지'!A389)</f>
        <v>46279</v>
      </c>
      <c r="B393" s="172" t="str">
        <f>'09월 조업일지'!E389</f>
        <v>D</v>
      </c>
      <c r="C393" s="172" t="str">
        <f>'09월 조업일지'!F389</f>
        <v>B</v>
      </c>
      <c r="D393" s="172">
        <f>'09월 화학성분'!C390</f>
        <v>85592</v>
      </c>
      <c r="E393" s="205" t="str">
        <f t="shared" si="90"/>
        <v>A572-50-01</v>
      </c>
      <c r="F393" s="121">
        <v>20</v>
      </c>
      <c r="G393" s="122">
        <v>23500</v>
      </c>
      <c r="H393" s="123">
        <v>16</v>
      </c>
      <c r="I393" s="122">
        <v>20600</v>
      </c>
      <c r="J393" s="123">
        <v>7</v>
      </c>
      <c r="K393" s="122">
        <v>8700</v>
      </c>
      <c r="L393" s="124">
        <f t="shared" si="91"/>
        <v>43</v>
      </c>
      <c r="M393" s="125">
        <f t="shared" si="91"/>
        <v>52800</v>
      </c>
      <c r="N393" s="126">
        <f t="shared" si="78"/>
        <v>158.14266487213999</v>
      </c>
      <c r="O393" s="127">
        <f t="shared" si="79"/>
        <v>138.6271870794078</v>
      </c>
      <c r="P393" s="127">
        <f t="shared" si="80"/>
        <v>58.546433378196504</v>
      </c>
      <c r="Q393" s="128">
        <f t="shared" si="81"/>
        <v>355.31628532974435</v>
      </c>
      <c r="R393" s="129">
        <v>148.6</v>
      </c>
      <c r="S393" s="130">
        <v>0</v>
      </c>
      <c r="T393" s="131">
        <v>137</v>
      </c>
      <c r="U393" s="131">
        <v>223</v>
      </c>
      <c r="V393" s="132">
        <f t="shared" si="82"/>
        <v>360</v>
      </c>
      <c r="W393" s="133">
        <f t="shared" si="83"/>
        <v>2.4226110363391657</v>
      </c>
      <c r="X393" s="130">
        <v>1634</v>
      </c>
      <c r="Y393" s="131">
        <v>1655</v>
      </c>
      <c r="Z393" s="131">
        <v>640</v>
      </c>
      <c r="AA393" s="132">
        <f t="shared" si="84"/>
        <v>3929</v>
      </c>
      <c r="AB393" s="133">
        <f t="shared" si="85"/>
        <v>26.440107671601616</v>
      </c>
      <c r="AC393" s="134">
        <f t="shared" si="86"/>
        <v>4289</v>
      </c>
      <c r="AD393" s="135">
        <f t="shared" si="87"/>
        <v>28.862718707940783</v>
      </c>
      <c r="AE393" s="136">
        <v>25</v>
      </c>
      <c r="AF393" s="137">
        <v>32</v>
      </c>
      <c r="AG393" s="137">
        <v>0</v>
      </c>
      <c r="AH393" s="138">
        <f t="shared" si="88"/>
        <v>57</v>
      </c>
      <c r="AI393" s="133">
        <f t="shared" si="89"/>
        <v>0.3835800807537012</v>
      </c>
    </row>
    <row r="394" spans="1:35">
      <c r="A394" s="171">
        <f>IF('09월 조업일지'!A390="","",'09월 조업일지'!A390)</f>
        <v>46279</v>
      </c>
      <c r="B394" s="172" t="str">
        <f>'09월 조업일지'!E390</f>
        <v>D</v>
      </c>
      <c r="C394" s="172" t="str">
        <f>'09월 조업일지'!F390</f>
        <v>A</v>
      </c>
      <c r="D394" s="172">
        <f>'09월 화학성분'!C391</f>
        <v>85593</v>
      </c>
      <c r="E394" s="205" t="str">
        <f t="shared" si="90"/>
        <v>A572-50-01</v>
      </c>
      <c r="F394" s="121">
        <v>20</v>
      </c>
      <c r="G394" s="122">
        <v>24200</v>
      </c>
      <c r="H394" s="123">
        <v>18</v>
      </c>
      <c r="I394" s="122">
        <v>20400</v>
      </c>
      <c r="J394" s="123">
        <v>9</v>
      </c>
      <c r="K394" s="122">
        <v>11000</v>
      </c>
      <c r="L394" s="124">
        <f t="shared" si="91"/>
        <v>47</v>
      </c>
      <c r="M394" s="125">
        <f t="shared" si="91"/>
        <v>55600</v>
      </c>
      <c r="N394" s="126">
        <f t="shared" si="78"/>
        <v>162.74377942165435</v>
      </c>
      <c r="O394" s="127">
        <f t="shared" si="79"/>
        <v>137.1889710827169</v>
      </c>
      <c r="P394" s="127">
        <f t="shared" si="80"/>
        <v>73.974445191661061</v>
      </c>
      <c r="Q394" s="128">
        <f t="shared" si="81"/>
        <v>373.90719569603232</v>
      </c>
      <c r="R394" s="129">
        <v>148.69999999999999</v>
      </c>
      <c r="S394" s="130">
        <v>0</v>
      </c>
      <c r="T394" s="131">
        <v>222</v>
      </c>
      <c r="U394" s="131">
        <v>131</v>
      </c>
      <c r="V394" s="132">
        <f t="shared" si="82"/>
        <v>353</v>
      </c>
      <c r="W394" s="133">
        <f t="shared" si="83"/>
        <v>2.3739071956960323</v>
      </c>
      <c r="X394" s="130">
        <v>1706</v>
      </c>
      <c r="Y394" s="131">
        <v>1630</v>
      </c>
      <c r="Z394" s="131">
        <v>668</v>
      </c>
      <c r="AA394" s="132">
        <f t="shared" si="84"/>
        <v>4004</v>
      </c>
      <c r="AB394" s="133">
        <f t="shared" si="85"/>
        <v>26.926698049764628</v>
      </c>
      <c r="AC394" s="134">
        <f t="shared" si="86"/>
        <v>4357</v>
      </c>
      <c r="AD394" s="135">
        <f t="shared" si="87"/>
        <v>29.300605245460662</v>
      </c>
      <c r="AE394" s="136">
        <v>28</v>
      </c>
      <c r="AF394" s="137">
        <v>30</v>
      </c>
      <c r="AG394" s="137">
        <v>10</v>
      </c>
      <c r="AH394" s="138">
        <f t="shared" si="88"/>
        <v>68</v>
      </c>
      <c r="AI394" s="133">
        <f t="shared" si="89"/>
        <v>0.45729657027572296</v>
      </c>
    </row>
    <row r="395" spans="1:35">
      <c r="A395" s="171">
        <f>IF('09월 조업일지'!A391="","",'09월 조업일지'!A391)</f>
        <v>46279</v>
      </c>
      <c r="B395" s="172" t="str">
        <f>'09월 조업일지'!E391</f>
        <v>D</v>
      </c>
      <c r="C395" s="172" t="str">
        <f>'09월 조업일지'!F391</f>
        <v>B</v>
      </c>
      <c r="D395" s="172">
        <f>'09월 화학성분'!C392</f>
        <v>85594</v>
      </c>
      <c r="E395" s="205" t="str">
        <f t="shared" si="90"/>
        <v>A572-50-01</v>
      </c>
      <c r="F395" s="121">
        <v>21</v>
      </c>
      <c r="G395" s="122">
        <v>23300</v>
      </c>
      <c r="H395" s="123">
        <v>17</v>
      </c>
      <c r="I395" s="122">
        <v>20600</v>
      </c>
      <c r="J395" s="123">
        <v>9</v>
      </c>
      <c r="K395" s="122">
        <v>11800</v>
      </c>
      <c r="L395" s="124">
        <f t="shared" si="91"/>
        <v>47</v>
      </c>
      <c r="M395" s="125">
        <f t="shared" si="91"/>
        <v>55700</v>
      </c>
      <c r="N395" s="126">
        <f t="shared" si="78"/>
        <v>156.58602150537632</v>
      </c>
      <c r="O395" s="127">
        <f t="shared" si="79"/>
        <v>138.44086021505376</v>
      </c>
      <c r="P395" s="127">
        <f t="shared" si="80"/>
        <v>79.3010752688172</v>
      </c>
      <c r="Q395" s="128">
        <f t="shared" si="81"/>
        <v>374.3279569892473</v>
      </c>
      <c r="R395" s="129">
        <v>148.80000000000001</v>
      </c>
      <c r="S395" s="130">
        <v>0</v>
      </c>
      <c r="T395" s="131">
        <v>171</v>
      </c>
      <c r="U395" s="131">
        <v>187</v>
      </c>
      <c r="V395" s="132">
        <f t="shared" si="82"/>
        <v>358</v>
      </c>
      <c r="W395" s="133">
        <f t="shared" si="83"/>
        <v>2.4059139784946235</v>
      </c>
      <c r="X395" s="130">
        <v>1682</v>
      </c>
      <c r="Y395" s="131">
        <v>1540</v>
      </c>
      <c r="Z395" s="131">
        <v>824</v>
      </c>
      <c r="AA395" s="132">
        <f t="shared" si="84"/>
        <v>4046</v>
      </c>
      <c r="AB395" s="133">
        <f t="shared" si="85"/>
        <v>27.19086021505376</v>
      </c>
      <c r="AC395" s="134">
        <f t="shared" si="86"/>
        <v>4404</v>
      </c>
      <c r="AD395" s="135">
        <f t="shared" si="87"/>
        <v>29.596774193548384</v>
      </c>
      <c r="AE395" s="136">
        <v>23</v>
      </c>
      <c r="AF395" s="137">
        <v>26</v>
      </c>
      <c r="AG395" s="137">
        <v>0</v>
      </c>
      <c r="AH395" s="138">
        <f t="shared" si="88"/>
        <v>49</v>
      </c>
      <c r="AI395" s="133">
        <f t="shared" si="89"/>
        <v>0.32930107526881719</v>
      </c>
    </row>
    <row r="396" spans="1:35">
      <c r="A396" s="171">
        <f>IF('09월 조업일지'!A392="","",'09월 조업일지'!A392)</f>
        <v>46279</v>
      </c>
      <c r="B396" s="172" t="str">
        <f>'09월 조업일지'!E392</f>
        <v>D</v>
      </c>
      <c r="C396" s="172" t="str">
        <f>'09월 조업일지'!F392</f>
        <v>A</v>
      </c>
      <c r="D396" s="172">
        <f>'09월 화학성분'!C393</f>
        <v>85595</v>
      </c>
      <c r="E396" s="351" t="s">
        <v>336</v>
      </c>
      <c r="F396" s="121">
        <v>19</v>
      </c>
      <c r="G396" s="122">
        <v>23300</v>
      </c>
      <c r="H396" s="123">
        <v>18</v>
      </c>
      <c r="I396" s="122">
        <v>20800</v>
      </c>
      <c r="J396" s="123">
        <v>10</v>
      </c>
      <c r="K396" s="122">
        <v>12900</v>
      </c>
      <c r="L396" s="124">
        <f t="shared" si="91"/>
        <v>47</v>
      </c>
      <c r="M396" s="125">
        <f t="shared" si="91"/>
        <v>57000</v>
      </c>
      <c r="N396" s="126">
        <f t="shared" si="78"/>
        <v>154.92021276595744</v>
      </c>
      <c r="O396" s="127">
        <f t="shared" si="79"/>
        <v>138.29787234042553</v>
      </c>
      <c r="P396" s="127">
        <f t="shared" si="80"/>
        <v>85.771276595744681</v>
      </c>
      <c r="Q396" s="128">
        <f t="shared" si="81"/>
        <v>378.98936170212767</v>
      </c>
      <c r="R396" s="129">
        <v>150.4</v>
      </c>
      <c r="S396" s="130">
        <v>0</v>
      </c>
      <c r="T396" s="131">
        <v>209</v>
      </c>
      <c r="U396" s="131">
        <v>119</v>
      </c>
      <c r="V396" s="132">
        <f t="shared" si="82"/>
        <v>328</v>
      </c>
      <c r="W396" s="133">
        <f t="shared" si="83"/>
        <v>2.1808510638297873</v>
      </c>
      <c r="X396" s="130">
        <v>1698</v>
      </c>
      <c r="Y396" s="131">
        <v>1662</v>
      </c>
      <c r="Z396" s="131">
        <v>966</v>
      </c>
      <c r="AA396" s="132">
        <f t="shared" si="84"/>
        <v>4326</v>
      </c>
      <c r="AB396" s="133">
        <f t="shared" si="85"/>
        <v>28.763297872340424</v>
      </c>
      <c r="AC396" s="134">
        <f t="shared" si="86"/>
        <v>4654</v>
      </c>
      <c r="AD396" s="135">
        <f t="shared" si="87"/>
        <v>30.944148936170212</v>
      </c>
      <c r="AE396" s="136">
        <v>26</v>
      </c>
      <c r="AF396" s="137">
        <v>23</v>
      </c>
      <c r="AG396" s="137">
        <v>0</v>
      </c>
      <c r="AH396" s="138">
        <f t="shared" si="88"/>
        <v>49</v>
      </c>
      <c r="AI396" s="133">
        <f t="shared" si="89"/>
        <v>0.32579787234042551</v>
      </c>
    </row>
    <row r="397" spans="1:35">
      <c r="A397" s="171">
        <f>IF('09월 조업일지'!A393="","",'09월 조업일지'!A393)</f>
        <v>46279</v>
      </c>
      <c r="B397" s="172" t="str">
        <f>'09월 조업일지'!E393</f>
        <v>D</v>
      </c>
      <c r="C397" s="172" t="str">
        <f>'09월 조업일지'!F393</f>
        <v>B</v>
      </c>
      <c r="D397" s="172">
        <f>'09월 화학성분'!C394</f>
        <v>85596</v>
      </c>
      <c r="E397" s="205" t="str">
        <f t="shared" si="90"/>
        <v>S355JO-01</v>
      </c>
      <c r="F397" s="121">
        <v>23</v>
      </c>
      <c r="G397" s="122">
        <v>23200</v>
      </c>
      <c r="H397" s="123">
        <v>16</v>
      </c>
      <c r="I397" s="122">
        <v>20300</v>
      </c>
      <c r="J397" s="123">
        <v>9</v>
      </c>
      <c r="K397" s="122">
        <v>11300</v>
      </c>
      <c r="L397" s="124">
        <f t="shared" si="91"/>
        <v>48</v>
      </c>
      <c r="M397" s="125">
        <f t="shared" si="91"/>
        <v>54800</v>
      </c>
      <c r="N397" s="126">
        <f t="shared" si="78"/>
        <v>155.91397849462365</v>
      </c>
      <c r="O397" s="127">
        <f t="shared" si="79"/>
        <v>136.42473118279568</v>
      </c>
      <c r="P397" s="127">
        <f t="shared" si="80"/>
        <v>75.94086021505376</v>
      </c>
      <c r="Q397" s="128">
        <f t="shared" si="81"/>
        <v>368.27956989247309</v>
      </c>
      <c r="R397" s="129">
        <v>148.80000000000001</v>
      </c>
      <c r="S397" s="130">
        <v>0</v>
      </c>
      <c r="T397" s="131">
        <v>139</v>
      </c>
      <c r="U397" s="131">
        <v>195</v>
      </c>
      <c r="V397" s="132">
        <f t="shared" si="82"/>
        <v>334</v>
      </c>
      <c r="W397" s="133">
        <f t="shared" si="83"/>
        <v>2.2446236559139785</v>
      </c>
      <c r="X397" s="130">
        <v>1800</v>
      </c>
      <c r="Y397" s="131">
        <v>1559</v>
      </c>
      <c r="Z397" s="131">
        <v>713</v>
      </c>
      <c r="AA397" s="132">
        <f t="shared" si="84"/>
        <v>4072</v>
      </c>
      <c r="AB397" s="133">
        <f t="shared" si="85"/>
        <v>27.36559139784946</v>
      </c>
      <c r="AC397" s="134">
        <f t="shared" si="86"/>
        <v>4406</v>
      </c>
      <c r="AD397" s="135">
        <f t="shared" si="87"/>
        <v>29.61021505376344</v>
      </c>
      <c r="AE397" s="136">
        <v>26</v>
      </c>
      <c r="AF397" s="137">
        <v>29</v>
      </c>
      <c r="AG397" s="137">
        <v>0</v>
      </c>
      <c r="AH397" s="138">
        <f t="shared" si="88"/>
        <v>55</v>
      </c>
      <c r="AI397" s="133">
        <f t="shared" si="89"/>
        <v>0.36962365591397844</v>
      </c>
    </row>
    <row r="398" spans="1:35">
      <c r="A398" s="171">
        <f>IF('09월 조업일지'!A394="","",'09월 조업일지'!A394)</f>
        <v>46279</v>
      </c>
      <c r="B398" s="172" t="str">
        <f>'09월 조업일지'!E394</f>
        <v>D</v>
      </c>
      <c r="C398" s="172" t="str">
        <f>'09월 조업일지'!F394</f>
        <v>A</v>
      </c>
      <c r="D398" s="172">
        <f>'09월 화학성분'!C395</f>
        <v>85597</v>
      </c>
      <c r="E398" s="205" t="str">
        <f t="shared" si="90"/>
        <v>S355JO-01</v>
      </c>
      <c r="F398" s="121">
        <v>20</v>
      </c>
      <c r="G398" s="122">
        <v>23300</v>
      </c>
      <c r="H398" s="123">
        <v>17</v>
      </c>
      <c r="I398" s="122">
        <v>20400</v>
      </c>
      <c r="J398" s="123">
        <v>8</v>
      </c>
      <c r="K398" s="122">
        <v>10900</v>
      </c>
      <c r="L398" s="124">
        <f t="shared" si="91"/>
        <v>45</v>
      </c>
      <c r="M398" s="125">
        <f t="shared" si="91"/>
        <v>54600</v>
      </c>
      <c r="N398" s="126">
        <f t="shared" ref="N398:N461" si="92">IF(ISBLANK(G398),"",G398/R398)</f>
        <v>155.54072096128169</v>
      </c>
      <c r="O398" s="127">
        <f t="shared" ref="O398:O461" si="93">IF(ISBLANK(I398),"",+I398/R398)</f>
        <v>136.18157543391186</v>
      </c>
      <c r="P398" s="127">
        <f t="shared" ref="P398:P461" si="94">IF(ISBLANK(K398),"",K398/R398)</f>
        <v>72.763684913217617</v>
      </c>
      <c r="Q398" s="128">
        <f t="shared" ref="Q398:Q461" si="95">IF(ISBLANK(K398),"",SUM(N398:P398))</f>
        <v>364.48598130841117</v>
      </c>
      <c r="R398" s="129">
        <v>149.80000000000001</v>
      </c>
      <c r="S398" s="130">
        <v>0</v>
      </c>
      <c r="T398" s="131">
        <v>176</v>
      </c>
      <c r="U398" s="131">
        <v>191</v>
      </c>
      <c r="V398" s="132">
        <f t="shared" ref="V398:V461" si="96">IF(SUM(S398:U398)=0,"",SUM(S398:U398))</f>
        <v>367</v>
      </c>
      <c r="W398" s="133">
        <f t="shared" ref="W398:W461" si="97">IF(V398="","",V398/R398)</f>
        <v>2.4499332443257673</v>
      </c>
      <c r="X398" s="130">
        <v>1739</v>
      </c>
      <c r="Y398" s="131">
        <v>1576</v>
      </c>
      <c r="Z398" s="131">
        <v>534</v>
      </c>
      <c r="AA398" s="132">
        <f t="shared" ref="AA398:AA461" si="98">IF(SUM(X398:Z398)=0,"",SUM(X398:Z398))</f>
        <v>3849</v>
      </c>
      <c r="AB398" s="133">
        <f t="shared" ref="AB398:AB461" si="99">IF(AA398="","",AA398/R398)</f>
        <v>25.694259012016019</v>
      </c>
      <c r="AC398" s="134">
        <f t="shared" ref="AC398:AC461" si="100">IF(SUM(V398,AA398)=0,"",SUM(V398,AA398))</f>
        <v>4216</v>
      </c>
      <c r="AD398" s="135">
        <f t="shared" ref="AD398:AD461" si="101">IF(AC398="","",AC398/R398)</f>
        <v>28.144192256341785</v>
      </c>
      <c r="AE398" s="136">
        <v>25</v>
      </c>
      <c r="AF398" s="137">
        <v>23</v>
      </c>
      <c r="AG398" s="137">
        <v>0</v>
      </c>
      <c r="AH398" s="138">
        <f t="shared" ref="AH398:AH461" si="102">IF(SUM(AE398:AG398)=0,"",SUM(AE398:AG398))</f>
        <v>48</v>
      </c>
      <c r="AI398" s="133">
        <f t="shared" ref="AI398:AI461" si="103">IF(AH398="","",AH398/R398)</f>
        <v>0.32042723631508674</v>
      </c>
    </row>
    <row r="399" spans="1:35">
      <c r="A399" s="171">
        <f>IF('09월 조업일지'!A395="","",'09월 조업일지'!A395)</f>
        <v>46279</v>
      </c>
      <c r="B399" s="172" t="str">
        <f>'09월 조업일지'!E395</f>
        <v>D</v>
      </c>
      <c r="C399" s="172" t="str">
        <f>'09월 조업일지'!F395</f>
        <v>B</v>
      </c>
      <c r="D399" s="172">
        <f>'09월 화학성분'!C396</f>
        <v>85598</v>
      </c>
      <c r="E399" s="205" t="str">
        <f t="shared" ref="E399:E461" si="104">IF(F399="","",E398)</f>
        <v>S355JO-01</v>
      </c>
      <c r="F399" s="121">
        <v>21</v>
      </c>
      <c r="G399" s="122">
        <v>23100</v>
      </c>
      <c r="H399" s="123">
        <v>17</v>
      </c>
      <c r="I399" s="122">
        <v>20700</v>
      </c>
      <c r="J399" s="123">
        <v>9</v>
      </c>
      <c r="K399" s="122">
        <v>12100</v>
      </c>
      <c r="L399" s="124">
        <f t="shared" si="91"/>
        <v>47</v>
      </c>
      <c r="M399" s="125">
        <f t="shared" si="91"/>
        <v>55900</v>
      </c>
      <c r="N399" s="126">
        <f t="shared" si="92"/>
        <v>155.76534052596088</v>
      </c>
      <c r="O399" s="127">
        <f t="shared" si="93"/>
        <v>139.58192852326366</v>
      </c>
      <c r="P399" s="127">
        <f t="shared" si="94"/>
        <v>81.591368846931886</v>
      </c>
      <c r="Q399" s="128">
        <f t="shared" si="95"/>
        <v>376.93863789615648</v>
      </c>
      <c r="R399" s="129">
        <v>148.30000000000001</v>
      </c>
      <c r="S399" s="130">
        <v>0</v>
      </c>
      <c r="T399" s="131">
        <v>206</v>
      </c>
      <c r="U399" s="131">
        <v>156</v>
      </c>
      <c r="V399" s="132">
        <f t="shared" si="96"/>
        <v>362</v>
      </c>
      <c r="W399" s="133">
        <f t="shared" si="97"/>
        <v>2.4409979770734993</v>
      </c>
      <c r="X399" s="130">
        <v>1712</v>
      </c>
      <c r="Y399" s="131">
        <v>1590</v>
      </c>
      <c r="Z399" s="131">
        <v>677</v>
      </c>
      <c r="AA399" s="132">
        <f t="shared" si="98"/>
        <v>3979</v>
      </c>
      <c r="AB399" s="133">
        <f t="shared" si="99"/>
        <v>26.830748482805124</v>
      </c>
      <c r="AC399" s="134">
        <f t="shared" si="100"/>
        <v>4341</v>
      </c>
      <c r="AD399" s="135">
        <f t="shared" si="101"/>
        <v>29.271746459878621</v>
      </c>
      <c r="AE399" s="136">
        <v>26</v>
      </c>
      <c r="AF399" s="137">
        <v>27</v>
      </c>
      <c r="AG399" s="137">
        <v>0</v>
      </c>
      <c r="AH399" s="138">
        <f t="shared" si="102"/>
        <v>53</v>
      </c>
      <c r="AI399" s="133">
        <f t="shared" si="103"/>
        <v>0.35738368172623058</v>
      </c>
    </row>
    <row r="400" spans="1:35">
      <c r="A400" s="171">
        <f>IF('09월 조업일지'!A396="","",'09월 조업일지'!A396)</f>
        <v>46279</v>
      </c>
      <c r="B400" s="172" t="str">
        <f>'09월 조업일지'!E396</f>
        <v>D</v>
      </c>
      <c r="C400" s="172" t="str">
        <f>'09월 조업일지'!F396</f>
        <v>A</v>
      </c>
      <c r="D400" s="172">
        <f>'09월 화학성분'!C397</f>
        <v>85599</v>
      </c>
      <c r="E400" s="205" t="str">
        <f t="shared" si="104"/>
        <v>S355JO-01</v>
      </c>
      <c r="F400" s="121">
        <v>20</v>
      </c>
      <c r="G400" s="122">
        <v>23400</v>
      </c>
      <c r="H400" s="123">
        <v>17</v>
      </c>
      <c r="I400" s="122">
        <v>20700</v>
      </c>
      <c r="J400" s="123">
        <v>9</v>
      </c>
      <c r="K400" s="122">
        <v>10900</v>
      </c>
      <c r="L400" s="124">
        <f t="shared" si="91"/>
        <v>46</v>
      </c>
      <c r="M400" s="125">
        <f t="shared" si="91"/>
        <v>55000</v>
      </c>
      <c r="N400" s="126">
        <f t="shared" si="92"/>
        <v>156.41711229946526</v>
      </c>
      <c r="O400" s="127">
        <f t="shared" si="93"/>
        <v>138.36898395721926</v>
      </c>
      <c r="P400" s="127">
        <f t="shared" si="94"/>
        <v>72.860962566844918</v>
      </c>
      <c r="Q400" s="128">
        <f t="shared" si="95"/>
        <v>367.64705882352945</v>
      </c>
      <c r="R400" s="129">
        <v>149.6</v>
      </c>
      <c r="S400" s="130">
        <v>0</v>
      </c>
      <c r="T400" s="131">
        <v>197</v>
      </c>
      <c r="U400" s="131">
        <v>137</v>
      </c>
      <c r="V400" s="132">
        <f t="shared" si="96"/>
        <v>334</v>
      </c>
      <c r="W400" s="133">
        <f t="shared" si="97"/>
        <v>2.2326203208556152</v>
      </c>
      <c r="X400" s="130">
        <v>1676</v>
      </c>
      <c r="Y400" s="131">
        <v>1583</v>
      </c>
      <c r="Z400" s="131">
        <v>783</v>
      </c>
      <c r="AA400" s="132">
        <f t="shared" si="98"/>
        <v>4042</v>
      </c>
      <c r="AB400" s="133">
        <f t="shared" si="99"/>
        <v>27.018716577540108</v>
      </c>
      <c r="AC400" s="134">
        <f t="shared" si="100"/>
        <v>4376</v>
      </c>
      <c r="AD400" s="135">
        <f t="shared" si="101"/>
        <v>29.251336898395724</v>
      </c>
      <c r="AE400" s="136">
        <v>26</v>
      </c>
      <c r="AF400" s="137">
        <v>21</v>
      </c>
      <c r="AG400" s="137">
        <v>0</v>
      </c>
      <c r="AH400" s="138">
        <f t="shared" si="102"/>
        <v>47</v>
      </c>
      <c r="AI400" s="133">
        <f t="shared" si="103"/>
        <v>0.31417112299465244</v>
      </c>
    </row>
    <row r="401" spans="1:35">
      <c r="A401" s="171">
        <f>IF('09월 조업일지'!A397="","",'09월 조업일지'!A397)</f>
        <v>46279</v>
      </c>
      <c r="B401" s="172" t="str">
        <f>'09월 조업일지'!E397</f>
        <v>A</v>
      </c>
      <c r="C401" s="172" t="str">
        <f>'09월 조업일지'!F397</f>
        <v>B</v>
      </c>
      <c r="D401" s="172">
        <f>'09월 화학성분'!C398</f>
        <v>85600</v>
      </c>
      <c r="E401" s="205" t="str">
        <f t="shared" si="104"/>
        <v>S355JO-01</v>
      </c>
      <c r="F401" s="121">
        <v>20</v>
      </c>
      <c r="G401" s="122">
        <v>23200</v>
      </c>
      <c r="H401" s="123">
        <v>17</v>
      </c>
      <c r="I401" s="122">
        <v>20700</v>
      </c>
      <c r="J401" s="123">
        <v>7</v>
      </c>
      <c r="K401" s="122">
        <v>9900</v>
      </c>
      <c r="L401" s="124">
        <f t="shared" si="91"/>
        <v>44</v>
      </c>
      <c r="M401" s="125">
        <f t="shared" si="91"/>
        <v>53800</v>
      </c>
      <c r="N401" s="126">
        <f t="shared" si="92"/>
        <v>159.23129718599864</v>
      </c>
      <c r="O401" s="127">
        <f t="shared" si="93"/>
        <v>142.07275223061086</v>
      </c>
      <c r="P401" s="127">
        <f t="shared" si="94"/>
        <v>67.947838023335621</v>
      </c>
      <c r="Q401" s="128">
        <f t="shared" si="95"/>
        <v>369.25188743994511</v>
      </c>
      <c r="R401" s="129">
        <v>145.69999999999999</v>
      </c>
      <c r="S401" s="130">
        <v>0</v>
      </c>
      <c r="T401" s="131">
        <v>144</v>
      </c>
      <c r="U401" s="131">
        <v>216</v>
      </c>
      <c r="V401" s="132">
        <f t="shared" si="96"/>
        <v>360</v>
      </c>
      <c r="W401" s="133">
        <f t="shared" si="97"/>
        <v>2.4708304735758411</v>
      </c>
      <c r="X401" s="130">
        <v>1659</v>
      </c>
      <c r="Y401" s="131">
        <v>1587</v>
      </c>
      <c r="Z401" s="131">
        <v>531</v>
      </c>
      <c r="AA401" s="132">
        <f t="shared" si="98"/>
        <v>3777</v>
      </c>
      <c r="AB401" s="133">
        <f t="shared" si="99"/>
        <v>25.923129718599863</v>
      </c>
      <c r="AC401" s="134">
        <f t="shared" si="100"/>
        <v>4137</v>
      </c>
      <c r="AD401" s="135">
        <f t="shared" si="101"/>
        <v>28.393960192175705</v>
      </c>
      <c r="AE401" s="136">
        <v>23</v>
      </c>
      <c r="AF401" s="137">
        <v>26</v>
      </c>
      <c r="AG401" s="137">
        <v>0</v>
      </c>
      <c r="AH401" s="138">
        <f t="shared" si="102"/>
        <v>49</v>
      </c>
      <c r="AI401" s="133">
        <f t="shared" si="103"/>
        <v>0.33630748112560055</v>
      </c>
    </row>
    <row r="402" spans="1:35">
      <c r="A402" s="171">
        <f>IF('09월 조업일지'!A398="","",'09월 조업일지'!A398)</f>
        <v>46279</v>
      </c>
      <c r="B402" s="172" t="str">
        <f>'09월 조업일지'!E398</f>
        <v>A</v>
      </c>
      <c r="C402" s="172" t="str">
        <f>'09월 조업일지'!F398</f>
        <v>A</v>
      </c>
      <c r="D402" s="172">
        <f>'09월 화학성분'!C399</f>
        <v>85601</v>
      </c>
      <c r="E402" s="205" t="str">
        <f t="shared" si="104"/>
        <v>S355JO-01</v>
      </c>
      <c r="F402" s="121">
        <v>21</v>
      </c>
      <c r="G402" s="122">
        <v>23400</v>
      </c>
      <c r="H402" s="123">
        <v>17</v>
      </c>
      <c r="I402" s="122">
        <v>20800</v>
      </c>
      <c r="J402" s="123">
        <v>7</v>
      </c>
      <c r="K402" s="122">
        <v>8600</v>
      </c>
      <c r="L402" s="124">
        <f t="shared" si="91"/>
        <v>45</v>
      </c>
      <c r="M402" s="125">
        <f t="shared" si="91"/>
        <v>52800</v>
      </c>
      <c r="N402" s="126">
        <f t="shared" si="92"/>
        <v>159.72696245733789</v>
      </c>
      <c r="O402" s="127">
        <f t="shared" si="93"/>
        <v>141.97952218430035</v>
      </c>
      <c r="P402" s="127">
        <f t="shared" si="94"/>
        <v>58.703071672354952</v>
      </c>
      <c r="Q402" s="128">
        <f t="shared" si="95"/>
        <v>360.40955631399316</v>
      </c>
      <c r="R402" s="129">
        <v>146.5</v>
      </c>
      <c r="S402" s="130">
        <v>0</v>
      </c>
      <c r="T402" s="131">
        <v>206</v>
      </c>
      <c r="U402" s="131">
        <v>207</v>
      </c>
      <c r="V402" s="132">
        <f t="shared" si="96"/>
        <v>413</v>
      </c>
      <c r="W402" s="133">
        <f t="shared" si="97"/>
        <v>2.8191126279863483</v>
      </c>
      <c r="X402" s="130">
        <v>1718</v>
      </c>
      <c r="Y402" s="131">
        <v>1601</v>
      </c>
      <c r="Z402" s="131">
        <v>1019</v>
      </c>
      <c r="AA402" s="132">
        <f t="shared" si="98"/>
        <v>4338</v>
      </c>
      <c r="AB402" s="133">
        <f t="shared" si="99"/>
        <v>29.610921501706486</v>
      </c>
      <c r="AC402" s="134">
        <f t="shared" si="100"/>
        <v>4751</v>
      </c>
      <c r="AD402" s="135">
        <f t="shared" si="101"/>
        <v>32.430034129692835</v>
      </c>
      <c r="AE402" s="136">
        <v>26</v>
      </c>
      <c r="AF402" s="137">
        <v>20</v>
      </c>
      <c r="AG402" s="137">
        <v>0</v>
      </c>
      <c r="AH402" s="138">
        <f t="shared" si="102"/>
        <v>46</v>
      </c>
      <c r="AI402" s="133">
        <f t="shared" si="103"/>
        <v>0.31399317406143346</v>
      </c>
    </row>
    <row r="403" spans="1:35">
      <c r="A403" s="171">
        <f>IF('09월 조업일지'!A399="","",'09월 조업일지'!A399)</f>
        <v>46279</v>
      </c>
      <c r="B403" s="172" t="str">
        <f>'09월 조업일지'!E399</f>
        <v>A</v>
      </c>
      <c r="C403" s="172" t="str">
        <f>'09월 조업일지'!F399</f>
        <v>B</v>
      </c>
      <c r="D403" s="172">
        <f>'09월 화학성분'!C400</f>
        <v>85602</v>
      </c>
      <c r="E403" s="205" t="str">
        <f t="shared" si="104"/>
        <v>S355JO-01</v>
      </c>
      <c r="F403" s="121">
        <v>21</v>
      </c>
      <c r="G403" s="122">
        <v>23200</v>
      </c>
      <c r="H403" s="123">
        <v>17</v>
      </c>
      <c r="I403" s="122">
        <v>20700</v>
      </c>
      <c r="J403" s="123">
        <v>9</v>
      </c>
      <c r="K403" s="122">
        <v>11300</v>
      </c>
      <c r="L403" s="124">
        <f t="shared" si="91"/>
        <v>47</v>
      </c>
      <c r="M403" s="125">
        <f t="shared" si="91"/>
        <v>55200</v>
      </c>
      <c r="N403" s="126">
        <f t="shared" si="92"/>
        <v>158.36177474402731</v>
      </c>
      <c r="O403" s="127">
        <f t="shared" si="93"/>
        <v>141.29692832764505</v>
      </c>
      <c r="P403" s="127">
        <f t="shared" si="94"/>
        <v>77.13310580204778</v>
      </c>
      <c r="Q403" s="128">
        <f t="shared" si="95"/>
        <v>376.79180887372013</v>
      </c>
      <c r="R403" s="129">
        <v>146.5</v>
      </c>
      <c r="S403" s="130">
        <v>0</v>
      </c>
      <c r="T403" s="131">
        <v>158</v>
      </c>
      <c r="U403" s="131">
        <v>212</v>
      </c>
      <c r="V403" s="132">
        <f t="shared" si="96"/>
        <v>370</v>
      </c>
      <c r="W403" s="133">
        <f t="shared" si="97"/>
        <v>2.5255972696245732</v>
      </c>
      <c r="X403" s="130">
        <v>1597</v>
      </c>
      <c r="Y403" s="131">
        <v>1703</v>
      </c>
      <c r="Z403" s="131">
        <v>936</v>
      </c>
      <c r="AA403" s="132">
        <f t="shared" si="98"/>
        <v>4236</v>
      </c>
      <c r="AB403" s="133">
        <f t="shared" si="99"/>
        <v>28.914675767918087</v>
      </c>
      <c r="AC403" s="134">
        <f t="shared" si="100"/>
        <v>4606</v>
      </c>
      <c r="AD403" s="135">
        <f t="shared" si="101"/>
        <v>31.440273037542664</v>
      </c>
      <c r="AE403" s="136">
        <v>24</v>
      </c>
      <c r="AF403" s="137">
        <v>28</v>
      </c>
      <c r="AG403" s="137">
        <v>0</v>
      </c>
      <c r="AH403" s="138">
        <f t="shared" si="102"/>
        <v>52</v>
      </c>
      <c r="AI403" s="133">
        <f t="shared" si="103"/>
        <v>0.35494880546075086</v>
      </c>
    </row>
    <row r="404" spans="1:35">
      <c r="A404" s="171">
        <f>IF('09월 조업일지'!A400="","",'09월 조업일지'!A400)</f>
        <v>46279</v>
      </c>
      <c r="B404" s="172" t="str">
        <f>'09월 조업일지'!E400</f>
        <v>A</v>
      </c>
      <c r="C404" s="172" t="str">
        <f>'09월 조업일지'!F400</f>
        <v>A</v>
      </c>
      <c r="D404" s="172">
        <f>'09월 화학성분'!C401</f>
        <v>85603</v>
      </c>
      <c r="E404" s="205" t="str">
        <f t="shared" si="104"/>
        <v>S355JO-01</v>
      </c>
      <c r="F404" s="121">
        <v>20</v>
      </c>
      <c r="G404" s="122">
        <v>23700</v>
      </c>
      <c r="H404" s="123">
        <v>18</v>
      </c>
      <c r="I404" s="122">
        <v>20900</v>
      </c>
      <c r="J404" s="123">
        <v>10</v>
      </c>
      <c r="K404" s="122">
        <v>13300</v>
      </c>
      <c r="L404" s="124">
        <f t="shared" si="91"/>
        <v>48</v>
      </c>
      <c r="M404" s="125">
        <f t="shared" si="91"/>
        <v>57900</v>
      </c>
      <c r="N404" s="126">
        <f t="shared" si="92"/>
        <v>161.66439290586632</v>
      </c>
      <c r="O404" s="127">
        <f t="shared" si="93"/>
        <v>142.56480218281038</v>
      </c>
      <c r="P404" s="127">
        <f t="shared" si="94"/>
        <v>90.723055934515699</v>
      </c>
      <c r="Q404" s="128">
        <f t="shared" si="95"/>
        <v>394.95225102319239</v>
      </c>
      <c r="R404" s="129">
        <v>146.6</v>
      </c>
      <c r="S404" s="130">
        <v>0</v>
      </c>
      <c r="T404" s="131">
        <v>263</v>
      </c>
      <c r="U404" s="131">
        <v>44</v>
      </c>
      <c r="V404" s="132">
        <f t="shared" si="96"/>
        <v>307</v>
      </c>
      <c r="W404" s="133">
        <f t="shared" si="97"/>
        <v>2.0941336971350615</v>
      </c>
      <c r="X404" s="130">
        <v>1692</v>
      </c>
      <c r="Y404" s="131">
        <v>1624</v>
      </c>
      <c r="Z404" s="131">
        <v>1097</v>
      </c>
      <c r="AA404" s="132">
        <f t="shared" si="98"/>
        <v>4413</v>
      </c>
      <c r="AB404" s="133">
        <f t="shared" si="99"/>
        <v>30.10231923601637</v>
      </c>
      <c r="AC404" s="134">
        <f t="shared" si="100"/>
        <v>4720</v>
      </c>
      <c r="AD404" s="135">
        <f t="shared" si="101"/>
        <v>32.196452933151434</v>
      </c>
      <c r="AE404" s="136">
        <v>26</v>
      </c>
      <c r="AF404" s="137">
        <v>20</v>
      </c>
      <c r="AG404" s="137">
        <v>0</v>
      </c>
      <c r="AH404" s="138">
        <f t="shared" si="102"/>
        <v>46</v>
      </c>
      <c r="AI404" s="133">
        <f t="shared" si="103"/>
        <v>0.31377899045020463</v>
      </c>
    </row>
    <row r="405" spans="1:35">
      <c r="A405" s="171">
        <f>IF('09월 조업일지'!A401="","",'09월 조업일지'!A401)</f>
        <v>46279</v>
      </c>
      <c r="B405" s="172" t="str">
        <f>'09월 조업일지'!E401</f>
        <v>A</v>
      </c>
      <c r="C405" s="172" t="str">
        <f>'09월 조업일지'!F401</f>
        <v>B</v>
      </c>
      <c r="D405" s="172">
        <f>'09월 화학성분'!C402</f>
        <v>85604</v>
      </c>
      <c r="E405" s="205" t="str">
        <f t="shared" si="104"/>
        <v>S355JO-01</v>
      </c>
      <c r="F405" s="121">
        <v>20</v>
      </c>
      <c r="G405" s="122">
        <v>23600</v>
      </c>
      <c r="H405" s="123">
        <v>18</v>
      </c>
      <c r="I405" s="122">
        <v>20800</v>
      </c>
      <c r="J405" s="123">
        <v>8</v>
      </c>
      <c r="K405" s="122">
        <v>9900</v>
      </c>
      <c r="L405" s="124">
        <f t="shared" si="91"/>
        <v>46</v>
      </c>
      <c r="M405" s="125">
        <f t="shared" si="91"/>
        <v>54300</v>
      </c>
      <c r="N405" s="126">
        <f t="shared" si="92"/>
        <v>161.53319644079397</v>
      </c>
      <c r="O405" s="127">
        <f t="shared" si="93"/>
        <v>142.36824093086926</v>
      </c>
      <c r="P405" s="127">
        <f t="shared" si="94"/>
        <v>67.761806981519513</v>
      </c>
      <c r="Q405" s="128">
        <f t="shared" si="95"/>
        <v>371.66324435318273</v>
      </c>
      <c r="R405" s="129">
        <v>146.1</v>
      </c>
      <c r="S405" s="130">
        <v>0</v>
      </c>
      <c r="T405" s="131">
        <v>188</v>
      </c>
      <c r="U405" s="131">
        <v>117</v>
      </c>
      <c r="V405" s="132">
        <f t="shared" si="96"/>
        <v>305</v>
      </c>
      <c r="W405" s="133">
        <f t="shared" si="97"/>
        <v>2.0876112251882275</v>
      </c>
      <c r="X405" s="130">
        <v>1634</v>
      </c>
      <c r="Y405" s="131">
        <v>1678</v>
      </c>
      <c r="Z405" s="131">
        <v>765</v>
      </c>
      <c r="AA405" s="132">
        <f t="shared" si="98"/>
        <v>4077</v>
      </c>
      <c r="AB405" s="133">
        <f t="shared" si="99"/>
        <v>27.905544147843944</v>
      </c>
      <c r="AC405" s="134">
        <f t="shared" si="100"/>
        <v>4382</v>
      </c>
      <c r="AD405" s="135">
        <f t="shared" si="101"/>
        <v>29.99315537303217</v>
      </c>
      <c r="AE405" s="136">
        <v>21</v>
      </c>
      <c r="AF405" s="137">
        <v>31</v>
      </c>
      <c r="AG405" s="137">
        <v>0</v>
      </c>
      <c r="AH405" s="138">
        <f t="shared" si="102"/>
        <v>52</v>
      </c>
      <c r="AI405" s="133">
        <f t="shared" si="103"/>
        <v>0.35592060232717321</v>
      </c>
    </row>
    <row r="406" spans="1:35">
      <c r="A406" s="171">
        <f>IF('09월 조업일지'!A402="","",'09월 조업일지'!A402)</f>
        <v>46279</v>
      </c>
      <c r="B406" s="172" t="str">
        <f>'09월 조업일지'!E402</f>
        <v>A</v>
      </c>
      <c r="C406" s="172" t="str">
        <f>'09월 조업일지'!F402</f>
        <v>A</v>
      </c>
      <c r="D406" s="172">
        <f>'09월 화학성분'!C403</f>
        <v>85605</v>
      </c>
      <c r="E406" s="205" t="str">
        <f t="shared" si="104"/>
        <v>S355JO-01</v>
      </c>
      <c r="F406" s="121">
        <v>21</v>
      </c>
      <c r="G406" s="122">
        <v>23700</v>
      </c>
      <c r="H406" s="123">
        <v>17</v>
      </c>
      <c r="I406" s="122">
        <v>20500</v>
      </c>
      <c r="J406" s="123">
        <v>14</v>
      </c>
      <c r="K406" s="122">
        <v>17000</v>
      </c>
      <c r="L406" s="124">
        <f t="shared" si="91"/>
        <v>52</v>
      </c>
      <c r="M406" s="125">
        <f t="shared" si="91"/>
        <v>61200</v>
      </c>
      <c r="N406" s="126">
        <f t="shared" si="92"/>
        <v>159.27419354838707</v>
      </c>
      <c r="O406" s="127">
        <f t="shared" si="93"/>
        <v>137.76881720430106</v>
      </c>
      <c r="P406" s="127">
        <f t="shared" si="94"/>
        <v>114.24731182795698</v>
      </c>
      <c r="Q406" s="128">
        <f t="shared" si="95"/>
        <v>411.29032258064512</v>
      </c>
      <c r="R406" s="129">
        <v>148.80000000000001</v>
      </c>
      <c r="S406" s="130">
        <v>0</v>
      </c>
      <c r="T406" s="131">
        <v>70</v>
      </c>
      <c r="U406" s="131">
        <v>257</v>
      </c>
      <c r="V406" s="132">
        <f t="shared" si="96"/>
        <v>327</v>
      </c>
      <c r="W406" s="133">
        <f t="shared" si="97"/>
        <v>2.19758064516129</v>
      </c>
      <c r="X406" s="130">
        <v>1667</v>
      </c>
      <c r="Y406" s="131">
        <v>1585</v>
      </c>
      <c r="Z406" s="131">
        <v>1556</v>
      </c>
      <c r="AA406" s="132">
        <f t="shared" si="98"/>
        <v>4808</v>
      </c>
      <c r="AB406" s="133">
        <f t="shared" si="99"/>
        <v>32.311827956989248</v>
      </c>
      <c r="AC406" s="134">
        <f t="shared" si="100"/>
        <v>5135</v>
      </c>
      <c r="AD406" s="135">
        <f t="shared" si="101"/>
        <v>34.509408602150536</v>
      </c>
      <c r="AE406" s="136">
        <v>26</v>
      </c>
      <c r="AF406" s="137">
        <v>20</v>
      </c>
      <c r="AG406" s="137">
        <v>0</v>
      </c>
      <c r="AH406" s="138">
        <f t="shared" si="102"/>
        <v>46</v>
      </c>
      <c r="AI406" s="133">
        <f t="shared" si="103"/>
        <v>0.30913978494623656</v>
      </c>
    </row>
    <row r="407" spans="1:35">
      <c r="A407" s="171">
        <f>IF('09월 조업일지'!A403="","",'09월 조업일지'!A403)</f>
        <v>46279</v>
      </c>
      <c r="B407" s="172" t="str">
        <f>'09월 조업일지'!E403</f>
        <v>A</v>
      </c>
      <c r="C407" s="172" t="str">
        <f>'09월 조업일지'!F403</f>
        <v>B</v>
      </c>
      <c r="D407" s="172">
        <f>'09월 화학성분'!C404</f>
        <v>85606</v>
      </c>
      <c r="E407" s="205" t="str">
        <f t="shared" si="104"/>
        <v>S355JO-01</v>
      </c>
      <c r="F407" s="121">
        <v>20</v>
      </c>
      <c r="G407" s="122">
        <v>23300</v>
      </c>
      <c r="H407" s="123">
        <v>17</v>
      </c>
      <c r="I407" s="122">
        <v>20700</v>
      </c>
      <c r="J407" s="123">
        <v>9</v>
      </c>
      <c r="K407" s="122">
        <v>11500</v>
      </c>
      <c r="L407" s="124">
        <f t="shared" si="91"/>
        <v>46</v>
      </c>
      <c r="M407" s="125">
        <f t="shared" si="91"/>
        <v>55500</v>
      </c>
      <c r="N407" s="126">
        <f t="shared" si="92"/>
        <v>159.69842357779299</v>
      </c>
      <c r="O407" s="127">
        <f t="shared" si="93"/>
        <v>141.87799862919809</v>
      </c>
      <c r="P407" s="127">
        <f t="shared" si="94"/>
        <v>78.821110349554488</v>
      </c>
      <c r="Q407" s="128">
        <f t="shared" si="95"/>
        <v>380.39753255654557</v>
      </c>
      <c r="R407" s="129">
        <v>145.9</v>
      </c>
      <c r="S407" s="130">
        <v>0</v>
      </c>
      <c r="T407" s="131">
        <v>183</v>
      </c>
      <c r="U407" s="131">
        <v>155</v>
      </c>
      <c r="V407" s="132">
        <f t="shared" si="96"/>
        <v>338</v>
      </c>
      <c r="W407" s="133">
        <f t="shared" si="97"/>
        <v>2.3166552433173404</v>
      </c>
      <c r="X407" s="130">
        <v>1594</v>
      </c>
      <c r="Y407" s="131">
        <v>1590</v>
      </c>
      <c r="Z407" s="131">
        <v>683</v>
      </c>
      <c r="AA407" s="132">
        <f t="shared" si="98"/>
        <v>3867</v>
      </c>
      <c r="AB407" s="133">
        <f t="shared" si="99"/>
        <v>26.504455106237149</v>
      </c>
      <c r="AC407" s="134">
        <f t="shared" si="100"/>
        <v>4205</v>
      </c>
      <c r="AD407" s="135">
        <f t="shared" si="101"/>
        <v>28.821110349554488</v>
      </c>
      <c r="AE407" s="136">
        <v>25</v>
      </c>
      <c r="AF407" s="137">
        <v>26</v>
      </c>
      <c r="AG407" s="137">
        <v>0</v>
      </c>
      <c r="AH407" s="138">
        <f t="shared" si="102"/>
        <v>51</v>
      </c>
      <c r="AI407" s="133">
        <f t="shared" si="103"/>
        <v>0.34955448937628514</v>
      </c>
    </row>
    <row r="408" spans="1:35">
      <c r="A408" s="171">
        <f>IF('09월 조업일지'!A404="","",'09월 조업일지'!A404)</f>
        <v>46279</v>
      </c>
      <c r="B408" s="172" t="str">
        <f>'09월 조업일지'!E404</f>
        <v>A</v>
      </c>
      <c r="C408" s="172" t="str">
        <f>'09월 조업일지'!F404</f>
        <v>A</v>
      </c>
      <c r="D408" s="172">
        <f>'09월 화학성분'!C405</f>
        <v>85607</v>
      </c>
      <c r="E408" s="205" t="str">
        <f t="shared" si="104"/>
        <v>S355JO-01</v>
      </c>
      <c r="F408" s="121">
        <v>21</v>
      </c>
      <c r="G408" s="122">
        <v>23300</v>
      </c>
      <c r="H408" s="123">
        <v>17</v>
      </c>
      <c r="I408" s="122">
        <v>20400</v>
      </c>
      <c r="J408" s="123">
        <v>14</v>
      </c>
      <c r="K408" s="122">
        <v>17600</v>
      </c>
      <c r="L408" s="124">
        <f t="shared" si="91"/>
        <v>52</v>
      </c>
      <c r="M408" s="125">
        <f t="shared" si="91"/>
        <v>61300</v>
      </c>
      <c r="N408" s="126">
        <f t="shared" si="92"/>
        <v>158.28804347826087</v>
      </c>
      <c r="O408" s="127">
        <f t="shared" si="93"/>
        <v>138.58695652173915</v>
      </c>
      <c r="P408" s="127">
        <f t="shared" si="94"/>
        <v>119.56521739130436</v>
      </c>
      <c r="Q408" s="128">
        <f t="shared" si="95"/>
        <v>416.44021739130437</v>
      </c>
      <c r="R408" s="129">
        <v>147.19999999999999</v>
      </c>
      <c r="S408" s="130">
        <v>0</v>
      </c>
      <c r="T408" s="131">
        <v>129</v>
      </c>
      <c r="U408" s="131">
        <v>277</v>
      </c>
      <c r="V408" s="132">
        <f t="shared" si="96"/>
        <v>406</v>
      </c>
      <c r="W408" s="133">
        <f t="shared" si="97"/>
        <v>2.7581521739130439</v>
      </c>
      <c r="X408" s="130">
        <v>1717</v>
      </c>
      <c r="Y408" s="131">
        <v>1590</v>
      </c>
      <c r="Z408" s="131">
        <v>1781</v>
      </c>
      <c r="AA408" s="132">
        <f t="shared" si="98"/>
        <v>5088</v>
      </c>
      <c r="AB408" s="133">
        <f t="shared" si="99"/>
        <v>34.565217391304351</v>
      </c>
      <c r="AC408" s="134">
        <f t="shared" si="100"/>
        <v>5494</v>
      </c>
      <c r="AD408" s="135">
        <f t="shared" si="101"/>
        <v>37.323369565217391</v>
      </c>
      <c r="AE408" s="136">
        <v>25</v>
      </c>
      <c r="AF408" s="137">
        <v>21</v>
      </c>
      <c r="AG408" s="137">
        <v>0</v>
      </c>
      <c r="AH408" s="138">
        <f t="shared" si="102"/>
        <v>46</v>
      </c>
      <c r="AI408" s="133">
        <f t="shared" si="103"/>
        <v>0.3125</v>
      </c>
    </row>
    <row r="409" spans="1:35">
      <c r="A409" s="171">
        <f>IF('09월 조업일지'!A405="","",'09월 조업일지'!A405)</f>
        <v>46279</v>
      </c>
      <c r="B409" s="172" t="str">
        <f>'09월 조업일지'!E405</f>
        <v>A</v>
      </c>
      <c r="C409" s="172" t="str">
        <f>'09월 조업일지'!F405</f>
        <v>B</v>
      </c>
      <c r="D409" s="172">
        <f>'09월 화학성분'!C406</f>
        <v>85608</v>
      </c>
      <c r="E409" s="205" t="str">
        <f t="shared" si="104"/>
        <v>S355JO-01</v>
      </c>
      <c r="F409" s="121">
        <v>20</v>
      </c>
      <c r="G409" s="122">
        <v>23600</v>
      </c>
      <c r="H409" s="123">
        <v>17</v>
      </c>
      <c r="I409" s="122">
        <v>20800</v>
      </c>
      <c r="J409" s="123">
        <v>6</v>
      </c>
      <c r="K409" s="122">
        <v>8700</v>
      </c>
      <c r="L409" s="124">
        <f t="shared" ref="L409:M472" si="105">IF(ISBLANK(F409),"",SUM(F409,H409,J409))</f>
        <v>43</v>
      </c>
      <c r="M409" s="125">
        <f t="shared" si="105"/>
        <v>53100</v>
      </c>
      <c r="N409" s="126">
        <f t="shared" si="92"/>
        <v>161.31237183868762</v>
      </c>
      <c r="O409" s="127">
        <f t="shared" si="93"/>
        <v>142.17361585782638</v>
      </c>
      <c r="P409" s="127">
        <f t="shared" si="94"/>
        <v>59.466848940533147</v>
      </c>
      <c r="Q409" s="128">
        <f t="shared" si="95"/>
        <v>362.9528366370472</v>
      </c>
      <c r="R409" s="129">
        <v>146.30000000000001</v>
      </c>
      <c r="S409" s="130">
        <v>0</v>
      </c>
      <c r="T409" s="131">
        <v>188</v>
      </c>
      <c r="U409" s="131">
        <v>170</v>
      </c>
      <c r="V409" s="132">
        <f t="shared" si="96"/>
        <v>358</v>
      </c>
      <c r="W409" s="133">
        <f t="shared" si="97"/>
        <v>2.4470266575529731</v>
      </c>
      <c r="X409" s="130">
        <v>1658</v>
      </c>
      <c r="Y409" s="131">
        <v>1564</v>
      </c>
      <c r="Z409" s="131">
        <v>768</v>
      </c>
      <c r="AA409" s="132">
        <f t="shared" si="98"/>
        <v>3990</v>
      </c>
      <c r="AB409" s="133">
        <f t="shared" si="99"/>
        <v>27.27272727272727</v>
      </c>
      <c r="AC409" s="134">
        <f t="shared" si="100"/>
        <v>4348</v>
      </c>
      <c r="AD409" s="135">
        <f t="shared" si="101"/>
        <v>29.719753930280245</v>
      </c>
      <c r="AE409" s="136">
        <v>25</v>
      </c>
      <c r="AF409" s="137">
        <v>24</v>
      </c>
      <c r="AG409" s="137">
        <v>0</v>
      </c>
      <c r="AH409" s="138">
        <f t="shared" si="102"/>
        <v>49</v>
      </c>
      <c r="AI409" s="133">
        <f t="shared" si="103"/>
        <v>0.33492822966507174</v>
      </c>
    </row>
    <row r="410" spans="1:35">
      <c r="A410" s="171">
        <f>IF('09월 조업일지'!A406="","",'09월 조업일지'!A406)</f>
        <v>46279</v>
      </c>
      <c r="B410" s="172" t="str">
        <f>'09월 조업일지'!E406</f>
        <v>A</v>
      </c>
      <c r="C410" s="172" t="str">
        <f>'09월 조업일지'!F406</f>
        <v>A</v>
      </c>
      <c r="D410" s="172">
        <f>'09월 화학성분'!C407</f>
        <v>85609</v>
      </c>
      <c r="E410" s="205" t="str">
        <f t="shared" si="104"/>
        <v>S355JO-01</v>
      </c>
      <c r="F410" s="121">
        <v>20</v>
      </c>
      <c r="G410" s="122">
        <v>23300</v>
      </c>
      <c r="H410" s="123">
        <v>17</v>
      </c>
      <c r="I410" s="122">
        <v>20500</v>
      </c>
      <c r="J410" s="123">
        <v>8</v>
      </c>
      <c r="K410" s="122">
        <v>10500</v>
      </c>
      <c r="L410" s="124">
        <f t="shared" si="105"/>
        <v>45</v>
      </c>
      <c r="M410" s="125">
        <f t="shared" si="105"/>
        <v>54300</v>
      </c>
      <c r="N410" s="126">
        <f t="shared" si="92"/>
        <v>159.2617908407382</v>
      </c>
      <c r="O410" s="127">
        <f t="shared" si="93"/>
        <v>140.12303485987695</v>
      </c>
      <c r="P410" s="127">
        <f t="shared" si="94"/>
        <v>71.770334928229659</v>
      </c>
      <c r="Q410" s="128">
        <f t="shared" si="95"/>
        <v>371.15516062884478</v>
      </c>
      <c r="R410" s="129">
        <v>146.30000000000001</v>
      </c>
      <c r="S410" s="130">
        <v>0</v>
      </c>
      <c r="T410" s="131">
        <v>120</v>
      </c>
      <c r="U410" s="131">
        <v>260</v>
      </c>
      <c r="V410" s="132">
        <f t="shared" si="96"/>
        <v>380</v>
      </c>
      <c r="W410" s="133">
        <f t="shared" si="97"/>
        <v>2.5974025974025974</v>
      </c>
      <c r="X410" s="130">
        <v>1660</v>
      </c>
      <c r="Y410" s="131">
        <v>1601</v>
      </c>
      <c r="Z410" s="131">
        <v>1013</v>
      </c>
      <c r="AA410" s="132">
        <f t="shared" si="98"/>
        <v>4274</v>
      </c>
      <c r="AB410" s="133">
        <f t="shared" si="99"/>
        <v>29.213943950786053</v>
      </c>
      <c r="AC410" s="134">
        <f t="shared" si="100"/>
        <v>4654</v>
      </c>
      <c r="AD410" s="135">
        <f t="shared" si="101"/>
        <v>31.811346548188652</v>
      </c>
      <c r="AE410" s="136">
        <v>26</v>
      </c>
      <c r="AF410" s="137">
        <v>21</v>
      </c>
      <c r="AG410" s="137">
        <v>0</v>
      </c>
      <c r="AH410" s="138">
        <f t="shared" si="102"/>
        <v>47</v>
      </c>
      <c r="AI410" s="133">
        <f t="shared" si="103"/>
        <v>0.3212576896787423</v>
      </c>
    </row>
    <row r="411" spans="1:35">
      <c r="A411" s="171">
        <f>IF('09월 조업일지'!A407="","",'09월 조업일지'!A407)</f>
        <v>46279</v>
      </c>
      <c r="B411" s="172" t="str">
        <f>'09월 조업일지'!E407</f>
        <v>A</v>
      </c>
      <c r="C411" s="172" t="str">
        <f>'09월 조업일지'!F407</f>
        <v>B</v>
      </c>
      <c r="D411" s="172">
        <f>'09월 화학성분'!C408</f>
        <v>85610</v>
      </c>
      <c r="E411" s="205" t="str">
        <f t="shared" si="104"/>
        <v>S355JO-01</v>
      </c>
      <c r="F411" s="121">
        <v>21</v>
      </c>
      <c r="G411" s="122">
        <v>23500</v>
      </c>
      <c r="H411" s="123">
        <v>17</v>
      </c>
      <c r="I411" s="122">
        <v>20800</v>
      </c>
      <c r="J411" s="123">
        <v>7</v>
      </c>
      <c r="K411" s="122">
        <v>8700</v>
      </c>
      <c r="L411" s="124">
        <f t="shared" si="105"/>
        <v>45</v>
      </c>
      <c r="M411" s="125">
        <f t="shared" si="105"/>
        <v>53000</v>
      </c>
      <c r="N411" s="126">
        <f t="shared" si="92"/>
        <v>160.95890410958904</v>
      </c>
      <c r="O411" s="127">
        <f t="shared" si="93"/>
        <v>142.46575342465752</v>
      </c>
      <c r="P411" s="127">
        <f t="shared" si="94"/>
        <v>59.589041095890408</v>
      </c>
      <c r="Q411" s="128">
        <f t="shared" si="95"/>
        <v>363.01369863013696</v>
      </c>
      <c r="R411" s="129">
        <v>146</v>
      </c>
      <c r="S411" s="130">
        <v>0</v>
      </c>
      <c r="T411" s="131">
        <v>178</v>
      </c>
      <c r="U411" s="131">
        <v>141</v>
      </c>
      <c r="V411" s="132">
        <f t="shared" si="96"/>
        <v>319</v>
      </c>
      <c r="W411" s="133">
        <f t="shared" si="97"/>
        <v>2.1849315068493151</v>
      </c>
      <c r="X411" s="130">
        <v>1684</v>
      </c>
      <c r="Y411" s="131">
        <v>1611</v>
      </c>
      <c r="Z411" s="131">
        <v>734</v>
      </c>
      <c r="AA411" s="132">
        <f t="shared" si="98"/>
        <v>4029</v>
      </c>
      <c r="AB411" s="133">
        <f t="shared" si="99"/>
        <v>27.595890410958905</v>
      </c>
      <c r="AC411" s="134">
        <f t="shared" si="100"/>
        <v>4348</v>
      </c>
      <c r="AD411" s="135">
        <f t="shared" si="101"/>
        <v>29.780821917808218</v>
      </c>
      <c r="AE411" s="136">
        <v>25</v>
      </c>
      <c r="AF411" s="137">
        <v>25</v>
      </c>
      <c r="AG411" s="137">
        <v>0</v>
      </c>
      <c r="AH411" s="138">
        <f t="shared" si="102"/>
        <v>50</v>
      </c>
      <c r="AI411" s="133">
        <f t="shared" si="103"/>
        <v>0.34246575342465752</v>
      </c>
    </row>
    <row r="412" spans="1:35">
      <c r="A412" s="171">
        <f>IF('09월 조업일지'!A408="","",'09월 조업일지'!A408)</f>
        <v>46279</v>
      </c>
      <c r="B412" s="172" t="str">
        <f>'09월 조업일지'!E408</f>
        <v>C</v>
      </c>
      <c r="C412" s="172" t="str">
        <f>'09월 조업일지'!F408</f>
        <v>A</v>
      </c>
      <c r="D412" s="172">
        <f>'09월 화학성분'!C409</f>
        <v>85611</v>
      </c>
      <c r="E412" s="205" t="str">
        <f t="shared" si="104"/>
        <v>S355JO-01</v>
      </c>
      <c r="F412" s="121">
        <v>20</v>
      </c>
      <c r="G412" s="122">
        <v>23500</v>
      </c>
      <c r="H412" s="123">
        <v>18</v>
      </c>
      <c r="I412" s="122">
        <v>20500</v>
      </c>
      <c r="J412" s="123">
        <v>9</v>
      </c>
      <c r="K412" s="122">
        <v>11600</v>
      </c>
      <c r="L412" s="124">
        <f t="shared" si="105"/>
        <v>47</v>
      </c>
      <c r="M412" s="125">
        <f t="shared" si="105"/>
        <v>55600</v>
      </c>
      <c r="N412" s="126">
        <f t="shared" si="92"/>
        <v>159.43012211668926</v>
      </c>
      <c r="O412" s="127">
        <f t="shared" si="93"/>
        <v>139.07734056987789</v>
      </c>
      <c r="P412" s="127">
        <f t="shared" si="94"/>
        <v>78.697421981004069</v>
      </c>
      <c r="Q412" s="128">
        <f t="shared" si="95"/>
        <v>377.20488466757121</v>
      </c>
      <c r="R412" s="129">
        <v>147.4</v>
      </c>
      <c r="S412" s="130">
        <v>0</v>
      </c>
      <c r="T412" s="131">
        <v>134</v>
      </c>
      <c r="U412" s="131">
        <v>162</v>
      </c>
      <c r="V412" s="132">
        <f t="shared" si="96"/>
        <v>296</v>
      </c>
      <c r="W412" s="133">
        <f t="shared" si="97"/>
        <v>2.0081411126187243</v>
      </c>
      <c r="X412" s="130">
        <v>1711</v>
      </c>
      <c r="Y412" s="131">
        <v>1595</v>
      </c>
      <c r="Z412" s="131">
        <v>905</v>
      </c>
      <c r="AA412" s="132">
        <f t="shared" si="98"/>
        <v>4211</v>
      </c>
      <c r="AB412" s="133">
        <f t="shared" si="99"/>
        <v>28.568521031207599</v>
      </c>
      <c r="AC412" s="134">
        <f t="shared" si="100"/>
        <v>4507</v>
      </c>
      <c r="AD412" s="135">
        <f t="shared" si="101"/>
        <v>30.576662143826322</v>
      </c>
      <c r="AE412" s="136">
        <v>25</v>
      </c>
      <c r="AF412" s="137">
        <v>25</v>
      </c>
      <c r="AG412" s="137">
        <v>0</v>
      </c>
      <c r="AH412" s="138">
        <f t="shared" si="102"/>
        <v>50</v>
      </c>
      <c r="AI412" s="133">
        <f t="shared" si="103"/>
        <v>0.33921302578018997</v>
      </c>
    </row>
    <row r="413" spans="1:35">
      <c r="A413" s="171">
        <f>IF('09월 조업일지'!A409="","",'09월 조업일지'!A409)</f>
        <v>46279</v>
      </c>
      <c r="B413" s="172" t="str">
        <f>'09월 조업일지'!E409</f>
        <v>C</v>
      </c>
      <c r="C413" s="172" t="str">
        <f>'09월 조업일지'!F409</f>
        <v>B</v>
      </c>
      <c r="D413" s="172">
        <f>'09월 화학성분'!C410</f>
        <v>85612</v>
      </c>
      <c r="E413" s="205" t="str">
        <f t="shared" si="104"/>
        <v>S355JO-01</v>
      </c>
      <c r="F413" s="121">
        <v>21</v>
      </c>
      <c r="G413" s="122">
        <v>23600</v>
      </c>
      <c r="H413" s="123">
        <v>16</v>
      </c>
      <c r="I413" s="122">
        <v>20500</v>
      </c>
      <c r="J413" s="123">
        <v>5</v>
      </c>
      <c r="K413" s="122">
        <v>6500</v>
      </c>
      <c r="L413" s="124">
        <f t="shared" si="105"/>
        <v>42</v>
      </c>
      <c r="M413" s="125">
        <f t="shared" si="105"/>
        <v>50600</v>
      </c>
      <c r="N413" s="126">
        <f t="shared" si="92"/>
        <v>161.86556927297667</v>
      </c>
      <c r="O413" s="127">
        <f t="shared" si="93"/>
        <v>140.60356652949244</v>
      </c>
      <c r="P413" s="127">
        <f t="shared" si="94"/>
        <v>44.581618655692729</v>
      </c>
      <c r="Q413" s="128">
        <f t="shared" si="95"/>
        <v>347.05075445816186</v>
      </c>
      <c r="R413" s="129">
        <v>145.80000000000001</v>
      </c>
      <c r="S413" s="130">
        <v>0</v>
      </c>
      <c r="T413" s="131">
        <v>118</v>
      </c>
      <c r="U413" s="131">
        <v>249</v>
      </c>
      <c r="V413" s="132">
        <f t="shared" si="96"/>
        <v>367</v>
      </c>
      <c r="W413" s="133">
        <f t="shared" si="97"/>
        <v>2.5171467764060353</v>
      </c>
      <c r="X413" s="130">
        <v>1631</v>
      </c>
      <c r="Y413" s="131">
        <v>1593</v>
      </c>
      <c r="Z413" s="131">
        <v>547</v>
      </c>
      <c r="AA413" s="132">
        <f t="shared" si="98"/>
        <v>3771</v>
      </c>
      <c r="AB413" s="133">
        <f t="shared" si="99"/>
        <v>25.864197530864196</v>
      </c>
      <c r="AC413" s="134">
        <f t="shared" si="100"/>
        <v>4138</v>
      </c>
      <c r="AD413" s="135">
        <f t="shared" si="101"/>
        <v>28.381344307270233</v>
      </c>
      <c r="AE413" s="136">
        <v>25</v>
      </c>
      <c r="AF413" s="137">
        <v>27</v>
      </c>
      <c r="AG413" s="137">
        <v>0</v>
      </c>
      <c r="AH413" s="138">
        <f t="shared" si="102"/>
        <v>52</v>
      </c>
      <c r="AI413" s="133">
        <f t="shared" si="103"/>
        <v>0.35665294924554181</v>
      </c>
    </row>
    <row r="414" spans="1:35">
      <c r="A414" s="171">
        <f>IF('09월 조업일지'!A410="","",'09월 조업일지'!A410)</f>
        <v>46279</v>
      </c>
      <c r="B414" s="172" t="str">
        <f>'09월 조업일지'!E410</f>
        <v>C</v>
      </c>
      <c r="C414" s="172" t="str">
        <f>'09월 조업일지'!F410</f>
        <v>A</v>
      </c>
      <c r="D414" s="172">
        <f>'09월 화학성분'!C411</f>
        <v>85613</v>
      </c>
      <c r="E414" s="205" t="str">
        <f t="shared" si="104"/>
        <v>S355JO-01</v>
      </c>
      <c r="F414" s="121">
        <v>21</v>
      </c>
      <c r="G414" s="122">
        <v>23400</v>
      </c>
      <c r="H414" s="123">
        <v>18</v>
      </c>
      <c r="I414" s="122">
        <v>20600</v>
      </c>
      <c r="J414" s="123">
        <v>8</v>
      </c>
      <c r="K414" s="122">
        <v>10900</v>
      </c>
      <c r="L414" s="124">
        <f t="shared" si="105"/>
        <v>47</v>
      </c>
      <c r="M414" s="125">
        <f t="shared" si="105"/>
        <v>54900</v>
      </c>
      <c r="N414" s="126">
        <f t="shared" si="92"/>
        <v>158.00135043889264</v>
      </c>
      <c r="O414" s="127">
        <f t="shared" si="93"/>
        <v>139.09520594193114</v>
      </c>
      <c r="P414" s="127">
        <f t="shared" si="94"/>
        <v>73.598919648885897</v>
      </c>
      <c r="Q414" s="128">
        <f t="shared" si="95"/>
        <v>370.69547602970971</v>
      </c>
      <c r="R414" s="129">
        <v>148.1</v>
      </c>
      <c r="S414" s="130">
        <v>0</v>
      </c>
      <c r="T414" s="131">
        <v>44</v>
      </c>
      <c r="U414" s="131">
        <v>307</v>
      </c>
      <c r="V414" s="132">
        <f t="shared" si="96"/>
        <v>351</v>
      </c>
      <c r="W414" s="133">
        <f t="shared" si="97"/>
        <v>2.3700202565833899</v>
      </c>
      <c r="X414" s="130">
        <v>1703</v>
      </c>
      <c r="Y414" s="131">
        <v>1620</v>
      </c>
      <c r="Z414" s="131">
        <v>902</v>
      </c>
      <c r="AA414" s="132">
        <f t="shared" si="98"/>
        <v>4225</v>
      </c>
      <c r="AB414" s="133">
        <f t="shared" si="99"/>
        <v>28.528021607022282</v>
      </c>
      <c r="AC414" s="134">
        <f t="shared" si="100"/>
        <v>4576</v>
      </c>
      <c r="AD414" s="135">
        <f t="shared" si="101"/>
        <v>30.898041863605673</v>
      </c>
      <c r="AE414" s="136">
        <v>25</v>
      </c>
      <c r="AF414" s="137">
        <v>22</v>
      </c>
      <c r="AG414" s="137">
        <v>0</v>
      </c>
      <c r="AH414" s="138">
        <f t="shared" si="102"/>
        <v>47</v>
      </c>
      <c r="AI414" s="133">
        <f t="shared" si="103"/>
        <v>0.3173531397704254</v>
      </c>
    </row>
    <row r="415" spans="1:35">
      <c r="A415" s="171">
        <f>IF('09월 조업일지'!A411="","",'09월 조업일지'!A411)</f>
        <v>46279</v>
      </c>
      <c r="B415" s="172" t="str">
        <f>'09월 조업일지'!E411</f>
        <v>C</v>
      </c>
      <c r="C415" s="172" t="str">
        <f>'09월 조업일지'!F411</f>
        <v>B</v>
      </c>
      <c r="D415" s="172">
        <f>'09월 화학성분'!C412</f>
        <v>85614</v>
      </c>
      <c r="E415" s="205" t="str">
        <f t="shared" si="104"/>
        <v>S355JO-01</v>
      </c>
      <c r="F415" s="121">
        <v>22</v>
      </c>
      <c r="G415" s="122">
        <v>23500</v>
      </c>
      <c r="H415" s="123">
        <v>18</v>
      </c>
      <c r="I415" s="122">
        <v>20500</v>
      </c>
      <c r="J415" s="123">
        <v>9</v>
      </c>
      <c r="K415" s="122">
        <v>12300</v>
      </c>
      <c r="L415" s="124">
        <f t="shared" si="105"/>
        <v>49</v>
      </c>
      <c r="M415" s="125">
        <f t="shared" si="105"/>
        <v>56300</v>
      </c>
      <c r="N415" s="126">
        <f t="shared" si="92"/>
        <v>160.51912568306011</v>
      </c>
      <c r="O415" s="127">
        <f t="shared" si="93"/>
        <v>140.02732240437157</v>
      </c>
      <c r="P415" s="127">
        <f t="shared" si="94"/>
        <v>84.016393442622942</v>
      </c>
      <c r="Q415" s="128">
        <f t="shared" si="95"/>
        <v>384.56284153005464</v>
      </c>
      <c r="R415" s="129">
        <v>146.4</v>
      </c>
      <c r="S415" s="130">
        <v>0</v>
      </c>
      <c r="T415" s="131">
        <v>55</v>
      </c>
      <c r="U415" s="131">
        <v>237</v>
      </c>
      <c r="V415" s="132">
        <f t="shared" si="96"/>
        <v>292</v>
      </c>
      <c r="W415" s="133">
        <f t="shared" si="97"/>
        <v>1.9945355191256831</v>
      </c>
      <c r="X415" s="130">
        <v>1796</v>
      </c>
      <c r="Y415" s="131">
        <v>1615</v>
      </c>
      <c r="Z415" s="131">
        <v>805</v>
      </c>
      <c r="AA415" s="132">
        <f t="shared" si="98"/>
        <v>4216</v>
      </c>
      <c r="AB415" s="133">
        <f t="shared" si="99"/>
        <v>28.797814207650273</v>
      </c>
      <c r="AC415" s="134">
        <f t="shared" si="100"/>
        <v>4508</v>
      </c>
      <c r="AD415" s="135">
        <f t="shared" si="101"/>
        <v>30.792349726775956</v>
      </c>
      <c r="AE415" s="136">
        <v>24</v>
      </c>
      <c r="AF415" s="137">
        <v>29</v>
      </c>
      <c r="AG415" s="137">
        <v>0</v>
      </c>
      <c r="AH415" s="138">
        <f t="shared" si="102"/>
        <v>53</v>
      </c>
      <c r="AI415" s="133">
        <f t="shared" si="103"/>
        <v>0.36202185792349728</v>
      </c>
    </row>
    <row r="416" spans="1:35">
      <c r="A416" s="171">
        <f>IF('09월 조업일지'!A412="","",'09월 조업일지'!A412)</f>
        <v>46279</v>
      </c>
      <c r="B416" s="172" t="str">
        <f>'09월 조업일지'!E412</f>
        <v>C</v>
      </c>
      <c r="C416" s="172" t="str">
        <f>'09월 조업일지'!F412</f>
        <v>A</v>
      </c>
      <c r="D416" s="172">
        <f>'09월 화학성분'!C413</f>
        <v>85615</v>
      </c>
      <c r="E416" s="205" t="str">
        <f t="shared" si="104"/>
        <v>S355JO-01</v>
      </c>
      <c r="F416" s="121">
        <v>20</v>
      </c>
      <c r="G416" s="122">
        <v>23100</v>
      </c>
      <c r="H416" s="123">
        <v>18</v>
      </c>
      <c r="I416" s="122">
        <v>20500</v>
      </c>
      <c r="J416" s="123">
        <v>13</v>
      </c>
      <c r="K416" s="122">
        <v>17500</v>
      </c>
      <c r="L416" s="124">
        <f t="shared" si="105"/>
        <v>51</v>
      </c>
      <c r="M416" s="125">
        <f t="shared" si="105"/>
        <v>61100</v>
      </c>
      <c r="N416" s="126">
        <f t="shared" si="92"/>
        <v>155.66037735849056</v>
      </c>
      <c r="O416" s="127">
        <f t="shared" si="93"/>
        <v>138.14016172506737</v>
      </c>
      <c r="P416" s="127">
        <f t="shared" si="94"/>
        <v>117.92452830188678</v>
      </c>
      <c r="Q416" s="128">
        <f t="shared" si="95"/>
        <v>411.72506738544473</v>
      </c>
      <c r="R416" s="129">
        <v>148.4</v>
      </c>
      <c r="S416" s="130">
        <v>0</v>
      </c>
      <c r="T416" s="131">
        <v>130</v>
      </c>
      <c r="U416" s="131">
        <v>187</v>
      </c>
      <c r="V416" s="132">
        <f t="shared" si="96"/>
        <v>317</v>
      </c>
      <c r="W416" s="133">
        <f t="shared" si="97"/>
        <v>2.1361185983827493</v>
      </c>
      <c r="X416" s="130">
        <v>1591</v>
      </c>
      <c r="Y416" s="131">
        <v>1590</v>
      </c>
      <c r="Z416" s="131">
        <v>1361</v>
      </c>
      <c r="AA416" s="132">
        <f t="shared" si="98"/>
        <v>4542</v>
      </c>
      <c r="AB416" s="133">
        <f t="shared" si="99"/>
        <v>30.606469002695416</v>
      </c>
      <c r="AC416" s="134">
        <f t="shared" si="100"/>
        <v>4859</v>
      </c>
      <c r="AD416" s="135">
        <f t="shared" si="101"/>
        <v>32.742587601078164</v>
      </c>
      <c r="AE416" s="136">
        <v>26</v>
      </c>
      <c r="AF416" s="137">
        <v>23</v>
      </c>
      <c r="AG416" s="137">
        <v>0</v>
      </c>
      <c r="AH416" s="138">
        <f t="shared" si="102"/>
        <v>49</v>
      </c>
      <c r="AI416" s="133">
        <f t="shared" si="103"/>
        <v>0.330188679245283</v>
      </c>
    </row>
    <row r="417" spans="1:35">
      <c r="A417" s="171">
        <f>IF('09월 조업일지'!A413="","",'09월 조업일지'!A413)</f>
        <v>46280</v>
      </c>
      <c r="B417" s="172" t="str">
        <f>'09월 조업일지'!E413</f>
        <v>C</v>
      </c>
      <c r="C417" s="172" t="str">
        <f>'09월 조업일지'!F413</f>
        <v>B</v>
      </c>
      <c r="D417" s="172">
        <f>'09월 화학성분'!C414</f>
        <v>85616</v>
      </c>
      <c r="E417" s="205" t="str">
        <f t="shared" si="104"/>
        <v>S355JO-01</v>
      </c>
      <c r="F417" s="121">
        <v>21</v>
      </c>
      <c r="G417" s="122">
        <v>23900</v>
      </c>
      <c r="H417" s="123">
        <v>18</v>
      </c>
      <c r="I417" s="122">
        <v>20500</v>
      </c>
      <c r="J417" s="123">
        <v>9</v>
      </c>
      <c r="K417" s="122">
        <v>12300</v>
      </c>
      <c r="L417" s="124">
        <f t="shared" si="105"/>
        <v>48</v>
      </c>
      <c r="M417" s="125">
        <f t="shared" si="105"/>
        <v>56700</v>
      </c>
      <c r="N417" s="126">
        <f t="shared" si="92"/>
        <v>162.80653950953678</v>
      </c>
      <c r="O417" s="127">
        <f t="shared" si="93"/>
        <v>139.64577656675749</v>
      </c>
      <c r="P417" s="127">
        <f t="shared" si="94"/>
        <v>83.787465940054489</v>
      </c>
      <c r="Q417" s="128">
        <f t="shared" si="95"/>
        <v>386.23978201634873</v>
      </c>
      <c r="R417" s="129">
        <v>146.80000000000001</v>
      </c>
      <c r="S417" s="130">
        <v>0</v>
      </c>
      <c r="T417" s="131">
        <v>89</v>
      </c>
      <c r="U417" s="131">
        <v>416</v>
      </c>
      <c r="V417" s="132">
        <f t="shared" si="96"/>
        <v>505</v>
      </c>
      <c r="W417" s="133">
        <f t="shared" si="97"/>
        <v>3.4400544959128063</v>
      </c>
      <c r="X417" s="130">
        <v>1699</v>
      </c>
      <c r="Y417" s="131">
        <v>1609</v>
      </c>
      <c r="Z417" s="131">
        <v>1172</v>
      </c>
      <c r="AA417" s="132">
        <f t="shared" si="98"/>
        <v>4480</v>
      </c>
      <c r="AB417" s="133">
        <f t="shared" si="99"/>
        <v>30.517711171662121</v>
      </c>
      <c r="AC417" s="134">
        <f t="shared" si="100"/>
        <v>4985</v>
      </c>
      <c r="AD417" s="135">
        <f t="shared" si="101"/>
        <v>33.957765667574932</v>
      </c>
      <c r="AE417" s="136">
        <v>26</v>
      </c>
      <c r="AF417" s="137">
        <v>32</v>
      </c>
      <c r="AG417" s="137">
        <v>0</v>
      </c>
      <c r="AH417" s="138">
        <f t="shared" si="102"/>
        <v>58</v>
      </c>
      <c r="AI417" s="133">
        <f t="shared" si="103"/>
        <v>0.39509536784741139</v>
      </c>
    </row>
    <row r="418" spans="1:35">
      <c r="A418" s="171">
        <f>IF('09월 조업일지'!A414="","",'09월 조업일지'!A414)</f>
        <v>46280</v>
      </c>
      <c r="B418" s="172" t="str">
        <f>'09월 조업일지'!E414</f>
        <v>C</v>
      </c>
      <c r="C418" s="172" t="str">
        <f>'09월 조업일지'!F414</f>
        <v>A</v>
      </c>
      <c r="D418" s="172">
        <f>'09월 화학성분'!C415</f>
        <v>85617</v>
      </c>
      <c r="E418" s="205" t="str">
        <f t="shared" si="104"/>
        <v>S355JO-01</v>
      </c>
      <c r="F418" s="121">
        <v>21</v>
      </c>
      <c r="G418" s="122">
        <v>25100</v>
      </c>
      <c r="H418" s="123">
        <v>18</v>
      </c>
      <c r="I418" s="122">
        <v>20600</v>
      </c>
      <c r="J418" s="123">
        <v>7</v>
      </c>
      <c r="K418" s="122">
        <v>8800</v>
      </c>
      <c r="L418" s="124">
        <f t="shared" si="105"/>
        <v>46</v>
      </c>
      <c r="M418" s="125">
        <f t="shared" si="105"/>
        <v>54500</v>
      </c>
      <c r="N418" s="126">
        <f t="shared" si="92"/>
        <v>171.56527682843472</v>
      </c>
      <c r="O418" s="127">
        <f t="shared" si="93"/>
        <v>140.80656185919344</v>
      </c>
      <c r="P418" s="127">
        <f t="shared" si="94"/>
        <v>60.150375939849617</v>
      </c>
      <c r="Q418" s="128">
        <f t="shared" si="95"/>
        <v>372.52221462747775</v>
      </c>
      <c r="R418" s="129">
        <v>146.30000000000001</v>
      </c>
      <c r="S418" s="130">
        <v>0</v>
      </c>
      <c r="T418" s="131">
        <v>175</v>
      </c>
      <c r="U418" s="131">
        <v>214</v>
      </c>
      <c r="V418" s="132">
        <f t="shared" si="96"/>
        <v>389</v>
      </c>
      <c r="W418" s="133">
        <f t="shared" si="97"/>
        <v>2.6589200273410798</v>
      </c>
      <c r="X418" s="130">
        <v>1829</v>
      </c>
      <c r="Y418" s="131">
        <v>1572</v>
      </c>
      <c r="Z418" s="131">
        <v>776</v>
      </c>
      <c r="AA418" s="132">
        <f t="shared" si="98"/>
        <v>4177</v>
      </c>
      <c r="AB418" s="133">
        <f t="shared" si="99"/>
        <v>28.550922761449076</v>
      </c>
      <c r="AC418" s="134">
        <f t="shared" si="100"/>
        <v>4566</v>
      </c>
      <c r="AD418" s="135">
        <f t="shared" si="101"/>
        <v>31.209842788790155</v>
      </c>
      <c r="AE418" s="136">
        <v>23</v>
      </c>
      <c r="AF418" s="137">
        <v>25</v>
      </c>
      <c r="AG418" s="137">
        <v>0</v>
      </c>
      <c r="AH418" s="138">
        <f t="shared" si="102"/>
        <v>48</v>
      </c>
      <c r="AI418" s="133">
        <f t="shared" si="103"/>
        <v>0.32809295967190699</v>
      </c>
    </row>
    <row r="419" spans="1:35">
      <c r="A419" s="171">
        <f>IF('09월 조업일지'!A415="","",'09월 조업일지'!A415)</f>
        <v>46280</v>
      </c>
      <c r="B419" s="172" t="str">
        <f>'09월 조업일지'!E415</f>
        <v>C</v>
      </c>
      <c r="C419" s="172" t="str">
        <f>'09월 조업일지'!F415</f>
        <v>B</v>
      </c>
      <c r="D419" s="172">
        <f>'09월 화학성분'!C416</f>
        <v>85618</v>
      </c>
      <c r="E419" s="205" t="str">
        <f t="shared" si="104"/>
        <v>S355JO-01</v>
      </c>
      <c r="F419" s="121">
        <v>21</v>
      </c>
      <c r="G419" s="122">
        <v>23500</v>
      </c>
      <c r="H419" s="123">
        <v>17</v>
      </c>
      <c r="I419" s="122">
        <v>20400</v>
      </c>
      <c r="J419" s="123">
        <v>9</v>
      </c>
      <c r="K419" s="122">
        <v>11100</v>
      </c>
      <c r="L419" s="124">
        <f t="shared" si="105"/>
        <v>47</v>
      </c>
      <c r="M419" s="125">
        <f t="shared" si="105"/>
        <v>55000</v>
      </c>
      <c r="N419" s="126">
        <f t="shared" si="92"/>
        <v>158.78378378378378</v>
      </c>
      <c r="O419" s="127">
        <f t="shared" si="93"/>
        <v>137.83783783783784</v>
      </c>
      <c r="P419" s="127">
        <f t="shared" si="94"/>
        <v>75</v>
      </c>
      <c r="Q419" s="128">
        <f t="shared" si="95"/>
        <v>371.62162162162161</v>
      </c>
      <c r="R419" s="129">
        <v>148</v>
      </c>
      <c r="S419" s="130">
        <v>0</v>
      </c>
      <c r="T419" s="131">
        <v>75</v>
      </c>
      <c r="U419" s="131">
        <v>275</v>
      </c>
      <c r="V419" s="132">
        <f t="shared" si="96"/>
        <v>350</v>
      </c>
      <c r="W419" s="133">
        <f t="shared" si="97"/>
        <v>2.3648648648648649</v>
      </c>
      <c r="X419" s="130">
        <v>1654</v>
      </c>
      <c r="Y419" s="131">
        <v>1645</v>
      </c>
      <c r="Z419" s="131">
        <v>968</v>
      </c>
      <c r="AA419" s="132">
        <f t="shared" si="98"/>
        <v>4267</v>
      </c>
      <c r="AB419" s="133">
        <f t="shared" si="99"/>
        <v>28.831081081081081</v>
      </c>
      <c r="AC419" s="134">
        <f t="shared" si="100"/>
        <v>4617</v>
      </c>
      <c r="AD419" s="135">
        <f t="shared" si="101"/>
        <v>31.195945945945947</v>
      </c>
      <c r="AE419" s="136">
        <v>24</v>
      </c>
      <c r="AF419" s="137">
        <v>33</v>
      </c>
      <c r="AG419" s="137">
        <v>0</v>
      </c>
      <c r="AH419" s="138">
        <f t="shared" si="102"/>
        <v>57</v>
      </c>
      <c r="AI419" s="133">
        <f t="shared" si="103"/>
        <v>0.38513513513513514</v>
      </c>
    </row>
    <row r="420" spans="1:35">
      <c r="A420" s="171">
        <f>IF('09월 조업일지'!A416="","",'09월 조업일지'!A416)</f>
        <v>46280</v>
      </c>
      <c r="B420" s="172" t="str">
        <f>'09월 조업일지'!E416</f>
        <v>C</v>
      </c>
      <c r="C420" s="172" t="str">
        <f>'09월 조업일지'!F416</f>
        <v>A</v>
      </c>
      <c r="D420" s="172">
        <f>'09월 화학성분'!C417</f>
        <v>85619</v>
      </c>
      <c r="E420" s="205" t="str">
        <f t="shared" si="104"/>
        <v>S355JO-01</v>
      </c>
      <c r="F420" s="121">
        <v>22</v>
      </c>
      <c r="G420" s="122">
        <v>23400</v>
      </c>
      <c r="H420" s="123">
        <v>18</v>
      </c>
      <c r="I420" s="122">
        <v>20800</v>
      </c>
      <c r="J420" s="123">
        <v>9</v>
      </c>
      <c r="K420" s="122">
        <v>11800</v>
      </c>
      <c r="L420" s="124">
        <f t="shared" si="105"/>
        <v>49</v>
      </c>
      <c r="M420" s="125">
        <f t="shared" si="105"/>
        <v>56000</v>
      </c>
      <c r="N420" s="126">
        <f t="shared" si="92"/>
        <v>159.61800818553888</v>
      </c>
      <c r="O420" s="127">
        <f t="shared" si="93"/>
        <v>141.88267394270125</v>
      </c>
      <c r="P420" s="127">
        <f t="shared" si="94"/>
        <v>80.491132332878578</v>
      </c>
      <c r="Q420" s="128">
        <f t="shared" si="95"/>
        <v>381.99181446111868</v>
      </c>
      <c r="R420" s="129">
        <v>146.6</v>
      </c>
      <c r="S420" s="130">
        <v>0</v>
      </c>
      <c r="T420" s="131">
        <v>16</v>
      </c>
      <c r="U420" s="131">
        <v>336</v>
      </c>
      <c r="V420" s="132">
        <f t="shared" si="96"/>
        <v>352</v>
      </c>
      <c r="W420" s="133">
        <f t="shared" si="97"/>
        <v>2.4010914051841747</v>
      </c>
      <c r="X420" s="130">
        <v>1780</v>
      </c>
      <c r="Y420" s="131">
        <v>1641</v>
      </c>
      <c r="Z420" s="131">
        <v>983</v>
      </c>
      <c r="AA420" s="132">
        <f t="shared" si="98"/>
        <v>4404</v>
      </c>
      <c r="AB420" s="133">
        <f t="shared" si="99"/>
        <v>30.040927694406548</v>
      </c>
      <c r="AC420" s="134">
        <f t="shared" si="100"/>
        <v>4756</v>
      </c>
      <c r="AD420" s="135">
        <f t="shared" si="101"/>
        <v>32.442019099590723</v>
      </c>
      <c r="AE420" s="136">
        <v>23</v>
      </c>
      <c r="AF420" s="137">
        <v>28</v>
      </c>
      <c r="AG420" s="137">
        <v>0</v>
      </c>
      <c r="AH420" s="138">
        <f t="shared" si="102"/>
        <v>51</v>
      </c>
      <c r="AI420" s="133">
        <f t="shared" si="103"/>
        <v>0.34788540245566169</v>
      </c>
    </row>
    <row r="421" spans="1:35">
      <c r="A421" s="171">
        <f>IF('09월 조업일지'!A417="","",'09월 조업일지'!A417)</f>
        <v>46280</v>
      </c>
      <c r="B421" s="172" t="str">
        <f>'09월 조업일지'!E417</f>
        <v>C</v>
      </c>
      <c r="C421" s="172" t="str">
        <f>'09월 조업일지'!F417</f>
        <v>B</v>
      </c>
      <c r="D421" s="172">
        <f>'09월 화학성분'!C418</f>
        <v>85620</v>
      </c>
      <c r="E421" s="205" t="str">
        <f t="shared" si="104"/>
        <v>S355JO-01</v>
      </c>
      <c r="F421" s="121">
        <v>23</v>
      </c>
      <c r="G421" s="122">
        <v>24700</v>
      </c>
      <c r="H421" s="123">
        <v>17</v>
      </c>
      <c r="I421" s="122">
        <v>20600</v>
      </c>
      <c r="J421" s="123">
        <v>7</v>
      </c>
      <c r="K421" s="122">
        <v>8300</v>
      </c>
      <c r="L421" s="124">
        <f t="shared" si="105"/>
        <v>47</v>
      </c>
      <c r="M421" s="125">
        <f t="shared" si="105"/>
        <v>53600</v>
      </c>
      <c r="N421" s="126">
        <f t="shared" si="92"/>
        <v>167.57123473541384</v>
      </c>
      <c r="O421" s="127">
        <f t="shared" si="93"/>
        <v>139.75576662143826</v>
      </c>
      <c r="P421" s="127">
        <f t="shared" si="94"/>
        <v>56.309362279511532</v>
      </c>
      <c r="Q421" s="128">
        <f t="shared" si="95"/>
        <v>363.63636363636363</v>
      </c>
      <c r="R421" s="129">
        <v>147.4</v>
      </c>
      <c r="S421" s="130">
        <v>0</v>
      </c>
      <c r="T421" s="131">
        <v>97</v>
      </c>
      <c r="U421" s="131">
        <v>339</v>
      </c>
      <c r="V421" s="132">
        <f t="shared" si="96"/>
        <v>436</v>
      </c>
      <c r="W421" s="133">
        <f t="shared" si="97"/>
        <v>2.9579375848032563</v>
      </c>
      <c r="X421" s="130">
        <v>1887</v>
      </c>
      <c r="Y421" s="131">
        <v>1587</v>
      </c>
      <c r="Z421" s="131">
        <v>747</v>
      </c>
      <c r="AA421" s="132">
        <f t="shared" si="98"/>
        <v>4221</v>
      </c>
      <c r="AB421" s="133">
        <f t="shared" si="99"/>
        <v>28.636363636363637</v>
      </c>
      <c r="AC421" s="134">
        <f t="shared" si="100"/>
        <v>4657</v>
      </c>
      <c r="AD421" s="135">
        <f t="shared" si="101"/>
        <v>31.594301221166891</v>
      </c>
      <c r="AE421" s="136">
        <v>24</v>
      </c>
      <c r="AF421" s="137">
        <v>27</v>
      </c>
      <c r="AG421" s="137">
        <v>0</v>
      </c>
      <c r="AH421" s="138">
        <f t="shared" si="102"/>
        <v>51</v>
      </c>
      <c r="AI421" s="133">
        <f t="shared" si="103"/>
        <v>0.34599728629579374</v>
      </c>
    </row>
    <row r="422" spans="1:35">
      <c r="A422" s="171">
        <f>IF('09월 조업일지'!A418="","",'09월 조업일지'!A418)</f>
        <v>46280</v>
      </c>
      <c r="B422" s="172" t="str">
        <f>'09월 조업일지'!E418</f>
        <v>C</v>
      </c>
      <c r="C422" s="172" t="str">
        <f>'09월 조업일지'!F418</f>
        <v>B</v>
      </c>
      <c r="D422" s="172">
        <f>'09월 화학성분'!C419</f>
        <v>85621</v>
      </c>
      <c r="E422" s="205" t="str">
        <f t="shared" si="104"/>
        <v>S355JO-01</v>
      </c>
      <c r="F422" s="121">
        <v>21</v>
      </c>
      <c r="G422" s="122">
        <v>23700</v>
      </c>
      <c r="H422" s="123">
        <v>17</v>
      </c>
      <c r="I422" s="122">
        <v>20500</v>
      </c>
      <c r="J422" s="123">
        <v>6</v>
      </c>
      <c r="K422" s="122">
        <v>7900</v>
      </c>
      <c r="L422" s="124">
        <f t="shared" si="105"/>
        <v>44</v>
      </c>
      <c r="M422" s="125">
        <f t="shared" si="105"/>
        <v>52100</v>
      </c>
      <c r="N422" s="126">
        <f t="shared" si="92"/>
        <v>161.44414168937328</v>
      </c>
      <c r="O422" s="127">
        <f t="shared" si="93"/>
        <v>139.64577656675749</v>
      </c>
      <c r="P422" s="127">
        <f t="shared" si="94"/>
        <v>53.814713896457761</v>
      </c>
      <c r="Q422" s="128">
        <f t="shared" si="95"/>
        <v>354.90463215258853</v>
      </c>
      <c r="R422" s="129">
        <v>146.80000000000001</v>
      </c>
      <c r="S422" s="130">
        <v>0</v>
      </c>
      <c r="T422" s="131">
        <v>64</v>
      </c>
      <c r="U422" s="131">
        <v>361</v>
      </c>
      <c r="V422" s="132">
        <f t="shared" si="96"/>
        <v>425</v>
      </c>
      <c r="W422" s="133">
        <f t="shared" si="97"/>
        <v>2.8950953678474112</v>
      </c>
      <c r="X422" s="130">
        <v>1709</v>
      </c>
      <c r="Y422" s="131">
        <v>1586</v>
      </c>
      <c r="Z422" s="131">
        <v>685</v>
      </c>
      <c r="AA422" s="132">
        <f t="shared" si="98"/>
        <v>3980</v>
      </c>
      <c r="AB422" s="133">
        <f t="shared" si="99"/>
        <v>27.111716621253404</v>
      </c>
      <c r="AC422" s="134">
        <f t="shared" si="100"/>
        <v>4405</v>
      </c>
      <c r="AD422" s="135">
        <f t="shared" si="101"/>
        <v>30.006811989100814</v>
      </c>
      <c r="AE422" s="136">
        <v>26</v>
      </c>
      <c r="AF422" s="137">
        <v>24</v>
      </c>
      <c r="AG422" s="137">
        <v>0</v>
      </c>
      <c r="AH422" s="138">
        <f t="shared" si="102"/>
        <v>50</v>
      </c>
      <c r="AI422" s="133">
        <f t="shared" si="103"/>
        <v>0.34059945504087191</v>
      </c>
    </row>
    <row r="423" spans="1:35">
      <c r="A423" s="171">
        <f>IF('09월 조업일지'!A419="","",'09월 조업일지'!A419)</f>
        <v>46280</v>
      </c>
      <c r="B423" s="172" t="str">
        <f>'09월 조업일지'!E419</f>
        <v>C</v>
      </c>
      <c r="C423" s="172" t="str">
        <f>'09월 조업일지'!F419</f>
        <v>B</v>
      </c>
      <c r="D423" s="172">
        <f>'09월 화학성분'!C420</f>
        <v>85622</v>
      </c>
      <c r="E423" s="205" t="str">
        <f t="shared" si="104"/>
        <v>S355JO-01</v>
      </c>
      <c r="F423" s="121">
        <v>20</v>
      </c>
      <c r="G423" s="122">
        <v>23800</v>
      </c>
      <c r="H423" s="123">
        <v>18</v>
      </c>
      <c r="I423" s="122">
        <v>20300</v>
      </c>
      <c r="J423" s="123">
        <v>9</v>
      </c>
      <c r="K423" s="122">
        <v>11800</v>
      </c>
      <c r="L423" s="124">
        <f t="shared" si="105"/>
        <v>47</v>
      </c>
      <c r="M423" s="125">
        <f t="shared" si="105"/>
        <v>55900</v>
      </c>
      <c r="N423" s="126">
        <f t="shared" si="92"/>
        <v>161.57501697216563</v>
      </c>
      <c r="O423" s="127">
        <f t="shared" si="93"/>
        <v>137.81398506449423</v>
      </c>
      <c r="P423" s="127">
        <f t="shared" si="94"/>
        <v>80.108621860149356</v>
      </c>
      <c r="Q423" s="128">
        <f t="shared" si="95"/>
        <v>379.49762389680922</v>
      </c>
      <c r="R423" s="129">
        <v>147.30000000000001</v>
      </c>
      <c r="S423" s="130">
        <v>0</v>
      </c>
      <c r="T423" s="131">
        <v>125</v>
      </c>
      <c r="U423" s="131">
        <v>159</v>
      </c>
      <c r="V423" s="132">
        <f t="shared" si="96"/>
        <v>284</v>
      </c>
      <c r="W423" s="133">
        <f t="shared" si="97"/>
        <v>1.9280380176510521</v>
      </c>
      <c r="X423" s="130">
        <v>1694</v>
      </c>
      <c r="Y423" s="131">
        <v>1611</v>
      </c>
      <c r="Z423" s="131">
        <v>998</v>
      </c>
      <c r="AA423" s="132">
        <f t="shared" si="98"/>
        <v>4303</v>
      </c>
      <c r="AB423" s="133">
        <f t="shared" si="99"/>
        <v>29.212491513917172</v>
      </c>
      <c r="AC423" s="134">
        <f t="shared" si="100"/>
        <v>4587</v>
      </c>
      <c r="AD423" s="135">
        <f t="shared" si="101"/>
        <v>31.140529531568227</v>
      </c>
      <c r="AE423" s="136">
        <v>25</v>
      </c>
      <c r="AF423" s="137">
        <v>31</v>
      </c>
      <c r="AG423" s="137">
        <v>0</v>
      </c>
      <c r="AH423" s="138">
        <f t="shared" si="102"/>
        <v>56</v>
      </c>
      <c r="AI423" s="133">
        <f t="shared" si="103"/>
        <v>0.38017651052274265</v>
      </c>
    </row>
    <row r="424" spans="1:35">
      <c r="A424" s="171">
        <f>IF('09월 조업일지'!A420="","",'09월 조업일지'!A420)</f>
        <v>46281</v>
      </c>
      <c r="B424" s="172" t="str">
        <f>'09월 조업일지'!E420</f>
        <v>C</v>
      </c>
      <c r="C424" s="172" t="str">
        <f>'09월 조업일지'!F420</f>
        <v>B</v>
      </c>
      <c r="D424" s="172">
        <f>'09월 화학성분'!C421</f>
        <v>85623</v>
      </c>
      <c r="E424" s="205" t="str">
        <f t="shared" si="104"/>
        <v>S355JO-01</v>
      </c>
      <c r="F424" s="121">
        <v>20</v>
      </c>
      <c r="G424" s="122">
        <v>23200</v>
      </c>
      <c r="H424" s="123">
        <v>17</v>
      </c>
      <c r="I424" s="122">
        <v>21000</v>
      </c>
      <c r="J424" s="123">
        <v>8</v>
      </c>
      <c r="K424" s="122">
        <v>9800</v>
      </c>
      <c r="L424" s="124">
        <f t="shared" si="105"/>
        <v>45</v>
      </c>
      <c r="M424" s="125">
        <f t="shared" si="105"/>
        <v>54000</v>
      </c>
      <c r="N424" s="126">
        <f t="shared" si="92"/>
        <v>157.71583956492182</v>
      </c>
      <c r="O424" s="127">
        <f t="shared" si="93"/>
        <v>142.76002719238613</v>
      </c>
      <c r="P424" s="127">
        <f t="shared" si="94"/>
        <v>66.621346023113531</v>
      </c>
      <c r="Q424" s="128">
        <f t="shared" si="95"/>
        <v>367.09721278042144</v>
      </c>
      <c r="R424" s="129">
        <v>147.1</v>
      </c>
      <c r="S424" s="130">
        <v>0</v>
      </c>
      <c r="T424" s="131">
        <v>133</v>
      </c>
      <c r="U424" s="131">
        <v>209</v>
      </c>
      <c r="V424" s="132">
        <f t="shared" si="96"/>
        <v>342</v>
      </c>
      <c r="W424" s="133">
        <f t="shared" si="97"/>
        <v>2.3249490142760028</v>
      </c>
      <c r="X424" s="130">
        <v>1656</v>
      </c>
      <c r="Y424" s="131">
        <v>1638</v>
      </c>
      <c r="Z424" s="131">
        <v>814</v>
      </c>
      <c r="AA424" s="132">
        <f t="shared" si="98"/>
        <v>4108</v>
      </c>
      <c r="AB424" s="133">
        <f t="shared" si="99"/>
        <v>27.926580557443916</v>
      </c>
      <c r="AC424" s="134">
        <f t="shared" si="100"/>
        <v>4450</v>
      </c>
      <c r="AD424" s="135">
        <f t="shared" si="101"/>
        <v>30.251529571719921</v>
      </c>
      <c r="AE424" s="136">
        <v>23</v>
      </c>
      <c r="AF424" s="137">
        <v>26</v>
      </c>
      <c r="AG424" s="137">
        <v>0</v>
      </c>
      <c r="AH424" s="138">
        <f t="shared" si="102"/>
        <v>49</v>
      </c>
      <c r="AI424" s="133">
        <f t="shared" si="103"/>
        <v>0.33310673011556763</v>
      </c>
    </row>
    <row r="425" spans="1:35">
      <c r="A425" s="171">
        <f>IF('09월 조업일지'!A421="","",'09월 조업일지'!A421)</f>
        <v>46281</v>
      </c>
      <c r="B425" s="172" t="str">
        <f>'09월 조업일지'!E421</f>
        <v>C</v>
      </c>
      <c r="C425" s="172" t="str">
        <f>'09월 조업일지'!F421</f>
        <v>B</v>
      </c>
      <c r="D425" s="172">
        <f>'09월 화학성분'!C422</f>
        <v>85624</v>
      </c>
      <c r="E425" s="205" t="str">
        <f t="shared" si="104"/>
        <v>S355JO-01</v>
      </c>
      <c r="F425" s="121">
        <v>21</v>
      </c>
      <c r="G425" s="122">
        <v>23700</v>
      </c>
      <c r="H425" s="123">
        <v>16</v>
      </c>
      <c r="I425" s="122">
        <v>20500</v>
      </c>
      <c r="J425" s="123">
        <v>8</v>
      </c>
      <c r="K425" s="122">
        <v>10000</v>
      </c>
      <c r="L425" s="124">
        <f t="shared" si="105"/>
        <v>45</v>
      </c>
      <c r="M425" s="125">
        <f t="shared" si="105"/>
        <v>54200</v>
      </c>
      <c r="N425" s="126">
        <f t="shared" si="92"/>
        <v>162.32876712328766</v>
      </c>
      <c r="O425" s="127">
        <f t="shared" si="93"/>
        <v>140.41095890410958</v>
      </c>
      <c r="P425" s="127">
        <f t="shared" si="94"/>
        <v>68.493150684931507</v>
      </c>
      <c r="Q425" s="128">
        <f t="shared" si="95"/>
        <v>371.23287671232873</v>
      </c>
      <c r="R425" s="129">
        <v>146</v>
      </c>
      <c r="S425" s="130">
        <v>0</v>
      </c>
      <c r="T425" s="131">
        <v>188</v>
      </c>
      <c r="U425" s="131">
        <v>167</v>
      </c>
      <c r="V425" s="132">
        <f t="shared" si="96"/>
        <v>355</v>
      </c>
      <c r="W425" s="133">
        <f t="shared" si="97"/>
        <v>2.4315068493150687</v>
      </c>
      <c r="X425" s="130">
        <v>1680</v>
      </c>
      <c r="Y425" s="131">
        <v>1614</v>
      </c>
      <c r="Z425" s="131">
        <v>785</v>
      </c>
      <c r="AA425" s="132">
        <f t="shared" si="98"/>
        <v>4079</v>
      </c>
      <c r="AB425" s="133">
        <f t="shared" si="99"/>
        <v>27.938356164383563</v>
      </c>
      <c r="AC425" s="134">
        <f t="shared" si="100"/>
        <v>4434</v>
      </c>
      <c r="AD425" s="135">
        <f t="shared" si="101"/>
        <v>30.36986301369863</v>
      </c>
      <c r="AE425" s="136">
        <v>25</v>
      </c>
      <c r="AF425" s="137">
        <v>27</v>
      </c>
      <c r="AG425" s="137">
        <v>0</v>
      </c>
      <c r="AH425" s="138">
        <f t="shared" si="102"/>
        <v>52</v>
      </c>
      <c r="AI425" s="133">
        <f t="shared" si="103"/>
        <v>0.35616438356164382</v>
      </c>
    </row>
    <row r="426" spans="1:35">
      <c r="A426" s="171">
        <f>IF('09월 조업일지'!A422="","",'09월 조업일지'!A422)</f>
        <v>46281</v>
      </c>
      <c r="B426" s="172" t="str">
        <f>'09월 조업일지'!E422</f>
        <v>D</v>
      </c>
      <c r="C426" s="172" t="str">
        <f>'09월 조업일지'!F422</f>
        <v>B</v>
      </c>
      <c r="D426" s="172">
        <f>'09월 화학성분'!C423</f>
        <v>85625</v>
      </c>
      <c r="E426" s="205" t="str">
        <f t="shared" si="104"/>
        <v>S355JO-01</v>
      </c>
      <c r="F426" s="121">
        <v>21</v>
      </c>
      <c r="G426" s="122">
        <v>23200</v>
      </c>
      <c r="H426" s="123">
        <v>17</v>
      </c>
      <c r="I426" s="122">
        <v>20600</v>
      </c>
      <c r="J426" s="123">
        <v>8</v>
      </c>
      <c r="K426" s="122">
        <v>10200</v>
      </c>
      <c r="L426" s="124">
        <f t="shared" si="105"/>
        <v>46</v>
      </c>
      <c r="M426" s="125">
        <f t="shared" si="105"/>
        <v>54000</v>
      </c>
      <c r="N426" s="126">
        <f t="shared" si="92"/>
        <v>160.44260027662517</v>
      </c>
      <c r="O426" s="127">
        <f t="shared" si="93"/>
        <v>142.46196403872753</v>
      </c>
      <c r="P426" s="127">
        <f t="shared" si="94"/>
        <v>70.539419087136935</v>
      </c>
      <c r="Q426" s="128">
        <f t="shared" si="95"/>
        <v>373.44398340248961</v>
      </c>
      <c r="R426" s="129">
        <v>144.6</v>
      </c>
      <c r="S426" s="130">
        <v>0</v>
      </c>
      <c r="T426" s="131">
        <v>157</v>
      </c>
      <c r="U426" s="131">
        <v>226</v>
      </c>
      <c r="V426" s="132">
        <f t="shared" si="96"/>
        <v>383</v>
      </c>
      <c r="W426" s="133">
        <f t="shared" si="97"/>
        <v>2.6486860304287689</v>
      </c>
      <c r="X426" s="130">
        <v>1684</v>
      </c>
      <c r="Y426" s="131">
        <v>1595</v>
      </c>
      <c r="Z426" s="131">
        <v>924</v>
      </c>
      <c r="AA426" s="132">
        <f t="shared" si="98"/>
        <v>4203</v>
      </c>
      <c r="AB426" s="133">
        <f t="shared" si="99"/>
        <v>29.066390041493776</v>
      </c>
      <c r="AC426" s="134">
        <f t="shared" si="100"/>
        <v>4586</v>
      </c>
      <c r="AD426" s="135">
        <f t="shared" si="101"/>
        <v>31.715076071922546</v>
      </c>
      <c r="AE426" s="136">
        <v>28</v>
      </c>
      <c r="AF426" s="137">
        <v>25</v>
      </c>
      <c r="AG426" s="137">
        <v>0</v>
      </c>
      <c r="AH426" s="138">
        <f t="shared" si="102"/>
        <v>53</v>
      </c>
      <c r="AI426" s="133">
        <f t="shared" si="103"/>
        <v>0.36652835408022133</v>
      </c>
    </row>
    <row r="427" spans="1:35">
      <c r="A427" s="171">
        <f>IF('09월 조업일지'!A423="","",'09월 조업일지'!A423)</f>
        <v>46281</v>
      </c>
      <c r="B427" s="172" t="str">
        <f>'09월 조업일지'!E423</f>
        <v>D</v>
      </c>
      <c r="C427" s="172" t="str">
        <f>'09월 조업일지'!F423</f>
        <v>B</v>
      </c>
      <c r="D427" s="172">
        <f>'09월 화학성분'!C424</f>
        <v>85626</v>
      </c>
      <c r="E427" s="205" t="str">
        <f t="shared" si="104"/>
        <v>S355JO-01</v>
      </c>
      <c r="F427" s="121">
        <v>22</v>
      </c>
      <c r="G427" s="122">
        <v>23200</v>
      </c>
      <c r="H427" s="123">
        <v>18</v>
      </c>
      <c r="I427" s="122">
        <v>20800</v>
      </c>
      <c r="J427" s="123">
        <v>9</v>
      </c>
      <c r="K427" s="122">
        <v>11000</v>
      </c>
      <c r="L427" s="124">
        <f t="shared" si="105"/>
        <v>49</v>
      </c>
      <c r="M427" s="125">
        <f t="shared" si="105"/>
        <v>55000</v>
      </c>
      <c r="N427" s="126">
        <f t="shared" si="92"/>
        <v>157.82312925170069</v>
      </c>
      <c r="O427" s="127">
        <f t="shared" si="93"/>
        <v>141.49659863945578</v>
      </c>
      <c r="P427" s="127">
        <f t="shared" si="94"/>
        <v>74.829931972789112</v>
      </c>
      <c r="Q427" s="128">
        <f t="shared" si="95"/>
        <v>374.1496598639456</v>
      </c>
      <c r="R427" s="129">
        <v>147</v>
      </c>
      <c r="S427" s="130">
        <v>0</v>
      </c>
      <c r="T427" s="131">
        <v>174</v>
      </c>
      <c r="U427" s="131">
        <v>189</v>
      </c>
      <c r="V427" s="132">
        <f t="shared" si="96"/>
        <v>363</v>
      </c>
      <c r="W427" s="133">
        <f t="shared" si="97"/>
        <v>2.4693877551020407</v>
      </c>
      <c r="X427" s="130">
        <v>1729</v>
      </c>
      <c r="Y427" s="131">
        <v>1651</v>
      </c>
      <c r="Z427" s="131">
        <v>954</v>
      </c>
      <c r="AA427" s="132">
        <f t="shared" si="98"/>
        <v>4334</v>
      </c>
      <c r="AB427" s="133">
        <f t="shared" si="99"/>
        <v>29.482993197278912</v>
      </c>
      <c r="AC427" s="134">
        <f t="shared" si="100"/>
        <v>4697</v>
      </c>
      <c r="AD427" s="135">
        <f t="shared" si="101"/>
        <v>31.952380952380953</v>
      </c>
      <c r="AE427" s="136">
        <v>26</v>
      </c>
      <c r="AF427" s="137">
        <v>29</v>
      </c>
      <c r="AG427" s="137">
        <v>0</v>
      </c>
      <c r="AH427" s="138">
        <f t="shared" si="102"/>
        <v>55</v>
      </c>
      <c r="AI427" s="133">
        <f t="shared" si="103"/>
        <v>0.37414965986394561</v>
      </c>
    </row>
    <row r="428" spans="1:35">
      <c r="A428" s="171">
        <f>IF('09월 조업일지'!A424="","",'09월 조업일지'!A424)</f>
        <v>46281</v>
      </c>
      <c r="B428" s="172" t="str">
        <f>'09월 조업일지'!E424</f>
        <v>D</v>
      </c>
      <c r="C428" s="172" t="str">
        <f>'09월 조업일지'!F424</f>
        <v>B</v>
      </c>
      <c r="D428" s="172">
        <f>'09월 화학성분'!C425</f>
        <v>85627</v>
      </c>
      <c r="E428" s="205" t="str">
        <f t="shared" si="104"/>
        <v>S355JO-01</v>
      </c>
      <c r="F428" s="121">
        <v>20</v>
      </c>
      <c r="G428" s="122">
        <v>23400</v>
      </c>
      <c r="H428" s="123">
        <v>16</v>
      </c>
      <c r="I428" s="122">
        <v>20500</v>
      </c>
      <c r="J428" s="123">
        <v>8</v>
      </c>
      <c r="K428" s="122">
        <v>10600</v>
      </c>
      <c r="L428" s="124">
        <f t="shared" si="105"/>
        <v>44</v>
      </c>
      <c r="M428" s="125">
        <f t="shared" si="105"/>
        <v>54500</v>
      </c>
      <c r="N428" s="126">
        <f t="shared" si="92"/>
        <v>156.9416498993964</v>
      </c>
      <c r="O428" s="127">
        <f t="shared" si="93"/>
        <v>137.49161636485582</v>
      </c>
      <c r="P428" s="127">
        <f t="shared" si="94"/>
        <v>71.093226022803492</v>
      </c>
      <c r="Q428" s="128">
        <f t="shared" si="95"/>
        <v>365.5264922870557</v>
      </c>
      <c r="R428" s="129">
        <v>149.1</v>
      </c>
      <c r="S428" s="130">
        <v>0</v>
      </c>
      <c r="T428" s="131">
        <v>55</v>
      </c>
      <c r="U428" s="131">
        <v>302</v>
      </c>
      <c r="V428" s="132">
        <f t="shared" si="96"/>
        <v>357</v>
      </c>
      <c r="W428" s="133">
        <f t="shared" si="97"/>
        <v>2.3943661971830985</v>
      </c>
      <c r="X428" s="130">
        <v>1747</v>
      </c>
      <c r="Y428" s="131">
        <v>1585</v>
      </c>
      <c r="Z428" s="131">
        <v>891</v>
      </c>
      <c r="AA428" s="132">
        <f t="shared" si="98"/>
        <v>4223</v>
      </c>
      <c r="AB428" s="133">
        <f t="shared" si="99"/>
        <v>28.323272971160296</v>
      </c>
      <c r="AC428" s="134">
        <f t="shared" si="100"/>
        <v>4580</v>
      </c>
      <c r="AD428" s="135">
        <f t="shared" si="101"/>
        <v>30.717639168343396</v>
      </c>
      <c r="AE428" s="136">
        <v>24</v>
      </c>
      <c r="AF428" s="137">
        <v>24</v>
      </c>
      <c r="AG428" s="137">
        <v>0</v>
      </c>
      <c r="AH428" s="138">
        <f t="shared" si="102"/>
        <v>48</v>
      </c>
      <c r="AI428" s="133">
        <f t="shared" si="103"/>
        <v>0.32193158953722334</v>
      </c>
    </row>
    <row r="429" spans="1:35">
      <c r="A429" s="171">
        <f>IF('09월 조업일지'!A425="","",'09월 조업일지'!A425)</f>
        <v>46281</v>
      </c>
      <c r="B429" s="172" t="str">
        <f>'09월 조업일지'!E425</f>
        <v>D</v>
      </c>
      <c r="C429" s="172" t="str">
        <f>'09월 조업일지'!F425</f>
        <v>B</v>
      </c>
      <c r="D429" s="172">
        <f>'09월 화학성분'!C426</f>
        <v>85628</v>
      </c>
      <c r="E429" s="205" t="str">
        <f t="shared" si="104"/>
        <v>S355JO-01</v>
      </c>
      <c r="F429" s="121">
        <v>21</v>
      </c>
      <c r="G429" s="122">
        <v>23300</v>
      </c>
      <c r="H429" s="123">
        <v>17</v>
      </c>
      <c r="I429" s="122">
        <v>20400</v>
      </c>
      <c r="J429" s="123">
        <v>8</v>
      </c>
      <c r="K429" s="122">
        <v>10500</v>
      </c>
      <c r="L429" s="124">
        <f t="shared" si="105"/>
        <v>46</v>
      </c>
      <c r="M429" s="125">
        <f t="shared" si="105"/>
        <v>54200</v>
      </c>
      <c r="N429" s="126">
        <f t="shared" si="92"/>
        <v>158.71934604904632</v>
      </c>
      <c r="O429" s="127">
        <f t="shared" si="93"/>
        <v>138.96457765667574</v>
      </c>
      <c r="P429" s="127">
        <f t="shared" si="94"/>
        <v>71.525885558583099</v>
      </c>
      <c r="Q429" s="128">
        <f t="shared" si="95"/>
        <v>369.20980926430514</v>
      </c>
      <c r="R429" s="129">
        <v>146.80000000000001</v>
      </c>
      <c r="S429" s="130">
        <v>0</v>
      </c>
      <c r="T429" s="131">
        <v>167</v>
      </c>
      <c r="U429" s="131">
        <v>195</v>
      </c>
      <c r="V429" s="132">
        <f t="shared" si="96"/>
        <v>362</v>
      </c>
      <c r="W429" s="133">
        <f t="shared" si="97"/>
        <v>2.4659400544959125</v>
      </c>
      <c r="X429" s="130">
        <v>1658</v>
      </c>
      <c r="Y429" s="131">
        <v>1636</v>
      </c>
      <c r="Z429" s="131">
        <v>803</v>
      </c>
      <c r="AA429" s="132">
        <f t="shared" si="98"/>
        <v>4097</v>
      </c>
      <c r="AB429" s="133">
        <f t="shared" si="99"/>
        <v>27.908719346049043</v>
      </c>
      <c r="AC429" s="134">
        <f t="shared" si="100"/>
        <v>4459</v>
      </c>
      <c r="AD429" s="135">
        <f t="shared" si="101"/>
        <v>30.374659400544957</v>
      </c>
      <c r="AE429" s="136">
        <v>25</v>
      </c>
      <c r="AF429" s="137">
        <v>29</v>
      </c>
      <c r="AG429" s="137">
        <v>0</v>
      </c>
      <c r="AH429" s="138">
        <f t="shared" si="102"/>
        <v>54</v>
      </c>
      <c r="AI429" s="133">
        <f t="shared" si="103"/>
        <v>0.36784741144414168</v>
      </c>
    </row>
    <row r="430" spans="1:35">
      <c r="A430" s="171">
        <f>IF('09월 조업일지'!A426="","",'09월 조업일지'!A426)</f>
        <v>46281</v>
      </c>
      <c r="B430" s="172" t="str">
        <f>'09월 조업일지'!E426</f>
        <v>D</v>
      </c>
      <c r="C430" s="172" t="str">
        <f>'09월 조업일지'!F426</f>
        <v>B</v>
      </c>
      <c r="D430" s="172">
        <f>'09월 화학성분'!C427</f>
        <v>85629</v>
      </c>
      <c r="E430" s="205" t="str">
        <f t="shared" si="104"/>
        <v>S355JO-01</v>
      </c>
      <c r="F430" s="121">
        <v>20</v>
      </c>
      <c r="G430" s="122">
        <v>23400</v>
      </c>
      <c r="H430" s="123">
        <v>18</v>
      </c>
      <c r="I430" s="122">
        <v>20400</v>
      </c>
      <c r="J430" s="123">
        <v>8</v>
      </c>
      <c r="K430" s="122">
        <v>10800</v>
      </c>
      <c r="L430" s="124">
        <f t="shared" si="105"/>
        <v>46</v>
      </c>
      <c r="M430" s="125">
        <f t="shared" si="105"/>
        <v>54600</v>
      </c>
      <c r="N430" s="126">
        <f t="shared" si="92"/>
        <v>160.27397260273972</v>
      </c>
      <c r="O430" s="127">
        <f t="shared" si="93"/>
        <v>139.72602739726028</v>
      </c>
      <c r="P430" s="127">
        <f t="shared" si="94"/>
        <v>73.972602739726028</v>
      </c>
      <c r="Q430" s="128">
        <f t="shared" si="95"/>
        <v>373.97260273972603</v>
      </c>
      <c r="R430" s="129">
        <v>146</v>
      </c>
      <c r="S430" s="130">
        <v>0</v>
      </c>
      <c r="T430" s="131">
        <v>171</v>
      </c>
      <c r="U430" s="131">
        <v>182</v>
      </c>
      <c r="V430" s="132">
        <f t="shared" si="96"/>
        <v>353</v>
      </c>
      <c r="W430" s="133">
        <f t="shared" si="97"/>
        <v>2.4178082191780823</v>
      </c>
      <c r="X430" s="130">
        <v>1669</v>
      </c>
      <c r="Y430" s="131">
        <v>1599</v>
      </c>
      <c r="Z430" s="131">
        <v>871</v>
      </c>
      <c r="AA430" s="132">
        <f t="shared" si="98"/>
        <v>4139</v>
      </c>
      <c r="AB430" s="133">
        <f t="shared" si="99"/>
        <v>28.349315068493151</v>
      </c>
      <c r="AC430" s="134">
        <f t="shared" si="100"/>
        <v>4492</v>
      </c>
      <c r="AD430" s="135">
        <f t="shared" si="101"/>
        <v>30.767123287671232</v>
      </c>
      <c r="AE430" s="136">
        <v>26</v>
      </c>
      <c r="AF430" s="137">
        <v>24</v>
      </c>
      <c r="AG430" s="137">
        <v>0</v>
      </c>
      <c r="AH430" s="138">
        <f t="shared" si="102"/>
        <v>50</v>
      </c>
      <c r="AI430" s="133">
        <f t="shared" si="103"/>
        <v>0.34246575342465752</v>
      </c>
    </row>
    <row r="431" spans="1:35">
      <c r="A431" s="171">
        <f>IF('09월 조업일지'!A427="","",'09월 조업일지'!A427)</f>
        <v>46281</v>
      </c>
      <c r="B431" s="172" t="str">
        <f>'09월 조업일지'!E427</f>
        <v>D</v>
      </c>
      <c r="C431" s="172" t="str">
        <f>'09월 조업일지'!F427</f>
        <v>B</v>
      </c>
      <c r="D431" s="172">
        <f>'09월 화학성분'!C428</f>
        <v>85630</v>
      </c>
      <c r="E431" s="205" t="str">
        <f t="shared" si="104"/>
        <v>S355JO-01</v>
      </c>
      <c r="F431" s="121">
        <v>20</v>
      </c>
      <c r="G431" s="122">
        <v>23200</v>
      </c>
      <c r="H431" s="123">
        <v>17</v>
      </c>
      <c r="I431" s="122">
        <v>20800</v>
      </c>
      <c r="J431" s="123">
        <v>7</v>
      </c>
      <c r="K431" s="122">
        <v>8500</v>
      </c>
      <c r="L431" s="124">
        <f t="shared" si="105"/>
        <v>44</v>
      </c>
      <c r="M431" s="125">
        <f t="shared" si="105"/>
        <v>52500</v>
      </c>
      <c r="N431" s="126">
        <f t="shared" si="92"/>
        <v>157.93056501021101</v>
      </c>
      <c r="O431" s="127">
        <f t="shared" si="93"/>
        <v>141.59292035398229</v>
      </c>
      <c r="P431" s="127">
        <f t="shared" si="94"/>
        <v>57.862491490810072</v>
      </c>
      <c r="Q431" s="128">
        <f t="shared" si="95"/>
        <v>357.38597685500338</v>
      </c>
      <c r="R431" s="129">
        <v>146.9</v>
      </c>
      <c r="S431" s="130">
        <v>0</v>
      </c>
      <c r="T431" s="131">
        <v>189</v>
      </c>
      <c r="U431" s="131">
        <v>182</v>
      </c>
      <c r="V431" s="132">
        <f t="shared" si="96"/>
        <v>371</v>
      </c>
      <c r="W431" s="133">
        <f t="shared" si="97"/>
        <v>2.5255275697753574</v>
      </c>
      <c r="X431" s="130">
        <v>1636</v>
      </c>
      <c r="Y431" s="131">
        <v>1567</v>
      </c>
      <c r="Z431" s="131">
        <v>666</v>
      </c>
      <c r="AA431" s="132">
        <f t="shared" si="98"/>
        <v>3869</v>
      </c>
      <c r="AB431" s="133">
        <f t="shared" si="99"/>
        <v>26.337644656228726</v>
      </c>
      <c r="AC431" s="134">
        <f t="shared" si="100"/>
        <v>4240</v>
      </c>
      <c r="AD431" s="135">
        <f t="shared" si="101"/>
        <v>28.863172226004082</v>
      </c>
      <c r="AE431" s="136">
        <v>26</v>
      </c>
      <c r="AF431" s="137">
        <v>26</v>
      </c>
      <c r="AG431" s="137">
        <v>0</v>
      </c>
      <c r="AH431" s="138">
        <f t="shared" si="102"/>
        <v>52</v>
      </c>
      <c r="AI431" s="133">
        <f t="shared" si="103"/>
        <v>0.35398230088495575</v>
      </c>
    </row>
    <row r="432" spans="1:35">
      <c r="A432" s="171">
        <f>IF('09월 조업일지'!A428="","",'09월 조업일지'!A428)</f>
        <v>46281</v>
      </c>
      <c r="B432" s="172" t="str">
        <f>'09월 조업일지'!E428</f>
        <v>D</v>
      </c>
      <c r="C432" s="172" t="str">
        <f>'09월 조업일지'!F428</f>
        <v>B</v>
      </c>
      <c r="D432" s="172">
        <f>'09월 화학성분'!C429</f>
        <v>85631</v>
      </c>
      <c r="E432" s="205" t="str">
        <f t="shared" si="104"/>
        <v>S355JO-01</v>
      </c>
      <c r="F432" s="121">
        <v>21</v>
      </c>
      <c r="G432" s="122">
        <v>23100</v>
      </c>
      <c r="H432" s="123">
        <v>18</v>
      </c>
      <c r="I432" s="122">
        <v>21100</v>
      </c>
      <c r="J432" s="123">
        <v>7</v>
      </c>
      <c r="K432" s="122">
        <v>8900</v>
      </c>
      <c r="L432" s="124">
        <f t="shared" si="105"/>
        <v>46</v>
      </c>
      <c r="M432" s="125">
        <f t="shared" si="105"/>
        <v>53100</v>
      </c>
      <c r="N432" s="126">
        <f t="shared" si="92"/>
        <v>157.4642126789366</v>
      </c>
      <c r="O432" s="127">
        <f t="shared" si="93"/>
        <v>143.83094751192911</v>
      </c>
      <c r="P432" s="127">
        <f t="shared" si="94"/>
        <v>60.668029993183374</v>
      </c>
      <c r="Q432" s="128">
        <f t="shared" si="95"/>
        <v>361.9631901840491</v>
      </c>
      <c r="R432" s="129">
        <v>146.69999999999999</v>
      </c>
      <c r="S432" s="130">
        <v>0</v>
      </c>
      <c r="T432" s="131">
        <v>156</v>
      </c>
      <c r="U432" s="131">
        <v>197</v>
      </c>
      <c r="V432" s="132">
        <f t="shared" si="96"/>
        <v>353</v>
      </c>
      <c r="W432" s="133">
        <f t="shared" si="97"/>
        <v>2.4062713019768238</v>
      </c>
      <c r="X432" s="130">
        <v>1630</v>
      </c>
      <c r="Y432" s="131">
        <v>1662</v>
      </c>
      <c r="Z432" s="131">
        <v>745</v>
      </c>
      <c r="AA432" s="132">
        <f t="shared" si="98"/>
        <v>4037</v>
      </c>
      <c r="AB432" s="133">
        <f t="shared" si="99"/>
        <v>27.518745739604636</v>
      </c>
      <c r="AC432" s="134">
        <f t="shared" si="100"/>
        <v>4390</v>
      </c>
      <c r="AD432" s="135">
        <f t="shared" si="101"/>
        <v>29.925017041581462</v>
      </c>
      <c r="AE432" s="136">
        <v>26</v>
      </c>
      <c r="AF432" s="137">
        <v>24</v>
      </c>
      <c r="AG432" s="137">
        <v>0</v>
      </c>
      <c r="AH432" s="138">
        <f t="shared" si="102"/>
        <v>50</v>
      </c>
      <c r="AI432" s="133">
        <f t="shared" si="103"/>
        <v>0.3408316291751875</v>
      </c>
    </row>
    <row r="433" spans="1:35">
      <c r="A433" s="171">
        <f>IF('09월 조업일지'!A429="","",'09월 조업일지'!A429)</f>
        <v>46281</v>
      </c>
      <c r="B433" s="172" t="str">
        <f>'09월 조업일지'!E429</f>
        <v>B</v>
      </c>
      <c r="C433" s="172" t="str">
        <f>'09월 조업일지'!F429</f>
        <v>B</v>
      </c>
      <c r="D433" s="172">
        <f>'09월 화학성분'!C430</f>
        <v>85632</v>
      </c>
      <c r="E433" s="205" t="str">
        <f t="shared" si="104"/>
        <v>S355JO-01</v>
      </c>
      <c r="F433" s="121">
        <v>21</v>
      </c>
      <c r="G433" s="122">
        <v>23500</v>
      </c>
      <c r="H433" s="123">
        <v>17</v>
      </c>
      <c r="I433" s="122">
        <v>20300</v>
      </c>
      <c r="J433" s="123">
        <v>9</v>
      </c>
      <c r="K433" s="122">
        <v>10600</v>
      </c>
      <c r="L433" s="124">
        <f t="shared" si="105"/>
        <v>47</v>
      </c>
      <c r="M433" s="125">
        <f t="shared" si="105"/>
        <v>54400</v>
      </c>
      <c r="N433" s="126">
        <f t="shared" si="92"/>
        <v>159.43012211668926</v>
      </c>
      <c r="O433" s="127">
        <f t="shared" si="93"/>
        <v>137.72048846675713</v>
      </c>
      <c r="P433" s="127">
        <f t="shared" si="94"/>
        <v>71.913161465400265</v>
      </c>
      <c r="Q433" s="128">
        <f t="shared" si="95"/>
        <v>369.06377204884666</v>
      </c>
      <c r="R433" s="129">
        <v>147.4</v>
      </c>
      <c r="S433" s="130">
        <v>0</v>
      </c>
      <c r="T433" s="131">
        <v>190</v>
      </c>
      <c r="U433" s="131">
        <v>240</v>
      </c>
      <c r="V433" s="132">
        <f t="shared" si="96"/>
        <v>430</v>
      </c>
      <c r="W433" s="133">
        <f t="shared" si="97"/>
        <v>2.9172320217096335</v>
      </c>
      <c r="X433" s="130">
        <v>1788</v>
      </c>
      <c r="Y433" s="131">
        <v>1616</v>
      </c>
      <c r="Z433" s="131">
        <v>929</v>
      </c>
      <c r="AA433" s="132">
        <f t="shared" si="98"/>
        <v>4333</v>
      </c>
      <c r="AB433" s="133">
        <f t="shared" si="99"/>
        <v>29.396200814111261</v>
      </c>
      <c r="AC433" s="134">
        <f t="shared" si="100"/>
        <v>4763</v>
      </c>
      <c r="AD433" s="135">
        <f t="shared" si="101"/>
        <v>32.313432835820898</v>
      </c>
      <c r="AE433" s="136">
        <v>33</v>
      </c>
      <c r="AF433" s="137">
        <v>28</v>
      </c>
      <c r="AG433" s="137">
        <v>0</v>
      </c>
      <c r="AH433" s="138">
        <f t="shared" si="102"/>
        <v>61</v>
      </c>
      <c r="AI433" s="133">
        <f t="shared" si="103"/>
        <v>0.41383989145183175</v>
      </c>
    </row>
    <row r="434" spans="1:35">
      <c r="A434" s="171">
        <f>IF('09월 조업일지'!A430="","",'09월 조업일지'!A430)</f>
        <v>46281</v>
      </c>
      <c r="B434" s="172" t="str">
        <f>'09월 조업일지'!E430</f>
        <v>B</v>
      </c>
      <c r="C434" s="172" t="str">
        <f>'09월 조업일지'!F430</f>
        <v>B</v>
      </c>
      <c r="D434" s="172">
        <f>'09월 화학성분'!C431</f>
        <v>85633</v>
      </c>
      <c r="E434" s="351" t="s">
        <v>335</v>
      </c>
      <c r="F434" s="121">
        <v>20</v>
      </c>
      <c r="G434" s="122">
        <v>23800</v>
      </c>
      <c r="H434" s="123">
        <v>18</v>
      </c>
      <c r="I434" s="122">
        <v>20900</v>
      </c>
      <c r="J434" s="123">
        <v>6</v>
      </c>
      <c r="K434" s="122">
        <v>8600</v>
      </c>
      <c r="L434" s="124">
        <f t="shared" si="105"/>
        <v>44</v>
      </c>
      <c r="M434" s="125">
        <f t="shared" si="105"/>
        <v>53300</v>
      </c>
      <c r="N434" s="126">
        <f t="shared" si="92"/>
        <v>162.45733788395904</v>
      </c>
      <c r="O434" s="127">
        <f t="shared" si="93"/>
        <v>142.66211604095562</v>
      </c>
      <c r="P434" s="127">
        <f t="shared" si="94"/>
        <v>58.703071672354952</v>
      </c>
      <c r="Q434" s="128">
        <f t="shared" si="95"/>
        <v>363.82252559726959</v>
      </c>
      <c r="R434" s="129">
        <v>146.5</v>
      </c>
      <c r="S434" s="130">
        <v>0</v>
      </c>
      <c r="T434" s="131">
        <v>198</v>
      </c>
      <c r="U434" s="131">
        <v>112</v>
      </c>
      <c r="V434" s="132">
        <f t="shared" si="96"/>
        <v>310</v>
      </c>
      <c r="W434" s="133">
        <f t="shared" si="97"/>
        <v>2.1160409556313993</v>
      </c>
      <c r="X434" s="130">
        <v>1760</v>
      </c>
      <c r="Y434" s="131">
        <v>1564</v>
      </c>
      <c r="Z434" s="131">
        <v>726</v>
      </c>
      <c r="AA434" s="132">
        <f t="shared" si="98"/>
        <v>4050</v>
      </c>
      <c r="AB434" s="133">
        <f t="shared" si="99"/>
        <v>27.645051194539249</v>
      </c>
      <c r="AC434" s="134">
        <f t="shared" si="100"/>
        <v>4360</v>
      </c>
      <c r="AD434" s="135">
        <f t="shared" si="101"/>
        <v>29.761092150170647</v>
      </c>
      <c r="AE434" s="136">
        <v>26</v>
      </c>
      <c r="AF434" s="137">
        <v>20</v>
      </c>
      <c r="AG434" s="137">
        <v>0</v>
      </c>
      <c r="AH434" s="138">
        <f t="shared" si="102"/>
        <v>46</v>
      </c>
      <c r="AI434" s="133">
        <f t="shared" si="103"/>
        <v>0.31399317406143346</v>
      </c>
    </row>
    <row r="435" spans="1:35">
      <c r="A435" s="171">
        <f>IF('09월 조업일지'!A431="","",'09월 조업일지'!A431)</f>
        <v>46281</v>
      </c>
      <c r="B435" s="172" t="str">
        <f>'09월 조업일지'!E431</f>
        <v>B</v>
      </c>
      <c r="C435" s="172" t="str">
        <f>'09월 조업일지'!F431</f>
        <v>B</v>
      </c>
      <c r="D435" s="172">
        <f>'09월 화학성분'!C432</f>
        <v>85634</v>
      </c>
      <c r="E435" s="205" t="str">
        <f t="shared" si="104"/>
        <v>SS400-02</v>
      </c>
      <c r="F435" s="121">
        <v>22</v>
      </c>
      <c r="G435" s="122">
        <v>23500</v>
      </c>
      <c r="H435" s="123">
        <v>17</v>
      </c>
      <c r="I435" s="122">
        <v>20500</v>
      </c>
      <c r="J435" s="123">
        <v>10</v>
      </c>
      <c r="K435" s="122">
        <v>12100</v>
      </c>
      <c r="L435" s="124">
        <f t="shared" si="105"/>
        <v>49</v>
      </c>
      <c r="M435" s="125">
        <f t="shared" si="105"/>
        <v>56100</v>
      </c>
      <c r="N435" s="126">
        <f t="shared" si="92"/>
        <v>160.51912568306011</v>
      </c>
      <c r="O435" s="127">
        <f t="shared" si="93"/>
        <v>140.02732240437157</v>
      </c>
      <c r="P435" s="127">
        <f t="shared" si="94"/>
        <v>82.650273224043715</v>
      </c>
      <c r="Q435" s="128">
        <f t="shared" si="95"/>
        <v>383.19672131147541</v>
      </c>
      <c r="R435" s="129">
        <v>146.4</v>
      </c>
      <c r="S435" s="130">
        <v>0</v>
      </c>
      <c r="T435" s="131">
        <v>151</v>
      </c>
      <c r="U435" s="131">
        <v>186</v>
      </c>
      <c r="V435" s="132">
        <f t="shared" si="96"/>
        <v>337</v>
      </c>
      <c r="W435" s="133">
        <f t="shared" si="97"/>
        <v>2.3019125683060109</v>
      </c>
      <c r="X435" s="130">
        <v>1629</v>
      </c>
      <c r="Y435" s="131">
        <v>1599</v>
      </c>
      <c r="Z435" s="131">
        <v>1058</v>
      </c>
      <c r="AA435" s="132">
        <f t="shared" si="98"/>
        <v>4286</v>
      </c>
      <c r="AB435" s="133">
        <f t="shared" si="99"/>
        <v>29.275956284153004</v>
      </c>
      <c r="AC435" s="134">
        <f t="shared" si="100"/>
        <v>4623</v>
      </c>
      <c r="AD435" s="135">
        <f t="shared" si="101"/>
        <v>31.577868852459016</v>
      </c>
      <c r="AE435" s="136">
        <v>26</v>
      </c>
      <c r="AF435" s="137">
        <v>30</v>
      </c>
      <c r="AG435" s="137">
        <v>0</v>
      </c>
      <c r="AH435" s="138">
        <f t="shared" si="102"/>
        <v>56</v>
      </c>
      <c r="AI435" s="133">
        <f t="shared" si="103"/>
        <v>0.38251366120218577</v>
      </c>
    </row>
    <row r="436" spans="1:35">
      <c r="A436" s="171">
        <f>IF('09월 조업일지'!A432="","",'09월 조업일지'!A432)</f>
        <v>46281</v>
      </c>
      <c r="B436" s="172" t="str">
        <f>'09월 조업일지'!E432</f>
        <v>B</v>
      </c>
      <c r="C436" s="172" t="str">
        <f>'09월 조업일지'!F432</f>
        <v>B</v>
      </c>
      <c r="D436" s="172">
        <f>'09월 화학성분'!C433</f>
        <v>85635</v>
      </c>
      <c r="E436" s="351" t="s">
        <v>336</v>
      </c>
      <c r="F436" s="121">
        <v>26</v>
      </c>
      <c r="G436" s="122">
        <v>21400</v>
      </c>
      <c r="H436" s="123">
        <v>19</v>
      </c>
      <c r="I436" s="122">
        <v>20700</v>
      </c>
      <c r="J436" s="123">
        <v>10</v>
      </c>
      <c r="K436" s="122">
        <v>13200</v>
      </c>
      <c r="L436" s="124">
        <f t="shared" si="105"/>
        <v>55</v>
      </c>
      <c r="M436" s="125">
        <f t="shared" si="105"/>
        <v>55300</v>
      </c>
      <c r="N436" s="126">
        <f t="shared" si="92"/>
        <v>144.01076716016152</v>
      </c>
      <c r="O436" s="127">
        <f t="shared" si="93"/>
        <v>139.30013458950202</v>
      </c>
      <c r="P436" s="127">
        <f t="shared" si="94"/>
        <v>88.829071332436072</v>
      </c>
      <c r="Q436" s="128">
        <f t="shared" si="95"/>
        <v>372.13997308209963</v>
      </c>
      <c r="R436" s="129">
        <v>148.6</v>
      </c>
      <c r="S436" s="130">
        <v>0</v>
      </c>
      <c r="T436" s="131">
        <v>190</v>
      </c>
      <c r="U436" s="131">
        <v>225</v>
      </c>
      <c r="V436" s="132">
        <f t="shared" si="96"/>
        <v>415</v>
      </c>
      <c r="W436" s="133">
        <f t="shared" si="97"/>
        <v>2.7927321668909828</v>
      </c>
      <c r="X436" s="130">
        <v>1859</v>
      </c>
      <c r="Y436" s="131">
        <v>1711</v>
      </c>
      <c r="Z436" s="131">
        <v>1251</v>
      </c>
      <c r="AA436" s="132">
        <f t="shared" si="98"/>
        <v>4821</v>
      </c>
      <c r="AB436" s="133">
        <f t="shared" si="99"/>
        <v>32.442799461641997</v>
      </c>
      <c r="AC436" s="134">
        <f t="shared" si="100"/>
        <v>5236</v>
      </c>
      <c r="AD436" s="135">
        <f t="shared" si="101"/>
        <v>35.235531628532975</v>
      </c>
      <c r="AE436" s="136">
        <v>41</v>
      </c>
      <c r="AF436" s="137">
        <v>23</v>
      </c>
      <c r="AG436" s="137">
        <v>0</v>
      </c>
      <c r="AH436" s="138">
        <f t="shared" si="102"/>
        <v>64</v>
      </c>
      <c r="AI436" s="133">
        <f t="shared" si="103"/>
        <v>0.4306864064602961</v>
      </c>
    </row>
    <row r="437" spans="1:35">
      <c r="A437" s="171">
        <f>IF('09월 조업일지'!A433="","",'09월 조업일지'!A433)</f>
        <v>46281</v>
      </c>
      <c r="B437" s="172" t="str">
        <f>'09월 조업일지'!E433</f>
        <v>B</v>
      </c>
      <c r="C437" s="172" t="str">
        <f>'09월 조업일지'!F433</f>
        <v>A</v>
      </c>
      <c r="D437" s="172">
        <f>'09월 화학성분'!C434</f>
        <v>85636</v>
      </c>
      <c r="E437" s="205" t="str">
        <f t="shared" si="104"/>
        <v>S355JO-01</v>
      </c>
      <c r="F437" s="121">
        <v>20</v>
      </c>
      <c r="G437" s="122">
        <v>24000</v>
      </c>
      <c r="H437" s="123">
        <v>17</v>
      </c>
      <c r="I437" s="122">
        <v>20700</v>
      </c>
      <c r="J437" s="123">
        <v>8</v>
      </c>
      <c r="K437" s="122">
        <v>10700</v>
      </c>
      <c r="L437" s="124">
        <f t="shared" si="105"/>
        <v>45</v>
      </c>
      <c r="M437" s="125">
        <f t="shared" si="105"/>
        <v>55400</v>
      </c>
      <c r="N437" s="126">
        <f t="shared" si="92"/>
        <v>162.93279022403257</v>
      </c>
      <c r="O437" s="127">
        <f t="shared" si="93"/>
        <v>140.52953156822809</v>
      </c>
      <c r="P437" s="127">
        <f t="shared" si="94"/>
        <v>72.640868974881187</v>
      </c>
      <c r="Q437" s="128">
        <f t="shared" si="95"/>
        <v>376.10319076714188</v>
      </c>
      <c r="R437" s="129">
        <v>147.30000000000001</v>
      </c>
      <c r="S437" s="130">
        <v>0</v>
      </c>
      <c r="T437" s="131">
        <v>226</v>
      </c>
      <c r="U437" s="131">
        <v>137</v>
      </c>
      <c r="V437" s="132">
        <f t="shared" si="96"/>
        <v>363</v>
      </c>
      <c r="W437" s="133">
        <f t="shared" si="97"/>
        <v>2.4643584521384927</v>
      </c>
      <c r="X437" s="130">
        <v>1670</v>
      </c>
      <c r="Y437" s="131">
        <v>1737</v>
      </c>
      <c r="Z437" s="131">
        <v>843</v>
      </c>
      <c r="AA437" s="132">
        <f t="shared" si="98"/>
        <v>4250</v>
      </c>
      <c r="AB437" s="133">
        <f t="shared" si="99"/>
        <v>28.852681602172435</v>
      </c>
      <c r="AC437" s="134">
        <f t="shared" si="100"/>
        <v>4613</v>
      </c>
      <c r="AD437" s="135">
        <f t="shared" si="101"/>
        <v>31.317040054310926</v>
      </c>
      <c r="AE437" s="136">
        <v>27</v>
      </c>
      <c r="AF437" s="137">
        <v>33</v>
      </c>
      <c r="AG437" s="137">
        <v>0</v>
      </c>
      <c r="AH437" s="138">
        <f t="shared" si="102"/>
        <v>60</v>
      </c>
      <c r="AI437" s="133">
        <f t="shared" si="103"/>
        <v>0.40733197556008144</v>
      </c>
    </row>
    <row r="438" spans="1:35">
      <c r="A438" s="171">
        <f>IF('09월 조업일지'!A434="","",'09월 조업일지'!A434)</f>
        <v>46281</v>
      </c>
      <c r="B438" s="172" t="str">
        <f>'09월 조업일지'!E434</f>
        <v>B</v>
      </c>
      <c r="C438" s="172" t="str">
        <f>'09월 조업일지'!F434</f>
        <v>B</v>
      </c>
      <c r="D438" s="172">
        <f>'09월 화학성분'!C435</f>
        <v>85637</v>
      </c>
      <c r="E438" s="205" t="str">
        <f t="shared" si="104"/>
        <v>S355JO-01</v>
      </c>
      <c r="F438" s="121">
        <v>20</v>
      </c>
      <c r="G438" s="122">
        <v>23700</v>
      </c>
      <c r="H438" s="123">
        <v>18</v>
      </c>
      <c r="I438" s="122">
        <v>20700</v>
      </c>
      <c r="J438" s="123">
        <v>8</v>
      </c>
      <c r="K438" s="122">
        <v>11000</v>
      </c>
      <c r="L438" s="124">
        <f t="shared" si="105"/>
        <v>46</v>
      </c>
      <c r="M438" s="125">
        <f t="shared" si="105"/>
        <v>55400</v>
      </c>
      <c r="N438" s="126">
        <f t="shared" si="92"/>
        <v>159.4885598923284</v>
      </c>
      <c r="O438" s="127">
        <f t="shared" si="93"/>
        <v>139.30013458950202</v>
      </c>
      <c r="P438" s="127">
        <f t="shared" si="94"/>
        <v>74.024226110363401</v>
      </c>
      <c r="Q438" s="128">
        <f t="shared" si="95"/>
        <v>372.81292059219379</v>
      </c>
      <c r="R438" s="129">
        <v>148.6</v>
      </c>
      <c r="S438" s="130">
        <v>0</v>
      </c>
      <c r="T438" s="131">
        <v>160</v>
      </c>
      <c r="U438" s="131">
        <v>164</v>
      </c>
      <c r="V438" s="132">
        <f t="shared" si="96"/>
        <v>324</v>
      </c>
      <c r="W438" s="133">
        <f t="shared" si="97"/>
        <v>2.1803499327052491</v>
      </c>
      <c r="X438" s="130">
        <v>1743</v>
      </c>
      <c r="Y438" s="131">
        <v>1613</v>
      </c>
      <c r="Z438" s="131">
        <v>914</v>
      </c>
      <c r="AA438" s="132">
        <f t="shared" si="98"/>
        <v>4270</v>
      </c>
      <c r="AB438" s="133">
        <f t="shared" si="99"/>
        <v>28.734858681022882</v>
      </c>
      <c r="AC438" s="134">
        <f t="shared" si="100"/>
        <v>4594</v>
      </c>
      <c r="AD438" s="135">
        <f t="shared" si="101"/>
        <v>30.915208613728129</v>
      </c>
      <c r="AE438" s="136">
        <v>23</v>
      </c>
      <c r="AF438" s="137">
        <v>23</v>
      </c>
      <c r="AG438" s="137">
        <v>0</v>
      </c>
      <c r="AH438" s="138">
        <f t="shared" si="102"/>
        <v>46</v>
      </c>
      <c r="AI438" s="133">
        <f t="shared" si="103"/>
        <v>0.30955585464333785</v>
      </c>
    </row>
    <row r="439" spans="1:35">
      <c r="A439" s="171">
        <f>IF('09월 조업일지'!A435="","",'09월 조업일지'!A435)</f>
        <v>46281</v>
      </c>
      <c r="B439" s="172" t="str">
        <f>'09월 조업일지'!E435</f>
        <v>B</v>
      </c>
      <c r="C439" s="172" t="str">
        <f>'09월 조업일지'!F435</f>
        <v>A</v>
      </c>
      <c r="D439" s="172">
        <f>'09월 화학성분'!C436</f>
        <v>85638</v>
      </c>
      <c r="E439" s="205" t="str">
        <f t="shared" si="104"/>
        <v>S355JO-01</v>
      </c>
      <c r="F439" s="121">
        <v>20</v>
      </c>
      <c r="G439" s="122">
        <v>23500</v>
      </c>
      <c r="H439" s="123">
        <v>16</v>
      </c>
      <c r="I439" s="122">
        <v>20500</v>
      </c>
      <c r="J439" s="123">
        <v>5</v>
      </c>
      <c r="K439" s="122">
        <v>6700</v>
      </c>
      <c r="L439" s="124">
        <f t="shared" si="105"/>
        <v>41</v>
      </c>
      <c r="M439" s="125">
        <f t="shared" si="105"/>
        <v>50700</v>
      </c>
      <c r="N439" s="126">
        <f t="shared" si="92"/>
        <v>160.19086571233811</v>
      </c>
      <c r="O439" s="127">
        <f t="shared" si="93"/>
        <v>139.74096796182687</v>
      </c>
      <c r="P439" s="127">
        <f t="shared" si="94"/>
        <v>45.671438309475121</v>
      </c>
      <c r="Q439" s="128">
        <f t="shared" si="95"/>
        <v>345.60327198364007</v>
      </c>
      <c r="R439" s="129">
        <v>146.69999999999999</v>
      </c>
      <c r="S439" s="130">
        <v>0</v>
      </c>
      <c r="T439" s="131">
        <v>121</v>
      </c>
      <c r="U439" s="131">
        <v>168</v>
      </c>
      <c r="V439" s="132">
        <f t="shared" si="96"/>
        <v>289</v>
      </c>
      <c r="W439" s="133">
        <f t="shared" si="97"/>
        <v>1.9700068166325837</v>
      </c>
      <c r="X439" s="130">
        <v>1636</v>
      </c>
      <c r="Y439" s="131">
        <v>1593</v>
      </c>
      <c r="Z439" s="131">
        <v>577</v>
      </c>
      <c r="AA439" s="132">
        <f t="shared" si="98"/>
        <v>3806</v>
      </c>
      <c r="AB439" s="133">
        <f t="shared" si="99"/>
        <v>25.944103612815272</v>
      </c>
      <c r="AC439" s="134">
        <f t="shared" si="100"/>
        <v>4095</v>
      </c>
      <c r="AD439" s="135">
        <f t="shared" si="101"/>
        <v>27.914110429447856</v>
      </c>
      <c r="AE439" s="136">
        <v>25</v>
      </c>
      <c r="AF439" s="137">
        <v>27</v>
      </c>
      <c r="AG439" s="137">
        <v>0</v>
      </c>
      <c r="AH439" s="138">
        <f t="shared" si="102"/>
        <v>52</v>
      </c>
      <c r="AI439" s="133">
        <f t="shared" si="103"/>
        <v>0.35446489434219497</v>
      </c>
    </row>
    <row r="440" spans="1:35">
      <c r="A440" s="171">
        <f>IF('09월 조업일지'!A436="","",'09월 조업일지'!A436)</f>
        <v>46281</v>
      </c>
      <c r="B440" s="172" t="str">
        <f>'09월 조업일지'!E436</f>
        <v>B</v>
      </c>
      <c r="C440" s="352" t="str">
        <f>'09월 조업일지'!F436</f>
        <v>B</v>
      </c>
      <c r="D440" s="172">
        <f>'09월 화학성분'!C437</f>
        <v>85639</v>
      </c>
      <c r="E440" s="205" t="str">
        <f t="shared" si="104"/>
        <v>S355JO-01</v>
      </c>
      <c r="F440" s="121">
        <v>21</v>
      </c>
      <c r="G440" s="122">
        <v>23700</v>
      </c>
      <c r="H440" s="123">
        <v>18</v>
      </c>
      <c r="I440" s="122">
        <v>20500</v>
      </c>
      <c r="J440" s="123">
        <v>7</v>
      </c>
      <c r="K440" s="122">
        <v>8200</v>
      </c>
      <c r="L440" s="124">
        <f t="shared" si="105"/>
        <v>46</v>
      </c>
      <c r="M440" s="125">
        <f t="shared" si="105"/>
        <v>52400</v>
      </c>
      <c r="N440" s="126">
        <f t="shared" si="92"/>
        <v>161.88524590163934</v>
      </c>
      <c r="O440" s="127">
        <f t="shared" si="93"/>
        <v>140.02732240437157</v>
      </c>
      <c r="P440" s="127">
        <f t="shared" si="94"/>
        <v>56.010928961748633</v>
      </c>
      <c r="Q440" s="128">
        <f t="shared" si="95"/>
        <v>357.92349726775956</v>
      </c>
      <c r="R440" s="129">
        <v>146.4</v>
      </c>
      <c r="S440" s="130">
        <v>0</v>
      </c>
      <c r="T440" s="131">
        <v>46</v>
      </c>
      <c r="U440" s="131">
        <v>280</v>
      </c>
      <c r="V440" s="132">
        <f t="shared" si="96"/>
        <v>326</v>
      </c>
      <c r="W440" s="133">
        <f t="shared" si="97"/>
        <v>2.2267759562841527</v>
      </c>
      <c r="X440" s="130">
        <v>1671</v>
      </c>
      <c r="Y440" s="131">
        <v>1637</v>
      </c>
      <c r="Z440" s="131">
        <v>698</v>
      </c>
      <c r="AA440" s="132">
        <f t="shared" si="98"/>
        <v>4006</v>
      </c>
      <c r="AB440" s="133">
        <f t="shared" si="99"/>
        <v>27.363387978142075</v>
      </c>
      <c r="AC440" s="134">
        <f t="shared" si="100"/>
        <v>4332</v>
      </c>
      <c r="AD440" s="135">
        <f t="shared" si="101"/>
        <v>29.590163934426229</v>
      </c>
      <c r="AE440" s="136">
        <v>22</v>
      </c>
      <c r="AF440" s="137">
        <v>31</v>
      </c>
      <c r="AG440" s="137">
        <v>0</v>
      </c>
      <c r="AH440" s="138">
        <f t="shared" si="102"/>
        <v>53</v>
      </c>
      <c r="AI440" s="133">
        <f t="shared" si="103"/>
        <v>0.36202185792349728</v>
      </c>
    </row>
    <row r="441" spans="1:35">
      <c r="A441" s="171">
        <f>IF('09월 조업일지'!A437="","",'09월 조업일지'!A437)</f>
        <v>46281</v>
      </c>
      <c r="B441" s="172" t="str">
        <f>'09월 조업일지'!E437</f>
        <v>B</v>
      </c>
      <c r="C441" s="172" t="str">
        <f>'09월 조업일지'!F437</f>
        <v>A</v>
      </c>
      <c r="D441" s="172">
        <f>'09월 화학성분'!C438</f>
        <v>85640</v>
      </c>
      <c r="E441" s="205" t="str">
        <f t="shared" si="104"/>
        <v>S355JO-01</v>
      </c>
      <c r="F441" s="121">
        <v>20</v>
      </c>
      <c r="G441" s="122">
        <v>23500</v>
      </c>
      <c r="H441" s="123">
        <v>18</v>
      </c>
      <c r="I441" s="122">
        <v>20400</v>
      </c>
      <c r="J441" s="123">
        <v>8</v>
      </c>
      <c r="K441" s="122">
        <v>10900</v>
      </c>
      <c r="L441" s="124">
        <f t="shared" si="105"/>
        <v>46</v>
      </c>
      <c r="M441" s="125">
        <f t="shared" si="105"/>
        <v>54800</v>
      </c>
      <c r="N441" s="126">
        <f t="shared" si="92"/>
        <v>157.82404298186702</v>
      </c>
      <c r="O441" s="127">
        <f t="shared" si="93"/>
        <v>137.00470114170585</v>
      </c>
      <c r="P441" s="127">
        <f t="shared" si="94"/>
        <v>73.203492276695769</v>
      </c>
      <c r="Q441" s="128">
        <f t="shared" si="95"/>
        <v>368.03223640026863</v>
      </c>
      <c r="R441" s="129">
        <v>148.9</v>
      </c>
      <c r="S441" s="130">
        <v>0</v>
      </c>
      <c r="T441" s="131">
        <v>79</v>
      </c>
      <c r="U441" s="131">
        <v>292</v>
      </c>
      <c r="V441" s="132">
        <f t="shared" si="96"/>
        <v>371</v>
      </c>
      <c r="W441" s="133">
        <f t="shared" si="97"/>
        <v>2.4916051040967093</v>
      </c>
      <c r="X441" s="130">
        <v>1710</v>
      </c>
      <c r="Y441" s="131">
        <v>1666</v>
      </c>
      <c r="Z441" s="131">
        <v>1151</v>
      </c>
      <c r="AA441" s="132">
        <f t="shared" si="98"/>
        <v>4527</v>
      </c>
      <c r="AB441" s="133">
        <f t="shared" si="99"/>
        <v>30.402955003357956</v>
      </c>
      <c r="AC441" s="134">
        <f t="shared" si="100"/>
        <v>4898</v>
      </c>
      <c r="AD441" s="135">
        <f t="shared" si="101"/>
        <v>32.894560107454666</v>
      </c>
      <c r="AE441" s="136">
        <v>25</v>
      </c>
      <c r="AF441" s="137">
        <v>24</v>
      </c>
      <c r="AG441" s="137">
        <v>0</v>
      </c>
      <c r="AH441" s="138">
        <f t="shared" si="102"/>
        <v>49</v>
      </c>
      <c r="AI441" s="133">
        <f t="shared" si="103"/>
        <v>0.32907991940899933</v>
      </c>
    </row>
    <row r="442" spans="1:35">
      <c r="A442" s="171">
        <f>IF('09월 조업일지'!A438="","",'09월 조업일지'!A438)</f>
        <v>46281</v>
      </c>
      <c r="B442" s="172" t="str">
        <f>'09월 조업일지'!E438</f>
        <v>C</v>
      </c>
      <c r="C442" s="172" t="str">
        <f>'09월 조업일지'!F438</f>
        <v>B</v>
      </c>
      <c r="D442" s="172">
        <f>'09월 화학성분'!C439</f>
        <v>85641</v>
      </c>
      <c r="E442" s="205" t="str">
        <f t="shared" si="104"/>
        <v>S355JO-01</v>
      </c>
      <c r="F442" s="121">
        <v>21</v>
      </c>
      <c r="G442" s="122">
        <v>23600</v>
      </c>
      <c r="H442" s="123">
        <v>18</v>
      </c>
      <c r="I442" s="122">
        <v>20600</v>
      </c>
      <c r="J442" s="123">
        <v>8</v>
      </c>
      <c r="K442" s="122">
        <v>10600</v>
      </c>
      <c r="L442" s="124">
        <f t="shared" si="105"/>
        <v>47</v>
      </c>
      <c r="M442" s="125">
        <f t="shared" si="105"/>
        <v>54800</v>
      </c>
      <c r="N442" s="126">
        <f t="shared" si="92"/>
        <v>160.87252897068851</v>
      </c>
      <c r="O442" s="127">
        <f t="shared" si="93"/>
        <v>140.42263122017724</v>
      </c>
      <c r="P442" s="127">
        <f t="shared" si="94"/>
        <v>72.25630538513974</v>
      </c>
      <c r="Q442" s="128">
        <f t="shared" si="95"/>
        <v>373.55146557600551</v>
      </c>
      <c r="R442" s="129">
        <v>146.69999999999999</v>
      </c>
      <c r="S442" s="130">
        <v>0</v>
      </c>
      <c r="T442" s="131">
        <v>71</v>
      </c>
      <c r="U442" s="131">
        <v>424</v>
      </c>
      <c r="V442" s="132">
        <f t="shared" si="96"/>
        <v>495</v>
      </c>
      <c r="W442" s="133">
        <f t="shared" si="97"/>
        <v>3.3742331288343559</v>
      </c>
      <c r="X442" s="130">
        <v>1676</v>
      </c>
      <c r="Y442" s="131">
        <v>1702</v>
      </c>
      <c r="Z442" s="131">
        <v>1282</v>
      </c>
      <c r="AA442" s="132">
        <f t="shared" si="98"/>
        <v>4660</v>
      </c>
      <c r="AB442" s="133">
        <f t="shared" si="99"/>
        <v>31.765507839127473</v>
      </c>
      <c r="AC442" s="134">
        <f t="shared" si="100"/>
        <v>5155</v>
      </c>
      <c r="AD442" s="135">
        <f t="shared" si="101"/>
        <v>35.139740967961828</v>
      </c>
      <c r="AE442" s="136">
        <v>24</v>
      </c>
      <c r="AF442" s="137">
        <v>32</v>
      </c>
      <c r="AG442" s="137">
        <v>0</v>
      </c>
      <c r="AH442" s="138">
        <f t="shared" si="102"/>
        <v>56</v>
      </c>
      <c r="AI442" s="133">
        <f t="shared" si="103"/>
        <v>0.38173142467620996</v>
      </c>
    </row>
    <row r="443" spans="1:35">
      <c r="A443" s="171">
        <f>IF('09월 조업일지'!A439="","",'09월 조업일지'!A439)</f>
        <v>46281</v>
      </c>
      <c r="B443" s="172" t="str">
        <f>'09월 조업일지'!E439</f>
        <v>C</v>
      </c>
      <c r="C443" s="172" t="str">
        <f>'09월 조업일지'!F439</f>
        <v>A</v>
      </c>
      <c r="D443" s="172">
        <f>'09월 화학성분'!C440</f>
        <v>85642</v>
      </c>
      <c r="E443" s="205" t="str">
        <f t="shared" si="104"/>
        <v>S355JO-01</v>
      </c>
      <c r="F443" s="121">
        <v>20</v>
      </c>
      <c r="G443" s="122">
        <v>23600</v>
      </c>
      <c r="H443" s="123">
        <v>18</v>
      </c>
      <c r="I443" s="122">
        <v>20500</v>
      </c>
      <c r="J443" s="123">
        <v>11</v>
      </c>
      <c r="K443" s="122">
        <v>14000</v>
      </c>
      <c r="L443" s="124">
        <f t="shared" si="105"/>
        <v>49</v>
      </c>
      <c r="M443" s="125">
        <f t="shared" si="105"/>
        <v>58100</v>
      </c>
      <c r="N443" s="126">
        <f t="shared" si="92"/>
        <v>158.70880968392737</v>
      </c>
      <c r="O443" s="127">
        <f t="shared" si="93"/>
        <v>137.86146603900471</v>
      </c>
      <c r="P443" s="127">
        <f t="shared" si="94"/>
        <v>94.1492938802959</v>
      </c>
      <c r="Q443" s="128">
        <f t="shared" si="95"/>
        <v>390.71956960322797</v>
      </c>
      <c r="R443" s="129">
        <v>148.69999999999999</v>
      </c>
      <c r="S443" s="130">
        <v>0</v>
      </c>
      <c r="T443" s="131">
        <v>89</v>
      </c>
      <c r="U443" s="131">
        <v>236</v>
      </c>
      <c r="V443" s="132">
        <f t="shared" si="96"/>
        <v>325</v>
      </c>
      <c r="W443" s="133">
        <f t="shared" si="97"/>
        <v>2.1856086079354409</v>
      </c>
      <c r="X443" s="130">
        <v>1673</v>
      </c>
      <c r="Y443" s="131">
        <v>1680</v>
      </c>
      <c r="Z443" s="131">
        <v>1226</v>
      </c>
      <c r="AA443" s="132">
        <f t="shared" si="98"/>
        <v>4579</v>
      </c>
      <c r="AB443" s="133">
        <f t="shared" si="99"/>
        <v>30.793544048419641</v>
      </c>
      <c r="AC443" s="134">
        <f t="shared" si="100"/>
        <v>4904</v>
      </c>
      <c r="AD443" s="135">
        <f t="shared" si="101"/>
        <v>32.979152656355083</v>
      </c>
      <c r="AE443" s="136">
        <v>26</v>
      </c>
      <c r="AF443" s="137">
        <v>27</v>
      </c>
      <c r="AG443" s="137">
        <v>0</v>
      </c>
      <c r="AH443" s="138">
        <f t="shared" si="102"/>
        <v>53</v>
      </c>
      <c r="AI443" s="133">
        <f t="shared" si="103"/>
        <v>0.35642232683254876</v>
      </c>
    </row>
    <row r="444" spans="1:35">
      <c r="A444" s="171">
        <f>IF('09월 조업일지'!A440="","",'09월 조업일지'!A440)</f>
        <v>46281</v>
      </c>
      <c r="B444" s="172" t="str">
        <f>'09월 조업일지'!E440</f>
        <v>C</v>
      </c>
      <c r="C444" s="172" t="str">
        <f>'09월 조업일지'!F440</f>
        <v>B</v>
      </c>
      <c r="D444" s="172">
        <f>'09월 화학성분'!C441</f>
        <v>85643</v>
      </c>
      <c r="E444" s="205" t="str">
        <f t="shared" si="104"/>
        <v>S355JO-01</v>
      </c>
      <c r="F444" s="121">
        <v>21</v>
      </c>
      <c r="G444" s="122">
        <v>23400</v>
      </c>
      <c r="H444" s="123">
        <v>19</v>
      </c>
      <c r="I444" s="122">
        <v>20500</v>
      </c>
      <c r="J444" s="123">
        <v>9</v>
      </c>
      <c r="K444" s="122">
        <v>11700</v>
      </c>
      <c r="L444" s="124">
        <f t="shared" si="105"/>
        <v>49</v>
      </c>
      <c r="M444" s="125">
        <f t="shared" si="105"/>
        <v>55600</v>
      </c>
      <c r="N444" s="126">
        <f t="shared" si="92"/>
        <v>157.04697986577182</v>
      </c>
      <c r="O444" s="127">
        <f t="shared" si="93"/>
        <v>137.58389261744966</v>
      </c>
      <c r="P444" s="127">
        <f t="shared" si="94"/>
        <v>78.523489932885909</v>
      </c>
      <c r="Q444" s="128">
        <f t="shared" si="95"/>
        <v>373.1543624161074</v>
      </c>
      <c r="R444" s="129">
        <v>149</v>
      </c>
      <c r="S444" s="130">
        <v>0</v>
      </c>
      <c r="T444" s="131">
        <v>64</v>
      </c>
      <c r="U444" s="131">
        <v>369</v>
      </c>
      <c r="V444" s="132">
        <f t="shared" si="96"/>
        <v>433</v>
      </c>
      <c r="W444" s="133">
        <f t="shared" si="97"/>
        <v>2.9060402684563758</v>
      </c>
      <c r="X444" s="130">
        <v>1754</v>
      </c>
      <c r="Y444" s="131">
        <v>1679</v>
      </c>
      <c r="Z444" s="131">
        <v>984</v>
      </c>
      <c r="AA444" s="132">
        <f t="shared" si="98"/>
        <v>4417</v>
      </c>
      <c r="AB444" s="133">
        <f t="shared" si="99"/>
        <v>29.644295302013422</v>
      </c>
      <c r="AC444" s="134">
        <f t="shared" si="100"/>
        <v>4850</v>
      </c>
      <c r="AD444" s="135">
        <f t="shared" si="101"/>
        <v>32.550335570469798</v>
      </c>
      <c r="AE444" s="136">
        <v>27</v>
      </c>
      <c r="AF444" s="137">
        <v>34</v>
      </c>
      <c r="AG444" s="137">
        <v>0</v>
      </c>
      <c r="AH444" s="138">
        <f t="shared" si="102"/>
        <v>61</v>
      </c>
      <c r="AI444" s="133">
        <f t="shared" si="103"/>
        <v>0.40939597315436244</v>
      </c>
    </row>
    <row r="445" spans="1:35">
      <c r="A445" s="171">
        <f>IF('09월 조업일지'!A441="","",'09월 조업일지'!A441)</f>
        <v>46281</v>
      </c>
      <c r="B445" s="172" t="str">
        <f>'09월 조업일지'!E441</f>
        <v>C</v>
      </c>
      <c r="C445" s="172" t="str">
        <f>'09월 조업일지'!F441</f>
        <v>A</v>
      </c>
      <c r="D445" s="172">
        <f>'09월 화학성분'!C442</f>
        <v>85644</v>
      </c>
      <c r="E445" s="205" t="str">
        <f t="shared" si="104"/>
        <v>S355JO-01</v>
      </c>
      <c r="F445" s="121">
        <v>23</v>
      </c>
      <c r="G445" s="122">
        <v>23400</v>
      </c>
      <c r="H445" s="123">
        <v>17</v>
      </c>
      <c r="I445" s="122">
        <v>20500</v>
      </c>
      <c r="J445" s="123">
        <v>9</v>
      </c>
      <c r="K445" s="122">
        <v>10800</v>
      </c>
      <c r="L445" s="124">
        <f t="shared" si="105"/>
        <v>49</v>
      </c>
      <c r="M445" s="125">
        <f t="shared" si="105"/>
        <v>54700</v>
      </c>
      <c r="N445" s="126">
        <f t="shared" si="92"/>
        <v>154.65961665565101</v>
      </c>
      <c r="O445" s="127">
        <f t="shared" si="93"/>
        <v>135.49239920687376</v>
      </c>
      <c r="P445" s="127">
        <f t="shared" si="94"/>
        <v>71.381361533377387</v>
      </c>
      <c r="Q445" s="128">
        <f t="shared" si="95"/>
        <v>361.53337739590216</v>
      </c>
      <c r="R445" s="129">
        <v>151.30000000000001</v>
      </c>
      <c r="S445" s="130">
        <v>0</v>
      </c>
      <c r="T445" s="131">
        <v>73</v>
      </c>
      <c r="U445" s="131">
        <v>330</v>
      </c>
      <c r="V445" s="132">
        <f t="shared" si="96"/>
        <v>403</v>
      </c>
      <c r="W445" s="133">
        <f t="shared" si="97"/>
        <v>2.6635822868473231</v>
      </c>
      <c r="X445" s="130">
        <v>1882</v>
      </c>
      <c r="Y445" s="131">
        <v>1615</v>
      </c>
      <c r="Z445" s="131">
        <v>804</v>
      </c>
      <c r="AA445" s="132">
        <f t="shared" si="98"/>
        <v>4301</v>
      </c>
      <c r="AB445" s="133">
        <f t="shared" si="99"/>
        <v>28.426966292134829</v>
      </c>
      <c r="AC445" s="134">
        <f t="shared" si="100"/>
        <v>4704</v>
      </c>
      <c r="AD445" s="135">
        <f t="shared" si="101"/>
        <v>31.090548578982151</v>
      </c>
      <c r="AE445" s="136">
        <v>25</v>
      </c>
      <c r="AF445" s="137">
        <v>28</v>
      </c>
      <c r="AG445" s="137">
        <v>0</v>
      </c>
      <c r="AH445" s="138">
        <f t="shared" si="102"/>
        <v>53</v>
      </c>
      <c r="AI445" s="133">
        <f t="shared" si="103"/>
        <v>0.35029742233972239</v>
      </c>
    </row>
    <row r="446" spans="1:35">
      <c r="A446" s="171">
        <f>IF('09월 조업일지'!A442="","",'09월 조업일지'!A442)</f>
        <v>46281</v>
      </c>
      <c r="B446" s="172" t="str">
        <f>'09월 조업일지'!E442</f>
        <v>C</v>
      </c>
      <c r="C446" s="172" t="str">
        <f>'09월 조업일지'!F442</f>
        <v>B</v>
      </c>
      <c r="D446" s="172">
        <f>'09월 화학성분'!C443</f>
        <v>85645</v>
      </c>
      <c r="E446" s="205" t="str">
        <f t="shared" si="104"/>
        <v>S355JO-01</v>
      </c>
      <c r="F446" s="121">
        <v>23</v>
      </c>
      <c r="G446" s="122">
        <v>25100</v>
      </c>
      <c r="H446" s="123">
        <v>18</v>
      </c>
      <c r="I446" s="122">
        <v>20600</v>
      </c>
      <c r="J446" s="123">
        <v>7</v>
      </c>
      <c r="K446" s="122">
        <v>8900</v>
      </c>
      <c r="L446" s="124">
        <f t="shared" si="105"/>
        <v>48</v>
      </c>
      <c r="M446" s="125">
        <f t="shared" si="105"/>
        <v>54600</v>
      </c>
      <c r="N446" s="126">
        <f t="shared" si="92"/>
        <v>167.22185209860095</v>
      </c>
      <c r="O446" s="127">
        <f t="shared" si="93"/>
        <v>137.24183877415058</v>
      </c>
      <c r="P446" s="127">
        <f t="shared" si="94"/>
        <v>59.293804130579616</v>
      </c>
      <c r="Q446" s="128">
        <f t="shared" si="95"/>
        <v>363.75749500333109</v>
      </c>
      <c r="R446" s="129">
        <v>150.1</v>
      </c>
      <c r="S446" s="130">
        <v>0</v>
      </c>
      <c r="T446" s="131">
        <v>143</v>
      </c>
      <c r="U446" s="131">
        <v>211</v>
      </c>
      <c r="V446" s="132">
        <f t="shared" si="96"/>
        <v>354</v>
      </c>
      <c r="W446" s="133">
        <f t="shared" si="97"/>
        <v>2.3584277148567621</v>
      </c>
      <c r="X446" s="130">
        <v>1876</v>
      </c>
      <c r="Y446" s="131">
        <v>1600</v>
      </c>
      <c r="Z446" s="131">
        <v>580</v>
      </c>
      <c r="AA446" s="132">
        <f t="shared" si="98"/>
        <v>4056</v>
      </c>
      <c r="AB446" s="133">
        <f t="shared" si="99"/>
        <v>27.021985343104596</v>
      </c>
      <c r="AC446" s="134">
        <f t="shared" si="100"/>
        <v>4410</v>
      </c>
      <c r="AD446" s="135">
        <f t="shared" si="101"/>
        <v>29.380413057961359</v>
      </c>
      <c r="AE446" s="136">
        <v>25</v>
      </c>
      <c r="AF446" s="137">
        <v>29</v>
      </c>
      <c r="AG446" s="137">
        <v>0</v>
      </c>
      <c r="AH446" s="138">
        <f t="shared" si="102"/>
        <v>54</v>
      </c>
      <c r="AI446" s="133">
        <f t="shared" si="103"/>
        <v>0.35976015989340443</v>
      </c>
    </row>
    <row r="447" spans="1:35">
      <c r="A447" s="171">
        <f>IF('09월 조업일지'!A443="","",'09월 조업일지'!A443)</f>
        <v>46281</v>
      </c>
      <c r="B447" s="172" t="str">
        <f>'09월 조업일지'!E443</f>
        <v>C</v>
      </c>
      <c r="C447" s="172" t="str">
        <f>'09월 조업일지'!F443</f>
        <v>A</v>
      </c>
      <c r="D447" s="172">
        <f>'09월 화학성분'!C444</f>
        <v>85646</v>
      </c>
      <c r="E447" s="205" t="str">
        <f t="shared" si="104"/>
        <v>S355JO-01</v>
      </c>
      <c r="F447" s="121">
        <v>21</v>
      </c>
      <c r="G447" s="122">
        <v>23100</v>
      </c>
      <c r="H447" s="123">
        <v>19</v>
      </c>
      <c r="I447" s="122">
        <v>20900</v>
      </c>
      <c r="J447" s="123">
        <v>8</v>
      </c>
      <c r="K447" s="122">
        <v>10600</v>
      </c>
      <c r="L447" s="124">
        <f t="shared" si="105"/>
        <v>48</v>
      </c>
      <c r="M447" s="125">
        <f t="shared" si="105"/>
        <v>54600</v>
      </c>
      <c r="N447" s="126">
        <f t="shared" si="92"/>
        <v>152.98013245033113</v>
      </c>
      <c r="O447" s="127">
        <f t="shared" si="93"/>
        <v>138.41059602649005</v>
      </c>
      <c r="P447" s="127">
        <f t="shared" si="94"/>
        <v>70.198675496688736</v>
      </c>
      <c r="Q447" s="128">
        <f t="shared" si="95"/>
        <v>361.58940397350995</v>
      </c>
      <c r="R447" s="129">
        <v>151</v>
      </c>
      <c r="S447" s="130">
        <v>0</v>
      </c>
      <c r="T447" s="131">
        <v>73</v>
      </c>
      <c r="U447" s="131">
        <v>222</v>
      </c>
      <c r="V447" s="132">
        <f t="shared" si="96"/>
        <v>295</v>
      </c>
      <c r="W447" s="133">
        <f t="shared" si="97"/>
        <v>1.9536423841059603</v>
      </c>
      <c r="X447" s="130">
        <v>1720</v>
      </c>
      <c r="Y447" s="131">
        <v>1699</v>
      </c>
      <c r="Z447" s="131">
        <v>679</v>
      </c>
      <c r="AA447" s="132">
        <f t="shared" si="98"/>
        <v>4098</v>
      </c>
      <c r="AB447" s="133">
        <f t="shared" si="99"/>
        <v>27.139072847682119</v>
      </c>
      <c r="AC447" s="134">
        <f t="shared" si="100"/>
        <v>4393</v>
      </c>
      <c r="AD447" s="135">
        <f t="shared" si="101"/>
        <v>29.09271523178808</v>
      </c>
      <c r="AE447" s="136">
        <v>25</v>
      </c>
      <c r="AF447" s="137">
        <v>26</v>
      </c>
      <c r="AG447" s="137">
        <v>0</v>
      </c>
      <c r="AH447" s="138">
        <f t="shared" si="102"/>
        <v>51</v>
      </c>
      <c r="AI447" s="133">
        <f t="shared" si="103"/>
        <v>0.33774834437086093</v>
      </c>
    </row>
    <row r="448" spans="1:35">
      <c r="A448" s="171">
        <f>IF('09월 조업일지'!A444="","",'09월 조업일지'!A444)</f>
        <v>46282</v>
      </c>
      <c r="B448" s="172" t="str">
        <f>'09월 조업일지'!E444</f>
        <v>C</v>
      </c>
      <c r="C448" s="172" t="str">
        <f>'09월 조업일지'!F444</f>
        <v>B</v>
      </c>
      <c r="D448" s="172">
        <f>'09월 화학성분'!C445</f>
        <v>85647</v>
      </c>
      <c r="E448" s="205" t="str">
        <f t="shared" si="104"/>
        <v>S355JO-01</v>
      </c>
      <c r="F448" s="121">
        <v>23</v>
      </c>
      <c r="G448" s="122">
        <v>25100</v>
      </c>
      <c r="H448" s="123">
        <v>18</v>
      </c>
      <c r="I448" s="122">
        <v>20600</v>
      </c>
      <c r="J448" s="123">
        <v>8</v>
      </c>
      <c r="K448" s="122">
        <v>9600</v>
      </c>
      <c r="L448" s="124">
        <f t="shared" si="105"/>
        <v>49</v>
      </c>
      <c r="M448" s="125">
        <f t="shared" si="105"/>
        <v>55300</v>
      </c>
      <c r="N448" s="126">
        <f t="shared" si="92"/>
        <v>174.18459403192227</v>
      </c>
      <c r="O448" s="127">
        <f t="shared" si="93"/>
        <v>142.95628036086052</v>
      </c>
      <c r="P448" s="127">
        <f t="shared" si="94"/>
        <v>66.620402498265094</v>
      </c>
      <c r="Q448" s="128">
        <f t="shared" si="95"/>
        <v>383.76127689104788</v>
      </c>
      <c r="R448" s="129">
        <v>144.1</v>
      </c>
      <c r="S448" s="130">
        <v>0</v>
      </c>
      <c r="T448" s="131">
        <v>117</v>
      </c>
      <c r="U448" s="131">
        <v>222</v>
      </c>
      <c r="V448" s="132">
        <f t="shared" si="96"/>
        <v>339</v>
      </c>
      <c r="W448" s="133">
        <f t="shared" si="97"/>
        <v>2.3525329632199861</v>
      </c>
      <c r="X448" s="130">
        <v>1828</v>
      </c>
      <c r="Y448" s="131">
        <v>1626</v>
      </c>
      <c r="Z448" s="131">
        <v>1102</v>
      </c>
      <c r="AA448" s="132">
        <f t="shared" si="98"/>
        <v>4556</v>
      </c>
      <c r="AB448" s="133">
        <f t="shared" si="99"/>
        <v>31.616932685634978</v>
      </c>
      <c r="AC448" s="134">
        <f t="shared" si="100"/>
        <v>4895</v>
      </c>
      <c r="AD448" s="135">
        <f t="shared" si="101"/>
        <v>33.969465648854964</v>
      </c>
      <c r="AE448" s="136">
        <v>24</v>
      </c>
      <c r="AF448" s="137">
        <v>31</v>
      </c>
      <c r="AG448" s="137">
        <v>0</v>
      </c>
      <c r="AH448" s="138">
        <f t="shared" si="102"/>
        <v>55</v>
      </c>
      <c r="AI448" s="133">
        <f t="shared" si="103"/>
        <v>0.38167938931297712</v>
      </c>
    </row>
    <row r="449" spans="1:35">
      <c r="A449" s="171">
        <f>IF('09월 조업일지'!A445="","",'09월 조업일지'!A445)</f>
        <v>46282</v>
      </c>
      <c r="B449" s="172" t="str">
        <f>'09월 조업일지'!E445</f>
        <v>C</v>
      </c>
      <c r="C449" s="172" t="str">
        <f>'09월 조업일지'!F445</f>
        <v>A</v>
      </c>
      <c r="D449" s="172">
        <f>'09월 화학성분'!C446</f>
        <v>85648</v>
      </c>
      <c r="E449" s="205" t="str">
        <f t="shared" si="104"/>
        <v>S355JO-01</v>
      </c>
      <c r="F449" s="121">
        <v>20</v>
      </c>
      <c r="G449" s="122">
        <v>23700</v>
      </c>
      <c r="H449" s="123">
        <v>17</v>
      </c>
      <c r="I449" s="122">
        <v>20500</v>
      </c>
      <c r="J449" s="123">
        <v>5</v>
      </c>
      <c r="K449" s="122">
        <v>7300</v>
      </c>
      <c r="L449" s="124">
        <f t="shared" si="105"/>
        <v>42</v>
      </c>
      <c r="M449" s="125">
        <f t="shared" si="105"/>
        <v>51500</v>
      </c>
      <c r="N449" s="126">
        <f t="shared" si="92"/>
        <v>162.6630061770762</v>
      </c>
      <c r="O449" s="127">
        <f t="shared" si="93"/>
        <v>140.70006863417984</v>
      </c>
      <c r="P449" s="127">
        <f t="shared" si="94"/>
        <v>50.10295126973233</v>
      </c>
      <c r="Q449" s="128">
        <f t="shared" si="95"/>
        <v>353.4660260809884</v>
      </c>
      <c r="R449" s="129">
        <v>145.69999999999999</v>
      </c>
      <c r="S449" s="130">
        <v>0</v>
      </c>
      <c r="T449" s="131">
        <v>140</v>
      </c>
      <c r="U449" s="131">
        <v>157</v>
      </c>
      <c r="V449" s="132">
        <f t="shared" si="96"/>
        <v>297</v>
      </c>
      <c r="W449" s="133">
        <f t="shared" si="97"/>
        <v>2.0384351407000687</v>
      </c>
      <c r="X449" s="130">
        <v>1778</v>
      </c>
      <c r="Y449" s="131">
        <v>1544</v>
      </c>
      <c r="Z449" s="131">
        <v>516</v>
      </c>
      <c r="AA449" s="132">
        <f t="shared" si="98"/>
        <v>3838</v>
      </c>
      <c r="AB449" s="133">
        <f t="shared" si="99"/>
        <v>26.341798215511325</v>
      </c>
      <c r="AC449" s="134">
        <f t="shared" si="100"/>
        <v>4135</v>
      </c>
      <c r="AD449" s="135">
        <f t="shared" si="101"/>
        <v>28.380233356211395</v>
      </c>
      <c r="AE449" s="136">
        <v>25</v>
      </c>
      <c r="AF449" s="137">
        <v>23</v>
      </c>
      <c r="AG449" s="137">
        <v>0</v>
      </c>
      <c r="AH449" s="138">
        <f t="shared" si="102"/>
        <v>48</v>
      </c>
      <c r="AI449" s="133">
        <f t="shared" si="103"/>
        <v>0.32944406314344549</v>
      </c>
    </row>
    <row r="450" spans="1:35">
      <c r="A450" s="171">
        <f>IF('09월 조업일지'!A446="","",'09월 조업일지'!A446)</f>
        <v>46282</v>
      </c>
      <c r="B450" s="172" t="str">
        <f>'09월 조업일지'!E446</f>
        <v>C</v>
      </c>
      <c r="C450" s="172" t="str">
        <f>'09월 조업일지'!F446</f>
        <v>B</v>
      </c>
      <c r="D450" s="172">
        <f>'09월 화학성분'!C447</f>
        <v>85649</v>
      </c>
      <c r="E450" s="351" t="s">
        <v>338</v>
      </c>
      <c r="F450" s="121">
        <v>20</v>
      </c>
      <c r="G450" s="122">
        <v>23100</v>
      </c>
      <c r="H450" s="123">
        <v>18</v>
      </c>
      <c r="I450" s="122">
        <v>20300</v>
      </c>
      <c r="J450" s="123">
        <v>8</v>
      </c>
      <c r="K450" s="122">
        <v>10100</v>
      </c>
      <c r="L450" s="124">
        <f t="shared" si="105"/>
        <v>46</v>
      </c>
      <c r="M450" s="125">
        <f t="shared" si="105"/>
        <v>53500</v>
      </c>
      <c r="N450" s="126">
        <f t="shared" si="92"/>
        <v>160.41666666666666</v>
      </c>
      <c r="O450" s="127">
        <f t="shared" si="93"/>
        <v>140.97222222222223</v>
      </c>
      <c r="P450" s="127">
        <f t="shared" si="94"/>
        <v>70.138888888888886</v>
      </c>
      <c r="Q450" s="128">
        <f t="shared" si="95"/>
        <v>371.52777777777783</v>
      </c>
      <c r="R450" s="129">
        <v>144</v>
      </c>
      <c r="S450" s="130">
        <v>0</v>
      </c>
      <c r="T450" s="131">
        <v>112</v>
      </c>
      <c r="U450" s="131">
        <v>232</v>
      </c>
      <c r="V450" s="132">
        <f t="shared" si="96"/>
        <v>344</v>
      </c>
      <c r="W450" s="133">
        <f t="shared" si="97"/>
        <v>2.3888888888888888</v>
      </c>
      <c r="X450" s="130">
        <v>1654</v>
      </c>
      <c r="Y450" s="131">
        <v>1609</v>
      </c>
      <c r="Z450" s="131">
        <v>562</v>
      </c>
      <c r="AA450" s="132">
        <f t="shared" si="98"/>
        <v>3825</v>
      </c>
      <c r="AB450" s="133">
        <f t="shared" si="99"/>
        <v>26.5625</v>
      </c>
      <c r="AC450" s="134">
        <f t="shared" si="100"/>
        <v>4169</v>
      </c>
      <c r="AD450" s="135">
        <f t="shared" si="101"/>
        <v>28.951388888888889</v>
      </c>
      <c r="AE450" s="136">
        <v>23</v>
      </c>
      <c r="AF450" s="137">
        <v>33</v>
      </c>
      <c r="AG450" s="137">
        <v>0</v>
      </c>
      <c r="AH450" s="138">
        <f t="shared" si="102"/>
        <v>56</v>
      </c>
      <c r="AI450" s="133">
        <f t="shared" si="103"/>
        <v>0.3888888888888889</v>
      </c>
    </row>
    <row r="451" spans="1:35">
      <c r="A451" s="171">
        <f>IF('09월 조업일지'!A447="","",'09월 조업일지'!A447)</f>
        <v>46282</v>
      </c>
      <c r="B451" s="172" t="str">
        <f>'09월 조업일지'!E447</f>
        <v>C</v>
      </c>
      <c r="C451" s="172" t="str">
        <f>'09월 조업일지'!F447</f>
        <v>A</v>
      </c>
      <c r="D451" s="172">
        <f>'09월 화학성분'!C448</f>
        <v>85650</v>
      </c>
      <c r="E451" s="205" t="str">
        <f t="shared" si="104"/>
        <v>SHN400(BB)</v>
      </c>
      <c r="F451" s="121">
        <v>21</v>
      </c>
      <c r="G451" s="122">
        <v>25200</v>
      </c>
      <c r="H451" s="123">
        <v>18</v>
      </c>
      <c r="I451" s="122">
        <v>20900</v>
      </c>
      <c r="J451" s="123">
        <v>9</v>
      </c>
      <c r="K451" s="122">
        <v>11800</v>
      </c>
      <c r="L451" s="124">
        <f t="shared" si="105"/>
        <v>48</v>
      </c>
      <c r="M451" s="125">
        <f t="shared" si="105"/>
        <v>57900</v>
      </c>
      <c r="N451" s="126">
        <f t="shared" si="92"/>
        <v>172.60273972602741</v>
      </c>
      <c r="O451" s="127">
        <f t="shared" si="93"/>
        <v>143.15068493150685</v>
      </c>
      <c r="P451" s="127">
        <f t="shared" si="94"/>
        <v>80.821917808219183</v>
      </c>
      <c r="Q451" s="128">
        <f t="shared" si="95"/>
        <v>396.57534246575347</v>
      </c>
      <c r="R451" s="129">
        <v>146</v>
      </c>
      <c r="S451" s="130">
        <v>0</v>
      </c>
      <c r="T451" s="131">
        <v>118</v>
      </c>
      <c r="U451" s="131">
        <v>141</v>
      </c>
      <c r="V451" s="132">
        <f t="shared" si="96"/>
        <v>259</v>
      </c>
      <c r="W451" s="133">
        <f t="shared" si="97"/>
        <v>1.773972602739726</v>
      </c>
      <c r="X451" s="130">
        <v>1834</v>
      </c>
      <c r="Y451" s="131">
        <v>1582</v>
      </c>
      <c r="Z451" s="131">
        <v>778</v>
      </c>
      <c r="AA451" s="132">
        <f t="shared" si="98"/>
        <v>4194</v>
      </c>
      <c r="AB451" s="133">
        <f t="shared" si="99"/>
        <v>28.726027397260275</v>
      </c>
      <c r="AC451" s="134">
        <f t="shared" si="100"/>
        <v>4453</v>
      </c>
      <c r="AD451" s="135">
        <f t="shared" si="101"/>
        <v>30.5</v>
      </c>
      <c r="AE451" s="136">
        <v>26</v>
      </c>
      <c r="AF451" s="137">
        <v>22</v>
      </c>
      <c r="AG451" s="137">
        <v>0</v>
      </c>
      <c r="AH451" s="138">
        <f t="shared" si="102"/>
        <v>48</v>
      </c>
      <c r="AI451" s="133">
        <f t="shared" si="103"/>
        <v>0.32876712328767121</v>
      </c>
    </row>
    <row r="452" spans="1:35">
      <c r="A452" s="171">
        <f>IF('09월 조업일지'!A448="","",'09월 조업일지'!A448)</f>
        <v>46282</v>
      </c>
      <c r="B452" s="172" t="str">
        <f>'09월 조업일지'!E448</f>
        <v>D</v>
      </c>
      <c r="C452" s="172" t="str">
        <f>'09월 조업일지'!F448</f>
        <v>B</v>
      </c>
      <c r="D452" s="172">
        <f>'09월 화학성분'!C449</f>
        <v>85651</v>
      </c>
      <c r="E452" s="351" t="s">
        <v>339</v>
      </c>
      <c r="F452" s="121">
        <v>21</v>
      </c>
      <c r="G452" s="122">
        <v>23900</v>
      </c>
      <c r="H452" s="123">
        <v>17</v>
      </c>
      <c r="I452" s="122">
        <v>20700</v>
      </c>
      <c r="J452" s="123">
        <v>8</v>
      </c>
      <c r="K452" s="122">
        <v>8600</v>
      </c>
      <c r="L452" s="124">
        <f t="shared" si="105"/>
        <v>46</v>
      </c>
      <c r="M452" s="125">
        <f t="shared" si="105"/>
        <v>53200</v>
      </c>
      <c r="N452" s="126">
        <f t="shared" si="92"/>
        <v>163.92318244170096</v>
      </c>
      <c r="O452" s="127">
        <f t="shared" si="93"/>
        <v>141.97530864197529</v>
      </c>
      <c r="P452" s="127">
        <f t="shared" si="94"/>
        <v>58.984910836762687</v>
      </c>
      <c r="Q452" s="128">
        <f t="shared" si="95"/>
        <v>364.88340192043898</v>
      </c>
      <c r="R452" s="129">
        <v>145.80000000000001</v>
      </c>
      <c r="S452" s="130">
        <v>0</v>
      </c>
      <c r="T452" s="131">
        <v>80</v>
      </c>
      <c r="U452" s="131">
        <v>200</v>
      </c>
      <c r="V452" s="132">
        <f t="shared" si="96"/>
        <v>280</v>
      </c>
      <c r="W452" s="133">
        <f t="shared" si="97"/>
        <v>1.9204389574759944</v>
      </c>
      <c r="X452" s="130">
        <v>1693</v>
      </c>
      <c r="Y452" s="131">
        <v>1651</v>
      </c>
      <c r="Z452" s="131">
        <v>607</v>
      </c>
      <c r="AA452" s="132">
        <f t="shared" si="98"/>
        <v>3951</v>
      </c>
      <c r="AB452" s="133">
        <f t="shared" si="99"/>
        <v>27.098765432098762</v>
      </c>
      <c r="AC452" s="134">
        <f t="shared" si="100"/>
        <v>4231</v>
      </c>
      <c r="AD452" s="135">
        <f t="shared" si="101"/>
        <v>29.019204389574757</v>
      </c>
      <c r="AE452" s="136">
        <v>24</v>
      </c>
      <c r="AF452" s="137">
        <v>32</v>
      </c>
      <c r="AG452" s="137">
        <v>0</v>
      </c>
      <c r="AH452" s="138">
        <f t="shared" si="102"/>
        <v>56</v>
      </c>
      <c r="AI452" s="133">
        <f t="shared" si="103"/>
        <v>0.38408779149519889</v>
      </c>
    </row>
    <row r="453" spans="1:35">
      <c r="A453" s="171">
        <f>IF('09월 조업일지'!A449="","",'09월 조업일지'!A449)</f>
        <v>46282</v>
      </c>
      <c r="B453" s="172" t="str">
        <f>'09월 조업일지'!E449</f>
        <v>D</v>
      </c>
      <c r="C453" s="172" t="str">
        <f>'09월 조업일지'!F449</f>
        <v>A</v>
      </c>
      <c r="D453" s="172">
        <f>'09월 화학성분'!C450</f>
        <v>85652</v>
      </c>
      <c r="E453" s="205" t="str">
        <f t="shared" si="104"/>
        <v>ENS275JR</v>
      </c>
      <c r="F453" s="121">
        <v>20</v>
      </c>
      <c r="G453" s="122">
        <v>23100</v>
      </c>
      <c r="H453" s="123">
        <v>17</v>
      </c>
      <c r="I453" s="122">
        <v>20500</v>
      </c>
      <c r="J453" s="123">
        <v>8</v>
      </c>
      <c r="K453" s="122">
        <v>8600</v>
      </c>
      <c r="L453" s="124">
        <f t="shared" si="105"/>
        <v>45</v>
      </c>
      <c r="M453" s="125">
        <f t="shared" si="105"/>
        <v>52200</v>
      </c>
      <c r="N453" s="126">
        <f t="shared" si="92"/>
        <v>156.61016949152543</v>
      </c>
      <c r="O453" s="127">
        <f t="shared" si="93"/>
        <v>138.98305084745763</v>
      </c>
      <c r="P453" s="127">
        <f t="shared" si="94"/>
        <v>58.305084745762713</v>
      </c>
      <c r="Q453" s="128">
        <f t="shared" si="95"/>
        <v>353.8983050847458</v>
      </c>
      <c r="R453" s="129">
        <v>147.5</v>
      </c>
      <c r="S453" s="130">
        <v>0</v>
      </c>
      <c r="T453" s="131">
        <v>169</v>
      </c>
      <c r="U453" s="131">
        <v>192</v>
      </c>
      <c r="V453" s="132">
        <f t="shared" si="96"/>
        <v>361</v>
      </c>
      <c r="W453" s="133">
        <f t="shared" si="97"/>
        <v>2.4474576271186441</v>
      </c>
      <c r="X453" s="130">
        <v>1685</v>
      </c>
      <c r="Y453" s="131">
        <v>1619</v>
      </c>
      <c r="Z453" s="131">
        <v>743</v>
      </c>
      <c r="AA453" s="132">
        <f t="shared" si="98"/>
        <v>4047</v>
      </c>
      <c r="AB453" s="133">
        <f t="shared" si="99"/>
        <v>27.437288135593221</v>
      </c>
      <c r="AC453" s="134">
        <f t="shared" si="100"/>
        <v>4408</v>
      </c>
      <c r="AD453" s="135">
        <f t="shared" si="101"/>
        <v>29.884745762711866</v>
      </c>
      <c r="AE453" s="136">
        <v>24</v>
      </c>
      <c r="AF453" s="137">
        <v>24</v>
      </c>
      <c r="AG453" s="137">
        <v>0</v>
      </c>
      <c r="AH453" s="138">
        <f t="shared" si="102"/>
        <v>48</v>
      </c>
      <c r="AI453" s="133">
        <f t="shared" si="103"/>
        <v>0.3254237288135593</v>
      </c>
    </row>
    <row r="454" spans="1:35">
      <c r="A454" s="171">
        <f>IF('09월 조업일지'!A450="","",'09월 조업일지'!A450)</f>
        <v>46282</v>
      </c>
      <c r="B454" s="172" t="str">
        <f>'09월 조업일지'!E450</f>
        <v>D</v>
      </c>
      <c r="C454" s="172" t="str">
        <f>'09월 조업일지'!F450</f>
        <v>B</v>
      </c>
      <c r="D454" s="172">
        <f>'09월 화학성분'!C451</f>
        <v>85653</v>
      </c>
      <c r="E454" s="205" t="str">
        <f t="shared" si="104"/>
        <v>ENS275JR</v>
      </c>
      <c r="F454" s="121">
        <v>22</v>
      </c>
      <c r="G454" s="122">
        <v>23400</v>
      </c>
      <c r="H454" s="123">
        <v>18</v>
      </c>
      <c r="I454" s="122">
        <v>20800</v>
      </c>
      <c r="J454" s="123">
        <v>7</v>
      </c>
      <c r="K454" s="122">
        <v>8900</v>
      </c>
      <c r="L454" s="124">
        <f t="shared" si="105"/>
        <v>47</v>
      </c>
      <c r="M454" s="125">
        <f t="shared" si="105"/>
        <v>53100</v>
      </c>
      <c r="N454" s="126">
        <f t="shared" si="92"/>
        <v>159.50920245398774</v>
      </c>
      <c r="O454" s="127">
        <f t="shared" si="93"/>
        <v>141.785957736878</v>
      </c>
      <c r="P454" s="127">
        <f t="shared" si="94"/>
        <v>60.668029993183374</v>
      </c>
      <c r="Q454" s="128">
        <f t="shared" si="95"/>
        <v>361.96319018404915</v>
      </c>
      <c r="R454" s="129">
        <v>146.69999999999999</v>
      </c>
      <c r="S454" s="130">
        <v>0</v>
      </c>
      <c r="T454" s="131">
        <v>156</v>
      </c>
      <c r="U454" s="131">
        <v>243</v>
      </c>
      <c r="V454" s="132">
        <f t="shared" si="96"/>
        <v>399</v>
      </c>
      <c r="W454" s="133">
        <f t="shared" si="97"/>
        <v>2.719836400817996</v>
      </c>
      <c r="X454" s="130">
        <v>1700</v>
      </c>
      <c r="Y454" s="131">
        <v>1582</v>
      </c>
      <c r="Z454" s="131">
        <v>739</v>
      </c>
      <c r="AA454" s="132">
        <f t="shared" si="98"/>
        <v>4021</v>
      </c>
      <c r="AB454" s="133">
        <f t="shared" si="99"/>
        <v>27.409679618268576</v>
      </c>
      <c r="AC454" s="134">
        <f t="shared" si="100"/>
        <v>4420</v>
      </c>
      <c r="AD454" s="135">
        <f t="shared" si="101"/>
        <v>30.129516019086573</v>
      </c>
      <c r="AE454" s="136">
        <v>26</v>
      </c>
      <c r="AF454" s="137">
        <v>29</v>
      </c>
      <c r="AG454" s="137">
        <v>0</v>
      </c>
      <c r="AH454" s="138">
        <f t="shared" si="102"/>
        <v>55</v>
      </c>
      <c r="AI454" s="133">
        <f t="shared" si="103"/>
        <v>0.37491479209270623</v>
      </c>
    </row>
    <row r="455" spans="1:35">
      <c r="A455" s="171">
        <f>IF('09월 조업일지'!A451="","",'09월 조업일지'!A451)</f>
        <v>46282</v>
      </c>
      <c r="B455" s="172" t="str">
        <f>'09월 조업일지'!E451</f>
        <v>D</v>
      </c>
      <c r="C455" s="172" t="str">
        <f>'09월 조업일지'!F451</f>
        <v>A</v>
      </c>
      <c r="D455" s="172">
        <f>'09월 화학성분'!C452</f>
        <v>85654</v>
      </c>
      <c r="E455" s="205" t="str">
        <f t="shared" si="104"/>
        <v>ENS275JR</v>
      </c>
      <c r="F455" s="121">
        <v>20</v>
      </c>
      <c r="G455" s="122">
        <v>23500</v>
      </c>
      <c r="H455" s="123">
        <v>18</v>
      </c>
      <c r="I455" s="122">
        <v>20600</v>
      </c>
      <c r="J455" s="123">
        <v>9</v>
      </c>
      <c r="K455" s="122">
        <v>10800</v>
      </c>
      <c r="L455" s="124">
        <f t="shared" si="105"/>
        <v>47</v>
      </c>
      <c r="M455" s="125">
        <f t="shared" si="105"/>
        <v>54900</v>
      </c>
      <c r="N455" s="126">
        <f t="shared" si="92"/>
        <v>159.64673913043478</v>
      </c>
      <c r="O455" s="127">
        <f t="shared" si="93"/>
        <v>139.94565217391306</v>
      </c>
      <c r="P455" s="127">
        <f t="shared" si="94"/>
        <v>73.369565217391312</v>
      </c>
      <c r="Q455" s="128">
        <f t="shared" si="95"/>
        <v>372.96195652173918</v>
      </c>
      <c r="R455" s="129">
        <v>147.19999999999999</v>
      </c>
      <c r="S455" s="130">
        <v>0</v>
      </c>
      <c r="T455" s="131">
        <v>88</v>
      </c>
      <c r="U455" s="131">
        <v>310</v>
      </c>
      <c r="V455" s="132">
        <f t="shared" si="96"/>
        <v>398</v>
      </c>
      <c r="W455" s="133">
        <f t="shared" si="97"/>
        <v>2.7038043478260874</v>
      </c>
      <c r="X455" s="130">
        <v>1646</v>
      </c>
      <c r="Y455" s="131">
        <v>1655</v>
      </c>
      <c r="Z455" s="131">
        <v>1120</v>
      </c>
      <c r="AA455" s="132">
        <f t="shared" si="98"/>
        <v>4421</v>
      </c>
      <c r="AB455" s="133">
        <f t="shared" si="99"/>
        <v>30.033967391304351</v>
      </c>
      <c r="AC455" s="134">
        <f t="shared" si="100"/>
        <v>4819</v>
      </c>
      <c r="AD455" s="135">
        <f t="shared" si="101"/>
        <v>32.737771739130437</v>
      </c>
      <c r="AE455" s="136">
        <v>23</v>
      </c>
      <c r="AF455" s="137">
        <v>26</v>
      </c>
      <c r="AG455" s="137">
        <v>0</v>
      </c>
      <c r="AH455" s="138">
        <f t="shared" si="102"/>
        <v>49</v>
      </c>
      <c r="AI455" s="133">
        <f t="shared" si="103"/>
        <v>0.3328804347826087</v>
      </c>
    </row>
    <row r="456" spans="1:35">
      <c r="A456" s="171">
        <f>IF('09월 조업일지'!A452="","",'09월 조업일지'!A452)</f>
        <v>46282</v>
      </c>
      <c r="B456" s="172" t="str">
        <f>'09월 조업일지'!E452</f>
        <v>D</v>
      </c>
      <c r="C456" s="172" t="str">
        <f>'09월 조업일지'!F452</f>
        <v>B</v>
      </c>
      <c r="D456" s="172">
        <f>'09월 화학성분'!C453</f>
        <v>85655</v>
      </c>
      <c r="E456" s="205" t="str">
        <f t="shared" si="104"/>
        <v>ENS275JR</v>
      </c>
      <c r="F456" s="121">
        <v>22</v>
      </c>
      <c r="G456" s="122">
        <v>23300</v>
      </c>
      <c r="H456" s="123">
        <v>18</v>
      </c>
      <c r="I456" s="122">
        <v>20900</v>
      </c>
      <c r="J456" s="123">
        <v>9</v>
      </c>
      <c r="K456" s="122">
        <v>10800</v>
      </c>
      <c r="L456" s="124">
        <f t="shared" si="105"/>
        <v>49</v>
      </c>
      <c r="M456" s="125">
        <f t="shared" si="105"/>
        <v>55000</v>
      </c>
      <c r="N456" s="126">
        <f t="shared" si="92"/>
        <v>157.75220040622887</v>
      </c>
      <c r="O456" s="127">
        <f t="shared" si="93"/>
        <v>141.50304671631687</v>
      </c>
      <c r="P456" s="127">
        <f t="shared" si="94"/>
        <v>73.121191604603936</v>
      </c>
      <c r="Q456" s="128">
        <f t="shared" si="95"/>
        <v>372.37643872714966</v>
      </c>
      <c r="R456" s="129">
        <v>147.69999999999999</v>
      </c>
      <c r="S456" s="130">
        <v>0</v>
      </c>
      <c r="T456" s="131">
        <v>200</v>
      </c>
      <c r="U456" s="131">
        <v>146</v>
      </c>
      <c r="V456" s="132">
        <f t="shared" si="96"/>
        <v>346</v>
      </c>
      <c r="W456" s="133">
        <f t="shared" si="97"/>
        <v>2.3425863236289777</v>
      </c>
      <c r="X456" s="130">
        <v>1611</v>
      </c>
      <c r="Y456" s="131">
        <v>1674</v>
      </c>
      <c r="Z456" s="131">
        <v>816</v>
      </c>
      <c r="AA456" s="132">
        <f t="shared" si="98"/>
        <v>4101</v>
      </c>
      <c r="AB456" s="133">
        <f t="shared" si="99"/>
        <v>27.765741367637105</v>
      </c>
      <c r="AC456" s="134">
        <f t="shared" si="100"/>
        <v>4447</v>
      </c>
      <c r="AD456" s="135">
        <f t="shared" si="101"/>
        <v>30.108327691266084</v>
      </c>
      <c r="AE456" s="136">
        <v>23</v>
      </c>
      <c r="AF456" s="137">
        <v>32</v>
      </c>
      <c r="AG456" s="137">
        <v>0</v>
      </c>
      <c r="AH456" s="138">
        <f t="shared" si="102"/>
        <v>55</v>
      </c>
      <c r="AI456" s="133">
        <f t="shared" si="103"/>
        <v>0.37237643872714965</v>
      </c>
    </row>
    <row r="457" spans="1:35">
      <c r="A457" s="171">
        <f>IF('09월 조업일지'!A453="","",'09월 조업일지'!A453)</f>
        <v>46282</v>
      </c>
      <c r="B457" s="172" t="str">
        <f>'09월 조업일지'!E453</f>
        <v>D</v>
      </c>
      <c r="C457" s="172" t="str">
        <f>'09월 조업일지'!F453</f>
        <v>A</v>
      </c>
      <c r="D457" s="172">
        <f>'09월 화학성분'!C454</f>
        <v>85656</v>
      </c>
      <c r="E457" s="205" t="str">
        <f t="shared" si="104"/>
        <v>ENS275JR</v>
      </c>
      <c r="F457" s="121">
        <v>20</v>
      </c>
      <c r="G457" s="122">
        <v>23200</v>
      </c>
      <c r="H457" s="123">
        <v>18</v>
      </c>
      <c r="I457" s="122">
        <v>20600</v>
      </c>
      <c r="J457" s="123">
        <v>6</v>
      </c>
      <c r="K457" s="122">
        <v>9000</v>
      </c>
      <c r="L457" s="124">
        <f t="shared" si="105"/>
        <v>44</v>
      </c>
      <c r="M457" s="125">
        <f t="shared" si="105"/>
        <v>52800</v>
      </c>
      <c r="N457" s="126">
        <f t="shared" si="92"/>
        <v>154.05046480743692</v>
      </c>
      <c r="O457" s="127">
        <f t="shared" si="93"/>
        <v>136.78618857901728</v>
      </c>
      <c r="P457" s="127">
        <f t="shared" si="94"/>
        <v>59.760956175298809</v>
      </c>
      <c r="Q457" s="128">
        <f t="shared" si="95"/>
        <v>350.59760956175302</v>
      </c>
      <c r="R457" s="129">
        <v>150.6</v>
      </c>
      <c r="S457" s="130">
        <v>0</v>
      </c>
      <c r="T457" s="131">
        <v>181</v>
      </c>
      <c r="U457" s="131">
        <v>153</v>
      </c>
      <c r="V457" s="132">
        <f t="shared" si="96"/>
        <v>334</v>
      </c>
      <c r="W457" s="133">
        <f t="shared" si="97"/>
        <v>2.2177954847277559</v>
      </c>
      <c r="X457" s="130">
        <v>1650</v>
      </c>
      <c r="Y457" s="131">
        <v>1627</v>
      </c>
      <c r="Z457" s="131">
        <v>633</v>
      </c>
      <c r="AA457" s="132">
        <f t="shared" si="98"/>
        <v>3910</v>
      </c>
      <c r="AB457" s="133">
        <f t="shared" si="99"/>
        <v>25.962815405046481</v>
      </c>
      <c r="AC457" s="134">
        <f t="shared" si="100"/>
        <v>4244</v>
      </c>
      <c r="AD457" s="135">
        <f t="shared" si="101"/>
        <v>28.180610889774236</v>
      </c>
      <c r="AE457" s="136">
        <v>26</v>
      </c>
      <c r="AF457" s="137">
        <v>26</v>
      </c>
      <c r="AG457" s="137">
        <v>0</v>
      </c>
      <c r="AH457" s="138">
        <f t="shared" si="102"/>
        <v>52</v>
      </c>
      <c r="AI457" s="133">
        <f t="shared" si="103"/>
        <v>0.34528552456839312</v>
      </c>
    </row>
    <row r="458" spans="1:35">
      <c r="A458" s="171">
        <f>IF('09월 조업일지'!A454="","",'09월 조업일지'!A454)</f>
        <v>46282</v>
      </c>
      <c r="B458" s="172" t="str">
        <f>'09월 조업일지'!E454</f>
        <v>D</v>
      </c>
      <c r="C458" s="172" t="str">
        <f>'09월 조업일지'!F454</f>
        <v>B</v>
      </c>
      <c r="D458" s="172">
        <f>'09월 화학성분'!C455</f>
        <v>85657</v>
      </c>
      <c r="E458" s="205" t="str">
        <f t="shared" si="104"/>
        <v>ENS275JR</v>
      </c>
      <c r="F458" s="121">
        <v>20</v>
      </c>
      <c r="G458" s="122">
        <v>23400</v>
      </c>
      <c r="H458" s="123">
        <v>17</v>
      </c>
      <c r="I458" s="122">
        <v>20600</v>
      </c>
      <c r="J458" s="123">
        <v>7</v>
      </c>
      <c r="K458" s="122">
        <v>9500</v>
      </c>
      <c r="L458" s="124">
        <f t="shared" si="105"/>
        <v>44</v>
      </c>
      <c r="M458" s="125">
        <f t="shared" si="105"/>
        <v>53500</v>
      </c>
      <c r="N458" s="126">
        <f t="shared" si="92"/>
        <v>158.32205683355886</v>
      </c>
      <c r="O458" s="127">
        <f t="shared" si="93"/>
        <v>139.37753721244925</v>
      </c>
      <c r="P458" s="127">
        <f t="shared" si="94"/>
        <v>64.276048714479018</v>
      </c>
      <c r="Q458" s="128">
        <f t="shared" si="95"/>
        <v>361.97564276048712</v>
      </c>
      <c r="R458" s="129">
        <v>147.80000000000001</v>
      </c>
      <c r="S458" s="130">
        <v>0</v>
      </c>
      <c r="T458" s="131">
        <v>179</v>
      </c>
      <c r="U458" s="131">
        <v>180</v>
      </c>
      <c r="V458" s="132">
        <f t="shared" si="96"/>
        <v>359</v>
      </c>
      <c r="W458" s="133">
        <f t="shared" si="97"/>
        <v>2.4289580514208389</v>
      </c>
      <c r="X458" s="130">
        <v>1670</v>
      </c>
      <c r="Y458" s="131">
        <v>1612</v>
      </c>
      <c r="Z458" s="131">
        <v>825</v>
      </c>
      <c r="AA458" s="132">
        <f t="shared" si="98"/>
        <v>4107</v>
      </c>
      <c r="AB458" s="133">
        <f t="shared" si="99"/>
        <v>27.787550744248982</v>
      </c>
      <c r="AC458" s="134">
        <f t="shared" si="100"/>
        <v>4466</v>
      </c>
      <c r="AD458" s="135">
        <f t="shared" si="101"/>
        <v>30.216508795669821</v>
      </c>
      <c r="AE458" s="136">
        <v>25</v>
      </c>
      <c r="AF458" s="137">
        <v>31</v>
      </c>
      <c r="AG458" s="137">
        <v>0</v>
      </c>
      <c r="AH458" s="138">
        <f t="shared" si="102"/>
        <v>56</v>
      </c>
      <c r="AI458" s="133">
        <f t="shared" si="103"/>
        <v>0.37889039242219213</v>
      </c>
    </row>
    <row r="459" spans="1:35">
      <c r="A459" s="171">
        <f>IF('09월 조업일지'!A455="","",'09월 조업일지'!A455)</f>
        <v>46282</v>
      </c>
      <c r="B459" s="172" t="str">
        <f>'09월 조업일지'!E455</f>
        <v>D</v>
      </c>
      <c r="C459" s="172" t="str">
        <f>'09월 조업일지'!F455</f>
        <v>A</v>
      </c>
      <c r="D459" s="172">
        <f>'09월 화학성분'!C456</f>
        <v>85658</v>
      </c>
      <c r="E459" s="205" t="str">
        <f t="shared" si="104"/>
        <v>ENS275JR</v>
      </c>
      <c r="F459" s="121">
        <v>20</v>
      </c>
      <c r="G459" s="122">
        <v>23700</v>
      </c>
      <c r="H459" s="123">
        <v>17</v>
      </c>
      <c r="I459" s="122">
        <v>20400</v>
      </c>
      <c r="J459" s="123">
        <v>9</v>
      </c>
      <c r="K459" s="122">
        <v>11200</v>
      </c>
      <c r="L459" s="124">
        <f t="shared" si="105"/>
        <v>46</v>
      </c>
      <c r="M459" s="125">
        <f t="shared" si="105"/>
        <v>55300</v>
      </c>
      <c r="N459" s="126">
        <f t="shared" si="92"/>
        <v>162.10670314637485</v>
      </c>
      <c r="O459" s="127">
        <f t="shared" si="93"/>
        <v>139.53488372093025</v>
      </c>
      <c r="P459" s="127">
        <f t="shared" si="94"/>
        <v>76.607387140902873</v>
      </c>
      <c r="Q459" s="128">
        <f t="shared" si="95"/>
        <v>378.24897400820799</v>
      </c>
      <c r="R459" s="129">
        <v>146.19999999999999</v>
      </c>
      <c r="S459" s="130">
        <v>0</v>
      </c>
      <c r="T459" s="131">
        <v>202</v>
      </c>
      <c r="U459" s="131">
        <v>159</v>
      </c>
      <c r="V459" s="132">
        <f t="shared" si="96"/>
        <v>361</v>
      </c>
      <c r="W459" s="133">
        <f t="shared" si="97"/>
        <v>2.4692202462380304</v>
      </c>
      <c r="X459" s="130">
        <v>1708</v>
      </c>
      <c r="Y459" s="131">
        <v>1665</v>
      </c>
      <c r="Z459" s="131">
        <v>896</v>
      </c>
      <c r="AA459" s="132">
        <f t="shared" si="98"/>
        <v>4269</v>
      </c>
      <c r="AB459" s="133">
        <f t="shared" si="99"/>
        <v>29.199726402188784</v>
      </c>
      <c r="AC459" s="134">
        <f t="shared" si="100"/>
        <v>4630</v>
      </c>
      <c r="AD459" s="135">
        <f t="shared" si="101"/>
        <v>31.668946648426815</v>
      </c>
      <c r="AE459" s="136">
        <v>27</v>
      </c>
      <c r="AF459" s="137">
        <v>25</v>
      </c>
      <c r="AG459" s="137">
        <v>0</v>
      </c>
      <c r="AH459" s="138">
        <f t="shared" si="102"/>
        <v>52</v>
      </c>
      <c r="AI459" s="133">
        <f t="shared" si="103"/>
        <v>0.35567715458276339</v>
      </c>
    </row>
    <row r="460" spans="1:35">
      <c r="A460" s="171">
        <f>IF('09월 조업일지'!A456="","",'09월 조업일지'!A456)</f>
        <v>46282</v>
      </c>
      <c r="B460" s="172" t="str">
        <f>'09월 조업일지'!E456</f>
        <v>D</v>
      </c>
      <c r="C460" s="172" t="str">
        <f>'09월 조업일지'!F456</f>
        <v>B</v>
      </c>
      <c r="D460" s="172">
        <f>'09월 화학성분'!C457</f>
        <v>85659</v>
      </c>
      <c r="E460" s="205" t="str">
        <f t="shared" si="104"/>
        <v>ENS275JR</v>
      </c>
      <c r="F460" s="121">
        <v>20</v>
      </c>
      <c r="G460" s="122">
        <v>23300</v>
      </c>
      <c r="H460" s="123">
        <v>18</v>
      </c>
      <c r="I460" s="122">
        <v>21000</v>
      </c>
      <c r="J460" s="123">
        <v>6</v>
      </c>
      <c r="K460" s="122">
        <v>7200</v>
      </c>
      <c r="L460" s="124">
        <f t="shared" si="105"/>
        <v>44</v>
      </c>
      <c r="M460" s="125">
        <f t="shared" si="105"/>
        <v>51500</v>
      </c>
      <c r="N460" s="126">
        <f t="shared" si="92"/>
        <v>159.15300546448086</v>
      </c>
      <c r="O460" s="127">
        <f t="shared" si="93"/>
        <v>143.44262295081967</v>
      </c>
      <c r="P460" s="127">
        <f t="shared" si="94"/>
        <v>49.180327868852459</v>
      </c>
      <c r="Q460" s="128">
        <f t="shared" si="95"/>
        <v>351.77595628415304</v>
      </c>
      <c r="R460" s="129">
        <v>146.4</v>
      </c>
      <c r="S460" s="130">
        <v>0</v>
      </c>
      <c r="T460" s="131">
        <v>207</v>
      </c>
      <c r="U460" s="131">
        <v>156</v>
      </c>
      <c r="V460" s="132">
        <f t="shared" si="96"/>
        <v>363</v>
      </c>
      <c r="W460" s="133">
        <f t="shared" si="97"/>
        <v>2.4795081967213113</v>
      </c>
      <c r="X460" s="130">
        <v>1645</v>
      </c>
      <c r="Y460" s="131">
        <v>1694</v>
      </c>
      <c r="Z460" s="131">
        <v>720</v>
      </c>
      <c r="AA460" s="132">
        <f t="shared" si="98"/>
        <v>4059</v>
      </c>
      <c r="AB460" s="133">
        <f t="shared" si="99"/>
        <v>27.725409836065573</v>
      </c>
      <c r="AC460" s="134">
        <f t="shared" si="100"/>
        <v>4422</v>
      </c>
      <c r="AD460" s="135">
        <f t="shared" si="101"/>
        <v>30.204918032786885</v>
      </c>
      <c r="AE460" s="136">
        <v>23</v>
      </c>
      <c r="AF460" s="137">
        <v>28</v>
      </c>
      <c r="AG460" s="137">
        <v>0</v>
      </c>
      <c r="AH460" s="138">
        <f t="shared" si="102"/>
        <v>51</v>
      </c>
      <c r="AI460" s="133">
        <f t="shared" si="103"/>
        <v>0.34836065573770492</v>
      </c>
    </row>
    <row r="461" spans="1:35">
      <c r="A461" s="171">
        <f>IF('09월 조업일지'!A457="","",'09월 조업일지'!A457)</f>
        <v>46282</v>
      </c>
      <c r="B461" s="172" t="str">
        <f>'09월 조업일지'!E457</f>
        <v>D</v>
      </c>
      <c r="C461" s="172" t="str">
        <f>'09월 조업일지'!F457</f>
        <v>A</v>
      </c>
      <c r="D461" s="172">
        <f>'09월 화학성분'!C458</f>
        <v>85660</v>
      </c>
      <c r="E461" s="205" t="str">
        <f t="shared" si="104"/>
        <v>ENS275JR</v>
      </c>
      <c r="F461" s="121">
        <v>19</v>
      </c>
      <c r="G461" s="122">
        <v>23400</v>
      </c>
      <c r="H461" s="123">
        <v>18</v>
      </c>
      <c r="I461" s="122">
        <v>20700</v>
      </c>
      <c r="J461" s="123">
        <v>9</v>
      </c>
      <c r="K461" s="122">
        <v>11400</v>
      </c>
      <c r="L461" s="124">
        <f t="shared" si="105"/>
        <v>46</v>
      </c>
      <c r="M461" s="125">
        <f t="shared" si="105"/>
        <v>55500</v>
      </c>
      <c r="N461" s="126">
        <f t="shared" si="92"/>
        <v>162.04986149584488</v>
      </c>
      <c r="O461" s="127">
        <f t="shared" si="93"/>
        <v>143.35180055401662</v>
      </c>
      <c r="P461" s="127">
        <f t="shared" si="94"/>
        <v>78.94736842105263</v>
      </c>
      <c r="Q461" s="128">
        <f t="shared" si="95"/>
        <v>384.34903047091416</v>
      </c>
      <c r="R461" s="129">
        <v>144.4</v>
      </c>
      <c r="S461" s="130">
        <v>0</v>
      </c>
      <c r="T461" s="131">
        <v>190</v>
      </c>
      <c r="U461" s="131">
        <v>164</v>
      </c>
      <c r="V461" s="132">
        <f t="shared" si="96"/>
        <v>354</v>
      </c>
      <c r="W461" s="133">
        <f t="shared" si="97"/>
        <v>2.4515235457063711</v>
      </c>
      <c r="X461" s="130">
        <v>1613</v>
      </c>
      <c r="Y461" s="131">
        <v>1613</v>
      </c>
      <c r="Z461" s="131">
        <v>900</v>
      </c>
      <c r="AA461" s="132">
        <f t="shared" si="98"/>
        <v>4126</v>
      </c>
      <c r="AB461" s="133">
        <f t="shared" si="99"/>
        <v>28.573407202216064</v>
      </c>
      <c r="AC461" s="134">
        <f t="shared" si="100"/>
        <v>4480</v>
      </c>
      <c r="AD461" s="135">
        <f t="shared" si="101"/>
        <v>31.024930747922436</v>
      </c>
      <c r="AE461" s="136">
        <v>26</v>
      </c>
      <c r="AF461" s="137">
        <v>26</v>
      </c>
      <c r="AG461" s="137">
        <v>0</v>
      </c>
      <c r="AH461" s="138">
        <f t="shared" si="102"/>
        <v>52</v>
      </c>
      <c r="AI461" s="133">
        <f t="shared" si="103"/>
        <v>0.36011080332409973</v>
      </c>
    </row>
    <row r="462" spans="1:35">
      <c r="A462" s="171">
        <f>IF('09월 조업일지'!A458="","",'09월 조업일지'!A458)</f>
        <v>46282</v>
      </c>
      <c r="B462" s="172" t="str">
        <f>'09월 조업일지'!E458</f>
        <v>B</v>
      </c>
      <c r="C462" s="172" t="str">
        <f>'09월 조업일지'!F458</f>
        <v>B</v>
      </c>
      <c r="D462" s="172">
        <f>'09월 화학성분'!C459</f>
        <v>85661</v>
      </c>
      <c r="E462" s="351" t="s">
        <v>341</v>
      </c>
      <c r="F462" s="121">
        <v>19</v>
      </c>
      <c r="G462" s="122">
        <v>23200</v>
      </c>
      <c r="H462" s="123">
        <v>17</v>
      </c>
      <c r="I462" s="122">
        <v>20700</v>
      </c>
      <c r="J462" s="123">
        <v>8</v>
      </c>
      <c r="K462" s="122">
        <v>8700</v>
      </c>
      <c r="L462" s="124">
        <f t="shared" si="105"/>
        <v>44</v>
      </c>
      <c r="M462" s="125">
        <f t="shared" si="105"/>
        <v>52600</v>
      </c>
      <c r="N462" s="126">
        <f t="shared" ref="N462:N525" si="106">IF(ISBLANK(G462),"",G462/R462)</f>
        <v>156.75675675675674</v>
      </c>
      <c r="O462" s="127">
        <f t="shared" ref="O462:O525" si="107">IF(ISBLANK(I462),"",+I462/R462)</f>
        <v>139.86486486486487</v>
      </c>
      <c r="P462" s="127">
        <f t="shared" ref="P462:P525" si="108">IF(ISBLANK(K462),"",K462/R462)</f>
        <v>58.783783783783782</v>
      </c>
      <c r="Q462" s="128">
        <f t="shared" ref="Q462:Q525" si="109">IF(ISBLANK(K462),"",SUM(N462:P462))</f>
        <v>355.40540540540542</v>
      </c>
      <c r="R462" s="129">
        <v>148</v>
      </c>
      <c r="S462" s="130">
        <v>0</v>
      </c>
      <c r="T462" s="131">
        <v>212</v>
      </c>
      <c r="U462" s="131">
        <v>169</v>
      </c>
      <c r="V462" s="132">
        <f t="shared" ref="V462:V525" si="110">IF(SUM(S462:U462)=0,"",SUM(S462:U462))</f>
        <v>381</v>
      </c>
      <c r="W462" s="133">
        <f t="shared" ref="W462:W525" si="111">IF(V462="","",V462/R462)</f>
        <v>2.5743243243243241</v>
      </c>
      <c r="X462" s="130">
        <v>1638</v>
      </c>
      <c r="Y462" s="131">
        <v>1664</v>
      </c>
      <c r="Z462" s="131">
        <v>718</v>
      </c>
      <c r="AA462" s="132">
        <f t="shared" ref="AA462:AA525" si="112">IF(SUM(X462:Z462)=0,"",SUM(X462:Z462))</f>
        <v>4020</v>
      </c>
      <c r="AB462" s="133">
        <f t="shared" ref="AB462:AB525" si="113">IF(AA462="","",AA462/R462)</f>
        <v>27.162162162162161</v>
      </c>
      <c r="AC462" s="134">
        <f t="shared" ref="AC462:AC525" si="114">IF(SUM(V462,AA462)=0,"",SUM(V462,AA462))</f>
        <v>4401</v>
      </c>
      <c r="AD462" s="135">
        <f t="shared" ref="AD462:AD525" si="115">IF(AC462="","",AC462/R462)</f>
        <v>29.736486486486488</v>
      </c>
      <c r="AE462" s="136">
        <v>23</v>
      </c>
      <c r="AF462" s="137">
        <v>27</v>
      </c>
      <c r="AG462" s="137">
        <v>0</v>
      </c>
      <c r="AH462" s="138">
        <f t="shared" ref="AH462:AH525" si="116">IF(SUM(AE462:AG462)=0,"",SUM(AE462:AG462))</f>
        <v>50</v>
      </c>
      <c r="AI462" s="133">
        <f t="shared" ref="AI462:AI525" si="117">IF(AH462="","",AH462/R462)</f>
        <v>0.33783783783783783</v>
      </c>
    </row>
    <row r="463" spans="1:35">
      <c r="A463" s="171">
        <f>IF('09월 조업일지'!A459="","",'09월 조업일지'!A459)</f>
        <v>46282</v>
      </c>
      <c r="B463" s="172" t="str">
        <f>'09월 조업일지'!E459</f>
        <v>B</v>
      </c>
      <c r="C463" s="172" t="str">
        <f>'09월 조업일지'!F459</f>
        <v>A</v>
      </c>
      <c r="D463" s="172">
        <f>'09월 화학성분'!C460</f>
        <v>85662</v>
      </c>
      <c r="E463" s="205" t="str">
        <f t="shared" ref="E463:E526" si="118">IF(F463="","",E462)</f>
        <v>SS400-04</v>
      </c>
      <c r="F463" s="121">
        <v>20</v>
      </c>
      <c r="G463" s="122">
        <v>23600</v>
      </c>
      <c r="H463" s="123">
        <v>17</v>
      </c>
      <c r="I463" s="122">
        <v>20700</v>
      </c>
      <c r="J463" s="123">
        <v>9</v>
      </c>
      <c r="K463" s="122">
        <v>11400</v>
      </c>
      <c r="L463" s="124">
        <f t="shared" si="105"/>
        <v>46</v>
      </c>
      <c r="M463" s="125">
        <f t="shared" si="105"/>
        <v>55700</v>
      </c>
      <c r="N463" s="126">
        <f t="shared" si="106"/>
        <v>155.67282321899737</v>
      </c>
      <c r="O463" s="127">
        <f t="shared" si="107"/>
        <v>136.54353562005278</v>
      </c>
      <c r="P463" s="127">
        <f t="shared" si="108"/>
        <v>75.197889182058049</v>
      </c>
      <c r="Q463" s="128">
        <f t="shared" si="109"/>
        <v>367.41424802110816</v>
      </c>
      <c r="R463" s="129">
        <v>151.6</v>
      </c>
      <c r="S463" s="130">
        <v>0</v>
      </c>
      <c r="T463" s="131">
        <v>128</v>
      </c>
      <c r="U463" s="131">
        <v>219</v>
      </c>
      <c r="V463" s="132">
        <f t="shared" si="110"/>
        <v>347</v>
      </c>
      <c r="W463" s="133">
        <f t="shared" si="111"/>
        <v>2.2889182058047495</v>
      </c>
      <c r="X463" s="130">
        <v>1728</v>
      </c>
      <c r="Y463" s="131">
        <v>1673</v>
      </c>
      <c r="Z463" s="131">
        <v>636</v>
      </c>
      <c r="AA463" s="132">
        <f t="shared" si="112"/>
        <v>4037</v>
      </c>
      <c r="AB463" s="133">
        <f t="shared" si="113"/>
        <v>26.629287598944593</v>
      </c>
      <c r="AC463" s="134">
        <f t="shared" si="114"/>
        <v>4384</v>
      </c>
      <c r="AD463" s="135">
        <f t="shared" si="115"/>
        <v>28.918205804749341</v>
      </c>
      <c r="AE463" s="136">
        <v>26</v>
      </c>
      <c r="AF463" s="137">
        <v>25</v>
      </c>
      <c r="AG463" s="137">
        <v>0</v>
      </c>
      <c r="AH463" s="138">
        <f t="shared" si="116"/>
        <v>51</v>
      </c>
      <c r="AI463" s="133">
        <f t="shared" si="117"/>
        <v>0.33641160949868076</v>
      </c>
    </row>
    <row r="464" spans="1:35">
      <c r="A464" s="171">
        <f>IF('09월 조업일지'!A460="","",'09월 조업일지'!A460)</f>
        <v>46282</v>
      </c>
      <c r="B464" s="172" t="str">
        <f>'09월 조업일지'!E460</f>
        <v>B</v>
      </c>
      <c r="C464" s="172" t="str">
        <f>'09월 조업일지'!F460</f>
        <v>B</v>
      </c>
      <c r="D464" s="172">
        <f>'09월 화학성분'!C461</f>
        <v>85663</v>
      </c>
      <c r="E464" s="205" t="str">
        <f t="shared" si="118"/>
        <v>SS400-04</v>
      </c>
      <c r="F464" s="121">
        <v>19</v>
      </c>
      <c r="G464" s="122">
        <v>23700</v>
      </c>
      <c r="H464" s="123">
        <v>18</v>
      </c>
      <c r="I464" s="122">
        <v>21300</v>
      </c>
      <c r="J464" s="123">
        <v>11</v>
      </c>
      <c r="K464" s="122">
        <v>14600</v>
      </c>
      <c r="L464" s="124">
        <f t="shared" si="105"/>
        <v>48</v>
      </c>
      <c r="M464" s="125">
        <f t="shared" si="105"/>
        <v>59600</v>
      </c>
      <c r="N464" s="126">
        <f t="shared" si="106"/>
        <v>155.92105263157896</v>
      </c>
      <c r="O464" s="127">
        <f t="shared" si="107"/>
        <v>140.13157894736841</v>
      </c>
      <c r="P464" s="127">
        <f t="shared" si="108"/>
        <v>96.05263157894737</v>
      </c>
      <c r="Q464" s="128">
        <f t="shared" si="109"/>
        <v>392.1052631578948</v>
      </c>
      <c r="R464" s="129">
        <v>152</v>
      </c>
      <c r="S464" s="130">
        <v>0</v>
      </c>
      <c r="T464" s="131">
        <v>0</v>
      </c>
      <c r="U464" s="131">
        <v>364</v>
      </c>
      <c r="V464" s="132">
        <f t="shared" si="110"/>
        <v>364</v>
      </c>
      <c r="W464" s="133">
        <f t="shared" si="111"/>
        <v>2.3947368421052633</v>
      </c>
      <c r="X464" s="130">
        <v>1691</v>
      </c>
      <c r="Y464" s="131">
        <v>2233</v>
      </c>
      <c r="Z464" s="131">
        <v>905</v>
      </c>
      <c r="AA464" s="132">
        <f t="shared" si="112"/>
        <v>4829</v>
      </c>
      <c r="AB464" s="133">
        <f t="shared" si="113"/>
        <v>31.769736842105264</v>
      </c>
      <c r="AC464" s="134">
        <f t="shared" si="114"/>
        <v>5193</v>
      </c>
      <c r="AD464" s="135">
        <f t="shared" si="115"/>
        <v>34.164473684210527</v>
      </c>
      <c r="AE464" s="136">
        <v>25</v>
      </c>
      <c r="AF464" s="137">
        <v>55</v>
      </c>
      <c r="AG464" s="137">
        <v>0</v>
      </c>
      <c r="AH464" s="138">
        <f t="shared" si="116"/>
        <v>80</v>
      </c>
      <c r="AI464" s="133">
        <f t="shared" si="117"/>
        <v>0.52631578947368418</v>
      </c>
    </row>
    <row r="465" spans="1:35">
      <c r="A465" s="171">
        <f>IF('09월 조업일지'!A461="","",'09월 조업일지'!A461)</f>
        <v>46282</v>
      </c>
      <c r="B465" s="172" t="str">
        <f>'09월 조업일지'!E461</f>
        <v>B</v>
      </c>
      <c r="C465" s="172" t="str">
        <f>'09월 조업일지'!F461</f>
        <v>A</v>
      </c>
      <c r="D465" s="172">
        <f>'09월 화학성분'!C462</f>
        <v>85664</v>
      </c>
      <c r="E465" s="205" t="str">
        <f t="shared" si="118"/>
        <v>SS400-04</v>
      </c>
      <c r="F465" s="121">
        <v>19</v>
      </c>
      <c r="G465" s="122">
        <v>23400</v>
      </c>
      <c r="H465" s="123">
        <v>16</v>
      </c>
      <c r="I465" s="122">
        <v>20500</v>
      </c>
      <c r="J465" s="123">
        <v>20</v>
      </c>
      <c r="K465" s="122">
        <v>23500</v>
      </c>
      <c r="L465" s="124">
        <f t="shared" si="105"/>
        <v>55</v>
      </c>
      <c r="M465" s="125">
        <f t="shared" si="105"/>
        <v>67400</v>
      </c>
      <c r="N465" s="126">
        <f t="shared" si="106"/>
        <v>153.74507227332458</v>
      </c>
      <c r="O465" s="127">
        <f t="shared" si="107"/>
        <v>134.69119579500659</v>
      </c>
      <c r="P465" s="127">
        <f t="shared" si="108"/>
        <v>154.40210249671486</v>
      </c>
      <c r="Q465" s="128">
        <f t="shared" si="109"/>
        <v>442.83837056504603</v>
      </c>
      <c r="R465" s="129">
        <v>152.19999999999999</v>
      </c>
      <c r="S465" s="130">
        <v>0</v>
      </c>
      <c r="T465" s="131">
        <v>52</v>
      </c>
      <c r="U465" s="131">
        <v>371</v>
      </c>
      <c r="V465" s="132">
        <f t="shared" si="110"/>
        <v>423</v>
      </c>
      <c r="W465" s="133">
        <f t="shared" si="111"/>
        <v>2.7792378449408677</v>
      </c>
      <c r="X465" s="130">
        <v>1596</v>
      </c>
      <c r="Y465" s="131">
        <v>1552</v>
      </c>
      <c r="Z465" s="131">
        <v>1103</v>
      </c>
      <c r="AA465" s="132">
        <f t="shared" si="112"/>
        <v>4251</v>
      </c>
      <c r="AB465" s="133">
        <f t="shared" si="113"/>
        <v>27.930354796320632</v>
      </c>
      <c r="AC465" s="134">
        <f t="shared" si="114"/>
        <v>4674</v>
      </c>
      <c r="AD465" s="135">
        <f t="shared" si="115"/>
        <v>30.709592641261501</v>
      </c>
      <c r="AE465" s="136">
        <v>21</v>
      </c>
      <c r="AF465" s="137">
        <v>25</v>
      </c>
      <c r="AG465" s="137">
        <v>0</v>
      </c>
      <c r="AH465" s="138">
        <f t="shared" si="116"/>
        <v>46</v>
      </c>
      <c r="AI465" s="133">
        <f t="shared" si="117"/>
        <v>0.30223390275952694</v>
      </c>
    </row>
    <row r="466" spans="1:35">
      <c r="A466" s="171">
        <f>IF('09월 조업일지'!A462="","",'09월 조업일지'!A462)</f>
        <v>46282</v>
      </c>
      <c r="B466" s="172" t="str">
        <f>'09월 조업일지'!E462</f>
        <v>B</v>
      </c>
      <c r="C466" s="172" t="str">
        <f>'09월 조업일지'!F462</f>
        <v>B</v>
      </c>
      <c r="D466" s="172">
        <f>'09월 화학성분'!C463</f>
        <v>85665</v>
      </c>
      <c r="E466" s="205" t="str">
        <f t="shared" si="118"/>
        <v>SS400-04</v>
      </c>
      <c r="F466" s="121">
        <v>21</v>
      </c>
      <c r="G466" s="122">
        <v>23500</v>
      </c>
      <c r="H466" s="123">
        <v>18</v>
      </c>
      <c r="I466" s="122">
        <v>20900</v>
      </c>
      <c r="J466" s="123">
        <v>10</v>
      </c>
      <c r="K466" s="122">
        <v>12400</v>
      </c>
      <c r="L466" s="124">
        <f t="shared" si="105"/>
        <v>49</v>
      </c>
      <c r="M466" s="125">
        <f t="shared" si="105"/>
        <v>56800</v>
      </c>
      <c r="N466" s="126">
        <f t="shared" si="106"/>
        <v>159.43012211668926</v>
      </c>
      <c r="O466" s="127">
        <f t="shared" si="107"/>
        <v>141.79104477611941</v>
      </c>
      <c r="P466" s="127">
        <f t="shared" si="108"/>
        <v>84.124830393487102</v>
      </c>
      <c r="Q466" s="128">
        <f t="shared" si="109"/>
        <v>385.34599728629581</v>
      </c>
      <c r="R466" s="129">
        <v>147.4</v>
      </c>
      <c r="S466" s="130">
        <v>0</v>
      </c>
      <c r="T466" s="131">
        <v>122</v>
      </c>
      <c r="U466" s="131">
        <v>251</v>
      </c>
      <c r="V466" s="132">
        <f t="shared" si="110"/>
        <v>373</v>
      </c>
      <c r="W466" s="133">
        <f t="shared" si="111"/>
        <v>2.5305291723202168</v>
      </c>
      <c r="X466" s="130">
        <v>1760</v>
      </c>
      <c r="Y466" s="131">
        <v>1641</v>
      </c>
      <c r="Z466" s="131">
        <v>633</v>
      </c>
      <c r="AA466" s="132">
        <f t="shared" si="112"/>
        <v>4034</v>
      </c>
      <c r="AB466" s="133">
        <f t="shared" si="113"/>
        <v>27.367706919945725</v>
      </c>
      <c r="AC466" s="134">
        <f t="shared" si="114"/>
        <v>4407</v>
      </c>
      <c r="AD466" s="135">
        <f t="shared" si="115"/>
        <v>29.898236092265943</v>
      </c>
      <c r="AE466" s="136">
        <v>25</v>
      </c>
      <c r="AF466" s="137">
        <v>27</v>
      </c>
      <c r="AG466" s="137">
        <v>0</v>
      </c>
      <c r="AH466" s="138">
        <f t="shared" si="116"/>
        <v>52</v>
      </c>
      <c r="AI466" s="133">
        <f t="shared" si="117"/>
        <v>0.35278154681139756</v>
      </c>
    </row>
    <row r="467" spans="1:35">
      <c r="A467" s="171">
        <f>IF('09월 조업일지'!A463="","",'09월 조업일지'!A463)</f>
        <v>46282</v>
      </c>
      <c r="B467" s="172" t="str">
        <f>'09월 조업일지'!E463</f>
        <v>B</v>
      </c>
      <c r="C467" s="172" t="str">
        <f>'09월 조업일지'!F463</f>
        <v>A</v>
      </c>
      <c r="D467" s="172">
        <f>'09월 화학성분'!C464</f>
        <v>85666</v>
      </c>
      <c r="E467" s="205" t="str">
        <f t="shared" si="118"/>
        <v>SS400-04</v>
      </c>
      <c r="F467" s="121">
        <v>21</v>
      </c>
      <c r="G467" s="122">
        <v>23400</v>
      </c>
      <c r="H467" s="123">
        <v>18</v>
      </c>
      <c r="I467" s="122">
        <v>20300</v>
      </c>
      <c r="J467" s="123">
        <v>11</v>
      </c>
      <c r="K467" s="122">
        <v>14500</v>
      </c>
      <c r="L467" s="124">
        <f t="shared" si="105"/>
        <v>50</v>
      </c>
      <c r="M467" s="125">
        <f t="shared" si="105"/>
        <v>58200</v>
      </c>
      <c r="N467" s="126">
        <f t="shared" si="106"/>
        <v>158.21501014198782</v>
      </c>
      <c r="O467" s="127">
        <f t="shared" si="107"/>
        <v>137.25490196078431</v>
      </c>
      <c r="P467" s="127">
        <f t="shared" si="108"/>
        <v>98.039215686274503</v>
      </c>
      <c r="Q467" s="128">
        <f t="shared" si="109"/>
        <v>393.5091277890466</v>
      </c>
      <c r="R467" s="129">
        <v>147.9</v>
      </c>
      <c r="S467" s="130">
        <v>0</v>
      </c>
      <c r="T467" s="131">
        <v>92</v>
      </c>
      <c r="U467" s="131">
        <v>412</v>
      </c>
      <c r="V467" s="132">
        <f t="shared" si="110"/>
        <v>504</v>
      </c>
      <c r="W467" s="133">
        <f t="shared" si="111"/>
        <v>3.4077079107505068</v>
      </c>
      <c r="X467" s="130">
        <v>1786</v>
      </c>
      <c r="Y467" s="131">
        <v>1624</v>
      </c>
      <c r="Z467" s="131">
        <v>956</v>
      </c>
      <c r="AA467" s="132">
        <f t="shared" si="112"/>
        <v>4366</v>
      </c>
      <c r="AB467" s="133">
        <f t="shared" si="113"/>
        <v>29.519945909398242</v>
      </c>
      <c r="AC467" s="134">
        <f t="shared" si="114"/>
        <v>4870</v>
      </c>
      <c r="AD467" s="135">
        <f t="shared" si="115"/>
        <v>32.927653820148748</v>
      </c>
      <c r="AE467" s="136">
        <v>25</v>
      </c>
      <c r="AF467" s="137">
        <v>27</v>
      </c>
      <c r="AG467" s="137">
        <v>0</v>
      </c>
      <c r="AH467" s="138">
        <f t="shared" si="116"/>
        <v>52</v>
      </c>
      <c r="AI467" s="133">
        <f t="shared" si="117"/>
        <v>0.35158891142663962</v>
      </c>
    </row>
    <row r="468" spans="1:35">
      <c r="A468" s="171">
        <f>IF('09월 조업일지'!A464="","",'09월 조업일지'!A464)</f>
        <v>46282</v>
      </c>
      <c r="B468" s="172" t="str">
        <f>'09월 조업일지'!E464</f>
        <v>B</v>
      </c>
      <c r="C468" s="172" t="str">
        <f>'09월 조업일지'!F464</f>
        <v>B</v>
      </c>
      <c r="D468" s="172">
        <f>'09월 화학성분'!C465</f>
        <v>85667</v>
      </c>
      <c r="E468" s="205" t="str">
        <f t="shared" si="118"/>
        <v>SS400-04</v>
      </c>
      <c r="F468" s="121">
        <v>21</v>
      </c>
      <c r="G468" s="122">
        <v>23200</v>
      </c>
      <c r="H468" s="123">
        <v>17</v>
      </c>
      <c r="I468" s="122">
        <v>20400</v>
      </c>
      <c r="J468" s="123">
        <v>11</v>
      </c>
      <c r="K468" s="122">
        <v>13200</v>
      </c>
      <c r="L468" s="124">
        <f t="shared" si="105"/>
        <v>49</v>
      </c>
      <c r="M468" s="125">
        <f t="shared" si="105"/>
        <v>56800</v>
      </c>
      <c r="N468" s="126">
        <f t="shared" si="106"/>
        <v>156.75675675675674</v>
      </c>
      <c r="O468" s="127">
        <f t="shared" si="107"/>
        <v>137.83783783783784</v>
      </c>
      <c r="P468" s="127">
        <f t="shared" si="108"/>
        <v>89.189189189189193</v>
      </c>
      <c r="Q468" s="128">
        <f t="shared" si="109"/>
        <v>383.78378378378375</v>
      </c>
      <c r="R468" s="129">
        <v>148</v>
      </c>
      <c r="S468" s="130">
        <v>0</v>
      </c>
      <c r="T468" s="131">
        <v>159</v>
      </c>
      <c r="U468" s="131">
        <v>205</v>
      </c>
      <c r="V468" s="132">
        <f t="shared" si="110"/>
        <v>364</v>
      </c>
      <c r="W468" s="133">
        <f t="shared" si="111"/>
        <v>2.4594594594594597</v>
      </c>
      <c r="X468" s="130">
        <v>1674</v>
      </c>
      <c r="Y468" s="131">
        <v>1602</v>
      </c>
      <c r="Z468" s="131">
        <v>656</v>
      </c>
      <c r="AA468" s="132">
        <f t="shared" si="112"/>
        <v>3932</v>
      </c>
      <c r="AB468" s="133">
        <f t="shared" si="113"/>
        <v>26.567567567567568</v>
      </c>
      <c r="AC468" s="134">
        <f t="shared" si="114"/>
        <v>4296</v>
      </c>
      <c r="AD468" s="135">
        <f t="shared" si="115"/>
        <v>29.027027027027028</v>
      </c>
      <c r="AE468" s="136">
        <v>24</v>
      </c>
      <c r="AF468" s="137">
        <v>31</v>
      </c>
      <c r="AG468" s="137">
        <v>0</v>
      </c>
      <c r="AH468" s="138">
        <f t="shared" si="116"/>
        <v>55</v>
      </c>
      <c r="AI468" s="133">
        <f t="shared" si="117"/>
        <v>0.3716216216216216</v>
      </c>
    </row>
    <row r="469" spans="1:35">
      <c r="A469" s="171">
        <f>IF('09월 조업일지'!A465="","",'09월 조업일지'!A465)</f>
        <v>46282</v>
      </c>
      <c r="B469" s="172" t="str">
        <f>'09월 조업일지'!E465</f>
        <v>B</v>
      </c>
      <c r="C469" s="172" t="str">
        <f>'09월 조업일지'!F465</f>
        <v>A</v>
      </c>
      <c r="D469" s="172">
        <f>'09월 화학성분'!C466</f>
        <v>85668</v>
      </c>
      <c r="E469" s="205" t="str">
        <f t="shared" si="118"/>
        <v>SS400-04</v>
      </c>
      <c r="F469" s="121">
        <v>20</v>
      </c>
      <c r="G469" s="122">
        <v>23400</v>
      </c>
      <c r="H469" s="123">
        <v>17</v>
      </c>
      <c r="I469" s="122">
        <v>20600</v>
      </c>
      <c r="J469" s="123">
        <v>8</v>
      </c>
      <c r="K469" s="122">
        <v>9800</v>
      </c>
      <c r="L469" s="124">
        <f t="shared" si="105"/>
        <v>45</v>
      </c>
      <c r="M469" s="125">
        <f t="shared" si="105"/>
        <v>53800</v>
      </c>
      <c r="N469" s="126">
        <f t="shared" si="106"/>
        <v>157.25806451612902</v>
      </c>
      <c r="O469" s="127">
        <f t="shared" si="107"/>
        <v>138.44086021505376</v>
      </c>
      <c r="P469" s="127">
        <f t="shared" si="108"/>
        <v>65.86021505376344</v>
      </c>
      <c r="Q469" s="128">
        <f t="shared" si="109"/>
        <v>361.55913978494624</v>
      </c>
      <c r="R469" s="129">
        <v>148.80000000000001</v>
      </c>
      <c r="S469" s="130">
        <v>0</v>
      </c>
      <c r="T469" s="131">
        <v>167</v>
      </c>
      <c r="U469" s="131">
        <v>237</v>
      </c>
      <c r="V469" s="132">
        <f t="shared" si="110"/>
        <v>404</v>
      </c>
      <c r="W469" s="133">
        <f t="shared" si="111"/>
        <v>2.71505376344086</v>
      </c>
      <c r="X469" s="130">
        <v>1690</v>
      </c>
      <c r="Y469" s="131">
        <v>1619</v>
      </c>
      <c r="Z469" s="131">
        <v>904</v>
      </c>
      <c r="AA469" s="132">
        <f t="shared" si="112"/>
        <v>4213</v>
      </c>
      <c r="AB469" s="133">
        <f t="shared" si="113"/>
        <v>28.313172043010752</v>
      </c>
      <c r="AC469" s="134">
        <f t="shared" si="114"/>
        <v>4617</v>
      </c>
      <c r="AD469" s="135">
        <f t="shared" si="115"/>
        <v>31.028225806451612</v>
      </c>
      <c r="AE469" s="136">
        <v>26</v>
      </c>
      <c r="AF469" s="137">
        <v>22</v>
      </c>
      <c r="AG469" s="137">
        <v>0</v>
      </c>
      <c r="AH469" s="138">
        <f t="shared" si="116"/>
        <v>48</v>
      </c>
      <c r="AI469" s="133">
        <f t="shared" si="117"/>
        <v>0.32258064516129031</v>
      </c>
    </row>
    <row r="470" spans="1:35">
      <c r="A470" s="171">
        <f>IF('09월 조업일지'!A466="","",'09월 조업일지'!A466)</f>
        <v>46282</v>
      </c>
      <c r="B470" s="172" t="str">
        <f>'09월 조업일지'!E466</f>
        <v>B</v>
      </c>
      <c r="C470" s="172" t="str">
        <f>'09월 조업일지'!F466</f>
        <v>A</v>
      </c>
      <c r="D470" s="172">
        <f>'09월 화학성분'!C467</f>
        <v>85669</v>
      </c>
      <c r="E470" s="351" t="s">
        <v>343</v>
      </c>
      <c r="F470" s="121">
        <v>21</v>
      </c>
      <c r="G470" s="122">
        <v>23600</v>
      </c>
      <c r="H470" s="123">
        <v>17</v>
      </c>
      <c r="I470" s="122">
        <v>20500</v>
      </c>
      <c r="J470" s="123">
        <v>7</v>
      </c>
      <c r="K470" s="122">
        <v>8200</v>
      </c>
      <c r="L470" s="124">
        <f t="shared" si="105"/>
        <v>45</v>
      </c>
      <c r="M470" s="125">
        <f t="shared" si="105"/>
        <v>52300</v>
      </c>
      <c r="N470" s="126">
        <f t="shared" si="106"/>
        <v>160.76294277929154</v>
      </c>
      <c r="O470" s="127">
        <f t="shared" si="107"/>
        <v>139.64577656675749</v>
      </c>
      <c r="P470" s="127">
        <f t="shared" si="108"/>
        <v>55.858310626702995</v>
      </c>
      <c r="Q470" s="128">
        <f t="shared" si="109"/>
        <v>356.26702997275197</v>
      </c>
      <c r="R470" s="129">
        <v>146.80000000000001</v>
      </c>
      <c r="S470" s="130">
        <v>0</v>
      </c>
      <c r="T470" s="131">
        <v>112</v>
      </c>
      <c r="U470" s="131">
        <v>243</v>
      </c>
      <c r="V470" s="132">
        <f t="shared" si="110"/>
        <v>355</v>
      </c>
      <c r="W470" s="133">
        <f t="shared" si="111"/>
        <v>2.4182561307901906</v>
      </c>
      <c r="X470" s="130">
        <v>1695</v>
      </c>
      <c r="Y470" s="131">
        <v>1603</v>
      </c>
      <c r="Z470" s="131">
        <v>693</v>
      </c>
      <c r="AA470" s="132">
        <f t="shared" si="112"/>
        <v>3991</v>
      </c>
      <c r="AB470" s="133">
        <f t="shared" si="113"/>
        <v>27.186648501362395</v>
      </c>
      <c r="AC470" s="134">
        <f t="shared" si="114"/>
        <v>4346</v>
      </c>
      <c r="AD470" s="135">
        <f t="shared" si="115"/>
        <v>29.604904632152586</v>
      </c>
      <c r="AE470" s="136">
        <v>26</v>
      </c>
      <c r="AF470" s="137">
        <v>31</v>
      </c>
      <c r="AG470" s="137">
        <v>0</v>
      </c>
      <c r="AH470" s="138">
        <f t="shared" si="116"/>
        <v>57</v>
      </c>
      <c r="AI470" s="133">
        <f t="shared" si="117"/>
        <v>0.38828337874659397</v>
      </c>
    </row>
    <row r="471" spans="1:35">
      <c r="A471" s="171">
        <f>IF('09월 조업일지'!A467="","",'09월 조업일지'!A467)</f>
        <v>46282</v>
      </c>
      <c r="B471" s="172" t="str">
        <f>'09월 조업일지'!E467</f>
        <v>C</v>
      </c>
      <c r="C471" s="172" t="str">
        <f>'09월 조업일지'!F467</f>
        <v>A</v>
      </c>
      <c r="D471" s="172">
        <f>'09월 화학성분'!C468</f>
        <v>85670</v>
      </c>
      <c r="E471" s="205" t="str">
        <f t="shared" si="118"/>
        <v>SS400-01</v>
      </c>
      <c r="F471" s="121">
        <v>19</v>
      </c>
      <c r="G471" s="122">
        <v>23700</v>
      </c>
      <c r="H471" s="123">
        <v>18</v>
      </c>
      <c r="I471" s="122">
        <v>20500</v>
      </c>
      <c r="J471" s="123">
        <v>8</v>
      </c>
      <c r="K471" s="122">
        <v>10300</v>
      </c>
      <c r="L471" s="124">
        <f t="shared" si="105"/>
        <v>45</v>
      </c>
      <c r="M471" s="125">
        <f t="shared" si="105"/>
        <v>54500</v>
      </c>
      <c r="N471" s="126">
        <f t="shared" si="106"/>
        <v>158</v>
      </c>
      <c r="O471" s="127">
        <f t="shared" si="107"/>
        <v>136.66666666666666</v>
      </c>
      <c r="P471" s="127">
        <f t="shared" si="108"/>
        <v>68.666666666666671</v>
      </c>
      <c r="Q471" s="128">
        <f t="shared" si="109"/>
        <v>363.33333333333331</v>
      </c>
      <c r="R471" s="129">
        <v>150</v>
      </c>
      <c r="S471" s="130">
        <v>0</v>
      </c>
      <c r="T471" s="131">
        <v>138</v>
      </c>
      <c r="U471" s="131">
        <v>236</v>
      </c>
      <c r="V471" s="132">
        <f t="shared" si="110"/>
        <v>374</v>
      </c>
      <c r="W471" s="133">
        <f t="shared" si="111"/>
        <v>2.4933333333333332</v>
      </c>
      <c r="X471" s="130">
        <v>1625</v>
      </c>
      <c r="Y471" s="131">
        <v>1631</v>
      </c>
      <c r="Z471" s="131">
        <v>899</v>
      </c>
      <c r="AA471" s="132">
        <f t="shared" si="112"/>
        <v>4155</v>
      </c>
      <c r="AB471" s="133">
        <f t="shared" si="113"/>
        <v>27.7</v>
      </c>
      <c r="AC471" s="134">
        <f t="shared" si="114"/>
        <v>4529</v>
      </c>
      <c r="AD471" s="135">
        <f t="shared" si="115"/>
        <v>30.193333333333332</v>
      </c>
      <c r="AE471" s="136">
        <v>22</v>
      </c>
      <c r="AF471" s="137">
        <v>28</v>
      </c>
      <c r="AG471" s="137">
        <v>0</v>
      </c>
      <c r="AH471" s="138">
        <f t="shared" si="116"/>
        <v>50</v>
      </c>
      <c r="AI471" s="133">
        <f t="shared" si="117"/>
        <v>0.33333333333333331</v>
      </c>
    </row>
    <row r="472" spans="1:35">
      <c r="A472" s="171">
        <f>IF('09월 조업일지'!A468="","",'09월 조업일지'!A468)</f>
        <v>46282</v>
      </c>
      <c r="B472" s="172" t="str">
        <f>'09월 조업일지'!E468</f>
        <v>C</v>
      </c>
      <c r="C472" s="172" t="str">
        <f>'09월 조업일지'!F468</f>
        <v>A</v>
      </c>
      <c r="D472" s="172">
        <f>'09월 화학성분'!C469</f>
        <v>85671</v>
      </c>
      <c r="E472" s="205" t="str">
        <f t="shared" si="118"/>
        <v>SS400-01</v>
      </c>
      <c r="F472" s="121">
        <v>21</v>
      </c>
      <c r="G472" s="122">
        <v>23600</v>
      </c>
      <c r="H472" s="123">
        <v>23</v>
      </c>
      <c r="I472" s="122">
        <v>20300</v>
      </c>
      <c r="J472" s="123">
        <v>8</v>
      </c>
      <c r="K472" s="122">
        <v>9800</v>
      </c>
      <c r="L472" s="124">
        <f t="shared" si="105"/>
        <v>52</v>
      </c>
      <c r="M472" s="125">
        <f t="shared" si="105"/>
        <v>53700</v>
      </c>
      <c r="N472" s="126">
        <f t="shared" si="106"/>
        <v>159.67523680649526</v>
      </c>
      <c r="O472" s="127">
        <f t="shared" si="107"/>
        <v>137.34776725304465</v>
      </c>
      <c r="P472" s="127">
        <f t="shared" si="108"/>
        <v>66.305818673883621</v>
      </c>
      <c r="Q472" s="128">
        <f t="shared" si="109"/>
        <v>363.32882273342352</v>
      </c>
      <c r="R472" s="129">
        <v>147.80000000000001</v>
      </c>
      <c r="S472" s="130">
        <v>0</v>
      </c>
      <c r="T472" s="131">
        <v>206</v>
      </c>
      <c r="U472" s="131">
        <v>99</v>
      </c>
      <c r="V472" s="132">
        <f t="shared" si="110"/>
        <v>305</v>
      </c>
      <c r="W472" s="133">
        <f t="shared" si="111"/>
        <v>2.0635994587280106</v>
      </c>
      <c r="X472" s="130">
        <v>1705</v>
      </c>
      <c r="Y472" s="131">
        <v>1824</v>
      </c>
      <c r="Z472" s="131">
        <v>807</v>
      </c>
      <c r="AA472" s="132">
        <f t="shared" si="112"/>
        <v>4336</v>
      </c>
      <c r="AB472" s="133">
        <f t="shared" si="113"/>
        <v>29.336941813261163</v>
      </c>
      <c r="AC472" s="134">
        <f t="shared" si="114"/>
        <v>4641</v>
      </c>
      <c r="AD472" s="135">
        <f t="shared" si="115"/>
        <v>31.400541271989173</v>
      </c>
      <c r="AE472" s="136">
        <v>24</v>
      </c>
      <c r="AF472" s="137">
        <v>35</v>
      </c>
      <c r="AG472" s="137">
        <v>0</v>
      </c>
      <c r="AH472" s="138">
        <f t="shared" si="116"/>
        <v>59</v>
      </c>
      <c r="AI472" s="133">
        <f t="shared" si="117"/>
        <v>0.39918809201623812</v>
      </c>
    </row>
    <row r="473" spans="1:35">
      <c r="A473" s="171">
        <f>IF('09월 조업일지'!A469="","",'09월 조업일지'!A469)</f>
        <v>46282</v>
      </c>
      <c r="B473" s="172" t="str">
        <f>'09월 조업일지'!E469</f>
        <v>C</v>
      </c>
      <c r="C473" s="172" t="str">
        <f>'09월 조업일지'!F469</f>
        <v>A</v>
      </c>
      <c r="D473" s="172">
        <f>'09월 화학성분'!C470</f>
        <v>85672</v>
      </c>
      <c r="E473" s="205" t="str">
        <f t="shared" si="118"/>
        <v>SS400-01</v>
      </c>
      <c r="F473" s="121">
        <v>23</v>
      </c>
      <c r="G473" s="122">
        <v>23700</v>
      </c>
      <c r="H473" s="123">
        <v>18</v>
      </c>
      <c r="I473" s="122">
        <v>20700</v>
      </c>
      <c r="J473" s="123">
        <v>7</v>
      </c>
      <c r="K473" s="122">
        <v>8600</v>
      </c>
      <c r="L473" s="124">
        <f t="shared" ref="L473:M536" si="119">IF(ISBLANK(F473),"",SUM(F473,H473,J473))</f>
        <v>48</v>
      </c>
      <c r="M473" s="125">
        <f t="shared" si="119"/>
        <v>53000</v>
      </c>
      <c r="N473" s="126">
        <f t="shared" si="106"/>
        <v>158.74079035498994</v>
      </c>
      <c r="O473" s="127">
        <f t="shared" si="107"/>
        <v>138.64701942397855</v>
      </c>
      <c r="P473" s="127">
        <f t="shared" si="108"/>
        <v>57.60214333556597</v>
      </c>
      <c r="Q473" s="128">
        <f t="shared" si="109"/>
        <v>354.9899531145345</v>
      </c>
      <c r="R473" s="129">
        <v>149.30000000000001</v>
      </c>
      <c r="S473" s="130">
        <v>0</v>
      </c>
      <c r="T473" s="131">
        <v>144</v>
      </c>
      <c r="U473" s="131">
        <v>243</v>
      </c>
      <c r="V473" s="132">
        <f t="shared" si="110"/>
        <v>387</v>
      </c>
      <c r="W473" s="133">
        <f t="shared" si="111"/>
        <v>2.5920964501004686</v>
      </c>
      <c r="X473" s="130">
        <v>1730</v>
      </c>
      <c r="Y473" s="131">
        <v>1615</v>
      </c>
      <c r="Z473" s="131">
        <v>1002</v>
      </c>
      <c r="AA473" s="132">
        <f t="shared" si="112"/>
        <v>4347</v>
      </c>
      <c r="AB473" s="133">
        <f t="shared" si="113"/>
        <v>29.115874079035496</v>
      </c>
      <c r="AC473" s="134">
        <f t="shared" si="114"/>
        <v>4734</v>
      </c>
      <c r="AD473" s="135">
        <f t="shared" si="115"/>
        <v>31.707970529135967</v>
      </c>
      <c r="AE473" s="136">
        <v>26</v>
      </c>
      <c r="AF473" s="137">
        <v>28</v>
      </c>
      <c r="AG473" s="137">
        <v>0</v>
      </c>
      <c r="AH473" s="138">
        <f t="shared" si="116"/>
        <v>54</v>
      </c>
      <c r="AI473" s="133">
        <f t="shared" si="117"/>
        <v>0.36168787675820491</v>
      </c>
    </row>
    <row r="474" spans="1:35">
      <c r="A474" s="171">
        <f>IF('09월 조업일지'!A470="","",'09월 조업일지'!A470)</f>
        <v>46283</v>
      </c>
      <c r="B474" s="172" t="str">
        <f>'09월 조업일지'!E470</f>
        <v>C</v>
      </c>
      <c r="C474" s="172" t="str">
        <f>'09월 조업일지'!F470</f>
        <v>A</v>
      </c>
      <c r="D474" s="172">
        <f>'09월 화학성분'!C471</f>
        <v>85673</v>
      </c>
      <c r="E474" s="205" t="str">
        <f t="shared" si="118"/>
        <v>SS400-01</v>
      </c>
      <c r="F474" s="121">
        <v>22</v>
      </c>
      <c r="G474" s="122">
        <v>23200</v>
      </c>
      <c r="H474" s="123">
        <v>19</v>
      </c>
      <c r="I474" s="122">
        <v>20700</v>
      </c>
      <c r="J474" s="123">
        <v>6</v>
      </c>
      <c r="K474" s="122">
        <v>7800</v>
      </c>
      <c r="L474" s="124">
        <f t="shared" si="119"/>
        <v>47</v>
      </c>
      <c r="M474" s="125">
        <f t="shared" si="119"/>
        <v>51700</v>
      </c>
      <c r="N474" s="126">
        <f t="shared" si="106"/>
        <v>157.71583956492182</v>
      </c>
      <c r="O474" s="127">
        <f t="shared" si="107"/>
        <v>140.72059823249489</v>
      </c>
      <c r="P474" s="127">
        <f t="shared" si="108"/>
        <v>53.025152957171997</v>
      </c>
      <c r="Q474" s="128">
        <f t="shared" si="109"/>
        <v>351.46159075458871</v>
      </c>
      <c r="R474" s="129">
        <v>147.1</v>
      </c>
      <c r="S474" s="130">
        <v>0</v>
      </c>
      <c r="T474" s="131">
        <v>173</v>
      </c>
      <c r="U474" s="131">
        <v>103</v>
      </c>
      <c r="V474" s="132">
        <f t="shared" si="110"/>
        <v>276</v>
      </c>
      <c r="W474" s="133">
        <f t="shared" si="111"/>
        <v>1.8762746430999322</v>
      </c>
      <c r="X474" s="130">
        <v>1894</v>
      </c>
      <c r="Y474" s="131">
        <v>1653</v>
      </c>
      <c r="Z474" s="131">
        <v>645</v>
      </c>
      <c r="AA474" s="132">
        <f t="shared" si="112"/>
        <v>4192</v>
      </c>
      <c r="AB474" s="133">
        <f t="shared" si="113"/>
        <v>28.497620666213461</v>
      </c>
      <c r="AC474" s="134">
        <f t="shared" si="114"/>
        <v>4468</v>
      </c>
      <c r="AD474" s="135">
        <f t="shared" si="115"/>
        <v>30.373895309313394</v>
      </c>
      <c r="AE474" s="136">
        <v>30</v>
      </c>
      <c r="AF474" s="137">
        <v>29</v>
      </c>
      <c r="AG474" s="137">
        <v>0</v>
      </c>
      <c r="AH474" s="138">
        <f t="shared" si="116"/>
        <v>59</v>
      </c>
      <c r="AI474" s="133">
        <f t="shared" si="117"/>
        <v>0.40108769544527534</v>
      </c>
    </row>
    <row r="475" spans="1:35">
      <c r="A475" s="171">
        <f>IF('09월 조업일지'!A471="","",'09월 조업일지'!A471)</f>
        <v>46283</v>
      </c>
      <c r="B475" s="172" t="str">
        <f>'09월 조업일지'!E471</f>
        <v>C</v>
      </c>
      <c r="C475" s="172" t="str">
        <f>'09월 조업일지'!F471</f>
        <v>A</v>
      </c>
      <c r="D475" s="172">
        <f>'09월 화학성분'!C472</f>
        <v>85674</v>
      </c>
      <c r="E475" s="205" t="str">
        <f t="shared" si="118"/>
        <v>SS400-01</v>
      </c>
      <c r="F475" s="121">
        <v>22</v>
      </c>
      <c r="G475" s="122">
        <v>24700</v>
      </c>
      <c r="H475" s="123">
        <v>18</v>
      </c>
      <c r="I475" s="122">
        <v>20500</v>
      </c>
      <c r="J475" s="123">
        <v>13</v>
      </c>
      <c r="K475" s="122">
        <v>16300</v>
      </c>
      <c r="L475" s="124">
        <f t="shared" si="119"/>
        <v>53</v>
      </c>
      <c r="M475" s="125">
        <f t="shared" si="119"/>
        <v>61500</v>
      </c>
      <c r="N475" s="126">
        <f t="shared" si="106"/>
        <v>171.76634214186367</v>
      </c>
      <c r="O475" s="127">
        <f t="shared" si="107"/>
        <v>142.55910987482613</v>
      </c>
      <c r="P475" s="127">
        <f t="shared" si="108"/>
        <v>113.35187760778858</v>
      </c>
      <c r="Q475" s="128">
        <f t="shared" si="109"/>
        <v>427.67732962447843</v>
      </c>
      <c r="R475" s="129">
        <v>143.80000000000001</v>
      </c>
      <c r="S475" s="130">
        <v>0</v>
      </c>
      <c r="T475" s="131">
        <v>191</v>
      </c>
      <c r="U475" s="131">
        <v>53</v>
      </c>
      <c r="V475" s="132">
        <f t="shared" si="110"/>
        <v>244</v>
      </c>
      <c r="W475" s="133">
        <f t="shared" si="111"/>
        <v>1.6968011126564673</v>
      </c>
      <c r="X475" s="130">
        <v>1882</v>
      </c>
      <c r="Y475" s="131">
        <v>1658</v>
      </c>
      <c r="Z475" s="131">
        <v>1256</v>
      </c>
      <c r="AA475" s="132">
        <f t="shared" si="112"/>
        <v>4796</v>
      </c>
      <c r="AB475" s="133">
        <f t="shared" si="113"/>
        <v>33.351877607788595</v>
      </c>
      <c r="AC475" s="134">
        <f t="shared" si="114"/>
        <v>5040</v>
      </c>
      <c r="AD475" s="135">
        <f t="shared" si="115"/>
        <v>35.048678720445061</v>
      </c>
      <c r="AE475" s="136">
        <v>26</v>
      </c>
      <c r="AF475" s="137">
        <v>24</v>
      </c>
      <c r="AG475" s="137">
        <v>0</v>
      </c>
      <c r="AH475" s="138">
        <f t="shared" si="116"/>
        <v>50</v>
      </c>
      <c r="AI475" s="133">
        <f t="shared" si="117"/>
        <v>0.34770514603616132</v>
      </c>
    </row>
    <row r="476" spans="1:35">
      <c r="A476" s="171">
        <f>IF('09월 조업일지'!A472="","",'09월 조업일지'!A472)</f>
        <v>46283</v>
      </c>
      <c r="B476" s="172" t="str">
        <f>'09월 조업일지'!E472</f>
        <v>A</v>
      </c>
      <c r="C476" s="172" t="str">
        <f>'09월 조업일지'!F472</f>
        <v>A</v>
      </c>
      <c r="D476" s="172">
        <f>'09월 화학성분'!C473</f>
        <v>85675</v>
      </c>
      <c r="E476" s="205" t="str">
        <f t="shared" si="118"/>
        <v>SS400-01</v>
      </c>
      <c r="F476" s="121">
        <v>20</v>
      </c>
      <c r="G476" s="122">
        <v>23200</v>
      </c>
      <c r="H476" s="123">
        <v>18</v>
      </c>
      <c r="I476" s="122">
        <v>20900</v>
      </c>
      <c r="J476" s="123">
        <v>7</v>
      </c>
      <c r="K476" s="122">
        <v>9600</v>
      </c>
      <c r="L476" s="124">
        <f t="shared" si="119"/>
        <v>45</v>
      </c>
      <c r="M476" s="125">
        <f t="shared" si="119"/>
        <v>53700</v>
      </c>
      <c r="N476" s="126">
        <f t="shared" si="106"/>
        <v>158.145875937287</v>
      </c>
      <c r="O476" s="127">
        <f t="shared" si="107"/>
        <v>142.46762099522837</v>
      </c>
      <c r="P476" s="127">
        <f t="shared" si="108"/>
        <v>65.439672801635993</v>
      </c>
      <c r="Q476" s="128">
        <f t="shared" si="109"/>
        <v>366.05316973415137</v>
      </c>
      <c r="R476" s="129">
        <v>146.69999999999999</v>
      </c>
      <c r="S476" s="130">
        <v>0</v>
      </c>
      <c r="T476" s="131">
        <v>126</v>
      </c>
      <c r="U476" s="131">
        <v>226</v>
      </c>
      <c r="V476" s="132">
        <f t="shared" si="110"/>
        <v>352</v>
      </c>
      <c r="W476" s="133">
        <f t="shared" si="111"/>
        <v>2.3994546693933199</v>
      </c>
      <c r="X476" s="130">
        <v>1640</v>
      </c>
      <c r="Y476" s="131">
        <v>1641</v>
      </c>
      <c r="Z476" s="131">
        <v>813</v>
      </c>
      <c r="AA476" s="132">
        <f t="shared" si="112"/>
        <v>4094</v>
      </c>
      <c r="AB476" s="133">
        <f t="shared" si="113"/>
        <v>27.907293796864352</v>
      </c>
      <c r="AC476" s="134">
        <f t="shared" si="114"/>
        <v>4446</v>
      </c>
      <c r="AD476" s="135">
        <f t="shared" si="115"/>
        <v>30.30674846625767</v>
      </c>
      <c r="AE476" s="136">
        <v>27</v>
      </c>
      <c r="AF476" s="137">
        <v>29</v>
      </c>
      <c r="AG476" s="137">
        <v>0</v>
      </c>
      <c r="AH476" s="138">
        <f t="shared" si="116"/>
        <v>56</v>
      </c>
      <c r="AI476" s="133">
        <f t="shared" si="117"/>
        <v>0.38173142467620996</v>
      </c>
    </row>
    <row r="477" spans="1:35">
      <c r="A477" s="171">
        <f>IF('09월 조업일지'!A473="","",'09월 조업일지'!A473)</f>
        <v>46283</v>
      </c>
      <c r="B477" s="172" t="str">
        <f>'09월 조업일지'!E473</f>
        <v>A</v>
      </c>
      <c r="C477" s="172" t="str">
        <f>'09월 조업일지'!F473</f>
        <v>A</v>
      </c>
      <c r="D477" s="172">
        <f>'09월 화학성분'!C474</f>
        <v>85676</v>
      </c>
      <c r="E477" s="205" t="str">
        <f t="shared" si="118"/>
        <v>SS400-01</v>
      </c>
      <c r="F477" s="121">
        <v>21</v>
      </c>
      <c r="G477" s="122">
        <v>23600</v>
      </c>
      <c r="H477" s="123">
        <v>18</v>
      </c>
      <c r="I477" s="122">
        <v>20800</v>
      </c>
      <c r="J477" s="123">
        <v>7</v>
      </c>
      <c r="K477" s="122">
        <v>9100</v>
      </c>
      <c r="L477" s="124">
        <f t="shared" si="119"/>
        <v>46</v>
      </c>
      <c r="M477" s="125">
        <f t="shared" si="119"/>
        <v>53500</v>
      </c>
      <c r="N477" s="126">
        <f t="shared" si="106"/>
        <v>161.31237183868762</v>
      </c>
      <c r="O477" s="127">
        <f t="shared" si="107"/>
        <v>142.17361585782638</v>
      </c>
      <c r="P477" s="127">
        <f t="shared" si="108"/>
        <v>62.200956937799042</v>
      </c>
      <c r="Q477" s="128">
        <f t="shared" si="109"/>
        <v>365.68694463431308</v>
      </c>
      <c r="R477" s="129">
        <v>146.30000000000001</v>
      </c>
      <c r="S477" s="130">
        <v>0</v>
      </c>
      <c r="T477" s="131">
        <v>144</v>
      </c>
      <c r="U477" s="131">
        <v>206</v>
      </c>
      <c r="V477" s="132">
        <f t="shared" si="110"/>
        <v>350</v>
      </c>
      <c r="W477" s="133">
        <f t="shared" si="111"/>
        <v>2.3923444976076551</v>
      </c>
      <c r="X477" s="130">
        <v>1737</v>
      </c>
      <c r="Y477" s="131">
        <v>1660</v>
      </c>
      <c r="Z477" s="131">
        <v>725</v>
      </c>
      <c r="AA477" s="132">
        <f t="shared" si="112"/>
        <v>4122</v>
      </c>
      <c r="AB477" s="133">
        <f t="shared" si="113"/>
        <v>28.174982911825015</v>
      </c>
      <c r="AC477" s="134">
        <f t="shared" si="114"/>
        <v>4472</v>
      </c>
      <c r="AD477" s="135">
        <f t="shared" si="115"/>
        <v>30.567327409432671</v>
      </c>
      <c r="AE477" s="136">
        <v>26</v>
      </c>
      <c r="AF477" s="137">
        <v>23</v>
      </c>
      <c r="AG477" s="137">
        <v>0</v>
      </c>
      <c r="AH477" s="138">
        <f t="shared" si="116"/>
        <v>49</v>
      </c>
      <c r="AI477" s="133">
        <f t="shared" si="117"/>
        <v>0.33492822966507174</v>
      </c>
    </row>
    <row r="478" spans="1:35">
      <c r="A478" s="171">
        <f>IF('09월 조업일지'!A474="","",'09월 조업일지'!A474)</f>
        <v>46283</v>
      </c>
      <c r="B478" s="172" t="str">
        <f>'09월 조업일지'!E474</f>
        <v>A</v>
      </c>
      <c r="C478" s="172" t="str">
        <f>'09월 조업일지'!F474</f>
        <v>A</v>
      </c>
      <c r="D478" s="172">
        <f>'09월 화학성분'!C475</f>
        <v>85677</v>
      </c>
      <c r="E478" s="205" t="str">
        <f t="shared" si="118"/>
        <v>SS400-01</v>
      </c>
      <c r="F478" s="121">
        <v>20</v>
      </c>
      <c r="G478" s="122">
        <v>23500</v>
      </c>
      <c r="H478" s="123">
        <v>17</v>
      </c>
      <c r="I478" s="122">
        <v>20600</v>
      </c>
      <c r="J478" s="123">
        <v>9</v>
      </c>
      <c r="K478" s="122">
        <v>11100</v>
      </c>
      <c r="L478" s="124">
        <f t="shared" si="119"/>
        <v>46</v>
      </c>
      <c r="M478" s="125">
        <f t="shared" si="119"/>
        <v>55200</v>
      </c>
      <c r="N478" s="126">
        <f t="shared" si="106"/>
        <v>159.64673913043478</v>
      </c>
      <c r="O478" s="127">
        <f t="shared" si="107"/>
        <v>139.94565217391306</v>
      </c>
      <c r="P478" s="127">
        <f t="shared" si="108"/>
        <v>75.407608695652186</v>
      </c>
      <c r="Q478" s="128">
        <f t="shared" si="109"/>
        <v>375.00000000000006</v>
      </c>
      <c r="R478" s="129">
        <v>147.19999999999999</v>
      </c>
      <c r="S478" s="130">
        <v>0</v>
      </c>
      <c r="T478" s="131">
        <v>163</v>
      </c>
      <c r="U478" s="131">
        <v>202</v>
      </c>
      <c r="V478" s="132">
        <f t="shared" si="110"/>
        <v>365</v>
      </c>
      <c r="W478" s="133">
        <f t="shared" si="111"/>
        <v>2.4796195652173916</v>
      </c>
      <c r="X478" s="130">
        <v>1629</v>
      </c>
      <c r="Y478" s="131">
        <v>1631</v>
      </c>
      <c r="Z478" s="131">
        <v>741</v>
      </c>
      <c r="AA478" s="132">
        <f t="shared" si="112"/>
        <v>4001</v>
      </c>
      <c r="AB478" s="133">
        <f t="shared" si="113"/>
        <v>27.180706521739133</v>
      </c>
      <c r="AC478" s="134">
        <f t="shared" si="114"/>
        <v>4366</v>
      </c>
      <c r="AD478" s="135">
        <f t="shared" si="115"/>
        <v>29.660326086956523</v>
      </c>
      <c r="AE478" s="136">
        <v>23</v>
      </c>
      <c r="AF478" s="137">
        <v>32</v>
      </c>
      <c r="AG478" s="137">
        <v>0</v>
      </c>
      <c r="AH478" s="138">
        <f t="shared" si="116"/>
        <v>55</v>
      </c>
      <c r="AI478" s="133">
        <f t="shared" si="117"/>
        <v>0.37364130434782611</v>
      </c>
    </row>
    <row r="479" spans="1:35">
      <c r="A479" s="171">
        <f>IF('09월 조업일지'!A475="","",'09월 조업일지'!A475)</f>
        <v>46283</v>
      </c>
      <c r="B479" s="172" t="str">
        <f>'09월 조업일지'!E475</f>
        <v>A</v>
      </c>
      <c r="C479" s="172" t="str">
        <f>'09월 조업일지'!F475</f>
        <v>A</v>
      </c>
      <c r="D479" s="172">
        <f>'09월 화학성분'!C476</f>
        <v>85678</v>
      </c>
      <c r="E479" s="205" t="str">
        <f t="shared" si="118"/>
        <v>SS400-01</v>
      </c>
      <c r="F479" s="121">
        <v>20</v>
      </c>
      <c r="G479" s="122">
        <v>23200</v>
      </c>
      <c r="H479" s="123">
        <v>17</v>
      </c>
      <c r="I479" s="122">
        <v>20700</v>
      </c>
      <c r="J479" s="123">
        <v>7</v>
      </c>
      <c r="K479" s="122">
        <v>9100</v>
      </c>
      <c r="L479" s="124">
        <f t="shared" si="119"/>
        <v>44</v>
      </c>
      <c r="M479" s="125">
        <f t="shared" si="119"/>
        <v>53000</v>
      </c>
      <c r="N479" s="126">
        <f t="shared" si="106"/>
        <v>158.79534565366188</v>
      </c>
      <c r="O479" s="127">
        <f t="shared" si="107"/>
        <v>141.68377823408625</v>
      </c>
      <c r="P479" s="127">
        <f t="shared" si="108"/>
        <v>62.286105407255306</v>
      </c>
      <c r="Q479" s="128">
        <f t="shared" si="109"/>
        <v>362.76522929500345</v>
      </c>
      <c r="R479" s="129">
        <v>146.1</v>
      </c>
      <c r="S479" s="130">
        <v>0</v>
      </c>
      <c r="T479" s="131">
        <v>143</v>
      </c>
      <c r="U479" s="131">
        <v>220</v>
      </c>
      <c r="V479" s="132">
        <f t="shared" si="110"/>
        <v>363</v>
      </c>
      <c r="W479" s="133">
        <f t="shared" si="111"/>
        <v>2.4845995893223822</v>
      </c>
      <c r="X479" s="130">
        <v>1691</v>
      </c>
      <c r="Y479" s="131">
        <v>1590</v>
      </c>
      <c r="Z479" s="131">
        <v>793</v>
      </c>
      <c r="AA479" s="132">
        <f t="shared" si="112"/>
        <v>4074</v>
      </c>
      <c r="AB479" s="133">
        <f t="shared" si="113"/>
        <v>27.885010266940451</v>
      </c>
      <c r="AC479" s="134">
        <f t="shared" si="114"/>
        <v>4437</v>
      </c>
      <c r="AD479" s="135">
        <f t="shared" si="115"/>
        <v>30.369609856262834</v>
      </c>
      <c r="AE479" s="136">
        <v>25</v>
      </c>
      <c r="AF479" s="137">
        <v>23</v>
      </c>
      <c r="AG479" s="137">
        <v>0</v>
      </c>
      <c r="AH479" s="138">
        <f t="shared" si="116"/>
        <v>48</v>
      </c>
      <c r="AI479" s="133">
        <f t="shared" si="117"/>
        <v>0.3285420944558522</v>
      </c>
    </row>
    <row r="480" spans="1:35">
      <c r="A480" s="171">
        <f>IF('09월 조업일지'!A476="","",'09월 조업일지'!A476)</f>
        <v>46283</v>
      </c>
      <c r="B480" s="172" t="str">
        <f>'09월 조업일지'!E476</f>
        <v>A</v>
      </c>
      <c r="C480" s="172" t="str">
        <f>'09월 조업일지'!F476</f>
        <v>A</v>
      </c>
      <c r="D480" s="172">
        <f>'09월 화학성분'!C477</f>
        <v>85679</v>
      </c>
      <c r="E480" s="205" t="str">
        <f t="shared" si="118"/>
        <v>SS400-01</v>
      </c>
      <c r="F480" s="121">
        <v>21</v>
      </c>
      <c r="G480" s="122">
        <v>23300</v>
      </c>
      <c r="H480" s="123">
        <v>17</v>
      </c>
      <c r="I480" s="122">
        <v>20900</v>
      </c>
      <c r="J480" s="123">
        <v>7</v>
      </c>
      <c r="K480" s="122">
        <v>8500</v>
      </c>
      <c r="L480" s="124">
        <f t="shared" si="119"/>
        <v>45</v>
      </c>
      <c r="M480" s="125">
        <f t="shared" si="119"/>
        <v>52700</v>
      </c>
      <c r="N480" s="126">
        <f t="shared" si="106"/>
        <v>158.28804347826087</v>
      </c>
      <c r="O480" s="127">
        <f t="shared" si="107"/>
        <v>141.98369565217394</v>
      </c>
      <c r="P480" s="127">
        <f t="shared" si="108"/>
        <v>57.744565217391312</v>
      </c>
      <c r="Q480" s="128">
        <f t="shared" si="109"/>
        <v>358.01630434782612</v>
      </c>
      <c r="R480" s="129">
        <v>147.19999999999999</v>
      </c>
      <c r="S480" s="130">
        <v>0</v>
      </c>
      <c r="T480" s="131">
        <v>192</v>
      </c>
      <c r="U480" s="131">
        <v>138</v>
      </c>
      <c r="V480" s="132">
        <f t="shared" si="110"/>
        <v>330</v>
      </c>
      <c r="W480" s="133">
        <f t="shared" si="111"/>
        <v>2.2418478260869565</v>
      </c>
      <c r="X480" s="130">
        <v>1706</v>
      </c>
      <c r="Y480" s="131">
        <v>1658</v>
      </c>
      <c r="Z480" s="131">
        <v>720</v>
      </c>
      <c r="AA480" s="132">
        <f t="shared" si="112"/>
        <v>4084</v>
      </c>
      <c r="AB480" s="133">
        <f t="shared" si="113"/>
        <v>27.744565217391308</v>
      </c>
      <c r="AC480" s="134">
        <f t="shared" si="114"/>
        <v>4414</v>
      </c>
      <c r="AD480" s="135">
        <f t="shared" si="115"/>
        <v>29.986413043478262</v>
      </c>
      <c r="AE480" s="136">
        <v>24</v>
      </c>
      <c r="AF480" s="137">
        <v>28</v>
      </c>
      <c r="AG480" s="137">
        <v>0</v>
      </c>
      <c r="AH480" s="138">
        <f t="shared" si="116"/>
        <v>52</v>
      </c>
      <c r="AI480" s="133">
        <f t="shared" si="117"/>
        <v>0.35326086956521741</v>
      </c>
    </row>
    <row r="481" spans="1:35">
      <c r="A481" s="171">
        <f>IF('09월 조업일지'!A477="","",'09월 조업일지'!A477)</f>
        <v>46283</v>
      </c>
      <c r="B481" s="172" t="str">
        <f>'09월 조업일지'!E477</f>
        <v>A</v>
      </c>
      <c r="C481" s="172" t="str">
        <f>'09월 조업일지'!F477</f>
        <v>A</v>
      </c>
      <c r="D481" s="172">
        <f>'09월 화학성분'!C478</f>
        <v>85680</v>
      </c>
      <c r="E481" s="205" t="str">
        <f t="shared" si="118"/>
        <v>SS400-01</v>
      </c>
      <c r="F481" s="121">
        <v>19</v>
      </c>
      <c r="G481" s="122">
        <v>23500</v>
      </c>
      <c r="H481" s="123">
        <v>16</v>
      </c>
      <c r="I481" s="122">
        <v>20600</v>
      </c>
      <c r="J481" s="123">
        <v>8</v>
      </c>
      <c r="K481" s="122">
        <v>9900</v>
      </c>
      <c r="L481" s="124">
        <f t="shared" si="119"/>
        <v>43</v>
      </c>
      <c r="M481" s="125">
        <f t="shared" si="119"/>
        <v>54000</v>
      </c>
      <c r="N481" s="126">
        <f t="shared" si="106"/>
        <v>161.62310866574964</v>
      </c>
      <c r="O481" s="127">
        <f t="shared" si="107"/>
        <v>141.67812929848694</v>
      </c>
      <c r="P481" s="127">
        <f t="shared" si="108"/>
        <v>68.08803301237964</v>
      </c>
      <c r="Q481" s="128">
        <f t="shared" si="109"/>
        <v>371.38927097661622</v>
      </c>
      <c r="R481" s="129">
        <v>145.4</v>
      </c>
      <c r="S481" s="130">
        <v>0</v>
      </c>
      <c r="T481" s="131">
        <v>122</v>
      </c>
      <c r="U481" s="131">
        <v>364</v>
      </c>
      <c r="V481" s="132">
        <f t="shared" si="110"/>
        <v>486</v>
      </c>
      <c r="W481" s="133">
        <f t="shared" si="111"/>
        <v>3.3425034387895458</v>
      </c>
      <c r="X481" s="130">
        <v>1704</v>
      </c>
      <c r="Y481" s="131">
        <v>1583</v>
      </c>
      <c r="Z481" s="131">
        <v>1307</v>
      </c>
      <c r="AA481" s="132">
        <f t="shared" si="112"/>
        <v>4594</v>
      </c>
      <c r="AB481" s="133">
        <f t="shared" si="113"/>
        <v>31.595598349381017</v>
      </c>
      <c r="AC481" s="134">
        <f t="shared" si="114"/>
        <v>5080</v>
      </c>
      <c r="AD481" s="135">
        <f t="shared" si="115"/>
        <v>34.938101788170563</v>
      </c>
      <c r="AE481" s="136">
        <v>26</v>
      </c>
      <c r="AF481" s="137">
        <v>21</v>
      </c>
      <c r="AG481" s="137">
        <v>0</v>
      </c>
      <c r="AH481" s="138">
        <f t="shared" si="116"/>
        <v>47</v>
      </c>
      <c r="AI481" s="133">
        <f t="shared" si="117"/>
        <v>0.32324621733149927</v>
      </c>
    </row>
    <row r="482" spans="1:35">
      <c r="A482" s="171">
        <f>IF('09월 조업일지'!A478="","",'09월 조업일지'!A478)</f>
        <v>46283</v>
      </c>
      <c r="B482" s="172" t="str">
        <f>'09월 조업일지'!E478</f>
        <v>A</v>
      </c>
      <c r="C482" s="172" t="str">
        <f>'09월 조업일지'!F478</f>
        <v>A</v>
      </c>
      <c r="D482" s="172">
        <f>'09월 화학성분'!C479</f>
        <v>85681</v>
      </c>
      <c r="E482" s="205" t="str">
        <f t="shared" si="118"/>
        <v>SS400-01</v>
      </c>
      <c r="F482" s="121">
        <v>22</v>
      </c>
      <c r="G482" s="122">
        <v>23400</v>
      </c>
      <c r="H482" s="123">
        <v>18</v>
      </c>
      <c r="I482" s="122">
        <v>20800</v>
      </c>
      <c r="J482" s="123">
        <v>7</v>
      </c>
      <c r="K482" s="122">
        <v>8900</v>
      </c>
      <c r="L482" s="124">
        <f t="shared" si="119"/>
        <v>47</v>
      </c>
      <c r="M482" s="125">
        <f t="shared" si="119"/>
        <v>53100</v>
      </c>
      <c r="N482" s="126">
        <f t="shared" si="106"/>
        <v>160.71428571428572</v>
      </c>
      <c r="O482" s="127">
        <f t="shared" si="107"/>
        <v>142.85714285714286</v>
      </c>
      <c r="P482" s="127">
        <f t="shared" si="108"/>
        <v>61.126373626373628</v>
      </c>
      <c r="Q482" s="128">
        <f t="shared" si="109"/>
        <v>364.69780219780216</v>
      </c>
      <c r="R482" s="129">
        <v>145.6</v>
      </c>
      <c r="S482" s="130">
        <v>0</v>
      </c>
      <c r="T482" s="131">
        <v>195</v>
      </c>
      <c r="U482" s="131">
        <v>163</v>
      </c>
      <c r="V482" s="132">
        <f t="shared" si="110"/>
        <v>358</v>
      </c>
      <c r="W482" s="133">
        <f t="shared" si="111"/>
        <v>2.4587912087912089</v>
      </c>
      <c r="X482" s="130">
        <v>1630</v>
      </c>
      <c r="Y482" s="131">
        <v>1653</v>
      </c>
      <c r="Z482" s="131">
        <v>714</v>
      </c>
      <c r="AA482" s="132">
        <f t="shared" si="112"/>
        <v>3997</v>
      </c>
      <c r="AB482" s="133">
        <f t="shared" si="113"/>
        <v>27.451923076923077</v>
      </c>
      <c r="AC482" s="134">
        <f t="shared" si="114"/>
        <v>4355</v>
      </c>
      <c r="AD482" s="135">
        <f t="shared" si="115"/>
        <v>29.910714285714288</v>
      </c>
      <c r="AE482" s="136">
        <v>24</v>
      </c>
      <c r="AF482" s="137">
        <v>26</v>
      </c>
      <c r="AG482" s="137">
        <v>0</v>
      </c>
      <c r="AH482" s="138">
        <f t="shared" si="116"/>
        <v>50</v>
      </c>
      <c r="AI482" s="133">
        <f t="shared" si="117"/>
        <v>0.34340659340659341</v>
      </c>
    </row>
    <row r="483" spans="1:35">
      <c r="A483" s="171">
        <f>IF('09월 조업일지'!A479="","",'09월 조업일지'!A479)</f>
        <v>46283</v>
      </c>
      <c r="B483" s="172" t="str">
        <f>'09월 조업일지'!E479</f>
        <v>B</v>
      </c>
      <c r="C483" s="172" t="str">
        <f>'09월 조업일지'!F479</f>
        <v>A</v>
      </c>
      <c r="D483" s="172">
        <f>'09월 화학성분'!C480</f>
        <v>85682</v>
      </c>
      <c r="E483" s="205" t="str">
        <f t="shared" si="118"/>
        <v>SS400-01</v>
      </c>
      <c r="F483" s="121">
        <v>20</v>
      </c>
      <c r="G483" s="122">
        <v>23700</v>
      </c>
      <c r="H483" s="123">
        <v>17</v>
      </c>
      <c r="I483" s="122">
        <v>21000</v>
      </c>
      <c r="J483" s="123">
        <v>5</v>
      </c>
      <c r="K483" s="122">
        <v>6300</v>
      </c>
      <c r="L483" s="124">
        <f t="shared" si="119"/>
        <v>42</v>
      </c>
      <c r="M483" s="125">
        <f t="shared" si="119"/>
        <v>51000</v>
      </c>
      <c r="N483" s="126">
        <f t="shared" si="106"/>
        <v>159.91902834008098</v>
      </c>
      <c r="O483" s="127">
        <f t="shared" si="107"/>
        <v>141.70040485829961</v>
      </c>
      <c r="P483" s="127">
        <f t="shared" si="108"/>
        <v>42.51012145748988</v>
      </c>
      <c r="Q483" s="128">
        <f t="shared" si="109"/>
        <v>344.12955465587049</v>
      </c>
      <c r="R483" s="129">
        <v>148.19999999999999</v>
      </c>
      <c r="S483" s="130">
        <v>0</v>
      </c>
      <c r="T483" s="131">
        <v>198</v>
      </c>
      <c r="U483" s="131">
        <v>164</v>
      </c>
      <c r="V483" s="132">
        <f t="shared" si="110"/>
        <v>362</v>
      </c>
      <c r="W483" s="133">
        <f t="shared" si="111"/>
        <v>2.4426450742240218</v>
      </c>
      <c r="X483" s="130">
        <v>1705</v>
      </c>
      <c r="Y483" s="131">
        <v>1550</v>
      </c>
      <c r="Z483" s="131">
        <v>528</v>
      </c>
      <c r="AA483" s="132">
        <f t="shared" si="112"/>
        <v>3783</v>
      </c>
      <c r="AB483" s="133">
        <f t="shared" si="113"/>
        <v>25.526315789473685</v>
      </c>
      <c r="AC483" s="134">
        <f t="shared" si="114"/>
        <v>4145</v>
      </c>
      <c r="AD483" s="135">
        <f t="shared" si="115"/>
        <v>27.968960863697706</v>
      </c>
      <c r="AE483" s="136">
        <v>18</v>
      </c>
      <c r="AF483" s="137">
        <v>17</v>
      </c>
      <c r="AG483" s="137">
        <v>0</v>
      </c>
      <c r="AH483" s="138">
        <f t="shared" si="116"/>
        <v>35</v>
      </c>
      <c r="AI483" s="133">
        <f t="shared" si="117"/>
        <v>0.23616734143049933</v>
      </c>
    </row>
    <row r="484" spans="1:35">
      <c r="A484" s="171">
        <f>IF('09월 조업일지'!A480="","",'09월 조업일지'!A480)</f>
        <v>46283</v>
      </c>
      <c r="B484" s="172" t="str">
        <f>'09월 조업일지'!E480</f>
        <v>B</v>
      </c>
      <c r="C484" s="172" t="str">
        <f>'09월 조업일지'!F480</f>
        <v>A</v>
      </c>
      <c r="D484" s="172">
        <f>'09월 화학성분'!C481</f>
        <v>85683</v>
      </c>
      <c r="E484" s="205" t="str">
        <f t="shared" si="118"/>
        <v>SS400-01</v>
      </c>
      <c r="F484" s="121">
        <v>20</v>
      </c>
      <c r="G484" s="122">
        <v>23600</v>
      </c>
      <c r="H484" s="123">
        <v>17</v>
      </c>
      <c r="I484" s="122">
        <v>20900</v>
      </c>
      <c r="J484" s="123">
        <v>7</v>
      </c>
      <c r="K484" s="122">
        <v>9000</v>
      </c>
      <c r="L484" s="124">
        <f t="shared" si="119"/>
        <v>44</v>
      </c>
      <c r="M484" s="125">
        <f t="shared" si="119"/>
        <v>53500</v>
      </c>
      <c r="N484" s="126">
        <f t="shared" si="106"/>
        <v>162.08791208791209</v>
      </c>
      <c r="O484" s="127">
        <f t="shared" si="107"/>
        <v>143.54395604395606</v>
      </c>
      <c r="P484" s="127">
        <f t="shared" si="108"/>
        <v>61.813186813186817</v>
      </c>
      <c r="Q484" s="128">
        <f t="shared" si="109"/>
        <v>367.44505494505495</v>
      </c>
      <c r="R484" s="129">
        <v>145.6</v>
      </c>
      <c r="S484" s="130">
        <v>0</v>
      </c>
      <c r="T484" s="131">
        <v>194</v>
      </c>
      <c r="U484" s="131">
        <v>174</v>
      </c>
      <c r="V484" s="132">
        <f t="shared" si="110"/>
        <v>368</v>
      </c>
      <c r="W484" s="133">
        <f t="shared" si="111"/>
        <v>2.5274725274725274</v>
      </c>
      <c r="X484" s="130">
        <v>1629</v>
      </c>
      <c r="Y484" s="131">
        <v>1666</v>
      </c>
      <c r="Z484" s="131">
        <v>838</v>
      </c>
      <c r="AA484" s="132">
        <f t="shared" si="112"/>
        <v>4133</v>
      </c>
      <c r="AB484" s="133">
        <f t="shared" si="113"/>
        <v>28.385989010989011</v>
      </c>
      <c r="AC484" s="134">
        <f t="shared" si="114"/>
        <v>4501</v>
      </c>
      <c r="AD484" s="135">
        <f t="shared" si="115"/>
        <v>30.91346153846154</v>
      </c>
      <c r="AE484" s="136">
        <v>19</v>
      </c>
      <c r="AF484" s="137">
        <v>29</v>
      </c>
      <c r="AG484" s="137">
        <v>0</v>
      </c>
      <c r="AH484" s="138">
        <f t="shared" si="116"/>
        <v>48</v>
      </c>
      <c r="AI484" s="133">
        <f t="shared" si="117"/>
        <v>0.32967032967032966</v>
      </c>
    </row>
    <row r="485" spans="1:35">
      <c r="A485" s="171">
        <f>IF('09월 조업일지'!A481="","",'09월 조업일지'!A481)</f>
        <v>46283</v>
      </c>
      <c r="B485" s="172" t="str">
        <f>'09월 조업일지'!E481</f>
        <v>B</v>
      </c>
      <c r="C485" s="172" t="str">
        <f>'09월 조업일지'!F481</f>
        <v>A</v>
      </c>
      <c r="D485" s="172">
        <f>'09월 화학성분'!C482</f>
        <v>85684</v>
      </c>
      <c r="E485" s="205" t="str">
        <f t="shared" si="118"/>
        <v>SS400-01</v>
      </c>
      <c r="F485" s="121">
        <v>20</v>
      </c>
      <c r="G485" s="122">
        <v>23300</v>
      </c>
      <c r="H485" s="123">
        <v>16</v>
      </c>
      <c r="I485" s="122">
        <v>20600</v>
      </c>
      <c r="J485" s="123">
        <v>9</v>
      </c>
      <c r="K485" s="122">
        <v>11500</v>
      </c>
      <c r="L485" s="124">
        <f t="shared" si="119"/>
        <v>45</v>
      </c>
      <c r="M485" s="125">
        <f t="shared" si="119"/>
        <v>55400</v>
      </c>
      <c r="N485" s="126">
        <f t="shared" si="106"/>
        <v>158.82753919563737</v>
      </c>
      <c r="O485" s="127">
        <f t="shared" si="107"/>
        <v>140.42263122017724</v>
      </c>
      <c r="P485" s="127">
        <f t="shared" si="108"/>
        <v>78.391274710293118</v>
      </c>
      <c r="Q485" s="128">
        <f t="shared" si="109"/>
        <v>377.64144512610778</v>
      </c>
      <c r="R485" s="129">
        <v>146.69999999999999</v>
      </c>
      <c r="S485" s="130">
        <v>0</v>
      </c>
      <c r="T485" s="131">
        <v>199</v>
      </c>
      <c r="U485" s="131">
        <v>186</v>
      </c>
      <c r="V485" s="132">
        <f t="shared" si="110"/>
        <v>385</v>
      </c>
      <c r="W485" s="133">
        <f t="shared" si="111"/>
        <v>2.6244035446489438</v>
      </c>
      <c r="X485" s="130">
        <v>1707</v>
      </c>
      <c r="Y485" s="131">
        <v>1603</v>
      </c>
      <c r="Z485" s="131">
        <v>936</v>
      </c>
      <c r="AA485" s="132">
        <f t="shared" si="112"/>
        <v>4246</v>
      </c>
      <c r="AB485" s="133">
        <f t="shared" si="113"/>
        <v>28.943421949556921</v>
      </c>
      <c r="AC485" s="134">
        <f t="shared" si="114"/>
        <v>4631</v>
      </c>
      <c r="AD485" s="135">
        <f t="shared" si="115"/>
        <v>31.567825494205866</v>
      </c>
      <c r="AE485" s="136">
        <v>26</v>
      </c>
      <c r="AF485" s="137">
        <v>25</v>
      </c>
      <c r="AG485" s="137">
        <v>0</v>
      </c>
      <c r="AH485" s="138">
        <f t="shared" si="116"/>
        <v>51</v>
      </c>
      <c r="AI485" s="133">
        <f t="shared" si="117"/>
        <v>0.34764826175869123</v>
      </c>
    </row>
    <row r="486" spans="1:35">
      <c r="A486" s="171">
        <f>IF('09월 조업일지'!A482="","",'09월 조업일지'!A482)</f>
        <v>46283</v>
      </c>
      <c r="B486" s="172" t="str">
        <f>'09월 조업일지'!E482</f>
        <v>B</v>
      </c>
      <c r="C486" s="172" t="str">
        <f>'09월 조업일지'!F482</f>
        <v>A</v>
      </c>
      <c r="D486" s="172">
        <f>'09월 화학성분'!C483</f>
        <v>85685</v>
      </c>
      <c r="E486" s="205" t="str">
        <f t="shared" si="118"/>
        <v>SS400-01</v>
      </c>
      <c r="F486" s="121">
        <v>20</v>
      </c>
      <c r="G486" s="122">
        <v>23200</v>
      </c>
      <c r="H486" s="123">
        <v>17</v>
      </c>
      <c r="I486" s="122">
        <v>20600</v>
      </c>
      <c r="J486" s="123">
        <v>8</v>
      </c>
      <c r="K486" s="122">
        <v>9300</v>
      </c>
      <c r="L486" s="124">
        <f t="shared" si="119"/>
        <v>45</v>
      </c>
      <c r="M486" s="125">
        <f t="shared" si="119"/>
        <v>53100</v>
      </c>
      <c r="N486" s="126">
        <f t="shared" si="106"/>
        <v>156.54520917678815</v>
      </c>
      <c r="O486" s="127">
        <f t="shared" si="107"/>
        <v>139.00134952766533</v>
      </c>
      <c r="P486" s="127">
        <f t="shared" si="108"/>
        <v>62.753036437246969</v>
      </c>
      <c r="Q486" s="128">
        <f t="shared" si="109"/>
        <v>358.29959514170042</v>
      </c>
      <c r="R486" s="129">
        <v>148.19999999999999</v>
      </c>
      <c r="S486" s="130">
        <v>0</v>
      </c>
      <c r="T486" s="131">
        <v>186</v>
      </c>
      <c r="U486" s="131">
        <v>200</v>
      </c>
      <c r="V486" s="132">
        <f t="shared" si="110"/>
        <v>386</v>
      </c>
      <c r="W486" s="133">
        <f t="shared" si="111"/>
        <v>2.6045883940620786</v>
      </c>
      <c r="X486" s="130">
        <v>1550</v>
      </c>
      <c r="Y486" s="131">
        <v>1642</v>
      </c>
      <c r="Z486" s="131">
        <v>756</v>
      </c>
      <c r="AA486" s="132">
        <f t="shared" si="112"/>
        <v>3948</v>
      </c>
      <c r="AB486" s="133">
        <f t="shared" si="113"/>
        <v>26.639676113360327</v>
      </c>
      <c r="AC486" s="134">
        <f t="shared" si="114"/>
        <v>4334</v>
      </c>
      <c r="AD486" s="135">
        <f t="shared" si="115"/>
        <v>29.244264507422404</v>
      </c>
      <c r="AE486" s="136">
        <v>25</v>
      </c>
      <c r="AF486" s="137">
        <v>29</v>
      </c>
      <c r="AG486" s="137">
        <v>0</v>
      </c>
      <c r="AH486" s="138">
        <f t="shared" si="116"/>
        <v>54</v>
      </c>
      <c r="AI486" s="133">
        <f t="shared" si="117"/>
        <v>0.36437246963562758</v>
      </c>
    </row>
    <row r="487" spans="1:35">
      <c r="A487" s="171">
        <f>IF('09월 조업일지'!A483="","",'09월 조업일지'!A483)</f>
        <v>46283</v>
      </c>
      <c r="B487" s="172" t="str">
        <f>'09월 조업일지'!E483</f>
        <v>B</v>
      </c>
      <c r="C487" s="172" t="str">
        <f>'09월 조업일지'!F483</f>
        <v>A</v>
      </c>
      <c r="D487" s="172">
        <f>'09월 화학성분'!C484</f>
        <v>85686</v>
      </c>
      <c r="E487" s="205" t="str">
        <f t="shared" si="118"/>
        <v>SS400-01</v>
      </c>
      <c r="F487" s="121">
        <v>20</v>
      </c>
      <c r="G487" s="122">
        <v>23400</v>
      </c>
      <c r="H487" s="123">
        <v>17</v>
      </c>
      <c r="I487" s="122">
        <v>20600</v>
      </c>
      <c r="J487" s="123">
        <v>9</v>
      </c>
      <c r="K487" s="122">
        <v>11300</v>
      </c>
      <c r="L487" s="124">
        <f t="shared" si="119"/>
        <v>46</v>
      </c>
      <c r="M487" s="125">
        <f t="shared" si="119"/>
        <v>55300</v>
      </c>
      <c r="N487" s="126">
        <f t="shared" si="106"/>
        <v>153.84615384615384</v>
      </c>
      <c r="O487" s="127">
        <f t="shared" si="107"/>
        <v>135.43721236028929</v>
      </c>
      <c r="P487" s="127">
        <f t="shared" si="108"/>
        <v>74.293228139381995</v>
      </c>
      <c r="Q487" s="128">
        <f t="shared" si="109"/>
        <v>363.57659434582513</v>
      </c>
      <c r="R487" s="129">
        <v>152.1</v>
      </c>
      <c r="S487" s="130">
        <v>0</v>
      </c>
      <c r="T487" s="131">
        <v>142</v>
      </c>
      <c r="U487" s="131">
        <v>220</v>
      </c>
      <c r="V487" s="132">
        <f t="shared" si="110"/>
        <v>362</v>
      </c>
      <c r="W487" s="133">
        <f t="shared" si="111"/>
        <v>2.3800131492439185</v>
      </c>
      <c r="X487" s="130">
        <v>1680</v>
      </c>
      <c r="Y487" s="131">
        <v>1558</v>
      </c>
      <c r="Z487" s="131">
        <v>778</v>
      </c>
      <c r="AA487" s="132">
        <f t="shared" si="112"/>
        <v>4016</v>
      </c>
      <c r="AB487" s="133">
        <f t="shared" si="113"/>
        <v>26.403681788297174</v>
      </c>
      <c r="AC487" s="134">
        <f t="shared" si="114"/>
        <v>4378</v>
      </c>
      <c r="AD487" s="135">
        <f t="shared" si="115"/>
        <v>28.783694937541092</v>
      </c>
      <c r="AE487" s="136">
        <v>25</v>
      </c>
      <c r="AF487" s="137">
        <v>19</v>
      </c>
      <c r="AG487" s="137">
        <v>0</v>
      </c>
      <c r="AH487" s="138">
        <f t="shared" si="116"/>
        <v>44</v>
      </c>
      <c r="AI487" s="133">
        <f t="shared" si="117"/>
        <v>0.28928336620644313</v>
      </c>
    </row>
    <row r="488" spans="1:35">
      <c r="A488" s="171">
        <f>IF('09월 조업일지'!A484="","",'09월 조업일지'!A484)</f>
        <v>46283</v>
      </c>
      <c r="B488" s="172" t="str">
        <f>'09월 조업일지'!E484</f>
        <v>B</v>
      </c>
      <c r="C488" s="172" t="str">
        <f>'09월 조업일지'!F484</f>
        <v>A</v>
      </c>
      <c r="D488" s="172">
        <f>'09월 화학성분'!C485</f>
        <v>85687</v>
      </c>
      <c r="E488" s="205" t="str">
        <f t="shared" si="118"/>
        <v>SS400-01</v>
      </c>
      <c r="F488" s="121">
        <v>20</v>
      </c>
      <c r="G488" s="122">
        <v>23700</v>
      </c>
      <c r="H488" s="123">
        <v>17</v>
      </c>
      <c r="I488" s="122">
        <v>20700</v>
      </c>
      <c r="J488" s="123">
        <v>7</v>
      </c>
      <c r="K488" s="122">
        <v>8700</v>
      </c>
      <c r="L488" s="124">
        <f t="shared" si="119"/>
        <v>44</v>
      </c>
      <c r="M488" s="125">
        <f t="shared" si="119"/>
        <v>53100</v>
      </c>
      <c r="N488" s="126">
        <f t="shared" si="106"/>
        <v>158.74079035498994</v>
      </c>
      <c r="O488" s="127">
        <f t="shared" si="107"/>
        <v>138.64701942397855</v>
      </c>
      <c r="P488" s="127">
        <f t="shared" si="108"/>
        <v>58.271935699933017</v>
      </c>
      <c r="Q488" s="128">
        <f t="shared" si="109"/>
        <v>355.65974547890153</v>
      </c>
      <c r="R488" s="129">
        <v>149.30000000000001</v>
      </c>
      <c r="S488" s="130">
        <v>0</v>
      </c>
      <c r="T488" s="131">
        <v>143</v>
      </c>
      <c r="U488" s="131">
        <v>218</v>
      </c>
      <c r="V488" s="132">
        <f t="shared" si="110"/>
        <v>361</v>
      </c>
      <c r="W488" s="133">
        <f t="shared" si="111"/>
        <v>2.4179504353650367</v>
      </c>
      <c r="X488" s="130">
        <v>1686</v>
      </c>
      <c r="Y488" s="131">
        <v>1613</v>
      </c>
      <c r="Z488" s="131">
        <v>440</v>
      </c>
      <c r="AA488" s="132">
        <f t="shared" si="112"/>
        <v>3739</v>
      </c>
      <c r="AB488" s="133">
        <f t="shared" si="113"/>
        <v>25.043536503683857</v>
      </c>
      <c r="AC488" s="134">
        <f t="shared" si="114"/>
        <v>4100</v>
      </c>
      <c r="AD488" s="135">
        <f t="shared" si="115"/>
        <v>27.461486939048893</v>
      </c>
      <c r="AE488" s="136">
        <v>22</v>
      </c>
      <c r="AF488" s="137">
        <v>28</v>
      </c>
      <c r="AG488" s="137">
        <v>0</v>
      </c>
      <c r="AH488" s="138">
        <f t="shared" si="116"/>
        <v>50</v>
      </c>
      <c r="AI488" s="133">
        <f t="shared" si="117"/>
        <v>0.33489618218352307</v>
      </c>
    </row>
    <row r="489" spans="1:35">
      <c r="A489" s="171">
        <f>IF('09월 조업일지'!A485="","",'09월 조업일지'!A485)</f>
        <v>46283</v>
      </c>
      <c r="B489" s="172" t="str">
        <f>'09월 조업일지'!E485</f>
        <v>B</v>
      </c>
      <c r="C489" s="172" t="str">
        <f>'09월 조업일지'!F485</f>
        <v>A</v>
      </c>
      <c r="D489" s="172">
        <f>'09월 화학성분'!C486</f>
        <v>85688</v>
      </c>
      <c r="E489" s="205" t="str">
        <f t="shared" si="118"/>
        <v>SS400-01</v>
      </c>
      <c r="F489" s="121">
        <v>20</v>
      </c>
      <c r="G489" s="122">
        <v>23700</v>
      </c>
      <c r="H489" s="123">
        <v>18</v>
      </c>
      <c r="I489" s="122">
        <v>20700</v>
      </c>
      <c r="J489" s="123">
        <v>8</v>
      </c>
      <c r="K489" s="122">
        <v>9900</v>
      </c>
      <c r="L489" s="124">
        <f t="shared" si="119"/>
        <v>46</v>
      </c>
      <c r="M489" s="125">
        <f t="shared" si="119"/>
        <v>54300</v>
      </c>
      <c r="N489" s="126">
        <f t="shared" si="106"/>
        <v>157.05765407554671</v>
      </c>
      <c r="O489" s="127">
        <f t="shared" si="107"/>
        <v>137.17693836978131</v>
      </c>
      <c r="P489" s="127">
        <f t="shared" si="108"/>
        <v>65.606361829025843</v>
      </c>
      <c r="Q489" s="128">
        <f t="shared" si="109"/>
        <v>359.84095427435386</v>
      </c>
      <c r="R489" s="129">
        <v>150.9</v>
      </c>
      <c r="S489" s="130">
        <v>0</v>
      </c>
      <c r="T489" s="131">
        <v>89</v>
      </c>
      <c r="U489" s="131">
        <v>284</v>
      </c>
      <c r="V489" s="132">
        <f t="shared" si="110"/>
        <v>373</v>
      </c>
      <c r="W489" s="133">
        <f t="shared" si="111"/>
        <v>2.4718356527501655</v>
      </c>
      <c r="X489" s="130">
        <v>1811</v>
      </c>
      <c r="Y489" s="131">
        <v>1583</v>
      </c>
      <c r="Z489" s="131">
        <v>692</v>
      </c>
      <c r="AA489" s="132">
        <f t="shared" si="112"/>
        <v>4086</v>
      </c>
      <c r="AB489" s="133">
        <f t="shared" si="113"/>
        <v>27.077534791252486</v>
      </c>
      <c r="AC489" s="134">
        <f t="shared" si="114"/>
        <v>4459</v>
      </c>
      <c r="AD489" s="135">
        <f t="shared" si="115"/>
        <v>29.549370444002651</v>
      </c>
      <c r="AE489" s="136">
        <v>26</v>
      </c>
      <c r="AF489" s="137">
        <v>20</v>
      </c>
      <c r="AG489" s="137">
        <v>0</v>
      </c>
      <c r="AH489" s="138">
        <f t="shared" si="116"/>
        <v>46</v>
      </c>
      <c r="AI489" s="133">
        <f t="shared" si="117"/>
        <v>0.30483764082173626</v>
      </c>
    </row>
    <row r="490" spans="1:35">
      <c r="A490" s="171">
        <f>IF('09월 조업일지'!A486="","",'09월 조업일지'!A486)</f>
        <v>46283</v>
      </c>
      <c r="B490" s="172" t="str">
        <f>'09월 조업일지'!E486</f>
        <v>C</v>
      </c>
      <c r="C490" s="172" t="str">
        <f>'09월 조업일지'!F486</f>
        <v>A</v>
      </c>
      <c r="D490" s="172">
        <f>'09월 화학성분'!C487</f>
        <v>85689</v>
      </c>
      <c r="E490" s="205" t="str">
        <f t="shared" si="118"/>
        <v>SS400-01</v>
      </c>
      <c r="F490" s="121">
        <v>22</v>
      </c>
      <c r="G490" s="122">
        <v>23800</v>
      </c>
      <c r="H490" s="123">
        <v>16</v>
      </c>
      <c r="I490" s="122">
        <v>20800</v>
      </c>
      <c r="J490" s="123">
        <v>8</v>
      </c>
      <c r="K490" s="122">
        <v>10100</v>
      </c>
      <c r="L490" s="124">
        <f t="shared" si="119"/>
        <v>46</v>
      </c>
      <c r="M490" s="125">
        <f t="shared" si="119"/>
        <v>54700</v>
      </c>
      <c r="N490" s="126">
        <f t="shared" si="106"/>
        <v>158.56095936042638</v>
      </c>
      <c r="O490" s="127">
        <f t="shared" si="107"/>
        <v>138.57428381079282</v>
      </c>
      <c r="P490" s="127">
        <f t="shared" si="108"/>
        <v>67.288474350433049</v>
      </c>
      <c r="Q490" s="128">
        <f t="shared" si="109"/>
        <v>364.42371752165224</v>
      </c>
      <c r="R490" s="129">
        <v>150.1</v>
      </c>
      <c r="S490" s="130">
        <v>0</v>
      </c>
      <c r="T490" s="131">
        <v>136</v>
      </c>
      <c r="U490" s="131">
        <v>219</v>
      </c>
      <c r="V490" s="132">
        <f t="shared" si="110"/>
        <v>355</v>
      </c>
      <c r="W490" s="133">
        <f t="shared" si="111"/>
        <v>2.3650899400399736</v>
      </c>
      <c r="X490" s="130">
        <v>1827</v>
      </c>
      <c r="Y490" s="131">
        <v>1623</v>
      </c>
      <c r="Z490" s="131">
        <v>672</v>
      </c>
      <c r="AA490" s="132">
        <f t="shared" si="112"/>
        <v>4122</v>
      </c>
      <c r="AB490" s="133">
        <f t="shared" si="113"/>
        <v>27.461692205196538</v>
      </c>
      <c r="AC490" s="134">
        <f t="shared" si="114"/>
        <v>4477</v>
      </c>
      <c r="AD490" s="135">
        <f t="shared" si="115"/>
        <v>29.826782145236511</v>
      </c>
      <c r="AE490" s="136">
        <v>24</v>
      </c>
      <c r="AF490" s="137">
        <v>30</v>
      </c>
      <c r="AG490" s="137">
        <v>0</v>
      </c>
      <c r="AH490" s="138">
        <f t="shared" si="116"/>
        <v>54</v>
      </c>
      <c r="AI490" s="133">
        <f t="shared" si="117"/>
        <v>0.35976015989340443</v>
      </c>
    </row>
    <row r="491" spans="1:35">
      <c r="A491" s="171">
        <f>IF('09월 조업일지'!A487="","",'09월 조업일지'!A487)</f>
        <v>46283</v>
      </c>
      <c r="B491" s="172" t="str">
        <f>'09월 조업일지'!E487</f>
        <v>C</v>
      </c>
      <c r="C491" s="172" t="str">
        <f>'09월 조업일지'!F487</f>
        <v>B</v>
      </c>
      <c r="D491" s="172">
        <f>'09월 화학성분'!C488</f>
        <v>85690</v>
      </c>
      <c r="E491" s="205" t="str">
        <f t="shared" si="118"/>
        <v>SS400-01</v>
      </c>
      <c r="F491" s="121">
        <v>21</v>
      </c>
      <c r="G491" s="122">
        <v>23500</v>
      </c>
      <c r="H491" s="123">
        <v>18</v>
      </c>
      <c r="I491" s="122">
        <v>20500</v>
      </c>
      <c r="J491" s="123">
        <v>8</v>
      </c>
      <c r="K491" s="122">
        <v>10300</v>
      </c>
      <c r="L491" s="124">
        <f t="shared" si="119"/>
        <v>47</v>
      </c>
      <c r="M491" s="125">
        <f t="shared" si="119"/>
        <v>54300</v>
      </c>
      <c r="N491" s="126">
        <f t="shared" si="106"/>
        <v>155.42328042328043</v>
      </c>
      <c r="O491" s="127">
        <f t="shared" si="107"/>
        <v>135.58201058201058</v>
      </c>
      <c r="P491" s="127">
        <f t="shared" si="108"/>
        <v>68.121693121693127</v>
      </c>
      <c r="Q491" s="128">
        <f t="shared" si="109"/>
        <v>359.12698412698415</v>
      </c>
      <c r="R491" s="129">
        <v>151.19999999999999</v>
      </c>
      <c r="S491" s="130">
        <v>0</v>
      </c>
      <c r="T491" s="131">
        <v>182</v>
      </c>
      <c r="U491" s="131">
        <v>267</v>
      </c>
      <c r="V491" s="132">
        <f t="shared" si="110"/>
        <v>449</v>
      </c>
      <c r="W491" s="133">
        <f t="shared" si="111"/>
        <v>2.96957671957672</v>
      </c>
      <c r="X491" s="130">
        <v>1735</v>
      </c>
      <c r="Y491" s="131">
        <v>1670</v>
      </c>
      <c r="Z491" s="131">
        <v>973</v>
      </c>
      <c r="AA491" s="132">
        <f t="shared" si="112"/>
        <v>4378</v>
      </c>
      <c r="AB491" s="133">
        <f t="shared" si="113"/>
        <v>28.955026455026456</v>
      </c>
      <c r="AC491" s="134">
        <f t="shared" si="114"/>
        <v>4827</v>
      </c>
      <c r="AD491" s="135">
        <f t="shared" si="115"/>
        <v>31.924603174603178</v>
      </c>
      <c r="AE491" s="136">
        <v>27</v>
      </c>
      <c r="AF491" s="137">
        <v>25</v>
      </c>
      <c r="AG491" s="137">
        <v>0</v>
      </c>
      <c r="AH491" s="138">
        <f t="shared" si="116"/>
        <v>52</v>
      </c>
      <c r="AI491" s="133">
        <f t="shared" si="117"/>
        <v>0.34391534391534395</v>
      </c>
    </row>
    <row r="492" spans="1:35">
      <c r="A492" s="171">
        <f>IF('09월 조업일지'!A488="","",'09월 조업일지'!A488)</f>
        <v>46283</v>
      </c>
      <c r="B492" s="172" t="str">
        <f>'09월 조업일지'!E488</f>
        <v>C</v>
      </c>
      <c r="C492" s="172" t="str">
        <f>'09월 조업일지'!F488</f>
        <v>A</v>
      </c>
      <c r="D492" s="172">
        <f>'09월 화학성분'!C489</f>
        <v>85691</v>
      </c>
      <c r="E492" s="205" t="str">
        <f t="shared" si="118"/>
        <v>SS400-01</v>
      </c>
      <c r="F492" s="121">
        <v>20</v>
      </c>
      <c r="G492" s="122">
        <v>23400</v>
      </c>
      <c r="H492" s="123">
        <v>18</v>
      </c>
      <c r="I492" s="122">
        <v>20800</v>
      </c>
      <c r="J492" s="123">
        <v>6</v>
      </c>
      <c r="K492" s="122">
        <v>8400</v>
      </c>
      <c r="L492" s="124">
        <f t="shared" si="119"/>
        <v>44</v>
      </c>
      <c r="M492" s="125">
        <f t="shared" si="119"/>
        <v>52600</v>
      </c>
      <c r="N492" s="126">
        <f t="shared" si="106"/>
        <v>156.52173913043478</v>
      </c>
      <c r="O492" s="127">
        <f t="shared" si="107"/>
        <v>139.13043478260869</v>
      </c>
      <c r="P492" s="127">
        <f t="shared" si="108"/>
        <v>56.187290969899664</v>
      </c>
      <c r="Q492" s="128">
        <f t="shared" si="109"/>
        <v>351.83946488294316</v>
      </c>
      <c r="R492" s="129">
        <v>149.5</v>
      </c>
      <c r="S492" s="130">
        <v>0</v>
      </c>
      <c r="T492" s="131">
        <v>173</v>
      </c>
      <c r="U492" s="131">
        <v>181</v>
      </c>
      <c r="V492" s="132">
        <f t="shared" si="110"/>
        <v>354</v>
      </c>
      <c r="W492" s="133">
        <f t="shared" si="111"/>
        <v>2.367892976588629</v>
      </c>
      <c r="X492" s="130">
        <v>1622</v>
      </c>
      <c r="Y492" s="131">
        <v>1657</v>
      </c>
      <c r="Z492" s="131">
        <v>564</v>
      </c>
      <c r="AA492" s="132">
        <f t="shared" si="112"/>
        <v>3843</v>
      </c>
      <c r="AB492" s="133">
        <f t="shared" si="113"/>
        <v>25.705685618729095</v>
      </c>
      <c r="AC492" s="134">
        <f t="shared" si="114"/>
        <v>4197</v>
      </c>
      <c r="AD492" s="135">
        <f t="shared" si="115"/>
        <v>28.073578595317727</v>
      </c>
      <c r="AE492" s="136">
        <v>24</v>
      </c>
      <c r="AF492" s="137">
        <v>32</v>
      </c>
      <c r="AG492" s="137">
        <v>0</v>
      </c>
      <c r="AH492" s="138">
        <f t="shared" si="116"/>
        <v>56</v>
      </c>
      <c r="AI492" s="133">
        <f t="shared" si="117"/>
        <v>0.37458193979933108</v>
      </c>
    </row>
    <row r="493" spans="1:35">
      <c r="A493" s="171">
        <f>IF('09월 조업일지'!A489="","",'09월 조업일지'!A489)</f>
        <v>46283</v>
      </c>
      <c r="B493" s="172" t="str">
        <f>'09월 조업일지'!E489</f>
        <v>C</v>
      </c>
      <c r="C493" s="172" t="str">
        <f>'09월 조업일지'!F489</f>
        <v>B</v>
      </c>
      <c r="D493" s="172">
        <f>'09월 화학성분'!C490</f>
        <v>85692</v>
      </c>
      <c r="E493" s="205" t="str">
        <f t="shared" si="118"/>
        <v>SS400-01</v>
      </c>
      <c r="F493" s="121">
        <v>22</v>
      </c>
      <c r="G493" s="122">
        <v>23800</v>
      </c>
      <c r="H493" s="123">
        <v>17</v>
      </c>
      <c r="I493" s="122">
        <v>20400</v>
      </c>
      <c r="J493" s="123">
        <v>10</v>
      </c>
      <c r="K493" s="122">
        <v>11900</v>
      </c>
      <c r="L493" s="124">
        <f t="shared" si="119"/>
        <v>49</v>
      </c>
      <c r="M493" s="125">
        <f t="shared" si="119"/>
        <v>56100</v>
      </c>
      <c r="N493" s="126">
        <f t="shared" si="106"/>
        <v>158.13953488372093</v>
      </c>
      <c r="O493" s="127">
        <f t="shared" si="107"/>
        <v>135.54817275747507</v>
      </c>
      <c r="P493" s="127">
        <f t="shared" si="108"/>
        <v>79.069767441860463</v>
      </c>
      <c r="Q493" s="128">
        <f t="shared" si="109"/>
        <v>372.75747508305642</v>
      </c>
      <c r="R493" s="129">
        <v>150.5</v>
      </c>
      <c r="S493" s="130">
        <v>0</v>
      </c>
      <c r="T493" s="131">
        <v>8</v>
      </c>
      <c r="U493" s="131">
        <v>402</v>
      </c>
      <c r="V493" s="132">
        <f t="shared" si="110"/>
        <v>410</v>
      </c>
      <c r="W493" s="133">
        <f t="shared" si="111"/>
        <v>2.7242524916943522</v>
      </c>
      <c r="X493" s="130">
        <v>1812</v>
      </c>
      <c r="Y493" s="131">
        <v>1611</v>
      </c>
      <c r="Z493" s="131">
        <v>887</v>
      </c>
      <c r="AA493" s="132">
        <f t="shared" si="112"/>
        <v>4310</v>
      </c>
      <c r="AB493" s="133">
        <f t="shared" si="113"/>
        <v>28.637873754152825</v>
      </c>
      <c r="AC493" s="134">
        <f t="shared" si="114"/>
        <v>4720</v>
      </c>
      <c r="AD493" s="135">
        <f t="shared" si="115"/>
        <v>31.362126245847175</v>
      </c>
      <c r="AE493" s="136">
        <v>27</v>
      </c>
      <c r="AF493" s="137">
        <v>19</v>
      </c>
      <c r="AG493" s="137">
        <v>0</v>
      </c>
      <c r="AH493" s="138">
        <f t="shared" si="116"/>
        <v>46</v>
      </c>
      <c r="AI493" s="133">
        <f t="shared" si="117"/>
        <v>0.30564784053156147</v>
      </c>
    </row>
    <row r="494" spans="1:35">
      <c r="A494" s="171">
        <f>IF('09월 조업일지'!A490="","",'09월 조업일지'!A490)</f>
        <v>46283</v>
      </c>
      <c r="B494" s="172" t="str">
        <f>'09월 조업일지'!E490</f>
        <v>C</v>
      </c>
      <c r="C494" s="172" t="str">
        <f>'09월 조업일지'!F490</f>
        <v>A</v>
      </c>
      <c r="D494" s="172">
        <f>'09월 화학성분'!C491</f>
        <v>85693</v>
      </c>
      <c r="E494" s="205" t="str">
        <f t="shared" si="118"/>
        <v>SS400-01</v>
      </c>
      <c r="F494" s="121">
        <v>20</v>
      </c>
      <c r="G494" s="122">
        <v>24400</v>
      </c>
      <c r="H494" s="123">
        <v>18</v>
      </c>
      <c r="I494" s="122">
        <v>20600</v>
      </c>
      <c r="J494" s="123">
        <v>8</v>
      </c>
      <c r="K494" s="122">
        <v>10700</v>
      </c>
      <c r="L494" s="124">
        <f t="shared" si="119"/>
        <v>46</v>
      </c>
      <c r="M494" s="125">
        <f t="shared" si="119"/>
        <v>55700</v>
      </c>
      <c r="N494" s="126">
        <f t="shared" si="106"/>
        <v>164.1991924629879</v>
      </c>
      <c r="O494" s="127">
        <f t="shared" si="107"/>
        <v>138.6271870794078</v>
      </c>
      <c r="P494" s="127">
        <f t="shared" si="108"/>
        <v>72.00538358008076</v>
      </c>
      <c r="Q494" s="128">
        <f t="shared" si="109"/>
        <v>374.83176312247645</v>
      </c>
      <c r="R494" s="129">
        <v>148.6</v>
      </c>
      <c r="S494" s="130">
        <v>0</v>
      </c>
      <c r="T494" s="131">
        <v>154</v>
      </c>
      <c r="U494" s="131">
        <v>159</v>
      </c>
      <c r="V494" s="132">
        <f t="shared" si="110"/>
        <v>313</v>
      </c>
      <c r="W494" s="133">
        <f t="shared" si="111"/>
        <v>2.1063257065948857</v>
      </c>
      <c r="X494" s="130">
        <v>1700</v>
      </c>
      <c r="Y494" s="131">
        <v>1711</v>
      </c>
      <c r="Z494" s="131">
        <v>834</v>
      </c>
      <c r="AA494" s="132">
        <f t="shared" si="112"/>
        <v>4245</v>
      </c>
      <c r="AB494" s="133">
        <f t="shared" si="113"/>
        <v>28.566621803499327</v>
      </c>
      <c r="AC494" s="134">
        <f t="shared" si="114"/>
        <v>4558</v>
      </c>
      <c r="AD494" s="135">
        <f t="shared" si="115"/>
        <v>30.672947510094215</v>
      </c>
      <c r="AE494" s="136">
        <v>22</v>
      </c>
      <c r="AF494" s="137">
        <v>31</v>
      </c>
      <c r="AG494" s="137">
        <v>0</v>
      </c>
      <c r="AH494" s="138">
        <f t="shared" si="116"/>
        <v>53</v>
      </c>
      <c r="AI494" s="133">
        <f t="shared" si="117"/>
        <v>0.35666218034993274</v>
      </c>
    </row>
    <row r="495" spans="1:35">
      <c r="A495" s="171">
        <f>IF('09월 조업일지'!A491="","",'09월 조업일지'!A491)</f>
        <v>46283</v>
      </c>
      <c r="B495" s="172" t="str">
        <f>'09월 조업일지'!E491</f>
        <v>C</v>
      </c>
      <c r="C495" s="172" t="str">
        <f>'09월 조업일지'!F491</f>
        <v>B</v>
      </c>
      <c r="D495" s="172">
        <f>'09월 화학성분'!C492</f>
        <v>85694</v>
      </c>
      <c r="E495" s="205" t="str">
        <f t="shared" si="118"/>
        <v>SS400-01</v>
      </c>
      <c r="F495" s="121">
        <v>20</v>
      </c>
      <c r="G495" s="122">
        <v>24000</v>
      </c>
      <c r="H495" s="123">
        <v>17</v>
      </c>
      <c r="I495" s="122">
        <v>20700</v>
      </c>
      <c r="J495" s="123">
        <v>8</v>
      </c>
      <c r="K495" s="122">
        <v>9400</v>
      </c>
      <c r="L495" s="124">
        <f t="shared" si="119"/>
        <v>45</v>
      </c>
      <c r="M495" s="125">
        <f t="shared" si="119"/>
        <v>54100</v>
      </c>
      <c r="N495" s="126">
        <f t="shared" si="106"/>
        <v>159.25680159256802</v>
      </c>
      <c r="O495" s="127">
        <f t="shared" si="107"/>
        <v>137.35899137358993</v>
      </c>
      <c r="P495" s="127">
        <f t="shared" si="108"/>
        <v>62.375580623755809</v>
      </c>
      <c r="Q495" s="128">
        <f t="shared" si="109"/>
        <v>358.99137358991379</v>
      </c>
      <c r="R495" s="129">
        <v>150.69999999999999</v>
      </c>
      <c r="S495" s="130">
        <v>0</v>
      </c>
      <c r="T495" s="131">
        <v>0</v>
      </c>
      <c r="U495" s="131">
        <v>298</v>
      </c>
      <c r="V495" s="132">
        <f t="shared" si="110"/>
        <v>298</v>
      </c>
      <c r="W495" s="133">
        <f t="shared" si="111"/>
        <v>1.9774386197743863</v>
      </c>
      <c r="X495" s="130">
        <v>1684</v>
      </c>
      <c r="Y495" s="131">
        <v>1628</v>
      </c>
      <c r="Z495" s="131">
        <v>614</v>
      </c>
      <c r="AA495" s="132">
        <f t="shared" si="112"/>
        <v>3926</v>
      </c>
      <c r="AB495" s="133">
        <f t="shared" si="113"/>
        <v>26.051758460517586</v>
      </c>
      <c r="AC495" s="134">
        <f t="shared" si="114"/>
        <v>4224</v>
      </c>
      <c r="AD495" s="135">
        <f t="shared" si="115"/>
        <v>28.029197080291972</v>
      </c>
      <c r="AE495" s="136">
        <v>27</v>
      </c>
      <c r="AF495" s="137">
        <v>25</v>
      </c>
      <c r="AG495" s="137">
        <v>0</v>
      </c>
      <c r="AH495" s="138">
        <f t="shared" si="116"/>
        <v>52</v>
      </c>
      <c r="AI495" s="133">
        <f t="shared" si="117"/>
        <v>0.34505640345056404</v>
      </c>
    </row>
    <row r="496" spans="1:35">
      <c r="A496" s="171">
        <f>IF('09월 조업일지'!A492="","",'09월 조업일지'!A492)</f>
        <v>46284</v>
      </c>
      <c r="B496" s="172" t="str">
        <f>'09월 조업일지'!E492</f>
        <v>C</v>
      </c>
      <c r="C496" s="172" t="str">
        <f>'09월 조업일지'!F492</f>
        <v>A</v>
      </c>
      <c r="D496" s="172">
        <f>'09월 화학성분'!C493</f>
        <v>85695</v>
      </c>
      <c r="E496" s="205" t="str">
        <f t="shared" si="118"/>
        <v>SS400-01</v>
      </c>
      <c r="F496" s="121">
        <v>20</v>
      </c>
      <c r="G496" s="122">
        <v>24000</v>
      </c>
      <c r="H496" s="123">
        <v>17</v>
      </c>
      <c r="I496" s="122">
        <v>20200</v>
      </c>
      <c r="J496" s="123">
        <v>8</v>
      </c>
      <c r="K496" s="122">
        <v>10300</v>
      </c>
      <c r="L496" s="124">
        <f t="shared" si="119"/>
        <v>45</v>
      </c>
      <c r="M496" s="125">
        <f t="shared" si="119"/>
        <v>54500</v>
      </c>
      <c r="N496" s="126">
        <f t="shared" si="106"/>
        <v>165.28925619834712</v>
      </c>
      <c r="O496" s="127">
        <f t="shared" si="107"/>
        <v>139.11845730027548</v>
      </c>
      <c r="P496" s="127">
        <f t="shared" si="108"/>
        <v>70.936639118457308</v>
      </c>
      <c r="Q496" s="128">
        <f t="shared" si="109"/>
        <v>375.34435261707989</v>
      </c>
      <c r="R496" s="129">
        <v>145.19999999999999</v>
      </c>
      <c r="S496" s="130">
        <v>0</v>
      </c>
      <c r="T496" s="131">
        <v>59</v>
      </c>
      <c r="U496" s="131">
        <v>413</v>
      </c>
      <c r="V496" s="132">
        <f t="shared" si="110"/>
        <v>472</v>
      </c>
      <c r="W496" s="133">
        <f t="shared" si="111"/>
        <v>3.2506887052341602</v>
      </c>
      <c r="X496" s="130">
        <v>1694</v>
      </c>
      <c r="Y496" s="131">
        <v>1644</v>
      </c>
      <c r="Z496" s="131">
        <v>876</v>
      </c>
      <c r="AA496" s="132">
        <f t="shared" si="112"/>
        <v>4214</v>
      </c>
      <c r="AB496" s="133">
        <f t="shared" si="113"/>
        <v>29.022038567493116</v>
      </c>
      <c r="AC496" s="134">
        <f t="shared" si="114"/>
        <v>4686</v>
      </c>
      <c r="AD496" s="135">
        <f t="shared" si="115"/>
        <v>32.272727272727273</v>
      </c>
      <c r="AE496" s="136">
        <v>25</v>
      </c>
      <c r="AF496" s="137">
        <v>32</v>
      </c>
      <c r="AG496" s="137">
        <v>0</v>
      </c>
      <c r="AH496" s="138">
        <f t="shared" si="116"/>
        <v>57</v>
      </c>
      <c r="AI496" s="133">
        <f t="shared" si="117"/>
        <v>0.3925619834710744</v>
      </c>
    </row>
    <row r="497" spans="1:35">
      <c r="A497" s="171">
        <f>IF('09월 조업일지'!A493="","",'09월 조업일지'!A493)</f>
        <v>46284</v>
      </c>
      <c r="B497" s="172" t="str">
        <f>'09월 조업일지'!E493</f>
        <v>C</v>
      </c>
      <c r="C497" s="172" t="str">
        <f>'09월 조업일지'!F493</f>
        <v>B</v>
      </c>
      <c r="D497" s="172">
        <f>'09월 화학성분'!C494</f>
        <v>85696</v>
      </c>
      <c r="E497" s="205" t="str">
        <f t="shared" si="118"/>
        <v>SS400-01</v>
      </c>
      <c r="F497" s="121">
        <v>22</v>
      </c>
      <c r="G497" s="122">
        <v>24600</v>
      </c>
      <c r="H497" s="123">
        <v>17</v>
      </c>
      <c r="I497" s="122">
        <v>20600</v>
      </c>
      <c r="J497" s="123">
        <v>11</v>
      </c>
      <c r="K497" s="122">
        <v>13200</v>
      </c>
      <c r="L497" s="124">
        <f t="shared" si="119"/>
        <v>50</v>
      </c>
      <c r="M497" s="125">
        <f t="shared" si="119"/>
        <v>58400</v>
      </c>
      <c r="N497" s="126">
        <f t="shared" si="106"/>
        <v>165.65656565656565</v>
      </c>
      <c r="O497" s="127">
        <f t="shared" si="107"/>
        <v>138.72053872053871</v>
      </c>
      <c r="P497" s="127">
        <f t="shared" si="108"/>
        <v>88.888888888888886</v>
      </c>
      <c r="Q497" s="128">
        <f t="shared" si="109"/>
        <v>393.2659932659933</v>
      </c>
      <c r="R497" s="129">
        <v>148.5</v>
      </c>
      <c r="S497" s="130">
        <v>0</v>
      </c>
      <c r="T497" s="131">
        <v>96</v>
      </c>
      <c r="U497" s="131">
        <v>231</v>
      </c>
      <c r="V497" s="132">
        <f t="shared" si="110"/>
        <v>327</v>
      </c>
      <c r="W497" s="133">
        <f t="shared" si="111"/>
        <v>2.202020202020202</v>
      </c>
      <c r="X497" s="130">
        <v>1845</v>
      </c>
      <c r="Y497" s="131">
        <v>1579</v>
      </c>
      <c r="Z497" s="131">
        <v>1111</v>
      </c>
      <c r="AA497" s="132">
        <f t="shared" si="112"/>
        <v>4535</v>
      </c>
      <c r="AB497" s="133">
        <f t="shared" si="113"/>
        <v>30.53872053872054</v>
      </c>
      <c r="AC497" s="134">
        <f t="shared" si="114"/>
        <v>4862</v>
      </c>
      <c r="AD497" s="135">
        <f t="shared" si="115"/>
        <v>32.74074074074074</v>
      </c>
      <c r="AE497" s="136">
        <v>25</v>
      </c>
      <c r="AF497" s="137">
        <v>20</v>
      </c>
      <c r="AG497" s="137">
        <v>0</v>
      </c>
      <c r="AH497" s="138">
        <f t="shared" si="116"/>
        <v>45</v>
      </c>
      <c r="AI497" s="133">
        <f t="shared" si="117"/>
        <v>0.30303030303030304</v>
      </c>
    </row>
    <row r="498" spans="1:35">
      <c r="A498" s="171">
        <f>IF('09월 조업일지'!A494="","",'09월 조업일지'!A494)</f>
        <v>46284</v>
      </c>
      <c r="B498" s="172" t="str">
        <f>'09월 조업일지'!E494</f>
        <v>C</v>
      </c>
      <c r="C498" s="172" t="str">
        <f>'09월 조업일지'!F494</f>
        <v>A</v>
      </c>
      <c r="D498" s="172">
        <f>'09월 화학성분'!C495</f>
        <v>85697</v>
      </c>
      <c r="E498" s="205" t="str">
        <f t="shared" si="118"/>
        <v>SS400-01</v>
      </c>
      <c r="F498" s="121">
        <v>19</v>
      </c>
      <c r="G498" s="122">
        <v>23400</v>
      </c>
      <c r="H498" s="123">
        <v>18</v>
      </c>
      <c r="I498" s="122">
        <v>20900</v>
      </c>
      <c r="J498" s="123">
        <v>9</v>
      </c>
      <c r="K498" s="122">
        <v>9600</v>
      </c>
      <c r="L498" s="124">
        <f t="shared" si="119"/>
        <v>46</v>
      </c>
      <c r="M498" s="125">
        <f t="shared" si="119"/>
        <v>53900</v>
      </c>
      <c r="N498" s="126">
        <f t="shared" si="106"/>
        <v>160.49382716049382</v>
      </c>
      <c r="O498" s="127">
        <f t="shared" si="107"/>
        <v>143.34705075445814</v>
      </c>
      <c r="P498" s="127">
        <f t="shared" si="108"/>
        <v>65.843621399176953</v>
      </c>
      <c r="Q498" s="128">
        <f t="shared" si="109"/>
        <v>369.68449931412897</v>
      </c>
      <c r="R498" s="129">
        <v>145.80000000000001</v>
      </c>
      <c r="S498" s="130">
        <v>0</v>
      </c>
      <c r="T498" s="131">
        <v>78</v>
      </c>
      <c r="U498" s="131">
        <v>226</v>
      </c>
      <c r="V498" s="132">
        <f t="shared" si="110"/>
        <v>304</v>
      </c>
      <c r="W498" s="133">
        <f t="shared" si="111"/>
        <v>2.0850480109739369</v>
      </c>
      <c r="X498" s="130">
        <v>1683</v>
      </c>
      <c r="Y498" s="131">
        <v>1634</v>
      </c>
      <c r="Z498" s="131">
        <v>807</v>
      </c>
      <c r="AA498" s="132">
        <f t="shared" si="112"/>
        <v>4124</v>
      </c>
      <c r="AB498" s="133">
        <f t="shared" si="113"/>
        <v>28.285322359396432</v>
      </c>
      <c r="AC498" s="134">
        <f t="shared" si="114"/>
        <v>4428</v>
      </c>
      <c r="AD498" s="135">
        <f t="shared" si="115"/>
        <v>30.370370370370367</v>
      </c>
      <c r="AE498" s="136">
        <v>22</v>
      </c>
      <c r="AF498" s="137">
        <v>29</v>
      </c>
      <c r="AG498" s="137">
        <v>0</v>
      </c>
      <c r="AH498" s="138">
        <f t="shared" si="116"/>
        <v>51</v>
      </c>
      <c r="AI498" s="133">
        <f t="shared" si="117"/>
        <v>0.34979423868312753</v>
      </c>
    </row>
    <row r="499" spans="1:35">
      <c r="A499" s="171">
        <f>IF('09월 조업일지'!A495="","",'09월 조업일지'!A495)</f>
        <v>46284</v>
      </c>
      <c r="B499" s="172" t="str">
        <f>'09월 조업일지'!E495</f>
        <v>C</v>
      </c>
      <c r="C499" s="172" t="str">
        <f>'09월 조업일지'!F495</f>
        <v>B</v>
      </c>
      <c r="D499" s="172">
        <f>'09월 화학성분'!C496</f>
        <v>85698</v>
      </c>
      <c r="E499" s="205" t="str">
        <f t="shared" si="118"/>
        <v>SS400-01</v>
      </c>
      <c r="F499" s="121">
        <v>19</v>
      </c>
      <c r="G499" s="122">
        <v>23800</v>
      </c>
      <c r="H499" s="123">
        <v>18</v>
      </c>
      <c r="I499" s="122">
        <v>20900</v>
      </c>
      <c r="J499" s="123">
        <v>9</v>
      </c>
      <c r="K499" s="122">
        <v>11000</v>
      </c>
      <c r="L499" s="124">
        <f t="shared" si="119"/>
        <v>46</v>
      </c>
      <c r="M499" s="125">
        <f t="shared" si="119"/>
        <v>55700</v>
      </c>
      <c r="N499" s="126">
        <f t="shared" si="106"/>
        <v>163.68638239339751</v>
      </c>
      <c r="O499" s="127">
        <f t="shared" si="107"/>
        <v>143.7414030261348</v>
      </c>
      <c r="P499" s="127">
        <f t="shared" si="108"/>
        <v>75.653370013755151</v>
      </c>
      <c r="Q499" s="128">
        <f t="shared" si="109"/>
        <v>383.08115543328745</v>
      </c>
      <c r="R499" s="129">
        <v>145.4</v>
      </c>
      <c r="S499" s="130">
        <v>0</v>
      </c>
      <c r="T499" s="131">
        <v>114</v>
      </c>
      <c r="U499" s="131">
        <v>235</v>
      </c>
      <c r="V499" s="132">
        <f t="shared" si="110"/>
        <v>349</v>
      </c>
      <c r="W499" s="133">
        <f t="shared" si="111"/>
        <v>2.4002751031636862</v>
      </c>
      <c r="X499" s="130">
        <v>1609</v>
      </c>
      <c r="Y499" s="131">
        <v>1678</v>
      </c>
      <c r="Z499" s="131">
        <v>1131</v>
      </c>
      <c r="AA499" s="132">
        <f t="shared" si="112"/>
        <v>4418</v>
      </c>
      <c r="AB499" s="133">
        <f t="shared" si="113"/>
        <v>30.385144429160935</v>
      </c>
      <c r="AC499" s="134">
        <f t="shared" si="114"/>
        <v>4767</v>
      </c>
      <c r="AD499" s="135">
        <f t="shared" si="115"/>
        <v>32.785419532324617</v>
      </c>
      <c r="AE499" s="136">
        <v>19</v>
      </c>
      <c r="AF499" s="137">
        <v>21</v>
      </c>
      <c r="AG499" s="137">
        <v>0</v>
      </c>
      <c r="AH499" s="138">
        <f t="shared" si="116"/>
        <v>40</v>
      </c>
      <c r="AI499" s="133">
        <f t="shared" si="117"/>
        <v>0.27510316368638238</v>
      </c>
    </row>
    <row r="500" spans="1:35">
      <c r="A500" s="171">
        <f>IF('09월 조업일지'!A496="","",'09월 조업일지'!A496)</f>
        <v>46284</v>
      </c>
      <c r="B500" s="172" t="str">
        <f>'09월 조업일지'!E496</f>
        <v>A</v>
      </c>
      <c r="C500" s="172" t="str">
        <f>'09월 조업일지'!F496</f>
        <v>A</v>
      </c>
      <c r="D500" s="172">
        <f>'09월 화학성분'!C497</f>
        <v>85699</v>
      </c>
      <c r="E500" s="205" t="str">
        <f t="shared" si="118"/>
        <v>SS400-01</v>
      </c>
      <c r="F500" s="121">
        <v>21</v>
      </c>
      <c r="G500" s="122">
        <v>23600</v>
      </c>
      <c r="H500" s="123">
        <v>17</v>
      </c>
      <c r="I500" s="122">
        <v>20500</v>
      </c>
      <c r="J500" s="123">
        <v>7</v>
      </c>
      <c r="K500" s="122">
        <v>8700</v>
      </c>
      <c r="L500" s="124">
        <f t="shared" si="119"/>
        <v>45</v>
      </c>
      <c r="M500" s="125">
        <f t="shared" si="119"/>
        <v>52800</v>
      </c>
      <c r="N500" s="126">
        <f t="shared" si="106"/>
        <v>162.87094547964114</v>
      </c>
      <c r="O500" s="127">
        <f t="shared" si="107"/>
        <v>141.47688060731539</v>
      </c>
      <c r="P500" s="127">
        <f t="shared" si="108"/>
        <v>60.041407867494819</v>
      </c>
      <c r="Q500" s="128">
        <f t="shared" si="109"/>
        <v>364.3892339544513</v>
      </c>
      <c r="R500" s="129">
        <v>144.9</v>
      </c>
      <c r="S500" s="130">
        <v>0</v>
      </c>
      <c r="T500" s="131">
        <v>116</v>
      </c>
      <c r="U500" s="131">
        <v>188</v>
      </c>
      <c r="V500" s="132">
        <f t="shared" si="110"/>
        <v>304</v>
      </c>
      <c r="W500" s="133">
        <f t="shared" si="111"/>
        <v>2.09799861973775</v>
      </c>
      <c r="X500" s="130">
        <v>1781</v>
      </c>
      <c r="Y500" s="131">
        <v>1582</v>
      </c>
      <c r="Z500" s="131">
        <v>736</v>
      </c>
      <c r="AA500" s="132">
        <f t="shared" si="112"/>
        <v>4099</v>
      </c>
      <c r="AB500" s="133">
        <f t="shared" si="113"/>
        <v>28.288474810213941</v>
      </c>
      <c r="AC500" s="134">
        <f t="shared" si="114"/>
        <v>4403</v>
      </c>
      <c r="AD500" s="135">
        <f t="shared" si="115"/>
        <v>30.386473429951689</v>
      </c>
      <c r="AE500" s="136">
        <v>24</v>
      </c>
      <c r="AF500" s="137">
        <v>27</v>
      </c>
      <c r="AG500" s="137">
        <v>0</v>
      </c>
      <c r="AH500" s="138">
        <f t="shared" si="116"/>
        <v>51</v>
      </c>
      <c r="AI500" s="133">
        <f t="shared" si="117"/>
        <v>0.3519668737060041</v>
      </c>
    </row>
    <row r="501" spans="1:35">
      <c r="A501" s="171">
        <f>IF('09월 조업일지'!A497="","",'09월 조업일지'!A497)</f>
        <v>46284</v>
      </c>
      <c r="B501" s="172" t="str">
        <f>'09월 조업일지'!E497</f>
        <v>A</v>
      </c>
      <c r="C501" s="172" t="str">
        <f>'09월 조업일지'!F497</f>
        <v>B</v>
      </c>
      <c r="D501" s="172">
        <f>'09월 화학성분'!C498</f>
        <v>85700</v>
      </c>
      <c r="E501" s="205" t="str">
        <f t="shared" si="118"/>
        <v>SS400-01</v>
      </c>
      <c r="F501" s="121">
        <v>20</v>
      </c>
      <c r="G501" s="122">
        <v>23600</v>
      </c>
      <c r="H501" s="123">
        <v>19</v>
      </c>
      <c r="I501" s="122">
        <v>20900</v>
      </c>
      <c r="J501" s="123">
        <v>5</v>
      </c>
      <c r="K501" s="122">
        <v>6700</v>
      </c>
      <c r="L501" s="124">
        <f t="shared" si="119"/>
        <v>44</v>
      </c>
      <c r="M501" s="125">
        <f t="shared" si="119"/>
        <v>51200</v>
      </c>
      <c r="N501" s="126">
        <f t="shared" si="106"/>
        <v>165.38192011212334</v>
      </c>
      <c r="O501" s="127">
        <f t="shared" si="107"/>
        <v>146.46110721793974</v>
      </c>
      <c r="P501" s="127">
        <f t="shared" si="108"/>
        <v>46.951646811492644</v>
      </c>
      <c r="Q501" s="128">
        <f t="shared" si="109"/>
        <v>358.79467414155573</v>
      </c>
      <c r="R501" s="129">
        <v>142.69999999999999</v>
      </c>
      <c r="S501" s="130">
        <v>0</v>
      </c>
      <c r="T501" s="131">
        <v>228</v>
      </c>
      <c r="U501" s="131">
        <v>45</v>
      </c>
      <c r="V501" s="132">
        <f t="shared" si="110"/>
        <v>273</v>
      </c>
      <c r="W501" s="133">
        <f t="shared" si="111"/>
        <v>1.9131044148563421</v>
      </c>
      <c r="X501" s="130">
        <v>1693</v>
      </c>
      <c r="Y501" s="131">
        <v>1720</v>
      </c>
      <c r="Z501" s="131">
        <v>589</v>
      </c>
      <c r="AA501" s="132">
        <f t="shared" si="112"/>
        <v>4002</v>
      </c>
      <c r="AB501" s="133">
        <f t="shared" si="113"/>
        <v>28.044849334267695</v>
      </c>
      <c r="AC501" s="134">
        <f t="shared" si="114"/>
        <v>4275</v>
      </c>
      <c r="AD501" s="135">
        <f t="shared" si="115"/>
        <v>29.957953749124037</v>
      </c>
      <c r="AE501" s="136">
        <v>20</v>
      </c>
      <c r="AF501" s="137">
        <v>18</v>
      </c>
      <c r="AG501" s="137">
        <v>0</v>
      </c>
      <c r="AH501" s="138">
        <f t="shared" si="116"/>
        <v>38</v>
      </c>
      <c r="AI501" s="133">
        <f t="shared" si="117"/>
        <v>0.2662929222144359</v>
      </c>
    </row>
    <row r="502" spans="1:35">
      <c r="A502" s="171">
        <f>IF('09월 조업일지'!A498="","",'09월 조업일지'!A498)</f>
        <v>46284</v>
      </c>
      <c r="B502" s="172" t="str">
        <f>'09월 조업일지'!E498</f>
        <v>A</v>
      </c>
      <c r="C502" s="172" t="str">
        <f>'09월 조업일지'!F498</f>
        <v>A</v>
      </c>
      <c r="D502" s="172">
        <f>'09월 화학성분'!C499</f>
        <v>85701</v>
      </c>
      <c r="E502" s="205" t="str">
        <f t="shared" si="118"/>
        <v>SS400-01</v>
      </c>
      <c r="F502" s="121">
        <v>20</v>
      </c>
      <c r="G502" s="122">
        <v>23600</v>
      </c>
      <c r="H502" s="123">
        <v>19</v>
      </c>
      <c r="I502" s="122">
        <v>20500</v>
      </c>
      <c r="J502" s="123">
        <v>8</v>
      </c>
      <c r="K502" s="122">
        <v>10700</v>
      </c>
      <c r="L502" s="124">
        <f t="shared" si="119"/>
        <v>47</v>
      </c>
      <c r="M502" s="125">
        <f t="shared" si="119"/>
        <v>54800</v>
      </c>
      <c r="N502" s="126">
        <f t="shared" si="106"/>
        <v>162.75862068965517</v>
      </c>
      <c r="O502" s="127">
        <f t="shared" si="107"/>
        <v>141.37931034482759</v>
      </c>
      <c r="P502" s="127">
        <f t="shared" si="108"/>
        <v>73.793103448275858</v>
      </c>
      <c r="Q502" s="128">
        <f t="shared" si="109"/>
        <v>377.93103448275866</v>
      </c>
      <c r="R502" s="129">
        <v>145</v>
      </c>
      <c r="S502" s="130">
        <v>0</v>
      </c>
      <c r="T502" s="131">
        <v>113</v>
      </c>
      <c r="U502" s="131">
        <v>230</v>
      </c>
      <c r="V502" s="132">
        <f t="shared" si="110"/>
        <v>343</v>
      </c>
      <c r="W502" s="133">
        <f t="shared" si="111"/>
        <v>2.3655172413793104</v>
      </c>
      <c r="X502" s="130">
        <v>1668</v>
      </c>
      <c r="Y502" s="131">
        <v>1687</v>
      </c>
      <c r="Z502" s="131">
        <v>825</v>
      </c>
      <c r="AA502" s="132">
        <f t="shared" si="112"/>
        <v>4180</v>
      </c>
      <c r="AB502" s="133">
        <f t="shared" si="113"/>
        <v>28.827586206896552</v>
      </c>
      <c r="AC502" s="134">
        <f t="shared" si="114"/>
        <v>4523</v>
      </c>
      <c r="AD502" s="135">
        <f t="shared" si="115"/>
        <v>31.193103448275863</v>
      </c>
      <c r="AE502" s="136">
        <v>25</v>
      </c>
      <c r="AF502" s="137">
        <v>30</v>
      </c>
      <c r="AG502" s="137">
        <v>0</v>
      </c>
      <c r="AH502" s="138">
        <f t="shared" si="116"/>
        <v>55</v>
      </c>
      <c r="AI502" s="133">
        <f t="shared" si="117"/>
        <v>0.37931034482758619</v>
      </c>
    </row>
    <row r="503" spans="1:35">
      <c r="A503" s="171">
        <f>IF('09월 조업일지'!A499="","",'09월 조업일지'!A499)</f>
        <v>46284</v>
      </c>
      <c r="B503" s="172" t="str">
        <f>'09월 조업일지'!E499</f>
        <v>A</v>
      </c>
      <c r="C503" s="172" t="str">
        <f>'09월 조업일지'!F499</f>
        <v>B</v>
      </c>
      <c r="D503" s="172">
        <f>'09월 화학성분'!C500</f>
        <v>85702</v>
      </c>
      <c r="E503" s="205" t="str">
        <f t="shared" si="118"/>
        <v>SS400-01</v>
      </c>
      <c r="F503" s="121">
        <v>21</v>
      </c>
      <c r="G503" s="122">
        <v>25100</v>
      </c>
      <c r="H503" s="123">
        <v>18</v>
      </c>
      <c r="I503" s="122">
        <v>20900</v>
      </c>
      <c r="J503" s="123">
        <v>9</v>
      </c>
      <c r="K503" s="122">
        <v>10900</v>
      </c>
      <c r="L503" s="124">
        <f t="shared" si="119"/>
        <v>48</v>
      </c>
      <c r="M503" s="125">
        <f t="shared" si="119"/>
        <v>56900</v>
      </c>
      <c r="N503" s="126">
        <f t="shared" si="106"/>
        <v>170.16949152542372</v>
      </c>
      <c r="O503" s="127">
        <f t="shared" si="107"/>
        <v>141.69491525423729</v>
      </c>
      <c r="P503" s="127">
        <f t="shared" si="108"/>
        <v>73.898305084745758</v>
      </c>
      <c r="Q503" s="128">
        <f t="shared" si="109"/>
        <v>385.76271186440675</v>
      </c>
      <c r="R503" s="129">
        <v>147.5</v>
      </c>
      <c r="S503" s="130">
        <v>0</v>
      </c>
      <c r="T503" s="131">
        <v>64</v>
      </c>
      <c r="U503" s="131">
        <v>333</v>
      </c>
      <c r="V503" s="132">
        <f t="shared" si="110"/>
        <v>397</v>
      </c>
      <c r="W503" s="133">
        <f t="shared" si="111"/>
        <v>2.6915254237288138</v>
      </c>
      <c r="X503" s="130">
        <v>1718</v>
      </c>
      <c r="Y503" s="131">
        <v>1610</v>
      </c>
      <c r="Z503" s="131">
        <v>1210</v>
      </c>
      <c r="AA503" s="132">
        <f t="shared" si="112"/>
        <v>4538</v>
      </c>
      <c r="AB503" s="133">
        <f t="shared" si="113"/>
        <v>30.766101694915253</v>
      </c>
      <c r="AC503" s="134">
        <f t="shared" si="114"/>
        <v>4935</v>
      </c>
      <c r="AD503" s="135">
        <f t="shared" si="115"/>
        <v>33.457627118644069</v>
      </c>
      <c r="AE503" s="136">
        <v>20</v>
      </c>
      <c r="AF503" s="137">
        <v>18</v>
      </c>
      <c r="AG503" s="137">
        <v>0</v>
      </c>
      <c r="AH503" s="138">
        <f t="shared" si="116"/>
        <v>38</v>
      </c>
      <c r="AI503" s="133">
        <f t="shared" si="117"/>
        <v>0.25762711864406779</v>
      </c>
    </row>
    <row r="504" spans="1:35">
      <c r="A504" s="171">
        <f>IF('09월 조업일지'!A500="","",'09월 조업일지'!A500)</f>
        <v>46284</v>
      </c>
      <c r="B504" s="172" t="str">
        <f>'09월 조업일지'!E500</f>
        <v>A</v>
      </c>
      <c r="C504" s="172" t="str">
        <f>'09월 조업일지'!F500</f>
        <v>A</v>
      </c>
      <c r="D504" s="172">
        <f>'09월 화학성분'!C501</f>
        <v>85703</v>
      </c>
      <c r="E504" s="205" t="str">
        <f t="shared" si="118"/>
        <v>SS400-01</v>
      </c>
      <c r="F504" s="121">
        <v>22</v>
      </c>
      <c r="G504" s="122">
        <v>24000</v>
      </c>
      <c r="H504" s="123">
        <v>18</v>
      </c>
      <c r="I504" s="122">
        <v>20700</v>
      </c>
      <c r="J504" s="123">
        <v>7</v>
      </c>
      <c r="K504" s="122">
        <v>8600</v>
      </c>
      <c r="L504" s="124">
        <f t="shared" si="119"/>
        <v>47</v>
      </c>
      <c r="M504" s="125">
        <f t="shared" si="119"/>
        <v>53300</v>
      </c>
      <c r="N504" s="126">
        <f t="shared" si="106"/>
        <v>165.06189821182943</v>
      </c>
      <c r="O504" s="127">
        <f t="shared" si="107"/>
        <v>142.36588720770288</v>
      </c>
      <c r="P504" s="127">
        <f t="shared" si="108"/>
        <v>59.147180192572215</v>
      </c>
      <c r="Q504" s="128">
        <f t="shared" si="109"/>
        <v>366.57496561210451</v>
      </c>
      <c r="R504" s="129">
        <v>145.4</v>
      </c>
      <c r="S504" s="130">
        <v>0</v>
      </c>
      <c r="T504" s="131">
        <v>103</v>
      </c>
      <c r="U504" s="131">
        <v>342</v>
      </c>
      <c r="V504" s="132">
        <f t="shared" si="110"/>
        <v>445</v>
      </c>
      <c r="W504" s="133">
        <f t="shared" si="111"/>
        <v>3.0605226960110041</v>
      </c>
      <c r="X504" s="130">
        <v>1769</v>
      </c>
      <c r="Y504" s="131">
        <v>1632</v>
      </c>
      <c r="Z504" s="131">
        <v>745</v>
      </c>
      <c r="AA504" s="132">
        <f t="shared" si="112"/>
        <v>4146</v>
      </c>
      <c r="AB504" s="133">
        <f t="shared" si="113"/>
        <v>28.514442916093532</v>
      </c>
      <c r="AC504" s="134">
        <f t="shared" si="114"/>
        <v>4591</v>
      </c>
      <c r="AD504" s="135">
        <f t="shared" si="115"/>
        <v>31.574965612104538</v>
      </c>
      <c r="AE504" s="136">
        <v>24</v>
      </c>
      <c r="AF504" s="137">
        <v>27</v>
      </c>
      <c r="AG504" s="137">
        <v>0</v>
      </c>
      <c r="AH504" s="138">
        <f t="shared" si="116"/>
        <v>51</v>
      </c>
      <c r="AI504" s="133">
        <f t="shared" si="117"/>
        <v>0.35075653370013754</v>
      </c>
    </row>
    <row r="505" spans="1:35">
      <c r="A505" s="171">
        <f>IF('09월 조업일지'!A501="","",'09월 조업일지'!A501)</f>
        <v>46284</v>
      </c>
      <c r="B505" s="172" t="str">
        <f>'09월 조업일지'!E501</f>
        <v>A</v>
      </c>
      <c r="C505" s="172" t="str">
        <f>'09월 조업일지'!F501</f>
        <v>B</v>
      </c>
      <c r="D505" s="172">
        <f>'09월 화학성분'!C502</f>
        <v>85704</v>
      </c>
      <c r="E505" s="351" t="s">
        <v>344</v>
      </c>
      <c r="F505" s="121">
        <v>22</v>
      </c>
      <c r="G505" s="122">
        <v>25400</v>
      </c>
      <c r="H505" s="123">
        <v>17</v>
      </c>
      <c r="I505" s="122">
        <v>20700</v>
      </c>
      <c r="J505" s="123">
        <v>7</v>
      </c>
      <c r="K505" s="122">
        <v>8700</v>
      </c>
      <c r="L505" s="124">
        <f t="shared" si="119"/>
        <v>46</v>
      </c>
      <c r="M505" s="125">
        <f t="shared" si="119"/>
        <v>54800</v>
      </c>
      <c r="N505" s="126">
        <f t="shared" si="106"/>
        <v>174.45054945054946</v>
      </c>
      <c r="O505" s="127">
        <f t="shared" si="107"/>
        <v>142.17032967032966</v>
      </c>
      <c r="P505" s="127">
        <f t="shared" si="108"/>
        <v>59.752747252747255</v>
      </c>
      <c r="Q505" s="128">
        <f t="shared" si="109"/>
        <v>376.37362637362639</v>
      </c>
      <c r="R505" s="129">
        <v>145.6</v>
      </c>
      <c r="S505" s="130">
        <v>0</v>
      </c>
      <c r="T505" s="131">
        <v>121</v>
      </c>
      <c r="U505" s="131">
        <v>139</v>
      </c>
      <c r="V505" s="132">
        <f t="shared" si="110"/>
        <v>260</v>
      </c>
      <c r="W505" s="133">
        <f t="shared" si="111"/>
        <v>1.7857142857142858</v>
      </c>
      <c r="X505" s="130">
        <v>1774</v>
      </c>
      <c r="Y505" s="131">
        <v>1592</v>
      </c>
      <c r="Z505" s="131">
        <v>770</v>
      </c>
      <c r="AA505" s="132">
        <f t="shared" si="112"/>
        <v>4136</v>
      </c>
      <c r="AB505" s="133">
        <f t="shared" si="113"/>
        <v>28.406593406593409</v>
      </c>
      <c r="AC505" s="134">
        <f t="shared" si="114"/>
        <v>4396</v>
      </c>
      <c r="AD505" s="135">
        <f t="shared" si="115"/>
        <v>30.192307692307693</v>
      </c>
      <c r="AE505" s="136">
        <v>20</v>
      </c>
      <c r="AF505" s="137">
        <v>22</v>
      </c>
      <c r="AG505" s="137">
        <v>0</v>
      </c>
      <c r="AH505" s="138">
        <f t="shared" si="116"/>
        <v>42</v>
      </c>
      <c r="AI505" s="133">
        <f t="shared" si="117"/>
        <v>0.28846153846153849</v>
      </c>
    </row>
    <row r="506" spans="1:35">
      <c r="A506" s="171">
        <f>IF('09월 조업일지'!A502="","",'09월 조업일지'!A502)</f>
        <v>46284</v>
      </c>
      <c r="B506" s="172" t="str">
        <f>'09월 조업일지'!E502</f>
        <v>A</v>
      </c>
      <c r="C506" s="172" t="str">
        <f>'09월 조업일지'!F502</f>
        <v>A</v>
      </c>
      <c r="D506" s="172">
        <f>'09월 화학성분'!C503</f>
        <v>85705</v>
      </c>
      <c r="E506" s="205" t="str">
        <f t="shared" si="118"/>
        <v>SS400(ToMok)</v>
      </c>
      <c r="F506" s="121">
        <v>22</v>
      </c>
      <c r="G506" s="122">
        <v>23700</v>
      </c>
      <c r="H506" s="123">
        <v>19</v>
      </c>
      <c r="I506" s="122">
        <v>20900</v>
      </c>
      <c r="J506" s="123">
        <v>6</v>
      </c>
      <c r="K506" s="122">
        <v>7200</v>
      </c>
      <c r="L506" s="124">
        <f t="shared" si="119"/>
        <v>47</v>
      </c>
      <c r="M506" s="125">
        <f t="shared" si="119"/>
        <v>51800</v>
      </c>
      <c r="N506" s="126">
        <f t="shared" si="106"/>
        <v>161.1148878314072</v>
      </c>
      <c r="O506" s="127">
        <f t="shared" si="107"/>
        <v>142.08021753908906</v>
      </c>
      <c r="P506" s="127">
        <f t="shared" si="108"/>
        <v>48.946295037389532</v>
      </c>
      <c r="Q506" s="128">
        <f t="shared" si="109"/>
        <v>352.14140040788578</v>
      </c>
      <c r="R506" s="129">
        <v>147.1</v>
      </c>
      <c r="S506" s="130">
        <v>0</v>
      </c>
      <c r="T506" s="131">
        <v>135</v>
      </c>
      <c r="U506" s="131">
        <v>148</v>
      </c>
      <c r="V506" s="132">
        <f t="shared" si="110"/>
        <v>283</v>
      </c>
      <c r="W506" s="133">
        <f t="shared" si="111"/>
        <v>1.9238613188307274</v>
      </c>
      <c r="X506" s="130">
        <v>1752</v>
      </c>
      <c r="Y506" s="131">
        <v>1681</v>
      </c>
      <c r="Z506" s="131">
        <v>695</v>
      </c>
      <c r="AA506" s="132">
        <f t="shared" si="112"/>
        <v>4128</v>
      </c>
      <c r="AB506" s="133">
        <f t="shared" si="113"/>
        <v>28.062542488103333</v>
      </c>
      <c r="AC506" s="134">
        <f t="shared" si="114"/>
        <v>4411</v>
      </c>
      <c r="AD506" s="135">
        <f t="shared" si="115"/>
        <v>29.98640380693406</v>
      </c>
      <c r="AE506" s="136">
        <v>28</v>
      </c>
      <c r="AF506" s="137">
        <v>30</v>
      </c>
      <c r="AG506" s="137">
        <v>0</v>
      </c>
      <c r="AH506" s="138">
        <f t="shared" si="116"/>
        <v>58</v>
      </c>
      <c r="AI506" s="133">
        <f t="shared" si="117"/>
        <v>0.39428959891230458</v>
      </c>
    </row>
    <row r="507" spans="1:35">
      <c r="A507" s="171">
        <f>IF('09월 조업일지'!A503="","",'09월 조업일지'!A503)</f>
        <v>46284</v>
      </c>
      <c r="B507" s="172" t="str">
        <f>'09월 조업일지'!E503</f>
        <v>A</v>
      </c>
      <c r="C507" s="172" t="str">
        <f>'09월 조업일지'!F503</f>
        <v>B</v>
      </c>
      <c r="D507" s="172">
        <f>'09월 화학성분'!C504</f>
        <v>85706</v>
      </c>
      <c r="E507" s="205" t="str">
        <f t="shared" si="118"/>
        <v>SS400(ToMok)</v>
      </c>
      <c r="F507" s="121">
        <v>20</v>
      </c>
      <c r="G507" s="122">
        <v>23800</v>
      </c>
      <c r="H507" s="123">
        <v>17</v>
      </c>
      <c r="I507" s="122">
        <v>20700</v>
      </c>
      <c r="J507" s="123">
        <v>9</v>
      </c>
      <c r="K507" s="122">
        <v>10500</v>
      </c>
      <c r="L507" s="124">
        <f t="shared" si="119"/>
        <v>46</v>
      </c>
      <c r="M507" s="125">
        <f t="shared" si="119"/>
        <v>55000</v>
      </c>
      <c r="N507" s="126">
        <f t="shared" si="106"/>
        <v>162.23585548738924</v>
      </c>
      <c r="O507" s="127">
        <f t="shared" si="107"/>
        <v>141.10429447852761</v>
      </c>
      <c r="P507" s="127">
        <f t="shared" si="108"/>
        <v>71.574642126789371</v>
      </c>
      <c r="Q507" s="128">
        <f t="shared" si="109"/>
        <v>374.91479209270619</v>
      </c>
      <c r="R507" s="129">
        <v>146.69999999999999</v>
      </c>
      <c r="S507" s="130">
        <v>0</v>
      </c>
      <c r="T507" s="131">
        <v>104</v>
      </c>
      <c r="U507" s="131">
        <v>185</v>
      </c>
      <c r="V507" s="132">
        <f t="shared" si="110"/>
        <v>289</v>
      </c>
      <c r="W507" s="133">
        <f t="shared" si="111"/>
        <v>1.9700068166325837</v>
      </c>
      <c r="X507" s="130">
        <v>1660</v>
      </c>
      <c r="Y507" s="131">
        <v>1572</v>
      </c>
      <c r="Z507" s="131">
        <v>1086</v>
      </c>
      <c r="AA507" s="132">
        <f t="shared" si="112"/>
        <v>4318</v>
      </c>
      <c r="AB507" s="133">
        <f t="shared" si="113"/>
        <v>29.434219495569192</v>
      </c>
      <c r="AC507" s="134">
        <f t="shared" si="114"/>
        <v>4607</v>
      </c>
      <c r="AD507" s="135">
        <f t="shared" si="115"/>
        <v>31.404226312201775</v>
      </c>
      <c r="AE507" s="136">
        <v>19</v>
      </c>
      <c r="AF507" s="137">
        <v>19</v>
      </c>
      <c r="AG507" s="137">
        <v>0</v>
      </c>
      <c r="AH507" s="138">
        <f t="shared" si="116"/>
        <v>38</v>
      </c>
      <c r="AI507" s="133">
        <f t="shared" si="117"/>
        <v>0.25903203817314246</v>
      </c>
    </row>
    <row r="508" spans="1:35">
      <c r="A508" s="171">
        <f>IF('09월 조업일지'!A504="","",'09월 조업일지'!A504)</f>
        <v>46284</v>
      </c>
      <c r="B508" s="172" t="str">
        <f>'09월 조업일지'!E504</f>
        <v>A</v>
      </c>
      <c r="C508" s="172" t="str">
        <f>'09월 조업일지'!F504</f>
        <v>A</v>
      </c>
      <c r="D508" s="172">
        <f>'09월 화학성분'!C505</f>
        <v>85707</v>
      </c>
      <c r="E508" s="205" t="str">
        <f t="shared" si="118"/>
        <v>SS400(ToMok)</v>
      </c>
      <c r="F508" s="121">
        <v>21</v>
      </c>
      <c r="G508" s="122">
        <v>23600</v>
      </c>
      <c r="H508" s="123">
        <v>17</v>
      </c>
      <c r="I508" s="122">
        <v>20500</v>
      </c>
      <c r="J508" s="123">
        <v>7</v>
      </c>
      <c r="K508" s="122">
        <v>9700</v>
      </c>
      <c r="L508" s="124">
        <f t="shared" si="119"/>
        <v>45</v>
      </c>
      <c r="M508" s="125">
        <f t="shared" si="119"/>
        <v>53800</v>
      </c>
      <c r="N508" s="126">
        <f t="shared" si="106"/>
        <v>160.87252897068851</v>
      </c>
      <c r="O508" s="127">
        <f t="shared" si="107"/>
        <v>139.74096796182687</v>
      </c>
      <c r="P508" s="127">
        <f t="shared" si="108"/>
        <v>66.121336059986376</v>
      </c>
      <c r="Q508" s="128">
        <f t="shared" si="109"/>
        <v>366.73483299250177</v>
      </c>
      <c r="R508" s="129">
        <v>146.69999999999999</v>
      </c>
      <c r="S508" s="130">
        <v>0</v>
      </c>
      <c r="T508" s="131">
        <v>96</v>
      </c>
      <c r="U508" s="131">
        <v>228</v>
      </c>
      <c r="V508" s="132">
        <f t="shared" si="110"/>
        <v>324</v>
      </c>
      <c r="W508" s="133">
        <f t="shared" si="111"/>
        <v>2.2085889570552149</v>
      </c>
      <c r="X508" s="130">
        <v>1699</v>
      </c>
      <c r="Y508" s="131">
        <v>1601</v>
      </c>
      <c r="Z508" s="131">
        <v>848</v>
      </c>
      <c r="AA508" s="132">
        <f t="shared" si="112"/>
        <v>4148</v>
      </c>
      <c r="AB508" s="133">
        <f t="shared" si="113"/>
        <v>28.275391956373554</v>
      </c>
      <c r="AC508" s="134">
        <f t="shared" si="114"/>
        <v>4472</v>
      </c>
      <c r="AD508" s="135">
        <f t="shared" si="115"/>
        <v>30.48398091342877</v>
      </c>
      <c r="AE508" s="136">
        <v>23</v>
      </c>
      <c r="AF508" s="137">
        <v>27</v>
      </c>
      <c r="AG508" s="137">
        <v>0</v>
      </c>
      <c r="AH508" s="138">
        <f t="shared" si="116"/>
        <v>50</v>
      </c>
      <c r="AI508" s="133">
        <f t="shared" si="117"/>
        <v>0.3408316291751875</v>
      </c>
    </row>
    <row r="509" spans="1:35">
      <c r="A509" s="171">
        <f>IF('09월 조업일지'!A505="","",'09월 조업일지'!A505)</f>
        <v>46284</v>
      </c>
      <c r="B509" s="172" t="str">
        <f>'09월 조업일지'!E505</f>
        <v>A</v>
      </c>
      <c r="C509" s="172" t="str">
        <f>'09월 조업일지'!F505</f>
        <v>B</v>
      </c>
      <c r="D509" s="172">
        <f>'09월 화학성분'!C506</f>
        <v>85708</v>
      </c>
      <c r="E509" s="205" t="str">
        <f t="shared" si="118"/>
        <v>SS400(ToMok)</v>
      </c>
      <c r="F509" s="121">
        <v>20</v>
      </c>
      <c r="G509" s="122">
        <v>23900</v>
      </c>
      <c r="H509" s="123">
        <v>17</v>
      </c>
      <c r="I509" s="122">
        <v>20700</v>
      </c>
      <c r="J509" s="123">
        <v>7</v>
      </c>
      <c r="K509" s="122">
        <v>9100</v>
      </c>
      <c r="L509" s="124">
        <f t="shared" si="119"/>
        <v>44</v>
      </c>
      <c r="M509" s="125">
        <f t="shared" si="119"/>
        <v>53700</v>
      </c>
      <c r="N509" s="126">
        <f t="shared" si="106"/>
        <v>162.2539035980991</v>
      </c>
      <c r="O509" s="127">
        <f t="shared" si="107"/>
        <v>140.52953156822809</v>
      </c>
      <c r="P509" s="127">
        <f t="shared" si="108"/>
        <v>61.778682959945684</v>
      </c>
      <c r="Q509" s="128">
        <f t="shared" si="109"/>
        <v>364.56211812627288</v>
      </c>
      <c r="R509" s="129">
        <v>147.30000000000001</v>
      </c>
      <c r="S509" s="130">
        <v>0</v>
      </c>
      <c r="T509" s="131">
        <v>143</v>
      </c>
      <c r="U509" s="131">
        <v>258</v>
      </c>
      <c r="V509" s="132">
        <f t="shared" si="110"/>
        <v>401</v>
      </c>
      <c r="W509" s="133">
        <f t="shared" si="111"/>
        <v>2.7223353699932109</v>
      </c>
      <c r="X509" s="130">
        <v>1644</v>
      </c>
      <c r="Y509" s="131">
        <v>1543</v>
      </c>
      <c r="Z509" s="131">
        <v>806</v>
      </c>
      <c r="AA509" s="132">
        <f t="shared" si="112"/>
        <v>3993</v>
      </c>
      <c r="AB509" s="133">
        <f t="shared" si="113"/>
        <v>27.107942973523418</v>
      </c>
      <c r="AC509" s="134">
        <f t="shared" si="114"/>
        <v>4394</v>
      </c>
      <c r="AD509" s="135">
        <f t="shared" si="115"/>
        <v>29.830278343516632</v>
      </c>
      <c r="AE509" s="136">
        <v>20</v>
      </c>
      <c r="AF509" s="137">
        <v>20</v>
      </c>
      <c r="AG509" s="137">
        <v>0</v>
      </c>
      <c r="AH509" s="138">
        <f t="shared" si="116"/>
        <v>40</v>
      </c>
      <c r="AI509" s="133">
        <f t="shared" si="117"/>
        <v>0.27155465037338761</v>
      </c>
    </row>
    <row r="510" spans="1:35">
      <c r="A510" s="171">
        <f>IF('09월 조업일지'!A506="","",'09월 조업일지'!A506)</f>
        <v>46284</v>
      </c>
      <c r="B510" s="172" t="str">
        <f>'09월 조업일지'!E506</f>
        <v>B</v>
      </c>
      <c r="C510" s="172" t="str">
        <f>'09월 조업일지'!F506</f>
        <v>A</v>
      </c>
      <c r="D510" s="172">
        <f>'09월 화학성분'!C507</f>
        <v>85709</v>
      </c>
      <c r="E510" s="205" t="str">
        <f t="shared" si="118"/>
        <v>SS400(ToMok)</v>
      </c>
      <c r="F510" s="121">
        <v>20</v>
      </c>
      <c r="G510" s="122">
        <v>23600</v>
      </c>
      <c r="H510" s="123">
        <v>17</v>
      </c>
      <c r="I510" s="122">
        <v>20500</v>
      </c>
      <c r="J510" s="123">
        <v>5</v>
      </c>
      <c r="K510" s="122">
        <v>5700</v>
      </c>
      <c r="L510" s="124">
        <f t="shared" si="119"/>
        <v>42</v>
      </c>
      <c r="M510" s="125">
        <f t="shared" si="119"/>
        <v>49800</v>
      </c>
      <c r="N510" s="126">
        <f t="shared" si="106"/>
        <v>162.08791208791209</v>
      </c>
      <c r="O510" s="127">
        <f t="shared" si="107"/>
        <v>140.7967032967033</v>
      </c>
      <c r="P510" s="127">
        <f t="shared" si="108"/>
        <v>39.14835164835165</v>
      </c>
      <c r="Q510" s="128">
        <f t="shared" si="109"/>
        <v>342.03296703296701</v>
      </c>
      <c r="R510" s="129">
        <v>145.6</v>
      </c>
      <c r="S510" s="130">
        <v>0</v>
      </c>
      <c r="T510" s="131">
        <v>194</v>
      </c>
      <c r="U510" s="131">
        <v>133</v>
      </c>
      <c r="V510" s="132">
        <f t="shared" si="110"/>
        <v>327</v>
      </c>
      <c r="W510" s="133">
        <f t="shared" si="111"/>
        <v>2.2458791208791209</v>
      </c>
      <c r="X510" s="130">
        <v>1711</v>
      </c>
      <c r="Y510" s="131">
        <v>1592</v>
      </c>
      <c r="Z510" s="131">
        <v>503</v>
      </c>
      <c r="AA510" s="132">
        <f t="shared" si="112"/>
        <v>3806</v>
      </c>
      <c r="AB510" s="133">
        <f t="shared" si="113"/>
        <v>26.140109890109891</v>
      </c>
      <c r="AC510" s="134">
        <f t="shared" si="114"/>
        <v>4133</v>
      </c>
      <c r="AD510" s="135">
        <f t="shared" si="115"/>
        <v>28.385989010989011</v>
      </c>
      <c r="AE510" s="136">
        <v>22</v>
      </c>
      <c r="AF510" s="137">
        <v>29</v>
      </c>
      <c r="AG510" s="137">
        <v>0</v>
      </c>
      <c r="AH510" s="138">
        <f t="shared" si="116"/>
        <v>51</v>
      </c>
      <c r="AI510" s="133">
        <f t="shared" si="117"/>
        <v>0.35027472527472531</v>
      </c>
    </row>
    <row r="511" spans="1:35">
      <c r="A511" s="171">
        <f>IF('09월 조업일지'!A507="","",'09월 조업일지'!A507)</f>
        <v>46284</v>
      </c>
      <c r="B511" s="172" t="str">
        <f>'09월 조업일지'!E507</f>
        <v>B</v>
      </c>
      <c r="C511" s="172" t="str">
        <f>'09월 조업일지'!F507</f>
        <v>B</v>
      </c>
      <c r="D511" s="172">
        <f>'09월 화학성분'!C508</f>
        <v>85710</v>
      </c>
      <c r="E511" s="205" t="str">
        <f t="shared" si="118"/>
        <v>SS400(ToMok)</v>
      </c>
      <c r="F511" s="121">
        <v>20</v>
      </c>
      <c r="G511" s="122">
        <v>23300</v>
      </c>
      <c r="H511" s="123">
        <v>18</v>
      </c>
      <c r="I511" s="122">
        <v>20700</v>
      </c>
      <c r="J511" s="123">
        <v>6</v>
      </c>
      <c r="K511" s="122">
        <v>6700</v>
      </c>
      <c r="L511" s="124">
        <f t="shared" si="119"/>
        <v>44</v>
      </c>
      <c r="M511" s="125">
        <f t="shared" si="119"/>
        <v>50700</v>
      </c>
      <c r="N511" s="126">
        <f t="shared" si="106"/>
        <v>159.58904109589042</v>
      </c>
      <c r="O511" s="127">
        <f t="shared" si="107"/>
        <v>141.78082191780823</v>
      </c>
      <c r="P511" s="127">
        <f t="shared" si="108"/>
        <v>45.890410958904113</v>
      </c>
      <c r="Q511" s="128">
        <f t="shared" si="109"/>
        <v>347.26027397260276</v>
      </c>
      <c r="R511" s="129">
        <v>146</v>
      </c>
      <c r="S511" s="130">
        <v>0</v>
      </c>
      <c r="T511" s="131">
        <v>138</v>
      </c>
      <c r="U511" s="131">
        <v>243</v>
      </c>
      <c r="V511" s="132">
        <f t="shared" si="110"/>
        <v>381</v>
      </c>
      <c r="W511" s="133">
        <f t="shared" si="111"/>
        <v>2.6095890410958904</v>
      </c>
      <c r="X511" s="130">
        <v>1766</v>
      </c>
      <c r="Y511" s="131">
        <v>1614</v>
      </c>
      <c r="Z511" s="131">
        <v>569</v>
      </c>
      <c r="AA511" s="132">
        <f t="shared" si="112"/>
        <v>3949</v>
      </c>
      <c r="AB511" s="133">
        <f t="shared" si="113"/>
        <v>27.047945205479451</v>
      </c>
      <c r="AC511" s="134">
        <f t="shared" si="114"/>
        <v>4330</v>
      </c>
      <c r="AD511" s="135">
        <f t="shared" si="115"/>
        <v>29.657534246575342</v>
      </c>
      <c r="AE511" s="136">
        <v>26</v>
      </c>
      <c r="AF511" s="137">
        <v>27</v>
      </c>
      <c r="AG511" s="137">
        <v>0</v>
      </c>
      <c r="AH511" s="138">
        <f t="shared" si="116"/>
        <v>53</v>
      </c>
      <c r="AI511" s="133">
        <f t="shared" si="117"/>
        <v>0.36301369863013699</v>
      </c>
    </row>
    <row r="512" spans="1:35">
      <c r="A512" s="171">
        <f>IF('09월 조업일지'!A508="","",'09월 조업일지'!A508)</f>
        <v>46284</v>
      </c>
      <c r="B512" s="172" t="str">
        <f>'09월 조업일지'!E508</f>
        <v>B</v>
      </c>
      <c r="C512" s="172" t="str">
        <f>'09월 조업일지'!F508</f>
        <v>A</v>
      </c>
      <c r="D512" s="172">
        <f>'09월 화학성분'!C509</f>
        <v>85711</v>
      </c>
      <c r="E512" s="205" t="str">
        <f t="shared" si="118"/>
        <v>SS400(ToMok)</v>
      </c>
      <c r="F512" s="121">
        <v>20</v>
      </c>
      <c r="G512" s="122">
        <v>23800</v>
      </c>
      <c r="H512" s="123">
        <v>17</v>
      </c>
      <c r="I512" s="122">
        <v>20700</v>
      </c>
      <c r="J512" s="123">
        <v>6</v>
      </c>
      <c r="K512" s="122">
        <v>7400</v>
      </c>
      <c r="L512" s="124">
        <f t="shared" si="119"/>
        <v>43</v>
      </c>
      <c r="M512" s="125">
        <f t="shared" si="119"/>
        <v>51900</v>
      </c>
      <c r="N512" s="126">
        <f t="shared" si="106"/>
        <v>160.81081081081081</v>
      </c>
      <c r="O512" s="127">
        <f t="shared" si="107"/>
        <v>139.86486486486487</v>
      </c>
      <c r="P512" s="127">
        <f t="shared" si="108"/>
        <v>50</v>
      </c>
      <c r="Q512" s="128">
        <f t="shared" si="109"/>
        <v>350.67567567567568</v>
      </c>
      <c r="R512" s="129">
        <v>148</v>
      </c>
      <c r="S512" s="130">
        <v>0</v>
      </c>
      <c r="T512" s="131">
        <v>194</v>
      </c>
      <c r="U512" s="131">
        <v>161</v>
      </c>
      <c r="V512" s="132">
        <f t="shared" si="110"/>
        <v>355</v>
      </c>
      <c r="W512" s="133">
        <f t="shared" si="111"/>
        <v>2.3986486486486487</v>
      </c>
      <c r="X512" s="130">
        <v>1701</v>
      </c>
      <c r="Y512" s="131">
        <v>1599</v>
      </c>
      <c r="Z512" s="131">
        <v>608</v>
      </c>
      <c r="AA512" s="132">
        <f t="shared" si="112"/>
        <v>3908</v>
      </c>
      <c r="AB512" s="133">
        <f t="shared" si="113"/>
        <v>26.405405405405407</v>
      </c>
      <c r="AC512" s="134">
        <f t="shared" si="114"/>
        <v>4263</v>
      </c>
      <c r="AD512" s="135">
        <f t="shared" si="115"/>
        <v>28.804054054054053</v>
      </c>
      <c r="AE512" s="136">
        <v>25</v>
      </c>
      <c r="AF512" s="137">
        <v>24</v>
      </c>
      <c r="AG512" s="137">
        <v>0</v>
      </c>
      <c r="AH512" s="138">
        <f t="shared" si="116"/>
        <v>49</v>
      </c>
      <c r="AI512" s="133">
        <f t="shared" si="117"/>
        <v>0.33108108108108109</v>
      </c>
    </row>
    <row r="513" spans="1:35">
      <c r="A513" s="171">
        <f>IF('09월 조업일지'!A509="","",'09월 조업일지'!A509)</f>
        <v>46284</v>
      </c>
      <c r="B513" s="172" t="str">
        <f>'09월 조업일지'!E509</f>
        <v>B</v>
      </c>
      <c r="C513" s="172" t="str">
        <f>'09월 조업일지'!F509</f>
        <v>B</v>
      </c>
      <c r="D513" s="172">
        <f>'09월 화학성분'!C510</f>
        <v>85712</v>
      </c>
      <c r="E513" s="205" t="str">
        <f t="shared" si="118"/>
        <v>SS400(ToMok)</v>
      </c>
      <c r="F513" s="121">
        <v>20</v>
      </c>
      <c r="G513" s="122">
        <v>23300</v>
      </c>
      <c r="H513" s="123">
        <v>17</v>
      </c>
      <c r="I513" s="122">
        <v>20800</v>
      </c>
      <c r="J513" s="123">
        <v>8</v>
      </c>
      <c r="K513" s="122">
        <v>9600</v>
      </c>
      <c r="L513" s="124">
        <f t="shared" si="119"/>
        <v>45</v>
      </c>
      <c r="M513" s="125">
        <f t="shared" si="119"/>
        <v>53700</v>
      </c>
      <c r="N513" s="126">
        <f t="shared" si="106"/>
        <v>157.75220040622887</v>
      </c>
      <c r="O513" s="127">
        <f t="shared" si="107"/>
        <v>140.82599864590387</v>
      </c>
      <c r="P513" s="127">
        <f t="shared" si="108"/>
        <v>64.99661475964794</v>
      </c>
      <c r="Q513" s="128">
        <f t="shared" si="109"/>
        <v>363.5748138117807</v>
      </c>
      <c r="R513" s="129">
        <v>147.69999999999999</v>
      </c>
      <c r="S513" s="130">
        <v>0</v>
      </c>
      <c r="T513" s="131">
        <v>154</v>
      </c>
      <c r="U513" s="131">
        <v>168</v>
      </c>
      <c r="V513" s="132">
        <f t="shared" si="110"/>
        <v>322</v>
      </c>
      <c r="W513" s="133">
        <f t="shared" si="111"/>
        <v>2.1800947867298581</v>
      </c>
      <c r="X513" s="130">
        <v>1676</v>
      </c>
      <c r="Y513" s="131">
        <v>1653</v>
      </c>
      <c r="Z513" s="131">
        <v>751</v>
      </c>
      <c r="AA513" s="132">
        <f t="shared" si="112"/>
        <v>4080</v>
      </c>
      <c r="AB513" s="133">
        <f t="shared" si="113"/>
        <v>27.623561272850374</v>
      </c>
      <c r="AC513" s="134">
        <f t="shared" si="114"/>
        <v>4402</v>
      </c>
      <c r="AD513" s="135">
        <f t="shared" si="115"/>
        <v>29.803656059580234</v>
      </c>
      <c r="AE513" s="136">
        <v>25</v>
      </c>
      <c r="AF513" s="137">
        <v>25</v>
      </c>
      <c r="AG513" s="137">
        <v>0</v>
      </c>
      <c r="AH513" s="138">
        <f t="shared" si="116"/>
        <v>50</v>
      </c>
      <c r="AI513" s="133">
        <f t="shared" si="117"/>
        <v>0.33852403520649971</v>
      </c>
    </row>
    <row r="514" spans="1:35">
      <c r="A514" s="171">
        <f>IF('09월 조업일지'!A510="","",'09월 조업일지'!A510)</f>
        <v>46284</v>
      </c>
      <c r="B514" s="172" t="str">
        <f>'09월 조업일지'!E510</f>
        <v>B</v>
      </c>
      <c r="C514" s="172" t="str">
        <f>'09월 조업일지'!F510</f>
        <v>A</v>
      </c>
      <c r="D514" s="172">
        <f>'09월 화학성분'!C511</f>
        <v>85713</v>
      </c>
      <c r="E514" s="205" t="str">
        <f t="shared" si="118"/>
        <v>SS400(ToMok)</v>
      </c>
      <c r="F514" s="121">
        <v>20</v>
      </c>
      <c r="G514" s="122">
        <v>23900</v>
      </c>
      <c r="H514" s="123">
        <v>17</v>
      </c>
      <c r="I514" s="122">
        <v>20700</v>
      </c>
      <c r="J514" s="123">
        <v>5</v>
      </c>
      <c r="K514" s="122">
        <v>6900</v>
      </c>
      <c r="L514" s="124">
        <f t="shared" si="119"/>
        <v>42</v>
      </c>
      <c r="M514" s="125">
        <f t="shared" si="119"/>
        <v>51500</v>
      </c>
      <c r="N514" s="126">
        <f t="shared" si="106"/>
        <v>161.70500676589984</v>
      </c>
      <c r="O514" s="127">
        <f t="shared" si="107"/>
        <v>140.05412719891746</v>
      </c>
      <c r="P514" s="127">
        <f t="shared" si="108"/>
        <v>46.684709066305814</v>
      </c>
      <c r="Q514" s="128">
        <f t="shared" si="109"/>
        <v>348.44384303112309</v>
      </c>
      <c r="R514" s="129">
        <v>147.80000000000001</v>
      </c>
      <c r="S514" s="130">
        <v>0</v>
      </c>
      <c r="T514" s="131">
        <v>200</v>
      </c>
      <c r="U514" s="131">
        <v>163</v>
      </c>
      <c r="V514" s="132">
        <f t="shared" si="110"/>
        <v>363</v>
      </c>
      <c r="W514" s="133">
        <f t="shared" si="111"/>
        <v>2.4560216508795669</v>
      </c>
      <c r="X514" s="130">
        <v>1697</v>
      </c>
      <c r="Y514" s="131">
        <v>1807</v>
      </c>
      <c r="Z514" s="131">
        <v>564</v>
      </c>
      <c r="AA514" s="132">
        <f t="shared" si="112"/>
        <v>4068</v>
      </c>
      <c r="AB514" s="133">
        <f t="shared" si="113"/>
        <v>27.523680649526383</v>
      </c>
      <c r="AC514" s="134">
        <f t="shared" si="114"/>
        <v>4431</v>
      </c>
      <c r="AD514" s="135">
        <f t="shared" si="115"/>
        <v>29.97970230040595</v>
      </c>
      <c r="AE514" s="136">
        <v>24</v>
      </c>
      <c r="AF514" s="137">
        <v>28</v>
      </c>
      <c r="AG514" s="137">
        <v>0</v>
      </c>
      <c r="AH514" s="138">
        <f t="shared" si="116"/>
        <v>52</v>
      </c>
      <c r="AI514" s="133">
        <f t="shared" si="117"/>
        <v>0.35182679296346414</v>
      </c>
    </row>
    <row r="515" spans="1:35">
      <c r="A515" s="171">
        <f>IF('09월 조업일지'!A511="","",'09월 조업일지'!A511)</f>
        <v>46284</v>
      </c>
      <c r="B515" s="172" t="str">
        <f>'09월 조업일지'!E511</f>
        <v>B</v>
      </c>
      <c r="C515" s="172" t="str">
        <f>'09월 조업일지'!F511</f>
        <v>B</v>
      </c>
      <c r="D515" s="172">
        <f>'09월 화학성분'!C512</f>
        <v>85714</v>
      </c>
      <c r="E515" s="205" t="str">
        <f t="shared" si="118"/>
        <v>SS400(ToMok)</v>
      </c>
      <c r="F515" s="121">
        <v>19</v>
      </c>
      <c r="G515" s="122">
        <v>23200</v>
      </c>
      <c r="H515" s="123">
        <v>18</v>
      </c>
      <c r="I515" s="122">
        <v>20400</v>
      </c>
      <c r="J515" s="123">
        <v>5</v>
      </c>
      <c r="K515" s="122">
        <v>7000</v>
      </c>
      <c r="L515" s="124">
        <f t="shared" si="119"/>
        <v>42</v>
      </c>
      <c r="M515" s="125">
        <f t="shared" si="119"/>
        <v>50600</v>
      </c>
      <c r="N515" s="126">
        <f t="shared" si="106"/>
        <v>156.54520917678815</v>
      </c>
      <c r="O515" s="127">
        <f t="shared" si="107"/>
        <v>137.65182186234819</v>
      </c>
      <c r="P515" s="127">
        <f t="shared" si="108"/>
        <v>47.233468286099871</v>
      </c>
      <c r="Q515" s="128">
        <f t="shared" si="109"/>
        <v>341.43049932523621</v>
      </c>
      <c r="R515" s="129">
        <v>148.19999999999999</v>
      </c>
      <c r="S515" s="130">
        <v>0</v>
      </c>
      <c r="T515" s="131">
        <v>163</v>
      </c>
      <c r="U515" s="131">
        <v>161</v>
      </c>
      <c r="V515" s="132">
        <f t="shared" si="110"/>
        <v>324</v>
      </c>
      <c r="W515" s="133">
        <f t="shared" si="111"/>
        <v>2.1862348178137654</v>
      </c>
      <c r="X515" s="130">
        <v>1660</v>
      </c>
      <c r="Y515" s="131">
        <v>1607</v>
      </c>
      <c r="Z515" s="131">
        <v>647</v>
      </c>
      <c r="AA515" s="132">
        <f t="shared" si="112"/>
        <v>3914</v>
      </c>
      <c r="AB515" s="133">
        <f t="shared" si="113"/>
        <v>26.410256410256412</v>
      </c>
      <c r="AC515" s="134">
        <f t="shared" si="114"/>
        <v>4238</v>
      </c>
      <c r="AD515" s="135">
        <f t="shared" si="115"/>
        <v>28.596491228070178</v>
      </c>
      <c r="AE515" s="136">
        <v>25</v>
      </c>
      <c r="AF515" s="137">
        <v>23</v>
      </c>
      <c r="AG515" s="137">
        <v>0</v>
      </c>
      <c r="AH515" s="138">
        <f t="shared" si="116"/>
        <v>48</v>
      </c>
      <c r="AI515" s="133">
        <f t="shared" si="117"/>
        <v>0.32388663967611336</v>
      </c>
    </row>
    <row r="516" spans="1:35">
      <c r="A516" s="171">
        <f>IF('09월 조업일지'!A512="","",'09월 조업일지'!A512)</f>
        <v>46284</v>
      </c>
      <c r="B516" s="172" t="str">
        <f>'09월 조업일지'!E512</f>
        <v>B</v>
      </c>
      <c r="C516" s="172" t="str">
        <f>'09월 조업일지'!F512</f>
        <v>A</v>
      </c>
      <c r="D516" s="172">
        <f>'09월 화학성분'!C513</f>
        <v>85715</v>
      </c>
      <c r="E516" s="205" t="str">
        <f t="shared" si="118"/>
        <v>SS400(ToMok)</v>
      </c>
      <c r="F516" s="121">
        <v>20</v>
      </c>
      <c r="G516" s="122">
        <v>23400</v>
      </c>
      <c r="H516" s="123">
        <v>16</v>
      </c>
      <c r="I516" s="122">
        <v>20500</v>
      </c>
      <c r="J516" s="123">
        <v>9</v>
      </c>
      <c r="K516" s="122">
        <v>11500</v>
      </c>
      <c r="L516" s="124">
        <f t="shared" si="119"/>
        <v>45</v>
      </c>
      <c r="M516" s="125">
        <f t="shared" si="119"/>
        <v>55400</v>
      </c>
      <c r="N516" s="126">
        <f t="shared" si="106"/>
        <v>158.7516960651289</v>
      </c>
      <c r="O516" s="127">
        <f t="shared" si="107"/>
        <v>139.07734056987789</v>
      </c>
      <c r="P516" s="127">
        <f t="shared" si="108"/>
        <v>78.01899592944369</v>
      </c>
      <c r="Q516" s="128">
        <f t="shared" si="109"/>
        <v>375.84803256445048</v>
      </c>
      <c r="R516" s="129">
        <v>147.4</v>
      </c>
      <c r="S516" s="130">
        <v>0</v>
      </c>
      <c r="T516" s="131">
        <v>179</v>
      </c>
      <c r="U516" s="131">
        <v>126</v>
      </c>
      <c r="V516" s="132">
        <f t="shared" si="110"/>
        <v>305</v>
      </c>
      <c r="W516" s="133">
        <f t="shared" si="111"/>
        <v>2.0691994572591588</v>
      </c>
      <c r="X516" s="130">
        <v>1625</v>
      </c>
      <c r="Y516" s="131">
        <v>1703</v>
      </c>
      <c r="Z516" s="131">
        <v>1014</v>
      </c>
      <c r="AA516" s="132">
        <f t="shared" si="112"/>
        <v>4342</v>
      </c>
      <c r="AB516" s="133">
        <f t="shared" si="113"/>
        <v>29.457259158751693</v>
      </c>
      <c r="AC516" s="134">
        <f t="shared" si="114"/>
        <v>4647</v>
      </c>
      <c r="AD516" s="135">
        <f t="shared" si="115"/>
        <v>31.526458616010853</v>
      </c>
      <c r="AE516" s="136">
        <v>19</v>
      </c>
      <c r="AF516" s="137">
        <v>22</v>
      </c>
      <c r="AG516" s="137">
        <v>0</v>
      </c>
      <c r="AH516" s="138">
        <f t="shared" si="116"/>
        <v>41</v>
      </c>
      <c r="AI516" s="133">
        <f t="shared" si="117"/>
        <v>0.27815468113975578</v>
      </c>
    </row>
    <row r="517" spans="1:35">
      <c r="A517" s="171">
        <f>IF('09월 조업일지'!A513="","",'09월 조업일지'!A513)</f>
        <v>46284</v>
      </c>
      <c r="B517" s="172" t="str">
        <f>'09월 조업일지'!E513</f>
        <v>B</v>
      </c>
      <c r="C517" s="172" t="str">
        <f>'09월 조업일지'!F513</f>
        <v>B</v>
      </c>
      <c r="D517" s="172">
        <f>'09월 화학성분'!C514</f>
        <v>85716</v>
      </c>
      <c r="E517" s="205" t="str">
        <f t="shared" si="118"/>
        <v>SS400(ToMok)</v>
      </c>
      <c r="F517" s="121">
        <v>22</v>
      </c>
      <c r="G517" s="122">
        <v>23700</v>
      </c>
      <c r="H517" s="123">
        <v>17</v>
      </c>
      <c r="I517" s="122">
        <v>20900</v>
      </c>
      <c r="J517" s="123">
        <v>9</v>
      </c>
      <c r="K517" s="122">
        <v>10600</v>
      </c>
      <c r="L517" s="124">
        <f t="shared" si="119"/>
        <v>48</v>
      </c>
      <c r="M517" s="125">
        <f t="shared" si="119"/>
        <v>55200</v>
      </c>
      <c r="N517" s="126">
        <f t="shared" si="106"/>
        <v>155.51181102362204</v>
      </c>
      <c r="O517" s="127">
        <f t="shared" si="107"/>
        <v>137.13910761154855</v>
      </c>
      <c r="P517" s="127">
        <f t="shared" si="108"/>
        <v>69.553805774278217</v>
      </c>
      <c r="Q517" s="128">
        <f t="shared" si="109"/>
        <v>362.20472440944877</v>
      </c>
      <c r="R517" s="129">
        <v>152.4</v>
      </c>
      <c r="S517" s="130">
        <v>0</v>
      </c>
      <c r="T517" s="131">
        <v>86</v>
      </c>
      <c r="U517" s="131">
        <v>285</v>
      </c>
      <c r="V517" s="132">
        <f t="shared" si="110"/>
        <v>371</v>
      </c>
      <c r="W517" s="133">
        <f t="shared" si="111"/>
        <v>2.4343832020997374</v>
      </c>
      <c r="X517" s="130">
        <v>1815</v>
      </c>
      <c r="Y517" s="131">
        <v>1787</v>
      </c>
      <c r="Z517" s="131">
        <v>705</v>
      </c>
      <c r="AA517" s="132">
        <f t="shared" si="112"/>
        <v>4307</v>
      </c>
      <c r="AB517" s="133">
        <f t="shared" si="113"/>
        <v>28.261154855643042</v>
      </c>
      <c r="AC517" s="134">
        <f t="shared" si="114"/>
        <v>4678</v>
      </c>
      <c r="AD517" s="135">
        <f t="shared" si="115"/>
        <v>30.69553805774278</v>
      </c>
      <c r="AE517" s="136">
        <v>27</v>
      </c>
      <c r="AF517" s="137">
        <v>25</v>
      </c>
      <c r="AG517" s="137">
        <v>0</v>
      </c>
      <c r="AH517" s="138">
        <f t="shared" si="116"/>
        <v>52</v>
      </c>
      <c r="AI517" s="133">
        <f t="shared" si="117"/>
        <v>0.3412073490813648</v>
      </c>
    </row>
    <row r="518" spans="1:35">
      <c r="A518" s="171">
        <f>IF('09월 조업일지'!A514="","",'09월 조업일지'!A514)</f>
        <v>46284</v>
      </c>
      <c r="B518" s="172" t="str">
        <f>'09월 조업일지'!E514</f>
        <v>B</v>
      </c>
      <c r="C518" s="172" t="str">
        <f>'09월 조업일지'!F514</f>
        <v>A</v>
      </c>
      <c r="D518" s="172">
        <f>'09월 화학성분'!C515</f>
        <v>85717</v>
      </c>
      <c r="E518" s="205" t="str">
        <f t="shared" si="118"/>
        <v>SS400(ToMok)</v>
      </c>
      <c r="F518" s="121">
        <v>21</v>
      </c>
      <c r="G518" s="122">
        <v>23700</v>
      </c>
      <c r="H518" s="123">
        <v>18</v>
      </c>
      <c r="I518" s="122">
        <v>20800</v>
      </c>
      <c r="J518" s="123">
        <v>8</v>
      </c>
      <c r="K518" s="122">
        <v>9800</v>
      </c>
      <c r="L518" s="124">
        <f t="shared" si="119"/>
        <v>47</v>
      </c>
      <c r="M518" s="125">
        <f t="shared" si="119"/>
        <v>54300</v>
      </c>
      <c r="N518" s="126">
        <f t="shared" si="106"/>
        <v>156.74603174603175</v>
      </c>
      <c r="O518" s="127">
        <f t="shared" si="107"/>
        <v>137.56613756613757</v>
      </c>
      <c r="P518" s="127">
        <f t="shared" si="108"/>
        <v>64.814814814814824</v>
      </c>
      <c r="Q518" s="128">
        <f t="shared" si="109"/>
        <v>359.12698412698415</v>
      </c>
      <c r="R518" s="129">
        <v>151.19999999999999</v>
      </c>
      <c r="S518" s="130">
        <v>0</v>
      </c>
      <c r="T518" s="131">
        <v>138</v>
      </c>
      <c r="U518" s="131">
        <v>206</v>
      </c>
      <c r="V518" s="132">
        <f t="shared" si="110"/>
        <v>344</v>
      </c>
      <c r="W518" s="133">
        <f t="shared" si="111"/>
        <v>2.2751322751322753</v>
      </c>
      <c r="X518" s="130">
        <v>1755</v>
      </c>
      <c r="Y518" s="131">
        <v>1541</v>
      </c>
      <c r="Z518" s="131">
        <v>517</v>
      </c>
      <c r="AA518" s="132">
        <f t="shared" si="112"/>
        <v>3813</v>
      </c>
      <c r="AB518" s="133">
        <f t="shared" si="113"/>
        <v>25.218253968253972</v>
      </c>
      <c r="AC518" s="134">
        <f t="shared" si="114"/>
        <v>4157</v>
      </c>
      <c r="AD518" s="135">
        <f t="shared" si="115"/>
        <v>27.493386243386244</v>
      </c>
      <c r="AE518" s="136">
        <v>21</v>
      </c>
      <c r="AF518" s="137">
        <v>13</v>
      </c>
      <c r="AG518" s="137">
        <v>0</v>
      </c>
      <c r="AH518" s="138">
        <f t="shared" si="116"/>
        <v>34</v>
      </c>
      <c r="AI518" s="133">
        <f t="shared" si="117"/>
        <v>0.22486772486772488</v>
      </c>
    </row>
    <row r="519" spans="1:35">
      <c r="A519" s="171">
        <f>IF('09월 조업일지'!A515="","",'09월 조업일지'!A515)</f>
        <v>46284</v>
      </c>
      <c r="B519" s="172" t="str">
        <f>'09월 조업일지'!E515</f>
        <v>B</v>
      </c>
      <c r="C519" s="172" t="str">
        <f>'09월 조업일지'!F515</f>
        <v>B</v>
      </c>
      <c r="D519" s="172">
        <f>'09월 화학성분'!C516</f>
        <v>85718</v>
      </c>
      <c r="E519" s="205" t="str">
        <f t="shared" si="118"/>
        <v>SS400(ToMok)</v>
      </c>
      <c r="F519" s="121">
        <v>20</v>
      </c>
      <c r="G519" s="122">
        <v>23800</v>
      </c>
      <c r="H519" s="123">
        <v>18</v>
      </c>
      <c r="I519" s="122">
        <v>21000</v>
      </c>
      <c r="J519" s="123">
        <v>9</v>
      </c>
      <c r="K519" s="122">
        <v>10600</v>
      </c>
      <c r="L519" s="124">
        <f t="shared" si="119"/>
        <v>47</v>
      </c>
      <c r="M519" s="125">
        <f t="shared" si="119"/>
        <v>55400</v>
      </c>
      <c r="N519" s="126">
        <f t="shared" si="106"/>
        <v>155.14993481095175</v>
      </c>
      <c r="O519" s="127">
        <f t="shared" si="107"/>
        <v>136.89700130378097</v>
      </c>
      <c r="P519" s="127">
        <f t="shared" si="108"/>
        <v>69.100391134289438</v>
      </c>
      <c r="Q519" s="128">
        <f t="shared" si="109"/>
        <v>361.14732724902217</v>
      </c>
      <c r="R519" s="129">
        <v>153.4</v>
      </c>
      <c r="S519" s="130">
        <v>0</v>
      </c>
      <c r="T519" s="131">
        <v>126</v>
      </c>
      <c r="U519" s="131">
        <v>241</v>
      </c>
      <c r="V519" s="132">
        <f t="shared" si="110"/>
        <v>367</v>
      </c>
      <c r="W519" s="133">
        <f t="shared" si="111"/>
        <v>2.3924380704041721</v>
      </c>
      <c r="X519" s="130">
        <v>1711</v>
      </c>
      <c r="Y519" s="131">
        <v>1675</v>
      </c>
      <c r="Z519" s="131">
        <v>845</v>
      </c>
      <c r="AA519" s="132">
        <f t="shared" si="112"/>
        <v>4231</v>
      </c>
      <c r="AB519" s="133">
        <f t="shared" si="113"/>
        <v>27.581486310299869</v>
      </c>
      <c r="AC519" s="134">
        <f t="shared" si="114"/>
        <v>4598</v>
      </c>
      <c r="AD519" s="135">
        <f t="shared" si="115"/>
        <v>29.973924380704041</v>
      </c>
      <c r="AE519" s="136">
        <v>24</v>
      </c>
      <c r="AF519" s="137">
        <v>22</v>
      </c>
      <c r="AG519" s="137">
        <v>0</v>
      </c>
      <c r="AH519" s="138">
        <f t="shared" si="116"/>
        <v>46</v>
      </c>
      <c r="AI519" s="133">
        <f t="shared" si="117"/>
        <v>0.29986962190352018</v>
      </c>
    </row>
    <row r="520" spans="1:35">
      <c r="A520" s="171">
        <f>IF('09월 조업일지'!A516="","",'09월 조업일지'!A516)</f>
        <v>46284</v>
      </c>
      <c r="B520" s="172" t="str">
        <f>'09월 조업일지'!E516</f>
        <v>D</v>
      </c>
      <c r="C520" s="172" t="str">
        <f>'09월 조업일지'!F516</f>
        <v>A</v>
      </c>
      <c r="D520" s="172">
        <f>'09월 화학성분'!C517</f>
        <v>85719</v>
      </c>
      <c r="E520" s="205" t="str">
        <f t="shared" si="118"/>
        <v>SS400(ToMok)</v>
      </c>
      <c r="F520" s="121">
        <v>20</v>
      </c>
      <c r="G520" s="122">
        <v>23000</v>
      </c>
      <c r="H520" s="123">
        <v>17</v>
      </c>
      <c r="I520" s="122">
        <v>20700</v>
      </c>
      <c r="J520" s="123">
        <v>10</v>
      </c>
      <c r="K520" s="122">
        <v>13100</v>
      </c>
      <c r="L520" s="124">
        <f t="shared" si="119"/>
        <v>47</v>
      </c>
      <c r="M520" s="125">
        <f t="shared" si="119"/>
        <v>56800</v>
      </c>
      <c r="N520" s="126">
        <f t="shared" si="106"/>
        <v>155.19568151147101</v>
      </c>
      <c r="O520" s="127">
        <f t="shared" si="107"/>
        <v>139.67611336032391</v>
      </c>
      <c r="P520" s="127">
        <f t="shared" si="108"/>
        <v>88.394062078272611</v>
      </c>
      <c r="Q520" s="128">
        <f t="shared" si="109"/>
        <v>383.26585695006753</v>
      </c>
      <c r="R520" s="129">
        <v>148.19999999999999</v>
      </c>
      <c r="S520" s="130">
        <v>0</v>
      </c>
      <c r="T520" s="131">
        <v>143</v>
      </c>
      <c r="U520" s="131">
        <v>245</v>
      </c>
      <c r="V520" s="132">
        <f t="shared" si="110"/>
        <v>388</v>
      </c>
      <c r="W520" s="133">
        <f t="shared" si="111"/>
        <v>2.6180836707152499</v>
      </c>
      <c r="X520" s="130">
        <v>1601</v>
      </c>
      <c r="Y520" s="131">
        <v>1588</v>
      </c>
      <c r="Z520" s="131">
        <v>664</v>
      </c>
      <c r="AA520" s="132">
        <f t="shared" si="112"/>
        <v>3853</v>
      </c>
      <c r="AB520" s="133">
        <f t="shared" si="113"/>
        <v>25.998650472334685</v>
      </c>
      <c r="AC520" s="134">
        <f t="shared" si="114"/>
        <v>4241</v>
      </c>
      <c r="AD520" s="135">
        <f t="shared" si="115"/>
        <v>28.616734143049936</v>
      </c>
      <c r="AE520" s="136">
        <v>21</v>
      </c>
      <c r="AF520" s="137">
        <v>17</v>
      </c>
      <c r="AG520" s="137">
        <v>0</v>
      </c>
      <c r="AH520" s="138">
        <f t="shared" si="116"/>
        <v>38</v>
      </c>
      <c r="AI520" s="133">
        <f t="shared" si="117"/>
        <v>0.25641025641025644</v>
      </c>
    </row>
    <row r="521" spans="1:35">
      <c r="A521" s="171">
        <f>IF('09월 조업일지'!A517="","",'09월 조업일지'!A517)</f>
        <v>46284</v>
      </c>
      <c r="B521" s="172" t="str">
        <f>'09월 조업일지'!E517</f>
        <v>D</v>
      </c>
      <c r="C521" s="172" t="str">
        <f>'09월 조업일지'!F517</f>
        <v>B</v>
      </c>
      <c r="D521" s="172">
        <f>'09월 화학성분'!C518</f>
        <v>85720</v>
      </c>
      <c r="E521" s="205" t="str">
        <f t="shared" si="118"/>
        <v>SS400(ToMok)</v>
      </c>
      <c r="F521" s="121">
        <v>19</v>
      </c>
      <c r="G521" s="122">
        <v>23300</v>
      </c>
      <c r="H521" s="123">
        <v>18</v>
      </c>
      <c r="I521" s="122">
        <v>20400</v>
      </c>
      <c r="J521" s="123">
        <v>7</v>
      </c>
      <c r="K521" s="122">
        <v>8900</v>
      </c>
      <c r="L521" s="124">
        <f t="shared" si="119"/>
        <v>44</v>
      </c>
      <c r="M521" s="125">
        <f t="shared" si="119"/>
        <v>52600</v>
      </c>
      <c r="N521" s="126">
        <f t="shared" si="106"/>
        <v>159.4798083504449</v>
      </c>
      <c r="O521" s="127">
        <f t="shared" si="107"/>
        <v>139.63039014373717</v>
      </c>
      <c r="P521" s="127">
        <f t="shared" si="108"/>
        <v>60.917180013689254</v>
      </c>
      <c r="Q521" s="128">
        <f t="shared" si="109"/>
        <v>360.02737850787133</v>
      </c>
      <c r="R521" s="129">
        <v>146.1</v>
      </c>
      <c r="S521" s="130">
        <v>0</v>
      </c>
      <c r="T521" s="131">
        <v>179</v>
      </c>
      <c r="U521" s="131">
        <v>169</v>
      </c>
      <c r="V521" s="132">
        <f t="shared" si="110"/>
        <v>348</v>
      </c>
      <c r="W521" s="133">
        <f t="shared" si="111"/>
        <v>2.3819301848049284</v>
      </c>
      <c r="X521" s="130">
        <v>1644</v>
      </c>
      <c r="Y521" s="131">
        <v>1639</v>
      </c>
      <c r="Z521" s="131">
        <v>550</v>
      </c>
      <c r="AA521" s="132">
        <f t="shared" si="112"/>
        <v>3833</v>
      </c>
      <c r="AB521" s="133">
        <f t="shared" si="113"/>
        <v>26.235455167693363</v>
      </c>
      <c r="AC521" s="134">
        <f t="shared" si="114"/>
        <v>4181</v>
      </c>
      <c r="AD521" s="135">
        <f t="shared" si="115"/>
        <v>28.617385352498289</v>
      </c>
      <c r="AE521" s="136">
        <v>26</v>
      </c>
      <c r="AF521" s="137">
        <v>25</v>
      </c>
      <c r="AG521" s="137">
        <v>0</v>
      </c>
      <c r="AH521" s="138">
        <f t="shared" si="116"/>
        <v>51</v>
      </c>
      <c r="AI521" s="133">
        <f t="shared" si="117"/>
        <v>0.34907597535934293</v>
      </c>
    </row>
    <row r="522" spans="1:35">
      <c r="A522" s="171">
        <f>IF('09월 조업일지'!A518="","",'09월 조업일지'!A518)</f>
        <v>46284</v>
      </c>
      <c r="B522" s="172" t="str">
        <f>'09월 조업일지'!E518</f>
        <v>D</v>
      </c>
      <c r="C522" s="172" t="str">
        <f>'09월 조업일지'!F518</f>
        <v>A</v>
      </c>
      <c r="D522" s="172">
        <f>'09월 화학성분'!C519</f>
        <v>85721</v>
      </c>
      <c r="E522" s="205" t="str">
        <f t="shared" si="118"/>
        <v>SS400(ToMok)</v>
      </c>
      <c r="F522" s="121">
        <v>19</v>
      </c>
      <c r="G522" s="122">
        <v>23100</v>
      </c>
      <c r="H522" s="123">
        <v>17</v>
      </c>
      <c r="I522" s="122">
        <v>20900</v>
      </c>
      <c r="J522" s="123">
        <v>10</v>
      </c>
      <c r="K522" s="122">
        <v>12900</v>
      </c>
      <c r="L522" s="124">
        <f t="shared" si="119"/>
        <v>46</v>
      </c>
      <c r="M522" s="125">
        <f t="shared" si="119"/>
        <v>56900</v>
      </c>
      <c r="N522" s="126">
        <f t="shared" si="106"/>
        <v>155.45087483176312</v>
      </c>
      <c r="O522" s="127">
        <f t="shared" si="107"/>
        <v>140.64602960969046</v>
      </c>
      <c r="P522" s="127">
        <f t="shared" si="108"/>
        <v>86.810228802153432</v>
      </c>
      <c r="Q522" s="128">
        <f t="shared" si="109"/>
        <v>382.90713324360706</v>
      </c>
      <c r="R522" s="129">
        <v>148.6</v>
      </c>
      <c r="S522" s="130">
        <v>0</v>
      </c>
      <c r="T522" s="131">
        <v>164</v>
      </c>
      <c r="U522" s="131">
        <v>219</v>
      </c>
      <c r="V522" s="132">
        <f t="shared" si="110"/>
        <v>383</v>
      </c>
      <c r="W522" s="133">
        <f t="shared" si="111"/>
        <v>2.5773889636608347</v>
      </c>
      <c r="X522" s="130">
        <v>1620</v>
      </c>
      <c r="Y522" s="131">
        <v>1623</v>
      </c>
      <c r="Z522" s="131">
        <v>887</v>
      </c>
      <c r="AA522" s="132">
        <f t="shared" si="112"/>
        <v>4130</v>
      </c>
      <c r="AB522" s="133">
        <f t="shared" si="113"/>
        <v>27.792732166890982</v>
      </c>
      <c r="AC522" s="134">
        <f t="shared" si="114"/>
        <v>4513</v>
      </c>
      <c r="AD522" s="135">
        <f t="shared" si="115"/>
        <v>30.370121130551819</v>
      </c>
      <c r="AE522" s="136">
        <v>25</v>
      </c>
      <c r="AF522" s="137">
        <v>27</v>
      </c>
      <c r="AG522" s="137">
        <v>0</v>
      </c>
      <c r="AH522" s="138">
        <f t="shared" si="116"/>
        <v>52</v>
      </c>
      <c r="AI522" s="133">
        <f t="shared" si="117"/>
        <v>0.34993270524899062</v>
      </c>
    </row>
    <row r="523" spans="1:35">
      <c r="A523" s="171">
        <f>IF('09월 조업일지'!A519="","",'09월 조업일지'!A519)</f>
        <v>46284</v>
      </c>
      <c r="B523" s="172" t="str">
        <f>'09월 조업일지'!E519</f>
        <v>D</v>
      </c>
      <c r="C523" s="172" t="str">
        <f>'09월 조업일지'!F519</f>
        <v>B</v>
      </c>
      <c r="D523" s="172">
        <f>'09월 화학성분'!C520</f>
        <v>85722</v>
      </c>
      <c r="E523" s="205" t="str">
        <f t="shared" si="118"/>
        <v>SS400(ToMok)</v>
      </c>
      <c r="F523" s="121">
        <v>19</v>
      </c>
      <c r="G523" s="122">
        <v>23600</v>
      </c>
      <c r="H523" s="123">
        <v>17</v>
      </c>
      <c r="I523" s="122">
        <v>20800</v>
      </c>
      <c r="J523" s="123">
        <v>8</v>
      </c>
      <c r="K523" s="122">
        <v>10700</v>
      </c>
      <c r="L523" s="124">
        <f t="shared" si="119"/>
        <v>44</v>
      </c>
      <c r="M523" s="125">
        <f t="shared" si="119"/>
        <v>55100</v>
      </c>
      <c r="N523" s="126">
        <f t="shared" si="106"/>
        <v>155.98149372108392</v>
      </c>
      <c r="O523" s="127">
        <f t="shared" si="107"/>
        <v>137.47521480502311</v>
      </c>
      <c r="P523" s="127">
        <f t="shared" si="108"/>
        <v>70.720423000660929</v>
      </c>
      <c r="Q523" s="128">
        <f t="shared" si="109"/>
        <v>364.17713152676799</v>
      </c>
      <c r="R523" s="129">
        <v>151.30000000000001</v>
      </c>
      <c r="S523" s="130">
        <v>0</v>
      </c>
      <c r="T523" s="131">
        <v>136</v>
      </c>
      <c r="U523" s="131">
        <v>218</v>
      </c>
      <c r="V523" s="132">
        <f t="shared" si="110"/>
        <v>354</v>
      </c>
      <c r="W523" s="133">
        <f t="shared" si="111"/>
        <v>2.3397224058162589</v>
      </c>
      <c r="X523" s="130">
        <v>1693</v>
      </c>
      <c r="Y523" s="131">
        <v>1603</v>
      </c>
      <c r="Z523" s="131">
        <v>665</v>
      </c>
      <c r="AA523" s="132">
        <f t="shared" si="112"/>
        <v>3961</v>
      </c>
      <c r="AB523" s="133">
        <f t="shared" si="113"/>
        <v>26.179775280898873</v>
      </c>
      <c r="AC523" s="134">
        <f t="shared" si="114"/>
        <v>4315</v>
      </c>
      <c r="AD523" s="135">
        <f t="shared" si="115"/>
        <v>28.519497686715134</v>
      </c>
      <c r="AE523" s="136">
        <v>25</v>
      </c>
      <c r="AF523" s="137">
        <v>23</v>
      </c>
      <c r="AG523" s="137">
        <v>0</v>
      </c>
      <c r="AH523" s="138">
        <f t="shared" si="116"/>
        <v>48</v>
      </c>
      <c r="AI523" s="133">
        <f t="shared" si="117"/>
        <v>0.31725049570389952</v>
      </c>
    </row>
    <row r="524" spans="1:35">
      <c r="A524" s="171">
        <f>IF('09월 조업일지'!A520="","",'09월 조업일지'!A520)</f>
        <v>46284</v>
      </c>
      <c r="B524" s="172" t="str">
        <f>'09월 조업일지'!E520</f>
        <v>D</v>
      </c>
      <c r="C524" s="172" t="str">
        <f>'09월 조업일지'!F520</f>
        <v>A</v>
      </c>
      <c r="D524" s="172">
        <f>'09월 화학성분'!C521</f>
        <v>85723</v>
      </c>
      <c r="E524" s="205" t="str">
        <f t="shared" si="118"/>
        <v>SS400(ToMok)</v>
      </c>
      <c r="F524" s="121">
        <v>19</v>
      </c>
      <c r="G524" s="122">
        <v>23400</v>
      </c>
      <c r="H524" s="123">
        <v>17</v>
      </c>
      <c r="I524" s="122">
        <v>20500</v>
      </c>
      <c r="J524" s="123">
        <v>8</v>
      </c>
      <c r="K524" s="122">
        <v>9300</v>
      </c>
      <c r="L524" s="124">
        <f t="shared" si="119"/>
        <v>44</v>
      </c>
      <c r="M524" s="125">
        <f t="shared" si="119"/>
        <v>53200</v>
      </c>
      <c r="N524" s="126">
        <f t="shared" si="106"/>
        <v>158.00135043889264</v>
      </c>
      <c r="O524" s="127">
        <f t="shared" si="107"/>
        <v>138.41998649561108</v>
      </c>
      <c r="P524" s="127">
        <f t="shared" si="108"/>
        <v>62.795408507765025</v>
      </c>
      <c r="Q524" s="128">
        <f t="shared" si="109"/>
        <v>359.2167454422688</v>
      </c>
      <c r="R524" s="129">
        <v>148.1</v>
      </c>
      <c r="S524" s="130">
        <v>0</v>
      </c>
      <c r="T524" s="131">
        <v>102</v>
      </c>
      <c r="U524" s="131">
        <v>277</v>
      </c>
      <c r="V524" s="132">
        <f t="shared" si="110"/>
        <v>379</v>
      </c>
      <c r="W524" s="133">
        <f t="shared" si="111"/>
        <v>2.559081701553005</v>
      </c>
      <c r="X524" s="130">
        <v>1668</v>
      </c>
      <c r="Y524" s="131">
        <v>1645</v>
      </c>
      <c r="Z524" s="131">
        <v>554</v>
      </c>
      <c r="AA524" s="132">
        <f t="shared" si="112"/>
        <v>3867</v>
      </c>
      <c r="AB524" s="133">
        <f t="shared" si="113"/>
        <v>26.110735989196488</v>
      </c>
      <c r="AC524" s="134">
        <f t="shared" si="114"/>
        <v>4246</v>
      </c>
      <c r="AD524" s="135">
        <f t="shared" si="115"/>
        <v>28.669817690749493</v>
      </c>
      <c r="AE524" s="136">
        <v>24</v>
      </c>
      <c r="AF524" s="137">
        <v>30</v>
      </c>
      <c r="AG524" s="137">
        <v>0</v>
      </c>
      <c r="AH524" s="138">
        <f t="shared" si="116"/>
        <v>54</v>
      </c>
      <c r="AI524" s="133">
        <f t="shared" si="117"/>
        <v>0.36461850101282917</v>
      </c>
    </row>
    <row r="525" spans="1:35">
      <c r="A525" s="171">
        <f>IF('09월 조업일지'!A521="","",'09월 조업일지'!A521)</f>
        <v>46284</v>
      </c>
      <c r="B525" s="172" t="str">
        <f>'09월 조업일지'!E521</f>
        <v>D</v>
      </c>
      <c r="C525" s="172" t="str">
        <f>'09월 조업일지'!F521</f>
        <v>B</v>
      </c>
      <c r="D525" s="172">
        <f>'09월 화학성분'!C522</f>
        <v>85724</v>
      </c>
      <c r="E525" s="205" t="str">
        <f t="shared" si="118"/>
        <v>SS400(ToMok)</v>
      </c>
      <c r="F525" s="121">
        <v>21</v>
      </c>
      <c r="G525" s="122">
        <v>23400</v>
      </c>
      <c r="H525" s="123">
        <v>17</v>
      </c>
      <c r="I525" s="122">
        <v>20500</v>
      </c>
      <c r="J525" s="123">
        <v>9</v>
      </c>
      <c r="K525" s="122">
        <v>11000</v>
      </c>
      <c r="L525" s="124">
        <f t="shared" si="119"/>
        <v>47</v>
      </c>
      <c r="M525" s="125">
        <f t="shared" si="119"/>
        <v>54900</v>
      </c>
      <c r="N525" s="126">
        <f t="shared" si="106"/>
        <v>152.74151436031332</v>
      </c>
      <c r="O525" s="127">
        <f t="shared" si="107"/>
        <v>133.81201044386424</v>
      </c>
      <c r="P525" s="127">
        <f t="shared" si="108"/>
        <v>71.801566579634468</v>
      </c>
      <c r="Q525" s="128">
        <f t="shared" si="109"/>
        <v>358.35509138381201</v>
      </c>
      <c r="R525" s="129">
        <v>153.19999999999999</v>
      </c>
      <c r="S525" s="130">
        <v>0</v>
      </c>
      <c r="T525" s="131">
        <v>163</v>
      </c>
      <c r="U525" s="131">
        <v>330</v>
      </c>
      <c r="V525" s="132">
        <f t="shared" si="110"/>
        <v>493</v>
      </c>
      <c r="W525" s="133">
        <f t="shared" si="111"/>
        <v>3.218015665796345</v>
      </c>
      <c r="X525" s="130">
        <v>1768</v>
      </c>
      <c r="Y525" s="131">
        <v>1579</v>
      </c>
      <c r="Z525" s="131">
        <v>987</v>
      </c>
      <c r="AA525" s="132">
        <f t="shared" si="112"/>
        <v>4334</v>
      </c>
      <c r="AB525" s="133">
        <f t="shared" si="113"/>
        <v>28.289817232375981</v>
      </c>
      <c r="AC525" s="134">
        <f t="shared" si="114"/>
        <v>4827</v>
      </c>
      <c r="AD525" s="135">
        <f t="shared" si="115"/>
        <v>31.507832898172325</v>
      </c>
      <c r="AE525" s="136">
        <v>26</v>
      </c>
      <c r="AF525" s="137">
        <v>25</v>
      </c>
      <c r="AG525" s="137">
        <v>0</v>
      </c>
      <c r="AH525" s="138">
        <f t="shared" si="116"/>
        <v>51</v>
      </c>
      <c r="AI525" s="133">
        <f t="shared" si="117"/>
        <v>0.33289817232375979</v>
      </c>
    </row>
    <row r="526" spans="1:35">
      <c r="A526" s="171">
        <f>IF('09월 조업일지'!A522="","",'09월 조업일지'!A522)</f>
        <v>46285</v>
      </c>
      <c r="B526" s="172" t="str">
        <f>'09월 조업일지'!E522</f>
        <v>D</v>
      </c>
      <c r="C526" s="172" t="str">
        <f>'09월 조업일지'!F522</f>
        <v>A</v>
      </c>
      <c r="D526" s="172">
        <f>'09월 화학성분'!C523</f>
        <v>85725</v>
      </c>
      <c r="E526" s="205" t="str">
        <f t="shared" si="118"/>
        <v>SS400(ToMok)</v>
      </c>
      <c r="F526" s="121">
        <v>21</v>
      </c>
      <c r="G526" s="122">
        <v>23000</v>
      </c>
      <c r="H526" s="123">
        <v>18</v>
      </c>
      <c r="I526" s="122">
        <v>20800</v>
      </c>
      <c r="J526" s="123">
        <v>9</v>
      </c>
      <c r="K526" s="122">
        <v>11400</v>
      </c>
      <c r="L526" s="124">
        <f t="shared" si="119"/>
        <v>48</v>
      </c>
      <c r="M526" s="125">
        <f t="shared" si="119"/>
        <v>55200</v>
      </c>
      <c r="N526" s="126">
        <f t="shared" ref="N526:N599" si="120">IF(ISBLANK(G526),"",G526/R526)</f>
        <v>155.72105619498987</v>
      </c>
      <c r="O526" s="127">
        <f t="shared" ref="O526:O599" si="121">IF(ISBLANK(I526),"",+I526/R526)</f>
        <v>140.82599864590387</v>
      </c>
      <c r="P526" s="127">
        <f t="shared" ref="P526:P599" si="122">IF(ISBLANK(K526),"",K526/R526)</f>
        <v>77.183480027081927</v>
      </c>
      <c r="Q526" s="128">
        <f t="shared" ref="Q526:Q599" si="123">IF(ISBLANK(K526),"",SUM(N526:P526))</f>
        <v>373.73053486797568</v>
      </c>
      <c r="R526" s="129">
        <v>147.69999999999999</v>
      </c>
      <c r="S526" s="130">
        <v>0</v>
      </c>
      <c r="T526" s="131">
        <v>113</v>
      </c>
      <c r="U526" s="131">
        <v>251</v>
      </c>
      <c r="V526" s="132">
        <f t="shared" ref="V526:V599" si="124">IF(SUM(S526:U526)=0,"",SUM(S526:U526))</f>
        <v>364</v>
      </c>
      <c r="W526" s="133">
        <f t="shared" ref="W526:W599" si="125">IF(V526="","",V526/R526)</f>
        <v>2.4644549763033177</v>
      </c>
      <c r="X526" s="130">
        <v>1670</v>
      </c>
      <c r="Y526" s="131">
        <v>1631</v>
      </c>
      <c r="Z526" s="131">
        <v>881</v>
      </c>
      <c r="AA526" s="132">
        <f t="shared" ref="AA526:AA599" si="126">IF(SUM(X526:Z526)=0,"",SUM(X526:Z526))</f>
        <v>4182</v>
      </c>
      <c r="AB526" s="133">
        <f t="shared" ref="AB526:AB599" si="127">IF(AA526="","",AA526/R526)</f>
        <v>28.314150304671635</v>
      </c>
      <c r="AC526" s="134">
        <f t="shared" ref="AC526:AC599" si="128">IF(SUM(V526,AA526)=0,"",SUM(V526,AA526))</f>
        <v>4546</v>
      </c>
      <c r="AD526" s="135">
        <f t="shared" ref="AD526:AD599" si="129">IF(AC526="","",AC526/R526)</f>
        <v>30.778605280974951</v>
      </c>
      <c r="AE526" s="136">
        <v>23</v>
      </c>
      <c r="AF526" s="137">
        <v>30</v>
      </c>
      <c r="AG526" s="137">
        <v>0</v>
      </c>
      <c r="AH526" s="138">
        <f t="shared" ref="AH526:AH599" si="130">IF(SUM(AE526:AG526)=0,"",SUM(AE526:AG526))</f>
        <v>53</v>
      </c>
      <c r="AI526" s="133">
        <f t="shared" ref="AI526:AI599" si="131">IF(AH526="","",AH526/R526)</f>
        <v>0.35883547731888965</v>
      </c>
    </row>
    <row r="527" spans="1:35">
      <c r="A527" s="171">
        <f>IF('09월 조업일지'!A523="","",'09월 조업일지'!A523)</f>
        <v>46285</v>
      </c>
      <c r="B527" s="172" t="str">
        <f>'09월 조업일지'!E523</f>
        <v>D</v>
      </c>
      <c r="C527" s="172" t="str">
        <f>'09월 조업일지'!F523</f>
        <v>B</v>
      </c>
      <c r="D527" s="172">
        <f>'09월 화학성분'!C524</f>
        <v>85726</v>
      </c>
      <c r="E527" s="205" t="str">
        <f t="shared" ref="E527:E600" si="132">IF(F527="","",E526)</f>
        <v>SS400(ToMok)</v>
      </c>
      <c r="F527" s="121">
        <v>19</v>
      </c>
      <c r="G527" s="122">
        <v>23600</v>
      </c>
      <c r="H527" s="123">
        <v>18</v>
      </c>
      <c r="I527" s="122">
        <v>20700</v>
      </c>
      <c r="J527" s="123">
        <v>8</v>
      </c>
      <c r="K527" s="122">
        <v>10400</v>
      </c>
      <c r="L527" s="124">
        <f t="shared" si="119"/>
        <v>45</v>
      </c>
      <c r="M527" s="125">
        <f t="shared" si="119"/>
        <v>54700</v>
      </c>
      <c r="N527" s="126">
        <f t="shared" si="120"/>
        <v>155.05913272010514</v>
      </c>
      <c r="O527" s="127">
        <f t="shared" si="121"/>
        <v>136.00525624178712</v>
      </c>
      <c r="P527" s="127">
        <f t="shared" si="122"/>
        <v>68.331143232588701</v>
      </c>
      <c r="Q527" s="128">
        <f t="shared" si="123"/>
        <v>359.39553219448101</v>
      </c>
      <c r="R527" s="129">
        <v>152.19999999999999</v>
      </c>
      <c r="S527" s="130">
        <v>0</v>
      </c>
      <c r="T527" s="131">
        <v>82</v>
      </c>
      <c r="U527" s="131">
        <v>252</v>
      </c>
      <c r="V527" s="132">
        <f t="shared" si="124"/>
        <v>334</v>
      </c>
      <c r="W527" s="133">
        <f t="shared" si="125"/>
        <v>2.1944809461235217</v>
      </c>
      <c r="X527" s="130">
        <v>1688</v>
      </c>
      <c r="Y527" s="131">
        <v>1593</v>
      </c>
      <c r="Z527" s="131">
        <v>540</v>
      </c>
      <c r="AA527" s="132">
        <f t="shared" si="126"/>
        <v>3821</v>
      </c>
      <c r="AB527" s="133">
        <f t="shared" si="127"/>
        <v>25.105124835742448</v>
      </c>
      <c r="AC527" s="134">
        <f t="shared" si="128"/>
        <v>4155</v>
      </c>
      <c r="AD527" s="135">
        <f t="shared" si="129"/>
        <v>27.299605781865967</v>
      </c>
      <c r="AE527" s="136">
        <v>25</v>
      </c>
      <c r="AF527" s="137">
        <v>23</v>
      </c>
      <c r="AG527" s="137">
        <v>0</v>
      </c>
      <c r="AH527" s="138">
        <f t="shared" si="130"/>
        <v>48</v>
      </c>
      <c r="AI527" s="133">
        <f t="shared" si="131"/>
        <v>0.31537450722733246</v>
      </c>
    </row>
    <row r="528" spans="1:35">
      <c r="A528" s="171">
        <f>IF('09월 조업일지'!A524="","",'09월 조업일지'!A524)</f>
        <v>46285</v>
      </c>
      <c r="B528" s="172" t="str">
        <f>'09월 조업일지'!E524</f>
        <v>D</v>
      </c>
      <c r="C528" s="172" t="str">
        <f>'09월 조업일지'!F524</f>
        <v>A</v>
      </c>
      <c r="D528" s="172">
        <f>'09월 화학성분'!C525</f>
        <v>85727</v>
      </c>
      <c r="E528" s="205" t="str">
        <f t="shared" si="132"/>
        <v>SS400(ToMok)</v>
      </c>
      <c r="F528" s="121">
        <v>21</v>
      </c>
      <c r="G528" s="122">
        <v>23800</v>
      </c>
      <c r="H528" s="123">
        <v>17</v>
      </c>
      <c r="I528" s="122">
        <v>20900</v>
      </c>
      <c r="J528" s="123">
        <v>7</v>
      </c>
      <c r="K528" s="122">
        <v>8400</v>
      </c>
      <c r="L528" s="124">
        <f t="shared" si="119"/>
        <v>45</v>
      </c>
      <c r="M528" s="125">
        <f t="shared" si="119"/>
        <v>53100</v>
      </c>
      <c r="N528" s="126">
        <f t="shared" si="120"/>
        <v>159.6244131455399</v>
      </c>
      <c r="O528" s="127">
        <f t="shared" si="121"/>
        <v>140.17437961099932</v>
      </c>
      <c r="P528" s="127">
        <f t="shared" si="122"/>
        <v>56.338028169014088</v>
      </c>
      <c r="Q528" s="128">
        <f t="shared" si="123"/>
        <v>356.13682092555331</v>
      </c>
      <c r="R528" s="129">
        <v>149.1</v>
      </c>
      <c r="S528" s="130">
        <v>0</v>
      </c>
      <c r="T528" s="131">
        <v>233</v>
      </c>
      <c r="U528" s="131">
        <v>182</v>
      </c>
      <c r="V528" s="132">
        <f t="shared" si="124"/>
        <v>415</v>
      </c>
      <c r="W528" s="133">
        <f t="shared" si="125"/>
        <v>2.7833668678739101</v>
      </c>
      <c r="X528" s="130">
        <v>1782</v>
      </c>
      <c r="Y528" s="131">
        <v>1624</v>
      </c>
      <c r="Z528" s="131">
        <v>680</v>
      </c>
      <c r="AA528" s="132">
        <f t="shared" si="126"/>
        <v>4086</v>
      </c>
      <c r="AB528" s="133">
        <f t="shared" si="127"/>
        <v>27.404426559356139</v>
      </c>
      <c r="AC528" s="134">
        <f t="shared" si="128"/>
        <v>4501</v>
      </c>
      <c r="AD528" s="135">
        <f t="shared" si="129"/>
        <v>30.187793427230048</v>
      </c>
      <c r="AE528" s="136">
        <v>26</v>
      </c>
      <c r="AF528" s="137">
        <v>27</v>
      </c>
      <c r="AG528" s="137">
        <v>0</v>
      </c>
      <c r="AH528" s="138">
        <f t="shared" si="130"/>
        <v>53</v>
      </c>
      <c r="AI528" s="133">
        <f t="shared" si="131"/>
        <v>0.35546613011401745</v>
      </c>
    </row>
    <row r="529" spans="1:35">
      <c r="A529" s="171">
        <f>IF('09월 조업일지'!A525="","",'09월 조업일지'!A525)</f>
        <v>46285</v>
      </c>
      <c r="B529" s="172" t="str">
        <f>'09월 조업일지'!E525</f>
        <v>D</v>
      </c>
      <c r="C529" s="172" t="str">
        <f>'09월 조업일지'!F525</f>
        <v>B</v>
      </c>
      <c r="D529" s="172">
        <f>'09월 화학성분'!C526</f>
        <v>85728</v>
      </c>
      <c r="E529" s="205" t="str">
        <f t="shared" si="132"/>
        <v>SS400(ToMok)</v>
      </c>
      <c r="F529" s="121">
        <v>20</v>
      </c>
      <c r="G529" s="122">
        <v>23700</v>
      </c>
      <c r="H529" s="123">
        <v>17</v>
      </c>
      <c r="I529" s="122">
        <v>20600</v>
      </c>
      <c r="J529" s="123">
        <v>8</v>
      </c>
      <c r="K529" s="122">
        <v>10300</v>
      </c>
      <c r="L529" s="124">
        <f t="shared" si="119"/>
        <v>45</v>
      </c>
      <c r="M529" s="125">
        <f t="shared" si="119"/>
        <v>54600</v>
      </c>
      <c r="N529" s="126">
        <f t="shared" si="120"/>
        <v>155.51181102362204</v>
      </c>
      <c r="O529" s="127">
        <f t="shared" si="121"/>
        <v>135.17060367454067</v>
      </c>
      <c r="P529" s="127">
        <f t="shared" si="122"/>
        <v>67.585301837270336</v>
      </c>
      <c r="Q529" s="128">
        <f t="shared" si="123"/>
        <v>358.26771653543301</v>
      </c>
      <c r="R529" s="129">
        <v>152.4</v>
      </c>
      <c r="S529" s="130">
        <v>0</v>
      </c>
      <c r="T529" s="131">
        <v>165</v>
      </c>
      <c r="U529" s="131">
        <v>165</v>
      </c>
      <c r="V529" s="132">
        <f t="shared" si="124"/>
        <v>330</v>
      </c>
      <c r="W529" s="133">
        <f t="shared" si="125"/>
        <v>2.1653543307086611</v>
      </c>
      <c r="X529" s="130">
        <v>1732</v>
      </c>
      <c r="Y529" s="131">
        <v>1573</v>
      </c>
      <c r="Z529" s="131">
        <v>787</v>
      </c>
      <c r="AA529" s="132">
        <f t="shared" si="126"/>
        <v>4092</v>
      </c>
      <c r="AB529" s="133">
        <f t="shared" si="127"/>
        <v>26.8503937007874</v>
      </c>
      <c r="AC529" s="134">
        <f t="shared" si="128"/>
        <v>4422</v>
      </c>
      <c r="AD529" s="135">
        <f t="shared" si="129"/>
        <v>29.015748031496063</v>
      </c>
      <c r="AE529" s="136">
        <v>26</v>
      </c>
      <c r="AF529" s="137">
        <v>23</v>
      </c>
      <c r="AG529" s="137">
        <v>0</v>
      </c>
      <c r="AH529" s="138">
        <f t="shared" si="130"/>
        <v>49</v>
      </c>
      <c r="AI529" s="133">
        <f t="shared" si="131"/>
        <v>0.32152230971128609</v>
      </c>
    </row>
    <row r="530" spans="1:35">
      <c r="A530" s="171">
        <f>IF('09월 조업일지'!A526="","",'09월 조업일지'!A526)</f>
        <v>46285</v>
      </c>
      <c r="B530" s="172" t="str">
        <f>'09월 조업일지'!E526</f>
        <v>A</v>
      </c>
      <c r="C530" s="172" t="str">
        <f>'09월 조업일지'!F526</f>
        <v>A</v>
      </c>
      <c r="D530" s="172">
        <f>'09월 화학성분'!C527</f>
        <v>85729</v>
      </c>
      <c r="E530" s="205" t="str">
        <f t="shared" si="132"/>
        <v>SS400(ToMok)</v>
      </c>
      <c r="F530" s="121">
        <v>21</v>
      </c>
      <c r="G530" s="122">
        <v>23500</v>
      </c>
      <c r="H530" s="123">
        <v>17</v>
      </c>
      <c r="I530" s="122">
        <v>20800</v>
      </c>
      <c r="J530" s="123">
        <v>8</v>
      </c>
      <c r="K530" s="122">
        <v>10200</v>
      </c>
      <c r="L530" s="124">
        <f t="shared" si="119"/>
        <v>46</v>
      </c>
      <c r="M530" s="125">
        <f t="shared" si="119"/>
        <v>54500</v>
      </c>
      <c r="N530" s="126">
        <f t="shared" si="120"/>
        <v>158.14266487213999</v>
      </c>
      <c r="O530" s="127">
        <f t="shared" si="121"/>
        <v>139.97308209959624</v>
      </c>
      <c r="P530" s="127">
        <f t="shared" si="122"/>
        <v>68.640646029609698</v>
      </c>
      <c r="Q530" s="128">
        <f t="shared" si="123"/>
        <v>366.75639300134594</v>
      </c>
      <c r="R530" s="129">
        <v>148.6</v>
      </c>
      <c r="S530" s="130">
        <v>0</v>
      </c>
      <c r="T530" s="131">
        <v>102</v>
      </c>
      <c r="U530" s="131">
        <v>258</v>
      </c>
      <c r="V530" s="132">
        <f t="shared" si="124"/>
        <v>360</v>
      </c>
      <c r="W530" s="133">
        <f t="shared" si="125"/>
        <v>2.4226110363391657</v>
      </c>
      <c r="X530" s="130">
        <v>1671</v>
      </c>
      <c r="Y530" s="131">
        <v>1634</v>
      </c>
      <c r="Z530" s="131">
        <v>561</v>
      </c>
      <c r="AA530" s="132">
        <f t="shared" si="126"/>
        <v>3866</v>
      </c>
      <c r="AB530" s="133">
        <f t="shared" si="127"/>
        <v>26.016150740242264</v>
      </c>
      <c r="AC530" s="134">
        <f t="shared" si="128"/>
        <v>4226</v>
      </c>
      <c r="AD530" s="135">
        <f t="shared" si="129"/>
        <v>28.438761776581426</v>
      </c>
      <c r="AE530" s="136">
        <v>23</v>
      </c>
      <c r="AF530" s="137">
        <v>27</v>
      </c>
      <c r="AG530" s="137">
        <v>0</v>
      </c>
      <c r="AH530" s="138">
        <f t="shared" si="130"/>
        <v>50</v>
      </c>
      <c r="AI530" s="133">
        <f t="shared" si="131"/>
        <v>0.33647375504710636</v>
      </c>
    </row>
    <row r="531" spans="1:35">
      <c r="A531" s="171">
        <f>IF('09월 조업일지'!A527="","",'09월 조업일지'!A527)</f>
        <v>46285</v>
      </c>
      <c r="B531" s="172" t="str">
        <f>'09월 조업일지'!E527</f>
        <v>A</v>
      </c>
      <c r="C531" s="172" t="str">
        <f>'09월 조업일지'!F527</f>
        <v>B</v>
      </c>
      <c r="D531" s="172">
        <f>'09월 화학성분'!C528</f>
        <v>85730</v>
      </c>
      <c r="E531" s="205" t="str">
        <f t="shared" si="132"/>
        <v>SS400(ToMok)</v>
      </c>
      <c r="F531" s="121">
        <v>21</v>
      </c>
      <c r="G531" s="122">
        <v>23600</v>
      </c>
      <c r="H531" s="123">
        <v>19</v>
      </c>
      <c r="I531" s="122">
        <v>21000</v>
      </c>
      <c r="J531" s="123">
        <v>10</v>
      </c>
      <c r="K531" s="122">
        <v>11900</v>
      </c>
      <c r="L531" s="124">
        <f t="shared" si="119"/>
        <v>50</v>
      </c>
      <c r="M531" s="125">
        <f t="shared" si="119"/>
        <v>56500</v>
      </c>
      <c r="N531" s="126">
        <f t="shared" si="120"/>
        <v>155.46772068511197</v>
      </c>
      <c r="O531" s="127">
        <f t="shared" si="121"/>
        <v>138.33992094861659</v>
      </c>
      <c r="P531" s="127">
        <f t="shared" si="122"/>
        <v>78.392621870882735</v>
      </c>
      <c r="Q531" s="128">
        <f t="shared" si="123"/>
        <v>372.20026350461131</v>
      </c>
      <c r="R531" s="129">
        <v>151.80000000000001</v>
      </c>
      <c r="S531" s="130">
        <v>0</v>
      </c>
      <c r="T531" s="131">
        <v>87</v>
      </c>
      <c r="U531" s="131">
        <v>280</v>
      </c>
      <c r="V531" s="132">
        <f t="shared" si="124"/>
        <v>367</v>
      </c>
      <c r="W531" s="133">
        <f t="shared" si="125"/>
        <v>2.4176548089591567</v>
      </c>
      <c r="X531" s="130">
        <v>1707</v>
      </c>
      <c r="Y531" s="131">
        <v>1751</v>
      </c>
      <c r="Z531" s="131">
        <v>623</v>
      </c>
      <c r="AA531" s="132">
        <f t="shared" si="126"/>
        <v>4081</v>
      </c>
      <c r="AB531" s="133">
        <f t="shared" si="127"/>
        <v>26.884057971014492</v>
      </c>
      <c r="AC531" s="134">
        <f t="shared" si="128"/>
        <v>4448</v>
      </c>
      <c r="AD531" s="135">
        <f t="shared" si="129"/>
        <v>29.301712779973649</v>
      </c>
      <c r="AE531" s="136">
        <v>26</v>
      </c>
      <c r="AF531" s="137">
        <v>28</v>
      </c>
      <c r="AG531" s="137">
        <v>0</v>
      </c>
      <c r="AH531" s="138">
        <f t="shared" si="130"/>
        <v>54</v>
      </c>
      <c r="AI531" s="133">
        <f t="shared" si="131"/>
        <v>0.35573122529644269</v>
      </c>
    </row>
    <row r="532" spans="1:35">
      <c r="A532" s="171">
        <f>IF('09월 조업일지'!A528="","",'09월 조업일지'!A528)</f>
        <v>46285</v>
      </c>
      <c r="B532" s="172" t="str">
        <f>'09월 조업일지'!E528</f>
        <v>A</v>
      </c>
      <c r="C532" s="172" t="str">
        <f>'09월 조업일지'!F528</f>
        <v>A</v>
      </c>
      <c r="D532" s="172">
        <f>'09월 화학성분'!C529</f>
        <v>85731</v>
      </c>
      <c r="E532" s="351" t="s">
        <v>343</v>
      </c>
      <c r="F532" s="121">
        <v>21</v>
      </c>
      <c r="G532" s="122">
        <v>25100</v>
      </c>
      <c r="H532" s="123">
        <v>18</v>
      </c>
      <c r="I532" s="122">
        <v>20500</v>
      </c>
      <c r="J532" s="123">
        <v>6</v>
      </c>
      <c r="K532" s="122">
        <v>7300</v>
      </c>
      <c r="L532" s="353">
        <f t="shared" si="119"/>
        <v>45</v>
      </c>
      <c r="M532" s="125">
        <f t="shared" si="119"/>
        <v>52900</v>
      </c>
      <c r="N532" s="126">
        <f t="shared" si="120"/>
        <v>169.25151719487525</v>
      </c>
      <c r="O532" s="127">
        <f t="shared" si="121"/>
        <v>138.23331085637221</v>
      </c>
      <c r="P532" s="127">
        <f t="shared" si="122"/>
        <v>49.224544841537423</v>
      </c>
      <c r="Q532" s="128">
        <f t="shared" si="123"/>
        <v>356.70937289278487</v>
      </c>
      <c r="R532" s="129">
        <v>148.30000000000001</v>
      </c>
      <c r="S532" s="130">
        <v>0</v>
      </c>
      <c r="T532" s="131">
        <v>136</v>
      </c>
      <c r="U532" s="131">
        <v>204</v>
      </c>
      <c r="V532" s="132">
        <f t="shared" si="124"/>
        <v>340</v>
      </c>
      <c r="W532" s="133">
        <f t="shared" si="125"/>
        <v>2.2926500337154416</v>
      </c>
      <c r="X532" s="130">
        <v>2200</v>
      </c>
      <c r="Y532" s="131">
        <v>1588</v>
      </c>
      <c r="Z532" s="131">
        <v>544</v>
      </c>
      <c r="AA532" s="132">
        <f t="shared" si="126"/>
        <v>4332</v>
      </c>
      <c r="AB532" s="133">
        <f t="shared" si="127"/>
        <v>29.211058664868506</v>
      </c>
      <c r="AC532" s="134">
        <f t="shared" si="128"/>
        <v>4672</v>
      </c>
      <c r="AD532" s="135">
        <f t="shared" si="129"/>
        <v>31.503708698583949</v>
      </c>
      <c r="AE532" s="136">
        <v>37</v>
      </c>
      <c r="AF532" s="137">
        <v>28</v>
      </c>
      <c r="AG532" s="137">
        <v>0</v>
      </c>
      <c r="AH532" s="138">
        <f t="shared" si="130"/>
        <v>65</v>
      </c>
      <c r="AI532" s="133">
        <f t="shared" si="131"/>
        <v>0.43830074173971678</v>
      </c>
    </row>
    <row r="533" spans="1:35">
      <c r="A533" s="171">
        <f>IF('09월 조업일지'!A529="","",'09월 조업일지'!A529)</f>
        <v>46285</v>
      </c>
      <c r="B533" s="172" t="str">
        <f>'09월 조업일지'!E529</f>
        <v>A</v>
      </c>
      <c r="C533" s="172" t="str">
        <f>'09월 조업일지'!F529</f>
        <v>B</v>
      </c>
      <c r="D533" s="172">
        <f>'09월 화학성분'!C530</f>
        <v>85732</v>
      </c>
      <c r="E533" s="205" t="str">
        <f t="shared" si="132"/>
        <v>SS400-01</v>
      </c>
      <c r="F533" s="121">
        <v>21</v>
      </c>
      <c r="G533" s="122">
        <v>24600</v>
      </c>
      <c r="H533" s="123">
        <v>18</v>
      </c>
      <c r="I533" s="122">
        <v>20600</v>
      </c>
      <c r="J533" s="123">
        <v>9</v>
      </c>
      <c r="K533" s="122">
        <v>11700</v>
      </c>
      <c r="L533" s="353">
        <f t="shared" si="119"/>
        <v>48</v>
      </c>
      <c r="M533" s="125">
        <f t="shared" si="119"/>
        <v>56900</v>
      </c>
      <c r="N533" s="126">
        <f t="shared" si="120"/>
        <v>166.1039837947333</v>
      </c>
      <c r="O533" s="127">
        <f t="shared" si="121"/>
        <v>139.09520594193114</v>
      </c>
      <c r="P533" s="127">
        <f t="shared" si="122"/>
        <v>79.000675219446322</v>
      </c>
      <c r="Q533" s="128">
        <f t="shared" si="123"/>
        <v>384.19986495611079</v>
      </c>
      <c r="R533" s="129">
        <v>148.1</v>
      </c>
      <c r="S533" s="130">
        <v>0</v>
      </c>
      <c r="T533" s="131">
        <v>122</v>
      </c>
      <c r="U533" s="131">
        <v>221</v>
      </c>
      <c r="V533" s="132">
        <f t="shared" si="124"/>
        <v>343</v>
      </c>
      <c r="W533" s="133">
        <f t="shared" si="125"/>
        <v>2.3160027008777853</v>
      </c>
      <c r="X533" s="130">
        <v>1992</v>
      </c>
      <c r="Y533" s="131">
        <v>1882</v>
      </c>
      <c r="Z533" s="131">
        <v>655</v>
      </c>
      <c r="AA533" s="132">
        <f t="shared" si="126"/>
        <v>4529</v>
      </c>
      <c r="AB533" s="133">
        <f t="shared" si="127"/>
        <v>30.580688723835248</v>
      </c>
      <c r="AC533" s="134">
        <f t="shared" si="128"/>
        <v>4872</v>
      </c>
      <c r="AD533" s="135">
        <f t="shared" si="129"/>
        <v>32.896691424713033</v>
      </c>
      <c r="AE533" s="136">
        <v>22</v>
      </c>
      <c r="AF533" s="137">
        <v>27</v>
      </c>
      <c r="AG533" s="137">
        <v>0</v>
      </c>
      <c r="AH533" s="138">
        <f t="shared" si="130"/>
        <v>49</v>
      </c>
      <c r="AI533" s="133">
        <f t="shared" si="131"/>
        <v>0.3308575286968265</v>
      </c>
    </row>
    <row r="534" spans="1:35">
      <c r="A534" s="171">
        <f>IF('09월 조업일지'!A530="","",'09월 조업일지'!A530)</f>
        <v>46285</v>
      </c>
      <c r="B534" s="172" t="str">
        <f>'09월 조업일지'!E530</f>
        <v>A</v>
      </c>
      <c r="C534" s="172" t="str">
        <f>'09월 조업일지'!F530</f>
        <v>A</v>
      </c>
      <c r="D534" s="172">
        <f>'09월 화학성분'!C531</f>
        <v>85733</v>
      </c>
      <c r="E534" s="205" t="str">
        <f t="shared" si="132"/>
        <v>SS400-01</v>
      </c>
      <c r="F534" s="121">
        <v>22</v>
      </c>
      <c r="G534" s="122">
        <v>25100</v>
      </c>
      <c r="H534" s="123">
        <v>17</v>
      </c>
      <c r="I534" s="122">
        <v>20300</v>
      </c>
      <c r="J534" s="123">
        <v>7</v>
      </c>
      <c r="K534" s="122">
        <v>9100</v>
      </c>
      <c r="L534" s="353">
        <f t="shared" si="119"/>
        <v>46</v>
      </c>
      <c r="M534" s="125">
        <f t="shared" si="119"/>
        <v>54500</v>
      </c>
      <c r="N534" s="126">
        <f t="shared" si="120"/>
        <v>178.01418439716312</v>
      </c>
      <c r="O534" s="127">
        <f t="shared" si="121"/>
        <v>143.97163120567376</v>
      </c>
      <c r="P534" s="127">
        <f t="shared" si="122"/>
        <v>64.539007092198588</v>
      </c>
      <c r="Q534" s="128">
        <f t="shared" si="123"/>
        <v>386.52482269503543</v>
      </c>
      <c r="R534" s="129">
        <v>141</v>
      </c>
      <c r="S534" s="130">
        <v>0</v>
      </c>
      <c r="T534" s="131">
        <v>152</v>
      </c>
      <c r="U534" s="131">
        <v>177</v>
      </c>
      <c r="V534" s="132">
        <f t="shared" si="124"/>
        <v>329</v>
      </c>
      <c r="W534" s="133">
        <f t="shared" si="125"/>
        <v>2.3333333333333335</v>
      </c>
      <c r="X534" s="130">
        <v>1885</v>
      </c>
      <c r="Y534" s="131">
        <v>1578</v>
      </c>
      <c r="Z534" s="131">
        <v>460</v>
      </c>
      <c r="AA534" s="132">
        <f t="shared" si="126"/>
        <v>3923</v>
      </c>
      <c r="AB534" s="133">
        <f t="shared" si="127"/>
        <v>27.822695035460992</v>
      </c>
      <c r="AC534" s="134">
        <f t="shared" si="128"/>
        <v>4252</v>
      </c>
      <c r="AD534" s="135">
        <f t="shared" si="129"/>
        <v>30.156028368794328</v>
      </c>
      <c r="AE534" s="136">
        <v>25</v>
      </c>
      <c r="AF534" s="137">
        <v>27</v>
      </c>
      <c r="AG534" s="137">
        <v>0</v>
      </c>
      <c r="AH534" s="138">
        <f t="shared" si="130"/>
        <v>52</v>
      </c>
      <c r="AI534" s="133">
        <f t="shared" si="131"/>
        <v>0.36879432624113473</v>
      </c>
    </row>
    <row r="535" spans="1:35">
      <c r="A535" s="171">
        <f>IF('09월 조업일지'!A531="","",'09월 조업일지'!A531)</f>
        <v>46285</v>
      </c>
      <c r="B535" s="172" t="str">
        <f>'09월 조업일지'!E531</f>
        <v>A</v>
      </c>
      <c r="C535" s="172" t="str">
        <f>'09월 조업일지'!F531</f>
        <v>B</v>
      </c>
      <c r="D535" s="172">
        <f>'09월 화학성분'!C532</f>
        <v>85734</v>
      </c>
      <c r="E535" s="205" t="str">
        <f t="shared" si="132"/>
        <v>SS400-01</v>
      </c>
      <c r="F535" s="121">
        <v>20</v>
      </c>
      <c r="G535" s="122">
        <v>23500</v>
      </c>
      <c r="H535" s="123">
        <v>16</v>
      </c>
      <c r="I535" s="122">
        <v>20600</v>
      </c>
      <c r="J535" s="123">
        <v>12</v>
      </c>
      <c r="K535" s="122">
        <v>15300</v>
      </c>
      <c r="L535" s="353">
        <f t="shared" si="119"/>
        <v>48</v>
      </c>
      <c r="M535" s="125">
        <f t="shared" si="119"/>
        <v>59400</v>
      </c>
      <c r="N535" s="126">
        <f t="shared" si="120"/>
        <v>164.2208245981831</v>
      </c>
      <c r="O535" s="127">
        <f t="shared" si="121"/>
        <v>143.95527603074774</v>
      </c>
      <c r="P535" s="127">
        <f t="shared" si="122"/>
        <v>106.9182389937107</v>
      </c>
      <c r="Q535" s="128">
        <f t="shared" si="123"/>
        <v>415.09433962264154</v>
      </c>
      <c r="R535" s="129">
        <v>143.1</v>
      </c>
      <c r="S535" s="130">
        <v>0</v>
      </c>
      <c r="T535" s="131">
        <v>123</v>
      </c>
      <c r="U535" s="131">
        <v>237</v>
      </c>
      <c r="V535" s="132">
        <f t="shared" si="124"/>
        <v>360</v>
      </c>
      <c r="W535" s="133">
        <f t="shared" si="125"/>
        <v>2.5157232704402515</v>
      </c>
      <c r="X535" s="130">
        <v>1660</v>
      </c>
      <c r="Y535" s="131">
        <v>1610</v>
      </c>
      <c r="Z535" s="131">
        <v>1617</v>
      </c>
      <c r="AA535" s="132">
        <f t="shared" si="126"/>
        <v>4887</v>
      </c>
      <c r="AB535" s="133">
        <f t="shared" si="127"/>
        <v>34.150943396226417</v>
      </c>
      <c r="AC535" s="134">
        <f t="shared" si="128"/>
        <v>5247</v>
      </c>
      <c r="AD535" s="135">
        <f t="shared" si="129"/>
        <v>36.666666666666671</v>
      </c>
      <c r="AE535" s="136">
        <v>26</v>
      </c>
      <c r="AF535" s="137">
        <v>23</v>
      </c>
      <c r="AG535" s="137">
        <v>0</v>
      </c>
      <c r="AH535" s="138">
        <f t="shared" si="130"/>
        <v>49</v>
      </c>
      <c r="AI535" s="133">
        <f t="shared" si="131"/>
        <v>0.34241788958770092</v>
      </c>
    </row>
    <row r="536" spans="1:35">
      <c r="A536" s="171">
        <f>IF('09월 조업일지'!A532="","",'09월 조업일지'!A532)</f>
        <v>46285</v>
      </c>
      <c r="B536" s="172" t="str">
        <f>'09월 조업일지'!E532</f>
        <v>A</v>
      </c>
      <c r="C536" s="172" t="str">
        <f>'09월 조업일지'!F532</f>
        <v>A</v>
      </c>
      <c r="D536" s="172">
        <f>'09월 화학성분'!C533</f>
        <v>85735</v>
      </c>
      <c r="E536" s="205" t="str">
        <f t="shared" si="132"/>
        <v>SS400-01</v>
      </c>
      <c r="F536" s="121">
        <v>21</v>
      </c>
      <c r="G536" s="122">
        <v>23700</v>
      </c>
      <c r="H536" s="123">
        <v>18</v>
      </c>
      <c r="I536" s="122">
        <v>20600</v>
      </c>
      <c r="J536" s="123">
        <v>7</v>
      </c>
      <c r="K536" s="122">
        <v>8200</v>
      </c>
      <c r="L536" s="353">
        <f t="shared" si="119"/>
        <v>46</v>
      </c>
      <c r="M536" s="125">
        <f t="shared" si="119"/>
        <v>52500</v>
      </c>
      <c r="N536" s="126">
        <f t="shared" si="120"/>
        <v>161.66439290586632</v>
      </c>
      <c r="O536" s="127">
        <f t="shared" si="121"/>
        <v>140.51841746248294</v>
      </c>
      <c r="P536" s="127">
        <f t="shared" si="122"/>
        <v>55.934515688949524</v>
      </c>
      <c r="Q536" s="128">
        <f t="shared" si="123"/>
        <v>358.11732605729878</v>
      </c>
      <c r="R536" s="129">
        <v>146.6</v>
      </c>
      <c r="S536" s="130">
        <v>0</v>
      </c>
      <c r="T536" s="131">
        <v>125</v>
      </c>
      <c r="U536" s="131">
        <v>189</v>
      </c>
      <c r="V536" s="132">
        <f t="shared" si="124"/>
        <v>314</v>
      </c>
      <c r="W536" s="133">
        <f t="shared" si="125"/>
        <v>2.1418826739427015</v>
      </c>
      <c r="X536" s="130">
        <v>1725</v>
      </c>
      <c r="Y536" s="131">
        <v>1636</v>
      </c>
      <c r="Z536" s="131">
        <v>732</v>
      </c>
      <c r="AA536" s="132">
        <f t="shared" si="126"/>
        <v>4093</v>
      </c>
      <c r="AB536" s="133">
        <f t="shared" si="127"/>
        <v>27.919508867667123</v>
      </c>
      <c r="AC536" s="134">
        <f t="shared" si="128"/>
        <v>4407</v>
      </c>
      <c r="AD536" s="135">
        <f t="shared" si="129"/>
        <v>30.061391541609822</v>
      </c>
      <c r="AE536" s="136">
        <v>21</v>
      </c>
      <c r="AF536" s="137">
        <v>30</v>
      </c>
      <c r="AG536" s="137">
        <v>0</v>
      </c>
      <c r="AH536" s="138">
        <f t="shared" si="130"/>
        <v>51</v>
      </c>
      <c r="AI536" s="133">
        <f t="shared" si="131"/>
        <v>0.34788540245566169</v>
      </c>
    </row>
    <row r="537" spans="1:35">
      <c r="A537" s="171">
        <f>IF('09월 조업일지'!A533="","",'09월 조업일지'!A533)</f>
        <v>46285</v>
      </c>
      <c r="B537" s="172" t="str">
        <f>'09월 조업일지'!E533</f>
        <v>A</v>
      </c>
      <c r="C537" s="172" t="str">
        <f>'09월 조업일지'!F533</f>
        <v>B</v>
      </c>
      <c r="D537" s="172">
        <f>'09월 화학성분'!C534</f>
        <v>85736</v>
      </c>
      <c r="E537" s="205" t="str">
        <f t="shared" si="132"/>
        <v>SS400-01</v>
      </c>
      <c r="F537" s="121">
        <v>20</v>
      </c>
      <c r="G537" s="122">
        <v>23800</v>
      </c>
      <c r="H537" s="123">
        <v>17</v>
      </c>
      <c r="I537" s="122">
        <v>20700</v>
      </c>
      <c r="J537" s="123">
        <v>5</v>
      </c>
      <c r="K537" s="122">
        <v>6300</v>
      </c>
      <c r="L537" s="353">
        <f t="shared" ref="L537:M610" si="133">IF(ISBLANK(F537),"",SUM(F537,H537,J537))</f>
        <v>42</v>
      </c>
      <c r="M537" s="125">
        <f t="shared" si="133"/>
        <v>50800</v>
      </c>
      <c r="N537" s="126">
        <f t="shared" si="120"/>
        <v>162.23585548738924</v>
      </c>
      <c r="O537" s="127">
        <f t="shared" si="121"/>
        <v>141.10429447852761</v>
      </c>
      <c r="P537" s="127">
        <f t="shared" si="122"/>
        <v>42.944785276073624</v>
      </c>
      <c r="Q537" s="128">
        <f t="shared" si="123"/>
        <v>346.28493524199047</v>
      </c>
      <c r="R537" s="129">
        <v>146.69999999999999</v>
      </c>
      <c r="S537" s="130">
        <v>0</v>
      </c>
      <c r="T537" s="131">
        <v>122</v>
      </c>
      <c r="U537" s="131">
        <v>223</v>
      </c>
      <c r="V537" s="132">
        <f t="shared" si="124"/>
        <v>345</v>
      </c>
      <c r="W537" s="133">
        <f t="shared" si="125"/>
        <v>2.3517382413087935</v>
      </c>
      <c r="X537" s="130">
        <v>1748</v>
      </c>
      <c r="Y537" s="131">
        <v>1653</v>
      </c>
      <c r="Z537" s="131">
        <v>552</v>
      </c>
      <c r="AA537" s="132">
        <f t="shared" si="126"/>
        <v>3953</v>
      </c>
      <c r="AB537" s="133">
        <f t="shared" si="127"/>
        <v>26.946148602590323</v>
      </c>
      <c r="AC537" s="134">
        <f t="shared" si="128"/>
        <v>4298</v>
      </c>
      <c r="AD537" s="135">
        <f t="shared" si="129"/>
        <v>29.297886843899118</v>
      </c>
      <c r="AE537" s="136">
        <v>26</v>
      </c>
      <c r="AF537" s="137">
        <v>27</v>
      </c>
      <c r="AG537" s="137">
        <v>0</v>
      </c>
      <c r="AH537" s="138">
        <f t="shared" si="130"/>
        <v>53</v>
      </c>
      <c r="AI537" s="133">
        <f t="shared" si="131"/>
        <v>0.36128152692569876</v>
      </c>
    </row>
    <row r="538" spans="1:35">
      <c r="A538" s="171">
        <f>IF('09월 조업일지'!A534="","",'09월 조업일지'!A534)</f>
        <v>46285</v>
      </c>
      <c r="B538" s="172" t="str">
        <f>'09월 조업일지'!E534</f>
        <v>A</v>
      </c>
      <c r="C538" s="172" t="str">
        <f>'09월 조업일지'!F534</f>
        <v>A</v>
      </c>
      <c r="D538" s="172">
        <f>'09월 화학성분'!C535</f>
        <v>85737</v>
      </c>
      <c r="E538" s="205" t="str">
        <f t="shared" si="132"/>
        <v>SS400-01</v>
      </c>
      <c r="F538" s="121">
        <v>20</v>
      </c>
      <c r="G538" s="122">
        <v>23700</v>
      </c>
      <c r="H538" s="123">
        <v>18</v>
      </c>
      <c r="I538" s="122">
        <v>20700</v>
      </c>
      <c r="J538" s="123">
        <v>7</v>
      </c>
      <c r="K538" s="122">
        <v>8900</v>
      </c>
      <c r="L538" s="353">
        <f t="shared" si="133"/>
        <v>45</v>
      </c>
      <c r="M538" s="125">
        <f t="shared" si="133"/>
        <v>53300</v>
      </c>
      <c r="N538" s="126">
        <f t="shared" si="120"/>
        <v>161.33424098025867</v>
      </c>
      <c r="O538" s="127">
        <f t="shared" si="121"/>
        <v>140.91218515997278</v>
      </c>
      <c r="P538" s="127">
        <f t="shared" si="122"/>
        <v>60.585432266848194</v>
      </c>
      <c r="Q538" s="128">
        <f t="shared" si="123"/>
        <v>362.83185840707966</v>
      </c>
      <c r="R538" s="129">
        <v>146.9</v>
      </c>
      <c r="S538" s="130">
        <v>0</v>
      </c>
      <c r="T538" s="131">
        <v>148</v>
      </c>
      <c r="U538" s="131">
        <v>199</v>
      </c>
      <c r="V538" s="132">
        <f t="shared" si="124"/>
        <v>347</v>
      </c>
      <c r="W538" s="133">
        <f t="shared" si="125"/>
        <v>2.3621511232130699</v>
      </c>
      <c r="X538" s="130">
        <v>1680</v>
      </c>
      <c r="Y538" s="131">
        <v>1603</v>
      </c>
      <c r="Z538" s="131">
        <v>664</v>
      </c>
      <c r="AA538" s="132">
        <f t="shared" si="126"/>
        <v>3947</v>
      </c>
      <c r="AB538" s="133">
        <f t="shared" si="127"/>
        <v>26.868618107556159</v>
      </c>
      <c r="AC538" s="134">
        <f t="shared" si="128"/>
        <v>4294</v>
      </c>
      <c r="AD538" s="135">
        <f t="shared" si="129"/>
        <v>29.23076923076923</v>
      </c>
      <c r="AE538" s="136">
        <v>20</v>
      </c>
      <c r="AF538" s="137">
        <v>29</v>
      </c>
      <c r="AG538" s="137">
        <v>0</v>
      </c>
      <c r="AH538" s="138">
        <f t="shared" si="130"/>
        <v>49</v>
      </c>
      <c r="AI538" s="133">
        <f t="shared" si="131"/>
        <v>0.33356024506466986</v>
      </c>
    </row>
    <row r="539" spans="1:35">
      <c r="A539" s="171">
        <f>IF('09월 조업일지'!A535="","",'09월 조업일지'!A535)</f>
        <v>46285</v>
      </c>
      <c r="B539" s="172" t="str">
        <f>'09월 조업일지'!E535</f>
        <v>A</v>
      </c>
      <c r="C539" s="172" t="str">
        <f>'09월 조업일지'!F535</f>
        <v>B</v>
      </c>
      <c r="D539" s="172">
        <f>'09월 화학성분'!C536</f>
        <v>85738</v>
      </c>
      <c r="E539" s="205" t="str">
        <f t="shared" si="132"/>
        <v>SS400-01</v>
      </c>
      <c r="F539" s="121">
        <v>20</v>
      </c>
      <c r="G539" s="122">
        <v>23500</v>
      </c>
      <c r="H539" s="123">
        <v>18</v>
      </c>
      <c r="I539" s="122">
        <v>20700</v>
      </c>
      <c r="J539" s="123">
        <v>6</v>
      </c>
      <c r="K539" s="122">
        <v>8800</v>
      </c>
      <c r="L539" s="353">
        <f t="shared" si="133"/>
        <v>44</v>
      </c>
      <c r="M539" s="125">
        <f t="shared" si="133"/>
        <v>53000</v>
      </c>
      <c r="N539" s="126">
        <f t="shared" si="120"/>
        <v>159.10629654705485</v>
      </c>
      <c r="O539" s="127">
        <f t="shared" si="121"/>
        <v>140.14895057549086</v>
      </c>
      <c r="P539" s="127">
        <f t="shared" si="122"/>
        <v>59.580230196343948</v>
      </c>
      <c r="Q539" s="128">
        <f t="shared" si="123"/>
        <v>358.83547731888967</v>
      </c>
      <c r="R539" s="129">
        <v>147.69999999999999</v>
      </c>
      <c r="S539" s="130">
        <v>0</v>
      </c>
      <c r="T539" s="131">
        <v>119</v>
      </c>
      <c r="U539" s="131">
        <v>195</v>
      </c>
      <c r="V539" s="132">
        <f t="shared" si="124"/>
        <v>314</v>
      </c>
      <c r="W539" s="133">
        <f t="shared" si="125"/>
        <v>2.1259309410968181</v>
      </c>
      <c r="X539" s="130">
        <v>1716</v>
      </c>
      <c r="Y539" s="131">
        <v>1636</v>
      </c>
      <c r="Z539" s="131">
        <v>725</v>
      </c>
      <c r="AA539" s="132">
        <f t="shared" si="126"/>
        <v>4077</v>
      </c>
      <c r="AB539" s="133">
        <f t="shared" si="127"/>
        <v>27.603249830737983</v>
      </c>
      <c r="AC539" s="134">
        <f t="shared" si="128"/>
        <v>4391</v>
      </c>
      <c r="AD539" s="135">
        <f t="shared" si="129"/>
        <v>29.729180771834802</v>
      </c>
      <c r="AE539" s="136">
        <v>25</v>
      </c>
      <c r="AF539" s="137">
        <v>24</v>
      </c>
      <c r="AG539" s="137">
        <v>0</v>
      </c>
      <c r="AH539" s="138">
        <f t="shared" si="130"/>
        <v>49</v>
      </c>
      <c r="AI539" s="133">
        <f t="shared" si="131"/>
        <v>0.33175355450236971</v>
      </c>
    </row>
    <row r="540" spans="1:35">
      <c r="A540" s="171">
        <f>IF('09월 조업일지'!A536="","",'09월 조업일지'!A536)</f>
        <v>46285</v>
      </c>
      <c r="B540" s="172" t="str">
        <f>'09월 조업일지'!E536</f>
        <v>A</v>
      </c>
      <c r="C540" s="172" t="str">
        <f>'09월 조업일지'!F536</f>
        <v>A</v>
      </c>
      <c r="D540" s="172">
        <f>'09월 화학성분'!C537</f>
        <v>85739</v>
      </c>
      <c r="E540" s="205" t="str">
        <f t="shared" si="132"/>
        <v>SS400-01</v>
      </c>
      <c r="F540" s="121">
        <v>21</v>
      </c>
      <c r="G540" s="122">
        <v>23800</v>
      </c>
      <c r="H540" s="123">
        <v>18</v>
      </c>
      <c r="I540" s="122">
        <v>21000</v>
      </c>
      <c r="J540" s="123">
        <v>7</v>
      </c>
      <c r="K540" s="122">
        <v>8600</v>
      </c>
      <c r="L540" s="353">
        <f t="shared" si="133"/>
        <v>46</v>
      </c>
      <c r="M540" s="125">
        <f t="shared" si="133"/>
        <v>53400</v>
      </c>
      <c r="N540" s="126">
        <f t="shared" si="120"/>
        <v>164.13793103448276</v>
      </c>
      <c r="O540" s="127">
        <f t="shared" si="121"/>
        <v>144.82758620689654</v>
      </c>
      <c r="P540" s="127">
        <f t="shared" si="122"/>
        <v>59.310344827586206</v>
      </c>
      <c r="Q540" s="128">
        <f t="shared" si="123"/>
        <v>368.27586206896552</v>
      </c>
      <c r="R540" s="129">
        <v>145</v>
      </c>
      <c r="S540" s="130">
        <v>0</v>
      </c>
      <c r="T540" s="131">
        <v>214</v>
      </c>
      <c r="U540" s="131">
        <v>109</v>
      </c>
      <c r="V540" s="132">
        <f t="shared" si="124"/>
        <v>323</v>
      </c>
      <c r="W540" s="133">
        <f t="shared" si="125"/>
        <v>2.2275862068965515</v>
      </c>
      <c r="X540" s="130">
        <v>1676</v>
      </c>
      <c r="Y540" s="131">
        <v>1660</v>
      </c>
      <c r="Z540" s="131">
        <v>556</v>
      </c>
      <c r="AA540" s="132">
        <f t="shared" si="126"/>
        <v>3892</v>
      </c>
      <c r="AB540" s="133">
        <f t="shared" si="127"/>
        <v>26.841379310344827</v>
      </c>
      <c r="AC540" s="134">
        <f t="shared" si="128"/>
        <v>4215</v>
      </c>
      <c r="AD540" s="135">
        <f t="shared" si="129"/>
        <v>29.068965517241381</v>
      </c>
      <c r="AE540" s="136">
        <v>25</v>
      </c>
      <c r="AF540" s="137">
        <v>32</v>
      </c>
      <c r="AG540" s="137">
        <v>0</v>
      </c>
      <c r="AH540" s="138">
        <f t="shared" si="130"/>
        <v>57</v>
      </c>
      <c r="AI540" s="133">
        <f t="shared" si="131"/>
        <v>0.39310344827586208</v>
      </c>
    </row>
    <row r="541" spans="1:35">
      <c r="A541" s="171">
        <f>IF('09월 조업일지'!A537="","",'09월 조업일지'!A537)</f>
        <v>46285</v>
      </c>
      <c r="B541" s="172" t="str">
        <f>'09월 조업일지'!E537</f>
        <v>B</v>
      </c>
      <c r="C541" s="172" t="str">
        <f>'09월 조업일지'!F537</f>
        <v>B</v>
      </c>
      <c r="D541" s="172">
        <f>'09월 화학성분'!C538</f>
        <v>85740</v>
      </c>
      <c r="E541" s="205" t="str">
        <f t="shared" si="132"/>
        <v>SS400-01</v>
      </c>
      <c r="F541" s="121">
        <v>20</v>
      </c>
      <c r="G541" s="122">
        <v>23200</v>
      </c>
      <c r="H541" s="123">
        <v>18</v>
      </c>
      <c r="I541" s="122">
        <v>20600</v>
      </c>
      <c r="J541" s="123">
        <v>7</v>
      </c>
      <c r="K541" s="122">
        <v>9400</v>
      </c>
      <c r="L541" s="353">
        <f t="shared" si="133"/>
        <v>45</v>
      </c>
      <c r="M541" s="125">
        <f t="shared" si="133"/>
        <v>53200</v>
      </c>
      <c r="N541" s="126">
        <f t="shared" si="120"/>
        <v>156.75675675675674</v>
      </c>
      <c r="O541" s="127">
        <f t="shared" si="121"/>
        <v>139.18918918918919</v>
      </c>
      <c r="P541" s="127">
        <f t="shared" si="122"/>
        <v>63.513513513513516</v>
      </c>
      <c r="Q541" s="128">
        <f t="shared" si="123"/>
        <v>359.45945945945948</v>
      </c>
      <c r="R541" s="129">
        <v>148</v>
      </c>
      <c r="S541" s="130">
        <v>0</v>
      </c>
      <c r="T541" s="131">
        <v>170</v>
      </c>
      <c r="U541" s="131">
        <v>170</v>
      </c>
      <c r="V541" s="132">
        <f t="shared" si="124"/>
        <v>340</v>
      </c>
      <c r="W541" s="133">
        <f t="shared" si="125"/>
        <v>2.2972972972972974</v>
      </c>
      <c r="X541" s="130">
        <v>1702</v>
      </c>
      <c r="Y541" s="131">
        <v>1648</v>
      </c>
      <c r="Z541" s="131">
        <v>831</v>
      </c>
      <c r="AA541" s="132">
        <f t="shared" si="126"/>
        <v>4181</v>
      </c>
      <c r="AB541" s="133">
        <f t="shared" si="127"/>
        <v>28.25</v>
      </c>
      <c r="AC541" s="134">
        <f t="shared" si="128"/>
        <v>4521</v>
      </c>
      <c r="AD541" s="135">
        <f t="shared" si="129"/>
        <v>30.547297297297298</v>
      </c>
      <c r="AE541" s="136">
        <v>26</v>
      </c>
      <c r="AF541" s="137">
        <v>28</v>
      </c>
      <c r="AG541" s="137">
        <v>0</v>
      </c>
      <c r="AH541" s="138">
        <f t="shared" si="130"/>
        <v>54</v>
      </c>
      <c r="AI541" s="133">
        <f t="shared" si="131"/>
        <v>0.36486486486486486</v>
      </c>
    </row>
    <row r="542" spans="1:35">
      <c r="A542" s="171">
        <f>IF('09월 조업일지'!A538="","",'09월 조업일지'!A538)</f>
        <v>46285</v>
      </c>
      <c r="B542" s="172" t="str">
        <f>'09월 조업일지'!E538</f>
        <v>B</v>
      </c>
      <c r="C542" s="172" t="str">
        <f>'09월 조업일지'!F538</f>
        <v>A</v>
      </c>
      <c r="D542" s="172">
        <f>'09월 화학성분'!C539</f>
        <v>85741</v>
      </c>
      <c r="E542" s="205" t="str">
        <f t="shared" si="132"/>
        <v>SS400-01</v>
      </c>
      <c r="F542" s="121">
        <v>20</v>
      </c>
      <c r="G542" s="122">
        <v>23600</v>
      </c>
      <c r="H542" s="123">
        <v>18</v>
      </c>
      <c r="I542" s="122">
        <v>20400</v>
      </c>
      <c r="J542" s="123">
        <v>8</v>
      </c>
      <c r="K542" s="122">
        <v>10300</v>
      </c>
      <c r="L542" s="353">
        <f t="shared" si="133"/>
        <v>46</v>
      </c>
      <c r="M542" s="125">
        <f t="shared" si="133"/>
        <v>54300</v>
      </c>
      <c r="N542" s="126">
        <f t="shared" si="120"/>
        <v>160.21724372029871</v>
      </c>
      <c r="O542" s="127">
        <f t="shared" si="121"/>
        <v>138.49287169042768</v>
      </c>
      <c r="P542" s="127">
        <f t="shared" si="122"/>
        <v>69.925322471147311</v>
      </c>
      <c r="Q542" s="128">
        <f t="shared" si="123"/>
        <v>368.63543788187371</v>
      </c>
      <c r="R542" s="129">
        <v>147.30000000000001</v>
      </c>
      <c r="S542" s="130">
        <v>0</v>
      </c>
      <c r="T542" s="131">
        <v>66</v>
      </c>
      <c r="U542" s="131">
        <v>246</v>
      </c>
      <c r="V542" s="132">
        <f t="shared" si="124"/>
        <v>312</v>
      </c>
      <c r="W542" s="133">
        <f t="shared" si="125"/>
        <v>2.1181262729124235</v>
      </c>
      <c r="X542" s="130">
        <v>1672</v>
      </c>
      <c r="Y542" s="131">
        <v>1618</v>
      </c>
      <c r="Z542" s="131">
        <v>891</v>
      </c>
      <c r="AA542" s="132">
        <f t="shared" si="126"/>
        <v>4181</v>
      </c>
      <c r="AB542" s="133">
        <f t="shared" si="127"/>
        <v>28.384249830278343</v>
      </c>
      <c r="AC542" s="134">
        <f t="shared" si="128"/>
        <v>4493</v>
      </c>
      <c r="AD542" s="135">
        <f t="shared" si="129"/>
        <v>30.502376103190766</v>
      </c>
      <c r="AE542" s="136">
        <v>21</v>
      </c>
      <c r="AF542" s="137">
        <v>29</v>
      </c>
      <c r="AG542" s="137">
        <v>0</v>
      </c>
      <c r="AH542" s="138">
        <f t="shared" si="130"/>
        <v>50</v>
      </c>
      <c r="AI542" s="133">
        <f t="shared" si="131"/>
        <v>0.33944331296673452</v>
      </c>
    </row>
    <row r="543" spans="1:35">
      <c r="A543" s="171">
        <f>IF('09월 조업일지'!A539="","",'09월 조업일지'!A539)</f>
        <v>46285</v>
      </c>
      <c r="B543" s="172" t="str">
        <f>'09월 조업일지'!E539</f>
        <v>B</v>
      </c>
      <c r="C543" s="172" t="str">
        <f>'09월 조업일지'!F539</f>
        <v>B</v>
      </c>
      <c r="D543" s="172">
        <f>'09월 화학성분'!C540</f>
        <v>85742</v>
      </c>
      <c r="E543" s="205" t="str">
        <f t="shared" si="132"/>
        <v>SS400-01</v>
      </c>
      <c r="F543" s="121">
        <v>21</v>
      </c>
      <c r="G543" s="122">
        <v>23400</v>
      </c>
      <c r="H543" s="123">
        <v>18</v>
      </c>
      <c r="I543" s="122">
        <v>20700</v>
      </c>
      <c r="J543" s="123">
        <v>8</v>
      </c>
      <c r="K543" s="122">
        <v>10100</v>
      </c>
      <c r="L543" s="353">
        <f t="shared" si="133"/>
        <v>47</v>
      </c>
      <c r="M543" s="125">
        <f t="shared" si="133"/>
        <v>54200</v>
      </c>
      <c r="N543" s="126">
        <f t="shared" si="120"/>
        <v>159.72696245733789</v>
      </c>
      <c r="O543" s="127">
        <f t="shared" si="121"/>
        <v>141.29692832764505</v>
      </c>
      <c r="P543" s="127">
        <f t="shared" si="122"/>
        <v>68.941979522184297</v>
      </c>
      <c r="Q543" s="128">
        <f t="shared" si="123"/>
        <v>369.96587030716722</v>
      </c>
      <c r="R543" s="129">
        <v>146.5</v>
      </c>
      <c r="S543" s="130">
        <v>0</v>
      </c>
      <c r="T543" s="131">
        <v>81</v>
      </c>
      <c r="U543" s="131">
        <v>244</v>
      </c>
      <c r="V543" s="132">
        <f t="shared" si="124"/>
        <v>325</v>
      </c>
      <c r="W543" s="133">
        <f t="shared" si="125"/>
        <v>2.218430034129693</v>
      </c>
      <c r="X543" s="130">
        <v>1759</v>
      </c>
      <c r="Y543" s="131">
        <v>1669</v>
      </c>
      <c r="Z543" s="131">
        <v>908</v>
      </c>
      <c r="AA543" s="132">
        <f t="shared" si="126"/>
        <v>4336</v>
      </c>
      <c r="AB543" s="133">
        <f t="shared" si="127"/>
        <v>29.597269624573379</v>
      </c>
      <c r="AC543" s="134">
        <f t="shared" si="128"/>
        <v>4661</v>
      </c>
      <c r="AD543" s="135">
        <f t="shared" si="129"/>
        <v>31.815699658703071</v>
      </c>
      <c r="AE543" s="136">
        <v>27</v>
      </c>
      <c r="AF543" s="137">
        <v>22</v>
      </c>
      <c r="AG543" s="137">
        <v>0</v>
      </c>
      <c r="AH543" s="138">
        <f t="shared" si="130"/>
        <v>49</v>
      </c>
      <c r="AI543" s="133">
        <f t="shared" si="131"/>
        <v>0.33447098976109213</v>
      </c>
    </row>
    <row r="544" spans="1:35">
      <c r="A544" s="171">
        <f>IF('09월 조업일지'!A540="","",'09월 조업일지'!A540)</f>
        <v>46285</v>
      </c>
      <c r="B544" s="172" t="str">
        <f>'09월 조업일지'!E540</f>
        <v>B</v>
      </c>
      <c r="C544" s="172" t="str">
        <f>'09월 조업일지'!F540</f>
        <v>A</v>
      </c>
      <c r="D544" s="172">
        <f>'09월 화학성분'!C541</f>
        <v>85743</v>
      </c>
      <c r="E544" s="205" t="str">
        <f t="shared" si="132"/>
        <v>SS400-01</v>
      </c>
      <c r="F544" s="121">
        <v>21</v>
      </c>
      <c r="G544" s="122">
        <v>23600</v>
      </c>
      <c r="H544" s="123">
        <v>19</v>
      </c>
      <c r="I544" s="122">
        <v>20900</v>
      </c>
      <c r="J544" s="123">
        <v>5</v>
      </c>
      <c r="K544" s="122">
        <v>6700</v>
      </c>
      <c r="L544" s="353">
        <f t="shared" si="133"/>
        <v>45</v>
      </c>
      <c r="M544" s="125">
        <f t="shared" si="133"/>
        <v>51200</v>
      </c>
      <c r="N544" s="126">
        <f t="shared" si="120"/>
        <v>161.42270861833106</v>
      </c>
      <c r="O544" s="127">
        <f t="shared" si="121"/>
        <v>142.95485636114913</v>
      </c>
      <c r="P544" s="127">
        <f t="shared" si="122"/>
        <v>45.827633378932973</v>
      </c>
      <c r="Q544" s="128">
        <f t="shared" si="123"/>
        <v>350.20519835841321</v>
      </c>
      <c r="R544" s="129">
        <v>146.19999999999999</v>
      </c>
      <c r="S544" s="130">
        <v>0</v>
      </c>
      <c r="T544" s="131">
        <v>169</v>
      </c>
      <c r="U544" s="131">
        <v>216</v>
      </c>
      <c r="V544" s="132">
        <f t="shared" si="124"/>
        <v>385</v>
      </c>
      <c r="W544" s="133">
        <f t="shared" si="125"/>
        <v>2.6333789329685366</v>
      </c>
      <c r="X544" s="130">
        <v>1757</v>
      </c>
      <c r="Y544" s="131">
        <v>1743</v>
      </c>
      <c r="Z544" s="131">
        <v>506</v>
      </c>
      <c r="AA544" s="132">
        <f t="shared" si="126"/>
        <v>4006</v>
      </c>
      <c r="AB544" s="133">
        <f t="shared" si="127"/>
        <v>27.400820793433656</v>
      </c>
      <c r="AC544" s="134">
        <f t="shared" si="128"/>
        <v>4391</v>
      </c>
      <c r="AD544" s="135">
        <f t="shared" si="129"/>
        <v>30.034199726402193</v>
      </c>
      <c r="AE544" s="136">
        <v>21</v>
      </c>
      <c r="AF544" s="137">
        <v>30</v>
      </c>
      <c r="AG544" s="137">
        <v>0</v>
      </c>
      <c r="AH544" s="138">
        <f t="shared" si="130"/>
        <v>51</v>
      </c>
      <c r="AI544" s="133">
        <f t="shared" si="131"/>
        <v>0.34883720930232559</v>
      </c>
    </row>
    <row r="545" spans="1:35">
      <c r="A545" s="171">
        <f>IF('09월 조업일지'!A541="","",'09월 조업일지'!A541)</f>
        <v>46285</v>
      </c>
      <c r="B545" s="172" t="str">
        <f>'09월 조업일지'!E541</f>
        <v>B</v>
      </c>
      <c r="C545" s="172" t="str">
        <f>'09월 조업일지'!F541</f>
        <v>B</v>
      </c>
      <c r="D545" s="172">
        <f>'09월 화학성분'!C542</f>
        <v>85744</v>
      </c>
      <c r="E545" s="205" t="str">
        <f t="shared" si="132"/>
        <v>SS400-01</v>
      </c>
      <c r="F545" s="121">
        <v>20</v>
      </c>
      <c r="G545" s="122">
        <v>23000</v>
      </c>
      <c r="H545" s="123">
        <v>18</v>
      </c>
      <c r="I545" s="122">
        <v>20600</v>
      </c>
      <c r="J545" s="123">
        <v>9</v>
      </c>
      <c r="K545" s="122">
        <v>11300</v>
      </c>
      <c r="L545" s="353">
        <f t="shared" si="133"/>
        <v>47</v>
      </c>
      <c r="M545" s="125">
        <f t="shared" si="133"/>
        <v>54900</v>
      </c>
      <c r="N545" s="126">
        <f t="shared" si="120"/>
        <v>156.67574931880108</v>
      </c>
      <c r="O545" s="127">
        <f t="shared" si="121"/>
        <v>140.32697547683924</v>
      </c>
      <c r="P545" s="127">
        <f t="shared" si="122"/>
        <v>76.975476839237047</v>
      </c>
      <c r="Q545" s="128">
        <f t="shared" si="123"/>
        <v>373.97820163487739</v>
      </c>
      <c r="R545" s="129">
        <v>146.80000000000001</v>
      </c>
      <c r="S545" s="130">
        <v>0</v>
      </c>
      <c r="T545" s="131">
        <v>126</v>
      </c>
      <c r="U545" s="131">
        <v>191</v>
      </c>
      <c r="V545" s="132">
        <f t="shared" si="124"/>
        <v>317</v>
      </c>
      <c r="W545" s="133">
        <f t="shared" si="125"/>
        <v>2.1594005449591278</v>
      </c>
      <c r="X545" s="130">
        <v>1716</v>
      </c>
      <c r="Y545" s="131">
        <v>1678</v>
      </c>
      <c r="Z545" s="131">
        <v>992</v>
      </c>
      <c r="AA545" s="132">
        <f t="shared" si="126"/>
        <v>4386</v>
      </c>
      <c r="AB545" s="133">
        <f t="shared" si="127"/>
        <v>29.877384196185282</v>
      </c>
      <c r="AC545" s="134">
        <f t="shared" si="128"/>
        <v>4703</v>
      </c>
      <c r="AD545" s="135">
        <f t="shared" si="129"/>
        <v>32.036784741144409</v>
      </c>
      <c r="AE545" s="136">
        <v>25</v>
      </c>
      <c r="AF545" s="137">
        <v>27</v>
      </c>
      <c r="AG545" s="137">
        <v>0</v>
      </c>
      <c r="AH545" s="138">
        <f t="shared" si="130"/>
        <v>52</v>
      </c>
      <c r="AI545" s="133">
        <f t="shared" si="131"/>
        <v>0.35422343324250677</v>
      </c>
    </row>
    <row r="546" spans="1:35">
      <c r="A546" s="171">
        <f>IF('09월 조업일지'!A542="","",'09월 조업일지'!A542)</f>
        <v>46285</v>
      </c>
      <c r="B546" s="172" t="str">
        <f>'09월 조업일지'!E542</f>
        <v>B</v>
      </c>
      <c r="C546" s="172" t="str">
        <f>'09월 조업일지'!F542</f>
        <v>A</v>
      </c>
      <c r="D546" s="172">
        <f>'09월 화학성분'!C543</f>
        <v>85745</v>
      </c>
      <c r="E546" s="205" t="str">
        <f t="shared" si="132"/>
        <v>SS400-01</v>
      </c>
      <c r="F546" s="121">
        <v>19</v>
      </c>
      <c r="G546" s="122">
        <v>23700</v>
      </c>
      <c r="H546" s="123">
        <v>17</v>
      </c>
      <c r="I546" s="122">
        <v>20500</v>
      </c>
      <c r="J546" s="123">
        <v>11</v>
      </c>
      <c r="K546" s="122">
        <v>13900</v>
      </c>
      <c r="L546" s="353">
        <f t="shared" si="133"/>
        <v>47</v>
      </c>
      <c r="M546" s="125">
        <f t="shared" si="133"/>
        <v>58100</v>
      </c>
      <c r="N546" s="126">
        <f t="shared" si="120"/>
        <v>156.12648221343872</v>
      </c>
      <c r="O546" s="127">
        <f t="shared" si="121"/>
        <v>135.04611330698287</v>
      </c>
      <c r="P546" s="127">
        <f t="shared" si="122"/>
        <v>91.567852437417642</v>
      </c>
      <c r="Q546" s="128">
        <f t="shared" si="123"/>
        <v>382.74044795783925</v>
      </c>
      <c r="R546" s="129">
        <v>151.80000000000001</v>
      </c>
      <c r="S546" s="130">
        <v>0</v>
      </c>
      <c r="T546" s="131">
        <v>183</v>
      </c>
      <c r="U546" s="131">
        <v>202</v>
      </c>
      <c r="V546" s="132">
        <f t="shared" si="124"/>
        <v>385</v>
      </c>
      <c r="W546" s="133">
        <f t="shared" si="125"/>
        <v>2.5362318840579707</v>
      </c>
      <c r="X546" s="130">
        <v>1678</v>
      </c>
      <c r="Y546" s="131">
        <v>1712</v>
      </c>
      <c r="Z546" s="131">
        <v>775</v>
      </c>
      <c r="AA546" s="132">
        <f t="shared" si="126"/>
        <v>4165</v>
      </c>
      <c r="AB546" s="133">
        <f t="shared" si="127"/>
        <v>27.437417654808957</v>
      </c>
      <c r="AC546" s="134">
        <f t="shared" si="128"/>
        <v>4550</v>
      </c>
      <c r="AD546" s="135">
        <f t="shared" si="129"/>
        <v>29.973649538866926</v>
      </c>
      <c r="AE546" s="136">
        <v>21</v>
      </c>
      <c r="AF546" s="137">
        <v>29</v>
      </c>
      <c r="AG546" s="137">
        <v>0</v>
      </c>
      <c r="AH546" s="138">
        <f t="shared" si="130"/>
        <v>50</v>
      </c>
      <c r="AI546" s="133">
        <f t="shared" si="131"/>
        <v>0.32938076416337281</v>
      </c>
    </row>
    <row r="547" spans="1:35">
      <c r="A547" s="171">
        <f>IF('09월 조업일지'!A543="","",'09월 조업일지'!A543)</f>
        <v>46285</v>
      </c>
      <c r="B547" s="172" t="str">
        <f>'09월 조업일지'!E543</f>
        <v>B</v>
      </c>
      <c r="C547" s="172" t="str">
        <f>'09월 조업일지'!F543</f>
        <v>B</v>
      </c>
      <c r="D547" s="172">
        <f>'09월 화학성분'!C544</f>
        <v>85746</v>
      </c>
      <c r="E547" s="205" t="str">
        <f t="shared" si="132"/>
        <v>SS400-01</v>
      </c>
      <c r="F547" s="121">
        <v>20</v>
      </c>
      <c r="G547" s="122">
        <v>23700</v>
      </c>
      <c r="H547" s="123">
        <v>18</v>
      </c>
      <c r="I547" s="122">
        <v>20900</v>
      </c>
      <c r="J547" s="123">
        <v>8</v>
      </c>
      <c r="K547" s="122">
        <v>10800</v>
      </c>
      <c r="L547" s="353">
        <f t="shared" si="133"/>
        <v>46</v>
      </c>
      <c r="M547" s="125">
        <f t="shared" si="133"/>
        <v>55400</v>
      </c>
      <c r="N547" s="126">
        <f t="shared" si="120"/>
        <v>155.00327011118378</v>
      </c>
      <c r="O547" s="127">
        <f t="shared" si="121"/>
        <v>136.69064748201438</v>
      </c>
      <c r="P547" s="127">
        <f t="shared" si="122"/>
        <v>70.634401569653363</v>
      </c>
      <c r="Q547" s="128">
        <f t="shared" si="123"/>
        <v>362.32831916285159</v>
      </c>
      <c r="R547" s="129">
        <v>152.9</v>
      </c>
      <c r="S547" s="130">
        <v>0</v>
      </c>
      <c r="T547" s="131">
        <v>102</v>
      </c>
      <c r="U547" s="131">
        <v>266</v>
      </c>
      <c r="V547" s="132">
        <f t="shared" si="124"/>
        <v>368</v>
      </c>
      <c r="W547" s="133">
        <f t="shared" si="125"/>
        <v>2.4068018312622628</v>
      </c>
      <c r="X547" s="130">
        <v>1740</v>
      </c>
      <c r="Y547" s="131">
        <v>1597</v>
      </c>
      <c r="Z547" s="131">
        <v>691</v>
      </c>
      <c r="AA547" s="132">
        <f t="shared" si="126"/>
        <v>4028</v>
      </c>
      <c r="AB547" s="133">
        <f t="shared" si="127"/>
        <v>26.344015696533681</v>
      </c>
      <c r="AC547" s="134">
        <f t="shared" si="128"/>
        <v>4396</v>
      </c>
      <c r="AD547" s="135">
        <f t="shared" si="129"/>
        <v>28.750817527795945</v>
      </c>
      <c r="AE547" s="136">
        <v>25</v>
      </c>
      <c r="AF547" s="137">
        <v>22</v>
      </c>
      <c r="AG547" s="137">
        <v>0</v>
      </c>
      <c r="AH547" s="138">
        <f t="shared" si="130"/>
        <v>47</v>
      </c>
      <c r="AI547" s="133">
        <f t="shared" si="131"/>
        <v>0.30739045127534337</v>
      </c>
    </row>
    <row r="548" spans="1:35">
      <c r="A548" s="171">
        <f>IF('09월 조업일지'!A544="","",'09월 조업일지'!A544)</f>
        <v>46285</v>
      </c>
      <c r="B548" s="172" t="str">
        <f>'09월 조업일지'!E544</f>
        <v>B</v>
      </c>
      <c r="C548" s="172" t="str">
        <f>'09월 조업일지'!F544</f>
        <v>A</v>
      </c>
      <c r="D548" s="172">
        <f>'09월 화학성분'!C545</f>
        <v>85747</v>
      </c>
      <c r="E548" s="205" t="str">
        <f t="shared" si="132"/>
        <v>SS400-01</v>
      </c>
      <c r="F548" s="121">
        <v>20</v>
      </c>
      <c r="G548" s="122">
        <v>23900</v>
      </c>
      <c r="H548" s="123">
        <v>18</v>
      </c>
      <c r="I548" s="122">
        <v>20900</v>
      </c>
      <c r="J548" s="123">
        <v>8</v>
      </c>
      <c r="K548" s="122">
        <v>10400</v>
      </c>
      <c r="L548" s="353">
        <f t="shared" si="133"/>
        <v>46</v>
      </c>
      <c r="M548" s="125">
        <f t="shared" si="133"/>
        <v>55200</v>
      </c>
      <c r="N548" s="126">
        <f t="shared" si="120"/>
        <v>160.40268456375838</v>
      </c>
      <c r="O548" s="127">
        <f t="shared" si="121"/>
        <v>140.26845637583892</v>
      </c>
      <c r="P548" s="127">
        <f t="shared" si="122"/>
        <v>69.798657718120808</v>
      </c>
      <c r="Q548" s="128">
        <f t="shared" si="123"/>
        <v>370.46979865771812</v>
      </c>
      <c r="R548" s="129">
        <v>149</v>
      </c>
      <c r="S548" s="130">
        <v>0</v>
      </c>
      <c r="T548" s="131">
        <v>204</v>
      </c>
      <c r="U548" s="131">
        <v>148</v>
      </c>
      <c r="V548" s="132">
        <f t="shared" si="124"/>
        <v>352</v>
      </c>
      <c r="W548" s="133">
        <f t="shared" si="125"/>
        <v>2.3624161073825505</v>
      </c>
      <c r="X548" s="130">
        <v>1814</v>
      </c>
      <c r="Y548" s="131">
        <v>1670</v>
      </c>
      <c r="Z548" s="131">
        <v>467</v>
      </c>
      <c r="AA548" s="132">
        <f t="shared" si="126"/>
        <v>3951</v>
      </c>
      <c r="AB548" s="133">
        <f t="shared" si="127"/>
        <v>26.516778523489933</v>
      </c>
      <c r="AC548" s="134">
        <f t="shared" si="128"/>
        <v>4303</v>
      </c>
      <c r="AD548" s="135">
        <f t="shared" si="129"/>
        <v>28.879194630872483</v>
      </c>
      <c r="AE548" s="136">
        <v>23</v>
      </c>
      <c r="AF548" s="137">
        <v>29</v>
      </c>
      <c r="AG548" s="137">
        <v>0</v>
      </c>
      <c r="AH548" s="138">
        <f t="shared" si="130"/>
        <v>52</v>
      </c>
      <c r="AI548" s="133">
        <f t="shared" si="131"/>
        <v>0.34899328859060402</v>
      </c>
    </row>
    <row r="549" spans="1:35">
      <c r="A549" s="171">
        <f>IF('09월 조업일지'!A545="","",'09월 조업일지'!A545)</f>
        <v>46285</v>
      </c>
      <c r="B549" s="172" t="str">
        <f>'09월 조업일지'!E545</f>
        <v>B</v>
      </c>
      <c r="C549" s="172" t="str">
        <f>'09월 조업일지'!F545</f>
        <v>B</v>
      </c>
      <c r="D549" s="172">
        <f>'09월 화학성분'!C546</f>
        <v>85748</v>
      </c>
      <c r="E549" s="205" t="str">
        <f t="shared" si="132"/>
        <v>SS400-01</v>
      </c>
      <c r="F549" s="121">
        <v>20</v>
      </c>
      <c r="G549" s="122">
        <v>23500</v>
      </c>
      <c r="H549" s="123">
        <v>17</v>
      </c>
      <c r="I549" s="122">
        <v>20600</v>
      </c>
      <c r="J549" s="123">
        <v>10</v>
      </c>
      <c r="K549" s="122">
        <v>11800</v>
      </c>
      <c r="L549" s="353">
        <f t="shared" si="133"/>
        <v>47</v>
      </c>
      <c r="M549" s="125">
        <f t="shared" si="133"/>
        <v>55900</v>
      </c>
      <c r="N549" s="126">
        <f t="shared" si="120"/>
        <v>154.60526315789474</v>
      </c>
      <c r="O549" s="127">
        <f t="shared" si="121"/>
        <v>135.52631578947367</v>
      </c>
      <c r="P549" s="127">
        <f t="shared" si="122"/>
        <v>77.631578947368425</v>
      </c>
      <c r="Q549" s="128">
        <f t="shared" si="123"/>
        <v>367.76315789473688</v>
      </c>
      <c r="R549" s="129">
        <v>152</v>
      </c>
      <c r="S549" s="130">
        <v>0</v>
      </c>
      <c r="T549" s="131">
        <v>101</v>
      </c>
      <c r="U549" s="131">
        <v>304</v>
      </c>
      <c r="V549" s="132">
        <f t="shared" si="124"/>
        <v>405</v>
      </c>
      <c r="W549" s="133">
        <f t="shared" si="125"/>
        <v>2.6644736842105261</v>
      </c>
      <c r="X549" s="130">
        <v>1730</v>
      </c>
      <c r="Y549" s="131">
        <v>1651</v>
      </c>
      <c r="Z549" s="131">
        <v>841</v>
      </c>
      <c r="AA549" s="132">
        <f t="shared" si="126"/>
        <v>4222</v>
      </c>
      <c r="AB549" s="133">
        <f t="shared" si="127"/>
        <v>27.776315789473685</v>
      </c>
      <c r="AC549" s="134">
        <f t="shared" si="128"/>
        <v>4627</v>
      </c>
      <c r="AD549" s="135">
        <f t="shared" si="129"/>
        <v>30.440789473684209</v>
      </c>
      <c r="AE549" s="136">
        <v>25</v>
      </c>
      <c r="AF549" s="137">
        <v>23</v>
      </c>
      <c r="AG549" s="137">
        <v>0</v>
      </c>
      <c r="AH549" s="138">
        <f t="shared" si="130"/>
        <v>48</v>
      </c>
      <c r="AI549" s="133">
        <f t="shared" si="131"/>
        <v>0.31578947368421051</v>
      </c>
    </row>
    <row r="550" spans="1:35">
      <c r="A550" s="171">
        <f>IF('09월 조업일지'!A546="","",'09월 조업일지'!A546)</f>
        <v>46285</v>
      </c>
      <c r="B550" s="172" t="str">
        <f>'09월 조업일지'!E546</f>
        <v>B</v>
      </c>
      <c r="C550" s="172" t="str">
        <f>'09월 조업일지'!F546</f>
        <v>A</v>
      </c>
      <c r="D550" s="172">
        <f>'09월 화학성분'!C547</f>
        <v>85749</v>
      </c>
      <c r="E550" s="205" t="str">
        <f t="shared" si="132"/>
        <v>SS400-01</v>
      </c>
      <c r="F550" s="121">
        <v>20</v>
      </c>
      <c r="G550" s="122">
        <v>23300</v>
      </c>
      <c r="H550" s="123">
        <v>17</v>
      </c>
      <c r="I550" s="122">
        <v>20600</v>
      </c>
      <c r="J550" s="123">
        <v>8</v>
      </c>
      <c r="K550" s="122">
        <v>9800</v>
      </c>
      <c r="L550" s="353">
        <f t="shared" si="133"/>
        <v>45</v>
      </c>
      <c r="M550" s="125">
        <f t="shared" si="133"/>
        <v>53700</v>
      </c>
      <c r="N550" s="126">
        <f t="shared" si="120"/>
        <v>158.82753919563737</v>
      </c>
      <c r="O550" s="127">
        <f t="shared" si="121"/>
        <v>140.42263122017724</v>
      </c>
      <c r="P550" s="127">
        <f t="shared" si="122"/>
        <v>66.802999318336745</v>
      </c>
      <c r="Q550" s="128">
        <f t="shared" si="123"/>
        <v>366.05316973415137</v>
      </c>
      <c r="R550" s="129">
        <v>146.69999999999999</v>
      </c>
      <c r="S550" s="130">
        <v>0</v>
      </c>
      <c r="T550" s="131">
        <v>191</v>
      </c>
      <c r="U550" s="131">
        <v>146</v>
      </c>
      <c r="V550" s="132">
        <f t="shared" si="124"/>
        <v>337</v>
      </c>
      <c r="W550" s="133">
        <f t="shared" si="125"/>
        <v>2.2972051806407636</v>
      </c>
      <c r="X550" s="130">
        <v>1614</v>
      </c>
      <c r="Y550" s="131">
        <v>1613</v>
      </c>
      <c r="Z550" s="131">
        <v>530</v>
      </c>
      <c r="AA550" s="132">
        <f t="shared" si="126"/>
        <v>3757</v>
      </c>
      <c r="AB550" s="133">
        <f t="shared" si="127"/>
        <v>25.610088616223589</v>
      </c>
      <c r="AC550" s="134">
        <f t="shared" si="128"/>
        <v>4094</v>
      </c>
      <c r="AD550" s="135">
        <f t="shared" si="129"/>
        <v>27.907293796864352</v>
      </c>
      <c r="AE550" s="136">
        <v>21</v>
      </c>
      <c r="AF550" s="137">
        <v>29</v>
      </c>
      <c r="AG550" s="137">
        <v>0</v>
      </c>
      <c r="AH550" s="138">
        <f t="shared" si="130"/>
        <v>50</v>
      </c>
      <c r="AI550" s="133">
        <f t="shared" si="131"/>
        <v>0.3408316291751875</v>
      </c>
    </row>
    <row r="551" spans="1:35">
      <c r="A551" s="171">
        <f>IF('09월 조업일지'!A547="","",'09월 조업일지'!A547)</f>
        <v>46285</v>
      </c>
      <c r="B551" s="172" t="str">
        <f>'09월 조업일지'!E547</f>
        <v>D</v>
      </c>
      <c r="C551" s="172" t="str">
        <f>'09월 조업일지'!F547</f>
        <v>B</v>
      </c>
      <c r="D551" s="172">
        <f>'09월 화학성분'!C548</f>
        <v>85750</v>
      </c>
      <c r="E551" s="205" t="str">
        <f t="shared" si="132"/>
        <v>SS400-01</v>
      </c>
      <c r="F551" s="121">
        <v>21</v>
      </c>
      <c r="G551" s="122">
        <v>23300</v>
      </c>
      <c r="H551" s="123">
        <v>18</v>
      </c>
      <c r="I551" s="122">
        <v>20700</v>
      </c>
      <c r="J551" s="123">
        <v>8</v>
      </c>
      <c r="K551" s="122">
        <v>10800</v>
      </c>
      <c r="L551" s="353">
        <f t="shared" si="133"/>
        <v>47</v>
      </c>
      <c r="M551" s="125">
        <f t="shared" si="133"/>
        <v>54800</v>
      </c>
      <c r="N551" s="126">
        <f t="shared" si="120"/>
        <v>158.82753919563737</v>
      </c>
      <c r="O551" s="127">
        <f t="shared" si="121"/>
        <v>141.10429447852761</v>
      </c>
      <c r="P551" s="127">
        <f t="shared" si="122"/>
        <v>73.619631901840492</v>
      </c>
      <c r="Q551" s="128">
        <f t="shared" si="123"/>
        <v>373.55146557600546</v>
      </c>
      <c r="R551" s="129">
        <v>146.69999999999999</v>
      </c>
      <c r="S551" s="130">
        <v>0</v>
      </c>
      <c r="T551" s="131">
        <v>205</v>
      </c>
      <c r="U551" s="131">
        <v>52</v>
      </c>
      <c r="V551" s="132">
        <f t="shared" si="124"/>
        <v>257</v>
      </c>
      <c r="W551" s="133">
        <f t="shared" si="125"/>
        <v>1.7518745739604638</v>
      </c>
      <c r="X551" s="130">
        <v>1771</v>
      </c>
      <c r="Y551" s="131">
        <v>1683</v>
      </c>
      <c r="Z551" s="131">
        <v>896</v>
      </c>
      <c r="AA551" s="132">
        <f t="shared" si="126"/>
        <v>4350</v>
      </c>
      <c r="AB551" s="133">
        <f t="shared" si="127"/>
        <v>29.652351738241311</v>
      </c>
      <c r="AC551" s="134">
        <f t="shared" si="128"/>
        <v>4607</v>
      </c>
      <c r="AD551" s="135">
        <f t="shared" si="129"/>
        <v>31.404226312201775</v>
      </c>
      <c r="AE551" s="136">
        <v>25</v>
      </c>
      <c r="AF551" s="137">
        <v>26</v>
      </c>
      <c r="AG551" s="137">
        <v>0</v>
      </c>
      <c r="AH551" s="138">
        <f t="shared" si="130"/>
        <v>51</v>
      </c>
      <c r="AI551" s="133">
        <f t="shared" si="131"/>
        <v>0.34764826175869123</v>
      </c>
    </row>
    <row r="552" spans="1:35">
      <c r="A552" s="171">
        <f>IF('09월 조업일지'!A548="","",'09월 조업일지'!A548)</f>
        <v>46285</v>
      </c>
      <c r="B552" s="172" t="str">
        <f>'09월 조업일지'!E548</f>
        <v>D</v>
      </c>
      <c r="C552" s="172" t="str">
        <f>'09월 조업일지'!F548</f>
        <v>A</v>
      </c>
      <c r="D552" s="172">
        <f>'09월 화학성분'!C549</f>
        <v>85751</v>
      </c>
      <c r="E552" s="205" t="str">
        <f t="shared" si="132"/>
        <v>SS400-01</v>
      </c>
      <c r="F552" s="121">
        <v>20</v>
      </c>
      <c r="G552" s="122">
        <v>23400</v>
      </c>
      <c r="H552" s="123">
        <v>18</v>
      </c>
      <c r="I552" s="122">
        <v>20900</v>
      </c>
      <c r="J552" s="123">
        <v>10</v>
      </c>
      <c r="K552" s="122">
        <v>12700</v>
      </c>
      <c r="L552" s="353">
        <f t="shared" si="133"/>
        <v>48</v>
      </c>
      <c r="M552" s="125">
        <f t="shared" si="133"/>
        <v>57000</v>
      </c>
      <c r="N552" s="126">
        <f t="shared" si="120"/>
        <v>159.40054495912804</v>
      </c>
      <c r="O552" s="127">
        <f t="shared" si="121"/>
        <v>142.37057220708445</v>
      </c>
      <c r="P552" s="127">
        <f t="shared" si="122"/>
        <v>86.512261580381463</v>
      </c>
      <c r="Q552" s="128">
        <f t="shared" si="123"/>
        <v>388.28337874659394</v>
      </c>
      <c r="R552" s="129">
        <v>146.80000000000001</v>
      </c>
      <c r="S552" s="130">
        <v>0</v>
      </c>
      <c r="T552" s="131">
        <v>177</v>
      </c>
      <c r="U552" s="131">
        <v>201</v>
      </c>
      <c r="V552" s="132">
        <f t="shared" si="124"/>
        <v>378</v>
      </c>
      <c r="W552" s="133">
        <f t="shared" si="125"/>
        <v>2.5749318801089918</v>
      </c>
      <c r="X552" s="130">
        <v>1684</v>
      </c>
      <c r="Y552" s="131">
        <v>1687</v>
      </c>
      <c r="Z552" s="131">
        <v>761</v>
      </c>
      <c r="AA552" s="132">
        <f t="shared" si="126"/>
        <v>4132</v>
      </c>
      <c r="AB552" s="133">
        <f t="shared" si="127"/>
        <v>28.147138964577653</v>
      </c>
      <c r="AC552" s="134">
        <f t="shared" si="128"/>
        <v>4510</v>
      </c>
      <c r="AD552" s="135">
        <f t="shared" si="129"/>
        <v>30.722070844686645</v>
      </c>
      <c r="AE552" s="136">
        <v>22</v>
      </c>
      <c r="AF552" s="137">
        <v>30</v>
      </c>
      <c r="AG552" s="137">
        <v>0</v>
      </c>
      <c r="AH552" s="138">
        <f t="shared" si="130"/>
        <v>52</v>
      </c>
      <c r="AI552" s="133">
        <f t="shared" si="131"/>
        <v>0.35422343324250677</v>
      </c>
    </row>
    <row r="553" spans="1:35">
      <c r="A553" s="171">
        <f>IF('09월 조업일지'!A549="","",'09월 조업일지'!A549)</f>
        <v>46285</v>
      </c>
      <c r="B553" s="172" t="str">
        <f>'09월 조업일지'!E549</f>
        <v>D</v>
      </c>
      <c r="C553" s="172" t="str">
        <f>'09월 조업일지'!F549</f>
        <v>B</v>
      </c>
      <c r="D553" s="172">
        <f>'09월 화학성분'!C550</f>
        <v>85752</v>
      </c>
      <c r="E553" s="205" t="str">
        <f t="shared" si="132"/>
        <v>SS400-01</v>
      </c>
      <c r="F553" s="121">
        <v>20</v>
      </c>
      <c r="G553" s="122">
        <v>23700</v>
      </c>
      <c r="H553" s="123">
        <v>17</v>
      </c>
      <c r="I553" s="122">
        <v>20500</v>
      </c>
      <c r="J553" s="123">
        <v>9</v>
      </c>
      <c r="K553" s="122">
        <v>11300</v>
      </c>
      <c r="L553" s="353">
        <f t="shared" si="133"/>
        <v>46</v>
      </c>
      <c r="M553" s="125">
        <f t="shared" si="133"/>
        <v>55500</v>
      </c>
      <c r="N553" s="126">
        <f t="shared" si="120"/>
        <v>161.33424098025867</v>
      </c>
      <c r="O553" s="127">
        <f t="shared" si="121"/>
        <v>139.55071477195369</v>
      </c>
      <c r="P553" s="127">
        <f t="shared" si="122"/>
        <v>76.92307692307692</v>
      </c>
      <c r="Q553" s="128">
        <f t="shared" si="123"/>
        <v>377.80803267528927</v>
      </c>
      <c r="R553" s="129">
        <v>146.9</v>
      </c>
      <c r="S553" s="130">
        <v>0</v>
      </c>
      <c r="T553" s="131">
        <v>115</v>
      </c>
      <c r="U553" s="131">
        <v>132</v>
      </c>
      <c r="V553" s="132">
        <f t="shared" si="124"/>
        <v>247</v>
      </c>
      <c r="W553" s="133">
        <f t="shared" si="125"/>
        <v>1.6814159292035398</v>
      </c>
      <c r="X553" s="130">
        <v>1579</v>
      </c>
      <c r="Y553" s="131">
        <v>1638</v>
      </c>
      <c r="Z553" s="131">
        <v>897</v>
      </c>
      <c r="AA553" s="132">
        <f t="shared" si="126"/>
        <v>4114</v>
      </c>
      <c r="AB553" s="133">
        <f t="shared" si="127"/>
        <v>28.005445881552074</v>
      </c>
      <c r="AC553" s="134">
        <f t="shared" si="128"/>
        <v>4361</v>
      </c>
      <c r="AD553" s="135">
        <f t="shared" si="129"/>
        <v>29.686861810755616</v>
      </c>
      <c r="AE553" s="136">
        <v>25</v>
      </c>
      <c r="AF553" s="137">
        <v>25</v>
      </c>
      <c r="AG553" s="137">
        <v>0</v>
      </c>
      <c r="AH553" s="138">
        <f t="shared" si="130"/>
        <v>50</v>
      </c>
      <c r="AI553" s="133">
        <f t="shared" si="131"/>
        <v>0.34036759700476515</v>
      </c>
    </row>
    <row r="554" spans="1:35">
      <c r="A554" s="171">
        <f>IF('09월 조업일지'!A550="","",'09월 조업일지'!A550)</f>
        <v>46285</v>
      </c>
      <c r="B554" s="172" t="str">
        <f>'09월 조업일지'!E550</f>
        <v>D</v>
      </c>
      <c r="C554" s="172" t="str">
        <f>'09월 조업일지'!F550</f>
        <v>A</v>
      </c>
      <c r="D554" s="172">
        <f>'09월 화학성분'!C551</f>
        <v>85753</v>
      </c>
      <c r="E554" s="205" t="str">
        <f t="shared" si="132"/>
        <v>SS400-01</v>
      </c>
      <c r="F554" s="121">
        <v>19</v>
      </c>
      <c r="G554" s="122">
        <v>23500</v>
      </c>
      <c r="H554" s="123">
        <v>17</v>
      </c>
      <c r="I554" s="122">
        <v>20500</v>
      </c>
      <c r="J554" s="123">
        <v>7</v>
      </c>
      <c r="K554" s="122">
        <v>8200</v>
      </c>
      <c r="L554" s="353">
        <f t="shared" si="133"/>
        <v>43</v>
      </c>
      <c r="M554" s="125">
        <f t="shared" si="133"/>
        <v>52200</v>
      </c>
      <c r="N554" s="126">
        <f t="shared" si="120"/>
        <v>161.29032258064518</v>
      </c>
      <c r="O554" s="127">
        <f t="shared" si="121"/>
        <v>140.70006863417984</v>
      </c>
      <c r="P554" s="127">
        <f t="shared" si="122"/>
        <v>56.280027453671934</v>
      </c>
      <c r="Q554" s="128">
        <f t="shared" si="123"/>
        <v>358.27041866849697</v>
      </c>
      <c r="R554" s="129">
        <v>145.69999999999999</v>
      </c>
      <c r="S554" s="130">
        <v>0</v>
      </c>
      <c r="T554" s="131">
        <v>179</v>
      </c>
      <c r="U554" s="131">
        <v>297</v>
      </c>
      <c r="V554" s="132">
        <f t="shared" si="124"/>
        <v>476</v>
      </c>
      <c r="W554" s="133">
        <f t="shared" si="125"/>
        <v>3.2669869595058341</v>
      </c>
      <c r="X554" s="130">
        <v>1662</v>
      </c>
      <c r="Y554" s="131">
        <v>1588</v>
      </c>
      <c r="Z554" s="131">
        <v>899</v>
      </c>
      <c r="AA554" s="132">
        <f t="shared" si="126"/>
        <v>4149</v>
      </c>
      <c r="AB554" s="133">
        <f t="shared" si="127"/>
        <v>28.476321207961568</v>
      </c>
      <c r="AC554" s="134">
        <f t="shared" si="128"/>
        <v>4625</v>
      </c>
      <c r="AD554" s="135">
        <f t="shared" si="129"/>
        <v>31.743308167467401</v>
      </c>
      <c r="AE554" s="136">
        <v>23</v>
      </c>
      <c r="AF554" s="137">
        <v>27</v>
      </c>
      <c r="AG554" s="137">
        <v>0</v>
      </c>
      <c r="AH554" s="138">
        <f t="shared" si="130"/>
        <v>50</v>
      </c>
      <c r="AI554" s="133">
        <f t="shared" si="131"/>
        <v>0.34317089910775567</v>
      </c>
    </row>
    <row r="555" spans="1:35">
      <c r="A555" s="171">
        <f>IF('09월 조업일지'!A551="","",'09월 조업일지'!A551)</f>
        <v>46285</v>
      </c>
      <c r="B555" s="172" t="str">
        <f>'09월 조업일지'!E551</f>
        <v>D</v>
      </c>
      <c r="C555" s="172" t="str">
        <f>'09월 조업일지'!F551</f>
        <v>B</v>
      </c>
      <c r="D555" s="172">
        <f>'09월 화학성분'!C552</f>
        <v>85754</v>
      </c>
      <c r="E555" s="205" t="str">
        <f t="shared" si="132"/>
        <v>SS400-01</v>
      </c>
      <c r="F555" s="121">
        <v>18</v>
      </c>
      <c r="G555" s="122">
        <v>23500</v>
      </c>
      <c r="H555" s="123">
        <v>18</v>
      </c>
      <c r="I555" s="122">
        <v>20800</v>
      </c>
      <c r="J555" s="123">
        <v>10</v>
      </c>
      <c r="K555" s="122">
        <v>13000</v>
      </c>
      <c r="L555" s="353">
        <f t="shared" si="133"/>
        <v>46</v>
      </c>
      <c r="M555" s="125">
        <f t="shared" si="133"/>
        <v>57300</v>
      </c>
      <c r="N555" s="126">
        <f t="shared" si="120"/>
        <v>160.95890410958904</v>
      </c>
      <c r="O555" s="127">
        <f t="shared" si="121"/>
        <v>142.46575342465752</v>
      </c>
      <c r="P555" s="127">
        <f t="shared" si="122"/>
        <v>89.041095890410958</v>
      </c>
      <c r="Q555" s="128">
        <f t="shared" si="123"/>
        <v>392.46575342465746</v>
      </c>
      <c r="R555" s="129">
        <v>146</v>
      </c>
      <c r="S555" s="130">
        <v>0</v>
      </c>
      <c r="T555" s="131">
        <v>183</v>
      </c>
      <c r="U555" s="131">
        <v>168</v>
      </c>
      <c r="V555" s="132">
        <f t="shared" si="124"/>
        <v>351</v>
      </c>
      <c r="W555" s="133">
        <f t="shared" si="125"/>
        <v>2.404109589041096</v>
      </c>
      <c r="X555" s="130">
        <v>1638</v>
      </c>
      <c r="Y555" s="131">
        <v>1639</v>
      </c>
      <c r="Z555" s="131">
        <v>834</v>
      </c>
      <c r="AA555" s="132">
        <f t="shared" si="126"/>
        <v>4111</v>
      </c>
      <c r="AB555" s="133">
        <f t="shared" si="127"/>
        <v>28.157534246575342</v>
      </c>
      <c r="AC555" s="134">
        <f t="shared" si="128"/>
        <v>4462</v>
      </c>
      <c r="AD555" s="135">
        <f t="shared" si="129"/>
        <v>30.561643835616437</v>
      </c>
      <c r="AE555" s="136">
        <v>26</v>
      </c>
      <c r="AF555" s="137">
        <v>22</v>
      </c>
      <c r="AG555" s="137">
        <v>0</v>
      </c>
      <c r="AH555" s="138">
        <f t="shared" si="130"/>
        <v>48</v>
      </c>
      <c r="AI555" s="133">
        <f t="shared" si="131"/>
        <v>0.32876712328767121</v>
      </c>
    </row>
    <row r="556" spans="1:35">
      <c r="A556" s="171">
        <f>IF('09월 조업일지'!A552="","",'09월 조업일지'!A552)</f>
        <v>46285</v>
      </c>
      <c r="B556" s="172" t="str">
        <f>'09월 조업일지'!E552</f>
        <v>D</v>
      </c>
      <c r="C556" s="172" t="str">
        <f>'09월 조업일지'!F552</f>
        <v>A</v>
      </c>
      <c r="D556" s="172">
        <f>'09월 화학성분'!C553</f>
        <v>85755</v>
      </c>
      <c r="E556" s="205" t="str">
        <f t="shared" si="132"/>
        <v>SS400-01</v>
      </c>
      <c r="F556" s="121">
        <v>21</v>
      </c>
      <c r="G556" s="122">
        <v>23700</v>
      </c>
      <c r="H556" s="123">
        <v>17</v>
      </c>
      <c r="I556" s="122">
        <v>20700</v>
      </c>
      <c r="J556" s="123">
        <v>9</v>
      </c>
      <c r="K556" s="122">
        <v>11600</v>
      </c>
      <c r="L556" s="353">
        <f t="shared" si="133"/>
        <v>47</v>
      </c>
      <c r="M556" s="125">
        <f t="shared" si="133"/>
        <v>56000</v>
      </c>
      <c r="N556" s="126">
        <f t="shared" si="120"/>
        <v>162.21765913757702</v>
      </c>
      <c r="O556" s="127">
        <f t="shared" si="121"/>
        <v>141.68377823408625</v>
      </c>
      <c r="P556" s="127">
        <f t="shared" si="122"/>
        <v>79.397672826830942</v>
      </c>
      <c r="Q556" s="128">
        <f t="shared" si="123"/>
        <v>383.29911019849425</v>
      </c>
      <c r="R556" s="129">
        <v>146.1</v>
      </c>
      <c r="S556" s="130">
        <v>0</v>
      </c>
      <c r="T556" s="131">
        <v>193</v>
      </c>
      <c r="U556" s="131">
        <v>178</v>
      </c>
      <c r="V556" s="132">
        <f t="shared" si="124"/>
        <v>371</v>
      </c>
      <c r="W556" s="133">
        <f t="shared" si="125"/>
        <v>2.539356605065024</v>
      </c>
      <c r="X556" s="130">
        <v>1683</v>
      </c>
      <c r="Y556" s="131">
        <v>1617</v>
      </c>
      <c r="Z556" s="131">
        <v>835</v>
      </c>
      <c r="AA556" s="132">
        <f t="shared" si="126"/>
        <v>4135</v>
      </c>
      <c r="AB556" s="133">
        <f t="shared" si="127"/>
        <v>28.302532511978097</v>
      </c>
      <c r="AC556" s="134">
        <f t="shared" si="128"/>
        <v>4506</v>
      </c>
      <c r="AD556" s="135">
        <f t="shared" si="129"/>
        <v>30.841889117043124</v>
      </c>
      <c r="AE556" s="136">
        <v>20</v>
      </c>
      <c r="AF556" s="137">
        <v>28</v>
      </c>
      <c r="AG556" s="137">
        <v>0</v>
      </c>
      <c r="AH556" s="138">
        <f t="shared" si="130"/>
        <v>48</v>
      </c>
      <c r="AI556" s="133">
        <f t="shared" si="131"/>
        <v>0.3285420944558522</v>
      </c>
    </row>
    <row r="557" spans="1:35">
      <c r="A557" s="171">
        <f>IF('09월 조업일지'!A553="","",'09월 조업일지'!A553)</f>
        <v>46286</v>
      </c>
      <c r="B557" s="172" t="str">
        <f>'09월 조업일지'!E553</f>
        <v>D</v>
      </c>
      <c r="C557" s="172" t="str">
        <f>'09월 조업일지'!F553</f>
        <v>B</v>
      </c>
      <c r="D557" s="172">
        <f>'09월 화학성분'!C554</f>
        <v>85756</v>
      </c>
      <c r="E557" s="205" t="str">
        <f t="shared" si="132"/>
        <v>SS400-01</v>
      </c>
      <c r="F557" s="121">
        <v>19</v>
      </c>
      <c r="G557" s="122">
        <v>23400</v>
      </c>
      <c r="H557" s="123">
        <v>17</v>
      </c>
      <c r="I557" s="122">
        <v>20600</v>
      </c>
      <c r="J557" s="123">
        <v>9</v>
      </c>
      <c r="K557" s="122">
        <v>11500</v>
      </c>
      <c r="L557" s="353">
        <f t="shared" si="133"/>
        <v>45</v>
      </c>
      <c r="M557" s="125">
        <f t="shared" si="133"/>
        <v>55500</v>
      </c>
      <c r="N557" s="126">
        <f t="shared" si="120"/>
        <v>160.71428571428572</v>
      </c>
      <c r="O557" s="127">
        <f t="shared" si="121"/>
        <v>141.4835164835165</v>
      </c>
      <c r="P557" s="127">
        <f t="shared" si="122"/>
        <v>78.983516483516482</v>
      </c>
      <c r="Q557" s="128">
        <f t="shared" si="123"/>
        <v>381.18131868131871</v>
      </c>
      <c r="R557" s="129">
        <v>145.6</v>
      </c>
      <c r="S557" s="130">
        <v>0</v>
      </c>
      <c r="T557" s="131">
        <v>174</v>
      </c>
      <c r="U557" s="131">
        <v>167</v>
      </c>
      <c r="V557" s="132">
        <f t="shared" si="124"/>
        <v>341</v>
      </c>
      <c r="W557" s="133">
        <f t="shared" si="125"/>
        <v>2.3420329670329672</v>
      </c>
      <c r="X557" s="130">
        <v>1665</v>
      </c>
      <c r="Y557" s="131">
        <v>1576</v>
      </c>
      <c r="Z557" s="131">
        <v>914</v>
      </c>
      <c r="AA557" s="132">
        <f t="shared" si="126"/>
        <v>4155</v>
      </c>
      <c r="AB557" s="133">
        <f t="shared" si="127"/>
        <v>28.537087912087912</v>
      </c>
      <c r="AC557" s="134">
        <f t="shared" si="128"/>
        <v>4496</v>
      </c>
      <c r="AD557" s="135">
        <f t="shared" si="129"/>
        <v>30.87912087912088</v>
      </c>
      <c r="AE557" s="136">
        <v>26</v>
      </c>
      <c r="AF557" s="137">
        <v>24</v>
      </c>
      <c r="AG557" s="137">
        <v>0</v>
      </c>
      <c r="AH557" s="138">
        <f t="shared" si="130"/>
        <v>50</v>
      </c>
      <c r="AI557" s="133">
        <f t="shared" si="131"/>
        <v>0.34340659340659341</v>
      </c>
    </row>
    <row r="558" spans="1:35">
      <c r="A558" s="171">
        <f>IF('09월 조업일지'!A554="","",'09월 조업일지'!A554)</f>
        <v>46286</v>
      </c>
      <c r="B558" s="172" t="str">
        <f>'09월 조업일지'!E554</f>
        <v>D</v>
      </c>
      <c r="C558" s="172" t="str">
        <f>'09월 조업일지'!F554</f>
        <v>A</v>
      </c>
      <c r="D558" s="172">
        <f>'09월 화학성분'!C555</f>
        <v>85757</v>
      </c>
      <c r="E558" s="205" t="str">
        <f t="shared" si="132"/>
        <v>SS400-01</v>
      </c>
      <c r="F558" s="121">
        <v>19</v>
      </c>
      <c r="G558" s="122">
        <v>23500</v>
      </c>
      <c r="H558" s="123">
        <v>19</v>
      </c>
      <c r="I558" s="122">
        <v>21000</v>
      </c>
      <c r="J558" s="123">
        <v>8</v>
      </c>
      <c r="K558" s="122">
        <v>11300</v>
      </c>
      <c r="L558" s="353">
        <f t="shared" si="133"/>
        <v>46</v>
      </c>
      <c r="M558" s="125">
        <f t="shared" si="133"/>
        <v>55800</v>
      </c>
      <c r="N558" s="126">
        <f t="shared" si="120"/>
        <v>160.95890410958904</v>
      </c>
      <c r="O558" s="127">
        <f t="shared" si="121"/>
        <v>143.83561643835617</v>
      </c>
      <c r="P558" s="127">
        <f t="shared" si="122"/>
        <v>77.397260273972606</v>
      </c>
      <c r="Q558" s="128">
        <f t="shared" si="123"/>
        <v>382.19178082191786</v>
      </c>
      <c r="R558" s="129">
        <v>146</v>
      </c>
      <c r="S558" s="130">
        <v>0</v>
      </c>
      <c r="T558" s="131">
        <v>194</v>
      </c>
      <c r="U558" s="131">
        <v>152</v>
      </c>
      <c r="V558" s="132">
        <f t="shared" si="124"/>
        <v>346</v>
      </c>
      <c r="W558" s="133">
        <f t="shared" si="125"/>
        <v>2.3698630136986303</v>
      </c>
      <c r="X558" s="130">
        <v>1674</v>
      </c>
      <c r="Y558" s="131">
        <v>1730</v>
      </c>
      <c r="Z558" s="131">
        <v>867</v>
      </c>
      <c r="AA558" s="132">
        <f t="shared" si="126"/>
        <v>4271</v>
      </c>
      <c r="AB558" s="133">
        <f t="shared" si="127"/>
        <v>29.253424657534246</v>
      </c>
      <c r="AC558" s="134">
        <f t="shared" si="128"/>
        <v>4617</v>
      </c>
      <c r="AD558" s="135">
        <f t="shared" si="129"/>
        <v>31.623287671232877</v>
      </c>
      <c r="AE558" s="136">
        <v>22</v>
      </c>
      <c r="AF558" s="137">
        <v>29</v>
      </c>
      <c r="AG558" s="137">
        <v>0</v>
      </c>
      <c r="AH558" s="138">
        <f t="shared" si="130"/>
        <v>51</v>
      </c>
      <c r="AI558" s="133">
        <f t="shared" si="131"/>
        <v>0.34931506849315069</v>
      </c>
    </row>
    <row r="559" spans="1:35">
      <c r="A559" s="171">
        <f>IF('09월 조업일지'!A555="","",'09월 조업일지'!A555)</f>
        <v>46286</v>
      </c>
      <c r="B559" s="172" t="str">
        <f>'09월 조업일지'!E555</f>
        <v>D</v>
      </c>
      <c r="C559" s="172" t="str">
        <f>'09월 조업일지'!F555</f>
        <v>B</v>
      </c>
      <c r="D559" s="172">
        <f>'09월 화학성분'!C556</f>
        <v>85758</v>
      </c>
      <c r="E559" s="205" t="str">
        <f t="shared" si="132"/>
        <v>SS400-01</v>
      </c>
      <c r="F559" s="121">
        <v>20</v>
      </c>
      <c r="G559" s="122">
        <v>23500</v>
      </c>
      <c r="H559" s="123">
        <v>17</v>
      </c>
      <c r="I559" s="122">
        <v>20500</v>
      </c>
      <c r="J559" s="123">
        <v>8</v>
      </c>
      <c r="K559" s="122">
        <v>10000</v>
      </c>
      <c r="L559" s="353">
        <f t="shared" si="133"/>
        <v>45</v>
      </c>
      <c r="M559" s="125">
        <f t="shared" si="133"/>
        <v>54000</v>
      </c>
      <c r="N559" s="126">
        <f t="shared" si="120"/>
        <v>160.30013642564802</v>
      </c>
      <c r="O559" s="127">
        <f t="shared" si="121"/>
        <v>139.83628922237381</v>
      </c>
      <c r="P559" s="127">
        <f t="shared" si="122"/>
        <v>68.212824010914048</v>
      </c>
      <c r="Q559" s="128">
        <f t="shared" si="123"/>
        <v>368.34924965893589</v>
      </c>
      <c r="R559" s="129">
        <v>146.6</v>
      </c>
      <c r="S559" s="130">
        <v>0</v>
      </c>
      <c r="T559" s="131">
        <v>149</v>
      </c>
      <c r="U559" s="131">
        <v>183</v>
      </c>
      <c r="V559" s="132">
        <f t="shared" si="124"/>
        <v>332</v>
      </c>
      <c r="W559" s="133">
        <f t="shared" si="125"/>
        <v>2.2646657571623465</v>
      </c>
      <c r="X559" s="130">
        <v>1749</v>
      </c>
      <c r="Y559" s="131">
        <v>1718</v>
      </c>
      <c r="Z559" s="131">
        <v>795</v>
      </c>
      <c r="AA559" s="132">
        <f t="shared" si="126"/>
        <v>4262</v>
      </c>
      <c r="AB559" s="133">
        <f t="shared" si="127"/>
        <v>29.072305593451571</v>
      </c>
      <c r="AC559" s="134">
        <f t="shared" si="128"/>
        <v>4594</v>
      </c>
      <c r="AD559" s="135">
        <f t="shared" si="129"/>
        <v>31.336971350613915</v>
      </c>
      <c r="AE559" s="136">
        <v>25</v>
      </c>
      <c r="AF559" s="137">
        <v>25</v>
      </c>
      <c r="AG559" s="137">
        <v>0</v>
      </c>
      <c r="AH559" s="138">
        <f t="shared" si="130"/>
        <v>50</v>
      </c>
      <c r="AI559" s="133">
        <f t="shared" si="131"/>
        <v>0.34106412005457026</v>
      </c>
    </row>
    <row r="560" spans="1:35">
      <c r="A560" s="171">
        <f>IF('09월 조업일지'!A556="","",'09월 조업일지'!A556)</f>
        <v>46286</v>
      </c>
      <c r="B560" s="172" t="str">
        <f>'09월 조업일지'!E556</f>
        <v>D</v>
      </c>
      <c r="C560" s="172" t="str">
        <f>'09월 조업일지'!F556</f>
        <v>A</v>
      </c>
      <c r="D560" s="172">
        <f>'09월 화학성분'!C557</f>
        <v>85759</v>
      </c>
      <c r="E560" s="205" t="str">
        <f t="shared" si="132"/>
        <v>SS400-01</v>
      </c>
      <c r="F560" s="121">
        <v>20</v>
      </c>
      <c r="G560" s="122">
        <v>23400</v>
      </c>
      <c r="H560" s="123">
        <v>17</v>
      </c>
      <c r="I560" s="122">
        <v>20800</v>
      </c>
      <c r="J560" s="123">
        <v>8</v>
      </c>
      <c r="K560" s="122">
        <v>9800</v>
      </c>
      <c r="L560" s="353">
        <f t="shared" si="133"/>
        <v>45</v>
      </c>
      <c r="M560" s="125">
        <f t="shared" si="133"/>
        <v>54000</v>
      </c>
      <c r="N560" s="126">
        <f t="shared" si="120"/>
        <v>160.27397260273972</v>
      </c>
      <c r="O560" s="127">
        <f t="shared" si="121"/>
        <v>142.46575342465752</v>
      </c>
      <c r="P560" s="127">
        <f t="shared" si="122"/>
        <v>67.123287671232873</v>
      </c>
      <c r="Q560" s="128">
        <f t="shared" si="123"/>
        <v>369.86301369863008</v>
      </c>
      <c r="R560" s="129">
        <v>146</v>
      </c>
      <c r="S560" s="130">
        <v>0</v>
      </c>
      <c r="T560" s="131">
        <v>164</v>
      </c>
      <c r="U560" s="131">
        <v>165</v>
      </c>
      <c r="V560" s="132">
        <f t="shared" si="124"/>
        <v>329</v>
      </c>
      <c r="W560" s="133">
        <f t="shared" si="125"/>
        <v>2.2534246575342465</v>
      </c>
      <c r="X560" s="130">
        <v>1629</v>
      </c>
      <c r="Y560" s="131">
        <v>1596</v>
      </c>
      <c r="Z560" s="131">
        <v>749</v>
      </c>
      <c r="AA560" s="132">
        <f t="shared" si="126"/>
        <v>3974</v>
      </c>
      <c r="AB560" s="133">
        <f t="shared" si="127"/>
        <v>27.219178082191782</v>
      </c>
      <c r="AC560" s="134">
        <f t="shared" si="128"/>
        <v>4303</v>
      </c>
      <c r="AD560" s="135">
        <f t="shared" si="129"/>
        <v>29.472602739726028</v>
      </c>
      <c r="AE560" s="136">
        <v>26</v>
      </c>
      <c r="AF560" s="137">
        <v>25</v>
      </c>
      <c r="AG560" s="137">
        <v>0</v>
      </c>
      <c r="AH560" s="138">
        <f t="shared" si="130"/>
        <v>51</v>
      </c>
      <c r="AI560" s="133">
        <f t="shared" si="131"/>
        <v>0.34931506849315069</v>
      </c>
    </row>
    <row r="561" spans="1:35">
      <c r="A561" s="171">
        <f>IF('09월 조업일지'!A557="","",'09월 조업일지'!A557)</f>
        <v>46286</v>
      </c>
      <c r="B561" s="172" t="str">
        <f>'09월 조업일지'!E557</f>
        <v>A</v>
      </c>
      <c r="C561" s="172" t="str">
        <f>'09월 조업일지'!F557</f>
        <v>B</v>
      </c>
      <c r="D561" s="172">
        <f>'09월 화학성분'!C558</f>
        <v>85760</v>
      </c>
      <c r="E561" s="205" t="str">
        <f t="shared" si="132"/>
        <v>SS400-01</v>
      </c>
      <c r="F561" s="121">
        <v>22</v>
      </c>
      <c r="G561" s="122">
        <v>23900</v>
      </c>
      <c r="H561" s="123">
        <v>19</v>
      </c>
      <c r="I561" s="122">
        <v>20900</v>
      </c>
      <c r="J561" s="123">
        <v>5</v>
      </c>
      <c r="K561" s="122">
        <v>6700</v>
      </c>
      <c r="L561" s="353">
        <f t="shared" si="133"/>
        <v>46</v>
      </c>
      <c r="M561" s="125">
        <f t="shared" si="133"/>
        <v>51500</v>
      </c>
      <c r="N561" s="126">
        <f t="shared" si="120"/>
        <v>162.14382632293081</v>
      </c>
      <c r="O561" s="127">
        <f t="shared" si="121"/>
        <v>141.79104477611941</v>
      </c>
      <c r="P561" s="127">
        <f t="shared" si="122"/>
        <v>45.454545454545453</v>
      </c>
      <c r="Q561" s="128">
        <f t="shared" si="123"/>
        <v>349.38941655359565</v>
      </c>
      <c r="R561" s="129">
        <v>147.4</v>
      </c>
      <c r="S561" s="130">
        <v>0</v>
      </c>
      <c r="T561" s="131">
        <v>283</v>
      </c>
      <c r="U561" s="131">
        <v>41</v>
      </c>
      <c r="V561" s="132">
        <f t="shared" si="124"/>
        <v>324</v>
      </c>
      <c r="W561" s="133">
        <f t="shared" si="125"/>
        <v>2.1981004070556307</v>
      </c>
      <c r="X561" s="130">
        <v>1821</v>
      </c>
      <c r="Y561" s="131">
        <v>1734</v>
      </c>
      <c r="Z561" s="131">
        <v>586</v>
      </c>
      <c r="AA561" s="132">
        <f t="shared" si="126"/>
        <v>4141</v>
      </c>
      <c r="AB561" s="133">
        <f t="shared" si="127"/>
        <v>28.09362279511533</v>
      </c>
      <c r="AC561" s="134">
        <f t="shared" si="128"/>
        <v>4465</v>
      </c>
      <c r="AD561" s="135">
        <f t="shared" si="129"/>
        <v>30.291723202170964</v>
      </c>
      <c r="AE561" s="136">
        <v>23</v>
      </c>
      <c r="AF561" s="137">
        <v>25</v>
      </c>
      <c r="AG561" s="137">
        <v>0</v>
      </c>
      <c r="AH561" s="138">
        <f t="shared" si="130"/>
        <v>48</v>
      </c>
      <c r="AI561" s="133">
        <f t="shared" si="131"/>
        <v>0.32564450474898232</v>
      </c>
    </row>
    <row r="562" spans="1:35">
      <c r="A562" s="171">
        <f>IF('09월 조업일지'!A558="","",'09월 조업일지'!A558)</f>
        <v>46286</v>
      </c>
      <c r="B562" s="172" t="str">
        <f>'09월 조업일지'!E558</f>
        <v>A</v>
      </c>
      <c r="C562" s="172" t="str">
        <f>'09월 조업일지'!F558</f>
        <v>A</v>
      </c>
      <c r="D562" s="172">
        <f>'09월 화학성분'!C559</f>
        <v>85761</v>
      </c>
      <c r="E562" s="205" t="str">
        <f t="shared" si="132"/>
        <v>SS400-01</v>
      </c>
      <c r="F562" s="121">
        <v>21</v>
      </c>
      <c r="G562" s="122">
        <v>23600</v>
      </c>
      <c r="H562" s="123">
        <v>18</v>
      </c>
      <c r="I562" s="122">
        <v>21000</v>
      </c>
      <c r="J562" s="123">
        <v>6</v>
      </c>
      <c r="K562" s="122">
        <v>7400</v>
      </c>
      <c r="L562" s="353">
        <f t="shared" si="133"/>
        <v>45</v>
      </c>
      <c r="M562" s="125">
        <f t="shared" si="133"/>
        <v>52000</v>
      </c>
      <c r="N562" s="126">
        <f t="shared" si="120"/>
        <v>161.97666437886068</v>
      </c>
      <c r="O562" s="127">
        <f t="shared" si="121"/>
        <v>144.1317776252574</v>
      </c>
      <c r="P562" s="127">
        <f t="shared" si="122"/>
        <v>50.789293067947845</v>
      </c>
      <c r="Q562" s="128">
        <f t="shared" si="123"/>
        <v>356.89773507206587</v>
      </c>
      <c r="R562" s="129">
        <v>145.69999999999999</v>
      </c>
      <c r="S562" s="130">
        <v>0</v>
      </c>
      <c r="T562" s="131">
        <v>185</v>
      </c>
      <c r="U562" s="131">
        <v>140</v>
      </c>
      <c r="V562" s="132">
        <f t="shared" si="124"/>
        <v>325</v>
      </c>
      <c r="W562" s="133">
        <f t="shared" si="125"/>
        <v>2.2306108442004118</v>
      </c>
      <c r="X562" s="130">
        <v>1773</v>
      </c>
      <c r="Y562" s="131">
        <v>1691</v>
      </c>
      <c r="Z562" s="131">
        <v>695</v>
      </c>
      <c r="AA562" s="132">
        <f t="shared" si="126"/>
        <v>4159</v>
      </c>
      <c r="AB562" s="133">
        <f t="shared" si="127"/>
        <v>28.544955387783119</v>
      </c>
      <c r="AC562" s="134">
        <f t="shared" si="128"/>
        <v>4484</v>
      </c>
      <c r="AD562" s="135">
        <f t="shared" si="129"/>
        <v>30.775566231983529</v>
      </c>
      <c r="AE562" s="136">
        <v>26</v>
      </c>
      <c r="AF562" s="137">
        <v>29</v>
      </c>
      <c r="AG562" s="137">
        <v>0</v>
      </c>
      <c r="AH562" s="138">
        <f t="shared" si="130"/>
        <v>55</v>
      </c>
      <c r="AI562" s="133">
        <f t="shared" si="131"/>
        <v>0.37748798901853126</v>
      </c>
    </row>
    <row r="563" spans="1:35">
      <c r="A563" s="171">
        <f>IF('09월 조업일지'!A559="","",'09월 조업일지'!A559)</f>
        <v>46286</v>
      </c>
      <c r="B563" s="172" t="str">
        <f>'09월 조업일지'!E559</f>
        <v>A</v>
      </c>
      <c r="C563" s="172" t="str">
        <f>'09월 조업일지'!F559</f>
        <v>B</v>
      </c>
      <c r="D563" s="172">
        <f>'09월 화학성분'!C560</f>
        <v>85762</v>
      </c>
      <c r="E563" s="205" t="str">
        <f t="shared" si="132"/>
        <v>SS400-01</v>
      </c>
      <c r="F563" s="121">
        <v>20</v>
      </c>
      <c r="G563" s="122">
        <v>24000</v>
      </c>
      <c r="H563" s="123">
        <v>17</v>
      </c>
      <c r="I563" s="122">
        <v>20600</v>
      </c>
      <c r="J563" s="123">
        <v>11</v>
      </c>
      <c r="K563" s="122">
        <v>13400</v>
      </c>
      <c r="L563" s="353">
        <f t="shared" si="133"/>
        <v>48</v>
      </c>
      <c r="M563" s="125">
        <f t="shared" si="133"/>
        <v>58000</v>
      </c>
      <c r="N563" s="126">
        <f t="shared" si="120"/>
        <v>163.82252559726962</v>
      </c>
      <c r="O563" s="127">
        <f t="shared" si="121"/>
        <v>140.61433447098977</v>
      </c>
      <c r="P563" s="127">
        <f t="shared" si="122"/>
        <v>91.467576791808867</v>
      </c>
      <c r="Q563" s="128">
        <f t="shared" si="123"/>
        <v>395.9044368600683</v>
      </c>
      <c r="R563" s="129">
        <v>146.5</v>
      </c>
      <c r="S563" s="130">
        <v>0</v>
      </c>
      <c r="T563" s="131">
        <v>165</v>
      </c>
      <c r="U563" s="131">
        <v>152</v>
      </c>
      <c r="V563" s="132">
        <f t="shared" si="124"/>
        <v>317</v>
      </c>
      <c r="W563" s="133">
        <f t="shared" si="125"/>
        <v>2.1638225255972698</v>
      </c>
      <c r="X563" s="130">
        <v>1800</v>
      </c>
      <c r="Y563" s="131">
        <v>1617</v>
      </c>
      <c r="Z563" s="131">
        <v>1162</v>
      </c>
      <c r="AA563" s="132">
        <f t="shared" si="126"/>
        <v>4579</v>
      </c>
      <c r="AB563" s="133">
        <f t="shared" si="127"/>
        <v>31.255972696245735</v>
      </c>
      <c r="AC563" s="134">
        <f t="shared" si="128"/>
        <v>4896</v>
      </c>
      <c r="AD563" s="135">
        <f t="shared" si="129"/>
        <v>33.419795221843003</v>
      </c>
      <c r="AE563" s="136">
        <v>23</v>
      </c>
      <c r="AF563" s="137">
        <v>25</v>
      </c>
      <c r="AG563" s="137">
        <v>0</v>
      </c>
      <c r="AH563" s="138">
        <f t="shared" si="130"/>
        <v>48</v>
      </c>
      <c r="AI563" s="133">
        <f t="shared" si="131"/>
        <v>0.32764505119453924</v>
      </c>
    </row>
    <row r="564" spans="1:35">
      <c r="A564" s="171">
        <f>IF('09월 조업일지'!A560="","",'09월 조업일지'!A560)</f>
        <v>46286</v>
      </c>
      <c r="B564" s="172" t="str">
        <f>'09월 조업일지'!E560</f>
        <v>A</v>
      </c>
      <c r="C564" s="172" t="str">
        <f>'09월 조업일지'!F560</f>
        <v>A</v>
      </c>
      <c r="D564" s="172">
        <f>'09월 화학성분'!C561</f>
        <v>85763</v>
      </c>
      <c r="E564" s="205" t="str">
        <f t="shared" si="132"/>
        <v>SS400-01</v>
      </c>
      <c r="F564" s="121">
        <v>19</v>
      </c>
      <c r="G564" s="122">
        <v>23400</v>
      </c>
      <c r="H564" s="123">
        <v>18</v>
      </c>
      <c r="I564" s="122">
        <v>20700</v>
      </c>
      <c r="J564" s="123">
        <v>7</v>
      </c>
      <c r="K564" s="122">
        <v>8900</v>
      </c>
      <c r="L564" s="353">
        <f t="shared" si="133"/>
        <v>44</v>
      </c>
      <c r="M564" s="125">
        <f t="shared" si="133"/>
        <v>53000</v>
      </c>
      <c r="N564" s="126">
        <f t="shared" si="120"/>
        <v>158.64406779661016</v>
      </c>
      <c r="O564" s="127">
        <f t="shared" si="121"/>
        <v>140.33898305084745</v>
      </c>
      <c r="P564" s="127">
        <f t="shared" si="122"/>
        <v>60.33898305084746</v>
      </c>
      <c r="Q564" s="128">
        <f t="shared" si="123"/>
        <v>359.32203389830505</v>
      </c>
      <c r="R564" s="129">
        <v>147.5</v>
      </c>
      <c r="S564" s="130">
        <v>0</v>
      </c>
      <c r="T564" s="131">
        <v>190</v>
      </c>
      <c r="U564" s="131">
        <v>118</v>
      </c>
      <c r="V564" s="132">
        <f t="shared" si="124"/>
        <v>308</v>
      </c>
      <c r="W564" s="133">
        <f t="shared" si="125"/>
        <v>2.0881355932203389</v>
      </c>
      <c r="X564" s="130">
        <v>1691</v>
      </c>
      <c r="Y564" s="131">
        <v>1671</v>
      </c>
      <c r="Z564" s="131">
        <v>860</v>
      </c>
      <c r="AA564" s="132">
        <f t="shared" si="126"/>
        <v>4222</v>
      </c>
      <c r="AB564" s="133">
        <f t="shared" si="127"/>
        <v>28.623728813559321</v>
      </c>
      <c r="AC564" s="134">
        <f t="shared" si="128"/>
        <v>4530</v>
      </c>
      <c r="AD564" s="135">
        <f t="shared" si="129"/>
        <v>30.711864406779661</v>
      </c>
      <c r="AE564" s="136">
        <v>21</v>
      </c>
      <c r="AF564" s="137">
        <v>30</v>
      </c>
      <c r="AG564" s="137">
        <v>0</v>
      </c>
      <c r="AH564" s="138">
        <f t="shared" si="130"/>
        <v>51</v>
      </c>
      <c r="AI564" s="133">
        <f t="shared" si="131"/>
        <v>0.34576271186440677</v>
      </c>
    </row>
    <row r="565" spans="1:35">
      <c r="A565" s="171">
        <f>IF('09월 조업일지'!A561="","",'09월 조업일지'!A561)</f>
        <v>46286</v>
      </c>
      <c r="B565" s="172" t="str">
        <f>'09월 조업일지'!E561</f>
        <v>A</v>
      </c>
      <c r="C565" s="172" t="str">
        <f>'09월 조업일지'!F561</f>
        <v>B</v>
      </c>
      <c r="D565" s="172">
        <f>'09월 화학성분'!C562</f>
        <v>85764</v>
      </c>
      <c r="E565" s="205" t="str">
        <f t="shared" si="132"/>
        <v>SS400-01</v>
      </c>
      <c r="F565" s="121">
        <v>21</v>
      </c>
      <c r="G565" s="122">
        <v>23700</v>
      </c>
      <c r="H565" s="123">
        <v>17</v>
      </c>
      <c r="I565" s="122">
        <v>20900</v>
      </c>
      <c r="J565" s="123">
        <v>6</v>
      </c>
      <c r="K565" s="122">
        <v>8400</v>
      </c>
      <c r="L565" s="353">
        <f t="shared" si="133"/>
        <v>44</v>
      </c>
      <c r="M565" s="125">
        <f t="shared" si="133"/>
        <v>53000</v>
      </c>
      <c r="N565" s="126">
        <f t="shared" si="120"/>
        <v>162.6630061770762</v>
      </c>
      <c r="O565" s="127">
        <f t="shared" si="121"/>
        <v>143.44543582704188</v>
      </c>
      <c r="P565" s="127">
        <f t="shared" si="122"/>
        <v>57.652711050102958</v>
      </c>
      <c r="Q565" s="128">
        <f t="shared" si="123"/>
        <v>363.76115305422098</v>
      </c>
      <c r="R565" s="129">
        <v>145.69999999999999</v>
      </c>
      <c r="S565" s="130">
        <v>0</v>
      </c>
      <c r="T565" s="131">
        <v>162</v>
      </c>
      <c r="U565" s="131">
        <v>151</v>
      </c>
      <c r="V565" s="132">
        <f t="shared" si="124"/>
        <v>313</v>
      </c>
      <c r="W565" s="133">
        <f t="shared" si="125"/>
        <v>2.1482498284145506</v>
      </c>
      <c r="X565" s="130">
        <v>1700</v>
      </c>
      <c r="Y565" s="131">
        <v>1621</v>
      </c>
      <c r="Z565" s="131">
        <v>678</v>
      </c>
      <c r="AA565" s="132">
        <f t="shared" si="126"/>
        <v>3999</v>
      </c>
      <c r="AB565" s="133">
        <f t="shared" si="127"/>
        <v>27.446808510638299</v>
      </c>
      <c r="AC565" s="134">
        <f t="shared" si="128"/>
        <v>4312</v>
      </c>
      <c r="AD565" s="135">
        <f t="shared" si="129"/>
        <v>29.595058339052851</v>
      </c>
      <c r="AE565" s="136">
        <v>25</v>
      </c>
      <c r="AF565" s="137">
        <v>23</v>
      </c>
      <c r="AG565" s="137">
        <v>0</v>
      </c>
      <c r="AH565" s="138">
        <f t="shared" si="130"/>
        <v>48</v>
      </c>
      <c r="AI565" s="133">
        <f t="shared" si="131"/>
        <v>0.32944406314344549</v>
      </c>
    </row>
    <row r="566" spans="1:35">
      <c r="A566" s="171">
        <f>IF('09월 조업일지'!A562="","",'09월 조업일지'!A562)</f>
        <v>46286</v>
      </c>
      <c r="B566" s="172" t="str">
        <f>'09월 조업일지'!E562</f>
        <v>A</v>
      </c>
      <c r="C566" s="172" t="str">
        <f>'09월 조업일지'!F562</f>
        <v>A</v>
      </c>
      <c r="D566" s="172">
        <f>'09월 화학성분'!C563</f>
        <v>85765</v>
      </c>
      <c r="E566" s="205" t="str">
        <f t="shared" si="132"/>
        <v>SS400-01</v>
      </c>
      <c r="F566" s="121">
        <v>20</v>
      </c>
      <c r="G566" s="122">
        <v>23400</v>
      </c>
      <c r="H566" s="123">
        <v>16</v>
      </c>
      <c r="I566" s="122">
        <v>20600</v>
      </c>
      <c r="J566" s="123">
        <v>7</v>
      </c>
      <c r="K566" s="122">
        <v>9100</v>
      </c>
      <c r="L566" s="353">
        <f t="shared" si="133"/>
        <v>43</v>
      </c>
      <c r="M566" s="125">
        <f t="shared" si="133"/>
        <v>53100</v>
      </c>
      <c r="N566" s="126">
        <f t="shared" si="120"/>
        <v>161.82572614107883</v>
      </c>
      <c r="O566" s="127">
        <f t="shared" si="121"/>
        <v>142.46196403872753</v>
      </c>
      <c r="P566" s="127">
        <f t="shared" si="122"/>
        <v>62.932226832641774</v>
      </c>
      <c r="Q566" s="128">
        <f t="shared" si="123"/>
        <v>367.21991701244815</v>
      </c>
      <c r="R566" s="129">
        <v>144.6</v>
      </c>
      <c r="S566" s="130">
        <v>0</v>
      </c>
      <c r="T566" s="131">
        <v>81</v>
      </c>
      <c r="U566" s="131">
        <v>253</v>
      </c>
      <c r="V566" s="132">
        <f t="shared" si="124"/>
        <v>334</v>
      </c>
      <c r="W566" s="133">
        <f t="shared" si="125"/>
        <v>2.3098201936376213</v>
      </c>
      <c r="X566" s="130">
        <v>1683</v>
      </c>
      <c r="Y566" s="131">
        <v>1613</v>
      </c>
      <c r="Z566" s="131">
        <v>737</v>
      </c>
      <c r="AA566" s="132">
        <f t="shared" si="126"/>
        <v>4033</v>
      </c>
      <c r="AB566" s="133">
        <f t="shared" si="127"/>
        <v>27.890733056708161</v>
      </c>
      <c r="AC566" s="134">
        <f t="shared" si="128"/>
        <v>4367</v>
      </c>
      <c r="AD566" s="135">
        <f t="shared" si="129"/>
        <v>30.200553250345784</v>
      </c>
      <c r="AE566" s="136">
        <v>24</v>
      </c>
      <c r="AF566" s="137">
        <v>27</v>
      </c>
      <c r="AG566" s="137">
        <v>0</v>
      </c>
      <c r="AH566" s="138">
        <f t="shared" si="130"/>
        <v>51</v>
      </c>
      <c r="AI566" s="133">
        <f t="shared" si="131"/>
        <v>0.35269709543568467</v>
      </c>
    </row>
    <row r="567" spans="1:35">
      <c r="A567" s="171">
        <f>IF('09월 조업일지'!A563="","",'09월 조업일지'!A563)</f>
        <v>46286</v>
      </c>
      <c r="B567" s="172" t="str">
        <f>'09월 조업일지'!E563</f>
        <v>A</v>
      </c>
      <c r="C567" s="172" t="str">
        <f>'09월 조업일지'!F563</f>
        <v>B</v>
      </c>
      <c r="D567" s="172">
        <f>'09월 화학성분'!C564</f>
        <v>85766</v>
      </c>
      <c r="E567" s="205" t="str">
        <f t="shared" si="132"/>
        <v>SS400-01</v>
      </c>
      <c r="F567" s="121">
        <v>20</v>
      </c>
      <c r="G567" s="122">
        <v>23700</v>
      </c>
      <c r="H567" s="123">
        <v>16</v>
      </c>
      <c r="I567" s="122">
        <v>20700</v>
      </c>
      <c r="J567" s="123">
        <v>8</v>
      </c>
      <c r="K567" s="122">
        <v>10300</v>
      </c>
      <c r="L567" s="353">
        <f t="shared" si="133"/>
        <v>44</v>
      </c>
      <c r="M567" s="125">
        <f t="shared" si="133"/>
        <v>54700</v>
      </c>
      <c r="N567" s="126">
        <f t="shared" si="120"/>
        <v>159.81119352663518</v>
      </c>
      <c r="O567" s="127">
        <f t="shared" si="121"/>
        <v>139.58192852326366</v>
      </c>
      <c r="P567" s="127">
        <f t="shared" si="122"/>
        <v>69.45380984490896</v>
      </c>
      <c r="Q567" s="128">
        <f t="shared" si="123"/>
        <v>368.84693189480777</v>
      </c>
      <c r="R567" s="129">
        <v>148.30000000000001</v>
      </c>
      <c r="S567" s="130">
        <v>0</v>
      </c>
      <c r="T567" s="131">
        <v>137</v>
      </c>
      <c r="U567" s="131">
        <v>181</v>
      </c>
      <c r="V567" s="132">
        <f t="shared" si="124"/>
        <v>318</v>
      </c>
      <c r="W567" s="133">
        <f t="shared" si="125"/>
        <v>2.1443020903573835</v>
      </c>
      <c r="X567" s="130">
        <v>1702</v>
      </c>
      <c r="Y567" s="131">
        <v>1573</v>
      </c>
      <c r="Z567" s="131">
        <v>872</v>
      </c>
      <c r="AA567" s="132">
        <f t="shared" si="126"/>
        <v>4147</v>
      </c>
      <c r="AB567" s="133">
        <f t="shared" si="127"/>
        <v>27.963587322993931</v>
      </c>
      <c r="AC567" s="134">
        <f t="shared" si="128"/>
        <v>4465</v>
      </c>
      <c r="AD567" s="135">
        <f t="shared" si="129"/>
        <v>30.107889413351312</v>
      </c>
      <c r="AE567" s="136">
        <v>25</v>
      </c>
      <c r="AF567" s="137">
        <v>23</v>
      </c>
      <c r="AG567" s="137">
        <v>0</v>
      </c>
      <c r="AH567" s="138">
        <f t="shared" si="130"/>
        <v>48</v>
      </c>
      <c r="AI567" s="133">
        <f t="shared" si="131"/>
        <v>0.32366824005394468</v>
      </c>
    </row>
    <row r="568" spans="1:35">
      <c r="A568" s="171">
        <f>IF('09월 조업일지'!A564="","",'09월 조업일지'!A564)</f>
        <v>46286</v>
      </c>
      <c r="B568" s="172" t="str">
        <f>'09월 조업일지'!E564</f>
        <v>A</v>
      </c>
      <c r="C568" s="172" t="str">
        <f>'09월 조업일지'!F564</f>
        <v>A</v>
      </c>
      <c r="D568" s="172">
        <f>'09월 화학성분'!C565</f>
        <v>85767</v>
      </c>
      <c r="E568" s="205" t="str">
        <f t="shared" si="132"/>
        <v>SS400-01</v>
      </c>
      <c r="F568" s="121">
        <v>20</v>
      </c>
      <c r="G568" s="122">
        <v>23500</v>
      </c>
      <c r="H568" s="123">
        <v>18</v>
      </c>
      <c r="I568" s="122">
        <v>20900</v>
      </c>
      <c r="J568" s="123">
        <v>7</v>
      </c>
      <c r="K568" s="122">
        <v>9300</v>
      </c>
      <c r="L568" s="353">
        <f t="shared" si="133"/>
        <v>45</v>
      </c>
      <c r="M568" s="125">
        <f t="shared" si="133"/>
        <v>53700</v>
      </c>
      <c r="N568" s="126">
        <f t="shared" si="120"/>
        <v>159.64673913043478</v>
      </c>
      <c r="O568" s="127">
        <f t="shared" si="121"/>
        <v>141.98369565217394</v>
      </c>
      <c r="P568" s="127">
        <f t="shared" si="122"/>
        <v>63.179347826086961</v>
      </c>
      <c r="Q568" s="128">
        <f t="shared" si="123"/>
        <v>364.80978260869568</v>
      </c>
      <c r="R568" s="129">
        <v>147.19999999999999</v>
      </c>
      <c r="S568" s="130">
        <v>0</v>
      </c>
      <c r="T568" s="131">
        <v>237</v>
      </c>
      <c r="U568" s="131">
        <v>69</v>
      </c>
      <c r="V568" s="132">
        <f t="shared" si="124"/>
        <v>306</v>
      </c>
      <c r="W568" s="133">
        <f t="shared" si="125"/>
        <v>2.0788043478260869</v>
      </c>
      <c r="X568" s="130">
        <v>1815</v>
      </c>
      <c r="Y568" s="131">
        <v>1642</v>
      </c>
      <c r="Z568" s="131">
        <v>744</v>
      </c>
      <c r="AA568" s="132">
        <f t="shared" si="126"/>
        <v>4201</v>
      </c>
      <c r="AB568" s="133">
        <f t="shared" si="127"/>
        <v>28.539402173913047</v>
      </c>
      <c r="AC568" s="134">
        <f t="shared" si="128"/>
        <v>4507</v>
      </c>
      <c r="AD568" s="135">
        <f t="shared" si="129"/>
        <v>30.618206521739133</v>
      </c>
      <c r="AE568" s="136">
        <v>24</v>
      </c>
      <c r="AF568" s="137">
        <v>28</v>
      </c>
      <c r="AG568" s="137">
        <v>0</v>
      </c>
      <c r="AH568" s="138">
        <f t="shared" si="130"/>
        <v>52</v>
      </c>
      <c r="AI568" s="133">
        <f t="shared" si="131"/>
        <v>0.35326086956521741</v>
      </c>
    </row>
    <row r="569" spans="1:35">
      <c r="A569" s="171">
        <f>IF('09월 조업일지'!A565="","",'09월 조업일지'!A565)</f>
        <v>46286</v>
      </c>
      <c r="B569" s="172" t="str">
        <f>'09월 조업일지'!E565</f>
        <v>A</v>
      </c>
      <c r="C569" s="172" t="str">
        <f>'09월 조업일지'!F565</f>
        <v>B</v>
      </c>
      <c r="D569" s="172">
        <f>'09월 화학성분'!C566</f>
        <v>85768</v>
      </c>
      <c r="E569" s="205" t="str">
        <f t="shared" si="132"/>
        <v>SS400-01</v>
      </c>
      <c r="F569" s="121">
        <v>19</v>
      </c>
      <c r="G569" s="122">
        <v>22500</v>
      </c>
      <c r="H569" s="123">
        <v>18</v>
      </c>
      <c r="I569" s="122">
        <v>20700</v>
      </c>
      <c r="J569" s="123">
        <v>10</v>
      </c>
      <c r="K569" s="122">
        <v>12800</v>
      </c>
      <c r="L569" s="353">
        <f t="shared" si="133"/>
        <v>47</v>
      </c>
      <c r="M569" s="125">
        <f t="shared" si="133"/>
        <v>56000</v>
      </c>
      <c r="N569" s="126">
        <f t="shared" si="120"/>
        <v>151.92437542201216</v>
      </c>
      <c r="O569" s="127">
        <f t="shared" si="121"/>
        <v>139.7704253882512</v>
      </c>
      <c r="P569" s="127">
        <f t="shared" si="122"/>
        <v>86.428089128966917</v>
      </c>
      <c r="Q569" s="128">
        <f t="shared" si="123"/>
        <v>378.12288993923028</v>
      </c>
      <c r="R569" s="129">
        <v>148.1</v>
      </c>
      <c r="S569" s="130">
        <v>0</v>
      </c>
      <c r="T569" s="131">
        <v>83</v>
      </c>
      <c r="U569" s="131">
        <v>237</v>
      </c>
      <c r="V569" s="132">
        <f t="shared" si="124"/>
        <v>320</v>
      </c>
      <c r="W569" s="133">
        <f t="shared" si="125"/>
        <v>2.160702228224173</v>
      </c>
      <c r="X569" s="130">
        <v>1534</v>
      </c>
      <c r="Y569" s="131">
        <v>1727</v>
      </c>
      <c r="Z569" s="131">
        <v>1184</v>
      </c>
      <c r="AA569" s="132">
        <f t="shared" si="126"/>
        <v>4445</v>
      </c>
      <c r="AB569" s="133">
        <f t="shared" si="127"/>
        <v>30.013504388926403</v>
      </c>
      <c r="AC569" s="134">
        <f t="shared" si="128"/>
        <v>4765</v>
      </c>
      <c r="AD569" s="135">
        <f t="shared" si="129"/>
        <v>32.174206617150574</v>
      </c>
      <c r="AE569" s="136">
        <v>24</v>
      </c>
      <c r="AF569" s="137">
        <v>25</v>
      </c>
      <c r="AG569" s="137">
        <v>0</v>
      </c>
      <c r="AH569" s="138">
        <f t="shared" si="130"/>
        <v>49</v>
      </c>
      <c r="AI569" s="133">
        <f t="shared" si="131"/>
        <v>0.3308575286968265</v>
      </c>
    </row>
    <row r="570" spans="1:35">
      <c r="A570" s="171">
        <f>IF('09월 조업일지'!A566="","",'09월 조업일지'!A566)</f>
        <v>46286</v>
      </c>
      <c r="B570" s="172" t="str">
        <f>'09월 조업일지'!E566</f>
        <v>A</v>
      </c>
      <c r="C570" s="172" t="str">
        <f>'09월 조업일지'!F566</f>
        <v>A</v>
      </c>
      <c r="D570" s="172">
        <f>'09월 화학성분'!C567</f>
        <v>85769</v>
      </c>
      <c r="E570" s="205" t="str">
        <f t="shared" si="132"/>
        <v/>
      </c>
      <c r="F570" s="121"/>
      <c r="G570" s="122"/>
      <c r="H570" s="123"/>
      <c r="I570" s="122"/>
      <c r="J570" s="123"/>
      <c r="K570" s="122"/>
      <c r="L570" s="124" t="str">
        <f t="shared" si="133"/>
        <v/>
      </c>
      <c r="M570" s="125" t="str">
        <f t="shared" si="133"/>
        <v/>
      </c>
      <c r="N570" s="126" t="str">
        <f t="shared" si="120"/>
        <v/>
      </c>
      <c r="O570" s="127" t="str">
        <f t="shared" si="121"/>
        <v/>
      </c>
      <c r="P570" s="127" t="str">
        <f t="shared" si="122"/>
        <v/>
      </c>
      <c r="Q570" s="128" t="str">
        <f t="shared" si="123"/>
        <v/>
      </c>
      <c r="R570" s="129"/>
      <c r="S570" s="130"/>
      <c r="T570" s="131"/>
      <c r="U570" s="131"/>
      <c r="V570" s="132" t="str">
        <f t="shared" si="124"/>
        <v/>
      </c>
      <c r="W570" s="133" t="str">
        <f t="shared" si="125"/>
        <v/>
      </c>
      <c r="X570" s="130"/>
      <c r="Y570" s="131"/>
      <c r="Z570" s="131"/>
      <c r="AA570" s="132" t="str">
        <f t="shared" si="126"/>
        <v/>
      </c>
      <c r="AB570" s="133" t="str">
        <f t="shared" si="127"/>
        <v/>
      </c>
      <c r="AC570" s="134" t="str">
        <f t="shared" si="128"/>
        <v/>
      </c>
      <c r="AD570" s="135" t="str">
        <f t="shared" si="129"/>
        <v/>
      </c>
      <c r="AE570" s="136"/>
      <c r="AF570" s="137"/>
      <c r="AG570" s="137"/>
      <c r="AH570" s="138" t="str">
        <f t="shared" si="130"/>
        <v/>
      </c>
      <c r="AI570" s="133" t="str">
        <f t="shared" si="131"/>
        <v/>
      </c>
    </row>
    <row r="571" spans="1:35">
      <c r="A571" s="171">
        <f>IF('09월 조업일지'!A567="","",'09월 조업일지'!A567)</f>
        <v>46286</v>
      </c>
      <c r="B571" s="172" t="str">
        <f>'09월 조업일지'!E567</f>
        <v>A</v>
      </c>
      <c r="C571" s="172" t="str">
        <f>'09월 조업일지'!F567</f>
        <v>B</v>
      </c>
      <c r="D571" s="172">
        <f>'09월 화학성분'!C568</f>
        <v>85770</v>
      </c>
      <c r="E571" s="205" t="str">
        <f t="shared" si="132"/>
        <v/>
      </c>
      <c r="F571" s="121"/>
      <c r="G571" s="122"/>
      <c r="H571" s="123"/>
      <c r="I571" s="122"/>
      <c r="J571" s="123"/>
      <c r="K571" s="122"/>
      <c r="L571" s="124" t="str">
        <f t="shared" si="133"/>
        <v/>
      </c>
      <c r="M571" s="125" t="str">
        <f t="shared" si="133"/>
        <v/>
      </c>
      <c r="N571" s="126" t="str">
        <f t="shared" si="120"/>
        <v/>
      </c>
      <c r="O571" s="127" t="str">
        <f t="shared" si="121"/>
        <v/>
      </c>
      <c r="P571" s="127" t="str">
        <f t="shared" si="122"/>
        <v/>
      </c>
      <c r="Q571" s="128" t="str">
        <f t="shared" si="123"/>
        <v/>
      </c>
      <c r="R571" s="129"/>
      <c r="S571" s="130"/>
      <c r="T571" s="131"/>
      <c r="U571" s="131"/>
      <c r="V571" s="132" t="str">
        <f t="shared" si="124"/>
        <v/>
      </c>
      <c r="W571" s="133" t="str">
        <f t="shared" si="125"/>
        <v/>
      </c>
      <c r="X571" s="130"/>
      <c r="Y571" s="131"/>
      <c r="Z571" s="131"/>
      <c r="AA571" s="132" t="str">
        <f t="shared" si="126"/>
        <v/>
      </c>
      <c r="AB571" s="133" t="str">
        <f t="shared" si="127"/>
        <v/>
      </c>
      <c r="AC571" s="134" t="str">
        <f t="shared" si="128"/>
        <v/>
      </c>
      <c r="AD571" s="135" t="str">
        <f t="shared" si="129"/>
        <v/>
      </c>
      <c r="AE571" s="136"/>
      <c r="AF571" s="137"/>
      <c r="AG571" s="137"/>
      <c r="AH571" s="138" t="str">
        <f t="shared" si="130"/>
        <v/>
      </c>
      <c r="AI571" s="133" t="str">
        <f t="shared" si="131"/>
        <v/>
      </c>
    </row>
    <row r="572" spans="1:35">
      <c r="A572" s="171">
        <f>IF('09월 조업일지'!A568="","",'09월 조업일지'!A568)</f>
        <v>46286</v>
      </c>
      <c r="B572" s="172" t="str">
        <f>'09월 조업일지'!E568</f>
        <v>C</v>
      </c>
      <c r="C572" s="172" t="str">
        <f>'09월 조업일지'!F568</f>
        <v>A</v>
      </c>
      <c r="D572" s="172">
        <f>'09월 화학성분'!C569</f>
        <v>85771</v>
      </c>
      <c r="E572" s="205" t="str">
        <f t="shared" si="132"/>
        <v/>
      </c>
      <c r="F572" s="121"/>
      <c r="G572" s="122"/>
      <c r="H572" s="123"/>
      <c r="I572" s="122"/>
      <c r="J572" s="123"/>
      <c r="K572" s="122"/>
      <c r="L572" s="124" t="str">
        <f t="shared" si="133"/>
        <v/>
      </c>
      <c r="M572" s="125" t="str">
        <f t="shared" si="133"/>
        <v/>
      </c>
      <c r="N572" s="126" t="str">
        <f t="shared" si="120"/>
        <v/>
      </c>
      <c r="O572" s="127" t="str">
        <f t="shared" si="121"/>
        <v/>
      </c>
      <c r="P572" s="127" t="str">
        <f t="shared" si="122"/>
        <v/>
      </c>
      <c r="Q572" s="128" t="str">
        <f t="shared" si="123"/>
        <v/>
      </c>
      <c r="R572" s="129"/>
      <c r="S572" s="130"/>
      <c r="T572" s="131"/>
      <c r="U572" s="131"/>
      <c r="V572" s="132" t="str">
        <f t="shared" si="124"/>
        <v/>
      </c>
      <c r="W572" s="133" t="str">
        <f t="shared" si="125"/>
        <v/>
      </c>
      <c r="X572" s="130"/>
      <c r="Y572" s="131"/>
      <c r="Z572" s="131"/>
      <c r="AA572" s="132" t="str">
        <f t="shared" si="126"/>
        <v/>
      </c>
      <c r="AB572" s="133" t="str">
        <f t="shared" si="127"/>
        <v/>
      </c>
      <c r="AC572" s="134" t="str">
        <f t="shared" si="128"/>
        <v/>
      </c>
      <c r="AD572" s="135" t="str">
        <f t="shared" si="129"/>
        <v/>
      </c>
      <c r="AE572" s="136"/>
      <c r="AF572" s="137"/>
      <c r="AG572" s="137"/>
      <c r="AH572" s="138" t="str">
        <f t="shared" si="130"/>
        <v/>
      </c>
      <c r="AI572" s="133" t="str">
        <f t="shared" si="131"/>
        <v/>
      </c>
    </row>
    <row r="573" spans="1:35" ht="13.5" customHeight="1">
      <c r="A573" s="171"/>
      <c r="B573" s="172"/>
      <c r="C573" s="172"/>
      <c r="D573" s="172"/>
      <c r="E573" s="1288" t="s">
        <v>345</v>
      </c>
      <c r="F573" s="1291" t="s">
        <v>351</v>
      </c>
      <c r="G573" s="1292"/>
      <c r="H573" s="123"/>
      <c r="I573" s="122"/>
      <c r="J573" s="123"/>
      <c r="K573" s="122"/>
      <c r="L573" s="124"/>
      <c r="M573" s="125"/>
      <c r="N573" s="126"/>
      <c r="O573" s="127"/>
      <c r="P573" s="127"/>
      <c r="Q573" s="128"/>
      <c r="R573" s="129"/>
      <c r="S573" s="130"/>
      <c r="T573" s="131"/>
      <c r="U573" s="131"/>
      <c r="V573" s="132"/>
      <c r="W573" s="133"/>
      <c r="X573" s="130"/>
      <c r="Y573" s="131"/>
      <c r="Z573" s="131"/>
      <c r="AA573" s="132"/>
      <c r="AB573" s="133"/>
      <c r="AC573" s="134"/>
      <c r="AD573" s="135"/>
      <c r="AE573" s="136"/>
      <c r="AF573" s="137"/>
      <c r="AG573" s="137"/>
      <c r="AH573" s="138"/>
      <c r="AI573" s="133"/>
    </row>
    <row r="574" spans="1:35">
      <c r="A574" s="171">
        <f>IF('09월 조업일지'!A569="","",'09월 조업일지'!A569)</f>
        <v>46286</v>
      </c>
      <c r="B574" s="172" t="str">
        <f>'09월 조업일지'!E569</f>
        <v>C</v>
      </c>
      <c r="C574" s="172" t="str">
        <f>'09월 조업일지'!F569</f>
        <v>B</v>
      </c>
      <c r="D574" s="172">
        <f>'09월 화학성분'!C570</f>
        <v>85772</v>
      </c>
      <c r="E574" s="1289"/>
      <c r="F574" s="354" t="s">
        <v>346</v>
      </c>
      <c r="G574" s="355">
        <v>45.93333333333333</v>
      </c>
      <c r="H574" s="123"/>
      <c r="I574" s="122"/>
      <c r="J574" s="123"/>
      <c r="K574" s="122"/>
      <c r="L574" s="124">
        <f t="shared" si="133"/>
        <v>0</v>
      </c>
      <c r="M574" s="125">
        <f t="shared" si="133"/>
        <v>45.93333333333333</v>
      </c>
      <c r="N574" s="126" t="e">
        <f t="shared" si="120"/>
        <v>#DIV/0!</v>
      </c>
      <c r="O574" s="127" t="str">
        <f t="shared" si="121"/>
        <v/>
      </c>
      <c r="P574" s="127" t="str">
        <f t="shared" si="122"/>
        <v/>
      </c>
      <c r="Q574" s="128" t="str">
        <f t="shared" si="123"/>
        <v/>
      </c>
      <c r="R574" s="129"/>
      <c r="S574" s="130"/>
      <c r="T574" s="131"/>
      <c r="U574" s="131"/>
      <c r="V574" s="132" t="str">
        <f t="shared" si="124"/>
        <v/>
      </c>
      <c r="W574" s="133" t="str">
        <f t="shared" si="125"/>
        <v/>
      </c>
      <c r="X574" s="130"/>
      <c r="Y574" s="131"/>
      <c r="Z574" s="131"/>
      <c r="AA574" s="132" t="str">
        <f t="shared" si="126"/>
        <v/>
      </c>
      <c r="AB574" s="133" t="str">
        <f t="shared" si="127"/>
        <v/>
      </c>
      <c r="AC574" s="134" t="str">
        <f t="shared" si="128"/>
        <v/>
      </c>
      <c r="AD574" s="135" t="str">
        <f t="shared" si="129"/>
        <v/>
      </c>
      <c r="AE574" s="136"/>
      <c r="AF574" s="137"/>
      <c r="AG574" s="137"/>
      <c r="AH574" s="138" t="str">
        <f t="shared" si="130"/>
        <v/>
      </c>
      <c r="AI574" s="133" t="str">
        <f t="shared" si="131"/>
        <v/>
      </c>
    </row>
    <row r="575" spans="1:35">
      <c r="A575" s="171">
        <f>IF('09월 조업일지'!A570="","",'09월 조업일지'!A570)</f>
        <v>46286</v>
      </c>
      <c r="B575" s="172" t="str">
        <f>'09월 조업일지'!E570</f>
        <v>C</v>
      </c>
      <c r="C575" s="172" t="str">
        <f>'09월 조업일지'!F570</f>
        <v>A</v>
      </c>
      <c r="D575" s="172">
        <f>'09월 화학성분'!C571</f>
        <v>85773</v>
      </c>
      <c r="E575" s="1289"/>
      <c r="F575" s="354" t="s">
        <v>347</v>
      </c>
      <c r="G575" s="355">
        <v>372.04365747790183</v>
      </c>
      <c r="H575" s="123"/>
      <c r="I575" s="122"/>
      <c r="J575" s="123"/>
      <c r="K575" s="122"/>
      <c r="L575" s="124">
        <f t="shared" si="133"/>
        <v>0</v>
      </c>
      <c r="M575" s="125">
        <f t="shared" si="133"/>
        <v>372.04365747790183</v>
      </c>
      <c r="N575" s="126" t="e">
        <f t="shared" si="120"/>
        <v>#DIV/0!</v>
      </c>
      <c r="O575" s="127" t="str">
        <f t="shared" si="121"/>
        <v/>
      </c>
      <c r="P575" s="127" t="str">
        <f t="shared" si="122"/>
        <v/>
      </c>
      <c r="Q575" s="128" t="str">
        <f t="shared" si="123"/>
        <v/>
      </c>
      <c r="R575" s="129"/>
      <c r="S575" s="130"/>
      <c r="T575" s="131"/>
      <c r="U575" s="131"/>
      <c r="V575" s="132" t="str">
        <f t="shared" si="124"/>
        <v/>
      </c>
      <c r="W575" s="133" t="str">
        <f t="shared" si="125"/>
        <v/>
      </c>
      <c r="X575" s="130"/>
      <c r="Y575" s="131"/>
      <c r="Z575" s="131"/>
      <c r="AA575" s="132" t="str">
        <f t="shared" si="126"/>
        <v/>
      </c>
      <c r="AB575" s="133" t="str">
        <f t="shared" si="127"/>
        <v/>
      </c>
      <c r="AC575" s="134" t="str">
        <f t="shared" si="128"/>
        <v/>
      </c>
      <c r="AD575" s="135" t="str">
        <f t="shared" si="129"/>
        <v/>
      </c>
      <c r="AE575" s="136"/>
      <c r="AF575" s="137"/>
      <c r="AG575" s="137"/>
      <c r="AH575" s="138" t="str">
        <f t="shared" si="130"/>
        <v/>
      </c>
      <c r="AI575" s="133" t="str">
        <f t="shared" si="131"/>
        <v/>
      </c>
    </row>
    <row r="576" spans="1:35">
      <c r="A576" s="171"/>
      <c r="B576" s="172"/>
      <c r="C576" s="172"/>
      <c r="D576" s="172"/>
      <c r="E576" s="1289"/>
      <c r="F576" s="354" t="s">
        <v>350</v>
      </c>
      <c r="G576" s="356">
        <v>54820</v>
      </c>
      <c r="H576" s="123"/>
      <c r="I576" s="122"/>
      <c r="J576" s="123"/>
      <c r="K576" s="122"/>
      <c r="L576" s="124"/>
      <c r="M576" s="125"/>
      <c r="N576" s="126"/>
      <c r="O576" s="127"/>
      <c r="P576" s="127"/>
      <c r="Q576" s="128"/>
      <c r="R576" s="129"/>
      <c r="S576" s="130"/>
      <c r="T576" s="131"/>
      <c r="U576" s="131"/>
      <c r="V576" s="132"/>
      <c r="W576" s="133"/>
      <c r="X576" s="130"/>
      <c r="Y576" s="131"/>
      <c r="Z576" s="131"/>
      <c r="AA576" s="132"/>
      <c r="AB576" s="133"/>
      <c r="AC576" s="134"/>
      <c r="AD576" s="135"/>
      <c r="AE576" s="136"/>
      <c r="AF576" s="137"/>
      <c r="AG576" s="137"/>
      <c r="AH576" s="138"/>
      <c r="AI576" s="133"/>
    </row>
    <row r="577" spans="1:35">
      <c r="A577" s="171">
        <f>IF('09월 조업일지'!A571="","",'09월 조업일지'!A571)</f>
        <v>46286</v>
      </c>
      <c r="B577" s="172" t="str">
        <f>'09월 조업일지'!E571</f>
        <v>C</v>
      </c>
      <c r="C577" s="172" t="str">
        <f>'09월 조업일지'!F571</f>
        <v>B</v>
      </c>
      <c r="D577" s="172">
        <f>'09월 화학성분'!C572</f>
        <v>85774</v>
      </c>
      <c r="E577" s="1289"/>
      <c r="F577" s="354" t="s">
        <v>349</v>
      </c>
      <c r="G577" s="355">
        <v>147.4</v>
      </c>
      <c r="H577" s="123"/>
      <c r="I577" s="122"/>
      <c r="J577" s="123"/>
      <c r="K577" s="122"/>
      <c r="L577" s="124">
        <f t="shared" si="133"/>
        <v>0</v>
      </c>
      <c r="M577" s="125">
        <f t="shared" si="133"/>
        <v>147.4</v>
      </c>
      <c r="N577" s="126" t="e">
        <f t="shared" si="120"/>
        <v>#DIV/0!</v>
      </c>
      <c r="O577" s="127" t="str">
        <f t="shared" si="121"/>
        <v/>
      </c>
      <c r="P577" s="127" t="str">
        <f t="shared" si="122"/>
        <v/>
      </c>
      <c r="Q577" s="128" t="str">
        <f t="shared" si="123"/>
        <v/>
      </c>
      <c r="R577" s="129"/>
      <c r="S577" s="130"/>
      <c r="T577" s="131"/>
      <c r="U577" s="131"/>
      <c r="V577" s="132" t="str">
        <f t="shared" si="124"/>
        <v/>
      </c>
      <c r="W577" s="133" t="str">
        <f t="shared" si="125"/>
        <v/>
      </c>
      <c r="X577" s="130"/>
      <c r="Y577" s="131"/>
      <c r="Z577" s="131"/>
      <c r="AA577" s="132" t="str">
        <f t="shared" si="126"/>
        <v/>
      </c>
      <c r="AB577" s="133" t="str">
        <f t="shared" si="127"/>
        <v/>
      </c>
      <c r="AC577" s="134" t="str">
        <f t="shared" si="128"/>
        <v/>
      </c>
      <c r="AD577" s="135" t="str">
        <f t="shared" si="129"/>
        <v/>
      </c>
      <c r="AE577" s="136"/>
      <c r="AF577" s="137"/>
      <c r="AG577" s="137"/>
      <c r="AH577" s="138" t="str">
        <f t="shared" si="130"/>
        <v/>
      </c>
      <c r="AI577" s="133" t="str">
        <f t="shared" si="131"/>
        <v/>
      </c>
    </row>
    <row r="578" spans="1:35">
      <c r="A578" s="171"/>
      <c r="B578" s="172"/>
      <c r="C578" s="172"/>
      <c r="D578" s="172"/>
      <c r="E578" s="1289"/>
      <c r="F578" s="1291" t="s">
        <v>352</v>
      </c>
      <c r="G578" s="1292"/>
      <c r="H578" s="123"/>
      <c r="I578" s="122"/>
      <c r="J578" s="123"/>
      <c r="K578" s="122"/>
      <c r="L578" s="124"/>
      <c r="M578" s="125"/>
      <c r="N578" s="126"/>
      <c r="O578" s="127"/>
      <c r="P578" s="127"/>
      <c r="Q578" s="128"/>
      <c r="R578" s="129"/>
      <c r="S578" s="130"/>
      <c r="T578" s="131"/>
      <c r="U578" s="131"/>
      <c r="V578" s="132"/>
      <c r="W578" s="133"/>
      <c r="X578" s="130"/>
      <c r="Y578" s="131"/>
      <c r="Z578" s="131"/>
      <c r="AA578" s="132"/>
      <c r="AB578" s="133"/>
      <c r="AC578" s="134"/>
      <c r="AD578" s="135"/>
      <c r="AE578" s="136"/>
      <c r="AF578" s="137"/>
      <c r="AG578" s="137"/>
      <c r="AH578" s="138"/>
      <c r="AI578" s="133"/>
    </row>
    <row r="579" spans="1:35">
      <c r="A579" s="171"/>
      <c r="B579" s="172"/>
      <c r="C579" s="172"/>
      <c r="D579" s="172"/>
      <c r="E579" s="1289"/>
      <c r="F579" s="354" t="s">
        <v>346</v>
      </c>
      <c r="G579" s="355">
        <v>45.7</v>
      </c>
      <c r="H579" s="123"/>
      <c r="I579" s="122"/>
      <c r="J579" s="123"/>
      <c r="K579" s="122"/>
      <c r="L579" s="124"/>
      <c r="M579" s="125"/>
      <c r="N579" s="126"/>
      <c r="O579" s="127"/>
      <c r="P579" s="127"/>
      <c r="Q579" s="128"/>
      <c r="R579" s="129"/>
      <c r="S579" s="130"/>
      <c r="T579" s="131"/>
      <c r="U579" s="131"/>
      <c r="V579" s="132"/>
      <c r="W579" s="133"/>
      <c r="X579" s="130"/>
      <c r="Y579" s="131"/>
      <c r="Z579" s="131"/>
      <c r="AA579" s="132"/>
      <c r="AB579" s="133"/>
      <c r="AC579" s="134"/>
      <c r="AD579" s="135"/>
      <c r="AE579" s="136"/>
      <c r="AF579" s="137"/>
      <c r="AG579" s="137"/>
      <c r="AH579" s="138"/>
      <c r="AI579" s="133"/>
    </row>
    <row r="580" spans="1:35">
      <c r="A580" s="171"/>
      <c r="B580" s="172"/>
      <c r="C580" s="172"/>
      <c r="D580" s="172"/>
      <c r="E580" s="1289"/>
      <c r="F580" s="354" t="s">
        <v>347</v>
      </c>
      <c r="G580" s="355">
        <v>370</v>
      </c>
      <c r="H580" s="123"/>
      <c r="I580" s="122"/>
      <c r="J580" s="123"/>
      <c r="K580" s="122"/>
      <c r="L580" s="124"/>
      <c r="M580" s="125"/>
      <c r="N580" s="126"/>
      <c r="O580" s="127"/>
      <c r="P580" s="127"/>
      <c r="Q580" s="128"/>
      <c r="R580" s="129"/>
      <c r="S580" s="130"/>
      <c r="T580" s="131"/>
      <c r="U580" s="131"/>
      <c r="V580" s="132"/>
      <c r="W580" s="133"/>
      <c r="X580" s="130"/>
      <c r="Y580" s="131"/>
      <c r="Z580" s="131"/>
      <c r="AA580" s="132"/>
      <c r="AB580" s="133"/>
      <c r="AC580" s="134"/>
      <c r="AD580" s="135"/>
      <c r="AE580" s="136"/>
      <c r="AF580" s="137"/>
      <c r="AG580" s="137"/>
      <c r="AH580" s="138"/>
      <c r="AI580" s="133"/>
    </row>
    <row r="581" spans="1:35">
      <c r="A581" s="171"/>
      <c r="B581" s="172"/>
      <c r="C581" s="172"/>
      <c r="D581" s="172"/>
      <c r="E581" s="1289"/>
      <c r="F581" s="354" t="s">
        <v>350</v>
      </c>
      <c r="G581" s="356">
        <v>54273</v>
      </c>
      <c r="H581" s="123"/>
      <c r="I581" s="122"/>
      <c r="J581" s="123"/>
      <c r="K581" s="122"/>
      <c r="L581" s="124"/>
      <c r="M581" s="125"/>
      <c r="N581" s="126"/>
      <c r="O581" s="127"/>
      <c r="P581" s="127"/>
      <c r="Q581" s="128"/>
      <c r="R581" s="129"/>
      <c r="S581" s="130"/>
      <c r="T581" s="131"/>
      <c r="U581" s="131"/>
      <c r="V581" s="132"/>
      <c r="W581" s="133"/>
      <c r="X581" s="130"/>
      <c r="Y581" s="131"/>
      <c r="Z581" s="131"/>
      <c r="AA581" s="132"/>
      <c r="AB581" s="133"/>
      <c r="AC581" s="134"/>
      <c r="AD581" s="135"/>
      <c r="AE581" s="136"/>
      <c r="AF581" s="137"/>
      <c r="AG581" s="137"/>
      <c r="AH581" s="138"/>
      <c r="AI581" s="133"/>
    </row>
    <row r="582" spans="1:35">
      <c r="A582" s="171"/>
      <c r="B582" s="172"/>
      <c r="C582" s="172"/>
      <c r="D582" s="172"/>
      <c r="E582" s="1290"/>
      <c r="F582" s="354" t="s">
        <v>349</v>
      </c>
      <c r="G582" s="355">
        <v>146.6</v>
      </c>
      <c r="H582" s="123"/>
      <c r="I582" s="122"/>
      <c r="J582" s="123"/>
      <c r="K582" s="122"/>
      <c r="L582" s="124"/>
      <c r="M582" s="125"/>
      <c r="N582" s="126"/>
      <c r="O582" s="127"/>
      <c r="P582" s="127"/>
      <c r="Q582" s="128"/>
      <c r="R582" s="129"/>
      <c r="S582" s="130"/>
      <c r="T582" s="131"/>
      <c r="U582" s="131"/>
      <c r="V582" s="132"/>
      <c r="W582" s="133"/>
      <c r="X582" s="130"/>
      <c r="Y582" s="131"/>
      <c r="Z582" s="131"/>
      <c r="AA582" s="132"/>
      <c r="AB582" s="133"/>
      <c r="AC582" s="134"/>
      <c r="AD582" s="135"/>
      <c r="AE582" s="136"/>
      <c r="AF582" s="137"/>
      <c r="AG582" s="137"/>
      <c r="AH582" s="138"/>
      <c r="AI582" s="133"/>
    </row>
    <row r="583" spans="1:35">
      <c r="A583" s="171"/>
      <c r="B583" s="172"/>
      <c r="C583" s="172"/>
      <c r="D583" s="172"/>
      <c r="E583" s="205"/>
      <c r="F583" s="121"/>
      <c r="G583" s="122"/>
      <c r="H583" s="123"/>
      <c r="I583" s="122"/>
      <c r="J583" s="123"/>
      <c r="K583" s="122"/>
      <c r="L583" s="124"/>
      <c r="M583" s="125"/>
      <c r="N583" s="126"/>
      <c r="O583" s="127"/>
      <c r="P583" s="127"/>
      <c r="Q583" s="128"/>
      <c r="R583" s="129"/>
      <c r="S583" s="130"/>
      <c r="T583" s="131"/>
      <c r="U583" s="131"/>
      <c r="V583" s="132"/>
      <c r="W583" s="133"/>
      <c r="X583" s="130"/>
      <c r="Y583" s="131"/>
      <c r="Z583" s="131"/>
      <c r="AA583" s="132"/>
      <c r="AB583" s="133"/>
      <c r="AC583" s="134"/>
      <c r="AD583" s="135"/>
      <c r="AE583" s="136"/>
      <c r="AF583" s="137"/>
      <c r="AG583" s="137"/>
      <c r="AH583" s="138"/>
      <c r="AI583" s="133"/>
    </row>
    <row r="584" spans="1:35" ht="13.5" customHeight="1">
      <c r="A584" s="171"/>
      <c r="B584" s="172"/>
      <c r="C584" s="172"/>
      <c r="D584" s="172"/>
      <c r="E584" s="1288" t="s">
        <v>348</v>
      </c>
      <c r="F584" s="1291" t="s">
        <v>351</v>
      </c>
      <c r="G584" s="1292"/>
      <c r="H584" s="123"/>
      <c r="I584" s="122"/>
      <c r="J584" s="123"/>
      <c r="K584" s="122"/>
      <c r="L584" s="124"/>
      <c r="M584" s="125"/>
      <c r="N584" s="126"/>
      <c r="O584" s="127"/>
      <c r="P584" s="127"/>
      <c r="Q584" s="128"/>
      <c r="R584" s="129"/>
      <c r="S584" s="130"/>
      <c r="T584" s="131"/>
      <c r="U584" s="131"/>
      <c r="V584" s="132"/>
      <c r="W584" s="133"/>
      <c r="X584" s="130"/>
      <c r="Y584" s="131"/>
      <c r="Z584" s="131"/>
      <c r="AA584" s="132"/>
      <c r="AB584" s="133"/>
      <c r="AC584" s="134"/>
      <c r="AD584" s="135"/>
      <c r="AE584" s="136"/>
      <c r="AF584" s="137"/>
      <c r="AG584" s="137"/>
      <c r="AH584" s="138"/>
      <c r="AI584" s="133"/>
    </row>
    <row r="585" spans="1:35">
      <c r="A585" s="171">
        <f>IF('09월 조업일지'!A572="","",'09월 조업일지'!A572)</f>
        <v>46286</v>
      </c>
      <c r="B585" s="172" t="str">
        <f>'09월 조업일지'!E572</f>
        <v>C</v>
      </c>
      <c r="C585" s="172" t="str">
        <f>'09월 조업일지'!F572</f>
        <v>A</v>
      </c>
      <c r="D585" s="172">
        <f>'09월 화학성분'!C573</f>
        <v>85775</v>
      </c>
      <c r="E585" s="1289"/>
      <c r="F585" s="354" t="s">
        <v>346</v>
      </c>
      <c r="G585" s="355">
        <v>45.75</v>
      </c>
      <c r="H585" s="123"/>
      <c r="I585" s="122"/>
      <c r="J585" s="123"/>
      <c r="K585" s="122"/>
      <c r="L585" s="124">
        <f t="shared" si="133"/>
        <v>0</v>
      </c>
      <c r="M585" s="125">
        <f t="shared" si="133"/>
        <v>45.75</v>
      </c>
      <c r="N585" s="126" t="e">
        <f t="shared" si="120"/>
        <v>#DIV/0!</v>
      </c>
      <c r="O585" s="127" t="str">
        <f t="shared" si="121"/>
        <v/>
      </c>
      <c r="P585" s="127" t="str">
        <f t="shared" si="122"/>
        <v/>
      </c>
      <c r="Q585" s="128" t="str">
        <f t="shared" si="123"/>
        <v/>
      </c>
      <c r="R585" s="129"/>
      <c r="S585" s="130"/>
      <c r="T585" s="131"/>
      <c r="U585" s="131"/>
      <c r="V585" s="132" t="str">
        <f t="shared" si="124"/>
        <v/>
      </c>
      <c r="W585" s="133" t="str">
        <f t="shared" si="125"/>
        <v/>
      </c>
      <c r="X585" s="130"/>
      <c r="Y585" s="131"/>
      <c r="Z585" s="131"/>
      <c r="AA585" s="132" t="str">
        <f t="shared" si="126"/>
        <v/>
      </c>
      <c r="AB585" s="133" t="str">
        <f t="shared" si="127"/>
        <v/>
      </c>
      <c r="AC585" s="134" t="str">
        <f t="shared" si="128"/>
        <v/>
      </c>
      <c r="AD585" s="135" t="str">
        <f t="shared" si="129"/>
        <v/>
      </c>
      <c r="AE585" s="136"/>
      <c r="AF585" s="137"/>
      <c r="AG585" s="137"/>
      <c r="AH585" s="138" t="str">
        <f t="shared" si="130"/>
        <v/>
      </c>
      <c r="AI585" s="133" t="str">
        <f t="shared" si="131"/>
        <v/>
      </c>
    </row>
    <row r="586" spans="1:35">
      <c r="A586" s="171">
        <f>IF('09월 조업일지'!A573="","",'09월 조업일지'!A573)</f>
        <v>46286</v>
      </c>
      <c r="B586" s="172" t="str">
        <f>'09월 조업일지'!E573</f>
        <v>C</v>
      </c>
      <c r="C586" s="172" t="str">
        <f>'09월 조업일지'!F573</f>
        <v>B</v>
      </c>
      <c r="D586" s="172">
        <f>'09월 화학성분'!C574</f>
        <v>85776</v>
      </c>
      <c r="E586" s="1289"/>
      <c r="F586" s="354" t="s">
        <v>347</v>
      </c>
      <c r="G586" s="355">
        <v>376.65885293708186</v>
      </c>
      <c r="H586" s="123"/>
      <c r="I586" s="122"/>
      <c r="J586" s="123"/>
      <c r="K586" s="122"/>
      <c r="L586" s="124">
        <f t="shared" si="133"/>
        <v>0</v>
      </c>
      <c r="M586" s="125">
        <f t="shared" si="133"/>
        <v>376.65885293708186</v>
      </c>
      <c r="N586" s="126" t="e">
        <f t="shared" si="120"/>
        <v>#DIV/0!</v>
      </c>
      <c r="O586" s="127" t="str">
        <f t="shared" si="121"/>
        <v/>
      </c>
      <c r="P586" s="127" t="str">
        <f t="shared" si="122"/>
        <v/>
      </c>
      <c r="Q586" s="128" t="str">
        <f t="shared" si="123"/>
        <v/>
      </c>
      <c r="R586" s="129"/>
      <c r="S586" s="130"/>
      <c r="T586" s="131"/>
      <c r="U586" s="131"/>
      <c r="V586" s="132" t="str">
        <f t="shared" si="124"/>
        <v/>
      </c>
      <c r="W586" s="133" t="str">
        <f t="shared" si="125"/>
        <v/>
      </c>
      <c r="X586" s="130"/>
      <c r="Y586" s="131"/>
      <c r="Z586" s="131"/>
      <c r="AA586" s="132" t="str">
        <f t="shared" si="126"/>
        <v/>
      </c>
      <c r="AB586" s="133" t="str">
        <f t="shared" si="127"/>
        <v/>
      </c>
      <c r="AC586" s="134" t="str">
        <f t="shared" si="128"/>
        <v/>
      </c>
      <c r="AD586" s="135" t="str">
        <f t="shared" si="129"/>
        <v/>
      </c>
      <c r="AE586" s="136"/>
      <c r="AF586" s="137"/>
      <c r="AG586" s="137"/>
      <c r="AH586" s="138" t="str">
        <f t="shared" si="130"/>
        <v/>
      </c>
      <c r="AI586" s="133" t="str">
        <f t="shared" si="131"/>
        <v/>
      </c>
    </row>
    <row r="587" spans="1:35">
      <c r="A587" s="171"/>
      <c r="B587" s="172"/>
      <c r="C587" s="172"/>
      <c r="D587" s="172"/>
      <c r="E587" s="1289"/>
      <c r="F587" s="354" t="s">
        <v>350</v>
      </c>
      <c r="G587" s="356">
        <v>55425</v>
      </c>
      <c r="H587" s="123"/>
      <c r="I587" s="122"/>
      <c r="J587" s="123"/>
      <c r="K587" s="122"/>
      <c r="L587" s="124"/>
      <c r="M587" s="125"/>
      <c r="N587" s="126"/>
      <c r="O587" s="127"/>
      <c r="P587" s="127"/>
      <c r="Q587" s="128"/>
      <c r="R587" s="129"/>
      <c r="S587" s="130"/>
      <c r="T587" s="131"/>
      <c r="U587" s="131"/>
      <c r="V587" s="132"/>
      <c r="W587" s="133"/>
      <c r="X587" s="130"/>
      <c r="Y587" s="131"/>
      <c r="Z587" s="131"/>
      <c r="AA587" s="132"/>
      <c r="AB587" s="133"/>
      <c r="AC587" s="134"/>
      <c r="AD587" s="135"/>
      <c r="AE587" s="136"/>
      <c r="AF587" s="137"/>
      <c r="AG587" s="137"/>
      <c r="AH587" s="138"/>
      <c r="AI587" s="133"/>
    </row>
    <row r="588" spans="1:35">
      <c r="A588" s="171">
        <f>IF('09월 조업일지'!A574="","",'09월 조업일지'!A574)</f>
        <v>46286</v>
      </c>
      <c r="B588" s="172" t="str">
        <f>'09월 조업일지'!E574</f>
        <v>C</v>
      </c>
      <c r="C588" s="172" t="str">
        <f>'09월 조업일지'!F574</f>
        <v>A</v>
      </c>
      <c r="D588" s="172">
        <f>'09월 화학성분'!C575</f>
        <v>85777</v>
      </c>
      <c r="E588" s="1289"/>
      <c r="F588" s="354" t="s">
        <v>349</v>
      </c>
      <c r="G588" s="355">
        <v>147.15</v>
      </c>
      <c r="H588" s="123"/>
      <c r="I588" s="122"/>
      <c r="J588" s="123"/>
      <c r="K588" s="122"/>
      <c r="L588" s="124">
        <f t="shared" si="133"/>
        <v>0</v>
      </c>
      <c r="M588" s="125">
        <f t="shared" si="133"/>
        <v>147.15</v>
      </c>
      <c r="N588" s="126" t="e">
        <f t="shared" si="120"/>
        <v>#DIV/0!</v>
      </c>
      <c r="O588" s="127" t="str">
        <f t="shared" si="121"/>
        <v/>
      </c>
      <c r="P588" s="127" t="str">
        <f t="shared" si="122"/>
        <v/>
      </c>
      <c r="Q588" s="128" t="str">
        <f t="shared" si="123"/>
        <v/>
      </c>
      <c r="R588" s="129"/>
      <c r="S588" s="130"/>
      <c r="T588" s="131"/>
      <c r="U588" s="131"/>
      <c r="V588" s="132" t="str">
        <f t="shared" si="124"/>
        <v/>
      </c>
      <c r="W588" s="133" t="str">
        <f t="shared" si="125"/>
        <v/>
      </c>
      <c r="X588" s="130"/>
      <c r="Y588" s="131"/>
      <c r="Z588" s="131"/>
      <c r="AA588" s="132" t="str">
        <f t="shared" si="126"/>
        <v/>
      </c>
      <c r="AB588" s="133" t="str">
        <f t="shared" si="127"/>
        <v/>
      </c>
      <c r="AC588" s="134" t="str">
        <f t="shared" si="128"/>
        <v/>
      </c>
      <c r="AD588" s="135" t="str">
        <f t="shared" si="129"/>
        <v/>
      </c>
      <c r="AE588" s="136"/>
      <c r="AF588" s="137"/>
      <c r="AG588" s="137"/>
      <c r="AH588" s="138" t="str">
        <f t="shared" si="130"/>
        <v/>
      </c>
      <c r="AI588" s="133" t="str">
        <f t="shared" si="131"/>
        <v/>
      </c>
    </row>
    <row r="589" spans="1:35">
      <c r="A589" s="171">
        <f>IF('09월 조업일지'!A575="","",'09월 조업일지'!A575)</f>
        <v>46286</v>
      </c>
      <c r="B589" s="172" t="str">
        <f>'09월 조업일지'!E575</f>
        <v>C</v>
      </c>
      <c r="C589" s="172" t="str">
        <f>'09월 조업일지'!F575</f>
        <v>B</v>
      </c>
      <c r="D589" s="172">
        <f>'09월 화학성분'!C576</f>
        <v>85778</v>
      </c>
      <c r="E589" s="1289"/>
      <c r="F589" s="1291" t="s">
        <v>352</v>
      </c>
      <c r="G589" s="1292"/>
      <c r="H589" s="123"/>
      <c r="I589" s="122"/>
      <c r="J589" s="123"/>
      <c r="K589" s="122"/>
      <c r="L589" s="124">
        <f t="shared" si="133"/>
        <v>0</v>
      </c>
      <c r="M589" s="125" t="str">
        <f t="shared" si="133"/>
        <v/>
      </c>
      <c r="N589" s="126" t="str">
        <f t="shared" si="120"/>
        <v/>
      </c>
      <c r="O589" s="127" t="str">
        <f t="shared" si="121"/>
        <v/>
      </c>
      <c r="P589" s="127" t="str">
        <f t="shared" si="122"/>
        <v/>
      </c>
      <c r="Q589" s="128" t="str">
        <f t="shared" si="123"/>
        <v/>
      </c>
      <c r="R589" s="129"/>
      <c r="S589" s="130"/>
      <c r="T589" s="131"/>
      <c r="U589" s="131"/>
      <c r="V589" s="132" t="str">
        <f t="shared" si="124"/>
        <v/>
      </c>
      <c r="W589" s="133" t="str">
        <f t="shared" si="125"/>
        <v/>
      </c>
      <c r="X589" s="130"/>
      <c r="Y589" s="131"/>
      <c r="Z589" s="131"/>
      <c r="AA589" s="132" t="str">
        <f t="shared" si="126"/>
        <v/>
      </c>
      <c r="AB589" s="133" t="str">
        <f t="shared" si="127"/>
        <v/>
      </c>
      <c r="AC589" s="134" t="str">
        <f t="shared" si="128"/>
        <v/>
      </c>
      <c r="AD589" s="135" t="str">
        <f t="shared" si="129"/>
        <v/>
      </c>
      <c r="AE589" s="136"/>
      <c r="AF589" s="137"/>
      <c r="AG589" s="137"/>
      <c r="AH589" s="138" t="str">
        <f t="shared" si="130"/>
        <v/>
      </c>
      <c r="AI589" s="133" t="str">
        <f t="shared" si="131"/>
        <v/>
      </c>
    </row>
    <row r="590" spans="1:35">
      <c r="A590" s="171">
        <f>IF('09월 조업일지'!A576="","",'09월 조업일지'!A576)</f>
        <v>46286</v>
      </c>
      <c r="B590" s="172" t="str">
        <f>'09월 조업일지'!E576</f>
        <v>C</v>
      </c>
      <c r="C590" s="172" t="str">
        <f>'09월 조업일지'!F576</f>
        <v>A</v>
      </c>
      <c r="D590" s="172">
        <f>'09월 화학성분'!C577</f>
        <v>85779</v>
      </c>
      <c r="E590" s="1289"/>
      <c r="F590" s="354" t="s">
        <v>346</v>
      </c>
      <c r="G590" s="355">
        <v>44.25</v>
      </c>
      <c r="H590" s="123"/>
      <c r="I590" s="122"/>
      <c r="J590" s="123"/>
      <c r="K590" s="122"/>
      <c r="L590" s="124">
        <f t="shared" si="133"/>
        <v>0</v>
      </c>
      <c r="M590" s="125">
        <f t="shared" si="133"/>
        <v>44.25</v>
      </c>
      <c r="N590" s="126" t="e">
        <f t="shared" si="120"/>
        <v>#DIV/0!</v>
      </c>
      <c r="O590" s="127" t="str">
        <f t="shared" si="121"/>
        <v/>
      </c>
      <c r="P590" s="127" t="str">
        <f t="shared" si="122"/>
        <v/>
      </c>
      <c r="Q590" s="128" t="str">
        <f t="shared" si="123"/>
        <v/>
      </c>
      <c r="R590" s="129"/>
      <c r="S590" s="130"/>
      <c r="T590" s="131"/>
      <c r="U590" s="131"/>
      <c r="V590" s="132" t="str">
        <f t="shared" si="124"/>
        <v/>
      </c>
      <c r="W590" s="133" t="str">
        <f t="shared" si="125"/>
        <v/>
      </c>
      <c r="X590" s="130"/>
      <c r="Y590" s="131"/>
      <c r="Z590" s="131"/>
      <c r="AA590" s="132" t="str">
        <f t="shared" si="126"/>
        <v/>
      </c>
      <c r="AB590" s="133" t="str">
        <f t="shared" si="127"/>
        <v/>
      </c>
      <c r="AC590" s="134" t="str">
        <f t="shared" si="128"/>
        <v/>
      </c>
      <c r="AD590" s="135" t="str">
        <f t="shared" si="129"/>
        <v/>
      </c>
      <c r="AE590" s="136"/>
      <c r="AF590" s="137"/>
      <c r="AG590" s="137"/>
      <c r="AH590" s="138" t="str">
        <f t="shared" si="130"/>
        <v/>
      </c>
      <c r="AI590" s="133" t="str">
        <f t="shared" si="131"/>
        <v/>
      </c>
    </row>
    <row r="591" spans="1:35">
      <c r="A591" s="171">
        <f>IF('09월 조업일지'!A577="","",'09월 조업일지'!A577)</f>
        <v>46286</v>
      </c>
      <c r="B591" s="172" t="str">
        <f>'09월 조업일지'!E577</f>
        <v>D</v>
      </c>
      <c r="C591" s="172" t="str">
        <f>'09월 조업일지'!F577</f>
        <v>B</v>
      </c>
      <c r="D591" s="172">
        <f>'09월 화학성분'!C578</f>
        <v>85780</v>
      </c>
      <c r="E591" s="1289"/>
      <c r="F591" s="354" t="s">
        <v>347</v>
      </c>
      <c r="G591" s="355">
        <v>362.06236714787872</v>
      </c>
      <c r="H591" s="123"/>
      <c r="I591" s="122"/>
      <c r="J591" s="123"/>
      <c r="K591" s="122"/>
      <c r="L591" s="124">
        <f t="shared" si="133"/>
        <v>0</v>
      </c>
      <c r="M591" s="125">
        <f t="shared" si="133"/>
        <v>362.06236714787872</v>
      </c>
      <c r="N591" s="126" t="e">
        <f t="shared" si="120"/>
        <v>#DIV/0!</v>
      </c>
      <c r="O591" s="127" t="str">
        <f t="shared" si="121"/>
        <v/>
      </c>
      <c r="P591" s="127" t="str">
        <f t="shared" si="122"/>
        <v/>
      </c>
      <c r="Q591" s="128" t="str">
        <f t="shared" si="123"/>
        <v/>
      </c>
      <c r="R591" s="129"/>
      <c r="S591" s="130"/>
      <c r="T591" s="131"/>
      <c r="U591" s="131"/>
      <c r="V591" s="132" t="str">
        <f t="shared" si="124"/>
        <v/>
      </c>
      <c r="W591" s="133" t="str">
        <f t="shared" si="125"/>
        <v/>
      </c>
      <c r="X591" s="130"/>
      <c r="Y591" s="131"/>
      <c r="Z591" s="131"/>
      <c r="AA591" s="132" t="str">
        <f t="shared" si="126"/>
        <v/>
      </c>
      <c r="AB591" s="133" t="str">
        <f t="shared" si="127"/>
        <v/>
      </c>
      <c r="AC591" s="134" t="str">
        <f t="shared" si="128"/>
        <v/>
      </c>
      <c r="AD591" s="135" t="str">
        <f t="shared" si="129"/>
        <v/>
      </c>
      <c r="AE591" s="136"/>
      <c r="AF591" s="137"/>
      <c r="AG591" s="137"/>
      <c r="AH591" s="138" t="str">
        <f t="shared" si="130"/>
        <v/>
      </c>
      <c r="AI591" s="133" t="str">
        <f t="shared" si="131"/>
        <v/>
      </c>
    </row>
    <row r="592" spans="1:35">
      <c r="A592" s="171">
        <f>IF('09월 조업일지'!A578="","",'09월 조업일지'!A578)</f>
        <v>46286</v>
      </c>
      <c r="B592" s="172" t="str">
        <f>'09월 조업일지'!E578</f>
        <v>D</v>
      </c>
      <c r="C592" s="172" t="str">
        <f>'09월 조업일지'!F578</f>
        <v>A</v>
      </c>
      <c r="D592" s="172">
        <f>'09월 화학성분'!C579</f>
        <v>85781</v>
      </c>
      <c r="E592" s="1289"/>
      <c r="F592" s="354" t="s">
        <v>350</v>
      </c>
      <c r="G592" s="356">
        <v>52950</v>
      </c>
      <c r="H592" s="123"/>
      <c r="I592" s="122"/>
      <c r="J592" s="123"/>
      <c r="K592" s="122"/>
      <c r="L592" s="124">
        <f t="shared" si="133"/>
        <v>0</v>
      </c>
      <c r="M592" s="125">
        <f t="shared" si="133"/>
        <v>52950</v>
      </c>
      <c r="N592" s="126" t="e">
        <f t="shared" si="120"/>
        <v>#DIV/0!</v>
      </c>
      <c r="O592" s="127" t="str">
        <f t="shared" si="121"/>
        <v/>
      </c>
      <c r="P592" s="127" t="str">
        <f t="shared" si="122"/>
        <v/>
      </c>
      <c r="Q592" s="128" t="str">
        <f t="shared" si="123"/>
        <v/>
      </c>
      <c r="R592" s="129"/>
      <c r="S592" s="130"/>
      <c r="T592" s="131"/>
      <c r="U592" s="131"/>
      <c r="V592" s="132" t="str">
        <f t="shared" si="124"/>
        <v/>
      </c>
      <c r="W592" s="133" t="str">
        <f t="shared" si="125"/>
        <v/>
      </c>
      <c r="X592" s="130"/>
      <c r="Y592" s="131"/>
      <c r="Z592" s="131"/>
      <c r="AA592" s="132" t="str">
        <f t="shared" si="126"/>
        <v/>
      </c>
      <c r="AB592" s="133" t="str">
        <f t="shared" si="127"/>
        <v/>
      </c>
      <c r="AC592" s="134" t="str">
        <f t="shared" si="128"/>
        <v/>
      </c>
      <c r="AD592" s="135" t="str">
        <f t="shared" si="129"/>
        <v/>
      </c>
      <c r="AE592" s="136"/>
      <c r="AF592" s="137"/>
      <c r="AG592" s="137"/>
      <c r="AH592" s="138" t="str">
        <f t="shared" si="130"/>
        <v/>
      </c>
      <c r="AI592" s="133" t="str">
        <f t="shared" si="131"/>
        <v/>
      </c>
    </row>
    <row r="593" spans="1:35">
      <c r="A593" s="171">
        <f>IF('09월 조업일지'!A579="","",'09월 조업일지'!A579)</f>
        <v>46286</v>
      </c>
      <c r="B593" s="172" t="str">
        <f>'09월 조업일지'!E579</f>
        <v>D</v>
      </c>
      <c r="C593" s="172" t="str">
        <f>'09월 조업일지'!F579</f>
        <v>B</v>
      </c>
      <c r="D593" s="172">
        <f>'09월 화학성분'!C580</f>
        <v>85782</v>
      </c>
      <c r="E593" s="1290"/>
      <c r="F593" s="354" t="s">
        <v>349</v>
      </c>
      <c r="G593" s="355">
        <v>146.25</v>
      </c>
      <c r="H593" s="123"/>
      <c r="I593" s="122"/>
      <c r="J593" s="123"/>
      <c r="K593" s="122"/>
      <c r="L593" s="124">
        <f t="shared" si="133"/>
        <v>0</v>
      </c>
      <c r="M593" s="125">
        <f t="shared" si="133"/>
        <v>146.25</v>
      </c>
      <c r="N593" s="126" t="e">
        <f t="shared" si="120"/>
        <v>#DIV/0!</v>
      </c>
      <c r="O593" s="127" t="str">
        <f t="shared" si="121"/>
        <v/>
      </c>
      <c r="P593" s="127" t="str">
        <f t="shared" si="122"/>
        <v/>
      </c>
      <c r="Q593" s="128" t="str">
        <f t="shared" si="123"/>
        <v/>
      </c>
      <c r="R593" s="129"/>
      <c r="S593" s="130"/>
      <c r="T593" s="131"/>
      <c r="U593" s="131"/>
      <c r="V593" s="132" t="str">
        <f t="shared" si="124"/>
        <v/>
      </c>
      <c r="W593" s="133" t="str">
        <f t="shared" si="125"/>
        <v/>
      </c>
      <c r="X593" s="130"/>
      <c r="Y593" s="131"/>
      <c r="Z593" s="131"/>
      <c r="AA593" s="132" t="str">
        <f t="shared" si="126"/>
        <v/>
      </c>
      <c r="AB593" s="133" t="str">
        <f t="shared" si="127"/>
        <v/>
      </c>
      <c r="AC593" s="134" t="str">
        <f t="shared" si="128"/>
        <v/>
      </c>
      <c r="AD593" s="135" t="str">
        <f t="shared" si="129"/>
        <v/>
      </c>
      <c r="AE593" s="136"/>
      <c r="AF593" s="137"/>
      <c r="AG593" s="137"/>
      <c r="AH593" s="138" t="str">
        <f t="shared" si="130"/>
        <v/>
      </c>
      <c r="AI593" s="133" t="str">
        <f t="shared" si="131"/>
        <v/>
      </c>
    </row>
    <row r="594" spans="1:35">
      <c r="A594" s="171">
        <f>IF('09월 조업일지'!A580="","",'09월 조업일지'!A580)</f>
        <v>46286</v>
      </c>
      <c r="B594" s="172" t="str">
        <f>'09월 조업일지'!E580</f>
        <v>D</v>
      </c>
      <c r="C594" s="172" t="str">
        <f>'09월 조업일지'!F580</f>
        <v>A</v>
      </c>
      <c r="D594" s="172">
        <f>'09월 화학성분'!C581</f>
        <v>85783</v>
      </c>
      <c r="E594" s="205" t="str">
        <f t="shared" si="132"/>
        <v/>
      </c>
      <c r="F594" s="121"/>
      <c r="G594" s="122"/>
      <c r="H594" s="123"/>
      <c r="I594" s="122"/>
      <c r="J594" s="123"/>
      <c r="K594" s="122"/>
      <c r="L594" s="124" t="str">
        <f t="shared" si="133"/>
        <v/>
      </c>
      <c r="M594" s="125" t="str">
        <f t="shared" si="133"/>
        <v/>
      </c>
      <c r="N594" s="126" t="str">
        <f t="shared" si="120"/>
        <v/>
      </c>
      <c r="O594" s="127" t="str">
        <f t="shared" si="121"/>
        <v/>
      </c>
      <c r="P594" s="127" t="str">
        <f t="shared" si="122"/>
        <v/>
      </c>
      <c r="Q594" s="128" t="str">
        <f t="shared" si="123"/>
        <v/>
      </c>
      <c r="R594" s="129"/>
      <c r="S594" s="130"/>
      <c r="T594" s="131"/>
      <c r="U594" s="131"/>
      <c r="V594" s="132" t="str">
        <f t="shared" si="124"/>
        <v/>
      </c>
      <c r="W594" s="133" t="str">
        <f t="shared" si="125"/>
        <v/>
      </c>
      <c r="X594" s="130"/>
      <c r="Y594" s="131"/>
      <c r="Z594" s="131"/>
      <c r="AA594" s="132" t="str">
        <f t="shared" si="126"/>
        <v/>
      </c>
      <c r="AB594" s="133" t="str">
        <f t="shared" si="127"/>
        <v/>
      </c>
      <c r="AC594" s="134" t="str">
        <f t="shared" si="128"/>
        <v/>
      </c>
      <c r="AD594" s="135" t="str">
        <f t="shared" si="129"/>
        <v/>
      </c>
      <c r="AE594" s="136"/>
      <c r="AF594" s="137"/>
      <c r="AG594" s="137"/>
      <c r="AH594" s="138" t="str">
        <f t="shared" si="130"/>
        <v/>
      </c>
      <c r="AI594" s="133" t="str">
        <f t="shared" si="131"/>
        <v/>
      </c>
    </row>
    <row r="595" spans="1:35">
      <c r="A595" s="171">
        <f>IF('09월 조업일지'!A581="","",'09월 조업일지'!A581)</f>
        <v>46286</v>
      </c>
      <c r="B595" s="172" t="str">
        <f>'09월 조업일지'!E581</f>
        <v>D</v>
      </c>
      <c r="C595" s="172" t="str">
        <f>'09월 조업일지'!F581</f>
        <v>B</v>
      </c>
      <c r="D595" s="172">
        <f>'09월 화학성분'!C582</f>
        <v>85784</v>
      </c>
      <c r="E595" s="205" t="str">
        <f t="shared" si="132"/>
        <v/>
      </c>
      <c r="F595" s="121"/>
      <c r="G595" s="122"/>
      <c r="H595" s="123"/>
      <c r="I595" s="122"/>
      <c r="J595" s="123"/>
      <c r="K595" s="122"/>
      <c r="L595" s="124" t="str">
        <f t="shared" si="133"/>
        <v/>
      </c>
      <c r="M595" s="125" t="str">
        <f t="shared" si="133"/>
        <v/>
      </c>
      <c r="N595" s="126" t="str">
        <f t="shared" si="120"/>
        <v/>
      </c>
      <c r="O595" s="127" t="str">
        <f t="shared" si="121"/>
        <v/>
      </c>
      <c r="P595" s="127" t="str">
        <f t="shared" si="122"/>
        <v/>
      </c>
      <c r="Q595" s="128" t="str">
        <f t="shared" si="123"/>
        <v/>
      </c>
      <c r="R595" s="129"/>
      <c r="S595" s="130"/>
      <c r="T595" s="131"/>
      <c r="U595" s="131"/>
      <c r="V595" s="132" t="str">
        <f t="shared" si="124"/>
        <v/>
      </c>
      <c r="W595" s="133" t="str">
        <f t="shared" si="125"/>
        <v/>
      </c>
      <c r="X595" s="130"/>
      <c r="Y595" s="131"/>
      <c r="Z595" s="131"/>
      <c r="AA595" s="132" t="str">
        <f t="shared" si="126"/>
        <v/>
      </c>
      <c r="AB595" s="133" t="str">
        <f t="shared" si="127"/>
        <v/>
      </c>
      <c r="AC595" s="134" t="str">
        <f t="shared" si="128"/>
        <v/>
      </c>
      <c r="AD595" s="135" t="str">
        <f t="shared" si="129"/>
        <v/>
      </c>
      <c r="AE595" s="136"/>
      <c r="AF595" s="137"/>
      <c r="AG595" s="137"/>
      <c r="AH595" s="138" t="str">
        <f t="shared" si="130"/>
        <v/>
      </c>
      <c r="AI595" s="133" t="str">
        <f t="shared" si="131"/>
        <v/>
      </c>
    </row>
    <row r="596" spans="1:35">
      <c r="A596" s="171">
        <f>IF('09월 조업일지'!A582="","",'09월 조업일지'!A582)</f>
        <v>46286</v>
      </c>
      <c r="B596" s="172" t="str">
        <f>'09월 조업일지'!E582</f>
        <v>D</v>
      </c>
      <c r="C596" s="172" t="str">
        <f>'09월 조업일지'!F582</f>
        <v>A</v>
      </c>
      <c r="D596" s="172">
        <f>'09월 화학성분'!C583</f>
        <v>85785</v>
      </c>
      <c r="E596" s="205" t="str">
        <f t="shared" si="132"/>
        <v/>
      </c>
      <c r="F596" s="121"/>
      <c r="G596" s="122"/>
      <c r="H596" s="123"/>
      <c r="I596" s="122"/>
      <c r="J596" s="123"/>
      <c r="K596" s="122"/>
      <c r="L596" s="124" t="str">
        <f t="shared" si="133"/>
        <v/>
      </c>
      <c r="M596" s="125" t="str">
        <f t="shared" si="133"/>
        <v/>
      </c>
      <c r="N596" s="126" t="str">
        <f t="shared" si="120"/>
        <v/>
      </c>
      <c r="O596" s="127" t="str">
        <f t="shared" si="121"/>
        <v/>
      </c>
      <c r="P596" s="127" t="str">
        <f t="shared" si="122"/>
        <v/>
      </c>
      <c r="Q596" s="128" t="str">
        <f t="shared" si="123"/>
        <v/>
      </c>
      <c r="R596" s="129"/>
      <c r="S596" s="130"/>
      <c r="T596" s="131"/>
      <c r="U596" s="131"/>
      <c r="V596" s="132" t="str">
        <f t="shared" si="124"/>
        <v/>
      </c>
      <c r="W596" s="133" t="str">
        <f t="shared" si="125"/>
        <v/>
      </c>
      <c r="X596" s="130"/>
      <c r="Y596" s="131"/>
      <c r="Z596" s="131"/>
      <c r="AA596" s="132" t="str">
        <f t="shared" si="126"/>
        <v/>
      </c>
      <c r="AB596" s="133" t="str">
        <f t="shared" si="127"/>
        <v/>
      </c>
      <c r="AC596" s="134" t="str">
        <f t="shared" si="128"/>
        <v/>
      </c>
      <c r="AD596" s="135" t="str">
        <f t="shared" si="129"/>
        <v/>
      </c>
      <c r="AE596" s="136"/>
      <c r="AF596" s="137"/>
      <c r="AG596" s="137"/>
      <c r="AH596" s="138" t="str">
        <f t="shared" si="130"/>
        <v/>
      </c>
      <c r="AI596" s="133" t="str">
        <f t="shared" si="131"/>
        <v/>
      </c>
    </row>
    <row r="597" spans="1:35">
      <c r="A597" s="171">
        <f>IF('09월 조업일지'!A583="","",'09월 조업일지'!A583)</f>
        <v>46286</v>
      </c>
      <c r="B597" s="172" t="str">
        <f>'09월 조업일지'!E583</f>
        <v>D</v>
      </c>
      <c r="C597" s="172" t="str">
        <f>'09월 조업일지'!F583</f>
        <v>B</v>
      </c>
      <c r="D597" s="172">
        <f>'09월 화학성분'!C584</f>
        <v>85786</v>
      </c>
      <c r="E597" s="205" t="str">
        <f t="shared" si="132"/>
        <v/>
      </c>
      <c r="F597" s="121"/>
      <c r="G597" s="122"/>
      <c r="H597" s="123"/>
      <c r="I597" s="122"/>
      <c r="J597" s="123"/>
      <c r="K597" s="122"/>
      <c r="L597" s="124" t="str">
        <f t="shared" si="133"/>
        <v/>
      </c>
      <c r="M597" s="125" t="str">
        <f t="shared" si="133"/>
        <v/>
      </c>
      <c r="N597" s="126" t="str">
        <f t="shared" si="120"/>
        <v/>
      </c>
      <c r="O597" s="127" t="str">
        <f t="shared" si="121"/>
        <v/>
      </c>
      <c r="P597" s="127" t="str">
        <f t="shared" si="122"/>
        <v/>
      </c>
      <c r="Q597" s="128" t="str">
        <f t="shared" si="123"/>
        <v/>
      </c>
      <c r="R597" s="129"/>
      <c r="S597" s="130"/>
      <c r="T597" s="131"/>
      <c r="U597" s="131"/>
      <c r="V597" s="132" t="str">
        <f t="shared" si="124"/>
        <v/>
      </c>
      <c r="W597" s="133" t="str">
        <f t="shared" si="125"/>
        <v/>
      </c>
      <c r="X597" s="130"/>
      <c r="Y597" s="131"/>
      <c r="Z597" s="131"/>
      <c r="AA597" s="132" t="str">
        <f t="shared" si="126"/>
        <v/>
      </c>
      <c r="AB597" s="133" t="str">
        <f t="shared" si="127"/>
        <v/>
      </c>
      <c r="AC597" s="134" t="str">
        <f t="shared" si="128"/>
        <v/>
      </c>
      <c r="AD597" s="135" t="str">
        <f t="shared" si="129"/>
        <v/>
      </c>
      <c r="AE597" s="136"/>
      <c r="AF597" s="137"/>
      <c r="AG597" s="137"/>
      <c r="AH597" s="138" t="str">
        <f t="shared" si="130"/>
        <v/>
      </c>
      <c r="AI597" s="133" t="str">
        <f t="shared" si="131"/>
        <v/>
      </c>
    </row>
    <row r="598" spans="1:35">
      <c r="A598" s="171">
        <f>IF('09월 조업일지'!A584="","",'09월 조업일지'!A584)</f>
        <v>46287</v>
      </c>
      <c r="B598" s="172" t="str">
        <f>'09월 조업일지'!E584</f>
        <v>D</v>
      </c>
      <c r="C598" s="172" t="str">
        <f>'09월 조업일지'!F584</f>
        <v>A</v>
      </c>
      <c r="D598" s="172">
        <f>'09월 화학성분'!C585</f>
        <v>85787</v>
      </c>
      <c r="E598" s="205" t="str">
        <f t="shared" si="132"/>
        <v/>
      </c>
      <c r="F598" s="121"/>
      <c r="G598" s="122"/>
      <c r="H598" s="123"/>
      <c r="I598" s="122"/>
      <c r="J598" s="123"/>
      <c r="K598" s="122"/>
      <c r="L598" s="124" t="str">
        <f t="shared" si="133"/>
        <v/>
      </c>
      <c r="M598" s="125" t="str">
        <f t="shared" si="133"/>
        <v/>
      </c>
      <c r="N598" s="126" t="str">
        <f t="shared" si="120"/>
        <v/>
      </c>
      <c r="O598" s="127" t="str">
        <f t="shared" si="121"/>
        <v/>
      </c>
      <c r="P598" s="127" t="str">
        <f t="shared" si="122"/>
        <v/>
      </c>
      <c r="Q598" s="128" t="str">
        <f t="shared" si="123"/>
        <v/>
      </c>
      <c r="R598" s="129"/>
      <c r="S598" s="130"/>
      <c r="T598" s="131"/>
      <c r="U598" s="131"/>
      <c r="V598" s="132" t="str">
        <f t="shared" si="124"/>
        <v/>
      </c>
      <c r="W598" s="133" t="str">
        <f t="shared" si="125"/>
        <v/>
      </c>
      <c r="X598" s="130"/>
      <c r="Y598" s="131"/>
      <c r="Z598" s="131"/>
      <c r="AA598" s="132" t="str">
        <f t="shared" si="126"/>
        <v/>
      </c>
      <c r="AB598" s="133" t="str">
        <f t="shared" si="127"/>
        <v/>
      </c>
      <c r="AC598" s="134" t="str">
        <f t="shared" si="128"/>
        <v/>
      </c>
      <c r="AD598" s="135" t="str">
        <f t="shared" si="129"/>
        <v/>
      </c>
      <c r="AE598" s="136"/>
      <c r="AF598" s="137"/>
      <c r="AG598" s="137"/>
      <c r="AH598" s="138" t="str">
        <f t="shared" si="130"/>
        <v/>
      </c>
      <c r="AI598" s="133" t="str">
        <f t="shared" si="131"/>
        <v/>
      </c>
    </row>
    <row r="599" spans="1:35">
      <c r="A599" s="171">
        <f>IF('09월 조업일지'!A585="","",'09월 조업일지'!A585)</f>
        <v>46287</v>
      </c>
      <c r="B599" s="172" t="str">
        <f>'09월 조업일지'!E585</f>
        <v>D</v>
      </c>
      <c r="C599" s="172" t="str">
        <f>'09월 조업일지'!F585</f>
        <v>B</v>
      </c>
      <c r="D599" s="172">
        <f>'09월 화학성분'!C586</f>
        <v>85788</v>
      </c>
      <c r="E599" s="205" t="str">
        <f t="shared" si="132"/>
        <v/>
      </c>
      <c r="F599" s="121"/>
      <c r="G599" s="122"/>
      <c r="H599" s="123"/>
      <c r="I599" s="122"/>
      <c r="J599" s="123"/>
      <c r="K599" s="122"/>
      <c r="L599" s="124" t="str">
        <f t="shared" si="133"/>
        <v/>
      </c>
      <c r="M599" s="125" t="str">
        <f t="shared" si="133"/>
        <v/>
      </c>
      <c r="N599" s="126" t="str">
        <f t="shared" si="120"/>
        <v/>
      </c>
      <c r="O599" s="127" t="str">
        <f t="shared" si="121"/>
        <v/>
      </c>
      <c r="P599" s="127" t="str">
        <f t="shared" si="122"/>
        <v/>
      </c>
      <c r="Q599" s="128" t="str">
        <f t="shared" si="123"/>
        <v/>
      </c>
      <c r="R599" s="129"/>
      <c r="S599" s="130"/>
      <c r="T599" s="131"/>
      <c r="U599" s="131"/>
      <c r="V599" s="132" t="str">
        <f t="shared" si="124"/>
        <v/>
      </c>
      <c r="W599" s="133" t="str">
        <f t="shared" si="125"/>
        <v/>
      </c>
      <c r="X599" s="130"/>
      <c r="Y599" s="131"/>
      <c r="Z599" s="131"/>
      <c r="AA599" s="132" t="str">
        <f t="shared" si="126"/>
        <v/>
      </c>
      <c r="AB599" s="133" t="str">
        <f t="shared" si="127"/>
        <v/>
      </c>
      <c r="AC599" s="134" t="str">
        <f t="shared" si="128"/>
        <v/>
      </c>
      <c r="AD599" s="135" t="str">
        <f t="shared" si="129"/>
        <v/>
      </c>
      <c r="AE599" s="136"/>
      <c r="AF599" s="137"/>
      <c r="AG599" s="137"/>
      <c r="AH599" s="138" t="str">
        <f t="shared" si="130"/>
        <v/>
      </c>
      <c r="AI599" s="133" t="str">
        <f t="shared" si="131"/>
        <v/>
      </c>
    </row>
    <row r="600" spans="1:35">
      <c r="A600" s="171">
        <f>IF('09월 조업일지'!A586="","",'09월 조업일지'!A586)</f>
        <v>46287</v>
      </c>
      <c r="B600" s="172" t="str">
        <f>'09월 조업일지'!E586</f>
        <v>D</v>
      </c>
      <c r="C600" s="172" t="str">
        <f>'09월 조업일지'!F586</f>
        <v>A</v>
      </c>
      <c r="D600" s="172">
        <f>'09월 화학성분'!C587</f>
        <v>85789</v>
      </c>
      <c r="E600" s="205" t="str">
        <f t="shared" si="132"/>
        <v/>
      </c>
      <c r="F600" s="121"/>
      <c r="G600" s="122"/>
      <c r="H600" s="123"/>
      <c r="I600" s="122"/>
      <c r="J600" s="123"/>
      <c r="K600" s="122"/>
      <c r="L600" s="124" t="str">
        <f t="shared" si="133"/>
        <v/>
      </c>
      <c r="M600" s="125" t="str">
        <f t="shared" si="133"/>
        <v/>
      </c>
      <c r="N600" s="126" t="str">
        <f t="shared" ref="N600:N663" si="134">IF(ISBLANK(G600),"",G600/R600)</f>
        <v/>
      </c>
      <c r="O600" s="127" t="str">
        <f t="shared" ref="O600:O663" si="135">IF(ISBLANK(I600),"",+I600/R600)</f>
        <v/>
      </c>
      <c r="P600" s="127" t="str">
        <f t="shared" ref="P600:P663" si="136">IF(ISBLANK(K600),"",K600/R600)</f>
        <v/>
      </c>
      <c r="Q600" s="128" t="str">
        <f t="shared" ref="Q600:Q663" si="137">IF(ISBLANK(K600),"",SUM(N600:P600))</f>
        <v/>
      </c>
      <c r="R600" s="129"/>
      <c r="S600" s="130"/>
      <c r="T600" s="131"/>
      <c r="U600" s="131"/>
      <c r="V600" s="132" t="str">
        <f t="shared" ref="V600:V663" si="138">IF(SUM(S600:U600)=0,"",SUM(S600:U600))</f>
        <v/>
      </c>
      <c r="W600" s="133" t="str">
        <f t="shared" ref="W600:W663" si="139">IF(V600="","",V600/R600)</f>
        <v/>
      </c>
      <c r="X600" s="130"/>
      <c r="Y600" s="131"/>
      <c r="Z600" s="131"/>
      <c r="AA600" s="132" t="str">
        <f t="shared" ref="AA600:AA663" si="140">IF(SUM(X600:Z600)=0,"",SUM(X600:Z600))</f>
        <v/>
      </c>
      <c r="AB600" s="133" t="str">
        <f t="shared" ref="AB600:AB663" si="141">IF(AA600="","",AA600/R600)</f>
        <v/>
      </c>
      <c r="AC600" s="134" t="str">
        <f t="shared" ref="AC600:AC663" si="142">IF(SUM(V600,AA600)=0,"",SUM(V600,AA600))</f>
        <v/>
      </c>
      <c r="AD600" s="135" t="str">
        <f t="shared" ref="AD600:AD663" si="143">IF(AC600="","",AC600/R600)</f>
        <v/>
      </c>
      <c r="AE600" s="136"/>
      <c r="AF600" s="137"/>
      <c r="AG600" s="137"/>
      <c r="AH600" s="138" t="str">
        <f t="shared" ref="AH600:AH663" si="144">IF(SUM(AE600:AG600)=0,"",SUM(AE600:AG600))</f>
        <v/>
      </c>
      <c r="AI600" s="133" t="str">
        <f t="shared" ref="AI600:AI663" si="145">IF(AH600="","",AH600/R600)</f>
        <v/>
      </c>
    </row>
    <row r="601" spans="1:35">
      <c r="A601" s="171">
        <f>IF('09월 조업일지'!A587="","",'09월 조업일지'!A587)</f>
        <v>46287</v>
      </c>
      <c r="B601" s="172" t="str">
        <f>'09월 조업일지'!E587</f>
        <v>D</v>
      </c>
      <c r="C601" s="172" t="str">
        <f>'09월 조업일지'!F587</f>
        <v>B</v>
      </c>
      <c r="D601" s="172">
        <f>'09월 화학성분'!C588</f>
        <v>85790</v>
      </c>
      <c r="E601" s="205" t="str">
        <f t="shared" ref="E601:E664" si="146">IF(F601="","",E600)</f>
        <v/>
      </c>
      <c r="F601" s="121"/>
      <c r="G601" s="122"/>
      <c r="H601" s="123"/>
      <c r="I601" s="122"/>
      <c r="J601" s="123"/>
      <c r="K601" s="122"/>
      <c r="L601" s="124" t="str">
        <f t="shared" si="133"/>
        <v/>
      </c>
      <c r="M601" s="125" t="str">
        <f t="shared" si="133"/>
        <v/>
      </c>
      <c r="N601" s="126" t="str">
        <f t="shared" si="134"/>
        <v/>
      </c>
      <c r="O601" s="127" t="str">
        <f t="shared" si="135"/>
        <v/>
      </c>
      <c r="P601" s="127" t="str">
        <f t="shared" si="136"/>
        <v/>
      </c>
      <c r="Q601" s="128" t="str">
        <f t="shared" si="137"/>
        <v/>
      </c>
      <c r="R601" s="129"/>
      <c r="S601" s="130"/>
      <c r="T601" s="131"/>
      <c r="U601" s="131"/>
      <c r="V601" s="132" t="str">
        <f t="shared" si="138"/>
        <v/>
      </c>
      <c r="W601" s="133" t="str">
        <f t="shared" si="139"/>
        <v/>
      </c>
      <c r="X601" s="130"/>
      <c r="Y601" s="131"/>
      <c r="Z601" s="131"/>
      <c r="AA601" s="132" t="str">
        <f t="shared" si="140"/>
        <v/>
      </c>
      <c r="AB601" s="133" t="str">
        <f t="shared" si="141"/>
        <v/>
      </c>
      <c r="AC601" s="134" t="str">
        <f t="shared" si="142"/>
        <v/>
      </c>
      <c r="AD601" s="135" t="str">
        <f t="shared" si="143"/>
        <v/>
      </c>
      <c r="AE601" s="136"/>
      <c r="AF601" s="137"/>
      <c r="AG601" s="137"/>
      <c r="AH601" s="138" t="str">
        <f t="shared" si="144"/>
        <v/>
      </c>
      <c r="AI601" s="133" t="str">
        <f t="shared" si="145"/>
        <v/>
      </c>
    </row>
    <row r="602" spans="1:35">
      <c r="A602" s="171">
        <f>IF('09월 조업일지'!A588="","",'09월 조업일지'!A588)</f>
        <v>46287</v>
      </c>
      <c r="B602" s="172" t="str">
        <f>'09월 조업일지'!E588</f>
        <v>A</v>
      </c>
      <c r="C602" s="172" t="str">
        <f>'09월 조업일지'!F588</f>
        <v>A</v>
      </c>
      <c r="D602" s="172">
        <f>'09월 화학성분'!C589</f>
        <v>85791</v>
      </c>
      <c r="E602" s="205" t="str">
        <f t="shared" si="146"/>
        <v/>
      </c>
      <c r="F602" s="121"/>
      <c r="G602" s="122"/>
      <c r="H602" s="123"/>
      <c r="I602" s="122"/>
      <c r="J602" s="123"/>
      <c r="K602" s="122"/>
      <c r="L602" s="124" t="str">
        <f t="shared" si="133"/>
        <v/>
      </c>
      <c r="M602" s="125" t="str">
        <f t="shared" si="133"/>
        <v/>
      </c>
      <c r="N602" s="126" t="str">
        <f t="shared" si="134"/>
        <v/>
      </c>
      <c r="O602" s="127" t="str">
        <f t="shared" si="135"/>
        <v/>
      </c>
      <c r="P602" s="127" t="str">
        <f t="shared" si="136"/>
        <v/>
      </c>
      <c r="Q602" s="128" t="str">
        <f t="shared" si="137"/>
        <v/>
      </c>
      <c r="R602" s="129"/>
      <c r="S602" s="130"/>
      <c r="T602" s="131"/>
      <c r="U602" s="131"/>
      <c r="V602" s="132" t="str">
        <f t="shared" si="138"/>
        <v/>
      </c>
      <c r="W602" s="133" t="str">
        <f t="shared" si="139"/>
        <v/>
      </c>
      <c r="X602" s="130"/>
      <c r="Y602" s="131"/>
      <c r="Z602" s="131"/>
      <c r="AA602" s="132" t="str">
        <f t="shared" si="140"/>
        <v/>
      </c>
      <c r="AB602" s="133" t="str">
        <f t="shared" si="141"/>
        <v/>
      </c>
      <c r="AC602" s="134" t="str">
        <f t="shared" si="142"/>
        <v/>
      </c>
      <c r="AD602" s="135" t="str">
        <f t="shared" si="143"/>
        <v/>
      </c>
      <c r="AE602" s="136"/>
      <c r="AF602" s="137"/>
      <c r="AG602" s="137"/>
      <c r="AH602" s="138" t="str">
        <f t="shared" si="144"/>
        <v/>
      </c>
      <c r="AI602" s="133" t="str">
        <f t="shared" si="145"/>
        <v/>
      </c>
    </row>
    <row r="603" spans="1:35">
      <c r="A603" s="171">
        <f>IF('09월 조업일지'!A589="","",'09월 조업일지'!A589)</f>
        <v>46287</v>
      </c>
      <c r="B603" s="172" t="str">
        <f>'09월 조업일지'!E589</f>
        <v>A</v>
      </c>
      <c r="C603" s="172" t="str">
        <f>'09월 조업일지'!F589</f>
        <v>B</v>
      </c>
      <c r="D603" s="172">
        <f>'09월 화학성분'!C590</f>
        <v>85792</v>
      </c>
      <c r="E603" s="205" t="str">
        <f t="shared" si="146"/>
        <v/>
      </c>
      <c r="F603" s="121"/>
      <c r="G603" s="122"/>
      <c r="H603" s="123"/>
      <c r="I603" s="122"/>
      <c r="J603" s="123"/>
      <c r="K603" s="122"/>
      <c r="L603" s="124" t="str">
        <f t="shared" si="133"/>
        <v/>
      </c>
      <c r="M603" s="125" t="str">
        <f t="shared" si="133"/>
        <v/>
      </c>
      <c r="N603" s="126" t="str">
        <f t="shared" si="134"/>
        <v/>
      </c>
      <c r="O603" s="127" t="str">
        <f t="shared" si="135"/>
        <v/>
      </c>
      <c r="P603" s="127" t="str">
        <f t="shared" si="136"/>
        <v/>
      </c>
      <c r="Q603" s="128" t="str">
        <f t="shared" si="137"/>
        <v/>
      </c>
      <c r="R603" s="129"/>
      <c r="S603" s="130"/>
      <c r="T603" s="131"/>
      <c r="U603" s="131"/>
      <c r="V603" s="132" t="str">
        <f t="shared" si="138"/>
        <v/>
      </c>
      <c r="W603" s="133" t="str">
        <f t="shared" si="139"/>
        <v/>
      </c>
      <c r="X603" s="130"/>
      <c r="Y603" s="131"/>
      <c r="Z603" s="131"/>
      <c r="AA603" s="132" t="str">
        <f t="shared" si="140"/>
        <v/>
      </c>
      <c r="AB603" s="133" t="str">
        <f t="shared" si="141"/>
        <v/>
      </c>
      <c r="AC603" s="134" t="str">
        <f t="shared" si="142"/>
        <v/>
      </c>
      <c r="AD603" s="135" t="str">
        <f t="shared" si="143"/>
        <v/>
      </c>
      <c r="AE603" s="136"/>
      <c r="AF603" s="137"/>
      <c r="AG603" s="137"/>
      <c r="AH603" s="138" t="str">
        <f t="shared" si="144"/>
        <v/>
      </c>
      <c r="AI603" s="133" t="str">
        <f t="shared" si="145"/>
        <v/>
      </c>
    </row>
    <row r="604" spans="1:35">
      <c r="A604" s="171">
        <f>IF('09월 조업일지'!A590="","",'09월 조업일지'!A590)</f>
        <v>46287</v>
      </c>
      <c r="B604" s="172" t="str">
        <f>'09월 조업일지'!E590</f>
        <v>A</v>
      </c>
      <c r="C604" s="172" t="str">
        <f>'09월 조업일지'!F590</f>
        <v>A</v>
      </c>
      <c r="D604" s="172">
        <f>'09월 화학성분'!C591</f>
        <v>85793</v>
      </c>
      <c r="E604" s="205" t="str">
        <f t="shared" si="146"/>
        <v/>
      </c>
      <c r="F604" s="121"/>
      <c r="G604" s="122"/>
      <c r="H604" s="123"/>
      <c r="I604" s="122"/>
      <c r="J604" s="123"/>
      <c r="K604" s="122"/>
      <c r="L604" s="124" t="str">
        <f t="shared" si="133"/>
        <v/>
      </c>
      <c r="M604" s="125" t="str">
        <f t="shared" si="133"/>
        <v/>
      </c>
      <c r="N604" s="126" t="str">
        <f t="shared" si="134"/>
        <v/>
      </c>
      <c r="O604" s="127" t="str">
        <f t="shared" si="135"/>
        <v/>
      </c>
      <c r="P604" s="127" t="str">
        <f t="shared" si="136"/>
        <v/>
      </c>
      <c r="Q604" s="128" t="str">
        <f t="shared" si="137"/>
        <v/>
      </c>
      <c r="R604" s="129"/>
      <c r="S604" s="130"/>
      <c r="T604" s="131"/>
      <c r="U604" s="131"/>
      <c r="V604" s="132" t="str">
        <f t="shared" si="138"/>
        <v/>
      </c>
      <c r="W604" s="133" t="str">
        <f t="shared" si="139"/>
        <v/>
      </c>
      <c r="X604" s="130"/>
      <c r="Y604" s="131"/>
      <c r="Z604" s="131"/>
      <c r="AA604" s="132" t="str">
        <f t="shared" si="140"/>
        <v/>
      </c>
      <c r="AB604" s="133" t="str">
        <f t="shared" si="141"/>
        <v/>
      </c>
      <c r="AC604" s="134" t="str">
        <f t="shared" si="142"/>
        <v/>
      </c>
      <c r="AD604" s="135" t="str">
        <f t="shared" si="143"/>
        <v/>
      </c>
      <c r="AE604" s="136"/>
      <c r="AF604" s="137"/>
      <c r="AG604" s="137"/>
      <c r="AH604" s="138" t="str">
        <f t="shared" si="144"/>
        <v/>
      </c>
      <c r="AI604" s="133" t="str">
        <f t="shared" si="145"/>
        <v/>
      </c>
    </row>
    <row r="605" spans="1:35">
      <c r="A605" s="171">
        <f>IF('09월 조업일지'!A591="","",'09월 조업일지'!A591)</f>
        <v>46287</v>
      </c>
      <c r="B605" s="172" t="str">
        <f>'09월 조업일지'!E591</f>
        <v>A</v>
      </c>
      <c r="C605" s="172" t="str">
        <f>'09월 조업일지'!F591</f>
        <v>B</v>
      </c>
      <c r="D605" s="172">
        <f>'09월 화학성분'!C592</f>
        <v>85794</v>
      </c>
      <c r="E605" s="205" t="str">
        <f t="shared" si="146"/>
        <v/>
      </c>
      <c r="F605" s="121"/>
      <c r="G605" s="122"/>
      <c r="H605" s="123"/>
      <c r="I605" s="122"/>
      <c r="J605" s="123"/>
      <c r="K605" s="122"/>
      <c r="L605" s="124" t="str">
        <f t="shared" si="133"/>
        <v/>
      </c>
      <c r="M605" s="125" t="str">
        <f t="shared" si="133"/>
        <v/>
      </c>
      <c r="N605" s="126" t="str">
        <f t="shared" si="134"/>
        <v/>
      </c>
      <c r="O605" s="127" t="str">
        <f t="shared" si="135"/>
        <v/>
      </c>
      <c r="P605" s="127" t="str">
        <f t="shared" si="136"/>
        <v/>
      </c>
      <c r="Q605" s="128" t="str">
        <f t="shared" si="137"/>
        <v/>
      </c>
      <c r="R605" s="129"/>
      <c r="S605" s="130"/>
      <c r="T605" s="131"/>
      <c r="U605" s="131"/>
      <c r="V605" s="132" t="str">
        <f t="shared" si="138"/>
        <v/>
      </c>
      <c r="W605" s="133" t="str">
        <f t="shared" si="139"/>
        <v/>
      </c>
      <c r="X605" s="130"/>
      <c r="Y605" s="131"/>
      <c r="Z605" s="131"/>
      <c r="AA605" s="132" t="str">
        <f t="shared" si="140"/>
        <v/>
      </c>
      <c r="AB605" s="133" t="str">
        <f t="shared" si="141"/>
        <v/>
      </c>
      <c r="AC605" s="134" t="str">
        <f t="shared" si="142"/>
        <v/>
      </c>
      <c r="AD605" s="135" t="str">
        <f t="shared" si="143"/>
        <v/>
      </c>
      <c r="AE605" s="136"/>
      <c r="AF605" s="137"/>
      <c r="AG605" s="137"/>
      <c r="AH605" s="138" t="str">
        <f t="shared" si="144"/>
        <v/>
      </c>
      <c r="AI605" s="133" t="str">
        <f t="shared" si="145"/>
        <v/>
      </c>
    </row>
    <row r="606" spans="1:35">
      <c r="A606" s="171">
        <f>IF('09월 조업일지'!A592="","",'09월 조업일지'!A592)</f>
        <v>46287</v>
      </c>
      <c r="B606" s="172" t="str">
        <f>'09월 조업일지'!E592</f>
        <v>C</v>
      </c>
      <c r="C606" s="172" t="str">
        <f>'09월 조업일지'!F592</f>
        <v>B</v>
      </c>
      <c r="D606" s="172">
        <f>'09월 화학성분'!C593</f>
        <v>85795</v>
      </c>
      <c r="E606" s="205" t="str">
        <f t="shared" si="146"/>
        <v/>
      </c>
      <c r="F606" s="121"/>
      <c r="G606" s="122"/>
      <c r="H606" s="123"/>
      <c r="I606" s="122"/>
      <c r="J606" s="123"/>
      <c r="K606" s="122"/>
      <c r="L606" s="124" t="str">
        <f t="shared" si="133"/>
        <v/>
      </c>
      <c r="M606" s="125" t="str">
        <f t="shared" si="133"/>
        <v/>
      </c>
      <c r="N606" s="126" t="str">
        <f t="shared" si="134"/>
        <v/>
      </c>
      <c r="O606" s="127" t="str">
        <f t="shared" si="135"/>
        <v/>
      </c>
      <c r="P606" s="127" t="str">
        <f t="shared" si="136"/>
        <v/>
      </c>
      <c r="Q606" s="128" t="str">
        <f t="shared" si="137"/>
        <v/>
      </c>
      <c r="R606" s="129"/>
      <c r="S606" s="130"/>
      <c r="T606" s="131"/>
      <c r="U606" s="131"/>
      <c r="V606" s="132" t="str">
        <f t="shared" si="138"/>
        <v/>
      </c>
      <c r="W606" s="133" t="str">
        <f t="shared" si="139"/>
        <v/>
      </c>
      <c r="X606" s="130"/>
      <c r="Y606" s="131"/>
      <c r="Z606" s="131"/>
      <c r="AA606" s="132" t="str">
        <f t="shared" si="140"/>
        <v/>
      </c>
      <c r="AB606" s="133" t="str">
        <f t="shared" si="141"/>
        <v/>
      </c>
      <c r="AC606" s="134" t="str">
        <f t="shared" si="142"/>
        <v/>
      </c>
      <c r="AD606" s="135" t="str">
        <f t="shared" si="143"/>
        <v/>
      </c>
      <c r="AE606" s="136"/>
      <c r="AF606" s="137"/>
      <c r="AG606" s="137"/>
      <c r="AH606" s="138" t="str">
        <f t="shared" si="144"/>
        <v/>
      </c>
      <c r="AI606" s="133" t="str">
        <f t="shared" si="145"/>
        <v/>
      </c>
    </row>
    <row r="607" spans="1:35">
      <c r="A607" s="171">
        <f>IF('09월 조업일지'!A593="","",'09월 조업일지'!A593)</f>
        <v>46287</v>
      </c>
      <c r="B607" s="172" t="str">
        <f>'09월 조업일지'!E593</f>
        <v>C</v>
      </c>
      <c r="C607" s="172" t="str">
        <f>'09월 조업일지'!F593</f>
        <v>A</v>
      </c>
      <c r="D607" s="172">
        <f>'09월 화학성분'!C594</f>
        <v>85796</v>
      </c>
      <c r="E607" s="205" t="str">
        <f t="shared" si="146"/>
        <v/>
      </c>
      <c r="F607" s="121"/>
      <c r="G607" s="122"/>
      <c r="H607" s="123"/>
      <c r="I607" s="122"/>
      <c r="J607" s="123"/>
      <c r="K607" s="122"/>
      <c r="L607" s="124" t="str">
        <f t="shared" si="133"/>
        <v/>
      </c>
      <c r="M607" s="125" t="str">
        <f t="shared" si="133"/>
        <v/>
      </c>
      <c r="N607" s="126" t="str">
        <f t="shared" si="134"/>
        <v/>
      </c>
      <c r="O607" s="127" t="str">
        <f t="shared" si="135"/>
        <v/>
      </c>
      <c r="P607" s="127" t="str">
        <f t="shared" si="136"/>
        <v/>
      </c>
      <c r="Q607" s="128" t="str">
        <f t="shared" si="137"/>
        <v/>
      </c>
      <c r="R607" s="129"/>
      <c r="S607" s="130"/>
      <c r="T607" s="131"/>
      <c r="U607" s="131"/>
      <c r="V607" s="132" t="str">
        <f t="shared" si="138"/>
        <v/>
      </c>
      <c r="W607" s="133" t="str">
        <f t="shared" si="139"/>
        <v/>
      </c>
      <c r="X607" s="130"/>
      <c r="Y607" s="131"/>
      <c r="Z607" s="131"/>
      <c r="AA607" s="132" t="str">
        <f t="shared" si="140"/>
        <v/>
      </c>
      <c r="AB607" s="133" t="str">
        <f t="shared" si="141"/>
        <v/>
      </c>
      <c r="AC607" s="134" t="str">
        <f t="shared" si="142"/>
        <v/>
      </c>
      <c r="AD607" s="135" t="str">
        <f t="shared" si="143"/>
        <v/>
      </c>
      <c r="AE607" s="136"/>
      <c r="AF607" s="137"/>
      <c r="AG607" s="137"/>
      <c r="AH607" s="138" t="str">
        <f t="shared" si="144"/>
        <v/>
      </c>
      <c r="AI607" s="133" t="str">
        <f t="shared" si="145"/>
        <v/>
      </c>
    </row>
    <row r="608" spans="1:35">
      <c r="A608" s="171">
        <f>IF('09월 조업일지'!A594="","",'09월 조업일지'!A594)</f>
        <v>46287</v>
      </c>
      <c r="B608" s="172" t="str">
        <f>'09월 조업일지'!E594</f>
        <v>C</v>
      </c>
      <c r="C608" s="172" t="str">
        <f>'09월 조업일지'!F594</f>
        <v>B</v>
      </c>
      <c r="D608" s="172">
        <f>'09월 화학성분'!C595</f>
        <v>85797</v>
      </c>
      <c r="E608" s="205" t="str">
        <f t="shared" si="146"/>
        <v/>
      </c>
      <c r="F608" s="121"/>
      <c r="G608" s="122"/>
      <c r="H608" s="123"/>
      <c r="I608" s="122"/>
      <c r="J608" s="123"/>
      <c r="K608" s="122"/>
      <c r="L608" s="124" t="str">
        <f t="shared" si="133"/>
        <v/>
      </c>
      <c r="M608" s="125" t="str">
        <f t="shared" si="133"/>
        <v/>
      </c>
      <c r="N608" s="126" t="str">
        <f t="shared" si="134"/>
        <v/>
      </c>
      <c r="O608" s="127" t="str">
        <f t="shared" si="135"/>
        <v/>
      </c>
      <c r="P608" s="127" t="str">
        <f t="shared" si="136"/>
        <v/>
      </c>
      <c r="Q608" s="128" t="str">
        <f t="shared" si="137"/>
        <v/>
      </c>
      <c r="R608" s="129"/>
      <c r="S608" s="130"/>
      <c r="T608" s="131"/>
      <c r="U608" s="131"/>
      <c r="V608" s="132" t="str">
        <f t="shared" si="138"/>
        <v/>
      </c>
      <c r="W608" s="133" t="str">
        <f t="shared" si="139"/>
        <v/>
      </c>
      <c r="X608" s="130"/>
      <c r="Y608" s="131"/>
      <c r="Z608" s="131"/>
      <c r="AA608" s="132" t="str">
        <f t="shared" si="140"/>
        <v/>
      </c>
      <c r="AB608" s="133" t="str">
        <f t="shared" si="141"/>
        <v/>
      </c>
      <c r="AC608" s="134" t="str">
        <f t="shared" si="142"/>
        <v/>
      </c>
      <c r="AD608" s="135" t="str">
        <f t="shared" si="143"/>
        <v/>
      </c>
      <c r="AE608" s="136"/>
      <c r="AF608" s="137"/>
      <c r="AG608" s="137"/>
      <c r="AH608" s="138" t="str">
        <f t="shared" si="144"/>
        <v/>
      </c>
      <c r="AI608" s="133" t="str">
        <f t="shared" si="145"/>
        <v/>
      </c>
    </row>
    <row r="609" spans="1:35">
      <c r="A609" s="171">
        <f>IF('09월 조업일지'!A595="","",'09월 조업일지'!A595)</f>
        <v>46287</v>
      </c>
      <c r="B609" s="172" t="str">
        <f>'09월 조업일지'!E595</f>
        <v>C</v>
      </c>
      <c r="C609" s="172" t="str">
        <f>'09월 조업일지'!F595</f>
        <v>A</v>
      </c>
      <c r="D609" s="172">
        <f>'09월 화학성분'!C596</f>
        <v>85798</v>
      </c>
      <c r="E609" s="205" t="str">
        <f t="shared" si="146"/>
        <v/>
      </c>
      <c r="F609" s="121"/>
      <c r="G609" s="122"/>
      <c r="H609" s="123"/>
      <c r="I609" s="122"/>
      <c r="J609" s="123"/>
      <c r="K609" s="122"/>
      <c r="L609" s="124" t="str">
        <f t="shared" si="133"/>
        <v/>
      </c>
      <c r="M609" s="125" t="str">
        <f t="shared" si="133"/>
        <v/>
      </c>
      <c r="N609" s="126" t="str">
        <f t="shared" si="134"/>
        <v/>
      </c>
      <c r="O609" s="127" t="str">
        <f t="shared" si="135"/>
        <v/>
      </c>
      <c r="P609" s="127" t="str">
        <f t="shared" si="136"/>
        <v/>
      </c>
      <c r="Q609" s="128" t="str">
        <f t="shared" si="137"/>
        <v/>
      </c>
      <c r="R609" s="129"/>
      <c r="S609" s="130"/>
      <c r="T609" s="131"/>
      <c r="U609" s="131"/>
      <c r="V609" s="132" t="str">
        <f t="shared" si="138"/>
        <v/>
      </c>
      <c r="W609" s="133" t="str">
        <f t="shared" si="139"/>
        <v/>
      </c>
      <c r="X609" s="130"/>
      <c r="Y609" s="131"/>
      <c r="Z609" s="131"/>
      <c r="AA609" s="132" t="str">
        <f t="shared" si="140"/>
        <v/>
      </c>
      <c r="AB609" s="133" t="str">
        <f t="shared" si="141"/>
        <v/>
      </c>
      <c r="AC609" s="134" t="str">
        <f t="shared" si="142"/>
        <v/>
      </c>
      <c r="AD609" s="135" t="str">
        <f t="shared" si="143"/>
        <v/>
      </c>
      <c r="AE609" s="136"/>
      <c r="AF609" s="137"/>
      <c r="AG609" s="137"/>
      <c r="AH609" s="138" t="str">
        <f t="shared" si="144"/>
        <v/>
      </c>
      <c r="AI609" s="133" t="str">
        <f t="shared" si="145"/>
        <v/>
      </c>
    </row>
    <row r="610" spans="1:35">
      <c r="A610" s="171">
        <f>IF('09월 조업일지'!A596="","",'09월 조업일지'!A596)</f>
        <v>46287</v>
      </c>
      <c r="B610" s="172" t="str">
        <f>'09월 조업일지'!E596</f>
        <v>D</v>
      </c>
      <c r="C610" s="172" t="str">
        <f>'09월 조업일지'!F596</f>
        <v>B</v>
      </c>
      <c r="D610" s="172">
        <f>'09월 화학성분'!C597</f>
        <v>85799</v>
      </c>
      <c r="E610" s="205" t="str">
        <f t="shared" si="146"/>
        <v/>
      </c>
      <c r="F610" s="121"/>
      <c r="G610" s="122"/>
      <c r="H610" s="123"/>
      <c r="I610" s="122"/>
      <c r="J610" s="123"/>
      <c r="K610" s="122"/>
      <c r="L610" s="124" t="str">
        <f t="shared" si="133"/>
        <v/>
      </c>
      <c r="M610" s="125" t="str">
        <f t="shared" si="133"/>
        <v/>
      </c>
      <c r="N610" s="126" t="str">
        <f t="shared" si="134"/>
        <v/>
      </c>
      <c r="O610" s="127" t="str">
        <f t="shared" si="135"/>
        <v/>
      </c>
      <c r="P610" s="127" t="str">
        <f t="shared" si="136"/>
        <v/>
      </c>
      <c r="Q610" s="128" t="str">
        <f t="shared" si="137"/>
        <v/>
      </c>
      <c r="R610" s="129"/>
      <c r="S610" s="130"/>
      <c r="T610" s="131"/>
      <c r="U610" s="131"/>
      <c r="V610" s="132" t="str">
        <f t="shared" si="138"/>
        <v/>
      </c>
      <c r="W610" s="133" t="str">
        <f t="shared" si="139"/>
        <v/>
      </c>
      <c r="X610" s="130"/>
      <c r="Y610" s="131"/>
      <c r="Z610" s="131"/>
      <c r="AA610" s="132" t="str">
        <f t="shared" si="140"/>
        <v/>
      </c>
      <c r="AB610" s="133" t="str">
        <f t="shared" si="141"/>
        <v/>
      </c>
      <c r="AC610" s="134" t="str">
        <f t="shared" si="142"/>
        <v/>
      </c>
      <c r="AD610" s="135" t="str">
        <f t="shared" si="143"/>
        <v/>
      </c>
      <c r="AE610" s="136"/>
      <c r="AF610" s="137"/>
      <c r="AG610" s="137"/>
      <c r="AH610" s="138" t="str">
        <f t="shared" si="144"/>
        <v/>
      </c>
      <c r="AI610" s="133" t="str">
        <f t="shared" si="145"/>
        <v/>
      </c>
    </row>
    <row r="611" spans="1:35">
      <c r="A611" s="171">
        <f>IF('09월 조업일지'!A597="","",'09월 조업일지'!A597)</f>
        <v>46287</v>
      </c>
      <c r="B611" s="172" t="str">
        <f>'09월 조업일지'!E597</f>
        <v>D</v>
      </c>
      <c r="C611" s="172" t="str">
        <f>'09월 조업일지'!F597</f>
        <v>A</v>
      </c>
      <c r="D611" s="172">
        <f>'09월 화학성분'!C598</f>
        <v>85800</v>
      </c>
      <c r="E611" s="205" t="str">
        <f t="shared" si="146"/>
        <v/>
      </c>
      <c r="F611" s="121"/>
      <c r="G611" s="122"/>
      <c r="H611" s="123"/>
      <c r="I611" s="122"/>
      <c r="J611" s="123"/>
      <c r="K611" s="122"/>
      <c r="L611" s="124" t="str">
        <f t="shared" ref="L611:M674" si="147">IF(ISBLANK(F611),"",SUM(F611,H611,J611))</f>
        <v/>
      </c>
      <c r="M611" s="125" t="str">
        <f t="shared" si="147"/>
        <v/>
      </c>
      <c r="N611" s="126" t="str">
        <f t="shared" si="134"/>
        <v/>
      </c>
      <c r="O611" s="127" t="str">
        <f t="shared" si="135"/>
        <v/>
      </c>
      <c r="P611" s="127" t="str">
        <f t="shared" si="136"/>
        <v/>
      </c>
      <c r="Q611" s="128" t="str">
        <f t="shared" si="137"/>
        <v/>
      </c>
      <c r="R611" s="129"/>
      <c r="S611" s="130"/>
      <c r="T611" s="131"/>
      <c r="U611" s="131"/>
      <c r="V611" s="132" t="str">
        <f t="shared" si="138"/>
        <v/>
      </c>
      <c r="W611" s="133" t="str">
        <f t="shared" si="139"/>
        <v/>
      </c>
      <c r="X611" s="130"/>
      <c r="Y611" s="131"/>
      <c r="Z611" s="131"/>
      <c r="AA611" s="132" t="str">
        <f t="shared" si="140"/>
        <v/>
      </c>
      <c r="AB611" s="133" t="str">
        <f t="shared" si="141"/>
        <v/>
      </c>
      <c r="AC611" s="134" t="str">
        <f t="shared" si="142"/>
        <v/>
      </c>
      <c r="AD611" s="135" t="str">
        <f t="shared" si="143"/>
        <v/>
      </c>
      <c r="AE611" s="136"/>
      <c r="AF611" s="137"/>
      <c r="AG611" s="137"/>
      <c r="AH611" s="138" t="str">
        <f t="shared" si="144"/>
        <v/>
      </c>
      <c r="AI611" s="133" t="str">
        <f t="shared" si="145"/>
        <v/>
      </c>
    </row>
    <row r="612" spans="1:35">
      <c r="A612" s="171">
        <f>IF('09월 조업일지'!A598="","",'09월 조업일지'!A598)</f>
        <v>46287</v>
      </c>
      <c r="B612" s="172" t="str">
        <f>'09월 조업일지'!E598</f>
        <v>D</v>
      </c>
      <c r="C612" s="172" t="str">
        <f>'09월 조업일지'!F598</f>
        <v>B</v>
      </c>
      <c r="D612" s="172">
        <f>'09월 화학성분'!C599</f>
        <v>85801</v>
      </c>
      <c r="E612" s="205" t="str">
        <f t="shared" si="146"/>
        <v/>
      </c>
      <c r="F612" s="121"/>
      <c r="G612" s="122"/>
      <c r="H612" s="123"/>
      <c r="I612" s="122"/>
      <c r="J612" s="123"/>
      <c r="K612" s="122"/>
      <c r="L612" s="124" t="str">
        <f t="shared" si="147"/>
        <v/>
      </c>
      <c r="M612" s="125" t="str">
        <f t="shared" si="147"/>
        <v/>
      </c>
      <c r="N612" s="126" t="str">
        <f t="shared" si="134"/>
        <v/>
      </c>
      <c r="O612" s="127" t="str">
        <f t="shared" si="135"/>
        <v/>
      </c>
      <c r="P612" s="127" t="str">
        <f t="shared" si="136"/>
        <v/>
      </c>
      <c r="Q612" s="128" t="str">
        <f t="shared" si="137"/>
        <v/>
      </c>
      <c r="R612" s="129"/>
      <c r="S612" s="130"/>
      <c r="T612" s="131"/>
      <c r="U612" s="131"/>
      <c r="V612" s="132" t="str">
        <f t="shared" si="138"/>
        <v/>
      </c>
      <c r="W612" s="133" t="str">
        <f t="shared" si="139"/>
        <v/>
      </c>
      <c r="X612" s="130"/>
      <c r="Y612" s="131"/>
      <c r="Z612" s="131"/>
      <c r="AA612" s="132" t="str">
        <f t="shared" si="140"/>
        <v/>
      </c>
      <c r="AB612" s="133" t="str">
        <f t="shared" si="141"/>
        <v/>
      </c>
      <c r="AC612" s="134" t="str">
        <f t="shared" si="142"/>
        <v/>
      </c>
      <c r="AD612" s="135" t="str">
        <f t="shared" si="143"/>
        <v/>
      </c>
      <c r="AE612" s="136"/>
      <c r="AF612" s="137"/>
      <c r="AG612" s="137"/>
      <c r="AH612" s="138" t="str">
        <f t="shared" si="144"/>
        <v/>
      </c>
      <c r="AI612" s="133" t="str">
        <f t="shared" si="145"/>
        <v/>
      </c>
    </row>
    <row r="613" spans="1:35">
      <c r="A613" s="171">
        <f>IF('09월 조업일지'!A599="","",'09월 조업일지'!A599)</f>
        <v>46287</v>
      </c>
      <c r="B613" s="172" t="str">
        <f>'09월 조업일지'!E599</f>
        <v>D</v>
      </c>
      <c r="C613" s="172" t="str">
        <f>'09월 조업일지'!F599</f>
        <v>A</v>
      </c>
      <c r="D613" s="172">
        <f>'09월 화학성분'!C600</f>
        <v>85802</v>
      </c>
      <c r="E613" s="205" t="str">
        <f t="shared" si="146"/>
        <v/>
      </c>
      <c r="F613" s="121"/>
      <c r="G613" s="122"/>
      <c r="H613" s="123"/>
      <c r="I613" s="122"/>
      <c r="J613" s="123"/>
      <c r="K613" s="122"/>
      <c r="L613" s="124" t="str">
        <f t="shared" si="147"/>
        <v/>
      </c>
      <c r="M613" s="125" t="str">
        <f t="shared" si="147"/>
        <v/>
      </c>
      <c r="N613" s="126" t="str">
        <f t="shared" si="134"/>
        <v/>
      </c>
      <c r="O613" s="127" t="str">
        <f t="shared" si="135"/>
        <v/>
      </c>
      <c r="P613" s="127" t="str">
        <f t="shared" si="136"/>
        <v/>
      </c>
      <c r="Q613" s="128" t="str">
        <f t="shared" si="137"/>
        <v/>
      </c>
      <c r="R613" s="129"/>
      <c r="S613" s="130"/>
      <c r="T613" s="131"/>
      <c r="U613" s="131"/>
      <c r="V613" s="132" t="str">
        <f t="shared" si="138"/>
        <v/>
      </c>
      <c r="W613" s="133" t="str">
        <f t="shared" si="139"/>
        <v/>
      </c>
      <c r="X613" s="130"/>
      <c r="Y613" s="131"/>
      <c r="Z613" s="131"/>
      <c r="AA613" s="132" t="str">
        <f t="shared" si="140"/>
        <v/>
      </c>
      <c r="AB613" s="133" t="str">
        <f t="shared" si="141"/>
        <v/>
      </c>
      <c r="AC613" s="134" t="str">
        <f t="shared" si="142"/>
        <v/>
      </c>
      <c r="AD613" s="135" t="str">
        <f t="shared" si="143"/>
        <v/>
      </c>
      <c r="AE613" s="136"/>
      <c r="AF613" s="137"/>
      <c r="AG613" s="137"/>
      <c r="AH613" s="138" t="str">
        <f t="shared" si="144"/>
        <v/>
      </c>
      <c r="AI613" s="133" t="str">
        <f t="shared" si="145"/>
        <v/>
      </c>
    </row>
    <row r="614" spans="1:35">
      <c r="A614" s="171">
        <f>IF('09월 조업일지'!A600="","",'09월 조업일지'!A600)</f>
        <v>46287</v>
      </c>
      <c r="B614" s="172" t="str">
        <f>'09월 조업일지'!E600</f>
        <v>D</v>
      </c>
      <c r="C614" s="172" t="str">
        <f>'09월 조업일지'!F600</f>
        <v>B</v>
      </c>
      <c r="D614" s="172">
        <f>'09월 화학성분'!C601</f>
        <v>85803</v>
      </c>
      <c r="E614" s="205" t="str">
        <f t="shared" si="146"/>
        <v/>
      </c>
      <c r="F614" s="121"/>
      <c r="G614" s="122"/>
      <c r="H614" s="123"/>
      <c r="I614" s="122"/>
      <c r="J614" s="123"/>
      <c r="K614" s="122"/>
      <c r="L614" s="124" t="str">
        <f t="shared" si="147"/>
        <v/>
      </c>
      <c r="M614" s="125" t="str">
        <f t="shared" si="147"/>
        <v/>
      </c>
      <c r="N614" s="126" t="str">
        <f t="shared" si="134"/>
        <v/>
      </c>
      <c r="O614" s="127" t="str">
        <f t="shared" si="135"/>
        <v/>
      </c>
      <c r="P614" s="127" t="str">
        <f t="shared" si="136"/>
        <v/>
      </c>
      <c r="Q614" s="128" t="str">
        <f t="shared" si="137"/>
        <v/>
      </c>
      <c r="R614" s="129"/>
      <c r="S614" s="130"/>
      <c r="T614" s="131"/>
      <c r="U614" s="131"/>
      <c r="V614" s="132" t="str">
        <f t="shared" si="138"/>
        <v/>
      </c>
      <c r="W614" s="133" t="str">
        <f t="shared" si="139"/>
        <v/>
      </c>
      <c r="X614" s="130"/>
      <c r="Y614" s="131"/>
      <c r="Z614" s="131"/>
      <c r="AA614" s="132" t="str">
        <f t="shared" si="140"/>
        <v/>
      </c>
      <c r="AB614" s="133" t="str">
        <f t="shared" si="141"/>
        <v/>
      </c>
      <c r="AC614" s="134" t="str">
        <f t="shared" si="142"/>
        <v/>
      </c>
      <c r="AD614" s="135" t="str">
        <f t="shared" si="143"/>
        <v/>
      </c>
      <c r="AE614" s="136"/>
      <c r="AF614" s="137"/>
      <c r="AG614" s="137"/>
      <c r="AH614" s="138" t="str">
        <f t="shared" si="144"/>
        <v/>
      </c>
      <c r="AI614" s="133" t="str">
        <f t="shared" si="145"/>
        <v/>
      </c>
    </row>
    <row r="615" spans="1:35">
      <c r="A615" s="171">
        <f>IF('09월 조업일지'!A601="","",'09월 조업일지'!A601)</f>
        <v>46287</v>
      </c>
      <c r="B615" s="172" t="str">
        <f>'09월 조업일지'!E601</f>
        <v>D</v>
      </c>
      <c r="C615" s="172" t="str">
        <f>'09월 조업일지'!F601</f>
        <v>A</v>
      </c>
      <c r="D615" s="172">
        <f>'09월 화학성분'!C602</f>
        <v>85804</v>
      </c>
      <c r="E615" s="205" t="str">
        <f t="shared" si="146"/>
        <v/>
      </c>
      <c r="F615" s="121"/>
      <c r="G615" s="122"/>
      <c r="H615" s="123"/>
      <c r="I615" s="122"/>
      <c r="J615" s="123"/>
      <c r="K615" s="122"/>
      <c r="L615" s="124" t="str">
        <f t="shared" si="147"/>
        <v/>
      </c>
      <c r="M615" s="125" t="str">
        <f t="shared" si="147"/>
        <v/>
      </c>
      <c r="N615" s="126" t="str">
        <f t="shared" si="134"/>
        <v/>
      </c>
      <c r="O615" s="127" t="str">
        <f t="shared" si="135"/>
        <v/>
      </c>
      <c r="P615" s="127" t="str">
        <f t="shared" si="136"/>
        <v/>
      </c>
      <c r="Q615" s="128" t="str">
        <f t="shared" si="137"/>
        <v/>
      </c>
      <c r="R615" s="129"/>
      <c r="S615" s="130"/>
      <c r="T615" s="131"/>
      <c r="U615" s="131"/>
      <c r="V615" s="132" t="str">
        <f t="shared" si="138"/>
        <v/>
      </c>
      <c r="W615" s="133" t="str">
        <f t="shared" si="139"/>
        <v/>
      </c>
      <c r="X615" s="130"/>
      <c r="Y615" s="131"/>
      <c r="Z615" s="131"/>
      <c r="AA615" s="132" t="str">
        <f t="shared" si="140"/>
        <v/>
      </c>
      <c r="AB615" s="133" t="str">
        <f t="shared" si="141"/>
        <v/>
      </c>
      <c r="AC615" s="134" t="str">
        <f t="shared" si="142"/>
        <v/>
      </c>
      <c r="AD615" s="135" t="str">
        <f t="shared" si="143"/>
        <v/>
      </c>
      <c r="AE615" s="136"/>
      <c r="AF615" s="137"/>
      <c r="AG615" s="137"/>
      <c r="AH615" s="138" t="str">
        <f t="shared" si="144"/>
        <v/>
      </c>
      <c r="AI615" s="133" t="str">
        <f t="shared" si="145"/>
        <v/>
      </c>
    </row>
    <row r="616" spans="1:35">
      <c r="A616" s="171">
        <f>IF('09월 조업일지'!A602="","",'09월 조업일지'!A602)</f>
        <v>46288</v>
      </c>
      <c r="B616" s="172" t="str">
        <f>'09월 조업일지'!E602</f>
        <v>D</v>
      </c>
      <c r="C616" s="172" t="str">
        <f>'09월 조업일지'!F602</f>
        <v>B</v>
      </c>
      <c r="D616" s="172">
        <f>'09월 화학성분'!C603</f>
        <v>85805</v>
      </c>
      <c r="E616" s="205" t="str">
        <f t="shared" si="146"/>
        <v/>
      </c>
      <c r="F616" s="121"/>
      <c r="G616" s="122"/>
      <c r="H616" s="123"/>
      <c r="I616" s="122"/>
      <c r="J616" s="123"/>
      <c r="K616" s="122"/>
      <c r="L616" s="124" t="str">
        <f t="shared" si="147"/>
        <v/>
      </c>
      <c r="M616" s="125" t="str">
        <f t="shared" si="147"/>
        <v/>
      </c>
      <c r="N616" s="126" t="str">
        <f t="shared" si="134"/>
        <v/>
      </c>
      <c r="O616" s="127" t="str">
        <f t="shared" si="135"/>
        <v/>
      </c>
      <c r="P616" s="127" t="str">
        <f t="shared" si="136"/>
        <v/>
      </c>
      <c r="Q616" s="128" t="str">
        <f t="shared" si="137"/>
        <v/>
      </c>
      <c r="R616" s="129"/>
      <c r="S616" s="130"/>
      <c r="T616" s="131"/>
      <c r="U616" s="131"/>
      <c r="V616" s="132" t="str">
        <f t="shared" si="138"/>
        <v/>
      </c>
      <c r="W616" s="133" t="str">
        <f t="shared" si="139"/>
        <v/>
      </c>
      <c r="X616" s="130"/>
      <c r="Y616" s="131"/>
      <c r="Z616" s="131"/>
      <c r="AA616" s="132" t="str">
        <f t="shared" si="140"/>
        <v/>
      </c>
      <c r="AB616" s="133" t="str">
        <f t="shared" si="141"/>
        <v/>
      </c>
      <c r="AC616" s="134" t="str">
        <f t="shared" si="142"/>
        <v/>
      </c>
      <c r="AD616" s="135" t="str">
        <f t="shared" si="143"/>
        <v/>
      </c>
      <c r="AE616" s="136"/>
      <c r="AF616" s="137"/>
      <c r="AG616" s="137"/>
      <c r="AH616" s="138" t="str">
        <f t="shared" si="144"/>
        <v/>
      </c>
      <c r="AI616" s="133" t="str">
        <f t="shared" si="145"/>
        <v/>
      </c>
    </row>
    <row r="617" spans="1:35">
      <c r="A617" s="171">
        <f>IF('09월 조업일지'!A603="","",'09월 조업일지'!A603)</f>
        <v>46288</v>
      </c>
      <c r="B617" s="172" t="str">
        <f>'09월 조업일지'!E603</f>
        <v>D</v>
      </c>
      <c r="C617" s="172" t="str">
        <f>'09월 조업일지'!F603</f>
        <v>A</v>
      </c>
      <c r="D617" s="172">
        <f>'09월 화학성분'!C604</f>
        <v>85806</v>
      </c>
      <c r="E617" s="205" t="str">
        <f t="shared" si="146"/>
        <v/>
      </c>
      <c r="F617" s="121"/>
      <c r="G617" s="122"/>
      <c r="H617" s="123"/>
      <c r="I617" s="122"/>
      <c r="J617" s="123"/>
      <c r="K617" s="122"/>
      <c r="L617" s="124" t="str">
        <f t="shared" si="147"/>
        <v/>
      </c>
      <c r="M617" s="125" t="str">
        <f t="shared" si="147"/>
        <v/>
      </c>
      <c r="N617" s="126" t="str">
        <f t="shared" si="134"/>
        <v/>
      </c>
      <c r="O617" s="127" t="str">
        <f t="shared" si="135"/>
        <v/>
      </c>
      <c r="P617" s="127" t="str">
        <f t="shared" si="136"/>
        <v/>
      </c>
      <c r="Q617" s="128" t="str">
        <f t="shared" si="137"/>
        <v/>
      </c>
      <c r="R617" s="129"/>
      <c r="S617" s="130"/>
      <c r="T617" s="131"/>
      <c r="U617" s="131"/>
      <c r="V617" s="132" t="str">
        <f t="shared" si="138"/>
        <v/>
      </c>
      <c r="W617" s="133" t="str">
        <f t="shared" si="139"/>
        <v/>
      </c>
      <c r="X617" s="130"/>
      <c r="Y617" s="131"/>
      <c r="Z617" s="131"/>
      <c r="AA617" s="132" t="str">
        <f t="shared" si="140"/>
        <v/>
      </c>
      <c r="AB617" s="133" t="str">
        <f t="shared" si="141"/>
        <v/>
      </c>
      <c r="AC617" s="134" t="str">
        <f t="shared" si="142"/>
        <v/>
      </c>
      <c r="AD617" s="135" t="str">
        <f t="shared" si="143"/>
        <v/>
      </c>
      <c r="AE617" s="136"/>
      <c r="AF617" s="137"/>
      <c r="AG617" s="137"/>
      <c r="AH617" s="138" t="str">
        <f t="shared" si="144"/>
        <v/>
      </c>
      <c r="AI617" s="133" t="str">
        <f t="shared" si="145"/>
        <v/>
      </c>
    </row>
    <row r="618" spans="1:35">
      <c r="A618" s="171">
        <f>IF('09월 조업일지'!A604="","",'09월 조업일지'!A604)</f>
        <v>46288</v>
      </c>
      <c r="B618" s="172" t="str">
        <f>'09월 조업일지'!E604</f>
        <v>D</v>
      </c>
      <c r="C618" s="172" t="str">
        <f>'09월 조업일지'!F604</f>
        <v>B</v>
      </c>
      <c r="D618" s="172">
        <f>'09월 화학성분'!C605</f>
        <v>85807</v>
      </c>
      <c r="E618" s="205" t="str">
        <f t="shared" si="146"/>
        <v/>
      </c>
      <c r="F618" s="121"/>
      <c r="G618" s="122"/>
      <c r="H618" s="123"/>
      <c r="I618" s="122"/>
      <c r="J618" s="123"/>
      <c r="K618" s="122"/>
      <c r="L618" s="124" t="str">
        <f t="shared" si="147"/>
        <v/>
      </c>
      <c r="M618" s="125" t="str">
        <f t="shared" si="147"/>
        <v/>
      </c>
      <c r="N618" s="126" t="str">
        <f t="shared" si="134"/>
        <v/>
      </c>
      <c r="O618" s="127" t="str">
        <f t="shared" si="135"/>
        <v/>
      </c>
      <c r="P618" s="127" t="str">
        <f t="shared" si="136"/>
        <v/>
      </c>
      <c r="Q618" s="128" t="str">
        <f t="shared" si="137"/>
        <v/>
      </c>
      <c r="R618" s="129"/>
      <c r="S618" s="130"/>
      <c r="T618" s="131"/>
      <c r="U618" s="131"/>
      <c r="V618" s="132" t="str">
        <f t="shared" si="138"/>
        <v/>
      </c>
      <c r="W618" s="133" t="str">
        <f t="shared" si="139"/>
        <v/>
      </c>
      <c r="X618" s="130"/>
      <c r="Y618" s="131"/>
      <c r="Z618" s="131"/>
      <c r="AA618" s="132" t="str">
        <f t="shared" si="140"/>
        <v/>
      </c>
      <c r="AB618" s="133" t="str">
        <f t="shared" si="141"/>
        <v/>
      </c>
      <c r="AC618" s="134" t="str">
        <f t="shared" si="142"/>
        <v/>
      </c>
      <c r="AD618" s="135" t="str">
        <f t="shared" si="143"/>
        <v/>
      </c>
      <c r="AE618" s="136"/>
      <c r="AF618" s="137"/>
      <c r="AG618" s="137"/>
      <c r="AH618" s="138" t="str">
        <f t="shared" si="144"/>
        <v/>
      </c>
      <c r="AI618" s="133" t="str">
        <f t="shared" si="145"/>
        <v/>
      </c>
    </row>
    <row r="619" spans="1:35">
      <c r="A619" s="171">
        <f>IF('09월 조업일지'!A605="","",'09월 조업일지'!A605)</f>
        <v>46288</v>
      </c>
      <c r="B619" s="172" t="str">
        <f>'09월 조업일지'!E605</f>
        <v>D</v>
      </c>
      <c r="C619" s="172" t="str">
        <f>'09월 조업일지'!F605</f>
        <v>A</v>
      </c>
      <c r="D619" s="172">
        <f>'09월 화학성분'!C606</f>
        <v>85808</v>
      </c>
      <c r="E619" s="205" t="str">
        <f t="shared" si="146"/>
        <v/>
      </c>
      <c r="F619" s="121"/>
      <c r="G619" s="122"/>
      <c r="H619" s="123"/>
      <c r="I619" s="122"/>
      <c r="J619" s="123"/>
      <c r="K619" s="122"/>
      <c r="L619" s="124" t="str">
        <f t="shared" si="147"/>
        <v/>
      </c>
      <c r="M619" s="125" t="str">
        <f t="shared" si="147"/>
        <v/>
      </c>
      <c r="N619" s="126" t="str">
        <f t="shared" si="134"/>
        <v/>
      </c>
      <c r="O619" s="127" t="str">
        <f t="shared" si="135"/>
        <v/>
      </c>
      <c r="P619" s="127" t="str">
        <f t="shared" si="136"/>
        <v/>
      </c>
      <c r="Q619" s="128" t="str">
        <f t="shared" si="137"/>
        <v/>
      </c>
      <c r="R619" s="129"/>
      <c r="S619" s="130"/>
      <c r="T619" s="131"/>
      <c r="U619" s="131"/>
      <c r="V619" s="132" t="str">
        <f t="shared" si="138"/>
        <v/>
      </c>
      <c r="W619" s="133" t="str">
        <f t="shared" si="139"/>
        <v/>
      </c>
      <c r="X619" s="130"/>
      <c r="Y619" s="131"/>
      <c r="Z619" s="131"/>
      <c r="AA619" s="132" t="str">
        <f t="shared" si="140"/>
        <v/>
      </c>
      <c r="AB619" s="133" t="str">
        <f t="shared" si="141"/>
        <v/>
      </c>
      <c r="AC619" s="134" t="str">
        <f t="shared" si="142"/>
        <v/>
      </c>
      <c r="AD619" s="135" t="str">
        <f t="shared" si="143"/>
        <v/>
      </c>
      <c r="AE619" s="136"/>
      <c r="AF619" s="137"/>
      <c r="AG619" s="137"/>
      <c r="AH619" s="138" t="str">
        <f t="shared" si="144"/>
        <v/>
      </c>
      <c r="AI619" s="133" t="str">
        <f t="shared" si="145"/>
        <v/>
      </c>
    </row>
    <row r="620" spans="1:35">
      <c r="A620" s="171">
        <f>IF('09월 조업일지'!A606="","",'09월 조업일지'!A606)</f>
        <v>46288</v>
      </c>
      <c r="B620" s="172" t="str">
        <f>'09월 조업일지'!E606</f>
        <v>B</v>
      </c>
      <c r="C620" s="172" t="str">
        <f>'09월 조업일지'!F606</f>
        <v>B</v>
      </c>
      <c r="D620" s="172">
        <f>'09월 화학성분'!C607</f>
        <v>85809</v>
      </c>
      <c r="E620" s="205" t="str">
        <f t="shared" si="146"/>
        <v/>
      </c>
      <c r="F620" s="121"/>
      <c r="G620" s="122"/>
      <c r="H620" s="123"/>
      <c r="I620" s="122"/>
      <c r="J620" s="123"/>
      <c r="K620" s="122"/>
      <c r="L620" s="124" t="str">
        <f t="shared" si="147"/>
        <v/>
      </c>
      <c r="M620" s="125" t="str">
        <f t="shared" si="147"/>
        <v/>
      </c>
      <c r="N620" s="126" t="str">
        <f t="shared" si="134"/>
        <v/>
      </c>
      <c r="O620" s="127" t="str">
        <f t="shared" si="135"/>
        <v/>
      </c>
      <c r="P620" s="127" t="str">
        <f t="shared" si="136"/>
        <v/>
      </c>
      <c r="Q620" s="128" t="str">
        <f t="shared" si="137"/>
        <v/>
      </c>
      <c r="R620" s="129"/>
      <c r="S620" s="130"/>
      <c r="T620" s="131"/>
      <c r="U620" s="131"/>
      <c r="V620" s="132" t="str">
        <f t="shared" si="138"/>
        <v/>
      </c>
      <c r="W620" s="133" t="str">
        <f t="shared" si="139"/>
        <v/>
      </c>
      <c r="X620" s="130"/>
      <c r="Y620" s="131"/>
      <c r="Z620" s="131"/>
      <c r="AA620" s="132" t="str">
        <f t="shared" si="140"/>
        <v/>
      </c>
      <c r="AB620" s="133" t="str">
        <f t="shared" si="141"/>
        <v/>
      </c>
      <c r="AC620" s="134" t="str">
        <f t="shared" si="142"/>
        <v/>
      </c>
      <c r="AD620" s="135" t="str">
        <f t="shared" si="143"/>
        <v/>
      </c>
      <c r="AE620" s="136"/>
      <c r="AF620" s="137"/>
      <c r="AG620" s="137"/>
      <c r="AH620" s="138" t="str">
        <f t="shared" si="144"/>
        <v/>
      </c>
      <c r="AI620" s="133" t="str">
        <f t="shared" si="145"/>
        <v/>
      </c>
    </row>
    <row r="621" spans="1:35">
      <c r="A621" s="171">
        <f>IF('09월 조업일지'!A607="","",'09월 조업일지'!A607)</f>
        <v>46288</v>
      </c>
      <c r="B621" s="172" t="str">
        <f>'09월 조업일지'!E607</f>
        <v>B</v>
      </c>
      <c r="C621" s="172" t="str">
        <f>'09월 조업일지'!F607</f>
        <v>A</v>
      </c>
      <c r="D621" s="172">
        <f>'09월 화학성분'!C608</f>
        <v>85810</v>
      </c>
      <c r="E621" s="205" t="str">
        <f t="shared" si="146"/>
        <v/>
      </c>
      <c r="F621" s="121"/>
      <c r="G621" s="122"/>
      <c r="H621" s="123"/>
      <c r="I621" s="122"/>
      <c r="J621" s="123"/>
      <c r="K621" s="122"/>
      <c r="L621" s="124" t="str">
        <f t="shared" si="147"/>
        <v/>
      </c>
      <c r="M621" s="125" t="str">
        <f t="shared" si="147"/>
        <v/>
      </c>
      <c r="N621" s="126" t="str">
        <f t="shared" si="134"/>
        <v/>
      </c>
      <c r="O621" s="127" t="str">
        <f t="shared" si="135"/>
        <v/>
      </c>
      <c r="P621" s="127" t="str">
        <f t="shared" si="136"/>
        <v/>
      </c>
      <c r="Q621" s="128" t="str">
        <f t="shared" si="137"/>
        <v/>
      </c>
      <c r="R621" s="129"/>
      <c r="S621" s="130"/>
      <c r="T621" s="131"/>
      <c r="U621" s="131"/>
      <c r="V621" s="132" t="str">
        <f t="shared" si="138"/>
        <v/>
      </c>
      <c r="W621" s="133" t="str">
        <f t="shared" si="139"/>
        <v/>
      </c>
      <c r="X621" s="130"/>
      <c r="Y621" s="131"/>
      <c r="Z621" s="131"/>
      <c r="AA621" s="132" t="str">
        <f t="shared" si="140"/>
        <v/>
      </c>
      <c r="AB621" s="133" t="str">
        <f t="shared" si="141"/>
        <v/>
      </c>
      <c r="AC621" s="134" t="str">
        <f t="shared" si="142"/>
        <v/>
      </c>
      <c r="AD621" s="135" t="str">
        <f t="shared" si="143"/>
        <v/>
      </c>
      <c r="AE621" s="136"/>
      <c r="AF621" s="137"/>
      <c r="AG621" s="137"/>
      <c r="AH621" s="138" t="str">
        <f t="shared" si="144"/>
        <v/>
      </c>
      <c r="AI621" s="133" t="str">
        <f t="shared" si="145"/>
        <v/>
      </c>
    </row>
    <row r="622" spans="1:35">
      <c r="A622" s="171">
        <f>IF('09월 조업일지'!A608="","",'09월 조업일지'!A608)</f>
        <v>46288</v>
      </c>
      <c r="B622" s="172" t="str">
        <f>'09월 조업일지'!E608</f>
        <v>B</v>
      </c>
      <c r="C622" s="172" t="str">
        <f>'09월 조업일지'!F608</f>
        <v>B</v>
      </c>
      <c r="D622" s="172">
        <f>'09월 화학성분'!C609</f>
        <v>85811</v>
      </c>
      <c r="E622" s="205" t="str">
        <f t="shared" si="146"/>
        <v/>
      </c>
      <c r="F622" s="121"/>
      <c r="G622" s="122"/>
      <c r="H622" s="123"/>
      <c r="I622" s="122"/>
      <c r="J622" s="123"/>
      <c r="K622" s="122"/>
      <c r="L622" s="124" t="str">
        <f t="shared" si="147"/>
        <v/>
      </c>
      <c r="M622" s="125" t="str">
        <f t="shared" si="147"/>
        <v/>
      </c>
      <c r="N622" s="126" t="str">
        <f t="shared" si="134"/>
        <v/>
      </c>
      <c r="O622" s="127" t="str">
        <f t="shared" si="135"/>
        <v/>
      </c>
      <c r="P622" s="127" t="str">
        <f t="shared" si="136"/>
        <v/>
      </c>
      <c r="Q622" s="128" t="str">
        <f t="shared" si="137"/>
        <v/>
      </c>
      <c r="R622" s="129"/>
      <c r="S622" s="130"/>
      <c r="T622" s="131"/>
      <c r="U622" s="131"/>
      <c r="V622" s="132" t="str">
        <f t="shared" si="138"/>
        <v/>
      </c>
      <c r="W622" s="133" t="str">
        <f t="shared" si="139"/>
        <v/>
      </c>
      <c r="X622" s="130"/>
      <c r="Y622" s="131"/>
      <c r="Z622" s="131"/>
      <c r="AA622" s="132" t="str">
        <f t="shared" si="140"/>
        <v/>
      </c>
      <c r="AB622" s="133" t="str">
        <f t="shared" si="141"/>
        <v/>
      </c>
      <c r="AC622" s="134" t="str">
        <f t="shared" si="142"/>
        <v/>
      </c>
      <c r="AD622" s="135" t="str">
        <f t="shared" si="143"/>
        <v/>
      </c>
      <c r="AE622" s="136"/>
      <c r="AF622" s="137"/>
      <c r="AG622" s="137"/>
      <c r="AH622" s="138" t="str">
        <f t="shared" si="144"/>
        <v/>
      </c>
      <c r="AI622" s="133" t="str">
        <f t="shared" si="145"/>
        <v/>
      </c>
    </row>
    <row r="623" spans="1:35">
      <c r="A623" s="171">
        <f>IF('09월 조업일지'!A609="","",'09월 조업일지'!A609)</f>
        <v>46288</v>
      </c>
      <c r="B623" s="172" t="str">
        <f>'09월 조업일지'!E609</f>
        <v>B</v>
      </c>
      <c r="C623" s="172" t="str">
        <f>'09월 조업일지'!F609</f>
        <v>A</v>
      </c>
      <c r="D623" s="172">
        <f>'09월 화학성분'!C610</f>
        <v>85812</v>
      </c>
      <c r="E623" s="205" t="str">
        <f t="shared" si="146"/>
        <v/>
      </c>
      <c r="F623" s="121"/>
      <c r="G623" s="122"/>
      <c r="H623" s="123"/>
      <c r="I623" s="122"/>
      <c r="J623" s="123"/>
      <c r="K623" s="122"/>
      <c r="L623" s="124" t="str">
        <f t="shared" si="147"/>
        <v/>
      </c>
      <c r="M623" s="125" t="str">
        <f t="shared" si="147"/>
        <v/>
      </c>
      <c r="N623" s="126" t="str">
        <f t="shared" si="134"/>
        <v/>
      </c>
      <c r="O623" s="127" t="str">
        <f t="shared" si="135"/>
        <v/>
      </c>
      <c r="P623" s="127" t="str">
        <f t="shared" si="136"/>
        <v/>
      </c>
      <c r="Q623" s="128" t="str">
        <f t="shared" si="137"/>
        <v/>
      </c>
      <c r="R623" s="129"/>
      <c r="S623" s="130"/>
      <c r="T623" s="131"/>
      <c r="U623" s="131"/>
      <c r="V623" s="132" t="str">
        <f t="shared" si="138"/>
        <v/>
      </c>
      <c r="W623" s="133" t="str">
        <f t="shared" si="139"/>
        <v/>
      </c>
      <c r="X623" s="130"/>
      <c r="Y623" s="131"/>
      <c r="Z623" s="131"/>
      <c r="AA623" s="132" t="str">
        <f t="shared" si="140"/>
        <v/>
      </c>
      <c r="AB623" s="133" t="str">
        <f t="shared" si="141"/>
        <v/>
      </c>
      <c r="AC623" s="134" t="str">
        <f t="shared" si="142"/>
        <v/>
      </c>
      <c r="AD623" s="135" t="str">
        <f t="shared" si="143"/>
        <v/>
      </c>
      <c r="AE623" s="136"/>
      <c r="AF623" s="137"/>
      <c r="AG623" s="137"/>
      <c r="AH623" s="138" t="str">
        <f t="shared" si="144"/>
        <v/>
      </c>
      <c r="AI623" s="133" t="str">
        <f t="shared" si="145"/>
        <v/>
      </c>
    </row>
    <row r="624" spans="1:35">
      <c r="A624" s="171">
        <f>IF('09월 조업일지'!A610="","",'09월 조업일지'!A610)</f>
        <v>46288</v>
      </c>
      <c r="B624" s="172" t="str">
        <f>'09월 조업일지'!E610</f>
        <v>B</v>
      </c>
      <c r="C624" s="172" t="str">
        <f>'09월 조업일지'!F610</f>
        <v>B</v>
      </c>
      <c r="D624" s="172">
        <f>'09월 화학성분'!C611</f>
        <v>85813</v>
      </c>
      <c r="E624" s="205" t="str">
        <f t="shared" si="146"/>
        <v/>
      </c>
      <c r="F624" s="121"/>
      <c r="G624" s="122"/>
      <c r="H624" s="123"/>
      <c r="I624" s="122"/>
      <c r="J624" s="123"/>
      <c r="K624" s="122"/>
      <c r="L624" s="124" t="str">
        <f t="shared" si="147"/>
        <v/>
      </c>
      <c r="M624" s="125" t="str">
        <f t="shared" si="147"/>
        <v/>
      </c>
      <c r="N624" s="126" t="str">
        <f t="shared" si="134"/>
        <v/>
      </c>
      <c r="O624" s="127" t="str">
        <f t="shared" si="135"/>
        <v/>
      </c>
      <c r="P624" s="127" t="str">
        <f t="shared" si="136"/>
        <v/>
      </c>
      <c r="Q624" s="128" t="str">
        <f t="shared" si="137"/>
        <v/>
      </c>
      <c r="R624" s="129"/>
      <c r="S624" s="130"/>
      <c r="T624" s="131"/>
      <c r="U624" s="131"/>
      <c r="V624" s="132" t="str">
        <f t="shared" si="138"/>
        <v/>
      </c>
      <c r="W624" s="133" t="str">
        <f t="shared" si="139"/>
        <v/>
      </c>
      <c r="X624" s="130"/>
      <c r="Y624" s="131"/>
      <c r="Z624" s="131"/>
      <c r="AA624" s="132" t="str">
        <f t="shared" si="140"/>
        <v/>
      </c>
      <c r="AB624" s="133" t="str">
        <f t="shared" si="141"/>
        <v/>
      </c>
      <c r="AC624" s="134" t="str">
        <f t="shared" si="142"/>
        <v/>
      </c>
      <c r="AD624" s="135" t="str">
        <f t="shared" si="143"/>
        <v/>
      </c>
      <c r="AE624" s="136"/>
      <c r="AF624" s="137"/>
      <c r="AG624" s="137"/>
      <c r="AH624" s="138" t="str">
        <f t="shared" si="144"/>
        <v/>
      </c>
      <c r="AI624" s="133" t="str">
        <f t="shared" si="145"/>
        <v/>
      </c>
    </row>
    <row r="625" spans="1:35">
      <c r="A625" s="171">
        <f>IF('09월 조업일지'!A611="","",'09월 조업일지'!A611)</f>
        <v>46288</v>
      </c>
      <c r="B625" s="172" t="str">
        <f>'09월 조업일지'!E611</f>
        <v>B</v>
      </c>
      <c r="C625" s="172" t="str">
        <f>'09월 조업일지'!F611</f>
        <v>A</v>
      </c>
      <c r="D625" s="172">
        <f>'09월 화학성분'!C612</f>
        <v>85814</v>
      </c>
      <c r="E625" s="205" t="str">
        <f t="shared" si="146"/>
        <v/>
      </c>
      <c r="F625" s="121"/>
      <c r="G625" s="122"/>
      <c r="H625" s="123"/>
      <c r="I625" s="122"/>
      <c r="J625" s="123"/>
      <c r="K625" s="122"/>
      <c r="L625" s="124" t="str">
        <f t="shared" si="147"/>
        <v/>
      </c>
      <c r="M625" s="125" t="str">
        <f t="shared" si="147"/>
        <v/>
      </c>
      <c r="N625" s="126" t="str">
        <f t="shared" si="134"/>
        <v/>
      </c>
      <c r="O625" s="127" t="str">
        <f t="shared" si="135"/>
        <v/>
      </c>
      <c r="P625" s="127" t="str">
        <f t="shared" si="136"/>
        <v/>
      </c>
      <c r="Q625" s="128" t="str">
        <f t="shared" si="137"/>
        <v/>
      </c>
      <c r="R625" s="129"/>
      <c r="S625" s="130"/>
      <c r="T625" s="131"/>
      <c r="U625" s="131"/>
      <c r="V625" s="132" t="str">
        <f t="shared" si="138"/>
        <v/>
      </c>
      <c r="W625" s="133" t="str">
        <f t="shared" si="139"/>
        <v/>
      </c>
      <c r="X625" s="130"/>
      <c r="Y625" s="131"/>
      <c r="Z625" s="131"/>
      <c r="AA625" s="132" t="str">
        <f t="shared" si="140"/>
        <v/>
      </c>
      <c r="AB625" s="133" t="str">
        <f t="shared" si="141"/>
        <v/>
      </c>
      <c r="AC625" s="134" t="str">
        <f t="shared" si="142"/>
        <v/>
      </c>
      <c r="AD625" s="135" t="str">
        <f t="shared" si="143"/>
        <v/>
      </c>
      <c r="AE625" s="136"/>
      <c r="AF625" s="137"/>
      <c r="AG625" s="137"/>
      <c r="AH625" s="138" t="str">
        <f t="shared" si="144"/>
        <v/>
      </c>
      <c r="AI625" s="133" t="str">
        <f t="shared" si="145"/>
        <v/>
      </c>
    </row>
    <row r="626" spans="1:35">
      <c r="A626" s="171">
        <f>IF('09월 조업일지'!A612="","",'09월 조업일지'!A612)</f>
        <v>46288</v>
      </c>
      <c r="B626" s="172" t="str">
        <f>'09월 조업일지'!E612</f>
        <v>B</v>
      </c>
      <c r="C626" s="172" t="str">
        <f>'09월 조업일지'!F612</f>
        <v>B</v>
      </c>
      <c r="D626" s="172">
        <f>'09월 화학성분'!C613</f>
        <v>85815</v>
      </c>
      <c r="E626" s="205" t="str">
        <f t="shared" si="146"/>
        <v/>
      </c>
      <c r="F626" s="121"/>
      <c r="G626" s="122"/>
      <c r="H626" s="123"/>
      <c r="I626" s="122"/>
      <c r="J626" s="123"/>
      <c r="K626" s="122"/>
      <c r="L626" s="124" t="str">
        <f t="shared" si="147"/>
        <v/>
      </c>
      <c r="M626" s="125" t="str">
        <f t="shared" si="147"/>
        <v/>
      </c>
      <c r="N626" s="126" t="str">
        <f t="shared" si="134"/>
        <v/>
      </c>
      <c r="O626" s="127" t="str">
        <f t="shared" si="135"/>
        <v/>
      </c>
      <c r="P626" s="127" t="str">
        <f t="shared" si="136"/>
        <v/>
      </c>
      <c r="Q626" s="128" t="str">
        <f t="shared" si="137"/>
        <v/>
      </c>
      <c r="R626" s="129"/>
      <c r="S626" s="130"/>
      <c r="T626" s="131"/>
      <c r="U626" s="131"/>
      <c r="V626" s="132" t="str">
        <f t="shared" si="138"/>
        <v/>
      </c>
      <c r="W626" s="133" t="str">
        <f t="shared" si="139"/>
        <v/>
      </c>
      <c r="X626" s="130"/>
      <c r="Y626" s="131"/>
      <c r="Z626" s="131"/>
      <c r="AA626" s="132" t="str">
        <f t="shared" si="140"/>
        <v/>
      </c>
      <c r="AB626" s="133" t="str">
        <f t="shared" si="141"/>
        <v/>
      </c>
      <c r="AC626" s="134" t="str">
        <f t="shared" si="142"/>
        <v/>
      </c>
      <c r="AD626" s="135" t="str">
        <f t="shared" si="143"/>
        <v/>
      </c>
      <c r="AE626" s="136"/>
      <c r="AF626" s="137"/>
      <c r="AG626" s="137"/>
      <c r="AH626" s="138" t="str">
        <f t="shared" si="144"/>
        <v/>
      </c>
      <c r="AI626" s="133" t="str">
        <f t="shared" si="145"/>
        <v/>
      </c>
    </row>
    <row r="627" spans="1:35">
      <c r="A627" s="171">
        <f>IF('09월 조업일지'!A613="","",'09월 조업일지'!A613)</f>
        <v>46288</v>
      </c>
      <c r="B627" s="172" t="str">
        <f>'09월 조업일지'!E613</f>
        <v>B</v>
      </c>
      <c r="C627" s="172" t="str">
        <f>'09월 조업일지'!F613</f>
        <v>A</v>
      </c>
      <c r="D627" s="172">
        <f>'09월 화학성분'!C614</f>
        <v>85816</v>
      </c>
      <c r="E627" s="205" t="str">
        <f t="shared" si="146"/>
        <v/>
      </c>
      <c r="F627" s="121"/>
      <c r="G627" s="122"/>
      <c r="H627" s="123"/>
      <c r="I627" s="122"/>
      <c r="J627" s="123"/>
      <c r="K627" s="122"/>
      <c r="L627" s="124" t="str">
        <f t="shared" si="147"/>
        <v/>
      </c>
      <c r="M627" s="125" t="str">
        <f t="shared" si="147"/>
        <v/>
      </c>
      <c r="N627" s="126" t="str">
        <f t="shared" si="134"/>
        <v/>
      </c>
      <c r="O627" s="127" t="str">
        <f t="shared" si="135"/>
        <v/>
      </c>
      <c r="P627" s="127" t="str">
        <f t="shared" si="136"/>
        <v/>
      </c>
      <c r="Q627" s="128" t="str">
        <f t="shared" si="137"/>
        <v/>
      </c>
      <c r="R627" s="129"/>
      <c r="S627" s="130"/>
      <c r="T627" s="131"/>
      <c r="U627" s="131"/>
      <c r="V627" s="132" t="str">
        <f t="shared" si="138"/>
        <v/>
      </c>
      <c r="W627" s="133" t="str">
        <f t="shared" si="139"/>
        <v/>
      </c>
      <c r="X627" s="130"/>
      <c r="Y627" s="131"/>
      <c r="Z627" s="131"/>
      <c r="AA627" s="132" t="str">
        <f t="shared" si="140"/>
        <v/>
      </c>
      <c r="AB627" s="133" t="str">
        <f t="shared" si="141"/>
        <v/>
      </c>
      <c r="AC627" s="134" t="str">
        <f t="shared" si="142"/>
        <v/>
      </c>
      <c r="AD627" s="135" t="str">
        <f t="shared" si="143"/>
        <v/>
      </c>
      <c r="AE627" s="136"/>
      <c r="AF627" s="137"/>
      <c r="AG627" s="137"/>
      <c r="AH627" s="138" t="str">
        <f t="shared" si="144"/>
        <v/>
      </c>
      <c r="AI627" s="133" t="str">
        <f t="shared" si="145"/>
        <v/>
      </c>
    </row>
    <row r="628" spans="1:35">
      <c r="A628" s="171">
        <f>IF('09월 조업일지'!A614="","",'09월 조업일지'!A614)</f>
        <v>46288</v>
      </c>
      <c r="B628" s="172" t="str">
        <f>'09월 조업일지'!E614</f>
        <v>B</v>
      </c>
      <c r="C628" s="172" t="str">
        <f>'09월 조업일지'!F614</f>
        <v>B</v>
      </c>
      <c r="D628" s="172">
        <f>'09월 화학성분'!C615</f>
        <v>85817</v>
      </c>
      <c r="E628" s="205" t="str">
        <f t="shared" si="146"/>
        <v/>
      </c>
      <c r="F628" s="121"/>
      <c r="G628" s="122"/>
      <c r="H628" s="123"/>
      <c r="I628" s="122"/>
      <c r="J628" s="123"/>
      <c r="K628" s="122"/>
      <c r="L628" s="124" t="str">
        <f t="shared" si="147"/>
        <v/>
      </c>
      <c r="M628" s="125" t="str">
        <f t="shared" si="147"/>
        <v/>
      </c>
      <c r="N628" s="126" t="str">
        <f t="shared" si="134"/>
        <v/>
      </c>
      <c r="O628" s="127" t="str">
        <f t="shared" si="135"/>
        <v/>
      </c>
      <c r="P628" s="127" t="str">
        <f t="shared" si="136"/>
        <v/>
      </c>
      <c r="Q628" s="128" t="str">
        <f t="shared" si="137"/>
        <v/>
      </c>
      <c r="R628" s="129"/>
      <c r="S628" s="130"/>
      <c r="T628" s="131"/>
      <c r="U628" s="131"/>
      <c r="V628" s="132" t="str">
        <f t="shared" si="138"/>
        <v/>
      </c>
      <c r="W628" s="133" t="str">
        <f t="shared" si="139"/>
        <v/>
      </c>
      <c r="X628" s="130"/>
      <c r="Y628" s="131"/>
      <c r="Z628" s="131"/>
      <c r="AA628" s="132" t="str">
        <f t="shared" si="140"/>
        <v/>
      </c>
      <c r="AB628" s="133" t="str">
        <f t="shared" si="141"/>
        <v/>
      </c>
      <c r="AC628" s="134" t="str">
        <f t="shared" si="142"/>
        <v/>
      </c>
      <c r="AD628" s="135" t="str">
        <f t="shared" si="143"/>
        <v/>
      </c>
      <c r="AE628" s="136"/>
      <c r="AF628" s="137"/>
      <c r="AG628" s="137"/>
      <c r="AH628" s="138" t="str">
        <f t="shared" si="144"/>
        <v/>
      </c>
      <c r="AI628" s="133" t="str">
        <f t="shared" si="145"/>
        <v/>
      </c>
    </row>
    <row r="629" spans="1:35">
      <c r="A629" s="171">
        <f>IF('09월 조업일지'!A615="","",'09월 조업일지'!A615)</f>
        <v>46288</v>
      </c>
      <c r="B629" s="172" t="str">
        <f>'09월 조업일지'!E615</f>
        <v>B</v>
      </c>
      <c r="C629" s="172" t="str">
        <f>'09월 조업일지'!F615</f>
        <v>A</v>
      </c>
      <c r="D629" s="172">
        <f>'09월 화학성분'!C616</f>
        <v>85818</v>
      </c>
      <c r="E629" s="205" t="str">
        <f t="shared" si="146"/>
        <v/>
      </c>
      <c r="F629" s="121"/>
      <c r="G629" s="122"/>
      <c r="H629" s="123"/>
      <c r="I629" s="122"/>
      <c r="J629" s="123"/>
      <c r="K629" s="122"/>
      <c r="L629" s="124" t="str">
        <f t="shared" si="147"/>
        <v/>
      </c>
      <c r="M629" s="125" t="str">
        <f t="shared" si="147"/>
        <v/>
      </c>
      <c r="N629" s="126" t="str">
        <f t="shared" si="134"/>
        <v/>
      </c>
      <c r="O629" s="127" t="str">
        <f t="shared" si="135"/>
        <v/>
      </c>
      <c r="P629" s="127" t="str">
        <f t="shared" si="136"/>
        <v/>
      </c>
      <c r="Q629" s="128" t="str">
        <f t="shared" si="137"/>
        <v/>
      </c>
      <c r="R629" s="129"/>
      <c r="S629" s="130"/>
      <c r="T629" s="131"/>
      <c r="U629" s="131"/>
      <c r="V629" s="132" t="str">
        <f t="shared" si="138"/>
        <v/>
      </c>
      <c r="W629" s="133" t="str">
        <f t="shared" si="139"/>
        <v/>
      </c>
      <c r="X629" s="130"/>
      <c r="Y629" s="131"/>
      <c r="Z629" s="131"/>
      <c r="AA629" s="132" t="str">
        <f t="shared" si="140"/>
        <v/>
      </c>
      <c r="AB629" s="133" t="str">
        <f t="shared" si="141"/>
        <v/>
      </c>
      <c r="AC629" s="134" t="str">
        <f t="shared" si="142"/>
        <v/>
      </c>
      <c r="AD629" s="135" t="str">
        <f t="shared" si="143"/>
        <v/>
      </c>
      <c r="AE629" s="136"/>
      <c r="AF629" s="137"/>
      <c r="AG629" s="137"/>
      <c r="AH629" s="138" t="str">
        <f t="shared" si="144"/>
        <v/>
      </c>
      <c r="AI629" s="133" t="str">
        <f t="shared" si="145"/>
        <v/>
      </c>
    </row>
    <row r="630" spans="1:35">
      <c r="A630" s="171">
        <f>IF('09월 조업일지'!A616="","",'09월 조업일지'!A616)</f>
        <v>46288</v>
      </c>
      <c r="B630" s="172" t="str">
        <f>'09월 조업일지'!E616</f>
        <v>C</v>
      </c>
      <c r="C630" s="172" t="str">
        <f>'09월 조업일지'!F616</f>
        <v>B</v>
      </c>
      <c r="D630" s="172">
        <f>'09월 화학성분'!C617</f>
        <v>85819</v>
      </c>
      <c r="E630" s="205" t="str">
        <f t="shared" si="146"/>
        <v/>
      </c>
      <c r="F630" s="121"/>
      <c r="G630" s="122"/>
      <c r="H630" s="123"/>
      <c r="I630" s="122"/>
      <c r="J630" s="123"/>
      <c r="K630" s="122"/>
      <c r="L630" s="124" t="str">
        <f t="shared" si="147"/>
        <v/>
      </c>
      <c r="M630" s="125" t="str">
        <f t="shared" si="147"/>
        <v/>
      </c>
      <c r="N630" s="126" t="str">
        <f t="shared" si="134"/>
        <v/>
      </c>
      <c r="O630" s="127" t="str">
        <f t="shared" si="135"/>
        <v/>
      </c>
      <c r="P630" s="127" t="str">
        <f t="shared" si="136"/>
        <v/>
      </c>
      <c r="Q630" s="128" t="str">
        <f t="shared" si="137"/>
        <v/>
      </c>
      <c r="R630" s="129"/>
      <c r="S630" s="130"/>
      <c r="T630" s="131"/>
      <c r="U630" s="131"/>
      <c r="V630" s="132" t="str">
        <f t="shared" si="138"/>
        <v/>
      </c>
      <c r="W630" s="133" t="str">
        <f t="shared" si="139"/>
        <v/>
      </c>
      <c r="X630" s="130"/>
      <c r="Y630" s="131"/>
      <c r="Z630" s="131"/>
      <c r="AA630" s="132" t="str">
        <f t="shared" si="140"/>
        <v/>
      </c>
      <c r="AB630" s="133" t="str">
        <f t="shared" si="141"/>
        <v/>
      </c>
      <c r="AC630" s="134" t="str">
        <f t="shared" si="142"/>
        <v/>
      </c>
      <c r="AD630" s="135" t="str">
        <f t="shared" si="143"/>
        <v/>
      </c>
      <c r="AE630" s="136"/>
      <c r="AF630" s="137"/>
      <c r="AG630" s="137"/>
      <c r="AH630" s="138" t="str">
        <f t="shared" si="144"/>
        <v/>
      </c>
      <c r="AI630" s="133" t="str">
        <f t="shared" si="145"/>
        <v/>
      </c>
    </row>
    <row r="631" spans="1:35">
      <c r="A631" s="171">
        <f>IF('09월 조업일지'!A617="","",'09월 조업일지'!A617)</f>
        <v>46288</v>
      </c>
      <c r="B631" s="172" t="str">
        <f>'09월 조업일지'!E617</f>
        <v>C</v>
      </c>
      <c r="C631" s="172" t="str">
        <f>'09월 조업일지'!F617</f>
        <v>A</v>
      </c>
      <c r="D631" s="172">
        <f>'09월 화학성분'!C618</f>
        <v>85820</v>
      </c>
      <c r="E631" s="205" t="str">
        <f t="shared" si="146"/>
        <v/>
      </c>
      <c r="F631" s="121"/>
      <c r="G631" s="122"/>
      <c r="H631" s="123"/>
      <c r="I631" s="122"/>
      <c r="J631" s="123"/>
      <c r="K631" s="122"/>
      <c r="L631" s="124" t="str">
        <f t="shared" si="147"/>
        <v/>
      </c>
      <c r="M631" s="125" t="str">
        <f t="shared" si="147"/>
        <v/>
      </c>
      <c r="N631" s="126" t="str">
        <f t="shared" si="134"/>
        <v/>
      </c>
      <c r="O631" s="127" t="str">
        <f t="shared" si="135"/>
        <v/>
      </c>
      <c r="P631" s="127" t="str">
        <f t="shared" si="136"/>
        <v/>
      </c>
      <c r="Q631" s="128" t="str">
        <f t="shared" si="137"/>
        <v/>
      </c>
      <c r="R631" s="129"/>
      <c r="S631" s="130"/>
      <c r="T631" s="131"/>
      <c r="U631" s="131"/>
      <c r="V631" s="132" t="str">
        <f t="shared" si="138"/>
        <v/>
      </c>
      <c r="W631" s="133" t="str">
        <f t="shared" si="139"/>
        <v/>
      </c>
      <c r="X631" s="130"/>
      <c r="Y631" s="131"/>
      <c r="Z631" s="131"/>
      <c r="AA631" s="132" t="str">
        <f t="shared" si="140"/>
        <v/>
      </c>
      <c r="AB631" s="133" t="str">
        <f t="shared" si="141"/>
        <v/>
      </c>
      <c r="AC631" s="134" t="str">
        <f t="shared" si="142"/>
        <v/>
      </c>
      <c r="AD631" s="135" t="str">
        <f t="shared" si="143"/>
        <v/>
      </c>
      <c r="AE631" s="136"/>
      <c r="AF631" s="137"/>
      <c r="AG631" s="137"/>
      <c r="AH631" s="138" t="str">
        <f t="shared" si="144"/>
        <v/>
      </c>
      <c r="AI631" s="133" t="str">
        <f t="shared" si="145"/>
        <v/>
      </c>
    </row>
    <row r="632" spans="1:35">
      <c r="A632" s="171">
        <f>IF('09월 조업일지'!A618="","",'09월 조업일지'!A618)</f>
        <v>46288</v>
      </c>
      <c r="B632" s="172" t="str">
        <f>'09월 조업일지'!E618</f>
        <v>C</v>
      </c>
      <c r="C632" s="172" t="str">
        <f>'09월 조업일지'!F618</f>
        <v>B</v>
      </c>
      <c r="D632" s="172">
        <f>'09월 화학성분'!C619</f>
        <v>85821</v>
      </c>
      <c r="E632" s="205" t="str">
        <f t="shared" si="146"/>
        <v/>
      </c>
      <c r="F632" s="121"/>
      <c r="G632" s="122"/>
      <c r="H632" s="123"/>
      <c r="I632" s="122"/>
      <c r="J632" s="123"/>
      <c r="K632" s="122"/>
      <c r="L632" s="124" t="str">
        <f t="shared" si="147"/>
        <v/>
      </c>
      <c r="M632" s="125" t="str">
        <f t="shared" si="147"/>
        <v/>
      </c>
      <c r="N632" s="126" t="str">
        <f t="shared" si="134"/>
        <v/>
      </c>
      <c r="O632" s="127" t="str">
        <f t="shared" si="135"/>
        <v/>
      </c>
      <c r="P632" s="127" t="str">
        <f t="shared" si="136"/>
        <v/>
      </c>
      <c r="Q632" s="128" t="str">
        <f t="shared" si="137"/>
        <v/>
      </c>
      <c r="R632" s="129"/>
      <c r="S632" s="130"/>
      <c r="T632" s="131"/>
      <c r="U632" s="131"/>
      <c r="V632" s="132" t="str">
        <f t="shared" si="138"/>
        <v/>
      </c>
      <c r="W632" s="133" t="str">
        <f t="shared" si="139"/>
        <v/>
      </c>
      <c r="X632" s="130"/>
      <c r="Y632" s="131"/>
      <c r="Z632" s="131"/>
      <c r="AA632" s="132" t="str">
        <f t="shared" si="140"/>
        <v/>
      </c>
      <c r="AB632" s="133" t="str">
        <f t="shared" si="141"/>
        <v/>
      </c>
      <c r="AC632" s="134" t="str">
        <f t="shared" si="142"/>
        <v/>
      </c>
      <c r="AD632" s="135" t="str">
        <f t="shared" si="143"/>
        <v/>
      </c>
      <c r="AE632" s="136"/>
      <c r="AF632" s="137"/>
      <c r="AG632" s="137"/>
      <c r="AH632" s="138" t="str">
        <f t="shared" si="144"/>
        <v/>
      </c>
      <c r="AI632" s="133" t="str">
        <f t="shared" si="145"/>
        <v/>
      </c>
    </row>
    <row r="633" spans="1:35">
      <c r="A633" s="171">
        <f>IF('09월 조업일지'!A619="","",'09월 조업일지'!A619)</f>
        <v>46288</v>
      </c>
      <c r="B633" s="172" t="str">
        <f>'09월 조업일지'!E619</f>
        <v>C</v>
      </c>
      <c r="C633" s="172" t="str">
        <f>'09월 조업일지'!F619</f>
        <v>A</v>
      </c>
      <c r="D633" s="172">
        <f>'09월 화학성분'!C620</f>
        <v>85822</v>
      </c>
      <c r="E633" s="205" t="str">
        <f t="shared" si="146"/>
        <v/>
      </c>
      <c r="F633" s="121"/>
      <c r="G633" s="122"/>
      <c r="H633" s="123"/>
      <c r="I633" s="122"/>
      <c r="J633" s="123"/>
      <c r="K633" s="122"/>
      <c r="L633" s="124" t="str">
        <f t="shared" si="147"/>
        <v/>
      </c>
      <c r="M633" s="125" t="str">
        <f t="shared" si="147"/>
        <v/>
      </c>
      <c r="N633" s="126" t="str">
        <f t="shared" si="134"/>
        <v/>
      </c>
      <c r="O633" s="127" t="str">
        <f t="shared" si="135"/>
        <v/>
      </c>
      <c r="P633" s="127" t="str">
        <f t="shared" si="136"/>
        <v/>
      </c>
      <c r="Q633" s="128" t="str">
        <f t="shared" si="137"/>
        <v/>
      </c>
      <c r="R633" s="129"/>
      <c r="S633" s="130"/>
      <c r="T633" s="131"/>
      <c r="U633" s="131"/>
      <c r="V633" s="132" t="str">
        <f t="shared" si="138"/>
        <v/>
      </c>
      <c r="W633" s="133" t="str">
        <f t="shared" si="139"/>
        <v/>
      </c>
      <c r="X633" s="130"/>
      <c r="Y633" s="131"/>
      <c r="Z633" s="131"/>
      <c r="AA633" s="132" t="str">
        <f t="shared" si="140"/>
        <v/>
      </c>
      <c r="AB633" s="133" t="str">
        <f t="shared" si="141"/>
        <v/>
      </c>
      <c r="AC633" s="134" t="str">
        <f t="shared" si="142"/>
        <v/>
      </c>
      <c r="AD633" s="135" t="str">
        <f t="shared" si="143"/>
        <v/>
      </c>
      <c r="AE633" s="136"/>
      <c r="AF633" s="137"/>
      <c r="AG633" s="137"/>
      <c r="AH633" s="138" t="str">
        <f t="shared" si="144"/>
        <v/>
      </c>
      <c r="AI633" s="133" t="str">
        <f t="shared" si="145"/>
        <v/>
      </c>
    </row>
    <row r="634" spans="1:35">
      <c r="A634" s="171">
        <f>IF('09월 조업일지'!A620="","",'09월 조업일지'!A620)</f>
        <v>46288</v>
      </c>
      <c r="B634" s="172" t="str">
        <f>'09월 조업일지'!E620</f>
        <v>C</v>
      </c>
      <c r="C634" s="172" t="str">
        <f>'09월 조업일지'!F620</f>
        <v>B</v>
      </c>
      <c r="D634" s="172">
        <f>'09월 화학성분'!C621</f>
        <v>85823</v>
      </c>
      <c r="E634" s="205" t="str">
        <f t="shared" si="146"/>
        <v/>
      </c>
      <c r="F634" s="121"/>
      <c r="G634" s="122"/>
      <c r="H634" s="123"/>
      <c r="I634" s="122"/>
      <c r="J634" s="123"/>
      <c r="K634" s="122"/>
      <c r="L634" s="124" t="str">
        <f t="shared" si="147"/>
        <v/>
      </c>
      <c r="M634" s="125" t="str">
        <f t="shared" si="147"/>
        <v/>
      </c>
      <c r="N634" s="126" t="str">
        <f t="shared" si="134"/>
        <v/>
      </c>
      <c r="O634" s="127" t="str">
        <f t="shared" si="135"/>
        <v/>
      </c>
      <c r="P634" s="127" t="str">
        <f t="shared" si="136"/>
        <v/>
      </c>
      <c r="Q634" s="128" t="str">
        <f t="shared" si="137"/>
        <v/>
      </c>
      <c r="R634" s="129"/>
      <c r="S634" s="130"/>
      <c r="T634" s="131"/>
      <c r="U634" s="131"/>
      <c r="V634" s="132" t="str">
        <f t="shared" si="138"/>
        <v/>
      </c>
      <c r="W634" s="133" t="str">
        <f t="shared" si="139"/>
        <v/>
      </c>
      <c r="X634" s="130"/>
      <c r="Y634" s="131"/>
      <c r="Z634" s="131"/>
      <c r="AA634" s="132" t="str">
        <f t="shared" si="140"/>
        <v/>
      </c>
      <c r="AB634" s="133" t="str">
        <f t="shared" si="141"/>
        <v/>
      </c>
      <c r="AC634" s="134" t="str">
        <f t="shared" si="142"/>
        <v/>
      </c>
      <c r="AD634" s="135" t="str">
        <f t="shared" si="143"/>
        <v/>
      </c>
      <c r="AE634" s="136"/>
      <c r="AF634" s="137"/>
      <c r="AG634" s="137"/>
      <c r="AH634" s="138" t="str">
        <f t="shared" si="144"/>
        <v/>
      </c>
      <c r="AI634" s="133" t="str">
        <f t="shared" si="145"/>
        <v/>
      </c>
    </row>
    <row r="635" spans="1:35">
      <c r="A635" s="171">
        <f>IF('09월 조업일지'!A621="","",'09월 조업일지'!A621)</f>
        <v>46288</v>
      </c>
      <c r="B635" s="172" t="str">
        <f>'09월 조업일지'!E621</f>
        <v>C</v>
      </c>
      <c r="C635" s="172" t="str">
        <f>'09월 조업일지'!F621</f>
        <v>A</v>
      </c>
      <c r="D635" s="172">
        <f>'09월 화학성분'!C622</f>
        <v>85824</v>
      </c>
      <c r="E635" s="205" t="str">
        <f t="shared" si="146"/>
        <v/>
      </c>
      <c r="F635" s="121"/>
      <c r="G635" s="122"/>
      <c r="H635" s="123"/>
      <c r="I635" s="122"/>
      <c r="J635" s="123"/>
      <c r="K635" s="122"/>
      <c r="L635" s="124" t="str">
        <f t="shared" si="147"/>
        <v/>
      </c>
      <c r="M635" s="125" t="str">
        <f t="shared" si="147"/>
        <v/>
      </c>
      <c r="N635" s="126" t="str">
        <f t="shared" si="134"/>
        <v/>
      </c>
      <c r="O635" s="127" t="str">
        <f t="shared" si="135"/>
        <v/>
      </c>
      <c r="P635" s="127" t="str">
        <f t="shared" si="136"/>
        <v/>
      </c>
      <c r="Q635" s="128" t="str">
        <f t="shared" si="137"/>
        <v/>
      </c>
      <c r="R635" s="129"/>
      <c r="S635" s="130"/>
      <c r="T635" s="131"/>
      <c r="U635" s="131"/>
      <c r="V635" s="132" t="str">
        <f t="shared" si="138"/>
        <v/>
      </c>
      <c r="W635" s="133" t="str">
        <f t="shared" si="139"/>
        <v/>
      </c>
      <c r="X635" s="130"/>
      <c r="Y635" s="131"/>
      <c r="Z635" s="131"/>
      <c r="AA635" s="132" t="str">
        <f t="shared" si="140"/>
        <v/>
      </c>
      <c r="AB635" s="133" t="str">
        <f t="shared" si="141"/>
        <v/>
      </c>
      <c r="AC635" s="134" t="str">
        <f t="shared" si="142"/>
        <v/>
      </c>
      <c r="AD635" s="135" t="str">
        <f t="shared" si="143"/>
        <v/>
      </c>
      <c r="AE635" s="136"/>
      <c r="AF635" s="137"/>
      <c r="AG635" s="137"/>
      <c r="AH635" s="138" t="str">
        <f t="shared" si="144"/>
        <v/>
      </c>
      <c r="AI635" s="133" t="str">
        <f t="shared" si="145"/>
        <v/>
      </c>
    </row>
    <row r="636" spans="1:35">
      <c r="A636" s="171">
        <f>IF('09월 조업일지'!A622="","",'09월 조업일지'!A622)</f>
        <v>46288</v>
      </c>
      <c r="B636" s="172" t="str">
        <f>'09월 조업일지'!E622</f>
        <v>C</v>
      </c>
      <c r="C636" s="172" t="str">
        <f>'09월 조업일지'!F622</f>
        <v>B</v>
      </c>
      <c r="D636" s="172">
        <f>'09월 화학성분'!C623</f>
        <v>85825</v>
      </c>
      <c r="E636" s="205" t="str">
        <f t="shared" si="146"/>
        <v/>
      </c>
      <c r="F636" s="121"/>
      <c r="G636" s="122"/>
      <c r="H636" s="123"/>
      <c r="I636" s="122"/>
      <c r="J636" s="123"/>
      <c r="K636" s="122"/>
      <c r="L636" s="124" t="str">
        <f t="shared" si="147"/>
        <v/>
      </c>
      <c r="M636" s="125" t="str">
        <f t="shared" si="147"/>
        <v/>
      </c>
      <c r="N636" s="126" t="str">
        <f t="shared" si="134"/>
        <v/>
      </c>
      <c r="O636" s="127" t="str">
        <f t="shared" si="135"/>
        <v/>
      </c>
      <c r="P636" s="127" t="str">
        <f t="shared" si="136"/>
        <v/>
      </c>
      <c r="Q636" s="128" t="str">
        <f t="shared" si="137"/>
        <v/>
      </c>
      <c r="R636" s="129"/>
      <c r="S636" s="130"/>
      <c r="T636" s="131"/>
      <c r="U636" s="131"/>
      <c r="V636" s="132" t="str">
        <f t="shared" si="138"/>
        <v/>
      </c>
      <c r="W636" s="133" t="str">
        <f t="shared" si="139"/>
        <v/>
      </c>
      <c r="X636" s="130"/>
      <c r="Y636" s="131"/>
      <c r="Z636" s="131"/>
      <c r="AA636" s="132" t="str">
        <f t="shared" si="140"/>
        <v/>
      </c>
      <c r="AB636" s="133" t="str">
        <f t="shared" si="141"/>
        <v/>
      </c>
      <c r="AC636" s="134" t="str">
        <f t="shared" si="142"/>
        <v/>
      </c>
      <c r="AD636" s="135" t="str">
        <f t="shared" si="143"/>
        <v/>
      </c>
      <c r="AE636" s="136"/>
      <c r="AF636" s="137"/>
      <c r="AG636" s="137"/>
      <c r="AH636" s="138" t="str">
        <f t="shared" si="144"/>
        <v/>
      </c>
      <c r="AI636" s="133" t="str">
        <f t="shared" si="145"/>
        <v/>
      </c>
    </row>
    <row r="637" spans="1:35">
      <c r="A637" s="171">
        <f>IF('09월 조업일지'!A623="","",'09월 조업일지'!A623)</f>
        <v>46288</v>
      </c>
      <c r="B637" s="172" t="str">
        <f>'09월 조업일지'!E623</f>
        <v>C</v>
      </c>
      <c r="C637" s="172" t="str">
        <f>'09월 조업일지'!F623</f>
        <v>A</v>
      </c>
      <c r="D637" s="172">
        <f>'09월 화학성분'!C624</f>
        <v>85826</v>
      </c>
      <c r="E637" s="205" t="str">
        <f t="shared" si="146"/>
        <v/>
      </c>
      <c r="F637" s="121"/>
      <c r="G637" s="122"/>
      <c r="H637" s="123"/>
      <c r="I637" s="122"/>
      <c r="J637" s="123"/>
      <c r="K637" s="122"/>
      <c r="L637" s="124" t="str">
        <f t="shared" si="147"/>
        <v/>
      </c>
      <c r="M637" s="125" t="str">
        <f t="shared" si="147"/>
        <v/>
      </c>
      <c r="N637" s="126" t="str">
        <f t="shared" si="134"/>
        <v/>
      </c>
      <c r="O637" s="127" t="str">
        <f t="shared" si="135"/>
        <v/>
      </c>
      <c r="P637" s="127" t="str">
        <f t="shared" si="136"/>
        <v/>
      </c>
      <c r="Q637" s="128" t="str">
        <f t="shared" si="137"/>
        <v/>
      </c>
      <c r="R637" s="129"/>
      <c r="S637" s="130"/>
      <c r="T637" s="131"/>
      <c r="U637" s="131"/>
      <c r="V637" s="132" t="str">
        <f t="shared" si="138"/>
        <v/>
      </c>
      <c r="W637" s="133" t="str">
        <f t="shared" si="139"/>
        <v/>
      </c>
      <c r="X637" s="130"/>
      <c r="Y637" s="131"/>
      <c r="Z637" s="131"/>
      <c r="AA637" s="132" t="str">
        <f t="shared" si="140"/>
        <v/>
      </c>
      <c r="AB637" s="133" t="str">
        <f t="shared" si="141"/>
        <v/>
      </c>
      <c r="AC637" s="134" t="str">
        <f t="shared" si="142"/>
        <v/>
      </c>
      <c r="AD637" s="135" t="str">
        <f t="shared" si="143"/>
        <v/>
      </c>
      <c r="AE637" s="136"/>
      <c r="AF637" s="137"/>
      <c r="AG637" s="137"/>
      <c r="AH637" s="138" t="str">
        <f t="shared" si="144"/>
        <v/>
      </c>
      <c r="AI637" s="133" t="str">
        <f t="shared" si="145"/>
        <v/>
      </c>
    </row>
    <row r="638" spans="1:35">
      <c r="A638" s="171">
        <f>IF('09월 조업일지'!A624="","",'09월 조업일지'!A624)</f>
        <v>46288</v>
      </c>
      <c r="B638" s="172" t="str">
        <f>'09월 조업일지'!E624</f>
        <v>C</v>
      </c>
      <c r="C638" s="172" t="str">
        <f>'09월 조업일지'!F624</f>
        <v>B</v>
      </c>
      <c r="D638" s="172">
        <f>'09월 화학성분'!C625</f>
        <v>85827</v>
      </c>
      <c r="E638" s="205" t="str">
        <f t="shared" si="146"/>
        <v/>
      </c>
      <c r="F638" s="121"/>
      <c r="G638" s="122"/>
      <c r="H638" s="123"/>
      <c r="I638" s="122"/>
      <c r="J638" s="123"/>
      <c r="K638" s="122"/>
      <c r="L638" s="124" t="str">
        <f t="shared" si="147"/>
        <v/>
      </c>
      <c r="M638" s="125" t="str">
        <f t="shared" si="147"/>
        <v/>
      </c>
      <c r="N638" s="126" t="str">
        <f t="shared" si="134"/>
        <v/>
      </c>
      <c r="O638" s="127" t="str">
        <f t="shared" si="135"/>
        <v/>
      </c>
      <c r="P638" s="127" t="str">
        <f t="shared" si="136"/>
        <v/>
      </c>
      <c r="Q638" s="128" t="str">
        <f t="shared" si="137"/>
        <v/>
      </c>
      <c r="R638" s="129"/>
      <c r="S638" s="130"/>
      <c r="T638" s="131"/>
      <c r="U638" s="131"/>
      <c r="V638" s="132" t="str">
        <f t="shared" si="138"/>
        <v/>
      </c>
      <c r="W638" s="133" t="str">
        <f t="shared" si="139"/>
        <v/>
      </c>
      <c r="X638" s="130"/>
      <c r="Y638" s="131"/>
      <c r="Z638" s="131"/>
      <c r="AA638" s="132" t="str">
        <f t="shared" si="140"/>
        <v/>
      </c>
      <c r="AB638" s="133" t="str">
        <f t="shared" si="141"/>
        <v/>
      </c>
      <c r="AC638" s="134" t="str">
        <f t="shared" si="142"/>
        <v/>
      </c>
      <c r="AD638" s="135" t="str">
        <f t="shared" si="143"/>
        <v/>
      </c>
      <c r="AE638" s="136"/>
      <c r="AF638" s="137"/>
      <c r="AG638" s="137"/>
      <c r="AH638" s="138" t="str">
        <f t="shared" si="144"/>
        <v/>
      </c>
      <c r="AI638" s="133" t="str">
        <f t="shared" si="145"/>
        <v/>
      </c>
    </row>
    <row r="639" spans="1:35">
      <c r="A639" s="171">
        <f>IF('09월 조업일지'!A625="","",'09월 조업일지'!A625)</f>
        <v>46288</v>
      </c>
      <c r="B639" s="172" t="str">
        <f>'09월 조업일지'!E625</f>
        <v>C</v>
      </c>
      <c r="C639" s="172" t="str">
        <f>'09월 조업일지'!F625</f>
        <v>A</v>
      </c>
      <c r="D639" s="172">
        <f>'09월 화학성분'!C626</f>
        <v>85828</v>
      </c>
      <c r="E639" s="205" t="str">
        <f t="shared" si="146"/>
        <v/>
      </c>
      <c r="F639" s="121"/>
      <c r="G639" s="122"/>
      <c r="H639" s="123"/>
      <c r="I639" s="122"/>
      <c r="J639" s="123"/>
      <c r="K639" s="122"/>
      <c r="L639" s="124" t="str">
        <f t="shared" si="147"/>
        <v/>
      </c>
      <c r="M639" s="125" t="str">
        <f t="shared" si="147"/>
        <v/>
      </c>
      <c r="N639" s="126" t="str">
        <f t="shared" si="134"/>
        <v/>
      </c>
      <c r="O639" s="127" t="str">
        <f t="shared" si="135"/>
        <v/>
      </c>
      <c r="P639" s="127" t="str">
        <f t="shared" si="136"/>
        <v/>
      </c>
      <c r="Q639" s="128" t="str">
        <f t="shared" si="137"/>
        <v/>
      </c>
      <c r="R639" s="129"/>
      <c r="S639" s="130"/>
      <c r="T639" s="131"/>
      <c r="U639" s="131"/>
      <c r="V639" s="132" t="str">
        <f t="shared" si="138"/>
        <v/>
      </c>
      <c r="W639" s="133" t="str">
        <f t="shared" si="139"/>
        <v/>
      </c>
      <c r="X639" s="130"/>
      <c r="Y639" s="131"/>
      <c r="Z639" s="131"/>
      <c r="AA639" s="132" t="str">
        <f t="shared" si="140"/>
        <v/>
      </c>
      <c r="AB639" s="133" t="str">
        <f t="shared" si="141"/>
        <v/>
      </c>
      <c r="AC639" s="134" t="str">
        <f t="shared" si="142"/>
        <v/>
      </c>
      <c r="AD639" s="135" t="str">
        <f t="shared" si="143"/>
        <v/>
      </c>
      <c r="AE639" s="136"/>
      <c r="AF639" s="137"/>
      <c r="AG639" s="137"/>
      <c r="AH639" s="138" t="str">
        <f t="shared" si="144"/>
        <v/>
      </c>
      <c r="AI639" s="133" t="str">
        <f t="shared" si="145"/>
        <v/>
      </c>
    </row>
    <row r="640" spans="1:35">
      <c r="A640" s="171">
        <f>IF('09월 조업일지'!A626="","",'09월 조업일지'!A626)</f>
        <v>46288</v>
      </c>
      <c r="B640" s="172" t="str">
        <f>'09월 조업일지'!E626</f>
        <v>D</v>
      </c>
      <c r="C640" s="172" t="str">
        <f>'09월 조업일지'!F626</f>
        <v>B</v>
      </c>
      <c r="D640" s="172">
        <f>'09월 화학성분'!C627</f>
        <v>85829</v>
      </c>
      <c r="E640" s="205" t="str">
        <f t="shared" si="146"/>
        <v/>
      </c>
      <c r="F640" s="121"/>
      <c r="G640" s="122"/>
      <c r="H640" s="123"/>
      <c r="I640" s="122"/>
      <c r="J640" s="123"/>
      <c r="K640" s="122"/>
      <c r="L640" s="124" t="str">
        <f t="shared" si="147"/>
        <v/>
      </c>
      <c r="M640" s="125" t="str">
        <f t="shared" si="147"/>
        <v/>
      </c>
      <c r="N640" s="126" t="str">
        <f t="shared" si="134"/>
        <v/>
      </c>
      <c r="O640" s="127" t="str">
        <f t="shared" si="135"/>
        <v/>
      </c>
      <c r="P640" s="127" t="str">
        <f t="shared" si="136"/>
        <v/>
      </c>
      <c r="Q640" s="128" t="str">
        <f t="shared" si="137"/>
        <v/>
      </c>
      <c r="R640" s="129"/>
      <c r="S640" s="130"/>
      <c r="T640" s="131"/>
      <c r="U640" s="131"/>
      <c r="V640" s="132" t="str">
        <f t="shared" si="138"/>
        <v/>
      </c>
      <c r="W640" s="133" t="str">
        <f t="shared" si="139"/>
        <v/>
      </c>
      <c r="X640" s="130"/>
      <c r="Y640" s="131"/>
      <c r="Z640" s="131"/>
      <c r="AA640" s="132" t="str">
        <f t="shared" si="140"/>
        <v/>
      </c>
      <c r="AB640" s="133" t="str">
        <f t="shared" si="141"/>
        <v/>
      </c>
      <c r="AC640" s="134" t="str">
        <f t="shared" si="142"/>
        <v/>
      </c>
      <c r="AD640" s="135" t="str">
        <f t="shared" si="143"/>
        <v/>
      </c>
      <c r="AE640" s="136"/>
      <c r="AF640" s="137"/>
      <c r="AG640" s="137"/>
      <c r="AH640" s="138" t="str">
        <f t="shared" si="144"/>
        <v/>
      </c>
      <c r="AI640" s="133" t="str">
        <f t="shared" si="145"/>
        <v/>
      </c>
    </row>
    <row r="641" spans="1:35">
      <c r="A641" s="171">
        <f>IF('09월 조업일지'!A627="","",'09월 조업일지'!A627)</f>
        <v>46288</v>
      </c>
      <c r="B641" s="172" t="str">
        <f>'09월 조업일지'!E627</f>
        <v>D</v>
      </c>
      <c r="C641" s="172" t="str">
        <f>'09월 조업일지'!F627</f>
        <v>A</v>
      </c>
      <c r="D641" s="172">
        <f>'09월 화학성분'!C628</f>
        <v>85830</v>
      </c>
      <c r="E641" s="205" t="str">
        <f t="shared" si="146"/>
        <v/>
      </c>
      <c r="F641" s="121"/>
      <c r="G641" s="122"/>
      <c r="H641" s="123"/>
      <c r="I641" s="122"/>
      <c r="J641" s="123"/>
      <c r="K641" s="122"/>
      <c r="L641" s="124" t="str">
        <f t="shared" si="147"/>
        <v/>
      </c>
      <c r="M641" s="125" t="str">
        <f t="shared" si="147"/>
        <v/>
      </c>
      <c r="N641" s="126" t="str">
        <f t="shared" si="134"/>
        <v/>
      </c>
      <c r="O641" s="127" t="str">
        <f t="shared" si="135"/>
        <v/>
      </c>
      <c r="P641" s="127" t="str">
        <f t="shared" si="136"/>
        <v/>
      </c>
      <c r="Q641" s="128" t="str">
        <f t="shared" si="137"/>
        <v/>
      </c>
      <c r="R641" s="129"/>
      <c r="S641" s="130"/>
      <c r="T641" s="131"/>
      <c r="U641" s="131"/>
      <c r="V641" s="132" t="str">
        <f t="shared" si="138"/>
        <v/>
      </c>
      <c r="W641" s="133" t="str">
        <f t="shared" si="139"/>
        <v/>
      </c>
      <c r="X641" s="130"/>
      <c r="Y641" s="131"/>
      <c r="Z641" s="131"/>
      <c r="AA641" s="132" t="str">
        <f t="shared" si="140"/>
        <v/>
      </c>
      <c r="AB641" s="133" t="str">
        <f t="shared" si="141"/>
        <v/>
      </c>
      <c r="AC641" s="134" t="str">
        <f t="shared" si="142"/>
        <v/>
      </c>
      <c r="AD641" s="135" t="str">
        <f t="shared" si="143"/>
        <v/>
      </c>
      <c r="AE641" s="136"/>
      <c r="AF641" s="137"/>
      <c r="AG641" s="137"/>
      <c r="AH641" s="138" t="str">
        <f t="shared" si="144"/>
        <v/>
      </c>
      <c r="AI641" s="133" t="str">
        <f t="shared" si="145"/>
        <v/>
      </c>
    </row>
    <row r="642" spans="1:35">
      <c r="A642" s="171">
        <f>IF('09월 조업일지'!A628="","",'09월 조업일지'!A628)</f>
        <v>46288</v>
      </c>
      <c r="B642" s="172" t="str">
        <f>'09월 조업일지'!E628</f>
        <v>D</v>
      </c>
      <c r="C642" s="172" t="str">
        <f>'09월 조업일지'!F628</f>
        <v>B</v>
      </c>
      <c r="D642" s="172">
        <f>'09월 화학성분'!C629</f>
        <v>85831</v>
      </c>
      <c r="E642" s="205" t="str">
        <f t="shared" si="146"/>
        <v/>
      </c>
      <c r="F642" s="121"/>
      <c r="G642" s="122"/>
      <c r="H642" s="123"/>
      <c r="I642" s="122"/>
      <c r="J642" s="123"/>
      <c r="K642" s="122"/>
      <c r="L642" s="124" t="str">
        <f t="shared" si="147"/>
        <v/>
      </c>
      <c r="M642" s="125" t="str">
        <f t="shared" si="147"/>
        <v/>
      </c>
      <c r="N642" s="126" t="str">
        <f t="shared" si="134"/>
        <v/>
      </c>
      <c r="O642" s="127" t="str">
        <f t="shared" si="135"/>
        <v/>
      </c>
      <c r="P642" s="127" t="str">
        <f t="shared" si="136"/>
        <v/>
      </c>
      <c r="Q642" s="128" t="str">
        <f t="shared" si="137"/>
        <v/>
      </c>
      <c r="R642" s="129"/>
      <c r="S642" s="130"/>
      <c r="T642" s="131"/>
      <c r="U642" s="131"/>
      <c r="V642" s="132" t="str">
        <f t="shared" si="138"/>
        <v/>
      </c>
      <c r="W642" s="133" t="str">
        <f t="shared" si="139"/>
        <v/>
      </c>
      <c r="X642" s="130"/>
      <c r="Y642" s="131"/>
      <c r="Z642" s="131"/>
      <c r="AA642" s="132" t="str">
        <f t="shared" si="140"/>
        <v/>
      </c>
      <c r="AB642" s="133" t="str">
        <f t="shared" si="141"/>
        <v/>
      </c>
      <c r="AC642" s="134" t="str">
        <f t="shared" si="142"/>
        <v/>
      </c>
      <c r="AD642" s="135" t="str">
        <f t="shared" si="143"/>
        <v/>
      </c>
      <c r="AE642" s="136"/>
      <c r="AF642" s="137"/>
      <c r="AG642" s="137"/>
      <c r="AH642" s="138" t="str">
        <f t="shared" si="144"/>
        <v/>
      </c>
      <c r="AI642" s="133" t="str">
        <f t="shared" si="145"/>
        <v/>
      </c>
    </row>
    <row r="643" spans="1:35">
      <c r="A643" s="171">
        <f>IF('09월 조업일지'!A629="","",'09월 조업일지'!A629)</f>
        <v>46288</v>
      </c>
      <c r="B643" s="172" t="str">
        <f>'09월 조업일지'!E629</f>
        <v>D</v>
      </c>
      <c r="C643" s="172" t="str">
        <f>'09월 조업일지'!F629</f>
        <v>A</v>
      </c>
      <c r="D643" s="172">
        <f>'09월 화학성분'!C630</f>
        <v>85832</v>
      </c>
      <c r="E643" s="205" t="str">
        <f t="shared" si="146"/>
        <v/>
      </c>
      <c r="F643" s="121"/>
      <c r="G643" s="122"/>
      <c r="H643" s="123"/>
      <c r="I643" s="122"/>
      <c r="J643" s="123"/>
      <c r="K643" s="122"/>
      <c r="L643" s="124" t="str">
        <f t="shared" si="147"/>
        <v/>
      </c>
      <c r="M643" s="125" t="str">
        <f t="shared" si="147"/>
        <v/>
      </c>
      <c r="N643" s="126" t="str">
        <f t="shared" si="134"/>
        <v/>
      </c>
      <c r="O643" s="127" t="str">
        <f t="shared" si="135"/>
        <v/>
      </c>
      <c r="P643" s="127" t="str">
        <f t="shared" si="136"/>
        <v/>
      </c>
      <c r="Q643" s="128" t="str">
        <f t="shared" si="137"/>
        <v/>
      </c>
      <c r="R643" s="129"/>
      <c r="S643" s="130"/>
      <c r="T643" s="131"/>
      <c r="U643" s="131"/>
      <c r="V643" s="132" t="str">
        <f t="shared" si="138"/>
        <v/>
      </c>
      <c r="W643" s="133" t="str">
        <f t="shared" si="139"/>
        <v/>
      </c>
      <c r="X643" s="130"/>
      <c r="Y643" s="131"/>
      <c r="Z643" s="131"/>
      <c r="AA643" s="132" t="str">
        <f t="shared" si="140"/>
        <v/>
      </c>
      <c r="AB643" s="133" t="str">
        <f t="shared" si="141"/>
        <v/>
      </c>
      <c r="AC643" s="134" t="str">
        <f t="shared" si="142"/>
        <v/>
      </c>
      <c r="AD643" s="135" t="str">
        <f t="shared" si="143"/>
        <v/>
      </c>
      <c r="AE643" s="136"/>
      <c r="AF643" s="137"/>
      <c r="AG643" s="137"/>
      <c r="AH643" s="138" t="str">
        <f t="shared" si="144"/>
        <v/>
      </c>
      <c r="AI643" s="133" t="str">
        <f t="shared" si="145"/>
        <v/>
      </c>
    </row>
    <row r="644" spans="1:35">
      <c r="A644" s="171">
        <f>IF('09월 조업일지'!A630="","",'09월 조업일지'!A630)</f>
        <v>46288</v>
      </c>
      <c r="B644" s="172" t="str">
        <f>'09월 조업일지'!E630</f>
        <v>D</v>
      </c>
      <c r="C644" s="172" t="str">
        <f>'09월 조업일지'!F630</f>
        <v>B</v>
      </c>
      <c r="D644" s="172">
        <f>'09월 화학성분'!C631</f>
        <v>85833</v>
      </c>
      <c r="E644" s="205" t="str">
        <f t="shared" si="146"/>
        <v/>
      </c>
      <c r="F644" s="121"/>
      <c r="G644" s="122"/>
      <c r="H644" s="123"/>
      <c r="I644" s="122"/>
      <c r="J644" s="123"/>
      <c r="K644" s="122"/>
      <c r="L644" s="124" t="str">
        <f t="shared" si="147"/>
        <v/>
      </c>
      <c r="M644" s="125" t="str">
        <f t="shared" si="147"/>
        <v/>
      </c>
      <c r="N644" s="126" t="str">
        <f t="shared" si="134"/>
        <v/>
      </c>
      <c r="O644" s="127" t="str">
        <f t="shared" si="135"/>
        <v/>
      </c>
      <c r="P644" s="127" t="str">
        <f t="shared" si="136"/>
        <v/>
      </c>
      <c r="Q644" s="128" t="str">
        <f t="shared" si="137"/>
        <v/>
      </c>
      <c r="R644" s="129"/>
      <c r="S644" s="130"/>
      <c r="T644" s="131"/>
      <c r="U644" s="131"/>
      <c r="V644" s="132" t="str">
        <f t="shared" si="138"/>
        <v/>
      </c>
      <c r="W644" s="133" t="str">
        <f t="shared" si="139"/>
        <v/>
      </c>
      <c r="X644" s="130"/>
      <c r="Y644" s="131"/>
      <c r="Z644" s="131"/>
      <c r="AA644" s="132" t="str">
        <f t="shared" si="140"/>
        <v/>
      </c>
      <c r="AB644" s="133" t="str">
        <f t="shared" si="141"/>
        <v/>
      </c>
      <c r="AC644" s="134" t="str">
        <f t="shared" si="142"/>
        <v/>
      </c>
      <c r="AD644" s="135" t="str">
        <f t="shared" si="143"/>
        <v/>
      </c>
      <c r="AE644" s="136"/>
      <c r="AF644" s="137"/>
      <c r="AG644" s="137"/>
      <c r="AH644" s="138" t="str">
        <f t="shared" si="144"/>
        <v/>
      </c>
      <c r="AI644" s="133" t="str">
        <f t="shared" si="145"/>
        <v/>
      </c>
    </row>
    <row r="645" spans="1:35">
      <c r="A645" s="171">
        <f>IF('09월 조업일지'!A631="","",'09월 조업일지'!A631)</f>
        <v>46288</v>
      </c>
      <c r="B645" s="172" t="str">
        <f>'09월 조업일지'!E631</f>
        <v>D</v>
      </c>
      <c r="C645" s="172" t="str">
        <f>'09월 조업일지'!F631</f>
        <v>A</v>
      </c>
      <c r="D645" s="172">
        <f>'09월 화학성분'!C632</f>
        <v>85834</v>
      </c>
      <c r="E645" s="205" t="str">
        <f t="shared" si="146"/>
        <v/>
      </c>
      <c r="F645" s="121"/>
      <c r="G645" s="122"/>
      <c r="H645" s="123"/>
      <c r="I645" s="122"/>
      <c r="J645" s="123"/>
      <c r="K645" s="122"/>
      <c r="L645" s="124" t="str">
        <f t="shared" si="147"/>
        <v/>
      </c>
      <c r="M645" s="125" t="str">
        <f t="shared" si="147"/>
        <v/>
      </c>
      <c r="N645" s="126" t="str">
        <f t="shared" si="134"/>
        <v/>
      </c>
      <c r="O645" s="127" t="str">
        <f t="shared" si="135"/>
        <v/>
      </c>
      <c r="P645" s="127" t="str">
        <f t="shared" si="136"/>
        <v/>
      </c>
      <c r="Q645" s="128" t="str">
        <f t="shared" si="137"/>
        <v/>
      </c>
      <c r="R645" s="129"/>
      <c r="S645" s="130"/>
      <c r="T645" s="131"/>
      <c r="U645" s="131"/>
      <c r="V645" s="132" t="str">
        <f t="shared" si="138"/>
        <v/>
      </c>
      <c r="W645" s="133" t="str">
        <f t="shared" si="139"/>
        <v/>
      </c>
      <c r="X645" s="130"/>
      <c r="Y645" s="131"/>
      <c r="Z645" s="131"/>
      <c r="AA645" s="132" t="str">
        <f t="shared" si="140"/>
        <v/>
      </c>
      <c r="AB645" s="133" t="str">
        <f t="shared" si="141"/>
        <v/>
      </c>
      <c r="AC645" s="134" t="str">
        <f t="shared" si="142"/>
        <v/>
      </c>
      <c r="AD645" s="135" t="str">
        <f t="shared" si="143"/>
        <v/>
      </c>
      <c r="AE645" s="136"/>
      <c r="AF645" s="137"/>
      <c r="AG645" s="137"/>
      <c r="AH645" s="138" t="str">
        <f t="shared" si="144"/>
        <v/>
      </c>
      <c r="AI645" s="133" t="str">
        <f t="shared" si="145"/>
        <v/>
      </c>
    </row>
    <row r="646" spans="1:35">
      <c r="A646" s="171">
        <f>IF('09월 조업일지'!A632="","",'09월 조업일지'!A632)</f>
        <v>46289</v>
      </c>
      <c r="B646" s="172" t="str">
        <f>'09월 조업일지'!E632</f>
        <v>D</v>
      </c>
      <c r="C646" s="172" t="str">
        <f>'09월 조업일지'!F632</f>
        <v>B</v>
      </c>
      <c r="D646" s="172">
        <f>'09월 화학성분'!C633</f>
        <v>85835</v>
      </c>
      <c r="E646" s="205" t="str">
        <f t="shared" si="146"/>
        <v/>
      </c>
      <c r="F646" s="121"/>
      <c r="G646" s="122"/>
      <c r="H646" s="123"/>
      <c r="I646" s="122"/>
      <c r="J646" s="123"/>
      <c r="K646" s="122"/>
      <c r="L646" s="124" t="str">
        <f t="shared" si="147"/>
        <v/>
      </c>
      <c r="M646" s="125" t="str">
        <f t="shared" si="147"/>
        <v/>
      </c>
      <c r="N646" s="126" t="str">
        <f t="shared" si="134"/>
        <v/>
      </c>
      <c r="O646" s="127" t="str">
        <f t="shared" si="135"/>
        <v/>
      </c>
      <c r="P646" s="127" t="str">
        <f t="shared" si="136"/>
        <v/>
      </c>
      <c r="Q646" s="128" t="str">
        <f t="shared" si="137"/>
        <v/>
      </c>
      <c r="R646" s="129"/>
      <c r="S646" s="130"/>
      <c r="T646" s="131"/>
      <c r="U646" s="131"/>
      <c r="V646" s="132" t="str">
        <f t="shared" si="138"/>
        <v/>
      </c>
      <c r="W646" s="133" t="str">
        <f t="shared" si="139"/>
        <v/>
      </c>
      <c r="X646" s="130"/>
      <c r="Y646" s="131"/>
      <c r="Z646" s="131"/>
      <c r="AA646" s="132" t="str">
        <f t="shared" si="140"/>
        <v/>
      </c>
      <c r="AB646" s="133" t="str">
        <f t="shared" si="141"/>
        <v/>
      </c>
      <c r="AC646" s="134" t="str">
        <f t="shared" si="142"/>
        <v/>
      </c>
      <c r="AD646" s="135" t="str">
        <f t="shared" si="143"/>
        <v/>
      </c>
      <c r="AE646" s="136"/>
      <c r="AF646" s="137"/>
      <c r="AG646" s="137"/>
      <c r="AH646" s="138" t="str">
        <f t="shared" si="144"/>
        <v/>
      </c>
      <c r="AI646" s="133" t="str">
        <f t="shared" si="145"/>
        <v/>
      </c>
    </row>
    <row r="647" spans="1:35">
      <c r="A647" s="171">
        <f>IF('09월 조업일지'!A633="","",'09월 조업일지'!A633)</f>
        <v>46289</v>
      </c>
      <c r="B647" s="172" t="str">
        <f>'09월 조업일지'!E633</f>
        <v>D</v>
      </c>
      <c r="C647" s="172" t="str">
        <f>'09월 조업일지'!F633</f>
        <v>A</v>
      </c>
      <c r="D647" s="172">
        <f>'09월 화학성분'!C634</f>
        <v>85836</v>
      </c>
      <c r="E647" s="205" t="str">
        <f t="shared" si="146"/>
        <v/>
      </c>
      <c r="F647" s="121"/>
      <c r="G647" s="122"/>
      <c r="H647" s="123"/>
      <c r="I647" s="122"/>
      <c r="J647" s="123"/>
      <c r="K647" s="122"/>
      <c r="L647" s="124" t="str">
        <f t="shared" si="147"/>
        <v/>
      </c>
      <c r="M647" s="125" t="str">
        <f t="shared" si="147"/>
        <v/>
      </c>
      <c r="N647" s="126" t="str">
        <f t="shared" si="134"/>
        <v/>
      </c>
      <c r="O647" s="127" t="str">
        <f t="shared" si="135"/>
        <v/>
      </c>
      <c r="P647" s="127" t="str">
        <f t="shared" si="136"/>
        <v/>
      </c>
      <c r="Q647" s="128" t="str">
        <f t="shared" si="137"/>
        <v/>
      </c>
      <c r="R647" s="129"/>
      <c r="S647" s="130"/>
      <c r="T647" s="131"/>
      <c r="U647" s="131"/>
      <c r="V647" s="132" t="str">
        <f t="shared" si="138"/>
        <v/>
      </c>
      <c r="W647" s="133" t="str">
        <f t="shared" si="139"/>
        <v/>
      </c>
      <c r="X647" s="130"/>
      <c r="Y647" s="131"/>
      <c r="Z647" s="131"/>
      <c r="AA647" s="132" t="str">
        <f t="shared" si="140"/>
        <v/>
      </c>
      <c r="AB647" s="133" t="str">
        <f t="shared" si="141"/>
        <v/>
      </c>
      <c r="AC647" s="134" t="str">
        <f t="shared" si="142"/>
        <v/>
      </c>
      <c r="AD647" s="135" t="str">
        <f t="shared" si="143"/>
        <v/>
      </c>
      <c r="AE647" s="136"/>
      <c r="AF647" s="137"/>
      <c r="AG647" s="137"/>
      <c r="AH647" s="138" t="str">
        <f t="shared" si="144"/>
        <v/>
      </c>
      <c r="AI647" s="133" t="str">
        <f t="shared" si="145"/>
        <v/>
      </c>
    </row>
    <row r="648" spans="1:35">
      <c r="A648" s="171">
        <f>IF('09월 조업일지'!A634="","",'09월 조업일지'!A634)</f>
        <v>46289</v>
      </c>
      <c r="B648" s="172" t="str">
        <f>'09월 조업일지'!E634</f>
        <v>D</v>
      </c>
      <c r="C648" s="172" t="str">
        <f>'09월 조업일지'!F634</f>
        <v>B</v>
      </c>
      <c r="D648" s="172">
        <f>'09월 화학성분'!C635</f>
        <v>85837</v>
      </c>
      <c r="E648" s="205" t="str">
        <f t="shared" si="146"/>
        <v/>
      </c>
      <c r="F648" s="121"/>
      <c r="G648" s="122"/>
      <c r="H648" s="123"/>
      <c r="I648" s="122"/>
      <c r="J648" s="123"/>
      <c r="K648" s="122"/>
      <c r="L648" s="124" t="str">
        <f t="shared" si="147"/>
        <v/>
      </c>
      <c r="M648" s="125" t="str">
        <f t="shared" si="147"/>
        <v/>
      </c>
      <c r="N648" s="126" t="str">
        <f t="shared" si="134"/>
        <v/>
      </c>
      <c r="O648" s="127" t="str">
        <f t="shared" si="135"/>
        <v/>
      </c>
      <c r="P648" s="127" t="str">
        <f t="shared" si="136"/>
        <v/>
      </c>
      <c r="Q648" s="128" t="str">
        <f t="shared" si="137"/>
        <v/>
      </c>
      <c r="R648" s="129"/>
      <c r="S648" s="130"/>
      <c r="T648" s="131"/>
      <c r="U648" s="131"/>
      <c r="V648" s="132" t="str">
        <f t="shared" si="138"/>
        <v/>
      </c>
      <c r="W648" s="133" t="str">
        <f t="shared" si="139"/>
        <v/>
      </c>
      <c r="X648" s="130"/>
      <c r="Y648" s="131"/>
      <c r="Z648" s="131"/>
      <c r="AA648" s="132" t="str">
        <f t="shared" si="140"/>
        <v/>
      </c>
      <c r="AB648" s="133" t="str">
        <f t="shared" si="141"/>
        <v/>
      </c>
      <c r="AC648" s="134" t="str">
        <f t="shared" si="142"/>
        <v/>
      </c>
      <c r="AD648" s="135" t="str">
        <f t="shared" si="143"/>
        <v/>
      </c>
      <c r="AE648" s="136"/>
      <c r="AF648" s="137"/>
      <c r="AG648" s="137"/>
      <c r="AH648" s="138" t="str">
        <f t="shared" si="144"/>
        <v/>
      </c>
      <c r="AI648" s="133" t="str">
        <f t="shared" si="145"/>
        <v/>
      </c>
    </row>
    <row r="649" spans="1:35">
      <c r="A649" s="171">
        <f>IF('09월 조업일지'!A635="","",'09월 조업일지'!A635)</f>
        <v>46289</v>
      </c>
      <c r="B649" s="172" t="str">
        <f>'09월 조업일지'!E635</f>
        <v>D</v>
      </c>
      <c r="C649" s="172" t="str">
        <f>'09월 조업일지'!F635</f>
        <v>A</v>
      </c>
      <c r="D649" s="172">
        <f>'09월 화학성분'!C636</f>
        <v>85838</v>
      </c>
      <c r="E649" s="205" t="str">
        <f t="shared" si="146"/>
        <v/>
      </c>
      <c r="F649" s="121"/>
      <c r="G649" s="122"/>
      <c r="H649" s="123"/>
      <c r="I649" s="122"/>
      <c r="J649" s="123"/>
      <c r="K649" s="122"/>
      <c r="L649" s="124" t="str">
        <f t="shared" si="147"/>
        <v/>
      </c>
      <c r="M649" s="125" t="str">
        <f t="shared" si="147"/>
        <v/>
      </c>
      <c r="N649" s="126" t="str">
        <f t="shared" si="134"/>
        <v/>
      </c>
      <c r="O649" s="127" t="str">
        <f t="shared" si="135"/>
        <v/>
      </c>
      <c r="P649" s="127" t="str">
        <f t="shared" si="136"/>
        <v/>
      </c>
      <c r="Q649" s="128" t="str">
        <f t="shared" si="137"/>
        <v/>
      </c>
      <c r="R649" s="129"/>
      <c r="S649" s="130"/>
      <c r="T649" s="131"/>
      <c r="U649" s="131"/>
      <c r="V649" s="132" t="str">
        <f t="shared" si="138"/>
        <v/>
      </c>
      <c r="W649" s="133" t="str">
        <f t="shared" si="139"/>
        <v/>
      </c>
      <c r="X649" s="130"/>
      <c r="Y649" s="131"/>
      <c r="Z649" s="131"/>
      <c r="AA649" s="132" t="str">
        <f t="shared" si="140"/>
        <v/>
      </c>
      <c r="AB649" s="133" t="str">
        <f t="shared" si="141"/>
        <v/>
      </c>
      <c r="AC649" s="134" t="str">
        <f t="shared" si="142"/>
        <v/>
      </c>
      <c r="AD649" s="135" t="str">
        <f t="shared" si="143"/>
        <v/>
      </c>
      <c r="AE649" s="136"/>
      <c r="AF649" s="137"/>
      <c r="AG649" s="137"/>
      <c r="AH649" s="138" t="str">
        <f t="shared" si="144"/>
        <v/>
      </c>
      <c r="AI649" s="133" t="str">
        <f t="shared" si="145"/>
        <v/>
      </c>
    </row>
    <row r="650" spans="1:35">
      <c r="A650" s="171">
        <f>IF('09월 조업일지'!A636="","",'09월 조업일지'!A636)</f>
        <v>46289</v>
      </c>
      <c r="B650" s="172" t="str">
        <f>'09월 조업일지'!E636</f>
        <v>B</v>
      </c>
      <c r="C650" s="172" t="str">
        <f>'09월 조업일지'!F636</f>
        <v>B</v>
      </c>
      <c r="D650" s="172">
        <f>'09월 화학성분'!C637</f>
        <v>85839</v>
      </c>
      <c r="E650" s="205" t="str">
        <f t="shared" si="146"/>
        <v/>
      </c>
      <c r="F650" s="121"/>
      <c r="G650" s="122"/>
      <c r="H650" s="123"/>
      <c r="I650" s="122"/>
      <c r="J650" s="123"/>
      <c r="K650" s="122"/>
      <c r="L650" s="124" t="str">
        <f t="shared" si="147"/>
        <v/>
      </c>
      <c r="M650" s="125" t="str">
        <f t="shared" si="147"/>
        <v/>
      </c>
      <c r="N650" s="126" t="str">
        <f t="shared" si="134"/>
        <v/>
      </c>
      <c r="O650" s="127" t="str">
        <f t="shared" si="135"/>
        <v/>
      </c>
      <c r="P650" s="127" t="str">
        <f t="shared" si="136"/>
        <v/>
      </c>
      <c r="Q650" s="128" t="str">
        <f t="shared" si="137"/>
        <v/>
      </c>
      <c r="R650" s="129"/>
      <c r="S650" s="130"/>
      <c r="T650" s="131"/>
      <c r="U650" s="131"/>
      <c r="V650" s="132" t="str">
        <f t="shared" si="138"/>
        <v/>
      </c>
      <c r="W650" s="133" t="str">
        <f t="shared" si="139"/>
        <v/>
      </c>
      <c r="X650" s="130"/>
      <c r="Y650" s="131"/>
      <c r="Z650" s="131"/>
      <c r="AA650" s="132" t="str">
        <f t="shared" si="140"/>
        <v/>
      </c>
      <c r="AB650" s="133" t="str">
        <f t="shared" si="141"/>
        <v/>
      </c>
      <c r="AC650" s="134" t="str">
        <f t="shared" si="142"/>
        <v/>
      </c>
      <c r="AD650" s="135" t="str">
        <f t="shared" si="143"/>
        <v/>
      </c>
      <c r="AE650" s="136"/>
      <c r="AF650" s="137"/>
      <c r="AG650" s="137"/>
      <c r="AH650" s="138" t="str">
        <f t="shared" si="144"/>
        <v/>
      </c>
      <c r="AI650" s="133" t="str">
        <f t="shared" si="145"/>
        <v/>
      </c>
    </row>
    <row r="651" spans="1:35">
      <c r="A651" s="171">
        <f>IF('09월 조업일지'!A637="","",'09월 조업일지'!A637)</f>
        <v>46289</v>
      </c>
      <c r="B651" s="172" t="str">
        <f>'09월 조업일지'!E637</f>
        <v>B</v>
      </c>
      <c r="C651" s="172" t="str">
        <f>'09월 조업일지'!F637</f>
        <v>A</v>
      </c>
      <c r="D651" s="172">
        <f>'09월 화학성분'!C638</f>
        <v>85840</v>
      </c>
      <c r="E651" s="205" t="str">
        <f t="shared" si="146"/>
        <v/>
      </c>
      <c r="F651" s="121"/>
      <c r="G651" s="122"/>
      <c r="H651" s="123"/>
      <c r="I651" s="122"/>
      <c r="J651" s="123"/>
      <c r="K651" s="122"/>
      <c r="L651" s="124" t="str">
        <f t="shared" si="147"/>
        <v/>
      </c>
      <c r="M651" s="125" t="str">
        <f t="shared" si="147"/>
        <v/>
      </c>
      <c r="N651" s="126" t="str">
        <f t="shared" si="134"/>
        <v/>
      </c>
      <c r="O651" s="127" t="str">
        <f t="shared" si="135"/>
        <v/>
      </c>
      <c r="P651" s="127" t="str">
        <f t="shared" si="136"/>
        <v/>
      </c>
      <c r="Q651" s="128" t="str">
        <f t="shared" si="137"/>
        <v/>
      </c>
      <c r="R651" s="129"/>
      <c r="S651" s="130"/>
      <c r="T651" s="131"/>
      <c r="U651" s="131"/>
      <c r="V651" s="132" t="str">
        <f t="shared" si="138"/>
        <v/>
      </c>
      <c r="W651" s="133" t="str">
        <f t="shared" si="139"/>
        <v/>
      </c>
      <c r="X651" s="130"/>
      <c r="Y651" s="131"/>
      <c r="Z651" s="131"/>
      <c r="AA651" s="132" t="str">
        <f t="shared" si="140"/>
        <v/>
      </c>
      <c r="AB651" s="133" t="str">
        <f t="shared" si="141"/>
        <v/>
      </c>
      <c r="AC651" s="134" t="str">
        <f t="shared" si="142"/>
        <v/>
      </c>
      <c r="AD651" s="135" t="str">
        <f t="shared" si="143"/>
        <v/>
      </c>
      <c r="AE651" s="136"/>
      <c r="AF651" s="137"/>
      <c r="AG651" s="137"/>
      <c r="AH651" s="138" t="str">
        <f t="shared" si="144"/>
        <v/>
      </c>
      <c r="AI651" s="133" t="str">
        <f t="shared" si="145"/>
        <v/>
      </c>
    </row>
    <row r="652" spans="1:35">
      <c r="A652" s="171">
        <f>IF('09월 조업일지'!A638="","",'09월 조업일지'!A638)</f>
        <v>46289</v>
      </c>
      <c r="B652" s="172" t="str">
        <f>'09월 조업일지'!E638</f>
        <v>B</v>
      </c>
      <c r="C652" s="172" t="str">
        <f>'09월 조업일지'!F638</f>
        <v>B</v>
      </c>
      <c r="D652" s="172">
        <f>'09월 화학성분'!C639</f>
        <v>85841</v>
      </c>
      <c r="E652" s="205" t="str">
        <f t="shared" si="146"/>
        <v/>
      </c>
      <c r="F652" s="121"/>
      <c r="G652" s="122"/>
      <c r="H652" s="123"/>
      <c r="I652" s="122"/>
      <c r="J652" s="123"/>
      <c r="K652" s="122"/>
      <c r="L652" s="124" t="str">
        <f t="shared" si="147"/>
        <v/>
      </c>
      <c r="M652" s="125" t="str">
        <f t="shared" si="147"/>
        <v/>
      </c>
      <c r="N652" s="126" t="str">
        <f t="shared" si="134"/>
        <v/>
      </c>
      <c r="O652" s="127" t="str">
        <f t="shared" si="135"/>
        <v/>
      </c>
      <c r="P652" s="127" t="str">
        <f t="shared" si="136"/>
        <v/>
      </c>
      <c r="Q652" s="128" t="str">
        <f t="shared" si="137"/>
        <v/>
      </c>
      <c r="R652" s="129"/>
      <c r="S652" s="130"/>
      <c r="T652" s="131"/>
      <c r="U652" s="131"/>
      <c r="V652" s="132" t="str">
        <f t="shared" si="138"/>
        <v/>
      </c>
      <c r="W652" s="133" t="str">
        <f t="shared" si="139"/>
        <v/>
      </c>
      <c r="X652" s="130"/>
      <c r="Y652" s="131"/>
      <c r="Z652" s="131"/>
      <c r="AA652" s="132" t="str">
        <f t="shared" si="140"/>
        <v/>
      </c>
      <c r="AB652" s="133" t="str">
        <f t="shared" si="141"/>
        <v/>
      </c>
      <c r="AC652" s="134" t="str">
        <f t="shared" si="142"/>
        <v/>
      </c>
      <c r="AD652" s="135" t="str">
        <f t="shared" si="143"/>
        <v/>
      </c>
      <c r="AE652" s="136"/>
      <c r="AF652" s="137"/>
      <c r="AG652" s="137"/>
      <c r="AH652" s="138" t="str">
        <f t="shared" si="144"/>
        <v/>
      </c>
      <c r="AI652" s="133" t="str">
        <f t="shared" si="145"/>
        <v/>
      </c>
    </row>
    <row r="653" spans="1:35">
      <c r="A653" s="171">
        <f>IF('09월 조업일지'!A639="","",'09월 조업일지'!A639)</f>
        <v>46289</v>
      </c>
      <c r="B653" s="172" t="str">
        <f>'09월 조업일지'!E639</f>
        <v>B</v>
      </c>
      <c r="C653" s="172" t="str">
        <f>'09월 조업일지'!F639</f>
        <v>A</v>
      </c>
      <c r="D653" s="172">
        <f>'09월 화학성분'!C640</f>
        <v>85842</v>
      </c>
      <c r="E653" s="205" t="str">
        <f t="shared" si="146"/>
        <v/>
      </c>
      <c r="F653" s="121"/>
      <c r="G653" s="122"/>
      <c r="H653" s="123"/>
      <c r="I653" s="122"/>
      <c r="J653" s="123"/>
      <c r="K653" s="122"/>
      <c r="L653" s="124" t="str">
        <f t="shared" si="147"/>
        <v/>
      </c>
      <c r="M653" s="125" t="str">
        <f t="shared" si="147"/>
        <v/>
      </c>
      <c r="N653" s="126" t="str">
        <f t="shared" si="134"/>
        <v/>
      </c>
      <c r="O653" s="127" t="str">
        <f t="shared" si="135"/>
        <v/>
      </c>
      <c r="P653" s="127" t="str">
        <f t="shared" si="136"/>
        <v/>
      </c>
      <c r="Q653" s="128" t="str">
        <f t="shared" si="137"/>
        <v/>
      </c>
      <c r="R653" s="129"/>
      <c r="S653" s="130"/>
      <c r="T653" s="131"/>
      <c r="U653" s="131"/>
      <c r="V653" s="132" t="str">
        <f t="shared" si="138"/>
        <v/>
      </c>
      <c r="W653" s="133" t="str">
        <f t="shared" si="139"/>
        <v/>
      </c>
      <c r="X653" s="130"/>
      <c r="Y653" s="131"/>
      <c r="Z653" s="131"/>
      <c r="AA653" s="132" t="str">
        <f t="shared" si="140"/>
        <v/>
      </c>
      <c r="AB653" s="133" t="str">
        <f t="shared" si="141"/>
        <v/>
      </c>
      <c r="AC653" s="134" t="str">
        <f t="shared" si="142"/>
        <v/>
      </c>
      <c r="AD653" s="135" t="str">
        <f t="shared" si="143"/>
        <v/>
      </c>
      <c r="AE653" s="136"/>
      <c r="AF653" s="137"/>
      <c r="AG653" s="137"/>
      <c r="AH653" s="138" t="str">
        <f t="shared" si="144"/>
        <v/>
      </c>
      <c r="AI653" s="133" t="str">
        <f t="shared" si="145"/>
        <v/>
      </c>
    </row>
    <row r="654" spans="1:35">
      <c r="A654" s="171">
        <f>IF('09월 조업일지'!A640="","",'09월 조업일지'!A640)</f>
        <v>46289</v>
      </c>
      <c r="B654" s="172" t="str">
        <f>'09월 조업일지'!E640</f>
        <v>B</v>
      </c>
      <c r="C654" s="172" t="str">
        <f>'09월 조업일지'!F640</f>
        <v>B</v>
      </c>
      <c r="D654" s="172">
        <f>'09월 화학성분'!C641</f>
        <v>85843</v>
      </c>
      <c r="E654" s="205" t="str">
        <f t="shared" si="146"/>
        <v/>
      </c>
      <c r="F654" s="121"/>
      <c r="G654" s="122"/>
      <c r="H654" s="123"/>
      <c r="I654" s="122"/>
      <c r="J654" s="123"/>
      <c r="K654" s="122"/>
      <c r="L654" s="124" t="str">
        <f t="shared" si="147"/>
        <v/>
      </c>
      <c r="M654" s="125" t="str">
        <f t="shared" si="147"/>
        <v/>
      </c>
      <c r="N654" s="126" t="str">
        <f t="shared" si="134"/>
        <v/>
      </c>
      <c r="O654" s="127" t="str">
        <f t="shared" si="135"/>
        <v/>
      </c>
      <c r="P654" s="127" t="str">
        <f t="shared" si="136"/>
        <v/>
      </c>
      <c r="Q654" s="128" t="str">
        <f t="shared" si="137"/>
        <v/>
      </c>
      <c r="R654" s="129"/>
      <c r="S654" s="130"/>
      <c r="T654" s="131"/>
      <c r="U654" s="131"/>
      <c r="V654" s="132" t="str">
        <f t="shared" si="138"/>
        <v/>
      </c>
      <c r="W654" s="133" t="str">
        <f t="shared" si="139"/>
        <v/>
      </c>
      <c r="X654" s="130"/>
      <c r="Y654" s="131"/>
      <c r="Z654" s="131"/>
      <c r="AA654" s="132" t="str">
        <f t="shared" si="140"/>
        <v/>
      </c>
      <c r="AB654" s="133" t="str">
        <f t="shared" si="141"/>
        <v/>
      </c>
      <c r="AC654" s="134" t="str">
        <f t="shared" si="142"/>
        <v/>
      </c>
      <c r="AD654" s="135" t="str">
        <f t="shared" si="143"/>
        <v/>
      </c>
      <c r="AE654" s="136"/>
      <c r="AF654" s="137"/>
      <c r="AG654" s="137"/>
      <c r="AH654" s="138" t="str">
        <f t="shared" si="144"/>
        <v/>
      </c>
      <c r="AI654" s="133" t="str">
        <f t="shared" si="145"/>
        <v/>
      </c>
    </row>
    <row r="655" spans="1:35">
      <c r="A655" s="171">
        <f>IF('09월 조업일지'!A641="","",'09월 조업일지'!A641)</f>
        <v>46289</v>
      </c>
      <c r="B655" s="172" t="str">
        <f>'09월 조업일지'!E641</f>
        <v>B</v>
      </c>
      <c r="C655" s="172" t="str">
        <f>'09월 조업일지'!F641</f>
        <v>A</v>
      </c>
      <c r="D655" s="172">
        <f>'09월 화학성분'!C642</f>
        <v>85844</v>
      </c>
      <c r="E655" s="205" t="str">
        <f t="shared" si="146"/>
        <v/>
      </c>
      <c r="F655" s="121"/>
      <c r="G655" s="122"/>
      <c r="H655" s="123"/>
      <c r="I655" s="122"/>
      <c r="J655" s="123"/>
      <c r="K655" s="122"/>
      <c r="L655" s="124" t="str">
        <f t="shared" si="147"/>
        <v/>
      </c>
      <c r="M655" s="125" t="str">
        <f t="shared" si="147"/>
        <v/>
      </c>
      <c r="N655" s="126" t="str">
        <f t="shared" si="134"/>
        <v/>
      </c>
      <c r="O655" s="127" t="str">
        <f t="shared" si="135"/>
        <v/>
      </c>
      <c r="P655" s="127" t="str">
        <f t="shared" si="136"/>
        <v/>
      </c>
      <c r="Q655" s="128" t="str">
        <f t="shared" si="137"/>
        <v/>
      </c>
      <c r="R655" s="129"/>
      <c r="S655" s="130"/>
      <c r="T655" s="131"/>
      <c r="U655" s="131"/>
      <c r="V655" s="132" t="str">
        <f t="shared" si="138"/>
        <v/>
      </c>
      <c r="W655" s="133" t="str">
        <f t="shared" si="139"/>
        <v/>
      </c>
      <c r="X655" s="130"/>
      <c r="Y655" s="131"/>
      <c r="Z655" s="131"/>
      <c r="AA655" s="132" t="str">
        <f t="shared" si="140"/>
        <v/>
      </c>
      <c r="AB655" s="133" t="str">
        <f t="shared" si="141"/>
        <v/>
      </c>
      <c r="AC655" s="134" t="str">
        <f t="shared" si="142"/>
        <v/>
      </c>
      <c r="AD655" s="135" t="str">
        <f t="shared" si="143"/>
        <v/>
      </c>
      <c r="AE655" s="136"/>
      <c r="AF655" s="137"/>
      <c r="AG655" s="137"/>
      <c r="AH655" s="138" t="str">
        <f t="shared" si="144"/>
        <v/>
      </c>
      <c r="AI655" s="133" t="str">
        <f t="shared" si="145"/>
        <v/>
      </c>
    </row>
    <row r="656" spans="1:35">
      <c r="A656" s="171">
        <f>IF('09월 조업일지'!A642="","",'09월 조업일지'!A642)</f>
        <v>46289</v>
      </c>
      <c r="B656" s="172" t="str">
        <f>'09월 조업일지'!E642</f>
        <v>B</v>
      </c>
      <c r="C656" s="172" t="str">
        <f>'09월 조업일지'!F642</f>
        <v>B</v>
      </c>
      <c r="D656" s="172">
        <f>'09월 화학성분'!C643</f>
        <v>85845</v>
      </c>
      <c r="E656" s="205" t="str">
        <f t="shared" si="146"/>
        <v/>
      </c>
      <c r="F656" s="121"/>
      <c r="G656" s="122"/>
      <c r="H656" s="123"/>
      <c r="I656" s="122"/>
      <c r="J656" s="123"/>
      <c r="K656" s="122"/>
      <c r="L656" s="124" t="str">
        <f t="shared" si="147"/>
        <v/>
      </c>
      <c r="M656" s="125" t="str">
        <f t="shared" si="147"/>
        <v/>
      </c>
      <c r="N656" s="126" t="str">
        <f t="shared" si="134"/>
        <v/>
      </c>
      <c r="O656" s="127" t="str">
        <f t="shared" si="135"/>
        <v/>
      </c>
      <c r="P656" s="127" t="str">
        <f t="shared" si="136"/>
        <v/>
      </c>
      <c r="Q656" s="128" t="str">
        <f t="shared" si="137"/>
        <v/>
      </c>
      <c r="R656" s="129"/>
      <c r="S656" s="130"/>
      <c r="T656" s="131"/>
      <c r="U656" s="131"/>
      <c r="V656" s="132" t="str">
        <f t="shared" si="138"/>
        <v/>
      </c>
      <c r="W656" s="133" t="str">
        <f t="shared" si="139"/>
        <v/>
      </c>
      <c r="X656" s="130"/>
      <c r="Y656" s="131"/>
      <c r="Z656" s="131"/>
      <c r="AA656" s="132" t="str">
        <f t="shared" si="140"/>
        <v/>
      </c>
      <c r="AB656" s="133" t="str">
        <f t="shared" si="141"/>
        <v/>
      </c>
      <c r="AC656" s="134" t="str">
        <f t="shared" si="142"/>
        <v/>
      </c>
      <c r="AD656" s="135" t="str">
        <f t="shared" si="143"/>
        <v/>
      </c>
      <c r="AE656" s="136"/>
      <c r="AF656" s="137"/>
      <c r="AG656" s="137"/>
      <c r="AH656" s="138" t="str">
        <f t="shared" si="144"/>
        <v/>
      </c>
      <c r="AI656" s="133" t="str">
        <f t="shared" si="145"/>
        <v/>
      </c>
    </row>
    <row r="657" spans="1:35">
      <c r="A657" s="171">
        <f>IF('09월 조업일지'!A643="","",'09월 조업일지'!A643)</f>
        <v>46289</v>
      </c>
      <c r="B657" s="172" t="str">
        <f>'09월 조업일지'!E643</f>
        <v>B</v>
      </c>
      <c r="C657" s="172" t="str">
        <f>'09월 조업일지'!F643</f>
        <v>A</v>
      </c>
      <c r="D657" s="172">
        <f>'09월 화학성분'!C644</f>
        <v>85846</v>
      </c>
      <c r="E657" s="205" t="str">
        <f t="shared" si="146"/>
        <v/>
      </c>
      <c r="F657" s="121"/>
      <c r="G657" s="122"/>
      <c r="H657" s="123"/>
      <c r="I657" s="122"/>
      <c r="J657" s="123"/>
      <c r="K657" s="122"/>
      <c r="L657" s="124" t="str">
        <f t="shared" si="147"/>
        <v/>
      </c>
      <c r="M657" s="125" t="str">
        <f t="shared" si="147"/>
        <v/>
      </c>
      <c r="N657" s="126" t="str">
        <f t="shared" si="134"/>
        <v/>
      </c>
      <c r="O657" s="127" t="str">
        <f t="shared" si="135"/>
        <v/>
      </c>
      <c r="P657" s="127" t="str">
        <f t="shared" si="136"/>
        <v/>
      </c>
      <c r="Q657" s="128" t="str">
        <f t="shared" si="137"/>
        <v/>
      </c>
      <c r="R657" s="129"/>
      <c r="S657" s="130"/>
      <c r="T657" s="131"/>
      <c r="U657" s="131"/>
      <c r="V657" s="132" t="str">
        <f t="shared" si="138"/>
        <v/>
      </c>
      <c r="W657" s="133" t="str">
        <f t="shared" si="139"/>
        <v/>
      </c>
      <c r="X657" s="130"/>
      <c r="Y657" s="131"/>
      <c r="Z657" s="131"/>
      <c r="AA657" s="132" t="str">
        <f t="shared" si="140"/>
        <v/>
      </c>
      <c r="AB657" s="133" t="str">
        <f t="shared" si="141"/>
        <v/>
      </c>
      <c r="AC657" s="134" t="str">
        <f t="shared" si="142"/>
        <v/>
      </c>
      <c r="AD657" s="135" t="str">
        <f t="shared" si="143"/>
        <v/>
      </c>
      <c r="AE657" s="136"/>
      <c r="AF657" s="137"/>
      <c r="AG657" s="137"/>
      <c r="AH657" s="138" t="str">
        <f t="shared" si="144"/>
        <v/>
      </c>
      <c r="AI657" s="133" t="str">
        <f t="shared" si="145"/>
        <v/>
      </c>
    </row>
    <row r="658" spans="1:35">
      <c r="A658" s="171">
        <f>IF('09월 조업일지'!A644="","",'09월 조업일지'!A644)</f>
        <v>46289</v>
      </c>
      <c r="B658" s="172" t="str">
        <f>'09월 조업일지'!E644</f>
        <v>B</v>
      </c>
      <c r="C658" s="172" t="str">
        <f>'09월 조업일지'!F644</f>
        <v>B</v>
      </c>
      <c r="D658" s="172">
        <f>'09월 화학성분'!C645</f>
        <v>85847</v>
      </c>
      <c r="E658" s="205" t="str">
        <f t="shared" si="146"/>
        <v/>
      </c>
      <c r="F658" s="121"/>
      <c r="G658" s="122"/>
      <c r="H658" s="123"/>
      <c r="I658" s="122"/>
      <c r="J658" s="123"/>
      <c r="K658" s="122"/>
      <c r="L658" s="124" t="str">
        <f t="shared" si="147"/>
        <v/>
      </c>
      <c r="M658" s="125" t="str">
        <f t="shared" si="147"/>
        <v/>
      </c>
      <c r="N658" s="126" t="str">
        <f t="shared" si="134"/>
        <v/>
      </c>
      <c r="O658" s="127" t="str">
        <f t="shared" si="135"/>
        <v/>
      </c>
      <c r="P658" s="127" t="str">
        <f t="shared" si="136"/>
        <v/>
      </c>
      <c r="Q658" s="128" t="str">
        <f t="shared" si="137"/>
        <v/>
      </c>
      <c r="R658" s="129"/>
      <c r="S658" s="130"/>
      <c r="T658" s="131"/>
      <c r="U658" s="131"/>
      <c r="V658" s="132" t="str">
        <f t="shared" si="138"/>
        <v/>
      </c>
      <c r="W658" s="133" t="str">
        <f t="shared" si="139"/>
        <v/>
      </c>
      <c r="X658" s="130"/>
      <c r="Y658" s="131"/>
      <c r="Z658" s="131"/>
      <c r="AA658" s="132" t="str">
        <f t="shared" si="140"/>
        <v/>
      </c>
      <c r="AB658" s="133" t="str">
        <f t="shared" si="141"/>
        <v/>
      </c>
      <c r="AC658" s="134" t="str">
        <f t="shared" si="142"/>
        <v/>
      </c>
      <c r="AD658" s="135" t="str">
        <f t="shared" si="143"/>
        <v/>
      </c>
      <c r="AE658" s="136"/>
      <c r="AF658" s="137"/>
      <c r="AG658" s="137"/>
      <c r="AH658" s="138" t="str">
        <f t="shared" si="144"/>
        <v/>
      </c>
      <c r="AI658" s="133" t="str">
        <f t="shared" si="145"/>
        <v/>
      </c>
    </row>
    <row r="659" spans="1:35">
      <c r="A659" s="171">
        <f>IF('09월 조업일지'!A645="","",'09월 조업일지'!A645)</f>
        <v>46289</v>
      </c>
      <c r="B659" s="172" t="str">
        <f>'09월 조업일지'!E645</f>
        <v>B</v>
      </c>
      <c r="C659" s="172" t="str">
        <f>'09월 조업일지'!F645</f>
        <v>A</v>
      </c>
      <c r="D659" s="172">
        <f>'09월 화학성분'!C646</f>
        <v>85848</v>
      </c>
      <c r="E659" s="205" t="str">
        <f t="shared" si="146"/>
        <v/>
      </c>
      <c r="F659" s="121"/>
      <c r="G659" s="122"/>
      <c r="H659" s="123"/>
      <c r="I659" s="122"/>
      <c r="J659" s="123"/>
      <c r="K659" s="122"/>
      <c r="L659" s="124" t="str">
        <f t="shared" si="147"/>
        <v/>
      </c>
      <c r="M659" s="125" t="str">
        <f t="shared" si="147"/>
        <v/>
      </c>
      <c r="N659" s="126" t="str">
        <f t="shared" si="134"/>
        <v/>
      </c>
      <c r="O659" s="127" t="str">
        <f t="shared" si="135"/>
        <v/>
      </c>
      <c r="P659" s="127" t="str">
        <f t="shared" si="136"/>
        <v/>
      </c>
      <c r="Q659" s="128" t="str">
        <f t="shared" si="137"/>
        <v/>
      </c>
      <c r="R659" s="129"/>
      <c r="S659" s="130"/>
      <c r="T659" s="131"/>
      <c r="U659" s="131"/>
      <c r="V659" s="132" t="str">
        <f t="shared" si="138"/>
        <v/>
      </c>
      <c r="W659" s="133" t="str">
        <f t="shared" si="139"/>
        <v/>
      </c>
      <c r="X659" s="130"/>
      <c r="Y659" s="131"/>
      <c r="Z659" s="131"/>
      <c r="AA659" s="132" t="str">
        <f t="shared" si="140"/>
        <v/>
      </c>
      <c r="AB659" s="133" t="str">
        <f t="shared" si="141"/>
        <v/>
      </c>
      <c r="AC659" s="134" t="str">
        <f t="shared" si="142"/>
        <v/>
      </c>
      <c r="AD659" s="135" t="str">
        <f t="shared" si="143"/>
        <v/>
      </c>
      <c r="AE659" s="136"/>
      <c r="AF659" s="137"/>
      <c r="AG659" s="137"/>
      <c r="AH659" s="138" t="str">
        <f t="shared" si="144"/>
        <v/>
      </c>
      <c r="AI659" s="133" t="str">
        <f t="shared" si="145"/>
        <v/>
      </c>
    </row>
    <row r="660" spans="1:35">
      <c r="A660" s="171">
        <f>IF('09월 조업일지'!A646="","",'09월 조업일지'!A646)</f>
        <v>46289</v>
      </c>
      <c r="B660" s="172" t="str">
        <f>'09월 조업일지'!E646</f>
        <v>C</v>
      </c>
      <c r="C660" s="172" t="str">
        <f>'09월 조업일지'!F646</f>
        <v>B</v>
      </c>
      <c r="D660" s="172">
        <f>'09월 화학성분'!C647</f>
        <v>85849</v>
      </c>
      <c r="E660" s="205" t="str">
        <f t="shared" si="146"/>
        <v/>
      </c>
      <c r="F660" s="121"/>
      <c r="G660" s="122"/>
      <c r="H660" s="123"/>
      <c r="I660" s="122"/>
      <c r="J660" s="123"/>
      <c r="K660" s="122"/>
      <c r="L660" s="124" t="str">
        <f t="shared" si="147"/>
        <v/>
      </c>
      <c r="M660" s="125" t="str">
        <f t="shared" si="147"/>
        <v/>
      </c>
      <c r="N660" s="126" t="str">
        <f t="shared" si="134"/>
        <v/>
      </c>
      <c r="O660" s="127" t="str">
        <f t="shared" si="135"/>
        <v/>
      </c>
      <c r="P660" s="127" t="str">
        <f t="shared" si="136"/>
        <v/>
      </c>
      <c r="Q660" s="128" t="str">
        <f t="shared" si="137"/>
        <v/>
      </c>
      <c r="R660" s="129"/>
      <c r="S660" s="130"/>
      <c r="T660" s="131"/>
      <c r="U660" s="131"/>
      <c r="V660" s="132" t="str">
        <f t="shared" si="138"/>
        <v/>
      </c>
      <c r="W660" s="133" t="str">
        <f t="shared" si="139"/>
        <v/>
      </c>
      <c r="X660" s="130"/>
      <c r="Y660" s="131"/>
      <c r="Z660" s="131"/>
      <c r="AA660" s="132" t="str">
        <f t="shared" si="140"/>
        <v/>
      </c>
      <c r="AB660" s="133" t="str">
        <f t="shared" si="141"/>
        <v/>
      </c>
      <c r="AC660" s="134" t="str">
        <f t="shared" si="142"/>
        <v/>
      </c>
      <c r="AD660" s="135" t="str">
        <f t="shared" si="143"/>
        <v/>
      </c>
      <c r="AE660" s="136"/>
      <c r="AF660" s="137"/>
      <c r="AG660" s="137"/>
      <c r="AH660" s="138" t="str">
        <f t="shared" si="144"/>
        <v/>
      </c>
      <c r="AI660" s="133" t="str">
        <f t="shared" si="145"/>
        <v/>
      </c>
    </row>
    <row r="661" spans="1:35">
      <c r="A661" s="171">
        <f>IF('09월 조업일지'!A647="","",'09월 조업일지'!A647)</f>
        <v>46289</v>
      </c>
      <c r="B661" s="172" t="str">
        <f>'09월 조업일지'!E647</f>
        <v>C</v>
      </c>
      <c r="C661" s="172" t="str">
        <f>'09월 조업일지'!F647</f>
        <v>A</v>
      </c>
      <c r="D661" s="172">
        <f>'09월 화학성분'!C648</f>
        <v>85850</v>
      </c>
      <c r="E661" s="205" t="str">
        <f t="shared" si="146"/>
        <v/>
      </c>
      <c r="F661" s="121"/>
      <c r="G661" s="122"/>
      <c r="H661" s="123"/>
      <c r="I661" s="122"/>
      <c r="J661" s="123"/>
      <c r="K661" s="122"/>
      <c r="L661" s="124" t="str">
        <f t="shared" si="147"/>
        <v/>
      </c>
      <c r="M661" s="125" t="str">
        <f t="shared" si="147"/>
        <v/>
      </c>
      <c r="N661" s="126" t="str">
        <f t="shared" si="134"/>
        <v/>
      </c>
      <c r="O661" s="127" t="str">
        <f t="shared" si="135"/>
        <v/>
      </c>
      <c r="P661" s="127" t="str">
        <f t="shared" si="136"/>
        <v/>
      </c>
      <c r="Q661" s="128" t="str">
        <f t="shared" si="137"/>
        <v/>
      </c>
      <c r="R661" s="129"/>
      <c r="S661" s="130"/>
      <c r="T661" s="131"/>
      <c r="U661" s="131"/>
      <c r="V661" s="132" t="str">
        <f t="shared" si="138"/>
        <v/>
      </c>
      <c r="W661" s="133" t="str">
        <f t="shared" si="139"/>
        <v/>
      </c>
      <c r="X661" s="130"/>
      <c r="Y661" s="131"/>
      <c r="Z661" s="131"/>
      <c r="AA661" s="132" t="str">
        <f t="shared" si="140"/>
        <v/>
      </c>
      <c r="AB661" s="133" t="str">
        <f t="shared" si="141"/>
        <v/>
      </c>
      <c r="AC661" s="134" t="str">
        <f t="shared" si="142"/>
        <v/>
      </c>
      <c r="AD661" s="135" t="str">
        <f t="shared" si="143"/>
        <v/>
      </c>
      <c r="AE661" s="136"/>
      <c r="AF661" s="137"/>
      <c r="AG661" s="137"/>
      <c r="AH661" s="138" t="str">
        <f t="shared" si="144"/>
        <v/>
      </c>
      <c r="AI661" s="133" t="str">
        <f t="shared" si="145"/>
        <v/>
      </c>
    </row>
    <row r="662" spans="1:35">
      <c r="A662" s="171">
        <f>IF('09월 조업일지'!A648="","",'09월 조업일지'!A648)</f>
        <v>46289</v>
      </c>
      <c r="B662" s="172" t="str">
        <f>'09월 조업일지'!E648</f>
        <v>C</v>
      </c>
      <c r="C662" s="172" t="str">
        <f>'09월 조업일지'!F648</f>
        <v>B</v>
      </c>
      <c r="D662" s="172">
        <f>'09월 화학성분'!C649</f>
        <v>85851</v>
      </c>
      <c r="E662" s="205" t="str">
        <f t="shared" si="146"/>
        <v/>
      </c>
      <c r="F662" s="121"/>
      <c r="G662" s="122"/>
      <c r="H662" s="123"/>
      <c r="I662" s="122"/>
      <c r="J662" s="123"/>
      <c r="K662" s="122"/>
      <c r="L662" s="124" t="str">
        <f t="shared" si="147"/>
        <v/>
      </c>
      <c r="M662" s="125" t="str">
        <f t="shared" si="147"/>
        <v/>
      </c>
      <c r="N662" s="126" t="str">
        <f t="shared" si="134"/>
        <v/>
      </c>
      <c r="O662" s="127" t="str">
        <f t="shared" si="135"/>
        <v/>
      </c>
      <c r="P662" s="127" t="str">
        <f t="shared" si="136"/>
        <v/>
      </c>
      <c r="Q662" s="128" t="str">
        <f t="shared" si="137"/>
        <v/>
      </c>
      <c r="R662" s="129"/>
      <c r="S662" s="130"/>
      <c r="T662" s="131"/>
      <c r="U662" s="131"/>
      <c r="V662" s="132" t="str">
        <f t="shared" si="138"/>
        <v/>
      </c>
      <c r="W662" s="133" t="str">
        <f t="shared" si="139"/>
        <v/>
      </c>
      <c r="X662" s="130"/>
      <c r="Y662" s="131"/>
      <c r="Z662" s="131"/>
      <c r="AA662" s="132" t="str">
        <f t="shared" si="140"/>
        <v/>
      </c>
      <c r="AB662" s="133" t="str">
        <f t="shared" si="141"/>
        <v/>
      </c>
      <c r="AC662" s="134" t="str">
        <f t="shared" si="142"/>
        <v/>
      </c>
      <c r="AD662" s="135" t="str">
        <f t="shared" si="143"/>
        <v/>
      </c>
      <c r="AE662" s="136"/>
      <c r="AF662" s="137"/>
      <c r="AG662" s="137"/>
      <c r="AH662" s="138" t="str">
        <f t="shared" si="144"/>
        <v/>
      </c>
      <c r="AI662" s="133" t="str">
        <f t="shared" si="145"/>
        <v/>
      </c>
    </row>
    <row r="663" spans="1:35">
      <c r="A663" s="171">
        <f>IF('09월 조업일지'!A649="","",'09월 조업일지'!A649)</f>
        <v>46289</v>
      </c>
      <c r="B663" s="172" t="str">
        <f>'09월 조업일지'!E649</f>
        <v>C</v>
      </c>
      <c r="C663" s="172" t="str">
        <f>'09월 조업일지'!F649</f>
        <v>A</v>
      </c>
      <c r="D663" s="172">
        <f>'09월 화학성분'!C650</f>
        <v>85852</v>
      </c>
      <c r="E663" s="205" t="str">
        <f t="shared" si="146"/>
        <v/>
      </c>
      <c r="F663" s="121"/>
      <c r="G663" s="122"/>
      <c r="H663" s="123"/>
      <c r="I663" s="122"/>
      <c r="J663" s="123"/>
      <c r="K663" s="122"/>
      <c r="L663" s="124" t="str">
        <f t="shared" si="147"/>
        <v/>
      </c>
      <c r="M663" s="125" t="str">
        <f t="shared" si="147"/>
        <v/>
      </c>
      <c r="N663" s="126" t="str">
        <f t="shared" si="134"/>
        <v/>
      </c>
      <c r="O663" s="127" t="str">
        <f t="shared" si="135"/>
        <v/>
      </c>
      <c r="P663" s="127" t="str">
        <f t="shared" si="136"/>
        <v/>
      </c>
      <c r="Q663" s="128" t="str">
        <f t="shared" si="137"/>
        <v/>
      </c>
      <c r="R663" s="129"/>
      <c r="S663" s="130"/>
      <c r="T663" s="131"/>
      <c r="U663" s="131"/>
      <c r="V663" s="132" t="str">
        <f t="shared" si="138"/>
        <v/>
      </c>
      <c r="W663" s="133" t="str">
        <f t="shared" si="139"/>
        <v/>
      </c>
      <c r="X663" s="130"/>
      <c r="Y663" s="131"/>
      <c r="Z663" s="131"/>
      <c r="AA663" s="132" t="str">
        <f t="shared" si="140"/>
        <v/>
      </c>
      <c r="AB663" s="133" t="str">
        <f t="shared" si="141"/>
        <v/>
      </c>
      <c r="AC663" s="134" t="str">
        <f t="shared" si="142"/>
        <v/>
      </c>
      <c r="AD663" s="135" t="str">
        <f t="shared" si="143"/>
        <v/>
      </c>
      <c r="AE663" s="136"/>
      <c r="AF663" s="137"/>
      <c r="AG663" s="137"/>
      <c r="AH663" s="138" t="str">
        <f t="shared" si="144"/>
        <v/>
      </c>
      <c r="AI663" s="133" t="str">
        <f t="shared" si="145"/>
        <v/>
      </c>
    </row>
    <row r="664" spans="1:35">
      <c r="A664" s="171">
        <f>IF('09월 조업일지'!A650="","",'09월 조업일지'!A650)</f>
        <v>46289</v>
      </c>
      <c r="B664" s="172" t="str">
        <f>'09월 조업일지'!E650</f>
        <v>C</v>
      </c>
      <c r="C664" s="172" t="str">
        <f>'09월 조업일지'!F650</f>
        <v>B</v>
      </c>
      <c r="D664" s="172">
        <f>'09월 화학성분'!C651</f>
        <v>85853</v>
      </c>
      <c r="E664" s="205" t="str">
        <f t="shared" si="146"/>
        <v/>
      </c>
      <c r="F664" s="121"/>
      <c r="G664" s="122"/>
      <c r="H664" s="123"/>
      <c r="I664" s="122"/>
      <c r="J664" s="123"/>
      <c r="K664" s="122"/>
      <c r="L664" s="124" t="str">
        <f t="shared" si="147"/>
        <v/>
      </c>
      <c r="M664" s="125" t="str">
        <f t="shared" si="147"/>
        <v/>
      </c>
      <c r="N664" s="126" t="str">
        <f t="shared" ref="N664:N727" si="148">IF(ISBLANK(G664),"",G664/R664)</f>
        <v/>
      </c>
      <c r="O664" s="127" t="str">
        <f t="shared" ref="O664:O727" si="149">IF(ISBLANK(I664),"",+I664/R664)</f>
        <v/>
      </c>
      <c r="P664" s="127" t="str">
        <f t="shared" ref="P664:P727" si="150">IF(ISBLANK(K664),"",K664/R664)</f>
        <v/>
      </c>
      <c r="Q664" s="128" t="str">
        <f t="shared" ref="Q664:Q727" si="151">IF(ISBLANK(K664),"",SUM(N664:P664))</f>
        <v/>
      </c>
      <c r="R664" s="129"/>
      <c r="S664" s="130"/>
      <c r="T664" s="131"/>
      <c r="U664" s="131"/>
      <c r="V664" s="132" t="str">
        <f t="shared" ref="V664:V727" si="152">IF(SUM(S664:U664)=0,"",SUM(S664:U664))</f>
        <v/>
      </c>
      <c r="W664" s="133" t="str">
        <f t="shared" ref="W664:W727" si="153">IF(V664="","",V664/R664)</f>
        <v/>
      </c>
      <c r="X664" s="130"/>
      <c r="Y664" s="131"/>
      <c r="Z664" s="131"/>
      <c r="AA664" s="132" t="str">
        <f t="shared" ref="AA664:AA727" si="154">IF(SUM(X664:Z664)=0,"",SUM(X664:Z664))</f>
        <v/>
      </c>
      <c r="AB664" s="133" t="str">
        <f t="shared" ref="AB664:AB727" si="155">IF(AA664="","",AA664/R664)</f>
        <v/>
      </c>
      <c r="AC664" s="134" t="str">
        <f t="shared" ref="AC664:AC727" si="156">IF(SUM(V664,AA664)=0,"",SUM(V664,AA664))</f>
        <v/>
      </c>
      <c r="AD664" s="135" t="str">
        <f t="shared" ref="AD664:AD727" si="157">IF(AC664="","",AC664/R664)</f>
        <v/>
      </c>
      <c r="AE664" s="136"/>
      <c r="AF664" s="137"/>
      <c r="AG664" s="137"/>
      <c r="AH664" s="138" t="str">
        <f t="shared" ref="AH664:AH727" si="158">IF(SUM(AE664:AG664)=0,"",SUM(AE664:AG664))</f>
        <v/>
      </c>
      <c r="AI664" s="133" t="str">
        <f t="shared" ref="AI664:AI727" si="159">IF(AH664="","",AH664/R664)</f>
        <v/>
      </c>
    </row>
    <row r="665" spans="1:35">
      <c r="A665" s="171">
        <f>IF('09월 조업일지'!A651="","",'09월 조업일지'!A651)</f>
        <v>46289</v>
      </c>
      <c r="B665" s="172" t="str">
        <f>'09월 조업일지'!E651</f>
        <v>C</v>
      </c>
      <c r="C665" s="172" t="str">
        <f>'09월 조업일지'!F651</f>
        <v>A</v>
      </c>
      <c r="D665" s="172">
        <f>'09월 화학성분'!C652</f>
        <v>85854</v>
      </c>
      <c r="E665" s="205" t="str">
        <f t="shared" ref="E665:E728" si="160">IF(F665="","",E664)</f>
        <v/>
      </c>
      <c r="F665" s="121"/>
      <c r="G665" s="122"/>
      <c r="H665" s="123"/>
      <c r="I665" s="122"/>
      <c r="J665" s="123"/>
      <c r="K665" s="122"/>
      <c r="L665" s="124" t="str">
        <f t="shared" si="147"/>
        <v/>
      </c>
      <c r="M665" s="125" t="str">
        <f t="shared" si="147"/>
        <v/>
      </c>
      <c r="N665" s="126" t="str">
        <f t="shared" si="148"/>
        <v/>
      </c>
      <c r="O665" s="127" t="str">
        <f t="shared" si="149"/>
        <v/>
      </c>
      <c r="P665" s="127" t="str">
        <f t="shared" si="150"/>
        <v/>
      </c>
      <c r="Q665" s="128" t="str">
        <f t="shared" si="151"/>
        <v/>
      </c>
      <c r="R665" s="129"/>
      <c r="S665" s="130"/>
      <c r="T665" s="131"/>
      <c r="U665" s="131"/>
      <c r="V665" s="132" t="str">
        <f t="shared" si="152"/>
        <v/>
      </c>
      <c r="W665" s="133" t="str">
        <f t="shared" si="153"/>
        <v/>
      </c>
      <c r="X665" s="130"/>
      <c r="Y665" s="131"/>
      <c r="Z665" s="131"/>
      <c r="AA665" s="132" t="str">
        <f t="shared" si="154"/>
        <v/>
      </c>
      <c r="AB665" s="133" t="str">
        <f t="shared" si="155"/>
        <v/>
      </c>
      <c r="AC665" s="134" t="str">
        <f t="shared" si="156"/>
        <v/>
      </c>
      <c r="AD665" s="135" t="str">
        <f t="shared" si="157"/>
        <v/>
      </c>
      <c r="AE665" s="136"/>
      <c r="AF665" s="137"/>
      <c r="AG665" s="137"/>
      <c r="AH665" s="138" t="str">
        <f t="shared" si="158"/>
        <v/>
      </c>
      <c r="AI665" s="133" t="str">
        <f t="shared" si="159"/>
        <v/>
      </c>
    </row>
    <row r="666" spans="1:35">
      <c r="A666" s="171">
        <f>IF('09월 조업일지'!A652="","",'09월 조업일지'!A652)</f>
        <v>46289</v>
      </c>
      <c r="B666" s="172" t="str">
        <f>'09월 조업일지'!E652</f>
        <v>C</v>
      </c>
      <c r="C666" s="172" t="str">
        <f>'09월 조업일지'!F652</f>
        <v>B</v>
      </c>
      <c r="D666" s="172">
        <f>'09월 화학성분'!C653</f>
        <v>85855</v>
      </c>
      <c r="E666" s="205" t="str">
        <f t="shared" si="160"/>
        <v/>
      </c>
      <c r="F666" s="121"/>
      <c r="G666" s="122"/>
      <c r="H666" s="123"/>
      <c r="I666" s="122"/>
      <c r="J666" s="123"/>
      <c r="K666" s="122"/>
      <c r="L666" s="124" t="str">
        <f t="shared" si="147"/>
        <v/>
      </c>
      <c r="M666" s="125" t="str">
        <f t="shared" si="147"/>
        <v/>
      </c>
      <c r="N666" s="126" t="str">
        <f t="shared" si="148"/>
        <v/>
      </c>
      <c r="O666" s="127" t="str">
        <f t="shared" si="149"/>
        <v/>
      </c>
      <c r="P666" s="127" t="str">
        <f t="shared" si="150"/>
        <v/>
      </c>
      <c r="Q666" s="128" t="str">
        <f t="shared" si="151"/>
        <v/>
      </c>
      <c r="R666" s="129"/>
      <c r="S666" s="130"/>
      <c r="T666" s="131"/>
      <c r="U666" s="131"/>
      <c r="V666" s="132" t="str">
        <f t="shared" si="152"/>
        <v/>
      </c>
      <c r="W666" s="133" t="str">
        <f t="shared" si="153"/>
        <v/>
      </c>
      <c r="X666" s="130"/>
      <c r="Y666" s="131"/>
      <c r="Z666" s="131"/>
      <c r="AA666" s="132" t="str">
        <f t="shared" si="154"/>
        <v/>
      </c>
      <c r="AB666" s="133" t="str">
        <f t="shared" si="155"/>
        <v/>
      </c>
      <c r="AC666" s="134" t="str">
        <f t="shared" si="156"/>
        <v/>
      </c>
      <c r="AD666" s="135" t="str">
        <f t="shared" si="157"/>
        <v/>
      </c>
      <c r="AE666" s="136"/>
      <c r="AF666" s="137"/>
      <c r="AG666" s="137"/>
      <c r="AH666" s="138" t="str">
        <f t="shared" si="158"/>
        <v/>
      </c>
      <c r="AI666" s="133" t="str">
        <f t="shared" si="159"/>
        <v/>
      </c>
    </row>
    <row r="667" spans="1:35">
      <c r="A667" s="171">
        <f>IF('09월 조업일지'!A653="","",'09월 조업일지'!A653)</f>
        <v>46289</v>
      </c>
      <c r="B667" s="172" t="str">
        <f>'09월 조업일지'!E653</f>
        <v>C</v>
      </c>
      <c r="C667" s="172" t="str">
        <f>'09월 조업일지'!F653</f>
        <v>A</v>
      </c>
      <c r="D667" s="172">
        <f>'09월 화학성분'!C654</f>
        <v>85856</v>
      </c>
      <c r="E667" s="205" t="str">
        <f t="shared" si="160"/>
        <v/>
      </c>
      <c r="F667" s="121"/>
      <c r="G667" s="122"/>
      <c r="H667" s="123"/>
      <c r="I667" s="122"/>
      <c r="J667" s="123"/>
      <c r="K667" s="122"/>
      <c r="L667" s="124" t="str">
        <f t="shared" si="147"/>
        <v/>
      </c>
      <c r="M667" s="125" t="str">
        <f t="shared" si="147"/>
        <v/>
      </c>
      <c r="N667" s="126" t="str">
        <f t="shared" si="148"/>
        <v/>
      </c>
      <c r="O667" s="127" t="str">
        <f t="shared" si="149"/>
        <v/>
      </c>
      <c r="P667" s="127" t="str">
        <f t="shared" si="150"/>
        <v/>
      </c>
      <c r="Q667" s="128" t="str">
        <f t="shared" si="151"/>
        <v/>
      </c>
      <c r="R667" s="129"/>
      <c r="S667" s="130"/>
      <c r="T667" s="131"/>
      <c r="U667" s="131"/>
      <c r="V667" s="132" t="str">
        <f t="shared" si="152"/>
        <v/>
      </c>
      <c r="W667" s="133" t="str">
        <f t="shared" si="153"/>
        <v/>
      </c>
      <c r="X667" s="130"/>
      <c r="Y667" s="131"/>
      <c r="Z667" s="131"/>
      <c r="AA667" s="132" t="str">
        <f t="shared" si="154"/>
        <v/>
      </c>
      <c r="AB667" s="133" t="str">
        <f t="shared" si="155"/>
        <v/>
      </c>
      <c r="AC667" s="134" t="str">
        <f t="shared" si="156"/>
        <v/>
      </c>
      <c r="AD667" s="135" t="str">
        <f t="shared" si="157"/>
        <v/>
      </c>
      <c r="AE667" s="136"/>
      <c r="AF667" s="137"/>
      <c r="AG667" s="137"/>
      <c r="AH667" s="138" t="str">
        <f t="shared" si="158"/>
        <v/>
      </c>
      <c r="AI667" s="133" t="str">
        <f t="shared" si="159"/>
        <v/>
      </c>
    </row>
    <row r="668" spans="1:35">
      <c r="A668" s="171">
        <f>IF('09월 조업일지'!A654="","",'09월 조업일지'!A654)</f>
        <v>46289</v>
      </c>
      <c r="B668" s="172" t="str">
        <f>'09월 조업일지'!E654</f>
        <v>C</v>
      </c>
      <c r="C668" s="172" t="str">
        <f>'09월 조업일지'!F654</f>
        <v>B</v>
      </c>
      <c r="D668" s="172">
        <f>'09월 화학성분'!C655</f>
        <v>85857</v>
      </c>
      <c r="E668" s="205" t="str">
        <f t="shared" si="160"/>
        <v/>
      </c>
      <c r="F668" s="121"/>
      <c r="G668" s="122"/>
      <c r="H668" s="123"/>
      <c r="I668" s="122"/>
      <c r="J668" s="123"/>
      <c r="K668" s="122"/>
      <c r="L668" s="124" t="str">
        <f t="shared" si="147"/>
        <v/>
      </c>
      <c r="M668" s="125" t="str">
        <f t="shared" si="147"/>
        <v/>
      </c>
      <c r="N668" s="126" t="str">
        <f t="shared" si="148"/>
        <v/>
      </c>
      <c r="O668" s="127" t="str">
        <f t="shared" si="149"/>
        <v/>
      </c>
      <c r="P668" s="127" t="str">
        <f t="shared" si="150"/>
        <v/>
      </c>
      <c r="Q668" s="128" t="str">
        <f t="shared" si="151"/>
        <v/>
      </c>
      <c r="R668" s="129"/>
      <c r="S668" s="130"/>
      <c r="T668" s="131"/>
      <c r="U668" s="131"/>
      <c r="V668" s="132" t="str">
        <f t="shared" si="152"/>
        <v/>
      </c>
      <c r="W668" s="133" t="str">
        <f t="shared" si="153"/>
        <v/>
      </c>
      <c r="X668" s="130"/>
      <c r="Y668" s="131"/>
      <c r="Z668" s="131"/>
      <c r="AA668" s="132" t="str">
        <f t="shared" si="154"/>
        <v/>
      </c>
      <c r="AB668" s="133" t="str">
        <f t="shared" si="155"/>
        <v/>
      </c>
      <c r="AC668" s="134" t="str">
        <f t="shared" si="156"/>
        <v/>
      </c>
      <c r="AD668" s="135" t="str">
        <f t="shared" si="157"/>
        <v/>
      </c>
      <c r="AE668" s="136"/>
      <c r="AF668" s="137"/>
      <c r="AG668" s="137"/>
      <c r="AH668" s="138" t="str">
        <f t="shared" si="158"/>
        <v/>
      </c>
      <c r="AI668" s="133" t="str">
        <f t="shared" si="159"/>
        <v/>
      </c>
    </row>
    <row r="669" spans="1:35">
      <c r="A669" s="171">
        <f>IF('09월 조업일지'!A655="","",'09월 조업일지'!A655)</f>
        <v>46289</v>
      </c>
      <c r="B669" s="172" t="str">
        <f>'09월 조업일지'!E655</f>
        <v>C</v>
      </c>
      <c r="C669" s="172" t="str">
        <f>'09월 조업일지'!F655</f>
        <v>A</v>
      </c>
      <c r="D669" s="172">
        <f>'09월 화학성분'!C656</f>
        <v>85858</v>
      </c>
      <c r="E669" s="205" t="str">
        <f t="shared" si="160"/>
        <v/>
      </c>
      <c r="F669" s="121"/>
      <c r="G669" s="122"/>
      <c r="H669" s="123"/>
      <c r="I669" s="122"/>
      <c r="J669" s="123"/>
      <c r="K669" s="122"/>
      <c r="L669" s="124" t="str">
        <f t="shared" si="147"/>
        <v/>
      </c>
      <c r="M669" s="125" t="str">
        <f t="shared" si="147"/>
        <v/>
      </c>
      <c r="N669" s="126" t="str">
        <f t="shared" si="148"/>
        <v/>
      </c>
      <c r="O669" s="127" t="str">
        <f t="shared" si="149"/>
        <v/>
      </c>
      <c r="P669" s="127" t="str">
        <f t="shared" si="150"/>
        <v/>
      </c>
      <c r="Q669" s="128" t="str">
        <f t="shared" si="151"/>
        <v/>
      </c>
      <c r="R669" s="129"/>
      <c r="S669" s="130"/>
      <c r="T669" s="131"/>
      <c r="U669" s="131"/>
      <c r="V669" s="132" t="str">
        <f t="shared" si="152"/>
        <v/>
      </c>
      <c r="W669" s="133" t="str">
        <f t="shared" si="153"/>
        <v/>
      </c>
      <c r="X669" s="130"/>
      <c r="Y669" s="131"/>
      <c r="Z669" s="131"/>
      <c r="AA669" s="132" t="str">
        <f t="shared" si="154"/>
        <v/>
      </c>
      <c r="AB669" s="133" t="str">
        <f t="shared" si="155"/>
        <v/>
      </c>
      <c r="AC669" s="134" t="str">
        <f t="shared" si="156"/>
        <v/>
      </c>
      <c r="AD669" s="135" t="str">
        <f t="shared" si="157"/>
        <v/>
      </c>
      <c r="AE669" s="136"/>
      <c r="AF669" s="137"/>
      <c r="AG669" s="137"/>
      <c r="AH669" s="138" t="str">
        <f t="shared" si="158"/>
        <v/>
      </c>
      <c r="AI669" s="133" t="str">
        <f t="shared" si="159"/>
        <v/>
      </c>
    </row>
    <row r="670" spans="1:35">
      <c r="A670" s="171">
        <f>IF('09월 조업일지'!A656="","",'09월 조업일지'!A656)</f>
        <v>46289</v>
      </c>
      <c r="B670" s="172" t="str">
        <f>'09월 조업일지'!E656</f>
        <v>A</v>
      </c>
      <c r="C670" s="172" t="str">
        <f>'09월 조업일지'!F656</f>
        <v>B</v>
      </c>
      <c r="D670" s="172">
        <f>'09월 화학성분'!C657</f>
        <v>85859</v>
      </c>
      <c r="E670" s="205" t="str">
        <f t="shared" si="160"/>
        <v/>
      </c>
      <c r="F670" s="121"/>
      <c r="G670" s="122"/>
      <c r="H670" s="123"/>
      <c r="I670" s="122"/>
      <c r="J670" s="123"/>
      <c r="K670" s="122"/>
      <c r="L670" s="124" t="str">
        <f t="shared" si="147"/>
        <v/>
      </c>
      <c r="M670" s="125" t="str">
        <f t="shared" si="147"/>
        <v/>
      </c>
      <c r="N670" s="126" t="str">
        <f t="shared" si="148"/>
        <v/>
      </c>
      <c r="O670" s="127" t="str">
        <f t="shared" si="149"/>
        <v/>
      </c>
      <c r="P670" s="127" t="str">
        <f t="shared" si="150"/>
        <v/>
      </c>
      <c r="Q670" s="128" t="str">
        <f t="shared" si="151"/>
        <v/>
      </c>
      <c r="R670" s="129"/>
      <c r="S670" s="130"/>
      <c r="T670" s="131"/>
      <c r="U670" s="131"/>
      <c r="V670" s="132" t="str">
        <f t="shared" si="152"/>
        <v/>
      </c>
      <c r="W670" s="133" t="str">
        <f t="shared" si="153"/>
        <v/>
      </c>
      <c r="X670" s="130"/>
      <c r="Y670" s="131"/>
      <c r="Z670" s="131"/>
      <c r="AA670" s="132" t="str">
        <f t="shared" si="154"/>
        <v/>
      </c>
      <c r="AB670" s="133" t="str">
        <f t="shared" si="155"/>
        <v/>
      </c>
      <c r="AC670" s="134" t="str">
        <f t="shared" si="156"/>
        <v/>
      </c>
      <c r="AD670" s="135" t="str">
        <f t="shared" si="157"/>
        <v/>
      </c>
      <c r="AE670" s="136"/>
      <c r="AF670" s="137"/>
      <c r="AG670" s="137"/>
      <c r="AH670" s="138" t="str">
        <f t="shared" si="158"/>
        <v/>
      </c>
      <c r="AI670" s="133" t="str">
        <f t="shared" si="159"/>
        <v/>
      </c>
    </row>
    <row r="671" spans="1:35">
      <c r="A671" s="171">
        <f>IF('09월 조업일지'!A657="","",'09월 조업일지'!A657)</f>
        <v>46289</v>
      </c>
      <c r="B671" s="172" t="str">
        <f>'09월 조업일지'!E657</f>
        <v>A</v>
      </c>
      <c r="C671" s="172" t="str">
        <f>'09월 조업일지'!F657</f>
        <v>A</v>
      </c>
      <c r="D671" s="172">
        <f>'09월 화학성분'!C658</f>
        <v>85860</v>
      </c>
      <c r="E671" s="205" t="str">
        <f t="shared" si="160"/>
        <v/>
      </c>
      <c r="F671" s="121"/>
      <c r="G671" s="122"/>
      <c r="H671" s="123"/>
      <c r="I671" s="122"/>
      <c r="J671" s="123"/>
      <c r="K671" s="122"/>
      <c r="L671" s="124" t="str">
        <f t="shared" si="147"/>
        <v/>
      </c>
      <c r="M671" s="125" t="str">
        <f t="shared" si="147"/>
        <v/>
      </c>
      <c r="N671" s="126" t="str">
        <f t="shared" si="148"/>
        <v/>
      </c>
      <c r="O671" s="127" t="str">
        <f t="shared" si="149"/>
        <v/>
      </c>
      <c r="P671" s="127" t="str">
        <f t="shared" si="150"/>
        <v/>
      </c>
      <c r="Q671" s="128" t="str">
        <f t="shared" si="151"/>
        <v/>
      </c>
      <c r="R671" s="129"/>
      <c r="S671" s="130"/>
      <c r="T671" s="131"/>
      <c r="U671" s="131"/>
      <c r="V671" s="132" t="str">
        <f t="shared" si="152"/>
        <v/>
      </c>
      <c r="W671" s="133" t="str">
        <f t="shared" si="153"/>
        <v/>
      </c>
      <c r="X671" s="130"/>
      <c r="Y671" s="131"/>
      <c r="Z671" s="131"/>
      <c r="AA671" s="132" t="str">
        <f t="shared" si="154"/>
        <v/>
      </c>
      <c r="AB671" s="133" t="str">
        <f t="shared" si="155"/>
        <v/>
      </c>
      <c r="AC671" s="134" t="str">
        <f t="shared" si="156"/>
        <v/>
      </c>
      <c r="AD671" s="135" t="str">
        <f t="shared" si="157"/>
        <v/>
      </c>
      <c r="AE671" s="136"/>
      <c r="AF671" s="137"/>
      <c r="AG671" s="137"/>
      <c r="AH671" s="138" t="str">
        <f t="shared" si="158"/>
        <v/>
      </c>
      <c r="AI671" s="133" t="str">
        <f t="shared" si="159"/>
        <v/>
      </c>
    </row>
    <row r="672" spans="1:35">
      <c r="A672" s="171">
        <f>IF('09월 조업일지'!A658="","",'09월 조업일지'!A658)</f>
        <v>46289</v>
      </c>
      <c r="B672" s="172" t="str">
        <f>'09월 조업일지'!E658</f>
        <v>A</v>
      </c>
      <c r="C672" s="172" t="str">
        <f>'09월 조업일지'!F658</f>
        <v>B</v>
      </c>
      <c r="D672" s="172">
        <f>'09월 화학성분'!C659</f>
        <v>85861</v>
      </c>
      <c r="E672" s="205" t="str">
        <f t="shared" si="160"/>
        <v/>
      </c>
      <c r="F672" s="121"/>
      <c r="G672" s="122"/>
      <c r="H672" s="123"/>
      <c r="I672" s="122"/>
      <c r="J672" s="123"/>
      <c r="K672" s="122"/>
      <c r="L672" s="124" t="str">
        <f t="shared" si="147"/>
        <v/>
      </c>
      <c r="M672" s="125" t="str">
        <f t="shared" si="147"/>
        <v/>
      </c>
      <c r="N672" s="126" t="str">
        <f t="shared" si="148"/>
        <v/>
      </c>
      <c r="O672" s="127" t="str">
        <f t="shared" si="149"/>
        <v/>
      </c>
      <c r="P672" s="127" t="str">
        <f t="shared" si="150"/>
        <v/>
      </c>
      <c r="Q672" s="128" t="str">
        <f t="shared" si="151"/>
        <v/>
      </c>
      <c r="R672" s="129"/>
      <c r="S672" s="130"/>
      <c r="T672" s="131"/>
      <c r="U672" s="131"/>
      <c r="V672" s="132" t="str">
        <f t="shared" si="152"/>
        <v/>
      </c>
      <c r="W672" s="133" t="str">
        <f t="shared" si="153"/>
        <v/>
      </c>
      <c r="X672" s="130"/>
      <c r="Y672" s="131"/>
      <c r="Z672" s="131"/>
      <c r="AA672" s="132" t="str">
        <f t="shared" si="154"/>
        <v/>
      </c>
      <c r="AB672" s="133" t="str">
        <f t="shared" si="155"/>
        <v/>
      </c>
      <c r="AC672" s="134" t="str">
        <f t="shared" si="156"/>
        <v/>
      </c>
      <c r="AD672" s="135" t="str">
        <f t="shared" si="157"/>
        <v/>
      </c>
      <c r="AE672" s="136"/>
      <c r="AF672" s="137"/>
      <c r="AG672" s="137"/>
      <c r="AH672" s="138" t="str">
        <f t="shared" si="158"/>
        <v/>
      </c>
      <c r="AI672" s="133" t="str">
        <f t="shared" si="159"/>
        <v/>
      </c>
    </row>
    <row r="673" spans="1:35">
      <c r="A673" s="171">
        <f>IF('09월 조업일지'!A659="","",'09월 조업일지'!A659)</f>
        <v>46289</v>
      </c>
      <c r="B673" s="172" t="str">
        <f>'09월 조업일지'!E659</f>
        <v>A</v>
      </c>
      <c r="C673" s="172" t="str">
        <f>'09월 조업일지'!F659</f>
        <v>A</v>
      </c>
      <c r="D673" s="172">
        <f>'09월 화학성분'!C660</f>
        <v>85862</v>
      </c>
      <c r="E673" s="205" t="str">
        <f t="shared" si="160"/>
        <v/>
      </c>
      <c r="F673" s="121"/>
      <c r="G673" s="122"/>
      <c r="H673" s="123"/>
      <c r="I673" s="122"/>
      <c r="J673" s="123"/>
      <c r="K673" s="122"/>
      <c r="L673" s="124" t="str">
        <f t="shared" si="147"/>
        <v/>
      </c>
      <c r="M673" s="125" t="str">
        <f t="shared" si="147"/>
        <v/>
      </c>
      <c r="N673" s="126" t="str">
        <f t="shared" si="148"/>
        <v/>
      </c>
      <c r="O673" s="127" t="str">
        <f t="shared" si="149"/>
        <v/>
      </c>
      <c r="P673" s="127" t="str">
        <f t="shared" si="150"/>
        <v/>
      </c>
      <c r="Q673" s="128" t="str">
        <f t="shared" si="151"/>
        <v/>
      </c>
      <c r="R673" s="129"/>
      <c r="S673" s="130"/>
      <c r="T673" s="131"/>
      <c r="U673" s="131"/>
      <c r="V673" s="132" t="str">
        <f t="shared" si="152"/>
        <v/>
      </c>
      <c r="W673" s="133" t="str">
        <f t="shared" si="153"/>
        <v/>
      </c>
      <c r="X673" s="130"/>
      <c r="Y673" s="131"/>
      <c r="Z673" s="131"/>
      <c r="AA673" s="132" t="str">
        <f t="shared" si="154"/>
        <v/>
      </c>
      <c r="AB673" s="133" t="str">
        <f t="shared" si="155"/>
        <v/>
      </c>
      <c r="AC673" s="134" t="str">
        <f t="shared" si="156"/>
        <v/>
      </c>
      <c r="AD673" s="135" t="str">
        <f t="shared" si="157"/>
        <v/>
      </c>
      <c r="AE673" s="136"/>
      <c r="AF673" s="137"/>
      <c r="AG673" s="137"/>
      <c r="AH673" s="138" t="str">
        <f t="shared" si="158"/>
        <v/>
      </c>
      <c r="AI673" s="133" t="str">
        <f t="shared" si="159"/>
        <v/>
      </c>
    </row>
    <row r="674" spans="1:35">
      <c r="A674" s="171">
        <f>IF('09월 조업일지'!A660="","",'09월 조업일지'!A660)</f>
        <v>46289</v>
      </c>
      <c r="B674" s="172" t="str">
        <f>'09월 조업일지'!E660</f>
        <v>A</v>
      </c>
      <c r="C674" s="172" t="str">
        <f>'09월 조업일지'!F660</f>
        <v>B</v>
      </c>
      <c r="D674" s="172">
        <f>'09월 화학성분'!C661</f>
        <v>85863</v>
      </c>
      <c r="E674" s="205" t="str">
        <f t="shared" si="160"/>
        <v/>
      </c>
      <c r="F674" s="121"/>
      <c r="G674" s="122"/>
      <c r="H674" s="123"/>
      <c r="I674" s="122"/>
      <c r="J674" s="123"/>
      <c r="K674" s="122"/>
      <c r="L674" s="124" t="str">
        <f t="shared" si="147"/>
        <v/>
      </c>
      <c r="M674" s="125" t="str">
        <f t="shared" si="147"/>
        <v/>
      </c>
      <c r="N674" s="126" t="str">
        <f t="shared" si="148"/>
        <v/>
      </c>
      <c r="O674" s="127" t="str">
        <f t="shared" si="149"/>
        <v/>
      </c>
      <c r="P674" s="127" t="str">
        <f t="shared" si="150"/>
        <v/>
      </c>
      <c r="Q674" s="128" t="str">
        <f t="shared" si="151"/>
        <v/>
      </c>
      <c r="R674" s="129"/>
      <c r="S674" s="130"/>
      <c r="T674" s="131"/>
      <c r="U674" s="131"/>
      <c r="V674" s="132" t="str">
        <f t="shared" si="152"/>
        <v/>
      </c>
      <c r="W674" s="133" t="str">
        <f t="shared" si="153"/>
        <v/>
      </c>
      <c r="X674" s="130"/>
      <c r="Y674" s="131"/>
      <c r="Z674" s="131"/>
      <c r="AA674" s="132" t="str">
        <f t="shared" si="154"/>
        <v/>
      </c>
      <c r="AB674" s="133" t="str">
        <f t="shared" si="155"/>
        <v/>
      </c>
      <c r="AC674" s="134" t="str">
        <f t="shared" si="156"/>
        <v/>
      </c>
      <c r="AD674" s="135" t="str">
        <f t="shared" si="157"/>
        <v/>
      </c>
      <c r="AE674" s="136"/>
      <c r="AF674" s="137"/>
      <c r="AG674" s="137"/>
      <c r="AH674" s="138" t="str">
        <f t="shared" si="158"/>
        <v/>
      </c>
      <c r="AI674" s="133" t="str">
        <f t="shared" si="159"/>
        <v/>
      </c>
    </row>
    <row r="675" spans="1:35">
      <c r="A675" s="171">
        <f>IF('09월 조업일지'!A661="","",'09월 조업일지'!A661)</f>
        <v>46289</v>
      </c>
      <c r="B675" s="172" t="str">
        <f>'09월 조업일지'!E661</f>
        <v>A</v>
      </c>
      <c r="C675" s="172" t="str">
        <f>'09월 조업일지'!F661</f>
        <v>A</v>
      </c>
      <c r="D675" s="172">
        <f>'09월 화학성분'!C662</f>
        <v>85864</v>
      </c>
      <c r="E675" s="205" t="str">
        <f t="shared" si="160"/>
        <v/>
      </c>
      <c r="F675" s="121"/>
      <c r="G675" s="122"/>
      <c r="H675" s="123"/>
      <c r="I675" s="122"/>
      <c r="J675" s="123"/>
      <c r="K675" s="122"/>
      <c r="L675" s="124" t="str">
        <f t="shared" ref="L675:M738" si="161">IF(ISBLANK(F675),"",SUM(F675,H675,J675))</f>
        <v/>
      </c>
      <c r="M675" s="125" t="str">
        <f t="shared" si="161"/>
        <v/>
      </c>
      <c r="N675" s="126" t="str">
        <f t="shared" si="148"/>
        <v/>
      </c>
      <c r="O675" s="127" t="str">
        <f t="shared" si="149"/>
        <v/>
      </c>
      <c r="P675" s="127" t="str">
        <f t="shared" si="150"/>
        <v/>
      </c>
      <c r="Q675" s="128" t="str">
        <f t="shared" si="151"/>
        <v/>
      </c>
      <c r="R675" s="129"/>
      <c r="S675" s="130"/>
      <c r="T675" s="131"/>
      <c r="U675" s="131"/>
      <c r="V675" s="132" t="str">
        <f t="shared" si="152"/>
        <v/>
      </c>
      <c r="W675" s="133" t="str">
        <f t="shared" si="153"/>
        <v/>
      </c>
      <c r="X675" s="130"/>
      <c r="Y675" s="131"/>
      <c r="Z675" s="131"/>
      <c r="AA675" s="132" t="str">
        <f t="shared" si="154"/>
        <v/>
      </c>
      <c r="AB675" s="133" t="str">
        <f t="shared" si="155"/>
        <v/>
      </c>
      <c r="AC675" s="134" t="str">
        <f t="shared" si="156"/>
        <v/>
      </c>
      <c r="AD675" s="135" t="str">
        <f t="shared" si="157"/>
        <v/>
      </c>
      <c r="AE675" s="136"/>
      <c r="AF675" s="137"/>
      <c r="AG675" s="137"/>
      <c r="AH675" s="138" t="str">
        <f t="shared" si="158"/>
        <v/>
      </c>
      <c r="AI675" s="133" t="str">
        <f t="shared" si="159"/>
        <v/>
      </c>
    </row>
    <row r="676" spans="1:35">
      <c r="A676" s="171">
        <f>IF('09월 조업일지'!A662="","",'09월 조업일지'!A662)</f>
        <v>46290</v>
      </c>
      <c r="B676" s="172" t="str">
        <f>'09월 조업일지'!E662</f>
        <v>A</v>
      </c>
      <c r="C676" s="172" t="str">
        <f>'09월 조업일지'!F662</f>
        <v>B</v>
      </c>
      <c r="D676" s="172">
        <f>'09월 화학성분'!C663</f>
        <v>85865</v>
      </c>
      <c r="E676" s="205" t="str">
        <f t="shared" si="160"/>
        <v/>
      </c>
      <c r="F676" s="121"/>
      <c r="G676" s="122"/>
      <c r="H676" s="123"/>
      <c r="I676" s="122"/>
      <c r="J676" s="123"/>
      <c r="K676" s="122"/>
      <c r="L676" s="124" t="str">
        <f t="shared" si="161"/>
        <v/>
      </c>
      <c r="M676" s="125" t="str">
        <f t="shared" si="161"/>
        <v/>
      </c>
      <c r="N676" s="126" t="str">
        <f t="shared" si="148"/>
        <v/>
      </c>
      <c r="O676" s="127" t="str">
        <f t="shared" si="149"/>
        <v/>
      </c>
      <c r="P676" s="127" t="str">
        <f t="shared" si="150"/>
        <v/>
      </c>
      <c r="Q676" s="128" t="str">
        <f t="shared" si="151"/>
        <v/>
      </c>
      <c r="R676" s="129"/>
      <c r="S676" s="130"/>
      <c r="T676" s="131"/>
      <c r="U676" s="131"/>
      <c r="V676" s="132" t="str">
        <f t="shared" si="152"/>
        <v/>
      </c>
      <c r="W676" s="133" t="str">
        <f t="shared" si="153"/>
        <v/>
      </c>
      <c r="X676" s="130"/>
      <c r="Y676" s="131"/>
      <c r="Z676" s="131"/>
      <c r="AA676" s="132" t="str">
        <f t="shared" si="154"/>
        <v/>
      </c>
      <c r="AB676" s="133" t="str">
        <f t="shared" si="155"/>
        <v/>
      </c>
      <c r="AC676" s="134" t="str">
        <f t="shared" si="156"/>
        <v/>
      </c>
      <c r="AD676" s="135" t="str">
        <f t="shared" si="157"/>
        <v/>
      </c>
      <c r="AE676" s="136"/>
      <c r="AF676" s="137"/>
      <c r="AG676" s="137"/>
      <c r="AH676" s="138" t="str">
        <f t="shared" si="158"/>
        <v/>
      </c>
      <c r="AI676" s="133" t="str">
        <f t="shared" si="159"/>
        <v/>
      </c>
    </row>
    <row r="677" spans="1:35">
      <c r="A677" s="171">
        <f>IF('09월 조업일지'!A663="","",'09월 조업일지'!A663)</f>
        <v>46290</v>
      </c>
      <c r="B677" s="172" t="str">
        <f>'09월 조업일지'!E663</f>
        <v>A</v>
      </c>
      <c r="C677" s="172" t="str">
        <f>'09월 조업일지'!F663</f>
        <v>A</v>
      </c>
      <c r="D677" s="172">
        <f>'09월 화학성분'!C664</f>
        <v>85866</v>
      </c>
      <c r="E677" s="205" t="str">
        <f t="shared" si="160"/>
        <v/>
      </c>
      <c r="F677" s="121"/>
      <c r="G677" s="122"/>
      <c r="H677" s="123"/>
      <c r="I677" s="122"/>
      <c r="J677" s="123"/>
      <c r="K677" s="122"/>
      <c r="L677" s="124" t="str">
        <f t="shared" si="161"/>
        <v/>
      </c>
      <c r="M677" s="125" t="str">
        <f t="shared" si="161"/>
        <v/>
      </c>
      <c r="N677" s="126" t="str">
        <f t="shared" si="148"/>
        <v/>
      </c>
      <c r="O677" s="127" t="str">
        <f t="shared" si="149"/>
        <v/>
      </c>
      <c r="P677" s="127" t="str">
        <f t="shared" si="150"/>
        <v/>
      </c>
      <c r="Q677" s="128" t="str">
        <f t="shared" si="151"/>
        <v/>
      </c>
      <c r="R677" s="129"/>
      <c r="S677" s="130"/>
      <c r="T677" s="131"/>
      <c r="U677" s="131"/>
      <c r="V677" s="132" t="str">
        <f t="shared" si="152"/>
        <v/>
      </c>
      <c r="W677" s="133" t="str">
        <f t="shared" si="153"/>
        <v/>
      </c>
      <c r="X677" s="130"/>
      <c r="Y677" s="131"/>
      <c r="Z677" s="131"/>
      <c r="AA677" s="132" t="str">
        <f t="shared" si="154"/>
        <v/>
      </c>
      <c r="AB677" s="133" t="str">
        <f t="shared" si="155"/>
        <v/>
      </c>
      <c r="AC677" s="134" t="str">
        <f t="shared" si="156"/>
        <v/>
      </c>
      <c r="AD677" s="135" t="str">
        <f t="shared" si="157"/>
        <v/>
      </c>
      <c r="AE677" s="136"/>
      <c r="AF677" s="137"/>
      <c r="AG677" s="137"/>
      <c r="AH677" s="138" t="str">
        <f t="shared" si="158"/>
        <v/>
      </c>
      <c r="AI677" s="133" t="str">
        <f t="shared" si="159"/>
        <v/>
      </c>
    </row>
    <row r="678" spans="1:35">
      <c r="A678" s="171">
        <f>IF('09월 조업일지'!A664="","",'09월 조업일지'!A664)</f>
        <v>46290</v>
      </c>
      <c r="B678" s="172" t="str">
        <f>'09월 조업일지'!E664</f>
        <v>A</v>
      </c>
      <c r="C678" s="172" t="str">
        <f>'09월 조업일지'!F664</f>
        <v>B</v>
      </c>
      <c r="D678" s="172">
        <f>'09월 화학성분'!C665</f>
        <v>85867</v>
      </c>
      <c r="E678" s="205" t="str">
        <f t="shared" si="160"/>
        <v/>
      </c>
      <c r="F678" s="121"/>
      <c r="G678" s="122"/>
      <c r="H678" s="123"/>
      <c r="I678" s="122"/>
      <c r="J678" s="123"/>
      <c r="K678" s="122"/>
      <c r="L678" s="124" t="str">
        <f t="shared" si="161"/>
        <v/>
      </c>
      <c r="M678" s="125" t="str">
        <f t="shared" si="161"/>
        <v/>
      </c>
      <c r="N678" s="126" t="str">
        <f t="shared" si="148"/>
        <v/>
      </c>
      <c r="O678" s="127" t="str">
        <f t="shared" si="149"/>
        <v/>
      </c>
      <c r="P678" s="127" t="str">
        <f t="shared" si="150"/>
        <v/>
      </c>
      <c r="Q678" s="128" t="str">
        <f t="shared" si="151"/>
        <v/>
      </c>
      <c r="R678" s="129"/>
      <c r="S678" s="130"/>
      <c r="T678" s="131"/>
      <c r="U678" s="131"/>
      <c r="V678" s="132" t="str">
        <f t="shared" si="152"/>
        <v/>
      </c>
      <c r="W678" s="133" t="str">
        <f t="shared" si="153"/>
        <v/>
      </c>
      <c r="X678" s="130"/>
      <c r="Y678" s="131"/>
      <c r="Z678" s="131"/>
      <c r="AA678" s="132" t="str">
        <f t="shared" si="154"/>
        <v/>
      </c>
      <c r="AB678" s="133" t="str">
        <f t="shared" si="155"/>
        <v/>
      </c>
      <c r="AC678" s="134" t="str">
        <f t="shared" si="156"/>
        <v/>
      </c>
      <c r="AD678" s="135" t="str">
        <f t="shared" si="157"/>
        <v/>
      </c>
      <c r="AE678" s="136"/>
      <c r="AF678" s="137"/>
      <c r="AG678" s="137"/>
      <c r="AH678" s="138" t="str">
        <f t="shared" si="158"/>
        <v/>
      </c>
      <c r="AI678" s="133" t="str">
        <f t="shared" si="159"/>
        <v/>
      </c>
    </row>
    <row r="679" spans="1:35">
      <c r="A679" s="171">
        <f>IF('09월 조업일지'!A665="","",'09월 조업일지'!A665)</f>
        <v>46290</v>
      </c>
      <c r="B679" s="172" t="str">
        <f>'09월 조업일지'!E665</f>
        <v>A</v>
      </c>
      <c r="C679" s="172" t="str">
        <f>'09월 조업일지'!F665</f>
        <v>A</v>
      </c>
      <c r="D679" s="172">
        <f>'09월 화학성분'!C666</f>
        <v>85868</v>
      </c>
      <c r="E679" s="205" t="str">
        <f t="shared" si="160"/>
        <v/>
      </c>
      <c r="F679" s="121"/>
      <c r="G679" s="122"/>
      <c r="H679" s="123"/>
      <c r="I679" s="122"/>
      <c r="J679" s="123"/>
      <c r="K679" s="122"/>
      <c r="L679" s="124" t="str">
        <f t="shared" si="161"/>
        <v/>
      </c>
      <c r="M679" s="125" t="str">
        <f t="shared" si="161"/>
        <v/>
      </c>
      <c r="N679" s="126" t="str">
        <f t="shared" si="148"/>
        <v/>
      </c>
      <c r="O679" s="127" t="str">
        <f t="shared" si="149"/>
        <v/>
      </c>
      <c r="P679" s="127" t="str">
        <f t="shared" si="150"/>
        <v/>
      </c>
      <c r="Q679" s="128" t="str">
        <f t="shared" si="151"/>
        <v/>
      </c>
      <c r="R679" s="129"/>
      <c r="S679" s="130"/>
      <c r="T679" s="131"/>
      <c r="U679" s="131"/>
      <c r="V679" s="132" t="str">
        <f t="shared" si="152"/>
        <v/>
      </c>
      <c r="W679" s="133" t="str">
        <f t="shared" si="153"/>
        <v/>
      </c>
      <c r="X679" s="130"/>
      <c r="Y679" s="131"/>
      <c r="Z679" s="131"/>
      <c r="AA679" s="132" t="str">
        <f t="shared" si="154"/>
        <v/>
      </c>
      <c r="AB679" s="133" t="str">
        <f t="shared" si="155"/>
        <v/>
      </c>
      <c r="AC679" s="134" t="str">
        <f t="shared" si="156"/>
        <v/>
      </c>
      <c r="AD679" s="135" t="str">
        <f t="shared" si="157"/>
        <v/>
      </c>
      <c r="AE679" s="136"/>
      <c r="AF679" s="137"/>
      <c r="AG679" s="137"/>
      <c r="AH679" s="138" t="str">
        <f t="shared" si="158"/>
        <v/>
      </c>
      <c r="AI679" s="133" t="str">
        <f t="shared" si="159"/>
        <v/>
      </c>
    </row>
    <row r="680" spans="1:35">
      <c r="A680" s="171">
        <f>IF('09월 조업일지'!A666="","",'09월 조업일지'!A666)</f>
        <v>46290</v>
      </c>
      <c r="B680" s="172" t="str">
        <f>'09월 조업일지'!E666</f>
        <v>B</v>
      </c>
      <c r="C680" s="172" t="str">
        <f>'09월 조업일지'!F666</f>
        <v>B</v>
      </c>
      <c r="D680" s="172">
        <f>'09월 화학성분'!C667</f>
        <v>85869</v>
      </c>
      <c r="E680" s="205" t="str">
        <f t="shared" si="160"/>
        <v/>
      </c>
      <c r="F680" s="121"/>
      <c r="G680" s="122"/>
      <c r="H680" s="123"/>
      <c r="I680" s="122"/>
      <c r="J680" s="123"/>
      <c r="K680" s="122"/>
      <c r="L680" s="124" t="str">
        <f t="shared" si="161"/>
        <v/>
      </c>
      <c r="M680" s="125" t="str">
        <f t="shared" si="161"/>
        <v/>
      </c>
      <c r="N680" s="126" t="str">
        <f t="shared" si="148"/>
        <v/>
      </c>
      <c r="O680" s="127" t="str">
        <f t="shared" si="149"/>
        <v/>
      </c>
      <c r="P680" s="127" t="str">
        <f t="shared" si="150"/>
        <v/>
      </c>
      <c r="Q680" s="128" t="str">
        <f t="shared" si="151"/>
        <v/>
      </c>
      <c r="R680" s="129"/>
      <c r="S680" s="130"/>
      <c r="T680" s="131"/>
      <c r="U680" s="131"/>
      <c r="V680" s="132" t="str">
        <f t="shared" si="152"/>
        <v/>
      </c>
      <c r="W680" s="133" t="str">
        <f t="shared" si="153"/>
        <v/>
      </c>
      <c r="X680" s="130"/>
      <c r="Y680" s="131"/>
      <c r="Z680" s="131"/>
      <c r="AA680" s="132" t="str">
        <f t="shared" si="154"/>
        <v/>
      </c>
      <c r="AB680" s="133" t="str">
        <f t="shared" si="155"/>
        <v/>
      </c>
      <c r="AC680" s="134" t="str">
        <f t="shared" si="156"/>
        <v/>
      </c>
      <c r="AD680" s="135" t="str">
        <f t="shared" si="157"/>
        <v/>
      </c>
      <c r="AE680" s="136"/>
      <c r="AF680" s="137"/>
      <c r="AG680" s="137"/>
      <c r="AH680" s="138" t="str">
        <f t="shared" si="158"/>
        <v/>
      </c>
      <c r="AI680" s="133" t="str">
        <f t="shared" si="159"/>
        <v/>
      </c>
    </row>
    <row r="681" spans="1:35">
      <c r="A681" s="171">
        <f>IF('09월 조업일지'!A667="","",'09월 조업일지'!A667)</f>
        <v>46290</v>
      </c>
      <c r="B681" s="172" t="str">
        <f>'09월 조업일지'!E667</f>
        <v>B</v>
      </c>
      <c r="C681" s="172" t="str">
        <f>'09월 조업일지'!F667</f>
        <v>A</v>
      </c>
      <c r="D681" s="172">
        <f>'09월 화학성분'!C668</f>
        <v>85870</v>
      </c>
      <c r="E681" s="205" t="str">
        <f t="shared" si="160"/>
        <v/>
      </c>
      <c r="F681" s="121"/>
      <c r="G681" s="122"/>
      <c r="H681" s="123"/>
      <c r="I681" s="122"/>
      <c r="J681" s="123"/>
      <c r="K681" s="122"/>
      <c r="L681" s="124" t="str">
        <f t="shared" si="161"/>
        <v/>
      </c>
      <c r="M681" s="125" t="str">
        <f t="shared" si="161"/>
        <v/>
      </c>
      <c r="N681" s="126" t="str">
        <f t="shared" si="148"/>
        <v/>
      </c>
      <c r="O681" s="127" t="str">
        <f t="shared" si="149"/>
        <v/>
      </c>
      <c r="P681" s="127" t="str">
        <f t="shared" si="150"/>
        <v/>
      </c>
      <c r="Q681" s="128" t="str">
        <f t="shared" si="151"/>
        <v/>
      </c>
      <c r="R681" s="129"/>
      <c r="S681" s="130"/>
      <c r="T681" s="131"/>
      <c r="U681" s="131"/>
      <c r="V681" s="132" t="str">
        <f t="shared" si="152"/>
        <v/>
      </c>
      <c r="W681" s="133" t="str">
        <f t="shared" si="153"/>
        <v/>
      </c>
      <c r="X681" s="130"/>
      <c r="Y681" s="131"/>
      <c r="Z681" s="131"/>
      <c r="AA681" s="132" t="str">
        <f t="shared" si="154"/>
        <v/>
      </c>
      <c r="AB681" s="133" t="str">
        <f t="shared" si="155"/>
        <v/>
      </c>
      <c r="AC681" s="134" t="str">
        <f t="shared" si="156"/>
        <v/>
      </c>
      <c r="AD681" s="135" t="str">
        <f t="shared" si="157"/>
        <v/>
      </c>
      <c r="AE681" s="136"/>
      <c r="AF681" s="137"/>
      <c r="AG681" s="137"/>
      <c r="AH681" s="138" t="str">
        <f t="shared" si="158"/>
        <v/>
      </c>
      <c r="AI681" s="133" t="str">
        <f t="shared" si="159"/>
        <v/>
      </c>
    </row>
    <row r="682" spans="1:35">
      <c r="A682" s="171">
        <f>IF('09월 조업일지'!A668="","",'09월 조업일지'!A668)</f>
        <v>46290</v>
      </c>
      <c r="B682" s="172" t="str">
        <f>'09월 조업일지'!E668</f>
        <v>B</v>
      </c>
      <c r="C682" s="172" t="str">
        <f>'09월 조업일지'!F668</f>
        <v>B</v>
      </c>
      <c r="D682" s="172">
        <f>'09월 화학성분'!C669</f>
        <v>85871</v>
      </c>
      <c r="E682" s="205" t="str">
        <f t="shared" si="160"/>
        <v/>
      </c>
      <c r="F682" s="121"/>
      <c r="G682" s="122"/>
      <c r="H682" s="123"/>
      <c r="I682" s="122"/>
      <c r="J682" s="123"/>
      <c r="K682" s="122"/>
      <c r="L682" s="124" t="str">
        <f t="shared" si="161"/>
        <v/>
      </c>
      <c r="M682" s="125" t="str">
        <f t="shared" si="161"/>
        <v/>
      </c>
      <c r="N682" s="126" t="str">
        <f t="shared" si="148"/>
        <v/>
      </c>
      <c r="O682" s="127" t="str">
        <f t="shared" si="149"/>
        <v/>
      </c>
      <c r="P682" s="127" t="str">
        <f t="shared" si="150"/>
        <v/>
      </c>
      <c r="Q682" s="128" t="str">
        <f t="shared" si="151"/>
        <v/>
      </c>
      <c r="R682" s="129"/>
      <c r="S682" s="130"/>
      <c r="T682" s="131"/>
      <c r="U682" s="131"/>
      <c r="V682" s="132" t="str">
        <f t="shared" si="152"/>
        <v/>
      </c>
      <c r="W682" s="133" t="str">
        <f t="shared" si="153"/>
        <v/>
      </c>
      <c r="X682" s="130"/>
      <c r="Y682" s="131"/>
      <c r="Z682" s="131"/>
      <c r="AA682" s="132" t="str">
        <f t="shared" si="154"/>
        <v/>
      </c>
      <c r="AB682" s="133" t="str">
        <f t="shared" si="155"/>
        <v/>
      </c>
      <c r="AC682" s="134" t="str">
        <f t="shared" si="156"/>
        <v/>
      </c>
      <c r="AD682" s="135" t="str">
        <f t="shared" si="157"/>
        <v/>
      </c>
      <c r="AE682" s="136"/>
      <c r="AF682" s="137"/>
      <c r="AG682" s="137"/>
      <c r="AH682" s="138" t="str">
        <f t="shared" si="158"/>
        <v/>
      </c>
      <c r="AI682" s="133" t="str">
        <f t="shared" si="159"/>
        <v/>
      </c>
    </row>
    <row r="683" spans="1:35">
      <c r="A683" s="171">
        <f>IF('09월 조업일지'!A669="","",'09월 조업일지'!A669)</f>
        <v>46290</v>
      </c>
      <c r="B683" s="172" t="str">
        <f>'09월 조업일지'!E669</f>
        <v>B</v>
      </c>
      <c r="C683" s="172" t="str">
        <f>'09월 조업일지'!F669</f>
        <v>A</v>
      </c>
      <c r="D683" s="172">
        <f>'09월 화학성분'!C670</f>
        <v>85872</v>
      </c>
      <c r="E683" s="205" t="str">
        <f t="shared" si="160"/>
        <v/>
      </c>
      <c r="F683" s="121"/>
      <c r="G683" s="122"/>
      <c r="H683" s="123"/>
      <c r="I683" s="122"/>
      <c r="J683" s="123"/>
      <c r="K683" s="122"/>
      <c r="L683" s="124" t="str">
        <f t="shared" si="161"/>
        <v/>
      </c>
      <c r="M683" s="125" t="str">
        <f t="shared" si="161"/>
        <v/>
      </c>
      <c r="N683" s="126" t="str">
        <f t="shared" si="148"/>
        <v/>
      </c>
      <c r="O683" s="127" t="str">
        <f t="shared" si="149"/>
        <v/>
      </c>
      <c r="P683" s="127" t="str">
        <f t="shared" si="150"/>
        <v/>
      </c>
      <c r="Q683" s="128" t="str">
        <f t="shared" si="151"/>
        <v/>
      </c>
      <c r="R683" s="129"/>
      <c r="S683" s="130"/>
      <c r="T683" s="131"/>
      <c r="U683" s="131"/>
      <c r="V683" s="132" t="str">
        <f t="shared" si="152"/>
        <v/>
      </c>
      <c r="W683" s="133" t="str">
        <f t="shared" si="153"/>
        <v/>
      </c>
      <c r="X683" s="130"/>
      <c r="Y683" s="131"/>
      <c r="Z683" s="131"/>
      <c r="AA683" s="132" t="str">
        <f t="shared" si="154"/>
        <v/>
      </c>
      <c r="AB683" s="133" t="str">
        <f t="shared" si="155"/>
        <v/>
      </c>
      <c r="AC683" s="134" t="str">
        <f t="shared" si="156"/>
        <v/>
      </c>
      <c r="AD683" s="135" t="str">
        <f t="shared" si="157"/>
        <v/>
      </c>
      <c r="AE683" s="136"/>
      <c r="AF683" s="137"/>
      <c r="AG683" s="137"/>
      <c r="AH683" s="138" t="str">
        <f t="shared" si="158"/>
        <v/>
      </c>
      <c r="AI683" s="133" t="str">
        <f t="shared" si="159"/>
        <v/>
      </c>
    </row>
    <row r="684" spans="1:35">
      <c r="A684" s="171">
        <f>IF('09월 조업일지'!A670="","",'09월 조업일지'!A670)</f>
        <v>46290</v>
      </c>
      <c r="B684" s="172" t="str">
        <f>'09월 조업일지'!E670</f>
        <v>B</v>
      </c>
      <c r="C684" s="172" t="str">
        <f>'09월 조업일지'!F670</f>
        <v>B</v>
      </c>
      <c r="D684" s="172">
        <f>'09월 화학성분'!C671</f>
        <v>85873</v>
      </c>
      <c r="E684" s="205" t="str">
        <f t="shared" si="160"/>
        <v/>
      </c>
      <c r="F684" s="121"/>
      <c r="G684" s="122"/>
      <c r="H684" s="123"/>
      <c r="I684" s="122"/>
      <c r="J684" s="123"/>
      <c r="K684" s="122"/>
      <c r="L684" s="124" t="str">
        <f t="shared" si="161"/>
        <v/>
      </c>
      <c r="M684" s="125" t="str">
        <f t="shared" si="161"/>
        <v/>
      </c>
      <c r="N684" s="126" t="str">
        <f t="shared" si="148"/>
        <v/>
      </c>
      <c r="O684" s="127" t="str">
        <f t="shared" si="149"/>
        <v/>
      </c>
      <c r="P684" s="127" t="str">
        <f t="shared" si="150"/>
        <v/>
      </c>
      <c r="Q684" s="128" t="str">
        <f t="shared" si="151"/>
        <v/>
      </c>
      <c r="R684" s="129"/>
      <c r="S684" s="130"/>
      <c r="T684" s="131"/>
      <c r="U684" s="131"/>
      <c r="V684" s="132" t="str">
        <f t="shared" si="152"/>
        <v/>
      </c>
      <c r="W684" s="133" t="str">
        <f t="shared" si="153"/>
        <v/>
      </c>
      <c r="X684" s="130"/>
      <c r="Y684" s="131"/>
      <c r="Z684" s="131"/>
      <c r="AA684" s="132" t="str">
        <f t="shared" si="154"/>
        <v/>
      </c>
      <c r="AB684" s="133" t="str">
        <f t="shared" si="155"/>
        <v/>
      </c>
      <c r="AC684" s="134" t="str">
        <f t="shared" si="156"/>
        <v/>
      </c>
      <c r="AD684" s="135" t="str">
        <f t="shared" si="157"/>
        <v/>
      </c>
      <c r="AE684" s="136"/>
      <c r="AF684" s="137"/>
      <c r="AG684" s="137"/>
      <c r="AH684" s="138" t="str">
        <f t="shared" si="158"/>
        <v/>
      </c>
      <c r="AI684" s="133" t="str">
        <f t="shared" si="159"/>
        <v/>
      </c>
    </row>
    <row r="685" spans="1:35">
      <c r="A685" s="171">
        <f>IF('09월 조업일지'!A671="","",'09월 조업일지'!A671)</f>
        <v>46290</v>
      </c>
      <c r="B685" s="172" t="str">
        <f>'09월 조업일지'!E671</f>
        <v>B</v>
      </c>
      <c r="C685" s="172" t="str">
        <f>'09월 조업일지'!F671</f>
        <v>A</v>
      </c>
      <c r="D685" s="172">
        <f>'09월 화학성분'!C672</f>
        <v>85874</v>
      </c>
      <c r="E685" s="205" t="str">
        <f t="shared" si="160"/>
        <v/>
      </c>
      <c r="F685" s="121"/>
      <c r="G685" s="122"/>
      <c r="H685" s="123"/>
      <c r="I685" s="122"/>
      <c r="J685" s="123"/>
      <c r="K685" s="122"/>
      <c r="L685" s="124" t="str">
        <f t="shared" si="161"/>
        <v/>
      </c>
      <c r="M685" s="125" t="str">
        <f t="shared" si="161"/>
        <v/>
      </c>
      <c r="N685" s="126" t="str">
        <f t="shared" si="148"/>
        <v/>
      </c>
      <c r="O685" s="127" t="str">
        <f t="shared" si="149"/>
        <v/>
      </c>
      <c r="P685" s="127" t="str">
        <f t="shared" si="150"/>
        <v/>
      </c>
      <c r="Q685" s="128" t="str">
        <f t="shared" si="151"/>
        <v/>
      </c>
      <c r="R685" s="129"/>
      <c r="S685" s="130"/>
      <c r="T685" s="131"/>
      <c r="U685" s="131"/>
      <c r="V685" s="132" t="str">
        <f t="shared" si="152"/>
        <v/>
      </c>
      <c r="W685" s="133" t="str">
        <f t="shared" si="153"/>
        <v/>
      </c>
      <c r="X685" s="130"/>
      <c r="Y685" s="131"/>
      <c r="Z685" s="131"/>
      <c r="AA685" s="132" t="str">
        <f t="shared" si="154"/>
        <v/>
      </c>
      <c r="AB685" s="133" t="str">
        <f t="shared" si="155"/>
        <v/>
      </c>
      <c r="AC685" s="134" t="str">
        <f t="shared" si="156"/>
        <v/>
      </c>
      <c r="AD685" s="135" t="str">
        <f t="shared" si="157"/>
        <v/>
      </c>
      <c r="AE685" s="136"/>
      <c r="AF685" s="137"/>
      <c r="AG685" s="137"/>
      <c r="AH685" s="138" t="str">
        <f t="shared" si="158"/>
        <v/>
      </c>
      <c r="AI685" s="133" t="str">
        <f t="shared" si="159"/>
        <v/>
      </c>
    </row>
    <row r="686" spans="1:35">
      <c r="A686" s="171">
        <f>IF('09월 조업일지'!A672="","",'09월 조업일지'!A672)</f>
        <v>46290</v>
      </c>
      <c r="B686" s="172" t="str">
        <f>'09월 조업일지'!E672</f>
        <v>B</v>
      </c>
      <c r="C686" s="172" t="str">
        <f>'09월 조업일지'!F672</f>
        <v>B</v>
      </c>
      <c r="D686" s="172">
        <f>'09월 화학성분'!C673</f>
        <v>85875</v>
      </c>
      <c r="E686" s="205" t="str">
        <f t="shared" si="160"/>
        <v/>
      </c>
      <c r="F686" s="121"/>
      <c r="G686" s="122"/>
      <c r="H686" s="123"/>
      <c r="I686" s="122"/>
      <c r="J686" s="123"/>
      <c r="K686" s="122"/>
      <c r="L686" s="124" t="str">
        <f t="shared" si="161"/>
        <v/>
      </c>
      <c r="M686" s="125" t="str">
        <f t="shared" si="161"/>
        <v/>
      </c>
      <c r="N686" s="126" t="str">
        <f t="shared" si="148"/>
        <v/>
      </c>
      <c r="O686" s="127" t="str">
        <f t="shared" si="149"/>
        <v/>
      </c>
      <c r="P686" s="127" t="str">
        <f t="shared" si="150"/>
        <v/>
      </c>
      <c r="Q686" s="128" t="str">
        <f t="shared" si="151"/>
        <v/>
      </c>
      <c r="R686" s="129"/>
      <c r="S686" s="130"/>
      <c r="T686" s="131"/>
      <c r="U686" s="131"/>
      <c r="V686" s="132" t="str">
        <f t="shared" si="152"/>
        <v/>
      </c>
      <c r="W686" s="133" t="str">
        <f t="shared" si="153"/>
        <v/>
      </c>
      <c r="X686" s="130"/>
      <c r="Y686" s="131"/>
      <c r="Z686" s="131"/>
      <c r="AA686" s="132" t="str">
        <f t="shared" si="154"/>
        <v/>
      </c>
      <c r="AB686" s="133" t="str">
        <f t="shared" si="155"/>
        <v/>
      </c>
      <c r="AC686" s="134" t="str">
        <f t="shared" si="156"/>
        <v/>
      </c>
      <c r="AD686" s="135" t="str">
        <f t="shared" si="157"/>
        <v/>
      </c>
      <c r="AE686" s="136"/>
      <c r="AF686" s="137"/>
      <c r="AG686" s="137"/>
      <c r="AH686" s="138" t="str">
        <f t="shared" si="158"/>
        <v/>
      </c>
      <c r="AI686" s="133" t="str">
        <f t="shared" si="159"/>
        <v/>
      </c>
    </row>
    <row r="687" spans="1:35">
      <c r="A687" s="171">
        <f>IF('09월 조업일지'!A673="","",'09월 조업일지'!A673)</f>
        <v>46290</v>
      </c>
      <c r="B687" s="172" t="str">
        <f>'09월 조업일지'!E673</f>
        <v>B</v>
      </c>
      <c r="C687" s="172" t="str">
        <f>'09월 조업일지'!F673</f>
        <v>A</v>
      </c>
      <c r="D687" s="172">
        <f>'09월 화학성분'!C674</f>
        <v>85876</v>
      </c>
      <c r="E687" s="205" t="str">
        <f t="shared" si="160"/>
        <v/>
      </c>
      <c r="F687" s="121"/>
      <c r="G687" s="122"/>
      <c r="H687" s="123"/>
      <c r="I687" s="122"/>
      <c r="J687" s="123"/>
      <c r="K687" s="122"/>
      <c r="L687" s="124" t="str">
        <f t="shared" si="161"/>
        <v/>
      </c>
      <c r="M687" s="125" t="str">
        <f t="shared" si="161"/>
        <v/>
      </c>
      <c r="N687" s="126" t="str">
        <f t="shared" si="148"/>
        <v/>
      </c>
      <c r="O687" s="127" t="str">
        <f t="shared" si="149"/>
        <v/>
      </c>
      <c r="P687" s="127" t="str">
        <f t="shared" si="150"/>
        <v/>
      </c>
      <c r="Q687" s="128" t="str">
        <f t="shared" si="151"/>
        <v/>
      </c>
      <c r="R687" s="129"/>
      <c r="S687" s="130"/>
      <c r="T687" s="131"/>
      <c r="U687" s="131"/>
      <c r="V687" s="132" t="str">
        <f t="shared" si="152"/>
        <v/>
      </c>
      <c r="W687" s="133" t="str">
        <f t="shared" si="153"/>
        <v/>
      </c>
      <c r="X687" s="130"/>
      <c r="Y687" s="131"/>
      <c r="Z687" s="131"/>
      <c r="AA687" s="132" t="str">
        <f t="shared" si="154"/>
        <v/>
      </c>
      <c r="AB687" s="133" t="str">
        <f t="shared" si="155"/>
        <v/>
      </c>
      <c r="AC687" s="134" t="str">
        <f t="shared" si="156"/>
        <v/>
      </c>
      <c r="AD687" s="135" t="str">
        <f t="shared" si="157"/>
        <v/>
      </c>
      <c r="AE687" s="136"/>
      <c r="AF687" s="137"/>
      <c r="AG687" s="137"/>
      <c r="AH687" s="138" t="str">
        <f t="shared" si="158"/>
        <v/>
      </c>
      <c r="AI687" s="133" t="str">
        <f t="shared" si="159"/>
        <v/>
      </c>
    </row>
    <row r="688" spans="1:35">
      <c r="A688" s="171">
        <f>IF('09월 조업일지'!A674="","",'09월 조업일지'!A674)</f>
        <v>46290</v>
      </c>
      <c r="B688" s="172" t="str">
        <f>'09월 조업일지'!E674</f>
        <v>B</v>
      </c>
      <c r="C688" s="172" t="str">
        <f>'09월 조업일지'!F674</f>
        <v>B</v>
      </c>
      <c r="D688" s="172">
        <f>'09월 화학성분'!C675</f>
        <v>85877</v>
      </c>
      <c r="E688" s="205" t="str">
        <f t="shared" si="160"/>
        <v/>
      </c>
      <c r="F688" s="121"/>
      <c r="G688" s="122"/>
      <c r="H688" s="123"/>
      <c r="I688" s="122"/>
      <c r="J688" s="123"/>
      <c r="K688" s="122"/>
      <c r="L688" s="124" t="str">
        <f t="shared" si="161"/>
        <v/>
      </c>
      <c r="M688" s="125" t="str">
        <f t="shared" si="161"/>
        <v/>
      </c>
      <c r="N688" s="126" t="str">
        <f t="shared" si="148"/>
        <v/>
      </c>
      <c r="O688" s="127" t="str">
        <f t="shared" si="149"/>
        <v/>
      </c>
      <c r="P688" s="127" t="str">
        <f t="shared" si="150"/>
        <v/>
      </c>
      <c r="Q688" s="128" t="str">
        <f t="shared" si="151"/>
        <v/>
      </c>
      <c r="R688" s="129"/>
      <c r="S688" s="130"/>
      <c r="T688" s="131"/>
      <c r="U688" s="131"/>
      <c r="V688" s="132" t="str">
        <f t="shared" si="152"/>
        <v/>
      </c>
      <c r="W688" s="133" t="str">
        <f t="shared" si="153"/>
        <v/>
      </c>
      <c r="X688" s="130"/>
      <c r="Y688" s="131"/>
      <c r="Z688" s="131"/>
      <c r="AA688" s="132" t="str">
        <f t="shared" si="154"/>
        <v/>
      </c>
      <c r="AB688" s="133" t="str">
        <f t="shared" si="155"/>
        <v/>
      </c>
      <c r="AC688" s="134" t="str">
        <f t="shared" si="156"/>
        <v/>
      </c>
      <c r="AD688" s="135" t="str">
        <f t="shared" si="157"/>
        <v/>
      </c>
      <c r="AE688" s="136"/>
      <c r="AF688" s="137"/>
      <c r="AG688" s="137"/>
      <c r="AH688" s="138" t="str">
        <f t="shared" si="158"/>
        <v/>
      </c>
      <c r="AI688" s="133" t="str">
        <f t="shared" si="159"/>
        <v/>
      </c>
    </row>
    <row r="689" spans="1:35">
      <c r="A689" s="171">
        <f>IF('09월 조업일지'!A675="","",'09월 조업일지'!A675)</f>
        <v>46290</v>
      </c>
      <c r="B689" s="172" t="str">
        <f>'09월 조업일지'!E675</f>
        <v>B</v>
      </c>
      <c r="C689" s="172" t="str">
        <f>'09월 조업일지'!F675</f>
        <v>A</v>
      </c>
      <c r="D689" s="172">
        <f>'09월 화학성분'!C676</f>
        <v>85878</v>
      </c>
      <c r="E689" s="205" t="str">
        <f t="shared" si="160"/>
        <v/>
      </c>
      <c r="F689" s="121"/>
      <c r="G689" s="122"/>
      <c r="H689" s="123"/>
      <c r="I689" s="122"/>
      <c r="J689" s="123"/>
      <c r="K689" s="122"/>
      <c r="L689" s="124" t="str">
        <f t="shared" si="161"/>
        <v/>
      </c>
      <c r="M689" s="125" t="str">
        <f t="shared" si="161"/>
        <v/>
      </c>
      <c r="N689" s="126" t="str">
        <f t="shared" si="148"/>
        <v/>
      </c>
      <c r="O689" s="127" t="str">
        <f t="shared" si="149"/>
        <v/>
      </c>
      <c r="P689" s="127" t="str">
        <f t="shared" si="150"/>
        <v/>
      </c>
      <c r="Q689" s="128" t="str">
        <f t="shared" si="151"/>
        <v/>
      </c>
      <c r="R689" s="129"/>
      <c r="S689" s="130"/>
      <c r="T689" s="131"/>
      <c r="U689" s="131"/>
      <c r="V689" s="132" t="str">
        <f t="shared" si="152"/>
        <v/>
      </c>
      <c r="W689" s="133" t="str">
        <f t="shared" si="153"/>
        <v/>
      </c>
      <c r="X689" s="130"/>
      <c r="Y689" s="131"/>
      <c r="Z689" s="131"/>
      <c r="AA689" s="132" t="str">
        <f t="shared" si="154"/>
        <v/>
      </c>
      <c r="AB689" s="133" t="str">
        <f t="shared" si="155"/>
        <v/>
      </c>
      <c r="AC689" s="134" t="str">
        <f t="shared" si="156"/>
        <v/>
      </c>
      <c r="AD689" s="135" t="str">
        <f t="shared" si="157"/>
        <v/>
      </c>
      <c r="AE689" s="136"/>
      <c r="AF689" s="137"/>
      <c r="AG689" s="137"/>
      <c r="AH689" s="138" t="str">
        <f t="shared" si="158"/>
        <v/>
      </c>
      <c r="AI689" s="133" t="str">
        <f t="shared" si="159"/>
        <v/>
      </c>
    </row>
    <row r="690" spans="1:35">
      <c r="A690" s="171">
        <f>IF('09월 조업일지'!A676="","",'09월 조업일지'!A676)</f>
        <v>46290</v>
      </c>
      <c r="B690" s="172" t="str">
        <f>'09월 조업일지'!E676</f>
        <v>B</v>
      </c>
      <c r="C690" s="172" t="str">
        <f>'09월 조업일지'!F676</f>
        <v>B</v>
      </c>
      <c r="D690" s="172">
        <f>'09월 화학성분'!C677</f>
        <v>85879</v>
      </c>
      <c r="E690" s="205" t="str">
        <f t="shared" si="160"/>
        <v/>
      </c>
      <c r="F690" s="121"/>
      <c r="G690" s="122"/>
      <c r="H690" s="123"/>
      <c r="I690" s="122"/>
      <c r="J690" s="123"/>
      <c r="K690" s="122"/>
      <c r="L690" s="124" t="str">
        <f t="shared" si="161"/>
        <v/>
      </c>
      <c r="M690" s="125" t="str">
        <f t="shared" si="161"/>
        <v/>
      </c>
      <c r="N690" s="126" t="str">
        <f t="shared" si="148"/>
        <v/>
      </c>
      <c r="O690" s="127" t="str">
        <f t="shared" si="149"/>
        <v/>
      </c>
      <c r="P690" s="127" t="str">
        <f t="shared" si="150"/>
        <v/>
      </c>
      <c r="Q690" s="128" t="str">
        <f t="shared" si="151"/>
        <v/>
      </c>
      <c r="R690" s="129"/>
      <c r="S690" s="130"/>
      <c r="T690" s="131"/>
      <c r="U690" s="131"/>
      <c r="V690" s="132" t="str">
        <f t="shared" si="152"/>
        <v/>
      </c>
      <c r="W690" s="133" t="str">
        <f t="shared" si="153"/>
        <v/>
      </c>
      <c r="X690" s="130"/>
      <c r="Y690" s="131"/>
      <c r="Z690" s="131"/>
      <c r="AA690" s="132" t="str">
        <f t="shared" si="154"/>
        <v/>
      </c>
      <c r="AB690" s="133" t="str">
        <f t="shared" si="155"/>
        <v/>
      </c>
      <c r="AC690" s="134" t="str">
        <f t="shared" si="156"/>
        <v/>
      </c>
      <c r="AD690" s="135" t="str">
        <f t="shared" si="157"/>
        <v/>
      </c>
      <c r="AE690" s="136"/>
      <c r="AF690" s="137"/>
      <c r="AG690" s="137"/>
      <c r="AH690" s="138" t="str">
        <f t="shared" si="158"/>
        <v/>
      </c>
      <c r="AI690" s="133" t="str">
        <f t="shared" si="159"/>
        <v/>
      </c>
    </row>
    <row r="691" spans="1:35">
      <c r="A691" s="171">
        <f>IF('09월 조업일지'!A677="","",'09월 조업일지'!A677)</f>
        <v>46290</v>
      </c>
      <c r="B691" s="172" t="str">
        <f>'09월 조업일지'!E677</f>
        <v>C</v>
      </c>
      <c r="C691" s="172" t="str">
        <f>'09월 조업일지'!F677</f>
        <v>A</v>
      </c>
      <c r="D691" s="172">
        <f>'09월 화학성분'!C678</f>
        <v>85880</v>
      </c>
      <c r="E691" s="205" t="str">
        <f t="shared" si="160"/>
        <v/>
      </c>
      <c r="F691" s="121"/>
      <c r="G691" s="122"/>
      <c r="H691" s="123"/>
      <c r="I691" s="122"/>
      <c r="J691" s="123"/>
      <c r="K691" s="122"/>
      <c r="L691" s="124" t="str">
        <f t="shared" si="161"/>
        <v/>
      </c>
      <c r="M691" s="125" t="str">
        <f t="shared" si="161"/>
        <v/>
      </c>
      <c r="N691" s="126" t="str">
        <f t="shared" si="148"/>
        <v/>
      </c>
      <c r="O691" s="127" t="str">
        <f t="shared" si="149"/>
        <v/>
      </c>
      <c r="P691" s="127" t="str">
        <f t="shared" si="150"/>
        <v/>
      </c>
      <c r="Q691" s="128" t="str">
        <f t="shared" si="151"/>
        <v/>
      </c>
      <c r="R691" s="129"/>
      <c r="S691" s="130"/>
      <c r="T691" s="131"/>
      <c r="U691" s="131"/>
      <c r="V691" s="132" t="str">
        <f t="shared" si="152"/>
        <v/>
      </c>
      <c r="W691" s="133" t="str">
        <f t="shared" si="153"/>
        <v/>
      </c>
      <c r="X691" s="130"/>
      <c r="Y691" s="131"/>
      <c r="Z691" s="131"/>
      <c r="AA691" s="132" t="str">
        <f t="shared" si="154"/>
        <v/>
      </c>
      <c r="AB691" s="133" t="str">
        <f t="shared" si="155"/>
        <v/>
      </c>
      <c r="AC691" s="134" t="str">
        <f t="shared" si="156"/>
        <v/>
      </c>
      <c r="AD691" s="135" t="str">
        <f t="shared" si="157"/>
        <v/>
      </c>
      <c r="AE691" s="136"/>
      <c r="AF691" s="137"/>
      <c r="AG691" s="137"/>
      <c r="AH691" s="138" t="str">
        <f t="shared" si="158"/>
        <v/>
      </c>
      <c r="AI691" s="133" t="str">
        <f t="shared" si="159"/>
        <v/>
      </c>
    </row>
    <row r="692" spans="1:35">
      <c r="A692" s="171">
        <f>IF('09월 조업일지'!A678="","",'09월 조업일지'!A678)</f>
        <v>46290</v>
      </c>
      <c r="B692" s="172" t="str">
        <f>'09월 조업일지'!E678</f>
        <v>C</v>
      </c>
      <c r="C692" s="172" t="str">
        <f>'09월 조업일지'!F678</f>
        <v>B</v>
      </c>
      <c r="D692" s="172">
        <f>'09월 화학성분'!C679</f>
        <v>85881</v>
      </c>
      <c r="E692" s="205" t="str">
        <f t="shared" si="160"/>
        <v/>
      </c>
      <c r="F692" s="121"/>
      <c r="G692" s="122"/>
      <c r="H692" s="123"/>
      <c r="I692" s="122"/>
      <c r="J692" s="123"/>
      <c r="K692" s="122"/>
      <c r="L692" s="124" t="str">
        <f t="shared" si="161"/>
        <v/>
      </c>
      <c r="M692" s="125" t="str">
        <f t="shared" si="161"/>
        <v/>
      </c>
      <c r="N692" s="126" t="str">
        <f t="shared" si="148"/>
        <v/>
      </c>
      <c r="O692" s="127" t="str">
        <f t="shared" si="149"/>
        <v/>
      </c>
      <c r="P692" s="127" t="str">
        <f t="shared" si="150"/>
        <v/>
      </c>
      <c r="Q692" s="128" t="str">
        <f t="shared" si="151"/>
        <v/>
      </c>
      <c r="R692" s="129"/>
      <c r="S692" s="130"/>
      <c r="T692" s="131"/>
      <c r="U692" s="131"/>
      <c r="V692" s="132" t="str">
        <f t="shared" si="152"/>
        <v/>
      </c>
      <c r="W692" s="133" t="str">
        <f t="shared" si="153"/>
        <v/>
      </c>
      <c r="X692" s="130"/>
      <c r="Y692" s="131"/>
      <c r="Z692" s="131"/>
      <c r="AA692" s="132" t="str">
        <f t="shared" si="154"/>
        <v/>
      </c>
      <c r="AB692" s="133" t="str">
        <f t="shared" si="155"/>
        <v/>
      </c>
      <c r="AC692" s="134" t="str">
        <f t="shared" si="156"/>
        <v/>
      </c>
      <c r="AD692" s="135" t="str">
        <f t="shared" si="157"/>
        <v/>
      </c>
      <c r="AE692" s="136"/>
      <c r="AF692" s="137"/>
      <c r="AG692" s="137"/>
      <c r="AH692" s="138" t="str">
        <f t="shared" si="158"/>
        <v/>
      </c>
      <c r="AI692" s="133" t="str">
        <f t="shared" si="159"/>
        <v/>
      </c>
    </row>
    <row r="693" spans="1:35">
      <c r="A693" s="171">
        <f>IF('09월 조업일지'!A679="","",'09월 조업일지'!A679)</f>
        <v>46290</v>
      </c>
      <c r="B693" s="172" t="str">
        <f>'09월 조업일지'!E679</f>
        <v>C</v>
      </c>
      <c r="C693" s="172" t="str">
        <f>'09월 조업일지'!F679</f>
        <v>A</v>
      </c>
      <c r="D693" s="172">
        <f>'09월 화학성분'!C680</f>
        <v>85882</v>
      </c>
      <c r="E693" s="205" t="str">
        <f t="shared" si="160"/>
        <v/>
      </c>
      <c r="F693" s="121"/>
      <c r="G693" s="122"/>
      <c r="H693" s="123"/>
      <c r="I693" s="122"/>
      <c r="J693" s="123"/>
      <c r="K693" s="122"/>
      <c r="L693" s="124" t="str">
        <f t="shared" si="161"/>
        <v/>
      </c>
      <c r="M693" s="125" t="str">
        <f t="shared" si="161"/>
        <v/>
      </c>
      <c r="N693" s="126" t="str">
        <f t="shared" si="148"/>
        <v/>
      </c>
      <c r="O693" s="127" t="str">
        <f t="shared" si="149"/>
        <v/>
      </c>
      <c r="P693" s="127" t="str">
        <f t="shared" si="150"/>
        <v/>
      </c>
      <c r="Q693" s="128" t="str">
        <f t="shared" si="151"/>
        <v/>
      </c>
      <c r="R693" s="129"/>
      <c r="S693" s="130"/>
      <c r="T693" s="131"/>
      <c r="U693" s="131"/>
      <c r="V693" s="132" t="str">
        <f t="shared" si="152"/>
        <v/>
      </c>
      <c r="W693" s="133" t="str">
        <f t="shared" si="153"/>
        <v/>
      </c>
      <c r="X693" s="130"/>
      <c r="Y693" s="131"/>
      <c r="Z693" s="131"/>
      <c r="AA693" s="132" t="str">
        <f t="shared" si="154"/>
        <v/>
      </c>
      <c r="AB693" s="133" t="str">
        <f t="shared" si="155"/>
        <v/>
      </c>
      <c r="AC693" s="134" t="str">
        <f t="shared" si="156"/>
        <v/>
      </c>
      <c r="AD693" s="135" t="str">
        <f t="shared" si="157"/>
        <v/>
      </c>
      <c r="AE693" s="136"/>
      <c r="AF693" s="137"/>
      <c r="AG693" s="137"/>
      <c r="AH693" s="138" t="str">
        <f t="shared" si="158"/>
        <v/>
      </c>
      <c r="AI693" s="133" t="str">
        <f t="shared" si="159"/>
        <v/>
      </c>
    </row>
    <row r="694" spans="1:35">
      <c r="A694" s="171">
        <f>IF('09월 조업일지'!A680="","",'09월 조업일지'!A680)</f>
        <v>46290</v>
      </c>
      <c r="B694" s="172" t="str">
        <f>'09월 조업일지'!E680</f>
        <v>C</v>
      </c>
      <c r="C694" s="172" t="str">
        <f>'09월 조업일지'!F680</f>
        <v>B</v>
      </c>
      <c r="D694" s="172">
        <f>'09월 화학성분'!C681</f>
        <v>85883</v>
      </c>
      <c r="E694" s="205" t="str">
        <f t="shared" si="160"/>
        <v/>
      </c>
      <c r="F694" s="121"/>
      <c r="G694" s="122"/>
      <c r="H694" s="123"/>
      <c r="I694" s="122"/>
      <c r="J694" s="123"/>
      <c r="K694" s="122"/>
      <c r="L694" s="124" t="str">
        <f t="shared" si="161"/>
        <v/>
      </c>
      <c r="M694" s="125" t="str">
        <f t="shared" si="161"/>
        <v/>
      </c>
      <c r="N694" s="126" t="str">
        <f t="shared" si="148"/>
        <v/>
      </c>
      <c r="O694" s="127" t="str">
        <f t="shared" si="149"/>
        <v/>
      </c>
      <c r="P694" s="127" t="str">
        <f t="shared" si="150"/>
        <v/>
      </c>
      <c r="Q694" s="128" t="str">
        <f t="shared" si="151"/>
        <v/>
      </c>
      <c r="R694" s="129"/>
      <c r="S694" s="130"/>
      <c r="T694" s="131"/>
      <c r="U694" s="131"/>
      <c r="V694" s="132" t="str">
        <f t="shared" si="152"/>
        <v/>
      </c>
      <c r="W694" s="133" t="str">
        <f t="shared" si="153"/>
        <v/>
      </c>
      <c r="X694" s="130"/>
      <c r="Y694" s="131"/>
      <c r="Z694" s="131"/>
      <c r="AA694" s="132" t="str">
        <f t="shared" si="154"/>
        <v/>
      </c>
      <c r="AB694" s="133" t="str">
        <f t="shared" si="155"/>
        <v/>
      </c>
      <c r="AC694" s="134" t="str">
        <f t="shared" si="156"/>
        <v/>
      </c>
      <c r="AD694" s="135" t="str">
        <f t="shared" si="157"/>
        <v/>
      </c>
      <c r="AE694" s="136"/>
      <c r="AF694" s="137"/>
      <c r="AG694" s="137"/>
      <c r="AH694" s="138" t="str">
        <f t="shared" si="158"/>
        <v/>
      </c>
      <c r="AI694" s="133" t="str">
        <f t="shared" si="159"/>
        <v/>
      </c>
    </row>
    <row r="695" spans="1:35">
      <c r="A695" s="171">
        <f>IF('09월 조업일지'!A681="","",'09월 조업일지'!A681)</f>
        <v>46290</v>
      </c>
      <c r="B695" s="172" t="str">
        <f>'09월 조업일지'!E681</f>
        <v>C</v>
      </c>
      <c r="C695" s="172" t="str">
        <f>'09월 조업일지'!F681</f>
        <v>A</v>
      </c>
      <c r="D695" s="172">
        <f>'09월 화학성분'!C682</f>
        <v>85884</v>
      </c>
      <c r="E695" s="205" t="str">
        <f t="shared" si="160"/>
        <v/>
      </c>
      <c r="F695" s="121"/>
      <c r="G695" s="122"/>
      <c r="H695" s="123"/>
      <c r="I695" s="122"/>
      <c r="J695" s="123"/>
      <c r="K695" s="122"/>
      <c r="L695" s="124" t="str">
        <f t="shared" si="161"/>
        <v/>
      </c>
      <c r="M695" s="125" t="str">
        <f t="shared" si="161"/>
        <v/>
      </c>
      <c r="N695" s="126" t="str">
        <f t="shared" si="148"/>
        <v/>
      </c>
      <c r="O695" s="127" t="str">
        <f t="shared" si="149"/>
        <v/>
      </c>
      <c r="P695" s="127" t="str">
        <f t="shared" si="150"/>
        <v/>
      </c>
      <c r="Q695" s="128" t="str">
        <f t="shared" si="151"/>
        <v/>
      </c>
      <c r="R695" s="129"/>
      <c r="S695" s="130"/>
      <c r="T695" s="131"/>
      <c r="U695" s="131"/>
      <c r="V695" s="132" t="str">
        <f t="shared" si="152"/>
        <v/>
      </c>
      <c r="W695" s="133" t="str">
        <f t="shared" si="153"/>
        <v/>
      </c>
      <c r="X695" s="130"/>
      <c r="Y695" s="131"/>
      <c r="Z695" s="131"/>
      <c r="AA695" s="132" t="str">
        <f t="shared" si="154"/>
        <v/>
      </c>
      <c r="AB695" s="133" t="str">
        <f t="shared" si="155"/>
        <v/>
      </c>
      <c r="AC695" s="134" t="str">
        <f t="shared" si="156"/>
        <v/>
      </c>
      <c r="AD695" s="135" t="str">
        <f t="shared" si="157"/>
        <v/>
      </c>
      <c r="AE695" s="136"/>
      <c r="AF695" s="137"/>
      <c r="AG695" s="137"/>
      <c r="AH695" s="138" t="str">
        <f t="shared" si="158"/>
        <v/>
      </c>
      <c r="AI695" s="133" t="str">
        <f t="shared" si="159"/>
        <v/>
      </c>
    </row>
    <row r="696" spans="1:35">
      <c r="A696" s="171">
        <f>IF('09월 조업일지'!A682="","",'09월 조업일지'!A682)</f>
        <v>46290</v>
      </c>
      <c r="B696" s="172" t="str">
        <f>'09월 조업일지'!E682</f>
        <v>C</v>
      </c>
      <c r="C696" s="172" t="str">
        <f>'09월 조업일지'!F682</f>
        <v>B</v>
      </c>
      <c r="D696" s="172">
        <f>'09월 화학성분'!C683</f>
        <v>85885</v>
      </c>
      <c r="E696" s="205" t="str">
        <f t="shared" si="160"/>
        <v/>
      </c>
      <c r="F696" s="121"/>
      <c r="G696" s="122"/>
      <c r="H696" s="123"/>
      <c r="I696" s="122"/>
      <c r="J696" s="123"/>
      <c r="K696" s="122"/>
      <c r="L696" s="124" t="str">
        <f t="shared" si="161"/>
        <v/>
      </c>
      <c r="M696" s="125" t="str">
        <f t="shared" si="161"/>
        <v/>
      </c>
      <c r="N696" s="126" t="str">
        <f t="shared" si="148"/>
        <v/>
      </c>
      <c r="O696" s="127" t="str">
        <f t="shared" si="149"/>
        <v/>
      </c>
      <c r="P696" s="127" t="str">
        <f t="shared" si="150"/>
        <v/>
      </c>
      <c r="Q696" s="128" t="str">
        <f t="shared" si="151"/>
        <v/>
      </c>
      <c r="R696" s="129"/>
      <c r="S696" s="130"/>
      <c r="T696" s="131"/>
      <c r="U696" s="131"/>
      <c r="V696" s="132" t="str">
        <f t="shared" si="152"/>
        <v/>
      </c>
      <c r="W696" s="133" t="str">
        <f t="shared" si="153"/>
        <v/>
      </c>
      <c r="X696" s="130"/>
      <c r="Y696" s="131"/>
      <c r="Z696" s="131"/>
      <c r="AA696" s="132" t="str">
        <f t="shared" si="154"/>
        <v/>
      </c>
      <c r="AB696" s="133" t="str">
        <f t="shared" si="155"/>
        <v/>
      </c>
      <c r="AC696" s="134" t="str">
        <f t="shared" si="156"/>
        <v/>
      </c>
      <c r="AD696" s="135" t="str">
        <f t="shared" si="157"/>
        <v/>
      </c>
      <c r="AE696" s="136"/>
      <c r="AF696" s="137"/>
      <c r="AG696" s="137"/>
      <c r="AH696" s="138" t="str">
        <f t="shared" si="158"/>
        <v/>
      </c>
      <c r="AI696" s="133" t="str">
        <f t="shared" si="159"/>
        <v/>
      </c>
    </row>
    <row r="697" spans="1:35">
      <c r="A697" s="171">
        <f>IF('09월 조업일지'!A683="","",'09월 조업일지'!A683)</f>
        <v>46290</v>
      </c>
      <c r="B697" s="172" t="str">
        <f>'09월 조업일지'!E683</f>
        <v>C</v>
      </c>
      <c r="C697" s="172" t="str">
        <f>'09월 조업일지'!F683</f>
        <v>A</v>
      </c>
      <c r="D697" s="172">
        <f>'09월 화학성분'!C684</f>
        <v>85886</v>
      </c>
      <c r="E697" s="205" t="str">
        <f t="shared" si="160"/>
        <v/>
      </c>
      <c r="F697" s="121"/>
      <c r="G697" s="122"/>
      <c r="H697" s="123"/>
      <c r="I697" s="122"/>
      <c r="J697" s="123"/>
      <c r="K697" s="122"/>
      <c r="L697" s="124" t="str">
        <f t="shared" si="161"/>
        <v/>
      </c>
      <c r="M697" s="125" t="str">
        <f t="shared" si="161"/>
        <v/>
      </c>
      <c r="N697" s="126" t="str">
        <f t="shared" si="148"/>
        <v/>
      </c>
      <c r="O697" s="127" t="str">
        <f t="shared" si="149"/>
        <v/>
      </c>
      <c r="P697" s="127" t="str">
        <f t="shared" si="150"/>
        <v/>
      </c>
      <c r="Q697" s="128" t="str">
        <f t="shared" si="151"/>
        <v/>
      </c>
      <c r="R697" s="129"/>
      <c r="S697" s="130"/>
      <c r="T697" s="131"/>
      <c r="U697" s="131"/>
      <c r="V697" s="132" t="str">
        <f t="shared" si="152"/>
        <v/>
      </c>
      <c r="W697" s="133" t="str">
        <f t="shared" si="153"/>
        <v/>
      </c>
      <c r="X697" s="130"/>
      <c r="Y697" s="131"/>
      <c r="Z697" s="131"/>
      <c r="AA697" s="132" t="str">
        <f t="shared" si="154"/>
        <v/>
      </c>
      <c r="AB697" s="133" t="str">
        <f t="shared" si="155"/>
        <v/>
      </c>
      <c r="AC697" s="134" t="str">
        <f t="shared" si="156"/>
        <v/>
      </c>
      <c r="AD697" s="135" t="str">
        <f t="shared" si="157"/>
        <v/>
      </c>
      <c r="AE697" s="136"/>
      <c r="AF697" s="137"/>
      <c r="AG697" s="137"/>
      <c r="AH697" s="138" t="str">
        <f t="shared" si="158"/>
        <v/>
      </c>
      <c r="AI697" s="133" t="str">
        <f t="shared" si="159"/>
        <v/>
      </c>
    </row>
    <row r="698" spans="1:35">
      <c r="A698" s="171">
        <f>IF('09월 조업일지'!A684="","",'09월 조업일지'!A684)</f>
        <v>46290</v>
      </c>
      <c r="B698" s="172" t="str">
        <f>'09월 조업일지'!E684</f>
        <v>C</v>
      </c>
      <c r="C698" s="172" t="str">
        <f>'09월 조업일지'!F684</f>
        <v>B</v>
      </c>
      <c r="D698" s="172">
        <f>'09월 화학성분'!C685</f>
        <v>85887</v>
      </c>
      <c r="E698" s="205" t="str">
        <f t="shared" si="160"/>
        <v/>
      </c>
      <c r="F698" s="121"/>
      <c r="G698" s="122"/>
      <c r="H698" s="123"/>
      <c r="I698" s="122"/>
      <c r="J698" s="123"/>
      <c r="K698" s="122"/>
      <c r="L698" s="124" t="str">
        <f t="shared" si="161"/>
        <v/>
      </c>
      <c r="M698" s="125" t="str">
        <f t="shared" si="161"/>
        <v/>
      </c>
      <c r="N698" s="126" t="str">
        <f t="shared" si="148"/>
        <v/>
      </c>
      <c r="O698" s="127" t="str">
        <f t="shared" si="149"/>
        <v/>
      </c>
      <c r="P698" s="127" t="str">
        <f t="shared" si="150"/>
        <v/>
      </c>
      <c r="Q698" s="128" t="str">
        <f t="shared" si="151"/>
        <v/>
      </c>
      <c r="R698" s="129"/>
      <c r="S698" s="130"/>
      <c r="T698" s="131"/>
      <c r="U698" s="131"/>
      <c r="V698" s="132" t="str">
        <f t="shared" si="152"/>
        <v/>
      </c>
      <c r="W698" s="133" t="str">
        <f t="shared" si="153"/>
        <v/>
      </c>
      <c r="X698" s="130"/>
      <c r="Y698" s="131"/>
      <c r="Z698" s="131"/>
      <c r="AA698" s="132" t="str">
        <f t="shared" si="154"/>
        <v/>
      </c>
      <c r="AB698" s="133" t="str">
        <f t="shared" si="155"/>
        <v/>
      </c>
      <c r="AC698" s="134" t="str">
        <f t="shared" si="156"/>
        <v/>
      </c>
      <c r="AD698" s="135" t="str">
        <f t="shared" si="157"/>
        <v/>
      </c>
      <c r="AE698" s="136"/>
      <c r="AF698" s="137"/>
      <c r="AG698" s="137"/>
      <c r="AH698" s="138" t="str">
        <f t="shared" si="158"/>
        <v/>
      </c>
      <c r="AI698" s="133" t="str">
        <f t="shared" si="159"/>
        <v/>
      </c>
    </row>
    <row r="699" spans="1:35">
      <c r="A699" s="171">
        <f>IF('09월 조업일지'!A685="","",'09월 조업일지'!A685)</f>
        <v>46290</v>
      </c>
      <c r="B699" s="172" t="str">
        <f>'09월 조업일지'!E685</f>
        <v>C</v>
      </c>
      <c r="C699" s="172" t="str">
        <f>'09월 조업일지'!F685</f>
        <v>A</v>
      </c>
      <c r="D699" s="172">
        <f>'09월 화학성분'!C686</f>
        <v>85888</v>
      </c>
      <c r="E699" s="205" t="str">
        <f t="shared" si="160"/>
        <v/>
      </c>
      <c r="F699" s="121"/>
      <c r="G699" s="122"/>
      <c r="H699" s="123"/>
      <c r="I699" s="122"/>
      <c r="J699" s="123"/>
      <c r="K699" s="122"/>
      <c r="L699" s="124" t="str">
        <f t="shared" si="161"/>
        <v/>
      </c>
      <c r="M699" s="125" t="str">
        <f t="shared" si="161"/>
        <v/>
      </c>
      <c r="N699" s="126" t="str">
        <f t="shared" si="148"/>
        <v/>
      </c>
      <c r="O699" s="127" t="str">
        <f t="shared" si="149"/>
        <v/>
      </c>
      <c r="P699" s="127" t="str">
        <f t="shared" si="150"/>
        <v/>
      </c>
      <c r="Q699" s="128" t="str">
        <f t="shared" si="151"/>
        <v/>
      </c>
      <c r="R699" s="129"/>
      <c r="S699" s="130"/>
      <c r="T699" s="131"/>
      <c r="U699" s="131"/>
      <c r="V699" s="132" t="str">
        <f t="shared" si="152"/>
        <v/>
      </c>
      <c r="W699" s="133" t="str">
        <f t="shared" si="153"/>
        <v/>
      </c>
      <c r="X699" s="130"/>
      <c r="Y699" s="131"/>
      <c r="Z699" s="131"/>
      <c r="AA699" s="132" t="str">
        <f t="shared" si="154"/>
        <v/>
      </c>
      <c r="AB699" s="133" t="str">
        <f t="shared" si="155"/>
        <v/>
      </c>
      <c r="AC699" s="134" t="str">
        <f t="shared" si="156"/>
        <v/>
      </c>
      <c r="AD699" s="135" t="str">
        <f t="shared" si="157"/>
        <v/>
      </c>
      <c r="AE699" s="136"/>
      <c r="AF699" s="137"/>
      <c r="AG699" s="137"/>
      <c r="AH699" s="138" t="str">
        <f t="shared" si="158"/>
        <v/>
      </c>
      <c r="AI699" s="133" t="str">
        <f t="shared" si="159"/>
        <v/>
      </c>
    </row>
    <row r="700" spans="1:35">
      <c r="A700" s="171">
        <f>IF('09월 조업일지'!A686="","",'09월 조업일지'!A686)</f>
        <v>46290</v>
      </c>
      <c r="B700" s="172" t="str">
        <f>'09월 조업일지'!E686</f>
        <v>A</v>
      </c>
      <c r="C700" s="172" t="str">
        <f>'09월 조업일지'!F686</f>
        <v>B</v>
      </c>
      <c r="D700" s="172">
        <f>'09월 화학성분'!C687</f>
        <v>85889</v>
      </c>
      <c r="E700" s="205" t="str">
        <f t="shared" si="160"/>
        <v/>
      </c>
      <c r="F700" s="121"/>
      <c r="G700" s="122"/>
      <c r="H700" s="123"/>
      <c r="I700" s="122"/>
      <c r="J700" s="123"/>
      <c r="K700" s="122"/>
      <c r="L700" s="124" t="str">
        <f t="shared" si="161"/>
        <v/>
      </c>
      <c r="M700" s="125" t="str">
        <f t="shared" si="161"/>
        <v/>
      </c>
      <c r="N700" s="126" t="str">
        <f t="shared" si="148"/>
        <v/>
      </c>
      <c r="O700" s="127" t="str">
        <f t="shared" si="149"/>
        <v/>
      </c>
      <c r="P700" s="127" t="str">
        <f t="shared" si="150"/>
        <v/>
      </c>
      <c r="Q700" s="128" t="str">
        <f t="shared" si="151"/>
        <v/>
      </c>
      <c r="R700" s="129"/>
      <c r="S700" s="130"/>
      <c r="T700" s="131"/>
      <c r="U700" s="131"/>
      <c r="V700" s="132" t="str">
        <f t="shared" si="152"/>
        <v/>
      </c>
      <c r="W700" s="133" t="str">
        <f t="shared" si="153"/>
        <v/>
      </c>
      <c r="X700" s="130"/>
      <c r="Y700" s="131"/>
      <c r="Z700" s="131"/>
      <c r="AA700" s="132" t="str">
        <f t="shared" si="154"/>
        <v/>
      </c>
      <c r="AB700" s="133" t="str">
        <f t="shared" si="155"/>
        <v/>
      </c>
      <c r="AC700" s="134" t="str">
        <f t="shared" si="156"/>
        <v/>
      </c>
      <c r="AD700" s="135" t="str">
        <f t="shared" si="157"/>
        <v/>
      </c>
      <c r="AE700" s="136"/>
      <c r="AF700" s="137"/>
      <c r="AG700" s="137"/>
      <c r="AH700" s="138" t="str">
        <f t="shared" si="158"/>
        <v/>
      </c>
      <c r="AI700" s="133" t="str">
        <f t="shared" si="159"/>
        <v/>
      </c>
    </row>
    <row r="701" spans="1:35">
      <c r="A701" s="171">
        <f>IF('09월 조업일지'!A687="","",'09월 조업일지'!A687)</f>
        <v>46290</v>
      </c>
      <c r="B701" s="172" t="str">
        <f>'09월 조업일지'!E687</f>
        <v>A</v>
      </c>
      <c r="C701" s="172" t="str">
        <f>'09월 조업일지'!F687</f>
        <v>A</v>
      </c>
      <c r="D701" s="172">
        <f>'09월 화학성분'!C688</f>
        <v>85890</v>
      </c>
      <c r="E701" s="205" t="str">
        <f t="shared" si="160"/>
        <v/>
      </c>
      <c r="F701" s="121"/>
      <c r="G701" s="122"/>
      <c r="H701" s="123"/>
      <c r="I701" s="122"/>
      <c r="J701" s="123"/>
      <c r="K701" s="122"/>
      <c r="L701" s="124" t="str">
        <f t="shared" si="161"/>
        <v/>
      </c>
      <c r="M701" s="125" t="str">
        <f t="shared" si="161"/>
        <v/>
      </c>
      <c r="N701" s="126" t="str">
        <f t="shared" si="148"/>
        <v/>
      </c>
      <c r="O701" s="127" t="str">
        <f t="shared" si="149"/>
        <v/>
      </c>
      <c r="P701" s="127" t="str">
        <f t="shared" si="150"/>
        <v/>
      </c>
      <c r="Q701" s="128" t="str">
        <f t="shared" si="151"/>
        <v/>
      </c>
      <c r="R701" s="129"/>
      <c r="S701" s="130"/>
      <c r="T701" s="131"/>
      <c r="U701" s="131"/>
      <c r="V701" s="132" t="str">
        <f t="shared" si="152"/>
        <v/>
      </c>
      <c r="W701" s="133" t="str">
        <f t="shared" si="153"/>
        <v/>
      </c>
      <c r="X701" s="130"/>
      <c r="Y701" s="131"/>
      <c r="Z701" s="131"/>
      <c r="AA701" s="132" t="str">
        <f t="shared" si="154"/>
        <v/>
      </c>
      <c r="AB701" s="133" t="str">
        <f t="shared" si="155"/>
        <v/>
      </c>
      <c r="AC701" s="134" t="str">
        <f t="shared" si="156"/>
        <v/>
      </c>
      <c r="AD701" s="135" t="str">
        <f t="shared" si="157"/>
        <v/>
      </c>
      <c r="AE701" s="136"/>
      <c r="AF701" s="137"/>
      <c r="AG701" s="137"/>
      <c r="AH701" s="138" t="str">
        <f t="shared" si="158"/>
        <v/>
      </c>
      <c r="AI701" s="133" t="str">
        <f t="shared" si="159"/>
        <v/>
      </c>
    </row>
    <row r="702" spans="1:35">
      <c r="A702" s="171">
        <f>IF('09월 조업일지'!A688="","",'09월 조업일지'!A688)</f>
        <v>46290</v>
      </c>
      <c r="B702" s="172" t="str">
        <f>'09월 조업일지'!E688</f>
        <v>A</v>
      </c>
      <c r="C702" s="172" t="str">
        <f>'09월 조업일지'!F688</f>
        <v>B</v>
      </c>
      <c r="D702" s="172">
        <f>'09월 화학성분'!C689</f>
        <v>85891</v>
      </c>
      <c r="E702" s="205" t="str">
        <f t="shared" si="160"/>
        <v/>
      </c>
      <c r="F702" s="121"/>
      <c r="G702" s="122"/>
      <c r="H702" s="123"/>
      <c r="I702" s="122"/>
      <c r="J702" s="123"/>
      <c r="K702" s="122"/>
      <c r="L702" s="124" t="str">
        <f t="shared" si="161"/>
        <v/>
      </c>
      <c r="M702" s="125" t="str">
        <f t="shared" si="161"/>
        <v/>
      </c>
      <c r="N702" s="126" t="str">
        <f t="shared" si="148"/>
        <v/>
      </c>
      <c r="O702" s="127" t="str">
        <f t="shared" si="149"/>
        <v/>
      </c>
      <c r="P702" s="127" t="str">
        <f t="shared" si="150"/>
        <v/>
      </c>
      <c r="Q702" s="128" t="str">
        <f t="shared" si="151"/>
        <v/>
      </c>
      <c r="R702" s="129"/>
      <c r="S702" s="130"/>
      <c r="T702" s="131"/>
      <c r="U702" s="131"/>
      <c r="V702" s="132" t="str">
        <f t="shared" si="152"/>
        <v/>
      </c>
      <c r="W702" s="133" t="str">
        <f t="shared" si="153"/>
        <v/>
      </c>
      <c r="X702" s="130"/>
      <c r="Y702" s="131"/>
      <c r="Z702" s="131"/>
      <c r="AA702" s="132" t="str">
        <f t="shared" si="154"/>
        <v/>
      </c>
      <c r="AB702" s="133" t="str">
        <f t="shared" si="155"/>
        <v/>
      </c>
      <c r="AC702" s="134" t="str">
        <f t="shared" si="156"/>
        <v/>
      </c>
      <c r="AD702" s="135" t="str">
        <f t="shared" si="157"/>
        <v/>
      </c>
      <c r="AE702" s="136"/>
      <c r="AF702" s="137"/>
      <c r="AG702" s="137"/>
      <c r="AH702" s="138" t="str">
        <f t="shared" si="158"/>
        <v/>
      </c>
      <c r="AI702" s="133" t="str">
        <f t="shared" si="159"/>
        <v/>
      </c>
    </row>
    <row r="703" spans="1:35">
      <c r="A703" s="171">
        <f>IF('09월 조업일지'!A689="","",'09월 조업일지'!A689)</f>
        <v>46290</v>
      </c>
      <c r="B703" s="172" t="str">
        <f>'09월 조업일지'!E689</f>
        <v>A</v>
      </c>
      <c r="C703" s="172" t="str">
        <f>'09월 조업일지'!F689</f>
        <v>A</v>
      </c>
      <c r="D703" s="172">
        <f>'09월 화학성분'!C690</f>
        <v>85892</v>
      </c>
      <c r="E703" s="205" t="str">
        <f t="shared" si="160"/>
        <v/>
      </c>
      <c r="F703" s="121"/>
      <c r="G703" s="122"/>
      <c r="H703" s="123"/>
      <c r="I703" s="122"/>
      <c r="J703" s="123"/>
      <c r="K703" s="122"/>
      <c r="L703" s="124" t="str">
        <f t="shared" si="161"/>
        <v/>
      </c>
      <c r="M703" s="125" t="str">
        <f t="shared" si="161"/>
        <v/>
      </c>
      <c r="N703" s="126" t="str">
        <f t="shared" si="148"/>
        <v/>
      </c>
      <c r="O703" s="127" t="str">
        <f t="shared" si="149"/>
        <v/>
      </c>
      <c r="P703" s="127" t="str">
        <f t="shared" si="150"/>
        <v/>
      </c>
      <c r="Q703" s="128" t="str">
        <f t="shared" si="151"/>
        <v/>
      </c>
      <c r="R703" s="129"/>
      <c r="S703" s="130"/>
      <c r="T703" s="131"/>
      <c r="U703" s="131"/>
      <c r="V703" s="132" t="str">
        <f t="shared" si="152"/>
        <v/>
      </c>
      <c r="W703" s="133" t="str">
        <f t="shared" si="153"/>
        <v/>
      </c>
      <c r="X703" s="130"/>
      <c r="Y703" s="131"/>
      <c r="Z703" s="131"/>
      <c r="AA703" s="132" t="str">
        <f t="shared" si="154"/>
        <v/>
      </c>
      <c r="AB703" s="133" t="str">
        <f t="shared" si="155"/>
        <v/>
      </c>
      <c r="AC703" s="134" t="str">
        <f t="shared" si="156"/>
        <v/>
      </c>
      <c r="AD703" s="135" t="str">
        <f t="shared" si="157"/>
        <v/>
      </c>
      <c r="AE703" s="136"/>
      <c r="AF703" s="137"/>
      <c r="AG703" s="137"/>
      <c r="AH703" s="138" t="str">
        <f t="shared" si="158"/>
        <v/>
      </c>
      <c r="AI703" s="133" t="str">
        <f t="shared" si="159"/>
        <v/>
      </c>
    </row>
    <row r="704" spans="1:35">
      <c r="A704" s="171">
        <f>IF('09월 조업일지'!A690="","",'09월 조업일지'!A690)</f>
        <v>46290</v>
      </c>
      <c r="B704" s="172" t="str">
        <f>'09월 조업일지'!E690</f>
        <v>A</v>
      </c>
      <c r="C704" s="172" t="str">
        <f>'09월 조업일지'!F690</f>
        <v>B</v>
      </c>
      <c r="D704" s="172">
        <f>'09월 화학성분'!C691</f>
        <v>85893</v>
      </c>
      <c r="E704" s="205" t="str">
        <f t="shared" si="160"/>
        <v/>
      </c>
      <c r="F704" s="121"/>
      <c r="G704" s="122"/>
      <c r="H704" s="123"/>
      <c r="I704" s="122"/>
      <c r="J704" s="123"/>
      <c r="K704" s="122"/>
      <c r="L704" s="124" t="str">
        <f t="shared" si="161"/>
        <v/>
      </c>
      <c r="M704" s="125" t="str">
        <f t="shared" si="161"/>
        <v/>
      </c>
      <c r="N704" s="126" t="str">
        <f t="shared" si="148"/>
        <v/>
      </c>
      <c r="O704" s="127" t="str">
        <f t="shared" si="149"/>
        <v/>
      </c>
      <c r="P704" s="127" t="str">
        <f t="shared" si="150"/>
        <v/>
      </c>
      <c r="Q704" s="128" t="str">
        <f t="shared" si="151"/>
        <v/>
      </c>
      <c r="R704" s="129"/>
      <c r="S704" s="130"/>
      <c r="T704" s="131"/>
      <c r="U704" s="131"/>
      <c r="V704" s="132" t="str">
        <f t="shared" si="152"/>
        <v/>
      </c>
      <c r="W704" s="133" t="str">
        <f t="shared" si="153"/>
        <v/>
      </c>
      <c r="X704" s="130"/>
      <c r="Y704" s="131"/>
      <c r="Z704" s="131"/>
      <c r="AA704" s="132" t="str">
        <f t="shared" si="154"/>
        <v/>
      </c>
      <c r="AB704" s="133" t="str">
        <f t="shared" si="155"/>
        <v/>
      </c>
      <c r="AC704" s="134" t="str">
        <f t="shared" si="156"/>
        <v/>
      </c>
      <c r="AD704" s="135" t="str">
        <f t="shared" si="157"/>
        <v/>
      </c>
      <c r="AE704" s="136"/>
      <c r="AF704" s="137"/>
      <c r="AG704" s="137"/>
      <c r="AH704" s="138" t="str">
        <f t="shared" si="158"/>
        <v/>
      </c>
      <c r="AI704" s="133" t="str">
        <f t="shared" si="159"/>
        <v/>
      </c>
    </row>
    <row r="705" spans="1:35">
      <c r="A705" s="171">
        <f>IF('09월 조업일지'!A691="","",'09월 조업일지'!A691)</f>
        <v>46290</v>
      </c>
      <c r="B705" s="172" t="str">
        <f>'09월 조업일지'!E691</f>
        <v>A</v>
      </c>
      <c r="C705" s="172" t="str">
        <f>'09월 조업일지'!F691</f>
        <v>A</v>
      </c>
      <c r="D705" s="172">
        <f>'09월 화학성분'!C692</f>
        <v>85894</v>
      </c>
      <c r="E705" s="205" t="str">
        <f t="shared" si="160"/>
        <v/>
      </c>
      <c r="F705" s="121"/>
      <c r="G705" s="122"/>
      <c r="H705" s="123"/>
      <c r="I705" s="122"/>
      <c r="J705" s="123"/>
      <c r="K705" s="122"/>
      <c r="L705" s="124" t="str">
        <f t="shared" si="161"/>
        <v/>
      </c>
      <c r="M705" s="125" t="str">
        <f t="shared" si="161"/>
        <v/>
      </c>
      <c r="N705" s="126" t="str">
        <f t="shared" si="148"/>
        <v/>
      </c>
      <c r="O705" s="127" t="str">
        <f t="shared" si="149"/>
        <v/>
      </c>
      <c r="P705" s="127" t="str">
        <f t="shared" si="150"/>
        <v/>
      </c>
      <c r="Q705" s="128" t="str">
        <f t="shared" si="151"/>
        <v/>
      </c>
      <c r="R705" s="129"/>
      <c r="S705" s="130"/>
      <c r="T705" s="131"/>
      <c r="U705" s="131"/>
      <c r="V705" s="132" t="str">
        <f t="shared" si="152"/>
        <v/>
      </c>
      <c r="W705" s="133" t="str">
        <f t="shared" si="153"/>
        <v/>
      </c>
      <c r="X705" s="130"/>
      <c r="Y705" s="131"/>
      <c r="Z705" s="131"/>
      <c r="AA705" s="132" t="str">
        <f t="shared" si="154"/>
        <v/>
      </c>
      <c r="AB705" s="133" t="str">
        <f t="shared" si="155"/>
        <v/>
      </c>
      <c r="AC705" s="134" t="str">
        <f t="shared" si="156"/>
        <v/>
      </c>
      <c r="AD705" s="135" t="str">
        <f t="shared" si="157"/>
        <v/>
      </c>
      <c r="AE705" s="136"/>
      <c r="AF705" s="137"/>
      <c r="AG705" s="137"/>
      <c r="AH705" s="138" t="str">
        <f t="shared" si="158"/>
        <v/>
      </c>
      <c r="AI705" s="133" t="str">
        <f t="shared" si="159"/>
        <v/>
      </c>
    </row>
    <row r="706" spans="1:35">
      <c r="A706" s="171">
        <f>IF('09월 조업일지'!A692="","",'09월 조업일지'!A692)</f>
        <v>46290</v>
      </c>
      <c r="B706" s="172" t="str">
        <f>'09월 조업일지'!E692</f>
        <v>A</v>
      </c>
      <c r="C706" s="172" t="str">
        <f>'09월 조업일지'!F692</f>
        <v>B</v>
      </c>
      <c r="D706" s="172">
        <f>'09월 화학성분'!C693</f>
        <v>85895</v>
      </c>
      <c r="E706" s="205" t="str">
        <f t="shared" si="160"/>
        <v/>
      </c>
      <c r="F706" s="121"/>
      <c r="G706" s="122"/>
      <c r="H706" s="123"/>
      <c r="I706" s="122"/>
      <c r="J706" s="123"/>
      <c r="K706" s="122"/>
      <c r="L706" s="124" t="str">
        <f t="shared" si="161"/>
        <v/>
      </c>
      <c r="M706" s="125" t="str">
        <f t="shared" si="161"/>
        <v/>
      </c>
      <c r="N706" s="126" t="str">
        <f t="shared" si="148"/>
        <v/>
      </c>
      <c r="O706" s="127" t="str">
        <f t="shared" si="149"/>
        <v/>
      </c>
      <c r="P706" s="127" t="str">
        <f t="shared" si="150"/>
        <v/>
      </c>
      <c r="Q706" s="128" t="str">
        <f t="shared" si="151"/>
        <v/>
      </c>
      <c r="R706" s="129"/>
      <c r="S706" s="130"/>
      <c r="T706" s="131"/>
      <c r="U706" s="131"/>
      <c r="V706" s="132" t="str">
        <f t="shared" si="152"/>
        <v/>
      </c>
      <c r="W706" s="133" t="str">
        <f t="shared" si="153"/>
        <v/>
      </c>
      <c r="X706" s="130"/>
      <c r="Y706" s="131"/>
      <c r="Z706" s="131"/>
      <c r="AA706" s="132" t="str">
        <f t="shared" si="154"/>
        <v/>
      </c>
      <c r="AB706" s="133" t="str">
        <f t="shared" si="155"/>
        <v/>
      </c>
      <c r="AC706" s="134" t="str">
        <f t="shared" si="156"/>
        <v/>
      </c>
      <c r="AD706" s="135" t="str">
        <f t="shared" si="157"/>
        <v/>
      </c>
      <c r="AE706" s="136"/>
      <c r="AF706" s="137"/>
      <c r="AG706" s="137"/>
      <c r="AH706" s="138" t="str">
        <f t="shared" si="158"/>
        <v/>
      </c>
      <c r="AI706" s="133" t="str">
        <f t="shared" si="159"/>
        <v/>
      </c>
    </row>
    <row r="707" spans="1:35">
      <c r="A707" s="171">
        <f>IF('09월 조업일지'!A693="","",'09월 조업일지'!A693)</f>
        <v>46291</v>
      </c>
      <c r="B707" s="172" t="str">
        <f>'09월 조업일지'!E693</f>
        <v>A</v>
      </c>
      <c r="C707" s="172" t="str">
        <f>'09월 조업일지'!F693</f>
        <v>A</v>
      </c>
      <c r="D707" s="172">
        <f>'09월 화학성분'!C694</f>
        <v>85896</v>
      </c>
      <c r="E707" s="205" t="str">
        <f t="shared" si="160"/>
        <v/>
      </c>
      <c r="F707" s="121"/>
      <c r="G707" s="122"/>
      <c r="H707" s="123"/>
      <c r="I707" s="122"/>
      <c r="J707" s="123"/>
      <c r="K707" s="122"/>
      <c r="L707" s="124" t="str">
        <f t="shared" si="161"/>
        <v/>
      </c>
      <c r="M707" s="125" t="str">
        <f t="shared" si="161"/>
        <v/>
      </c>
      <c r="N707" s="126" t="str">
        <f t="shared" si="148"/>
        <v/>
      </c>
      <c r="O707" s="127" t="str">
        <f t="shared" si="149"/>
        <v/>
      </c>
      <c r="P707" s="127" t="str">
        <f t="shared" si="150"/>
        <v/>
      </c>
      <c r="Q707" s="128" t="str">
        <f t="shared" si="151"/>
        <v/>
      </c>
      <c r="R707" s="129"/>
      <c r="S707" s="130"/>
      <c r="T707" s="131"/>
      <c r="U707" s="131"/>
      <c r="V707" s="132" t="str">
        <f t="shared" si="152"/>
        <v/>
      </c>
      <c r="W707" s="133" t="str">
        <f t="shared" si="153"/>
        <v/>
      </c>
      <c r="X707" s="130"/>
      <c r="Y707" s="131"/>
      <c r="Z707" s="131"/>
      <c r="AA707" s="132" t="str">
        <f t="shared" si="154"/>
        <v/>
      </c>
      <c r="AB707" s="133" t="str">
        <f t="shared" si="155"/>
        <v/>
      </c>
      <c r="AC707" s="134" t="str">
        <f t="shared" si="156"/>
        <v/>
      </c>
      <c r="AD707" s="135" t="str">
        <f t="shared" si="157"/>
        <v/>
      </c>
      <c r="AE707" s="136"/>
      <c r="AF707" s="137"/>
      <c r="AG707" s="137"/>
      <c r="AH707" s="138" t="str">
        <f t="shared" si="158"/>
        <v/>
      </c>
      <c r="AI707" s="133" t="str">
        <f t="shared" si="159"/>
        <v/>
      </c>
    </row>
    <row r="708" spans="1:35">
      <c r="A708" s="171">
        <f>IF('09월 조업일지'!A694="","",'09월 조업일지'!A694)</f>
        <v>46291</v>
      </c>
      <c r="B708" s="172" t="str">
        <f>'09월 조업일지'!E694</f>
        <v>A</v>
      </c>
      <c r="C708" s="172" t="str">
        <f>'09월 조업일지'!F694</f>
        <v>B</v>
      </c>
      <c r="D708" s="172">
        <f>'09월 화학성분'!C695</f>
        <v>85897</v>
      </c>
      <c r="E708" s="205" t="str">
        <f t="shared" si="160"/>
        <v/>
      </c>
      <c r="F708" s="121"/>
      <c r="G708" s="122"/>
      <c r="H708" s="123"/>
      <c r="I708" s="122"/>
      <c r="J708" s="123"/>
      <c r="K708" s="122"/>
      <c r="L708" s="124" t="str">
        <f t="shared" si="161"/>
        <v/>
      </c>
      <c r="M708" s="125" t="str">
        <f t="shared" si="161"/>
        <v/>
      </c>
      <c r="N708" s="126" t="str">
        <f t="shared" si="148"/>
        <v/>
      </c>
      <c r="O708" s="127" t="str">
        <f t="shared" si="149"/>
        <v/>
      </c>
      <c r="P708" s="127" t="str">
        <f t="shared" si="150"/>
        <v/>
      </c>
      <c r="Q708" s="128" t="str">
        <f t="shared" si="151"/>
        <v/>
      </c>
      <c r="R708" s="129"/>
      <c r="S708" s="130"/>
      <c r="T708" s="131"/>
      <c r="U708" s="131"/>
      <c r="V708" s="132" t="str">
        <f t="shared" si="152"/>
        <v/>
      </c>
      <c r="W708" s="133" t="str">
        <f t="shared" si="153"/>
        <v/>
      </c>
      <c r="X708" s="130"/>
      <c r="Y708" s="131"/>
      <c r="Z708" s="131"/>
      <c r="AA708" s="132" t="str">
        <f t="shared" si="154"/>
        <v/>
      </c>
      <c r="AB708" s="133" t="str">
        <f t="shared" si="155"/>
        <v/>
      </c>
      <c r="AC708" s="134" t="str">
        <f t="shared" si="156"/>
        <v/>
      </c>
      <c r="AD708" s="135" t="str">
        <f t="shared" si="157"/>
        <v/>
      </c>
      <c r="AE708" s="136"/>
      <c r="AF708" s="137"/>
      <c r="AG708" s="137"/>
      <c r="AH708" s="138" t="str">
        <f t="shared" si="158"/>
        <v/>
      </c>
      <c r="AI708" s="133" t="str">
        <f t="shared" si="159"/>
        <v/>
      </c>
    </row>
    <row r="709" spans="1:35">
      <c r="A709" s="171">
        <f>IF('09월 조업일지'!A695="","",'09월 조업일지'!A695)</f>
        <v>46291</v>
      </c>
      <c r="B709" s="172" t="str">
        <f>'09월 조업일지'!E695</f>
        <v>A</v>
      </c>
      <c r="C709" s="172" t="str">
        <f>'09월 조업일지'!F695</f>
        <v>A</v>
      </c>
      <c r="D709" s="172">
        <f>'09월 화학성분'!C696</f>
        <v>85898</v>
      </c>
      <c r="E709" s="205" t="str">
        <f t="shared" si="160"/>
        <v/>
      </c>
      <c r="F709" s="121"/>
      <c r="G709" s="122"/>
      <c r="H709" s="123"/>
      <c r="I709" s="122"/>
      <c r="J709" s="123"/>
      <c r="K709" s="122"/>
      <c r="L709" s="124" t="str">
        <f t="shared" si="161"/>
        <v/>
      </c>
      <c r="M709" s="125" t="str">
        <f t="shared" si="161"/>
        <v/>
      </c>
      <c r="N709" s="126" t="str">
        <f t="shared" si="148"/>
        <v/>
      </c>
      <c r="O709" s="127" t="str">
        <f t="shared" si="149"/>
        <v/>
      </c>
      <c r="P709" s="127" t="str">
        <f t="shared" si="150"/>
        <v/>
      </c>
      <c r="Q709" s="128" t="str">
        <f t="shared" si="151"/>
        <v/>
      </c>
      <c r="R709" s="129"/>
      <c r="S709" s="130"/>
      <c r="T709" s="131"/>
      <c r="U709" s="131"/>
      <c r="V709" s="132" t="str">
        <f t="shared" si="152"/>
        <v/>
      </c>
      <c r="W709" s="133" t="str">
        <f t="shared" si="153"/>
        <v/>
      </c>
      <c r="X709" s="130"/>
      <c r="Y709" s="131"/>
      <c r="Z709" s="131"/>
      <c r="AA709" s="132" t="str">
        <f t="shared" si="154"/>
        <v/>
      </c>
      <c r="AB709" s="133" t="str">
        <f t="shared" si="155"/>
        <v/>
      </c>
      <c r="AC709" s="134" t="str">
        <f t="shared" si="156"/>
        <v/>
      </c>
      <c r="AD709" s="135" t="str">
        <f t="shared" si="157"/>
        <v/>
      </c>
      <c r="AE709" s="136"/>
      <c r="AF709" s="137"/>
      <c r="AG709" s="137"/>
      <c r="AH709" s="138" t="str">
        <f t="shared" si="158"/>
        <v/>
      </c>
      <c r="AI709" s="133" t="str">
        <f t="shared" si="159"/>
        <v/>
      </c>
    </row>
    <row r="710" spans="1:35">
      <c r="A710" s="171">
        <f>IF('09월 조업일지'!A696="","",'09월 조업일지'!A696)</f>
        <v>46291</v>
      </c>
      <c r="B710" s="172" t="str">
        <f>'09월 조업일지'!E696</f>
        <v>A</v>
      </c>
      <c r="C710" s="172" t="str">
        <f>'09월 조업일지'!F696</f>
        <v>B</v>
      </c>
      <c r="D710" s="172">
        <f>'09월 화학성분'!C697</f>
        <v>85899</v>
      </c>
      <c r="E710" s="205" t="str">
        <f t="shared" si="160"/>
        <v/>
      </c>
      <c r="F710" s="121"/>
      <c r="G710" s="122"/>
      <c r="H710" s="123"/>
      <c r="I710" s="122"/>
      <c r="J710" s="123"/>
      <c r="K710" s="122"/>
      <c r="L710" s="124" t="str">
        <f t="shared" si="161"/>
        <v/>
      </c>
      <c r="M710" s="125" t="str">
        <f t="shared" si="161"/>
        <v/>
      </c>
      <c r="N710" s="126" t="str">
        <f t="shared" si="148"/>
        <v/>
      </c>
      <c r="O710" s="127" t="str">
        <f t="shared" si="149"/>
        <v/>
      </c>
      <c r="P710" s="127" t="str">
        <f t="shared" si="150"/>
        <v/>
      </c>
      <c r="Q710" s="128" t="str">
        <f t="shared" si="151"/>
        <v/>
      </c>
      <c r="R710" s="129"/>
      <c r="S710" s="130"/>
      <c r="T710" s="131"/>
      <c r="U710" s="131"/>
      <c r="V710" s="132" t="str">
        <f t="shared" si="152"/>
        <v/>
      </c>
      <c r="W710" s="133" t="str">
        <f t="shared" si="153"/>
        <v/>
      </c>
      <c r="X710" s="130"/>
      <c r="Y710" s="131"/>
      <c r="Z710" s="131"/>
      <c r="AA710" s="132" t="str">
        <f t="shared" si="154"/>
        <v/>
      </c>
      <c r="AB710" s="133" t="str">
        <f t="shared" si="155"/>
        <v/>
      </c>
      <c r="AC710" s="134" t="str">
        <f t="shared" si="156"/>
        <v/>
      </c>
      <c r="AD710" s="135" t="str">
        <f t="shared" si="157"/>
        <v/>
      </c>
      <c r="AE710" s="136"/>
      <c r="AF710" s="137"/>
      <c r="AG710" s="137"/>
      <c r="AH710" s="138" t="str">
        <f t="shared" si="158"/>
        <v/>
      </c>
      <c r="AI710" s="133" t="str">
        <f t="shared" si="159"/>
        <v/>
      </c>
    </row>
    <row r="711" spans="1:35">
      <c r="A711" s="171">
        <f>IF('09월 조업일지'!A697="","",'09월 조업일지'!A697)</f>
        <v>46291</v>
      </c>
      <c r="B711" s="172" t="str">
        <f>'09월 조업일지'!E697</f>
        <v>B</v>
      </c>
      <c r="C711" s="172" t="str">
        <f>'09월 조업일지'!F697</f>
        <v>A</v>
      </c>
      <c r="D711" s="172">
        <f>'09월 화학성분'!C698</f>
        <v>85900</v>
      </c>
      <c r="E711" s="205" t="str">
        <f t="shared" si="160"/>
        <v/>
      </c>
      <c r="F711" s="121"/>
      <c r="G711" s="122"/>
      <c r="H711" s="123"/>
      <c r="I711" s="122"/>
      <c r="J711" s="123"/>
      <c r="K711" s="122"/>
      <c r="L711" s="124" t="str">
        <f t="shared" si="161"/>
        <v/>
      </c>
      <c r="M711" s="125" t="str">
        <f t="shared" si="161"/>
        <v/>
      </c>
      <c r="N711" s="126" t="str">
        <f t="shared" si="148"/>
        <v/>
      </c>
      <c r="O711" s="127" t="str">
        <f t="shared" si="149"/>
        <v/>
      </c>
      <c r="P711" s="127" t="str">
        <f t="shared" si="150"/>
        <v/>
      </c>
      <c r="Q711" s="128" t="str">
        <f t="shared" si="151"/>
        <v/>
      </c>
      <c r="R711" s="129"/>
      <c r="S711" s="130"/>
      <c r="T711" s="131"/>
      <c r="U711" s="131"/>
      <c r="V711" s="132" t="str">
        <f t="shared" si="152"/>
        <v/>
      </c>
      <c r="W711" s="133" t="str">
        <f t="shared" si="153"/>
        <v/>
      </c>
      <c r="X711" s="130"/>
      <c r="Y711" s="131"/>
      <c r="Z711" s="131"/>
      <c r="AA711" s="132" t="str">
        <f t="shared" si="154"/>
        <v/>
      </c>
      <c r="AB711" s="133" t="str">
        <f t="shared" si="155"/>
        <v/>
      </c>
      <c r="AC711" s="134" t="str">
        <f t="shared" si="156"/>
        <v/>
      </c>
      <c r="AD711" s="135" t="str">
        <f t="shared" si="157"/>
        <v/>
      </c>
      <c r="AE711" s="136"/>
      <c r="AF711" s="137"/>
      <c r="AG711" s="137"/>
      <c r="AH711" s="138" t="str">
        <f t="shared" si="158"/>
        <v/>
      </c>
      <c r="AI711" s="133" t="str">
        <f t="shared" si="159"/>
        <v/>
      </c>
    </row>
    <row r="712" spans="1:35">
      <c r="A712" s="171">
        <f>IF('09월 조업일지'!A698="","",'09월 조업일지'!A698)</f>
        <v>46291</v>
      </c>
      <c r="B712" s="172" t="str">
        <f>'09월 조업일지'!E698</f>
        <v>B</v>
      </c>
      <c r="C712" s="172" t="str">
        <f>'09월 조업일지'!F698</f>
        <v>B</v>
      </c>
      <c r="D712" s="172">
        <f>'09월 화학성분'!C699</f>
        <v>85901</v>
      </c>
      <c r="E712" s="205" t="str">
        <f t="shared" si="160"/>
        <v/>
      </c>
      <c r="F712" s="121"/>
      <c r="G712" s="122"/>
      <c r="H712" s="123"/>
      <c r="I712" s="122"/>
      <c r="J712" s="123"/>
      <c r="K712" s="122"/>
      <c r="L712" s="124" t="str">
        <f t="shared" si="161"/>
        <v/>
      </c>
      <c r="M712" s="125" t="str">
        <f t="shared" si="161"/>
        <v/>
      </c>
      <c r="N712" s="126" t="str">
        <f t="shared" si="148"/>
        <v/>
      </c>
      <c r="O712" s="127" t="str">
        <f t="shared" si="149"/>
        <v/>
      </c>
      <c r="P712" s="127" t="str">
        <f t="shared" si="150"/>
        <v/>
      </c>
      <c r="Q712" s="128" t="str">
        <f t="shared" si="151"/>
        <v/>
      </c>
      <c r="R712" s="129"/>
      <c r="S712" s="130"/>
      <c r="T712" s="131"/>
      <c r="U712" s="131"/>
      <c r="V712" s="132" t="str">
        <f t="shared" si="152"/>
        <v/>
      </c>
      <c r="W712" s="133" t="str">
        <f t="shared" si="153"/>
        <v/>
      </c>
      <c r="X712" s="130"/>
      <c r="Y712" s="131"/>
      <c r="Z712" s="131"/>
      <c r="AA712" s="132" t="str">
        <f t="shared" si="154"/>
        <v/>
      </c>
      <c r="AB712" s="133" t="str">
        <f t="shared" si="155"/>
        <v/>
      </c>
      <c r="AC712" s="134" t="str">
        <f t="shared" si="156"/>
        <v/>
      </c>
      <c r="AD712" s="135" t="str">
        <f t="shared" si="157"/>
        <v/>
      </c>
      <c r="AE712" s="136"/>
      <c r="AF712" s="137"/>
      <c r="AG712" s="137"/>
      <c r="AH712" s="138" t="str">
        <f t="shared" si="158"/>
        <v/>
      </c>
      <c r="AI712" s="133" t="str">
        <f t="shared" si="159"/>
        <v/>
      </c>
    </row>
    <row r="713" spans="1:35">
      <c r="A713" s="171">
        <f>IF('09월 조업일지'!A699="","",'09월 조업일지'!A699)</f>
        <v>46291</v>
      </c>
      <c r="B713" s="172" t="str">
        <f>'09월 조업일지'!E699</f>
        <v>B</v>
      </c>
      <c r="C713" s="172" t="str">
        <f>'09월 조업일지'!F699</f>
        <v>B</v>
      </c>
      <c r="D713" s="172">
        <f>'09월 화학성분'!C700</f>
        <v>85902</v>
      </c>
      <c r="E713" s="205" t="str">
        <f t="shared" si="160"/>
        <v/>
      </c>
      <c r="F713" s="121"/>
      <c r="G713" s="122"/>
      <c r="H713" s="123"/>
      <c r="I713" s="122"/>
      <c r="J713" s="123"/>
      <c r="K713" s="122"/>
      <c r="L713" s="124" t="str">
        <f t="shared" si="161"/>
        <v/>
      </c>
      <c r="M713" s="125" t="str">
        <f t="shared" si="161"/>
        <v/>
      </c>
      <c r="N713" s="126" t="str">
        <f t="shared" si="148"/>
        <v/>
      </c>
      <c r="O713" s="127" t="str">
        <f t="shared" si="149"/>
        <v/>
      </c>
      <c r="P713" s="127" t="str">
        <f t="shared" si="150"/>
        <v/>
      </c>
      <c r="Q713" s="128" t="str">
        <f t="shared" si="151"/>
        <v/>
      </c>
      <c r="R713" s="129"/>
      <c r="S713" s="130"/>
      <c r="T713" s="131"/>
      <c r="U713" s="131"/>
      <c r="V713" s="132" t="str">
        <f t="shared" si="152"/>
        <v/>
      </c>
      <c r="W713" s="133" t="str">
        <f t="shared" si="153"/>
        <v/>
      </c>
      <c r="X713" s="130"/>
      <c r="Y713" s="131"/>
      <c r="Z713" s="131"/>
      <c r="AA713" s="132" t="str">
        <f t="shared" si="154"/>
        <v/>
      </c>
      <c r="AB713" s="133" t="str">
        <f t="shared" si="155"/>
        <v/>
      </c>
      <c r="AC713" s="134" t="str">
        <f t="shared" si="156"/>
        <v/>
      </c>
      <c r="AD713" s="135" t="str">
        <f t="shared" si="157"/>
        <v/>
      </c>
      <c r="AE713" s="136"/>
      <c r="AF713" s="137"/>
      <c r="AG713" s="137"/>
      <c r="AH713" s="138" t="str">
        <f t="shared" si="158"/>
        <v/>
      </c>
      <c r="AI713" s="133" t="str">
        <f t="shared" si="159"/>
        <v/>
      </c>
    </row>
    <row r="714" spans="1:35">
      <c r="A714" s="171">
        <f>IF('09월 조업일지'!A700="","",'09월 조업일지'!A700)</f>
        <v>46291</v>
      </c>
      <c r="B714" s="172" t="str">
        <f>'09월 조업일지'!E700</f>
        <v>B</v>
      </c>
      <c r="C714" s="172" t="str">
        <f>'09월 조업일지'!F700</f>
        <v>A</v>
      </c>
      <c r="D714" s="172">
        <f>'09월 화학성분'!C701</f>
        <v>85903</v>
      </c>
      <c r="E714" s="205" t="str">
        <f t="shared" si="160"/>
        <v/>
      </c>
      <c r="F714" s="121"/>
      <c r="G714" s="122"/>
      <c r="H714" s="123"/>
      <c r="I714" s="122"/>
      <c r="J714" s="123"/>
      <c r="K714" s="122"/>
      <c r="L714" s="124" t="str">
        <f t="shared" si="161"/>
        <v/>
      </c>
      <c r="M714" s="125" t="str">
        <f t="shared" si="161"/>
        <v/>
      </c>
      <c r="N714" s="126" t="str">
        <f t="shared" si="148"/>
        <v/>
      </c>
      <c r="O714" s="127" t="str">
        <f t="shared" si="149"/>
        <v/>
      </c>
      <c r="P714" s="127" t="str">
        <f t="shared" si="150"/>
        <v/>
      </c>
      <c r="Q714" s="128" t="str">
        <f t="shared" si="151"/>
        <v/>
      </c>
      <c r="R714" s="129"/>
      <c r="S714" s="130"/>
      <c r="T714" s="131"/>
      <c r="U714" s="131"/>
      <c r="V714" s="132" t="str">
        <f t="shared" si="152"/>
        <v/>
      </c>
      <c r="W714" s="133" t="str">
        <f t="shared" si="153"/>
        <v/>
      </c>
      <c r="X714" s="130"/>
      <c r="Y714" s="131"/>
      <c r="Z714" s="131"/>
      <c r="AA714" s="132" t="str">
        <f t="shared" si="154"/>
        <v/>
      </c>
      <c r="AB714" s="133" t="str">
        <f t="shared" si="155"/>
        <v/>
      </c>
      <c r="AC714" s="134" t="str">
        <f t="shared" si="156"/>
        <v/>
      </c>
      <c r="AD714" s="135" t="str">
        <f t="shared" si="157"/>
        <v/>
      </c>
      <c r="AE714" s="136"/>
      <c r="AF714" s="137"/>
      <c r="AG714" s="137"/>
      <c r="AH714" s="138" t="str">
        <f t="shared" si="158"/>
        <v/>
      </c>
      <c r="AI714" s="133" t="str">
        <f t="shared" si="159"/>
        <v/>
      </c>
    </row>
    <row r="715" spans="1:35">
      <c r="A715" s="171">
        <f>IF('09월 조업일지'!A701="","",'09월 조업일지'!A701)</f>
        <v>46291</v>
      </c>
      <c r="B715" s="172" t="str">
        <f>'09월 조업일지'!E701</f>
        <v>B</v>
      </c>
      <c r="C715" s="172" t="str">
        <f>'09월 조업일지'!F701</f>
        <v>B</v>
      </c>
      <c r="D715" s="172">
        <f>'09월 화학성분'!C702</f>
        <v>85904</v>
      </c>
      <c r="E715" s="205" t="str">
        <f t="shared" si="160"/>
        <v/>
      </c>
      <c r="F715" s="121"/>
      <c r="G715" s="122"/>
      <c r="H715" s="123"/>
      <c r="I715" s="122"/>
      <c r="J715" s="123"/>
      <c r="K715" s="122"/>
      <c r="L715" s="124" t="str">
        <f t="shared" si="161"/>
        <v/>
      </c>
      <c r="M715" s="125" t="str">
        <f t="shared" si="161"/>
        <v/>
      </c>
      <c r="N715" s="126" t="str">
        <f t="shared" si="148"/>
        <v/>
      </c>
      <c r="O715" s="127" t="str">
        <f t="shared" si="149"/>
        <v/>
      </c>
      <c r="P715" s="127" t="str">
        <f t="shared" si="150"/>
        <v/>
      </c>
      <c r="Q715" s="128" t="str">
        <f t="shared" si="151"/>
        <v/>
      </c>
      <c r="R715" s="129"/>
      <c r="S715" s="130"/>
      <c r="T715" s="131"/>
      <c r="U715" s="131"/>
      <c r="V715" s="132" t="str">
        <f t="shared" si="152"/>
        <v/>
      </c>
      <c r="W715" s="133" t="str">
        <f t="shared" si="153"/>
        <v/>
      </c>
      <c r="X715" s="130"/>
      <c r="Y715" s="131"/>
      <c r="Z715" s="131"/>
      <c r="AA715" s="132" t="str">
        <f t="shared" si="154"/>
        <v/>
      </c>
      <c r="AB715" s="133" t="str">
        <f t="shared" si="155"/>
        <v/>
      </c>
      <c r="AC715" s="134" t="str">
        <f t="shared" si="156"/>
        <v/>
      </c>
      <c r="AD715" s="135" t="str">
        <f t="shared" si="157"/>
        <v/>
      </c>
      <c r="AE715" s="136"/>
      <c r="AF715" s="137"/>
      <c r="AG715" s="137"/>
      <c r="AH715" s="138" t="str">
        <f t="shared" si="158"/>
        <v/>
      </c>
      <c r="AI715" s="133" t="str">
        <f t="shared" si="159"/>
        <v/>
      </c>
    </row>
    <row r="716" spans="1:35">
      <c r="A716" s="171">
        <f>IF('09월 조업일지'!A702="","",'09월 조업일지'!A702)</f>
        <v>46291</v>
      </c>
      <c r="B716" s="172" t="str">
        <f>'09월 조업일지'!E702</f>
        <v>B</v>
      </c>
      <c r="C716" s="172" t="str">
        <f>'09월 조업일지'!F702</f>
        <v>A</v>
      </c>
      <c r="D716" s="172">
        <f>'09월 화학성분'!C703</f>
        <v>85905</v>
      </c>
      <c r="E716" s="205" t="str">
        <f t="shared" si="160"/>
        <v/>
      </c>
      <c r="F716" s="121"/>
      <c r="G716" s="122"/>
      <c r="H716" s="123"/>
      <c r="I716" s="122"/>
      <c r="J716" s="123"/>
      <c r="K716" s="122"/>
      <c r="L716" s="124" t="str">
        <f t="shared" si="161"/>
        <v/>
      </c>
      <c r="M716" s="125" t="str">
        <f t="shared" si="161"/>
        <v/>
      </c>
      <c r="N716" s="126" t="str">
        <f t="shared" si="148"/>
        <v/>
      </c>
      <c r="O716" s="127" t="str">
        <f t="shared" si="149"/>
        <v/>
      </c>
      <c r="P716" s="127" t="str">
        <f t="shared" si="150"/>
        <v/>
      </c>
      <c r="Q716" s="128" t="str">
        <f t="shared" si="151"/>
        <v/>
      </c>
      <c r="R716" s="129"/>
      <c r="S716" s="130"/>
      <c r="T716" s="131"/>
      <c r="U716" s="131"/>
      <c r="V716" s="132" t="str">
        <f t="shared" si="152"/>
        <v/>
      </c>
      <c r="W716" s="133" t="str">
        <f t="shared" si="153"/>
        <v/>
      </c>
      <c r="X716" s="130"/>
      <c r="Y716" s="131"/>
      <c r="Z716" s="131"/>
      <c r="AA716" s="132" t="str">
        <f t="shared" si="154"/>
        <v/>
      </c>
      <c r="AB716" s="133" t="str">
        <f t="shared" si="155"/>
        <v/>
      </c>
      <c r="AC716" s="134" t="str">
        <f t="shared" si="156"/>
        <v/>
      </c>
      <c r="AD716" s="135" t="str">
        <f t="shared" si="157"/>
        <v/>
      </c>
      <c r="AE716" s="136"/>
      <c r="AF716" s="137"/>
      <c r="AG716" s="137"/>
      <c r="AH716" s="138" t="str">
        <f t="shared" si="158"/>
        <v/>
      </c>
      <c r="AI716" s="133" t="str">
        <f t="shared" si="159"/>
        <v/>
      </c>
    </row>
    <row r="717" spans="1:35">
      <c r="A717" s="171">
        <f>IF('09월 조업일지'!A703="","",'09월 조업일지'!A703)</f>
        <v>46291</v>
      </c>
      <c r="B717" s="172" t="str">
        <f>'09월 조업일지'!E703</f>
        <v>B</v>
      </c>
      <c r="C717" s="172" t="str">
        <f>'09월 조업일지'!F703</f>
        <v>B</v>
      </c>
      <c r="D717" s="172">
        <f>'09월 화학성분'!C704</f>
        <v>85906</v>
      </c>
      <c r="E717" s="205" t="str">
        <f t="shared" si="160"/>
        <v/>
      </c>
      <c r="F717" s="121"/>
      <c r="G717" s="122"/>
      <c r="H717" s="123"/>
      <c r="I717" s="122"/>
      <c r="J717" s="123"/>
      <c r="K717" s="122"/>
      <c r="L717" s="124" t="str">
        <f t="shared" si="161"/>
        <v/>
      </c>
      <c r="M717" s="125" t="str">
        <f t="shared" si="161"/>
        <v/>
      </c>
      <c r="N717" s="126" t="str">
        <f t="shared" si="148"/>
        <v/>
      </c>
      <c r="O717" s="127" t="str">
        <f t="shared" si="149"/>
        <v/>
      </c>
      <c r="P717" s="127" t="str">
        <f t="shared" si="150"/>
        <v/>
      </c>
      <c r="Q717" s="128" t="str">
        <f t="shared" si="151"/>
        <v/>
      </c>
      <c r="R717" s="129"/>
      <c r="S717" s="130"/>
      <c r="T717" s="131"/>
      <c r="U717" s="131"/>
      <c r="V717" s="132" t="str">
        <f t="shared" si="152"/>
        <v/>
      </c>
      <c r="W717" s="133" t="str">
        <f t="shared" si="153"/>
        <v/>
      </c>
      <c r="X717" s="130"/>
      <c r="Y717" s="131"/>
      <c r="Z717" s="131"/>
      <c r="AA717" s="132" t="str">
        <f t="shared" si="154"/>
        <v/>
      </c>
      <c r="AB717" s="133" t="str">
        <f t="shared" si="155"/>
        <v/>
      </c>
      <c r="AC717" s="134" t="str">
        <f t="shared" si="156"/>
        <v/>
      </c>
      <c r="AD717" s="135" t="str">
        <f t="shared" si="157"/>
        <v/>
      </c>
      <c r="AE717" s="136"/>
      <c r="AF717" s="137"/>
      <c r="AG717" s="137"/>
      <c r="AH717" s="138" t="str">
        <f t="shared" si="158"/>
        <v/>
      </c>
      <c r="AI717" s="133" t="str">
        <f t="shared" si="159"/>
        <v/>
      </c>
    </row>
    <row r="718" spans="1:35">
      <c r="A718" s="171">
        <f>IF('09월 조업일지'!A704="","",'09월 조업일지'!A704)</f>
        <v>46291</v>
      </c>
      <c r="B718" s="172" t="str">
        <f>'09월 조업일지'!E704</f>
        <v>B</v>
      </c>
      <c r="C718" s="172" t="str">
        <f>'09월 조업일지'!F704</f>
        <v>A</v>
      </c>
      <c r="D718" s="172">
        <f>'09월 화학성분'!C705</f>
        <v>85907</v>
      </c>
      <c r="E718" s="205" t="str">
        <f t="shared" si="160"/>
        <v/>
      </c>
      <c r="F718" s="121"/>
      <c r="G718" s="122"/>
      <c r="H718" s="123"/>
      <c r="I718" s="122"/>
      <c r="J718" s="123"/>
      <c r="K718" s="122"/>
      <c r="L718" s="124" t="str">
        <f t="shared" si="161"/>
        <v/>
      </c>
      <c r="M718" s="125" t="str">
        <f t="shared" si="161"/>
        <v/>
      </c>
      <c r="N718" s="126" t="str">
        <f t="shared" si="148"/>
        <v/>
      </c>
      <c r="O718" s="127" t="str">
        <f t="shared" si="149"/>
        <v/>
      </c>
      <c r="P718" s="127" t="str">
        <f t="shared" si="150"/>
        <v/>
      </c>
      <c r="Q718" s="128" t="str">
        <f t="shared" si="151"/>
        <v/>
      </c>
      <c r="R718" s="129"/>
      <c r="S718" s="130"/>
      <c r="T718" s="131"/>
      <c r="U718" s="131"/>
      <c r="V718" s="132" t="str">
        <f t="shared" si="152"/>
        <v/>
      </c>
      <c r="W718" s="133" t="str">
        <f t="shared" si="153"/>
        <v/>
      </c>
      <c r="X718" s="130"/>
      <c r="Y718" s="131"/>
      <c r="Z718" s="131"/>
      <c r="AA718" s="132" t="str">
        <f t="shared" si="154"/>
        <v/>
      </c>
      <c r="AB718" s="133" t="str">
        <f t="shared" si="155"/>
        <v/>
      </c>
      <c r="AC718" s="134" t="str">
        <f t="shared" si="156"/>
        <v/>
      </c>
      <c r="AD718" s="135" t="str">
        <f t="shared" si="157"/>
        <v/>
      </c>
      <c r="AE718" s="136"/>
      <c r="AF718" s="137"/>
      <c r="AG718" s="137"/>
      <c r="AH718" s="138" t="str">
        <f t="shared" si="158"/>
        <v/>
      </c>
      <c r="AI718" s="133" t="str">
        <f t="shared" si="159"/>
        <v/>
      </c>
    </row>
    <row r="719" spans="1:35">
      <c r="A719" s="171">
        <f>IF('09월 조업일지'!A705="","",'09월 조업일지'!A705)</f>
        <v>46291</v>
      </c>
      <c r="B719" s="172" t="str">
        <f>'09월 조업일지'!E705</f>
        <v>B</v>
      </c>
      <c r="C719" s="172" t="str">
        <f>'09월 조업일지'!F705</f>
        <v>B</v>
      </c>
      <c r="D719" s="172">
        <f>'09월 화학성분'!C706</f>
        <v>85908</v>
      </c>
      <c r="E719" s="205" t="str">
        <f t="shared" si="160"/>
        <v/>
      </c>
      <c r="F719" s="121"/>
      <c r="G719" s="122"/>
      <c r="H719" s="123"/>
      <c r="I719" s="122"/>
      <c r="J719" s="123"/>
      <c r="K719" s="122"/>
      <c r="L719" s="124" t="str">
        <f t="shared" si="161"/>
        <v/>
      </c>
      <c r="M719" s="125" t="str">
        <f t="shared" si="161"/>
        <v/>
      </c>
      <c r="N719" s="126" t="str">
        <f t="shared" si="148"/>
        <v/>
      </c>
      <c r="O719" s="127" t="str">
        <f t="shared" si="149"/>
        <v/>
      </c>
      <c r="P719" s="127" t="str">
        <f t="shared" si="150"/>
        <v/>
      </c>
      <c r="Q719" s="128" t="str">
        <f t="shared" si="151"/>
        <v/>
      </c>
      <c r="R719" s="129"/>
      <c r="S719" s="130"/>
      <c r="T719" s="131"/>
      <c r="U719" s="131"/>
      <c r="V719" s="132" t="str">
        <f t="shared" si="152"/>
        <v/>
      </c>
      <c r="W719" s="133" t="str">
        <f t="shared" si="153"/>
        <v/>
      </c>
      <c r="X719" s="130"/>
      <c r="Y719" s="131"/>
      <c r="Z719" s="131"/>
      <c r="AA719" s="132" t="str">
        <f t="shared" si="154"/>
        <v/>
      </c>
      <c r="AB719" s="133" t="str">
        <f t="shared" si="155"/>
        <v/>
      </c>
      <c r="AC719" s="134" t="str">
        <f t="shared" si="156"/>
        <v/>
      </c>
      <c r="AD719" s="135" t="str">
        <f t="shared" si="157"/>
        <v/>
      </c>
      <c r="AE719" s="136"/>
      <c r="AF719" s="137"/>
      <c r="AG719" s="137"/>
      <c r="AH719" s="138" t="str">
        <f t="shared" si="158"/>
        <v/>
      </c>
      <c r="AI719" s="133" t="str">
        <f t="shared" si="159"/>
        <v/>
      </c>
    </row>
    <row r="720" spans="1:35">
      <c r="A720" s="171">
        <f>IF('09월 조업일지'!A706="","",'09월 조업일지'!A706)</f>
        <v>46291</v>
      </c>
      <c r="B720" s="172" t="str">
        <f>'09월 조업일지'!E706</f>
        <v>B</v>
      </c>
      <c r="C720" s="172" t="str">
        <f>'09월 조업일지'!F706</f>
        <v>A</v>
      </c>
      <c r="D720" s="172">
        <f>'09월 화학성분'!C707</f>
        <v>85909</v>
      </c>
      <c r="E720" s="205" t="str">
        <f t="shared" si="160"/>
        <v/>
      </c>
      <c r="F720" s="121"/>
      <c r="G720" s="122"/>
      <c r="H720" s="123"/>
      <c r="I720" s="122"/>
      <c r="J720" s="123"/>
      <c r="K720" s="122"/>
      <c r="L720" s="124" t="str">
        <f t="shared" si="161"/>
        <v/>
      </c>
      <c r="M720" s="125" t="str">
        <f t="shared" si="161"/>
        <v/>
      </c>
      <c r="N720" s="126" t="str">
        <f t="shared" si="148"/>
        <v/>
      </c>
      <c r="O720" s="127" t="str">
        <f t="shared" si="149"/>
        <v/>
      </c>
      <c r="P720" s="127" t="str">
        <f t="shared" si="150"/>
        <v/>
      </c>
      <c r="Q720" s="128" t="str">
        <f t="shared" si="151"/>
        <v/>
      </c>
      <c r="R720" s="129"/>
      <c r="S720" s="130"/>
      <c r="T720" s="131"/>
      <c r="U720" s="131"/>
      <c r="V720" s="132" t="str">
        <f t="shared" si="152"/>
        <v/>
      </c>
      <c r="W720" s="133" t="str">
        <f t="shared" si="153"/>
        <v/>
      </c>
      <c r="X720" s="130"/>
      <c r="Y720" s="131"/>
      <c r="Z720" s="131"/>
      <c r="AA720" s="132" t="str">
        <f t="shared" si="154"/>
        <v/>
      </c>
      <c r="AB720" s="133" t="str">
        <f t="shared" si="155"/>
        <v/>
      </c>
      <c r="AC720" s="134" t="str">
        <f t="shared" si="156"/>
        <v/>
      </c>
      <c r="AD720" s="135" t="str">
        <f t="shared" si="157"/>
        <v/>
      </c>
      <c r="AE720" s="136"/>
      <c r="AF720" s="137"/>
      <c r="AG720" s="137"/>
      <c r="AH720" s="138" t="str">
        <f t="shared" si="158"/>
        <v/>
      </c>
      <c r="AI720" s="133" t="str">
        <f t="shared" si="159"/>
        <v/>
      </c>
    </row>
    <row r="721" spans="1:35">
      <c r="A721" s="171">
        <f>IF('09월 조업일지'!A707="","",'09월 조업일지'!A707)</f>
        <v>46291</v>
      </c>
      <c r="B721" s="172" t="str">
        <f>'09월 조업일지'!E707</f>
        <v>D</v>
      </c>
      <c r="C721" s="172" t="str">
        <f>'09월 조업일지'!F707</f>
        <v>B</v>
      </c>
      <c r="D721" s="172">
        <f>'09월 화학성분'!C708</f>
        <v>85910</v>
      </c>
      <c r="E721" s="205" t="str">
        <f t="shared" si="160"/>
        <v/>
      </c>
      <c r="F721" s="121"/>
      <c r="G721" s="122"/>
      <c r="H721" s="123"/>
      <c r="I721" s="122"/>
      <c r="J721" s="123"/>
      <c r="K721" s="122"/>
      <c r="L721" s="124" t="str">
        <f t="shared" si="161"/>
        <v/>
      </c>
      <c r="M721" s="125" t="str">
        <f t="shared" si="161"/>
        <v/>
      </c>
      <c r="N721" s="126" t="str">
        <f t="shared" si="148"/>
        <v/>
      </c>
      <c r="O721" s="127" t="str">
        <f t="shared" si="149"/>
        <v/>
      </c>
      <c r="P721" s="127" t="str">
        <f t="shared" si="150"/>
        <v/>
      </c>
      <c r="Q721" s="128" t="str">
        <f t="shared" si="151"/>
        <v/>
      </c>
      <c r="R721" s="129"/>
      <c r="S721" s="130"/>
      <c r="T721" s="131"/>
      <c r="U721" s="131"/>
      <c r="V721" s="132" t="str">
        <f t="shared" si="152"/>
        <v/>
      </c>
      <c r="W721" s="133" t="str">
        <f t="shared" si="153"/>
        <v/>
      </c>
      <c r="X721" s="130"/>
      <c r="Y721" s="131"/>
      <c r="Z721" s="131"/>
      <c r="AA721" s="132" t="str">
        <f t="shared" si="154"/>
        <v/>
      </c>
      <c r="AB721" s="133" t="str">
        <f t="shared" si="155"/>
        <v/>
      </c>
      <c r="AC721" s="134" t="str">
        <f t="shared" si="156"/>
        <v/>
      </c>
      <c r="AD721" s="135" t="str">
        <f t="shared" si="157"/>
        <v/>
      </c>
      <c r="AE721" s="136"/>
      <c r="AF721" s="137"/>
      <c r="AG721" s="137"/>
      <c r="AH721" s="138" t="str">
        <f t="shared" si="158"/>
        <v/>
      </c>
      <c r="AI721" s="133" t="str">
        <f t="shared" si="159"/>
        <v/>
      </c>
    </row>
    <row r="722" spans="1:35">
      <c r="A722" s="171">
        <f>IF('09월 조업일지'!A708="","",'09월 조업일지'!A708)</f>
        <v>46291</v>
      </c>
      <c r="B722" s="172" t="str">
        <f>'09월 조업일지'!E708</f>
        <v>D</v>
      </c>
      <c r="C722" s="172" t="str">
        <f>'09월 조업일지'!F708</f>
        <v>A</v>
      </c>
      <c r="D722" s="172">
        <f>'09월 화학성분'!C709</f>
        <v>85911</v>
      </c>
      <c r="E722" s="205" t="str">
        <f t="shared" si="160"/>
        <v/>
      </c>
      <c r="F722" s="121"/>
      <c r="G722" s="122"/>
      <c r="H722" s="123"/>
      <c r="I722" s="122"/>
      <c r="J722" s="123"/>
      <c r="K722" s="122"/>
      <c r="L722" s="124" t="str">
        <f t="shared" si="161"/>
        <v/>
      </c>
      <c r="M722" s="125" t="str">
        <f t="shared" si="161"/>
        <v/>
      </c>
      <c r="N722" s="126" t="str">
        <f t="shared" si="148"/>
        <v/>
      </c>
      <c r="O722" s="127" t="str">
        <f t="shared" si="149"/>
        <v/>
      </c>
      <c r="P722" s="127" t="str">
        <f t="shared" si="150"/>
        <v/>
      </c>
      <c r="Q722" s="128" t="str">
        <f t="shared" si="151"/>
        <v/>
      </c>
      <c r="R722" s="129"/>
      <c r="S722" s="130"/>
      <c r="T722" s="131"/>
      <c r="U722" s="131"/>
      <c r="V722" s="132" t="str">
        <f t="shared" si="152"/>
        <v/>
      </c>
      <c r="W722" s="133" t="str">
        <f t="shared" si="153"/>
        <v/>
      </c>
      <c r="X722" s="130"/>
      <c r="Y722" s="131"/>
      <c r="Z722" s="131"/>
      <c r="AA722" s="132" t="str">
        <f t="shared" si="154"/>
        <v/>
      </c>
      <c r="AB722" s="133" t="str">
        <f t="shared" si="155"/>
        <v/>
      </c>
      <c r="AC722" s="134" t="str">
        <f t="shared" si="156"/>
        <v/>
      </c>
      <c r="AD722" s="135" t="str">
        <f t="shared" si="157"/>
        <v/>
      </c>
      <c r="AE722" s="136"/>
      <c r="AF722" s="137"/>
      <c r="AG722" s="137"/>
      <c r="AH722" s="138" t="str">
        <f t="shared" si="158"/>
        <v/>
      </c>
      <c r="AI722" s="133" t="str">
        <f t="shared" si="159"/>
        <v/>
      </c>
    </row>
    <row r="723" spans="1:35">
      <c r="A723" s="171">
        <f>IF('09월 조업일지'!A709="","",'09월 조업일지'!A709)</f>
        <v>46291</v>
      </c>
      <c r="B723" s="172" t="str">
        <f>'09월 조업일지'!E709</f>
        <v>D</v>
      </c>
      <c r="C723" s="172" t="str">
        <f>'09월 조업일지'!F709</f>
        <v>B</v>
      </c>
      <c r="D723" s="172">
        <f>'09월 화학성분'!C710</f>
        <v>85912</v>
      </c>
      <c r="E723" s="205" t="str">
        <f t="shared" si="160"/>
        <v/>
      </c>
      <c r="F723" s="121"/>
      <c r="G723" s="122"/>
      <c r="H723" s="123"/>
      <c r="I723" s="122"/>
      <c r="J723" s="123"/>
      <c r="K723" s="122"/>
      <c r="L723" s="124" t="str">
        <f t="shared" si="161"/>
        <v/>
      </c>
      <c r="M723" s="125" t="str">
        <f t="shared" si="161"/>
        <v/>
      </c>
      <c r="N723" s="126" t="str">
        <f t="shared" si="148"/>
        <v/>
      </c>
      <c r="O723" s="127" t="str">
        <f t="shared" si="149"/>
        <v/>
      </c>
      <c r="P723" s="127" t="str">
        <f t="shared" si="150"/>
        <v/>
      </c>
      <c r="Q723" s="128" t="str">
        <f t="shared" si="151"/>
        <v/>
      </c>
      <c r="R723" s="129"/>
      <c r="S723" s="130"/>
      <c r="T723" s="131"/>
      <c r="U723" s="131"/>
      <c r="V723" s="132" t="str">
        <f t="shared" si="152"/>
        <v/>
      </c>
      <c r="W723" s="133" t="str">
        <f t="shared" si="153"/>
        <v/>
      </c>
      <c r="X723" s="130"/>
      <c r="Y723" s="131"/>
      <c r="Z723" s="131"/>
      <c r="AA723" s="132" t="str">
        <f t="shared" si="154"/>
        <v/>
      </c>
      <c r="AB723" s="133" t="str">
        <f t="shared" si="155"/>
        <v/>
      </c>
      <c r="AC723" s="134" t="str">
        <f t="shared" si="156"/>
        <v/>
      </c>
      <c r="AD723" s="135" t="str">
        <f t="shared" si="157"/>
        <v/>
      </c>
      <c r="AE723" s="136"/>
      <c r="AF723" s="137"/>
      <c r="AG723" s="137"/>
      <c r="AH723" s="138" t="str">
        <f t="shared" si="158"/>
        <v/>
      </c>
      <c r="AI723" s="133" t="str">
        <f t="shared" si="159"/>
        <v/>
      </c>
    </row>
    <row r="724" spans="1:35">
      <c r="A724" s="171">
        <f>IF('09월 조업일지'!A710="","",'09월 조업일지'!A710)</f>
        <v>46291</v>
      </c>
      <c r="B724" s="172" t="str">
        <f>'09월 조업일지'!E710</f>
        <v>D</v>
      </c>
      <c r="C724" s="172" t="str">
        <f>'09월 조업일지'!F710</f>
        <v>A</v>
      </c>
      <c r="D724" s="172">
        <f>'09월 화학성분'!C711</f>
        <v>85913</v>
      </c>
      <c r="E724" s="205" t="str">
        <f t="shared" si="160"/>
        <v/>
      </c>
      <c r="F724" s="121"/>
      <c r="G724" s="122"/>
      <c r="H724" s="123"/>
      <c r="I724" s="122"/>
      <c r="J724" s="123"/>
      <c r="K724" s="122"/>
      <c r="L724" s="124" t="str">
        <f t="shared" si="161"/>
        <v/>
      </c>
      <c r="M724" s="125" t="str">
        <f t="shared" si="161"/>
        <v/>
      </c>
      <c r="N724" s="126" t="str">
        <f t="shared" si="148"/>
        <v/>
      </c>
      <c r="O724" s="127" t="str">
        <f t="shared" si="149"/>
        <v/>
      </c>
      <c r="P724" s="127" t="str">
        <f t="shared" si="150"/>
        <v/>
      </c>
      <c r="Q724" s="128" t="str">
        <f t="shared" si="151"/>
        <v/>
      </c>
      <c r="R724" s="129"/>
      <c r="S724" s="130"/>
      <c r="T724" s="131"/>
      <c r="U724" s="131"/>
      <c r="V724" s="132" t="str">
        <f t="shared" si="152"/>
        <v/>
      </c>
      <c r="W724" s="133" t="str">
        <f t="shared" si="153"/>
        <v/>
      </c>
      <c r="X724" s="130"/>
      <c r="Y724" s="131"/>
      <c r="Z724" s="131"/>
      <c r="AA724" s="132" t="str">
        <f t="shared" si="154"/>
        <v/>
      </c>
      <c r="AB724" s="133" t="str">
        <f t="shared" si="155"/>
        <v/>
      </c>
      <c r="AC724" s="134" t="str">
        <f t="shared" si="156"/>
        <v/>
      </c>
      <c r="AD724" s="135" t="str">
        <f t="shared" si="157"/>
        <v/>
      </c>
      <c r="AE724" s="136"/>
      <c r="AF724" s="137"/>
      <c r="AG724" s="137"/>
      <c r="AH724" s="138" t="str">
        <f t="shared" si="158"/>
        <v/>
      </c>
      <c r="AI724" s="133" t="str">
        <f t="shared" si="159"/>
        <v/>
      </c>
    </row>
    <row r="725" spans="1:35">
      <c r="A725" s="171">
        <f>IF('09월 조업일지'!A711="","",'09월 조업일지'!A711)</f>
        <v>46291</v>
      </c>
      <c r="B725" s="172" t="str">
        <f>'09월 조업일지'!E711</f>
        <v>D</v>
      </c>
      <c r="C725" s="172" t="str">
        <f>'09월 조업일지'!F711</f>
        <v>B</v>
      </c>
      <c r="D725" s="172">
        <f>'09월 화학성분'!C712</f>
        <v>85914</v>
      </c>
      <c r="E725" s="205" t="str">
        <f t="shared" si="160"/>
        <v/>
      </c>
      <c r="F725" s="121"/>
      <c r="G725" s="122"/>
      <c r="H725" s="123"/>
      <c r="I725" s="122"/>
      <c r="J725" s="123"/>
      <c r="K725" s="122"/>
      <c r="L725" s="124" t="str">
        <f t="shared" si="161"/>
        <v/>
      </c>
      <c r="M725" s="125" t="str">
        <f t="shared" si="161"/>
        <v/>
      </c>
      <c r="N725" s="126" t="str">
        <f t="shared" si="148"/>
        <v/>
      </c>
      <c r="O725" s="127" t="str">
        <f t="shared" si="149"/>
        <v/>
      </c>
      <c r="P725" s="127" t="str">
        <f t="shared" si="150"/>
        <v/>
      </c>
      <c r="Q725" s="128" t="str">
        <f t="shared" si="151"/>
        <v/>
      </c>
      <c r="R725" s="129"/>
      <c r="S725" s="130"/>
      <c r="T725" s="131"/>
      <c r="U725" s="131"/>
      <c r="V725" s="132" t="str">
        <f t="shared" si="152"/>
        <v/>
      </c>
      <c r="W725" s="133" t="str">
        <f t="shared" si="153"/>
        <v/>
      </c>
      <c r="X725" s="130"/>
      <c r="Y725" s="131"/>
      <c r="Z725" s="131"/>
      <c r="AA725" s="132" t="str">
        <f t="shared" si="154"/>
        <v/>
      </c>
      <c r="AB725" s="133" t="str">
        <f t="shared" si="155"/>
        <v/>
      </c>
      <c r="AC725" s="134" t="str">
        <f t="shared" si="156"/>
        <v/>
      </c>
      <c r="AD725" s="135" t="str">
        <f t="shared" si="157"/>
        <v/>
      </c>
      <c r="AE725" s="136"/>
      <c r="AF725" s="137"/>
      <c r="AG725" s="137"/>
      <c r="AH725" s="138" t="str">
        <f t="shared" si="158"/>
        <v/>
      </c>
      <c r="AI725" s="133" t="str">
        <f t="shared" si="159"/>
        <v/>
      </c>
    </row>
    <row r="726" spans="1:35">
      <c r="A726" s="171">
        <f>IF('09월 조업일지'!A712="","",'09월 조업일지'!A712)</f>
        <v>46291</v>
      </c>
      <c r="B726" s="172" t="str">
        <f>'09월 조업일지'!E712</f>
        <v>D</v>
      </c>
      <c r="C726" s="172" t="str">
        <f>'09월 조업일지'!F712</f>
        <v>A</v>
      </c>
      <c r="D726" s="172">
        <f>'09월 화학성분'!C713</f>
        <v>85915</v>
      </c>
      <c r="E726" s="205" t="str">
        <f t="shared" si="160"/>
        <v/>
      </c>
      <c r="F726" s="121"/>
      <c r="G726" s="122"/>
      <c r="H726" s="123"/>
      <c r="I726" s="122"/>
      <c r="J726" s="123"/>
      <c r="K726" s="122"/>
      <c r="L726" s="124" t="str">
        <f t="shared" si="161"/>
        <v/>
      </c>
      <c r="M726" s="125" t="str">
        <f t="shared" si="161"/>
        <v/>
      </c>
      <c r="N726" s="126" t="str">
        <f t="shared" si="148"/>
        <v/>
      </c>
      <c r="O726" s="127" t="str">
        <f t="shared" si="149"/>
        <v/>
      </c>
      <c r="P726" s="127" t="str">
        <f t="shared" si="150"/>
        <v/>
      </c>
      <c r="Q726" s="128" t="str">
        <f t="shared" si="151"/>
        <v/>
      </c>
      <c r="R726" s="129"/>
      <c r="S726" s="130"/>
      <c r="T726" s="131"/>
      <c r="U726" s="131"/>
      <c r="V726" s="132" t="str">
        <f t="shared" si="152"/>
        <v/>
      </c>
      <c r="W726" s="133" t="str">
        <f t="shared" si="153"/>
        <v/>
      </c>
      <c r="X726" s="130"/>
      <c r="Y726" s="131"/>
      <c r="Z726" s="131"/>
      <c r="AA726" s="132" t="str">
        <f t="shared" si="154"/>
        <v/>
      </c>
      <c r="AB726" s="133" t="str">
        <f t="shared" si="155"/>
        <v/>
      </c>
      <c r="AC726" s="134" t="str">
        <f t="shared" si="156"/>
        <v/>
      </c>
      <c r="AD726" s="135" t="str">
        <f t="shared" si="157"/>
        <v/>
      </c>
      <c r="AE726" s="136"/>
      <c r="AF726" s="137"/>
      <c r="AG726" s="137"/>
      <c r="AH726" s="138" t="str">
        <f t="shared" si="158"/>
        <v/>
      </c>
      <c r="AI726" s="133" t="str">
        <f t="shared" si="159"/>
        <v/>
      </c>
    </row>
    <row r="727" spans="1:35">
      <c r="A727" s="171">
        <f>IF('09월 조업일지'!A713="","",'09월 조업일지'!A713)</f>
        <v>46291</v>
      </c>
      <c r="B727" s="172" t="str">
        <f>'09월 조업일지'!E713</f>
        <v>D</v>
      </c>
      <c r="C727" s="172" t="str">
        <f>'09월 조업일지'!F713</f>
        <v>B</v>
      </c>
      <c r="D727" s="172">
        <f>'09월 화학성분'!C714</f>
        <v>85916</v>
      </c>
      <c r="E727" s="205" t="str">
        <f t="shared" si="160"/>
        <v/>
      </c>
      <c r="F727" s="121"/>
      <c r="G727" s="122"/>
      <c r="H727" s="123"/>
      <c r="I727" s="122"/>
      <c r="J727" s="123"/>
      <c r="K727" s="122"/>
      <c r="L727" s="124" t="str">
        <f t="shared" si="161"/>
        <v/>
      </c>
      <c r="M727" s="125" t="str">
        <f t="shared" si="161"/>
        <v/>
      </c>
      <c r="N727" s="126" t="str">
        <f t="shared" si="148"/>
        <v/>
      </c>
      <c r="O727" s="127" t="str">
        <f t="shared" si="149"/>
        <v/>
      </c>
      <c r="P727" s="127" t="str">
        <f t="shared" si="150"/>
        <v/>
      </c>
      <c r="Q727" s="128" t="str">
        <f t="shared" si="151"/>
        <v/>
      </c>
      <c r="R727" s="129"/>
      <c r="S727" s="130"/>
      <c r="T727" s="131"/>
      <c r="U727" s="131"/>
      <c r="V727" s="132" t="str">
        <f t="shared" si="152"/>
        <v/>
      </c>
      <c r="W727" s="133" t="str">
        <f t="shared" si="153"/>
        <v/>
      </c>
      <c r="X727" s="130"/>
      <c r="Y727" s="131"/>
      <c r="Z727" s="131"/>
      <c r="AA727" s="132" t="str">
        <f t="shared" si="154"/>
        <v/>
      </c>
      <c r="AB727" s="133" t="str">
        <f t="shared" si="155"/>
        <v/>
      </c>
      <c r="AC727" s="134" t="str">
        <f t="shared" si="156"/>
        <v/>
      </c>
      <c r="AD727" s="135" t="str">
        <f t="shared" si="157"/>
        <v/>
      </c>
      <c r="AE727" s="136"/>
      <c r="AF727" s="137"/>
      <c r="AG727" s="137"/>
      <c r="AH727" s="138" t="str">
        <f t="shared" si="158"/>
        <v/>
      </c>
      <c r="AI727" s="133" t="str">
        <f t="shared" si="159"/>
        <v/>
      </c>
    </row>
    <row r="728" spans="1:35">
      <c r="A728" s="171">
        <f>IF('09월 조업일지'!A714="","",'09월 조업일지'!A714)</f>
        <v>46291</v>
      </c>
      <c r="B728" s="172" t="str">
        <f>'09월 조업일지'!E714</f>
        <v>D</v>
      </c>
      <c r="C728" s="172" t="str">
        <f>'09월 조업일지'!F714</f>
        <v>A</v>
      </c>
      <c r="D728" s="172">
        <f>'09월 화학성분'!C715</f>
        <v>85917</v>
      </c>
      <c r="E728" s="205" t="str">
        <f t="shared" si="160"/>
        <v/>
      </c>
      <c r="F728" s="121"/>
      <c r="G728" s="122"/>
      <c r="H728" s="123"/>
      <c r="I728" s="122"/>
      <c r="J728" s="123"/>
      <c r="K728" s="122"/>
      <c r="L728" s="124" t="str">
        <f t="shared" si="161"/>
        <v/>
      </c>
      <c r="M728" s="125" t="str">
        <f t="shared" si="161"/>
        <v/>
      </c>
      <c r="N728" s="126" t="str">
        <f t="shared" ref="N728:N791" si="162">IF(ISBLANK(G728),"",G728/R728)</f>
        <v/>
      </c>
      <c r="O728" s="127" t="str">
        <f t="shared" ref="O728:O791" si="163">IF(ISBLANK(I728),"",+I728/R728)</f>
        <v/>
      </c>
      <c r="P728" s="127" t="str">
        <f t="shared" ref="P728:P791" si="164">IF(ISBLANK(K728),"",K728/R728)</f>
        <v/>
      </c>
      <c r="Q728" s="128" t="str">
        <f t="shared" ref="Q728:Q791" si="165">IF(ISBLANK(K728),"",SUM(N728:P728))</f>
        <v/>
      </c>
      <c r="R728" s="129"/>
      <c r="S728" s="130"/>
      <c r="T728" s="131"/>
      <c r="U728" s="131"/>
      <c r="V728" s="132" t="str">
        <f t="shared" ref="V728:V791" si="166">IF(SUM(S728:U728)=0,"",SUM(S728:U728))</f>
        <v/>
      </c>
      <c r="W728" s="133" t="str">
        <f t="shared" ref="W728:W791" si="167">IF(V728="","",V728/R728)</f>
        <v/>
      </c>
      <c r="X728" s="130"/>
      <c r="Y728" s="131"/>
      <c r="Z728" s="131"/>
      <c r="AA728" s="132" t="str">
        <f t="shared" ref="AA728:AA791" si="168">IF(SUM(X728:Z728)=0,"",SUM(X728:Z728))</f>
        <v/>
      </c>
      <c r="AB728" s="133" t="str">
        <f t="shared" ref="AB728:AB791" si="169">IF(AA728="","",AA728/R728)</f>
        <v/>
      </c>
      <c r="AC728" s="134" t="str">
        <f t="shared" ref="AC728:AC791" si="170">IF(SUM(V728,AA728)=0,"",SUM(V728,AA728))</f>
        <v/>
      </c>
      <c r="AD728" s="135" t="str">
        <f t="shared" ref="AD728:AD791" si="171">IF(AC728="","",AC728/R728)</f>
        <v/>
      </c>
      <c r="AE728" s="136"/>
      <c r="AF728" s="137"/>
      <c r="AG728" s="137"/>
      <c r="AH728" s="138" t="str">
        <f t="shared" ref="AH728:AH791" si="172">IF(SUM(AE728:AG728)=0,"",SUM(AE728:AG728))</f>
        <v/>
      </c>
      <c r="AI728" s="133" t="str">
        <f t="shared" ref="AI728:AI791" si="173">IF(AH728="","",AH728/R728)</f>
        <v/>
      </c>
    </row>
    <row r="729" spans="1:35">
      <c r="A729" s="171">
        <f>IF('09월 조업일지'!A715="","",'09월 조업일지'!A715)</f>
        <v>46291</v>
      </c>
      <c r="B729" s="172" t="str">
        <f>'09월 조업일지'!E715</f>
        <v>D</v>
      </c>
      <c r="C729" s="172" t="str">
        <f>'09월 조업일지'!F715</f>
        <v>B</v>
      </c>
      <c r="D729" s="172">
        <f>'09월 화학성분'!C716</f>
        <v>85918</v>
      </c>
      <c r="E729" s="205" t="str">
        <f t="shared" ref="E729:E792" si="174">IF(F729="","",E728)</f>
        <v/>
      </c>
      <c r="F729" s="121"/>
      <c r="G729" s="122"/>
      <c r="H729" s="123"/>
      <c r="I729" s="122"/>
      <c r="J729" s="123"/>
      <c r="K729" s="122"/>
      <c r="L729" s="124" t="str">
        <f t="shared" si="161"/>
        <v/>
      </c>
      <c r="M729" s="125" t="str">
        <f t="shared" si="161"/>
        <v/>
      </c>
      <c r="N729" s="126" t="str">
        <f t="shared" si="162"/>
        <v/>
      </c>
      <c r="O729" s="127" t="str">
        <f t="shared" si="163"/>
        <v/>
      </c>
      <c r="P729" s="127" t="str">
        <f t="shared" si="164"/>
        <v/>
      </c>
      <c r="Q729" s="128" t="str">
        <f t="shared" si="165"/>
        <v/>
      </c>
      <c r="R729" s="129"/>
      <c r="S729" s="130"/>
      <c r="T729" s="131"/>
      <c r="U729" s="131"/>
      <c r="V729" s="132" t="str">
        <f t="shared" si="166"/>
        <v/>
      </c>
      <c r="W729" s="133" t="str">
        <f t="shared" si="167"/>
        <v/>
      </c>
      <c r="X729" s="130"/>
      <c r="Y729" s="131"/>
      <c r="Z729" s="131"/>
      <c r="AA729" s="132" t="str">
        <f t="shared" si="168"/>
        <v/>
      </c>
      <c r="AB729" s="133" t="str">
        <f t="shared" si="169"/>
        <v/>
      </c>
      <c r="AC729" s="134" t="str">
        <f t="shared" si="170"/>
        <v/>
      </c>
      <c r="AD729" s="135" t="str">
        <f t="shared" si="171"/>
        <v/>
      </c>
      <c r="AE729" s="136"/>
      <c r="AF729" s="137"/>
      <c r="AG729" s="137"/>
      <c r="AH729" s="138" t="str">
        <f t="shared" si="172"/>
        <v/>
      </c>
      <c r="AI729" s="133" t="str">
        <f t="shared" si="173"/>
        <v/>
      </c>
    </row>
    <row r="730" spans="1:35">
      <c r="A730" s="171">
        <f>IF('09월 조업일지'!A716="","",'09월 조업일지'!A716)</f>
        <v>46291</v>
      </c>
      <c r="B730" s="172" t="str">
        <f>'09월 조업일지'!E716</f>
        <v>D</v>
      </c>
      <c r="C730" s="172" t="str">
        <f>'09월 조업일지'!F716</f>
        <v>A</v>
      </c>
      <c r="D730" s="172">
        <f>'09월 화학성분'!C717</f>
        <v>85919</v>
      </c>
      <c r="E730" s="205" t="str">
        <f t="shared" si="174"/>
        <v/>
      </c>
      <c r="F730" s="121"/>
      <c r="G730" s="122"/>
      <c r="H730" s="123"/>
      <c r="I730" s="122"/>
      <c r="J730" s="123"/>
      <c r="K730" s="122"/>
      <c r="L730" s="124" t="str">
        <f t="shared" si="161"/>
        <v/>
      </c>
      <c r="M730" s="125" t="str">
        <f t="shared" si="161"/>
        <v/>
      </c>
      <c r="N730" s="126" t="str">
        <f t="shared" si="162"/>
        <v/>
      </c>
      <c r="O730" s="127" t="str">
        <f t="shared" si="163"/>
        <v/>
      </c>
      <c r="P730" s="127" t="str">
        <f t="shared" si="164"/>
        <v/>
      </c>
      <c r="Q730" s="128" t="str">
        <f t="shared" si="165"/>
        <v/>
      </c>
      <c r="R730" s="129"/>
      <c r="S730" s="130"/>
      <c r="T730" s="131"/>
      <c r="U730" s="131"/>
      <c r="V730" s="132" t="str">
        <f t="shared" si="166"/>
        <v/>
      </c>
      <c r="W730" s="133" t="str">
        <f t="shared" si="167"/>
        <v/>
      </c>
      <c r="X730" s="130"/>
      <c r="Y730" s="131"/>
      <c r="Z730" s="131"/>
      <c r="AA730" s="132" t="str">
        <f t="shared" si="168"/>
        <v/>
      </c>
      <c r="AB730" s="133" t="str">
        <f t="shared" si="169"/>
        <v/>
      </c>
      <c r="AC730" s="134" t="str">
        <f t="shared" si="170"/>
        <v/>
      </c>
      <c r="AD730" s="135" t="str">
        <f t="shared" si="171"/>
        <v/>
      </c>
      <c r="AE730" s="136"/>
      <c r="AF730" s="137"/>
      <c r="AG730" s="137"/>
      <c r="AH730" s="138" t="str">
        <f t="shared" si="172"/>
        <v/>
      </c>
      <c r="AI730" s="133" t="str">
        <f t="shared" si="173"/>
        <v/>
      </c>
    </row>
    <row r="731" spans="1:35">
      <c r="A731" s="171">
        <f>IF('09월 조업일지'!A717="","",'09월 조업일지'!A717)</f>
        <v>46291</v>
      </c>
      <c r="B731" s="172" t="str">
        <f>'09월 조업일지'!E717</f>
        <v>A</v>
      </c>
      <c r="C731" s="172" t="str">
        <f>'09월 조업일지'!F717</f>
        <v>B</v>
      </c>
      <c r="D731" s="172">
        <f>'09월 화학성분'!C718</f>
        <v>85920</v>
      </c>
      <c r="E731" s="205" t="str">
        <f t="shared" si="174"/>
        <v/>
      </c>
      <c r="F731" s="121"/>
      <c r="G731" s="122"/>
      <c r="H731" s="123"/>
      <c r="I731" s="122"/>
      <c r="J731" s="123"/>
      <c r="K731" s="122"/>
      <c r="L731" s="124" t="str">
        <f t="shared" si="161"/>
        <v/>
      </c>
      <c r="M731" s="125" t="str">
        <f t="shared" si="161"/>
        <v/>
      </c>
      <c r="N731" s="126" t="str">
        <f t="shared" si="162"/>
        <v/>
      </c>
      <c r="O731" s="127" t="str">
        <f t="shared" si="163"/>
        <v/>
      </c>
      <c r="P731" s="127" t="str">
        <f t="shared" si="164"/>
        <v/>
      </c>
      <c r="Q731" s="128" t="str">
        <f t="shared" si="165"/>
        <v/>
      </c>
      <c r="R731" s="129"/>
      <c r="S731" s="130"/>
      <c r="T731" s="131"/>
      <c r="U731" s="131"/>
      <c r="V731" s="132" t="str">
        <f t="shared" si="166"/>
        <v/>
      </c>
      <c r="W731" s="133" t="str">
        <f t="shared" si="167"/>
        <v/>
      </c>
      <c r="X731" s="130"/>
      <c r="Y731" s="131"/>
      <c r="Z731" s="131"/>
      <c r="AA731" s="132" t="str">
        <f t="shared" si="168"/>
        <v/>
      </c>
      <c r="AB731" s="133" t="str">
        <f t="shared" si="169"/>
        <v/>
      </c>
      <c r="AC731" s="134" t="str">
        <f t="shared" si="170"/>
        <v/>
      </c>
      <c r="AD731" s="135" t="str">
        <f t="shared" si="171"/>
        <v/>
      </c>
      <c r="AE731" s="136"/>
      <c r="AF731" s="137"/>
      <c r="AG731" s="137"/>
      <c r="AH731" s="138" t="str">
        <f t="shared" si="172"/>
        <v/>
      </c>
      <c r="AI731" s="133" t="str">
        <f t="shared" si="173"/>
        <v/>
      </c>
    </row>
    <row r="732" spans="1:35">
      <c r="A732" s="171">
        <f>IF('09월 조업일지'!A718="","",'09월 조업일지'!A718)</f>
        <v>46291</v>
      </c>
      <c r="B732" s="172" t="str">
        <f>'09월 조업일지'!E718</f>
        <v>A</v>
      </c>
      <c r="C732" s="172" t="str">
        <f>'09월 조업일지'!F718</f>
        <v>A</v>
      </c>
      <c r="D732" s="172">
        <f>'09월 화학성분'!C719</f>
        <v>85921</v>
      </c>
      <c r="E732" s="205" t="str">
        <f t="shared" si="174"/>
        <v/>
      </c>
      <c r="F732" s="121"/>
      <c r="G732" s="122"/>
      <c r="H732" s="123"/>
      <c r="I732" s="122"/>
      <c r="J732" s="123"/>
      <c r="K732" s="122"/>
      <c r="L732" s="124" t="str">
        <f t="shared" si="161"/>
        <v/>
      </c>
      <c r="M732" s="125" t="str">
        <f t="shared" si="161"/>
        <v/>
      </c>
      <c r="N732" s="126" t="str">
        <f t="shared" si="162"/>
        <v/>
      </c>
      <c r="O732" s="127" t="str">
        <f t="shared" si="163"/>
        <v/>
      </c>
      <c r="P732" s="127" t="str">
        <f t="shared" si="164"/>
        <v/>
      </c>
      <c r="Q732" s="128" t="str">
        <f t="shared" si="165"/>
        <v/>
      </c>
      <c r="R732" s="129"/>
      <c r="S732" s="130"/>
      <c r="T732" s="131"/>
      <c r="U732" s="131"/>
      <c r="V732" s="132" t="str">
        <f t="shared" si="166"/>
        <v/>
      </c>
      <c r="W732" s="133" t="str">
        <f t="shared" si="167"/>
        <v/>
      </c>
      <c r="X732" s="130"/>
      <c r="Y732" s="131"/>
      <c r="Z732" s="131"/>
      <c r="AA732" s="132" t="str">
        <f t="shared" si="168"/>
        <v/>
      </c>
      <c r="AB732" s="133" t="str">
        <f t="shared" si="169"/>
        <v/>
      </c>
      <c r="AC732" s="134" t="str">
        <f t="shared" si="170"/>
        <v/>
      </c>
      <c r="AD732" s="135" t="str">
        <f t="shared" si="171"/>
        <v/>
      </c>
      <c r="AE732" s="136"/>
      <c r="AF732" s="137"/>
      <c r="AG732" s="137"/>
      <c r="AH732" s="138" t="str">
        <f t="shared" si="172"/>
        <v/>
      </c>
      <c r="AI732" s="133" t="str">
        <f t="shared" si="173"/>
        <v/>
      </c>
    </row>
    <row r="733" spans="1:35">
      <c r="A733" s="171">
        <f>IF('09월 조업일지'!A719="","",'09월 조업일지'!A719)</f>
        <v>46291</v>
      </c>
      <c r="B733" s="172" t="str">
        <f>'09월 조업일지'!E719</f>
        <v>A</v>
      </c>
      <c r="C733" s="172" t="str">
        <f>'09월 조업일지'!F719</f>
        <v>B</v>
      </c>
      <c r="D733" s="172">
        <f>'09월 화학성분'!C720</f>
        <v>85922</v>
      </c>
      <c r="E733" s="205" t="str">
        <f t="shared" si="174"/>
        <v/>
      </c>
      <c r="F733" s="121"/>
      <c r="G733" s="122"/>
      <c r="H733" s="123"/>
      <c r="I733" s="122"/>
      <c r="J733" s="123"/>
      <c r="K733" s="122"/>
      <c r="L733" s="124" t="str">
        <f t="shared" si="161"/>
        <v/>
      </c>
      <c r="M733" s="125" t="str">
        <f t="shared" si="161"/>
        <v/>
      </c>
      <c r="N733" s="126" t="str">
        <f t="shared" si="162"/>
        <v/>
      </c>
      <c r="O733" s="127" t="str">
        <f t="shared" si="163"/>
        <v/>
      </c>
      <c r="P733" s="127" t="str">
        <f t="shared" si="164"/>
        <v/>
      </c>
      <c r="Q733" s="128" t="str">
        <f t="shared" si="165"/>
        <v/>
      </c>
      <c r="R733" s="129"/>
      <c r="S733" s="130"/>
      <c r="T733" s="131"/>
      <c r="U733" s="131"/>
      <c r="V733" s="132" t="str">
        <f t="shared" si="166"/>
        <v/>
      </c>
      <c r="W733" s="133" t="str">
        <f t="shared" si="167"/>
        <v/>
      </c>
      <c r="X733" s="130"/>
      <c r="Y733" s="131"/>
      <c r="Z733" s="131"/>
      <c r="AA733" s="132" t="str">
        <f t="shared" si="168"/>
        <v/>
      </c>
      <c r="AB733" s="133" t="str">
        <f t="shared" si="169"/>
        <v/>
      </c>
      <c r="AC733" s="134" t="str">
        <f t="shared" si="170"/>
        <v/>
      </c>
      <c r="AD733" s="135" t="str">
        <f t="shared" si="171"/>
        <v/>
      </c>
      <c r="AE733" s="136"/>
      <c r="AF733" s="137"/>
      <c r="AG733" s="137"/>
      <c r="AH733" s="138" t="str">
        <f t="shared" si="172"/>
        <v/>
      </c>
      <c r="AI733" s="133" t="str">
        <f t="shared" si="173"/>
        <v/>
      </c>
    </row>
    <row r="734" spans="1:35">
      <c r="A734" s="171">
        <f>IF('09월 조업일지'!A720="","",'09월 조업일지'!A720)</f>
        <v>46291</v>
      </c>
      <c r="B734" s="172" t="str">
        <f>'09월 조업일지'!E720</f>
        <v>A</v>
      </c>
      <c r="C734" s="172" t="str">
        <f>'09월 조업일지'!F720</f>
        <v>A</v>
      </c>
      <c r="D734" s="172">
        <f>'09월 화학성분'!C721</f>
        <v>85923</v>
      </c>
      <c r="E734" s="205" t="str">
        <f t="shared" si="174"/>
        <v/>
      </c>
      <c r="F734" s="121"/>
      <c r="G734" s="122"/>
      <c r="H734" s="123"/>
      <c r="I734" s="122"/>
      <c r="J734" s="123"/>
      <c r="K734" s="122"/>
      <c r="L734" s="124" t="str">
        <f t="shared" si="161"/>
        <v/>
      </c>
      <c r="M734" s="125" t="str">
        <f t="shared" si="161"/>
        <v/>
      </c>
      <c r="N734" s="126" t="str">
        <f t="shared" si="162"/>
        <v/>
      </c>
      <c r="O734" s="127" t="str">
        <f t="shared" si="163"/>
        <v/>
      </c>
      <c r="P734" s="127" t="str">
        <f t="shared" si="164"/>
        <v/>
      </c>
      <c r="Q734" s="128" t="str">
        <f t="shared" si="165"/>
        <v/>
      </c>
      <c r="R734" s="129"/>
      <c r="S734" s="130"/>
      <c r="T734" s="131"/>
      <c r="U734" s="131"/>
      <c r="V734" s="132" t="str">
        <f t="shared" si="166"/>
        <v/>
      </c>
      <c r="W734" s="133" t="str">
        <f t="shared" si="167"/>
        <v/>
      </c>
      <c r="X734" s="130"/>
      <c r="Y734" s="131"/>
      <c r="Z734" s="131"/>
      <c r="AA734" s="132" t="str">
        <f t="shared" si="168"/>
        <v/>
      </c>
      <c r="AB734" s="133" t="str">
        <f t="shared" si="169"/>
        <v/>
      </c>
      <c r="AC734" s="134" t="str">
        <f t="shared" si="170"/>
        <v/>
      </c>
      <c r="AD734" s="135" t="str">
        <f t="shared" si="171"/>
        <v/>
      </c>
      <c r="AE734" s="136"/>
      <c r="AF734" s="137"/>
      <c r="AG734" s="137"/>
      <c r="AH734" s="138" t="str">
        <f t="shared" si="172"/>
        <v/>
      </c>
      <c r="AI734" s="133" t="str">
        <f t="shared" si="173"/>
        <v/>
      </c>
    </row>
    <row r="735" spans="1:35">
      <c r="A735" s="171">
        <f>IF('09월 조업일지'!A721="","",'09월 조업일지'!A721)</f>
        <v>46291</v>
      </c>
      <c r="B735" s="172" t="str">
        <f>'09월 조업일지'!E721</f>
        <v>A</v>
      </c>
      <c r="C735" s="172" t="str">
        <f>'09월 조업일지'!F721</f>
        <v>B</v>
      </c>
      <c r="D735" s="172">
        <f>'09월 화학성분'!C722</f>
        <v>85924</v>
      </c>
      <c r="E735" s="205" t="str">
        <f t="shared" si="174"/>
        <v/>
      </c>
      <c r="F735" s="121"/>
      <c r="G735" s="122"/>
      <c r="H735" s="123"/>
      <c r="I735" s="122"/>
      <c r="J735" s="123"/>
      <c r="K735" s="122"/>
      <c r="L735" s="124" t="str">
        <f t="shared" si="161"/>
        <v/>
      </c>
      <c r="M735" s="125" t="str">
        <f t="shared" si="161"/>
        <v/>
      </c>
      <c r="N735" s="126" t="str">
        <f t="shared" si="162"/>
        <v/>
      </c>
      <c r="O735" s="127" t="str">
        <f t="shared" si="163"/>
        <v/>
      </c>
      <c r="P735" s="127" t="str">
        <f t="shared" si="164"/>
        <v/>
      </c>
      <c r="Q735" s="128" t="str">
        <f t="shared" si="165"/>
        <v/>
      </c>
      <c r="R735" s="129"/>
      <c r="S735" s="130"/>
      <c r="T735" s="131"/>
      <c r="U735" s="131"/>
      <c r="V735" s="132" t="str">
        <f t="shared" si="166"/>
        <v/>
      </c>
      <c r="W735" s="133" t="str">
        <f t="shared" si="167"/>
        <v/>
      </c>
      <c r="X735" s="130"/>
      <c r="Y735" s="131"/>
      <c r="Z735" s="131"/>
      <c r="AA735" s="132" t="str">
        <f t="shared" si="168"/>
        <v/>
      </c>
      <c r="AB735" s="133" t="str">
        <f t="shared" si="169"/>
        <v/>
      </c>
      <c r="AC735" s="134" t="str">
        <f t="shared" si="170"/>
        <v/>
      </c>
      <c r="AD735" s="135" t="str">
        <f t="shared" si="171"/>
        <v/>
      </c>
      <c r="AE735" s="136"/>
      <c r="AF735" s="137"/>
      <c r="AG735" s="137"/>
      <c r="AH735" s="138" t="str">
        <f t="shared" si="172"/>
        <v/>
      </c>
      <c r="AI735" s="133" t="str">
        <f t="shared" si="173"/>
        <v/>
      </c>
    </row>
    <row r="736" spans="1:35">
      <c r="A736" s="171">
        <f>IF('09월 조업일지'!A722="","",'09월 조업일지'!A722)</f>
        <v>46291</v>
      </c>
      <c r="B736" s="172" t="str">
        <f>'09월 조업일지'!E722</f>
        <v>A</v>
      </c>
      <c r="C736" s="172" t="str">
        <f>'09월 조업일지'!F722</f>
        <v>A</v>
      </c>
      <c r="D736" s="172">
        <f>'09월 화학성분'!C723</f>
        <v>85925</v>
      </c>
      <c r="E736" s="205" t="str">
        <f t="shared" si="174"/>
        <v/>
      </c>
      <c r="F736" s="121"/>
      <c r="G736" s="122"/>
      <c r="H736" s="123"/>
      <c r="I736" s="122"/>
      <c r="J736" s="123"/>
      <c r="K736" s="122"/>
      <c r="L736" s="124" t="str">
        <f t="shared" si="161"/>
        <v/>
      </c>
      <c r="M736" s="125" t="str">
        <f t="shared" si="161"/>
        <v/>
      </c>
      <c r="N736" s="126" t="str">
        <f t="shared" si="162"/>
        <v/>
      </c>
      <c r="O736" s="127" t="str">
        <f t="shared" si="163"/>
        <v/>
      </c>
      <c r="P736" s="127" t="str">
        <f t="shared" si="164"/>
        <v/>
      </c>
      <c r="Q736" s="128" t="str">
        <f t="shared" si="165"/>
        <v/>
      </c>
      <c r="R736" s="129"/>
      <c r="S736" s="130"/>
      <c r="T736" s="131"/>
      <c r="U736" s="131"/>
      <c r="V736" s="132" t="str">
        <f t="shared" si="166"/>
        <v/>
      </c>
      <c r="W736" s="133" t="str">
        <f t="shared" si="167"/>
        <v/>
      </c>
      <c r="X736" s="130"/>
      <c r="Y736" s="131"/>
      <c r="Z736" s="131"/>
      <c r="AA736" s="132" t="str">
        <f t="shared" si="168"/>
        <v/>
      </c>
      <c r="AB736" s="133" t="str">
        <f t="shared" si="169"/>
        <v/>
      </c>
      <c r="AC736" s="134" t="str">
        <f t="shared" si="170"/>
        <v/>
      </c>
      <c r="AD736" s="135" t="str">
        <f t="shared" si="171"/>
        <v/>
      </c>
      <c r="AE736" s="136"/>
      <c r="AF736" s="137"/>
      <c r="AG736" s="137"/>
      <c r="AH736" s="138" t="str">
        <f t="shared" si="172"/>
        <v/>
      </c>
      <c r="AI736" s="133" t="str">
        <f t="shared" si="173"/>
        <v/>
      </c>
    </row>
    <row r="737" spans="1:35">
      <c r="A737" s="171">
        <f>IF('09월 조업일지'!A723="","",'09월 조업일지'!A723)</f>
        <v>46292</v>
      </c>
      <c r="B737" s="172" t="str">
        <f>'09월 조업일지'!E723</f>
        <v>A</v>
      </c>
      <c r="C737" s="172" t="str">
        <f>'09월 조업일지'!F723</f>
        <v>B</v>
      </c>
      <c r="D737" s="172">
        <f>'09월 화학성분'!C724</f>
        <v>85926</v>
      </c>
      <c r="E737" s="205" t="str">
        <f t="shared" si="174"/>
        <v/>
      </c>
      <c r="F737" s="121"/>
      <c r="G737" s="122"/>
      <c r="H737" s="123"/>
      <c r="I737" s="122"/>
      <c r="J737" s="123"/>
      <c r="K737" s="122"/>
      <c r="L737" s="124" t="str">
        <f t="shared" si="161"/>
        <v/>
      </c>
      <c r="M737" s="125" t="str">
        <f t="shared" si="161"/>
        <v/>
      </c>
      <c r="N737" s="126" t="str">
        <f t="shared" si="162"/>
        <v/>
      </c>
      <c r="O737" s="127" t="str">
        <f t="shared" si="163"/>
        <v/>
      </c>
      <c r="P737" s="127" t="str">
        <f t="shared" si="164"/>
        <v/>
      </c>
      <c r="Q737" s="128" t="str">
        <f t="shared" si="165"/>
        <v/>
      </c>
      <c r="R737" s="129"/>
      <c r="S737" s="130"/>
      <c r="T737" s="131"/>
      <c r="U737" s="131"/>
      <c r="V737" s="132" t="str">
        <f t="shared" si="166"/>
        <v/>
      </c>
      <c r="W737" s="133" t="str">
        <f t="shared" si="167"/>
        <v/>
      </c>
      <c r="X737" s="130"/>
      <c r="Y737" s="131"/>
      <c r="Z737" s="131"/>
      <c r="AA737" s="132" t="str">
        <f t="shared" si="168"/>
        <v/>
      </c>
      <c r="AB737" s="133" t="str">
        <f t="shared" si="169"/>
        <v/>
      </c>
      <c r="AC737" s="134" t="str">
        <f t="shared" si="170"/>
        <v/>
      </c>
      <c r="AD737" s="135" t="str">
        <f t="shared" si="171"/>
        <v/>
      </c>
      <c r="AE737" s="136"/>
      <c r="AF737" s="137"/>
      <c r="AG737" s="137"/>
      <c r="AH737" s="138" t="str">
        <f t="shared" si="172"/>
        <v/>
      </c>
      <c r="AI737" s="133" t="str">
        <f t="shared" si="173"/>
        <v/>
      </c>
    </row>
    <row r="738" spans="1:35">
      <c r="A738" s="171">
        <f>IF('09월 조업일지'!A724="","",'09월 조업일지'!A724)</f>
        <v>46292</v>
      </c>
      <c r="B738" s="172" t="str">
        <f>'09월 조업일지'!E724</f>
        <v>A</v>
      </c>
      <c r="C738" s="172" t="str">
        <f>'09월 조업일지'!F724</f>
        <v>A</v>
      </c>
      <c r="D738" s="172">
        <f>'09월 화학성분'!C725</f>
        <v>85927</v>
      </c>
      <c r="E738" s="205" t="str">
        <f t="shared" si="174"/>
        <v/>
      </c>
      <c r="F738" s="121"/>
      <c r="G738" s="122"/>
      <c r="H738" s="123"/>
      <c r="I738" s="122"/>
      <c r="J738" s="123"/>
      <c r="K738" s="122"/>
      <c r="L738" s="124" t="str">
        <f t="shared" si="161"/>
        <v/>
      </c>
      <c r="M738" s="125" t="str">
        <f t="shared" si="161"/>
        <v/>
      </c>
      <c r="N738" s="126" t="str">
        <f t="shared" si="162"/>
        <v/>
      </c>
      <c r="O738" s="127" t="str">
        <f t="shared" si="163"/>
        <v/>
      </c>
      <c r="P738" s="127" t="str">
        <f t="shared" si="164"/>
        <v/>
      </c>
      <c r="Q738" s="128" t="str">
        <f t="shared" si="165"/>
        <v/>
      </c>
      <c r="R738" s="129"/>
      <c r="S738" s="130"/>
      <c r="T738" s="131"/>
      <c r="U738" s="131"/>
      <c r="V738" s="132" t="str">
        <f t="shared" si="166"/>
        <v/>
      </c>
      <c r="W738" s="133" t="str">
        <f t="shared" si="167"/>
        <v/>
      </c>
      <c r="X738" s="130"/>
      <c r="Y738" s="131"/>
      <c r="Z738" s="131"/>
      <c r="AA738" s="132" t="str">
        <f t="shared" si="168"/>
        <v/>
      </c>
      <c r="AB738" s="133" t="str">
        <f t="shared" si="169"/>
        <v/>
      </c>
      <c r="AC738" s="134" t="str">
        <f t="shared" si="170"/>
        <v/>
      </c>
      <c r="AD738" s="135" t="str">
        <f t="shared" si="171"/>
        <v/>
      </c>
      <c r="AE738" s="136"/>
      <c r="AF738" s="137"/>
      <c r="AG738" s="137"/>
      <c r="AH738" s="138" t="str">
        <f t="shared" si="172"/>
        <v/>
      </c>
      <c r="AI738" s="133" t="str">
        <f t="shared" si="173"/>
        <v/>
      </c>
    </row>
    <row r="739" spans="1:35">
      <c r="A739" s="171">
        <f>IF('09월 조업일지'!A725="","",'09월 조업일지'!A725)</f>
        <v>46292</v>
      </c>
      <c r="B739" s="172" t="str">
        <f>'09월 조업일지'!E725</f>
        <v>A</v>
      </c>
      <c r="C739" s="172" t="str">
        <f>'09월 조업일지'!F725</f>
        <v>B</v>
      </c>
      <c r="D739" s="172">
        <f>'09월 화학성분'!C726</f>
        <v>85928</v>
      </c>
      <c r="E739" s="205" t="str">
        <f t="shared" si="174"/>
        <v/>
      </c>
      <c r="F739" s="121"/>
      <c r="G739" s="122"/>
      <c r="H739" s="123"/>
      <c r="I739" s="122"/>
      <c r="J739" s="123"/>
      <c r="K739" s="122"/>
      <c r="L739" s="124" t="str">
        <f t="shared" ref="L739:M802" si="175">IF(ISBLANK(F739),"",SUM(F739,H739,J739))</f>
        <v/>
      </c>
      <c r="M739" s="125" t="str">
        <f t="shared" si="175"/>
        <v/>
      </c>
      <c r="N739" s="126" t="str">
        <f t="shared" si="162"/>
        <v/>
      </c>
      <c r="O739" s="127" t="str">
        <f t="shared" si="163"/>
        <v/>
      </c>
      <c r="P739" s="127" t="str">
        <f t="shared" si="164"/>
        <v/>
      </c>
      <c r="Q739" s="128" t="str">
        <f t="shared" si="165"/>
        <v/>
      </c>
      <c r="R739" s="129"/>
      <c r="S739" s="130"/>
      <c r="T739" s="131"/>
      <c r="U739" s="131"/>
      <c r="V739" s="132" t="str">
        <f t="shared" si="166"/>
        <v/>
      </c>
      <c r="W739" s="133" t="str">
        <f t="shared" si="167"/>
        <v/>
      </c>
      <c r="X739" s="130"/>
      <c r="Y739" s="131"/>
      <c r="Z739" s="131"/>
      <c r="AA739" s="132" t="str">
        <f t="shared" si="168"/>
        <v/>
      </c>
      <c r="AB739" s="133" t="str">
        <f t="shared" si="169"/>
        <v/>
      </c>
      <c r="AC739" s="134" t="str">
        <f t="shared" si="170"/>
        <v/>
      </c>
      <c r="AD739" s="135" t="str">
        <f t="shared" si="171"/>
        <v/>
      </c>
      <c r="AE739" s="136"/>
      <c r="AF739" s="137"/>
      <c r="AG739" s="137"/>
      <c r="AH739" s="138" t="str">
        <f t="shared" si="172"/>
        <v/>
      </c>
      <c r="AI739" s="133" t="str">
        <f t="shared" si="173"/>
        <v/>
      </c>
    </row>
    <row r="740" spans="1:35">
      <c r="A740" s="171">
        <f>IF('09월 조업일지'!A726="","",'09월 조업일지'!A726)</f>
        <v>46292</v>
      </c>
      <c r="B740" s="172" t="str">
        <f>'09월 조업일지'!E726</f>
        <v>A</v>
      </c>
      <c r="C740" s="172" t="str">
        <f>'09월 조업일지'!F726</f>
        <v>A</v>
      </c>
      <c r="D740" s="172">
        <f>'09월 화학성분'!C727</f>
        <v>85929</v>
      </c>
      <c r="E740" s="205" t="str">
        <f t="shared" si="174"/>
        <v/>
      </c>
      <c r="F740" s="121"/>
      <c r="G740" s="122"/>
      <c r="H740" s="123"/>
      <c r="I740" s="122"/>
      <c r="J740" s="123"/>
      <c r="K740" s="122"/>
      <c r="L740" s="124" t="str">
        <f t="shared" si="175"/>
        <v/>
      </c>
      <c r="M740" s="125" t="str">
        <f t="shared" si="175"/>
        <v/>
      </c>
      <c r="N740" s="126" t="str">
        <f t="shared" si="162"/>
        <v/>
      </c>
      <c r="O740" s="127" t="str">
        <f t="shared" si="163"/>
        <v/>
      </c>
      <c r="P740" s="127" t="str">
        <f t="shared" si="164"/>
        <v/>
      </c>
      <c r="Q740" s="128" t="str">
        <f t="shared" si="165"/>
        <v/>
      </c>
      <c r="R740" s="129"/>
      <c r="S740" s="130"/>
      <c r="T740" s="131"/>
      <c r="U740" s="131"/>
      <c r="V740" s="132" t="str">
        <f t="shared" si="166"/>
        <v/>
      </c>
      <c r="W740" s="133" t="str">
        <f t="shared" si="167"/>
        <v/>
      </c>
      <c r="X740" s="130"/>
      <c r="Y740" s="131"/>
      <c r="Z740" s="131"/>
      <c r="AA740" s="132" t="str">
        <f t="shared" si="168"/>
        <v/>
      </c>
      <c r="AB740" s="133" t="str">
        <f t="shared" si="169"/>
        <v/>
      </c>
      <c r="AC740" s="134" t="str">
        <f t="shared" si="170"/>
        <v/>
      </c>
      <c r="AD740" s="135" t="str">
        <f t="shared" si="171"/>
        <v/>
      </c>
      <c r="AE740" s="136"/>
      <c r="AF740" s="137"/>
      <c r="AG740" s="137"/>
      <c r="AH740" s="138" t="str">
        <f t="shared" si="172"/>
        <v/>
      </c>
      <c r="AI740" s="133" t="str">
        <f t="shared" si="173"/>
        <v/>
      </c>
    </row>
    <row r="741" spans="1:35">
      <c r="A741" s="171">
        <f>IF('09월 조업일지'!A727="","",'09월 조업일지'!A727)</f>
        <v>46292</v>
      </c>
      <c r="B741" s="172" t="str">
        <f>'09월 조업일지'!E727</f>
        <v>B</v>
      </c>
      <c r="C741" s="172" t="str">
        <f>'09월 조업일지'!F727</f>
        <v>B</v>
      </c>
      <c r="D741" s="172">
        <f>'09월 화학성분'!C728</f>
        <v>85930</v>
      </c>
      <c r="E741" s="205" t="str">
        <f t="shared" si="174"/>
        <v/>
      </c>
      <c r="F741" s="121"/>
      <c r="G741" s="122"/>
      <c r="H741" s="123"/>
      <c r="I741" s="122"/>
      <c r="J741" s="123"/>
      <c r="K741" s="122"/>
      <c r="L741" s="124" t="str">
        <f t="shared" si="175"/>
        <v/>
      </c>
      <c r="M741" s="125" t="str">
        <f t="shared" si="175"/>
        <v/>
      </c>
      <c r="N741" s="126" t="str">
        <f t="shared" si="162"/>
        <v/>
      </c>
      <c r="O741" s="127" t="str">
        <f t="shared" si="163"/>
        <v/>
      </c>
      <c r="P741" s="127" t="str">
        <f t="shared" si="164"/>
        <v/>
      </c>
      <c r="Q741" s="128" t="str">
        <f t="shared" si="165"/>
        <v/>
      </c>
      <c r="R741" s="129"/>
      <c r="S741" s="130"/>
      <c r="T741" s="131"/>
      <c r="U741" s="131"/>
      <c r="V741" s="132" t="str">
        <f t="shared" si="166"/>
        <v/>
      </c>
      <c r="W741" s="133" t="str">
        <f t="shared" si="167"/>
        <v/>
      </c>
      <c r="X741" s="130"/>
      <c r="Y741" s="131"/>
      <c r="Z741" s="131"/>
      <c r="AA741" s="132" t="str">
        <f t="shared" si="168"/>
        <v/>
      </c>
      <c r="AB741" s="133" t="str">
        <f t="shared" si="169"/>
        <v/>
      </c>
      <c r="AC741" s="134" t="str">
        <f t="shared" si="170"/>
        <v/>
      </c>
      <c r="AD741" s="135" t="str">
        <f t="shared" si="171"/>
        <v/>
      </c>
      <c r="AE741" s="136"/>
      <c r="AF741" s="137"/>
      <c r="AG741" s="137"/>
      <c r="AH741" s="138" t="str">
        <f t="shared" si="172"/>
        <v/>
      </c>
      <c r="AI741" s="133" t="str">
        <f t="shared" si="173"/>
        <v/>
      </c>
    </row>
    <row r="742" spans="1:35">
      <c r="A742" s="171">
        <f>IF('09월 조업일지'!A728="","",'09월 조업일지'!A728)</f>
        <v>46292</v>
      </c>
      <c r="B742" s="172" t="str">
        <f>'09월 조업일지'!E728</f>
        <v>B</v>
      </c>
      <c r="C742" s="172" t="str">
        <f>'09월 조업일지'!F728</f>
        <v>A</v>
      </c>
      <c r="D742" s="172">
        <f>'09월 화학성분'!C729</f>
        <v>85931</v>
      </c>
      <c r="E742" s="205" t="str">
        <f t="shared" si="174"/>
        <v/>
      </c>
      <c r="F742" s="121"/>
      <c r="G742" s="122"/>
      <c r="H742" s="123"/>
      <c r="I742" s="122"/>
      <c r="J742" s="123"/>
      <c r="K742" s="122"/>
      <c r="L742" s="124" t="str">
        <f t="shared" si="175"/>
        <v/>
      </c>
      <c r="M742" s="125" t="str">
        <f t="shared" si="175"/>
        <v/>
      </c>
      <c r="N742" s="126" t="str">
        <f t="shared" si="162"/>
        <v/>
      </c>
      <c r="O742" s="127" t="str">
        <f t="shared" si="163"/>
        <v/>
      </c>
      <c r="P742" s="127" t="str">
        <f t="shared" si="164"/>
        <v/>
      </c>
      <c r="Q742" s="128" t="str">
        <f t="shared" si="165"/>
        <v/>
      </c>
      <c r="R742" s="129"/>
      <c r="S742" s="130"/>
      <c r="T742" s="131"/>
      <c r="U742" s="131"/>
      <c r="V742" s="132" t="str">
        <f t="shared" si="166"/>
        <v/>
      </c>
      <c r="W742" s="133" t="str">
        <f t="shared" si="167"/>
        <v/>
      </c>
      <c r="X742" s="130"/>
      <c r="Y742" s="131"/>
      <c r="Z742" s="131"/>
      <c r="AA742" s="132" t="str">
        <f t="shared" si="168"/>
        <v/>
      </c>
      <c r="AB742" s="133" t="str">
        <f t="shared" si="169"/>
        <v/>
      </c>
      <c r="AC742" s="134" t="str">
        <f t="shared" si="170"/>
        <v/>
      </c>
      <c r="AD742" s="135" t="str">
        <f t="shared" si="171"/>
        <v/>
      </c>
      <c r="AE742" s="136"/>
      <c r="AF742" s="137"/>
      <c r="AG742" s="137"/>
      <c r="AH742" s="138" t="str">
        <f t="shared" si="172"/>
        <v/>
      </c>
      <c r="AI742" s="133" t="str">
        <f t="shared" si="173"/>
        <v/>
      </c>
    </row>
    <row r="743" spans="1:35">
      <c r="A743" s="171">
        <f>IF('09월 조업일지'!A729="","",'09월 조업일지'!A729)</f>
        <v>46292</v>
      </c>
      <c r="B743" s="172" t="str">
        <f>'09월 조업일지'!E729</f>
        <v>B</v>
      </c>
      <c r="C743" s="172" t="str">
        <f>'09월 조업일지'!F729</f>
        <v>B</v>
      </c>
      <c r="D743" s="172">
        <f>'09월 화학성분'!C730</f>
        <v>85932</v>
      </c>
      <c r="E743" s="205" t="str">
        <f t="shared" si="174"/>
        <v/>
      </c>
      <c r="F743" s="121"/>
      <c r="G743" s="122"/>
      <c r="H743" s="123"/>
      <c r="I743" s="122"/>
      <c r="J743" s="123"/>
      <c r="K743" s="122"/>
      <c r="L743" s="124" t="str">
        <f t="shared" si="175"/>
        <v/>
      </c>
      <c r="M743" s="125" t="str">
        <f t="shared" si="175"/>
        <v/>
      </c>
      <c r="N743" s="126" t="str">
        <f t="shared" si="162"/>
        <v/>
      </c>
      <c r="O743" s="127" t="str">
        <f t="shared" si="163"/>
        <v/>
      </c>
      <c r="P743" s="127" t="str">
        <f t="shared" si="164"/>
        <v/>
      </c>
      <c r="Q743" s="128" t="str">
        <f t="shared" si="165"/>
        <v/>
      </c>
      <c r="R743" s="129"/>
      <c r="S743" s="130"/>
      <c r="T743" s="131"/>
      <c r="U743" s="131"/>
      <c r="V743" s="132" t="str">
        <f t="shared" si="166"/>
        <v/>
      </c>
      <c r="W743" s="133" t="str">
        <f t="shared" si="167"/>
        <v/>
      </c>
      <c r="X743" s="130"/>
      <c r="Y743" s="131"/>
      <c r="Z743" s="131"/>
      <c r="AA743" s="132" t="str">
        <f t="shared" si="168"/>
        <v/>
      </c>
      <c r="AB743" s="133" t="str">
        <f t="shared" si="169"/>
        <v/>
      </c>
      <c r="AC743" s="134" t="str">
        <f t="shared" si="170"/>
        <v/>
      </c>
      <c r="AD743" s="135" t="str">
        <f t="shared" si="171"/>
        <v/>
      </c>
      <c r="AE743" s="136"/>
      <c r="AF743" s="137"/>
      <c r="AG743" s="137"/>
      <c r="AH743" s="138" t="str">
        <f t="shared" si="172"/>
        <v/>
      </c>
      <c r="AI743" s="133" t="str">
        <f t="shared" si="173"/>
        <v/>
      </c>
    </row>
    <row r="744" spans="1:35">
      <c r="A744" s="171">
        <f>IF('09월 조업일지'!A730="","",'09월 조업일지'!A730)</f>
        <v>46292</v>
      </c>
      <c r="B744" s="172" t="str">
        <f>'09월 조업일지'!E730</f>
        <v>B</v>
      </c>
      <c r="C744" s="172" t="str">
        <f>'09월 조업일지'!F730</f>
        <v>A</v>
      </c>
      <c r="D744" s="172">
        <f>'09월 화학성분'!C731</f>
        <v>85933</v>
      </c>
      <c r="E744" s="205" t="str">
        <f t="shared" si="174"/>
        <v/>
      </c>
      <c r="F744" s="121"/>
      <c r="G744" s="122"/>
      <c r="H744" s="123"/>
      <c r="I744" s="122"/>
      <c r="J744" s="123"/>
      <c r="K744" s="122"/>
      <c r="L744" s="124" t="str">
        <f t="shared" si="175"/>
        <v/>
      </c>
      <c r="M744" s="125" t="str">
        <f t="shared" si="175"/>
        <v/>
      </c>
      <c r="N744" s="126" t="str">
        <f t="shared" si="162"/>
        <v/>
      </c>
      <c r="O744" s="127" t="str">
        <f t="shared" si="163"/>
        <v/>
      </c>
      <c r="P744" s="127" t="str">
        <f t="shared" si="164"/>
        <v/>
      </c>
      <c r="Q744" s="128" t="str">
        <f t="shared" si="165"/>
        <v/>
      </c>
      <c r="R744" s="129"/>
      <c r="S744" s="130"/>
      <c r="T744" s="131"/>
      <c r="U744" s="131"/>
      <c r="V744" s="132" t="str">
        <f t="shared" si="166"/>
        <v/>
      </c>
      <c r="W744" s="133" t="str">
        <f t="shared" si="167"/>
        <v/>
      </c>
      <c r="X744" s="130"/>
      <c r="Y744" s="131"/>
      <c r="Z744" s="131"/>
      <c r="AA744" s="132" t="str">
        <f t="shared" si="168"/>
        <v/>
      </c>
      <c r="AB744" s="133" t="str">
        <f t="shared" si="169"/>
        <v/>
      </c>
      <c r="AC744" s="134" t="str">
        <f t="shared" si="170"/>
        <v/>
      </c>
      <c r="AD744" s="135" t="str">
        <f t="shared" si="171"/>
        <v/>
      </c>
      <c r="AE744" s="136"/>
      <c r="AF744" s="137"/>
      <c r="AG744" s="137"/>
      <c r="AH744" s="138" t="str">
        <f t="shared" si="172"/>
        <v/>
      </c>
      <c r="AI744" s="133" t="str">
        <f t="shared" si="173"/>
        <v/>
      </c>
    </row>
    <row r="745" spans="1:35">
      <c r="A745" s="171">
        <f>IF('09월 조업일지'!A731="","",'09월 조업일지'!A731)</f>
        <v>46292</v>
      </c>
      <c r="B745" s="172" t="str">
        <f>'09월 조업일지'!E731</f>
        <v>B</v>
      </c>
      <c r="C745" s="172" t="str">
        <f>'09월 조업일지'!F731</f>
        <v>B</v>
      </c>
      <c r="D745" s="172">
        <f>'09월 화학성분'!C732</f>
        <v>85934</v>
      </c>
      <c r="E745" s="205" t="str">
        <f t="shared" si="174"/>
        <v/>
      </c>
      <c r="F745" s="121"/>
      <c r="G745" s="122"/>
      <c r="H745" s="123"/>
      <c r="I745" s="122"/>
      <c r="J745" s="123"/>
      <c r="K745" s="122"/>
      <c r="L745" s="124" t="str">
        <f t="shared" si="175"/>
        <v/>
      </c>
      <c r="M745" s="125" t="str">
        <f t="shared" si="175"/>
        <v/>
      </c>
      <c r="N745" s="126" t="str">
        <f t="shared" si="162"/>
        <v/>
      </c>
      <c r="O745" s="127" t="str">
        <f t="shared" si="163"/>
        <v/>
      </c>
      <c r="P745" s="127" t="str">
        <f t="shared" si="164"/>
        <v/>
      </c>
      <c r="Q745" s="128" t="str">
        <f t="shared" si="165"/>
        <v/>
      </c>
      <c r="R745" s="129"/>
      <c r="S745" s="130"/>
      <c r="T745" s="131"/>
      <c r="U745" s="131"/>
      <c r="V745" s="132" t="str">
        <f t="shared" si="166"/>
        <v/>
      </c>
      <c r="W745" s="133" t="str">
        <f t="shared" si="167"/>
        <v/>
      </c>
      <c r="X745" s="130"/>
      <c r="Y745" s="131"/>
      <c r="Z745" s="131"/>
      <c r="AA745" s="132" t="str">
        <f t="shared" si="168"/>
        <v/>
      </c>
      <c r="AB745" s="133" t="str">
        <f t="shared" si="169"/>
        <v/>
      </c>
      <c r="AC745" s="134" t="str">
        <f t="shared" si="170"/>
        <v/>
      </c>
      <c r="AD745" s="135" t="str">
        <f t="shared" si="171"/>
        <v/>
      </c>
      <c r="AE745" s="136"/>
      <c r="AF745" s="137"/>
      <c r="AG745" s="137"/>
      <c r="AH745" s="138" t="str">
        <f t="shared" si="172"/>
        <v/>
      </c>
      <c r="AI745" s="133" t="str">
        <f t="shared" si="173"/>
        <v/>
      </c>
    </row>
    <row r="746" spans="1:35">
      <c r="A746" s="171">
        <f>IF('09월 조업일지'!A732="","",'09월 조업일지'!A732)</f>
        <v>46292</v>
      </c>
      <c r="B746" s="172" t="str">
        <f>'09월 조업일지'!E732</f>
        <v>B</v>
      </c>
      <c r="C746" s="172" t="str">
        <f>'09월 조업일지'!F732</f>
        <v>A</v>
      </c>
      <c r="D746" s="172">
        <f>'09월 화학성분'!C733</f>
        <v>85935</v>
      </c>
      <c r="E746" s="205" t="str">
        <f t="shared" si="174"/>
        <v/>
      </c>
      <c r="F746" s="121"/>
      <c r="G746" s="122"/>
      <c r="H746" s="123"/>
      <c r="I746" s="122"/>
      <c r="J746" s="123"/>
      <c r="K746" s="122"/>
      <c r="L746" s="124" t="str">
        <f t="shared" si="175"/>
        <v/>
      </c>
      <c r="M746" s="125" t="str">
        <f t="shared" si="175"/>
        <v/>
      </c>
      <c r="N746" s="126" t="str">
        <f t="shared" si="162"/>
        <v/>
      </c>
      <c r="O746" s="127" t="str">
        <f t="shared" si="163"/>
        <v/>
      </c>
      <c r="P746" s="127" t="str">
        <f t="shared" si="164"/>
        <v/>
      </c>
      <c r="Q746" s="128" t="str">
        <f t="shared" si="165"/>
        <v/>
      </c>
      <c r="R746" s="129"/>
      <c r="S746" s="130"/>
      <c r="T746" s="131"/>
      <c r="U746" s="131"/>
      <c r="V746" s="132" t="str">
        <f t="shared" si="166"/>
        <v/>
      </c>
      <c r="W746" s="133" t="str">
        <f t="shared" si="167"/>
        <v/>
      </c>
      <c r="X746" s="130"/>
      <c r="Y746" s="131"/>
      <c r="Z746" s="131"/>
      <c r="AA746" s="132" t="str">
        <f t="shared" si="168"/>
        <v/>
      </c>
      <c r="AB746" s="133" t="str">
        <f t="shared" si="169"/>
        <v/>
      </c>
      <c r="AC746" s="134" t="str">
        <f t="shared" si="170"/>
        <v/>
      </c>
      <c r="AD746" s="135" t="str">
        <f t="shared" si="171"/>
        <v/>
      </c>
      <c r="AE746" s="136"/>
      <c r="AF746" s="137"/>
      <c r="AG746" s="137"/>
      <c r="AH746" s="138" t="str">
        <f t="shared" si="172"/>
        <v/>
      </c>
      <c r="AI746" s="133" t="str">
        <f t="shared" si="173"/>
        <v/>
      </c>
    </row>
    <row r="747" spans="1:35">
      <c r="A747" s="171">
        <f>IF('09월 조업일지'!A733="","",'09월 조업일지'!A733)</f>
        <v>46292</v>
      </c>
      <c r="B747" s="172" t="str">
        <f>'09월 조업일지'!E733</f>
        <v>B</v>
      </c>
      <c r="C747" s="172" t="str">
        <f>'09월 조업일지'!F733</f>
        <v>B</v>
      </c>
      <c r="D747" s="172">
        <f>'09월 화학성분'!C734</f>
        <v>85936</v>
      </c>
      <c r="E747" s="205" t="str">
        <f t="shared" si="174"/>
        <v/>
      </c>
      <c r="F747" s="121"/>
      <c r="G747" s="122"/>
      <c r="H747" s="123"/>
      <c r="I747" s="122"/>
      <c r="J747" s="123"/>
      <c r="K747" s="122"/>
      <c r="L747" s="124" t="str">
        <f t="shared" si="175"/>
        <v/>
      </c>
      <c r="M747" s="125" t="str">
        <f t="shared" si="175"/>
        <v/>
      </c>
      <c r="N747" s="126" t="str">
        <f t="shared" si="162"/>
        <v/>
      </c>
      <c r="O747" s="127" t="str">
        <f t="shared" si="163"/>
        <v/>
      </c>
      <c r="P747" s="127" t="str">
        <f t="shared" si="164"/>
        <v/>
      </c>
      <c r="Q747" s="128" t="str">
        <f t="shared" si="165"/>
        <v/>
      </c>
      <c r="R747" s="129"/>
      <c r="S747" s="130"/>
      <c r="T747" s="131"/>
      <c r="U747" s="131"/>
      <c r="V747" s="132" t="str">
        <f t="shared" si="166"/>
        <v/>
      </c>
      <c r="W747" s="133" t="str">
        <f t="shared" si="167"/>
        <v/>
      </c>
      <c r="X747" s="130"/>
      <c r="Y747" s="131"/>
      <c r="Z747" s="131"/>
      <c r="AA747" s="132" t="str">
        <f t="shared" si="168"/>
        <v/>
      </c>
      <c r="AB747" s="133" t="str">
        <f t="shared" si="169"/>
        <v/>
      </c>
      <c r="AC747" s="134" t="str">
        <f t="shared" si="170"/>
        <v/>
      </c>
      <c r="AD747" s="135" t="str">
        <f t="shared" si="171"/>
        <v/>
      </c>
      <c r="AE747" s="136"/>
      <c r="AF747" s="137"/>
      <c r="AG747" s="137"/>
      <c r="AH747" s="138" t="str">
        <f t="shared" si="172"/>
        <v/>
      </c>
      <c r="AI747" s="133" t="str">
        <f t="shared" si="173"/>
        <v/>
      </c>
    </row>
    <row r="748" spans="1:35">
      <c r="A748" s="171">
        <f>IF('09월 조업일지'!A734="","",'09월 조업일지'!A734)</f>
        <v>46292</v>
      </c>
      <c r="B748" s="172" t="str">
        <f>'09월 조업일지'!E734</f>
        <v>B</v>
      </c>
      <c r="C748" s="172" t="str">
        <f>'09월 조업일지'!F734</f>
        <v>A</v>
      </c>
      <c r="D748" s="172">
        <f>'09월 화학성분'!C735</f>
        <v>85937</v>
      </c>
      <c r="E748" s="205" t="str">
        <f t="shared" si="174"/>
        <v/>
      </c>
      <c r="F748" s="121"/>
      <c r="G748" s="122"/>
      <c r="H748" s="123"/>
      <c r="I748" s="122"/>
      <c r="J748" s="123"/>
      <c r="K748" s="122"/>
      <c r="L748" s="124" t="str">
        <f t="shared" si="175"/>
        <v/>
      </c>
      <c r="M748" s="125" t="str">
        <f t="shared" si="175"/>
        <v/>
      </c>
      <c r="N748" s="126" t="str">
        <f t="shared" si="162"/>
        <v/>
      </c>
      <c r="O748" s="127" t="str">
        <f t="shared" si="163"/>
        <v/>
      </c>
      <c r="P748" s="127" t="str">
        <f t="shared" si="164"/>
        <v/>
      </c>
      <c r="Q748" s="128" t="str">
        <f t="shared" si="165"/>
        <v/>
      </c>
      <c r="R748" s="129"/>
      <c r="S748" s="130"/>
      <c r="T748" s="131"/>
      <c r="U748" s="131"/>
      <c r="V748" s="132" t="str">
        <f t="shared" si="166"/>
        <v/>
      </c>
      <c r="W748" s="133" t="str">
        <f t="shared" si="167"/>
        <v/>
      </c>
      <c r="X748" s="130"/>
      <c r="Y748" s="131"/>
      <c r="Z748" s="131"/>
      <c r="AA748" s="132" t="str">
        <f t="shared" si="168"/>
        <v/>
      </c>
      <c r="AB748" s="133" t="str">
        <f t="shared" si="169"/>
        <v/>
      </c>
      <c r="AC748" s="134" t="str">
        <f t="shared" si="170"/>
        <v/>
      </c>
      <c r="AD748" s="135" t="str">
        <f t="shared" si="171"/>
        <v/>
      </c>
      <c r="AE748" s="136"/>
      <c r="AF748" s="137"/>
      <c r="AG748" s="137"/>
      <c r="AH748" s="138" t="str">
        <f t="shared" si="172"/>
        <v/>
      </c>
      <c r="AI748" s="133" t="str">
        <f t="shared" si="173"/>
        <v/>
      </c>
    </row>
    <row r="749" spans="1:35">
      <c r="A749" s="171">
        <f>IF('09월 조업일지'!A735="","",'09월 조업일지'!A735)</f>
        <v>46292</v>
      </c>
      <c r="B749" s="172" t="str">
        <f>'09월 조업일지'!E735</f>
        <v>B</v>
      </c>
      <c r="C749" s="172" t="str">
        <f>'09월 조업일지'!F735</f>
        <v>B</v>
      </c>
      <c r="D749" s="172">
        <f>'09월 화학성분'!C736</f>
        <v>85938</v>
      </c>
      <c r="E749" s="205" t="str">
        <f t="shared" si="174"/>
        <v/>
      </c>
      <c r="F749" s="121"/>
      <c r="G749" s="122"/>
      <c r="H749" s="123"/>
      <c r="I749" s="122"/>
      <c r="J749" s="123"/>
      <c r="K749" s="122"/>
      <c r="L749" s="124" t="str">
        <f t="shared" si="175"/>
        <v/>
      </c>
      <c r="M749" s="125" t="str">
        <f t="shared" si="175"/>
        <v/>
      </c>
      <c r="N749" s="126" t="str">
        <f t="shared" si="162"/>
        <v/>
      </c>
      <c r="O749" s="127" t="str">
        <f t="shared" si="163"/>
        <v/>
      </c>
      <c r="P749" s="127" t="str">
        <f t="shared" si="164"/>
        <v/>
      </c>
      <c r="Q749" s="128" t="str">
        <f t="shared" si="165"/>
        <v/>
      </c>
      <c r="R749" s="129"/>
      <c r="S749" s="130"/>
      <c r="T749" s="131"/>
      <c r="U749" s="131"/>
      <c r="V749" s="132" t="str">
        <f t="shared" si="166"/>
        <v/>
      </c>
      <c r="W749" s="133" t="str">
        <f t="shared" si="167"/>
        <v/>
      </c>
      <c r="X749" s="130"/>
      <c r="Y749" s="131"/>
      <c r="Z749" s="131"/>
      <c r="AA749" s="132" t="str">
        <f t="shared" si="168"/>
        <v/>
      </c>
      <c r="AB749" s="133" t="str">
        <f t="shared" si="169"/>
        <v/>
      </c>
      <c r="AC749" s="134" t="str">
        <f t="shared" si="170"/>
        <v/>
      </c>
      <c r="AD749" s="135" t="str">
        <f t="shared" si="171"/>
        <v/>
      </c>
      <c r="AE749" s="136"/>
      <c r="AF749" s="137"/>
      <c r="AG749" s="137"/>
      <c r="AH749" s="138" t="str">
        <f t="shared" si="172"/>
        <v/>
      </c>
      <c r="AI749" s="133" t="str">
        <f t="shared" si="173"/>
        <v/>
      </c>
    </row>
    <row r="750" spans="1:35">
      <c r="A750" s="171">
        <f>IF('09월 조업일지'!A736="","",'09월 조업일지'!A736)</f>
        <v>46292</v>
      </c>
      <c r="B750" s="172" t="str">
        <f>'09월 조업일지'!E736</f>
        <v>B</v>
      </c>
      <c r="C750" s="172" t="str">
        <f>'09월 조업일지'!F736</f>
        <v>A</v>
      </c>
      <c r="D750" s="172">
        <f>'09월 화학성분'!C737</f>
        <v>85939</v>
      </c>
      <c r="E750" s="205" t="str">
        <f t="shared" si="174"/>
        <v/>
      </c>
      <c r="F750" s="121"/>
      <c r="G750" s="122"/>
      <c r="H750" s="123"/>
      <c r="I750" s="122"/>
      <c r="J750" s="123"/>
      <c r="K750" s="122"/>
      <c r="L750" s="124" t="str">
        <f t="shared" si="175"/>
        <v/>
      </c>
      <c r="M750" s="125" t="str">
        <f t="shared" si="175"/>
        <v/>
      </c>
      <c r="N750" s="126" t="str">
        <f t="shared" si="162"/>
        <v/>
      </c>
      <c r="O750" s="127" t="str">
        <f t="shared" si="163"/>
        <v/>
      </c>
      <c r="P750" s="127" t="str">
        <f t="shared" si="164"/>
        <v/>
      </c>
      <c r="Q750" s="128" t="str">
        <f t="shared" si="165"/>
        <v/>
      </c>
      <c r="R750" s="129"/>
      <c r="S750" s="130"/>
      <c r="T750" s="131"/>
      <c r="U750" s="131"/>
      <c r="V750" s="132" t="str">
        <f t="shared" si="166"/>
        <v/>
      </c>
      <c r="W750" s="133" t="str">
        <f t="shared" si="167"/>
        <v/>
      </c>
      <c r="X750" s="130"/>
      <c r="Y750" s="131"/>
      <c r="Z750" s="131"/>
      <c r="AA750" s="132" t="str">
        <f t="shared" si="168"/>
        <v/>
      </c>
      <c r="AB750" s="133" t="str">
        <f t="shared" si="169"/>
        <v/>
      </c>
      <c r="AC750" s="134" t="str">
        <f t="shared" si="170"/>
        <v/>
      </c>
      <c r="AD750" s="135" t="str">
        <f t="shared" si="171"/>
        <v/>
      </c>
      <c r="AE750" s="136"/>
      <c r="AF750" s="137"/>
      <c r="AG750" s="137"/>
      <c r="AH750" s="138" t="str">
        <f t="shared" si="172"/>
        <v/>
      </c>
      <c r="AI750" s="133" t="str">
        <f t="shared" si="173"/>
        <v/>
      </c>
    </row>
    <row r="751" spans="1:35">
      <c r="A751" s="171">
        <f>IF('09월 조업일지'!A737="","",'09월 조업일지'!A737)</f>
        <v>46292</v>
      </c>
      <c r="B751" s="172" t="str">
        <f>'09월 조업일지'!E737</f>
        <v>D</v>
      </c>
      <c r="C751" s="172" t="str">
        <f>'09월 조업일지'!F737</f>
        <v>B</v>
      </c>
      <c r="D751" s="172">
        <f>'09월 화학성분'!C738</f>
        <v>85940</v>
      </c>
      <c r="E751" s="205" t="str">
        <f t="shared" si="174"/>
        <v/>
      </c>
      <c r="F751" s="121"/>
      <c r="G751" s="122"/>
      <c r="H751" s="123"/>
      <c r="I751" s="122"/>
      <c r="J751" s="123"/>
      <c r="K751" s="122"/>
      <c r="L751" s="124" t="str">
        <f t="shared" si="175"/>
        <v/>
      </c>
      <c r="M751" s="125" t="str">
        <f t="shared" si="175"/>
        <v/>
      </c>
      <c r="N751" s="126" t="str">
        <f t="shared" si="162"/>
        <v/>
      </c>
      <c r="O751" s="127" t="str">
        <f t="shared" si="163"/>
        <v/>
      </c>
      <c r="P751" s="127" t="str">
        <f t="shared" si="164"/>
        <v/>
      </c>
      <c r="Q751" s="128" t="str">
        <f t="shared" si="165"/>
        <v/>
      </c>
      <c r="R751" s="129"/>
      <c r="S751" s="130"/>
      <c r="T751" s="131"/>
      <c r="U751" s="131"/>
      <c r="V751" s="132" t="str">
        <f t="shared" si="166"/>
        <v/>
      </c>
      <c r="W751" s="133" t="str">
        <f t="shared" si="167"/>
        <v/>
      </c>
      <c r="X751" s="130"/>
      <c r="Y751" s="131"/>
      <c r="Z751" s="131"/>
      <c r="AA751" s="132" t="str">
        <f t="shared" si="168"/>
        <v/>
      </c>
      <c r="AB751" s="133" t="str">
        <f t="shared" si="169"/>
        <v/>
      </c>
      <c r="AC751" s="134" t="str">
        <f t="shared" si="170"/>
        <v/>
      </c>
      <c r="AD751" s="135" t="str">
        <f t="shared" si="171"/>
        <v/>
      </c>
      <c r="AE751" s="136"/>
      <c r="AF751" s="137"/>
      <c r="AG751" s="137"/>
      <c r="AH751" s="138" t="str">
        <f t="shared" si="172"/>
        <v/>
      </c>
      <c r="AI751" s="133" t="str">
        <f t="shared" si="173"/>
        <v/>
      </c>
    </row>
    <row r="752" spans="1:35">
      <c r="A752" s="171">
        <f>IF('09월 조업일지'!A738="","",'09월 조업일지'!A738)</f>
        <v>46292</v>
      </c>
      <c r="B752" s="172" t="str">
        <f>'09월 조업일지'!E738</f>
        <v>D</v>
      </c>
      <c r="C752" s="172" t="str">
        <f>'09월 조업일지'!F738</f>
        <v>A</v>
      </c>
      <c r="D752" s="172">
        <f>'09월 화학성분'!C739</f>
        <v>85941</v>
      </c>
      <c r="E752" s="205" t="str">
        <f t="shared" si="174"/>
        <v/>
      </c>
      <c r="F752" s="121"/>
      <c r="G752" s="122"/>
      <c r="H752" s="123"/>
      <c r="I752" s="122"/>
      <c r="J752" s="123"/>
      <c r="K752" s="122"/>
      <c r="L752" s="124" t="str">
        <f t="shared" si="175"/>
        <v/>
      </c>
      <c r="M752" s="125" t="str">
        <f t="shared" si="175"/>
        <v/>
      </c>
      <c r="N752" s="126" t="str">
        <f t="shared" si="162"/>
        <v/>
      </c>
      <c r="O752" s="127" t="str">
        <f t="shared" si="163"/>
        <v/>
      </c>
      <c r="P752" s="127" t="str">
        <f t="shared" si="164"/>
        <v/>
      </c>
      <c r="Q752" s="128" t="str">
        <f t="shared" si="165"/>
        <v/>
      </c>
      <c r="R752" s="129"/>
      <c r="S752" s="130"/>
      <c r="T752" s="131"/>
      <c r="U752" s="131"/>
      <c r="V752" s="132" t="str">
        <f t="shared" si="166"/>
        <v/>
      </c>
      <c r="W752" s="133" t="str">
        <f t="shared" si="167"/>
        <v/>
      </c>
      <c r="X752" s="130"/>
      <c r="Y752" s="131"/>
      <c r="Z752" s="131"/>
      <c r="AA752" s="132" t="str">
        <f t="shared" si="168"/>
        <v/>
      </c>
      <c r="AB752" s="133" t="str">
        <f t="shared" si="169"/>
        <v/>
      </c>
      <c r="AC752" s="134" t="str">
        <f t="shared" si="170"/>
        <v/>
      </c>
      <c r="AD752" s="135" t="str">
        <f t="shared" si="171"/>
        <v/>
      </c>
      <c r="AE752" s="136"/>
      <c r="AF752" s="137"/>
      <c r="AG752" s="137"/>
      <c r="AH752" s="138" t="str">
        <f t="shared" si="172"/>
        <v/>
      </c>
      <c r="AI752" s="133" t="str">
        <f t="shared" si="173"/>
        <v/>
      </c>
    </row>
    <row r="753" spans="1:35">
      <c r="A753" s="171">
        <f>IF('09월 조업일지'!A739="","",'09월 조업일지'!A739)</f>
        <v>46292</v>
      </c>
      <c r="B753" s="172" t="str">
        <f>'09월 조업일지'!E739</f>
        <v>D</v>
      </c>
      <c r="C753" s="172" t="str">
        <f>'09월 조업일지'!F739</f>
        <v>B</v>
      </c>
      <c r="D753" s="172">
        <f>'09월 화학성분'!C740</f>
        <v>85942</v>
      </c>
      <c r="E753" s="205" t="str">
        <f t="shared" si="174"/>
        <v/>
      </c>
      <c r="F753" s="121"/>
      <c r="G753" s="122"/>
      <c r="H753" s="123"/>
      <c r="I753" s="122"/>
      <c r="J753" s="123"/>
      <c r="K753" s="122"/>
      <c r="L753" s="124" t="str">
        <f t="shared" si="175"/>
        <v/>
      </c>
      <c r="M753" s="125" t="str">
        <f t="shared" si="175"/>
        <v/>
      </c>
      <c r="N753" s="126" t="str">
        <f t="shared" si="162"/>
        <v/>
      </c>
      <c r="O753" s="127" t="str">
        <f t="shared" si="163"/>
        <v/>
      </c>
      <c r="P753" s="127" t="str">
        <f t="shared" si="164"/>
        <v/>
      </c>
      <c r="Q753" s="128" t="str">
        <f t="shared" si="165"/>
        <v/>
      </c>
      <c r="R753" s="129"/>
      <c r="S753" s="130"/>
      <c r="T753" s="131"/>
      <c r="U753" s="131"/>
      <c r="V753" s="132" t="str">
        <f t="shared" si="166"/>
        <v/>
      </c>
      <c r="W753" s="133" t="str">
        <f t="shared" si="167"/>
        <v/>
      </c>
      <c r="X753" s="130"/>
      <c r="Y753" s="131"/>
      <c r="Z753" s="131"/>
      <c r="AA753" s="132" t="str">
        <f t="shared" si="168"/>
        <v/>
      </c>
      <c r="AB753" s="133" t="str">
        <f t="shared" si="169"/>
        <v/>
      </c>
      <c r="AC753" s="134" t="str">
        <f t="shared" si="170"/>
        <v/>
      </c>
      <c r="AD753" s="135" t="str">
        <f t="shared" si="171"/>
        <v/>
      </c>
      <c r="AE753" s="136"/>
      <c r="AF753" s="137"/>
      <c r="AG753" s="137"/>
      <c r="AH753" s="138" t="str">
        <f t="shared" si="172"/>
        <v/>
      </c>
      <c r="AI753" s="133" t="str">
        <f t="shared" si="173"/>
        <v/>
      </c>
    </row>
    <row r="754" spans="1:35">
      <c r="A754" s="171">
        <f>IF('09월 조업일지'!A740="","",'09월 조업일지'!A740)</f>
        <v>46292</v>
      </c>
      <c r="B754" s="172" t="str">
        <f>'09월 조업일지'!E740</f>
        <v>D</v>
      </c>
      <c r="C754" s="172" t="str">
        <f>'09월 조업일지'!F740</f>
        <v>A</v>
      </c>
      <c r="D754" s="172">
        <f>'09월 화학성분'!C741</f>
        <v>85943</v>
      </c>
      <c r="E754" s="205" t="str">
        <f t="shared" si="174"/>
        <v/>
      </c>
      <c r="F754" s="121"/>
      <c r="G754" s="122"/>
      <c r="H754" s="123"/>
      <c r="I754" s="122"/>
      <c r="J754" s="123"/>
      <c r="K754" s="122"/>
      <c r="L754" s="124" t="str">
        <f t="shared" si="175"/>
        <v/>
      </c>
      <c r="M754" s="125" t="str">
        <f t="shared" si="175"/>
        <v/>
      </c>
      <c r="N754" s="126" t="str">
        <f t="shared" si="162"/>
        <v/>
      </c>
      <c r="O754" s="127" t="str">
        <f t="shared" si="163"/>
        <v/>
      </c>
      <c r="P754" s="127" t="str">
        <f t="shared" si="164"/>
        <v/>
      </c>
      <c r="Q754" s="128" t="str">
        <f t="shared" si="165"/>
        <v/>
      </c>
      <c r="R754" s="129"/>
      <c r="S754" s="130"/>
      <c r="T754" s="131"/>
      <c r="U754" s="131"/>
      <c r="V754" s="132" t="str">
        <f t="shared" si="166"/>
        <v/>
      </c>
      <c r="W754" s="133" t="str">
        <f t="shared" si="167"/>
        <v/>
      </c>
      <c r="X754" s="130"/>
      <c r="Y754" s="131"/>
      <c r="Z754" s="131"/>
      <c r="AA754" s="132" t="str">
        <f t="shared" si="168"/>
        <v/>
      </c>
      <c r="AB754" s="133" t="str">
        <f t="shared" si="169"/>
        <v/>
      </c>
      <c r="AC754" s="134" t="str">
        <f t="shared" si="170"/>
        <v/>
      </c>
      <c r="AD754" s="135" t="str">
        <f t="shared" si="171"/>
        <v/>
      </c>
      <c r="AE754" s="136"/>
      <c r="AF754" s="137"/>
      <c r="AG754" s="137"/>
      <c r="AH754" s="138" t="str">
        <f t="shared" si="172"/>
        <v/>
      </c>
      <c r="AI754" s="133" t="str">
        <f t="shared" si="173"/>
        <v/>
      </c>
    </row>
    <row r="755" spans="1:35">
      <c r="A755" s="171">
        <f>IF('09월 조업일지'!A741="","",'09월 조업일지'!A741)</f>
        <v>46292</v>
      </c>
      <c r="B755" s="172" t="str">
        <f>'09월 조업일지'!E741</f>
        <v>D</v>
      </c>
      <c r="C755" s="172" t="str">
        <f>'09월 조업일지'!F741</f>
        <v>B</v>
      </c>
      <c r="D755" s="172">
        <f>'09월 화학성분'!C742</f>
        <v>85944</v>
      </c>
      <c r="E755" s="205" t="str">
        <f t="shared" si="174"/>
        <v/>
      </c>
      <c r="F755" s="121"/>
      <c r="G755" s="122"/>
      <c r="H755" s="123"/>
      <c r="I755" s="122"/>
      <c r="J755" s="123"/>
      <c r="K755" s="122"/>
      <c r="L755" s="124" t="str">
        <f t="shared" si="175"/>
        <v/>
      </c>
      <c r="M755" s="125" t="str">
        <f t="shared" si="175"/>
        <v/>
      </c>
      <c r="N755" s="126" t="str">
        <f t="shared" si="162"/>
        <v/>
      </c>
      <c r="O755" s="127" t="str">
        <f t="shared" si="163"/>
        <v/>
      </c>
      <c r="P755" s="127" t="str">
        <f t="shared" si="164"/>
        <v/>
      </c>
      <c r="Q755" s="128" t="str">
        <f t="shared" si="165"/>
        <v/>
      </c>
      <c r="R755" s="129"/>
      <c r="S755" s="130"/>
      <c r="T755" s="131"/>
      <c r="U755" s="131"/>
      <c r="V755" s="132" t="str">
        <f t="shared" si="166"/>
        <v/>
      </c>
      <c r="W755" s="133" t="str">
        <f t="shared" si="167"/>
        <v/>
      </c>
      <c r="X755" s="130"/>
      <c r="Y755" s="131"/>
      <c r="Z755" s="131"/>
      <c r="AA755" s="132" t="str">
        <f t="shared" si="168"/>
        <v/>
      </c>
      <c r="AB755" s="133" t="str">
        <f t="shared" si="169"/>
        <v/>
      </c>
      <c r="AC755" s="134" t="str">
        <f t="shared" si="170"/>
        <v/>
      </c>
      <c r="AD755" s="135" t="str">
        <f t="shared" si="171"/>
        <v/>
      </c>
      <c r="AE755" s="136"/>
      <c r="AF755" s="137"/>
      <c r="AG755" s="137"/>
      <c r="AH755" s="138" t="str">
        <f t="shared" si="172"/>
        <v/>
      </c>
      <c r="AI755" s="133" t="str">
        <f t="shared" si="173"/>
        <v/>
      </c>
    </row>
    <row r="756" spans="1:35">
      <c r="A756" s="171">
        <f>IF('09월 조업일지'!A742="","",'09월 조업일지'!A742)</f>
        <v>46292</v>
      </c>
      <c r="B756" s="172" t="str">
        <f>'09월 조업일지'!E742</f>
        <v>D</v>
      </c>
      <c r="C756" s="172" t="str">
        <f>'09월 조업일지'!F742</f>
        <v>A</v>
      </c>
      <c r="D756" s="172">
        <f>'09월 화학성분'!C743</f>
        <v>85945</v>
      </c>
      <c r="E756" s="205" t="str">
        <f t="shared" si="174"/>
        <v/>
      </c>
      <c r="F756" s="121"/>
      <c r="G756" s="122"/>
      <c r="H756" s="123"/>
      <c r="I756" s="122"/>
      <c r="J756" s="123"/>
      <c r="K756" s="122"/>
      <c r="L756" s="124" t="str">
        <f t="shared" si="175"/>
        <v/>
      </c>
      <c r="M756" s="125" t="str">
        <f t="shared" si="175"/>
        <v/>
      </c>
      <c r="N756" s="126" t="str">
        <f t="shared" si="162"/>
        <v/>
      </c>
      <c r="O756" s="127" t="str">
        <f t="shared" si="163"/>
        <v/>
      </c>
      <c r="P756" s="127" t="str">
        <f t="shared" si="164"/>
        <v/>
      </c>
      <c r="Q756" s="128" t="str">
        <f t="shared" si="165"/>
        <v/>
      </c>
      <c r="R756" s="129"/>
      <c r="S756" s="130"/>
      <c r="T756" s="131"/>
      <c r="U756" s="131"/>
      <c r="V756" s="132" t="str">
        <f t="shared" si="166"/>
        <v/>
      </c>
      <c r="W756" s="133" t="str">
        <f t="shared" si="167"/>
        <v/>
      </c>
      <c r="X756" s="130"/>
      <c r="Y756" s="131"/>
      <c r="Z756" s="131"/>
      <c r="AA756" s="132" t="str">
        <f t="shared" si="168"/>
        <v/>
      </c>
      <c r="AB756" s="133" t="str">
        <f t="shared" si="169"/>
        <v/>
      </c>
      <c r="AC756" s="134" t="str">
        <f t="shared" si="170"/>
        <v/>
      </c>
      <c r="AD756" s="135" t="str">
        <f t="shared" si="171"/>
        <v/>
      </c>
      <c r="AE756" s="136"/>
      <c r="AF756" s="137"/>
      <c r="AG756" s="137"/>
      <c r="AH756" s="138" t="str">
        <f t="shared" si="172"/>
        <v/>
      </c>
      <c r="AI756" s="133" t="str">
        <f t="shared" si="173"/>
        <v/>
      </c>
    </row>
    <row r="757" spans="1:35">
      <c r="A757" s="171">
        <f>IF('09월 조업일지'!A743="","",'09월 조업일지'!A743)</f>
        <v>46292</v>
      </c>
      <c r="B757" s="172" t="str">
        <f>'09월 조업일지'!E743</f>
        <v>D</v>
      </c>
      <c r="C757" s="172" t="str">
        <f>'09월 조업일지'!F743</f>
        <v>B</v>
      </c>
      <c r="D757" s="172">
        <f>'09월 화학성분'!C744</f>
        <v>85946</v>
      </c>
      <c r="E757" s="205" t="str">
        <f t="shared" si="174"/>
        <v/>
      </c>
      <c r="F757" s="121"/>
      <c r="G757" s="122"/>
      <c r="H757" s="123"/>
      <c r="I757" s="122"/>
      <c r="J757" s="123"/>
      <c r="K757" s="122"/>
      <c r="L757" s="124" t="str">
        <f t="shared" si="175"/>
        <v/>
      </c>
      <c r="M757" s="125" t="str">
        <f t="shared" si="175"/>
        <v/>
      </c>
      <c r="N757" s="126" t="str">
        <f t="shared" si="162"/>
        <v/>
      </c>
      <c r="O757" s="127" t="str">
        <f t="shared" si="163"/>
        <v/>
      </c>
      <c r="P757" s="127" t="str">
        <f t="shared" si="164"/>
        <v/>
      </c>
      <c r="Q757" s="128" t="str">
        <f t="shared" si="165"/>
        <v/>
      </c>
      <c r="R757" s="129"/>
      <c r="S757" s="130"/>
      <c r="T757" s="131"/>
      <c r="U757" s="131"/>
      <c r="V757" s="132" t="str">
        <f t="shared" si="166"/>
        <v/>
      </c>
      <c r="W757" s="133" t="str">
        <f t="shared" si="167"/>
        <v/>
      </c>
      <c r="X757" s="130"/>
      <c r="Y757" s="131"/>
      <c r="Z757" s="131"/>
      <c r="AA757" s="132" t="str">
        <f t="shared" si="168"/>
        <v/>
      </c>
      <c r="AB757" s="133" t="str">
        <f t="shared" si="169"/>
        <v/>
      </c>
      <c r="AC757" s="134" t="str">
        <f t="shared" si="170"/>
        <v/>
      </c>
      <c r="AD757" s="135" t="str">
        <f t="shared" si="171"/>
        <v/>
      </c>
      <c r="AE757" s="136"/>
      <c r="AF757" s="137"/>
      <c r="AG757" s="137"/>
      <c r="AH757" s="138" t="str">
        <f t="shared" si="172"/>
        <v/>
      </c>
      <c r="AI757" s="133" t="str">
        <f t="shared" si="173"/>
        <v/>
      </c>
    </row>
    <row r="758" spans="1:35">
      <c r="A758" s="171">
        <f>IF('09월 조업일지'!A744="","",'09월 조업일지'!A744)</f>
        <v>46292</v>
      </c>
      <c r="B758" s="172" t="str">
        <f>'09월 조업일지'!E744</f>
        <v>D</v>
      </c>
      <c r="C758" s="172" t="str">
        <f>'09월 조업일지'!F744</f>
        <v>A</v>
      </c>
      <c r="D758" s="172">
        <f>'09월 화학성분'!C745</f>
        <v>85947</v>
      </c>
      <c r="E758" s="205" t="str">
        <f t="shared" si="174"/>
        <v/>
      </c>
      <c r="F758" s="121"/>
      <c r="G758" s="122"/>
      <c r="H758" s="123"/>
      <c r="I758" s="122"/>
      <c r="J758" s="123"/>
      <c r="K758" s="122"/>
      <c r="L758" s="124" t="str">
        <f t="shared" si="175"/>
        <v/>
      </c>
      <c r="M758" s="125" t="str">
        <f t="shared" si="175"/>
        <v/>
      </c>
      <c r="N758" s="126" t="str">
        <f t="shared" si="162"/>
        <v/>
      </c>
      <c r="O758" s="127" t="str">
        <f t="shared" si="163"/>
        <v/>
      </c>
      <c r="P758" s="127" t="str">
        <f t="shared" si="164"/>
        <v/>
      </c>
      <c r="Q758" s="128" t="str">
        <f t="shared" si="165"/>
        <v/>
      </c>
      <c r="R758" s="129"/>
      <c r="S758" s="130"/>
      <c r="T758" s="131"/>
      <c r="U758" s="131"/>
      <c r="V758" s="132" t="str">
        <f t="shared" si="166"/>
        <v/>
      </c>
      <c r="W758" s="133" t="str">
        <f t="shared" si="167"/>
        <v/>
      </c>
      <c r="X758" s="130"/>
      <c r="Y758" s="131"/>
      <c r="Z758" s="131"/>
      <c r="AA758" s="132" t="str">
        <f t="shared" si="168"/>
        <v/>
      </c>
      <c r="AB758" s="133" t="str">
        <f t="shared" si="169"/>
        <v/>
      </c>
      <c r="AC758" s="134" t="str">
        <f t="shared" si="170"/>
        <v/>
      </c>
      <c r="AD758" s="135" t="str">
        <f t="shared" si="171"/>
        <v/>
      </c>
      <c r="AE758" s="136"/>
      <c r="AF758" s="137"/>
      <c r="AG758" s="137"/>
      <c r="AH758" s="138" t="str">
        <f t="shared" si="172"/>
        <v/>
      </c>
      <c r="AI758" s="133" t="str">
        <f t="shared" si="173"/>
        <v/>
      </c>
    </row>
    <row r="759" spans="1:35">
      <c r="A759" s="171">
        <f>IF('09월 조업일지'!A745="","",'09월 조업일지'!A745)</f>
        <v>46292</v>
      </c>
      <c r="B759" s="172" t="str">
        <f>'09월 조업일지'!E745</f>
        <v>D</v>
      </c>
      <c r="C759" s="172" t="str">
        <f>'09월 조업일지'!F745</f>
        <v>B</v>
      </c>
      <c r="D759" s="172">
        <f>'09월 화학성분'!C746</f>
        <v>85948</v>
      </c>
      <c r="E759" s="205" t="str">
        <f t="shared" si="174"/>
        <v/>
      </c>
      <c r="F759" s="121"/>
      <c r="G759" s="122"/>
      <c r="H759" s="123"/>
      <c r="I759" s="122"/>
      <c r="J759" s="123"/>
      <c r="K759" s="122"/>
      <c r="L759" s="124" t="str">
        <f t="shared" si="175"/>
        <v/>
      </c>
      <c r="M759" s="125" t="str">
        <f t="shared" si="175"/>
        <v/>
      </c>
      <c r="N759" s="126" t="str">
        <f t="shared" si="162"/>
        <v/>
      </c>
      <c r="O759" s="127" t="str">
        <f t="shared" si="163"/>
        <v/>
      </c>
      <c r="P759" s="127" t="str">
        <f t="shared" si="164"/>
        <v/>
      </c>
      <c r="Q759" s="128" t="str">
        <f t="shared" si="165"/>
        <v/>
      </c>
      <c r="R759" s="129"/>
      <c r="S759" s="130"/>
      <c r="T759" s="131"/>
      <c r="U759" s="131"/>
      <c r="V759" s="132" t="str">
        <f t="shared" si="166"/>
        <v/>
      </c>
      <c r="W759" s="133" t="str">
        <f t="shared" si="167"/>
        <v/>
      </c>
      <c r="X759" s="130"/>
      <c r="Y759" s="131"/>
      <c r="Z759" s="131"/>
      <c r="AA759" s="132" t="str">
        <f t="shared" si="168"/>
        <v/>
      </c>
      <c r="AB759" s="133" t="str">
        <f t="shared" si="169"/>
        <v/>
      </c>
      <c r="AC759" s="134" t="str">
        <f t="shared" si="170"/>
        <v/>
      </c>
      <c r="AD759" s="135" t="str">
        <f t="shared" si="171"/>
        <v/>
      </c>
      <c r="AE759" s="136"/>
      <c r="AF759" s="137"/>
      <c r="AG759" s="137"/>
      <c r="AH759" s="138" t="str">
        <f t="shared" si="172"/>
        <v/>
      </c>
      <c r="AI759" s="133" t="str">
        <f t="shared" si="173"/>
        <v/>
      </c>
    </row>
    <row r="760" spans="1:35">
      <c r="A760" s="171">
        <f>IF('09월 조업일지'!A746="","",'09월 조업일지'!A746)</f>
        <v>46292</v>
      </c>
      <c r="B760" s="172" t="str">
        <f>'09월 조업일지'!E746</f>
        <v>D</v>
      </c>
      <c r="C760" s="172" t="str">
        <f>'09월 조업일지'!F746</f>
        <v>A</v>
      </c>
      <c r="D760" s="172">
        <f>'09월 화학성분'!C747</f>
        <v>85949</v>
      </c>
      <c r="E760" s="205" t="str">
        <f t="shared" si="174"/>
        <v/>
      </c>
      <c r="F760" s="121"/>
      <c r="G760" s="122"/>
      <c r="H760" s="123"/>
      <c r="I760" s="122"/>
      <c r="J760" s="123"/>
      <c r="K760" s="122"/>
      <c r="L760" s="124" t="str">
        <f t="shared" si="175"/>
        <v/>
      </c>
      <c r="M760" s="125" t="str">
        <f t="shared" si="175"/>
        <v/>
      </c>
      <c r="N760" s="126" t="str">
        <f t="shared" si="162"/>
        <v/>
      </c>
      <c r="O760" s="127" t="str">
        <f t="shared" si="163"/>
        <v/>
      </c>
      <c r="P760" s="127" t="str">
        <f t="shared" si="164"/>
        <v/>
      </c>
      <c r="Q760" s="128" t="str">
        <f t="shared" si="165"/>
        <v/>
      </c>
      <c r="R760" s="129"/>
      <c r="S760" s="130"/>
      <c r="T760" s="131"/>
      <c r="U760" s="131"/>
      <c r="V760" s="132" t="str">
        <f t="shared" si="166"/>
        <v/>
      </c>
      <c r="W760" s="133" t="str">
        <f t="shared" si="167"/>
        <v/>
      </c>
      <c r="X760" s="130"/>
      <c r="Y760" s="131"/>
      <c r="Z760" s="131"/>
      <c r="AA760" s="132" t="str">
        <f t="shared" si="168"/>
        <v/>
      </c>
      <c r="AB760" s="133" t="str">
        <f t="shared" si="169"/>
        <v/>
      </c>
      <c r="AC760" s="134" t="str">
        <f t="shared" si="170"/>
        <v/>
      </c>
      <c r="AD760" s="135" t="str">
        <f t="shared" si="171"/>
        <v/>
      </c>
      <c r="AE760" s="136"/>
      <c r="AF760" s="137"/>
      <c r="AG760" s="137"/>
      <c r="AH760" s="138" t="str">
        <f t="shared" si="172"/>
        <v/>
      </c>
      <c r="AI760" s="133" t="str">
        <f t="shared" si="173"/>
        <v/>
      </c>
    </row>
    <row r="761" spans="1:35">
      <c r="A761" s="171">
        <f>IF('09월 조업일지'!A747="","",'09월 조업일지'!A747)</f>
        <v>46292</v>
      </c>
      <c r="B761" s="172" t="str">
        <f>'09월 조업일지'!E747</f>
        <v>A</v>
      </c>
      <c r="C761" s="172" t="str">
        <f>'09월 조업일지'!F747</f>
        <v>B</v>
      </c>
      <c r="D761" s="172">
        <f>'09월 화학성분'!C748</f>
        <v>85950</v>
      </c>
      <c r="E761" s="205" t="str">
        <f t="shared" si="174"/>
        <v/>
      </c>
      <c r="F761" s="121"/>
      <c r="G761" s="122"/>
      <c r="H761" s="123"/>
      <c r="I761" s="122"/>
      <c r="J761" s="123"/>
      <c r="K761" s="122"/>
      <c r="L761" s="124" t="str">
        <f t="shared" si="175"/>
        <v/>
      </c>
      <c r="M761" s="125" t="str">
        <f t="shared" si="175"/>
        <v/>
      </c>
      <c r="N761" s="126" t="str">
        <f t="shared" si="162"/>
        <v/>
      </c>
      <c r="O761" s="127" t="str">
        <f t="shared" si="163"/>
        <v/>
      </c>
      <c r="P761" s="127" t="str">
        <f t="shared" si="164"/>
        <v/>
      </c>
      <c r="Q761" s="128" t="str">
        <f t="shared" si="165"/>
        <v/>
      </c>
      <c r="R761" s="129"/>
      <c r="S761" s="130"/>
      <c r="T761" s="131"/>
      <c r="U761" s="131"/>
      <c r="V761" s="132" t="str">
        <f t="shared" si="166"/>
        <v/>
      </c>
      <c r="W761" s="133" t="str">
        <f t="shared" si="167"/>
        <v/>
      </c>
      <c r="X761" s="130"/>
      <c r="Y761" s="131"/>
      <c r="Z761" s="131"/>
      <c r="AA761" s="132" t="str">
        <f t="shared" si="168"/>
        <v/>
      </c>
      <c r="AB761" s="133" t="str">
        <f t="shared" si="169"/>
        <v/>
      </c>
      <c r="AC761" s="134" t="str">
        <f t="shared" si="170"/>
        <v/>
      </c>
      <c r="AD761" s="135" t="str">
        <f t="shared" si="171"/>
        <v/>
      </c>
      <c r="AE761" s="136"/>
      <c r="AF761" s="137"/>
      <c r="AG761" s="137"/>
      <c r="AH761" s="138" t="str">
        <f t="shared" si="172"/>
        <v/>
      </c>
      <c r="AI761" s="133" t="str">
        <f t="shared" si="173"/>
        <v/>
      </c>
    </row>
    <row r="762" spans="1:35">
      <c r="A762" s="171">
        <f>IF('09월 조업일지'!A748="","",'09월 조업일지'!A748)</f>
        <v>46292</v>
      </c>
      <c r="B762" s="172" t="str">
        <f>'09월 조업일지'!E748</f>
        <v>A</v>
      </c>
      <c r="C762" s="172" t="str">
        <f>'09월 조업일지'!F748</f>
        <v>A</v>
      </c>
      <c r="D762" s="172">
        <f>'09월 화학성분'!C749</f>
        <v>85951</v>
      </c>
      <c r="E762" s="205" t="str">
        <f t="shared" si="174"/>
        <v/>
      </c>
      <c r="F762" s="121"/>
      <c r="G762" s="122"/>
      <c r="H762" s="123"/>
      <c r="I762" s="122"/>
      <c r="J762" s="123"/>
      <c r="K762" s="122"/>
      <c r="L762" s="124" t="str">
        <f t="shared" si="175"/>
        <v/>
      </c>
      <c r="M762" s="125" t="str">
        <f t="shared" si="175"/>
        <v/>
      </c>
      <c r="N762" s="126" t="str">
        <f t="shared" si="162"/>
        <v/>
      </c>
      <c r="O762" s="127" t="str">
        <f t="shared" si="163"/>
        <v/>
      </c>
      <c r="P762" s="127" t="str">
        <f t="shared" si="164"/>
        <v/>
      </c>
      <c r="Q762" s="128" t="str">
        <f t="shared" si="165"/>
        <v/>
      </c>
      <c r="R762" s="129"/>
      <c r="S762" s="130"/>
      <c r="T762" s="131"/>
      <c r="U762" s="131"/>
      <c r="V762" s="132" t="str">
        <f t="shared" si="166"/>
        <v/>
      </c>
      <c r="W762" s="133" t="str">
        <f t="shared" si="167"/>
        <v/>
      </c>
      <c r="X762" s="130"/>
      <c r="Y762" s="131"/>
      <c r="Z762" s="131"/>
      <c r="AA762" s="132" t="str">
        <f t="shared" si="168"/>
        <v/>
      </c>
      <c r="AB762" s="133" t="str">
        <f t="shared" si="169"/>
        <v/>
      </c>
      <c r="AC762" s="134" t="str">
        <f t="shared" si="170"/>
        <v/>
      </c>
      <c r="AD762" s="135" t="str">
        <f t="shared" si="171"/>
        <v/>
      </c>
      <c r="AE762" s="136"/>
      <c r="AF762" s="137"/>
      <c r="AG762" s="137"/>
      <c r="AH762" s="138" t="str">
        <f t="shared" si="172"/>
        <v/>
      </c>
      <c r="AI762" s="133" t="str">
        <f t="shared" si="173"/>
        <v/>
      </c>
    </row>
    <row r="763" spans="1:35">
      <c r="A763" s="171">
        <f>IF('09월 조업일지'!A749="","",'09월 조업일지'!A749)</f>
        <v>46292</v>
      </c>
      <c r="B763" s="172" t="str">
        <f>'09월 조업일지'!E749</f>
        <v>A</v>
      </c>
      <c r="C763" s="172" t="str">
        <f>'09월 조업일지'!F749</f>
        <v>B</v>
      </c>
      <c r="D763" s="172">
        <f>'09월 화학성분'!C750</f>
        <v>85952</v>
      </c>
      <c r="E763" s="205" t="str">
        <f t="shared" si="174"/>
        <v/>
      </c>
      <c r="F763" s="121"/>
      <c r="G763" s="122"/>
      <c r="H763" s="123"/>
      <c r="I763" s="122"/>
      <c r="J763" s="123"/>
      <c r="K763" s="122"/>
      <c r="L763" s="124" t="str">
        <f t="shared" si="175"/>
        <v/>
      </c>
      <c r="M763" s="125" t="str">
        <f t="shared" si="175"/>
        <v/>
      </c>
      <c r="N763" s="126" t="str">
        <f t="shared" si="162"/>
        <v/>
      </c>
      <c r="O763" s="127" t="str">
        <f t="shared" si="163"/>
        <v/>
      </c>
      <c r="P763" s="127" t="str">
        <f t="shared" si="164"/>
        <v/>
      </c>
      <c r="Q763" s="128" t="str">
        <f t="shared" si="165"/>
        <v/>
      </c>
      <c r="R763" s="129"/>
      <c r="S763" s="130"/>
      <c r="T763" s="131"/>
      <c r="U763" s="131"/>
      <c r="V763" s="132" t="str">
        <f t="shared" si="166"/>
        <v/>
      </c>
      <c r="W763" s="133" t="str">
        <f t="shared" si="167"/>
        <v/>
      </c>
      <c r="X763" s="130"/>
      <c r="Y763" s="131"/>
      <c r="Z763" s="131"/>
      <c r="AA763" s="132" t="str">
        <f t="shared" si="168"/>
        <v/>
      </c>
      <c r="AB763" s="133" t="str">
        <f t="shared" si="169"/>
        <v/>
      </c>
      <c r="AC763" s="134" t="str">
        <f t="shared" si="170"/>
        <v/>
      </c>
      <c r="AD763" s="135" t="str">
        <f t="shared" si="171"/>
        <v/>
      </c>
      <c r="AE763" s="136"/>
      <c r="AF763" s="137"/>
      <c r="AG763" s="137"/>
      <c r="AH763" s="138" t="str">
        <f t="shared" si="172"/>
        <v/>
      </c>
      <c r="AI763" s="133" t="str">
        <f t="shared" si="173"/>
        <v/>
      </c>
    </row>
    <row r="764" spans="1:35">
      <c r="A764" s="171">
        <f>IF('09월 조업일지'!A750="","",'09월 조업일지'!A750)</f>
        <v>46292</v>
      </c>
      <c r="B764" s="172" t="str">
        <f>'09월 조업일지'!E750</f>
        <v>A</v>
      </c>
      <c r="C764" s="172" t="str">
        <f>'09월 조업일지'!F750</f>
        <v>A</v>
      </c>
      <c r="D764" s="172">
        <f>'09월 화학성분'!C751</f>
        <v>85953</v>
      </c>
      <c r="E764" s="205" t="str">
        <f t="shared" si="174"/>
        <v/>
      </c>
      <c r="F764" s="121"/>
      <c r="G764" s="122"/>
      <c r="H764" s="123"/>
      <c r="I764" s="122"/>
      <c r="J764" s="123"/>
      <c r="K764" s="122"/>
      <c r="L764" s="124" t="str">
        <f t="shared" si="175"/>
        <v/>
      </c>
      <c r="M764" s="125" t="str">
        <f t="shared" si="175"/>
        <v/>
      </c>
      <c r="N764" s="126" t="str">
        <f t="shared" si="162"/>
        <v/>
      </c>
      <c r="O764" s="127" t="str">
        <f t="shared" si="163"/>
        <v/>
      </c>
      <c r="P764" s="127" t="str">
        <f t="shared" si="164"/>
        <v/>
      </c>
      <c r="Q764" s="128" t="str">
        <f t="shared" si="165"/>
        <v/>
      </c>
      <c r="R764" s="129"/>
      <c r="S764" s="130"/>
      <c r="T764" s="131"/>
      <c r="U764" s="131"/>
      <c r="V764" s="132" t="str">
        <f t="shared" si="166"/>
        <v/>
      </c>
      <c r="W764" s="133" t="str">
        <f t="shared" si="167"/>
        <v/>
      </c>
      <c r="X764" s="130"/>
      <c r="Y764" s="131"/>
      <c r="Z764" s="131"/>
      <c r="AA764" s="132" t="str">
        <f t="shared" si="168"/>
        <v/>
      </c>
      <c r="AB764" s="133" t="str">
        <f t="shared" si="169"/>
        <v/>
      </c>
      <c r="AC764" s="134" t="str">
        <f t="shared" si="170"/>
        <v/>
      </c>
      <c r="AD764" s="135" t="str">
        <f t="shared" si="171"/>
        <v/>
      </c>
      <c r="AE764" s="136"/>
      <c r="AF764" s="137"/>
      <c r="AG764" s="137"/>
      <c r="AH764" s="138" t="str">
        <f t="shared" si="172"/>
        <v/>
      </c>
      <c r="AI764" s="133" t="str">
        <f t="shared" si="173"/>
        <v/>
      </c>
    </row>
    <row r="765" spans="1:35">
      <c r="A765" s="171">
        <f>IF('09월 조업일지'!A751="","",'09월 조업일지'!A751)</f>
        <v>46292</v>
      </c>
      <c r="B765" s="172" t="str">
        <f>'09월 조업일지'!E751</f>
        <v>A</v>
      </c>
      <c r="C765" s="172" t="str">
        <f>'09월 조업일지'!F751</f>
        <v>B</v>
      </c>
      <c r="D765" s="172">
        <f>'09월 화학성분'!C752</f>
        <v>85954</v>
      </c>
      <c r="E765" s="205" t="str">
        <f t="shared" si="174"/>
        <v/>
      </c>
      <c r="F765" s="121"/>
      <c r="G765" s="122"/>
      <c r="H765" s="123"/>
      <c r="I765" s="122"/>
      <c r="J765" s="123"/>
      <c r="K765" s="122"/>
      <c r="L765" s="124" t="str">
        <f t="shared" si="175"/>
        <v/>
      </c>
      <c r="M765" s="125" t="str">
        <f t="shared" si="175"/>
        <v/>
      </c>
      <c r="N765" s="126" t="str">
        <f t="shared" si="162"/>
        <v/>
      </c>
      <c r="O765" s="127" t="str">
        <f t="shared" si="163"/>
        <v/>
      </c>
      <c r="P765" s="127" t="str">
        <f t="shared" si="164"/>
        <v/>
      </c>
      <c r="Q765" s="128" t="str">
        <f t="shared" si="165"/>
        <v/>
      </c>
      <c r="R765" s="129"/>
      <c r="S765" s="130"/>
      <c r="T765" s="131"/>
      <c r="U765" s="131"/>
      <c r="V765" s="132" t="str">
        <f t="shared" si="166"/>
        <v/>
      </c>
      <c r="W765" s="133" t="str">
        <f t="shared" si="167"/>
        <v/>
      </c>
      <c r="X765" s="130"/>
      <c r="Y765" s="131"/>
      <c r="Z765" s="131"/>
      <c r="AA765" s="132" t="str">
        <f t="shared" si="168"/>
        <v/>
      </c>
      <c r="AB765" s="133" t="str">
        <f t="shared" si="169"/>
        <v/>
      </c>
      <c r="AC765" s="134" t="str">
        <f t="shared" si="170"/>
        <v/>
      </c>
      <c r="AD765" s="135" t="str">
        <f t="shared" si="171"/>
        <v/>
      </c>
      <c r="AE765" s="136"/>
      <c r="AF765" s="137"/>
      <c r="AG765" s="137"/>
      <c r="AH765" s="138" t="str">
        <f t="shared" si="172"/>
        <v/>
      </c>
      <c r="AI765" s="133" t="str">
        <f t="shared" si="173"/>
        <v/>
      </c>
    </row>
    <row r="766" spans="1:35">
      <c r="A766" s="171">
        <f>IF('09월 조업일지'!A752="","",'09월 조업일지'!A752)</f>
        <v>46292</v>
      </c>
      <c r="B766" s="172" t="str">
        <f>'09월 조업일지'!E752</f>
        <v>A</v>
      </c>
      <c r="C766" s="172" t="str">
        <f>'09월 조업일지'!F752</f>
        <v>A</v>
      </c>
      <c r="D766" s="172">
        <f>'09월 화학성분'!C753</f>
        <v>85955</v>
      </c>
      <c r="E766" s="205" t="str">
        <f t="shared" si="174"/>
        <v/>
      </c>
      <c r="F766" s="121"/>
      <c r="G766" s="122"/>
      <c r="H766" s="123"/>
      <c r="I766" s="122"/>
      <c r="J766" s="123"/>
      <c r="K766" s="122"/>
      <c r="L766" s="124" t="str">
        <f t="shared" si="175"/>
        <v/>
      </c>
      <c r="M766" s="125" t="str">
        <f t="shared" si="175"/>
        <v/>
      </c>
      <c r="N766" s="126" t="str">
        <f t="shared" si="162"/>
        <v/>
      </c>
      <c r="O766" s="127" t="str">
        <f t="shared" si="163"/>
        <v/>
      </c>
      <c r="P766" s="127" t="str">
        <f t="shared" si="164"/>
        <v/>
      </c>
      <c r="Q766" s="128" t="str">
        <f t="shared" si="165"/>
        <v/>
      </c>
      <c r="R766" s="129"/>
      <c r="S766" s="130"/>
      <c r="T766" s="131"/>
      <c r="U766" s="131"/>
      <c r="V766" s="132" t="str">
        <f t="shared" ref="V766:V769" si="176">IF(SUM(S766:U766)=0,"",SUM(S766:U766))</f>
        <v/>
      </c>
      <c r="W766" s="133" t="str">
        <f t="shared" si="167"/>
        <v/>
      </c>
      <c r="X766" s="130"/>
      <c r="Y766" s="131"/>
      <c r="Z766" s="131"/>
      <c r="AA766" s="132" t="str">
        <f t="shared" si="168"/>
        <v/>
      </c>
      <c r="AB766" s="133" t="str">
        <f t="shared" si="169"/>
        <v/>
      </c>
      <c r="AC766" s="134" t="str">
        <f t="shared" si="170"/>
        <v/>
      </c>
      <c r="AD766" s="135" t="str">
        <f t="shared" si="171"/>
        <v/>
      </c>
      <c r="AE766" s="136"/>
      <c r="AF766" s="137"/>
      <c r="AG766" s="137"/>
      <c r="AH766" s="138" t="str">
        <f t="shared" si="172"/>
        <v/>
      </c>
      <c r="AI766" s="133" t="str">
        <f t="shared" si="173"/>
        <v/>
      </c>
    </row>
    <row r="767" spans="1:35">
      <c r="A767" s="171">
        <f>IF('09월 조업일지'!A753="","",'09월 조업일지'!A753)</f>
        <v>46293</v>
      </c>
      <c r="B767" s="172" t="str">
        <f>'09월 조업일지'!E753</f>
        <v>A</v>
      </c>
      <c r="C767" s="172" t="str">
        <f>'09월 조업일지'!F753</f>
        <v>B</v>
      </c>
      <c r="D767" s="172">
        <f>'09월 화학성분'!C754</f>
        <v>85956</v>
      </c>
      <c r="E767" s="205" t="str">
        <f t="shared" si="174"/>
        <v/>
      </c>
      <c r="F767" s="121"/>
      <c r="G767" s="122"/>
      <c r="H767" s="123"/>
      <c r="I767" s="122"/>
      <c r="J767" s="123"/>
      <c r="K767" s="122"/>
      <c r="L767" s="124" t="str">
        <f t="shared" si="175"/>
        <v/>
      </c>
      <c r="M767" s="125" t="str">
        <f t="shared" si="175"/>
        <v/>
      </c>
      <c r="N767" s="126" t="str">
        <f t="shared" si="162"/>
        <v/>
      </c>
      <c r="O767" s="127" t="str">
        <f t="shared" si="163"/>
        <v/>
      </c>
      <c r="P767" s="127" t="str">
        <f t="shared" si="164"/>
        <v/>
      </c>
      <c r="Q767" s="128" t="str">
        <f t="shared" si="165"/>
        <v/>
      </c>
      <c r="R767" s="129"/>
      <c r="S767" s="130"/>
      <c r="T767" s="131"/>
      <c r="U767" s="131"/>
      <c r="V767" s="132" t="str">
        <f t="shared" si="176"/>
        <v/>
      </c>
      <c r="W767" s="133" t="str">
        <f t="shared" si="167"/>
        <v/>
      </c>
      <c r="X767" s="130"/>
      <c r="Y767" s="131"/>
      <c r="Z767" s="131"/>
      <c r="AA767" s="132" t="str">
        <f t="shared" si="168"/>
        <v/>
      </c>
      <c r="AB767" s="133" t="str">
        <f t="shared" si="169"/>
        <v/>
      </c>
      <c r="AC767" s="134" t="str">
        <f t="shared" si="170"/>
        <v/>
      </c>
      <c r="AD767" s="135" t="str">
        <f t="shared" si="171"/>
        <v/>
      </c>
      <c r="AE767" s="136"/>
      <c r="AF767" s="137"/>
      <c r="AG767" s="137"/>
      <c r="AH767" s="138" t="str">
        <f t="shared" si="172"/>
        <v/>
      </c>
      <c r="AI767" s="133" t="str">
        <f t="shared" si="173"/>
        <v/>
      </c>
    </row>
    <row r="768" spans="1:35">
      <c r="A768" s="171">
        <f>IF('09월 조업일지'!A754="","",'09월 조업일지'!A754)</f>
        <v>46293</v>
      </c>
      <c r="B768" s="172" t="str">
        <f>'09월 조업일지'!E754</f>
        <v>A</v>
      </c>
      <c r="C768" s="172" t="str">
        <f>'09월 조업일지'!F754</f>
        <v>A</v>
      </c>
      <c r="D768" s="172">
        <f>'09월 화학성분'!C755</f>
        <v>85957</v>
      </c>
      <c r="E768" s="205" t="str">
        <f t="shared" si="174"/>
        <v/>
      </c>
      <c r="F768" s="121"/>
      <c r="G768" s="122"/>
      <c r="H768" s="123"/>
      <c r="I768" s="122"/>
      <c r="J768" s="123"/>
      <c r="K768" s="122"/>
      <c r="L768" s="124" t="str">
        <f t="shared" si="175"/>
        <v/>
      </c>
      <c r="M768" s="125" t="str">
        <f t="shared" si="175"/>
        <v/>
      </c>
      <c r="N768" s="126" t="str">
        <f t="shared" si="162"/>
        <v/>
      </c>
      <c r="O768" s="127" t="str">
        <f t="shared" si="163"/>
        <v/>
      </c>
      <c r="P768" s="127" t="str">
        <f t="shared" si="164"/>
        <v/>
      </c>
      <c r="Q768" s="128" t="str">
        <f t="shared" si="165"/>
        <v/>
      </c>
      <c r="R768" s="129"/>
      <c r="S768" s="130"/>
      <c r="T768" s="131"/>
      <c r="U768" s="131"/>
      <c r="V768" s="132" t="str">
        <f t="shared" si="176"/>
        <v/>
      </c>
      <c r="W768" s="133" t="str">
        <f t="shared" si="167"/>
        <v/>
      </c>
      <c r="X768" s="130"/>
      <c r="Y768" s="131"/>
      <c r="Z768" s="131"/>
      <c r="AA768" s="132" t="str">
        <f t="shared" si="168"/>
        <v/>
      </c>
      <c r="AB768" s="133" t="str">
        <f t="shared" si="169"/>
        <v/>
      </c>
      <c r="AC768" s="134" t="str">
        <f t="shared" si="170"/>
        <v/>
      </c>
      <c r="AD768" s="135" t="str">
        <f t="shared" si="171"/>
        <v/>
      </c>
      <c r="AE768" s="136"/>
      <c r="AF768" s="137"/>
      <c r="AG768" s="137"/>
      <c r="AH768" s="138" t="str">
        <f t="shared" si="172"/>
        <v/>
      </c>
      <c r="AI768" s="133" t="str">
        <f t="shared" si="173"/>
        <v/>
      </c>
    </row>
    <row r="769" spans="1:35">
      <c r="A769" s="171">
        <f>IF('09월 조업일지'!A755="","",'09월 조업일지'!A755)</f>
        <v>46293</v>
      </c>
      <c r="B769" s="172" t="str">
        <f>'09월 조업일지'!E755</f>
        <v>A</v>
      </c>
      <c r="C769" s="172" t="str">
        <f>'09월 조업일지'!F755</f>
        <v>B</v>
      </c>
      <c r="D769" s="172">
        <f>'09월 화학성분'!C756</f>
        <v>85958</v>
      </c>
      <c r="E769" s="205" t="str">
        <f t="shared" si="174"/>
        <v/>
      </c>
      <c r="F769" s="121"/>
      <c r="G769" s="122"/>
      <c r="H769" s="123"/>
      <c r="I769" s="122"/>
      <c r="J769" s="123"/>
      <c r="K769" s="122"/>
      <c r="L769" s="124" t="str">
        <f t="shared" si="175"/>
        <v/>
      </c>
      <c r="M769" s="125" t="str">
        <f t="shared" si="175"/>
        <v/>
      </c>
      <c r="N769" s="126" t="str">
        <f t="shared" si="162"/>
        <v/>
      </c>
      <c r="O769" s="127" t="str">
        <f t="shared" si="163"/>
        <v/>
      </c>
      <c r="P769" s="127" t="str">
        <f t="shared" si="164"/>
        <v/>
      </c>
      <c r="Q769" s="128" t="str">
        <f t="shared" si="165"/>
        <v/>
      </c>
      <c r="R769" s="129"/>
      <c r="S769" s="130"/>
      <c r="T769" s="131"/>
      <c r="U769" s="131"/>
      <c r="V769" s="132" t="str">
        <f t="shared" si="176"/>
        <v/>
      </c>
      <c r="W769" s="133" t="str">
        <f t="shared" si="167"/>
        <v/>
      </c>
      <c r="X769" s="130"/>
      <c r="Y769" s="131"/>
      <c r="Z769" s="131"/>
      <c r="AA769" s="132" t="str">
        <f t="shared" si="168"/>
        <v/>
      </c>
      <c r="AB769" s="133" t="str">
        <f t="shared" si="169"/>
        <v/>
      </c>
      <c r="AC769" s="134" t="str">
        <f t="shared" si="170"/>
        <v/>
      </c>
      <c r="AD769" s="135" t="str">
        <f t="shared" si="171"/>
        <v/>
      </c>
      <c r="AE769" s="136"/>
      <c r="AF769" s="137"/>
      <c r="AG769" s="137"/>
      <c r="AH769" s="138" t="str">
        <f t="shared" si="172"/>
        <v/>
      </c>
      <c r="AI769" s="133" t="str">
        <f t="shared" si="173"/>
        <v/>
      </c>
    </row>
    <row r="770" spans="1:35">
      <c r="A770" s="171">
        <f>IF('09월 조업일지'!A756="","",'09월 조업일지'!A756)</f>
        <v>46293</v>
      </c>
      <c r="B770" s="172" t="str">
        <f>'09월 조업일지'!E756</f>
        <v>A</v>
      </c>
      <c r="C770" s="172" t="str">
        <f>'09월 조업일지'!F756</f>
        <v>A</v>
      </c>
      <c r="D770" s="172">
        <f>'09월 화학성분'!C757</f>
        <v>85959</v>
      </c>
      <c r="E770" s="205" t="str">
        <f t="shared" si="174"/>
        <v/>
      </c>
      <c r="F770" s="121"/>
      <c r="G770" s="122"/>
      <c r="H770" s="123"/>
      <c r="I770" s="122"/>
      <c r="J770" s="123"/>
      <c r="K770" s="122"/>
      <c r="L770" s="124" t="str">
        <f t="shared" si="175"/>
        <v/>
      </c>
      <c r="M770" s="125" t="str">
        <f t="shared" si="175"/>
        <v/>
      </c>
      <c r="N770" s="126" t="str">
        <f t="shared" si="162"/>
        <v/>
      </c>
      <c r="O770" s="127" t="str">
        <f t="shared" si="163"/>
        <v/>
      </c>
      <c r="P770" s="127" t="str">
        <f t="shared" si="164"/>
        <v/>
      </c>
      <c r="Q770" s="128" t="str">
        <f t="shared" si="165"/>
        <v/>
      </c>
      <c r="R770" s="129"/>
      <c r="S770" s="130"/>
      <c r="T770" s="131"/>
      <c r="U770" s="131"/>
      <c r="V770" s="132" t="str">
        <f t="shared" si="166"/>
        <v/>
      </c>
      <c r="W770" s="133" t="str">
        <f t="shared" si="167"/>
        <v/>
      </c>
      <c r="X770" s="130"/>
      <c r="Y770" s="131"/>
      <c r="Z770" s="131"/>
      <c r="AA770" s="132" t="str">
        <f t="shared" si="168"/>
        <v/>
      </c>
      <c r="AB770" s="133" t="str">
        <f t="shared" si="169"/>
        <v/>
      </c>
      <c r="AC770" s="134" t="str">
        <f t="shared" si="170"/>
        <v/>
      </c>
      <c r="AD770" s="135" t="str">
        <f t="shared" si="171"/>
        <v/>
      </c>
      <c r="AE770" s="136"/>
      <c r="AF770" s="137"/>
      <c r="AG770" s="137"/>
      <c r="AH770" s="138" t="str">
        <f t="shared" si="172"/>
        <v/>
      </c>
      <c r="AI770" s="133" t="str">
        <f t="shared" si="173"/>
        <v/>
      </c>
    </row>
    <row r="771" spans="1:35">
      <c r="A771" s="171">
        <f>IF('09월 조업일지'!A757="","",'09월 조업일지'!A757)</f>
        <v>46293</v>
      </c>
      <c r="B771" s="172" t="str">
        <f>'09월 조업일지'!E757</f>
        <v>C</v>
      </c>
      <c r="C771" s="172" t="str">
        <f>'09월 조업일지'!F757</f>
        <v>B</v>
      </c>
      <c r="D771" s="172">
        <f>'09월 화학성분'!C758</f>
        <v>85960</v>
      </c>
      <c r="E771" s="205" t="str">
        <f t="shared" si="174"/>
        <v/>
      </c>
      <c r="F771" s="121"/>
      <c r="G771" s="122"/>
      <c r="H771" s="123"/>
      <c r="I771" s="122"/>
      <c r="J771" s="123"/>
      <c r="K771" s="122"/>
      <c r="L771" s="124" t="str">
        <f t="shared" si="175"/>
        <v/>
      </c>
      <c r="M771" s="125" t="str">
        <f t="shared" si="175"/>
        <v/>
      </c>
      <c r="N771" s="126" t="str">
        <f t="shared" si="162"/>
        <v/>
      </c>
      <c r="O771" s="127" t="str">
        <f t="shared" si="163"/>
        <v/>
      </c>
      <c r="P771" s="127" t="str">
        <f t="shared" si="164"/>
        <v/>
      </c>
      <c r="Q771" s="128" t="str">
        <f t="shared" si="165"/>
        <v/>
      </c>
      <c r="R771" s="129"/>
      <c r="S771" s="130"/>
      <c r="T771" s="131"/>
      <c r="U771" s="131"/>
      <c r="V771" s="132" t="str">
        <f t="shared" si="166"/>
        <v/>
      </c>
      <c r="W771" s="133" t="str">
        <f t="shared" si="167"/>
        <v/>
      </c>
      <c r="X771" s="130"/>
      <c r="Y771" s="131"/>
      <c r="Z771" s="131"/>
      <c r="AA771" s="132" t="str">
        <f t="shared" si="168"/>
        <v/>
      </c>
      <c r="AB771" s="133" t="str">
        <f t="shared" si="169"/>
        <v/>
      </c>
      <c r="AC771" s="134" t="str">
        <f t="shared" si="170"/>
        <v/>
      </c>
      <c r="AD771" s="135" t="str">
        <f t="shared" si="171"/>
        <v/>
      </c>
      <c r="AE771" s="136"/>
      <c r="AF771" s="137"/>
      <c r="AG771" s="137"/>
      <c r="AH771" s="138" t="str">
        <f t="shared" si="172"/>
        <v/>
      </c>
      <c r="AI771" s="133" t="str">
        <f t="shared" si="173"/>
        <v/>
      </c>
    </row>
    <row r="772" spans="1:35">
      <c r="A772" s="171">
        <f>IF('09월 조업일지'!A758="","",'09월 조업일지'!A758)</f>
        <v>46293</v>
      </c>
      <c r="B772" s="172" t="str">
        <f>'09월 조업일지'!E758</f>
        <v>C</v>
      </c>
      <c r="C772" s="172" t="str">
        <f>'09월 조업일지'!F758</f>
        <v>A</v>
      </c>
      <c r="D772" s="172">
        <f>'09월 화학성분'!C759</f>
        <v>85961</v>
      </c>
      <c r="E772" s="205" t="str">
        <f t="shared" si="174"/>
        <v/>
      </c>
      <c r="F772" s="121"/>
      <c r="G772" s="122"/>
      <c r="H772" s="123"/>
      <c r="I772" s="122"/>
      <c r="J772" s="123"/>
      <c r="K772" s="122"/>
      <c r="L772" s="124" t="str">
        <f t="shared" si="175"/>
        <v/>
      </c>
      <c r="M772" s="125" t="str">
        <f t="shared" si="175"/>
        <v/>
      </c>
      <c r="N772" s="126" t="str">
        <f t="shared" si="162"/>
        <v/>
      </c>
      <c r="O772" s="127" t="str">
        <f t="shared" si="163"/>
        <v/>
      </c>
      <c r="P772" s="127" t="str">
        <f t="shared" si="164"/>
        <v/>
      </c>
      <c r="Q772" s="128" t="str">
        <f t="shared" si="165"/>
        <v/>
      </c>
      <c r="R772" s="129"/>
      <c r="S772" s="130"/>
      <c r="T772" s="131"/>
      <c r="U772" s="131"/>
      <c r="V772" s="132" t="str">
        <f t="shared" si="166"/>
        <v/>
      </c>
      <c r="W772" s="133" t="str">
        <f t="shared" si="167"/>
        <v/>
      </c>
      <c r="X772" s="130"/>
      <c r="Y772" s="131"/>
      <c r="Z772" s="131"/>
      <c r="AA772" s="132" t="str">
        <f t="shared" si="168"/>
        <v/>
      </c>
      <c r="AB772" s="133" t="str">
        <f t="shared" si="169"/>
        <v/>
      </c>
      <c r="AC772" s="134" t="str">
        <f t="shared" si="170"/>
        <v/>
      </c>
      <c r="AD772" s="135" t="str">
        <f t="shared" si="171"/>
        <v/>
      </c>
      <c r="AE772" s="136"/>
      <c r="AF772" s="137"/>
      <c r="AG772" s="137"/>
      <c r="AH772" s="138" t="str">
        <f t="shared" si="172"/>
        <v/>
      </c>
      <c r="AI772" s="133" t="str">
        <f t="shared" si="173"/>
        <v/>
      </c>
    </row>
    <row r="773" spans="1:35">
      <c r="A773" s="171">
        <f>IF('09월 조업일지'!A759="","",'09월 조업일지'!A759)</f>
        <v>46293</v>
      </c>
      <c r="B773" s="172" t="str">
        <f>'09월 조업일지'!E759</f>
        <v>C</v>
      </c>
      <c r="C773" s="172" t="str">
        <f>'09월 조업일지'!F759</f>
        <v>B</v>
      </c>
      <c r="D773" s="172">
        <f>'09월 화학성분'!C760</f>
        <v>85962</v>
      </c>
      <c r="E773" s="205" t="str">
        <f t="shared" si="174"/>
        <v/>
      </c>
      <c r="F773" s="121"/>
      <c r="G773" s="122"/>
      <c r="H773" s="123"/>
      <c r="I773" s="122"/>
      <c r="J773" s="123"/>
      <c r="K773" s="122"/>
      <c r="L773" s="124" t="str">
        <f t="shared" si="175"/>
        <v/>
      </c>
      <c r="M773" s="125" t="str">
        <f t="shared" si="175"/>
        <v/>
      </c>
      <c r="N773" s="126" t="str">
        <f t="shared" si="162"/>
        <v/>
      </c>
      <c r="O773" s="127" t="str">
        <f t="shared" si="163"/>
        <v/>
      </c>
      <c r="P773" s="127" t="str">
        <f t="shared" si="164"/>
        <v/>
      </c>
      <c r="Q773" s="128" t="str">
        <f t="shared" si="165"/>
        <v/>
      </c>
      <c r="R773" s="129"/>
      <c r="S773" s="130"/>
      <c r="T773" s="131"/>
      <c r="U773" s="131"/>
      <c r="V773" s="132" t="str">
        <f t="shared" si="166"/>
        <v/>
      </c>
      <c r="W773" s="133" t="str">
        <f t="shared" si="167"/>
        <v/>
      </c>
      <c r="X773" s="130"/>
      <c r="Y773" s="131"/>
      <c r="Z773" s="131"/>
      <c r="AA773" s="132" t="str">
        <f t="shared" si="168"/>
        <v/>
      </c>
      <c r="AB773" s="133" t="str">
        <f t="shared" si="169"/>
        <v/>
      </c>
      <c r="AC773" s="134" t="str">
        <f t="shared" si="170"/>
        <v/>
      </c>
      <c r="AD773" s="135" t="str">
        <f t="shared" si="171"/>
        <v/>
      </c>
      <c r="AE773" s="136"/>
      <c r="AF773" s="137"/>
      <c r="AG773" s="137"/>
      <c r="AH773" s="138" t="str">
        <f t="shared" si="172"/>
        <v/>
      </c>
      <c r="AI773" s="133" t="str">
        <f t="shared" si="173"/>
        <v/>
      </c>
    </row>
    <row r="774" spans="1:35">
      <c r="A774" s="171">
        <f>IF('09월 조업일지'!A760="","",'09월 조업일지'!A760)</f>
        <v>46293</v>
      </c>
      <c r="B774" s="172" t="str">
        <f>'09월 조업일지'!E760</f>
        <v>C</v>
      </c>
      <c r="C774" s="172" t="str">
        <f>'09월 조업일지'!F760</f>
        <v>A</v>
      </c>
      <c r="D774" s="172">
        <f>'09월 화학성분'!C761</f>
        <v>85963</v>
      </c>
      <c r="E774" s="205" t="str">
        <f t="shared" si="174"/>
        <v/>
      </c>
      <c r="F774" s="121"/>
      <c r="G774" s="122"/>
      <c r="H774" s="123"/>
      <c r="I774" s="122"/>
      <c r="J774" s="123"/>
      <c r="K774" s="122"/>
      <c r="L774" s="124" t="str">
        <f t="shared" si="175"/>
        <v/>
      </c>
      <c r="M774" s="125" t="str">
        <f t="shared" si="175"/>
        <v/>
      </c>
      <c r="N774" s="126" t="str">
        <f t="shared" si="162"/>
        <v/>
      </c>
      <c r="O774" s="127" t="str">
        <f t="shared" si="163"/>
        <v/>
      </c>
      <c r="P774" s="127" t="str">
        <f t="shared" si="164"/>
        <v/>
      </c>
      <c r="Q774" s="128" t="str">
        <f t="shared" si="165"/>
        <v/>
      </c>
      <c r="R774" s="129"/>
      <c r="S774" s="130"/>
      <c r="T774" s="131"/>
      <c r="U774" s="131"/>
      <c r="V774" s="132" t="str">
        <f t="shared" si="166"/>
        <v/>
      </c>
      <c r="W774" s="133" t="str">
        <f t="shared" si="167"/>
        <v/>
      </c>
      <c r="X774" s="130"/>
      <c r="Y774" s="131"/>
      <c r="Z774" s="131"/>
      <c r="AA774" s="132" t="str">
        <f t="shared" si="168"/>
        <v/>
      </c>
      <c r="AB774" s="133" t="str">
        <f t="shared" si="169"/>
        <v/>
      </c>
      <c r="AC774" s="134" t="str">
        <f t="shared" si="170"/>
        <v/>
      </c>
      <c r="AD774" s="135" t="str">
        <f t="shared" si="171"/>
        <v/>
      </c>
      <c r="AE774" s="136"/>
      <c r="AF774" s="137"/>
      <c r="AG774" s="137"/>
      <c r="AH774" s="138" t="str">
        <f t="shared" si="172"/>
        <v/>
      </c>
      <c r="AI774" s="133" t="str">
        <f t="shared" si="173"/>
        <v/>
      </c>
    </row>
    <row r="775" spans="1:35">
      <c r="A775" s="171">
        <f>IF('09월 조업일지'!A761="","",'09월 조업일지'!A761)</f>
        <v>46293</v>
      </c>
      <c r="B775" s="172" t="str">
        <f>'09월 조업일지'!E761</f>
        <v>C</v>
      </c>
      <c r="C775" s="172" t="str">
        <f>'09월 조업일지'!F761</f>
        <v>B</v>
      </c>
      <c r="D775" s="172">
        <f>'09월 화학성분'!C762</f>
        <v>85964</v>
      </c>
      <c r="E775" s="205" t="str">
        <f t="shared" si="174"/>
        <v/>
      </c>
      <c r="F775" s="121"/>
      <c r="G775" s="122"/>
      <c r="H775" s="123"/>
      <c r="I775" s="122"/>
      <c r="J775" s="123"/>
      <c r="K775" s="122"/>
      <c r="L775" s="124" t="str">
        <f t="shared" si="175"/>
        <v/>
      </c>
      <c r="M775" s="125" t="str">
        <f t="shared" si="175"/>
        <v/>
      </c>
      <c r="N775" s="126" t="str">
        <f t="shared" si="162"/>
        <v/>
      </c>
      <c r="O775" s="127" t="str">
        <f t="shared" si="163"/>
        <v/>
      </c>
      <c r="P775" s="127" t="str">
        <f t="shared" si="164"/>
        <v/>
      </c>
      <c r="Q775" s="128" t="str">
        <f t="shared" si="165"/>
        <v/>
      </c>
      <c r="R775" s="129"/>
      <c r="S775" s="130"/>
      <c r="T775" s="131"/>
      <c r="U775" s="131"/>
      <c r="V775" s="132" t="str">
        <f t="shared" si="166"/>
        <v/>
      </c>
      <c r="W775" s="133" t="str">
        <f t="shared" si="167"/>
        <v/>
      </c>
      <c r="X775" s="130"/>
      <c r="Y775" s="131"/>
      <c r="Z775" s="131"/>
      <c r="AA775" s="132" t="str">
        <f t="shared" si="168"/>
        <v/>
      </c>
      <c r="AB775" s="133" t="str">
        <f t="shared" si="169"/>
        <v/>
      </c>
      <c r="AC775" s="134" t="str">
        <f t="shared" si="170"/>
        <v/>
      </c>
      <c r="AD775" s="135" t="str">
        <f t="shared" si="171"/>
        <v/>
      </c>
      <c r="AE775" s="136"/>
      <c r="AF775" s="137"/>
      <c r="AG775" s="137"/>
      <c r="AH775" s="138" t="str">
        <f t="shared" si="172"/>
        <v/>
      </c>
      <c r="AI775" s="133" t="str">
        <f t="shared" si="173"/>
        <v/>
      </c>
    </row>
    <row r="776" spans="1:35">
      <c r="A776" s="171">
        <f>IF('09월 조업일지'!A762="","",'09월 조업일지'!A762)</f>
        <v>46293</v>
      </c>
      <c r="B776" s="172" t="str">
        <f>'09월 조업일지'!E762</f>
        <v>D</v>
      </c>
      <c r="C776" s="172" t="str">
        <f>'09월 조업일지'!F762</f>
        <v>A</v>
      </c>
      <c r="D776" s="172">
        <f>'09월 화학성분'!C763</f>
        <v>85965</v>
      </c>
      <c r="E776" s="205" t="str">
        <f t="shared" si="174"/>
        <v/>
      </c>
      <c r="F776" s="121"/>
      <c r="G776" s="122"/>
      <c r="H776" s="123"/>
      <c r="I776" s="122"/>
      <c r="J776" s="123"/>
      <c r="K776" s="122"/>
      <c r="L776" s="124" t="str">
        <f t="shared" si="175"/>
        <v/>
      </c>
      <c r="M776" s="125" t="str">
        <f t="shared" si="175"/>
        <v/>
      </c>
      <c r="N776" s="126" t="str">
        <f t="shared" si="162"/>
        <v/>
      </c>
      <c r="O776" s="127" t="str">
        <f t="shared" si="163"/>
        <v/>
      </c>
      <c r="P776" s="127" t="str">
        <f t="shared" si="164"/>
        <v/>
      </c>
      <c r="Q776" s="128" t="str">
        <f t="shared" si="165"/>
        <v/>
      </c>
      <c r="R776" s="129"/>
      <c r="S776" s="130"/>
      <c r="T776" s="131"/>
      <c r="U776" s="131"/>
      <c r="V776" s="132" t="str">
        <f t="shared" si="166"/>
        <v/>
      </c>
      <c r="W776" s="133" t="str">
        <f t="shared" si="167"/>
        <v/>
      </c>
      <c r="X776" s="130"/>
      <c r="Y776" s="131"/>
      <c r="Z776" s="131"/>
      <c r="AA776" s="132" t="str">
        <f t="shared" si="168"/>
        <v/>
      </c>
      <c r="AB776" s="133" t="str">
        <f t="shared" si="169"/>
        <v/>
      </c>
      <c r="AC776" s="134" t="str">
        <f t="shared" si="170"/>
        <v/>
      </c>
      <c r="AD776" s="135" t="str">
        <f t="shared" si="171"/>
        <v/>
      </c>
      <c r="AE776" s="136"/>
      <c r="AF776" s="137"/>
      <c r="AG776" s="137"/>
      <c r="AH776" s="138" t="str">
        <f t="shared" si="172"/>
        <v/>
      </c>
      <c r="AI776" s="133" t="str">
        <f t="shared" si="173"/>
        <v/>
      </c>
    </row>
    <row r="777" spans="1:35">
      <c r="A777" s="171">
        <f>IF('09월 조업일지'!A763="","",'09월 조업일지'!A763)</f>
        <v>46293</v>
      </c>
      <c r="B777" s="172" t="str">
        <f>'09월 조업일지'!E763</f>
        <v>D</v>
      </c>
      <c r="C777" s="172" t="str">
        <f>'09월 조업일지'!F763</f>
        <v>A</v>
      </c>
      <c r="D777" s="172">
        <f>'09월 화학성분'!C764</f>
        <v>85966</v>
      </c>
      <c r="E777" s="205" t="str">
        <f t="shared" si="174"/>
        <v/>
      </c>
      <c r="F777" s="121"/>
      <c r="G777" s="122"/>
      <c r="H777" s="123"/>
      <c r="I777" s="122"/>
      <c r="J777" s="123"/>
      <c r="K777" s="122"/>
      <c r="L777" s="124" t="str">
        <f t="shared" si="175"/>
        <v/>
      </c>
      <c r="M777" s="125" t="str">
        <f t="shared" si="175"/>
        <v/>
      </c>
      <c r="N777" s="126" t="str">
        <f t="shared" si="162"/>
        <v/>
      </c>
      <c r="O777" s="127" t="str">
        <f t="shared" si="163"/>
        <v/>
      </c>
      <c r="P777" s="127" t="str">
        <f t="shared" si="164"/>
        <v/>
      </c>
      <c r="Q777" s="128" t="str">
        <f t="shared" si="165"/>
        <v/>
      </c>
      <c r="R777" s="129"/>
      <c r="S777" s="130"/>
      <c r="T777" s="131"/>
      <c r="U777" s="131"/>
      <c r="V777" s="132" t="str">
        <f t="shared" si="166"/>
        <v/>
      </c>
      <c r="W777" s="133" t="str">
        <f t="shared" si="167"/>
        <v/>
      </c>
      <c r="X777" s="130"/>
      <c r="Y777" s="131"/>
      <c r="Z777" s="131"/>
      <c r="AA777" s="132" t="str">
        <f t="shared" si="168"/>
        <v/>
      </c>
      <c r="AB777" s="133" t="str">
        <f t="shared" si="169"/>
        <v/>
      </c>
      <c r="AC777" s="134" t="str">
        <f t="shared" si="170"/>
        <v/>
      </c>
      <c r="AD777" s="135" t="str">
        <f t="shared" si="171"/>
        <v/>
      </c>
      <c r="AE777" s="136"/>
      <c r="AF777" s="137"/>
      <c r="AG777" s="137"/>
      <c r="AH777" s="138" t="str">
        <f t="shared" si="172"/>
        <v/>
      </c>
      <c r="AI777" s="133" t="str">
        <f t="shared" si="173"/>
        <v/>
      </c>
    </row>
    <row r="778" spans="1:35">
      <c r="A778" s="171">
        <f>IF('09월 조업일지'!A764="","",'09월 조업일지'!A764)</f>
        <v>46293</v>
      </c>
      <c r="B778" s="172" t="str">
        <f>'09월 조업일지'!E764</f>
        <v>D</v>
      </c>
      <c r="C778" s="172" t="str">
        <f>'09월 조업일지'!F764</f>
        <v>B</v>
      </c>
      <c r="D778" s="172">
        <f>'09월 화학성분'!C765</f>
        <v>85967</v>
      </c>
      <c r="E778" s="205" t="str">
        <f t="shared" si="174"/>
        <v/>
      </c>
      <c r="F778" s="121"/>
      <c r="G778" s="122"/>
      <c r="H778" s="123"/>
      <c r="I778" s="122"/>
      <c r="J778" s="123"/>
      <c r="K778" s="122"/>
      <c r="L778" s="124" t="str">
        <f t="shared" si="175"/>
        <v/>
      </c>
      <c r="M778" s="125" t="str">
        <f t="shared" si="175"/>
        <v/>
      </c>
      <c r="N778" s="126" t="str">
        <f t="shared" si="162"/>
        <v/>
      </c>
      <c r="O778" s="127" t="str">
        <f t="shared" si="163"/>
        <v/>
      </c>
      <c r="P778" s="127" t="str">
        <f t="shared" si="164"/>
        <v/>
      </c>
      <c r="Q778" s="128" t="str">
        <f t="shared" si="165"/>
        <v/>
      </c>
      <c r="R778" s="129"/>
      <c r="S778" s="130"/>
      <c r="T778" s="131"/>
      <c r="U778" s="131"/>
      <c r="V778" s="132" t="str">
        <f t="shared" si="166"/>
        <v/>
      </c>
      <c r="W778" s="133" t="str">
        <f t="shared" si="167"/>
        <v/>
      </c>
      <c r="X778" s="130"/>
      <c r="Y778" s="131"/>
      <c r="Z778" s="131"/>
      <c r="AA778" s="132" t="str">
        <f t="shared" si="168"/>
        <v/>
      </c>
      <c r="AB778" s="133" t="str">
        <f t="shared" si="169"/>
        <v/>
      </c>
      <c r="AC778" s="134" t="str">
        <f t="shared" si="170"/>
        <v/>
      </c>
      <c r="AD778" s="135" t="str">
        <f t="shared" si="171"/>
        <v/>
      </c>
      <c r="AE778" s="136"/>
      <c r="AF778" s="137"/>
      <c r="AG778" s="137"/>
      <c r="AH778" s="138" t="str">
        <f t="shared" si="172"/>
        <v/>
      </c>
      <c r="AI778" s="133" t="str">
        <f t="shared" si="173"/>
        <v/>
      </c>
    </row>
    <row r="779" spans="1:35">
      <c r="A779" s="171">
        <f>IF('09월 조업일지'!A765="","",'09월 조업일지'!A765)</f>
        <v>46293</v>
      </c>
      <c r="B779" s="172" t="str">
        <f>'09월 조업일지'!E765</f>
        <v>D</v>
      </c>
      <c r="C779" s="172" t="str">
        <f>'09월 조업일지'!F765</f>
        <v>A</v>
      </c>
      <c r="D779" s="172">
        <f>'09월 화학성분'!C766</f>
        <v>85968</v>
      </c>
      <c r="E779" s="205" t="str">
        <f t="shared" si="174"/>
        <v/>
      </c>
      <c r="F779" s="121"/>
      <c r="G779" s="122"/>
      <c r="H779" s="123"/>
      <c r="I779" s="122"/>
      <c r="J779" s="123"/>
      <c r="K779" s="122"/>
      <c r="L779" s="124" t="str">
        <f t="shared" si="175"/>
        <v/>
      </c>
      <c r="M779" s="125" t="str">
        <f t="shared" si="175"/>
        <v/>
      </c>
      <c r="N779" s="126" t="str">
        <f t="shared" si="162"/>
        <v/>
      </c>
      <c r="O779" s="127" t="str">
        <f t="shared" si="163"/>
        <v/>
      </c>
      <c r="P779" s="127" t="str">
        <f t="shared" si="164"/>
        <v/>
      </c>
      <c r="Q779" s="128" t="str">
        <f t="shared" si="165"/>
        <v/>
      </c>
      <c r="R779" s="129"/>
      <c r="S779" s="130"/>
      <c r="T779" s="131"/>
      <c r="U779" s="131"/>
      <c r="V779" s="132" t="str">
        <f t="shared" si="166"/>
        <v/>
      </c>
      <c r="W779" s="133" t="str">
        <f t="shared" si="167"/>
        <v/>
      </c>
      <c r="X779" s="130"/>
      <c r="Y779" s="131"/>
      <c r="Z779" s="131"/>
      <c r="AA779" s="132" t="str">
        <f t="shared" si="168"/>
        <v/>
      </c>
      <c r="AB779" s="133" t="str">
        <f t="shared" si="169"/>
        <v/>
      </c>
      <c r="AC779" s="134" t="str">
        <f t="shared" si="170"/>
        <v/>
      </c>
      <c r="AD779" s="135" t="str">
        <f t="shared" si="171"/>
        <v/>
      </c>
      <c r="AE779" s="136"/>
      <c r="AF779" s="137"/>
      <c r="AG779" s="137"/>
      <c r="AH779" s="138" t="str">
        <f t="shared" si="172"/>
        <v/>
      </c>
      <c r="AI779" s="133" t="str">
        <f t="shared" si="173"/>
        <v/>
      </c>
    </row>
    <row r="780" spans="1:35">
      <c r="A780" s="171">
        <f>IF('09월 조업일지'!A766="","",'09월 조업일지'!A766)</f>
        <v>46293</v>
      </c>
      <c r="B780" s="172" t="str">
        <f>'09월 조업일지'!E766</f>
        <v>A</v>
      </c>
      <c r="C780" s="172" t="str">
        <f>'09월 조업일지'!F766</f>
        <v>B</v>
      </c>
      <c r="D780" s="172">
        <f>'09월 화학성분'!C767</f>
        <v>85969</v>
      </c>
      <c r="E780" s="205" t="str">
        <f t="shared" si="174"/>
        <v/>
      </c>
      <c r="F780" s="121"/>
      <c r="G780" s="122"/>
      <c r="H780" s="123"/>
      <c r="I780" s="122"/>
      <c r="J780" s="123"/>
      <c r="K780" s="122"/>
      <c r="L780" s="124" t="str">
        <f t="shared" si="175"/>
        <v/>
      </c>
      <c r="M780" s="125" t="str">
        <f t="shared" si="175"/>
        <v/>
      </c>
      <c r="N780" s="126" t="str">
        <f t="shared" si="162"/>
        <v/>
      </c>
      <c r="O780" s="127" t="str">
        <f t="shared" si="163"/>
        <v/>
      </c>
      <c r="P780" s="127" t="str">
        <f t="shared" si="164"/>
        <v/>
      </c>
      <c r="Q780" s="128" t="str">
        <f t="shared" si="165"/>
        <v/>
      </c>
      <c r="R780" s="129"/>
      <c r="S780" s="130"/>
      <c r="T780" s="131"/>
      <c r="U780" s="131"/>
      <c r="V780" s="132" t="str">
        <f t="shared" si="166"/>
        <v/>
      </c>
      <c r="W780" s="133" t="str">
        <f t="shared" si="167"/>
        <v/>
      </c>
      <c r="X780" s="130"/>
      <c r="Y780" s="131"/>
      <c r="Z780" s="131"/>
      <c r="AA780" s="132" t="str">
        <f t="shared" si="168"/>
        <v/>
      </c>
      <c r="AB780" s="133" t="str">
        <f t="shared" si="169"/>
        <v/>
      </c>
      <c r="AC780" s="134" t="str">
        <f t="shared" si="170"/>
        <v/>
      </c>
      <c r="AD780" s="135" t="str">
        <f t="shared" si="171"/>
        <v/>
      </c>
      <c r="AE780" s="136"/>
      <c r="AF780" s="137"/>
      <c r="AG780" s="137"/>
      <c r="AH780" s="138" t="str">
        <f t="shared" si="172"/>
        <v/>
      </c>
      <c r="AI780" s="133" t="str">
        <f t="shared" si="173"/>
        <v/>
      </c>
    </row>
    <row r="781" spans="1:35">
      <c r="A781" s="171">
        <f>IF('09월 조업일지'!A767="","",'09월 조업일지'!A767)</f>
        <v>46293</v>
      </c>
      <c r="B781" s="172" t="str">
        <f>'09월 조업일지'!E767</f>
        <v>A</v>
      </c>
      <c r="C781" s="172" t="str">
        <f>'09월 조업일지'!F767</f>
        <v>A</v>
      </c>
      <c r="D781" s="172">
        <f>'09월 화학성분'!C768</f>
        <v>85970</v>
      </c>
      <c r="E781" s="205" t="str">
        <f t="shared" si="174"/>
        <v/>
      </c>
      <c r="F781" s="121"/>
      <c r="G781" s="122"/>
      <c r="H781" s="123"/>
      <c r="I781" s="122"/>
      <c r="J781" s="123"/>
      <c r="K781" s="122"/>
      <c r="L781" s="124" t="str">
        <f t="shared" si="175"/>
        <v/>
      </c>
      <c r="M781" s="125" t="str">
        <f t="shared" si="175"/>
        <v/>
      </c>
      <c r="N781" s="126" t="str">
        <f t="shared" si="162"/>
        <v/>
      </c>
      <c r="O781" s="127" t="str">
        <f t="shared" si="163"/>
        <v/>
      </c>
      <c r="P781" s="127" t="str">
        <f t="shared" si="164"/>
        <v/>
      </c>
      <c r="Q781" s="128" t="str">
        <f t="shared" si="165"/>
        <v/>
      </c>
      <c r="R781" s="129"/>
      <c r="S781" s="130"/>
      <c r="T781" s="131"/>
      <c r="U781" s="131"/>
      <c r="V781" s="132" t="str">
        <f t="shared" si="166"/>
        <v/>
      </c>
      <c r="W781" s="133" t="str">
        <f t="shared" si="167"/>
        <v/>
      </c>
      <c r="X781" s="130"/>
      <c r="Y781" s="131"/>
      <c r="Z781" s="131"/>
      <c r="AA781" s="132" t="str">
        <f t="shared" si="168"/>
        <v/>
      </c>
      <c r="AB781" s="133" t="str">
        <f t="shared" si="169"/>
        <v/>
      </c>
      <c r="AC781" s="134" t="str">
        <f t="shared" si="170"/>
        <v/>
      </c>
      <c r="AD781" s="135" t="str">
        <f t="shared" si="171"/>
        <v/>
      </c>
      <c r="AE781" s="136"/>
      <c r="AF781" s="137"/>
      <c r="AG781" s="137"/>
      <c r="AH781" s="138" t="str">
        <f t="shared" si="172"/>
        <v/>
      </c>
      <c r="AI781" s="133" t="str">
        <f t="shared" si="173"/>
        <v/>
      </c>
    </row>
    <row r="782" spans="1:35">
      <c r="A782" s="171">
        <f>IF('09월 조업일지'!A768="","",'09월 조업일지'!A768)</f>
        <v>46293</v>
      </c>
      <c r="B782" s="172" t="str">
        <f>'09월 조업일지'!E768</f>
        <v>A</v>
      </c>
      <c r="C782" s="172" t="str">
        <f>'09월 조업일지'!F768</f>
        <v>B</v>
      </c>
      <c r="D782" s="172">
        <f>'09월 화학성분'!C769</f>
        <v>85971</v>
      </c>
      <c r="E782" s="205" t="str">
        <f t="shared" si="174"/>
        <v/>
      </c>
      <c r="F782" s="121"/>
      <c r="G782" s="122"/>
      <c r="H782" s="123"/>
      <c r="I782" s="122"/>
      <c r="J782" s="123"/>
      <c r="K782" s="122"/>
      <c r="L782" s="124" t="str">
        <f t="shared" si="175"/>
        <v/>
      </c>
      <c r="M782" s="125" t="str">
        <f t="shared" si="175"/>
        <v/>
      </c>
      <c r="N782" s="126" t="str">
        <f t="shared" si="162"/>
        <v/>
      </c>
      <c r="O782" s="127" t="str">
        <f t="shared" si="163"/>
        <v/>
      </c>
      <c r="P782" s="127" t="str">
        <f t="shared" si="164"/>
        <v/>
      </c>
      <c r="Q782" s="128" t="str">
        <f t="shared" si="165"/>
        <v/>
      </c>
      <c r="R782" s="129"/>
      <c r="S782" s="130"/>
      <c r="T782" s="131"/>
      <c r="U782" s="131"/>
      <c r="V782" s="132" t="str">
        <f t="shared" si="166"/>
        <v/>
      </c>
      <c r="W782" s="133" t="str">
        <f t="shared" si="167"/>
        <v/>
      </c>
      <c r="X782" s="130"/>
      <c r="Y782" s="131"/>
      <c r="Z782" s="131"/>
      <c r="AA782" s="132" t="str">
        <f t="shared" si="168"/>
        <v/>
      </c>
      <c r="AB782" s="133" t="str">
        <f t="shared" si="169"/>
        <v/>
      </c>
      <c r="AC782" s="134" t="str">
        <f t="shared" si="170"/>
        <v/>
      </c>
      <c r="AD782" s="135" t="str">
        <f t="shared" si="171"/>
        <v/>
      </c>
      <c r="AE782" s="136"/>
      <c r="AF782" s="137"/>
      <c r="AG782" s="137"/>
      <c r="AH782" s="138" t="str">
        <f t="shared" si="172"/>
        <v/>
      </c>
      <c r="AI782" s="133" t="str">
        <f t="shared" si="173"/>
        <v/>
      </c>
    </row>
    <row r="783" spans="1:35">
      <c r="A783" s="171">
        <f>IF('09월 조업일지'!A769="","",'09월 조업일지'!A769)</f>
        <v>46293</v>
      </c>
      <c r="B783" s="172" t="str">
        <f>'09월 조업일지'!E769</f>
        <v>A</v>
      </c>
      <c r="C783" s="172" t="str">
        <f>'09월 조업일지'!F769</f>
        <v>A</v>
      </c>
      <c r="D783" s="172">
        <f>'09월 화학성분'!C770</f>
        <v>85972</v>
      </c>
      <c r="E783" s="205" t="str">
        <f t="shared" si="174"/>
        <v/>
      </c>
      <c r="F783" s="121"/>
      <c r="G783" s="122"/>
      <c r="H783" s="123"/>
      <c r="I783" s="122"/>
      <c r="J783" s="123"/>
      <c r="K783" s="122"/>
      <c r="L783" s="124" t="str">
        <f t="shared" si="175"/>
        <v/>
      </c>
      <c r="M783" s="125" t="str">
        <f t="shared" si="175"/>
        <v/>
      </c>
      <c r="N783" s="126" t="str">
        <f t="shared" si="162"/>
        <v/>
      </c>
      <c r="O783" s="127" t="str">
        <f t="shared" si="163"/>
        <v/>
      </c>
      <c r="P783" s="127" t="str">
        <f t="shared" si="164"/>
        <v/>
      </c>
      <c r="Q783" s="128" t="str">
        <f t="shared" si="165"/>
        <v/>
      </c>
      <c r="R783" s="129"/>
      <c r="S783" s="130"/>
      <c r="T783" s="131"/>
      <c r="U783" s="131"/>
      <c r="V783" s="132" t="str">
        <f t="shared" si="166"/>
        <v/>
      </c>
      <c r="W783" s="133" t="str">
        <f t="shared" si="167"/>
        <v/>
      </c>
      <c r="X783" s="130"/>
      <c r="Y783" s="131"/>
      <c r="Z783" s="131"/>
      <c r="AA783" s="132" t="str">
        <f t="shared" si="168"/>
        <v/>
      </c>
      <c r="AB783" s="133" t="str">
        <f t="shared" si="169"/>
        <v/>
      </c>
      <c r="AC783" s="134" t="str">
        <f t="shared" si="170"/>
        <v/>
      </c>
      <c r="AD783" s="135" t="str">
        <f t="shared" si="171"/>
        <v/>
      </c>
      <c r="AE783" s="136"/>
      <c r="AF783" s="137"/>
      <c r="AG783" s="137"/>
      <c r="AH783" s="138" t="str">
        <f t="shared" si="172"/>
        <v/>
      </c>
      <c r="AI783" s="133" t="str">
        <f t="shared" si="173"/>
        <v/>
      </c>
    </row>
    <row r="784" spans="1:35">
      <c r="A784" s="171">
        <f>IF('09월 조업일지'!A770="","",'09월 조업일지'!A770)</f>
        <v>46293</v>
      </c>
      <c r="B784" s="172" t="str">
        <f>'09월 조업일지'!E770</f>
        <v>A</v>
      </c>
      <c r="C784" s="172" t="str">
        <f>'09월 조업일지'!F770</f>
        <v>B</v>
      </c>
      <c r="D784" s="172">
        <f>'09월 화학성분'!C771</f>
        <v>85973</v>
      </c>
      <c r="E784" s="205" t="str">
        <f t="shared" si="174"/>
        <v/>
      </c>
      <c r="F784" s="121"/>
      <c r="G784" s="122"/>
      <c r="H784" s="123"/>
      <c r="I784" s="122"/>
      <c r="J784" s="123"/>
      <c r="K784" s="122"/>
      <c r="L784" s="124" t="str">
        <f t="shared" si="175"/>
        <v/>
      </c>
      <c r="M784" s="125" t="str">
        <f t="shared" si="175"/>
        <v/>
      </c>
      <c r="N784" s="126" t="str">
        <f t="shared" si="162"/>
        <v/>
      </c>
      <c r="O784" s="127" t="str">
        <f t="shared" si="163"/>
        <v/>
      </c>
      <c r="P784" s="127" t="str">
        <f t="shared" si="164"/>
        <v/>
      </c>
      <c r="Q784" s="128" t="str">
        <f t="shared" si="165"/>
        <v/>
      </c>
      <c r="R784" s="129"/>
      <c r="S784" s="130"/>
      <c r="T784" s="131"/>
      <c r="U784" s="131"/>
      <c r="V784" s="132" t="str">
        <f t="shared" si="166"/>
        <v/>
      </c>
      <c r="W784" s="133" t="str">
        <f t="shared" si="167"/>
        <v/>
      </c>
      <c r="X784" s="130"/>
      <c r="Y784" s="131"/>
      <c r="Z784" s="131"/>
      <c r="AA784" s="132" t="str">
        <f t="shared" si="168"/>
        <v/>
      </c>
      <c r="AB784" s="133" t="str">
        <f t="shared" si="169"/>
        <v/>
      </c>
      <c r="AC784" s="134" t="str">
        <f t="shared" si="170"/>
        <v/>
      </c>
      <c r="AD784" s="135" t="str">
        <f t="shared" si="171"/>
        <v/>
      </c>
      <c r="AE784" s="136"/>
      <c r="AF784" s="137"/>
      <c r="AG784" s="137"/>
      <c r="AH784" s="138" t="str">
        <f t="shared" si="172"/>
        <v/>
      </c>
      <c r="AI784" s="133" t="str">
        <f t="shared" si="173"/>
        <v/>
      </c>
    </row>
    <row r="785" spans="1:35">
      <c r="A785" s="171">
        <f>IF('09월 조업일지'!A771="","",'09월 조업일지'!A771)</f>
        <v>46293</v>
      </c>
      <c r="B785" s="172" t="str">
        <f>'09월 조업일지'!E771</f>
        <v>A</v>
      </c>
      <c r="C785" s="172" t="str">
        <f>'09월 조업일지'!F771</f>
        <v>A</v>
      </c>
      <c r="D785" s="172">
        <f>'09월 화학성분'!C772</f>
        <v>85974</v>
      </c>
      <c r="E785" s="205" t="str">
        <f t="shared" si="174"/>
        <v/>
      </c>
      <c r="F785" s="121"/>
      <c r="G785" s="122"/>
      <c r="H785" s="123"/>
      <c r="I785" s="122"/>
      <c r="J785" s="123"/>
      <c r="K785" s="122"/>
      <c r="L785" s="124" t="str">
        <f t="shared" si="175"/>
        <v/>
      </c>
      <c r="M785" s="125" t="str">
        <f t="shared" si="175"/>
        <v/>
      </c>
      <c r="N785" s="126" t="str">
        <f t="shared" si="162"/>
        <v/>
      </c>
      <c r="O785" s="127" t="str">
        <f t="shared" si="163"/>
        <v/>
      </c>
      <c r="P785" s="127" t="str">
        <f t="shared" si="164"/>
        <v/>
      </c>
      <c r="Q785" s="128" t="str">
        <f t="shared" si="165"/>
        <v/>
      </c>
      <c r="R785" s="129"/>
      <c r="S785" s="130"/>
      <c r="T785" s="131"/>
      <c r="U785" s="131"/>
      <c r="V785" s="132" t="str">
        <f t="shared" si="166"/>
        <v/>
      </c>
      <c r="W785" s="133" t="str">
        <f t="shared" si="167"/>
        <v/>
      </c>
      <c r="X785" s="130"/>
      <c r="Y785" s="131"/>
      <c r="Z785" s="131"/>
      <c r="AA785" s="132" t="str">
        <f t="shared" si="168"/>
        <v/>
      </c>
      <c r="AB785" s="133" t="str">
        <f t="shared" si="169"/>
        <v/>
      </c>
      <c r="AC785" s="134" t="str">
        <f t="shared" si="170"/>
        <v/>
      </c>
      <c r="AD785" s="135" t="str">
        <f t="shared" si="171"/>
        <v/>
      </c>
      <c r="AE785" s="136"/>
      <c r="AF785" s="137"/>
      <c r="AG785" s="137"/>
      <c r="AH785" s="138" t="str">
        <f t="shared" si="172"/>
        <v/>
      </c>
      <c r="AI785" s="133" t="str">
        <f t="shared" si="173"/>
        <v/>
      </c>
    </row>
    <row r="786" spans="1:35">
      <c r="A786" s="171">
        <f>IF('09월 조업일지'!A772="","",'09월 조업일지'!A772)</f>
        <v>46294</v>
      </c>
      <c r="B786" s="172" t="str">
        <f>'09월 조업일지'!E772</f>
        <v>A</v>
      </c>
      <c r="C786" s="172" t="str">
        <f>'09월 조업일지'!F772</f>
        <v>A</v>
      </c>
      <c r="D786" s="172">
        <f>'09월 화학성분'!C773</f>
        <v>85975</v>
      </c>
      <c r="E786" s="205" t="str">
        <f t="shared" si="174"/>
        <v/>
      </c>
      <c r="F786" s="121"/>
      <c r="G786" s="122"/>
      <c r="H786" s="123"/>
      <c r="I786" s="122"/>
      <c r="J786" s="123"/>
      <c r="K786" s="122"/>
      <c r="L786" s="124" t="str">
        <f t="shared" si="175"/>
        <v/>
      </c>
      <c r="M786" s="125" t="str">
        <f t="shared" si="175"/>
        <v/>
      </c>
      <c r="N786" s="126" t="str">
        <f t="shared" si="162"/>
        <v/>
      </c>
      <c r="O786" s="127" t="str">
        <f t="shared" si="163"/>
        <v/>
      </c>
      <c r="P786" s="127" t="str">
        <f t="shared" si="164"/>
        <v/>
      </c>
      <c r="Q786" s="128" t="str">
        <f t="shared" si="165"/>
        <v/>
      </c>
      <c r="R786" s="129"/>
      <c r="S786" s="130"/>
      <c r="T786" s="131"/>
      <c r="U786" s="131"/>
      <c r="V786" s="132" t="str">
        <f t="shared" si="166"/>
        <v/>
      </c>
      <c r="W786" s="133" t="str">
        <f t="shared" si="167"/>
        <v/>
      </c>
      <c r="X786" s="130"/>
      <c r="Y786" s="131"/>
      <c r="Z786" s="131"/>
      <c r="AA786" s="132" t="str">
        <f t="shared" si="168"/>
        <v/>
      </c>
      <c r="AB786" s="133" t="str">
        <f t="shared" si="169"/>
        <v/>
      </c>
      <c r="AC786" s="134" t="str">
        <f t="shared" si="170"/>
        <v/>
      </c>
      <c r="AD786" s="135" t="str">
        <f t="shared" si="171"/>
        <v/>
      </c>
      <c r="AE786" s="136"/>
      <c r="AF786" s="137"/>
      <c r="AG786" s="137"/>
      <c r="AH786" s="138" t="str">
        <f t="shared" si="172"/>
        <v/>
      </c>
      <c r="AI786" s="133" t="str">
        <f t="shared" si="173"/>
        <v/>
      </c>
    </row>
    <row r="787" spans="1:35">
      <c r="A787" s="171">
        <f>IF('09월 조업일지'!A773="","",'09월 조업일지'!A773)</f>
        <v>46294</v>
      </c>
      <c r="B787" s="172" t="str">
        <f>'09월 조업일지'!E773</f>
        <v>A</v>
      </c>
      <c r="C787" s="172" t="str">
        <f>'09월 조업일지'!F773</f>
        <v>B</v>
      </c>
      <c r="D787" s="172">
        <f>'09월 화학성분'!C774</f>
        <v>85976</v>
      </c>
      <c r="E787" s="205" t="str">
        <f t="shared" si="174"/>
        <v/>
      </c>
      <c r="F787" s="121"/>
      <c r="G787" s="122"/>
      <c r="H787" s="123"/>
      <c r="I787" s="122"/>
      <c r="J787" s="123"/>
      <c r="K787" s="122"/>
      <c r="L787" s="124" t="str">
        <f t="shared" si="175"/>
        <v/>
      </c>
      <c r="M787" s="125" t="str">
        <f t="shared" si="175"/>
        <v/>
      </c>
      <c r="N787" s="126" t="str">
        <f t="shared" si="162"/>
        <v/>
      </c>
      <c r="O787" s="127" t="str">
        <f t="shared" si="163"/>
        <v/>
      </c>
      <c r="P787" s="127" t="str">
        <f t="shared" si="164"/>
        <v/>
      </c>
      <c r="Q787" s="128" t="str">
        <f t="shared" si="165"/>
        <v/>
      </c>
      <c r="R787" s="129"/>
      <c r="S787" s="130"/>
      <c r="T787" s="131"/>
      <c r="U787" s="131"/>
      <c r="V787" s="132" t="str">
        <f t="shared" si="166"/>
        <v/>
      </c>
      <c r="W787" s="133" t="str">
        <f t="shared" si="167"/>
        <v/>
      </c>
      <c r="X787" s="130"/>
      <c r="Y787" s="131"/>
      <c r="Z787" s="131"/>
      <c r="AA787" s="132" t="str">
        <f t="shared" si="168"/>
        <v/>
      </c>
      <c r="AB787" s="133" t="str">
        <f t="shared" si="169"/>
        <v/>
      </c>
      <c r="AC787" s="134" t="str">
        <f t="shared" si="170"/>
        <v/>
      </c>
      <c r="AD787" s="135" t="str">
        <f t="shared" si="171"/>
        <v/>
      </c>
      <c r="AE787" s="136"/>
      <c r="AF787" s="137"/>
      <c r="AG787" s="137"/>
      <c r="AH787" s="138" t="str">
        <f t="shared" si="172"/>
        <v/>
      </c>
      <c r="AI787" s="133" t="str">
        <f t="shared" si="173"/>
        <v/>
      </c>
    </row>
    <row r="788" spans="1:35">
      <c r="A788" s="171">
        <f>IF('09월 조업일지'!A774="","",'09월 조업일지'!A774)</f>
        <v>46294</v>
      </c>
      <c r="B788" s="172" t="str">
        <f>'09월 조업일지'!E774</f>
        <v>A</v>
      </c>
      <c r="C788" s="172" t="str">
        <f>'09월 조업일지'!F774</f>
        <v>A</v>
      </c>
      <c r="D788" s="172">
        <f>'09월 화학성분'!C775</f>
        <v>85977</v>
      </c>
      <c r="E788" s="205" t="str">
        <f t="shared" si="174"/>
        <v/>
      </c>
      <c r="F788" s="121"/>
      <c r="G788" s="122"/>
      <c r="H788" s="123"/>
      <c r="I788" s="122"/>
      <c r="J788" s="123"/>
      <c r="K788" s="122"/>
      <c r="L788" s="124" t="str">
        <f t="shared" si="175"/>
        <v/>
      </c>
      <c r="M788" s="125" t="str">
        <f t="shared" si="175"/>
        <v/>
      </c>
      <c r="N788" s="126" t="str">
        <f t="shared" si="162"/>
        <v/>
      </c>
      <c r="O788" s="127" t="str">
        <f t="shared" si="163"/>
        <v/>
      </c>
      <c r="P788" s="127" t="str">
        <f t="shared" si="164"/>
        <v/>
      </c>
      <c r="Q788" s="128" t="str">
        <f t="shared" si="165"/>
        <v/>
      </c>
      <c r="R788" s="129"/>
      <c r="S788" s="130"/>
      <c r="T788" s="131"/>
      <c r="U788" s="131"/>
      <c r="V788" s="132" t="str">
        <f t="shared" si="166"/>
        <v/>
      </c>
      <c r="W788" s="133" t="str">
        <f t="shared" si="167"/>
        <v/>
      </c>
      <c r="X788" s="130"/>
      <c r="Y788" s="131"/>
      <c r="Z788" s="131"/>
      <c r="AA788" s="132" t="str">
        <f t="shared" si="168"/>
        <v/>
      </c>
      <c r="AB788" s="133" t="str">
        <f t="shared" si="169"/>
        <v/>
      </c>
      <c r="AC788" s="134" t="str">
        <f t="shared" si="170"/>
        <v/>
      </c>
      <c r="AD788" s="135" t="str">
        <f t="shared" si="171"/>
        <v/>
      </c>
      <c r="AE788" s="136"/>
      <c r="AF788" s="137"/>
      <c r="AG788" s="137"/>
      <c r="AH788" s="138" t="str">
        <f t="shared" si="172"/>
        <v/>
      </c>
      <c r="AI788" s="133" t="str">
        <f t="shared" si="173"/>
        <v/>
      </c>
    </row>
    <row r="789" spans="1:35">
      <c r="A789" s="171">
        <f>IF('09월 조업일지'!A775="","",'09월 조업일지'!A775)</f>
        <v>46294</v>
      </c>
      <c r="B789" s="172" t="str">
        <f>'09월 조업일지'!E775</f>
        <v>C</v>
      </c>
      <c r="C789" s="172" t="str">
        <f>'09월 조업일지'!F775</f>
        <v>B</v>
      </c>
      <c r="D789" s="172">
        <f>'09월 화학성분'!C776</f>
        <v>85978</v>
      </c>
      <c r="E789" s="205" t="str">
        <f t="shared" si="174"/>
        <v/>
      </c>
      <c r="F789" s="121"/>
      <c r="G789" s="122"/>
      <c r="H789" s="123"/>
      <c r="I789" s="122"/>
      <c r="J789" s="123"/>
      <c r="K789" s="122"/>
      <c r="L789" s="124" t="str">
        <f t="shared" si="175"/>
        <v/>
      </c>
      <c r="M789" s="125" t="str">
        <f t="shared" si="175"/>
        <v/>
      </c>
      <c r="N789" s="126" t="str">
        <f t="shared" si="162"/>
        <v/>
      </c>
      <c r="O789" s="127" t="str">
        <f t="shared" si="163"/>
        <v/>
      </c>
      <c r="P789" s="127" t="str">
        <f t="shared" si="164"/>
        <v/>
      </c>
      <c r="Q789" s="128" t="str">
        <f t="shared" si="165"/>
        <v/>
      </c>
      <c r="R789" s="129"/>
      <c r="S789" s="130"/>
      <c r="T789" s="131"/>
      <c r="U789" s="131"/>
      <c r="V789" s="132" t="str">
        <f t="shared" si="166"/>
        <v/>
      </c>
      <c r="W789" s="133" t="str">
        <f t="shared" si="167"/>
        <v/>
      </c>
      <c r="X789" s="130"/>
      <c r="Y789" s="131"/>
      <c r="Z789" s="131"/>
      <c r="AA789" s="132" t="str">
        <f t="shared" si="168"/>
        <v/>
      </c>
      <c r="AB789" s="133" t="str">
        <f t="shared" si="169"/>
        <v/>
      </c>
      <c r="AC789" s="134" t="str">
        <f t="shared" si="170"/>
        <v/>
      </c>
      <c r="AD789" s="135" t="str">
        <f t="shared" si="171"/>
        <v/>
      </c>
      <c r="AE789" s="136"/>
      <c r="AF789" s="137"/>
      <c r="AG789" s="137"/>
      <c r="AH789" s="138" t="str">
        <f t="shared" si="172"/>
        <v/>
      </c>
      <c r="AI789" s="133" t="str">
        <f t="shared" si="173"/>
        <v/>
      </c>
    </row>
    <row r="790" spans="1:35">
      <c r="A790" s="171">
        <f>IF('09월 조업일지'!A776="","",'09월 조업일지'!A776)</f>
        <v>46294</v>
      </c>
      <c r="B790" s="172" t="str">
        <f>'09월 조업일지'!E776</f>
        <v>C</v>
      </c>
      <c r="C790" s="172" t="str">
        <f>'09월 조업일지'!F776</f>
        <v>A</v>
      </c>
      <c r="D790" s="172">
        <f>'09월 화학성분'!C777</f>
        <v>85979</v>
      </c>
      <c r="E790" s="205" t="str">
        <f t="shared" si="174"/>
        <v/>
      </c>
      <c r="F790" s="121"/>
      <c r="G790" s="122"/>
      <c r="H790" s="123"/>
      <c r="I790" s="122"/>
      <c r="J790" s="123"/>
      <c r="K790" s="122"/>
      <c r="L790" s="124" t="str">
        <f t="shared" si="175"/>
        <v/>
      </c>
      <c r="M790" s="125" t="str">
        <f t="shared" si="175"/>
        <v/>
      </c>
      <c r="N790" s="126" t="str">
        <f t="shared" si="162"/>
        <v/>
      </c>
      <c r="O790" s="127" t="str">
        <f t="shared" si="163"/>
        <v/>
      </c>
      <c r="P790" s="127" t="str">
        <f t="shared" si="164"/>
        <v/>
      </c>
      <c r="Q790" s="128" t="str">
        <f t="shared" si="165"/>
        <v/>
      </c>
      <c r="R790" s="129"/>
      <c r="S790" s="130"/>
      <c r="T790" s="131"/>
      <c r="U790" s="131"/>
      <c r="V790" s="132" t="str">
        <f t="shared" si="166"/>
        <v/>
      </c>
      <c r="W790" s="133" t="str">
        <f t="shared" si="167"/>
        <v/>
      </c>
      <c r="X790" s="130"/>
      <c r="Y790" s="131"/>
      <c r="Z790" s="131"/>
      <c r="AA790" s="132" t="str">
        <f t="shared" si="168"/>
        <v/>
      </c>
      <c r="AB790" s="133" t="str">
        <f t="shared" si="169"/>
        <v/>
      </c>
      <c r="AC790" s="134" t="str">
        <f t="shared" si="170"/>
        <v/>
      </c>
      <c r="AD790" s="135" t="str">
        <f t="shared" si="171"/>
        <v/>
      </c>
      <c r="AE790" s="136"/>
      <c r="AF790" s="137"/>
      <c r="AG790" s="137"/>
      <c r="AH790" s="138" t="str">
        <f t="shared" si="172"/>
        <v/>
      </c>
      <c r="AI790" s="133" t="str">
        <f t="shared" si="173"/>
        <v/>
      </c>
    </row>
    <row r="791" spans="1:35">
      <c r="A791" s="171">
        <f>IF('09월 조업일지'!A777="","",'09월 조업일지'!A777)</f>
        <v>46294</v>
      </c>
      <c r="B791" s="172" t="str">
        <f>'09월 조업일지'!E777</f>
        <v>C</v>
      </c>
      <c r="C791" s="172" t="str">
        <f>'09월 조업일지'!F777</f>
        <v>B</v>
      </c>
      <c r="D791" s="172">
        <f>'09월 화학성분'!C778</f>
        <v>85980</v>
      </c>
      <c r="E791" s="205" t="str">
        <f t="shared" si="174"/>
        <v/>
      </c>
      <c r="F791" s="121"/>
      <c r="G791" s="122"/>
      <c r="H791" s="123"/>
      <c r="I791" s="122"/>
      <c r="J791" s="123"/>
      <c r="K791" s="122"/>
      <c r="L791" s="124" t="str">
        <f t="shared" si="175"/>
        <v/>
      </c>
      <c r="M791" s="125" t="str">
        <f t="shared" si="175"/>
        <v/>
      </c>
      <c r="N791" s="126" t="str">
        <f t="shared" si="162"/>
        <v/>
      </c>
      <c r="O791" s="127" t="str">
        <f t="shared" si="163"/>
        <v/>
      </c>
      <c r="P791" s="127" t="str">
        <f t="shared" si="164"/>
        <v/>
      </c>
      <c r="Q791" s="128" t="str">
        <f t="shared" si="165"/>
        <v/>
      </c>
      <c r="R791" s="129"/>
      <c r="S791" s="130"/>
      <c r="T791" s="131"/>
      <c r="U791" s="131"/>
      <c r="V791" s="132" t="str">
        <f t="shared" si="166"/>
        <v/>
      </c>
      <c r="W791" s="133" t="str">
        <f t="shared" si="167"/>
        <v/>
      </c>
      <c r="X791" s="130"/>
      <c r="Y791" s="131"/>
      <c r="Z791" s="131"/>
      <c r="AA791" s="132" t="str">
        <f t="shared" si="168"/>
        <v/>
      </c>
      <c r="AB791" s="133" t="str">
        <f t="shared" si="169"/>
        <v/>
      </c>
      <c r="AC791" s="134" t="str">
        <f t="shared" si="170"/>
        <v/>
      </c>
      <c r="AD791" s="135" t="str">
        <f t="shared" si="171"/>
        <v/>
      </c>
      <c r="AE791" s="136"/>
      <c r="AF791" s="137"/>
      <c r="AG791" s="137"/>
      <c r="AH791" s="138" t="str">
        <f t="shared" si="172"/>
        <v/>
      </c>
      <c r="AI791" s="133" t="str">
        <f t="shared" si="173"/>
        <v/>
      </c>
    </row>
    <row r="792" spans="1:35">
      <c r="A792" s="171">
        <f>IF('09월 조업일지'!A778="","",'09월 조업일지'!A778)</f>
        <v>46294</v>
      </c>
      <c r="B792" s="172" t="str">
        <f>'09월 조업일지'!E778</f>
        <v>C</v>
      </c>
      <c r="C792" s="172" t="str">
        <f>'09월 조업일지'!F778</f>
        <v>A</v>
      </c>
      <c r="D792" s="172">
        <f>'09월 화학성분'!C779</f>
        <v>85981</v>
      </c>
      <c r="E792" s="205" t="str">
        <f t="shared" si="174"/>
        <v/>
      </c>
      <c r="F792" s="121"/>
      <c r="G792" s="122"/>
      <c r="H792" s="123"/>
      <c r="I792" s="122"/>
      <c r="J792" s="123"/>
      <c r="K792" s="122"/>
      <c r="L792" s="124" t="str">
        <f t="shared" si="175"/>
        <v/>
      </c>
      <c r="M792" s="125" t="str">
        <f t="shared" si="175"/>
        <v/>
      </c>
      <c r="N792" s="126" t="str">
        <f t="shared" ref="N792:N855" si="177">IF(ISBLANK(G792),"",G792/R792)</f>
        <v/>
      </c>
      <c r="O792" s="127" t="str">
        <f t="shared" ref="O792:O855" si="178">IF(ISBLANK(I792),"",+I792/R792)</f>
        <v/>
      </c>
      <c r="P792" s="127" t="str">
        <f t="shared" ref="P792:P855" si="179">IF(ISBLANK(K792),"",K792/R792)</f>
        <v/>
      </c>
      <c r="Q792" s="128" t="str">
        <f t="shared" ref="Q792:Q855" si="180">IF(ISBLANK(K792),"",SUM(N792:P792))</f>
        <v/>
      </c>
      <c r="R792" s="129"/>
      <c r="S792" s="130"/>
      <c r="T792" s="131"/>
      <c r="U792" s="131"/>
      <c r="V792" s="132" t="str">
        <f t="shared" ref="V792:V855" si="181">IF(SUM(S792:U792)=0,"",SUM(S792:U792))</f>
        <v/>
      </c>
      <c r="W792" s="133" t="str">
        <f t="shared" ref="W792:W855" si="182">IF(V792="","",V792/R792)</f>
        <v/>
      </c>
      <c r="X792" s="130"/>
      <c r="Y792" s="131"/>
      <c r="Z792" s="131"/>
      <c r="AA792" s="132" t="str">
        <f t="shared" ref="AA792:AA855" si="183">IF(SUM(X792:Z792)=0,"",SUM(X792:Z792))</f>
        <v/>
      </c>
      <c r="AB792" s="133" t="str">
        <f t="shared" ref="AB792:AB855" si="184">IF(AA792="","",AA792/R792)</f>
        <v/>
      </c>
      <c r="AC792" s="134" t="str">
        <f t="shared" ref="AC792:AC855" si="185">IF(SUM(V792,AA792)=0,"",SUM(V792,AA792))</f>
        <v/>
      </c>
      <c r="AD792" s="135" t="str">
        <f t="shared" ref="AD792:AD855" si="186">IF(AC792="","",AC792/R792)</f>
        <v/>
      </c>
      <c r="AE792" s="136"/>
      <c r="AF792" s="137"/>
      <c r="AG792" s="137"/>
      <c r="AH792" s="138" t="str">
        <f t="shared" ref="AH792:AH855" si="187">IF(SUM(AE792:AG792)=0,"",SUM(AE792:AG792))</f>
        <v/>
      </c>
      <c r="AI792" s="133" t="str">
        <f t="shared" ref="AI792:AI855" si="188">IF(AH792="","",AH792/R792)</f>
        <v/>
      </c>
    </row>
    <row r="793" spans="1:35">
      <c r="A793" s="171">
        <f>IF('09월 조업일지'!A779="","",'09월 조업일지'!A779)</f>
        <v>46294</v>
      </c>
      <c r="B793" s="172" t="str">
        <f>'09월 조업일지'!E779</f>
        <v>C</v>
      </c>
      <c r="C793" s="172" t="str">
        <f>'09월 조업일지'!F779</f>
        <v>B</v>
      </c>
      <c r="D793" s="172">
        <f>'09월 화학성분'!C780</f>
        <v>85982</v>
      </c>
      <c r="E793" s="205" t="str">
        <f t="shared" ref="E793:E856" si="189">IF(F793="","",E792)</f>
        <v/>
      </c>
      <c r="F793" s="121"/>
      <c r="G793" s="122"/>
      <c r="H793" s="123"/>
      <c r="I793" s="122"/>
      <c r="J793" s="123"/>
      <c r="K793" s="122"/>
      <c r="L793" s="124" t="str">
        <f t="shared" si="175"/>
        <v/>
      </c>
      <c r="M793" s="125" t="str">
        <f t="shared" si="175"/>
        <v/>
      </c>
      <c r="N793" s="126" t="str">
        <f t="shared" si="177"/>
        <v/>
      </c>
      <c r="O793" s="127" t="str">
        <f t="shared" si="178"/>
        <v/>
      </c>
      <c r="P793" s="127" t="str">
        <f t="shared" si="179"/>
        <v/>
      </c>
      <c r="Q793" s="128" t="str">
        <f t="shared" si="180"/>
        <v/>
      </c>
      <c r="R793" s="129"/>
      <c r="S793" s="130"/>
      <c r="T793" s="131"/>
      <c r="U793" s="131"/>
      <c r="V793" s="132" t="str">
        <f t="shared" si="181"/>
        <v/>
      </c>
      <c r="W793" s="133" t="str">
        <f t="shared" si="182"/>
        <v/>
      </c>
      <c r="X793" s="130"/>
      <c r="Y793" s="131"/>
      <c r="Z793" s="131"/>
      <c r="AA793" s="132" t="str">
        <f t="shared" si="183"/>
        <v/>
      </c>
      <c r="AB793" s="133" t="str">
        <f t="shared" si="184"/>
        <v/>
      </c>
      <c r="AC793" s="134" t="str">
        <f t="shared" si="185"/>
        <v/>
      </c>
      <c r="AD793" s="135" t="str">
        <f t="shared" si="186"/>
        <v/>
      </c>
      <c r="AE793" s="136"/>
      <c r="AF793" s="137"/>
      <c r="AG793" s="137"/>
      <c r="AH793" s="138" t="str">
        <f t="shared" si="187"/>
        <v/>
      </c>
      <c r="AI793" s="133" t="str">
        <f t="shared" si="188"/>
        <v/>
      </c>
    </row>
    <row r="794" spans="1:35">
      <c r="A794" s="171">
        <f>IF('09월 조업일지'!A780="","",'09월 조업일지'!A780)</f>
        <v>46294</v>
      </c>
      <c r="B794" s="172" t="str">
        <f>'09월 조업일지'!E780</f>
        <v>C</v>
      </c>
      <c r="C794" s="172" t="str">
        <f>'09월 조업일지'!F780</f>
        <v>A</v>
      </c>
      <c r="D794" s="172">
        <f>'09월 화학성분'!C781</f>
        <v>85983</v>
      </c>
      <c r="E794" s="205" t="str">
        <f t="shared" si="189"/>
        <v/>
      </c>
      <c r="F794" s="121"/>
      <c r="G794" s="122"/>
      <c r="H794" s="123"/>
      <c r="I794" s="122"/>
      <c r="J794" s="123"/>
      <c r="K794" s="122"/>
      <c r="L794" s="124" t="str">
        <f t="shared" si="175"/>
        <v/>
      </c>
      <c r="M794" s="125" t="str">
        <f t="shared" si="175"/>
        <v/>
      </c>
      <c r="N794" s="126" t="str">
        <f t="shared" si="177"/>
        <v/>
      </c>
      <c r="O794" s="127" t="str">
        <f t="shared" si="178"/>
        <v/>
      </c>
      <c r="P794" s="127" t="str">
        <f t="shared" si="179"/>
        <v/>
      </c>
      <c r="Q794" s="128" t="str">
        <f t="shared" si="180"/>
        <v/>
      </c>
      <c r="R794" s="129"/>
      <c r="S794" s="130"/>
      <c r="T794" s="131"/>
      <c r="U794" s="131"/>
      <c r="V794" s="132" t="str">
        <f t="shared" si="181"/>
        <v/>
      </c>
      <c r="W794" s="133" t="str">
        <f t="shared" si="182"/>
        <v/>
      </c>
      <c r="X794" s="130"/>
      <c r="Y794" s="131"/>
      <c r="Z794" s="131"/>
      <c r="AA794" s="132" t="str">
        <f t="shared" si="183"/>
        <v/>
      </c>
      <c r="AB794" s="133" t="str">
        <f t="shared" si="184"/>
        <v/>
      </c>
      <c r="AC794" s="134" t="str">
        <f t="shared" si="185"/>
        <v/>
      </c>
      <c r="AD794" s="135" t="str">
        <f t="shared" si="186"/>
        <v/>
      </c>
      <c r="AE794" s="136"/>
      <c r="AF794" s="137"/>
      <c r="AG794" s="137"/>
      <c r="AH794" s="138" t="str">
        <f t="shared" si="187"/>
        <v/>
      </c>
      <c r="AI794" s="133" t="str">
        <f t="shared" si="188"/>
        <v/>
      </c>
    </row>
    <row r="795" spans="1:35">
      <c r="A795" s="171">
        <f>IF('09월 조업일지'!A781="","",'09월 조업일지'!A781)</f>
        <v>46294</v>
      </c>
      <c r="B795" s="172" t="str">
        <f>'09월 조업일지'!E781</f>
        <v>C</v>
      </c>
      <c r="C795" s="172" t="str">
        <f>'09월 조업일지'!F781</f>
        <v>B</v>
      </c>
      <c r="D795" s="172">
        <f>'09월 화학성분'!C782</f>
        <v>85984</v>
      </c>
      <c r="E795" s="205" t="str">
        <f t="shared" si="189"/>
        <v/>
      </c>
      <c r="F795" s="121"/>
      <c r="G795" s="122"/>
      <c r="H795" s="123"/>
      <c r="I795" s="122"/>
      <c r="J795" s="123"/>
      <c r="K795" s="122"/>
      <c r="L795" s="124" t="str">
        <f t="shared" si="175"/>
        <v/>
      </c>
      <c r="M795" s="125" t="str">
        <f t="shared" si="175"/>
        <v/>
      </c>
      <c r="N795" s="126" t="str">
        <f t="shared" si="177"/>
        <v/>
      </c>
      <c r="O795" s="127" t="str">
        <f t="shared" si="178"/>
        <v/>
      </c>
      <c r="P795" s="127" t="str">
        <f t="shared" si="179"/>
        <v/>
      </c>
      <c r="Q795" s="128" t="str">
        <f t="shared" si="180"/>
        <v/>
      </c>
      <c r="R795" s="129"/>
      <c r="S795" s="130"/>
      <c r="T795" s="131"/>
      <c r="U795" s="131"/>
      <c r="V795" s="132" t="str">
        <f t="shared" si="181"/>
        <v/>
      </c>
      <c r="W795" s="133" t="str">
        <f t="shared" si="182"/>
        <v/>
      </c>
      <c r="X795" s="130"/>
      <c r="Y795" s="131"/>
      <c r="Z795" s="131"/>
      <c r="AA795" s="132" t="str">
        <f t="shared" si="183"/>
        <v/>
      </c>
      <c r="AB795" s="133" t="str">
        <f t="shared" si="184"/>
        <v/>
      </c>
      <c r="AC795" s="134" t="str">
        <f t="shared" si="185"/>
        <v/>
      </c>
      <c r="AD795" s="135" t="str">
        <f t="shared" si="186"/>
        <v/>
      </c>
      <c r="AE795" s="136"/>
      <c r="AF795" s="137"/>
      <c r="AG795" s="137"/>
      <c r="AH795" s="138" t="str">
        <f t="shared" si="187"/>
        <v/>
      </c>
      <c r="AI795" s="133" t="str">
        <f t="shared" si="188"/>
        <v/>
      </c>
    </row>
    <row r="796" spans="1:35">
      <c r="A796" s="171">
        <f>IF('09월 조업일지'!A782="","",'09월 조업일지'!A782)</f>
        <v>46294</v>
      </c>
      <c r="B796" s="172" t="str">
        <f>'09월 조업일지'!E782</f>
        <v>C</v>
      </c>
      <c r="C796" s="172" t="str">
        <f>'09월 조업일지'!F782</f>
        <v>A</v>
      </c>
      <c r="D796" s="172">
        <f>'09월 화학성분'!C783</f>
        <v>85985</v>
      </c>
      <c r="E796" s="205" t="str">
        <f t="shared" si="189"/>
        <v/>
      </c>
      <c r="F796" s="121"/>
      <c r="G796" s="122"/>
      <c r="H796" s="123"/>
      <c r="I796" s="122"/>
      <c r="J796" s="123"/>
      <c r="K796" s="122"/>
      <c r="L796" s="124" t="str">
        <f t="shared" si="175"/>
        <v/>
      </c>
      <c r="M796" s="125" t="str">
        <f t="shared" si="175"/>
        <v/>
      </c>
      <c r="N796" s="126" t="str">
        <f t="shared" si="177"/>
        <v/>
      </c>
      <c r="O796" s="127" t="str">
        <f t="shared" si="178"/>
        <v/>
      </c>
      <c r="P796" s="127" t="str">
        <f t="shared" si="179"/>
        <v/>
      </c>
      <c r="Q796" s="128" t="str">
        <f t="shared" si="180"/>
        <v/>
      </c>
      <c r="R796" s="129"/>
      <c r="S796" s="130"/>
      <c r="T796" s="131"/>
      <c r="U796" s="131"/>
      <c r="V796" s="132" t="str">
        <f t="shared" si="181"/>
        <v/>
      </c>
      <c r="W796" s="133" t="str">
        <f t="shared" si="182"/>
        <v/>
      </c>
      <c r="X796" s="130"/>
      <c r="Y796" s="131"/>
      <c r="Z796" s="131"/>
      <c r="AA796" s="132" t="str">
        <f t="shared" si="183"/>
        <v/>
      </c>
      <c r="AB796" s="133" t="str">
        <f t="shared" si="184"/>
        <v/>
      </c>
      <c r="AC796" s="134" t="str">
        <f t="shared" si="185"/>
        <v/>
      </c>
      <c r="AD796" s="135" t="str">
        <f t="shared" si="186"/>
        <v/>
      </c>
      <c r="AE796" s="136"/>
      <c r="AF796" s="137"/>
      <c r="AG796" s="137"/>
      <c r="AH796" s="138" t="str">
        <f t="shared" si="187"/>
        <v/>
      </c>
      <c r="AI796" s="133" t="str">
        <f t="shared" si="188"/>
        <v/>
      </c>
    </row>
    <row r="797" spans="1:35">
      <c r="A797" s="171">
        <f>IF('09월 조업일지'!A783="","",'09월 조업일지'!A783)</f>
        <v>46294</v>
      </c>
      <c r="B797" s="172" t="str">
        <f>'09월 조업일지'!E783</f>
        <v>C</v>
      </c>
      <c r="C797" s="172" t="str">
        <f>'09월 조업일지'!F783</f>
        <v>B</v>
      </c>
      <c r="D797" s="172">
        <f>'09월 화학성분'!C784</f>
        <v>85986</v>
      </c>
      <c r="E797" s="205" t="str">
        <f t="shared" si="189"/>
        <v/>
      </c>
      <c r="F797" s="121"/>
      <c r="G797" s="122"/>
      <c r="H797" s="123"/>
      <c r="I797" s="122"/>
      <c r="J797" s="123"/>
      <c r="K797" s="122"/>
      <c r="L797" s="124" t="str">
        <f t="shared" si="175"/>
        <v/>
      </c>
      <c r="M797" s="125" t="str">
        <f t="shared" si="175"/>
        <v/>
      </c>
      <c r="N797" s="126" t="str">
        <f t="shared" si="177"/>
        <v/>
      </c>
      <c r="O797" s="127" t="str">
        <f t="shared" si="178"/>
        <v/>
      </c>
      <c r="P797" s="127" t="str">
        <f t="shared" si="179"/>
        <v/>
      </c>
      <c r="Q797" s="128" t="str">
        <f t="shared" si="180"/>
        <v/>
      </c>
      <c r="R797" s="129"/>
      <c r="S797" s="130"/>
      <c r="T797" s="131"/>
      <c r="U797" s="131"/>
      <c r="V797" s="132" t="str">
        <f t="shared" si="181"/>
        <v/>
      </c>
      <c r="W797" s="133" t="str">
        <f t="shared" si="182"/>
        <v/>
      </c>
      <c r="X797" s="130"/>
      <c r="Y797" s="131"/>
      <c r="Z797" s="131"/>
      <c r="AA797" s="132" t="str">
        <f t="shared" si="183"/>
        <v/>
      </c>
      <c r="AB797" s="133" t="str">
        <f t="shared" si="184"/>
        <v/>
      </c>
      <c r="AC797" s="134" t="str">
        <f t="shared" si="185"/>
        <v/>
      </c>
      <c r="AD797" s="135" t="str">
        <f t="shared" si="186"/>
        <v/>
      </c>
      <c r="AE797" s="136"/>
      <c r="AF797" s="137"/>
      <c r="AG797" s="137"/>
      <c r="AH797" s="138" t="str">
        <f t="shared" si="187"/>
        <v/>
      </c>
      <c r="AI797" s="133" t="str">
        <f t="shared" si="188"/>
        <v/>
      </c>
    </row>
    <row r="798" spans="1:35">
      <c r="A798" s="171">
        <f>IF('09월 조업일지'!A784="","",'09월 조업일지'!A784)</f>
        <v>46294</v>
      </c>
      <c r="B798" s="172" t="str">
        <f>'09월 조업일지'!E784</f>
        <v>D</v>
      </c>
      <c r="C798" s="172" t="str">
        <f>'09월 조업일지'!F784</f>
        <v>A</v>
      </c>
      <c r="D798" s="172">
        <f>'09월 화학성분'!C785</f>
        <v>85987</v>
      </c>
      <c r="E798" s="205" t="str">
        <f t="shared" si="189"/>
        <v/>
      </c>
      <c r="F798" s="121"/>
      <c r="G798" s="122"/>
      <c r="H798" s="123"/>
      <c r="I798" s="122"/>
      <c r="J798" s="123"/>
      <c r="K798" s="122"/>
      <c r="L798" s="124" t="str">
        <f t="shared" si="175"/>
        <v/>
      </c>
      <c r="M798" s="125" t="str">
        <f t="shared" si="175"/>
        <v/>
      </c>
      <c r="N798" s="126" t="str">
        <f t="shared" si="177"/>
        <v/>
      </c>
      <c r="O798" s="127" t="str">
        <f t="shared" si="178"/>
        <v/>
      </c>
      <c r="P798" s="127" t="str">
        <f t="shared" si="179"/>
        <v/>
      </c>
      <c r="Q798" s="128" t="str">
        <f t="shared" si="180"/>
        <v/>
      </c>
      <c r="R798" s="129"/>
      <c r="S798" s="130"/>
      <c r="T798" s="131"/>
      <c r="U798" s="131"/>
      <c r="V798" s="132" t="str">
        <f t="shared" si="181"/>
        <v/>
      </c>
      <c r="W798" s="133" t="str">
        <f t="shared" si="182"/>
        <v/>
      </c>
      <c r="X798" s="130"/>
      <c r="Y798" s="131"/>
      <c r="Z798" s="131"/>
      <c r="AA798" s="132" t="str">
        <f t="shared" si="183"/>
        <v/>
      </c>
      <c r="AB798" s="133" t="str">
        <f t="shared" si="184"/>
        <v/>
      </c>
      <c r="AC798" s="134" t="str">
        <f t="shared" si="185"/>
        <v/>
      </c>
      <c r="AD798" s="135" t="str">
        <f t="shared" si="186"/>
        <v/>
      </c>
      <c r="AE798" s="136"/>
      <c r="AF798" s="137"/>
      <c r="AG798" s="137"/>
      <c r="AH798" s="138" t="str">
        <f t="shared" si="187"/>
        <v/>
      </c>
      <c r="AI798" s="133" t="str">
        <f t="shared" si="188"/>
        <v/>
      </c>
    </row>
    <row r="799" spans="1:35">
      <c r="A799" s="171">
        <f>IF('09월 조업일지'!A785="","",'09월 조업일지'!A785)</f>
        <v>46294</v>
      </c>
      <c r="B799" s="172" t="str">
        <f>'09월 조업일지'!E785</f>
        <v>D</v>
      </c>
      <c r="C799" s="172" t="str">
        <f>'09월 조업일지'!F785</f>
        <v>A</v>
      </c>
      <c r="D799" s="172">
        <f>'09월 화학성분'!C786</f>
        <v>85988</v>
      </c>
      <c r="E799" s="205" t="str">
        <f t="shared" si="189"/>
        <v/>
      </c>
      <c r="F799" s="121"/>
      <c r="G799" s="122"/>
      <c r="H799" s="123"/>
      <c r="I799" s="122"/>
      <c r="J799" s="123"/>
      <c r="K799" s="122"/>
      <c r="L799" s="124" t="str">
        <f t="shared" si="175"/>
        <v/>
      </c>
      <c r="M799" s="125" t="str">
        <f t="shared" si="175"/>
        <v/>
      </c>
      <c r="N799" s="126" t="str">
        <f t="shared" si="177"/>
        <v/>
      </c>
      <c r="O799" s="127" t="str">
        <f t="shared" si="178"/>
        <v/>
      </c>
      <c r="P799" s="127" t="str">
        <f t="shared" si="179"/>
        <v/>
      </c>
      <c r="Q799" s="128" t="str">
        <f t="shared" si="180"/>
        <v/>
      </c>
      <c r="R799" s="129"/>
      <c r="S799" s="130"/>
      <c r="T799" s="131"/>
      <c r="U799" s="131"/>
      <c r="V799" s="132" t="str">
        <f t="shared" si="181"/>
        <v/>
      </c>
      <c r="W799" s="133" t="str">
        <f t="shared" si="182"/>
        <v/>
      </c>
      <c r="X799" s="130"/>
      <c r="Y799" s="131"/>
      <c r="Z799" s="131"/>
      <c r="AA799" s="132" t="str">
        <f t="shared" si="183"/>
        <v/>
      </c>
      <c r="AB799" s="133" t="str">
        <f t="shared" si="184"/>
        <v/>
      </c>
      <c r="AC799" s="134" t="str">
        <f t="shared" si="185"/>
        <v/>
      </c>
      <c r="AD799" s="135" t="str">
        <f t="shared" si="186"/>
        <v/>
      </c>
      <c r="AE799" s="136"/>
      <c r="AF799" s="137"/>
      <c r="AG799" s="137"/>
      <c r="AH799" s="138" t="str">
        <f t="shared" si="187"/>
        <v/>
      </c>
      <c r="AI799" s="133" t="str">
        <f t="shared" si="188"/>
        <v/>
      </c>
    </row>
    <row r="800" spans="1:35">
      <c r="A800" s="171">
        <f>IF('09월 조업일지'!A786="","",'09월 조업일지'!A786)</f>
        <v>46294</v>
      </c>
      <c r="B800" s="172" t="str">
        <f>'09월 조업일지'!E786</f>
        <v>D</v>
      </c>
      <c r="C800" s="172" t="str">
        <f>'09월 조업일지'!F786</f>
        <v>A</v>
      </c>
      <c r="D800" s="172">
        <f>'09월 화학성분'!C787</f>
        <v>85989</v>
      </c>
      <c r="E800" s="205" t="str">
        <f t="shared" si="189"/>
        <v/>
      </c>
      <c r="F800" s="121"/>
      <c r="G800" s="122"/>
      <c r="H800" s="123"/>
      <c r="I800" s="122"/>
      <c r="J800" s="123"/>
      <c r="K800" s="122"/>
      <c r="L800" s="124" t="str">
        <f t="shared" si="175"/>
        <v/>
      </c>
      <c r="M800" s="125" t="str">
        <f t="shared" si="175"/>
        <v/>
      </c>
      <c r="N800" s="126" t="str">
        <f t="shared" si="177"/>
        <v/>
      </c>
      <c r="O800" s="127" t="str">
        <f t="shared" si="178"/>
        <v/>
      </c>
      <c r="P800" s="127" t="str">
        <f t="shared" si="179"/>
        <v/>
      </c>
      <c r="Q800" s="128" t="str">
        <f t="shared" si="180"/>
        <v/>
      </c>
      <c r="R800" s="129"/>
      <c r="S800" s="130"/>
      <c r="T800" s="131"/>
      <c r="U800" s="131"/>
      <c r="V800" s="132" t="str">
        <f t="shared" si="181"/>
        <v/>
      </c>
      <c r="W800" s="133" t="str">
        <f t="shared" si="182"/>
        <v/>
      </c>
      <c r="X800" s="130"/>
      <c r="Y800" s="131"/>
      <c r="Z800" s="131"/>
      <c r="AA800" s="132" t="str">
        <f t="shared" si="183"/>
        <v/>
      </c>
      <c r="AB800" s="133" t="str">
        <f t="shared" si="184"/>
        <v/>
      </c>
      <c r="AC800" s="134" t="str">
        <f t="shared" si="185"/>
        <v/>
      </c>
      <c r="AD800" s="135" t="str">
        <f t="shared" si="186"/>
        <v/>
      </c>
      <c r="AE800" s="136"/>
      <c r="AF800" s="137"/>
      <c r="AG800" s="137"/>
      <c r="AH800" s="138" t="str">
        <f t="shared" si="187"/>
        <v/>
      </c>
      <c r="AI800" s="133" t="str">
        <f t="shared" si="188"/>
        <v/>
      </c>
    </row>
    <row r="801" spans="1:35">
      <c r="A801" s="171">
        <f>IF('09월 조업일지'!A787="","",'09월 조업일지'!A787)</f>
        <v>46294</v>
      </c>
      <c r="B801" s="172" t="str">
        <f>'09월 조업일지'!E787</f>
        <v>D</v>
      </c>
      <c r="C801" s="172" t="str">
        <f>'09월 조업일지'!F787</f>
        <v>B</v>
      </c>
      <c r="D801" s="172">
        <f>'09월 화학성분'!C788</f>
        <v>85990</v>
      </c>
      <c r="E801" s="205" t="str">
        <f t="shared" si="189"/>
        <v/>
      </c>
      <c r="F801" s="121"/>
      <c r="G801" s="122"/>
      <c r="H801" s="123"/>
      <c r="I801" s="122"/>
      <c r="J801" s="123"/>
      <c r="K801" s="122"/>
      <c r="L801" s="124" t="str">
        <f t="shared" si="175"/>
        <v/>
      </c>
      <c r="M801" s="125" t="str">
        <f t="shared" si="175"/>
        <v/>
      </c>
      <c r="N801" s="126" t="str">
        <f t="shared" si="177"/>
        <v/>
      </c>
      <c r="O801" s="127" t="str">
        <f t="shared" si="178"/>
        <v/>
      </c>
      <c r="P801" s="127" t="str">
        <f t="shared" si="179"/>
        <v/>
      </c>
      <c r="Q801" s="128" t="str">
        <f t="shared" si="180"/>
        <v/>
      </c>
      <c r="R801" s="129"/>
      <c r="S801" s="130"/>
      <c r="T801" s="131"/>
      <c r="U801" s="131"/>
      <c r="V801" s="132" t="str">
        <f t="shared" si="181"/>
        <v/>
      </c>
      <c r="W801" s="133" t="str">
        <f t="shared" si="182"/>
        <v/>
      </c>
      <c r="X801" s="130"/>
      <c r="Y801" s="131"/>
      <c r="Z801" s="131"/>
      <c r="AA801" s="132" t="str">
        <f t="shared" si="183"/>
        <v/>
      </c>
      <c r="AB801" s="133" t="str">
        <f t="shared" si="184"/>
        <v/>
      </c>
      <c r="AC801" s="134" t="str">
        <f t="shared" si="185"/>
        <v/>
      </c>
      <c r="AD801" s="135" t="str">
        <f t="shared" si="186"/>
        <v/>
      </c>
      <c r="AE801" s="136"/>
      <c r="AF801" s="137"/>
      <c r="AG801" s="137"/>
      <c r="AH801" s="138" t="str">
        <f t="shared" si="187"/>
        <v/>
      </c>
      <c r="AI801" s="133" t="str">
        <f t="shared" si="188"/>
        <v/>
      </c>
    </row>
    <row r="802" spans="1:35">
      <c r="A802" s="171">
        <f>IF('09월 조업일지'!A788="","",'09월 조업일지'!A788)</f>
        <v>46294</v>
      </c>
      <c r="B802" s="172" t="str">
        <f>'09월 조업일지'!E788</f>
        <v>D</v>
      </c>
      <c r="C802" s="172" t="str">
        <f>'09월 조업일지'!F788</f>
        <v>A</v>
      </c>
      <c r="D802" s="172">
        <f>'09월 화학성분'!C789</f>
        <v>85991</v>
      </c>
      <c r="E802" s="205" t="str">
        <f t="shared" si="189"/>
        <v/>
      </c>
      <c r="F802" s="121"/>
      <c r="G802" s="122"/>
      <c r="H802" s="123"/>
      <c r="I802" s="122"/>
      <c r="J802" s="123"/>
      <c r="K802" s="122"/>
      <c r="L802" s="124" t="str">
        <f t="shared" si="175"/>
        <v/>
      </c>
      <c r="M802" s="125" t="str">
        <f t="shared" si="175"/>
        <v/>
      </c>
      <c r="N802" s="126" t="str">
        <f t="shared" si="177"/>
        <v/>
      </c>
      <c r="O802" s="127" t="str">
        <f t="shared" si="178"/>
        <v/>
      </c>
      <c r="P802" s="127" t="str">
        <f t="shared" si="179"/>
        <v/>
      </c>
      <c r="Q802" s="128" t="str">
        <f t="shared" si="180"/>
        <v/>
      </c>
      <c r="R802" s="129"/>
      <c r="S802" s="130"/>
      <c r="T802" s="131"/>
      <c r="U802" s="131"/>
      <c r="V802" s="132" t="str">
        <f t="shared" si="181"/>
        <v/>
      </c>
      <c r="W802" s="133" t="str">
        <f t="shared" si="182"/>
        <v/>
      </c>
      <c r="X802" s="130"/>
      <c r="Y802" s="131"/>
      <c r="Z802" s="131"/>
      <c r="AA802" s="132" t="str">
        <f t="shared" si="183"/>
        <v/>
      </c>
      <c r="AB802" s="133" t="str">
        <f t="shared" si="184"/>
        <v/>
      </c>
      <c r="AC802" s="134" t="str">
        <f t="shared" si="185"/>
        <v/>
      </c>
      <c r="AD802" s="135" t="str">
        <f t="shared" si="186"/>
        <v/>
      </c>
      <c r="AE802" s="136"/>
      <c r="AF802" s="137"/>
      <c r="AG802" s="137"/>
      <c r="AH802" s="138" t="str">
        <f t="shared" si="187"/>
        <v/>
      </c>
      <c r="AI802" s="133" t="str">
        <f t="shared" si="188"/>
        <v/>
      </c>
    </row>
    <row r="803" spans="1:35">
      <c r="A803" s="171">
        <f>IF('09월 조업일지'!A789="","",'09월 조업일지'!A789)</f>
        <v>46294</v>
      </c>
      <c r="B803" s="172" t="str">
        <f>'09월 조업일지'!E789</f>
        <v>D</v>
      </c>
      <c r="C803" s="172" t="str">
        <f>'09월 조업일지'!F789</f>
        <v>B</v>
      </c>
      <c r="D803" s="172">
        <f>'09월 화학성분'!C790</f>
        <v>85992</v>
      </c>
      <c r="E803" s="205" t="str">
        <f t="shared" si="189"/>
        <v/>
      </c>
      <c r="F803" s="121"/>
      <c r="G803" s="122"/>
      <c r="H803" s="123"/>
      <c r="I803" s="122"/>
      <c r="J803" s="123"/>
      <c r="K803" s="122"/>
      <c r="L803" s="124" t="str">
        <f t="shared" ref="L803:M866" si="190">IF(ISBLANK(F803),"",SUM(F803,H803,J803))</f>
        <v/>
      </c>
      <c r="M803" s="125" t="str">
        <f t="shared" si="190"/>
        <v/>
      </c>
      <c r="N803" s="126" t="str">
        <f t="shared" si="177"/>
        <v/>
      </c>
      <c r="O803" s="127" t="str">
        <f t="shared" si="178"/>
        <v/>
      </c>
      <c r="P803" s="127" t="str">
        <f t="shared" si="179"/>
        <v/>
      </c>
      <c r="Q803" s="128" t="str">
        <f t="shared" si="180"/>
        <v/>
      </c>
      <c r="R803" s="129"/>
      <c r="S803" s="130"/>
      <c r="T803" s="131"/>
      <c r="U803" s="131"/>
      <c r="V803" s="132" t="str">
        <f t="shared" si="181"/>
        <v/>
      </c>
      <c r="W803" s="133" t="str">
        <f t="shared" si="182"/>
        <v/>
      </c>
      <c r="X803" s="130"/>
      <c r="Y803" s="131"/>
      <c r="Z803" s="131"/>
      <c r="AA803" s="132" t="str">
        <f t="shared" si="183"/>
        <v/>
      </c>
      <c r="AB803" s="133" t="str">
        <f t="shared" si="184"/>
        <v/>
      </c>
      <c r="AC803" s="134" t="str">
        <f t="shared" si="185"/>
        <v/>
      </c>
      <c r="AD803" s="135" t="str">
        <f t="shared" si="186"/>
        <v/>
      </c>
      <c r="AE803" s="136"/>
      <c r="AF803" s="137"/>
      <c r="AG803" s="137"/>
      <c r="AH803" s="138" t="str">
        <f t="shared" si="187"/>
        <v/>
      </c>
      <c r="AI803" s="133" t="str">
        <f t="shared" si="188"/>
        <v/>
      </c>
    </row>
    <row r="804" spans="1:35">
      <c r="A804" s="171">
        <f>IF('09월 조업일지'!A790="","",'09월 조업일지'!A790)</f>
        <v>46294</v>
      </c>
      <c r="B804" s="172" t="str">
        <f>'09월 조업일지'!E790</f>
        <v>D</v>
      </c>
      <c r="C804" s="172" t="str">
        <f>'09월 조업일지'!F790</f>
        <v>A</v>
      </c>
      <c r="D804" s="172">
        <f>'09월 화학성분'!C791</f>
        <v>85993</v>
      </c>
      <c r="E804" s="205" t="str">
        <f t="shared" si="189"/>
        <v/>
      </c>
      <c r="F804" s="121"/>
      <c r="G804" s="122"/>
      <c r="H804" s="123"/>
      <c r="I804" s="122"/>
      <c r="J804" s="123"/>
      <c r="K804" s="122"/>
      <c r="L804" s="124" t="str">
        <f t="shared" si="190"/>
        <v/>
      </c>
      <c r="M804" s="125" t="str">
        <f t="shared" si="190"/>
        <v/>
      </c>
      <c r="N804" s="126" t="str">
        <f t="shared" si="177"/>
        <v/>
      </c>
      <c r="O804" s="127" t="str">
        <f t="shared" si="178"/>
        <v/>
      </c>
      <c r="P804" s="127" t="str">
        <f t="shared" si="179"/>
        <v/>
      </c>
      <c r="Q804" s="128" t="str">
        <f t="shared" si="180"/>
        <v/>
      </c>
      <c r="R804" s="129"/>
      <c r="S804" s="130"/>
      <c r="T804" s="131"/>
      <c r="U804" s="131"/>
      <c r="V804" s="132" t="str">
        <f t="shared" si="181"/>
        <v/>
      </c>
      <c r="W804" s="133" t="str">
        <f t="shared" si="182"/>
        <v/>
      </c>
      <c r="X804" s="130"/>
      <c r="Y804" s="131"/>
      <c r="Z804" s="131"/>
      <c r="AA804" s="132" t="str">
        <f t="shared" si="183"/>
        <v/>
      </c>
      <c r="AB804" s="133" t="str">
        <f t="shared" si="184"/>
        <v/>
      </c>
      <c r="AC804" s="134" t="str">
        <f t="shared" si="185"/>
        <v/>
      </c>
      <c r="AD804" s="135" t="str">
        <f t="shared" si="186"/>
        <v/>
      </c>
      <c r="AE804" s="136"/>
      <c r="AF804" s="137"/>
      <c r="AG804" s="137"/>
      <c r="AH804" s="138" t="str">
        <f t="shared" si="187"/>
        <v/>
      </c>
      <c r="AI804" s="133" t="str">
        <f t="shared" si="188"/>
        <v/>
      </c>
    </row>
    <row r="805" spans="1:35">
      <c r="A805" s="171">
        <f>IF('09월 조업일지'!A791="","",'09월 조업일지'!A791)</f>
        <v>46294</v>
      </c>
      <c r="B805" s="172" t="str">
        <f>'09월 조업일지'!E791</f>
        <v>D</v>
      </c>
      <c r="C805" s="172" t="str">
        <f>'09월 조업일지'!F791</f>
        <v>B</v>
      </c>
      <c r="D805" s="172">
        <f>'09월 화학성분'!C792</f>
        <v>85994</v>
      </c>
      <c r="E805" s="205" t="str">
        <f t="shared" si="189"/>
        <v/>
      </c>
      <c r="F805" s="121"/>
      <c r="G805" s="122"/>
      <c r="H805" s="123"/>
      <c r="I805" s="122"/>
      <c r="J805" s="123"/>
      <c r="K805" s="122"/>
      <c r="L805" s="124" t="str">
        <f t="shared" si="190"/>
        <v/>
      </c>
      <c r="M805" s="125" t="str">
        <f t="shared" si="190"/>
        <v/>
      </c>
      <c r="N805" s="126" t="str">
        <f t="shared" si="177"/>
        <v/>
      </c>
      <c r="O805" s="127" t="str">
        <f t="shared" si="178"/>
        <v/>
      </c>
      <c r="P805" s="127" t="str">
        <f t="shared" si="179"/>
        <v/>
      </c>
      <c r="Q805" s="128" t="str">
        <f t="shared" si="180"/>
        <v/>
      </c>
      <c r="R805" s="129"/>
      <c r="S805" s="130"/>
      <c r="T805" s="131"/>
      <c r="U805" s="131"/>
      <c r="V805" s="132" t="str">
        <f t="shared" si="181"/>
        <v/>
      </c>
      <c r="W805" s="133" t="str">
        <f t="shared" si="182"/>
        <v/>
      </c>
      <c r="X805" s="130"/>
      <c r="Y805" s="131"/>
      <c r="Z805" s="131"/>
      <c r="AA805" s="132" t="str">
        <f t="shared" si="183"/>
        <v/>
      </c>
      <c r="AB805" s="133" t="str">
        <f t="shared" si="184"/>
        <v/>
      </c>
      <c r="AC805" s="134" t="str">
        <f t="shared" si="185"/>
        <v/>
      </c>
      <c r="AD805" s="135" t="str">
        <f t="shared" si="186"/>
        <v/>
      </c>
      <c r="AE805" s="136"/>
      <c r="AF805" s="137"/>
      <c r="AG805" s="137"/>
      <c r="AH805" s="138" t="str">
        <f t="shared" si="187"/>
        <v/>
      </c>
      <c r="AI805" s="133" t="str">
        <f t="shared" si="188"/>
        <v/>
      </c>
    </row>
    <row r="806" spans="1:35">
      <c r="A806" s="171">
        <f>IF('09월 조업일지'!A792="","",'09월 조업일지'!A792)</f>
        <v>46294</v>
      </c>
      <c r="B806" s="172" t="str">
        <f>'09월 조업일지'!E792</f>
        <v>D</v>
      </c>
      <c r="C806" s="172" t="str">
        <f>'09월 조업일지'!F792</f>
        <v>A</v>
      </c>
      <c r="D806" s="172">
        <f>'09월 화학성분'!C793</f>
        <v>85995</v>
      </c>
      <c r="E806" s="205" t="str">
        <f t="shared" si="189"/>
        <v/>
      </c>
      <c r="F806" s="121"/>
      <c r="G806" s="122"/>
      <c r="H806" s="123"/>
      <c r="I806" s="122"/>
      <c r="J806" s="123"/>
      <c r="K806" s="122"/>
      <c r="L806" s="124" t="str">
        <f t="shared" si="190"/>
        <v/>
      </c>
      <c r="M806" s="125" t="str">
        <f t="shared" si="190"/>
        <v/>
      </c>
      <c r="N806" s="126" t="str">
        <f t="shared" si="177"/>
        <v/>
      </c>
      <c r="O806" s="127" t="str">
        <f t="shared" si="178"/>
        <v/>
      </c>
      <c r="P806" s="127" t="str">
        <f t="shared" si="179"/>
        <v/>
      </c>
      <c r="Q806" s="128" t="str">
        <f t="shared" si="180"/>
        <v/>
      </c>
      <c r="R806" s="129"/>
      <c r="S806" s="130"/>
      <c r="T806" s="131"/>
      <c r="U806" s="131"/>
      <c r="V806" s="132" t="str">
        <f t="shared" si="181"/>
        <v/>
      </c>
      <c r="W806" s="133" t="str">
        <f t="shared" si="182"/>
        <v/>
      </c>
      <c r="X806" s="130"/>
      <c r="Y806" s="131"/>
      <c r="Z806" s="131"/>
      <c r="AA806" s="132" t="str">
        <f t="shared" si="183"/>
        <v/>
      </c>
      <c r="AB806" s="133" t="str">
        <f t="shared" si="184"/>
        <v/>
      </c>
      <c r="AC806" s="134" t="str">
        <f t="shared" si="185"/>
        <v/>
      </c>
      <c r="AD806" s="135" t="str">
        <f t="shared" si="186"/>
        <v/>
      </c>
      <c r="AE806" s="136"/>
      <c r="AF806" s="137"/>
      <c r="AG806" s="137"/>
      <c r="AH806" s="138" t="str">
        <f t="shared" si="187"/>
        <v/>
      </c>
      <c r="AI806" s="133" t="str">
        <f t="shared" si="188"/>
        <v/>
      </c>
    </row>
    <row r="807" spans="1:35">
      <c r="A807" s="171">
        <f>IF('09월 조업일지'!A793="","",'09월 조업일지'!A793)</f>
        <v>46294</v>
      </c>
      <c r="B807" s="172" t="str">
        <f>'09월 조업일지'!E793</f>
        <v>D</v>
      </c>
      <c r="C807" s="172" t="str">
        <f>'09월 조업일지'!F793</f>
        <v>B</v>
      </c>
      <c r="D807" s="172">
        <f>'09월 화학성분'!C794</f>
        <v>85996</v>
      </c>
      <c r="E807" s="205" t="str">
        <f t="shared" si="189"/>
        <v/>
      </c>
      <c r="F807" s="121"/>
      <c r="G807" s="122"/>
      <c r="H807" s="123"/>
      <c r="I807" s="122"/>
      <c r="J807" s="123"/>
      <c r="K807" s="122"/>
      <c r="L807" s="124" t="str">
        <f t="shared" si="190"/>
        <v/>
      </c>
      <c r="M807" s="125" t="str">
        <f t="shared" si="190"/>
        <v/>
      </c>
      <c r="N807" s="126" t="str">
        <f t="shared" si="177"/>
        <v/>
      </c>
      <c r="O807" s="127" t="str">
        <f t="shared" si="178"/>
        <v/>
      </c>
      <c r="P807" s="127" t="str">
        <f t="shared" si="179"/>
        <v/>
      </c>
      <c r="Q807" s="128" t="str">
        <f t="shared" si="180"/>
        <v/>
      </c>
      <c r="R807" s="129"/>
      <c r="S807" s="130"/>
      <c r="T807" s="131"/>
      <c r="U807" s="131"/>
      <c r="V807" s="132" t="str">
        <f t="shared" si="181"/>
        <v/>
      </c>
      <c r="W807" s="133" t="str">
        <f t="shared" si="182"/>
        <v/>
      </c>
      <c r="X807" s="130"/>
      <c r="Y807" s="131"/>
      <c r="Z807" s="131"/>
      <c r="AA807" s="132" t="str">
        <f t="shared" si="183"/>
        <v/>
      </c>
      <c r="AB807" s="133" t="str">
        <f t="shared" si="184"/>
        <v/>
      </c>
      <c r="AC807" s="134" t="str">
        <f t="shared" si="185"/>
        <v/>
      </c>
      <c r="AD807" s="135" t="str">
        <f t="shared" si="186"/>
        <v/>
      </c>
      <c r="AE807" s="136"/>
      <c r="AF807" s="137"/>
      <c r="AG807" s="137"/>
      <c r="AH807" s="138" t="str">
        <f t="shared" si="187"/>
        <v/>
      </c>
      <c r="AI807" s="133" t="str">
        <f t="shared" si="188"/>
        <v/>
      </c>
    </row>
    <row r="808" spans="1:35">
      <c r="A808" s="171">
        <f>IF('09월 조업일지'!A794="","",'09월 조업일지'!A794)</f>
        <v>46294</v>
      </c>
      <c r="B808" s="172" t="str">
        <f>'09월 조업일지'!E794</f>
        <v>B</v>
      </c>
      <c r="C808" s="172" t="str">
        <f>'09월 조업일지'!F794</f>
        <v>A</v>
      </c>
      <c r="D808" s="172">
        <f>'09월 화학성분'!C795</f>
        <v>85997</v>
      </c>
      <c r="E808" s="205" t="str">
        <f t="shared" si="189"/>
        <v/>
      </c>
      <c r="F808" s="121"/>
      <c r="G808" s="122"/>
      <c r="H808" s="123"/>
      <c r="I808" s="122"/>
      <c r="J808" s="123"/>
      <c r="K808" s="122"/>
      <c r="L808" s="124" t="str">
        <f t="shared" si="190"/>
        <v/>
      </c>
      <c r="M808" s="125" t="str">
        <f t="shared" si="190"/>
        <v/>
      </c>
      <c r="N808" s="126" t="str">
        <f t="shared" si="177"/>
        <v/>
      </c>
      <c r="O808" s="127" t="str">
        <f t="shared" si="178"/>
        <v/>
      </c>
      <c r="P808" s="127" t="str">
        <f t="shared" si="179"/>
        <v/>
      </c>
      <c r="Q808" s="128" t="str">
        <f t="shared" si="180"/>
        <v/>
      </c>
      <c r="R808" s="129"/>
      <c r="S808" s="130"/>
      <c r="T808" s="131"/>
      <c r="U808" s="131"/>
      <c r="V808" s="132" t="str">
        <f t="shared" si="181"/>
        <v/>
      </c>
      <c r="W808" s="133" t="str">
        <f t="shared" si="182"/>
        <v/>
      </c>
      <c r="X808" s="130"/>
      <c r="Y808" s="131"/>
      <c r="Z808" s="131"/>
      <c r="AA808" s="132" t="str">
        <f t="shared" si="183"/>
        <v/>
      </c>
      <c r="AB808" s="133" t="str">
        <f t="shared" si="184"/>
        <v/>
      </c>
      <c r="AC808" s="134" t="str">
        <f t="shared" si="185"/>
        <v/>
      </c>
      <c r="AD808" s="135" t="str">
        <f t="shared" si="186"/>
        <v/>
      </c>
      <c r="AE808" s="136"/>
      <c r="AF808" s="137"/>
      <c r="AG808" s="137"/>
      <c r="AH808" s="138" t="str">
        <f t="shared" si="187"/>
        <v/>
      </c>
      <c r="AI808" s="133" t="str">
        <f t="shared" si="188"/>
        <v/>
      </c>
    </row>
    <row r="809" spans="1:35">
      <c r="A809" s="171">
        <f>IF('09월 조업일지'!A795="","",'09월 조업일지'!A795)</f>
        <v>46294</v>
      </c>
      <c r="B809" s="172" t="str">
        <f>'09월 조업일지'!E795</f>
        <v>B</v>
      </c>
      <c r="C809" s="172" t="str">
        <f>'09월 조업일지'!F795</f>
        <v>B</v>
      </c>
      <c r="D809" s="172">
        <f>'09월 화학성분'!C796</f>
        <v>85998</v>
      </c>
      <c r="E809" s="205" t="str">
        <f t="shared" si="189"/>
        <v/>
      </c>
      <c r="F809" s="121"/>
      <c r="G809" s="122"/>
      <c r="H809" s="123"/>
      <c r="I809" s="122"/>
      <c r="J809" s="123"/>
      <c r="K809" s="122"/>
      <c r="L809" s="124" t="str">
        <f t="shared" si="190"/>
        <v/>
      </c>
      <c r="M809" s="125" t="str">
        <f t="shared" si="190"/>
        <v/>
      </c>
      <c r="N809" s="126" t="str">
        <f t="shared" si="177"/>
        <v/>
      </c>
      <c r="O809" s="127" t="str">
        <f t="shared" si="178"/>
        <v/>
      </c>
      <c r="P809" s="127" t="str">
        <f t="shared" si="179"/>
        <v/>
      </c>
      <c r="Q809" s="128" t="str">
        <f t="shared" si="180"/>
        <v/>
      </c>
      <c r="R809" s="129"/>
      <c r="S809" s="130"/>
      <c r="T809" s="131"/>
      <c r="U809" s="131"/>
      <c r="V809" s="132" t="str">
        <f t="shared" si="181"/>
        <v/>
      </c>
      <c r="W809" s="133" t="str">
        <f t="shared" si="182"/>
        <v/>
      </c>
      <c r="X809" s="130"/>
      <c r="Y809" s="131"/>
      <c r="Z809" s="131"/>
      <c r="AA809" s="132" t="str">
        <f t="shared" si="183"/>
        <v/>
      </c>
      <c r="AB809" s="133" t="str">
        <f t="shared" si="184"/>
        <v/>
      </c>
      <c r="AC809" s="134" t="str">
        <f t="shared" si="185"/>
        <v/>
      </c>
      <c r="AD809" s="135" t="str">
        <f t="shared" si="186"/>
        <v/>
      </c>
      <c r="AE809" s="136"/>
      <c r="AF809" s="137"/>
      <c r="AG809" s="137"/>
      <c r="AH809" s="138" t="str">
        <f t="shared" si="187"/>
        <v/>
      </c>
      <c r="AI809" s="133" t="str">
        <f t="shared" si="188"/>
        <v/>
      </c>
    </row>
    <row r="810" spans="1:35">
      <c r="A810" s="171">
        <f>IF('09월 조업일지'!A796="","",'09월 조업일지'!A796)</f>
        <v>46294</v>
      </c>
      <c r="B810" s="172" t="str">
        <f>'09월 조업일지'!E796</f>
        <v>B</v>
      </c>
      <c r="C810" s="172" t="str">
        <f>'09월 조업일지'!F796</f>
        <v>A</v>
      </c>
      <c r="D810" s="172">
        <f>'09월 화학성분'!C797</f>
        <v>85999</v>
      </c>
      <c r="E810" s="205" t="str">
        <f t="shared" si="189"/>
        <v/>
      </c>
      <c r="F810" s="121"/>
      <c r="G810" s="122"/>
      <c r="H810" s="123"/>
      <c r="I810" s="122"/>
      <c r="J810" s="123"/>
      <c r="K810" s="122"/>
      <c r="L810" s="124" t="str">
        <f t="shared" si="190"/>
        <v/>
      </c>
      <c r="M810" s="125" t="str">
        <f t="shared" si="190"/>
        <v/>
      </c>
      <c r="N810" s="126" t="str">
        <f t="shared" si="177"/>
        <v/>
      </c>
      <c r="O810" s="127" t="str">
        <f t="shared" si="178"/>
        <v/>
      </c>
      <c r="P810" s="127" t="str">
        <f t="shared" si="179"/>
        <v/>
      </c>
      <c r="Q810" s="128" t="str">
        <f t="shared" si="180"/>
        <v/>
      </c>
      <c r="R810" s="129"/>
      <c r="S810" s="130"/>
      <c r="T810" s="131"/>
      <c r="U810" s="131"/>
      <c r="V810" s="132" t="str">
        <f t="shared" si="181"/>
        <v/>
      </c>
      <c r="W810" s="133" t="str">
        <f t="shared" si="182"/>
        <v/>
      </c>
      <c r="X810" s="130"/>
      <c r="Y810" s="131"/>
      <c r="Z810" s="131"/>
      <c r="AA810" s="132" t="str">
        <f t="shared" si="183"/>
        <v/>
      </c>
      <c r="AB810" s="133" t="str">
        <f t="shared" si="184"/>
        <v/>
      </c>
      <c r="AC810" s="134" t="str">
        <f t="shared" si="185"/>
        <v/>
      </c>
      <c r="AD810" s="135" t="str">
        <f t="shared" si="186"/>
        <v/>
      </c>
      <c r="AE810" s="136"/>
      <c r="AF810" s="137"/>
      <c r="AG810" s="137"/>
      <c r="AH810" s="138" t="str">
        <f t="shared" si="187"/>
        <v/>
      </c>
      <c r="AI810" s="133" t="str">
        <f t="shared" si="188"/>
        <v/>
      </c>
    </row>
    <row r="811" spans="1:35">
      <c r="A811" s="171">
        <f>IF('09월 조업일지'!A797="","",'09월 조업일지'!A797)</f>
        <v>46294</v>
      </c>
      <c r="B811" s="172" t="str">
        <f>'09월 조업일지'!E797</f>
        <v>B</v>
      </c>
      <c r="C811" s="172" t="str">
        <f>'09월 조업일지'!F797</f>
        <v>B</v>
      </c>
      <c r="D811" s="172">
        <f>'09월 화학성분'!C798</f>
        <v>86000</v>
      </c>
      <c r="E811" s="205" t="str">
        <f t="shared" si="189"/>
        <v/>
      </c>
      <c r="F811" s="121"/>
      <c r="G811" s="122"/>
      <c r="H811" s="123"/>
      <c r="I811" s="122"/>
      <c r="J811" s="123"/>
      <c r="K811" s="122"/>
      <c r="L811" s="124" t="str">
        <f t="shared" si="190"/>
        <v/>
      </c>
      <c r="M811" s="125" t="str">
        <f t="shared" si="190"/>
        <v/>
      </c>
      <c r="N811" s="126" t="str">
        <f t="shared" si="177"/>
        <v/>
      </c>
      <c r="O811" s="127" t="str">
        <f t="shared" si="178"/>
        <v/>
      </c>
      <c r="P811" s="127" t="str">
        <f t="shared" si="179"/>
        <v/>
      </c>
      <c r="Q811" s="128" t="str">
        <f t="shared" si="180"/>
        <v/>
      </c>
      <c r="R811" s="129"/>
      <c r="S811" s="130"/>
      <c r="T811" s="131"/>
      <c r="U811" s="131"/>
      <c r="V811" s="132" t="str">
        <f t="shared" si="181"/>
        <v/>
      </c>
      <c r="W811" s="133" t="str">
        <f t="shared" si="182"/>
        <v/>
      </c>
      <c r="X811" s="130"/>
      <c r="Y811" s="131"/>
      <c r="Z811" s="131"/>
      <c r="AA811" s="132" t="str">
        <f t="shared" si="183"/>
        <v/>
      </c>
      <c r="AB811" s="133" t="str">
        <f t="shared" si="184"/>
        <v/>
      </c>
      <c r="AC811" s="134" t="str">
        <f t="shared" si="185"/>
        <v/>
      </c>
      <c r="AD811" s="135" t="str">
        <f t="shared" si="186"/>
        <v/>
      </c>
      <c r="AE811" s="136"/>
      <c r="AF811" s="137"/>
      <c r="AG811" s="137"/>
      <c r="AH811" s="138" t="str">
        <f t="shared" si="187"/>
        <v/>
      </c>
      <c r="AI811" s="133" t="str">
        <f t="shared" si="188"/>
        <v/>
      </c>
    </row>
    <row r="812" spans="1:35">
      <c r="A812" s="171">
        <f>IF('09월 조업일지'!A798="","",'09월 조업일지'!A798)</f>
        <v>46294</v>
      </c>
      <c r="B812" s="172" t="str">
        <f>'09월 조업일지'!E798</f>
        <v>B</v>
      </c>
      <c r="C812" s="172" t="str">
        <f>'09월 조업일지'!F798</f>
        <v>A</v>
      </c>
      <c r="D812" s="172">
        <f>'09월 화학성분'!C799</f>
        <v>86001</v>
      </c>
      <c r="E812" s="205" t="str">
        <f t="shared" si="189"/>
        <v/>
      </c>
      <c r="F812" s="121"/>
      <c r="G812" s="122"/>
      <c r="H812" s="123"/>
      <c r="I812" s="122"/>
      <c r="J812" s="123"/>
      <c r="K812" s="122"/>
      <c r="L812" s="124" t="str">
        <f t="shared" si="190"/>
        <v/>
      </c>
      <c r="M812" s="125" t="str">
        <f t="shared" si="190"/>
        <v/>
      </c>
      <c r="N812" s="126" t="str">
        <f t="shared" si="177"/>
        <v/>
      </c>
      <c r="O812" s="127" t="str">
        <f t="shared" si="178"/>
        <v/>
      </c>
      <c r="P812" s="127" t="str">
        <f t="shared" si="179"/>
        <v/>
      </c>
      <c r="Q812" s="128" t="str">
        <f t="shared" si="180"/>
        <v/>
      </c>
      <c r="R812" s="129"/>
      <c r="S812" s="130"/>
      <c r="T812" s="131"/>
      <c r="U812" s="131"/>
      <c r="V812" s="132" t="str">
        <f t="shared" si="181"/>
        <v/>
      </c>
      <c r="W812" s="133" t="str">
        <f t="shared" si="182"/>
        <v/>
      </c>
      <c r="X812" s="130"/>
      <c r="Y812" s="131"/>
      <c r="Z812" s="131"/>
      <c r="AA812" s="132" t="str">
        <f t="shared" si="183"/>
        <v/>
      </c>
      <c r="AB812" s="133" t="str">
        <f t="shared" si="184"/>
        <v/>
      </c>
      <c r="AC812" s="134" t="str">
        <f t="shared" si="185"/>
        <v/>
      </c>
      <c r="AD812" s="135" t="str">
        <f t="shared" si="186"/>
        <v/>
      </c>
      <c r="AE812" s="136"/>
      <c r="AF812" s="137"/>
      <c r="AG812" s="137"/>
      <c r="AH812" s="138" t="str">
        <f t="shared" si="187"/>
        <v/>
      </c>
      <c r="AI812" s="133" t="str">
        <f t="shared" si="188"/>
        <v/>
      </c>
    </row>
    <row r="813" spans="1:35">
      <c r="A813" s="171">
        <f>IF('09월 조업일지'!A799="","",'09월 조업일지'!A799)</f>
        <v>46294</v>
      </c>
      <c r="B813" s="172" t="str">
        <f>'09월 조업일지'!E799</f>
        <v>B</v>
      </c>
      <c r="C813" s="172" t="str">
        <f>'09월 조업일지'!F799</f>
        <v>B</v>
      </c>
      <c r="D813" s="172">
        <f>'09월 화학성분'!C800</f>
        <v>86002</v>
      </c>
      <c r="E813" s="205" t="str">
        <f t="shared" si="189"/>
        <v/>
      </c>
      <c r="F813" s="121"/>
      <c r="G813" s="122"/>
      <c r="H813" s="123"/>
      <c r="I813" s="122"/>
      <c r="J813" s="123"/>
      <c r="K813" s="122"/>
      <c r="L813" s="124" t="str">
        <f t="shared" si="190"/>
        <v/>
      </c>
      <c r="M813" s="125" t="str">
        <f t="shared" si="190"/>
        <v/>
      </c>
      <c r="N813" s="126" t="str">
        <f t="shared" si="177"/>
        <v/>
      </c>
      <c r="O813" s="127" t="str">
        <f t="shared" si="178"/>
        <v/>
      </c>
      <c r="P813" s="127" t="str">
        <f t="shared" si="179"/>
        <v/>
      </c>
      <c r="Q813" s="128" t="str">
        <f t="shared" si="180"/>
        <v/>
      </c>
      <c r="R813" s="129"/>
      <c r="S813" s="130"/>
      <c r="T813" s="131"/>
      <c r="U813" s="131"/>
      <c r="V813" s="132" t="str">
        <f t="shared" si="181"/>
        <v/>
      </c>
      <c r="W813" s="133" t="str">
        <f t="shared" si="182"/>
        <v/>
      </c>
      <c r="X813" s="130"/>
      <c r="Y813" s="131"/>
      <c r="Z813" s="131"/>
      <c r="AA813" s="132" t="str">
        <f t="shared" si="183"/>
        <v/>
      </c>
      <c r="AB813" s="133" t="str">
        <f t="shared" si="184"/>
        <v/>
      </c>
      <c r="AC813" s="134" t="str">
        <f t="shared" si="185"/>
        <v/>
      </c>
      <c r="AD813" s="135" t="str">
        <f t="shared" si="186"/>
        <v/>
      </c>
      <c r="AE813" s="136"/>
      <c r="AF813" s="137"/>
      <c r="AG813" s="137"/>
      <c r="AH813" s="138" t="str">
        <f t="shared" si="187"/>
        <v/>
      </c>
      <c r="AI813" s="133" t="str">
        <f t="shared" si="188"/>
        <v/>
      </c>
    </row>
    <row r="814" spans="1:35">
      <c r="A814" s="171">
        <f>IF('09월 조업일지'!A800="","",'09월 조업일지'!A800)</f>
        <v>46295</v>
      </c>
      <c r="B814" s="172" t="str">
        <f>'09월 조업일지'!E800</f>
        <v>B</v>
      </c>
      <c r="C814" s="172" t="str">
        <f>'09월 조업일지'!F800</f>
        <v>A</v>
      </c>
      <c r="D814" s="172">
        <f>'09월 화학성분'!C801</f>
        <v>86003</v>
      </c>
      <c r="E814" s="205" t="str">
        <f t="shared" si="189"/>
        <v/>
      </c>
      <c r="F814" s="121"/>
      <c r="G814" s="122"/>
      <c r="H814" s="123"/>
      <c r="I814" s="122"/>
      <c r="J814" s="123"/>
      <c r="K814" s="122"/>
      <c r="L814" s="124" t="str">
        <f t="shared" si="190"/>
        <v/>
      </c>
      <c r="M814" s="125" t="str">
        <f t="shared" si="190"/>
        <v/>
      </c>
      <c r="N814" s="126" t="str">
        <f t="shared" si="177"/>
        <v/>
      </c>
      <c r="O814" s="127" t="str">
        <f t="shared" si="178"/>
        <v/>
      </c>
      <c r="P814" s="127" t="str">
        <f t="shared" si="179"/>
        <v/>
      </c>
      <c r="Q814" s="128" t="str">
        <f t="shared" si="180"/>
        <v/>
      </c>
      <c r="R814" s="129"/>
      <c r="S814" s="130"/>
      <c r="T814" s="131"/>
      <c r="U814" s="131"/>
      <c r="V814" s="132" t="str">
        <f t="shared" si="181"/>
        <v/>
      </c>
      <c r="W814" s="133" t="str">
        <f t="shared" si="182"/>
        <v/>
      </c>
      <c r="X814" s="130"/>
      <c r="Y814" s="131"/>
      <c r="Z814" s="131"/>
      <c r="AA814" s="132" t="str">
        <f t="shared" si="183"/>
        <v/>
      </c>
      <c r="AB814" s="133" t="str">
        <f t="shared" si="184"/>
        <v/>
      </c>
      <c r="AC814" s="134" t="str">
        <f t="shared" si="185"/>
        <v/>
      </c>
      <c r="AD814" s="135" t="str">
        <f t="shared" si="186"/>
        <v/>
      </c>
      <c r="AE814" s="136"/>
      <c r="AF814" s="137"/>
      <c r="AG814" s="137"/>
      <c r="AH814" s="138" t="str">
        <f t="shared" si="187"/>
        <v/>
      </c>
      <c r="AI814" s="133" t="str">
        <f t="shared" si="188"/>
        <v/>
      </c>
    </row>
    <row r="815" spans="1:35">
      <c r="A815" s="171">
        <f>IF('09월 조업일지'!A801="","",'09월 조업일지'!A801)</f>
        <v>46295</v>
      </c>
      <c r="B815" s="172" t="str">
        <f>'09월 조업일지'!E801</f>
        <v>B</v>
      </c>
      <c r="C815" s="172" t="str">
        <f>'09월 조업일지'!F801</f>
        <v>B</v>
      </c>
      <c r="D815" s="172">
        <f>'09월 화학성분'!C802</f>
        <v>86004</v>
      </c>
      <c r="E815" s="205" t="str">
        <f t="shared" si="189"/>
        <v/>
      </c>
      <c r="F815" s="121"/>
      <c r="G815" s="122"/>
      <c r="H815" s="123"/>
      <c r="I815" s="122"/>
      <c r="J815" s="123"/>
      <c r="K815" s="122"/>
      <c r="L815" s="124" t="str">
        <f t="shared" si="190"/>
        <v/>
      </c>
      <c r="M815" s="125" t="str">
        <f t="shared" si="190"/>
        <v/>
      </c>
      <c r="N815" s="126" t="str">
        <f t="shared" si="177"/>
        <v/>
      </c>
      <c r="O815" s="127" t="str">
        <f t="shared" si="178"/>
        <v/>
      </c>
      <c r="P815" s="127" t="str">
        <f t="shared" si="179"/>
        <v/>
      </c>
      <c r="Q815" s="128" t="str">
        <f t="shared" si="180"/>
        <v/>
      </c>
      <c r="R815" s="129"/>
      <c r="S815" s="130"/>
      <c r="T815" s="131"/>
      <c r="U815" s="131"/>
      <c r="V815" s="132" t="str">
        <f t="shared" si="181"/>
        <v/>
      </c>
      <c r="W815" s="133" t="str">
        <f t="shared" si="182"/>
        <v/>
      </c>
      <c r="X815" s="130"/>
      <c r="Y815" s="131"/>
      <c r="Z815" s="131"/>
      <c r="AA815" s="132" t="str">
        <f t="shared" si="183"/>
        <v/>
      </c>
      <c r="AB815" s="133" t="str">
        <f t="shared" si="184"/>
        <v/>
      </c>
      <c r="AC815" s="134" t="str">
        <f t="shared" si="185"/>
        <v/>
      </c>
      <c r="AD815" s="135" t="str">
        <f t="shared" si="186"/>
        <v/>
      </c>
      <c r="AE815" s="136"/>
      <c r="AF815" s="137"/>
      <c r="AG815" s="137"/>
      <c r="AH815" s="138" t="str">
        <f t="shared" si="187"/>
        <v/>
      </c>
      <c r="AI815" s="133" t="str">
        <f t="shared" si="188"/>
        <v/>
      </c>
    </row>
    <row r="816" spans="1:35">
      <c r="A816" s="171">
        <f>IF('09월 조업일지'!A802="","",'09월 조업일지'!A802)</f>
        <v>46295</v>
      </c>
      <c r="B816" s="172" t="str">
        <f>'09월 조업일지'!E802</f>
        <v>B</v>
      </c>
      <c r="C816" s="172" t="str">
        <f>'09월 조업일지'!F802</f>
        <v>A</v>
      </c>
      <c r="D816" s="172">
        <f>'09월 화학성분'!C803</f>
        <v>86005</v>
      </c>
      <c r="E816" s="205" t="str">
        <f t="shared" si="189"/>
        <v/>
      </c>
      <c r="F816" s="121"/>
      <c r="G816" s="122"/>
      <c r="H816" s="123"/>
      <c r="I816" s="122"/>
      <c r="J816" s="123"/>
      <c r="K816" s="122"/>
      <c r="L816" s="124" t="str">
        <f t="shared" si="190"/>
        <v/>
      </c>
      <c r="M816" s="125" t="str">
        <f t="shared" si="190"/>
        <v/>
      </c>
      <c r="N816" s="126" t="str">
        <f t="shared" si="177"/>
        <v/>
      </c>
      <c r="O816" s="127" t="str">
        <f t="shared" si="178"/>
        <v/>
      </c>
      <c r="P816" s="127" t="str">
        <f t="shared" si="179"/>
        <v/>
      </c>
      <c r="Q816" s="128" t="str">
        <f t="shared" si="180"/>
        <v/>
      </c>
      <c r="R816" s="129"/>
      <c r="S816" s="130"/>
      <c r="T816" s="131"/>
      <c r="U816" s="131"/>
      <c r="V816" s="132" t="str">
        <f t="shared" si="181"/>
        <v/>
      </c>
      <c r="W816" s="133" t="str">
        <f t="shared" si="182"/>
        <v/>
      </c>
      <c r="X816" s="130"/>
      <c r="Y816" s="131"/>
      <c r="Z816" s="131"/>
      <c r="AA816" s="132" t="str">
        <f t="shared" si="183"/>
        <v/>
      </c>
      <c r="AB816" s="133" t="str">
        <f t="shared" si="184"/>
        <v/>
      </c>
      <c r="AC816" s="134" t="str">
        <f t="shared" si="185"/>
        <v/>
      </c>
      <c r="AD816" s="135" t="str">
        <f t="shared" si="186"/>
        <v/>
      </c>
      <c r="AE816" s="136"/>
      <c r="AF816" s="137"/>
      <c r="AG816" s="137"/>
      <c r="AH816" s="138" t="str">
        <f t="shared" si="187"/>
        <v/>
      </c>
      <c r="AI816" s="133" t="str">
        <f t="shared" si="188"/>
        <v/>
      </c>
    </row>
    <row r="817" spans="1:35">
      <c r="A817" s="171">
        <f>IF('09월 조업일지'!A803="","",'09월 조업일지'!A803)</f>
        <v>46295</v>
      </c>
      <c r="B817" s="172" t="str">
        <f>'09월 조업일지'!E803</f>
        <v>B</v>
      </c>
      <c r="C817" s="172" t="str">
        <f>'09월 조업일지'!F803</f>
        <v>B</v>
      </c>
      <c r="D817" s="172">
        <f>'09월 화학성분'!C804</f>
        <v>86006</v>
      </c>
      <c r="E817" s="205" t="str">
        <f t="shared" si="189"/>
        <v/>
      </c>
      <c r="F817" s="121"/>
      <c r="G817" s="122"/>
      <c r="H817" s="123"/>
      <c r="I817" s="122"/>
      <c r="J817" s="123"/>
      <c r="K817" s="122"/>
      <c r="L817" s="124" t="str">
        <f t="shared" si="190"/>
        <v/>
      </c>
      <c r="M817" s="125" t="str">
        <f t="shared" si="190"/>
        <v/>
      </c>
      <c r="N817" s="126" t="str">
        <f t="shared" si="177"/>
        <v/>
      </c>
      <c r="O817" s="127" t="str">
        <f t="shared" si="178"/>
        <v/>
      </c>
      <c r="P817" s="127" t="str">
        <f t="shared" si="179"/>
        <v/>
      </c>
      <c r="Q817" s="128" t="str">
        <f t="shared" si="180"/>
        <v/>
      </c>
      <c r="R817" s="129"/>
      <c r="S817" s="130"/>
      <c r="T817" s="131"/>
      <c r="U817" s="131"/>
      <c r="V817" s="132" t="str">
        <f t="shared" si="181"/>
        <v/>
      </c>
      <c r="W817" s="133" t="str">
        <f t="shared" si="182"/>
        <v/>
      </c>
      <c r="X817" s="130"/>
      <c r="Y817" s="131"/>
      <c r="Z817" s="131"/>
      <c r="AA817" s="132" t="str">
        <f t="shared" si="183"/>
        <v/>
      </c>
      <c r="AB817" s="133" t="str">
        <f t="shared" si="184"/>
        <v/>
      </c>
      <c r="AC817" s="134" t="str">
        <f t="shared" si="185"/>
        <v/>
      </c>
      <c r="AD817" s="135" t="str">
        <f t="shared" si="186"/>
        <v/>
      </c>
      <c r="AE817" s="136"/>
      <c r="AF817" s="137"/>
      <c r="AG817" s="137"/>
      <c r="AH817" s="138" t="str">
        <f t="shared" si="187"/>
        <v/>
      </c>
      <c r="AI817" s="133" t="str">
        <f t="shared" si="188"/>
        <v/>
      </c>
    </row>
    <row r="818" spans="1:35">
      <c r="A818" s="171">
        <f>IF('09월 조업일지'!A804="","",'09월 조업일지'!A804)</f>
        <v>46295</v>
      </c>
      <c r="B818" s="172" t="str">
        <f>'09월 조업일지'!E804</f>
        <v>C</v>
      </c>
      <c r="C818" s="172" t="str">
        <f>'09월 조업일지'!F804</f>
        <v>A</v>
      </c>
      <c r="D818" s="172">
        <f>'09월 화학성분'!C805</f>
        <v>86007</v>
      </c>
      <c r="E818" s="205" t="str">
        <f t="shared" si="189"/>
        <v/>
      </c>
      <c r="F818" s="121"/>
      <c r="G818" s="122"/>
      <c r="H818" s="123"/>
      <c r="I818" s="122"/>
      <c r="J818" s="123"/>
      <c r="K818" s="122"/>
      <c r="L818" s="124" t="str">
        <f t="shared" si="190"/>
        <v/>
      </c>
      <c r="M818" s="125" t="str">
        <f t="shared" si="190"/>
        <v/>
      </c>
      <c r="N818" s="126" t="str">
        <f t="shared" si="177"/>
        <v/>
      </c>
      <c r="O818" s="127" t="str">
        <f t="shared" si="178"/>
        <v/>
      </c>
      <c r="P818" s="127" t="str">
        <f t="shared" si="179"/>
        <v/>
      </c>
      <c r="Q818" s="128" t="str">
        <f t="shared" si="180"/>
        <v/>
      </c>
      <c r="R818" s="129"/>
      <c r="S818" s="130"/>
      <c r="T818" s="131"/>
      <c r="U818" s="131"/>
      <c r="V818" s="132" t="str">
        <f t="shared" si="181"/>
        <v/>
      </c>
      <c r="W818" s="133" t="str">
        <f t="shared" si="182"/>
        <v/>
      </c>
      <c r="X818" s="130"/>
      <c r="Y818" s="131"/>
      <c r="Z818" s="131"/>
      <c r="AA818" s="132" t="str">
        <f t="shared" si="183"/>
        <v/>
      </c>
      <c r="AB818" s="133" t="str">
        <f t="shared" si="184"/>
        <v/>
      </c>
      <c r="AC818" s="134" t="str">
        <f t="shared" si="185"/>
        <v/>
      </c>
      <c r="AD818" s="135" t="str">
        <f t="shared" si="186"/>
        <v/>
      </c>
      <c r="AE818" s="136"/>
      <c r="AF818" s="137"/>
      <c r="AG818" s="137"/>
      <c r="AH818" s="138" t="str">
        <f t="shared" si="187"/>
        <v/>
      </c>
      <c r="AI818" s="133" t="str">
        <f t="shared" si="188"/>
        <v/>
      </c>
    </row>
    <row r="819" spans="1:35">
      <c r="A819" s="171">
        <f>IF('09월 조업일지'!A805="","",'09월 조업일지'!A805)</f>
        <v>46295</v>
      </c>
      <c r="B819" s="172" t="str">
        <f>'09월 조업일지'!E805</f>
        <v>C</v>
      </c>
      <c r="C819" s="172" t="str">
        <f>'09월 조업일지'!F805</f>
        <v>B</v>
      </c>
      <c r="D819" s="172">
        <f>'09월 화학성분'!C806</f>
        <v>86008</v>
      </c>
      <c r="E819" s="205" t="str">
        <f t="shared" si="189"/>
        <v/>
      </c>
      <c r="F819" s="121"/>
      <c r="G819" s="122"/>
      <c r="H819" s="123"/>
      <c r="I819" s="122"/>
      <c r="J819" s="123"/>
      <c r="K819" s="122"/>
      <c r="L819" s="124" t="str">
        <f t="shared" si="190"/>
        <v/>
      </c>
      <c r="M819" s="125" t="str">
        <f t="shared" si="190"/>
        <v/>
      </c>
      <c r="N819" s="126" t="str">
        <f t="shared" si="177"/>
        <v/>
      </c>
      <c r="O819" s="127" t="str">
        <f t="shared" si="178"/>
        <v/>
      </c>
      <c r="P819" s="127" t="str">
        <f t="shared" si="179"/>
        <v/>
      </c>
      <c r="Q819" s="128" t="str">
        <f t="shared" si="180"/>
        <v/>
      </c>
      <c r="R819" s="129"/>
      <c r="S819" s="130"/>
      <c r="T819" s="131"/>
      <c r="U819" s="131"/>
      <c r="V819" s="132" t="str">
        <f t="shared" si="181"/>
        <v/>
      </c>
      <c r="W819" s="133" t="str">
        <f t="shared" si="182"/>
        <v/>
      </c>
      <c r="X819" s="130"/>
      <c r="Y819" s="131"/>
      <c r="Z819" s="131"/>
      <c r="AA819" s="132" t="str">
        <f t="shared" si="183"/>
        <v/>
      </c>
      <c r="AB819" s="133" t="str">
        <f t="shared" si="184"/>
        <v/>
      </c>
      <c r="AC819" s="134" t="str">
        <f t="shared" si="185"/>
        <v/>
      </c>
      <c r="AD819" s="135" t="str">
        <f t="shared" si="186"/>
        <v/>
      </c>
      <c r="AE819" s="136"/>
      <c r="AF819" s="137"/>
      <c r="AG819" s="137"/>
      <c r="AH819" s="138" t="str">
        <f t="shared" si="187"/>
        <v/>
      </c>
      <c r="AI819" s="133" t="str">
        <f t="shared" si="188"/>
        <v/>
      </c>
    </row>
    <row r="820" spans="1:35">
      <c r="A820" s="171">
        <f>IF('09월 조업일지'!A806="","",'09월 조업일지'!A806)</f>
        <v>46295</v>
      </c>
      <c r="B820" s="172" t="str">
        <f>'09월 조업일지'!E806</f>
        <v>C</v>
      </c>
      <c r="C820" s="172" t="str">
        <f>'09월 조업일지'!F806</f>
        <v>A</v>
      </c>
      <c r="D820" s="172">
        <f>'09월 화학성분'!C807</f>
        <v>86009</v>
      </c>
      <c r="E820" s="205" t="str">
        <f t="shared" si="189"/>
        <v/>
      </c>
      <c r="F820" s="121"/>
      <c r="G820" s="122"/>
      <c r="H820" s="123"/>
      <c r="I820" s="122"/>
      <c r="J820" s="123"/>
      <c r="K820" s="122"/>
      <c r="L820" s="124" t="str">
        <f t="shared" si="190"/>
        <v/>
      </c>
      <c r="M820" s="125" t="str">
        <f t="shared" si="190"/>
        <v/>
      </c>
      <c r="N820" s="126" t="str">
        <f t="shared" si="177"/>
        <v/>
      </c>
      <c r="O820" s="127" t="str">
        <f t="shared" si="178"/>
        <v/>
      </c>
      <c r="P820" s="127" t="str">
        <f t="shared" si="179"/>
        <v/>
      </c>
      <c r="Q820" s="128" t="str">
        <f t="shared" si="180"/>
        <v/>
      </c>
      <c r="R820" s="129"/>
      <c r="S820" s="130"/>
      <c r="T820" s="131"/>
      <c r="U820" s="131"/>
      <c r="V820" s="132" t="str">
        <f t="shared" si="181"/>
        <v/>
      </c>
      <c r="W820" s="133" t="str">
        <f t="shared" si="182"/>
        <v/>
      </c>
      <c r="X820" s="130"/>
      <c r="Y820" s="131"/>
      <c r="Z820" s="131"/>
      <c r="AA820" s="132" t="str">
        <f t="shared" si="183"/>
        <v/>
      </c>
      <c r="AB820" s="133" t="str">
        <f t="shared" si="184"/>
        <v/>
      </c>
      <c r="AC820" s="134" t="str">
        <f t="shared" si="185"/>
        <v/>
      </c>
      <c r="AD820" s="135" t="str">
        <f t="shared" si="186"/>
        <v/>
      </c>
      <c r="AE820" s="136"/>
      <c r="AF820" s="137"/>
      <c r="AG820" s="137"/>
      <c r="AH820" s="138" t="str">
        <f t="shared" si="187"/>
        <v/>
      </c>
      <c r="AI820" s="133" t="str">
        <f t="shared" si="188"/>
        <v/>
      </c>
    </row>
    <row r="821" spans="1:35">
      <c r="A821" s="171">
        <f>IF('09월 조업일지'!A807="","",'09월 조업일지'!A807)</f>
        <v>46295</v>
      </c>
      <c r="B821" s="172" t="str">
        <f>'09월 조업일지'!E807</f>
        <v>C</v>
      </c>
      <c r="C821" s="172" t="str">
        <f>'09월 조업일지'!F807</f>
        <v>B</v>
      </c>
      <c r="D821" s="172">
        <f>'09월 화학성분'!C808</f>
        <v>86010</v>
      </c>
      <c r="E821" s="205" t="str">
        <f t="shared" si="189"/>
        <v/>
      </c>
      <c r="F821" s="121"/>
      <c r="G821" s="122"/>
      <c r="H821" s="123"/>
      <c r="I821" s="122"/>
      <c r="J821" s="123"/>
      <c r="K821" s="122"/>
      <c r="L821" s="124" t="str">
        <f t="shared" si="190"/>
        <v/>
      </c>
      <c r="M821" s="125" t="str">
        <f t="shared" si="190"/>
        <v/>
      </c>
      <c r="N821" s="126" t="str">
        <f t="shared" si="177"/>
        <v/>
      </c>
      <c r="O821" s="127" t="str">
        <f t="shared" si="178"/>
        <v/>
      </c>
      <c r="P821" s="127" t="str">
        <f t="shared" si="179"/>
        <v/>
      </c>
      <c r="Q821" s="128" t="str">
        <f t="shared" si="180"/>
        <v/>
      </c>
      <c r="R821" s="129"/>
      <c r="S821" s="130"/>
      <c r="T821" s="131"/>
      <c r="U821" s="131"/>
      <c r="V821" s="132" t="str">
        <f t="shared" si="181"/>
        <v/>
      </c>
      <c r="W821" s="133" t="str">
        <f t="shared" si="182"/>
        <v/>
      </c>
      <c r="X821" s="130"/>
      <c r="Y821" s="131"/>
      <c r="Z821" s="131"/>
      <c r="AA821" s="132" t="str">
        <f t="shared" si="183"/>
        <v/>
      </c>
      <c r="AB821" s="133" t="str">
        <f t="shared" si="184"/>
        <v/>
      </c>
      <c r="AC821" s="134" t="str">
        <f t="shared" si="185"/>
        <v/>
      </c>
      <c r="AD821" s="135" t="str">
        <f t="shared" si="186"/>
        <v/>
      </c>
      <c r="AE821" s="136"/>
      <c r="AF821" s="137"/>
      <c r="AG821" s="137"/>
      <c r="AH821" s="138" t="str">
        <f t="shared" si="187"/>
        <v/>
      </c>
      <c r="AI821" s="133" t="str">
        <f t="shared" si="188"/>
        <v/>
      </c>
    </row>
    <row r="822" spans="1:35">
      <c r="A822" s="171">
        <f>IF('09월 조업일지'!A808="","",'09월 조업일지'!A808)</f>
        <v>46295</v>
      </c>
      <c r="B822" s="172" t="str">
        <f>'09월 조업일지'!E808</f>
        <v>C</v>
      </c>
      <c r="C822" s="172" t="str">
        <f>'09월 조업일지'!F808</f>
        <v>A</v>
      </c>
      <c r="D822" s="172">
        <f>'09월 화학성분'!C809</f>
        <v>86011</v>
      </c>
      <c r="E822" s="205" t="str">
        <f t="shared" si="189"/>
        <v/>
      </c>
      <c r="F822" s="121"/>
      <c r="G822" s="122"/>
      <c r="H822" s="123"/>
      <c r="I822" s="122"/>
      <c r="J822" s="123"/>
      <c r="K822" s="122"/>
      <c r="L822" s="124" t="str">
        <f t="shared" si="190"/>
        <v/>
      </c>
      <c r="M822" s="125" t="str">
        <f t="shared" si="190"/>
        <v/>
      </c>
      <c r="N822" s="126" t="str">
        <f t="shared" si="177"/>
        <v/>
      </c>
      <c r="O822" s="127" t="str">
        <f t="shared" si="178"/>
        <v/>
      </c>
      <c r="P822" s="127" t="str">
        <f t="shared" si="179"/>
        <v/>
      </c>
      <c r="Q822" s="128" t="str">
        <f t="shared" si="180"/>
        <v/>
      </c>
      <c r="R822" s="129"/>
      <c r="S822" s="130"/>
      <c r="T822" s="131"/>
      <c r="U822" s="131"/>
      <c r="V822" s="132" t="str">
        <f t="shared" si="181"/>
        <v/>
      </c>
      <c r="W822" s="133" t="str">
        <f t="shared" si="182"/>
        <v/>
      </c>
      <c r="X822" s="130"/>
      <c r="Y822" s="131"/>
      <c r="Z822" s="131"/>
      <c r="AA822" s="132" t="str">
        <f t="shared" si="183"/>
        <v/>
      </c>
      <c r="AB822" s="133" t="str">
        <f t="shared" si="184"/>
        <v/>
      </c>
      <c r="AC822" s="134" t="str">
        <f t="shared" si="185"/>
        <v/>
      </c>
      <c r="AD822" s="135" t="str">
        <f t="shared" si="186"/>
        <v/>
      </c>
      <c r="AE822" s="136"/>
      <c r="AF822" s="137"/>
      <c r="AG822" s="137"/>
      <c r="AH822" s="138" t="str">
        <f t="shared" si="187"/>
        <v/>
      </c>
      <c r="AI822" s="133" t="str">
        <f t="shared" si="188"/>
        <v/>
      </c>
    </row>
    <row r="823" spans="1:35">
      <c r="A823" s="171">
        <f>IF('09월 조업일지'!A809="","",'09월 조업일지'!A809)</f>
        <v>46295</v>
      </c>
      <c r="B823" s="172" t="str">
        <f>'09월 조업일지'!E809</f>
        <v>C</v>
      </c>
      <c r="C823" s="172" t="str">
        <f>'09월 조업일지'!F809</f>
        <v>B</v>
      </c>
      <c r="D823" s="172">
        <f>'09월 화학성분'!C810</f>
        <v>86012</v>
      </c>
      <c r="E823" s="205" t="str">
        <f t="shared" si="189"/>
        <v/>
      </c>
      <c r="F823" s="121"/>
      <c r="G823" s="122"/>
      <c r="H823" s="123"/>
      <c r="I823" s="122"/>
      <c r="J823" s="123"/>
      <c r="K823" s="122"/>
      <c r="L823" s="124" t="str">
        <f t="shared" si="190"/>
        <v/>
      </c>
      <c r="M823" s="125" t="str">
        <f t="shared" si="190"/>
        <v/>
      </c>
      <c r="N823" s="126" t="str">
        <f t="shared" si="177"/>
        <v/>
      </c>
      <c r="O823" s="127" t="str">
        <f t="shared" si="178"/>
        <v/>
      </c>
      <c r="P823" s="127" t="str">
        <f t="shared" si="179"/>
        <v/>
      </c>
      <c r="Q823" s="128" t="str">
        <f t="shared" si="180"/>
        <v/>
      </c>
      <c r="R823" s="129"/>
      <c r="S823" s="130"/>
      <c r="T823" s="131"/>
      <c r="U823" s="131"/>
      <c r="V823" s="132" t="str">
        <f t="shared" si="181"/>
        <v/>
      </c>
      <c r="W823" s="133" t="str">
        <f t="shared" si="182"/>
        <v/>
      </c>
      <c r="X823" s="130"/>
      <c r="Y823" s="131"/>
      <c r="Z823" s="131"/>
      <c r="AA823" s="132" t="str">
        <f t="shared" si="183"/>
        <v/>
      </c>
      <c r="AB823" s="133" t="str">
        <f t="shared" si="184"/>
        <v/>
      </c>
      <c r="AC823" s="134" t="str">
        <f t="shared" si="185"/>
        <v/>
      </c>
      <c r="AD823" s="135" t="str">
        <f t="shared" si="186"/>
        <v/>
      </c>
      <c r="AE823" s="136"/>
      <c r="AF823" s="137"/>
      <c r="AG823" s="137"/>
      <c r="AH823" s="138" t="str">
        <f t="shared" si="187"/>
        <v/>
      </c>
      <c r="AI823" s="133" t="str">
        <f t="shared" si="188"/>
        <v/>
      </c>
    </row>
    <row r="824" spans="1:35">
      <c r="A824" s="171">
        <f>IF('09월 조업일지'!A810="","",'09월 조업일지'!A810)</f>
        <v>46295</v>
      </c>
      <c r="B824" s="172" t="str">
        <f>'09월 조업일지'!E810</f>
        <v>C</v>
      </c>
      <c r="C824" s="172" t="str">
        <f>'09월 조업일지'!F810</f>
        <v>A</v>
      </c>
      <c r="D824" s="172">
        <f>'09월 화학성분'!C811</f>
        <v>86013</v>
      </c>
      <c r="E824" s="205" t="str">
        <f t="shared" si="189"/>
        <v/>
      </c>
      <c r="F824" s="121"/>
      <c r="G824" s="122"/>
      <c r="H824" s="123"/>
      <c r="I824" s="122"/>
      <c r="J824" s="123"/>
      <c r="K824" s="122"/>
      <c r="L824" s="124" t="str">
        <f t="shared" si="190"/>
        <v/>
      </c>
      <c r="M824" s="125" t="str">
        <f t="shared" si="190"/>
        <v/>
      </c>
      <c r="N824" s="126" t="str">
        <f t="shared" si="177"/>
        <v/>
      </c>
      <c r="O824" s="127" t="str">
        <f t="shared" si="178"/>
        <v/>
      </c>
      <c r="P824" s="127" t="str">
        <f t="shared" si="179"/>
        <v/>
      </c>
      <c r="Q824" s="128" t="str">
        <f t="shared" si="180"/>
        <v/>
      </c>
      <c r="R824" s="129"/>
      <c r="S824" s="130"/>
      <c r="T824" s="131"/>
      <c r="U824" s="131"/>
      <c r="V824" s="132" t="str">
        <f t="shared" si="181"/>
        <v/>
      </c>
      <c r="W824" s="133" t="str">
        <f t="shared" si="182"/>
        <v/>
      </c>
      <c r="X824" s="130"/>
      <c r="Y824" s="131"/>
      <c r="Z824" s="131"/>
      <c r="AA824" s="132" t="str">
        <f t="shared" si="183"/>
        <v/>
      </c>
      <c r="AB824" s="133" t="str">
        <f t="shared" si="184"/>
        <v/>
      </c>
      <c r="AC824" s="134" t="str">
        <f t="shared" si="185"/>
        <v/>
      </c>
      <c r="AD824" s="135" t="str">
        <f t="shared" si="186"/>
        <v/>
      </c>
      <c r="AE824" s="136"/>
      <c r="AF824" s="137"/>
      <c r="AG824" s="137"/>
      <c r="AH824" s="138" t="str">
        <f t="shared" si="187"/>
        <v/>
      </c>
      <c r="AI824" s="133" t="str">
        <f t="shared" si="188"/>
        <v/>
      </c>
    </row>
    <row r="825" spans="1:35">
      <c r="A825" s="171">
        <f>IF('09월 조업일지'!A811="","",'09월 조업일지'!A811)</f>
        <v>46295</v>
      </c>
      <c r="B825" s="172" t="str">
        <f>'09월 조업일지'!E811</f>
        <v>C</v>
      </c>
      <c r="C825" s="172" t="str">
        <f>'09월 조업일지'!F811</f>
        <v>B</v>
      </c>
      <c r="D825" s="172">
        <f>'09월 화학성분'!C812</f>
        <v>86014</v>
      </c>
      <c r="E825" s="205" t="str">
        <f t="shared" si="189"/>
        <v/>
      </c>
      <c r="F825" s="121"/>
      <c r="G825" s="122"/>
      <c r="H825" s="123"/>
      <c r="I825" s="122"/>
      <c r="J825" s="123"/>
      <c r="K825" s="122"/>
      <c r="L825" s="124" t="str">
        <f t="shared" si="190"/>
        <v/>
      </c>
      <c r="M825" s="125" t="str">
        <f t="shared" si="190"/>
        <v/>
      </c>
      <c r="N825" s="126" t="str">
        <f t="shared" si="177"/>
        <v/>
      </c>
      <c r="O825" s="127" t="str">
        <f t="shared" si="178"/>
        <v/>
      </c>
      <c r="P825" s="127" t="str">
        <f t="shared" si="179"/>
        <v/>
      </c>
      <c r="Q825" s="128" t="str">
        <f t="shared" si="180"/>
        <v/>
      </c>
      <c r="R825" s="129"/>
      <c r="S825" s="130"/>
      <c r="T825" s="131"/>
      <c r="U825" s="131"/>
      <c r="V825" s="132" t="str">
        <f t="shared" si="181"/>
        <v/>
      </c>
      <c r="W825" s="133" t="str">
        <f t="shared" si="182"/>
        <v/>
      </c>
      <c r="X825" s="130"/>
      <c r="Y825" s="131"/>
      <c r="Z825" s="131"/>
      <c r="AA825" s="132" t="str">
        <f t="shared" si="183"/>
        <v/>
      </c>
      <c r="AB825" s="133" t="str">
        <f t="shared" si="184"/>
        <v/>
      </c>
      <c r="AC825" s="134" t="str">
        <f t="shared" si="185"/>
        <v/>
      </c>
      <c r="AD825" s="135" t="str">
        <f t="shared" si="186"/>
        <v/>
      </c>
      <c r="AE825" s="136"/>
      <c r="AF825" s="137"/>
      <c r="AG825" s="137"/>
      <c r="AH825" s="138" t="str">
        <f t="shared" si="187"/>
        <v/>
      </c>
      <c r="AI825" s="133" t="str">
        <f t="shared" si="188"/>
        <v/>
      </c>
    </row>
    <row r="826" spans="1:35">
      <c r="A826" s="171">
        <f>IF('09월 조업일지'!A812="","",'09월 조업일지'!A812)</f>
        <v>46295</v>
      </c>
      <c r="B826" s="172" t="str">
        <f>'09월 조업일지'!E812</f>
        <v>C</v>
      </c>
      <c r="C826" s="172" t="str">
        <f>'09월 조업일지'!F812</f>
        <v>A</v>
      </c>
      <c r="D826" s="172">
        <f>'09월 화학성분'!C813</f>
        <v>86015</v>
      </c>
      <c r="E826" s="205" t="str">
        <f t="shared" si="189"/>
        <v/>
      </c>
      <c r="F826" s="121"/>
      <c r="G826" s="122"/>
      <c r="H826" s="123"/>
      <c r="I826" s="122"/>
      <c r="J826" s="123"/>
      <c r="K826" s="122"/>
      <c r="L826" s="124" t="str">
        <f t="shared" si="190"/>
        <v/>
      </c>
      <c r="M826" s="125" t="str">
        <f t="shared" si="190"/>
        <v/>
      </c>
      <c r="N826" s="126" t="str">
        <f t="shared" si="177"/>
        <v/>
      </c>
      <c r="O826" s="127" t="str">
        <f t="shared" si="178"/>
        <v/>
      </c>
      <c r="P826" s="127" t="str">
        <f t="shared" si="179"/>
        <v/>
      </c>
      <c r="Q826" s="128" t="str">
        <f t="shared" si="180"/>
        <v/>
      </c>
      <c r="R826" s="129"/>
      <c r="S826" s="130"/>
      <c r="T826" s="131"/>
      <c r="U826" s="131"/>
      <c r="V826" s="132" t="str">
        <f t="shared" si="181"/>
        <v/>
      </c>
      <c r="W826" s="133" t="str">
        <f t="shared" si="182"/>
        <v/>
      </c>
      <c r="X826" s="130"/>
      <c r="Y826" s="131"/>
      <c r="Z826" s="131"/>
      <c r="AA826" s="132" t="str">
        <f t="shared" si="183"/>
        <v/>
      </c>
      <c r="AB826" s="133" t="str">
        <f t="shared" si="184"/>
        <v/>
      </c>
      <c r="AC826" s="134" t="str">
        <f t="shared" si="185"/>
        <v/>
      </c>
      <c r="AD826" s="135" t="str">
        <f t="shared" si="186"/>
        <v/>
      </c>
      <c r="AE826" s="136"/>
      <c r="AF826" s="137"/>
      <c r="AG826" s="137"/>
      <c r="AH826" s="138" t="str">
        <f t="shared" si="187"/>
        <v/>
      </c>
      <c r="AI826" s="133" t="str">
        <f t="shared" si="188"/>
        <v/>
      </c>
    </row>
    <row r="827" spans="1:35">
      <c r="A827" s="171">
        <f>IF('09월 조업일지'!A813="","",'09월 조업일지'!A813)</f>
        <v>46295</v>
      </c>
      <c r="B827" s="172" t="str">
        <f>'09월 조업일지'!E813</f>
        <v>C</v>
      </c>
      <c r="C827" s="172" t="str">
        <f>'09월 조업일지'!F813</f>
        <v>B</v>
      </c>
      <c r="D827" s="172">
        <f>'09월 화학성분'!C814</f>
        <v>86016</v>
      </c>
      <c r="E827" s="205" t="str">
        <f t="shared" si="189"/>
        <v/>
      </c>
      <c r="F827" s="121"/>
      <c r="G827" s="122"/>
      <c r="H827" s="123"/>
      <c r="I827" s="122"/>
      <c r="J827" s="123"/>
      <c r="K827" s="122"/>
      <c r="L827" s="124" t="str">
        <f t="shared" si="190"/>
        <v/>
      </c>
      <c r="M827" s="125" t="str">
        <f t="shared" si="190"/>
        <v/>
      </c>
      <c r="N827" s="126" t="str">
        <f t="shared" si="177"/>
        <v/>
      </c>
      <c r="O827" s="127" t="str">
        <f t="shared" si="178"/>
        <v/>
      </c>
      <c r="P827" s="127" t="str">
        <f t="shared" si="179"/>
        <v/>
      </c>
      <c r="Q827" s="128" t="str">
        <f t="shared" si="180"/>
        <v/>
      </c>
      <c r="R827" s="129"/>
      <c r="S827" s="130"/>
      <c r="T827" s="131"/>
      <c r="U827" s="131"/>
      <c r="V827" s="132" t="str">
        <f t="shared" si="181"/>
        <v/>
      </c>
      <c r="W827" s="133" t="str">
        <f t="shared" si="182"/>
        <v/>
      </c>
      <c r="X827" s="130"/>
      <c r="Y827" s="131"/>
      <c r="Z827" s="131"/>
      <c r="AA827" s="132" t="str">
        <f t="shared" si="183"/>
        <v/>
      </c>
      <c r="AB827" s="133" t="str">
        <f t="shared" si="184"/>
        <v/>
      </c>
      <c r="AC827" s="134" t="str">
        <f t="shared" si="185"/>
        <v/>
      </c>
      <c r="AD827" s="135" t="str">
        <f t="shared" si="186"/>
        <v/>
      </c>
      <c r="AE827" s="136"/>
      <c r="AF827" s="137"/>
      <c r="AG827" s="137"/>
      <c r="AH827" s="138" t="str">
        <f t="shared" si="187"/>
        <v/>
      </c>
      <c r="AI827" s="133" t="str">
        <f t="shared" si="188"/>
        <v/>
      </c>
    </row>
    <row r="828" spans="1:35">
      <c r="A828" s="171">
        <f>IF('09월 조업일지'!A814="","",'09월 조업일지'!A814)</f>
        <v>46295</v>
      </c>
      <c r="B828" s="172" t="str">
        <f>'09월 조업일지'!E814</f>
        <v>D</v>
      </c>
      <c r="C828" s="172" t="str">
        <f>'09월 조업일지'!F814</f>
        <v>A</v>
      </c>
      <c r="D828" s="172">
        <f>'09월 화학성분'!C815</f>
        <v>86017</v>
      </c>
      <c r="E828" s="205" t="str">
        <f t="shared" si="189"/>
        <v/>
      </c>
      <c r="F828" s="121"/>
      <c r="G828" s="122"/>
      <c r="H828" s="123"/>
      <c r="I828" s="122"/>
      <c r="J828" s="123"/>
      <c r="K828" s="122"/>
      <c r="L828" s="124" t="str">
        <f t="shared" si="190"/>
        <v/>
      </c>
      <c r="M828" s="125" t="str">
        <f t="shared" si="190"/>
        <v/>
      </c>
      <c r="N828" s="126" t="str">
        <f t="shared" si="177"/>
        <v/>
      </c>
      <c r="O828" s="127" t="str">
        <f t="shared" si="178"/>
        <v/>
      </c>
      <c r="P828" s="127" t="str">
        <f t="shared" si="179"/>
        <v/>
      </c>
      <c r="Q828" s="128" t="str">
        <f t="shared" si="180"/>
        <v/>
      </c>
      <c r="R828" s="129"/>
      <c r="S828" s="130"/>
      <c r="T828" s="131"/>
      <c r="U828" s="131"/>
      <c r="V828" s="132" t="str">
        <f t="shared" si="181"/>
        <v/>
      </c>
      <c r="W828" s="133" t="str">
        <f t="shared" si="182"/>
        <v/>
      </c>
      <c r="X828" s="130"/>
      <c r="Y828" s="131"/>
      <c r="Z828" s="131"/>
      <c r="AA828" s="132" t="str">
        <f t="shared" si="183"/>
        <v/>
      </c>
      <c r="AB828" s="133" t="str">
        <f t="shared" si="184"/>
        <v/>
      </c>
      <c r="AC828" s="134" t="str">
        <f t="shared" si="185"/>
        <v/>
      </c>
      <c r="AD828" s="135" t="str">
        <f t="shared" si="186"/>
        <v/>
      </c>
      <c r="AE828" s="136"/>
      <c r="AF828" s="137"/>
      <c r="AG828" s="137"/>
      <c r="AH828" s="138" t="str">
        <f t="shared" si="187"/>
        <v/>
      </c>
      <c r="AI828" s="133" t="str">
        <f t="shared" si="188"/>
        <v/>
      </c>
    </row>
    <row r="829" spans="1:35">
      <c r="A829" s="171">
        <f>IF('09월 조업일지'!A815="","",'09월 조업일지'!A815)</f>
        <v>46295</v>
      </c>
      <c r="B829" s="172" t="str">
        <f>'09월 조업일지'!E815</f>
        <v>D</v>
      </c>
      <c r="C829" s="172" t="str">
        <f>'09월 조업일지'!F815</f>
        <v>B</v>
      </c>
      <c r="D829" s="172">
        <f>'09월 화학성분'!C816</f>
        <v>86018</v>
      </c>
      <c r="E829" s="205" t="str">
        <f t="shared" si="189"/>
        <v/>
      </c>
      <c r="F829" s="121"/>
      <c r="G829" s="122"/>
      <c r="H829" s="123"/>
      <c r="I829" s="122"/>
      <c r="J829" s="123"/>
      <c r="K829" s="122"/>
      <c r="L829" s="124" t="str">
        <f t="shared" si="190"/>
        <v/>
      </c>
      <c r="M829" s="125" t="str">
        <f t="shared" si="190"/>
        <v/>
      </c>
      <c r="N829" s="126" t="str">
        <f t="shared" si="177"/>
        <v/>
      </c>
      <c r="O829" s="127" t="str">
        <f t="shared" si="178"/>
        <v/>
      </c>
      <c r="P829" s="127" t="str">
        <f t="shared" si="179"/>
        <v/>
      </c>
      <c r="Q829" s="128" t="str">
        <f t="shared" si="180"/>
        <v/>
      </c>
      <c r="R829" s="129"/>
      <c r="S829" s="130"/>
      <c r="T829" s="131"/>
      <c r="U829" s="131"/>
      <c r="V829" s="132" t="str">
        <f t="shared" si="181"/>
        <v/>
      </c>
      <c r="W829" s="133" t="str">
        <f t="shared" si="182"/>
        <v/>
      </c>
      <c r="X829" s="130"/>
      <c r="Y829" s="131"/>
      <c r="Z829" s="131"/>
      <c r="AA829" s="132" t="str">
        <f t="shared" si="183"/>
        <v/>
      </c>
      <c r="AB829" s="133" t="str">
        <f t="shared" si="184"/>
        <v/>
      </c>
      <c r="AC829" s="134" t="str">
        <f t="shared" si="185"/>
        <v/>
      </c>
      <c r="AD829" s="135" t="str">
        <f t="shared" si="186"/>
        <v/>
      </c>
      <c r="AE829" s="136"/>
      <c r="AF829" s="137"/>
      <c r="AG829" s="137"/>
      <c r="AH829" s="138" t="str">
        <f t="shared" si="187"/>
        <v/>
      </c>
      <c r="AI829" s="133" t="str">
        <f t="shared" si="188"/>
        <v/>
      </c>
    </row>
    <row r="830" spans="1:35">
      <c r="A830" s="171">
        <f>IF('09월 조업일지'!A816="","",'09월 조업일지'!A816)</f>
        <v>46295</v>
      </c>
      <c r="B830" s="172" t="str">
        <f>'09월 조업일지'!E816</f>
        <v>D</v>
      </c>
      <c r="C830" s="172" t="str">
        <f>'09월 조업일지'!F816</f>
        <v>A</v>
      </c>
      <c r="D830" s="172">
        <f>'09월 화학성분'!C817</f>
        <v>86019</v>
      </c>
      <c r="E830" s="205" t="str">
        <f t="shared" si="189"/>
        <v/>
      </c>
      <c r="F830" s="121"/>
      <c r="G830" s="122"/>
      <c r="H830" s="123"/>
      <c r="I830" s="122"/>
      <c r="J830" s="123"/>
      <c r="K830" s="122"/>
      <c r="L830" s="124" t="str">
        <f t="shared" si="190"/>
        <v/>
      </c>
      <c r="M830" s="125" t="str">
        <f t="shared" si="190"/>
        <v/>
      </c>
      <c r="N830" s="126" t="str">
        <f t="shared" si="177"/>
        <v/>
      </c>
      <c r="O830" s="127" t="str">
        <f t="shared" si="178"/>
        <v/>
      </c>
      <c r="P830" s="127" t="str">
        <f t="shared" si="179"/>
        <v/>
      </c>
      <c r="Q830" s="128" t="str">
        <f t="shared" si="180"/>
        <v/>
      </c>
      <c r="R830" s="129"/>
      <c r="S830" s="130"/>
      <c r="T830" s="131"/>
      <c r="U830" s="131"/>
      <c r="V830" s="132" t="str">
        <f t="shared" si="181"/>
        <v/>
      </c>
      <c r="W830" s="133" t="str">
        <f t="shared" si="182"/>
        <v/>
      </c>
      <c r="X830" s="130"/>
      <c r="Y830" s="131"/>
      <c r="Z830" s="131"/>
      <c r="AA830" s="132" t="str">
        <f t="shared" si="183"/>
        <v/>
      </c>
      <c r="AB830" s="133" t="str">
        <f t="shared" si="184"/>
        <v/>
      </c>
      <c r="AC830" s="134" t="str">
        <f t="shared" si="185"/>
        <v/>
      </c>
      <c r="AD830" s="135" t="str">
        <f t="shared" si="186"/>
        <v/>
      </c>
      <c r="AE830" s="136"/>
      <c r="AF830" s="137"/>
      <c r="AG830" s="137"/>
      <c r="AH830" s="138" t="str">
        <f t="shared" si="187"/>
        <v/>
      </c>
      <c r="AI830" s="133" t="str">
        <f t="shared" si="188"/>
        <v/>
      </c>
    </row>
    <row r="831" spans="1:35">
      <c r="A831" s="171">
        <f>IF('09월 조업일지'!A817="","",'09월 조업일지'!A817)</f>
        <v>46295</v>
      </c>
      <c r="B831" s="172" t="str">
        <f>'09월 조업일지'!E817</f>
        <v>D</v>
      </c>
      <c r="C831" s="172" t="str">
        <f>'09월 조업일지'!F817</f>
        <v>B</v>
      </c>
      <c r="D831" s="172">
        <f>'09월 화학성분'!C818</f>
        <v>86020</v>
      </c>
      <c r="E831" s="205" t="str">
        <f t="shared" si="189"/>
        <v/>
      </c>
      <c r="F831" s="121"/>
      <c r="G831" s="122"/>
      <c r="H831" s="123"/>
      <c r="I831" s="122"/>
      <c r="J831" s="123"/>
      <c r="K831" s="122"/>
      <c r="L831" s="124" t="str">
        <f t="shared" si="190"/>
        <v/>
      </c>
      <c r="M831" s="125" t="str">
        <f t="shared" si="190"/>
        <v/>
      </c>
      <c r="N831" s="126" t="str">
        <f t="shared" si="177"/>
        <v/>
      </c>
      <c r="O831" s="127" t="str">
        <f t="shared" si="178"/>
        <v/>
      </c>
      <c r="P831" s="127" t="str">
        <f t="shared" si="179"/>
        <v/>
      </c>
      <c r="Q831" s="128" t="str">
        <f t="shared" si="180"/>
        <v/>
      </c>
      <c r="R831" s="129"/>
      <c r="S831" s="130"/>
      <c r="T831" s="131"/>
      <c r="U831" s="131"/>
      <c r="V831" s="132" t="str">
        <f t="shared" si="181"/>
        <v/>
      </c>
      <c r="W831" s="133" t="str">
        <f t="shared" si="182"/>
        <v/>
      </c>
      <c r="X831" s="130"/>
      <c r="Y831" s="131"/>
      <c r="Z831" s="131"/>
      <c r="AA831" s="132" t="str">
        <f t="shared" si="183"/>
        <v/>
      </c>
      <c r="AB831" s="133" t="str">
        <f t="shared" si="184"/>
        <v/>
      </c>
      <c r="AC831" s="134" t="str">
        <f t="shared" si="185"/>
        <v/>
      </c>
      <c r="AD831" s="135" t="str">
        <f t="shared" si="186"/>
        <v/>
      </c>
      <c r="AE831" s="136"/>
      <c r="AF831" s="137"/>
      <c r="AG831" s="137"/>
      <c r="AH831" s="138" t="str">
        <f t="shared" si="187"/>
        <v/>
      </c>
      <c r="AI831" s="133" t="str">
        <f t="shared" si="188"/>
        <v/>
      </c>
    </row>
    <row r="832" spans="1:35">
      <c r="A832" s="171">
        <f>IF('09월 조업일지'!A818="","",'09월 조업일지'!A818)</f>
        <v>46295</v>
      </c>
      <c r="B832" s="172" t="str">
        <f>'09월 조업일지'!E818</f>
        <v>D</v>
      </c>
      <c r="C832" s="172" t="str">
        <f>'09월 조업일지'!F818</f>
        <v>A</v>
      </c>
      <c r="D832" s="172">
        <f>'09월 화학성분'!C819</f>
        <v>86021</v>
      </c>
      <c r="E832" s="205" t="str">
        <f t="shared" si="189"/>
        <v/>
      </c>
      <c r="F832" s="121"/>
      <c r="G832" s="122"/>
      <c r="H832" s="123"/>
      <c r="I832" s="122"/>
      <c r="J832" s="123"/>
      <c r="K832" s="122"/>
      <c r="L832" s="124" t="str">
        <f t="shared" si="190"/>
        <v/>
      </c>
      <c r="M832" s="125" t="str">
        <f t="shared" si="190"/>
        <v/>
      </c>
      <c r="N832" s="126" t="str">
        <f t="shared" si="177"/>
        <v/>
      </c>
      <c r="O832" s="127" t="str">
        <f t="shared" si="178"/>
        <v/>
      </c>
      <c r="P832" s="127" t="str">
        <f t="shared" si="179"/>
        <v/>
      </c>
      <c r="Q832" s="128" t="str">
        <f t="shared" si="180"/>
        <v/>
      </c>
      <c r="R832" s="129"/>
      <c r="S832" s="130"/>
      <c r="T832" s="131"/>
      <c r="U832" s="131"/>
      <c r="V832" s="132" t="str">
        <f t="shared" si="181"/>
        <v/>
      </c>
      <c r="W832" s="133" t="str">
        <f t="shared" si="182"/>
        <v/>
      </c>
      <c r="X832" s="130"/>
      <c r="Y832" s="131"/>
      <c r="Z832" s="131"/>
      <c r="AA832" s="132" t="str">
        <f t="shared" si="183"/>
        <v/>
      </c>
      <c r="AB832" s="133" t="str">
        <f t="shared" si="184"/>
        <v/>
      </c>
      <c r="AC832" s="134" t="str">
        <f t="shared" si="185"/>
        <v/>
      </c>
      <c r="AD832" s="135" t="str">
        <f t="shared" si="186"/>
        <v/>
      </c>
      <c r="AE832" s="136"/>
      <c r="AF832" s="137"/>
      <c r="AG832" s="137"/>
      <c r="AH832" s="138" t="str">
        <f t="shared" si="187"/>
        <v/>
      </c>
      <c r="AI832" s="133" t="str">
        <f t="shared" si="188"/>
        <v/>
      </c>
    </row>
    <row r="833" spans="1:35">
      <c r="A833" s="171">
        <f>IF('09월 조업일지'!A819="","",'09월 조업일지'!A819)</f>
        <v>46295</v>
      </c>
      <c r="B833" s="172" t="str">
        <f>'09월 조업일지'!E819</f>
        <v>D</v>
      </c>
      <c r="C833" s="172" t="str">
        <f>'09월 조업일지'!F819</f>
        <v>B</v>
      </c>
      <c r="D833" s="172">
        <f>'09월 화학성분'!C820</f>
        <v>86022</v>
      </c>
      <c r="E833" s="205" t="str">
        <f t="shared" si="189"/>
        <v/>
      </c>
      <c r="F833" s="121"/>
      <c r="G833" s="122"/>
      <c r="H833" s="123"/>
      <c r="I833" s="122"/>
      <c r="J833" s="123"/>
      <c r="K833" s="122"/>
      <c r="L833" s="124" t="str">
        <f t="shared" si="190"/>
        <v/>
      </c>
      <c r="M833" s="125" t="str">
        <f t="shared" si="190"/>
        <v/>
      </c>
      <c r="N833" s="126" t="str">
        <f t="shared" si="177"/>
        <v/>
      </c>
      <c r="O833" s="127" t="str">
        <f t="shared" si="178"/>
        <v/>
      </c>
      <c r="P833" s="127" t="str">
        <f t="shared" si="179"/>
        <v/>
      </c>
      <c r="Q833" s="128" t="str">
        <f t="shared" si="180"/>
        <v/>
      </c>
      <c r="R833" s="129"/>
      <c r="S833" s="130"/>
      <c r="T833" s="131"/>
      <c r="U833" s="131"/>
      <c r="V833" s="132" t="str">
        <f t="shared" si="181"/>
        <v/>
      </c>
      <c r="W833" s="133" t="str">
        <f t="shared" si="182"/>
        <v/>
      </c>
      <c r="X833" s="130"/>
      <c r="Y833" s="131"/>
      <c r="Z833" s="131"/>
      <c r="AA833" s="132" t="str">
        <f t="shared" si="183"/>
        <v/>
      </c>
      <c r="AB833" s="133" t="str">
        <f t="shared" si="184"/>
        <v/>
      </c>
      <c r="AC833" s="134" t="str">
        <f t="shared" si="185"/>
        <v/>
      </c>
      <c r="AD833" s="135" t="str">
        <f t="shared" si="186"/>
        <v/>
      </c>
      <c r="AE833" s="136"/>
      <c r="AF833" s="137"/>
      <c r="AG833" s="137"/>
      <c r="AH833" s="138" t="str">
        <f t="shared" si="187"/>
        <v/>
      </c>
      <c r="AI833" s="133" t="str">
        <f t="shared" si="188"/>
        <v/>
      </c>
    </row>
    <row r="834" spans="1:35">
      <c r="A834" s="171">
        <f>IF('09월 조업일지'!A820="","",'09월 조업일지'!A820)</f>
        <v>46295</v>
      </c>
      <c r="B834" s="172" t="str">
        <f>'09월 조업일지'!E820</f>
        <v>D</v>
      </c>
      <c r="C834" s="172" t="str">
        <f>'09월 조업일지'!F820</f>
        <v>A</v>
      </c>
      <c r="D834" s="172">
        <f>'09월 화학성분'!C821</f>
        <v>86023</v>
      </c>
      <c r="E834" s="205" t="str">
        <f t="shared" si="189"/>
        <v/>
      </c>
      <c r="F834" s="121"/>
      <c r="G834" s="122"/>
      <c r="H834" s="123"/>
      <c r="I834" s="122"/>
      <c r="J834" s="123"/>
      <c r="K834" s="122"/>
      <c r="L834" s="124" t="str">
        <f t="shared" si="190"/>
        <v/>
      </c>
      <c r="M834" s="125" t="str">
        <f t="shared" si="190"/>
        <v/>
      </c>
      <c r="N834" s="126" t="str">
        <f t="shared" si="177"/>
        <v/>
      </c>
      <c r="O834" s="127" t="str">
        <f t="shared" si="178"/>
        <v/>
      </c>
      <c r="P834" s="127" t="str">
        <f t="shared" si="179"/>
        <v/>
      </c>
      <c r="Q834" s="128" t="str">
        <f t="shared" si="180"/>
        <v/>
      </c>
      <c r="R834" s="129"/>
      <c r="S834" s="130"/>
      <c r="T834" s="131"/>
      <c r="U834" s="131"/>
      <c r="V834" s="132" t="str">
        <f t="shared" si="181"/>
        <v/>
      </c>
      <c r="W834" s="133" t="str">
        <f t="shared" si="182"/>
        <v/>
      </c>
      <c r="X834" s="130"/>
      <c r="Y834" s="131"/>
      <c r="Z834" s="131"/>
      <c r="AA834" s="132" t="str">
        <f t="shared" si="183"/>
        <v/>
      </c>
      <c r="AB834" s="133" t="str">
        <f t="shared" si="184"/>
        <v/>
      </c>
      <c r="AC834" s="134" t="str">
        <f t="shared" si="185"/>
        <v/>
      </c>
      <c r="AD834" s="135" t="str">
        <f t="shared" si="186"/>
        <v/>
      </c>
      <c r="AE834" s="136"/>
      <c r="AF834" s="137"/>
      <c r="AG834" s="137"/>
      <c r="AH834" s="138" t="str">
        <f t="shared" si="187"/>
        <v/>
      </c>
      <c r="AI834" s="133" t="str">
        <f t="shared" si="188"/>
        <v/>
      </c>
    </row>
    <row r="835" spans="1:35">
      <c r="A835" s="171">
        <f>IF('09월 조업일지'!A821="","",'09월 조업일지'!A821)</f>
        <v>46295</v>
      </c>
      <c r="B835" s="172" t="str">
        <f>'09월 조업일지'!E821</f>
        <v>D</v>
      </c>
      <c r="C835" s="172" t="str">
        <f>'09월 조업일지'!F821</f>
        <v>B</v>
      </c>
      <c r="D835" s="172">
        <f>'09월 화학성분'!C822</f>
        <v>86024</v>
      </c>
      <c r="E835" s="205" t="str">
        <f t="shared" si="189"/>
        <v/>
      </c>
      <c r="F835" s="121"/>
      <c r="G835" s="122"/>
      <c r="H835" s="123"/>
      <c r="I835" s="122"/>
      <c r="J835" s="123"/>
      <c r="K835" s="122"/>
      <c r="L835" s="124" t="str">
        <f t="shared" si="190"/>
        <v/>
      </c>
      <c r="M835" s="125" t="str">
        <f t="shared" si="190"/>
        <v/>
      </c>
      <c r="N835" s="126" t="str">
        <f t="shared" si="177"/>
        <v/>
      </c>
      <c r="O835" s="127" t="str">
        <f t="shared" si="178"/>
        <v/>
      </c>
      <c r="P835" s="127" t="str">
        <f t="shared" si="179"/>
        <v/>
      </c>
      <c r="Q835" s="128" t="str">
        <f t="shared" si="180"/>
        <v/>
      </c>
      <c r="R835" s="129"/>
      <c r="S835" s="130"/>
      <c r="T835" s="131"/>
      <c r="U835" s="131"/>
      <c r="V835" s="132" t="str">
        <f t="shared" si="181"/>
        <v/>
      </c>
      <c r="W835" s="133" t="str">
        <f t="shared" si="182"/>
        <v/>
      </c>
      <c r="X835" s="130"/>
      <c r="Y835" s="131"/>
      <c r="Z835" s="131"/>
      <c r="AA835" s="132" t="str">
        <f t="shared" si="183"/>
        <v/>
      </c>
      <c r="AB835" s="133" t="str">
        <f t="shared" si="184"/>
        <v/>
      </c>
      <c r="AC835" s="134" t="str">
        <f t="shared" si="185"/>
        <v/>
      </c>
      <c r="AD835" s="135" t="str">
        <f t="shared" si="186"/>
        <v/>
      </c>
      <c r="AE835" s="136"/>
      <c r="AF835" s="137"/>
      <c r="AG835" s="137"/>
      <c r="AH835" s="138" t="str">
        <f t="shared" si="187"/>
        <v/>
      </c>
      <c r="AI835" s="133" t="str">
        <f t="shared" si="188"/>
        <v/>
      </c>
    </row>
    <row r="836" spans="1:35">
      <c r="A836" s="171">
        <f>IF('09월 조업일지'!A822="","",'09월 조업일지'!A822)</f>
        <v>46295</v>
      </c>
      <c r="B836" s="172" t="str">
        <f>'09월 조업일지'!E822</f>
        <v>D</v>
      </c>
      <c r="C836" s="172" t="str">
        <f>'09월 조업일지'!F822</f>
        <v>A</v>
      </c>
      <c r="D836" s="172">
        <f>'09월 화학성분'!C823</f>
        <v>86025</v>
      </c>
      <c r="E836" s="205" t="str">
        <f t="shared" si="189"/>
        <v/>
      </c>
      <c r="F836" s="121"/>
      <c r="G836" s="122"/>
      <c r="H836" s="123"/>
      <c r="I836" s="122"/>
      <c r="J836" s="123"/>
      <c r="K836" s="122"/>
      <c r="L836" s="124" t="str">
        <f t="shared" si="190"/>
        <v/>
      </c>
      <c r="M836" s="125" t="str">
        <f t="shared" si="190"/>
        <v/>
      </c>
      <c r="N836" s="126" t="str">
        <f t="shared" si="177"/>
        <v/>
      </c>
      <c r="O836" s="127" t="str">
        <f t="shared" si="178"/>
        <v/>
      </c>
      <c r="P836" s="127" t="str">
        <f t="shared" si="179"/>
        <v/>
      </c>
      <c r="Q836" s="128" t="str">
        <f t="shared" si="180"/>
        <v/>
      </c>
      <c r="R836" s="129"/>
      <c r="S836" s="130"/>
      <c r="T836" s="131"/>
      <c r="U836" s="131"/>
      <c r="V836" s="132" t="str">
        <f t="shared" si="181"/>
        <v/>
      </c>
      <c r="W836" s="133" t="str">
        <f t="shared" si="182"/>
        <v/>
      </c>
      <c r="X836" s="130"/>
      <c r="Y836" s="131"/>
      <c r="Z836" s="131"/>
      <c r="AA836" s="132" t="str">
        <f t="shared" si="183"/>
        <v/>
      </c>
      <c r="AB836" s="133" t="str">
        <f t="shared" si="184"/>
        <v/>
      </c>
      <c r="AC836" s="134" t="str">
        <f t="shared" si="185"/>
        <v/>
      </c>
      <c r="AD836" s="135" t="str">
        <f t="shared" si="186"/>
        <v/>
      </c>
      <c r="AE836" s="136"/>
      <c r="AF836" s="137"/>
      <c r="AG836" s="137"/>
      <c r="AH836" s="138" t="str">
        <f t="shared" si="187"/>
        <v/>
      </c>
      <c r="AI836" s="133" t="str">
        <f t="shared" si="188"/>
        <v/>
      </c>
    </row>
    <row r="837" spans="1:35">
      <c r="A837" s="171">
        <f>IF('09월 조업일지'!A823="","",'09월 조업일지'!A823)</f>
        <v>46295</v>
      </c>
      <c r="B837" s="172" t="str">
        <f>'09월 조업일지'!E823</f>
        <v>D</v>
      </c>
      <c r="C837" s="172" t="str">
        <f>'09월 조업일지'!F823</f>
        <v>B</v>
      </c>
      <c r="D837" s="172">
        <f>'09월 화학성분'!C824</f>
        <v>86026</v>
      </c>
      <c r="E837" s="205" t="str">
        <f t="shared" si="189"/>
        <v/>
      </c>
      <c r="F837" s="121"/>
      <c r="G837" s="122"/>
      <c r="H837" s="123"/>
      <c r="I837" s="122"/>
      <c r="J837" s="123"/>
      <c r="K837" s="122"/>
      <c r="L837" s="124" t="str">
        <f t="shared" si="190"/>
        <v/>
      </c>
      <c r="M837" s="125" t="str">
        <f t="shared" si="190"/>
        <v/>
      </c>
      <c r="N837" s="126" t="str">
        <f t="shared" si="177"/>
        <v/>
      </c>
      <c r="O837" s="127" t="str">
        <f t="shared" si="178"/>
        <v/>
      </c>
      <c r="P837" s="127" t="str">
        <f t="shared" si="179"/>
        <v/>
      </c>
      <c r="Q837" s="128" t="str">
        <f t="shared" si="180"/>
        <v/>
      </c>
      <c r="R837" s="129"/>
      <c r="S837" s="130"/>
      <c r="T837" s="131"/>
      <c r="U837" s="131"/>
      <c r="V837" s="132" t="str">
        <f t="shared" si="181"/>
        <v/>
      </c>
      <c r="W837" s="133" t="str">
        <f t="shared" si="182"/>
        <v/>
      </c>
      <c r="X837" s="130"/>
      <c r="Y837" s="131"/>
      <c r="Z837" s="131"/>
      <c r="AA837" s="132" t="str">
        <f t="shared" si="183"/>
        <v/>
      </c>
      <c r="AB837" s="133" t="str">
        <f t="shared" si="184"/>
        <v/>
      </c>
      <c r="AC837" s="134" t="str">
        <f t="shared" si="185"/>
        <v/>
      </c>
      <c r="AD837" s="135" t="str">
        <f t="shared" si="186"/>
        <v/>
      </c>
      <c r="AE837" s="136"/>
      <c r="AF837" s="137"/>
      <c r="AG837" s="137"/>
      <c r="AH837" s="138" t="str">
        <f t="shared" si="187"/>
        <v/>
      </c>
      <c r="AI837" s="133" t="str">
        <f t="shared" si="188"/>
        <v/>
      </c>
    </row>
    <row r="838" spans="1:35">
      <c r="A838" s="171">
        <f>IF('09월 조업일지'!A824="","",'09월 조업일지'!A824)</f>
        <v>46295</v>
      </c>
      <c r="B838" s="172" t="str">
        <f>'09월 조업일지'!E824</f>
        <v>B</v>
      </c>
      <c r="C838" s="172" t="str">
        <f>'09월 조업일지'!F824</f>
        <v>A</v>
      </c>
      <c r="D838" s="172">
        <f>'09월 화학성분'!C825</f>
        <v>86027</v>
      </c>
      <c r="E838" s="205" t="str">
        <f t="shared" si="189"/>
        <v/>
      </c>
      <c r="F838" s="121"/>
      <c r="G838" s="122"/>
      <c r="H838" s="123"/>
      <c r="I838" s="122"/>
      <c r="J838" s="123"/>
      <c r="K838" s="122"/>
      <c r="L838" s="124" t="str">
        <f t="shared" si="190"/>
        <v/>
      </c>
      <c r="M838" s="125" t="str">
        <f t="shared" si="190"/>
        <v/>
      </c>
      <c r="N838" s="126" t="str">
        <f t="shared" si="177"/>
        <v/>
      </c>
      <c r="O838" s="127" t="str">
        <f t="shared" si="178"/>
        <v/>
      </c>
      <c r="P838" s="127" t="str">
        <f t="shared" si="179"/>
        <v/>
      </c>
      <c r="Q838" s="128" t="str">
        <f t="shared" si="180"/>
        <v/>
      </c>
      <c r="R838" s="129"/>
      <c r="S838" s="130"/>
      <c r="T838" s="131"/>
      <c r="U838" s="131"/>
      <c r="V838" s="132" t="str">
        <f t="shared" si="181"/>
        <v/>
      </c>
      <c r="W838" s="133" t="str">
        <f t="shared" si="182"/>
        <v/>
      </c>
      <c r="X838" s="130"/>
      <c r="Y838" s="131"/>
      <c r="Z838" s="131"/>
      <c r="AA838" s="132" t="str">
        <f t="shared" si="183"/>
        <v/>
      </c>
      <c r="AB838" s="133" t="str">
        <f t="shared" si="184"/>
        <v/>
      </c>
      <c r="AC838" s="134" t="str">
        <f t="shared" si="185"/>
        <v/>
      </c>
      <c r="AD838" s="135" t="str">
        <f t="shared" si="186"/>
        <v/>
      </c>
      <c r="AE838" s="136"/>
      <c r="AF838" s="137"/>
      <c r="AG838" s="137"/>
      <c r="AH838" s="138" t="str">
        <f t="shared" si="187"/>
        <v/>
      </c>
      <c r="AI838" s="133" t="str">
        <f t="shared" si="188"/>
        <v/>
      </c>
    </row>
    <row r="839" spans="1:35">
      <c r="A839" s="171">
        <f>IF('09월 조업일지'!A825="","",'09월 조업일지'!A825)</f>
        <v>46295</v>
      </c>
      <c r="B839" s="172" t="str">
        <f>'09월 조업일지'!E825</f>
        <v>B</v>
      </c>
      <c r="C839" s="172" t="str">
        <f>'09월 조업일지'!F825</f>
        <v>B</v>
      </c>
      <c r="D839" s="172">
        <f>'09월 화학성분'!C826</f>
        <v>86028</v>
      </c>
      <c r="E839" s="205" t="str">
        <f t="shared" si="189"/>
        <v/>
      </c>
      <c r="F839" s="121"/>
      <c r="G839" s="122"/>
      <c r="H839" s="123"/>
      <c r="I839" s="122"/>
      <c r="J839" s="123"/>
      <c r="K839" s="122"/>
      <c r="L839" s="124" t="str">
        <f t="shared" si="190"/>
        <v/>
      </c>
      <c r="M839" s="125" t="str">
        <f t="shared" si="190"/>
        <v/>
      </c>
      <c r="N839" s="126" t="str">
        <f t="shared" si="177"/>
        <v/>
      </c>
      <c r="O839" s="127" t="str">
        <f t="shared" si="178"/>
        <v/>
      </c>
      <c r="P839" s="127" t="str">
        <f t="shared" si="179"/>
        <v/>
      </c>
      <c r="Q839" s="128" t="str">
        <f t="shared" si="180"/>
        <v/>
      </c>
      <c r="R839" s="129"/>
      <c r="S839" s="130"/>
      <c r="T839" s="131"/>
      <c r="U839" s="131"/>
      <c r="V839" s="132" t="str">
        <f t="shared" si="181"/>
        <v/>
      </c>
      <c r="W839" s="133" t="str">
        <f t="shared" si="182"/>
        <v/>
      </c>
      <c r="X839" s="130"/>
      <c r="Y839" s="131"/>
      <c r="Z839" s="131"/>
      <c r="AA839" s="132" t="str">
        <f t="shared" si="183"/>
        <v/>
      </c>
      <c r="AB839" s="133" t="str">
        <f t="shared" si="184"/>
        <v/>
      </c>
      <c r="AC839" s="134" t="str">
        <f t="shared" si="185"/>
        <v/>
      </c>
      <c r="AD839" s="135" t="str">
        <f t="shared" si="186"/>
        <v/>
      </c>
      <c r="AE839" s="136"/>
      <c r="AF839" s="137"/>
      <c r="AG839" s="137"/>
      <c r="AH839" s="138" t="str">
        <f t="shared" si="187"/>
        <v/>
      </c>
      <c r="AI839" s="133" t="str">
        <f t="shared" si="188"/>
        <v/>
      </c>
    </row>
    <row r="840" spans="1:35">
      <c r="A840" s="171">
        <f>IF('09월 조업일지'!A826="","",'09월 조업일지'!A826)</f>
        <v>46295</v>
      </c>
      <c r="B840" s="172" t="str">
        <f>'09월 조업일지'!E826</f>
        <v>B</v>
      </c>
      <c r="C840" s="172" t="str">
        <f>'09월 조업일지'!F826</f>
        <v>A</v>
      </c>
      <c r="D840" s="172">
        <f>'09월 화학성분'!C827</f>
        <v>86029</v>
      </c>
      <c r="E840" s="205" t="str">
        <f t="shared" si="189"/>
        <v/>
      </c>
      <c r="F840" s="121"/>
      <c r="G840" s="122"/>
      <c r="H840" s="123"/>
      <c r="I840" s="122"/>
      <c r="J840" s="123"/>
      <c r="K840" s="122"/>
      <c r="L840" s="124" t="str">
        <f t="shared" si="190"/>
        <v/>
      </c>
      <c r="M840" s="125" t="str">
        <f t="shared" si="190"/>
        <v/>
      </c>
      <c r="N840" s="126" t="str">
        <f t="shared" si="177"/>
        <v/>
      </c>
      <c r="O840" s="127" t="str">
        <f t="shared" si="178"/>
        <v/>
      </c>
      <c r="P840" s="127" t="str">
        <f t="shared" si="179"/>
        <v/>
      </c>
      <c r="Q840" s="128" t="str">
        <f t="shared" si="180"/>
        <v/>
      </c>
      <c r="R840" s="129"/>
      <c r="S840" s="130"/>
      <c r="T840" s="131"/>
      <c r="U840" s="131"/>
      <c r="V840" s="132" t="str">
        <f t="shared" si="181"/>
        <v/>
      </c>
      <c r="W840" s="133" t="str">
        <f t="shared" si="182"/>
        <v/>
      </c>
      <c r="X840" s="130"/>
      <c r="Y840" s="131"/>
      <c r="Z840" s="131"/>
      <c r="AA840" s="132" t="str">
        <f t="shared" si="183"/>
        <v/>
      </c>
      <c r="AB840" s="133" t="str">
        <f t="shared" si="184"/>
        <v/>
      </c>
      <c r="AC840" s="134" t="str">
        <f t="shared" si="185"/>
        <v/>
      </c>
      <c r="AD840" s="135" t="str">
        <f t="shared" si="186"/>
        <v/>
      </c>
      <c r="AE840" s="136"/>
      <c r="AF840" s="137"/>
      <c r="AG840" s="137"/>
      <c r="AH840" s="138" t="str">
        <f t="shared" si="187"/>
        <v/>
      </c>
      <c r="AI840" s="133" t="str">
        <f t="shared" si="188"/>
        <v/>
      </c>
    </row>
    <row r="841" spans="1:35">
      <c r="A841" s="171">
        <f>IF('09월 조업일지'!A827="","",'09월 조업일지'!A827)</f>
        <v>46295</v>
      </c>
      <c r="B841" s="172" t="str">
        <f>'09월 조업일지'!E827</f>
        <v>B</v>
      </c>
      <c r="C841" s="172" t="str">
        <f>'09월 조업일지'!F827</f>
        <v>B</v>
      </c>
      <c r="D841" s="172">
        <f>'09월 화학성분'!C828</f>
        <v>86030</v>
      </c>
      <c r="E841" s="205" t="str">
        <f t="shared" si="189"/>
        <v/>
      </c>
      <c r="F841" s="121"/>
      <c r="G841" s="122"/>
      <c r="H841" s="123"/>
      <c r="I841" s="122"/>
      <c r="J841" s="123"/>
      <c r="K841" s="122"/>
      <c r="L841" s="124" t="str">
        <f t="shared" si="190"/>
        <v/>
      </c>
      <c r="M841" s="125" t="str">
        <f t="shared" si="190"/>
        <v/>
      </c>
      <c r="N841" s="126" t="str">
        <f t="shared" si="177"/>
        <v/>
      </c>
      <c r="O841" s="127" t="str">
        <f t="shared" si="178"/>
        <v/>
      </c>
      <c r="P841" s="127" t="str">
        <f t="shared" si="179"/>
        <v/>
      </c>
      <c r="Q841" s="128" t="str">
        <f t="shared" si="180"/>
        <v/>
      </c>
      <c r="R841" s="129"/>
      <c r="S841" s="130"/>
      <c r="T841" s="131"/>
      <c r="U841" s="131"/>
      <c r="V841" s="132" t="str">
        <f t="shared" si="181"/>
        <v/>
      </c>
      <c r="W841" s="133" t="str">
        <f t="shared" si="182"/>
        <v/>
      </c>
      <c r="X841" s="130"/>
      <c r="Y841" s="131"/>
      <c r="Z841" s="131"/>
      <c r="AA841" s="132" t="str">
        <f t="shared" si="183"/>
        <v/>
      </c>
      <c r="AB841" s="133" t="str">
        <f t="shared" si="184"/>
        <v/>
      </c>
      <c r="AC841" s="134" t="str">
        <f t="shared" si="185"/>
        <v/>
      </c>
      <c r="AD841" s="135" t="str">
        <f t="shared" si="186"/>
        <v/>
      </c>
      <c r="AE841" s="136"/>
      <c r="AF841" s="137"/>
      <c r="AG841" s="137"/>
      <c r="AH841" s="138" t="str">
        <f t="shared" si="187"/>
        <v/>
      </c>
      <c r="AI841" s="133" t="str">
        <f t="shared" si="188"/>
        <v/>
      </c>
    </row>
    <row r="842" spans="1:35">
      <c r="A842" s="171">
        <f>IF('09월 조업일지'!A828="","",'09월 조업일지'!A828)</f>
        <v>46295</v>
      </c>
      <c r="B842" s="172" t="str">
        <f>'09월 조업일지'!E828</f>
        <v>B</v>
      </c>
      <c r="C842" s="172" t="str">
        <f>'09월 조업일지'!F828</f>
        <v>A</v>
      </c>
      <c r="D842" s="172">
        <f>'09월 화학성분'!C829</f>
        <v>86031</v>
      </c>
      <c r="E842" s="205" t="str">
        <f t="shared" si="189"/>
        <v/>
      </c>
      <c r="F842" s="121"/>
      <c r="G842" s="122"/>
      <c r="H842" s="123"/>
      <c r="I842" s="122"/>
      <c r="J842" s="123"/>
      <c r="K842" s="122"/>
      <c r="L842" s="124" t="str">
        <f t="shared" si="190"/>
        <v/>
      </c>
      <c r="M842" s="125" t="str">
        <f t="shared" si="190"/>
        <v/>
      </c>
      <c r="N842" s="126" t="str">
        <f t="shared" si="177"/>
        <v/>
      </c>
      <c r="O842" s="127" t="str">
        <f t="shared" si="178"/>
        <v/>
      </c>
      <c r="P842" s="127" t="str">
        <f t="shared" si="179"/>
        <v/>
      </c>
      <c r="Q842" s="128" t="str">
        <f t="shared" si="180"/>
        <v/>
      </c>
      <c r="R842" s="129"/>
      <c r="S842" s="130"/>
      <c r="T842" s="131"/>
      <c r="U842" s="131"/>
      <c r="V842" s="132" t="str">
        <f t="shared" si="181"/>
        <v/>
      </c>
      <c r="W842" s="133" t="str">
        <f t="shared" si="182"/>
        <v/>
      </c>
      <c r="X842" s="130"/>
      <c r="Y842" s="131"/>
      <c r="Z842" s="131"/>
      <c r="AA842" s="132" t="str">
        <f t="shared" si="183"/>
        <v/>
      </c>
      <c r="AB842" s="133" t="str">
        <f t="shared" si="184"/>
        <v/>
      </c>
      <c r="AC842" s="134" t="str">
        <f t="shared" si="185"/>
        <v/>
      </c>
      <c r="AD842" s="135" t="str">
        <f t="shared" si="186"/>
        <v/>
      </c>
      <c r="AE842" s="136"/>
      <c r="AF842" s="137"/>
      <c r="AG842" s="137"/>
      <c r="AH842" s="138" t="str">
        <f t="shared" si="187"/>
        <v/>
      </c>
      <c r="AI842" s="133" t="str">
        <f t="shared" si="188"/>
        <v/>
      </c>
    </row>
    <row r="843" spans="1:35">
      <c r="A843" s="171">
        <f>IF('09월 조업일지'!A829="","",'09월 조업일지'!A829)</f>
        <v>46295</v>
      </c>
      <c r="B843" s="172" t="str">
        <f>'09월 조업일지'!E829</f>
        <v>B</v>
      </c>
      <c r="C843" s="172" t="str">
        <f>'09월 조업일지'!F829</f>
        <v>B</v>
      </c>
      <c r="D843" s="172">
        <f>'09월 화학성분'!C830</f>
        <v>86032</v>
      </c>
      <c r="E843" s="205" t="str">
        <f t="shared" si="189"/>
        <v/>
      </c>
      <c r="F843" s="121"/>
      <c r="G843" s="122"/>
      <c r="H843" s="123"/>
      <c r="I843" s="122"/>
      <c r="J843" s="123"/>
      <c r="K843" s="122"/>
      <c r="L843" s="124" t="str">
        <f t="shared" si="190"/>
        <v/>
      </c>
      <c r="M843" s="125" t="str">
        <f t="shared" si="190"/>
        <v/>
      </c>
      <c r="N843" s="126" t="str">
        <f t="shared" si="177"/>
        <v/>
      </c>
      <c r="O843" s="127" t="str">
        <f t="shared" si="178"/>
        <v/>
      </c>
      <c r="P843" s="127" t="str">
        <f t="shared" si="179"/>
        <v/>
      </c>
      <c r="Q843" s="128" t="str">
        <f t="shared" si="180"/>
        <v/>
      </c>
      <c r="R843" s="129"/>
      <c r="S843" s="130"/>
      <c r="T843" s="131"/>
      <c r="U843" s="131"/>
      <c r="V843" s="132" t="str">
        <f t="shared" si="181"/>
        <v/>
      </c>
      <c r="W843" s="133" t="str">
        <f t="shared" si="182"/>
        <v/>
      </c>
      <c r="X843" s="130"/>
      <c r="Y843" s="131"/>
      <c r="Z843" s="131"/>
      <c r="AA843" s="132" t="str">
        <f t="shared" si="183"/>
        <v/>
      </c>
      <c r="AB843" s="133" t="str">
        <f t="shared" si="184"/>
        <v/>
      </c>
      <c r="AC843" s="134" t="str">
        <f t="shared" si="185"/>
        <v/>
      </c>
      <c r="AD843" s="135" t="str">
        <f t="shared" si="186"/>
        <v/>
      </c>
      <c r="AE843" s="136"/>
      <c r="AF843" s="137"/>
      <c r="AG843" s="137"/>
      <c r="AH843" s="138" t="str">
        <f t="shared" si="187"/>
        <v/>
      </c>
      <c r="AI843" s="133" t="str">
        <f t="shared" si="188"/>
        <v/>
      </c>
    </row>
    <row r="844" spans="1:35">
      <c r="A844" s="171">
        <f>IF('09월 조업일지'!A830="","",'09월 조업일지'!A830)</f>
        <v>46296</v>
      </c>
      <c r="B844" s="172" t="str">
        <f>'09월 조업일지'!E830</f>
        <v>B</v>
      </c>
      <c r="C844" s="172" t="str">
        <f>'09월 조업일지'!F830</f>
        <v>A</v>
      </c>
      <c r="D844" s="172" t="str">
        <f>'09월 화학성분'!C831</f>
        <v/>
      </c>
      <c r="E844" s="205" t="str">
        <f t="shared" si="189"/>
        <v/>
      </c>
      <c r="F844" s="121"/>
      <c r="G844" s="122"/>
      <c r="H844" s="123"/>
      <c r="I844" s="122"/>
      <c r="J844" s="123"/>
      <c r="K844" s="122"/>
      <c r="L844" s="124" t="str">
        <f t="shared" si="190"/>
        <v/>
      </c>
      <c r="M844" s="125" t="str">
        <f t="shared" si="190"/>
        <v/>
      </c>
      <c r="N844" s="126" t="str">
        <f t="shared" si="177"/>
        <v/>
      </c>
      <c r="O844" s="127" t="str">
        <f t="shared" si="178"/>
        <v/>
      </c>
      <c r="P844" s="127" t="str">
        <f t="shared" si="179"/>
        <v/>
      </c>
      <c r="Q844" s="128" t="str">
        <f t="shared" si="180"/>
        <v/>
      </c>
      <c r="R844" s="129"/>
      <c r="S844" s="130"/>
      <c r="T844" s="131"/>
      <c r="U844" s="131"/>
      <c r="V844" s="132" t="str">
        <f t="shared" si="181"/>
        <v/>
      </c>
      <c r="W844" s="133" t="str">
        <f t="shared" si="182"/>
        <v/>
      </c>
      <c r="X844" s="130"/>
      <c r="Y844" s="131"/>
      <c r="Z844" s="131"/>
      <c r="AA844" s="132" t="str">
        <f t="shared" si="183"/>
        <v/>
      </c>
      <c r="AB844" s="133" t="str">
        <f t="shared" si="184"/>
        <v/>
      </c>
      <c r="AC844" s="134" t="str">
        <f t="shared" si="185"/>
        <v/>
      </c>
      <c r="AD844" s="135" t="str">
        <f t="shared" si="186"/>
        <v/>
      </c>
      <c r="AE844" s="136"/>
      <c r="AF844" s="137"/>
      <c r="AG844" s="137"/>
      <c r="AH844" s="138" t="str">
        <f t="shared" si="187"/>
        <v/>
      </c>
      <c r="AI844" s="133" t="str">
        <f t="shared" si="188"/>
        <v/>
      </c>
    </row>
    <row r="845" spans="1:35">
      <c r="A845" s="171" t="str">
        <f>IF('09월 조업일지'!A831="","",'09월 조업일지'!A831)</f>
        <v/>
      </c>
      <c r="B845" s="172" t="str">
        <f>'09월 조업일지'!E831</f>
        <v/>
      </c>
      <c r="C845" s="172" t="str">
        <f>'09월 조업일지'!F831</f>
        <v/>
      </c>
      <c r="D845" s="172" t="str">
        <f>'09월 화학성분'!C832</f>
        <v/>
      </c>
      <c r="E845" s="205" t="str">
        <f t="shared" si="189"/>
        <v/>
      </c>
      <c r="F845" s="121"/>
      <c r="G845" s="122"/>
      <c r="H845" s="123"/>
      <c r="I845" s="122"/>
      <c r="J845" s="123"/>
      <c r="K845" s="122"/>
      <c r="L845" s="124" t="str">
        <f t="shared" si="190"/>
        <v/>
      </c>
      <c r="M845" s="125" t="str">
        <f t="shared" si="190"/>
        <v/>
      </c>
      <c r="N845" s="126" t="str">
        <f t="shared" si="177"/>
        <v/>
      </c>
      <c r="O845" s="127" t="str">
        <f t="shared" si="178"/>
        <v/>
      </c>
      <c r="P845" s="127" t="str">
        <f t="shared" si="179"/>
        <v/>
      </c>
      <c r="Q845" s="128" t="str">
        <f t="shared" si="180"/>
        <v/>
      </c>
      <c r="R845" s="129"/>
      <c r="S845" s="130"/>
      <c r="T845" s="131"/>
      <c r="U845" s="131"/>
      <c r="V845" s="132" t="str">
        <f t="shared" si="181"/>
        <v/>
      </c>
      <c r="W845" s="133" t="str">
        <f t="shared" si="182"/>
        <v/>
      </c>
      <c r="X845" s="130"/>
      <c r="Y845" s="131"/>
      <c r="Z845" s="131"/>
      <c r="AA845" s="132" t="str">
        <f t="shared" si="183"/>
        <v/>
      </c>
      <c r="AB845" s="133" t="str">
        <f t="shared" si="184"/>
        <v/>
      </c>
      <c r="AC845" s="134" t="str">
        <f t="shared" si="185"/>
        <v/>
      </c>
      <c r="AD845" s="135" t="str">
        <f t="shared" si="186"/>
        <v/>
      </c>
      <c r="AE845" s="136"/>
      <c r="AF845" s="137"/>
      <c r="AG845" s="137"/>
      <c r="AH845" s="138" t="str">
        <f t="shared" si="187"/>
        <v/>
      </c>
      <c r="AI845" s="133" t="str">
        <f t="shared" si="188"/>
        <v/>
      </c>
    </row>
    <row r="846" spans="1:35">
      <c r="A846" s="171" t="str">
        <f>IF('09월 조업일지'!A832="","",'09월 조업일지'!A832)</f>
        <v/>
      </c>
      <c r="B846" s="172" t="str">
        <f>'09월 조업일지'!E832</f>
        <v/>
      </c>
      <c r="C846" s="172" t="str">
        <f>'09월 조업일지'!F832</f>
        <v/>
      </c>
      <c r="D846" s="172" t="str">
        <f>'09월 화학성분'!C833</f>
        <v/>
      </c>
      <c r="E846" s="205" t="str">
        <f t="shared" si="189"/>
        <v/>
      </c>
      <c r="F846" s="121"/>
      <c r="G846" s="122"/>
      <c r="H846" s="123"/>
      <c r="I846" s="122"/>
      <c r="J846" s="123"/>
      <c r="K846" s="122"/>
      <c r="L846" s="124" t="str">
        <f t="shared" si="190"/>
        <v/>
      </c>
      <c r="M846" s="125" t="str">
        <f t="shared" si="190"/>
        <v/>
      </c>
      <c r="N846" s="126" t="str">
        <f t="shared" si="177"/>
        <v/>
      </c>
      <c r="O846" s="127" t="str">
        <f t="shared" si="178"/>
        <v/>
      </c>
      <c r="P846" s="127" t="str">
        <f t="shared" si="179"/>
        <v/>
      </c>
      <c r="Q846" s="128" t="str">
        <f t="shared" si="180"/>
        <v/>
      </c>
      <c r="R846" s="129"/>
      <c r="S846" s="130"/>
      <c r="T846" s="131"/>
      <c r="U846" s="131"/>
      <c r="V846" s="132" t="str">
        <f t="shared" si="181"/>
        <v/>
      </c>
      <c r="W846" s="133" t="str">
        <f t="shared" si="182"/>
        <v/>
      </c>
      <c r="X846" s="130"/>
      <c r="Y846" s="131"/>
      <c r="Z846" s="131"/>
      <c r="AA846" s="132" t="str">
        <f t="shared" si="183"/>
        <v/>
      </c>
      <c r="AB846" s="133" t="str">
        <f t="shared" si="184"/>
        <v/>
      </c>
      <c r="AC846" s="134" t="str">
        <f t="shared" si="185"/>
        <v/>
      </c>
      <c r="AD846" s="135" t="str">
        <f t="shared" si="186"/>
        <v/>
      </c>
      <c r="AE846" s="136"/>
      <c r="AF846" s="137"/>
      <c r="AG846" s="137"/>
      <c r="AH846" s="138" t="str">
        <f t="shared" si="187"/>
        <v/>
      </c>
      <c r="AI846" s="133" t="str">
        <f t="shared" si="188"/>
        <v/>
      </c>
    </row>
    <row r="847" spans="1:35">
      <c r="A847" s="171" t="str">
        <f>IF('09월 조업일지'!A833="","",'09월 조업일지'!A833)</f>
        <v/>
      </c>
      <c r="B847" s="172" t="str">
        <f>'09월 조업일지'!E833</f>
        <v/>
      </c>
      <c r="C847" s="172" t="str">
        <f>'09월 조업일지'!F833</f>
        <v/>
      </c>
      <c r="D847" s="172" t="str">
        <f>'09월 화학성분'!C834</f>
        <v/>
      </c>
      <c r="E847" s="205" t="str">
        <f t="shared" si="189"/>
        <v/>
      </c>
      <c r="F847" s="121"/>
      <c r="G847" s="122"/>
      <c r="H847" s="123"/>
      <c r="I847" s="122"/>
      <c r="J847" s="123"/>
      <c r="K847" s="122"/>
      <c r="L847" s="124" t="str">
        <f t="shared" si="190"/>
        <v/>
      </c>
      <c r="M847" s="125" t="str">
        <f t="shared" si="190"/>
        <v/>
      </c>
      <c r="N847" s="126" t="str">
        <f t="shared" si="177"/>
        <v/>
      </c>
      <c r="O847" s="127" t="str">
        <f t="shared" si="178"/>
        <v/>
      </c>
      <c r="P847" s="127" t="str">
        <f t="shared" si="179"/>
        <v/>
      </c>
      <c r="Q847" s="128" t="str">
        <f t="shared" si="180"/>
        <v/>
      </c>
      <c r="R847" s="129"/>
      <c r="S847" s="130"/>
      <c r="T847" s="131"/>
      <c r="U847" s="131"/>
      <c r="V847" s="132" t="str">
        <f t="shared" si="181"/>
        <v/>
      </c>
      <c r="W847" s="133" t="str">
        <f t="shared" si="182"/>
        <v/>
      </c>
      <c r="X847" s="130"/>
      <c r="Y847" s="131"/>
      <c r="Z847" s="131"/>
      <c r="AA847" s="132" t="str">
        <f t="shared" si="183"/>
        <v/>
      </c>
      <c r="AB847" s="133" t="str">
        <f t="shared" si="184"/>
        <v/>
      </c>
      <c r="AC847" s="134" t="str">
        <f t="shared" si="185"/>
        <v/>
      </c>
      <c r="AD847" s="135" t="str">
        <f t="shared" si="186"/>
        <v/>
      </c>
      <c r="AE847" s="136"/>
      <c r="AF847" s="137"/>
      <c r="AG847" s="137"/>
      <c r="AH847" s="138" t="str">
        <f t="shared" si="187"/>
        <v/>
      </c>
      <c r="AI847" s="133" t="str">
        <f t="shared" si="188"/>
        <v/>
      </c>
    </row>
    <row r="848" spans="1:35">
      <c r="A848" s="171" t="str">
        <f>IF('09월 조업일지'!A834="","",'09월 조업일지'!A834)</f>
        <v/>
      </c>
      <c r="B848" s="172" t="str">
        <f>'09월 조업일지'!E834</f>
        <v/>
      </c>
      <c r="C848" s="172" t="str">
        <f>'09월 조업일지'!F834</f>
        <v/>
      </c>
      <c r="D848" s="172" t="str">
        <f>'09월 화학성분'!C835</f>
        <v/>
      </c>
      <c r="E848" s="205" t="str">
        <f t="shared" si="189"/>
        <v/>
      </c>
      <c r="F848" s="121"/>
      <c r="G848" s="122"/>
      <c r="H848" s="123"/>
      <c r="I848" s="122"/>
      <c r="J848" s="123"/>
      <c r="K848" s="122"/>
      <c r="L848" s="124" t="str">
        <f t="shared" si="190"/>
        <v/>
      </c>
      <c r="M848" s="125" t="str">
        <f t="shared" si="190"/>
        <v/>
      </c>
      <c r="N848" s="126" t="str">
        <f t="shared" si="177"/>
        <v/>
      </c>
      <c r="O848" s="127" t="str">
        <f t="shared" si="178"/>
        <v/>
      </c>
      <c r="P848" s="127" t="str">
        <f t="shared" si="179"/>
        <v/>
      </c>
      <c r="Q848" s="128" t="str">
        <f t="shared" si="180"/>
        <v/>
      </c>
      <c r="R848" s="129"/>
      <c r="S848" s="130"/>
      <c r="T848" s="131"/>
      <c r="U848" s="131"/>
      <c r="V848" s="132" t="str">
        <f t="shared" si="181"/>
        <v/>
      </c>
      <c r="W848" s="133" t="str">
        <f t="shared" si="182"/>
        <v/>
      </c>
      <c r="X848" s="130"/>
      <c r="Y848" s="131"/>
      <c r="Z848" s="131"/>
      <c r="AA848" s="132" t="str">
        <f t="shared" si="183"/>
        <v/>
      </c>
      <c r="AB848" s="133" t="str">
        <f t="shared" si="184"/>
        <v/>
      </c>
      <c r="AC848" s="134" t="str">
        <f t="shared" si="185"/>
        <v/>
      </c>
      <c r="AD848" s="135" t="str">
        <f t="shared" si="186"/>
        <v/>
      </c>
      <c r="AE848" s="136"/>
      <c r="AF848" s="137"/>
      <c r="AG848" s="137"/>
      <c r="AH848" s="138" t="str">
        <f t="shared" si="187"/>
        <v/>
      </c>
      <c r="AI848" s="133" t="str">
        <f t="shared" si="188"/>
        <v/>
      </c>
    </row>
    <row r="849" spans="1:35">
      <c r="A849" s="171" t="str">
        <f>IF('09월 조업일지'!A835="","",'09월 조업일지'!A835)</f>
        <v/>
      </c>
      <c r="B849" s="172" t="str">
        <f>'09월 조업일지'!E835</f>
        <v/>
      </c>
      <c r="C849" s="172" t="str">
        <f>'09월 조업일지'!F835</f>
        <v/>
      </c>
      <c r="D849" s="172" t="str">
        <f>'09월 화학성분'!C836</f>
        <v/>
      </c>
      <c r="E849" s="205" t="str">
        <f t="shared" si="189"/>
        <v/>
      </c>
      <c r="F849" s="121"/>
      <c r="G849" s="122"/>
      <c r="H849" s="123"/>
      <c r="I849" s="122"/>
      <c r="J849" s="123"/>
      <c r="K849" s="122"/>
      <c r="L849" s="124" t="str">
        <f t="shared" si="190"/>
        <v/>
      </c>
      <c r="M849" s="125" t="str">
        <f t="shared" si="190"/>
        <v/>
      </c>
      <c r="N849" s="126" t="str">
        <f t="shared" si="177"/>
        <v/>
      </c>
      <c r="O849" s="127" t="str">
        <f t="shared" si="178"/>
        <v/>
      </c>
      <c r="P849" s="127" t="str">
        <f t="shared" si="179"/>
        <v/>
      </c>
      <c r="Q849" s="128" t="str">
        <f t="shared" si="180"/>
        <v/>
      </c>
      <c r="R849" s="129"/>
      <c r="S849" s="130"/>
      <c r="T849" s="131"/>
      <c r="U849" s="131"/>
      <c r="V849" s="132" t="str">
        <f t="shared" si="181"/>
        <v/>
      </c>
      <c r="W849" s="133" t="str">
        <f t="shared" si="182"/>
        <v/>
      </c>
      <c r="X849" s="130"/>
      <c r="Y849" s="131"/>
      <c r="Z849" s="131"/>
      <c r="AA849" s="132" t="str">
        <f t="shared" si="183"/>
        <v/>
      </c>
      <c r="AB849" s="133" t="str">
        <f t="shared" si="184"/>
        <v/>
      </c>
      <c r="AC849" s="134" t="str">
        <f t="shared" si="185"/>
        <v/>
      </c>
      <c r="AD849" s="135" t="str">
        <f t="shared" si="186"/>
        <v/>
      </c>
      <c r="AE849" s="136"/>
      <c r="AF849" s="137"/>
      <c r="AG849" s="137"/>
      <c r="AH849" s="138" t="str">
        <f t="shared" si="187"/>
        <v/>
      </c>
      <c r="AI849" s="133" t="str">
        <f t="shared" si="188"/>
        <v/>
      </c>
    </row>
    <row r="850" spans="1:35">
      <c r="A850" s="171" t="str">
        <f>IF('09월 조업일지'!A836="","",'09월 조업일지'!A836)</f>
        <v/>
      </c>
      <c r="B850" s="172" t="str">
        <f>'09월 조업일지'!E836</f>
        <v/>
      </c>
      <c r="C850" s="172" t="str">
        <f>'09월 조업일지'!F836</f>
        <v/>
      </c>
      <c r="D850" s="172" t="str">
        <f>'09월 화학성분'!C837</f>
        <v/>
      </c>
      <c r="E850" s="205" t="str">
        <f t="shared" si="189"/>
        <v/>
      </c>
      <c r="F850" s="121"/>
      <c r="G850" s="122"/>
      <c r="H850" s="123"/>
      <c r="I850" s="122"/>
      <c r="J850" s="123"/>
      <c r="K850" s="122"/>
      <c r="L850" s="124" t="str">
        <f t="shared" si="190"/>
        <v/>
      </c>
      <c r="M850" s="125" t="str">
        <f t="shared" si="190"/>
        <v/>
      </c>
      <c r="N850" s="126" t="str">
        <f t="shared" si="177"/>
        <v/>
      </c>
      <c r="O850" s="127" t="str">
        <f t="shared" si="178"/>
        <v/>
      </c>
      <c r="P850" s="127" t="str">
        <f t="shared" si="179"/>
        <v/>
      </c>
      <c r="Q850" s="128" t="str">
        <f t="shared" si="180"/>
        <v/>
      </c>
      <c r="R850" s="129"/>
      <c r="S850" s="130"/>
      <c r="T850" s="131"/>
      <c r="U850" s="131"/>
      <c r="V850" s="132" t="str">
        <f t="shared" si="181"/>
        <v/>
      </c>
      <c r="W850" s="133" t="str">
        <f t="shared" si="182"/>
        <v/>
      </c>
      <c r="X850" s="130"/>
      <c r="Y850" s="131"/>
      <c r="Z850" s="131"/>
      <c r="AA850" s="132" t="str">
        <f t="shared" si="183"/>
        <v/>
      </c>
      <c r="AB850" s="133" t="str">
        <f t="shared" si="184"/>
        <v/>
      </c>
      <c r="AC850" s="134" t="str">
        <f t="shared" si="185"/>
        <v/>
      </c>
      <c r="AD850" s="135" t="str">
        <f t="shared" si="186"/>
        <v/>
      </c>
      <c r="AE850" s="136"/>
      <c r="AF850" s="137"/>
      <c r="AG850" s="137"/>
      <c r="AH850" s="138" t="str">
        <f t="shared" si="187"/>
        <v/>
      </c>
      <c r="AI850" s="133" t="str">
        <f t="shared" si="188"/>
        <v/>
      </c>
    </row>
    <row r="851" spans="1:35">
      <c r="A851" s="171" t="str">
        <f>IF('09월 조업일지'!A837="","",'09월 조업일지'!A837)</f>
        <v/>
      </c>
      <c r="B851" s="172" t="str">
        <f>'09월 조업일지'!E837</f>
        <v/>
      </c>
      <c r="C851" s="172" t="str">
        <f>'09월 조업일지'!F837</f>
        <v/>
      </c>
      <c r="D851" s="172" t="str">
        <f>'09월 화학성분'!C838</f>
        <v/>
      </c>
      <c r="E851" s="205" t="str">
        <f t="shared" si="189"/>
        <v/>
      </c>
      <c r="F851" s="121"/>
      <c r="G851" s="122"/>
      <c r="H851" s="123"/>
      <c r="I851" s="122"/>
      <c r="J851" s="123"/>
      <c r="K851" s="122"/>
      <c r="L851" s="124" t="str">
        <f t="shared" si="190"/>
        <v/>
      </c>
      <c r="M851" s="125" t="str">
        <f t="shared" si="190"/>
        <v/>
      </c>
      <c r="N851" s="126" t="str">
        <f t="shared" si="177"/>
        <v/>
      </c>
      <c r="O851" s="127" t="str">
        <f t="shared" si="178"/>
        <v/>
      </c>
      <c r="P851" s="127" t="str">
        <f t="shared" si="179"/>
        <v/>
      </c>
      <c r="Q851" s="128" t="str">
        <f t="shared" si="180"/>
        <v/>
      </c>
      <c r="R851" s="129"/>
      <c r="S851" s="130"/>
      <c r="T851" s="131"/>
      <c r="U851" s="131"/>
      <c r="V851" s="132" t="str">
        <f t="shared" si="181"/>
        <v/>
      </c>
      <c r="W851" s="133" t="str">
        <f t="shared" si="182"/>
        <v/>
      </c>
      <c r="X851" s="130"/>
      <c r="Y851" s="131"/>
      <c r="Z851" s="131"/>
      <c r="AA851" s="132" t="str">
        <f t="shared" si="183"/>
        <v/>
      </c>
      <c r="AB851" s="133" t="str">
        <f t="shared" si="184"/>
        <v/>
      </c>
      <c r="AC851" s="134" t="str">
        <f t="shared" si="185"/>
        <v/>
      </c>
      <c r="AD851" s="135" t="str">
        <f t="shared" si="186"/>
        <v/>
      </c>
      <c r="AE851" s="136"/>
      <c r="AF851" s="137"/>
      <c r="AG851" s="137"/>
      <c r="AH851" s="138" t="str">
        <f t="shared" si="187"/>
        <v/>
      </c>
      <c r="AI851" s="133" t="str">
        <f t="shared" si="188"/>
        <v/>
      </c>
    </row>
    <row r="852" spans="1:35">
      <c r="A852" s="171" t="str">
        <f>IF('09월 조업일지'!A838="","",'09월 조업일지'!A838)</f>
        <v/>
      </c>
      <c r="B852" s="172" t="str">
        <f>'09월 조업일지'!E838</f>
        <v/>
      </c>
      <c r="C852" s="172" t="str">
        <f>'09월 조업일지'!F838</f>
        <v/>
      </c>
      <c r="D852" s="172" t="str">
        <f>'09월 화학성분'!C839</f>
        <v/>
      </c>
      <c r="E852" s="205" t="str">
        <f t="shared" si="189"/>
        <v/>
      </c>
      <c r="F852" s="121"/>
      <c r="G852" s="122"/>
      <c r="H852" s="123"/>
      <c r="I852" s="122"/>
      <c r="J852" s="123"/>
      <c r="K852" s="122"/>
      <c r="L852" s="124" t="str">
        <f t="shared" si="190"/>
        <v/>
      </c>
      <c r="M852" s="125" t="str">
        <f t="shared" si="190"/>
        <v/>
      </c>
      <c r="N852" s="126" t="str">
        <f t="shared" si="177"/>
        <v/>
      </c>
      <c r="O852" s="127" t="str">
        <f t="shared" si="178"/>
        <v/>
      </c>
      <c r="P852" s="127" t="str">
        <f t="shared" si="179"/>
        <v/>
      </c>
      <c r="Q852" s="128" t="str">
        <f t="shared" si="180"/>
        <v/>
      </c>
      <c r="R852" s="129"/>
      <c r="S852" s="130"/>
      <c r="T852" s="131"/>
      <c r="U852" s="131"/>
      <c r="V852" s="132" t="str">
        <f t="shared" si="181"/>
        <v/>
      </c>
      <c r="W852" s="133" t="str">
        <f t="shared" si="182"/>
        <v/>
      </c>
      <c r="X852" s="130"/>
      <c r="Y852" s="131"/>
      <c r="Z852" s="131"/>
      <c r="AA852" s="132" t="str">
        <f t="shared" si="183"/>
        <v/>
      </c>
      <c r="AB852" s="133" t="str">
        <f t="shared" si="184"/>
        <v/>
      </c>
      <c r="AC852" s="134" t="str">
        <f t="shared" si="185"/>
        <v/>
      </c>
      <c r="AD852" s="135" t="str">
        <f t="shared" si="186"/>
        <v/>
      </c>
      <c r="AE852" s="136"/>
      <c r="AF852" s="137"/>
      <c r="AG852" s="137"/>
      <c r="AH852" s="138" t="str">
        <f t="shared" si="187"/>
        <v/>
      </c>
      <c r="AI852" s="133" t="str">
        <f t="shared" si="188"/>
        <v/>
      </c>
    </row>
    <row r="853" spans="1:35">
      <c r="A853" s="171" t="str">
        <f>IF('09월 조업일지'!A839="","",'09월 조업일지'!A839)</f>
        <v/>
      </c>
      <c r="B853" s="172" t="str">
        <f>'09월 조업일지'!E839</f>
        <v/>
      </c>
      <c r="C853" s="172" t="str">
        <f>'09월 조업일지'!F839</f>
        <v/>
      </c>
      <c r="D853" s="172" t="str">
        <f>'09월 화학성분'!C840</f>
        <v/>
      </c>
      <c r="E853" s="205" t="str">
        <f t="shared" si="189"/>
        <v/>
      </c>
      <c r="F853" s="121"/>
      <c r="G853" s="122"/>
      <c r="H853" s="123"/>
      <c r="I853" s="122"/>
      <c r="J853" s="123"/>
      <c r="K853" s="122"/>
      <c r="L853" s="124" t="str">
        <f t="shared" si="190"/>
        <v/>
      </c>
      <c r="M853" s="125" t="str">
        <f t="shared" si="190"/>
        <v/>
      </c>
      <c r="N853" s="126" t="str">
        <f t="shared" si="177"/>
        <v/>
      </c>
      <c r="O853" s="127" t="str">
        <f t="shared" si="178"/>
        <v/>
      </c>
      <c r="P853" s="127" t="str">
        <f t="shared" si="179"/>
        <v/>
      </c>
      <c r="Q853" s="128" t="str">
        <f t="shared" si="180"/>
        <v/>
      </c>
      <c r="R853" s="129"/>
      <c r="S853" s="130"/>
      <c r="T853" s="131"/>
      <c r="U853" s="131"/>
      <c r="V853" s="132" t="str">
        <f t="shared" si="181"/>
        <v/>
      </c>
      <c r="W853" s="133" t="str">
        <f t="shared" si="182"/>
        <v/>
      </c>
      <c r="X853" s="130"/>
      <c r="Y853" s="131"/>
      <c r="Z853" s="131"/>
      <c r="AA853" s="132" t="str">
        <f t="shared" si="183"/>
        <v/>
      </c>
      <c r="AB853" s="133" t="str">
        <f t="shared" si="184"/>
        <v/>
      </c>
      <c r="AC853" s="134" t="str">
        <f t="shared" si="185"/>
        <v/>
      </c>
      <c r="AD853" s="135" t="str">
        <f t="shared" si="186"/>
        <v/>
      </c>
      <c r="AE853" s="136"/>
      <c r="AF853" s="137"/>
      <c r="AG853" s="137"/>
      <c r="AH853" s="138" t="str">
        <f t="shared" si="187"/>
        <v/>
      </c>
      <c r="AI853" s="133" t="str">
        <f t="shared" si="188"/>
        <v/>
      </c>
    </row>
    <row r="854" spans="1:35">
      <c r="A854" s="171" t="str">
        <f>IF('09월 조업일지'!A840="","",'09월 조업일지'!A840)</f>
        <v/>
      </c>
      <c r="B854" s="172" t="str">
        <f>'09월 조업일지'!E840</f>
        <v/>
      </c>
      <c r="C854" s="172" t="str">
        <f>'09월 조업일지'!F840</f>
        <v/>
      </c>
      <c r="D854" s="172" t="str">
        <f>'09월 화학성분'!C841</f>
        <v/>
      </c>
      <c r="E854" s="205" t="str">
        <f t="shared" si="189"/>
        <v/>
      </c>
      <c r="F854" s="121"/>
      <c r="G854" s="122"/>
      <c r="H854" s="123"/>
      <c r="I854" s="122"/>
      <c r="J854" s="123"/>
      <c r="K854" s="122"/>
      <c r="L854" s="124" t="str">
        <f t="shared" si="190"/>
        <v/>
      </c>
      <c r="M854" s="125" t="str">
        <f t="shared" si="190"/>
        <v/>
      </c>
      <c r="N854" s="126" t="str">
        <f t="shared" si="177"/>
        <v/>
      </c>
      <c r="O854" s="127" t="str">
        <f t="shared" si="178"/>
        <v/>
      </c>
      <c r="P854" s="127" t="str">
        <f t="shared" si="179"/>
        <v/>
      </c>
      <c r="Q854" s="128" t="str">
        <f t="shared" si="180"/>
        <v/>
      </c>
      <c r="R854" s="129"/>
      <c r="S854" s="130"/>
      <c r="T854" s="131"/>
      <c r="U854" s="131"/>
      <c r="V854" s="132" t="str">
        <f t="shared" si="181"/>
        <v/>
      </c>
      <c r="W854" s="133" t="str">
        <f t="shared" si="182"/>
        <v/>
      </c>
      <c r="X854" s="130"/>
      <c r="Y854" s="131"/>
      <c r="Z854" s="131"/>
      <c r="AA854" s="132" t="str">
        <f t="shared" si="183"/>
        <v/>
      </c>
      <c r="AB854" s="133" t="str">
        <f t="shared" si="184"/>
        <v/>
      </c>
      <c r="AC854" s="134" t="str">
        <f t="shared" si="185"/>
        <v/>
      </c>
      <c r="AD854" s="135" t="str">
        <f t="shared" si="186"/>
        <v/>
      </c>
      <c r="AE854" s="136"/>
      <c r="AF854" s="137"/>
      <c r="AG854" s="137"/>
      <c r="AH854" s="138" t="str">
        <f t="shared" si="187"/>
        <v/>
      </c>
      <c r="AI854" s="133" t="str">
        <f t="shared" si="188"/>
        <v/>
      </c>
    </row>
    <row r="855" spans="1:35">
      <c r="A855" s="171" t="str">
        <f>IF('09월 조업일지'!A841="","",'09월 조업일지'!A841)</f>
        <v/>
      </c>
      <c r="B855" s="172" t="str">
        <f>'09월 조업일지'!E841</f>
        <v/>
      </c>
      <c r="C855" s="172" t="str">
        <f>'09월 조업일지'!F841</f>
        <v/>
      </c>
      <c r="D855" s="172" t="str">
        <f>'09월 화학성분'!C842</f>
        <v/>
      </c>
      <c r="E855" s="205" t="str">
        <f t="shared" si="189"/>
        <v/>
      </c>
      <c r="F855" s="121"/>
      <c r="G855" s="122"/>
      <c r="H855" s="123"/>
      <c r="I855" s="122"/>
      <c r="J855" s="123"/>
      <c r="K855" s="122"/>
      <c r="L855" s="124" t="str">
        <f t="shared" si="190"/>
        <v/>
      </c>
      <c r="M855" s="125" t="str">
        <f t="shared" si="190"/>
        <v/>
      </c>
      <c r="N855" s="126" t="str">
        <f t="shared" si="177"/>
        <v/>
      </c>
      <c r="O855" s="127" t="str">
        <f t="shared" si="178"/>
        <v/>
      </c>
      <c r="P855" s="127" t="str">
        <f t="shared" si="179"/>
        <v/>
      </c>
      <c r="Q855" s="128" t="str">
        <f t="shared" si="180"/>
        <v/>
      </c>
      <c r="R855" s="129"/>
      <c r="S855" s="130"/>
      <c r="T855" s="131"/>
      <c r="U855" s="131"/>
      <c r="V855" s="132" t="str">
        <f t="shared" si="181"/>
        <v/>
      </c>
      <c r="W855" s="133" t="str">
        <f t="shared" si="182"/>
        <v/>
      </c>
      <c r="X855" s="130"/>
      <c r="Y855" s="131"/>
      <c r="Z855" s="131"/>
      <c r="AA855" s="132" t="str">
        <f t="shared" si="183"/>
        <v/>
      </c>
      <c r="AB855" s="133" t="str">
        <f t="shared" si="184"/>
        <v/>
      </c>
      <c r="AC855" s="134" t="str">
        <f t="shared" si="185"/>
        <v/>
      </c>
      <c r="AD855" s="135" t="str">
        <f t="shared" si="186"/>
        <v/>
      </c>
      <c r="AE855" s="136"/>
      <c r="AF855" s="137"/>
      <c r="AG855" s="137"/>
      <c r="AH855" s="138" t="str">
        <f t="shared" si="187"/>
        <v/>
      </c>
      <c r="AI855" s="133" t="str">
        <f t="shared" si="188"/>
        <v/>
      </c>
    </row>
    <row r="856" spans="1:35">
      <c r="A856" s="171" t="str">
        <f>IF('09월 조업일지'!A842="","",'09월 조업일지'!A842)</f>
        <v/>
      </c>
      <c r="B856" s="172" t="str">
        <f>'09월 조업일지'!E842</f>
        <v/>
      </c>
      <c r="C856" s="172" t="str">
        <f>'09월 조업일지'!F842</f>
        <v/>
      </c>
      <c r="D856" s="172" t="str">
        <f>'09월 화학성분'!C843</f>
        <v/>
      </c>
      <c r="E856" s="205" t="str">
        <f t="shared" si="189"/>
        <v/>
      </c>
      <c r="F856" s="121"/>
      <c r="G856" s="122"/>
      <c r="H856" s="123"/>
      <c r="I856" s="122"/>
      <c r="J856" s="123"/>
      <c r="K856" s="122"/>
      <c r="L856" s="124" t="str">
        <f t="shared" si="190"/>
        <v/>
      </c>
      <c r="M856" s="125" t="str">
        <f t="shared" si="190"/>
        <v/>
      </c>
      <c r="N856" s="126" t="str">
        <f t="shared" ref="N856:N919" si="191">IF(ISBLANK(G856),"",G856/R856)</f>
        <v/>
      </c>
      <c r="O856" s="127" t="str">
        <f t="shared" ref="O856:O919" si="192">IF(ISBLANK(I856),"",+I856/R856)</f>
        <v/>
      </c>
      <c r="P856" s="127" t="str">
        <f t="shared" ref="P856:P919" si="193">IF(ISBLANK(K856),"",K856/R856)</f>
        <v/>
      </c>
      <c r="Q856" s="128" t="str">
        <f t="shared" ref="Q856:Q919" si="194">IF(ISBLANK(K856),"",SUM(N856:P856))</f>
        <v/>
      </c>
      <c r="R856" s="129"/>
      <c r="S856" s="130"/>
      <c r="T856" s="131"/>
      <c r="U856" s="131"/>
      <c r="V856" s="132" t="str">
        <f t="shared" ref="V856:V919" si="195">IF(SUM(S856:U856)=0,"",SUM(S856:U856))</f>
        <v/>
      </c>
      <c r="W856" s="133" t="str">
        <f t="shared" ref="W856:W919" si="196">IF(V856="","",V856/R856)</f>
        <v/>
      </c>
      <c r="X856" s="130"/>
      <c r="Y856" s="131"/>
      <c r="Z856" s="131"/>
      <c r="AA856" s="132" t="str">
        <f t="shared" ref="AA856:AA919" si="197">IF(SUM(X856:Z856)=0,"",SUM(X856:Z856))</f>
        <v/>
      </c>
      <c r="AB856" s="133" t="str">
        <f t="shared" ref="AB856:AB919" si="198">IF(AA856="","",AA856/R856)</f>
        <v/>
      </c>
      <c r="AC856" s="134" t="str">
        <f t="shared" ref="AC856:AC919" si="199">IF(SUM(V856,AA856)=0,"",SUM(V856,AA856))</f>
        <v/>
      </c>
      <c r="AD856" s="135" t="str">
        <f t="shared" ref="AD856:AD919" si="200">IF(AC856="","",AC856/R856)</f>
        <v/>
      </c>
      <c r="AE856" s="136"/>
      <c r="AF856" s="137"/>
      <c r="AG856" s="137"/>
      <c r="AH856" s="138" t="str">
        <f t="shared" ref="AH856:AH919" si="201">IF(SUM(AE856:AG856)=0,"",SUM(AE856:AG856))</f>
        <v/>
      </c>
      <c r="AI856" s="133" t="str">
        <f t="shared" ref="AI856:AI919" si="202">IF(AH856="","",AH856/R856)</f>
        <v/>
      </c>
    </row>
    <row r="857" spans="1:35">
      <c r="A857" s="171" t="str">
        <f>IF('09월 조업일지'!A843="","",'09월 조업일지'!A843)</f>
        <v/>
      </c>
      <c r="B857" s="172" t="str">
        <f>'09월 조업일지'!E843</f>
        <v/>
      </c>
      <c r="C857" s="172" t="str">
        <f>'09월 조업일지'!F843</f>
        <v/>
      </c>
      <c r="D857" s="172" t="str">
        <f>'09월 화학성분'!C844</f>
        <v/>
      </c>
      <c r="E857" s="205" t="str">
        <f t="shared" ref="E857:E920" si="203">IF(F857="","",E856)</f>
        <v/>
      </c>
      <c r="F857" s="121"/>
      <c r="G857" s="122"/>
      <c r="H857" s="123"/>
      <c r="I857" s="122"/>
      <c r="J857" s="123"/>
      <c r="K857" s="122"/>
      <c r="L857" s="124" t="str">
        <f t="shared" si="190"/>
        <v/>
      </c>
      <c r="M857" s="125" t="str">
        <f t="shared" si="190"/>
        <v/>
      </c>
      <c r="N857" s="126" t="str">
        <f t="shared" si="191"/>
        <v/>
      </c>
      <c r="O857" s="127" t="str">
        <f t="shared" si="192"/>
        <v/>
      </c>
      <c r="P857" s="127" t="str">
        <f t="shared" si="193"/>
        <v/>
      </c>
      <c r="Q857" s="128" t="str">
        <f t="shared" si="194"/>
        <v/>
      </c>
      <c r="R857" s="129"/>
      <c r="S857" s="130"/>
      <c r="T857" s="131"/>
      <c r="U857" s="131"/>
      <c r="V857" s="132" t="str">
        <f t="shared" si="195"/>
        <v/>
      </c>
      <c r="W857" s="133" t="str">
        <f t="shared" si="196"/>
        <v/>
      </c>
      <c r="X857" s="130"/>
      <c r="Y857" s="131"/>
      <c r="Z857" s="131"/>
      <c r="AA857" s="132" t="str">
        <f t="shared" si="197"/>
        <v/>
      </c>
      <c r="AB857" s="133" t="str">
        <f t="shared" si="198"/>
        <v/>
      </c>
      <c r="AC857" s="134" t="str">
        <f t="shared" si="199"/>
        <v/>
      </c>
      <c r="AD857" s="135" t="str">
        <f t="shared" si="200"/>
        <v/>
      </c>
      <c r="AE857" s="136"/>
      <c r="AF857" s="137"/>
      <c r="AG857" s="137"/>
      <c r="AH857" s="138" t="str">
        <f t="shared" si="201"/>
        <v/>
      </c>
      <c r="AI857" s="133" t="str">
        <f t="shared" si="202"/>
        <v/>
      </c>
    </row>
    <row r="858" spans="1:35">
      <c r="A858" s="171" t="str">
        <f>IF('09월 조업일지'!A844="","",'09월 조업일지'!A844)</f>
        <v/>
      </c>
      <c r="B858" s="172" t="str">
        <f>'09월 조업일지'!E844</f>
        <v/>
      </c>
      <c r="C858" s="172" t="str">
        <f>'09월 조업일지'!F844</f>
        <v/>
      </c>
      <c r="D858" s="172" t="str">
        <f>'09월 화학성분'!C845</f>
        <v/>
      </c>
      <c r="E858" s="205" t="str">
        <f t="shared" si="203"/>
        <v/>
      </c>
      <c r="F858" s="121"/>
      <c r="G858" s="122"/>
      <c r="H858" s="123"/>
      <c r="I858" s="122"/>
      <c r="J858" s="123"/>
      <c r="K858" s="122"/>
      <c r="L858" s="124" t="str">
        <f t="shared" si="190"/>
        <v/>
      </c>
      <c r="M858" s="125" t="str">
        <f t="shared" si="190"/>
        <v/>
      </c>
      <c r="N858" s="126" t="str">
        <f t="shared" si="191"/>
        <v/>
      </c>
      <c r="O858" s="127" t="str">
        <f t="shared" si="192"/>
        <v/>
      </c>
      <c r="P858" s="127" t="str">
        <f t="shared" si="193"/>
        <v/>
      </c>
      <c r="Q858" s="128" t="str">
        <f t="shared" si="194"/>
        <v/>
      </c>
      <c r="R858" s="129"/>
      <c r="S858" s="130"/>
      <c r="T858" s="131"/>
      <c r="U858" s="131"/>
      <c r="V858" s="132" t="str">
        <f t="shared" si="195"/>
        <v/>
      </c>
      <c r="W858" s="133" t="str">
        <f t="shared" si="196"/>
        <v/>
      </c>
      <c r="X858" s="130"/>
      <c r="Y858" s="131"/>
      <c r="Z858" s="131"/>
      <c r="AA858" s="132" t="str">
        <f t="shared" si="197"/>
        <v/>
      </c>
      <c r="AB858" s="133" t="str">
        <f t="shared" si="198"/>
        <v/>
      </c>
      <c r="AC858" s="134" t="str">
        <f t="shared" si="199"/>
        <v/>
      </c>
      <c r="AD858" s="135" t="str">
        <f t="shared" si="200"/>
        <v/>
      </c>
      <c r="AE858" s="136"/>
      <c r="AF858" s="137"/>
      <c r="AG858" s="137"/>
      <c r="AH858" s="138" t="str">
        <f t="shared" si="201"/>
        <v/>
      </c>
      <c r="AI858" s="133" t="str">
        <f t="shared" si="202"/>
        <v/>
      </c>
    </row>
    <row r="859" spans="1:35">
      <c r="A859" s="171" t="str">
        <f>IF('09월 조업일지'!A845="","",'09월 조업일지'!A845)</f>
        <v/>
      </c>
      <c r="B859" s="172" t="str">
        <f>'09월 조업일지'!E845</f>
        <v/>
      </c>
      <c r="C859" s="172" t="str">
        <f>'09월 조업일지'!F845</f>
        <v/>
      </c>
      <c r="D859" s="172" t="str">
        <f>'09월 화학성분'!C846</f>
        <v/>
      </c>
      <c r="E859" s="205" t="str">
        <f t="shared" si="203"/>
        <v/>
      </c>
      <c r="F859" s="121"/>
      <c r="G859" s="122"/>
      <c r="H859" s="123"/>
      <c r="I859" s="122"/>
      <c r="J859" s="123"/>
      <c r="K859" s="122"/>
      <c r="L859" s="124" t="str">
        <f t="shared" si="190"/>
        <v/>
      </c>
      <c r="M859" s="125" t="str">
        <f t="shared" si="190"/>
        <v/>
      </c>
      <c r="N859" s="126" t="str">
        <f t="shared" si="191"/>
        <v/>
      </c>
      <c r="O859" s="127" t="str">
        <f t="shared" si="192"/>
        <v/>
      </c>
      <c r="P859" s="127" t="str">
        <f t="shared" si="193"/>
        <v/>
      </c>
      <c r="Q859" s="128" t="str">
        <f t="shared" si="194"/>
        <v/>
      </c>
      <c r="R859" s="129"/>
      <c r="S859" s="130"/>
      <c r="T859" s="131"/>
      <c r="U859" s="131"/>
      <c r="V859" s="132" t="str">
        <f t="shared" si="195"/>
        <v/>
      </c>
      <c r="W859" s="133" t="str">
        <f t="shared" si="196"/>
        <v/>
      </c>
      <c r="X859" s="130"/>
      <c r="Y859" s="131"/>
      <c r="Z859" s="131"/>
      <c r="AA859" s="132" t="str">
        <f t="shared" si="197"/>
        <v/>
      </c>
      <c r="AB859" s="133" t="str">
        <f t="shared" si="198"/>
        <v/>
      </c>
      <c r="AC859" s="134" t="str">
        <f t="shared" si="199"/>
        <v/>
      </c>
      <c r="AD859" s="135" t="str">
        <f t="shared" si="200"/>
        <v/>
      </c>
      <c r="AE859" s="136"/>
      <c r="AF859" s="137"/>
      <c r="AG859" s="137"/>
      <c r="AH859" s="138" t="str">
        <f t="shared" si="201"/>
        <v/>
      </c>
      <c r="AI859" s="133" t="str">
        <f t="shared" si="202"/>
        <v/>
      </c>
    </row>
    <row r="860" spans="1:35">
      <c r="A860" s="171" t="str">
        <f>IF('09월 조업일지'!A846="","",'09월 조업일지'!A846)</f>
        <v/>
      </c>
      <c r="B860" s="172" t="str">
        <f>'09월 조업일지'!E846</f>
        <v/>
      </c>
      <c r="C860" s="172" t="str">
        <f>'09월 조업일지'!F846</f>
        <v/>
      </c>
      <c r="D860" s="172" t="str">
        <f>'09월 화학성분'!C847</f>
        <v/>
      </c>
      <c r="E860" s="205" t="str">
        <f t="shared" si="203"/>
        <v/>
      </c>
      <c r="F860" s="121"/>
      <c r="G860" s="122"/>
      <c r="H860" s="123"/>
      <c r="I860" s="122"/>
      <c r="J860" s="123"/>
      <c r="K860" s="122"/>
      <c r="L860" s="124" t="str">
        <f t="shared" si="190"/>
        <v/>
      </c>
      <c r="M860" s="125" t="str">
        <f t="shared" si="190"/>
        <v/>
      </c>
      <c r="N860" s="126" t="str">
        <f t="shared" si="191"/>
        <v/>
      </c>
      <c r="O860" s="127" t="str">
        <f t="shared" si="192"/>
        <v/>
      </c>
      <c r="P860" s="127" t="str">
        <f t="shared" si="193"/>
        <v/>
      </c>
      <c r="Q860" s="128" t="str">
        <f t="shared" si="194"/>
        <v/>
      </c>
      <c r="R860" s="129"/>
      <c r="S860" s="130"/>
      <c r="T860" s="131"/>
      <c r="U860" s="131"/>
      <c r="V860" s="132" t="str">
        <f t="shared" si="195"/>
        <v/>
      </c>
      <c r="W860" s="133" t="str">
        <f t="shared" si="196"/>
        <v/>
      </c>
      <c r="X860" s="130"/>
      <c r="Y860" s="131"/>
      <c r="Z860" s="131"/>
      <c r="AA860" s="132" t="str">
        <f t="shared" si="197"/>
        <v/>
      </c>
      <c r="AB860" s="133" t="str">
        <f t="shared" si="198"/>
        <v/>
      </c>
      <c r="AC860" s="134" t="str">
        <f t="shared" si="199"/>
        <v/>
      </c>
      <c r="AD860" s="135" t="str">
        <f t="shared" si="200"/>
        <v/>
      </c>
      <c r="AE860" s="136"/>
      <c r="AF860" s="137"/>
      <c r="AG860" s="137"/>
      <c r="AH860" s="138" t="str">
        <f t="shared" si="201"/>
        <v/>
      </c>
      <c r="AI860" s="133" t="str">
        <f t="shared" si="202"/>
        <v/>
      </c>
    </row>
    <row r="861" spans="1:35">
      <c r="A861" s="171" t="str">
        <f>IF('09월 조업일지'!A847="","",'09월 조업일지'!A847)</f>
        <v/>
      </c>
      <c r="B861" s="172" t="str">
        <f>'09월 조업일지'!E847</f>
        <v/>
      </c>
      <c r="C861" s="172" t="str">
        <f>'09월 조업일지'!F847</f>
        <v/>
      </c>
      <c r="D861" s="172" t="str">
        <f>'09월 화학성분'!C848</f>
        <v/>
      </c>
      <c r="E861" s="205" t="str">
        <f t="shared" si="203"/>
        <v/>
      </c>
      <c r="F861" s="121"/>
      <c r="G861" s="122"/>
      <c r="H861" s="123"/>
      <c r="I861" s="122"/>
      <c r="J861" s="123"/>
      <c r="K861" s="122"/>
      <c r="L861" s="124" t="str">
        <f t="shared" si="190"/>
        <v/>
      </c>
      <c r="M861" s="125" t="str">
        <f t="shared" si="190"/>
        <v/>
      </c>
      <c r="N861" s="126" t="str">
        <f t="shared" si="191"/>
        <v/>
      </c>
      <c r="O861" s="127" t="str">
        <f t="shared" si="192"/>
        <v/>
      </c>
      <c r="P861" s="127" t="str">
        <f t="shared" si="193"/>
        <v/>
      </c>
      <c r="Q861" s="128" t="str">
        <f t="shared" si="194"/>
        <v/>
      </c>
      <c r="R861" s="129"/>
      <c r="S861" s="130"/>
      <c r="T861" s="131"/>
      <c r="U861" s="131"/>
      <c r="V861" s="132" t="str">
        <f t="shared" si="195"/>
        <v/>
      </c>
      <c r="W861" s="133" t="str">
        <f t="shared" si="196"/>
        <v/>
      </c>
      <c r="X861" s="130"/>
      <c r="Y861" s="131"/>
      <c r="Z861" s="131"/>
      <c r="AA861" s="132" t="str">
        <f t="shared" si="197"/>
        <v/>
      </c>
      <c r="AB861" s="133" t="str">
        <f t="shared" si="198"/>
        <v/>
      </c>
      <c r="AC861" s="134" t="str">
        <f t="shared" si="199"/>
        <v/>
      </c>
      <c r="AD861" s="135" t="str">
        <f t="shared" si="200"/>
        <v/>
      </c>
      <c r="AE861" s="136"/>
      <c r="AF861" s="137"/>
      <c r="AG861" s="137"/>
      <c r="AH861" s="138" t="str">
        <f t="shared" si="201"/>
        <v/>
      </c>
      <c r="AI861" s="133" t="str">
        <f t="shared" si="202"/>
        <v/>
      </c>
    </row>
    <row r="862" spans="1:35">
      <c r="A862" s="171" t="str">
        <f>IF('09월 조업일지'!A848="","",'09월 조업일지'!A848)</f>
        <v/>
      </c>
      <c r="B862" s="172" t="str">
        <f>'09월 조업일지'!E848</f>
        <v/>
      </c>
      <c r="C862" s="172" t="str">
        <f>'09월 조업일지'!F848</f>
        <v/>
      </c>
      <c r="D862" s="172" t="str">
        <f>'09월 화학성분'!C849</f>
        <v/>
      </c>
      <c r="E862" s="205" t="str">
        <f t="shared" si="203"/>
        <v/>
      </c>
      <c r="F862" s="121"/>
      <c r="G862" s="122"/>
      <c r="H862" s="123"/>
      <c r="I862" s="122"/>
      <c r="J862" s="123"/>
      <c r="K862" s="122"/>
      <c r="L862" s="124" t="str">
        <f t="shared" si="190"/>
        <v/>
      </c>
      <c r="M862" s="125" t="str">
        <f t="shared" si="190"/>
        <v/>
      </c>
      <c r="N862" s="126" t="str">
        <f t="shared" si="191"/>
        <v/>
      </c>
      <c r="O862" s="127" t="str">
        <f t="shared" si="192"/>
        <v/>
      </c>
      <c r="P862" s="127" t="str">
        <f t="shared" si="193"/>
        <v/>
      </c>
      <c r="Q862" s="128" t="str">
        <f t="shared" si="194"/>
        <v/>
      </c>
      <c r="R862" s="129"/>
      <c r="S862" s="130"/>
      <c r="T862" s="131"/>
      <c r="U862" s="131"/>
      <c r="V862" s="132" t="str">
        <f t="shared" si="195"/>
        <v/>
      </c>
      <c r="W862" s="133" t="str">
        <f t="shared" si="196"/>
        <v/>
      </c>
      <c r="X862" s="130"/>
      <c r="Y862" s="131"/>
      <c r="Z862" s="131"/>
      <c r="AA862" s="132" t="str">
        <f t="shared" si="197"/>
        <v/>
      </c>
      <c r="AB862" s="133" t="str">
        <f t="shared" si="198"/>
        <v/>
      </c>
      <c r="AC862" s="134" t="str">
        <f t="shared" si="199"/>
        <v/>
      </c>
      <c r="AD862" s="135" t="str">
        <f t="shared" si="200"/>
        <v/>
      </c>
      <c r="AE862" s="136"/>
      <c r="AF862" s="137"/>
      <c r="AG862" s="137"/>
      <c r="AH862" s="138" t="str">
        <f t="shared" si="201"/>
        <v/>
      </c>
      <c r="AI862" s="133" t="str">
        <f t="shared" si="202"/>
        <v/>
      </c>
    </row>
    <row r="863" spans="1:35">
      <c r="A863" s="171" t="str">
        <f>IF('09월 조업일지'!A849="","",'09월 조업일지'!A849)</f>
        <v/>
      </c>
      <c r="B863" s="172" t="str">
        <f>'09월 조업일지'!E849</f>
        <v/>
      </c>
      <c r="C863" s="172" t="str">
        <f>'09월 조업일지'!F849</f>
        <v/>
      </c>
      <c r="D863" s="172" t="str">
        <f>'09월 화학성분'!C850</f>
        <v/>
      </c>
      <c r="E863" s="205" t="str">
        <f t="shared" si="203"/>
        <v/>
      </c>
      <c r="F863" s="121"/>
      <c r="G863" s="122"/>
      <c r="H863" s="123"/>
      <c r="I863" s="122"/>
      <c r="J863" s="123"/>
      <c r="K863" s="122"/>
      <c r="L863" s="124" t="str">
        <f t="shared" si="190"/>
        <v/>
      </c>
      <c r="M863" s="125" t="str">
        <f t="shared" si="190"/>
        <v/>
      </c>
      <c r="N863" s="126" t="str">
        <f t="shared" si="191"/>
        <v/>
      </c>
      <c r="O863" s="127" t="str">
        <f t="shared" si="192"/>
        <v/>
      </c>
      <c r="P863" s="127" t="str">
        <f t="shared" si="193"/>
        <v/>
      </c>
      <c r="Q863" s="128" t="str">
        <f t="shared" si="194"/>
        <v/>
      </c>
      <c r="R863" s="129"/>
      <c r="S863" s="130"/>
      <c r="T863" s="131"/>
      <c r="U863" s="131"/>
      <c r="V863" s="132" t="str">
        <f t="shared" si="195"/>
        <v/>
      </c>
      <c r="W863" s="133" t="str">
        <f t="shared" si="196"/>
        <v/>
      </c>
      <c r="X863" s="130"/>
      <c r="Y863" s="131"/>
      <c r="Z863" s="131"/>
      <c r="AA863" s="132" t="str">
        <f t="shared" si="197"/>
        <v/>
      </c>
      <c r="AB863" s="133" t="str">
        <f t="shared" si="198"/>
        <v/>
      </c>
      <c r="AC863" s="134" t="str">
        <f t="shared" si="199"/>
        <v/>
      </c>
      <c r="AD863" s="135" t="str">
        <f t="shared" si="200"/>
        <v/>
      </c>
      <c r="AE863" s="136"/>
      <c r="AF863" s="137"/>
      <c r="AG863" s="137"/>
      <c r="AH863" s="138" t="str">
        <f t="shared" si="201"/>
        <v/>
      </c>
      <c r="AI863" s="133" t="str">
        <f t="shared" si="202"/>
        <v/>
      </c>
    </row>
    <row r="864" spans="1:35">
      <c r="A864" s="171" t="str">
        <f>IF('09월 조업일지'!A850="","",'09월 조업일지'!A850)</f>
        <v/>
      </c>
      <c r="B864" s="172" t="str">
        <f>'09월 조업일지'!E850</f>
        <v/>
      </c>
      <c r="C864" s="172" t="str">
        <f>'09월 조업일지'!F850</f>
        <v/>
      </c>
      <c r="D864" s="172" t="str">
        <f>'09월 화학성분'!C851</f>
        <v/>
      </c>
      <c r="E864" s="205" t="str">
        <f t="shared" si="203"/>
        <v/>
      </c>
      <c r="F864" s="121"/>
      <c r="G864" s="122"/>
      <c r="H864" s="123"/>
      <c r="I864" s="122"/>
      <c r="J864" s="123"/>
      <c r="K864" s="122"/>
      <c r="L864" s="124" t="str">
        <f t="shared" si="190"/>
        <v/>
      </c>
      <c r="M864" s="125" t="str">
        <f t="shared" si="190"/>
        <v/>
      </c>
      <c r="N864" s="126" t="str">
        <f t="shared" si="191"/>
        <v/>
      </c>
      <c r="O864" s="127" t="str">
        <f t="shared" si="192"/>
        <v/>
      </c>
      <c r="P864" s="127" t="str">
        <f t="shared" si="193"/>
        <v/>
      </c>
      <c r="Q864" s="128" t="str">
        <f t="shared" si="194"/>
        <v/>
      </c>
      <c r="R864" s="129"/>
      <c r="S864" s="130"/>
      <c r="T864" s="131"/>
      <c r="U864" s="131"/>
      <c r="V864" s="132" t="str">
        <f t="shared" si="195"/>
        <v/>
      </c>
      <c r="W864" s="133" t="str">
        <f t="shared" si="196"/>
        <v/>
      </c>
      <c r="X864" s="130"/>
      <c r="Y864" s="131"/>
      <c r="Z864" s="131"/>
      <c r="AA864" s="132" t="str">
        <f t="shared" si="197"/>
        <v/>
      </c>
      <c r="AB864" s="133" t="str">
        <f t="shared" si="198"/>
        <v/>
      </c>
      <c r="AC864" s="134" t="str">
        <f t="shared" si="199"/>
        <v/>
      </c>
      <c r="AD864" s="135" t="str">
        <f t="shared" si="200"/>
        <v/>
      </c>
      <c r="AE864" s="136"/>
      <c r="AF864" s="137"/>
      <c r="AG864" s="137"/>
      <c r="AH864" s="138" t="str">
        <f t="shared" si="201"/>
        <v/>
      </c>
      <c r="AI864" s="133" t="str">
        <f t="shared" si="202"/>
        <v/>
      </c>
    </row>
    <row r="865" spans="1:35">
      <c r="A865" s="171" t="str">
        <f>IF('09월 조업일지'!A851="","",'09월 조업일지'!A851)</f>
        <v/>
      </c>
      <c r="B865" s="172" t="str">
        <f>'09월 조업일지'!E851</f>
        <v/>
      </c>
      <c r="C865" s="172" t="str">
        <f>'09월 조업일지'!F851</f>
        <v/>
      </c>
      <c r="D865" s="172" t="str">
        <f>'09월 화학성분'!C852</f>
        <v/>
      </c>
      <c r="E865" s="205" t="str">
        <f t="shared" si="203"/>
        <v/>
      </c>
      <c r="F865" s="121"/>
      <c r="G865" s="122"/>
      <c r="H865" s="123"/>
      <c r="I865" s="122"/>
      <c r="J865" s="123"/>
      <c r="K865" s="122"/>
      <c r="L865" s="124" t="str">
        <f t="shared" si="190"/>
        <v/>
      </c>
      <c r="M865" s="125" t="str">
        <f t="shared" si="190"/>
        <v/>
      </c>
      <c r="N865" s="126" t="str">
        <f t="shared" si="191"/>
        <v/>
      </c>
      <c r="O865" s="127" t="str">
        <f t="shared" si="192"/>
        <v/>
      </c>
      <c r="P865" s="127" t="str">
        <f t="shared" si="193"/>
        <v/>
      </c>
      <c r="Q865" s="128" t="str">
        <f t="shared" si="194"/>
        <v/>
      </c>
      <c r="R865" s="129"/>
      <c r="S865" s="130"/>
      <c r="T865" s="131"/>
      <c r="U865" s="131"/>
      <c r="V865" s="132" t="str">
        <f t="shared" si="195"/>
        <v/>
      </c>
      <c r="W865" s="133" t="str">
        <f t="shared" si="196"/>
        <v/>
      </c>
      <c r="X865" s="130"/>
      <c r="Y865" s="131"/>
      <c r="Z865" s="131"/>
      <c r="AA865" s="132" t="str">
        <f t="shared" si="197"/>
        <v/>
      </c>
      <c r="AB865" s="133" t="str">
        <f t="shared" si="198"/>
        <v/>
      </c>
      <c r="AC865" s="134" t="str">
        <f t="shared" si="199"/>
        <v/>
      </c>
      <c r="AD865" s="135" t="str">
        <f t="shared" si="200"/>
        <v/>
      </c>
      <c r="AE865" s="136"/>
      <c r="AF865" s="137"/>
      <c r="AG865" s="137"/>
      <c r="AH865" s="138" t="str">
        <f t="shared" si="201"/>
        <v/>
      </c>
      <c r="AI865" s="133" t="str">
        <f t="shared" si="202"/>
        <v/>
      </c>
    </row>
    <row r="866" spans="1:35">
      <c r="A866" s="171" t="str">
        <f>IF('09월 조업일지'!A852="","",'09월 조업일지'!A852)</f>
        <v/>
      </c>
      <c r="B866" s="172" t="str">
        <f>'09월 조업일지'!E852</f>
        <v/>
      </c>
      <c r="C866" s="172" t="str">
        <f>'09월 조업일지'!F852</f>
        <v/>
      </c>
      <c r="D866" s="172" t="str">
        <f>'09월 화학성분'!C853</f>
        <v/>
      </c>
      <c r="E866" s="205" t="str">
        <f t="shared" si="203"/>
        <v/>
      </c>
      <c r="F866" s="121"/>
      <c r="G866" s="122"/>
      <c r="H866" s="123"/>
      <c r="I866" s="122"/>
      <c r="J866" s="123"/>
      <c r="K866" s="122"/>
      <c r="L866" s="124" t="str">
        <f t="shared" si="190"/>
        <v/>
      </c>
      <c r="M866" s="125" t="str">
        <f t="shared" si="190"/>
        <v/>
      </c>
      <c r="N866" s="126" t="str">
        <f t="shared" si="191"/>
        <v/>
      </c>
      <c r="O866" s="127" t="str">
        <f t="shared" si="192"/>
        <v/>
      </c>
      <c r="P866" s="127" t="str">
        <f t="shared" si="193"/>
        <v/>
      </c>
      <c r="Q866" s="128" t="str">
        <f t="shared" si="194"/>
        <v/>
      </c>
      <c r="R866" s="129"/>
      <c r="S866" s="130"/>
      <c r="T866" s="131"/>
      <c r="U866" s="131"/>
      <c r="V866" s="132" t="str">
        <f t="shared" si="195"/>
        <v/>
      </c>
      <c r="W866" s="133" t="str">
        <f t="shared" si="196"/>
        <v/>
      </c>
      <c r="X866" s="130"/>
      <c r="Y866" s="131"/>
      <c r="Z866" s="131"/>
      <c r="AA866" s="132" t="str">
        <f t="shared" si="197"/>
        <v/>
      </c>
      <c r="AB866" s="133" t="str">
        <f t="shared" si="198"/>
        <v/>
      </c>
      <c r="AC866" s="134" t="str">
        <f t="shared" si="199"/>
        <v/>
      </c>
      <c r="AD866" s="135" t="str">
        <f t="shared" si="200"/>
        <v/>
      </c>
      <c r="AE866" s="136"/>
      <c r="AF866" s="137"/>
      <c r="AG866" s="137"/>
      <c r="AH866" s="138" t="str">
        <f t="shared" si="201"/>
        <v/>
      </c>
      <c r="AI866" s="133" t="str">
        <f t="shared" si="202"/>
        <v/>
      </c>
    </row>
    <row r="867" spans="1:35">
      <c r="A867" s="171" t="str">
        <f>IF('09월 조업일지'!A853="","",'09월 조업일지'!A853)</f>
        <v/>
      </c>
      <c r="B867" s="172" t="str">
        <f>'09월 조업일지'!E853</f>
        <v/>
      </c>
      <c r="C867" s="172" t="str">
        <f>'09월 조업일지'!F853</f>
        <v/>
      </c>
      <c r="D867" s="172" t="str">
        <f>'09월 화학성분'!C854</f>
        <v/>
      </c>
      <c r="E867" s="205" t="str">
        <f t="shared" si="203"/>
        <v/>
      </c>
      <c r="F867" s="121"/>
      <c r="G867" s="122"/>
      <c r="H867" s="123"/>
      <c r="I867" s="122"/>
      <c r="J867" s="123"/>
      <c r="K867" s="122"/>
      <c r="L867" s="124" t="str">
        <f t="shared" ref="L867:M930" si="204">IF(ISBLANK(F867),"",SUM(F867,H867,J867))</f>
        <v/>
      </c>
      <c r="M867" s="125" t="str">
        <f t="shared" si="204"/>
        <v/>
      </c>
      <c r="N867" s="126" t="str">
        <f t="shared" si="191"/>
        <v/>
      </c>
      <c r="O867" s="127" t="str">
        <f t="shared" si="192"/>
        <v/>
      </c>
      <c r="P867" s="127" t="str">
        <f t="shared" si="193"/>
        <v/>
      </c>
      <c r="Q867" s="128" t="str">
        <f t="shared" si="194"/>
        <v/>
      </c>
      <c r="R867" s="129"/>
      <c r="S867" s="130"/>
      <c r="T867" s="131"/>
      <c r="U867" s="131"/>
      <c r="V867" s="132" t="str">
        <f t="shared" si="195"/>
        <v/>
      </c>
      <c r="W867" s="133" t="str">
        <f t="shared" si="196"/>
        <v/>
      </c>
      <c r="X867" s="130"/>
      <c r="Y867" s="131"/>
      <c r="Z867" s="131"/>
      <c r="AA867" s="132" t="str">
        <f t="shared" si="197"/>
        <v/>
      </c>
      <c r="AB867" s="133" t="str">
        <f t="shared" si="198"/>
        <v/>
      </c>
      <c r="AC867" s="134" t="str">
        <f t="shared" si="199"/>
        <v/>
      </c>
      <c r="AD867" s="135" t="str">
        <f t="shared" si="200"/>
        <v/>
      </c>
      <c r="AE867" s="136"/>
      <c r="AF867" s="137"/>
      <c r="AG867" s="137"/>
      <c r="AH867" s="138" t="str">
        <f t="shared" si="201"/>
        <v/>
      </c>
      <c r="AI867" s="133" t="str">
        <f t="shared" si="202"/>
        <v/>
      </c>
    </row>
    <row r="868" spans="1:35">
      <c r="A868" s="171" t="str">
        <f>IF('09월 조업일지'!A854="","",'09월 조업일지'!A854)</f>
        <v/>
      </c>
      <c r="B868" s="172" t="str">
        <f>'09월 조업일지'!E854</f>
        <v/>
      </c>
      <c r="C868" s="172" t="str">
        <f>'09월 조업일지'!F854</f>
        <v/>
      </c>
      <c r="D868" s="172" t="str">
        <f>'09월 화학성분'!C855</f>
        <v/>
      </c>
      <c r="E868" s="205" t="str">
        <f t="shared" si="203"/>
        <v/>
      </c>
      <c r="F868" s="121"/>
      <c r="G868" s="122"/>
      <c r="H868" s="123"/>
      <c r="I868" s="122"/>
      <c r="J868" s="123"/>
      <c r="K868" s="122"/>
      <c r="L868" s="124" t="str">
        <f t="shared" si="204"/>
        <v/>
      </c>
      <c r="M868" s="125" t="str">
        <f t="shared" si="204"/>
        <v/>
      </c>
      <c r="N868" s="126" t="str">
        <f t="shared" si="191"/>
        <v/>
      </c>
      <c r="O868" s="127" t="str">
        <f t="shared" si="192"/>
        <v/>
      </c>
      <c r="P868" s="127" t="str">
        <f t="shared" si="193"/>
        <v/>
      </c>
      <c r="Q868" s="128" t="str">
        <f t="shared" si="194"/>
        <v/>
      </c>
      <c r="R868" s="129"/>
      <c r="S868" s="130"/>
      <c r="T868" s="131"/>
      <c r="U868" s="131"/>
      <c r="V868" s="132" t="str">
        <f t="shared" si="195"/>
        <v/>
      </c>
      <c r="W868" s="133" t="str">
        <f t="shared" si="196"/>
        <v/>
      </c>
      <c r="X868" s="130"/>
      <c r="Y868" s="131"/>
      <c r="Z868" s="131"/>
      <c r="AA868" s="132" t="str">
        <f t="shared" si="197"/>
        <v/>
      </c>
      <c r="AB868" s="133" t="str">
        <f t="shared" si="198"/>
        <v/>
      </c>
      <c r="AC868" s="134" t="str">
        <f t="shared" si="199"/>
        <v/>
      </c>
      <c r="AD868" s="135" t="str">
        <f t="shared" si="200"/>
        <v/>
      </c>
      <c r="AE868" s="136"/>
      <c r="AF868" s="137"/>
      <c r="AG868" s="137"/>
      <c r="AH868" s="138" t="str">
        <f t="shared" si="201"/>
        <v/>
      </c>
      <c r="AI868" s="133" t="str">
        <f t="shared" si="202"/>
        <v/>
      </c>
    </row>
    <row r="869" spans="1:35">
      <c r="A869" s="171" t="str">
        <f>IF('09월 조업일지'!A855="","",'09월 조업일지'!A855)</f>
        <v/>
      </c>
      <c r="B869" s="172" t="str">
        <f>'09월 조업일지'!E855</f>
        <v/>
      </c>
      <c r="C869" s="172" t="str">
        <f>'09월 조업일지'!F855</f>
        <v/>
      </c>
      <c r="D869" s="172" t="str">
        <f>'09월 화학성분'!C856</f>
        <v/>
      </c>
      <c r="E869" s="205" t="str">
        <f t="shared" si="203"/>
        <v/>
      </c>
      <c r="F869" s="121"/>
      <c r="G869" s="122"/>
      <c r="H869" s="123"/>
      <c r="I869" s="122"/>
      <c r="J869" s="123"/>
      <c r="K869" s="122"/>
      <c r="L869" s="124" t="str">
        <f t="shared" si="204"/>
        <v/>
      </c>
      <c r="M869" s="125" t="str">
        <f t="shared" si="204"/>
        <v/>
      </c>
      <c r="N869" s="126" t="str">
        <f t="shared" si="191"/>
        <v/>
      </c>
      <c r="O869" s="127" t="str">
        <f t="shared" si="192"/>
        <v/>
      </c>
      <c r="P869" s="127" t="str">
        <f t="shared" si="193"/>
        <v/>
      </c>
      <c r="Q869" s="128" t="str">
        <f t="shared" si="194"/>
        <v/>
      </c>
      <c r="R869" s="129"/>
      <c r="S869" s="130"/>
      <c r="T869" s="131"/>
      <c r="U869" s="131"/>
      <c r="V869" s="132" t="str">
        <f t="shared" si="195"/>
        <v/>
      </c>
      <c r="W869" s="133" t="str">
        <f t="shared" si="196"/>
        <v/>
      </c>
      <c r="X869" s="130"/>
      <c r="Y869" s="131"/>
      <c r="Z869" s="131"/>
      <c r="AA869" s="132" t="str">
        <f t="shared" si="197"/>
        <v/>
      </c>
      <c r="AB869" s="133" t="str">
        <f t="shared" si="198"/>
        <v/>
      </c>
      <c r="AC869" s="134" t="str">
        <f t="shared" si="199"/>
        <v/>
      </c>
      <c r="AD869" s="135" t="str">
        <f t="shared" si="200"/>
        <v/>
      </c>
      <c r="AE869" s="136"/>
      <c r="AF869" s="137"/>
      <c r="AG869" s="137"/>
      <c r="AH869" s="138" t="str">
        <f t="shared" si="201"/>
        <v/>
      </c>
      <c r="AI869" s="133" t="str">
        <f t="shared" si="202"/>
        <v/>
      </c>
    </row>
    <row r="870" spans="1:35">
      <c r="A870" s="171" t="str">
        <f>IF('09월 조업일지'!A856="","",'09월 조업일지'!A856)</f>
        <v/>
      </c>
      <c r="B870" s="172" t="str">
        <f>'09월 조업일지'!E856</f>
        <v/>
      </c>
      <c r="C870" s="172" t="str">
        <f>'09월 조업일지'!F856</f>
        <v/>
      </c>
      <c r="D870" s="172" t="str">
        <f>'09월 화학성분'!C857</f>
        <v/>
      </c>
      <c r="E870" s="205" t="str">
        <f t="shared" si="203"/>
        <v/>
      </c>
      <c r="F870" s="121"/>
      <c r="G870" s="122"/>
      <c r="H870" s="123"/>
      <c r="I870" s="122"/>
      <c r="J870" s="123"/>
      <c r="K870" s="122"/>
      <c r="L870" s="124" t="str">
        <f t="shared" si="204"/>
        <v/>
      </c>
      <c r="M870" s="125" t="str">
        <f t="shared" si="204"/>
        <v/>
      </c>
      <c r="N870" s="126" t="str">
        <f t="shared" si="191"/>
        <v/>
      </c>
      <c r="O870" s="127" t="str">
        <f t="shared" si="192"/>
        <v/>
      </c>
      <c r="P870" s="127" t="str">
        <f t="shared" si="193"/>
        <v/>
      </c>
      <c r="Q870" s="128" t="str">
        <f t="shared" si="194"/>
        <v/>
      </c>
      <c r="R870" s="129"/>
      <c r="S870" s="130"/>
      <c r="T870" s="131"/>
      <c r="U870" s="131"/>
      <c r="V870" s="132" t="str">
        <f t="shared" si="195"/>
        <v/>
      </c>
      <c r="W870" s="133" t="str">
        <f t="shared" si="196"/>
        <v/>
      </c>
      <c r="X870" s="130"/>
      <c r="Y870" s="131"/>
      <c r="Z870" s="131"/>
      <c r="AA870" s="132" t="str">
        <f t="shared" si="197"/>
        <v/>
      </c>
      <c r="AB870" s="133" t="str">
        <f t="shared" si="198"/>
        <v/>
      </c>
      <c r="AC870" s="134" t="str">
        <f t="shared" si="199"/>
        <v/>
      </c>
      <c r="AD870" s="135" t="str">
        <f t="shared" si="200"/>
        <v/>
      </c>
      <c r="AE870" s="136"/>
      <c r="AF870" s="137"/>
      <c r="AG870" s="137"/>
      <c r="AH870" s="138" t="str">
        <f t="shared" si="201"/>
        <v/>
      </c>
      <c r="AI870" s="133" t="str">
        <f t="shared" si="202"/>
        <v/>
      </c>
    </row>
    <row r="871" spans="1:35">
      <c r="A871" s="171" t="str">
        <f>IF('09월 조업일지'!A857="","",'09월 조업일지'!A857)</f>
        <v/>
      </c>
      <c r="B871" s="172" t="str">
        <f>'09월 조업일지'!E857</f>
        <v/>
      </c>
      <c r="C871" s="172" t="str">
        <f>'09월 조업일지'!F857</f>
        <v/>
      </c>
      <c r="D871" s="172" t="str">
        <f>'09월 화학성분'!C858</f>
        <v/>
      </c>
      <c r="E871" s="205" t="str">
        <f t="shared" si="203"/>
        <v/>
      </c>
      <c r="F871" s="121"/>
      <c r="G871" s="122"/>
      <c r="H871" s="123"/>
      <c r="I871" s="122"/>
      <c r="J871" s="123"/>
      <c r="K871" s="122"/>
      <c r="L871" s="124" t="str">
        <f t="shared" si="204"/>
        <v/>
      </c>
      <c r="M871" s="125" t="str">
        <f t="shared" si="204"/>
        <v/>
      </c>
      <c r="N871" s="126" t="str">
        <f t="shared" si="191"/>
        <v/>
      </c>
      <c r="O871" s="127" t="str">
        <f t="shared" si="192"/>
        <v/>
      </c>
      <c r="P871" s="127" t="str">
        <f t="shared" si="193"/>
        <v/>
      </c>
      <c r="Q871" s="128" t="str">
        <f t="shared" si="194"/>
        <v/>
      </c>
      <c r="R871" s="129"/>
      <c r="S871" s="130"/>
      <c r="T871" s="131"/>
      <c r="U871" s="131"/>
      <c r="V871" s="132" t="str">
        <f t="shared" si="195"/>
        <v/>
      </c>
      <c r="W871" s="133" t="str">
        <f t="shared" si="196"/>
        <v/>
      </c>
      <c r="X871" s="130"/>
      <c r="Y871" s="131"/>
      <c r="Z871" s="131"/>
      <c r="AA871" s="132" t="str">
        <f t="shared" si="197"/>
        <v/>
      </c>
      <c r="AB871" s="133" t="str">
        <f t="shared" si="198"/>
        <v/>
      </c>
      <c r="AC871" s="134" t="str">
        <f t="shared" si="199"/>
        <v/>
      </c>
      <c r="AD871" s="135" t="str">
        <f t="shared" si="200"/>
        <v/>
      </c>
      <c r="AE871" s="136"/>
      <c r="AF871" s="137"/>
      <c r="AG871" s="137"/>
      <c r="AH871" s="138" t="str">
        <f t="shared" si="201"/>
        <v/>
      </c>
      <c r="AI871" s="133" t="str">
        <f t="shared" si="202"/>
        <v/>
      </c>
    </row>
    <row r="872" spans="1:35">
      <c r="A872" s="171" t="str">
        <f>IF('09월 조업일지'!A858="","",'09월 조업일지'!A858)</f>
        <v/>
      </c>
      <c r="B872" s="172" t="str">
        <f>'09월 조업일지'!E858</f>
        <v/>
      </c>
      <c r="C872" s="172" t="str">
        <f>'09월 조업일지'!F858</f>
        <v/>
      </c>
      <c r="D872" s="172" t="str">
        <f>'09월 화학성분'!C859</f>
        <v/>
      </c>
      <c r="E872" s="205" t="str">
        <f t="shared" si="203"/>
        <v/>
      </c>
      <c r="F872" s="121"/>
      <c r="G872" s="122"/>
      <c r="H872" s="123"/>
      <c r="I872" s="122"/>
      <c r="J872" s="123"/>
      <c r="K872" s="122"/>
      <c r="L872" s="124" t="str">
        <f t="shared" si="204"/>
        <v/>
      </c>
      <c r="M872" s="125" t="str">
        <f t="shared" si="204"/>
        <v/>
      </c>
      <c r="N872" s="126" t="str">
        <f t="shared" si="191"/>
        <v/>
      </c>
      <c r="O872" s="127" t="str">
        <f t="shared" si="192"/>
        <v/>
      </c>
      <c r="P872" s="127" t="str">
        <f t="shared" si="193"/>
        <v/>
      </c>
      <c r="Q872" s="128" t="str">
        <f t="shared" si="194"/>
        <v/>
      </c>
      <c r="R872" s="129"/>
      <c r="S872" s="130"/>
      <c r="T872" s="131"/>
      <c r="U872" s="131"/>
      <c r="V872" s="132" t="str">
        <f t="shared" si="195"/>
        <v/>
      </c>
      <c r="W872" s="133" t="str">
        <f t="shared" si="196"/>
        <v/>
      </c>
      <c r="X872" s="130"/>
      <c r="Y872" s="131"/>
      <c r="Z872" s="131"/>
      <c r="AA872" s="132" t="str">
        <f t="shared" si="197"/>
        <v/>
      </c>
      <c r="AB872" s="133" t="str">
        <f t="shared" si="198"/>
        <v/>
      </c>
      <c r="AC872" s="134" t="str">
        <f t="shared" si="199"/>
        <v/>
      </c>
      <c r="AD872" s="135" t="str">
        <f t="shared" si="200"/>
        <v/>
      </c>
      <c r="AE872" s="136"/>
      <c r="AF872" s="137"/>
      <c r="AG872" s="137"/>
      <c r="AH872" s="138" t="str">
        <f t="shared" si="201"/>
        <v/>
      </c>
      <c r="AI872" s="133" t="str">
        <f t="shared" si="202"/>
        <v/>
      </c>
    </row>
    <row r="873" spans="1:35">
      <c r="A873" s="171" t="str">
        <f>IF('09월 조업일지'!A859="","",'09월 조업일지'!A859)</f>
        <v/>
      </c>
      <c r="B873" s="172" t="str">
        <f>'09월 조업일지'!E859</f>
        <v/>
      </c>
      <c r="C873" s="172" t="str">
        <f>'09월 조업일지'!F859</f>
        <v/>
      </c>
      <c r="D873" s="172" t="str">
        <f>'09월 화학성분'!C860</f>
        <v/>
      </c>
      <c r="E873" s="205" t="str">
        <f t="shared" si="203"/>
        <v/>
      </c>
      <c r="F873" s="121"/>
      <c r="G873" s="122"/>
      <c r="H873" s="123"/>
      <c r="I873" s="122"/>
      <c r="J873" s="123"/>
      <c r="K873" s="122"/>
      <c r="L873" s="124" t="str">
        <f t="shared" si="204"/>
        <v/>
      </c>
      <c r="M873" s="125" t="str">
        <f t="shared" si="204"/>
        <v/>
      </c>
      <c r="N873" s="126" t="str">
        <f t="shared" si="191"/>
        <v/>
      </c>
      <c r="O873" s="127" t="str">
        <f t="shared" si="192"/>
        <v/>
      </c>
      <c r="P873" s="127" t="str">
        <f t="shared" si="193"/>
        <v/>
      </c>
      <c r="Q873" s="128" t="str">
        <f t="shared" si="194"/>
        <v/>
      </c>
      <c r="R873" s="129"/>
      <c r="S873" s="130"/>
      <c r="T873" s="131"/>
      <c r="U873" s="131"/>
      <c r="V873" s="132" t="str">
        <f t="shared" si="195"/>
        <v/>
      </c>
      <c r="W873" s="133" t="str">
        <f t="shared" si="196"/>
        <v/>
      </c>
      <c r="X873" s="130"/>
      <c r="Y873" s="131"/>
      <c r="Z873" s="131"/>
      <c r="AA873" s="132" t="str">
        <f t="shared" si="197"/>
        <v/>
      </c>
      <c r="AB873" s="133" t="str">
        <f t="shared" si="198"/>
        <v/>
      </c>
      <c r="AC873" s="134" t="str">
        <f t="shared" si="199"/>
        <v/>
      </c>
      <c r="AD873" s="135" t="str">
        <f t="shared" si="200"/>
        <v/>
      </c>
      <c r="AE873" s="136"/>
      <c r="AF873" s="137"/>
      <c r="AG873" s="137"/>
      <c r="AH873" s="138" t="str">
        <f t="shared" si="201"/>
        <v/>
      </c>
      <c r="AI873" s="133" t="str">
        <f t="shared" si="202"/>
        <v/>
      </c>
    </row>
    <row r="874" spans="1:35">
      <c r="A874" s="171" t="str">
        <f>IF('09월 조업일지'!A860="","",'09월 조업일지'!A860)</f>
        <v/>
      </c>
      <c r="B874" s="172" t="str">
        <f>'09월 조업일지'!E860</f>
        <v/>
      </c>
      <c r="C874" s="172" t="str">
        <f>'09월 조업일지'!F860</f>
        <v/>
      </c>
      <c r="D874" s="172" t="str">
        <f>'09월 화학성분'!C861</f>
        <v/>
      </c>
      <c r="E874" s="205" t="str">
        <f t="shared" si="203"/>
        <v/>
      </c>
      <c r="F874" s="121"/>
      <c r="G874" s="122"/>
      <c r="H874" s="123"/>
      <c r="I874" s="122"/>
      <c r="J874" s="123"/>
      <c r="K874" s="122"/>
      <c r="L874" s="124" t="str">
        <f t="shared" si="204"/>
        <v/>
      </c>
      <c r="M874" s="125" t="str">
        <f t="shared" si="204"/>
        <v/>
      </c>
      <c r="N874" s="126" t="str">
        <f t="shared" si="191"/>
        <v/>
      </c>
      <c r="O874" s="127" t="str">
        <f t="shared" si="192"/>
        <v/>
      </c>
      <c r="P874" s="127" t="str">
        <f t="shared" si="193"/>
        <v/>
      </c>
      <c r="Q874" s="128" t="str">
        <f t="shared" si="194"/>
        <v/>
      </c>
      <c r="R874" s="129"/>
      <c r="S874" s="130"/>
      <c r="T874" s="131"/>
      <c r="U874" s="131"/>
      <c r="V874" s="132" t="str">
        <f t="shared" si="195"/>
        <v/>
      </c>
      <c r="W874" s="133" t="str">
        <f t="shared" si="196"/>
        <v/>
      </c>
      <c r="X874" s="130"/>
      <c r="Y874" s="131"/>
      <c r="Z874" s="131"/>
      <c r="AA874" s="132" t="str">
        <f t="shared" si="197"/>
        <v/>
      </c>
      <c r="AB874" s="133" t="str">
        <f t="shared" si="198"/>
        <v/>
      </c>
      <c r="AC874" s="134" t="str">
        <f t="shared" si="199"/>
        <v/>
      </c>
      <c r="AD874" s="135" t="str">
        <f t="shared" si="200"/>
        <v/>
      </c>
      <c r="AE874" s="136"/>
      <c r="AF874" s="137"/>
      <c r="AG874" s="137"/>
      <c r="AH874" s="138" t="str">
        <f t="shared" si="201"/>
        <v/>
      </c>
      <c r="AI874" s="133" t="str">
        <f t="shared" si="202"/>
        <v/>
      </c>
    </row>
    <row r="875" spans="1:35">
      <c r="A875" s="171" t="str">
        <f>IF('09월 조업일지'!A861="","",'09월 조업일지'!A861)</f>
        <v/>
      </c>
      <c r="B875" s="172" t="str">
        <f>'09월 조업일지'!E861</f>
        <v/>
      </c>
      <c r="C875" s="172" t="str">
        <f>'09월 조업일지'!F861</f>
        <v/>
      </c>
      <c r="D875" s="172" t="str">
        <f>'09월 화학성분'!C862</f>
        <v/>
      </c>
      <c r="E875" s="205" t="str">
        <f t="shared" si="203"/>
        <v/>
      </c>
      <c r="F875" s="121"/>
      <c r="G875" s="122"/>
      <c r="H875" s="123"/>
      <c r="I875" s="122"/>
      <c r="J875" s="123"/>
      <c r="K875" s="122"/>
      <c r="L875" s="124" t="str">
        <f t="shared" si="204"/>
        <v/>
      </c>
      <c r="M875" s="125" t="str">
        <f t="shared" si="204"/>
        <v/>
      </c>
      <c r="N875" s="126" t="str">
        <f t="shared" si="191"/>
        <v/>
      </c>
      <c r="O875" s="127" t="str">
        <f t="shared" si="192"/>
        <v/>
      </c>
      <c r="P875" s="127" t="str">
        <f t="shared" si="193"/>
        <v/>
      </c>
      <c r="Q875" s="128" t="str">
        <f t="shared" si="194"/>
        <v/>
      </c>
      <c r="R875" s="129"/>
      <c r="S875" s="130"/>
      <c r="T875" s="131"/>
      <c r="U875" s="131"/>
      <c r="V875" s="132" t="str">
        <f t="shared" si="195"/>
        <v/>
      </c>
      <c r="W875" s="133" t="str">
        <f t="shared" si="196"/>
        <v/>
      </c>
      <c r="X875" s="130"/>
      <c r="Y875" s="131"/>
      <c r="Z875" s="131"/>
      <c r="AA875" s="132" t="str">
        <f t="shared" si="197"/>
        <v/>
      </c>
      <c r="AB875" s="133" t="str">
        <f t="shared" si="198"/>
        <v/>
      </c>
      <c r="AC875" s="134" t="str">
        <f t="shared" si="199"/>
        <v/>
      </c>
      <c r="AD875" s="135" t="str">
        <f t="shared" si="200"/>
        <v/>
      </c>
      <c r="AE875" s="136"/>
      <c r="AF875" s="137"/>
      <c r="AG875" s="137"/>
      <c r="AH875" s="138" t="str">
        <f t="shared" si="201"/>
        <v/>
      </c>
      <c r="AI875" s="133" t="str">
        <f t="shared" si="202"/>
        <v/>
      </c>
    </row>
    <row r="876" spans="1:35">
      <c r="A876" s="171" t="str">
        <f>IF('09월 조업일지'!A862="","",'09월 조업일지'!A862)</f>
        <v/>
      </c>
      <c r="B876" s="172" t="str">
        <f>'09월 조업일지'!E862</f>
        <v/>
      </c>
      <c r="C876" s="172" t="str">
        <f>'09월 조업일지'!F862</f>
        <v/>
      </c>
      <c r="D876" s="172" t="str">
        <f>'09월 화학성분'!C863</f>
        <v/>
      </c>
      <c r="E876" s="205" t="str">
        <f t="shared" si="203"/>
        <v/>
      </c>
      <c r="F876" s="121"/>
      <c r="G876" s="122"/>
      <c r="H876" s="123"/>
      <c r="I876" s="122"/>
      <c r="J876" s="123"/>
      <c r="K876" s="122"/>
      <c r="L876" s="124" t="str">
        <f t="shared" si="204"/>
        <v/>
      </c>
      <c r="M876" s="125" t="str">
        <f t="shared" si="204"/>
        <v/>
      </c>
      <c r="N876" s="126" t="str">
        <f t="shared" si="191"/>
        <v/>
      </c>
      <c r="O876" s="127" t="str">
        <f t="shared" si="192"/>
        <v/>
      </c>
      <c r="P876" s="127" t="str">
        <f t="shared" si="193"/>
        <v/>
      </c>
      <c r="Q876" s="128" t="str">
        <f t="shared" si="194"/>
        <v/>
      </c>
      <c r="R876" s="129"/>
      <c r="S876" s="130"/>
      <c r="T876" s="131"/>
      <c r="U876" s="131"/>
      <c r="V876" s="132" t="str">
        <f t="shared" si="195"/>
        <v/>
      </c>
      <c r="W876" s="133" t="str">
        <f t="shared" si="196"/>
        <v/>
      </c>
      <c r="X876" s="130"/>
      <c r="Y876" s="131"/>
      <c r="Z876" s="131"/>
      <c r="AA876" s="132" t="str">
        <f t="shared" si="197"/>
        <v/>
      </c>
      <c r="AB876" s="133" t="str">
        <f t="shared" si="198"/>
        <v/>
      </c>
      <c r="AC876" s="134" t="str">
        <f t="shared" si="199"/>
        <v/>
      </c>
      <c r="AD876" s="135" t="str">
        <f t="shared" si="200"/>
        <v/>
      </c>
      <c r="AE876" s="136"/>
      <c r="AF876" s="137"/>
      <c r="AG876" s="137"/>
      <c r="AH876" s="138" t="str">
        <f t="shared" si="201"/>
        <v/>
      </c>
      <c r="AI876" s="133" t="str">
        <f t="shared" si="202"/>
        <v/>
      </c>
    </row>
    <row r="877" spans="1:35">
      <c r="A877" s="171" t="str">
        <f>IF('09월 조업일지'!A863="","",'09월 조업일지'!A863)</f>
        <v/>
      </c>
      <c r="B877" s="172" t="str">
        <f>'09월 조업일지'!E863</f>
        <v/>
      </c>
      <c r="C877" s="172" t="str">
        <f>'09월 조업일지'!F863</f>
        <v/>
      </c>
      <c r="D877" s="172" t="str">
        <f>'09월 화학성분'!C864</f>
        <v/>
      </c>
      <c r="E877" s="205" t="str">
        <f t="shared" si="203"/>
        <v/>
      </c>
      <c r="F877" s="121"/>
      <c r="G877" s="122"/>
      <c r="H877" s="123"/>
      <c r="I877" s="122"/>
      <c r="J877" s="123"/>
      <c r="K877" s="122"/>
      <c r="L877" s="124" t="str">
        <f t="shared" si="204"/>
        <v/>
      </c>
      <c r="M877" s="125" t="str">
        <f t="shared" si="204"/>
        <v/>
      </c>
      <c r="N877" s="126" t="str">
        <f t="shared" si="191"/>
        <v/>
      </c>
      <c r="O877" s="127" t="str">
        <f t="shared" si="192"/>
        <v/>
      </c>
      <c r="P877" s="127" t="str">
        <f t="shared" si="193"/>
        <v/>
      </c>
      <c r="Q877" s="128" t="str">
        <f t="shared" si="194"/>
        <v/>
      </c>
      <c r="R877" s="129"/>
      <c r="S877" s="130"/>
      <c r="T877" s="131"/>
      <c r="U877" s="131"/>
      <c r="V877" s="132" t="str">
        <f t="shared" si="195"/>
        <v/>
      </c>
      <c r="W877" s="133" t="str">
        <f t="shared" si="196"/>
        <v/>
      </c>
      <c r="X877" s="130"/>
      <c r="Y877" s="131"/>
      <c r="Z877" s="131"/>
      <c r="AA877" s="132" t="str">
        <f t="shared" si="197"/>
        <v/>
      </c>
      <c r="AB877" s="133" t="str">
        <f t="shared" si="198"/>
        <v/>
      </c>
      <c r="AC877" s="134" t="str">
        <f t="shared" si="199"/>
        <v/>
      </c>
      <c r="AD877" s="135" t="str">
        <f t="shared" si="200"/>
        <v/>
      </c>
      <c r="AE877" s="136"/>
      <c r="AF877" s="137"/>
      <c r="AG877" s="137"/>
      <c r="AH877" s="138" t="str">
        <f t="shared" si="201"/>
        <v/>
      </c>
      <c r="AI877" s="133" t="str">
        <f t="shared" si="202"/>
        <v/>
      </c>
    </row>
    <row r="878" spans="1:35">
      <c r="A878" s="171" t="str">
        <f>IF('09월 조업일지'!A864="","",'09월 조업일지'!A864)</f>
        <v/>
      </c>
      <c r="B878" s="172" t="str">
        <f>'09월 조업일지'!E864</f>
        <v/>
      </c>
      <c r="C878" s="172" t="str">
        <f>'09월 조업일지'!F864</f>
        <v/>
      </c>
      <c r="D878" s="172" t="str">
        <f>'09월 화학성분'!C865</f>
        <v/>
      </c>
      <c r="E878" s="205" t="str">
        <f t="shared" si="203"/>
        <v/>
      </c>
      <c r="F878" s="121"/>
      <c r="G878" s="122"/>
      <c r="H878" s="123"/>
      <c r="I878" s="122"/>
      <c r="J878" s="123"/>
      <c r="K878" s="122"/>
      <c r="L878" s="124" t="str">
        <f t="shared" si="204"/>
        <v/>
      </c>
      <c r="M878" s="125" t="str">
        <f t="shared" si="204"/>
        <v/>
      </c>
      <c r="N878" s="126" t="str">
        <f t="shared" si="191"/>
        <v/>
      </c>
      <c r="O878" s="127" t="str">
        <f t="shared" si="192"/>
        <v/>
      </c>
      <c r="P878" s="127" t="str">
        <f t="shared" si="193"/>
        <v/>
      </c>
      <c r="Q878" s="128" t="str">
        <f t="shared" si="194"/>
        <v/>
      </c>
      <c r="R878" s="129"/>
      <c r="S878" s="130"/>
      <c r="T878" s="131"/>
      <c r="U878" s="131"/>
      <c r="V878" s="132" t="str">
        <f t="shared" si="195"/>
        <v/>
      </c>
      <c r="W878" s="133" t="str">
        <f t="shared" si="196"/>
        <v/>
      </c>
      <c r="X878" s="130"/>
      <c r="Y878" s="131"/>
      <c r="Z878" s="131"/>
      <c r="AA878" s="132" t="str">
        <f t="shared" si="197"/>
        <v/>
      </c>
      <c r="AB878" s="133" t="str">
        <f t="shared" si="198"/>
        <v/>
      </c>
      <c r="AC878" s="134" t="str">
        <f t="shared" si="199"/>
        <v/>
      </c>
      <c r="AD878" s="135" t="str">
        <f t="shared" si="200"/>
        <v/>
      </c>
      <c r="AE878" s="136"/>
      <c r="AF878" s="137"/>
      <c r="AG878" s="137"/>
      <c r="AH878" s="138" t="str">
        <f t="shared" si="201"/>
        <v/>
      </c>
      <c r="AI878" s="133" t="str">
        <f t="shared" si="202"/>
        <v/>
      </c>
    </row>
    <row r="879" spans="1:35">
      <c r="A879" s="171" t="str">
        <f>IF('09월 조업일지'!A865="","",'09월 조업일지'!A865)</f>
        <v/>
      </c>
      <c r="B879" s="172" t="str">
        <f>'09월 조업일지'!E865</f>
        <v/>
      </c>
      <c r="C879" s="172" t="str">
        <f>'09월 조업일지'!F865</f>
        <v/>
      </c>
      <c r="D879" s="172" t="str">
        <f>'09월 화학성분'!C866</f>
        <v/>
      </c>
      <c r="E879" s="205" t="str">
        <f t="shared" si="203"/>
        <v/>
      </c>
      <c r="F879" s="121"/>
      <c r="G879" s="122"/>
      <c r="H879" s="123"/>
      <c r="I879" s="122"/>
      <c r="J879" s="123"/>
      <c r="K879" s="122"/>
      <c r="L879" s="124" t="str">
        <f t="shared" si="204"/>
        <v/>
      </c>
      <c r="M879" s="125" t="str">
        <f t="shared" si="204"/>
        <v/>
      </c>
      <c r="N879" s="126" t="str">
        <f t="shared" si="191"/>
        <v/>
      </c>
      <c r="O879" s="127" t="str">
        <f t="shared" si="192"/>
        <v/>
      </c>
      <c r="P879" s="127" t="str">
        <f t="shared" si="193"/>
        <v/>
      </c>
      <c r="Q879" s="128" t="str">
        <f t="shared" si="194"/>
        <v/>
      </c>
      <c r="R879" s="129"/>
      <c r="S879" s="130"/>
      <c r="T879" s="131"/>
      <c r="U879" s="131"/>
      <c r="V879" s="132" t="str">
        <f t="shared" si="195"/>
        <v/>
      </c>
      <c r="W879" s="133" t="str">
        <f t="shared" si="196"/>
        <v/>
      </c>
      <c r="X879" s="130"/>
      <c r="Y879" s="131"/>
      <c r="Z879" s="131"/>
      <c r="AA879" s="132" t="str">
        <f t="shared" si="197"/>
        <v/>
      </c>
      <c r="AB879" s="133" t="str">
        <f t="shared" si="198"/>
        <v/>
      </c>
      <c r="AC879" s="134" t="str">
        <f t="shared" si="199"/>
        <v/>
      </c>
      <c r="AD879" s="135" t="str">
        <f t="shared" si="200"/>
        <v/>
      </c>
      <c r="AE879" s="136"/>
      <c r="AF879" s="137"/>
      <c r="AG879" s="137"/>
      <c r="AH879" s="138" t="str">
        <f t="shared" si="201"/>
        <v/>
      </c>
      <c r="AI879" s="133" t="str">
        <f t="shared" si="202"/>
        <v/>
      </c>
    </row>
    <row r="880" spans="1:35">
      <c r="A880" s="171" t="str">
        <f>IF('09월 조업일지'!A866="","",'09월 조업일지'!A866)</f>
        <v/>
      </c>
      <c r="B880" s="172" t="str">
        <f>'09월 조업일지'!E866</f>
        <v/>
      </c>
      <c r="C880" s="172" t="str">
        <f>'09월 조업일지'!F866</f>
        <v/>
      </c>
      <c r="D880" s="172" t="str">
        <f>'09월 화학성분'!C867</f>
        <v/>
      </c>
      <c r="E880" s="205" t="str">
        <f t="shared" si="203"/>
        <v/>
      </c>
      <c r="F880" s="121"/>
      <c r="G880" s="122"/>
      <c r="H880" s="123"/>
      <c r="I880" s="122"/>
      <c r="J880" s="123"/>
      <c r="K880" s="122"/>
      <c r="L880" s="124" t="str">
        <f t="shared" si="204"/>
        <v/>
      </c>
      <c r="M880" s="125" t="str">
        <f t="shared" si="204"/>
        <v/>
      </c>
      <c r="N880" s="126" t="str">
        <f t="shared" si="191"/>
        <v/>
      </c>
      <c r="O880" s="127" t="str">
        <f t="shared" si="192"/>
        <v/>
      </c>
      <c r="P880" s="127" t="str">
        <f t="shared" si="193"/>
        <v/>
      </c>
      <c r="Q880" s="128" t="str">
        <f t="shared" si="194"/>
        <v/>
      </c>
      <c r="R880" s="129"/>
      <c r="S880" s="130"/>
      <c r="T880" s="131"/>
      <c r="U880" s="131"/>
      <c r="V880" s="132" t="str">
        <f t="shared" si="195"/>
        <v/>
      </c>
      <c r="W880" s="133" t="str">
        <f t="shared" si="196"/>
        <v/>
      </c>
      <c r="X880" s="130"/>
      <c r="Y880" s="131"/>
      <c r="Z880" s="131"/>
      <c r="AA880" s="132" t="str">
        <f t="shared" si="197"/>
        <v/>
      </c>
      <c r="AB880" s="133" t="str">
        <f t="shared" si="198"/>
        <v/>
      </c>
      <c r="AC880" s="134" t="str">
        <f t="shared" si="199"/>
        <v/>
      </c>
      <c r="AD880" s="135" t="str">
        <f t="shared" si="200"/>
        <v/>
      </c>
      <c r="AE880" s="136"/>
      <c r="AF880" s="137"/>
      <c r="AG880" s="137"/>
      <c r="AH880" s="138" t="str">
        <f t="shared" si="201"/>
        <v/>
      </c>
      <c r="AI880" s="133" t="str">
        <f t="shared" si="202"/>
        <v/>
      </c>
    </row>
    <row r="881" spans="1:35">
      <c r="A881" s="171" t="str">
        <f>IF('09월 조업일지'!A867="","",'09월 조업일지'!A867)</f>
        <v/>
      </c>
      <c r="B881" s="172" t="str">
        <f>'09월 조업일지'!E867</f>
        <v/>
      </c>
      <c r="C881" s="172" t="str">
        <f>'09월 조업일지'!F867</f>
        <v/>
      </c>
      <c r="D881" s="172" t="str">
        <f>'09월 화학성분'!C868</f>
        <v/>
      </c>
      <c r="E881" s="205" t="str">
        <f t="shared" si="203"/>
        <v/>
      </c>
      <c r="F881" s="121"/>
      <c r="G881" s="122"/>
      <c r="H881" s="123"/>
      <c r="I881" s="122"/>
      <c r="J881" s="123"/>
      <c r="K881" s="122"/>
      <c r="L881" s="124" t="str">
        <f t="shared" si="204"/>
        <v/>
      </c>
      <c r="M881" s="125" t="str">
        <f t="shared" si="204"/>
        <v/>
      </c>
      <c r="N881" s="126" t="str">
        <f t="shared" si="191"/>
        <v/>
      </c>
      <c r="O881" s="127" t="str">
        <f t="shared" si="192"/>
        <v/>
      </c>
      <c r="P881" s="127" t="str">
        <f t="shared" si="193"/>
        <v/>
      </c>
      <c r="Q881" s="128" t="str">
        <f t="shared" si="194"/>
        <v/>
      </c>
      <c r="R881" s="129"/>
      <c r="S881" s="130"/>
      <c r="T881" s="131"/>
      <c r="U881" s="131"/>
      <c r="V881" s="132" t="str">
        <f t="shared" si="195"/>
        <v/>
      </c>
      <c r="W881" s="133" t="str">
        <f t="shared" si="196"/>
        <v/>
      </c>
      <c r="X881" s="130"/>
      <c r="Y881" s="131"/>
      <c r="Z881" s="131"/>
      <c r="AA881" s="132" t="str">
        <f t="shared" si="197"/>
        <v/>
      </c>
      <c r="AB881" s="133" t="str">
        <f t="shared" si="198"/>
        <v/>
      </c>
      <c r="AC881" s="134" t="str">
        <f t="shared" si="199"/>
        <v/>
      </c>
      <c r="AD881" s="135" t="str">
        <f t="shared" si="200"/>
        <v/>
      </c>
      <c r="AE881" s="136"/>
      <c r="AF881" s="137"/>
      <c r="AG881" s="137"/>
      <c r="AH881" s="138" t="str">
        <f t="shared" si="201"/>
        <v/>
      </c>
      <c r="AI881" s="133" t="str">
        <f t="shared" si="202"/>
        <v/>
      </c>
    </row>
    <row r="882" spans="1:35">
      <c r="A882" s="171" t="str">
        <f>IF('09월 조업일지'!A868="","",'09월 조업일지'!A868)</f>
        <v/>
      </c>
      <c r="B882" s="172" t="str">
        <f>'09월 조업일지'!E868</f>
        <v/>
      </c>
      <c r="C882" s="172" t="str">
        <f>'09월 조업일지'!F868</f>
        <v/>
      </c>
      <c r="D882" s="172" t="str">
        <f>'09월 화학성분'!C869</f>
        <v/>
      </c>
      <c r="E882" s="205" t="str">
        <f t="shared" si="203"/>
        <v/>
      </c>
      <c r="F882" s="121"/>
      <c r="G882" s="122"/>
      <c r="H882" s="123"/>
      <c r="I882" s="122"/>
      <c r="J882" s="123"/>
      <c r="K882" s="122"/>
      <c r="L882" s="124" t="str">
        <f t="shared" si="204"/>
        <v/>
      </c>
      <c r="M882" s="125" t="str">
        <f t="shared" si="204"/>
        <v/>
      </c>
      <c r="N882" s="126" t="str">
        <f t="shared" si="191"/>
        <v/>
      </c>
      <c r="O882" s="127" t="str">
        <f t="shared" si="192"/>
        <v/>
      </c>
      <c r="P882" s="127" t="str">
        <f t="shared" si="193"/>
        <v/>
      </c>
      <c r="Q882" s="128" t="str">
        <f t="shared" si="194"/>
        <v/>
      </c>
      <c r="R882" s="129"/>
      <c r="S882" s="130"/>
      <c r="T882" s="131"/>
      <c r="U882" s="131"/>
      <c r="V882" s="132" t="str">
        <f t="shared" si="195"/>
        <v/>
      </c>
      <c r="W882" s="133" t="str">
        <f t="shared" si="196"/>
        <v/>
      </c>
      <c r="X882" s="130"/>
      <c r="Y882" s="131"/>
      <c r="Z882" s="131"/>
      <c r="AA882" s="132" t="str">
        <f t="shared" si="197"/>
        <v/>
      </c>
      <c r="AB882" s="133" t="str">
        <f t="shared" si="198"/>
        <v/>
      </c>
      <c r="AC882" s="134" t="str">
        <f t="shared" si="199"/>
        <v/>
      </c>
      <c r="AD882" s="135" t="str">
        <f t="shared" si="200"/>
        <v/>
      </c>
      <c r="AE882" s="136"/>
      <c r="AF882" s="137"/>
      <c r="AG882" s="137"/>
      <c r="AH882" s="138" t="str">
        <f t="shared" si="201"/>
        <v/>
      </c>
      <c r="AI882" s="133" t="str">
        <f t="shared" si="202"/>
        <v/>
      </c>
    </row>
    <row r="883" spans="1:35">
      <c r="A883" s="171" t="str">
        <f>IF('09월 조업일지'!A869="","",'09월 조업일지'!A869)</f>
        <v/>
      </c>
      <c r="B883" s="172" t="str">
        <f>'09월 조업일지'!E869</f>
        <v/>
      </c>
      <c r="C883" s="172" t="str">
        <f>'09월 조업일지'!F869</f>
        <v/>
      </c>
      <c r="D883" s="172" t="str">
        <f>'09월 화학성분'!C870</f>
        <v/>
      </c>
      <c r="E883" s="205" t="str">
        <f t="shared" si="203"/>
        <v/>
      </c>
      <c r="F883" s="121"/>
      <c r="G883" s="122"/>
      <c r="H883" s="123"/>
      <c r="I883" s="122"/>
      <c r="J883" s="123"/>
      <c r="K883" s="122"/>
      <c r="L883" s="124" t="str">
        <f t="shared" si="204"/>
        <v/>
      </c>
      <c r="M883" s="125" t="str">
        <f t="shared" si="204"/>
        <v/>
      </c>
      <c r="N883" s="126" t="str">
        <f t="shared" si="191"/>
        <v/>
      </c>
      <c r="O883" s="127" t="str">
        <f t="shared" si="192"/>
        <v/>
      </c>
      <c r="P883" s="127" t="str">
        <f t="shared" si="193"/>
        <v/>
      </c>
      <c r="Q883" s="128" t="str">
        <f t="shared" si="194"/>
        <v/>
      </c>
      <c r="R883" s="129"/>
      <c r="S883" s="130"/>
      <c r="T883" s="131"/>
      <c r="U883" s="131"/>
      <c r="V883" s="132" t="str">
        <f t="shared" si="195"/>
        <v/>
      </c>
      <c r="W883" s="133" t="str">
        <f t="shared" si="196"/>
        <v/>
      </c>
      <c r="X883" s="130"/>
      <c r="Y883" s="131"/>
      <c r="Z883" s="131"/>
      <c r="AA883" s="132" t="str">
        <f t="shared" si="197"/>
        <v/>
      </c>
      <c r="AB883" s="133" t="str">
        <f t="shared" si="198"/>
        <v/>
      </c>
      <c r="AC883" s="134" t="str">
        <f t="shared" si="199"/>
        <v/>
      </c>
      <c r="AD883" s="135" t="str">
        <f t="shared" si="200"/>
        <v/>
      </c>
      <c r="AE883" s="136"/>
      <c r="AF883" s="137"/>
      <c r="AG883" s="137"/>
      <c r="AH883" s="138" t="str">
        <f t="shared" si="201"/>
        <v/>
      </c>
      <c r="AI883" s="133" t="str">
        <f t="shared" si="202"/>
        <v/>
      </c>
    </row>
    <row r="884" spans="1:35">
      <c r="A884" s="171" t="str">
        <f>IF('09월 조업일지'!A870="","",'09월 조업일지'!A870)</f>
        <v/>
      </c>
      <c r="B884" s="172" t="str">
        <f>'09월 조업일지'!E870</f>
        <v/>
      </c>
      <c r="C884" s="172" t="str">
        <f>'09월 조업일지'!F870</f>
        <v/>
      </c>
      <c r="D884" s="172" t="str">
        <f>'09월 화학성분'!C871</f>
        <v/>
      </c>
      <c r="E884" s="205" t="str">
        <f t="shared" si="203"/>
        <v/>
      </c>
      <c r="F884" s="121"/>
      <c r="G884" s="122"/>
      <c r="H884" s="123"/>
      <c r="I884" s="122"/>
      <c r="J884" s="123"/>
      <c r="K884" s="122"/>
      <c r="L884" s="124" t="str">
        <f t="shared" si="204"/>
        <v/>
      </c>
      <c r="M884" s="125" t="str">
        <f t="shared" si="204"/>
        <v/>
      </c>
      <c r="N884" s="126" t="str">
        <f t="shared" si="191"/>
        <v/>
      </c>
      <c r="O884" s="127" t="str">
        <f t="shared" si="192"/>
        <v/>
      </c>
      <c r="P884" s="127" t="str">
        <f t="shared" si="193"/>
        <v/>
      </c>
      <c r="Q884" s="128" t="str">
        <f t="shared" si="194"/>
        <v/>
      </c>
      <c r="R884" s="129"/>
      <c r="S884" s="130"/>
      <c r="T884" s="131"/>
      <c r="U884" s="131"/>
      <c r="V884" s="132" t="str">
        <f t="shared" si="195"/>
        <v/>
      </c>
      <c r="W884" s="133" t="str">
        <f t="shared" si="196"/>
        <v/>
      </c>
      <c r="X884" s="130"/>
      <c r="Y884" s="131"/>
      <c r="Z884" s="131"/>
      <c r="AA884" s="132" t="str">
        <f t="shared" si="197"/>
        <v/>
      </c>
      <c r="AB884" s="133" t="str">
        <f t="shared" si="198"/>
        <v/>
      </c>
      <c r="AC884" s="134" t="str">
        <f t="shared" si="199"/>
        <v/>
      </c>
      <c r="AD884" s="135" t="str">
        <f t="shared" si="200"/>
        <v/>
      </c>
      <c r="AE884" s="136"/>
      <c r="AF884" s="137"/>
      <c r="AG884" s="137"/>
      <c r="AH884" s="138" t="str">
        <f t="shared" si="201"/>
        <v/>
      </c>
      <c r="AI884" s="133" t="str">
        <f t="shared" si="202"/>
        <v/>
      </c>
    </row>
    <row r="885" spans="1:35">
      <c r="A885" s="171" t="str">
        <f>IF('09월 조업일지'!A871="","",'09월 조업일지'!A871)</f>
        <v/>
      </c>
      <c r="B885" s="172" t="str">
        <f>'09월 조업일지'!E871</f>
        <v/>
      </c>
      <c r="C885" s="172" t="str">
        <f>'09월 조업일지'!F871</f>
        <v/>
      </c>
      <c r="D885" s="172" t="str">
        <f>'09월 화학성분'!C872</f>
        <v/>
      </c>
      <c r="E885" s="205" t="str">
        <f t="shared" si="203"/>
        <v/>
      </c>
      <c r="F885" s="121"/>
      <c r="G885" s="122"/>
      <c r="H885" s="123"/>
      <c r="I885" s="122"/>
      <c r="J885" s="123"/>
      <c r="K885" s="122"/>
      <c r="L885" s="124" t="str">
        <f t="shared" si="204"/>
        <v/>
      </c>
      <c r="M885" s="125" t="str">
        <f t="shared" si="204"/>
        <v/>
      </c>
      <c r="N885" s="126" t="str">
        <f t="shared" si="191"/>
        <v/>
      </c>
      <c r="O885" s="127" t="str">
        <f t="shared" si="192"/>
        <v/>
      </c>
      <c r="P885" s="127" t="str">
        <f t="shared" si="193"/>
        <v/>
      </c>
      <c r="Q885" s="128" t="str">
        <f t="shared" si="194"/>
        <v/>
      </c>
      <c r="R885" s="129"/>
      <c r="S885" s="130"/>
      <c r="T885" s="131"/>
      <c r="U885" s="131"/>
      <c r="V885" s="132" t="str">
        <f t="shared" si="195"/>
        <v/>
      </c>
      <c r="W885" s="133" t="str">
        <f t="shared" si="196"/>
        <v/>
      </c>
      <c r="X885" s="130"/>
      <c r="Y885" s="131"/>
      <c r="Z885" s="131"/>
      <c r="AA885" s="132" t="str">
        <f t="shared" si="197"/>
        <v/>
      </c>
      <c r="AB885" s="133" t="str">
        <f t="shared" si="198"/>
        <v/>
      </c>
      <c r="AC885" s="134" t="str">
        <f t="shared" si="199"/>
        <v/>
      </c>
      <c r="AD885" s="135" t="str">
        <f t="shared" si="200"/>
        <v/>
      </c>
      <c r="AE885" s="136"/>
      <c r="AF885" s="137"/>
      <c r="AG885" s="137"/>
      <c r="AH885" s="138" t="str">
        <f t="shared" si="201"/>
        <v/>
      </c>
      <c r="AI885" s="133" t="str">
        <f t="shared" si="202"/>
        <v/>
      </c>
    </row>
    <row r="886" spans="1:35">
      <c r="A886" s="171" t="str">
        <f>IF('09월 조업일지'!A872="","",'09월 조업일지'!A872)</f>
        <v/>
      </c>
      <c r="B886" s="172" t="str">
        <f>'09월 조업일지'!E872</f>
        <v/>
      </c>
      <c r="C886" s="172" t="str">
        <f>'09월 조업일지'!F872</f>
        <v/>
      </c>
      <c r="D886" s="172" t="str">
        <f>'09월 화학성분'!C873</f>
        <v/>
      </c>
      <c r="E886" s="205" t="str">
        <f t="shared" si="203"/>
        <v/>
      </c>
      <c r="F886" s="121"/>
      <c r="G886" s="122"/>
      <c r="H886" s="123"/>
      <c r="I886" s="122"/>
      <c r="J886" s="123"/>
      <c r="K886" s="122"/>
      <c r="L886" s="124" t="str">
        <f t="shared" si="204"/>
        <v/>
      </c>
      <c r="M886" s="125" t="str">
        <f t="shared" si="204"/>
        <v/>
      </c>
      <c r="N886" s="126" t="str">
        <f t="shared" si="191"/>
        <v/>
      </c>
      <c r="O886" s="127" t="str">
        <f t="shared" si="192"/>
        <v/>
      </c>
      <c r="P886" s="127" t="str">
        <f t="shared" si="193"/>
        <v/>
      </c>
      <c r="Q886" s="128" t="str">
        <f t="shared" si="194"/>
        <v/>
      </c>
      <c r="R886" s="129"/>
      <c r="S886" s="130"/>
      <c r="T886" s="131"/>
      <c r="U886" s="131"/>
      <c r="V886" s="132" t="str">
        <f t="shared" si="195"/>
        <v/>
      </c>
      <c r="W886" s="133" t="str">
        <f t="shared" si="196"/>
        <v/>
      </c>
      <c r="X886" s="130"/>
      <c r="Y886" s="131"/>
      <c r="Z886" s="131"/>
      <c r="AA886" s="132" t="str">
        <f t="shared" si="197"/>
        <v/>
      </c>
      <c r="AB886" s="133" t="str">
        <f t="shared" si="198"/>
        <v/>
      </c>
      <c r="AC886" s="134" t="str">
        <f t="shared" si="199"/>
        <v/>
      </c>
      <c r="AD886" s="135" t="str">
        <f t="shared" si="200"/>
        <v/>
      </c>
      <c r="AE886" s="136"/>
      <c r="AF886" s="137"/>
      <c r="AG886" s="137"/>
      <c r="AH886" s="138" t="str">
        <f t="shared" si="201"/>
        <v/>
      </c>
      <c r="AI886" s="133" t="str">
        <f t="shared" si="202"/>
        <v/>
      </c>
    </row>
    <row r="887" spans="1:35">
      <c r="A887" s="171" t="str">
        <f>IF('09월 조업일지'!A873="","",'09월 조업일지'!A873)</f>
        <v/>
      </c>
      <c r="B887" s="172" t="str">
        <f>'09월 조업일지'!E873</f>
        <v/>
      </c>
      <c r="C887" s="172" t="str">
        <f>'09월 조업일지'!F873</f>
        <v/>
      </c>
      <c r="D887" s="172" t="str">
        <f>'09월 화학성분'!C874</f>
        <v/>
      </c>
      <c r="E887" s="205" t="str">
        <f t="shared" si="203"/>
        <v/>
      </c>
      <c r="F887" s="121"/>
      <c r="G887" s="122"/>
      <c r="H887" s="123"/>
      <c r="I887" s="122"/>
      <c r="J887" s="123"/>
      <c r="K887" s="122"/>
      <c r="L887" s="124" t="str">
        <f t="shared" si="204"/>
        <v/>
      </c>
      <c r="M887" s="125" t="str">
        <f t="shared" si="204"/>
        <v/>
      </c>
      <c r="N887" s="126" t="str">
        <f t="shared" si="191"/>
        <v/>
      </c>
      <c r="O887" s="127" t="str">
        <f t="shared" si="192"/>
        <v/>
      </c>
      <c r="P887" s="127" t="str">
        <f t="shared" si="193"/>
        <v/>
      </c>
      <c r="Q887" s="128" t="str">
        <f t="shared" si="194"/>
        <v/>
      </c>
      <c r="R887" s="129"/>
      <c r="S887" s="130"/>
      <c r="T887" s="131"/>
      <c r="U887" s="131"/>
      <c r="V887" s="132" t="str">
        <f t="shared" si="195"/>
        <v/>
      </c>
      <c r="W887" s="133" t="str">
        <f t="shared" si="196"/>
        <v/>
      </c>
      <c r="X887" s="130"/>
      <c r="Y887" s="131"/>
      <c r="Z887" s="131"/>
      <c r="AA887" s="132" t="str">
        <f t="shared" si="197"/>
        <v/>
      </c>
      <c r="AB887" s="133" t="str">
        <f t="shared" si="198"/>
        <v/>
      </c>
      <c r="AC887" s="134" t="str">
        <f t="shared" si="199"/>
        <v/>
      </c>
      <c r="AD887" s="135" t="str">
        <f t="shared" si="200"/>
        <v/>
      </c>
      <c r="AE887" s="136"/>
      <c r="AF887" s="137"/>
      <c r="AG887" s="137"/>
      <c r="AH887" s="138" t="str">
        <f t="shared" si="201"/>
        <v/>
      </c>
      <c r="AI887" s="133" t="str">
        <f t="shared" si="202"/>
        <v/>
      </c>
    </row>
    <row r="888" spans="1:35">
      <c r="A888" s="171" t="str">
        <f>IF('09월 조업일지'!A874="","",'09월 조업일지'!A874)</f>
        <v/>
      </c>
      <c r="B888" s="172" t="str">
        <f>'09월 조업일지'!E874</f>
        <v/>
      </c>
      <c r="C888" s="172" t="str">
        <f>'09월 조업일지'!F874</f>
        <v/>
      </c>
      <c r="D888" s="172" t="str">
        <f>'09월 화학성분'!C875</f>
        <v/>
      </c>
      <c r="E888" s="205" t="str">
        <f t="shared" si="203"/>
        <v/>
      </c>
      <c r="F888" s="121"/>
      <c r="G888" s="122"/>
      <c r="H888" s="123"/>
      <c r="I888" s="122"/>
      <c r="J888" s="123"/>
      <c r="K888" s="122"/>
      <c r="L888" s="124" t="str">
        <f t="shared" si="204"/>
        <v/>
      </c>
      <c r="M888" s="125" t="str">
        <f t="shared" si="204"/>
        <v/>
      </c>
      <c r="N888" s="126" t="str">
        <f t="shared" si="191"/>
        <v/>
      </c>
      <c r="O888" s="127" t="str">
        <f t="shared" si="192"/>
        <v/>
      </c>
      <c r="P888" s="127" t="str">
        <f t="shared" si="193"/>
        <v/>
      </c>
      <c r="Q888" s="128" t="str">
        <f t="shared" si="194"/>
        <v/>
      </c>
      <c r="R888" s="129"/>
      <c r="S888" s="130"/>
      <c r="T888" s="131"/>
      <c r="U888" s="131"/>
      <c r="V888" s="132" t="str">
        <f t="shared" si="195"/>
        <v/>
      </c>
      <c r="W888" s="133" t="str">
        <f t="shared" si="196"/>
        <v/>
      </c>
      <c r="X888" s="130"/>
      <c r="Y888" s="131"/>
      <c r="Z888" s="131"/>
      <c r="AA888" s="132" t="str">
        <f t="shared" si="197"/>
        <v/>
      </c>
      <c r="AB888" s="133" t="str">
        <f t="shared" si="198"/>
        <v/>
      </c>
      <c r="AC888" s="134" t="str">
        <f t="shared" si="199"/>
        <v/>
      </c>
      <c r="AD888" s="135" t="str">
        <f t="shared" si="200"/>
        <v/>
      </c>
      <c r="AE888" s="136"/>
      <c r="AF888" s="137"/>
      <c r="AG888" s="137"/>
      <c r="AH888" s="138" t="str">
        <f t="shared" si="201"/>
        <v/>
      </c>
      <c r="AI888" s="133" t="str">
        <f t="shared" si="202"/>
        <v/>
      </c>
    </row>
    <row r="889" spans="1:35">
      <c r="A889" s="171" t="str">
        <f>IF('09월 조업일지'!A875="","",'09월 조업일지'!A875)</f>
        <v/>
      </c>
      <c r="B889" s="172" t="str">
        <f>'09월 조업일지'!E875</f>
        <v/>
      </c>
      <c r="C889" s="172" t="str">
        <f>'09월 조업일지'!F875</f>
        <v/>
      </c>
      <c r="D889" s="172" t="str">
        <f>'09월 화학성분'!C876</f>
        <v/>
      </c>
      <c r="E889" s="205" t="str">
        <f t="shared" si="203"/>
        <v/>
      </c>
      <c r="F889" s="121"/>
      <c r="G889" s="122"/>
      <c r="H889" s="123"/>
      <c r="I889" s="122"/>
      <c r="J889" s="123"/>
      <c r="K889" s="122"/>
      <c r="L889" s="124" t="str">
        <f t="shared" si="204"/>
        <v/>
      </c>
      <c r="M889" s="125" t="str">
        <f t="shared" si="204"/>
        <v/>
      </c>
      <c r="N889" s="126" t="str">
        <f t="shared" si="191"/>
        <v/>
      </c>
      <c r="O889" s="127" t="str">
        <f t="shared" si="192"/>
        <v/>
      </c>
      <c r="P889" s="127" t="str">
        <f t="shared" si="193"/>
        <v/>
      </c>
      <c r="Q889" s="128" t="str">
        <f t="shared" si="194"/>
        <v/>
      </c>
      <c r="R889" s="129"/>
      <c r="S889" s="130"/>
      <c r="T889" s="131"/>
      <c r="U889" s="131"/>
      <c r="V889" s="132" t="str">
        <f t="shared" si="195"/>
        <v/>
      </c>
      <c r="W889" s="133" t="str">
        <f t="shared" si="196"/>
        <v/>
      </c>
      <c r="X889" s="130"/>
      <c r="Y889" s="131"/>
      <c r="Z889" s="131"/>
      <c r="AA889" s="132" t="str">
        <f t="shared" si="197"/>
        <v/>
      </c>
      <c r="AB889" s="133" t="str">
        <f t="shared" si="198"/>
        <v/>
      </c>
      <c r="AC889" s="134" t="str">
        <f t="shared" si="199"/>
        <v/>
      </c>
      <c r="AD889" s="135" t="str">
        <f t="shared" si="200"/>
        <v/>
      </c>
      <c r="AE889" s="136"/>
      <c r="AF889" s="137"/>
      <c r="AG889" s="137"/>
      <c r="AH889" s="138" t="str">
        <f t="shared" si="201"/>
        <v/>
      </c>
      <c r="AI889" s="133" t="str">
        <f t="shared" si="202"/>
        <v/>
      </c>
    </row>
    <row r="890" spans="1:35">
      <c r="A890" s="171" t="str">
        <f>IF('09월 조업일지'!A876="","",'09월 조업일지'!A876)</f>
        <v/>
      </c>
      <c r="B890" s="172" t="str">
        <f>'09월 조업일지'!E876</f>
        <v/>
      </c>
      <c r="C890" s="172" t="str">
        <f>'09월 조업일지'!F876</f>
        <v/>
      </c>
      <c r="D890" s="172" t="str">
        <f>'09월 화학성분'!C877</f>
        <v/>
      </c>
      <c r="E890" s="205" t="str">
        <f t="shared" si="203"/>
        <v/>
      </c>
      <c r="F890" s="121"/>
      <c r="G890" s="122"/>
      <c r="H890" s="123"/>
      <c r="I890" s="122"/>
      <c r="J890" s="123"/>
      <c r="K890" s="122"/>
      <c r="L890" s="124" t="str">
        <f t="shared" si="204"/>
        <v/>
      </c>
      <c r="M890" s="125" t="str">
        <f t="shared" si="204"/>
        <v/>
      </c>
      <c r="N890" s="126" t="str">
        <f t="shared" si="191"/>
        <v/>
      </c>
      <c r="O890" s="127" t="str">
        <f t="shared" si="192"/>
        <v/>
      </c>
      <c r="P890" s="127" t="str">
        <f t="shared" si="193"/>
        <v/>
      </c>
      <c r="Q890" s="128" t="str">
        <f t="shared" si="194"/>
        <v/>
      </c>
      <c r="R890" s="129"/>
      <c r="S890" s="130"/>
      <c r="T890" s="131"/>
      <c r="U890" s="131"/>
      <c r="V890" s="132" t="str">
        <f t="shared" si="195"/>
        <v/>
      </c>
      <c r="W890" s="133" t="str">
        <f t="shared" si="196"/>
        <v/>
      </c>
      <c r="X890" s="130"/>
      <c r="Y890" s="131"/>
      <c r="Z890" s="131"/>
      <c r="AA890" s="132" t="str">
        <f t="shared" si="197"/>
        <v/>
      </c>
      <c r="AB890" s="133" t="str">
        <f t="shared" si="198"/>
        <v/>
      </c>
      <c r="AC890" s="134" t="str">
        <f t="shared" si="199"/>
        <v/>
      </c>
      <c r="AD890" s="135" t="str">
        <f t="shared" si="200"/>
        <v/>
      </c>
      <c r="AE890" s="136"/>
      <c r="AF890" s="137"/>
      <c r="AG890" s="137"/>
      <c r="AH890" s="138" t="str">
        <f t="shared" si="201"/>
        <v/>
      </c>
      <c r="AI890" s="133" t="str">
        <f t="shared" si="202"/>
        <v/>
      </c>
    </row>
    <row r="891" spans="1:35">
      <c r="A891" s="171" t="str">
        <f>IF('09월 조업일지'!A877="","",'09월 조업일지'!A877)</f>
        <v/>
      </c>
      <c r="B891" s="172" t="str">
        <f>'09월 조업일지'!E877</f>
        <v/>
      </c>
      <c r="C891" s="172" t="str">
        <f>'09월 조업일지'!F877</f>
        <v/>
      </c>
      <c r="D891" s="172" t="str">
        <f>'09월 화학성분'!C878</f>
        <v/>
      </c>
      <c r="E891" s="205" t="str">
        <f t="shared" si="203"/>
        <v/>
      </c>
      <c r="F891" s="121"/>
      <c r="G891" s="122"/>
      <c r="H891" s="123"/>
      <c r="I891" s="122"/>
      <c r="J891" s="123"/>
      <c r="K891" s="122"/>
      <c r="L891" s="124" t="str">
        <f t="shared" si="204"/>
        <v/>
      </c>
      <c r="M891" s="125" t="str">
        <f t="shared" si="204"/>
        <v/>
      </c>
      <c r="N891" s="126" t="str">
        <f t="shared" si="191"/>
        <v/>
      </c>
      <c r="O891" s="127" t="str">
        <f t="shared" si="192"/>
        <v/>
      </c>
      <c r="P891" s="127" t="str">
        <f t="shared" si="193"/>
        <v/>
      </c>
      <c r="Q891" s="128" t="str">
        <f t="shared" si="194"/>
        <v/>
      </c>
      <c r="R891" s="129"/>
      <c r="S891" s="130"/>
      <c r="T891" s="131"/>
      <c r="U891" s="131"/>
      <c r="V891" s="132" t="str">
        <f t="shared" si="195"/>
        <v/>
      </c>
      <c r="W891" s="133" t="str">
        <f t="shared" si="196"/>
        <v/>
      </c>
      <c r="X891" s="130"/>
      <c r="Y891" s="131"/>
      <c r="Z891" s="131"/>
      <c r="AA891" s="132" t="str">
        <f t="shared" si="197"/>
        <v/>
      </c>
      <c r="AB891" s="133" t="str">
        <f t="shared" si="198"/>
        <v/>
      </c>
      <c r="AC891" s="134" t="str">
        <f t="shared" si="199"/>
        <v/>
      </c>
      <c r="AD891" s="135" t="str">
        <f t="shared" si="200"/>
        <v/>
      </c>
      <c r="AE891" s="136"/>
      <c r="AF891" s="137"/>
      <c r="AG891" s="137"/>
      <c r="AH891" s="138" t="str">
        <f t="shared" si="201"/>
        <v/>
      </c>
      <c r="AI891" s="133" t="str">
        <f t="shared" si="202"/>
        <v/>
      </c>
    </row>
    <row r="892" spans="1:35">
      <c r="A892" s="171" t="str">
        <f>IF('09월 조업일지'!A878="","",'09월 조업일지'!A878)</f>
        <v/>
      </c>
      <c r="B892" s="172" t="str">
        <f>'09월 조업일지'!E878</f>
        <v/>
      </c>
      <c r="C892" s="172" t="str">
        <f>'09월 조업일지'!F878</f>
        <v/>
      </c>
      <c r="D892" s="172" t="str">
        <f>'09월 화학성분'!C879</f>
        <v/>
      </c>
      <c r="E892" s="205" t="str">
        <f t="shared" si="203"/>
        <v/>
      </c>
      <c r="F892" s="121"/>
      <c r="G892" s="122"/>
      <c r="H892" s="123"/>
      <c r="I892" s="122"/>
      <c r="J892" s="123"/>
      <c r="K892" s="122"/>
      <c r="L892" s="124" t="str">
        <f t="shared" si="204"/>
        <v/>
      </c>
      <c r="M892" s="125" t="str">
        <f t="shared" si="204"/>
        <v/>
      </c>
      <c r="N892" s="126" t="str">
        <f t="shared" si="191"/>
        <v/>
      </c>
      <c r="O892" s="127" t="str">
        <f t="shared" si="192"/>
        <v/>
      </c>
      <c r="P892" s="127" t="str">
        <f t="shared" si="193"/>
        <v/>
      </c>
      <c r="Q892" s="128" t="str">
        <f t="shared" si="194"/>
        <v/>
      </c>
      <c r="R892" s="129"/>
      <c r="S892" s="130"/>
      <c r="T892" s="131"/>
      <c r="U892" s="131"/>
      <c r="V892" s="132" t="str">
        <f t="shared" si="195"/>
        <v/>
      </c>
      <c r="W892" s="133" t="str">
        <f t="shared" si="196"/>
        <v/>
      </c>
      <c r="X892" s="130"/>
      <c r="Y892" s="131"/>
      <c r="Z892" s="131"/>
      <c r="AA892" s="132" t="str">
        <f t="shared" si="197"/>
        <v/>
      </c>
      <c r="AB892" s="133" t="str">
        <f t="shared" si="198"/>
        <v/>
      </c>
      <c r="AC892" s="134" t="str">
        <f t="shared" si="199"/>
        <v/>
      </c>
      <c r="AD892" s="135" t="str">
        <f t="shared" si="200"/>
        <v/>
      </c>
      <c r="AE892" s="136"/>
      <c r="AF892" s="137"/>
      <c r="AG892" s="137"/>
      <c r="AH892" s="138" t="str">
        <f t="shared" si="201"/>
        <v/>
      </c>
      <c r="AI892" s="133" t="str">
        <f t="shared" si="202"/>
        <v/>
      </c>
    </row>
    <row r="893" spans="1:35">
      <c r="A893" s="171" t="str">
        <f>IF('09월 조업일지'!A879="","",'09월 조업일지'!A879)</f>
        <v/>
      </c>
      <c r="B893" s="172" t="str">
        <f>'09월 조업일지'!E879</f>
        <v/>
      </c>
      <c r="C893" s="172" t="str">
        <f>'09월 조업일지'!F879</f>
        <v/>
      </c>
      <c r="D893" s="172" t="str">
        <f>'09월 화학성분'!C880</f>
        <v/>
      </c>
      <c r="E893" s="205" t="str">
        <f t="shared" si="203"/>
        <v/>
      </c>
      <c r="F893" s="121"/>
      <c r="G893" s="122"/>
      <c r="H893" s="123"/>
      <c r="I893" s="122"/>
      <c r="J893" s="123"/>
      <c r="K893" s="122"/>
      <c r="L893" s="124" t="str">
        <f t="shared" si="204"/>
        <v/>
      </c>
      <c r="M893" s="125" t="str">
        <f t="shared" si="204"/>
        <v/>
      </c>
      <c r="N893" s="126" t="str">
        <f t="shared" si="191"/>
        <v/>
      </c>
      <c r="O893" s="127" t="str">
        <f t="shared" si="192"/>
        <v/>
      </c>
      <c r="P893" s="127" t="str">
        <f t="shared" si="193"/>
        <v/>
      </c>
      <c r="Q893" s="128" t="str">
        <f t="shared" si="194"/>
        <v/>
      </c>
      <c r="R893" s="129"/>
      <c r="S893" s="130"/>
      <c r="T893" s="131"/>
      <c r="U893" s="131"/>
      <c r="V893" s="132" t="str">
        <f t="shared" si="195"/>
        <v/>
      </c>
      <c r="W893" s="133" t="str">
        <f t="shared" si="196"/>
        <v/>
      </c>
      <c r="X893" s="130"/>
      <c r="Y893" s="131"/>
      <c r="Z893" s="131"/>
      <c r="AA893" s="132" t="str">
        <f t="shared" si="197"/>
        <v/>
      </c>
      <c r="AB893" s="133" t="str">
        <f t="shared" si="198"/>
        <v/>
      </c>
      <c r="AC893" s="134" t="str">
        <f t="shared" si="199"/>
        <v/>
      </c>
      <c r="AD893" s="135" t="str">
        <f t="shared" si="200"/>
        <v/>
      </c>
      <c r="AE893" s="136"/>
      <c r="AF893" s="137"/>
      <c r="AG893" s="137"/>
      <c r="AH893" s="138" t="str">
        <f t="shared" si="201"/>
        <v/>
      </c>
      <c r="AI893" s="133" t="str">
        <f t="shared" si="202"/>
        <v/>
      </c>
    </row>
    <row r="894" spans="1:35">
      <c r="A894" s="171" t="str">
        <f>IF('09월 조업일지'!A880="","",'09월 조업일지'!A880)</f>
        <v/>
      </c>
      <c r="B894" s="172" t="str">
        <f>'09월 조업일지'!E880</f>
        <v/>
      </c>
      <c r="C894" s="172" t="str">
        <f>'09월 조업일지'!F880</f>
        <v/>
      </c>
      <c r="D894" s="172" t="str">
        <f>'09월 화학성분'!C881</f>
        <v/>
      </c>
      <c r="E894" s="205" t="str">
        <f t="shared" si="203"/>
        <v/>
      </c>
      <c r="F894" s="121"/>
      <c r="G894" s="122"/>
      <c r="H894" s="123"/>
      <c r="I894" s="122"/>
      <c r="J894" s="123"/>
      <c r="K894" s="122"/>
      <c r="L894" s="124" t="str">
        <f t="shared" si="204"/>
        <v/>
      </c>
      <c r="M894" s="125" t="str">
        <f t="shared" si="204"/>
        <v/>
      </c>
      <c r="N894" s="126" t="str">
        <f t="shared" si="191"/>
        <v/>
      </c>
      <c r="O894" s="127" t="str">
        <f t="shared" si="192"/>
        <v/>
      </c>
      <c r="P894" s="127" t="str">
        <f t="shared" si="193"/>
        <v/>
      </c>
      <c r="Q894" s="128" t="str">
        <f t="shared" si="194"/>
        <v/>
      </c>
      <c r="R894" s="129"/>
      <c r="S894" s="130"/>
      <c r="T894" s="131"/>
      <c r="U894" s="131"/>
      <c r="V894" s="132" t="str">
        <f t="shared" si="195"/>
        <v/>
      </c>
      <c r="W894" s="133" t="str">
        <f t="shared" si="196"/>
        <v/>
      </c>
      <c r="X894" s="130"/>
      <c r="Y894" s="131"/>
      <c r="Z894" s="131"/>
      <c r="AA894" s="132" t="str">
        <f t="shared" si="197"/>
        <v/>
      </c>
      <c r="AB894" s="133" t="str">
        <f t="shared" si="198"/>
        <v/>
      </c>
      <c r="AC894" s="134" t="str">
        <f t="shared" si="199"/>
        <v/>
      </c>
      <c r="AD894" s="135" t="str">
        <f t="shared" si="200"/>
        <v/>
      </c>
      <c r="AE894" s="136"/>
      <c r="AF894" s="137"/>
      <c r="AG894" s="137"/>
      <c r="AH894" s="138" t="str">
        <f t="shared" si="201"/>
        <v/>
      </c>
      <c r="AI894" s="133" t="str">
        <f t="shared" si="202"/>
        <v/>
      </c>
    </row>
    <row r="895" spans="1:35">
      <c r="A895" s="171" t="str">
        <f>IF('09월 조업일지'!A881="","",'09월 조업일지'!A881)</f>
        <v/>
      </c>
      <c r="B895" s="172" t="str">
        <f>'09월 조업일지'!E881</f>
        <v/>
      </c>
      <c r="C895" s="172" t="str">
        <f>'09월 조업일지'!F881</f>
        <v/>
      </c>
      <c r="D895" s="172" t="str">
        <f>'09월 화학성분'!C882</f>
        <v/>
      </c>
      <c r="E895" s="205" t="str">
        <f t="shared" si="203"/>
        <v/>
      </c>
      <c r="F895" s="121"/>
      <c r="G895" s="122"/>
      <c r="H895" s="123"/>
      <c r="I895" s="122"/>
      <c r="J895" s="123"/>
      <c r="K895" s="122"/>
      <c r="L895" s="124" t="str">
        <f t="shared" si="204"/>
        <v/>
      </c>
      <c r="M895" s="125" t="str">
        <f t="shared" si="204"/>
        <v/>
      </c>
      <c r="N895" s="126" t="str">
        <f t="shared" si="191"/>
        <v/>
      </c>
      <c r="O895" s="127" t="str">
        <f t="shared" si="192"/>
        <v/>
      </c>
      <c r="P895" s="127" t="str">
        <f t="shared" si="193"/>
        <v/>
      </c>
      <c r="Q895" s="128" t="str">
        <f t="shared" si="194"/>
        <v/>
      </c>
      <c r="R895" s="129"/>
      <c r="S895" s="130"/>
      <c r="T895" s="131"/>
      <c r="U895" s="131"/>
      <c r="V895" s="132" t="str">
        <f t="shared" si="195"/>
        <v/>
      </c>
      <c r="W895" s="133" t="str">
        <f t="shared" si="196"/>
        <v/>
      </c>
      <c r="X895" s="130"/>
      <c r="Y895" s="131"/>
      <c r="Z895" s="131"/>
      <c r="AA895" s="132" t="str">
        <f t="shared" si="197"/>
        <v/>
      </c>
      <c r="AB895" s="133" t="str">
        <f t="shared" si="198"/>
        <v/>
      </c>
      <c r="AC895" s="134" t="str">
        <f t="shared" si="199"/>
        <v/>
      </c>
      <c r="AD895" s="135" t="str">
        <f t="shared" si="200"/>
        <v/>
      </c>
      <c r="AE895" s="136"/>
      <c r="AF895" s="137"/>
      <c r="AG895" s="137"/>
      <c r="AH895" s="138" t="str">
        <f t="shared" si="201"/>
        <v/>
      </c>
      <c r="AI895" s="133" t="str">
        <f t="shared" si="202"/>
        <v/>
      </c>
    </row>
    <row r="896" spans="1:35">
      <c r="A896" s="171" t="str">
        <f>IF('09월 조업일지'!A882="","",'09월 조업일지'!A882)</f>
        <v/>
      </c>
      <c r="B896" s="172" t="str">
        <f>'09월 조업일지'!E882</f>
        <v/>
      </c>
      <c r="C896" s="172" t="str">
        <f>'09월 조업일지'!F882</f>
        <v/>
      </c>
      <c r="D896" s="172" t="str">
        <f>'09월 화학성분'!C883</f>
        <v/>
      </c>
      <c r="E896" s="205" t="str">
        <f t="shared" si="203"/>
        <v/>
      </c>
      <c r="F896" s="121"/>
      <c r="G896" s="122"/>
      <c r="H896" s="123"/>
      <c r="I896" s="122"/>
      <c r="J896" s="123"/>
      <c r="K896" s="122"/>
      <c r="L896" s="124" t="str">
        <f t="shared" si="204"/>
        <v/>
      </c>
      <c r="M896" s="125" t="str">
        <f t="shared" si="204"/>
        <v/>
      </c>
      <c r="N896" s="126" t="str">
        <f t="shared" si="191"/>
        <v/>
      </c>
      <c r="O896" s="127" t="str">
        <f t="shared" si="192"/>
        <v/>
      </c>
      <c r="P896" s="127" t="str">
        <f t="shared" si="193"/>
        <v/>
      </c>
      <c r="Q896" s="128" t="str">
        <f t="shared" si="194"/>
        <v/>
      </c>
      <c r="R896" s="129"/>
      <c r="S896" s="130"/>
      <c r="T896" s="131"/>
      <c r="U896" s="131"/>
      <c r="V896" s="132" t="str">
        <f t="shared" si="195"/>
        <v/>
      </c>
      <c r="W896" s="133" t="str">
        <f t="shared" si="196"/>
        <v/>
      </c>
      <c r="X896" s="130"/>
      <c r="Y896" s="131"/>
      <c r="Z896" s="131"/>
      <c r="AA896" s="132" t="str">
        <f t="shared" si="197"/>
        <v/>
      </c>
      <c r="AB896" s="133" t="str">
        <f t="shared" si="198"/>
        <v/>
      </c>
      <c r="AC896" s="134" t="str">
        <f t="shared" si="199"/>
        <v/>
      </c>
      <c r="AD896" s="135" t="str">
        <f t="shared" si="200"/>
        <v/>
      </c>
      <c r="AE896" s="136"/>
      <c r="AF896" s="137"/>
      <c r="AG896" s="137"/>
      <c r="AH896" s="138" t="str">
        <f t="shared" si="201"/>
        <v/>
      </c>
      <c r="AI896" s="133" t="str">
        <f t="shared" si="202"/>
        <v/>
      </c>
    </row>
    <row r="897" spans="1:35">
      <c r="A897" s="171" t="str">
        <f>IF('09월 조업일지'!A883="","",'09월 조업일지'!A883)</f>
        <v/>
      </c>
      <c r="B897" s="172" t="str">
        <f>'09월 조업일지'!E883</f>
        <v/>
      </c>
      <c r="C897" s="172" t="str">
        <f>'09월 조업일지'!F883</f>
        <v/>
      </c>
      <c r="D897" s="172" t="str">
        <f>'09월 화학성분'!C884</f>
        <v/>
      </c>
      <c r="E897" s="205" t="str">
        <f t="shared" si="203"/>
        <v/>
      </c>
      <c r="F897" s="121"/>
      <c r="G897" s="122"/>
      <c r="H897" s="123"/>
      <c r="I897" s="122"/>
      <c r="J897" s="123"/>
      <c r="K897" s="122"/>
      <c r="L897" s="124" t="str">
        <f t="shared" si="204"/>
        <v/>
      </c>
      <c r="M897" s="125" t="str">
        <f t="shared" si="204"/>
        <v/>
      </c>
      <c r="N897" s="126" t="str">
        <f t="shared" si="191"/>
        <v/>
      </c>
      <c r="O897" s="127" t="str">
        <f t="shared" si="192"/>
        <v/>
      </c>
      <c r="P897" s="127" t="str">
        <f t="shared" si="193"/>
        <v/>
      </c>
      <c r="Q897" s="128" t="str">
        <f t="shared" si="194"/>
        <v/>
      </c>
      <c r="R897" s="129"/>
      <c r="S897" s="130"/>
      <c r="T897" s="131"/>
      <c r="U897" s="131"/>
      <c r="V897" s="132" t="str">
        <f t="shared" si="195"/>
        <v/>
      </c>
      <c r="W897" s="133" t="str">
        <f t="shared" si="196"/>
        <v/>
      </c>
      <c r="X897" s="130"/>
      <c r="Y897" s="131"/>
      <c r="Z897" s="131"/>
      <c r="AA897" s="132" t="str">
        <f t="shared" si="197"/>
        <v/>
      </c>
      <c r="AB897" s="133" t="str">
        <f t="shared" si="198"/>
        <v/>
      </c>
      <c r="AC897" s="134" t="str">
        <f t="shared" si="199"/>
        <v/>
      </c>
      <c r="AD897" s="135" t="str">
        <f t="shared" si="200"/>
        <v/>
      </c>
      <c r="AE897" s="136"/>
      <c r="AF897" s="137"/>
      <c r="AG897" s="137"/>
      <c r="AH897" s="138" t="str">
        <f t="shared" si="201"/>
        <v/>
      </c>
      <c r="AI897" s="133" t="str">
        <f t="shared" si="202"/>
        <v/>
      </c>
    </row>
    <row r="898" spans="1:35">
      <c r="A898" s="171" t="str">
        <f>IF('09월 조업일지'!A884="","",'09월 조업일지'!A884)</f>
        <v/>
      </c>
      <c r="B898" s="172" t="str">
        <f>'09월 조업일지'!E884</f>
        <v/>
      </c>
      <c r="C898" s="172" t="str">
        <f>'09월 조업일지'!F884</f>
        <v/>
      </c>
      <c r="D898" s="172" t="str">
        <f>'09월 화학성분'!C885</f>
        <v/>
      </c>
      <c r="E898" s="205" t="str">
        <f t="shared" si="203"/>
        <v/>
      </c>
      <c r="F898" s="121"/>
      <c r="G898" s="122"/>
      <c r="H898" s="123"/>
      <c r="I898" s="122"/>
      <c r="J898" s="123"/>
      <c r="K898" s="122"/>
      <c r="L898" s="124" t="str">
        <f t="shared" si="204"/>
        <v/>
      </c>
      <c r="M898" s="125" t="str">
        <f t="shared" si="204"/>
        <v/>
      </c>
      <c r="N898" s="126" t="str">
        <f t="shared" si="191"/>
        <v/>
      </c>
      <c r="O898" s="127" t="str">
        <f t="shared" si="192"/>
        <v/>
      </c>
      <c r="P898" s="127" t="str">
        <f t="shared" si="193"/>
        <v/>
      </c>
      <c r="Q898" s="128" t="str">
        <f t="shared" si="194"/>
        <v/>
      </c>
      <c r="R898" s="129"/>
      <c r="S898" s="130"/>
      <c r="T898" s="131"/>
      <c r="U898" s="131"/>
      <c r="V898" s="132" t="str">
        <f t="shared" si="195"/>
        <v/>
      </c>
      <c r="W898" s="133" t="str">
        <f t="shared" si="196"/>
        <v/>
      </c>
      <c r="X898" s="130"/>
      <c r="Y898" s="131"/>
      <c r="Z898" s="131"/>
      <c r="AA898" s="132" t="str">
        <f t="shared" si="197"/>
        <v/>
      </c>
      <c r="AB898" s="133" t="str">
        <f t="shared" si="198"/>
        <v/>
      </c>
      <c r="AC898" s="134" t="str">
        <f t="shared" si="199"/>
        <v/>
      </c>
      <c r="AD898" s="135" t="str">
        <f t="shared" si="200"/>
        <v/>
      </c>
      <c r="AE898" s="136"/>
      <c r="AF898" s="137"/>
      <c r="AG898" s="137"/>
      <c r="AH898" s="138" t="str">
        <f t="shared" si="201"/>
        <v/>
      </c>
      <c r="AI898" s="133" t="str">
        <f t="shared" si="202"/>
        <v/>
      </c>
    </row>
    <row r="899" spans="1:35">
      <c r="A899" s="171" t="str">
        <f>IF('09월 조업일지'!A885="","",'09월 조업일지'!A885)</f>
        <v/>
      </c>
      <c r="B899" s="172" t="str">
        <f>'09월 조업일지'!E885</f>
        <v/>
      </c>
      <c r="C899" s="172" t="str">
        <f>'09월 조업일지'!F885</f>
        <v/>
      </c>
      <c r="D899" s="172" t="str">
        <f>'09월 화학성분'!C886</f>
        <v/>
      </c>
      <c r="E899" s="205" t="str">
        <f t="shared" si="203"/>
        <v/>
      </c>
      <c r="F899" s="121"/>
      <c r="G899" s="122"/>
      <c r="H899" s="123"/>
      <c r="I899" s="122"/>
      <c r="J899" s="123"/>
      <c r="K899" s="122"/>
      <c r="L899" s="124" t="str">
        <f t="shared" si="204"/>
        <v/>
      </c>
      <c r="M899" s="125" t="str">
        <f t="shared" si="204"/>
        <v/>
      </c>
      <c r="N899" s="126" t="str">
        <f t="shared" si="191"/>
        <v/>
      </c>
      <c r="O899" s="127" t="str">
        <f t="shared" si="192"/>
        <v/>
      </c>
      <c r="P899" s="127" t="str">
        <f t="shared" si="193"/>
        <v/>
      </c>
      <c r="Q899" s="128" t="str">
        <f t="shared" si="194"/>
        <v/>
      </c>
      <c r="R899" s="129"/>
      <c r="S899" s="130"/>
      <c r="T899" s="131"/>
      <c r="U899" s="131"/>
      <c r="V899" s="132" t="str">
        <f t="shared" si="195"/>
        <v/>
      </c>
      <c r="W899" s="133" t="str">
        <f t="shared" si="196"/>
        <v/>
      </c>
      <c r="X899" s="130"/>
      <c r="Y899" s="131"/>
      <c r="Z899" s="131"/>
      <c r="AA899" s="132" t="str">
        <f t="shared" si="197"/>
        <v/>
      </c>
      <c r="AB899" s="133" t="str">
        <f t="shared" si="198"/>
        <v/>
      </c>
      <c r="AC899" s="134" t="str">
        <f t="shared" si="199"/>
        <v/>
      </c>
      <c r="AD899" s="135" t="str">
        <f t="shared" si="200"/>
        <v/>
      </c>
      <c r="AE899" s="136"/>
      <c r="AF899" s="137"/>
      <c r="AG899" s="137"/>
      <c r="AH899" s="138" t="str">
        <f t="shared" si="201"/>
        <v/>
      </c>
      <c r="AI899" s="133" t="str">
        <f t="shared" si="202"/>
        <v/>
      </c>
    </row>
    <row r="900" spans="1:35">
      <c r="A900" s="171" t="str">
        <f>IF('09월 조업일지'!A886="","",'09월 조업일지'!A886)</f>
        <v/>
      </c>
      <c r="B900" s="172" t="str">
        <f>'09월 조업일지'!E886</f>
        <v/>
      </c>
      <c r="C900" s="172" t="str">
        <f>'09월 조업일지'!F886</f>
        <v/>
      </c>
      <c r="D900" s="172" t="str">
        <f>'09월 화학성분'!C887</f>
        <v/>
      </c>
      <c r="E900" s="205" t="str">
        <f t="shared" si="203"/>
        <v/>
      </c>
      <c r="F900" s="121"/>
      <c r="G900" s="122"/>
      <c r="H900" s="123"/>
      <c r="I900" s="122"/>
      <c r="J900" s="123"/>
      <c r="K900" s="122"/>
      <c r="L900" s="124" t="str">
        <f t="shared" si="204"/>
        <v/>
      </c>
      <c r="M900" s="125" t="str">
        <f t="shared" si="204"/>
        <v/>
      </c>
      <c r="N900" s="126" t="str">
        <f t="shared" si="191"/>
        <v/>
      </c>
      <c r="O900" s="127" t="str">
        <f t="shared" si="192"/>
        <v/>
      </c>
      <c r="P900" s="127" t="str">
        <f t="shared" si="193"/>
        <v/>
      </c>
      <c r="Q900" s="128" t="str">
        <f t="shared" si="194"/>
        <v/>
      </c>
      <c r="R900" s="129"/>
      <c r="S900" s="130"/>
      <c r="T900" s="131"/>
      <c r="U900" s="131"/>
      <c r="V900" s="132" t="str">
        <f t="shared" si="195"/>
        <v/>
      </c>
      <c r="W900" s="133" t="str">
        <f t="shared" si="196"/>
        <v/>
      </c>
      <c r="X900" s="130"/>
      <c r="Y900" s="131"/>
      <c r="Z900" s="131"/>
      <c r="AA900" s="132" t="str">
        <f t="shared" si="197"/>
        <v/>
      </c>
      <c r="AB900" s="133" t="str">
        <f t="shared" si="198"/>
        <v/>
      </c>
      <c r="AC900" s="134" t="str">
        <f t="shared" si="199"/>
        <v/>
      </c>
      <c r="AD900" s="135" t="str">
        <f t="shared" si="200"/>
        <v/>
      </c>
      <c r="AE900" s="136"/>
      <c r="AF900" s="137"/>
      <c r="AG900" s="137"/>
      <c r="AH900" s="138" t="str">
        <f t="shared" si="201"/>
        <v/>
      </c>
      <c r="AI900" s="133" t="str">
        <f t="shared" si="202"/>
        <v/>
      </c>
    </row>
    <row r="901" spans="1:35">
      <c r="A901" s="171" t="str">
        <f>IF('09월 조업일지'!A887="","",'09월 조업일지'!A887)</f>
        <v/>
      </c>
      <c r="B901" s="172" t="str">
        <f>'09월 조업일지'!E887</f>
        <v/>
      </c>
      <c r="C901" s="172" t="str">
        <f>'09월 조업일지'!F887</f>
        <v/>
      </c>
      <c r="D901" s="172" t="str">
        <f>'09월 화학성분'!C888</f>
        <v/>
      </c>
      <c r="E901" s="205" t="str">
        <f t="shared" si="203"/>
        <v/>
      </c>
      <c r="F901" s="121"/>
      <c r="G901" s="122"/>
      <c r="H901" s="123"/>
      <c r="I901" s="122"/>
      <c r="J901" s="123"/>
      <c r="K901" s="122"/>
      <c r="L901" s="124" t="str">
        <f t="shared" si="204"/>
        <v/>
      </c>
      <c r="M901" s="125" t="str">
        <f t="shared" si="204"/>
        <v/>
      </c>
      <c r="N901" s="126" t="str">
        <f t="shared" si="191"/>
        <v/>
      </c>
      <c r="O901" s="127" t="str">
        <f t="shared" si="192"/>
        <v/>
      </c>
      <c r="P901" s="127" t="str">
        <f t="shared" si="193"/>
        <v/>
      </c>
      <c r="Q901" s="128" t="str">
        <f t="shared" si="194"/>
        <v/>
      </c>
      <c r="R901" s="129"/>
      <c r="S901" s="130"/>
      <c r="T901" s="131"/>
      <c r="U901" s="131"/>
      <c r="V901" s="132" t="str">
        <f t="shared" si="195"/>
        <v/>
      </c>
      <c r="W901" s="133" t="str">
        <f t="shared" si="196"/>
        <v/>
      </c>
      <c r="X901" s="130"/>
      <c r="Y901" s="131"/>
      <c r="Z901" s="131"/>
      <c r="AA901" s="132" t="str">
        <f t="shared" si="197"/>
        <v/>
      </c>
      <c r="AB901" s="133" t="str">
        <f t="shared" si="198"/>
        <v/>
      </c>
      <c r="AC901" s="134" t="str">
        <f t="shared" si="199"/>
        <v/>
      </c>
      <c r="AD901" s="135" t="str">
        <f t="shared" si="200"/>
        <v/>
      </c>
      <c r="AE901" s="136"/>
      <c r="AF901" s="137"/>
      <c r="AG901" s="137"/>
      <c r="AH901" s="138" t="str">
        <f t="shared" si="201"/>
        <v/>
      </c>
      <c r="AI901" s="133" t="str">
        <f t="shared" si="202"/>
        <v/>
      </c>
    </row>
    <row r="902" spans="1:35">
      <c r="A902" s="171" t="str">
        <f>IF('09월 조업일지'!A888="","",'09월 조업일지'!A888)</f>
        <v/>
      </c>
      <c r="B902" s="172" t="str">
        <f>'09월 조업일지'!E888</f>
        <v/>
      </c>
      <c r="C902" s="172" t="str">
        <f>'09월 조업일지'!F888</f>
        <v/>
      </c>
      <c r="D902" s="172" t="str">
        <f>'09월 화학성분'!C889</f>
        <v/>
      </c>
      <c r="E902" s="205" t="str">
        <f t="shared" si="203"/>
        <v/>
      </c>
      <c r="F902" s="121"/>
      <c r="G902" s="122"/>
      <c r="H902" s="123"/>
      <c r="I902" s="122"/>
      <c r="J902" s="123"/>
      <c r="K902" s="122"/>
      <c r="L902" s="124" t="str">
        <f t="shared" si="204"/>
        <v/>
      </c>
      <c r="M902" s="125" t="str">
        <f t="shared" si="204"/>
        <v/>
      </c>
      <c r="N902" s="126" t="str">
        <f t="shared" si="191"/>
        <v/>
      </c>
      <c r="O902" s="127" t="str">
        <f t="shared" si="192"/>
        <v/>
      </c>
      <c r="P902" s="127" t="str">
        <f t="shared" si="193"/>
        <v/>
      </c>
      <c r="Q902" s="128" t="str">
        <f t="shared" si="194"/>
        <v/>
      </c>
      <c r="R902" s="129"/>
      <c r="S902" s="130"/>
      <c r="T902" s="131"/>
      <c r="U902" s="131"/>
      <c r="V902" s="132" t="str">
        <f t="shared" si="195"/>
        <v/>
      </c>
      <c r="W902" s="133" t="str">
        <f t="shared" si="196"/>
        <v/>
      </c>
      <c r="X902" s="130"/>
      <c r="Y902" s="131"/>
      <c r="Z902" s="131"/>
      <c r="AA902" s="132" t="str">
        <f t="shared" si="197"/>
        <v/>
      </c>
      <c r="AB902" s="133" t="str">
        <f t="shared" si="198"/>
        <v/>
      </c>
      <c r="AC902" s="134" t="str">
        <f t="shared" si="199"/>
        <v/>
      </c>
      <c r="AD902" s="135" t="str">
        <f t="shared" si="200"/>
        <v/>
      </c>
      <c r="AE902" s="136"/>
      <c r="AF902" s="137"/>
      <c r="AG902" s="137"/>
      <c r="AH902" s="138" t="str">
        <f t="shared" si="201"/>
        <v/>
      </c>
      <c r="AI902" s="133" t="str">
        <f t="shared" si="202"/>
        <v/>
      </c>
    </row>
    <row r="903" spans="1:35">
      <c r="A903" s="171" t="str">
        <f>IF('09월 조업일지'!A889="","",'09월 조업일지'!A889)</f>
        <v/>
      </c>
      <c r="B903" s="172" t="str">
        <f>'09월 조업일지'!E889</f>
        <v/>
      </c>
      <c r="C903" s="172" t="str">
        <f>'09월 조업일지'!F889</f>
        <v/>
      </c>
      <c r="D903" s="172" t="str">
        <f>'09월 화학성분'!C890</f>
        <v/>
      </c>
      <c r="E903" s="205" t="str">
        <f t="shared" si="203"/>
        <v/>
      </c>
      <c r="F903" s="121"/>
      <c r="G903" s="122"/>
      <c r="H903" s="123"/>
      <c r="I903" s="122"/>
      <c r="J903" s="123"/>
      <c r="K903" s="122"/>
      <c r="L903" s="124" t="str">
        <f t="shared" si="204"/>
        <v/>
      </c>
      <c r="M903" s="125" t="str">
        <f t="shared" si="204"/>
        <v/>
      </c>
      <c r="N903" s="126" t="str">
        <f t="shared" si="191"/>
        <v/>
      </c>
      <c r="O903" s="127" t="str">
        <f t="shared" si="192"/>
        <v/>
      </c>
      <c r="P903" s="127" t="str">
        <f t="shared" si="193"/>
        <v/>
      </c>
      <c r="Q903" s="128" t="str">
        <f t="shared" si="194"/>
        <v/>
      </c>
      <c r="R903" s="129"/>
      <c r="S903" s="130"/>
      <c r="T903" s="131"/>
      <c r="U903" s="131"/>
      <c r="V903" s="132" t="str">
        <f t="shared" si="195"/>
        <v/>
      </c>
      <c r="W903" s="133" t="str">
        <f t="shared" si="196"/>
        <v/>
      </c>
      <c r="X903" s="130"/>
      <c r="Y903" s="131"/>
      <c r="Z903" s="131"/>
      <c r="AA903" s="132" t="str">
        <f t="shared" si="197"/>
        <v/>
      </c>
      <c r="AB903" s="133" t="str">
        <f t="shared" si="198"/>
        <v/>
      </c>
      <c r="AC903" s="134" t="str">
        <f t="shared" si="199"/>
        <v/>
      </c>
      <c r="AD903" s="135" t="str">
        <f t="shared" si="200"/>
        <v/>
      </c>
      <c r="AE903" s="136"/>
      <c r="AF903" s="137"/>
      <c r="AG903" s="137"/>
      <c r="AH903" s="138" t="str">
        <f t="shared" si="201"/>
        <v/>
      </c>
      <c r="AI903" s="133" t="str">
        <f t="shared" si="202"/>
        <v/>
      </c>
    </row>
    <row r="904" spans="1:35">
      <c r="A904" s="171" t="str">
        <f>IF('09월 조업일지'!A890="","",'09월 조업일지'!A890)</f>
        <v/>
      </c>
      <c r="B904" s="172" t="str">
        <f>'09월 조업일지'!E890</f>
        <v/>
      </c>
      <c r="C904" s="172" t="str">
        <f>'09월 조업일지'!F890</f>
        <v/>
      </c>
      <c r="D904" s="172" t="str">
        <f>'09월 화학성분'!C891</f>
        <v/>
      </c>
      <c r="E904" s="205" t="str">
        <f t="shared" si="203"/>
        <v/>
      </c>
      <c r="F904" s="121"/>
      <c r="G904" s="122"/>
      <c r="H904" s="123"/>
      <c r="I904" s="122"/>
      <c r="J904" s="123"/>
      <c r="K904" s="122"/>
      <c r="L904" s="124" t="str">
        <f t="shared" si="204"/>
        <v/>
      </c>
      <c r="M904" s="125" t="str">
        <f t="shared" si="204"/>
        <v/>
      </c>
      <c r="N904" s="126" t="str">
        <f t="shared" si="191"/>
        <v/>
      </c>
      <c r="O904" s="127" t="str">
        <f t="shared" si="192"/>
        <v/>
      </c>
      <c r="P904" s="127" t="str">
        <f t="shared" si="193"/>
        <v/>
      </c>
      <c r="Q904" s="128" t="str">
        <f t="shared" si="194"/>
        <v/>
      </c>
      <c r="R904" s="129"/>
      <c r="S904" s="130"/>
      <c r="T904" s="131"/>
      <c r="U904" s="131"/>
      <c r="V904" s="132" t="str">
        <f t="shared" si="195"/>
        <v/>
      </c>
      <c r="W904" s="133" t="str">
        <f t="shared" si="196"/>
        <v/>
      </c>
      <c r="X904" s="130"/>
      <c r="Y904" s="131"/>
      <c r="Z904" s="131"/>
      <c r="AA904" s="132" t="str">
        <f t="shared" si="197"/>
        <v/>
      </c>
      <c r="AB904" s="133" t="str">
        <f t="shared" si="198"/>
        <v/>
      </c>
      <c r="AC904" s="134" t="str">
        <f t="shared" si="199"/>
        <v/>
      </c>
      <c r="AD904" s="135" t="str">
        <f t="shared" si="200"/>
        <v/>
      </c>
      <c r="AE904" s="136"/>
      <c r="AF904" s="137"/>
      <c r="AG904" s="137"/>
      <c r="AH904" s="138" t="str">
        <f t="shared" si="201"/>
        <v/>
      </c>
      <c r="AI904" s="133" t="str">
        <f t="shared" si="202"/>
        <v/>
      </c>
    </row>
    <row r="905" spans="1:35">
      <c r="A905" s="171" t="str">
        <f>IF('09월 조업일지'!A891="","",'09월 조업일지'!A891)</f>
        <v/>
      </c>
      <c r="B905" s="172" t="str">
        <f>'09월 조업일지'!E891</f>
        <v/>
      </c>
      <c r="C905" s="172" t="str">
        <f>'09월 조업일지'!F891</f>
        <v/>
      </c>
      <c r="D905" s="172" t="str">
        <f>'09월 화학성분'!C892</f>
        <v/>
      </c>
      <c r="E905" s="205" t="str">
        <f t="shared" si="203"/>
        <v/>
      </c>
      <c r="F905" s="121"/>
      <c r="G905" s="122"/>
      <c r="H905" s="123"/>
      <c r="I905" s="122"/>
      <c r="J905" s="123"/>
      <c r="K905" s="122"/>
      <c r="L905" s="124" t="str">
        <f t="shared" si="204"/>
        <v/>
      </c>
      <c r="M905" s="125" t="str">
        <f t="shared" si="204"/>
        <v/>
      </c>
      <c r="N905" s="126" t="str">
        <f t="shared" si="191"/>
        <v/>
      </c>
      <c r="O905" s="127" t="str">
        <f t="shared" si="192"/>
        <v/>
      </c>
      <c r="P905" s="127" t="str">
        <f t="shared" si="193"/>
        <v/>
      </c>
      <c r="Q905" s="128" t="str">
        <f t="shared" si="194"/>
        <v/>
      </c>
      <c r="R905" s="129"/>
      <c r="S905" s="130"/>
      <c r="T905" s="131"/>
      <c r="U905" s="131"/>
      <c r="V905" s="132" t="str">
        <f t="shared" si="195"/>
        <v/>
      </c>
      <c r="W905" s="133" t="str">
        <f t="shared" si="196"/>
        <v/>
      </c>
      <c r="X905" s="130"/>
      <c r="Y905" s="131"/>
      <c r="Z905" s="131"/>
      <c r="AA905" s="132" t="str">
        <f t="shared" si="197"/>
        <v/>
      </c>
      <c r="AB905" s="133" t="str">
        <f t="shared" si="198"/>
        <v/>
      </c>
      <c r="AC905" s="134" t="str">
        <f t="shared" si="199"/>
        <v/>
      </c>
      <c r="AD905" s="135" t="str">
        <f t="shared" si="200"/>
        <v/>
      </c>
      <c r="AE905" s="136"/>
      <c r="AF905" s="137"/>
      <c r="AG905" s="137"/>
      <c r="AH905" s="138" t="str">
        <f t="shared" si="201"/>
        <v/>
      </c>
      <c r="AI905" s="133" t="str">
        <f t="shared" si="202"/>
        <v/>
      </c>
    </row>
    <row r="906" spans="1:35">
      <c r="A906" s="171" t="str">
        <f>IF('09월 조업일지'!A892="","",'09월 조업일지'!A892)</f>
        <v/>
      </c>
      <c r="B906" s="172" t="str">
        <f>'09월 조업일지'!E892</f>
        <v/>
      </c>
      <c r="C906" s="172" t="str">
        <f>'09월 조업일지'!F892</f>
        <v/>
      </c>
      <c r="D906" s="172" t="str">
        <f>'09월 화학성분'!C893</f>
        <v/>
      </c>
      <c r="E906" s="205" t="str">
        <f t="shared" si="203"/>
        <v/>
      </c>
      <c r="F906" s="121"/>
      <c r="G906" s="122"/>
      <c r="H906" s="123"/>
      <c r="I906" s="122"/>
      <c r="J906" s="123"/>
      <c r="K906" s="122"/>
      <c r="L906" s="124" t="str">
        <f t="shared" si="204"/>
        <v/>
      </c>
      <c r="M906" s="125" t="str">
        <f t="shared" si="204"/>
        <v/>
      </c>
      <c r="N906" s="126" t="str">
        <f t="shared" si="191"/>
        <v/>
      </c>
      <c r="O906" s="127" t="str">
        <f t="shared" si="192"/>
        <v/>
      </c>
      <c r="P906" s="127" t="str">
        <f t="shared" si="193"/>
        <v/>
      </c>
      <c r="Q906" s="128" t="str">
        <f t="shared" si="194"/>
        <v/>
      </c>
      <c r="R906" s="129"/>
      <c r="S906" s="130"/>
      <c r="T906" s="131"/>
      <c r="U906" s="131"/>
      <c r="V906" s="132" t="str">
        <f t="shared" si="195"/>
        <v/>
      </c>
      <c r="W906" s="133" t="str">
        <f t="shared" si="196"/>
        <v/>
      </c>
      <c r="X906" s="130"/>
      <c r="Y906" s="131"/>
      <c r="Z906" s="131"/>
      <c r="AA906" s="132" t="str">
        <f t="shared" si="197"/>
        <v/>
      </c>
      <c r="AB906" s="133" t="str">
        <f t="shared" si="198"/>
        <v/>
      </c>
      <c r="AC906" s="134" t="str">
        <f t="shared" si="199"/>
        <v/>
      </c>
      <c r="AD906" s="135" t="str">
        <f t="shared" si="200"/>
        <v/>
      </c>
      <c r="AE906" s="136"/>
      <c r="AF906" s="137"/>
      <c r="AG906" s="137"/>
      <c r="AH906" s="138" t="str">
        <f t="shared" si="201"/>
        <v/>
      </c>
      <c r="AI906" s="133" t="str">
        <f t="shared" si="202"/>
        <v/>
      </c>
    </row>
    <row r="907" spans="1:35">
      <c r="A907" s="171" t="str">
        <f>IF('09월 조업일지'!A893="","",'09월 조업일지'!A893)</f>
        <v/>
      </c>
      <c r="B907" s="172" t="str">
        <f>'09월 조업일지'!E893</f>
        <v/>
      </c>
      <c r="C907" s="172" t="str">
        <f>'09월 조업일지'!F893</f>
        <v/>
      </c>
      <c r="D907" s="172" t="str">
        <f>'09월 화학성분'!C894</f>
        <v/>
      </c>
      <c r="E907" s="205" t="str">
        <f t="shared" si="203"/>
        <v/>
      </c>
      <c r="F907" s="121"/>
      <c r="G907" s="122"/>
      <c r="H907" s="123"/>
      <c r="I907" s="122"/>
      <c r="J907" s="123"/>
      <c r="K907" s="122"/>
      <c r="L907" s="124" t="str">
        <f t="shared" si="204"/>
        <v/>
      </c>
      <c r="M907" s="125" t="str">
        <f t="shared" si="204"/>
        <v/>
      </c>
      <c r="N907" s="126" t="str">
        <f t="shared" si="191"/>
        <v/>
      </c>
      <c r="O907" s="127" t="str">
        <f t="shared" si="192"/>
        <v/>
      </c>
      <c r="P907" s="127" t="str">
        <f t="shared" si="193"/>
        <v/>
      </c>
      <c r="Q907" s="128" t="str">
        <f t="shared" si="194"/>
        <v/>
      </c>
      <c r="R907" s="129"/>
      <c r="S907" s="130"/>
      <c r="T907" s="131"/>
      <c r="U907" s="131"/>
      <c r="V907" s="132" t="str">
        <f t="shared" si="195"/>
        <v/>
      </c>
      <c r="W907" s="133" t="str">
        <f t="shared" si="196"/>
        <v/>
      </c>
      <c r="X907" s="130"/>
      <c r="Y907" s="131"/>
      <c r="Z907" s="131"/>
      <c r="AA907" s="132" t="str">
        <f t="shared" si="197"/>
        <v/>
      </c>
      <c r="AB907" s="133" t="str">
        <f t="shared" si="198"/>
        <v/>
      </c>
      <c r="AC907" s="134" t="str">
        <f t="shared" si="199"/>
        <v/>
      </c>
      <c r="AD907" s="135" t="str">
        <f t="shared" si="200"/>
        <v/>
      </c>
      <c r="AE907" s="136"/>
      <c r="AF907" s="137"/>
      <c r="AG907" s="137"/>
      <c r="AH907" s="138" t="str">
        <f t="shared" si="201"/>
        <v/>
      </c>
      <c r="AI907" s="133" t="str">
        <f t="shared" si="202"/>
        <v/>
      </c>
    </row>
    <row r="908" spans="1:35">
      <c r="A908" s="171" t="str">
        <f>IF('09월 조업일지'!A894="","",'09월 조업일지'!A894)</f>
        <v/>
      </c>
      <c r="B908" s="172" t="str">
        <f>'09월 조업일지'!E894</f>
        <v/>
      </c>
      <c r="C908" s="172" t="str">
        <f>'09월 조업일지'!F894</f>
        <v/>
      </c>
      <c r="D908" s="172" t="str">
        <f>'09월 화학성분'!C895</f>
        <v/>
      </c>
      <c r="E908" s="205" t="str">
        <f t="shared" si="203"/>
        <v/>
      </c>
      <c r="F908" s="121"/>
      <c r="G908" s="122"/>
      <c r="H908" s="123"/>
      <c r="I908" s="122"/>
      <c r="J908" s="123"/>
      <c r="K908" s="122"/>
      <c r="L908" s="124" t="str">
        <f t="shared" si="204"/>
        <v/>
      </c>
      <c r="M908" s="125" t="str">
        <f t="shared" si="204"/>
        <v/>
      </c>
      <c r="N908" s="126" t="str">
        <f t="shared" si="191"/>
        <v/>
      </c>
      <c r="O908" s="127" t="str">
        <f t="shared" si="192"/>
        <v/>
      </c>
      <c r="P908" s="127" t="str">
        <f t="shared" si="193"/>
        <v/>
      </c>
      <c r="Q908" s="128" t="str">
        <f t="shared" si="194"/>
        <v/>
      </c>
      <c r="R908" s="129"/>
      <c r="S908" s="130"/>
      <c r="T908" s="131"/>
      <c r="U908" s="131"/>
      <c r="V908" s="132" t="str">
        <f t="shared" si="195"/>
        <v/>
      </c>
      <c r="W908" s="133" t="str">
        <f t="shared" si="196"/>
        <v/>
      </c>
      <c r="X908" s="130"/>
      <c r="Y908" s="131"/>
      <c r="Z908" s="131"/>
      <c r="AA908" s="132" t="str">
        <f t="shared" si="197"/>
        <v/>
      </c>
      <c r="AB908" s="133" t="str">
        <f t="shared" si="198"/>
        <v/>
      </c>
      <c r="AC908" s="134" t="str">
        <f t="shared" si="199"/>
        <v/>
      </c>
      <c r="AD908" s="135" t="str">
        <f t="shared" si="200"/>
        <v/>
      </c>
      <c r="AE908" s="136"/>
      <c r="AF908" s="137"/>
      <c r="AG908" s="137"/>
      <c r="AH908" s="138" t="str">
        <f t="shared" si="201"/>
        <v/>
      </c>
      <c r="AI908" s="133" t="str">
        <f t="shared" si="202"/>
        <v/>
      </c>
    </row>
    <row r="909" spans="1:35">
      <c r="A909" s="171" t="str">
        <f>IF('09월 조업일지'!A895="","",'09월 조업일지'!A895)</f>
        <v/>
      </c>
      <c r="B909" s="172" t="str">
        <f>'09월 조업일지'!E895</f>
        <v/>
      </c>
      <c r="C909" s="172" t="str">
        <f>'09월 조업일지'!F895</f>
        <v/>
      </c>
      <c r="D909" s="172" t="str">
        <f>'09월 화학성분'!C896</f>
        <v/>
      </c>
      <c r="E909" s="205" t="str">
        <f t="shared" si="203"/>
        <v/>
      </c>
      <c r="F909" s="121"/>
      <c r="G909" s="122"/>
      <c r="H909" s="123"/>
      <c r="I909" s="122"/>
      <c r="J909" s="123"/>
      <c r="K909" s="122"/>
      <c r="L909" s="124" t="str">
        <f t="shared" si="204"/>
        <v/>
      </c>
      <c r="M909" s="125" t="str">
        <f t="shared" si="204"/>
        <v/>
      </c>
      <c r="N909" s="126" t="str">
        <f t="shared" si="191"/>
        <v/>
      </c>
      <c r="O909" s="127" t="str">
        <f t="shared" si="192"/>
        <v/>
      </c>
      <c r="P909" s="127" t="str">
        <f t="shared" si="193"/>
        <v/>
      </c>
      <c r="Q909" s="128" t="str">
        <f t="shared" si="194"/>
        <v/>
      </c>
      <c r="R909" s="129"/>
      <c r="S909" s="130"/>
      <c r="T909" s="131"/>
      <c r="U909" s="131"/>
      <c r="V909" s="132" t="str">
        <f t="shared" si="195"/>
        <v/>
      </c>
      <c r="W909" s="133" t="str">
        <f t="shared" si="196"/>
        <v/>
      </c>
      <c r="X909" s="130"/>
      <c r="Y909" s="131"/>
      <c r="Z909" s="131"/>
      <c r="AA909" s="132" t="str">
        <f t="shared" si="197"/>
        <v/>
      </c>
      <c r="AB909" s="133" t="str">
        <f t="shared" si="198"/>
        <v/>
      </c>
      <c r="AC909" s="134" t="str">
        <f t="shared" si="199"/>
        <v/>
      </c>
      <c r="AD909" s="135" t="str">
        <f t="shared" si="200"/>
        <v/>
      </c>
      <c r="AE909" s="136"/>
      <c r="AF909" s="137"/>
      <c r="AG909" s="137"/>
      <c r="AH909" s="138" t="str">
        <f t="shared" si="201"/>
        <v/>
      </c>
      <c r="AI909" s="133" t="str">
        <f t="shared" si="202"/>
        <v/>
      </c>
    </row>
    <row r="910" spans="1:35">
      <c r="A910" s="171" t="str">
        <f>IF('09월 조업일지'!A896="","",'09월 조업일지'!A896)</f>
        <v/>
      </c>
      <c r="B910" s="172" t="str">
        <f>'09월 조업일지'!E896</f>
        <v/>
      </c>
      <c r="C910" s="172" t="str">
        <f>'09월 조업일지'!F896</f>
        <v/>
      </c>
      <c r="D910" s="172" t="str">
        <f>'09월 화학성분'!C897</f>
        <v/>
      </c>
      <c r="E910" s="205" t="str">
        <f t="shared" si="203"/>
        <v/>
      </c>
      <c r="F910" s="121"/>
      <c r="G910" s="122"/>
      <c r="H910" s="123"/>
      <c r="I910" s="122"/>
      <c r="J910" s="123"/>
      <c r="K910" s="122"/>
      <c r="L910" s="124" t="str">
        <f t="shared" si="204"/>
        <v/>
      </c>
      <c r="M910" s="125" t="str">
        <f t="shared" si="204"/>
        <v/>
      </c>
      <c r="N910" s="126" t="str">
        <f t="shared" si="191"/>
        <v/>
      </c>
      <c r="O910" s="127" t="str">
        <f t="shared" si="192"/>
        <v/>
      </c>
      <c r="P910" s="127" t="str">
        <f t="shared" si="193"/>
        <v/>
      </c>
      <c r="Q910" s="128" t="str">
        <f t="shared" si="194"/>
        <v/>
      </c>
      <c r="R910" s="129"/>
      <c r="S910" s="130"/>
      <c r="T910" s="131"/>
      <c r="U910" s="131"/>
      <c r="V910" s="132" t="str">
        <f t="shared" si="195"/>
        <v/>
      </c>
      <c r="W910" s="133" t="str">
        <f t="shared" si="196"/>
        <v/>
      </c>
      <c r="X910" s="130"/>
      <c r="Y910" s="131"/>
      <c r="Z910" s="131"/>
      <c r="AA910" s="132" t="str">
        <f t="shared" si="197"/>
        <v/>
      </c>
      <c r="AB910" s="133" t="str">
        <f t="shared" si="198"/>
        <v/>
      </c>
      <c r="AC910" s="134" t="str">
        <f t="shared" si="199"/>
        <v/>
      </c>
      <c r="AD910" s="135" t="str">
        <f t="shared" si="200"/>
        <v/>
      </c>
      <c r="AE910" s="136"/>
      <c r="AF910" s="137"/>
      <c r="AG910" s="137"/>
      <c r="AH910" s="138" t="str">
        <f t="shared" si="201"/>
        <v/>
      </c>
      <c r="AI910" s="133" t="str">
        <f t="shared" si="202"/>
        <v/>
      </c>
    </row>
    <row r="911" spans="1:35">
      <c r="A911" s="171" t="str">
        <f>IF('09월 조업일지'!A897="","",'09월 조업일지'!A897)</f>
        <v/>
      </c>
      <c r="B911" s="172" t="str">
        <f>'09월 조업일지'!E897</f>
        <v/>
      </c>
      <c r="C911" s="172" t="str">
        <f>'09월 조업일지'!F897</f>
        <v/>
      </c>
      <c r="D911" s="172" t="str">
        <f>'09월 화학성분'!C898</f>
        <v/>
      </c>
      <c r="E911" s="205" t="str">
        <f t="shared" si="203"/>
        <v/>
      </c>
      <c r="F911" s="121"/>
      <c r="G911" s="122"/>
      <c r="H911" s="123"/>
      <c r="I911" s="122"/>
      <c r="J911" s="123"/>
      <c r="K911" s="122"/>
      <c r="L911" s="124" t="str">
        <f t="shared" si="204"/>
        <v/>
      </c>
      <c r="M911" s="125" t="str">
        <f t="shared" si="204"/>
        <v/>
      </c>
      <c r="N911" s="126" t="str">
        <f t="shared" si="191"/>
        <v/>
      </c>
      <c r="O911" s="127" t="str">
        <f t="shared" si="192"/>
        <v/>
      </c>
      <c r="P911" s="127" t="str">
        <f t="shared" si="193"/>
        <v/>
      </c>
      <c r="Q911" s="128" t="str">
        <f t="shared" si="194"/>
        <v/>
      </c>
      <c r="R911" s="129"/>
      <c r="S911" s="130"/>
      <c r="T911" s="131"/>
      <c r="U911" s="131"/>
      <c r="V911" s="132" t="str">
        <f t="shared" si="195"/>
        <v/>
      </c>
      <c r="W911" s="133" t="str">
        <f t="shared" si="196"/>
        <v/>
      </c>
      <c r="X911" s="130"/>
      <c r="Y911" s="131"/>
      <c r="Z911" s="131"/>
      <c r="AA911" s="132" t="str">
        <f t="shared" si="197"/>
        <v/>
      </c>
      <c r="AB911" s="133" t="str">
        <f t="shared" si="198"/>
        <v/>
      </c>
      <c r="AC911" s="134" t="str">
        <f t="shared" si="199"/>
        <v/>
      </c>
      <c r="AD911" s="135" t="str">
        <f t="shared" si="200"/>
        <v/>
      </c>
      <c r="AE911" s="136"/>
      <c r="AF911" s="137"/>
      <c r="AG911" s="137"/>
      <c r="AH911" s="138" t="str">
        <f t="shared" si="201"/>
        <v/>
      </c>
      <c r="AI911" s="133" t="str">
        <f t="shared" si="202"/>
        <v/>
      </c>
    </row>
    <row r="912" spans="1:35">
      <c r="A912" s="171" t="str">
        <f>IF('09월 조업일지'!A898="","",'09월 조업일지'!A898)</f>
        <v/>
      </c>
      <c r="B912" s="172" t="str">
        <f>'09월 조업일지'!E898</f>
        <v/>
      </c>
      <c r="C912" s="172" t="str">
        <f>'09월 조업일지'!F898</f>
        <v/>
      </c>
      <c r="D912" s="172" t="str">
        <f>'09월 화학성분'!C899</f>
        <v/>
      </c>
      <c r="E912" s="205" t="str">
        <f t="shared" si="203"/>
        <v/>
      </c>
      <c r="F912" s="121"/>
      <c r="G912" s="122"/>
      <c r="H912" s="123"/>
      <c r="I912" s="122"/>
      <c r="J912" s="123"/>
      <c r="K912" s="122"/>
      <c r="L912" s="124" t="str">
        <f t="shared" si="204"/>
        <v/>
      </c>
      <c r="M912" s="125" t="str">
        <f t="shared" si="204"/>
        <v/>
      </c>
      <c r="N912" s="126" t="str">
        <f t="shared" si="191"/>
        <v/>
      </c>
      <c r="O912" s="127" t="str">
        <f t="shared" si="192"/>
        <v/>
      </c>
      <c r="P912" s="127" t="str">
        <f t="shared" si="193"/>
        <v/>
      </c>
      <c r="Q912" s="128" t="str">
        <f t="shared" si="194"/>
        <v/>
      </c>
      <c r="R912" s="129"/>
      <c r="S912" s="130"/>
      <c r="T912" s="131"/>
      <c r="U912" s="131"/>
      <c r="V912" s="132" t="str">
        <f t="shared" si="195"/>
        <v/>
      </c>
      <c r="W912" s="133" t="str">
        <f t="shared" si="196"/>
        <v/>
      </c>
      <c r="X912" s="130"/>
      <c r="Y912" s="131"/>
      <c r="Z912" s="131"/>
      <c r="AA912" s="132" t="str">
        <f t="shared" si="197"/>
        <v/>
      </c>
      <c r="AB912" s="133" t="str">
        <f t="shared" si="198"/>
        <v/>
      </c>
      <c r="AC912" s="134" t="str">
        <f t="shared" si="199"/>
        <v/>
      </c>
      <c r="AD912" s="135" t="str">
        <f t="shared" si="200"/>
        <v/>
      </c>
      <c r="AE912" s="136"/>
      <c r="AF912" s="137"/>
      <c r="AG912" s="137"/>
      <c r="AH912" s="138" t="str">
        <f t="shared" si="201"/>
        <v/>
      </c>
      <c r="AI912" s="133" t="str">
        <f t="shared" si="202"/>
        <v/>
      </c>
    </row>
    <row r="913" spans="1:35">
      <c r="A913" s="171" t="str">
        <f>IF('09월 조업일지'!A899="","",'09월 조업일지'!A899)</f>
        <v/>
      </c>
      <c r="B913" s="172" t="str">
        <f>'09월 조업일지'!E899</f>
        <v/>
      </c>
      <c r="C913" s="172" t="str">
        <f>'09월 조업일지'!F899</f>
        <v/>
      </c>
      <c r="D913" s="172" t="str">
        <f>'09월 화학성분'!C900</f>
        <v/>
      </c>
      <c r="E913" s="205" t="str">
        <f t="shared" si="203"/>
        <v/>
      </c>
      <c r="F913" s="121"/>
      <c r="G913" s="122"/>
      <c r="H913" s="123"/>
      <c r="I913" s="122"/>
      <c r="J913" s="123"/>
      <c r="K913" s="122"/>
      <c r="L913" s="124" t="str">
        <f t="shared" si="204"/>
        <v/>
      </c>
      <c r="M913" s="125" t="str">
        <f t="shared" si="204"/>
        <v/>
      </c>
      <c r="N913" s="126" t="str">
        <f t="shared" si="191"/>
        <v/>
      </c>
      <c r="O913" s="127" t="str">
        <f t="shared" si="192"/>
        <v/>
      </c>
      <c r="P913" s="127" t="str">
        <f t="shared" si="193"/>
        <v/>
      </c>
      <c r="Q913" s="128" t="str">
        <f t="shared" si="194"/>
        <v/>
      </c>
      <c r="R913" s="129"/>
      <c r="S913" s="130"/>
      <c r="T913" s="131"/>
      <c r="U913" s="131"/>
      <c r="V913" s="132" t="str">
        <f t="shared" si="195"/>
        <v/>
      </c>
      <c r="W913" s="133" t="str">
        <f t="shared" si="196"/>
        <v/>
      </c>
      <c r="X913" s="130"/>
      <c r="Y913" s="131"/>
      <c r="Z913" s="131"/>
      <c r="AA913" s="132" t="str">
        <f t="shared" si="197"/>
        <v/>
      </c>
      <c r="AB913" s="133" t="str">
        <f t="shared" si="198"/>
        <v/>
      </c>
      <c r="AC913" s="134" t="str">
        <f t="shared" si="199"/>
        <v/>
      </c>
      <c r="AD913" s="135" t="str">
        <f t="shared" si="200"/>
        <v/>
      </c>
      <c r="AE913" s="136"/>
      <c r="AF913" s="137"/>
      <c r="AG913" s="137"/>
      <c r="AH913" s="138" t="str">
        <f t="shared" si="201"/>
        <v/>
      </c>
      <c r="AI913" s="133" t="str">
        <f t="shared" si="202"/>
        <v/>
      </c>
    </row>
    <row r="914" spans="1:35">
      <c r="A914" s="171" t="str">
        <f>IF('09월 조업일지'!A900="","",'09월 조업일지'!A900)</f>
        <v/>
      </c>
      <c r="B914" s="172" t="str">
        <f>'09월 조업일지'!E900</f>
        <v/>
      </c>
      <c r="C914" s="172" t="str">
        <f>'09월 조업일지'!F900</f>
        <v/>
      </c>
      <c r="D914" s="172" t="str">
        <f>'09월 화학성분'!C901</f>
        <v/>
      </c>
      <c r="E914" s="205" t="str">
        <f t="shared" si="203"/>
        <v/>
      </c>
      <c r="F914" s="121"/>
      <c r="G914" s="122"/>
      <c r="H914" s="123"/>
      <c r="I914" s="122"/>
      <c r="J914" s="123"/>
      <c r="K914" s="122"/>
      <c r="L914" s="124" t="str">
        <f t="shared" si="204"/>
        <v/>
      </c>
      <c r="M914" s="125" t="str">
        <f t="shared" si="204"/>
        <v/>
      </c>
      <c r="N914" s="126" t="str">
        <f t="shared" si="191"/>
        <v/>
      </c>
      <c r="O914" s="127" t="str">
        <f t="shared" si="192"/>
        <v/>
      </c>
      <c r="P914" s="127" t="str">
        <f t="shared" si="193"/>
        <v/>
      </c>
      <c r="Q914" s="128" t="str">
        <f t="shared" si="194"/>
        <v/>
      </c>
      <c r="R914" s="129"/>
      <c r="S914" s="130"/>
      <c r="T914" s="131"/>
      <c r="U914" s="131"/>
      <c r="V914" s="132" t="str">
        <f t="shared" si="195"/>
        <v/>
      </c>
      <c r="W914" s="133" t="str">
        <f t="shared" si="196"/>
        <v/>
      </c>
      <c r="X914" s="130"/>
      <c r="Y914" s="131"/>
      <c r="Z914" s="131"/>
      <c r="AA914" s="132" t="str">
        <f t="shared" si="197"/>
        <v/>
      </c>
      <c r="AB914" s="133" t="str">
        <f t="shared" si="198"/>
        <v/>
      </c>
      <c r="AC914" s="134" t="str">
        <f t="shared" si="199"/>
        <v/>
      </c>
      <c r="AD914" s="135" t="str">
        <f t="shared" si="200"/>
        <v/>
      </c>
      <c r="AE914" s="136"/>
      <c r="AF914" s="137"/>
      <c r="AG914" s="137"/>
      <c r="AH914" s="138" t="str">
        <f t="shared" si="201"/>
        <v/>
      </c>
      <c r="AI914" s="133" t="str">
        <f t="shared" si="202"/>
        <v/>
      </c>
    </row>
    <row r="915" spans="1:35">
      <c r="A915" s="171" t="str">
        <f>IF('09월 조업일지'!A901="","",'09월 조업일지'!A901)</f>
        <v/>
      </c>
      <c r="B915" s="172" t="str">
        <f>'09월 조업일지'!E901</f>
        <v/>
      </c>
      <c r="C915" s="172" t="str">
        <f>'09월 조업일지'!F901</f>
        <v/>
      </c>
      <c r="D915" s="172" t="str">
        <f>'09월 화학성분'!C902</f>
        <v/>
      </c>
      <c r="E915" s="205" t="str">
        <f t="shared" si="203"/>
        <v/>
      </c>
      <c r="F915" s="121"/>
      <c r="G915" s="122"/>
      <c r="H915" s="123"/>
      <c r="I915" s="122"/>
      <c r="J915" s="123"/>
      <c r="K915" s="122"/>
      <c r="L915" s="124" t="str">
        <f t="shared" si="204"/>
        <v/>
      </c>
      <c r="M915" s="125" t="str">
        <f t="shared" si="204"/>
        <v/>
      </c>
      <c r="N915" s="126" t="str">
        <f t="shared" si="191"/>
        <v/>
      </c>
      <c r="O915" s="127" t="str">
        <f t="shared" si="192"/>
        <v/>
      </c>
      <c r="P915" s="127" t="str">
        <f t="shared" si="193"/>
        <v/>
      </c>
      <c r="Q915" s="128" t="str">
        <f t="shared" si="194"/>
        <v/>
      </c>
      <c r="R915" s="129"/>
      <c r="S915" s="130"/>
      <c r="T915" s="131"/>
      <c r="U915" s="131"/>
      <c r="V915" s="132" t="str">
        <f t="shared" si="195"/>
        <v/>
      </c>
      <c r="W915" s="133" t="str">
        <f t="shared" si="196"/>
        <v/>
      </c>
      <c r="X915" s="130"/>
      <c r="Y915" s="131"/>
      <c r="Z915" s="131"/>
      <c r="AA915" s="132" t="str">
        <f t="shared" si="197"/>
        <v/>
      </c>
      <c r="AB915" s="133" t="str">
        <f t="shared" si="198"/>
        <v/>
      </c>
      <c r="AC915" s="134" t="str">
        <f t="shared" si="199"/>
        <v/>
      </c>
      <c r="AD915" s="135" t="str">
        <f t="shared" si="200"/>
        <v/>
      </c>
      <c r="AE915" s="136"/>
      <c r="AF915" s="137"/>
      <c r="AG915" s="137"/>
      <c r="AH915" s="138" t="str">
        <f t="shared" si="201"/>
        <v/>
      </c>
      <c r="AI915" s="133" t="str">
        <f t="shared" si="202"/>
        <v/>
      </c>
    </row>
    <row r="916" spans="1:35">
      <c r="A916" s="171" t="str">
        <f>IF('09월 조업일지'!A902="","",'09월 조업일지'!A902)</f>
        <v/>
      </c>
      <c r="B916" s="172" t="str">
        <f>'09월 조업일지'!E902</f>
        <v/>
      </c>
      <c r="C916" s="172" t="str">
        <f>'09월 조업일지'!F902</f>
        <v/>
      </c>
      <c r="D916" s="172" t="str">
        <f>'09월 화학성분'!C903</f>
        <v/>
      </c>
      <c r="E916" s="205" t="str">
        <f t="shared" si="203"/>
        <v/>
      </c>
      <c r="F916" s="121"/>
      <c r="G916" s="122"/>
      <c r="H916" s="123"/>
      <c r="I916" s="122"/>
      <c r="J916" s="123"/>
      <c r="K916" s="122"/>
      <c r="L916" s="124" t="str">
        <f t="shared" si="204"/>
        <v/>
      </c>
      <c r="M916" s="125" t="str">
        <f t="shared" si="204"/>
        <v/>
      </c>
      <c r="N916" s="126" t="str">
        <f t="shared" si="191"/>
        <v/>
      </c>
      <c r="O916" s="127" t="str">
        <f t="shared" si="192"/>
        <v/>
      </c>
      <c r="P916" s="127" t="str">
        <f t="shared" si="193"/>
        <v/>
      </c>
      <c r="Q916" s="128" t="str">
        <f t="shared" si="194"/>
        <v/>
      </c>
      <c r="R916" s="129"/>
      <c r="S916" s="130"/>
      <c r="T916" s="131"/>
      <c r="U916" s="131"/>
      <c r="V916" s="132" t="str">
        <f t="shared" si="195"/>
        <v/>
      </c>
      <c r="W916" s="133" t="str">
        <f t="shared" si="196"/>
        <v/>
      </c>
      <c r="X916" s="130"/>
      <c r="Y916" s="131"/>
      <c r="Z916" s="131"/>
      <c r="AA916" s="132" t="str">
        <f t="shared" si="197"/>
        <v/>
      </c>
      <c r="AB916" s="133" t="str">
        <f t="shared" si="198"/>
        <v/>
      </c>
      <c r="AC916" s="134" t="str">
        <f t="shared" si="199"/>
        <v/>
      </c>
      <c r="AD916" s="135" t="str">
        <f t="shared" si="200"/>
        <v/>
      </c>
      <c r="AE916" s="136"/>
      <c r="AF916" s="137"/>
      <c r="AG916" s="137"/>
      <c r="AH916" s="138" t="str">
        <f t="shared" si="201"/>
        <v/>
      </c>
      <c r="AI916" s="133" t="str">
        <f t="shared" si="202"/>
        <v/>
      </c>
    </row>
    <row r="917" spans="1:35">
      <c r="A917" s="171" t="str">
        <f>IF('09월 조업일지'!A903="","",'09월 조업일지'!A903)</f>
        <v/>
      </c>
      <c r="B917" s="172" t="str">
        <f>'09월 조업일지'!E903</f>
        <v/>
      </c>
      <c r="C917" s="172" t="str">
        <f>'09월 조업일지'!F903</f>
        <v/>
      </c>
      <c r="D917" s="172" t="str">
        <f>'09월 화학성분'!C904</f>
        <v/>
      </c>
      <c r="E917" s="205" t="str">
        <f t="shared" si="203"/>
        <v/>
      </c>
      <c r="F917" s="121"/>
      <c r="G917" s="122"/>
      <c r="H917" s="123"/>
      <c r="I917" s="122"/>
      <c r="J917" s="123"/>
      <c r="K917" s="122"/>
      <c r="L917" s="124" t="str">
        <f t="shared" si="204"/>
        <v/>
      </c>
      <c r="M917" s="125" t="str">
        <f t="shared" si="204"/>
        <v/>
      </c>
      <c r="N917" s="126" t="str">
        <f t="shared" si="191"/>
        <v/>
      </c>
      <c r="O917" s="127" t="str">
        <f t="shared" si="192"/>
        <v/>
      </c>
      <c r="P917" s="127" t="str">
        <f t="shared" si="193"/>
        <v/>
      </c>
      <c r="Q917" s="128" t="str">
        <f t="shared" si="194"/>
        <v/>
      </c>
      <c r="R917" s="129"/>
      <c r="S917" s="130"/>
      <c r="T917" s="131"/>
      <c r="U917" s="131"/>
      <c r="V917" s="132" t="str">
        <f t="shared" si="195"/>
        <v/>
      </c>
      <c r="W917" s="133" t="str">
        <f t="shared" si="196"/>
        <v/>
      </c>
      <c r="X917" s="130"/>
      <c r="Y917" s="131"/>
      <c r="Z917" s="131"/>
      <c r="AA917" s="132" t="str">
        <f t="shared" si="197"/>
        <v/>
      </c>
      <c r="AB917" s="133" t="str">
        <f t="shared" si="198"/>
        <v/>
      </c>
      <c r="AC917" s="134" t="str">
        <f t="shared" si="199"/>
        <v/>
      </c>
      <c r="AD917" s="135" t="str">
        <f t="shared" si="200"/>
        <v/>
      </c>
      <c r="AE917" s="136"/>
      <c r="AF917" s="137"/>
      <c r="AG917" s="137"/>
      <c r="AH917" s="138" t="str">
        <f t="shared" si="201"/>
        <v/>
      </c>
      <c r="AI917" s="133" t="str">
        <f t="shared" si="202"/>
        <v/>
      </c>
    </row>
    <row r="918" spans="1:35">
      <c r="A918" s="171" t="str">
        <f>IF('09월 조업일지'!A904="","",'09월 조업일지'!A904)</f>
        <v/>
      </c>
      <c r="B918" s="172" t="str">
        <f>'09월 조업일지'!E904</f>
        <v/>
      </c>
      <c r="C918" s="172" t="str">
        <f>'09월 조업일지'!F904</f>
        <v/>
      </c>
      <c r="D918" s="172" t="str">
        <f>'09월 화학성분'!C905</f>
        <v/>
      </c>
      <c r="E918" s="205" t="str">
        <f t="shared" si="203"/>
        <v/>
      </c>
      <c r="F918" s="121"/>
      <c r="G918" s="122"/>
      <c r="H918" s="123"/>
      <c r="I918" s="122"/>
      <c r="J918" s="123"/>
      <c r="K918" s="122"/>
      <c r="L918" s="124" t="str">
        <f t="shared" si="204"/>
        <v/>
      </c>
      <c r="M918" s="125" t="str">
        <f t="shared" si="204"/>
        <v/>
      </c>
      <c r="N918" s="126" t="str">
        <f t="shared" si="191"/>
        <v/>
      </c>
      <c r="O918" s="127" t="str">
        <f t="shared" si="192"/>
        <v/>
      </c>
      <c r="P918" s="127" t="str">
        <f t="shared" si="193"/>
        <v/>
      </c>
      <c r="Q918" s="128" t="str">
        <f t="shared" si="194"/>
        <v/>
      </c>
      <c r="R918" s="129"/>
      <c r="S918" s="130"/>
      <c r="T918" s="131"/>
      <c r="U918" s="131"/>
      <c r="V918" s="132" t="str">
        <f t="shared" si="195"/>
        <v/>
      </c>
      <c r="W918" s="133" t="str">
        <f t="shared" si="196"/>
        <v/>
      </c>
      <c r="X918" s="130"/>
      <c r="Y918" s="131"/>
      <c r="Z918" s="131"/>
      <c r="AA918" s="132" t="str">
        <f t="shared" si="197"/>
        <v/>
      </c>
      <c r="AB918" s="133" t="str">
        <f t="shared" si="198"/>
        <v/>
      </c>
      <c r="AC918" s="134" t="str">
        <f t="shared" si="199"/>
        <v/>
      </c>
      <c r="AD918" s="135" t="str">
        <f t="shared" si="200"/>
        <v/>
      </c>
      <c r="AE918" s="136"/>
      <c r="AF918" s="137"/>
      <c r="AG918" s="137"/>
      <c r="AH918" s="138" t="str">
        <f t="shared" si="201"/>
        <v/>
      </c>
      <c r="AI918" s="133" t="str">
        <f t="shared" si="202"/>
        <v/>
      </c>
    </row>
    <row r="919" spans="1:35">
      <c r="A919" s="171" t="str">
        <f>IF('09월 조업일지'!A905="","",'09월 조업일지'!A905)</f>
        <v/>
      </c>
      <c r="B919" s="172" t="str">
        <f>'09월 조업일지'!E905</f>
        <v/>
      </c>
      <c r="C919" s="172" t="str">
        <f>'09월 조업일지'!F905</f>
        <v/>
      </c>
      <c r="D919" s="172" t="str">
        <f>'09월 화학성분'!C906</f>
        <v/>
      </c>
      <c r="E919" s="205" t="str">
        <f t="shared" si="203"/>
        <v/>
      </c>
      <c r="F919" s="121"/>
      <c r="G919" s="122"/>
      <c r="H919" s="123"/>
      <c r="I919" s="122"/>
      <c r="J919" s="123"/>
      <c r="K919" s="122"/>
      <c r="L919" s="124" t="str">
        <f t="shared" si="204"/>
        <v/>
      </c>
      <c r="M919" s="125" t="str">
        <f t="shared" si="204"/>
        <v/>
      </c>
      <c r="N919" s="126" t="str">
        <f t="shared" si="191"/>
        <v/>
      </c>
      <c r="O919" s="127" t="str">
        <f t="shared" si="192"/>
        <v/>
      </c>
      <c r="P919" s="127" t="str">
        <f t="shared" si="193"/>
        <v/>
      </c>
      <c r="Q919" s="128" t="str">
        <f t="shared" si="194"/>
        <v/>
      </c>
      <c r="R919" s="129"/>
      <c r="S919" s="130"/>
      <c r="T919" s="131"/>
      <c r="U919" s="131"/>
      <c r="V919" s="132" t="str">
        <f t="shared" si="195"/>
        <v/>
      </c>
      <c r="W919" s="133" t="str">
        <f t="shared" si="196"/>
        <v/>
      </c>
      <c r="X919" s="130"/>
      <c r="Y919" s="131"/>
      <c r="Z919" s="131"/>
      <c r="AA919" s="132" t="str">
        <f t="shared" si="197"/>
        <v/>
      </c>
      <c r="AB919" s="133" t="str">
        <f t="shared" si="198"/>
        <v/>
      </c>
      <c r="AC919" s="134" t="str">
        <f t="shared" si="199"/>
        <v/>
      </c>
      <c r="AD919" s="135" t="str">
        <f t="shared" si="200"/>
        <v/>
      </c>
      <c r="AE919" s="136"/>
      <c r="AF919" s="137"/>
      <c r="AG919" s="137"/>
      <c r="AH919" s="138" t="str">
        <f t="shared" si="201"/>
        <v/>
      </c>
      <c r="AI919" s="133" t="str">
        <f t="shared" si="202"/>
        <v/>
      </c>
    </row>
    <row r="920" spans="1:35">
      <c r="A920" s="171" t="str">
        <f>IF('09월 조업일지'!A906="","",'09월 조업일지'!A906)</f>
        <v/>
      </c>
      <c r="B920" s="172" t="str">
        <f>'09월 조업일지'!E906</f>
        <v/>
      </c>
      <c r="C920" s="172" t="str">
        <f>'09월 조업일지'!F906</f>
        <v/>
      </c>
      <c r="D920" s="172" t="str">
        <f>'09월 화학성분'!C907</f>
        <v/>
      </c>
      <c r="E920" s="205" t="str">
        <f t="shared" si="203"/>
        <v/>
      </c>
      <c r="F920" s="121"/>
      <c r="G920" s="122"/>
      <c r="H920" s="123"/>
      <c r="I920" s="122"/>
      <c r="J920" s="123"/>
      <c r="K920" s="122"/>
      <c r="L920" s="124" t="str">
        <f t="shared" si="204"/>
        <v/>
      </c>
      <c r="M920" s="125" t="str">
        <f t="shared" si="204"/>
        <v/>
      </c>
      <c r="N920" s="126" t="str">
        <f t="shared" ref="N920:N960" si="205">IF(ISBLANK(G920),"",G920/R920)</f>
        <v/>
      </c>
      <c r="O920" s="127" t="str">
        <f t="shared" ref="O920:O960" si="206">IF(ISBLANK(I920),"",+I920/R920)</f>
        <v/>
      </c>
      <c r="P920" s="127" t="str">
        <f t="shared" ref="P920:P960" si="207">IF(ISBLANK(K920),"",K920/R920)</f>
        <v/>
      </c>
      <c r="Q920" s="128" t="str">
        <f t="shared" ref="Q920:Q960" si="208">IF(ISBLANK(K920),"",SUM(N920:P920))</f>
        <v/>
      </c>
      <c r="R920" s="129"/>
      <c r="S920" s="130"/>
      <c r="T920" s="131"/>
      <c r="U920" s="131"/>
      <c r="V920" s="132" t="str">
        <f t="shared" ref="V920:V960" si="209">IF(SUM(S920:U920)=0,"",SUM(S920:U920))</f>
        <v/>
      </c>
      <c r="W920" s="133" t="str">
        <f t="shared" ref="W920:W960" si="210">IF(V920="","",V920/R920)</f>
        <v/>
      </c>
      <c r="X920" s="130"/>
      <c r="Y920" s="131"/>
      <c r="Z920" s="131"/>
      <c r="AA920" s="132" t="str">
        <f t="shared" ref="AA920:AA960" si="211">IF(SUM(X920:Z920)=0,"",SUM(X920:Z920))</f>
        <v/>
      </c>
      <c r="AB920" s="133" t="str">
        <f t="shared" ref="AB920:AB960" si="212">IF(AA920="","",AA920/R920)</f>
        <v/>
      </c>
      <c r="AC920" s="134" t="str">
        <f t="shared" ref="AC920:AC960" si="213">IF(SUM(V920,AA920)=0,"",SUM(V920,AA920))</f>
        <v/>
      </c>
      <c r="AD920" s="135" t="str">
        <f t="shared" ref="AD920:AD960" si="214">IF(AC920="","",AC920/R920)</f>
        <v/>
      </c>
      <c r="AE920" s="136"/>
      <c r="AF920" s="137"/>
      <c r="AG920" s="137"/>
      <c r="AH920" s="138" t="str">
        <f t="shared" ref="AH920:AH960" si="215">IF(SUM(AE920:AG920)=0,"",SUM(AE920:AG920))</f>
        <v/>
      </c>
      <c r="AI920" s="133" t="str">
        <f t="shared" ref="AI920:AI960" si="216">IF(AH920="","",AH920/R920)</f>
        <v/>
      </c>
    </row>
    <row r="921" spans="1:35">
      <c r="A921" s="171" t="str">
        <f>IF('09월 조업일지'!A907="","",'09월 조업일지'!A907)</f>
        <v/>
      </c>
      <c r="B921" s="172" t="str">
        <f>'09월 조업일지'!E907</f>
        <v/>
      </c>
      <c r="C921" s="172" t="str">
        <f>'09월 조업일지'!F907</f>
        <v/>
      </c>
      <c r="D921" s="172" t="str">
        <f>'09월 화학성분'!C908</f>
        <v/>
      </c>
      <c r="E921" s="205" t="str">
        <f t="shared" ref="E921:E960" si="217">IF(F921="","",E920)</f>
        <v/>
      </c>
      <c r="F921" s="121"/>
      <c r="G921" s="122"/>
      <c r="H921" s="123"/>
      <c r="I921" s="122"/>
      <c r="J921" s="123"/>
      <c r="K921" s="122"/>
      <c r="L921" s="124" t="str">
        <f t="shared" si="204"/>
        <v/>
      </c>
      <c r="M921" s="125" t="str">
        <f t="shared" si="204"/>
        <v/>
      </c>
      <c r="N921" s="126" t="str">
        <f t="shared" si="205"/>
        <v/>
      </c>
      <c r="O921" s="127" t="str">
        <f t="shared" si="206"/>
        <v/>
      </c>
      <c r="P921" s="127" t="str">
        <f t="shared" si="207"/>
        <v/>
      </c>
      <c r="Q921" s="128" t="str">
        <f t="shared" si="208"/>
        <v/>
      </c>
      <c r="R921" s="129"/>
      <c r="S921" s="130"/>
      <c r="T921" s="131"/>
      <c r="U921" s="131"/>
      <c r="V921" s="132" t="str">
        <f t="shared" si="209"/>
        <v/>
      </c>
      <c r="W921" s="133" t="str">
        <f t="shared" si="210"/>
        <v/>
      </c>
      <c r="X921" s="130"/>
      <c r="Y921" s="131"/>
      <c r="Z921" s="131"/>
      <c r="AA921" s="132" t="str">
        <f t="shared" si="211"/>
        <v/>
      </c>
      <c r="AB921" s="133" t="str">
        <f t="shared" si="212"/>
        <v/>
      </c>
      <c r="AC921" s="134" t="str">
        <f t="shared" si="213"/>
        <v/>
      </c>
      <c r="AD921" s="135" t="str">
        <f t="shared" si="214"/>
        <v/>
      </c>
      <c r="AE921" s="136"/>
      <c r="AF921" s="137"/>
      <c r="AG921" s="137"/>
      <c r="AH921" s="138" t="str">
        <f t="shared" si="215"/>
        <v/>
      </c>
      <c r="AI921" s="133" t="str">
        <f t="shared" si="216"/>
        <v/>
      </c>
    </row>
    <row r="922" spans="1:35">
      <c r="A922" s="171" t="str">
        <f>IF('09월 조업일지'!A908="","",'09월 조업일지'!A908)</f>
        <v/>
      </c>
      <c r="B922" s="172" t="str">
        <f>'09월 조업일지'!E908</f>
        <v/>
      </c>
      <c r="C922" s="172" t="str">
        <f>'09월 조업일지'!F908</f>
        <v/>
      </c>
      <c r="D922" s="172" t="str">
        <f>'09월 화학성분'!C909</f>
        <v/>
      </c>
      <c r="E922" s="205" t="str">
        <f t="shared" si="217"/>
        <v/>
      </c>
      <c r="F922" s="121"/>
      <c r="G922" s="122"/>
      <c r="H922" s="123"/>
      <c r="I922" s="122"/>
      <c r="J922" s="123"/>
      <c r="K922" s="122"/>
      <c r="L922" s="124" t="str">
        <f t="shared" si="204"/>
        <v/>
      </c>
      <c r="M922" s="125" t="str">
        <f t="shared" si="204"/>
        <v/>
      </c>
      <c r="N922" s="126" t="str">
        <f t="shared" si="205"/>
        <v/>
      </c>
      <c r="O922" s="127" t="str">
        <f t="shared" si="206"/>
        <v/>
      </c>
      <c r="P922" s="127" t="str">
        <f t="shared" si="207"/>
        <v/>
      </c>
      <c r="Q922" s="128" t="str">
        <f t="shared" si="208"/>
        <v/>
      </c>
      <c r="R922" s="129"/>
      <c r="S922" s="130"/>
      <c r="T922" s="131"/>
      <c r="U922" s="131"/>
      <c r="V922" s="132" t="str">
        <f t="shared" si="209"/>
        <v/>
      </c>
      <c r="W922" s="133" t="str">
        <f t="shared" si="210"/>
        <v/>
      </c>
      <c r="X922" s="130"/>
      <c r="Y922" s="131"/>
      <c r="Z922" s="131"/>
      <c r="AA922" s="132" t="str">
        <f t="shared" si="211"/>
        <v/>
      </c>
      <c r="AB922" s="133" t="str">
        <f t="shared" si="212"/>
        <v/>
      </c>
      <c r="AC922" s="134" t="str">
        <f t="shared" si="213"/>
        <v/>
      </c>
      <c r="AD922" s="135" t="str">
        <f t="shared" si="214"/>
        <v/>
      </c>
      <c r="AE922" s="136"/>
      <c r="AF922" s="137"/>
      <c r="AG922" s="137"/>
      <c r="AH922" s="138" t="str">
        <f t="shared" si="215"/>
        <v/>
      </c>
      <c r="AI922" s="133" t="str">
        <f t="shared" si="216"/>
        <v/>
      </c>
    </row>
    <row r="923" spans="1:35">
      <c r="A923" s="171" t="str">
        <f>IF('09월 조업일지'!A909="","",'09월 조업일지'!A909)</f>
        <v/>
      </c>
      <c r="B923" s="172" t="str">
        <f>'09월 조업일지'!E909</f>
        <v/>
      </c>
      <c r="C923" s="172" t="str">
        <f>'09월 조업일지'!F909</f>
        <v/>
      </c>
      <c r="D923" s="172" t="str">
        <f>'09월 화학성분'!C910</f>
        <v/>
      </c>
      <c r="E923" s="205" t="str">
        <f t="shared" si="217"/>
        <v/>
      </c>
      <c r="F923" s="121"/>
      <c r="G923" s="122"/>
      <c r="H923" s="123"/>
      <c r="I923" s="122"/>
      <c r="J923" s="123"/>
      <c r="K923" s="122"/>
      <c r="L923" s="124" t="str">
        <f t="shared" si="204"/>
        <v/>
      </c>
      <c r="M923" s="125" t="str">
        <f t="shared" si="204"/>
        <v/>
      </c>
      <c r="N923" s="126" t="str">
        <f t="shared" si="205"/>
        <v/>
      </c>
      <c r="O923" s="127" t="str">
        <f t="shared" si="206"/>
        <v/>
      </c>
      <c r="P923" s="127" t="str">
        <f t="shared" si="207"/>
        <v/>
      </c>
      <c r="Q923" s="128" t="str">
        <f t="shared" si="208"/>
        <v/>
      </c>
      <c r="R923" s="129"/>
      <c r="S923" s="130"/>
      <c r="T923" s="131"/>
      <c r="U923" s="131"/>
      <c r="V923" s="132" t="str">
        <f t="shared" si="209"/>
        <v/>
      </c>
      <c r="W923" s="133" t="str">
        <f t="shared" si="210"/>
        <v/>
      </c>
      <c r="X923" s="130"/>
      <c r="Y923" s="131"/>
      <c r="Z923" s="131"/>
      <c r="AA923" s="132" t="str">
        <f t="shared" si="211"/>
        <v/>
      </c>
      <c r="AB923" s="133" t="str">
        <f t="shared" si="212"/>
        <v/>
      </c>
      <c r="AC923" s="134" t="str">
        <f t="shared" si="213"/>
        <v/>
      </c>
      <c r="AD923" s="135" t="str">
        <f t="shared" si="214"/>
        <v/>
      </c>
      <c r="AE923" s="136"/>
      <c r="AF923" s="137"/>
      <c r="AG923" s="137"/>
      <c r="AH923" s="138" t="str">
        <f t="shared" si="215"/>
        <v/>
      </c>
      <c r="AI923" s="133" t="str">
        <f t="shared" si="216"/>
        <v/>
      </c>
    </row>
    <row r="924" spans="1:35">
      <c r="A924" s="171" t="str">
        <f>IF('09월 조업일지'!A910="","",'09월 조업일지'!A910)</f>
        <v/>
      </c>
      <c r="B924" s="172" t="str">
        <f>'09월 조업일지'!E910</f>
        <v/>
      </c>
      <c r="C924" s="172" t="str">
        <f>'09월 조업일지'!F910</f>
        <v/>
      </c>
      <c r="D924" s="172" t="str">
        <f>'09월 화학성분'!C911</f>
        <v/>
      </c>
      <c r="E924" s="205" t="str">
        <f t="shared" si="217"/>
        <v/>
      </c>
      <c r="F924" s="121"/>
      <c r="G924" s="122"/>
      <c r="H924" s="123"/>
      <c r="I924" s="122"/>
      <c r="J924" s="123"/>
      <c r="K924" s="122"/>
      <c r="L924" s="124" t="str">
        <f t="shared" si="204"/>
        <v/>
      </c>
      <c r="M924" s="125" t="str">
        <f t="shared" si="204"/>
        <v/>
      </c>
      <c r="N924" s="126" t="str">
        <f t="shared" si="205"/>
        <v/>
      </c>
      <c r="O924" s="127" t="str">
        <f t="shared" si="206"/>
        <v/>
      </c>
      <c r="P924" s="127" t="str">
        <f t="shared" si="207"/>
        <v/>
      </c>
      <c r="Q924" s="128" t="str">
        <f t="shared" si="208"/>
        <v/>
      </c>
      <c r="R924" s="129"/>
      <c r="S924" s="130"/>
      <c r="T924" s="131"/>
      <c r="U924" s="131"/>
      <c r="V924" s="132" t="str">
        <f t="shared" si="209"/>
        <v/>
      </c>
      <c r="W924" s="133" t="str">
        <f t="shared" si="210"/>
        <v/>
      </c>
      <c r="X924" s="130"/>
      <c r="Y924" s="131"/>
      <c r="Z924" s="131"/>
      <c r="AA924" s="132" t="str">
        <f t="shared" si="211"/>
        <v/>
      </c>
      <c r="AB924" s="133" t="str">
        <f t="shared" si="212"/>
        <v/>
      </c>
      <c r="AC924" s="134" t="str">
        <f t="shared" si="213"/>
        <v/>
      </c>
      <c r="AD924" s="135" t="str">
        <f t="shared" si="214"/>
        <v/>
      </c>
      <c r="AE924" s="136"/>
      <c r="AF924" s="137"/>
      <c r="AG924" s="137"/>
      <c r="AH924" s="138" t="str">
        <f t="shared" si="215"/>
        <v/>
      </c>
      <c r="AI924" s="133" t="str">
        <f t="shared" si="216"/>
        <v/>
      </c>
    </row>
    <row r="925" spans="1:35">
      <c r="A925" s="171" t="str">
        <f>IF('09월 조업일지'!A911="","",'09월 조업일지'!A911)</f>
        <v/>
      </c>
      <c r="B925" s="172" t="str">
        <f>'09월 조업일지'!E911</f>
        <v/>
      </c>
      <c r="C925" s="172" t="str">
        <f>'09월 조업일지'!F911</f>
        <v/>
      </c>
      <c r="D925" s="172" t="str">
        <f>'09월 화학성분'!C912</f>
        <v/>
      </c>
      <c r="E925" s="205" t="str">
        <f t="shared" si="217"/>
        <v/>
      </c>
      <c r="F925" s="121"/>
      <c r="G925" s="122"/>
      <c r="H925" s="123"/>
      <c r="I925" s="122"/>
      <c r="J925" s="123"/>
      <c r="K925" s="122"/>
      <c r="L925" s="124" t="str">
        <f t="shared" si="204"/>
        <v/>
      </c>
      <c r="M925" s="125" t="str">
        <f t="shared" si="204"/>
        <v/>
      </c>
      <c r="N925" s="126" t="str">
        <f t="shared" si="205"/>
        <v/>
      </c>
      <c r="O925" s="127" t="str">
        <f t="shared" si="206"/>
        <v/>
      </c>
      <c r="P925" s="127" t="str">
        <f t="shared" si="207"/>
        <v/>
      </c>
      <c r="Q925" s="128" t="str">
        <f t="shared" si="208"/>
        <v/>
      </c>
      <c r="R925" s="129"/>
      <c r="S925" s="130"/>
      <c r="T925" s="131"/>
      <c r="U925" s="131"/>
      <c r="V925" s="132" t="str">
        <f t="shared" si="209"/>
        <v/>
      </c>
      <c r="W925" s="133" t="str">
        <f t="shared" si="210"/>
        <v/>
      </c>
      <c r="X925" s="130"/>
      <c r="Y925" s="131"/>
      <c r="Z925" s="131"/>
      <c r="AA925" s="132" t="str">
        <f t="shared" si="211"/>
        <v/>
      </c>
      <c r="AB925" s="133" t="str">
        <f t="shared" si="212"/>
        <v/>
      </c>
      <c r="AC925" s="134" t="str">
        <f t="shared" si="213"/>
        <v/>
      </c>
      <c r="AD925" s="135" t="str">
        <f t="shared" si="214"/>
        <v/>
      </c>
      <c r="AE925" s="136"/>
      <c r="AF925" s="137"/>
      <c r="AG925" s="137"/>
      <c r="AH925" s="138" t="str">
        <f t="shared" si="215"/>
        <v/>
      </c>
      <c r="AI925" s="133" t="str">
        <f t="shared" si="216"/>
        <v/>
      </c>
    </row>
    <row r="926" spans="1:35">
      <c r="A926" s="171" t="str">
        <f>IF('09월 조업일지'!A912="","",'09월 조업일지'!A912)</f>
        <v/>
      </c>
      <c r="B926" s="172" t="str">
        <f>'09월 조업일지'!E912</f>
        <v/>
      </c>
      <c r="C926" s="172" t="str">
        <f>'09월 조업일지'!F912</f>
        <v/>
      </c>
      <c r="D926" s="172" t="str">
        <f>'09월 화학성분'!C913</f>
        <v/>
      </c>
      <c r="E926" s="205" t="str">
        <f t="shared" si="217"/>
        <v/>
      </c>
      <c r="F926" s="121"/>
      <c r="G926" s="122"/>
      <c r="H926" s="123"/>
      <c r="I926" s="122"/>
      <c r="J926" s="123"/>
      <c r="K926" s="122"/>
      <c r="L926" s="124" t="str">
        <f t="shared" si="204"/>
        <v/>
      </c>
      <c r="M926" s="125" t="str">
        <f t="shared" si="204"/>
        <v/>
      </c>
      <c r="N926" s="126" t="str">
        <f t="shared" si="205"/>
        <v/>
      </c>
      <c r="O926" s="127" t="str">
        <f t="shared" si="206"/>
        <v/>
      </c>
      <c r="P926" s="127" t="str">
        <f t="shared" si="207"/>
        <v/>
      </c>
      <c r="Q926" s="128" t="str">
        <f t="shared" si="208"/>
        <v/>
      </c>
      <c r="R926" s="129"/>
      <c r="S926" s="130"/>
      <c r="T926" s="131"/>
      <c r="U926" s="131"/>
      <c r="V926" s="132" t="str">
        <f t="shared" si="209"/>
        <v/>
      </c>
      <c r="W926" s="133" t="str">
        <f t="shared" si="210"/>
        <v/>
      </c>
      <c r="X926" s="130"/>
      <c r="Y926" s="131"/>
      <c r="Z926" s="131"/>
      <c r="AA926" s="132" t="str">
        <f t="shared" si="211"/>
        <v/>
      </c>
      <c r="AB926" s="133" t="str">
        <f t="shared" si="212"/>
        <v/>
      </c>
      <c r="AC926" s="134" t="str">
        <f t="shared" si="213"/>
        <v/>
      </c>
      <c r="AD926" s="135" t="str">
        <f t="shared" si="214"/>
        <v/>
      </c>
      <c r="AE926" s="136"/>
      <c r="AF926" s="137"/>
      <c r="AG926" s="137"/>
      <c r="AH926" s="138" t="str">
        <f t="shared" si="215"/>
        <v/>
      </c>
      <c r="AI926" s="133" t="str">
        <f t="shared" si="216"/>
        <v/>
      </c>
    </row>
    <row r="927" spans="1:35">
      <c r="A927" s="171" t="str">
        <f>IF('09월 조업일지'!A913="","",'09월 조업일지'!A913)</f>
        <v/>
      </c>
      <c r="B927" s="172" t="str">
        <f>'09월 조업일지'!E913</f>
        <v/>
      </c>
      <c r="C927" s="172" t="str">
        <f>'09월 조업일지'!F913</f>
        <v/>
      </c>
      <c r="D927" s="172" t="str">
        <f>'09월 화학성분'!C914</f>
        <v/>
      </c>
      <c r="E927" s="205" t="str">
        <f t="shared" si="217"/>
        <v/>
      </c>
      <c r="F927" s="121"/>
      <c r="G927" s="122"/>
      <c r="H927" s="123"/>
      <c r="I927" s="122"/>
      <c r="J927" s="123"/>
      <c r="K927" s="122"/>
      <c r="L927" s="124" t="str">
        <f t="shared" si="204"/>
        <v/>
      </c>
      <c r="M927" s="125" t="str">
        <f t="shared" si="204"/>
        <v/>
      </c>
      <c r="N927" s="126" t="str">
        <f t="shared" si="205"/>
        <v/>
      </c>
      <c r="O927" s="127" t="str">
        <f t="shared" si="206"/>
        <v/>
      </c>
      <c r="P927" s="127" t="str">
        <f t="shared" si="207"/>
        <v/>
      </c>
      <c r="Q927" s="128" t="str">
        <f t="shared" si="208"/>
        <v/>
      </c>
      <c r="R927" s="129"/>
      <c r="S927" s="130"/>
      <c r="T927" s="131"/>
      <c r="U927" s="131"/>
      <c r="V927" s="132" t="str">
        <f t="shared" si="209"/>
        <v/>
      </c>
      <c r="W927" s="133" t="str">
        <f t="shared" si="210"/>
        <v/>
      </c>
      <c r="X927" s="130"/>
      <c r="Y927" s="131"/>
      <c r="Z927" s="131"/>
      <c r="AA927" s="132" t="str">
        <f t="shared" si="211"/>
        <v/>
      </c>
      <c r="AB927" s="133" t="str">
        <f t="shared" si="212"/>
        <v/>
      </c>
      <c r="AC927" s="134" t="str">
        <f t="shared" si="213"/>
        <v/>
      </c>
      <c r="AD927" s="135" t="str">
        <f t="shared" si="214"/>
        <v/>
      </c>
      <c r="AE927" s="136"/>
      <c r="AF927" s="137"/>
      <c r="AG927" s="137"/>
      <c r="AH927" s="138" t="str">
        <f t="shared" si="215"/>
        <v/>
      </c>
      <c r="AI927" s="133" t="str">
        <f t="shared" si="216"/>
        <v/>
      </c>
    </row>
    <row r="928" spans="1:35">
      <c r="A928" s="171" t="str">
        <f>IF('09월 조업일지'!A914="","",'09월 조업일지'!A914)</f>
        <v/>
      </c>
      <c r="B928" s="172" t="str">
        <f>'09월 조업일지'!E914</f>
        <v/>
      </c>
      <c r="C928" s="172" t="str">
        <f>'09월 조업일지'!F914</f>
        <v/>
      </c>
      <c r="D928" s="172" t="str">
        <f>'09월 화학성분'!C915</f>
        <v/>
      </c>
      <c r="E928" s="205" t="str">
        <f t="shared" si="217"/>
        <v/>
      </c>
      <c r="F928" s="121"/>
      <c r="G928" s="122"/>
      <c r="H928" s="123"/>
      <c r="I928" s="122"/>
      <c r="J928" s="123"/>
      <c r="K928" s="122"/>
      <c r="L928" s="124" t="str">
        <f t="shared" si="204"/>
        <v/>
      </c>
      <c r="M928" s="125" t="str">
        <f t="shared" si="204"/>
        <v/>
      </c>
      <c r="N928" s="126" t="str">
        <f t="shared" si="205"/>
        <v/>
      </c>
      <c r="O928" s="127" t="str">
        <f t="shared" si="206"/>
        <v/>
      </c>
      <c r="P928" s="127" t="str">
        <f t="shared" si="207"/>
        <v/>
      </c>
      <c r="Q928" s="128" t="str">
        <f t="shared" si="208"/>
        <v/>
      </c>
      <c r="R928" s="129"/>
      <c r="S928" s="130"/>
      <c r="T928" s="131"/>
      <c r="U928" s="131"/>
      <c r="V928" s="132" t="str">
        <f t="shared" si="209"/>
        <v/>
      </c>
      <c r="W928" s="133" t="str">
        <f t="shared" si="210"/>
        <v/>
      </c>
      <c r="X928" s="130"/>
      <c r="Y928" s="131"/>
      <c r="Z928" s="131"/>
      <c r="AA928" s="132" t="str">
        <f t="shared" si="211"/>
        <v/>
      </c>
      <c r="AB928" s="133" t="str">
        <f t="shared" si="212"/>
        <v/>
      </c>
      <c r="AC928" s="134" t="str">
        <f t="shared" si="213"/>
        <v/>
      </c>
      <c r="AD928" s="135" t="str">
        <f t="shared" si="214"/>
        <v/>
      </c>
      <c r="AE928" s="136"/>
      <c r="AF928" s="137"/>
      <c r="AG928" s="137"/>
      <c r="AH928" s="138" t="str">
        <f t="shared" si="215"/>
        <v/>
      </c>
      <c r="AI928" s="133" t="str">
        <f t="shared" si="216"/>
        <v/>
      </c>
    </row>
    <row r="929" spans="1:35">
      <c r="A929" s="171" t="str">
        <f>IF('09월 조업일지'!A915="","",'09월 조업일지'!A915)</f>
        <v/>
      </c>
      <c r="B929" s="172" t="str">
        <f>'09월 조업일지'!E915</f>
        <v/>
      </c>
      <c r="C929" s="172" t="str">
        <f>'09월 조업일지'!F915</f>
        <v/>
      </c>
      <c r="D929" s="172" t="str">
        <f>'09월 화학성분'!C916</f>
        <v/>
      </c>
      <c r="E929" s="205" t="str">
        <f t="shared" si="217"/>
        <v/>
      </c>
      <c r="F929" s="121"/>
      <c r="G929" s="122"/>
      <c r="H929" s="123"/>
      <c r="I929" s="122"/>
      <c r="J929" s="123"/>
      <c r="K929" s="122"/>
      <c r="L929" s="124" t="str">
        <f t="shared" si="204"/>
        <v/>
      </c>
      <c r="M929" s="125" t="str">
        <f t="shared" si="204"/>
        <v/>
      </c>
      <c r="N929" s="126" t="str">
        <f t="shared" si="205"/>
        <v/>
      </c>
      <c r="O929" s="127" t="str">
        <f t="shared" si="206"/>
        <v/>
      </c>
      <c r="P929" s="127" t="str">
        <f t="shared" si="207"/>
        <v/>
      </c>
      <c r="Q929" s="128" t="str">
        <f t="shared" si="208"/>
        <v/>
      </c>
      <c r="R929" s="129"/>
      <c r="S929" s="130"/>
      <c r="T929" s="131"/>
      <c r="U929" s="131"/>
      <c r="V929" s="132" t="str">
        <f t="shared" si="209"/>
        <v/>
      </c>
      <c r="W929" s="133" t="str">
        <f t="shared" si="210"/>
        <v/>
      </c>
      <c r="X929" s="130"/>
      <c r="Y929" s="131"/>
      <c r="Z929" s="131"/>
      <c r="AA929" s="132" t="str">
        <f t="shared" si="211"/>
        <v/>
      </c>
      <c r="AB929" s="133" t="str">
        <f t="shared" si="212"/>
        <v/>
      </c>
      <c r="AC929" s="134" t="str">
        <f t="shared" si="213"/>
        <v/>
      </c>
      <c r="AD929" s="135" t="str">
        <f t="shared" si="214"/>
        <v/>
      </c>
      <c r="AE929" s="136"/>
      <c r="AF929" s="137"/>
      <c r="AG929" s="137"/>
      <c r="AH929" s="138" t="str">
        <f t="shared" si="215"/>
        <v/>
      </c>
      <c r="AI929" s="133" t="str">
        <f t="shared" si="216"/>
        <v/>
      </c>
    </row>
    <row r="930" spans="1:35">
      <c r="A930" s="171" t="str">
        <f>IF('09월 조업일지'!A916="","",'09월 조업일지'!A916)</f>
        <v/>
      </c>
      <c r="B930" s="172" t="str">
        <f>'09월 조업일지'!E916</f>
        <v/>
      </c>
      <c r="C930" s="172" t="str">
        <f>'09월 조업일지'!F916</f>
        <v/>
      </c>
      <c r="D930" s="172" t="str">
        <f>'09월 화학성분'!C917</f>
        <v/>
      </c>
      <c r="E930" s="205" t="str">
        <f t="shared" si="217"/>
        <v/>
      </c>
      <c r="F930" s="121"/>
      <c r="G930" s="122"/>
      <c r="H930" s="123"/>
      <c r="I930" s="122"/>
      <c r="J930" s="123"/>
      <c r="K930" s="122"/>
      <c r="L930" s="124" t="str">
        <f t="shared" si="204"/>
        <v/>
      </c>
      <c r="M930" s="125" t="str">
        <f t="shared" si="204"/>
        <v/>
      </c>
      <c r="N930" s="126" t="str">
        <f t="shared" si="205"/>
        <v/>
      </c>
      <c r="O930" s="127" t="str">
        <f t="shared" si="206"/>
        <v/>
      </c>
      <c r="P930" s="127" t="str">
        <f t="shared" si="207"/>
        <v/>
      </c>
      <c r="Q930" s="128" t="str">
        <f t="shared" si="208"/>
        <v/>
      </c>
      <c r="R930" s="129"/>
      <c r="S930" s="130"/>
      <c r="T930" s="131"/>
      <c r="U930" s="131"/>
      <c r="V930" s="132" t="str">
        <f t="shared" si="209"/>
        <v/>
      </c>
      <c r="W930" s="133" t="str">
        <f t="shared" si="210"/>
        <v/>
      </c>
      <c r="X930" s="130"/>
      <c r="Y930" s="131"/>
      <c r="Z930" s="131"/>
      <c r="AA930" s="132" t="str">
        <f t="shared" si="211"/>
        <v/>
      </c>
      <c r="AB930" s="133" t="str">
        <f t="shared" si="212"/>
        <v/>
      </c>
      <c r="AC930" s="134" t="str">
        <f t="shared" si="213"/>
        <v/>
      </c>
      <c r="AD930" s="135" t="str">
        <f t="shared" si="214"/>
        <v/>
      </c>
      <c r="AE930" s="136"/>
      <c r="AF930" s="137"/>
      <c r="AG930" s="137"/>
      <c r="AH930" s="138" t="str">
        <f t="shared" si="215"/>
        <v/>
      </c>
      <c r="AI930" s="133" t="str">
        <f t="shared" si="216"/>
        <v/>
      </c>
    </row>
    <row r="931" spans="1:35">
      <c r="A931" s="171" t="str">
        <f>IF('09월 조업일지'!A917="","",'09월 조업일지'!A917)</f>
        <v/>
      </c>
      <c r="B931" s="172" t="str">
        <f>'09월 조업일지'!E917</f>
        <v/>
      </c>
      <c r="C931" s="172" t="str">
        <f>'09월 조업일지'!F917</f>
        <v/>
      </c>
      <c r="D931" s="172" t="str">
        <f>'09월 화학성분'!C918</f>
        <v/>
      </c>
      <c r="E931" s="205" t="str">
        <f t="shared" si="217"/>
        <v/>
      </c>
      <c r="F931" s="121"/>
      <c r="G931" s="122"/>
      <c r="H931" s="123"/>
      <c r="I931" s="122"/>
      <c r="J931" s="123"/>
      <c r="K931" s="122"/>
      <c r="L931" s="124" t="str">
        <f t="shared" ref="L931:M960" si="218">IF(ISBLANK(F931),"",SUM(F931,H931,J931))</f>
        <v/>
      </c>
      <c r="M931" s="125" t="str">
        <f t="shared" si="218"/>
        <v/>
      </c>
      <c r="N931" s="126" t="str">
        <f t="shared" si="205"/>
        <v/>
      </c>
      <c r="O931" s="127" t="str">
        <f t="shared" si="206"/>
        <v/>
      </c>
      <c r="P931" s="127" t="str">
        <f t="shared" si="207"/>
        <v/>
      </c>
      <c r="Q931" s="128" t="str">
        <f t="shared" si="208"/>
        <v/>
      </c>
      <c r="R931" s="129"/>
      <c r="S931" s="130"/>
      <c r="T931" s="131"/>
      <c r="U931" s="131"/>
      <c r="V931" s="132" t="str">
        <f t="shared" si="209"/>
        <v/>
      </c>
      <c r="W931" s="133" t="str">
        <f t="shared" si="210"/>
        <v/>
      </c>
      <c r="X931" s="130"/>
      <c r="Y931" s="131"/>
      <c r="Z931" s="131"/>
      <c r="AA931" s="132" t="str">
        <f t="shared" si="211"/>
        <v/>
      </c>
      <c r="AB931" s="133" t="str">
        <f t="shared" si="212"/>
        <v/>
      </c>
      <c r="AC931" s="134" t="str">
        <f t="shared" si="213"/>
        <v/>
      </c>
      <c r="AD931" s="135" t="str">
        <f t="shared" si="214"/>
        <v/>
      </c>
      <c r="AE931" s="136"/>
      <c r="AF931" s="137"/>
      <c r="AG931" s="137"/>
      <c r="AH931" s="138" t="str">
        <f t="shared" si="215"/>
        <v/>
      </c>
      <c r="AI931" s="133" t="str">
        <f t="shared" si="216"/>
        <v/>
      </c>
    </row>
    <row r="932" spans="1:35">
      <c r="A932" s="171" t="str">
        <f>IF('09월 조업일지'!A918="","",'09월 조업일지'!A918)</f>
        <v/>
      </c>
      <c r="B932" s="172" t="str">
        <f>'09월 조업일지'!E918</f>
        <v/>
      </c>
      <c r="C932" s="172" t="str">
        <f>'09월 조업일지'!F918</f>
        <v/>
      </c>
      <c r="D932" s="172" t="str">
        <f>'09월 화학성분'!C919</f>
        <v/>
      </c>
      <c r="E932" s="205" t="str">
        <f t="shared" si="217"/>
        <v/>
      </c>
      <c r="F932" s="121"/>
      <c r="G932" s="122"/>
      <c r="H932" s="123"/>
      <c r="I932" s="122"/>
      <c r="J932" s="123"/>
      <c r="K932" s="122"/>
      <c r="L932" s="124" t="str">
        <f t="shared" si="218"/>
        <v/>
      </c>
      <c r="M932" s="125" t="str">
        <f t="shared" si="218"/>
        <v/>
      </c>
      <c r="N932" s="126" t="str">
        <f t="shared" si="205"/>
        <v/>
      </c>
      <c r="O932" s="127" t="str">
        <f t="shared" si="206"/>
        <v/>
      </c>
      <c r="P932" s="127" t="str">
        <f t="shared" si="207"/>
        <v/>
      </c>
      <c r="Q932" s="128" t="str">
        <f t="shared" si="208"/>
        <v/>
      </c>
      <c r="R932" s="129"/>
      <c r="S932" s="130"/>
      <c r="T932" s="131"/>
      <c r="U932" s="131"/>
      <c r="V932" s="132" t="str">
        <f t="shared" si="209"/>
        <v/>
      </c>
      <c r="W932" s="133" t="str">
        <f t="shared" si="210"/>
        <v/>
      </c>
      <c r="X932" s="130"/>
      <c r="Y932" s="131"/>
      <c r="Z932" s="131"/>
      <c r="AA932" s="132" t="str">
        <f t="shared" si="211"/>
        <v/>
      </c>
      <c r="AB932" s="133" t="str">
        <f t="shared" si="212"/>
        <v/>
      </c>
      <c r="AC932" s="134" t="str">
        <f t="shared" si="213"/>
        <v/>
      </c>
      <c r="AD932" s="135" t="str">
        <f t="shared" si="214"/>
        <v/>
      </c>
      <c r="AE932" s="136"/>
      <c r="AF932" s="137"/>
      <c r="AG932" s="137"/>
      <c r="AH932" s="138" t="str">
        <f t="shared" si="215"/>
        <v/>
      </c>
      <c r="AI932" s="133" t="str">
        <f t="shared" si="216"/>
        <v/>
      </c>
    </row>
    <row r="933" spans="1:35">
      <c r="A933" s="171" t="str">
        <f>IF('09월 조업일지'!A919="","",'09월 조업일지'!A919)</f>
        <v/>
      </c>
      <c r="B933" s="172" t="str">
        <f>'09월 조업일지'!E919</f>
        <v/>
      </c>
      <c r="C933" s="172" t="str">
        <f>'09월 조업일지'!F919</f>
        <v/>
      </c>
      <c r="D933" s="172" t="str">
        <f>'09월 화학성분'!C920</f>
        <v/>
      </c>
      <c r="E933" s="205" t="str">
        <f t="shared" si="217"/>
        <v/>
      </c>
      <c r="F933" s="121"/>
      <c r="G933" s="122"/>
      <c r="H933" s="123"/>
      <c r="I933" s="122"/>
      <c r="J933" s="123"/>
      <c r="K933" s="122"/>
      <c r="L933" s="124" t="str">
        <f t="shared" si="218"/>
        <v/>
      </c>
      <c r="M933" s="125" t="str">
        <f t="shared" si="218"/>
        <v/>
      </c>
      <c r="N933" s="126" t="str">
        <f t="shared" si="205"/>
        <v/>
      </c>
      <c r="O933" s="127" t="str">
        <f t="shared" si="206"/>
        <v/>
      </c>
      <c r="P933" s="127" t="str">
        <f t="shared" si="207"/>
        <v/>
      </c>
      <c r="Q933" s="128" t="str">
        <f t="shared" si="208"/>
        <v/>
      </c>
      <c r="R933" s="129"/>
      <c r="S933" s="130"/>
      <c r="T933" s="131"/>
      <c r="U933" s="131"/>
      <c r="V933" s="132" t="str">
        <f t="shared" si="209"/>
        <v/>
      </c>
      <c r="W933" s="133" t="str">
        <f t="shared" si="210"/>
        <v/>
      </c>
      <c r="X933" s="130"/>
      <c r="Y933" s="131"/>
      <c r="Z933" s="131"/>
      <c r="AA933" s="132" t="str">
        <f t="shared" si="211"/>
        <v/>
      </c>
      <c r="AB933" s="133" t="str">
        <f t="shared" si="212"/>
        <v/>
      </c>
      <c r="AC933" s="134" t="str">
        <f t="shared" si="213"/>
        <v/>
      </c>
      <c r="AD933" s="135" t="str">
        <f t="shared" si="214"/>
        <v/>
      </c>
      <c r="AE933" s="136"/>
      <c r="AF933" s="137"/>
      <c r="AG933" s="137"/>
      <c r="AH933" s="138" t="str">
        <f t="shared" si="215"/>
        <v/>
      </c>
      <c r="AI933" s="133" t="str">
        <f t="shared" si="216"/>
        <v/>
      </c>
    </row>
    <row r="934" spans="1:35">
      <c r="A934" s="171" t="str">
        <f>IF('09월 조업일지'!A920="","",'09월 조업일지'!A920)</f>
        <v/>
      </c>
      <c r="B934" s="172" t="str">
        <f>'09월 조업일지'!E920</f>
        <v/>
      </c>
      <c r="C934" s="172" t="str">
        <f>'09월 조업일지'!F920</f>
        <v/>
      </c>
      <c r="D934" s="172" t="str">
        <f>'09월 화학성분'!C921</f>
        <v/>
      </c>
      <c r="E934" s="205" t="str">
        <f t="shared" si="217"/>
        <v/>
      </c>
      <c r="F934" s="121"/>
      <c r="G934" s="122"/>
      <c r="H934" s="123"/>
      <c r="I934" s="122"/>
      <c r="J934" s="123"/>
      <c r="K934" s="122"/>
      <c r="L934" s="124" t="str">
        <f t="shared" si="218"/>
        <v/>
      </c>
      <c r="M934" s="125" t="str">
        <f t="shared" si="218"/>
        <v/>
      </c>
      <c r="N934" s="126" t="str">
        <f t="shared" si="205"/>
        <v/>
      </c>
      <c r="O934" s="127" t="str">
        <f t="shared" si="206"/>
        <v/>
      </c>
      <c r="P934" s="127" t="str">
        <f t="shared" si="207"/>
        <v/>
      </c>
      <c r="Q934" s="128" t="str">
        <f t="shared" si="208"/>
        <v/>
      </c>
      <c r="R934" s="129"/>
      <c r="S934" s="130"/>
      <c r="T934" s="131"/>
      <c r="U934" s="131"/>
      <c r="V934" s="132" t="str">
        <f t="shared" si="209"/>
        <v/>
      </c>
      <c r="W934" s="133" t="str">
        <f t="shared" si="210"/>
        <v/>
      </c>
      <c r="X934" s="130"/>
      <c r="Y934" s="131"/>
      <c r="Z934" s="131"/>
      <c r="AA934" s="132" t="str">
        <f t="shared" si="211"/>
        <v/>
      </c>
      <c r="AB934" s="133" t="str">
        <f t="shared" si="212"/>
        <v/>
      </c>
      <c r="AC934" s="134" t="str">
        <f t="shared" si="213"/>
        <v/>
      </c>
      <c r="AD934" s="135" t="str">
        <f t="shared" si="214"/>
        <v/>
      </c>
      <c r="AE934" s="136"/>
      <c r="AF934" s="137"/>
      <c r="AG934" s="137"/>
      <c r="AH934" s="138" t="str">
        <f t="shared" si="215"/>
        <v/>
      </c>
      <c r="AI934" s="133" t="str">
        <f t="shared" si="216"/>
        <v/>
      </c>
    </row>
    <row r="935" spans="1:35">
      <c r="A935" s="171" t="str">
        <f>IF('09월 조업일지'!A921="","",'09월 조업일지'!A921)</f>
        <v/>
      </c>
      <c r="B935" s="172" t="str">
        <f>'09월 조업일지'!E921</f>
        <v/>
      </c>
      <c r="C935" s="172" t="str">
        <f>'09월 조업일지'!F921</f>
        <v/>
      </c>
      <c r="D935" s="172" t="str">
        <f>'09월 화학성분'!C922</f>
        <v/>
      </c>
      <c r="E935" s="205" t="str">
        <f t="shared" si="217"/>
        <v/>
      </c>
      <c r="F935" s="121"/>
      <c r="G935" s="122"/>
      <c r="H935" s="123"/>
      <c r="I935" s="122"/>
      <c r="J935" s="123"/>
      <c r="K935" s="122"/>
      <c r="L935" s="124" t="str">
        <f t="shared" si="218"/>
        <v/>
      </c>
      <c r="M935" s="125" t="str">
        <f t="shared" si="218"/>
        <v/>
      </c>
      <c r="N935" s="126" t="str">
        <f t="shared" si="205"/>
        <v/>
      </c>
      <c r="O935" s="127" t="str">
        <f t="shared" si="206"/>
        <v/>
      </c>
      <c r="P935" s="127" t="str">
        <f t="shared" si="207"/>
        <v/>
      </c>
      <c r="Q935" s="128" t="str">
        <f t="shared" si="208"/>
        <v/>
      </c>
      <c r="R935" s="129"/>
      <c r="S935" s="130"/>
      <c r="T935" s="131"/>
      <c r="U935" s="131"/>
      <c r="V935" s="132" t="str">
        <f t="shared" si="209"/>
        <v/>
      </c>
      <c r="W935" s="133" t="str">
        <f t="shared" si="210"/>
        <v/>
      </c>
      <c r="X935" s="130"/>
      <c r="Y935" s="131"/>
      <c r="Z935" s="131"/>
      <c r="AA935" s="132" t="str">
        <f t="shared" si="211"/>
        <v/>
      </c>
      <c r="AB935" s="133" t="str">
        <f t="shared" si="212"/>
        <v/>
      </c>
      <c r="AC935" s="134" t="str">
        <f t="shared" si="213"/>
        <v/>
      </c>
      <c r="AD935" s="135" t="str">
        <f t="shared" si="214"/>
        <v/>
      </c>
      <c r="AE935" s="136"/>
      <c r="AF935" s="137"/>
      <c r="AG935" s="137"/>
      <c r="AH935" s="138" t="str">
        <f t="shared" si="215"/>
        <v/>
      </c>
      <c r="AI935" s="133" t="str">
        <f t="shared" si="216"/>
        <v/>
      </c>
    </row>
    <row r="936" spans="1:35">
      <c r="A936" s="171" t="str">
        <f>IF('09월 조업일지'!A922="","",'09월 조업일지'!A922)</f>
        <v/>
      </c>
      <c r="B936" s="172" t="str">
        <f>'09월 조업일지'!E922</f>
        <v/>
      </c>
      <c r="C936" s="172" t="str">
        <f>'09월 조업일지'!F922</f>
        <v/>
      </c>
      <c r="D936" s="172" t="str">
        <f>'09월 화학성분'!C923</f>
        <v/>
      </c>
      <c r="E936" s="205" t="str">
        <f t="shared" si="217"/>
        <v/>
      </c>
      <c r="F936" s="121"/>
      <c r="G936" s="122"/>
      <c r="H936" s="123"/>
      <c r="I936" s="122"/>
      <c r="J936" s="123"/>
      <c r="K936" s="122"/>
      <c r="L936" s="124" t="str">
        <f t="shared" si="218"/>
        <v/>
      </c>
      <c r="M936" s="125" t="str">
        <f t="shared" si="218"/>
        <v/>
      </c>
      <c r="N936" s="126" t="str">
        <f t="shared" si="205"/>
        <v/>
      </c>
      <c r="O936" s="127" t="str">
        <f t="shared" si="206"/>
        <v/>
      </c>
      <c r="P936" s="127" t="str">
        <f t="shared" si="207"/>
        <v/>
      </c>
      <c r="Q936" s="128" t="str">
        <f t="shared" si="208"/>
        <v/>
      </c>
      <c r="R936" s="129"/>
      <c r="S936" s="130"/>
      <c r="T936" s="131"/>
      <c r="U936" s="131"/>
      <c r="V936" s="132" t="str">
        <f t="shared" si="209"/>
        <v/>
      </c>
      <c r="W936" s="133" t="str">
        <f t="shared" si="210"/>
        <v/>
      </c>
      <c r="X936" s="130"/>
      <c r="Y936" s="131"/>
      <c r="Z936" s="131"/>
      <c r="AA936" s="132" t="str">
        <f t="shared" si="211"/>
        <v/>
      </c>
      <c r="AB936" s="133" t="str">
        <f t="shared" si="212"/>
        <v/>
      </c>
      <c r="AC936" s="134" t="str">
        <f t="shared" si="213"/>
        <v/>
      </c>
      <c r="AD936" s="135" t="str">
        <f t="shared" si="214"/>
        <v/>
      </c>
      <c r="AE936" s="136"/>
      <c r="AF936" s="137"/>
      <c r="AG936" s="137"/>
      <c r="AH936" s="138" t="str">
        <f t="shared" si="215"/>
        <v/>
      </c>
      <c r="AI936" s="133" t="str">
        <f t="shared" si="216"/>
        <v/>
      </c>
    </row>
    <row r="937" spans="1:35">
      <c r="A937" s="171" t="str">
        <f>IF('09월 조업일지'!A923="","",'09월 조업일지'!A923)</f>
        <v/>
      </c>
      <c r="B937" s="172" t="str">
        <f>'09월 조업일지'!E923</f>
        <v/>
      </c>
      <c r="C937" s="172" t="str">
        <f>'09월 조업일지'!F923</f>
        <v/>
      </c>
      <c r="D937" s="172" t="str">
        <f>'09월 화학성분'!C924</f>
        <v/>
      </c>
      <c r="E937" s="205" t="str">
        <f t="shared" si="217"/>
        <v/>
      </c>
      <c r="F937" s="121"/>
      <c r="G937" s="122"/>
      <c r="H937" s="123"/>
      <c r="I937" s="122"/>
      <c r="J937" s="123"/>
      <c r="K937" s="122"/>
      <c r="L937" s="124" t="str">
        <f t="shared" si="218"/>
        <v/>
      </c>
      <c r="M937" s="125" t="str">
        <f t="shared" si="218"/>
        <v/>
      </c>
      <c r="N937" s="126" t="str">
        <f t="shared" si="205"/>
        <v/>
      </c>
      <c r="O937" s="127" t="str">
        <f t="shared" si="206"/>
        <v/>
      </c>
      <c r="P937" s="127" t="str">
        <f t="shared" si="207"/>
        <v/>
      </c>
      <c r="Q937" s="128" t="str">
        <f t="shared" si="208"/>
        <v/>
      </c>
      <c r="R937" s="129"/>
      <c r="S937" s="130"/>
      <c r="T937" s="131"/>
      <c r="U937" s="131"/>
      <c r="V937" s="132" t="str">
        <f t="shared" si="209"/>
        <v/>
      </c>
      <c r="W937" s="133" t="str">
        <f t="shared" si="210"/>
        <v/>
      </c>
      <c r="X937" s="130"/>
      <c r="Y937" s="131"/>
      <c r="Z937" s="131"/>
      <c r="AA937" s="132" t="str">
        <f t="shared" si="211"/>
        <v/>
      </c>
      <c r="AB937" s="133" t="str">
        <f t="shared" si="212"/>
        <v/>
      </c>
      <c r="AC937" s="134" t="str">
        <f t="shared" si="213"/>
        <v/>
      </c>
      <c r="AD937" s="135" t="str">
        <f t="shared" si="214"/>
        <v/>
      </c>
      <c r="AE937" s="136"/>
      <c r="AF937" s="137"/>
      <c r="AG937" s="137"/>
      <c r="AH937" s="138" t="str">
        <f t="shared" si="215"/>
        <v/>
      </c>
      <c r="AI937" s="133" t="str">
        <f t="shared" si="216"/>
        <v/>
      </c>
    </row>
    <row r="938" spans="1:35">
      <c r="A938" s="171" t="str">
        <f>IF('09월 조업일지'!A924="","",'09월 조업일지'!A924)</f>
        <v/>
      </c>
      <c r="B938" s="172" t="str">
        <f>'09월 조업일지'!E924</f>
        <v/>
      </c>
      <c r="C938" s="172" t="str">
        <f>'09월 조업일지'!F924</f>
        <v/>
      </c>
      <c r="D938" s="172" t="str">
        <f>'09월 화학성분'!C925</f>
        <v/>
      </c>
      <c r="E938" s="205" t="str">
        <f t="shared" si="217"/>
        <v/>
      </c>
      <c r="F938" s="121"/>
      <c r="G938" s="122"/>
      <c r="H938" s="123"/>
      <c r="I938" s="122"/>
      <c r="J938" s="123"/>
      <c r="K938" s="122"/>
      <c r="L938" s="124" t="str">
        <f t="shared" si="218"/>
        <v/>
      </c>
      <c r="M938" s="125" t="str">
        <f t="shared" si="218"/>
        <v/>
      </c>
      <c r="N938" s="126" t="str">
        <f t="shared" si="205"/>
        <v/>
      </c>
      <c r="O938" s="127" t="str">
        <f t="shared" si="206"/>
        <v/>
      </c>
      <c r="P938" s="127" t="str">
        <f t="shared" si="207"/>
        <v/>
      </c>
      <c r="Q938" s="128" t="str">
        <f t="shared" si="208"/>
        <v/>
      </c>
      <c r="R938" s="129"/>
      <c r="S938" s="130"/>
      <c r="T938" s="131"/>
      <c r="U938" s="131"/>
      <c r="V938" s="132" t="str">
        <f t="shared" si="209"/>
        <v/>
      </c>
      <c r="W938" s="133" t="str">
        <f t="shared" si="210"/>
        <v/>
      </c>
      <c r="X938" s="130"/>
      <c r="Y938" s="131"/>
      <c r="Z938" s="131"/>
      <c r="AA938" s="132" t="str">
        <f t="shared" si="211"/>
        <v/>
      </c>
      <c r="AB938" s="133" t="str">
        <f t="shared" si="212"/>
        <v/>
      </c>
      <c r="AC938" s="134" t="str">
        <f t="shared" si="213"/>
        <v/>
      </c>
      <c r="AD938" s="135" t="str">
        <f t="shared" si="214"/>
        <v/>
      </c>
      <c r="AE938" s="136"/>
      <c r="AF938" s="137"/>
      <c r="AG938" s="137"/>
      <c r="AH938" s="138" t="str">
        <f t="shared" si="215"/>
        <v/>
      </c>
      <c r="AI938" s="133" t="str">
        <f t="shared" si="216"/>
        <v/>
      </c>
    </row>
    <row r="939" spans="1:35">
      <c r="A939" s="171" t="str">
        <f>IF('09월 조업일지'!A925="","",'09월 조업일지'!A925)</f>
        <v/>
      </c>
      <c r="B939" s="172" t="str">
        <f>'09월 조업일지'!E925</f>
        <v/>
      </c>
      <c r="C939" s="172" t="str">
        <f>'09월 조업일지'!F925</f>
        <v/>
      </c>
      <c r="D939" s="172" t="str">
        <f>'09월 화학성분'!C926</f>
        <v/>
      </c>
      <c r="E939" s="205" t="str">
        <f t="shared" si="217"/>
        <v/>
      </c>
      <c r="F939" s="121"/>
      <c r="G939" s="122"/>
      <c r="H939" s="123"/>
      <c r="I939" s="122"/>
      <c r="J939" s="123"/>
      <c r="K939" s="122"/>
      <c r="L939" s="124" t="str">
        <f t="shared" si="218"/>
        <v/>
      </c>
      <c r="M939" s="125" t="str">
        <f t="shared" si="218"/>
        <v/>
      </c>
      <c r="N939" s="126" t="str">
        <f t="shared" si="205"/>
        <v/>
      </c>
      <c r="O939" s="127" t="str">
        <f t="shared" si="206"/>
        <v/>
      </c>
      <c r="P939" s="127" t="str">
        <f t="shared" si="207"/>
        <v/>
      </c>
      <c r="Q939" s="128" t="str">
        <f t="shared" si="208"/>
        <v/>
      </c>
      <c r="R939" s="129"/>
      <c r="S939" s="130"/>
      <c r="T939" s="131"/>
      <c r="U939" s="131"/>
      <c r="V939" s="132" t="str">
        <f t="shared" si="209"/>
        <v/>
      </c>
      <c r="W939" s="133" t="str">
        <f t="shared" si="210"/>
        <v/>
      </c>
      <c r="X939" s="130"/>
      <c r="Y939" s="131"/>
      <c r="Z939" s="131"/>
      <c r="AA939" s="132" t="str">
        <f t="shared" si="211"/>
        <v/>
      </c>
      <c r="AB939" s="133" t="str">
        <f t="shared" si="212"/>
        <v/>
      </c>
      <c r="AC939" s="134" t="str">
        <f t="shared" si="213"/>
        <v/>
      </c>
      <c r="AD939" s="135" t="str">
        <f t="shared" si="214"/>
        <v/>
      </c>
      <c r="AE939" s="136"/>
      <c r="AF939" s="137"/>
      <c r="AG939" s="137"/>
      <c r="AH939" s="138" t="str">
        <f t="shared" si="215"/>
        <v/>
      </c>
      <c r="AI939" s="133" t="str">
        <f t="shared" si="216"/>
        <v/>
      </c>
    </row>
    <row r="940" spans="1:35">
      <c r="A940" s="171" t="str">
        <f>IF('09월 조업일지'!A926="","",'09월 조업일지'!A926)</f>
        <v/>
      </c>
      <c r="B940" s="172" t="str">
        <f>'09월 조업일지'!E926</f>
        <v/>
      </c>
      <c r="C940" s="172" t="str">
        <f>'09월 조업일지'!F926</f>
        <v/>
      </c>
      <c r="D940" s="172" t="str">
        <f>'09월 화학성분'!C927</f>
        <v/>
      </c>
      <c r="E940" s="205" t="str">
        <f t="shared" si="217"/>
        <v/>
      </c>
      <c r="F940" s="121"/>
      <c r="G940" s="122"/>
      <c r="H940" s="123"/>
      <c r="I940" s="122"/>
      <c r="J940" s="123"/>
      <c r="K940" s="122"/>
      <c r="L940" s="124" t="str">
        <f t="shared" si="218"/>
        <v/>
      </c>
      <c r="M940" s="125" t="str">
        <f t="shared" si="218"/>
        <v/>
      </c>
      <c r="N940" s="126" t="str">
        <f t="shared" si="205"/>
        <v/>
      </c>
      <c r="O940" s="127" t="str">
        <f t="shared" si="206"/>
        <v/>
      </c>
      <c r="P940" s="127" t="str">
        <f t="shared" si="207"/>
        <v/>
      </c>
      <c r="Q940" s="128" t="str">
        <f t="shared" si="208"/>
        <v/>
      </c>
      <c r="R940" s="129"/>
      <c r="S940" s="130"/>
      <c r="T940" s="131"/>
      <c r="U940" s="131"/>
      <c r="V940" s="132" t="str">
        <f t="shared" si="209"/>
        <v/>
      </c>
      <c r="W940" s="133" t="str">
        <f t="shared" si="210"/>
        <v/>
      </c>
      <c r="X940" s="130"/>
      <c r="Y940" s="131"/>
      <c r="Z940" s="131"/>
      <c r="AA940" s="132" t="str">
        <f t="shared" si="211"/>
        <v/>
      </c>
      <c r="AB940" s="133" t="str">
        <f t="shared" si="212"/>
        <v/>
      </c>
      <c r="AC940" s="134" t="str">
        <f t="shared" si="213"/>
        <v/>
      </c>
      <c r="AD940" s="135" t="str">
        <f t="shared" si="214"/>
        <v/>
      </c>
      <c r="AE940" s="136"/>
      <c r="AF940" s="137"/>
      <c r="AG940" s="137"/>
      <c r="AH940" s="138" t="str">
        <f t="shared" si="215"/>
        <v/>
      </c>
      <c r="AI940" s="133" t="str">
        <f t="shared" si="216"/>
        <v/>
      </c>
    </row>
    <row r="941" spans="1:35">
      <c r="A941" s="171" t="str">
        <f>IF('09월 조업일지'!A927="","",'09월 조업일지'!A927)</f>
        <v/>
      </c>
      <c r="B941" s="172" t="str">
        <f>'09월 조업일지'!E927</f>
        <v/>
      </c>
      <c r="C941" s="172" t="str">
        <f>'09월 조업일지'!F927</f>
        <v/>
      </c>
      <c r="D941" s="172" t="str">
        <f>'09월 화학성분'!C928</f>
        <v/>
      </c>
      <c r="E941" s="205" t="str">
        <f t="shared" si="217"/>
        <v/>
      </c>
      <c r="F941" s="121"/>
      <c r="G941" s="122"/>
      <c r="H941" s="123"/>
      <c r="I941" s="122"/>
      <c r="J941" s="123"/>
      <c r="K941" s="122"/>
      <c r="L941" s="124" t="str">
        <f t="shared" si="218"/>
        <v/>
      </c>
      <c r="M941" s="125" t="str">
        <f t="shared" si="218"/>
        <v/>
      </c>
      <c r="N941" s="126" t="str">
        <f t="shared" si="205"/>
        <v/>
      </c>
      <c r="O941" s="127" t="str">
        <f t="shared" si="206"/>
        <v/>
      </c>
      <c r="P941" s="127" t="str">
        <f t="shared" si="207"/>
        <v/>
      </c>
      <c r="Q941" s="128" t="str">
        <f t="shared" si="208"/>
        <v/>
      </c>
      <c r="R941" s="129"/>
      <c r="S941" s="130"/>
      <c r="T941" s="131"/>
      <c r="U941" s="131"/>
      <c r="V941" s="132" t="str">
        <f t="shared" si="209"/>
        <v/>
      </c>
      <c r="W941" s="133" t="str">
        <f t="shared" si="210"/>
        <v/>
      </c>
      <c r="X941" s="130"/>
      <c r="Y941" s="131"/>
      <c r="Z941" s="131"/>
      <c r="AA941" s="132" t="str">
        <f t="shared" si="211"/>
        <v/>
      </c>
      <c r="AB941" s="133" t="str">
        <f t="shared" si="212"/>
        <v/>
      </c>
      <c r="AC941" s="134" t="str">
        <f t="shared" si="213"/>
        <v/>
      </c>
      <c r="AD941" s="135" t="str">
        <f t="shared" si="214"/>
        <v/>
      </c>
      <c r="AE941" s="136"/>
      <c r="AF941" s="137"/>
      <c r="AG941" s="137"/>
      <c r="AH941" s="138" t="str">
        <f t="shared" si="215"/>
        <v/>
      </c>
      <c r="AI941" s="133" t="str">
        <f t="shared" si="216"/>
        <v/>
      </c>
    </row>
    <row r="942" spans="1:35">
      <c r="A942" s="171" t="str">
        <f>IF('09월 조업일지'!A928="","",'09월 조업일지'!A928)</f>
        <v/>
      </c>
      <c r="B942" s="172" t="str">
        <f>'09월 조업일지'!E928</f>
        <v/>
      </c>
      <c r="C942" s="172" t="str">
        <f>'09월 조업일지'!F928</f>
        <v/>
      </c>
      <c r="D942" s="172" t="str">
        <f>'09월 화학성분'!C929</f>
        <v/>
      </c>
      <c r="E942" s="205" t="str">
        <f t="shared" si="217"/>
        <v/>
      </c>
      <c r="F942" s="121"/>
      <c r="G942" s="122"/>
      <c r="H942" s="123"/>
      <c r="I942" s="122"/>
      <c r="J942" s="123"/>
      <c r="K942" s="122"/>
      <c r="L942" s="124" t="str">
        <f t="shared" si="218"/>
        <v/>
      </c>
      <c r="M942" s="125" t="str">
        <f t="shared" si="218"/>
        <v/>
      </c>
      <c r="N942" s="126" t="str">
        <f t="shared" si="205"/>
        <v/>
      </c>
      <c r="O942" s="127" t="str">
        <f t="shared" si="206"/>
        <v/>
      </c>
      <c r="P942" s="127" t="str">
        <f t="shared" si="207"/>
        <v/>
      </c>
      <c r="Q942" s="128" t="str">
        <f t="shared" si="208"/>
        <v/>
      </c>
      <c r="R942" s="129"/>
      <c r="S942" s="130"/>
      <c r="T942" s="131"/>
      <c r="U942" s="131"/>
      <c r="V942" s="132" t="str">
        <f t="shared" si="209"/>
        <v/>
      </c>
      <c r="W942" s="133" t="str">
        <f t="shared" si="210"/>
        <v/>
      </c>
      <c r="X942" s="130"/>
      <c r="Y942" s="131"/>
      <c r="Z942" s="131"/>
      <c r="AA942" s="132" t="str">
        <f t="shared" si="211"/>
        <v/>
      </c>
      <c r="AB942" s="133" t="str">
        <f t="shared" si="212"/>
        <v/>
      </c>
      <c r="AC942" s="134" t="str">
        <f t="shared" si="213"/>
        <v/>
      </c>
      <c r="AD942" s="135" t="str">
        <f t="shared" si="214"/>
        <v/>
      </c>
      <c r="AE942" s="136"/>
      <c r="AF942" s="137"/>
      <c r="AG942" s="137"/>
      <c r="AH942" s="138" t="str">
        <f t="shared" si="215"/>
        <v/>
      </c>
      <c r="AI942" s="133" t="str">
        <f t="shared" si="216"/>
        <v/>
      </c>
    </row>
    <row r="943" spans="1:35">
      <c r="A943" s="171" t="str">
        <f>IF('09월 조업일지'!A929="","",'09월 조업일지'!A929)</f>
        <v/>
      </c>
      <c r="B943" s="172" t="str">
        <f>'09월 조업일지'!E929</f>
        <v/>
      </c>
      <c r="C943" s="172" t="str">
        <f>'09월 조업일지'!F929</f>
        <v/>
      </c>
      <c r="D943" s="172" t="str">
        <f>'09월 화학성분'!C930</f>
        <v/>
      </c>
      <c r="E943" s="205" t="str">
        <f t="shared" si="217"/>
        <v/>
      </c>
      <c r="F943" s="121"/>
      <c r="G943" s="122"/>
      <c r="H943" s="123"/>
      <c r="I943" s="122"/>
      <c r="J943" s="123"/>
      <c r="K943" s="122"/>
      <c r="L943" s="124" t="str">
        <f t="shared" si="218"/>
        <v/>
      </c>
      <c r="M943" s="125" t="str">
        <f t="shared" si="218"/>
        <v/>
      </c>
      <c r="N943" s="126" t="str">
        <f t="shared" si="205"/>
        <v/>
      </c>
      <c r="O943" s="127" t="str">
        <f t="shared" si="206"/>
        <v/>
      </c>
      <c r="P943" s="127" t="str">
        <f t="shared" si="207"/>
        <v/>
      </c>
      <c r="Q943" s="128" t="str">
        <f t="shared" si="208"/>
        <v/>
      </c>
      <c r="R943" s="129"/>
      <c r="S943" s="130"/>
      <c r="T943" s="131"/>
      <c r="U943" s="131"/>
      <c r="V943" s="132" t="str">
        <f t="shared" si="209"/>
        <v/>
      </c>
      <c r="W943" s="133" t="str">
        <f t="shared" si="210"/>
        <v/>
      </c>
      <c r="X943" s="130"/>
      <c r="Y943" s="131"/>
      <c r="Z943" s="131"/>
      <c r="AA943" s="132" t="str">
        <f t="shared" si="211"/>
        <v/>
      </c>
      <c r="AB943" s="133" t="str">
        <f t="shared" si="212"/>
        <v/>
      </c>
      <c r="AC943" s="134" t="str">
        <f t="shared" si="213"/>
        <v/>
      </c>
      <c r="AD943" s="135" t="str">
        <f t="shared" si="214"/>
        <v/>
      </c>
      <c r="AE943" s="136"/>
      <c r="AF943" s="137"/>
      <c r="AG943" s="137"/>
      <c r="AH943" s="138" t="str">
        <f t="shared" si="215"/>
        <v/>
      </c>
      <c r="AI943" s="133" t="str">
        <f t="shared" si="216"/>
        <v/>
      </c>
    </row>
    <row r="944" spans="1:35">
      <c r="A944" s="171" t="str">
        <f>IF('09월 조업일지'!A930="","",'09월 조업일지'!A930)</f>
        <v/>
      </c>
      <c r="B944" s="172" t="str">
        <f>'09월 조업일지'!E930</f>
        <v/>
      </c>
      <c r="C944" s="172" t="str">
        <f>'09월 조업일지'!F930</f>
        <v/>
      </c>
      <c r="D944" s="172" t="str">
        <f>'09월 화학성분'!C931</f>
        <v/>
      </c>
      <c r="E944" s="205" t="str">
        <f t="shared" si="217"/>
        <v/>
      </c>
      <c r="F944" s="121"/>
      <c r="G944" s="122"/>
      <c r="H944" s="123"/>
      <c r="I944" s="122"/>
      <c r="J944" s="123"/>
      <c r="K944" s="122"/>
      <c r="L944" s="124" t="str">
        <f t="shared" si="218"/>
        <v/>
      </c>
      <c r="M944" s="125" t="str">
        <f t="shared" si="218"/>
        <v/>
      </c>
      <c r="N944" s="126" t="str">
        <f t="shared" si="205"/>
        <v/>
      </c>
      <c r="O944" s="127" t="str">
        <f t="shared" si="206"/>
        <v/>
      </c>
      <c r="P944" s="127" t="str">
        <f t="shared" si="207"/>
        <v/>
      </c>
      <c r="Q944" s="128" t="str">
        <f t="shared" si="208"/>
        <v/>
      </c>
      <c r="R944" s="129"/>
      <c r="S944" s="130"/>
      <c r="T944" s="131"/>
      <c r="U944" s="131"/>
      <c r="V944" s="132" t="str">
        <f t="shared" si="209"/>
        <v/>
      </c>
      <c r="W944" s="133" t="str">
        <f t="shared" si="210"/>
        <v/>
      </c>
      <c r="X944" s="130"/>
      <c r="Y944" s="131"/>
      <c r="Z944" s="131"/>
      <c r="AA944" s="132" t="str">
        <f t="shared" si="211"/>
        <v/>
      </c>
      <c r="AB944" s="133" t="str">
        <f t="shared" si="212"/>
        <v/>
      </c>
      <c r="AC944" s="134" t="str">
        <f t="shared" si="213"/>
        <v/>
      </c>
      <c r="AD944" s="135" t="str">
        <f t="shared" si="214"/>
        <v/>
      </c>
      <c r="AE944" s="136"/>
      <c r="AF944" s="137"/>
      <c r="AG944" s="137"/>
      <c r="AH944" s="138" t="str">
        <f t="shared" si="215"/>
        <v/>
      </c>
      <c r="AI944" s="133" t="str">
        <f t="shared" si="216"/>
        <v/>
      </c>
    </row>
    <row r="945" spans="1:35">
      <c r="A945" s="171" t="str">
        <f>IF('09월 조업일지'!A931="","",'09월 조업일지'!A931)</f>
        <v/>
      </c>
      <c r="B945" s="172" t="str">
        <f>'09월 조업일지'!E931</f>
        <v/>
      </c>
      <c r="C945" s="172" t="str">
        <f>'09월 조업일지'!F931</f>
        <v/>
      </c>
      <c r="D945" s="172" t="str">
        <f>'09월 화학성분'!C932</f>
        <v/>
      </c>
      <c r="E945" s="205" t="str">
        <f t="shared" si="217"/>
        <v/>
      </c>
      <c r="F945" s="121"/>
      <c r="G945" s="122"/>
      <c r="H945" s="123"/>
      <c r="I945" s="122"/>
      <c r="J945" s="123"/>
      <c r="K945" s="122"/>
      <c r="L945" s="124" t="str">
        <f t="shared" si="218"/>
        <v/>
      </c>
      <c r="M945" s="125" t="str">
        <f t="shared" si="218"/>
        <v/>
      </c>
      <c r="N945" s="126" t="str">
        <f t="shared" si="205"/>
        <v/>
      </c>
      <c r="O945" s="127" t="str">
        <f t="shared" si="206"/>
        <v/>
      </c>
      <c r="P945" s="127" t="str">
        <f t="shared" si="207"/>
        <v/>
      </c>
      <c r="Q945" s="128" t="str">
        <f t="shared" si="208"/>
        <v/>
      </c>
      <c r="R945" s="129"/>
      <c r="S945" s="130"/>
      <c r="T945" s="131"/>
      <c r="U945" s="131"/>
      <c r="V945" s="132" t="str">
        <f t="shared" si="209"/>
        <v/>
      </c>
      <c r="W945" s="133" t="str">
        <f t="shared" si="210"/>
        <v/>
      </c>
      <c r="X945" s="130"/>
      <c r="Y945" s="131"/>
      <c r="Z945" s="131"/>
      <c r="AA945" s="132" t="str">
        <f t="shared" si="211"/>
        <v/>
      </c>
      <c r="AB945" s="133" t="str">
        <f t="shared" si="212"/>
        <v/>
      </c>
      <c r="AC945" s="134" t="str">
        <f t="shared" si="213"/>
        <v/>
      </c>
      <c r="AD945" s="135" t="str">
        <f t="shared" si="214"/>
        <v/>
      </c>
      <c r="AE945" s="136"/>
      <c r="AF945" s="137"/>
      <c r="AG945" s="137"/>
      <c r="AH945" s="138" t="str">
        <f t="shared" si="215"/>
        <v/>
      </c>
      <c r="AI945" s="133" t="str">
        <f t="shared" si="216"/>
        <v/>
      </c>
    </row>
    <row r="946" spans="1:35">
      <c r="A946" s="171" t="str">
        <f>IF('09월 조업일지'!A932="","",'09월 조업일지'!A932)</f>
        <v/>
      </c>
      <c r="B946" s="172" t="str">
        <f>'09월 조업일지'!E932</f>
        <v/>
      </c>
      <c r="C946" s="172" t="str">
        <f>'09월 조업일지'!F932</f>
        <v/>
      </c>
      <c r="D946" s="172" t="str">
        <f>'09월 화학성분'!C933</f>
        <v/>
      </c>
      <c r="E946" s="205" t="str">
        <f t="shared" si="217"/>
        <v/>
      </c>
      <c r="F946" s="121"/>
      <c r="G946" s="122"/>
      <c r="H946" s="123"/>
      <c r="I946" s="122"/>
      <c r="J946" s="123"/>
      <c r="K946" s="122"/>
      <c r="L946" s="124" t="str">
        <f t="shared" si="218"/>
        <v/>
      </c>
      <c r="M946" s="125" t="str">
        <f t="shared" si="218"/>
        <v/>
      </c>
      <c r="N946" s="126" t="str">
        <f t="shared" si="205"/>
        <v/>
      </c>
      <c r="O946" s="127" t="str">
        <f t="shared" si="206"/>
        <v/>
      </c>
      <c r="P946" s="127" t="str">
        <f t="shared" si="207"/>
        <v/>
      </c>
      <c r="Q946" s="128" t="str">
        <f t="shared" si="208"/>
        <v/>
      </c>
      <c r="R946" s="129"/>
      <c r="S946" s="130"/>
      <c r="T946" s="131"/>
      <c r="U946" s="131"/>
      <c r="V946" s="132" t="str">
        <f t="shared" si="209"/>
        <v/>
      </c>
      <c r="W946" s="133" t="str">
        <f t="shared" si="210"/>
        <v/>
      </c>
      <c r="X946" s="130"/>
      <c r="Y946" s="131"/>
      <c r="Z946" s="131"/>
      <c r="AA946" s="132" t="str">
        <f t="shared" si="211"/>
        <v/>
      </c>
      <c r="AB946" s="133" t="str">
        <f t="shared" si="212"/>
        <v/>
      </c>
      <c r="AC946" s="134" t="str">
        <f t="shared" si="213"/>
        <v/>
      </c>
      <c r="AD946" s="135" t="str">
        <f t="shared" si="214"/>
        <v/>
      </c>
      <c r="AE946" s="136"/>
      <c r="AF946" s="137"/>
      <c r="AG946" s="137"/>
      <c r="AH946" s="138" t="str">
        <f t="shared" si="215"/>
        <v/>
      </c>
      <c r="AI946" s="133" t="str">
        <f t="shared" si="216"/>
        <v/>
      </c>
    </row>
    <row r="947" spans="1:35">
      <c r="A947" s="171" t="str">
        <f>IF('09월 조업일지'!A933="","",'09월 조업일지'!A933)</f>
        <v/>
      </c>
      <c r="B947" s="172" t="str">
        <f>'09월 조업일지'!E933</f>
        <v/>
      </c>
      <c r="C947" s="172" t="str">
        <f>'09월 조업일지'!F933</f>
        <v/>
      </c>
      <c r="D947" s="172" t="str">
        <f>'09월 화학성분'!C934</f>
        <v/>
      </c>
      <c r="E947" s="205" t="str">
        <f t="shared" si="217"/>
        <v/>
      </c>
      <c r="F947" s="121"/>
      <c r="G947" s="122"/>
      <c r="H947" s="123"/>
      <c r="I947" s="122"/>
      <c r="J947" s="123"/>
      <c r="K947" s="122"/>
      <c r="L947" s="124" t="str">
        <f t="shared" si="218"/>
        <v/>
      </c>
      <c r="M947" s="125" t="str">
        <f t="shared" si="218"/>
        <v/>
      </c>
      <c r="N947" s="126" t="str">
        <f t="shared" si="205"/>
        <v/>
      </c>
      <c r="O947" s="127" t="str">
        <f t="shared" si="206"/>
        <v/>
      </c>
      <c r="P947" s="127" t="str">
        <f t="shared" si="207"/>
        <v/>
      </c>
      <c r="Q947" s="128" t="str">
        <f t="shared" si="208"/>
        <v/>
      </c>
      <c r="R947" s="129"/>
      <c r="S947" s="130"/>
      <c r="T947" s="131"/>
      <c r="U947" s="131"/>
      <c r="V947" s="132" t="str">
        <f t="shared" si="209"/>
        <v/>
      </c>
      <c r="W947" s="133" t="str">
        <f t="shared" si="210"/>
        <v/>
      </c>
      <c r="X947" s="130"/>
      <c r="Y947" s="131"/>
      <c r="Z947" s="131"/>
      <c r="AA947" s="132" t="str">
        <f t="shared" si="211"/>
        <v/>
      </c>
      <c r="AB947" s="133" t="str">
        <f t="shared" si="212"/>
        <v/>
      </c>
      <c r="AC947" s="134" t="str">
        <f t="shared" si="213"/>
        <v/>
      </c>
      <c r="AD947" s="135" t="str">
        <f t="shared" si="214"/>
        <v/>
      </c>
      <c r="AE947" s="136"/>
      <c r="AF947" s="137"/>
      <c r="AG947" s="137"/>
      <c r="AH947" s="138" t="str">
        <f t="shared" si="215"/>
        <v/>
      </c>
      <c r="AI947" s="133" t="str">
        <f t="shared" si="216"/>
        <v/>
      </c>
    </row>
    <row r="948" spans="1:35">
      <c r="A948" s="171" t="str">
        <f>IF('09월 조업일지'!A934="","",'09월 조업일지'!A934)</f>
        <v/>
      </c>
      <c r="B948" s="172" t="str">
        <f>'09월 조업일지'!E934</f>
        <v/>
      </c>
      <c r="C948" s="172" t="str">
        <f>'09월 조업일지'!F934</f>
        <v/>
      </c>
      <c r="D948" s="172" t="str">
        <f>'09월 화학성분'!C935</f>
        <v/>
      </c>
      <c r="E948" s="205" t="str">
        <f t="shared" si="217"/>
        <v/>
      </c>
      <c r="F948" s="121"/>
      <c r="G948" s="122"/>
      <c r="H948" s="123"/>
      <c r="I948" s="122"/>
      <c r="J948" s="123"/>
      <c r="K948" s="122"/>
      <c r="L948" s="124" t="str">
        <f t="shared" si="218"/>
        <v/>
      </c>
      <c r="M948" s="125" t="str">
        <f t="shared" si="218"/>
        <v/>
      </c>
      <c r="N948" s="126" t="str">
        <f t="shared" si="205"/>
        <v/>
      </c>
      <c r="O948" s="127" t="str">
        <f t="shared" si="206"/>
        <v/>
      </c>
      <c r="P948" s="127" t="str">
        <f t="shared" si="207"/>
        <v/>
      </c>
      <c r="Q948" s="128" t="str">
        <f t="shared" si="208"/>
        <v/>
      </c>
      <c r="R948" s="129"/>
      <c r="S948" s="130"/>
      <c r="T948" s="131"/>
      <c r="U948" s="131"/>
      <c r="V948" s="132" t="str">
        <f t="shared" si="209"/>
        <v/>
      </c>
      <c r="W948" s="133" t="str">
        <f t="shared" si="210"/>
        <v/>
      </c>
      <c r="X948" s="130"/>
      <c r="Y948" s="131"/>
      <c r="Z948" s="131"/>
      <c r="AA948" s="132" t="str">
        <f t="shared" si="211"/>
        <v/>
      </c>
      <c r="AB948" s="133" t="str">
        <f t="shared" si="212"/>
        <v/>
      </c>
      <c r="AC948" s="134" t="str">
        <f t="shared" si="213"/>
        <v/>
      </c>
      <c r="AD948" s="135" t="str">
        <f t="shared" si="214"/>
        <v/>
      </c>
      <c r="AE948" s="136"/>
      <c r="AF948" s="137"/>
      <c r="AG948" s="137"/>
      <c r="AH948" s="138" t="str">
        <f t="shared" si="215"/>
        <v/>
      </c>
      <c r="AI948" s="133" t="str">
        <f t="shared" si="216"/>
        <v/>
      </c>
    </row>
    <row r="949" spans="1:35">
      <c r="A949" s="171" t="str">
        <f>IF('09월 조업일지'!A935="","",'09월 조업일지'!A935)</f>
        <v/>
      </c>
      <c r="B949" s="172" t="str">
        <f>'09월 조업일지'!E935</f>
        <v/>
      </c>
      <c r="C949" s="172" t="str">
        <f>'09월 조업일지'!F935</f>
        <v/>
      </c>
      <c r="D949" s="172" t="str">
        <f>'09월 화학성분'!C936</f>
        <v/>
      </c>
      <c r="E949" s="205" t="str">
        <f t="shared" si="217"/>
        <v/>
      </c>
      <c r="F949" s="121"/>
      <c r="G949" s="122"/>
      <c r="H949" s="123"/>
      <c r="I949" s="122"/>
      <c r="J949" s="123"/>
      <c r="K949" s="122"/>
      <c r="L949" s="124" t="str">
        <f t="shared" si="218"/>
        <v/>
      </c>
      <c r="M949" s="125" t="str">
        <f t="shared" si="218"/>
        <v/>
      </c>
      <c r="N949" s="126" t="str">
        <f t="shared" si="205"/>
        <v/>
      </c>
      <c r="O949" s="127" t="str">
        <f t="shared" si="206"/>
        <v/>
      </c>
      <c r="P949" s="127" t="str">
        <f t="shared" si="207"/>
        <v/>
      </c>
      <c r="Q949" s="128" t="str">
        <f t="shared" si="208"/>
        <v/>
      </c>
      <c r="R949" s="129"/>
      <c r="S949" s="130"/>
      <c r="T949" s="131"/>
      <c r="U949" s="131"/>
      <c r="V949" s="132" t="str">
        <f t="shared" si="209"/>
        <v/>
      </c>
      <c r="W949" s="133" t="str">
        <f t="shared" si="210"/>
        <v/>
      </c>
      <c r="X949" s="130"/>
      <c r="Y949" s="131"/>
      <c r="Z949" s="131"/>
      <c r="AA949" s="132" t="str">
        <f t="shared" si="211"/>
        <v/>
      </c>
      <c r="AB949" s="133" t="str">
        <f t="shared" si="212"/>
        <v/>
      </c>
      <c r="AC949" s="134" t="str">
        <f t="shared" si="213"/>
        <v/>
      </c>
      <c r="AD949" s="135" t="str">
        <f t="shared" si="214"/>
        <v/>
      </c>
      <c r="AE949" s="136"/>
      <c r="AF949" s="137"/>
      <c r="AG949" s="137"/>
      <c r="AH949" s="138" t="str">
        <f t="shared" si="215"/>
        <v/>
      </c>
      <c r="AI949" s="133" t="str">
        <f t="shared" si="216"/>
        <v/>
      </c>
    </row>
    <row r="950" spans="1:35">
      <c r="A950" s="171" t="str">
        <f>IF('09월 조업일지'!A936="","",'09월 조업일지'!A936)</f>
        <v/>
      </c>
      <c r="B950" s="172" t="str">
        <f>'09월 조업일지'!E936</f>
        <v/>
      </c>
      <c r="C950" s="172" t="str">
        <f>'09월 조업일지'!F936</f>
        <v/>
      </c>
      <c r="D950" s="172" t="str">
        <f>'09월 화학성분'!C937</f>
        <v/>
      </c>
      <c r="E950" s="205" t="str">
        <f t="shared" si="217"/>
        <v/>
      </c>
      <c r="F950" s="121"/>
      <c r="G950" s="122"/>
      <c r="H950" s="123"/>
      <c r="I950" s="122"/>
      <c r="J950" s="123"/>
      <c r="K950" s="122"/>
      <c r="L950" s="124" t="str">
        <f t="shared" si="218"/>
        <v/>
      </c>
      <c r="M950" s="125" t="str">
        <f t="shared" si="218"/>
        <v/>
      </c>
      <c r="N950" s="126" t="str">
        <f t="shared" si="205"/>
        <v/>
      </c>
      <c r="O950" s="127" t="str">
        <f t="shared" si="206"/>
        <v/>
      </c>
      <c r="P950" s="127" t="str">
        <f t="shared" si="207"/>
        <v/>
      </c>
      <c r="Q950" s="128" t="str">
        <f t="shared" si="208"/>
        <v/>
      </c>
      <c r="R950" s="129"/>
      <c r="S950" s="130"/>
      <c r="T950" s="131"/>
      <c r="U950" s="131"/>
      <c r="V950" s="132" t="str">
        <f t="shared" si="209"/>
        <v/>
      </c>
      <c r="W950" s="133" t="str">
        <f t="shared" si="210"/>
        <v/>
      </c>
      <c r="X950" s="130"/>
      <c r="Y950" s="131"/>
      <c r="Z950" s="131"/>
      <c r="AA950" s="132" t="str">
        <f t="shared" si="211"/>
        <v/>
      </c>
      <c r="AB950" s="133" t="str">
        <f t="shared" si="212"/>
        <v/>
      </c>
      <c r="AC950" s="134" t="str">
        <f t="shared" si="213"/>
        <v/>
      </c>
      <c r="AD950" s="135" t="str">
        <f t="shared" si="214"/>
        <v/>
      </c>
      <c r="AE950" s="136"/>
      <c r="AF950" s="137"/>
      <c r="AG950" s="137"/>
      <c r="AH950" s="138" t="str">
        <f t="shared" si="215"/>
        <v/>
      </c>
      <c r="AI950" s="133" t="str">
        <f t="shared" si="216"/>
        <v/>
      </c>
    </row>
    <row r="951" spans="1:35">
      <c r="A951" s="171" t="str">
        <f>IF('09월 조업일지'!A937="","",'09월 조업일지'!A937)</f>
        <v/>
      </c>
      <c r="B951" s="172" t="str">
        <f>'09월 조업일지'!E937</f>
        <v/>
      </c>
      <c r="C951" s="172" t="str">
        <f>'09월 조업일지'!F937</f>
        <v/>
      </c>
      <c r="D951" s="172" t="str">
        <f>'09월 화학성분'!C938</f>
        <v/>
      </c>
      <c r="E951" s="205" t="str">
        <f t="shared" si="217"/>
        <v/>
      </c>
      <c r="F951" s="121"/>
      <c r="G951" s="122"/>
      <c r="H951" s="123"/>
      <c r="I951" s="122"/>
      <c r="J951" s="123"/>
      <c r="K951" s="122"/>
      <c r="L951" s="124" t="str">
        <f t="shared" si="218"/>
        <v/>
      </c>
      <c r="M951" s="125" t="str">
        <f t="shared" si="218"/>
        <v/>
      </c>
      <c r="N951" s="126" t="str">
        <f t="shared" si="205"/>
        <v/>
      </c>
      <c r="O951" s="127" t="str">
        <f t="shared" si="206"/>
        <v/>
      </c>
      <c r="P951" s="127" t="str">
        <f t="shared" si="207"/>
        <v/>
      </c>
      <c r="Q951" s="128" t="str">
        <f t="shared" si="208"/>
        <v/>
      </c>
      <c r="R951" s="129"/>
      <c r="S951" s="130"/>
      <c r="T951" s="131"/>
      <c r="U951" s="131"/>
      <c r="V951" s="132" t="str">
        <f t="shared" si="209"/>
        <v/>
      </c>
      <c r="W951" s="133" t="str">
        <f t="shared" si="210"/>
        <v/>
      </c>
      <c r="X951" s="130"/>
      <c r="Y951" s="131"/>
      <c r="Z951" s="131"/>
      <c r="AA951" s="132" t="str">
        <f t="shared" si="211"/>
        <v/>
      </c>
      <c r="AB951" s="133" t="str">
        <f t="shared" si="212"/>
        <v/>
      </c>
      <c r="AC951" s="134" t="str">
        <f t="shared" si="213"/>
        <v/>
      </c>
      <c r="AD951" s="135" t="str">
        <f t="shared" si="214"/>
        <v/>
      </c>
      <c r="AE951" s="136"/>
      <c r="AF951" s="137"/>
      <c r="AG951" s="137"/>
      <c r="AH951" s="138" t="str">
        <f t="shared" si="215"/>
        <v/>
      </c>
      <c r="AI951" s="133" t="str">
        <f t="shared" si="216"/>
        <v/>
      </c>
    </row>
    <row r="952" spans="1:35">
      <c r="A952" s="171" t="str">
        <f>IF('09월 조업일지'!A938="","",'09월 조업일지'!A938)</f>
        <v/>
      </c>
      <c r="B952" s="172" t="str">
        <f>'09월 조업일지'!E938</f>
        <v/>
      </c>
      <c r="C952" s="172" t="str">
        <f>'09월 조업일지'!F938</f>
        <v/>
      </c>
      <c r="D952" s="172" t="str">
        <f>'09월 화학성분'!C939</f>
        <v/>
      </c>
      <c r="E952" s="205" t="str">
        <f t="shared" si="217"/>
        <v/>
      </c>
      <c r="F952" s="121"/>
      <c r="G952" s="122"/>
      <c r="H952" s="123"/>
      <c r="I952" s="122"/>
      <c r="J952" s="123"/>
      <c r="K952" s="122"/>
      <c r="L952" s="124" t="str">
        <f t="shared" si="218"/>
        <v/>
      </c>
      <c r="M952" s="125" t="str">
        <f t="shared" si="218"/>
        <v/>
      </c>
      <c r="N952" s="126" t="str">
        <f t="shared" si="205"/>
        <v/>
      </c>
      <c r="O952" s="127" t="str">
        <f t="shared" si="206"/>
        <v/>
      </c>
      <c r="P952" s="127" t="str">
        <f t="shared" si="207"/>
        <v/>
      </c>
      <c r="Q952" s="128" t="str">
        <f t="shared" si="208"/>
        <v/>
      </c>
      <c r="R952" s="129"/>
      <c r="S952" s="130"/>
      <c r="T952" s="131"/>
      <c r="U952" s="131"/>
      <c r="V952" s="132" t="str">
        <f t="shared" si="209"/>
        <v/>
      </c>
      <c r="W952" s="133" t="str">
        <f t="shared" si="210"/>
        <v/>
      </c>
      <c r="X952" s="130"/>
      <c r="Y952" s="131"/>
      <c r="Z952" s="131"/>
      <c r="AA952" s="132" t="str">
        <f t="shared" si="211"/>
        <v/>
      </c>
      <c r="AB952" s="133" t="str">
        <f t="shared" si="212"/>
        <v/>
      </c>
      <c r="AC952" s="134" t="str">
        <f t="shared" si="213"/>
        <v/>
      </c>
      <c r="AD952" s="135" t="str">
        <f t="shared" si="214"/>
        <v/>
      </c>
      <c r="AE952" s="136"/>
      <c r="AF952" s="137"/>
      <c r="AG952" s="137"/>
      <c r="AH952" s="138" t="str">
        <f t="shared" si="215"/>
        <v/>
      </c>
      <c r="AI952" s="133" t="str">
        <f t="shared" si="216"/>
        <v/>
      </c>
    </row>
    <row r="953" spans="1:35">
      <c r="A953" s="171" t="str">
        <f>IF('09월 조업일지'!A939="","",'09월 조업일지'!A939)</f>
        <v/>
      </c>
      <c r="B953" s="172" t="str">
        <f>'09월 조업일지'!E939</f>
        <v/>
      </c>
      <c r="C953" s="172" t="str">
        <f>'09월 조업일지'!F939</f>
        <v/>
      </c>
      <c r="D953" s="172" t="str">
        <f>'09월 화학성분'!C940</f>
        <v/>
      </c>
      <c r="E953" s="205" t="str">
        <f t="shared" si="217"/>
        <v/>
      </c>
      <c r="F953" s="121"/>
      <c r="G953" s="122"/>
      <c r="H953" s="123"/>
      <c r="I953" s="122"/>
      <c r="J953" s="123"/>
      <c r="K953" s="122"/>
      <c r="L953" s="124" t="str">
        <f t="shared" si="218"/>
        <v/>
      </c>
      <c r="M953" s="125" t="str">
        <f t="shared" si="218"/>
        <v/>
      </c>
      <c r="N953" s="126" t="str">
        <f t="shared" si="205"/>
        <v/>
      </c>
      <c r="O953" s="127" t="str">
        <f t="shared" si="206"/>
        <v/>
      </c>
      <c r="P953" s="127" t="str">
        <f t="shared" si="207"/>
        <v/>
      </c>
      <c r="Q953" s="128" t="str">
        <f t="shared" si="208"/>
        <v/>
      </c>
      <c r="R953" s="129"/>
      <c r="S953" s="130"/>
      <c r="T953" s="131"/>
      <c r="U953" s="131"/>
      <c r="V953" s="132" t="str">
        <f t="shared" si="209"/>
        <v/>
      </c>
      <c r="W953" s="133" t="str">
        <f t="shared" si="210"/>
        <v/>
      </c>
      <c r="X953" s="130"/>
      <c r="Y953" s="131"/>
      <c r="Z953" s="131"/>
      <c r="AA953" s="132" t="str">
        <f t="shared" si="211"/>
        <v/>
      </c>
      <c r="AB953" s="133" t="str">
        <f t="shared" si="212"/>
        <v/>
      </c>
      <c r="AC953" s="134" t="str">
        <f t="shared" si="213"/>
        <v/>
      </c>
      <c r="AD953" s="135" t="str">
        <f t="shared" si="214"/>
        <v/>
      </c>
      <c r="AE953" s="136"/>
      <c r="AF953" s="137"/>
      <c r="AG953" s="137"/>
      <c r="AH953" s="138" t="str">
        <f t="shared" si="215"/>
        <v/>
      </c>
      <c r="AI953" s="133" t="str">
        <f t="shared" si="216"/>
        <v/>
      </c>
    </row>
    <row r="954" spans="1:35">
      <c r="A954" s="171" t="str">
        <f>IF('09월 조업일지'!A940="","",'09월 조업일지'!A940)</f>
        <v/>
      </c>
      <c r="B954" s="172" t="str">
        <f>'09월 조업일지'!E940</f>
        <v/>
      </c>
      <c r="C954" s="172" t="str">
        <f>'09월 조업일지'!F940</f>
        <v/>
      </c>
      <c r="D954" s="172" t="str">
        <f>'09월 화학성분'!C941</f>
        <v/>
      </c>
      <c r="E954" s="205" t="str">
        <f t="shared" si="217"/>
        <v/>
      </c>
      <c r="F954" s="121"/>
      <c r="G954" s="122"/>
      <c r="H954" s="123"/>
      <c r="I954" s="122"/>
      <c r="J954" s="123"/>
      <c r="K954" s="122"/>
      <c r="L954" s="124" t="str">
        <f t="shared" si="218"/>
        <v/>
      </c>
      <c r="M954" s="125" t="str">
        <f t="shared" si="218"/>
        <v/>
      </c>
      <c r="N954" s="126" t="str">
        <f t="shared" si="205"/>
        <v/>
      </c>
      <c r="O954" s="127" t="str">
        <f t="shared" si="206"/>
        <v/>
      </c>
      <c r="P954" s="127" t="str">
        <f t="shared" si="207"/>
        <v/>
      </c>
      <c r="Q954" s="128" t="str">
        <f t="shared" si="208"/>
        <v/>
      </c>
      <c r="R954" s="129"/>
      <c r="S954" s="130"/>
      <c r="T954" s="131"/>
      <c r="U954" s="131"/>
      <c r="V954" s="132" t="str">
        <f t="shared" si="209"/>
        <v/>
      </c>
      <c r="W954" s="133" t="str">
        <f t="shared" si="210"/>
        <v/>
      </c>
      <c r="X954" s="130"/>
      <c r="Y954" s="131"/>
      <c r="Z954" s="131"/>
      <c r="AA954" s="132" t="str">
        <f t="shared" si="211"/>
        <v/>
      </c>
      <c r="AB954" s="133" t="str">
        <f t="shared" si="212"/>
        <v/>
      </c>
      <c r="AC954" s="134" t="str">
        <f t="shared" si="213"/>
        <v/>
      </c>
      <c r="AD954" s="135" t="str">
        <f t="shared" si="214"/>
        <v/>
      </c>
      <c r="AE954" s="136"/>
      <c r="AF954" s="137"/>
      <c r="AG954" s="137"/>
      <c r="AH954" s="138" t="str">
        <f t="shared" si="215"/>
        <v/>
      </c>
      <c r="AI954" s="133" t="str">
        <f t="shared" si="216"/>
        <v/>
      </c>
    </row>
    <row r="955" spans="1:35">
      <c r="A955" s="171" t="str">
        <f>IF('09월 조업일지'!A941="","",'09월 조업일지'!A941)</f>
        <v/>
      </c>
      <c r="B955" s="172" t="str">
        <f>'09월 조업일지'!E941</f>
        <v/>
      </c>
      <c r="C955" s="172" t="str">
        <f>'09월 조업일지'!F941</f>
        <v/>
      </c>
      <c r="D955" s="172" t="str">
        <f>'09월 화학성분'!C942</f>
        <v/>
      </c>
      <c r="E955" s="205" t="str">
        <f t="shared" si="217"/>
        <v/>
      </c>
      <c r="F955" s="121"/>
      <c r="G955" s="122"/>
      <c r="H955" s="123"/>
      <c r="I955" s="122"/>
      <c r="J955" s="123"/>
      <c r="K955" s="122"/>
      <c r="L955" s="124" t="str">
        <f t="shared" si="218"/>
        <v/>
      </c>
      <c r="M955" s="125" t="str">
        <f t="shared" si="218"/>
        <v/>
      </c>
      <c r="N955" s="126" t="str">
        <f t="shared" si="205"/>
        <v/>
      </c>
      <c r="O955" s="127" t="str">
        <f t="shared" si="206"/>
        <v/>
      </c>
      <c r="P955" s="127" t="str">
        <f t="shared" si="207"/>
        <v/>
      </c>
      <c r="Q955" s="128" t="str">
        <f t="shared" si="208"/>
        <v/>
      </c>
      <c r="R955" s="129"/>
      <c r="S955" s="130"/>
      <c r="T955" s="131"/>
      <c r="U955" s="131"/>
      <c r="V955" s="132" t="str">
        <f t="shared" si="209"/>
        <v/>
      </c>
      <c r="W955" s="133" t="str">
        <f t="shared" si="210"/>
        <v/>
      </c>
      <c r="X955" s="130"/>
      <c r="Y955" s="131"/>
      <c r="Z955" s="131"/>
      <c r="AA955" s="132" t="str">
        <f t="shared" si="211"/>
        <v/>
      </c>
      <c r="AB955" s="133" t="str">
        <f t="shared" si="212"/>
        <v/>
      </c>
      <c r="AC955" s="134" t="str">
        <f t="shared" si="213"/>
        <v/>
      </c>
      <c r="AD955" s="135" t="str">
        <f t="shared" si="214"/>
        <v/>
      </c>
      <c r="AE955" s="136"/>
      <c r="AF955" s="137"/>
      <c r="AG955" s="137"/>
      <c r="AH955" s="138" t="str">
        <f t="shared" si="215"/>
        <v/>
      </c>
      <c r="AI955" s="133" t="str">
        <f t="shared" si="216"/>
        <v/>
      </c>
    </row>
    <row r="956" spans="1:35">
      <c r="A956" s="171" t="str">
        <f>IF('09월 조업일지'!A942="","",'09월 조업일지'!A942)</f>
        <v/>
      </c>
      <c r="B956" s="172" t="str">
        <f>'09월 조업일지'!E942</f>
        <v/>
      </c>
      <c r="C956" s="172" t="str">
        <f>'09월 조업일지'!F942</f>
        <v/>
      </c>
      <c r="D956" s="172" t="str">
        <f>'09월 화학성분'!C943</f>
        <v/>
      </c>
      <c r="E956" s="205" t="str">
        <f t="shared" si="217"/>
        <v/>
      </c>
      <c r="F956" s="121"/>
      <c r="G956" s="122"/>
      <c r="H956" s="123"/>
      <c r="I956" s="122"/>
      <c r="J956" s="123"/>
      <c r="K956" s="122"/>
      <c r="L956" s="124" t="str">
        <f t="shared" si="218"/>
        <v/>
      </c>
      <c r="M956" s="125" t="str">
        <f t="shared" si="218"/>
        <v/>
      </c>
      <c r="N956" s="126" t="str">
        <f t="shared" si="205"/>
        <v/>
      </c>
      <c r="O956" s="127" t="str">
        <f t="shared" si="206"/>
        <v/>
      </c>
      <c r="P956" s="127" t="str">
        <f t="shared" si="207"/>
        <v/>
      </c>
      <c r="Q956" s="128" t="str">
        <f t="shared" si="208"/>
        <v/>
      </c>
      <c r="R956" s="129"/>
      <c r="S956" s="130"/>
      <c r="T956" s="131"/>
      <c r="U956" s="131"/>
      <c r="V956" s="132" t="str">
        <f t="shared" si="209"/>
        <v/>
      </c>
      <c r="W956" s="133" t="str">
        <f t="shared" si="210"/>
        <v/>
      </c>
      <c r="X956" s="130"/>
      <c r="Y956" s="131"/>
      <c r="Z956" s="131"/>
      <c r="AA956" s="132" t="str">
        <f t="shared" si="211"/>
        <v/>
      </c>
      <c r="AB956" s="133" t="str">
        <f t="shared" si="212"/>
        <v/>
      </c>
      <c r="AC956" s="134" t="str">
        <f t="shared" si="213"/>
        <v/>
      </c>
      <c r="AD956" s="135" t="str">
        <f t="shared" si="214"/>
        <v/>
      </c>
      <c r="AE956" s="136"/>
      <c r="AF956" s="137"/>
      <c r="AG956" s="137"/>
      <c r="AH956" s="138" t="str">
        <f t="shared" si="215"/>
        <v/>
      </c>
      <c r="AI956" s="133" t="str">
        <f t="shared" si="216"/>
        <v/>
      </c>
    </row>
    <row r="957" spans="1:35">
      <c r="A957" s="171" t="str">
        <f>IF('09월 조업일지'!A943="","",'09월 조업일지'!A943)</f>
        <v/>
      </c>
      <c r="B957" s="172" t="str">
        <f>'09월 조업일지'!E943</f>
        <v/>
      </c>
      <c r="C957" s="172" t="str">
        <f>'09월 조업일지'!F943</f>
        <v/>
      </c>
      <c r="D957" s="172" t="str">
        <f>'09월 화학성분'!C944</f>
        <v/>
      </c>
      <c r="E957" s="205" t="str">
        <f t="shared" si="217"/>
        <v/>
      </c>
      <c r="F957" s="121"/>
      <c r="G957" s="122"/>
      <c r="H957" s="123"/>
      <c r="I957" s="122"/>
      <c r="J957" s="123"/>
      <c r="K957" s="122"/>
      <c r="L957" s="124" t="str">
        <f t="shared" si="218"/>
        <v/>
      </c>
      <c r="M957" s="125" t="str">
        <f t="shared" si="218"/>
        <v/>
      </c>
      <c r="N957" s="126" t="str">
        <f t="shared" si="205"/>
        <v/>
      </c>
      <c r="O957" s="127" t="str">
        <f t="shared" si="206"/>
        <v/>
      </c>
      <c r="P957" s="127" t="str">
        <f t="shared" si="207"/>
        <v/>
      </c>
      <c r="Q957" s="128" t="str">
        <f t="shared" si="208"/>
        <v/>
      </c>
      <c r="R957" s="129"/>
      <c r="S957" s="130"/>
      <c r="T957" s="131"/>
      <c r="U957" s="131"/>
      <c r="V957" s="132" t="str">
        <f t="shared" si="209"/>
        <v/>
      </c>
      <c r="W957" s="133" t="str">
        <f t="shared" si="210"/>
        <v/>
      </c>
      <c r="X957" s="130"/>
      <c r="Y957" s="131"/>
      <c r="Z957" s="131"/>
      <c r="AA957" s="132" t="str">
        <f t="shared" si="211"/>
        <v/>
      </c>
      <c r="AB957" s="133" t="str">
        <f t="shared" si="212"/>
        <v/>
      </c>
      <c r="AC957" s="134" t="str">
        <f t="shared" si="213"/>
        <v/>
      </c>
      <c r="AD957" s="135" t="str">
        <f t="shared" si="214"/>
        <v/>
      </c>
      <c r="AE957" s="136"/>
      <c r="AF957" s="137"/>
      <c r="AG957" s="137"/>
      <c r="AH957" s="138" t="str">
        <f t="shared" si="215"/>
        <v/>
      </c>
      <c r="AI957" s="133" t="str">
        <f t="shared" si="216"/>
        <v/>
      </c>
    </row>
    <row r="958" spans="1:35">
      <c r="A958" s="171" t="str">
        <f>IF('09월 조업일지'!A944="","",'09월 조업일지'!A944)</f>
        <v/>
      </c>
      <c r="B958" s="172" t="str">
        <f>'09월 조업일지'!E944</f>
        <v/>
      </c>
      <c r="C958" s="172" t="str">
        <f>'09월 조업일지'!F944</f>
        <v/>
      </c>
      <c r="D958" s="172" t="str">
        <f>'09월 화학성분'!C945</f>
        <v/>
      </c>
      <c r="E958" s="205" t="str">
        <f t="shared" si="217"/>
        <v/>
      </c>
      <c r="F958" s="121"/>
      <c r="G958" s="122"/>
      <c r="H958" s="123"/>
      <c r="I958" s="122"/>
      <c r="J958" s="123"/>
      <c r="K958" s="122"/>
      <c r="L958" s="124" t="str">
        <f t="shared" si="218"/>
        <v/>
      </c>
      <c r="M958" s="125" t="str">
        <f t="shared" si="218"/>
        <v/>
      </c>
      <c r="N958" s="126" t="str">
        <f t="shared" si="205"/>
        <v/>
      </c>
      <c r="O958" s="127" t="str">
        <f t="shared" si="206"/>
        <v/>
      </c>
      <c r="P958" s="127" t="str">
        <f t="shared" si="207"/>
        <v/>
      </c>
      <c r="Q958" s="128" t="str">
        <f t="shared" si="208"/>
        <v/>
      </c>
      <c r="R958" s="129"/>
      <c r="S958" s="130"/>
      <c r="T958" s="131"/>
      <c r="U958" s="131"/>
      <c r="V958" s="132" t="str">
        <f t="shared" si="209"/>
        <v/>
      </c>
      <c r="W958" s="133" t="str">
        <f t="shared" si="210"/>
        <v/>
      </c>
      <c r="X958" s="130"/>
      <c r="Y958" s="131"/>
      <c r="Z958" s="131"/>
      <c r="AA958" s="132" t="str">
        <f t="shared" si="211"/>
        <v/>
      </c>
      <c r="AB958" s="133" t="str">
        <f t="shared" si="212"/>
        <v/>
      </c>
      <c r="AC958" s="134" t="str">
        <f t="shared" si="213"/>
        <v/>
      </c>
      <c r="AD958" s="135" t="str">
        <f t="shared" si="214"/>
        <v/>
      </c>
      <c r="AE958" s="136"/>
      <c r="AF958" s="137"/>
      <c r="AG958" s="137"/>
      <c r="AH958" s="138" t="str">
        <f t="shared" si="215"/>
        <v/>
      </c>
      <c r="AI958" s="133" t="str">
        <f t="shared" si="216"/>
        <v/>
      </c>
    </row>
    <row r="959" spans="1:35">
      <c r="A959" s="171" t="str">
        <f>IF('09월 조업일지'!A945="","",'09월 조업일지'!A945)</f>
        <v/>
      </c>
      <c r="B959" s="172" t="str">
        <f>'09월 조업일지'!E945</f>
        <v/>
      </c>
      <c r="C959" s="172" t="str">
        <f>'09월 조업일지'!F945</f>
        <v/>
      </c>
      <c r="D959" s="172" t="str">
        <f>'09월 화학성분'!C946</f>
        <v/>
      </c>
      <c r="E959" s="205" t="str">
        <f t="shared" si="217"/>
        <v/>
      </c>
      <c r="F959" s="121"/>
      <c r="G959" s="122"/>
      <c r="H959" s="123"/>
      <c r="I959" s="122"/>
      <c r="J959" s="123"/>
      <c r="K959" s="122"/>
      <c r="L959" s="124" t="str">
        <f t="shared" si="218"/>
        <v/>
      </c>
      <c r="M959" s="125" t="str">
        <f t="shared" si="218"/>
        <v/>
      </c>
      <c r="N959" s="126" t="str">
        <f t="shared" si="205"/>
        <v/>
      </c>
      <c r="O959" s="127" t="str">
        <f t="shared" si="206"/>
        <v/>
      </c>
      <c r="P959" s="127" t="str">
        <f t="shared" si="207"/>
        <v/>
      </c>
      <c r="Q959" s="128" t="str">
        <f t="shared" si="208"/>
        <v/>
      </c>
      <c r="R959" s="129"/>
      <c r="S959" s="130"/>
      <c r="T959" s="131"/>
      <c r="U959" s="131"/>
      <c r="V959" s="132" t="str">
        <f t="shared" si="209"/>
        <v/>
      </c>
      <c r="W959" s="133" t="str">
        <f t="shared" si="210"/>
        <v/>
      </c>
      <c r="X959" s="130"/>
      <c r="Y959" s="131"/>
      <c r="Z959" s="131"/>
      <c r="AA959" s="132" t="str">
        <f t="shared" si="211"/>
        <v/>
      </c>
      <c r="AB959" s="133" t="str">
        <f t="shared" si="212"/>
        <v/>
      </c>
      <c r="AC959" s="134" t="str">
        <f t="shared" si="213"/>
        <v/>
      </c>
      <c r="AD959" s="135" t="str">
        <f t="shared" si="214"/>
        <v/>
      </c>
      <c r="AE959" s="136"/>
      <c r="AF959" s="137"/>
      <c r="AG959" s="137"/>
      <c r="AH959" s="138" t="str">
        <f t="shared" si="215"/>
        <v/>
      </c>
      <c r="AI959" s="133" t="str">
        <f t="shared" si="216"/>
        <v/>
      </c>
    </row>
    <row r="960" spans="1:35">
      <c r="A960" s="171" t="str">
        <f>IF('09월 조업일지'!A946="","",'09월 조업일지'!A946)</f>
        <v/>
      </c>
      <c r="B960" s="172" t="str">
        <f>'09월 조업일지'!E946</f>
        <v/>
      </c>
      <c r="C960" s="172" t="str">
        <f>'09월 조업일지'!F946</f>
        <v/>
      </c>
      <c r="D960" s="172" t="str">
        <f>'09월 화학성분'!C947</f>
        <v/>
      </c>
      <c r="E960" s="205" t="str">
        <f t="shared" si="217"/>
        <v/>
      </c>
      <c r="F960" s="121"/>
      <c r="G960" s="122"/>
      <c r="H960" s="123"/>
      <c r="I960" s="122"/>
      <c r="J960" s="123"/>
      <c r="K960" s="122"/>
      <c r="L960" s="124" t="str">
        <f t="shared" si="218"/>
        <v/>
      </c>
      <c r="M960" s="125" t="str">
        <f t="shared" si="218"/>
        <v/>
      </c>
      <c r="N960" s="126" t="str">
        <f t="shared" si="205"/>
        <v/>
      </c>
      <c r="O960" s="127" t="str">
        <f t="shared" si="206"/>
        <v/>
      </c>
      <c r="P960" s="127" t="str">
        <f t="shared" si="207"/>
        <v/>
      </c>
      <c r="Q960" s="128" t="str">
        <f t="shared" si="208"/>
        <v/>
      </c>
      <c r="R960" s="129"/>
      <c r="S960" s="130"/>
      <c r="T960" s="131"/>
      <c r="U960" s="131"/>
      <c r="V960" s="132" t="str">
        <f t="shared" si="209"/>
        <v/>
      </c>
      <c r="W960" s="133" t="str">
        <f t="shared" si="210"/>
        <v/>
      </c>
      <c r="X960" s="130"/>
      <c r="Y960" s="131"/>
      <c r="Z960" s="131"/>
      <c r="AA960" s="132" t="str">
        <f t="shared" si="211"/>
        <v/>
      </c>
      <c r="AB960" s="133" t="str">
        <f t="shared" si="212"/>
        <v/>
      </c>
      <c r="AC960" s="134" t="str">
        <f t="shared" si="213"/>
        <v/>
      </c>
      <c r="AD960" s="135" t="str">
        <f t="shared" si="214"/>
        <v/>
      </c>
      <c r="AE960" s="136"/>
      <c r="AF960" s="137"/>
      <c r="AG960" s="137"/>
      <c r="AH960" s="138" t="str">
        <f t="shared" si="215"/>
        <v/>
      </c>
      <c r="AI960" s="133" t="str">
        <f t="shared" si="216"/>
        <v/>
      </c>
    </row>
  </sheetData>
  <mergeCells count="40">
    <mergeCell ref="E584:E593"/>
    <mergeCell ref="F584:G584"/>
    <mergeCell ref="F589:G589"/>
    <mergeCell ref="S12:W12"/>
    <mergeCell ref="X12:AB12"/>
    <mergeCell ref="AC12:AD12"/>
    <mergeCell ref="AE12:AI12"/>
    <mergeCell ref="E573:E582"/>
    <mergeCell ref="F573:G573"/>
    <mergeCell ref="F578:G578"/>
    <mergeCell ref="F12:G12"/>
    <mergeCell ref="H12:I12"/>
    <mergeCell ref="J12:K12"/>
    <mergeCell ref="L12:M12"/>
    <mergeCell ref="N12:Q12"/>
    <mergeCell ref="R12:R13"/>
    <mergeCell ref="E12:E13"/>
    <mergeCell ref="B10:D10"/>
    <mergeCell ref="A12:A13"/>
    <mergeCell ref="B12:B13"/>
    <mergeCell ref="C12:C13"/>
    <mergeCell ref="D12:D13"/>
    <mergeCell ref="B9:D9"/>
    <mergeCell ref="N2:Q2"/>
    <mergeCell ref="R2:R3"/>
    <mergeCell ref="S2:W2"/>
    <mergeCell ref="X2:AB2"/>
    <mergeCell ref="B4:D4"/>
    <mergeCell ref="B5:D5"/>
    <mergeCell ref="B6:D6"/>
    <mergeCell ref="B7:D7"/>
    <mergeCell ref="B8:D8"/>
    <mergeCell ref="AC2:AD2"/>
    <mergeCell ref="AE2:AI2"/>
    <mergeCell ref="B2:D3"/>
    <mergeCell ref="E2:E3"/>
    <mergeCell ref="F2:G2"/>
    <mergeCell ref="H2:I2"/>
    <mergeCell ref="J2:K2"/>
    <mergeCell ref="L2:M2"/>
  </mergeCells>
  <phoneticPr fontId="5" type="noConversion"/>
  <conditionalFormatting sqref="W1:X1">
    <cfRule type="cellIs" dxfId="1126" priority="20" stopIfTrue="1" operator="between">
      <formula>350</formula>
      <formula>360</formula>
    </cfRule>
    <cfRule type="cellIs" dxfId="1125" priority="21" stopIfTrue="1" operator="between">
      <formula>361</formula>
      <formula>370</formula>
    </cfRule>
    <cfRule type="cellIs" dxfId="1124" priority="22" stopIfTrue="1" operator="greaterThanOrEqual">
      <formula>370</formula>
    </cfRule>
  </conditionalFormatting>
  <conditionalFormatting sqref="F27:AI123 D27:D123 A14:A123 L21:Q26 V21:W26 AA21:AD26 AH21:AI26 A586:D587 F586:AI587 A433:A573 D433:D573 F186:AI572 F575:AI576 B14:C573 A575:D576 E22:E572 F573 H573:AI573 A594:AI960 A589:D593 H589:AI593">
    <cfRule type="expression" dxfId="1123" priority="19">
      <formula>$A14&gt;$A13</formula>
    </cfRule>
  </conditionalFormatting>
  <conditionalFormatting sqref="F124:AI185">
    <cfRule type="expression" dxfId="1122" priority="16">
      <formula>$A124&gt;$A123</formula>
    </cfRule>
  </conditionalFormatting>
  <conditionalFormatting sqref="A14:C14 L14:Q20 A15:A21 V14:W20 AA14:AD20 AH14:AI20">
    <cfRule type="expression" dxfId="1121" priority="18">
      <formula>$A14&gt;$A13</formula>
    </cfRule>
  </conditionalFormatting>
  <conditionalFormatting sqref="D14:D26">
    <cfRule type="expression" dxfId="1120" priority="17">
      <formula>$A14&gt;$A13</formula>
    </cfRule>
  </conditionalFormatting>
  <conditionalFormatting sqref="A124:A432 D124:D432">
    <cfRule type="expression" dxfId="1119" priority="15">
      <formula>$A124&gt;$A123</formula>
    </cfRule>
  </conditionalFormatting>
  <conditionalFormatting sqref="E15:E20">
    <cfRule type="expression" dxfId="1118" priority="14">
      <formula>$A15&gt;$A14</formula>
    </cfRule>
  </conditionalFormatting>
  <conditionalFormatting sqref="E14">
    <cfRule type="expression" dxfId="1117" priority="13">
      <formula>$A14&gt;$A13</formula>
    </cfRule>
  </conditionalFormatting>
  <conditionalFormatting sqref="E21">
    <cfRule type="expression" dxfId="1116" priority="12">
      <formula>$A21&gt;$A20</formula>
    </cfRule>
  </conditionalFormatting>
  <conditionalFormatting sqref="F14:K26">
    <cfRule type="expression" dxfId="1115" priority="11">
      <formula>$A14&gt;$A13</formula>
    </cfRule>
  </conditionalFormatting>
  <conditionalFormatting sqref="R14:U26">
    <cfRule type="expression" dxfId="1114" priority="10">
      <formula>$A14&gt;$A13</formula>
    </cfRule>
  </conditionalFormatting>
  <conditionalFormatting sqref="X14:Z26">
    <cfRule type="expression" dxfId="1113" priority="9">
      <formula>$A14&gt;$A13</formula>
    </cfRule>
  </conditionalFormatting>
  <conditionalFormatting sqref="AE14:AG26">
    <cfRule type="expression" dxfId="1112" priority="8">
      <formula>$A14&gt;$A13</formula>
    </cfRule>
  </conditionalFormatting>
  <conditionalFormatting sqref="A588:D588 F588:AI588 A577:D578 F577:AI577 A574:D574 F574:AI574 F578 H578:AI578">
    <cfRule type="expression" dxfId="1111" priority="523">
      <formula>$A574&gt;$A572</formula>
    </cfRule>
  </conditionalFormatting>
  <conditionalFormatting sqref="A585:D585 F585:AI585">
    <cfRule type="expression" dxfId="1110" priority="528">
      <formula>$A585&gt;$A577</formula>
    </cfRule>
  </conditionalFormatting>
  <conditionalFormatting sqref="A582:D582 H582:AI582 A583:AI583 A584:D584 H584:AI584">
    <cfRule type="expression" dxfId="1109" priority="530">
      <formula>$A582&gt;$A576</formula>
    </cfRule>
  </conditionalFormatting>
  <conditionalFormatting sqref="A581:D581 H581:AI581">
    <cfRule type="expression" dxfId="1108" priority="532">
      <formula>$A581&gt;$A576</formula>
    </cfRule>
  </conditionalFormatting>
  <conditionalFormatting sqref="A580:D580 H580:AI580">
    <cfRule type="expression" dxfId="1107" priority="534">
      <formula>$A580&gt;$A576</formula>
    </cfRule>
  </conditionalFormatting>
  <conditionalFormatting sqref="A579:D579 H579:AI579">
    <cfRule type="expression" dxfId="1106" priority="536">
      <formula>$A579&gt;$A576</formula>
    </cfRule>
  </conditionalFormatting>
  <conditionalFormatting sqref="F579:G581">
    <cfRule type="expression" dxfId="1105" priority="6">
      <formula>$A579&gt;$A578</formula>
    </cfRule>
  </conditionalFormatting>
  <conditionalFormatting sqref="F582:G582">
    <cfRule type="expression" dxfId="1104" priority="7">
      <formula>$A582&gt;$A580</formula>
    </cfRule>
  </conditionalFormatting>
  <conditionalFormatting sqref="E573">
    <cfRule type="expression" dxfId="1103" priority="538">
      <formula>$A574&gt;$A572</formula>
    </cfRule>
  </conditionalFormatting>
  <conditionalFormatting sqref="F591:G592">
    <cfRule type="expression" dxfId="1102" priority="3">
      <formula>$A591&gt;$A590</formula>
    </cfRule>
  </conditionalFormatting>
  <conditionalFormatting sqref="F593:G593">
    <cfRule type="expression" dxfId="1101" priority="4">
      <formula>$A593&gt;$A591</formula>
    </cfRule>
  </conditionalFormatting>
  <conditionalFormatting sqref="F590:G590">
    <cfRule type="expression" dxfId="1100" priority="5">
      <formula>$A590&gt;$A582</formula>
    </cfRule>
  </conditionalFormatting>
  <conditionalFormatting sqref="E584">
    <cfRule type="expression" dxfId="1099" priority="540">
      <formula>$A585&gt;$A577</formula>
    </cfRule>
  </conditionalFormatting>
  <conditionalFormatting sqref="F584">
    <cfRule type="expression" dxfId="1098" priority="2">
      <formula>$A584&gt;$A583</formula>
    </cfRule>
  </conditionalFormatting>
  <conditionalFormatting sqref="F589">
    <cfRule type="expression" dxfId="1097" priority="1">
      <formula>$A589&gt;$A587</formula>
    </cfRule>
  </conditionalFormatting>
  <pageMargins left="0.75" right="0.75" top="1" bottom="1" header="0.5" footer="0.5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52"/>
  <sheetViews>
    <sheetView topLeftCell="A16" workbookViewId="0">
      <selection activeCell="K11" sqref="K11"/>
    </sheetView>
  </sheetViews>
  <sheetFormatPr defaultRowHeight="14.4"/>
  <cols>
    <col min="5" max="5" width="11.19921875" bestFit="1" customWidth="1"/>
  </cols>
  <sheetData>
    <row r="1" spans="2:34">
      <c r="B1" s="1279" t="s">
        <v>39</v>
      </c>
      <c r="C1" s="1281" t="s">
        <v>87</v>
      </c>
      <c r="D1" s="1303" t="s">
        <v>88</v>
      </c>
      <c r="E1" s="1293" t="s">
        <v>70</v>
      </c>
      <c r="F1" s="1294"/>
      <c r="G1" s="1295" t="s">
        <v>43</v>
      </c>
      <c r="H1" s="1295"/>
      <c r="I1" s="1295" t="s">
        <v>71</v>
      </c>
      <c r="J1" s="1295"/>
      <c r="K1" s="1296" t="s">
        <v>72</v>
      </c>
      <c r="L1" s="1297"/>
      <c r="M1" s="1298" t="s">
        <v>73</v>
      </c>
      <c r="N1" s="1299"/>
      <c r="O1" s="1299"/>
      <c r="P1" s="1300"/>
      <c r="Q1" s="1301" t="s">
        <v>47</v>
      </c>
      <c r="R1" s="1293" t="s">
        <v>75</v>
      </c>
      <c r="S1" s="1305"/>
      <c r="T1" s="1305"/>
      <c r="U1" s="1305"/>
      <c r="V1" s="1306"/>
      <c r="W1" s="1285" t="s">
        <v>76</v>
      </c>
      <c r="X1" s="1286"/>
      <c r="Y1" s="1286"/>
      <c r="Z1" s="1286"/>
      <c r="AA1" s="1287"/>
      <c r="AB1" s="1283" t="s">
        <v>77</v>
      </c>
      <c r="AC1" s="1284"/>
      <c r="AD1" s="1285" t="s">
        <v>78</v>
      </c>
      <c r="AE1" s="1286"/>
      <c r="AF1" s="1286"/>
      <c r="AG1" s="1286"/>
      <c r="AH1" s="1287"/>
    </row>
    <row r="2" spans="2:34" ht="15" thickBot="1">
      <c r="B2" s="1280"/>
      <c r="C2" s="1282"/>
      <c r="D2" s="1304"/>
      <c r="E2" s="107" t="s">
        <v>79</v>
      </c>
      <c r="F2" s="108" t="s">
        <v>80</v>
      </c>
      <c r="G2" s="109" t="s">
        <v>79</v>
      </c>
      <c r="H2" s="108" t="s">
        <v>80</v>
      </c>
      <c r="I2" s="109" t="s">
        <v>79</v>
      </c>
      <c r="J2" s="108" t="s">
        <v>80</v>
      </c>
      <c r="K2" s="110" t="s">
        <v>79</v>
      </c>
      <c r="L2" s="111" t="s">
        <v>80</v>
      </c>
      <c r="M2" s="112" t="s">
        <v>70</v>
      </c>
      <c r="N2" s="113" t="s">
        <v>43</v>
      </c>
      <c r="O2" s="113" t="s">
        <v>71</v>
      </c>
      <c r="P2" s="114" t="s">
        <v>72</v>
      </c>
      <c r="Q2" s="1302"/>
      <c r="R2" s="115" t="s">
        <v>70</v>
      </c>
      <c r="S2" s="116" t="s">
        <v>43</v>
      </c>
      <c r="T2" s="116" t="s">
        <v>71</v>
      </c>
      <c r="U2" s="117" t="s">
        <v>72</v>
      </c>
      <c r="V2" s="114" t="s">
        <v>73</v>
      </c>
      <c r="W2" s="115" t="s">
        <v>70</v>
      </c>
      <c r="X2" s="116" t="s">
        <v>43</v>
      </c>
      <c r="Y2" s="116" t="s">
        <v>71</v>
      </c>
      <c r="Z2" s="117" t="s">
        <v>72</v>
      </c>
      <c r="AA2" s="114" t="s">
        <v>73</v>
      </c>
      <c r="AB2" s="118" t="s">
        <v>90</v>
      </c>
      <c r="AC2" s="119" t="s">
        <v>91</v>
      </c>
      <c r="AD2" s="120" t="s">
        <v>70</v>
      </c>
      <c r="AE2" s="116" t="s">
        <v>43</v>
      </c>
      <c r="AF2" s="116" t="s">
        <v>71</v>
      </c>
      <c r="AG2" s="117" t="s">
        <v>72</v>
      </c>
      <c r="AH2" s="114" t="s">
        <v>73</v>
      </c>
    </row>
    <row r="3" spans="2:34">
      <c r="B3" t="s">
        <v>25</v>
      </c>
      <c r="C3">
        <v>12172</v>
      </c>
      <c r="D3" t="s">
        <v>342</v>
      </c>
      <c r="E3" s="357">
        <v>20</v>
      </c>
      <c r="F3" s="357">
        <v>24000</v>
      </c>
      <c r="G3" s="357">
        <v>17</v>
      </c>
      <c r="H3" s="357">
        <v>20600</v>
      </c>
      <c r="I3" s="357">
        <v>11</v>
      </c>
      <c r="J3" s="357">
        <v>13400</v>
      </c>
      <c r="K3" s="357">
        <v>48</v>
      </c>
      <c r="L3" s="357">
        <v>58000</v>
      </c>
      <c r="M3" s="359">
        <v>163.82252559726962</v>
      </c>
      <c r="N3" s="359">
        <v>140.61433447098977</v>
      </c>
      <c r="O3" s="359">
        <v>91.467576791808867</v>
      </c>
      <c r="P3" s="359">
        <v>395.9044368600683</v>
      </c>
      <c r="Q3" s="360">
        <v>146.5</v>
      </c>
      <c r="R3" s="357">
        <v>0</v>
      </c>
      <c r="S3" s="357">
        <v>165</v>
      </c>
      <c r="T3" s="357">
        <v>152</v>
      </c>
      <c r="U3" s="357">
        <v>317</v>
      </c>
      <c r="V3" s="361">
        <v>2.1638225255972698</v>
      </c>
      <c r="W3" s="357">
        <v>1800</v>
      </c>
      <c r="X3" s="357">
        <v>1617</v>
      </c>
      <c r="Y3" s="357">
        <v>1162</v>
      </c>
      <c r="Z3" s="357">
        <v>4579</v>
      </c>
      <c r="AA3" s="361">
        <v>31.255972696245735</v>
      </c>
      <c r="AB3" s="357">
        <v>4896</v>
      </c>
      <c r="AC3" s="361">
        <v>33.419795221843003</v>
      </c>
      <c r="AD3">
        <v>23</v>
      </c>
      <c r="AE3">
        <v>25</v>
      </c>
      <c r="AF3">
        <v>0</v>
      </c>
      <c r="AG3">
        <v>48</v>
      </c>
      <c r="AH3" s="361">
        <v>0.32764505119453924</v>
      </c>
    </row>
    <row r="4" spans="2:34">
      <c r="B4" t="s">
        <v>25</v>
      </c>
      <c r="C4">
        <v>12174</v>
      </c>
      <c r="D4" t="s">
        <v>342</v>
      </c>
      <c r="E4" s="357">
        <v>21</v>
      </c>
      <c r="F4" s="357">
        <v>23700</v>
      </c>
      <c r="G4" s="357">
        <v>17</v>
      </c>
      <c r="H4" s="357">
        <v>20900</v>
      </c>
      <c r="I4" s="357">
        <v>6</v>
      </c>
      <c r="J4" s="357">
        <v>8400</v>
      </c>
      <c r="K4" s="357">
        <v>44</v>
      </c>
      <c r="L4" s="357">
        <v>53000</v>
      </c>
      <c r="M4" s="359">
        <v>162.6630061770762</v>
      </c>
      <c r="N4" s="359">
        <v>143.44543582704188</v>
      </c>
      <c r="O4" s="359">
        <v>57.652711050102958</v>
      </c>
      <c r="P4" s="359">
        <v>363.76115305422098</v>
      </c>
      <c r="Q4" s="360">
        <v>145.69999999999999</v>
      </c>
      <c r="R4" s="357">
        <v>0</v>
      </c>
      <c r="S4" s="357">
        <v>162</v>
      </c>
      <c r="T4" s="357">
        <v>151</v>
      </c>
      <c r="U4" s="357">
        <v>313</v>
      </c>
      <c r="V4" s="361">
        <v>2.1482498284145506</v>
      </c>
      <c r="W4" s="357">
        <v>1700</v>
      </c>
      <c r="X4" s="357">
        <v>1621</v>
      </c>
      <c r="Y4" s="357">
        <v>678</v>
      </c>
      <c r="Z4" s="357">
        <v>3999</v>
      </c>
      <c r="AA4" s="361">
        <v>27.446808510638299</v>
      </c>
      <c r="AB4" s="357">
        <v>4312</v>
      </c>
      <c r="AC4" s="361">
        <v>29.595058339052851</v>
      </c>
      <c r="AD4">
        <v>25</v>
      </c>
      <c r="AE4">
        <v>23</v>
      </c>
      <c r="AF4">
        <v>0</v>
      </c>
      <c r="AG4">
        <v>48</v>
      </c>
      <c r="AH4" s="361">
        <v>0.32944406314344549</v>
      </c>
    </row>
    <row r="5" spans="2:34">
      <c r="B5" t="s">
        <v>25</v>
      </c>
      <c r="C5">
        <v>12176</v>
      </c>
      <c r="D5" t="s">
        <v>342</v>
      </c>
      <c r="E5" s="357">
        <v>20</v>
      </c>
      <c r="F5" s="357">
        <v>23700</v>
      </c>
      <c r="G5" s="357">
        <v>16</v>
      </c>
      <c r="H5" s="357">
        <v>20700</v>
      </c>
      <c r="I5" s="357">
        <v>8</v>
      </c>
      <c r="J5" s="357">
        <v>10300</v>
      </c>
      <c r="K5" s="357">
        <v>44</v>
      </c>
      <c r="L5" s="357">
        <v>54700</v>
      </c>
      <c r="M5" s="359">
        <v>159.81119352663518</v>
      </c>
      <c r="N5" s="359">
        <v>139.58192852326366</v>
      </c>
      <c r="O5" s="359">
        <v>69.45380984490896</v>
      </c>
      <c r="P5" s="359">
        <v>368.84693189480777</v>
      </c>
      <c r="Q5" s="360">
        <v>148.30000000000001</v>
      </c>
      <c r="R5" s="357">
        <v>0</v>
      </c>
      <c r="S5" s="357">
        <v>137</v>
      </c>
      <c r="T5" s="357">
        <v>181</v>
      </c>
      <c r="U5" s="357">
        <v>318</v>
      </c>
      <c r="V5" s="361">
        <v>2.1443020903573835</v>
      </c>
      <c r="W5" s="357">
        <v>1702</v>
      </c>
      <c r="X5" s="357">
        <v>1573</v>
      </c>
      <c r="Y5" s="357">
        <v>872</v>
      </c>
      <c r="Z5" s="357">
        <v>4147</v>
      </c>
      <c r="AA5" s="361">
        <v>27.963587322993931</v>
      </c>
      <c r="AB5" s="357">
        <v>4465</v>
      </c>
      <c r="AC5" s="361">
        <v>30.107889413351312</v>
      </c>
      <c r="AD5">
        <v>25</v>
      </c>
      <c r="AE5">
        <v>23</v>
      </c>
      <c r="AF5">
        <v>0</v>
      </c>
      <c r="AG5">
        <v>48</v>
      </c>
      <c r="AH5" s="361">
        <v>0.32366824005394468</v>
      </c>
    </row>
    <row r="6" spans="2:34">
      <c r="B6" t="s">
        <v>25</v>
      </c>
      <c r="C6">
        <v>12178</v>
      </c>
      <c r="D6" t="s">
        <v>342</v>
      </c>
      <c r="E6" s="357">
        <v>19</v>
      </c>
      <c r="F6" s="357">
        <v>22500</v>
      </c>
      <c r="G6" s="357">
        <v>18</v>
      </c>
      <c r="H6" s="357">
        <v>20700</v>
      </c>
      <c r="I6" s="357">
        <v>10</v>
      </c>
      <c r="J6" s="357">
        <v>12800</v>
      </c>
      <c r="K6" s="357">
        <v>47</v>
      </c>
      <c r="L6" s="357">
        <v>56000</v>
      </c>
      <c r="M6" s="359">
        <v>151.92437542201216</v>
      </c>
      <c r="N6" s="359">
        <v>139.7704253882512</v>
      </c>
      <c r="O6" s="359">
        <v>86.428089128966917</v>
      </c>
      <c r="P6" s="359">
        <v>378.12288993923028</v>
      </c>
      <c r="Q6" s="360">
        <v>148.1</v>
      </c>
      <c r="R6" s="357">
        <v>0</v>
      </c>
      <c r="S6" s="357">
        <v>83</v>
      </c>
      <c r="T6" s="357">
        <v>237</v>
      </c>
      <c r="U6" s="357">
        <v>320</v>
      </c>
      <c r="V6" s="361">
        <v>2.160702228224173</v>
      </c>
      <c r="W6" s="357">
        <v>1534</v>
      </c>
      <c r="X6" s="357">
        <v>1727</v>
      </c>
      <c r="Y6" s="357">
        <v>1184</v>
      </c>
      <c r="Z6" s="357">
        <v>4445</v>
      </c>
      <c r="AA6" s="361">
        <v>30.013504388926403</v>
      </c>
      <c r="AB6" s="357">
        <v>4765</v>
      </c>
      <c r="AC6" s="361">
        <v>32.174206617150574</v>
      </c>
      <c r="AD6">
        <v>24</v>
      </c>
      <c r="AE6">
        <v>25</v>
      </c>
      <c r="AF6">
        <v>0</v>
      </c>
      <c r="AG6">
        <v>49</v>
      </c>
      <c r="AH6" s="361">
        <v>0.3308575286968265</v>
      </c>
    </row>
    <row r="7" spans="2:34">
      <c r="B7" t="s">
        <v>25</v>
      </c>
      <c r="C7">
        <v>12180</v>
      </c>
      <c r="D7" t="s">
        <v>342</v>
      </c>
      <c r="E7" s="357">
        <v>19</v>
      </c>
      <c r="F7" s="357">
        <v>23500</v>
      </c>
      <c r="G7" s="357">
        <v>17</v>
      </c>
      <c r="H7" s="357">
        <v>20600</v>
      </c>
      <c r="I7" s="357">
        <v>7</v>
      </c>
      <c r="J7" s="357">
        <v>8100</v>
      </c>
      <c r="K7" s="357">
        <v>43</v>
      </c>
      <c r="L7" s="357">
        <v>52200</v>
      </c>
      <c r="M7" s="359">
        <v>160.73871409028729</v>
      </c>
      <c r="N7" s="359">
        <v>140.90287277701779</v>
      </c>
      <c r="O7" s="359">
        <v>55.40355677154583</v>
      </c>
      <c r="P7" s="359">
        <v>357.0451436388509</v>
      </c>
      <c r="Q7" s="360">
        <v>146.19999999999999</v>
      </c>
      <c r="R7" s="357">
        <v>0</v>
      </c>
      <c r="S7" s="357">
        <v>101</v>
      </c>
      <c r="T7" s="357">
        <v>220</v>
      </c>
      <c r="U7" s="357">
        <v>321</v>
      </c>
      <c r="V7" s="361">
        <v>2.1956224350205198</v>
      </c>
      <c r="W7" s="357">
        <v>1650</v>
      </c>
      <c r="X7" s="357">
        <v>1582</v>
      </c>
      <c r="Y7" s="357">
        <v>701</v>
      </c>
      <c r="Z7" s="357">
        <v>3933</v>
      </c>
      <c r="AA7" s="361">
        <v>26.901504787961699</v>
      </c>
      <c r="AB7" s="357">
        <v>4254</v>
      </c>
      <c r="AC7" s="361">
        <v>29.09712722298222</v>
      </c>
      <c r="AD7">
        <v>23</v>
      </c>
      <c r="AE7">
        <v>25</v>
      </c>
      <c r="AF7">
        <v>0</v>
      </c>
      <c r="AG7">
        <v>48</v>
      </c>
      <c r="AH7" s="361">
        <v>0.32831737346101236</v>
      </c>
    </row>
    <row r="8" spans="2:34">
      <c r="B8" t="s">
        <v>25</v>
      </c>
      <c r="C8">
        <v>12182</v>
      </c>
      <c r="D8" t="s">
        <v>342</v>
      </c>
      <c r="E8" s="357">
        <v>20</v>
      </c>
      <c r="F8" s="357">
        <v>23500</v>
      </c>
      <c r="G8" s="357">
        <v>18</v>
      </c>
      <c r="H8" s="357">
        <v>20700</v>
      </c>
      <c r="I8" s="357">
        <v>7</v>
      </c>
      <c r="J8" s="357">
        <v>10000</v>
      </c>
      <c r="K8" s="357">
        <v>45</v>
      </c>
      <c r="L8" s="357">
        <v>54200</v>
      </c>
      <c r="M8" s="359">
        <v>158.03631472763956</v>
      </c>
      <c r="N8" s="359">
        <v>139.20645595158038</v>
      </c>
      <c r="O8" s="359">
        <v>67.249495628782796</v>
      </c>
      <c r="P8" s="359">
        <v>364.49226630800274</v>
      </c>
      <c r="Q8" s="360">
        <v>148.69999999999999</v>
      </c>
      <c r="R8" s="357">
        <v>0</v>
      </c>
      <c r="S8" s="357">
        <v>101</v>
      </c>
      <c r="T8" s="357">
        <v>226</v>
      </c>
      <c r="U8" s="357">
        <v>327</v>
      </c>
      <c r="V8" s="361">
        <v>2.199058507061197</v>
      </c>
      <c r="W8" s="357">
        <v>1680</v>
      </c>
      <c r="X8" s="357">
        <v>1760</v>
      </c>
      <c r="Y8" s="357">
        <v>666</v>
      </c>
      <c r="Z8" s="357">
        <v>4106</v>
      </c>
      <c r="AA8" s="361">
        <v>27.612642905178213</v>
      </c>
      <c r="AB8" s="357">
        <v>4433</v>
      </c>
      <c r="AC8" s="361">
        <v>29.811701412239412</v>
      </c>
      <c r="AD8">
        <v>22</v>
      </c>
      <c r="AE8">
        <v>26</v>
      </c>
      <c r="AF8">
        <v>0</v>
      </c>
      <c r="AG8">
        <v>48</v>
      </c>
      <c r="AH8" s="361">
        <v>0.32279757901815737</v>
      </c>
    </row>
    <row r="9" spans="2:34">
      <c r="B9" t="s">
        <v>25</v>
      </c>
      <c r="C9">
        <v>12184</v>
      </c>
      <c r="D9" t="s">
        <v>342</v>
      </c>
      <c r="E9" s="357">
        <v>21</v>
      </c>
      <c r="F9" s="357">
        <v>23600</v>
      </c>
      <c r="G9" s="357">
        <v>16</v>
      </c>
      <c r="H9" s="357">
        <v>20500</v>
      </c>
      <c r="I9" s="357">
        <v>5</v>
      </c>
      <c r="J9" s="357">
        <v>11800</v>
      </c>
      <c r="K9" s="357">
        <v>42</v>
      </c>
      <c r="L9" s="357">
        <v>55900</v>
      </c>
      <c r="M9" s="359">
        <v>163.43490304709141</v>
      </c>
      <c r="N9" s="359">
        <v>141.96675900277009</v>
      </c>
      <c r="O9" s="359">
        <v>81.717451523545705</v>
      </c>
      <c r="P9" s="359">
        <v>387.11911357340722</v>
      </c>
      <c r="Q9" s="360">
        <v>144.4</v>
      </c>
      <c r="R9" s="357">
        <v>0</v>
      </c>
      <c r="S9" s="357">
        <v>80</v>
      </c>
      <c r="T9" s="357">
        <v>284</v>
      </c>
      <c r="U9" s="357">
        <v>364</v>
      </c>
      <c r="V9" s="361">
        <v>2.520775623268698</v>
      </c>
      <c r="W9" s="357">
        <v>1718</v>
      </c>
      <c r="X9" s="357">
        <v>1584</v>
      </c>
      <c r="Y9" s="357">
        <v>697</v>
      </c>
      <c r="Z9" s="357">
        <v>3999</v>
      </c>
      <c r="AA9" s="361">
        <v>27.693905817174514</v>
      </c>
      <c r="AB9" s="357">
        <v>4363</v>
      </c>
      <c r="AC9" s="361">
        <v>30.214681440443211</v>
      </c>
      <c r="AD9">
        <v>22</v>
      </c>
      <c r="AE9">
        <v>24</v>
      </c>
      <c r="AF9">
        <v>0</v>
      </c>
      <c r="AG9">
        <v>46</v>
      </c>
      <c r="AH9" s="361">
        <v>0.31855955678670361</v>
      </c>
    </row>
    <row r="10" spans="2:34">
      <c r="B10" t="s">
        <v>25</v>
      </c>
      <c r="C10">
        <v>12186</v>
      </c>
      <c r="D10" t="s">
        <v>342</v>
      </c>
      <c r="E10" s="357">
        <v>20</v>
      </c>
      <c r="F10" s="357">
        <v>23600</v>
      </c>
      <c r="G10" s="357">
        <v>18</v>
      </c>
      <c r="H10" s="357">
        <v>21000</v>
      </c>
      <c r="I10" s="357">
        <v>10</v>
      </c>
      <c r="J10" s="357">
        <v>13500</v>
      </c>
      <c r="K10" s="357">
        <v>48</v>
      </c>
      <c r="L10" s="357">
        <v>58100</v>
      </c>
      <c r="M10" s="359">
        <v>159.89159891598916</v>
      </c>
      <c r="N10" s="359">
        <v>142.27642276422765</v>
      </c>
      <c r="O10" s="359">
        <v>91.463414634146346</v>
      </c>
      <c r="P10" s="359">
        <v>393.63143631436321</v>
      </c>
      <c r="Q10" s="360">
        <v>147.6</v>
      </c>
      <c r="R10" s="357">
        <v>0</v>
      </c>
      <c r="S10" s="357">
        <v>63</v>
      </c>
      <c r="T10" s="357">
        <v>267</v>
      </c>
      <c r="U10" s="357">
        <v>330</v>
      </c>
      <c r="V10" s="361">
        <v>2.2357723577235773</v>
      </c>
      <c r="W10" s="357">
        <v>1769</v>
      </c>
      <c r="X10" s="357">
        <v>1819</v>
      </c>
      <c r="Y10" s="357">
        <v>767</v>
      </c>
      <c r="Z10" s="357">
        <v>4355</v>
      </c>
      <c r="AA10" s="361">
        <v>29.505420054200542</v>
      </c>
      <c r="AB10" s="357">
        <v>4685</v>
      </c>
      <c r="AC10" s="361">
        <v>31.741192411924121</v>
      </c>
      <c r="AD10">
        <v>24</v>
      </c>
      <c r="AE10">
        <v>20</v>
      </c>
      <c r="AF10">
        <v>8</v>
      </c>
      <c r="AG10">
        <v>52</v>
      </c>
      <c r="AH10" s="361">
        <v>0.35230352303523038</v>
      </c>
    </row>
    <row r="11" spans="2:34">
      <c r="E11" s="357">
        <f>AVERAGE(E3:E10)</f>
        <v>20</v>
      </c>
      <c r="F11" s="357">
        <f t="shared" ref="F11:AH11" si="0">AVERAGE(F3:F10)</f>
        <v>23512.5</v>
      </c>
      <c r="G11" s="357">
        <f t="shared" si="0"/>
        <v>17.125</v>
      </c>
      <c r="H11" s="357">
        <f t="shared" si="0"/>
        <v>20712.5</v>
      </c>
      <c r="I11" s="357">
        <f t="shared" si="0"/>
        <v>8</v>
      </c>
      <c r="J11" s="357">
        <f t="shared" si="0"/>
        <v>11037.5</v>
      </c>
      <c r="K11" s="357">
        <f t="shared" si="0"/>
        <v>45.125</v>
      </c>
      <c r="L11" s="357">
        <f t="shared" si="0"/>
        <v>55262.5</v>
      </c>
      <c r="M11" s="357">
        <f t="shared" si="0"/>
        <v>160.04032893800007</v>
      </c>
      <c r="N11" s="357">
        <f t="shared" si="0"/>
        <v>140.97057933814281</v>
      </c>
      <c r="O11" s="357">
        <f t="shared" si="0"/>
        <v>75.104513171726055</v>
      </c>
      <c r="P11" s="357">
        <f t="shared" si="0"/>
        <v>376.11542144786893</v>
      </c>
      <c r="Q11" s="357">
        <f t="shared" si="0"/>
        <v>146.9375</v>
      </c>
      <c r="R11" s="357">
        <f t="shared" si="0"/>
        <v>0</v>
      </c>
      <c r="S11" s="357">
        <f t="shared" si="0"/>
        <v>111.5</v>
      </c>
      <c r="T11" s="357">
        <f t="shared" si="0"/>
        <v>214.75</v>
      </c>
      <c r="U11" s="357">
        <f t="shared" si="0"/>
        <v>326.25</v>
      </c>
      <c r="V11" s="357">
        <f t="shared" si="0"/>
        <v>2.221038199458421</v>
      </c>
      <c r="W11" s="357">
        <f t="shared" si="0"/>
        <v>1694.125</v>
      </c>
      <c r="X11" s="357">
        <f t="shared" si="0"/>
        <v>1660.375</v>
      </c>
      <c r="Y11" s="357">
        <f t="shared" si="0"/>
        <v>840.875</v>
      </c>
      <c r="Z11" s="357">
        <f t="shared" si="0"/>
        <v>4195.375</v>
      </c>
      <c r="AA11" s="357">
        <f t="shared" si="0"/>
        <v>28.549168310414913</v>
      </c>
      <c r="AB11" s="357">
        <f t="shared" si="0"/>
        <v>4521.625</v>
      </c>
      <c r="AC11" s="357">
        <f t="shared" si="0"/>
        <v>30.770206509873336</v>
      </c>
      <c r="AD11" s="357">
        <f t="shared" si="0"/>
        <v>23.5</v>
      </c>
      <c r="AE11" s="357">
        <f t="shared" si="0"/>
        <v>23.875</v>
      </c>
      <c r="AF11" s="357">
        <f t="shared" si="0"/>
        <v>1</v>
      </c>
      <c r="AG11" s="357">
        <f t="shared" si="0"/>
        <v>48.375</v>
      </c>
      <c r="AH11" s="357">
        <f t="shared" si="0"/>
        <v>0.32919911442373245</v>
      </c>
    </row>
    <row r="12" spans="2:34">
      <c r="E12" s="357"/>
      <c r="F12" s="357"/>
      <c r="G12" s="357"/>
      <c r="H12" s="357"/>
      <c r="I12" s="357"/>
      <c r="J12" s="357"/>
      <c r="K12" s="357"/>
      <c r="L12" s="357"/>
      <c r="M12" s="359"/>
      <c r="N12" s="359"/>
      <c r="O12" s="359"/>
      <c r="P12" s="359"/>
      <c r="Q12" s="360"/>
      <c r="R12" s="357"/>
      <c r="S12" s="357"/>
      <c r="T12" s="357"/>
      <c r="U12" s="357"/>
      <c r="V12" s="361"/>
      <c r="W12" s="357"/>
      <c r="X12" s="357"/>
      <c r="Y12" s="357"/>
      <c r="Z12" s="357"/>
      <c r="AA12" s="361"/>
      <c r="AB12" s="357"/>
      <c r="AC12" s="361"/>
      <c r="AH12" s="361"/>
    </row>
    <row r="13" spans="2:34" ht="15" thickBot="1">
      <c r="E13" s="357"/>
      <c r="F13" s="357"/>
      <c r="G13" s="357"/>
      <c r="H13" s="357"/>
      <c r="I13" s="357"/>
      <c r="J13" s="357"/>
      <c r="K13" s="357"/>
      <c r="L13" s="357"/>
      <c r="M13" s="359"/>
      <c r="N13" s="359"/>
      <c r="O13" s="359"/>
      <c r="P13" s="359"/>
      <c r="Q13" s="360"/>
      <c r="R13" s="357"/>
      <c r="S13" s="357"/>
      <c r="T13" s="357"/>
      <c r="U13" s="357"/>
      <c r="V13" s="361"/>
      <c r="W13" s="357"/>
      <c r="X13" s="357"/>
      <c r="Y13" s="357"/>
      <c r="Z13" s="357"/>
      <c r="AA13" s="361"/>
      <c r="AB13" s="357"/>
      <c r="AC13" s="361"/>
      <c r="AH13" s="361"/>
    </row>
    <row r="14" spans="2:34">
      <c r="B14" s="1279" t="s">
        <v>39</v>
      </c>
      <c r="C14" s="1281" t="s">
        <v>87</v>
      </c>
      <c r="D14" s="1303" t="s">
        <v>88</v>
      </c>
      <c r="E14" s="1293" t="s">
        <v>70</v>
      </c>
      <c r="F14" s="1294"/>
      <c r="G14" s="1295" t="s">
        <v>43</v>
      </c>
      <c r="H14" s="1295"/>
      <c r="I14" s="1295" t="s">
        <v>71</v>
      </c>
      <c r="J14" s="1295"/>
      <c r="K14" s="1296" t="s">
        <v>72</v>
      </c>
      <c r="L14" s="1297"/>
      <c r="M14" s="1298" t="s">
        <v>73</v>
      </c>
      <c r="N14" s="1299"/>
      <c r="O14" s="1299"/>
      <c r="P14" s="1300"/>
      <c r="Q14" s="1301" t="s">
        <v>47</v>
      </c>
      <c r="R14" s="1293" t="s">
        <v>75</v>
      </c>
      <c r="S14" s="1305"/>
      <c r="T14" s="1305"/>
      <c r="U14" s="1305"/>
      <c r="V14" s="1306"/>
      <c r="W14" s="1285" t="s">
        <v>76</v>
      </c>
      <c r="X14" s="1286"/>
      <c r="Y14" s="1286"/>
      <c r="Z14" s="1286"/>
      <c r="AA14" s="1287"/>
      <c r="AB14" s="1283" t="s">
        <v>77</v>
      </c>
      <c r="AC14" s="1284"/>
      <c r="AD14" s="1285" t="s">
        <v>78</v>
      </c>
      <c r="AE14" s="1286"/>
      <c r="AF14" s="1286"/>
      <c r="AG14" s="1286"/>
      <c r="AH14" s="1287"/>
    </row>
    <row r="15" spans="2:34" ht="15" thickBot="1">
      <c r="B15" s="1280"/>
      <c r="C15" s="1282"/>
      <c r="D15" s="1304"/>
      <c r="E15" s="107" t="s">
        <v>79</v>
      </c>
      <c r="F15" s="108" t="s">
        <v>80</v>
      </c>
      <c r="G15" s="109" t="s">
        <v>79</v>
      </c>
      <c r="H15" s="108" t="s">
        <v>80</v>
      </c>
      <c r="I15" s="109" t="s">
        <v>79</v>
      </c>
      <c r="J15" s="108" t="s">
        <v>80</v>
      </c>
      <c r="K15" s="110" t="s">
        <v>79</v>
      </c>
      <c r="L15" s="111" t="s">
        <v>80</v>
      </c>
      <c r="M15" s="112" t="s">
        <v>70</v>
      </c>
      <c r="N15" s="113" t="s">
        <v>43</v>
      </c>
      <c r="O15" s="113" t="s">
        <v>71</v>
      </c>
      <c r="P15" s="114" t="s">
        <v>72</v>
      </c>
      <c r="Q15" s="1302"/>
      <c r="R15" s="115" t="s">
        <v>70</v>
      </c>
      <c r="S15" s="116" t="s">
        <v>43</v>
      </c>
      <c r="T15" s="116" t="s">
        <v>71</v>
      </c>
      <c r="U15" s="117" t="s">
        <v>72</v>
      </c>
      <c r="V15" s="114" t="s">
        <v>73</v>
      </c>
      <c r="W15" s="115" t="s">
        <v>70</v>
      </c>
      <c r="X15" s="116" t="s">
        <v>43</v>
      </c>
      <c r="Y15" s="116" t="s">
        <v>71</v>
      </c>
      <c r="Z15" s="117" t="s">
        <v>72</v>
      </c>
      <c r="AA15" s="114" t="s">
        <v>73</v>
      </c>
      <c r="AB15" s="118" t="s">
        <v>90</v>
      </c>
      <c r="AC15" s="119" t="s">
        <v>91</v>
      </c>
      <c r="AD15" s="120" t="s">
        <v>70</v>
      </c>
      <c r="AE15" s="116" t="s">
        <v>43</v>
      </c>
      <c r="AF15" s="116" t="s">
        <v>71</v>
      </c>
      <c r="AG15" s="117" t="s">
        <v>72</v>
      </c>
      <c r="AH15" s="114" t="s">
        <v>73</v>
      </c>
    </row>
    <row r="16" spans="2:34">
      <c r="B16" t="s">
        <v>25</v>
      </c>
      <c r="C16">
        <v>12188</v>
      </c>
      <c r="D16" t="s">
        <v>342</v>
      </c>
      <c r="E16" s="357">
        <v>19</v>
      </c>
      <c r="F16" s="357">
        <v>23200</v>
      </c>
      <c r="G16" s="357">
        <v>17</v>
      </c>
      <c r="H16" s="357">
        <v>20400</v>
      </c>
      <c r="I16" s="357">
        <v>7</v>
      </c>
      <c r="J16" s="357">
        <v>8700</v>
      </c>
      <c r="K16" s="357">
        <v>43</v>
      </c>
      <c r="L16" s="357">
        <v>52300</v>
      </c>
      <c r="M16" s="359">
        <v>158.25375170532061</v>
      </c>
      <c r="N16" s="359">
        <v>139.15416098226467</v>
      </c>
      <c r="O16" s="359">
        <v>59.345156889495229</v>
      </c>
      <c r="P16" s="359">
        <v>356.75306957708051</v>
      </c>
      <c r="Q16" s="360">
        <v>146.6</v>
      </c>
      <c r="R16" s="357">
        <v>0</v>
      </c>
      <c r="S16" s="357">
        <v>176</v>
      </c>
      <c r="T16" s="357">
        <v>191</v>
      </c>
      <c r="U16" s="357">
        <v>367</v>
      </c>
      <c r="V16" s="361">
        <v>2.5034106412005457</v>
      </c>
      <c r="W16" s="357">
        <v>1648</v>
      </c>
      <c r="X16" s="357">
        <v>1612</v>
      </c>
      <c r="Y16" s="357">
        <v>597</v>
      </c>
      <c r="Z16" s="357">
        <v>3857</v>
      </c>
      <c r="AA16" s="361">
        <v>26.309686221009549</v>
      </c>
      <c r="AB16" s="357">
        <v>4224</v>
      </c>
      <c r="AC16" s="361">
        <v>28.813096862210095</v>
      </c>
      <c r="AD16">
        <v>25</v>
      </c>
      <c r="AE16">
        <v>21</v>
      </c>
      <c r="AF16">
        <v>6</v>
      </c>
      <c r="AG16">
        <v>52</v>
      </c>
      <c r="AH16" s="361">
        <v>0.35470668485675311</v>
      </c>
    </row>
    <row r="17" spans="2:34">
      <c r="B17" t="s">
        <v>25</v>
      </c>
      <c r="C17">
        <v>12190</v>
      </c>
      <c r="D17" t="s">
        <v>342</v>
      </c>
      <c r="E17" s="357">
        <v>21</v>
      </c>
      <c r="F17" s="357">
        <v>23600</v>
      </c>
      <c r="G17" s="357">
        <v>17</v>
      </c>
      <c r="H17" s="357">
        <v>20900</v>
      </c>
      <c r="I17" s="357">
        <v>7</v>
      </c>
      <c r="J17" s="357">
        <v>9000</v>
      </c>
      <c r="K17" s="357">
        <v>45</v>
      </c>
      <c r="L17" s="357">
        <v>53500</v>
      </c>
      <c r="M17" s="359">
        <v>160.65350578624916</v>
      </c>
      <c r="N17" s="359">
        <v>142.27365554799184</v>
      </c>
      <c r="O17" s="359">
        <v>61.266167460857723</v>
      </c>
      <c r="P17" s="359">
        <v>364.19332879509869</v>
      </c>
      <c r="Q17" s="360">
        <v>146.9</v>
      </c>
      <c r="R17" s="357">
        <v>0</v>
      </c>
      <c r="S17" s="357">
        <v>140</v>
      </c>
      <c r="T17" s="357">
        <v>202</v>
      </c>
      <c r="U17" s="357">
        <v>342</v>
      </c>
      <c r="V17" s="361">
        <v>2.3281143635125936</v>
      </c>
      <c r="W17" s="357">
        <v>1740</v>
      </c>
      <c r="X17" s="357">
        <v>1680</v>
      </c>
      <c r="Y17" s="357">
        <v>652</v>
      </c>
      <c r="Z17" s="357">
        <v>4072</v>
      </c>
      <c r="AA17" s="361">
        <v>27.719537100068074</v>
      </c>
      <c r="AB17" s="357">
        <v>4414</v>
      </c>
      <c r="AC17" s="361">
        <v>30.047651463580667</v>
      </c>
      <c r="AD17">
        <v>22</v>
      </c>
      <c r="AE17">
        <v>20</v>
      </c>
      <c r="AF17">
        <v>7</v>
      </c>
      <c r="AG17">
        <v>49</v>
      </c>
      <c r="AH17" s="361">
        <v>0.33356024506466986</v>
      </c>
    </row>
    <row r="18" spans="2:34">
      <c r="B18" t="s">
        <v>25</v>
      </c>
      <c r="C18">
        <v>12192</v>
      </c>
      <c r="D18" t="s">
        <v>340</v>
      </c>
      <c r="E18" s="357">
        <v>19</v>
      </c>
      <c r="F18" s="357">
        <v>24000</v>
      </c>
      <c r="G18" s="357">
        <v>18</v>
      </c>
      <c r="H18" s="357">
        <v>20700</v>
      </c>
      <c r="I18" s="357">
        <v>7</v>
      </c>
      <c r="J18" s="357">
        <v>9000</v>
      </c>
      <c r="K18" s="357">
        <v>44</v>
      </c>
      <c r="L18" s="357">
        <v>53700</v>
      </c>
      <c r="M18" s="359">
        <v>160.21361815754338</v>
      </c>
      <c r="N18" s="359">
        <v>138.18424566088117</v>
      </c>
      <c r="O18" s="359">
        <v>60.080106809078764</v>
      </c>
      <c r="P18" s="359">
        <v>358.47797062750328</v>
      </c>
      <c r="Q18" s="360">
        <v>149.80000000000001</v>
      </c>
      <c r="R18" s="357">
        <v>0</v>
      </c>
      <c r="S18" s="357">
        <v>180</v>
      </c>
      <c r="T18" s="357">
        <v>229</v>
      </c>
      <c r="U18" s="357">
        <v>409</v>
      </c>
      <c r="V18" s="361">
        <v>2.7303070761014685</v>
      </c>
      <c r="W18" s="357">
        <v>1734</v>
      </c>
      <c r="X18" s="357">
        <v>1790</v>
      </c>
      <c r="Y18" s="357">
        <v>664</v>
      </c>
      <c r="Z18" s="357">
        <v>4188</v>
      </c>
      <c r="AA18" s="361">
        <v>27.957276368491321</v>
      </c>
      <c r="AB18" s="357">
        <v>4597</v>
      </c>
      <c r="AC18" s="361">
        <v>30.687583444592789</v>
      </c>
      <c r="AD18">
        <v>25</v>
      </c>
      <c r="AE18">
        <v>22</v>
      </c>
      <c r="AF18">
        <v>4</v>
      </c>
      <c r="AG18">
        <v>51</v>
      </c>
      <c r="AH18" s="361">
        <v>0.34045393858477968</v>
      </c>
    </row>
    <row r="19" spans="2:34">
      <c r="B19" t="s">
        <v>25</v>
      </c>
      <c r="C19">
        <v>12194</v>
      </c>
      <c r="D19" t="s">
        <v>340</v>
      </c>
      <c r="E19" s="357">
        <v>20</v>
      </c>
      <c r="F19" s="357">
        <v>23600</v>
      </c>
      <c r="G19" s="357">
        <v>18</v>
      </c>
      <c r="H19" s="357">
        <v>20900</v>
      </c>
      <c r="I19" s="357">
        <v>8</v>
      </c>
      <c r="J19" s="357">
        <v>10600</v>
      </c>
      <c r="K19" s="357">
        <v>46</v>
      </c>
      <c r="L19" s="357">
        <v>55100</v>
      </c>
      <c r="M19" s="359">
        <v>161.31237183868762</v>
      </c>
      <c r="N19" s="359">
        <v>142.85714285714283</v>
      </c>
      <c r="O19" s="359">
        <v>72.453861927546129</v>
      </c>
      <c r="P19" s="359">
        <v>376.6233766233766</v>
      </c>
      <c r="Q19" s="360">
        <v>146.30000000000001</v>
      </c>
      <c r="R19" s="357">
        <v>0</v>
      </c>
      <c r="S19" s="357">
        <v>122</v>
      </c>
      <c r="T19" s="357">
        <v>249</v>
      </c>
      <c r="U19" s="357">
        <v>371</v>
      </c>
      <c r="V19" s="361">
        <v>2.5358851674641145</v>
      </c>
      <c r="W19" s="357">
        <v>1727</v>
      </c>
      <c r="X19" s="357">
        <v>1686</v>
      </c>
      <c r="Y19" s="357">
        <v>808</v>
      </c>
      <c r="Z19" s="357">
        <v>4221</v>
      </c>
      <c r="AA19" s="361">
        <v>28.851674641148325</v>
      </c>
      <c r="AB19" s="357">
        <v>4592</v>
      </c>
      <c r="AC19" s="361">
        <v>31.387559808612437</v>
      </c>
      <c r="AD19">
        <v>24</v>
      </c>
      <c r="AE19">
        <v>19</v>
      </c>
      <c r="AF19">
        <v>6</v>
      </c>
      <c r="AG19">
        <v>49</v>
      </c>
      <c r="AH19" s="361">
        <v>0.33492822966507174</v>
      </c>
    </row>
    <row r="20" spans="2:34">
      <c r="B20" t="s">
        <v>25</v>
      </c>
      <c r="C20">
        <v>12196</v>
      </c>
      <c r="D20" t="s">
        <v>340</v>
      </c>
      <c r="E20" s="357">
        <v>19</v>
      </c>
      <c r="F20" s="357">
        <v>23300</v>
      </c>
      <c r="G20" s="357">
        <v>18</v>
      </c>
      <c r="H20" s="357">
        <v>20700</v>
      </c>
      <c r="I20" s="357">
        <v>9</v>
      </c>
      <c r="J20" s="357">
        <v>10900</v>
      </c>
      <c r="K20" s="357">
        <v>46</v>
      </c>
      <c r="L20" s="357">
        <v>54900</v>
      </c>
      <c r="M20" s="359">
        <v>160.46831955922866</v>
      </c>
      <c r="N20" s="359">
        <v>142.5619834710744</v>
      </c>
      <c r="O20" s="359">
        <v>75.068870523415981</v>
      </c>
      <c r="P20" s="359">
        <v>378.09917355371903</v>
      </c>
      <c r="Q20" s="360">
        <v>145.19999999999999</v>
      </c>
      <c r="R20" s="357">
        <v>0</v>
      </c>
      <c r="S20" s="357">
        <v>203</v>
      </c>
      <c r="T20" s="357">
        <v>140</v>
      </c>
      <c r="U20" s="357">
        <v>343</v>
      </c>
      <c r="V20" s="361">
        <v>2.3622589531680442</v>
      </c>
      <c r="W20" s="357">
        <v>1671</v>
      </c>
      <c r="X20" s="357">
        <v>1618</v>
      </c>
      <c r="Y20" s="357">
        <v>872</v>
      </c>
      <c r="Z20" s="357">
        <v>4161</v>
      </c>
      <c r="AA20" s="361">
        <v>28.65702479338843</v>
      </c>
      <c r="AB20" s="357">
        <v>4504</v>
      </c>
      <c r="AC20" s="361">
        <v>31.019283746556475</v>
      </c>
      <c r="AD20">
        <v>23</v>
      </c>
      <c r="AE20">
        <v>24</v>
      </c>
      <c r="AF20">
        <v>0</v>
      </c>
      <c r="AG20">
        <v>47</v>
      </c>
      <c r="AH20" s="361">
        <v>0.32369146005509647</v>
      </c>
    </row>
    <row r="21" spans="2:34">
      <c r="B21" t="s">
        <v>25</v>
      </c>
      <c r="C21">
        <v>12198</v>
      </c>
      <c r="D21" t="s">
        <v>340</v>
      </c>
      <c r="E21" s="357">
        <v>21</v>
      </c>
      <c r="F21" s="357">
        <v>23500</v>
      </c>
      <c r="G21" s="357">
        <v>18</v>
      </c>
      <c r="H21" s="357">
        <v>20500</v>
      </c>
      <c r="I21" s="357">
        <v>10</v>
      </c>
      <c r="J21" s="357">
        <v>12600</v>
      </c>
      <c r="K21" s="357">
        <v>49</v>
      </c>
      <c r="L21" s="357">
        <v>56600</v>
      </c>
      <c r="M21" s="359">
        <v>159.64673913043478</v>
      </c>
      <c r="N21" s="359">
        <v>139.26630434782609</v>
      </c>
      <c r="O21" s="359">
        <v>85.59782608695653</v>
      </c>
      <c r="P21" s="359">
        <v>384.51086956521738</v>
      </c>
      <c r="Q21" s="360">
        <v>147.19999999999999</v>
      </c>
      <c r="R21" s="357">
        <v>0</v>
      </c>
      <c r="S21" s="357">
        <v>177</v>
      </c>
      <c r="T21" s="357">
        <v>175</v>
      </c>
      <c r="U21" s="357">
        <v>352</v>
      </c>
      <c r="V21" s="361">
        <v>2.3913043478260874</v>
      </c>
      <c r="W21" s="357">
        <v>1754</v>
      </c>
      <c r="X21" s="357">
        <v>1595</v>
      </c>
      <c r="Y21" s="357">
        <v>1110</v>
      </c>
      <c r="Z21" s="357">
        <v>4459</v>
      </c>
      <c r="AA21" s="361">
        <v>30.292119565217394</v>
      </c>
      <c r="AB21" s="357">
        <v>4811</v>
      </c>
      <c r="AC21" s="361">
        <v>32.683423913043484</v>
      </c>
      <c r="AD21">
        <v>23</v>
      </c>
      <c r="AE21">
        <v>25</v>
      </c>
      <c r="AF21">
        <v>0</v>
      </c>
      <c r="AG21">
        <v>48</v>
      </c>
      <c r="AH21" s="361">
        <v>0.32608695652173914</v>
      </c>
    </row>
    <row r="22" spans="2:34">
      <c r="B22" t="s">
        <v>25</v>
      </c>
      <c r="C22">
        <v>12200</v>
      </c>
      <c r="D22" t="s">
        <v>340</v>
      </c>
      <c r="E22" s="357">
        <v>20</v>
      </c>
      <c r="F22" s="357">
        <v>23300</v>
      </c>
      <c r="G22" s="357">
        <v>17</v>
      </c>
      <c r="H22" s="357">
        <v>20800</v>
      </c>
      <c r="I22" s="357">
        <v>7</v>
      </c>
      <c r="J22" s="357">
        <v>8700</v>
      </c>
      <c r="K22" s="357">
        <v>44</v>
      </c>
      <c r="L22" s="357">
        <v>52800</v>
      </c>
      <c r="M22" s="359">
        <v>159.04436860068259</v>
      </c>
      <c r="N22" s="359">
        <v>141.97952218430035</v>
      </c>
      <c r="O22" s="359">
        <v>59.38566552901024</v>
      </c>
      <c r="P22" s="359">
        <v>360.40955631399316</v>
      </c>
      <c r="Q22" s="360">
        <v>146.5</v>
      </c>
      <c r="R22" s="357">
        <v>0</v>
      </c>
      <c r="S22" s="357">
        <v>205</v>
      </c>
      <c r="T22" s="357">
        <v>141</v>
      </c>
      <c r="U22" s="357">
        <v>346</v>
      </c>
      <c r="V22" s="361">
        <v>2.3617747440273038</v>
      </c>
      <c r="W22" s="357">
        <v>1704</v>
      </c>
      <c r="X22" s="357">
        <v>1618</v>
      </c>
      <c r="Y22" s="357">
        <v>710</v>
      </c>
      <c r="Z22" s="357">
        <v>4032</v>
      </c>
      <c r="AA22" s="361">
        <v>27.522184300341298</v>
      </c>
      <c r="AB22" s="357">
        <v>4378</v>
      </c>
      <c r="AC22" s="361">
        <v>29.883959044368602</v>
      </c>
      <c r="AD22">
        <v>25</v>
      </c>
      <c r="AE22">
        <v>25</v>
      </c>
      <c r="AF22">
        <v>0</v>
      </c>
      <c r="AG22">
        <v>50</v>
      </c>
      <c r="AH22" s="361">
        <v>0.34129692832764508</v>
      </c>
    </row>
    <row r="23" spans="2:34">
      <c r="B23" t="s">
        <v>25</v>
      </c>
      <c r="C23">
        <v>12202</v>
      </c>
      <c r="D23" t="s">
        <v>340</v>
      </c>
      <c r="E23" s="357">
        <v>21</v>
      </c>
      <c r="F23" s="357">
        <v>24500</v>
      </c>
      <c r="G23" s="357">
        <v>18</v>
      </c>
      <c r="H23" s="357">
        <v>20500</v>
      </c>
      <c r="I23" s="357">
        <v>8</v>
      </c>
      <c r="J23" s="357">
        <v>10900</v>
      </c>
      <c r="K23" s="357">
        <v>47</v>
      </c>
      <c r="L23" s="357">
        <v>55900</v>
      </c>
      <c r="M23" s="359">
        <v>165.98915989159892</v>
      </c>
      <c r="N23" s="359">
        <v>138.88888888888889</v>
      </c>
      <c r="O23" s="359">
        <v>73.848238482384829</v>
      </c>
      <c r="P23" s="359">
        <v>378.72628726287263</v>
      </c>
      <c r="Q23" s="360">
        <v>147.6</v>
      </c>
      <c r="R23" s="357">
        <v>0</v>
      </c>
      <c r="S23" s="357">
        <v>190</v>
      </c>
      <c r="T23" s="357">
        <v>174</v>
      </c>
      <c r="U23" s="357">
        <v>364</v>
      </c>
      <c r="V23" s="361">
        <v>2.4661246612466128</v>
      </c>
      <c r="W23" s="357">
        <v>1755</v>
      </c>
      <c r="X23" s="357">
        <v>1603</v>
      </c>
      <c r="Y23" s="357">
        <v>880</v>
      </c>
      <c r="Z23" s="357">
        <v>4238</v>
      </c>
      <c r="AA23" s="361">
        <v>28.712737127371273</v>
      </c>
      <c r="AB23" s="357">
        <v>4602</v>
      </c>
      <c r="AC23" s="361">
        <v>31.178861788617887</v>
      </c>
      <c r="AD23">
        <v>23</v>
      </c>
      <c r="AE23">
        <v>26</v>
      </c>
      <c r="AF23">
        <v>0</v>
      </c>
      <c r="AG23">
        <v>49</v>
      </c>
      <c r="AH23" s="361">
        <v>0.33197831978319786</v>
      </c>
    </row>
    <row r="24" spans="2:34">
      <c r="B24" t="s">
        <v>25</v>
      </c>
      <c r="C24">
        <v>12204</v>
      </c>
      <c r="D24" t="s">
        <v>340</v>
      </c>
      <c r="E24" s="357">
        <v>20</v>
      </c>
      <c r="F24" s="357">
        <v>23600</v>
      </c>
      <c r="G24" s="357">
        <v>17</v>
      </c>
      <c r="H24" s="357">
        <v>20600</v>
      </c>
      <c r="I24" s="357">
        <v>9</v>
      </c>
      <c r="J24" s="357">
        <v>11500</v>
      </c>
      <c r="K24" s="357">
        <v>46</v>
      </c>
      <c r="L24" s="357">
        <v>55700</v>
      </c>
      <c r="M24" s="359">
        <v>162.19931271477662</v>
      </c>
      <c r="N24" s="359">
        <v>141.58075601374571</v>
      </c>
      <c r="O24" s="359">
        <v>79.037800687285227</v>
      </c>
      <c r="P24" s="359">
        <v>382.81786941580754</v>
      </c>
      <c r="Q24" s="360">
        <v>145.5</v>
      </c>
      <c r="R24" s="357">
        <v>0</v>
      </c>
      <c r="S24" s="357">
        <v>175</v>
      </c>
      <c r="T24" s="357">
        <v>181</v>
      </c>
      <c r="U24" s="357">
        <v>356</v>
      </c>
      <c r="V24" s="361">
        <v>2.4467353951890036</v>
      </c>
      <c r="W24" s="357">
        <v>1723</v>
      </c>
      <c r="X24" s="357">
        <v>1582</v>
      </c>
      <c r="Y24" s="357">
        <v>872</v>
      </c>
      <c r="Z24" s="357">
        <v>4177</v>
      </c>
      <c r="AA24" s="361">
        <v>28.70790378006873</v>
      </c>
      <c r="AB24" s="357">
        <v>4533</v>
      </c>
      <c r="AC24" s="361">
        <v>31.154639175257731</v>
      </c>
      <c r="AD24">
        <v>23</v>
      </c>
      <c r="AE24">
        <v>26</v>
      </c>
      <c r="AF24">
        <v>0</v>
      </c>
      <c r="AG24">
        <v>49</v>
      </c>
      <c r="AH24" s="361">
        <v>0.33676975945017185</v>
      </c>
    </row>
    <row r="25" spans="2:34">
      <c r="B25" t="s">
        <v>25</v>
      </c>
      <c r="C25">
        <v>12206</v>
      </c>
      <c r="D25" t="s">
        <v>342</v>
      </c>
      <c r="E25" s="357">
        <v>19</v>
      </c>
      <c r="F25" s="357">
        <v>23600</v>
      </c>
      <c r="G25" s="357">
        <v>17</v>
      </c>
      <c r="H25" s="357">
        <v>20500</v>
      </c>
      <c r="I25" s="357">
        <v>9</v>
      </c>
      <c r="J25" s="357">
        <v>11400</v>
      </c>
      <c r="K25" s="357">
        <v>45</v>
      </c>
      <c r="L25" s="357">
        <v>55500</v>
      </c>
      <c r="M25" s="359">
        <v>159.45945945945945</v>
      </c>
      <c r="N25" s="359">
        <v>138.51351351351352</v>
      </c>
      <c r="O25" s="359">
        <v>77.027027027027032</v>
      </c>
      <c r="P25" s="359">
        <v>375</v>
      </c>
      <c r="Q25" s="360">
        <v>148</v>
      </c>
      <c r="R25" s="357">
        <v>0</v>
      </c>
      <c r="S25" s="357">
        <v>145</v>
      </c>
      <c r="T25" s="357">
        <v>189</v>
      </c>
      <c r="U25" s="357">
        <v>334</v>
      </c>
      <c r="V25" s="361">
        <v>2.2567567567567566</v>
      </c>
      <c r="W25" s="357">
        <v>1687</v>
      </c>
      <c r="X25" s="357">
        <v>1580</v>
      </c>
      <c r="Y25" s="357">
        <v>777</v>
      </c>
      <c r="Z25" s="357">
        <v>4044</v>
      </c>
      <c r="AA25" s="361">
        <v>27.324324324324323</v>
      </c>
      <c r="AB25" s="357">
        <v>4378</v>
      </c>
      <c r="AC25" s="361">
        <v>29.581081081081081</v>
      </c>
      <c r="AD25">
        <v>22</v>
      </c>
      <c r="AE25">
        <v>26</v>
      </c>
      <c r="AF25">
        <v>0</v>
      </c>
      <c r="AG25">
        <v>48</v>
      </c>
      <c r="AH25" s="361">
        <v>0.32432432432432434</v>
      </c>
    </row>
    <row r="26" spans="2:34">
      <c r="E26" s="357">
        <f>AVERAGE(E16:E25)</f>
        <v>19.899999999999999</v>
      </c>
      <c r="F26" s="357">
        <f t="shared" ref="F26:AH26" si="1">AVERAGE(F16:F25)</f>
        <v>23620</v>
      </c>
      <c r="G26" s="357">
        <f t="shared" si="1"/>
        <v>17.5</v>
      </c>
      <c r="H26" s="357">
        <f t="shared" si="1"/>
        <v>20650</v>
      </c>
      <c r="I26" s="357">
        <f t="shared" si="1"/>
        <v>8.1</v>
      </c>
      <c r="J26" s="357">
        <f t="shared" si="1"/>
        <v>10330</v>
      </c>
      <c r="K26" s="357">
        <f t="shared" si="1"/>
        <v>45.5</v>
      </c>
      <c r="L26" s="357">
        <f t="shared" si="1"/>
        <v>54600</v>
      </c>
      <c r="M26" s="357">
        <f t="shared" si="1"/>
        <v>160.72406068439818</v>
      </c>
      <c r="N26" s="357">
        <f t="shared" si="1"/>
        <v>140.52601734676296</v>
      </c>
      <c r="O26" s="357">
        <f t="shared" si="1"/>
        <v>70.311072142305761</v>
      </c>
      <c r="P26" s="357">
        <f t="shared" si="1"/>
        <v>371.56115017346684</v>
      </c>
      <c r="Q26" s="357">
        <f t="shared" si="1"/>
        <v>146.95999999999998</v>
      </c>
      <c r="R26" s="357">
        <f t="shared" si="1"/>
        <v>0</v>
      </c>
      <c r="S26" s="357">
        <f t="shared" si="1"/>
        <v>171.3</v>
      </c>
      <c r="T26" s="357">
        <f t="shared" si="1"/>
        <v>187.1</v>
      </c>
      <c r="U26" s="357">
        <f t="shared" si="1"/>
        <v>358.4</v>
      </c>
      <c r="V26" s="357">
        <f t="shared" si="1"/>
        <v>2.4382672106492533</v>
      </c>
      <c r="W26" s="357">
        <f t="shared" si="1"/>
        <v>1714.3</v>
      </c>
      <c r="X26" s="357">
        <f t="shared" si="1"/>
        <v>1636.4</v>
      </c>
      <c r="Y26" s="357">
        <f t="shared" si="1"/>
        <v>794.2</v>
      </c>
      <c r="Z26" s="357">
        <f t="shared" si="1"/>
        <v>4144.8999999999996</v>
      </c>
      <c r="AA26" s="357">
        <f t="shared" si="1"/>
        <v>28.205446822142868</v>
      </c>
      <c r="AB26" s="357">
        <f t="shared" si="1"/>
        <v>4503.3</v>
      </c>
      <c r="AC26" s="357">
        <f t="shared" si="1"/>
        <v>30.643714032792126</v>
      </c>
      <c r="AD26" s="357">
        <f t="shared" si="1"/>
        <v>23.5</v>
      </c>
      <c r="AE26" s="357">
        <f t="shared" si="1"/>
        <v>23.4</v>
      </c>
      <c r="AF26" s="357">
        <f t="shared" si="1"/>
        <v>2.2999999999999998</v>
      </c>
      <c r="AG26" s="357">
        <f t="shared" si="1"/>
        <v>49.2</v>
      </c>
      <c r="AH26" s="357">
        <f t="shared" si="1"/>
        <v>0.33477968466334496</v>
      </c>
    </row>
    <row r="27" spans="2:34">
      <c r="K27" s="358"/>
      <c r="L27" s="358"/>
      <c r="M27" s="358"/>
      <c r="N27" s="358"/>
      <c r="O27" s="358"/>
      <c r="P27" s="358"/>
      <c r="Q27" s="358"/>
    </row>
    <row r="32" spans="2:34">
      <c r="E32" s="366" t="s">
        <v>355</v>
      </c>
    </row>
    <row r="33" spans="5:21">
      <c r="E33" s="1307" t="s">
        <v>353</v>
      </c>
      <c r="F33" s="1310" t="s">
        <v>351</v>
      </c>
      <c r="G33" s="1311"/>
      <c r="S33" s="1288" t="s">
        <v>345</v>
      </c>
      <c r="T33" s="1291" t="s">
        <v>351</v>
      </c>
      <c r="U33" s="1292"/>
    </row>
    <row r="34" spans="5:21">
      <c r="E34" s="1308"/>
      <c r="F34" s="363" t="s">
        <v>346</v>
      </c>
      <c r="G34" s="364">
        <f>K11</f>
        <v>45.125</v>
      </c>
      <c r="S34" s="1289"/>
      <c r="T34" s="354" t="s">
        <v>346</v>
      </c>
      <c r="U34" s="355">
        <v>45.93333333333333</v>
      </c>
    </row>
    <row r="35" spans="5:21">
      <c r="E35" s="1308"/>
      <c r="F35" s="363" t="s">
        <v>347</v>
      </c>
      <c r="G35" s="364">
        <f>P11</f>
        <v>376.11542144786893</v>
      </c>
      <c r="S35" s="1289"/>
      <c r="T35" s="354" t="s">
        <v>347</v>
      </c>
      <c r="U35" s="355">
        <v>372.04365747790183</v>
      </c>
    </row>
    <row r="36" spans="5:21">
      <c r="E36" s="1308"/>
      <c r="F36" s="363" t="s">
        <v>350</v>
      </c>
      <c r="G36" s="365">
        <f>L11</f>
        <v>55262.5</v>
      </c>
      <c r="S36" s="1289"/>
      <c r="T36" s="354" t="s">
        <v>350</v>
      </c>
      <c r="U36" s="356">
        <v>54820</v>
      </c>
    </row>
    <row r="37" spans="5:21">
      <c r="E37" s="1308"/>
      <c r="F37" s="363" t="s">
        <v>349</v>
      </c>
      <c r="G37" s="364">
        <f>Q11</f>
        <v>146.9375</v>
      </c>
      <c r="S37" s="1289"/>
      <c r="T37" s="354" t="s">
        <v>349</v>
      </c>
      <c r="U37" s="355">
        <v>147.4</v>
      </c>
    </row>
    <row r="38" spans="5:21">
      <c r="E38" s="1308"/>
      <c r="F38" s="1312" t="s">
        <v>352</v>
      </c>
      <c r="G38" s="1313"/>
      <c r="S38" s="1289"/>
      <c r="T38" s="1291" t="s">
        <v>352</v>
      </c>
      <c r="U38" s="1292"/>
    </row>
    <row r="39" spans="5:21">
      <c r="E39" s="1308"/>
      <c r="F39" s="363" t="s">
        <v>346</v>
      </c>
      <c r="G39" s="364">
        <f>B!K11</f>
        <v>44.75</v>
      </c>
      <c r="S39" s="1289"/>
      <c r="T39" s="354" t="s">
        <v>346</v>
      </c>
      <c r="U39" s="355">
        <v>45.7</v>
      </c>
    </row>
    <row r="40" spans="5:21">
      <c r="E40" s="1308"/>
      <c r="F40" s="363" t="s">
        <v>347</v>
      </c>
      <c r="G40" s="364">
        <f>B!P11</f>
        <v>360.55090618134329</v>
      </c>
      <c r="S40" s="1289"/>
      <c r="T40" s="354" t="s">
        <v>347</v>
      </c>
      <c r="U40" s="355">
        <v>370</v>
      </c>
    </row>
    <row r="41" spans="5:21">
      <c r="E41" s="1308"/>
      <c r="F41" s="363" t="s">
        <v>350</v>
      </c>
      <c r="G41" s="365">
        <f>B!L11</f>
        <v>52875</v>
      </c>
      <c r="S41" s="1289"/>
      <c r="T41" s="354" t="s">
        <v>350</v>
      </c>
      <c r="U41" s="356">
        <v>54273</v>
      </c>
    </row>
    <row r="42" spans="5:21">
      <c r="E42" s="1309"/>
      <c r="F42" s="363" t="s">
        <v>349</v>
      </c>
      <c r="G42" s="364">
        <f>B!Q11</f>
        <v>146.64999999999998</v>
      </c>
      <c r="S42" s="1290"/>
      <c r="T42" s="354" t="s">
        <v>349</v>
      </c>
      <c r="U42" s="355">
        <v>146.6</v>
      </c>
    </row>
    <row r="43" spans="5:21">
      <c r="E43" s="1307" t="s">
        <v>354</v>
      </c>
      <c r="F43" s="1310" t="s">
        <v>351</v>
      </c>
      <c r="G43" s="1311"/>
      <c r="S43" s="1288" t="s">
        <v>348</v>
      </c>
      <c r="T43" s="1291" t="s">
        <v>351</v>
      </c>
      <c r="U43" s="1292"/>
    </row>
    <row r="44" spans="5:21">
      <c r="E44" s="1308"/>
      <c r="F44" s="363" t="s">
        <v>346</v>
      </c>
      <c r="G44" s="364">
        <f>K26</f>
        <v>45.5</v>
      </c>
      <c r="S44" s="1289"/>
      <c r="T44" s="354" t="s">
        <v>346</v>
      </c>
      <c r="U44" s="355">
        <v>45.75</v>
      </c>
    </row>
    <row r="45" spans="5:21">
      <c r="E45" s="1308"/>
      <c r="F45" s="363" t="s">
        <v>347</v>
      </c>
      <c r="G45" s="364">
        <f>P26</f>
        <v>371.56115017346684</v>
      </c>
      <c r="S45" s="1289"/>
      <c r="T45" s="354" t="s">
        <v>347</v>
      </c>
      <c r="U45" s="355">
        <v>376.65885293708186</v>
      </c>
    </row>
    <row r="46" spans="5:21">
      <c r="E46" s="1308"/>
      <c r="F46" s="363" t="s">
        <v>350</v>
      </c>
      <c r="G46" s="365">
        <f>L26</f>
        <v>54600</v>
      </c>
      <c r="S46" s="1289"/>
      <c r="T46" s="354" t="s">
        <v>350</v>
      </c>
      <c r="U46" s="356">
        <v>55425</v>
      </c>
    </row>
    <row r="47" spans="5:21">
      <c r="E47" s="1308"/>
      <c r="F47" s="363" t="s">
        <v>349</v>
      </c>
      <c r="G47" s="364">
        <f>Q26</f>
        <v>146.95999999999998</v>
      </c>
      <c r="S47" s="1289"/>
      <c r="T47" s="354" t="s">
        <v>349</v>
      </c>
      <c r="U47" s="355">
        <v>147.15</v>
      </c>
    </row>
    <row r="48" spans="5:21">
      <c r="E48" s="1308"/>
      <c r="F48" s="1312" t="s">
        <v>352</v>
      </c>
      <c r="G48" s="1313"/>
      <c r="S48" s="1289"/>
      <c r="T48" s="1291" t="s">
        <v>352</v>
      </c>
      <c r="U48" s="1292"/>
    </row>
    <row r="49" spans="5:21">
      <c r="E49" s="1308"/>
      <c r="F49" s="363" t="s">
        <v>346</v>
      </c>
      <c r="G49" s="364">
        <f>B!K26</f>
        <v>45.1</v>
      </c>
      <c r="S49" s="1289"/>
      <c r="T49" s="354" t="s">
        <v>346</v>
      </c>
      <c r="U49" s="355">
        <v>44.25</v>
      </c>
    </row>
    <row r="50" spans="5:21">
      <c r="E50" s="1308"/>
      <c r="F50" s="363" t="s">
        <v>347</v>
      </c>
      <c r="G50" s="364">
        <f>B!P26</f>
        <v>361.8071986857903</v>
      </c>
      <c r="S50" s="1289"/>
      <c r="T50" s="354" t="s">
        <v>347</v>
      </c>
      <c r="U50" s="355">
        <v>362.06236714787872</v>
      </c>
    </row>
    <row r="51" spans="5:21">
      <c r="E51" s="1308"/>
      <c r="F51" s="363" t="s">
        <v>350</v>
      </c>
      <c r="G51" s="365">
        <f>B!L26</f>
        <v>53420</v>
      </c>
      <c r="S51" s="1289"/>
      <c r="T51" s="354" t="s">
        <v>350</v>
      </c>
      <c r="U51" s="356">
        <v>52950</v>
      </c>
    </row>
    <row r="52" spans="5:21">
      <c r="E52" s="1309"/>
      <c r="F52" s="363" t="s">
        <v>349</v>
      </c>
      <c r="G52" s="364">
        <f>B!Q26</f>
        <v>147.65</v>
      </c>
      <c r="S52" s="1290"/>
      <c r="T52" s="354" t="s">
        <v>349</v>
      </c>
      <c r="U52" s="355">
        <v>146.25</v>
      </c>
    </row>
  </sheetData>
  <autoFilter ref="B1:AH25">
    <filterColumn colId="3" showButton="0"/>
    <filterColumn colId="5" showButton="0"/>
    <filterColumn colId="7" showButton="0"/>
    <filterColumn colId="9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6" showButton="0"/>
    <filterColumn colId="28" showButton="0"/>
    <filterColumn colId="29" showButton="0"/>
    <filterColumn colId="30" showButton="0"/>
    <filterColumn colId="31" showButton="0"/>
  </autoFilter>
  <mergeCells count="38">
    <mergeCell ref="E43:E52"/>
    <mergeCell ref="F43:G43"/>
    <mergeCell ref="F48:G48"/>
    <mergeCell ref="R14:V14"/>
    <mergeCell ref="W14:AA14"/>
    <mergeCell ref="AB14:AC14"/>
    <mergeCell ref="AD14:AH14"/>
    <mergeCell ref="E33:E42"/>
    <mergeCell ref="F33:G33"/>
    <mergeCell ref="F38:G38"/>
    <mergeCell ref="AD1:AH1"/>
    <mergeCell ref="B14:B15"/>
    <mergeCell ref="C14:C15"/>
    <mergeCell ref="D14:D15"/>
    <mergeCell ref="E14:F14"/>
    <mergeCell ref="G14:H14"/>
    <mergeCell ref="I14:J14"/>
    <mergeCell ref="K14:L14"/>
    <mergeCell ref="M14:P14"/>
    <mergeCell ref="Q14:Q15"/>
    <mergeCell ref="K1:L1"/>
    <mergeCell ref="M1:P1"/>
    <mergeCell ref="Q1:Q2"/>
    <mergeCell ref="R1:V1"/>
    <mergeCell ref="W1:AA1"/>
    <mergeCell ref="AB1:AC1"/>
    <mergeCell ref="B1:B2"/>
    <mergeCell ref="C1:C2"/>
    <mergeCell ref="D1:D2"/>
    <mergeCell ref="E1:F1"/>
    <mergeCell ref="G1:H1"/>
    <mergeCell ref="I1:J1"/>
    <mergeCell ref="S33:S42"/>
    <mergeCell ref="T33:U33"/>
    <mergeCell ref="T38:U38"/>
    <mergeCell ref="S43:S52"/>
    <mergeCell ref="T43:U43"/>
    <mergeCell ref="T48:U48"/>
  </mergeCells>
  <phoneticPr fontId="5" type="noConversion"/>
  <conditionalFormatting sqref="T45:U46 T35:U36 T33">
    <cfRule type="expression" dxfId="1096" priority="22">
      <formula>$A33&gt;$A32</formula>
    </cfRule>
  </conditionalFormatting>
  <conditionalFormatting sqref="T47:U47 T37:U37 T34:U34 T38">
    <cfRule type="expression" dxfId="1095" priority="23">
      <formula>$A34&gt;$A32</formula>
    </cfRule>
  </conditionalFormatting>
  <conditionalFormatting sqref="T39:U41">
    <cfRule type="expression" dxfId="1094" priority="20">
      <formula>$A39&gt;$A38</formula>
    </cfRule>
  </conditionalFormatting>
  <conditionalFormatting sqref="T42:U42">
    <cfRule type="expression" dxfId="1093" priority="21">
      <formula>$A42&gt;$A40</formula>
    </cfRule>
  </conditionalFormatting>
  <conditionalFormatting sqref="S33">
    <cfRule type="expression" dxfId="1092" priority="24">
      <formula>$A34&gt;$A32</formula>
    </cfRule>
  </conditionalFormatting>
  <conditionalFormatting sqref="T44:U44">
    <cfRule type="expression" dxfId="1091" priority="18">
      <formula>$A44&gt;$A36</formula>
    </cfRule>
  </conditionalFormatting>
  <conditionalFormatting sqref="T50:U51">
    <cfRule type="expression" dxfId="1090" priority="15">
      <formula>$A50&gt;$A49</formula>
    </cfRule>
  </conditionalFormatting>
  <conditionalFormatting sqref="T52:U52">
    <cfRule type="expression" dxfId="1089" priority="16">
      <formula>$A52&gt;$A50</formula>
    </cfRule>
  </conditionalFormatting>
  <conditionalFormatting sqref="T49:U49">
    <cfRule type="expression" dxfId="1088" priority="17">
      <formula>$A49&gt;$A41</formula>
    </cfRule>
  </conditionalFormatting>
  <conditionalFormatting sqref="S43">
    <cfRule type="expression" dxfId="1087" priority="19">
      <formula>$A44&gt;$A36</formula>
    </cfRule>
  </conditionalFormatting>
  <conditionalFormatting sqref="T43">
    <cfRule type="expression" dxfId="1086" priority="14">
      <formula>$A43&gt;$A42</formula>
    </cfRule>
  </conditionalFormatting>
  <conditionalFormatting sqref="T48">
    <cfRule type="expression" dxfId="1085" priority="13">
      <formula>$A48&gt;$A46</formula>
    </cfRule>
  </conditionalFormatting>
  <conditionalFormatting sqref="F45:G46 F35:G36 F33">
    <cfRule type="expression" dxfId="1084" priority="10">
      <formula>$A33&gt;$A32</formula>
    </cfRule>
  </conditionalFormatting>
  <conditionalFormatting sqref="F47:G47 F37:G37 F34:G34 F38">
    <cfRule type="expression" dxfId="1083" priority="11">
      <formula>$A34&gt;$A32</formula>
    </cfRule>
  </conditionalFormatting>
  <conditionalFormatting sqref="F39:G41">
    <cfRule type="expression" dxfId="1082" priority="8">
      <formula>$A39&gt;$A38</formula>
    </cfRule>
  </conditionalFormatting>
  <conditionalFormatting sqref="F42:G42">
    <cfRule type="expression" dxfId="1081" priority="9">
      <formula>$A42&gt;$A40</formula>
    </cfRule>
  </conditionalFormatting>
  <conditionalFormatting sqref="E33">
    <cfRule type="expression" dxfId="1080" priority="12">
      <formula>$A34&gt;$A32</formula>
    </cfRule>
  </conditionalFormatting>
  <conditionalFormatting sqref="F44:G44">
    <cfRule type="expression" dxfId="1079" priority="6">
      <formula>$A44&gt;$A36</formula>
    </cfRule>
  </conditionalFormatting>
  <conditionalFormatting sqref="F50:G51">
    <cfRule type="expression" dxfId="1078" priority="3">
      <formula>$A50&gt;$A49</formula>
    </cfRule>
  </conditionalFormatting>
  <conditionalFormatting sqref="F52:G52">
    <cfRule type="expression" dxfId="1077" priority="4">
      <formula>$A52&gt;$A50</formula>
    </cfRule>
  </conditionalFormatting>
  <conditionalFormatting sqref="F49:G49">
    <cfRule type="expression" dxfId="1076" priority="5">
      <formula>$A49&gt;$A41</formula>
    </cfRule>
  </conditionalFormatting>
  <conditionalFormatting sqref="E43">
    <cfRule type="expression" dxfId="1075" priority="7">
      <formula>$A44&gt;$A36</formula>
    </cfRule>
  </conditionalFormatting>
  <conditionalFormatting sqref="F43">
    <cfRule type="expression" dxfId="1074" priority="2">
      <formula>$A43&gt;$A42</formula>
    </cfRule>
  </conditionalFormatting>
  <conditionalFormatting sqref="F48">
    <cfRule type="expression" dxfId="1073" priority="1">
      <formula>$A48&gt;$A46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52"/>
  <sheetViews>
    <sheetView workbookViewId="0">
      <selection activeCell="K11" sqref="K11"/>
    </sheetView>
  </sheetViews>
  <sheetFormatPr defaultRowHeight="14.4"/>
  <sheetData>
    <row r="1" spans="2:34">
      <c r="B1" s="1279" t="s">
        <v>39</v>
      </c>
      <c r="C1" s="1281" t="s">
        <v>87</v>
      </c>
      <c r="D1" s="1303" t="s">
        <v>88</v>
      </c>
      <c r="E1" s="1293" t="s">
        <v>70</v>
      </c>
      <c r="F1" s="1294"/>
      <c r="G1" s="1295" t="s">
        <v>43</v>
      </c>
      <c r="H1" s="1295"/>
      <c r="I1" s="1295" t="s">
        <v>71</v>
      </c>
      <c r="J1" s="1295"/>
      <c r="K1" s="1296" t="s">
        <v>72</v>
      </c>
      <c r="L1" s="1297"/>
      <c r="M1" s="1298" t="s">
        <v>73</v>
      </c>
      <c r="N1" s="1299"/>
      <c r="O1" s="1299"/>
      <c r="P1" s="1300"/>
      <c r="Q1" s="1301" t="s">
        <v>47</v>
      </c>
      <c r="R1" s="1293" t="s">
        <v>75</v>
      </c>
      <c r="S1" s="1305"/>
      <c r="T1" s="1305"/>
      <c r="U1" s="1305"/>
      <c r="V1" s="1306"/>
      <c r="W1" s="1285" t="s">
        <v>76</v>
      </c>
      <c r="X1" s="1286"/>
      <c r="Y1" s="1286"/>
      <c r="Z1" s="1286"/>
      <c r="AA1" s="1287"/>
      <c r="AB1" s="1283" t="s">
        <v>77</v>
      </c>
      <c r="AC1" s="1284"/>
      <c r="AD1" s="1285" t="s">
        <v>78</v>
      </c>
      <c r="AE1" s="1286"/>
      <c r="AF1" s="1286"/>
      <c r="AG1" s="1286"/>
      <c r="AH1" s="1287"/>
    </row>
    <row r="2" spans="2:34" ht="15" thickBot="1">
      <c r="B2" s="1280"/>
      <c r="C2" s="1282"/>
      <c r="D2" s="1304"/>
      <c r="E2" s="107" t="s">
        <v>79</v>
      </c>
      <c r="F2" s="108" t="s">
        <v>80</v>
      </c>
      <c r="G2" s="109" t="s">
        <v>79</v>
      </c>
      <c r="H2" s="108" t="s">
        <v>80</v>
      </c>
      <c r="I2" s="109" t="s">
        <v>79</v>
      </c>
      <c r="J2" s="108" t="s">
        <v>80</v>
      </c>
      <c r="K2" s="110" t="s">
        <v>79</v>
      </c>
      <c r="L2" s="111" t="s">
        <v>80</v>
      </c>
      <c r="M2" s="112" t="s">
        <v>70</v>
      </c>
      <c r="N2" s="113" t="s">
        <v>43</v>
      </c>
      <c r="O2" s="113" t="s">
        <v>71</v>
      </c>
      <c r="P2" s="114" t="s">
        <v>72</v>
      </c>
      <c r="Q2" s="1302"/>
      <c r="R2" s="115" t="s">
        <v>70</v>
      </c>
      <c r="S2" s="116" t="s">
        <v>43</v>
      </c>
      <c r="T2" s="116" t="s">
        <v>71</v>
      </c>
      <c r="U2" s="117" t="s">
        <v>72</v>
      </c>
      <c r="V2" s="114" t="s">
        <v>73</v>
      </c>
      <c r="W2" s="115" t="s">
        <v>70</v>
      </c>
      <c r="X2" s="116" t="s">
        <v>43</v>
      </c>
      <c r="Y2" s="116" t="s">
        <v>71</v>
      </c>
      <c r="Z2" s="117" t="s">
        <v>72</v>
      </c>
      <c r="AA2" s="114" t="s">
        <v>73</v>
      </c>
      <c r="AB2" s="118" t="s">
        <v>90</v>
      </c>
      <c r="AC2" s="119" t="s">
        <v>91</v>
      </c>
      <c r="AD2" s="120" t="s">
        <v>70</v>
      </c>
      <c r="AE2" s="116" t="s">
        <v>43</v>
      </c>
      <c r="AF2" s="116" t="s">
        <v>71</v>
      </c>
      <c r="AG2" s="117" t="s">
        <v>72</v>
      </c>
      <c r="AH2" s="114" t="s">
        <v>73</v>
      </c>
    </row>
    <row r="3" spans="2:34">
      <c r="B3" t="s">
        <v>26</v>
      </c>
      <c r="C3">
        <v>12171</v>
      </c>
      <c r="D3" t="s">
        <v>342</v>
      </c>
      <c r="E3" s="357">
        <v>21</v>
      </c>
      <c r="F3" s="357">
        <v>23600</v>
      </c>
      <c r="G3" s="357">
        <v>18</v>
      </c>
      <c r="H3" s="357">
        <v>21000</v>
      </c>
      <c r="I3" s="357">
        <v>6</v>
      </c>
      <c r="J3" s="357">
        <v>7400</v>
      </c>
      <c r="K3" s="357">
        <v>45</v>
      </c>
      <c r="L3" s="357">
        <v>52000</v>
      </c>
      <c r="M3" s="359">
        <v>161.97666437886068</v>
      </c>
      <c r="N3" s="359">
        <v>144.1317776252574</v>
      </c>
      <c r="O3" s="359">
        <v>50.789293067947845</v>
      </c>
      <c r="P3" s="359">
        <v>356.89773507206587</v>
      </c>
      <c r="Q3" s="360">
        <v>145.69999999999999</v>
      </c>
      <c r="R3" s="357">
        <v>0</v>
      </c>
      <c r="S3" s="357">
        <v>185</v>
      </c>
      <c r="T3" s="357">
        <v>140</v>
      </c>
      <c r="U3" s="357">
        <v>325</v>
      </c>
      <c r="V3" s="361">
        <v>2.2306108442004118</v>
      </c>
      <c r="W3" s="357">
        <v>1773</v>
      </c>
      <c r="X3" s="357">
        <v>1691</v>
      </c>
      <c r="Y3" s="357">
        <v>695</v>
      </c>
      <c r="Z3" s="357">
        <v>4159</v>
      </c>
      <c r="AA3" s="361">
        <v>28.544955387783119</v>
      </c>
      <c r="AB3" s="357">
        <v>4484</v>
      </c>
      <c r="AC3" s="361">
        <v>30.775566231983529</v>
      </c>
      <c r="AD3">
        <v>26</v>
      </c>
      <c r="AE3">
        <v>29</v>
      </c>
      <c r="AF3">
        <v>0</v>
      </c>
      <c r="AG3">
        <v>55</v>
      </c>
      <c r="AH3" s="361">
        <v>0.37748798901853126</v>
      </c>
    </row>
    <row r="4" spans="2:34">
      <c r="B4" t="s">
        <v>26</v>
      </c>
      <c r="C4">
        <v>12173</v>
      </c>
      <c r="D4" t="s">
        <v>342</v>
      </c>
      <c r="E4" s="357">
        <v>19</v>
      </c>
      <c r="F4" s="357">
        <v>23400</v>
      </c>
      <c r="G4" s="357">
        <v>18</v>
      </c>
      <c r="H4" s="357">
        <v>20700</v>
      </c>
      <c r="I4" s="357">
        <v>7</v>
      </c>
      <c r="J4" s="357">
        <v>8900</v>
      </c>
      <c r="K4" s="357">
        <v>44</v>
      </c>
      <c r="L4" s="357">
        <v>53000</v>
      </c>
      <c r="M4" s="359">
        <v>158.64406779661016</v>
      </c>
      <c r="N4" s="359">
        <v>140.33898305084745</v>
      </c>
      <c r="O4" s="359">
        <v>60.33898305084746</v>
      </c>
      <c r="P4" s="359">
        <v>359.32203389830505</v>
      </c>
      <c r="Q4" s="360">
        <v>147.5</v>
      </c>
      <c r="R4" s="357">
        <v>0</v>
      </c>
      <c r="S4" s="357">
        <v>190</v>
      </c>
      <c r="T4" s="357">
        <v>118</v>
      </c>
      <c r="U4" s="357">
        <v>308</v>
      </c>
      <c r="V4" s="361">
        <v>2.0881355932203389</v>
      </c>
      <c r="W4" s="357">
        <v>1691</v>
      </c>
      <c r="X4" s="357">
        <v>1671</v>
      </c>
      <c r="Y4" s="357">
        <v>860</v>
      </c>
      <c r="Z4" s="357">
        <v>4222</v>
      </c>
      <c r="AA4" s="361">
        <v>28.623728813559321</v>
      </c>
      <c r="AB4" s="357">
        <v>4530</v>
      </c>
      <c r="AC4" s="361">
        <v>30.711864406779661</v>
      </c>
      <c r="AD4">
        <v>21</v>
      </c>
      <c r="AE4">
        <v>30</v>
      </c>
      <c r="AF4">
        <v>0</v>
      </c>
      <c r="AG4">
        <v>51</v>
      </c>
      <c r="AH4" s="361">
        <v>0.34576271186440677</v>
      </c>
    </row>
    <row r="5" spans="2:34">
      <c r="B5" t="s">
        <v>26</v>
      </c>
      <c r="C5">
        <v>12175</v>
      </c>
      <c r="D5" t="s">
        <v>342</v>
      </c>
      <c r="E5" s="357">
        <v>20</v>
      </c>
      <c r="F5" s="357">
        <v>23400</v>
      </c>
      <c r="G5" s="357">
        <v>16</v>
      </c>
      <c r="H5" s="357">
        <v>20600</v>
      </c>
      <c r="I5" s="357">
        <v>7</v>
      </c>
      <c r="J5" s="357">
        <v>9100</v>
      </c>
      <c r="K5" s="357">
        <v>43</v>
      </c>
      <c r="L5" s="357">
        <v>53100</v>
      </c>
      <c r="M5" s="359">
        <v>161.82572614107883</v>
      </c>
      <c r="N5" s="359">
        <v>142.46196403872753</v>
      </c>
      <c r="O5" s="359">
        <v>62.932226832641774</v>
      </c>
      <c r="P5" s="359">
        <v>367.21991701244815</v>
      </c>
      <c r="Q5" s="360">
        <v>144.6</v>
      </c>
      <c r="R5" s="357">
        <v>0</v>
      </c>
      <c r="S5" s="357">
        <v>81</v>
      </c>
      <c r="T5" s="357">
        <v>253</v>
      </c>
      <c r="U5" s="357">
        <v>334</v>
      </c>
      <c r="V5" s="361">
        <v>2.3098201936376213</v>
      </c>
      <c r="W5" s="357">
        <v>1683</v>
      </c>
      <c r="X5" s="357">
        <v>1613</v>
      </c>
      <c r="Y5" s="357">
        <v>737</v>
      </c>
      <c r="Z5" s="357">
        <v>4033</v>
      </c>
      <c r="AA5" s="361">
        <v>27.890733056708161</v>
      </c>
      <c r="AB5" s="357">
        <v>4367</v>
      </c>
      <c r="AC5" s="361">
        <v>30.200553250345784</v>
      </c>
      <c r="AD5">
        <v>24</v>
      </c>
      <c r="AE5">
        <v>27</v>
      </c>
      <c r="AF5">
        <v>0</v>
      </c>
      <c r="AG5">
        <v>51</v>
      </c>
      <c r="AH5" s="361">
        <v>0.35269709543568467</v>
      </c>
    </row>
    <row r="6" spans="2:34">
      <c r="B6" t="s">
        <v>26</v>
      </c>
      <c r="C6">
        <v>12177</v>
      </c>
      <c r="D6" t="s">
        <v>342</v>
      </c>
      <c r="E6" s="357">
        <v>20</v>
      </c>
      <c r="F6" s="357">
        <v>23500</v>
      </c>
      <c r="G6" s="357">
        <v>18</v>
      </c>
      <c r="H6" s="357">
        <v>20900</v>
      </c>
      <c r="I6" s="357">
        <v>7</v>
      </c>
      <c r="J6" s="357">
        <v>9300</v>
      </c>
      <c r="K6" s="357">
        <v>45</v>
      </c>
      <c r="L6" s="357">
        <v>53700</v>
      </c>
      <c r="M6" s="359">
        <v>159.64673913043478</v>
      </c>
      <c r="N6" s="359">
        <v>141.98369565217394</v>
      </c>
      <c r="O6" s="359">
        <v>63.179347826086961</v>
      </c>
      <c r="P6" s="359">
        <v>364.80978260869568</v>
      </c>
      <c r="Q6" s="360">
        <v>147.19999999999999</v>
      </c>
      <c r="R6" s="357">
        <v>0</v>
      </c>
      <c r="S6" s="357">
        <v>237</v>
      </c>
      <c r="T6" s="357">
        <v>69</v>
      </c>
      <c r="U6" s="357">
        <v>306</v>
      </c>
      <c r="V6" s="361">
        <v>2.0788043478260869</v>
      </c>
      <c r="W6" s="357">
        <v>1815</v>
      </c>
      <c r="X6" s="357">
        <v>1642</v>
      </c>
      <c r="Y6" s="357">
        <v>744</v>
      </c>
      <c r="Z6" s="357">
        <v>4201</v>
      </c>
      <c r="AA6" s="361">
        <v>28.539402173913047</v>
      </c>
      <c r="AB6" s="357">
        <v>4507</v>
      </c>
      <c r="AC6" s="361">
        <v>30.618206521739133</v>
      </c>
      <c r="AD6">
        <v>24</v>
      </c>
      <c r="AE6">
        <v>28</v>
      </c>
      <c r="AF6">
        <v>0</v>
      </c>
      <c r="AG6">
        <v>52</v>
      </c>
      <c r="AH6" s="361">
        <v>0.35326086956521741</v>
      </c>
    </row>
    <row r="7" spans="2:34">
      <c r="B7" t="s">
        <v>26</v>
      </c>
      <c r="C7">
        <v>12179</v>
      </c>
      <c r="D7" t="s">
        <v>342</v>
      </c>
      <c r="E7" s="357">
        <v>21</v>
      </c>
      <c r="F7" s="357">
        <v>23300</v>
      </c>
      <c r="G7" s="357">
        <v>18</v>
      </c>
      <c r="H7" s="357">
        <v>20500</v>
      </c>
      <c r="I7" s="357">
        <v>8</v>
      </c>
      <c r="J7" s="357">
        <v>10600</v>
      </c>
      <c r="K7" s="357">
        <v>47</v>
      </c>
      <c r="L7" s="357">
        <v>54400</v>
      </c>
      <c r="M7" s="359">
        <v>157.85907859078591</v>
      </c>
      <c r="N7" s="359">
        <v>138.88888888888889</v>
      </c>
      <c r="O7" s="359">
        <v>71.815718157181578</v>
      </c>
      <c r="P7" s="359">
        <v>368.56368563685635</v>
      </c>
      <c r="Q7" s="360">
        <v>147.6</v>
      </c>
      <c r="R7" s="357">
        <v>0</v>
      </c>
      <c r="S7" s="357">
        <v>167</v>
      </c>
      <c r="T7" s="357">
        <v>143</v>
      </c>
      <c r="U7" s="357">
        <v>310</v>
      </c>
      <c r="V7" s="361">
        <v>2.1002710027100271</v>
      </c>
      <c r="W7" s="357">
        <v>1802</v>
      </c>
      <c r="X7" s="357">
        <v>1645</v>
      </c>
      <c r="Y7" s="357">
        <v>1047</v>
      </c>
      <c r="Z7" s="357">
        <v>4494</v>
      </c>
      <c r="AA7" s="361">
        <v>30.447154471544717</v>
      </c>
      <c r="AB7" s="357">
        <v>4804</v>
      </c>
      <c r="AC7" s="361">
        <v>32.547425474254744</v>
      </c>
      <c r="AD7">
        <v>24</v>
      </c>
      <c r="AE7">
        <v>27</v>
      </c>
      <c r="AF7">
        <v>0</v>
      </c>
      <c r="AG7">
        <v>51</v>
      </c>
      <c r="AH7" s="361">
        <v>0.34552845528455284</v>
      </c>
    </row>
    <row r="8" spans="2:34">
      <c r="B8" t="s">
        <v>26</v>
      </c>
      <c r="C8">
        <v>12181</v>
      </c>
      <c r="D8" t="s">
        <v>342</v>
      </c>
      <c r="E8" s="357">
        <v>21</v>
      </c>
      <c r="F8" s="357">
        <v>23700</v>
      </c>
      <c r="G8" s="357">
        <v>19</v>
      </c>
      <c r="H8" s="357">
        <v>21100</v>
      </c>
      <c r="I8" s="357">
        <v>4</v>
      </c>
      <c r="J8" s="357">
        <v>5500</v>
      </c>
      <c r="K8" s="357">
        <v>44</v>
      </c>
      <c r="L8" s="357">
        <v>50300</v>
      </c>
      <c r="M8" s="359">
        <v>161.22448979591837</v>
      </c>
      <c r="N8" s="359">
        <v>143.53741496598639</v>
      </c>
      <c r="O8" s="359">
        <v>37.414965986394556</v>
      </c>
      <c r="P8" s="359">
        <v>342.17687074829934</v>
      </c>
      <c r="Q8" s="360">
        <v>147</v>
      </c>
      <c r="R8" s="357">
        <v>0</v>
      </c>
      <c r="S8" s="357">
        <v>229</v>
      </c>
      <c r="T8" s="357">
        <v>94</v>
      </c>
      <c r="U8" s="357">
        <v>323</v>
      </c>
      <c r="V8" s="361">
        <v>2.1972789115646258</v>
      </c>
      <c r="W8" s="357">
        <v>1770</v>
      </c>
      <c r="X8" s="357">
        <v>1736</v>
      </c>
      <c r="Y8" s="357">
        <v>518</v>
      </c>
      <c r="Z8" s="357">
        <v>4024</v>
      </c>
      <c r="AA8" s="361">
        <v>27.374149659863946</v>
      </c>
      <c r="AB8" s="357">
        <v>4347</v>
      </c>
      <c r="AC8" s="361">
        <v>29.571428571428573</v>
      </c>
      <c r="AD8">
        <v>22</v>
      </c>
      <c r="AE8">
        <v>29</v>
      </c>
      <c r="AF8">
        <v>0</v>
      </c>
      <c r="AG8">
        <v>51</v>
      </c>
      <c r="AH8" s="361">
        <v>0.34693877551020408</v>
      </c>
    </row>
    <row r="9" spans="2:34">
      <c r="B9" t="s">
        <v>26</v>
      </c>
      <c r="C9">
        <v>12183</v>
      </c>
      <c r="D9" t="s">
        <v>342</v>
      </c>
      <c r="E9" s="357">
        <v>20</v>
      </c>
      <c r="F9" s="357">
        <v>23500</v>
      </c>
      <c r="G9" s="357">
        <v>17</v>
      </c>
      <c r="H9" s="357">
        <v>20700</v>
      </c>
      <c r="I9" s="357">
        <v>6</v>
      </c>
      <c r="J9" s="357">
        <v>6800</v>
      </c>
      <c r="K9" s="357">
        <v>43</v>
      </c>
      <c r="L9" s="357">
        <v>51000</v>
      </c>
      <c r="M9" s="359">
        <v>160.40955631399316</v>
      </c>
      <c r="N9" s="359">
        <v>141.29692832764505</v>
      </c>
      <c r="O9" s="359">
        <v>46.416382252559728</v>
      </c>
      <c r="P9" s="359">
        <v>348.12286689419795</v>
      </c>
      <c r="Q9" s="360">
        <v>146.5</v>
      </c>
      <c r="R9" s="357">
        <v>0</v>
      </c>
      <c r="S9" s="357">
        <v>131</v>
      </c>
      <c r="T9" s="357">
        <v>216</v>
      </c>
      <c r="U9" s="357">
        <v>347</v>
      </c>
      <c r="V9" s="361">
        <v>2.3686006825938568</v>
      </c>
      <c r="W9" s="357">
        <v>1737</v>
      </c>
      <c r="X9" s="357">
        <v>1607</v>
      </c>
      <c r="Y9" s="357">
        <v>536</v>
      </c>
      <c r="Z9" s="357">
        <v>3880</v>
      </c>
      <c r="AA9" s="361">
        <v>26.484641638225256</v>
      </c>
      <c r="AB9" s="357">
        <v>4227</v>
      </c>
      <c r="AC9" s="361">
        <v>28.853242320819113</v>
      </c>
      <c r="AD9">
        <v>22</v>
      </c>
      <c r="AE9">
        <v>29</v>
      </c>
      <c r="AF9">
        <v>0</v>
      </c>
      <c r="AG9">
        <v>51</v>
      </c>
      <c r="AH9" s="361">
        <v>0.34812286689419797</v>
      </c>
    </row>
    <row r="10" spans="2:34">
      <c r="B10" t="s">
        <v>26</v>
      </c>
      <c r="C10">
        <v>12185</v>
      </c>
      <c r="D10" t="s">
        <v>342</v>
      </c>
      <c r="E10" s="357">
        <v>22</v>
      </c>
      <c r="F10" s="357">
        <v>23600</v>
      </c>
      <c r="G10" s="357">
        <v>17</v>
      </c>
      <c r="H10" s="357">
        <v>20600</v>
      </c>
      <c r="I10" s="357">
        <v>8</v>
      </c>
      <c r="J10" s="357">
        <v>11300</v>
      </c>
      <c r="K10" s="357">
        <v>47</v>
      </c>
      <c r="L10" s="357">
        <v>55500</v>
      </c>
      <c r="M10" s="359">
        <v>160.43507817811013</v>
      </c>
      <c r="N10" s="359">
        <v>140.04078857919782</v>
      </c>
      <c r="O10" s="359">
        <v>76.818490822569686</v>
      </c>
      <c r="P10" s="359">
        <v>377.29435757987761</v>
      </c>
      <c r="Q10" s="360">
        <v>147.1</v>
      </c>
      <c r="R10" s="357">
        <v>0</v>
      </c>
      <c r="S10" s="357">
        <v>145</v>
      </c>
      <c r="T10" s="357">
        <v>188</v>
      </c>
      <c r="U10" s="357">
        <v>333</v>
      </c>
      <c r="V10" s="361">
        <v>2.2637661454792659</v>
      </c>
      <c r="W10" s="357">
        <v>1912</v>
      </c>
      <c r="X10" s="357">
        <v>1575</v>
      </c>
      <c r="Y10" s="357">
        <v>630</v>
      </c>
      <c r="Z10" s="357">
        <v>4117</v>
      </c>
      <c r="AA10" s="361">
        <v>27.987763426240654</v>
      </c>
      <c r="AB10" s="357">
        <v>4450</v>
      </c>
      <c r="AC10" s="361">
        <v>30.251529571719921</v>
      </c>
      <c r="AD10">
        <v>30</v>
      </c>
      <c r="AE10">
        <v>15</v>
      </c>
      <c r="AF10">
        <v>5</v>
      </c>
      <c r="AG10">
        <v>50</v>
      </c>
      <c r="AH10" s="361">
        <v>0.33990482664853844</v>
      </c>
    </row>
    <row r="11" spans="2:34">
      <c r="E11" s="357">
        <f>AVERAGE(E3:E10)</f>
        <v>20.5</v>
      </c>
      <c r="F11" s="357">
        <f t="shared" ref="F11:AH11" si="0">AVERAGE(F3:F10)</f>
        <v>23500</v>
      </c>
      <c r="G11" s="357">
        <f t="shared" si="0"/>
        <v>17.625</v>
      </c>
      <c r="H11" s="357">
        <f t="shared" si="0"/>
        <v>20762.5</v>
      </c>
      <c r="I11" s="357">
        <f t="shared" si="0"/>
        <v>6.625</v>
      </c>
      <c r="J11" s="357">
        <f t="shared" si="0"/>
        <v>8612.5</v>
      </c>
      <c r="K11" s="357">
        <f t="shared" si="0"/>
        <v>44.75</v>
      </c>
      <c r="L11" s="357">
        <f t="shared" si="0"/>
        <v>52875</v>
      </c>
      <c r="M11" s="357">
        <f t="shared" si="0"/>
        <v>160.252675040724</v>
      </c>
      <c r="N11" s="357">
        <f t="shared" si="0"/>
        <v>141.58505514109058</v>
      </c>
      <c r="O11" s="357">
        <f t="shared" si="0"/>
        <v>58.713175999528701</v>
      </c>
      <c r="P11" s="357">
        <f t="shared" si="0"/>
        <v>360.55090618134329</v>
      </c>
      <c r="Q11" s="357">
        <f t="shared" si="0"/>
        <v>146.64999999999998</v>
      </c>
      <c r="R11" s="357">
        <f t="shared" si="0"/>
        <v>0</v>
      </c>
      <c r="S11" s="357">
        <f t="shared" si="0"/>
        <v>170.625</v>
      </c>
      <c r="T11" s="357">
        <f t="shared" si="0"/>
        <v>152.625</v>
      </c>
      <c r="U11" s="357">
        <f t="shared" si="0"/>
        <v>323.25</v>
      </c>
      <c r="V11" s="357">
        <f t="shared" si="0"/>
        <v>2.2046609651540292</v>
      </c>
      <c r="W11" s="357">
        <f t="shared" si="0"/>
        <v>1772.875</v>
      </c>
      <c r="X11" s="357">
        <f t="shared" si="0"/>
        <v>1647.5</v>
      </c>
      <c r="Y11" s="357">
        <f t="shared" si="0"/>
        <v>720.875</v>
      </c>
      <c r="Z11" s="357">
        <f t="shared" si="0"/>
        <v>4141.25</v>
      </c>
      <c r="AA11" s="357">
        <f t="shared" si="0"/>
        <v>28.236566078479779</v>
      </c>
      <c r="AB11" s="357">
        <f t="shared" si="0"/>
        <v>4464.5</v>
      </c>
      <c r="AC11" s="357">
        <f t="shared" si="0"/>
        <v>30.441227043633805</v>
      </c>
      <c r="AD11" s="357">
        <f t="shared" si="0"/>
        <v>24.125</v>
      </c>
      <c r="AE11" s="357">
        <f t="shared" si="0"/>
        <v>26.75</v>
      </c>
      <c r="AF11" s="357">
        <f t="shared" si="0"/>
        <v>0.625</v>
      </c>
      <c r="AG11" s="357">
        <f t="shared" si="0"/>
        <v>51.5</v>
      </c>
      <c r="AH11" s="357">
        <f t="shared" si="0"/>
        <v>0.35121294877766662</v>
      </c>
    </row>
    <row r="12" spans="2:34">
      <c r="E12" s="357"/>
      <c r="F12" s="357"/>
      <c r="G12" s="357"/>
      <c r="H12" s="357"/>
      <c r="I12" s="357"/>
      <c r="J12" s="357"/>
      <c r="K12" s="357"/>
      <c r="L12" s="357"/>
      <c r="M12" s="359"/>
      <c r="N12" s="359"/>
      <c r="O12" s="359"/>
      <c r="P12" s="359"/>
      <c r="Q12" s="360"/>
      <c r="R12" s="357"/>
      <c r="S12" s="357"/>
      <c r="T12" s="357"/>
      <c r="U12" s="357"/>
      <c r="V12" s="361"/>
      <c r="W12" s="357"/>
      <c r="X12" s="357"/>
      <c r="Y12" s="357"/>
      <c r="Z12" s="357"/>
      <c r="AA12" s="361"/>
      <c r="AB12" s="357"/>
      <c r="AC12" s="361"/>
      <c r="AH12" s="361"/>
    </row>
    <row r="13" spans="2:34" ht="15" thickBot="1">
      <c r="E13" s="357"/>
      <c r="F13" s="357"/>
      <c r="G13" s="357"/>
      <c r="H13" s="357"/>
      <c r="I13" s="357"/>
      <c r="J13" s="357"/>
      <c r="K13" s="357"/>
      <c r="L13" s="357"/>
      <c r="M13" s="359"/>
      <c r="N13" s="359"/>
      <c r="O13" s="359"/>
      <c r="P13" s="359"/>
      <c r="Q13" s="360"/>
      <c r="R13" s="357"/>
      <c r="S13" s="357"/>
      <c r="T13" s="357"/>
      <c r="U13" s="357"/>
      <c r="V13" s="361"/>
      <c r="W13" s="357"/>
      <c r="X13" s="357"/>
      <c r="Y13" s="357"/>
      <c r="Z13" s="357"/>
      <c r="AA13" s="361"/>
      <c r="AB13" s="357"/>
      <c r="AC13" s="361"/>
      <c r="AH13" s="361"/>
    </row>
    <row r="14" spans="2:34">
      <c r="B14" s="1279" t="s">
        <v>39</v>
      </c>
      <c r="C14" s="1281" t="s">
        <v>87</v>
      </c>
      <c r="D14" s="1303" t="s">
        <v>88</v>
      </c>
      <c r="E14" s="1293" t="s">
        <v>70</v>
      </c>
      <c r="F14" s="1294"/>
      <c r="G14" s="1295" t="s">
        <v>43</v>
      </c>
      <c r="H14" s="1295"/>
      <c r="I14" s="1295" t="s">
        <v>71</v>
      </c>
      <c r="J14" s="1295"/>
      <c r="K14" s="1296" t="s">
        <v>72</v>
      </c>
      <c r="L14" s="1297"/>
      <c r="M14" s="1298" t="s">
        <v>73</v>
      </c>
      <c r="N14" s="1299"/>
      <c r="O14" s="1299"/>
      <c r="P14" s="1300"/>
      <c r="Q14" s="1301" t="s">
        <v>47</v>
      </c>
      <c r="R14" s="1293" t="s">
        <v>75</v>
      </c>
      <c r="S14" s="1305"/>
      <c r="T14" s="1305"/>
      <c r="U14" s="1305"/>
      <c r="V14" s="1306"/>
      <c r="W14" s="1285" t="s">
        <v>76</v>
      </c>
      <c r="X14" s="1286"/>
      <c r="Y14" s="1286"/>
      <c r="Z14" s="1286"/>
      <c r="AA14" s="1287"/>
      <c r="AB14" s="1283" t="s">
        <v>77</v>
      </c>
      <c r="AC14" s="1284"/>
      <c r="AD14" s="1285" t="s">
        <v>78</v>
      </c>
      <c r="AE14" s="1286"/>
      <c r="AF14" s="1286"/>
      <c r="AG14" s="1286"/>
      <c r="AH14" s="1287"/>
    </row>
    <row r="15" spans="2:34" ht="15" thickBot="1">
      <c r="B15" s="1280"/>
      <c r="C15" s="1282"/>
      <c r="D15" s="1304"/>
      <c r="E15" s="107" t="s">
        <v>79</v>
      </c>
      <c r="F15" s="108" t="s">
        <v>80</v>
      </c>
      <c r="G15" s="109" t="s">
        <v>79</v>
      </c>
      <c r="H15" s="108" t="s">
        <v>80</v>
      </c>
      <c r="I15" s="109" t="s">
        <v>79</v>
      </c>
      <c r="J15" s="108" t="s">
        <v>80</v>
      </c>
      <c r="K15" s="110" t="s">
        <v>79</v>
      </c>
      <c r="L15" s="111" t="s">
        <v>80</v>
      </c>
      <c r="M15" s="112" t="s">
        <v>70</v>
      </c>
      <c r="N15" s="113" t="s">
        <v>43</v>
      </c>
      <c r="O15" s="113" t="s">
        <v>71</v>
      </c>
      <c r="P15" s="114" t="s">
        <v>72</v>
      </c>
      <c r="Q15" s="1302"/>
      <c r="R15" s="115" t="s">
        <v>70</v>
      </c>
      <c r="S15" s="116" t="s">
        <v>43</v>
      </c>
      <c r="T15" s="116" t="s">
        <v>71</v>
      </c>
      <c r="U15" s="117" t="s">
        <v>72</v>
      </c>
      <c r="V15" s="114" t="s">
        <v>73</v>
      </c>
      <c r="W15" s="115" t="s">
        <v>70</v>
      </c>
      <c r="X15" s="116" t="s">
        <v>43</v>
      </c>
      <c r="Y15" s="116" t="s">
        <v>71</v>
      </c>
      <c r="Z15" s="117" t="s">
        <v>72</v>
      </c>
      <c r="AA15" s="114" t="s">
        <v>73</v>
      </c>
      <c r="AB15" s="118" t="s">
        <v>90</v>
      </c>
      <c r="AC15" s="119" t="s">
        <v>91</v>
      </c>
      <c r="AD15" s="120" t="s">
        <v>70</v>
      </c>
      <c r="AE15" s="116" t="s">
        <v>43</v>
      </c>
      <c r="AF15" s="116" t="s">
        <v>71</v>
      </c>
      <c r="AG15" s="117" t="s">
        <v>72</v>
      </c>
      <c r="AH15" s="114" t="s">
        <v>73</v>
      </c>
    </row>
    <row r="16" spans="2:34">
      <c r="B16" t="s">
        <v>26</v>
      </c>
      <c r="C16" s="362">
        <v>12187</v>
      </c>
      <c r="D16" t="s">
        <v>342</v>
      </c>
      <c r="E16" s="357">
        <v>21</v>
      </c>
      <c r="F16" s="357">
        <v>23900</v>
      </c>
      <c r="G16" s="357">
        <v>17</v>
      </c>
      <c r="H16" s="357">
        <v>20800</v>
      </c>
      <c r="I16" s="357">
        <v>8</v>
      </c>
      <c r="J16" s="357">
        <v>10700</v>
      </c>
      <c r="K16" s="357">
        <v>46</v>
      </c>
      <c r="L16" s="357">
        <v>55400</v>
      </c>
      <c r="M16" s="359">
        <v>161.81448882870686</v>
      </c>
      <c r="N16" s="359">
        <v>140.82599864590387</v>
      </c>
      <c r="O16" s="359">
        <v>72.444143534190928</v>
      </c>
      <c r="P16" s="359">
        <v>375.08463100880164</v>
      </c>
      <c r="Q16" s="360">
        <v>147.69999999999999</v>
      </c>
      <c r="R16" s="357">
        <v>0</v>
      </c>
      <c r="S16" s="357">
        <v>247</v>
      </c>
      <c r="T16" s="357">
        <v>191</v>
      </c>
      <c r="U16" s="357">
        <v>438</v>
      </c>
      <c r="V16" s="361">
        <v>2.9654705484089372</v>
      </c>
      <c r="W16" s="357">
        <v>1796</v>
      </c>
      <c r="X16" s="357">
        <v>1730</v>
      </c>
      <c r="Y16" s="357">
        <v>634</v>
      </c>
      <c r="Z16" s="357">
        <v>4160</v>
      </c>
      <c r="AA16" s="361">
        <v>28.165199729180774</v>
      </c>
      <c r="AB16" s="357">
        <v>4598</v>
      </c>
      <c r="AC16" s="361">
        <v>31.130670277589712</v>
      </c>
      <c r="AD16">
        <v>18</v>
      </c>
      <c r="AE16">
        <v>16</v>
      </c>
      <c r="AF16">
        <v>5</v>
      </c>
      <c r="AG16">
        <v>39</v>
      </c>
      <c r="AH16" s="361">
        <v>0.26404874746106977</v>
      </c>
    </row>
    <row r="17" spans="2:34">
      <c r="B17" t="s">
        <v>26</v>
      </c>
      <c r="C17">
        <v>12189</v>
      </c>
      <c r="D17" t="s">
        <v>342</v>
      </c>
      <c r="E17" s="357">
        <v>20</v>
      </c>
      <c r="F17" s="357">
        <v>23300</v>
      </c>
      <c r="G17" s="357">
        <v>18</v>
      </c>
      <c r="H17" s="357">
        <v>20700</v>
      </c>
      <c r="I17" s="357">
        <v>7</v>
      </c>
      <c r="J17" s="357">
        <v>9400</v>
      </c>
      <c r="K17" s="357">
        <v>45</v>
      </c>
      <c r="L17" s="357">
        <v>53400</v>
      </c>
      <c r="M17" s="359">
        <v>157.64546684709066</v>
      </c>
      <c r="N17" s="359">
        <v>140.05412719891746</v>
      </c>
      <c r="O17" s="359">
        <v>63.599458728010823</v>
      </c>
      <c r="P17" s="359">
        <v>361.29905277401889</v>
      </c>
      <c r="Q17" s="360">
        <v>147.80000000000001</v>
      </c>
      <c r="R17" s="357">
        <v>0</v>
      </c>
      <c r="S17" s="357">
        <v>219</v>
      </c>
      <c r="T17" s="357">
        <v>158</v>
      </c>
      <c r="U17" s="357">
        <v>377</v>
      </c>
      <c r="V17" s="361">
        <v>2.5507442489851146</v>
      </c>
      <c r="W17" s="357">
        <v>1708</v>
      </c>
      <c r="X17" s="357">
        <v>1644</v>
      </c>
      <c r="Y17" s="357">
        <v>605</v>
      </c>
      <c r="Z17" s="357">
        <v>3957</v>
      </c>
      <c r="AA17" s="361">
        <v>26.772665764546684</v>
      </c>
      <c r="AB17" s="357">
        <v>4334</v>
      </c>
      <c r="AC17" s="361">
        <v>29.323410013531799</v>
      </c>
      <c r="AD17">
        <v>18</v>
      </c>
      <c r="AE17">
        <v>19</v>
      </c>
      <c r="AF17">
        <v>6</v>
      </c>
      <c r="AG17">
        <v>43</v>
      </c>
      <c r="AH17" s="361">
        <v>0.29093369418132609</v>
      </c>
    </row>
    <row r="18" spans="2:34">
      <c r="B18" t="s">
        <v>26</v>
      </c>
      <c r="C18">
        <v>12191</v>
      </c>
      <c r="D18" t="s">
        <v>342</v>
      </c>
      <c r="E18" s="357">
        <v>21</v>
      </c>
      <c r="F18" s="357">
        <v>24000</v>
      </c>
      <c r="G18" s="357">
        <v>17</v>
      </c>
      <c r="H18" s="357">
        <v>21000</v>
      </c>
      <c r="I18" s="357">
        <v>6</v>
      </c>
      <c r="J18" s="357">
        <v>8000</v>
      </c>
      <c r="K18" s="357">
        <v>44</v>
      </c>
      <c r="L18" s="357">
        <v>53000</v>
      </c>
      <c r="M18" s="359">
        <v>161.94331983805668</v>
      </c>
      <c r="N18" s="359">
        <v>141.70040485829961</v>
      </c>
      <c r="O18" s="359">
        <v>53.981106612685565</v>
      </c>
      <c r="P18" s="359">
        <v>357.62483130904184</v>
      </c>
      <c r="Q18" s="360">
        <v>148.19999999999999</v>
      </c>
      <c r="R18" s="357">
        <v>0</v>
      </c>
      <c r="S18" s="357">
        <v>228</v>
      </c>
      <c r="T18" s="357">
        <v>142</v>
      </c>
      <c r="U18" s="357">
        <v>370</v>
      </c>
      <c r="V18" s="361">
        <v>2.4966261808367074</v>
      </c>
      <c r="W18" s="357">
        <v>1685</v>
      </c>
      <c r="X18" s="357">
        <v>1631</v>
      </c>
      <c r="Y18" s="357">
        <v>533</v>
      </c>
      <c r="Z18" s="357">
        <v>3849</v>
      </c>
      <c r="AA18" s="361">
        <v>25.97165991902834</v>
      </c>
      <c r="AB18" s="357">
        <v>4219</v>
      </c>
      <c r="AC18" s="361">
        <v>28.46828609986505</v>
      </c>
      <c r="AD18">
        <v>18</v>
      </c>
      <c r="AE18">
        <v>20</v>
      </c>
      <c r="AF18">
        <v>5</v>
      </c>
      <c r="AG18">
        <v>43</v>
      </c>
      <c r="AH18" s="361">
        <v>0.2901484480431849</v>
      </c>
    </row>
    <row r="19" spans="2:34">
      <c r="B19" t="s">
        <v>26</v>
      </c>
      <c r="C19">
        <v>12193</v>
      </c>
      <c r="D19" t="s">
        <v>340</v>
      </c>
      <c r="E19" s="357">
        <v>21</v>
      </c>
      <c r="F19" s="357">
        <v>24300</v>
      </c>
      <c r="G19" s="357">
        <v>18</v>
      </c>
      <c r="H19" s="357">
        <v>20500</v>
      </c>
      <c r="I19" s="357">
        <v>7</v>
      </c>
      <c r="J19" s="357">
        <v>9100</v>
      </c>
      <c r="K19" s="357">
        <v>46</v>
      </c>
      <c r="L19" s="357">
        <v>53900</v>
      </c>
      <c r="M19" s="359">
        <v>164.85753052917232</v>
      </c>
      <c r="N19" s="359">
        <v>139.07734056987789</v>
      </c>
      <c r="O19" s="359">
        <v>61.736770691994572</v>
      </c>
      <c r="P19" s="359">
        <v>365.67164179104481</v>
      </c>
      <c r="Q19" s="360">
        <v>147.4</v>
      </c>
      <c r="R19" s="357">
        <v>0</v>
      </c>
      <c r="S19" s="357">
        <v>111</v>
      </c>
      <c r="T19" s="357">
        <v>238</v>
      </c>
      <c r="U19" s="357">
        <v>349</v>
      </c>
      <c r="V19" s="361">
        <v>2.3677069199457259</v>
      </c>
      <c r="W19" s="357">
        <v>1727</v>
      </c>
      <c r="X19" s="357">
        <v>1695</v>
      </c>
      <c r="Y19" s="357">
        <v>630</v>
      </c>
      <c r="Z19" s="357">
        <v>4052</v>
      </c>
      <c r="AA19" s="361">
        <v>27.489823609226594</v>
      </c>
      <c r="AB19" s="357">
        <v>4401</v>
      </c>
      <c r="AC19" s="361">
        <v>29.857530529172319</v>
      </c>
      <c r="AD19">
        <v>20</v>
      </c>
      <c r="AE19">
        <v>21</v>
      </c>
      <c r="AF19">
        <v>6</v>
      </c>
      <c r="AG19">
        <v>47</v>
      </c>
      <c r="AH19" s="361">
        <v>0.31886024423337855</v>
      </c>
    </row>
    <row r="20" spans="2:34">
      <c r="B20" t="s">
        <v>26</v>
      </c>
      <c r="C20">
        <v>12195</v>
      </c>
      <c r="D20" t="s">
        <v>340</v>
      </c>
      <c r="E20" s="357">
        <v>20</v>
      </c>
      <c r="F20" s="357">
        <v>23700</v>
      </c>
      <c r="G20" s="357">
        <v>18</v>
      </c>
      <c r="H20" s="357">
        <v>20900</v>
      </c>
      <c r="I20" s="357">
        <v>7</v>
      </c>
      <c r="J20" s="357">
        <v>9600</v>
      </c>
      <c r="K20" s="357">
        <v>45</v>
      </c>
      <c r="L20" s="357">
        <v>54200</v>
      </c>
      <c r="M20" s="359">
        <v>161.1148878314072</v>
      </c>
      <c r="N20" s="359">
        <v>142.08021753908906</v>
      </c>
      <c r="O20" s="359">
        <v>65.261726716519377</v>
      </c>
      <c r="P20" s="359">
        <v>368.45683208701564</v>
      </c>
      <c r="Q20" s="360">
        <v>147.1</v>
      </c>
      <c r="R20" s="357">
        <v>0</v>
      </c>
      <c r="S20" s="357">
        <v>152</v>
      </c>
      <c r="T20" s="357">
        <v>200</v>
      </c>
      <c r="U20" s="357">
        <v>352</v>
      </c>
      <c r="V20" s="361">
        <v>2.3929299796057104</v>
      </c>
      <c r="W20" s="357">
        <v>1748</v>
      </c>
      <c r="X20" s="357">
        <v>1594</v>
      </c>
      <c r="Y20" s="357">
        <v>765</v>
      </c>
      <c r="Z20" s="357">
        <v>4107</v>
      </c>
      <c r="AA20" s="361">
        <v>27.919782460910945</v>
      </c>
      <c r="AB20" s="357">
        <v>4459</v>
      </c>
      <c r="AC20" s="361">
        <v>30.312712440516655</v>
      </c>
      <c r="AD20">
        <v>21</v>
      </c>
      <c r="AE20">
        <v>29</v>
      </c>
      <c r="AF20">
        <v>0</v>
      </c>
      <c r="AG20">
        <v>50</v>
      </c>
      <c r="AH20" s="361">
        <v>0.33990482664853844</v>
      </c>
    </row>
    <row r="21" spans="2:34">
      <c r="B21" t="s">
        <v>26</v>
      </c>
      <c r="C21">
        <v>12197</v>
      </c>
      <c r="D21" t="s">
        <v>340</v>
      </c>
      <c r="E21" s="357">
        <v>20</v>
      </c>
      <c r="F21" s="357">
        <v>23400</v>
      </c>
      <c r="G21" s="357">
        <v>18</v>
      </c>
      <c r="H21" s="357">
        <v>20800</v>
      </c>
      <c r="I21" s="357">
        <v>6</v>
      </c>
      <c r="J21" s="357">
        <v>7300</v>
      </c>
      <c r="K21" s="357">
        <v>44</v>
      </c>
      <c r="L21" s="357">
        <v>51500</v>
      </c>
      <c r="M21" s="359">
        <v>157.68194070080861</v>
      </c>
      <c r="N21" s="359">
        <v>140.16172506738545</v>
      </c>
      <c r="O21" s="359">
        <v>49.191374663072772</v>
      </c>
      <c r="P21" s="359">
        <v>347.03504043126685</v>
      </c>
      <c r="Q21" s="360">
        <v>148.4</v>
      </c>
      <c r="R21" s="357">
        <v>0</v>
      </c>
      <c r="S21" s="357">
        <v>143</v>
      </c>
      <c r="T21" s="357">
        <v>195</v>
      </c>
      <c r="U21" s="357">
        <v>338</v>
      </c>
      <c r="V21" s="361">
        <v>2.2776280323450133</v>
      </c>
      <c r="W21" s="357">
        <v>1705</v>
      </c>
      <c r="X21" s="357">
        <v>1698</v>
      </c>
      <c r="Y21" s="357">
        <v>648</v>
      </c>
      <c r="Z21" s="357">
        <v>4051</v>
      </c>
      <c r="AA21" s="361">
        <v>27.297843665768195</v>
      </c>
      <c r="AB21" s="357">
        <v>4389</v>
      </c>
      <c r="AC21" s="361">
        <v>29.575471698113205</v>
      </c>
      <c r="AD21">
        <v>22</v>
      </c>
      <c r="AE21">
        <v>29</v>
      </c>
      <c r="AF21">
        <v>0</v>
      </c>
      <c r="AG21">
        <v>51</v>
      </c>
      <c r="AH21" s="361">
        <v>0.34366576819407008</v>
      </c>
    </row>
    <row r="22" spans="2:34">
      <c r="B22" t="s">
        <v>26</v>
      </c>
      <c r="C22">
        <v>12199</v>
      </c>
      <c r="D22" t="s">
        <v>340</v>
      </c>
      <c r="E22" s="357">
        <v>20</v>
      </c>
      <c r="F22" s="357">
        <v>23400</v>
      </c>
      <c r="G22" s="357">
        <v>18</v>
      </c>
      <c r="H22" s="357">
        <v>20600</v>
      </c>
      <c r="I22" s="357">
        <v>6</v>
      </c>
      <c r="J22" s="357">
        <v>7700</v>
      </c>
      <c r="K22" s="357">
        <v>44</v>
      </c>
      <c r="L22" s="357">
        <v>51700</v>
      </c>
      <c r="M22" s="359">
        <v>158.96739130434784</v>
      </c>
      <c r="N22" s="359">
        <v>139.94565217391306</v>
      </c>
      <c r="O22" s="359">
        <v>52.309782608695656</v>
      </c>
      <c r="P22" s="359">
        <v>351.2228260869565</v>
      </c>
      <c r="Q22" s="360">
        <v>147.19999999999999</v>
      </c>
      <c r="R22" s="357">
        <v>0</v>
      </c>
      <c r="S22" s="357">
        <v>111</v>
      </c>
      <c r="T22" s="357">
        <v>208</v>
      </c>
      <c r="U22" s="357">
        <v>319</v>
      </c>
      <c r="V22" s="361">
        <v>2.1671195652173916</v>
      </c>
      <c r="W22" s="357">
        <v>1719</v>
      </c>
      <c r="X22" s="357">
        <v>1632</v>
      </c>
      <c r="Y22" s="357">
        <v>674</v>
      </c>
      <c r="Z22" s="357">
        <v>4025</v>
      </c>
      <c r="AA22" s="361">
        <v>27.343750000000004</v>
      </c>
      <c r="AB22" s="357">
        <v>4344</v>
      </c>
      <c r="AC22" s="361">
        <v>29.510869565217394</v>
      </c>
      <c r="AD22">
        <v>22</v>
      </c>
      <c r="AE22">
        <v>29</v>
      </c>
      <c r="AF22">
        <v>0</v>
      </c>
      <c r="AG22">
        <v>51</v>
      </c>
      <c r="AH22" s="361">
        <v>0.34646739130434784</v>
      </c>
    </row>
    <row r="23" spans="2:34">
      <c r="B23" t="s">
        <v>26</v>
      </c>
      <c r="C23">
        <v>12201</v>
      </c>
      <c r="D23" t="s">
        <v>340</v>
      </c>
      <c r="E23" s="357">
        <v>21</v>
      </c>
      <c r="F23" s="357">
        <v>23500</v>
      </c>
      <c r="G23" s="357">
        <v>18</v>
      </c>
      <c r="H23" s="357">
        <v>20600</v>
      </c>
      <c r="I23" s="357">
        <v>6</v>
      </c>
      <c r="J23" s="357">
        <v>7700</v>
      </c>
      <c r="K23" s="357">
        <v>45</v>
      </c>
      <c r="L23" s="357">
        <v>51800</v>
      </c>
      <c r="M23" s="359">
        <v>159.43012211668926</v>
      </c>
      <c r="N23" s="359">
        <v>139.75576662143826</v>
      </c>
      <c r="O23" s="359">
        <v>52.238805970149251</v>
      </c>
      <c r="P23" s="359">
        <v>351.42469470827677</v>
      </c>
      <c r="Q23" s="360">
        <v>147.4</v>
      </c>
      <c r="R23" s="357">
        <v>0</v>
      </c>
      <c r="S23" s="357">
        <v>141</v>
      </c>
      <c r="T23" s="357">
        <v>197</v>
      </c>
      <c r="U23" s="357">
        <v>338</v>
      </c>
      <c r="V23" s="361">
        <v>2.2930800542740841</v>
      </c>
      <c r="W23" s="357">
        <v>1676</v>
      </c>
      <c r="X23" s="357">
        <v>1638</v>
      </c>
      <c r="Y23" s="357">
        <v>590</v>
      </c>
      <c r="Z23" s="357">
        <v>3904</v>
      </c>
      <c r="AA23" s="361">
        <v>26.485753052917232</v>
      </c>
      <c r="AB23" s="357">
        <v>4242</v>
      </c>
      <c r="AC23" s="361">
        <v>28.778833107191314</v>
      </c>
      <c r="AD23">
        <v>23</v>
      </c>
      <c r="AE23">
        <v>30</v>
      </c>
      <c r="AF23">
        <v>0</v>
      </c>
      <c r="AG23">
        <v>53</v>
      </c>
      <c r="AH23" s="361">
        <v>0.35956580732700133</v>
      </c>
    </row>
    <row r="24" spans="2:34">
      <c r="B24" t="s">
        <v>26</v>
      </c>
      <c r="C24">
        <v>12203</v>
      </c>
      <c r="D24" t="s">
        <v>340</v>
      </c>
      <c r="E24" s="357">
        <v>21</v>
      </c>
      <c r="F24" s="357">
        <v>23500</v>
      </c>
      <c r="G24" s="357">
        <v>18</v>
      </c>
      <c r="H24" s="357">
        <v>20900</v>
      </c>
      <c r="I24" s="357">
        <v>8</v>
      </c>
      <c r="J24" s="357">
        <v>9800</v>
      </c>
      <c r="K24" s="357">
        <v>47</v>
      </c>
      <c r="L24" s="357">
        <v>54200</v>
      </c>
      <c r="M24" s="359">
        <v>159.64673913043478</v>
      </c>
      <c r="N24" s="359">
        <v>141.98369565217394</v>
      </c>
      <c r="O24" s="359">
        <v>66.576086956521749</v>
      </c>
      <c r="P24" s="359">
        <v>368.20652173913049</v>
      </c>
      <c r="Q24" s="360">
        <v>147.19999999999999</v>
      </c>
      <c r="R24" s="357">
        <v>0</v>
      </c>
      <c r="S24" s="357">
        <v>130</v>
      </c>
      <c r="T24" s="357">
        <v>203</v>
      </c>
      <c r="U24" s="357">
        <v>333</v>
      </c>
      <c r="V24" s="361">
        <v>2.2622282608695654</v>
      </c>
      <c r="W24" s="357">
        <v>1753</v>
      </c>
      <c r="X24" s="357">
        <v>1720</v>
      </c>
      <c r="Y24" s="357">
        <v>720</v>
      </c>
      <c r="Z24" s="357">
        <v>4193</v>
      </c>
      <c r="AA24" s="361">
        <v>28.48505434782609</v>
      </c>
      <c r="AB24" s="357">
        <v>4526</v>
      </c>
      <c r="AC24" s="361">
        <v>30.747282608695656</v>
      </c>
      <c r="AD24">
        <v>22</v>
      </c>
      <c r="AE24">
        <v>31</v>
      </c>
      <c r="AF24">
        <v>0</v>
      </c>
      <c r="AG24">
        <v>53</v>
      </c>
      <c r="AH24" s="361">
        <v>0.36005434782608697</v>
      </c>
    </row>
    <row r="25" spans="2:34">
      <c r="B25" t="s">
        <v>26</v>
      </c>
      <c r="C25">
        <v>12205</v>
      </c>
      <c r="D25" t="s">
        <v>342</v>
      </c>
      <c r="E25" s="357">
        <v>19</v>
      </c>
      <c r="F25" s="357">
        <v>23400</v>
      </c>
      <c r="G25" s="357">
        <v>18</v>
      </c>
      <c r="H25" s="357">
        <v>20700</v>
      </c>
      <c r="I25" s="357">
        <v>8</v>
      </c>
      <c r="J25" s="357">
        <v>11000</v>
      </c>
      <c r="K25" s="357">
        <v>45</v>
      </c>
      <c r="L25" s="357">
        <v>55100</v>
      </c>
      <c r="M25" s="359">
        <v>158.00135043889264</v>
      </c>
      <c r="N25" s="359">
        <v>139.7704253882512</v>
      </c>
      <c r="O25" s="359">
        <v>74.274139095205939</v>
      </c>
      <c r="P25" s="359">
        <v>372.04591492234982</v>
      </c>
      <c r="Q25" s="360">
        <v>148.1</v>
      </c>
      <c r="R25" s="357">
        <v>23</v>
      </c>
      <c r="S25" s="357">
        <v>154</v>
      </c>
      <c r="T25" s="357">
        <v>136</v>
      </c>
      <c r="U25" s="357">
        <v>313</v>
      </c>
      <c r="V25" s="361">
        <v>2.1134368669817691</v>
      </c>
      <c r="W25" s="357">
        <v>1720</v>
      </c>
      <c r="X25" s="357">
        <v>1583</v>
      </c>
      <c r="Y25" s="357">
        <v>832</v>
      </c>
      <c r="Z25" s="357">
        <v>4135</v>
      </c>
      <c r="AA25" s="361">
        <v>27.920324105334235</v>
      </c>
      <c r="AB25" s="357">
        <v>4448</v>
      </c>
      <c r="AC25" s="361">
        <v>30.033760972316003</v>
      </c>
      <c r="AD25">
        <v>23</v>
      </c>
      <c r="AE25">
        <v>30</v>
      </c>
      <c r="AF25">
        <v>0</v>
      </c>
      <c r="AG25">
        <v>53</v>
      </c>
      <c r="AH25" s="361">
        <v>0.35786630654962864</v>
      </c>
    </row>
    <row r="26" spans="2:34">
      <c r="E26" s="357">
        <f>AVERAGE(E16:E25)</f>
        <v>20.399999999999999</v>
      </c>
      <c r="F26" s="357">
        <f t="shared" ref="F26:AH26" si="1">AVERAGE(F16:F25)</f>
        <v>23640</v>
      </c>
      <c r="G26" s="357">
        <f t="shared" si="1"/>
        <v>17.8</v>
      </c>
      <c r="H26" s="357">
        <f t="shared" si="1"/>
        <v>20750</v>
      </c>
      <c r="I26" s="357">
        <f t="shared" si="1"/>
        <v>6.9</v>
      </c>
      <c r="J26" s="357">
        <f t="shared" si="1"/>
        <v>9030</v>
      </c>
      <c r="K26" s="357">
        <f t="shared" si="1"/>
        <v>45.1</v>
      </c>
      <c r="L26" s="357">
        <f t="shared" si="1"/>
        <v>53420</v>
      </c>
      <c r="M26" s="357">
        <f t="shared" si="1"/>
        <v>160.11032375656066</v>
      </c>
      <c r="N26" s="357">
        <f t="shared" si="1"/>
        <v>140.53553537152499</v>
      </c>
      <c r="O26" s="357">
        <f t="shared" si="1"/>
        <v>61.161339557704665</v>
      </c>
      <c r="P26" s="357">
        <f t="shared" si="1"/>
        <v>361.8071986857903</v>
      </c>
      <c r="Q26" s="357">
        <f t="shared" si="1"/>
        <v>147.65</v>
      </c>
      <c r="R26" s="357">
        <f t="shared" si="1"/>
        <v>2.2999999999999998</v>
      </c>
      <c r="S26" s="357">
        <f t="shared" si="1"/>
        <v>163.6</v>
      </c>
      <c r="T26" s="357">
        <f t="shared" si="1"/>
        <v>186.8</v>
      </c>
      <c r="U26" s="357">
        <f t="shared" si="1"/>
        <v>352.7</v>
      </c>
      <c r="V26" s="357">
        <f t="shared" si="1"/>
        <v>2.3886970657470021</v>
      </c>
      <c r="W26" s="357">
        <f t="shared" si="1"/>
        <v>1723.7</v>
      </c>
      <c r="X26" s="357">
        <f t="shared" si="1"/>
        <v>1656.5</v>
      </c>
      <c r="Y26" s="357">
        <f t="shared" si="1"/>
        <v>663.1</v>
      </c>
      <c r="Z26" s="357">
        <f t="shared" si="1"/>
        <v>4043.3</v>
      </c>
      <c r="AA26" s="357">
        <f t="shared" si="1"/>
        <v>27.385185665473909</v>
      </c>
      <c r="AB26" s="357">
        <f t="shared" si="1"/>
        <v>4396</v>
      </c>
      <c r="AC26" s="357">
        <f t="shared" si="1"/>
        <v>29.773882731220908</v>
      </c>
      <c r="AD26" s="357">
        <f t="shared" si="1"/>
        <v>20.7</v>
      </c>
      <c r="AE26" s="357">
        <f t="shared" si="1"/>
        <v>25.4</v>
      </c>
      <c r="AF26" s="357">
        <f t="shared" si="1"/>
        <v>2.2000000000000002</v>
      </c>
      <c r="AG26" s="357">
        <f t="shared" si="1"/>
        <v>48.3</v>
      </c>
      <c r="AH26" s="357">
        <f t="shared" si="1"/>
        <v>0.32715155817686326</v>
      </c>
    </row>
    <row r="27" spans="2:34">
      <c r="K27" s="358"/>
      <c r="L27" s="358"/>
      <c r="M27" s="358"/>
      <c r="N27" s="358"/>
      <c r="O27" s="358"/>
      <c r="P27" s="358"/>
      <c r="Q27" s="358"/>
    </row>
    <row r="33" spans="19:21">
      <c r="S33" s="1288" t="s">
        <v>345</v>
      </c>
      <c r="T33" s="1291" t="s">
        <v>351</v>
      </c>
      <c r="U33" s="1292"/>
    </row>
    <row r="34" spans="19:21">
      <c r="S34" s="1289"/>
      <c r="T34" s="354" t="s">
        <v>346</v>
      </c>
      <c r="U34" s="355">
        <v>45.93333333333333</v>
      </c>
    </row>
    <row r="35" spans="19:21">
      <c r="S35" s="1289"/>
      <c r="T35" s="354" t="s">
        <v>347</v>
      </c>
      <c r="U35" s="355">
        <v>372.04365747790183</v>
      </c>
    </row>
    <row r="36" spans="19:21">
      <c r="S36" s="1289"/>
      <c r="T36" s="354" t="s">
        <v>350</v>
      </c>
      <c r="U36" s="356">
        <v>54820</v>
      </c>
    </row>
    <row r="37" spans="19:21">
      <c r="S37" s="1289"/>
      <c r="T37" s="354" t="s">
        <v>349</v>
      </c>
      <c r="U37" s="355">
        <v>147.4</v>
      </c>
    </row>
    <row r="38" spans="19:21">
      <c r="S38" s="1289"/>
      <c r="T38" s="1291" t="s">
        <v>352</v>
      </c>
      <c r="U38" s="1292"/>
    </row>
    <row r="39" spans="19:21">
      <c r="S39" s="1289"/>
      <c r="T39" s="354" t="s">
        <v>346</v>
      </c>
      <c r="U39" s="355">
        <v>45.7</v>
      </c>
    </row>
    <row r="40" spans="19:21">
      <c r="S40" s="1289"/>
      <c r="T40" s="354" t="s">
        <v>347</v>
      </c>
      <c r="U40" s="355">
        <v>370</v>
      </c>
    </row>
    <row r="41" spans="19:21">
      <c r="S41" s="1289"/>
      <c r="T41" s="354" t="s">
        <v>350</v>
      </c>
      <c r="U41" s="356">
        <v>54273</v>
      </c>
    </row>
    <row r="42" spans="19:21">
      <c r="S42" s="1290"/>
      <c r="T42" s="354" t="s">
        <v>349</v>
      </c>
      <c r="U42" s="355">
        <v>146.6</v>
      </c>
    </row>
    <row r="43" spans="19:21">
      <c r="S43" s="1288" t="s">
        <v>348</v>
      </c>
      <c r="T43" s="1291" t="s">
        <v>351</v>
      </c>
      <c r="U43" s="1292"/>
    </row>
    <row r="44" spans="19:21">
      <c r="S44" s="1289"/>
      <c r="T44" s="354" t="s">
        <v>346</v>
      </c>
      <c r="U44" s="355">
        <v>45.75</v>
      </c>
    </row>
    <row r="45" spans="19:21">
      <c r="S45" s="1289"/>
      <c r="T45" s="354" t="s">
        <v>347</v>
      </c>
      <c r="U45" s="355">
        <v>376.65885293708186</v>
      </c>
    </row>
    <row r="46" spans="19:21">
      <c r="S46" s="1289"/>
      <c r="T46" s="354" t="s">
        <v>350</v>
      </c>
      <c r="U46" s="356">
        <v>55425</v>
      </c>
    </row>
    <row r="47" spans="19:21">
      <c r="S47" s="1289"/>
      <c r="T47" s="354" t="s">
        <v>349</v>
      </c>
      <c r="U47" s="355">
        <v>147.15</v>
      </c>
    </row>
    <row r="48" spans="19:21">
      <c r="S48" s="1289"/>
      <c r="T48" s="1291" t="s">
        <v>352</v>
      </c>
      <c r="U48" s="1292"/>
    </row>
    <row r="49" spans="19:21">
      <c r="S49" s="1289"/>
      <c r="T49" s="354" t="s">
        <v>346</v>
      </c>
      <c r="U49" s="355">
        <v>44.25</v>
      </c>
    </row>
    <row r="50" spans="19:21">
      <c r="S50" s="1289"/>
      <c r="T50" s="354" t="s">
        <v>347</v>
      </c>
      <c r="U50" s="355">
        <v>362.06236714787872</v>
      </c>
    </row>
    <row r="51" spans="19:21">
      <c r="S51" s="1289"/>
      <c r="T51" s="354" t="s">
        <v>350</v>
      </c>
      <c r="U51" s="356">
        <v>52950</v>
      </c>
    </row>
    <row r="52" spans="19:21">
      <c r="S52" s="1290"/>
      <c r="T52" s="354" t="s">
        <v>349</v>
      </c>
      <c r="U52" s="355">
        <v>146.25</v>
      </c>
    </row>
  </sheetData>
  <autoFilter ref="B1:AH25">
    <filterColumn colId="3" showButton="0"/>
    <filterColumn colId="5" showButton="0"/>
    <filterColumn colId="7" showButton="0"/>
    <filterColumn colId="9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6" showButton="0"/>
    <filterColumn colId="28" showButton="0"/>
    <filterColumn colId="29" showButton="0"/>
    <filterColumn colId="30" showButton="0"/>
    <filterColumn colId="31" showButton="0"/>
  </autoFilter>
  <mergeCells count="32">
    <mergeCell ref="S43:S52"/>
    <mergeCell ref="T43:U43"/>
    <mergeCell ref="T48:U48"/>
    <mergeCell ref="R14:V14"/>
    <mergeCell ref="W14:AA14"/>
    <mergeCell ref="AB14:AC14"/>
    <mergeCell ref="AD14:AH14"/>
    <mergeCell ref="S33:S42"/>
    <mergeCell ref="T33:U33"/>
    <mergeCell ref="T38:U38"/>
    <mergeCell ref="AD1:AH1"/>
    <mergeCell ref="B14:B15"/>
    <mergeCell ref="C14:C15"/>
    <mergeCell ref="D14:D15"/>
    <mergeCell ref="E14:F14"/>
    <mergeCell ref="G14:H14"/>
    <mergeCell ref="I14:J14"/>
    <mergeCell ref="K14:L14"/>
    <mergeCell ref="M14:P14"/>
    <mergeCell ref="Q14:Q15"/>
    <mergeCell ref="K1:L1"/>
    <mergeCell ref="M1:P1"/>
    <mergeCell ref="Q1:Q2"/>
    <mergeCell ref="R1:V1"/>
    <mergeCell ref="W1:AA1"/>
    <mergeCell ref="AB1:AC1"/>
    <mergeCell ref="I1:J1"/>
    <mergeCell ref="B1:B2"/>
    <mergeCell ref="C1:C2"/>
    <mergeCell ref="D1:D2"/>
    <mergeCell ref="E1:F1"/>
    <mergeCell ref="G1:H1"/>
  </mergeCells>
  <phoneticPr fontId="5" type="noConversion"/>
  <conditionalFormatting sqref="T45:U46 T35:U36 T33">
    <cfRule type="expression" dxfId="1072" priority="10">
      <formula>$A33&gt;$A32</formula>
    </cfRule>
  </conditionalFormatting>
  <conditionalFormatting sqref="T47:U47 T37:U37 T34:U34 T38">
    <cfRule type="expression" dxfId="1071" priority="11">
      <formula>$A34&gt;$A32</formula>
    </cfRule>
  </conditionalFormatting>
  <conditionalFormatting sqref="T39:U41">
    <cfRule type="expression" dxfId="1070" priority="8">
      <formula>$A39&gt;$A38</formula>
    </cfRule>
  </conditionalFormatting>
  <conditionalFormatting sqref="T42:U42">
    <cfRule type="expression" dxfId="1069" priority="9">
      <formula>$A42&gt;$A40</formula>
    </cfRule>
  </conditionalFormatting>
  <conditionalFormatting sqref="S33">
    <cfRule type="expression" dxfId="1068" priority="12">
      <formula>$A34&gt;$A32</formula>
    </cfRule>
  </conditionalFormatting>
  <conditionalFormatting sqref="T44:U44">
    <cfRule type="expression" dxfId="1067" priority="6">
      <formula>$A44&gt;$A36</formula>
    </cfRule>
  </conditionalFormatting>
  <conditionalFormatting sqref="T50:U51">
    <cfRule type="expression" dxfId="1066" priority="3">
      <formula>$A50&gt;$A49</formula>
    </cfRule>
  </conditionalFormatting>
  <conditionalFormatting sqref="T52:U52">
    <cfRule type="expression" dxfId="1065" priority="4">
      <formula>$A52&gt;$A50</formula>
    </cfRule>
  </conditionalFormatting>
  <conditionalFormatting sqref="T49:U49">
    <cfRule type="expression" dxfId="1064" priority="5">
      <formula>$A49&gt;$A41</formula>
    </cfRule>
  </conditionalFormatting>
  <conditionalFormatting sqref="S43">
    <cfRule type="expression" dxfId="1063" priority="7">
      <formula>$A44&gt;$A36</formula>
    </cfRule>
  </conditionalFormatting>
  <conditionalFormatting sqref="T43">
    <cfRule type="expression" dxfId="1062" priority="2">
      <formula>$A43&gt;$A42</formula>
    </cfRule>
  </conditionalFormatting>
  <conditionalFormatting sqref="T48">
    <cfRule type="expression" dxfId="1061" priority="1">
      <formula>$A48&gt;$A46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1"/>
  <sheetViews>
    <sheetView workbookViewId="0">
      <selection activeCell="G12" sqref="G12"/>
    </sheetView>
  </sheetViews>
  <sheetFormatPr defaultRowHeight="14.4"/>
  <sheetData>
    <row r="1" spans="1:18" ht="15" thickBot="1"/>
    <row r="2" spans="1:18" s="374" customFormat="1" ht="18" customHeight="1">
      <c r="A2" s="1277" t="s">
        <v>30</v>
      </c>
      <c r="B2" s="1279" t="s">
        <v>86</v>
      </c>
      <c r="C2" s="1279" t="s">
        <v>39</v>
      </c>
      <c r="D2" s="1281" t="s">
        <v>87</v>
      </c>
      <c r="E2" s="1303" t="s">
        <v>88</v>
      </c>
      <c r="F2" s="1293" t="s">
        <v>70</v>
      </c>
      <c r="G2" s="1294"/>
      <c r="H2" s="1295" t="s">
        <v>43</v>
      </c>
      <c r="I2" s="1295"/>
      <c r="J2" s="1295" t="s">
        <v>71</v>
      </c>
      <c r="K2" s="1295"/>
      <c r="L2" s="1296" t="s">
        <v>72</v>
      </c>
      <c r="M2" s="1297"/>
      <c r="N2" s="1298" t="s">
        <v>73</v>
      </c>
      <c r="O2" s="1299"/>
      <c r="P2" s="1299"/>
      <c r="Q2" s="1300"/>
      <c r="R2" s="1301" t="s">
        <v>47</v>
      </c>
    </row>
    <row r="3" spans="1:18" s="374" customFormat="1" ht="18" customHeight="1">
      <c r="A3" s="1314"/>
      <c r="B3" s="1315"/>
      <c r="C3" s="1315"/>
      <c r="D3" s="1316"/>
      <c r="E3" s="1317"/>
      <c r="F3" s="367" t="s">
        <v>79</v>
      </c>
      <c r="G3" s="341" t="s">
        <v>80</v>
      </c>
      <c r="H3" s="340" t="s">
        <v>79</v>
      </c>
      <c r="I3" s="341" t="s">
        <v>80</v>
      </c>
      <c r="J3" s="340" t="s">
        <v>79</v>
      </c>
      <c r="K3" s="341" t="s">
        <v>80</v>
      </c>
      <c r="L3" s="342" t="s">
        <v>79</v>
      </c>
      <c r="M3" s="368" t="s">
        <v>80</v>
      </c>
      <c r="N3" s="369" t="s">
        <v>70</v>
      </c>
      <c r="O3" s="343" t="s">
        <v>43</v>
      </c>
      <c r="P3" s="343" t="s">
        <v>71</v>
      </c>
      <c r="Q3" s="346" t="s">
        <v>72</v>
      </c>
      <c r="R3" s="1318"/>
    </row>
    <row r="4" spans="1:18" s="374" customFormat="1" ht="18" customHeight="1">
      <c r="A4" s="375">
        <v>43425</v>
      </c>
      <c r="B4" s="376" t="s">
        <v>26</v>
      </c>
      <c r="C4" s="376" t="s">
        <v>26</v>
      </c>
      <c r="D4" s="376">
        <v>12189</v>
      </c>
      <c r="E4" s="376" t="s">
        <v>342</v>
      </c>
      <c r="F4" s="377">
        <v>20</v>
      </c>
      <c r="G4" s="377">
        <v>23300</v>
      </c>
      <c r="H4" s="377">
        <v>18</v>
      </c>
      <c r="I4" s="377">
        <v>20700</v>
      </c>
      <c r="J4" s="377">
        <v>7</v>
      </c>
      <c r="K4" s="377">
        <v>9400</v>
      </c>
      <c r="L4" s="377">
        <v>45</v>
      </c>
      <c r="M4" s="377">
        <v>53400</v>
      </c>
      <c r="N4" s="378">
        <v>157.64546684709066</v>
      </c>
      <c r="O4" s="378">
        <v>140.05412719891746</v>
      </c>
      <c r="P4" s="378">
        <v>63.599458728010823</v>
      </c>
      <c r="Q4" s="378">
        <v>361.29905277401889</v>
      </c>
      <c r="R4" s="379">
        <v>147.80000000000001</v>
      </c>
    </row>
    <row r="5" spans="1:18" s="374" customFormat="1" ht="18" customHeight="1">
      <c r="A5" s="375">
        <v>43425</v>
      </c>
      <c r="B5" s="376" t="s">
        <v>26</v>
      </c>
      <c r="C5" s="376" t="s">
        <v>25</v>
      </c>
      <c r="D5" s="376">
        <v>12190</v>
      </c>
      <c r="E5" s="376" t="s">
        <v>342</v>
      </c>
      <c r="F5" s="377">
        <v>21</v>
      </c>
      <c r="G5" s="377">
        <v>23600</v>
      </c>
      <c r="H5" s="377">
        <v>17</v>
      </c>
      <c r="I5" s="377">
        <v>20900</v>
      </c>
      <c r="J5" s="377">
        <v>7</v>
      </c>
      <c r="K5" s="377">
        <v>9000</v>
      </c>
      <c r="L5" s="377">
        <v>45</v>
      </c>
      <c r="M5" s="377">
        <v>53500</v>
      </c>
      <c r="N5" s="378">
        <v>160.65350578624916</v>
      </c>
      <c r="O5" s="378">
        <v>142.27365554799184</v>
      </c>
      <c r="P5" s="378">
        <v>61.266167460857723</v>
      </c>
      <c r="Q5" s="378">
        <v>364.19332879509869</v>
      </c>
      <c r="R5" s="379">
        <v>146.9</v>
      </c>
    </row>
    <row r="6" spans="1:18" s="374" customFormat="1" ht="18" customHeight="1">
      <c r="A6" s="375">
        <v>43425</v>
      </c>
      <c r="B6" s="376" t="s">
        <v>26</v>
      </c>
      <c r="C6" s="376" t="s">
        <v>26</v>
      </c>
      <c r="D6" s="376">
        <v>12191</v>
      </c>
      <c r="E6" s="376" t="s">
        <v>342</v>
      </c>
      <c r="F6" s="377">
        <v>21</v>
      </c>
      <c r="G6" s="377">
        <v>24000</v>
      </c>
      <c r="H6" s="377">
        <v>17</v>
      </c>
      <c r="I6" s="377">
        <v>21000</v>
      </c>
      <c r="J6" s="377">
        <v>6</v>
      </c>
      <c r="K6" s="377">
        <v>8000</v>
      </c>
      <c r="L6" s="377">
        <v>44</v>
      </c>
      <c r="M6" s="377">
        <v>53000</v>
      </c>
      <c r="N6" s="378">
        <v>161.94331983805668</v>
      </c>
      <c r="O6" s="378">
        <v>141.70040485829961</v>
      </c>
      <c r="P6" s="378">
        <v>53.981106612685565</v>
      </c>
      <c r="Q6" s="378">
        <v>357.62483130904184</v>
      </c>
      <c r="R6" s="379">
        <v>148.19999999999999</v>
      </c>
    </row>
    <row r="7" spans="1:18" s="374" customFormat="1" ht="18" customHeight="1">
      <c r="A7" s="375">
        <v>43425</v>
      </c>
      <c r="B7" s="376" t="s">
        <v>26</v>
      </c>
      <c r="C7" s="376" t="s">
        <v>25</v>
      </c>
      <c r="D7" s="376">
        <v>12192</v>
      </c>
      <c r="E7" s="376" t="s">
        <v>340</v>
      </c>
      <c r="F7" s="377">
        <v>19</v>
      </c>
      <c r="G7" s="377">
        <v>24000</v>
      </c>
      <c r="H7" s="377">
        <v>18</v>
      </c>
      <c r="I7" s="377">
        <v>20700</v>
      </c>
      <c r="J7" s="377">
        <v>7</v>
      </c>
      <c r="K7" s="377">
        <v>9000</v>
      </c>
      <c r="L7" s="377">
        <v>44</v>
      </c>
      <c r="M7" s="377">
        <v>53700</v>
      </c>
      <c r="N7" s="378">
        <v>160.21361815754338</v>
      </c>
      <c r="O7" s="378">
        <v>138.18424566088117</v>
      </c>
      <c r="P7" s="378">
        <v>60.080106809078764</v>
      </c>
      <c r="Q7" s="378">
        <v>358.47797062750328</v>
      </c>
      <c r="R7" s="379">
        <v>149.80000000000001</v>
      </c>
    </row>
    <row r="8" spans="1:18" s="374" customFormat="1" ht="18" customHeight="1">
      <c r="A8" s="375">
        <v>43425</v>
      </c>
      <c r="B8" s="376" t="s">
        <v>26</v>
      </c>
      <c r="C8" s="376" t="s">
        <v>26</v>
      </c>
      <c r="D8" s="376">
        <v>12193</v>
      </c>
      <c r="E8" s="376" t="s">
        <v>340</v>
      </c>
      <c r="F8" s="377">
        <v>21</v>
      </c>
      <c r="G8" s="377">
        <v>24300</v>
      </c>
      <c r="H8" s="377">
        <v>18</v>
      </c>
      <c r="I8" s="377">
        <v>20500</v>
      </c>
      <c r="J8" s="377">
        <v>7</v>
      </c>
      <c r="K8" s="377">
        <v>9100</v>
      </c>
      <c r="L8" s="377">
        <v>46</v>
      </c>
      <c r="M8" s="377">
        <v>53900</v>
      </c>
      <c r="N8" s="378">
        <v>164.85753052917232</v>
      </c>
      <c r="O8" s="378">
        <v>139.07734056987789</v>
      </c>
      <c r="P8" s="378">
        <v>61.736770691994572</v>
      </c>
      <c r="Q8" s="378">
        <v>365.67164179104481</v>
      </c>
      <c r="R8" s="379">
        <v>147.4</v>
      </c>
    </row>
    <row r="9" spans="1:18" s="374" customFormat="1" ht="18" customHeight="1">
      <c r="A9" s="375">
        <v>43425</v>
      </c>
      <c r="B9" s="376" t="s">
        <v>26</v>
      </c>
      <c r="C9" s="376" t="s">
        <v>25</v>
      </c>
      <c r="D9" s="376">
        <v>12194</v>
      </c>
      <c r="E9" s="376" t="s">
        <v>340</v>
      </c>
      <c r="F9" s="377">
        <v>20</v>
      </c>
      <c r="G9" s="377">
        <v>23600</v>
      </c>
      <c r="H9" s="377">
        <v>18</v>
      </c>
      <c r="I9" s="377">
        <v>20900</v>
      </c>
      <c r="J9" s="377">
        <v>8</v>
      </c>
      <c r="K9" s="377">
        <v>10600</v>
      </c>
      <c r="L9" s="377">
        <v>46</v>
      </c>
      <c r="M9" s="377">
        <v>55100</v>
      </c>
      <c r="N9" s="378">
        <v>161.31237183868762</v>
      </c>
      <c r="O9" s="378">
        <v>142.85714285714283</v>
      </c>
      <c r="P9" s="378">
        <v>72.453861927546129</v>
      </c>
      <c r="Q9" s="378">
        <v>376.6233766233766</v>
      </c>
      <c r="R9" s="379">
        <v>146.30000000000001</v>
      </c>
    </row>
    <row r="10" spans="1:18" s="374" customFormat="1" ht="18" customHeight="1">
      <c r="A10" s="375">
        <v>43425</v>
      </c>
      <c r="B10" s="376" t="s">
        <v>334</v>
      </c>
      <c r="C10" s="376" t="s">
        <v>26</v>
      </c>
      <c r="D10" s="376">
        <v>12195</v>
      </c>
      <c r="E10" s="376" t="s">
        <v>340</v>
      </c>
      <c r="F10" s="377">
        <v>20</v>
      </c>
      <c r="G10" s="377">
        <v>23700</v>
      </c>
      <c r="H10" s="377">
        <v>18</v>
      </c>
      <c r="I10" s="377">
        <v>20900</v>
      </c>
      <c r="J10" s="377">
        <v>7</v>
      </c>
      <c r="K10" s="377">
        <v>9600</v>
      </c>
      <c r="L10" s="377">
        <v>45</v>
      </c>
      <c r="M10" s="377">
        <v>54200</v>
      </c>
      <c r="N10" s="378">
        <v>161.1148878314072</v>
      </c>
      <c r="O10" s="378">
        <v>142.08021753908906</v>
      </c>
      <c r="P10" s="378">
        <v>65.261726716519377</v>
      </c>
      <c r="Q10" s="378">
        <v>368.45683208701564</v>
      </c>
      <c r="R10" s="379">
        <v>147.1</v>
      </c>
    </row>
    <row r="11" spans="1:18" s="374" customFormat="1" ht="18" customHeight="1">
      <c r="A11" s="375">
        <v>43425</v>
      </c>
      <c r="B11" s="376" t="s">
        <v>334</v>
      </c>
      <c r="C11" s="376" t="s">
        <v>25</v>
      </c>
      <c r="D11" s="376">
        <v>12196</v>
      </c>
      <c r="E11" s="376" t="s">
        <v>340</v>
      </c>
      <c r="F11" s="377">
        <v>19</v>
      </c>
      <c r="G11" s="377">
        <v>23300</v>
      </c>
      <c r="H11" s="377">
        <v>18</v>
      </c>
      <c r="I11" s="377">
        <v>20700</v>
      </c>
      <c r="J11" s="377">
        <v>9</v>
      </c>
      <c r="K11" s="377">
        <v>10900</v>
      </c>
      <c r="L11" s="377">
        <v>46</v>
      </c>
      <c r="M11" s="377">
        <v>54900</v>
      </c>
      <c r="N11" s="378">
        <v>160.46831955922866</v>
      </c>
      <c r="O11" s="378">
        <v>142.5619834710744</v>
      </c>
      <c r="P11" s="378">
        <v>75.068870523415981</v>
      </c>
      <c r="Q11" s="378">
        <v>378.09917355371903</v>
      </c>
      <c r="R11" s="379">
        <v>145.19999999999999</v>
      </c>
    </row>
    <row r="12" spans="1:18" s="374" customFormat="1" ht="18" customHeight="1">
      <c r="A12" s="375">
        <v>43425</v>
      </c>
      <c r="B12" s="376" t="s">
        <v>334</v>
      </c>
      <c r="C12" s="376" t="s">
        <v>26</v>
      </c>
      <c r="D12" s="376">
        <v>12197</v>
      </c>
      <c r="E12" s="376" t="s">
        <v>340</v>
      </c>
      <c r="F12" s="377">
        <v>20</v>
      </c>
      <c r="G12" s="377">
        <v>23400</v>
      </c>
      <c r="H12" s="377">
        <v>18</v>
      </c>
      <c r="I12" s="377">
        <v>20800</v>
      </c>
      <c r="J12" s="377">
        <v>6</v>
      </c>
      <c r="K12" s="377">
        <v>7300</v>
      </c>
      <c r="L12" s="377">
        <v>44</v>
      </c>
      <c r="M12" s="377">
        <v>51500</v>
      </c>
      <c r="N12" s="378">
        <v>157.68194070080861</v>
      </c>
      <c r="O12" s="378">
        <v>140.16172506738545</v>
      </c>
      <c r="P12" s="378">
        <v>49.191374663072772</v>
      </c>
      <c r="Q12" s="378">
        <v>347.03504043126685</v>
      </c>
      <c r="R12" s="379">
        <v>148.4</v>
      </c>
    </row>
    <row r="13" spans="1:18" s="374" customFormat="1" ht="18" customHeight="1">
      <c r="A13" s="375">
        <v>43425</v>
      </c>
      <c r="B13" s="376" t="s">
        <v>334</v>
      </c>
      <c r="C13" s="376" t="s">
        <v>25</v>
      </c>
      <c r="D13" s="376">
        <v>12198</v>
      </c>
      <c r="E13" s="376" t="s">
        <v>340</v>
      </c>
      <c r="F13" s="377">
        <v>21</v>
      </c>
      <c r="G13" s="377">
        <v>23500</v>
      </c>
      <c r="H13" s="377">
        <v>18</v>
      </c>
      <c r="I13" s="377">
        <v>20500</v>
      </c>
      <c r="J13" s="377">
        <v>10</v>
      </c>
      <c r="K13" s="377">
        <v>12600</v>
      </c>
      <c r="L13" s="377">
        <v>49</v>
      </c>
      <c r="M13" s="377">
        <v>56600</v>
      </c>
      <c r="N13" s="378">
        <v>159.64673913043478</v>
      </c>
      <c r="O13" s="378">
        <v>139.26630434782609</v>
      </c>
      <c r="P13" s="378">
        <v>85.59782608695653</v>
      </c>
      <c r="Q13" s="378">
        <v>384.51086956521738</v>
      </c>
      <c r="R13" s="379">
        <v>147.19999999999999</v>
      </c>
    </row>
    <row r="14" spans="1:18" s="374" customFormat="1" ht="18" customHeight="1">
      <c r="A14" s="375">
        <v>43425</v>
      </c>
      <c r="B14" s="376" t="s">
        <v>334</v>
      </c>
      <c r="C14" s="376" t="s">
        <v>26</v>
      </c>
      <c r="D14" s="376">
        <v>12199</v>
      </c>
      <c r="E14" s="376" t="s">
        <v>340</v>
      </c>
      <c r="F14" s="377">
        <v>20</v>
      </c>
      <c r="G14" s="377">
        <v>23400</v>
      </c>
      <c r="H14" s="377">
        <v>18</v>
      </c>
      <c r="I14" s="377">
        <v>20600</v>
      </c>
      <c r="J14" s="377">
        <v>6</v>
      </c>
      <c r="K14" s="377">
        <v>7700</v>
      </c>
      <c r="L14" s="377">
        <v>44</v>
      </c>
      <c r="M14" s="377">
        <v>51700</v>
      </c>
      <c r="N14" s="378">
        <v>158.96739130434784</v>
      </c>
      <c r="O14" s="378">
        <v>139.94565217391306</v>
      </c>
      <c r="P14" s="378">
        <v>52.309782608695656</v>
      </c>
      <c r="Q14" s="378">
        <v>351.2228260869565</v>
      </c>
      <c r="R14" s="379">
        <v>147.19999999999999</v>
      </c>
    </row>
    <row r="15" spans="1:18" s="374" customFormat="1" ht="18" customHeight="1">
      <c r="A15" s="375">
        <v>43425</v>
      </c>
      <c r="B15" s="376" t="s">
        <v>334</v>
      </c>
      <c r="C15" s="376" t="s">
        <v>25</v>
      </c>
      <c r="D15" s="376">
        <v>12200</v>
      </c>
      <c r="E15" s="376" t="s">
        <v>340</v>
      </c>
      <c r="F15" s="377">
        <v>20</v>
      </c>
      <c r="G15" s="377">
        <v>23300</v>
      </c>
      <c r="H15" s="377">
        <v>17</v>
      </c>
      <c r="I15" s="377">
        <v>20800</v>
      </c>
      <c r="J15" s="377">
        <v>7</v>
      </c>
      <c r="K15" s="377">
        <v>8700</v>
      </c>
      <c r="L15" s="377">
        <v>44</v>
      </c>
      <c r="M15" s="377">
        <v>52800</v>
      </c>
      <c r="N15" s="378">
        <v>159.04436860068259</v>
      </c>
      <c r="O15" s="378">
        <v>141.97952218430035</v>
      </c>
      <c r="P15" s="378">
        <v>59.38566552901024</v>
      </c>
      <c r="Q15" s="378">
        <v>360.40955631399316</v>
      </c>
      <c r="R15" s="379">
        <v>146.5</v>
      </c>
    </row>
    <row r="16" spans="1:18" s="374" customFormat="1" ht="18" customHeight="1"/>
    <row r="17" spans="1:18" s="374" customFormat="1" ht="18" customHeight="1" thickBot="1"/>
    <row r="18" spans="1:18" s="374" customFormat="1" ht="18" customHeight="1">
      <c r="A18" s="1277" t="s">
        <v>30</v>
      </c>
      <c r="B18" s="1293" t="s">
        <v>75</v>
      </c>
      <c r="C18" s="1305"/>
      <c r="D18" s="1305"/>
      <c r="E18" s="1305"/>
      <c r="F18" s="1306"/>
      <c r="G18" s="1285" t="s">
        <v>76</v>
      </c>
      <c r="H18" s="1286"/>
      <c r="I18" s="1286"/>
      <c r="J18" s="1286"/>
      <c r="K18" s="1287"/>
      <c r="L18" s="1283" t="s">
        <v>77</v>
      </c>
      <c r="M18" s="1284"/>
      <c r="N18" s="1285" t="s">
        <v>78</v>
      </c>
      <c r="O18" s="1286"/>
      <c r="P18" s="1286"/>
      <c r="Q18" s="1286"/>
      <c r="R18" s="1287"/>
    </row>
    <row r="19" spans="1:18" s="374" customFormat="1" ht="18" customHeight="1">
      <c r="A19" s="1314"/>
      <c r="B19" s="370" t="s">
        <v>70</v>
      </c>
      <c r="C19" s="345" t="s">
        <v>43</v>
      </c>
      <c r="D19" s="345" t="s">
        <v>71</v>
      </c>
      <c r="E19" s="344" t="s">
        <v>72</v>
      </c>
      <c r="F19" s="346" t="s">
        <v>73</v>
      </c>
      <c r="G19" s="370" t="s">
        <v>70</v>
      </c>
      <c r="H19" s="345" t="s">
        <v>43</v>
      </c>
      <c r="I19" s="345" t="s">
        <v>71</v>
      </c>
      <c r="J19" s="344" t="s">
        <v>72</v>
      </c>
      <c r="K19" s="346" t="s">
        <v>73</v>
      </c>
      <c r="L19" s="371" t="s">
        <v>90</v>
      </c>
      <c r="M19" s="372" t="s">
        <v>91</v>
      </c>
      <c r="N19" s="373" t="s">
        <v>70</v>
      </c>
      <c r="O19" s="345" t="s">
        <v>43</v>
      </c>
      <c r="P19" s="345" t="s">
        <v>71</v>
      </c>
      <c r="Q19" s="344" t="s">
        <v>72</v>
      </c>
      <c r="R19" s="346" t="s">
        <v>73</v>
      </c>
    </row>
    <row r="20" spans="1:18" s="374" customFormat="1" ht="18" customHeight="1">
      <c r="A20" s="375">
        <v>43425</v>
      </c>
      <c r="B20" s="377">
        <v>0</v>
      </c>
      <c r="C20" s="377">
        <v>219</v>
      </c>
      <c r="D20" s="377">
        <v>158</v>
      </c>
      <c r="E20" s="377">
        <v>377</v>
      </c>
      <c r="F20" s="380">
        <v>2.5507442489851146</v>
      </c>
      <c r="G20" s="377">
        <v>1708</v>
      </c>
      <c r="H20" s="377">
        <v>1644</v>
      </c>
      <c r="I20" s="377">
        <v>605</v>
      </c>
      <c r="J20" s="377">
        <v>3957</v>
      </c>
      <c r="K20" s="380">
        <v>26.772665764546684</v>
      </c>
      <c r="L20" s="377">
        <v>4334</v>
      </c>
      <c r="M20" s="380">
        <v>29.323410013531799</v>
      </c>
      <c r="N20" s="376">
        <v>18</v>
      </c>
      <c r="O20" s="376">
        <v>19</v>
      </c>
      <c r="P20" s="376">
        <v>6</v>
      </c>
      <c r="Q20" s="376">
        <v>43</v>
      </c>
      <c r="R20" s="380">
        <v>0.29093369418132609</v>
      </c>
    </row>
    <row r="21" spans="1:18" s="374" customFormat="1" ht="18" customHeight="1">
      <c r="A21" s="375">
        <v>43425</v>
      </c>
      <c r="B21" s="377">
        <v>0</v>
      </c>
      <c r="C21" s="377">
        <v>140</v>
      </c>
      <c r="D21" s="377">
        <v>202</v>
      </c>
      <c r="E21" s="377">
        <v>342</v>
      </c>
      <c r="F21" s="380">
        <v>2.3281143635125936</v>
      </c>
      <c r="G21" s="377">
        <v>1740</v>
      </c>
      <c r="H21" s="377">
        <v>1680</v>
      </c>
      <c r="I21" s="377">
        <v>652</v>
      </c>
      <c r="J21" s="377">
        <v>4072</v>
      </c>
      <c r="K21" s="380">
        <v>27.719537100068074</v>
      </c>
      <c r="L21" s="377">
        <v>4414</v>
      </c>
      <c r="M21" s="380">
        <v>30.047651463580667</v>
      </c>
      <c r="N21" s="376">
        <v>22</v>
      </c>
      <c r="O21" s="376">
        <v>20</v>
      </c>
      <c r="P21" s="376">
        <v>7</v>
      </c>
      <c r="Q21" s="376">
        <v>49</v>
      </c>
      <c r="R21" s="380">
        <v>0.33356024506466986</v>
      </c>
    </row>
    <row r="22" spans="1:18" s="374" customFormat="1" ht="18" customHeight="1">
      <c r="A22" s="375">
        <v>43425</v>
      </c>
      <c r="B22" s="377">
        <v>0</v>
      </c>
      <c r="C22" s="377">
        <v>228</v>
      </c>
      <c r="D22" s="377">
        <v>142</v>
      </c>
      <c r="E22" s="377">
        <v>370</v>
      </c>
      <c r="F22" s="380">
        <v>2.4966261808367074</v>
      </c>
      <c r="G22" s="377">
        <v>1685</v>
      </c>
      <c r="H22" s="377">
        <v>1631</v>
      </c>
      <c r="I22" s="377">
        <v>533</v>
      </c>
      <c r="J22" s="377">
        <v>3849</v>
      </c>
      <c r="K22" s="380">
        <v>25.97165991902834</v>
      </c>
      <c r="L22" s="377">
        <v>4219</v>
      </c>
      <c r="M22" s="380">
        <v>28.46828609986505</v>
      </c>
      <c r="N22" s="376">
        <v>18</v>
      </c>
      <c r="O22" s="376">
        <v>20</v>
      </c>
      <c r="P22" s="376">
        <v>5</v>
      </c>
      <c r="Q22" s="376">
        <v>43</v>
      </c>
      <c r="R22" s="380">
        <v>0.2901484480431849</v>
      </c>
    </row>
    <row r="23" spans="1:18" s="374" customFormat="1" ht="18" customHeight="1">
      <c r="A23" s="375">
        <v>43425</v>
      </c>
      <c r="B23" s="377">
        <v>0</v>
      </c>
      <c r="C23" s="377">
        <v>180</v>
      </c>
      <c r="D23" s="377">
        <v>229</v>
      </c>
      <c r="E23" s="377">
        <v>409</v>
      </c>
      <c r="F23" s="380">
        <v>2.7303070761014685</v>
      </c>
      <c r="G23" s="377">
        <v>1734</v>
      </c>
      <c r="H23" s="377">
        <v>1790</v>
      </c>
      <c r="I23" s="377">
        <v>664</v>
      </c>
      <c r="J23" s="377">
        <v>4188</v>
      </c>
      <c r="K23" s="380">
        <v>27.957276368491321</v>
      </c>
      <c r="L23" s="377">
        <v>4597</v>
      </c>
      <c r="M23" s="380">
        <v>30.687583444592789</v>
      </c>
      <c r="N23" s="376">
        <v>25</v>
      </c>
      <c r="O23" s="376">
        <v>22</v>
      </c>
      <c r="P23" s="376">
        <v>4</v>
      </c>
      <c r="Q23" s="376">
        <v>51</v>
      </c>
      <c r="R23" s="380">
        <v>0.34045393858477968</v>
      </c>
    </row>
    <row r="24" spans="1:18" s="374" customFormat="1" ht="18" customHeight="1">
      <c r="A24" s="375">
        <v>43425</v>
      </c>
      <c r="B24" s="377">
        <v>0</v>
      </c>
      <c r="C24" s="377">
        <v>111</v>
      </c>
      <c r="D24" s="377">
        <v>238</v>
      </c>
      <c r="E24" s="377">
        <v>349</v>
      </c>
      <c r="F24" s="380">
        <v>2.3677069199457259</v>
      </c>
      <c r="G24" s="377">
        <v>1727</v>
      </c>
      <c r="H24" s="377">
        <v>1695</v>
      </c>
      <c r="I24" s="377">
        <v>630</v>
      </c>
      <c r="J24" s="377">
        <v>4052</v>
      </c>
      <c r="K24" s="380">
        <v>27.489823609226594</v>
      </c>
      <c r="L24" s="377">
        <v>4401</v>
      </c>
      <c r="M24" s="380">
        <v>29.857530529172319</v>
      </c>
      <c r="N24" s="376">
        <v>20</v>
      </c>
      <c r="O24" s="376">
        <v>21</v>
      </c>
      <c r="P24" s="376">
        <v>6</v>
      </c>
      <c r="Q24" s="376">
        <v>47</v>
      </c>
      <c r="R24" s="380">
        <v>0.31886024423337855</v>
      </c>
    </row>
    <row r="25" spans="1:18" s="374" customFormat="1" ht="18" customHeight="1">
      <c r="A25" s="375">
        <v>43425</v>
      </c>
      <c r="B25" s="377">
        <v>0</v>
      </c>
      <c r="C25" s="377">
        <v>122</v>
      </c>
      <c r="D25" s="377">
        <v>249</v>
      </c>
      <c r="E25" s="377">
        <v>371</v>
      </c>
      <c r="F25" s="380">
        <v>2.5358851674641145</v>
      </c>
      <c r="G25" s="377">
        <v>1727</v>
      </c>
      <c r="H25" s="377">
        <v>1686</v>
      </c>
      <c r="I25" s="377">
        <v>808</v>
      </c>
      <c r="J25" s="377">
        <v>4221</v>
      </c>
      <c r="K25" s="380">
        <v>28.851674641148325</v>
      </c>
      <c r="L25" s="377">
        <v>4592</v>
      </c>
      <c r="M25" s="380">
        <v>31.387559808612437</v>
      </c>
      <c r="N25" s="376">
        <v>24</v>
      </c>
      <c r="O25" s="376">
        <v>19</v>
      </c>
      <c r="P25" s="376">
        <v>6</v>
      </c>
      <c r="Q25" s="376">
        <v>49</v>
      </c>
      <c r="R25" s="380">
        <v>0.33492822966507174</v>
      </c>
    </row>
    <row r="26" spans="1:18" s="374" customFormat="1" ht="18" customHeight="1">
      <c r="A26" s="375">
        <v>43425</v>
      </c>
      <c r="B26" s="377">
        <v>0</v>
      </c>
      <c r="C26" s="377">
        <v>152</v>
      </c>
      <c r="D26" s="377">
        <v>200</v>
      </c>
      <c r="E26" s="377">
        <v>352</v>
      </c>
      <c r="F26" s="380">
        <v>2.3929299796057104</v>
      </c>
      <c r="G26" s="377">
        <v>1748</v>
      </c>
      <c r="H26" s="377">
        <v>1594</v>
      </c>
      <c r="I26" s="377">
        <v>765</v>
      </c>
      <c r="J26" s="377">
        <v>4107</v>
      </c>
      <c r="K26" s="380">
        <v>27.919782460910945</v>
      </c>
      <c r="L26" s="377">
        <v>4459</v>
      </c>
      <c r="M26" s="380">
        <v>30.312712440516655</v>
      </c>
      <c r="N26" s="376">
        <v>21</v>
      </c>
      <c r="O26" s="376">
        <v>29</v>
      </c>
      <c r="P26" s="376">
        <v>0</v>
      </c>
      <c r="Q26" s="376">
        <v>50</v>
      </c>
      <c r="R26" s="380">
        <v>0.33990482664853844</v>
      </c>
    </row>
    <row r="27" spans="1:18" s="374" customFormat="1" ht="18" customHeight="1">
      <c r="A27" s="375">
        <v>43425</v>
      </c>
      <c r="B27" s="377">
        <v>0</v>
      </c>
      <c r="C27" s="377">
        <v>203</v>
      </c>
      <c r="D27" s="377">
        <v>140</v>
      </c>
      <c r="E27" s="377">
        <v>343</v>
      </c>
      <c r="F27" s="380">
        <v>2.3622589531680442</v>
      </c>
      <c r="G27" s="377">
        <v>1671</v>
      </c>
      <c r="H27" s="377">
        <v>1618</v>
      </c>
      <c r="I27" s="377">
        <v>872</v>
      </c>
      <c r="J27" s="377">
        <v>4161</v>
      </c>
      <c r="K27" s="380">
        <v>28.65702479338843</v>
      </c>
      <c r="L27" s="377">
        <v>4504</v>
      </c>
      <c r="M27" s="380">
        <v>31.019283746556475</v>
      </c>
      <c r="N27" s="376">
        <v>23</v>
      </c>
      <c r="O27" s="376">
        <v>24</v>
      </c>
      <c r="P27" s="376">
        <v>0</v>
      </c>
      <c r="Q27" s="376">
        <v>47</v>
      </c>
      <c r="R27" s="380">
        <v>0.32369146005509647</v>
      </c>
    </row>
    <row r="28" spans="1:18" s="374" customFormat="1" ht="18" customHeight="1">
      <c r="A28" s="375">
        <v>43425</v>
      </c>
      <c r="B28" s="377">
        <v>0</v>
      </c>
      <c r="C28" s="377">
        <v>143</v>
      </c>
      <c r="D28" s="377">
        <v>195</v>
      </c>
      <c r="E28" s="377">
        <v>338</v>
      </c>
      <c r="F28" s="380">
        <v>2.2776280323450133</v>
      </c>
      <c r="G28" s="377">
        <v>1705</v>
      </c>
      <c r="H28" s="377">
        <v>1698</v>
      </c>
      <c r="I28" s="377">
        <v>648</v>
      </c>
      <c r="J28" s="377">
        <v>4051</v>
      </c>
      <c r="K28" s="380">
        <v>27.297843665768195</v>
      </c>
      <c r="L28" s="377">
        <v>4389</v>
      </c>
      <c r="M28" s="380">
        <v>29.575471698113205</v>
      </c>
      <c r="N28" s="376">
        <v>22</v>
      </c>
      <c r="O28" s="376">
        <v>29</v>
      </c>
      <c r="P28" s="376">
        <v>0</v>
      </c>
      <c r="Q28" s="376">
        <v>51</v>
      </c>
      <c r="R28" s="380">
        <v>0.34366576819407008</v>
      </c>
    </row>
    <row r="29" spans="1:18" s="374" customFormat="1" ht="18" customHeight="1">
      <c r="A29" s="375">
        <v>43425</v>
      </c>
      <c r="B29" s="377">
        <v>0</v>
      </c>
      <c r="C29" s="377">
        <v>177</v>
      </c>
      <c r="D29" s="377">
        <v>175</v>
      </c>
      <c r="E29" s="377">
        <v>352</v>
      </c>
      <c r="F29" s="380">
        <v>2.3913043478260874</v>
      </c>
      <c r="G29" s="377">
        <v>1754</v>
      </c>
      <c r="H29" s="377">
        <v>1595</v>
      </c>
      <c r="I29" s="377">
        <v>1110</v>
      </c>
      <c r="J29" s="377">
        <v>4459</v>
      </c>
      <c r="K29" s="380">
        <v>30.292119565217394</v>
      </c>
      <c r="L29" s="377">
        <v>4811</v>
      </c>
      <c r="M29" s="380">
        <v>32.683423913043484</v>
      </c>
      <c r="N29" s="376">
        <v>23</v>
      </c>
      <c r="O29" s="376">
        <v>25</v>
      </c>
      <c r="P29" s="376">
        <v>0</v>
      </c>
      <c r="Q29" s="376">
        <v>48</v>
      </c>
      <c r="R29" s="380">
        <v>0.32608695652173914</v>
      </c>
    </row>
    <row r="30" spans="1:18" s="374" customFormat="1" ht="18" customHeight="1">
      <c r="A30" s="375">
        <v>43425</v>
      </c>
      <c r="B30" s="377">
        <v>0</v>
      </c>
      <c r="C30" s="377">
        <v>111</v>
      </c>
      <c r="D30" s="377">
        <v>208</v>
      </c>
      <c r="E30" s="377">
        <v>319</v>
      </c>
      <c r="F30" s="380">
        <v>2.1671195652173916</v>
      </c>
      <c r="G30" s="377">
        <v>1719</v>
      </c>
      <c r="H30" s="377">
        <v>1632</v>
      </c>
      <c r="I30" s="377">
        <v>674</v>
      </c>
      <c r="J30" s="377">
        <v>4025</v>
      </c>
      <c r="K30" s="380">
        <v>27.343750000000004</v>
      </c>
      <c r="L30" s="377">
        <v>4344</v>
      </c>
      <c r="M30" s="380">
        <v>29.510869565217394</v>
      </c>
      <c r="N30" s="376">
        <v>22</v>
      </c>
      <c r="O30" s="376">
        <v>29</v>
      </c>
      <c r="P30" s="376">
        <v>0</v>
      </c>
      <c r="Q30" s="376">
        <v>51</v>
      </c>
      <c r="R30" s="380">
        <v>0.34646739130434784</v>
      </c>
    </row>
    <row r="31" spans="1:18" s="374" customFormat="1" ht="18" customHeight="1">
      <c r="A31" s="375">
        <v>43425</v>
      </c>
      <c r="B31" s="377">
        <v>0</v>
      </c>
      <c r="C31" s="377">
        <v>205</v>
      </c>
      <c r="D31" s="377">
        <v>141</v>
      </c>
      <c r="E31" s="377">
        <v>346</v>
      </c>
      <c r="F31" s="380">
        <v>2.3617747440273038</v>
      </c>
      <c r="G31" s="377">
        <v>1704</v>
      </c>
      <c r="H31" s="377">
        <v>1618</v>
      </c>
      <c r="I31" s="377">
        <v>710</v>
      </c>
      <c r="J31" s="377">
        <v>4032</v>
      </c>
      <c r="K31" s="380">
        <v>27.522184300341298</v>
      </c>
      <c r="L31" s="377">
        <v>4378</v>
      </c>
      <c r="M31" s="380">
        <v>29.883959044368602</v>
      </c>
      <c r="N31" s="376">
        <v>25</v>
      </c>
      <c r="O31" s="376">
        <v>25</v>
      </c>
      <c r="P31" s="376">
        <v>0</v>
      </c>
      <c r="Q31" s="376">
        <v>50</v>
      </c>
      <c r="R31" s="380">
        <v>0.34129692832764508</v>
      </c>
    </row>
  </sheetData>
  <mergeCells count="16">
    <mergeCell ref="A18:A19"/>
    <mergeCell ref="B18:F18"/>
    <mergeCell ref="G18:K18"/>
    <mergeCell ref="L18:M18"/>
    <mergeCell ref="N18:R18"/>
    <mergeCell ref="H2:I2"/>
    <mergeCell ref="J2:K2"/>
    <mergeCell ref="L2:M2"/>
    <mergeCell ref="N2:Q2"/>
    <mergeCell ref="R2:R3"/>
    <mergeCell ref="F2:G2"/>
    <mergeCell ref="A2:A3"/>
    <mergeCell ref="B2:B3"/>
    <mergeCell ref="C2:C3"/>
    <mergeCell ref="D2:D3"/>
    <mergeCell ref="E2:E3"/>
  </mergeCells>
  <phoneticPr fontId="5" type="noConversion"/>
  <pageMargins left="0.7" right="0.7" top="0.75" bottom="0.75" header="0.3" footer="0.3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8"/>
  <sheetViews>
    <sheetView topLeftCell="A10" zoomScale="130" zoomScaleNormal="130" workbookViewId="0">
      <selection activeCell="C35" sqref="C35"/>
    </sheetView>
  </sheetViews>
  <sheetFormatPr defaultRowHeight="14.4"/>
  <cols>
    <col min="13" max="13" width="5.09765625" customWidth="1"/>
    <col min="14" max="14" width="8.8984375" hidden="1" customWidth="1"/>
  </cols>
  <sheetData>
    <row r="1" spans="1:14" ht="17.399999999999999">
      <c r="A1" s="383" t="s">
        <v>392</v>
      </c>
    </row>
    <row r="2" spans="1:14" ht="15.6">
      <c r="A2" s="392" t="s">
        <v>393</v>
      </c>
      <c r="B2" s="389"/>
      <c r="C2" s="389"/>
      <c r="D2" s="389"/>
      <c r="E2" s="389"/>
      <c r="F2" s="389"/>
      <c r="G2" s="389"/>
    </row>
    <row r="3" spans="1:14">
      <c r="A3" s="388"/>
      <c r="B3" s="384"/>
      <c r="C3" s="384"/>
      <c r="D3" s="384"/>
      <c r="E3" s="384"/>
      <c r="F3" s="384"/>
      <c r="G3" s="384"/>
      <c r="H3" s="385"/>
      <c r="I3" s="385"/>
      <c r="J3" s="385"/>
      <c r="K3" s="385"/>
      <c r="L3" s="385"/>
      <c r="M3" s="385"/>
      <c r="N3" s="385"/>
    </row>
    <row r="4" spans="1:14">
      <c r="A4" s="384" t="s">
        <v>415</v>
      </c>
      <c r="B4" s="384"/>
      <c r="C4" s="384"/>
      <c r="D4" s="384"/>
      <c r="E4" s="384"/>
      <c r="F4" s="384"/>
      <c r="G4" s="384"/>
      <c r="H4" s="385"/>
      <c r="I4" s="385"/>
      <c r="J4" s="385"/>
      <c r="K4" s="385"/>
      <c r="L4" s="385"/>
      <c r="M4" s="385"/>
      <c r="N4" s="385"/>
    </row>
    <row r="5" spans="1:14">
      <c r="A5" s="384" t="s">
        <v>416</v>
      </c>
      <c r="B5" s="384"/>
      <c r="C5" s="384"/>
      <c r="D5" s="384"/>
      <c r="E5" s="384"/>
      <c r="F5" s="384"/>
      <c r="G5" s="384"/>
      <c r="H5" s="385"/>
      <c r="I5" s="385"/>
      <c r="J5" s="385"/>
      <c r="K5" s="385"/>
      <c r="L5" s="385"/>
      <c r="M5" s="385"/>
      <c r="N5" s="385"/>
    </row>
    <row r="6" spans="1:14">
      <c r="A6" s="384" t="s">
        <v>418</v>
      </c>
      <c r="B6" s="384"/>
      <c r="C6" s="384"/>
      <c r="D6" s="384"/>
      <c r="E6" s="384"/>
      <c r="F6" s="384"/>
      <c r="G6" s="384"/>
      <c r="H6" s="385"/>
      <c r="I6" s="385"/>
      <c r="J6" s="385"/>
      <c r="K6" s="385"/>
      <c r="L6" s="385"/>
      <c r="M6" s="385"/>
      <c r="N6" s="385"/>
    </row>
    <row r="7" spans="1:14">
      <c r="A7" s="384" t="s">
        <v>408</v>
      </c>
      <c r="B7" s="384"/>
      <c r="C7" s="384"/>
      <c r="D7" s="384"/>
      <c r="E7" s="384"/>
      <c r="F7" s="384"/>
      <c r="G7" s="384"/>
      <c r="H7" s="385"/>
      <c r="I7" s="385"/>
      <c r="J7" s="385"/>
      <c r="K7" s="385"/>
      <c r="L7" s="385"/>
      <c r="M7" s="385"/>
      <c r="N7" s="385"/>
    </row>
    <row r="8" spans="1:14">
      <c r="A8" s="384" t="s">
        <v>409</v>
      </c>
      <c r="B8" s="384"/>
      <c r="C8" s="384"/>
      <c r="D8" s="384"/>
      <c r="E8" s="384"/>
      <c r="F8" s="384"/>
      <c r="G8" s="384"/>
      <c r="H8" s="385"/>
      <c r="I8" s="385"/>
      <c r="J8" s="385"/>
      <c r="K8" s="385"/>
      <c r="L8" s="385"/>
      <c r="M8" s="385"/>
      <c r="N8" s="385"/>
    </row>
    <row r="9" spans="1:14">
      <c r="A9" s="388" t="s">
        <v>410</v>
      </c>
      <c r="B9" s="384"/>
      <c r="C9" s="384"/>
      <c r="D9" s="384"/>
      <c r="E9" s="384"/>
      <c r="F9" s="384"/>
      <c r="G9" s="384"/>
      <c r="H9" s="385"/>
      <c r="I9" s="385"/>
      <c r="J9" s="385"/>
      <c r="K9" s="385"/>
      <c r="L9" s="385"/>
      <c r="M9" s="385"/>
      <c r="N9" s="385"/>
    </row>
    <row r="10" spans="1:14">
      <c r="A10" s="388" t="s">
        <v>411</v>
      </c>
      <c r="B10" s="384"/>
      <c r="C10" s="384"/>
      <c r="D10" s="384"/>
      <c r="E10" s="384"/>
      <c r="F10" s="384"/>
      <c r="G10" s="384"/>
      <c r="H10" s="385"/>
      <c r="I10" s="385"/>
      <c r="J10" s="385"/>
      <c r="K10" s="385"/>
      <c r="L10" s="385"/>
      <c r="M10" s="385"/>
      <c r="N10" s="385"/>
    </row>
    <row r="11" spans="1:14">
      <c r="A11" s="388" t="s">
        <v>412</v>
      </c>
      <c r="B11" s="384"/>
      <c r="C11" s="384"/>
      <c r="D11" s="384"/>
      <c r="E11" s="384"/>
      <c r="F11" s="384"/>
      <c r="G11" s="384"/>
      <c r="H11" s="385"/>
      <c r="I11" s="385"/>
      <c r="J11" s="385"/>
      <c r="K11" s="385"/>
      <c r="L11" s="385"/>
      <c r="M11" s="385"/>
      <c r="N11" s="385"/>
    </row>
    <row r="12" spans="1:14">
      <c r="A12" s="388" t="s">
        <v>413</v>
      </c>
      <c r="B12" s="384"/>
      <c r="C12" s="384"/>
      <c r="D12" s="384"/>
      <c r="E12" s="384"/>
      <c r="F12" s="384"/>
      <c r="G12" s="384"/>
      <c r="H12" s="385"/>
      <c r="I12" s="385"/>
      <c r="J12" s="385"/>
      <c r="K12" s="385"/>
      <c r="L12" s="385"/>
      <c r="M12" s="385"/>
      <c r="N12" s="385"/>
    </row>
    <row r="13" spans="1:14">
      <c r="A13" s="388" t="s">
        <v>401</v>
      </c>
      <c r="B13" s="384"/>
      <c r="C13" s="384"/>
      <c r="D13" s="384"/>
      <c r="E13" s="384"/>
      <c r="F13" s="384"/>
      <c r="G13" s="384"/>
      <c r="H13" s="385"/>
      <c r="I13" s="385"/>
      <c r="J13" s="385"/>
      <c r="K13" s="385"/>
      <c r="L13" s="385"/>
      <c r="M13" s="385"/>
      <c r="N13" s="385"/>
    </row>
    <row r="14" spans="1:14">
      <c r="A14" s="388" t="s">
        <v>414</v>
      </c>
      <c r="B14" s="384"/>
      <c r="C14" s="384"/>
      <c r="D14" s="384"/>
      <c r="E14" s="384"/>
      <c r="F14" s="384"/>
      <c r="G14" s="384"/>
      <c r="H14" s="385"/>
      <c r="I14" s="385"/>
      <c r="J14" s="385"/>
      <c r="K14" s="385"/>
      <c r="L14" s="385"/>
      <c r="M14" s="385"/>
      <c r="N14" s="385"/>
    </row>
    <row r="15" spans="1:14">
      <c r="A15" s="388" t="s">
        <v>394</v>
      </c>
      <c r="B15" s="384"/>
      <c r="C15" s="384"/>
      <c r="D15" s="384"/>
      <c r="E15" s="384"/>
      <c r="F15" s="384"/>
      <c r="G15" s="384"/>
      <c r="H15" s="385"/>
      <c r="I15" s="385"/>
      <c r="J15" s="385"/>
      <c r="K15" s="385"/>
      <c r="L15" s="385"/>
      <c r="M15" s="385"/>
      <c r="N15" s="385"/>
    </row>
    <row r="16" spans="1:14">
      <c r="A16" s="388" t="s">
        <v>403</v>
      </c>
      <c r="B16" s="374"/>
      <c r="C16" s="374"/>
      <c r="D16" s="374"/>
      <c r="E16" s="374"/>
      <c r="F16" s="374"/>
      <c r="G16" s="374"/>
      <c r="H16" s="385"/>
      <c r="I16" s="385"/>
      <c r="J16" s="385"/>
      <c r="K16" s="385"/>
      <c r="L16" s="385"/>
      <c r="M16" s="385"/>
      <c r="N16" s="385"/>
    </row>
    <row r="17" spans="1:14">
      <c r="A17" s="388" t="s">
        <v>397</v>
      </c>
      <c r="B17" s="384"/>
      <c r="C17" s="384"/>
      <c r="D17" s="384"/>
      <c r="E17" s="384"/>
      <c r="F17" s="384"/>
      <c r="G17" s="384"/>
      <c r="H17" s="385"/>
      <c r="I17" s="385"/>
      <c r="J17" s="385"/>
      <c r="K17" s="385"/>
      <c r="L17" s="385"/>
      <c r="M17" s="385"/>
      <c r="N17" s="385"/>
    </row>
    <row r="18" spans="1:14">
      <c r="A18" s="388" t="s">
        <v>398</v>
      </c>
      <c r="B18" s="384"/>
      <c r="C18" s="384"/>
      <c r="D18" s="384"/>
      <c r="E18" s="384"/>
      <c r="F18" s="384"/>
      <c r="G18" s="384"/>
      <c r="H18" s="385"/>
      <c r="I18" s="385"/>
      <c r="J18" s="385"/>
      <c r="K18" s="385"/>
      <c r="L18" s="385"/>
      <c r="M18" s="385"/>
      <c r="N18" s="385"/>
    </row>
    <row r="19" spans="1:14">
      <c r="A19" s="388" t="s">
        <v>399</v>
      </c>
      <c r="B19" s="374"/>
      <c r="C19" s="374"/>
      <c r="D19" s="374"/>
      <c r="E19" s="374"/>
      <c r="F19" s="374"/>
      <c r="G19" s="374"/>
      <c r="H19" s="385"/>
      <c r="I19" s="385"/>
      <c r="J19" s="385"/>
      <c r="K19" s="385"/>
      <c r="L19" s="385"/>
      <c r="M19" s="385"/>
      <c r="N19" s="385"/>
    </row>
    <row r="20" spans="1:14">
      <c r="A20" s="388" t="s">
        <v>400</v>
      </c>
      <c r="B20" s="374"/>
      <c r="C20" s="374"/>
      <c r="D20" s="374"/>
      <c r="E20" s="374"/>
      <c r="F20" s="374"/>
      <c r="G20" s="374"/>
      <c r="H20" s="385"/>
      <c r="I20" s="385"/>
      <c r="J20" s="385"/>
      <c r="K20" s="385"/>
      <c r="L20" s="385"/>
      <c r="M20" s="385"/>
      <c r="N20" s="385"/>
    </row>
    <row r="21" spans="1:14">
      <c r="A21" s="388" t="s">
        <v>404</v>
      </c>
      <c r="B21" s="374"/>
      <c r="C21" s="374"/>
      <c r="D21" s="374"/>
      <c r="E21" s="374"/>
      <c r="F21" s="374"/>
      <c r="G21" s="374"/>
      <c r="H21" s="385"/>
      <c r="I21" s="385"/>
      <c r="J21" s="385"/>
      <c r="K21" s="385"/>
      <c r="L21" s="385"/>
      <c r="M21" s="385"/>
      <c r="N21" s="385"/>
    </row>
    <row r="22" spans="1:14">
      <c r="A22" s="388" t="s">
        <v>405</v>
      </c>
      <c r="B22" s="374"/>
      <c r="C22" s="374"/>
      <c r="D22" s="374"/>
      <c r="E22" s="374"/>
      <c r="F22" s="374"/>
      <c r="G22" s="374"/>
      <c r="H22" s="385"/>
      <c r="I22" s="385"/>
      <c r="J22" s="385"/>
      <c r="K22" s="385"/>
      <c r="L22" s="385"/>
      <c r="M22" s="385"/>
      <c r="N22" s="385"/>
    </row>
    <row r="23" spans="1:14">
      <c r="A23" s="388" t="s">
        <v>406</v>
      </c>
      <c r="B23" s="374"/>
      <c r="C23" s="374"/>
      <c r="D23" s="374"/>
      <c r="E23" s="374"/>
      <c r="F23" s="374"/>
      <c r="G23" s="374"/>
      <c r="H23" s="385"/>
      <c r="I23" s="385"/>
      <c r="J23" s="385"/>
      <c r="K23" s="385"/>
      <c r="L23" s="385"/>
      <c r="M23" s="385"/>
      <c r="N23" s="385"/>
    </row>
    <row r="24" spans="1:14">
      <c r="A24" s="388" t="s">
        <v>407</v>
      </c>
      <c r="B24" s="374"/>
      <c r="C24" s="374"/>
      <c r="D24" s="374"/>
      <c r="E24" s="374"/>
      <c r="F24" s="374"/>
      <c r="G24" s="374"/>
    </row>
    <row r="25" spans="1:14">
      <c r="A25" s="388"/>
      <c r="B25" s="374"/>
      <c r="C25" s="374"/>
      <c r="D25" s="374"/>
      <c r="E25" s="374"/>
      <c r="F25" s="374"/>
      <c r="G25" s="374"/>
    </row>
    <row r="26" spans="1:14">
      <c r="A26" s="388"/>
      <c r="B26" s="374"/>
      <c r="C26" s="374"/>
      <c r="D26" s="374"/>
      <c r="E26" s="374"/>
      <c r="F26" s="374"/>
      <c r="G26" s="374"/>
    </row>
    <row r="27" spans="1:14">
      <c r="A27" s="387"/>
      <c r="B27" s="384"/>
      <c r="C27" s="384"/>
      <c r="D27" s="384"/>
      <c r="E27" s="384"/>
      <c r="F27" s="384"/>
      <c r="G27" s="384"/>
    </row>
    <row r="28" spans="1:14" ht="15.6">
      <c r="A28" s="391" t="s">
        <v>380</v>
      </c>
      <c r="B28" s="390"/>
      <c r="C28" s="390"/>
      <c r="D28" s="390"/>
      <c r="E28" s="390"/>
      <c r="F28" s="390"/>
      <c r="G28" s="390"/>
    </row>
    <row r="29" spans="1:14">
      <c r="A29" s="387"/>
      <c r="B29" s="384"/>
      <c r="C29" s="384"/>
      <c r="D29" s="384"/>
      <c r="E29" s="384"/>
      <c r="F29" s="384"/>
      <c r="G29" s="384"/>
    </row>
    <row r="30" spans="1:14">
      <c r="A30" s="388" t="s">
        <v>402</v>
      </c>
      <c r="B30" s="384"/>
      <c r="C30" s="384"/>
      <c r="D30" s="384"/>
      <c r="E30" s="384"/>
      <c r="F30" s="384"/>
      <c r="G30" s="384"/>
    </row>
    <row r="31" spans="1:14">
      <c r="A31" s="388" t="s">
        <v>381</v>
      </c>
      <c r="B31" s="384"/>
      <c r="C31" s="384"/>
      <c r="D31" s="384"/>
      <c r="E31" s="384"/>
      <c r="F31" s="384"/>
      <c r="G31" s="384"/>
    </row>
    <row r="32" spans="1:14">
      <c r="A32" s="388" t="s">
        <v>382</v>
      </c>
      <c r="B32" s="384"/>
      <c r="C32" s="384"/>
      <c r="D32" s="384"/>
      <c r="E32" s="384"/>
      <c r="F32" s="384"/>
      <c r="G32" s="384"/>
    </row>
    <row r="33" spans="1:7">
      <c r="A33" s="388" t="s">
        <v>383</v>
      </c>
      <c r="B33" s="384"/>
      <c r="C33" s="384"/>
      <c r="D33" s="384"/>
      <c r="E33" s="384"/>
      <c r="F33" s="384"/>
      <c r="G33" s="384"/>
    </row>
    <row r="34" spans="1:7">
      <c r="A34" s="388" t="s">
        <v>384</v>
      </c>
      <c r="B34" s="384"/>
      <c r="C34" s="384"/>
      <c r="D34" s="384"/>
      <c r="E34" s="384"/>
      <c r="F34" s="384"/>
      <c r="G34" s="384"/>
    </row>
    <row r="35" spans="1:7">
      <c r="A35" s="388" t="s">
        <v>385</v>
      </c>
      <c r="B35" s="384"/>
      <c r="C35" s="384"/>
      <c r="D35" s="384"/>
      <c r="E35" s="384"/>
      <c r="F35" s="384"/>
      <c r="G35" s="384"/>
    </row>
    <row r="36" spans="1:7">
      <c r="A36" s="388" t="s">
        <v>386</v>
      </c>
      <c r="B36" s="384"/>
      <c r="C36" s="384"/>
      <c r="D36" s="384"/>
      <c r="E36" s="384"/>
      <c r="F36" s="384"/>
      <c r="G36" s="384"/>
    </row>
    <row r="37" spans="1:7">
      <c r="A37" s="388" t="s">
        <v>387</v>
      </c>
      <c r="B37" s="384"/>
      <c r="C37" s="384"/>
      <c r="D37" s="384"/>
      <c r="E37" s="384"/>
      <c r="F37" s="384"/>
      <c r="G37" s="384"/>
    </row>
    <row r="38" spans="1:7">
      <c r="A38" s="388" t="s">
        <v>388</v>
      </c>
      <c r="B38" s="384"/>
      <c r="C38" s="384"/>
      <c r="D38" s="384"/>
      <c r="E38" s="384"/>
      <c r="F38" s="384"/>
      <c r="G38" s="384"/>
    </row>
    <row r="39" spans="1:7" ht="10.5" customHeight="1">
      <c r="A39" s="388" t="s">
        <v>389</v>
      </c>
      <c r="B39" s="384"/>
      <c r="C39" s="384"/>
      <c r="D39" s="384"/>
      <c r="E39" s="384"/>
      <c r="F39" s="384"/>
      <c r="G39" s="384"/>
    </row>
    <row r="40" spans="1:7" hidden="1">
      <c r="A40" s="388" t="s">
        <v>390</v>
      </c>
      <c r="B40" s="384"/>
      <c r="C40" s="384"/>
      <c r="D40" s="384"/>
      <c r="E40" s="384"/>
      <c r="F40" s="384"/>
      <c r="G40" s="384"/>
    </row>
    <row r="41" spans="1:7">
      <c r="A41" s="388" t="s">
        <v>417</v>
      </c>
      <c r="B41" s="384"/>
      <c r="C41" s="384"/>
      <c r="D41" s="384"/>
      <c r="E41" s="384"/>
      <c r="F41" s="384"/>
      <c r="G41" s="384"/>
    </row>
    <row r="42" spans="1:7">
      <c r="A42" s="388" t="s">
        <v>391</v>
      </c>
      <c r="B42" s="384"/>
      <c r="C42" s="384"/>
      <c r="E42" s="384"/>
      <c r="F42" s="384"/>
      <c r="G42" s="384"/>
    </row>
    <row r="43" spans="1:7">
      <c r="A43" s="388"/>
      <c r="B43" s="384"/>
      <c r="C43" s="384"/>
      <c r="D43" s="384"/>
      <c r="E43" s="384"/>
      <c r="F43" s="384"/>
      <c r="G43" s="384"/>
    </row>
    <row r="44" spans="1:7">
      <c r="A44" s="388"/>
      <c r="B44" s="374"/>
      <c r="C44" s="374"/>
      <c r="D44" s="374"/>
      <c r="E44" s="374"/>
      <c r="F44" s="374"/>
      <c r="G44" s="374"/>
    </row>
    <row r="45" spans="1:7">
      <c r="A45" s="388"/>
      <c r="B45" s="374"/>
      <c r="C45" s="374"/>
      <c r="D45" s="374"/>
      <c r="E45" s="374"/>
      <c r="F45" s="374"/>
      <c r="G45" s="374"/>
    </row>
    <row r="46" spans="1:7">
      <c r="A46" s="388"/>
      <c r="B46" s="374"/>
      <c r="C46" s="374"/>
      <c r="D46" s="374"/>
      <c r="E46" s="374"/>
      <c r="F46" s="374"/>
      <c r="G46" s="374"/>
    </row>
    <row r="47" spans="1:7">
      <c r="A47" s="374"/>
      <c r="B47" s="374"/>
      <c r="C47" s="374"/>
      <c r="D47" s="374"/>
      <c r="E47" s="374"/>
      <c r="F47" s="374"/>
      <c r="G47" s="374"/>
    </row>
    <row r="48" spans="1:7">
      <c r="A48" s="374"/>
      <c r="B48" s="374"/>
      <c r="C48" s="374"/>
      <c r="D48" s="374"/>
      <c r="E48" s="374"/>
      <c r="F48" s="374"/>
      <c r="G48" s="37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R1003"/>
  <sheetViews>
    <sheetView zoomScale="105" zoomScaleNormal="105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E7" sqref="E7"/>
    </sheetView>
  </sheetViews>
  <sheetFormatPr defaultRowHeight="14.4"/>
  <cols>
    <col min="1" max="1" width="8.59765625" customWidth="1"/>
    <col min="2" max="2" width="3" customWidth="1"/>
    <col min="3" max="3" width="3.8984375" customWidth="1"/>
    <col min="4" max="4" width="5.796875" customWidth="1"/>
    <col min="5" max="5" width="100.59765625" bestFit="1" customWidth="1"/>
    <col min="6" max="6" width="6.796875" customWidth="1"/>
    <col min="7" max="7" width="11.296875" customWidth="1"/>
    <col min="8" max="8" width="1.69921875" customWidth="1"/>
    <col min="9" max="9" width="6.296875" customWidth="1"/>
    <col min="10" max="10" width="6.69921875" customWidth="1"/>
    <col min="13" max="14" width="4.59765625" customWidth="1"/>
    <col min="15" max="18" width="6.296875" customWidth="1"/>
  </cols>
  <sheetData>
    <row r="1" spans="1:18" ht="27" customHeight="1">
      <c r="A1" s="1319" t="s">
        <v>428</v>
      </c>
      <c r="B1" s="1319"/>
      <c r="C1" s="1319"/>
      <c r="D1" s="1319"/>
      <c r="E1" s="1319"/>
      <c r="F1" s="173"/>
      <c r="G1" s="173"/>
    </row>
    <row r="2" spans="1:18" ht="21.75" customHeight="1" thickBot="1">
      <c r="A2" s="174" t="s">
        <v>103</v>
      </c>
      <c r="B2" s="175" t="s">
        <v>104</v>
      </c>
      <c r="C2" s="176" t="s">
        <v>105</v>
      </c>
      <c r="D2" s="176" t="s">
        <v>106</v>
      </c>
      <c r="E2" s="177" t="s">
        <v>107</v>
      </c>
      <c r="F2" s="178" t="s">
        <v>108</v>
      </c>
      <c r="G2" s="178" t="s">
        <v>109</v>
      </c>
    </row>
    <row r="3" spans="1:18" ht="25.5" customHeight="1" thickTop="1">
      <c r="A3" s="245">
        <v>43657</v>
      </c>
      <c r="B3" s="179" t="s">
        <v>363</v>
      </c>
      <c r="C3" s="180" t="s">
        <v>364</v>
      </c>
      <c r="D3" s="181"/>
      <c r="E3" s="350" t="s">
        <v>365</v>
      </c>
      <c r="F3" s="183"/>
      <c r="G3" s="183" t="s">
        <v>366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</row>
    <row r="4" spans="1:18" ht="84" customHeight="1">
      <c r="A4" s="245"/>
      <c r="B4" s="179"/>
      <c r="C4" s="180"/>
      <c r="D4" s="181"/>
      <c r="E4" s="349" t="s">
        <v>369</v>
      </c>
      <c r="F4" s="183"/>
      <c r="G4" s="183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spans="1:18" ht="60.75" customHeight="1">
      <c r="A5" s="245"/>
      <c r="B5" s="179"/>
      <c r="C5" s="180"/>
      <c r="D5" s="181"/>
      <c r="E5" s="382" t="s">
        <v>372</v>
      </c>
      <c r="F5" s="183"/>
      <c r="G5" s="183"/>
      <c r="I5" s="186"/>
      <c r="J5" s="186"/>
      <c r="K5" s="186"/>
      <c r="L5" s="186"/>
      <c r="M5" s="186"/>
      <c r="N5" s="186"/>
      <c r="O5" s="186"/>
      <c r="P5" s="186"/>
      <c r="Q5" s="186"/>
      <c r="R5" s="186"/>
    </row>
    <row r="6" spans="1:18" ht="140.25" customHeight="1">
      <c r="A6" s="245"/>
      <c r="B6" s="179"/>
      <c r="C6" s="180"/>
      <c r="D6" s="181"/>
      <c r="E6" s="350" t="s">
        <v>373</v>
      </c>
      <c r="F6" s="183"/>
      <c r="G6" s="183"/>
      <c r="I6" s="186"/>
      <c r="J6" s="186"/>
      <c r="K6" s="186"/>
      <c r="L6" s="186"/>
      <c r="M6" s="186"/>
      <c r="N6" s="186"/>
      <c r="O6" s="186"/>
      <c r="P6" s="186"/>
      <c r="Q6" s="186"/>
      <c r="R6" s="186"/>
    </row>
    <row r="7" spans="1:18" ht="136.5" customHeight="1">
      <c r="A7" s="245"/>
      <c r="B7" s="179"/>
      <c r="C7" s="180"/>
      <c r="D7" s="181"/>
      <c r="E7" s="382" t="s">
        <v>374</v>
      </c>
      <c r="F7" s="183"/>
      <c r="G7" s="183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18" ht="49.5" customHeight="1">
      <c r="A8" s="245"/>
      <c r="B8" s="179"/>
      <c r="C8" s="180"/>
      <c r="D8" s="181"/>
      <c r="E8" s="382" t="s">
        <v>375</v>
      </c>
      <c r="F8" s="183"/>
      <c r="G8" s="183"/>
      <c r="I8" s="186"/>
      <c r="J8" s="186"/>
      <c r="K8" s="186"/>
      <c r="L8" s="186"/>
      <c r="M8" s="186"/>
      <c r="N8" s="186"/>
      <c r="O8" s="186"/>
      <c r="P8" s="186"/>
      <c r="Q8" s="186"/>
      <c r="R8" s="186"/>
    </row>
    <row r="9" spans="1:18" ht="18" customHeight="1">
      <c r="A9" s="245"/>
      <c r="B9" s="179"/>
      <c r="C9" s="180"/>
      <c r="D9" s="181"/>
      <c r="E9" s="350" t="s">
        <v>376</v>
      </c>
      <c r="F9" s="183"/>
      <c r="G9" s="183"/>
      <c r="I9" s="186"/>
      <c r="J9" s="186"/>
      <c r="K9" s="186"/>
      <c r="L9" s="186"/>
      <c r="M9" s="186"/>
      <c r="N9" s="186"/>
      <c r="O9" s="186"/>
      <c r="P9" s="186"/>
      <c r="Q9" s="186"/>
      <c r="R9" s="186"/>
    </row>
    <row r="10" spans="1:18" ht="18" customHeight="1">
      <c r="A10" s="245"/>
      <c r="B10" s="179"/>
      <c r="C10" s="180"/>
      <c r="D10" s="181"/>
      <c r="E10" s="184"/>
      <c r="F10" s="183"/>
      <c r="G10" s="183"/>
      <c r="I10" s="186"/>
      <c r="J10" s="186"/>
      <c r="K10" s="186"/>
      <c r="L10" s="186"/>
      <c r="M10" s="186"/>
      <c r="N10" s="186"/>
      <c r="O10" s="186"/>
      <c r="P10" s="186"/>
      <c r="Q10" s="186"/>
      <c r="R10" s="186"/>
    </row>
    <row r="11" spans="1:18" ht="18" customHeight="1">
      <c r="A11" s="245"/>
      <c r="B11" s="179"/>
      <c r="C11" s="180"/>
      <c r="D11" s="181"/>
      <c r="E11" s="350" t="s">
        <v>377</v>
      </c>
      <c r="F11" s="183"/>
      <c r="G11" s="183"/>
      <c r="I11" s="186"/>
      <c r="J11" s="186"/>
      <c r="K11" s="186"/>
      <c r="L11" s="186"/>
      <c r="M11" s="186"/>
      <c r="N11" s="186"/>
      <c r="O11" s="186"/>
      <c r="P11" s="186"/>
      <c r="Q11" s="186"/>
      <c r="R11" s="186"/>
    </row>
    <row r="12" spans="1:18" ht="213.75" customHeight="1">
      <c r="A12" s="245"/>
      <c r="B12" s="179"/>
      <c r="C12" s="180"/>
      <c r="D12" s="181"/>
      <c r="E12" s="349" t="s">
        <v>378</v>
      </c>
      <c r="F12" s="183"/>
      <c r="G12" s="246"/>
      <c r="I12" s="186"/>
      <c r="J12" s="186"/>
      <c r="K12" s="186"/>
      <c r="L12" s="186"/>
      <c r="M12" s="186"/>
      <c r="N12" s="186"/>
      <c r="O12" s="186"/>
      <c r="P12" s="186"/>
      <c r="Q12" s="186"/>
      <c r="R12" s="186"/>
    </row>
    <row r="13" spans="1:18" ht="18" customHeight="1">
      <c r="A13" s="245"/>
      <c r="B13" s="179"/>
      <c r="C13" s="180"/>
      <c r="D13" s="181"/>
      <c r="E13" s="184"/>
      <c r="F13" s="183"/>
      <c r="G13" s="183"/>
      <c r="I13" s="186"/>
      <c r="J13" s="186"/>
      <c r="K13" s="186"/>
      <c r="L13" s="186"/>
      <c r="M13" s="186"/>
      <c r="N13" s="186"/>
      <c r="O13" s="186"/>
      <c r="P13" s="186"/>
      <c r="Q13" s="186"/>
      <c r="R13" s="186"/>
    </row>
    <row r="14" spans="1:18" ht="199.5" customHeight="1">
      <c r="A14" s="245"/>
      <c r="B14" s="179"/>
      <c r="C14" s="180"/>
      <c r="D14" s="181"/>
      <c r="E14" s="350" t="s">
        <v>379</v>
      </c>
      <c r="F14" s="183"/>
      <c r="G14" s="183"/>
      <c r="I14" s="186"/>
      <c r="J14" s="186"/>
      <c r="K14" s="186"/>
      <c r="L14" s="186"/>
      <c r="M14" s="186"/>
      <c r="N14" s="186"/>
      <c r="O14" s="186"/>
      <c r="P14" s="186"/>
      <c r="Q14" s="186"/>
      <c r="R14" s="186"/>
    </row>
    <row r="15" spans="1:18" ht="18" customHeight="1">
      <c r="A15" s="245"/>
      <c r="B15" s="179"/>
      <c r="C15" s="180"/>
      <c r="D15" s="181"/>
      <c r="E15" s="182"/>
      <c r="F15" s="183"/>
      <c r="G15" s="183"/>
      <c r="I15" s="186"/>
      <c r="J15" s="186"/>
      <c r="K15" s="186"/>
      <c r="L15" s="186"/>
      <c r="M15" s="186"/>
      <c r="N15" s="186"/>
      <c r="O15" s="186"/>
      <c r="P15" s="186"/>
      <c r="Q15" s="186"/>
      <c r="R15" s="186"/>
    </row>
    <row r="16" spans="1:18" ht="174.75" customHeight="1">
      <c r="A16" s="245"/>
      <c r="B16" s="179"/>
      <c r="C16" s="180"/>
      <c r="D16" s="181"/>
      <c r="E16" s="350"/>
      <c r="F16" s="183"/>
      <c r="G16" s="183"/>
      <c r="I16" s="186"/>
      <c r="J16" s="186"/>
      <c r="K16" s="186"/>
      <c r="L16" s="186"/>
      <c r="M16" s="186"/>
      <c r="N16" s="186"/>
      <c r="O16" s="186"/>
      <c r="P16" s="186"/>
      <c r="Q16" s="186"/>
      <c r="R16" s="186"/>
    </row>
    <row r="17" spans="1:18" ht="106.5" customHeight="1">
      <c r="A17" s="245" t="s">
        <v>395</v>
      </c>
      <c r="B17" s="179"/>
      <c r="C17" s="180"/>
      <c r="D17" s="181"/>
      <c r="E17" s="386" t="s">
        <v>396</v>
      </c>
      <c r="F17" s="183"/>
      <c r="G17" s="183"/>
      <c r="I17" s="186"/>
      <c r="J17" s="186"/>
      <c r="K17" s="186"/>
      <c r="L17" s="186"/>
      <c r="M17" s="186"/>
      <c r="N17" s="186"/>
      <c r="O17" s="186"/>
      <c r="P17" s="186"/>
      <c r="Q17" s="186"/>
      <c r="R17" s="186"/>
    </row>
    <row r="18" spans="1:18" ht="16.5" customHeight="1">
      <c r="A18" s="245"/>
      <c r="B18" s="179"/>
      <c r="C18" s="180"/>
      <c r="D18" s="181"/>
      <c r="E18" s="182"/>
      <c r="F18" s="183"/>
      <c r="G18" s="183"/>
      <c r="I18" s="186"/>
      <c r="J18" s="186"/>
      <c r="K18" s="186"/>
      <c r="L18" s="186"/>
      <c r="M18" s="186"/>
      <c r="N18" s="186"/>
      <c r="O18" s="186"/>
      <c r="P18" s="186"/>
      <c r="Q18" s="186"/>
      <c r="R18" s="186"/>
    </row>
    <row r="19" spans="1:18" ht="197.25" customHeight="1">
      <c r="A19" s="245">
        <v>43849</v>
      </c>
      <c r="B19" s="179" t="s">
        <v>421</v>
      </c>
      <c r="C19" s="180"/>
      <c r="D19" s="181"/>
      <c r="E19" s="350" t="s">
        <v>422</v>
      </c>
      <c r="F19" s="183"/>
      <c r="G19" s="183"/>
      <c r="I19" s="186"/>
      <c r="J19" s="186"/>
      <c r="K19" s="186"/>
      <c r="L19" s="186"/>
      <c r="M19" s="186"/>
      <c r="N19" s="186"/>
      <c r="O19" s="186"/>
      <c r="P19" s="186"/>
      <c r="Q19" s="186"/>
      <c r="R19" s="186"/>
    </row>
    <row r="20" spans="1:18" ht="199.5" customHeight="1">
      <c r="A20" s="245"/>
      <c r="B20" s="179"/>
      <c r="C20" s="180"/>
      <c r="D20" s="181"/>
      <c r="E20" s="350"/>
      <c r="F20" s="183"/>
      <c r="G20" s="183"/>
      <c r="I20" s="186"/>
      <c r="J20" s="186"/>
      <c r="K20" s="186"/>
      <c r="L20" s="186"/>
      <c r="M20" s="186"/>
      <c r="N20" s="186"/>
      <c r="O20" s="186"/>
      <c r="P20" s="186"/>
      <c r="Q20" s="186"/>
      <c r="R20" s="186"/>
    </row>
    <row r="21" spans="1:18">
      <c r="A21" s="245"/>
      <c r="B21" s="179"/>
      <c r="C21" s="180"/>
      <c r="D21" s="181"/>
      <c r="E21" s="350"/>
      <c r="F21" s="183"/>
      <c r="G21" s="183"/>
      <c r="I21" s="186"/>
      <c r="J21" s="186"/>
      <c r="K21" s="186"/>
      <c r="L21" s="186"/>
      <c r="M21" s="186"/>
      <c r="N21" s="186"/>
      <c r="O21" s="186"/>
      <c r="P21" s="186"/>
      <c r="Q21" s="186"/>
      <c r="R21" s="186"/>
    </row>
    <row r="22" spans="1:18">
      <c r="A22" s="245"/>
      <c r="B22" s="179"/>
      <c r="C22" s="180"/>
      <c r="D22" s="181"/>
      <c r="E22" s="350"/>
      <c r="F22" s="183"/>
      <c r="G22" s="183"/>
      <c r="I22" s="186"/>
      <c r="J22" s="186"/>
      <c r="K22" s="186"/>
      <c r="L22" s="186"/>
      <c r="M22" s="186"/>
      <c r="N22" s="186"/>
      <c r="O22" s="186"/>
      <c r="P22" s="186"/>
      <c r="Q22" s="186"/>
      <c r="R22" s="186"/>
    </row>
    <row r="23" spans="1:18" ht="116.25" customHeight="1">
      <c r="A23" s="245"/>
      <c r="B23" s="179"/>
      <c r="C23" s="180"/>
      <c r="D23" s="181"/>
      <c r="E23" s="350"/>
      <c r="F23" s="183"/>
      <c r="G23" s="183"/>
      <c r="I23" s="186"/>
      <c r="J23" s="186"/>
      <c r="K23" s="186"/>
      <c r="L23" s="186"/>
      <c r="M23" s="186"/>
      <c r="N23" s="186"/>
      <c r="O23" s="186"/>
      <c r="P23" s="186"/>
      <c r="Q23" s="186"/>
      <c r="R23" s="186"/>
    </row>
    <row r="24" spans="1:18" ht="135" customHeight="1">
      <c r="A24" s="245"/>
      <c r="B24" s="179"/>
      <c r="C24" s="180"/>
      <c r="D24" s="181"/>
      <c r="E24" s="350"/>
      <c r="F24" s="183"/>
      <c r="G24" s="183"/>
      <c r="I24" s="186"/>
      <c r="J24" s="186"/>
      <c r="K24" s="186"/>
      <c r="L24" s="186"/>
      <c r="M24" s="186"/>
      <c r="N24" s="186"/>
      <c r="O24" s="186"/>
      <c r="P24" s="186"/>
      <c r="Q24" s="186"/>
      <c r="R24" s="186"/>
    </row>
    <row r="25" spans="1:18" ht="57.75" customHeight="1">
      <c r="A25" s="245"/>
      <c r="B25" s="179"/>
      <c r="C25" s="180"/>
      <c r="D25" s="181"/>
      <c r="E25" s="350"/>
      <c r="F25" s="183"/>
      <c r="G25" s="183"/>
      <c r="I25" s="185"/>
      <c r="J25" s="185"/>
      <c r="K25" s="185"/>
      <c r="L25" s="185"/>
      <c r="M25" s="186"/>
      <c r="N25" s="186"/>
      <c r="O25" s="186"/>
      <c r="P25" s="186"/>
      <c r="Q25" s="186"/>
      <c r="R25" s="186"/>
    </row>
    <row r="26" spans="1:18" ht="187.5" customHeight="1">
      <c r="A26" s="245"/>
      <c r="B26" s="179"/>
      <c r="C26" s="180"/>
      <c r="D26" s="181"/>
      <c r="E26" s="381"/>
      <c r="F26" s="183"/>
      <c r="G26" s="183"/>
      <c r="I26" s="185"/>
      <c r="J26" s="185"/>
      <c r="K26" s="187"/>
      <c r="L26" s="187"/>
      <c r="M26" s="186"/>
      <c r="N26" s="186"/>
      <c r="O26" s="186"/>
      <c r="P26" s="186"/>
      <c r="Q26" s="186"/>
      <c r="R26" s="186"/>
    </row>
    <row r="27" spans="1:18" ht="18" customHeight="1">
      <c r="A27" s="245"/>
      <c r="B27" s="179"/>
      <c r="C27" s="180"/>
      <c r="D27" s="181"/>
      <c r="E27" s="182"/>
      <c r="F27" s="183"/>
      <c r="G27" s="424"/>
      <c r="H27" s="425"/>
      <c r="I27" s="185"/>
      <c r="J27" s="185"/>
      <c r="K27" s="187"/>
      <c r="L27" s="187"/>
      <c r="M27" s="186"/>
      <c r="N27" s="186"/>
      <c r="O27" s="186"/>
      <c r="P27" s="186"/>
      <c r="Q27" s="186"/>
      <c r="R27" s="186"/>
    </row>
    <row r="28" spans="1:18" ht="18" customHeight="1">
      <c r="A28" s="245"/>
      <c r="B28" s="179"/>
      <c r="C28" s="180"/>
      <c r="D28" s="181"/>
      <c r="E28" s="182"/>
      <c r="F28" s="183"/>
      <c r="G28" s="424"/>
      <c r="H28" s="426"/>
      <c r="I28" s="426"/>
      <c r="J28" s="426"/>
      <c r="K28" s="187"/>
      <c r="L28" s="187"/>
      <c r="M28" s="186"/>
      <c r="N28" s="186"/>
      <c r="O28" s="186"/>
      <c r="P28" s="186"/>
      <c r="Q28" s="186"/>
      <c r="R28" s="186"/>
    </row>
    <row r="29" spans="1:18" ht="18" customHeight="1">
      <c r="A29" s="179"/>
      <c r="B29" s="179"/>
      <c r="C29" s="180"/>
      <c r="D29" s="181"/>
      <c r="E29" s="182"/>
      <c r="F29" s="183"/>
      <c r="G29" s="424"/>
      <c r="H29" s="426"/>
      <c r="I29" s="426"/>
      <c r="J29" s="426"/>
      <c r="K29" s="187"/>
      <c r="L29" s="187"/>
      <c r="M29" s="186"/>
      <c r="N29" s="186"/>
      <c r="O29" s="186"/>
      <c r="P29" s="186"/>
      <c r="Q29" s="186"/>
      <c r="R29" s="186"/>
    </row>
    <row r="30" spans="1:18" ht="18" customHeight="1">
      <c r="A30" s="179"/>
      <c r="B30" s="179"/>
      <c r="C30" s="180"/>
      <c r="D30" s="181"/>
      <c r="E30" s="182"/>
      <c r="F30" s="183"/>
      <c r="G30" s="424"/>
      <c r="H30" s="426"/>
      <c r="I30" s="426"/>
      <c r="J30" s="426"/>
      <c r="K30" s="187"/>
      <c r="L30" s="187"/>
      <c r="M30" s="186"/>
      <c r="N30" s="186"/>
      <c r="O30" s="186"/>
      <c r="P30" s="186"/>
      <c r="Q30" s="186"/>
      <c r="R30" s="186"/>
    </row>
    <row r="31" spans="1:18" ht="18" customHeight="1">
      <c r="A31" s="179"/>
      <c r="B31" s="179"/>
      <c r="C31" s="180"/>
      <c r="D31" s="181"/>
      <c r="E31" s="182"/>
      <c r="F31" s="183"/>
      <c r="G31" s="424"/>
      <c r="H31" s="426"/>
      <c r="I31" s="426"/>
      <c r="J31" s="426"/>
      <c r="K31" s="187"/>
      <c r="L31" s="187"/>
      <c r="M31" s="186"/>
      <c r="N31" s="186"/>
      <c r="O31" s="186"/>
      <c r="P31" s="186"/>
      <c r="Q31" s="186"/>
      <c r="R31" s="186"/>
    </row>
    <row r="32" spans="1:18" ht="18" customHeight="1">
      <c r="A32" s="179"/>
      <c r="B32" s="179"/>
      <c r="C32" s="180"/>
      <c r="D32" s="181"/>
      <c r="E32" s="182"/>
      <c r="F32" s="183"/>
      <c r="G32" s="424"/>
      <c r="H32" s="426"/>
      <c r="I32" s="426"/>
      <c r="J32" s="426"/>
      <c r="K32" s="187"/>
      <c r="L32" s="187"/>
      <c r="M32" s="186"/>
      <c r="N32" s="186"/>
      <c r="O32" s="186"/>
      <c r="P32" s="186"/>
      <c r="Q32" s="186"/>
      <c r="R32" s="186"/>
    </row>
    <row r="33" spans="1:18" ht="18" customHeight="1">
      <c r="A33" s="179"/>
      <c r="B33" s="179"/>
      <c r="C33" s="180"/>
      <c r="D33" s="181"/>
      <c r="E33" s="182"/>
      <c r="F33" s="183"/>
      <c r="G33" s="424"/>
      <c r="H33" s="426"/>
      <c r="I33" s="426"/>
      <c r="J33" s="426"/>
      <c r="K33" s="187"/>
      <c r="L33" s="187"/>
      <c r="M33" s="186"/>
      <c r="N33" s="186"/>
      <c r="O33" s="186"/>
      <c r="P33" s="186"/>
      <c r="Q33" s="186"/>
      <c r="R33" s="186"/>
    </row>
    <row r="34" spans="1:18" ht="18" customHeight="1">
      <c r="A34" s="179"/>
      <c r="B34" s="179"/>
      <c r="C34" s="180"/>
      <c r="D34" s="181"/>
      <c r="E34" s="182"/>
      <c r="F34" s="183"/>
      <c r="G34" s="424"/>
      <c r="H34" s="426"/>
      <c r="I34" s="426"/>
      <c r="J34" s="426"/>
      <c r="K34" s="187"/>
      <c r="L34" s="187"/>
      <c r="M34" s="186"/>
      <c r="N34" s="186"/>
      <c r="O34" s="186"/>
      <c r="P34" s="186"/>
      <c r="Q34" s="186"/>
      <c r="R34" s="186"/>
    </row>
    <row r="35" spans="1:18" ht="18" customHeight="1">
      <c r="A35" s="179"/>
      <c r="B35" s="179"/>
      <c r="C35" s="180"/>
      <c r="D35" s="181"/>
      <c r="E35" s="182"/>
      <c r="F35" s="183"/>
      <c r="G35" s="424"/>
      <c r="H35" s="425"/>
      <c r="I35" s="189"/>
      <c r="J35" s="189"/>
      <c r="K35" s="187"/>
      <c r="L35" s="187"/>
      <c r="M35" s="186"/>
      <c r="N35" s="186"/>
      <c r="O35" s="186"/>
      <c r="P35" s="186"/>
      <c r="Q35" s="186"/>
      <c r="R35" s="186"/>
    </row>
    <row r="36" spans="1:18" ht="18" customHeight="1">
      <c r="A36" s="179"/>
      <c r="B36" s="179"/>
      <c r="C36" s="180"/>
      <c r="D36" s="181"/>
      <c r="E36" s="182"/>
      <c r="F36" s="183"/>
      <c r="G36" s="424"/>
      <c r="H36" s="425"/>
      <c r="I36" s="185"/>
      <c r="J36" s="185"/>
      <c r="K36" s="187"/>
      <c r="L36" s="187"/>
      <c r="M36" s="186"/>
      <c r="N36" s="186"/>
      <c r="O36" s="186"/>
      <c r="P36" s="186"/>
      <c r="Q36" s="186"/>
      <c r="R36" s="186"/>
    </row>
    <row r="37" spans="1:18" ht="18" customHeight="1">
      <c r="A37" s="179"/>
      <c r="B37" s="179"/>
      <c r="C37" s="180"/>
      <c r="D37" s="181"/>
      <c r="E37" s="184"/>
      <c r="F37" s="183"/>
      <c r="G37" s="183"/>
      <c r="I37" s="185"/>
      <c r="J37" s="185"/>
      <c r="K37" s="187"/>
      <c r="L37" s="187"/>
      <c r="M37" s="186"/>
      <c r="N37" s="186"/>
      <c r="O37" s="186"/>
      <c r="P37" s="186"/>
      <c r="Q37" s="186"/>
      <c r="R37" s="186"/>
    </row>
    <row r="38" spans="1:18" ht="18" customHeight="1">
      <c r="A38" s="179"/>
      <c r="B38" s="179"/>
      <c r="C38" s="180"/>
      <c r="D38" s="181"/>
      <c r="E38" s="182"/>
      <c r="F38" s="183"/>
      <c r="G38" s="183"/>
      <c r="I38" s="185"/>
      <c r="J38" s="185"/>
      <c r="K38" s="187"/>
      <c r="L38" s="187"/>
      <c r="M38" s="186"/>
      <c r="N38" s="186"/>
      <c r="O38" s="186"/>
      <c r="P38" s="186"/>
      <c r="Q38" s="186"/>
      <c r="R38" s="186"/>
    </row>
    <row r="39" spans="1:18" ht="18" customHeight="1">
      <c r="A39" s="179"/>
      <c r="B39" s="179"/>
      <c r="C39" s="180"/>
      <c r="D39" s="181"/>
      <c r="E39" s="182"/>
      <c r="F39" s="183"/>
      <c r="I39" s="185"/>
      <c r="J39" s="185"/>
      <c r="K39" s="187"/>
      <c r="L39" s="187"/>
      <c r="M39" s="186"/>
      <c r="N39" s="186"/>
      <c r="O39" s="186"/>
      <c r="P39" s="186"/>
      <c r="Q39" s="186"/>
      <c r="R39" s="186"/>
    </row>
    <row r="40" spans="1:18" ht="18" customHeight="1">
      <c r="A40" s="179"/>
      <c r="B40" s="179"/>
      <c r="C40" s="180"/>
      <c r="D40" s="181"/>
      <c r="E40" s="184"/>
      <c r="F40" s="183"/>
      <c r="G40" s="183"/>
      <c r="I40" s="185"/>
      <c r="J40" s="185"/>
      <c r="K40" s="187"/>
      <c r="L40" s="187"/>
      <c r="M40" s="186"/>
      <c r="N40" s="186"/>
      <c r="O40" s="186"/>
      <c r="P40" s="186"/>
      <c r="Q40" s="186"/>
      <c r="R40" s="186"/>
    </row>
    <row r="41" spans="1:18" ht="18" customHeight="1">
      <c r="A41" s="179"/>
      <c r="B41" s="179"/>
      <c r="C41" s="180"/>
      <c r="D41" s="181"/>
      <c r="E41" s="182"/>
      <c r="F41" s="183"/>
      <c r="G41" s="183"/>
      <c r="I41" s="185"/>
      <c r="J41" s="185"/>
      <c r="K41" s="187"/>
      <c r="L41" s="187"/>
      <c r="M41" s="186"/>
      <c r="N41" s="186"/>
      <c r="O41" s="186"/>
      <c r="P41" s="186"/>
      <c r="Q41" s="186"/>
      <c r="R41" s="186"/>
    </row>
    <row r="42" spans="1:18" ht="18" customHeight="1">
      <c r="A42" s="179"/>
      <c r="B42" s="179"/>
      <c r="C42" s="180"/>
      <c r="D42" s="181"/>
      <c r="E42" s="182"/>
      <c r="F42" s="183"/>
      <c r="G42" s="183"/>
      <c r="I42" s="185"/>
      <c r="J42" s="185"/>
      <c r="K42" s="187"/>
      <c r="L42" s="187"/>
      <c r="M42" s="186"/>
      <c r="N42" s="186"/>
      <c r="O42" s="186"/>
      <c r="P42" s="186"/>
      <c r="Q42" s="186"/>
      <c r="R42" s="186"/>
    </row>
    <row r="43" spans="1:18" ht="18" customHeight="1">
      <c r="A43" s="179"/>
      <c r="B43" s="179"/>
      <c r="C43" s="180"/>
      <c r="D43" s="181"/>
      <c r="E43" s="182"/>
      <c r="F43" s="183"/>
      <c r="G43" s="183"/>
      <c r="I43" s="185"/>
      <c r="J43" s="185"/>
      <c r="K43" s="185"/>
      <c r="L43" s="185"/>
      <c r="M43" s="186"/>
      <c r="N43" s="186"/>
      <c r="O43" s="186"/>
      <c r="P43" s="186"/>
      <c r="Q43" s="186"/>
      <c r="R43" s="186"/>
    </row>
    <row r="44" spans="1:18" ht="18" customHeight="1">
      <c r="A44" s="179"/>
      <c r="B44" s="179"/>
      <c r="C44" s="180"/>
      <c r="D44" s="181"/>
      <c r="E44" s="182"/>
      <c r="F44" s="183"/>
      <c r="G44" s="183"/>
      <c r="I44" s="185"/>
      <c r="J44" s="185"/>
      <c r="K44" s="187"/>
      <c r="L44" s="187"/>
      <c r="M44" s="186"/>
      <c r="N44" s="186"/>
      <c r="O44" s="186"/>
      <c r="P44" s="186"/>
      <c r="Q44" s="186"/>
      <c r="R44" s="186"/>
    </row>
    <row r="45" spans="1:18" ht="18" customHeight="1">
      <c r="A45" s="179"/>
      <c r="B45" s="179"/>
      <c r="C45" s="180"/>
      <c r="D45" s="181"/>
      <c r="E45" s="182"/>
      <c r="F45" s="183"/>
      <c r="G45" s="183"/>
      <c r="I45" s="185"/>
      <c r="J45" s="185"/>
      <c r="K45" s="187"/>
      <c r="L45" s="187"/>
      <c r="M45" s="186"/>
      <c r="N45" s="186"/>
      <c r="O45" s="186"/>
      <c r="P45" s="186"/>
      <c r="Q45" s="186"/>
      <c r="R45" s="186"/>
    </row>
    <row r="46" spans="1:18" ht="18" customHeight="1">
      <c r="A46" s="179"/>
      <c r="B46" s="179"/>
      <c r="C46" s="180"/>
      <c r="D46" s="181"/>
      <c r="E46" s="182"/>
      <c r="F46" s="183"/>
      <c r="G46" s="183"/>
      <c r="I46" s="185"/>
      <c r="J46" s="185"/>
      <c r="K46" s="187"/>
      <c r="L46" s="187"/>
      <c r="M46" s="186"/>
      <c r="N46" s="186"/>
      <c r="O46" s="186"/>
      <c r="P46" s="186"/>
      <c r="Q46" s="186"/>
      <c r="R46" s="186"/>
    </row>
    <row r="47" spans="1:18" ht="18" customHeight="1">
      <c r="A47" s="179"/>
      <c r="B47" s="179"/>
      <c r="C47" s="180"/>
      <c r="D47" s="181"/>
      <c r="E47" s="182"/>
      <c r="F47" s="183"/>
      <c r="G47" s="183"/>
      <c r="I47" s="189"/>
      <c r="J47" s="189"/>
      <c r="K47" s="187"/>
      <c r="L47" s="187"/>
      <c r="M47" s="186"/>
      <c r="N47" s="186"/>
      <c r="O47" s="186"/>
      <c r="P47" s="186"/>
      <c r="Q47" s="186"/>
      <c r="R47" s="186"/>
    </row>
    <row r="48" spans="1:18" ht="18" customHeight="1">
      <c r="A48" s="179"/>
      <c r="B48" s="179"/>
      <c r="C48" s="180"/>
      <c r="D48" s="181"/>
      <c r="E48" s="182"/>
      <c r="F48" s="183"/>
      <c r="G48" s="183"/>
      <c r="I48" s="185"/>
      <c r="J48" s="185"/>
      <c r="K48" s="187"/>
      <c r="L48" s="187"/>
      <c r="M48" s="186"/>
      <c r="N48" s="186"/>
      <c r="O48" s="186"/>
      <c r="P48" s="186"/>
      <c r="Q48" s="186"/>
      <c r="R48" s="186"/>
    </row>
    <row r="49" spans="1:18" ht="18" customHeight="1">
      <c r="A49" s="179"/>
      <c r="B49" s="179"/>
      <c r="C49" s="180"/>
      <c r="D49" s="181"/>
      <c r="E49" s="182"/>
      <c r="F49" s="183"/>
      <c r="G49" s="183"/>
      <c r="I49" s="185"/>
      <c r="J49" s="185"/>
      <c r="K49" s="187"/>
      <c r="L49" s="187"/>
      <c r="M49" s="186"/>
      <c r="N49" s="186"/>
      <c r="O49" s="186"/>
      <c r="P49" s="186"/>
      <c r="Q49" s="186"/>
      <c r="R49" s="186"/>
    </row>
    <row r="50" spans="1:18" ht="18" customHeight="1">
      <c r="A50" s="179"/>
      <c r="B50" s="179"/>
      <c r="C50" s="180"/>
      <c r="D50" s="181"/>
      <c r="E50" s="182"/>
      <c r="F50" s="183"/>
      <c r="G50" s="183"/>
      <c r="I50" s="185"/>
      <c r="J50" s="185"/>
      <c r="K50" s="187"/>
      <c r="L50" s="187"/>
      <c r="M50" s="186"/>
      <c r="N50" s="186"/>
      <c r="O50" s="186"/>
      <c r="P50" s="186"/>
      <c r="Q50" s="186"/>
      <c r="R50" s="186"/>
    </row>
    <row r="51" spans="1:18" ht="18" customHeight="1">
      <c r="A51" s="179"/>
      <c r="B51" s="179"/>
      <c r="C51" s="180"/>
      <c r="D51" s="181"/>
      <c r="E51" s="182"/>
      <c r="F51" s="183"/>
      <c r="G51" s="183"/>
      <c r="I51" s="185"/>
      <c r="J51" s="185"/>
      <c r="K51" s="187"/>
      <c r="L51" s="187"/>
      <c r="M51" s="186"/>
      <c r="N51" s="186"/>
      <c r="O51" s="186"/>
      <c r="P51" s="186"/>
      <c r="Q51" s="186"/>
      <c r="R51" s="186"/>
    </row>
    <row r="52" spans="1:18" ht="18" customHeight="1">
      <c r="A52" s="179"/>
      <c r="B52" s="179"/>
      <c r="C52" s="180"/>
      <c r="D52" s="181"/>
      <c r="E52" s="182"/>
      <c r="F52" s="183"/>
      <c r="G52" s="183"/>
      <c r="I52" s="185"/>
      <c r="J52" s="185"/>
      <c r="K52" s="187"/>
      <c r="L52" s="187"/>
      <c r="M52" s="186"/>
      <c r="N52" s="186"/>
      <c r="O52" s="186"/>
      <c r="P52" s="186"/>
      <c r="Q52" s="186"/>
      <c r="R52" s="186"/>
    </row>
    <row r="53" spans="1:18" ht="18" customHeight="1">
      <c r="A53" s="179"/>
      <c r="B53" s="179"/>
      <c r="C53" s="180"/>
      <c r="D53" s="181"/>
      <c r="E53" s="191"/>
      <c r="F53" s="183"/>
      <c r="G53" s="183"/>
      <c r="I53" s="185"/>
      <c r="J53" s="185"/>
      <c r="K53" s="187"/>
      <c r="L53" s="187"/>
      <c r="M53" s="186"/>
      <c r="N53" s="186"/>
      <c r="O53" s="186"/>
      <c r="P53" s="186"/>
      <c r="Q53" s="186"/>
      <c r="R53" s="186"/>
    </row>
    <row r="54" spans="1:18" ht="18" customHeight="1">
      <c r="A54" s="179"/>
      <c r="B54" s="179"/>
      <c r="C54" s="180"/>
      <c r="D54" s="181"/>
      <c r="E54" s="182"/>
      <c r="F54" s="183"/>
      <c r="G54" s="183"/>
      <c r="I54" s="185"/>
      <c r="J54" s="185"/>
      <c r="K54" s="187"/>
      <c r="L54" s="187"/>
      <c r="M54" s="186"/>
      <c r="N54" s="186"/>
      <c r="O54" s="186"/>
      <c r="P54" s="186"/>
      <c r="Q54" s="186"/>
      <c r="R54" s="186"/>
    </row>
    <row r="55" spans="1:18" ht="18" customHeight="1">
      <c r="A55" s="179"/>
      <c r="B55" s="179"/>
      <c r="C55" s="180"/>
      <c r="D55" s="181"/>
      <c r="E55" s="182"/>
      <c r="F55" s="183"/>
      <c r="G55" s="183"/>
      <c r="I55" s="185"/>
      <c r="J55" s="185"/>
      <c r="K55" s="187"/>
      <c r="L55" s="187"/>
      <c r="M55" s="186"/>
      <c r="N55" s="186"/>
      <c r="O55" s="186"/>
      <c r="P55" s="186"/>
      <c r="Q55" s="186"/>
      <c r="R55" s="186"/>
    </row>
    <row r="56" spans="1:18" ht="18" customHeight="1">
      <c r="A56" s="179"/>
      <c r="B56" s="179"/>
      <c r="C56" s="180"/>
      <c r="D56" s="181"/>
      <c r="E56" s="182"/>
      <c r="F56" s="183"/>
      <c r="G56" s="183"/>
      <c r="I56" s="189"/>
      <c r="J56" s="189"/>
      <c r="K56" s="187"/>
      <c r="L56" s="187"/>
      <c r="M56" s="186"/>
      <c r="N56" s="186"/>
      <c r="O56" s="186"/>
      <c r="P56" s="186"/>
      <c r="Q56" s="186"/>
      <c r="R56" s="186"/>
    </row>
    <row r="57" spans="1:18" ht="18" customHeight="1">
      <c r="A57" s="179"/>
      <c r="B57" s="179"/>
      <c r="C57" s="180"/>
      <c r="D57" s="181"/>
      <c r="E57" s="182"/>
      <c r="F57" s="183"/>
      <c r="G57" s="183"/>
      <c r="I57" s="189"/>
      <c r="J57" s="189"/>
      <c r="K57" s="187"/>
      <c r="L57" s="187"/>
      <c r="M57" s="186"/>
      <c r="N57" s="186"/>
      <c r="O57" s="186"/>
      <c r="P57" s="186"/>
      <c r="Q57" s="186"/>
      <c r="R57" s="186"/>
    </row>
    <row r="58" spans="1:18" ht="18" customHeight="1">
      <c r="A58" s="179"/>
      <c r="B58" s="179"/>
      <c r="C58" s="180"/>
      <c r="D58" s="181"/>
      <c r="E58" s="182"/>
      <c r="F58" s="183"/>
      <c r="G58" s="183"/>
      <c r="I58" s="185"/>
      <c r="J58" s="185"/>
      <c r="K58" s="187"/>
      <c r="L58" s="187"/>
      <c r="M58" s="186"/>
      <c r="N58" s="186"/>
      <c r="O58" s="186"/>
      <c r="P58" s="186"/>
      <c r="Q58" s="186"/>
      <c r="R58" s="186"/>
    </row>
    <row r="59" spans="1:18" ht="18" customHeight="1">
      <c r="A59" s="179"/>
      <c r="B59" s="179"/>
      <c r="C59" s="180"/>
      <c r="D59" s="181"/>
      <c r="E59" s="182"/>
      <c r="F59" s="183"/>
      <c r="G59" s="183"/>
      <c r="I59" s="185"/>
      <c r="J59" s="185"/>
      <c r="K59" s="187"/>
      <c r="L59" s="187"/>
      <c r="M59" s="186"/>
      <c r="N59" s="186"/>
      <c r="O59" s="186"/>
      <c r="P59" s="186"/>
      <c r="Q59" s="186"/>
      <c r="R59" s="186"/>
    </row>
    <row r="60" spans="1:18" ht="18" customHeight="1">
      <c r="A60" s="179"/>
      <c r="B60" s="179"/>
      <c r="C60" s="180"/>
      <c r="D60" s="181"/>
      <c r="E60" s="193"/>
      <c r="F60" s="183"/>
      <c r="G60" s="183"/>
      <c r="I60" s="185"/>
      <c r="J60" s="185"/>
      <c r="K60" s="187"/>
      <c r="L60" s="187"/>
      <c r="M60" s="186"/>
      <c r="N60" s="186"/>
      <c r="O60" s="186"/>
      <c r="P60" s="186"/>
      <c r="Q60" s="186"/>
      <c r="R60" s="186"/>
    </row>
    <row r="61" spans="1:18" ht="18" customHeight="1">
      <c r="A61" s="179"/>
      <c r="B61" s="179"/>
      <c r="C61" s="180"/>
      <c r="D61" s="181"/>
      <c r="E61" s="182"/>
      <c r="F61" s="183"/>
      <c r="G61" s="183"/>
      <c r="I61" s="186"/>
      <c r="J61" s="186"/>
      <c r="K61" s="186"/>
      <c r="L61" s="186"/>
      <c r="M61" s="186"/>
      <c r="N61" s="186"/>
      <c r="O61" s="186"/>
      <c r="P61" s="186"/>
      <c r="Q61" s="186"/>
      <c r="R61" s="186"/>
    </row>
    <row r="62" spans="1:18" ht="18" customHeight="1">
      <c r="A62" s="179"/>
      <c r="B62" s="179"/>
      <c r="C62" s="180"/>
      <c r="D62" s="181"/>
      <c r="E62" s="182"/>
      <c r="F62" s="183"/>
      <c r="G62" s="246"/>
      <c r="I62" s="186"/>
      <c r="J62" s="186"/>
      <c r="K62" s="186"/>
      <c r="L62" s="186"/>
      <c r="M62" s="186"/>
      <c r="N62" s="186"/>
      <c r="O62" s="186"/>
      <c r="P62" s="186"/>
      <c r="Q62" s="186"/>
      <c r="R62" s="186"/>
    </row>
    <row r="63" spans="1:18" ht="18" customHeight="1">
      <c r="A63" s="179"/>
      <c r="B63" s="179"/>
      <c r="C63" s="180"/>
      <c r="D63" s="181"/>
      <c r="E63" s="182"/>
      <c r="F63" s="183"/>
      <c r="G63" s="183"/>
      <c r="I63" s="186"/>
      <c r="J63" s="186"/>
      <c r="K63" s="186"/>
      <c r="L63" s="186"/>
      <c r="M63" s="186"/>
      <c r="N63" s="186"/>
      <c r="O63" s="186"/>
      <c r="P63" s="186"/>
      <c r="Q63" s="186"/>
      <c r="R63" s="186"/>
    </row>
    <row r="64" spans="1:18" ht="18" customHeight="1">
      <c r="A64" s="179"/>
      <c r="B64" s="179"/>
      <c r="C64" s="180"/>
      <c r="D64" s="181"/>
      <c r="E64" s="182"/>
      <c r="F64" s="183"/>
      <c r="G64" s="183"/>
      <c r="I64" s="186"/>
      <c r="J64" s="186"/>
      <c r="K64" s="186"/>
      <c r="L64" s="186"/>
      <c r="M64" s="186"/>
      <c r="N64" s="186"/>
      <c r="O64" s="186"/>
      <c r="P64" s="186"/>
      <c r="Q64" s="186"/>
      <c r="R64" s="186"/>
    </row>
    <row r="65" spans="1:18" ht="18" customHeight="1">
      <c r="A65" s="179"/>
      <c r="B65" s="179"/>
      <c r="C65" s="180"/>
      <c r="D65" s="181"/>
      <c r="E65" s="182"/>
      <c r="F65" s="183"/>
      <c r="G65" s="183"/>
      <c r="I65" s="186"/>
      <c r="J65" s="186"/>
      <c r="K65" s="186"/>
      <c r="L65" s="186"/>
      <c r="M65" s="186"/>
      <c r="N65" s="186"/>
      <c r="O65" s="186"/>
      <c r="P65" s="186"/>
      <c r="Q65" s="186"/>
      <c r="R65" s="186"/>
    </row>
    <row r="66" spans="1:18" ht="18" customHeight="1">
      <c r="A66" s="179"/>
      <c r="B66" s="179"/>
      <c r="C66" s="180"/>
      <c r="D66" s="181"/>
      <c r="E66" s="182"/>
      <c r="F66" s="183"/>
      <c r="G66" s="183"/>
      <c r="I66" s="186"/>
      <c r="J66" s="186"/>
      <c r="K66" s="186"/>
      <c r="L66" s="186"/>
      <c r="M66" s="186"/>
      <c r="N66" s="186"/>
      <c r="O66" s="186"/>
      <c r="P66" s="186"/>
      <c r="Q66" s="186"/>
      <c r="R66" s="186"/>
    </row>
    <row r="67" spans="1:18" ht="18" customHeight="1">
      <c r="A67" s="179"/>
      <c r="B67" s="179"/>
      <c r="C67" s="180"/>
      <c r="D67" s="181"/>
      <c r="E67" s="182"/>
      <c r="F67" s="183"/>
      <c r="G67" s="183"/>
      <c r="I67" s="186"/>
      <c r="J67" s="186"/>
      <c r="K67" s="186"/>
      <c r="L67" s="186"/>
      <c r="M67" s="186"/>
      <c r="N67" s="186"/>
      <c r="O67" s="186"/>
      <c r="P67" s="186"/>
      <c r="Q67" s="186"/>
      <c r="R67" s="186"/>
    </row>
    <row r="68" spans="1:18" ht="18" customHeight="1">
      <c r="A68" s="179"/>
      <c r="B68" s="179"/>
      <c r="C68" s="180"/>
      <c r="D68" s="181"/>
      <c r="E68" s="182"/>
      <c r="F68" s="183"/>
      <c r="G68" s="183"/>
      <c r="I68" s="186"/>
      <c r="J68" s="186"/>
      <c r="K68" s="186"/>
      <c r="L68" s="186"/>
      <c r="M68" s="186"/>
      <c r="N68" s="186"/>
      <c r="O68" s="186"/>
      <c r="P68" s="186"/>
      <c r="Q68" s="186"/>
      <c r="R68" s="186"/>
    </row>
    <row r="69" spans="1:18" ht="18" customHeight="1">
      <c r="A69" s="179"/>
      <c r="B69" s="179"/>
      <c r="C69" s="180"/>
      <c r="D69" s="181"/>
      <c r="E69" s="182"/>
      <c r="F69" s="183"/>
      <c r="G69" s="183"/>
      <c r="I69" s="186"/>
      <c r="J69" s="186"/>
      <c r="K69" s="186"/>
      <c r="L69" s="186"/>
      <c r="M69" s="186"/>
      <c r="N69" s="186"/>
      <c r="O69" s="186"/>
      <c r="P69" s="186"/>
      <c r="Q69" s="186"/>
      <c r="R69" s="186"/>
    </row>
    <row r="70" spans="1:18" ht="18" customHeight="1">
      <c r="A70" s="179"/>
      <c r="B70" s="179"/>
      <c r="C70" s="180"/>
      <c r="D70" s="181"/>
      <c r="E70" s="182"/>
      <c r="F70" s="183"/>
      <c r="G70" s="183"/>
      <c r="I70" s="186"/>
      <c r="J70" s="186"/>
      <c r="K70" s="186"/>
      <c r="L70" s="186"/>
      <c r="M70" s="186"/>
      <c r="N70" s="186"/>
      <c r="O70" s="186"/>
      <c r="P70" s="186"/>
      <c r="Q70" s="186"/>
      <c r="R70" s="186"/>
    </row>
    <row r="71" spans="1:18" ht="18" customHeight="1">
      <c r="A71" s="179"/>
      <c r="B71" s="179"/>
      <c r="C71" s="180"/>
      <c r="D71" s="181"/>
      <c r="E71" s="182"/>
      <c r="F71" s="183"/>
      <c r="G71" s="183"/>
      <c r="I71" s="186"/>
      <c r="J71" s="186"/>
      <c r="K71" s="186"/>
      <c r="L71" s="186"/>
      <c r="M71" s="186"/>
      <c r="N71" s="186"/>
      <c r="O71" s="186"/>
      <c r="P71" s="186"/>
      <c r="Q71" s="186"/>
      <c r="R71" s="186"/>
    </row>
    <row r="72" spans="1:18" ht="18" customHeight="1">
      <c r="A72" s="179"/>
      <c r="B72" s="179"/>
      <c r="C72" s="180"/>
      <c r="D72" s="181"/>
      <c r="E72" s="182"/>
      <c r="F72" s="183"/>
      <c r="G72" s="183"/>
      <c r="I72" s="186"/>
      <c r="J72" s="186"/>
      <c r="K72" s="186"/>
      <c r="L72" s="186"/>
      <c r="M72" s="186"/>
      <c r="N72" s="186"/>
      <c r="O72" s="186"/>
      <c r="P72" s="186"/>
      <c r="Q72" s="186"/>
      <c r="R72" s="186"/>
    </row>
    <row r="73" spans="1:18" ht="18" customHeight="1">
      <c r="A73" s="179"/>
      <c r="B73" s="179"/>
      <c r="C73" s="180"/>
      <c r="D73" s="181"/>
      <c r="E73" s="182"/>
      <c r="F73" s="183"/>
      <c r="G73" s="183"/>
      <c r="I73" s="186"/>
      <c r="J73" s="186"/>
      <c r="K73" s="186"/>
      <c r="L73" s="186"/>
      <c r="M73" s="186"/>
      <c r="N73" s="186"/>
      <c r="O73" s="186"/>
      <c r="P73" s="186"/>
      <c r="Q73" s="186"/>
      <c r="R73" s="186"/>
    </row>
    <row r="74" spans="1:18" ht="18" customHeight="1">
      <c r="A74" s="179"/>
      <c r="B74" s="179"/>
      <c r="C74" s="180"/>
      <c r="D74" s="181"/>
      <c r="E74" s="182"/>
      <c r="F74" s="183"/>
      <c r="G74" s="183"/>
      <c r="I74" s="186"/>
      <c r="J74" s="186"/>
      <c r="K74" s="186"/>
      <c r="L74" s="186"/>
      <c r="M74" s="186"/>
      <c r="N74" s="186"/>
      <c r="O74" s="186"/>
      <c r="P74" s="186"/>
      <c r="Q74" s="186"/>
      <c r="R74" s="186"/>
    </row>
    <row r="75" spans="1:18" ht="18" customHeight="1">
      <c r="A75" s="179"/>
      <c r="B75" s="179"/>
      <c r="C75" s="180"/>
      <c r="D75" s="181"/>
      <c r="E75" s="182"/>
      <c r="F75" s="183"/>
      <c r="G75" s="183"/>
      <c r="I75" s="186"/>
      <c r="J75" s="186"/>
      <c r="K75" s="186"/>
      <c r="L75" s="186"/>
      <c r="M75" s="186"/>
      <c r="N75" s="186"/>
      <c r="O75" s="186"/>
      <c r="P75" s="186"/>
      <c r="Q75" s="186"/>
      <c r="R75" s="186"/>
    </row>
    <row r="76" spans="1:18" ht="18" customHeight="1">
      <c r="A76" s="179"/>
      <c r="B76" s="179"/>
      <c r="C76" s="180"/>
      <c r="D76" s="181"/>
      <c r="E76" s="182"/>
      <c r="F76" s="183"/>
      <c r="G76" s="183"/>
      <c r="I76" s="186"/>
      <c r="J76" s="186"/>
      <c r="K76" s="186"/>
      <c r="L76" s="186"/>
      <c r="M76" s="186"/>
      <c r="N76" s="186"/>
      <c r="O76" s="186"/>
      <c r="P76" s="186"/>
      <c r="Q76" s="186"/>
      <c r="R76" s="186"/>
    </row>
    <row r="77" spans="1:18" ht="18" customHeight="1">
      <c r="A77" s="179"/>
      <c r="B77" s="179"/>
      <c r="C77" s="180"/>
      <c r="D77" s="181"/>
      <c r="E77" s="182"/>
      <c r="F77" s="183"/>
      <c r="G77" s="183"/>
      <c r="I77" s="186"/>
      <c r="J77" s="186"/>
      <c r="K77" s="186"/>
      <c r="L77" s="186"/>
      <c r="M77" s="186"/>
      <c r="N77" s="186"/>
      <c r="O77" s="186"/>
      <c r="P77" s="186"/>
      <c r="Q77" s="186"/>
      <c r="R77" s="186"/>
    </row>
    <row r="78" spans="1:18" ht="18" customHeight="1">
      <c r="A78" s="179"/>
      <c r="B78" s="179"/>
      <c r="C78" s="180"/>
      <c r="D78" s="181"/>
      <c r="E78" s="182"/>
      <c r="F78" s="183"/>
      <c r="G78" s="183"/>
      <c r="I78" s="186"/>
      <c r="J78" s="186"/>
      <c r="K78" s="186"/>
      <c r="L78" s="186"/>
      <c r="M78" s="186"/>
      <c r="N78" s="186"/>
      <c r="O78" s="186"/>
      <c r="P78" s="186"/>
      <c r="Q78" s="186"/>
      <c r="R78" s="186"/>
    </row>
    <row r="79" spans="1:18" ht="18" customHeight="1">
      <c r="A79" s="179"/>
      <c r="B79" s="179"/>
      <c r="C79" s="180"/>
      <c r="D79" s="181"/>
      <c r="E79" s="182"/>
      <c r="F79" s="183"/>
      <c r="G79" s="183"/>
      <c r="I79" s="186"/>
      <c r="J79" s="186"/>
      <c r="K79" s="186"/>
      <c r="L79" s="186"/>
      <c r="M79" s="186"/>
      <c r="N79" s="186"/>
      <c r="O79" s="186"/>
      <c r="P79" s="186"/>
      <c r="Q79" s="186"/>
      <c r="R79" s="186"/>
    </row>
    <row r="80" spans="1:18" ht="18" customHeight="1">
      <c r="A80" s="179"/>
      <c r="B80" s="179"/>
      <c r="C80" s="180"/>
      <c r="D80" s="181"/>
      <c r="E80" s="182"/>
      <c r="F80" s="183"/>
      <c r="G80" s="183"/>
      <c r="I80" s="186"/>
      <c r="J80" s="186"/>
      <c r="K80" s="186"/>
      <c r="L80" s="186"/>
      <c r="M80" s="186"/>
      <c r="N80" s="186"/>
      <c r="O80" s="186"/>
      <c r="P80" s="186"/>
      <c r="Q80" s="186"/>
      <c r="R80" s="186"/>
    </row>
    <row r="81" spans="1:18" ht="18" customHeight="1">
      <c r="A81" s="179"/>
      <c r="B81" s="179"/>
      <c r="C81" s="180"/>
      <c r="D81" s="181"/>
      <c r="E81" s="191"/>
      <c r="F81" s="183"/>
      <c r="G81" s="183"/>
      <c r="I81" s="186"/>
      <c r="J81" s="186"/>
      <c r="K81" s="186"/>
      <c r="L81" s="186"/>
      <c r="M81" s="186"/>
      <c r="N81" s="186"/>
      <c r="O81" s="186"/>
      <c r="P81" s="186"/>
      <c r="Q81" s="186"/>
      <c r="R81" s="186"/>
    </row>
    <row r="82" spans="1:18" ht="18" customHeight="1">
      <c r="A82" s="179"/>
      <c r="B82" s="179"/>
      <c r="C82" s="180"/>
      <c r="D82" s="181"/>
      <c r="E82" s="191"/>
      <c r="F82" s="183"/>
      <c r="G82" s="183"/>
      <c r="I82" s="186"/>
      <c r="J82" s="186"/>
      <c r="K82" s="186"/>
      <c r="L82" s="186"/>
      <c r="M82" s="186"/>
      <c r="N82" s="186"/>
      <c r="O82" s="186"/>
      <c r="P82" s="186"/>
      <c r="Q82" s="186"/>
      <c r="R82" s="186"/>
    </row>
    <row r="83" spans="1:18" ht="18" customHeight="1">
      <c r="A83" s="179"/>
      <c r="B83" s="179"/>
      <c r="C83" s="180"/>
      <c r="D83" s="181"/>
      <c r="E83" s="191"/>
      <c r="F83" s="183"/>
      <c r="G83" s="183"/>
      <c r="I83" s="186"/>
      <c r="J83" s="186"/>
      <c r="K83" s="186"/>
      <c r="L83" s="186"/>
      <c r="M83" s="186"/>
      <c r="N83" s="186"/>
      <c r="O83" s="186"/>
      <c r="P83" s="186"/>
      <c r="Q83" s="186"/>
      <c r="R83" s="186"/>
    </row>
    <row r="84" spans="1:18" ht="18" customHeight="1">
      <c r="A84" s="179"/>
      <c r="B84" s="179"/>
      <c r="C84" s="180"/>
      <c r="D84" s="181"/>
      <c r="E84" s="191"/>
      <c r="F84" s="183"/>
      <c r="G84" s="183"/>
      <c r="I84" s="186"/>
      <c r="J84" s="186"/>
      <c r="K84" s="186"/>
      <c r="L84" s="186"/>
      <c r="M84" s="186"/>
      <c r="N84" s="186"/>
      <c r="O84" s="186"/>
      <c r="P84" s="186"/>
      <c r="Q84" s="186"/>
      <c r="R84" s="186"/>
    </row>
    <row r="85" spans="1:18" ht="18" customHeight="1">
      <c r="A85" s="179"/>
      <c r="B85" s="179"/>
      <c r="C85" s="180"/>
      <c r="D85" s="181"/>
      <c r="E85" s="191"/>
      <c r="F85" s="183"/>
      <c r="G85" s="183"/>
      <c r="I85" s="186"/>
      <c r="J85" s="186"/>
      <c r="K85" s="186"/>
      <c r="L85" s="186"/>
      <c r="M85" s="186"/>
      <c r="N85" s="186"/>
      <c r="O85" s="186"/>
      <c r="P85" s="186"/>
      <c r="Q85" s="186"/>
      <c r="R85" s="186"/>
    </row>
    <row r="86" spans="1:18" ht="18" customHeight="1">
      <c r="A86" s="179"/>
      <c r="B86" s="179"/>
      <c r="C86" s="180"/>
      <c r="D86" s="181"/>
      <c r="E86" s="182"/>
      <c r="F86" s="183"/>
      <c r="G86" s="183"/>
      <c r="I86" s="186"/>
      <c r="J86" s="186"/>
      <c r="K86" s="186"/>
      <c r="L86" s="186"/>
      <c r="M86" s="186"/>
      <c r="N86" s="186"/>
      <c r="O86" s="186"/>
      <c r="P86" s="186"/>
      <c r="Q86" s="186"/>
      <c r="R86" s="186"/>
    </row>
    <row r="87" spans="1:18" ht="18" customHeight="1">
      <c r="A87" s="179"/>
      <c r="B87" s="179"/>
      <c r="C87" s="180"/>
      <c r="D87" s="181"/>
      <c r="E87" s="191"/>
      <c r="F87" s="183"/>
      <c r="G87" s="183"/>
      <c r="I87" s="186"/>
      <c r="J87" s="186"/>
      <c r="K87" s="186"/>
      <c r="L87" s="186"/>
      <c r="M87" s="186"/>
      <c r="N87" s="186"/>
      <c r="O87" s="186"/>
      <c r="P87" s="186"/>
      <c r="Q87" s="186"/>
      <c r="R87" s="186"/>
    </row>
    <row r="88" spans="1:18" ht="18" customHeight="1">
      <c r="A88" s="179"/>
      <c r="B88" s="179"/>
      <c r="C88" s="180"/>
      <c r="D88" s="181"/>
      <c r="E88" s="191"/>
      <c r="F88" s="183"/>
      <c r="G88" s="183"/>
      <c r="I88" s="186"/>
      <c r="J88" s="186"/>
      <c r="K88" s="186"/>
      <c r="L88" s="186"/>
      <c r="M88" s="186"/>
      <c r="N88" s="186"/>
      <c r="O88" s="186"/>
      <c r="P88" s="186"/>
      <c r="Q88" s="186"/>
      <c r="R88" s="186"/>
    </row>
    <row r="89" spans="1:18" ht="18" customHeight="1">
      <c r="A89" s="179"/>
      <c r="B89" s="179"/>
      <c r="C89" s="180"/>
      <c r="D89" s="181"/>
      <c r="E89" s="191"/>
      <c r="F89" s="183"/>
      <c r="G89" s="183"/>
      <c r="I89" s="186"/>
      <c r="J89" s="186"/>
      <c r="K89" s="186"/>
      <c r="L89" s="186"/>
      <c r="M89" s="186"/>
      <c r="N89" s="186"/>
      <c r="O89" s="186"/>
      <c r="P89" s="186"/>
      <c r="Q89" s="186"/>
      <c r="R89" s="186"/>
    </row>
    <row r="90" spans="1:18" ht="18" customHeight="1">
      <c r="A90" s="179"/>
      <c r="B90" s="179"/>
      <c r="C90" s="180"/>
      <c r="D90" s="181"/>
      <c r="E90" s="191"/>
      <c r="F90" s="183"/>
      <c r="G90" s="183"/>
      <c r="I90" s="186"/>
      <c r="J90" s="186"/>
      <c r="K90" s="186"/>
      <c r="L90" s="186"/>
      <c r="M90" s="186"/>
      <c r="N90" s="186"/>
      <c r="O90" s="186"/>
      <c r="P90" s="186"/>
      <c r="Q90" s="186"/>
      <c r="R90" s="186"/>
    </row>
    <row r="91" spans="1:18" ht="18" customHeight="1">
      <c r="A91" s="179"/>
      <c r="B91" s="179"/>
      <c r="C91" s="180"/>
      <c r="D91" s="181"/>
      <c r="E91" s="191"/>
      <c r="F91" s="183"/>
      <c r="G91" s="183"/>
      <c r="I91" s="186"/>
      <c r="J91" s="186"/>
      <c r="K91" s="186"/>
      <c r="L91" s="186"/>
      <c r="M91" s="186"/>
      <c r="N91" s="186"/>
      <c r="O91" s="186"/>
      <c r="P91" s="186"/>
      <c r="Q91" s="186"/>
      <c r="R91" s="186"/>
    </row>
    <row r="92" spans="1:18" ht="18" customHeight="1">
      <c r="A92" s="179"/>
      <c r="B92" s="179"/>
      <c r="C92" s="180"/>
      <c r="D92" s="181"/>
      <c r="E92" s="191"/>
      <c r="F92" s="183"/>
      <c r="G92" s="183"/>
      <c r="I92" s="186"/>
      <c r="J92" s="186"/>
      <c r="K92" s="186"/>
      <c r="L92" s="186"/>
      <c r="M92" s="186"/>
      <c r="N92" s="186"/>
      <c r="O92" s="186"/>
      <c r="P92" s="186"/>
      <c r="Q92" s="186"/>
      <c r="R92" s="186"/>
    </row>
    <row r="93" spans="1:18" ht="18" customHeight="1">
      <c r="A93" s="179"/>
      <c r="B93" s="179"/>
      <c r="C93" s="180"/>
      <c r="D93" s="181"/>
      <c r="E93" s="191"/>
      <c r="F93" s="183"/>
      <c r="G93" s="183"/>
      <c r="I93" s="186"/>
      <c r="J93" s="186"/>
      <c r="K93" s="186"/>
      <c r="L93" s="186"/>
      <c r="M93" s="186"/>
      <c r="N93" s="186"/>
      <c r="O93" s="186"/>
      <c r="P93" s="186"/>
      <c r="Q93" s="186"/>
      <c r="R93" s="186"/>
    </row>
    <row r="94" spans="1:18" ht="18" customHeight="1">
      <c r="A94" s="179"/>
      <c r="B94" s="179"/>
      <c r="C94" s="180"/>
      <c r="D94" s="181"/>
      <c r="E94" s="191"/>
      <c r="F94" s="183"/>
      <c r="G94" s="183"/>
      <c r="I94" s="186"/>
      <c r="J94" s="186"/>
      <c r="K94" s="186"/>
      <c r="L94" s="186"/>
      <c r="M94" s="186"/>
      <c r="N94" s="186"/>
      <c r="O94" s="186"/>
      <c r="P94" s="186"/>
      <c r="Q94" s="186"/>
      <c r="R94" s="186"/>
    </row>
    <row r="95" spans="1:18" ht="18" customHeight="1">
      <c r="A95" s="179"/>
      <c r="B95" s="179"/>
      <c r="C95" s="180"/>
      <c r="D95" s="181"/>
      <c r="E95" s="191"/>
      <c r="F95" s="183"/>
      <c r="G95" s="183"/>
      <c r="I95" s="186"/>
      <c r="J95" s="186"/>
      <c r="K95" s="186"/>
      <c r="L95" s="186"/>
      <c r="M95" s="186"/>
      <c r="N95" s="186"/>
      <c r="O95" s="186"/>
      <c r="P95" s="186"/>
      <c r="Q95" s="186"/>
      <c r="R95" s="186"/>
    </row>
    <row r="96" spans="1:18" ht="18" customHeight="1">
      <c r="A96" s="179"/>
      <c r="B96" s="179"/>
      <c r="C96" s="180"/>
      <c r="D96" s="181"/>
      <c r="E96" s="182"/>
      <c r="F96" s="183"/>
      <c r="G96" s="183"/>
      <c r="I96" s="186"/>
      <c r="J96" s="186"/>
      <c r="K96" s="186"/>
      <c r="L96" s="186"/>
      <c r="M96" s="186"/>
      <c r="N96" s="186"/>
      <c r="O96" s="186"/>
      <c r="P96" s="186"/>
      <c r="Q96" s="186"/>
      <c r="R96" s="186"/>
    </row>
    <row r="97" spans="1:18" ht="18" customHeight="1">
      <c r="A97" s="179"/>
      <c r="B97" s="179"/>
      <c r="C97" s="180"/>
      <c r="D97" s="181"/>
      <c r="E97" s="182"/>
      <c r="F97" s="183"/>
      <c r="G97" s="183"/>
      <c r="I97" s="186"/>
      <c r="J97" s="186"/>
      <c r="K97" s="186"/>
      <c r="L97" s="186"/>
      <c r="M97" s="186"/>
      <c r="N97" s="186"/>
      <c r="O97" s="186"/>
      <c r="P97" s="186"/>
      <c r="Q97" s="186"/>
      <c r="R97" s="186"/>
    </row>
    <row r="98" spans="1:18" ht="18" customHeight="1">
      <c r="A98" s="179"/>
      <c r="B98" s="179"/>
      <c r="C98" s="180"/>
      <c r="D98" s="181"/>
      <c r="E98" s="182"/>
      <c r="F98" s="183"/>
      <c r="G98" s="183"/>
      <c r="I98" s="186"/>
      <c r="J98" s="186"/>
      <c r="K98" s="186"/>
      <c r="L98" s="186"/>
      <c r="M98" s="186"/>
      <c r="N98" s="186"/>
      <c r="O98" s="186"/>
      <c r="P98" s="186"/>
      <c r="Q98" s="186"/>
      <c r="R98" s="186"/>
    </row>
    <row r="99" spans="1:18" ht="18" customHeight="1">
      <c r="A99" s="179"/>
      <c r="B99" s="179" t="str">
        <f t="shared" ref="B99:B143" si="0">IF(E99="","",B98)</f>
        <v/>
      </c>
      <c r="C99" s="180"/>
      <c r="D99" s="181"/>
      <c r="E99" s="182"/>
      <c r="F99" s="183"/>
      <c r="G99" s="183"/>
      <c r="I99" s="186"/>
      <c r="J99" s="186"/>
      <c r="K99" s="186"/>
      <c r="L99" s="186"/>
      <c r="M99" s="186"/>
      <c r="N99" s="186"/>
      <c r="O99" s="186"/>
      <c r="P99" s="186"/>
      <c r="Q99" s="186"/>
      <c r="R99" s="186"/>
    </row>
    <row r="100" spans="1:18" ht="18" customHeight="1">
      <c r="A100" s="179"/>
      <c r="B100" s="179" t="str">
        <f t="shared" si="0"/>
        <v/>
      </c>
      <c r="C100" s="180"/>
      <c r="D100" s="181"/>
      <c r="E100" s="182"/>
      <c r="F100" s="183"/>
      <c r="G100" s="183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</row>
    <row r="101" spans="1:18" ht="18" customHeight="1">
      <c r="A101" s="179"/>
      <c r="B101" s="179" t="str">
        <f t="shared" si="0"/>
        <v/>
      </c>
      <c r="C101" s="180"/>
      <c r="D101" s="181"/>
      <c r="E101" s="182"/>
      <c r="F101" s="183"/>
      <c r="G101" s="183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</row>
    <row r="102" spans="1:18" ht="18" customHeight="1">
      <c r="A102" s="179"/>
      <c r="B102" s="179" t="str">
        <f t="shared" si="0"/>
        <v/>
      </c>
      <c r="C102" s="180"/>
      <c r="D102" s="181"/>
      <c r="E102" s="182"/>
      <c r="F102" s="183"/>
      <c r="G102" s="183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</row>
    <row r="103" spans="1:18" ht="18" customHeight="1">
      <c r="A103" s="179"/>
      <c r="B103" s="179" t="str">
        <f t="shared" si="0"/>
        <v/>
      </c>
      <c r="C103" s="180"/>
      <c r="D103" s="181"/>
      <c r="E103" s="182"/>
      <c r="F103" s="183"/>
      <c r="G103" s="183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</row>
    <row r="104" spans="1:18" ht="18" customHeight="1">
      <c r="A104" s="179"/>
      <c r="B104" s="179" t="str">
        <f t="shared" si="0"/>
        <v/>
      </c>
      <c r="C104" s="180"/>
      <c r="D104" s="181"/>
      <c r="E104" s="182"/>
      <c r="F104" s="183"/>
      <c r="G104" s="183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</row>
    <row r="105" spans="1:18" ht="18" customHeight="1">
      <c r="A105" s="179"/>
      <c r="B105" s="179" t="str">
        <f t="shared" si="0"/>
        <v/>
      </c>
      <c r="C105" s="180"/>
      <c r="D105" s="181"/>
      <c r="E105" s="182"/>
      <c r="F105" s="183"/>
      <c r="G105" s="183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</row>
    <row r="106" spans="1:18" ht="18" customHeight="1">
      <c r="A106" s="179"/>
      <c r="B106" s="179" t="str">
        <f t="shared" si="0"/>
        <v/>
      </c>
      <c r="C106" s="180"/>
      <c r="D106" s="181"/>
      <c r="E106" s="192"/>
      <c r="F106" s="183"/>
      <c r="G106" s="183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</row>
    <row r="107" spans="1:18" ht="18" customHeight="1">
      <c r="A107" s="179"/>
      <c r="B107" s="179" t="str">
        <f t="shared" si="0"/>
        <v/>
      </c>
      <c r="C107" s="180"/>
      <c r="D107" s="181"/>
      <c r="E107" s="182"/>
      <c r="F107" s="183"/>
      <c r="G107" s="183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</row>
    <row r="108" spans="1:18" ht="18" customHeight="1">
      <c r="A108" s="179"/>
      <c r="B108" s="179" t="str">
        <f t="shared" si="0"/>
        <v/>
      </c>
      <c r="C108" s="180"/>
      <c r="D108" s="181"/>
      <c r="E108" s="182"/>
      <c r="F108" s="183"/>
      <c r="G108" s="183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</row>
    <row r="109" spans="1:18" ht="18" customHeight="1">
      <c r="A109" s="179"/>
      <c r="B109" s="179" t="str">
        <f t="shared" si="0"/>
        <v/>
      </c>
      <c r="C109" s="180"/>
      <c r="D109" s="181"/>
      <c r="E109" s="182"/>
      <c r="F109" s="183"/>
      <c r="G109" s="183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</row>
    <row r="110" spans="1:18" ht="18" customHeight="1">
      <c r="A110" s="179"/>
      <c r="B110" s="179" t="str">
        <f t="shared" si="0"/>
        <v/>
      </c>
      <c r="C110" s="180"/>
      <c r="D110" s="181"/>
      <c r="E110" s="182"/>
      <c r="F110" s="183"/>
      <c r="G110" s="183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</row>
    <row r="111" spans="1:18" ht="18" customHeight="1">
      <c r="A111" s="179"/>
      <c r="B111" s="179" t="str">
        <f t="shared" si="0"/>
        <v/>
      </c>
      <c r="C111" s="180"/>
      <c r="D111" s="181"/>
      <c r="E111" s="182"/>
      <c r="F111" s="183"/>
      <c r="G111" s="183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</row>
    <row r="112" spans="1:18" ht="18" customHeight="1">
      <c r="A112" s="179"/>
      <c r="B112" s="179" t="str">
        <f t="shared" si="0"/>
        <v/>
      </c>
      <c r="C112" s="180"/>
      <c r="D112" s="181"/>
      <c r="E112" s="182"/>
      <c r="F112" s="183"/>
      <c r="G112" s="183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</row>
    <row r="113" spans="1:18" ht="18" customHeight="1">
      <c r="A113" s="179"/>
      <c r="B113" s="179" t="str">
        <f t="shared" si="0"/>
        <v/>
      </c>
      <c r="C113" s="180"/>
      <c r="D113" s="181"/>
      <c r="E113" s="182"/>
      <c r="F113" s="183"/>
      <c r="G113" s="183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</row>
    <row r="114" spans="1:18" ht="18" customHeight="1">
      <c r="A114" s="179"/>
      <c r="B114" s="179" t="str">
        <f t="shared" si="0"/>
        <v/>
      </c>
      <c r="C114" s="180"/>
      <c r="D114" s="181"/>
      <c r="E114" s="182"/>
      <c r="F114" s="183"/>
      <c r="G114" s="183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</row>
    <row r="115" spans="1:18" ht="18" customHeight="1">
      <c r="A115" s="179"/>
      <c r="B115" s="179" t="str">
        <f t="shared" si="0"/>
        <v/>
      </c>
      <c r="C115" s="180"/>
      <c r="D115" s="181"/>
      <c r="E115" s="182"/>
      <c r="F115" s="183"/>
      <c r="G115" s="183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</row>
    <row r="116" spans="1:18" ht="18" customHeight="1">
      <c r="A116" s="179"/>
      <c r="B116" s="179" t="str">
        <f t="shared" si="0"/>
        <v/>
      </c>
      <c r="C116" s="180"/>
      <c r="D116" s="181"/>
      <c r="E116" s="182"/>
      <c r="F116" s="183"/>
      <c r="G116" s="183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</row>
    <row r="117" spans="1:18" ht="18" customHeight="1">
      <c r="A117" s="179"/>
      <c r="B117" s="179" t="str">
        <f t="shared" si="0"/>
        <v/>
      </c>
      <c r="C117" s="180"/>
      <c r="D117" s="181"/>
      <c r="E117" s="182"/>
      <c r="F117" s="183"/>
      <c r="G117" s="183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</row>
    <row r="118" spans="1:18" ht="18" customHeight="1">
      <c r="A118" s="179"/>
      <c r="B118" s="179" t="str">
        <f t="shared" si="0"/>
        <v/>
      </c>
      <c r="C118" s="180"/>
      <c r="D118" s="181"/>
      <c r="E118" s="182"/>
      <c r="F118" s="183"/>
      <c r="G118" s="183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</row>
    <row r="119" spans="1:18" ht="18" customHeight="1">
      <c r="A119" s="179"/>
      <c r="B119" s="179" t="str">
        <f t="shared" si="0"/>
        <v/>
      </c>
      <c r="C119" s="180"/>
      <c r="D119" s="181"/>
      <c r="E119" s="182"/>
      <c r="F119" s="183"/>
      <c r="G119" s="183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</row>
    <row r="120" spans="1:18" ht="18" customHeight="1">
      <c r="A120" s="179"/>
      <c r="B120" s="179" t="str">
        <f t="shared" si="0"/>
        <v/>
      </c>
      <c r="C120" s="180"/>
      <c r="D120" s="181"/>
      <c r="E120" s="182"/>
      <c r="F120" s="183"/>
      <c r="G120" s="183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</row>
    <row r="121" spans="1:18" ht="18" customHeight="1">
      <c r="A121" s="179"/>
      <c r="B121" s="179" t="str">
        <f t="shared" si="0"/>
        <v/>
      </c>
      <c r="C121" s="180"/>
      <c r="D121" s="181"/>
      <c r="E121" s="182"/>
      <c r="F121" s="183"/>
      <c r="G121" s="183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</row>
    <row r="122" spans="1:18" ht="18" customHeight="1">
      <c r="A122" s="179"/>
      <c r="B122" s="179" t="str">
        <f t="shared" si="0"/>
        <v/>
      </c>
      <c r="C122" s="180"/>
      <c r="D122" s="181"/>
      <c r="E122" s="182"/>
      <c r="F122" s="183"/>
      <c r="G122" s="183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</row>
    <row r="123" spans="1:18" ht="18" customHeight="1">
      <c r="A123" s="179"/>
      <c r="B123" s="179" t="str">
        <f t="shared" si="0"/>
        <v/>
      </c>
      <c r="C123" s="180"/>
      <c r="D123" s="181"/>
      <c r="E123" s="182"/>
      <c r="F123" s="183"/>
      <c r="G123" s="183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</row>
    <row r="124" spans="1:18" ht="18" customHeight="1">
      <c r="A124" s="179"/>
      <c r="B124" s="179" t="str">
        <f t="shared" si="0"/>
        <v/>
      </c>
      <c r="C124" s="180"/>
      <c r="D124" s="181"/>
      <c r="E124" s="182"/>
      <c r="F124" s="183"/>
      <c r="G124" s="183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</row>
    <row r="125" spans="1:18" ht="18" customHeight="1">
      <c r="A125" s="179"/>
      <c r="B125" s="179" t="str">
        <f t="shared" si="0"/>
        <v/>
      </c>
      <c r="C125" s="180"/>
      <c r="D125" s="181"/>
      <c r="E125" s="182"/>
      <c r="F125" s="183"/>
      <c r="G125" s="183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</row>
    <row r="126" spans="1:18" ht="18" customHeight="1">
      <c r="A126" s="179"/>
      <c r="B126" s="179" t="str">
        <f t="shared" si="0"/>
        <v/>
      </c>
      <c r="C126" s="180"/>
      <c r="D126" s="181"/>
      <c r="E126" s="182"/>
      <c r="F126" s="183"/>
      <c r="G126" s="183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</row>
    <row r="127" spans="1:18" ht="18" customHeight="1">
      <c r="A127" s="179"/>
      <c r="B127" s="179" t="str">
        <f t="shared" si="0"/>
        <v/>
      </c>
      <c r="C127" s="180"/>
      <c r="D127" s="181"/>
      <c r="E127" s="182"/>
      <c r="F127" s="183"/>
      <c r="G127" s="183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</row>
    <row r="128" spans="1:18" ht="18" customHeight="1">
      <c r="A128" s="179"/>
      <c r="B128" s="179" t="str">
        <f t="shared" si="0"/>
        <v/>
      </c>
      <c r="C128" s="180"/>
      <c r="D128" s="181"/>
      <c r="E128" s="182"/>
      <c r="F128" s="183"/>
      <c r="G128" s="183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</row>
    <row r="129" spans="1:18" ht="18" customHeight="1">
      <c r="A129" s="179"/>
      <c r="B129" s="179" t="str">
        <f t="shared" si="0"/>
        <v/>
      </c>
      <c r="C129" s="180"/>
      <c r="D129" s="181"/>
      <c r="E129" s="182"/>
      <c r="F129" s="183"/>
      <c r="G129" s="183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</row>
    <row r="130" spans="1:18" ht="18" customHeight="1">
      <c r="A130" s="179"/>
      <c r="B130" s="179" t="str">
        <f t="shared" si="0"/>
        <v/>
      </c>
      <c r="C130" s="180"/>
      <c r="D130" s="181"/>
      <c r="E130" s="182"/>
      <c r="F130" s="183"/>
      <c r="G130" s="183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</row>
    <row r="131" spans="1:18" ht="18" customHeight="1">
      <c r="A131" s="179"/>
      <c r="B131" s="179" t="str">
        <f t="shared" si="0"/>
        <v/>
      </c>
      <c r="C131" s="180"/>
      <c r="D131" s="181"/>
      <c r="E131" s="182"/>
      <c r="F131" s="183"/>
      <c r="G131" s="183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</row>
    <row r="132" spans="1:18" ht="18" customHeight="1">
      <c r="A132" s="179"/>
      <c r="B132" s="179" t="str">
        <f t="shared" si="0"/>
        <v/>
      </c>
      <c r="C132" s="180"/>
      <c r="D132" s="181"/>
      <c r="E132" s="182"/>
      <c r="F132" s="183"/>
      <c r="G132" s="183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</row>
    <row r="133" spans="1:18" ht="18" customHeight="1">
      <c r="A133" s="179"/>
      <c r="B133" s="179" t="str">
        <f t="shared" si="0"/>
        <v/>
      </c>
      <c r="C133" s="180"/>
      <c r="D133" s="181"/>
      <c r="E133" s="182"/>
      <c r="F133" s="183"/>
      <c r="G133" s="183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</row>
    <row r="134" spans="1:18" ht="18" customHeight="1">
      <c r="A134" s="179"/>
      <c r="B134" s="179" t="str">
        <f t="shared" si="0"/>
        <v/>
      </c>
      <c r="C134" s="180"/>
      <c r="D134" s="181"/>
      <c r="E134" s="182"/>
      <c r="F134" s="183"/>
      <c r="G134" s="183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</row>
    <row r="135" spans="1:18" ht="18" customHeight="1">
      <c r="A135" s="179"/>
      <c r="B135" s="179" t="str">
        <f t="shared" si="0"/>
        <v/>
      </c>
      <c r="C135" s="180"/>
      <c r="D135" s="181"/>
      <c r="E135" s="182"/>
      <c r="F135" s="183"/>
      <c r="G135" s="183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</row>
    <row r="136" spans="1:18" ht="18" customHeight="1">
      <c r="A136" s="179"/>
      <c r="B136" s="179" t="str">
        <f t="shared" si="0"/>
        <v/>
      </c>
      <c r="C136" s="180"/>
      <c r="D136" s="181"/>
      <c r="E136" s="182"/>
      <c r="F136" s="183"/>
      <c r="G136" s="183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</row>
    <row r="137" spans="1:18" ht="18" customHeight="1">
      <c r="A137" s="179"/>
      <c r="B137" s="179" t="str">
        <f t="shared" si="0"/>
        <v/>
      </c>
      <c r="C137" s="180"/>
      <c r="D137" s="181"/>
      <c r="E137" s="182"/>
      <c r="F137" s="183"/>
      <c r="G137" s="183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</row>
    <row r="138" spans="1:18" ht="18" customHeight="1">
      <c r="A138" s="179"/>
      <c r="B138" s="179" t="str">
        <f t="shared" si="0"/>
        <v/>
      </c>
      <c r="C138" s="180"/>
      <c r="D138" s="181"/>
      <c r="E138" s="182"/>
      <c r="F138" s="183"/>
      <c r="G138" s="183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</row>
    <row r="139" spans="1:18" ht="18" customHeight="1">
      <c r="A139" s="179"/>
      <c r="B139" s="179" t="str">
        <f t="shared" si="0"/>
        <v/>
      </c>
      <c r="C139" s="180"/>
      <c r="D139" s="181"/>
      <c r="E139" s="182"/>
      <c r="F139" s="183"/>
      <c r="G139" s="183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</row>
    <row r="140" spans="1:18" ht="18" customHeight="1">
      <c r="A140" s="179"/>
      <c r="B140" s="179" t="str">
        <f t="shared" si="0"/>
        <v/>
      </c>
      <c r="C140" s="180"/>
      <c r="D140" s="181"/>
      <c r="E140" s="182"/>
      <c r="F140" s="183"/>
      <c r="G140" s="183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</row>
    <row r="141" spans="1:18" ht="18" customHeight="1">
      <c r="A141" s="179"/>
      <c r="B141" s="179" t="str">
        <f t="shared" si="0"/>
        <v/>
      </c>
      <c r="C141" s="180"/>
      <c r="D141" s="181"/>
      <c r="E141" s="192"/>
      <c r="F141" s="183"/>
      <c r="G141" s="183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</row>
    <row r="142" spans="1:18" ht="18" customHeight="1">
      <c r="A142" s="179"/>
      <c r="B142" s="179" t="str">
        <f t="shared" si="0"/>
        <v/>
      </c>
      <c r="C142" s="180"/>
      <c r="D142" s="181"/>
      <c r="E142" s="192"/>
      <c r="F142" s="183"/>
      <c r="G142" s="183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</row>
    <row r="143" spans="1:18" ht="18" customHeight="1">
      <c r="A143" s="179"/>
      <c r="B143" s="179" t="str">
        <f t="shared" si="0"/>
        <v/>
      </c>
      <c r="C143" s="180"/>
      <c r="D143" s="181"/>
      <c r="E143" s="182"/>
      <c r="F143" s="183"/>
      <c r="G143" s="183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</row>
    <row r="144" spans="1:18" ht="18" customHeight="1">
      <c r="A144" s="179"/>
      <c r="B144" s="179" t="str">
        <f t="shared" ref="B144:B207" si="1">IF(E144="","",B143)</f>
        <v/>
      </c>
      <c r="C144" s="180"/>
      <c r="D144" s="181"/>
      <c r="E144" s="182"/>
      <c r="F144" s="183"/>
      <c r="G144" s="183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</row>
    <row r="145" spans="1:18" ht="18" customHeight="1">
      <c r="A145" s="179"/>
      <c r="B145" s="179" t="str">
        <f t="shared" si="1"/>
        <v/>
      </c>
      <c r="C145" s="180"/>
      <c r="D145" s="181"/>
      <c r="E145" s="194"/>
      <c r="F145" s="183"/>
      <c r="G145" s="183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</row>
    <row r="146" spans="1:18" ht="18" customHeight="1">
      <c r="A146" s="179"/>
      <c r="B146" s="179" t="str">
        <f t="shared" si="1"/>
        <v/>
      </c>
      <c r="C146" s="180"/>
      <c r="D146" s="181"/>
      <c r="E146" s="190"/>
      <c r="F146" s="183"/>
      <c r="G146" s="183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</row>
    <row r="147" spans="1:18" ht="18" customHeight="1">
      <c r="A147" s="179"/>
      <c r="B147" s="179" t="str">
        <f t="shared" si="1"/>
        <v/>
      </c>
      <c r="C147" s="180"/>
      <c r="D147" s="181"/>
      <c r="E147" s="190"/>
      <c r="F147" s="183"/>
      <c r="G147" s="183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</row>
    <row r="148" spans="1:18" ht="18" customHeight="1">
      <c r="A148" s="179"/>
      <c r="B148" s="179" t="str">
        <f t="shared" si="1"/>
        <v/>
      </c>
      <c r="C148" s="180"/>
      <c r="D148" s="181"/>
      <c r="E148" s="182"/>
      <c r="F148" s="183"/>
      <c r="G148" s="183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</row>
    <row r="149" spans="1:18" ht="18" customHeight="1">
      <c r="A149" s="179"/>
      <c r="B149" s="179" t="str">
        <f t="shared" si="1"/>
        <v/>
      </c>
      <c r="C149" s="180"/>
      <c r="D149" s="181"/>
      <c r="E149" s="193"/>
      <c r="F149" s="183"/>
      <c r="G149" s="183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</row>
    <row r="150" spans="1:18" ht="18" customHeight="1">
      <c r="A150" s="179"/>
      <c r="B150" s="179" t="str">
        <f t="shared" si="1"/>
        <v/>
      </c>
      <c r="C150" s="180"/>
      <c r="D150" s="181"/>
      <c r="E150" s="182"/>
      <c r="F150" s="183"/>
      <c r="G150" s="183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</row>
    <row r="151" spans="1:18" ht="18" customHeight="1">
      <c r="A151" s="179"/>
      <c r="B151" s="179" t="str">
        <f t="shared" si="1"/>
        <v/>
      </c>
      <c r="C151" s="180"/>
      <c r="D151" s="181"/>
      <c r="E151" s="182"/>
      <c r="F151" s="183"/>
      <c r="G151" s="183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</row>
    <row r="152" spans="1:18" ht="18" customHeight="1">
      <c r="A152" s="179"/>
      <c r="B152" s="179" t="str">
        <f t="shared" si="1"/>
        <v/>
      </c>
      <c r="C152" s="180"/>
      <c r="D152" s="181"/>
      <c r="E152" s="182"/>
      <c r="F152" s="183"/>
      <c r="G152" s="183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</row>
    <row r="153" spans="1:18" ht="18" customHeight="1">
      <c r="A153" s="179"/>
      <c r="B153" s="179" t="str">
        <f t="shared" si="1"/>
        <v/>
      </c>
      <c r="C153" s="180"/>
      <c r="D153" s="181"/>
      <c r="E153" s="188"/>
      <c r="F153" s="183"/>
      <c r="G153" s="183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</row>
    <row r="154" spans="1:18" ht="18" customHeight="1">
      <c r="A154" s="179"/>
      <c r="B154" s="179" t="str">
        <f t="shared" si="1"/>
        <v/>
      </c>
      <c r="C154" s="180"/>
      <c r="D154" s="181"/>
      <c r="E154" s="182"/>
      <c r="F154" s="183"/>
      <c r="G154" s="183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</row>
    <row r="155" spans="1:18" ht="18" customHeight="1">
      <c r="A155" s="179"/>
      <c r="B155" s="179" t="str">
        <f t="shared" si="1"/>
        <v/>
      </c>
      <c r="C155" s="180"/>
      <c r="D155" s="181"/>
      <c r="E155" s="182"/>
      <c r="F155" s="183"/>
      <c r="G155" s="183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</row>
    <row r="156" spans="1:18" ht="18" customHeight="1">
      <c r="A156" s="179"/>
      <c r="B156" s="179" t="str">
        <f t="shared" si="1"/>
        <v/>
      </c>
      <c r="C156" s="180"/>
      <c r="D156" s="181"/>
      <c r="E156" s="182"/>
      <c r="F156" s="183"/>
      <c r="G156" s="183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</row>
    <row r="157" spans="1:18" ht="18" customHeight="1">
      <c r="A157" s="179"/>
      <c r="B157" s="179" t="str">
        <f t="shared" si="1"/>
        <v/>
      </c>
      <c r="C157" s="180"/>
      <c r="D157" s="181"/>
      <c r="E157" s="182"/>
      <c r="F157" s="183"/>
      <c r="G157" s="183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</row>
    <row r="158" spans="1:18" ht="18" customHeight="1">
      <c r="A158" s="179"/>
      <c r="B158" s="179" t="str">
        <f t="shared" si="1"/>
        <v/>
      </c>
      <c r="C158" s="180"/>
      <c r="D158" s="181"/>
      <c r="E158" s="182"/>
      <c r="F158" s="183"/>
      <c r="G158" s="183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</row>
    <row r="159" spans="1:18" ht="18" customHeight="1">
      <c r="A159" s="179"/>
      <c r="B159" s="179" t="str">
        <f t="shared" si="1"/>
        <v/>
      </c>
      <c r="C159" s="180"/>
      <c r="D159" s="181"/>
      <c r="E159" s="182"/>
      <c r="F159" s="183"/>
      <c r="G159" s="183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</row>
    <row r="160" spans="1:18" ht="18" customHeight="1">
      <c r="A160" s="179"/>
      <c r="B160" s="179" t="str">
        <f t="shared" si="1"/>
        <v/>
      </c>
      <c r="C160" s="180"/>
      <c r="D160" s="181"/>
      <c r="E160" s="182"/>
      <c r="F160" s="183"/>
      <c r="G160" s="183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</row>
    <row r="161" spans="1:18" ht="18" customHeight="1">
      <c r="A161" s="179"/>
      <c r="B161" s="179" t="str">
        <f t="shared" si="1"/>
        <v/>
      </c>
      <c r="C161" s="180"/>
      <c r="D161" s="181"/>
      <c r="E161" s="182"/>
      <c r="F161" s="183"/>
      <c r="G161" s="183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</row>
    <row r="162" spans="1:18" ht="18" customHeight="1">
      <c r="A162" s="179"/>
      <c r="B162" s="179" t="str">
        <f t="shared" si="1"/>
        <v/>
      </c>
      <c r="C162" s="180"/>
      <c r="D162" s="181"/>
      <c r="E162" s="182"/>
      <c r="F162" s="183"/>
      <c r="G162" s="183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</row>
    <row r="163" spans="1:18" ht="18" customHeight="1">
      <c r="A163" s="179"/>
      <c r="B163" s="179" t="str">
        <f t="shared" si="1"/>
        <v/>
      </c>
      <c r="C163" s="180"/>
      <c r="D163" s="181"/>
      <c r="E163" s="182"/>
      <c r="F163" s="183"/>
      <c r="G163" s="183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</row>
    <row r="164" spans="1:18" ht="18" customHeight="1">
      <c r="A164" s="179"/>
      <c r="B164" s="179" t="str">
        <f t="shared" si="1"/>
        <v/>
      </c>
      <c r="C164" s="180"/>
      <c r="D164" s="181"/>
      <c r="E164" s="182"/>
      <c r="F164" s="183"/>
      <c r="G164" s="183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</row>
    <row r="165" spans="1:18" ht="18" customHeight="1">
      <c r="A165" s="179"/>
      <c r="B165" s="179" t="str">
        <f t="shared" si="1"/>
        <v/>
      </c>
      <c r="C165" s="180"/>
      <c r="D165" s="181"/>
      <c r="E165" s="182"/>
      <c r="F165" s="183"/>
      <c r="G165" s="183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</row>
    <row r="166" spans="1:18" ht="18" customHeight="1">
      <c r="A166" s="179"/>
      <c r="B166" s="179" t="str">
        <f t="shared" si="1"/>
        <v/>
      </c>
      <c r="C166" s="180"/>
      <c r="D166" s="181"/>
      <c r="E166" s="182"/>
      <c r="F166" s="183"/>
      <c r="G166" s="183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</row>
    <row r="167" spans="1:18" ht="18" customHeight="1">
      <c r="A167" s="179"/>
      <c r="B167" s="179" t="str">
        <f t="shared" si="1"/>
        <v/>
      </c>
      <c r="C167" s="180"/>
      <c r="D167" s="181"/>
      <c r="E167" s="182"/>
      <c r="F167" s="183"/>
      <c r="G167" s="183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</row>
    <row r="168" spans="1:18" ht="18" customHeight="1">
      <c r="A168" s="179"/>
      <c r="B168" s="179" t="str">
        <f t="shared" si="1"/>
        <v/>
      </c>
      <c r="C168" s="180"/>
      <c r="D168" s="181"/>
      <c r="E168" s="182"/>
      <c r="F168" s="183"/>
      <c r="G168" s="183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</row>
    <row r="169" spans="1:18" ht="18" customHeight="1">
      <c r="A169" s="179"/>
      <c r="B169" s="179" t="str">
        <f t="shared" si="1"/>
        <v/>
      </c>
      <c r="C169" s="180"/>
      <c r="D169" s="181"/>
      <c r="E169" s="182"/>
      <c r="F169" s="183"/>
      <c r="G169" s="183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</row>
    <row r="170" spans="1:18" ht="18" customHeight="1">
      <c r="A170" s="179"/>
      <c r="B170" s="179" t="str">
        <f t="shared" si="1"/>
        <v/>
      </c>
      <c r="C170" s="180"/>
      <c r="D170" s="181"/>
      <c r="E170" s="182"/>
      <c r="F170" s="183"/>
      <c r="G170" s="183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</row>
    <row r="171" spans="1:18" ht="18" customHeight="1">
      <c r="A171" s="179"/>
      <c r="B171" s="179" t="str">
        <f t="shared" si="1"/>
        <v/>
      </c>
      <c r="C171" s="180"/>
      <c r="D171" s="181"/>
      <c r="E171" s="182"/>
      <c r="F171" s="183"/>
      <c r="G171" s="183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</row>
    <row r="172" spans="1:18" ht="18" customHeight="1">
      <c r="A172" s="179"/>
      <c r="B172" s="179" t="str">
        <f t="shared" si="1"/>
        <v/>
      </c>
      <c r="C172" s="180"/>
      <c r="D172" s="181"/>
      <c r="E172" s="182"/>
      <c r="F172" s="183"/>
      <c r="G172" s="183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</row>
    <row r="173" spans="1:18" ht="18" customHeight="1">
      <c r="A173" s="179"/>
      <c r="B173" s="179" t="str">
        <f t="shared" si="1"/>
        <v/>
      </c>
      <c r="C173" s="180"/>
      <c r="D173" s="181"/>
      <c r="E173" s="182"/>
      <c r="F173" s="183"/>
      <c r="G173" s="183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</row>
    <row r="174" spans="1:18" ht="18" customHeight="1">
      <c r="A174" s="179"/>
      <c r="B174" s="179" t="str">
        <f t="shared" si="1"/>
        <v/>
      </c>
      <c r="C174" s="180"/>
      <c r="D174" s="181"/>
      <c r="E174" s="182"/>
      <c r="F174" s="183"/>
      <c r="G174" s="183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</row>
    <row r="175" spans="1:18" ht="18" customHeight="1">
      <c r="A175" s="179"/>
      <c r="B175" s="179" t="str">
        <f t="shared" si="1"/>
        <v/>
      </c>
      <c r="C175" s="180"/>
      <c r="D175" s="181"/>
      <c r="E175" s="182"/>
      <c r="F175" s="183"/>
      <c r="G175" s="183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</row>
    <row r="176" spans="1:18" ht="18" customHeight="1">
      <c r="A176" s="179"/>
      <c r="B176" s="179" t="str">
        <f t="shared" si="1"/>
        <v/>
      </c>
      <c r="C176" s="180"/>
      <c r="D176" s="181"/>
      <c r="E176" s="182"/>
      <c r="F176" s="183"/>
      <c r="G176" s="183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</row>
    <row r="177" spans="1:18" ht="18" customHeight="1">
      <c r="A177" s="179"/>
      <c r="B177" s="179" t="str">
        <f t="shared" si="1"/>
        <v/>
      </c>
      <c r="C177" s="180"/>
      <c r="D177" s="181"/>
      <c r="E177" s="182"/>
      <c r="F177" s="183"/>
      <c r="G177" s="183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</row>
    <row r="178" spans="1:18" ht="18" customHeight="1">
      <c r="A178" s="179"/>
      <c r="B178" s="179" t="str">
        <f t="shared" si="1"/>
        <v/>
      </c>
      <c r="C178" s="180"/>
      <c r="D178" s="181"/>
      <c r="E178" s="182"/>
      <c r="F178" s="183"/>
      <c r="G178" s="183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</row>
    <row r="179" spans="1:18" ht="18" customHeight="1">
      <c r="A179" s="179"/>
      <c r="B179" s="179" t="str">
        <f t="shared" si="1"/>
        <v/>
      </c>
      <c r="C179" s="180"/>
      <c r="D179" s="181"/>
      <c r="E179" s="182"/>
      <c r="F179" s="183"/>
      <c r="G179" s="183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</row>
    <row r="180" spans="1:18" ht="18" customHeight="1">
      <c r="A180" s="179"/>
      <c r="B180" s="179" t="str">
        <f t="shared" si="1"/>
        <v/>
      </c>
      <c r="C180" s="180"/>
      <c r="D180" s="181"/>
      <c r="E180" s="188"/>
      <c r="F180" s="183"/>
      <c r="G180" s="183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</row>
    <row r="181" spans="1:18" ht="18" customHeight="1">
      <c r="A181" s="179"/>
      <c r="B181" s="179" t="str">
        <f t="shared" si="1"/>
        <v/>
      </c>
      <c r="C181" s="180"/>
      <c r="D181" s="181"/>
      <c r="E181" s="188"/>
      <c r="F181" s="183"/>
      <c r="G181" s="183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</row>
    <row r="182" spans="1:18" ht="18" customHeight="1">
      <c r="A182" s="179"/>
      <c r="B182" s="179" t="str">
        <f t="shared" si="1"/>
        <v/>
      </c>
      <c r="C182" s="180"/>
      <c r="D182" s="181"/>
      <c r="E182" s="192"/>
      <c r="F182" s="183"/>
      <c r="G182" s="183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</row>
    <row r="183" spans="1:18" ht="18" customHeight="1">
      <c r="A183" s="179"/>
      <c r="B183" s="179" t="str">
        <f t="shared" si="1"/>
        <v/>
      </c>
      <c r="C183" s="180"/>
      <c r="D183" s="181"/>
      <c r="E183" s="192"/>
      <c r="F183" s="183"/>
      <c r="G183" s="183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</row>
    <row r="184" spans="1:18" ht="18" customHeight="1">
      <c r="A184" s="179"/>
      <c r="B184" s="179" t="str">
        <f t="shared" si="1"/>
        <v/>
      </c>
      <c r="C184" s="180"/>
      <c r="D184" s="181"/>
      <c r="E184" s="182"/>
      <c r="F184" s="183"/>
      <c r="G184" s="183"/>
      <c r="I184" s="185"/>
      <c r="J184" s="185"/>
      <c r="K184" s="185"/>
      <c r="L184" s="185"/>
      <c r="M184" s="186"/>
      <c r="N184" s="186"/>
      <c r="O184" s="186"/>
      <c r="P184" s="186"/>
      <c r="Q184" s="186"/>
      <c r="R184" s="186"/>
    </row>
    <row r="185" spans="1:18" ht="18" customHeight="1">
      <c r="A185" s="179"/>
      <c r="B185" s="179" t="str">
        <f t="shared" si="1"/>
        <v/>
      </c>
      <c r="C185" s="180"/>
      <c r="D185" s="181"/>
      <c r="E185" s="182"/>
      <c r="F185" s="183"/>
      <c r="G185" s="183"/>
      <c r="I185" s="185"/>
      <c r="J185" s="185"/>
      <c r="K185" s="187"/>
      <c r="L185" s="187"/>
      <c r="M185" s="186"/>
      <c r="N185" s="186"/>
      <c r="O185" s="186"/>
      <c r="P185" s="186"/>
      <c r="Q185" s="186"/>
      <c r="R185" s="186"/>
    </row>
    <row r="186" spans="1:18" ht="18" customHeight="1">
      <c r="A186" s="179"/>
      <c r="B186" s="179" t="str">
        <f t="shared" si="1"/>
        <v/>
      </c>
      <c r="C186" s="180"/>
      <c r="D186" s="181"/>
      <c r="E186" s="182"/>
      <c r="F186" s="183"/>
      <c r="G186" s="183"/>
      <c r="I186" s="185"/>
      <c r="J186" s="185"/>
      <c r="K186" s="187"/>
      <c r="L186" s="187"/>
      <c r="M186" s="186"/>
      <c r="N186" s="186"/>
      <c r="O186" s="186"/>
      <c r="P186" s="186"/>
      <c r="Q186" s="186"/>
      <c r="R186" s="186"/>
    </row>
    <row r="187" spans="1:18" ht="18" customHeight="1">
      <c r="A187" s="179"/>
      <c r="B187" s="179" t="str">
        <f t="shared" si="1"/>
        <v/>
      </c>
      <c r="C187" s="180"/>
      <c r="D187" s="181"/>
      <c r="E187" s="182"/>
      <c r="F187" s="183"/>
      <c r="G187" s="183"/>
      <c r="I187" s="185"/>
      <c r="J187" s="185"/>
      <c r="K187" s="187"/>
      <c r="L187" s="187"/>
      <c r="M187" s="186"/>
      <c r="N187" s="186"/>
      <c r="O187" s="186"/>
      <c r="P187" s="186"/>
      <c r="Q187" s="186"/>
      <c r="R187" s="186"/>
    </row>
    <row r="188" spans="1:18" ht="18" customHeight="1">
      <c r="A188" s="179"/>
      <c r="B188" s="179" t="str">
        <f t="shared" si="1"/>
        <v/>
      </c>
      <c r="C188" s="180"/>
      <c r="D188" s="181"/>
      <c r="E188" s="182"/>
      <c r="F188" s="183"/>
      <c r="G188" s="183"/>
      <c r="I188" s="189"/>
      <c r="J188" s="189"/>
      <c r="K188" s="187"/>
      <c r="L188" s="187"/>
      <c r="M188" s="186"/>
      <c r="N188" s="186"/>
      <c r="O188" s="186"/>
      <c r="P188" s="186"/>
      <c r="Q188" s="186"/>
      <c r="R188" s="186"/>
    </row>
    <row r="189" spans="1:18" ht="18" customHeight="1">
      <c r="A189" s="179"/>
      <c r="B189" s="179" t="str">
        <f t="shared" si="1"/>
        <v/>
      </c>
      <c r="C189" s="180"/>
      <c r="D189" s="181"/>
      <c r="E189" s="182"/>
      <c r="F189" s="183"/>
      <c r="G189" s="183"/>
      <c r="I189" s="189"/>
      <c r="J189" s="189"/>
      <c r="K189" s="187"/>
      <c r="L189" s="187"/>
      <c r="M189" s="186"/>
      <c r="N189" s="186"/>
      <c r="O189" s="186"/>
      <c r="P189" s="186"/>
      <c r="Q189" s="186"/>
      <c r="R189" s="186"/>
    </row>
    <row r="190" spans="1:18" ht="18" customHeight="1">
      <c r="A190" s="179"/>
      <c r="B190" s="179" t="str">
        <f t="shared" si="1"/>
        <v/>
      </c>
      <c r="C190" s="180"/>
      <c r="D190" s="181"/>
      <c r="E190" s="182"/>
      <c r="F190" s="183"/>
      <c r="G190" s="183"/>
      <c r="I190" s="185"/>
      <c r="J190" s="185"/>
      <c r="K190" s="187"/>
      <c r="L190" s="187"/>
      <c r="M190" s="186"/>
      <c r="N190" s="186"/>
      <c r="O190" s="186"/>
      <c r="P190" s="186"/>
      <c r="Q190" s="186"/>
      <c r="R190" s="186"/>
    </row>
    <row r="191" spans="1:18" ht="18" customHeight="1">
      <c r="A191" s="179"/>
      <c r="B191" s="179" t="str">
        <f t="shared" si="1"/>
        <v/>
      </c>
      <c r="C191" s="180"/>
      <c r="D191" s="181"/>
      <c r="E191" s="182"/>
      <c r="F191" s="183"/>
      <c r="G191" s="183"/>
      <c r="I191" s="185"/>
      <c r="J191" s="185"/>
      <c r="K191" s="187"/>
      <c r="L191" s="187"/>
      <c r="M191" s="186"/>
      <c r="N191" s="186"/>
      <c r="O191" s="186"/>
      <c r="P191" s="186"/>
      <c r="Q191" s="186"/>
      <c r="R191" s="186"/>
    </row>
    <row r="192" spans="1:18" ht="18" customHeight="1">
      <c r="A192" s="179"/>
      <c r="B192" s="179" t="str">
        <f t="shared" si="1"/>
        <v/>
      </c>
      <c r="C192" s="180"/>
      <c r="D192" s="181"/>
      <c r="E192" s="182"/>
      <c r="F192" s="183"/>
      <c r="G192" s="183"/>
      <c r="I192" s="185"/>
      <c r="J192" s="185"/>
      <c r="K192" s="187"/>
      <c r="L192" s="187"/>
      <c r="M192" s="186"/>
      <c r="N192" s="186"/>
      <c r="O192" s="186"/>
      <c r="P192" s="186"/>
      <c r="Q192" s="186"/>
      <c r="R192" s="186"/>
    </row>
    <row r="193" spans="1:18" ht="18" customHeight="1">
      <c r="A193" s="179"/>
      <c r="B193" s="179" t="str">
        <f t="shared" si="1"/>
        <v/>
      </c>
      <c r="C193" s="180"/>
      <c r="D193" s="181"/>
      <c r="E193" s="182"/>
      <c r="F193" s="183"/>
      <c r="G193" s="183"/>
      <c r="I193" s="185"/>
      <c r="J193" s="185"/>
      <c r="K193" s="187"/>
      <c r="L193" s="187"/>
      <c r="M193" s="186"/>
      <c r="N193" s="186"/>
      <c r="O193" s="186"/>
      <c r="P193" s="186"/>
      <c r="Q193" s="186"/>
      <c r="R193" s="186"/>
    </row>
    <row r="194" spans="1:18" ht="18" customHeight="1">
      <c r="A194" s="179"/>
      <c r="B194" s="179" t="str">
        <f t="shared" si="1"/>
        <v/>
      </c>
      <c r="C194" s="180"/>
      <c r="D194" s="181"/>
      <c r="E194" s="182"/>
      <c r="F194" s="183"/>
      <c r="G194" s="183"/>
      <c r="I194" s="189"/>
      <c r="J194" s="189"/>
      <c r="K194" s="187"/>
      <c r="L194" s="187"/>
      <c r="M194" s="186"/>
      <c r="N194" s="186"/>
      <c r="O194" s="186"/>
      <c r="P194" s="186"/>
      <c r="Q194" s="186"/>
      <c r="R194" s="186"/>
    </row>
    <row r="195" spans="1:18" ht="18" customHeight="1">
      <c r="A195" s="179"/>
      <c r="B195" s="179" t="str">
        <f t="shared" si="1"/>
        <v/>
      </c>
      <c r="C195" s="180"/>
      <c r="D195" s="181"/>
      <c r="E195" s="182"/>
      <c r="F195" s="183"/>
      <c r="G195" s="183"/>
      <c r="I195" s="185"/>
      <c r="J195" s="185"/>
      <c r="K195" s="187"/>
      <c r="L195" s="187"/>
      <c r="M195" s="186"/>
      <c r="N195" s="186"/>
      <c r="O195" s="186"/>
      <c r="P195" s="186"/>
      <c r="Q195" s="186"/>
      <c r="R195" s="186"/>
    </row>
    <row r="196" spans="1:18" ht="18" customHeight="1">
      <c r="A196" s="179"/>
      <c r="B196" s="179" t="str">
        <f t="shared" si="1"/>
        <v/>
      </c>
      <c r="C196" s="180"/>
      <c r="D196" s="181"/>
      <c r="E196" s="184"/>
      <c r="F196" s="183"/>
      <c r="G196" s="183"/>
      <c r="I196" s="185"/>
      <c r="J196" s="185"/>
      <c r="K196" s="187"/>
      <c r="L196" s="187"/>
      <c r="M196" s="186"/>
      <c r="N196" s="186"/>
      <c r="O196" s="186"/>
      <c r="P196" s="186"/>
      <c r="Q196" s="186"/>
      <c r="R196" s="186"/>
    </row>
    <row r="197" spans="1:18" ht="18" customHeight="1">
      <c r="A197" s="179"/>
      <c r="B197" s="179" t="str">
        <f t="shared" si="1"/>
        <v/>
      </c>
      <c r="C197" s="180"/>
      <c r="D197" s="181"/>
      <c r="E197" s="182"/>
      <c r="F197" s="183"/>
      <c r="G197" s="183"/>
      <c r="I197" s="185"/>
      <c r="J197" s="185"/>
      <c r="K197" s="187"/>
      <c r="L197" s="187"/>
      <c r="M197" s="186"/>
      <c r="N197" s="186"/>
      <c r="O197" s="186"/>
      <c r="P197" s="186"/>
      <c r="Q197" s="186"/>
      <c r="R197" s="186"/>
    </row>
    <row r="198" spans="1:18" ht="18" customHeight="1">
      <c r="A198" s="179"/>
      <c r="B198" s="179" t="str">
        <f t="shared" si="1"/>
        <v/>
      </c>
      <c r="C198" s="180"/>
      <c r="D198" s="181"/>
      <c r="E198" s="182"/>
      <c r="F198" s="183"/>
      <c r="G198" s="183"/>
      <c r="I198" s="185"/>
      <c r="J198" s="185"/>
      <c r="K198" s="187"/>
      <c r="L198" s="187"/>
      <c r="M198" s="186"/>
      <c r="N198" s="186"/>
      <c r="O198" s="186"/>
      <c r="P198" s="186"/>
      <c r="Q198" s="186"/>
      <c r="R198" s="186"/>
    </row>
    <row r="199" spans="1:18" ht="18" customHeight="1">
      <c r="A199" s="179"/>
      <c r="B199" s="179" t="str">
        <f t="shared" si="1"/>
        <v/>
      </c>
      <c r="C199" s="180"/>
      <c r="D199" s="181"/>
      <c r="E199" s="182"/>
      <c r="F199" s="183"/>
      <c r="G199" s="183"/>
      <c r="I199" s="185"/>
      <c r="J199" s="185"/>
      <c r="K199" s="187"/>
      <c r="L199" s="187"/>
      <c r="M199" s="186"/>
      <c r="N199" s="186"/>
      <c r="O199" s="186"/>
      <c r="P199" s="186"/>
      <c r="Q199" s="186"/>
      <c r="R199" s="186"/>
    </row>
    <row r="200" spans="1:18" ht="18" customHeight="1">
      <c r="A200" s="179"/>
      <c r="B200" s="179" t="str">
        <f t="shared" si="1"/>
        <v/>
      </c>
      <c r="C200" s="180"/>
      <c r="D200" s="181"/>
      <c r="E200" s="182"/>
      <c r="F200" s="183"/>
      <c r="G200" s="183"/>
      <c r="I200" s="185"/>
      <c r="J200" s="185"/>
      <c r="K200" s="187"/>
      <c r="L200" s="187"/>
      <c r="M200" s="186"/>
      <c r="N200" s="186"/>
      <c r="O200" s="186"/>
      <c r="P200" s="186"/>
      <c r="Q200" s="186"/>
      <c r="R200" s="186"/>
    </row>
    <row r="201" spans="1:18" ht="18" customHeight="1">
      <c r="A201" s="179"/>
      <c r="B201" s="179" t="str">
        <f t="shared" si="1"/>
        <v/>
      </c>
      <c r="C201" s="180"/>
      <c r="D201" s="181"/>
      <c r="E201" s="182"/>
      <c r="F201" s="183"/>
      <c r="G201" s="183"/>
      <c r="I201" s="185"/>
      <c r="J201" s="185"/>
      <c r="K201" s="187"/>
      <c r="L201" s="187"/>
      <c r="M201" s="186"/>
      <c r="N201" s="186"/>
      <c r="O201" s="186"/>
      <c r="P201" s="186"/>
      <c r="Q201" s="186"/>
      <c r="R201" s="186"/>
    </row>
    <row r="202" spans="1:18" ht="18" customHeight="1">
      <c r="A202" s="179"/>
      <c r="B202" s="179" t="str">
        <f t="shared" si="1"/>
        <v/>
      </c>
      <c r="C202" s="180"/>
      <c r="D202" s="181"/>
      <c r="E202" s="182"/>
      <c r="F202" s="183"/>
      <c r="G202" s="183"/>
      <c r="I202" s="185"/>
      <c r="J202" s="185"/>
      <c r="K202" s="185"/>
      <c r="L202" s="185"/>
      <c r="M202" s="186"/>
      <c r="N202" s="186"/>
      <c r="O202" s="186"/>
      <c r="P202" s="186"/>
      <c r="Q202" s="186"/>
      <c r="R202" s="186"/>
    </row>
    <row r="203" spans="1:18" ht="18" customHeight="1">
      <c r="A203" s="179"/>
      <c r="B203" s="179" t="str">
        <f t="shared" si="1"/>
        <v/>
      </c>
      <c r="C203" s="180"/>
      <c r="D203" s="181"/>
      <c r="E203" s="190"/>
      <c r="F203" s="183"/>
      <c r="G203" s="183"/>
      <c r="I203" s="185"/>
      <c r="J203" s="185"/>
      <c r="K203" s="187"/>
      <c r="L203" s="187"/>
      <c r="M203" s="186"/>
      <c r="N203" s="186"/>
      <c r="O203" s="186"/>
      <c r="P203" s="186"/>
      <c r="Q203" s="186"/>
      <c r="R203" s="186"/>
    </row>
    <row r="204" spans="1:18" ht="18" customHeight="1">
      <c r="A204" s="179"/>
      <c r="B204" s="179" t="str">
        <f t="shared" si="1"/>
        <v/>
      </c>
      <c r="C204" s="180"/>
      <c r="D204" s="181"/>
      <c r="E204" s="182"/>
      <c r="F204" s="183"/>
      <c r="G204" s="183"/>
      <c r="I204" s="185"/>
      <c r="J204" s="185"/>
      <c r="K204" s="187"/>
      <c r="L204" s="187"/>
      <c r="M204" s="186"/>
      <c r="N204" s="186"/>
      <c r="O204" s="186"/>
      <c r="P204" s="186"/>
      <c r="Q204" s="186"/>
      <c r="R204" s="186"/>
    </row>
    <row r="205" spans="1:18" ht="18" customHeight="1">
      <c r="A205" s="179"/>
      <c r="B205" s="179" t="str">
        <f t="shared" si="1"/>
        <v/>
      </c>
      <c r="C205" s="180"/>
      <c r="D205" s="181"/>
      <c r="E205" s="182"/>
      <c r="F205" s="183"/>
      <c r="G205" s="183"/>
      <c r="I205" s="185"/>
      <c r="J205" s="185"/>
      <c r="K205" s="187"/>
      <c r="L205" s="187"/>
      <c r="M205" s="186"/>
      <c r="N205" s="186"/>
      <c r="O205" s="186"/>
      <c r="P205" s="186"/>
      <c r="Q205" s="186"/>
      <c r="R205" s="186"/>
    </row>
    <row r="206" spans="1:18" ht="18" customHeight="1">
      <c r="A206" s="179"/>
      <c r="B206" s="179" t="str">
        <f t="shared" si="1"/>
        <v/>
      </c>
      <c r="C206" s="180"/>
      <c r="D206" s="181"/>
      <c r="E206" s="182"/>
      <c r="F206" s="183"/>
      <c r="G206" s="183"/>
      <c r="I206" s="189"/>
      <c r="J206" s="189"/>
      <c r="K206" s="187"/>
      <c r="L206" s="187"/>
      <c r="M206" s="186"/>
      <c r="N206" s="186"/>
      <c r="O206" s="186"/>
      <c r="P206" s="186"/>
      <c r="Q206" s="186"/>
      <c r="R206" s="186"/>
    </row>
    <row r="207" spans="1:18" ht="18" customHeight="1">
      <c r="A207" s="179"/>
      <c r="B207" s="179" t="str">
        <f t="shared" si="1"/>
        <v/>
      </c>
      <c r="C207" s="180"/>
      <c r="D207" s="181"/>
      <c r="E207" s="182"/>
      <c r="F207" s="183"/>
      <c r="G207" s="183"/>
      <c r="I207" s="185"/>
      <c r="J207" s="185"/>
      <c r="K207" s="187"/>
      <c r="L207" s="187"/>
      <c r="M207" s="186"/>
      <c r="N207" s="186"/>
      <c r="O207" s="186"/>
      <c r="P207" s="186"/>
      <c r="Q207" s="186"/>
      <c r="R207" s="186"/>
    </row>
    <row r="208" spans="1:18" ht="18" customHeight="1">
      <c r="A208" s="179"/>
      <c r="B208" s="179" t="str">
        <f t="shared" ref="B208:B271" si="2">IF(E208="","",B207)</f>
        <v/>
      </c>
      <c r="C208" s="180"/>
      <c r="D208" s="181"/>
      <c r="E208" s="182"/>
      <c r="F208" s="183"/>
      <c r="G208" s="183"/>
      <c r="I208" s="185"/>
      <c r="J208" s="185"/>
      <c r="K208" s="187"/>
      <c r="L208" s="187"/>
      <c r="M208" s="186"/>
      <c r="N208" s="186"/>
      <c r="O208" s="186"/>
      <c r="P208" s="186"/>
      <c r="Q208" s="186"/>
      <c r="R208" s="186"/>
    </row>
    <row r="209" spans="1:18" ht="18" customHeight="1">
      <c r="A209" s="179"/>
      <c r="B209" s="179" t="str">
        <f t="shared" si="2"/>
        <v/>
      </c>
      <c r="C209" s="180"/>
      <c r="D209" s="181"/>
      <c r="E209" s="182"/>
      <c r="F209" s="183"/>
      <c r="G209" s="183"/>
      <c r="I209" s="185"/>
      <c r="J209" s="185"/>
      <c r="K209" s="187"/>
      <c r="L209" s="187"/>
      <c r="M209" s="186"/>
      <c r="N209" s="186"/>
      <c r="O209" s="186"/>
      <c r="P209" s="186"/>
      <c r="Q209" s="186"/>
      <c r="R209" s="186"/>
    </row>
    <row r="210" spans="1:18" ht="18" customHeight="1">
      <c r="A210" s="179"/>
      <c r="B210" s="179" t="str">
        <f t="shared" si="2"/>
        <v/>
      </c>
      <c r="C210" s="180"/>
      <c r="D210" s="181"/>
      <c r="E210" s="182"/>
      <c r="F210" s="183"/>
      <c r="G210" s="183"/>
      <c r="I210" s="185"/>
      <c r="J210" s="185"/>
      <c r="K210" s="187"/>
      <c r="L210" s="187"/>
      <c r="M210" s="186"/>
      <c r="N210" s="186"/>
      <c r="O210" s="186"/>
      <c r="P210" s="186"/>
      <c r="Q210" s="186"/>
      <c r="R210" s="186"/>
    </row>
    <row r="211" spans="1:18" ht="18" customHeight="1">
      <c r="A211" s="179"/>
      <c r="B211" s="179" t="str">
        <f t="shared" si="2"/>
        <v/>
      </c>
      <c r="C211" s="180"/>
      <c r="D211" s="181"/>
      <c r="E211" s="182"/>
      <c r="F211" s="183"/>
      <c r="G211" s="183"/>
      <c r="I211" s="185"/>
      <c r="J211" s="185"/>
      <c r="K211" s="187"/>
      <c r="L211" s="187"/>
      <c r="M211" s="186"/>
      <c r="N211" s="186"/>
      <c r="O211" s="186"/>
      <c r="P211" s="186"/>
      <c r="Q211" s="186"/>
      <c r="R211" s="186"/>
    </row>
    <row r="212" spans="1:18" ht="18" customHeight="1">
      <c r="A212" s="179"/>
      <c r="B212" s="179" t="str">
        <f t="shared" si="2"/>
        <v/>
      </c>
      <c r="C212" s="180"/>
      <c r="D212" s="181"/>
      <c r="E212" s="190"/>
      <c r="F212" s="183"/>
      <c r="G212" s="183"/>
      <c r="I212" s="185"/>
      <c r="J212" s="185"/>
      <c r="K212" s="187"/>
      <c r="L212" s="187"/>
      <c r="M212" s="186"/>
      <c r="N212" s="186"/>
      <c r="O212" s="186"/>
      <c r="P212" s="186"/>
      <c r="Q212" s="186"/>
      <c r="R212" s="186"/>
    </row>
    <row r="213" spans="1:18" ht="18" customHeight="1">
      <c r="A213" s="179"/>
      <c r="B213" s="179" t="str">
        <f t="shared" si="2"/>
        <v/>
      </c>
      <c r="C213" s="180"/>
      <c r="D213" s="181"/>
      <c r="E213" s="182"/>
      <c r="F213" s="183"/>
      <c r="G213" s="183"/>
      <c r="I213" s="185"/>
      <c r="J213" s="185"/>
      <c r="K213" s="187"/>
      <c r="L213" s="187"/>
      <c r="M213" s="186"/>
      <c r="N213" s="186"/>
      <c r="O213" s="186"/>
      <c r="P213" s="186"/>
      <c r="Q213" s="186"/>
      <c r="R213" s="186"/>
    </row>
    <row r="214" spans="1:18" ht="18" customHeight="1">
      <c r="A214" s="179"/>
      <c r="B214" s="179" t="str">
        <f t="shared" si="2"/>
        <v/>
      </c>
      <c r="C214" s="180"/>
      <c r="D214" s="181"/>
      <c r="E214" s="182"/>
      <c r="F214" s="183"/>
      <c r="G214" s="183"/>
      <c r="I214" s="185"/>
      <c r="J214" s="185"/>
      <c r="K214" s="187"/>
      <c r="L214" s="187"/>
      <c r="M214" s="186"/>
      <c r="N214" s="186"/>
      <c r="O214" s="186"/>
      <c r="P214" s="186"/>
      <c r="Q214" s="186"/>
      <c r="R214" s="186"/>
    </row>
    <row r="215" spans="1:18" ht="18" customHeight="1">
      <c r="A215" s="179"/>
      <c r="B215" s="179" t="str">
        <f t="shared" si="2"/>
        <v/>
      </c>
      <c r="C215" s="180"/>
      <c r="D215" s="181"/>
      <c r="E215" s="182"/>
      <c r="F215" s="183"/>
      <c r="G215" s="183"/>
      <c r="I215" s="189"/>
      <c r="J215" s="189"/>
      <c r="K215" s="187"/>
      <c r="L215" s="187"/>
      <c r="M215" s="186"/>
      <c r="N215" s="186"/>
      <c r="O215" s="186"/>
      <c r="P215" s="186"/>
      <c r="Q215" s="186"/>
      <c r="R215" s="186"/>
    </row>
    <row r="216" spans="1:18" ht="18" customHeight="1">
      <c r="A216" s="179"/>
      <c r="B216" s="179" t="str">
        <f t="shared" si="2"/>
        <v/>
      </c>
      <c r="C216" s="180"/>
      <c r="D216" s="181"/>
      <c r="E216" s="182"/>
      <c r="F216" s="183"/>
      <c r="G216" s="183"/>
      <c r="I216" s="189"/>
      <c r="J216" s="189"/>
      <c r="K216" s="187"/>
      <c r="L216" s="187"/>
      <c r="M216" s="186"/>
      <c r="N216" s="186"/>
      <c r="O216" s="186"/>
      <c r="P216" s="186"/>
      <c r="Q216" s="186"/>
      <c r="R216" s="186"/>
    </row>
    <row r="217" spans="1:18" ht="18" customHeight="1">
      <c r="A217" s="179"/>
      <c r="B217" s="179" t="str">
        <f t="shared" si="2"/>
        <v/>
      </c>
      <c r="C217" s="180"/>
      <c r="D217" s="181"/>
      <c r="E217" s="182"/>
      <c r="F217" s="183"/>
      <c r="G217" s="183"/>
      <c r="I217" s="185"/>
      <c r="J217" s="185"/>
      <c r="K217" s="187"/>
      <c r="L217" s="187"/>
      <c r="M217" s="186"/>
      <c r="N217" s="186"/>
      <c r="O217" s="186"/>
      <c r="P217" s="186"/>
      <c r="Q217" s="186"/>
      <c r="R217" s="186"/>
    </row>
    <row r="218" spans="1:18" ht="18" customHeight="1">
      <c r="A218" s="179"/>
      <c r="B218" s="179" t="str">
        <f t="shared" si="2"/>
        <v/>
      </c>
      <c r="C218" s="180"/>
      <c r="D218" s="181"/>
      <c r="E218" s="182"/>
      <c r="F218" s="183"/>
      <c r="G218" s="183"/>
      <c r="I218" s="185"/>
      <c r="J218" s="185"/>
      <c r="K218" s="187"/>
      <c r="L218" s="187"/>
      <c r="M218" s="186"/>
      <c r="N218" s="186"/>
      <c r="O218" s="186"/>
      <c r="P218" s="186"/>
      <c r="Q218" s="186"/>
      <c r="R218" s="186"/>
    </row>
    <row r="219" spans="1:18" ht="18" customHeight="1">
      <c r="A219" s="179"/>
      <c r="B219" s="179" t="str">
        <f t="shared" si="2"/>
        <v/>
      </c>
      <c r="C219" s="180"/>
      <c r="D219" s="181"/>
      <c r="E219" s="193"/>
      <c r="F219" s="183"/>
      <c r="G219" s="183"/>
      <c r="I219" s="185"/>
      <c r="J219" s="185"/>
      <c r="K219" s="187"/>
      <c r="L219" s="187"/>
      <c r="M219" s="186"/>
      <c r="N219" s="186"/>
      <c r="O219" s="186"/>
      <c r="P219" s="186"/>
      <c r="Q219" s="186"/>
      <c r="R219" s="186"/>
    </row>
    <row r="220" spans="1:18" ht="18" customHeight="1">
      <c r="A220" s="179"/>
      <c r="B220" s="179" t="str">
        <f t="shared" si="2"/>
        <v/>
      </c>
      <c r="C220" s="180"/>
      <c r="D220" s="181"/>
      <c r="E220" s="182"/>
      <c r="F220" s="183"/>
      <c r="G220" s="183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</row>
    <row r="221" spans="1:18" ht="18" customHeight="1">
      <c r="A221" s="179"/>
      <c r="B221" s="179" t="str">
        <f t="shared" si="2"/>
        <v/>
      </c>
      <c r="C221" s="180"/>
      <c r="D221" s="181"/>
      <c r="E221" s="182"/>
      <c r="F221" s="183"/>
      <c r="G221" s="24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</row>
    <row r="222" spans="1:18" ht="18" customHeight="1">
      <c r="A222" s="179"/>
      <c r="B222" s="179" t="str">
        <f t="shared" si="2"/>
        <v/>
      </c>
      <c r="C222" s="180"/>
      <c r="D222" s="181"/>
      <c r="E222" s="182"/>
      <c r="F222" s="183"/>
      <c r="G222" s="183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</row>
    <row r="223" spans="1:18" ht="18" customHeight="1">
      <c r="A223" s="179"/>
      <c r="B223" s="179" t="str">
        <f t="shared" si="2"/>
        <v/>
      </c>
      <c r="C223" s="180"/>
      <c r="D223" s="181"/>
      <c r="E223" s="182"/>
      <c r="F223" s="183"/>
      <c r="G223" s="183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</row>
    <row r="224" spans="1:18" ht="18" customHeight="1">
      <c r="A224" s="179"/>
      <c r="B224" s="179" t="str">
        <f t="shared" si="2"/>
        <v/>
      </c>
      <c r="C224" s="180"/>
      <c r="D224" s="181"/>
      <c r="E224" s="182"/>
      <c r="F224" s="183"/>
      <c r="G224" s="183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</row>
    <row r="225" spans="1:18" ht="18" customHeight="1">
      <c r="A225" s="179"/>
      <c r="B225" s="179" t="str">
        <f t="shared" si="2"/>
        <v/>
      </c>
      <c r="C225" s="180"/>
      <c r="D225" s="181"/>
      <c r="E225" s="182"/>
      <c r="F225" s="183"/>
      <c r="G225" s="183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</row>
    <row r="226" spans="1:18" ht="18" customHeight="1">
      <c r="A226" s="179"/>
      <c r="B226" s="179" t="str">
        <f t="shared" si="2"/>
        <v/>
      </c>
      <c r="C226" s="180"/>
      <c r="D226" s="181"/>
      <c r="E226" s="182"/>
      <c r="F226" s="183"/>
      <c r="G226" s="183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</row>
    <row r="227" spans="1:18" ht="18" customHeight="1">
      <c r="A227" s="179"/>
      <c r="B227" s="179" t="str">
        <f t="shared" si="2"/>
        <v/>
      </c>
      <c r="C227" s="180"/>
      <c r="D227" s="181"/>
      <c r="E227" s="182"/>
      <c r="F227" s="183"/>
      <c r="G227" s="183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</row>
    <row r="228" spans="1:18" ht="18" customHeight="1">
      <c r="A228" s="179"/>
      <c r="B228" s="179" t="str">
        <f t="shared" si="2"/>
        <v/>
      </c>
      <c r="C228" s="180"/>
      <c r="D228" s="181"/>
      <c r="E228" s="182"/>
      <c r="F228" s="183"/>
      <c r="G228" s="183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</row>
    <row r="229" spans="1:18" ht="18" customHeight="1">
      <c r="A229" s="179"/>
      <c r="B229" s="179" t="str">
        <f t="shared" si="2"/>
        <v/>
      </c>
      <c r="C229" s="180"/>
      <c r="D229" s="181"/>
      <c r="E229" s="182"/>
      <c r="F229" s="183"/>
      <c r="G229" s="183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</row>
    <row r="230" spans="1:18" ht="18" customHeight="1">
      <c r="A230" s="179"/>
      <c r="B230" s="179" t="str">
        <f t="shared" si="2"/>
        <v/>
      </c>
      <c r="C230" s="180"/>
      <c r="D230" s="181"/>
      <c r="E230" s="182"/>
      <c r="F230" s="183"/>
      <c r="G230" s="183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</row>
    <row r="231" spans="1:18" ht="18" customHeight="1">
      <c r="A231" s="179"/>
      <c r="B231" s="179" t="str">
        <f t="shared" si="2"/>
        <v/>
      </c>
      <c r="C231" s="180"/>
      <c r="D231" s="181"/>
      <c r="E231" s="182"/>
      <c r="F231" s="183"/>
      <c r="G231" s="183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</row>
    <row r="232" spans="1:18" ht="18" customHeight="1">
      <c r="A232" s="179"/>
      <c r="B232" s="179" t="str">
        <f t="shared" si="2"/>
        <v/>
      </c>
      <c r="C232" s="180"/>
      <c r="D232" s="181"/>
      <c r="E232" s="182"/>
      <c r="F232" s="183"/>
      <c r="G232" s="183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</row>
    <row r="233" spans="1:18" ht="18" customHeight="1">
      <c r="A233" s="179"/>
      <c r="B233" s="179" t="str">
        <f t="shared" si="2"/>
        <v/>
      </c>
      <c r="C233" s="180"/>
      <c r="D233" s="181"/>
      <c r="E233" s="182"/>
      <c r="F233" s="183"/>
      <c r="G233" s="183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</row>
    <row r="234" spans="1:18" ht="18" customHeight="1">
      <c r="A234" s="179"/>
      <c r="B234" s="179" t="str">
        <f t="shared" si="2"/>
        <v/>
      </c>
      <c r="C234" s="180"/>
      <c r="D234" s="181"/>
      <c r="E234" s="182"/>
      <c r="F234" s="183"/>
      <c r="G234" s="183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</row>
    <row r="235" spans="1:18" ht="18" customHeight="1">
      <c r="A235" s="179"/>
      <c r="B235" s="179" t="str">
        <f t="shared" si="2"/>
        <v/>
      </c>
      <c r="C235" s="180"/>
      <c r="D235" s="181"/>
      <c r="E235" s="182"/>
      <c r="F235" s="183"/>
      <c r="G235" s="183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</row>
    <row r="236" spans="1:18" ht="18" customHeight="1">
      <c r="A236" s="179"/>
      <c r="B236" s="179" t="str">
        <f t="shared" si="2"/>
        <v/>
      </c>
      <c r="C236" s="180"/>
      <c r="D236" s="181"/>
      <c r="E236" s="182"/>
      <c r="F236" s="183"/>
      <c r="G236" s="183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</row>
    <row r="237" spans="1:18" ht="18" customHeight="1">
      <c r="A237" s="179"/>
      <c r="B237" s="179" t="str">
        <f t="shared" si="2"/>
        <v/>
      </c>
      <c r="C237" s="180"/>
      <c r="D237" s="181"/>
      <c r="E237" s="182"/>
      <c r="F237" s="183"/>
      <c r="G237" s="183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</row>
    <row r="238" spans="1:18" ht="18" customHeight="1">
      <c r="A238" s="179"/>
      <c r="B238" s="179" t="str">
        <f t="shared" si="2"/>
        <v/>
      </c>
      <c r="C238" s="180"/>
      <c r="D238" s="181"/>
      <c r="E238" s="182"/>
      <c r="F238" s="183"/>
      <c r="G238" s="183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</row>
    <row r="239" spans="1:18" ht="18" customHeight="1">
      <c r="A239" s="179"/>
      <c r="B239" s="179" t="str">
        <f t="shared" si="2"/>
        <v/>
      </c>
      <c r="C239" s="180"/>
      <c r="D239" s="181"/>
      <c r="E239" s="182"/>
      <c r="F239" s="183"/>
      <c r="G239" s="183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</row>
    <row r="240" spans="1:18" ht="18" customHeight="1">
      <c r="A240" s="179"/>
      <c r="B240" s="179" t="str">
        <f t="shared" si="2"/>
        <v/>
      </c>
      <c r="C240" s="180"/>
      <c r="D240" s="181"/>
      <c r="E240" s="188"/>
      <c r="F240" s="183"/>
      <c r="G240" s="183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</row>
    <row r="241" spans="1:18" ht="18" customHeight="1">
      <c r="A241" s="179"/>
      <c r="B241" s="179" t="str">
        <f t="shared" si="2"/>
        <v/>
      </c>
      <c r="C241" s="180"/>
      <c r="D241" s="181"/>
      <c r="E241" s="192"/>
      <c r="F241" s="183"/>
      <c r="G241" s="183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</row>
    <row r="242" spans="1:18" ht="18" customHeight="1">
      <c r="A242" s="179"/>
      <c r="B242" s="179" t="str">
        <f t="shared" si="2"/>
        <v/>
      </c>
      <c r="C242" s="180"/>
      <c r="D242" s="181"/>
      <c r="E242" s="192"/>
      <c r="F242" s="183"/>
      <c r="G242" s="183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</row>
    <row r="243" spans="1:18" ht="18" customHeight="1">
      <c r="A243" s="179"/>
      <c r="B243" s="179" t="str">
        <f t="shared" si="2"/>
        <v/>
      </c>
      <c r="C243" s="180"/>
      <c r="D243" s="181"/>
      <c r="E243" s="192"/>
      <c r="F243" s="183"/>
      <c r="G243" s="183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</row>
    <row r="244" spans="1:18" ht="18" customHeight="1">
      <c r="A244" s="179"/>
      <c r="B244" s="179" t="str">
        <f t="shared" si="2"/>
        <v/>
      </c>
      <c r="C244" s="180"/>
      <c r="D244" s="181"/>
      <c r="E244" s="192"/>
      <c r="F244" s="183"/>
      <c r="G244" s="183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</row>
    <row r="245" spans="1:18" ht="18" customHeight="1">
      <c r="A245" s="179"/>
      <c r="B245" s="179" t="str">
        <f t="shared" si="2"/>
        <v/>
      </c>
      <c r="C245" s="180"/>
      <c r="D245" s="181"/>
      <c r="E245" s="188"/>
      <c r="F245" s="183"/>
      <c r="G245" s="183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</row>
    <row r="246" spans="1:18" ht="18" customHeight="1">
      <c r="A246" s="179"/>
      <c r="B246" s="179" t="str">
        <f t="shared" si="2"/>
        <v/>
      </c>
      <c r="C246" s="180"/>
      <c r="D246" s="181"/>
      <c r="E246" s="191"/>
      <c r="F246" s="183"/>
      <c r="G246" s="183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</row>
    <row r="247" spans="1:18" ht="18" customHeight="1">
      <c r="A247" s="179"/>
      <c r="B247" s="179" t="str">
        <f t="shared" si="2"/>
        <v/>
      </c>
      <c r="C247" s="180"/>
      <c r="D247" s="181"/>
      <c r="E247" s="191"/>
      <c r="F247" s="183"/>
      <c r="G247" s="183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</row>
    <row r="248" spans="1:18" ht="18" customHeight="1">
      <c r="A248" s="179"/>
      <c r="B248" s="179" t="str">
        <f t="shared" si="2"/>
        <v/>
      </c>
      <c r="C248" s="180"/>
      <c r="D248" s="181"/>
      <c r="E248" s="191"/>
      <c r="F248" s="183"/>
      <c r="G248" s="183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</row>
    <row r="249" spans="1:18" ht="18" customHeight="1">
      <c r="A249" s="179"/>
      <c r="B249" s="179" t="str">
        <f t="shared" si="2"/>
        <v/>
      </c>
      <c r="C249" s="180"/>
      <c r="D249" s="181"/>
      <c r="E249" s="191"/>
      <c r="F249" s="183"/>
      <c r="G249" s="183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</row>
    <row r="250" spans="1:18" ht="18" customHeight="1">
      <c r="A250" s="179"/>
      <c r="B250" s="179" t="str">
        <f t="shared" si="2"/>
        <v/>
      </c>
      <c r="C250" s="180"/>
      <c r="D250" s="181"/>
      <c r="E250" s="191"/>
      <c r="F250" s="183"/>
      <c r="G250" s="183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</row>
    <row r="251" spans="1:18" ht="18" customHeight="1">
      <c r="A251" s="179"/>
      <c r="B251" s="179" t="str">
        <f t="shared" si="2"/>
        <v/>
      </c>
      <c r="C251" s="180"/>
      <c r="D251" s="181"/>
      <c r="E251" s="191"/>
      <c r="F251" s="183"/>
      <c r="G251" s="183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</row>
    <row r="252" spans="1:18" ht="18" customHeight="1">
      <c r="A252" s="179"/>
      <c r="B252" s="179" t="str">
        <f t="shared" si="2"/>
        <v/>
      </c>
      <c r="C252" s="180"/>
      <c r="D252" s="181"/>
      <c r="E252" s="191"/>
      <c r="F252" s="183"/>
      <c r="G252" s="183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</row>
    <row r="253" spans="1:18" ht="18" customHeight="1">
      <c r="A253" s="179"/>
      <c r="B253" s="179" t="str">
        <f t="shared" si="2"/>
        <v/>
      </c>
      <c r="C253" s="180"/>
      <c r="D253" s="181"/>
      <c r="E253" s="191"/>
      <c r="F253" s="183"/>
      <c r="G253" s="183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</row>
    <row r="254" spans="1:18" ht="18" customHeight="1">
      <c r="A254" s="179"/>
      <c r="B254" s="179" t="str">
        <f t="shared" si="2"/>
        <v/>
      </c>
      <c r="C254" s="180"/>
      <c r="D254" s="181"/>
      <c r="E254" s="191"/>
      <c r="F254" s="183"/>
      <c r="G254" s="183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</row>
    <row r="255" spans="1:18" ht="18" customHeight="1">
      <c r="A255" s="179"/>
      <c r="B255" s="179" t="str">
        <f t="shared" si="2"/>
        <v/>
      </c>
      <c r="C255" s="180"/>
      <c r="D255" s="181"/>
      <c r="E255" s="182"/>
      <c r="F255" s="183"/>
      <c r="G255" s="183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</row>
    <row r="256" spans="1:18" ht="18" customHeight="1">
      <c r="A256" s="179"/>
      <c r="B256" s="179" t="str">
        <f t="shared" si="2"/>
        <v/>
      </c>
      <c r="C256" s="180"/>
      <c r="D256" s="181"/>
      <c r="E256" s="182"/>
      <c r="F256" s="183"/>
      <c r="G256" s="183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</row>
    <row r="257" spans="1:18" ht="18" customHeight="1">
      <c r="A257" s="179"/>
      <c r="B257" s="179" t="str">
        <f t="shared" si="2"/>
        <v/>
      </c>
      <c r="C257" s="180"/>
      <c r="D257" s="181"/>
      <c r="E257" s="182"/>
      <c r="F257" s="183"/>
      <c r="G257" s="183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</row>
    <row r="258" spans="1:18" ht="18" customHeight="1">
      <c r="A258" s="179"/>
      <c r="B258" s="179" t="str">
        <f t="shared" si="2"/>
        <v/>
      </c>
      <c r="C258" s="180"/>
      <c r="D258" s="181"/>
      <c r="E258" s="182"/>
      <c r="F258" s="183"/>
      <c r="G258" s="183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</row>
    <row r="259" spans="1:18" ht="18" customHeight="1">
      <c r="A259" s="179"/>
      <c r="B259" s="179" t="str">
        <f t="shared" si="2"/>
        <v/>
      </c>
      <c r="C259" s="180"/>
      <c r="D259" s="181"/>
      <c r="E259" s="182"/>
      <c r="F259" s="183"/>
      <c r="G259" s="183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</row>
    <row r="260" spans="1:18" ht="18" customHeight="1">
      <c r="A260" s="179"/>
      <c r="B260" s="179" t="str">
        <f t="shared" si="2"/>
        <v/>
      </c>
      <c r="C260" s="180"/>
      <c r="D260" s="181"/>
      <c r="E260" s="182"/>
      <c r="F260" s="183"/>
      <c r="G260" s="183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</row>
    <row r="261" spans="1:18" ht="18" customHeight="1">
      <c r="A261" s="179"/>
      <c r="B261" s="179" t="str">
        <f t="shared" si="2"/>
        <v/>
      </c>
      <c r="C261" s="180"/>
      <c r="D261" s="181"/>
      <c r="E261" s="182"/>
      <c r="F261" s="183"/>
      <c r="G261" s="183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</row>
    <row r="262" spans="1:18" ht="18" customHeight="1">
      <c r="A262" s="179"/>
      <c r="B262" s="179" t="str">
        <f t="shared" si="2"/>
        <v/>
      </c>
      <c r="C262" s="180"/>
      <c r="D262" s="181"/>
      <c r="E262" s="182"/>
      <c r="F262" s="183"/>
      <c r="G262" s="183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</row>
    <row r="263" spans="1:18" ht="18" customHeight="1">
      <c r="A263" s="179"/>
      <c r="B263" s="179" t="str">
        <f t="shared" si="2"/>
        <v/>
      </c>
      <c r="C263" s="180"/>
      <c r="D263" s="181"/>
      <c r="E263" s="182"/>
      <c r="F263" s="183"/>
      <c r="G263" s="183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</row>
    <row r="264" spans="1:18" ht="18" customHeight="1">
      <c r="A264" s="179"/>
      <c r="B264" s="179" t="str">
        <f t="shared" si="2"/>
        <v/>
      </c>
      <c r="C264" s="180"/>
      <c r="D264" s="181"/>
      <c r="E264" s="182"/>
      <c r="F264" s="183"/>
      <c r="G264" s="183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</row>
    <row r="265" spans="1:18" ht="18" customHeight="1">
      <c r="A265" s="179"/>
      <c r="B265" s="179" t="str">
        <f t="shared" si="2"/>
        <v/>
      </c>
      <c r="C265" s="180"/>
      <c r="D265" s="181"/>
      <c r="E265" s="192"/>
      <c r="F265" s="183"/>
      <c r="G265" s="183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</row>
    <row r="266" spans="1:18" ht="18" customHeight="1">
      <c r="A266" s="179"/>
      <c r="B266" s="179" t="str">
        <f t="shared" si="2"/>
        <v/>
      </c>
      <c r="C266" s="180"/>
      <c r="D266" s="181"/>
      <c r="E266" s="182"/>
      <c r="F266" s="183"/>
      <c r="G266" s="183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</row>
    <row r="267" spans="1:18" ht="18" customHeight="1">
      <c r="A267" s="179"/>
      <c r="B267" s="179" t="str">
        <f t="shared" si="2"/>
        <v/>
      </c>
      <c r="C267" s="180"/>
      <c r="D267" s="181"/>
      <c r="E267" s="182"/>
      <c r="F267" s="183"/>
      <c r="G267" s="183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</row>
    <row r="268" spans="1:18" ht="18" customHeight="1">
      <c r="A268" s="179"/>
      <c r="B268" s="179" t="str">
        <f t="shared" si="2"/>
        <v/>
      </c>
      <c r="C268" s="180"/>
      <c r="D268" s="181"/>
      <c r="E268" s="182"/>
      <c r="F268" s="183"/>
      <c r="G268" s="183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</row>
    <row r="269" spans="1:18" ht="18" customHeight="1">
      <c r="A269" s="179"/>
      <c r="B269" s="179" t="str">
        <f t="shared" si="2"/>
        <v/>
      </c>
      <c r="C269" s="180"/>
      <c r="D269" s="181"/>
      <c r="E269" s="182"/>
      <c r="F269" s="183"/>
      <c r="G269" s="183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</row>
    <row r="270" spans="1:18" ht="18" customHeight="1">
      <c r="A270" s="179"/>
      <c r="B270" s="179" t="str">
        <f t="shared" si="2"/>
        <v/>
      </c>
      <c r="C270" s="180"/>
      <c r="D270" s="181"/>
      <c r="E270" s="182"/>
      <c r="F270" s="183"/>
      <c r="G270" s="183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</row>
    <row r="271" spans="1:18" ht="18" customHeight="1">
      <c r="A271" s="179"/>
      <c r="B271" s="179" t="str">
        <f t="shared" si="2"/>
        <v/>
      </c>
      <c r="C271" s="180"/>
      <c r="D271" s="181"/>
      <c r="E271" s="182"/>
      <c r="F271" s="183"/>
      <c r="G271" s="183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</row>
    <row r="272" spans="1:18" ht="18" customHeight="1">
      <c r="A272" s="179"/>
      <c r="B272" s="179" t="str">
        <f t="shared" ref="B272:B335" si="3">IF(E272="","",B271)</f>
        <v/>
      </c>
      <c r="C272" s="180"/>
      <c r="D272" s="181"/>
      <c r="E272" s="182"/>
      <c r="F272" s="183"/>
      <c r="G272" s="183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</row>
    <row r="273" spans="1:18" ht="18" customHeight="1">
      <c r="A273" s="179"/>
      <c r="B273" s="179" t="str">
        <f t="shared" si="3"/>
        <v/>
      </c>
      <c r="C273" s="180"/>
      <c r="D273" s="181"/>
      <c r="E273" s="182"/>
      <c r="F273" s="183"/>
      <c r="G273" s="183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</row>
    <row r="274" spans="1:18" ht="18" customHeight="1">
      <c r="A274" s="179"/>
      <c r="B274" s="179" t="str">
        <f t="shared" si="3"/>
        <v/>
      </c>
      <c r="C274" s="180"/>
      <c r="D274" s="181"/>
      <c r="E274" s="182"/>
      <c r="F274" s="183"/>
      <c r="G274" s="183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</row>
    <row r="275" spans="1:18" ht="18" customHeight="1">
      <c r="A275" s="179"/>
      <c r="B275" s="179" t="str">
        <f t="shared" si="3"/>
        <v/>
      </c>
      <c r="C275" s="180"/>
      <c r="D275" s="181"/>
      <c r="E275" s="182"/>
      <c r="F275" s="183"/>
      <c r="G275" s="183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</row>
    <row r="276" spans="1:18" ht="18" customHeight="1">
      <c r="A276" s="179"/>
      <c r="B276" s="179" t="str">
        <f t="shared" si="3"/>
        <v/>
      </c>
      <c r="C276" s="180"/>
      <c r="D276" s="181"/>
      <c r="E276" s="182"/>
      <c r="F276" s="183"/>
      <c r="G276" s="183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</row>
    <row r="277" spans="1:18" ht="18" customHeight="1">
      <c r="A277" s="179"/>
      <c r="B277" s="179" t="str">
        <f t="shared" si="3"/>
        <v/>
      </c>
      <c r="C277" s="180"/>
      <c r="D277" s="181"/>
      <c r="E277" s="182"/>
      <c r="F277" s="183"/>
      <c r="G277" s="183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</row>
    <row r="278" spans="1:18" ht="18" customHeight="1">
      <c r="A278" s="179"/>
      <c r="B278" s="179" t="str">
        <f t="shared" si="3"/>
        <v/>
      </c>
      <c r="C278" s="180"/>
      <c r="D278" s="181"/>
      <c r="E278" s="182"/>
      <c r="F278" s="183"/>
      <c r="G278" s="183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</row>
    <row r="279" spans="1:18" ht="18" customHeight="1">
      <c r="A279" s="179"/>
      <c r="B279" s="179" t="str">
        <f t="shared" si="3"/>
        <v/>
      </c>
      <c r="C279" s="180"/>
      <c r="D279" s="181"/>
      <c r="E279" s="182"/>
      <c r="F279" s="183"/>
      <c r="G279" s="183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</row>
    <row r="280" spans="1:18" ht="18" customHeight="1">
      <c r="A280" s="179"/>
      <c r="B280" s="179" t="str">
        <f t="shared" si="3"/>
        <v/>
      </c>
      <c r="C280" s="180"/>
      <c r="D280" s="181"/>
      <c r="E280" s="182"/>
      <c r="F280" s="183"/>
      <c r="G280" s="183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</row>
    <row r="281" spans="1:18" ht="18" customHeight="1">
      <c r="A281" s="179"/>
      <c r="B281" s="179" t="str">
        <f t="shared" si="3"/>
        <v/>
      </c>
      <c r="C281" s="180"/>
      <c r="D281" s="181"/>
      <c r="E281" s="182"/>
      <c r="F281" s="183"/>
      <c r="G281" s="183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</row>
    <row r="282" spans="1:18" ht="18" customHeight="1">
      <c r="A282" s="179"/>
      <c r="B282" s="179" t="str">
        <f t="shared" si="3"/>
        <v/>
      </c>
      <c r="C282" s="180"/>
      <c r="D282" s="181"/>
      <c r="E282" s="182"/>
      <c r="F282" s="183"/>
      <c r="G282" s="183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</row>
    <row r="283" spans="1:18" ht="18" customHeight="1">
      <c r="A283" s="179"/>
      <c r="B283" s="179" t="str">
        <f t="shared" si="3"/>
        <v/>
      </c>
      <c r="C283" s="180"/>
      <c r="D283" s="181"/>
      <c r="E283" s="182"/>
      <c r="F283" s="183"/>
      <c r="G283" s="183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</row>
    <row r="284" spans="1:18" ht="18" customHeight="1">
      <c r="A284" s="179"/>
      <c r="B284" s="179" t="str">
        <f t="shared" si="3"/>
        <v/>
      </c>
      <c r="C284" s="180"/>
      <c r="D284" s="181"/>
      <c r="E284" s="182"/>
      <c r="F284" s="183"/>
      <c r="G284" s="183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</row>
    <row r="285" spans="1:18" ht="18" customHeight="1">
      <c r="A285" s="179"/>
      <c r="B285" s="179" t="str">
        <f t="shared" si="3"/>
        <v/>
      </c>
      <c r="C285" s="180"/>
      <c r="D285" s="181"/>
      <c r="E285" s="182"/>
      <c r="F285" s="183"/>
      <c r="G285" s="183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</row>
    <row r="286" spans="1:18" ht="18" customHeight="1">
      <c r="A286" s="179"/>
      <c r="B286" s="179" t="str">
        <f t="shared" si="3"/>
        <v/>
      </c>
      <c r="C286" s="180"/>
      <c r="D286" s="181"/>
      <c r="E286" s="182"/>
      <c r="F286" s="183"/>
      <c r="G286" s="183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</row>
    <row r="287" spans="1:18" ht="18" customHeight="1">
      <c r="A287" s="179"/>
      <c r="B287" s="179" t="str">
        <f t="shared" si="3"/>
        <v/>
      </c>
      <c r="C287" s="180"/>
      <c r="D287" s="181"/>
      <c r="E287" s="182"/>
      <c r="F287" s="183"/>
      <c r="G287" s="183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</row>
    <row r="288" spans="1:18" ht="18" customHeight="1">
      <c r="A288" s="179"/>
      <c r="B288" s="179" t="str">
        <f t="shared" si="3"/>
        <v/>
      </c>
      <c r="C288" s="180"/>
      <c r="D288" s="181"/>
      <c r="E288" s="182"/>
      <c r="F288" s="183"/>
      <c r="G288" s="183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</row>
    <row r="289" spans="1:18" ht="18" customHeight="1">
      <c r="A289" s="179"/>
      <c r="B289" s="179" t="str">
        <f t="shared" si="3"/>
        <v/>
      </c>
      <c r="C289" s="180"/>
      <c r="D289" s="181"/>
      <c r="E289" s="182"/>
      <c r="F289" s="183"/>
      <c r="G289" s="183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</row>
    <row r="290" spans="1:18" ht="18" customHeight="1">
      <c r="A290" s="179"/>
      <c r="B290" s="179" t="str">
        <f t="shared" si="3"/>
        <v/>
      </c>
      <c r="C290" s="180"/>
      <c r="D290" s="181"/>
      <c r="E290" s="182"/>
      <c r="F290" s="183"/>
      <c r="G290" s="183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</row>
    <row r="291" spans="1:18" ht="18" customHeight="1">
      <c r="A291" s="179"/>
      <c r="B291" s="179" t="str">
        <f t="shared" si="3"/>
        <v/>
      </c>
      <c r="C291" s="180"/>
      <c r="D291" s="181"/>
      <c r="E291" s="182"/>
      <c r="F291" s="183"/>
      <c r="G291" s="183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</row>
    <row r="292" spans="1:18" ht="18" customHeight="1">
      <c r="A292" s="179"/>
      <c r="B292" s="179" t="str">
        <f t="shared" si="3"/>
        <v/>
      </c>
      <c r="C292" s="180"/>
      <c r="D292" s="181"/>
      <c r="E292" s="182"/>
      <c r="F292" s="183"/>
      <c r="G292" s="183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</row>
    <row r="293" spans="1:18" ht="18" customHeight="1">
      <c r="A293" s="179"/>
      <c r="B293" s="179" t="str">
        <f t="shared" si="3"/>
        <v/>
      </c>
      <c r="C293" s="180"/>
      <c r="D293" s="181"/>
      <c r="E293" s="182"/>
      <c r="F293" s="183"/>
      <c r="G293" s="183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</row>
    <row r="294" spans="1:18" ht="18" customHeight="1">
      <c r="A294" s="179"/>
      <c r="B294" s="179" t="str">
        <f t="shared" si="3"/>
        <v/>
      </c>
      <c r="C294" s="180"/>
      <c r="D294" s="181"/>
      <c r="E294" s="182"/>
      <c r="F294" s="183"/>
      <c r="G294" s="183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</row>
    <row r="295" spans="1:18" ht="18" customHeight="1">
      <c r="A295" s="179"/>
      <c r="B295" s="179" t="str">
        <f t="shared" si="3"/>
        <v/>
      </c>
      <c r="C295" s="180"/>
      <c r="D295" s="181"/>
      <c r="E295" s="182"/>
      <c r="F295" s="183"/>
      <c r="G295" s="183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</row>
    <row r="296" spans="1:18" ht="18" customHeight="1">
      <c r="A296" s="179"/>
      <c r="B296" s="179" t="str">
        <f t="shared" si="3"/>
        <v/>
      </c>
      <c r="C296" s="180"/>
      <c r="D296" s="181"/>
      <c r="E296" s="182"/>
      <c r="F296" s="183"/>
      <c r="G296" s="183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</row>
    <row r="297" spans="1:18" ht="18" customHeight="1">
      <c r="A297" s="179"/>
      <c r="B297" s="179" t="str">
        <f t="shared" si="3"/>
        <v/>
      </c>
      <c r="C297" s="180"/>
      <c r="D297" s="181"/>
      <c r="E297" s="182"/>
      <c r="F297" s="183"/>
      <c r="G297" s="183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</row>
    <row r="298" spans="1:18" ht="18" customHeight="1">
      <c r="A298" s="179"/>
      <c r="B298" s="179" t="str">
        <f t="shared" si="3"/>
        <v/>
      </c>
      <c r="C298" s="180"/>
      <c r="D298" s="181"/>
      <c r="E298" s="182"/>
      <c r="F298" s="183"/>
      <c r="G298" s="183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</row>
    <row r="299" spans="1:18" ht="18" customHeight="1">
      <c r="A299" s="179"/>
      <c r="B299" s="179" t="str">
        <f t="shared" si="3"/>
        <v/>
      </c>
      <c r="C299" s="180"/>
      <c r="D299" s="181"/>
      <c r="E299" s="182"/>
      <c r="F299" s="183"/>
      <c r="G299" s="183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</row>
    <row r="300" spans="1:18" ht="18" customHeight="1">
      <c r="A300" s="179"/>
      <c r="B300" s="179" t="str">
        <f t="shared" si="3"/>
        <v/>
      </c>
      <c r="C300" s="180"/>
      <c r="D300" s="181"/>
      <c r="E300" s="192"/>
      <c r="F300" s="183"/>
      <c r="G300" s="183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</row>
    <row r="301" spans="1:18" ht="18" customHeight="1">
      <c r="A301" s="179"/>
      <c r="B301" s="179" t="str">
        <f t="shared" si="3"/>
        <v/>
      </c>
      <c r="C301" s="180"/>
      <c r="D301" s="181"/>
      <c r="E301" s="192"/>
      <c r="F301" s="183"/>
      <c r="G301" s="183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</row>
    <row r="302" spans="1:18" ht="18" customHeight="1">
      <c r="A302" s="179"/>
      <c r="B302" s="179" t="str">
        <f t="shared" si="3"/>
        <v/>
      </c>
      <c r="C302" s="180"/>
      <c r="D302" s="181"/>
      <c r="E302" s="190"/>
      <c r="F302" s="183"/>
      <c r="G302" s="183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</row>
    <row r="303" spans="1:18" ht="18" customHeight="1">
      <c r="A303" s="179"/>
      <c r="B303" s="179" t="str">
        <f t="shared" si="3"/>
        <v/>
      </c>
      <c r="C303" s="180"/>
      <c r="D303" s="181"/>
      <c r="E303" s="182"/>
      <c r="F303" s="183"/>
      <c r="G303" s="183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</row>
    <row r="304" spans="1:18" ht="18" customHeight="1">
      <c r="A304" s="179"/>
      <c r="B304" s="179" t="str">
        <f t="shared" si="3"/>
        <v/>
      </c>
      <c r="C304" s="180"/>
      <c r="D304" s="181"/>
      <c r="E304" s="182"/>
      <c r="F304" s="183"/>
      <c r="G304" s="183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</row>
    <row r="305" spans="1:18" ht="18" customHeight="1">
      <c r="A305" s="179"/>
      <c r="B305" s="179" t="str">
        <f t="shared" si="3"/>
        <v/>
      </c>
      <c r="C305" s="180"/>
      <c r="D305" s="181"/>
      <c r="E305" s="182"/>
      <c r="F305" s="183"/>
      <c r="G305" s="183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</row>
    <row r="306" spans="1:18" ht="18" customHeight="1">
      <c r="A306" s="179"/>
      <c r="B306" s="179" t="str">
        <f t="shared" si="3"/>
        <v/>
      </c>
      <c r="C306" s="180"/>
      <c r="D306" s="181"/>
      <c r="E306" s="182"/>
      <c r="F306" s="183"/>
      <c r="G306" s="183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</row>
    <row r="307" spans="1:18" ht="18" customHeight="1">
      <c r="A307" s="179"/>
      <c r="B307" s="179" t="str">
        <f t="shared" si="3"/>
        <v/>
      </c>
      <c r="C307" s="180"/>
      <c r="D307" s="181"/>
      <c r="E307" s="182"/>
      <c r="F307" s="183"/>
      <c r="G307" s="183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</row>
    <row r="308" spans="1:18" ht="18" customHeight="1">
      <c r="A308" s="179"/>
      <c r="B308" s="179" t="str">
        <f t="shared" si="3"/>
        <v/>
      </c>
      <c r="C308" s="180"/>
      <c r="D308" s="181"/>
      <c r="E308" s="182"/>
      <c r="F308" s="183"/>
      <c r="G308" s="183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</row>
    <row r="309" spans="1:18" ht="18" customHeight="1">
      <c r="A309" s="179"/>
      <c r="B309" s="179" t="str">
        <f t="shared" si="3"/>
        <v/>
      </c>
      <c r="C309" s="180"/>
      <c r="D309" s="181"/>
      <c r="E309" s="182"/>
      <c r="F309" s="183"/>
      <c r="G309" s="183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</row>
    <row r="310" spans="1:18" ht="18" customHeight="1">
      <c r="A310" s="179"/>
      <c r="B310" s="179" t="str">
        <f t="shared" si="3"/>
        <v/>
      </c>
      <c r="C310" s="180"/>
      <c r="D310" s="181"/>
      <c r="E310" s="182"/>
      <c r="F310" s="183"/>
      <c r="G310" s="183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</row>
    <row r="311" spans="1:18" ht="18" customHeight="1">
      <c r="A311" s="179"/>
      <c r="B311" s="179" t="str">
        <f t="shared" si="3"/>
        <v/>
      </c>
      <c r="C311" s="180"/>
      <c r="D311" s="181"/>
      <c r="E311" s="188"/>
      <c r="F311" s="183"/>
      <c r="G311" s="183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</row>
    <row r="312" spans="1:18" ht="18" customHeight="1">
      <c r="A312" s="179"/>
      <c r="B312" s="179" t="str">
        <f t="shared" si="3"/>
        <v/>
      </c>
      <c r="C312" s="180"/>
      <c r="D312" s="181"/>
      <c r="E312" s="182"/>
      <c r="F312" s="183"/>
      <c r="G312" s="183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</row>
    <row r="313" spans="1:18" ht="18" customHeight="1">
      <c r="A313" s="179"/>
      <c r="B313" s="179" t="str">
        <f t="shared" si="3"/>
        <v/>
      </c>
      <c r="C313" s="180"/>
      <c r="D313" s="181"/>
      <c r="E313" s="182"/>
      <c r="F313" s="183"/>
      <c r="G313" s="183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</row>
    <row r="314" spans="1:18" ht="18" customHeight="1">
      <c r="A314" s="179"/>
      <c r="B314" s="179" t="str">
        <f t="shared" si="3"/>
        <v/>
      </c>
      <c r="C314" s="180"/>
      <c r="D314" s="181"/>
      <c r="E314" s="182"/>
      <c r="F314" s="183"/>
      <c r="G314" s="183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</row>
    <row r="315" spans="1:18" ht="18" customHeight="1">
      <c r="A315" s="179"/>
      <c r="B315" s="179" t="str">
        <f t="shared" si="3"/>
        <v/>
      </c>
      <c r="C315" s="180"/>
      <c r="D315" s="181"/>
      <c r="E315" s="182"/>
      <c r="F315" s="183"/>
      <c r="G315" s="183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</row>
    <row r="316" spans="1:18" ht="18" customHeight="1">
      <c r="A316" s="179"/>
      <c r="B316" s="179" t="str">
        <f t="shared" si="3"/>
        <v/>
      </c>
      <c r="C316" s="180"/>
      <c r="D316" s="181"/>
      <c r="E316" s="182"/>
      <c r="F316" s="183"/>
      <c r="G316" s="183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</row>
    <row r="317" spans="1:18" ht="18" customHeight="1">
      <c r="A317" s="179"/>
      <c r="B317" s="179" t="str">
        <f t="shared" si="3"/>
        <v/>
      </c>
      <c r="C317" s="180"/>
      <c r="D317" s="181"/>
      <c r="E317" s="182"/>
      <c r="F317" s="183"/>
      <c r="G317" s="183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</row>
    <row r="318" spans="1:18" ht="18" customHeight="1">
      <c r="A318" s="179"/>
      <c r="B318" s="179" t="str">
        <f t="shared" si="3"/>
        <v/>
      </c>
      <c r="C318" s="180"/>
      <c r="D318" s="181"/>
      <c r="E318" s="182"/>
      <c r="F318" s="183"/>
      <c r="G318" s="183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</row>
    <row r="319" spans="1:18" ht="18" customHeight="1">
      <c r="A319" s="179"/>
      <c r="B319" s="179" t="str">
        <f t="shared" si="3"/>
        <v/>
      </c>
      <c r="C319" s="180"/>
      <c r="D319" s="181"/>
      <c r="E319" s="182"/>
      <c r="F319" s="183"/>
      <c r="G319" s="183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</row>
    <row r="320" spans="1:18" ht="18" customHeight="1">
      <c r="A320" s="179"/>
      <c r="B320" s="179" t="str">
        <f t="shared" si="3"/>
        <v/>
      </c>
      <c r="C320" s="180"/>
      <c r="D320" s="181"/>
      <c r="E320" s="182"/>
      <c r="F320" s="183"/>
      <c r="G320" s="183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</row>
    <row r="321" spans="1:18" ht="18" customHeight="1">
      <c r="A321" s="179"/>
      <c r="B321" s="179" t="str">
        <f t="shared" si="3"/>
        <v/>
      </c>
      <c r="C321" s="180"/>
      <c r="D321" s="181"/>
      <c r="E321" s="182"/>
      <c r="F321" s="183"/>
      <c r="G321" s="183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</row>
    <row r="322" spans="1:18" ht="18" customHeight="1">
      <c r="A322" s="179"/>
      <c r="B322" s="179" t="str">
        <f t="shared" si="3"/>
        <v/>
      </c>
      <c r="C322" s="180"/>
      <c r="D322" s="181"/>
      <c r="E322" s="182"/>
      <c r="F322" s="183"/>
      <c r="G322" s="183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</row>
    <row r="323" spans="1:18" ht="18" customHeight="1">
      <c r="A323" s="179"/>
      <c r="B323" s="179" t="str">
        <f t="shared" si="3"/>
        <v/>
      </c>
      <c r="C323" s="180"/>
      <c r="D323" s="181"/>
      <c r="E323" s="182"/>
      <c r="F323" s="183"/>
      <c r="G323" s="183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</row>
    <row r="324" spans="1:18" ht="18" customHeight="1">
      <c r="A324" s="179"/>
      <c r="B324" s="179" t="str">
        <f t="shared" si="3"/>
        <v/>
      </c>
      <c r="C324" s="180"/>
      <c r="D324" s="181"/>
      <c r="E324" s="182"/>
      <c r="F324" s="183"/>
      <c r="G324" s="183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</row>
    <row r="325" spans="1:18" ht="18" customHeight="1">
      <c r="A325" s="179"/>
      <c r="B325" s="179" t="str">
        <f t="shared" si="3"/>
        <v/>
      </c>
      <c r="C325" s="180"/>
      <c r="D325" s="181"/>
      <c r="E325" s="182"/>
      <c r="F325" s="183"/>
      <c r="G325" s="183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</row>
    <row r="326" spans="1:18" ht="18" customHeight="1">
      <c r="A326" s="179"/>
      <c r="B326" s="179" t="str">
        <f t="shared" si="3"/>
        <v/>
      </c>
      <c r="C326" s="180"/>
      <c r="D326" s="181"/>
      <c r="E326" s="192"/>
      <c r="F326" s="183"/>
      <c r="G326" s="183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</row>
    <row r="327" spans="1:18" ht="18" customHeight="1">
      <c r="A327" s="179"/>
      <c r="B327" s="179" t="str">
        <f t="shared" si="3"/>
        <v/>
      </c>
      <c r="C327" s="180"/>
      <c r="D327" s="181"/>
      <c r="E327" s="182"/>
      <c r="F327" s="183"/>
      <c r="G327" s="183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</row>
    <row r="328" spans="1:18" ht="18" customHeight="1">
      <c r="A328" s="179"/>
      <c r="B328" s="179" t="str">
        <f t="shared" si="3"/>
        <v/>
      </c>
      <c r="C328" s="180"/>
      <c r="D328" s="181"/>
      <c r="E328" s="182"/>
      <c r="F328" s="183"/>
      <c r="G328" s="183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</row>
    <row r="329" spans="1:18" ht="18" customHeight="1">
      <c r="A329" s="179"/>
      <c r="B329" s="179" t="str">
        <f t="shared" si="3"/>
        <v/>
      </c>
      <c r="C329" s="180"/>
      <c r="D329" s="181"/>
      <c r="E329" s="182"/>
      <c r="F329" s="183"/>
      <c r="G329" s="183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</row>
    <row r="330" spans="1:18" ht="18" customHeight="1">
      <c r="A330" s="179"/>
      <c r="B330" s="179" t="str">
        <f t="shared" si="3"/>
        <v/>
      </c>
      <c r="C330" s="180"/>
      <c r="D330" s="181"/>
      <c r="E330" s="182"/>
      <c r="F330" s="183"/>
      <c r="G330" s="183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</row>
    <row r="331" spans="1:18" ht="18" customHeight="1">
      <c r="A331" s="179"/>
      <c r="B331" s="179" t="str">
        <f t="shared" si="3"/>
        <v/>
      </c>
      <c r="C331" s="180"/>
      <c r="D331" s="181"/>
      <c r="E331" s="182"/>
      <c r="F331" s="183"/>
      <c r="G331" s="183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</row>
    <row r="332" spans="1:18" ht="18" customHeight="1">
      <c r="A332" s="179"/>
      <c r="B332" s="179" t="str">
        <f t="shared" si="3"/>
        <v/>
      </c>
      <c r="C332" s="180"/>
      <c r="D332" s="181"/>
      <c r="E332" s="182"/>
      <c r="F332" s="183"/>
      <c r="G332" s="183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</row>
    <row r="333" spans="1:18" ht="18" customHeight="1">
      <c r="A333" s="179"/>
      <c r="B333" s="179" t="str">
        <f t="shared" si="3"/>
        <v/>
      </c>
      <c r="C333" s="180"/>
      <c r="D333" s="181"/>
      <c r="E333" s="182"/>
      <c r="F333" s="183"/>
      <c r="G333" s="183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</row>
    <row r="334" spans="1:18" ht="18" customHeight="1">
      <c r="A334" s="179"/>
      <c r="B334" s="179" t="str">
        <f t="shared" si="3"/>
        <v/>
      </c>
      <c r="C334" s="180"/>
      <c r="D334" s="181"/>
      <c r="E334" s="182"/>
      <c r="F334" s="183"/>
      <c r="G334" s="183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</row>
    <row r="335" spans="1:18" ht="18" customHeight="1">
      <c r="A335" s="179"/>
      <c r="B335" s="179" t="str">
        <f t="shared" si="3"/>
        <v/>
      </c>
      <c r="C335" s="180"/>
      <c r="D335" s="181"/>
      <c r="E335" s="182"/>
      <c r="F335" s="183"/>
      <c r="G335" s="183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</row>
    <row r="336" spans="1:18" ht="18" customHeight="1">
      <c r="A336" s="179"/>
      <c r="B336" s="179" t="str">
        <f t="shared" ref="B336:B399" si="4">IF(E336="","",B335)</f>
        <v/>
      </c>
      <c r="C336" s="180"/>
      <c r="D336" s="181"/>
      <c r="E336" s="182"/>
      <c r="F336" s="183"/>
      <c r="G336" s="183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</row>
    <row r="337" spans="1:18" ht="18" customHeight="1">
      <c r="A337" s="179"/>
      <c r="B337" s="179" t="str">
        <f t="shared" si="4"/>
        <v/>
      </c>
      <c r="C337" s="180"/>
      <c r="D337" s="181"/>
      <c r="E337" s="182"/>
      <c r="F337" s="183"/>
      <c r="G337" s="183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</row>
    <row r="338" spans="1:18" ht="18" customHeight="1">
      <c r="A338" s="179"/>
      <c r="B338" s="179" t="str">
        <f t="shared" si="4"/>
        <v/>
      </c>
      <c r="C338" s="180"/>
      <c r="D338" s="181"/>
      <c r="E338" s="182"/>
      <c r="F338" s="183"/>
      <c r="G338" s="183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</row>
    <row r="339" spans="1:18" ht="18" customHeight="1">
      <c r="A339" s="179"/>
      <c r="B339" s="179" t="str">
        <f t="shared" si="4"/>
        <v/>
      </c>
      <c r="C339" s="180"/>
      <c r="D339" s="181"/>
      <c r="E339" s="182"/>
      <c r="F339" s="183"/>
      <c r="G339" s="183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</row>
    <row r="340" spans="1:18" ht="18" customHeight="1">
      <c r="A340" s="179"/>
      <c r="B340" s="179" t="str">
        <f t="shared" si="4"/>
        <v/>
      </c>
      <c r="C340" s="180"/>
      <c r="D340" s="181"/>
      <c r="E340" s="182"/>
      <c r="F340" s="183"/>
      <c r="G340" s="183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</row>
    <row r="341" spans="1:18" ht="18" customHeight="1">
      <c r="A341" s="179"/>
      <c r="B341" s="179" t="str">
        <f t="shared" si="4"/>
        <v/>
      </c>
      <c r="C341" s="180"/>
      <c r="D341" s="181"/>
      <c r="E341" s="182"/>
      <c r="F341" s="183"/>
      <c r="G341" s="183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</row>
    <row r="342" spans="1:18" ht="18" customHeight="1">
      <c r="A342" s="179"/>
      <c r="B342" s="179" t="str">
        <f t="shared" si="4"/>
        <v/>
      </c>
      <c r="C342" s="180"/>
      <c r="D342" s="181"/>
      <c r="E342" s="182"/>
      <c r="F342" s="183"/>
      <c r="G342" s="183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</row>
    <row r="343" spans="1:18" ht="18" customHeight="1">
      <c r="A343" s="179"/>
      <c r="B343" s="179" t="str">
        <f t="shared" si="4"/>
        <v/>
      </c>
      <c r="C343" s="180"/>
      <c r="D343" s="181"/>
      <c r="E343" s="182"/>
      <c r="F343" s="183"/>
      <c r="G343" s="183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</row>
    <row r="344" spans="1:18" ht="18" customHeight="1">
      <c r="A344" s="179"/>
      <c r="B344" s="179" t="str">
        <f t="shared" si="4"/>
        <v/>
      </c>
      <c r="C344" s="180"/>
      <c r="D344" s="181"/>
      <c r="E344" s="182"/>
      <c r="F344" s="183"/>
      <c r="G344" s="183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</row>
    <row r="345" spans="1:18" ht="18" customHeight="1">
      <c r="A345" s="179"/>
      <c r="B345" s="179" t="str">
        <f t="shared" si="4"/>
        <v/>
      </c>
      <c r="C345" s="180"/>
      <c r="D345" s="181"/>
      <c r="E345" s="182"/>
      <c r="F345" s="183"/>
      <c r="G345" s="183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</row>
    <row r="346" spans="1:18" ht="18" customHeight="1">
      <c r="A346" s="179"/>
      <c r="B346" s="179" t="str">
        <f t="shared" si="4"/>
        <v/>
      </c>
      <c r="C346" s="180"/>
      <c r="D346" s="181"/>
      <c r="E346" s="182"/>
      <c r="F346" s="183"/>
      <c r="G346" s="183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</row>
    <row r="347" spans="1:18" ht="18" customHeight="1">
      <c r="A347" s="179"/>
      <c r="B347" s="179" t="str">
        <f t="shared" si="4"/>
        <v/>
      </c>
      <c r="C347" s="180"/>
      <c r="D347" s="181"/>
      <c r="E347" s="182"/>
      <c r="F347" s="183"/>
      <c r="G347" s="183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</row>
    <row r="348" spans="1:18" ht="18" customHeight="1">
      <c r="A348" s="179"/>
      <c r="B348" s="179" t="str">
        <f t="shared" si="4"/>
        <v/>
      </c>
      <c r="C348" s="180"/>
      <c r="D348" s="181"/>
      <c r="E348" s="182"/>
      <c r="F348" s="183"/>
      <c r="G348" s="183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</row>
    <row r="349" spans="1:18" ht="18" customHeight="1">
      <c r="A349" s="179"/>
      <c r="B349" s="179" t="str">
        <f t="shared" si="4"/>
        <v/>
      </c>
      <c r="C349" s="180"/>
      <c r="D349" s="181"/>
      <c r="E349" s="182"/>
      <c r="F349" s="183"/>
      <c r="G349" s="183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</row>
    <row r="350" spans="1:18" ht="18" customHeight="1">
      <c r="A350" s="179"/>
      <c r="B350" s="179" t="str">
        <f t="shared" si="4"/>
        <v/>
      </c>
      <c r="C350" s="180"/>
      <c r="D350" s="181"/>
      <c r="E350" s="182"/>
      <c r="F350" s="183"/>
      <c r="G350" s="183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</row>
    <row r="351" spans="1:18" ht="18" customHeight="1">
      <c r="A351" s="179"/>
      <c r="B351" s="179" t="str">
        <f t="shared" si="4"/>
        <v/>
      </c>
      <c r="C351" s="180"/>
      <c r="D351" s="181"/>
      <c r="E351" s="182"/>
      <c r="F351" s="183"/>
      <c r="G351" s="183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</row>
    <row r="352" spans="1:18" ht="18" customHeight="1">
      <c r="A352" s="179"/>
      <c r="B352" s="179" t="str">
        <f t="shared" si="4"/>
        <v/>
      </c>
      <c r="C352" s="180"/>
      <c r="D352" s="181"/>
      <c r="E352" s="182"/>
      <c r="F352" s="183"/>
      <c r="G352" s="183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</row>
    <row r="353" spans="1:18" ht="18" customHeight="1">
      <c r="A353" s="179"/>
      <c r="B353" s="179" t="str">
        <f t="shared" si="4"/>
        <v/>
      </c>
      <c r="C353" s="180"/>
      <c r="D353" s="181"/>
      <c r="E353" s="182"/>
      <c r="F353" s="183"/>
      <c r="G353" s="183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</row>
    <row r="354" spans="1:18" ht="18" customHeight="1">
      <c r="A354" s="179"/>
      <c r="B354" s="179" t="str">
        <f t="shared" si="4"/>
        <v/>
      </c>
      <c r="C354" s="180"/>
      <c r="D354" s="181"/>
      <c r="E354" s="182"/>
      <c r="F354" s="183"/>
      <c r="G354" s="183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</row>
    <row r="355" spans="1:18" ht="18" customHeight="1">
      <c r="A355" s="179"/>
      <c r="B355" s="179" t="str">
        <f t="shared" si="4"/>
        <v/>
      </c>
      <c r="C355" s="180"/>
      <c r="D355" s="181"/>
      <c r="E355" s="182"/>
      <c r="F355" s="183"/>
      <c r="G355" s="183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</row>
    <row r="356" spans="1:18" ht="18" customHeight="1">
      <c r="A356" s="179"/>
      <c r="B356" s="179" t="str">
        <f t="shared" si="4"/>
        <v/>
      </c>
      <c r="C356" s="180"/>
      <c r="D356" s="181"/>
      <c r="E356" s="182"/>
      <c r="F356" s="183"/>
      <c r="G356" s="183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</row>
    <row r="357" spans="1:18" ht="18" customHeight="1">
      <c r="A357" s="179"/>
      <c r="B357" s="179" t="str">
        <f t="shared" si="4"/>
        <v/>
      </c>
      <c r="C357" s="180"/>
      <c r="D357" s="181"/>
      <c r="E357" s="182"/>
      <c r="F357" s="183"/>
      <c r="G357" s="183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</row>
    <row r="358" spans="1:18" ht="18" customHeight="1">
      <c r="A358" s="179"/>
      <c r="B358" s="179" t="str">
        <f t="shared" si="4"/>
        <v/>
      </c>
      <c r="C358" s="180"/>
      <c r="D358" s="181"/>
      <c r="E358" s="182"/>
      <c r="F358" s="183"/>
      <c r="G358" s="183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</row>
    <row r="359" spans="1:18" ht="18" customHeight="1">
      <c r="A359" s="179"/>
      <c r="B359" s="179" t="str">
        <f t="shared" si="4"/>
        <v/>
      </c>
      <c r="C359" s="180"/>
      <c r="D359" s="181"/>
      <c r="E359" s="182"/>
      <c r="F359" s="183"/>
      <c r="G359" s="183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</row>
    <row r="360" spans="1:18" ht="18" customHeight="1">
      <c r="A360" s="179"/>
      <c r="B360" s="179" t="str">
        <f t="shared" si="4"/>
        <v/>
      </c>
      <c r="C360" s="180"/>
      <c r="D360" s="181"/>
      <c r="E360" s="182"/>
      <c r="F360" s="183"/>
      <c r="G360" s="183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</row>
    <row r="361" spans="1:18" ht="18" customHeight="1">
      <c r="A361" s="179"/>
      <c r="B361" s="179" t="str">
        <f t="shared" si="4"/>
        <v/>
      </c>
      <c r="C361" s="180"/>
      <c r="D361" s="181"/>
      <c r="E361" s="182"/>
      <c r="F361" s="183"/>
      <c r="G361" s="183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</row>
    <row r="362" spans="1:18" ht="18" customHeight="1">
      <c r="A362" s="179"/>
      <c r="B362" s="179" t="str">
        <f t="shared" si="4"/>
        <v/>
      </c>
      <c r="C362" s="180"/>
      <c r="D362" s="181"/>
      <c r="E362" s="182"/>
      <c r="F362" s="183"/>
      <c r="G362" s="183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</row>
    <row r="363" spans="1:18" ht="18" customHeight="1">
      <c r="A363" s="179"/>
      <c r="B363" s="179" t="str">
        <f t="shared" si="4"/>
        <v/>
      </c>
      <c r="C363" s="180"/>
      <c r="D363" s="181"/>
      <c r="E363" s="182"/>
      <c r="F363" s="183"/>
      <c r="G363" s="183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</row>
    <row r="364" spans="1:18" ht="18" customHeight="1">
      <c r="A364" s="179"/>
      <c r="B364" s="179" t="str">
        <f t="shared" si="4"/>
        <v/>
      </c>
      <c r="C364" s="180"/>
      <c r="D364" s="181"/>
      <c r="E364" s="182"/>
      <c r="F364" s="183"/>
      <c r="G364" s="183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</row>
    <row r="365" spans="1:18" ht="18" customHeight="1">
      <c r="A365" s="179"/>
      <c r="B365" s="179" t="str">
        <f t="shared" si="4"/>
        <v/>
      </c>
      <c r="C365" s="180"/>
      <c r="D365" s="181"/>
      <c r="E365" s="182"/>
      <c r="F365" s="183"/>
      <c r="G365" s="183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</row>
    <row r="366" spans="1:18" ht="18" customHeight="1">
      <c r="A366" s="179"/>
      <c r="B366" s="179" t="str">
        <f t="shared" si="4"/>
        <v/>
      </c>
      <c r="C366" s="180"/>
      <c r="D366" s="181"/>
      <c r="E366" s="182"/>
      <c r="F366" s="183"/>
      <c r="G366" s="183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</row>
    <row r="367" spans="1:18" ht="18" customHeight="1">
      <c r="A367" s="179"/>
      <c r="B367" s="179" t="str">
        <f t="shared" si="4"/>
        <v/>
      </c>
      <c r="C367" s="180"/>
      <c r="D367" s="181"/>
      <c r="E367" s="182"/>
      <c r="F367" s="183"/>
      <c r="G367" s="183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</row>
    <row r="368" spans="1:18" ht="18" customHeight="1">
      <c r="A368" s="179"/>
      <c r="B368" s="179" t="str">
        <f t="shared" si="4"/>
        <v/>
      </c>
      <c r="C368" s="180"/>
      <c r="D368" s="181"/>
      <c r="E368" s="182"/>
      <c r="F368" s="183"/>
      <c r="G368" s="183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</row>
    <row r="369" spans="1:18" ht="18" customHeight="1">
      <c r="A369" s="179"/>
      <c r="B369" s="179" t="str">
        <f t="shared" si="4"/>
        <v/>
      </c>
      <c r="C369" s="180"/>
      <c r="D369" s="181"/>
      <c r="E369" s="182"/>
      <c r="F369" s="183"/>
      <c r="G369" s="183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</row>
    <row r="370" spans="1:18" ht="18" customHeight="1">
      <c r="A370" s="179"/>
      <c r="B370" s="179" t="str">
        <f t="shared" si="4"/>
        <v/>
      </c>
      <c r="C370" s="180"/>
      <c r="D370" s="181"/>
      <c r="E370" s="182"/>
      <c r="F370" s="183"/>
      <c r="G370" s="183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</row>
    <row r="371" spans="1:18" ht="18" customHeight="1">
      <c r="A371" s="179"/>
      <c r="B371" s="179" t="str">
        <f t="shared" si="4"/>
        <v/>
      </c>
      <c r="C371" s="180"/>
      <c r="D371" s="181"/>
      <c r="E371" s="182"/>
      <c r="F371" s="183"/>
      <c r="G371" s="183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</row>
    <row r="372" spans="1:18" ht="18" customHeight="1">
      <c r="A372" s="179"/>
      <c r="B372" s="179" t="str">
        <f t="shared" si="4"/>
        <v/>
      </c>
      <c r="C372" s="180"/>
      <c r="D372" s="181"/>
      <c r="E372" s="182"/>
      <c r="F372" s="183"/>
      <c r="G372" s="183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</row>
    <row r="373" spans="1:18" ht="18" customHeight="1">
      <c r="A373" s="179"/>
      <c r="B373" s="179" t="str">
        <f t="shared" si="4"/>
        <v/>
      </c>
      <c r="C373" s="180"/>
      <c r="D373" s="181"/>
      <c r="E373" s="182"/>
      <c r="F373" s="183"/>
      <c r="G373" s="183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</row>
    <row r="374" spans="1:18" ht="18" customHeight="1">
      <c r="A374" s="179"/>
      <c r="B374" s="179" t="str">
        <f t="shared" si="4"/>
        <v/>
      </c>
      <c r="C374" s="180"/>
      <c r="D374" s="181"/>
      <c r="E374" s="182"/>
      <c r="F374" s="183"/>
      <c r="G374" s="183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</row>
    <row r="375" spans="1:18" ht="18" customHeight="1">
      <c r="A375" s="179"/>
      <c r="B375" s="179" t="str">
        <f t="shared" si="4"/>
        <v/>
      </c>
      <c r="C375" s="180"/>
      <c r="D375" s="181"/>
      <c r="E375" s="182"/>
      <c r="F375" s="183"/>
      <c r="G375" s="183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</row>
    <row r="376" spans="1:18" ht="18" customHeight="1">
      <c r="A376" s="179"/>
      <c r="B376" s="179" t="str">
        <f t="shared" si="4"/>
        <v/>
      </c>
      <c r="C376" s="180"/>
      <c r="D376" s="181"/>
      <c r="E376" s="182"/>
      <c r="F376" s="183"/>
      <c r="G376" s="183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</row>
    <row r="377" spans="1:18" ht="18" customHeight="1">
      <c r="A377" s="179"/>
      <c r="B377" s="179" t="str">
        <f t="shared" si="4"/>
        <v/>
      </c>
      <c r="C377" s="180"/>
      <c r="D377" s="181"/>
      <c r="E377" s="182"/>
      <c r="F377" s="183"/>
      <c r="G377" s="183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</row>
    <row r="378" spans="1:18" ht="18" customHeight="1">
      <c r="A378" s="179"/>
      <c r="B378" s="179" t="str">
        <f t="shared" si="4"/>
        <v/>
      </c>
      <c r="C378" s="180"/>
      <c r="D378" s="181"/>
      <c r="E378" s="182"/>
      <c r="F378" s="183"/>
      <c r="G378" s="183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</row>
    <row r="379" spans="1:18" ht="18" customHeight="1">
      <c r="A379" s="179"/>
      <c r="B379" s="179" t="str">
        <f t="shared" si="4"/>
        <v/>
      </c>
      <c r="C379" s="180"/>
      <c r="D379" s="181"/>
      <c r="E379" s="182"/>
      <c r="F379" s="183"/>
      <c r="G379" s="183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</row>
    <row r="380" spans="1:18" ht="18" customHeight="1">
      <c r="A380" s="179"/>
      <c r="B380" s="179" t="str">
        <f t="shared" si="4"/>
        <v/>
      </c>
      <c r="C380" s="180"/>
      <c r="D380" s="181"/>
      <c r="E380" s="182"/>
      <c r="F380" s="183"/>
      <c r="G380" s="183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</row>
    <row r="381" spans="1:18" ht="18" customHeight="1">
      <c r="A381" s="179"/>
      <c r="B381" s="179" t="str">
        <f t="shared" si="4"/>
        <v/>
      </c>
      <c r="C381" s="180"/>
      <c r="D381" s="181"/>
      <c r="E381" s="182"/>
      <c r="F381" s="183"/>
      <c r="G381" s="183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</row>
    <row r="382" spans="1:18" ht="18" customHeight="1">
      <c r="A382" s="179"/>
      <c r="B382" s="179" t="str">
        <f t="shared" si="4"/>
        <v/>
      </c>
      <c r="C382" s="180"/>
      <c r="D382" s="181"/>
      <c r="E382" s="182"/>
      <c r="F382" s="183"/>
      <c r="G382" s="183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</row>
    <row r="383" spans="1:18" ht="18" customHeight="1">
      <c r="A383" s="179"/>
      <c r="B383" s="179" t="str">
        <f t="shared" si="4"/>
        <v/>
      </c>
      <c r="C383" s="180"/>
      <c r="D383" s="181"/>
      <c r="E383" s="182"/>
      <c r="F383" s="183"/>
      <c r="G383" s="183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</row>
    <row r="384" spans="1:18" ht="18" customHeight="1">
      <c r="A384" s="179"/>
      <c r="B384" s="179" t="str">
        <f t="shared" si="4"/>
        <v/>
      </c>
      <c r="C384" s="180"/>
      <c r="D384" s="181"/>
      <c r="E384" s="182"/>
      <c r="F384" s="183"/>
      <c r="G384" s="183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</row>
    <row r="385" spans="1:18" ht="18" customHeight="1">
      <c r="A385" s="179"/>
      <c r="B385" s="179" t="str">
        <f t="shared" si="4"/>
        <v/>
      </c>
      <c r="C385" s="180"/>
      <c r="D385" s="181"/>
      <c r="E385" s="182"/>
      <c r="F385" s="183"/>
      <c r="G385" s="183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</row>
    <row r="386" spans="1:18" ht="18" customHeight="1">
      <c r="A386" s="179"/>
      <c r="B386" s="179" t="str">
        <f t="shared" si="4"/>
        <v/>
      </c>
      <c r="C386" s="180"/>
      <c r="D386" s="181"/>
      <c r="E386" s="182"/>
      <c r="F386" s="183"/>
      <c r="G386" s="183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</row>
    <row r="387" spans="1:18" ht="18" customHeight="1">
      <c r="A387" s="179"/>
      <c r="B387" s="179" t="str">
        <f t="shared" si="4"/>
        <v/>
      </c>
      <c r="C387" s="180"/>
      <c r="D387" s="181"/>
      <c r="E387" s="182"/>
      <c r="F387" s="183"/>
      <c r="G387" s="183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</row>
    <row r="388" spans="1:18" ht="18" customHeight="1">
      <c r="A388" s="179"/>
      <c r="B388" s="179" t="str">
        <f t="shared" si="4"/>
        <v/>
      </c>
      <c r="C388" s="180"/>
      <c r="D388" s="181"/>
      <c r="E388" s="182"/>
      <c r="F388" s="183"/>
      <c r="G388" s="183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</row>
    <row r="389" spans="1:18" ht="18" customHeight="1">
      <c r="A389" s="179"/>
      <c r="B389" s="179" t="str">
        <f t="shared" si="4"/>
        <v/>
      </c>
      <c r="C389" s="180"/>
      <c r="D389" s="181"/>
      <c r="E389" s="182"/>
      <c r="F389" s="183"/>
      <c r="G389" s="183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</row>
    <row r="390" spans="1:18" ht="18" customHeight="1">
      <c r="A390" s="179"/>
      <c r="B390" s="179" t="str">
        <f t="shared" si="4"/>
        <v/>
      </c>
      <c r="C390" s="180"/>
      <c r="D390" s="181"/>
      <c r="E390" s="182"/>
      <c r="F390" s="183"/>
      <c r="G390" s="183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</row>
    <row r="391" spans="1:18" ht="18" customHeight="1">
      <c r="A391" s="179"/>
      <c r="B391" s="179" t="str">
        <f t="shared" si="4"/>
        <v/>
      </c>
      <c r="C391" s="180"/>
      <c r="D391" s="181"/>
      <c r="E391" s="182"/>
      <c r="F391" s="183"/>
      <c r="G391" s="183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</row>
    <row r="392" spans="1:18" ht="18" customHeight="1">
      <c r="A392" s="179"/>
      <c r="B392" s="179" t="str">
        <f t="shared" si="4"/>
        <v/>
      </c>
      <c r="C392" s="180"/>
      <c r="D392" s="181"/>
      <c r="E392" s="182"/>
      <c r="F392" s="183"/>
      <c r="G392" s="183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</row>
    <row r="393" spans="1:18" ht="18" customHeight="1">
      <c r="A393" s="179"/>
      <c r="B393" s="179" t="str">
        <f t="shared" si="4"/>
        <v/>
      </c>
      <c r="C393" s="180"/>
      <c r="D393" s="181"/>
      <c r="E393" s="182"/>
      <c r="F393" s="183"/>
      <c r="G393" s="183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</row>
    <row r="394" spans="1:18" ht="18" customHeight="1">
      <c r="A394" s="179"/>
      <c r="B394" s="179" t="str">
        <f t="shared" si="4"/>
        <v/>
      </c>
      <c r="C394" s="180"/>
      <c r="D394" s="181"/>
      <c r="E394" s="182"/>
      <c r="F394" s="183"/>
      <c r="G394" s="183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</row>
    <row r="395" spans="1:18" ht="18" customHeight="1">
      <c r="A395" s="179"/>
      <c r="B395" s="179" t="str">
        <f t="shared" si="4"/>
        <v/>
      </c>
      <c r="C395" s="180"/>
      <c r="D395" s="181"/>
      <c r="E395" s="182"/>
      <c r="F395" s="183"/>
      <c r="G395" s="183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</row>
    <row r="396" spans="1:18" ht="18" customHeight="1">
      <c r="A396" s="179"/>
      <c r="B396" s="179" t="str">
        <f t="shared" si="4"/>
        <v/>
      </c>
      <c r="C396" s="180"/>
      <c r="D396" s="181"/>
      <c r="E396" s="182"/>
      <c r="F396" s="183"/>
      <c r="G396" s="183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</row>
    <row r="397" spans="1:18" ht="18" customHeight="1">
      <c r="A397" s="179"/>
      <c r="B397" s="179" t="str">
        <f t="shared" si="4"/>
        <v/>
      </c>
      <c r="C397" s="180"/>
      <c r="D397" s="181"/>
      <c r="E397" s="182"/>
      <c r="F397" s="183"/>
      <c r="G397" s="183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</row>
    <row r="398" spans="1:18" ht="18" customHeight="1">
      <c r="A398" s="179"/>
      <c r="B398" s="179" t="str">
        <f t="shared" si="4"/>
        <v/>
      </c>
      <c r="C398" s="180"/>
      <c r="D398" s="181"/>
      <c r="E398" s="182"/>
      <c r="F398" s="183"/>
      <c r="G398" s="183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</row>
    <row r="399" spans="1:18" ht="18" customHeight="1">
      <c r="A399" s="179"/>
      <c r="B399" s="179" t="str">
        <f t="shared" si="4"/>
        <v/>
      </c>
      <c r="C399" s="180"/>
      <c r="D399" s="181"/>
      <c r="E399" s="182"/>
      <c r="F399" s="183"/>
      <c r="G399" s="183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</row>
    <row r="400" spans="1:18" ht="18" customHeight="1">
      <c r="A400" s="179"/>
      <c r="B400" s="179" t="str">
        <f t="shared" ref="B400:B463" si="5">IF(E400="","",B399)</f>
        <v/>
      </c>
      <c r="C400" s="180"/>
      <c r="D400" s="181"/>
      <c r="E400" s="182"/>
      <c r="F400" s="183"/>
      <c r="G400" s="183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</row>
    <row r="401" spans="1:18" ht="18" customHeight="1">
      <c r="A401" s="179"/>
      <c r="B401" s="179" t="str">
        <f t="shared" si="5"/>
        <v/>
      </c>
      <c r="C401" s="180"/>
      <c r="D401" s="181"/>
      <c r="E401" s="182"/>
      <c r="F401" s="183"/>
      <c r="G401" s="183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</row>
    <row r="402" spans="1:18" ht="18" customHeight="1">
      <c r="A402" s="179"/>
      <c r="B402" s="179" t="str">
        <f t="shared" si="5"/>
        <v/>
      </c>
      <c r="C402" s="180"/>
      <c r="D402" s="181"/>
      <c r="E402" s="182"/>
      <c r="F402" s="183"/>
      <c r="G402" s="183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</row>
    <row r="403" spans="1:18" ht="18" customHeight="1">
      <c r="A403" s="179"/>
      <c r="B403" s="179" t="str">
        <f t="shared" si="5"/>
        <v/>
      </c>
      <c r="C403" s="180"/>
      <c r="D403" s="181"/>
      <c r="E403" s="182"/>
      <c r="F403" s="183"/>
      <c r="G403" s="183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</row>
    <row r="404" spans="1:18" ht="18" customHeight="1">
      <c r="A404" s="179"/>
      <c r="B404" s="179" t="str">
        <f t="shared" si="5"/>
        <v/>
      </c>
      <c r="C404" s="180"/>
      <c r="D404" s="181"/>
      <c r="E404" s="182"/>
      <c r="F404" s="183"/>
      <c r="G404" s="183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</row>
    <row r="405" spans="1:18" ht="18" customHeight="1">
      <c r="A405" s="179"/>
      <c r="B405" s="179" t="str">
        <f t="shared" si="5"/>
        <v/>
      </c>
      <c r="C405" s="180"/>
      <c r="D405" s="181"/>
      <c r="E405" s="182"/>
      <c r="F405" s="183"/>
      <c r="G405" s="183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</row>
    <row r="406" spans="1:18" ht="18" customHeight="1">
      <c r="A406" s="179"/>
      <c r="B406" s="179" t="str">
        <f t="shared" si="5"/>
        <v/>
      </c>
      <c r="C406" s="180"/>
      <c r="D406" s="181"/>
      <c r="E406" s="182"/>
      <c r="F406" s="183"/>
      <c r="G406" s="183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</row>
    <row r="407" spans="1:18" ht="18" customHeight="1">
      <c r="A407" s="179"/>
      <c r="B407" s="179" t="str">
        <f t="shared" si="5"/>
        <v/>
      </c>
      <c r="C407" s="180"/>
      <c r="D407" s="181"/>
      <c r="E407" s="182"/>
      <c r="F407" s="183"/>
      <c r="G407" s="183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</row>
    <row r="408" spans="1:18" ht="18" customHeight="1">
      <c r="A408" s="179"/>
      <c r="B408" s="179" t="str">
        <f t="shared" si="5"/>
        <v/>
      </c>
      <c r="C408" s="180"/>
      <c r="D408" s="181"/>
      <c r="E408" s="182"/>
      <c r="F408" s="183"/>
      <c r="G408" s="183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</row>
    <row r="409" spans="1:18" ht="18" customHeight="1">
      <c r="A409" s="179"/>
      <c r="B409" s="179" t="str">
        <f t="shared" si="5"/>
        <v/>
      </c>
      <c r="C409" s="180"/>
      <c r="D409" s="181"/>
      <c r="E409" s="182"/>
      <c r="F409" s="183"/>
      <c r="G409" s="183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</row>
    <row r="410" spans="1:18" ht="18" customHeight="1">
      <c r="A410" s="179"/>
      <c r="B410" s="179" t="str">
        <f t="shared" si="5"/>
        <v/>
      </c>
      <c r="C410" s="180"/>
      <c r="D410" s="181"/>
      <c r="E410" s="182"/>
      <c r="F410" s="183"/>
      <c r="G410" s="183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</row>
    <row r="411" spans="1:18" ht="18" customHeight="1">
      <c r="A411" s="179"/>
      <c r="B411" s="179" t="str">
        <f t="shared" si="5"/>
        <v/>
      </c>
      <c r="C411" s="180"/>
      <c r="D411" s="181"/>
      <c r="E411" s="182"/>
      <c r="F411" s="183"/>
      <c r="G411" s="183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</row>
    <row r="412" spans="1:18" ht="18" customHeight="1">
      <c r="A412" s="179"/>
      <c r="B412" s="179" t="str">
        <f t="shared" si="5"/>
        <v/>
      </c>
      <c r="C412" s="180"/>
      <c r="D412" s="181"/>
      <c r="E412" s="182"/>
      <c r="F412" s="183"/>
      <c r="G412" s="183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</row>
    <row r="413" spans="1:18" ht="18" customHeight="1">
      <c r="A413" s="179"/>
      <c r="B413" s="179" t="str">
        <f t="shared" si="5"/>
        <v/>
      </c>
      <c r="C413" s="180"/>
      <c r="D413" s="181"/>
      <c r="E413" s="182"/>
      <c r="F413" s="183"/>
      <c r="G413" s="183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</row>
    <row r="414" spans="1:18" ht="18" customHeight="1">
      <c r="A414" s="179"/>
      <c r="B414" s="179" t="str">
        <f t="shared" si="5"/>
        <v/>
      </c>
      <c r="C414" s="180"/>
      <c r="D414" s="181"/>
      <c r="E414" s="182"/>
      <c r="F414" s="183"/>
      <c r="G414" s="183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</row>
    <row r="415" spans="1:18" ht="18" customHeight="1">
      <c r="A415" s="179"/>
      <c r="B415" s="179" t="str">
        <f t="shared" si="5"/>
        <v/>
      </c>
      <c r="C415" s="180"/>
      <c r="D415" s="181"/>
      <c r="E415" s="182"/>
      <c r="F415" s="183"/>
      <c r="G415" s="183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</row>
    <row r="416" spans="1:18" ht="18" customHeight="1">
      <c r="A416" s="179"/>
      <c r="B416" s="179" t="str">
        <f t="shared" si="5"/>
        <v/>
      </c>
      <c r="C416" s="180"/>
      <c r="D416" s="181"/>
      <c r="E416" s="182"/>
      <c r="F416" s="183"/>
      <c r="G416" s="183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</row>
    <row r="417" spans="1:18" ht="18" customHeight="1">
      <c r="A417" s="179"/>
      <c r="B417" s="179" t="str">
        <f t="shared" si="5"/>
        <v/>
      </c>
      <c r="C417" s="180"/>
      <c r="D417" s="181"/>
      <c r="E417" s="182"/>
      <c r="F417" s="183"/>
      <c r="G417" s="183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</row>
    <row r="418" spans="1:18" ht="18" customHeight="1">
      <c r="A418" s="179"/>
      <c r="B418" s="179" t="str">
        <f t="shared" si="5"/>
        <v/>
      </c>
      <c r="C418" s="180"/>
      <c r="D418" s="181"/>
      <c r="E418" s="182"/>
      <c r="F418" s="183"/>
      <c r="G418" s="183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</row>
    <row r="419" spans="1:18" ht="18" customHeight="1">
      <c r="A419" s="179"/>
      <c r="B419" s="179" t="str">
        <f t="shared" si="5"/>
        <v/>
      </c>
      <c r="C419" s="180"/>
      <c r="D419" s="181"/>
      <c r="E419" s="182"/>
      <c r="F419" s="183"/>
      <c r="G419" s="183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</row>
    <row r="420" spans="1:18" ht="18" customHeight="1">
      <c r="A420" s="179"/>
      <c r="B420" s="179" t="str">
        <f t="shared" si="5"/>
        <v/>
      </c>
      <c r="C420" s="180"/>
      <c r="D420" s="181"/>
      <c r="E420" s="182"/>
      <c r="F420" s="183"/>
      <c r="G420" s="183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</row>
    <row r="421" spans="1:18" ht="18" customHeight="1">
      <c r="A421" s="179"/>
      <c r="B421" s="179" t="str">
        <f t="shared" si="5"/>
        <v/>
      </c>
      <c r="C421" s="180"/>
      <c r="D421" s="181"/>
      <c r="E421" s="182"/>
      <c r="F421" s="183"/>
      <c r="G421" s="183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</row>
    <row r="422" spans="1:18" ht="18" customHeight="1">
      <c r="A422" s="179"/>
      <c r="B422" s="179" t="str">
        <f t="shared" si="5"/>
        <v/>
      </c>
      <c r="C422" s="180"/>
      <c r="D422" s="181"/>
      <c r="E422" s="182"/>
      <c r="F422" s="183"/>
      <c r="G422" s="183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</row>
    <row r="423" spans="1:18" ht="18" customHeight="1">
      <c r="A423" s="179"/>
      <c r="B423" s="179" t="str">
        <f t="shared" si="5"/>
        <v/>
      </c>
      <c r="C423" s="180"/>
      <c r="D423" s="181"/>
      <c r="E423" s="182"/>
      <c r="F423" s="183"/>
      <c r="G423" s="183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</row>
    <row r="424" spans="1:18" ht="18" customHeight="1">
      <c r="A424" s="179"/>
      <c r="B424" s="179" t="str">
        <f t="shared" si="5"/>
        <v/>
      </c>
      <c r="C424" s="180"/>
      <c r="D424" s="181"/>
      <c r="E424" s="182"/>
      <c r="F424" s="183"/>
      <c r="G424" s="183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</row>
    <row r="425" spans="1:18" ht="18" customHeight="1">
      <c r="A425" s="179"/>
      <c r="B425" s="179" t="str">
        <f t="shared" si="5"/>
        <v/>
      </c>
      <c r="C425" s="180"/>
      <c r="D425" s="181"/>
      <c r="E425" s="182"/>
      <c r="F425" s="183"/>
      <c r="G425" s="183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</row>
    <row r="426" spans="1:18" ht="18" customHeight="1">
      <c r="A426" s="179"/>
      <c r="B426" s="179" t="str">
        <f t="shared" si="5"/>
        <v/>
      </c>
      <c r="C426" s="180"/>
      <c r="D426" s="181"/>
      <c r="E426" s="182"/>
      <c r="F426" s="183"/>
      <c r="G426" s="183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</row>
    <row r="427" spans="1:18" ht="18" customHeight="1">
      <c r="A427" s="179"/>
      <c r="B427" s="179" t="str">
        <f t="shared" si="5"/>
        <v/>
      </c>
      <c r="C427" s="180"/>
      <c r="D427" s="181"/>
      <c r="E427" s="182"/>
      <c r="F427" s="183"/>
      <c r="G427" s="183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</row>
    <row r="428" spans="1:18" ht="18" customHeight="1">
      <c r="A428" s="179"/>
      <c r="B428" s="179" t="str">
        <f t="shared" si="5"/>
        <v/>
      </c>
      <c r="C428" s="180"/>
      <c r="D428" s="181"/>
      <c r="E428" s="182"/>
      <c r="F428" s="183"/>
      <c r="G428" s="183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</row>
    <row r="429" spans="1:18" ht="18" customHeight="1">
      <c r="A429" s="179"/>
      <c r="B429" s="179" t="str">
        <f t="shared" si="5"/>
        <v/>
      </c>
      <c r="C429" s="180"/>
      <c r="D429" s="181"/>
      <c r="E429" s="182"/>
      <c r="F429" s="183"/>
      <c r="G429" s="183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</row>
    <row r="430" spans="1:18" ht="18" customHeight="1">
      <c r="A430" s="179"/>
      <c r="B430" s="179" t="str">
        <f t="shared" si="5"/>
        <v/>
      </c>
      <c r="C430" s="180"/>
      <c r="D430" s="181"/>
      <c r="E430" s="182"/>
      <c r="F430" s="183"/>
      <c r="G430" s="183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</row>
    <row r="431" spans="1:18" ht="18" customHeight="1">
      <c r="A431" s="179"/>
      <c r="B431" s="179" t="str">
        <f t="shared" si="5"/>
        <v/>
      </c>
      <c r="C431" s="180"/>
      <c r="D431" s="181"/>
      <c r="E431" s="182"/>
      <c r="F431" s="183"/>
      <c r="G431" s="183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</row>
    <row r="432" spans="1:18" ht="18" customHeight="1">
      <c r="A432" s="179"/>
      <c r="B432" s="179" t="str">
        <f t="shared" si="5"/>
        <v/>
      </c>
      <c r="C432" s="180"/>
      <c r="D432" s="181"/>
      <c r="E432" s="182"/>
      <c r="F432" s="183"/>
      <c r="G432" s="183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</row>
    <row r="433" spans="1:18" ht="18" customHeight="1">
      <c r="A433" s="179"/>
      <c r="B433" s="179" t="str">
        <f t="shared" si="5"/>
        <v/>
      </c>
      <c r="C433" s="180"/>
      <c r="D433" s="181"/>
      <c r="E433" s="182"/>
      <c r="F433" s="183"/>
      <c r="G433" s="183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</row>
    <row r="434" spans="1:18" ht="18" customHeight="1">
      <c r="A434" s="179"/>
      <c r="B434" s="179" t="str">
        <f t="shared" si="5"/>
        <v/>
      </c>
      <c r="C434" s="180"/>
      <c r="D434" s="181"/>
      <c r="E434" s="182"/>
      <c r="F434" s="183"/>
      <c r="G434" s="183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</row>
    <row r="435" spans="1:18" ht="18" customHeight="1">
      <c r="A435" s="179"/>
      <c r="B435" s="179" t="str">
        <f t="shared" si="5"/>
        <v/>
      </c>
      <c r="C435" s="180"/>
      <c r="D435" s="181"/>
      <c r="E435" s="182"/>
      <c r="F435" s="183"/>
      <c r="G435" s="183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</row>
    <row r="436" spans="1:18" ht="18" customHeight="1">
      <c r="A436" s="179"/>
      <c r="B436" s="179" t="str">
        <f t="shared" si="5"/>
        <v/>
      </c>
      <c r="C436" s="180"/>
      <c r="D436" s="181"/>
      <c r="E436" s="182"/>
      <c r="F436" s="183"/>
      <c r="G436" s="183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</row>
    <row r="437" spans="1:18" ht="18" customHeight="1">
      <c r="A437" s="179"/>
      <c r="B437" s="179" t="str">
        <f t="shared" si="5"/>
        <v/>
      </c>
      <c r="C437" s="180"/>
      <c r="D437" s="181"/>
      <c r="E437" s="182"/>
      <c r="F437" s="183"/>
      <c r="G437" s="183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</row>
    <row r="438" spans="1:18" ht="18" customHeight="1">
      <c r="A438" s="179"/>
      <c r="B438" s="179" t="str">
        <f t="shared" si="5"/>
        <v/>
      </c>
      <c r="C438" s="180"/>
      <c r="D438" s="181"/>
      <c r="E438" s="182"/>
      <c r="F438" s="183"/>
      <c r="G438" s="183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</row>
    <row r="439" spans="1:18" ht="18" customHeight="1">
      <c r="A439" s="179"/>
      <c r="B439" s="179" t="str">
        <f t="shared" si="5"/>
        <v/>
      </c>
      <c r="C439" s="180"/>
      <c r="D439" s="181"/>
      <c r="E439" s="182"/>
      <c r="F439" s="183"/>
      <c r="G439" s="183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</row>
    <row r="440" spans="1:18" ht="18" customHeight="1">
      <c r="A440" s="179"/>
      <c r="B440" s="179" t="str">
        <f t="shared" si="5"/>
        <v/>
      </c>
      <c r="C440" s="180"/>
      <c r="D440" s="181"/>
      <c r="E440" s="182"/>
      <c r="F440" s="183"/>
      <c r="G440" s="183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</row>
    <row r="441" spans="1:18" ht="18" customHeight="1">
      <c r="A441" s="179"/>
      <c r="B441" s="179" t="str">
        <f t="shared" si="5"/>
        <v/>
      </c>
      <c r="C441" s="180"/>
      <c r="D441" s="181"/>
      <c r="E441" s="182"/>
      <c r="F441" s="183"/>
      <c r="G441" s="183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</row>
    <row r="442" spans="1:18" ht="18" customHeight="1">
      <c r="A442" s="179"/>
      <c r="B442" s="179" t="str">
        <f t="shared" si="5"/>
        <v/>
      </c>
      <c r="C442" s="180"/>
      <c r="D442" s="181"/>
      <c r="E442" s="182"/>
      <c r="F442" s="183"/>
      <c r="G442" s="183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</row>
    <row r="443" spans="1:18" ht="18" customHeight="1">
      <c r="A443" s="179"/>
      <c r="B443" s="179" t="str">
        <f t="shared" si="5"/>
        <v/>
      </c>
      <c r="C443" s="180"/>
      <c r="D443" s="181"/>
      <c r="E443" s="182"/>
      <c r="F443" s="183"/>
      <c r="G443" s="183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</row>
    <row r="444" spans="1:18" ht="18" customHeight="1">
      <c r="A444" s="179"/>
      <c r="B444" s="179" t="str">
        <f t="shared" si="5"/>
        <v/>
      </c>
      <c r="C444" s="180"/>
      <c r="D444" s="181"/>
      <c r="E444" s="182"/>
      <c r="F444" s="183"/>
      <c r="G444" s="183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</row>
    <row r="445" spans="1:18" ht="18" customHeight="1">
      <c r="A445" s="179"/>
      <c r="B445" s="179" t="str">
        <f t="shared" si="5"/>
        <v/>
      </c>
      <c r="C445" s="180"/>
      <c r="D445" s="181"/>
      <c r="E445" s="182"/>
      <c r="F445" s="183"/>
      <c r="G445" s="183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</row>
    <row r="446" spans="1:18" ht="18" customHeight="1">
      <c r="A446" s="179"/>
      <c r="B446" s="179" t="str">
        <f t="shared" si="5"/>
        <v/>
      </c>
      <c r="C446" s="180"/>
      <c r="D446" s="181"/>
      <c r="E446" s="182"/>
      <c r="F446" s="183"/>
      <c r="G446" s="183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</row>
    <row r="447" spans="1:18" ht="18" customHeight="1">
      <c r="A447" s="179"/>
      <c r="B447" s="179" t="str">
        <f t="shared" si="5"/>
        <v/>
      </c>
      <c r="C447" s="180"/>
      <c r="D447" s="181"/>
      <c r="E447" s="182"/>
      <c r="F447" s="183"/>
      <c r="G447" s="183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</row>
    <row r="448" spans="1:18" ht="18" customHeight="1">
      <c r="A448" s="179"/>
      <c r="B448" s="179" t="str">
        <f t="shared" si="5"/>
        <v/>
      </c>
      <c r="C448" s="180"/>
      <c r="D448" s="181"/>
      <c r="E448" s="182"/>
      <c r="F448" s="183"/>
      <c r="G448" s="183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</row>
    <row r="449" spans="1:18" ht="18" customHeight="1">
      <c r="A449" s="179"/>
      <c r="B449" s="179" t="str">
        <f t="shared" si="5"/>
        <v/>
      </c>
      <c r="C449" s="180"/>
      <c r="D449" s="181"/>
      <c r="E449" s="182"/>
      <c r="F449" s="183"/>
      <c r="G449" s="183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</row>
    <row r="450" spans="1:18" ht="18" customHeight="1">
      <c r="A450" s="179"/>
      <c r="B450" s="179" t="str">
        <f t="shared" si="5"/>
        <v/>
      </c>
      <c r="C450" s="180"/>
      <c r="D450" s="181"/>
      <c r="E450" s="182"/>
      <c r="F450" s="183"/>
      <c r="G450" s="183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</row>
    <row r="451" spans="1:18" ht="18" customHeight="1">
      <c r="A451" s="179"/>
      <c r="B451" s="179" t="str">
        <f t="shared" si="5"/>
        <v/>
      </c>
      <c r="C451" s="180"/>
      <c r="D451" s="181"/>
      <c r="E451" s="182"/>
      <c r="F451" s="183"/>
      <c r="G451" s="183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</row>
    <row r="452" spans="1:18" ht="18" customHeight="1">
      <c r="A452" s="179"/>
      <c r="B452" s="179" t="str">
        <f t="shared" si="5"/>
        <v/>
      </c>
      <c r="C452" s="180"/>
      <c r="D452" s="181"/>
      <c r="E452" s="182"/>
      <c r="F452" s="183"/>
      <c r="G452" s="183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</row>
    <row r="453" spans="1:18" ht="18" customHeight="1">
      <c r="A453" s="179"/>
      <c r="B453" s="179" t="str">
        <f t="shared" si="5"/>
        <v/>
      </c>
      <c r="C453" s="180"/>
      <c r="D453" s="181"/>
      <c r="E453" s="182"/>
      <c r="F453" s="183"/>
      <c r="G453" s="183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</row>
    <row r="454" spans="1:18" ht="18" customHeight="1">
      <c r="A454" s="179"/>
      <c r="B454" s="179" t="str">
        <f t="shared" si="5"/>
        <v/>
      </c>
      <c r="C454" s="180"/>
      <c r="D454" s="181"/>
      <c r="E454" s="182"/>
      <c r="F454" s="183"/>
      <c r="G454" s="183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</row>
    <row r="455" spans="1:18" ht="18" customHeight="1">
      <c r="A455" s="179"/>
      <c r="B455" s="179" t="str">
        <f t="shared" si="5"/>
        <v/>
      </c>
      <c r="C455" s="180"/>
      <c r="D455" s="181"/>
      <c r="E455" s="182"/>
      <c r="F455" s="183"/>
      <c r="G455" s="183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</row>
    <row r="456" spans="1:18" ht="18" customHeight="1">
      <c r="A456" s="179"/>
      <c r="B456" s="179" t="str">
        <f t="shared" si="5"/>
        <v/>
      </c>
      <c r="C456" s="180"/>
      <c r="D456" s="181"/>
      <c r="E456" s="182"/>
      <c r="F456" s="183"/>
      <c r="G456" s="183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</row>
    <row r="457" spans="1:18" ht="18" customHeight="1">
      <c r="A457" s="179"/>
      <c r="B457" s="179" t="str">
        <f t="shared" si="5"/>
        <v/>
      </c>
      <c r="C457" s="180"/>
      <c r="D457" s="181"/>
      <c r="E457" s="182"/>
      <c r="F457" s="183"/>
      <c r="G457" s="183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</row>
    <row r="458" spans="1:18" ht="18" customHeight="1">
      <c r="A458" s="179"/>
      <c r="B458" s="179" t="str">
        <f t="shared" si="5"/>
        <v/>
      </c>
      <c r="C458" s="180"/>
      <c r="D458" s="181"/>
      <c r="E458" s="182"/>
      <c r="F458" s="183"/>
      <c r="G458" s="183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</row>
    <row r="459" spans="1:18" ht="18" customHeight="1">
      <c r="A459" s="179"/>
      <c r="B459" s="179" t="str">
        <f t="shared" si="5"/>
        <v/>
      </c>
      <c r="C459" s="180"/>
      <c r="D459" s="181"/>
      <c r="E459" s="182"/>
      <c r="F459" s="183"/>
      <c r="G459" s="183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</row>
    <row r="460" spans="1:18" ht="18" customHeight="1">
      <c r="A460" s="179"/>
      <c r="B460" s="179" t="str">
        <f t="shared" si="5"/>
        <v/>
      </c>
      <c r="C460" s="180"/>
      <c r="D460" s="181"/>
      <c r="E460" s="182"/>
      <c r="F460" s="183"/>
      <c r="G460" s="183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</row>
    <row r="461" spans="1:18" ht="18" customHeight="1">
      <c r="A461" s="179"/>
      <c r="B461" s="179" t="str">
        <f t="shared" si="5"/>
        <v/>
      </c>
      <c r="C461" s="180"/>
      <c r="D461" s="181"/>
      <c r="E461" s="182"/>
      <c r="F461" s="183"/>
      <c r="G461" s="183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</row>
    <row r="462" spans="1:18" ht="18" customHeight="1">
      <c r="A462" s="179"/>
      <c r="B462" s="179" t="str">
        <f t="shared" si="5"/>
        <v/>
      </c>
      <c r="C462" s="180"/>
      <c r="D462" s="181"/>
      <c r="E462" s="182"/>
      <c r="F462" s="183"/>
      <c r="G462" s="183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</row>
    <row r="463" spans="1:18" ht="18" customHeight="1">
      <c r="A463" s="179"/>
      <c r="B463" s="179" t="str">
        <f t="shared" si="5"/>
        <v/>
      </c>
      <c r="C463" s="180"/>
      <c r="D463" s="181"/>
      <c r="E463" s="182"/>
      <c r="F463" s="183"/>
      <c r="G463" s="183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</row>
    <row r="464" spans="1:18" ht="18" customHeight="1">
      <c r="A464" s="179"/>
      <c r="B464" s="179" t="str">
        <f t="shared" ref="B464:B511" si="6">IF(E464="","",B463)</f>
        <v/>
      </c>
      <c r="C464" s="180"/>
      <c r="D464" s="181"/>
      <c r="E464" s="182"/>
      <c r="F464" s="183"/>
      <c r="G464" s="183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</row>
    <row r="465" spans="1:18" ht="18" customHeight="1">
      <c r="A465" s="179"/>
      <c r="B465" s="179" t="str">
        <f t="shared" si="6"/>
        <v/>
      </c>
      <c r="C465" s="180"/>
      <c r="D465" s="181"/>
      <c r="E465" s="182"/>
      <c r="F465" s="183"/>
      <c r="G465" s="183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</row>
    <row r="466" spans="1:18" ht="18" customHeight="1">
      <c r="A466" s="179"/>
      <c r="B466" s="179" t="str">
        <f t="shared" si="6"/>
        <v/>
      </c>
      <c r="C466" s="180"/>
      <c r="D466" s="181"/>
      <c r="E466" s="182"/>
      <c r="F466" s="183"/>
      <c r="G466" s="183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</row>
    <row r="467" spans="1:18" ht="18" customHeight="1">
      <c r="A467" s="179"/>
      <c r="B467" s="179" t="str">
        <f t="shared" si="6"/>
        <v/>
      </c>
      <c r="C467" s="180"/>
      <c r="D467" s="181"/>
      <c r="E467" s="182"/>
      <c r="F467" s="183"/>
      <c r="G467" s="183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</row>
    <row r="468" spans="1:18" ht="18" customHeight="1">
      <c r="A468" s="179"/>
      <c r="B468" s="179" t="str">
        <f t="shared" si="6"/>
        <v/>
      </c>
      <c r="C468" s="180"/>
      <c r="D468" s="181"/>
      <c r="E468" s="182"/>
      <c r="F468" s="183"/>
      <c r="G468" s="183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</row>
    <row r="469" spans="1:18" ht="18" customHeight="1">
      <c r="A469" s="179"/>
      <c r="B469" s="179" t="str">
        <f t="shared" si="6"/>
        <v/>
      </c>
      <c r="C469" s="180"/>
      <c r="D469" s="181"/>
      <c r="E469" s="182"/>
      <c r="F469" s="183"/>
      <c r="G469" s="183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</row>
    <row r="470" spans="1:18" ht="18" customHeight="1">
      <c r="A470" s="179"/>
      <c r="B470" s="179" t="str">
        <f t="shared" si="6"/>
        <v/>
      </c>
      <c r="C470" s="180"/>
      <c r="D470" s="181"/>
      <c r="E470" s="182"/>
      <c r="F470" s="183"/>
      <c r="G470" s="183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</row>
    <row r="471" spans="1:18" ht="18" customHeight="1">
      <c r="A471" s="179"/>
      <c r="B471" s="179" t="str">
        <f t="shared" si="6"/>
        <v/>
      </c>
      <c r="C471" s="180"/>
      <c r="D471" s="181"/>
      <c r="E471" s="182"/>
      <c r="F471" s="183"/>
      <c r="G471" s="183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</row>
    <row r="472" spans="1:18" ht="18" customHeight="1">
      <c r="A472" s="179"/>
      <c r="B472" s="179" t="str">
        <f t="shared" si="6"/>
        <v/>
      </c>
      <c r="C472" s="180"/>
      <c r="D472" s="181"/>
      <c r="E472" s="182"/>
      <c r="F472" s="183"/>
      <c r="G472" s="183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</row>
    <row r="473" spans="1:18" ht="18" customHeight="1">
      <c r="A473" s="179"/>
      <c r="B473" s="179" t="str">
        <f t="shared" si="6"/>
        <v/>
      </c>
      <c r="C473" s="180"/>
      <c r="D473" s="181"/>
      <c r="E473" s="182"/>
      <c r="F473" s="183"/>
      <c r="G473" s="183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</row>
    <row r="474" spans="1:18" ht="18" customHeight="1">
      <c r="A474" s="179"/>
      <c r="B474" s="179" t="str">
        <f t="shared" si="6"/>
        <v/>
      </c>
      <c r="C474" s="180"/>
      <c r="D474" s="181"/>
      <c r="E474" s="182"/>
      <c r="F474" s="183"/>
      <c r="G474" s="183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</row>
    <row r="475" spans="1:18" ht="18" customHeight="1">
      <c r="A475" s="179"/>
      <c r="B475" s="179" t="str">
        <f t="shared" si="6"/>
        <v/>
      </c>
      <c r="C475" s="180"/>
      <c r="D475" s="181"/>
      <c r="E475" s="182"/>
      <c r="F475" s="183"/>
      <c r="G475" s="183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</row>
    <row r="476" spans="1:18" ht="18" customHeight="1">
      <c r="A476" s="179"/>
      <c r="B476" s="179" t="str">
        <f t="shared" si="6"/>
        <v/>
      </c>
      <c r="C476" s="180"/>
      <c r="D476" s="181"/>
      <c r="E476" s="182"/>
      <c r="F476" s="183"/>
      <c r="G476" s="183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</row>
    <row r="477" spans="1:18" ht="18" customHeight="1">
      <c r="A477" s="179"/>
      <c r="B477" s="179" t="str">
        <f t="shared" si="6"/>
        <v/>
      </c>
      <c r="C477" s="180"/>
      <c r="D477" s="181"/>
      <c r="E477" s="182"/>
      <c r="F477" s="183"/>
      <c r="G477" s="183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</row>
    <row r="478" spans="1:18" ht="18" customHeight="1">
      <c r="A478" s="179"/>
      <c r="B478" s="179" t="str">
        <f t="shared" si="6"/>
        <v/>
      </c>
      <c r="C478" s="180"/>
      <c r="D478" s="181"/>
      <c r="E478" s="182"/>
      <c r="F478" s="183"/>
      <c r="G478" s="183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</row>
    <row r="479" spans="1:18" ht="18" customHeight="1">
      <c r="A479" s="179"/>
      <c r="B479" s="179" t="str">
        <f t="shared" si="6"/>
        <v/>
      </c>
      <c r="C479" s="180"/>
      <c r="D479" s="181"/>
      <c r="E479" s="182"/>
      <c r="F479" s="183"/>
      <c r="G479" s="183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</row>
    <row r="480" spans="1:18" ht="18" customHeight="1">
      <c r="A480" s="179"/>
      <c r="B480" s="179" t="str">
        <f t="shared" si="6"/>
        <v/>
      </c>
      <c r="C480" s="180"/>
      <c r="D480" s="181"/>
      <c r="E480" s="182"/>
      <c r="F480" s="183"/>
      <c r="G480" s="183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</row>
    <row r="481" spans="1:18" ht="18" customHeight="1">
      <c r="A481" s="179"/>
      <c r="B481" s="179" t="str">
        <f t="shared" si="6"/>
        <v/>
      </c>
      <c r="C481" s="180"/>
      <c r="D481" s="181"/>
      <c r="E481" s="182"/>
      <c r="F481" s="183"/>
      <c r="G481" s="183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</row>
    <row r="482" spans="1:18" ht="18" customHeight="1">
      <c r="A482" s="179"/>
      <c r="B482" s="179" t="str">
        <f t="shared" si="6"/>
        <v/>
      </c>
      <c r="C482" s="180"/>
      <c r="D482" s="181"/>
      <c r="E482" s="182"/>
      <c r="F482" s="183"/>
      <c r="G482" s="183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</row>
    <row r="483" spans="1:18" ht="18" customHeight="1">
      <c r="A483" s="179"/>
      <c r="B483" s="179" t="str">
        <f t="shared" si="6"/>
        <v/>
      </c>
      <c r="C483" s="180"/>
      <c r="D483" s="181"/>
      <c r="E483" s="182"/>
      <c r="F483" s="183"/>
      <c r="G483" s="183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</row>
    <row r="484" spans="1:18" ht="18" customHeight="1">
      <c r="A484" s="179"/>
      <c r="B484" s="179" t="str">
        <f t="shared" si="6"/>
        <v/>
      </c>
      <c r="C484" s="180"/>
      <c r="D484" s="181"/>
      <c r="E484" s="182"/>
      <c r="F484" s="183"/>
      <c r="G484" s="183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</row>
    <row r="485" spans="1:18" ht="18" customHeight="1">
      <c r="A485" s="179"/>
      <c r="B485" s="179" t="str">
        <f t="shared" si="6"/>
        <v/>
      </c>
      <c r="C485" s="180"/>
      <c r="D485" s="181"/>
      <c r="E485" s="182"/>
      <c r="F485" s="183"/>
      <c r="G485" s="183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</row>
    <row r="486" spans="1:18" ht="18" customHeight="1">
      <c r="A486" s="179"/>
      <c r="B486" s="179" t="str">
        <f t="shared" si="6"/>
        <v/>
      </c>
      <c r="C486" s="180"/>
      <c r="D486" s="181"/>
      <c r="E486" s="182"/>
      <c r="F486" s="183"/>
      <c r="G486" s="183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</row>
    <row r="487" spans="1:18" ht="18" customHeight="1">
      <c r="A487" s="179"/>
      <c r="B487" s="179" t="str">
        <f t="shared" si="6"/>
        <v/>
      </c>
      <c r="C487" s="180"/>
      <c r="D487" s="181"/>
      <c r="E487" s="182"/>
      <c r="F487" s="183"/>
      <c r="G487" s="183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</row>
    <row r="488" spans="1:18" ht="18" customHeight="1">
      <c r="A488" s="179"/>
      <c r="B488" s="179" t="str">
        <f t="shared" si="6"/>
        <v/>
      </c>
      <c r="C488" s="180"/>
      <c r="D488" s="181"/>
      <c r="E488" s="182"/>
      <c r="F488" s="183"/>
      <c r="G488" s="183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</row>
    <row r="489" spans="1:18" ht="18" customHeight="1">
      <c r="A489" s="179"/>
      <c r="B489" s="179" t="str">
        <f t="shared" si="6"/>
        <v/>
      </c>
      <c r="C489" s="180"/>
      <c r="D489" s="181"/>
      <c r="E489" s="182"/>
      <c r="F489" s="183"/>
      <c r="G489" s="183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</row>
    <row r="490" spans="1:18" ht="18" customHeight="1">
      <c r="A490" s="179"/>
      <c r="B490" s="179" t="str">
        <f t="shared" si="6"/>
        <v/>
      </c>
      <c r="C490" s="180"/>
      <c r="D490" s="181"/>
      <c r="E490" s="182"/>
      <c r="F490" s="183"/>
      <c r="G490" s="183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</row>
    <row r="491" spans="1:18" ht="18" customHeight="1">
      <c r="A491" s="179"/>
      <c r="B491" s="179" t="str">
        <f t="shared" si="6"/>
        <v/>
      </c>
      <c r="C491" s="180"/>
      <c r="D491" s="181"/>
      <c r="E491" s="182"/>
      <c r="F491" s="183"/>
      <c r="G491" s="183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</row>
    <row r="492" spans="1:18" ht="18" customHeight="1">
      <c r="A492" s="179"/>
      <c r="B492" s="179" t="str">
        <f t="shared" si="6"/>
        <v/>
      </c>
      <c r="C492" s="180"/>
      <c r="D492" s="181"/>
      <c r="E492" s="182"/>
      <c r="F492" s="183"/>
      <c r="G492" s="183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</row>
    <row r="493" spans="1:18" ht="18" customHeight="1">
      <c r="A493" s="179"/>
      <c r="B493" s="179" t="str">
        <f t="shared" si="6"/>
        <v/>
      </c>
      <c r="C493" s="180"/>
      <c r="D493" s="181"/>
      <c r="E493" s="182"/>
      <c r="F493" s="183"/>
      <c r="G493" s="183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</row>
    <row r="494" spans="1:18" ht="18" customHeight="1">
      <c r="A494" s="179"/>
      <c r="B494" s="179" t="str">
        <f t="shared" si="6"/>
        <v/>
      </c>
      <c r="C494" s="180"/>
      <c r="D494" s="181"/>
      <c r="E494" s="182"/>
      <c r="F494" s="183"/>
      <c r="G494" s="183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</row>
    <row r="495" spans="1:18" ht="18" customHeight="1">
      <c r="A495" s="179"/>
      <c r="B495" s="179" t="str">
        <f t="shared" si="6"/>
        <v/>
      </c>
      <c r="C495" s="180"/>
      <c r="D495" s="181"/>
      <c r="E495" s="182"/>
      <c r="F495" s="183"/>
      <c r="G495" s="183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</row>
    <row r="496" spans="1:18" ht="18" customHeight="1">
      <c r="A496" s="179"/>
      <c r="B496" s="179" t="str">
        <f t="shared" si="6"/>
        <v/>
      </c>
      <c r="C496" s="180"/>
      <c r="D496" s="181"/>
      <c r="E496" s="182"/>
      <c r="F496" s="183"/>
      <c r="G496" s="183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</row>
    <row r="497" spans="1:18" ht="18" customHeight="1">
      <c r="A497" s="179"/>
      <c r="B497" s="179" t="str">
        <f t="shared" si="6"/>
        <v/>
      </c>
      <c r="C497" s="180"/>
      <c r="D497" s="181"/>
      <c r="E497" s="182"/>
      <c r="F497" s="183"/>
      <c r="G497" s="183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</row>
    <row r="498" spans="1:18" ht="18" customHeight="1">
      <c r="A498" s="179"/>
      <c r="B498" s="179" t="str">
        <f t="shared" si="6"/>
        <v/>
      </c>
      <c r="C498" s="180"/>
      <c r="D498" s="181"/>
      <c r="E498" s="182"/>
      <c r="F498" s="183"/>
      <c r="G498" s="183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</row>
    <row r="499" spans="1:18" ht="18" customHeight="1">
      <c r="A499" s="179"/>
      <c r="B499" s="179" t="str">
        <f t="shared" si="6"/>
        <v/>
      </c>
      <c r="C499" s="180"/>
      <c r="D499" s="181"/>
      <c r="E499" s="182"/>
      <c r="F499" s="183"/>
      <c r="G499" s="183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</row>
    <row r="500" spans="1:18" ht="18" customHeight="1">
      <c r="A500" s="179"/>
      <c r="B500" s="179" t="str">
        <f t="shared" si="6"/>
        <v/>
      </c>
      <c r="C500" s="180"/>
      <c r="D500" s="181"/>
      <c r="E500" s="182"/>
      <c r="F500" s="183"/>
      <c r="G500" s="183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</row>
    <row r="501" spans="1:18" ht="18" customHeight="1">
      <c r="A501" s="179"/>
      <c r="B501" s="179" t="str">
        <f t="shared" si="6"/>
        <v/>
      </c>
      <c r="C501" s="180"/>
      <c r="D501" s="181"/>
      <c r="E501" s="182"/>
      <c r="F501" s="183"/>
      <c r="G501" s="183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</row>
    <row r="502" spans="1:18" ht="18" customHeight="1">
      <c r="A502" s="179"/>
      <c r="B502" s="179" t="str">
        <f t="shared" si="6"/>
        <v/>
      </c>
      <c r="C502" s="180"/>
      <c r="D502" s="181"/>
      <c r="E502" s="182"/>
      <c r="F502" s="183"/>
      <c r="G502" s="183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</row>
    <row r="503" spans="1:18" ht="18" customHeight="1">
      <c r="A503" s="179"/>
      <c r="B503" s="179" t="str">
        <f t="shared" si="6"/>
        <v/>
      </c>
      <c r="C503" s="180"/>
      <c r="D503" s="181"/>
      <c r="E503" s="182"/>
      <c r="F503" s="183"/>
      <c r="G503" s="183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</row>
    <row r="504" spans="1:18" ht="18" customHeight="1">
      <c r="A504" s="179"/>
      <c r="B504" s="179" t="str">
        <f t="shared" si="6"/>
        <v/>
      </c>
      <c r="C504" s="180"/>
      <c r="D504" s="181"/>
      <c r="E504" s="182"/>
      <c r="F504" s="183"/>
      <c r="G504" s="183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</row>
    <row r="505" spans="1:18" ht="18" customHeight="1">
      <c r="A505" s="179"/>
      <c r="B505" s="179" t="str">
        <f t="shared" si="6"/>
        <v/>
      </c>
      <c r="C505" s="180"/>
      <c r="D505" s="181"/>
      <c r="E505" s="182"/>
      <c r="F505" s="183"/>
      <c r="G505" s="183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</row>
    <row r="506" spans="1:18" ht="18" customHeight="1">
      <c r="A506" s="179"/>
      <c r="B506" s="179" t="str">
        <f t="shared" si="6"/>
        <v/>
      </c>
      <c r="C506" s="180"/>
      <c r="D506" s="181"/>
      <c r="E506" s="182"/>
      <c r="F506" s="183"/>
      <c r="G506" s="183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</row>
    <row r="507" spans="1:18" ht="18" customHeight="1">
      <c r="A507" s="179"/>
      <c r="B507" s="179" t="str">
        <f t="shared" si="6"/>
        <v/>
      </c>
      <c r="C507" s="180"/>
      <c r="D507" s="181"/>
      <c r="E507" s="182"/>
      <c r="F507" s="183"/>
      <c r="G507" s="183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</row>
    <row r="508" spans="1:18" ht="18" customHeight="1">
      <c r="A508" s="179"/>
      <c r="B508" s="179" t="str">
        <f t="shared" si="6"/>
        <v/>
      </c>
      <c r="C508" s="180"/>
      <c r="D508" s="181"/>
      <c r="E508" s="182"/>
      <c r="F508" s="183"/>
      <c r="G508" s="183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</row>
    <row r="509" spans="1:18" ht="18" customHeight="1">
      <c r="A509" s="179"/>
      <c r="B509" s="179" t="str">
        <f t="shared" si="6"/>
        <v/>
      </c>
      <c r="C509" s="180"/>
      <c r="D509" s="181"/>
      <c r="E509" s="182"/>
      <c r="F509" s="183"/>
      <c r="G509" s="183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</row>
    <row r="510" spans="1:18" ht="18" customHeight="1">
      <c r="A510" s="179"/>
      <c r="B510" s="179" t="str">
        <f t="shared" si="6"/>
        <v/>
      </c>
      <c r="C510" s="180"/>
      <c r="D510" s="181"/>
      <c r="E510" s="182"/>
      <c r="F510" s="183"/>
      <c r="G510" s="183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</row>
    <row r="511" spans="1:18" ht="18" customHeight="1">
      <c r="A511" s="179" t="str">
        <f t="shared" ref="A511" si="7">IF(E511="","",A510)</f>
        <v/>
      </c>
      <c r="B511" s="179" t="str">
        <f t="shared" si="6"/>
        <v/>
      </c>
      <c r="C511" s="180"/>
      <c r="D511" s="181"/>
      <c r="E511" s="182"/>
      <c r="F511" s="183"/>
      <c r="G511" s="183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</row>
    <row r="512" spans="1:18" ht="18" customHeight="1">
      <c r="B512" s="195"/>
      <c r="C512" s="195"/>
      <c r="D512" s="196"/>
      <c r="E512" s="197"/>
      <c r="F512" s="197"/>
      <c r="G512" s="197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</row>
    <row r="513" spans="2:18" ht="17.25" customHeight="1">
      <c r="B513" s="195"/>
      <c r="C513" s="195"/>
      <c r="D513" s="195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</row>
    <row r="514" spans="2:18" ht="17.25" customHeight="1">
      <c r="B514" s="195"/>
      <c r="C514" s="195"/>
      <c r="D514" s="195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</row>
    <row r="515" spans="2:18" ht="17.25" customHeight="1">
      <c r="B515" s="195"/>
      <c r="C515" s="195"/>
      <c r="D515" s="195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</row>
    <row r="516" spans="2:18" ht="17.25" customHeight="1">
      <c r="B516" s="195"/>
      <c r="C516" s="195"/>
      <c r="D516" s="195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</row>
    <row r="517" spans="2:18" ht="17.25" customHeight="1">
      <c r="B517" s="195"/>
      <c r="C517" s="195"/>
      <c r="D517" s="195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</row>
    <row r="518" spans="2:18" ht="17.25" customHeight="1"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</row>
    <row r="519" spans="2:18" ht="18" customHeight="1"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</row>
    <row r="520" spans="2:18" ht="18" customHeight="1"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</row>
    <row r="521" spans="2:18" ht="18" customHeight="1"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</row>
    <row r="522" spans="2:18" ht="18" customHeight="1"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</row>
    <row r="523" spans="2:18" ht="18" customHeight="1"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</row>
    <row r="524" spans="2:18" ht="18" customHeight="1"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</row>
    <row r="525" spans="2:18" ht="18" customHeight="1"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</row>
    <row r="526" spans="2:18" ht="18" customHeight="1"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</row>
    <row r="527" spans="2:18" ht="18" customHeight="1"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</row>
    <row r="528" spans="2:18" ht="18" customHeight="1"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</row>
    <row r="529" spans="9:18" ht="18" customHeight="1"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</row>
    <row r="530" spans="9:18" ht="18" customHeight="1"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</row>
    <row r="531" spans="9:18" ht="18" customHeight="1"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</row>
    <row r="532" spans="9:18" ht="18" customHeight="1"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</row>
    <row r="533" spans="9:18" ht="18" customHeight="1"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</row>
    <row r="534" spans="9:18" ht="18" customHeight="1"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</row>
    <row r="535" spans="9:18" ht="18" customHeight="1"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</row>
    <row r="536" spans="9:18" ht="18" customHeight="1"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</row>
    <row r="537" spans="9:18" ht="18" customHeight="1"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</row>
    <row r="538" spans="9:18" ht="17.25" customHeight="1"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</row>
    <row r="539" spans="9:18" ht="17.25" customHeight="1"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</row>
    <row r="540" spans="9:18" ht="17.25" customHeight="1"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</row>
    <row r="541" spans="9:18" ht="17.25" customHeight="1"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</row>
    <row r="542" spans="9:18" ht="17.25" customHeight="1"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</row>
    <row r="543" spans="9:18" ht="17.25" customHeight="1"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</row>
    <row r="544" spans="9:18" ht="17.25" customHeight="1"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</row>
    <row r="545" spans="9:18" ht="17.25" customHeight="1"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</row>
    <row r="546" spans="9:18" ht="17.25" customHeight="1"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</row>
    <row r="547" spans="9:18" ht="17.25" customHeight="1"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</row>
    <row r="548" spans="9:18" ht="17.25" customHeight="1"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</row>
    <row r="549" spans="9:18" ht="17.25" customHeight="1"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</row>
    <row r="550" spans="9:18" ht="17.25" customHeight="1"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</row>
    <row r="551" spans="9:18" ht="17.25" customHeight="1"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</row>
    <row r="552" spans="9:18" ht="17.25" customHeight="1"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</row>
    <row r="553" spans="9:18" ht="17.25" customHeight="1"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</row>
    <row r="554" spans="9:18" ht="17.25" customHeight="1"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</row>
    <row r="555" spans="9:18" ht="17.25" customHeight="1"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</row>
    <row r="556" spans="9:18" ht="17.25" customHeight="1"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</row>
    <row r="557" spans="9:18" ht="17.25" customHeight="1"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</row>
    <row r="558" spans="9:18" ht="17.25" customHeight="1"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</row>
    <row r="559" spans="9:18" ht="17.25" customHeight="1"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</row>
    <row r="560" spans="9:18" ht="17.25" customHeight="1"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</row>
    <row r="561" spans="9:18" ht="17.25" customHeight="1"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</row>
    <row r="562" spans="9:18" ht="17.25" customHeight="1"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</row>
    <row r="563" spans="9:18" ht="17.25" customHeight="1"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</row>
    <row r="564" spans="9:18" ht="17.25" customHeight="1"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</row>
    <row r="565" spans="9:18" ht="17.25" customHeight="1"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</row>
    <row r="566" spans="9:18" ht="17.25" customHeight="1"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</row>
    <row r="567" spans="9:18" ht="17.25" customHeight="1"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</row>
    <row r="568" spans="9:18" ht="17.25" customHeight="1"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</row>
    <row r="569" spans="9:18" ht="17.25" customHeight="1"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</row>
    <row r="570" spans="9:18" ht="17.25" customHeight="1"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</row>
    <row r="571" spans="9:18" ht="17.25" customHeight="1"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</row>
    <row r="572" spans="9:18" ht="17.25" customHeight="1"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</row>
    <row r="573" spans="9:18" ht="17.25" customHeight="1"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</row>
    <row r="574" spans="9:18" ht="17.25" customHeight="1"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</row>
    <row r="575" spans="9:18" ht="17.25" customHeight="1"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</row>
    <row r="576" spans="9:18" ht="17.25" customHeight="1"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</row>
    <row r="577" spans="9:18" ht="17.25" customHeight="1"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</row>
    <row r="578" spans="9:18" ht="17.25" customHeight="1"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</row>
    <row r="579" spans="9:18" ht="17.25" customHeight="1"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</row>
    <row r="580" spans="9:18" ht="17.25" customHeight="1"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</row>
    <row r="581" spans="9:18" ht="17.25" customHeight="1"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</row>
    <row r="582" spans="9:18" ht="17.25" customHeight="1"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</row>
    <row r="583" spans="9:18" ht="17.25" customHeight="1"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</row>
    <row r="584" spans="9:18" ht="17.25" customHeight="1"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</row>
    <row r="585" spans="9:18" ht="17.25" customHeight="1"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</row>
    <row r="586" spans="9:18" ht="17.25" customHeight="1"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</row>
    <row r="587" spans="9:18" ht="17.25" customHeight="1"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</row>
    <row r="588" spans="9:18" ht="17.25" customHeight="1"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</row>
    <row r="589" spans="9:18" ht="17.25" customHeight="1"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</row>
    <row r="590" spans="9:18" ht="17.25" customHeight="1"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</row>
    <row r="591" spans="9:18" ht="17.25" customHeight="1"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</row>
    <row r="592" spans="9:18" ht="17.25" customHeight="1"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</row>
    <row r="593" spans="9:18" ht="17.25" customHeight="1"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</row>
    <row r="594" spans="9:18" ht="17.25" customHeight="1"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</row>
    <row r="595" spans="9:18" ht="17.25" customHeight="1"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</row>
    <row r="596" spans="9:18" ht="17.25" customHeight="1"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</row>
    <row r="597" spans="9:18" ht="17.25" customHeight="1"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</row>
    <row r="598" spans="9:18" ht="17.25" customHeight="1"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</row>
    <row r="599" spans="9:18" ht="17.25" customHeight="1"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</row>
    <row r="600" spans="9:18" ht="17.25" customHeight="1"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</row>
    <row r="601" spans="9:18" ht="17.25" customHeight="1"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</row>
    <row r="602" spans="9:18" ht="17.25" customHeight="1"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</row>
    <row r="603" spans="9:18" ht="17.25" customHeight="1"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</row>
    <row r="604" spans="9:18" ht="17.25" customHeight="1"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</row>
    <row r="605" spans="9:18" ht="17.25" customHeight="1"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</row>
    <row r="606" spans="9:18" ht="17.25" customHeight="1"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</row>
    <row r="607" spans="9:18" ht="17.25" customHeight="1"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</row>
    <row r="608" spans="9:18" ht="17.25" customHeight="1"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</row>
    <row r="609" spans="9:18" ht="17.25" customHeight="1"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</row>
    <row r="610" spans="9:18" ht="17.25" customHeight="1"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</row>
    <row r="611" spans="9:18" ht="17.25" customHeight="1"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</row>
    <row r="612" spans="9:18" ht="17.25" customHeight="1"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</row>
    <row r="613" spans="9:18" ht="17.25" customHeight="1"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</row>
    <row r="614" spans="9:18" ht="17.25" customHeight="1"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</row>
    <row r="615" spans="9:18" ht="17.25" customHeight="1"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</row>
    <row r="616" spans="9:18" ht="17.25" customHeight="1"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</row>
    <row r="617" spans="9:18" ht="17.25" customHeight="1"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</row>
    <row r="618" spans="9:18" ht="17.25" customHeight="1"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</row>
    <row r="619" spans="9:18" ht="17.25" customHeight="1"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</row>
    <row r="620" spans="9:18" ht="17.25" customHeight="1"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</row>
    <row r="621" spans="9:18" ht="17.25" customHeight="1"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</row>
    <row r="622" spans="9:18" ht="17.25" customHeight="1"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</row>
    <row r="623" spans="9:18" ht="17.25" customHeight="1"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</row>
    <row r="624" spans="9:18" ht="17.25" customHeight="1"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</row>
    <row r="625" spans="9:18" ht="17.25" customHeight="1"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</row>
    <row r="626" spans="9:18" ht="17.25" customHeight="1"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</row>
    <row r="627" spans="9:18" ht="17.25" customHeight="1"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</row>
    <row r="628" spans="9:18" ht="17.25" customHeight="1"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</row>
    <row r="629" spans="9:18" ht="17.25" customHeight="1"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</row>
    <row r="630" spans="9:18" ht="17.25" customHeight="1"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</row>
    <row r="631" spans="9:18" ht="17.25" customHeight="1"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</row>
    <row r="632" spans="9:18" ht="17.25" customHeight="1"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</row>
    <row r="633" spans="9:18" ht="17.25" customHeight="1"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</row>
    <row r="634" spans="9:18" ht="17.25" customHeight="1"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</row>
    <row r="635" spans="9:18" ht="17.25" customHeight="1"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</row>
    <row r="636" spans="9:18" ht="17.25" customHeight="1"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</row>
    <row r="637" spans="9:18" ht="17.25" customHeight="1"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</row>
    <row r="638" spans="9:18" ht="17.25" customHeight="1"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</row>
    <row r="639" spans="9:18" ht="17.25" customHeight="1"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</row>
    <row r="640" spans="9:18" ht="17.25" customHeight="1"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</row>
    <row r="641" spans="9:18" ht="17.25" customHeight="1"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</row>
    <row r="642" spans="9:18" ht="17.25" customHeight="1"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</row>
    <row r="643" spans="9:18" ht="17.25" customHeight="1"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</row>
    <row r="644" spans="9:18" ht="17.25" customHeight="1"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</row>
    <row r="645" spans="9:18" ht="17.25" customHeight="1"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</row>
    <row r="646" spans="9:18" ht="17.25" customHeight="1"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</row>
    <row r="647" spans="9:18" ht="17.25" customHeight="1"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</row>
    <row r="648" spans="9:18" ht="17.25" customHeight="1"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</row>
    <row r="649" spans="9:18" ht="17.25" customHeight="1"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</row>
    <row r="650" spans="9:18" ht="17.25" customHeight="1"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</row>
    <row r="651" spans="9:18" ht="17.25" customHeight="1"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</row>
    <row r="652" spans="9:18" ht="17.25" customHeight="1"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</row>
    <row r="653" spans="9:18" ht="17.25" customHeight="1"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</row>
    <row r="654" spans="9:18" ht="17.25" customHeight="1"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</row>
    <row r="655" spans="9:18" ht="17.25" customHeight="1"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</row>
    <row r="656" spans="9:18" ht="17.25" customHeight="1"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</row>
    <row r="657" spans="9:18" ht="17.25" customHeight="1"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</row>
    <row r="658" spans="9:18" ht="17.25" customHeight="1"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</row>
    <row r="659" spans="9:18" ht="17.25" customHeight="1"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</row>
    <row r="660" spans="9:18" ht="17.25" customHeight="1"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</row>
    <row r="661" spans="9:18" ht="17.25" customHeight="1"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</row>
    <row r="662" spans="9:18" ht="17.25" customHeight="1"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</row>
    <row r="663" spans="9:18" ht="17.25" customHeight="1"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</row>
    <row r="664" spans="9:18" ht="17.25" customHeight="1"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</row>
    <row r="665" spans="9:18" ht="17.25" customHeight="1"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</row>
    <row r="666" spans="9:18" ht="17.25" customHeight="1"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</row>
    <row r="667" spans="9:18" ht="17.25" customHeight="1"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</row>
    <row r="668" spans="9:18" ht="17.25" customHeight="1"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</row>
    <row r="669" spans="9:18" ht="17.25" customHeight="1"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</row>
    <row r="670" spans="9:18" ht="17.25" customHeight="1"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</row>
    <row r="671" spans="9:18" ht="17.25" customHeight="1"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</row>
    <row r="672" spans="9:18" ht="17.25" customHeight="1"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</row>
    <row r="673" spans="9:18" ht="17.25" customHeight="1"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</row>
    <row r="674" spans="9:18" ht="17.25" customHeight="1"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</row>
    <row r="675" spans="9:18" ht="17.25" customHeight="1"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</row>
    <row r="676" spans="9:18" ht="17.25" customHeight="1"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</row>
    <row r="677" spans="9:18" ht="17.25" customHeight="1"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</row>
    <row r="678" spans="9:18" ht="17.25" customHeight="1"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</row>
    <row r="679" spans="9:18" ht="17.25" customHeight="1"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</row>
    <row r="680" spans="9:18" ht="17.25" customHeight="1"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</row>
    <row r="681" spans="9:18" ht="17.25" customHeight="1"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</row>
    <row r="682" spans="9:18" ht="17.25" customHeight="1"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</row>
    <row r="683" spans="9:18" ht="17.25" customHeight="1"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</row>
    <row r="684" spans="9:18" ht="17.25" customHeight="1"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</row>
    <row r="685" spans="9:18" ht="17.25" customHeight="1"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</row>
    <row r="686" spans="9:18" ht="17.25" customHeight="1"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</row>
    <row r="687" spans="9:18" ht="17.25" customHeight="1"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</row>
    <row r="688" spans="9:18" ht="17.25" customHeight="1"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</row>
    <row r="689" spans="9:18" ht="17.25" customHeight="1"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</row>
    <row r="690" spans="9:18" ht="17.25" customHeight="1"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</row>
    <row r="691" spans="9:18" ht="17.25" customHeight="1"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</row>
    <row r="692" spans="9:18" ht="17.25" customHeight="1"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</row>
    <row r="693" spans="9:18" ht="17.25" customHeight="1"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</row>
    <row r="694" spans="9:18" ht="17.25" customHeight="1"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</row>
    <row r="695" spans="9:18" ht="17.25" customHeight="1"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</row>
    <row r="696" spans="9:18" ht="17.25" customHeight="1"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</row>
    <row r="697" spans="9:18" ht="17.25" customHeight="1"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</row>
    <row r="698" spans="9:18" ht="17.25" customHeight="1"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</row>
    <row r="699" spans="9:18" ht="17.25" customHeight="1"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</row>
    <row r="700" spans="9:18" ht="17.25" customHeight="1"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</row>
    <row r="701" spans="9:18" ht="17.25" customHeight="1"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</row>
    <row r="702" spans="9:18" ht="17.25" customHeight="1"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</row>
    <row r="703" spans="9:18" ht="17.25" customHeight="1"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</row>
    <row r="704" spans="9:18" ht="17.25" customHeight="1"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</row>
    <row r="705" spans="9:18" ht="17.25" customHeight="1"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</row>
    <row r="706" spans="9:18" ht="17.25" customHeight="1"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</row>
    <row r="707" spans="9:18" ht="17.25" customHeight="1"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</row>
    <row r="708" spans="9:18" ht="17.25" customHeight="1"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</row>
    <row r="709" spans="9:18" ht="17.25" customHeight="1"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</row>
    <row r="710" spans="9:18" ht="17.25" customHeight="1"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</row>
    <row r="711" spans="9:18" ht="17.25" customHeight="1"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</row>
    <row r="712" spans="9:18" ht="17.25" customHeight="1"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</row>
    <row r="713" spans="9:18" ht="17.25" customHeight="1"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</row>
    <row r="714" spans="9:18" ht="17.25" customHeight="1"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</row>
    <row r="715" spans="9:18" ht="17.25" customHeight="1"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</row>
    <row r="716" spans="9:18" ht="17.25" customHeight="1"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</row>
    <row r="717" spans="9:18" ht="17.25" customHeight="1"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</row>
    <row r="718" spans="9:18" ht="17.25" customHeight="1"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</row>
    <row r="719" spans="9:18" ht="17.25" customHeight="1"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</row>
    <row r="720" spans="9:18" ht="17.25" customHeight="1"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</row>
    <row r="721" spans="9:18" ht="17.25" customHeight="1"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</row>
    <row r="722" spans="9:18" ht="17.25" customHeight="1"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</row>
    <row r="723" spans="9:18" ht="17.25" customHeight="1"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</row>
    <row r="724" spans="9:18" ht="17.25" customHeight="1"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</row>
    <row r="725" spans="9:18" ht="17.25" customHeight="1"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</row>
    <row r="726" spans="9:18" ht="17.25" customHeight="1"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</row>
    <row r="727" spans="9:18" ht="17.25" customHeight="1"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</row>
    <row r="728" spans="9:18" ht="17.25" customHeight="1"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</row>
    <row r="729" spans="9:18" ht="17.25" customHeight="1"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</row>
    <row r="730" spans="9:18" ht="17.25" customHeight="1"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</row>
    <row r="731" spans="9:18" ht="17.25" customHeight="1"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</row>
    <row r="732" spans="9:18" ht="17.25" customHeight="1"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</row>
    <row r="733" spans="9:18" ht="17.25" customHeight="1"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</row>
    <row r="734" spans="9:18" ht="17.25" customHeight="1"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</row>
    <row r="735" spans="9:18" ht="17.25" customHeight="1"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</row>
    <row r="736" spans="9:18" ht="17.25" customHeight="1"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</row>
    <row r="737" spans="9:18" ht="17.25" customHeight="1"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</row>
    <row r="738" spans="9:18" ht="17.25" customHeight="1"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</row>
    <row r="739" spans="9:18" ht="17.25" customHeight="1"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</row>
    <row r="740" spans="9:18" ht="17.25" customHeight="1"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</row>
    <row r="741" spans="9:18" ht="17.25" customHeight="1"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</row>
    <row r="742" spans="9:18" ht="17.25" customHeight="1"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</row>
    <row r="743" spans="9:18" ht="17.25" customHeight="1"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</row>
    <row r="744" spans="9:18" ht="17.25" customHeight="1"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</row>
    <row r="745" spans="9:18" ht="17.25" customHeight="1"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</row>
    <row r="746" spans="9:18" ht="17.25" customHeight="1"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</row>
    <row r="747" spans="9:18" ht="17.25" customHeight="1"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</row>
    <row r="748" spans="9:18" ht="17.25" customHeight="1"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</row>
    <row r="749" spans="9:18" ht="17.25" customHeight="1"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</row>
    <row r="750" spans="9:18" ht="17.25" customHeight="1"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</row>
    <row r="751" spans="9:18" ht="17.25" customHeight="1"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</row>
    <row r="752" spans="9:18" ht="17.25" customHeight="1"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</row>
    <row r="753" spans="9:18" ht="17.25" customHeight="1"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</row>
    <row r="754" spans="9:18" ht="17.25" customHeight="1"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</row>
    <row r="755" spans="9:18" ht="17.25" customHeight="1"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</row>
    <row r="756" spans="9:18" ht="17.25" customHeight="1"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</row>
    <row r="757" spans="9:18" ht="17.25" customHeight="1"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</row>
    <row r="758" spans="9:18" ht="17.25" customHeight="1"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</row>
    <row r="759" spans="9:18"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</row>
    <row r="760" spans="9:18"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</row>
    <row r="761" spans="9:18"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</row>
    <row r="762" spans="9:18"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</row>
    <row r="763" spans="9:18"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</row>
    <row r="764" spans="9:18"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</row>
    <row r="765" spans="9:18"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</row>
    <row r="766" spans="9:18"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</row>
    <row r="767" spans="9:18"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</row>
    <row r="768" spans="9:18"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</row>
    <row r="769" spans="9:18"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</row>
    <row r="770" spans="9:18"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</row>
    <row r="771" spans="9:18"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</row>
    <row r="772" spans="9:18"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</row>
    <row r="773" spans="9:18"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</row>
    <row r="774" spans="9:18"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</row>
    <row r="775" spans="9:18"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</row>
    <row r="776" spans="9:18"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</row>
    <row r="777" spans="9:18"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</row>
    <row r="778" spans="9:18"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</row>
    <row r="779" spans="9:18"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</row>
    <row r="780" spans="9:18"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</row>
    <row r="781" spans="9:18"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</row>
    <row r="782" spans="9:18"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</row>
    <row r="783" spans="9:18"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</row>
    <row r="784" spans="9:18"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</row>
    <row r="785" spans="9:18"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</row>
    <row r="786" spans="9:18"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</row>
    <row r="787" spans="9:18"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</row>
    <row r="788" spans="9:18"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</row>
    <row r="789" spans="9:18"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</row>
    <row r="790" spans="9:18"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</row>
    <row r="791" spans="9:18"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</row>
    <row r="792" spans="9:18"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</row>
    <row r="793" spans="9:18"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</row>
    <row r="794" spans="9:18"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</row>
    <row r="795" spans="9:18"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</row>
    <row r="796" spans="9:18"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</row>
    <row r="797" spans="9:18"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</row>
    <row r="798" spans="9:18"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</row>
    <row r="799" spans="9:18"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</row>
    <row r="800" spans="9:18"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</row>
    <row r="801" spans="9:18"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</row>
    <row r="802" spans="9:18"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</row>
    <row r="803" spans="9:18"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</row>
    <row r="804" spans="9:18"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</row>
    <row r="805" spans="9:18"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</row>
    <row r="806" spans="9:18"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</row>
    <row r="807" spans="9:18"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</row>
    <row r="808" spans="9:18"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</row>
    <row r="809" spans="9:18"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</row>
    <row r="810" spans="9:18"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</row>
    <row r="811" spans="9:18"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</row>
    <row r="812" spans="9:18"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</row>
    <row r="813" spans="9:18"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</row>
    <row r="814" spans="9:18"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</row>
    <row r="815" spans="9:18"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</row>
    <row r="816" spans="9:18"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</row>
    <row r="817" spans="9:18"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</row>
    <row r="818" spans="9:18"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</row>
    <row r="819" spans="9:18"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</row>
    <row r="820" spans="9:18"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</row>
    <row r="821" spans="9:18"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</row>
    <row r="822" spans="9:18"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</row>
    <row r="823" spans="9:18"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</row>
    <row r="824" spans="9:18"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</row>
    <row r="825" spans="9:18"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</row>
    <row r="826" spans="9:18"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</row>
    <row r="827" spans="9:18"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</row>
    <row r="828" spans="9:18"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</row>
    <row r="829" spans="9:18"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</row>
    <row r="830" spans="9:18"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</row>
    <row r="831" spans="9:18"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</row>
    <row r="832" spans="9:18"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</row>
    <row r="833" spans="9:18"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</row>
    <row r="834" spans="9:18"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</row>
    <row r="835" spans="9:18"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</row>
    <row r="836" spans="9:18"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</row>
    <row r="837" spans="9:18"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</row>
    <row r="838" spans="9:18"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</row>
    <row r="839" spans="9:18"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</row>
    <row r="840" spans="9:18"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</row>
    <row r="841" spans="9:18"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</row>
    <row r="842" spans="9:18"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</row>
    <row r="843" spans="9:18"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</row>
    <row r="844" spans="9:18"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</row>
    <row r="845" spans="9:18"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</row>
    <row r="846" spans="9:18"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</row>
    <row r="847" spans="9:18"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</row>
    <row r="848" spans="9:18"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</row>
    <row r="849" spans="9:18"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</row>
    <row r="850" spans="9:18"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</row>
    <row r="851" spans="9:18"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</row>
    <row r="852" spans="9:18"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</row>
    <row r="853" spans="9:18"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</row>
    <row r="854" spans="9:18"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</row>
    <row r="855" spans="9:18"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</row>
    <row r="856" spans="9:18"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</row>
    <row r="857" spans="9:18"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</row>
    <row r="858" spans="9:18"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</row>
    <row r="859" spans="9:18"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</row>
    <row r="860" spans="9:18"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</row>
    <row r="861" spans="9:18"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</row>
    <row r="862" spans="9:18"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</row>
    <row r="863" spans="9:18"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</row>
    <row r="864" spans="9:18"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</row>
    <row r="865" spans="9:18"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</row>
    <row r="866" spans="9:18"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</row>
    <row r="867" spans="9:18"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</row>
    <row r="868" spans="9:18"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</row>
    <row r="869" spans="9:18"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</row>
    <row r="870" spans="9:18"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</row>
    <row r="871" spans="9:18"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</row>
    <row r="872" spans="9:18"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</row>
    <row r="873" spans="9:18"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</row>
    <row r="874" spans="9:18"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</row>
    <row r="875" spans="9:18"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</row>
    <row r="876" spans="9:18"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</row>
    <row r="877" spans="9:18"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</row>
    <row r="878" spans="9:18"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</row>
    <row r="879" spans="9:18"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</row>
    <row r="880" spans="9:18"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</row>
    <row r="881" spans="9:18"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</row>
    <row r="882" spans="9:18"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</row>
    <row r="883" spans="9:18"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</row>
    <row r="884" spans="9:18"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</row>
    <row r="885" spans="9:18"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</row>
    <row r="886" spans="9:18"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</row>
    <row r="887" spans="9:18"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</row>
    <row r="888" spans="9:18"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</row>
    <row r="889" spans="9:18"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</row>
    <row r="890" spans="9:18"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</row>
    <row r="891" spans="9:18"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</row>
    <row r="892" spans="9:18"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</row>
    <row r="893" spans="9:18"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</row>
    <row r="894" spans="9:18"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</row>
    <row r="895" spans="9:18"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</row>
    <row r="896" spans="9:18"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</row>
    <row r="897" spans="9:18"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</row>
    <row r="898" spans="9:18"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</row>
    <row r="899" spans="9:18"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</row>
    <row r="900" spans="9:18"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</row>
    <row r="901" spans="9:18"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</row>
    <row r="902" spans="9:18"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</row>
    <row r="903" spans="9:18"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</row>
    <row r="904" spans="9:18"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</row>
    <row r="905" spans="9:18"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</row>
    <row r="906" spans="9:18"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</row>
    <row r="907" spans="9:18"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</row>
    <row r="908" spans="9:18"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</row>
    <row r="909" spans="9:18"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</row>
    <row r="910" spans="9:18"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</row>
    <row r="911" spans="9:18"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</row>
    <row r="912" spans="9:18"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</row>
    <row r="913" spans="9:18"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</row>
    <row r="914" spans="9:18"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</row>
    <row r="915" spans="9:18"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</row>
    <row r="916" spans="9:18"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</row>
    <row r="917" spans="9:18"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</row>
    <row r="918" spans="9:18"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</row>
    <row r="919" spans="9:18"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</row>
    <row r="920" spans="9:18"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</row>
    <row r="921" spans="9:18"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</row>
    <row r="922" spans="9:18"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</row>
    <row r="923" spans="9:18"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</row>
    <row r="924" spans="9:18"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</row>
    <row r="925" spans="9:18"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</row>
    <row r="926" spans="9:18"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</row>
    <row r="927" spans="9:18"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</row>
    <row r="928" spans="9:18"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</row>
    <row r="929" spans="9:18"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</row>
    <row r="930" spans="9:18"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</row>
    <row r="931" spans="9:18"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</row>
    <row r="932" spans="9:18"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</row>
    <row r="933" spans="9:18"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</row>
    <row r="934" spans="9:18"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</row>
    <row r="935" spans="9:18"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</row>
    <row r="936" spans="9:18"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</row>
    <row r="937" spans="9:18"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</row>
    <row r="938" spans="9:18"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</row>
    <row r="939" spans="9:18"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</row>
    <row r="940" spans="9:18"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</row>
    <row r="941" spans="9:18"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</row>
    <row r="942" spans="9:18"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</row>
    <row r="943" spans="9:18"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</row>
    <row r="944" spans="9:18"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</row>
    <row r="945" spans="9:18"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</row>
    <row r="946" spans="9:18"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</row>
    <row r="947" spans="9:18"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</row>
    <row r="948" spans="9:18"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</row>
    <row r="949" spans="9:18"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</row>
    <row r="950" spans="9:18"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</row>
    <row r="951" spans="9:18"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</row>
    <row r="952" spans="9:18"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</row>
    <row r="953" spans="9:18"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</row>
    <row r="954" spans="9:18"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</row>
    <row r="955" spans="9:18"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</row>
    <row r="956" spans="9:18"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</row>
    <row r="957" spans="9:18"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</row>
    <row r="958" spans="9:18"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</row>
    <row r="959" spans="9:18"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</row>
    <row r="960" spans="9:18"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</row>
    <row r="961" spans="9:18"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</row>
    <row r="962" spans="9:18"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</row>
    <row r="963" spans="9:18"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</row>
    <row r="964" spans="9:18"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</row>
    <row r="965" spans="9:18"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</row>
    <row r="966" spans="9:18"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</row>
    <row r="967" spans="9:18"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</row>
    <row r="968" spans="9:18"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</row>
    <row r="969" spans="9:18"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</row>
    <row r="970" spans="9:18"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</row>
    <row r="971" spans="9:18"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</row>
    <row r="972" spans="9:18"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</row>
    <row r="973" spans="9:18"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</row>
    <row r="974" spans="9:18"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</row>
    <row r="975" spans="9:18"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</row>
    <row r="976" spans="9:18"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</row>
    <row r="977" spans="9:18"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</row>
    <row r="978" spans="9:18"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</row>
    <row r="979" spans="9:18"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</row>
    <row r="980" spans="9:18"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</row>
    <row r="981" spans="9:18"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</row>
    <row r="982" spans="9:18"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</row>
    <row r="983" spans="9:18"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</row>
    <row r="984" spans="9:18"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</row>
    <row r="985" spans="9:18"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</row>
    <row r="986" spans="9:18"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</row>
    <row r="987" spans="9:18"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</row>
    <row r="988" spans="9:18"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</row>
    <row r="989" spans="9:18"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</row>
    <row r="990" spans="9:18"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</row>
    <row r="991" spans="9:18"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</row>
    <row r="992" spans="9:18"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</row>
    <row r="993" spans="9:18"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</row>
    <row r="994" spans="9:18"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</row>
    <row r="995" spans="9:18"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</row>
    <row r="996" spans="9:18"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</row>
    <row r="997" spans="9:18"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</row>
    <row r="998" spans="9:18"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</row>
    <row r="999" spans="9:18"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</row>
    <row r="1000" spans="9:18"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</row>
    <row r="1001" spans="9:18"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</row>
    <row r="1002" spans="9:18"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</row>
    <row r="1003" spans="9:18"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</row>
  </sheetData>
  <mergeCells count="1">
    <mergeCell ref="A1:E1"/>
  </mergeCells>
  <phoneticPr fontId="5" type="noConversion"/>
  <conditionalFormatting sqref="C301:G511 B25:B511 C48:F48 C25:G38 C40:G47 C39:F39 C49:G141 B3:G4">
    <cfRule type="expression" dxfId="1060" priority="341">
      <formula>$B3="D"</formula>
    </cfRule>
    <cfRule type="expression" dxfId="1059" priority="342">
      <formula>$B3="C"</formula>
    </cfRule>
    <cfRule type="expression" dxfId="1058" priority="343">
      <formula>$B3="B"</formula>
    </cfRule>
    <cfRule type="expression" dxfId="1057" priority="344">
      <formula>$B3="A"</formula>
    </cfRule>
  </conditionalFormatting>
  <conditionalFormatting sqref="C141:G141 C301:G511">
    <cfRule type="expression" dxfId="1056" priority="332">
      <formula>$B141="D"</formula>
    </cfRule>
    <cfRule type="expression" dxfId="1055" priority="333">
      <formula>$B141="C"</formula>
    </cfRule>
    <cfRule type="expression" dxfId="1054" priority="334">
      <formula>$B141="B"</formula>
    </cfRule>
    <cfRule type="expression" dxfId="1053" priority="335">
      <formula>$B141="A"</formula>
    </cfRule>
  </conditionalFormatting>
  <conditionalFormatting sqref="C301:E511 C25:E141 C3:E4">
    <cfRule type="expression" dxfId="1052" priority="330">
      <formula>$C3="O"</formula>
    </cfRule>
  </conditionalFormatting>
  <conditionalFormatting sqref="C301:G511 C25:G38 C39:F39 C40:G141">
    <cfRule type="expression" dxfId="1051" priority="314">
      <formula>#REF!="O"</formula>
    </cfRule>
  </conditionalFormatting>
  <conditionalFormatting sqref="E99">
    <cfRule type="expression" dxfId="1050" priority="297">
      <formula>$B99="D"</formula>
    </cfRule>
    <cfRule type="expression" dxfId="1049" priority="298">
      <formula>$B99="C"</formula>
    </cfRule>
    <cfRule type="expression" dxfId="1048" priority="299">
      <formula>$B99="B"</formula>
    </cfRule>
    <cfRule type="expression" dxfId="1047" priority="300">
      <formula>$B99="A"</formula>
    </cfRule>
  </conditionalFormatting>
  <conditionalFormatting sqref="E99">
    <cfRule type="expression" dxfId="1046" priority="296">
      <formula>#REF!="O"</formula>
    </cfRule>
  </conditionalFormatting>
  <conditionalFormatting sqref="E99">
    <cfRule type="expression" dxfId="1045" priority="295">
      <formula>$C99="O"</formula>
    </cfRule>
  </conditionalFormatting>
  <conditionalFormatting sqref="E118">
    <cfRule type="expression" dxfId="1044" priority="291">
      <formula>$B118="D"</formula>
    </cfRule>
    <cfRule type="expression" dxfId="1043" priority="292">
      <formula>$B118="C"</formula>
    </cfRule>
    <cfRule type="expression" dxfId="1042" priority="293">
      <formula>$B118="B"</formula>
    </cfRule>
    <cfRule type="expression" dxfId="1041" priority="294">
      <formula>$B118="A"</formula>
    </cfRule>
  </conditionalFormatting>
  <conditionalFormatting sqref="E118">
    <cfRule type="expression" dxfId="1040" priority="290">
      <formula>#REF!="O"</formula>
    </cfRule>
  </conditionalFormatting>
  <conditionalFormatting sqref="E118">
    <cfRule type="expression" dxfId="1039" priority="289">
      <formula>$C118="O"</formula>
    </cfRule>
  </conditionalFormatting>
  <conditionalFormatting sqref="E119">
    <cfRule type="expression" dxfId="1038" priority="285">
      <formula>$B119="D"</formula>
    </cfRule>
    <cfRule type="expression" dxfId="1037" priority="286">
      <formula>$B119="C"</formula>
    </cfRule>
    <cfRule type="expression" dxfId="1036" priority="287">
      <formula>$B119="B"</formula>
    </cfRule>
    <cfRule type="expression" dxfId="1035" priority="288">
      <formula>$B119="A"</formula>
    </cfRule>
  </conditionalFormatting>
  <conditionalFormatting sqref="E119">
    <cfRule type="expression" dxfId="1034" priority="284">
      <formula>#REF!="O"</formula>
    </cfRule>
  </conditionalFormatting>
  <conditionalFormatting sqref="E119">
    <cfRule type="expression" dxfId="1033" priority="283">
      <formula>$C119="O"</formula>
    </cfRule>
  </conditionalFormatting>
  <conditionalFormatting sqref="C142:G300">
    <cfRule type="expression" dxfId="1032" priority="89">
      <formula>$B142="D"</formula>
    </cfRule>
    <cfRule type="expression" dxfId="1031" priority="90">
      <formula>$B142="C"</formula>
    </cfRule>
    <cfRule type="expression" dxfId="1030" priority="91">
      <formula>$B142="B"</formula>
    </cfRule>
    <cfRule type="expression" dxfId="1029" priority="92">
      <formula>$B142="A"</formula>
    </cfRule>
  </conditionalFormatting>
  <conditionalFormatting sqref="C300:G300">
    <cfRule type="expression" dxfId="1028" priority="85">
      <formula>$B300="D"</formula>
    </cfRule>
    <cfRule type="expression" dxfId="1027" priority="86">
      <formula>$B300="C"</formula>
    </cfRule>
    <cfRule type="expression" dxfId="1026" priority="87">
      <formula>$B300="B"</formula>
    </cfRule>
    <cfRule type="expression" dxfId="1025" priority="88">
      <formula>$B300="A"</formula>
    </cfRule>
  </conditionalFormatting>
  <conditionalFormatting sqref="C142:E300">
    <cfRule type="expression" dxfId="1024" priority="84">
      <formula>$C142="O"</formula>
    </cfRule>
  </conditionalFormatting>
  <conditionalFormatting sqref="E150">
    <cfRule type="expression" dxfId="1023" priority="80">
      <formula>$B150="D"</formula>
    </cfRule>
    <cfRule type="expression" dxfId="1022" priority="81">
      <formula>$B150="C"</formula>
    </cfRule>
    <cfRule type="expression" dxfId="1021" priority="82">
      <formula>$B150="B"</formula>
    </cfRule>
    <cfRule type="expression" dxfId="1020" priority="83">
      <formula>$B150="A"</formula>
    </cfRule>
  </conditionalFormatting>
  <conditionalFormatting sqref="C142:G300">
    <cfRule type="expression" dxfId="1019" priority="79">
      <formula>#REF!="O"</formula>
    </cfRule>
  </conditionalFormatting>
  <conditionalFormatting sqref="E150">
    <cfRule type="expression" dxfId="1018" priority="78">
      <formula>$C150="O"</formula>
    </cfRule>
  </conditionalFormatting>
  <conditionalFormatting sqref="E151">
    <cfRule type="expression" dxfId="1017" priority="74">
      <formula>$B151="D"</formula>
    </cfRule>
    <cfRule type="expression" dxfId="1016" priority="75">
      <formula>$B151="C"</formula>
    </cfRule>
    <cfRule type="expression" dxfId="1015" priority="76">
      <formula>$B151="B"</formula>
    </cfRule>
    <cfRule type="expression" dxfId="1014" priority="77">
      <formula>$B151="A"</formula>
    </cfRule>
  </conditionalFormatting>
  <conditionalFormatting sqref="E151">
    <cfRule type="expression" dxfId="1013" priority="73">
      <formula>#REF!="O"</formula>
    </cfRule>
  </conditionalFormatting>
  <conditionalFormatting sqref="E151">
    <cfRule type="expression" dxfId="1012" priority="72">
      <formula>$C151="O"</formula>
    </cfRule>
  </conditionalFormatting>
  <conditionalFormatting sqref="E152">
    <cfRule type="expression" dxfId="1011" priority="68">
      <formula>$B152="D"</formula>
    </cfRule>
    <cfRule type="expression" dxfId="1010" priority="69">
      <formula>$B152="C"</formula>
    </cfRule>
    <cfRule type="expression" dxfId="1009" priority="70">
      <formula>$B152="B"</formula>
    </cfRule>
    <cfRule type="expression" dxfId="1008" priority="71">
      <formula>$B152="A"</formula>
    </cfRule>
  </conditionalFormatting>
  <conditionalFormatting sqref="E152">
    <cfRule type="expression" dxfId="1007" priority="67">
      <formula>#REF!="O"</formula>
    </cfRule>
  </conditionalFormatting>
  <conditionalFormatting sqref="E152">
    <cfRule type="expression" dxfId="1006" priority="66">
      <formula>$C152="O"</formula>
    </cfRule>
  </conditionalFormatting>
  <conditionalFormatting sqref="E258">
    <cfRule type="expression" dxfId="1005" priority="62">
      <formula>$B258="D"</formula>
    </cfRule>
    <cfRule type="expression" dxfId="1004" priority="63">
      <formula>$B258="C"</formula>
    </cfRule>
    <cfRule type="expression" dxfId="1003" priority="64">
      <formula>$B258="B"</formula>
    </cfRule>
    <cfRule type="expression" dxfId="1002" priority="65">
      <formula>$B258="A"</formula>
    </cfRule>
  </conditionalFormatting>
  <conditionalFormatting sqref="E258">
    <cfRule type="expression" dxfId="1001" priority="61">
      <formula>#REF!="O"</formula>
    </cfRule>
  </conditionalFormatting>
  <conditionalFormatting sqref="E258">
    <cfRule type="expression" dxfId="1000" priority="60">
      <formula>$C258="O"</formula>
    </cfRule>
  </conditionalFormatting>
  <conditionalFormatting sqref="E277">
    <cfRule type="expression" dxfId="999" priority="56">
      <formula>$B277="D"</formula>
    </cfRule>
    <cfRule type="expression" dxfId="998" priority="57">
      <formula>$B277="C"</formula>
    </cfRule>
    <cfRule type="expression" dxfId="997" priority="58">
      <formula>$B277="B"</formula>
    </cfRule>
    <cfRule type="expression" dxfId="996" priority="59">
      <formula>$B277="A"</formula>
    </cfRule>
  </conditionalFormatting>
  <conditionalFormatting sqref="E277">
    <cfRule type="expression" dxfId="995" priority="55">
      <formula>#REF!="O"</formula>
    </cfRule>
  </conditionalFormatting>
  <conditionalFormatting sqref="E277">
    <cfRule type="expression" dxfId="994" priority="54">
      <formula>$C277="O"</formula>
    </cfRule>
  </conditionalFormatting>
  <conditionalFormatting sqref="E278">
    <cfRule type="expression" dxfId="993" priority="50">
      <formula>$B278="D"</formula>
    </cfRule>
    <cfRule type="expression" dxfId="992" priority="51">
      <formula>$B278="C"</formula>
    </cfRule>
    <cfRule type="expression" dxfId="991" priority="52">
      <formula>$B278="B"</formula>
    </cfRule>
    <cfRule type="expression" dxfId="990" priority="53">
      <formula>$B278="A"</formula>
    </cfRule>
  </conditionalFormatting>
  <conditionalFormatting sqref="E278">
    <cfRule type="expression" dxfId="989" priority="49">
      <formula>#REF!="O"</formula>
    </cfRule>
  </conditionalFormatting>
  <conditionalFormatting sqref="E278">
    <cfRule type="expression" dxfId="988" priority="48">
      <formula>$C278="O"</formula>
    </cfRule>
  </conditionalFormatting>
  <conditionalFormatting sqref="A29:A511">
    <cfRule type="expression" dxfId="987" priority="36">
      <formula>$B29="D"</formula>
    </cfRule>
    <cfRule type="expression" dxfId="986" priority="37">
      <formula>$B29="C"</formula>
    </cfRule>
    <cfRule type="expression" dxfId="985" priority="38">
      <formula>$B29="B"</formula>
    </cfRule>
    <cfRule type="expression" dxfId="984" priority="39">
      <formula>$B29="A"</formula>
    </cfRule>
  </conditionalFormatting>
  <conditionalFormatting sqref="G48">
    <cfRule type="expression" dxfId="983" priority="349">
      <formula>$B39="D"</formula>
    </cfRule>
    <cfRule type="expression" dxfId="982" priority="350">
      <formula>$B39="C"</formula>
    </cfRule>
    <cfRule type="expression" dxfId="981" priority="351">
      <formula>$B39="B"</formula>
    </cfRule>
    <cfRule type="expression" dxfId="980" priority="352">
      <formula>$B39="A"</formula>
    </cfRule>
  </conditionalFormatting>
  <conditionalFormatting sqref="B14:B24 C15:G24 C14:E14 G14">
    <cfRule type="expression" dxfId="979" priority="14">
      <formula>$B14="D"</formula>
    </cfRule>
    <cfRule type="expression" dxfId="978" priority="15">
      <formula>$B14="C"</formula>
    </cfRule>
    <cfRule type="expression" dxfId="977" priority="16">
      <formula>$B14="B"</formula>
    </cfRule>
    <cfRule type="expression" dxfId="976" priority="17">
      <formula>$B14="A"</formula>
    </cfRule>
  </conditionalFormatting>
  <conditionalFormatting sqref="C14:E24">
    <cfRule type="expression" dxfId="975" priority="13">
      <formula>$C14="O"</formula>
    </cfRule>
  </conditionalFormatting>
  <conditionalFormatting sqref="C15:G24 C3:G4 C14:E14 G14">
    <cfRule type="expression" dxfId="974" priority="12">
      <formula>#REF!="O"</formula>
    </cfRule>
  </conditionalFormatting>
  <conditionalFormatting sqref="B5:G13">
    <cfRule type="expression" dxfId="973" priority="8">
      <formula>$B5="D"</formula>
    </cfRule>
    <cfRule type="expression" dxfId="972" priority="9">
      <formula>$B5="C"</formula>
    </cfRule>
    <cfRule type="expression" dxfId="971" priority="10">
      <formula>$B5="B"</formula>
    </cfRule>
    <cfRule type="expression" dxfId="970" priority="11">
      <formula>$B5="A"</formula>
    </cfRule>
  </conditionalFormatting>
  <conditionalFormatting sqref="C5:E13">
    <cfRule type="expression" dxfId="969" priority="7">
      <formula>$C5="O"</formula>
    </cfRule>
  </conditionalFormatting>
  <conditionalFormatting sqref="C5:G13">
    <cfRule type="expression" dxfId="968" priority="6">
      <formula>#REF!="O"</formula>
    </cfRule>
  </conditionalFormatting>
  <conditionalFormatting sqref="F14">
    <cfRule type="expression" dxfId="967" priority="2">
      <formula>$B14="D"</formula>
    </cfRule>
    <cfRule type="expression" dxfId="966" priority="3">
      <formula>$B14="C"</formula>
    </cfRule>
    <cfRule type="expression" dxfId="965" priority="4">
      <formula>$B14="B"</formula>
    </cfRule>
    <cfRule type="expression" dxfId="964" priority="5">
      <formula>$B14="A"</formula>
    </cfRule>
  </conditionalFormatting>
  <conditionalFormatting sqref="F14">
    <cfRule type="expression" dxfId="963" priority="1">
      <formula>#REF!="O"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2060"/>
    <pageSetUpPr autoPageBreaks="0"/>
  </sheetPr>
  <dimension ref="A1:CX978"/>
  <sheetViews>
    <sheetView tabSelected="1" zoomScale="110" zoomScaleNormal="110" zoomScaleSheetLayoutView="110" workbookViewId="0">
      <pane xSplit="10" ySplit="11" topLeftCell="K823" activePane="bottomRight" state="frozen"/>
      <selection pane="topRight" activeCell="K1" sqref="K1"/>
      <selection pane="bottomLeft" activeCell="A8" sqref="A8"/>
      <selection pane="bottomRight" activeCell="O824" sqref="O824:T824"/>
    </sheetView>
  </sheetViews>
  <sheetFormatPr defaultColWidth="8.8984375" defaultRowHeight="16.5" customHeight="1"/>
  <cols>
    <col min="1" max="2" width="7.19921875" style="427" customWidth="1"/>
    <col min="3" max="3" width="3.796875" style="427" customWidth="1"/>
    <col min="4" max="4" width="4.19921875" style="427" customWidth="1"/>
    <col min="5" max="6" width="3.09765625" style="427" customWidth="1"/>
    <col min="7" max="7" width="6" style="427" bestFit="1" customWidth="1"/>
    <col min="8" max="8" width="5.19921875" style="427" customWidth="1"/>
    <col min="9" max="9" width="5.296875" style="427" bestFit="1" customWidth="1"/>
    <col min="10" max="11" width="5" style="427" customWidth="1"/>
    <col min="12" max="12" width="4.8984375" style="427" customWidth="1"/>
    <col min="13" max="14" width="5.296875" style="427" customWidth="1"/>
    <col min="15" max="20" width="7.59765625" style="450" customWidth="1"/>
    <col min="21" max="21" width="3.796875" style="455" customWidth="1"/>
    <col min="22" max="25" width="3.69921875" style="455" customWidth="1"/>
    <col min="26" max="26" width="5.296875" style="455" customWidth="1"/>
    <col min="27" max="27" width="6" style="427" bestFit="1" customWidth="1"/>
    <col min="28" max="28" width="6" style="427" customWidth="1"/>
    <col min="29" max="32" width="3.69921875" style="427" customWidth="1"/>
    <col min="33" max="33" width="5.8984375" style="427" bestFit="1" customWidth="1"/>
    <col min="34" max="34" width="4.59765625" style="452" customWidth="1"/>
    <col min="35" max="35" width="5.69921875" style="427" customWidth="1"/>
    <col min="36" max="36" width="4.69921875" style="427" customWidth="1"/>
    <col min="37" max="37" width="4.8984375" style="427" customWidth="1"/>
    <col min="38" max="40" width="5.796875" style="427" customWidth="1"/>
    <col min="41" max="41" width="6" style="453" customWidth="1"/>
    <col min="42" max="42" width="8.296875" style="1105" customWidth="1"/>
    <col min="43" max="44" width="6.69921875" style="1105" customWidth="1"/>
    <col min="45" max="46" width="6.69921875" style="447" customWidth="1"/>
    <col min="47" max="47" width="6.19921875" style="453" customWidth="1"/>
    <col min="48" max="48" width="24.796875" style="427" bestFit="1" customWidth="1"/>
    <col min="49" max="16384" width="8.8984375" style="450"/>
  </cols>
  <sheetData>
    <row r="1" spans="1:48" ht="27" customHeight="1" thickBot="1">
      <c r="A1" s="1341" t="s">
        <v>526</v>
      </c>
      <c r="B1" s="1341"/>
      <c r="C1" s="1341"/>
      <c r="D1" s="1341"/>
      <c r="E1" s="1341"/>
      <c r="F1" s="1341"/>
      <c r="G1" s="1341"/>
      <c r="H1" s="1341"/>
      <c r="I1" s="1341"/>
      <c r="J1" s="1119" t="s">
        <v>251</v>
      </c>
      <c r="K1" s="1120">
        <f>COUNT(J$12:J$952)</f>
        <v>819</v>
      </c>
      <c r="L1" s="1120"/>
      <c r="M1" s="1121">
        <f>IF($K1=0,"",SUM(J$12:J$952)/K1)</f>
        <v>52.764346764346762</v>
      </c>
      <c r="N1" s="1121">
        <f>IF($K1=0,"",SUM(K$12:K$952)/K1)</f>
        <v>5.2100122100122102</v>
      </c>
      <c r="O1" s="1121">
        <f>IF(K1=0,"",M1-N1)</f>
        <v>47.554334554334552</v>
      </c>
      <c r="P1" s="1122" t="s">
        <v>252</v>
      </c>
      <c r="Q1" s="1122">
        <f>IF(K1=0,"",O1/M1*100)</f>
        <v>90.125885129819039</v>
      </c>
      <c r="R1" s="1157" t="s">
        <v>253</v>
      </c>
      <c r="S1" s="1158">
        <f>IF(K1=0,"",'09월 에너지'!S10/(M1/60))</f>
        <v>163.24231961864214</v>
      </c>
      <c r="T1" s="1159"/>
      <c r="U1" s="1163" t="s">
        <v>515</v>
      </c>
      <c r="V1" s="1160"/>
      <c r="W1" s="1160"/>
      <c r="X1" s="1160"/>
      <c r="Y1" s="1160"/>
      <c r="Z1" s="1160"/>
      <c r="AA1" s="1159"/>
      <c r="AB1" s="1159" t="s">
        <v>516</v>
      </c>
      <c r="AC1" s="1159"/>
      <c r="AD1" s="1159"/>
      <c r="AE1" s="1159"/>
      <c r="AF1" s="1159"/>
      <c r="AG1" s="1123"/>
      <c r="AH1" s="1124"/>
      <c r="AI1" s="1125"/>
      <c r="AJ1" s="1125"/>
      <c r="AK1" s="1125"/>
      <c r="AL1" s="1126"/>
      <c r="AM1" s="1126"/>
      <c r="AN1" s="1126"/>
      <c r="AO1" s="1127"/>
      <c r="AP1" s="1127"/>
      <c r="AQ1" s="1127"/>
      <c r="AR1" s="1127"/>
      <c r="AS1" s="1127"/>
      <c r="AT1" s="1127"/>
      <c r="AU1" s="1127"/>
      <c r="AV1" s="1128"/>
    </row>
    <row r="2" spans="1:48" ht="18" customHeight="1" thickTop="1">
      <c r="A2" s="1444" t="s">
        <v>443</v>
      </c>
      <c r="B2" s="1445"/>
      <c r="C2" s="1445"/>
      <c r="D2" s="1445"/>
      <c r="E2" s="1445"/>
      <c r="F2" s="1445"/>
      <c r="G2" s="1445"/>
      <c r="H2" s="1445"/>
      <c r="I2" s="1445"/>
      <c r="J2" s="1445"/>
      <c r="K2" s="1446"/>
      <c r="L2" s="1446"/>
      <c r="M2" s="1446"/>
      <c r="N2" s="1446"/>
      <c r="O2" s="1446"/>
      <c r="P2" s="1446"/>
      <c r="Q2" s="1447"/>
      <c r="R2" s="1161"/>
      <c r="S2" s="1162"/>
      <c r="T2" s="1163"/>
      <c r="U2" s="1163" t="s">
        <v>517</v>
      </c>
      <c r="V2" s="1164"/>
      <c r="W2" s="1164"/>
      <c r="X2" s="1164"/>
      <c r="Y2" s="1164"/>
      <c r="Z2" s="1164"/>
      <c r="AA2" s="1163"/>
      <c r="AB2" s="1163"/>
      <c r="AC2" s="1163"/>
      <c r="AD2" s="1163"/>
      <c r="AE2" s="1163"/>
      <c r="AF2" s="1163"/>
      <c r="AG2" s="1165"/>
      <c r="AH2" s="1166"/>
      <c r="AI2" s="1125"/>
      <c r="AJ2" s="1125"/>
      <c r="AK2" s="1125"/>
      <c r="AL2" s="1126"/>
      <c r="AM2" s="1126"/>
      <c r="AN2" s="1126"/>
      <c r="AO2" s="1127"/>
      <c r="AP2" s="1127"/>
      <c r="AQ2" s="1127"/>
      <c r="AR2" s="1127"/>
      <c r="AS2" s="1127"/>
      <c r="AT2" s="1127"/>
      <c r="AU2" s="1127"/>
      <c r="AV2" s="1128"/>
    </row>
    <row r="3" spans="1:48" ht="18" customHeight="1">
      <c r="A3" s="1467" t="s">
        <v>105</v>
      </c>
      <c r="B3" s="1449"/>
      <c r="C3" s="1450"/>
      <c r="D3" s="1451" t="s">
        <v>444</v>
      </c>
      <c r="E3" s="1451"/>
      <c r="F3" s="1451"/>
      <c r="G3" s="1451"/>
      <c r="H3" s="1453" t="s">
        <v>445</v>
      </c>
      <c r="I3" s="1468"/>
      <c r="J3" s="1469"/>
      <c r="K3" s="1448" t="s">
        <v>446</v>
      </c>
      <c r="L3" s="1449"/>
      <c r="M3" s="1450"/>
      <c r="N3" s="1451" t="s">
        <v>447</v>
      </c>
      <c r="O3" s="1452"/>
      <c r="P3" s="1453" t="s">
        <v>448</v>
      </c>
      <c r="Q3" s="1454"/>
      <c r="R3" s="1161"/>
      <c r="S3" s="1162"/>
      <c r="T3" s="1163"/>
      <c r="U3" s="1163" t="s">
        <v>518</v>
      </c>
      <c r="V3" s="1164"/>
      <c r="W3" s="1164"/>
      <c r="X3" s="1164"/>
      <c r="Y3" s="1164"/>
      <c r="Z3" s="1164"/>
      <c r="AA3" s="1163"/>
      <c r="AB3" s="1163"/>
      <c r="AC3" s="1163"/>
      <c r="AD3" s="1163"/>
      <c r="AE3" s="1163"/>
      <c r="AF3" s="1163"/>
      <c r="AG3" s="1165"/>
      <c r="AH3" s="1166"/>
      <c r="AI3" s="1125"/>
      <c r="AJ3" s="1125"/>
      <c r="AK3" s="1125"/>
      <c r="AL3" s="1126"/>
      <c r="AM3" s="1126"/>
      <c r="AN3" s="1126"/>
      <c r="AO3" s="1127"/>
      <c r="AP3" s="1127"/>
      <c r="AQ3" s="1127"/>
      <c r="AR3" s="1127"/>
      <c r="AS3" s="1127"/>
      <c r="AT3" s="1127"/>
      <c r="AU3" s="1127"/>
      <c r="AV3" s="1128"/>
    </row>
    <row r="4" spans="1:48" ht="18" customHeight="1">
      <c r="A4" s="1470" t="s">
        <v>449</v>
      </c>
      <c r="B4" s="1456" t="s">
        <v>450</v>
      </c>
      <c r="C4" s="1457"/>
      <c r="D4" s="1458">
        <v>47.7</v>
      </c>
      <c r="E4" s="1472"/>
      <c r="F4" s="1472"/>
      <c r="G4" s="1473"/>
      <c r="H4" s="1458">
        <v>48.4</v>
      </c>
      <c r="I4" s="1472"/>
      <c r="J4" s="1474"/>
      <c r="K4" s="1455" t="s">
        <v>451</v>
      </c>
      <c r="L4" s="1456"/>
      <c r="M4" s="1457"/>
      <c r="N4" s="1458">
        <v>145.80000000000001</v>
      </c>
      <c r="O4" s="1459"/>
      <c r="P4" s="1458">
        <v>145.5</v>
      </c>
      <c r="Q4" s="1460"/>
      <c r="R4" s="1161"/>
      <c r="S4" s="1162"/>
      <c r="T4" s="1163"/>
      <c r="U4" s="1228" t="s">
        <v>519</v>
      </c>
      <c r="V4" s="1164"/>
      <c r="W4" s="1164"/>
      <c r="X4" s="1164"/>
      <c r="Y4" s="1164"/>
      <c r="Z4" s="1164"/>
      <c r="AA4" s="1163"/>
      <c r="AB4" s="1163"/>
      <c r="AC4" s="1163"/>
      <c r="AD4" s="1163"/>
      <c r="AE4" s="1163"/>
      <c r="AF4" s="1163"/>
      <c r="AG4" s="1165"/>
      <c r="AH4" s="1166"/>
      <c r="AI4" s="1125"/>
      <c r="AJ4" s="1125"/>
      <c r="AK4" s="1125"/>
      <c r="AL4" s="1126"/>
      <c r="AM4" s="1126"/>
      <c r="AN4" s="1126"/>
      <c r="AO4" s="1127"/>
      <c r="AP4" s="1127"/>
      <c r="AQ4" s="1127"/>
      <c r="AR4" s="1127"/>
      <c r="AS4" s="1127"/>
      <c r="AT4" s="1127"/>
      <c r="AU4" s="1127"/>
      <c r="AV4" s="1128"/>
    </row>
    <row r="5" spans="1:48" ht="18" customHeight="1" thickBot="1">
      <c r="A5" s="1471"/>
      <c r="B5" s="1475" t="s">
        <v>452</v>
      </c>
      <c r="C5" s="1476"/>
      <c r="D5" s="1464">
        <v>49.7</v>
      </c>
      <c r="E5" s="1477"/>
      <c r="F5" s="1477"/>
      <c r="G5" s="1478"/>
      <c r="H5" s="1479">
        <v>50.4</v>
      </c>
      <c r="I5" s="1480"/>
      <c r="J5" s="1481"/>
      <c r="K5" s="1461" t="s">
        <v>453</v>
      </c>
      <c r="L5" s="1462"/>
      <c r="M5" s="1463"/>
      <c r="N5" s="1464">
        <v>30</v>
      </c>
      <c r="O5" s="1465"/>
      <c r="P5" s="1464">
        <v>29.6</v>
      </c>
      <c r="Q5" s="1466"/>
      <c r="R5" s="1161"/>
      <c r="S5" s="1162"/>
      <c r="T5" s="1163"/>
      <c r="U5" s="1164"/>
      <c r="V5" s="1164"/>
      <c r="W5" s="1164"/>
      <c r="X5" s="1164"/>
      <c r="Y5" s="1164"/>
      <c r="Z5" s="1164"/>
      <c r="AA5" s="1163"/>
      <c r="AB5" s="1163"/>
      <c r="AC5" s="1163"/>
      <c r="AD5" s="1163"/>
      <c r="AE5" s="1163"/>
      <c r="AF5" s="1163"/>
      <c r="AG5" s="1165"/>
      <c r="AH5" s="1166"/>
      <c r="AI5" s="1125"/>
      <c r="AJ5" s="1125"/>
      <c r="AK5" s="1125"/>
      <c r="AL5" s="1126"/>
      <c r="AM5" s="1126"/>
      <c r="AN5" s="1126"/>
      <c r="AO5" s="1127"/>
      <c r="AP5" s="1127"/>
      <c r="AQ5" s="1127"/>
      <c r="AR5" s="1127"/>
      <c r="AS5" s="1127"/>
      <c r="AT5" s="1127"/>
      <c r="AU5" s="1127"/>
      <c r="AV5" s="1128"/>
    </row>
    <row r="6" spans="1:48" ht="18" customHeight="1" thickTop="1" thickBot="1">
      <c r="A6" s="1349" t="s">
        <v>95</v>
      </c>
      <c r="B6" s="1358">
        <f>MAX(A12:A952)</f>
        <v>46296</v>
      </c>
      <c r="C6" s="1355">
        <f>MAX(A12:A952)</f>
        <v>46296</v>
      </c>
      <c r="D6" s="1356"/>
      <c r="E6" s="1356"/>
      <c r="F6" s="1356"/>
      <c r="G6" s="1356"/>
      <c r="H6" s="1356"/>
      <c r="I6" s="1357"/>
      <c r="J6" s="1151" t="s">
        <v>2</v>
      </c>
      <c r="K6" s="1432" t="s">
        <v>96</v>
      </c>
      <c r="L6" s="1399"/>
      <c r="M6" s="1130" t="s">
        <v>3</v>
      </c>
      <c r="N6" s="1130" t="s">
        <v>97</v>
      </c>
      <c r="O6" s="1131" t="s">
        <v>4</v>
      </c>
      <c r="P6" s="1152" t="s">
        <v>92</v>
      </c>
      <c r="Q6" s="1130" t="s">
        <v>96</v>
      </c>
      <c r="R6" s="1132" t="s">
        <v>3</v>
      </c>
      <c r="S6" s="1132" t="s">
        <v>97</v>
      </c>
      <c r="T6" s="1400" t="s">
        <v>4</v>
      </c>
      <c r="U6" s="1433"/>
      <c r="V6" s="1433"/>
      <c r="W6" s="1433"/>
      <c r="X6" s="1433"/>
      <c r="Y6" s="1434"/>
      <c r="Z6" s="1417" t="s">
        <v>504</v>
      </c>
      <c r="AA6" s="1418"/>
      <c r="AB6" s="1423" t="s">
        <v>503</v>
      </c>
      <c r="AC6" s="1413"/>
      <c r="AD6" s="1414"/>
      <c r="AE6" s="1414"/>
      <c r="AF6" s="1414"/>
      <c r="AG6" s="1398" t="s">
        <v>321</v>
      </c>
      <c r="AH6" s="1400" t="s">
        <v>322</v>
      </c>
      <c r="AI6" s="1401"/>
      <c r="AJ6" s="1153" t="s">
        <v>98</v>
      </c>
      <c r="AK6" s="1132" t="s">
        <v>96</v>
      </c>
      <c r="AL6" s="1132" t="s">
        <v>3</v>
      </c>
      <c r="AM6" s="1132" t="s">
        <v>97</v>
      </c>
      <c r="AN6" s="1133" t="s">
        <v>4</v>
      </c>
      <c r="AO6" s="1375" t="s">
        <v>119</v>
      </c>
      <c r="AP6" s="1154" t="s">
        <v>98</v>
      </c>
      <c r="AQ6" s="1134" t="s">
        <v>198</v>
      </c>
      <c r="AR6" s="1134" t="s">
        <v>117</v>
      </c>
      <c r="AS6" s="1134" t="s">
        <v>127</v>
      </c>
      <c r="AT6" s="1135" t="s">
        <v>118</v>
      </c>
      <c r="AU6" s="1136" t="s">
        <v>254</v>
      </c>
      <c r="AV6" s="1167" t="s">
        <v>19</v>
      </c>
    </row>
    <row r="7" spans="1:48" ht="18" customHeight="1" thickTop="1" thickBot="1">
      <c r="A7" s="1350"/>
      <c r="B7" s="1350"/>
      <c r="C7" s="1359" t="s">
        <v>5</v>
      </c>
      <c r="D7" s="1360"/>
      <c r="E7" s="1363" t="s">
        <v>6</v>
      </c>
      <c r="F7" s="1364"/>
      <c r="G7" s="428" t="s">
        <v>7</v>
      </c>
      <c r="H7" s="461" t="s">
        <v>249</v>
      </c>
      <c r="I7" s="429" t="s">
        <v>1</v>
      </c>
      <c r="J7" s="430" t="s">
        <v>9</v>
      </c>
      <c r="K7" s="1430">
        <f>COUNTIF(E$12:E$952,J7)</f>
        <v>207</v>
      </c>
      <c r="L7" s="1431"/>
      <c r="M7" s="431">
        <f>IF(K7=0,"",SUMIF(E$12:E$952,J7,J$12:J$952)/K7)</f>
        <v>49.062801932367151</v>
      </c>
      <c r="N7" s="431">
        <f>IF(K7=0,"",SUMIF($E$12:$E$952,J7,K$12:K$952)/K7)</f>
        <v>1.7536231884057971</v>
      </c>
      <c r="O7" s="432">
        <f>M7-N7</f>
        <v>47.309178743961354</v>
      </c>
      <c r="P7" s="433" t="s">
        <v>93</v>
      </c>
      <c r="Q7" s="434">
        <f>COUNTIF(E$12:E$952,P7)</f>
        <v>194</v>
      </c>
      <c r="R7" s="431">
        <f>IF(Q7=0,"",SUMIF(E$12:E$952,P7,J$12:J$952)/Q7)</f>
        <v>61.067010309278352</v>
      </c>
      <c r="S7" s="431">
        <f>IF(Q7=0,"",SUMIF($E$12:$E$952,P7,K$12:K$952)/Q7)</f>
        <v>12.381443298969073</v>
      </c>
      <c r="T7" s="1435">
        <f>R7-S7</f>
        <v>48.685567010309278</v>
      </c>
      <c r="U7" s="1436"/>
      <c r="V7" s="1436"/>
      <c r="W7" s="1436"/>
      <c r="X7" s="1436"/>
      <c r="Y7" s="1437"/>
      <c r="Z7" s="1419"/>
      <c r="AA7" s="1420"/>
      <c r="AB7" s="1424"/>
      <c r="AC7" s="1415"/>
      <c r="AD7" s="1416"/>
      <c r="AE7" s="1416"/>
      <c r="AF7" s="1416"/>
      <c r="AG7" s="1399"/>
      <c r="AH7" s="1402"/>
      <c r="AI7" s="1403"/>
      <c r="AJ7" s="456" t="s">
        <v>99</v>
      </c>
      <c r="AK7" s="434">
        <f>COUNTIF(F$12:F$952,AJ7)</f>
        <v>414</v>
      </c>
      <c r="AL7" s="431">
        <f>IF(AK7=0,"",SUMIF(F$12:F$952,AJ7,J$12:J$952)/AK7)</f>
        <v>50.886473429951693</v>
      </c>
      <c r="AM7" s="431">
        <f>IF(AK7=0,"",SUMIF($F$12:$F$952,AJ7,K$12:K$952)/AK7)</f>
        <v>3.8864734299516908</v>
      </c>
      <c r="AN7" s="459">
        <f>AL7-AM7</f>
        <v>47</v>
      </c>
      <c r="AO7" s="1376"/>
      <c r="AP7" s="462" t="s">
        <v>99</v>
      </c>
      <c r="AQ7" s="463">
        <f>COUNTIFS(F$12:F$952,"A",AR$12:AR$952,1)</f>
        <v>31</v>
      </c>
      <c r="AR7" s="464">
        <f>IF(AQ7=0,"",SUMIF(F$12:F$952,"A",AQ$12:AQ$952))</f>
        <v>63757</v>
      </c>
      <c r="AS7" s="464">
        <f>IF(AR7=0,"",SUMIF(F$12:F$952,"A",Z$12:Z$952))</f>
        <v>59424.860000000081</v>
      </c>
      <c r="AT7" s="465">
        <f>AR7/AS7</f>
        <v>1.0729011393548074</v>
      </c>
      <c r="AU7" s="1382">
        <f>(AR7+AR8)/(AS7+AS8)</f>
        <v>1.0319952151594427</v>
      </c>
      <c r="AV7" s="1203"/>
    </row>
    <row r="8" spans="1:48" ht="16.5" customHeight="1" thickTop="1" thickBot="1">
      <c r="A8" s="466">
        <f>COUNT(J12:J952)</f>
        <v>819</v>
      </c>
      <c r="B8" s="466">
        <f>COUNTIF($A$12:$A$952,$B6)</f>
        <v>1</v>
      </c>
      <c r="C8" s="1361">
        <v>48</v>
      </c>
      <c r="D8" s="1362">
        <f>AVERAGE(K41:K952)</f>
        <v>51.337349397590359</v>
      </c>
      <c r="E8" s="1365">
        <f>SUMIFS(일별반별!E6:E160,일별반별!A6:A160,C6,일별반별!B6:B160,"일")</f>
        <v>0</v>
      </c>
      <c r="F8" s="1362"/>
      <c r="G8" s="435">
        <v>47.4</v>
      </c>
      <c r="H8" s="467">
        <f>C8/G8*100</f>
        <v>101.26582278481013</v>
      </c>
      <c r="I8" s="468">
        <f>SUMIFS(일별반별!AU6:AU160,일별반별!A6:A160,C6,일별반별!B6:B160,"일")/G8*60</f>
        <v>0</v>
      </c>
      <c r="J8" s="436" t="s">
        <v>11</v>
      </c>
      <c r="K8" s="1428">
        <f>COUNTIF(E$12:E$952,J8)</f>
        <v>205</v>
      </c>
      <c r="L8" s="1429"/>
      <c r="M8" s="437">
        <f>IF(K8=0,"",SUMIF(E$12:E$952,J8,J$12:J$952)/K8)</f>
        <v>49.00487804878049</v>
      </c>
      <c r="N8" s="437">
        <f>IF(K8=0,"",SUMIF($E$12:$E$952,J8,K$12:K$952)/K8)</f>
        <v>1.3756097560975609</v>
      </c>
      <c r="O8" s="438">
        <f>M8-N8</f>
        <v>47.62926829268293</v>
      </c>
      <c r="P8" s="439" t="s">
        <v>94</v>
      </c>
      <c r="Q8" s="440">
        <f>COUNTIF(E$12:E$952,P8)</f>
        <v>213</v>
      </c>
      <c r="R8" s="437">
        <f>IF(Q8=0,"",SUMIF(E$12:E$952,P8,J$12:J$952)/Q8)</f>
        <v>52.417840375586856</v>
      </c>
      <c r="S8" s="437">
        <f>IF(Q8=0,"",SUMIF($E$12:$E$952,P8,K$12:K$952)/Q8)</f>
        <v>5.727699530516432</v>
      </c>
      <c r="T8" s="1438">
        <f>R8-S8</f>
        <v>46.690140845070424</v>
      </c>
      <c r="U8" s="1439"/>
      <c r="V8" s="1439"/>
      <c r="W8" s="1439"/>
      <c r="X8" s="1439"/>
      <c r="Y8" s="1440"/>
      <c r="Z8" s="1409">
        <f>AVERAGEIFS(AA10:AA950,AA10:AA950,"&lt;&gt;0")</f>
        <v>2232.4545454545455</v>
      </c>
      <c r="AA8" s="1410"/>
      <c r="AB8" s="1210">
        <f>COUNTIFS(AB12:AB950,"불량")</f>
        <v>0</v>
      </c>
      <c r="AC8" s="1411"/>
      <c r="AD8" s="1412"/>
      <c r="AE8" s="1412"/>
      <c r="AF8" s="1412"/>
      <c r="AG8" s="1207">
        <f>AVERAGEIFS(AG12:AG952,AG12:AG952,"&lt;&gt;0")</f>
        <v>2005.8253968253969</v>
      </c>
      <c r="AH8" s="1404"/>
      <c r="AI8" s="1405"/>
      <c r="AJ8" s="457" t="s">
        <v>100</v>
      </c>
      <c r="AK8" s="440">
        <f>COUNTIF(F$12:F$952,AJ8)</f>
        <v>405</v>
      </c>
      <c r="AL8" s="437">
        <f>IF(F12=0,"",SUMIF(F$12:F$952,AJ8,J$12:J$952)/AK8)</f>
        <v>54.683950617283948</v>
      </c>
      <c r="AM8" s="437">
        <f>IF($F12=0,"",SUMIF($F$12:$F$952,AJ8,K$12:K$952)/AK8)</f>
        <v>6.5629629629629633</v>
      </c>
      <c r="AN8" s="460">
        <f>AL8-AM8</f>
        <v>48.120987654320984</v>
      </c>
      <c r="AO8" s="1377"/>
      <c r="AP8" s="469" t="s">
        <v>100</v>
      </c>
      <c r="AQ8" s="470">
        <f>COUNTIFS(F$12:F$952,"B",AS$12:AS$952,1)</f>
        <v>27</v>
      </c>
      <c r="AR8" s="471">
        <f>IF(AQ8=0,"",SUMIF(F$12:F$952,"B",AQ$12:AQ$952))</f>
        <v>57438</v>
      </c>
      <c r="AS8" s="471">
        <f>IF(AR8=0,"",SUMIF(F$12:F$952,"B",Z$12:Z$952))</f>
        <v>58012.699999999961</v>
      </c>
      <c r="AT8" s="472">
        <f>AR8/AS8</f>
        <v>0.99009354848162623</v>
      </c>
      <c r="AU8" s="1383"/>
      <c r="AV8" s="1203"/>
    </row>
    <row r="9" spans="1:48" ht="0.75" customHeight="1" thickBot="1">
      <c r="E9" s="442"/>
      <c r="F9" s="442" t="s">
        <v>370</v>
      </c>
      <c r="G9" s="442"/>
      <c r="H9" s="442"/>
      <c r="I9" s="442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K9" s="443"/>
      <c r="AL9" s="444"/>
      <c r="AM9" s="444"/>
      <c r="AN9" s="445"/>
      <c r="AO9" s="446"/>
      <c r="AP9" s="446"/>
      <c r="AQ9" s="447"/>
      <c r="AR9" s="447"/>
      <c r="AU9" s="447"/>
      <c r="AV9" s="1203"/>
    </row>
    <row r="10" spans="1:48" s="455" customFormat="1" ht="18" customHeight="1" thickBot="1">
      <c r="A10" s="1351" t="s">
        <v>250</v>
      </c>
      <c r="B10" s="1351" t="s">
        <v>419</v>
      </c>
      <c r="C10" s="1373" t="s">
        <v>158</v>
      </c>
      <c r="D10" s="1374"/>
      <c r="E10" s="1366" t="s">
        <v>12</v>
      </c>
      <c r="F10" s="1368" t="s">
        <v>13</v>
      </c>
      <c r="G10" s="1353" t="s">
        <v>14</v>
      </c>
      <c r="H10" s="1370" t="s">
        <v>0</v>
      </c>
      <c r="I10" s="1371"/>
      <c r="J10" s="1372"/>
      <c r="K10" s="1370" t="s">
        <v>15</v>
      </c>
      <c r="L10" s="1371"/>
      <c r="M10" s="1371"/>
      <c r="N10" s="1372"/>
      <c r="O10" s="1380" t="s">
        <v>371</v>
      </c>
      <c r="P10" s="1380"/>
      <c r="Q10" s="1380"/>
      <c r="R10" s="1380"/>
      <c r="S10" s="1380"/>
      <c r="T10" s="1380"/>
      <c r="U10" s="1406" t="s">
        <v>325</v>
      </c>
      <c r="V10" s="1406" t="s">
        <v>326</v>
      </c>
      <c r="W10" s="1406" t="s">
        <v>479</v>
      </c>
      <c r="X10" s="1353" t="s">
        <v>327</v>
      </c>
      <c r="Y10" s="1342" t="s">
        <v>525</v>
      </c>
      <c r="Z10" s="1380" t="s">
        <v>427</v>
      </c>
      <c r="AA10" s="1378" t="s">
        <v>480</v>
      </c>
      <c r="AB10" s="1425" t="s">
        <v>505</v>
      </c>
      <c r="AC10" s="1421" t="s">
        <v>506</v>
      </c>
      <c r="AD10" s="1422"/>
      <c r="AE10" s="1422"/>
      <c r="AF10" s="1422"/>
      <c r="AG10" s="1380" t="s">
        <v>323</v>
      </c>
      <c r="AH10" s="1408" t="s">
        <v>324</v>
      </c>
      <c r="AI10" s="1118" t="s">
        <v>16</v>
      </c>
      <c r="AJ10" s="1388" t="s">
        <v>17</v>
      </c>
      <c r="AK10" s="1145" t="s">
        <v>18</v>
      </c>
      <c r="AL10" s="1390" t="s">
        <v>10</v>
      </c>
      <c r="AM10" s="1392" t="s">
        <v>472</v>
      </c>
      <c r="AN10" s="1386" t="s">
        <v>359</v>
      </c>
      <c r="AO10" s="1394" t="s">
        <v>113</v>
      </c>
      <c r="AP10" s="1395"/>
      <c r="AQ10" s="1395"/>
      <c r="AR10" s="1396"/>
      <c r="AS10" s="1397"/>
      <c r="AT10" s="1384" t="s">
        <v>255</v>
      </c>
      <c r="AU10" s="1168"/>
      <c r="AV10" s="1204"/>
    </row>
    <row r="11" spans="1:48" s="455" customFormat="1" ht="21.75" customHeight="1" thickBot="1">
      <c r="A11" s="1352"/>
      <c r="B11" s="1352"/>
      <c r="C11" s="458" t="s">
        <v>31</v>
      </c>
      <c r="D11" s="1115" t="s">
        <v>32</v>
      </c>
      <c r="E11" s="1367"/>
      <c r="F11" s="1369"/>
      <c r="G11" s="1354"/>
      <c r="H11" s="1116" t="s">
        <v>8</v>
      </c>
      <c r="I11" s="1129">
        <v>0.13749999999999998</v>
      </c>
      <c r="J11" s="1115" t="s">
        <v>449</v>
      </c>
      <c r="K11" s="473" t="s">
        <v>356</v>
      </c>
      <c r="L11" s="474" t="s">
        <v>357</v>
      </c>
      <c r="M11" s="458" t="s">
        <v>20</v>
      </c>
      <c r="N11" s="1115" t="s">
        <v>21</v>
      </c>
      <c r="O11" s="1381"/>
      <c r="P11" s="1381"/>
      <c r="Q11" s="1381"/>
      <c r="R11" s="1381"/>
      <c r="S11" s="1381"/>
      <c r="T11" s="1381"/>
      <c r="U11" s="1407"/>
      <c r="V11" s="1407"/>
      <c r="W11" s="1407"/>
      <c r="X11" s="1427"/>
      <c r="Y11" s="1343"/>
      <c r="Z11" s="1381"/>
      <c r="AA11" s="1379"/>
      <c r="AB11" s="1426"/>
      <c r="AC11" s="1209" t="s">
        <v>499</v>
      </c>
      <c r="AD11" s="1209" t="s">
        <v>500</v>
      </c>
      <c r="AE11" s="1209" t="s">
        <v>502</v>
      </c>
      <c r="AF11" s="1209" t="s">
        <v>501</v>
      </c>
      <c r="AG11" s="1381"/>
      <c r="AH11" s="1369"/>
      <c r="AI11" s="1117" t="s">
        <v>22</v>
      </c>
      <c r="AJ11" s="1389"/>
      <c r="AK11" s="1146" t="s">
        <v>23</v>
      </c>
      <c r="AL11" s="1391"/>
      <c r="AM11" s="1393"/>
      <c r="AN11" s="1387"/>
      <c r="AO11" s="448" t="s">
        <v>111</v>
      </c>
      <c r="AP11" s="440" t="s">
        <v>112</v>
      </c>
      <c r="AQ11" s="440" t="s">
        <v>114</v>
      </c>
      <c r="AR11" s="1147" t="s">
        <v>115</v>
      </c>
      <c r="AS11" s="1148" t="s">
        <v>116</v>
      </c>
      <c r="AT11" s="1385"/>
      <c r="AU11" s="1169"/>
      <c r="AV11" s="1204"/>
    </row>
    <row r="12" spans="1:48" ht="16.5" customHeight="1">
      <c r="A12" s="1005">
        <v>46266</v>
      </c>
      <c r="B12" s="1005">
        <v>46265</v>
      </c>
      <c r="C12" s="1150">
        <v>1</v>
      </c>
      <c r="D12" s="1150">
        <v>1</v>
      </c>
      <c r="E12" s="1006" t="s">
        <v>94</v>
      </c>
      <c r="F12" s="1007" t="s">
        <v>352</v>
      </c>
      <c r="G12" s="1008">
        <v>85214</v>
      </c>
      <c r="H12" s="1138">
        <f t="shared" ref="H12:H13" si="0">IF(ISBLANK(I11),H11+C$8/1440,I11+C$8/1440)</f>
        <v>0.17083333333333331</v>
      </c>
      <c r="I12" s="1009">
        <v>0.16874999999999998</v>
      </c>
      <c r="J12" s="1010">
        <f t="shared" ref="J12:J13" si="1">IF(I12="","",IF(I12&lt;I11,(I12-I11)*1440+1440,(I12-I11)*1440))</f>
        <v>45</v>
      </c>
      <c r="K12" s="1011"/>
      <c r="L12" s="1012"/>
      <c r="M12" s="1013"/>
      <c r="N12" s="1139" t="str">
        <f t="shared" ref="N12:N13" si="2">IF(M12="","",M12+K12/1440)</f>
        <v/>
      </c>
      <c r="O12" s="1338" t="s">
        <v>527</v>
      </c>
      <c r="P12" s="1339"/>
      <c r="Q12" s="1339"/>
      <c r="R12" s="1339"/>
      <c r="S12" s="1339"/>
      <c r="T12" s="1340"/>
      <c r="U12" s="1015">
        <v>1.8</v>
      </c>
      <c r="V12" s="1015">
        <v>2.7</v>
      </c>
      <c r="W12" s="1015">
        <v>1.5</v>
      </c>
      <c r="X12" s="1015"/>
      <c r="Y12" s="1015"/>
      <c r="Z12" s="1016">
        <f>'09월 에너지'!S14</f>
        <v>144.30000000000001</v>
      </c>
      <c r="AA12" s="1017"/>
      <c r="AB12" s="1208"/>
      <c r="AC12" s="1208"/>
      <c r="AD12" s="1208"/>
      <c r="AE12" s="1208"/>
      <c r="AF12" s="1208"/>
      <c r="AG12" s="1006">
        <f>'09월 화학성분'!AM12</f>
        <v>1675</v>
      </c>
      <c r="AH12" s="1006">
        <v>9</v>
      </c>
      <c r="AI12" s="1140">
        <v>1563</v>
      </c>
      <c r="AJ12" s="1141">
        <v>0</v>
      </c>
      <c r="AK12" s="1142">
        <v>819</v>
      </c>
      <c r="AL12" s="1143">
        <v>4</v>
      </c>
      <c r="AM12" s="1155">
        <f>IF(AT12="","",3*'09월 에너지'!S14*(1/(3+7.8*(100-AT12)/AT12)))</f>
        <v>0.16680795314426636</v>
      </c>
      <c r="AN12" s="1023">
        <v>0.19236111111111112</v>
      </c>
      <c r="AO12" s="1024"/>
      <c r="AP12" s="1025"/>
      <c r="AQ12" s="1025"/>
      <c r="AR12" s="1149"/>
      <c r="AS12" s="1093">
        <v>6</v>
      </c>
      <c r="AT12" s="1156">
        <v>0.3</v>
      </c>
      <c r="AU12" s="1144"/>
      <c r="AV12" s="1205"/>
    </row>
    <row r="13" spans="1:48" ht="16.5" customHeight="1">
      <c r="A13" s="1005">
        <f t="shared" ref="A13:B13" si="3">IF(I13="","",A12)</f>
        <v>46266</v>
      </c>
      <c r="B13" s="1005">
        <f t="shared" si="3"/>
        <v>46265</v>
      </c>
      <c r="C13" s="1150">
        <f t="shared" ref="C13" si="4">IF(I13="","",IF(A13=A12,C12+1,1))</f>
        <v>2</v>
      </c>
      <c r="D13" s="1150">
        <f t="shared" ref="D13" si="5">IF(C13="","",D12+1)</f>
        <v>2</v>
      </c>
      <c r="E13" s="1006" t="str">
        <f t="shared" ref="E13" si="6">IF(C13="","",E12)</f>
        <v>D</v>
      </c>
      <c r="F13" s="1007" t="str">
        <f t="shared" ref="F13" si="7">IF(C13="","",IF(F12="A","B","A"))</f>
        <v>A</v>
      </c>
      <c r="G13" s="1008">
        <f t="shared" ref="G13" si="8">IF(C13="","",G12+1)</f>
        <v>85215</v>
      </c>
      <c r="H13" s="1138">
        <f t="shared" si="0"/>
        <v>0.20208333333333331</v>
      </c>
      <c r="I13" s="1009">
        <v>0.20069444444444443</v>
      </c>
      <c r="J13" s="1010">
        <f t="shared" si="1"/>
        <v>46</v>
      </c>
      <c r="K13" s="1011"/>
      <c r="L13" s="1012"/>
      <c r="M13" s="1013"/>
      <c r="N13" s="1014" t="str">
        <f t="shared" si="2"/>
        <v/>
      </c>
      <c r="O13" s="1323" t="s">
        <v>529</v>
      </c>
      <c r="P13" s="1324"/>
      <c r="Q13" s="1324"/>
      <c r="R13" s="1324"/>
      <c r="S13" s="1324"/>
      <c r="T13" s="1325"/>
      <c r="U13" s="1015">
        <v>1.8</v>
      </c>
      <c r="V13" s="1015"/>
      <c r="W13" s="1015"/>
      <c r="X13" s="1015"/>
      <c r="Y13" s="1015">
        <v>2.8</v>
      </c>
      <c r="Z13" s="1016">
        <f>'09월 에너지'!S15</f>
        <v>143.9</v>
      </c>
      <c r="AA13" s="1017"/>
      <c r="AB13" s="1208"/>
      <c r="AC13" s="1208"/>
      <c r="AD13" s="1208"/>
      <c r="AE13" s="1208"/>
      <c r="AF13" s="1208"/>
      <c r="AG13" s="1018">
        <f>'09월 화학성분'!AM13</f>
        <v>2621</v>
      </c>
      <c r="AH13" s="1006">
        <f t="shared" ref="AH13:AH76" si="9">IF(I13="","",AH12+1)</f>
        <v>10</v>
      </c>
      <c r="AI13" s="1019">
        <v>1568</v>
      </c>
      <c r="AJ13" s="1020">
        <v>0</v>
      </c>
      <c r="AK13" s="1021">
        <v>603</v>
      </c>
      <c r="AL13" s="1022">
        <v>6</v>
      </c>
      <c r="AM13" s="1155">
        <f>IF(AT13="","",3*'09월 에너지'!S15*(1/(3+7.8*(100-AT13)/AT13)))</f>
        <v>0.22193090684762498</v>
      </c>
      <c r="AN13" s="1023">
        <v>0.19305555555555554</v>
      </c>
      <c r="AO13" s="1024"/>
      <c r="AP13" s="1025"/>
      <c r="AQ13" s="1025"/>
      <c r="AR13" s="1149">
        <v>13</v>
      </c>
      <c r="AS13" s="1093"/>
      <c r="AT13" s="1156">
        <v>0.4</v>
      </c>
      <c r="AU13" s="449"/>
      <c r="AV13" s="1205"/>
    </row>
    <row r="14" spans="1:48" ht="16.5" customHeight="1">
      <c r="A14" s="1005">
        <f t="shared" ref="A14:A77" si="10">IF(I14="","",A13)</f>
        <v>46266</v>
      </c>
      <c r="B14" s="1005">
        <f t="shared" ref="B14:B76" si="11">IF(J14="","",B13)</f>
        <v>46265</v>
      </c>
      <c r="C14" s="1150">
        <f t="shared" ref="C14:C77" si="12">IF(I14="","",IF(A14=A13,C13+1,1))</f>
        <v>3</v>
      </c>
      <c r="D14" s="1150">
        <f t="shared" ref="D14:D77" si="13">IF(C14="","",D13+1)</f>
        <v>3</v>
      </c>
      <c r="E14" s="1006" t="str">
        <f t="shared" ref="E14:E76" si="14">IF(C14="","",E13)</f>
        <v>D</v>
      </c>
      <c r="F14" s="1007" t="str">
        <f t="shared" ref="F14:F77" si="15">IF(C14="","",IF(F13="A","B","A"))</f>
        <v>B</v>
      </c>
      <c r="G14" s="1008">
        <f t="shared" ref="G14:G77" si="16">IF(C14="","",G13+1)</f>
        <v>85216</v>
      </c>
      <c r="H14" s="1138">
        <f t="shared" ref="H14:H77" si="17">IF(ISBLANK(I13),H13+C$8/1440,I13+C$8/1440)</f>
        <v>0.23402777777777775</v>
      </c>
      <c r="I14" s="1009">
        <v>0.23402777777777781</v>
      </c>
      <c r="J14" s="1010">
        <f t="shared" ref="J14:J77" si="18">IF(I14="","",IF(I14&lt;I13,(I14-I13)*1440+1440,(I14-I13)*1440))</f>
        <v>48.000000000000071</v>
      </c>
      <c r="K14" s="1011"/>
      <c r="L14" s="1012"/>
      <c r="M14" s="1013"/>
      <c r="N14" s="1014" t="str">
        <f t="shared" ref="N14:N77" si="19">IF(M14="","",M14+K14/1440)</f>
        <v/>
      </c>
      <c r="O14" s="1323" t="s">
        <v>530</v>
      </c>
      <c r="P14" s="1324"/>
      <c r="Q14" s="1324"/>
      <c r="R14" s="1324"/>
      <c r="S14" s="1324"/>
      <c r="T14" s="1325"/>
      <c r="U14" s="1015">
        <v>1.8</v>
      </c>
      <c r="V14" s="1015"/>
      <c r="W14" s="1015"/>
      <c r="X14" s="1015"/>
      <c r="Y14" s="1015">
        <v>2.6</v>
      </c>
      <c r="Z14" s="1016">
        <f>'09월 에너지'!S16</f>
        <v>145.9</v>
      </c>
      <c r="AA14" s="1017">
        <v>2390</v>
      </c>
      <c r="AB14" s="1208" t="s">
        <v>507</v>
      </c>
      <c r="AC14" s="1208" t="s">
        <v>531</v>
      </c>
      <c r="AD14" s="1208"/>
      <c r="AE14" s="1208"/>
      <c r="AF14" s="1208" t="s">
        <v>532</v>
      </c>
      <c r="AG14" s="1018">
        <f>'09월 화학성분'!AM14</f>
        <v>1560</v>
      </c>
      <c r="AH14" s="1006">
        <f t="shared" si="9"/>
        <v>11</v>
      </c>
      <c r="AI14" s="1019">
        <v>1555</v>
      </c>
      <c r="AJ14" s="1020">
        <v>0</v>
      </c>
      <c r="AK14" s="1021">
        <v>623</v>
      </c>
      <c r="AL14" s="1022">
        <v>6</v>
      </c>
      <c r="AM14" s="1155">
        <f>IF(AT14="","",3*'09월 에너지'!S16*(1/(3+7.8*(100-AT14)/AT14)))</f>
        <v>0.79244258224705155</v>
      </c>
      <c r="AN14" s="1023">
        <v>0.18611111111111112</v>
      </c>
      <c r="AO14" s="1024"/>
      <c r="AP14" s="1025"/>
      <c r="AQ14" s="1025"/>
      <c r="AR14" s="1149" t="str">
        <f t="shared" ref="AR14:AR76" si="20">IF(F14="A",IFERROR(IF(I14="","",IF(F14="A",AR13+1," ")),AR12+1),"")</f>
        <v/>
      </c>
      <c r="AS14" s="1093">
        <v>7</v>
      </c>
      <c r="AT14" s="1156">
        <v>1.4</v>
      </c>
      <c r="AU14" s="449"/>
      <c r="AV14" s="1205"/>
    </row>
    <row r="15" spans="1:48" ht="16.5" customHeight="1">
      <c r="A15" s="1005">
        <f t="shared" si="10"/>
        <v>46266</v>
      </c>
      <c r="B15" s="1005">
        <f t="shared" si="11"/>
        <v>46265</v>
      </c>
      <c r="C15" s="1150">
        <f t="shared" si="12"/>
        <v>4</v>
      </c>
      <c r="D15" s="1150">
        <f t="shared" si="13"/>
        <v>4</v>
      </c>
      <c r="E15" s="1006" t="str">
        <f t="shared" si="14"/>
        <v>D</v>
      </c>
      <c r="F15" s="1007" t="str">
        <f t="shared" si="15"/>
        <v>A</v>
      </c>
      <c r="G15" s="1008">
        <f t="shared" si="16"/>
        <v>85217</v>
      </c>
      <c r="H15" s="1138">
        <f t="shared" si="17"/>
        <v>0.26736111111111116</v>
      </c>
      <c r="I15" s="1009">
        <v>0.2673611111111111</v>
      </c>
      <c r="J15" s="1010">
        <f t="shared" si="18"/>
        <v>47.99999999999995</v>
      </c>
      <c r="K15" s="1011"/>
      <c r="L15" s="1012"/>
      <c r="M15" s="1013"/>
      <c r="N15" s="1014" t="str">
        <f t="shared" si="19"/>
        <v/>
      </c>
      <c r="O15" s="1323" t="s">
        <v>530</v>
      </c>
      <c r="P15" s="1324"/>
      <c r="Q15" s="1324"/>
      <c r="R15" s="1324"/>
      <c r="S15" s="1324"/>
      <c r="T15" s="1325"/>
      <c r="U15" s="1015">
        <v>1.8</v>
      </c>
      <c r="V15" s="1015">
        <v>2.5</v>
      </c>
      <c r="W15" s="1015">
        <v>1.4</v>
      </c>
      <c r="X15" s="1015"/>
      <c r="Y15" s="1015"/>
      <c r="Z15" s="1016">
        <f>'09월 에너지'!S17</f>
        <v>144.69999999999999</v>
      </c>
      <c r="AA15" s="1017">
        <v>1422</v>
      </c>
      <c r="AB15" s="1208" t="s">
        <v>507</v>
      </c>
      <c r="AC15" s="1208" t="s">
        <v>532</v>
      </c>
      <c r="AD15" s="1208"/>
      <c r="AE15" s="1208"/>
      <c r="AF15" s="1208" t="s">
        <v>532</v>
      </c>
      <c r="AG15" s="1018">
        <f>'09월 화학성분'!AM15</f>
        <v>2355</v>
      </c>
      <c r="AH15" s="1006">
        <f t="shared" si="9"/>
        <v>12</v>
      </c>
      <c r="AI15" s="1019">
        <v>1587</v>
      </c>
      <c r="AJ15" s="1020">
        <v>0</v>
      </c>
      <c r="AK15" s="1021">
        <v>336</v>
      </c>
      <c r="AL15" s="1022">
        <v>13</v>
      </c>
      <c r="AM15" s="1155">
        <f>IF(AT15="","",3*'09월 에너지'!S17*(1/(3+7.8*(100-AT15)/AT15)))</f>
        <v>0.33516059295861639</v>
      </c>
      <c r="AN15" s="1023">
        <v>0.17847222222222223</v>
      </c>
      <c r="AO15" s="1024"/>
      <c r="AP15" s="1025"/>
      <c r="AQ15" s="1025"/>
      <c r="AR15" s="1149">
        <f t="shared" si="20"/>
        <v>14</v>
      </c>
      <c r="AS15" s="1093" t="str">
        <f t="shared" ref="AS15:AS77" si="21">IFERROR(IF($I15="","",IF($F15="B",AS14+1," ")),AS13+1)</f>
        <v xml:space="preserve"> </v>
      </c>
      <c r="AT15" s="1156">
        <v>0.6</v>
      </c>
      <c r="AU15" s="449"/>
      <c r="AV15" s="1205"/>
    </row>
    <row r="16" spans="1:48" ht="16.5" customHeight="1">
      <c r="A16" s="1005">
        <f t="shared" si="10"/>
        <v>46266</v>
      </c>
      <c r="B16" s="1005">
        <v>46266</v>
      </c>
      <c r="C16" s="1150">
        <f t="shared" si="12"/>
        <v>5</v>
      </c>
      <c r="D16" s="1150">
        <f t="shared" si="13"/>
        <v>5</v>
      </c>
      <c r="E16" s="1006" t="s">
        <v>534</v>
      </c>
      <c r="F16" s="1007" t="str">
        <f t="shared" si="15"/>
        <v>B</v>
      </c>
      <c r="G16" s="1008">
        <f t="shared" si="16"/>
        <v>85218</v>
      </c>
      <c r="H16" s="1138">
        <f t="shared" si="17"/>
        <v>0.30069444444444443</v>
      </c>
      <c r="I16" s="1009">
        <v>0.29791666666666666</v>
      </c>
      <c r="J16" s="1010">
        <f t="shared" si="18"/>
        <v>44</v>
      </c>
      <c r="K16" s="1011"/>
      <c r="L16" s="1012"/>
      <c r="M16" s="1013"/>
      <c r="N16" s="1014" t="str">
        <f t="shared" si="19"/>
        <v/>
      </c>
      <c r="O16" s="1323"/>
      <c r="P16" s="1324"/>
      <c r="Q16" s="1324"/>
      <c r="R16" s="1324"/>
      <c r="S16" s="1324"/>
      <c r="T16" s="1325"/>
      <c r="U16" s="1015">
        <v>1.8</v>
      </c>
      <c r="V16" s="1015">
        <v>2.4</v>
      </c>
      <c r="W16" s="1015">
        <v>1.6</v>
      </c>
      <c r="X16" s="1015"/>
      <c r="Y16" s="1015"/>
      <c r="Z16" s="1016">
        <f>'09월 에너지'!S18</f>
        <v>148.1</v>
      </c>
      <c r="AA16" s="1017"/>
      <c r="AB16" s="1208"/>
      <c r="AC16" s="1208"/>
      <c r="AD16" s="1208"/>
      <c r="AE16" s="1208"/>
      <c r="AF16" s="1208"/>
      <c r="AG16" s="1018">
        <f>'09월 화학성분'!AM16</f>
        <v>2144</v>
      </c>
      <c r="AH16" s="1006">
        <f t="shared" si="9"/>
        <v>13</v>
      </c>
      <c r="AI16" s="1019">
        <v>1553</v>
      </c>
      <c r="AJ16" s="1020">
        <v>21</v>
      </c>
      <c r="AK16" s="1021">
        <v>358</v>
      </c>
      <c r="AL16" s="1022">
        <v>12</v>
      </c>
      <c r="AM16" s="1155">
        <f>IF(AT16="","",3*'09월 에너지'!S18*(1/(3+7.8*(100-AT16)/AT16)))</f>
        <v>0.40045580964153271</v>
      </c>
      <c r="AN16" s="1023">
        <v>0.20694444444444446</v>
      </c>
      <c r="AO16" s="1024"/>
      <c r="AP16" s="1025"/>
      <c r="AQ16" s="1025"/>
      <c r="AR16" s="1149" t="str">
        <f t="shared" si="20"/>
        <v/>
      </c>
      <c r="AS16" s="1093">
        <f t="shared" si="21"/>
        <v>8</v>
      </c>
      <c r="AT16" s="1156">
        <v>0.7</v>
      </c>
      <c r="AU16" s="449"/>
      <c r="AV16" s="1205"/>
    </row>
    <row r="17" spans="1:48" ht="16.5" customHeight="1">
      <c r="A17" s="1005">
        <f t="shared" si="10"/>
        <v>46266</v>
      </c>
      <c r="B17" s="1005">
        <f t="shared" si="11"/>
        <v>46266</v>
      </c>
      <c r="C17" s="1150">
        <f t="shared" si="12"/>
        <v>6</v>
      </c>
      <c r="D17" s="1150">
        <f t="shared" si="13"/>
        <v>6</v>
      </c>
      <c r="E17" s="1006" t="str">
        <f t="shared" si="14"/>
        <v>A</v>
      </c>
      <c r="F17" s="1007" t="str">
        <f t="shared" si="15"/>
        <v>A</v>
      </c>
      <c r="G17" s="1008">
        <f t="shared" si="16"/>
        <v>85219</v>
      </c>
      <c r="H17" s="1138">
        <f t="shared" si="17"/>
        <v>0.33124999999999999</v>
      </c>
      <c r="I17" s="1009">
        <v>0.3354166666666667</v>
      </c>
      <c r="J17" s="1010">
        <f t="shared" si="18"/>
        <v>54.00000000000005</v>
      </c>
      <c r="K17" s="1011"/>
      <c r="L17" s="1012">
        <v>4</v>
      </c>
      <c r="M17" s="1013"/>
      <c r="N17" s="1014" t="str">
        <f t="shared" si="19"/>
        <v/>
      </c>
      <c r="O17" s="1323" t="s">
        <v>536</v>
      </c>
      <c r="P17" s="1324"/>
      <c r="Q17" s="1324"/>
      <c r="R17" s="1324"/>
      <c r="S17" s="1324"/>
      <c r="T17" s="1325"/>
      <c r="U17" s="1015">
        <v>1.8</v>
      </c>
      <c r="V17" s="1015"/>
      <c r="W17" s="1015"/>
      <c r="X17" s="1015"/>
      <c r="Y17" s="1015">
        <v>2.9</v>
      </c>
      <c r="Z17" s="1016">
        <f>'09월 에너지'!S19</f>
        <v>143.19999999999999</v>
      </c>
      <c r="AA17" s="1017"/>
      <c r="AB17" s="1208"/>
      <c r="AC17" s="1208"/>
      <c r="AD17" s="1208"/>
      <c r="AE17" s="1208"/>
      <c r="AF17" s="1208"/>
      <c r="AG17" s="1018">
        <f>'09월 화학성분'!AM17</f>
        <v>2382</v>
      </c>
      <c r="AH17" s="1006">
        <f t="shared" si="9"/>
        <v>14</v>
      </c>
      <c r="AI17" s="1019">
        <v>1622</v>
      </c>
      <c r="AJ17" s="1020">
        <v>0</v>
      </c>
      <c r="AK17" s="1021">
        <v>1061</v>
      </c>
      <c r="AL17" s="1022">
        <v>3</v>
      </c>
      <c r="AM17" s="1155">
        <f>IF(AT17="","",3*'09월 에너지'!S19*(1/(3+7.8*(100-AT17)/AT17)))</f>
        <v>1.1152647975077881</v>
      </c>
      <c r="AN17" s="1023">
        <v>0.20069444444444443</v>
      </c>
      <c r="AO17" s="1024"/>
      <c r="AP17" s="1025"/>
      <c r="AQ17" s="1025"/>
      <c r="AR17" s="1149">
        <f t="shared" si="20"/>
        <v>15</v>
      </c>
      <c r="AS17" s="1093" t="str">
        <f t="shared" si="21"/>
        <v xml:space="preserve"> </v>
      </c>
      <c r="AT17" s="1156">
        <v>2</v>
      </c>
      <c r="AU17" s="449"/>
      <c r="AV17" s="1205"/>
    </row>
    <row r="18" spans="1:48" ht="16.5" customHeight="1">
      <c r="A18" s="1005">
        <f t="shared" si="10"/>
        <v>46266</v>
      </c>
      <c r="B18" s="1005">
        <f t="shared" si="11"/>
        <v>46266</v>
      </c>
      <c r="C18" s="1150">
        <f t="shared" si="12"/>
        <v>7</v>
      </c>
      <c r="D18" s="1150">
        <f t="shared" si="13"/>
        <v>7</v>
      </c>
      <c r="E18" s="1006" t="str">
        <f t="shared" si="14"/>
        <v>A</v>
      </c>
      <c r="F18" s="1007" t="str">
        <f t="shared" si="15"/>
        <v>B</v>
      </c>
      <c r="G18" s="1008">
        <f t="shared" si="16"/>
        <v>85220</v>
      </c>
      <c r="H18" s="1138">
        <f t="shared" si="17"/>
        <v>0.36875000000000002</v>
      </c>
      <c r="I18" s="1009">
        <v>0.37013888888888885</v>
      </c>
      <c r="J18" s="1010">
        <f t="shared" si="18"/>
        <v>49.999999999999901</v>
      </c>
      <c r="K18" s="1011"/>
      <c r="L18" s="1012">
        <v>3</v>
      </c>
      <c r="M18" s="1013"/>
      <c r="N18" s="1014" t="str">
        <f t="shared" si="19"/>
        <v/>
      </c>
      <c r="O18" s="1323" t="s">
        <v>539</v>
      </c>
      <c r="P18" s="1324"/>
      <c r="Q18" s="1324"/>
      <c r="R18" s="1324"/>
      <c r="S18" s="1324"/>
      <c r="T18" s="1325"/>
      <c r="U18" s="1015">
        <v>1.8</v>
      </c>
      <c r="V18" s="1015"/>
      <c r="W18" s="1015"/>
      <c r="X18" s="1015"/>
      <c r="Y18" s="1015">
        <v>2.5</v>
      </c>
      <c r="Z18" s="1016">
        <f>'09월 에너지'!S20</f>
        <v>148</v>
      </c>
      <c r="AA18" s="1017">
        <v>2461</v>
      </c>
      <c r="AB18" s="1208" t="s">
        <v>507</v>
      </c>
      <c r="AC18" s="1208" t="s">
        <v>531</v>
      </c>
      <c r="AD18" s="1208"/>
      <c r="AE18" s="1208"/>
      <c r="AF18" s="1208" t="s">
        <v>532</v>
      </c>
      <c r="AG18" s="1018">
        <f>'09월 화학성분'!AM18</f>
        <v>2282</v>
      </c>
      <c r="AH18" s="1006">
        <f t="shared" si="9"/>
        <v>15</v>
      </c>
      <c r="AI18" s="1019">
        <v>1546</v>
      </c>
      <c r="AJ18" s="1020">
        <v>0</v>
      </c>
      <c r="AK18" s="1021">
        <v>381</v>
      </c>
      <c r="AL18" s="1022">
        <v>11</v>
      </c>
      <c r="AM18" s="1155">
        <f>IF(AT18="","",3*'09월 에너지'!S20*(1/(3+7.8*(100-AT18)/AT18)))</f>
        <v>5.6958128078817734E-2</v>
      </c>
      <c r="AN18" s="1023">
        <v>0.19930555555555554</v>
      </c>
      <c r="AO18" s="1024"/>
      <c r="AP18" s="1025"/>
      <c r="AQ18" s="1025"/>
      <c r="AR18" s="1149" t="str">
        <f t="shared" si="20"/>
        <v/>
      </c>
      <c r="AS18" s="1093">
        <f t="shared" si="21"/>
        <v>9</v>
      </c>
      <c r="AT18" s="1156">
        <v>0.1</v>
      </c>
      <c r="AU18" s="449"/>
      <c r="AV18" s="1205"/>
    </row>
    <row r="19" spans="1:48" ht="16.5" customHeight="1">
      <c r="A19" s="1005">
        <f t="shared" si="10"/>
        <v>46266</v>
      </c>
      <c r="B19" s="1005">
        <f t="shared" si="11"/>
        <v>46266</v>
      </c>
      <c r="C19" s="1150">
        <f t="shared" si="12"/>
        <v>8</v>
      </c>
      <c r="D19" s="1150">
        <f t="shared" si="13"/>
        <v>8</v>
      </c>
      <c r="E19" s="1006" t="str">
        <f t="shared" si="14"/>
        <v>A</v>
      </c>
      <c r="F19" s="1007" t="str">
        <f t="shared" si="15"/>
        <v>A</v>
      </c>
      <c r="G19" s="1008">
        <f t="shared" si="16"/>
        <v>85221</v>
      </c>
      <c r="H19" s="1138">
        <f t="shared" si="17"/>
        <v>0.40347222222222218</v>
      </c>
      <c r="I19" s="1009">
        <v>0.40069444444444446</v>
      </c>
      <c r="J19" s="1010">
        <f t="shared" si="18"/>
        <v>44.000000000000085</v>
      </c>
      <c r="K19" s="1011"/>
      <c r="L19" s="1012"/>
      <c r="M19" s="1013"/>
      <c r="N19" s="1014" t="str">
        <f t="shared" si="19"/>
        <v/>
      </c>
      <c r="O19" s="1323" t="s">
        <v>537</v>
      </c>
      <c r="P19" s="1324"/>
      <c r="Q19" s="1324"/>
      <c r="R19" s="1324"/>
      <c r="S19" s="1324"/>
      <c r="T19" s="1325"/>
      <c r="U19" s="1015">
        <v>1.8</v>
      </c>
      <c r="V19" s="1015">
        <v>2.8</v>
      </c>
      <c r="W19" s="1015"/>
      <c r="X19" s="1015"/>
      <c r="Y19" s="1015"/>
      <c r="Z19" s="1016">
        <f>'09월 에너지'!S21</f>
        <v>147.69999999999999</v>
      </c>
      <c r="AA19" s="1017"/>
      <c r="AB19" s="1208"/>
      <c r="AC19" s="1208"/>
      <c r="AD19" s="1208"/>
      <c r="AE19" s="1208"/>
      <c r="AF19" s="1208"/>
      <c r="AG19" s="1018">
        <f>'09월 화학성분'!AM19</f>
        <v>1886</v>
      </c>
      <c r="AH19" s="1006">
        <f t="shared" si="9"/>
        <v>16</v>
      </c>
      <c r="AI19" s="1019">
        <v>1568</v>
      </c>
      <c r="AJ19" s="1020">
        <v>0</v>
      </c>
      <c r="AK19" s="1021">
        <v>419</v>
      </c>
      <c r="AL19" s="1022">
        <v>10</v>
      </c>
      <c r="AM19" s="1155">
        <f>IF(AT19="","",3*'09월 에너지'!S21*(1/(3+7.8*(100-AT19)/AT19)))</f>
        <v>0.39937422744128548</v>
      </c>
      <c r="AN19" s="1023">
        <v>0.20069444444444443</v>
      </c>
      <c r="AO19" s="1024" t="s">
        <v>538</v>
      </c>
      <c r="AP19" s="1025">
        <v>2000032</v>
      </c>
      <c r="AQ19" s="1025">
        <v>2136</v>
      </c>
      <c r="AR19" s="1149">
        <v>1</v>
      </c>
      <c r="AS19" s="1093" t="str">
        <f t="shared" si="21"/>
        <v xml:space="preserve"> </v>
      </c>
      <c r="AT19" s="1156">
        <v>0.7</v>
      </c>
      <c r="AU19" s="449"/>
      <c r="AV19" s="1205"/>
    </row>
    <row r="20" spans="1:48" ht="16.5" customHeight="1">
      <c r="A20" s="1005">
        <f t="shared" si="10"/>
        <v>46266</v>
      </c>
      <c r="B20" s="1005">
        <f t="shared" si="11"/>
        <v>46266</v>
      </c>
      <c r="C20" s="1150">
        <f t="shared" si="12"/>
        <v>9</v>
      </c>
      <c r="D20" s="1150">
        <f t="shared" si="13"/>
        <v>9</v>
      </c>
      <c r="E20" s="1006" t="str">
        <f t="shared" si="14"/>
        <v>A</v>
      </c>
      <c r="F20" s="1007" t="str">
        <f t="shared" si="15"/>
        <v>B</v>
      </c>
      <c r="G20" s="1008">
        <f t="shared" si="16"/>
        <v>85222</v>
      </c>
      <c r="H20" s="1138">
        <f t="shared" si="17"/>
        <v>0.43402777777777779</v>
      </c>
      <c r="I20" s="1009">
        <v>0.43472222222222223</v>
      </c>
      <c r="J20" s="1010">
        <f t="shared" si="18"/>
        <v>48.999999999999986</v>
      </c>
      <c r="K20" s="1011"/>
      <c r="L20" s="1012">
        <v>4</v>
      </c>
      <c r="M20" s="1013"/>
      <c r="N20" s="1014" t="str">
        <f t="shared" si="19"/>
        <v/>
      </c>
      <c r="O20" s="1323" t="s">
        <v>540</v>
      </c>
      <c r="P20" s="1324"/>
      <c r="Q20" s="1324"/>
      <c r="R20" s="1324"/>
      <c r="S20" s="1324"/>
      <c r="T20" s="1325"/>
      <c r="U20" s="1015">
        <v>1.8</v>
      </c>
      <c r="V20" s="1015"/>
      <c r="W20" s="1015"/>
      <c r="X20" s="1015">
        <v>3.2</v>
      </c>
      <c r="Y20" s="1015"/>
      <c r="Z20" s="1016">
        <f>'09월 에너지'!S22</f>
        <v>147.30000000000001</v>
      </c>
      <c r="AA20" s="1017"/>
      <c r="AB20" s="1208"/>
      <c r="AC20" s="1208"/>
      <c r="AD20" s="1208"/>
      <c r="AE20" s="1208"/>
      <c r="AF20" s="1208"/>
      <c r="AG20" s="1018">
        <f>'09월 화학성분'!AM20</f>
        <v>1482</v>
      </c>
      <c r="AH20" s="1006">
        <f t="shared" si="9"/>
        <v>17</v>
      </c>
      <c r="AI20" s="1019">
        <v>1553</v>
      </c>
      <c r="AJ20" s="1020">
        <v>0</v>
      </c>
      <c r="AK20" s="1021">
        <v>273</v>
      </c>
      <c r="AL20" s="1022">
        <v>17</v>
      </c>
      <c r="AM20" s="1155">
        <f>IF(AT20="","",3*'09월 에너지'!S22*(1/(3+7.8*(100-AT20)/AT20)))</f>
        <v>1.9673947203016973</v>
      </c>
      <c r="AN20" s="1023">
        <v>0.18402777777777779</v>
      </c>
      <c r="AO20" s="1024"/>
      <c r="AP20" s="1025"/>
      <c r="AQ20" s="1025"/>
      <c r="AR20" s="1149" t="str">
        <f t="shared" si="20"/>
        <v/>
      </c>
      <c r="AS20" s="1093">
        <f t="shared" si="21"/>
        <v>10</v>
      </c>
      <c r="AT20" s="1156">
        <v>3.4</v>
      </c>
      <c r="AU20" s="449"/>
      <c r="AV20" s="1205"/>
    </row>
    <row r="21" spans="1:48" ht="16.5" customHeight="1">
      <c r="A21" s="1005">
        <f t="shared" si="10"/>
        <v>46266</v>
      </c>
      <c r="B21" s="1005">
        <f t="shared" si="11"/>
        <v>46266</v>
      </c>
      <c r="C21" s="1150">
        <f t="shared" si="12"/>
        <v>10</v>
      </c>
      <c r="D21" s="1150">
        <f t="shared" si="13"/>
        <v>10</v>
      </c>
      <c r="E21" s="1006" t="str">
        <f t="shared" si="14"/>
        <v>A</v>
      </c>
      <c r="F21" s="1007" t="str">
        <f t="shared" si="15"/>
        <v>A</v>
      </c>
      <c r="G21" s="1008">
        <f t="shared" si="16"/>
        <v>85223</v>
      </c>
      <c r="H21" s="1138">
        <f t="shared" si="17"/>
        <v>0.46805555555555556</v>
      </c>
      <c r="I21" s="1009">
        <v>0.46458333333333335</v>
      </c>
      <c r="J21" s="1010">
        <f t="shared" si="18"/>
        <v>43.000000000000007</v>
      </c>
      <c r="K21" s="1011"/>
      <c r="L21" s="1012"/>
      <c r="M21" s="1013"/>
      <c r="N21" s="1014" t="str">
        <f t="shared" si="19"/>
        <v/>
      </c>
      <c r="O21" s="1338"/>
      <c r="P21" s="1339"/>
      <c r="Q21" s="1339"/>
      <c r="R21" s="1339"/>
      <c r="S21" s="1339"/>
      <c r="T21" s="1340"/>
      <c r="U21" s="1015">
        <v>1.8</v>
      </c>
      <c r="V21" s="1015"/>
      <c r="W21" s="1015"/>
      <c r="X21" s="1015"/>
      <c r="Y21" s="1015">
        <v>2.6</v>
      </c>
      <c r="Z21" s="1016">
        <f>'09월 에너지'!S23</f>
        <v>149.4</v>
      </c>
      <c r="AA21" s="1017"/>
      <c r="AB21" s="1208"/>
      <c r="AC21" s="1208"/>
      <c r="AD21" s="1208"/>
      <c r="AE21" s="1208"/>
      <c r="AF21" s="1208"/>
      <c r="AG21" s="1018">
        <f>'09월 화학성분'!AM21</f>
        <v>1717</v>
      </c>
      <c r="AH21" s="1006">
        <f t="shared" si="9"/>
        <v>18</v>
      </c>
      <c r="AI21" s="1019">
        <v>1612</v>
      </c>
      <c r="AJ21" s="1020">
        <v>0</v>
      </c>
      <c r="AK21" s="1021">
        <v>609</v>
      </c>
      <c r="AL21" s="1022">
        <v>7</v>
      </c>
      <c r="AM21" s="1155">
        <f>IF(AT21="","",3*'09월 에너지'!S23*(1/(3+7.8*(100-AT21)/AT21)))</f>
        <v>0.52003403465346543</v>
      </c>
      <c r="AN21" s="1023">
        <v>0.21111111111111111</v>
      </c>
      <c r="AO21" s="1024"/>
      <c r="AP21" s="1025"/>
      <c r="AQ21" s="1025"/>
      <c r="AR21" s="1149">
        <f t="shared" si="20"/>
        <v>2</v>
      </c>
      <c r="AS21" s="1093" t="str">
        <f t="shared" si="21"/>
        <v xml:space="preserve"> </v>
      </c>
      <c r="AT21" s="1156">
        <v>0.9</v>
      </c>
      <c r="AU21" s="449"/>
      <c r="AV21" s="1205"/>
    </row>
    <row r="22" spans="1:48" ht="16.5" customHeight="1">
      <c r="A22" s="1005">
        <f t="shared" si="10"/>
        <v>46266</v>
      </c>
      <c r="B22" s="1005">
        <f t="shared" si="11"/>
        <v>46266</v>
      </c>
      <c r="C22" s="1150">
        <f t="shared" si="12"/>
        <v>11</v>
      </c>
      <c r="D22" s="1150">
        <f t="shared" si="13"/>
        <v>11</v>
      </c>
      <c r="E22" s="1006" t="str">
        <f t="shared" si="14"/>
        <v>A</v>
      </c>
      <c r="F22" s="1007" t="str">
        <f t="shared" si="15"/>
        <v>B</v>
      </c>
      <c r="G22" s="1008">
        <f t="shared" si="16"/>
        <v>85224</v>
      </c>
      <c r="H22" s="1138">
        <f t="shared" si="17"/>
        <v>0.49791666666666667</v>
      </c>
      <c r="I22" s="1009">
        <v>0.49791666666666662</v>
      </c>
      <c r="J22" s="1010">
        <f t="shared" si="18"/>
        <v>47.999999999999908</v>
      </c>
      <c r="K22" s="1011"/>
      <c r="L22" s="1012"/>
      <c r="M22" s="1013"/>
      <c r="N22" s="1014" t="str">
        <f t="shared" si="19"/>
        <v/>
      </c>
      <c r="O22" s="1338" t="s">
        <v>544</v>
      </c>
      <c r="P22" s="1339"/>
      <c r="Q22" s="1339"/>
      <c r="R22" s="1339"/>
      <c r="S22" s="1339"/>
      <c r="T22" s="1340"/>
      <c r="U22" s="1015">
        <v>1.8</v>
      </c>
      <c r="V22" s="1015"/>
      <c r="W22" s="1015"/>
      <c r="X22" s="1015"/>
      <c r="Y22" s="1015">
        <v>2.8</v>
      </c>
      <c r="Z22" s="1016">
        <f>'09월 에너지'!S24</f>
        <v>147.30000000000001</v>
      </c>
      <c r="AA22" s="1017"/>
      <c r="AB22" s="1208"/>
      <c r="AC22" s="1208"/>
      <c r="AD22" s="1208"/>
      <c r="AE22" s="1208"/>
      <c r="AF22" s="1208"/>
      <c r="AG22" s="1018">
        <f>'09월 화학성분'!AM22</f>
        <v>2026</v>
      </c>
      <c r="AH22" s="1006">
        <f t="shared" si="9"/>
        <v>19</v>
      </c>
      <c r="AI22" s="1019">
        <v>1568</v>
      </c>
      <c r="AJ22" s="1020">
        <v>103</v>
      </c>
      <c r="AK22" s="1021">
        <v>436</v>
      </c>
      <c r="AL22" s="1022">
        <v>9</v>
      </c>
      <c r="AM22" s="1155">
        <f>IF(AT22="","",3*'09월 에너지'!S24*(1/(3+7.8*(100-AT22)/AT22)))</f>
        <v>1.9673947203016973</v>
      </c>
      <c r="AN22" s="1023">
        <v>0.20555555555555557</v>
      </c>
      <c r="AO22" s="1024"/>
      <c r="AP22" s="1025"/>
      <c r="AQ22" s="1025"/>
      <c r="AR22" s="1149" t="str">
        <f t="shared" si="20"/>
        <v/>
      </c>
      <c r="AS22" s="1093">
        <f t="shared" si="21"/>
        <v>11</v>
      </c>
      <c r="AT22" s="1156">
        <v>3.4</v>
      </c>
      <c r="AU22" s="449"/>
      <c r="AV22" s="1205"/>
    </row>
    <row r="23" spans="1:48" ht="16.5" customHeight="1">
      <c r="A23" s="1005">
        <f t="shared" si="10"/>
        <v>46266</v>
      </c>
      <c r="B23" s="1005">
        <f t="shared" si="11"/>
        <v>46266</v>
      </c>
      <c r="C23" s="1150">
        <f t="shared" si="12"/>
        <v>12</v>
      </c>
      <c r="D23" s="1150">
        <f t="shared" si="13"/>
        <v>12</v>
      </c>
      <c r="E23" s="1006" t="str">
        <f t="shared" si="14"/>
        <v>A</v>
      </c>
      <c r="F23" s="1007" t="str">
        <f t="shared" si="15"/>
        <v>A</v>
      </c>
      <c r="G23" s="1008">
        <f t="shared" si="16"/>
        <v>85225</v>
      </c>
      <c r="H23" s="1138">
        <f t="shared" si="17"/>
        <v>0.53125</v>
      </c>
      <c r="I23" s="1009">
        <v>0.52847222222222223</v>
      </c>
      <c r="J23" s="1010">
        <f t="shared" si="18"/>
        <v>44.000000000000085</v>
      </c>
      <c r="K23" s="1011"/>
      <c r="L23" s="1012">
        <v>3</v>
      </c>
      <c r="M23" s="1013"/>
      <c r="N23" s="1014" t="str">
        <f t="shared" si="19"/>
        <v/>
      </c>
      <c r="O23" s="1335" t="s">
        <v>543</v>
      </c>
      <c r="P23" s="1336"/>
      <c r="Q23" s="1336"/>
      <c r="R23" s="1336"/>
      <c r="S23" s="1336"/>
      <c r="T23" s="1337"/>
      <c r="U23" s="1015">
        <v>1.8</v>
      </c>
      <c r="V23" s="1015"/>
      <c r="W23" s="1015"/>
      <c r="X23" s="1015"/>
      <c r="Y23" s="1015">
        <v>2.8</v>
      </c>
      <c r="Z23" s="1016">
        <f>'09월 에너지'!S25</f>
        <v>149.9</v>
      </c>
      <c r="AA23" s="1017"/>
      <c r="AB23" s="1208"/>
      <c r="AC23" s="1208"/>
      <c r="AD23" s="1208"/>
      <c r="AE23" s="1208"/>
      <c r="AF23" s="1208"/>
      <c r="AG23" s="1018">
        <f>'09월 화학성분'!AM23</f>
        <v>1568</v>
      </c>
      <c r="AH23" s="1006">
        <f t="shared" si="9"/>
        <v>20</v>
      </c>
      <c r="AI23" s="1019">
        <v>1538</v>
      </c>
      <c r="AJ23" s="1020">
        <v>0</v>
      </c>
      <c r="AK23" s="1021">
        <v>474</v>
      </c>
      <c r="AL23" s="1022">
        <v>9</v>
      </c>
      <c r="AM23" s="1155">
        <f>IF(AT23="","",3*'09월 에너지'!S25*(1/(3+7.8*(100-AT23)/AT23)))</f>
        <v>0.58010835913312708</v>
      </c>
      <c r="AN23" s="1023">
        <v>0.19097222222222221</v>
      </c>
      <c r="AO23" s="1024"/>
      <c r="AP23" s="1025"/>
      <c r="AQ23" s="1025"/>
      <c r="AR23" s="1149">
        <f t="shared" si="20"/>
        <v>3</v>
      </c>
      <c r="AS23" s="1093" t="str">
        <f t="shared" si="21"/>
        <v xml:space="preserve"> </v>
      </c>
      <c r="AT23" s="1156">
        <v>1</v>
      </c>
      <c r="AU23" s="449"/>
      <c r="AV23" s="1205"/>
    </row>
    <row r="24" spans="1:48" ht="16.5" customHeight="1">
      <c r="A24" s="1005">
        <f t="shared" si="10"/>
        <v>46266</v>
      </c>
      <c r="B24" s="1005">
        <f t="shared" si="11"/>
        <v>46266</v>
      </c>
      <c r="C24" s="1150">
        <f t="shared" si="12"/>
        <v>13</v>
      </c>
      <c r="D24" s="1150">
        <f t="shared" si="13"/>
        <v>13</v>
      </c>
      <c r="E24" s="1006" t="str">
        <f t="shared" si="14"/>
        <v>A</v>
      </c>
      <c r="F24" s="1007" t="str">
        <f t="shared" si="15"/>
        <v>B</v>
      </c>
      <c r="G24" s="1008">
        <f t="shared" si="16"/>
        <v>85226</v>
      </c>
      <c r="H24" s="1138">
        <f t="shared" si="17"/>
        <v>0.56180555555555556</v>
      </c>
      <c r="I24" s="1009">
        <v>0.55833333333333335</v>
      </c>
      <c r="J24" s="1010">
        <f t="shared" si="18"/>
        <v>43.000000000000007</v>
      </c>
      <c r="K24" s="1011"/>
      <c r="L24" s="1012"/>
      <c r="M24" s="1013"/>
      <c r="N24" s="1014" t="str">
        <f t="shared" si="19"/>
        <v/>
      </c>
      <c r="O24" s="1323"/>
      <c r="P24" s="1324"/>
      <c r="Q24" s="1324"/>
      <c r="R24" s="1324"/>
      <c r="S24" s="1324"/>
      <c r="T24" s="1325"/>
      <c r="U24" s="1015">
        <v>1.8</v>
      </c>
      <c r="V24" s="1015"/>
      <c r="W24" s="1015"/>
      <c r="X24" s="1015"/>
      <c r="Y24" s="1015">
        <v>3</v>
      </c>
      <c r="Z24" s="1016">
        <f>'09월 에너지'!S26</f>
        <v>145.4</v>
      </c>
      <c r="AA24" s="1017"/>
      <c r="AB24" s="1208"/>
      <c r="AC24" s="1208"/>
      <c r="AD24" s="1208"/>
      <c r="AE24" s="1208"/>
      <c r="AF24" s="1208"/>
      <c r="AG24" s="1018">
        <f>'09월 화학성분'!AM24</f>
        <v>1861</v>
      </c>
      <c r="AH24" s="1006">
        <f t="shared" si="9"/>
        <v>21</v>
      </c>
      <c r="AI24" s="1019">
        <v>1549</v>
      </c>
      <c r="AJ24" s="1020">
        <v>58</v>
      </c>
      <c r="AK24" s="1021">
        <v>341</v>
      </c>
      <c r="AL24" s="1022">
        <v>13</v>
      </c>
      <c r="AM24" s="1155">
        <f>IF(AT24="","",3*'09월 에너지'!S26*(1/(3+7.8*(100-AT24)/AT24)))</f>
        <v>2.0588420390182507</v>
      </c>
      <c r="AN24" s="1023">
        <v>0.18055555555555555</v>
      </c>
      <c r="AO24" s="1024"/>
      <c r="AP24" s="1025"/>
      <c r="AQ24" s="1025"/>
      <c r="AR24" s="1149" t="str">
        <f t="shared" si="20"/>
        <v/>
      </c>
      <c r="AS24" s="1093">
        <f t="shared" si="21"/>
        <v>12</v>
      </c>
      <c r="AT24" s="1156">
        <v>3.6</v>
      </c>
      <c r="AU24" s="449"/>
      <c r="AV24" s="1205"/>
    </row>
    <row r="25" spans="1:48" ht="16.5" customHeight="1">
      <c r="A25" s="1005">
        <f t="shared" si="10"/>
        <v>46266</v>
      </c>
      <c r="B25" s="1005">
        <f t="shared" si="11"/>
        <v>46266</v>
      </c>
      <c r="C25" s="1150">
        <f t="shared" si="12"/>
        <v>14</v>
      </c>
      <c r="D25" s="1150">
        <f t="shared" si="13"/>
        <v>14</v>
      </c>
      <c r="E25" s="1006" t="str">
        <f t="shared" si="14"/>
        <v>A</v>
      </c>
      <c r="F25" s="1007" t="str">
        <f t="shared" si="15"/>
        <v>A</v>
      </c>
      <c r="G25" s="1008">
        <f t="shared" si="16"/>
        <v>85227</v>
      </c>
      <c r="H25" s="1138">
        <f t="shared" si="17"/>
        <v>0.59166666666666667</v>
      </c>
      <c r="I25" s="1009">
        <v>0.58888888888888891</v>
      </c>
      <c r="J25" s="1010">
        <f t="shared" si="18"/>
        <v>44</v>
      </c>
      <c r="K25" s="1011"/>
      <c r="L25" s="1012"/>
      <c r="M25" s="1013"/>
      <c r="N25" s="1014" t="str">
        <f t="shared" si="19"/>
        <v/>
      </c>
      <c r="O25" s="1323"/>
      <c r="P25" s="1324"/>
      <c r="Q25" s="1324"/>
      <c r="R25" s="1324"/>
      <c r="S25" s="1324"/>
      <c r="T25" s="1325"/>
      <c r="U25" s="1015">
        <v>1.8</v>
      </c>
      <c r="V25" s="1015">
        <v>2.6</v>
      </c>
      <c r="W25" s="1015">
        <v>1.5</v>
      </c>
      <c r="X25" s="1015"/>
      <c r="Y25" s="1015"/>
      <c r="Z25" s="1016">
        <f>'09월 에너지'!S27</f>
        <v>143.69999999999999</v>
      </c>
      <c r="AA25" s="1017">
        <v>2467</v>
      </c>
      <c r="AB25" s="1208" t="s">
        <v>507</v>
      </c>
      <c r="AC25" s="1208" t="s">
        <v>531</v>
      </c>
      <c r="AD25" s="1208"/>
      <c r="AE25" s="1208"/>
      <c r="AF25" s="1208" t="s">
        <v>532</v>
      </c>
      <c r="AG25" s="1018">
        <f>'09월 화학성분'!AM25</f>
        <v>1409</v>
      </c>
      <c r="AH25" s="1006">
        <f t="shared" si="9"/>
        <v>22</v>
      </c>
      <c r="AI25" s="1019">
        <v>1557</v>
      </c>
      <c r="AJ25" s="1020">
        <v>153</v>
      </c>
      <c r="AK25" s="1021">
        <v>543</v>
      </c>
      <c r="AL25" s="1022">
        <v>7</v>
      </c>
      <c r="AM25" s="1155">
        <f>IF(AT25="","",3*'09월 에너지'!S27*(1/(3+7.8*(100-AT25)/AT25)))</f>
        <v>1.4033203125</v>
      </c>
      <c r="AN25" s="1023">
        <v>0.20972222222222223</v>
      </c>
      <c r="AO25" s="1024"/>
      <c r="AP25" s="1025"/>
      <c r="AQ25" s="1025"/>
      <c r="AR25" s="1149">
        <f t="shared" si="20"/>
        <v>4</v>
      </c>
      <c r="AS25" s="1093" t="str">
        <f t="shared" si="21"/>
        <v xml:space="preserve"> </v>
      </c>
      <c r="AT25" s="1156">
        <v>2.5</v>
      </c>
      <c r="AU25" s="449"/>
      <c r="AV25" s="1205"/>
    </row>
    <row r="26" spans="1:48" ht="16.5" customHeight="1">
      <c r="A26" s="1005">
        <f t="shared" si="10"/>
        <v>46266</v>
      </c>
      <c r="B26" s="1005">
        <f t="shared" si="11"/>
        <v>46266</v>
      </c>
      <c r="C26" s="1150">
        <f t="shared" si="12"/>
        <v>15</v>
      </c>
      <c r="D26" s="1150">
        <f t="shared" si="13"/>
        <v>15</v>
      </c>
      <c r="E26" s="1006" t="s">
        <v>546</v>
      </c>
      <c r="F26" s="1007" t="str">
        <f t="shared" si="15"/>
        <v>B</v>
      </c>
      <c r="G26" s="1008">
        <f t="shared" si="16"/>
        <v>85228</v>
      </c>
      <c r="H26" s="1138">
        <f t="shared" si="17"/>
        <v>0.62222222222222223</v>
      </c>
      <c r="I26" s="1009">
        <v>0.625</v>
      </c>
      <c r="J26" s="1010">
        <f t="shared" si="18"/>
        <v>51.999999999999972</v>
      </c>
      <c r="K26" s="1011"/>
      <c r="L26" s="1012"/>
      <c r="M26" s="1013"/>
      <c r="N26" s="1014" t="str">
        <f t="shared" si="19"/>
        <v/>
      </c>
      <c r="O26" s="1323" t="s">
        <v>545</v>
      </c>
      <c r="P26" s="1324"/>
      <c r="Q26" s="1324"/>
      <c r="R26" s="1324"/>
      <c r="S26" s="1324"/>
      <c r="T26" s="1325"/>
      <c r="U26" s="1015">
        <v>1.8</v>
      </c>
      <c r="V26" s="1015">
        <v>2.8</v>
      </c>
      <c r="W26" s="1015">
        <v>1.5</v>
      </c>
      <c r="X26" s="1015"/>
      <c r="Y26" s="1015"/>
      <c r="Z26" s="1016">
        <f>'09월 에너지'!S28</f>
        <v>143.69999999999999</v>
      </c>
      <c r="AA26" s="1017"/>
      <c r="AB26" s="1208"/>
      <c r="AC26" s="1208"/>
      <c r="AD26" s="1208"/>
      <c r="AE26" s="1208"/>
      <c r="AF26" s="1208"/>
      <c r="AG26" s="1018">
        <f>'09월 화학성분'!AM26</f>
        <v>3171</v>
      </c>
      <c r="AH26" s="1006">
        <f t="shared" si="9"/>
        <v>23</v>
      </c>
      <c r="AI26" s="1019">
        <v>1579</v>
      </c>
      <c r="AJ26" s="1020">
        <v>111</v>
      </c>
      <c r="AK26" s="1021">
        <v>557</v>
      </c>
      <c r="AL26" s="1022">
        <v>7</v>
      </c>
      <c r="AM26" s="1155">
        <f>IF(AT26="","",3*'09월 에너지'!S28*(1/(3+7.8*(100-AT26)/AT26)))</f>
        <v>1.5746712586098932</v>
      </c>
      <c r="AN26" s="1023">
        <v>0.16666666666666666</v>
      </c>
      <c r="AO26" s="1024"/>
      <c r="AP26" s="1025"/>
      <c r="AQ26" s="1025"/>
      <c r="AR26" s="1149" t="str">
        <f t="shared" si="20"/>
        <v/>
      </c>
      <c r="AS26" s="1093">
        <f t="shared" si="21"/>
        <v>13</v>
      </c>
      <c r="AT26" s="1156">
        <v>2.8</v>
      </c>
      <c r="AU26" s="449"/>
      <c r="AV26" s="1205"/>
    </row>
    <row r="27" spans="1:48" ht="16.5" customHeight="1">
      <c r="A27" s="1005">
        <f t="shared" si="10"/>
        <v>46266</v>
      </c>
      <c r="B27" s="1005">
        <f t="shared" si="11"/>
        <v>46266</v>
      </c>
      <c r="C27" s="1150">
        <f t="shared" si="12"/>
        <v>16</v>
      </c>
      <c r="D27" s="1150">
        <f t="shared" si="13"/>
        <v>16</v>
      </c>
      <c r="E27" s="1006" t="str">
        <f t="shared" si="14"/>
        <v>C</v>
      </c>
      <c r="F27" s="1007" t="str">
        <f t="shared" si="15"/>
        <v>A</v>
      </c>
      <c r="G27" s="1008">
        <f t="shared" si="16"/>
        <v>85229</v>
      </c>
      <c r="H27" s="1138">
        <f t="shared" si="17"/>
        <v>0.65833333333333333</v>
      </c>
      <c r="I27" s="1009">
        <v>0.65972222222222221</v>
      </c>
      <c r="J27" s="1010">
        <f t="shared" si="18"/>
        <v>49.999999999999986</v>
      </c>
      <c r="K27" s="1011">
        <v>1</v>
      </c>
      <c r="L27" s="1012"/>
      <c r="M27" s="1013">
        <v>0.64722222222222225</v>
      </c>
      <c r="N27" s="1014">
        <f t="shared" si="19"/>
        <v>0.6479166666666667</v>
      </c>
      <c r="O27" s="1323" t="s">
        <v>557</v>
      </c>
      <c r="P27" s="1324"/>
      <c r="Q27" s="1324"/>
      <c r="R27" s="1324"/>
      <c r="S27" s="1324"/>
      <c r="T27" s="1325"/>
      <c r="U27" s="1015">
        <v>1.8</v>
      </c>
      <c r="V27" s="1015"/>
      <c r="W27" s="1015"/>
      <c r="X27" s="1015"/>
      <c r="Y27" s="1015">
        <v>2.5</v>
      </c>
      <c r="Z27" s="1016">
        <f>'09월 에너지'!S29</f>
        <v>143.9</v>
      </c>
      <c r="AA27" s="1017"/>
      <c r="AB27" s="1208"/>
      <c r="AC27" s="1208"/>
      <c r="AD27" s="1208"/>
      <c r="AE27" s="1208"/>
      <c r="AF27" s="1208"/>
      <c r="AG27" s="1018">
        <f>'09월 화학성분'!AM27</f>
        <v>1998</v>
      </c>
      <c r="AH27" s="1006">
        <f t="shared" si="9"/>
        <v>24</v>
      </c>
      <c r="AI27" s="1019">
        <v>1598</v>
      </c>
      <c r="AJ27" s="1020">
        <v>133</v>
      </c>
      <c r="AK27" s="1021">
        <v>862</v>
      </c>
      <c r="AL27" s="1022">
        <v>4</v>
      </c>
      <c r="AM27" s="1155">
        <f>IF(AT27="","",3*'09월 에너지'!S29*(1/(3+7.8*(100-AT27)/AT27)))</f>
        <v>1.5195948060075097</v>
      </c>
      <c r="AN27" s="1023">
        <v>0.23611111111111113</v>
      </c>
      <c r="AO27" s="1024"/>
      <c r="AP27" s="1025"/>
      <c r="AQ27" s="1025"/>
      <c r="AR27" s="1149">
        <f t="shared" si="20"/>
        <v>5</v>
      </c>
      <c r="AS27" s="1093" t="str">
        <f t="shared" si="21"/>
        <v xml:space="preserve"> </v>
      </c>
      <c r="AT27" s="1156">
        <v>2.7</v>
      </c>
      <c r="AU27" s="449"/>
      <c r="AV27" s="1205"/>
    </row>
    <row r="28" spans="1:48" ht="16.5" customHeight="1">
      <c r="A28" s="1005">
        <f t="shared" si="10"/>
        <v>46266</v>
      </c>
      <c r="B28" s="1005">
        <f t="shared" si="11"/>
        <v>46266</v>
      </c>
      <c r="C28" s="1150">
        <f t="shared" si="12"/>
        <v>17</v>
      </c>
      <c r="D28" s="1150">
        <f t="shared" si="13"/>
        <v>17</v>
      </c>
      <c r="E28" s="1006" t="str">
        <f t="shared" si="14"/>
        <v>C</v>
      </c>
      <c r="F28" s="1007" t="str">
        <f t="shared" si="15"/>
        <v>B</v>
      </c>
      <c r="G28" s="1008">
        <f t="shared" si="16"/>
        <v>85230</v>
      </c>
      <c r="H28" s="1138">
        <f t="shared" si="17"/>
        <v>0.69305555555555554</v>
      </c>
      <c r="I28" s="1009">
        <v>0.69652777777777775</v>
      </c>
      <c r="J28" s="1010">
        <f t="shared" si="18"/>
        <v>52.999999999999972</v>
      </c>
      <c r="K28" s="1011"/>
      <c r="L28" s="1012">
        <v>2</v>
      </c>
      <c r="M28" s="1013"/>
      <c r="N28" s="1014" t="str">
        <f t="shared" si="19"/>
        <v/>
      </c>
      <c r="O28" s="1323" t="s">
        <v>550</v>
      </c>
      <c r="P28" s="1324"/>
      <c r="Q28" s="1324"/>
      <c r="R28" s="1324"/>
      <c r="S28" s="1324"/>
      <c r="T28" s="1325"/>
      <c r="U28" s="1015">
        <v>1.8</v>
      </c>
      <c r="V28" s="1015"/>
      <c r="W28" s="1015"/>
      <c r="X28" s="1015"/>
      <c r="Y28" s="1015">
        <v>2.6</v>
      </c>
      <c r="Z28" s="1016">
        <f>'09월 에너지'!S30</f>
        <v>142.69999999999999</v>
      </c>
      <c r="AA28" s="1017">
        <v>2519</v>
      </c>
      <c r="AB28" s="1208" t="s">
        <v>547</v>
      </c>
      <c r="AC28" s="1208" t="s">
        <v>548</v>
      </c>
      <c r="AD28" s="1208"/>
      <c r="AE28" s="1208"/>
      <c r="AF28" s="1208" t="s">
        <v>532</v>
      </c>
      <c r="AG28" s="1018">
        <f>'09월 화학성분'!AM28</f>
        <v>1766</v>
      </c>
      <c r="AH28" s="1006">
        <f t="shared" si="9"/>
        <v>25</v>
      </c>
      <c r="AI28" s="1019">
        <v>1572</v>
      </c>
      <c r="AJ28" s="1020">
        <v>0</v>
      </c>
      <c r="AK28" s="1021">
        <v>587</v>
      </c>
      <c r="AL28" s="1022">
        <v>7</v>
      </c>
      <c r="AM28" s="1155">
        <f>IF(AT28="","",3*'09월 에너지'!S30*(1/(3+7.8*(100-AT28)/AT28)))</f>
        <v>0.44124922696351265</v>
      </c>
      <c r="AN28" s="1023">
        <v>0.1673611111111111</v>
      </c>
      <c r="AO28" s="1024"/>
      <c r="AP28" s="1025"/>
      <c r="AQ28" s="1025"/>
      <c r="AR28" s="1149" t="str">
        <f t="shared" si="20"/>
        <v/>
      </c>
      <c r="AS28" s="1093">
        <f t="shared" si="21"/>
        <v>14</v>
      </c>
      <c r="AT28" s="1156">
        <v>0.8</v>
      </c>
      <c r="AU28" s="449"/>
      <c r="AV28" s="1205"/>
    </row>
    <row r="29" spans="1:48" ht="16.5" customHeight="1">
      <c r="A29" s="1005">
        <f t="shared" si="10"/>
        <v>46266</v>
      </c>
      <c r="B29" s="1005">
        <f t="shared" si="11"/>
        <v>46266</v>
      </c>
      <c r="C29" s="1150">
        <f t="shared" si="12"/>
        <v>18</v>
      </c>
      <c r="D29" s="1150">
        <f t="shared" si="13"/>
        <v>18</v>
      </c>
      <c r="E29" s="1006" t="str">
        <f t="shared" si="14"/>
        <v>C</v>
      </c>
      <c r="F29" s="1007" t="str">
        <f t="shared" si="15"/>
        <v>A</v>
      </c>
      <c r="G29" s="1008">
        <f t="shared" si="16"/>
        <v>85231</v>
      </c>
      <c r="H29" s="1138">
        <f t="shared" si="17"/>
        <v>0.72986111111111107</v>
      </c>
      <c r="I29" s="1009">
        <v>0.72916666666666663</v>
      </c>
      <c r="J29" s="1010">
        <f t="shared" si="18"/>
        <v>46.999999999999993</v>
      </c>
      <c r="K29" s="1011"/>
      <c r="L29" s="1012"/>
      <c r="M29" s="1013"/>
      <c r="N29" s="1014" t="str">
        <f t="shared" si="19"/>
        <v/>
      </c>
      <c r="O29" s="1323"/>
      <c r="P29" s="1324"/>
      <c r="Q29" s="1324"/>
      <c r="R29" s="1324"/>
      <c r="S29" s="1324"/>
      <c r="T29" s="1325"/>
      <c r="U29" s="1015">
        <v>1.8</v>
      </c>
      <c r="V29" s="1015">
        <v>2.7</v>
      </c>
      <c r="W29" s="1015">
        <v>1.4</v>
      </c>
      <c r="X29" s="1015"/>
      <c r="Y29" s="1015"/>
      <c r="Z29" s="1016">
        <f>'09월 에너지'!S31</f>
        <v>142.30000000000001</v>
      </c>
      <c r="AA29" s="1017"/>
      <c r="AB29" s="1208"/>
      <c r="AC29" s="1208"/>
      <c r="AD29" s="1208"/>
      <c r="AE29" s="1208"/>
      <c r="AF29" s="1208"/>
      <c r="AG29" s="1018">
        <f>'09월 화학성분'!AM29</f>
        <v>2352</v>
      </c>
      <c r="AH29" s="1006">
        <f t="shared" si="9"/>
        <v>26</v>
      </c>
      <c r="AI29" s="1019">
        <v>1593</v>
      </c>
      <c r="AJ29" s="1020">
        <v>138</v>
      </c>
      <c r="AK29" s="1021">
        <v>860</v>
      </c>
      <c r="AL29" s="1022">
        <v>4</v>
      </c>
      <c r="AM29" s="1155">
        <f>IF(AT29="","",3*'09월 에너지'!S31*(1/(3+7.8*(100-AT29)/AT29)))</f>
        <v>1.6160322681704262</v>
      </c>
      <c r="AN29" s="1023">
        <v>0.18263888888888891</v>
      </c>
      <c r="AO29" s="1024"/>
      <c r="AP29" s="1025"/>
      <c r="AQ29" s="1025"/>
      <c r="AR29" s="1149">
        <f t="shared" si="20"/>
        <v>6</v>
      </c>
      <c r="AS29" s="1093" t="str">
        <f t="shared" si="21"/>
        <v xml:space="preserve"> </v>
      </c>
      <c r="AT29" s="1156">
        <v>2.9</v>
      </c>
      <c r="AU29" s="449"/>
      <c r="AV29" s="1205"/>
    </row>
    <row r="30" spans="1:48" ht="16.5" customHeight="1">
      <c r="A30" s="1005">
        <f t="shared" si="10"/>
        <v>46266</v>
      </c>
      <c r="B30" s="1005">
        <f t="shared" si="11"/>
        <v>46266</v>
      </c>
      <c r="C30" s="1150">
        <f t="shared" si="12"/>
        <v>19</v>
      </c>
      <c r="D30" s="1150">
        <f t="shared" si="13"/>
        <v>19</v>
      </c>
      <c r="E30" s="1006" t="str">
        <f t="shared" si="14"/>
        <v>C</v>
      </c>
      <c r="F30" s="1007" t="str">
        <f t="shared" si="15"/>
        <v>B</v>
      </c>
      <c r="G30" s="1008">
        <f t="shared" si="16"/>
        <v>85232</v>
      </c>
      <c r="H30" s="1138">
        <f t="shared" si="17"/>
        <v>0.76249999999999996</v>
      </c>
      <c r="I30" s="1009">
        <v>0.76111111111111107</v>
      </c>
      <c r="J30" s="1010">
        <f t="shared" si="18"/>
        <v>46</v>
      </c>
      <c r="K30" s="1011"/>
      <c r="L30" s="1012"/>
      <c r="M30" s="1013"/>
      <c r="N30" s="1014" t="str">
        <f t="shared" si="19"/>
        <v/>
      </c>
      <c r="O30" s="1323"/>
      <c r="P30" s="1324"/>
      <c r="Q30" s="1324"/>
      <c r="R30" s="1324"/>
      <c r="S30" s="1324"/>
      <c r="T30" s="1325"/>
      <c r="U30" s="1015">
        <v>1.8</v>
      </c>
      <c r="V30" s="1015">
        <v>2.5</v>
      </c>
      <c r="W30" s="1015">
        <v>1.2</v>
      </c>
      <c r="X30" s="1015"/>
      <c r="Y30" s="1015"/>
      <c r="Z30" s="1016">
        <f>'09월 에너지'!S32</f>
        <v>144.1</v>
      </c>
      <c r="AA30" s="1017"/>
      <c r="AB30" s="1208"/>
      <c r="AC30" s="1208"/>
      <c r="AD30" s="1208"/>
      <c r="AE30" s="1208"/>
      <c r="AF30" s="1208"/>
      <c r="AG30" s="1018">
        <f>'09월 화학성분'!AM30</f>
        <v>2390</v>
      </c>
      <c r="AH30" s="1006">
        <f t="shared" si="9"/>
        <v>27</v>
      </c>
      <c r="AI30" s="1019">
        <v>1561</v>
      </c>
      <c r="AJ30" s="1020">
        <v>54</v>
      </c>
      <c r="AK30" s="1021">
        <v>595</v>
      </c>
      <c r="AL30" s="1022">
        <v>6</v>
      </c>
      <c r="AM30" s="1155">
        <f>IF(AT30="","",3*'09월 에너지'!S32*(1/(3+7.8*(100-AT30)/AT30)))</f>
        <v>0.83909161490683226</v>
      </c>
      <c r="AN30" s="1023">
        <v>0.16319444444444445</v>
      </c>
      <c r="AO30" s="1024"/>
      <c r="AP30" s="1025"/>
      <c r="AQ30" s="1025"/>
      <c r="AR30" s="1149" t="str">
        <f t="shared" si="20"/>
        <v/>
      </c>
      <c r="AS30" s="1093">
        <f t="shared" si="21"/>
        <v>15</v>
      </c>
      <c r="AT30" s="1156">
        <v>1.5</v>
      </c>
      <c r="AU30" s="449"/>
      <c r="AV30" s="1205"/>
    </row>
    <row r="31" spans="1:48" ht="16.5" customHeight="1">
      <c r="A31" s="1005">
        <f t="shared" si="10"/>
        <v>46266</v>
      </c>
      <c r="B31" s="1005">
        <f t="shared" si="11"/>
        <v>46266</v>
      </c>
      <c r="C31" s="1150">
        <f t="shared" si="12"/>
        <v>20</v>
      </c>
      <c r="D31" s="1150">
        <f t="shared" si="13"/>
        <v>20</v>
      </c>
      <c r="E31" s="1006" t="str">
        <f t="shared" si="14"/>
        <v>C</v>
      </c>
      <c r="F31" s="1007" t="str">
        <f t="shared" si="15"/>
        <v>A</v>
      </c>
      <c r="G31" s="1008">
        <f t="shared" si="16"/>
        <v>85233</v>
      </c>
      <c r="H31" s="1138">
        <f t="shared" si="17"/>
        <v>0.7944444444444444</v>
      </c>
      <c r="I31" s="1009">
        <v>0.7944444444444444</v>
      </c>
      <c r="J31" s="1010">
        <f t="shared" si="18"/>
        <v>47.999999999999986</v>
      </c>
      <c r="K31" s="1011"/>
      <c r="L31" s="1012"/>
      <c r="M31" s="1013"/>
      <c r="N31" s="1014" t="str">
        <f t="shared" si="19"/>
        <v/>
      </c>
      <c r="O31" s="1323" t="s">
        <v>529</v>
      </c>
      <c r="P31" s="1324"/>
      <c r="Q31" s="1324"/>
      <c r="R31" s="1324"/>
      <c r="S31" s="1324"/>
      <c r="T31" s="1325"/>
      <c r="U31" s="1015">
        <v>1.8</v>
      </c>
      <c r="V31" s="1015"/>
      <c r="W31" s="1015"/>
      <c r="X31" s="1015"/>
      <c r="Y31" s="1015">
        <v>2.6</v>
      </c>
      <c r="Z31" s="1016">
        <f>'09월 에너지'!S33</f>
        <v>143.80000000000001</v>
      </c>
      <c r="AA31" s="1017"/>
      <c r="AB31" s="1208"/>
      <c r="AC31" s="1208"/>
      <c r="AD31" s="1208"/>
      <c r="AE31" s="1208"/>
      <c r="AF31" s="1208"/>
      <c r="AG31" s="1018">
        <f>'09월 화학성분'!AM31</f>
        <v>3066</v>
      </c>
      <c r="AH31" s="1006">
        <f t="shared" si="9"/>
        <v>28</v>
      </c>
      <c r="AI31" s="1019">
        <v>1581</v>
      </c>
      <c r="AJ31" s="1020">
        <v>42</v>
      </c>
      <c r="AK31" s="1021">
        <v>835</v>
      </c>
      <c r="AL31" s="1022">
        <v>4</v>
      </c>
      <c r="AM31" s="1155">
        <f>IF(AT31="","",3*'09월 에너지'!S33*(1/(3+7.8*(100-AT31)/AT31)))</f>
        <v>0.89372280919825986</v>
      </c>
      <c r="AN31" s="1023">
        <v>0.15486111111111112</v>
      </c>
      <c r="AO31" s="1024"/>
      <c r="AP31" s="1025"/>
      <c r="AQ31" s="1025"/>
      <c r="AR31" s="1149">
        <f t="shared" si="20"/>
        <v>7</v>
      </c>
      <c r="AS31" s="1093" t="str">
        <f t="shared" si="21"/>
        <v xml:space="preserve"> </v>
      </c>
      <c r="AT31" s="1156">
        <v>1.6</v>
      </c>
      <c r="AU31" s="449"/>
      <c r="AV31" s="1205"/>
    </row>
    <row r="32" spans="1:48" ht="16.5" customHeight="1">
      <c r="A32" s="1005">
        <f t="shared" si="10"/>
        <v>46266</v>
      </c>
      <c r="B32" s="1005">
        <f t="shared" si="11"/>
        <v>46266</v>
      </c>
      <c r="C32" s="1150">
        <f t="shared" si="12"/>
        <v>21</v>
      </c>
      <c r="D32" s="1150">
        <f t="shared" si="13"/>
        <v>21</v>
      </c>
      <c r="E32" s="1006" t="str">
        <f t="shared" si="14"/>
        <v>C</v>
      </c>
      <c r="F32" s="1007" t="str">
        <f t="shared" si="15"/>
        <v>B</v>
      </c>
      <c r="G32" s="1008">
        <f t="shared" si="16"/>
        <v>85234</v>
      </c>
      <c r="H32" s="1138">
        <f t="shared" si="17"/>
        <v>0.82777777777777772</v>
      </c>
      <c r="I32" s="1009">
        <v>0.82777777777777783</v>
      </c>
      <c r="J32" s="1010">
        <f t="shared" si="18"/>
        <v>48.000000000000149</v>
      </c>
      <c r="K32" s="1011"/>
      <c r="L32" s="1012"/>
      <c r="M32" s="1013"/>
      <c r="N32" s="1014" t="str">
        <f t="shared" si="19"/>
        <v/>
      </c>
      <c r="O32" s="1323" t="s">
        <v>555</v>
      </c>
      <c r="P32" s="1324"/>
      <c r="Q32" s="1324"/>
      <c r="R32" s="1324"/>
      <c r="S32" s="1324"/>
      <c r="T32" s="1325"/>
      <c r="U32" s="1015">
        <v>1.8</v>
      </c>
      <c r="V32" s="1015"/>
      <c r="W32" s="1015"/>
      <c r="X32" s="1015"/>
      <c r="Y32" s="1015">
        <v>2.6</v>
      </c>
      <c r="Z32" s="1016">
        <f>'09월 에너지'!S34</f>
        <v>144.30000000000001</v>
      </c>
      <c r="AA32" s="1017">
        <v>1990</v>
      </c>
      <c r="AB32" s="1208" t="s">
        <v>551</v>
      </c>
      <c r="AC32" s="1208"/>
      <c r="AD32" s="1208" t="s">
        <v>548</v>
      </c>
      <c r="AE32" s="1208"/>
      <c r="AF32" s="1208" t="s">
        <v>532</v>
      </c>
      <c r="AG32" s="1018">
        <f>'09월 화학성분'!AM32</f>
        <v>1647</v>
      </c>
      <c r="AH32" s="1006">
        <f t="shared" si="9"/>
        <v>29</v>
      </c>
      <c r="AI32" s="1019">
        <v>1554</v>
      </c>
      <c r="AJ32" s="1020">
        <v>0</v>
      </c>
      <c r="AK32" s="1021">
        <v>424</v>
      </c>
      <c r="AL32" s="1022">
        <v>10</v>
      </c>
      <c r="AM32" s="1155">
        <f>IF(AT32="","",3*'09월 에너지'!S34*(1/(3+7.8*(100-AT32)/AT32)))</f>
        <v>1.2948267790262171</v>
      </c>
      <c r="AN32" s="1023">
        <v>0.16180555555555556</v>
      </c>
      <c r="AO32" s="1024" t="s">
        <v>570</v>
      </c>
      <c r="AP32" s="1025">
        <v>2000031</v>
      </c>
      <c r="AQ32" s="1025">
        <v>2125</v>
      </c>
      <c r="AR32" s="1149" t="str">
        <f t="shared" si="20"/>
        <v/>
      </c>
      <c r="AS32" s="1093">
        <v>1</v>
      </c>
      <c r="AT32" s="1156">
        <v>2.2999999999999998</v>
      </c>
      <c r="AU32" s="449"/>
      <c r="AV32" s="1205" t="s">
        <v>553</v>
      </c>
    </row>
    <row r="33" spans="1:48" ht="16.5" customHeight="1">
      <c r="A33" s="1005">
        <f t="shared" si="10"/>
        <v>46266</v>
      </c>
      <c r="B33" s="1005">
        <f t="shared" si="11"/>
        <v>46266</v>
      </c>
      <c r="C33" s="1150">
        <f t="shared" si="12"/>
        <v>22</v>
      </c>
      <c r="D33" s="1150">
        <f t="shared" si="13"/>
        <v>22</v>
      </c>
      <c r="E33" s="1006" t="str">
        <f t="shared" si="14"/>
        <v>C</v>
      </c>
      <c r="F33" s="1007" t="str">
        <f t="shared" si="15"/>
        <v>A</v>
      </c>
      <c r="G33" s="1008">
        <f t="shared" si="16"/>
        <v>85235</v>
      </c>
      <c r="H33" s="1138">
        <f t="shared" si="17"/>
        <v>0.86111111111111116</v>
      </c>
      <c r="I33" s="1009">
        <v>0.85972222222222217</v>
      </c>
      <c r="J33" s="1010">
        <f t="shared" si="18"/>
        <v>45.999999999999837</v>
      </c>
      <c r="K33" s="1011"/>
      <c r="L33" s="1012"/>
      <c r="M33" s="1013"/>
      <c r="N33" s="1014" t="str">
        <f t="shared" si="19"/>
        <v/>
      </c>
      <c r="O33" s="1323" t="s">
        <v>554</v>
      </c>
      <c r="P33" s="1324"/>
      <c r="Q33" s="1324"/>
      <c r="R33" s="1324"/>
      <c r="S33" s="1324"/>
      <c r="T33" s="1325"/>
      <c r="U33" s="1015">
        <v>1.8</v>
      </c>
      <c r="V33" s="1015">
        <v>3.6</v>
      </c>
      <c r="W33" s="1015"/>
      <c r="X33" s="1015" t="s">
        <v>552</v>
      </c>
      <c r="Y33" s="1015"/>
      <c r="Z33" s="1016">
        <f>'09월 에너지'!S35</f>
        <v>132.69999999999999</v>
      </c>
      <c r="AA33" s="1017"/>
      <c r="AB33" s="1208"/>
      <c r="AC33" s="1208"/>
      <c r="AD33" s="1208"/>
      <c r="AE33" s="1208"/>
      <c r="AF33" s="1208"/>
      <c r="AG33" s="1018">
        <f>'09월 화학성분'!AM33</f>
        <v>3014</v>
      </c>
      <c r="AH33" s="1006">
        <f t="shared" si="9"/>
        <v>30</v>
      </c>
      <c r="AI33" s="1019">
        <v>1533</v>
      </c>
      <c r="AJ33" s="1020">
        <v>24</v>
      </c>
      <c r="AK33" s="1021">
        <v>628</v>
      </c>
      <c r="AL33" s="1022">
        <v>6</v>
      </c>
      <c r="AM33" s="1155">
        <f>IF(AT33="","",3*'09월 에너지'!S35*(1/(3+7.8*(100-AT33)/AT33)))</f>
        <v>0.41032776747062455</v>
      </c>
      <c r="AN33" s="1023">
        <v>0.24513888888888888</v>
      </c>
      <c r="AO33" s="1024"/>
      <c r="AP33" s="1025"/>
      <c r="AQ33" s="1025"/>
      <c r="AR33" s="1149">
        <f t="shared" si="20"/>
        <v>8</v>
      </c>
      <c r="AS33" s="1093" t="str">
        <f t="shared" si="21"/>
        <v xml:space="preserve"> </v>
      </c>
      <c r="AT33" s="1156">
        <v>0.8</v>
      </c>
      <c r="AU33" s="449"/>
      <c r="AV33" s="1205"/>
    </row>
    <row r="34" spans="1:48" ht="16.5" customHeight="1">
      <c r="A34" s="1005">
        <f t="shared" si="10"/>
        <v>46266</v>
      </c>
      <c r="B34" s="1005">
        <f t="shared" si="11"/>
        <v>46266</v>
      </c>
      <c r="C34" s="1150">
        <f t="shared" si="12"/>
        <v>23</v>
      </c>
      <c r="D34" s="1150">
        <f t="shared" si="13"/>
        <v>23</v>
      </c>
      <c r="E34" s="1006" t="str">
        <f t="shared" si="14"/>
        <v>C</v>
      </c>
      <c r="F34" s="1007" t="str">
        <f t="shared" si="15"/>
        <v>B</v>
      </c>
      <c r="G34" s="1008">
        <f t="shared" si="16"/>
        <v>85236</v>
      </c>
      <c r="H34" s="1138">
        <f t="shared" si="17"/>
        <v>0.89305555555555549</v>
      </c>
      <c r="I34" s="1009">
        <v>0.89166666666666661</v>
      </c>
      <c r="J34" s="1010">
        <f t="shared" si="18"/>
        <v>46</v>
      </c>
      <c r="K34" s="1011"/>
      <c r="L34" s="1012"/>
      <c r="M34" s="1013"/>
      <c r="N34" s="1014" t="str">
        <f t="shared" si="19"/>
        <v/>
      </c>
      <c r="O34" s="1323" t="s">
        <v>529</v>
      </c>
      <c r="P34" s="1324"/>
      <c r="Q34" s="1324"/>
      <c r="R34" s="1324"/>
      <c r="S34" s="1324"/>
      <c r="T34" s="1325"/>
      <c r="U34" s="1015">
        <v>1.8</v>
      </c>
      <c r="V34" s="1015"/>
      <c r="W34" s="1015"/>
      <c r="X34" s="1015">
        <v>3.7</v>
      </c>
      <c r="Y34" s="1015"/>
      <c r="Z34" s="1016">
        <f>'09월 에너지'!S36</f>
        <v>144.4</v>
      </c>
      <c r="AA34" s="1017"/>
      <c r="AB34" s="1208"/>
      <c r="AC34" s="1208"/>
      <c r="AD34" s="1208"/>
      <c r="AE34" s="1208"/>
      <c r="AF34" s="1208"/>
      <c r="AG34" s="1018">
        <f>'09월 화학성분'!AM34</f>
        <v>2094</v>
      </c>
      <c r="AH34" s="1006">
        <f t="shared" si="9"/>
        <v>31</v>
      </c>
      <c r="AI34" s="1019">
        <v>1573</v>
      </c>
      <c r="AJ34" s="1020">
        <v>62</v>
      </c>
      <c r="AK34" s="1021">
        <v>740</v>
      </c>
      <c r="AL34" s="1022">
        <v>56</v>
      </c>
      <c r="AM34" s="1155">
        <f>IF(AT34="","",3*'09월 에너지'!S36*(1/(3+7.8*(100-AT34)/AT34)))</f>
        <v>0.55882352941176483</v>
      </c>
      <c r="AN34" s="1023">
        <v>0.15</v>
      </c>
      <c r="AO34" s="1024"/>
      <c r="AP34" s="1025"/>
      <c r="AQ34" s="1025"/>
      <c r="AR34" s="1149" t="str">
        <f t="shared" si="20"/>
        <v/>
      </c>
      <c r="AS34" s="1093">
        <f t="shared" si="21"/>
        <v>2</v>
      </c>
      <c r="AT34" s="1156">
        <v>1</v>
      </c>
      <c r="AU34" s="449"/>
      <c r="AV34" s="1205"/>
    </row>
    <row r="35" spans="1:48" ht="16.5" customHeight="1">
      <c r="A35" s="1005">
        <f t="shared" si="10"/>
        <v>46266</v>
      </c>
      <c r="B35" s="1005">
        <f t="shared" si="11"/>
        <v>46266</v>
      </c>
      <c r="C35" s="1150">
        <f t="shared" si="12"/>
        <v>24</v>
      </c>
      <c r="D35" s="1150">
        <f t="shared" si="13"/>
        <v>24</v>
      </c>
      <c r="E35" s="1006" t="str">
        <f t="shared" si="14"/>
        <v>C</v>
      </c>
      <c r="F35" s="1007" t="str">
        <f t="shared" si="15"/>
        <v>A</v>
      </c>
      <c r="G35" s="1008">
        <f t="shared" si="16"/>
        <v>85237</v>
      </c>
      <c r="H35" s="1138">
        <f t="shared" si="17"/>
        <v>0.92499999999999993</v>
      </c>
      <c r="I35" s="1009">
        <v>0.9375</v>
      </c>
      <c r="J35" s="1010">
        <f t="shared" si="18"/>
        <v>66.000000000000085</v>
      </c>
      <c r="K35" s="1011">
        <v>5</v>
      </c>
      <c r="L35" s="1012"/>
      <c r="M35" s="1013">
        <v>0.89166666666666661</v>
      </c>
      <c r="N35" s="1014">
        <f t="shared" si="19"/>
        <v>0.89513888888888882</v>
      </c>
      <c r="O35" s="1323" t="s">
        <v>556</v>
      </c>
      <c r="P35" s="1324"/>
      <c r="Q35" s="1324"/>
      <c r="R35" s="1324"/>
      <c r="S35" s="1324"/>
      <c r="T35" s="1325"/>
      <c r="U35" s="1015">
        <v>1.8</v>
      </c>
      <c r="V35" s="1015"/>
      <c r="W35" s="1015"/>
      <c r="X35" s="1015"/>
      <c r="Y35" s="1015">
        <v>2.5</v>
      </c>
      <c r="Z35" s="1016">
        <f>'09월 에너지'!S37</f>
        <v>143.5</v>
      </c>
      <c r="AA35" s="1017"/>
      <c r="AB35" s="1208"/>
      <c r="AC35" s="1208"/>
      <c r="AD35" s="1208"/>
      <c r="AE35" s="1208"/>
      <c r="AF35" s="1208"/>
      <c r="AG35" s="1018">
        <f>'09월 화학성분'!AM35</f>
        <v>3004</v>
      </c>
      <c r="AH35" s="1006">
        <f t="shared" si="9"/>
        <v>32</v>
      </c>
      <c r="AI35" s="1019">
        <v>1545</v>
      </c>
      <c r="AJ35" s="1020">
        <v>28</v>
      </c>
      <c r="AK35" s="1021">
        <v>482</v>
      </c>
      <c r="AL35" s="1022">
        <v>8</v>
      </c>
      <c r="AM35" s="1155">
        <f>IF(AT35="","",3*'09월 에너지'!S37*(1/(3+7.8*(100-AT35)/AT35)))</f>
        <v>1.1742129052369077</v>
      </c>
      <c r="AN35" s="1023">
        <v>0.20833333333333334</v>
      </c>
      <c r="AO35" s="1024"/>
      <c r="AP35" s="1025"/>
      <c r="AQ35" s="1025"/>
      <c r="AR35" s="1149">
        <f t="shared" si="20"/>
        <v>9</v>
      </c>
      <c r="AS35" s="1093" t="str">
        <f t="shared" si="21"/>
        <v xml:space="preserve"> </v>
      </c>
      <c r="AT35" s="1156">
        <v>2.1</v>
      </c>
      <c r="AU35" s="449"/>
      <c r="AV35" s="1205"/>
    </row>
    <row r="36" spans="1:48" ht="16.5" customHeight="1">
      <c r="A36" s="1005">
        <f t="shared" si="10"/>
        <v>46266</v>
      </c>
      <c r="B36" s="1005">
        <f t="shared" si="11"/>
        <v>46266</v>
      </c>
      <c r="C36" s="1150">
        <f t="shared" si="12"/>
        <v>25</v>
      </c>
      <c r="D36" s="1150">
        <f t="shared" si="13"/>
        <v>25</v>
      </c>
      <c r="E36" s="1006" t="s">
        <v>558</v>
      </c>
      <c r="F36" s="1007" t="str">
        <f t="shared" si="15"/>
        <v>B</v>
      </c>
      <c r="G36" s="1008">
        <f t="shared" si="16"/>
        <v>85238</v>
      </c>
      <c r="H36" s="1138">
        <f t="shared" si="17"/>
        <v>0.97083333333333333</v>
      </c>
      <c r="I36" s="1009">
        <v>0.97152777777777777</v>
      </c>
      <c r="J36" s="1010">
        <f t="shared" si="18"/>
        <v>48.999999999999986</v>
      </c>
      <c r="K36" s="1011"/>
      <c r="L36" s="1012"/>
      <c r="M36" s="1013"/>
      <c r="N36" s="1014" t="str">
        <f t="shared" si="19"/>
        <v/>
      </c>
      <c r="O36" s="1323" t="s">
        <v>565</v>
      </c>
      <c r="P36" s="1324"/>
      <c r="Q36" s="1324"/>
      <c r="R36" s="1324"/>
      <c r="S36" s="1324"/>
      <c r="T36" s="1325"/>
      <c r="U36" s="1015">
        <v>1.8</v>
      </c>
      <c r="V36" s="1015"/>
      <c r="W36" s="1015"/>
      <c r="X36" s="1015"/>
      <c r="Y36" s="1015">
        <v>2.7</v>
      </c>
      <c r="Z36" s="1016">
        <f>'09월 에너지'!S38</f>
        <v>144.30000000000001</v>
      </c>
      <c r="AA36" s="1017"/>
      <c r="AB36" s="1208"/>
      <c r="AC36" s="1208"/>
      <c r="AD36" s="1208"/>
      <c r="AE36" s="1208"/>
      <c r="AF36" s="1208"/>
      <c r="AG36" s="1018">
        <f>'09월 화학성분'!AM36</f>
        <v>1367</v>
      </c>
      <c r="AH36" s="1006">
        <f t="shared" si="9"/>
        <v>33</v>
      </c>
      <c r="AI36" s="1019">
        <v>1602</v>
      </c>
      <c r="AJ36" s="1020">
        <v>81</v>
      </c>
      <c r="AK36" s="1021">
        <v>749</v>
      </c>
      <c r="AL36" s="1022">
        <v>5</v>
      </c>
      <c r="AM36" s="1155">
        <f>IF(AT36="","",3*'09월 에너지'!S38*(1/(3+7.8*(100-AT36)/AT36)))</f>
        <v>1.1807590399002494</v>
      </c>
      <c r="AN36" s="1023">
        <v>0.15833333333333333</v>
      </c>
      <c r="AO36" s="1024"/>
      <c r="AP36" s="1025"/>
      <c r="AQ36" s="1025"/>
      <c r="AR36" s="1149" t="str">
        <f t="shared" si="20"/>
        <v/>
      </c>
      <c r="AS36" s="1093">
        <f t="shared" si="21"/>
        <v>3</v>
      </c>
      <c r="AT36" s="1156">
        <v>2.1</v>
      </c>
      <c r="AU36" s="449"/>
      <c r="AV36" s="1205"/>
    </row>
    <row r="37" spans="1:48" ht="16.5" customHeight="1">
      <c r="A37" s="1005">
        <f t="shared" si="10"/>
        <v>46266</v>
      </c>
      <c r="B37" s="1005">
        <f t="shared" si="11"/>
        <v>46266</v>
      </c>
      <c r="C37" s="1150">
        <f t="shared" si="12"/>
        <v>26</v>
      </c>
      <c r="D37" s="1150">
        <f t="shared" si="13"/>
        <v>26</v>
      </c>
      <c r="E37" s="1006" t="str">
        <f t="shared" si="14"/>
        <v>D</v>
      </c>
      <c r="F37" s="1007" t="str">
        <f t="shared" si="15"/>
        <v>A</v>
      </c>
      <c r="G37" s="1008">
        <f t="shared" si="16"/>
        <v>85239</v>
      </c>
      <c r="H37" s="1138">
        <f t="shared" si="17"/>
        <v>1.0048611111111112</v>
      </c>
      <c r="I37" s="1009">
        <v>2.0833333333333333E-3</v>
      </c>
      <c r="J37" s="1010">
        <f t="shared" si="18"/>
        <v>44</v>
      </c>
      <c r="K37" s="1011"/>
      <c r="L37" s="1012"/>
      <c r="M37" s="1013"/>
      <c r="N37" s="1014" t="str">
        <f t="shared" si="19"/>
        <v/>
      </c>
      <c r="O37" s="1323"/>
      <c r="P37" s="1324"/>
      <c r="Q37" s="1324"/>
      <c r="R37" s="1324"/>
      <c r="S37" s="1324"/>
      <c r="T37" s="1325"/>
      <c r="U37" s="1015">
        <v>1.8</v>
      </c>
      <c r="V37" s="1015"/>
      <c r="W37" s="1015"/>
      <c r="X37" s="1015"/>
      <c r="Y37" s="1015">
        <v>2.6</v>
      </c>
      <c r="Z37" s="1016">
        <f>'09월 에너지'!S39</f>
        <v>143.5</v>
      </c>
      <c r="AA37" s="1017"/>
      <c r="AB37" s="1208"/>
      <c r="AC37" s="1208"/>
      <c r="AD37" s="1208"/>
      <c r="AE37" s="1208"/>
      <c r="AF37" s="1208"/>
      <c r="AG37" s="1018">
        <f>'09월 화학성분'!AM37</f>
        <v>1406</v>
      </c>
      <c r="AH37" s="1006">
        <f t="shared" si="9"/>
        <v>34</v>
      </c>
      <c r="AI37" s="1019">
        <v>1583</v>
      </c>
      <c r="AJ37" s="1020">
        <v>0</v>
      </c>
      <c r="AK37" s="1021">
        <v>577</v>
      </c>
      <c r="AL37" s="1022">
        <v>7</v>
      </c>
      <c r="AM37" s="1155">
        <f>IF(AT37="","",3*'09월 에너지'!S39*(1/(3+7.8*(100-AT37)/AT37)))</f>
        <v>0.77940720049658596</v>
      </c>
      <c r="AN37" s="1023">
        <v>0.16527777777777777</v>
      </c>
      <c r="AO37" s="1024"/>
      <c r="AP37" s="1025"/>
      <c r="AQ37" s="1025"/>
      <c r="AR37" s="1149">
        <f t="shared" si="20"/>
        <v>10</v>
      </c>
      <c r="AS37" s="1093" t="str">
        <f t="shared" si="21"/>
        <v xml:space="preserve"> </v>
      </c>
      <c r="AT37" s="1156">
        <v>1.4</v>
      </c>
      <c r="AU37" s="449"/>
      <c r="AV37" s="1205"/>
    </row>
    <row r="38" spans="1:48" ht="16.5" customHeight="1">
      <c r="A38" s="1005">
        <f t="shared" si="10"/>
        <v>46266</v>
      </c>
      <c r="B38" s="1005">
        <f t="shared" si="11"/>
        <v>46266</v>
      </c>
      <c r="C38" s="1150">
        <f t="shared" si="12"/>
        <v>27</v>
      </c>
      <c r="D38" s="1150">
        <f t="shared" si="13"/>
        <v>27</v>
      </c>
      <c r="E38" s="1006" t="str">
        <f t="shared" si="14"/>
        <v>D</v>
      </c>
      <c r="F38" s="1007" t="str">
        <f t="shared" si="15"/>
        <v>B</v>
      </c>
      <c r="G38" s="1008">
        <f t="shared" si="16"/>
        <v>85240</v>
      </c>
      <c r="H38" s="1138">
        <f t="shared" si="17"/>
        <v>3.5416666666666666E-2</v>
      </c>
      <c r="I38" s="1009">
        <v>3.4027777777777775E-2</v>
      </c>
      <c r="J38" s="1010">
        <f t="shared" si="18"/>
        <v>46</v>
      </c>
      <c r="K38" s="1011"/>
      <c r="L38" s="1012"/>
      <c r="M38" s="1013"/>
      <c r="N38" s="1014" t="str">
        <f t="shared" si="19"/>
        <v/>
      </c>
      <c r="O38" s="1323" t="s">
        <v>564</v>
      </c>
      <c r="P38" s="1324"/>
      <c r="Q38" s="1324"/>
      <c r="R38" s="1324"/>
      <c r="S38" s="1324"/>
      <c r="T38" s="1325"/>
      <c r="U38" s="1015">
        <v>1.8</v>
      </c>
      <c r="V38" s="1015"/>
      <c r="W38" s="1015"/>
      <c r="X38" s="1015"/>
      <c r="Y38" s="1015">
        <v>2.8</v>
      </c>
      <c r="Z38" s="1016">
        <f>'09월 에너지'!S40</f>
        <v>143.69999999999999</v>
      </c>
      <c r="AA38" s="1017"/>
      <c r="AB38" s="1208"/>
      <c r="AC38" s="1208"/>
      <c r="AD38" s="1208"/>
      <c r="AE38" s="1208"/>
      <c r="AF38" s="1208"/>
      <c r="AG38" s="1018">
        <f>'09월 화학성분'!AM38</f>
        <v>1546</v>
      </c>
      <c r="AH38" s="1006">
        <f t="shared" si="9"/>
        <v>35</v>
      </c>
      <c r="AI38" s="1019">
        <v>1600</v>
      </c>
      <c r="AJ38" s="1020">
        <v>90</v>
      </c>
      <c r="AK38" s="1021" t="s">
        <v>562</v>
      </c>
      <c r="AL38" s="1022" t="s">
        <v>563</v>
      </c>
      <c r="AM38" s="1155">
        <f>IF(AT38="","",3*'09월 에너지'!S40*(1/(3+7.8*(100-AT38)/AT38)))</f>
        <v>1.1191588785046729</v>
      </c>
      <c r="AN38" s="1023">
        <v>0.15902777777777777</v>
      </c>
      <c r="AO38" s="1024"/>
      <c r="AP38" s="1025"/>
      <c r="AQ38" s="1025"/>
      <c r="AR38" s="1149" t="str">
        <f t="shared" si="20"/>
        <v/>
      </c>
      <c r="AS38" s="1093">
        <f t="shared" si="21"/>
        <v>4</v>
      </c>
      <c r="AT38" s="1156">
        <v>2</v>
      </c>
      <c r="AU38" s="449"/>
      <c r="AV38" s="1205"/>
    </row>
    <row r="39" spans="1:48" ht="16.5" customHeight="1">
      <c r="A39" s="1005">
        <f t="shared" si="10"/>
        <v>46266</v>
      </c>
      <c r="B39" s="1005">
        <f t="shared" si="11"/>
        <v>46266</v>
      </c>
      <c r="C39" s="1150">
        <f t="shared" si="12"/>
        <v>28</v>
      </c>
      <c r="D39" s="1150">
        <f t="shared" si="13"/>
        <v>28</v>
      </c>
      <c r="E39" s="1006" t="str">
        <f t="shared" si="14"/>
        <v>D</v>
      </c>
      <c r="F39" s="1007" t="str">
        <f t="shared" si="15"/>
        <v>A</v>
      </c>
      <c r="G39" s="1008">
        <f t="shared" si="16"/>
        <v>85241</v>
      </c>
      <c r="H39" s="1138">
        <f t="shared" si="17"/>
        <v>6.7361111111111108E-2</v>
      </c>
      <c r="I39" s="1009">
        <v>6.3888888888888884E-2</v>
      </c>
      <c r="J39" s="1010">
        <f t="shared" si="18"/>
        <v>43</v>
      </c>
      <c r="K39" s="1011"/>
      <c r="L39" s="1012"/>
      <c r="M39" s="1013"/>
      <c r="N39" s="1014" t="str">
        <f t="shared" si="19"/>
        <v/>
      </c>
      <c r="O39" s="1323" t="s">
        <v>529</v>
      </c>
      <c r="P39" s="1324"/>
      <c r="Q39" s="1324"/>
      <c r="R39" s="1324"/>
      <c r="S39" s="1324"/>
      <c r="T39" s="1325"/>
      <c r="U39" s="1015">
        <v>1.8</v>
      </c>
      <c r="V39" s="1015"/>
      <c r="W39" s="1015"/>
      <c r="X39" s="1015"/>
      <c r="Y39" s="1015">
        <v>2.9</v>
      </c>
      <c r="Z39" s="1016">
        <f>'09월 에너지'!S41</f>
        <v>143.9</v>
      </c>
      <c r="AA39" s="1017"/>
      <c r="AB39" s="1208"/>
      <c r="AC39" s="1208"/>
      <c r="AD39" s="1208"/>
      <c r="AE39" s="1208"/>
      <c r="AF39" s="1208"/>
      <c r="AG39" s="1018">
        <f>'09월 화학성분'!AM39</f>
        <v>1777</v>
      </c>
      <c r="AH39" s="1006">
        <f t="shared" si="9"/>
        <v>36</v>
      </c>
      <c r="AI39" s="1019">
        <v>1572</v>
      </c>
      <c r="AJ39" s="1020">
        <v>0</v>
      </c>
      <c r="AK39" s="1021">
        <v>590</v>
      </c>
      <c r="AL39" s="1022">
        <v>7</v>
      </c>
      <c r="AM39" s="1155">
        <f>IF(AT39="","",3*'09월 에너지'!S41*(1/(3+7.8*(100-AT39)/AT39)))</f>
        <v>0.44495980210265929</v>
      </c>
      <c r="AN39" s="1023">
        <v>0.16527777777777777</v>
      </c>
      <c r="AO39" s="1024"/>
      <c r="AP39" s="1025"/>
      <c r="AQ39" s="1025"/>
      <c r="AR39" s="1149">
        <f t="shared" si="20"/>
        <v>11</v>
      </c>
      <c r="AS39" s="1093" t="str">
        <f t="shared" si="21"/>
        <v xml:space="preserve"> </v>
      </c>
      <c r="AT39" s="1156">
        <v>0.8</v>
      </c>
      <c r="AU39" s="449"/>
      <c r="AV39" s="1205"/>
    </row>
    <row r="40" spans="1:48" ht="16.5" customHeight="1">
      <c r="A40" s="1005">
        <f t="shared" si="10"/>
        <v>46266</v>
      </c>
      <c r="B40" s="1005">
        <f t="shared" si="11"/>
        <v>46266</v>
      </c>
      <c r="C40" s="1150">
        <f t="shared" si="12"/>
        <v>29</v>
      </c>
      <c r="D40" s="1150">
        <f t="shared" si="13"/>
        <v>29</v>
      </c>
      <c r="E40" s="1006" t="str">
        <f t="shared" si="14"/>
        <v>D</v>
      </c>
      <c r="F40" s="1007" t="str">
        <f t="shared" si="15"/>
        <v>B</v>
      </c>
      <c r="G40" s="1008">
        <f t="shared" si="16"/>
        <v>85242</v>
      </c>
      <c r="H40" s="1138">
        <f t="shared" si="17"/>
        <v>9.722222222222221E-2</v>
      </c>
      <c r="I40" s="1009">
        <v>9.5138888888888884E-2</v>
      </c>
      <c r="J40" s="1010">
        <f t="shared" si="18"/>
        <v>45</v>
      </c>
      <c r="K40" s="1011"/>
      <c r="L40" s="1012"/>
      <c r="M40" s="1013"/>
      <c r="N40" s="1014" t="str">
        <f t="shared" si="19"/>
        <v/>
      </c>
      <c r="O40" s="1323" t="s">
        <v>561</v>
      </c>
      <c r="P40" s="1324"/>
      <c r="Q40" s="1324"/>
      <c r="R40" s="1324"/>
      <c r="S40" s="1324"/>
      <c r="T40" s="1325"/>
      <c r="U40" s="1015">
        <v>1.8</v>
      </c>
      <c r="V40" s="1015"/>
      <c r="W40" s="1015"/>
      <c r="X40" s="1015"/>
      <c r="Y40" s="1015">
        <v>2.8</v>
      </c>
      <c r="Z40" s="1016">
        <f>'09월 에너지'!S42</f>
        <v>144.1</v>
      </c>
      <c r="AA40" s="1017"/>
      <c r="AB40" s="1208"/>
      <c r="AC40" s="1208"/>
      <c r="AD40" s="1208"/>
      <c r="AE40" s="1208"/>
      <c r="AF40" s="1208"/>
      <c r="AG40" s="1018">
        <f>'09월 화학성분'!AM40</f>
        <v>1512</v>
      </c>
      <c r="AH40" s="1006">
        <f t="shared" si="9"/>
        <v>37</v>
      </c>
      <c r="AI40" s="1019">
        <v>1579</v>
      </c>
      <c r="AJ40" s="1020">
        <v>56</v>
      </c>
      <c r="AK40" s="1021">
        <v>739</v>
      </c>
      <c r="AL40" s="1022">
        <v>5</v>
      </c>
      <c r="AM40" s="1155">
        <f>IF(AT40="","",3*'09월 에너지'!S42*(1/(3+7.8*(100-AT40)/AT40)))</f>
        <v>1.693965517241379</v>
      </c>
      <c r="AN40" s="1023">
        <v>0.15069444444444444</v>
      </c>
      <c r="AO40" s="1024"/>
      <c r="AP40" s="1025"/>
      <c r="AQ40" s="1025"/>
      <c r="AR40" s="1149" t="str">
        <f t="shared" si="20"/>
        <v/>
      </c>
      <c r="AS40" s="1093">
        <f t="shared" si="21"/>
        <v>5</v>
      </c>
      <c r="AT40" s="1156">
        <v>3</v>
      </c>
      <c r="AU40" s="449"/>
      <c r="AV40" s="1205"/>
    </row>
    <row r="41" spans="1:48" ht="16.5" customHeight="1">
      <c r="A41" s="1005">
        <f t="shared" si="10"/>
        <v>46266</v>
      </c>
      <c r="B41" s="1005">
        <f t="shared" si="11"/>
        <v>46266</v>
      </c>
      <c r="C41" s="1150">
        <f t="shared" si="12"/>
        <v>30</v>
      </c>
      <c r="D41" s="1150">
        <f t="shared" si="13"/>
        <v>30</v>
      </c>
      <c r="E41" s="1006" t="str">
        <f t="shared" si="14"/>
        <v>D</v>
      </c>
      <c r="F41" s="1007" t="str">
        <f t="shared" si="15"/>
        <v>A</v>
      </c>
      <c r="G41" s="1008">
        <f t="shared" si="16"/>
        <v>85243</v>
      </c>
      <c r="H41" s="1138">
        <f t="shared" si="17"/>
        <v>0.12847222222222221</v>
      </c>
      <c r="I41" s="1009">
        <v>0.125</v>
      </c>
      <c r="J41" s="1010">
        <f t="shared" si="18"/>
        <v>43.000000000000007</v>
      </c>
      <c r="K41" s="1011"/>
      <c r="L41" s="1012"/>
      <c r="M41" s="1013"/>
      <c r="N41" s="1014" t="str">
        <f t="shared" si="19"/>
        <v/>
      </c>
      <c r="O41" s="1323"/>
      <c r="P41" s="1324"/>
      <c r="Q41" s="1324"/>
      <c r="R41" s="1324"/>
      <c r="S41" s="1324"/>
      <c r="T41" s="1325"/>
      <c r="U41" s="1015">
        <v>1.8</v>
      </c>
      <c r="V41" s="1015"/>
      <c r="W41" s="1015"/>
      <c r="X41" s="1015"/>
      <c r="Y41" s="1015">
        <v>2.7</v>
      </c>
      <c r="Z41" s="1016">
        <f>'09월 에너지'!S43</f>
        <v>143.9</v>
      </c>
      <c r="AA41" s="1017"/>
      <c r="AB41" s="1208"/>
      <c r="AC41" s="1208"/>
      <c r="AD41" s="1208"/>
      <c r="AE41" s="1208"/>
      <c r="AF41" s="1208"/>
      <c r="AG41" s="1018">
        <f>'09월 화학성분'!AM41</f>
        <v>2121</v>
      </c>
      <c r="AH41" s="1006">
        <f t="shared" si="9"/>
        <v>38</v>
      </c>
      <c r="AI41" s="1019">
        <v>1586</v>
      </c>
      <c r="AJ41" s="1020">
        <v>0</v>
      </c>
      <c r="AK41" s="1021">
        <v>682</v>
      </c>
      <c r="AL41" s="1022">
        <v>6</v>
      </c>
      <c r="AM41" s="1155">
        <f>IF(AT41="","",3*'09월 에너지'!S43*(1/(3+7.8*(100-AT41)/AT41)))</f>
        <v>0.78157976412166363</v>
      </c>
      <c r="AN41" s="1023">
        <v>0.16041666666666668</v>
      </c>
      <c r="AO41" s="1024"/>
      <c r="AP41" s="1025"/>
      <c r="AQ41" s="1025"/>
      <c r="AR41" s="1149">
        <f t="shared" si="20"/>
        <v>12</v>
      </c>
      <c r="AS41" s="1093" t="str">
        <f t="shared" si="21"/>
        <v xml:space="preserve"> </v>
      </c>
      <c r="AT41" s="1156">
        <v>1.4</v>
      </c>
      <c r="AU41" s="449"/>
      <c r="AV41" s="1205"/>
    </row>
    <row r="42" spans="1:48" ht="16.5" customHeight="1">
      <c r="A42" s="1005">
        <v>46267</v>
      </c>
      <c r="B42" s="1005">
        <f t="shared" si="11"/>
        <v>46266</v>
      </c>
      <c r="C42" s="1150">
        <f t="shared" si="12"/>
        <v>1</v>
      </c>
      <c r="D42" s="1150">
        <f t="shared" si="13"/>
        <v>31</v>
      </c>
      <c r="E42" s="1006" t="str">
        <f t="shared" si="14"/>
        <v>D</v>
      </c>
      <c r="F42" s="1007" t="str">
        <f t="shared" si="15"/>
        <v>B</v>
      </c>
      <c r="G42" s="1008">
        <f t="shared" si="16"/>
        <v>85244</v>
      </c>
      <c r="H42" s="1138">
        <f t="shared" si="17"/>
        <v>0.15833333333333333</v>
      </c>
      <c r="I42" s="1009">
        <v>0.15694444444444444</v>
      </c>
      <c r="J42" s="1010">
        <f t="shared" si="18"/>
        <v>46</v>
      </c>
      <c r="K42" s="1011"/>
      <c r="L42" s="1012"/>
      <c r="M42" s="1013"/>
      <c r="N42" s="1014" t="str">
        <f t="shared" si="19"/>
        <v/>
      </c>
      <c r="O42" s="1326" t="s">
        <v>566</v>
      </c>
      <c r="P42" s="1324"/>
      <c r="Q42" s="1324"/>
      <c r="R42" s="1324"/>
      <c r="S42" s="1324"/>
      <c r="T42" s="1325"/>
      <c r="U42" s="1015">
        <v>1.8</v>
      </c>
      <c r="V42" s="1015">
        <v>2.5</v>
      </c>
      <c r="W42" s="1015">
        <v>1.4</v>
      </c>
      <c r="X42" s="1015"/>
      <c r="Y42" s="1015"/>
      <c r="Z42" s="1016">
        <f>'09월 에너지'!S44</f>
        <v>141.1</v>
      </c>
      <c r="AA42" s="1017"/>
      <c r="AB42" s="1208"/>
      <c r="AC42" s="1208"/>
      <c r="AD42" s="1208"/>
      <c r="AE42" s="1208"/>
      <c r="AF42" s="1208"/>
      <c r="AG42" s="1018">
        <f>'09월 화학성분'!AM42</f>
        <v>2472</v>
      </c>
      <c r="AH42" s="1006">
        <f t="shared" si="9"/>
        <v>39</v>
      </c>
      <c r="AI42" s="1019">
        <v>1589</v>
      </c>
      <c r="AJ42" s="1020">
        <v>72</v>
      </c>
      <c r="AK42" s="1021">
        <v>687</v>
      </c>
      <c r="AL42" s="1022">
        <v>5</v>
      </c>
      <c r="AM42" s="1155">
        <f>IF(AT42="","",3*'09월 에너지'!S44*(1/(3+7.8*(100-AT42)/AT42)))</f>
        <v>1.0989096573208723</v>
      </c>
      <c r="AN42" s="1023">
        <v>0.15555555555555556</v>
      </c>
      <c r="AO42" s="1024"/>
      <c r="AP42" s="1025"/>
      <c r="AQ42" s="1025"/>
      <c r="AR42" s="1149" t="str">
        <f t="shared" si="20"/>
        <v/>
      </c>
      <c r="AS42" s="1093">
        <f t="shared" si="21"/>
        <v>6</v>
      </c>
      <c r="AT42" s="1156">
        <v>2</v>
      </c>
      <c r="AU42" s="449"/>
      <c r="AV42" s="1205"/>
    </row>
    <row r="43" spans="1:48" ht="16.5" customHeight="1">
      <c r="A43" s="1005">
        <f t="shared" si="10"/>
        <v>46267</v>
      </c>
      <c r="B43" s="1005">
        <f t="shared" si="11"/>
        <v>46266</v>
      </c>
      <c r="C43" s="1150">
        <f t="shared" si="12"/>
        <v>2</v>
      </c>
      <c r="D43" s="1150">
        <f t="shared" si="13"/>
        <v>32</v>
      </c>
      <c r="E43" s="1006" t="str">
        <f t="shared" si="14"/>
        <v>D</v>
      </c>
      <c r="F43" s="1007" t="str">
        <f t="shared" si="15"/>
        <v>A</v>
      </c>
      <c r="G43" s="1008">
        <f t="shared" si="16"/>
        <v>85245</v>
      </c>
      <c r="H43" s="1138">
        <f t="shared" si="17"/>
        <v>0.19027777777777777</v>
      </c>
      <c r="I43" s="1009">
        <v>0.19027777777777777</v>
      </c>
      <c r="J43" s="1010">
        <f t="shared" si="18"/>
        <v>47.999999999999986</v>
      </c>
      <c r="K43" s="1011"/>
      <c r="L43" s="1012"/>
      <c r="M43" s="1013"/>
      <c r="N43" s="1014" t="str">
        <f t="shared" si="19"/>
        <v/>
      </c>
      <c r="O43" s="1323" t="s">
        <v>569</v>
      </c>
      <c r="P43" s="1324"/>
      <c r="Q43" s="1324"/>
      <c r="R43" s="1324"/>
      <c r="S43" s="1324"/>
      <c r="T43" s="1325"/>
      <c r="U43" s="1015">
        <v>1.8</v>
      </c>
      <c r="V43" s="1015">
        <v>2.7</v>
      </c>
      <c r="W43" s="1015">
        <v>1.5</v>
      </c>
      <c r="X43" s="1015"/>
      <c r="Y43" s="1015"/>
      <c r="Z43" s="1016">
        <f>'09월 에너지'!S45</f>
        <v>143.5</v>
      </c>
      <c r="AA43" s="1017">
        <v>2368</v>
      </c>
      <c r="AB43" s="1208" t="s">
        <v>573</v>
      </c>
      <c r="AC43" s="1208" t="s">
        <v>548</v>
      </c>
      <c r="AD43" s="1208" t="s">
        <v>532</v>
      </c>
      <c r="AE43" s="1208"/>
      <c r="AF43" s="1208" t="s">
        <v>548</v>
      </c>
      <c r="AG43" s="1018">
        <f>'09월 화학성분'!AM43</f>
        <v>1817</v>
      </c>
      <c r="AH43" s="1006">
        <f t="shared" si="9"/>
        <v>40</v>
      </c>
      <c r="AI43" s="1019">
        <v>1590</v>
      </c>
      <c r="AJ43" s="1020">
        <v>0</v>
      </c>
      <c r="AK43" s="1021">
        <v>573</v>
      </c>
      <c r="AL43" s="1022">
        <v>7</v>
      </c>
      <c r="AM43" s="1155">
        <f>IF(AT43="","",3*'09월 에너지'!S45*(1/(3+7.8*(100-AT43)/AT43)))</f>
        <v>0.44372294372294369</v>
      </c>
      <c r="AN43" s="1023">
        <v>0.16944444444444443</v>
      </c>
      <c r="AO43" s="1024" t="s">
        <v>538</v>
      </c>
      <c r="AP43" s="1025">
        <v>2000040</v>
      </c>
      <c r="AQ43" s="1025">
        <v>2124</v>
      </c>
      <c r="AR43" s="1149">
        <v>1</v>
      </c>
      <c r="AS43" s="1093" t="str">
        <f t="shared" si="21"/>
        <v xml:space="preserve"> </v>
      </c>
      <c r="AT43" s="1156">
        <v>0.8</v>
      </c>
      <c r="AU43" s="449"/>
      <c r="AV43" s="1205"/>
    </row>
    <row r="44" spans="1:48" ht="16.5" customHeight="1">
      <c r="A44" s="1005">
        <f t="shared" si="10"/>
        <v>46267</v>
      </c>
      <c r="B44" s="1005">
        <f t="shared" si="11"/>
        <v>46266</v>
      </c>
      <c r="C44" s="1150">
        <f t="shared" si="12"/>
        <v>3</v>
      </c>
      <c r="D44" s="1150">
        <f t="shared" si="13"/>
        <v>33</v>
      </c>
      <c r="E44" s="1006" t="str">
        <f t="shared" si="14"/>
        <v>D</v>
      </c>
      <c r="F44" s="1007" t="str">
        <f t="shared" si="15"/>
        <v>B</v>
      </c>
      <c r="G44" s="1008">
        <f t="shared" si="16"/>
        <v>85246</v>
      </c>
      <c r="H44" s="1138">
        <f t="shared" si="17"/>
        <v>0.22361111111111109</v>
      </c>
      <c r="I44" s="1009">
        <v>0.22708333333333333</v>
      </c>
      <c r="J44" s="1010">
        <f t="shared" si="18"/>
        <v>53.000000000000014</v>
      </c>
      <c r="K44" s="1011"/>
      <c r="L44" s="1012"/>
      <c r="M44" s="1013"/>
      <c r="N44" s="1014" t="str">
        <f t="shared" si="19"/>
        <v/>
      </c>
      <c r="O44" s="1323" t="s">
        <v>574</v>
      </c>
      <c r="P44" s="1324"/>
      <c r="Q44" s="1324"/>
      <c r="R44" s="1324"/>
      <c r="S44" s="1324"/>
      <c r="T44" s="1325"/>
      <c r="U44" s="1015">
        <v>1.8</v>
      </c>
      <c r="V44" s="1015"/>
      <c r="W44" s="1015"/>
      <c r="X44" s="1015"/>
      <c r="Y44" s="1015">
        <v>2.5</v>
      </c>
      <c r="Z44" s="1016">
        <f>'09월 에너지'!S46</f>
        <v>144.4</v>
      </c>
      <c r="AA44" s="1017">
        <v>2386</v>
      </c>
      <c r="AB44" s="1208" t="s">
        <v>572</v>
      </c>
      <c r="AC44" s="1208" t="s">
        <v>548</v>
      </c>
      <c r="AD44" s="1208" t="s">
        <v>548</v>
      </c>
      <c r="AE44" s="1208"/>
      <c r="AF44" s="1208" t="s">
        <v>548</v>
      </c>
      <c r="AG44" s="1018">
        <f>'09월 화학성분'!AM44</f>
        <v>2271</v>
      </c>
      <c r="AH44" s="1006">
        <f t="shared" si="9"/>
        <v>41</v>
      </c>
      <c r="AI44" s="1019">
        <v>1596</v>
      </c>
      <c r="AJ44" s="1020">
        <v>14</v>
      </c>
      <c r="AK44" s="1021">
        <v>749</v>
      </c>
      <c r="AL44" s="1022">
        <v>5</v>
      </c>
      <c r="AM44" s="1155">
        <f>IF(AT44="","",3*'09월 에너지'!S46*(1/(3+7.8*(100-AT44)/AT44)))</f>
        <v>0.78429546865301059</v>
      </c>
      <c r="AN44" s="1023">
        <v>0.17500000000000002</v>
      </c>
      <c r="AO44" s="1024"/>
      <c r="AP44" s="1025"/>
      <c r="AQ44" s="1025"/>
      <c r="AR44" s="1149" t="str">
        <f t="shared" si="20"/>
        <v/>
      </c>
      <c r="AS44" s="1093">
        <f t="shared" si="21"/>
        <v>7</v>
      </c>
      <c r="AT44" s="1156">
        <v>1.4</v>
      </c>
      <c r="AU44" s="449"/>
      <c r="AV44" s="1205"/>
    </row>
    <row r="45" spans="1:48" ht="16.5" customHeight="1">
      <c r="A45" s="1005">
        <f t="shared" si="10"/>
        <v>46267</v>
      </c>
      <c r="B45" s="1005">
        <f t="shared" si="11"/>
        <v>46266</v>
      </c>
      <c r="C45" s="1150">
        <f t="shared" si="12"/>
        <v>4</v>
      </c>
      <c r="D45" s="1150">
        <f t="shared" si="13"/>
        <v>34</v>
      </c>
      <c r="E45" s="1006" t="str">
        <f t="shared" si="14"/>
        <v>D</v>
      </c>
      <c r="F45" s="1007" t="str">
        <f t="shared" si="15"/>
        <v>A</v>
      </c>
      <c r="G45" s="1008">
        <f t="shared" si="16"/>
        <v>85247</v>
      </c>
      <c r="H45" s="1138">
        <f t="shared" si="17"/>
        <v>0.26041666666666669</v>
      </c>
      <c r="I45" s="1009">
        <v>0.25694444444444448</v>
      </c>
      <c r="J45" s="1010">
        <f t="shared" si="18"/>
        <v>43.00000000000005</v>
      </c>
      <c r="K45" s="1011"/>
      <c r="L45" s="1012"/>
      <c r="M45" s="1013"/>
      <c r="N45" s="1014" t="str">
        <f t="shared" si="19"/>
        <v/>
      </c>
      <c r="O45" s="1323" t="s">
        <v>576</v>
      </c>
      <c r="P45" s="1324"/>
      <c r="Q45" s="1324"/>
      <c r="R45" s="1324"/>
      <c r="S45" s="1324"/>
      <c r="T45" s="1325"/>
      <c r="U45" s="1015">
        <v>1.8</v>
      </c>
      <c r="V45" s="1015"/>
      <c r="W45" s="1015"/>
      <c r="X45" s="1015"/>
      <c r="Y45" s="1015">
        <v>2.8</v>
      </c>
      <c r="Z45" s="1016">
        <f>'09월 에너지'!S47</f>
        <v>143.69999999999999</v>
      </c>
      <c r="AA45" s="1017"/>
      <c r="AB45" s="1208"/>
      <c r="AC45" s="1208"/>
      <c r="AD45" s="1208"/>
      <c r="AE45" s="1208"/>
      <c r="AF45" s="1208"/>
      <c r="AG45" s="1018">
        <f>'09월 화학성분'!AM45</f>
        <v>1944</v>
      </c>
      <c r="AH45" s="1006">
        <f t="shared" si="9"/>
        <v>42</v>
      </c>
      <c r="AI45" s="1019">
        <v>1591</v>
      </c>
      <c r="AJ45" s="1020">
        <v>0</v>
      </c>
      <c r="AK45" s="1021" t="s">
        <v>552</v>
      </c>
      <c r="AL45" s="1022" t="s">
        <v>552</v>
      </c>
      <c r="AM45" s="1155">
        <f>IF(AT45="","",3*'09월 에너지'!S47*(1/(3+7.8*(100-AT45)/AT45)))</f>
        <v>0.78049348230912474</v>
      </c>
      <c r="AN45" s="1023">
        <v>0.16250000000000001</v>
      </c>
      <c r="AO45" s="1024"/>
      <c r="AP45" s="1025"/>
      <c r="AQ45" s="1025"/>
      <c r="AR45" s="1149">
        <f t="shared" si="20"/>
        <v>2</v>
      </c>
      <c r="AS45" s="1093" t="str">
        <f t="shared" si="21"/>
        <v xml:space="preserve"> </v>
      </c>
      <c r="AT45" s="1156">
        <v>1.4</v>
      </c>
      <c r="AU45" s="449"/>
      <c r="AV45" s="1205"/>
    </row>
    <row r="46" spans="1:48" ht="16.5" customHeight="1">
      <c r="A46" s="1005">
        <f t="shared" si="10"/>
        <v>46267</v>
      </c>
      <c r="B46" s="1005">
        <v>46267</v>
      </c>
      <c r="C46" s="1150">
        <f t="shared" si="12"/>
        <v>5</v>
      </c>
      <c r="D46" s="1150">
        <f t="shared" si="13"/>
        <v>35</v>
      </c>
      <c r="E46" s="1006" t="s">
        <v>578</v>
      </c>
      <c r="F46" s="1007" t="str">
        <f t="shared" si="15"/>
        <v>B</v>
      </c>
      <c r="G46" s="1008">
        <f t="shared" si="16"/>
        <v>85248</v>
      </c>
      <c r="H46" s="1138">
        <f t="shared" si="17"/>
        <v>0.2902777777777778</v>
      </c>
      <c r="I46" s="1009">
        <v>0.28819444444444448</v>
      </c>
      <c r="J46" s="1010">
        <f t="shared" si="18"/>
        <v>45</v>
      </c>
      <c r="K46" s="1011"/>
      <c r="L46" s="1012"/>
      <c r="M46" s="1013"/>
      <c r="N46" s="1014" t="str">
        <f t="shared" si="19"/>
        <v/>
      </c>
      <c r="O46" s="1326" t="s">
        <v>567</v>
      </c>
      <c r="P46" s="1324"/>
      <c r="Q46" s="1324"/>
      <c r="R46" s="1324"/>
      <c r="S46" s="1324"/>
      <c r="T46" s="1325"/>
      <c r="U46" s="1015">
        <v>1.8</v>
      </c>
      <c r="V46" s="1015">
        <v>2.4</v>
      </c>
      <c r="W46" s="1015">
        <v>1.8</v>
      </c>
      <c r="X46" s="1015"/>
      <c r="Y46" s="1015"/>
      <c r="Z46" s="1016">
        <f>'09월 에너지'!S48</f>
        <v>140.5</v>
      </c>
      <c r="AA46" s="1017"/>
      <c r="AB46" s="1208"/>
      <c r="AC46" s="1208"/>
      <c r="AD46" s="1208"/>
      <c r="AE46" s="1208"/>
      <c r="AF46" s="1208"/>
      <c r="AG46" s="1018">
        <f>'09월 화학성분'!AM46</f>
        <v>2234</v>
      </c>
      <c r="AH46" s="1006">
        <f t="shared" si="9"/>
        <v>43</v>
      </c>
      <c r="AI46" s="1019">
        <v>1570</v>
      </c>
      <c r="AJ46" s="1020">
        <v>0</v>
      </c>
      <c r="AK46" s="1021">
        <v>584</v>
      </c>
      <c r="AL46" s="1022">
        <v>7</v>
      </c>
      <c r="AM46" s="1155">
        <f>IF(AT46="","",3*'09월 에너지'!S48*(1/(3+7.8*(100-AT46)/AT46)))</f>
        <v>0.98358742999377713</v>
      </c>
      <c r="AN46" s="1023">
        <v>0.16666666666666666</v>
      </c>
      <c r="AO46" s="1024"/>
      <c r="AP46" s="1025"/>
      <c r="AQ46" s="1025"/>
      <c r="AR46" s="1149" t="str">
        <f t="shared" si="20"/>
        <v/>
      </c>
      <c r="AS46" s="1093">
        <f t="shared" si="21"/>
        <v>8</v>
      </c>
      <c r="AT46" s="1156">
        <v>1.8</v>
      </c>
      <c r="AU46" s="449"/>
      <c r="AV46" s="1205"/>
    </row>
    <row r="47" spans="1:48" ht="16.5" customHeight="1">
      <c r="A47" s="1005">
        <f t="shared" si="10"/>
        <v>46267</v>
      </c>
      <c r="B47" s="1005">
        <f t="shared" si="11"/>
        <v>46267</v>
      </c>
      <c r="C47" s="1150">
        <f t="shared" si="12"/>
        <v>6</v>
      </c>
      <c r="D47" s="1150">
        <f t="shared" si="13"/>
        <v>36</v>
      </c>
      <c r="E47" s="1006" t="str">
        <f t="shared" si="14"/>
        <v>A</v>
      </c>
      <c r="F47" s="1007" t="str">
        <f t="shared" si="15"/>
        <v>A</v>
      </c>
      <c r="G47" s="1008">
        <f t="shared" si="16"/>
        <v>85249</v>
      </c>
      <c r="H47" s="1138">
        <f t="shared" si="17"/>
        <v>0.3215277777777778</v>
      </c>
      <c r="I47" s="1009">
        <v>0.3215277777777778</v>
      </c>
      <c r="J47" s="1010">
        <f t="shared" si="18"/>
        <v>47.999999999999986</v>
      </c>
      <c r="K47" s="1011"/>
      <c r="L47" s="1012">
        <v>3</v>
      </c>
      <c r="M47" s="1013"/>
      <c r="N47" s="1014" t="str">
        <f t="shared" si="19"/>
        <v/>
      </c>
      <c r="O47" s="1323" t="s">
        <v>579</v>
      </c>
      <c r="P47" s="1324"/>
      <c r="Q47" s="1324"/>
      <c r="R47" s="1324"/>
      <c r="S47" s="1324"/>
      <c r="T47" s="1325"/>
      <c r="U47" s="1015">
        <v>1.8</v>
      </c>
      <c r="V47" s="1015">
        <v>2.5</v>
      </c>
      <c r="W47" s="1015">
        <v>1.5</v>
      </c>
      <c r="X47" s="1015"/>
      <c r="Y47" s="1015"/>
      <c r="Z47" s="1016">
        <f>'09월 에너지'!S49</f>
        <v>140.69999999999999</v>
      </c>
      <c r="AA47" s="1017"/>
      <c r="AB47" s="1208"/>
      <c r="AC47" s="1208"/>
      <c r="AD47" s="1208"/>
      <c r="AE47" s="1208"/>
      <c r="AF47" s="1208"/>
      <c r="AG47" s="1018">
        <f>'09월 화학성분'!AM47</f>
        <v>2028</v>
      </c>
      <c r="AH47" s="1006">
        <f t="shared" si="9"/>
        <v>44</v>
      </c>
      <c r="AI47" s="1019">
        <v>1622</v>
      </c>
      <c r="AJ47" s="1020">
        <v>0</v>
      </c>
      <c r="AK47" s="1021">
        <v>940</v>
      </c>
      <c r="AL47" s="1022">
        <v>4</v>
      </c>
      <c r="AM47" s="1155">
        <f>IF(AT47="","",3*'09월 에너지'!S49*(1/(3+7.8*(100-AT47)/AT47)))</f>
        <v>0.70917338709677402</v>
      </c>
      <c r="AN47" s="1023">
        <v>0.17777777777777778</v>
      </c>
      <c r="AO47" s="1024"/>
      <c r="AP47" s="1025"/>
      <c r="AQ47" s="1025"/>
      <c r="AR47" s="1149">
        <f t="shared" si="20"/>
        <v>3</v>
      </c>
      <c r="AS47" s="1093" t="str">
        <f t="shared" si="21"/>
        <v xml:space="preserve"> </v>
      </c>
      <c r="AT47" s="1156">
        <v>1.3</v>
      </c>
      <c r="AU47" s="449"/>
      <c r="AV47" s="1205"/>
    </row>
    <row r="48" spans="1:48" ht="16.5" customHeight="1">
      <c r="A48" s="1005">
        <f t="shared" si="10"/>
        <v>46267</v>
      </c>
      <c r="B48" s="1005">
        <f t="shared" si="11"/>
        <v>46267</v>
      </c>
      <c r="C48" s="1150">
        <f t="shared" si="12"/>
        <v>7</v>
      </c>
      <c r="D48" s="1150">
        <f t="shared" si="13"/>
        <v>37</v>
      </c>
      <c r="E48" s="1006" t="str">
        <f t="shared" si="14"/>
        <v>A</v>
      </c>
      <c r="F48" s="1007" t="str">
        <f t="shared" si="15"/>
        <v>B</v>
      </c>
      <c r="G48" s="1008">
        <f t="shared" si="16"/>
        <v>85250</v>
      </c>
      <c r="H48" s="1138">
        <f t="shared" si="17"/>
        <v>0.35486111111111113</v>
      </c>
      <c r="I48" s="1009">
        <v>0.3520833333333333</v>
      </c>
      <c r="J48" s="1010">
        <f t="shared" si="18"/>
        <v>43.999999999999922</v>
      </c>
      <c r="K48" s="1011"/>
      <c r="L48" s="1012"/>
      <c r="M48" s="1013"/>
      <c r="N48" s="1014" t="str">
        <f t="shared" si="19"/>
        <v/>
      </c>
      <c r="O48" s="1323"/>
      <c r="P48" s="1324"/>
      <c r="Q48" s="1324"/>
      <c r="R48" s="1324"/>
      <c r="S48" s="1324"/>
      <c r="T48" s="1325"/>
      <c r="U48" s="1015">
        <v>1.8</v>
      </c>
      <c r="V48" s="1015"/>
      <c r="W48" s="1015"/>
      <c r="X48" s="1015"/>
      <c r="Y48" s="1015">
        <v>2.4</v>
      </c>
      <c r="Z48" s="1016">
        <f>'09월 에너지'!S50</f>
        <v>143.69999999999999</v>
      </c>
      <c r="AA48" s="1017"/>
      <c r="AB48" s="1208"/>
      <c r="AC48" s="1208"/>
      <c r="AD48" s="1208"/>
      <c r="AE48" s="1208"/>
      <c r="AF48" s="1208"/>
      <c r="AG48" s="1018">
        <f>'09월 화학성분'!AM48</f>
        <v>2460</v>
      </c>
      <c r="AH48" s="1006">
        <f t="shared" si="9"/>
        <v>45</v>
      </c>
      <c r="AI48" s="1019">
        <v>1570</v>
      </c>
      <c r="AJ48" s="1020">
        <v>74</v>
      </c>
      <c r="AK48" s="1021">
        <v>579</v>
      </c>
      <c r="AL48" s="1022">
        <v>7</v>
      </c>
      <c r="AM48" s="1155">
        <f>IF(AT48="","",3*'09월 에너지'!S50*(1/(3+7.8*(100-AT48)/AT48)))</f>
        <v>1.0625389165628891</v>
      </c>
      <c r="AN48" s="1023">
        <v>0.16805555555555554</v>
      </c>
      <c r="AO48" s="1024"/>
      <c r="AP48" s="1025"/>
      <c r="AQ48" s="1025"/>
      <c r="AR48" s="1149" t="str">
        <f t="shared" si="20"/>
        <v/>
      </c>
      <c r="AS48" s="1093">
        <f t="shared" si="21"/>
        <v>9</v>
      </c>
      <c r="AT48" s="1156">
        <v>1.9</v>
      </c>
      <c r="AU48" s="449"/>
      <c r="AV48" s="1205"/>
    </row>
    <row r="49" spans="1:48" ht="16.5" customHeight="1">
      <c r="A49" s="1005">
        <f t="shared" si="10"/>
        <v>46267</v>
      </c>
      <c r="B49" s="1005">
        <f t="shared" si="11"/>
        <v>46267</v>
      </c>
      <c r="C49" s="1150">
        <f t="shared" si="12"/>
        <v>8</v>
      </c>
      <c r="D49" s="1150">
        <f t="shared" si="13"/>
        <v>38</v>
      </c>
      <c r="E49" s="1006" t="str">
        <f t="shared" si="14"/>
        <v>A</v>
      </c>
      <c r="F49" s="1007" t="str">
        <f t="shared" si="15"/>
        <v>A</v>
      </c>
      <c r="G49" s="1008">
        <f t="shared" si="16"/>
        <v>85251</v>
      </c>
      <c r="H49" s="1138">
        <f t="shared" si="17"/>
        <v>0.38541666666666663</v>
      </c>
      <c r="I49" s="1009">
        <v>0.3833333333333333</v>
      </c>
      <c r="J49" s="1010">
        <f t="shared" si="18"/>
        <v>45</v>
      </c>
      <c r="K49" s="1011"/>
      <c r="L49" s="1012"/>
      <c r="M49" s="1013"/>
      <c r="N49" s="1014" t="str">
        <f t="shared" si="19"/>
        <v/>
      </c>
      <c r="O49" s="1323" t="s">
        <v>580</v>
      </c>
      <c r="P49" s="1324"/>
      <c r="Q49" s="1324"/>
      <c r="R49" s="1324"/>
      <c r="S49" s="1324"/>
      <c r="T49" s="1325"/>
      <c r="U49" s="1015">
        <v>1.8</v>
      </c>
      <c r="V49" s="1015"/>
      <c r="W49" s="1015"/>
      <c r="X49" s="1015"/>
      <c r="Y49" s="1015">
        <v>2.7</v>
      </c>
      <c r="Z49" s="1016">
        <f>'09월 에너지'!S51</f>
        <v>142.69999999999999</v>
      </c>
      <c r="AA49" s="1017"/>
      <c r="AB49" s="1208"/>
      <c r="AC49" s="1208"/>
      <c r="AD49" s="1208"/>
      <c r="AE49" s="1208"/>
      <c r="AF49" s="1208"/>
      <c r="AG49" s="1018">
        <f>'09월 화학성분'!AM49</f>
        <v>552</v>
      </c>
      <c r="AH49" s="1006">
        <f t="shared" si="9"/>
        <v>46</v>
      </c>
      <c r="AI49" s="1019">
        <v>1560</v>
      </c>
      <c r="AJ49" s="1020">
        <v>137</v>
      </c>
      <c r="AK49" s="1021">
        <v>503</v>
      </c>
      <c r="AL49" s="1022">
        <v>8</v>
      </c>
      <c r="AM49" s="1155">
        <f>IF(AT49="","",3*'09월 에너지'!S51*(1/(3+7.8*(100-AT49)/AT49)))</f>
        <v>1.6205748746867168</v>
      </c>
      <c r="AN49" s="1023">
        <v>0.16666666666666666</v>
      </c>
      <c r="AO49" s="1024"/>
      <c r="AP49" s="1025"/>
      <c r="AQ49" s="1025"/>
      <c r="AR49" s="1149">
        <f t="shared" si="20"/>
        <v>4</v>
      </c>
      <c r="AS49" s="1093" t="str">
        <f t="shared" si="21"/>
        <v xml:space="preserve"> </v>
      </c>
      <c r="AT49" s="1156">
        <v>2.9</v>
      </c>
      <c r="AU49" s="449"/>
      <c r="AV49" s="1205"/>
    </row>
    <row r="50" spans="1:48" ht="16.5" customHeight="1">
      <c r="A50" s="1005">
        <f t="shared" si="10"/>
        <v>46267</v>
      </c>
      <c r="B50" s="1005">
        <f t="shared" si="11"/>
        <v>46267</v>
      </c>
      <c r="C50" s="1150">
        <f t="shared" si="12"/>
        <v>9</v>
      </c>
      <c r="D50" s="1150">
        <f t="shared" si="13"/>
        <v>39</v>
      </c>
      <c r="E50" s="1006" t="str">
        <f t="shared" si="14"/>
        <v>A</v>
      </c>
      <c r="F50" s="1007" t="str">
        <f t="shared" si="15"/>
        <v>B</v>
      </c>
      <c r="G50" s="1008">
        <f t="shared" si="16"/>
        <v>85252</v>
      </c>
      <c r="H50" s="1138">
        <f t="shared" si="17"/>
        <v>0.41666666666666663</v>
      </c>
      <c r="I50" s="1009">
        <v>0.41597222222222219</v>
      </c>
      <c r="J50" s="1010">
        <f t="shared" si="18"/>
        <v>46.999999999999993</v>
      </c>
      <c r="K50" s="1011"/>
      <c r="L50" s="1012"/>
      <c r="M50" s="1013"/>
      <c r="N50" s="1014" t="str">
        <f t="shared" si="19"/>
        <v/>
      </c>
      <c r="O50" s="1326" t="s">
        <v>568</v>
      </c>
      <c r="P50" s="1324"/>
      <c r="Q50" s="1324"/>
      <c r="R50" s="1324"/>
      <c r="S50" s="1324"/>
      <c r="T50" s="1325"/>
      <c r="U50" s="1015">
        <v>1.8</v>
      </c>
      <c r="V50" s="1015"/>
      <c r="W50" s="1015"/>
      <c r="X50" s="1015">
        <v>3.3</v>
      </c>
      <c r="Y50" s="1015"/>
      <c r="Z50" s="1016">
        <f>'09월 에너지'!S52</f>
        <v>142.30000000000001</v>
      </c>
      <c r="AA50" s="1017"/>
      <c r="AB50" s="1208"/>
      <c r="AC50" s="1208"/>
      <c r="AD50" s="1208"/>
      <c r="AE50" s="1208"/>
      <c r="AF50" s="1208"/>
      <c r="AG50" s="1018">
        <f>'09월 화학성분'!AM50</f>
        <v>2269</v>
      </c>
      <c r="AH50" s="1006">
        <f t="shared" si="9"/>
        <v>47</v>
      </c>
      <c r="AI50" s="1019">
        <v>1561</v>
      </c>
      <c r="AJ50" s="1020">
        <v>0</v>
      </c>
      <c r="AK50" s="1021">
        <v>396</v>
      </c>
      <c r="AL50" s="1022">
        <v>11</v>
      </c>
      <c r="AM50" s="1155">
        <f>IF(AT50="","",3*'09월 에너지'!S52*(1/(3+7.8*(100-AT50)/AT50)))</f>
        <v>1.6160322681704262</v>
      </c>
      <c r="AN50" s="1023">
        <v>0.15555555555555556</v>
      </c>
      <c r="AO50" s="1024"/>
      <c r="AP50" s="1025"/>
      <c r="AQ50" s="1025"/>
      <c r="AR50" s="1149" t="str">
        <f t="shared" si="20"/>
        <v/>
      </c>
      <c r="AS50" s="1093">
        <f t="shared" si="21"/>
        <v>10</v>
      </c>
      <c r="AT50" s="1156">
        <v>2.9</v>
      </c>
      <c r="AU50" s="449"/>
      <c r="AV50" s="1205"/>
    </row>
    <row r="51" spans="1:48" ht="16.5" customHeight="1">
      <c r="A51" s="1005">
        <f t="shared" si="10"/>
        <v>46267</v>
      </c>
      <c r="B51" s="1005">
        <f t="shared" si="11"/>
        <v>46267</v>
      </c>
      <c r="C51" s="1150">
        <f t="shared" si="12"/>
        <v>10</v>
      </c>
      <c r="D51" s="1150">
        <f t="shared" si="13"/>
        <v>40</v>
      </c>
      <c r="E51" s="1006" t="str">
        <f t="shared" si="14"/>
        <v>A</v>
      </c>
      <c r="F51" s="1007" t="str">
        <f t="shared" si="15"/>
        <v>A</v>
      </c>
      <c r="G51" s="1008">
        <f t="shared" si="16"/>
        <v>85253</v>
      </c>
      <c r="H51" s="1138">
        <f t="shared" si="17"/>
        <v>0.44930555555555551</v>
      </c>
      <c r="I51" s="1009">
        <v>0.4458333333333333</v>
      </c>
      <c r="J51" s="1010">
        <f t="shared" si="18"/>
        <v>43.000000000000007</v>
      </c>
      <c r="K51" s="1011"/>
      <c r="L51" s="1012"/>
      <c r="M51" s="1013"/>
      <c r="N51" s="1014" t="str">
        <f t="shared" si="19"/>
        <v/>
      </c>
      <c r="O51" s="1323"/>
      <c r="P51" s="1324"/>
      <c r="Q51" s="1324"/>
      <c r="R51" s="1324"/>
      <c r="S51" s="1324"/>
      <c r="T51" s="1325"/>
      <c r="U51" s="1015">
        <v>1.8</v>
      </c>
      <c r="V51" s="1015">
        <v>2.8</v>
      </c>
      <c r="W51" s="1015"/>
      <c r="X51" s="1015"/>
      <c r="Y51" s="1015"/>
      <c r="Z51" s="1016">
        <f>'09월 에너지'!S53</f>
        <v>143.9</v>
      </c>
      <c r="AA51" s="1017"/>
      <c r="AB51" s="1208"/>
      <c r="AC51" s="1208"/>
      <c r="AD51" s="1208"/>
      <c r="AE51" s="1208"/>
      <c r="AF51" s="1208"/>
      <c r="AG51" s="1018">
        <f>'09월 화학성분'!AM51</f>
        <v>1478</v>
      </c>
      <c r="AH51" s="1006">
        <f t="shared" si="9"/>
        <v>48</v>
      </c>
      <c r="AI51" s="1019">
        <v>1587</v>
      </c>
      <c r="AJ51" s="1020">
        <v>0</v>
      </c>
      <c r="AK51" s="1021">
        <v>507</v>
      </c>
      <c r="AL51" s="1022">
        <v>8</v>
      </c>
      <c r="AM51" s="1155">
        <f>IF(AT51="","",3*'09월 에너지'!S53*(1/(3+7.8*(100-AT51)/AT51)))</f>
        <v>0.72530241935483875</v>
      </c>
      <c r="AN51" s="1023">
        <v>0.16319444444444445</v>
      </c>
      <c r="AO51" s="1024"/>
      <c r="AP51" s="1025"/>
      <c r="AQ51" s="1025"/>
      <c r="AR51" s="1149">
        <f t="shared" si="20"/>
        <v>5</v>
      </c>
      <c r="AS51" s="1093" t="str">
        <f t="shared" si="21"/>
        <v xml:space="preserve"> </v>
      </c>
      <c r="AT51" s="1156">
        <v>1.3</v>
      </c>
      <c r="AU51" s="449"/>
      <c r="AV51" s="1205"/>
    </row>
    <row r="52" spans="1:48" ht="16.5" customHeight="1">
      <c r="A52" s="1005">
        <f t="shared" si="10"/>
        <v>46267</v>
      </c>
      <c r="B52" s="1005">
        <f t="shared" si="11"/>
        <v>46267</v>
      </c>
      <c r="C52" s="1150">
        <f t="shared" si="12"/>
        <v>11</v>
      </c>
      <c r="D52" s="1150">
        <f t="shared" si="13"/>
        <v>41</v>
      </c>
      <c r="E52" s="1006" t="str">
        <f t="shared" si="14"/>
        <v>A</v>
      </c>
      <c r="F52" s="1007" t="str">
        <f t="shared" si="15"/>
        <v>B</v>
      </c>
      <c r="G52" s="1008">
        <f t="shared" si="16"/>
        <v>85254</v>
      </c>
      <c r="H52" s="1138">
        <f t="shared" si="17"/>
        <v>0.47916666666666663</v>
      </c>
      <c r="I52" s="1009">
        <v>0.4777777777777778</v>
      </c>
      <c r="J52" s="1010">
        <f t="shared" si="18"/>
        <v>46.000000000000078</v>
      </c>
      <c r="K52" s="1011"/>
      <c r="L52" s="1012"/>
      <c r="M52" s="1013"/>
      <c r="N52" s="1014" t="str">
        <f t="shared" si="19"/>
        <v/>
      </c>
      <c r="O52" s="1323"/>
      <c r="P52" s="1324"/>
      <c r="Q52" s="1324"/>
      <c r="R52" s="1324"/>
      <c r="S52" s="1324"/>
      <c r="T52" s="1325"/>
      <c r="U52" s="1015">
        <v>1.8</v>
      </c>
      <c r="V52" s="1015"/>
      <c r="W52" s="1015"/>
      <c r="X52" s="1015"/>
      <c r="Y52" s="1015">
        <v>2.6</v>
      </c>
      <c r="Z52" s="1016">
        <f>'09월 에너지'!S54</f>
        <v>144</v>
      </c>
      <c r="AA52" s="1017"/>
      <c r="AB52" s="1208"/>
      <c r="AC52" s="1208"/>
      <c r="AD52" s="1208"/>
      <c r="AE52" s="1208"/>
      <c r="AF52" s="1208"/>
      <c r="AG52" s="1018">
        <f>'09월 화학성분'!AM52</f>
        <v>2046</v>
      </c>
      <c r="AH52" s="1006">
        <f t="shared" si="9"/>
        <v>49</v>
      </c>
      <c r="AI52" s="1019">
        <v>1556</v>
      </c>
      <c r="AJ52" s="1020">
        <v>0</v>
      </c>
      <c r="AK52" s="1021">
        <v>350</v>
      </c>
      <c r="AL52" s="1022">
        <v>12</v>
      </c>
      <c r="AM52" s="1155">
        <f>IF(AT52="","",3*'09월 에너지'!S54*(1/(3+7.8*(100-AT52)/AT52)))</f>
        <v>0.83850931677018647</v>
      </c>
      <c r="AN52" s="1023">
        <v>0.15208333333333332</v>
      </c>
      <c r="AO52" s="1024"/>
      <c r="AP52" s="1025"/>
      <c r="AQ52" s="1025"/>
      <c r="AR52" s="1149" t="str">
        <f t="shared" si="20"/>
        <v/>
      </c>
      <c r="AS52" s="1093">
        <f t="shared" si="21"/>
        <v>11</v>
      </c>
      <c r="AT52" s="1156">
        <v>1.5</v>
      </c>
      <c r="AU52" s="449"/>
      <c r="AV52" s="1205"/>
    </row>
    <row r="53" spans="1:48" ht="16.5" customHeight="1">
      <c r="A53" s="1005">
        <f t="shared" si="10"/>
        <v>46267</v>
      </c>
      <c r="B53" s="1005">
        <f t="shared" si="11"/>
        <v>46267</v>
      </c>
      <c r="C53" s="1150">
        <f t="shared" si="12"/>
        <v>12</v>
      </c>
      <c r="D53" s="1150">
        <f t="shared" si="13"/>
        <v>42</v>
      </c>
      <c r="E53" s="1006" t="str">
        <f t="shared" si="14"/>
        <v>A</v>
      </c>
      <c r="F53" s="1007" t="str">
        <f t="shared" si="15"/>
        <v>A</v>
      </c>
      <c r="G53" s="1008">
        <f t="shared" si="16"/>
        <v>85255</v>
      </c>
      <c r="H53" s="1138">
        <f t="shared" si="17"/>
        <v>0.51111111111111118</v>
      </c>
      <c r="I53" s="1009">
        <v>0.50763888888888886</v>
      </c>
      <c r="J53" s="1010">
        <f t="shared" si="18"/>
        <v>42.999999999999929</v>
      </c>
      <c r="K53" s="1011"/>
      <c r="L53" s="1012"/>
      <c r="M53" s="1013"/>
      <c r="N53" s="1014" t="str">
        <f t="shared" si="19"/>
        <v/>
      </c>
      <c r="O53" s="1323"/>
      <c r="P53" s="1324"/>
      <c r="Q53" s="1324"/>
      <c r="R53" s="1324"/>
      <c r="S53" s="1324"/>
      <c r="T53" s="1325"/>
      <c r="U53" s="1015">
        <v>1.8</v>
      </c>
      <c r="V53" s="1015"/>
      <c r="W53" s="1015"/>
      <c r="X53" s="1015"/>
      <c r="Y53" s="1015">
        <v>2.5</v>
      </c>
      <c r="Z53" s="1016">
        <f>'09월 에너지'!S55</f>
        <v>143.80000000000001</v>
      </c>
      <c r="AA53" s="1017"/>
      <c r="AB53" s="1208"/>
      <c r="AC53" s="1208"/>
      <c r="AD53" s="1208"/>
      <c r="AE53" s="1208"/>
      <c r="AF53" s="1208"/>
      <c r="AG53" s="1018">
        <f>'09월 화학성분'!AM53</f>
        <v>1839</v>
      </c>
      <c r="AH53" s="1006">
        <f t="shared" si="9"/>
        <v>50</v>
      </c>
      <c r="AI53" s="1019">
        <v>1568</v>
      </c>
      <c r="AJ53" s="1020">
        <v>0</v>
      </c>
      <c r="AK53" s="1021">
        <v>662</v>
      </c>
      <c r="AL53" s="1022">
        <v>6</v>
      </c>
      <c r="AM53" s="1155">
        <f>IF(AT53="","",3*'09월 에너지'!S55*(1/(3+7.8*(100-AT53)/AT53)))</f>
        <v>0.5565015479876162</v>
      </c>
      <c r="AN53" s="1023">
        <v>0.15972222222222224</v>
      </c>
      <c r="AO53" s="1024"/>
      <c r="AP53" s="1025"/>
      <c r="AQ53" s="1025"/>
      <c r="AR53" s="1149">
        <f t="shared" si="20"/>
        <v>6</v>
      </c>
      <c r="AS53" s="1093" t="str">
        <f t="shared" si="21"/>
        <v xml:space="preserve"> </v>
      </c>
      <c r="AT53" s="1156">
        <v>1</v>
      </c>
      <c r="AU53" s="449"/>
      <c r="AV53" s="1205"/>
    </row>
    <row r="54" spans="1:48" ht="16.5" customHeight="1">
      <c r="A54" s="1005">
        <f t="shared" si="10"/>
        <v>46267</v>
      </c>
      <c r="B54" s="1005">
        <f t="shared" si="11"/>
        <v>46267</v>
      </c>
      <c r="C54" s="1150">
        <f t="shared" si="12"/>
        <v>13</v>
      </c>
      <c r="D54" s="1150">
        <f t="shared" si="13"/>
        <v>43</v>
      </c>
      <c r="E54" s="1006" t="str">
        <f t="shared" si="14"/>
        <v>A</v>
      </c>
      <c r="F54" s="1007" t="str">
        <f t="shared" si="15"/>
        <v>B</v>
      </c>
      <c r="G54" s="1008">
        <f t="shared" si="16"/>
        <v>85256</v>
      </c>
      <c r="H54" s="1138">
        <f t="shared" si="17"/>
        <v>0.54097222222222219</v>
      </c>
      <c r="I54" s="1009">
        <v>0.53888888888888886</v>
      </c>
      <c r="J54" s="1010">
        <f t="shared" si="18"/>
        <v>45</v>
      </c>
      <c r="K54" s="1011"/>
      <c r="L54" s="1012">
        <v>2</v>
      </c>
      <c r="M54" s="1013"/>
      <c r="N54" s="1014" t="str">
        <f t="shared" si="19"/>
        <v/>
      </c>
      <c r="O54" s="1326" t="s">
        <v>581</v>
      </c>
      <c r="P54" s="1324"/>
      <c r="Q54" s="1324"/>
      <c r="R54" s="1324"/>
      <c r="S54" s="1324"/>
      <c r="T54" s="1325"/>
      <c r="U54" s="1015">
        <v>1.8</v>
      </c>
      <c r="V54" s="1015"/>
      <c r="W54" s="1015"/>
      <c r="X54" s="1015"/>
      <c r="Y54" s="1015">
        <v>2.5</v>
      </c>
      <c r="Z54" s="1016">
        <f>'09월 에너지'!S56</f>
        <v>142.9</v>
      </c>
      <c r="AA54" s="1017"/>
      <c r="AB54" s="1208"/>
      <c r="AC54" s="1208"/>
      <c r="AD54" s="1208"/>
      <c r="AE54" s="1208"/>
      <c r="AF54" s="1208"/>
      <c r="AG54" s="1018">
        <f>'09월 화학성분'!AM54</f>
        <v>1986</v>
      </c>
      <c r="AH54" s="1006">
        <f t="shared" si="9"/>
        <v>51</v>
      </c>
      <c r="AI54" s="1019">
        <v>1557</v>
      </c>
      <c r="AJ54" s="1020">
        <v>0</v>
      </c>
      <c r="AK54" s="1021">
        <v>318</v>
      </c>
      <c r="AL54" s="1022">
        <v>14</v>
      </c>
      <c r="AM54" s="1155">
        <f>IF(AT54="","",3*'09월 에너지'!S56*(1/(3+7.8*(100-AT54)/AT54)))</f>
        <v>0.83210403726708093</v>
      </c>
      <c r="AN54" s="1023">
        <v>0.15208333333333332</v>
      </c>
      <c r="AO54" s="1024"/>
      <c r="AP54" s="1025"/>
      <c r="AQ54" s="1025"/>
      <c r="AR54" s="1149" t="str">
        <f t="shared" si="20"/>
        <v/>
      </c>
      <c r="AS54" s="1093">
        <f t="shared" si="21"/>
        <v>12</v>
      </c>
      <c r="AT54" s="1156">
        <v>1.5</v>
      </c>
      <c r="AU54" s="449"/>
      <c r="AV54" s="1205"/>
    </row>
    <row r="55" spans="1:48" ht="16.5" customHeight="1">
      <c r="A55" s="1005">
        <f t="shared" si="10"/>
        <v>46267</v>
      </c>
      <c r="B55" s="1005">
        <f t="shared" si="11"/>
        <v>46267</v>
      </c>
      <c r="C55" s="1150">
        <f t="shared" si="12"/>
        <v>14</v>
      </c>
      <c r="D55" s="1150">
        <f t="shared" si="13"/>
        <v>44</v>
      </c>
      <c r="E55" s="1006" t="str">
        <f t="shared" si="14"/>
        <v>A</v>
      </c>
      <c r="F55" s="1007" t="str">
        <f t="shared" si="15"/>
        <v>A</v>
      </c>
      <c r="G55" s="1008">
        <f t="shared" si="16"/>
        <v>85257</v>
      </c>
      <c r="H55" s="1138">
        <f t="shared" si="17"/>
        <v>0.57222222222222219</v>
      </c>
      <c r="I55" s="1009">
        <v>0.57361111111111118</v>
      </c>
      <c r="J55" s="1010">
        <f t="shared" si="18"/>
        <v>50.000000000000142</v>
      </c>
      <c r="K55" s="1011"/>
      <c r="L55" s="1012"/>
      <c r="M55" s="1013"/>
      <c r="N55" s="1014" t="str">
        <f t="shared" si="19"/>
        <v/>
      </c>
      <c r="O55" s="1323"/>
      <c r="P55" s="1324"/>
      <c r="Q55" s="1324"/>
      <c r="R55" s="1324"/>
      <c r="S55" s="1324"/>
      <c r="T55" s="1325"/>
      <c r="U55" s="1015">
        <v>1.8</v>
      </c>
      <c r="V55" s="1015"/>
      <c r="W55" s="1015"/>
      <c r="X55" s="1015"/>
      <c r="Y55" s="1015">
        <v>2.8</v>
      </c>
      <c r="Z55" s="1016">
        <f>'09월 에너지'!S57</f>
        <v>143.4</v>
      </c>
      <c r="AA55" s="1017">
        <v>1597</v>
      </c>
      <c r="AB55" s="1208" t="s">
        <v>572</v>
      </c>
      <c r="AC55" s="1208" t="s">
        <v>548</v>
      </c>
      <c r="AD55" s="1208"/>
      <c r="AE55" s="1208"/>
      <c r="AF55" s="1208" t="s">
        <v>548</v>
      </c>
      <c r="AG55" s="1018">
        <f>'09월 화학성분'!AM55</f>
        <v>2118</v>
      </c>
      <c r="AH55" s="1006">
        <f t="shared" si="9"/>
        <v>52</v>
      </c>
      <c r="AI55" s="1019">
        <v>1583</v>
      </c>
      <c r="AJ55" s="1020">
        <v>0</v>
      </c>
      <c r="AK55" s="1021">
        <v>562</v>
      </c>
      <c r="AL55" s="1022">
        <v>7</v>
      </c>
      <c r="AM55" s="1155">
        <f>IF(AT55="","",3*'09월 에너지'!S57*(1/(3+7.8*(100-AT55)/AT55)))</f>
        <v>0.33214947498455838</v>
      </c>
      <c r="AN55" s="1023">
        <v>0.19652777777777777</v>
      </c>
      <c r="AO55" s="1024"/>
      <c r="AP55" s="1025"/>
      <c r="AQ55" s="1025"/>
      <c r="AR55" s="1149">
        <f t="shared" si="20"/>
        <v>7</v>
      </c>
      <c r="AS55" s="1093" t="str">
        <f t="shared" si="21"/>
        <v xml:space="preserve"> </v>
      </c>
      <c r="AT55" s="1156">
        <v>0.6</v>
      </c>
      <c r="AU55" s="449"/>
      <c r="AV55" s="1205"/>
    </row>
    <row r="56" spans="1:48" ht="16.5" customHeight="1">
      <c r="A56" s="1005">
        <f t="shared" si="10"/>
        <v>46267</v>
      </c>
      <c r="B56" s="1005">
        <f t="shared" si="11"/>
        <v>46267</v>
      </c>
      <c r="C56" s="1150">
        <f t="shared" si="12"/>
        <v>15</v>
      </c>
      <c r="D56" s="1150">
        <f t="shared" si="13"/>
        <v>45</v>
      </c>
      <c r="E56" s="1006" t="s">
        <v>582</v>
      </c>
      <c r="F56" s="1007" t="str">
        <f t="shared" si="15"/>
        <v>B</v>
      </c>
      <c r="G56" s="1008">
        <f t="shared" si="16"/>
        <v>85258</v>
      </c>
      <c r="H56" s="1138">
        <f t="shared" si="17"/>
        <v>0.60694444444444451</v>
      </c>
      <c r="I56" s="1009">
        <v>0.61388888888888882</v>
      </c>
      <c r="J56" s="1010">
        <f t="shared" si="18"/>
        <v>57.999999999999794</v>
      </c>
      <c r="K56" s="1011"/>
      <c r="L56" s="1012"/>
      <c r="M56" s="1013"/>
      <c r="N56" s="1014" t="str">
        <f t="shared" si="19"/>
        <v/>
      </c>
      <c r="O56" s="1323"/>
      <c r="P56" s="1324"/>
      <c r="Q56" s="1324"/>
      <c r="R56" s="1324"/>
      <c r="S56" s="1324"/>
      <c r="T56" s="1325"/>
      <c r="U56" s="1015">
        <v>1.8</v>
      </c>
      <c r="V56" s="1015">
        <v>2.6</v>
      </c>
      <c r="W56" s="1015">
        <v>1.7</v>
      </c>
      <c r="X56" s="1015"/>
      <c r="Y56" s="1015"/>
      <c r="Z56" s="1016">
        <f>'09월 에너지'!S58</f>
        <v>142.19999999999999</v>
      </c>
      <c r="AA56" s="1017">
        <v>2272</v>
      </c>
      <c r="AB56" s="1208" t="s">
        <v>572</v>
      </c>
      <c r="AC56" s="1208" t="s">
        <v>548</v>
      </c>
      <c r="AD56" s="1208"/>
      <c r="AE56" s="1208"/>
      <c r="AF56" s="1208" t="s">
        <v>548</v>
      </c>
      <c r="AG56" s="1018">
        <f>'09월 화학성분'!AM56</f>
        <v>3073</v>
      </c>
      <c r="AH56" s="1006">
        <f t="shared" si="9"/>
        <v>53</v>
      </c>
      <c r="AI56" s="1019">
        <v>1545</v>
      </c>
      <c r="AJ56" s="1020">
        <v>0</v>
      </c>
      <c r="AK56" s="1021">
        <v>339</v>
      </c>
      <c r="AL56" s="1022">
        <v>7</v>
      </c>
      <c r="AM56" s="1155">
        <f>IF(AT56="","",3*'09월 에너지'!S58*(1/(3+7.8*(100-AT56)/AT56)))</f>
        <v>0.49497215346534656</v>
      </c>
      <c r="AN56" s="1023">
        <v>0.14791666666666667</v>
      </c>
      <c r="AO56" s="1024"/>
      <c r="AP56" s="1025"/>
      <c r="AQ56" s="1025"/>
      <c r="AR56" s="1149" t="str">
        <f t="shared" si="20"/>
        <v/>
      </c>
      <c r="AS56" s="1093">
        <f t="shared" si="21"/>
        <v>13</v>
      </c>
      <c r="AT56" s="1156">
        <v>0.9</v>
      </c>
      <c r="AU56" s="449"/>
      <c r="AV56" s="1205"/>
    </row>
    <row r="57" spans="1:48" ht="16.5" customHeight="1">
      <c r="A57" s="1005">
        <f t="shared" si="10"/>
        <v>46267</v>
      </c>
      <c r="B57" s="1005">
        <f t="shared" si="11"/>
        <v>46267</v>
      </c>
      <c r="C57" s="1150">
        <f t="shared" si="12"/>
        <v>16</v>
      </c>
      <c r="D57" s="1150">
        <f t="shared" si="13"/>
        <v>46</v>
      </c>
      <c r="E57" s="1006" t="str">
        <f t="shared" si="14"/>
        <v>C</v>
      </c>
      <c r="F57" s="1007" t="str">
        <f t="shared" si="15"/>
        <v>A</v>
      </c>
      <c r="G57" s="1008">
        <f t="shared" si="16"/>
        <v>85259</v>
      </c>
      <c r="H57" s="1138">
        <f t="shared" si="17"/>
        <v>0.64722222222222214</v>
      </c>
      <c r="I57" s="1009">
        <v>0.64236111111111105</v>
      </c>
      <c r="J57" s="1010">
        <f t="shared" si="18"/>
        <v>41.000000000000014</v>
      </c>
      <c r="K57" s="1011"/>
      <c r="L57" s="1012"/>
      <c r="M57" s="1013"/>
      <c r="N57" s="1014" t="str">
        <f t="shared" si="19"/>
        <v/>
      </c>
      <c r="O57" s="1323"/>
      <c r="P57" s="1324"/>
      <c r="Q57" s="1324"/>
      <c r="R57" s="1324"/>
      <c r="S57" s="1324"/>
      <c r="T57" s="1325"/>
      <c r="U57" s="1015">
        <v>1.8</v>
      </c>
      <c r="V57" s="1015">
        <v>2.6</v>
      </c>
      <c r="W57" s="1015">
        <v>1.4</v>
      </c>
      <c r="X57" s="1015"/>
      <c r="Y57" s="1015"/>
      <c r="Z57" s="1016">
        <f>'09월 에너지'!S59</f>
        <v>144.4</v>
      </c>
      <c r="AA57" s="1017"/>
      <c r="AB57" s="1208"/>
      <c r="AC57" s="1208"/>
      <c r="AD57" s="1208"/>
      <c r="AE57" s="1208"/>
      <c r="AF57" s="1208"/>
      <c r="AG57" s="1018">
        <f>'09월 화학성분'!AM57</f>
        <v>1795</v>
      </c>
      <c r="AH57" s="1006">
        <f t="shared" si="9"/>
        <v>54</v>
      </c>
      <c r="AI57" s="1019">
        <v>1596</v>
      </c>
      <c r="AJ57" s="1020">
        <v>0</v>
      </c>
      <c r="AK57" s="1021">
        <v>553</v>
      </c>
      <c r="AL57" s="1022">
        <v>7</v>
      </c>
      <c r="AM57" s="1155">
        <f>IF(AT57="","",3*'09월 에너지'!S59*(1/(3+7.8*(100-AT57)/AT57)))</f>
        <v>0.72782258064516125</v>
      </c>
      <c r="AN57" s="1023">
        <v>0.14791666666666667</v>
      </c>
      <c r="AO57" s="1024"/>
      <c r="AP57" s="1025"/>
      <c r="AQ57" s="1025"/>
      <c r="AR57" s="1149">
        <f t="shared" si="20"/>
        <v>8</v>
      </c>
      <c r="AS57" s="1093" t="str">
        <f t="shared" si="21"/>
        <v xml:space="preserve"> </v>
      </c>
      <c r="AT57" s="1156">
        <v>1.3</v>
      </c>
      <c r="AU57" s="449"/>
      <c r="AV57" s="1205"/>
    </row>
    <row r="58" spans="1:48" ht="16.5" customHeight="1">
      <c r="A58" s="1005">
        <f t="shared" si="10"/>
        <v>46267</v>
      </c>
      <c r="B58" s="1005">
        <f t="shared" si="11"/>
        <v>46267</v>
      </c>
      <c r="C58" s="1150">
        <f t="shared" si="12"/>
        <v>17</v>
      </c>
      <c r="D58" s="1150">
        <f t="shared" si="13"/>
        <v>47</v>
      </c>
      <c r="E58" s="1006" t="str">
        <f t="shared" si="14"/>
        <v>C</v>
      </c>
      <c r="F58" s="1007" t="str">
        <f t="shared" si="15"/>
        <v>B</v>
      </c>
      <c r="G58" s="1008">
        <f t="shared" si="16"/>
        <v>85260</v>
      </c>
      <c r="H58" s="1138">
        <f t="shared" si="17"/>
        <v>0.67569444444444438</v>
      </c>
      <c r="I58" s="1009">
        <v>0.68055555555555547</v>
      </c>
      <c r="J58" s="1010">
        <f t="shared" si="18"/>
        <v>54.999999999999964</v>
      </c>
      <c r="K58" s="1011"/>
      <c r="L58" s="1012">
        <v>8</v>
      </c>
      <c r="M58" s="1013"/>
      <c r="N58" s="1014" t="str">
        <f t="shared" si="19"/>
        <v/>
      </c>
      <c r="O58" s="1326" t="s">
        <v>585</v>
      </c>
      <c r="P58" s="1324"/>
      <c r="Q58" s="1324"/>
      <c r="R58" s="1324"/>
      <c r="S58" s="1324"/>
      <c r="T58" s="1325"/>
      <c r="U58" s="1015">
        <v>1.8</v>
      </c>
      <c r="V58" s="1015"/>
      <c r="W58" s="1015"/>
      <c r="X58" s="1015"/>
      <c r="Y58" s="1015">
        <v>2.8</v>
      </c>
      <c r="Z58" s="1016">
        <f>'09월 에너지'!S60</f>
        <v>143.69999999999999</v>
      </c>
      <c r="AA58" s="1017"/>
      <c r="AB58" s="1208"/>
      <c r="AC58" s="1208"/>
      <c r="AD58" s="1208"/>
      <c r="AE58" s="1208"/>
      <c r="AF58" s="1208"/>
      <c r="AG58" s="1018">
        <f>'09월 화학성분'!AM58</f>
        <v>1639</v>
      </c>
      <c r="AH58" s="1006">
        <f t="shared" si="9"/>
        <v>55</v>
      </c>
      <c r="AI58" s="1019">
        <v>1580</v>
      </c>
      <c r="AJ58" s="1020">
        <v>0</v>
      </c>
      <c r="AK58" s="1021">
        <v>430</v>
      </c>
      <c r="AL58" s="1022">
        <v>10</v>
      </c>
      <c r="AM58" s="1155">
        <f>IF(AT58="","",3*'09월 에너지'!S60*(1/(3+7.8*(100-AT58)/AT58)))</f>
        <v>2.0926086272040303</v>
      </c>
      <c r="AN58" s="1023">
        <v>0.15486111111111112</v>
      </c>
      <c r="AO58" s="1024"/>
      <c r="AP58" s="1025"/>
      <c r="AQ58" s="1025"/>
      <c r="AR58" s="1149" t="str">
        <f t="shared" si="20"/>
        <v/>
      </c>
      <c r="AS58" s="1093">
        <f t="shared" si="21"/>
        <v>14</v>
      </c>
      <c r="AT58" s="1156">
        <v>3.7</v>
      </c>
      <c r="AU58" s="449"/>
      <c r="AV58" s="1205"/>
    </row>
    <row r="59" spans="1:48" ht="16.5" customHeight="1">
      <c r="A59" s="1005">
        <f t="shared" si="10"/>
        <v>46267</v>
      </c>
      <c r="B59" s="1005">
        <f t="shared" si="11"/>
        <v>46267</v>
      </c>
      <c r="C59" s="1150">
        <f t="shared" si="12"/>
        <v>18</v>
      </c>
      <c r="D59" s="1150">
        <f t="shared" si="13"/>
        <v>48</v>
      </c>
      <c r="E59" s="1006" t="str">
        <f t="shared" si="14"/>
        <v>C</v>
      </c>
      <c r="F59" s="1007" t="str">
        <f t="shared" si="15"/>
        <v>A</v>
      </c>
      <c r="G59" s="1008">
        <f t="shared" si="16"/>
        <v>85261</v>
      </c>
      <c r="H59" s="1138">
        <f t="shared" si="17"/>
        <v>0.7138888888888888</v>
      </c>
      <c r="I59" s="1009">
        <v>0.70763888888888893</v>
      </c>
      <c r="J59" s="1010">
        <f t="shared" si="18"/>
        <v>39.000000000000185</v>
      </c>
      <c r="K59" s="1011"/>
      <c r="L59" s="1012"/>
      <c r="M59" s="1013"/>
      <c r="N59" s="1014" t="str">
        <f t="shared" si="19"/>
        <v/>
      </c>
      <c r="O59" s="1323" t="s">
        <v>591</v>
      </c>
      <c r="P59" s="1324"/>
      <c r="Q59" s="1324"/>
      <c r="R59" s="1324"/>
      <c r="S59" s="1324"/>
      <c r="T59" s="1325"/>
      <c r="U59" s="1015">
        <v>1.8</v>
      </c>
      <c r="V59" s="1015"/>
      <c r="W59" s="1015"/>
      <c r="X59" s="1015"/>
      <c r="Y59" s="1015">
        <v>2.6</v>
      </c>
      <c r="Z59" s="1016">
        <f>'09월 에너지'!S61</f>
        <v>143.80000000000001</v>
      </c>
      <c r="AA59" s="1017"/>
      <c r="AB59" s="1208"/>
      <c r="AC59" s="1208"/>
      <c r="AD59" s="1208"/>
      <c r="AE59" s="1208"/>
      <c r="AF59" s="1208"/>
      <c r="AG59" s="1018">
        <f>'09월 화학성분'!AM59</f>
        <v>1641</v>
      </c>
      <c r="AH59" s="1006">
        <f t="shared" si="9"/>
        <v>56</v>
      </c>
      <c r="AI59" s="1019">
        <v>1592</v>
      </c>
      <c r="AJ59" s="1020">
        <v>0</v>
      </c>
      <c r="AK59" s="1021">
        <v>793</v>
      </c>
      <c r="AL59" s="1022">
        <v>5</v>
      </c>
      <c r="AM59" s="1155">
        <f>IF(AT59="","",3*'09월 에너지'!S61*(1/(3+7.8*(100-AT59)/AT59)))</f>
        <v>0.72479838709677413</v>
      </c>
      <c r="AN59" s="1023">
        <v>0.14722222222222223</v>
      </c>
      <c r="AO59" s="1024"/>
      <c r="AP59" s="1025"/>
      <c r="AQ59" s="1025"/>
      <c r="AR59" s="1149">
        <f t="shared" si="20"/>
        <v>9</v>
      </c>
      <c r="AS59" s="1093" t="str">
        <f t="shared" si="21"/>
        <v xml:space="preserve"> </v>
      </c>
      <c r="AT59" s="1156">
        <v>1.3</v>
      </c>
      <c r="AU59" s="449"/>
      <c r="AV59" s="1205"/>
    </row>
    <row r="60" spans="1:48" ht="16.5" customHeight="1">
      <c r="A60" s="1005">
        <f t="shared" si="10"/>
        <v>46267</v>
      </c>
      <c r="B60" s="1005">
        <f t="shared" si="11"/>
        <v>46267</v>
      </c>
      <c r="C60" s="1150">
        <f t="shared" si="12"/>
        <v>19</v>
      </c>
      <c r="D60" s="1150">
        <f t="shared" si="13"/>
        <v>49</v>
      </c>
      <c r="E60" s="1006" t="str">
        <f t="shared" si="14"/>
        <v>C</v>
      </c>
      <c r="F60" s="1007" t="s">
        <v>578</v>
      </c>
      <c r="G60" s="1008">
        <f t="shared" si="16"/>
        <v>85262</v>
      </c>
      <c r="H60" s="1138">
        <f t="shared" si="17"/>
        <v>0.74097222222222225</v>
      </c>
      <c r="I60" s="1009">
        <v>0.74791666666666667</v>
      </c>
      <c r="J60" s="1010">
        <f t="shared" si="18"/>
        <v>57.999999999999957</v>
      </c>
      <c r="K60" s="1011">
        <v>10</v>
      </c>
      <c r="L60" s="1012"/>
      <c r="M60" s="1013">
        <v>0.70972222222222225</v>
      </c>
      <c r="N60" s="1014">
        <f t="shared" si="19"/>
        <v>0.71666666666666667</v>
      </c>
      <c r="O60" s="1323" t="s">
        <v>588</v>
      </c>
      <c r="P60" s="1324"/>
      <c r="Q60" s="1324"/>
      <c r="R60" s="1324"/>
      <c r="S60" s="1324"/>
      <c r="T60" s="1325"/>
      <c r="U60" s="1015">
        <v>1.8</v>
      </c>
      <c r="V60" s="1015"/>
      <c r="W60" s="1015"/>
      <c r="X60" s="1015"/>
      <c r="Y60" s="1015">
        <v>2.2999999999999998</v>
      </c>
      <c r="Z60" s="1016">
        <f>'09월 에너지'!S62</f>
        <v>141.9</v>
      </c>
      <c r="AA60" s="1017"/>
      <c r="AB60" s="1208"/>
      <c r="AC60" s="1208"/>
      <c r="AD60" s="1208"/>
      <c r="AE60" s="1208"/>
      <c r="AF60" s="1208"/>
      <c r="AG60" s="1018">
        <f>'09월 화학성분'!AM60</f>
        <v>1768</v>
      </c>
      <c r="AH60" s="1006">
        <f t="shared" si="9"/>
        <v>57</v>
      </c>
      <c r="AI60" s="1019">
        <v>1561</v>
      </c>
      <c r="AJ60" s="1020">
        <v>0</v>
      </c>
      <c r="AK60" s="1021">
        <v>652</v>
      </c>
      <c r="AL60" s="1022">
        <v>6</v>
      </c>
      <c r="AM60" s="1155">
        <f>IF(AT60="","",3*'09월 에너지'!S62*(1/(3+7.8*(100-AT60)/AT60)))</f>
        <v>0.71522177419354838</v>
      </c>
      <c r="AN60" s="1023">
        <v>0.13958333333333334</v>
      </c>
      <c r="AO60" s="1024"/>
      <c r="AP60" s="1025"/>
      <c r="AQ60" s="1025"/>
      <c r="AR60" s="1149">
        <f t="shared" si="20"/>
        <v>10</v>
      </c>
      <c r="AS60" s="1093"/>
      <c r="AT60" s="1156">
        <v>1.3</v>
      </c>
      <c r="AU60" s="449"/>
      <c r="AV60" s="1205" t="s">
        <v>553</v>
      </c>
    </row>
    <row r="61" spans="1:48" ht="16.5" customHeight="1">
      <c r="A61" s="1005">
        <f t="shared" si="10"/>
        <v>46267</v>
      </c>
      <c r="B61" s="1005">
        <f t="shared" si="11"/>
        <v>46267</v>
      </c>
      <c r="C61" s="1150">
        <f t="shared" si="12"/>
        <v>20</v>
      </c>
      <c r="D61" s="1150">
        <f t="shared" si="13"/>
        <v>50</v>
      </c>
      <c r="E61" s="1006" t="str">
        <f t="shared" si="14"/>
        <v>C</v>
      </c>
      <c r="F61" s="1007" t="str">
        <f t="shared" si="15"/>
        <v>B</v>
      </c>
      <c r="G61" s="1008">
        <f t="shared" si="16"/>
        <v>85263</v>
      </c>
      <c r="H61" s="1138">
        <f t="shared" si="17"/>
        <v>0.78125</v>
      </c>
      <c r="I61" s="1009">
        <v>0.7895833333333333</v>
      </c>
      <c r="J61" s="1010">
        <f t="shared" si="18"/>
        <v>59.999999999999943</v>
      </c>
      <c r="K61" s="1011"/>
      <c r="L61" s="1012">
        <v>3</v>
      </c>
      <c r="M61" s="1013"/>
      <c r="N61" s="1014" t="str">
        <f t="shared" si="19"/>
        <v/>
      </c>
      <c r="O61" s="1323" t="s">
        <v>589</v>
      </c>
      <c r="P61" s="1324"/>
      <c r="Q61" s="1324"/>
      <c r="R61" s="1324"/>
      <c r="S61" s="1324"/>
      <c r="T61" s="1325"/>
      <c r="U61" s="1015">
        <v>1.8</v>
      </c>
      <c r="V61" s="1015">
        <v>2.7</v>
      </c>
      <c r="W61" s="1015">
        <v>1.4</v>
      </c>
      <c r="X61" s="1015"/>
      <c r="Y61" s="1015"/>
      <c r="Z61" s="1016">
        <f>'09월 에너지'!S63</f>
        <v>143.9</v>
      </c>
      <c r="AA61" s="1017">
        <v>2500</v>
      </c>
      <c r="AB61" s="1208" t="s">
        <v>573</v>
      </c>
      <c r="AC61" s="1208" t="s">
        <v>532</v>
      </c>
      <c r="AD61" s="1208" t="s">
        <v>548</v>
      </c>
      <c r="AE61" s="1208"/>
      <c r="AF61" s="1208" t="s">
        <v>548</v>
      </c>
      <c r="AG61" s="1018">
        <f>'09월 화학성분'!AM61</f>
        <v>1690</v>
      </c>
      <c r="AH61" s="1235">
        <v>1</v>
      </c>
      <c r="AI61" s="1019">
        <v>1574</v>
      </c>
      <c r="AJ61" s="1020">
        <v>0</v>
      </c>
      <c r="AK61" s="1021" t="s">
        <v>552</v>
      </c>
      <c r="AL61" s="1022" t="s">
        <v>563</v>
      </c>
      <c r="AM61" s="1155">
        <f>IF(AT61="","",3*'09월 에너지'!S63*(1/(3+7.8*(100-AT61)/AT61)))</f>
        <v>0.55688854489164097</v>
      </c>
      <c r="AN61" s="1023">
        <v>0.14861111111111111</v>
      </c>
      <c r="AO61" s="1024" t="s">
        <v>587</v>
      </c>
      <c r="AP61" s="1025">
        <v>2000041</v>
      </c>
      <c r="AQ61" s="1025">
        <v>2132</v>
      </c>
      <c r="AR61" s="1149" t="str">
        <f t="shared" si="20"/>
        <v/>
      </c>
      <c r="AS61" s="1093">
        <v>1</v>
      </c>
      <c r="AT61" s="1156">
        <v>1</v>
      </c>
      <c r="AU61" s="449"/>
      <c r="AV61" s="1205"/>
    </row>
    <row r="62" spans="1:48" ht="16.5" customHeight="1">
      <c r="A62" s="1005">
        <f t="shared" si="10"/>
        <v>46267</v>
      </c>
      <c r="B62" s="1005">
        <f t="shared" si="11"/>
        <v>46267</v>
      </c>
      <c r="C62" s="1150">
        <f t="shared" si="12"/>
        <v>21</v>
      </c>
      <c r="D62" s="1150">
        <f t="shared" si="13"/>
        <v>51</v>
      </c>
      <c r="E62" s="1006" t="str">
        <f t="shared" si="14"/>
        <v>C</v>
      </c>
      <c r="F62" s="1007" t="str">
        <f t="shared" si="15"/>
        <v>A</v>
      </c>
      <c r="G62" s="1008">
        <f t="shared" si="16"/>
        <v>85264</v>
      </c>
      <c r="H62" s="1138">
        <f t="shared" si="17"/>
        <v>0.82291666666666663</v>
      </c>
      <c r="I62" s="1009">
        <v>0.81874999999999998</v>
      </c>
      <c r="J62" s="1010">
        <f t="shared" si="18"/>
        <v>42.000000000000014</v>
      </c>
      <c r="K62" s="1011"/>
      <c r="L62" s="1012"/>
      <c r="M62" s="1013"/>
      <c r="N62" s="1014" t="str">
        <f t="shared" si="19"/>
        <v/>
      </c>
      <c r="O62" s="1326" t="s">
        <v>583</v>
      </c>
      <c r="P62" s="1324"/>
      <c r="Q62" s="1324"/>
      <c r="R62" s="1324"/>
      <c r="S62" s="1324"/>
      <c r="T62" s="1325"/>
      <c r="U62" s="1015">
        <v>1.8</v>
      </c>
      <c r="V62" s="1015"/>
      <c r="W62" s="1015"/>
      <c r="X62" s="1015"/>
      <c r="Y62" s="1015">
        <v>2.4</v>
      </c>
      <c r="Z62" s="1016">
        <f>'09월 에너지'!S64</f>
        <v>143.1</v>
      </c>
      <c r="AA62" s="1017"/>
      <c r="AB62" s="1208"/>
      <c r="AC62" s="1208"/>
      <c r="AD62" s="1208"/>
      <c r="AE62" s="1208"/>
      <c r="AF62" s="1208"/>
      <c r="AG62" s="1018">
        <f>'09월 화학성분'!AM62</f>
        <v>2532</v>
      </c>
      <c r="AH62" s="1006">
        <f t="shared" si="9"/>
        <v>2</v>
      </c>
      <c r="AI62" s="1019">
        <v>1589</v>
      </c>
      <c r="AJ62" s="1020">
        <v>54</v>
      </c>
      <c r="AK62" s="1021">
        <v>808</v>
      </c>
      <c r="AL62" s="1022">
        <v>4</v>
      </c>
      <c r="AM62" s="1155">
        <f>IF(AT62="","",3*'09월 에너지'!S64*(1/(3+7.8*(100-AT62)/AT62)))</f>
        <v>1.2274641297567064</v>
      </c>
      <c r="AN62" s="1023">
        <v>0.13541666666666666</v>
      </c>
      <c r="AO62" s="1024"/>
      <c r="AP62" s="1025"/>
      <c r="AQ62" s="1025"/>
      <c r="AR62" s="1149">
        <f t="shared" si="20"/>
        <v>11</v>
      </c>
      <c r="AS62" s="1093" t="str">
        <f t="shared" si="21"/>
        <v xml:space="preserve"> </v>
      </c>
      <c r="AT62" s="1156">
        <v>2.2000000000000002</v>
      </c>
      <c r="AU62" s="449"/>
      <c r="AV62" s="1205"/>
    </row>
    <row r="63" spans="1:48" ht="17.25" customHeight="1">
      <c r="A63" s="1005">
        <f t="shared" si="10"/>
        <v>46267</v>
      </c>
      <c r="B63" s="1005">
        <f t="shared" si="11"/>
        <v>46267</v>
      </c>
      <c r="C63" s="1150">
        <f t="shared" si="12"/>
        <v>22</v>
      </c>
      <c r="D63" s="1150">
        <f t="shared" si="13"/>
        <v>52</v>
      </c>
      <c r="E63" s="1006" t="str">
        <f t="shared" si="14"/>
        <v>C</v>
      </c>
      <c r="F63" s="1007" t="str">
        <f t="shared" si="15"/>
        <v>B</v>
      </c>
      <c r="G63" s="1008">
        <f t="shared" si="16"/>
        <v>85265</v>
      </c>
      <c r="H63" s="1138">
        <f t="shared" si="17"/>
        <v>0.8520833333333333</v>
      </c>
      <c r="I63" s="1009">
        <v>0.85138888888888886</v>
      </c>
      <c r="J63" s="1010">
        <f t="shared" si="18"/>
        <v>46.999999999999993</v>
      </c>
      <c r="K63" s="1011"/>
      <c r="L63" s="1012"/>
      <c r="M63" s="1013"/>
      <c r="N63" s="1014" t="str">
        <f t="shared" si="19"/>
        <v/>
      </c>
      <c r="O63" s="1323"/>
      <c r="P63" s="1324"/>
      <c r="Q63" s="1324"/>
      <c r="R63" s="1324"/>
      <c r="S63" s="1324"/>
      <c r="T63" s="1325"/>
      <c r="U63" s="1015">
        <v>1.8</v>
      </c>
      <c r="V63" s="1015"/>
      <c r="W63" s="1015"/>
      <c r="X63" s="1015"/>
      <c r="Y63" s="1015">
        <v>2.6</v>
      </c>
      <c r="Z63" s="1016">
        <f>'09월 에너지'!S65</f>
        <v>143.9</v>
      </c>
      <c r="AA63" s="1017"/>
      <c r="AB63" s="1208"/>
      <c r="AC63" s="1208"/>
      <c r="AD63" s="1208"/>
      <c r="AE63" s="1208"/>
      <c r="AF63" s="1208"/>
      <c r="AG63" s="1018">
        <f>'09월 화학성분'!AM63</f>
        <v>899</v>
      </c>
      <c r="AH63" s="1006">
        <f t="shared" si="9"/>
        <v>3</v>
      </c>
      <c r="AI63" s="1019">
        <v>1586</v>
      </c>
      <c r="AJ63" s="1020">
        <v>0</v>
      </c>
      <c r="AK63" s="1021">
        <v>799</v>
      </c>
      <c r="AL63" s="1022">
        <v>5</v>
      </c>
      <c r="AM63" s="1155">
        <f>IF(AT63="","",3*'09월 에너지'!S65*(1/(3+7.8*(100-AT63)/AT63)))</f>
        <v>1.0073895457373989</v>
      </c>
      <c r="AN63" s="1023">
        <v>0.14444444444444446</v>
      </c>
      <c r="AO63" s="1024"/>
      <c r="AP63" s="1025"/>
      <c r="AQ63" s="1025"/>
      <c r="AR63" s="1149" t="str">
        <f t="shared" si="20"/>
        <v/>
      </c>
      <c r="AS63" s="1093">
        <f t="shared" si="21"/>
        <v>2</v>
      </c>
      <c r="AT63" s="1156">
        <v>1.8</v>
      </c>
      <c r="AU63" s="449"/>
      <c r="AV63" s="1205"/>
    </row>
    <row r="64" spans="1:48" ht="16.5" customHeight="1">
      <c r="A64" s="1005">
        <f t="shared" si="10"/>
        <v>46267</v>
      </c>
      <c r="B64" s="1005">
        <f t="shared" si="11"/>
        <v>46267</v>
      </c>
      <c r="C64" s="1150">
        <f t="shared" si="12"/>
        <v>23</v>
      </c>
      <c r="D64" s="1150">
        <f t="shared" si="13"/>
        <v>53</v>
      </c>
      <c r="E64" s="1006" t="str">
        <f t="shared" si="14"/>
        <v>C</v>
      </c>
      <c r="F64" s="1007" t="str">
        <f t="shared" si="15"/>
        <v>A</v>
      </c>
      <c r="G64" s="1008">
        <f t="shared" si="16"/>
        <v>85266</v>
      </c>
      <c r="H64" s="1138">
        <f t="shared" si="17"/>
        <v>0.88472222222222219</v>
      </c>
      <c r="I64" s="1009">
        <v>0.88680555555555562</v>
      </c>
      <c r="J64" s="1010">
        <f t="shared" si="18"/>
        <v>51.000000000000142</v>
      </c>
      <c r="K64" s="1011"/>
      <c r="L64" s="1012"/>
      <c r="M64" s="1013"/>
      <c r="N64" s="1014" t="str">
        <f t="shared" si="19"/>
        <v/>
      </c>
      <c r="O64" s="1323" t="s">
        <v>590</v>
      </c>
      <c r="P64" s="1324"/>
      <c r="Q64" s="1324"/>
      <c r="R64" s="1324"/>
      <c r="S64" s="1324"/>
      <c r="T64" s="1325"/>
      <c r="U64" s="1015">
        <v>1.8</v>
      </c>
      <c r="V64" s="1015">
        <v>3.4</v>
      </c>
      <c r="W64" s="1015"/>
      <c r="X64" s="1015" t="s">
        <v>552</v>
      </c>
      <c r="Y64" s="1015"/>
      <c r="Z64" s="1016">
        <f>'09월 에너지'!S66</f>
        <v>144.4</v>
      </c>
      <c r="AA64" s="1017">
        <v>2095</v>
      </c>
      <c r="AB64" s="1208" t="s">
        <v>551</v>
      </c>
      <c r="AC64" s="1208" t="s">
        <v>548</v>
      </c>
      <c r="AD64" s="1208"/>
      <c r="AE64" s="1208"/>
      <c r="AF64" s="1208" t="s">
        <v>548</v>
      </c>
      <c r="AG64" s="1018">
        <f>'09월 화학성분'!AM64</f>
        <v>2553</v>
      </c>
      <c r="AH64" s="1006">
        <f t="shared" si="9"/>
        <v>4</v>
      </c>
      <c r="AI64" s="1019">
        <v>1553</v>
      </c>
      <c r="AJ64" s="1020">
        <v>0</v>
      </c>
      <c r="AK64" s="1021">
        <v>807</v>
      </c>
      <c r="AL64" s="1022">
        <v>5</v>
      </c>
      <c r="AM64" s="1155">
        <f>IF(AT64="","",3*'09월 에너지'!S66*(1/(3+7.8*(100-AT64)/AT64)))</f>
        <v>0.39045117428924603</v>
      </c>
      <c r="AN64" s="1023">
        <v>0.13749999999999998</v>
      </c>
      <c r="AO64" s="1024"/>
      <c r="AP64" s="1025"/>
      <c r="AQ64" s="1025"/>
      <c r="AR64" s="1149">
        <f t="shared" si="20"/>
        <v>12</v>
      </c>
      <c r="AS64" s="1093" t="str">
        <f t="shared" si="21"/>
        <v xml:space="preserve"> </v>
      </c>
      <c r="AT64" s="1156">
        <v>0.7</v>
      </c>
      <c r="AU64" s="449"/>
      <c r="AV64" s="1205"/>
    </row>
    <row r="65" spans="1:48" ht="16.5" customHeight="1">
      <c r="A65" s="1005">
        <f t="shared" si="10"/>
        <v>46267</v>
      </c>
      <c r="B65" s="1005">
        <f t="shared" si="11"/>
        <v>46267</v>
      </c>
      <c r="C65" s="1150">
        <f t="shared" si="12"/>
        <v>24</v>
      </c>
      <c r="D65" s="1150">
        <f t="shared" si="13"/>
        <v>54</v>
      </c>
      <c r="E65" s="1006" t="str">
        <f t="shared" si="14"/>
        <v>C</v>
      </c>
      <c r="F65" s="1007" t="str">
        <f t="shared" si="15"/>
        <v>B</v>
      </c>
      <c r="G65" s="1008">
        <f t="shared" si="16"/>
        <v>85267</v>
      </c>
      <c r="H65" s="1138">
        <f t="shared" si="17"/>
        <v>0.92013888888888895</v>
      </c>
      <c r="I65" s="1009">
        <v>0.91736111111111107</v>
      </c>
      <c r="J65" s="1010">
        <f t="shared" si="18"/>
        <v>43.999999999999844</v>
      </c>
      <c r="K65" s="1011"/>
      <c r="L65" s="1012"/>
      <c r="M65" s="1013"/>
      <c r="N65" s="1014" t="str">
        <f t="shared" si="19"/>
        <v/>
      </c>
      <c r="O65" s="1323"/>
      <c r="P65" s="1324"/>
      <c r="Q65" s="1324"/>
      <c r="R65" s="1324"/>
      <c r="S65" s="1324"/>
      <c r="T65" s="1325"/>
      <c r="U65" s="1015">
        <v>1.8</v>
      </c>
      <c r="V65" s="1015"/>
      <c r="W65" s="1015"/>
      <c r="X65" s="1015">
        <v>3.2</v>
      </c>
      <c r="Y65" s="1015"/>
      <c r="Z65" s="1016">
        <f>'09월 에너지'!S67</f>
        <v>144.6</v>
      </c>
      <c r="AA65" s="1017"/>
      <c r="AB65" s="1208"/>
      <c r="AC65" s="1208"/>
      <c r="AD65" s="1208"/>
      <c r="AE65" s="1208"/>
      <c r="AF65" s="1208"/>
      <c r="AG65" s="1018">
        <f>'09월 화학성분'!AM65</f>
        <v>849</v>
      </c>
      <c r="AH65" s="1006">
        <f t="shared" si="9"/>
        <v>5</v>
      </c>
      <c r="AI65" s="1019">
        <v>1565</v>
      </c>
      <c r="AJ65" s="1020">
        <v>0</v>
      </c>
      <c r="AK65" s="1021">
        <v>609</v>
      </c>
      <c r="AL65" s="1022">
        <v>6</v>
      </c>
      <c r="AM65" s="1155">
        <f>IF(AT65="","",3*'09월 에너지'!S67*(1/(3+7.8*(100-AT65)/AT65)))</f>
        <v>1.1832138403990025</v>
      </c>
      <c r="AN65" s="1023">
        <v>0.1388888888888889</v>
      </c>
      <c r="AO65" s="1024"/>
      <c r="AP65" s="1025"/>
      <c r="AQ65" s="1025"/>
      <c r="AR65" s="1149" t="str">
        <f t="shared" si="20"/>
        <v/>
      </c>
      <c r="AS65" s="1093">
        <f t="shared" si="21"/>
        <v>3</v>
      </c>
      <c r="AT65" s="1156">
        <v>2.1</v>
      </c>
      <c r="AU65" s="449"/>
      <c r="AV65" s="1205"/>
    </row>
    <row r="66" spans="1:48" ht="16.5" customHeight="1">
      <c r="A66" s="1005">
        <f t="shared" si="10"/>
        <v>46267</v>
      </c>
      <c r="B66" s="1005">
        <f t="shared" si="11"/>
        <v>46267</v>
      </c>
      <c r="C66" s="1150">
        <f t="shared" si="12"/>
        <v>25</v>
      </c>
      <c r="D66" s="1150">
        <f t="shared" si="13"/>
        <v>55</v>
      </c>
      <c r="E66" s="1006" t="s">
        <v>558</v>
      </c>
      <c r="F66" s="1007" t="str">
        <f t="shared" si="15"/>
        <v>A</v>
      </c>
      <c r="G66" s="1008">
        <f t="shared" si="16"/>
        <v>85268</v>
      </c>
      <c r="H66" s="1138">
        <f t="shared" si="17"/>
        <v>0.9506944444444444</v>
      </c>
      <c r="I66" s="1009">
        <v>0.94861111111111107</v>
      </c>
      <c r="J66" s="1010">
        <f t="shared" si="18"/>
        <v>45</v>
      </c>
      <c r="K66" s="1011"/>
      <c r="L66" s="1012"/>
      <c r="M66" s="1013"/>
      <c r="N66" s="1014" t="str">
        <f t="shared" si="19"/>
        <v/>
      </c>
      <c r="O66" s="1320" t="s">
        <v>594</v>
      </c>
      <c r="P66" s="1324"/>
      <c r="Q66" s="1324"/>
      <c r="R66" s="1324"/>
      <c r="S66" s="1324"/>
      <c r="T66" s="1325"/>
      <c r="U66" s="1015">
        <v>1.8</v>
      </c>
      <c r="V66" s="1015"/>
      <c r="W66" s="1015"/>
      <c r="X66" s="1015"/>
      <c r="Y66" s="1015">
        <v>2.6</v>
      </c>
      <c r="Z66" s="1016">
        <f>'09월 에너지'!S68</f>
        <v>144.4</v>
      </c>
      <c r="AA66" s="1017"/>
      <c r="AB66" s="1208"/>
      <c r="AC66" s="1208"/>
      <c r="AD66" s="1208"/>
      <c r="AE66" s="1208"/>
      <c r="AF66" s="1208"/>
      <c r="AG66" s="1018">
        <f>'09월 화학성분'!AM66</f>
        <v>2761</v>
      </c>
      <c r="AH66" s="1006">
        <f t="shared" si="9"/>
        <v>6</v>
      </c>
      <c r="AI66" s="1019">
        <v>1572</v>
      </c>
      <c r="AJ66" s="1020">
        <v>40</v>
      </c>
      <c r="AK66" s="1021">
        <v>358</v>
      </c>
      <c r="AL66" s="1022">
        <v>12</v>
      </c>
      <c r="AM66" s="1155">
        <f>IF(AT66="","",3*'09월 에너지'!S68*(1/(3+7.8*(100-AT66)/AT66)))</f>
        <v>0.50262995049504966</v>
      </c>
      <c r="AN66" s="1023">
        <v>0.15208333333333332</v>
      </c>
      <c r="AO66" s="1024"/>
      <c r="AP66" s="1025"/>
      <c r="AQ66" s="1025"/>
      <c r="AR66" s="1149">
        <f t="shared" si="20"/>
        <v>13</v>
      </c>
      <c r="AS66" s="1093" t="str">
        <f t="shared" si="21"/>
        <v xml:space="preserve"> </v>
      </c>
      <c r="AT66" s="1156">
        <v>0.9</v>
      </c>
      <c r="AU66" s="449"/>
      <c r="AV66" s="1205"/>
    </row>
    <row r="67" spans="1:48" ht="16.5" customHeight="1">
      <c r="A67" s="1005">
        <f t="shared" si="10"/>
        <v>46267</v>
      </c>
      <c r="B67" s="1005">
        <f t="shared" si="11"/>
        <v>46267</v>
      </c>
      <c r="C67" s="1150">
        <f t="shared" si="12"/>
        <v>26</v>
      </c>
      <c r="D67" s="1150">
        <f t="shared" si="13"/>
        <v>56</v>
      </c>
      <c r="E67" s="1006" t="str">
        <f t="shared" si="14"/>
        <v>D</v>
      </c>
      <c r="F67" s="1007" t="str">
        <f t="shared" si="15"/>
        <v>B</v>
      </c>
      <c r="G67" s="1008">
        <f t="shared" si="16"/>
        <v>85269</v>
      </c>
      <c r="H67" s="1138">
        <f t="shared" si="17"/>
        <v>0.9819444444444444</v>
      </c>
      <c r="I67" s="1009">
        <v>0.97986111111111107</v>
      </c>
      <c r="J67" s="1010">
        <f t="shared" si="18"/>
        <v>45</v>
      </c>
      <c r="K67" s="1011"/>
      <c r="L67" s="1012"/>
      <c r="M67" s="1013"/>
      <c r="N67" s="1014" t="str">
        <f t="shared" si="19"/>
        <v/>
      </c>
      <c r="O67" s="1323" t="s">
        <v>559</v>
      </c>
      <c r="P67" s="1324"/>
      <c r="Q67" s="1324"/>
      <c r="R67" s="1324"/>
      <c r="S67" s="1324"/>
      <c r="T67" s="1325"/>
      <c r="U67" s="1015">
        <v>1.8</v>
      </c>
      <c r="V67" s="1015"/>
      <c r="W67" s="1015"/>
      <c r="X67" s="1015"/>
      <c r="Y67" s="1015">
        <v>2.8</v>
      </c>
      <c r="Z67" s="1016">
        <f>'09월 에너지'!S69</f>
        <v>145</v>
      </c>
      <c r="AA67" s="1017"/>
      <c r="AB67" s="1208"/>
      <c r="AC67" s="1208"/>
      <c r="AD67" s="1208"/>
      <c r="AE67" s="1208"/>
      <c r="AF67" s="1208"/>
      <c r="AG67" s="1018">
        <f>'09월 화학성분'!AM67</f>
        <v>1205</v>
      </c>
      <c r="AH67" s="1006">
        <f t="shared" si="9"/>
        <v>7</v>
      </c>
      <c r="AI67" s="1019">
        <v>1592</v>
      </c>
      <c r="AJ67" s="1020">
        <v>25</v>
      </c>
      <c r="AK67" s="1021">
        <v>775</v>
      </c>
      <c r="AL67" s="1022">
        <v>5</v>
      </c>
      <c r="AM67" s="1155">
        <f>IF(AT67="","",3*'09월 에너지'!S69*(1/(3+7.8*(100-AT67)/AT67)))</f>
        <v>0.56114551083591346</v>
      </c>
      <c r="AN67" s="1023">
        <v>0.14166666666666666</v>
      </c>
      <c r="AO67" s="1024"/>
      <c r="AP67" s="1025"/>
      <c r="AQ67" s="1025"/>
      <c r="AR67" s="1149" t="str">
        <f t="shared" si="20"/>
        <v/>
      </c>
      <c r="AS67" s="1093">
        <f t="shared" si="21"/>
        <v>4</v>
      </c>
      <c r="AT67" s="1156">
        <v>1</v>
      </c>
      <c r="AU67" s="449"/>
      <c r="AV67" s="1205"/>
    </row>
    <row r="68" spans="1:48" ht="16.5" customHeight="1">
      <c r="A68" s="1005">
        <f t="shared" si="10"/>
        <v>46267</v>
      </c>
      <c r="B68" s="1005">
        <f t="shared" si="11"/>
        <v>46267</v>
      </c>
      <c r="C68" s="1150">
        <f t="shared" si="12"/>
        <v>27</v>
      </c>
      <c r="D68" s="1150">
        <f t="shared" si="13"/>
        <v>57</v>
      </c>
      <c r="E68" s="1006" t="str">
        <f t="shared" si="14"/>
        <v>D</v>
      </c>
      <c r="F68" s="1007" t="str">
        <f t="shared" si="15"/>
        <v>A</v>
      </c>
      <c r="G68" s="1008">
        <f t="shared" si="16"/>
        <v>85270</v>
      </c>
      <c r="H68" s="1138">
        <f t="shared" si="17"/>
        <v>1.0131944444444445</v>
      </c>
      <c r="I68" s="1009">
        <v>1.1805555555555555E-2</v>
      </c>
      <c r="J68" s="1010">
        <f t="shared" si="18"/>
        <v>46</v>
      </c>
      <c r="K68" s="1011"/>
      <c r="L68" s="1012"/>
      <c r="M68" s="1013"/>
      <c r="N68" s="1014" t="str">
        <f t="shared" si="19"/>
        <v/>
      </c>
      <c r="O68" s="1323"/>
      <c r="P68" s="1324"/>
      <c r="Q68" s="1324"/>
      <c r="R68" s="1324"/>
      <c r="S68" s="1324"/>
      <c r="T68" s="1325"/>
      <c r="U68" s="1015">
        <v>1.8</v>
      </c>
      <c r="V68" s="1015"/>
      <c r="W68" s="1015"/>
      <c r="X68" s="1015"/>
      <c r="Y68" s="1015">
        <v>2.4</v>
      </c>
      <c r="Z68" s="1016">
        <f>'09월 에너지'!S70</f>
        <v>145.1</v>
      </c>
      <c r="AA68" s="1017"/>
      <c r="AB68" s="1208"/>
      <c r="AC68" s="1208"/>
      <c r="AD68" s="1208"/>
      <c r="AE68" s="1208"/>
      <c r="AF68" s="1208"/>
      <c r="AG68" s="1018">
        <f>'09월 화학성분'!AM68</f>
        <v>2324</v>
      </c>
      <c r="AH68" s="1006">
        <f t="shared" si="9"/>
        <v>8</v>
      </c>
      <c r="AI68" s="1019">
        <v>1584</v>
      </c>
      <c r="AJ68" s="1020">
        <v>57</v>
      </c>
      <c r="AK68" s="1021">
        <v>924</v>
      </c>
      <c r="AL68" s="1022">
        <v>4</v>
      </c>
      <c r="AM68" s="1155">
        <f>IF(AT68="","",3*'09월 에너지'!S70*(1/(3+7.8*(100-AT68)/AT68)))</f>
        <v>0.95876088308457696</v>
      </c>
      <c r="AN68" s="1023">
        <v>0.14861111111111111</v>
      </c>
      <c r="AO68" s="1024"/>
      <c r="AP68" s="1025"/>
      <c r="AQ68" s="1025"/>
      <c r="AR68" s="1149">
        <f t="shared" si="20"/>
        <v>14</v>
      </c>
      <c r="AS68" s="1093" t="str">
        <f t="shared" si="21"/>
        <v xml:space="preserve"> </v>
      </c>
      <c r="AT68" s="1156">
        <v>1.7</v>
      </c>
      <c r="AU68" s="449"/>
      <c r="AV68" s="1205"/>
    </row>
    <row r="69" spans="1:48" ht="16.5" customHeight="1">
      <c r="A69" s="1005">
        <f t="shared" si="10"/>
        <v>46267</v>
      </c>
      <c r="B69" s="1005">
        <f t="shared" si="11"/>
        <v>46267</v>
      </c>
      <c r="C69" s="1150">
        <f t="shared" si="12"/>
        <v>28</v>
      </c>
      <c r="D69" s="1150">
        <f t="shared" si="13"/>
        <v>58</v>
      </c>
      <c r="E69" s="1006" t="str">
        <f t="shared" si="14"/>
        <v>D</v>
      </c>
      <c r="F69" s="1007" t="str">
        <f t="shared" si="15"/>
        <v>B</v>
      </c>
      <c r="G69" s="1008">
        <f t="shared" si="16"/>
        <v>85271</v>
      </c>
      <c r="H69" s="1138">
        <f t="shared" si="17"/>
        <v>4.5138888888888888E-2</v>
      </c>
      <c r="I69" s="1009">
        <v>4.3055555555555562E-2</v>
      </c>
      <c r="J69" s="1010">
        <f t="shared" si="18"/>
        <v>45.000000000000007</v>
      </c>
      <c r="K69" s="1011"/>
      <c r="L69" s="1012"/>
      <c r="M69" s="1013"/>
      <c r="N69" s="1014" t="str">
        <f t="shared" si="19"/>
        <v/>
      </c>
      <c r="O69" s="1323"/>
      <c r="P69" s="1324"/>
      <c r="Q69" s="1324"/>
      <c r="R69" s="1324"/>
      <c r="S69" s="1324"/>
      <c r="T69" s="1325"/>
      <c r="U69" s="1015">
        <v>1.8</v>
      </c>
      <c r="V69" s="1015"/>
      <c r="W69" s="1015"/>
      <c r="X69" s="1015"/>
      <c r="Y69" s="1015">
        <v>2.5</v>
      </c>
      <c r="Z69" s="1016">
        <f>'09월 에너지'!S71</f>
        <v>145</v>
      </c>
      <c r="AA69" s="1017"/>
      <c r="AB69" s="1208"/>
      <c r="AC69" s="1208"/>
      <c r="AD69" s="1208"/>
      <c r="AE69" s="1208"/>
      <c r="AF69" s="1208"/>
      <c r="AG69" s="1018">
        <f>'09월 화학성분'!AM69</f>
        <v>1802</v>
      </c>
      <c r="AH69" s="1006">
        <f t="shared" si="9"/>
        <v>9</v>
      </c>
      <c r="AI69" s="1019">
        <v>1576</v>
      </c>
      <c r="AJ69" s="1020">
        <v>68</v>
      </c>
      <c r="AK69" s="1021">
        <v>726</v>
      </c>
      <c r="AL69" s="1022">
        <v>5</v>
      </c>
      <c r="AM69" s="1155">
        <f>IF(AT69="","",3*'09월 에너지'!S71*(1/(3+7.8*(100-AT69)/AT69)))</f>
        <v>0.78755431409062693</v>
      </c>
      <c r="AN69" s="1023">
        <v>0.14097222222222222</v>
      </c>
      <c r="AO69" s="1024"/>
      <c r="AP69" s="1025"/>
      <c r="AQ69" s="1025"/>
      <c r="AR69" s="1149" t="str">
        <f t="shared" si="20"/>
        <v/>
      </c>
      <c r="AS69" s="1093">
        <f t="shared" si="21"/>
        <v>5</v>
      </c>
      <c r="AT69" s="1156">
        <v>1.4</v>
      </c>
      <c r="AU69" s="449"/>
      <c r="AV69" s="1205"/>
    </row>
    <row r="70" spans="1:48" ht="16.5" customHeight="1">
      <c r="A70" s="1005">
        <f t="shared" si="10"/>
        <v>46267</v>
      </c>
      <c r="B70" s="1005">
        <f t="shared" si="11"/>
        <v>46267</v>
      </c>
      <c r="C70" s="1150">
        <f t="shared" si="12"/>
        <v>29</v>
      </c>
      <c r="D70" s="1150">
        <f t="shared" si="13"/>
        <v>59</v>
      </c>
      <c r="E70" s="1006" t="str">
        <f t="shared" si="14"/>
        <v>D</v>
      </c>
      <c r="F70" s="1007" t="str">
        <f t="shared" si="15"/>
        <v>A</v>
      </c>
      <c r="G70" s="1008">
        <f t="shared" si="16"/>
        <v>85272</v>
      </c>
      <c r="H70" s="1138">
        <f t="shared" si="17"/>
        <v>7.6388888888888895E-2</v>
      </c>
      <c r="I70" s="1009">
        <v>7.5694444444444439E-2</v>
      </c>
      <c r="J70" s="1010">
        <f t="shared" si="18"/>
        <v>46.999999999999986</v>
      </c>
      <c r="K70" s="1011"/>
      <c r="L70" s="1012"/>
      <c r="M70" s="1013"/>
      <c r="N70" s="1014" t="str">
        <f t="shared" si="19"/>
        <v/>
      </c>
      <c r="O70" s="1323" t="s">
        <v>592</v>
      </c>
      <c r="P70" s="1324"/>
      <c r="Q70" s="1324"/>
      <c r="R70" s="1324"/>
      <c r="S70" s="1324"/>
      <c r="T70" s="1325"/>
      <c r="U70" s="1015">
        <v>1.8</v>
      </c>
      <c r="V70" s="1015"/>
      <c r="W70" s="1015"/>
      <c r="X70" s="1015"/>
      <c r="Y70" s="1015">
        <v>2.6</v>
      </c>
      <c r="Z70" s="1016">
        <f>'09월 에너지'!S72</f>
        <v>143.1</v>
      </c>
      <c r="AA70" s="1017">
        <v>2544</v>
      </c>
      <c r="AB70" s="1208" t="s">
        <v>573</v>
      </c>
      <c r="AC70" s="1208"/>
      <c r="AD70" s="1208" t="s">
        <v>532</v>
      </c>
      <c r="AE70" s="1208"/>
      <c r="AF70" s="1208" t="s">
        <v>593</v>
      </c>
      <c r="AG70" s="1018">
        <f>'09월 화학성분'!AM70</f>
        <v>2252</v>
      </c>
      <c r="AH70" s="1006">
        <f t="shared" si="9"/>
        <v>10</v>
      </c>
      <c r="AI70" s="1019">
        <v>1579</v>
      </c>
      <c r="AJ70" s="1020">
        <v>0</v>
      </c>
      <c r="AK70" s="1021">
        <v>585</v>
      </c>
      <c r="AL70" s="1022">
        <v>7</v>
      </c>
      <c r="AM70" s="1155">
        <f>IF(AT70="","",3*'09월 에너지'!S72*(1/(3+7.8*(100-AT70)/AT70)))</f>
        <v>0.66537507749535019</v>
      </c>
      <c r="AN70" s="1023">
        <v>0.16319444444444445</v>
      </c>
      <c r="AO70" s="1024" t="s">
        <v>587</v>
      </c>
      <c r="AP70" s="1025">
        <v>200</v>
      </c>
      <c r="AQ70" s="1025">
        <v>2000</v>
      </c>
      <c r="AR70" s="1149">
        <v>1</v>
      </c>
      <c r="AS70" s="1093" t="str">
        <f t="shared" si="21"/>
        <v xml:space="preserve"> </v>
      </c>
      <c r="AT70" s="1156">
        <v>1.2</v>
      </c>
      <c r="AU70" s="449"/>
      <c r="AV70" s="1205"/>
    </row>
    <row r="71" spans="1:48" ht="16.5" customHeight="1">
      <c r="A71" s="1005">
        <f t="shared" si="10"/>
        <v>46267</v>
      </c>
      <c r="B71" s="1005">
        <f t="shared" si="11"/>
        <v>46267</v>
      </c>
      <c r="C71" s="1150">
        <f t="shared" si="12"/>
        <v>30</v>
      </c>
      <c r="D71" s="1150">
        <f t="shared" si="13"/>
        <v>60</v>
      </c>
      <c r="E71" s="1006" t="str">
        <f t="shared" si="14"/>
        <v>D</v>
      </c>
      <c r="F71" s="1007" t="str">
        <f t="shared" si="15"/>
        <v>B</v>
      </c>
      <c r="G71" s="1008">
        <f t="shared" si="16"/>
        <v>85273</v>
      </c>
      <c r="H71" s="1138">
        <f t="shared" si="17"/>
        <v>0.10902777777777778</v>
      </c>
      <c r="I71" s="1009">
        <v>0.10694444444444444</v>
      </c>
      <c r="J71" s="1010">
        <f t="shared" si="18"/>
        <v>45</v>
      </c>
      <c r="K71" s="1011"/>
      <c r="L71" s="1012"/>
      <c r="M71" s="1013"/>
      <c r="N71" s="1014" t="str">
        <f t="shared" si="19"/>
        <v/>
      </c>
      <c r="O71" s="1323"/>
      <c r="P71" s="1324"/>
      <c r="Q71" s="1324"/>
      <c r="R71" s="1324"/>
      <c r="S71" s="1324"/>
      <c r="T71" s="1325"/>
      <c r="U71" s="1015">
        <v>1.8</v>
      </c>
      <c r="V71" s="1015">
        <v>2.4</v>
      </c>
      <c r="W71" s="1015">
        <v>1.6</v>
      </c>
      <c r="X71" s="1015"/>
      <c r="Y71" s="1015"/>
      <c r="Z71" s="1016">
        <f>'09월 에너지'!S73</f>
        <v>143.9</v>
      </c>
      <c r="AA71" s="1017"/>
      <c r="AB71" s="1208"/>
      <c r="AC71" s="1208"/>
      <c r="AD71" s="1208"/>
      <c r="AE71" s="1208"/>
      <c r="AF71" s="1208"/>
      <c r="AG71" s="1018">
        <f>'09월 화학성분'!AM71</f>
        <v>1725</v>
      </c>
      <c r="AH71" s="1006">
        <f t="shared" si="9"/>
        <v>11</v>
      </c>
      <c r="AI71" s="1019">
        <v>1603</v>
      </c>
      <c r="AJ71" s="1020">
        <v>160</v>
      </c>
      <c r="AK71" s="1021">
        <v>690</v>
      </c>
      <c r="AL71" s="1022">
        <v>5</v>
      </c>
      <c r="AM71" s="1155">
        <f>IF(AT71="","",3*'09월 에너지'!S73*(1/(3+7.8*(100-AT71)/AT71)))</f>
        <v>2.327927714646465</v>
      </c>
      <c r="AN71" s="1023">
        <v>0.13819444444444443</v>
      </c>
      <c r="AO71" s="1024"/>
      <c r="AP71" s="1025"/>
      <c r="AQ71" s="1025"/>
      <c r="AR71" s="1149" t="str">
        <f t="shared" si="20"/>
        <v/>
      </c>
      <c r="AS71" s="1093">
        <f t="shared" si="21"/>
        <v>6</v>
      </c>
      <c r="AT71" s="1156">
        <v>4.0999999999999996</v>
      </c>
      <c r="AU71" s="449"/>
      <c r="AV71" s="1205"/>
    </row>
    <row r="72" spans="1:48" ht="16.5" customHeight="1">
      <c r="A72" s="1005">
        <f t="shared" si="10"/>
        <v>46267</v>
      </c>
      <c r="B72" s="1005">
        <f t="shared" si="11"/>
        <v>46267</v>
      </c>
      <c r="C72" s="1150">
        <f t="shared" si="12"/>
        <v>31</v>
      </c>
      <c r="D72" s="1150">
        <f t="shared" si="13"/>
        <v>61</v>
      </c>
      <c r="E72" s="1006" t="str">
        <f t="shared" si="14"/>
        <v>D</v>
      </c>
      <c r="F72" s="1007" t="str">
        <f t="shared" si="15"/>
        <v>A</v>
      </c>
      <c r="G72" s="1008">
        <f t="shared" si="16"/>
        <v>85274</v>
      </c>
      <c r="H72" s="1138">
        <f t="shared" si="17"/>
        <v>0.14027777777777778</v>
      </c>
      <c r="I72" s="1009">
        <v>0.13749999999999998</v>
      </c>
      <c r="J72" s="1010">
        <f t="shared" si="18"/>
        <v>43.999999999999986</v>
      </c>
      <c r="K72" s="1011"/>
      <c r="L72" s="1012"/>
      <c r="M72" s="1013"/>
      <c r="N72" s="1014" t="str">
        <f t="shared" si="19"/>
        <v/>
      </c>
      <c r="O72" s="1323" t="s">
        <v>595</v>
      </c>
      <c r="P72" s="1324"/>
      <c r="Q72" s="1324"/>
      <c r="R72" s="1324"/>
      <c r="S72" s="1324"/>
      <c r="T72" s="1325"/>
      <c r="U72" s="1015">
        <v>1.8</v>
      </c>
      <c r="V72" s="1015"/>
      <c r="W72" s="1015"/>
      <c r="X72" s="1015"/>
      <c r="Y72" s="1015">
        <v>2.7</v>
      </c>
      <c r="Z72" s="1016">
        <f>'09월 에너지'!S74</f>
        <v>143</v>
      </c>
      <c r="AA72" s="1017"/>
      <c r="AB72" s="1208"/>
      <c r="AC72" s="1208"/>
      <c r="AD72" s="1208"/>
      <c r="AE72" s="1208"/>
      <c r="AF72" s="1208"/>
      <c r="AG72" s="1018">
        <f>'09월 화학성분'!AM72</f>
        <v>2243</v>
      </c>
      <c r="AH72" s="1006">
        <f t="shared" si="9"/>
        <v>12</v>
      </c>
      <c r="AI72" s="1019">
        <v>1589</v>
      </c>
      <c r="AJ72" s="1020">
        <v>0</v>
      </c>
      <c r="AK72" s="1021">
        <v>784</v>
      </c>
      <c r="AL72" s="1022">
        <v>5</v>
      </c>
      <c r="AM72" s="1155">
        <f>IF(AT72="","",3*'09월 에너지'!S74*(1/(3+7.8*(100-AT72)/AT72)))</f>
        <v>1.1137071651090342</v>
      </c>
      <c r="AN72" s="1023">
        <v>0.15</v>
      </c>
      <c r="AO72" s="1024"/>
      <c r="AP72" s="1025"/>
      <c r="AQ72" s="1025"/>
      <c r="AR72" s="1149">
        <f t="shared" si="20"/>
        <v>2</v>
      </c>
      <c r="AS72" s="1093" t="str">
        <f t="shared" si="21"/>
        <v xml:space="preserve"> </v>
      </c>
      <c r="AT72" s="1156">
        <v>2</v>
      </c>
      <c r="AU72" s="449"/>
      <c r="AV72" s="1205"/>
    </row>
    <row r="73" spans="1:48" ht="16.5" customHeight="1">
      <c r="A73" s="1005">
        <v>46268</v>
      </c>
      <c r="B73" s="1005">
        <f t="shared" si="11"/>
        <v>46267</v>
      </c>
      <c r="C73" s="1150">
        <f t="shared" si="12"/>
        <v>1</v>
      </c>
      <c r="D73" s="1150">
        <f t="shared" si="13"/>
        <v>62</v>
      </c>
      <c r="E73" s="1006" t="str">
        <f t="shared" si="14"/>
        <v>D</v>
      </c>
      <c r="F73" s="1007" t="str">
        <f t="shared" si="15"/>
        <v>B</v>
      </c>
      <c r="G73" s="1008">
        <f t="shared" si="16"/>
        <v>85275</v>
      </c>
      <c r="H73" s="1138">
        <f t="shared" si="17"/>
        <v>0.17083333333333331</v>
      </c>
      <c r="I73" s="1009">
        <v>0.16805555555555554</v>
      </c>
      <c r="J73" s="1010">
        <f t="shared" si="18"/>
        <v>44</v>
      </c>
      <c r="K73" s="1011"/>
      <c r="L73" s="1012"/>
      <c r="M73" s="1013"/>
      <c r="N73" s="1014" t="str">
        <f t="shared" si="19"/>
        <v/>
      </c>
      <c r="O73" s="1323"/>
      <c r="P73" s="1324"/>
      <c r="Q73" s="1324"/>
      <c r="R73" s="1324"/>
      <c r="S73" s="1324"/>
      <c r="T73" s="1325"/>
      <c r="U73" s="1015">
        <v>1.8</v>
      </c>
      <c r="V73" s="1015"/>
      <c r="W73" s="1015"/>
      <c r="X73" s="1015"/>
      <c r="Y73" s="1015">
        <v>2.8</v>
      </c>
      <c r="Z73" s="1016">
        <f>'09월 에너지'!S75</f>
        <v>143.1</v>
      </c>
      <c r="AA73" s="1017"/>
      <c r="AB73" s="1208"/>
      <c r="AC73" s="1208"/>
      <c r="AD73" s="1208"/>
      <c r="AE73" s="1208"/>
      <c r="AF73" s="1208"/>
      <c r="AG73" s="1018">
        <f>'09월 화학성분'!AM73</f>
        <v>1536</v>
      </c>
      <c r="AH73" s="1006">
        <f t="shared" si="9"/>
        <v>13</v>
      </c>
      <c r="AI73" s="1019">
        <v>1597</v>
      </c>
      <c r="AJ73" s="1020">
        <v>26</v>
      </c>
      <c r="AK73" s="1021">
        <v>749</v>
      </c>
      <c r="AL73" s="1022">
        <v>5</v>
      </c>
      <c r="AM73" s="1155">
        <f>IF(AT73="","",3*'09월 에너지'!S75*(1/(3+7.8*(100-AT73)/AT73)))</f>
        <v>0.66537507749535019</v>
      </c>
      <c r="AN73" s="1023">
        <v>0.13263888888888889</v>
      </c>
      <c r="AO73" s="1024"/>
      <c r="AP73" s="1025"/>
      <c r="AQ73" s="1025"/>
      <c r="AR73" s="1149" t="str">
        <f t="shared" si="20"/>
        <v/>
      </c>
      <c r="AS73" s="1093">
        <f t="shared" si="21"/>
        <v>7</v>
      </c>
      <c r="AT73" s="1156">
        <v>1.2</v>
      </c>
      <c r="AU73" s="449"/>
      <c r="AV73" s="1205"/>
    </row>
    <row r="74" spans="1:48" ht="16.5" customHeight="1">
      <c r="A74" s="1005">
        <f t="shared" si="10"/>
        <v>46268</v>
      </c>
      <c r="B74" s="1005">
        <f t="shared" si="11"/>
        <v>46267</v>
      </c>
      <c r="C74" s="1150">
        <f t="shared" si="12"/>
        <v>2</v>
      </c>
      <c r="D74" s="1150">
        <f t="shared" si="13"/>
        <v>63</v>
      </c>
      <c r="E74" s="1006" t="str">
        <f t="shared" si="14"/>
        <v>D</v>
      </c>
      <c r="F74" s="1007" t="str">
        <f t="shared" si="15"/>
        <v>A</v>
      </c>
      <c r="G74" s="1008">
        <f t="shared" si="16"/>
        <v>85276</v>
      </c>
      <c r="H74" s="1138">
        <f t="shared" si="17"/>
        <v>0.20138888888888887</v>
      </c>
      <c r="I74" s="1009">
        <v>0.20277777777777781</v>
      </c>
      <c r="J74" s="1010">
        <f t="shared" si="18"/>
        <v>50.000000000000064</v>
      </c>
      <c r="K74" s="1011"/>
      <c r="L74" s="1012"/>
      <c r="M74" s="1013"/>
      <c r="N74" s="1014" t="str">
        <f t="shared" si="19"/>
        <v/>
      </c>
      <c r="O74" s="1323" t="s">
        <v>596</v>
      </c>
      <c r="P74" s="1324"/>
      <c r="Q74" s="1324"/>
      <c r="R74" s="1324"/>
      <c r="S74" s="1324"/>
      <c r="T74" s="1325"/>
      <c r="U74" s="1015">
        <v>1.8</v>
      </c>
      <c r="V74" s="1015">
        <v>2.4</v>
      </c>
      <c r="W74" s="1015">
        <v>1.5</v>
      </c>
      <c r="X74" s="1015"/>
      <c r="Y74" s="1015"/>
      <c r="Z74" s="1016">
        <f>'09월 에너지'!S76</f>
        <v>143.5</v>
      </c>
      <c r="AA74" s="1017"/>
      <c r="AB74" s="1208"/>
      <c r="AC74" s="1208"/>
      <c r="AD74" s="1208"/>
      <c r="AE74" s="1208"/>
      <c r="AF74" s="1208"/>
      <c r="AG74" s="1018">
        <f>'09월 화학성분'!AM74</f>
        <v>2268</v>
      </c>
      <c r="AH74" s="1006">
        <f t="shared" si="9"/>
        <v>14</v>
      </c>
      <c r="AI74" s="1019">
        <v>1618</v>
      </c>
      <c r="AJ74" s="1020">
        <v>0</v>
      </c>
      <c r="AK74" s="1021" t="s">
        <v>563</v>
      </c>
      <c r="AL74" s="1022" t="s">
        <v>563</v>
      </c>
      <c r="AM74" s="1155">
        <f>IF(AT74="","",3*'09월 에너지'!S76*(1/(3+7.8*(100-AT74)/AT74)))</f>
        <v>0.72328629032258052</v>
      </c>
      <c r="AN74" s="1023">
        <v>0.15277777777777776</v>
      </c>
      <c r="AO74" s="1024"/>
      <c r="AP74" s="1025"/>
      <c r="AQ74" s="1025"/>
      <c r="AR74" s="1149">
        <f t="shared" si="20"/>
        <v>3</v>
      </c>
      <c r="AS74" s="1093" t="str">
        <f t="shared" si="21"/>
        <v xml:space="preserve"> </v>
      </c>
      <c r="AT74" s="1156">
        <v>1.3</v>
      </c>
      <c r="AU74" s="449"/>
      <c r="AV74" s="1205"/>
    </row>
    <row r="75" spans="1:48" ht="16.5" customHeight="1">
      <c r="A75" s="1005">
        <f t="shared" si="10"/>
        <v>46268</v>
      </c>
      <c r="B75" s="1005">
        <f t="shared" si="11"/>
        <v>46267</v>
      </c>
      <c r="C75" s="1150">
        <f t="shared" si="12"/>
        <v>3</v>
      </c>
      <c r="D75" s="1150">
        <f t="shared" si="13"/>
        <v>64</v>
      </c>
      <c r="E75" s="1006" t="str">
        <f t="shared" si="14"/>
        <v>D</v>
      </c>
      <c r="F75" s="1007" t="str">
        <f t="shared" si="15"/>
        <v>B</v>
      </c>
      <c r="G75" s="1008">
        <f t="shared" si="16"/>
        <v>85277</v>
      </c>
      <c r="H75" s="1138">
        <f t="shared" si="17"/>
        <v>0.23611111111111113</v>
      </c>
      <c r="I75" s="1009">
        <v>0.23472222222222219</v>
      </c>
      <c r="J75" s="1010">
        <f t="shared" si="18"/>
        <v>45.999999999999915</v>
      </c>
      <c r="K75" s="1011"/>
      <c r="L75" s="1012"/>
      <c r="M75" s="1013"/>
      <c r="N75" s="1014" t="str">
        <f t="shared" si="19"/>
        <v/>
      </c>
      <c r="O75" s="1323" t="s">
        <v>571</v>
      </c>
      <c r="P75" s="1324"/>
      <c r="Q75" s="1324"/>
      <c r="R75" s="1324"/>
      <c r="S75" s="1324"/>
      <c r="T75" s="1325"/>
      <c r="U75" s="1015">
        <v>1.8</v>
      </c>
      <c r="V75" s="1015">
        <v>2.5</v>
      </c>
      <c r="W75" s="1015">
        <v>1.6</v>
      </c>
      <c r="X75" s="1015"/>
      <c r="Y75" s="1015"/>
      <c r="Z75" s="1016">
        <f>'09월 에너지'!S77</f>
        <v>142.69999999999999</v>
      </c>
      <c r="AA75" s="1017">
        <v>2508</v>
      </c>
      <c r="AB75" s="1208" t="s">
        <v>551</v>
      </c>
      <c r="AC75" s="1208" t="s">
        <v>548</v>
      </c>
      <c r="AD75" s="1208"/>
      <c r="AE75" s="1208" t="s">
        <v>548</v>
      </c>
      <c r="AF75" s="1208" t="s">
        <v>548</v>
      </c>
      <c r="AG75" s="1018">
        <f>'09월 화학성분'!AM75</f>
        <v>1858</v>
      </c>
      <c r="AH75" s="1006">
        <f t="shared" si="9"/>
        <v>15</v>
      </c>
      <c r="AI75" s="1019">
        <v>1585</v>
      </c>
      <c r="AJ75" s="1020">
        <v>172</v>
      </c>
      <c r="AK75" s="1021">
        <v>728</v>
      </c>
      <c r="AL75" s="1022">
        <v>5</v>
      </c>
      <c r="AM75" s="1155">
        <f>IF(AT75="","",3*'09월 에너지'!S77*(1/(3+7.8*(100-AT75)/AT75)))</f>
        <v>1.9632468553459119</v>
      </c>
      <c r="AN75" s="1023">
        <v>0.20069444444444443</v>
      </c>
      <c r="AO75" s="1024"/>
      <c r="AP75" s="1025"/>
      <c r="AQ75" s="1025"/>
      <c r="AR75" s="1149" t="str">
        <f t="shared" si="20"/>
        <v/>
      </c>
      <c r="AS75" s="1093">
        <f t="shared" si="21"/>
        <v>8</v>
      </c>
      <c r="AT75" s="1156">
        <v>3.5</v>
      </c>
      <c r="AU75" s="449"/>
      <c r="AV75" s="1205"/>
    </row>
    <row r="76" spans="1:48" ht="16.5" customHeight="1">
      <c r="A76" s="1005">
        <f t="shared" si="10"/>
        <v>46268</v>
      </c>
      <c r="B76" s="1005">
        <f t="shared" si="11"/>
        <v>46267</v>
      </c>
      <c r="C76" s="1150">
        <f t="shared" si="12"/>
        <v>4</v>
      </c>
      <c r="D76" s="1150">
        <f t="shared" si="13"/>
        <v>65</v>
      </c>
      <c r="E76" s="1006" t="str">
        <f t="shared" si="14"/>
        <v>D</v>
      </c>
      <c r="F76" s="1007" t="str">
        <f t="shared" si="15"/>
        <v>A</v>
      </c>
      <c r="G76" s="1008">
        <f t="shared" si="16"/>
        <v>85278</v>
      </c>
      <c r="H76" s="1138">
        <f t="shared" si="17"/>
        <v>0.26805555555555555</v>
      </c>
      <c r="I76" s="1009">
        <v>0.26805555555555555</v>
      </c>
      <c r="J76" s="1010">
        <f t="shared" si="18"/>
        <v>48.000000000000028</v>
      </c>
      <c r="K76" s="1011"/>
      <c r="L76" s="1012"/>
      <c r="M76" s="1013"/>
      <c r="N76" s="1014" t="str">
        <f t="shared" si="19"/>
        <v/>
      </c>
      <c r="O76" s="1323" t="s">
        <v>597</v>
      </c>
      <c r="P76" s="1324"/>
      <c r="Q76" s="1324"/>
      <c r="R76" s="1324"/>
      <c r="S76" s="1324"/>
      <c r="T76" s="1325"/>
      <c r="U76" s="1015">
        <v>1.8</v>
      </c>
      <c r="V76" s="1015"/>
      <c r="W76" s="1015"/>
      <c r="X76" s="1015"/>
      <c r="Y76" s="1015">
        <v>2.8</v>
      </c>
      <c r="Z76" s="1016">
        <f>'09월 에너지'!S78</f>
        <v>143.69999999999999</v>
      </c>
      <c r="AA76" s="1017"/>
      <c r="AB76" s="1208"/>
      <c r="AC76" s="1208"/>
      <c r="AD76" s="1208"/>
      <c r="AE76" s="1208"/>
      <c r="AF76" s="1208"/>
      <c r="AG76" s="1018">
        <f>'09월 화학성분'!AM76</f>
        <v>2588</v>
      </c>
      <c r="AH76" s="1006">
        <f t="shared" si="9"/>
        <v>16</v>
      </c>
      <c r="AI76" s="1019">
        <v>1585</v>
      </c>
      <c r="AJ76" s="1020">
        <v>49</v>
      </c>
      <c r="AK76" s="1021" t="s">
        <v>599</v>
      </c>
      <c r="AL76" s="1022"/>
      <c r="AM76" s="1155">
        <f>IF(AT76="","",3*'09월 에너지'!S78*(1/(3+7.8*(100-AT76)/AT76)))</f>
        <v>0.83676242236024845</v>
      </c>
      <c r="AN76" s="1023">
        <v>0.13194444444444445</v>
      </c>
      <c r="AO76" s="1024"/>
      <c r="AP76" s="1025"/>
      <c r="AQ76" s="1025"/>
      <c r="AR76" s="1149">
        <f t="shared" si="20"/>
        <v>4</v>
      </c>
      <c r="AS76" s="1093" t="str">
        <f t="shared" si="21"/>
        <v xml:space="preserve"> </v>
      </c>
      <c r="AT76" s="1156">
        <v>1.5</v>
      </c>
      <c r="AU76" s="449"/>
      <c r="AV76" s="1205"/>
    </row>
    <row r="77" spans="1:48" ht="16.5" customHeight="1">
      <c r="A77" s="1005">
        <f t="shared" si="10"/>
        <v>46268</v>
      </c>
      <c r="B77" s="1005">
        <v>46268</v>
      </c>
      <c r="C77" s="1150">
        <f t="shared" si="12"/>
        <v>5</v>
      </c>
      <c r="D77" s="1150">
        <f t="shared" si="13"/>
        <v>66</v>
      </c>
      <c r="E77" s="1006" t="s">
        <v>600</v>
      </c>
      <c r="F77" s="1007" t="str">
        <f t="shared" si="15"/>
        <v>B</v>
      </c>
      <c r="G77" s="1008">
        <f t="shared" si="16"/>
        <v>85279</v>
      </c>
      <c r="H77" s="1138">
        <f t="shared" si="17"/>
        <v>0.30138888888888887</v>
      </c>
      <c r="I77" s="1009">
        <v>0.29930555555555555</v>
      </c>
      <c r="J77" s="1010">
        <f t="shared" si="18"/>
        <v>45</v>
      </c>
      <c r="K77" s="1011"/>
      <c r="L77" s="1012"/>
      <c r="M77" s="1013"/>
      <c r="N77" s="1014" t="str">
        <f t="shared" si="19"/>
        <v/>
      </c>
      <c r="O77" s="1323" t="s">
        <v>598</v>
      </c>
      <c r="P77" s="1324"/>
      <c r="Q77" s="1324"/>
      <c r="R77" s="1324"/>
      <c r="S77" s="1324"/>
      <c r="T77" s="1325"/>
      <c r="U77" s="1015">
        <v>1.8</v>
      </c>
      <c r="V77" s="1015"/>
      <c r="W77" s="1015"/>
      <c r="X77" s="1015"/>
      <c r="Y77" s="1015">
        <v>2.5</v>
      </c>
      <c r="Z77" s="1016">
        <f>'09월 에너지'!S79</f>
        <v>142.5</v>
      </c>
      <c r="AA77" s="1017"/>
      <c r="AB77" s="1208"/>
      <c r="AC77" s="1208"/>
      <c r="AD77" s="1208"/>
      <c r="AE77" s="1208"/>
      <c r="AF77" s="1208"/>
      <c r="AG77" s="1018">
        <f>'09월 화학성분'!AM77</f>
        <v>1126</v>
      </c>
      <c r="AH77" s="1006">
        <f t="shared" ref="AH77:AH140" si="22">IF(I77="","",AH76+1)</f>
        <v>17</v>
      </c>
      <c r="AI77" s="1019">
        <v>1610</v>
      </c>
      <c r="AJ77" s="1020">
        <v>63</v>
      </c>
      <c r="AK77" s="1021">
        <v>740</v>
      </c>
      <c r="AL77" s="1022">
        <v>5</v>
      </c>
      <c r="AM77" s="1155">
        <f>IF(AT77="","",3*'09월 에너지'!S79*(1/(3+7.8*(100-AT77)/AT77)))</f>
        <v>1.1660302369077307</v>
      </c>
      <c r="AN77" s="1023">
        <v>0.13055555555555556</v>
      </c>
      <c r="AO77" s="1024"/>
      <c r="AP77" s="1025"/>
      <c r="AQ77" s="1025"/>
      <c r="AR77" s="1149" t="str">
        <f t="shared" ref="AR77:AR140" si="23">IF(F77="A",IFERROR(IF(I77="","",IF(F77="A",AR76+1," ")),AR75+1),"")</f>
        <v/>
      </c>
      <c r="AS77" s="1093">
        <f t="shared" si="21"/>
        <v>9</v>
      </c>
      <c r="AT77" s="1156">
        <v>2.1</v>
      </c>
      <c r="AU77" s="449"/>
      <c r="AV77" s="1205"/>
    </row>
    <row r="78" spans="1:48" ht="16.5" customHeight="1">
      <c r="A78" s="1005">
        <f t="shared" ref="A78:A141" si="24">IF(I78="","",A77)</f>
        <v>46268</v>
      </c>
      <c r="B78" s="1005">
        <f t="shared" ref="B78:B141" si="25">IF(J78="","",B77)</f>
        <v>46268</v>
      </c>
      <c r="C78" s="1150">
        <f t="shared" ref="C78:C141" si="26">IF(I78="","",IF(A78=A77,C77+1,1))</f>
        <v>6</v>
      </c>
      <c r="D78" s="1150">
        <f t="shared" ref="D78:D141" si="27">IF(C78="","",D77+1)</f>
        <v>67</v>
      </c>
      <c r="E78" s="1006" t="str">
        <f t="shared" ref="E78:E141" si="28">IF(C78="","",E77)</f>
        <v>B</v>
      </c>
      <c r="F78" s="1007" t="str">
        <f t="shared" ref="F78:F141" si="29">IF(C78="","",IF(F77="A","B","A"))</f>
        <v>A</v>
      </c>
      <c r="G78" s="1008">
        <f t="shared" ref="G78:G141" si="30">IF(C78="","",G77+1)</f>
        <v>85280</v>
      </c>
      <c r="H78" s="1138">
        <f t="shared" ref="H78:H141" si="31">IF(ISBLANK(I77),H77+C$8/1440,I77+C$8/1440)</f>
        <v>0.33263888888888887</v>
      </c>
      <c r="I78" s="1009">
        <v>0.33194444444444443</v>
      </c>
      <c r="J78" s="1010">
        <f t="shared" ref="J78:J141" si="32">IF(I78="","",IF(I78&lt;I77,(I78-I77)*1440+1440,(I78-I77)*1440))</f>
        <v>46.999999999999993</v>
      </c>
      <c r="K78" s="1011"/>
      <c r="L78" s="1012"/>
      <c r="M78" s="1013"/>
      <c r="N78" s="1014" t="str">
        <f t="shared" ref="N78:N141" si="33">IF(M78="","",M78+K78/1440)</f>
        <v/>
      </c>
      <c r="O78" s="1323"/>
      <c r="P78" s="1324"/>
      <c r="Q78" s="1324"/>
      <c r="R78" s="1324"/>
      <c r="S78" s="1324"/>
      <c r="T78" s="1325"/>
      <c r="U78" s="1015">
        <v>1.8</v>
      </c>
      <c r="V78" s="1015"/>
      <c r="W78" s="1015"/>
      <c r="X78" s="1015" t="s">
        <v>599</v>
      </c>
      <c r="Y78" s="1015">
        <v>2.8</v>
      </c>
      <c r="Z78" s="1016">
        <f>'09월 에너지'!S80</f>
        <v>144.80000000000001</v>
      </c>
      <c r="AA78" s="1017"/>
      <c r="AB78" s="1208"/>
      <c r="AC78" s="1208"/>
      <c r="AD78" s="1208"/>
      <c r="AE78" s="1208"/>
      <c r="AF78" s="1208"/>
      <c r="AG78" s="1018">
        <f>'09월 화학성분'!AM78</f>
        <v>1313</v>
      </c>
      <c r="AH78" s="1006">
        <f t="shared" si="22"/>
        <v>18</v>
      </c>
      <c r="AI78" s="1019">
        <v>1619</v>
      </c>
      <c r="AJ78" s="1020">
        <v>207</v>
      </c>
      <c r="AK78" s="1021">
        <v>774</v>
      </c>
      <c r="AL78" s="1022">
        <v>5</v>
      </c>
      <c r="AM78" s="1155">
        <f>IF(AT78="","",3*'09월 에너지'!S80*(1/(3+7.8*(100-AT78)/AT78)))</f>
        <v>1.8179535467671062</v>
      </c>
      <c r="AN78" s="1023">
        <v>0.15416666666666667</v>
      </c>
      <c r="AO78" s="1024"/>
      <c r="AP78" s="1025"/>
      <c r="AQ78" s="1025"/>
      <c r="AR78" s="1149">
        <f t="shared" si="23"/>
        <v>5</v>
      </c>
      <c r="AS78" s="1093" t="str">
        <f t="shared" ref="AS78:AS141" si="34">IFERROR(IF($I78="","",IF($F78="B",AS77+1," ")),AS76+1)</f>
        <v xml:space="preserve"> </v>
      </c>
      <c r="AT78" s="1156">
        <v>3.2</v>
      </c>
      <c r="AU78" s="449"/>
      <c r="AV78" s="1205"/>
    </row>
    <row r="79" spans="1:48" ht="16.5" customHeight="1">
      <c r="A79" s="1005">
        <f t="shared" si="24"/>
        <v>46268</v>
      </c>
      <c r="B79" s="1005">
        <f t="shared" si="25"/>
        <v>46268</v>
      </c>
      <c r="C79" s="1150">
        <f t="shared" si="26"/>
        <v>7</v>
      </c>
      <c r="D79" s="1150">
        <f t="shared" si="27"/>
        <v>68</v>
      </c>
      <c r="E79" s="1006" t="str">
        <f t="shared" si="28"/>
        <v>B</v>
      </c>
      <c r="F79" s="1007" t="str">
        <f t="shared" si="29"/>
        <v>B</v>
      </c>
      <c r="G79" s="1008">
        <f t="shared" si="30"/>
        <v>85281</v>
      </c>
      <c r="H79" s="1138">
        <f t="shared" si="31"/>
        <v>0.36527777777777776</v>
      </c>
      <c r="I79" s="1009">
        <v>0.3659722222222222</v>
      </c>
      <c r="J79" s="1010">
        <f t="shared" si="32"/>
        <v>48.999999999999986</v>
      </c>
      <c r="K79" s="1011"/>
      <c r="L79" s="1012"/>
      <c r="M79" s="1013"/>
      <c r="N79" s="1014" t="str">
        <f t="shared" si="33"/>
        <v/>
      </c>
      <c r="O79" s="1323"/>
      <c r="P79" s="1324"/>
      <c r="Q79" s="1324"/>
      <c r="R79" s="1324"/>
      <c r="S79" s="1324"/>
      <c r="T79" s="1325"/>
      <c r="U79" s="1015">
        <v>1.8</v>
      </c>
      <c r="V79" s="1015"/>
      <c r="W79" s="1015"/>
      <c r="X79" s="1015">
        <v>3.1</v>
      </c>
      <c r="Y79" s="1015"/>
      <c r="Z79" s="1016">
        <f>'09월 에너지'!S81</f>
        <v>141.4</v>
      </c>
      <c r="AA79" s="1017"/>
      <c r="AB79" s="1208"/>
      <c r="AC79" s="1208"/>
      <c r="AD79" s="1208"/>
      <c r="AE79" s="1208"/>
      <c r="AF79" s="1208"/>
      <c r="AG79" s="1018">
        <f>'09월 화학성분'!AM79</f>
        <v>1567</v>
      </c>
      <c r="AH79" s="1006">
        <f t="shared" si="22"/>
        <v>19</v>
      </c>
      <c r="AI79" s="1019">
        <v>1606</v>
      </c>
      <c r="AJ79" s="1020">
        <v>23</v>
      </c>
      <c r="AK79" s="1021">
        <v>758</v>
      </c>
      <c r="AL79" s="1022">
        <v>5</v>
      </c>
      <c r="AM79" s="1155">
        <f>IF(AT79="","",3*'09월 에너지'!S81*(1/(3+7.8*(100-AT79)/AT79)))</f>
        <v>0.54721362229102177</v>
      </c>
      <c r="AN79" s="1023">
        <v>0.13680555555555554</v>
      </c>
      <c r="AO79" s="1024"/>
      <c r="AP79" s="1025"/>
      <c r="AQ79" s="1025"/>
      <c r="AR79" s="1149" t="str">
        <f t="shared" si="23"/>
        <v/>
      </c>
      <c r="AS79" s="1093">
        <f t="shared" si="34"/>
        <v>10</v>
      </c>
      <c r="AT79" s="1156">
        <v>1</v>
      </c>
      <c r="AU79" s="449"/>
      <c r="AV79" s="1205"/>
    </row>
    <row r="80" spans="1:48" ht="16.5" customHeight="1">
      <c r="A80" s="1005">
        <f t="shared" si="24"/>
        <v>46268</v>
      </c>
      <c r="B80" s="1005">
        <f t="shared" si="25"/>
        <v>46268</v>
      </c>
      <c r="C80" s="1150">
        <f t="shared" si="26"/>
        <v>8</v>
      </c>
      <c r="D80" s="1150">
        <f t="shared" si="27"/>
        <v>69</v>
      </c>
      <c r="E80" s="1006" t="str">
        <f t="shared" si="28"/>
        <v>B</v>
      </c>
      <c r="F80" s="1007" t="str">
        <f t="shared" si="29"/>
        <v>A</v>
      </c>
      <c r="G80" s="1008">
        <f t="shared" si="30"/>
        <v>85282</v>
      </c>
      <c r="H80" s="1138">
        <f t="shared" si="31"/>
        <v>0.39930555555555552</v>
      </c>
      <c r="I80" s="1009">
        <v>0.39652777777777781</v>
      </c>
      <c r="J80" s="1010">
        <f t="shared" si="32"/>
        <v>44.000000000000085</v>
      </c>
      <c r="K80" s="1011"/>
      <c r="L80" s="1012"/>
      <c r="M80" s="1013"/>
      <c r="N80" s="1014" t="str">
        <f t="shared" si="33"/>
        <v/>
      </c>
      <c r="O80" s="1323"/>
      <c r="P80" s="1324"/>
      <c r="Q80" s="1324"/>
      <c r="R80" s="1324"/>
      <c r="S80" s="1324"/>
      <c r="T80" s="1325"/>
      <c r="U80" s="1015">
        <v>1.8</v>
      </c>
      <c r="V80" s="1015"/>
      <c r="W80" s="1015"/>
      <c r="X80" s="1015"/>
      <c r="Y80" s="1015">
        <v>2.4</v>
      </c>
      <c r="Z80" s="1016">
        <f>'09월 에너지'!S82</f>
        <v>143.30000000000001</v>
      </c>
      <c r="AA80" s="1017"/>
      <c r="AB80" s="1208"/>
      <c r="AC80" s="1208"/>
      <c r="AD80" s="1208"/>
      <c r="AE80" s="1208"/>
      <c r="AF80" s="1208"/>
      <c r="AG80" s="1018">
        <f>'09월 화학성분'!AM80</f>
        <v>1205</v>
      </c>
      <c r="AH80" s="1006">
        <f t="shared" si="22"/>
        <v>20</v>
      </c>
      <c r="AI80" s="1019">
        <v>1613</v>
      </c>
      <c r="AJ80" s="1020">
        <v>0</v>
      </c>
      <c r="AK80" s="1021">
        <v>774</v>
      </c>
      <c r="AL80" s="1022">
        <v>5</v>
      </c>
      <c r="AM80" s="1155">
        <f>IF(AT80="","",3*'09월 에너지'!S82*(1/(3+7.8*(100-AT80)/AT80)))</f>
        <v>1.0031891723708775</v>
      </c>
      <c r="AN80" s="1023">
        <v>0.16319444444444445</v>
      </c>
      <c r="AO80" s="1024"/>
      <c r="AP80" s="1025"/>
      <c r="AQ80" s="1025"/>
      <c r="AR80" s="1149">
        <f t="shared" si="23"/>
        <v>6</v>
      </c>
      <c r="AS80" s="1093" t="str">
        <f t="shared" si="34"/>
        <v xml:space="preserve"> </v>
      </c>
      <c r="AT80" s="1156">
        <v>1.8</v>
      </c>
      <c r="AU80" s="449"/>
      <c r="AV80" s="1205"/>
    </row>
    <row r="81" spans="1:48" ht="16.5" customHeight="1">
      <c r="A81" s="1005">
        <f t="shared" si="24"/>
        <v>46268</v>
      </c>
      <c r="B81" s="1005">
        <f t="shared" si="25"/>
        <v>46268</v>
      </c>
      <c r="C81" s="1150">
        <f t="shared" si="26"/>
        <v>9</v>
      </c>
      <c r="D81" s="1150">
        <f t="shared" si="27"/>
        <v>70</v>
      </c>
      <c r="E81" s="1006" t="str">
        <f t="shared" si="28"/>
        <v>B</v>
      </c>
      <c r="F81" s="1007" t="str">
        <f t="shared" si="29"/>
        <v>B</v>
      </c>
      <c r="G81" s="1008">
        <f t="shared" si="30"/>
        <v>85283</v>
      </c>
      <c r="H81" s="1138">
        <f t="shared" si="31"/>
        <v>0.42986111111111114</v>
      </c>
      <c r="I81" s="1009">
        <v>0.43611111111111112</v>
      </c>
      <c r="J81" s="1010">
        <f t="shared" si="32"/>
        <v>56.999999999999957</v>
      </c>
      <c r="K81" s="1011"/>
      <c r="L81" s="1012"/>
      <c r="M81" s="1013"/>
      <c r="N81" s="1014" t="str">
        <f t="shared" si="33"/>
        <v/>
      </c>
      <c r="O81" s="1323" t="s">
        <v>530</v>
      </c>
      <c r="P81" s="1324"/>
      <c r="Q81" s="1324"/>
      <c r="R81" s="1324"/>
      <c r="S81" s="1324"/>
      <c r="T81" s="1325"/>
      <c r="U81" s="1015">
        <v>1.8</v>
      </c>
      <c r="V81" s="1015"/>
      <c r="W81" s="1015"/>
      <c r="X81" s="1015"/>
      <c r="Y81" s="1015">
        <v>2.6</v>
      </c>
      <c r="Z81" s="1016">
        <f>'09월 에너지'!S83</f>
        <v>144.30000000000001</v>
      </c>
      <c r="AA81" s="1017">
        <v>2575</v>
      </c>
      <c r="AB81" s="1208" t="s">
        <v>551</v>
      </c>
      <c r="AC81" s="1208" t="s">
        <v>548</v>
      </c>
      <c r="AD81" s="1208"/>
      <c r="AE81" s="1208" t="s">
        <v>548</v>
      </c>
      <c r="AF81" s="1208" t="s">
        <v>548</v>
      </c>
      <c r="AG81" s="1018">
        <f>'09월 화학성분'!AM81</f>
        <v>1960</v>
      </c>
      <c r="AH81" s="1006">
        <f t="shared" si="22"/>
        <v>21</v>
      </c>
      <c r="AI81" s="1019">
        <v>1583</v>
      </c>
      <c r="AJ81" s="1020">
        <v>98</v>
      </c>
      <c r="AK81" s="1021">
        <v>366</v>
      </c>
      <c r="AL81" s="1022">
        <v>12</v>
      </c>
      <c r="AM81" s="1155">
        <f>IF(AT81="","",3*'09월 에너지'!S83*(1/(3+7.8*(100-AT81)/AT81)))</f>
        <v>0.7837523277467412</v>
      </c>
      <c r="AN81" s="1023">
        <v>0.16319444444444445</v>
      </c>
      <c r="AO81" s="1024"/>
      <c r="AP81" s="1025"/>
      <c r="AQ81" s="1025"/>
      <c r="AR81" s="1149" t="str">
        <f t="shared" si="23"/>
        <v/>
      </c>
      <c r="AS81" s="1093">
        <f t="shared" si="34"/>
        <v>11</v>
      </c>
      <c r="AT81" s="1156">
        <v>1.4</v>
      </c>
      <c r="AU81" s="449"/>
      <c r="AV81" s="1205"/>
    </row>
    <row r="82" spans="1:48" ht="16.5" customHeight="1">
      <c r="A82" s="1005">
        <f t="shared" si="24"/>
        <v>46268</v>
      </c>
      <c r="B82" s="1005">
        <f t="shared" si="25"/>
        <v>46268</v>
      </c>
      <c r="C82" s="1150">
        <f t="shared" si="26"/>
        <v>10</v>
      </c>
      <c r="D82" s="1150">
        <f t="shared" si="27"/>
        <v>71</v>
      </c>
      <c r="E82" s="1006" t="str">
        <f t="shared" si="28"/>
        <v>B</v>
      </c>
      <c r="F82" s="1007" t="str">
        <f t="shared" si="29"/>
        <v>A</v>
      </c>
      <c r="G82" s="1008">
        <f t="shared" si="30"/>
        <v>85284</v>
      </c>
      <c r="H82" s="1138">
        <f t="shared" si="31"/>
        <v>0.46944444444444444</v>
      </c>
      <c r="I82" s="1009">
        <v>0.46527777777777773</v>
      </c>
      <c r="J82" s="1010">
        <f t="shared" si="32"/>
        <v>41.999999999999929</v>
      </c>
      <c r="K82" s="1011"/>
      <c r="L82" s="1012"/>
      <c r="M82" s="1013"/>
      <c r="N82" s="1014" t="str">
        <f t="shared" si="33"/>
        <v/>
      </c>
      <c r="O82" s="1323"/>
      <c r="P82" s="1324"/>
      <c r="Q82" s="1324"/>
      <c r="R82" s="1324"/>
      <c r="S82" s="1324"/>
      <c r="T82" s="1325"/>
      <c r="U82" s="1015">
        <v>1.8</v>
      </c>
      <c r="V82" s="1015"/>
      <c r="W82" s="1015"/>
      <c r="X82" s="1015"/>
      <c r="Y82" s="1015">
        <v>2.5</v>
      </c>
      <c r="Z82" s="1016">
        <f>'09월 에너지'!S84</f>
        <v>142</v>
      </c>
      <c r="AA82" s="1017"/>
      <c r="AB82" s="1208"/>
      <c r="AC82" s="1208"/>
      <c r="AD82" s="1208"/>
      <c r="AE82" s="1208"/>
      <c r="AF82" s="1208"/>
      <c r="AG82" s="1018">
        <f>'09월 화학성분'!AM82</f>
        <v>1090</v>
      </c>
      <c r="AH82" s="1006">
        <f t="shared" si="22"/>
        <v>22</v>
      </c>
      <c r="AI82" s="1019">
        <v>1590</v>
      </c>
      <c r="AJ82" s="1020">
        <v>0</v>
      </c>
      <c r="AK82" s="1021">
        <v>407</v>
      </c>
      <c r="AL82" s="1022">
        <v>11</v>
      </c>
      <c r="AM82" s="1155">
        <f>IF(AT82="","",3*'09월 에너지'!S84*(1/(3+7.8*(100-AT82)/AT82)))</f>
        <v>0.60486369268897144</v>
      </c>
      <c r="AN82" s="1023">
        <v>0.17291666666666669</v>
      </c>
      <c r="AO82" s="1024"/>
      <c r="AP82" s="1025"/>
      <c r="AQ82" s="1025"/>
      <c r="AR82" s="1149">
        <f t="shared" si="23"/>
        <v>7</v>
      </c>
      <c r="AS82" s="1093" t="str">
        <f t="shared" si="34"/>
        <v xml:space="preserve"> </v>
      </c>
      <c r="AT82" s="1156">
        <v>1.1000000000000001</v>
      </c>
      <c r="AU82" s="449"/>
      <c r="AV82" s="1205"/>
    </row>
    <row r="83" spans="1:48" ht="16.5" customHeight="1">
      <c r="A83" s="1005">
        <f t="shared" si="24"/>
        <v>46268</v>
      </c>
      <c r="B83" s="1005">
        <f t="shared" si="25"/>
        <v>46268</v>
      </c>
      <c r="C83" s="1150">
        <f t="shared" si="26"/>
        <v>11</v>
      </c>
      <c r="D83" s="1150">
        <f t="shared" si="27"/>
        <v>72</v>
      </c>
      <c r="E83" s="1006" t="str">
        <f t="shared" si="28"/>
        <v>B</v>
      </c>
      <c r="F83" s="1007" t="str">
        <f t="shared" si="29"/>
        <v>B</v>
      </c>
      <c r="G83" s="1008">
        <f t="shared" si="30"/>
        <v>85285</v>
      </c>
      <c r="H83" s="1138">
        <f t="shared" si="31"/>
        <v>0.49861111111111106</v>
      </c>
      <c r="I83" s="1009">
        <v>0.49861111111111112</v>
      </c>
      <c r="J83" s="1010">
        <f t="shared" si="32"/>
        <v>48.000000000000071</v>
      </c>
      <c r="K83" s="1011"/>
      <c r="L83" s="1012"/>
      <c r="M83" s="1013"/>
      <c r="N83" s="1014" t="str">
        <f t="shared" si="33"/>
        <v/>
      </c>
      <c r="O83" s="1323"/>
      <c r="P83" s="1324"/>
      <c r="Q83" s="1324"/>
      <c r="R83" s="1324"/>
      <c r="S83" s="1324"/>
      <c r="T83" s="1325"/>
      <c r="U83" s="1015">
        <v>1.8</v>
      </c>
      <c r="V83" s="1015"/>
      <c r="W83" s="1015"/>
      <c r="X83" s="1015"/>
      <c r="Y83" s="1015">
        <v>2.5</v>
      </c>
      <c r="Z83" s="1016">
        <f>'09월 에너지'!S85</f>
        <v>143.30000000000001</v>
      </c>
      <c r="AA83" s="1017"/>
      <c r="AB83" s="1208"/>
      <c r="AC83" s="1208"/>
      <c r="AD83" s="1208"/>
      <c r="AE83" s="1208"/>
      <c r="AF83" s="1208"/>
      <c r="AG83" s="1018">
        <f>'09월 화학성분'!AM83</f>
        <v>1147</v>
      </c>
      <c r="AH83" s="1006">
        <f t="shared" si="22"/>
        <v>23</v>
      </c>
      <c r="AI83" s="1019">
        <v>1620</v>
      </c>
      <c r="AJ83" s="1020">
        <v>0</v>
      </c>
      <c r="AK83" s="1021">
        <v>690</v>
      </c>
      <c r="AL83" s="1022">
        <v>6</v>
      </c>
      <c r="AM83" s="1155">
        <f>IF(AT83="","",3*'09월 에너지'!S85*(1/(3+7.8*(100-AT83)/AT83)))</f>
        <v>0.72227822580645162</v>
      </c>
      <c r="AN83" s="1023">
        <v>0.1423611111111111</v>
      </c>
      <c r="AO83" s="1024"/>
      <c r="AP83" s="1025"/>
      <c r="AQ83" s="1025"/>
      <c r="AR83" s="1149" t="str">
        <f t="shared" si="23"/>
        <v/>
      </c>
      <c r="AS83" s="1093">
        <f t="shared" si="34"/>
        <v>12</v>
      </c>
      <c r="AT83" s="1156">
        <v>1.3</v>
      </c>
      <c r="AU83" s="449"/>
      <c r="AV83" s="1205"/>
    </row>
    <row r="84" spans="1:48" ht="16.5" customHeight="1">
      <c r="A84" s="1005">
        <f t="shared" si="24"/>
        <v>46268</v>
      </c>
      <c r="B84" s="1005">
        <f t="shared" si="25"/>
        <v>46268</v>
      </c>
      <c r="C84" s="1150">
        <f t="shared" si="26"/>
        <v>12</v>
      </c>
      <c r="D84" s="1150">
        <f t="shared" si="27"/>
        <v>73</v>
      </c>
      <c r="E84" s="1006" t="str">
        <f t="shared" si="28"/>
        <v>B</v>
      </c>
      <c r="F84" s="1007" t="str">
        <f t="shared" si="29"/>
        <v>A</v>
      </c>
      <c r="G84" s="1008">
        <f t="shared" si="30"/>
        <v>85286</v>
      </c>
      <c r="H84" s="1138">
        <f t="shared" si="31"/>
        <v>0.53194444444444444</v>
      </c>
      <c r="I84" s="1009">
        <v>0.52847222222222223</v>
      </c>
      <c r="J84" s="1010">
        <f t="shared" si="32"/>
        <v>43.000000000000007</v>
      </c>
      <c r="K84" s="1011"/>
      <c r="L84" s="1012"/>
      <c r="M84" s="1013"/>
      <c r="N84" s="1014" t="str">
        <f t="shared" si="33"/>
        <v/>
      </c>
      <c r="O84" s="1323"/>
      <c r="P84" s="1324"/>
      <c r="Q84" s="1324"/>
      <c r="R84" s="1324"/>
      <c r="S84" s="1324"/>
      <c r="T84" s="1325"/>
      <c r="U84" s="1015">
        <v>1.8</v>
      </c>
      <c r="V84" s="1015" t="s">
        <v>599</v>
      </c>
      <c r="W84" s="1015"/>
      <c r="X84" s="1015"/>
      <c r="Y84" s="1015">
        <v>2.7</v>
      </c>
      <c r="Z84" s="1016">
        <f>'09월 에너지'!S86</f>
        <v>143.4</v>
      </c>
      <c r="AA84" s="1017"/>
      <c r="AB84" s="1208"/>
      <c r="AC84" s="1208"/>
      <c r="AD84" s="1208"/>
      <c r="AE84" s="1208"/>
      <c r="AF84" s="1208"/>
      <c r="AG84" s="1018">
        <f>'09월 화학성분'!AM84</f>
        <v>1172</v>
      </c>
      <c r="AH84" s="1006">
        <f t="shared" si="22"/>
        <v>24</v>
      </c>
      <c r="AI84" s="1019">
        <v>1589</v>
      </c>
      <c r="AJ84" s="1020">
        <v>47</v>
      </c>
      <c r="AK84" s="1021">
        <v>594</v>
      </c>
      <c r="AL84" s="1022">
        <v>7</v>
      </c>
      <c r="AM84" s="1155">
        <f>IF(AT84="","",3*'09월 에너지'!S86*(1/(3+7.8*(100-AT84)/AT84)))</f>
        <v>1.743020702634881</v>
      </c>
      <c r="AN84" s="1023">
        <v>0.29930555555555555</v>
      </c>
      <c r="AO84" s="1024"/>
      <c r="AP84" s="1025"/>
      <c r="AQ84" s="1025"/>
      <c r="AR84" s="1149">
        <f t="shared" si="23"/>
        <v>8</v>
      </c>
      <c r="AS84" s="1093" t="str">
        <f t="shared" si="34"/>
        <v xml:space="preserve"> </v>
      </c>
      <c r="AT84" s="1156">
        <v>3.1</v>
      </c>
      <c r="AU84" s="449"/>
      <c r="AV84" s="1205"/>
    </row>
    <row r="85" spans="1:48" ht="16.5" customHeight="1">
      <c r="A85" s="1005">
        <f t="shared" si="24"/>
        <v>46268</v>
      </c>
      <c r="B85" s="1005">
        <f t="shared" si="25"/>
        <v>46268</v>
      </c>
      <c r="C85" s="1150">
        <f t="shared" si="26"/>
        <v>13</v>
      </c>
      <c r="D85" s="1150">
        <f t="shared" si="27"/>
        <v>74</v>
      </c>
      <c r="E85" s="1006" t="str">
        <f t="shared" si="28"/>
        <v>B</v>
      </c>
      <c r="F85" s="1007" t="str">
        <f t="shared" si="29"/>
        <v>B</v>
      </c>
      <c r="G85" s="1008">
        <f t="shared" si="30"/>
        <v>85287</v>
      </c>
      <c r="H85" s="1138">
        <f t="shared" si="31"/>
        <v>0.56180555555555556</v>
      </c>
      <c r="I85" s="1009">
        <v>0.55902777777777779</v>
      </c>
      <c r="J85" s="1010">
        <f t="shared" si="32"/>
        <v>44</v>
      </c>
      <c r="K85" s="1011"/>
      <c r="L85" s="1012"/>
      <c r="M85" s="1013"/>
      <c r="N85" s="1014" t="str">
        <f t="shared" si="33"/>
        <v/>
      </c>
      <c r="O85" s="1323"/>
      <c r="P85" s="1324"/>
      <c r="Q85" s="1324"/>
      <c r="R85" s="1324"/>
      <c r="S85" s="1324"/>
      <c r="T85" s="1325"/>
      <c r="U85" s="1015">
        <v>1.8</v>
      </c>
      <c r="V85" s="1015">
        <v>2.8</v>
      </c>
      <c r="W85" s="1015">
        <v>1.6</v>
      </c>
      <c r="X85" s="1015"/>
      <c r="Y85" s="1015"/>
      <c r="Z85" s="1016">
        <f>'09월 에너지'!S87</f>
        <v>141.6</v>
      </c>
      <c r="AA85" s="1017"/>
      <c r="AB85" s="1208"/>
      <c r="AC85" s="1208"/>
      <c r="AD85" s="1208"/>
      <c r="AE85" s="1208"/>
      <c r="AF85" s="1208"/>
      <c r="AG85" s="1018">
        <f>'09월 화학성분'!AM85</f>
        <v>1234</v>
      </c>
      <c r="AH85" s="1006">
        <f t="shared" si="22"/>
        <v>25</v>
      </c>
      <c r="AI85" s="1019">
        <v>1582</v>
      </c>
      <c r="AJ85" s="1020">
        <v>0</v>
      </c>
      <c r="AK85" s="1021">
        <v>399</v>
      </c>
      <c r="AL85" s="1022">
        <v>11</v>
      </c>
      <c r="AM85" s="1155">
        <f>IF(AT85="","",3*'09월 에너지'!S87*(1/(3+7.8*(100-AT85)/AT85)))</f>
        <v>1.4953066332916145</v>
      </c>
      <c r="AN85" s="1023">
        <v>0.16041666666666668</v>
      </c>
      <c r="AO85" s="1024"/>
      <c r="AP85" s="1025"/>
      <c r="AQ85" s="1025"/>
      <c r="AR85" s="1149" t="str">
        <f t="shared" si="23"/>
        <v/>
      </c>
      <c r="AS85" s="1093">
        <f t="shared" si="34"/>
        <v>13</v>
      </c>
      <c r="AT85" s="1156">
        <v>2.7</v>
      </c>
      <c r="AU85" s="449"/>
      <c r="AV85" s="1205"/>
    </row>
    <row r="86" spans="1:48" ht="16.5" customHeight="1">
      <c r="A86" s="1005">
        <f t="shared" si="24"/>
        <v>46268</v>
      </c>
      <c r="B86" s="1005">
        <f t="shared" si="25"/>
        <v>46268</v>
      </c>
      <c r="C86" s="1150">
        <f t="shared" si="26"/>
        <v>14</v>
      </c>
      <c r="D86" s="1150">
        <f t="shared" si="27"/>
        <v>75</v>
      </c>
      <c r="E86" s="1006" t="str">
        <f t="shared" si="28"/>
        <v>B</v>
      </c>
      <c r="F86" s="1007" t="str">
        <f t="shared" si="29"/>
        <v>A</v>
      </c>
      <c r="G86" s="1008">
        <f t="shared" si="30"/>
        <v>85288</v>
      </c>
      <c r="H86" s="1138">
        <f t="shared" si="31"/>
        <v>0.59236111111111112</v>
      </c>
      <c r="I86" s="1009">
        <v>0.59444444444444444</v>
      </c>
      <c r="J86" s="1010">
        <f t="shared" si="32"/>
        <v>50.999999999999979</v>
      </c>
      <c r="K86" s="1011"/>
      <c r="L86" s="1012"/>
      <c r="M86" s="1013"/>
      <c r="N86" s="1014" t="str">
        <f t="shared" si="33"/>
        <v/>
      </c>
      <c r="O86" s="1323" t="s">
        <v>530</v>
      </c>
      <c r="P86" s="1324"/>
      <c r="Q86" s="1324"/>
      <c r="R86" s="1324"/>
      <c r="S86" s="1324"/>
      <c r="T86" s="1325"/>
      <c r="U86" s="1015">
        <v>1.8</v>
      </c>
      <c r="V86" s="1015"/>
      <c r="W86" s="1015"/>
      <c r="X86" s="1015"/>
      <c r="Y86" s="1015">
        <v>2.5</v>
      </c>
      <c r="Z86" s="1016">
        <f>'09월 에너지'!S88</f>
        <v>142.9</v>
      </c>
      <c r="AA86" s="1017">
        <v>1930</v>
      </c>
      <c r="AB86" s="1208" t="s">
        <v>551</v>
      </c>
      <c r="AC86" s="1208" t="s">
        <v>548</v>
      </c>
      <c r="AD86" s="1208" t="s">
        <v>548</v>
      </c>
      <c r="AE86" s="1208"/>
      <c r="AF86" s="1208" t="s">
        <v>548</v>
      </c>
      <c r="AG86" s="1018">
        <f>'09월 화학성분'!AM86</f>
        <v>1051</v>
      </c>
      <c r="AH86" s="1006">
        <f t="shared" si="22"/>
        <v>26</v>
      </c>
      <c r="AI86" s="1019">
        <v>1572</v>
      </c>
      <c r="AJ86" s="1020">
        <v>0</v>
      </c>
      <c r="AK86" s="1021">
        <v>627</v>
      </c>
      <c r="AL86" s="1022">
        <v>6</v>
      </c>
      <c r="AM86" s="1155">
        <f>IF(AT86="","",3*'09월 에너지'!S88*(1/(3+7.8*(100-AT86)/AT86)))</f>
        <v>1.7940991839296927</v>
      </c>
      <c r="AN86" s="1023">
        <v>0.28194444444444444</v>
      </c>
      <c r="AO86" s="1024"/>
      <c r="AP86" s="1025"/>
      <c r="AQ86" s="1025"/>
      <c r="AR86" s="1149">
        <f t="shared" si="23"/>
        <v>9</v>
      </c>
      <c r="AS86" s="1093" t="str">
        <f t="shared" si="34"/>
        <v xml:space="preserve"> </v>
      </c>
      <c r="AT86" s="1156">
        <v>3.2</v>
      </c>
      <c r="AU86" s="449"/>
      <c r="AV86" s="1205"/>
    </row>
    <row r="87" spans="1:48" ht="16.5" customHeight="1">
      <c r="A87" s="1005">
        <f t="shared" si="24"/>
        <v>46268</v>
      </c>
      <c r="B87" s="1005">
        <f t="shared" si="25"/>
        <v>46268</v>
      </c>
      <c r="C87" s="1150">
        <f t="shared" si="26"/>
        <v>15</v>
      </c>
      <c r="D87" s="1150">
        <f t="shared" si="27"/>
        <v>76</v>
      </c>
      <c r="E87" s="1006" t="s">
        <v>546</v>
      </c>
      <c r="F87" s="1007" t="str">
        <f t="shared" si="29"/>
        <v>B</v>
      </c>
      <c r="G87" s="1008">
        <f t="shared" si="30"/>
        <v>85289</v>
      </c>
      <c r="H87" s="1138">
        <f t="shared" si="31"/>
        <v>0.62777777777777777</v>
      </c>
      <c r="I87" s="1009">
        <v>0.63541666666666663</v>
      </c>
      <c r="J87" s="1010">
        <f t="shared" si="32"/>
        <v>58.99999999999995</v>
      </c>
      <c r="K87" s="1011"/>
      <c r="L87" s="1012">
        <v>11</v>
      </c>
      <c r="M87" s="1013"/>
      <c r="N87" s="1014" t="str">
        <f t="shared" si="33"/>
        <v/>
      </c>
      <c r="O87" s="1323" t="s">
        <v>601</v>
      </c>
      <c r="P87" s="1324"/>
      <c r="Q87" s="1324"/>
      <c r="R87" s="1324"/>
      <c r="S87" s="1324"/>
      <c r="T87" s="1325"/>
      <c r="U87" s="1015">
        <v>1.8</v>
      </c>
      <c r="V87" s="1015"/>
      <c r="W87" s="1015"/>
      <c r="X87" s="1015"/>
      <c r="Y87" s="1015">
        <v>2.6</v>
      </c>
      <c r="Z87" s="1016">
        <f>'09월 에너지'!S89</f>
        <v>145</v>
      </c>
      <c r="AA87" s="1017"/>
      <c r="AB87" s="1208"/>
      <c r="AC87" s="1208"/>
      <c r="AD87" s="1208"/>
      <c r="AE87" s="1208"/>
      <c r="AF87" s="1208"/>
      <c r="AG87" s="1018">
        <f>'09월 화학성분'!AM87</f>
        <v>2140</v>
      </c>
      <c r="AH87" s="1006">
        <f t="shared" si="22"/>
        <v>27</v>
      </c>
      <c r="AI87" s="1019">
        <v>1582</v>
      </c>
      <c r="AJ87" s="1020">
        <v>0</v>
      </c>
      <c r="AK87" s="1021">
        <v>299</v>
      </c>
      <c r="AL87" s="1022">
        <v>16</v>
      </c>
      <c r="AM87" s="1155">
        <f>IF(AT87="","",3*'09월 에너지'!S89*(1/(3+7.8*(100-AT87)/AT87)))</f>
        <v>1.820464532328939</v>
      </c>
      <c r="AN87" s="1023">
        <v>0.18263888888888891</v>
      </c>
      <c r="AO87" s="1024"/>
      <c r="AP87" s="1025"/>
      <c r="AQ87" s="1025"/>
      <c r="AR87" s="1149" t="str">
        <f t="shared" si="23"/>
        <v/>
      </c>
      <c r="AS87" s="1093">
        <f t="shared" si="34"/>
        <v>14</v>
      </c>
      <c r="AT87" s="1156">
        <v>3.2</v>
      </c>
      <c r="AU87" s="449"/>
      <c r="AV87" s="1205"/>
    </row>
    <row r="88" spans="1:48" ht="16.5" customHeight="1">
      <c r="A88" s="1005">
        <f t="shared" si="24"/>
        <v>46268</v>
      </c>
      <c r="B88" s="1005">
        <f t="shared" si="25"/>
        <v>46268</v>
      </c>
      <c r="C88" s="1150">
        <f t="shared" si="26"/>
        <v>16</v>
      </c>
      <c r="D88" s="1150">
        <f t="shared" si="27"/>
        <v>77</v>
      </c>
      <c r="E88" s="1006" t="str">
        <f t="shared" si="28"/>
        <v>C</v>
      </c>
      <c r="F88" s="1007" t="str">
        <f t="shared" si="29"/>
        <v>A</v>
      </c>
      <c r="G88" s="1008">
        <f t="shared" si="30"/>
        <v>85290</v>
      </c>
      <c r="H88" s="1138">
        <f t="shared" si="31"/>
        <v>0.66874999999999996</v>
      </c>
      <c r="I88" s="1009">
        <v>0.66666666666666663</v>
      </c>
      <c r="J88" s="1010">
        <f t="shared" si="32"/>
        <v>45</v>
      </c>
      <c r="K88" s="1011"/>
      <c r="L88" s="1012"/>
      <c r="M88" s="1013"/>
      <c r="N88" s="1014" t="str">
        <f t="shared" si="33"/>
        <v/>
      </c>
      <c r="O88" s="1323"/>
      <c r="P88" s="1324"/>
      <c r="Q88" s="1324"/>
      <c r="R88" s="1324"/>
      <c r="S88" s="1324"/>
      <c r="T88" s="1325"/>
      <c r="U88" s="1015">
        <v>1.8</v>
      </c>
      <c r="V88" s="1015"/>
      <c r="W88" s="1015"/>
      <c r="X88" s="1015"/>
      <c r="Y88" s="1015">
        <v>2.4</v>
      </c>
      <c r="Z88" s="1016">
        <f>'09월 에너지'!S90</f>
        <v>144</v>
      </c>
      <c r="AA88" s="1017"/>
      <c r="AB88" s="1208"/>
      <c r="AC88" s="1208"/>
      <c r="AD88" s="1208"/>
      <c r="AE88" s="1208"/>
      <c r="AF88" s="1208"/>
      <c r="AG88" s="1018">
        <f>'09월 화학성분'!AM88</f>
        <v>1804</v>
      </c>
      <c r="AH88" s="1006">
        <f t="shared" si="22"/>
        <v>28</v>
      </c>
      <c r="AI88" s="1019">
        <v>1579</v>
      </c>
      <c r="AJ88" s="1020">
        <v>0</v>
      </c>
      <c r="AK88" s="1021">
        <v>560</v>
      </c>
      <c r="AL88" s="1022">
        <v>7</v>
      </c>
      <c r="AM88" s="1155">
        <f>IF(AT88="","",3*'09월 에너지'!S90*(1/(3+7.8*(100-AT88)/AT88)))</f>
        <v>0.38936959208899874</v>
      </c>
      <c r="AN88" s="1023">
        <v>0.23680555555555557</v>
      </c>
      <c r="AO88" s="1024"/>
      <c r="AP88" s="1025"/>
      <c r="AQ88" s="1025"/>
      <c r="AR88" s="1149">
        <f t="shared" si="23"/>
        <v>10</v>
      </c>
      <c r="AS88" s="1093" t="str">
        <f t="shared" si="34"/>
        <v xml:space="preserve"> </v>
      </c>
      <c r="AT88" s="1156">
        <v>0.7</v>
      </c>
      <c r="AU88" s="449"/>
      <c r="AV88" s="1205"/>
    </row>
    <row r="89" spans="1:48" ht="16.5" customHeight="1">
      <c r="A89" s="1005">
        <f t="shared" si="24"/>
        <v>46268</v>
      </c>
      <c r="B89" s="1005">
        <f t="shared" si="25"/>
        <v>46268</v>
      </c>
      <c r="C89" s="1150">
        <f t="shared" si="26"/>
        <v>17</v>
      </c>
      <c r="D89" s="1150">
        <f t="shared" si="27"/>
        <v>78</v>
      </c>
      <c r="E89" s="1006" t="str">
        <f t="shared" si="28"/>
        <v>C</v>
      </c>
      <c r="F89" s="1007" t="str">
        <f t="shared" si="29"/>
        <v>B</v>
      </c>
      <c r="G89" s="1008">
        <f t="shared" si="30"/>
        <v>85291</v>
      </c>
      <c r="H89" s="1138">
        <f t="shared" si="31"/>
        <v>0.7</v>
      </c>
      <c r="I89" s="1009">
        <v>0.70347222222222217</v>
      </c>
      <c r="J89" s="1010">
        <f t="shared" si="32"/>
        <v>52.999999999999972</v>
      </c>
      <c r="K89" s="1011"/>
      <c r="L89" s="1012">
        <v>6</v>
      </c>
      <c r="M89" s="1013"/>
      <c r="N89" s="1014" t="str">
        <f t="shared" si="33"/>
        <v/>
      </c>
      <c r="O89" s="1323" t="s">
        <v>605</v>
      </c>
      <c r="P89" s="1324"/>
      <c r="Q89" s="1324"/>
      <c r="R89" s="1324"/>
      <c r="S89" s="1324"/>
      <c r="T89" s="1325"/>
      <c r="U89" s="1015">
        <v>1.8</v>
      </c>
      <c r="V89" s="1015"/>
      <c r="W89" s="1015"/>
      <c r="X89" s="1015"/>
      <c r="Y89" s="1015">
        <v>2.7</v>
      </c>
      <c r="Z89" s="1016">
        <f>'09월 에너지'!S91</f>
        <v>142.30000000000001</v>
      </c>
      <c r="AA89" s="1017"/>
      <c r="AB89" s="1208"/>
      <c r="AC89" s="1208"/>
      <c r="AD89" s="1208"/>
      <c r="AE89" s="1208"/>
      <c r="AF89" s="1208"/>
      <c r="AG89" s="1018">
        <f>'09월 화학성분'!AM89</f>
        <v>1419</v>
      </c>
      <c r="AH89" s="1006">
        <f t="shared" si="22"/>
        <v>29</v>
      </c>
      <c r="AI89" s="1019">
        <v>1584</v>
      </c>
      <c r="AJ89" s="1020">
        <v>0</v>
      </c>
      <c r="AK89" s="1021">
        <v>397</v>
      </c>
      <c r="AL89" s="1022">
        <v>11</v>
      </c>
      <c r="AM89" s="1155">
        <f>IF(AT89="","",3*'09월 에너지'!S91*(1/(3+7.8*(100-AT89)/AT89)))</f>
        <v>1.8435537060301508</v>
      </c>
      <c r="AN89" s="1023">
        <v>0.14027777777777778</v>
      </c>
      <c r="AO89" s="1024" t="s">
        <v>603</v>
      </c>
      <c r="AP89" s="1025" t="s">
        <v>604</v>
      </c>
      <c r="AQ89" s="1025">
        <v>2125</v>
      </c>
      <c r="AR89" s="1149" t="str">
        <f t="shared" si="23"/>
        <v/>
      </c>
      <c r="AS89" s="1093">
        <v>1</v>
      </c>
      <c r="AT89" s="1156">
        <v>3.3</v>
      </c>
      <c r="AU89" s="449"/>
      <c r="AV89" s="1205" t="s">
        <v>553</v>
      </c>
    </row>
    <row r="90" spans="1:48" ht="16.5" customHeight="1">
      <c r="A90" s="1005">
        <f t="shared" si="24"/>
        <v>46268</v>
      </c>
      <c r="B90" s="1005">
        <f t="shared" si="25"/>
        <v>46268</v>
      </c>
      <c r="C90" s="1150">
        <f t="shared" si="26"/>
        <v>18</v>
      </c>
      <c r="D90" s="1150">
        <f t="shared" si="27"/>
        <v>79</v>
      </c>
      <c r="E90" s="1006" t="str">
        <f t="shared" si="28"/>
        <v>C</v>
      </c>
      <c r="F90" s="1007" t="str">
        <f t="shared" si="29"/>
        <v>A</v>
      </c>
      <c r="G90" s="1008">
        <f t="shared" si="30"/>
        <v>85292</v>
      </c>
      <c r="H90" s="1138">
        <f t="shared" si="31"/>
        <v>0.73680555555555549</v>
      </c>
      <c r="I90" s="1009">
        <v>0.73263888888888884</v>
      </c>
      <c r="J90" s="1010">
        <f t="shared" si="32"/>
        <v>42.000000000000014</v>
      </c>
      <c r="K90" s="1011"/>
      <c r="L90" s="1012"/>
      <c r="M90" s="1013"/>
      <c r="N90" s="1014" t="str">
        <f t="shared" si="33"/>
        <v/>
      </c>
      <c r="O90" s="1323"/>
      <c r="P90" s="1324"/>
      <c r="Q90" s="1324"/>
      <c r="R90" s="1324"/>
      <c r="S90" s="1324"/>
      <c r="T90" s="1325"/>
      <c r="U90" s="1015">
        <v>1.8</v>
      </c>
      <c r="V90" s="1015"/>
      <c r="W90" s="1015"/>
      <c r="X90" s="1015"/>
      <c r="Y90" s="1015">
        <v>2.6</v>
      </c>
      <c r="Z90" s="1016">
        <f>'09월 에너지'!S92</f>
        <v>145.19999999999999</v>
      </c>
      <c r="AA90" s="1017"/>
      <c r="AB90" s="1208"/>
      <c r="AC90" s="1208"/>
      <c r="AD90" s="1208"/>
      <c r="AE90" s="1208"/>
      <c r="AF90" s="1208"/>
      <c r="AG90" s="1018">
        <f>'09월 화학성분'!AM90</f>
        <v>2174</v>
      </c>
      <c r="AH90" s="1006">
        <f t="shared" si="22"/>
        <v>30</v>
      </c>
      <c r="AI90" s="1019">
        <v>1587</v>
      </c>
      <c r="AJ90" s="1020">
        <v>63</v>
      </c>
      <c r="AK90" s="1021">
        <v>630</v>
      </c>
      <c r="AL90" s="1022">
        <v>5</v>
      </c>
      <c r="AM90" s="1155">
        <f>IF(AT90="","",3*'09월 에너지'!S92*(1/(3+7.8*(100-AT90)/AT90)))</f>
        <v>0.67513949163050202</v>
      </c>
      <c r="AN90" s="1023">
        <v>0.15625</v>
      </c>
      <c r="AO90" s="1024"/>
      <c r="AP90" s="1025"/>
      <c r="AQ90" s="1025"/>
      <c r="AR90" s="1149">
        <f t="shared" si="23"/>
        <v>11</v>
      </c>
      <c r="AS90" s="1093" t="str">
        <f t="shared" si="34"/>
        <v xml:space="preserve"> </v>
      </c>
      <c r="AT90" s="1156">
        <v>1.2</v>
      </c>
      <c r="AU90" s="449"/>
      <c r="AV90" s="1205"/>
    </row>
    <row r="91" spans="1:48" ht="16.5" customHeight="1">
      <c r="A91" s="1005">
        <f t="shared" si="24"/>
        <v>46268</v>
      </c>
      <c r="B91" s="1005">
        <f t="shared" si="25"/>
        <v>46268</v>
      </c>
      <c r="C91" s="1150">
        <f t="shared" si="26"/>
        <v>19</v>
      </c>
      <c r="D91" s="1150">
        <f t="shared" si="27"/>
        <v>80</v>
      </c>
      <c r="E91" s="1006" t="str">
        <f t="shared" si="28"/>
        <v>C</v>
      </c>
      <c r="F91" s="1007" t="str">
        <f t="shared" si="29"/>
        <v>B</v>
      </c>
      <c r="G91" s="1008">
        <f t="shared" si="30"/>
        <v>85293</v>
      </c>
      <c r="H91" s="1138">
        <f t="shared" si="31"/>
        <v>0.76597222222222217</v>
      </c>
      <c r="I91" s="1009">
        <v>0.76944444444444438</v>
      </c>
      <c r="J91" s="1010">
        <f t="shared" si="32"/>
        <v>52.999999999999972</v>
      </c>
      <c r="K91" s="1011"/>
      <c r="L91" s="1012">
        <v>3</v>
      </c>
      <c r="M91" s="1013"/>
      <c r="N91" s="1014" t="str">
        <f t="shared" si="33"/>
        <v/>
      </c>
      <c r="O91" s="1323" t="s">
        <v>606</v>
      </c>
      <c r="P91" s="1324"/>
      <c r="Q91" s="1324"/>
      <c r="R91" s="1324"/>
      <c r="S91" s="1324"/>
      <c r="T91" s="1325"/>
      <c r="U91" s="1015">
        <v>1.8</v>
      </c>
      <c r="V91" s="1015"/>
      <c r="W91" s="1015"/>
      <c r="X91" s="1015"/>
      <c r="Y91" s="1015">
        <v>2.6</v>
      </c>
      <c r="Z91" s="1016">
        <f>'09월 에너지'!S93</f>
        <v>140.4</v>
      </c>
      <c r="AA91" s="1017"/>
      <c r="AB91" s="1208"/>
      <c r="AC91" s="1208"/>
      <c r="AD91" s="1208"/>
      <c r="AE91" s="1208"/>
      <c r="AF91" s="1208"/>
      <c r="AG91" s="1018">
        <f>'09월 화학성분'!AM91</f>
        <v>2112</v>
      </c>
      <c r="AH91" s="1006">
        <f t="shared" si="22"/>
        <v>31</v>
      </c>
      <c r="AI91" s="1019">
        <v>1578</v>
      </c>
      <c r="AJ91" s="1020">
        <v>0</v>
      </c>
      <c r="AK91" s="1021">
        <v>453</v>
      </c>
      <c r="AL91" s="1022">
        <v>9</v>
      </c>
      <c r="AM91" s="1155">
        <f>IF(AT91="","",3*'09월 에너지'!S93*(1/(3+7.8*(100-AT91)/AT91)))</f>
        <v>1.482634543178974</v>
      </c>
      <c r="AN91" s="1023">
        <v>0.17013888888888887</v>
      </c>
      <c r="AO91" s="1024"/>
      <c r="AP91" s="1025"/>
      <c r="AQ91" s="1025"/>
      <c r="AR91" s="1149" t="str">
        <f t="shared" si="23"/>
        <v/>
      </c>
      <c r="AS91" s="1093">
        <f t="shared" si="34"/>
        <v>2</v>
      </c>
      <c r="AT91" s="1156">
        <v>2.7</v>
      </c>
      <c r="AU91" s="449"/>
      <c r="AV91" s="1205"/>
    </row>
    <row r="92" spans="1:48" ht="16.5" customHeight="1">
      <c r="A92" s="1005">
        <f t="shared" si="24"/>
        <v>46268</v>
      </c>
      <c r="B92" s="1005">
        <f t="shared" si="25"/>
        <v>46268</v>
      </c>
      <c r="C92" s="1150">
        <f t="shared" si="26"/>
        <v>20</v>
      </c>
      <c r="D92" s="1150">
        <f t="shared" si="27"/>
        <v>81</v>
      </c>
      <c r="E92" s="1006" t="str">
        <f t="shared" si="28"/>
        <v>C</v>
      </c>
      <c r="F92" s="1007" t="str">
        <f t="shared" si="29"/>
        <v>A</v>
      </c>
      <c r="G92" s="1008">
        <f t="shared" si="30"/>
        <v>85294</v>
      </c>
      <c r="H92" s="1138">
        <f t="shared" si="31"/>
        <v>0.8027777777777777</v>
      </c>
      <c r="I92" s="1009">
        <v>0.7993055555555556</v>
      </c>
      <c r="J92" s="1010">
        <f t="shared" si="32"/>
        <v>43.000000000000171</v>
      </c>
      <c r="K92" s="1011"/>
      <c r="L92" s="1012"/>
      <c r="M92" s="1013"/>
      <c r="N92" s="1014" t="str">
        <f t="shared" si="33"/>
        <v/>
      </c>
      <c r="O92" s="1323"/>
      <c r="P92" s="1324"/>
      <c r="Q92" s="1324"/>
      <c r="R92" s="1324"/>
      <c r="S92" s="1324"/>
      <c r="T92" s="1325"/>
      <c r="U92" s="1015">
        <v>1.8</v>
      </c>
      <c r="V92" s="1015"/>
      <c r="W92" s="1015"/>
      <c r="X92" s="1015"/>
      <c r="Y92" s="1015">
        <v>2.8</v>
      </c>
      <c r="Z92" s="1016">
        <f>'09월 에너지'!S94</f>
        <v>143.1</v>
      </c>
      <c r="AA92" s="1017"/>
      <c r="AB92" s="1208"/>
      <c r="AC92" s="1208"/>
      <c r="AD92" s="1208"/>
      <c r="AE92" s="1208"/>
      <c r="AF92" s="1208"/>
      <c r="AG92" s="1018">
        <f>'09월 화학성분'!AM92</f>
        <v>2484</v>
      </c>
      <c r="AH92" s="1006">
        <f t="shared" si="22"/>
        <v>32</v>
      </c>
      <c r="AI92" s="1019">
        <v>1591</v>
      </c>
      <c r="AJ92" s="1020">
        <v>158</v>
      </c>
      <c r="AK92" s="1021">
        <v>951</v>
      </c>
      <c r="AL92" s="1022">
        <v>4</v>
      </c>
      <c r="AM92" s="1155">
        <f>IF(AT92="","",3*'09월 에너지'!S94*(1/(3+7.8*(100-AT92)/AT92)))</f>
        <v>2.3729469361970938</v>
      </c>
      <c r="AN92" s="1023">
        <v>0.17777777777777778</v>
      </c>
      <c r="AO92" s="1024"/>
      <c r="AP92" s="1025"/>
      <c r="AQ92" s="1025"/>
      <c r="AR92" s="1149">
        <f t="shared" si="23"/>
        <v>12</v>
      </c>
      <c r="AS92" s="1093" t="str">
        <f t="shared" si="34"/>
        <v xml:space="preserve"> </v>
      </c>
      <c r="AT92" s="1156">
        <v>4.2</v>
      </c>
      <c r="AU92" s="449"/>
      <c r="AV92" s="1205"/>
    </row>
    <row r="93" spans="1:48" ht="16.5" customHeight="1">
      <c r="A93" s="1005">
        <f t="shared" si="24"/>
        <v>46268</v>
      </c>
      <c r="B93" s="1005">
        <f t="shared" si="25"/>
        <v>46268</v>
      </c>
      <c r="C93" s="1150">
        <f t="shared" si="26"/>
        <v>21</v>
      </c>
      <c r="D93" s="1150">
        <f t="shared" si="27"/>
        <v>82</v>
      </c>
      <c r="E93" s="1006" t="str">
        <f t="shared" si="28"/>
        <v>C</v>
      </c>
      <c r="F93" s="1007" t="str">
        <f t="shared" si="29"/>
        <v>B</v>
      </c>
      <c r="G93" s="1008">
        <f t="shared" si="30"/>
        <v>85295</v>
      </c>
      <c r="H93" s="1138">
        <f t="shared" si="31"/>
        <v>0.83263888888888893</v>
      </c>
      <c r="I93" s="1009">
        <v>0.83333333333333337</v>
      </c>
      <c r="J93" s="1010">
        <f t="shared" si="32"/>
        <v>48.999999999999986</v>
      </c>
      <c r="K93" s="1011"/>
      <c r="L93" s="1012">
        <v>2</v>
      </c>
      <c r="M93" s="1013"/>
      <c r="N93" s="1014" t="str">
        <f t="shared" si="33"/>
        <v/>
      </c>
      <c r="O93" s="1323" t="s">
        <v>608</v>
      </c>
      <c r="P93" s="1324"/>
      <c r="Q93" s="1324"/>
      <c r="R93" s="1324"/>
      <c r="S93" s="1324"/>
      <c r="T93" s="1325"/>
      <c r="U93" s="1015">
        <v>1.8</v>
      </c>
      <c r="V93" s="1015"/>
      <c r="W93" s="1015"/>
      <c r="X93" s="1015"/>
      <c r="Y93" s="1015">
        <v>2.4</v>
      </c>
      <c r="Z93" s="1016">
        <f>'09월 에너지'!S95</f>
        <v>133.9</v>
      </c>
      <c r="AA93" s="1017"/>
      <c r="AB93" s="1208"/>
      <c r="AC93" s="1208"/>
      <c r="AD93" s="1208"/>
      <c r="AE93" s="1208"/>
      <c r="AF93" s="1208"/>
      <c r="AG93" s="1018">
        <f>'09월 화학성분'!AM93</f>
        <v>2294</v>
      </c>
      <c r="AH93" s="1006">
        <f t="shared" si="22"/>
        <v>33</v>
      </c>
      <c r="AI93" s="1019">
        <v>1552</v>
      </c>
      <c r="AJ93" s="1020">
        <v>24</v>
      </c>
      <c r="AK93" s="1021">
        <v>711</v>
      </c>
      <c r="AL93" s="1022">
        <v>5</v>
      </c>
      <c r="AM93" s="1155">
        <f>IF(AT93="","",3*'09월 에너지'!S95*(1/(3+7.8*(100-AT93)/AT93)))</f>
        <v>0.10312692544670367</v>
      </c>
      <c r="AN93" s="1023">
        <v>0.70486111111111116</v>
      </c>
      <c r="AO93" s="1024"/>
      <c r="AP93" s="1025"/>
      <c r="AQ93" s="1025"/>
      <c r="AR93" s="1149" t="str">
        <f t="shared" si="23"/>
        <v/>
      </c>
      <c r="AS93" s="1093">
        <f t="shared" si="34"/>
        <v>3</v>
      </c>
      <c r="AT93" s="1156">
        <v>0.2</v>
      </c>
      <c r="AU93" s="449"/>
      <c r="AV93" s="1205"/>
    </row>
    <row r="94" spans="1:48" ht="16.5" customHeight="1">
      <c r="A94" s="1005">
        <f t="shared" si="24"/>
        <v>46268</v>
      </c>
      <c r="B94" s="1005">
        <f t="shared" si="25"/>
        <v>46268</v>
      </c>
      <c r="C94" s="1150">
        <f t="shared" si="26"/>
        <v>22</v>
      </c>
      <c r="D94" s="1150">
        <f t="shared" si="27"/>
        <v>83</v>
      </c>
      <c r="E94" s="1006" t="str">
        <f t="shared" si="28"/>
        <v>C</v>
      </c>
      <c r="F94" s="1007" t="str">
        <f t="shared" si="29"/>
        <v>A</v>
      </c>
      <c r="G94" s="1008">
        <f t="shared" si="30"/>
        <v>85296</v>
      </c>
      <c r="H94" s="1138">
        <f t="shared" si="31"/>
        <v>0.8666666666666667</v>
      </c>
      <c r="I94" s="1009">
        <v>0.87083333333333324</v>
      </c>
      <c r="J94" s="1010">
        <f t="shared" si="32"/>
        <v>53.999999999999808</v>
      </c>
      <c r="K94" s="1011"/>
      <c r="L94" s="1012"/>
      <c r="M94" s="1013"/>
      <c r="N94" s="1014" t="str">
        <f t="shared" si="33"/>
        <v/>
      </c>
      <c r="O94" s="1323" t="s">
        <v>530</v>
      </c>
      <c r="P94" s="1324"/>
      <c r="Q94" s="1324"/>
      <c r="R94" s="1324"/>
      <c r="S94" s="1324"/>
      <c r="T94" s="1325"/>
      <c r="U94" s="1015">
        <v>1.8</v>
      </c>
      <c r="V94" s="1015"/>
      <c r="W94" s="1015"/>
      <c r="X94" s="1015"/>
      <c r="Y94" s="1015">
        <v>2.6</v>
      </c>
      <c r="Z94" s="1016">
        <f>'09월 에너지'!S96</f>
        <v>142.19999999999999</v>
      </c>
      <c r="AA94" s="1017">
        <v>2418</v>
      </c>
      <c r="AB94" s="1208" t="s">
        <v>573</v>
      </c>
      <c r="AC94" s="1208" t="s">
        <v>548</v>
      </c>
      <c r="AD94" s="1208" t="s">
        <v>607</v>
      </c>
      <c r="AE94" s="1208"/>
      <c r="AF94" s="1208" t="s">
        <v>548</v>
      </c>
      <c r="AG94" s="1018">
        <f>'09월 화학성분'!AM94</f>
        <v>2275</v>
      </c>
      <c r="AH94" s="1006">
        <f t="shared" si="22"/>
        <v>34</v>
      </c>
      <c r="AI94" s="1019">
        <v>1575</v>
      </c>
      <c r="AJ94" s="1020">
        <v>0</v>
      </c>
      <c r="AK94" s="1021">
        <v>793</v>
      </c>
      <c r="AL94" s="1022">
        <v>5</v>
      </c>
      <c r="AM94" s="1155">
        <f>IF(AT94="","",3*'09월 에너지'!S96*(1/(3+7.8*(100-AT94)/AT94)))</f>
        <v>1.3322923173016865</v>
      </c>
      <c r="AN94" s="1023">
        <v>0.16527777777777777</v>
      </c>
      <c r="AO94" s="1024"/>
      <c r="AP94" s="1025"/>
      <c r="AQ94" s="1025"/>
      <c r="AR94" s="1149">
        <f t="shared" si="23"/>
        <v>13</v>
      </c>
      <c r="AS94" s="1093" t="str">
        <f t="shared" si="34"/>
        <v xml:space="preserve"> </v>
      </c>
      <c r="AT94" s="1156">
        <v>2.4</v>
      </c>
      <c r="AU94" s="449"/>
      <c r="AV94" s="1205"/>
    </row>
    <row r="95" spans="1:48" ht="16.5" customHeight="1">
      <c r="A95" s="1005">
        <f t="shared" si="24"/>
        <v>46268</v>
      </c>
      <c r="B95" s="1005">
        <f t="shared" si="25"/>
        <v>46268</v>
      </c>
      <c r="C95" s="1150">
        <f t="shared" si="26"/>
        <v>23</v>
      </c>
      <c r="D95" s="1150">
        <f t="shared" si="27"/>
        <v>84</v>
      </c>
      <c r="E95" s="1006" t="str">
        <f t="shared" si="28"/>
        <v>C</v>
      </c>
      <c r="F95" s="1007" t="str">
        <f t="shared" si="29"/>
        <v>B</v>
      </c>
      <c r="G95" s="1008">
        <f t="shared" si="30"/>
        <v>85297</v>
      </c>
      <c r="H95" s="1138">
        <f t="shared" si="31"/>
        <v>0.90416666666666656</v>
      </c>
      <c r="I95" s="1009">
        <v>0.90555555555555556</v>
      </c>
      <c r="J95" s="1010">
        <f t="shared" si="32"/>
        <v>50.000000000000142</v>
      </c>
      <c r="K95" s="1011"/>
      <c r="L95" s="1012"/>
      <c r="M95" s="1013"/>
      <c r="N95" s="1014" t="str">
        <f t="shared" si="33"/>
        <v/>
      </c>
      <c r="O95" s="1323" t="s">
        <v>530</v>
      </c>
      <c r="P95" s="1324"/>
      <c r="Q95" s="1324"/>
      <c r="R95" s="1324"/>
      <c r="S95" s="1324"/>
      <c r="T95" s="1325"/>
      <c r="U95" s="1015">
        <v>1.8</v>
      </c>
      <c r="V95" s="1015"/>
      <c r="W95" s="1015"/>
      <c r="X95" s="1015"/>
      <c r="Y95" s="1015">
        <v>2.4</v>
      </c>
      <c r="Z95" s="1016">
        <f>'09월 에너지'!S97</f>
        <v>143.19999999999999</v>
      </c>
      <c r="AA95" s="1017">
        <v>1978</v>
      </c>
      <c r="AB95" s="1208" t="s">
        <v>573</v>
      </c>
      <c r="AC95" s="1208" t="s">
        <v>548</v>
      </c>
      <c r="AD95" s="1208"/>
      <c r="AE95" s="1208"/>
      <c r="AF95" s="1208" t="s">
        <v>548</v>
      </c>
      <c r="AG95" s="1018">
        <f>'09월 화학성분'!AM95</f>
        <v>1909</v>
      </c>
      <c r="AH95" s="1006">
        <f t="shared" si="22"/>
        <v>35</v>
      </c>
      <c r="AI95" s="1019">
        <v>1583</v>
      </c>
      <c r="AJ95" s="1020">
        <v>0</v>
      </c>
      <c r="AK95" s="1021">
        <v>510</v>
      </c>
      <c r="AL95" s="1022">
        <v>8</v>
      </c>
      <c r="AM95" s="1155">
        <f>IF(AT95="","",3*'09월 에너지'!S97*(1/(3+7.8*(100-AT95)/AT95)))</f>
        <v>0.22085132634176438</v>
      </c>
      <c r="AN95" s="1023">
        <v>0.25277777777777777</v>
      </c>
      <c r="AO95" s="1024"/>
      <c r="AP95" s="1025"/>
      <c r="AQ95" s="1025"/>
      <c r="AR95" s="1149" t="str">
        <f t="shared" si="23"/>
        <v/>
      </c>
      <c r="AS95" s="1093">
        <f t="shared" si="34"/>
        <v>4</v>
      </c>
      <c r="AT95" s="1156">
        <v>0.4</v>
      </c>
      <c r="AU95" s="449"/>
      <c r="AV95" s="1205"/>
    </row>
    <row r="96" spans="1:48" ht="16.5" customHeight="1">
      <c r="A96" s="1005">
        <f t="shared" si="24"/>
        <v>46268</v>
      </c>
      <c r="B96" s="1005">
        <f t="shared" si="25"/>
        <v>46268</v>
      </c>
      <c r="C96" s="1150">
        <f t="shared" si="26"/>
        <v>24</v>
      </c>
      <c r="D96" s="1150">
        <f t="shared" si="27"/>
        <v>85</v>
      </c>
      <c r="E96" s="1006" t="str">
        <f t="shared" si="28"/>
        <v>C</v>
      </c>
      <c r="F96" s="1007" t="str">
        <f t="shared" si="29"/>
        <v>A</v>
      </c>
      <c r="G96" s="1008">
        <f t="shared" si="30"/>
        <v>85298</v>
      </c>
      <c r="H96" s="1138">
        <f t="shared" si="31"/>
        <v>0.93888888888888888</v>
      </c>
      <c r="I96" s="1009">
        <v>0.9375</v>
      </c>
      <c r="J96" s="1010">
        <f t="shared" si="32"/>
        <v>46</v>
      </c>
      <c r="K96" s="1011"/>
      <c r="L96" s="1012"/>
      <c r="M96" s="1013"/>
      <c r="N96" s="1014" t="str">
        <f t="shared" si="33"/>
        <v/>
      </c>
      <c r="O96" s="1323" t="s">
        <v>612</v>
      </c>
      <c r="P96" s="1324"/>
      <c r="Q96" s="1324"/>
      <c r="R96" s="1324"/>
      <c r="S96" s="1324"/>
      <c r="T96" s="1325"/>
      <c r="U96" s="1015">
        <v>1.8</v>
      </c>
      <c r="V96" s="1015"/>
      <c r="W96" s="1015"/>
      <c r="X96" s="1015"/>
      <c r="Y96" s="1015">
        <v>2.4</v>
      </c>
      <c r="Z96" s="1016">
        <f>'09월 에너지'!S98</f>
        <v>141.6</v>
      </c>
      <c r="AA96" s="1017"/>
      <c r="AB96" s="1208"/>
      <c r="AC96" s="1208"/>
      <c r="AD96" s="1208"/>
      <c r="AE96" s="1208"/>
      <c r="AF96" s="1208"/>
      <c r="AG96" s="1018">
        <f>'09월 화학성분'!AM96</f>
        <v>1870</v>
      </c>
      <c r="AH96" s="1006">
        <f t="shared" si="22"/>
        <v>36</v>
      </c>
      <c r="AI96" s="1019">
        <v>1559</v>
      </c>
      <c r="AJ96" s="1020">
        <v>0</v>
      </c>
      <c r="AK96" s="1021">
        <v>561</v>
      </c>
      <c r="AL96" s="1022">
        <v>7</v>
      </c>
      <c r="AM96" s="1155">
        <f>IF(AT96="","",3*'09월 에너지'!S98*(1/(3+7.8*(100-AT96)/AT96)))</f>
        <v>0.88004972032318196</v>
      </c>
      <c r="AN96" s="1023">
        <v>0.15347222222222223</v>
      </c>
      <c r="AO96" s="1024" t="s">
        <v>587</v>
      </c>
      <c r="AP96" s="1025">
        <v>2000026</v>
      </c>
      <c r="AQ96" s="1025">
        <v>2127</v>
      </c>
      <c r="AR96" s="1149">
        <v>1</v>
      </c>
      <c r="AS96" s="1093" t="str">
        <f t="shared" si="34"/>
        <v xml:space="preserve"> </v>
      </c>
      <c r="AT96" s="1156">
        <v>1.6</v>
      </c>
      <c r="AU96" s="449"/>
      <c r="AV96" s="1205"/>
    </row>
    <row r="97" spans="1:48" ht="16.5" customHeight="1">
      <c r="A97" s="1005">
        <f t="shared" si="24"/>
        <v>46268</v>
      </c>
      <c r="B97" s="1005">
        <f t="shared" si="25"/>
        <v>46268</v>
      </c>
      <c r="C97" s="1150">
        <f t="shared" si="26"/>
        <v>25</v>
      </c>
      <c r="D97" s="1150">
        <f t="shared" si="27"/>
        <v>86</v>
      </c>
      <c r="E97" s="1006" t="s">
        <v>558</v>
      </c>
      <c r="F97" s="1007" t="str">
        <f t="shared" si="29"/>
        <v>B</v>
      </c>
      <c r="G97" s="1008">
        <f t="shared" si="30"/>
        <v>85299</v>
      </c>
      <c r="H97" s="1138">
        <f t="shared" si="31"/>
        <v>0.97083333333333333</v>
      </c>
      <c r="I97" s="1009">
        <v>0.96805555555555556</v>
      </c>
      <c r="J97" s="1010">
        <f t="shared" si="32"/>
        <v>44</v>
      </c>
      <c r="K97" s="1011"/>
      <c r="L97" s="1012"/>
      <c r="M97" s="1013"/>
      <c r="N97" s="1014" t="str">
        <f t="shared" si="33"/>
        <v/>
      </c>
      <c r="O97" s="1323"/>
      <c r="P97" s="1324"/>
      <c r="Q97" s="1324"/>
      <c r="R97" s="1324"/>
      <c r="S97" s="1324"/>
      <c r="T97" s="1325"/>
      <c r="U97" s="1015">
        <v>1.8</v>
      </c>
      <c r="V97" s="1015"/>
      <c r="W97" s="1015"/>
      <c r="X97" s="1015"/>
      <c r="Y97" s="1015">
        <v>2.6</v>
      </c>
      <c r="Z97" s="1016">
        <f>'09월 에너지'!S99</f>
        <v>143</v>
      </c>
      <c r="AA97" s="1017"/>
      <c r="AB97" s="1208"/>
      <c r="AC97" s="1208"/>
      <c r="AD97" s="1208"/>
      <c r="AE97" s="1208"/>
      <c r="AF97" s="1208"/>
      <c r="AG97" s="1018">
        <f>'09월 화학성분'!AM97</f>
        <v>1077</v>
      </c>
      <c r="AH97" s="1006">
        <f t="shared" si="22"/>
        <v>37</v>
      </c>
      <c r="AI97" s="1019">
        <v>1583</v>
      </c>
      <c r="AJ97" s="1020">
        <v>0</v>
      </c>
      <c r="AK97" s="1021">
        <v>604</v>
      </c>
      <c r="AL97" s="1022">
        <v>6</v>
      </c>
      <c r="AM97" s="1155">
        <f>IF(AT97="","",3*'09월 에너지'!S99*(1/(3+7.8*(100-AT97)/AT97)))</f>
        <v>0.66491010539367634</v>
      </c>
      <c r="AN97" s="1023">
        <v>0.23402777777777781</v>
      </c>
      <c r="AO97" s="1024"/>
      <c r="AP97" s="1025"/>
      <c r="AQ97" s="1025"/>
      <c r="AR97" s="1149" t="str">
        <f t="shared" si="23"/>
        <v/>
      </c>
      <c r="AS97" s="1093">
        <f t="shared" si="34"/>
        <v>5</v>
      </c>
      <c r="AT97" s="1156">
        <v>1.2</v>
      </c>
      <c r="AU97" s="449"/>
      <c r="AV97" s="1205"/>
    </row>
    <row r="98" spans="1:48" ht="16.5" customHeight="1">
      <c r="A98" s="1005">
        <f t="shared" si="24"/>
        <v>46268</v>
      </c>
      <c r="B98" s="1005">
        <f t="shared" si="25"/>
        <v>46268</v>
      </c>
      <c r="C98" s="1150">
        <f t="shared" si="26"/>
        <v>26</v>
      </c>
      <c r="D98" s="1150">
        <f t="shared" si="27"/>
        <v>87</v>
      </c>
      <c r="E98" s="1006" t="str">
        <f t="shared" si="28"/>
        <v>D</v>
      </c>
      <c r="F98" s="1007" t="str">
        <f t="shared" si="29"/>
        <v>A</v>
      </c>
      <c r="G98" s="1008">
        <f t="shared" si="30"/>
        <v>85300</v>
      </c>
      <c r="H98" s="1138">
        <f t="shared" si="31"/>
        <v>1.0013888888888889</v>
      </c>
      <c r="I98" s="1009">
        <v>0</v>
      </c>
      <c r="J98" s="1010">
        <f t="shared" si="32"/>
        <v>46</v>
      </c>
      <c r="K98" s="1011"/>
      <c r="L98" s="1012"/>
      <c r="M98" s="1013"/>
      <c r="N98" s="1014" t="str">
        <f t="shared" si="33"/>
        <v/>
      </c>
      <c r="O98" s="1323"/>
      <c r="P98" s="1324"/>
      <c r="Q98" s="1324"/>
      <c r="R98" s="1324"/>
      <c r="S98" s="1324"/>
      <c r="T98" s="1325"/>
      <c r="U98" s="1015">
        <v>1.8</v>
      </c>
      <c r="V98" s="1015"/>
      <c r="W98" s="1015"/>
      <c r="X98" s="1015"/>
      <c r="Y98" s="1015">
        <v>2.8</v>
      </c>
      <c r="Z98" s="1016">
        <f>'09월 에너지'!S100</f>
        <v>143.19999999999999</v>
      </c>
      <c r="AA98" s="1017"/>
      <c r="AB98" s="1208"/>
      <c r="AC98" s="1208"/>
      <c r="AD98" s="1208"/>
      <c r="AE98" s="1208"/>
      <c r="AF98" s="1208"/>
      <c r="AG98" s="1018">
        <f>'09월 화학성분'!AM98</f>
        <v>1987</v>
      </c>
      <c r="AH98" s="1006">
        <f t="shared" si="22"/>
        <v>38</v>
      </c>
      <c r="AI98" s="1019">
        <v>1604</v>
      </c>
      <c r="AJ98" s="1020">
        <v>110</v>
      </c>
      <c r="AK98" s="1021">
        <v>749</v>
      </c>
      <c r="AL98" s="1022">
        <v>5</v>
      </c>
      <c r="AM98" s="1155">
        <f>IF(AT98="","",3*'09월 에너지'!S100*(1/(3+7.8*(100-AT98)/AT98)))</f>
        <v>1.5691922354414523</v>
      </c>
      <c r="AN98" s="1023">
        <v>0.14375000000000002</v>
      </c>
      <c r="AO98" s="1024"/>
      <c r="AP98" s="1025"/>
      <c r="AQ98" s="1025"/>
      <c r="AR98" s="1149">
        <f t="shared" si="23"/>
        <v>2</v>
      </c>
      <c r="AS98" s="1093" t="str">
        <f t="shared" si="34"/>
        <v xml:space="preserve"> </v>
      </c>
      <c r="AT98" s="1156">
        <v>2.8</v>
      </c>
      <c r="AU98" s="449"/>
      <c r="AV98" s="1205"/>
    </row>
    <row r="99" spans="1:48" ht="16.5" customHeight="1">
      <c r="A99" s="1005">
        <f t="shared" si="24"/>
        <v>46268</v>
      </c>
      <c r="B99" s="1005">
        <f t="shared" si="25"/>
        <v>46268</v>
      </c>
      <c r="C99" s="1150">
        <f t="shared" si="26"/>
        <v>27</v>
      </c>
      <c r="D99" s="1150">
        <f t="shared" si="27"/>
        <v>88</v>
      </c>
      <c r="E99" s="1006" t="str">
        <f t="shared" si="28"/>
        <v>D</v>
      </c>
      <c r="F99" s="1007" t="str">
        <f t="shared" si="29"/>
        <v>B</v>
      </c>
      <c r="G99" s="1008">
        <f t="shared" si="30"/>
        <v>85301</v>
      </c>
      <c r="H99" s="1138">
        <f t="shared" si="31"/>
        <v>3.3333333333333333E-2</v>
      </c>
      <c r="I99" s="1009">
        <v>3.4027777777777775E-2</v>
      </c>
      <c r="J99" s="1010">
        <f t="shared" si="32"/>
        <v>48.999999999999993</v>
      </c>
      <c r="K99" s="1011"/>
      <c r="L99" s="1012">
        <v>3</v>
      </c>
      <c r="M99" s="1013"/>
      <c r="N99" s="1014" t="str">
        <f t="shared" si="33"/>
        <v/>
      </c>
      <c r="O99" s="1323" t="s">
        <v>609</v>
      </c>
      <c r="P99" s="1324"/>
      <c r="Q99" s="1324"/>
      <c r="R99" s="1324"/>
      <c r="S99" s="1324"/>
      <c r="T99" s="1325"/>
      <c r="U99" s="1015">
        <v>1.8</v>
      </c>
      <c r="V99" s="1015"/>
      <c r="W99" s="1015"/>
      <c r="X99" s="1015"/>
      <c r="Y99" s="1015">
        <v>2.7</v>
      </c>
      <c r="Z99" s="1016">
        <f>'09월 에너지'!S101</f>
        <v>141.9</v>
      </c>
      <c r="AA99" s="1017"/>
      <c r="AB99" s="1208"/>
      <c r="AC99" s="1208"/>
      <c r="AD99" s="1208"/>
      <c r="AE99" s="1208"/>
      <c r="AF99" s="1208"/>
      <c r="AG99" s="1018">
        <f>'09월 화학성분'!AM99</f>
        <v>1280</v>
      </c>
      <c r="AH99" s="1006">
        <f t="shared" si="22"/>
        <v>39</v>
      </c>
      <c r="AI99" s="1019">
        <v>1587</v>
      </c>
      <c r="AJ99" s="1020">
        <v>60</v>
      </c>
      <c r="AK99" s="1021">
        <v>762</v>
      </c>
      <c r="AL99" s="1022">
        <v>5</v>
      </c>
      <c r="AM99" s="1155">
        <f>IF(AT99="","",3*'09월 에너지'!S101*(1/(3+7.8*(100-AT99)/AT99)))</f>
        <v>0.77071694599627572</v>
      </c>
      <c r="AN99" s="1023">
        <v>0.3215277777777778</v>
      </c>
      <c r="AO99" s="1024"/>
      <c r="AP99" s="1025"/>
      <c r="AQ99" s="1025"/>
      <c r="AR99" s="1149" t="str">
        <f t="shared" si="23"/>
        <v/>
      </c>
      <c r="AS99" s="1093">
        <f t="shared" si="34"/>
        <v>6</v>
      </c>
      <c r="AT99" s="1156">
        <v>1.4</v>
      </c>
      <c r="AU99" s="449"/>
      <c r="AV99" s="1205"/>
    </row>
    <row r="100" spans="1:48" ht="16.5" customHeight="1">
      <c r="A100" s="1005">
        <f t="shared" si="24"/>
        <v>46268</v>
      </c>
      <c r="B100" s="1005">
        <f t="shared" si="25"/>
        <v>46268</v>
      </c>
      <c r="C100" s="1150">
        <f t="shared" si="26"/>
        <v>28</v>
      </c>
      <c r="D100" s="1150">
        <f t="shared" si="27"/>
        <v>89</v>
      </c>
      <c r="E100" s="1006" t="str">
        <f t="shared" si="28"/>
        <v>D</v>
      </c>
      <c r="F100" s="1007" t="str">
        <f t="shared" si="29"/>
        <v>A</v>
      </c>
      <c r="G100" s="1008">
        <f t="shared" si="30"/>
        <v>85302</v>
      </c>
      <c r="H100" s="1138">
        <f t="shared" si="31"/>
        <v>6.7361111111111108E-2</v>
      </c>
      <c r="I100" s="1009">
        <v>6.458333333333334E-2</v>
      </c>
      <c r="J100" s="1010">
        <f t="shared" si="32"/>
        <v>44.000000000000014</v>
      </c>
      <c r="K100" s="1011"/>
      <c r="L100" s="1012"/>
      <c r="M100" s="1013"/>
      <c r="N100" s="1014" t="str">
        <f t="shared" si="33"/>
        <v/>
      </c>
      <c r="O100" s="1326" t="s">
        <v>613</v>
      </c>
      <c r="P100" s="1324"/>
      <c r="Q100" s="1324"/>
      <c r="R100" s="1324"/>
      <c r="S100" s="1324"/>
      <c r="T100" s="1325"/>
      <c r="U100" s="1015">
        <v>1.8</v>
      </c>
      <c r="V100" s="1015"/>
      <c r="W100" s="1015"/>
      <c r="X100" s="1015"/>
      <c r="Y100" s="1015">
        <v>2.4</v>
      </c>
      <c r="Z100" s="1016">
        <f>'09월 에너지'!S102</f>
        <v>141.5</v>
      </c>
      <c r="AA100" s="1017"/>
      <c r="AB100" s="1208"/>
      <c r="AC100" s="1208"/>
      <c r="AD100" s="1208"/>
      <c r="AE100" s="1208"/>
      <c r="AF100" s="1208"/>
      <c r="AG100" s="1018">
        <f>'09월 화학성분'!AM100</f>
        <v>2049</v>
      </c>
      <c r="AH100" s="1006">
        <f t="shared" si="22"/>
        <v>40</v>
      </c>
      <c r="AI100" s="1019">
        <v>1597</v>
      </c>
      <c r="AJ100" s="1020">
        <v>0</v>
      </c>
      <c r="AK100" s="1021">
        <v>800</v>
      </c>
      <c r="AL100" s="1022">
        <v>4</v>
      </c>
      <c r="AM100" s="1155">
        <f>IF(AT100="","",3*'09월 에너지'!S102*(1/(3+7.8*(100-AT100)/AT100)))</f>
        <v>1.4942506257822279</v>
      </c>
      <c r="AN100" s="1023">
        <v>0.13125000000000001</v>
      </c>
      <c r="AO100" s="1024"/>
      <c r="AP100" s="1025"/>
      <c r="AQ100" s="1025"/>
      <c r="AR100" s="1149">
        <f t="shared" si="23"/>
        <v>3</v>
      </c>
      <c r="AS100" s="1093" t="str">
        <f t="shared" si="34"/>
        <v xml:space="preserve"> </v>
      </c>
      <c r="AT100" s="1156">
        <v>2.7</v>
      </c>
      <c r="AU100" s="449"/>
      <c r="AV100" s="1205"/>
    </row>
    <row r="101" spans="1:48" ht="16.5" customHeight="1">
      <c r="A101" s="1005">
        <f t="shared" si="24"/>
        <v>46268</v>
      </c>
      <c r="B101" s="1005">
        <f t="shared" si="25"/>
        <v>46268</v>
      </c>
      <c r="C101" s="1150">
        <f t="shared" si="26"/>
        <v>29</v>
      </c>
      <c r="D101" s="1150">
        <f t="shared" si="27"/>
        <v>90</v>
      </c>
      <c r="E101" s="1006" t="str">
        <f t="shared" si="28"/>
        <v>D</v>
      </c>
      <c r="F101" s="1007" t="str">
        <f t="shared" si="29"/>
        <v>B</v>
      </c>
      <c r="G101" s="1008">
        <f t="shared" si="30"/>
        <v>85303</v>
      </c>
      <c r="H101" s="1138">
        <f t="shared" si="31"/>
        <v>9.791666666666668E-2</v>
      </c>
      <c r="I101" s="1009">
        <v>9.6527777777777768E-2</v>
      </c>
      <c r="J101" s="1010">
        <f t="shared" si="32"/>
        <v>45.999999999999979</v>
      </c>
      <c r="K101" s="1011"/>
      <c r="L101" s="1012"/>
      <c r="M101" s="1013"/>
      <c r="N101" s="1014" t="str">
        <f t="shared" si="33"/>
        <v/>
      </c>
      <c r="O101" s="1323"/>
      <c r="P101" s="1324"/>
      <c r="Q101" s="1324"/>
      <c r="R101" s="1324"/>
      <c r="S101" s="1324"/>
      <c r="T101" s="1325"/>
      <c r="U101" s="1015">
        <v>1.8</v>
      </c>
      <c r="V101" s="1015"/>
      <c r="W101" s="1015"/>
      <c r="X101" s="1015"/>
      <c r="Y101" s="1015">
        <v>2.5</v>
      </c>
      <c r="Z101" s="1016">
        <f>'09월 에너지'!S103</f>
        <v>142.5</v>
      </c>
      <c r="AA101" s="1017"/>
      <c r="AB101" s="1208"/>
      <c r="AC101" s="1208"/>
      <c r="AD101" s="1208"/>
      <c r="AE101" s="1208"/>
      <c r="AF101" s="1208"/>
      <c r="AG101" s="1018">
        <f>'09월 화학성분'!AM101</f>
        <v>1897</v>
      </c>
      <c r="AH101" s="1006">
        <f t="shared" si="22"/>
        <v>41</v>
      </c>
      <c r="AI101" s="1019">
        <v>1558</v>
      </c>
      <c r="AJ101" s="1020">
        <v>59</v>
      </c>
      <c r="AK101" s="1021">
        <v>648</v>
      </c>
      <c r="AL101" s="1022">
        <v>6</v>
      </c>
      <c r="AM101" s="1155">
        <f>IF(AT101="","",3*'09월 에너지'!S103*(1/(3+7.8*(100-AT101)/AT101)))</f>
        <v>0.9975886745488487</v>
      </c>
      <c r="AN101" s="1023">
        <v>0.30972222222222223</v>
      </c>
      <c r="AO101" s="1024"/>
      <c r="AP101" s="1025"/>
      <c r="AQ101" s="1025"/>
      <c r="AR101" s="1149" t="str">
        <f t="shared" si="23"/>
        <v/>
      </c>
      <c r="AS101" s="1093">
        <f t="shared" si="34"/>
        <v>7</v>
      </c>
      <c r="AT101" s="1156">
        <v>1.8</v>
      </c>
      <c r="AU101" s="449"/>
      <c r="AV101" s="1205"/>
    </row>
    <row r="102" spans="1:48" ht="16.5" customHeight="1">
      <c r="A102" s="1005">
        <f t="shared" si="24"/>
        <v>46268</v>
      </c>
      <c r="B102" s="1005">
        <f t="shared" si="25"/>
        <v>46268</v>
      </c>
      <c r="C102" s="1150">
        <f t="shared" si="26"/>
        <v>30</v>
      </c>
      <c r="D102" s="1150">
        <f t="shared" si="27"/>
        <v>91</v>
      </c>
      <c r="E102" s="1006" t="str">
        <f t="shared" si="28"/>
        <v>D</v>
      </c>
      <c r="F102" s="1007" t="str">
        <f t="shared" si="29"/>
        <v>A</v>
      </c>
      <c r="G102" s="1008">
        <f t="shared" si="30"/>
        <v>85304</v>
      </c>
      <c r="H102" s="1138">
        <f t="shared" si="31"/>
        <v>0.12986111111111109</v>
      </c>
      <c r="I102" s="1009">
        <v>0.12361111111111112</v>
      </c>
      <c r="J102" s="1010">
        <f t="shared" si="32"/>
        <v>39.000000000000021</v>
      </c>
      <c r="K102" s="1011"/>
      <c r="L102" s="1012"/>
      <c r="M102" s="1013"/>
      <c r="N102" s="1014" t="str">
        <f t="shared" si="33"/>
        <v/>
      </c>
      <c r="O102" s="1323"/>
      <c r="P102" s="1324"/>
      <c r="Q102" s="1324"/>
      <c r="R102" s="1324"/>
      <c r="S102" s="1324"/>
      <c r="T102" s="1325"/>
      <c r="U102" s="1015">
        <v>1.8</v>
      </c>
      <c r="V102" s="1015"/>
      <c r="W102" s="1015"/>
      <c r="X102" s="1015"/>
      <c r="Y102" s="1015">
        <v>2.7</v>
      </c>
      <c r="Z102" s="1016">
        <f>'09월 에너지'!S104</f>
        <v>145.5</v>
      </c>
      <c r="AA102" s="1017"/>
      <c r="AB102" s="1208"/>
      <c r="AC102" s="1208"/>
      <c r="AD102" s="1208"/>
      <c r="AE102" s="1208"/>
      <c r="AF102" s="1208"/>
      <c r="AG102" s="1018">
        <f>'09월 화학성분'!AM102</f>
        <v>1881</v>
      </c>
      <c r="AH102" s="1006">
        <f t="shared" si="22"/>
        <v>42</v>
      </c>
      <c r="AI102" s="1019">
        <v>1563</v>
      </c>
      <c r="AJ102" s="1020">
        <v>0</v>
      </c>
      <c r="AK102" s="1021">
        <v>387</v>
      </c>
      <c r="AL102" s="1022">
        <v>11</v>
      </c>
      <c r="AM102" s="1155">
        <f>IF(AT102="","",3*'09월 에너지'!S104*(1/(3+7.8*(100-AT102)/AT102)))</f>
        <v>2.7679137603043751</v>
      </c>
      <c r="AN102" s="1023">
        <v>0.12638888888888888</v>
      </c>
      <c r="AO102" s="1024"/>
      <c r="AP102" s="1025"/>
      <c r="AQ102" s="1025"/>
      <c r="AR102" s="1149">
        <f t="shared" si="23"/>
        <v>4</v>
      </c>
      <c r="AS102" s="1093" t="str">
        <f t="shared" si="34"/>
        <v xml:space="preserve"> </v>
      </c>
      <c r="AT102" s="1156">
        <v>4.8</v>
      </c>
      <c r="AU102" s="449"/>
      <c r="AV102" s="1205"/>
    </row>
    <row r="103" spans="1:48" ht="16.5" customHeight="1">
      <c r="A103" s="1005">
        <v>46269</v>
      </c>
      <c r="B103" s="1005">
        <f t="shared" si="25"/>
        <v>46268</v>
      </c>
      <c r="C103" s="1150">
        <f t="shared" si="26"/>
        <v>1</v>
      </c>
      <c r="D103" s="1150">
        <f t="shared" si="27"/>
        <v>92</v>
      </c>
      <c r="E103" s="1006" t="str">
        <f t="shared" si="28"/>
        <v>D</v>
      </c>
      <c r="F103" s="1007" t="str">
        <f t="shared" si="29"/>
        <v>B</v>
      </c>
      <c r="G103" s="1008">
        <f t="shared" si="30"/>
        <v>85305</v>
      </c>
      <c r="H103" s="1138">
        <f t="shared" si="31"/>
        <v>0.15694444444444444</v>
      </c>
      <c r="I103" s="1009">
        <v>0.15555555555555556</v>
      </c>
      <c r="J103" s="1010">
        <f t="shared" si="32"/>
        <v>46</v>
      </c>
      <c r="K103" s="1011"/>
      <c r="L103" s="1012"/>
      <c r="M103" s="1013"/>
      <c r="N103" s="1014" t="str">
        <f t="shared" si="33"/>
        <v/>
      </c>
      <c r="O103" s="1323"/>
      <c r="P103" s="1324"/>
      <c r="Q103" s="1324"/>
      <c r="R103" s="1324"/>
      <c r="S103" s="1324"/>
      <c r="T103" s="1325"/>
      <c r="U103" s="1015">
        <v>1.8</v>
      </c>
      <c r="V103" s="1015"/>
      <c r="W103" s="1015"/>
      <c r="X103" s="1015"/>
      <c r="Y103" s="1015">
        <v>2.5</v>
      </c>
      <c r="Z103" s="1016">
        <f>'09월 에너지'!S105</f>
        <v>142.5</v>
      </c>
      <c r="AA103" s="1017"/>
      <c r="AB103" s="1208"/>
      <c r="AC103" s="1208"/>
      <c r="AD103" s="1208"/>
      <c r="AE103" s="1208"/>
      <c r="AF103" s="1208"/>
      <c r="AG103" s="1018">
        <f>'09월 화학성분'!AM103</f>
        <v>1945</v>
      </c>
      <c r="AH103" s="1006">
        <f t="shared" si="22"/>
        <v>43</v>
      </c>
      <c r="AI103" s="1019">
        <v>1561</v>
      </c>
      <c r="AJ103" s="1020">
        <v>25</v>
      </c>
      <c r="AK103" s="1021">
        <v>712</v>
      </c>
      <c r="AL103" s="1022">
        <v>5</v>
      </c>
      <c r="AM103" s="1155">
        <f>IF(AT103="","",3*'09월 에너지'!S105*(1/(3+7.8*(100-AT103)/AT103)))</f>
        <v>0.77397579143389195</v>
      </c>
      <c r="AN103" s="1023">
        <v>0.27986111111111112</v>
      </c>
      <c r="AO103" s="1024"/>
      <c r="AP103" s="1025"/>
      <c r="AQ103" s="1025"/>
      <c r="AR103" s="1149" t="str">
        <f t="shared" si="23"/>
        <v/>
      </c>
      <c r="AS103" s="1093">
        <f t="shared" si="34"/>
        <v>8</v>
      </c>
      <c r="AT103" s="1156">
        <v>1.4</v>
      </c>
      <c r="AU103" s="449"/>
      <c r="AV103" s="1205"/>
    </row>
    <row r="104" spans="1:48" ht="16.5" customHeight="1">
      <c r="A104" s="1005">
        <f t="shared" si="24"/>
        <v>46269</v>
      </c>
      <c r="B104" s="1005">
        <f t="shared" si="25"/>
        <v>46268</v>
      </c>
      <c r="C104" s="1150">
        <f t="shared" si="26"/>
        <v>2</v>
      </c>
      <c r="D104" s="1150">
        <f t="shared" si="27"/>
        <v>93</v>
      </c>
      <c r="E104" s="1006" t="str">
        <f t="shared" si="28"/>
        <v>D</v>
      </c>
      <c r="F104" s="1007" t="str">
        <f t="shared" si="29"/>
        <v>A</v>
      </c>
      <c r="G104" s="1008">
        <f t="shared" si="30"/>
        <v>85306</v>
      </c>
      <c r="H104" s="1138">
        <f t="shared" si="31"/>
        <v>0.18888888888888888</v>
      </c>
      <c r="I104" s="1009">
        <v>0.18958333333333333</v>
      </c>
      <c r="J104" s="1010">
        <f t="shared" si="32"/>
        <v>48.999999999999986</v>
      </c>
      <c r="K104" s="1011"/>
      <c r="L104" s="1012"/>
      <c r="M104" s="1013"/>
      <c r="N104" s="1014" t="str">
        <f t="shared" si="33"/>
        <v/>
      </c>
      <c r="O104" s="1323" t="s">
        <v>615</v>
      </c>
      <c r="P104" s="1324"/>
      <c r="Q104" s="1324"/>
      <c r="R104" s="1324"/>
      <c r="S104" s="1324"/>
      <c r="T104" s="1325"/>
      <c r="U104" s="1015">
        <v>1.8</v>
      </c>
      <c r="V104" s="1015"/>
      <c r="W104" s="1015"/>
      <c r="X104" s="1015"/>
      <c r="Y104" s="1015">
        <v>2.6</v>
      </c>
      <c r="Z104" s="1016">
        <f>'09월 에너지'!S106</f>
        <v>143.1</v>
      </c>
      <c r="AA104" s="1017">
        <v>2340</v>
      </c>
      <c r="AB104" s="1208" t="s">
        <v>573</v>
      </c>
      <c r="AC104" s="1208" t="s">
        <v>548</v>
      </c>
      <c r="AD104" s="1208"/>
      <c r="AE104" s="1208"/>
      <c r="AF104" s="1208" t="s">
        <v>532</v>
      </c>
      <c r="AG104" s="1018">
        <f>'09월 화학성분'!AM104</f>
        <v>1412</v>
      </c>
      <c r="AH104" s="1006">
        <f t="shared" si="22"/>
        <v>44</v>
      </c>
      <c r="AI104" s="1019">
        <v>1592</v>
      </c>
      <c r="AJ104" s="1020">
        <v>167</v>
      </c>
      <c r="AK104" s="1021">
        <v>523</v>
      </c>
      <c r="AL104" s="1022">
        <v>8</v>
      </c>
      <c r="AM104" s="1155">
        <f>IF(AT104="","",3*'09월 에너지'!S106*(1/(3+7.8*(100-AT104)/AT104)))</f>
        <v>2.4890891840607212</v>
      </c>
      <c r="AN104" s="1023">
        <v>0.14166666666666666</v>
      </c>
      <c r="AO104" s="1024"/>
      <c r="AP104" s="1025"/>
      <c r="AQ104" s="1025"/>
      <c r="AR104" s="1149">
        <f t="shared" si="23"/>
        <v>5</v>
      </c>
      <c r="AS104" s="1093" t="str">
        <f t="shared" si="34"/>
        <v xml:space="preserve"> </v>
      </c>
      <c r="AT104" s="1156">
        <v>4.4000000000000004</v>
      </c>
      <c r="AU104" s="449"/>
      <c r="AV104" s="1205"/>
    </row>
    <row r="105" spans="1:48" ht="16.5" customHeight="1">
      <c r="A105" s="1005">
        <f t="shared" si="24"/>
        <v>46269</v>
      </c>
      <c r="B105" s="1005">
        <f t="shared" si="25"/>
        <v>46268</v>
      </c>
      <c r="C105" s="1150">
        <f t="shared" si="26"/>
        <v>3</v>
      </c>
      <c r="D105" s="1150">
        <f t="shared" si="27"/>
        <v>94</v>
      </c>
      <c r="E105" s="1006" t="str">
        <f t="shared" si="28"/>
        <v>D</v>
      </c>
      <c r="F105" s="1007" t="str">
        <f t="shared" si="29"/>
        <v>B</v>
      </c>
      <c r="G105" s="1008">
        <f t="shared" si="30"/>
        <v>85307</v>
      </c>
      <c r="H105" s="1138">
        <f t="shared" si="31"/>
        <v>0.22291666666666665</v>
      </c>
      <c r="I105" s="1009">
        <v>0.22083333333333333</v>
      </c>
      <c r="J105" s="1010">
        <f t="shared" si="32"/>
        <v>45</v>
      </c>
      <c r="K105" s="1011"/>
      <c r="L105" s="1012"/>
      <c r="M105" s="1013"/>
      <c r="N105" s="1014" t="str">
        <f t="shared" si="33"/>
        <v/>
      </c>
      <c r="O105" s="1323"/>
      <c r="P105" s="1324"/>
      <c r="Q105" s="1324"/>
      <c r="R105" s="1324"/>
      <c r="S105" s="1324"/>
      <c r="T105" s="1325"/>
      <c r="U105" s="1015">
        <v>1.8</v>
      </c>
      <c r="V105" s="1015"/>
      <c r="W105" s="1015"/>
      <c r="X105" s="1015"/>
      <c r="Y105" s="1015" t="s">
        <v>552</v>
      </c>
      <c r="Z105" s="1016">
        <f>'09월 에너지'!S107</f>
        <v>142.6</v>
      </c>
      <c r="AA105" s="1017"/>
      <c r="AB105" s="1208"/>
      <c r="AC105" s="1208"/>
      <c r="AD105" s="1208"/>
      <c r="AE105" s="1208"/>
      <c r="AF105" s="1208"/>
      <c r="AG105" s="1018">
        <f>'09월 화학성분'!AM105</f>
        <v>1737</v>
      </c>
      <c r="AH105" s="1006">
        <f t="shared" si="22"/>
        <v>45</v>
      </c>
      <c r="AI105" s="1019">
        <v>1585</v>
      </c>
      <c r="AJ105" s="1020">
        <v>72</v>
      </c>
      <c r="AK105" s="1021">
        <v>891</v>
      </c>
      <c r="AL105" s="1022">
        <v>4</v>
      </c>
      <c r="AM105" s="1155">
        <f>IF(AT105="","",3*'09월 에너지'!S107*(1/(3+7.8*(100-AT105)/AT105)))</f>
        <v>2.1340579710144922</v>
      </c>
      <c r="AN105" s="1023">
        <v>0.16041666666666668</v>
      </c>
      <c r="AO105" s="1024"/>
      <c r="AP105" s="1025"/>
      <c r="AQ105" s="1025"/>
      <c r="AR105" s="1149" t="str">
        <f t="shared" si="23"/>
        <v/>
      </c>
      <c r="AS105" s="1093">
        <f t="shared" si="34"/>
        <v>9</v>
      </c>
      <c r="AT105" s="1156">
        <v>3.8</v>
      </c>
      <c r="AU105" s="449"/>
      <c r="AV105" s="1205"/>
    </row>
    <row r="106" spans="1:48" ht="16.5" customHeight="1">
      <c r="A106" s="1005">
        <f t="shared" si="24"/>
        <v>46269</v>
      </c>
      <c r="B106" s="1005">
        <f t="shared" si="25"/>
        <v>46268</v>
      </c>
      <c r="C106" s="1150">
        <f t="shared" si="26"/>
        <v>4</v>
      </c>
      <c r="D106" s="1150">
        <f t="shared" si="27"/>
        <v>95</v>
      </c>
      <c r="E106" s="1006" t="str">
        <f t="shared" si="28"/>
        <v>D</v>
      </c>
      <c r="F106" s="1007" t="str">
        <f t="shared" si="29"/>
        <v>A</v>
      </c>
      <c r="G106" s="1008">
        <f t="shared" si="30"/>
        <v>85308</v>
      </c>
      <c r="H106" s="1138">
        <f t="shared" si="31"/>
        <v>0.25416666666666665</v>
      </c>
      <c r="I106" s="1009">
        <v>0.25208333333333333</v>
      </c>
      <c r="J106" s="1010">
        <f t="shared" si="32"/>
        <v>45</v>
      </c>
      <c r="K106" s="1011"/>
      <c r="L106" s="1012"/>
      <c r="M106" s="1013"/>
      <c r="N106" s="1014" t="str">
        <f t="shared" si="33"/>
        <v/>
      </c>
      <c r="O106" s="1323" t="s">
        <v>617</v>
      </c>
      <c r="P106" s="1324"/>
      <c r="Q106" s="1324"/>
      <c r="R106" s="1324"/>
      <c r="S106" s="1324"/>
      <c r="T106" s="1325"/>
      <c r="U106" s="1015">
        <v>1.8</v>
      </c>
      <c r="V106" s="1015"/>
      <c r="W106" s="1015"/>
      <c r="X106" s="1015"/>
      <c r="Y106" s="1015">
        <v>2.8</v>
      </c>
      <c r="Z106" s="1016">
        <f>'09월 에너지'!S108</f>
        <v>145.80000000000001</v>
      </c>
      <c r="AA106" s="1017"/>
      <c r="AB106" s="1208"/>
      <c r="AC106" s="1208"/>
      <c r="AD106" s="1208"/>
      <c r="AE106" s="1208"/>
      <c r="AF106" s="1208"/>
      <c r="AG106" s="1018">
        <f>'09월 화학성분'!AM106</f>
        <v>1824</v>
      </c>
      <c r="AH106" s="1006">
        <f t="shared" si="22"/>
        <v>46</v>
      </c>
      <c r="AI106" s="1019">
        <v>1578</v>
      </c>
      <c r="AJ106" s="1020">
        <v>26</v>
      </c>
      <c r="AK106" s="1021">
        <v>443</v>
      </c>
      <c r="AL106" s="1022">
        <v>10</v>
      </c>
      <c r="AM106" s="1155">
        <f>IF(AT106="","",3*'09월 에너지'!S108*(1/(3+7.8*(100-AT106)/AT106)))</f>
        <v>1.3082865168539326</v>
      </c>
      <c r="AN106" s="1023">
        <v>0.12638888888888888</v>
      </c>
      <c r="AO106" s="1024"/>
      <c r="AP106" s="1025"/>
      <c r="AQ106" s="1025"/>
      <c r="AR106" s="1149">
        <f t="shared" si="23"/>
        <v>6</v>
      </c>
      <c r="AS106" s="1093" t="str">
        <f t="shared" si="34"/>
        <v xml:space="preserve"> </v>
      </c>
      <c r="AT106" s="1156">
        <v>2.2999999999999998</v>
      </c>
      <c r="AU106" s="449"/>
      <c r="AV106" s="1205"/>
    </row>
    <row r="107" spans="1:48" ht="16.5" customHeight="1">
      <c r="A107" s="1005">
        <f t="shared" si="24"/>
        <v>46269</v>
      </c>
      <c r="B107" s="1005">
        <v>46269</v>
      </c>
      <c r="C107" s="1150">
        <f t="shared" si="26"/>
        <v>5</v>
      </c>
      <c r="D107" s="1150">
        <f t="shared" si="27"/>
        <v>96</v>
      </c>
      <c r="E107" s="1006" t="s">
        <v>600</v>
      </c>
      <c r="F107" s="1007" t="str">
        <f t="shared" si="29"/>
        <v>B</v>
      </c>
      <c r="G107" s="1008">
        <f t="shared" si="30"/>
        <v>85309</v>
      </c>
      <c r="H107" s="1138">
        <f t="shared" si="31"/>
        <v>0.28541666666666665</v>
      </c>
      <c r="I107" s="1009">
        <v>0.29236111111111113</v>
      </c>
      <c r="J107" s="1010">
        <f t="shared" si="32"/>
        <v>58.000000000000036</v>
      </c>
      <c r="K107" s="1011"/>
      <c r="L107" s="1012"/>
      <c r="M107" s="1013"/>
      <c r="N107" s="1014" t="str">
        <f t="shared" si="33"/>
        <v/>
      </c>
      <c r="O107" s="1323" t="s">
        <v>616</v>
      </c>
      <c r="P107" s="1324"/>
      <c r="Q107" s="1324"/>
      <c r="R107" s="1324"/>
      <c r="S107" s="1324"/>
      <c r="T107" s="1325"/>
      <c r="U107" s="1015">
        <v>1.8</v>
      </c>
      <c r="V107" s="1015"/>
      <c r="W107" s="1015"/>
      <c r="X107" s="1015"/>
      <c r="Y107" s="1015" t="s">
        <v>552</v>
      </c>
      <c r="Z107" s="1016">
        <f>'09월 에너지'!S109</f>
        <v>143.6</v>
      </c>
      <c r="AA107" s="1017">
        <v>1655</v>
      </c>
      <c r="AB107" s="1208" t="s">
        <v>573</v>
      </c>
      <c r="AC107" s="1208" t="s">
        <v>548</v>
      </c>
      <c r="AD107" s="1208"/>
      <c r="AE107" s="1208"/>
      <c r="AF107" s="1208" t="s">
        <v>532</v>
      </c>
      <c r="AG107" s="1018">
        <f>'09월 화학성분'!AM107</f>
        <v>3950</v>
      </c>
      <c r="AH107" s="1006">
        <f t="shared" si="22"/>
        <v>47</v>
      </c>
      <c r="AI107" s="1019">
        <v>1616</v>
      </c>
      <c r="AJ107" s="1020">
        <v>0</v>
      </c>
      <c r="AK107" s="1021">
        <v>637</v>
      </c>
      <c r="AL107" s="1022">
        <v>6</v>
      </c>
      <c r="AM107" s="1155">
        <f>IF(AT107="","",3*'09월 에너지'!S109*(1/(3+7.8*(100-AT107)/AT107)))</f>
        <v>0.77995034140285524</v>
      </c>
      <c r="AN107" s="1023">
        <v>0.19166666666666665</v>
      </c>
      <c r="AO107" s="1024"/>
      <c r="AP107" s="1025"/>
      <c r="AQ107" s="1025"/>
      <c r="AR107" s="1149" t="str">
        <f t="shared" si="23"/>
        <v/>
      </c>
      <c r="AS107" s="1093">
        <f t="shared" si="34"/>
        <v>10</v>
      </c>
      <c r="AT107" s="1156">
        <v>1.4</v>
      </c>
      <c r="AU107" s="449"/>
      <c r="AV107" s="1205"/>
    </row>
    <row r="108" spans="1:48" ht="16.5" customHeight="1">
      <c r="A108" s="1005">
        <f t="shared" si="24"/>
        <v>46269</v>
      </c>
      <c r="B108" s="1005">
        <f t="shared" si="25"/>
        <v>46269</v>
      </c>
      <c r="C108" s="1150">
        <f t="shared" si="26"/>
        <v>6</v>
      </c>
      <c r="D108" s="1150">
        <f t="shared" si="27"/>
        <v>97</v>
      </c>
      <c r="E108" s="1006" t="str">
        <f t="shared" si="28"/>
        <v>B</v>
      </c>
      <c r="F108" s="1007" t="str">
        <f t="shared" si="29"/>
        <v>A</v>
      </c>
      <c r="G108" s="1008">
        <f t="shared" si="30"/>
        <v>85310</v>
      </c>
      <c r="H108" s="1138">
        <f t="shared" si="31"/>
        <v>0.32569444444444445</v>
      </c>
      <c r="I108" s="1009">
        <v>0.32708333333333334</v>
      </c>
      <c r="J108" s="1010">
        <f t="shared" si="32"/>
        <v>49.999999999999986</v>
      </c>
      <c r="K108" s="1011"/>
      <c r="L108" s="1012"/>
      <c r="M108" s="1013"/>
      <c r="N108" s="1014" t="str">
        <f t="shared" si="33"/>
        <v/>
      </c>
      <c r="O108" s="1323" t="s">
        <v>614</v>
      </c>
      <c r="P108" s="1324"/>
      <c r="Q108" s="1324"/>
      <c r="R108" s="1324"/>
      <c r="S108" s="1324"/>
      <c r="T108" s="1325"/>
      <c r="U108" s="1015"/>
      <c r="V108" s="1015"/>
      <c r="W108" s="1015"/>
      <c r="X108" s="1015"/>
      <c r="Y108" s="1015"/>
      <c r="Z108" s="1016">
        <f>'09월 에너지'!S110</f>
        <v>115.1</v>
      </c>
      <c r="AA108" s="1017"/>
      <c r="AB108" s="1208"/>
      <c r="AC108" s="1208"/>
      <c r="AD108" s="1208"/>
      <c r="AE108" s="1208"/>
      <c r="AF108" s="1208"/>
      <c r="AG108" s="1018">
        <f>'09월 화학성분'!AM108</f>
        <v>2342</v>
      </c>
      <c r="AH108" s="1006">
        <f t="shared" si="22"/>
        <v>48</v>
      </c>
      <c r="AI108" s="1019">
        <v>1627</v>
      </c>
      <c r="AJ108" s="1020">
        <v>228</v>
      </c>
      <c r="AK108" s="1021">
        <v>881</v>
      </c>
      <c r="AL108" s="1022">
        <v>4</v>
      </c>
      <c r="AM108" s="1155">
        <f>IF(AT108="","",3*'09월 에너지'!S110*(1/(3+7.8*(100-AT108)/AT108)))</f>
        <v>18.963306765163296</v>
      </c>
      <c r="AN108" s="1023">
        <v>0.27083333333333331</v>
      </c>
      <c r="AO108" s="1024"/>
      <c r="AP108" s="1025"/>
      <c r="AQ108" s="1025"/>
      <c r="AR108" s="1149">
        <f t="shared" si="23"/>
        <v>7</v>
      </c>
      <c r="AS108" s="1093" t="str">
        <f t="shared" si="34"/>
        <v xml:space="preserve"> </v>
      </c>
      <c r="AT108" s="1156">
        <v>33.9</v>
      </c>
      <c r="AU108" s="449"/>
      <c r="AV108" s="1205"/>
    </row>
    <row r="109" spans="1:48" ht="16.5" customHeight="1">
      <c r="A109" s="1005">
        <f t="shared" si="24"/>
        <v>46269</v>
      </c>
      <c r="B109" s="1005">
        <f t="shared" si="25"/>
        <v>46269</v>
      </c>
      <c r="C109" s="1150">
        <f t="shared" si="26"/>
        <v>7</v>
      </c>
      <c r="D109" s="1150">
        <f t="shared" si="27"/>
        <v>98</v>
      </c>
      <c r="E109" s="1006" t="str">
        <f t="shared" si="28"/>
        <v>B</v>
      </c>
      <c r="F109" s="1007" t="str">
        <f t="shared" si="29"/>
        <v>B</v>
      </c>
      <c r="G109" s="1008">
        <f t="shared" si="30"/>
        <v>85311</v>
      </c>
      <c r="H109" s="1138">
        <f t="shared" si="31"/>
        <v>0.36041666666666666</v>
      </c>
      <c r="I109" s="1009">
        <v>0.3659722222222222</v>
      </c>
      <c r="J109" s="1010">
        <f t="shared" si="32"/>
        <v>55.999999999999957</v>
      </c>
      <c r="K109" s="1011"/>
      <c r="L109" s="1012"/>
      <c r="M109" s="1013"/>
      <c r="N109" s="1014" t="str">
        <f t="shared" si="33"/>
        <v/>
      </c>
      <c r="O109" s="1323" t="s">
        <v>610</v>
      </c>
      <c r="P109" s="1324"/>
      <c r="Q109" s="1324"/>
      <c r="R109" s="1324"/>
      <c r="S109" s="1324"/>
      <c r="T109" s="1325"/>
      <c r="U109" s="1015"/>
      <c r="V109" s="1015"/>
      <c r="W109" s="1015"/>
      <c r="X109" s="1015"/>
      <c r="Y109" s="1015"/>
      <c r="Z109" s="1016">
        <f>'09월 에너지'!S111</f>
        <v>115.8</v>
      </c>
      <c r="AA109" s="1017"/>
      <c r="AB109" s="1208"/>
      <c r="AC109" s="1208"/>
      <c r="AD109" s="1208"/>
      <c r="AE109" s="1208"/>
      <c r="AF109" s="1208"/>
      <c r="AG109" s="1018">
        <f>'09월 화학성분'!AM109</f>
        <v>2724</v>
      </c>
      <c r="AH109" s="1006">
        <f t="shared" si="22"/>
        <v>49</v>
      </c>
      <c r="AI109" s="1019">
        <v>1607</v>
      </c>
      <c r="AJ109" s="1020">
        <v>54</v>
      </c>
      <c r="AK109" s="1021">
        <v>374</v>
      </c>
      <c r="AL109" s="1022">
        <v>12</v>
      </c>
      <c r="AM109" s="1155">
        <f>IF(AT109="","",3*'09월 에너지'!S111*(1/(3+7.8*(100-AT109)/AT109)))</f>
        <v>0.58366935483870952</v>
      </c>
      <c r="AN109" s="1023">
        <v>0.29305555555555557</v>
      </c>
      <c r="AO109" s="1024"/>
      <c r="AP109" s="1025"/>
      <c r="AQ109" s="1025"/>
      <c r="AR109" s="1149" t="str">
        <f t="shared" si="23"/>
        <v/>
      </c>
      <c r="AS109" s="1093">
        <f t="shared" si="34"/>
        <v>11</v>
      </c>
      <c r="AT109" s="1156">
        <v>1.3</v>
      </c>
      <c r="AU109" s="449"/>
      <c r="AV109" s="1205"/>
    </row>
    <row r="110" spans="1:48" ht="16.5" customHeight="1">
      <c r="A110" s="1005">
        <f t="shared" si="24"/>
        <v>46269</v>
      </c>
      <c r="B110" s="1005">
        <f t="shared" si="25"/>
        <v>46269</v>
      </c>
      <c r="C110" s="1150">
        <f t="shared" si="26"/>
        <v>8</v>
      </c>
      <c r="D110" s="1150">
        <f t="shared" si="27"/>
        <v>99</v>
      </c>
      <c r="E110" s="1006" t="s">
        <v>582</v>
      </c>
      <c r="F110" s="1007" t="s">
        <v>624</v>
      </c>
      <c r="G110" s="1008">
        <f t="shared" si="30"/>
        <v>85312</v>
      </c>
      <c r="H110" s="1138">
        <f t="shared" si="31"/>
        <v>0.39930555555555552</v>
      </c>
      <c r="I110" s="1009">
        <v>0.75347222222222221</v>
      </c>
      <c r="J110" s="1010">
        <f t="shared" si="32"/>
        <v>558</v>
      </c>
      <c r="K110" s="1011">
        <v>492</v>
      </c>
      <c r="L110" s="1012"/>
      <c r="M110" s="1013">
        <v>0.3659722222222222</v>
      </c>
      <c r="N110" s="1014">
        <f t="shared" si="33"/>
        <v>0.70763888888888893</v>
      </c>
      <c r="O110" s="1326" t="s">
        <v>621</v>
      </c>
      <c r="P110" s="1327"/>
      <c r="Q110" s="1327"/>
      <c r="R110" s="1327"/>
      <c r="S110" s="1327"/>
      <c r="T110" s="1328"/>
      <c r="U110" s="1015"/>
      <c r="V110" s="1015"/>
      <c r="W110" s="1015"/>
      <c r="X110" s="1015"/>
      <c r="Y110" s="1015"/>
      <c r="Z110" s="1016">
        <f>'09월 에너지'!S112</f>
        <v>131</v>
      </c>
      <c r="AA110" s="1017">
        <v>5010</v>
      </c>
      <c r="AB110" s="1208" t="s">
        <v>620</v>
      </c>
      <c r="AC110" s="1208" t="s">
        <v>548</v>
      </c>
      <c r="AD110" s="1208" t="s">
        <v>548</v>
      </c>
      <c r="AE110" s="1208" t="s">
        <v>607</v>
      </c>
      <c r="AF110" s="1208" t="s">
        <v>548</v>
      </c>
      <c r="AG110" s="1018">
        <f>'09월 화학성분'!AM110</f>
        <v>3301</v>
      </c>
      <c r="AH110" s="1235">
        <v>1</v>
      </c>
      <c r="AI110" s="1019">
        <v>1564</v>
      </c>
      <c r="AJ110" s="1020">
        <v>189</v>
      </c>
      <c r="AK110" s="1021" t="s">
        <v>552</v>
      </c>
      <c r="AL110" s="1022" t="s">
        <v>563</v>
      </c>
      <c r="AM110" s="1155">
        <f>IF(AT110="","",3*'09월 에너지'!S112*(1/(3+7.8*(100-AT110)/AT110)))</f>
        <v>5.0415640394088669E-2</v>
      </c>
      <c r="AN110" s="1023">
        <v>0.18541666666666667</v>
      </c>
      <c r="AO110" s="1024"/>
      <c r="AP110" s="1025"/>
      <c r="AQ110" s="1025"/>
      <c r="AR110" s="1149" t="str">
        <f t="shared" si="23"/>
        <v/>
      </c>
      <c r="AS110" s="1093">
        <f t="shared" si="34"/>
        <v>12</v>
      </c>
      <c r="AT110" s="1156">
        <v>0.1</v>
      </c>
      <c r="AU110" s="449"/>
      <c r="AV110" s="1205"/>
    </row>
    <row r="111" spans="1:48" ht="16.5" customHeight="1">
      <c r="A111" s="1005">
        <f t="shared" si="24"/>
        <v>46269</v>
      </c>
      <c r="B111" s="1005">
        <f t="shared" si="25"/>
        <v>46269</v>
      </c>
      <c r="C111" s="1150">
        <f t="shared" si="26"/>
        <v>9</v>
      </c>
      <c r="D111" s="1150">
        <f t="shared" si="27"/>
        <v>100</v>
      </c>
      <c r="E111" s="1006" t="str">
        <f t="shared" si="28"/>
        <v>C</v>
      </c>
      <c r="F111" s="1007" t="s">
        <v>600</v>
      </c>
      <c r="G111" s="1008">
        <f t="shared" si="30"/>
        <v>85313</v>
      </c>
      <c r="H111" s="1138">
        <f t="shared" si="31"/>
        <v>0.78680555555555554</v>
      </c>
      <c r="I111" s="1009">
        <v>0.80902777777777779</v>
      </c>
      <c r="J111" s="1010">
        <f t="shared" si="32"/>
        <v>80.000000000000028</v>
      </c>
      <c r="K111" s="1011">
        <v>32</v>
      </c>
      <c r="L111" s="1012"/>
      <c r="M111" s="1013">
        <v>0.75694444444444453</v>
      </c>
      <c r="N111" s="1014">
        <f t="shared" si="33"/>
        <v>0.77916666666666679</v>
      </c>
      <c r="O111" s="1326" t="s">
        <v>623</v>
      </c>
      <c r="P111" s="1327"/>
      <c r="Q111" s="1327"/>
      <c r="R111" s="1327"/>
      <c r="S111" s="1327"/>
      <c r="T111" s="1328"/>
      <c r="U111" s="1015">
        <v>1.8</v>
      </c>
      <c r="V111" s="1015"/>
      <c r="W111" s="1015"/>
      <c r="X111" s="1015"/>
      <c r="Y111" s="1015">
        <v>2.6</v>
      </c>
      <c r="Z111" s="1016">
        <f>'09월 에너지'!S113</f>
        <v>141.80000000000001</v>
      </c>
      <c r="AA111" s="1017">
        <v>1945</v>
      </c>
      <c r="AB111" s="1208" t="s">
        <v>620</v>
      </c>
      <c r="AC111" s="1208" t="s">
        <v>548</v>
      </c>
      <c r="AD111" s="1208"/>
      <c r="AE111" s="1208"/>
      <c r="AF111" s="1208" t="s">
        <v>548</v>
      </c>
      <c r="AG111" s="1018">
        <f>'09월 화학성분'!AM111</f>
        <v>3340</v>
      </c>
      <c r="AH111" s="1006">
        <f t="shared" si="22"/>
        <v>2</v>
      </c>
      <c r="AI111" s="1019">
        <v>1596</v>
      </c>
      <c r="AJ111" s="1020">
        <v>145</v>
      </c>
      <c r="AK111" s="1021">
        <v>980</v>
      </c>
      <c r="AL111" s="1022">
        <v>4</v>
      </c>
      <c r="AM111" s="1155">
        <f>IF(AT111="","",3*'09월 에너지'!S113*(1/(3+7.8*(100-AT111)/AT111)))</f>
        <v>0.10921133703019104</v>
      </c>
      <c r="AN111" s="1023">
        <v>0.1763888888888889</v>
      </c>
      <c r="AO111" s="1024"/>
      <c r="AP111" s="1025"/>
      <c r="AQ111" s="1025"/>
      <c r="AR111" s="1149" t="str">
        <f t="shared" si="23"/>
        <v/>
      </c>
      <c r="AS111" s="1093">
        <f t="shared" si="34"/>
        <v>13</v>
      </c>
      <c r="AT111" s="1156">
        <v>0.2</v>
      </c>
      <c r="AU111" s="449"/>
      <c r="AV111" s="1205"/>
    </row>
    <row r="112" spans="1:48" ht="16.5" customHeight="1">
      <c r="A112" s="1005">
        <f t="shared" si="24"/>
        <v>46269</v>
      </c>
      <c r="B112" s="1005">
        <f t="shared" si="25"/>
        <v>46269</v>
      </c>
      <c r="C112" s="1150">
        <f t="shared" si="26"/>
        <v>10</v>
      </c>
      <c r="D112" s="1150">
        <f t="shared" si="27"/>
        <v>101</v>
      </c>
      <c r="E112" s="1006" t="str">
        <f t="shared" si="28"/>
        <v>C</v>
      </c>
      <c r="F112" s="1007" t="str">
        <f t="shared" si="29"/>
        <v>A</v>
      </c>
      <c r="G112" s="1008">
        <f t="shared" si="30"/>
        <v>85314</v>
      </c>
      <c r="H112" s="1138">
        <f t="shared" si="31"/>
        <v>0.84236111111111112</v>
      </c>
      <c r="I112" s="1009">
        <v>0.8652777777777777</v>
      </c>
      <c r="J112" s="1010">
        <f t="shared" si="32"/>
        <v>80.999999999999872</v>
      </c>
      <c r="K112" s="1011">
        <v>1</v>
      </c>
      <c r="L112" s="1012">
        <v>24</v>
      </c>
      <c r="M112" s="1013">
        <v>0.81736111111111109</v>
      </c>
      <c r="N112" s="1014">
        <f t="shared" si="33"/>
        <v>0.81805555555555554</v>
      </c>
      <c r="O112" s="1326" t="s">
        <v>625</v>
      </c>
      <c r="P112" s="1327"/>
      <c r="Q112" s="1327"/>
      <c r="R112" s="1327"/>
      <c r="S112" s="1327"/>
      <c r="T112" s="1328"/>
      <c r="U112" s="1015"/>
      <c r="V112" s="1015"/>
      <c r="W112" s="1015"/>
      <c r="X112" s="1015"/>
      <c r="Y112" s="1015"/>
      <c r="Z112" s="1016">
        <f>'09월 에너지'!S114</f>
        <v>131</v>
      </c>
      <c r="AA112" s="1017">
        <v>3631</v>
      </c>
      <c r="AB112" s="1208" t="s">
        <v>620</v>
      </c>
      <c r="AC112" s="1208" t="s">
        <v>548</v>
      </c>
      <c r="AD112" s="1208" t="s">
        <v>532</v>
      </c>
      <c r="AE112" s="1208" t="s">
        <v>532</v>
      </c>
      <c r="AF112" s="1208" t="s">
        <v>532</v>
      </c>
      <c r="AG112" s="1018">
        <f>'09월 화학성분'!AM112</f>
        <v>1670</v>
      </c>
      <c r="AH112" s="1006">
        <f t="shared" si="22"/>
        <v>3</v>
      </c>
      <c r="AI112" s="1019">
        <v>1561</v>
      </c>
      <c r="AJ112" s="1020">
        <v>0</v>
      </c>
      <c r="AK112" s="1021">
        <v>574</v>
      </c>
      <c r="AL112" s="1022">
        <v>7</v>
      </c>
      <c r="AM112" s="1155">
        <f>IF(AT112="","",3*'09월 에너지'!S114*(1/(3+7.8*(100-AT112)/AT112)))</f>
        <v>0.3034280420012353</v>
      </c>
      <c r="AN112" s="1023">
        <v>0.18263888888888891</v>
      </c>
      <c r="AO112" s="1024"/>
      <c r="AP112" s="1025"/>
      <c r="AQ112" s="1025"/>
      <c r="AR112" s="1149">
        <v>8</v>
      </c>
      <c r="AS112" s="1093" t="str">
        <f t="shared" si="34"/>
        <v xml:space="preserve"> </v>
      </c>
      <c r="AT112" s="1156">
        <v>0.6</v>
      </c>
      <c r="AU112" s="449"/>
      <c r="AV112" s="1205"/>
    </row>
    <row r="113" spans="1:48" ht="16.5" customHeight="1">
      <c r="A113" s="1005">
        <f t="shared" si="24"/>
        <v>46269</v>
      </c>
      <c r="B113" s="1005">
        <f t="shared" si="25"/>
        <v>46269</v>
      </c>
      <c r="C113" s="1150">
        <f t="shared" si="26"/>
        <v>11</v>
      </c>
      <c r="D113" s="1150">
        <f t="shared" si="27"/>
        <v>102</v>
      </c>
      <c r="E113" s="1006" t="str">
        <f t="shared" si="28"/>
        <v>C</v>
      </c>
      <c r="F113" s="1007" t="str">
        <f t="shared" si="29"/>
        <v>B</v>
      </c>
      <c r="G113" s="1008">
        <f t="shared" si="30"/>
        <v>85315</v>
      </c>
      <c r="H113" s="1138">
        <f t="shared" si="31"/>
        <v>0.89861111111111103</v>
      </c>
      <c r="I113" s="1009">
        <v>0.8847222222222223</v>
      </c>
      <c r="J113" s="1010">
        <f t="shared" si="32"/>
        <v>28.00000000000022</v>
      </c>
      <c r="K113" s="1011"/>
      <c r="L113" s="1012"/>
      <c r="M113" s="1013"/>
      <c r="N113" s="1014" t="str">
        <f t="shared" si="33"/>
        <v/>
      </c>
      <c r="O113" s="1326"/>
      <c r="P113" s="1327"/>
      <c r="Q113" s="1327"/>
      <c r="R113" s="1327"/>
      <c r="S113" s="1327"/>
      <c r="T113" s="1328"/>
      <c r="U113" s="1015">
        <v>1.8</v>
      </c>
      <c r="V113" s="1015"/>
      <c r="W113" s="1015"/>
      <c r="X113" s="1015"/>
      <c r="Y113" s="1015">
        <v>2.5</v>
      </c>
      <c r="Z113" s="1016">
        <f>'09월 에너지'!S115</f>
        <v>141.1</v>
      </c>
      <c r="AA113" s="1017"/>
      <c r="AB113" s="1208"/>
      <c r="AC113" s="1208"/>
      <c r="AD113" s="1208"/>
      <c r="AE113" s="1208"/>
      <c r="AF113" s="1208"/>
      <c r="AG113" s="1018">
        <f>'09월 화학성분'!AM113</f>
        <v>3143</v>
      </c>
      <c r="AH113" s="1006">
        <f t="shared" si="22"/>
        <v>4</v>
      </c>
      <c r="AI113" s="1019">
        <v>1562</v>
      </c>
      <c r="AJ113" s="1020">
        <v>25</v>
      </c>
      <c r="AK113" s="1021">
        <v>704</v>
      </c>
      <c r="AL113" s="1022">
        <v>5</v>
      </c>
      <c r="AM113" s="1155">
        <f>IF(AT113="","",3*'09월 에너지'!S115*(1/(3+7.8*(100-AT113)/AT113)))</f>
        <v>0.27218364197530859</v>
      </c>
      <c r="AN113" s="1023">
        <v>0.19166666666666665</v>
      </c>
      <c r="AO113" s="1024"/>
      <c r="AP113" s="1025"/>
      <c r="AQ113" s="1025"/>
      <c r="AR113" s="1149" t="str">
        <f t="shared" si="23"/>
        <v/>
      </c>
      <c r="AS113" s="1093">
        <f t="shared" si="34"/>
        <v>14</v>
      </c>
      <c r="AT113" s="1156">
        <v>0.5</v>
      </c>
      <c r="AU113" s="449"/>
      <c r="AV113" s="1205" t="s">
        <v>553</v>
      </c>
    </row>
    <row r="114" spans="1:48" ht="16.5" customHeight="1">
      <c r="A114" s="1005">
        <f t="shared" si="24"/>
        <v>46269</v>
      </c>
      <c r="B114" s="1005">
        <f t="shared" si="25"/>
        <v>46269</v>
      </c>
      <c r="C114" s="1150">
        <f t="shared" si="26"/>
        <v>12</v>
      </c>
      <c r="D114" s="1150">
        <f t="shared" si="27"/>
        <v>103</v>
      </c>
      <c r="E114" s="1006" t="str">
        <f t="shared" si="28"/>
        <v>C</v>
      </c>
      <c r="F114" s="1007" t="str">
        <f t="shared" si="29"/>
        <v>A</v>
      </c>
      <c r="G114" s="1008">
        <f t="shared" si="30"/>
        <v>85316</v>
      </c>
      <c r="H114" s="1138">
        <f t="shared" si="31"/>
        <v>0.91805555555555562</v>
      </c>
      <c r="I114" s="1009">
        <v>0.91805555555555562</v>
      </c>
      <c r="J114" s="1010">
        <f t="shared" si="32"/>
        <v>47.999999999999986</v>
      </c>
      <c r="K114" s="1011"/>
      <c r="L114" s="1012"/>
      <c r="M114" s="1013"/>
      <c r="N114" s="1014" t="str">
        <f t="shared" si="33"/>
        <v/>
      </c>
      <c r="O114" s="1323" t="s">
        <v>627</v>
      </c>
      <c r="P114" s="1324"/>
      <c r="Q114" s="1324"/>
      <c r="R114" s="1324"/>
      <c r="S114" s="1324"/>
      <c r="T114" s="1325"/>
      <c r="U114" s="1015">
        <v>1.8</v>
      </c>
      <c r="V114" s="1015"/>
      <c r="W114" s="1015"/>
      <c r="X114" s="1015"/>
      <c r="Y114" s="1015"/>
      <c r="Z114" s="1016">
        <f>'09월 에너지'!S116</f>
        <v>140.6</v>
      </c>
      <c r="AA114" s="1017"/>
      <c r="AB114" s="1208"/>
      <c r="AC114" s="1208"/>
      <c r="AD114" s="1208"/>
      <c r="AE114" s="1208"/>
      <c r="AF114" s="1208"/>
      <c r="AG114" s="1018">
        <f>'09월 화학성분'!AM114</f>
        <v>1342</v>
      </c>
      <c r="AH114" s="1006">
        <f t="shared" si="22"/>
        <v>5</v>
      </c>
      <c r="AI114" s="1019">
        <v>1575</v>
      </c>
      <c r="AJ114" s="1020">
        <v>67</v>
      </c>
      <c r="AK114" s="1021">
        <v>707</v>
      </c>
      <c r="AL114" s="1022">
        <v>5</v>
      </c>
      <c r="AM114" s="1155">
        <f>IF(AT114="","",3*'09월 에너지'!S116*(1/(3+7.8*(100-AT114)/AT114)))</f>
        <v>0.48940284653465349</v>
      </c>
      <c r="AN114" s="1023">
        <v>0.18055555555555555</v>
      </c>
      <c r="AO114" s="1024"/>
      <c r="AP114" s="1025"/>
      <c r="AQ114" s="1025"/>
      <c r="AR114" s="1149">
        <f t="shared" si="23"/>
        <v>9</v>
      </c>
      <c r="AS114" s="1093" t="str">
        <f t="shared" si="34"/>
        <v xml:space="preserve"> </v>
      </c>
      <c r="AT114" s="1156">
        <v>0.9</v>
      </c>
      <c r="AU114" s="449"/>
      <c r="AV114" s="1205"/>
    </row>
    <row r="115" spans="1:48" ht="16.5" customHeight="1">
      <c r="A115" s="1005">
        <f t="shared" si="24"/>
        <v>46269</v>
      </c>
      <c r="B115" s="1005">
        <f t="shared" si="25"/>
        <v>46269</v>
      </c>
      <c r="C115" s="1150">
        <f t="shared" si="26"/>
        <v>13</v>
      </c>
      <c r="D115" s="1150">
        <f t="shared" si="27"/>
        <v>104</v>
      </c>
      <c r="E115" s="1006" t="s">
        <v>628</v>
      </c>
      <c r="F115" s="1007" t="str">
        <f t="shared" si="29"/>
        <v>B</v>
      </c>
      <c r="G115" s="1008">
        <f t="shared" si="30"/>
        <v>85317</v>
      </c>
      <c r="H115" s="1138">
        <f t="shared" si="31"/>
        <v>0.95138888888888895</v>
      </c>
      <c r="I115" s="1009">
        <v>0.94861111111111107</v>
      </c>
      <c r="J115" s="1010">
        <f t="shared" si="32"/>
        <v>43.999999999999844</v>
      </c>
      <c r="K115" s="1011"/>
      <c r="L115" s="1012"/>
      <c r="M115" s="1013"/>
      <c r="N115" s="1014" t="str">
        <f t="shared" si="33"/>
        <v/>
      </c>
      <c r="O115" s="1323"/>
      <c r="P115" s="1324"/>
      <c r="Q115" s="1324"/>
      <c r="R115" s="1324"/>
      <c r="S115" s="1324"/>
      <c r="T115" s="1325"/>
      <c r="U115" s="1015">
        <v>1.8</v>
      </c>
      <c r="V115" s="1015"/>
      <c r="W115" s="1015"/>
      <c r="X115" s="1015"/>
      <c r="Y115" s="1015">
        <v>2.6</v>
      </c>
      <c r="Z115" s="1016">
        <f>'09월 에너지'!S117</f>
        <v>145.4</v>
      </c>
      <c r="AA115" s="1017"/>
      <c r="AB115" s="1208"/>
      <c r="AC115" s="1208"/>
      <c r="AD115" s="1208"/>
      <c r="AE115" s="1208"/>
      <c r="AF115" s="1208"/>
      <c r="AG115" s="1018">
        <f>'09월 화학성분'!AM115</f>
        <v>2784</v>
      </c>
      <c r="AH115" s="1006">
        <f t="shared" si="22"/>
        <v>6</v>
      </c>
      <c r="AI115" s="1019">
        <v>1555</v>
      </c>
      <c r="AJ115" s="1020">
        <v>0</v>
      </c>
      <c r="AK115" s="1021">
        <v>763</v>
      </c>
      <c r="AL115" s="1022">
        <v>5</v>
      </c>
      <c r="AM115" s="1155">
        <f>IF(AT115="","",3*'09월 에너지'!S117*(1/(3+7.8*(100-AT115)/AT115)))</f>
        <v>0.33678196417541695</v>
      </c>
      <c r="AN115" s="1023">
        <v>0.18472222222222223</v>
      </c>
      <c r="AO115" s="1024"/>
      <c r="AP115" s="1025"/>
      <c r="AQ115" s="1025"/>
      <c r="AR115" s="1149" t="str">
        <f t="shared" si="23"/>
        <v/>
      </c>
      <c r="AS115" s="1093">
        <f t="shared" si="34"/>
        <v>15</v>
      </c>
      <c r="AT115" s="1156">
        <v>0.6</v>
      </c>
      <c r="AU115" s="449"/>
      <c r="AV115" s="1205"/>
    </row>
    <row r="116" spans="1:48" ht="16.5" customHeight="1">
      <c r="A116" s="1005">
        <f t="shared" si="24"/>
        <v>46269</v>
      </c>
      <c r="B116" s="1005">
        <f t="shared" si="25"/>
        <v>46269</v>
      </c>
      <c r="C116" s="1150">
        <f t="shared" si="26"/>
        <v>14</v>
      </c>
      <c r="D116" s="1150">
        <f t="shared" si="27"/>
        <v>105</v>
      </c>
      <c r="E116" s="1006" t="str">
        <f t="shared" si="28"/>
        <v>A</v>
      </c>
      <c r="F116" s="1007" t="str">
        <f t="shared" si="29"/>
        <v>A</v>
      </c>
      <c r="G116" s="1008">
        <f t="shared" si="30"/>
        <v>85318</v>
      </c>
      <c r="H116" s="1138">
        <f t="shared" si="31"/>
        <v>0.9819444444444444</v>
      </c>
      <c r="I116" s="1009">
        <v>0.97986111111111107</v>
      </c>
      <c r="J116" s="1010">
        <f t="shared" si="32"/>
        <v>45</v>
      </c>
      <c r="K116" s="1011"/>
      <c r="L116" s="1012">
        <v>2</v>
      </c>
      <c r="M116" s="1013"/>
      <c r="N116" s="1014" t="str">
        <f t="shared" si="33"/>
        <v/>
      </c>
      <c r="O116" s="1335" t="s">
        <v>630</v>
      </c>
      <c r="P116" s="1336"/>
      <c r="Q116" s="1336"/>
      <c r="R116" s="1336"/>
      <c r="S116" s="1336"/>
      <c r="T116" s="1337"/>
      <c r="U116" s="1015">
        <v>1.8</v>
      </c>
      <c r="V116" s="1015"/>
      <c r="W116" s="1015"/>
      <c r="X116" s="1015"/>
      <c r="Y116" s="1015"/>
      <c r="Z116" s="1016">
        <f>'09월 에너지'!S118</f>
        <v>144.6</v>
      </c>
      <c r="AA116" s="1017"/>
      <c r="AB116" s="1208"/>
      <c r="AC116" s="1208"/>
      <c r="AD116" s="1208"/>
      <c r="AE116" s="1208"/>
      <c r="AF116" s="1208"/>
      <c r="AG116" s="1018">
        <f>'09월 화학성분'!AM116</f>
        <v>1448</v>
      </c>
      <c r="AH116" s="1006">
        <f t="shared" si="22"/>
        <v>7</v>
      </c>
      <c r="AI116" s="1019">
        <v>1553</v>
      </c>
      <c r="AJ116" s="1020">
        <v>0</v>
      </c>
      <c r="AK116" s="1021">
        <v>561</v>
      </c>
      <c r="AL116" s="1022">
        <v>7</v>
      </c>
      <c r="AM116" s="1155">
        <f>IF(AT116="","",3*'09월 에너지'!S118*(1/(3+7.8*(100-AT116)/AT116)))</f>
        <v>0.22301048735348553</v>
      </c>
      <c r="AN116" s="1023">
        <v>0.19652777777777777</v>
      </c>
      <c r="AO116" s="1024"/>
      <c r="AP116" s="1025"/>
      <c r="AQ116" s="1025"/>
      <c r="AR116" s="1149">
        <f t="shared" si="23"/>
        <v>10</v>
      </c>
      <c r="AS116" s="1093" t="str">
        <f t="shared" si="34"/>
        <v xml:space="preserve"> </v>
      </c>
      <c r="AT116" s="1156">
        <v>0.4</v>
      </c>
      <c r="AU116" s="449"/>
      <c r="AV116" s="1205"/>
    </row>
    <row r="117" spans="1:48" ht="16.5" customHeight="1">
      <c r="A117" s="1005">
        <f t="shared" si="24"/>
        <v>46269</v>
      </c>
      <c r="B117" s="1005">
        <f t="shared" si="25"/>
        <v>46269</v>
      </c>
      <c r="C117" s="1150">
        <f t="shared" si="26"/>
        <v>15</v>
      </c>
      <c r="D117" s="1150">
        <f t="shared" si="27"/>
        <v>106</v>
      </c>
      <c r="E117" s="1006" t="str">
        <f t="shared" si="28"/>
        <v>A</v>
      </c>
      <c r="F117" s="1007" t="str">
        <f t="shared" si="29"/>
        <v>B</v>
      </c>
      <c r="G117" s="1008">
        <f t="shared" si="30"/>
        <v>85319</v>
      </c>
      <c r="H117" s="1138">
        <f t="shared" si="31"/>
        <v>1.0131944444444445</v>
      </c>
      <c r="I117" s="1009">
        <v>1.1111111111111112E-2</v>
      </c>
      <c r="J117" s="1010">
        <f t="shared" si="32"/>
        <v>45</v>
      </c>
      <c r="K117" s="1011"/>
      <c r="L117" s="1012">
        <v>2</v>
      </c>
      <c r="M117" s="1013"/>
      <c r="N117" s="1014" t="str">
        <f t="shared" si="33"/>
        <v/>
      </c>
      <c r="O117" s="1323" t="s">
        <v>629</v>
      </c>
      <c r="P117" s="1324"/>
      <c r="Q117" s="1324"/>
      <c r="R117" s="1324"/>
      <c r="S117" s="1324"/>
      <c r="T117" s="1325"/>
      <c r="U117" s="1015">
        <v>1.8</v>
      </c>
      <c r="V117" s="1015">
        <v>2.1</v>
      </c>
      <c r="W117" s="1015">
        <v>1.6</v>
      </c>
      <c r="X117" s="1015"/>
      <c r="Y117" s="1015"/>
      <c r="Z117" s="1016">
        <f>'09월 에너지'!S119</f>
        <v>150.19999999999999</v>
      </c>
      <c r="AA117" s="1017">
        <v>2556</v>
      </c>
      <c r="AB117" s="1208" t="s">
        <v>620</v>
      </c>
      <c r="AC117" s="1208" t="s">
        <v>548</v>
      </c>
      <c r="AD117" s="1208"/>
      <c r="AE117" s="1208"/>
      <c r="AF117" s="1208" t="s">
        <v>548</v>
      </c>
      <c r="AG117" s="1018">
        <f>'09월 화학성분'!AM117</f>
        <v>1913</v>
      </c>
      <c r="AH117" s="1006">
        <f t="shared" si="22"/>
        <v>8</v>
      </c>
      <c r="AI117" s="1019">
        <v>1534</v>
      </c>
      <c r="AJ117" s="1020">
        <v>0</v>
      </c>
      <c r="AK117" s="1021">
        <v>388</v>
      </c>
      <c r="AL117" s="1022">
        <v>11</v>
      </c>
      <c r="AM117" s="1155">
        <f>IF(AT117="","",3*'09월 에너지'!S119*(1/(3+7.8*(100-AT117)/AT117)))</f>
        <v>0.11568083795440544</v>
      </c>
      <c r="AN117" s="1023">
        <v>0.19652777777777777</v>
      </c>
      <c r="AO117" s="1024" t="s">
        <v>538</v>
      </c>
      <c r="AP117" s="1025">
        <v>2000017</v>
      </c>
      <c r="AQ117" s="1025">
        <v>2134</v>
      </c>
      <c r="AR117" s="1149" t="str">
        <f t="shared" si="23"/>
        <v/>
      </c>
      <c r="AS117" s="1093">
        <v>1</v>
      </c>
      <c r="AT117" s="1156">
        <v>0.2</v>
      </c>
      <c r="AU117" s="449"/>
      <c r="AV117" s="1205"/>
    </row>
    <row r="118" spans="1:48" ht="16.5" customHeight="1">
      <c r="A118" s="1005">
        <f t="shared" si="24"/>
        <v>46269</v>
      </c>
      <c r="B118" s="1005">
        <f t="shared" si="25"/>
        <v>46269</v>
      </c>
      <c r="C118" s="1150">
        <f t="shared" si="26"/>
        <v>16</v>
      </c>
      <c r="D118" s="1150">
        <f t="shared" si="27"/>
        <v>107</v>
      </c>
      <c r="E118" s="1006" t="str">
        <f t="shared" si="28"/>
        <v>A</v>
      </c>
      <c r="F118" s="1007" t="str">
        <f t="shared" si="29"/>
        <v>A</v>
      </c>
      <c r="G118" s="1008">
        <f t="shared" si="30"/>
        <v>85320</v>
      </c>
      <c r="H118" s="1138">
        <f t="shared" si="31"/>
        <v>4.4444444444444446E-2</v>
      </c>
      <c r="I118" s="1009">
        <v>4.3750000000000004E-2</v>
      </c>
      <c r="J118" s="1010">
        <f t="shared" si="32"/>
        <v>47</v>
      </c>
      <c r="K118" s="1011"/>
      <c r="L118" s="1012">
        <v>4</v>
      </c>
      <c r="M118" s="1013"/>
      <c r="N118" s="1014" t="str">
        <f t="shared" si="33"/>
        <v/>
      </c>
      <c r="O118" s="1323" t="s">
        <v>631</v>
      </c>
      <c r="P118" s="1324"/>
      <c r="Q118" s="1324"/>
      <c r="R118" s="1324"/>
      <c r="S118" s="1324"/>
      <c r="T118" s="1325"/>
      <c r="U118" s="1015">
        <v>1.8</v>
      </c>
      <c r="V118" s="1015">
        <v>2.4</v>
      </c>
      <c r="W118" s="1015">
        <v>1.6</v>
      </c>
      <c r="X118" s="1015"/>
      <c r="Y118" s="1015"/>
      <c r="Z118" s="1016">
        <f>'09월 에너지'!S120</f>
        <v>145.69999999999999</v>
      </c>
      <c r="AA118" s="1017"/>
      <c r="AB118" s="1208"/>
      <c r="AC118" s="1208"/>
      <c r="AD118" s="1208"/>
      <c r="AE118" s="1208"/>
      <c r="AF118" s="1208"/>
      <c r="AG118" s="1018">
        <f>'09월 화학성분'!AM118</f>
        <v>1404</v>
      </c>
      <c r="AH118" s="1006">
        <f t="shared" si="22"/>
        <v>9</v>
      </c>
      <c r="AI118" s="1019">
        <v>1578</v>
      </c>
      <c r="AJ118" s="1020">
        <v>0</v>
      </c>
      <c r="AK118" s="1021">
        <v>668</v>
      </c>
      <c r="AL118" s="1022">
        <v>6</v>
      </c>
      <c r="AM118" s="1155">
        <f>IF(AT118="","",3*'09월 에너지'!S120*(1/(3+7.8*(100-AT118)/AT118)))</f>
        <v>0.33747683755404567</v>
      </c>
      <c r="AN118" s="1023">
        <v>0.19513888888888889</v>
      </c>
      <c r="AO118" s="1024"/>
      <c r="AP118" s="1025"/>
      <c r="AQ118" s="1025"/>
      <c r="AR118" s="1149">
        <f t="shared" si="23"/>
        <v>11</v>
      </c>
      <c r="AS118" s="1093" t="str">
        <f t="shared" si="34"/>
        <v xml:space="preserve"> </v>
      </c>
      <c r="AT118" s="1156">
        <v>0.6</v>
      </c>
      <c r="AU118" s="449"/>
      <c r="AV118" s="1205"/>
    </row>
    <row r="119" spans="1:48" ht="16.5" customHeight="1">
      <c r="A119" s="1005">
        <f t="shared" si="24"/>
        <v>46269</v>
      </c>
      <c r="B119" s="1005">
        <f t="shared" si="25"/>
        <v>46269</v>
      </c>
      <c r="C119" s="1150">
        <f t="shared" si="26"/>
        <v>17</v>
      </c>
      <c r="D119" s="1150">
        <f t="shared" si="27"/>
        <v>108</v>
      </c>
      <c r="E119" s="1006" t="str">
        <f t="shared" si="28"/>
        <v>A</v>
      </c>
      <c r="F119" s="1007" t="str">
        <f t="shared" si="29"/>
        <v>B</v>
      </c>
      <c r="G119" s="1008">
        <f t="shared" si="30"/>
        <v>85321</v>
      </c>
      <c r="H119" s="1138">
        <f t="shared" si="31"/>
        <v>7.7083333333333337E-2</v>
      </c>
      <c r="I119" s="1009">
        <v>7.4305555555555555E-2</v>
      </c>
      <c r="J119" s="1010">
        <f t="shared" si="32"/>
        <v>43.999999999999993</v>
      </c>
      <c r="K119" s="1011"/>
      <c r="L119" s="1012"/>
      <c r="M119" s="1013"/>
      <c r="N119" s="1014" t="str">
        <f t="shared" si="33"/>
        <v/>
      </c>
      <c r="O119" s="1323"/>
      <c r="P119" s="1324"/>
      <c r="Q119" s="1324"/>
      <c r="R119" s="1324"/>
      <c r="S119" s="1324"/>
      <c r="T119" s="1325"/>
      <c r="U119" s="1015">
        <v>1.8</v>
      </c>
      <c r="V119" s="1015"/>
      <c r="W119" s="1015"/>
      <c r="X119" s="1015"/>
      <c r="Y119" s="1015">
        <v>2.6</v>
      </c>
      <c r="Z119" s="1016">
        <f>'09월 에너지'!S121</f>
        <v>150</v>
      </c>
      <c r="AA119" s="1017"/>
      <c r="AB119" s="1208"/>
      <c r="AC119" s="1208"/>
      <c r="AD119" s="1208"/>
      <c r="AE119" s="1208"/>
      <c r="AF119" s="1208"/>
      <c r="AG119" s="1018">
        <f>'09월 화학성분'!AM119</f>
        <v>2494</v>
      </c>
      <c r="AH119" s="1006">
        <f t="shared" si="22"/>
        <v>10</v>
      </c>
      <c r="AI119" s="1019">
        <v>1567</v>
      </c>
      <c r="AJ119" s="1020">
        <v>0</v>
      </c>
      <c r="AK119" s="1021">
        <v>382</v>
      </c>
      <c r="AL119" s="1022">
        <v>12</v>
      </c>
      <c r="AM119" s="1155">
        <f>IF(AT119="","",3*'09월 에너지'!S121*(1/(3+7.8*(100-AT119)/AT119)))</f>
        <v>0.28935185185185186</v>
      </c>
      <c r="AN119" s="1023">
        <v>0.28055555555555556</v>
      </c>
      <c r="AO119" s="1024"/>
      <c r="AP119" s="1025"/>
      <c r="AQ119" s="1025"/>
      <c r="AR119" s="1149" t="str">
        <f t="shared" si="23"/>
        <v/>
      </c>
      <c r="AS119" s="1093">
        <f t="shared" si="34"/>
        <v>2</v>
      </c>
      <c r="AT119" s="1156">
        <v>0.5</v>
      </c>
      <c r="AU119" s="449"/>
      <c r="AV119" s="1205"/>
    </row>
    <row r="120" spans="1:48" ht="16.5" customHeight="1">
      <c r="A120" s="1005">
        <f t="shared" si="24"/>
        <v>46269</v>
      </c>
      <c r="B120" s="1005">
        <f t="shared" si="25"/>
        <v>46269</v>
      </c>
      <c r="C120" s="1150">
        <f t="shared" si="26"/>
        <v>18</v>
      </c>
      <c r="D120" s="1150">
        <f t="shared" si="27"/>
        <v>109</v>
      </c>
      <c r="E120" s="1006" t="str">
        <f t="shared" si="28"/>
        <v>A</v>
      </c>
      <c r="F120" s="1007" t="str">
        <f t="shared" si="29"/>
        <v>A</v>
      </c>
      <c r="G120" s="1008">
        <f t="shared" si="30"/>
        <v>85322</v>
      </c>
      <c r="H120" s="1138">
        <f t="shared" si="31"/>
        <v>0.1076388888888889</v>
      </c>
      <c r="I120" s="1009">
        <v>0.10486111111111111</v>
      </c>
      <c r="J120" s="1010">
        <f t="shared" si="32"/>
        <v>44</v>
      </c>
      <c r="K120" s="1011"/>
      <c r="L120" s="1012"/>
      <c r="M120" s="1013"/>
      <c r="N120" s="1014" t="str">
        <f t="shared" si="33"/>
        <v/>
      </c>
      <c r="O120" s="1323" t="s">
        <v>530</v>
      </c>
      <c r="P120" s="1324"/>
      <c r="Q120" s="1324"/>
      <c r="R120" s="1324"/>
      <c r="S120" s="1324"/>
      <c r="T120" s="1325"/>
      <c r="U120" s="1015">
        <v>1.8</v>
      </c>
      <c r="V120" s="1015"/>
      <c r="W120" s="1015"/>
      <c r="X120" s="1015"/>
      <c r="Y120" s="1015"/>
      <c r="Z120" s="1016">
        <f>'09월 에너지'!S122</f>
        <v>148.19999999999999</v>
      </c>
      <c r="AA120" s="1017">
        <v>1764</v>
      </c>
      <c r="AB120" s="1208" t="s">
        <v>620</v>
      </c>
      <c r="AC120" s="1208" t="s">
        <v>548</v>
      </c>
      <c r="AD120" s="1208"/>
      <c r="AE120" s="1208"/>
      <c r="AF120" s="1208" t="s">
        <v>548</v>
      </c>
      <c r="AG120" s="1018">
        <f>'09월 화학성분'!AM120</f>
        <v>1662</v>
      </c>
      <c r="AH120" s="1006">
        <f t="shared" si="22"/>
        <v>11</v>
      </c>
      <c r="AI120" s="1019">
        <v>1573</v>
      </c>
      <c r="AJ120" s="1020">
        <v>0</v>
      </c>
      <c r="AK120" s="1021">
        <v>516</v>
      </c>
      <c r="AL120" s="1022">
        <v>8</v>
      </c>
      <c r="AM120" s="1155">
        <f>IF(AT120="","",3*'09월 에너지'!S122*(1/(3+7.8*(100-AT120)/AT120)))</f>
        <v>0.40072620519159452</v>
      </c>
      <c r="AN120" s="1023">
        <v>0.19305555555555554</v>
      </c>
      <c r="AO120" s="1024"/>
      <c r="AP120" s="1025"/>
      <c r="AQ120" s="1025"/>
      <c r="AR120" s="1149">
        <f t="shared" si="23"/>
        <v>12</v>
      </c>
      <c r="AS120" s="1093" t="str">
        <f t="shared" si="34"/>
        <v xml:space="preserve"> </v>
      </c>
      <c r="AT120" s="1156">
        <v>0.7</v>
      </c>
      <c r="AU120" s="449"/>
      <c r="AV120" s="1205"/>
    </row>
    <row r="121" spans="1:48" ht="16.5" customHeight="1">
      <c r="A121" s="1005">
        <f t="shared" si="24"/>
        <v>46269</v>
      </c>
      <c r="B121" s="1005">
        <f t="shared" si="25"/>
        <v>46269</v>
      </c>
      <c r="C121" s="1150">
        <f t="shared" si="26"/>
        <v>19</v>
      </c>
      <c r="D121" s="1150">
        <f t="shared" si="27"/>
        <v>110</v>
      </c>
      <c r="E121" s="1006" t="str">
        <f t="shared" si="28"/>
        <v>A</v>
      </c>
      <c r="F121" s="1007" t="str">
        <f t="shared" si="29"/>
        <v>B</v>
      </c>
      <c r="G121" s="1008">
        <f t="shared" si="30"/>
        <v>85323</v>
      </c>
      <c r="H121" s="1138">
        <f t="shared" si="31"/>
        <v>0.13819444444444445</v>
      </c>
      <c r="I121" s="1009">
        <v>0.13680555555555554</v>
      </c>
      <c r="J121" s="1010">
        <f t="shared" si="32"/>
        <v>45.999999999999979</v>
      </c>
      <c r="K121" s="1011"/>
      <c r="L121" s="1012"/>
      <c r="M121" s="1013"/>
      <c r="N121" s="1014" t="str">
        <f t="shared" si="33"/>
        <v/>
      </c>
      <c r="O121" s="1323"/>
      <c r="P121" s="1324"/>
      <c r="Q121" s="1324"/>
      <c r="R121" s="1324"/>
      <c r="S121" s="1324"/>
      <c r="T121" s="1325"/>
      <c r="U121" s="1015">
        <v>1.8</v>
      </c>
      <c r="V121" s="1015">
        <v>2.2999999999999998</v>
      </c>
      <c r="W121" s="1015">
        <v>1.2</v>
      </c>
      <c r="X121" s="1015"/>
      <c r="Y121" s="1015"/>
      <c r="Z121" s="1016">
        <f>'09월 에너지'!S123</f>
        <v>150.80000000000001</v>
      </c>
      <c r="AA121" s="1017"/>
      <c r="AB121" s="1208"/>
      <c r="AC121" s="1208"/>
      <c r="AD121" s="1208"/>
      <c r="AE121" s="1208"/>
      <c r="AF121" s="1208"/>
      <c r="AG121" s="1018">
        <f>'09월 화학성분'!AM121</f>
        <v>2286</v>
      </c>
      <c r="AH121" s="1006">
        <f t="shared" si="22"/>
        <v>12</v>
      </c>
      <c r="AI121" s="1019">
        <v>1532</v>
      </c>
      <c r="AJ121" s="1020">
        <v>0</v>
      </c>
      <c r="AK121" s="1021">
        <v>540</v>
      </c>
      <c r="AL121" s="1022">
        <v>7</v>
      </c>
      <c r="AM121" s="1155">
        <f>IF(AT121="","",3*'09월 에너지'!S123*(1/(3+7.8*(100-AT121)/AT121)))</f>
        <v>0.7011779293242405</v>
      </c>
      <c r="AN121" s="1023">
        <v>0.18611111111111112</v>
      </c>
      <c r="AO121" s="1024"/>
      <c r="AP121" s="1025"/>
      <c r="AQ121" s="1025"/>
      <c r="AR121" s="1149" t="str">
        <f t="shared" si="23"/>
        <v/>
      </c>
      <c r="AS121" s="1093">
        <f t="shared" si="34"/>
        <v>3</v>
      </c>
      <c r="AT121" s="1156">
        <v>1.2</v>
      </c>
      <c r="AU121" s="449"/>
      <c r="AV121" s="1205"/>
    </row>
    <row r="122" spans="1:48" ht="16.5" customHeight="1">
      <c r="A122" s="1005">
        <v>46270</v>
      </c>
      <c r="B122" s="1005">
        <f t="shared" si="25"/>
        <v>46269</v>
      </c>
      <c r="C122" s="1150">
        <f t="shared" si="26"/>
        <v>1</v>
      </c>
      <c r="D122" s="1150">
        <f t="shared" si="27"/>
        <v>111</v>
      </c>
      <c r="E122" s="1006" t="str">
        <f t="shared" si="28"/>
        <v>A</v>
      </c>
      <c r="F122" s="1007" t="str">
        <f t="shared" si="29"/>
        <v>A</v>
      </c>
      <c r="G122" s="1008">
        <f t="shared" si="30"/>
        <v>85324</v>
      </c>
      <c r="H122" s="1138">
        <f t="shared" si="31"/>
        <v>0.17013888888888887</v>
      </c>
      <c r="I122" s="1009">
        <v>0.16597222222222222</v>
      </c>
      <c r="J122" s="1010">
        <f t="shared" si="32"/>
        <v>42.000000000000014</v>
      </c>
      <c r="K122" s="1011"/>
      <c r="L122" s="1012"/>
      <c r="M122" s="1013"/>
      <c r="N122" s="1014" t="str">
        <f t="shared" si="33"/>
        <v/>
      </c>
      <c r="O122" s="1323"/>
      <c r="P122" s="1324"/>
      <c r="Q122" s="1324"/>
      <c r="R122" s="1324"/>
      <c r="S122" s="1324"/>
      <c r="T122" s="1325"/>
      <c r="U122" s="1015">
        <v>1.8</v>
      </c>
      <c r="V122" s="1015">
        <v>2.7</v>
      </c>
      <c r="W122" s="1015">
        <v>1.2</v>
      </c>
      <c r="X122" s="1015"/>
      <c r="Y122" s="1015"/>
      <c r="Z122" s="1016">
        <f>'09월 에너지'!S124</f>
        <v>145.6</v>
      </c>
      <c r="AA122" s="1017"/>
      <c r="AB122" s="1208"/>
      <c r="AC122" s="1208"/>
      <c r="AD122" s="1208"/>
      <c r="AE122" s="1208"/>
      <c r="AF122" s="1208"/>
      <c r="AG122" s="1018">
        <f>'09월 화학성분'!AM122</f>
        <v>1560</v>
      </c>
      <c r="AH122" s="1006">
        <f t="shared" si="22"/>
        <v>13</v>
      </c>
      <c r="AI122" s="1019">
        <v>1564</v>
      </c>
      <c r="AJ122" s="1020">
        <v>0</v>
      </c>
      <c r="AK122" s="1021">
        <v>745</v>
      </c>
      <c r="AL122" s="1022">
        <v>5</v>
      </c>
      <c r="AM122" s="1155">
        <f>IF(AT122="","",3*'09월 에너지'!S124*(1/(3+7.8*(100-AT122)/AT122)))</f>
        <v>0.22455274521900065</v>
      </c>
      <c r="AN122" s="1023">
        <v>0.19236111111111112</v>
      </c>
      <c r="AO122" s="1024"/>
      <c r="AP122" s="1025"/>
      <c r="AQ122" s="1025"/>
      <c r="AR122" s="1149">
        <f t="shared" si="23"/>
        <v>13</v>
      </c>
      <c r="AS122" s="1093" t="str">
        <f t="shared" si="34"/>
        <v xml:space="preserve"> </v>
      </c>
      <c r="AT122" s="1156">
        <v>0.4</v>
      </c>
      <c r="AU122" s="449"/>
      <c r="AV122" s="1205"/>
    </row>
    <row r="123" spans="1:48" ht="16.5" customHeight="1">
      <c r="A123" s="1005">
        <f t="shared" si="24"/>
        <v>46270</v>
      </c>
      <c r="B123" s="1005">
        <f t="shared" si="25"/>
        <v>46269</v>
      </c>
      <c r="C123" s="1150">
        <f t="shared" si="26"/>
        <v>2</v>
      </c>
      <c r="D123" s="1150">
        <f t="shared" si="27"/>
        <v>112</v>
      </c>
      <c r="E123" s="1006" t="str">
        <f t="shared" si="28"/>
        <v>A</v>
      </c>
      <c r="F123" s="1007" t="str">
        <f t="shared" si="29"/>
        <v>B</v>
      </c>
      <c r="G123" s="1008">
        <f t="shared" si="30"/>
        <v>85325</v>
      </c>
      <c r="H123" s="1138">
        <f t="shared" si="31"/>
        <v>0.19930555555555554</v>
      </c>
      <c r="I123" s="1009">
        <v>0.19722222222222222</v>
      </c>
      <c r="J123" s="1010">
        <f t="shared" si="32"/>
        <v>45</v>
      </c>
      <c r="K123" s="1011"/>
      <c r="L123" s="1012"/>
      <c r="M123" s="1013"/>
      <c r="N123" s="1014" t="str">
        <f t="shared" si="33"/>
        <v/>
      </c>
      <c r="O123" s="1338" t="s">
        <v>633</v>
      </c>
      <c r="P123" s="1339"/>
      <c r="Q123" s="1339"/>
      <c r="R123" s="1339"/>
      <c r="S123" s="1339"/>
      <c r="T123" s="1340"/>
      <c r="U123" s="1015">
        <v>1.8</v>
      </c>
      <c r="V123" s="1015"/>
      <c r="W123" s="1015"/>
      <c r="X123" s="1015"/>
      <c r="Y123" s="1015">
        <v>2.5</v>
      </c>
      <c r="Z123" s="1016">
        <f>'09월 에너지'!S125</f>
        <v>148.6</v>
      </c>
      <c r="AA123" s="1017"/>
      <c r="AB123" s="1208"/>
      <c r="AC123" s="1208"/>
      <c r="AD123" s="1208"/>
      <c r="AE123" s="1208"/>
      <c r="AF123" s="1208"/>
      <c r="AG123" s="1018">
        <f>'09월 화학성분'!AM123</f>
        <v>2455</v>
      </c>
      <c r="AH123" s="1006">
        <f t="shared" si="22"/>
        <v>14</v>
      </c>
      <c r="AI123" s="1019">
        <v>1536</v>
      </c>
      <c r="AJ123" s="1020">
        <v>74</v>
      </c>
      <c r="AK123" s="1021">
        <v>692</v>
      </c>
      <c r="AL123" s="1022">
        <v>5</v>
      </c>
      <c r="AM123" s="1155">
        <f>IF(AT123="","",3*'09월 에너지'!S125*(1/(3+7.8*(100-AT123)/AT123)))</f>
        <v>1.2159445137157106</v>
      </c>
      <c r="AN123" s="1023">
        <v>0.19652777777777777</v>
      </c>
      <c r="AO123" s="1024"/>
      <c r="AP123" s="1025"/>
      <c r="AQ123" s="1025"/>
      <c r="AR123" s="1149" t="str">
        <f t="shared" si="23"/>
        <v/>
      </c>
      <c r="AS123" s="1093">
        <f t="shared" si="34"/>
        <v>4</v>
      </c>
      <c r="AT123" s="1156">
        <v>2.1</v>
      </c>
      <c r="AU123" s="449"/>
      <c r="AV123" s="1205"/>
    </row>
    <row r="124" spans="1:48" ht="16.5" customHeight="1">
      <c r="A124" s="1005">
        <f t="shared" si="24"/>
        <v>46270</v>
      </c>
      <c r="B124" s="1005">
        <f t="shared" si="25"/>
        <v>46269</v>
      </c>
      <c r="C124" s="1150">
        <f t="shared" si="26"/>
        <v>3</v>
      </c>
      <c r="D124" s="1150">
        <f t="shared" si="27"/>
        <v>113</v>
      </c>
      <c r="E124" s="1006" t="str">
        <f t="shared" si="28"/>
        <v>A</v>
      </c>
      <c r="F124" s="1007" t="str">
        <f t="shared" si="29"/>
        <v>A</v>
      </c>
      <c r="G124" s="1008">
        <f t="shared" si="30"/>
        <v>85326</v>
      </c>
      <c r="H124" s="1138">
        <f t="shared" si="31"/>
        <v>0.23055555555555554</v>
      </c>
      <c r="I124" s="1009">
        <v>0.23124999999999998</v>
      </c>
      <c r="J124" s="1010">
        <f t="shared" si="32"/>
        <v>48.999999999999986</v>
      </c>
      <c r="K124" s="1011"/>
      <c r="L124" s="1012">
        <v>3</v>
      </c>
      <c r="M124" s="1013"/>
      <c r="N124" s="1014" t="str">
        <f t="shared" si="33"/>
        <v/>
      </c>
      <c r="O124" s="1323" t="s">
        <v>635</v>
      </c>
      <c r="P124" s="1324"/>
      <c r="Q124" s="1324"/>
      <c r="R124" s="1324"/>
      <c r="S124" s="1324"/>
      <c r="T124" s="1325"/>
      <c r="U124" s="1015">
        <v>1.8</v>
      </c>
      <c r="V124" s="1015"/>
      <c r="W124" s="1015"/>
      <c r="X124" s="1015"/>
      <c r="Y124" s="1015"/>
      <c r="Z124" s="1016">
        <f>'09월 에너지'!S126</f>
        <v>149</v>
      </c>
      <c r="AA124" s="1017">
        <v>1827</v>
      </c>
      <c r="AB124" s="1208" t="s">
        <v>620</v>
      </c>
      <c r="AC124" s="1208" t="s">
        <v>548</v>
      </c>
      <c r="AD124" s="1208"/>
      <c r="AE124" s="1208"/>
      <c r="AF124" s="1208" t="s">
        <v>548</v>
      </c>
      <c r="AG124" s="1018">
        <f>'09월 화학성분'!AM124</f>
        <v>1434</v>
      </c>
      <c r="AH124" s="1006">
        <f t="shared" si="22"/>
        <v>15</v>
      </c>
      <c r="AI124" s="1019">
        <v>1555</v>
      </c>
      <c r="AJ124" s="1020">
        <v>26</v>
      </c>
      <c r="AK124" s="1021">
        <v>551</v>
      </c>
      <c r="AL124" s="1022">
        <v>7</v>
      </c>
      <c r="AM124" s="1155">
        <f>IF(AT124="","",3*'09월 에너지'!S126*(1/(3+7.8*(100-AT124)/AT124)))</f>
        <v>0.92604101926662519</v>
      </c>
      <c r="AN124" s="1023">
        <v>0.17777777777777778</v>
      </c>
      <c r="AO124" s="1024" t="s">
        <v>538</v>
      </c>
      <c r="AP124" s="1025">
        <v>2000013</v>
      </c>
      <c r="AQ124" s="1025">
        <v>2150</v>
      </c>
      <c r="AR124" s="1149">
        <v>1</v>
      </c>
      <c r="AS124" s="1093" t="str">
        <f t="shared" si="34"/>
        <v xml:space="preserve"> </v>
      </c>
      <c r="AT124" s="1156">
        <v>1.6</v>
      </c>
      <c r="AU124" s="449"/>
      <c r="AV124" s="1205"/>
    </row>
    <row r="125" spans="1:48" ht="16.5" customHeight="1">
      <c r="A125" s="1005">
        <f t="shared" si="24"/>
        <v>46270</v>
      </c>
      <c r="B125" s="1005">
        <f t="shared" si="25"/>
        <v>46269</v>
      </c>
      <c r="C125" s="1150">
        <f t="shared" si="26"/>
        <v>4</v>
      </c>
      <c r="D125" s="1150">
        <f t="shared" si="27"/>
        <v>114</v>
      </c>
      <c r="E125" s="1006" t="str">
        <f t="shared" si="28"/>
        <v>A</v>
      </c>
      <c r="F125" s="1007" t="str">
        <f t="shared" si="29"/>
        <v>B</v>
      </c>
      <c r="G125" s="1008">
        <f t="shared" si="30"/>
        <v>85327</v>
      </c>
      <c r="H125" s="1138">
        <f t="shared" si="31"/>
        <v>0.26458333333333334</v>
      </c>
      <c r="I125" s="1009">
        <v>0.26250000000000001</v>
      </c>
      <c r="J125" s="1010">
        <f t="shared" si="32"/>
        <v>45.000000000000043</v>
      </c>
      <c r="K125" s="1011"/>
      <c r="L125" s="1012"/>
      <c r="M125" s="1013"/>
      <c r="N125" s="1014" t="str">
        <f t="shared" si="33"/>
        <v/>
      </c>
      <c r="O125" s="1323"/>
      <c r="P125" s="1324"/>
      <c r="Q125" s="1324"/>
      <c r="R125" s="1324"/>
      <c r="S125" s="1324"/>
      <c r="T125" s="1325"/>
      <c r="U125" s="1015">
        <v>1.8</v>
      </c>
      <c r="V125" s="1015"/>
      <c r="W125" s="1015"/>
      <c r="X125" s="1015">
        <v>3</v>
      </c>
      <c r="Y125" s="1015"/>
      <c r="Z125" s="1016">
        <f>'09월 에너지'!S127</f>
        <v>145.69999999999999</v>
      </c>
      <c r="AA125" s="1017"/>
      <c r="AB125" s="1208"/>
      <c r="AC125" s="1208"/>
      <c r="AD125" s="1208"/>
      <c r="AE125" s="1208"/>
      <c r="AF125" s="1208"/>
      <c r="AG125" s="1018">
        <f>'09월 화학성분'!AM125</f>
        <v>2622</v>
      </c>
      <c r="AH125" s="1006">
        <f t="shared" si="22"/>
        <v>16</v>
      </c>
      <c r="AI125" s="1019">
        <v>1569</v>
      </c>
      <c r="AJ125" s="1020">
        <v>12</v>
      </c>
      <c r="AK125" s="1021">
        <v>589</v>
      </c>
      <c r="AL125" s="1022">
        <v>7</v>
      </c>
      <c r="AM125" s="1155">
        <f>IF(AT125="","",3*'09월 에너지'!S127*(1/(3+7.8*(100-AT125)/AT125)))</f>
        <v>1.5386029411764708</v>
      </c>
      <c r="AN125" s="1023">
        <v>0.18055555555555555</v>
      </c>
      <c r="AO125" s="1024"/>
      <c r="AP125" s="1025"/>
      <c r="AQ125" s="1025"/>
      <c r="AR125" s="1149" t="str">
        <f t="shared" si="23"/>
        <v/>
      </c>
      <c r="AS125" s="1093">
        <f t="shared" si="34"/>
        <v>5</v>
      </c>
      <c r="AT125" s="1156">
        <v>2.7</v>
      </c>
      <c r="AU125" s="449"/>
      <c r="AV125" s="1205"/>
    </row>
    <row r="126" spans="1:48" ht="16.5" customHeight="1">
      <c r="A126" s="1005">
        <f t="shared" si="24"/>
        <v>46270</v>
      </c>
      <c r="B126" s="1005">
        <v>46270</v>
      </c>
      <c r="C126" s="1150">
        <f t="shared" si="26"/>
        <v>5</v>
      </c>
      <c r="D126" s="1150">
        <f t="shared" si="27"/>
        <v>115</v>
      </c>
      <c r="E126" s="1006" t="s">
        <v>600</v>
      </c>
      <c r="F126" s="1007" t="str">
        <f t="shared" si="29"/>
        <v>A</v>
      </c>
      <c r="G126" s="1008">
        <f t="shared" si="30"/>
        <v>85328</v>
      </c>
      <c r="H126" s="1138">
        <f t="shared" si="31"/>
        <v>0.29583333333333334</v>
      </c>
      <c r="I126" s="1009">
        <v>0.29375000000000001</v>
      </c>
      <c r="J126" s="1010">
        <f t="shared" si="32"/>
        <v>45</v>
      </c>
      <c r="K126" s="1011"/>
      <c r="L126" s="1012"/>
      <c r="M126" s="1013"/>
      <c r="N126" s="1014" t="str">
        <f t="shared" si="33"/>
        <v/>
      </c>
      <c r="O126" s="1323"/>
      <c r="P126" s="1324"/>
      <c r="Q126" s="1324"/>
      <c r="R126" s="1324"/>
      <c r="S126" s="1324"/>
      <c r="T126" s="1325"/>
      <c r="U126" s="1015">
        <v>1.8</v>
      </c>
      <c r="V126" s="1015">
        <v>2.8</v>
      </c>
      <c r="W126" s="1015"/>
      <c r="X126" s="1015"/>
      <c r="Y126" s="1015"/>
      <c r="Z126" s="1016">
        <f>'09월 에너지'!S128</f>
        <v>145.1</v>
      </c>
      <c r="AA126" s="1017"/>
      <c r="AB126" s="1208"/>
      <c r="AC126" s="1208"/>
      <c r="AD126" s="1208"/>
      <c r="AE126" s="1208"/>
      <c r="AF126" s="1208"/>
      <c r="AG126" s="1018">
        <f>'09월 화학성분'!AM126</f>
        <v>2127</v>
      </c>
      <c r="AH126" s="1006">
        <f t="shared" si="22"/>
        <v>17</v>
      </c>
      <c r="AI126" s="1019">
        <v>1572</v>
      </c>
      <c r="AJ126" s="1020">
        <v>24</v>
      </c>
      <c r="AK126" s="1021">
        <v>588</v>
      </c>
      <c r="AL126" s="1022">
        <v>7</v>
      </c>
      <c r="AM126" s="1155">
        <f>IF(AT126="","",3*'09월 에너지'!S128*(1/(3+7.8*(100-AT126)/AT126)))</f>
        <v>0.44867037724180575</v>
      </c>
      <c r="AN126" s="1023">
        <v>0.17361111111111113</v>
      </c>
      <c r="AO126" s="1024"/>
      <c r="AP126" s="1025"/>
      <c r="AQ126" s="1025"/>
      <c r="AR126" s="1149">
        <f t="shared" si="23"/>
        <v>2</v>
      </c>
      <c r="AS126" s="1093" t="str">
        <f t="shared" si="34"/>
        <v xml:space="preserve"> </v>
      </c>
      <c r="AT126" s="1156">
        <v>0.8</v>
      </c>
      <c r="AU126" s="449"/>
      <c r="AV126" s="1205"/>
    </row>
    <row r="127" spans="1:48" ht="16.5" customHeight="1">
      <c r="A127" s="1005">
        <f t="shared" si="24"/>
        <v>46270</v>
      </c>
      <c r="B127" s="1005">
        <f t="shared" si="25"/>
        <v>46270</v>
      </c>
      <c r="C127" s="1150">
        <f t="shared" si="26"/>
        <v>6</v>
      </c>
      <c r="D127" s="1150">
        <f t="shared" si="27"/>
        <v>116</v>
      </c>
      <c r="E127" s="1006" t="str">
        <f t="shared" si="28"/>
        <v>B</v>
      </c>
      <c r="F127" s="1007" t="str">
        <f t="shared" si="29"/>
        <v>B</v>
      </c>
      <c r="G127" s="1008">
        <f t="shared" si="30"/>
        <v>85329</v>
      </c>
      <c r="H127" s="1138">
        <f t="shared" si="31"/>
        <v>0.32708333333333334</v>
      </c>
      <c r="I127" s="1009">
        <v>0.3263888888888889</v>
      </c>
      <c r="J127" s="1010">
        <f t="shared" si="32"/>
        <v>46.999999999999993</v>
      </c>
      <c r="K127" s="1011"/>
      <c r="L127" s="1012"/>
      <c r="M127" s="1013"/>
      <c r="N127" s="1014" t="str">
        <f t="shared" si="33"/>
        <v/>
      </c>
      <c r="O127" s="1323"/>
      <c r="P127" s="1324"/>
      <c r="Q127" s="1324"/>
      <c r="R127" s="1324"/>
      <c r="S127" s="1324"/>
      <c r="T127" s="1325"/>
      <c r="U127" s="1015">
        <v>1.8</v>
      </c>
      <c r="V127" s="1015"/>
      <c r="W127" s="1015"/>
      <c r="X127" s="1015"/>
      <c r="Y127" s="1015">
        <v>2.8</v>
      </c>
      <c r="Z127" s="1016">
        <f>'09월 에너지'!S129</f>
        <v>146.1</v>
      </c>
      <c r="AA127" s="1017"/>
      <c r="AB127" s="1208"/>
      <c r="AC127" s="1208"/>
      <c r="AD127" s="1208"/>
      <c r="AE127" s="1208"/>
      <c r="AF127" s="1208"/>
      <c r="AG127" s="1018">
        <f>'09월 화학성분'!AM127</f>
        <v>1757</v>
      </c>
      <c r="AH127" s="1006">
        <f t="shared" si="22"/>
        <v>18</v>
      </c>
      <c r="AI127" s="1019">
        <v>1532</v>
      </c>
      <c r="AJ127" s="1020">
        <v>187</v>
      </c>
      <c r="AK127" s="1021">
        <v>413</v>
      </c>
      <c r="AL127" s="1022">
        <v>10</v>
      </c>
      <c r="AM127" s="1155">
        <f>IF(AT127="","",3*'09월 에너지'!S129*(1/(3+7.8*(100-AT127)/AT127)))</f>
        <v>1.6591870300751879</v>
      </c>
      <c r="AN127" s="1023">
        <v>0.23263888888888887</v>
      </c>
      <c r="AO127" s="1024"/>
      <c r="AP127" s="1025"/>
      <c r="AQ127" s="1025"/>
      <c r="AR127" s="1149" t="str">
        <f t="shared" si="23"/>
        <v/>
      </c>
      <c r="AS127" s="1093">
        <f t="shared" si="34"/>
        <v>6</v>
      </c>
      <c r="AT127" s="1156">
        <v>2.9</v>
      </c>
      <c r="AU127" s="449"/>
      <c r="AV127" s="1205"/>
    </row>
    <row r="128" spans="1:48" ht="16.5" customHeight="1">
      <c r="A128" s="1005">
        <f t="shared" si="24"/>
        <v>46270</v>
      </c>
      <c r="B128" s="1005">
        <f t="shared" si="25"/>
        <v>46270</v>
      </c>
      <c r="C128" s="1150">
        <f t="shared" si="26"/>
        <v>7</v>
      </c>
      <c r="D128" s="1150">
        <f t="shared" si="27"/>
        <v>117</v>
      </c>
      <c r="E128" s="1006" t="str">
        <f t="shared" si="28"/>
        <v>B</v>
      </c>
      <c r="F128" s="1007" t="str">
        <f t="shared" si="29"/>
        <v>A</v>
      </c>
      <c r="G128" s="1008">
        <f t="shared" si="30"/>
        <v>85330</v>
      </c>
      <c r="H128" s="1138">
        <f t="shared" si="31"/>
        <v>0.35972222222222222</v>
      </c>
      <c r="I128" s="1009">
        <v>0.35902777777777778</v>
      </c>
      <c r="J128" s="1010">
        <f t="shared" si="32"/>
        <v>46.999999999999993</v>
      </c>
      <c r="K128" s="1011"/>
      <c r="L128" s="1012"/>
      <c r="M128" s="1013"/>
      <c r="N128" s="1014" t="str">
        <f t="shared" si="33"/>
        <v/>
      </c>
      <c r="O128" s="1323"/>
      <c r="P128" s="1324"/>
      <c r="Q128" s="1324"/>
      <c r="R128" s="1324"/>
      <c r="S128" s="1324"/>
      <c r="T128" s="1325"/>
      <c r="U128" s="1015">
        <v>1.8</v>
      </c>
      <c r="V128" s="1015"/>
      <c r="W128" s="1015"/>
      <c r="X128" s="1015"/>
      <c r="Y128" s="1015">
        <v>2.4</v>
      </c>
      <c r="Z128" s="1016">
        <f>'09월 에너지'!S130</f>
        <v>145.80000000000001</v>
      </c>
      <c r="AA128" s="1017"/>
      <c r="AB128" s="1208"/>
      <c r="AC128" s="1208"/>
      <c r="AD128" s="1208"/>
      <c r="AE128" s="1208"/>
      <c r="AF128" s="1208"/>
      <c r="AG128" s="1018">
        <f>'09월 화학성분'!AM128</f>
        <v>1264</v>
      </c>
      <c r="AH128" s="1006">
        <f t="shared" si="22"/>
        <v>19</v>
      </c>
      <c r="AI128" s="1019">
        <v>1603</v>
      </c>
      <c r="AJ128" s="1020">
        <v>104</v>
      </c>
      <c r="AK128" s="1021">
        <v>1219</v>
      </c>
      <c r="AL128" s="1022">
        <v>3</v>
      </c>
      <c r="AM128" s="1155">
        <f>IF(AT128="","",3*'09월 에너지'!S130*(1/(3+7.8*(100-AT128)/AT128)))</f>
        <v>0.62105018587360594</v>
      </c>
      <c r="AN128" s="1023">
        <v>0.1673611111111111</v>
      </c>
      <c r="AO128" s="1024"/>
      <c r="AP128" s="1025"/>
      <c r="AQ128" s="1025"/>
      <c r="AR128" s="1149">
        <f t="shared" si="23"/>
        <v>3</v>
      </c>
      <c r="AS128" s="1093" t="str">
        <f t="shared" si="34"/>
        <v xml:space="preserve"> </v>
      </c>
      <c r="AT128" s="1156">
        <v>1.1000000000000001</v>
      </c>
      <c r="AU128" s="449"/>
      <c r="AV128" s="1205"/>
    </row>
    <row r="129" spans="1:48" ht="16.5" customHeight="1">
      <c r="A129" s="1005">
        <f t="shared" si="24"/>
        <v>46270</v>
      </c>
      <c r="B129" s="1005">
        <f t="shared" si="25"/>
        <v>46270</v>
      </c>
      <c r="C129" s="1150">
        <f t="shared" si="26"/>
        <v>8</v>
      </c>
      <c r="D129" s="1150">
        <f t="shared" si="27"/>
        <v>118</v>
      </c>
      <c r="E129" s="1006" t="str">
        <f t="shared" si="28"/>
        <v>B</v>
      </c>
      <c r="F129" s="1007" t="str">
        <f t="shared" si="29"/>
        <v>B</v>
      </c>
      <c r="G129" s="1008">
        <f t="shared" si="30"/>
        <v>85331</v>
      </c>
      <c r="H129" s="1138">
        <f t="shared" si="31"/>
        <v>0.3923611111111111</v>
      </c>
      <c r="I129" s="1009">
        <v>0.38958333333333334</v>
      </c>
      <c r="J129" s="1010">
        <f t="shared" si="32"/>
        <v>44</v>
      </c>
      <c r="K129" s="1011"/>
      <c r="L129" s="1012"/>
      <c r="M129" s="1013"/>
      <c r="N129" s="1014" t="str">
        <f t="shared" si="33"/>
        <v/>
      </c>
      <c r="O129" s="1323"/>
      <c r="P129" s="1324"/>
      <c r="Q129" s="1324"/>
      <c r="R129" s="1324"/>
      <c r="S129" s="1324"/>
      <c r="T129" s="1325"/>
      <c r="U129" s="1015">
        <v>1.8</v>
      </c>
      <c r="V129" s="1015"/>
      <c r="W129" s="1015"/>
      <c r="X129" s="1015"/>
      <c r="Y129" s="1015">
        <v>2.9</v>
      </c>
      <c r="Z129" s="1016">
        <f>'09월 에너지'!S131</f>
        <v>143.1</v>
      </c>
      <c r="AA129" s="1017"/>
      <c r="AB129" s="1208"/>
      <c r="AC129" s="1208"/>
      <c r="AD129" s="1208"/>
      <c r="AE129" s="1208"/>
      <c r="AF129" s="1208"/>
      <c r="AG129" s="1018">
        <f>'09월 화학성분'!AM129</f>
        <v>1807</v>
      </c>
      <c r="AH129" s="1006">
        <f t="shared" si="22"/>
        <v>20</v>
      </c>
      <c r="AI129" s="1019">
        <v>1568</v>
      </c>
      <c r="AJ129" s="1020">
        <v>0</v>
      </c>
      <c r="AK129" s="1021">
        <v>491</v>
      </c>
      <c r="AL129" s="1022">
        <v>9</v>
      </c>
      <c r="AM129" s="1155">
        <f>IF(AT129="","",3*'09월 에너지'!S131*(1/(3+7.8*(100-AT129)/AT129)))</f>
        <v>0.83326863354037262</v>
      </c>
      <c r="AN129" s="1023">
        <v>0.17152777777777775</v>
      </c>
      <c r="AO129" s="1024"/>
      <c r="AP129" s="1025"/>
      <c r="AQ129" s="1025"/>
      <c r="AR129" s="1149" t="str">
        <f t="shared" si="23"/>
        <v/>
      </c>
      <c r="AS129" s="1093">
        <f t="shared" si="34"/>
        <v>7</v>
      </c>
      <c r="AT129" s="1156">
        <v>1.5</v>
      </c>
      <c r="AU129" s="449"/>
      <c r="AV129" s="1205"/>
    </row>
    <row r="130" spans="1:48" ht="16.5" customHeight="1">
      <c r="A130" s="1005">
        <f t="shared" si="24"/>
        <v>46270</v>
      </c>
      <c r="B130" s="1005">
        <f t="shared" si="25"/>
        <v>46270</v>
      </c>
      <c r="C130" s="1150">
        <f t="shared" si="26"/>
        <v>9</v>
      </c>
      <c r="D130" s="1150">
        <f t="shared" si="27"/>
        <v>119</v>
      </c>
      <c r="E130" s="1006" t="str">
        <f t="shared" si="28"/>
        <v>B</v>
      </c>
      <c r="F130" s="1007" t="str">
        <f t="shared" si="29"/>
        <v>A</v>
      </c>
      <c r="G130" s="1008">
        <f t="shared" si="30"/>
        <v>85332</v>
      </c>
      <c r="H130" s="1138">
        <f t="shared" si="31"/>
        <v>0.42291666666666666</v>
      </c>
      <c r="I130" s="1009">
        <v>0.41875000000000001</v>
      </c>
      <c r="J130" s="1010">
        <f t="shared" si="32"/>
        <v>42.000000000000014</v>
      </c>
      <c r="K130" s="1011"/>
      <c r="L130" s="1012"/>
      <c r="M130" s="1013"/>
      <c r="N130" s="1014" t="str">
        <f t="shared" si="33"/>
        <v/>
      </c>
      <c r="O130" s="1323"/>
      <c r="P130" s="1324"/>
      <c r="Q130" s="1324"/>
      <c r="R130" s="1324"/>
      <c r="S130" s="1324"/>
      <c r="T130" s="1325"/>
      <c r="U130" s="1015">
        <v>1.8</v>
      </c>
      <c r="V130" s="1015"/>
      <c r="W130" s="1015"/>
      <c r="X130" s="1015"/>
      <c r="Y130" s="1015">
        <v>2.5</v>
      </c>
      <c r="Z130" s="1016">
        <f>'09월 에너지'!S132</f>
        <v>145.9</v>
      </c>
      <c r="AA130" s="1017"/>
      <c r="AB130" s="1208"/>
      <c r="AC130" s="1208"/>
      <c r="AD130" s="1208"/>
      <c r="AE130" s="1208"/>
      <c r="AF130" s="1208"/>
      <c r="AG130" s="1018">
        <f>'09월 화학성분'!AM130</f>
        <v>1505</v>
      </c>
      <c r="AH130" s="1006">
        <f t="shared" si="22"/>
        <v>21</v>
      </c>
      <c r="AI130" s="1019">
        <v>1585</v>
      </c>
      <c r="AJ130" s="1020">
        <v>52</v>
      </c>
      <c r="AK130" s="1021">
        <v>782</v>
      </c>
      <c r="AL130" s="1022">
        <v>5</v>
      </c>
      <c r="AM130" s="1155">
        <f>IF(AT130="","",3*'09월 에너지'!S132*(1/(3+7.8*(100-AT130)/AT130)))</f>
        <v>0.67839429634221948</v>
      </c>
      <c r="AN130" s="1023">
        <v>0.17708333333333334</v>
      </c>
      <c r="AO130" s="1024"/>
      <c r="AP130" s="1025"/>
      <c r="AQ130" s="1025"/>
      <c r="AR130" s="1149">
        <f t="shared" si="23"/>
        <v>4</v>
      </c>
      <c r="AS130" s="1093" t="str">
        <f t="shared" si="34"/>
        <v xml:space="preserve"> </v>
      </c>
      <c r="AT130" s="1156">
        <v>1.2</v>
      </c>
      <c r="AU130" s="449"/>
      <c r="AV130" s="1205"/>
    </row>
    <row r="131" spans="1:48" ht="16.5" customHeight="1">
      <c r="A131" s="1005">
        <f t="shared" si="24"/>
        <v>46270</v>
      </c>
      <c r="B131" s="1005">
        <f t="shared" si="25"/>
        <v>46270</v>
      </c>
      <c r="C131" s="1150">
        <f t="shared" si="26"/>
        <v>10</v>
      </c>
      <c r="D131" s="1150">
        <f t="shared" si="27"/>
        <v>120</v>
      </c>
      <c r="E131" s="1006" t="str">
        <f t="shared" si="28"/>
        <v>B</v>
      </c>
      <c r="F131" s="1007" t="str">
        <f t="shared" si="29"/>
        <v>B</v>
      </c>
      <c r="G131" s="1008">
        <f t="shared" si="30"/>
        <v>85333</v>
      </c>
      <c r="H131" s="1138">
        <f t="shared" si="31"/>
        <v>0.45208333333333334</v>
      </c>
      <c r="I131" s="1009">
        <v>0.45416666666666666</v>
      </c>
      <c r="J131" s="1010">
        <f t="shared" si="32"/>
        <v>50.999999999999979</v>
      </c>
      <c r="K131" s="1011"/>
      <c r="L131" s="1012"/>
      <c r="M131" s="1013"/>
      <c r="N131" s="1014" t="str">
        <f t="shared" si="33"/>
        <v/>
      </c>
      <c r="O131" s="1323" t="s">
        <v>636</v>
      </c>
      <c r="P131" s="1324"/>
      <c r="Q131" s="1324"/>
      <c r="R131" s="1324"/>
      <c r="S131" s="1324"/>
      <c r="T131" s="1325"/>
      <c r="U131" s="1015">
        <v>1.8</v>
      </c>
      <c r="V131" s="1015">
        <v>2.4</v>
      </c>
      <c r="W131" s="1015">
        <v>1.3</v>
      </c>
      <c r="X131" s="1015"/>
      <c r="Y131" s="1015"/>
      <c r="Z131" s="1016">
        <f>'09월 에너지'!S133</f>
        <v>144.1</v>
      </c>
      <c r="AA131" s="1017">
        <v>2749</v>
      </c>
      <c r="AB131" s="1208" t="s">
        <v>620</v>
      </c>
      <c r="AC131" s="1208" t="s">
        <v>548</v>
      </c>
      <c r="AD131" s="1208" t="s">
        <v>548</v>
      </c>
      <c r="AE131" s="1208"/>
      <c r="AF131" s="1208" t="s">
        <v>548</v>
      </c>
      <c r="AG131" s="1018">
        <f>'09월 화학성분'!AM131</f>
        <v>1468</v>
      </c>
      <c r="AH131" s="1006">
        <f t="shared" si="22"/>
        <v>22</v>
      </c>
      <c r="AI131" s="1019">
        <v>1558</v>
      </c>
      <c r="AJ131" s="1020">
        <v>0</v>
      </c>
      <c r="AK131" s="1021">
        <v>521</v>
      </c>
      <c r="AL131" s="1022">
        <v>8</v>
      </c>
      <c r="AM131" s="1155">
        <f>IF(AT131="","",3*'09월 에너지'!S133*(1/(3+7.8*(100-AT131)/AT131)))</f>
        <v>0.61380885997521684</v>
      </c>
      <c r="AN131" s="1023">
        <v>0.17500000000000002</v>
      </c>
      <c r="AO131" s="1024"/>
      <c r="AP131" s="1025"/>
      <c r="AQ131" s="1025"/>
      <c r="AR131" s="1149" t="str">
        <f t="shared" si="23"/>
        <v/>
      </c>
      <c r="AS131" s="1093">
        <f t="shared" si="34"/>
        <v>8</v>
      </c>
      <c r="AT131" s="1156">
        <v>1.1000000000000001</v>
      </c>
      <c r="AU131" s="449"/>
      <c r="AV131" s="1205"/>
    </row>
    <row r="132" spans="1:48" ht="16.5" customHeight="1">
      <c r="A132" s="1005">
        <f t="shared" si="24"/>
        <v>46270</v>
      </c>
      <c r="B132" s="1005">
        <f t="shared" si="25"/>
        <v>46270</v>
      </c>
      <c r="C132" s="1150">
        <f t="shared" si="26"/>
        <v>11</v>
      </c>
      <c r="D132" s="1150">
        <f t="shared" si="27"/>
        <v>121</v>
      </c>
      <c r="E132" s="1006" t="str">
        <f t="shared" si="28"/>
        <v>B</v>
      </c>
      <c r="F132" s="1007" t="str">
        <f t="shared" si="29"/>
        <v>A</v>
      </c>
      <c r="G132" s="1008">
        <f t="shared" si="30"/>
        <v>85334</v>
      </c>
      <c r="H132" s="1138">
        <f t="shared" si="31"/>
        <v>0.48749999999999999</v>
      </c>
      <c r="I132" s="1009">
        <v>0.4909722222222222</v>
      </c>
      <c r="J132" s="1010">
        <f t="shared" si="32"/>
        <v>52.999999999999972</v>
      </c>
      <c r="K132" s="1011"/>
      <c r="L132" s="1012"/>
      <c r="M132" s="1013"/>
      <c r="N132" s="1014" t="str">
        <f t="shared" si="33"/>
        <v/>
      </c>
      <c r="O132" s="1323" t="s">
        <v>571</v>
      </c>
      <c r="P132" s="1324"/>
      <c r="Q132" s="1324"/>
      <c r="R132" s="1324"/>
      <c r="S132" s="1324"/>
      <c r="T132" s="1325"/>
      <c r="U132" s="1015">
        <v>1.8</v>
      </c>
      <c r="V132" s="1015">
        <v>2.7</v>
      </c>
      <c r="W132" s="1015">
        <v>1.5</v>
      </c>
      <c r="X132" s="1015"/>
      <c r="Y132" s="1015"/>
      <c r="Z132" s="1016">
        <f>'09월 에너지'!S134</f>
        <v>146.80000000000001</v>
      </c>
      <c r="AA132" s="1017">
        <v>2224</v>
      </c>
      <c r="AB132" s="1208" t="s">
        <v>620</v>
      </c>
      <c r="AC132" s="1208" t="s">
        <v>548</v>
      </c>
      <c r="AD132" s="1208"/>
      <c r="AE132" s="1208"/>
      <c r="AF132" s="1208" t="s">
        <v>548</v>
      </c>
      <c r="AG132" s="1018">
        <f>'09월 화학성분'!AM132</f>
        <v>1974</v>
      </c>
      <c r="AH132" s="1006">
        <f t="shared" si="22"/>
        <v>23</v>
      </c>
      <c r="AI132" s="1019">
        <v>1564</v>
      </c>
      <c r="AJ132" s="1020">
        <v>105</v>
      </c>
      <c r="AK132" s="1021">
        <v>839</v>
      </c>
      <c r="AL132" s="1022">
        <v>4</v>
      </c>
      <c r="AM132" s="1155">
        <f>IF(AT132="","",3*'09월 에너지'!S134*(1/(3+7.8*(100-AT132)/AT132)))</f>
        <v>1.2592014971927639</v>
      </c>
      <c r="AN132" s="1023">
        <v>0.17500000000000002</v>
      </c>
      <c r="AO132" s="1024"/>
      <c r="AP132" s="1025"/>
      <c r="AQ132" s="1025"/>
      <c r="AR132" s="1149">
        <f t="shared" si="23"/>
        <v>5</v>
      </c>
      <c r="AS132" s="1093" t="str">
        <f t="shared" si="34"/>
        <v xml:space="preserve"> </v>
      </c>
      <c r="AT132" s="1156">
        <v>2.2000000000000002</v>
      </c>
      <c r="AU132" s="449"/>
      <c r="AV132" s="1205"/>
    </row>
    <row r="133" spans="1:48" ht="16.5" customHeight="1">
      <c r="A133" s="1005">
        <f t="shared" si="24"/>
        <v>46270</v>
      </c>
      <c r="B133" s="1005">
        <f t="shared" si="25"/>
        <v>46270</v>
      </c>
      <c r="C133" s="1150">
        <f t="shared" si="26"/>
        <v>12</v>
      </c>
      <c r="D133" s="1150">
        <f t="shared" si="27"/>
        <v>122</v>
      </c>
      <c r="E133" s="1006" t="str">
        <f t="shared" si="28"/>
        <v>B</v>
      </c>
      <c r="F133" s="1007" t="str">
        <f t="shared" si="29"/>
        <v>B</v>
      </c>
      <c r="G133" s="1008">
        <f t="shared" si="30"/>
        <v>85335</v>
      </c>
      <c r="H133" s="1138">
        <f t="shared" si="31"/>
        <v>0.52430555555555558</v>
      </c>
      <c r="I133" s="1009">
        <v>0.52222222222222225</v>
      </c>
      <c r="J133" s="1010">
        <f t="shared" si="32"/>
        <v>45.000000000000078</v>
      </c>
      <c r="K133" s="1011"/>
      <c r="L133" s="1012"/>
      <c r="M133" s="1013"/>
      <c r="N133" s="1014" t="str">
        <f t="shared" si="33"/>
        <v/>
      </c>
      <c r="O133" s="1323"/>
      <c r="P133" s="1324"/>
      <c r="Q133" s="1324"/>
      <c r="R133" s="1324"/>
      <c r="S133" s="1324"/>
      <c r="T133" s="1325"/>
      <c r="U133" s="1015">
        <v>1.8</v>
      </c>
      <c r="V133" s="1015"/>
      <c r="W133" s="1015"/>
      <c r="X133" s="1015"/>
      <c r="Y133" s="1015">
        <v>2.4</v>
      </c>
      <c r="Z133" s="1016">
        <f>'09월 에너지'!S135</f>
        <v>144.30000000000001</v>
      </c>
      <c r="AA133" s="1017"/>
      <c r="AB133" s="1208"/>
      <c r="AC133" s="1208"/>
      <c r="AD133" s="1208"/>
      <c r="AE133" s="1208"/>
      <c r="AF133" s="1208"/>
      <c r="AG133" s="1018">
        <f>'09월 화학성분'!AM133</f>
        <v>1640</v>
      </c>
      <c r="AH133" s="1006">
        <f t="shared" si="22"/>
        <v>24</v>
      </c>
      <c r="AI133" s="1019">
        <v>1580</v>
      </c>
      <c r="AJ133" s="1020">
        <v>12</v>
      </c>
      <c r="AK133" s="1021">
        <v>704</v>
      </c>
      <c r="AL133" s="1022">
        <v>5</v>
      </c>
      <c r="AM133" s="1155">
        <f>IF(AT133="","",3*'09월 에너지'!S135*(1/(3+7.8*(100-AT133)/AT133)))</f>
        <v>0.7837523277467412</v>
      </c>
      <c r="AN133" s="1023">
        <v>0.14583333333333334</v>
      </c>
      <c r="AO133" s="1024"/>
      <c r="AP133" s="1025"/>
      <c r="AQ133" s="1025"/>
      <c r="AR133" s="1149" t="str">
        <f t="shared" si="23"/>
        <v/>
      </c>
      <c r="AS133" s="1093">
        <f t="shared" si="34"/>
        <v>9</v>
      </c>
      <c r="AT133" s="1156">
        <v>1.4</v>
      </c>
      <c r="AU133" s="449"/>
      <c r="AV133" s="1205"/>
    </row>
    <row r="134" spans="1:48" ht="16.5" customHeight="1">
      <c r="A134" s="1005">
        <f t="shared" si="24"/>
        <v>46270</v>
      </c>
      <c r="B134" s="1005">
        <f t="shared" si="25"/>
        <v>46270</v>
      </c>
      <c r="C134" s="1150">
        <f t="shared" si="26"/>
        <v>13</v>
      </c>
      <c r="D134" s="1150">
        <f t="shared" si="27"/>
        <v>123</v>
      </c>
      <c r="E134" s="1006" t="str">
        <f t="shared" si="28"/>
        <v>B</v>
      </c>
      <c r="F134" s="1007" t="str">
        <f t="shared" si="29"/>
        <v>A</v>
      </c>
      <c r="G134" s="1008">
        <f t="shared" si="30"/>
        <v>85336</v>
      </c>
      <c r="H134" s="1138">
        <f t="shared" si="31"/>
        <v>0.55555555555555558</v>
      </c>
      <c r="I134" s="1009">
        <v>0.55625000000000002</v>
      </c>
      <c r="J134" s="1010">
        <f t="shared" si="32"/>
        <v>48.999999999999986</v>
      </c>
      <c r="K134" s="1011"/>
      <c r="L134" s="1012"/>
      <c r="M134" s="1013"/>
      <c r="N134" s="1014" t="str">
        <f t="shared" si="33"/>
        <v/>
      </c>
      <c r="O134" s="1323"/>
      <c r="P134" s="1324"/>
      <c r="Q134" s="1324"/>
      <c r="R134" s="1324"/>
      <c r="S134" s="1324"/>
      <c r="T134" s="1325"/>
      <c r="U134" s="1015">
        <v>1.8</v>
      </c>
      <c r="V134" s="1015"/>
      <c r="W134" s="1015"/>
      <c r="X134" s="1015"/>
      <c r="Y134" s="1015">
        <v>2.6</v>
      </c>
      <c r="Z134" s="1016">
        <f>'09월 에너지'!S136</f>
        <v>141.1</v>
      </c>
      <c r="AA134" s="1017"/>
      <c r="AB134" s="1208"/>
      <c r="AC134" s="1208"/>
      <c r="AD134" s="1208"/>
      <c r="AE134" s="1208"/>
      <c r="AF134" s="1208"/>
      <c r="AG134" s="1018">
        <f>'09월 화학성분'!AM134</f>
        <v>2277</v>
      </c>
      <c r="AH134" s="1006">
        <f t="shared" si="22"/>
        <v>25</v>
      </c>
      <c r="AI134" s="1019">
        <v>1598</v>
      </c>
      <c r="AJ134" s="1020">
        <v>475</v>
      </c>
      <c r="AK134" s="1021">
        <v>1198</v>
      </c>
      <c r="AL134" s="1022">
        <v>3</v>
      </c>
      <c r="AM134" s="1155">
        <f>IF(AT134="","",3*'09월 에너지'!S136*(1/(3+7.8*(100-AT134)/AT134)))</f>
        <v>2.168545081967213</v>
      </c>
      <c r="AN134" s="1023">
        <v>0.15555555555555556</v>
      </c>
      <c r="AO134" s="1024"/>
      <c r="AP134" s="1025"/>
      <c r="AQ134" s="1025"/>
      <c r="AR134" s="1149">
        <f t="shared" si="23"/>
        <v>6</v>
      </c>
      <c r="AS134" s="1093" t="str">
        <f t="shared" si="34"/>
        <v xml:space="preserve"> </v>
      </c>
      <c r="AT134" s="1156">
        <v>3.9</v>
      </c>
      <c r="AU134" s="449"/>
      <c r="AV134" s="1205"/>
    </row>
    <row r="135" spans="1:48" ht="16.5" customHeight="1">
      <c r="A135" s="1005">
        <f t="shared" si="24"/>
        <v>46270</v>
      </c>
      <c r="B135" s="1005">
        <f t="shared" si="25"/>
        <v>46270</v>
      </c>
      <c r="C135" s="1150">
        <f t="shared" si="26"/>
        <v>14</v>
      </c>
      <c r="D135" s="1150">
        <f t="shared" si="27"/>
        <v>124</v>
      </c>
      <c r="E135" s="1006" t="str">
        <f t="shared" si="28"/>
        <v>B</v>
      </c>
      <c r="F135" s="1007" t="str">
        <f t="shared" si="29"/>
        <v>B</v>
      </c>
      <c r="G135" s="1008">
        <f t="shared" si="30"/>
        <v>85337</v>
      </c>
      <c r="H135" s="1138">
        <f t="shared" si="31"/>
        <v>0.58958333333333335</v>
      </c>
      <c r="I135" s="1009">
        <v>0.58750000000000002</v>
      </c>
      <c r="J135" s="1010">
        <f t="shared" si="32"/>
        <v>45</v>
      </c>
      <c r="K135" s="1011"/>
      <c r="L135" s="1012"/>
      <c r="M135" s="1013"/>
      <c r="N135" s="1014" t="str">
        <f t="shared" si="33"/>
        <v/>
      </c>
      <c r="O135" s="1323"/>
      <c r="P135" s="1324"/>
      <c r="Q135" s="1324"/>
      <c r="R135" s="1324"/>
      <c r="S135" s="1324"/>
      <c r="T135" s="1325"/>
      <c r="U135" s="1015">
        <v>1.8</v>
      </c>
      <c r="V135" s="1015">
        <v>2.5</v>
      </c>
      <c r="W135" s="1015">
        <v>1.4</v>
      </c>
      <c r="X135" s="1015"/>
      <c r="Y135" s="1015"/>
      <c r="Z135" s="1016">
        <f>'09월 에너지'!S137</f>
        <v>143.1</v>
      </c>
      <c r="AA135" s="1017"/>
      <c r="AB135" s="1208"/>
      <c r="AC135" s="1208"/>
      <c r="AD135" s="1208"/>
      <c r="AE135" s="1208"/>
      <c r="AF135" s="1208"/>
      <c r="AG135" s="1018">
        <f>'09월 화학성분'!AM135</f>
        <v>2505</v>
      </c>
      <c r="AH135" s="1006">
        <f t="shared" si="22"/>
        <v>26</v>
      </c>
      <c r="AI135" s="1019">
        <v>1559</v>
      </c>
      <c r="AJ135" s="1020">
        <v>137</v>
      </c>
      <c r="AK135" s="1021">
        <v>838</v>
      </c>
      <c r="AL135" s="1022">
        <v>4</v>
      </c>
      <c r="AM135" s="1155">
        <f>IF(AT135="","",3*'09월 에너지'!S137*(1/(3+7.8*(100-AT135)/AT135)))</f>
        <v>1.3974609375</v>
      </c>
      <c r="AN135" s="1023">
        <v>0.16319444444444445</v>
      </c>
      <c r="AO135" s="1024"/>
      <c r="AP135" s="1025"/>
      <c r="AQ135" s="1025"/>
      <c r="AR135" s="1149" t="str">
        <f t="shared" si="23"/>
        <v/>
      </c>
      <c r="AS135" s="1093">
        <f t="shared" si="34"/>
        <v>10</v>
      </c>
      <c r="AT135" s="1156">
        <v>2.5</v>
      </c>
      <c r="AU135" s="449"/>
      <c r="AV135" s="1205"/>
    </row>
    <row r="136" spans="1:48" ht="16.5" customHeight="1">
      <c r="A136" s="1005">
        <f t="shared" si="24"/>
        <v>46270</v>
      </c>
      <c r="B136" s="1005">
        <f t="shared" si="25"/>
        <v>46270</v>
      </c>
      <c r="C136" s="1150">
        <f t="shared" si="26"/>
        <v>15</v>
      </c>
      <c r="D136" s="1150">
        <f t="shared" si="27"/>
        <v>125</v>
      </c>
      <c r="E136" s="1006" t="s">
        <v>546</v>
      </c>
      <c r="F136" s="1007" t="str">
        <f t="shared" si="29"/>
        <v>A</v>
      </c>
      <c r="G136" s="1008">
        <f t="shared" si="30"/>
        <v>85338</v>
      </c>
      <c r="H136" s="1138">
        <f t="shared" si="31"/>
        <v>0.62083333333333335</v>
      </c>
      <c r="I136" s="1009">
        <v>0.62152777777777779</v>
      </c>
      <c r="J136" s="1010">
        <f t="shared" si="32"/>
        <v>48.999999999999986</v>
      </c>
      <c r="K136" s="1011"/>
      <c r="L136" s="1012"/>
      <c r="M136" s="1013"/>
      <c r="N136" s="1014" t="str">
        <f t="shared" si="33"/>
        <v/>
      </c>
      <c r="O136" s="1323"/>
      <c r="P136" s="1324"/>
      <c r="Q136" s="1324"/>
      <c r="R136" s="1324"/>
      <c r="S136" s="1324"/>
      <c r="T136" s="1325"/>
      <c r="U136" s="1015">
        <v>1.8</v>
      </c>
      <c r="V136" s="1015">
        <v>2.6</v>
      </c>
      <c r="W136" s="1015">
        <v>1.5</v>
      </c>
      <c r="X136" s="1015"/>
      <c r="Y136" s="1015"/>
      <c r="Z136" s="1016">
        <f>'09월 에너지'!S138</f>
        <v>142.69999999999999</v>
      </c>
      <c r="AA136" s="1017"/>
      <c r="AB136" s="1208"/>
      <c r="AC136" s="1208"/>
      <c r="AD136" s="1208"/>
      <c r="AE136" s="1208"/>
      <c r="AF136" s="1208"/>
      <c r="AG136" s="1018">
        <f>'09월 화학성분'!AM136</f>
        <v>2476</v>
      </c>
      <c r="AH136" s="1006">
        <f t="shared" si="22"/>
        <v>27</v>
      </c>
      <c r="AI136" s="1019">
        <v>1577</v>
      </c>
      <c r="AJ136" s="1020">
        <v>209</v>
      </c>
      <c r="AK136" s="1021">
        <v>1139</v>
      </c>
      <c r="AL136" s="1022">
        <v>3</v>
      </c>
      <c r="AM136" s="1155">
        <f>IF(AT136="","",3*'09월 에너지'!S138*(1/(3+7.8*(100-AT136)/AT136)))</f>
        <v>2.0780462846347607</v>
      </c>
      <c r="AN136" s="1023">
        <v>0.14652777777777778</v>
      </c>
      <c r="AO136" s="1024"/>
      <c r="AP136" s="1025"/>
      <c r="AQ136" s="1025"/>
      <c r="AR136" s="1149">
        <f t="shared" si="23"/>
        <v>7</v>
      </c>
      <c r="AS136" s="1093" t="str">
        <f t="shared" si="34"/>
        <v xml:space="preserve"> </v>
      </c>
      <c r="AT136" s="1156">
        <v>3.7</v>
      </c>
      <c r="AU136" s="449"/>
      <c r="AV136" s="1205"/>
    </row>
    <row r="137" spans="1:48" ht="16.5" customHeight="1">
      <c r="A137" s="1005">
        <f t="shared" si="24"/>
        <v>46270</v>
      </c>
      <c r="B137" s="1005">
        <f t="shared" si="25"/>
        <v>46270</v>
      </c>
      <c r="C137" s="1150">
        <f t="shared" si="26"/>
        <v>16</v>
      </c>
      <c r="D137" s="1150">
        <f t="shared" si="27"/>
        <v>126</v>
      </c>
      <c r="E137" s="1006" t="str">
        <f t="shared" si="28"/>
        <v>C</v>
      </c>
      <c r="F137" s="1007" t="str">
        <f t="shared" si="29"/>
        <v>B</v>
      </c>
      <c r="G137" s="1008">
        <f t="shared" si="30"/>
        <v>85339</v>
      </c>
      <c r="H137" s="1138">
        <f t="shared" si="31"/>
        <v>0.65486111111111112</v>
      </c>
      <c r="I137" s="1009">
        <v>0.65277777777777779</v>
      </c>
      <c r="J137" s="1010">
        <f t="shared" si="32"/>
        <v>45</v>
      </c>
      <c r="K137" s="1011"/>
      <c r="L137" s="1012"/>
      <c r="M137" s="1013"/>
      <c r="N137" s="1014" t="str">
        <f t="shared" si="33"/>
        <v/>
      </c>
      <c r="O137" s="1323"/>
      <c r="P137" s="1324"/>
      <c r="Q137" s="1324"/>
      <c r="R137" s="1324"/>
      <c r="S137" s="1324"/>
      <c r="T137" s="1325"/>
      <c r="U137" s="1015">
        <v>1.8</v>
      </c>
      <c r="V137" s="1015"/>
      <c r="W137" s="1015"/>
      <c r="X137" s="1015"/>
      <c r="Y137" s="1015">
        <v>2.4</v>
      </c>
      <c r="Z137" s="1016">
        <f>'09월 에너지'!S139</f>
        <v>143.80000000000001</v>
      </c>
      <c r="AA137" s="1017"/>
      <c r="AB137" s="1208"/>
      <c r="AC137" s="1208"/>
      <c r="AD137" s="1208"/>
      <c r="AE137" s="1208"/>
      <c r="AF137" s="1208"/>
      <c r="AG137" s="1018">
        <f>'09월 화학성분'!AM137</f>
        <v>1691</v>
      </c>
      <c r="AH137" s="1006">
        <f t="shared" si="22"/>
        <v>28</v>
      </c>
      <c r="AI137" s="1019">
        <v>1562</v>
      </c>
      <c r="AJ137" s="1020">
        <v>0</v>
      </c>
      <c r="AK137" s="1021">
        <v>971</v>
      </c>
      <c r="AL137" s="1022">
        <v>4</v>
      </c>
      <c r="AM137" s="1155">
        <f>IF(AT137="","",3*'09월 에너지'!S139*(1/(3+7.8*(100-AT137)/AT137)))</f>
        <v>0.61253097893432473</v>
      </c>
      <c r="AN137" s="1023">
        <v>0.16944444444444443</v>
      </c>
      <c r="AO137" s="1024"/>
      <c r="AP137" s="1025"/>
      <c r="AQ137" s="1025"/>
      <c r="AR137" s="1149" t="str">
        <f t="shared" si="23"/>
        <v/>
      </c>
      <c r="AS137" s="1093">
        <f t="shared" si="34"/>
        <v>11</v>
      </c>
      <c r="AT137" s="1156">
        <v>1.1000000000000001</v>
      </c>
      <c r="AU137" s="449"/>
      <c r="AV137" s="1205" t="s">
        <v>553</v>
      </c>
    </row>
    <row r="138" spans="1:48" ht="16.5" customHeight="1">
      <c r="A138" s="1005">
        <f t="shared" si="24"/>
        <v>46270</v>
      </c>
      <c r="B138" s="1005">
        <f t="shared" si="25"/>
        <v>46270</v>
      </c>
      <c r="C138" s="1150">
        <f t="shared" si="26"/>
        <v>17</v>
      </c>
      <c r="D138" s="1150">
        <f t="shared" si="27"/>
        <v>127</v>
      </c>
      <c r="E138" s="1006" t="str">
        <f t="shared" si="28"/>
        <v>C</v>
      </c>
      <c r="F138" s="1007" t="str">
        <f t="shared" si="29"/>
        <v>A</v>
      </c>
      <c r="G138" s="1008">
        <f t="shared" si="30"/>
        <v>85340</v>
      </c>
      <c r="H138" s="1138">
        <f t="shared" si="31"/>
        <v>0.68611111111111112</v>
      </c>
      <c r="I138" s="1009">
        <v>0.68541666666666667</v>
      </c>
      <c r="J138" s="1010">
        <f t="shared" si="32"/>
        <v>46.999999999999993</v>
      </c>
      <c r="K138" s="1011"/>
      <c r="L138" s="1012">
        <v>2</v>
      </c>
      <c r="M138" s="1013"/>
      <c r="N138" s="1014" t="str">
        <f t="shared" si="33"/>
        <v/>
      </c>
      <c r="O138" s="1323" t="s">
        <v>644</v>
      </c>
      <c r="P138" s="1324"/>
      <c r="Q138" s="1324"/>
      <c r="R138" s="1324"/>
      <c r="S138" s="1324"/>
      <c r="T138" s="1325"/>
      <c r="U138" s="1015">
        <v>1.8</v>
      </c>
      <c r="V138" s="1015"/>
      <c r="W138" s="1015"/>
      <c r="X138" s="1015"/>
      <c r="Y138" s="1015">
        <v>2.6</v>
      </c>
      <c r="Z138" s="1016">
        <f>'09월 에너지'!S140</f>
        <v>145.30000000000001</v>
      </c>
      <c r="AA138" s="1017"/>
      <c r="AB138" s="1208"/>
      <c r="AC138" s="1208"/>
      <c r="AD138" s="1208"/>
      <c r="AE138" s="1208"/>
      <c r="AF138" s="1208"/>
      <c r="AG138" s="1018">
        <f>'09월 화학성분'!AM138</f>
        <v>2279</v>
      </c>
      <c r="AH138" s="1006">
        <f t="shared" si="22"/>
        <v>29</v>
      </c>
      <c r="AI138" s="1019">
        <v>1573</v>
      </c>
      <c r="AJ138" s="1020">
        <v>195</v>
      </c>
      <c r="AK138" s="1021" t="s">
        <v>563</v>
      </c>
      <c r="AL138" s="1022" t="s">
        <v>563</v>
      </c>
      <c r="AM138" s="1155">
        <f>IF(AT138="","",3*'09월 에너지'!S140*(1/(3+7.8*(100-AT138)/AT138)))</f>
        <v>2.0574260541220895</v>
      </c>
      <c r="AN138" s="1023">
        <v>0.15972222222222224</v>
      </c>
      <c r="AO138" s="1024"/>
      <c r="AP138" s="1025"/>
      <c r="AQ138" s="1025"/>
      <c r="AR138" s="1149">
        <f t="shared" si="23"/>
        <v>8</v>
      </c>
      <c r="AS138" s="1093" t="str">
        <f t="shared" si="34"/>
        <v xml:space="preserve"> </v>
      </c>
      <c r="AT138" s="1156">
        <v>3.6</v>
      </c>
      <c r="AU138" s="449"/>
      <c r="AV138" s="1205"/>
    </row>
    <row r="139" spans="1:48" ht="16.5" customHeight="1">
      <c r="A139" s="1005">
        <f t="shared" si="24"/>
        <v>46270</v>
      </c>
      <c r="B139" s="1005">
        <f t="shared" si="25"/>
        <v>46270</v>
      </c>
      <c r="C139" s="1150">
        <f t="shared" si="26"/>
        <v>18</v>
      </c>
      <c r="D139" s="1150">
        <f t="shared" si="27"/>
        <v>128</v>
      </c>
      <c r="E139" s="1006" t="str">
        <f t="shared" si="28"/>
        <v>C</v>
      </c>
      <c r="F139" s="1007" t="str">
        <f t="shared" si="29"/>
        <v>B</v>
      </c>
      <c r="G139" s="1008">
        <f t="shared" si="30"/>
        <v>85341</v>
      </c>
      <c r="H139" s="1138">
        <f t="shared" si="31"/>
        <v>0.71875</v>
      </c>
      <c r="I139" s="1009">
        <v>0.71666666666666667</v>
      </c>
      <c r="J139" s="1010">
        <f t="shared" si="32"/>
        <v>45</v>
      </c>
      <c r="K139" s="1011"/>
      <c r="L139" s="1012"/>
      <c r="M139" s="1013"/>
      <c r="N139" s="1014" t="str">
        <f t="shared" si="33"/>
        <v/>
      </c>
      <c r="O139" s="1323"/>
      <c r="P139" s="1324"/>
      <c r="Q139" s="1324"/>
      <c r="R139" s="1324"/>
      <c r="S139" s="1324"/>
      <c r="T139" s="1325"/>
      <c r="U139" s="1015">
        <v>1.8</v>
      </c>
      <c r="V139" s="1015"/>
      <c r="W139" s="1015"/>
      <c r="X139" s="1015">
        <v>3.5</v>
      </c>
      <c r="Y139" s="1015"/>
      <c r="Z139" s="1016">
        <f>'09월 에너지'!S141</f>
        <v>145.6</v>
      </c>
      <c r="AA139" s="1017"/>
      <c r="AB139" s="1208"/>
      <c r="AC139" s="1208"/>
      <c r="AD139" s="1208"/>
      <c r="AE139" s="1208"/>
      <c r="AF139" s="1208"/>
      <c r="AG139" s="1018">
        <f>'09월 화학성분'!AM139</f>
        <v>1221</v>
      </c>
      <c r="AH139" s="1006">
        <f t="shared" si="22"/>
        <v>30</v>
      </c>
      <c r="AI139" s="1019">
        <v>1573</v>
      </c>
      <c r="AJ139" s="1020">
        <v>0</v>
      </c>
      <c r="AK139" s="1021">
        <v>540</v>
      </c>
      <c r="AL139" s="1022">
        <v>7</v>
      </c>
      <c r="AM139" s="1155">
        <f>IF(AT139="","",3*'09월 에너지'!S141*(1/(3+7.8*(100-AT139)/AT139)))</f>
        <v>1.421875</v>
      </c>
      <c r="AN139" s="1023">
        <v>0.16458333333333333</v>
      </c>
      <c r="AO139" s="1024"/>
      <c r="AP139" s="1025"/>
      <c r="AQ139" s="1025"/>
      <c r="AR139" s="1149" t="str">
        <f t="shared" si="23"/>
        <v/>
      </c>
      <c r="AS139" s="1093">
        <f t="shared" si="34"/>
        <v>12</v>
      </c>
      <c r="AT139" s="1156">
        <v>2.5</v>
      </c>
      <c r="AU139" s="449"/>
      <c r="AV139" s="1205"/>
    </row>
    <row r="140" spans="1:48" ht="16.5" customHeight="1">
      <c r="A140" s="1005">
        <f t="shared" si="24"/>
        <v>46270</v>
      </c>
      <c r="B140" s="1005">
        <f t="shared" si="25"/>
        <v>46270</v>
      </c>
      <c r="C140" s="1150">
        <f t="shared" si="26"/>
        <v>19</v>
      </c>
      <c r="D140" s="1150">
        <f t="shared" si="27"/>
        <v>129</v>
      </c>
      <c r="E140" s="1006" t="str">
        <f t="shared" si="28"/>
        <v>C</v>
      </c>
      <c r="F140" s="1007" t="str">
        <f t="shared" si="29"/>
        <v>A</v>
      </c>
      <c r="G140" s="1008">
        <f t="shared" si="30"/>
        <v>85342</v>
      </c>
      <c r="H140" s="1138">
        <f t="shared" si="31"/>
        <v>0.75</v>
      </c>
      <c r="I140" s="1009">
        <v>0.75069444444444444</v>
      </c>
      <c r="J140" s="1010">
        <f t="shared" si="32"/>
        <v>48.999999999999986</v>
      </c>
      <c r="K140" s="1011"/>
      <c r="L140" s="1012"/>
      <c r="M140" s="1013"/>
      <c r="N140" s="1014" t="str">
        <f t="shared" si="33"/>
        <v/>
      </c>
      <c r="O140" s="1323" t="s">
        <v>637</v>
      </c>
      <c r="P140" s="1324"/>
      <c r="Q140" s="1324"/>
      <c r="R140" s="1324"/>
      <c r="S140" s="1324"/>
      <c r="T140" s="1325"/>
      <c r="U140" s="1015">
        <v>1.8</v>
      </c>
      <c r="V140" s="1015"/>
      <c r="W140" s="1015"/>
      <c r="X140" s="1015">
        <v>3.5</v>
      </c>
      <c r="Y140" s="1015"/>
      <c r="Z140" s="1016">
        <f>'09월 에너지'!S142</f>
        <v>143.6</v>
      </c>
      <c r="AA140" s="1017"/>
      <c r="AB140" s="1208"/>
      <c r="AC140" s="1208"/>
      <c r="AD140" s="1208"/>
      <c r="AE140" s="1208"/>
      <c r="AF140" s="1208"/>
      <c r="AG140" s="1018">
        <f>'09월 화학성분'!AM140</f>
        <v>2958</v>
      </c>
      <c r="AH140" s="1006">
        <f t="shared" si="22"/>
        <v>31</v>
      </c>
      <c r="AI140" s="1019">
        <v>1590</v>
      </c>
      <c r="AJ140" s="1020">
        <v>120</v>
      </c>
      <c r="AK140" s="1021">
        <v>1020</v>
      </c>
      <c r="AL140" s="1022">
        <v>3</v>
      </c>
      <c r="AM140" s="1155">
        <f>IF(AT140="","",3*'09월 에너지'!S142*(1/(3+7.8*(100-AT140)/AT140)))</f>
        <v>1.8603957286432158</v>
      </c>
      <c r="AN140" s="1023">
        <v>0.15694444444444444</v>
      </c>
      <c r="AO140" s="1024"/>
      <c r="AP140" s="1025"/>
      <c r="AQ140" s="1025"/>
      <c r="AR140" s="1149">
        <f t="shared" si="23"/>
        <v>9</v>
      </c>
      <c r="AS140" s="1093" t="str">
        <f t="shared" si="34"/>
        <v xml:space="preserve"> </v>
      </c>
      <c r="AT140" s="1156">
        <v>3.3</v>
      </c>
      <c r="AU140" s="449"/>
      <c r="AV140" s="1205"/>
    </row>
    <row r="141" spans="1:48" ht="16.5" customHeight="1">
      <c r="A141" s="1005">
        <f t="shared" si="24"/>
        <v>46270</v>
      </c>
      <c r="B141" s="1005">
        <f t="shared" si="25"/>
        <v>46270</v>
      </c>
      <c r="C141" s="1150">
        <f t="shared" si="26"/>
        <v>20</v>
      </c>
      <c r="D141" s="1150">
        <f t="shared" si="27"/>
        <v>130</v>
      </c>
      <c r="E141" s="1006" t="str">
        <f t="shared" si="28"/>
        <v>C</v>
      </c>
      <c r="F141" s="1007" t="str">
        <f t="shared" si="29"/>
        <v>B</v>
      </c>
      <c r="G141" s="1008">
        <f t="shared" si="30"/>
        <v>85343</v>
      </c>
      <c r="H141" s="1138">
        <f t="shared" si="31"/>
        <v>0.78402777777777777</v>
      </c>
      <c r="I141" s="1009">
        <v>0.78888888888888886</v>
      </c>
      <c r="J141" s="1010">
        <f t="shared" si="32"/>
        <v>54.999999999999964</v>
      </c>
      <c r="K141" s="1011"/>
      <c r="L141" s="1012"/>
      <c r="M141" s="1013"/>
      <c r="N141" s="1014" t="str">
        <f t="shared" si="33"/>
        <v/>
      </c>
      <c r="O141" s="1323" t="s">
        <v>641</v>
      </c>
      <c r="P141" s="1324"/>
      <c r="Q141" s="1324"/>
      <c r="R141" s="1324"/>
      <c r="S141" s="1324"/>
      <c r="T141" s="1325"/>
      <c r="U141" s="1015">
        <v>1.8</v>
      </c>
      <c r="V141" s="1015"/>
      <c r="W141" s="1015"/>
      <c r="X141" s="1015"/>
      <c r="Y141" s="1015"/>
      <c r="Z141" s="1016">
        <f>'09월 에너지'!S143</f>
        <v>144.1</v>
      </c>
      <c r="AA141" s="1017"/>
      <c r="AB141" s="1208"/>
      <c r="AC141" s="1208"/>
      <c r="AD141" s="1208"/>
      <c r="AE141" s="1208"/>
      <c r="AF141" s="1208"/>
      <c r="AG141" s="1018">
        <f>'09월 화학성분'!AM141</f>
        <v>2498</v>
      </c>
      <c r="AH141" s="1006">
        <f t="shared" ref="AH141:AH204" si="35">IF(I141="","",AH140+1)</f>
        <v>32</v>
      </c>
      <c r="AI141" s="1019">
        <v>1593</v>
      </c>
      <c r="AJ141" s="1020">
        <v>0</v>
      </c>
      <c r="AK141" s="1021">
        <v>578</v>
      </c>
      <c r="AL141" s="1022">
        <v>7</v>
      </c>
      <c r="AM141" s="1155">
        <f>IF(AT141="","",3*'09월 에너지'!S143*(1/(3+7.8*(100-AT141)/AT141)))</f>
        <v>0.83909161490683226</v>
      </c>
      <c r="AN141" s="1023">
        <v>0.16250000000000001</v>
      </c>
      <c r="AO141" s="1024"/>
      <c r="AP141" s="1025"/>
      <c r="AQ141" s="1025"/>
      <c r="AR141" s="1149" t="str">
        <f t="shared" ref="AR141:AR204" si="36">IF(F141="A",IFERROR(IF(I141="","",IF(F141="A",AR140+1," ")),AR139+1),"")</f>
        <v/>
      </c>
      <c r="AS141" s="1093">
        <f t="shared" si="34"/>
        <v>13</v>
      </c>
      <c r="AT141" s="1156">
        <v>1.5</v>
      </c>
      <c r="AU141" s="449"/>
      <c r="AV141" s="1205"/>
    </row>
    <row r="142" spans="1:48" ht="16.5" customHeight="1">
      <c r="A142" s="1005">
        <f t="shared" ref="A142:A205" si="37">IF(I142="","",A141)</f>
        <v>46270</v>
      </c>
      <c r="B142" s="1005">
        <f t="shared" ref="B142:B205" si="38">IF(J142="","",B141)</f>
        <v>46270</v>
      </c>
      <c r="C142" s="1150">
        <f t="shared" ref="C142:C205" si="39">IF(I142="","",IF(A142=A141,C141+1,1))</f>
        <v>21</v>
      </c>
      <c r="D142" s="1150">
        <f t="shared" ref="D142:D205" si="40">IF(C142="","",D141+1)</f>
        <v>131</v>
      </c>
      <c r="E142" s="1006" t="str">
        <f t="shared" ref="E142:E205" si="41">IF(C142="","",E141)</f>
        <v>C</v>
      </c>
      <c r="F142" s="1007" t="str">
        <f t="shared" ref="F142:F205" si="42">IF(C142="","",IF(F141="A","B","A"))</f>
        <v>A</v>
      </c>
      <c r="G142" s="1008">
        <f t="shared" ref="G142:G205" si="43">IF(C142="","",G141+1)</f>
        <v>85344</v>
      </c>
      <c r="H142" s="1138">
        <f t="shared" ref="H142:H205" si="44">IF(ISBLANK(I141),H141+C$8/1440,I141+C$8/1440)</f>
        <v>0.82222222222222219</v>
      </c>
      <c r="I142" s="1009">
        <v>0.81666666666666676</v>
      </c>
      <c r="J142" s="1010">
        <f t="shared" ref="J142:J205" si="45">IF(I142="","",IF(I142&lt;I141,(I142-I141)*1440+1440,(I142-I141)*1440))</f>
        <v>40.000000000000178</v>
      </c>
      <c r="K142" s="1011"/>
      <c r="L142" s="1012"/>
      <c r="M142" s="1013"/>
      <c r="N142" s="1014" t="str">
        <f t="shared" ref="N142:N205" si="46">IF(M142="","",M142+K142/1440)</f>
        <v/>
      </c>
      <c r="O142" s="1323"/>
      <c r="P142" s="1324"/>
      <c r="Q142" s="1324"/>
      <c r="R142" s="1324"/>
      <c r="S142" s="1324"/>
      <c r="T142" s="1325"/>
      <c r="U142" s="1015">
        <v>1.8</v>
      </c>
      <c r="V142" s="1015"/>
      <c r="W142" s="1015"/>
      <c r="X142" s="1015"/>
      <c r="Y142" s="1015">
        <v>2.6</v>
      </c>
      <c r="Z142" s="1016">
        <f>'09월 에너지'!S144</f>
        <v>143.1</v>
      </c>
      <c r="AA142" s="1017"/>
      <c r="AB142" s="1208"/>
      <c r="AC142" s="1208"/>
      <c r="AD142" s="1208"/>
      <c r="AE142" s="1208"/>
      <c r="AF142" s="1208"/>
      <c r="AG142" s="1018">
        <f>'09월 화학성분'!AM142</f>
        <v>1696</v>
      </c>
      <c r="AH142" s="1006">
        <f t="shared" si="35"/>
        <v>33</v>
      </c>
      <c r="AI142" s="1019">
        <v>1602</v>
      </c>
      <c r="AJ142" s="1020">
        <v>51</v>
      </c>
      <c r="AK142" s="1021">
        <v>744</v>
      </c>
      <c r="AL142" s="1022">
        <v>5</v>
      </c>
      <c r="AM142" s="1155">
        <f>IF(AT142="","",3*'09월 에너지'!S144*(1/(3+7.8*(100-AT142)/AT142)))</f>
        <v>1.4542682926829267</v>
      </c>
      <c r="AN142" s="1023">
        <v>0.15625</v>
      </c>
      <c r="AO142" s="1024"/>
      <c r="AP142" s="1025"/>
      <c r="AQ142" s="1025"/>
      <c r="AR142" s="1149">
        <f t="shared" si="36"/>
        <v>10</v>
      </c>
      <c r="AS142" s="1093" t="str">
        <f t="shared" ref="AS142:AS162" si="47">IFERROR(IF($I142="","",IF($F142="B",AS141+1," ")),AS140+1)</f>
        <v xml:space="preserve"> </v>
      </c>
      <c r="AT142" s="1156">
        <v>2.6</v>
      </c>
      <c r="AU142" s="449"/>
      <c r="AV142" s="1205"/>
    </row>
    <row r="143" spans="1:48" ht="16.5" customHeight="1">
      <c r="A143" s="1005">
        <f t="shared" si="37"/>
        <v>46270</v>
      </c>
      <c r="B143" s="1005">
        <f t="shared" si="38"/>
        <v>46270</v>
      </c>
      <c r="C143" s="1150">
        <f t="shared" si="39"/>
        <v>22</v>
      </c>
      <c r="D143" s="1150">
        <f t="shared" si="40"/>
        <v>132</v>
      </c>
      <c r="E143" s="1006" t="str">
        <f t="shared" si="41"/>
        <v>C</v>
      </c>
      <c r="F143" s="1007" t="str">
        <f t="shared" si="42"/>
        <v>B</v>
      </c>
      <c r="G143" s="1008">
        <f t="shared" si="43"/>
        <v>85345</v>
      </c>
      <c r="H143" s="1138">
        <f t="shared" si="44"/>
        <v>0.85000000000000009</v>
      </c>
      <c r="I143" s="1009">
        <v>0.8520833333333333</v>
      </c>
      <c r="J143" s="1010">
        <f t="shared" si="45"/>
        <v>50.999999999999815</v>
      </c>
      <c r="K143" s="1011"/>
      <c r="L143" s="1012"/>
      <c r="M143" s="1013"/>
      <c r="N143" s="1014" t="str">
        <f t="shared" si="46"/>
        <v/>
      </c>
      <c r="O143" s="1323" t="s">
        <v>530</v>
      </c>
      <c r="P143" s="1324"/>
      <c r="Q143" s="1324"/>
      <c r="R143" s="1324"/>
      <c r="S143" s="1324"/>
      <c r="T143" s="1325"/>
      <c r="U143" s="1015">
        <v>1.8</v>
      </c>
      <c r="V143" s="1015"/>
      <c r="W143" s="1015"/>
      <c r="X143" s="1015"/>
      <c r="Y143" s="1015"/>
      <c r="Z143" s="1016">
        <f>'09월 에너지'!S145</f>
        <v>145.30000000000001</v>
      </c>
      <c r="AA143" s="1017">
        <v>2598</v>
      </c>
      <c r="AB143" s="1208" t="s">
        <v>642</v>
      </c>
      <c r="AC143" s="1208" t="s">
        <v>643</v>
      </c>
      <c r="AD143" s="1208" t="s">
        <v>532</v>
      </c>
      <c r="AE143" s="1208"/>
      <c r="AF143" s="1208" t="s">
        <v>532</v>
      </c>
      <c r="AG143" s="1018">
        <f>'09월 화학성분'!AM143</f>
        <v>1721</v>
      </c>
      <c r="AH143" s="1006">
        <f t="shared" si="35"/>
        <v>34</v>
      </c>
      <c r="AI143" s="1019">
        <v>1562</v>
      </c>
      <c r="AJ143" s="1020">
        <v>0</v>
      </c>
      <c r="AK143" s="1021">
        <v>639</v>
      </c>
      <c r="AL143" s="1022">
        <v>6</v>
      </c>
      <c r="AM143" s="1155">
        <f>IF(AT143="","",3*'09월 에너지'!S145*(1/(3+7.8*(100-AT143)/AT143)))</f>
        <v>1.0171904169259489</v>
      </c>
      <c r="AN143" s="1023">
        <v>0.15208333333333332</v>
      </c>
      <c r="AO143" s="1024"/>
      <c r="AP143" s="1025"/>
      <c r="AQ143" s="1025"/>
      <c r="AR143" s="1149" t="str">
        <f t="shared" si="36"/>
        <v/>
      </c>
      <c r="AS143" s="1093">
        <f t="shared" si="47"/>
        <v>14</v>
      </c>
      <c r="AT143" s="1156">
        <v>1.8</v>
      </c>
      <c r="AU143" s="449"/>
      <c r="AV143" s="1205"/>
    </row>
    <row r="144" spans="1:48" ht="16.5" customHeight="1">
      <c r="A144" s="1005">
        <f t="shared" si="37"/>
        <v>46270</v>
      </c>
      <c r="B144" s="1005">
        <f t="shared" si="38"/>
        <v>46270</v>
      </c>
      <c r="C144" s="1150">
        <f t="shared" si="39"/>
        <v>23</v>
      </c>
      <c r="D144" s="1150">
        <f t="shared" si="40"/>
        <v>133</v>
      </c>
      <c r="E144" s="1006" t="str">
        <f t="shared" si="41"/>
        <v>C</v>
      </c>
      <c r="F144" s="1007" t="str">
        <f t="shared" si="42"/>
        <v>A</v>
      </c>
      <c r="G144" s="1008">
        <f t="shared" si="43"/>
        <v>85346</v>
      </c>
      <c r="H144" s="1138">
        <f t="shared" si="44"/>
        <v>0.88541666666666663</v>
      </c>
      <c r="I144" s="1009">
        <v>0.88402777777777775</v>
      </c>
      <c r="J144" s="1010">
        <f t="shared" si="45"/>
        <v>46</v>
      </c>
      <c r="K144" s="1011"/>
      <c r="L144" s="1012"/>
      <c r="M144" s="1013"/>
      <c r="N144" s="1014" t="str">
        <f t="shared" si="46"/>
        <v/>
      </c>
      <c r="O144" s="1323"/>
      <c r="P144" s="1324"/>
      <c r="Q144" s="1324"/>
      <c r="R144" s="1324"/>
      <c r="S144" s="1324"/>
      <c r="T144" s="1325"/>
      <c r="U144" s="1015">
        <v>1.8</v>
      </c>
      <c r="V144" s="1015"/>
      <c r="W144" s="1015"/>
      <c r="X144" s="1015"/>
      <c r="Y144" s="1015">
        <v>2.7</v>
      </c>
      <c r="Z144" s="1016">
        <f>'09월 에너지'!S146</f>
        <v>143.4</v>
      </c>
      <c r="AA144" s="1017"/>
      <c r="AB144" s="1208"/>
      <c r="AC144" s="1208"/>
      <c r="AD144" s="1208"/>
      <c r="AE144" s="1208"/>
      <c r="AF144" s="1208"/>
      <c r="AG144" s="1018">
        <f>'09월 화학성분'!AM144</f>
        <v>1864</v>
      </c>
      <c r="AH144" s="1006">
        <f t="shared" si="35"/>
        <v>35</v>
      </c>
      <c r="AI144" s="1019">
        <v>1598</v>
      </c>
      <c r="AJ144" s="1020">
        <v>0</v>
      </c>
      <c r="AK144" s="1021">
        <v>740</v>
      </c>
      <c r="AL144" s="1022">
        <v>5</v>
      </c>
      <c r="AM144" s="1155">
        <f>IF(AT144="","",3*'09월 에너지'!S146*(1/(3+7.8*(100-AT144)/AT144)))</f>
        <v>1.0603206724782068</v>
      </c>
      <c r="AN144" s="1023">
        <v>0.16111111111111112</v>
      </c>
      <c r="AO144" s="1024"/>
      <c r="AP144" s="1025"/>
      <c r="AQ144" s="1025"/>
      <c r="AR144" s="1149">
        <f t="shared" si="36"/>
        <v>11</v>
      </c>
      <c r="AS144" s="1093" t="str">
        <f t="shared" si="47"/>
        <v xml:space="preserve"> </v>
      </c>
      <c r="AT144" s="1156">
        <v>1.9</v>
      </c>
      <c r="AU144" s="449"/>
      <c r="AV144" s="1205"/>
    </row>
    <row r="145" spans="1:102" ht="16.5" customHeight="1">
      <c r="A145" s="1005">
        <f t="shared" si="37"/>
        <v>46270</v>
      </c>
      <c r="B145" s="1005">
        <f t="shared" si="38"/>
        <v>46270</v>
      </c>
      <c r="C145" s="1150">
        <f t="shared" si="39"/>
        <v>24</v>
      </c>
      <c r="D145" s="1150">
        <f t="shared" si="40"/>
        <v>134</v>
      </c>
      <c r="E145" s="1006" t="str">
        <f t="shared" si="41"/>
        <v>C</v>
      </c>
      <c r="F145" s="1007" t="str">
        <f t="shared" si="42"/>
        <v>B</v>
      </c>
      <c r="G145" s="1008">
        <f t="shared" si="43"/>
        <v>85347</v>
      </c>
      <c r="H145" s="1138">
        <f t="shared" si="44"/>
        <v>0.91736111111111107</v>
      </c>
      <c r="I145" s="1009">
        <v>0.91736111111111107</v>
      </c>
      <c r="J145" s="1010">
        <f t="shared" si="45"/>
        <v>47.999999999999986</v>
      </c>
      <c r="K145" s="1011"/>
      <c r="L145" s="1012"/>
      <c r="M145" s="1013"/>
      <c r="N145" s="1014" t="str">
        <f t="shared" si="46"/>
        <v/>
      </c>
      <c r="O145" s="1323" t="s">
        <v>602</v>
      </c>
      <c r="P145" s="1324"/>
      <c r="Q145" s="1324"/>
      <c r="R145" s="1324"/>
      <c r="S145" s="1324"/>
      <c r="T145" s="1325"/>
      <c r="U145" s="1015">
        <v>1.8</v>
      </c>
      <c r="V145" s="1015">
        <v>2.5</v>
      </c>
      <c r="W145" s="1015">
        <v>1.2</v>
      </c>
      <c r="X145" s="1015"/>
      <c r="Y145" s="1015"/>
      <c r="Z145" s="1016">
        <f>'09월 에너지'!S147</f>
        <v>141.19999999999999</v>
      </c>
      <c r="AA145" s="1017"/>
      <c r="AB145" s="1208"/>
      <c r="AC145" s="1208"/>
      <c r="AD145" s="1208"/>
      <c r="AE145" s="1208"/>
      <c r="AF145" s="1208"/>
      <c r="AG145" s="1018">
        <f>'09월 화학성분'!AM145</f>
        <v>1600</v>
      </c>
      <c r="AH145" s="1006">
        <f t="shared" si="35"/>
        <v>36</v>
      </c>
      <c r="AI145" s="1019">
        <v>1545</v>
      </c>
      <c r="AJ145" s="1020">
        <v>41</v>
      </c>
      <c r="AK145" s="1021">
        <v>650</v>
      </c>
      <c r="AL145" s="1022">
        <v>6</v>
      </c>
      <c r="AM145" s="1155">
        <f>IF(AT145="","",3*'09월 에너지'!S147*(1/(3+7.8*(100-AT145)/AT145)))</f>
        <v>5.4341133004926108E-2</v>
      </c>
      <c r="AN145" s="1023">
        <v>0.30486111111111108</v>
      </c>
      <c r="AO145" s="1024" t="s">
        <v>538</v>
      </c>
      <c r="AP145" s="1025">
        <v>2000014</v>
      </c>
      <c r="AQ145" s="1025">
        <v>2137</v>
      </c>
      <c r="AR145" s="1149" t="str">
        <f t="shared" si="36"/>
        <v/>
      </c>
      <c r="AS145" s="1093">
        <v>1</v>
      </c>
      <c r="AT145" s="1156">
        <v>0.1</v>
      </c>
      <c r="AU145" s="449"/>
      <c r="AV145" s="1205"/>
    </row>
    <row r="146" spans="1:102" ht="16.5" customHeight="1">
      <c r="A146" s="1005">
        <f t="shared" si="37"/>
        <v>46270</v>
      </c>
      <c r="B146" s="1005">
        <f t="shared" si="38"/>
        <v>46270</v>
      </c>
      <c r="C146" s="1150">
        <f t="shared" si="39"/>
        <v>25</v>
      </c>
      <c r="D146" s="1150">
        <f t="shared" si="40"/>
        <v>135</v>
      </c>
      <c r="E146" s="1006" t="s">
        <v>578</v>
      </c>
      <c r="F146" s="1007" t="str">
        <f t="shared" si="42"/>
        <v>A</v>
      </c>
      <c r="G146" s="1008">
        <f t="shared" si="43"/>
        <v>85348</v>
      </c>
      <c r="H146" s="1138">
        <f t="shared" si="44"/>
        <v>0.9506944444444444</v>
      </c>
      <c r="I146" s="1009">
        <v>0.94930555555555562</v>
      </c>
      <c r="J146" s="1010">
        <f t="shared" si="45"/>
        <v>46.000000000000156</v>
      </c>
      <c r="K146" s="1011"/>
      <c r="L146" s="1012"/>
      <c r="M146" s="1013"/>
      <c r="N146" s="1014" t="str">
        <f t="shared" si="46"/>
        <v/>
      </c>
      <c r="O146" s="1323" t="s">
        <v>530</v>
      </c>
      <c r="P146" s="1324"/>
      <c r="Q146" s="1324"/>
      <c r="R146" s="1324"/>
      <c r="S146" s="1324"/>
      <c r="T146" s="1325"/>
      <c r="U146" s="1015">
        <v>1.8</v>
      </c>
      <c r="V146" s="1015">
        <v>2.8</v>
      </c>
      <c r="W146" s="1015">
        <v>1.3</v>
      </c>
      <c r="X146" s="1015"/>
      <c r="Y146" s="1015"/>
      <c r="Z146" s="1016">
        <f>'09월 에너지'!S148</f>
        <v>143.9</v>
      </c>
      <c r="AA146" s="1017">
        <v>1879</v>
      </c>
      <c r="AB146" s="1208" t="s">
        <v>573</v>
      </c>
      <c r="AC146" s="1208" t="s">
        <v>548</v>
      </c>
      <c r="AD146" s="1208"/>
      <c r="AE146" s="1208"/>
      <c r="AF146" s="1208" t="s">
        <v>532</v>
      </c>
      <c r="AG146" s="1018">
        <f>'09월 화학성분'!AM146</f>
        <v>2078</v>
      </c>
      <c r="AH146" s="1006">
        <f t="shared" si="35"/>
        <v>37</v>
      </c>
      <c r="AI146" s="1019">
        <v>1573</v>
      </c>
      <c r="AJ146" s="1020">
        <v>0</v>
      </c>
      <c r="AK146" s="1021">
        <v>444</v>
      </c>
      <c r="AL146" s="1022">
        <v>10</v>
      </c>
      <c r="AM146" s="1155">
        <f>IF(AT146="","",3*'09월 에너지'!S148*(1/(3+7.8*(100-AT146)/AT146)))</f>
        <v>0.83792701863354058</v>
      </c>
      <c r="AN146" s="1023">
        <v>0.18819444444444444</v>
      </c>
      <c r="AO146" s="1024"/>
      <c r="AP146" s="1025"/>
      <c r="AQ146" s="1025"/>
      <c r="AR146" s="1149">
        <f t="shared" si="36"/>
        <v>12</v>
      </c>
      <c r="AS146" s="1093" t="str">
        <f t="shared" si="47"/>
        <v xml:space="preserve"> </v>
      </c>
      <c r="AT146" s="1156">
        <v>1.5</v>
      </c>
      <c r="AU146" s="449"/>
      <c r="AV146" s="1205"/>
    </row>
    <row r="147" spans="1:102" ht="16.5" customHeight="1">
      <c r="A147" s="1005">
        <f t="shared" si="37"/>
        <v>46270</v>
      </c>
      <c r="B147" s="1005">
        <f t="shared" si="38"/>
        <v>46270</v>
      </c>
      <c r="C147" s="1150">
        <f t="shared" si="39"/>
        <v>26</v>
      </c>
      <c r="D147" s="1150">
        <f t="shared" si="40"/>
        <v>136</v>
      </c>
      <c r="E147" s="1006" t="str">
        <f t="shared" si="41"/>
        <v>A</v>
      </c>
      <c r="F147" s="1007" t="str">
        <f t="shared" si="42"/>
        <v>B</v>
      </c>
      <c r="G147" s="1008">
        <f t="shared" si="43"/>
        <v>85349</v>
      </c>
      <c r="H147" s="1138">
        <f t="shared" si="44"/>
        <v>0.98263888888888895</v>
      </c>
      <c r="I147" s="1009">
        <v>0.9819444444444444</v>
      </c>
      <c r="J147" s="1010">
        <f t="shared" si="45"/>
        <v>46.999999999999829</v>
      </c>
      <c r="K147" s="1011"/>
      <c r="L147" s="1012">
        <v>1</v>
      </c>
      <c r="M147" s="1013"/>
      <c r="N147" s="1014" t="str">
        <f t="shared" si="46"/>
        <v/>
      </c>
      <c r="O147" s="1323" t="s">
        <v>645</v>
      </c>
      <c r="P147" s="1324"/>
      <c r="Q147" s="1324"/>
      <c r="R147" s="1324"/>
      <c r="S147" s="1324"/>
      <c r="T147" s="1325"/>
      <c r="U147" s="1015">
        <v>1.8</v>
      </c>
      <c r="V147" s="1015"/>
      <c r="W147" s="1015"/>
      <c r="X147" s="1015"/>
      <c r="Y147" s="1015"/>
      <c r="Z147" s="1016">
        <f>'09월 에너지'!S149</f>
        <v>144.9</v>
      </c>
      <c r="AA147" s="1017"/>
      <c r="AB147" s="1208"/>
      <c r="AC147" s="1208"/>
      <c r="AD147" s="1208"/>
      <c r="AE147" s="1208"/>
      <c r="AF147" s="1208"/>
      <c r="AG147" s="1018">
        <f>'09월 화학성분'!AM147</f>
        <v>2571</v>
      </c>
      <c r="AH147" s="1006">
        <f t="shared" si="35"/>
        <v>38</v>
      </c>
      <c r="AI147" s="1019">
        <v>1594</v>
      </c>
      <c r="AJ147" s="1020">
        <v>0</v>
      </c>
      <c r="AK147" s="1021">
        <v>617</v>
      </c>
      <c r="AL147" s="1022">
        <v>6</v>
      </c>
      <c r="AM147" s="1155">
        <f>IF(AT147="","",3*'09월 에너지'!S149*(1/(3+7.8*(100-AT147)/AT147)))</f>
        <v>0.84375000000000022</v>
      </c>
      <c r="AN147" s="1023">
        <v>0.18958333333333333</v>
      </c>
      <c r="AO147" s="1024"/>
      <c r="AP147" s="1025"/>
      <c r="AQ147" s="1025"/>
      <c r="AR147" s="1149" t="str">
        <f t="shared" si="36"/>
        <v/>
      </c>
      <c r="AS147" s="1093">
        <f t="shared" si="47"/>
        <v>2</v>
      </c>
      <c r="AT147" s="1156">
        <v>1.5</v>
      </c>
      <c r="AU147" s="449"/>
      <c r="AV147" s="1205"/>
    </row>
    <row r="148" spans="1:102" ht="16.5" customHeight="1">
      <c r="A148" s="1005">
        <f t="shared" si="37"/>
        <v>46270</v>
      </c>
      <c r="B148" s="1005">
        <f t="shared" si="38"/>
        <v>46270</v>
      </c>
      <c r="C148" s="1150">
        <f t="shared" si="39"/>
        <v>27</v>
      </c>
      <c r="D148" s="1150">
        <f t="shared" si="40"/>
        <v>137</v>
      </c>
      <c r="E148" s="1006" t="str">
        <f t="shared" si="41"/>
        <v>A</v>
      </c>
      <c r="F148" s="1007" t="str">
        <f t="shared" si="42"/>
        <v>A</v>
      </c>
      <c r="G148" s="1008">
        <f t="shared" si="43"/>
        <v>85350</v>
      </c>
      <c r="H148" s="1138">
        <f t="shared" si="44"/>
        <v>1.0152777777777777</v>
      </c>
      <c r="I148" s="1009">
        <v>1.0416666666666666E-2</v>
      </c>
      <c r="J148" s="1010">
        <f t="shared" si="45"/>
        <v>41</v>
      </c>
      <c r="K148" s="1011"/>
      <c r="L148" s="1012"/>
      <c r="M148" s="1013"/>
      <c r="N148" s="1014" t="str">
        <f t="shared" si="46"/>
        <v/>
      </c>
      <c r="O148" s="1323"/>
      <c r="P148" s="1324"/>
      <c r="Q148" s="1324"/>
      <c r="R148" s="1324"/>
      <c r="S148" s="1324"/>
      <c r="T148" s="1325"/>
      <c r="U148" s="1015">
        <v>1.8</v>
      </c>
      <c r="V148" s="1015"/>
      <c r="W148" s="1015"/>
      <c r="X148" s="1015"/>
      <c r="Y148" s="1015">
        <v>2.8</v>
      </c>
      <c r="Z148" s="1016">
        <f>'09월 에너지'!S150</f>
        <v>142.69999999999999</v>
      </c>
      <c r="AA148" s="1017"/>
      <c r="AB148" s="1208"/>
      <c r="AC148" s="1208"/>
      <c r="AD148" s="1208"/>
      <c r="AE148" s="1208"/>
      <c r="AF148" s="1208"/>
      <c r="AG148" s="1018">
        <f>'09월 화학성분'!AM148</f>
        <v>1600</v>
      </c>
      <c r="AH148" s="1006">
        <f t="shared" si="35"/>
        <v>39</v>
      </c>
      <c r="AI148" s="1019">
        <v>1590</v>
      </c>
      <c r="AJ148" s="1020">
        <v>0</v>
      </c>
      <c r="AK148" s="1021">
        <v>613</v>
      </c>
      <c r="AL148" s="1022">
        <v>6</v>
      </c>
      <c r="AM148" s="1155">
        <f>IF(AT148="","",3*'09월 에너지'!S150*(1/(3+7.8*(100-AT148)/AT148)))</f>
        <v>1.7915881983678592</v>
      </c>
      <c r="AN148" s="1023">
        <v>0.1763888888888889</v>
      </c>
      <c r="AO148" s="1024"/>
      <c r="AP148" s="1025"/>
      <c r="AQ148" s="1025"/>
      <c r="AR148" s="1149">
        <f t="shared" si="36"/>
        <v>13</v>
      </c>
      <c r="AS148" s="1093" t="str">
        <f t="shared" si="47"/>
        <v xml:space="preserve"> </v>
      </c>
      <c r="AT148" s="1156">
        <v>3.2</v>
      </c>
      <c r="AU148" s="449"/>
      <c r="AV148" s="1205"/>
    </row>
    <row r="149" spans="1:102" ht="16.5" customHeight="1">
      <c r="A149" s="1005">
        <f t="shared" si="37"/>
        <v>46270</v>
      </c>
      <c r="B149" s="1005">
        <f t="shared" si="38"/>
        <v>46270</v>
      </c>
      <c r="C149" s="1150">
        <f t="shared" si="39"/>
        <v>28</v>
      </c>
      <c r="D149" s="1150">
        <f t="shared" si="40"/>
        <v>138</v>
      </c>
      <c r="E149" s="1006" t="str">
        <f t="shared" si="41"/>
        <v>A</v>
      </c>
      <c r="F149" s="1007" t="str">
        <f t="shared" si="42"/>
        <v>B</v>
      </c>
      <c r="G149" s="1008">
        <f t="shared" si="43"/>
        <v>85351</v>
      </c>
      <c r="H149" s="1138">
        <f t="shared" si="44"/>
        <v>4.3749999999999997E-2</v>
      </c>
      <c r="I149" s="1009">
        <v>4.1666666666666664E-2</v>
      </c>
      <c r="J149" s="1010">
        <f t="shared" si="45"/>
        <v>45</v>
      </c>
      <c r="K149" s="1011"/>
      <c r="L149" s="1012"/>
      <c r="M149" s="1013"/>
      <c r="N149" s="1014" t="str">
        <f t="shared" si="46"/>
        <v/>
      </c>
      <c r="O149" s="1323"/>
      <c r="P149" s="1324"/>
      <c r="Q149" s="1324"/>
      <c r="R149" s="1324"/>
      <c r="S149" s="1324"/>
      <c r="T149" s="1325"/>
      <c r="U149" s="1015">
        <v>1.8</v>
      </c>
      <c r="V149" s="1015">
        <v>2.2999999999999998</v>
      </c>
      <c r="W149" s="1015">
        <v>1.5</v>
      </c>
      <c r="X149" s="1015"/>
      <c r="Y149" s="1015"/>
      <c r="Z149" s="1016">
        <f>'09월 에너지'!S151</f>
        <v>145.30000000000001</v>
      </c>
      <c r="AA149" s="1017"/>
      <c r="AB149" s="1208"/>
      <c r="AC149" s="1208"/>
      <c r="AD149" s="1208"/>
      <c r="AE149" s="1208"/>
      <c r="AF149" s="1208"/>
      <c r="AG149" s="1018">
        <f>'09월 화학성분'!AM149</f>
        <v>2588</v>
      </c>
      <c r="AH149" s="1006">
        <f t="shared" si="35"/>
        <v>40</v>
      </c>
      <c r="AI149" s="1019">
        <v>1569</v>
      </c>
      <c r="AJ149" s="1020">
        <v>24</v>
      </c>
      <c r="AK149" s="1021">
        <v>536</v>
      </c>
      <c r="AL149" s="1022">
        <v>8</v>
      </c>
      <c r="AM149" s="1155">
        <f>IF(AT149="","",3*'09월 에너지'!S151*(1/(3+7.8*(100-AT149)/AT149)))</f>
        <v>1.3037999375780274</v>
      </c>
      <c r="AN149" s="1023">
        <v>0.15347222222222223</v>
      </c>
      <c r="AO149" s="1024"/>
      <c r="AP149" s="1025"/>
      <c r="AQ149" s="1025"/>
      <c r="AR149" s="1149" t="str">
        <f t="shared" si="36"/>
        <v/>
      </c>
      <c r="AS149" s="1093">
        <f t="shared" si="47"/>
        <v>3</v>
      </c>
      <c r="AT149" s="1156">
        <v>2.2999999999999998</v>
      </c>
      <c r="AU149" s="449"/>
      <c r="AV149" s="1205"/>
    </row>
    <row r="150" spans="1:102" ht="16.5" customHeight="1">
      <c r="A150" s="1005">
        <f t="shared" si="37"/>
        <v>46270</v>
      </c>
      <c r="B150" s="1005">
        <f t="shared" si="38"/>
        <v>46270</v>
      </c>
      <c r="C150" s="1150">
        <f t="shared" si="39"/>
        <v>29</v>
      </c>
      <c r="D150" s="1150">
        <f t="shared" si="40"/>
        <v>139</v>
      </c>
      <c r="E150" s="1006" t="str">
        <f t="shared" si="41"/>
        <v>A</v>
      </c>
      <c r="F150" s="1007" t="str">
        <f t="shared" si="42"/>
        <v>A</v>
      </c>
      <c r="G150" s="1008">
        <f t="shared" si="43"/>
        <v>85352</v>
      </c>
      <c r="H150" s="1138">
        <f t="shared" si="44"/>
        <v>7.4999999999999997E-2</v>
      </c>
      <c r="I150" s="1009">
        <v>7.2916666666666671E-2</v>
      </c>
      <c r="J150" s="1010">
        <f t="shared" si="45"/>
        <v>45.000000000000007</v>
      </c>
      <c r="K150" s="1011"/>
      <c r="L150" s="1012"/>
      <c r="M150" s="1013"/>
      <c r="N150" s="1014" t="str">
        <f t="shared" si="46"/>
        <v/>
      </c>
      <c r="O150" s="1323"/>
      <c r="P150" s="1324"/>
      <c r="Q150" s="1324"/>
      <c r="R150" s="1324"/>
      <c r="S150" s="1324"/>
      <c r="T150" s="1325"/>
      <c r="U150" s="1015">
        <v>1.8</v>
      </c>
      <c r="V150" s="1015">
        <v>2.5</v>
      </c>
      <c r="W150" s="1015">
        <v>1.7</v>
      </c>
      <c r="X150" s="1015"/>
      <c r="Y150" s="1015"/>
      <c r="Z150" s="1016">
        <f>'09월 에너지'!S152</f>
        <v>137.5</v>
      </c>
      <c r="AA150" s="1017"/>
      <c r="AB150" s="1208"/>
      <c r="AC150" s="1208"/>
      <c r="AD150" s="1208"/>
      <c r="AE150" s="1208"/>
      <c r="AF150" s="1208"/>
      <c r="AG150" s="1018">
        <f>'09월 화학성분'!AM150</f>
        <v>2364</v>
      </c>
      <c r="AH150" s="1006">
        <f t="shared" si="35"/>
        <v>41</v>
      </c>
      <c r="AI150" s="1019">
        <v>1580</v>
      </c>
      <c r="AJ150" s="1020">
        <v>0</v>
      </c>
      <c r="AK150" s="1021">
        <v>741</v>
      </c>
      <c r="AL150" s="1022">
        <v>5</v>
      </c>
      <c r="AM150" s="1155">
        <f>IF(AT150="","",3*'09월 에너지'!S152*(1/(3+7.8*(100-AT150)/AT150)))</f>
        <v>0.63933663980161182</v>
      </c>
      <c r="AN150" s="1023">
        <v>0.2076388888888889</v>
      </c>
      <c r="AO150" s="1024"/>
      <c r="AP150" s="1025"/>
      <c r="AQ150" s="1025"/>
      <c r="AR150" s="1149">
        <f t="shared" si="36"/>
        <v>14</v>
      </c>
      <c r="AS150" s="1093" t="str">
        <f t="shared" si="47"/>
        <v xml:space="preserve"> </v>
      </c>
      <c r="AT150" s="1156">
        <v>1.2</v>
      </c>
      <c r="AU150" s="449"/>
      <c r="AV150" s="1205"/>
    </row>
    <row r="151" spans="1:102" ht="16.5" customHeight="1">
      <c r="A151" s="1005">
        <f t="shared" si="37"/>
        <v>46270</v>
      </c>
      <c r="B151" s="1005">
        <f t="shared" si="38"/>
        <v>46270</v>
      </c>
      <c r="C151" s="1150">
        <f t="shared" si="39"/>
        <v>30</v>
      </c>
      <c r="D151" s="1150">
        <f t="shared" si="40"/>
        <v>140</v>
      </c>
      <c r="E151" s="1006" t="str">
        <f t="shared" si="41"/>
        <v>A</v>
      </c>
      <c r="F151" s="1007" t="str">
        <f t="shared" si="42"/>
        <v>B</v>
      </c>
      <c r="G151" s="1008">
        <f t="shared" si="43"/>
        <v>85353</v>
      </c>
      <c r="H151" s="1138">
        <f t="shared" si="44"/>
        <v>0.10625000000000001</v>
      </c>
      <c r="I151" s="1009">
        <v>0.10486111111111111</v>
      </c>
      <c r="J151" s="1010">
        <f t="shared" si="45"/>
        <v>46</v>
      </c>
      <c r="K151" s="1011"/>
      <c r="L151" s="1012"/>
      <c r="M151" s="1013"/>
      <c r="N151" s="1014" t="str">
        <f t="shared" si="46"/>
        <v/>
      </c>
      <c r="O151" s="1338" t="s">
        <v>647</v>
      </c>
      <c r="P151" s="1339"/>
      <c r="Q151" s="1339"/>
      <c r="R151" s="1339"/>
      <c r="S151" s="1339"/>
      <c r="T151" s="1340"/>
      <c r="U151" s="1015">
        <v>1.8</v>
      </c>
      <c r="V151" s="1015"/>
      <c r="W151" s="1015"/>
      <c r="X151" s="1015"/>
      <c r="Y151" s="1015">
        <v>2.5</v>
      </c>
      <c r="Z151" s="1016">
        <v>8</v>
      </c>
      <c r="AA151" s="1017"/>
      <c r="AB151" s="1208"/>
      <c r="AC151" s="1208"/>
      <c r="AD151" s="1208"/>
      <c r="AE151" s="1208"/>
      <c r="AF151" s="1208"/>
      <c r="AG151" s="1018">
        <f>'09월 화학성분'!AM151</f>
        <v>2261</v>
      </c>
      <c r="AH151" s="1006">
        <f t="shared" si="35"/>
        <v>42</v>
      </c>
      <c r="AI151" s="1019">
        <v>1552</v>
      </c>
      <c r="AJ151" s="1020">
        <v>0</v>
      </c>
      <c r="AK151" s="1021">
        <v>385</v>
      </c>
      <c r="AL151" s="1022">
        <v>11</v>
      </c>
      <c r="AM151" s="1155">
        <f>IF(AT151="","",3*'09월 에너지'!S153*(1/(3+7.8*(100-AT151)/AT151)))</f>
        <v>0.94488495024875618</v>
      </c>
      <c r="AN151" s="1023">
        <v>0.14861111111111111</v>
      </c>
      <c r="AO151" s="1024"/>
      <c r="AP151" s="1025"/>
      <c r="AQ151" s="1025"/>
      <c r="AR151" s="1149" t="str">
        <f t="shared" si="36"/>
        <v/>
      </c>
      <c r="AS151" s="1093">
        <f t="shared" si="47"/>
        <v>4</v>
      </c>
      <c r="AT151" s="1156">
        <v>1.7</v>
      </c>
      <c r="AU151" s="449"/>
      <c r="AV151" s="1205"/>
    </row>
    <row r="152" spans="1:102" ht="16.5" customHeight="1">
      <c r="A152" s="1005">
        <f t="shared" si="37"/>
        <v>46270</v>
      </c>
      <c r="B152" s="1005">
        <f t="shared" si="38"/>
        <v>46270</v>
      </c>
      <c r="C152" s="1150">
        <f t="shared" si="39"/>
        <v>31</v>
      </c>
      <c r="D152" s="1150">
        <f t="shared" si="40"/>
        <v>141</v>
      </c>
      <c r="E152" s="1006" t="str">
        <f t="shared" si="41"/>
        <v>A</v>
      </c>
      <c r="F152" s="1007" t="str">
        <f t="shared" si="42"/>
        <v>A</v>
      </c>
      <c r="G152" s="1008">
        <f t="shared" si="43"/>
        <v>85354</v>
      </c>
      <c r="H152" s="1138">
        <f t="shared" si="44"/>
        <v>0.13819444444444445</v>
      </c>
      <c r="I152" s="1009">
        <v>0.13958333333333334</v>
      </c>
      <c r="J152" s="1010">
        <f t="shared" si="45"/>
        <v>50</v>
      </c>
      <c r="K152" s="1011"/>
      <c r="L152" s="1012">
        <v>3</v>
      </c>
      <c r="M152" s="1013"/>
      <c r="N152" s="1014" t="str">
        <f t="shared" si="46"/>
        <v/>
      </c>
      <c r="O152" s="1323" t="s">
        <v>649</v>
      </c>
      <c r="P152" s="1324"/>
      <c r="Q152" s="1324"/>
      <c r="R152" s="1324"/>
      <c r="S152" s="1324"/>
      <c r="T152" s="1325"/>
      <c r="U152" s="1015">
        <v>1.8</v>
      </c>
      <c r="V152" s="1015"/>
      <c r="W152" s="1015"/>
      <c r="X152" s="1015"/>
      <c r="Y152" s="1015">
        <v>2.6</v>
      </c>
      <c r="Z152" s="1016">
        <f>'09월 에너지'!S154</f>
        <v>141.80000000000001</v>
      </c>
      <c r="AA152" s="1017"/>
      <c r="AB152" s="1208"/>
      <c r="AC152" s="1208"/>
      <c r="AD152" s="1208"/>
      <c r="AE152" s="1208"/>
      <c r="AF152" s="1208"/>
      <c r="AG152" s="1018">
        <f>'09월 화학성분'!AM152</f>
        <v>2390</v>
      </c>
      <c r="AH152" s="1006">
        <f t="shared" si="35"/>
        <v>43</v>
      </c>
      <c r="AI152" s="1019">
        <v>1561</v>
      </c>
      <c r="AJ152" s="1020">
        <v>0</v>
      </c>
      <c r="AK152" s="1021">
        <v>336</v>
      </c>
      <c r="AL152" s="1022">
        <v>13</v>
      </c>
      <c r="AM152" s="1155">
        <f>IF(AT152="","",3*'09월 에너지'!S154*(1/(3+7.8*(100-AT152)/AT152)))</f>
        <v>0.71471774193548387</v>
      </c>
      <c r="AN152" s="1023">
        <v>0.28194444444444444</v>
      </c>
      <c r="AO152" s="1024"/>
      <c r="AP152" s="1025"/>
      <c r="AQ152" s="1025"/>
      <c r="AR152" s="1149">
        <f t="shared" si="36"/>
        <v>15</v>
      </c>
      <c r="AS152" s="1093" t="str">
        <f t="shared" si="47"/>
        <v xml:space="preserve"> </v>
      </c>
      <c r="AT152" s="1156">
        <v>1.3</v>
      </c>
      <c r="AU152" s="449"/>
      <c r="AV152" s="1205"/>
    </row>
    <row r="153" spans="1:102" ht="16.5" customHeight="1">
      <c r="A153" s="1005">
        <v>46271</v>
      </c>
      <c r="B153" s="1005">
        <f t="shared" si="38"/>
        <v>46270</v>
      </c>
      <c r="C153" s="1150">
        <f t="shared" si="39"/>
        <v>1</v>
      </c>
      <c r="D153" s="1150">
        <f t="shared" si="40"/>
        <v>142</v>
      </c>
      <c r="E153" s="1006" t="str">
        <f t="shared" si="41"/>
        <v>A</v>
      </c>
      <c r="F153" s="1007" t="str">
        <f t="shared" si="42"/>
        <v>B</v>
      </c>
      <c r="G153" s="1008">
        <f t="shared" si="43"/>
        <v>85355</v>
      </c>
      <c r="H153" s="1138">
        <f t="shared" si="44"/>
        <v>0.17291666666666666</v>
      </c>
      <c r="I153" s="1009">
        <v>0.16944444444444443</v>
      </c>
      <c r="J153" s="1010">
        <f t="shared" si="45"/>
        <v>42.999999999999964</v>
      </c>
      <c r="K153" s="1011"/>
      <c r="L153" s="1012"/>
      <c r="M153" s="1013"/>
      <c r="N153" s="1014" t="str">
        <f t="shared" si="46"/>
        <v/>
      </c>
      <c r="O153" s="1323"/>
      <c r="P153" s="1324"/>
      <c r="Q153" s="1324"/>
      <c r="R153" s="1324"/>
      <c r="S153" s="1324"/>
      <c r="T153" s="1325"/>
      <c r="U153" s="1015">
        <v>1.8</v>
      </c>
      <c r="V153" s="1015"/>
      <c r="W153" s="1015"/>
      <c r="X153" s="1015">
        <v>2.6</v>
      </c>
      <c r="Y153" s="1015"/>
      <c r="Z153" s="1016">
        <f>'09월 에너지'!S155</f>
        <v>142.4</v>
      </c>
      <c r="AA153" s="1017"/>
      <c r="AB153" s="1208"/>
      <c r="AC153" s="1208"/>
      <c r="AD153" s="1208"/>
      <c r="AE153" s="1208"/>
      <c r="AF153" s="1208"/>
      <c r="AG153" s="1018">
        <f>'09월 화학성분'!AM153</f>
        <v>2237</v>
      </c>
      <c r="AH153" s="1006">
        <f t="shared" si="35"/>
        <v>44</v>
      </c>
      <c r="AI153" s="1019">
        <v>1575</v>
      </c>
      <c r="AJ153" s="1020">
        <v>0</v>
      </c>
      <c r="AK153" s="1021">
        <v>68</v>
      </c>
      <c r="AL153" s="1022">
        <v>12</v>
      </c>
      <c r="AM153" s="1155">
        <f>IF(AT153="","",3*'09월 에너지'!S155*(1/(3+7.8*(100-AT153)/AT153)))</f>
        <v>0.21961752004935231</v>
      </c>
      <c r="AN153" s="1023">
        <v>0.15972222222222224</v>
      </c>
      <c r="AO153" s="1024"/>
      <c r="AP153" s="1025"/>
      <c r="AQ153" s="1025"/>
      <c r="AR153" s="1149" t="str">
        <f t="shared" si="36"/>
        <v/>
      </c>
      <c r="AS153" s="1093">
        <f t="shared" si="47"/>
        <v>5</v>
      </c>
      <c r="AT153" s="1156">
        <v>0.4</v>
      </c>
      <c r="AU153" s="449"/>
      <c r="AV153" s="1205"/>
    </row>
    <row r="154" spans="1:102" ht="16.5" customHeight="1">
      <c r="A154" s="1005">
        <f t="shared" si="37"/>
        <v>46271</v>
      </c>
      <c r="B154" s="1005">
        <f t="shared" si="38"/>
        <v>46270</v>
      </c>
      <c r="C154" s="1150">
        <f t="shared" si="39"/>
        <v>2</v>
      </c>
      <c r="D154" s="1150">
        <f t="shared" si="40"/>
        <v>143</v>
      </c>
      <c r="E154" s="1006" t="str">
        <f t="shared" si="41"/>
        <v>A</v>
      </c>
      <c r="F154" s="1007" t="str">
        <f t="shared" si="42"/>
        <v>A</v>
      </c>
      <c r="G154" s="1008">
        <f t="shared" si="43"/>
        <v>85356</v>
      </c>
      <c r="H154" s="1138">
        <f t="shared" si="44"/>
        <v>0.20277777777777775</v>
      </c>
      <c r="I154" s="1009">
        <v>0.20277777777777781</v>
      </c>
      <c r="J154" s="1010">
        <f t="shared" si="45"/>
        <v>48.000000000000071</v>
      </c>
      <c r="K154" s="1011"/>
      <c r="L154" s="1012">
        <v>2</v>
      </c>
      <c r="M154" s="1013"/>
      <c r="N154" s="1014" t="str">
        <f t="shared" si="46"/>
        <v/>
      </c>
      <c r="O154" s="1323" t="s">
        <v>650</v>
      </c>
      <c r="P154" s="1324"/>
      <c r="Q154" s="1324"/>
      <c r="R154" s="1324"/>
      <c r="S154" s="1324"/>
      <c r="T154" s="1325"/>
      <c r="U154" s="1015">
        <v>1.8</v>
      </c>
      <c r="V154" s="1015"/>
      <c r="W154" s="1015"/>
      <c r="X154" s="1015"/>
      <c r="Y154" s="1015">
        <v>2.2999999999999998</v>
      </c>
      <c r="Z154" s="1016">
        <f>'09월 에너지'!S156</f>
        <v>143.5</v>
      </c>
      <c r="AA154" s="1017">
        <v>1974</v>
      </c>
      <c r="AB154" s="1208" t="s">
        <v>573</v>
      </c>
      <c r="AC154" s="1208" t="s">
        <v>548</v>
      </c>
      <c r="AD154" s="1208"/>
      <c r="AE154" s="1208"/>
      <c r="AF154" s="1208" t="s">
        <v>532</v>
      </c>
      <c r="AG154" s="1018">
        <f>'09월 화학성분'!AM154</f>
        <v>1597</v>
      </c>
      <c r="AH154" s="1006">
        <f t="shared" si="35"/>
        <v>45</v>
      </c>
      <c r="AI154" s="1019">
        <v>1582</v>
      </c>
      <c r="AJ154" s="1020">
        <v>0</v>
      </c>
      <c r="AK154" s="1021">
        <v>400</v>
      </c>
      <c r="AL154" s="1022">
        <v>11</v>
      </c>
      <c r="AM154" s="1155">
        <f>IF(AT154="","",3*'09월 에너지'!S156*(1/(3+7.8*(100-AT154)/AT154)))</f>
        <v>0.77940720049658596</v>
      </c>
      <c r="AN154" s="1023">
        <v>0.19375000000000001</v>
      </c>
      <c r="AO154" s="1024" t="s">
        <v>659</v>
      </c>
      <c r="AP154" s="1025">
        <v>2000040</v>
      </c>
      <c r="AQ154" s="1025">
        <v>2136</v>
      </c>
      <c r="AR154" s="1149">
        <v>1</v>
      </c>
      <c r="AS154" s="1093" t="str">
        <f t="shared" si="47"/>
        <v xml:space="preserve"> </v>
      </c>
      <c r="AT154" s="1156">
        <v>1.4</v>
      </c>
      <c r="AU154" s="449"/>
      <c r="AV154" s="1205"/>
    </row>
    <row r="155" spans="1:102" ht="16.5" customHeight="1">
      <c r="A155" s="1005">
        <f t="shared" si="37"/>
        <v>46271</v>
      </c>
      <c r="B155" s="1005">
        <f t="shared" si="38"/>
        <v>46270</v>
      </c>
      <c r="C155" s="1150">
        <f t="shared" si="39"/>
        <v>3</v>
      </c>
      <c r="D155" s="1150">
        <f t="shared" si="40"/>
        <v>144</v>
      </c>
      <c r="E155" s="1006" t="str">
        <f t="shared" si="41"/>
        <v>A</v>
      </c>
      <c r="F155" s="1007" t="str">
        <f t="shared" si="42"/>
        <v>B</v>
      </c>
      <c r="G155" s="1008">
        <f t="shared" si="43"/>
        <v>85357</v>
      </c>
      <c r="H155" s="1138">
        <f t="shared" si="44"/>
        <v>0.23611111111111113</v>
      </c>
      <c r="I155" s="1009">
        <v>0.23541666666666669</v>
      </c>
      <c r="J155" s="1010">
        <f t="shared" si="45"/>
        <v>46.999999999999993</v>
      </c>
      <c r="K155" s="1011"/>
      <c r="L155" s="1012"/>
      <c r="M155" s="1013"/>
      <c r="N155" s="1014" t="str">
        <f t="shared" si="46"/>
        <v/>
      </c>
      <c r="O155" s="1323" t="s">
        <v>530</v>
      </c>
      <c r="P155" s="1324"/>
      <c r="Q155" s="1324"/>
      <c r="R155" s="1324"/>
      <c r="S155" s="1324"/>
      <c r="T155" s="1325"/>
      <c r="U155" s="1015">
        <v>1.8</v>
      </c>
      <c r="V155" s="1015"/>
      <c r="W155" s="1015"/>
      <c r="X155" s="1015"/>
      <c r="Y155" s="1015">
        <v>2.8</v>
      </c>
      <c r="Z155" s="1016">
        <f>'09월 에너지'!S157</f>
        <v>143.80000000000001</v>
      </c>
      <c r="AA155" s="1017">
        <v>2512</v>
      </c>
      <c r="AB155" s="1208" t="s">
        <v>573</v>
      </c>
      <c r="AC155" s="1208" t="s">
        <v>548</v>
      </c>
      <c r="AD155" s="1208"/>
      <c r="AE155" s="1208"/>
      <c r="AF155" s="1208" t="s">
        <v>532</v>
      </c>
      <c r="AG155" s="1018">
        <f>'09월 화학성분'!AM155</f>
        <v>1522</v>
      </c>
      <c r="AH155" s="1006">
        <f t="shared" si="35"/>
        <v>46</v>
      </c>
      <c r="AI155" s="1019">
        <v>1552</v>
      </c>
      <c r="AJ155" s="1020">
        <v>0</v>
      </c>
      <c r="AK155" s="1021">
        <v>498</v>
      </c>
      <c r="AL155" s="1022">
        <v>8</v>
      </c>
      <c r="AM155" s="1155">
        <f>IF(AT155="","",3*'09월 에너지'!S157*(1/(3+7.8*(100-AT155)/AT155)))</f>
        <v>0.83734472049689457</v>
      </c>
      <c r="AN155" s="1023">
        <v>0.15902777777777777</v>
      </c>
      <c r="AO155" s="1024"/>
      <c r="AP155" s="1025"/>
      <c r="AQ155" s="1025"/>
      <c r="AR155" s="1149" t="str">
        <f t="shared" si="36"/>
        <v/>
      </c>
      <c r="AS155" s="1093">
        <f t="shared" si="47"/>
        <v>6</v>
      </c>
      <c r="AT155" s="1156">
        <v>1.5</v>
      </c>
      <c r="AU155" s="449"/>
      <c r="AV155" s="1205"/>
    </row>
    <row r="156" spans="1:102" ht="16.5" customHeight="1">
      <c r="A156" s="1005">
        <f t="shared" si="37"/>
        <v>46271</v>
      </c>
      <c r="B156" s="1005">
        <f t="shared" si="38"/>
        <v>46270</v>
      </c>
      <c r="C156" s="1150">
        <f t="shared" si="39"/>
        <v>4</v>
      </c>
      <c r="D156" s="1150">
        <f t="shared" si="40"/>
        <v>145</v>
      </c>
      <c r="E156" s="1006" t="str">
        <f t="shared" si="41"/>
        <v>A</v>
      </c>
      <c r="F156" s="1007" t="str">
        <f t="shared" si="42"/>
        <v>A</v>
      </c>
      <c r="G156" s="1008">
        <f t="shared" si="43"/>
        <v>85358</v>
      </c>
      <c r="H156" s="1138">
        <f t="shared" si="44"/>
        <v>0.26875000000000004</v>
      </c>
      <c r="I156" s="1009">
        <v>0.26597222222222222</v>
      </c>
      <c r="J156" s="1010">
        <f t="shared" si="45"/>
        <v>43.999999999999964</v>
      </c>
      <c r="K156" s="1011"/>
      <c r="L156" s="1012"/>
      <c r="M156" s="1013"/>
      <c r="N156" s="1014" t="str">
        <f t="shared" si="46"/>
        <v/>
      </c>
      <c r="O156" s="1323"/>
      <c r="P156" s="1324"/>
      <c r="Q156" s="1324"/>
      <c r="R156" s="1324"/>
      <c r="S156" s="1324"/>
      <c r="T156" s="1325"/>
      <c r="U156" s="1015">
        <v>1.8</v>
      </c>
      <c r="V156" s="1015"/>
      <c r="W156" s="1015"/>
      <c r="X156" s="1015"/>
      <c r="Y156" s="1015">
        <v>2.7</v>
      </c>
      <c r="Z156" s="1016">
        <f>'09월 에너지'!S158</f>
        <v>143.5</v>
      </c>
      <c r="AA156" s="1017"/>
      <c r="AB156" s="1208"/>
      <c r="AC156" s="1208"/>
      <c r="AD156" s="1208"/>
      <c r="AE156" s="1208"/>
      <c r="AF156" s="1208"/>
      <c r="AG156" s="1018">
        <f>'09월 화학성분'!AM156</f>
        <v>1042</v>
      </c>
      <c r="AH156" s="1006">
        <f t="shared" si="35"/>
        <v>47</v>
      </c>
      <c r="AI156" s="1019">
        <v>1563</v>
      </c>
      <c r="AJ156" s="1020">
        <v>0</v>
      </c>
      <c r="AK156" s="1021">
        <v>540</v>
      </c>
      <c r="AL156" s="1022">
        <v>8</v>
      </c>
      <c r="AM156" s="1155">
        <f>IF(AT156="","",3*'09월 에너지'!S158*(1/(3+7.8*(100-AT156)/AT156)))</f>
        <v>0.94818874378109452</v>
      </c>
      <c r="AN156" s="1023">
        <v>0.22152777777777777</v>
      </c>
      <c r="AO156" s="1024"/>
      <c r="AP156" s="1025"/>
      <c r="AQ156" s="1025"/>
      <c r="AR156" s="1149">
        <f t="shared" si="36"/>
        <v>2</v>
      </c>
      <c r="AS156" s="1093" t="str">
        <f t="shared" si="47"/>
        <v xml:space="preserve"> </v>
      </c>
      <c r="AT156" s="1156">
        <v>1.7</v>
      </c>
      <c r="AU156" s="449"/>
      <c r="AV156" s="1205"/>
    </row>
    <row r="157" spans="1:102" ht="16.5" customHeight="1">
      <c r="A157" s="1005">
        <f t="shared" si="37"/>
        <v>46271</v>
      </c>
      <c r="B157" s="1005">
        <v>46271</v>
      </c>
      <c r="C157" s="1150">
        <f t="shared" si="39"/>
        <v>5</v>
      </c>
      <c r="D157" s="1150">
        <f t="shared" si="40"/>
        <v>146</v>
      </c>
      <c r="E157" s="1006" t="s">
        <v>600</v>
      </c>
      <c r="F157" s="1007" t="str">
        <f t="shared" si="42"/>
        <v>B</v>
      </c>
      <c r="G157" s="1008">
        <f t="shared" si="43"/>
        <v>85359</v>
      </c>
      <c r="H157" s="1138">
        <f t="shared" si="44"/>
        <v>0.29930555555555555</v>
      </c>
      <c r="I157" s="1009">
        <v>0.29652777777777778</v>
      </c>
      <c r="J157" s="1010">
        <f t="shared" si="45"/>
        <v>44</v>
      </c>
      <c r="K157" s="1011"/>
      <c r="L157" s="1012"/>
      <c r="M157" s="1013"/>
      <c r="N157" s="1014" t="str">
        <f t="shared" si="46"/>
        <v/>
      </c>
      <c r="O157" s="1323"/>
      <c r="P157" s="1324"/>
      <c r="Q157" s="1324"/>
      <c r="R157" s="1324"/>
      <c r="S157" s="1324"/>
      <c r="T157" s="1325"/>
      <c r="U157" s="1015">
        <v>1.8</v>
      </c>
      <c r="V157" s="1015"/>
      <c r="W157" s="1015"/>
      <c r="X157" s="1015"/>
      <c r="Y157" s="1015"/>
      <c r="Z157" s="1016">
        <f>'09월 에너지'!S159</f>
        <v>144.30000000000001</v>
      </c>
      <c r="AA157" s="1017"/>
      <c r="AB157" s="1208"/>
      <c r="AC157" s="1208"/>
      <c r="AD157" s="1208"/>
      <c r="AE157" s="1208"/>
      <c r="AF157" s="1208"/>
      <c r="AG157" s="1018">
        <f>'09월 화학성분'!AM157</f>
        <v>1014</v>
      </c>
      <c r="AH157" s="1006">
        <f t="shared" si="35"/>
        <v>48</v>
      </c>
      <c r="AI157" s="1019">
        <v>1600</v>
      </c>
      <c r="AJ157" s="1020">
        <v>63</v>
      </c>
      <c r="AK157" s="1021">
        <v>870</v>
      </c>
      <c r="AL157" s="1022">
        <v>4</v>
      </c>
      <c r="AM157" s="1155">
        <f>IF(AT157="","",3*'09월 에너지'!S159*(1/(3+7.8*(100-AT157)/AT157)))</f>
        <v>1.4664634146341466</v>
      </c>
      <c r="AN157" s="1023">
        <v>0.14930555555555555</v>
      </c>
      <c r="AO157" s="1024"/>
      <c r="AP157" s="1025"/>
      <c r="AQ157" s="1025"/>
      <c r="AR157" s="1149" t="str">
        <f t="shared" si="36"/>
        <v/>
      </c>
      <c r="AS157" s="1093">
        <f t="shared" si="47"/>
        <v>7</v>
      </c>
      <c r="AT157" s="1156">
        <v>2.6</v>
      </c>
      <c r="AU157" s="449"/>
      <c r="AV157" s="1205"/>
    </row>
    <row r="158" spans="1:102" ht="16.5" customHeight="1">
      <c r="A158" s="1005">
        <f t="shared" si="37"/>
        <v>46271</v>
      </c>
      <c r="B158" s="1005">
        <f t="shared" si="38"/>
        <v>46271</v>
      </c>
      <c r="C158" s="1150">
        <f t="shared" si="39"/>
        <v>6</v>
      </c>
      <c r="D158" s="1150">
        <f t="shared" si="40"/>
        <v>147</v>
      </c>
      <c r="E158" s="1006" t="str">
        <f t="shared" si="41"/>
        <v>B</v>
      </c>
      <c r="F158" s="1007" t="str">
        <f t="shared" si="42"/>
        <v>A</v>
      </c>
      <c r="G158" s="1008">
        <f t="shared" si="43"/>
        <v>85360</v>
      </c>
      <c r="H158" s="1138">
        <f t="shared" si="44"/>
        <v>0.3298611111111111</v>
      </c>
      <c r="I158" s="1009">
        <v>0.32708333333333334</v>
      </c>
      <c r="J158" s="1010">
        <f t="shared" si="45"/>
        <v>44</v>
      </c>
      <c r="K158" s="1011"/>
      <c r="L158" s="1012"/>
      <c r="M158" s="1013"/>
      <c r="N158" s="1014" t="str">
        <f t="shared" si="46"/>
        <v/>
      </c>
      <c r="O158" s="1323" t="s">
        <v>653</v>
      </c>
      <c r="P158" s="1324"/>
      <c r="Q158" s="1324"/>
      <c r="R158" s="1324"/>
      <c r="S158" s="1324"/>
      <c r="T158" s="1325"/>
      <c r="U158" s="1015">
        <v>1.8</v>
      </c>
      <c r="V158" s="1015" t="s">
        <v>651</v>
      </c>
      <c r="W158" s="1015"/>
      <c r="X158" s="1015"/>
      <c r="Y158" s="1015">
        <v>2.5</v>
      </c>
      <c r="Z158" s="1016">
        <f>'09월 에너지'!S160</f>
        <v>140.9</v>
      </c>
      <c r="AA158" s="1017"/>
      <c r="AB158" s="1208"/>
      <c r="AC158" s="1208"/>
      <c r="AD158" s="1208"/>
      <c r="AE158" s="1208"/>
      <c r="AF158" s="1208"/>
      <c r="AG158" s="1018">
        <f>'09월 화학성분'!AM158</f>
        <v>1110</v>
      </c>
      <c r="AH158" s="1006">
        <f t="shared" si="35"/>
        <v>49</v>
      </c>
      <c r="AI158" s="1019">
        <v>1567</v>
      </c>
      <c r="AJ158" s="1020">
        <v>51</v>
      </c>
      <c r="AK158" s="1021">
        <v>508</v>
      </c>
      <c r="AL158" s="1022">
        <v>8</v>
      </c>
      <c r="AM158" s="1155">
        <f>IF(AT158="","",3*'09월 에너지'!S160*(1/(3+7.8*(100-AT158)/AT158)))</f>
        <v>1.6001331453634089</v>
      </c>
      <c r="AN158" s="1023">
        <v>0.18888888888888888</v>
      </c>
      <c r="AO158" s="1024"/>
      <c r="AP158" s="1025"/>
      <c r="AQ158" s="1025"/>
      <c r="AR158" s="1149">
        <f t="shared" si="36"/>
        <v>3</v>
      </c>
      <c r="AS158" s="1093" t="str">
        <f t="shared" si="47"/>
        <v xml:space="preserve"> </v>
      </c>
      <c r="AT158" s="1156">
        <v>2.9</v>
      </c>
      <c r="AU158" s="449"/>
      <c r="AV158" s="1205"/>
    </row>
    <row r="159" spans="1:102" ht="16.5" customHeight="1">
      <c r="A159" s="1005">
        <f t="shared" si="37"/>
        <v>46271</v>
      </c>
      <c r="B159" s="1005">
        <f t="shared" si="38"/>
        <v>46271</v>
      </c>
      <c r="C159" s="1150">
        <f t="shared" si="39"/>
        <v>7</v>
      </c>
      <c r="D159" s="1150">
        <f t="shared" si="40"/>
        <v>148</v>
      </c>
      <c r="E159" s="1006" t="str">
        <f t="shared" si="41"/>
        <v>B</v>
      </c>
      <c r="F159" s="1007" t="str">
        <f t="shared" si="42"/>
        <v>B</v>
      </c>
      <c r="G159" s="1008">
        <f t="shared" si="43"/>
        <v>85361</v>
      </c>
      <c r="H159" s="1138">
        <f t="shared" si="44"/>
        <v>0.36041666666666666</v>
      </c>
      <c r="I159" s="1009">
        <v>0.35833333333333334</v>
      </c>
      <c r="J159" s="1010">
        <f t="shared" si="45"/>
        <v>45</v>
      </c>
      <c r="K159" s="1011"/>
      <c r="L159" s="1012"/>
      <c r="M159" s="1013"/>
      <c r="N159" s="1014" t="str">
        <f t="shared" si="46"/>
        <v/>
      </c>
      <c r="O159" s="1323"/>
      <c r="P159" s="1324"/>
      <c r="Q159" s="1324"/>
      <c r="R159" s="1324"/>
      <c r="S159" s="1324"/>
      <c r="T159" s="1325"/>
      <c r="U159" s="1015">
        <v>1.8</v>
      </c>
      <c r="V159" s="1015">
        <v>2.5</v>
      </c>
      <c r="W159" s="1015">
        <v>1.4</v>
      </c>
      <c r="X159" s="1015"/>
      <c r="Y159" s="1015"/>
      <c r="Z159" s="1016">
        <f>'09월 에너지'!S161</f>
        <v>142.80000000000001</v>
      </c>
      <c r="AA159" s="1017"/>
      <c r="AB159" s="1208"/>
      <c r="AC159" s="1208"/>
      <c r="AD159" s="1208"/>
      <c r="AE159" s="1208"/>
      <c r="AF159" s="1208"/>
      <c r="AG159" s="1018">
        <f>'09월 화학성분'!AM159</f>
        <v>1738</v>
      </c>
      <c r="AH159" s="1006">
        <f t="shared" si="35"/>
        <v>50</v>
      </c>
      <c r="AI159" s="1019">
        <v>1571</v>
      </c>
      <c r="AJ159" s="1020">
        <v>52</v>
      </c>
      <c r="AK159" s="1021">
        <v>485</v>
      </c>
      <c r="AL159" s="1022">
        <v>9</v>
      </c>
      <c r="AM159" s="1155">
        <f>IF(AT159="","",3*'09월 에너지'!S161*(1/(3+7.8*(100-AT159)/AT159)))</f>
        <v>1.2248908296943235</v>
      </c>
      <c r="AN159" s="1023">
        <v>0.14652777777777778</v>
      </c>
      <c r="AO159" s="1024"/>
      <c r="AP159" s="1025"/>
      <c r="AQ159" s="1025"/>
      <c r="AR159" s="1149" t="str">
        <f t="shared" si="36"/>
        <v/>
      </c>
      <c r="AS159" s="1093">
        <f t="shared" si="47"/>
        <v>8</v>
      </c>
      <c r="AT159" s="1156">
        <v>2.2000000000000002</v>
      </c>
      <c r="AU159" s="449"/>
      <c r="AV159" s="1205"/>
      <c r="CX159" s="450" t="s">
        <v>439</v>
      </c>
    </row>
    <row r="160" spans="1:102" ht="16.5" customHeight="1">
      <c r="A160" s="1005">
        <f t="shared" si="37"/>
        <v>46271</v>
      </c>
      <c r="B160" s="1005">
        <f t="shared" si="38"/>
        <v>46271</v>
      </c>
      <c r="C160" s="1150">
        <f t="shared" si="39"/>
        <v>8</v>
      </c>
      <c r="D160" s="1150">
        <f t="shared" si="40"/>
        <v>149</v>
      </c>
      <c r="E160" s="1006" t="str">
        <f t="shared" si="41"/>
        <v>B</v>
      </c>
      <c r="F160" s="1007" t="str">
        <f t="shared" si="42"/>
        <v>A</v>
      </c>
      <c r="G160" s="1008">
        <f t="shared" si="43"/>
        <v>85362</v>
      </c>
      <c r="H160" s="1138">
        <f t="shared" si="44"/>
        <v>0.39166666666666666</v>
      </c>
      <c r="I160" s="1009">
        <v>0.38958333333333334</v>
      </c>
      <c r="J160" s="1010">
        <f t="shared" si="45"/>
        <v>45</v>
      </c>
      <c r="K160" s="1011"/>
      <c r="L160" s="1012"/>
      <c r="M160" s="1013"/>
      <c r="N160" s="1014" t="str">
        <f t="shared" si="46"/>
        <v/>
      </c>
      <c r="O160" s="1323"/>
      <c r="P160" s="1324"/>
      <c r="Q160" s="1324"/>
      <c r="R160" s="1324"/>
      <c r="S160" s="1324"/>
      <c r="T160" s="1325"/>
      <c r="U160" s="1015">
        <v>1.8</v>
      </c>
      <c r="V160" s="1015"/>
      <c r="W160" s="1015"/>
      <c r="X160" s="1015"/>
      <c r="Y160" s="1015">
        <v>2.4</v>
      </c>
      <c r="Z160" s="1016">
        <f>'09월 에너지'!S162</f>
        <v>143.80000000000001</v>
      </c>
      <c r="AA160" s="1017"/>
      <c r="AB160" s="1208"/>
      <c r="AC160" s="1208"/>
      <c r="AD160" s="1208"/>
      <c r="AE160" s="1208"/>
      <c r="AF160" s="1208"/>
      <c r="AG160" s="1018">
        <f>'09월 화학성분'!AM160</f>
        <v>1123</v>
      </c>
      <c r="AH160" s="1006">
        <f t="shared" si="35"/>
        <v>51</v>
      </c>
      <c r="AI160" s="1019">
        <v>1587</v>
      </c>
      <c r="AJ160" s="1020">
        <v>41</v>
      </c>
      <c r="AK160" s="1021">
        <v>904</v>
      </c>
      <c r="AL160" s="1022">
        <v>4</v>
      </c>
      <c r="AM160" s="1155">
        <f>IF(AT160="","",3*'09월 에너지'!S162*(1/(3+7.8*(100-AT160)/AT160)))</f>
        <v>1.11993769470405</v>
      </c>
      <c r="AN160" s="1023">
        <v>0.19791666666666666</v>
      </c>
      <c r="AO160" s="1024"/>
      <c r="AP160" s="1025"/>
      <c r="AQ160" s="1025"/>
      <c r="AR160" s="1149">
        <f t="shared" si="36"/>
        <v>4</v>
      </c>
      <c r="AS160" s="1093" t="str">
        <f t="shared" si="47"/>
        <v xml:space="preserve"> </v>
      </c>
      <c r="AT160" s="1156">
        <v>2</v>
      </c>
      <c r="AU160" s="449"/>
      <c r="AV160" s="1205"/>
    </row>
    <row r="161" spans="1:48" ht="16.5" customHeight="1">
      <c r="A161" s="1005">
        <f t="shared" si="37"/>
        <v>46271</v>
      </c>
      <c r="B161" s="1005">
        <f t="shared" si="38"/>
        <v>46271</v>
      </c>
      <c r="C161" s="1150">
        <f t="shared" si="39"/>
        <v>9</v>
      </c>
      <c r="D161" s="1150">
        <f t="shared" si="40"/>
        <v>150</v>
      </c>
      <c r="E161" s="1006" t="str">
        <f t="shared" si="41"/>
        <v>B</v>
      </c>
      <c r="F161" s="1007" t="str">
        <f t="shared" si="42"/>
        <v>B</v>
      </c>
      <c r="G161" s="1008">
        <f t="shared" si="43"/>
        <v>85363</v>
      </c>
      <c r="H161" s="1138">
        <f t="shared" si="44"/>
        <v>0.42291666666666666</v>
      </c>
      <c r="I161" s="1009">
        <v>0.42083333333333334</v>
      </c>
      <c r="J161" s="1010">
        <f t="shared" si="45"/>
        <v>45</v>
      </c>
      <c r="K161" s="1011"/>
      <c r="L161" s="1012"/>
      <c r="M161" s="1013"/>
      <c r="N161" s="1014" t="str">
        <f t="shared" si="46"/>
        <v/>
      </c>
      <c r="O161" s="1338" t="s">
        <v>652</v>
      </c>
      <c r="P161" s="1339"/>
      <c r="Q161" s="1339"/>
      <c r="R161" s="1339"/>
      <c r="S161" s="1339"/>
      <c r="T161" s="1340"/>
      <c r="U161" s="1015">
        <v>1.8</v>
      </c>
      <c r="V161" s="1015"/>
      <c r="W161" s="1015"/>
      <c r="X161" s="1015"/>
      <c r="Y161" s="1015">
        <v>2.6</v>
      </c>
      <c r="Z161" s="1016">
        <f>'09월 에너지'!S163</f>
        <v>144.19999999999999</v>
      </c>
      <c r="AA161" s="1017"/>
      <c r="AB161" s="1208"/>
      <c r="AC161" s="1208"/>
      <c r="AD161" s="1208"/>
      <c r="AE161" s="1208"/>
      <c r="AF161" s="1208"/>
      <c r="AG161" s="1018">
        <f>'09월 화학성분'!AM161</f>
        <v>1750</v>
      </c>
      <c r="AH161" s="1235">
        <v>1</v>
      </c>
      <c r="AI161" s="1019">
        <v>1592</v>
      </c>
      <c r="AJ161" s="1020">
        <v>0</v>
      </c>
      <c r="AK161" s="1021">
        <v>485</v>
      </c>
      <c r="AL161" s="1022">
        <v>9</v>
      </c>
      <c r="AM161" s="1155">
        <f>IF(AT161="","",3*'09월 에너지'!S163*(1/(3+7.8*(100-AT161)/AT161)))</f>
        <v>1.2368995633187774</v>
      </c>
      <c r="AN161" s="1023">
        <v>0.14652777777777778</v>
      </c>
      <c r="AO161" s="1024"/>
      <c r="AP161" s="1025"/>
      <c r="AQ161" s="1025"/>
      <c r="AR161" s="1149" t="str">
        <f t="shared" si="36"/>
        <v/>
      </c>
      <c r="AS161" s="1093">
        <f t="shared" si="47"/>
        <v>9</v>
      </c>
      <c r="AT161" s="1156">
        <v>2.2000000000000002</v>
      </c>
      <c r="AU161" s="449"/>
      <c r="AV161" s="1205"/>
    </row>
    <row r="162" spans="1:48" ht="16.5" customHeight="1">
      <c r="A162" s="1005">
        <f t="shared" si="37"/>
        <v>46271</v>
      </c>
      <c r="B162" s="1005">
        <f t="shared" si="38"/>
        <v>46271</v>
      </c>
      <c r="C162" s="1150">
        <f t="shared" si="39"/>
        <v>10</v>
      </c>
      <c r="D162" s="1150">
        <f t="shared" si="40"/>
        <v>151</v>
      </c>
      <c r="E162" s="1006" t="str">
        <f t="shared" si="41"/>
        <v>B</v>
      </c>
      <c r="F162" s="1007" t="str">
        <f t="shared" si="42"/>
        <v>A</v>
      </c>
      <c r="G162" s="1008">
        <f t="shared" si="43"/>
        <v>85364</v>
      </c>
      <c r="H162" s="1138">
        <f t="shared" si="44"/>
        <v>0.45416666666666666</v>
      </c>
      <c r="I162" s="1009">
        <v>0.45208333333333334</v>
      </c>
      <c r="J162" s="1010">
        <f t="shared" si="45"/>
        <v>45</v>
      </c>
      <c r="K162" s="1011"/>
      <c r="L162" s="1012"/>
      <c r="M162" s="1013"/>
      <c r="N162" s="1014" t="str">
        <f t="shared" si="46"/>
        <v/>
      </c>
      <c r="O162" s="1323"/>
      <c r="P162" s="1324"/>
      <c r="Q162" s="1324"/>
      <c r="R162" s="1324"/>
      <c r="S162" s="1324"/>
      <c r="T162" s="1325"/>
      <c r="U162" s="1015">
        <v>1.8</v>
      </c>
      <c r="V162" s="1015" t="s">
        <v>651</v>
      </c>
      <c r="W162" s="1015"/>
      <c r="X162" s="1015"/>
      <c r="Y162" s="1015"/>
      <c r="Z162" s="1016">
        <f>'09월 에너지'!S164</f>
        <v>145.69999999999999</v>
      </c>
      <c r="AA162" s="1017"/>
      <c r="AB162" s="1208"/>
      <c r="AC162" s="1208"/>
      <c r="AD162" s="1208"/>
      <c r="AE162" s="1208"/>
      <c r="AF162" s="1208"/>
      <c r="AG162" s="1018">
        <f>'09월 화학성분'!AM162</f>
        <v>1129</v>
      </c>
      <c r="AH162" s="1006">
        <f t="shared" si="35"/>
        <v>2</v>
      </c>
      <c r="AI162" s="1019">
        <v>1571</v>
      </c>
      <c r="AJ162" s="1020">
        <v>0</v>
      </c>
      <c r="AK162" s="1021">
        <v>750</v>
      </c>
      <c r="AL162" s="1022">
        <v>5</v>
      </c>
      <c r="AM162" s="1155">
        <f>IF(AT162="","",3*'09월 에너지'!S164*(1/(3+7.8*(100-AT162)/AT162)))</f>
        <v>1.5386029411764708</v>
      </c>
      <c r="AN162" s="1023">
        <v>0.33194444444444443</v>
      </c>
      <c r="AO162" s="1024"/>
      <c r="AP162" s="1025"/>
      <c r="AQ162" s="1025"/>
      <c r="AR162" s="1149">
        <f t="shared" si="36"/>
        <v>5</v>
      </c>
      <c r="AS162" s="1093" t="str">
        <f t="shared" si="47"/>
        <v xml:space="preserve"> </v>
      </c>
      <c r="AT162" s="1156">
        <v>2.7</v>
      </c>
      <c r="AU162" s="449"/>
      <c r="AV162" s="1205"/>
    </row>
    <row r="163" spans="1:48" ht="16.5" customHeight="1">
      <c r="A163" s="1005">
        <f t="shared" si="37"/>
        <v>46271</v>
      </c>
      <c r="B163" s="1005">
        <f t="shared" si="38"/>
        <v>46271</v>
      </c>
      <c r="C163" s="1150">
        <f t="shared" si="39"/>
        <v>11</v>
      </c>
      <c r="D163" s="1150">
        <f t="shared" si="40"/>
        <v>152</v>
      </c>
      <c r="E163" s="1006" t="str">
        <f t="shared" si="41"/>
        <v>B</v>
      </c>
      <c r="F163" s="1007" t="str">
        <f t="shared" si="42"/>
        <v>B</v>
      </c>
      <c r="G163" s="1008">
        <f t="shared" si="43"/>
        <v>85365</v>
      </c>
      <c r="H163" s="1138">
        <f t="shared" si="44"/>
        <v>0.48541666666666666</v>
      </c>
      <c r="I163" s="1009">
        <v>0.49374999999999997</v>
      </c>
      <c r="J163" s="1010">
        <f t="shared" si="45"/>
        <v>59.999999999999943</v>
      </c>
      <c r="K163" s="1011"/>
      <c r="L163" s="1012">
        <v>9</v>
      </c>
      <c r="M163" s="1013"/>
      <c r="N163" s="1014" t="str">
        <f t="shared" si="46"/>
        <v/>
      </c>
      <c r="O163" s="1338" t="s">
        <v>655</v>
      </c>
      <c r="P163" s="1339"/>
      <c r="Q163" s="1339"/>
      <c r="R163" s="1339"/>
      <c r="S163" s="1339"/>
      <c r="T163" s="1340"/>
      <c r="U163" s="1015">
        <v>1.8</v>
      </c>
      <c r="V163" s="1015">
        <v>2.4</v>
      </c>
      <c r="W163" s="1015">
        <v>1.5</v>
      </c>
      <c r="X163" s="1015"/>
      <c r="Y163" s="1015"/>
      <c r="Z163" s="1016">
        <f>'09월 에너지'!S165</f>
        <v>143.5</v>
      </c>
      <c r="AA163" s="1017">
        <v>3210</v>
      </c>
      <c r="AB163" s="1208" t="s">
        <v>573</v>
      </c>
      <c r="AC163" s="1208" t="s">
        <v>548</v>
      </c>
      <c r="AD163" s="1208" t="s">
        <v>548</v>
      </c>
      <c r="AE163" s="1208"/>
      <c r="AF163" s="1208" t="s">
        <v>532</v>
      </c>
      <c r="AG163" s="1018">
        <f>'09월 화학성분'!AM163</f>
        <v>1528</v>
      </c>
      <c r="AH163" s="1006">
        <f t="shared" si="35"/>
        <v>3</v>
      </c>
      <c r="AI163" s="1019">
        <v>1580</v>
      </c>
      <c r="AJ163" s="1020">
        <v>0</v>
      </c>
      <c r="AK163" s="1021">
        <v>405</v>
      </c>
      <c r="AL163" s="1022">
        <v>11</v>
      </c>
      <c r="AM163" s="1155">
        <f>IF(AT163="","",3*'09월 에너지'!S165*(1/(3+7.8*(100-AT163)/AT163)))</f>
        <v>1.6869122257053291</v>
      </c>
      <c r="AN163" s="1023">
        <v>0.13819444444444443</v>
      </c>
      <c r="AO163" s="1024"/>
      <c r="AP163" s="1025"/>
      <c r="AQ163" s="1025"/>
      <c r="AR163" s="1149" t="str">
        <f t="shared" si="36"/>
        <v/>
      </c>
      <c r="AS163" s="1093">
        <f t="shared" ref="AS163:AS205" si="48">IFERROR(IF($I163="","",IF($F163="B",AS162+1," ")),AS161+1)</f>
        <v>10</v>
      </c>
      <c r="AT163" s="1156">
        <v>3</v>
      </c>
      <c r="AU163" s="449"/>
      <c r="AV163" s="1205"/>
    </row>
    <row r="164" spans="1:48" ht="16.5" customHeight="1">
      <c r="A164" s="1005">
        <f t="shared" si="37"/>
        <v>46271</v>
      </c>
      <c r="B164" s="1005">
        <f t="shared" si="38"/>
        <v>46271</v>
      </c>
      <c r="C164" s="1150">
        <f t="shared" si="39"/>
        <v>12</v>
      </c>
      <c r="D164" s="1150">
        <f t="shared" si="40"/>
        <v>153</v>
      </c>
      <c r="E164" s="1006" t="str">
        <f t="shared" si="41"/>
        <v>B</v>
      </c>
      <c r="F164" s="1007" t="str">
        <f t="shared" si="42"/>
        <v>A</v>
      </c>
      <c r="G164" s="1008">
        <f t="shared" si="43"/>
        <v>85366</v>
      </c>
      <c r="H164" s="1138">
        <f t="shared" si="44"/>
        <v>0.52708333333333335</v>
      </c>
      <c r="I164" s="1009">
        <v>0.52083333333333337</v>
      </c>
      <c r="J164" s="1010">
        <f t="shared" si="45"/>
        <v>39.000000000000099</v>
      </c>
      <c r="K164" s="1011"/>
      <c r="L164" s="1012"/>
      <c r="M164" s="1013"/>
      <c r="N164" s="1014" t="str">
        <f t="shared" si="46"/>
        <v/>
      </c>
      <c r="O164" s="1323" t="s">
        <v>656</v>
      </c>
      <c r="P164" s="1324"/>
      <c r="Q164" s="1324"/>
      <c r="R164" s="1324"/>
      <c r="S164" s="1324"/>
      <c r="T164" s="1325"/>
      <c r="U164" s="1015">
        <v>1.8</v>
      </c>
      <c r="V164" s="1015"/>
      <c r="W164" s="1015"/>
      <c r="X164" s="1015"/>
      <c r="Y164" s="1015">
        <v>2.4</v>
      </c>
      <c r="Z164" s="1016">
        <f>'09월 에너지'!S166</f>
        <v>143.80000000000001</v>
      </c>
      <c r="AA164" s="1017"/>
      <c r="AB164" s="1208"/>
      <c r="AC164" s="1208"/>
      <c r="AD164" s="1208"/>
      <c r="AE164" s="1208"/>
      <c r="AF164" s="1208"/>
      <c r="AG164" s="1018">
        <f>'09월 화학성분'!AM164</f>
        <v>1103</v>
      </c>
      <c r="AH164" s="1006">
        <f t="shared" si="35"/>
        <v>4</v>
      </c>
      <c r="AI164" s="1019">
        <v>1564</v>
      </c>
      <c r="AJ164" s="1020">
        <v>92</v>
      </c>
      <c r="AK164" s="1021">
        <v>460</v>
      </c>
      <c r="AL164" s="1022">
        <v>9</v>
      </c>
      <c r="AM164" s="1155">
        <f>IF(AT164="","",3*'09월 에너지'!S166*(1/(3+7.8*(100-AT164)/AT164)))</f>
        <v>1.2903401997503121</v>
      </c>
      <c r="AN164" s="1023">
        <v>0.54305555555555551</v>
      </c>
      <c r="AO164" s="1024"/>
      <c r="AP164" s="1025"/>
      <c r="AQ164" s="1025"/>
      <c r="AR164" s="1149">
        <f t="shared" si="36"/>
        <v>6</v>
      </c>
      <c r="AS164" s="1093" t="str">
        <f t="shared" si="48"/>
        <v xml:space="preserve"> </v>
      </c>
      <c r="AT164" s="1156">
        <v>2.2999999999999998</v>
      </c>
      <c r="AU164" s="449"/>
      <c r="AV164" s="1205"/>
    </row>
    <row r="165" spans="1:48" ht="16.5" customHeight="1">
      <c r="A165" s="1005">
        <f t="shared" si="37"/>
        <v>46271</v>
      </c>
      <c r="B165" s="1005">
        <f t="shared" si="38"/>
        <v>46271</v>
      </c>
      <c r="C165" s="1150">
        <f t="shared" si="39"/>
        <v>13</v>
      </c>
      <c r="D165" s="1150">
        <f t="shared" si="40"/>
        <v>154</v>
      </c>
      <c r="E165" s="1006" t="str">
        <f t="shared" si="41"/>
        <v>B</v>
      </c>
      <c r="F165" s="1007" t="str">
        <f t="shared" si="42"/>
        <v>B</v>
      </c>
      <c r="G165" s="1008">
        <f t="shared" si="43"/>
        <v>85367</v>
      </c>
      <c r="H165" s="1138">
        <f t="shared" si="44"/>
        <v>0.5541666666666667</v>
      </c>
      <c r="I165" s="1009">
        <v>0.55347222222222225</v>
      </c>
      <c r="J165" s="1010">
        <f t="shared" si="45"/>
        <v>46.999999999999993</v>
      </c>
      <c r="K165" s="1011"/>
      <c r="L165" s="1012"/>
      <c r="M165" s="1013"/>
      <c r="N165" s="1014" t="str">
        <f t="shared" si="46"/>
        <v/>
      </c>
      <c r="O165" s="1323"/>
      <c r="P165" s="1324"/>
      <c r="Q165" s="1324"/>
      <c r="R165" s="1324"/>
      <c r="S165" s="1324"/>
      <c r="T165" s="1325"/>
      <c r="U165" s="1015">
        <v>1.8</v>
      </c>
      <c r="V165" s="1015"/>
      <c r="W165" s="1015"/>
      <c r="X165" s="1015"/>
      <c r="Y165" s="1015">
        <v>2.2999999999999998</v>
      </c>
      <c r="Z165" s="1016">
        <f>'09월 에너지'!S167</f>
        <v>143.6</v>
      </c>
      <c r="AA165" s="1017"/>
      <c r="AB165" s="1208"/>
      <c r="AC165" s="1208"/>
      <c r="AD165" s="1208"/>
      <c r="AE165" s="1208"/>
      <c r="AF165" s="1208"/>
      <c r="AG165" s="1018">
        <f>'09월 화학성분'!AM165</f>
        <v>1465</v>
      </c>
      <c r="AH165" s="1006">
        <f t="shared" si="35"/>
        <v>5</v>
      </c>
      <c r="AI165" s="1019">
        <v>1560</v>
      </c>
      <c r="AJ165" s="1020">
        <v>0</v>
      </c>
      <c r="AK165" s="1021">
        <v>455</v>
      </c>
      <c r="AL165" s="1022">
        <v>9</v>
      </c>
      <c r="AM165" s="1155">
        <f>IF(AT165="","",3*'09월 에너지'!S167*(1/(3+7.8*(100-AT165)/AT165)))</f>
        <v>0.55572755417956665</v>
      </c>
      <c r="AN165" s="1023">
        <v>0.12986111111111112</v>
      </c>
      <c r="AO165" s="1024"/>
      <c r="AP165" s="1025"/>
      <c r="AQ165" s="1025"/>
      <c r="AR165" s="1149" t="str">
        <f t="shared" si="36"/>
        <v/>
      </c>
      <c r="AS165" s="1093">
        <f t="shared" si="48"/>
        <v>11</v>
      </c>
      <c r="AT165" s="1156">
        <v>1</v>
      </c>
      <c r="AU165" s="449"/>
      <c r="AV165" s="1205"/>
    </row>
    <row r="166" spans="1:48" ht="16.5" customHeight="1">
      <c r="A166" s="1005">
        <f t="shared" si="37"/>
        <v>46271</v>
      </c>
      <c r="B166" s="1005">
        <f t="shared" si="38"/>
        <v>46271</v>
      </c>
      <c r="C166" s="1150">
        <f t="shared" si="39"/>
        <v>14</v>
      </c>
      <c r="D166" s="1150">
        <f t="shared" si="40"/>
        <v>155</v>
      </c>
      <c r="E166" s="1006" t="str">
        <f t="shared" si="41"/>
        <v>B</v>
      </c>
      <c r="F166" s="1007" t="str">
        <f t="shared" si="42"/>
        <v>A</v>
      </c>
      <c r="G166" s="1008">
        <f t="shared" si="43"/>
        <v>85368</v>
      </c>
      <c r="H166" s="1138">
        <f t="shared" si="44"/>
        <v>0.58680555555555558</v>
      </c>
      <c r="I166" s="1009">
        <v>0.58888888888888891</v>
      </c>
      <c r="J166" s="1010">
        <f t="shared" si="45"/>
        <v>50.999999999999979</v>
      </c>
      <c r="K166" s="1011"/>
      <c r="L166" s="1012"/>
      <c r="M166" s="1013"/>
      <c r="N166" s="1014" t="str">
        <f t="shared" si="46"/>
        <v/>
      </c>
      <c r="O166" s="1323" t="s">
        <v>657</v>
      </c>
      <c r="P166" s="1324"/>
      <c r="Q166" s="1324"/>
      <c r="R166" s="1324"/>
      <c r="S166" s="1324"/>
      <c r="T166" s="1325"/>
      <c r="U166" s="1015">
        <v>1.8</v>
      </c>
      <c r="V166" s="1015"/>
      <c r="W166" s="1015"/>
      <c r="X166" s="1015" t="s">
        <v>651</v>
      </c>
      <c r="Y166" s="1015"/>
      <c r="Z166" s="1016">
        <f>'09월 에너지'!S168</f>
        <v>143.6</v>
      </c>
      <c r="AA166" s="1017">
        <v>2511</v>
      </c>
      <c r="AB166" s="1208" t="s">
        <v>573</v>
      </c>
      <c r="AC166" s="1208" t="s">
        <v>548</v>
      </c>
      <c r="AD166" s="1208" t="s">
        <v>548</v>
      </c>
      <c r="AE166" s="1208"/>
      <c r="AF166" s="1208" t="s">
        <v>532</v>
      </c>
      <c r="AG166" s="1018">
        <f>'09월 화학성분'!AM166</f>
        <v>1423</v>
      </c>
      <c r="AH166" s="1006">
        <f t="shared" si="35"/>
        <v>6</v>
      </c>
      <c r="AI166" s="1019">
        <v>1553</v>
      </c>
      <c r="AJ166" s="1020">
        <v>65</v>
      </c>
      <c r="AK166" s="1021">
        <v>682</v>
      </c>
      <c r="AL166" s="1022">
        <v>6</v>
      </c>
      <c r="AM166" s="1155">
        <f>IF(AT166="","",3*'09월 에너지'!S168*(1/(3+7.8*(100-AT166)/AT166)))</f>
        <v>0.83618012422360244</v>
      </c>
      <c r="AN166" s="1023">
        <v>0.29097222222222224</v>
      </c>
      <c r="AO166" s="1024"/>
      <c r="AP166" s="1025"/>
      <c r="AQ166" s="1025"/>
      <c r="AR166" s="1149">
        <f t="shared" si="36"/>
        <v>7</v>
      </c>
      <c r="AS166" s="1093" t="str">
        <f t="shared" si="48"/>
        <v xml:space="preserve"> </v>
      </c>
      <c r="AT166" s="1156">
        <v>1.5</v>
      </c>
      <c r="AU166" s="449"/>
      <c r="AV166" s="1205"/>
    </row>
    <row r="167" spans="1:48" ht="16.5" customHeight="1">
      <c r="A167" s="1005">
        <f t="shared" si="37"/>
        <v>46271</v>
      </c>
      <c r="B167" s="1005">
        <f t="shared" si="38"/>
        <v>46271</v>
      </c>
      <c r="C167" s="1150">
        <f t="shared" si="39"/>
        <v>15</v>
      </c>
      <c r="D167" s="1150">
        <f t="shared" si="40"/>
        <v>156</v>
      </c>
      <c r="E167" s="1006" t="s">
        <v>558</v>
      </c>
      <c r="F167" s="1007" t="str">
        <f t="shared" si="42"/>
        <v>B</v>
      </c>
      <c r="G167" s="1008">
        <f t="shared" si="43"/>
        <v>85369</v>
      </c>
      <c r="H167" s="1138">
        <f t="shared" si="44"/>
        <v>0.62222222222222223</v>
      </c>
      <c r="I167" s="1009">
        <v>0.62013888888888891</v>
      </c>
      <c r="J167" s="1010">
        <f t="shared" si="45"/>
        <v>45</v>
      </c>
      <c r="K167" s="1011"/>
      <c r="L167" s="1012"/>
      <c r="M167" s="1013"/>
      <c r="N167" s="1014" t="str">
        <f t="shared" si="46"/>
        <v/>
      </c>
      <c r="O167" s="1323"/>
      <c r="P167" s="1324"/>
      <c r="Q167" s="1324"/>
      <c r="R167" s="1324"/>
      <c r="S167" s="1324"/>
      <c r="T167" s="1325"/>
      <c r="U167" s="1015">
        <v>1.8</v>
      </c>
      <c r="V167" s="1015"/>
      <c r="W167" s="1015"/>
      <c r="X167" s="1015">
        <v>3.4</v>
      </c>
      <c r="Y167" s="1015"/>
      <c r="Z167" s="1016">
        <f>'09월 에너지'!S169</f>
        <v>145.30000000000001</v>
      </c>
      <c r="AA167" s="1017"/>
      <c r="AB167" s="1208"/>
      <c r="AC167" s="1208"/>
      <c r="AD167" s="1208"/>
      <c r="AE167" s="1208"/>
      <c r="AF167" s="1208"/>
      <c r="AG167" s="1018">
        <f>'09월 화학성분'!AM167</f>
        <v>343</v>
      </c>
      <c r="AH167" s="1006">
        <f t="shared" si="35"/>
        <v>7</v>
      </c>
      <c r="AI167" s="1019">
        <v>1578</v>
      </c>
      <c r="AJ167" s="1020">
        <v>50</v>
      </c>
      <c r="AK167" s="1021">
        <v>496</v>
      </c>
      <c r="AL167" s="1022">
        <v>8</v>
      </c>
      <c r="AM167" s="1155">
        <f>IF(AT167="","",3*'09월 에너지'!S169*(1/(3+7.8*(100-AT167)/AT167)))</f>
        <v>2.7048083016476556</v>
      </c>
      <c r="AN167" s="1023">
        <v>0.13680555555555554</v>
      </c>
      <c r="AO167" s="1024"/>
      <c r="AP167" s="1025"/>
      <c r="AQ167" s="1025"/>
      <c r="AR167" s="1149" t="str">
        <f t="shared" si="36"/>
        <v/>
      </c>
      <c r="AS167" s="1093">
        <f t="shared" si="48"/>
        <v>12</v>
      </c>
      <c r="AT167" s="1156">
        <v>4.7</v>
      </c>
      <c r="AU167" s="449"/>
      <c r="AV167" s="1205"/>
    </row>
    <row r="168" spans="1:48" ht="16.5" customHeight="1">
      <c r="A168" s="1005">
        <f t="shared" si="37"/>
        <v>46271</v>
      </c>
      <c r="B168" s="1005">
        <f t="shared" si="38"/>
        <v>46271</v>
      </c>
      <c r="C168" s="1150">
        <f t="shared" si="39"/>
        <v>16</v>
      </c>
      <c r="D168" s="1150">
        <f t="shared" si="40"/>
        <v>157</v>
      </c>
      <c r="E168" s="1006" t="str">
        <f t="shared" si="41"/>
        <v>D</v>
      </c>
      <c r="F168" s="1007" t="str">
        <f t="shared" si="42"/>
        <v>A</v>
      </c>
      <c r="G168" s="1008">
        <f t="shared" si="43"/>
        <v>85370</v>
      </c>
      <c r="H168" s="1138">
        <f t="shared" si="44"/>
        <v>0.65347222222222223</v>
      </c>
      <c r="I168" s="1009">
        <v>0.65208333333333335</v>
      </c>
      <c r="J168" s="1010">
        <f t="shared" si="45"/>
        <v>46</v>
      </c>
      <c r="K168" s="1011"/>
      <c r="L168" s="1012"/>
      <c r="M168" s="1013"/>
      <c r="N168" s="1014" t="str">
        <f t="shared" si="46"/>
        <v/>
      </c>
      <c r="O168" s="1323"/>
      <c r="P168" s="1324"/>
      <c r="Q168" s="1324"/>
      <c r="R168" s="1324"/>
      <c r="S168" s="1324"/>
      <c r="T168" s="1325"/>
      <c r="U168" s="1015">
        <v>1.8</v>
      </c>
      <c r="V168" s="1015"/>
      <c r="W168" s="1015"/>
      <c r="X168" s="1015"/>
      <c r="Y168" s="1015">
        <v>2.5</v>
      </c>
      <c r="Z168" s="1016">
        <f>'09월 에너지'!S170</f>
        <v>142.30000000000001</v>
      </c>
      <c r="AA168" s="1017"/>
      <c r="AB168" s="1208"/>
      <c r="AC168" s="1208"/>
      <c r="AD168" s="1208"/>
      <c r="AE168" s="1208"/>
      <c r="AF168" s="1208"/>
      <c r="AG168" s="1018">
        <f>'09월 화학성분'!AM168</f>
        <v>691</v>
      </c>
      <c r="AH168" s="1006">
        <f t="shared" si="35"/>
        <v>8</v>
      </c>
      <c r="AI168" s="1019">
        <v>1577</v>
      </c>
      <c r="AJ168" s="1020">
        <v>0</v>
      </c>
      <c r="AK168" s="1021">
        <v>749</v>
      </c>
      <c r="AL168" s="1022">
        <v>5</v>
      </c>
      <c r="AM168" s="1155">
        <f>IF(AT168="","",3*'09월 에너지'!S170*(1/(3+7.8*(100-AT168)/AT168)))</f>
        <v>0.8286102484472051</v>
      </c>
      <c r="AN168" s="1023">
        <v>0.18958333333333333</v>
      </c>
      <c r="AO168" s="1024"/>
      <c r="AP168" s="1025"/>
      <c r="AQ168" s="1025"/>
      <c r="AR168" s="1149">
        <f t="shared" si="36"/>
        <v>8</v>
      </c>
      <c r="AS168" s="1093" t="str">
        <f t="shared" si="48"/>
        <v xml:space="preserve"> </v>
      </c>
      <c r="AT168" s="1156">
        <v>1.5</v>
      </c>
      <c r="AU168" s="449"/>
      <c r="AV168" s="1205"/>
    </row>
    <row r="169" spans="1:48" ht="16.5" customHeight="1">
      <c r="A169" s="1005">
        <f t="shared" si="37"/>
        <v>46271</v>
      </c>
      <c r="B169" s="1005">
        <f t="shared" si="38"/>
        <v>46271</v>
      </c>
      <c r="C169" s="1150">
        <f t="shared" si="39"/>
        <v>17</v>
      </c>
      <c r="D169" s="1150">
        <f t="shared" si="40"/>
        <v>158</v>
      </c>
      <c r="E169" s="1006" t="str">
        <f t="shared" si="41"/>
        <v>D</v>
      </c>
      <c r="F169" s="1007" t="str">
        <f t="shared" si="42"/>
        <v>B</v>
      </c>
      <c r="G169" s="1008">
        <f t="shared" si="43"/>
        <v>85371</v>
      </c>
      <c r="H169" s="1138">
        <f t="shared" si="44"/>
        <v>0.68541666666666667</v>
      </c>
      <c r="I169" s="1009">
        <v>0.69097222222222221</v>
      </c>
      <c r="J169" s="1010">
        <f t="shared" si="45"/>
        <v>55.999999999999957</v>
      </c>
      <c r="K169" s="1011"/>
      <c r="L169" s="1012">
        <v>9</v>
      </c>
      <c r="M169" s="1013"/>
      <c r="N169" s="1014" t="str">
        <f t="shared" si="46"/>
        <v/>
      </c>
      <c r="O169" s="1323" t="s">
        <v>658</v>
      </c>
      <c r="P169" s="1324"/>
      <c r="Q169" s="1324"/>
      <c r="R169" s="1324"/>
      <c r="S169" s="1324"/>
      <c r="T169" s="1325"/>
      <c r="U169" s="1015">
        <v>1.8</v>
      </c>
      <c r="V169" s="1015"/>
      <c r="W169" s="1015"/>
      <c r="X169" s="1015"/>
      <c r="Y169" s="1015">
        <v>2.4</v>
      </c>
      <c r="Z169" s="1016">
        <f>'09월 에너지'!S171</f>
        <v>144.69999999999999</v>
      </c>
      <c r="AA169" s="1017"/>
      <c r="AB169" s="1208"/>
      <c r="AC169" s="1208"/>
      <c r="AD169" s="1208"/>
      <c r="AE169" s="1208"/>
      <c r="AF169" s="1208"/>
      <c r="AG169" s="1018">
        <f>'09월 화학성분'!AM169</f>
        <v>663</v>
      </c>
      <c r="AH169" s="1006">
        <f t="shared" si="35"/>
        <v>9</v>
      </c>
      <c r="AI169" s="1019">
        <v>1567</v>
      </c>
      <c r="AJ169" s="1020">
        <v>22</v>
      </c>
      <c r="AK169" s="1021">
        <v>548</v>
      </c>
      <c r="AL169" s="1022">
        <v>7</v>
      </c>
      <c r="AM169" s="1155">
        <f>IF(AT169="","",3*'09월 에너지'!S171*(1/(3+7.8*(100-AT169)/AT169)))</f>
        <v>1.8166980539861894</v>
      </c>
      <c r="AN169" s="1023">
        <v>0.12708333333333333</v>
      </c>
      <c r="AO169" s="1024"/>
      <c r="AP169" s="1025"/>
      <c r="AQ169" s="1025"/>
      <c r="AR169" s="1149" t="str">
        <f t="shared" si="36"/>
        <v/>
      </c>
      <c r="AS169" s="1093">
        <f t="shared" si="48"/>
        <v>13</v>
      </c>
      <c r="AT169" s="1156">
        <v>3.2</v>
      </c>
      <c r="AU169" s="449"/>
      <c r="AV169" s="1205"/>
    </row>
    <row r="170" spans="1:48" ht="16.5" customHeight="1">
      <c r="A170" s="1005">
        <f t="shared" si="37"/>
        <v>46271</v>
      </c>
      <c r="B170" s="1005">
        <f t="shared" si="38"/>
        <v>46271</v>
      </c>
      <c r="C170" s="1150">
        <f t="shared" si="39"/>
        <v>18</v>
      </c>
      <c r="D170" s="1150">
        <f t="shared" si="40"/>
        <v>159</v>
      </c>
      <c r="E170" s="1006" t="str">
        <f t="shared" si="41"/>
        <v>D</v>
      </c>
      <c r="F170" s="1007" t="str">
        <f t="shared" si="42"/>
        <v>A</v>
      </c>
      <c r="G170" s="1008">
        <f t="shared" si="43"/>
        <v>85372</v>
      </c>
      <c r="H170" s="1138">
        <f t="shared" si="44"/>
        <v>0.72430555555555554</v>
      </c>
      <c r="I170" s="1009">
        <v>0.71736111111111101</v>
      </c>
      <c r="J170" s="1010">
        <f t="shared" si="45"/>
        <v>37.999999999999865</v>
      </c>
      <c r="K170" s="1011"/>
      <c r="L170" s="1012"/>
      <c r="M170" s="1013"/>
      <c r="N170" s="1014" t="str">
        <f t="shared" si="46"/>
        <v/>
      </c>
      <c r="O170" s="1323"/>
      <c r="P170" s="1324"/>
      <c r="Q170" s="1324"/>
      <c r="R170" s="1324"/>
      <c r="S170" s="1324"/>
      <c r="T170" s="1325"/>
      <c r="U170" s="1015">
        <v>1.8</v>
      </c>
      <c r="V170" s="1015"/>
      <c r="W170" s="1015"/>
      <c r="X170" s="1015"/>
      <c r="Y170" s="1015">
        <v>2.7</v>
      </c>
      <c r="Z170" s="1016">
        <f>'09월 에너지'!S172</f>
        <v>142.69999999999999</v>
      </c>
      <c r="AA170" s="1017"/>
      <c r="AB170" s="1208"/>
      <c r="AC170" s="1208"/>
      <c r="AD170" s="1208"/>
      <c r="AE170" s="1208"/>
      <c r="AF170" s="1208"/>
      <c r="AG170" s="1018">
        <f>'09월 화학성분'!AM170</f>
        <v>1518</v>
      </c>
      <c r="AH170" s="1006">
        <f t="shared" si="35"/>
        <v>10</v>
      </c>
      <c r="AI170" s="1019">
        <v>1593</v>
      </c>
      <c r="AJ170" s="1020">
        <v>0</v>
      </c>
      <c r="AK170" s="1021">
        <v>749</v>
      </c>
      <c r="AL170" s="1022">
        <v>5</v>
      </c>
      <c r="AM170" s="1155">
        <f>IF(AT170="","",3*'09월 에너지'!S172*(1/(3+7.8*(100-AT170)/AT170)))</f>
        <v>0.66351518908865459</v>
      </c>
      <c r="AN170" s="1023">
        <v>0.25347222222222221</v>
      </c>
      <c r="AO170" s="1024"/>
      <c r="AP170" s="1025"/>
      <c r="AQ170" s="1025"/>
      <c r="AR170" s="1149">
        <f t="shared" si="36"/>
        <v>9</v>
      </c>
      <c r="AS170" s="1093" t="str">
        <f t="shared" si="48"/>
        <v xml:space="preserve"> </v>
      </c>
      <c r="AT170" s="1156">
        <v>1.2</v>
      </c>
      <c r="AU170" s="449"/>
      <c r="AV170" s="1205"/>
    </row>
    <row r="171" spans="1:48" ht="16.5" customHeight="1">
      <c r="A171" s="1005">
        <f t="shared" si="37"/>
        <v>46271</v>
      </c>
      <c r="B171" s="1005">
        <f t="shared" si="38"/>
        <v>46271</v>
      </c>
      <c r="C171" s="1150">
        <f t="shared" si="39"/>
        <v>19</v>
      </c>
      <c r="D171" s="1150">
        <f t="shared" si="40"/>
        <v>160</v>
      </c>
      <c r="E171" s="1006" t="str">
        <f t="shared" si="41"/>
        <v>D</v>
      </c>
      <c r="F171" s="1007" t="str">
        <f t="shared" si="42"/>
        <v>B</v>
      </c>
      <c r="G171" s="1008">
        <f t="shared" si="43"/>
        <v>85373</v>
      </c>
      <c r="H171" s="1138">
        <f t="shared" si="44"/>
        <v>0.75069444444444433</v>
      </c>
      <c r="I171" s="1009">
        <v>0.74930555555555556</v>
      </c>
      <c r="J171" s="1010">
        <f t="shared" si="45"/>
        <v>46.000000000000156</v>
      </c>
      <c r="K171" s="1011"/>
      <c r="L171" s="1012"/>
      <c r="M171" s="1013"/>
      <c r="N171" s="1014" t="str">
        <f t="shared" si="46"/>
        <v/>
      </c>
      <c r="O171" s="1323"/>
      <c r="P171" s="1324"/>
      <c r="Q171" s="1324"/>
      <c r="R171" s="1324"/>
      <c r="S171" s="1324"/>
      <c r="T171" s="1325"/>
      <c r="U171" s="1015">
        <v>1.8</v>
      </c>
      <c r="V171" s="1015"/>
      <c r="W171" s="1015"/>
      <c r="X171" s="1015"/>
      <c r="Y171" s="1015">
        <v>2.8</v>
      </c>
      <c r="Z171" s="1016">
        <f>'09월 에너지'!S173</f>
        <v>143.4</v>
      </c>
      <c r="AA171" s="1017"/>
      <c r="AB171" s="1208"/>
      <c r="AC171" s="1208"/>
      <c r="AD171" s="1208"/>
      <c r="AE171" s="1208"/>
      <c r="AF171" s="1208"/>
      <c r="AG171" s="1018">
        <f>'09월 화학성분'!AM171</f>
        <v>999</v>
      </c>
      <c r="AH171" s="1006">
        <f t="shared" si="35"/>
        <v>11</v>
      </c>
      <c r="AI171" s="1019">
        <v>1554</v>
      </c>
      <c r="AJ171" s="1020">
        <v>0</v>
      </c>
      <c r="AK171" s="1021">
        <v>689</v>
      </c>
      <c r="AL171" s="1022">
        <v>5</v>
      </c>
      <c r="AM171" s="1155">
        <f>IF(AT171="","",3*'09월 에너지'!S173*(1/(3+7.8*(100-AT171)/AT171)))</f>
        <v>0.72278225806451613</v>
      </c>
      <c r="AN171" s="1023">
        <v>0.14861111111111111</v>
      </c>
      <c r="AO171" s="1024"/>
      <c r="AP171" s="1025"/>
      <c r="AQ171" s="1025"/>
      <c r="AR171" s="1149" t="str">
        <f t="shared" si="36"/>
        <v/>
      </c>
      <c r="AS171" s="1093">
        <f t="shared" si="48"/>
        <v>14</v>
      </c>
      <c r="AT171" s="1156">
        <v>1.3</v>
      </c>
      <c r="AU171" s="449"/>
      <c r="AV171" s="1205"/>
    </row>
    <row r="172" spans="1:48" ht="16.5" customHeight="1">
      <c r="A172" s="1005">
        <f t="shared" si="37"/>
        <v>46271</v>
      </c>
      <c r="B172" s="1005">
        <f t="shared" si="38"/>
        <v>46271</v>
      </c>
      <c r="C172" s="1150">
        <f t="shared" si="39"/>
        <v>20</v>
      </c>
      <c r="D172" s="1150">
        <f t="shared" si="40"/>
        <v>161</v>
      </c>
      <c r="E172" s="1006" t="str">
        <f t="shared" si="41"/>
        <v>D</v>
      </c>
      <c r="F172" s="1007" t="str">
        <f t="shared" si="42"/>
        <v>A</v>
      </c>
      <c r="G172" s="1008">
        <f t="shared" si="43"/>
        <v>85374</v>
      </c>
      <c r="H172" s="1138">
        <f t="shared" si="44"/>
        <v>0.78263888888888888</v>
      </c>
      <c r="I172" s="1009">
        <v>0.78055555555555556</v>
      </c>
      <c r="J172" s="1010">
        <f t="shared" si="45"/>
        <v>45</v>
      </c>
      <c r="K172" s="1011"/>
      <c r="L172" s="1012"/>
      <c r="M172" s="1013"/>
      <c r="N172" s="1014" t="str">
        <f t="shared" si="46"/>
        <v/>
      </c>
      <c r="O172" s="1323"/>
      <c r="P172" s="1324"/>
      <c r="Q172" s="1324"/>
      <c r="R172" s="1324"/>
      <c r="S172" s="1324"/>
      <c r="T172" s="1325"/>
      <c r="U172" s="1015">
        <v>1.8</v>
      </c>
      <c r="V172" s="1015"/>
      <c r="W172" s="1015"/>
      <c r="X172" s="1015"/>
      <c r="Y172" s="1015">
        <v>2.6</v>
      </c>
      <c r="Z172" s="1016">
        <f>'09월 에너지'!S174</f>
        <v>142.69999999999999</v>
      </c>
      <c r="AA172" s="1017"/>
      <c r="AB172" s="1208"/>
      <c r="AC172" s="1208"/>
      <c r="AD172" s="1208"/>
      <c r="AE172" s="1208"/>
      <c r="AF172" s="1208"/>
      <c r="AG172" s="1018">
        <f>'09월 화학성분'!AM172</f>
        <v>1875</v>
      </c>
      <c r="AH172" s="1006">
        <f t="shared" si="35"/>
        <v>12</v>
      </c>
      <c r="AI172" s="1019">
        <v>1567</v>
      </c>
      <c r="AJ172" s="1020">
        <v>39</v>
      </c>
      <c r="AK172" s="1021">
        <v>749</v>
      </c>
      <c r="AL172" s="1022">
        <v>5</v>
      </c>
      <c r="AM172" s="1155">
        <f>IF(AT172="","",3*'09월 에너지'!S174*(1/(3+7.8*(100-AT172)/AT172)))</f>
        <v>0.66351518908865459</v>
      </c>
      <c r="AN172" s="1023">
        <v>0.2673611111111111</v>
      </c>
      <c r="AO172" s="1024"/>
      <c r="AP172" s="1025"/>
      <c r="AQ172" s="1025"/>
      <c r="AR172" s="1149">
        <f t="shared" si="36"/>
        <v>10</v>
      </c>
      <c r="AS172" s="1093" t="str">
        <f t="shared" si="48"/>
        <v xml:space="preserve"> </v>
      </c>
      <c r="AT172" s="1156">
        <v>1.2</v>
      </c>
      <c r="AU172" s="449"/>
      <c r="AV172" s="1205"/>
    </row>
    <row r="173" spans="1:48" ht="16.5" customHeight="1">
      <c r="A173" s="1005">
        <f t="shared" si="37"/>
        <v>46271</v>
      </c>
      <c r="B173" s="1005">
        <f t="shared" si="38"/>
        <v>46271</v>
      </c>
      <c r="C173" s="1150">
        <f t="shared" si="39"/>
        <v>21</v>
      </c>
      <c r="D173" s="1150">
        <f t="shared" si="40"/>
        <v>162</v>
      </c>
      <c r="E173" s="1006" t="str">
        <f t="shared" si="41"/>
        <v>D</v>
      </c>
      <c r="F173" s="1007" t="str">
        <f t="shared" si="42"/>
        <v>B</v>
      </c>
      <c r="G173" s="1008">
        <f t="shared" si="43"/>
        <v>85375</v>
      </c>
      <c r="H173" s="1138">
        <f t="shared" si="44"/>
        <v>0.81388888888888888</v>
      </c>
      <c r="I173" s="1009">
        <v>0.81180555555555556</v>
      </c>
      <c r="J173" s="1010">
        <f t="shared" si="45"/>
        <v>45</v>
      </c>
      <c r="K173" s="1011"/>
      <c r="L173" s="1012"/>
      <c r="M173" s="1013"/>
      <c r="N173" s="1014" t="str">
        <f t="shared" si="46"/>
        <v/>
      </c>
      <c r="O173" s="1323" t="s">
        <v>560</v>
      </c>
      <c r="P173" s="1324"/>
      <c r="Q173" s="1324"/>
      <c r="R173" s="1324"/>
      <c r="S173" s="1324"/>
      <c r="T173" s="1325"/>
      <c r="U173" s="1015">
        <v>1.8</v>
      </c>
      <c r="V173" s="1015">
        <v>2.2000000000000002</v>
      </c>
      <c r="W173" s="1015">
        <v>1.7</v>
      </c>
      <c r="X173" s="1015"/>
      <c r="Y173" s="1015"/>
      <c r="Z173" s="1016">
        <f>'09월 에너지'!S175</f>
        <v>143.30000000000001</v>
      </c>
      <c r="AA173" s="1017"/>
      <c r="AB173" s="1208"/>
      <c r="AC173" s="1208"/>
      <c r="AD173" s="1208"/>
      <c r="AE173" s="1208"/>
      <c r="AF173" s="1208"/>
      <c r="AG173" s="1018">
        <f>'09월 화학성분'!AM173</f>
        <v>1287</v>
      </c>
      <c r="AH173" s="1006">
        <f t="shared" si="35"/>
        <v>13</v>
      </c>
      <c r="AI173" s="1019">
        <v>1560</v>
      </c>
      <c r="AJ173" s="1020">
        <v>0</v>
      </c>
      <c r="AK173" s="1021" t="s">
        <v>563</v>
      </c>
      <c r="AL173" s="1022" t="s">
        <v>563</v>
      </c>
      <c r="AM173" s="1155">
        <f>IF(AT173="","",3*'09월 에너지'!S175*(1/(3+7.8*(100-AT173)/AT173)))</f>
        <v>0.33191785052501543</v>
      </c>
      <c r="AN173" s="1023">
        <v>0.16319444444444445</v>
      </c>
      <c r="AO173" s="1024"/>
      <c r="AP173" s="1025"/>
      <c r="AQ173" s="1025"/>
      <c r="AR173" s="1149" t="str">
        <f t="shared" si="36"/>
        <v/>
      </c>
      <c r="AS173" s="1093">
        <f t="shared" si="48"/>
        <v>15</v>
      </c>
      <c r="AT173" s="1156">
        <v>0.6</v>
      </c>
      <c r="AU173" s="449"/>
      <c r="AV173" s="1205" t="s">
        <v>683</v>
      </c>
    </row>
    <row r="174" spans="1:48" ht="17.100000000000001" customHeight="1">
      <c r="A174" s="1005">
        <f t="shared" si="37"/>
        <v>46271</v>
      </c>
      <c r="B174" s="1005">
        <f t="shared" si="38"/>
        <v>46271</v>
      </c>
      <c r="C174" s="1150">
        <f t="shared" si="39"/>
        <v>22</v>
      </c>
      <c r="D174" s="1150">
        <f t="shared" si="40"/>
        <v>163</v>
      </c>
      <c r="E174" s="1006" t="str">
        <f t="shared" si="41"/>
        <v>D</v>
      </c>
      <c r="F174" s="1007" t="str">
        <f t="shared" si="42"/>
        <v>A</v>
      </c>
      <c r="G174" s="1008">
        <f t="shared" si="43"/>
        <v>85376</v>
      </c>
      <c r="H174" s="1138">
        <f t="shared" si="44"/>
        <v>0.84513888888888888</v>
      </c>
      <c r="I174" s="1009">
        <v>0.84305555555555556</v>
      </c>
      <c r="J174" s="1010">
        <f t="shared" si="45"/>
        <v>45</v>
      </c>
      <c r="K174" s="1011"/>
      <c r="L174" s="1012"/>
      <c r="M174" s="1013"/>
      <c r="N174" s="1014" t="str">
        <f t="shared" si="46"/>
        <v/>
      </c>
      <c r="O174" s="1323" t="s">
        <v>660</v>
      </c>
      <c r="P174" s="1324"/>
      <c r="Q174" s="1324"/>
      <c r="R174" s="1324"/>
      <c r="S174" s="1324"/>
      <c r="T174" s="1325"/>
      <c r="U174" s="1015">
        <v>1.8</v>
      </c>
      <c r="V174" s="1015"/>
      <c r="W174" s="1015"/>
      <c r="X174" s="1015"/>
      <c r="Y174" s="1015">
        <v>2.5</v>
      </c>
      <c r="Z174" s="1016">
        <f>'09월 에너지'!S176</f>
        <v>145.30000000000001</v>
      </c>
      <c r="AA174" s="1017"/>
      <c r="AB174" s="1208"/>
      <c r="AC174" s="1208"/>
      <c r="AD174" s="1208"/>
      <c r="AE174" s="1208"/>
      <c r="AF174" s="1208"/>
      <c r="AG174" s="1018">
        <f>'09월 화학성분'!AM174</f>
        <v>2336</v>
      </c>
      <c r="AH174" s="1006">
        <f t="shared" si="35"/>
        <v>14</v>
      </c>
      <c r="AI174" s="1019">
        <v>1555</v>
      </c>
      <c r="AJ174" s="1020">
        <v>23</v>
      </c>
      <c r="AK174" s="1021">
        <v>935</v>
      </c>
      <c r="AL174" s="1022">
        <v>4</v>
      </c>
      <c r="AM174" s="1155">
        <f>IF(AT174="","",3*'09월 에너지'!S176*(1/(3+7.8*(100-AT174)/AT174)))</f>
        <v>0.6189203841387857</v>
      </c>
      <c r="AN174" s="1023">
        <v>0.25416666666666665</v>
      </c>
      <c r="AO174" s="1024"/>
      <c r="AP174" s="1025"/>
      <c r="AQ174" s="1025"/>
      <c r="AR174" s="1149">
        <f t="shared" si="36"/>
        <v>11</v>
      </c>
      <c r="AS174" s="1093" t="str">
        <f t="shared" si="48"/>
        <v xml:space="preserve"> </v>
      </c>
      <c r="AT174" s="1156">
        <v>1.1000000000000001</v>
      </c>
      <c r="AU174" s="449"/>
      <c r="AV174" s="1205"/>
    </row>
    <row r="175" spans="1:48" ht="17.100000000000001" customHeight="1">
      <c r="A175" s="1005">
        <f t="shared" si="37"/>
        <v>46271</v>
      </c>
      <c r="B175" s="1005">
        <f t="shared" si="38"/>
        <v>46271</v>
      </c>
      <c r="C175" s="1150">
        <f t="shared" si="39"/>
        <v>23</v>
      </c>
      <c r="D175" s="1150">
        <f t="shared" si="40"/>
        <v>164</v>
      </c>
      <c r="E175" s="1006" t="str">
        <f t="shared" si="41"/>
        <v>D</v>
      </c>
      <c r="F175" s="1007" t="str">
        <f t="shared" si="42"/>
        <v>B</v>
      </c>
      <c r="G175" s="1008">
        <f t="shared" si="43"/>
        <v>85377</v>
      </c>
      <c r="H175" s="1138">
        <f t="shared" si="44"/>
        <v>0.87638888888888888</v>
      </c>
      <c r="I175" s="1009">
        <v>0.87847222222222221</v>
      </c>
      <c r="J175" s="1010">
        <f t="shared" si="45"/>
        <v>50.999999999999979</v>
      </c>
      <c r="K175" s="1011">
        <v>2</v>
      </c>
      <c r="L175" s="1012"/>
      <c r="M175" s="1013">
        <v>0.8569444444444444</v>
      </c>
      <c r="N175" s="1014">
        <f t="shared" si="46"/>
        <v>0.85833333333333328</v>
      </c>
      <c r="O175" s="1323" t="s">
        <v>662</v>
      </c>
      <c r="P175" s="1324"/>
      <c r="Q175" s="1324"/>
      <c r="R175" s="1324"/>
      <c r="S175" s="1324"/>
      <c r="T175" s="1325"/>
      <c r="U175" s="1015">
        <v>1.8</v>
      </c>
      <c r="V175" s="1015"/>
      <c r="W175" s="1015"/>
      <c r="X175" s="1015"/>
      <c r="Y175" s="1015">
        <v>2.6</v>
      </c>
      <c r="Z175" s="1016">
        <f>'09월 에너지'!S177</f>
        <v>145.9</v>
      </c>
      <c r="AA175" s="1017">
        <v>1991</v>
      </c>
      <c r="AB175" s="1208" t="s">
        <v>661</v>
      </c>
      <c r="AC175" s="1208" t="s">
        <v>532</v>
      </c>
      <c r="AD175" s="1208" t="s">
        <v>548</v>
      </c>
      <c r="AE175" s="1208"/>
      <c r="AF175" s="1208" t="s">
        <v>548</v>
      </c>
      <c r="AG175" s="1018">
        <f>'09월 화학성분'!AM175</f>
        <v>1809</v>
      </c>
      <c r="AH175" s="1006">
        <f t="shared" si="35"/>
        <v>15</v>
      </c>
      <c r="AI175" s="1019">
        <v>1595</v>
      </c>
      <c r="AJ175" s="1020">
        <v>104</v>
      </c>
      <c r="AK175" s="1021">
        <v>460</v>
      </c>
      <c r="AL175" s="1022">
        <v>9</v>
      </c>
      <c r="AM175" s="1155">
        <f>IF(AT175="","",3*'09월 에너지'!S177*(1/(3+7.8*(100-AT175)/AT175)))</f>
        <v>1.7151253918495297</v>
      </c>
      <c r="AN175" s="1023">
        <v>0.15277777777777776</v>
      </c>
      <c r="AO175" s="1024" t="s">
        <v>587</v>
      </c>
      <c r="AP175" s="1025">
        <v>2000039</v>
      </c>
      <c r="AQ175" s="1025">
        <v>2153</v>
      </c>
      <c r="AR175" s="1149" t="str">
        <f t="shared" si="36"/>
        <v/>
      </c>
      <c r="AS175" s="1093">
        <v>1</v>
      </c>
      <c r="AT175" s="1156">
        <v>3</v>
      </c>
      <c r="AU175" s="449"/>
      <c r="AV175" s="1205"/>
    </row>
    <row r="176" spans="1:48" ht="17.100000000000001" customHeight="1">
      <c r="A176" s="1005">
        <f t="shared" si="37"/>
        <v>46271</v>
      </c>
      <c r="B176" s="1005">
        <f t="shared" si="38"/>
        <v>46271</v>
      </c>
      <c r="C176" s="1150">
        <f t="shared" si="39"/>
        <v>24</v>
      </c>
      <c r="D176" s="1150">
        <f t="shared" si="40"/>
        <v>165</v>
      </c>
      <c r="E176" s="1006" t="str">
        <f t="shared" si="41"/>
        <v>D</v>
      </c>
      <c r="F176" s="1007" t="str">
        <f t="shared" si="42"/>
        <v>A</v>
      </c>
      <c r="G176" s="1008">
        <f t="shared" si="43"/>
        <v>85378</v>
      </c>
      <c r="H176" s="1138">
        <f t="shared" si="44"/>
        <v>0.91180555555555554</v>
      </c>
      <c r="I176" s="1009">
        <v>0.91249999999999998</v>
      </c>
      <c r="J176" s="1010">
        <f t="shared" si="45"/>
        <v>48.999999999999986</v>
      </c>
      <c r="K176" s="1011"/>
      <c r="L176" s="1012"/>
      <c r="M176" s="1013"/>
      <c r="N176" s="1014" t="str">
        <f t="shared" si="46"/>
        <v/>
      </c>
      <c r="O176" s="1323" t="s">
        <v>530</v>
      </c>
      <c r="P176" s="1324"/>
      <c r="Q176" s="1324"/>
      <c r="R176" s="1324"/>
      <c r="S176" s="1324"/>
      <c r="T176" s="1325"/>
      <c r="U176" s="1015">
        <v>1.8</v>
      </c>
      <c r="V176" s="1015"/>
      <c r="W176" s="1015"/>
      <c r="X176" s="1015"/>
      <c r="Y176" s="1015">
        <v>2.7</v>
      </c>
      <c r="Z176" s="1016">
        <f>'09월 에너지'!S178</f>
        <v>145.1</v>
      </c>
      <c r="AA176" s="1017">
        <v>1757</v>
      </c>
      <c r="AB176" s="1208" t="s">
        <v>665</v>
      </c>
      <c r="AC176" s="1208" t="s">
        <v>548</v>
      </c>
      <c r="AD176" s="1208" t="s">
        <v>548</v>
      </c>
      <c r="AE176" s="1208"/>
      <c r="AF176" s="1208" t="s">
        <v>666</v>
      </c>
      <c r="AG176" s="1018">
        <f>'09월 화학성분'!AM176</f>
        <v>2509</v>
      </c>
      <c r="AH176" s="1006">
        <f t="shared" si="35"/>
        <v>16</v>
      </c>
      <c r="AI176" s="1019">
        <v>1577</v>
      </c>
      <c r="AJ176" s="1020">
        <v>3</v>
      </c>
      <c r="AK176" s="1021">
        <v>680</v>
      </c>
      <c r="AL176" s="1022">
        <v>5</v>
      </c>
      <c r="AM176" s="1155">
        <f>IF(AT176="","",3*'09월 에너지'!S178*(1/(3+7.8*(100-AT176)/AT176)))</f>
        <v>1.0157902924704416</v>
      </c>
      <c r="AN176" s="1023">
        <v>0.14583333333333334</v>
      </c>
      <c r="AO176" s="1024"/>
      <c r="AP176" s="1025"/>
      <c r="AQ176" s="1025"/>
      <c r="AR176" s="1149">
        <f t="shared" si="36"/>
        <v>12</v>
      </c>
      <c r="AS176" s="1093" t="str">
        <f t="shared" si="48"/>
        <v xml:space="preserve"> </v>
      </c>
      <c r="AT176" s="1156">
        <v>1.8</v>
      </c>
      <c r="AU176" s="449"/>
      <c r="AV176" s="1205"/>
    </row>
    <row r="177" spans="1:48" ht="17.100000000000001" customHeight="1">
      <c r="A177" s="1005">
        <f t="shared" si="37"/>
        <v>46271</v>
      </c>
      <c r="B177" s="1005">
        <f t="shared" si="38"/>
        <v>46271</v>
      </c>
      <c r="C177" s="1150">
        <f t="shared" si="39"/>
        <v>25</v>
      </c>
      <c r="D177" s="1150">
        <f t="shared" si="40"/>
        <v>166</v>
      </c>
      <c r="E177" s="1006" t="s">
        <v>578</v>
      </c>
      <c r="F177" s="1007" t="str">
        <f t="shared" si="42"/>
        <v>B</v>
      </c>
      <c r="G177" s="1008">
        <f t="shared" si="43"/>
        <v>85379</v>
      </c>
      <c r="H177" s="1138">
        <f t="shared" si="44"/>
        <v>0.9458333333333333</v>
      </c>
      <c r="I177" s="1009">
        <v>0.94374999999999998</v>
      </c>
      <c r="J177" s="1010">
        <f t="shared" si="45"/>
        <v>45</v>
      </c>
      <c r="K177" s="1011"/>
      <c r="L177" s="1012"/>
      <c r="M177" s="1013"/>
      <c r="N177" s="1014" t="str">
        <f t="shared" si="46"/>
        <v/>
      </c>
      <c r="O177" s="1323"/>
      <c r="P177" s="1324"/>
      <c r="Q177" s="1324"/>
      <c r="R177" s="1324"/>
      <c r="S177" s="1324"/>
      <c r="T177" s="1325"/>
      <c r="U177" s="1015">
        <v>1.8</v>
      </c>
      <c r="V177" s="1015">
        <v>2.5</v>
      </c>
      <c r="W177" s="1015">
        <v>1.4</v>
      </c>
      <c r="X177" s="1015"/>
      <c r="Y177" s="1015"/>
      <c r="Z177" s="1016">
        <f>'09월 에너지'!S179</f>
        <v>145.19999999999999</v>
      </c>
      <c r="AA177" s="1017"/>
      <c r="AB177" s="1208"/>
      <c r="AC177" s="1208"/>
      <c r="AD177" s="1208"/>
      <c r="AE177" s="1208"/>
      <c r="AF177" s="1208"/>
      <c r="AG177" s="1018">
        <f>'09월 화학성분'!AM177</f>
        <v>1871</v>
      </c>
      <c r="AH177" s="1006">
        <f t="shared" si="35"/>
        <v>17</v>
      </c>
      <c r="AI177" s="1019">
        <v>1609</v>
      </c>
      <c r="AJ177" s="1020">
        <v>233</v>
      </c>
      <c r="AK177" s="1021">
        <v>740</v>
      </c>
      <c r="AL177" s="1022">
        <v>5</v>
      </c>
      <c r="AM177" s="1155">
        <f>IF(AT177="","",3*'09월 에너지'!S179*(1/(3+7.8*(100-AT177)/AT177)))</f>
        <v>1.9976415094339621</v>
      </c>
      <c r="AN177" s="1023">
        <v>0.14583333333333334</v>
      </c>
      <c r="AO177" s="1024"/>
      <c r="AP177" s="1025"/>
      <c r="AQ177" s="1025"/>
      <c r="AR177" s="1149" t="str">
        <f t="shared" si="36"/>
        <v/>
      </c>
      <c r="AS177" s="1093">
        <f t="shared" si="48"/>
        <v>2</v>
      </c>
      <c r="AT177" s="1156">
        <v>3.5</v>
      </c>
      <c r="AU177" s="449"/>
      <c r="AV177" s="1205"/>
    </row>
    <row r="178" spans="1:48" ht="26.25" customHeight="1">
      <c r="A178" s="1005">
        <f t="shared" si="37"/>
        <v>46271</v>
      </c>
      <c r="B178" s="1005">
        <f t="shared" si="38"/>
        <v>46271</v>
      </c>
      <c r="C178" s="1150">
        <f t="shared" si="39"/>
        <v>26</v>
      </c>
      <c r="D178" s="1150">
        <f t="shared" si="40"/>
        <v>167</v>
      </c>
      <c r="E178" s="1006" t="str">
        <f t="shared" si="41"/>
        <v>A</v>
      </c>
      <c r="F178" s="1007" t="str">
        <f t="shared" si="42"/>
        <v>A</v>
      </c>
      <c r="G178" s="1008">
        <f t="shared" si="43"/>
        <v>85380</v>
      </c>
      <c r="H178" s="1138">
        <f t="shared" si="44"/>
        <v>0.9770833333333333</v>
      </c>
      <c r="I178" s="1009">
        <v>0.99861111111111101</v>
      </c>
      <c r="J178" s="1010">
        <f t="shared" si="45"/>
        <v>78.999999999999886</v>
      </c>
      <c r="K178" s="1011"/>
      <c r="L178" s="1012">
        <v>24</v>
      </c>
      <c r="M178" s="1013"/>
      <c r="N178" s="1014" t="str">
        <f t="shared" si="46"/>
        <v/>
      </c>
      <c r="O178" s="1338" t="s">
        <v>669</v>
      </c>
      <c r="P178" s="1324"/>
      <c r="Q178" s="1324"/>
      <c r="R178" s="1324"/>
      <c r="S178" s="1324"/>
      <c r="T178" s="1325"/>
      <c r="U178" s="1015">
        <v>1.8</v>
      </c>
      <c r="V178" s="1015"/>
      <c r="W178" s="1015"/>
      <c r="X178" s="1015"/>
      <c r="Y178" s="1015">
        <v>2.5</v>
      </c>
      <c r="Z178" s="1016">
        <f>'09월 에너지'!S180</f>
        <v>135.5</v>
      </c>
      <c r="AA178" s="1017"/>
      <c r="AB178" s="1208"/>
      <c r="AC178" s="1208"/>
      <c r="AD178" s="1208"/>
      <c r="AE178" s="1208"/>
      <c r="AF178" s="1208"/>
      <c r="AG178" s="1018">
        <f>'09월 화학성분'!AM178</f>
        <v>4623</v>
      </c>
      <c r="AH178" s="1006">
        <f t="shared" si="35"/>
        <v>18</v>
      </c>
      <c r="AI178" s="1019">
        <v>1565</v>
      </c>
      <c r="AJ178" s="1020">
        <v>0</v>
      </c>
      <c r="AK178" s="1021">
        <v>517</v>
      </c>
      <c r="AL178" s="1022">
        <v>8</v>
      </c>
      <c r="AM178" s="1155">
        <f>IF(AT178="","",3*'09월 에너지'!S180*(1/(3+7.8*(100-AT178)/AT178)))</f>
        <v>0.31385114268066705</v>
      </c>
      <c r="AN178" s="1023">
        <v>0.17013888888888887</v>
      </c>
      <c r="AO178" s="1024"/>
      <c r="AP178" s="1025"/>
      <c r="AQ178" s="1025"/>
      <c r="AR178" s="1149">
        <f t="shared" si="36"/>
        <v>13</v>
      </c>
      <c r="AS178" s="1093" t="str">
        <f t="shared" si="48"/>
        <v xml:space="preserve"> </v>
      </c>
      <c r="AT178" s="1156">
        <v>0.6</v>
      </c>
      <c r="AU178" s="449"/>
      <c r="AV178" s="1205"/>
    </row>
    <row r="179" spans="1:48" ht="17.100000000000001" customHeight="1">
      <c r="A179" s="1005">
        <f t="shared" si="37"/>
        <v>46271</v>
      </c>
      <c r="B179" s="1005">
        <f t="shared" si="38"/>
        <v>46271</v>
      </c>
      <c r="C179" s="1150">
        <f t="shared" si="39"/>
        <v>27</v>
      </c>
      <c r="D179" s="1150">
        <f t="shared" si="40"/>
        <v>168</v>
      </c>
      <c r="E179" s="1006" t="str">
        <f t="shared" si="41"/>
        <v>A</v>
      </c>
      <c r="F179" s="1007" t="str">
        <f t="shared" si="42"/>
        <v>B</v>
      </c>
      <c r="G179" s="1008">
        <f t="shared" si="43"/>
        <v>85381</v>
      </c>
      <c r="H179" s="1138">
        <f t="shared" si="44"/>
        <v>1.0319444444444443</v>
      </c>
      <c r="I179" s="1009">
        <v>1.9444444444444445E-2</v>
      </c>
      <c r="J179" s="1010">
        <f t="shared" si="45"/>
        <v>30.000000000000227</v>
      </c>
      <c r="K179" s="1011"/>
      <c r="L179" s="1012"/>
      <c r="M179" s="1013"/>
      <c r="N179" s="1014" t="str">
        <f t="shared" si="46"/>
        <v/>
      </c>
      <c r="O179" s="1323" t="s">
        <v>530</v>
      </c>
      <c r="P179" s="1324"/>
      <c r="Q179" s="1324"/>
      <c r="R179" s="1324"/>
      <c r="S179" s="1324"/>
      <c r="T179" s="1325"/>
      <c r="U179" s="1015">
        <v>1.8</v>
      </c>
      <c r="V179" s="1015"/>
      <c r="W179" s="1015"/>
      <c r="X179" s="1015"/>
      <c r="Y179" s="1015"/>
      <c r="Z179" s="1016">
        <f>'09월 에너지'!S181</f>
        <v>142.19999999999999</v>
      </c>
      <c r="AA179" s="1017">
        <v>2557</v>
      </c>
      <c r="AB179" s="1208" t="s">
        <v>661</v>
      </c>
      <c r="AC179" s="1208" t="s">
        <v>532</v>
      </c>
      <c r="AD179" s="1208" t="s">
        <v>548</v>
      </c>
      <c r="AE179" s="1208"/>
      <c r="AF179" s="1208" t="s">
        <v>548</v>
      </c>
      <c r="AG179" s="1018">
        <f>'09월 화학성분'!AM179</f>
        <v>2731</v>
      </c>
      <c r="AH179" s="1006">
        <f t="shared" si="35"/>
        <v>19</v>
      </c>
      <c r="AI179" s="1019">
        <v>1576</v>
      </c>
      <c r="AJ179" s="1020">
        <v>0</v>
      </c>
      <c r="AK179" s="1021">
        <v>624</v>
      </c>
      <c r="AL179" s="1022">
        <v>6</v>
      </c>
      <c r="AM179" s="1155">
        <f>IF(AT179="","",3*'09월 에너지'!S181*(1/(3+7.8*(100-AT179)/AT179)))</f>
        <v>0.9395988805970148</v>
      </c>
      <c r="AN179" s="1023">
        <v>0.17291666666666669</v>
      </c>
      <c r="AO179" s="1024"/>
      <c r="AP179" s="1025"/>
      <c r="AQ179" s="1025"/>
      <c r="AR179" s="1149" t="str">
        <f t="shared" si="36"/>
        <v/>
      </c>
      <c r="AS179" s="1093">
        <f t="shared" si="48"/>
        <v>3</v>
      </c>
      <c r="AT179" s="1156">
        <v>1.7</v>
      </c>
      <c r="AU179" s="449"/>
      <c r="AV179" s="1205"/>
    </row>
    <row r="180" spans="1:48" ht="17.100000000000001" customHeight="1">
      <c r="A180" s="1005">
        <f t="shared" si="37"/>
        <v>46271</v>
      </c>
      <c r="B180" s="1005">
        <f t="shared" si="38"/>
        <v>46271</v>
      </c>
      <c r="C180" s="1150">
        <f t="shared" si="39"/>
        <v>28</v>
      </c>
      <c r="D180" s="1150">
        <f t="shared" si="40"/>
        <v>169</v>
      </c>
      <c r="E180" s="1006" t="str">
        <f t="shared" si="41"/>
        <v>A</v>
      </c>
      <c r="F180" s="1007" t="s">
        <v>624</v>
      </c>
      <c r="G180" s="1008">
        <f t="shared" si="43"/>
        <v>85382</v>
      </c>
      <c r="H180" s="1138">
        <f t="shared" si="44"/>
        <v>5.2777777777777778E-2</v>
      </c>
      <c r="I180" s="1009">
        <v>6.1805555555555558E-2</v>
      </c>
      <c r="J180" s="1010">
        <f t="shared" si="45"/>
        <v>61</v>
      </c>
      <c r="K180" s="1011">
        <v>13</v>
      </c>
      <c r="L180" s="1012"/>
      <c r="M180" s="1013">
        <v>1.9444444444444445E-2</v>
      </c>
      <c r="N180" s="1014">
        <f t="shared" si="46"/>
        <v>2.8472222222222222E-2</v>
      </c>
      <c r="O180" s="1338" t="s">
        <v>676</v>
      </c>
      <c r="P180" s="1339"/>
      <c r="Q180" s="1339"/>
      <c r="R180" s="1339"/>
      <c r="S180" s="1339"/>
      <c r="T180" s="1340"/>
      <c r="U180" s="1015">
        <v>1.8</v>
      </c>
      <c r="V180" s="1015"/>
      <c r="W180" s="1015"/>
      <c r="X180" s="1015"/>
      <c r="Y180" s="1015"/>
      <c r="Z180" s="1016">
        <f>'09월 에너지'!S182</f>
        <v>144.80000000000001</v>
      </c>
      <c r="AA180" s="1017"/>
      <c r="AB180" s="1208"/>
      <c r="AC180" s="1208"/>
      <c r="AD180" s="1208"/>
      <c r="AE180" s="1208"/>
      <c r="AF180" s="1208"/>
      <c r="AG180" s="1018">
        <f>'09월 화학성분'!AM180</f>
        <v>1349</v>
      </c>
      <c r="AH180" s="1006">
        <f t="shared" si="35"/>
        <v>20</v>
      </c>
      <c r="AI180" s="1019">
        <v>1594</v>
      </c>
      <c r="AJ180" s="1020">
        <v>0</v>
      </c>
      <c r="AK180" s="1021">
        <v>438</v>
      </c>
      <c r="AL180" s="1022">
        <v>10</v>
      </c>
      <c r="AM180" s="1155">
        <f>IF(AT180="","",3*'09월 에너지'!S182*(1/(3+7.8*(100-AT180)/AT180)))</f>
        <v>2.4011370814908406</v>
      </c>
      <c r="AN180" s="1023">
        <v>0.17361111111111113</v>
      </c>
      <c r="AO180" s="1024"/>
      <c r="AP180" s="1025"/>
      <c r="AQ180" s="1025"/>
      <c r="AR180" s="1149" t="str">
        <f t="shared" si="36"/>
        <v/>
      </c>
      <c r="AS180" s="1093">
        <f t="shared" si="48"/>
        <v>4</v>
      </c>
      <c r="AT180" s="1156">
        <v>4.2</v>
      </c>
      <c r="AU180" s="449"/>
      <c r="AV180" s="1205"/>
    </row>
    <row r="181" spans="1:48" ht="17.100000000000001" customHeight="1">
      <c r="A181" s="1005">
        <f t="shared" si="37"/>
        <v>46271</v>
      </c>
      <c r="B181" s="1005">
        <f t="shared" si="38"/>
        <v>46271</v>
      </c>
      <c r="C181" s="1150">
        <f t="shared" si="39"/>
        <v>29</v>
      </c>
      <c r="D181" s="1150">
        <f t="shared" si="40"/>
        <v>170</v>
      </c>
      <c r="E181" s="1006" t="str">
        <f t="shared" si="41"/>
        <v>A</v>
      </c>
      <c r="F181" s="1007" t="s">
        <v>624</v>
      </c>
      <c r="G181" s="1008">
        <f t="shared" si="43"/>
        <v>85383</v>
      </c>
      <c r="H181" s="1138">
        <f t="shared" si="44"/>
        <v>9.5138888888888884E-2</v>
      </c>
      <c r="I181" s="1009">
        <v>0.10555555555555556</v>
      </c>
      <c r="J181" s="1010">
        <f t="shared" si="45"/>
        <v>62.999999999999993</v>
      </c>
      <c r="K181" s="1011">
        <v>15</v>
      </c>
      <c r="L181" s="1012"/>
      <c r="M181" s="1013">
        <v>6.1805555555555558E-2</v>
      </c>
      <c r="N181" s="1014">
        <f t="shared" si="46"/>
        <v>7.2222222222222229E-2</v>
      </c>
      <c r="O181" s="1323"/>
      <c r="P181" s="1324"/>
      <c r="Q181" s="1324"/>
      <c r="R181" s="1324"/>
      <c r="S181" s="1324"/>
      <c r="T181" s="1325"/>
      <c r="U181" s="1015">
        <v>1.8</v>
      </c>
      <c r="V181" s="1015"/>
      <c r="W181" s="1015"/>
      <c r="X181" s="1015"/>
      <c r="Y181" s="1015"/>
      <c r="Z181" s="1016">
        <f>'09월 에너지'!S183</f>
        <v>144.4</v>
      </c>
      <c r="AA181" s="1017"/>
      <c r="AB181" s="1208"/>
      <c r="AC181" s="1208"/>
      <c r="AD181" s="1208"/>
      <c r="AE181" s="1208"/>
      <c r="AF181" s="1208"/>
      <c r="AG181" s="1018">
        <f>'09월 화학성분'!AM181</f>
        <v>972</v>
      </c>
      <c r="AH181" s="1006">
        <f t="shared" si="35"/>
        <v>21</v>
      </c>
      <c r="AI181" s="1019">
        <v>1575</v>
      </c>
      <c r="AJ181" s="1020">
        <v>63</v>
      </c>
      <c r="AK181" s="1021">
        <v>438</v>
      </c>
      <c r="AL181" s="1022">
        <v>10</v>
      </c>
      <c r="AM181" s="1155">
        <f>IF(AT181="","",3*'09월 에너지'!S183*(1/(3+7.8*(100-AT181)/AT181)))</f>
        <v>2.1028022670025193</v>
      </c>
      <c r="AN181" s="1023">
        <v>0.14861111111111111</v>
      </c>
      <c r="AO181" s="1024"/>
      <c r="AP181" s="1025"/>
      <c r="AQ181" s="1025"/>
      <c r="AR181" s="1149" t="str">
        <f t="shared" si="36"/>
        <v/>
      </c>
      <c r="AS181" s="1093">
        <f t="shared" si="48"/>
        <v>5</v>
      </c>
      <c r="AT181" s="1156">
        <v>3.7</v>
      </c>
      <c r="AU181" s="449"/>
      <c r="AV181" s="1205"/>
    </row>
    <row r="182" spans="1:48" ht="17.100000000000001" customHeight="1">
      <c r="A182" s="1005">
        <v>46272</v>
      </c>
      <c r="B182" s="1005">
        <f t="shared" si="38"/>
        <v>46271</v>
      </c>
      <c r="C182" s="1150">
        <f t="shared" si="39"/>
        <v>1</v>
      </c>
      <c r="D182" s="1150">
        <f t="shared" si="40"/>
        <v>171</v>
      </c>
      <c r="E182" s="1006" t="str">
        <f t="shared" si="41"/>
        <v>A</v>
      </c>
      <c r="F182" s="1007" t="s">
        <v>624</v>
      </c>
      <c r="G182" s="1008">
        <f t="shared" si="43"/>
        <v>85384</v>
      </c>
      <c r="H182" s="1138">
        <f t="shared" si="44"/>
        <v>0.1388888888888889</v>
      </c>
      <c r="I182" s="1009">
        <v>0.14930555555555555</v>
      </c>
      <c r="J182" s="1010">
        <f t="shared" si="45"/>
        <v>62.999999999999993</v>
      </c>
      <c r="K182" s="1011">
        <v>13</v>
      </c>
      <c r="L182" s="1012">
        <v>2</v>
      </c>
      <c r="M182" s="1013">
        <v>0.10555555555555556</v>
      </c>
      <c r="N182" s="1014">
        <f t="shared" si="46"/>
        <v>0.11458333333333333</v>
      </c>
      <c r="O182" s="1335" t="s">
        <v>671</v>
      </c>
      <c r="P182" s="1336"/>
      <c r="Q182" s="1336"/>
      <c r="R182" s="1336"/>
      <c r="S182" s="1336"/>
      <c r="T182" s="1337"/>
      <c r="U182" s="1015">
        <v>1.8</v>
      </c>
      <c r="V182" s="1015"/>
      <c r="W182" s="1015"/>
      <c r="X182" s="1015"/>
      <c r="Y182" s="1015"/>
      <c r="Z182" s="1016">
        <f>'09월 에너지'!S184</f>
        <v>143.80000000000001</v>
      </c>
      <c r="AA182" s="1017"/>
      <c r="AB182" s="1208"/>
      <c r="AC182" s="1208"/>
      <c r="AD182" s="1208"/>
      <c r="AE182" s="1208"/>
      <c r="AF182" s="1208"/>
      <c r="AG182" s="1018">
        <f>'09월 화학성분'!AM182</f>
        <v>753</v>
      </c>
      <c r="AH182" s="1006">
        <f t="shared" si="35"/>
        <v>22</v>
      </c>
      <c r="AI182" s="1019">
        <v>1581</v>
      </c>
      <c r="AJ182" s="1020">
        <v>0</v>
      </c>
      <c r="AK182" s="1021">
        <v>391</v>
      </c>
      <c r="AL182" s="1022">
        <v>11</v>
      </c>
      <c r="AM182" s="1155">
        <f>IF(AT182="","",3*'09월 에너지'!S184*(1/(3+7.8*(100-AT182)/AT182)))</f>
        <v>3.2077756532823454</v>
      </c>
      <c r="AN182" s="1023">
        <v>0.15</v>
      </c>
      <c r="AO182" s="1024"/>
      <c r="AP182" s="1025"/>
      <c r="AQ182" s="1025"/>
      <c r="AR182" s="1149" t="str">
        <f t="shared" si="36"/>
        <v/>
      </c>
      <c r="AS182" s="1093">
        <f t="shared" si="48"/>
        <v>6</v>
      </c>
      <c r="AT182" s="1156">
        <v>5.6</v>
      </c>
      <c r="AU182" s="449"/>
      <c r="AV182" s="1205"/>
    </row>
    <row r="183" spans="1:48" ht="26.25" customHeight="1">
      <c r="A183" s="1005">
        <f t="shared" si="37"/>
        <v>46272</v>
      </c>
      <c r="B183" s="1005">
        <f t="shared" si="38"/>
        <v>46271</v>
      </c>
      <c r="C183" s="1150">
        <f t="shared" si="39"/>
        <v>2</v>
      </c>
      <c r="D183" s="1150">
        <f t="shared" si="40"/>
        <v>172</v>
      </c>
      <c r="E183" s="1006" t="str">
        <f t="shared" si="41"/>
        <v>A</v>
      </c>
      <c r="F183" s="1007" t="str">
        <f t="shared" si="42"/>
        <v>A</v>
      </c>
      <c r="G183" s="1008">
        <f t="shared" si="43"/>
        <v>85385</v>
      </c>
      <c r="H183" s="1138">
        <f t="shared" si="44"/>
        <v>0.18263888888888888</v>
      </c>
      <c r="I183" s="1009">
        <v>0.18541666666666667</v>
      </c>
      <c r="J183" s="1010">
        <f t="shared" si="45"/>
        <v>52.000000000000014</v>
      </c>
      <c r="K183" s="1011"/>
      <c r="L183" s="1012">
        <v>7</v>
      </c>
      <c r="M183" s="1013"/>
      <c r="N183" s="1014" t="str">
        <f t="shared" si="46"/>
        <v/>
      </c>
      <c r="O183" s="1323" t="s">
        <v>673</v>
      </c>
      <c r="P183" s="1324"/>
      <c r="Q183" s="1324"/>
      <c r="R183" s="1324"/>
      <c r="S183" s="1324"/>
      <c r="T183" s="1325"/>
      <c r="U183" s="1015">
        <v>1.8</v>
      </c>
      <c r="V183" s="1015"/>
      <c r="W183" s="1015"/>
      <c r="X183" s="1015"/>
      <c r="Y183" s="1015">
        <v>2.4</v>
      </c>
      <c r="Z183" s="1016">
        <f>'09월 에너지'!S185</f>
        <v>145</v>
      </c>
      <c r="AA183" s="1017">
        <v>2839</v>
      </c>
      <c r="AB183" s="1208" t="s">
        <v>665</v>
      </c>
      <c r="AC183" s="1208" t="s">
        <v>548</v>
      </c>
      <c r="AD183" s="1208" t="s">
        <v>548</v>
      </c>
      <c r="AE183" s="1208"/>
      <c r="AF183" s="1208" t="s">
        <v>666</v>
      </c>
      <c r="AG183" s="1018">
        <f>'09월 화학성분'!AM183</f>
        <v>1384</v>
      </c>
      <c r="AH183" s="1006">
        <f t="shared" si="35"/>
        <v>23</v>
      </c>
      <c r="AI183" s="1019">
        <v>1552</v>
      </c>
      <c r="AJ183" s="1020">
        <v>0</v>
      </c>
      <c r="AK183" s="1021">
        <v>345</v>
      </c>
      <c r="AL183" s="1022">
        <v>13</v>
      </c>
      <c r="AM183" s="1155">
        <f>IF(AT183="","",3*'09월 에너지'!S185*(1/(3+7.8*(100-AT183)/AT183)))</f>
        <v>0.84433229813664601</v>
      </c>
      <c r="AN183" s="1023">
        <v>0.15763888888888888</v>
      </c>
      <c r="AO183" s="1024"/>
      <c r="AP183" s="1025"/>
      <c r="AQ183" s="1025"/>
      <c r="AR183" s="1149">
        <v>14</v>
      </c>
      <c r="AS183" s="1093" t="str">
        <f t="shared" si="48"/>
        <v xml:space="preserve"> </v>
      </c>
      <c r="AT183" s="1156">
        <v>1.5</v>
      </c>
      <c r="AU183" s="449"/>
      <c r="AV183" s="1205"/>
    </row>
    <row r="184" spans="1:48" ht="17.100000000000001" customHeight="1">
      <c r="A184" s="1005">
        <f t="shared" si="37"/>
        <v>46272</v>
      </c>
      <c r="B184" s="1005">
        <f t="shared" si="38"/>
        <v>46271</v>
      </c>
      <c r="C184" s="1150">
        <f t="shared" si="39"/>
        <v>3</v>
      </c>
      <c r="D184" s="1150">
        <f t="shared" si="40"/>
        <v>173</v>
      </c>
      <c r="E184" s="1006" t="str">
        <f t="shared" si="41"/>
        <v>A</v>
      </c>
      <c r="F184" s="1007" t="str">
        <f t="shared" si="42"/>
        <v>B</v>
      </c>
      <c r="G184" s="1008">
        <f t="shared" si="43"/>
        <v>85386</v>
      </c>
      <c r="H184" s="1138">
        <f t="shared" si="44"/>
        <v>0.21875</v>
      </c>
      <c r="I184" s="1009">
        <v>0.21527777777777779</v>
      </c>
      <c r="J184" s="1010">
        <f t="shared" si="45"/>
        <v>43.000000000000007</v>
      </c>
      <c r="K184" s="1011">
        <v>2</v>
      </c>
      <c r="L184" s="1012">
        <v>3</v>
      </c>
      <c r="M184" s="1013">
        <v>0.19375000000000001</v>
      </c>
      <c r="N184" s="1014">
        <f t="shared" si="46"/>
        <v>0.19513888888888889</v>
      </c>
      <c r="O184" s="1323" t="s">
        <v>675</v>
      </c>
      <c r="P184" s="1324"/>
      <c r="Q184" s="1324"/>
      <c r="R184" s="1324"/>
      <c r="S184" s="1324"/>
      <c r="T184" s="1325"/>
      <c r="U184" s="1015">
        <v>1.8</v>
      </c>
      <c r="V184" s="1015"/>
      <c r="W184" s="1015"/>
      <c r="X184" s="1015"/>
      <c r="Y184" s="1015"/>
      <c r="Z184" s="1016">
        <f>'09월 에너지'!S186</f>
        <v>143.9</v>
      </c>
      <c r="AA184" s="1017"/>
      <c r="AB184" s="1208"/>
      <c r="AC184" s="1208"/>
      <c r="AD184" s="1208"/>
      <c r="AE184" s="1208"/>
      <c r="AF184" s="1208"/>
      <c r="AG184" s="1018">
        <f>'09월 화학성분'!AM184</f>
        <v>858</v>
      </c>
      <c r="AH184" s="1006">
        <f t="shared" si="35"/>
        <v>24</v>
      </c>
      <c r="AI184" s="1019">
        <v>1596</v>
      </c>
      <c r="AJ184" s="1020">
        <v>0</v>
      </c>
      <c r="AK184" s="1021">
        <v>560</v>
      </c>
      <c r="AL184" s="1022">
        <v>7</v>
      </c>
      <c r="AM184" s="1155">
        <f>IF(AT184="","",3*'09월 에너지'!S186*(1/(3+7.8*(100-AT184)/AT184)))</f>
        <v>2.7962801395939092</v>
      </c>
      <c r="AN184" s="1023">
        <v>0.21944444444444444</v>
      </c>
      <c r="AO184" s="1024"/>
      <c r="AP184" s="1025"/>
      <c r="AQ184" s="1025"/>
      <c r="AR184" s="1149" t="str">
        <f t="shared" si="36"/>
        <v/>
      </c>
      <c r="AS184" s="1093">
        <f t="shared" si="48"/>
        <v>7</v>
      </c>
      <c r="AT184" s="1156">
        <v>4.9000000000000004</v>
      </c>
      <c r="AU184" s="449"/>
      <c r="AV184" s="1205"/>
    </row>
    <row r="185" spans="1:48" ht="16.5" customHeight="1">
      <c r="A185" s="1005">
        <f t="shared" si="37"/>
        <v>46272</v>
      </c>
      <c r="B185" s="1005">
        <f t="shared" si="38"/>
        <v>46271</v>
      </c>
      <c r="C185" s="1150">
        <f t="shared" si="39"/>
        <v>4</v>
      </c>
      <c r="D185" s="1150">
        <f t="shared" si="40"/>
        <v>174</v>
      </c>
      <c r="E185" s="1006" t="str">
        <f t="shared" si="41"/>
        <v>A</v>
      </c>
      <c r="F185" s="1007" t="str">
        <f t="shared" si="42"/>
        <v>A</v>
      </c>
      <c r="G185" s="1008">
        <f t="shared" si="43"/>
        <v>85387</v>
      </c>
      <c r="H185" s="1138">
        <f t="shared" si="44"/>
        <v>0.24861111111111112</v>
      </c>
      <c r="I185" s="1009">
        <v>0.24652777777777779</v>
      </c>
      <c r="J185" s="1010">
        <f t="shared" si="45"/>
        <v>45</v>
      </c>
      <c r="K185" s="1011"/>
      <c r="L185" s="1012"/>
      <c r="M185" s="1013"/>
      <c r="N185" s="1014" t="str">
        <f t="shared" si="46"/>
        <v/>
      </c>
      <c r="O185" s="1323" t="s">
        <v>677</v>
      </c>
      <c r="P185" s="1324"/>
      <c r="Q185" s="1324"/>
      <c r="R185" s="1324"/>
      <c r="S185" s="1324"/>
      <c r="T185" s="1325"/>
      <c r="U185" s="1015">
        <v>1.8</v>
      </c>
      <c r="V185" s="1015"/>
      <c r="W185" s="1015"/>
      <c r="X185" s="1015"/>
      <c r="Y185" s="1015"/>
      <c r="Z185" s="1016">
        <f>'09월 에너지'!S187</f>
        <v>143.69999999999999</v>
      </c>
      <c r="AA185" s="1017"/>
      <c r="AB185" s="1208"/>
      <c r="AC185" s="1208"/>
      <c r="AD185" s="1208"/>
      <c r="AE185" s="1208"/>
      <c r="AF185" s="1208"/>
      <c r="AG185" s="1018">
        <f>'09월 화학성분'!AM185</f>
        <v>1219</v>
      </c>
      <c r="AH185" s="1006">
        <f t="shared" si="35"/>
        <v>25</v>
      </c>
      <c r="AI185" s="1019">
        <v>1571</v>
      </c>
      <c r="AJ185" s="1020">
        <v>0</v>
      </c>
      <c r="AK185" s="1021">
        <v>440</v>
      </c>
      <c r="AL185" s="1022">
        <v>10</v>
      </c>
      <c r="AM185" s="1155">
        <f>IF(AT185="","",3*'09월 에너지'!S187*(1/(3+7.8*(100-AT185)/AT185)))</f>
        <v>1.4033203125</v>
      </c>
      <c r="AN185" s="1023">
        <v>0.15833333333333333</v>
      </c>
      <c r="AO185" s="1024" t="s">
        <v>689</v>
      </c>
      <c r="AP185" s="1025">
        <v>2000034</v>
      </c>
      <c r="AQ185" s="1025">
        <v>2120</v>
      </c>
      <c r="AR185" s="1149">
        <v>1</v>
      </c>
      <c r="AS185" s="1093" t="str">
        <f t="shared" si="48"/>
        <v xml:space="preserve"> </v>
      </c>
      <c r="AT185" s="1156">
        <v>2.5</v>
      </c>
      <c r="AU185" s="449"/>
      <c r="AV185" s="1205"/>
    </row>
    <row r="186" spans="1:48" ht="16.5" customHeight="1">
      <c r="A186" s="1005">
        <f t="shared" si="37"/>
        <v>46272</v>
      </c>
      <c r="B186" s="1005">
        <v>46272</v>
      </c>
      <c r="C186" s="1150">
        <f t="shared" si="39"/>
        <v>5</v>
      </c>
      <c r="D186" s="1150">
        <f t="shared" si="40"/>
        <v>175</v>
      </c>
      <c r="E186" s="1006" t="s">
        <v>679</v>
      </c>
      <c r="F186" s="1007" t="str">
        <f t="shared" si="42"/>
        <v>B</v>
      </c>
      <c r="G186" s="1008">
        <f t="shared" si="43"/>
        <v>85388</v>
      </c>
      <c r="H186" s="1138">
        <f t="shared" si="44"/>
        <v>0.27986111111111112</v>
      </c>
      <c r="I186" s="1009">
        <v>0.28125</v>
      </c>
      <c r="J186" s="1010">
        <f t="shared" si="45"/>
        <v>49.999999999999986</v>
      </c>
      <c r="K186" s="1011"/>
      <c r="L186" s="1012"/>
      <c r="M186" s="1013"/>
      <c r="N186" s="1014" t="str">
        <f t="shared" si="46"/>
        <v/>
      </c>
      <c r="O186" s="1323"/>
      <c r="P186" s="1324"/>
      <c r="Q186" s="1324"/>
      <c r="R186" s="1324"/>
      <c r="S186" s="1324"/>
      <c r="T186" s="1325"/>
      <c r="U186" s="1015">
        <v>1.8</v>
      </c>
      <c r="V186" s="1015"/>
      <c r="W186" s="1015"/>
      <c r="X186" s="1015"/>
      <c r="Y186" s="1015"/>
      <c r="Z186" s="1016">
        <f>'09월 에너지'!S188</f>
        <v>141.9</v>
      </c>
      <c r="AA186" s="1017"/>
      <c r="AB186" s="1208"/>
      <c r="AC186" s="1208"/>
      <c r="AD186" s="1208"/>
      <c r="AE186" s="1208"/>
      <c r="AF186" s="1208"/>
      <c r="AG186" s="1018">
        <f>'09월 화학성분'!AM186</f>
        <v>1969</v>
      </c>
      <c r="AH186" s="1006">
        <f t="shared" si="35"/>
        <v>26</v>
      </c>
      <c r="AI186" s="1019">
        <v>1557</v>
      </c>
      <c r="AJ186" s="1020">
        <v>0</v>
      </c>
      <c r="AK186" s="1021">
        <v>512</v>
      </c>
      <c r="AL186" s="1022">
        <v>8</v>
      </c>
      <c r="AM186" s="1155">
        <f>IF(AT186="","",3*'09월 에너지'!S188*(1/(3+7.8*(100-AT186)/AT186)))</f>
        <v>1.498474655819775</v>
      </c>
      <c r="AN186" s="1023">
        <v>0.14166666666666666</v>
      </c>
      <c r="AO186" s="1024"/>
      <c r="AP186" s="1025"/>
      <c r="AQ186" s="1025"/>
      <c r="AR186" s="1149" t="str">
        <f t="shared" si="36"/>
        <v/>
      </c>
      <c r="AS186" s="1093">
        <f t="shared" si="48"/>
        <v>8</v>
      </c>
      <c r="AT186" s="1156">
        <v>2.7</v>
      </c>
      <c r="AU186" s="449"/>
      <c r="AV186" s="1205"/>
    </row>
    <row r="187" spans="1:48" ht="16.5" customHeight="1">
      <c r="A187" s="1005">
        <f t="shared" si="37"/>
        <v>46272</v>
      </c>
      <c r="B187" s="1005">
        <f t="shared" si="38"/>
        <v>46272</v>
      </c>
      <c r="C187" s="1150">
        <f t="shared" si="39"/>
        <v>6</v>
      </c>
      <c r="D187" s="1150">
        <f t="shared" si="40"/>
        <v>176</v>
      </c>
      <c r="E187" s="1006" t="str">
        <f t="shared" si="41"/>
        <v>B</v>
      </c>
      <c r="F187" s="1007" t="str">
        <f t="shared" si="42"/>
        <v>A</v>
      </c>
      <c r="G187" s="1008">
        <f t="shared" si="43"/>
        <v>85389</v>
      </c>
      <c r="H187" s="1138">
        <f t="shared" si="44"/>
        <v>0.31458333333333333</v>
      </c>
      <c r="I187" s="1009">
        <v>0.30902777777777779</v>
      </c>
      <c r="J187" s="1010">
        <f t="shared" si="45"/>
        <v>40.000000000000014</v>
      </c>
      <c r="K187" s="1011"/>
      <c r="L187" s="1012"/>
      <c r="M187" s="1013"/>
      <c r="N187" s="1014" t="str">
        <f t="shared" si="46"/>
        <v/>
      </c>
      <c r="O187" s="1323"/>
      <c r="P187" s="1324"/>
      <c r="Q187" s="1324"/>
      <c r="R187" s="1324"/>
      <c r="S187" s="1324"/>
      <c r="T187" s="1325"/>
      <c r="U187" s="1015">
        <v>1.8</v>
      </c>
      <c r="V187" s="1015"/>
      <c r="W187" s="1015"/>
      <c r="X187" s="1015"/>
      <c r="Y187" s="1015"/>
      <c r="Z187" s="1016">
        <f>'09월 에너지'!S189</f>
        <v>144.69999999999999</v>
      </c>
      <c r="AA187" s="1017"/>
      <c r="AB187" s="1208"/>
      <c r="AC187" s="1208"/>
      <c r="AD187" s="1208"/>
      <c r="AE187" s="1208"/>
      <c r="AF187" s="1208"/>
      <c r="AG187" s="1018">
        <f>'09월 화학성분'!AM187</f>
        <v>2599</v>
      </c>
      <c r="AH187" s="1006">
        <f t="shared" si="35"/>
        <v>27</v>
      </c>
      <c r="AI187" s="1019">
        <v>1583</v>
      </c>
      <c r="AJ187" s="1020">
        <v>0</v>
      </c>
      <c r="AK187" s="1021">
        <v>523</v>
      </c>
      <c r="AL187" s="1022">
        <v>8</v>
      </c>
      <c r="AM187" s="1155">
        <f>IF(AT187="","",3*'09월 에너지'!S189*(1/(3+7.8*(100-AT187)/AT187)))</f>
        <v>0.89931634555624607</v>
      </c>
      <c r="AN187" s="1023">
        <v>0.14027777777777778</v>
      </c>
      <c r="AO187" s="1024"/>
      <c r="AP187" s="1025"/>
      <c r="AQ187" s="1025"/>
      <c r="AR187" s="1149">
        <f t="shared" si="36"/>
        <v>2</v>
      </c>
      <c r="AS187" s="1093" t="str">
        <f t="shared" si="48"/>
        <v xml:space="preserve"> </v>
      </c>
      <c r="AT187" s="1156">
        <v>1.6</v>
      </c>
      <c r="AU187" s="449"/>
      <c r="AV187" s="1205"/>
    </row>
    <row r="188" spans="1:48" ht="16.5" customHeight="1">
      <c r="A188" s="1005">
        <f t="shared" si="37"/>
        <v>46272</v>
      </c>
      <c r="B188" s="1005">
        <f t="shared" si="38"/>
        <v>46272</v>
      </c>
      <c r="C188" s="1150">
        <f t="shared" si="39"/>
        <v>7</v>
      </c>
      <c r="D188" s="1150">
        <f t="shared" si="40"/>
        <v>177</v>
      </c>
      <c r="E188" s="1006" t="str">
        <f t="shared" si="41"/>
        <v>B</v>
      </c>
      <c r="F188" s="1007" t="str">
        <f t="shared" si="42"/>
        <v>B</v>
      </c>
      <c r="G188" s="1236">
        <f t="shared" si="43"/>
        <v>85390</v>
      </c>
      <c r="H188" s="1138">
        <f t="shared" si="44"/>
        <v>0.34236111111111112</v>
      </c>
      <c r="I188" s="1009">
        <v>0.34097222222222223</v>
      </c>
      <c r="J188" s="1010">
        <f t="shared" si="45"/>
        <v>46</v>
      </c>
      <c r="K188" s="1011"/>
      <c r="L188" s="1012"/>
      <c r="M188" s="1013"/>
      <c r="N188" s="1014" t="str">
        <f t="shared" si="46"/>
        <v/>
      </c>
      <c r="O188" s="1338" t="s">
        <v>678</v>
      </c>
      <c r="P188" s="1339"/>
      <c r="Q188" s="1339"/>
      <c r="R188" s="1339"/>
      <c r="S188" s="1339"/>
      <c r="T188" s="1340"/>
      <c r="U188" s="1015">
        <v>1.8</v>
      </c>
      <c r="V188" s="1015"/>
      <c r="W188" s="1015"/>
      <c r="X188" s="1015"/>
      <c r="Y188" s="1015"/>
      <c r="Z188" s="1016">
        <f>'09월 에너지'!S190</f>
        <v>141.30000000000001</v>
      </c>
      <c r="AA188" s="1017"/>
      <c r="AB188" s="1208"/>
      <c r="AC188" s="1208"/>
      <c r="AD188" s="1208"/>
      <c r="AE188" s="1208"/>
      <c r="AF188" s="1208"/>
      <c r="AG188" s="1018">
        <f>'09월 화학성분'!AM188</f>
        <v>1445</v>
      </c>
      <c r="AH188" s="1006">
        <f t="shared" si="35"/>
        <v>28</v>
      </c>
      <c r="AI188" s="1019">
        <v>1585</v>
      </c>
      <c r="AJ188" s="1020">
        <v>0</v>
      </c>
      <c r="AK188" s="1021">
        <v>424</v>
      </c>
      <c r="AL188" s="1022">
        <v>10</v>
      </c>
      <c r="AM188" s="1155">
        <f>IF(AT188="","",3*'09월 에너지'!S190*(1/(3+7.8*(100-AT188)/AT188)))</f>
        <v>0.82278726708074545</v>
      </c>
      <c r="AN188" s="1023">
        <v>0.15416666666666667</v>
      </c>
      <c r="AO188" s="1024"/>
      <c r="AP188" s="1025"/>
      <c r="AQ188" s="1025"/>
      <c r="AR188" s="1149" t="str">
        <f t="shared" si="36"/>
        <v/>
      </c>
      <c r="AS188" s="1093">
        <f t="shared" si="48"/>
        <v>9</v>
      </c>
      <c r="AT188" s="1156">
        <v>1.5</v>
      </c>
      <c r="AU188" s="449"/>
      <c r="AV188" s="1205"/>
    </row>
    <row r="189" spans="1:48" ht="16.5" customHeight="1">
      <c r="A189" s="1005">
        <f t="shared" si="37"/>
        <v>46272</v>
      </c>
      <c r="B189" s="1005">
        <f t="shared" si="38"/>
        <v>46272</v>
      </c>
      <c r="C189" s="1150">
        <f t="shared" si="39"/>
        <v>8</v>
      </c>
      <c r="D189" s="1150">
        <f t="shared" si="40"/>
        <v>178</v>
      </c>
      <c r="E189" s="1006" t="str">
        <f t="shared" si="41"/>
        <v>B</v>
      </c>
      <c r="F189" s="1007" t="str">
        <f t="shared" si="42"/>
        <v>A</v>
      </c>
      <c r="G189" s="1236">
        <f t="shared" si="43"/>
        <v>85391</v>
      </c>
      <c r="H189" s="1138">
        <f t="shared" si="44"/>
        <v>0.37430555555555556</v>
      </c>
      <c r="I189" s="1009">
        <v>0.37708333333333338</v>
      </c>
      <c r="J189" s="1010">
        <f t="shared" si="45"/>
        <v>52.000000000000057</v>
      </c>
      <c r="K189" s="1011"/>
      <c r="L189" s="1012"/>
      <c r="M189" s="1013"/>
      <c r="N189" s="1014" t="str">
        <f t="shared" si="46"/>
        <v/>
      </c>
      <c r="O189" s="1323"/>
      <c r="P189" s="1324"/>
      <c r="Q189" s="1324"/>
      <c r="R189" s="1324"/>
      <c r="S189" s="1324"/>
      <c r="T189" s="1325"/>
      <c r="U189" s="1015">
        <v>1.8</v>
      </c>
      <c r="V189" s="1015"/>
      <c r="W189" s="1015"/>
      <c r="X189" s="1015"/>
      <c r="Y189" s="1015"/>
      <c r="Z189" s="1016">
        <f>'09월 에너지'!S191</f>
        <v>145.1</v>
      </c>
      <c r="AA189" s="1017"/>
      <c r="AB189" s="1208"/>
      <c r="AC189" s="1208"/>
      <c r="AD189" s="1208"/>
      <c r="AE189" s="1208"/>
      <c r="AF189" s="1208"/>
      <c r="AG189" s="1018">
        <f>'09월 화학성분'!AM189</f>
        <v>1629</v>
      </c>
      <c r="AH189" s="1006">
        <f t="shared" si="35"/>
        <v>29</v>
      </c>
      <c r="AI189" s="1019">
        <v>1593</v>
      </c>
      <c r="AJ189" s="1020">
        <v>181</v>
      </c>
      <c r="AK189" s="1021">
        <v>1014</v>
      </c>
      <c r="AL189" s="1022">
        <v>3</v>
      </c>
      <c r="AM189" s="1155">
        <f>IF(AT189="","",3*'09월 에너지'!S191*(1/(3+7.8*(100-AT189)/AT189)))</f>
        <v>1.7636841279799245</v>
      </c>
      <c r="AN189" s="1023">
        <v>0.14166666666666666</v>
      </c>
      <c r="AO189" s="1024"/>
      <c r="AP189" s="1025"/>
      <c r="AQ189" s="1025"/>
      <c r="AR189" s="1149">
        <f t="shared" si="36"/>
        <v>3</v>
      </c>
      <c r="AS189" s="1093" t="str">
        <f t="shared" si="48"/>
        <v xml:space="preserve"> </v>
      </c>
      <c r="AT189" s="1156">
        <v>3.1</v>
      </c>
      <c r="AU189" s="449"/>
      <c r="AV189" s="1205"/>
    </row>
    <row r="190" spans="1:48" ht="16.5" customHeight="1">
      <c r="A190" s="1005">
        <f t="shared" si="37"/>
        <v>46272</v>
      </c>
      <c r="B190" s="1005">
        <f t="shared" si="38"/>
        <v>46272</v>
      </c>
      <c r="C190" s="1150">
        <f t="shared" si="39"/>
        <v>9</v>
      </c>
      <c r="D190" s="1150">
        <f t="shared" si="40"/>
        <v>179</v>
      </c>
      <c r="E190" s="1006" t="str">
        <f t="shared" si="41"/>
        <v>B</v>
      </c>
      <c r="F190" s="1007" t="str">
        <f t="shared" si="42"/>
        <v>B</v>
      </c>
      <c r="G190" s="1236">
        <f t="shared" si="43"/>
        <v>85392</v>
      </c>
      <c r="H190" s="1138">
        <f t="shared" si="44"/>
        <v>0.41041666666666671</v>
      </c>
      <c r="I190" s="1009">
        <v>0.40833333333333338</v>
      </c>
      <c r="J190" s="1010">
        <f t="shared" si="45"/>
        <v>45</v>
      </c>
      <c r="K190" s="1011"/>
      <c r="L190" s="1012"/>
      <c r="M190" s="1013"/>
      <c r="N190" s="1014" t="str">
        <f t="shared" si="46"/>
        <v/>
      </c>
      <c r="O190" s="1323" t="s">
        <v>680</v>
      </c>
      <c r="P190" s="1324"/>
      <c r="Q190" s="1324"/>
      <c r="R190" s="1324"/>
      <c r="S190" s="1324"/>
      <c r="T190" s="1325"/>
      <c r="U190" s="1015">
        <v>1.8</v>
      </c>
      <c r="V190" s="1015"/>
      <c r="W190" s="1015"/>
      <c r="X190" s="1015"/>
      <c r="Y190" s="1015"/>
      <c r="Z190" s="1016">
        <f>'09월 에너지'!S192</f>
        <v>143.19999999999999</v>
      </c>
      <c r="AA190" s="1017"/>
      <c r="AB190" s="1208"/>
      <c r="AC190" s="1208"/>
      <c r="AD190" s="1208"/>
      <c r="AE190" s="1208"/>
      <c r="AF190" s="1208"/>
      <c r="AG190" s="1018">
        <f>'09월 화학성분'!AM190</f>
        <v>1607</v>
      </c>
      <c r="AH190" s="1006">
        <f t="shared" si="35"/>
        <v>30</v>
      </c>
      <c r="AI190" s="1019">
        <v>1545</v>
      </c>
      <c r="AJ190" s="1020">
        <v>0</v>
      </c>
      <c r="AK190" s="1021">
        <v>299</v>
      </c>
      <c r="AL190" s="1022">
        <v>15</v>
      </c>
      <c r="AM190" s="1155">
        <f>IF(AT190="","",3*'09월 에너지'!S192*(1/(3+7.8*(100-AT190)/AT190)))</f>
        <v>1.5691922354414523</v>
      </c>
      <c r="AN190" s="1023">
        <v>0.14097222222222222</v>
      </c>
      <c r="AO190" s="1024"/>
      <c r="AP190" s="1025"/>
      <c r="AQ190" s="1025"/>
      <c r="AR190" s="1149" t="str">
        <f t="shared" si="36"/>
        <v/>
      </c>
      <c r="AS190" s="1093">
        <f t="shared" si="48"/>
        <v>10</v>
      </c>
      <c r="AT190" s="1156">
        <v>2.8</v>
      </c>
      <c r="AU190" s="449"/>
      <c r="AV190" s="1205"/>
    </row>
    <row r="191" spans="1:48" ht="16.5" customHeight="1">
      <c r="A191" s="1005">
        <f t="shared" si="37"/>
        <v>46272</v>
      </c>
      <c r="B191" s="1005">
        <f t="shared" si="38"/>
        <v>46272</v>
      </c>
      <c r="C191" s="1150">
        <f t="shared" si="39"/>
        <v>10</v>
      </c>
      <c r="D191" s="1150">
        <f t="shared" si="40"/>
        <v>180</v>
      </c>
      <c r="E191" s="1006" t="str">
        <f t="shared" si="41"/>
        <v>B</v>
      </c>
      <c r="F191" s="1007" t="str">
        <f t="shared" si="42"/>
        <v>A</v>
      </c>
      <c r="G191" s="1236">
        <f t="shared" si="43"/>
        <v>85393</v>
      </c>
      <c r="H191" s="1138">
        <f t="shared" si="44"/>
        <v>0.44166666666666671</v>
      </c>
      <c r="I191" s="1009">
        <v>0.44236111111111115</v>
      </c>
      <c r="J191" s="1010">
        <f t="shared" si="45"/>
        <v>48.999999999999986</v>
      </c>
      <c r="K191" s="1011"/>
      <c r="L191" s="1012"/>
      <c r="M191" s="1013"/>
      <c r="N191" s="1014" t="str">
        <f t="shared" si="46"/>
        <v/>
      </c>
      <c r="O191" s="1323" t="s">
        <v>682</v>
      </c>
      <c r="P191" s="1324"/>
      <c r="Q191" s="1324"/>
      <c r="R191" s="1324"/>
      <c r="S191" s="1324"/>
      <c r="T191" s="1325"/>
      <c r="U191" s="1015">
        <v>1.8</v>
      </c>
      <c r="V191" s="1015"/>
      <c r="W191" s="1015"/>
      <c r="X191" s="1015"/>
      <c r="Y191" s="1015"/>
      <c r="Z191" s="1016">
        <f>'09월 에너지'!S193</f>
        <v>143.19999999999999</v>
      </c>
      <c r="AA191" s="1017">
        <v>2307</v>
      </c>
      <c r="AB191" s="1208" t="s">
        <v>665</v>
      </c>
      <c r="AC191" s="1208" t="s">
        <v>548</v>
      </c>
      <c r="AD191" s="1208" t="s">
        <v>548</v>
      </c>
      <c r="AE191" s="1208"/>
      <c r="AF191" s="1208" t="s">
        <v>666</v>
      </c>
      <c r="AG191" s="1018">
        <f>'09월 화학성분'!AM191</f>
        <v>2920</v>
      </c>
      <c r="AH191" s="1006">
        <f t="shared" si="35"/>
        <v>31</v>
      </c>
      <c r="AI191" s="1019">
        <v>1574</v>
      </c>
      <c r="AJ191" s="1020">
        <v>0</v>
      </c>
      <c r="AK191" s="1021">
        <v>721</v>
      </c>
      <c r="AL191" s="1022">
        <v>5</v>
      </c>
      <c r="AM191" s="1155">
        <f>IF(AT191="","",3*'09월 에너지'!S193*(1/(3+7.8*(100-AT191)/AT191)))</f>
        <v>1.5691922354414523</v>
      </c>
      <c r="AN191" s="1023">
        <v>0.13263888888888889</v>
      </c>
      <c r="AO191" s="1024"/>
      <c r="AP191" s="1025"/>
      <c r="AQ191" s="1025"/>
      <c r="AR191" s="1149">
        <f t="shared" si="36"/>
        <v>4</v>
      </c>
      <c r="AS191" s="1093" t="str">
        <f t="shared" si="48"/>
        <v xml:space="preserve"> </v>
      </c>
      <c r="AT191" s="1156">
        <v>2.8</v>
      </c>
      <c r="AU191" s="449"/>
      <c r="AV191" s="1205"/>
    </row>
    <row r="192" spans="1:48" ht="16.5" customHeight="1">
      <c r="A192" s="1005">
        <f t="shared" si="37"/>
        <v>46272</v>
      </c>
      <c r="B192" s="1005">
        <f t="shared" si="38"/>
        <v>46272</v>
      </c>
      <c r="C192" s="1150">
        <f t="shared" si="39"/>
        <v>11</v>
      </c>
      <c r="D192" s="1150">
        <f t="shared" si="40"/>
        <v>181</v>
      </c>
      <c r="E192" s="1006" t="str">
        <f t="shared" si="41"/>
        <v>B</v>
      </c>
      <c r="F192" s="1007" t="str">
        <f t="shared" si="42"/>
        <v>B</v>
      </c>
      <c r="G192" s="1236">
        <f t="shared" si="43"/>
        <v>85394</v>
      </c>
      <c r="H192" s="1138">
        <f t="shared" si="44"/>
        <v>0.47569444444444448</v>
      </c>
      <c r="I192" s="1009">
        <v>0.47916666666666669</v>
      </c>
      <c r="J192" s="1010">
        <f t="shared" si="45"/>
        <v>52.999999999999972</v>
      </c>
      <c r="K192" s="1011"/>
      <c r="L192" s="1012"/>
      <c r="M192" s="1013"/>
      <c r="N192" s="1014" t="str">
        <f t="shared" si="46"/>
        <v/>
      </c>
      <c r="O192" s="1323" t="s">
        <v>682</v>
      </c>
      <c r="P192" s="1324"/>
      <c r="Q192" s="1324"/>
      <c r="R192" s="1324"/>
      <c r="S192" s="1324"/>
      <c r="T192" s="1325"/>
      <c r="U192" s="1015">
        <v>1.8</v>
      </c>
      <c r="V192" s="1015"/>
      <c r="W192" s="1015"/>
      <c r="X192" s="1015"/>
      <c r="Y192" s="1015"/>
      <c r="Z192" s="1016">
        <f>'09월 에너지'!S194</f>
        <v>142</v>
      </c>
      <c r="AA192" s="1017">
        <v>2507</v>
      </c>
      <c r="AB192" s="1208" t="s">
        <v>665</v>
      </c>
      <c r="AC192" s="1208" t="s">
        <v>548</v>
      </c>
      <c r="AD192" s="1208"/>
      <c r="AE192" s="1208"/>
      <c r="AF192" s="1208" t="s">
        <v>666</v>
      </c>
      <c r="AG192" s="1018">
        <f>'09월 화학성분'!AM192</f>
        <v>2567</v>
      </c>
      <c r="AH192" s="1006">
        <f t="shared" si="35"/>
        <v>32</v>
      </c>
      <c r="AI192" s="1019">
        <v>1542</v>
      </c>
      <c r="AJ192" s="1020">
        <v>0</v>
      </c>
      <c r="AK192" s="1021">
        <v>427</v>
      </c>
      <c r="AL192" s="1022">
        <v>10</v>
      </c>
      <c r="AM192" s="1155">
        <f>IF(AT192="","",3*'09월 에너지'!S194*(1/(3+7.8*(100-AT192)/AT192)))</f>
        <v>1.38671875</v>
      </c>
      <c r="AN192" s="1023">
        <v>0.1388888888888889</v>
      </c>
      <c r="AO192" s="1024"/>
      <c r="AP192" s="1025"/>
      <c r="AQ192" s="1025"/>
      <c r="AR192" s="1149" t="str">
        <f t="shared" si="36"/>
        <v/>
      </c>
      <c r="AS192" s="1093">
        <f t="shared" si="48"/>
        <v>11</v>
      </c>
      <c r="AT192" s="1156">
        <v>2.5</v>
      </c>
      <c r="AU192" s="449"/>
      <c r="AV192" s="1205"/>
    </row>
    <row r="193" spans="1:48" ht="16.5" customHeight="1">
      <c r="A193" s="1005">
        <f t="shared" si="37"/>
        <v>46272</v>
      </c>
      <c r="B193" s="1005">
        <f t="shared" si="38"/>
        <v>46272</v>
      </c>
      <c r="C193" s="1150">
        <f t="shared" si="39"/>
        <v>12</v>
      </c>
      <c r="D193" s="1150">
        <f t="shared" si="40"/>
        <v>182</v>
      </c>
      <c r="E193" s="1006" t="str">
        <f t="shared" si="41"/>
        <v>B</v>
      </c>
      <c r="F193" s="1007" t="str">
        <f t="shared" si="42"/>
        <v>A</v>
      </c>
      <c r="G193" s="1236">
        <f t="shared" si="43"/>
        <v>85395</v>
      </c>
      <c r="H193" s="1138">
        <f t="shared" si="44"/>
        <v>0.51250000000000007</v>
      </c>
      <c r="I193" s="1009">
        <v>0.50902777777777775</v>
      </c>
      <c r="J193" s="1010">
        <f t="shared" si="45"/>
        <v>42.999999999999929</v>
      </c>
      <c r="K193" s="1011"/>
      <c r="L193" s="1012"/>
      <c r="M193" s="1013"/>
      <c r="N193" s="1014" t="str">
        <f t="shared" si="46"/>
        <v/>
      </c>
      <c r="O193" s="1323"/>
      <c r="P193" s="1324"/>
      <c r="Q193" s="1324"/>
      <c r="R193" s="1324"/>
      <c r="S193" s="1324"/>
      <c r="T193" s="1325"/>
      <c r="U193" s="1015">
        <v>1.8</v>
      </c>
      <c r="V193" s="1015"/>
      <c r="W193" s="1015"/>
      <c r="X193" s="1015"/>
      <c r="Y193" s="1015"/>
      <c r="Z193" s="1016">
        <f>'09월 에너지'!S195</f>
        <v>143.19999999999999</v>
      </c>
      <c r="AA193" s="1017"/>
      <c r="AB193" s="1208"/>
      <c r="AC193" s="1208"/>
      <c r="AD193" s="1208"/>
      <c r="AE193" s="1208"/>
      <c r="AF193" s="1208"/>
      <c r="AG193" s="1018">
        <f>'09월 화학성분'!AM193</f>
        <v>2483</v>
      </c>
      <c r="AH193" s="1006">
        <f t="shared" si="35"/>
        <v>33</v>
      </c>
      <c r="AI193" s="1019">
        <v>1565</v>
      </c>
      <c r="AJ193" s="1020">
        <v>0</v>
      </c>
      <c r="AK193" s="1021">
        <v>828</v>
      </c>
      <c r="AL193" s="1022">
        <v>4</v>
      </c>
      <c r="AM193" s="1155">
        <f>IF(AT193="","",3*'09월 에너지'!S195*(1/(3+7.8*(100-AT193)/AT193)))</f>
        <v>1.0024891101431237</v>
      </c>
      <c r="AN193" s="1023">
        <v>0.13819444444444443</v>
      </c>
      <c r="AO193" s="1024"/>
      <c r="AP193" s="1025"/>
      <c r="AQ193" s="1025"/>
      <c r="AR193" s="1149">
        <f t="shared" si="36"/>
        <v>5</v>
      </c>
      <c r="AS193" s="1093" t="str">
        <f t="shared" si="48"/>
        <v xml:space="preserve"> </v>
      </c>
      <c r="AT193" s="1156">
        <v>1.8</v>
      </c>
      <c r="AU193" s="449"/>
      <c r="AV193" s="1205"/>
    </row>
    <row r="194" spans="1:48" ht="16.5" customHeight="1">
      <c r="A194" s="1005">
        <f t="shared" si="37"/>
        <v>46272</v>
      </c>
      <c r="B194" s="1005">
        <f t="shared" si="38"/>
        <v>46272</v>
      </c>
      <c r="C194" s="1150">
        <f t="shared" si="39"/>
        <v>13</v>
      </c>
      <c r="D194" s="1150">
        <f t="shared" si="40"/>
        <v>183</v>
      </c>
      <c r="E194" s="1006" t="str">
        <f t="shared" si="41"/>
        <v>B</v>
      </c>
      <c r="F194" s="1007" t="str">
        <f t="shared" si="42"/>
        <v>B</v>
      </c>
      <c r="G194" s="1236">
        <f t="shared" si="43"/>
        <v>85396</v>
      </c>
      <c r="H194" s="1138">
        <f t="shared" si="44"/>
        <v>0.54236111111111107</v>
      </c>
      <c r="I194" s="1009">
        <v>0.54791666666666672</v>
      </c>
      <c r="J194" s="1010">
        <f t="shared" si="45"/>
        <v>56.000000000000121</v>
      </c>
      <c r="K194" s="1011"/>
      <c r="L194" s="1012"/>
      <c r="M194" s="1013"/>
      <c r="N194" s="1014" t="str">
        <f t="shared" si="46"/>
        <v/>
      </c>
      <c r="O194" s="1323" t="s">
        <v>571</v>
      </c>
      <c r="P194" s="1324"/>
      <c r="Q194" s="1324"/>
      <c r="R194" s="1324"/>
      <c r="S194" s="1324"/>
      <c r="T194" s="1325"/>
      <c r="U194" s="1015">
        <v>1.8</v>
      </c>
      <c r="V194" s="1015"/>
      <c r="W194" s="1015"/>
      <c r="X194" s="1015"/>
      <c r="Y194" s="1015"/>
      <c r="Z194" s="1016">
        <f>'09월 에너지'!S196</f>
        <v>144.30000000000001</v>
      </c>
      <c r="AA194" s="1017">
        <v>2033</v>
      </c>
      <c r="AB194" s="1208" t="s">
        <v>665</v>
      </c>
      <c r="AC194" s="1208" t="s">
        <v>548</v>
      </c>
      <c r="AD194" s="1208" t="s">
        <v>548</v>
      </c>
      <c r="AE194" s="1208"/>
      <c r="AF194" s="1208" t="s">
        <v>666</v>
      </c>
      <c r="AG194" s="1018">
        <f>'09월 화학성분'!AM194</f>
        <v>2590</v>
      </c>
      <c r="AH194" s="1006">
        <f t="shared" si="35"/>
        <v>34</v>
      </c>
      <c r="AI194" s="1019">
        <v>1571</v>
      </c>
      <c r="AJ194" s="1020">
        <v>0</v>
      </c>
      <c r="AK194" s="1021">
        <v>435</v>
      </c>
      <c r="AL194" s="1022">
        <v>10</v>
      </c>
      <c r="AM194" s="1155">
        <f>IF(AT194="","",3*'09월 에너지'!S196*(1/(3+7.8*(100-AT194)/AT194)))</f>
        <v>1.8116760828625238</v>
      </c>
      <c r="AN194" s="1023">
        <v>0.11944444444444445</v>
      </c>
      <c r="AO194" s="1024"/>
      <c r="AP194" s="1025"/>
      <c r="AQ194" s="1025"/>
      <c r="AR194" s="1149" t="str">
        <f t="shared" si="36"/>
        <v/>
      </c>
      <c r="AS194" s="1093">
        <f t="shared" si="48"/>
        <v>12</v>
      </c>
      <c r="AT194" s="1156">
        <v>3.2</v>
      </c>
      <c r="AU194" s="449"/>
      <c r="AV194" s="1205"/>
    </row>
    <row r="195" spans="1:48" ht="16.5" customHeight="1">
      <c r="A195" s="1005">
        <f t="shared" si="37"/>
        <v>46272</v>
      </c>
      <c r="B195" s="1005">
        <f t="shared" si="38"/>
        <v>46272</v>
      </c>
      <c r="C195" s="1150">
        <f t="shared" si="39"/>
        <v>14</v>
      </c>
      <c r="D195" s="1150">
        <f t="shared" si="40"/>
        <v>184</v>
      </c>
      <c r="E195" s="1006" t="str">
        <f t="shared" si="41"/>
        <v>B</v>
      </c>
      <c r="F195" s="1007" t="str">
        <f t="shared" si="42"/>
        <v>A</v>
      </c>
      <c r="G195" s="1236">
        <f t="shared" si="43"/>
        <v>85397</v>
      </c>
      <c r="H195" s="1138">
        <f t="shared" si="44"/>
        <v>0.58125000000000004</v>
      </c>
      <c r="I195" s="1009">
        <v>0.5805555555555556</v>
      </c>
      <c r="J195" s="1010">
        <f t="shared" si="45"/>
        <v>46.999999999999993</v>
      </c>
      <c r="K195" s="1011"/>
      <c r="L195" s="1012"/>
      <c r="M195" s="1013"/>
      <c r="N195" s="1014" t="str">
        <f t="shared" si="46"/>
        <v/>
      </c>
      <c r="O195" s="1323"/>
      <c r="P195" s="1324"/>
      <c r="Q195" s="1324"/>
      <c r="R195" s="1324"/>
      <c r="S195" s="1324"/>
      <c r="T195" s="1325"/>
      <c r="U195" s="1015">
        <v>1.8</v>
      </c>
      <c r="V195" s="1015"/>
      <c r="W195" s="1015"/>
      <c r="X195" s="1015"/>
      <c r="Y195" s="1015"/>
      <c r="Z195" s="1016">
        <f>'09월 에너지'!S197</f>
        <v>143</v>
      </c>
      <c r="AA195" s="1017"/>
      <c r="AB195" s="1208"/>
      <c r="AC195" s="1208"/>
      <c r="AD195" s="1208"/>
      <c r="AE195" s="1208"/>
      <c r="AF195" s="1208"/>
      <c r="AG195" s="1018">
        <f>'09월 화학성분'!AM195</f>
        <v>2269</v>
      </c>
      <c r="AH195" s="1006">
        <f t="shared" si="35"/>
        <v>35</v>
      </c>
      <c r="AI195" s="1019">
        <v>1578</v>
      </c>
      <c r="AJ195" s="1020">
        <v>0</v>
      </c>
      <c r="AK195" s="1021">
        <v>741</v>
      </c>
      <c r="AL195" s="1022">
        <v>5</v>
      </c>
      <c r="AM195" s="1155">
        <f>IF(AT195="","",3*'09월 에너지'!S197*(1/(3+7.8*(100-AT195)/AT195)))</f>
        <v>1.2266063630692454</v>
      </c>
      <c r="AN195" s="1023">
        <v>0.11944444444444445</v>
      </c>
      <c r="AO195" s="1024"/>
      <c r="AP195" s="1025"/>
      <c r="AQ195" s="1025"/>
      <c r="AR195" s="1149">
        <f t="shared" si="36"/>
        <v>6</v>
      </c>
      <c r="AS195" s="1093" t="str">
        <f t="shared" si="48"/>
        <v xml:space="preserve"> </v>
      </c>
      <c r="AT195" s="1156">
        <v>2.2000000000000002</v>
      </c>
      <c r="AU195" s="449"/>
      <c r="AV195" s="1205"/>
    </row>
    <row r="196" spans="1:48" ht="16.5" customHeight="1">
      <c r="A196" s="1005">
        <f t="shared" si="37"/>
        <v>46272</v>
      </c>
      <c r="B196" s="1005">
        <f t="shared" si="38"/>
        <v>46272</v>
      </c>
      <c r="C196" s="1150">
        <f t="shared" si="39"/>
        <v>15</v>
      </c>
      <c r="D196" s="1150">
        <f t="shared" si="40"/>
        <v>185</v>
      </c>
      <c r="E196" s="1006" t="s">
        <v>558</v>
      </c>
      <c r="F196" s="1007" t="str">
        <f t="shared" si="42"/>
        <v>B</v>
      </c>
      <c r="G196" s="1236">
        <f t="shared" si="43"/>
        <v>85398</v>
      </c>
      <c r="H196" s="1138">
        <f t="shared" si="44"/>
        <v>0.61388888888888893</v>
      </c>
      <c r="I196" s="1009">
        <v>0.6118055555555556</v>
      </c>
      <c r="J196" s="1010">
        <f t="shared" si="45"/>
        <v>45</v>
      </c>
      <c r="K196" s="1011"/>
      <c r="L196" s="1012"/>
      <c r="M196" s="1013"/>
      <c r="N196" s="1014" t="str">
        <f t="shared" si="46"/>
        <v/>
      </c>
      <c r="O196" s="1323"/>
      <c r="P196" s="1324"/>
      <c r="Q196" s="1324"/>
      <c r="R196" s="1324"/>
      <c r="S196" s="1324"/>
      <c r="T196" s="1325"/>
      <c r="U196" s="1015">
        <v>1.8</v>
      </c>
      <c r="V196" s="1015"/>
      <c r="W196" s="1015"/>
      <c r="X196" s="1015"/>
      <c r="Y196" s="1015"/>
      <c r="Z196" s="1016">
        <f>'09월 에너지'!S198</f>
        <v>143.80000000000001</v>
      </c>
      <c r="AA196" s="1017"/>
      <c r="AB196" s="1208"/>
      <c r="AC196" s="1208"/>
      <c r="AD196" s="1208"/>
      <c r="AE196" s="1208"/>
      <c r="AF196" s="1208"/>
      <c r="AG196" s="1018">
        <f>'09월 화학성분'!AM196</f>
        <v>611</v>
      </c>
      <c r="AH196" s="1006">
        <f t="shared" si="35"/>
        <v>36</v>
      </c>
      <c r="AI196" s="1019">
        <v>1582</v>
      </c>
      <c r="AJ196" s="1020">
        <v>0</v>
      </c>
      <c r="AK196" s="1021">
        <v>620</v>
      </c>
      <c r="AL196" s="1022">
        <v>6</v>
      </c>
      <c r="AM196" s="1155">
        <f>IF(AT196="","",3*'09월 에너지'!S198*(1/(3+7.8*(100-AT196)/AT196)))</f>
        <v>1.11993769470405</v>
      </c>
      <c r="AN196" s="1023">
        <v>0.15277777777777776</v>
      </c>
      <c r="AO196" s="1024"/>
      <c r="AP196" s="1025"/>
      <c r="AQ196" s="1025"/>
      <c r="AR196" s="1149" t="str">
        <f t="shared" si="36"/>
        <v/>
      </c>
      <c r="AS196" s="1093">
        <f t="shared" si="48"/>
        <v>13</v>
      </c>
      <c r="AT196" s="1156">
        <v>2</v>
      </c>
      <c r="AU196" s="449"/>
      <c r="AV196" s="1205"/>
    </row>
    <row r="197" spans="1:48" ht="16.5" customHeight="1">
      <c r="A197" s="1005">
        <f t="shared" si="37"/>
        <v>46272</v>
      </c>
      <c r="B197" s="1005">
        <f t="shared" si="38"/>
        <v>46272</v>
      </c>
      <c r="C197" s="1150">
        <f t="shared" si="39"/>
        <v>16</v>
      </c>
      <c r="D197" s="1150">
        <f t="shared" si="40"/>
        <v>186</v>
      </c>
      <c r="E197" s="1006" t="str">
        <f t="shared" si="41"/>
        <v>D</v>
      </c>
      <c r="F197" s="1007" t="str">
        <f t="shared" si="42"/>
        <v>A</v>
      </c>
      <c r="G197" s="1236">
        <f t="shared" si="43"/>
        <v>85399</v>
      </c>
      <c r="H197" s="1138">
        <f t="shared" si="44"/>
        <v>0.64513888888888893</v>
      </c>
      <c r="I197" s="1009">
        <v>0.64583333333333337</v>
      </c>
      <c r="J197" s="1010">
        <f t="shared" si="45"/>
        <v>48.999999999999986</v>
      </c>
      <c r="K197" s="1011"/>
      <c r="L197" s="1012"/>
      <c r="M197" s="1013"/>
      <c r="N197" s="1014" t="str">
        <f t="shared" si="46"/>
        <v/>
      </c>
      <c r="O197" s="1326" t="s">
        <v>685</v>
      </c>
      <c r="P197" s="1327"/>
      <c r="Q197" s="1327"/>
      <c r="R197" s="1327"/>
      <c r="S197" s="1327"/>
      <c r="T197" s="1328"/>
      <c r="U197" s="1015">
        <v>1.8</v>
      </c>
      <c r="V197" s="1015"/>
      <c r="W197" s="1015"/>
      <c r="X197" s="1015"/>
      <c r="Y197" s="1015"/>
      <c r="Z197" s="1016">
        <f>'09월 에너지'!S199</f>
        <v>141.69999999999999</v>
      </c>
      <c r="AA197" s="1017"/>
      <c r="AB197" s="1208"/>
      <c r="AC197" s="1208"/>
      <c r="AD197" s="1208"/>
      <c r="AE197" s="1208"/>
      <c r="AF197" s="1208"/>
      <c r="AG197" s="1018">
        <f>'09월 화학성분'!AM197</f>
        <v>3250</v>
      </c>
      <c r="AH197" s="1006">
        <f t="shared" si="35"/>
        <v>37</v>
      </c>
      <c r="AI197" s="1019">
        <v>1546</v>
      </c>
      <c r="AJ197" s="1020">
        <v>0</v>
      </c>
      <c r="AK197" s="1021">
        <v>854</v>
      </c>
      <c r="AL197" s="1022">
        <v>4</v>
      </c>
      <c r="AM197" s="1155">
        <f>IF(AT197="","",3*'09월 에너지'!S199*(1/(3+7.8*(100-AT197)/AT197)))</f>
        <v>0.8806712243629583</v>
      </c>
      <c r="AN197" s="1023">
        <v>0.12708333333333333</v>
      </c>
      <c r="AO197" s="1024"/>
      <c r="AP197" s="1025"/>
      <c r="AQ197" s="1025"/>
      <c r="AR197" s="1149">
        <f t="shared" si="36"/>
        <v>7</v>
      </c>
      <c r="AS197" s="1093" t="str">
        <f t="shared" si="48"/>
        <v xml:space="preserve"> </v>
      </c>
      <c r="AT197" s="1156">
        <v>1.6</v>
      </c>
      <c r="AU197" s="449"/>
      <c r="AV197" s="1205"/>
    </row>
    <row r="198" spans="1:48" ht="16.5" customHeight="1">
      <c r="A198" s="1005">
        <f t="shared" si="37"/>
        <v>46272</v>
      </c>
      <c r="B198" s="1005">
        <f t="shared" si="38"/>
        <v>46272</v>
      </c>
      <c r="C198" s="1150">
        <f t="shared" si="39"/>
        <v>17</v>
      </c>
      <c r="D198" s="1150">
        <f t="shared" si="40"/>
        <v>187</v>
      </c>
      <c r="E198" s="1006" t="str">
        <f t="shared" si="41"/>
        <v>D</v>
      </c>
      <c r="F198" s="1007" t="str">
        <f t="shared" si="42"/>
        <v>B</v>
      </c>
      <c r="G198" s="1236">
        <f t="shared" si="43"/>
        <v>85400</v>
      </c>
      <c r="H198" s="1138">
        <f t="shared" si="44"/>
        <v>0.6791666666666667</v>
      </c>
      <c r="I198" s="1009">
        <v>0.67499999999999993</v>
      </c>
      <c r="J198" s="1010">
        <f t="shared" si="45"/>
        <v>41.999999999999851</v>
      </c>
      <c r="K198" s="1011"/>
      <c r="L198" s="1012"/>
      <c r="M198" s="1013"/>
      <c r="N198" s="1014" t="str">
        <f t="shared" si="46"/>
        <v/>
      </c>
      <c r="O198" s="1323"/>
      <c r="P198" s="1324"/>
      <c r="Q198" s="1324"/>
      <c r="R198" s="1324"/>
      <c r="S198" s="1324"/>
      <c r="T198" s="1325"/>
      <c r="U198" s="1015">
        <v>1.8</v>
      </c>
      <c r="V198" s="1015"/>
      <c r="W198" s="1015"/>
      <c r="X198" s="1015"/>
      <c r="Y198" s="1015"/>
      <c r="Z198" s="1016">
        <f>'09월 에너지'!S200</f>
        <v>142.6</v>
      </c>
      <c r="AA198" s="1017"/>
      <c r="AB198" s="1208"/>
      <c r="AC198" s="1208"/>
      <c r="AD198" s="1208"/>
      <c r="AE198" s="1208"/>
      <c r="AF198" s="1208"/>
      <c r="AG198" s="1018">
        <f>'09월 화학성분'!AM198</f>
        <v>1196</v>
      </c>
      <c r="AH198" s="1006">
        <f t="shared" si="35"/>
        <v>38</v>
      </c>
      <c r="AI198" s="1019">
        <v>1557</v>
      </c>
      <c r="AJ198" s="1020">
        <v>0</v>
      </c>
      <c r="AK198" s="1021">
        <v>517</v>
      </c>
      <c r="AL198" s="1022">
        <v>8</v>
      </c>
      <c r="AM198" s="1155">
        <f>IF(AT198="","",3*'09월 에너지'!S200*(1/(3+7.8*(100-AT198)/AT198)))</f>
        <v>1.3360399750156151</v>
      </c>
      <c r="AN198" s="1023">
        <v>0.16319444444444445</v>
      </c>
      <c r="AO198" s="1024"/>
      <c r="AP198" s="1025"/>
      <c r="AQ198" s="1025"/>
      <c r="AR198" s="1149" t="str">
        <f t="shared" si="36"/>
        <v/>
      </c>
      <c r="AS198" s="1093">
        <f t="shared" si="48"/>
        <v>14</v>
      </c>
      <c r="AT198" s="1156">
        <v>2.4</v>
      </c>
      <c r="AU198" s="449"/>
      <c r="AV198" s="1205"/>
    </row>
    <row r="199" spans="1:48" ht="16.5" customHeight="1">
      <c r="A199" s="1005">
        <f t="shared" si="37"/>
        <v>46272</v>
      </c>
      <c r="B199" s="1005">
        <f t="shared" si="38"/>
        <v>46272</v>
      </c>
      <c r="C199" s="1150">
        <f t="shared" si="39"/>
        <v>18</v>
      </c>
      <c r="D199" s="1150">
        <f t="shared" si="40"/>
        <v>188</v>
      </c>
      <c r="E199" s="1006" t="str">
        <f t="shared" si="41"/>
        <v>D</v>
      </c>
      <c r="F199" s="1007" t="str">
        <f t="shared" si="42"/>
        <v>A</v>
      </c>
      <c r="G199" s="1236">
        <f t="shared" si="43"/>
        <v>85401</v>
      </c>
      <c r="H199" s="1138">
        <f t="shared" si="44"/>
        <v>0.70833333333333326</v>
      </c>
      <c r="I199" s="1009">
        <v>0.70972222222222225</v>
      </c>
      <c r="J199" s="1010">
        <f t="shared" si="45"/>
        <v>50.000000000000142</v>
      </c>
      <c r="K199" s="1011"/>
      <c r="L199" s="1012"/>
      <c r="M199" s="1013"/>
      <c r="N199" s="1014" t="str">
        <f t="shared" si="46"/>
        <v/>
      </c>
      <c r="O199" s="1323" t="s">
        <v>686</v>
      </c>
      <c r="P199" s="1324"/>
      <c r="Q199" s="1324"/>
      <c r="R199" s="1324"/>
      <c r="S199" s="1324"/>
      <c r="T199" s="1325"/>
      <c r="U199" s="1015">
        <v>1.8</v>
      </c>
      <c r="V199" s="1015"/>
      <c r="W199" s="1015"/>
      <c r="X199" s="1015"/>
      <c r="Y199" s="1015"/>
      <c r="Z199" s="1016">
        <f>'09월 에너지'!S201</f>
        <v>141.6</v>
      </c>
      <c r="AA199" s="1017"/>
      <c r="AB199" s="1208"/>
      <c r="AC199" s="1208"/>
      <c r="AD199" s="1208"/>
      <c r="AE199" s="1208"/>
      <c r="AF199" s="1208"/>
      <c r="AG199" s="1018">
        <f>'09월 화학성분'!AM199</f>
        <v>4386</v>
      </c>
      <c r="AH199" s="1006">
        <f t="shared" si="35"/>
        <v>39</v>
      </c>
      <c r="AI199" s="1019">
        <v>1530</v>
      </c>
      <c r="AJ199" s="1020">
        <v>0</v>
      </c>
      <c r="AK199" s="1021">
        <v>596</v>
      </c>
      <c r="AL199" s="1022">
        <v>6</v>
      </c>
      <c r="AM199" s="1155">
        <f>IF(AT199="","",3*'09월 에너지'!S201*(1/(3+7.8*(100-AT199)/AT199)))</f>
        <v>0.65840049597024164</v>
      </c>
      <c r="AN199" s="1023">
        <v>0.12361111111111112</v>
      </c>
      <c r="AO199" s="1024"/>
      <c r="AP199" s="1025"/>
      <c r="AQ199" s="1025"/>
      <c r="AR199" s="1149">
        <f t="shared" si="36"/>
        <v>8</v>
      </c>
      <c r="AS199" s="1093" t="str">
        <f t="shared" si="48"/>
        <v xml:space="preserve"> </v>
      </c>
      <c r="AT199" s="1156">
        <v>1.2</v>
      </c>
      <c r="AU199" s="449"/>
      <c r="AV199" s="1205"/>
    </row>
    <row r="200" spans="1:48" ht="16.5" customHeight="1">
      <c r="A200" s="1005">
        <f t="shared" si="37"/>
        <v>46272</v>
      </c>
      <c r="B200" s="1005">
        <f t="shared" si="38"/>
        <v>46272</v>
      </c>
      <c r="C200" s="1150">
        <f t="shared" si="39"/>
        <v>19</v>
      </c>
      <c r="D200" s="1150">
        <f t="shared" si="40"/>
        <v>189</v>
      </c>
      <c r="E200" s="1006" t="str">
        <f t="shared" si="41"/>
        <v>D</v>
      </c>
      <c r="F200" s="1007" t="str">
        <f t="shared" si="42"/>
        <v>B</v>
      </c>
      <c r="G200" s="1236">
        <f t="shared" si="43"/>
        <v>85402</v>
      </c>
      <c r="H200" s="1138">
        <f t="shared" si="44"/>
        <v>0.74305555555555558</v>
      </c>
      <c r="I200" s="1009">
        <v>0.74236111111111114</v>
      </c>
      <c r="J200" s="1010">
        <f t="shared" si="45"/>
        <v>46.999999999999993</v>
      </c>
      <c r="K200" s="1011"/>
      <c r="L200" s="1012"/>
      <c r="M200" s="1013"/>
      <c r="N200" s="1014" t="str">
        <f t="shared" si="46"/>
        <v/>
      </c>
      <c r="O200" s="1323" t="s">
        <v>687</v>
      </c>
      <c r="P200" s="1324"/>
      <c r="Q200" s="1324"/>
      <c r="R200" s="1324"/>
      <c r="S200" s="1324"/>
      <c r="T200" s="1325"/>
      <c r="U200" s="1015">
        <v>1.8</v>
      </c>
      <c r="V200" s="1015"/>
      <c r="W200" s="1015"/>
      <c r="X200" s="1015"/>
      <c r="Y200" s="1015"/>
      <c r="Z200" s="1016">
        <f>'09월 에너지'!S202</f>
        <v>143.80000000000001</v>
      </c>
      <c r="AA200" s="1017"/>
      <c r="AB200" s="1208"/>
      <c r="AC200" s="1208"/>
      <c r="AD200" s="1208"/>
      <c r="AE200" s="1208"/>
      <c r="AF200" s="1208"/>
      <c r="AG200" s="1018">
        <f>'09월 화학성분'!AM200</f>
        <v>2398</v>
      </c>
      <c r="AH200" s="1006">
        <f t="shared" si="35"/>
        <v>40</v>
      </c>
      <c r="AI200" s="1019">
        <v>1569</v>
      </c>
      <c r="AJ200" s="1020">
        <v>0</v>
      </c>
      <c r="AK200" s="1021">
        <v>761</v>
      </c>
      <c r="AL200" s="1022">
        <v>5</v>
      </c>
      <c r="AM200" s="1155">
        <f>IF(AT200="","",3*'09월 에너지'!S202*(1/(3+7.8*(100-AT200)/AT200)))</f>
        <v>0.3330759728227301</v>
      </c>
      <c r="AN200" s="1023">
        <v>0.14652777777777778</v>
      </c>
      <c r="AO200" s="1024"/>
      <c r="AP200" s="1025"/>
      <c r="AQ200" s="1025"/>
      <c r="AR200" s="1149" t="str">
        <f t="shared" si="36"/>
        <v/>
      </c>
      <c r="AS200" s="1093">
        <f t="shared" si="48"/>
        <v>15</v>
      </c>
      <c r="AT200" s="1156">
        <v>0.6</v>
      </c>
      <c r="AU200" s="449"/>
      <c r="AV200" s="1205"/>
    </row>
    <row r="201" spans="1:48" ht="16.5" customHeight="1">
      <c r="A201" s="1005">
        <f t="shared" si="37"/>
        <v>46272</v>
      </c>
      <c r="B201" s="1005">
        <f t="shared" si="38"/>
        <v>46272</v>
      </c>
      <c r="C201" s="1150">
        <f t="shared" si="39"/>
        <v>20</v>
      </c>
      <c r="D201" s="1150">
        <f t="shared" si="40"/>
        <v>190</v>
      </c>
      <c r="E201" s="1006" t="str">
        <f t="shared" si="41"/>
        <v>D</v>
      </c>
      <c r="F201" s="1007" t="str">
        <f t="shared" si="42"/>
        <v>A</v>
      </c>
      <c r="G201" s="1236">
        <f t="shared" si="43"/>
        <v>85403</v>
      </c>
      <c r="H201" s="1138">
        <f t="shared" si="44"/>
        <v>0.77569444444444446</v>
      </c>
      <c r="I201" s="1009">
        <v>0.77222222222222225</v>
      </c>
      <c r="J201" s="1010">
        <f t="shared" si="45"/>
        <v>43.000000000000007</v>
      </c>
      <c r="K201" s="1011"/>
      <c r="L201" s="1012"/>
      <c r="M201" s="1013"/>
      <c r="N201" s="1014" t="str">
        <f t="shared" si="46"/>
        <v/>
      </c>
      <c r="O201" s="1326" t="s">
        <v>688</v>
      </c>
      <c r="P201" s="1327"/>
      <c r="Q201" s="1327"/>
      <c r="R201" s="1327"/>
      <c r="S201" s="1327"/>
      <c r="T201" s="1328"/>
      <c r="U201" s="1015">
        <v>1.8</v>
      </c>
      <c r="V201" s="1015"/>
      <c r="W201" s="1015"/>
      <c r="X201" s="1015"/>
      <c r="Y201" s="1015"/>
      <c r="Z201" s="1016">
        <f>'09월 에너지'!S203</f>
        <v>142.19999999999999</v>
      </c>
      <c r="AA201" s="1017"/>
      <c r="AB201" s="1208"/>
      <c r="AC201" s="1208"/>
      <c r="AD201" s="1208"/>
      <c r="AE201" s="1208"/>
      <c r="AF201" s="1208"/>
      <c r="AG201" s="1018">
        <f>'09월 화학성분'!AM201</f>
        <v>2874</v>
      </c>
      <c r="AH201" s="1006">
        <f t="shared" si="35"/>
        <v>41</v>
      </c>
      <c r="AI201" s="1019">
        <v>1528</v>
      </c>
      <c r="AJ201" s="1020">
        <v>16</v>
      </c>
      <c r="AK201" s="1021">
        <v>749</v>
      </c>
      <c r="AL201" s="1022">
        <v>5</v>
      </c>
      <c r="AM201" s="1155">
        <f>IF(AT201="","",3*'09월 에너지'!S203*(1/(3+7.8*(100-AT201)/AT201)))</f>
        <v>0.38450247218788625</v>
      </c>
      <c r="AN201" s="1023">
        <v>0.13541666666666666</v>
      </c>
      <c r="AO201" s="1024"/>
      <c r="AP201" s="1025"/>
      <c r="AQ201" s="1025"/>
      <c r="AR201" s="1149">
        <f t="shared" si="36"/>
        <v>9</v>
      </c>
      <c r="AS201" s="1093" t="str">
        <f t="shared" si="48"/>
        <v xml:space="preserve"> </v>
      </c>
      <c r="AT201" s="1156">
        <v>0.7</v>
      </c>
      <c r="AU201" s="449"/>
      <c r="AV201" s="1205" t="s">
        <v>684</v>
      </c>
    </row>
    <row r="202" spans="1:48" ht="16.5" customHeight="1">
      <c r="A202" s="1005">
        <f t="shared" si="37"/>
        <v>46272</v>
      </c>
      <c r="B202" s="1005">
        <f t="shared" si="38"/>
        <v>46272</v>
      </c>
      <c r="C202" s="1150">
        <f t="shared" si="39"/>
        <v>21</v>
      </c>
      <c r="D202" s="1150">
        <f t="shared" si="40"/>
        <v>191</v>
      </c>
      <c r="E202" s="1006" t="str">
        <f t="shared" si="41"/>
        <v>D</v>
      </c>
      <c r="F202" s="1007" t="str">
        <f t="shared" si="42"/>
        <v>B</v>
      </c>
      <c r="G202" s="1236">
        <f t="shared" si="43"/>
        <v>85404</v>
      </c>
      <c r="H202" s="1138">
        <f t="shared" si="44"/>
        <v>0.80555555555555558</v>
      </c>
      <c r="I202" s="1009">
        <v>0.80138888888888893</v>
      </c>
      <c r="J202" s="1010">
        <f t="shared" si="45"/>
        <v>42.000000000000014</v>
      </c>
      <c r="K202" s="1011"/>
      <c r="L202" s="1012"/>
      <c r="M202" s="1013"/>
      <c r="N202" s="1014" t="str">
        <f t="shared" si="46"/>
        <v/>
      </c>
      <c r="O202" s="1323"/>
      <c r="P202" s="1324"/>
      <c r="Q202" s="1324"/>
      <c r="R202" s="1324"/>
      <c r="S202" s="1324"/>
      <c r="T202" s="1325"/>
      <c r="U202" s="1015">
        <v>1.8</v>
      </c>
      <c r="V202" s="1015"/>
      <c r="W202" s="1015"/>
      <c r="X202" s="1015"/>
      <c r="Y202" s="1015"/>
      <c r="Z202" s="1016">
        <f>'09월 에너지'!S204</f>
        <v>144.30000000000001</v>
      </c>
      <c r="AA202" s="1017"/>
      <c r="AB202" s="1208"/>
      <c r="AC202" s="1208"/>
      <c r="AD202" s="1208"/>
      <c r="AE202" s="1208"/>
      <c r="AF202" s="1208"/>
      <c r="AG202" s="1018">
        <f>'09월 화학성분'!AM202</f>
        <v>1353</v>
      </c>
      <c r="AH202" s="1006">
        <f t="shared" si="35"/>
        <v>42</v>
      </c>
      <c r="AI202" s="1019">
        <v>1576</v>
      </c>
      <c r="AJ202" s="1020">
        <v>41</v>
      </c>
      <c r="AK202" s="1021">
        <v>556</v>
      </c>
      <c r="AL202" s="1022">
        <v>7</v>
      </c>
      <c r="AM202" s="1155">
        <f>IF(AT202="","",3*'09월 에너지'!S204*(1/(3+7.8*(100-AT202)/AT202)))</f>
        <v>0.89683032939714113</v>
      </c>
      <c r="AN202" s="1023">
        <v>0.12847222222222224</v>
      </c>
      <c r="AO202" s="1024"/>
      <c r="AP202" s="1025"/>
      <c r="AQ202" s="1025"/>
      <c r="AR202" s="1149" t="str">
        <f t="shared" si="36"/>
        <v/>
      </c>
      <c r="AS202" s="1093">
        <f t="shared" si="48"/>
        <v>16</v>
      </c>
      <c r="AT202" s="1156">
        <v>1.6</v>
      </c>
      <c r="AU202" s="449"/>
      <c r="AV202" s="1205"/>
    </row>
    <row r="203" spans="1:48" ht="16.5" customHeight="1">
      <c r="A203" s="1005">
        <f t="shared" si="37"/>
        <v>46272</v>
      </c>
      <c r="B203" s="1005">
        <f t="shared" si="38"/>
        <v>46272</v>
      </c>
      <c r="C203" s="1150">
        <f t="shared" si="39"/>
        <v>22</v>
      </c>
      <c r="D203" s="1150">
        <f t="shared" si="40"/>
        <v>192</v>
      </c>
      <c r="E203" s="1006" t="str">
        <f t="shared" si="41"/>
        <v>D</v>
      </c>
      <c r="F203" s="1007" t="str">
        <f t="shared" si="42"/>
        <v>A</v>
      </c>
      <c r="G203" s="1236">
        <f t="shared" si="43"/>
        <v>85405</v>
      </c>
      <c r="H203" s="1138">
        <f t="shared" si="44"/>
        <v>0.83472222222222225</v>
      </c>
      <c r="I203" s="1009">
        <v>0.8354166666666667</v>
      </c>
      <c r="J203" s="1010">
        <f t="shared" si="45"/>
        <v>48.999999999999986</v>
      </c>
      <c r="K203" s="1011"/>
      <c r="L203" s="1012"/>
      <c r="M203" s="1013"/>
      <c r="N203" s="1014" t="str">
        <f t="shared" si="46"/>
        <v/>
      </c>
      <c r="O203" s="1323" t="s">
        <v>693</v>
      </c>
      <c r="P203" s="1324"/>
      <c r="Q203" s="1324"/>
      <c r="R203" s="1324"/>
      <c r="S203" s="1324"/>
      <c r="T203" s="1325"/>
      <c r="U203" s="1015">
        <v>1.8</v>
      </c>
      <c r="V203" s="1015"/>
      <c r="W203" s="1015"/>
      <c r="X203" s="1015"/>
      <c r="Y203" s="1015"/>
      <c r="Z203" s="1016">
        <f>'09월 에너지'!S205</f>
        <v>142.69999999999999</v>
      </c>
      <c r="AA203" s="1017"/>
      <c r="AB203" s="1208"/>
      <c r="AC203" s="1208"/>
      <c r="AD203" s="1208"/>
      <c r="AE203" s="1208"/>
      <c r="AF203" s="1208"/>
      <c r="AG203" s="1018">
        <f>'09월 화학성분'!AM203</f>
        <v>3923</v>
      </c>
      <c r="AH203" s="1006">
        <f t="shared" si="35"/>
        <v>43</v>
      </c>
      <c r="AI203" s="1019">
        <v>1528</v>
      </c>
      <c r="AJ203" s="1020">
        <v>0</v>
      </c>
      <c r="AK203" s="1021">
        <v>706</v>
      </c>
      <c r="AL203" s="1022">
        <v>5</v>
      </c>
      <c r="AM203" s="1155">
        <f>IF(AT203="","",3*'09월 에너지'!S205*(1/(3+7.8*(100-AT203)/AT203)))</f>
        <v>0.27527006172839502</v>
      </c>
      <c r="AN203" s="1023">
        <v>0.12916666666666668</v>
      </c>
      <c r="AO203" s="1024"/>
      <c r="AP203" s="1025"/>
      <c r="AQ203" s="1025"/>
      <c r="AR203" s="1149">
        <f t="shared" si="36"/>
        <v>10</v>
      </c>
      <c r="AS203" s="1093" t="str">
        <f t="shared" si="48"/>
        <v xml:space="preserve"> </v>
      </c>
      <c r="AT203" s="1156">
        <v>0.5</v>
      </c>
      <c r="AU203" s="449"/>
      <c r="AV203" s="1205"/>
    </row>
    <row r="204" spans="1:48" ht="16.5" customHeight="1">
      <c r="A204" s="1005">
        <f t="shared" si="37"/>
        <v>46272</v>
      </c>
      <c r="B204" s="1005">
        <f t="shared" si="38"/>
        <v>46272</v>
      </c>
      <c r="C204" s="1150">
        <f t="shared" si="39"/>
        <v>23</v>
      </c>
      <c r="D204" s="1150">
        <f t="shared" si="40"/>
        <v>193</v>
      </c>
      <c r="E204" s="1006" t="str">
        <f t="shared" si="41"/>
        <v>D</v>
      </c>
      <c r="F204" s="1007" t="str">
        <f t="shared" si="42"/>
        <v>B</v>
      </c>
      <c r="G204" s="1236">
        <f t="shared" si="43"/>
        <v>85406</v>
      </c>
      <c r="H204" s="1138">
        <f t="shared" si="44"/>
        <v>0.86875000000000002</v>
      </c>
      <c r="I204" s="1009">
        <v>0.86875000000000002</v>
      </c>
      <c r="J204" s="1010">
        <f t="shared" si="45"/>
        <v>47.999999999999986</v>
      </c>
      <c r="K204" s="1011"/>
      <c r="L204" s="1012"/>
      <c r="M204" s="1013"/>
      <c r="N204" s="1014" t="str">
        <f t="shared" si="46"/>
        <v/>
      </c>
      <c r="O204" s="1323" t="s">
        <v>691</v>
      </c>
      <c r="P204" s="1324"/>
      <c r="Q204" s="1324"/>
      <c r="R204" s="1324"/>
      <c r="S204" s="1324"/>
      <c r="T204" s="1325"/>
      <c r="U204" s="1015">
        <v>1.8</v>
      </c>
      <c r="V204" s="1015"/>
      <c r="W204" s="1015"/>
      <c r="X204" s="1015"/>
      <c r="Y204" s="1015"/>
      <c r="Z204" s="1016">
        <f>'09월 에너지'!S206</f>
        <v>143.6</v>
      </c>
      <c r="AA204" s="1017">
        <v>2435</v>
      </c>
      <c r="AB204" s="1208" t="s">
        <v>551</v>
      </c>
      <c r="AC204" s="1208" t="s">
        <v>548</v>
      </c>
      <c r="AD204" s="1208" t="s">
        <v>532</v>
      </c>
      <c r="AE204" s="1208"/>
      <c r="AF204" s="1208" t="s">
        <v>548</v>
      </c>
      <c r="AG204" s="1018">
        <f>'09월 화학성분'!AM204</f>
        <v>1672</v>
      </c>
      <c r="AH204" s="1006">
        <f t="shared" si="35"/>
        <v>44</v>
      </c>
      <c r="AI204" s="1019">
        <v>1572</v>
      </c>
      <c r="AJ204" s="1020">
        <v>19</v>
      </c>
      <c r="AK204" s="1021">
        <v>608</v>
      </c>
      <c r="AL204" s="1022">
        <v>6</v>
      </c>
      <c r="AM204" s="1155">
        <f>IF(AT204="","",3*'09월 에너지'!S206*(1/(3+7.8*(100-AT204)/AT204)))</f>
        <v>1.3454091193004372</v>
      </c>
      <c r="AN204" s="1023">
        <v>0.14444444444444446</v>
      </c>
      <c r="AO204" s="1024" t="s">
        <v>690</v>
      </c>
      <c r="AP204" s="1025">
        <v>2000033</v>
      </c>
      <c r="AQ204" s="1025">
        <v>2139</v>
      </c>
      <c r="AR204" s="1149" t="str">
        <f t="shared" si="36"/>
        <v/>
      </c>
      <c r="AS204" s="1093">
        <v>1</v>
      </c>
      <c r="AT204" s="1156">
        <v>2.4</v>
      </c>
      <c r="AU204" s="449"/>
      <c r="AV204" s="1205"/>
    </row>
    <row r="205" spans="1:48" ht="16.5" customHeight="1">
      <c r="A205" s="1005">
        <f t="shared" si="37"/>
        <v>46272</v>
      </c>
      <c r="B205" s="1005">
        <f t="shared" si="38"/>
        <v>46272</v>
      </c>
      <c r="C205" s="1150">
        <f t="shared" si="39"/>
        <v>24</v>
      </c>
      <c r="D205" s="1150">
        <f t="shared" si="40"/>
        <v>194</v>
      </c>
      <c r="E205" s="1006" t="str">
        <f t="shared" si="41"/>
        <v>D</v>
      </c>
      <c r="F205" s="1007" t="str">
        <f t="shared" si="42"/>
        <v>A</v>
      </c>
      <c r="G205" s="1236">
        <f t="shared" si="43"/>
        <v>85407</v>
      </c>
      <c r="H205" s="1138">
        <f t="shared" si="44"/>
        <v>0.90208333333333335</v>
      </c>
      <c r="I205" s="1009">
        <v>0.90625</v>
      </c>
      <c r="J205" s="1010">
        <f t="shared" si="45"/>
        <v>53.999999999999972</v>
      </c>
      <c r="K205" s="1011"/>
      <c r="L205" s="1012"/>
      <c r="M205" s="1013"/>
      <c r="N205" s="1014" t="str">
        <f t="shared" si="46"/>
        <v/>
      </c>
      <c r="O205" s="1326" t="s">
        <v>692</v>
      </c>
      <c r="P205" s="1327"/>
      <c r="Q205" s="1327"/>
      <c r="R205" s="1327"/>
      <c r="S205" s="1327"/>
      <c r="T205" s="1328"/>
      <c r="U205" s="1015">
        <v>1.8</v>
      </c>
      <c r="V205" s="1015"/>
      <c r="W205" s="1015"/>
      <c r="X205" s="1015"/>
      <c r="Y205" s="1015"/>
      <c r="Z205" s="1016">
        <f>'09월 에너지'!S207</f>
        <v>141.9</v>
      </c>
      <c r="AA205" s="1017">
        <v>2520</v>
      </c>
      <c r="AB205" s="1208" t="s">
        <v>551</v>
      </c>
      <c r="AC205" s="1208" t="s">
        <v>548</v>
      </c>
      <c r="AD205" s="1208" t="s">
        <v>532</v>
      </c>
      <c r="AE205" s="1208"/>
      <c r="AF205" s="1208" t="s">
        <v>548</v>
      </c>
      <c r="AG205" s="1018">
        <f>'09월 화학성분'!AM205</f>
        <v>4464</v>
      </c>
      <c r="AH205" s="1006">
        <f t="shared" ref="AH205:AH268" si="49">IF(I205="","",AH204+1)</f>
        <v>45</v>
      </c>
      <c r="AI205" s="1019">
        <v>1536</v>
      </c>
      <c r="AJ205" s="1020">
        <v>0</v>
      </c>
      <c r="AK205" s="1021">
        <v>624</v>
      </c>
      <c r="AL205" s="1022">
        <v>6</v>
      </c>
      <c r="AM205" s="1155">
        <f>IF(AT205="","",3*'09월 에너지'!S207*(1/(3+7.8*(100-AT205)/AT205)))</f>
        <v>1.2732911985018727</v>
      </c>
      <c r="AN205" s="1023">
        <v>0.13055555555555556</v>
      </c>
      <c r="AO205" s="1024"/>
      <c r="AP205" s="1025"/>
      <c r="AQ205" s="1025"/>
      <c r="AR205" s="1149">
        <f t="shared" ref="AR205:AR267" si="50">IF(F205="A",IFERROR(IF(I205="","",IF(F205="A",AR204+1," ")),AR203+1),"")</f>
        <v>11</v>
      </c>
      <c r="AS205" s="1093" t="str">
        <f t="shared" si="48"/>
        <v xml:space="preserve"> </v>
      </c>
      <c r="AT205" s="1156">
        <v>2.2999999999999998</v>
      </c>
      <c r="AU205" s="449"/>
      <c r="AV205" s="1205"/>
    </row>
    <row r="206" spans="1:48" ht="16.5" customHeight="1">
      <c r="A206" s="1005">
        <f t="shared" ref="A206:A269" si="51">IF(I206="","",A205)</f>
        <v>46272</v>
      </c>
      <c r="B206" s="1005">
        <f t="shared" ref="B206:B269" si="52">IF(J206="","",B205)</f>
        <v>46272</v>
      </c>
      <c r="C206" s="1150">
        <f t="shared" ref="C206:C269" si="53">IF(I206="","",IF(A206=A205,C205+1,1))</f>
        <v>25</v>
      </c>
      <c r="D206" s="1150">
        <f t="shared" ref="D206:D269" si="54">IF(C206="","",D205+1)</f>
        <v>195</v>
      </c>
      <c r="E206" s="1006" t="str">
        <f t="shared" ref="E206:E269" si="55">IF(C206="","",E205)</f>
        <v>D</v>
      </c>
      <c r="F206" s="1007" t="str">
        <f t="shared" ref="F206:F265" si="56">IF(C206="","",IF(F205="A","B","A"))</f>
        <v>B</v>
      </c>
      <c r="G206" s="1236">
        <f t="shared" ref="G206:G265" si="57">IF(C206="","",G205+1)</f>
        <v>85408</v>
      </c>
      <c r="H206" s="1138">
        <f t="shared" ref="H206:H269" si="58">IF(ISBLANK(I205),H205+C$8/1440,I205+C$8/1440)</f>
        <v>0.93958333333333333</v>
      </c>
      <c r="I206" s="1009">
        <v>0.93819444444444444</v>
      </c>
      <c r="J206" s="1010">
        <f t="shared" ref="J206:J269" si="59">IF(I206="","",IF(I206&lt;I205,(I206-I205)*1440+1440,(I206-I205)*1440))</f>
        <v>46</v>
      </c>
      <c r="K206" s="1011"/>
      <c r="L206" s="1012"/>
      <c r="M206" s="1013"/>
      <c r="N206" s="1014" t="str">
        <f t="shared" ref="N206:N269" si="60">IF(M206="","",M206+K206/1440)</f>
        <v/>
      </c>
      <c r="O206" s="1323"/>
      <c r="P206" s="1324"/>
      <c r="Q206" s="1324"/>
      <c r="R206" s="1324"/>
      <c r="S206" s="1324"/>
      <c r="T206" s="1325"/>
      <c r="U206" s="1015">
        <v>1.8</v>
      </c>
      <c r="V206" s="1015"/>
      <c r="W206" s="1015"/>
      <c r="X206" s="1015"/>
      <c r="Y206" s="1015"/>
      <c r="Z206" s="1016">
        <f>'09월 에너지'!S208</f>
        <v>142.30000000000001</v>
      </c>
      <c r="AA206" s="1017"/>
      <c r="AB206" s="1208"/>
      <c r="AC206" s="1208"/>
      <c r="AD206" s="1208"/>
      <c r="AE206" s="1208"/>
      <c r="AF206" s="1208"/>
      <c r="AG206" s="1018">
        <f>'09월 화학성분'!AM206</f>
        <v>2537</v>
      </c>
      <c r="AH206" s="1006">
        <f t="shared" si="49"/>
        <v>46</v>
      </c>
      <c r="AI206" s="1019">
        <v>1557</v>
      </c>
      <c r="AJ206" s="1020">
        <v>25</v>
      </c>
      <c r="AK206" s="1021">
        <v>543</v>
      </c>
      <c r="AL206" s="1022">
        <v>7</v>
      </c>
      <c r="AM206" s="1155">
        <f>IF(AT206="","",3*'09월 에너지'!S208*(1/(3+7.8*(100-AT206)/AT206)))</f>
        <v>1.1082554517133958</v>
      </c>
      <c r="AN206" s="1023">
        <v>0.1423611111111111</v>
      </c>
      <c r="AO206" s="1024"/>
      <c r="AP206" s="1025"/>
      <c r="AQ206" s="1025"/>
      <c r="AR206" s="1149" t="str">
        <f t="shared" si="50"/>
        <v/>
      </c>
      <c r="AS206" s="1093">
        <f t="shared" ref="AS206:AS269" si="61">IFERROR(IF($I206="","",IF($F206="B",AS205+1," ")),AS204+1)</f>
        <v>2</v>
      </c>
      <c r="AT206" s="1156">
        <v>2</v>
      </c>
      <c r="AU206" s="449"/>
      <c r="AV206" s="1205"/>
    </row>
    <row r="207" spans="1:48" ht="17.100000000000001" customHeight="1">
      <c r="A207" s="1005">
        <f t="shared" si="51"/>
        <v>46272</v>
      </c>
      <c r="B207" s="1005">
        <f t="shared" si="52"/>
        <v>46272</v>
      </c>
      <c r="C207" s="1150">
        <f t="shared" si="53"/>
        <v>26</v>
      </c>
      <c r="D207" s="1150">
        <f t="shared" si="54"/>
        <v>196</v>
      </c>
      <c r="E207" s="1006" t="s">
        <v>534</v>
      </c>
      <c r="F207" s="1007" t="str">
        <f t="shared" si="56"/>
        <v>A</v>
      </c>
      <c r="G207" s="1236">
        <f t="shared" si="57"/>
        <v>85409</v>
      </c>
      <c r="H207" s="1138">
        <f t="shared" si="58"/>
        <v>0.97152777777777777</v>
      </c>
      <c r="I207" s="1009">
        <v>0.97083333333333333</v>
      </c>
      <c r="J207" s="1010">
        <f t="shared" si="59"/>
        <v>46.999999999999993</v>
      </c>
      <c r="K207" s="1011"/>
      <c r="L207" s="1012"/>
      <c r="M207" s="1013"/>
      <c r="N207" s="1014" t="str">
        <f t="shared" si="60"/>
        <v/>
      </c>
      <c r="O207" s="1323"/>
      <c r="P207" s="1324"/>
      <c r="Q207" s="1324"/>
      <c r="R207" s="1324"/>
      <c r="S207" s="1324"/>
      <c r="T207" s="1325"/>
      <c r="U207" s="1015">
        <v>1.8</v>
      </c>
      <c r="V207" s="1015"/>
      <c r="W207" s="1015"/>
      <c r="X207" s="1015"/>
      <c r="Y207" s="1015"/>
      <c r="Z207" s="1016">
        <f>'09월 에너지'!S209</f>
        <v>142.5</v>
      </c>
      <c r="AA207" s="1017"/>
      <c r="AB207" s="1208"/>
      <c r="AC207" s="1208"/>
      <c r="AD207" s="1208"/>
      <c r="AE207" s="1208"/>
      <c r="AF207" s="1208"/>
      <c r="AG207" s="1018">
        <f>'09월 화학성분'!AM207</f>
        <v>3118</v>
      </c>
      <c r="AH207" s="1006">
        <f t="shared" si="49"/>
        <v>47</v>
      </c>
      <c r="AI207" s="1019">
        <v>1544</v>
      </c>
      <c r="AJ207" s="1020">
        <v>0</v>
      </c>
      <c r="AK207" s="1021">
        <v>779</v>
      </c>
      <c r="AL207" s="1022">
        <v>5</v>
      </c>
      <c r="AM207" s="1155">
        <f>IF(AT207="","",3*'09월 에너지'!S209*(1/(3+7.8*(100-AT207)/AT207)))</f>
        <v>0.9975886745488487</v>
      </c>
      <c r="AN207" s="1023">
        <v>0.14444444444444446</v>
      </c>
      <c r="AO207" s="1024"/>
      <c r="AP207" s="1025"/>
      <c r="AQ207" s="1025"/>
      <c r="AR207" s="1149">
        <f t="shared" si="50"/>
        <v>12</v>
      </c>
      <c r="AS207" s="1093" t="str">
        <f t="shared" si="61"/>
        <v xml:space="preserve"> </v>
      </c>
      <c r="AT207" s="1156">
        <v>1.8</v>
      </c>
      <c r="AU207" s="449"/>
      <c r="AV207" s="1205"/>
    </row>
    <row r="208" spans="1:48" ht="17.100000000000001" customHeight="1">
      <c r="A208" s="1005">
        <f t="shared" si="51"/>
        <v>46272</v>
      </c>
      <c r="B208" s="1005">
        <f t="shared" si="52"/>
        <v>46272</v>
      </c>
      <c r="C208" s="1150">
        <f t="shared" si="53"/>
        <v>27</v>
      </c>
      <c r="D208" s="1150">
        <f t="shared" si="54"/>
        <v>197</v>
      </c>
      <c r="E208" s="1006" t="str">
        <f t="shared" si="55"/>
        <v>A</v>
      </c>
      <c r="F208" s="1007" t="str">
        <f t="shared" si="56"/>
        <v>B</v>
      </c>
      <c r="G208" s="1236">
        <f t="shared" si="57"/>
        <v>85410</v>
      </c>
      <c r="H208" s="1138">
        <f t="shared" si="58"/>
        <v>1.0041666666666667</v>
      </c>
      <c r="I208" s="1009">
        <v>6.2499999999999995E-3</v>
      </c>
      <c r="J208" s="1010">
        <f t="shared" si="59"/>
        <v>51</v>
      </c>
      <c r="K208" s="1011"/>
      <c r="L208" s="1012">
        <v>2</v>
      </c>
      <c r="M208" s="1013"/>
      <c r="N208" s="1014" t="str">
        <f t="shared" si="60"/>
        <v/>
      </c>
      <c r="O208" s="1335" t="s">
        <v>697</v>
      </c>
      <c r="P208" s="1336"/>
      <c r="Q208" s="1336"/>
      <c r="R208" s="1336"/>
      <c r="S208" s="1336"/>
      <c r="T208" s="1337"/>
      <c r="U208" s="1015">
        <v>1.8</v>
      </c>
      <c r="V208" s="1015"/>
      <c r="W208" s="1015"/>
      <c r="X208" s="1015"/>
      <c r="Y208" s="1015"/>
      <c r="Z208" s="1016">
        <f>'09월 에너지'!S210</f>
        <v>143.5</v>
      </c>
      <c r="AA208" s="1017"/>
      <c r="AB208" s="1208"/>
      <c r="AC208" s="1208"/>
      <c r="AD208" s="1208"/>
      <c r="AE208" s="1208"/>
      <c r="AF208" s="1208"/>
      <c r="AG208" s="1018">
        <f>'09월 화학성분'!AM208</f>
        <v>3621</v>
      </c>
      <c r="AH208" s="1006">
        <f t="shared" si="49"/>
        <v>48</v>
      </c>
      <c r="AI208" s="1019">
        <v>1582</v>
      </c>
      <c r="AJ208" s="1020">
        <v>0</v>
      </c>
      <c r="AK208" s="1021">
        <v>303</v>
      </c>
      <c r="AL208" s="1022">
        <v>16</v>
      </c>
      <c r="AM208" s="1155">
        <f>IF(AT208="","",3*'09월 에너지'!S210*(1/(3+7.8*(100-AT208)/AT208)))</f>
        <v>1.0610600871731009</v>
      </c>
      <c r="AN208" s="1023">
        <v>0.1111111111111111</v>
      </c>
      <c r="AO208" s="1024"/>
      <c r="AP208" s="1025"/>
      <c r="AQ208" s="1025"/>
      <c r="AR208" s="1149" t="str">
        <f t="shared" si="50"/>
        <v/>
      </c>
      <c r="AS208" s="1093">
        <f t="shared" si="61"/>
        <v>3</v>
      </c>
      <c r="AT208" s="1156">
        <v>1.9</v>
      </c>
      <c r="AU208" s="449"/>
      <c r="AV208" s="1205"/>
    </row>
    <row r="209" spans="1:48" ht="17.100000000000001" customHeight="1">
      <c r="A209" s="1005">
        <f t="shared" si="51"/>
        <v>46272</v>
      </c>
      <c r="B209" s="1005">
        <f t="shared" si="52"/>
        <v>46272</v>
      </c>
      <c r="C209" s="1150">
        <f t="shared" si="53"/>
        <v>28</v>
      </c>
      <c r="D209" s="1150">
        <f t="shared" si="54"/>
        <v>198</v>
      </c>
      <c r="E209" s="1006" t="str">
        <f t="shared" si="55"/>
        <v>A</v>
      </c>
      <c r="F209" s="1007" t="s">
        <v>600</v>
      </c>
      <c r="G209" s="1236">
        <f t="shared" si="57"/>
        <v>85411</v>
      </c>
      <c r="H209" s="1138">
        <f t="shared" si="58"/>
        <v>3.9583333333333331E-2</v>
      </c>
      <c r="I209" s="1009">
        <v>5.0694444444444452E-2</v>
      </c>
      <c r="J209" s="1010">
        <f t="shared" si="59"/>
        <v>64.000000000000014</v>
      </c>
      <c r="K209" s="1011">
        <v>9</v>
      </c>
      <c r="L209" s="1012">
        <v>8</v>
      </c>
      <c r="M209" s="1013">
        <v>4.8611111111111112E-3</v>
      </c>
      <c r="N209" s="1014">
        <f t="shared" si="60"/>
        <v>1.1111111111111112E-2</v>
      </c>
      <c r="O209" s="1326" t="s">
        <v>698</v>
      </c>
      <c r="P209" s="1327"/>
      <c r="Q209" s="1327"/>
      <c r="R209" s="1327"/>
      <c r="S209" s="1327"/>
      <c r="T209" s="1328"/>
      <c r="U209" s="1015">
        <v>1.8</v>
      </c>
      <c r="V209" s="1015"/>
      <c r="W209" s="1015"/>
      <c r="X209" s="1015"/>
      <c r="Y209" s="1015"/>
      <c r="Z209" s="1016">
        <f>'09월 에너지'!S211</f>
        <v>142.1</v>
      </c>
      <c r="AA209" s="1017"/>
      <c r="AB209" s="1208"/>
      <c r="AC209" s="1208"/>
      <c r="AD209" s="1208"/>
      <c r="AE209" s="1208"/>
      <c r="AF209" s="1208"/>
      <c r="AG209" s="1018">
        <f>'09월 화학성분'!AM209</f>
        <v>1735</v>
      </c>
      <c r="AH209" s="1006">
        <f t="shared" si="49"/>
        <v>49</v>
      </c>
      <c r="AI209" s="1019">
        <v>1539</v>
      </c>
      <c r="AJ209" s="1020">
        <v>0</v>
      </c>
      <c r="AK209" s="1021">
        <v>437</v>
      </c>
      <c r="AL209" s="1022">
        <v>10</v>
      </c>
      <c r="AM209" s="1155">
        <f>IF(AT209="","",3*'09월 에너지'!S211*(1/(3+7.8*(100-AT209)/AT209)))</f>
        <v>1.8979415461973599</v>
      </c>
      <c r="AN209" s="1023">
        <v>0.14097222222222222</v>
      </c>
      <c r="AO209" s="1024"/>
      <c r="AP209" s="1025"/>
      <c r="AQ209" s="1025"/>
      <c r="AR209" s="1149" t="str">
        <f t="shared" si="50"/>
        <v/>
      </c>
      <c r="AS209" s="1093">
        <f t="shared" si="61"/>
        <v>4</v>
      </c>
      <c r="AT209" s="1156">
        <v>3.4</v>
      </c>
      <c r="AU209" s="449"/>
      <c r="AV209" s="1205"/>
    </row>
    <row r="210" spans="1:48" ht="17.100000000000001" customHeight="1">
      <c r="A210" s="1005">
        <f t="shared" si="51"/>
        <v>46272</v>
      </c>
      <c r="B210" s="1005">
        <f t="shared" si="52"/>
        <v>46272</v>
      </c>
      <c r="C210" s="1150">
        <f t="shared" si="53"/>
        <v>29</v>
      </c>
      <c r="D210" s="1150">
        <f t="shared" si="54"/>
        <v>199</v>
      </c>
      <c r="E210" s="1006" t="str">
        <f t="shared" si="55"/>
        <v>A</v>
      </c>
      <c r="F210" s="1007" t="str">
        <f t="shared" si="56"/>
        <v>A</v>
      </c>
      <c r="G210" s="1008">
        <f t="shared" si="57"/>
        <v>85412</v>
      </c>
      <c r="H210" s="1138">
        <f t="shared" si="58"/>
        <v>8.4027777777777785E-2</v>
      </c>
      <c r="I210" s="1009">
        <v>7.7777777777777779E-2</v>
      </c>
      <c r="J210" s="1010">
        <f t="shared" si="59"/>
        <v>38.999999999999993</v>
      </c>
      <c r="K210" s="1011"/>
      <c r="L210" s="1012"/>
      <c r="M210" s="1013"/>
      <c r="N210" s="1014" t="str">
        <f t="shared" si="60"/>
        <v/>
      </c>
      <c r="O210" s="1338" t="s">
        <v>699</v>
      </c>
      <c r="P210" s="1339"/>
      <c r="Q210" s="1339"/>
      <c r="R210" s="1339"/>
      <c r="S210" s="1339"/>
      <c r="T210" s="1340"/>
      <c r="U210" s="1015">
        <v>1.8</v>
      </c>
      <c r="V210" s="1015"/>
      <c r="W210" s="1015"/>
      <c r="X210" s="1015"/>
      <c r="Y210" s="1015"/>
      <c r="Z210" s="1016">
        <f>'09월 에너지'!S212</f>
        <v>143.9</v>
      </c>
      <c r="AA210" s="1017">
        <v>2669</v>
      </c>
      <c r="AB210" s="1208" t="s">
        <v>551</v>
      </c>
      <c r="AC210" s="1208" t="s">
        <v>548</v>
      </c>
      <c r="AD210" s="1208"/>
      <c r="AE210" s="1208"/>
      <c r="AF210" s="1208" t="s">
        <v>548</v>
      </c>
      <c r="AG210" s="1018">
        <f>'09월 화학성분'!AM210</f>
        <v>2699</v>
      </c>
      <c r="AH210" s="1235">
        <v>1</v>
      </c>
      <c r="AI210" s="1019">
        <v>1570</v>
      </c>
      <c r="AJ210" s="1020">
        <v>0</v>
      </c>
      <c r="AK210" s="1021">
        <v>324</v>
      </c>
      <c r="AL210" s="1022">
        <v>14</v>
      </c>
      <c r="AM210" s="1155">
        <f>IF(AT210="","",3*'09월 에너지'!S212*(1/(3+7.8*(100-AT210)/AT210)))</f>
        <v>0.66909485430874149</v>
      </c>
      <c r="AN210" s="1023">
        <v>0.14930555555555555</v>
      </c>
      <c r="AO210" s="1024"/>
      <c r="AP210" s="1025"/>
      <c r="AQ210" s="1025"/>
      <c r="AR210" s="1149">
        <v>13</v>
      </c>
      <c r="AS210" s="1093" t="str">
        <f t="shared" si="61"/>
        <v xml:space="preserve"> </v>
      </c>
      <c r="AT210" s="1156">
        <v>1.2</v>
      </c>
      <c r="AU210" s="449"/>
      <c r="AV210" s="1205"/>
    </row>
    <row r="211" spans="1:48" ht="17.100000000000001" customHeight="1">
      <c r="A211" s="1005">
        <f t="shared" si="51"/>
        <v>46272</v>
      </c>
      <c r="B211" s="1005">
        <f t="shared" si="52"/>
        <v>46272</v>
      </c>
      <c r="C211" s="1150">
        <f t="shared" si="53"/>
        <v>30</v>
      </c>
      <c r="D211" s="1150">
        <f t="shared" si="54"/>
        <v>200</v>
      </c>
      <c r="E211" s="1006" t="str">
        <f t="shared" si="55"/>
        <v>A</v>
      </c>
      <c r="F211" s="1007" t="str">
        <f t="shared" si="56"/>
        <v>B</v>
      </c>
      <c r="G211" s="1008">
        <f t="shared" si="57"/>
        <v>85413</v>
      </c>
      <c r="H211" s="1138">
        <f t="shared" si="58"/>
        <v>0.1111111111111111</v>
      </c>
      <c r="I211" s="1009">
        <v>0.1125</v>
      </c>
      <c r="J211" s="1010">
        <f t="shared" si="59"/>
        <v>50</v>
      </c>
      <c r="K211" s="1011"/>
      <c r="L211" s="1012">
        <v>2</v>
      </c>
      <c r="M211" s="1013"/>
      <c r="N211" s="1014" t="str">
        <f t="shared" si="60"/>
        <v/>
      </c>
      <c r="O211" s="1338" t="s">
        <v>700</v>
      </c>
      <c r="P211" s="1339"/>
      <c r="Q211" s="1339"/>
      <c r="R211" s="1339"/>
      <c r="S211" s="1339"/>
      <c r="T211" s="1340"/>
      <c r="U211" s="1015">
        <v>1.8</v>
      </c>
      <c r="V211" s="1015"/>
      <c r="W211" s="1015"/>
      <c r="X211" s="1015"/>
      <c r="Y211" s="1015"/>
      <c r="Z211" s="1016">
        <f>'09월 에너지'!S213</f>
        <v>143.19999999999999</v>
      </c>
      <c r="AA211" s="1017">
        <v>3489</v>
      </c>
      <c r="AB211" s="1208" t="s">
        <v>551</v>
      </c>
      <c r="AC211" s="1208" t="s">
        <v>548</v>
      </c>
      <c r="AD211" s="1208" t="s">
        <v>548</v>
      </c>
      <c r="AE211" s="1208"/>
      <c r="AF211" s="1208" t="s">
        <v>548</v>
      </c>
      <c r="AG211" s="1018">
        <f>'09월 화학성분'!AM211</f>
        <v>1383</v>
      </c>
      <c r="AH211" s="1006">
        <f t="shared" si="49"/>
        <v>2</v>
      </c>
      <c r="AI211" s="1019">
        <v>1533</v>
      </c>
      <c r="AJ211" s="1020">
        <v>27</v>
      </c>
      <c r="AK211" s="1021">
        <v>568</v>
      </c>
      <c r="AL211" s="1022">
        <v>7</v>
      </c>
      <c r="AM211" s="1155">
        <f>IF(AT211="","",3*'09월 에너지'!S213*(1/(3+7.8*(100-AT211)/AT211)))</f>
        <v>2.0853274559193955</v>
      </c>
      <c r="AN211" s="1023">
        <v>0.14583333333333334</v>
      </c>
      <c r="AO211" s="1024"/>
      <c r="AP211" s="1025"/>
      <c r="AQ211" s="1025"/>
      <c r="AR211" s="1149" t="str">
        <f t="shared" si="50"/>
        <v/>
      </c>
      <c r="AS211" s="1093">
        <f t="shared" si="61"/>
        <v>5</v>
      </c>
      <c r="AT211" s="1156">
        <v>3.7</v>
      </c>
      <c r="AU211" s="449"/>
      <c r="AV211" s="1205"/>
    </row>
    <row r="212" spans="1:48" ht="17.100000000000001" customHeight="1">
      <c r="A212" s="1005">
        <f t="shared" si="51"/>
        <v>46272</v>
      </c>
      <c r="B212" s="1005">
        <f t="shared" si="52"/>
        <v>46272</v>
      </c>
      <c r="C212" s="1150">
        <f t="shared" si="53"/>
        <v>31</v>
      </c>
      <c r="D212" s="1150">
        <f t="shared" si="54"/>
        <v>201</v>
      </c>
      <c r="E212" s="1006" t="str">
        <f t="shared" si="55"/>
        <v>A</v>
      </c>
      <c r="F212" s="1007" t="str">
        <f t="shared" si="56"/>
        <v>A</v>
      </c>
      <c r="G212" s="1236">
        <f t="shared" si="57"/>
        <v>85414</v>
      </c>
      <c r="H212" s="1138">
        <f t="shared" si="58"/>
        <v>0.14583333333333334</v>
      </c>
      <c r="I212" s="1009">
        <v>0.14583333333333334</v>
      </c>
      <c r="J212" s="1010">
        <f t="shared" si="59"/>
        <v>48.000000000000007</v>
      </c>
      <c r="K212" s="1011"/>
      <c r="L212" s="1012">
        <v>4</v>
      </c>
      <c r="M212" s="1013"/>
      <c r="N212" s="1014" t="str">
        <f t="shared" si="60"/>
        <v/>
      </c>
      <c r="O212" s="1338" t="s">
        <v>702</v>
      </c>
      <c r="P212" s="1339"/>
      <c r="Q212" s="1339"/>
      <c r="R212" s="1339"/>
      <c r="S212" s="1339"/>
      <c r="T212" s="1340"/>
      <c r="U212" s="1015">
        <v>1.8</v>
      </c>
      <c r="V212" s="1015"/>
      <c r="W212" s="1015"/>
      <c r="X212" s="1015"/>
      <c r="Y212" s="1015"/>
      <c r="Z212" s="1016">
        <f>'09월 에너지'!S214</f>
        <v>144.5</v>
      </c>
      <c r="AA212" s="1017"/>
      <c r="AB212" s="1208"/>
      <c r="AC212" s="1208"/>
      <c r="AD212" s="1208"/>
      <c r="AE212" s="1208"/>
      <c r="AF212" s="1208"/>
      <c r="AG212" s="1018">
        <f>'09월 화학성분'!AM212</f>
        <v>2148</v>
      </c>
      <c r="AH212" s="1006">
        <f t="shared" si="49"/>
        <v>3</v>
      </c>
      <c r="AI212" s="1019">
        <v>1585</v>
      </c>
      <c r="AJ212" s="1020">
        <v>0</v>
      </c>
      <c r="AK212" s="1021">
        <v>691</v>
      </c>
      <c r="AL212" s="1022">
        <v>6</v>
      </c>
      <c r="AM212" s="1155">
        <f>IF(AT212="","",3*'09월 에너지'!S214*(1/(3+7.8*(100-AT212)/AT212)))</f>
        <v>0.72832661290322576</v>
      </c>
      <c r="AN212" s="1023">
        <v>0.14722222222222223</v>
      </c>
      <c r="AO212" s="1024"/>
      <c r="AP212" s="1025"/>
      <c r="AQ212" s="1025"/>
      <c r="AR212" s="1149">
        <f t="shared" si="50"/>
        <v>14</v>
      </c>
      <c r="AS212" s="1093" t="str">
        <f t="shared" si="61"/>
        <v xml:space="preserve"> </v>
      </c>
      <c r="AT212" s="1156">
        <v>1.3</v>
      </c>
      <c r="AU212" s="449"/>
      <c r="AV212" s="1205"/>
    </row>
    <row r="213" spans="1:48" ht="16.5" customHeight="1">
      <c r="A213" s="1005">
        <v>46273</v>
      </c>
      <c r="B213" s="1005">
        <f t="shared" si="52"/>
        <v>46272</v>
      </c>
      <c r="C213" s="1150">
        <f t="shared" si="53"/>
        <v>1</v>
      </c>
      <c r="D213" s="1150">
        <f t="shared" si="54"/>
        <v>202</v>
      </c>
      <c r="E213" s="1006" t="str">
        <f t="shared" si="55"/>
        <v>A</v>
      </c>
      <c r="F213" s="1007" t="str">
        <f t="shared" si="56"/>
        <v>B</v>
      </c>
      <c r="G213" s="1008">
        <f t="shared" si="57"/>
        <v>85415</v>
      </c>
      <c r="H213" s="1138">
        <f t="shared" si="58"/>
        <v>0.17916666666666667</v>
      </c>
      <c r="I213" s="1009">
        <v>0.17569444444444446</v>
      </c>
      <c r="J213" s="1010">
        <f t="shared" si="59"/>
        <v>43.000000000000007</v>
      </c>
      <c r="K213" s="1011"/>
      <c r="L213" s="1012"/>
      <c r="M213" s="1013"/>
      <c r="N213" s="1014" t="str">
        <f t="shared" si="60"/>
        <v/>
      </c>
      <c r="O213" s="1326" t="s">
        <v>701</v>
      </c>
      <c r="P213" s="1327"/>
      <c r="Q213" s="1327"/>
      <c r="R213" s="1327"/>
      <c r="S213" s="1327"/>
      <c r="T213" s="1328"/>
      <c r="U213" s="1015">
        <v>1.8</v>
      </c>
      <c r="V213" s="1015"/>
      <c r="W213" s="1015"/>
      <c r="X213" s="1015"/>
      <c r="Y213" s="1015"/>
      <c r="Z213" s="1016">
        <f>'09월 에너지'!S215</f>
        <v>143.69999999999999</v>
      </c>
      <c r="AA213" s="1017"/>
      <c r="AB213" s="1208"/>
      <c r="AC213" s="1208"/>
      <c r="AD213" s="1208"/>
      <c r="AE213" s="1208"/>
      <c r="AF213" s="1208"/>
      <c r="AG213" s="1018">
        <f>'09월 화학성분'!AM213</f>
        <v>1241</v>
      </c>
      <c r="AH213" s="1006">
        <f t="shared" si="49"/>
        <v>4</v>
      </c>
      <c r="AI213" s="1019">
        <v>1564</v>
      </c>
      <c r="AJ213" s="1020">
        <v>0</v>
      </c>
      <c r="AK213" s="1021">
        <v>624</v>
      </c>
      <c r="AL213" s="1022">
        <v>6</v>
      </c>
      <c r="AM213" s="1155">
        <f>IF(AT213="","",3*'09월 에너지'!S215*(1/(3+7.8*(100-AT213)/AT213)))</f>
        <v>1.9193117536140791</v>
      </c>
      <c r="AN213" s="1023">
        <v>0.15138888888888888</v>
      </c>
      <c r="AO213" s="1024"/>
      <c r="AP213" s="1025"/>
      <c r="AQ213" s="1025"/>
      <c r="AR213" s="1149" t="str">
        <f t="shared" si="50"/>
        <v/>
      </c>
      <c r="AS213" s="1093">
        <f t="shared" si="61"/>
        <v>6</v>
      </c>
      <c r="AT213" s="1156">
        <v>3.4</v>
      </c>
      <c r="AU213" s="449"/>
      <c r="AV213" s="1205"/>
    </row>
    <row r="214" spans="1:48" ht="27" customHeight="1">
      <c r="A214" s="1005">
        <f t="shared" si="51"/>
        <v>46273</v>
      </c>
      <c r="B214" s="1005">
        <f t="shared" si="52"/>
        <v>46272</v>
      </c>
      <c r="C214" s="1150">
        <f t="shared" si="53"/>
        <v>2</v>
      </c>
      <c r="D214" s="1150">
        <f t="shared" si="54"/>
        <v>203</v>
      </c>
      <c r="E214" s="1006" t="str">
        <f t="shared" si="55"/>
        <v>A</v>
      </c>
      <c r="F214" s="1007" t="str">
        <f t="shared" si="56"/>
        <v>A</v>
      </c>
      <c r="G214" s="1008">
        <f t="shared" si="57"/>
        <v>85416</v>
      </c>
      <c r="H214" s="1138">
        <f t="shared" si="58"/>
        <v>0.20902777777777778</v>
      </c>
      <c r="I214" s="1009">
        <v>0.21458333333333335</v>
      </c>
      <c r="J214" s="1010">
        <f t="shared" si="59"/>
        <v>56</v>
      </c>
      <c r="K214" s="1011"/>
      <c r="L214" s="1012">
        <v>8</v>
      </c>
      <c r="M214" s="1013"/>
      <c r="N214" s="1014" t="str">
        <f t="shared" si="60"/>
        <v/>
      </c>
      <c r="O214" s="1323" t="s">
        <v>703</v>
      </c>
      <c r="P214" s="1324"/>
      <c r="Q214" s="1324"/>
      <c r="R214" s="1324"/>
      <c r="S214" s="1324"/>
      <c r="T214" s="1325"/>
      <c r="U214" s="1015">
        <v>1.8</v>
      </c>
      <c r="V214" s="1015"/>
      <c r="W214" s="1015"/>
      <c r="X214" s="1015"/>
      <c r="Y214" s="1015"/>
      <c r="Z214" s="1016">
        <f>'09월 에너지'!S216</f>
        <v>145.1</v>
      </c>
      <c r="AA214" s="1017"/>
      <c r="AB214" s="1208"/>
      <c r="AC214" s="1208"/>
      <c r="AD214" s="1208"/>
      <c r="AE214" s="1208"/>
      <c r="AF214" s="1208"/>
      <c r="AG214" s="1018">
        <f>'09월 화학성분'!AM214</f>
        <v>2806</v>
      </c>
      <c r="AH214" s="1006">
        <f t="shared" si="49"/>
        <v>5</v>
      </c>
      <c r="AI214" s="1019">
        <v>1547</v>
      </c>
      <c r="AJ214" s="1020">
        <v>41</v>
      </c>
      <c r="AK214" s="1021" t="s">
        <v>552</v>
      </c>
      <c r="AL214" s="1022" t="s">
        <v>563</v>
      </c>
      <c r="AM214" s="1155">
        <f>IF(AT214="","",3*'09월 에너지'!S216*(1/(3+7.8*(100-AT214)/AT214)))</f>
        <v>0.78809745499689621</v>
      </c>
      <c r="AN214" s="1023">
        <v>0.14097222222222222</v>
      </c>
      <c r="AO214" s="1024" t="s">
        <v>721</v>
      </c>
      <c r="AP214" s="1025">
        <v>2000045</v>
      </c>
      <c r="AQ214" s="1025">
        <v>2130</v>
      </c>
      <c r="AR214" s="1149">
        <v>1</v>
      </c>
      <c r="AS214" s="1093" t="str">
        <f t="shared" si="61"/>
        <v xml:space="preserve"> </v>
      </c>
      <c r="AT214" s="1156">
        <v>1.4</v>
      </c>
      <c r="AU214" s="449"/>
      <c r="AV214" s="1205"/>
    </row>
    <row r="215" spans="1:48" ht="16.5" customHeight="1">
      <c r="A215" s="1005">
        <f t="shared" si="51"/>
        <v>46273</v>
      </c>
      <c r="B215" s="1005">
        <f t="shared" si="52"/>
        <v>46272</v>
      </c>
      <c r="C215" s="1150">
        <f t="shared" si="53"/>
        <v>3</v>
      </c>
      <c r="D215" s="1150">
        <f t="shared" si="54"/>
        <v>204</v>
      </c>
      <c r="E215" s="1006" t="str">
        <f t="shared" si="55"/>
        <v>A</v>
      </c>
      <c r="F215" s="1007" t="str">
        <f t="shared" si="56"/>
        <v>B</v>
      </c>
      <c r="G215" s="1008">
        <f t="shared" si="57"/>
        <v>85417</v>
      </c>
      <c r="H215" s="1138">
        <f t="shared" si="58"/>
        <v>0.24791666666666667</v>
      </c>
      <c r="I215" s="1009">
        <v>0.24236111111111111</v>
      </c>
      <c r="J215" s="1010">
        <f t="shared" si="59"/>
        <v>39.999999999999979</v>
      </c>
      <c r="K215" s="1011">
        <v>3</v>
      </c>
      <c r="L215" s="1012"/>
      <c r="M215" s="1013"/>
      <c r="N215" s="1014" t="str">
        <f t="shared" si="60"/>
        <v/>
      </c>
      <c r="O215" s="1323" t="s">
        <v>704</v>
      </c>
      <c r="P215" s="1324"/>
      <c r="Q215" s="1324"/>
      <c r="R215" s="1324"/>
      <c r="S215" s="1324"/>
      <c r="T215" s="1325"/>
      <c r="U215" s="1015">
        <v>1.8</v>
      </c>
      <c r="V215" s="1015">
        <v>2.4</v>
      </c>
      <c r="W215" s="1015">
        <v>1.2</v>
      </c>
      <c r="X215" s="1015"/>
      <c r="Y215" s="1015"/>
      <c r="Z215" s="1016">
        <f>'09월 에너지'!S217</f>
        <v>142.1</v>
      </c>
      <c r="AA215" s="1017"/>
      <c r="AB215" s="1208"/>
      <c r="AC215" s="1208"/>
      <c r="AD215" s="1208"/>
      <c r="AE215" s="1208"/>
      <c r="AF215" s="1208"/>
      <c r="AG215" s="1018">
        <f>'09월 화학성분'!AM215</f>
        <v>925</v>
      </c>
      <c r="AH215" s="1006">
        <f t="shared" si="49"/>
        <v>6</v>
      </c>
      <c r="AI215" s="1019">
        <v>1570</v>
      </c>
      <c r="AJ215" s="1020">
        <v>0</v>
      </c>
      <c r="AK215" s="1021">
        <v>671</v>
      </c>
      <c r="AL215" s="1022">
        <v>6</v>
      </c>
      <c r="AM215" s="1155">
        <f>IF(AT215="","",3*'09월 에너지'!S217*(1/(3+7.8*(100-AT215)/AT215)))</f>
        <v>1.1066978193146417</v>
      </c>
      <c r="AN215" s="1023">
        <v>0.14375000000000002</v>
      </c>
      <c r="AO215" s="1024"/>
      <c r="AP215" s="1025"/>
      <c r="AQ215" s="1025"/>
      <c r="AR215" s="1149" t="str">
        <f t="shared" si="50"/>
        <v/>
      </c>
      <c r="AS215" s="1093">
        <f t="shared" si="61"/>
        <v>7</v>
      </c>
      <c r="AT215" s="1156">
        <v>2</v>
      </c>
      <c r="AU215" s="449"/>
      <c r="AV215" s="1205"/>
    </row>
    <row r="216" spans="1:48" ht="16.5" customHeight="1">
      <c r="A216" s="1005">
        <f t="shared" si="51"/>
        <v>46273</v>
      </c>
      <c r="B216" s="1005">
        <f t="shared" si="52"/>
        <v>46272</v>
      </c>
      <c r="C216" s="1150">
        <f t="shared" si="53"/>
        <v>4</v>
      </c>
      <c r="D216" s="1150">
        <f t="shared" si="54"/>
        <v>205</v>
      </c>
      <c r="E216" s="1006" t="str">
        <f t="shared" si="55"/>
        <v>A</v>
      </c>
      <c r="F216" s="1007" t="str">
        <f t="shared" si="56"/>
        <v>A</v>
      </c>
      <c r="G216" s="1008">
        <f t="shared" si="57"/>
        <v>85418</v>
      </c>
      <c r="H216" s="1138">
        <f t="shared" si="58"/>
        <v>0.27569444444444446</v>
      </c>
      <c r="I216" s="1009">
        <v>0.27083333333333331</v>
      </c>
      <c r="J216" s="1010">
        <f t="shared" si="59"/>
        <v>40.999999999999972</v>
      </c>
      <c r="K216" s="1011"/>
      <c r="L216" s="1012"/>
      <c r="M216" s="1013"/>
      <c r="N216" s="1014" t="str">
        <f t="shared" si="60"/>
        <v/>
      </c>
      <c r="O216" s="1323"/>
      <c r="P216" s="1324"/>
      <c r="Q216" s="1324"/>
      <c r="R216" s="1324"/>
      <c r="S216" s="1324"/>
      <c r="T216" s="1325"/>
      <c r="U216" s="1015">
        <v>1.8</v>
      </c>
      <c r="V216" s="1015"/>
      <c r="W216" s="1015"/>
      <c r="X216" s="1015"/>
      <c r="Y216" s="1015">
        <v>2.5</v>
      </c>
      <c r="Z216" s="1016">
        <f>'09월 에너지'!S218</f>
        <v>143.9</v>
      </c>
      <c r="AA216" s="1017"/>
      <c r="AB216" s="1208"/>
      <c r="AC216" s="1208"/>
      <c r="AD216" s="1208"/>
      <c r="AE216" s="1208"/>
      <c r="AF216" s="1208"/>
      <c r="AG216" s="1018">
        <f>'09월 화학성분'!AM216</f>
        <v>2194</v>
      </c>
      <c r="AH216" s="1006">
        <f t="shared" si="49"/>
        <v>7</v>
      </c>
      <c r="AI216" s="1019">
        <v>1558</v>
      </c>
      <c r="AJ216" s="1020">
        <v>13</v>
      </c>
      <c r="AK216" s="1021">
        <v>479</v>
      </c>
      <c r="AL216" s="1022">
        <v>9</v>
      </c>
      <c r="AM216" s="1155">
        <f>IF(AT216="","",3*'09월 에너지'!S218*(1/(3+7.8*(100-AT216)/AT216)))</f>
        <v>0.83792701863354058</v>
      </c>
      <c r="AN216" s="1023">
        <v>0.15208333333333332</v>
      </c>
      <c r="AO216" s="1024"/>
      <c r="AP216" s="1025"/>
      <c r="AQ216" s="1025"/>
      <c r="AR216" s="1149">
        <f t="shared" si="50"/>
        <v>2</v>
      </c>
      <c r="AS216" s="1093" t="str">
        <f t="shared" si="61"/>
        <v xml:space="preserve"> </v>
      </c>
      <c r="AT216" s="1156">
        <v>1.5</v>
      </c>
      <c r="AU216" s="449"/>
      <c r="AV216" s="1205"/>
    </row>
    <row r="217" spans="1:48" ht="16.5" customHeight="1">
      <c r="A217" s="1005">
        <f t="shared" si="51"/>
        <v>46273</v>
      </c>
      <c r="B217" s="1005">
        <v>46273</v>
      </c>
      <c r="C217" s="1150">
        <f t="shared" si="53"/>
        <v>5</v>
      </c>
      <c r="D217" s="1150">
        <f t="shared" si="54"/>
        <v>206</v>
      </c>
      <c r="E217" s="1006" t="s">
        <v>546</v>
      </c>
      <c r="F217" s="1007" t="str">
        <f t="shared" si="56"/>
        <v>B</v>
      </c>
      <c r="G217" s="1008">
        <f t="shared" si="57"/>
        <v>85419</v>
      </c>
      <c r="H217" s="1138">
        <f t="shared" si="58"/>
        <v>0.30416666666666664</v>
      </c>
      <c r="I217" s="1009">
        <v>0.30277777777777776</v>
      </c>
      <c r="J217" s="1010">
        <f t="shared" si="59"/>
        <v>46</v>
      </c>
      <c r="K217" s="1011"/>
      <c r="L217" s="1012"/>
      <c r="M217" s="1013"/>
      <c r="N217" s="1014" t="str">
        <f t="shared" si="60"/>
        <v/>
      </c>
      <c r="O217" s="1326" t="s">
        <v>694</v>
      </c>
      <c r="P217" s="1327"/>
      <c r="Q217" s="1327"/>
      <c r="R217" s="1327"/>
      <c r="S217" s="1327"/>
      <c r="T217" s="1328"/>
      <c r="U217" s="1015">
        <v>1.8</v>
      </c>
      <c r="V217" s="1015"/>
      <c r="W217" s="1015"/>
      <c r="X217" s="1015"/>
      <c r="Y217" s="1015">
        <v>3.3</v>
      </c>
      <c r="Z217" s="1016">
        <f>'09월 에너지'!S219</f>
        <v>141.6</v>
      </c>
      <c r="AA217" s="1017"/>
      <c r="AB217" s="1208"/>
      <c r="AC217" s="1208"/>
      <c r="AD217" s="1208"/>
      <c r="AE217" s="1208"/>
      <c r="AF217" s="1208"/>
      <c r="AG217" s="1018">
        <f>'09월 화학성분'!AM217</f>
        <v>1163</v>
      </c>
      <c r="AH217" s="1006">
        <f t="shared" si="49"/>
        <v>8</v>
      </c>
      <c r="AI217" s="1019">
        <v>1574</v>
      </c>
      <c r="AJ217" s="1020">
        <v>0</v>
      </c>
      <c r="AK217" s="1021">
        <v>459</v>
      </c>
      <c r="AL217" s="1022">
        <v>9</v>
      </c>
      <c r="AM217" s="1155">
        <f>IF(AT217="","",3*'09월 에너지'!S219*(1/(3+7.8*(100-AT217)/AT217)))</f>
        <v>0.60315985130111516</v>
      </c>
      <c r="AN217" s="1023">
        <v>0.15069444444444444</v>
      </c>
      <c r="AO217" s="1024"/>
      <c r="AP217" s="1025"/>
      <c r="AQ217" s="1025"/>
      <c r="AR217" s="1149" t="str">
        <f t="shared" si="50"/>
        <v/>
      </c>
      <c r="AS217" s="1093">
        <f t="shared" si="61"/>
        <v>8</v>
      </c>
      <c r="AT217" s="1156">
        <v>1.1000000000000001</v>
      </c>
      <c r="AU217" s="449"/>
      <c r="AV217" s="1205"/>
    </row>
    <row r="218" spans="1:48" ht="16.5" customHeight="1">
      <c r="A218" s="1005">
        <f t="shared" si="51"/>
        <v>46273</v>
      </c>
      <c r="B218" s="1005">
        <f t="shared" si="52"/>
        <v>46273</v>
      </c>
      <c r="C218" s="1150">
        <f t="shared" si="53"/>
        <v>6</v>
      </c>
      <c r="D218" s="1150">
        <f t="shared" si="54"/>
        <v>207</v>
      </c>
      <c r="E218" s="1006" t="str">
        <f t="shared" si="55"/>
        <v>C</v>
      </c>
      <c r="F218" s="1007" t="str">
        <f t="shared" si="56"/>
        <v>A</v>
      </c>
      <c r="G218" s="1008">
        <f t="shared" si="57"/>
        <v>85420</v>
      </c>
      <c r="H218" s="1138">
        <f t="shared" si="58"/>
        <v>0.33611111111111108</v>
      </c>
      <c r="I218" s="1009">
        <v>0.3347222222222222</v>
      </c>
      <c r="J218" s="1010">
        <f t="shared" si="59"/>
        <v>46</v>
      </c>
      <c r="K218" s="1011"/>
      <c r="L218" s="1012"/>
      <c r="M218" s="1013"/>
      <c r="N218" s="1014" t="str">
        <f t="shared" si="60"/>
        <v/>
      </c>
      <c r="O218" s="1323"/>
      <c r="P218" s="1324"/>
      <c r="Q218" s="1324"/>
      <c r="R218" s="1324"/>
      <c r="S218" s="1324"/>
      <c r="T218" s="1325"/>
      <c r="U218" s="1015">
        <v>1.8</v>
      </c>
      <c r="V218" s="1015"/>
      <c r="W218" s="1015"/>
      <c r="X218" s="1015"/>
      <c r="Y218" s="1015">
        <v>2.6</v>
      </c>
      <c r="Z218" s="1016">
        <f>'09월 에너지'!S220</f>
        <v>143.4</v>
      </c>
      <c r="AA218" s="1017"/>
      <c r="AB218" s="1208"/>
      <c r="AC218" s="1208"/>
      <c r="AD218" s="1208"/>
      <c r="AE218" s="1208"/>
      <c r="AF218" s="1208"/>
      <c r="AG218" s="1018">
        <f>'09월 화학성분'!AM218</f>
        <v>1893</v>
      </c>
      <c r="AH218" s="1006">
        <f t="shared" si="49"/>
        <v>9</v>
      </c>
      <c r="AI218" s="1019">
        <v>1571</v>
      </c>
      <c r="AJ218" s="1020">
        <v>28</v>
      </c>
      <c r="AK218" s="1021">
        <v>948</v>
      </c>
      <c r="AL218" s="1022">
        <v>4</v>
      </c>
      <c r="AM218" s="1155">
        <f>IF(AT218="","",3*'09월 에너지'!S220*(1/(3+7.8*(100-AT218)/AT218)))</f>
        <v>0.72278225806451613</v>
      </c>
      <c r="AN218" s="1023">
        <v>0.12916666666666668</v>
      </c>
      <c r="AO218" s="1024"/>
      <c r="AP218" s="1025"/>
      <c r="AQ218" s="1025"/>
      <c r="AR218" s="1149">
        <f t="shared" si="50"/>
        <v>3</v>
      </c>
      <c r="AS218" s="1093" t="str">
        <f t="shared" si="61"/>
        <v xml:space="preserve"> </v>
      </c>
      <c r="AT218" s="1156">
        <v>1.3</v>
      </c>
      <c r="AU218" s="449"/>
      <c r="AV218" s="1205"/>
    </row>
    <row r="219" spans="1:48" ht="16.5" customHeight="1">
      <c r="A219" s="1005">
        <f t="shared" si="51"/>
        <v>46273</v>
      </c>
      <c r="B219" s="1005">
        <f t="shared" si="52"/>
        <v>46273</v>
      </c>
      <c r="C219" s="1150">
        <f t="shared" si="53"/>
        <v>7</v>
      </c>
      <c r="D219" s="1150">
        <f t="shared" si="54"/>
        <v>208</v>
      </c>
      <c r="E219" s="1006" t="str">
        <f t="shared" si="55"/>
        <v>C</v>
      </c>
      <c r="F219" s="1007" t="str">
        <f t="shared" si="56"/>
        <v>B</v>
      </c>
      <c r="G219" s="1008">
        <f t="shared" si="57"/>
        <v>85421</v>
      </c>
      <c r="H219" s="1138">
        <f t="shared" si="58"/>
        <v>0.36805555555555552</v>
      </c>
      <c r="I219" s="1009">
        <v>0.36527777777777781</v>
      </c>
      <c r="J219" s="1010">
        <f t="shared" si="59"/>
        <v>44.000000000000085</v>
      </c>
      <c r="K219" s="1011"/>
      <c r="L219" s="1012"/>
      <c r="M219" s="1013"/>
      <c r="N219" s="1014" t="str">
        <f t="shared" si="60"/>
        <v/>
      </c>
      <c r="O219" s="1323" t="s">
        <v>707</v>
      </c>
      <c r="P219" s="1324"/>
      <c r="Q219" s="1324"/>
      <c r="R219" s="1324"/>
      <c r="S219" s="1324"/>
      <c r="T219" s="1325"/>
      <c r="U219" s="1015">
        <v>1.8</v>
      </c>
      <c r="V219" s="1015">
        <v>2.5</v>
      </c>
      <c r="W219" s="1015">
        <v>1.4</v>
      </c>
      <c r="X219" s="1015"/>
      <c r="Y219" s="1015"/>
      <c r="Z219" s="1016">
        <f>'09월 에너지'!S221</f>
        <v>145</v>
      </c>
      <c r="AA219" s="1017"/>
      <c r="AB219" s="1208"/>
      <c r="AC219" s="1208"/>
      <c r="AD219" s="1208"/>
      <c r="AE219" s="1208"/>
      <c r="AF219" s="1208"/>
      <c r="AG219" s="1018">
        <f>'09월 화학성분'!AM219</f>
        <v>1149</v>
      </c>
      <c r="AH219" s="1006">
        <f t="shared" si="49"/>
        <v>10</v>
      </c>
      <c r="AI219" s="1019">
        <v>1543</v>
      </c>
      <c r="AJ219" s="1020">
        <v>0</v>
      </c>
      <c r="AK219" s="1021">
        <v>496</v>
      </c>
      <c r="AL219" s="1022">
        <v>8</v>
      </c>
      <c r="AM219" s="1155">
        <f>IF(AT219="","",3*'09월 에너지'!S221*(1/(3+7.8*(100-AT219)/AT219)))</f>
        <v>1.1864869077306734</v>
      </c>
      <c r="AN219" s="1023">
        <v>0.13472222222222222</v>
      </c>
      <c r="AO219" s="1024"/>
      <c r="AP219" s="1025"/>
      <c r="AQ219" s="1025"/>
      <c r="AR219" s="1149" t="str">
        <f t="shared" si="50"/>
        <v/>
      </c>
      <c r="AS219" s="1093">
        <f t="shared" si="61"/>
        <v>9</v>
      </c>
      <c r="AT219" s="1156">
        <v>2.1</v>
      </c>
      <c r="AU219" s="449"/>
      <c r="AV219" s="1205"/>
    </row>
    <row r="220" spans="1:48" ht="16.5" customHeight="1">
      <c r="A220" s="1005">
        <f t="shared" si="51"/>
        <v>46273</v>
      </c>
      <c r="B220" s="1005">
        <f t="shared" si="52"/>
        <v>46273</v>
      </c>
      <c r="C220" s="1150">
        <f t="shared" si="53"/>
        <v>8</v>
      </c>
      <c r="D220" s="1150">
        <f t="shared" si="54"/>
        <v>209</v>
      </c>
      <c r="E220" s="1006" t="str">
        <f t="shared" si="55"/>
        <v>C</v>
      </c>
      <c r="F220" s="1007" t="str">
        <f t="shared" si="56"/>
        <v>A</v>
      </c>
      <c r="G220" s="1008">
        <f t="shared" si="57"/>
        <v>85422</v>
      </c>
      <c r="H220" s="1138">
        <f t="shared" si="58"/>
        <v>0.39861111111111114</v>
      </c>
      <c r="I220" s="1009">
        <v>0.3972222222222222</v>
      </c>
      <c r="J220" s="1010">
        <f t="shared" si="59"/>
        <v>45.999999999999915</v>
      </c>
      <c r="K220" s="1011"/>
      <c r="L220" s="1012"/>
      <c r="M220" s="1013"/>
      <c r="N220" s="1014" t="str">
        <f t="shared" si="60"/>
        <v/>
      </c>
      <c r="O220" s="1323"/>
      <c r="P220" s="1324"/>
      <c r="Q220" s="1324"/>
      <c r="R220" s="1324"/>
      <c r="S220" s="1324"/>
      <c r="T220" s="1325"/>
      <c r="U220" s="1015">
        <v>1.8</v>
      </c>
      <c r="V220" s="1015"/>
      <c r="W220" s="1015"/>
      <c r="X220" s="1015"/>
      <c r="Y220" s="1015">
        <v>2.2000000000000002</v>
      </c>
      <c r="Z220" s="1016">
        <f>'09월 에너지'!S222</f>
        <v>145.19999999999999</v>
      </c>
      <c r="AA220" s="1017"/>
      <c r="AB220" s="1208"/>
      <c r="AC220" s="1208"/>
      <c r="AD220" s="1208"/>
      <c r="AE220" s="1208"/>
      <c r="AF220" s="1208"/>
      <c r="AG220" s="1018">
        <f>'09월 화학성분'!AM220</f>
        <v>2081</v>
      </c>
      <c r="AH220" s="1006">
        <f t="shared" si="49"/>
        <v>11</v>
      </c>
      <c r="AI220" s="1019">
        <v>1569</v>
      </c>
      <c r="AJ220" s="1020">
        <v>23</v>
      </c>
      <c r="AK220" s="1021">
        <v>659</v>
      </c>
      <c r="AL220" s="1022">
        <v>6</v>
      </c>
      <c r="AM220" s="1155">
        <f>IF(AT220="","",3*'09월 에너지'!S222*(1/(3+7.8*(100-AT220)/AT220)))</f>
        <v>0.73185483870967727</v>
      </c>
      <c r="AN220" s="1023">
        <v>0.11875000000000001</v>
      </c>
      <c r="AO220" s="1024"/>
      <c r="AP220" s="1025"/>
      <c r="AQ220" s="1025"/>
      <c r="AR220" s="1149">
        <f t="shared" si="50"/>
        <v>4</v>
      </c>
      <c r="AS220" s="1093" t="str">
        <f t="shared" si="61"/>
        <v xml:space="preserve"> </v>
      </c>
      <c r="AT220" s="1156">
        <v>1.3</v>
      </c>
      <c r="AU220" s="449"/>
      <c r="AV220" s="1205"/>
    </row>
    <row r="221" spans="1:48" ht="16.5" customHeight="1">
      <c r="A221" s="1005">
        <f t="shared" si="51"/>
        <v>46273</v>
      </c>
      <c r="B221" s="1005">
        <f t="shared" si="52"/>
        <v>46273</v>
      </c>
      <c r="C221" s="1150">
        <f t="shared" si="53"/>
        <v>9</v>
      </c>
      <c r="D221" s="1150">
        <f t="shared" si="54"/>
        <v>210</v>
      </c>
      <c r="E221" s="1006" t="str">
        <f t="shared" si="55"/>
        <v>C</v>
      </c>
      <c r="F221" s="1007" t="str">
        <f t="shared" si="56"/>
        <v>B</v>
      </c>
      <c r="G221" s="1008">
        <f t="shared" si="57"/>
        <v>85423</v>
      </c>
      <c r="H221" s="1138">
        <f t="shared" si="58"/>
        <v>0.43055555555555552</v>
      </c>
      <c r="I221" s="1009">
        <v>0.43055555555555558</v>
      </c>
      <c r="J221" s="1010">
        <f t="shared" si="59"/>
        <v>48.000000000000071</v>
      </c>
      <c r="K221" s="1011"/>
      <c r="L221" s="1012"/>
      <c r="M221" s="1013"/>
      <c r="N221" s="1014" t="str">
        <f t="shared" si="60"/>
        <v/>
      </c>
      <c r="O221" s="1326" t="s">
        <v>695</v>
      </c>
      <c r="P221" s="1327"/>
      <c r="Q221" s="1327"/>
      <c r="R221" s="1327"/>
      <c r="S221" s="1327"/>
      <c r="T221" s="1328"/>
      <c r="U221" s="1015">
        <v>1.8</v>
      </c>
      <c r="V221" s="1015"/>
      <c r="W221" s="1015"/>
      <c r="X221" s="1015"/>
      <c r="Y221" s="1015">
        <v>2.5</v>
      </c>
      <c r="Z221" s="1016">
        <f>'09월 에너지'!S223</f>
        <v>142.1</v>
      </c>
      <c r="AA221" s="1017"/>
      <c r="AB221" s="1208"/>
      <c r="AC221" s="1208"/>
      <c r="AD221" s="1208"/>
      <c r="AE221" s="1208"/>
      <c r="AF221" s="1208"/>
      <c r="AG221" s="1018">
        <f>'09월 화학성분'!AM221</f>
        <v>1229</v>
      </c>
      <c r="AH221" s="1006">
        <f t="shared" si="49"/>
        <v>12</v>
      </c>
      <c r="AI221" s="1019">
        <v>1590</v>
      </c>
      <c r="AJ221" s="1020">
        <v>0</v>
      </c>
      <c r="AK221" s="1021">
        <v>593</v>
      </c>
      <c r="AL221" s="1022">
        <v>7</v>
      </c>
      <c r="AM221" s="1155">
        <f>IF(AT221="","",3*'09월 에너지'!S223*(1/(3+7.8*(100-AT221)/AT221)))</f>
        <v>0.60528965303593552</v>
      </c>
      <c r="AN221" s="1023">
        <v>0.17013888888888887</v>
      </c>
      <c r="AO221" s="1024"/>
      <c r="AP221" s="1025"/>
      <c r="AQ221" s="1025"/>
      <c r="AR221" s="1149" t="str">
        <f t="shared" si="50"/>
        <v/>
      </c>
      <c r="AS221" s="1093">
        <f t="shared" si="61"/>
        <v>10</v>
      </c>
      <c r="AT221" s="1156">
        <v>1.1000000000000001</v>
      </c>
      <c r="AU221" s="449"/>
      <c r="AV221" s="1205" t="s">
        <v>708</v>
      </c>
    </row>
    <row r="222" spans="1:48" ht="16.5" customHeight="1">
      <c r="A222" s="1005">
        <f t="shared" si="51"/>
        <v>46273</v>
      </c>
      <c r="B222" s="1005">
        <f t="shared" si="52"/>
        <v>46273</v>
      </c>
      <c r="C222" s="1150">
        <f t="shared" si="53"/>
        <v>10</v>
      </c>
      <c r="D222" s="1150">
        <f t="shared" si="54"/>
        <v>211</v>
      </c>
      <c r="E222" s="1006" t="str">
        <f t="shared" si="55"/>
        <v>C</v>
      </c>
      <c r="F222" s="1007" t="str">
        <f t="shared" si="56"/>
        <v>A</v>
      </c>
      <c r="G222" s="1008">
        <f t="shared" si="57"/>
        <v>85424</v>
      </c>
      <c r="H222" s="1138">
        <f t="shared" si="58"/>
        <v>0.46388888888888891</v>
      </c>
      <c r="I222" s="1009">
        <v>0.47222222222222227</v>
      </c>
      <c r="J222" s="1010">
        <f t="shared" si="59"/>
        <v>60.000000000000028</v>
      </c>
      <c r="K222" s="1011">
        <v>4</v>
      </c>
      <c r="L222" s="1012">
        <v>1</v>
      </c>
      <c r="M222" s="1013">
        <v>0.10208333333333335</v>
      </c>
      <c r="N222" s="1014">
        <f t="shared" si="60"/>
        <v>0.10486111111111113</v>
      </c>
      <c r="O222" s="1323" t="s">
        <v>709</v>
      </c>
      <c r="P222" s="1324"/>
      <c r="Q222" s="1324"/>
      <c r="R222" s="1324"/>
      <c r="S222" s="1324"/>
      <c r="T222" s="1325"/>
      <c r="U222" s="1015">
        <v>1.8</v>
      </c>
      <c r="V222" s="1015"/>
      <c r="W222" s="1015"/>
      <c r="X222" s="1015"/>
      <c r="Y222" s="1015"/>
      <c r="Z222" s="1016">
        <f>'09월 에너지'!S224</f>
        <v>147.1</v>
      </c>
      <c r="AA222" s="1017"/>
      <c r="AB222" s="1208"/>
      <c r="AC222" s="1208"/>
      <c r="AD222" s="1208"/>
      <c r="AE222" s="1208"/>
      <c r="AF222" s="1208"/>
      <c r="AG222" s="1018">
        <f>'09월 화학성분'!AM222</f>
        <v>3985</v>
      </c>
      <c r="AH222" s="1006">
        <f t="shared" si="49"/>
        <v>13</v>
      </c>
      <c r="AI222" s="1019">
        <v>1554</v>
      </c>
      <c r="AJ222" s="1020">
        <v>0</v>
      </c>
      <c r="AK222" s="1021">
        <v>560</v>
      </c>
      <c r="AL222" s="1022">
        <v>7</v>
      </c>
      <c r="AM222" s="1155">
        <f>IF(AT222="","",3*'09월 에너지'!S224*(1/(3+7.8*(100-AT222)/AT222)))</f>
        <v>0.45485466914038336</v>
      </c>
      <c r="AN222" s="1023">
        <v>0.13055555555555556</v>
      </c>
      <c r="AO222" s="1024"/>
      <c r="AP222" s="1025"/>
      <c r="AQ222" s="1025"/>
      <c r="AR222" s="1149">
        <f t="shared" si="50"/>
        <v>5</v>
      </c>
      <c r="AS222" s="1093" t="str">
        <f t="shared" si="61"/>
        <v xml:space="preserve"> </v>
      </c>
      <c r="AT222" s="1156">
        <v>0.8</v>
      </c>
      <c r="AU222" s="449"/>
      <c r="AV222" s="1205"/>
    </row>
    <row r="223" spans="1:48" ht="16.5" customHeight="1">
      <c r="A223" s="1005">
        <f t="shared" si="51"/>
        <v>46273</v>
      </c>
      <c r="B223" s="1005">
        <f t="shared" si="52"/>
        <v>46273</v>
      </c>
      <c r="C223" s="1150">
        <f t="shared" si="53"/>
        <v>11</v>
      </c>
      <c r="D223" s="1150">
        <f t="shared" si="54"/>
        <v>212</v>
      </c>
      <c r="E223" s="1006" t="str">
        <f t="shared" si="55"/>
        <v>C</v>
      </c>
      <c r="F223" s="1007" t="str">
        <f t="shared" si="56"/>
        <v>B</v>
      </c>
      <c r="G223" s="1008">
        <f t="shared" si="57"/>
        <v>85425</v>
      </c>
      <c r="H223" s="1138">
        <f t="shared" si="58"/>
        <v>0.50555555555555565</v>
      </c>
      <c r="I223" s="1009">
        <v>0.50624999999999998</v>
      </c>
      <c r="J223" s="1010">
        <f t="shared" si="59"/>
        <v>48.999999999999908</v>
      </c>
      <c r="K223" s="1011"/>
      <c r="L223" s="1012"/>
      <c r="M223" s="1013"/>
      <c r="N223" s="1014" t="str">
        <f t="shared" si="60"/>
        <v/>
      </c>
      <c r="O223" s="1323" t="s">
        <v>710</v>
      </c>
      <c r="P223" s="1324"/>
      <c r="Q223" s="1324"/>
      <c r="R223" s="1324"/>
      <c r="S223" s="1324"/>
      <c r="T223" s="1325"/>
      <c r="U223" s="1015">
        <v>1.8</v>
      </c>
      <c r="V223" s="1015"/>
      <c r="W223" s="1015"/>
      <c r="X223" s="1015">
        <v>3.5</v>
      </c>
      <c r="Y223" s="1015"/>
      <c r="Z223" s="1016">
        <f>'09월 에너지'!S225</f>
        <v>143.80000000000001</v>
      </c>
      <c r="AA223" s="1017">
        <v>2524</v>
      </c>
      <c r="AB223" s="1208" t="s">
        <v>573</v>
      </c>
      <c r="AC223" s="1208" t="s">
        <v>548</v>
      </c>
      <c r="AD223" s="1208"/>
      <c r="AE223" s="1208"/>
      <c r="AF223" s="1208" t="s">
        <v>548</v>
      </c>
      <c r="AG223" s="1018">
        <f>'09월 화학성분'!AM223</f>
        <v>1269</v>
      </c>
      <c r="AH223" s="1006">
        <f t="shared" si="49"/>
        <v>14</v>
      </c>
      <c r="AI223" s="1019">
        <v>1532</v>
      </c>
      <c r="AJ223" s="1020">
        <v>66</v>
      </c>
      <c r="AK223" s="1021" t="s">
        <v>552</v>
      </c>
      <c r="AL223" s="1022" t="s">
        <v>552</v>
      </c>
      <c r="AM223" s="1155">
        <f>IF(AT223="","",3*'09월 에너지'!S225*(1/(3+7.8*(100-AT223)/AT223)))</f>
        <v>1.2334684965689335</v>
      </c>
      <c r="AN223" s="1023">
        <v>0.14305555555555557</v>
      </c>
      <c r="AO223" s="1024"/>
      <c r="AP223" s="1025"/>
      <c r="AQ223" s="1025"/>
      <c r="AR223" s="1149" t="str">
        <f t="shared" si="50"/>
        <v/>
      </c>
      <c r="AS223" s="1093">
        <f t="shared" si="61"/>
        <v>11</v>
      </c>
      <c r="AT223" s="1156">
        <v>2.2000000000000002</v>
      </c>
      <c r="AU223" s="449"/>
      <c r="AV223" s="1205"/>
    </row>
    <row r="224" spans="1:48" ht="27.75" customHeight="1">
      <c r="A224" s="1005">
        <f t="shared" si="51"/>
        <v>46273</v>
      </c>
      <c r="B224" s="1005">
        <f t="shared" si="52"/>
        <v>46273</v>
      </c>
      <c r="C224" s="1150">
        <f t="shared" si="53"/>
        <v>12</v>
      </c>
      <c r="D224" s="1150">
        <f t="shared" si="54"/>
        <v>213</v>
      </c>
      <c r="E224" s="1006" t="str">
        <f t="shared" si="55"/>
        <v>C</v>
      </c>
      <c r="F224" s="1007" t="s">
        <v>600</v>
      </c>
      <c r="G224" s="1008">
        <f t="shared" si="57"/>
        <v>85426</v>
      </c>
      <c r="H224" s="1138">
        <f t="shared" si="58"/>
        <v>0.5395833333333333</v>
      </c>
      <c r="I224" s="1009">
        <v>0.5854166666666667</v>
      </c>
      <c r="J224" s="1010">
        <f t="shared" si="59"/>
        <v>114.00000000000007</v>
      </c>
      <c r="K224" s="1011">
        <v>66</v>
      </c>
      <c r="L224" s="1012"/>
      <c r="M224" s="1013">
        <v>0.51180555555555551</v>
      </c>
      <c r="N224" s="1014">
        <f t="shared" si="60"/>
        <v>0.5576388888888888</v>
      </c>
      <c r="O224" s="1323" t="s">
        <v>712</v>
      </c>
      <c r="P224" s="1324"/>
      <c r="Q224" s="1324"/>
      <c r="R224" s="1324"/>
      <c r="S224" s="1324"/>
      <c r="T224" s="1325"/>
      <c r="U224" s="1015">
        <v>1.8</v>
      </c>
      <c r="V224" s="1015"/>
      <c r="W224" s="1015"/>
      <c r="X224" s="1015"/>
      <c r="Y224" s="1015">
        <v>2.6</v>
      </c>
      <c r="Z224" s="1016">
        <f>'09월 에너지'!S226</f>
        <v>146.80000000000001</v>
      </c>
      <c r="AA224" s="1017"/>
      <c r="AB224" s="1208"/>
      <c r="AC224" s="1208"/>
      <c r="AD224" s="1208"/>
      <c r="AE224" s="1208"/>
      <c r="AF224" s="1208"/>
      <c r="AG224" s="1018">
        <f>'09월 화학성분'!AM224</f>
        <v>1744</v>
      </c>
      <c r="AH224" s="1006">
        <f t="shared" si="49"/>
        <v>15</v>
      </c>
      <c r="AI224" s="1019">
        <v>1555</v>
      </c>
      <c r="AJ224" s="1020">
        <v>0</v>
      </c>
      <c r="AK224" s="1021">
        <v>533</v>
      </c>
      <c r="AL224" s="1022">
        <v>8</v>
      </c>
      <c r="AM224" s="1155">
        <f>IF(AT224="","",3*'09월 에너지'!S226*(1/(3+7.8*(100-AT224)/AT224)))</f>
        <v>0.79733085040347618</v>
      </c>
      <c r="AN224" s="1023">
        <v>0.13333333333333333</v>
      </c>
      <c r="AO224" s="1024"/>
      <c r="AP224" s="1025"/>
      <c r="AQ224" s="1025"/>
      <c r="AR224" s="1149" t="str">
        <f t="shared" si="50"/>
        <v/>
      </c>
      <c r="AS224" s="1093">
        <f t="shared" si="61"/>
        <v>12</v>
      </c>
      <c r="AT224" s="1156">
        <v>1.4</v>
      </c>
      <c r="AU224" s="449"/>
      <c r="AV224" s="1205"/>
    </row>
    <row r="225" spans="1:48" ht="16.5" customHeight="1">
      <c r="A225" s="1005">
        <f t="shared" si="51"/>
        <v>46273</v>
      </c>
      <c r="B225" s="1005">
        <f t="shared" si="52"/>
        <v>46273</v>
      </c>
      <c r="C225" s="1150">
        <f t="shared" si="53"/>
        <v>13</v>
      </c>
      <c r="D225" s="1150">
        <f t="shared" si="54"/>
        <v>214</v>
      </c>
      <c r="E225" s="1006" t="s">
        <v>713</v>
      </c>
      <c r="F225" s="1007" t="str">
        <f t="shared" si="56"/>
        <v>A</v>
      </c>
      <c r="G225" s="1008">
        <f t="shared" si="57"/>
        <v>85427</v>
      </c>
      <c r="H225" s="1138">
        <f t="shared" si="58"/>
        <v>0.61875000000000002</v>
      </c>
      <c r="I225" s="1009">
        <v>0.62222222222222223</v>
      </c>
      <c r="J225" s="1010">
        <f t="shared" si="59"/>
        <v>52.999999999999972</v>
      </c>
      <c r="K225" s="1011"/>
      <c r="L225" s="1012"/>
      <c r="M225" s="1013"/>
      <c r="N225" s="1014" t="str">
        <f t="shared" si="60"/>
        <v/>
      </c>
      <c r="O225" s="1326" t="s">
        <v>705</v>
      </c>
      <c r="P225" s="1327"/>
      <c r="Q225" s="1327"/>
      <c r="R225" s="1327"/>
      <c r="S225" s="1327"/>
      <c r="T225" s="1328"/>
      <c r="U225" s="1015">
        <v>1.8</v>
      </c>
      <c r="V225" s="1015"/>
      <c r="W225" s="1015"/>
      <c r="X225" s="1015"/>
      <c r="Y225" s="1015"/>
      <c r="Z225" s="1016">
        <f>'09월 에너지'!S227</f>
        <v>146.19999999999999</v>
      </c>
      <c r="AA225" s="1017"/>
      <c r="AB225" s="1208"/>
      <c r="AC225" s="1208"/>
      <c r="AD225" s="1208"/>
      <c r="AE225" s="1208"/>
      <c r="AF225" s="1208"/>
      <c r="AG225" s="1018">
        <f>'09월 화학성분'!AM225</f>
        <v>2868</v>
      </c>
      <c r="AH225" s="1006">
        <f t="shared" si="49"/>
        <v>16</v>
      </c>
      <c r="AI225" s="1019">
        <v>1541</v>
      </c>
      <c r="AJ225" s="1020">
        <v>0</v>
      </c>
      <c r="AK225" s="1021">
        <v>720</v>
      </c>
      <c r="AL225" s="1022">
        <v>5</v>
      </c>
      <c r="AM225" s="1155">
        <f>IF(AT225="","",3*'09월 에너지'!S227*(1/(3+7.8*(100-AT225)/AT225)))</f>
        <v>1.2540548970679977</v>
      </c>
      <c r="AN225" s="1023">
        <v>0.13680555555555554</v>
      </c>
      <c r="AO225" s="1024"/>
      <c r="AP225" s="1025"/>
      <c r="AQ225" s="1025"/>
      <c r="AR225" s="1149">
        <v>6</v>
      </c>
      <c r="AS225" s="1093" t="str">
        <f t="shared" si="61"/>
        <v xml:space="preserve"> </v>
      </c>
      <c r="AT225" s="1156">
        <v>2.2000000000000002</v>
      </c>
      <c r="AU225" s="449"/>
      <c r="AV225" s="1205"/>
    </row>
    <row r="226" spans="1:48" ht="16.5" customHeight="1">
      <c r="A226" s="1005">
        <f t="shared" si="51"/>
        <v>46273</v>
      </c>
      <c r="B226" s="1005">
        <f t="shared" si="52"/>
        <v>46273</v>
      </c>
      <c r="C226" s="1150">
        <f t="shared" si="53"/>
        <v>14</v>
      </c>
      <c r="D226" s="1150">
        <f t="shared" si="54"/>
        <v>215</v>
      </c>
      <c r="E226" s="1006" t="str">
        <f t="shared" si="55"/>
        <v>D</v>
      </c>
      <c r="F226" s="1007" t="s">
        <v>534</v>
      </c>
      <c r="G226" s="1008">
        <f t="shared" si="57"/>
        <v>85428</v>
      </c>
      <c r="H226" s="1138">
        <f t="shared" si="58"/>
        <v>0.65555555555555556</v>
      </c>
      <c r="I226" s="1009">
        <v>0.66319444444444442</v>
      </c>
      <c r="J226" s="1010">
        <f t="shared" si="59"/>
        <v>58.99999999999995</v>
      </c>
      <c r="K226" s="1011">
        <v>11</v>
      </c>
      <c r="L226" s="1012"/>
      <c r="M226" s="1013">
        <v>0.62222222222222223</v>
      </c>
      <c r="N226" s="1014">
        <f t="shared" si="60"/>
        <v>0.62986111111111109</v>
      </c>
      <c r="O226" s="1335" t="s">
        <v>714</v>
      </c>
      <c r="P226" s="1324"/>
      <c r="Q226" s="1324"/>
      <c r="R226" s="1324"/>
      <c r="S226" s="1324"/>
      <c r="T226" s="1325"/>
      <c r="U226" s="1015">
        <v>1.8</v>
      </c>
      <c r="V226" s="1015"/>
      <c r="W226" s="1015"/>
      <c r="X226" s="1015"/>
      <c r="Y226" s="1015"/>
      <c r="Z226" s="1016">
        <f>'09월 에너지'!S228</f>
        <v>147.19999999999999</v>
      </c>
      <c r="AA226" s="1017"/>
      <c r="AB226" s="1208"/>
      <c r="AC226" s="1208"/>
      <c r="AD226" s="1208"/>
      <c r="AE226" s="1208"/>
      <c r="AF226" s="1208"/>
      <c r="AG226" s="1018">
        <f>'09월 화학성분'!AM226</f>
        <v>2907</v>
      </c>
      <c r="AH226" s="1006">
        <f t="shared" si="49"/>
        <v>17</v>
      </c>
      <c r="AI226" s="1019">
        <v>1559</v>
      </c>
      <c r="AJ226" s="1020">
        <v>0</v>
      </c>
      <c r="AK226" s="1021">
        <v>510</v>
      </c>
      <c r="AL226" s="1022">
        <v>8</v>
      </c>
      <c r="AM226" s="1155">
        <f>IF(AT226="","",3*'09월 에너지'!S228*(1/(3+7.8*(100-AT226)/AT226)))</f>
        <v>0.62701363073110283</v>
      </c>
      <c r="AN226" s="1023">
        <v>0.12222222222222223</v>
      </c>
      <c r="AO226" s="1024"/>
      <c r="AP226" s="1025"/>
      <c r="AQ226" s="1025"/>
      <c r="AR226" s="1149">
        <v>7</v>
      </c>
      <c r="AS226" s="1093"/>
      <c r="AT226" s="1156">
        <v>1.1000000000000001</v>
      </c>
      <c r="AU226" s="449"/>
      <c r="AV226" s="1205"/>
    </row>
    <row r="227" spans="1:48" ht="16.5" customHeight="1">
      <c r="A227" s="1005">
        <f t="shared" si="51"/>
        <v>46273</v>
      </c>
      <c r="B227" s="1005">
        <f t="shared" si="52"/>
        <v>46273</v>
      </c>
      <c r="C227" s="1150">
        <f t="shared" si="53"/>
        <v>15</v>
      </c>
      <c r="D227" s="1150">
        <f t="shared" si="54"/>
        <v>216</v>
      </c>
      <c r="E227" s="1006" t="str">
        <f t="shared" si="55"/>
        <v>D</v>
      </c>
      <c r="F227" s="1007" t="s">
        <v>534</v>
      </c>
      <c r="G227" s="1008">
        <f t="shared" si="57"/>
        <v>85429</v>
      </c>
      <c r="H227" s="1138">
        <f t="shared" si="58"/>
        <v>0.69652777777777775</v>
      </c>
      <c r="I227" s="1009">
        <v>0.70277777777777783</v>
      </c>
      <c r="J227" s="1010">
        <f t="shared" si="59"/>
        <v>57.000000000000114</v>
      </c>
      <c r="K227" s="1011">
        <v>9</v>
      </c>
      <c r="L227" s="1012"/>
      <c r="M227" s="1013">
        <v>0.66319444444444442</v>
      </c>
      <c r="N227" s="1014">
        <f t="shared" si="60"/>
        <v>0.6694444444444444</v>
      </c>
      <c r="O227" s="1323" t="s">
        <v>715</v>
      </c>
      <c r="P227" s="1324"/>
      <c r="Q227" s="1324"/>
      <c r="R227" s="1324"/>
      <c r="S227" s="1324"/>
      <c r="T227" s="1325"/>
      <c r="U227" s="1015">
        <v>1.8</v>
      </c>
      <c r="V227" s="1015"/>
      <c r="W227" s="1015"/>
      <c r="X227" s="1015"/>
      <c r="Y227" s="1015"/>
      <c r="Z227" s="1016">
        <f>'09월 에너지'!S229</f>
        <v>144.19999999999999</v>
      </c>
      <c r="AA227" s="1017"/>
      <c r="AB227" s="1208"/>
      <c r="AC227" s="1208"/>
      <c r="AD227" s="1208"/>
      <c r="AE227" s="1208"/>
      <c r="AF227" s="1208"/>
      <c r="AG227" s="1018">
        <f>'09월 화학성분'!AM227</f>
        <v>2049</v>
      </c>
      <c r="AH227" s="1006">
        <f t="shared" si="49"/>
        <v>18</v>
      </c>
      <c r="AI227" s="1019">
        <v>1559</v>
      </c>
      <c r="AJ227" s="1020">
        <v>0</v>
      </c>
      <c r="AK227" s="1021">
        <v>597</v>
      </c>
      <c r="AL227" s="1022">
        <v>7</v>
      </c>
      <c r="AM227" s="1155">
        <f>IF(AT227="","",3*'09월 에너지'!S229*(1/(3+7.8*(100-AT227)/AT227)))</f>
        <v>0.50193378712871295</v>
      </c>
      <c r="AN227" s="1023">
        <v>0.1388888888888889</v>
      </c>
      <c r="AO227" s="1024"/>
      <c r="AP227" s="1025"/>
      <c r="AQ227" s="1025"/>
      <c r="AR227" s="1149">
        <f t="shared" si="50"/>
        <v>8</v>
      </c>
      <c r="AS227" s="1093" t="str">
        <f t="shared" si="61"/>
        <v xml:space="preserve"> </v>
      </c>
      <c r="AT227" s="1156">
        <v>0.9</v>
      </c>
      <c r="AU227" s="449"/>
      <c r="AV227" s="1205"/>
    </row>
    <row r="228" spans="1:48" ht="16.5" customHeight="1">
      <c r="A228" s="1005">
        <f t="shared" si="51"/>
        <v>46273</v>
      </c>
      <c r="B228" s="1005">
        <f t="shared" si="52"/>
        <v>46273</v>
      </c>
      <c r="C228" s="1150">
        <f t="shared" si="53"/>
        <v>16</v>
      </c>
      <c r="D228" s="1150">
        <f t="shared" si="54"/>
        <v>217</v>
      </c>
      <c r="E228" s="1006" t="str">
        <f t="shared" si="55"/>
        <v>D</v>
      </c>
      <c r="F228" s="1007" t="s">
        <v>534</v>
      </c>
      <c r="G228" s="1008">
        <f t="shared" si="57"/>
        <v>85430</v>
      </c>
      <c r="H228" s="1138">
        <f t="shared" si="58"/>
        <v>0.73611111111111116</v>
      </c>
      <c r="I228" s="1009">
        <v>0.74305555555555547</v>
      </c>
      <c r="J228" s="1010">
        <f t="shared" si="59"/>
        <v>57.999999999999794</v>
      </c>
      <c r="K228" s="1011">
        <v>10</v>
      </c>
      <c r="L228" s="1012"/>
      <c r="M228" s="1013">
        <v>0.69652777777777775</v>
      </c>
      <c r="N228" s="1014">
        <f t="shared" si="60"/>
        <v>0.70347222222222217</v>
      </c>
      <c r="O228" s="1323" t="s">
        <v>716</v>
      </c>
      <c r="P228" s="1324"/>
      <c r="Q228" s="1324"/>
      <c r="R228" s="1324"/>
      <c r="S228" s="1324"/>
      <c r="T228" s="1325"/>
      <c r="U228" s="1015">
        <v>1.8</v>
      </c>
      <c r="V228" s="1015"/>
      <c r="W228" s="1015"/>
      <c r="X228" s="1015"/>
      <c r="Y228" s="1015"/>
      <c r="Z228" s="1016">
        <f>'09월 에너지'!S230</f>
        <v>144</v>
      </c>
      <c r="AA228" s="1017"/>
      <c r="AB228" s="1208"/>
      <c r="AC228" s="1208"/>
      <c r="AD228" s="1208"/>
      <c r="AE228" s="1208"/>
      <c r="AF228" s="1208"/>
      <c r="AG228" s="1018">
        <f>'09월 화학성분'!AM228</f>
        <v>2260</v>
      </c>
      <c r="AH228" s="1006">
        <f t="shared" si="49"/>
        <v>19</v>
      </c>
      <c r="AI228" s="1019">
        <v>1572</v>
      </c>
      <c r="AJ228" s="1020">
        <v>0</v>
      </c>
      <c r="AK228" s="1021">
        <v>749</v>
      </c>
      <c r="AL228" s="1022">
        <v>5</v>
      </c>
      <c r="AM228" s="1155">
        <f>IF(AT228="","",3*'09월 에너지'!S230*(1/(3+7.8*(100-AT228)/AT228)))</f>
        <v>0.89496581727781233</v>
      </c>
      <c r="AN228" s="1023">
        <v>0.11944444444444445</v>
      </c>
      <c r="AO228" s="1024"/>
      <c r="AP228" s="1025"/>
      <c r="AQ228" s="1025"/>
      <c r="AR228" s="1149">
        <f t="shared" si="50"/>
        <v>9</v>
      </c>
      <c r="AS228" s="1093" t="str">
        <f t="shared" si="61"/>
        <v xml:space="preserve"> </v>
      </c>
      <c r="AT228" s="1156">
        <v>1.6</v>
      </c>
      <c r="AU228" s="449"/>
      <c r="AV228" s="1205"/>
    </row>
    <row r="229" spans="1:48" ht="16.5" customHeight="1">
      <c r="A229" s="1005">
        <f t="shared" si="51"/>
        <v>46273</v>
      </c>
      <c r="B229" s="1005">
        <f t="shared" si="52"/>
        <v>46273</v>
      </c>
      <c r="C229" s="1150">
        <f t="shared" si="53"/>
        <v>17</v>
      </c>
      <c r="D229" s="1150">
        <f t="shared" si="54"/>
        <v>218</v>
      </c>
      <c r="E229" s="1006" t="str">
        <f t="shared" si="55"/>
        <v>D</v>
      </c>
      <c r="F229" s="1007" t="str">
        <f t="shared" si="56"/>
        <v>B</v>
      </c>
      <c r="G229" s="1008">
        <f t="shared" si="57"/>
        <v>85431</v>
      </c>
      <c r="H229" s="1138">
        <f t="shared" si="58"/>
        <v>0.7763888888888888</v>
      </c>
      <c r="I229" s="1009">
        <v>0.78055555555555556</v>
      </c>
      <c r="J229" s="1010">
        <f t="shared" si="59"/>
        <v>54.000000000000128</v>
      </c>
      <c r="K229" s="1011"/>
      <c r="L229" s="1012">
        <v>2</v>
      </c>
      <c r="M229" s="1013"/>
      <c r="N229" s="1014" t="str">
        <f t="shared" si="60"/>
        <v/>
      </c>
      <c r="O229" s="1326" t="s">
        <v>718</v>
      </c>
      <c r="P229" s="1327"/>
      <c r="Q229" s="1327"/>
      <c r="R229" s="1327"/>
      <c r="S229" s="1327"/>
      <c r="T229" s="1328"/>
      <c r="U229" s="1015">
        <v>1.8</v>
      </c>
      <c r="V229" s="1015"/>
      <c r="W229" s="1015"/>
      <c r="X229" s="1015"/>
      <c r="Y229" s="1015"/>
      <c r="Z229" s="1016">
        <f>'09월 에너지'!S231</f>
        <v>148.1</v>
      </c>
      <c r="AA229" s="1017"/>
      <c r="AB229" s="1208"/>
      <c r="AC229" s="1208"/>
      <c r="AD229" s="1208"/>
      <c r="AE229" s="1208"/>
      <c r="AF229" s="1208"/>
      <c r="AG229" s="1018">
        <f>'09월 화학성분'!AM229</f>
        <v>2175</v>
      </c>
      <c r="AH229" s="1006">
        <f t="shared" si="49"/>
        <v>20</v>
      </c>
      <c r="AI229" s="1019">
        <v>1565</v>
      </c>
      <c r="AJ229" s="1020">
        <v>28</v>
      </c>
      <c r="AK229" s="1021">
        <v>808</v>
      </c>
      <c r="AL229" s="1022">
        <v>4</v>
      </c>
      <c r="AM229" s="1155">
        <f>IF(AT229="","",3*'09월 에너지'!S231*(1/(3+7.8*(100-AT229)/AT229)))</f>
        <v>0.57314241486068118</v>
      </c>
      <c r="AN229" s="1023">
        <v>0.1986111111111111</v>
      </c>
      <c r="AO229" s="1024"/>
      <c r="AP229" s="1025"/>
      <c r="AQ229" s="1025"/>
      <c r="AR229" s="1149" t="str">
        <f t="shared" si="50"/>
        <v/>
      </c>
      <c r="AS229" s="1093">
        <v>13</v>
      </c>
      <c r="AT229" s="1156">
        <v>1</v>
      </c>
      <c r="AU229" s="449"/>
      <c r="AV229" s="1205" t="s">
        <v>722</v>
      </c>
    </row>
    <row r="230" spans="1:48" ht="16.5" customHeight="1">
      <c r="A230" s="1005">
        <f t="shared" si="51"/>
        <v>46273</v>
      </c>
      <c r="B230" s="1005">
        <f t="shared" si="52"/>
        <v>46273</v>
      </c>
      <c r="C230" s="1150">
        <f t="shared" si="53"/>
        <v>18</v>
      </c>
      <c r="D230" s="1150">
        <f t="shared" si="54"/>
        <v>219</v>
      </c>
      <c r="E230" s="1006" t="str">
        <f t="shared" si="55"/>
        <v>D</v>
      </c>
      <c r="F230" s="1007" t="str">
        <f t="shared" si="56"/>
        <v>A</v>
      </c>
      <c r="G230" s="1008">
        <f t="shared" si="57"/>
        <v>85432</v>
      </c>
      <c r="H230" s="1138">
        <f t="shared" si="58"/>
        <v>0.81388888888888888</v>
      </c>
      <c r="I230" s="1009">
        <v>0.81041666666666667</v>
      </c>
      <c r="J230" s="1010">
        <f t="shared" si="59"/>
        <v>43.000000000000007</v>
      </c>
      <c r="K230" s="1011"/>
      <c r="L230" s="1012"/>
      <c r="M230" s="1013"/>
      <c r="N230" s="1014" t="str">
        <f t="shared" si="60"/>
        <v/>
      </c>
      <c r="O230" s="1323"/>
      <c r="P230" s="1324"/>
      <c r="Q230" s="1324"/>
      <c r="R230" s="1324"/>
      <c r="S230" s="1324"/>
      <c r="T230" s="1325"/>
      <c r="U230" s="1015">
        <v>1.8</v>
      </c>
      <c r="V230" s="1015"/>
      <c r="W230" s="1015"/>
      <c r="X230" s="1015"/>
      <c r="Y230" s="1015">
        <v>2.7</v>
      </c>
      <c r="Z230" s="1016">
        <f>'09월 에너지'!S232</f>
        <v>146.19999999999999</v>
      </c>
      <c r="AA230" s="1017"/>
      <c r="AB230" s="1208"/>
      <c r="AC230" s="1208"/>
      <c r="AD230" s="1208"/>
      <c r="AE230" s="1208"/>
      <c r="AF230" s="1208"/>
      <c r="AG230" s="1018">
        <f>'09월 화학성분'!AM230</f>
        <v>2362</v>
      </c>
      <c r="AH230" s="1006">
        <f t="shared" si="49"/>
        <v>21</v>
      </c>
      <c r="AI230" s="1019">
        <v>1571</v>
      </c>
      <c r="AJ230" s="1020">
        <v>61</v>
      </c>
      <c r="AK230" s="1021">
        <v>749</v>
      </c>
      <c r="AL230" s="1022">
        <v>5</v>
      </c>
      <c r="AM230" s="1155">
        <f>IF(AT230="","",3*'09월 에너지'!S232*(1/(3+7.8*(100-AT230)/AT230)))</f>
        <v>0.96602922885572129</v>
      </c>
      <c r="AN230" s="1023">
        <v>0.13472222222222222</v>
      </c>
      <c r="AO230" s="1024"/>
      <c r="AP230" s="1025"/>
      <c r="AQ230" s="1025"/>
      <c r="AR230" s="1149">
        <f t="shared" si="50"/>
        <v>10</v>
      </c>
      <c r="AS230" s="1093" t="str">
        <f t="shared" si="61"/>
        <v xml:space="preserve"> </v>
      </c>
      <c r="AT230" s="1156">
        <v>1.7</v>
      </c>
      <c r="AU230" s="449"/>
      <c r="AV230" s="1205"/>
    </row>
    <row r="231" spans="1:48" ht="16.5" customHeight="1">
      <c r="A231" s="1005">
        <f t="shared" si="51"/>
        <v>46273</v>
      </c>
      <c r="B231" s="1005">
        <f t="shared" si="52"/>
        <v>46273</v>
      </c>
      <c r="C231" s="1150">
        <f t="shared" si="53"/>
        <v>19</v>
      </c>
      <c r="D231" s="1150">
        <f t="shared" si="54"/>
        <v>220</v>
      </c>
      <c r="E231" s="1006" t="str">
        <f t="shared" si="55"/>
        <v>D</v>
      </c>
      <c r="F231" s="1007" t="str">
        <f t="shared" si="56"/>
        <v>B</v>
      </c>
      <c r="G231" s="1008">
        <f t="shared" si="57"/>
        <v>85433</v>
      </c>
      <c r="H231" s="1138">
        <f t="shared" si="58"/>
        <v>0.84375</v>
      </c>
      <c r="I231" s="1009">
        <v>0.84305555555555556</v>
      </c>
      <c r="J231" s="1010">
        <f t="shared" si="59"/>
        <v>46.999999999999993</v>
      </c>
      <c r="K231" s="1011"/>
      <c r="L231" s="1012"/>
      <c r="M231" s="1013"/>
      <c r="N231" s="1014" t="str">
        <f t="shared" si="60"/>
        <v/>
      </c>
      <c r="O231" s="1323"/>
      <c r="P231" s="1324"/>
      <c r="Q231" s="1324"/>
      <c r="R231" s="1324"/>
      <c r="S231" s="1324"/>
      <c r="T231" s="1325"/>
      <c r="U231" s="1015">
        <v>1.8</v>
      </c>
      <c r="V231" s="1015"/>
      <c r="W231" s="1015"/>
      <c r="X231" s="1015"/>
      <c r="Y231" s="1015">
        <v>2.5</v>
      </c>
      <c r="Z231" s="1016">
        <f>'09월 에너지'!S233</f>
        <v>147.6</v>
      </c>
      <c r="AA231" s="1017"/>
      <c r="AB231" s="1208"/>
      <c r="AC231" s="1208"/>
      <c r="AD231" s="1208"/>
      <c r="AE231" s="1208"/>
      <c r="AF231" s="1208"/>
      <c r="AG231" s="1018">
        <f>'09월 화학성분'!AM231</f>
        <v>2077</v>
      </c>
      <c r="AH231" s="1006">
        <f t="shared" si="49"/>
        <v>22</v>
      </c>
      <c r="AI231" s="1019">
        <v>1548</v>
      </c>
      <c r="AJ231" s="1020">
        <v>26</v>
      </c>
      <c r="AK231" s="1021">
        <v>730</v>
      </c>
      <c r="AL231" s="1022">
        <v>5</v>
      </c>
      <c r="AM231" s="1155">
        <f>IF(AT231="","",3*'09월 에너지'!S233*(1/(3+7.8*(100-AT231)/AT231)))</f>
        <v>1.3828856964397251</v>
      </c>
      <c r="AN231" s="1023">
        <v>0.13402777777777777</v>
      </c>
      <c r="AO231" s="1024"/>
      <c r="AP231" s="1025"/>
      <c r="AQ231" s="1025"/>
      <c r="AR231" s="1149" t="str">
        <f t="shared" si="50"/>
        <v/>
      </c>
      <c r="AS231" s="1093">
        <f t="shared" si="61"/>
        <v>14</v>
      </c>
      <c r="AT231" s="1156">
        <v>2.4</v>
      </c>
      <c r="AU231" s="449"/>
      <c r="AV231" s="1205"/>
    </row>
    <row r="232" spans="1:48" ht="16.5" customHeight="1">
      <c r="A232" s="1005">
        <f t="shared" si="51"/>
        <v>46273</v>
      </c>
      <c r="B232" s="1005">
        <f t="shared" si="52"/>
        <v>46273</v>
      </c>
      <c r="C232" s="1150">
        <f t="shared" si="53"/>
        <v>20</v>
      </c>
      <c r="D232" s="1150">
        <f t="shared" si="54"/>
        <v>221</v>
      </c>
      <c r="E232" s="1006" t="str">
        <f t="shared" si="55"/>
        <v>D</v>
      </c>
      <c r="F232" s="1007" t="str">
        <f t="shared" si="56"/>
        <v>A</v>
      </c>
      <c r="G232" s="1008">
        <f t="shared" si="57"/>
        <v>85434</v>
      </c>
      <c r="H232" s="1138">
        <f t="shared" si="58"/>
        <v>0.87638888888888888</v>
      </c>
      <c r="I232" s="1009">
        <v>0.87777777777777777</v>
      </c>
      <c r="J232" s="1010">
        <f t="shared" si="59"/>
        <v>49.999999999999986</v>
      </c>
      <c r="K232" s="1011"/>
      <c r="L232" s="1012"/>
      <c r="M232" s="1013"/>
      <c r="N232" s="1014" t="str">
        <f t="shared" si="60"/>
        <v/>
      </c>
      <c r="O232" s="1323" t="s">
        <v>530</v>
      </c>
      <c r="P232" s="1324"/>
      <c r="Q232" s="1324"/>
      <c r="R232" s="1324"/>
      <c r="S232" s="1324"/>
      <c r="T232" s="1325"/>
      <c r="U232" s="1015">
        <v>1.8</v>
      </c>
      <c r="V232" s="1015"/>
      <c r="W232" s="1015"/>
      <c r="X232" s="1015"/>
      <c r="Y232" s="1015">
        <v>2.6</v>
      </c>
      <c r="Z232" s="1016">
        <f>'09월 에너지'!S234</f>
        <v>145.9</v>
      </c>
      <c r="AA232" s="1017">
        <v>2293</v>
      </c>
      <c r="AB232" s="1208" t="s">
        <v>719</v>
      </c>
      <c r="AC232" s="1208" t="s">
        <v>532</v>
      </c>
      <c r="AD232" s="1208"/>
      <c r="AE232" s="1208"/>
      <c r="AF232" s="1208" t="s">
        <v>532</v>
      </c>
      <c r="AG232" s="1018">
        <f>'09월 화학성분'!AM232</f>
        <v>2085</v>
      </c>
      <c r="AH232" s="1006">
        <f t="shared" si="49"/>
        <v>23</v>
      </c>
      <c r="AI232" s="1019">
        <v>1560</v>
      </c>
      <c r="AJ232" s="1020">
        <v>0</v>
      </c>
      <c r="AK232" s="1021">
        <v>516</v>
      </c>
      <c r="AL232" s="1022">
        <v>8</v>
      </c>
      <c r="AM232" s="1155">
        <f>IF(AT232="","",3*'09월 에너지'!S234*(1/(3+7.8*(100-AT232)/AT232)))</f>
        <v>0.3945071075401731</v>
      </c>
      <c r="AN232" s="1023">
        <v>0.13472222222222222</v>
      </c>
      <c r="AO232" s="1024"/>
      <c r="AP232" s="1025"/>
      <c r="AQ232" s="1025"/>
      <c r="AR232" s="1149">
        <f t="shared" si="50"/>
        <v>11</v>
      </c>
      <c r="AS232" s="1093" t="str">
        <f t="shared" si="61"/>
        <v xml:space="preserve"> </v>
      </c>
      <c r="AT232" s="1156">
        <v>0.7</v>
      </c>
      <c r="AU232" s="449"/>
      <c r="AV232" s="1205"/>
    </row>
    <row r="233" spans="1:48" ht="16.5" customHeight="1">
      <c r="A233" s="1005">
        <f t="shared" si="51"/>
        <v>46273</v>
      </c>
      <c r="B233" s="1005">
        <f t="shared" si="52"/>
        <v>46273</v>
      </c>
      <c r="C233" s="1150">
        <f t="shared" si="53"/>
        <v>21</v>
      </c>
      <c r="D233" s="1150">
        <f t="shared" si="54"/>
        <v>222</v>
      </c>
      <c r="E233" s="1006" t="str">
        <f t="shared" si="55"/>
        <v>D</v>
      </c>
      <c r="F233" s="1007" t="str">
        <f t="shared" si="56"/>
        <v>B</v>
      </c>
      <c r="G233" s="1008">
        <f t="shared" si="57"/>
        <v>85435</v>
      </c>
      <c r="H233" s="1138">
        <f t="shared" si="58"/>
        <v>0.91111111111111109</v>
      </c>
      <c r="I233" s="1009">
        <v>0.91388888888888886</v>
      </c>
      <c r="J233" s="1010">
        <f t="shared" si="59"/>
        <v>51.999999999999972</v>
      </c>
      <c r="K233" s="1011"/>
      <c r="L233" s="1012"/>
      <c r="M233" s="1013"/>
      <c r="N233" s="1014" t="str">
        <f t="shared" si="60"/>
        <v/>
      </c>
      <c r="O233" s="1326" t="s">
        <v>720</v>
      </c>
      <c r="P233" s="1324"/>
      <c r="Q233" s="1324"/>
      <c r="R233" s="1324"/>
      <c r="S233" s="1324"/>
      <c r="T233" s="1325"/>
      <c r="U233" s="1015">
        <v>1.8</v>
      </c>
      <c r="V233" s="1015"/>
      <c r="W233" s="1015"/>
      <c r="X233" s="1015"/>
      <c r="Y233" s="1015">
        <v>2.8</v>
      </c>
      <c r="Z233" s="1016">
        <f>'09월 에너지'!S235</f>
        <v>146</v>
      </c>
      <c r="AA233" s="1017">
        <v>2211</v>
      </c>
      <c r="AB233" s="1208" t="s">
        <v>573</v>
      </c>
      <c r="AC233" s="1208" t="s">
        <v>532</v>
      </c>
      <c r="AD233" s="1208" t="s">
        <v>532</v>
      </c>
      <c r="AE233" s="1208"/>
      <c r="AF233" s="1208" t="s">
        <v>548</v>
      </c>
      <c r="AG233" s="1018">
        <f>'09월 화학성분'!AM233</f>
        <v>2144</v>
      </c>
      <c r="AH233" s="1006">
        <f t="shared" si="49"/>
        <v>24</v>
      </c>
      <c r="AI233" s="1019">
        <v>1579</v>
      </c>
      <c r="AJ233" s="1020">
        <v>0</v>
      </c>
      <c r="AK233" s="1021">
        <v>415</v>
      </c>
      <c r="AL233" s="1022">
        <v>10</v>
      </c>
      <c r="AM233" s="1155">
        <f>IF(AT233="","",3*'09월 에너지'!S235*(1/(3+7.8*(100-AT233)/AT233)))</f>
        <v>1.0220908525202239</v>
      </c>
      <c r="AN233" s="1023">
        <v>0.14027777777777778</v>
      </c>
      <c r="AO233" s="1024" t="s">
        <v>538</v>
      </c>
      <c r="AP233" s="1025">
        <v>2000046</v>
      </c>
      <c r="AQ233" s="1025">
        <v>2131</v>
      </c>
      <c r="AR233" s="1149" t="str">
        <f t="shared" si="50"/>
        <v/>
      </c>
      <c r="AS233" s="1093">
        <v>1</v>
      </c>
      <c r="AT233" s="1156">
        <v>1.8</v>
      </c>
      <c r="AU233" s="449"/>
      <c r="AV233" s="1205"/>
    </row>
    <row r="234" spans="1:48" ht="16.5" customHeight="1">
      <c r="A234" s="1005">
        <f t="shared" si="51"/>
        <v>46273</v>
      </c>
      <c r="B234" s="1005">
        <f t="shared" si="52"/>
        <v>46273</v>
      </c>
      <c r="C234" s="1150">
        <f t="shared" si="53"/>
        <v>22</v>
      </c>
      <c r="D234" s="1150">
        <f t="shared" si="54"/>
        <v>223</v>
      </c>
      <c r="E234" s="1006" t="s">
        <v>534</v>
      </c>
      <c r="F234" s="1007" t="str">
        <f t="shared" si="56"/>
        <v>A</v>
      </c>
      <c r="G234" s="1008">
        <f t="shared" si="57"/>
        <v>85436</v>
      </c>
      <c r="H234" s="1138">
        <f t="shared" si="58"/>
        <v>0.94722222222222219</v>
      </c>
      <c r="I234" s="1009">
        <v>0.9458333333333333</v>
      </c>
      <c r="J234" s="1010">
        <f t="shared" si="59"/>
        <v>46</v>
      </c>
      <c r="K234" s="1011"/>
      <c r="L234" s="1012"/>
      <c r="M234" s="1013"/>
      <c r="N234" s="1014" t="str">
        <f t="shared" si="60"/>
        <v/>
      </c>
      <c r="O234" s="1323"/>
      <c r="P234" s="1324"/>
      <c r="Q234" s="1324"/>
      <c r="R234" s="1324"/>
      <c r="S234" s="1324"/>
      <c r="T234" s="1325"/>
      <c r="U234" s="1015">
        <v>1.8</v>
      </c>
      <c r="V234" s="1015">
        <v>2.2999999999999998</v>
      </c>
      <c r="W234" s="1015">
        <v>1.5</v>
      </c>
      <c r="X234" s="1015"/>
      <c r="Y234" s="1015"/>
      <c r="Z234" s="1016">
        <f>'09월 에너지'!S236</f>
        <v>144.9</v>
      </c>
      <c r="AA234" s="1017"/>
      <c r="AB234" s="1208"/>
      <c r="AC234" s="1208"/>
      <c r="AD234" s="1208"/>
      <c r="AE234" s="1208"/>
      <c r="AF234" s="1208"/>
      <c r="AG234" s="1018">
        <f>'09월 화학성분'!AM234</f>
        <v>2166</v>
      </c>
      <c r="AH234" s="1006">
        <f t="shared" si="49"/>
        <v>25</v>
      </c>
      <c r="AI234" s="1019">
        <v>1575</v>
      </c>
      <c r="AJ234" s="1020">
        <v>0</v>
      </c>
      <c r="AK234" s="1021">
        <v>672</v>
      </c>
      <c r="AL234" s="1022">
        <v>6</v>
      </c>
      <c r="AM234" s="1155">
        <f>IF(AT234="","",3*'09월 에너지'!S236*(1/(3+7.8*(100-AT234)/AT234)))</f>
        <v>0.73034274193548387</v>
      </c>
      <c r="AN234" s="1023">
        <v>0.12916666666666668</v>
      </c>
      <c r="AO234" s="1024"/>
      <c r="AP234" s="1025"/>
      <c r="AQ234" s="1025"/>
      <c r="AR234" s="1149">
        <f t="shared" si="50"/>
        <v>12</v>
      </c>
      <c r="AS234" s="1093" t="str">
        <f t="shared" si="61"/>
        <v xml:space="preserve"> </v>
      </c>
      <c r="AT234" s="1156">
        <v>1.3</v>
      </c>
      <c r="AU234" s="449"/>
      <c r="AV234" s="1205"/>
    </row>
    <row r="235" spans="1:48" ht="16.5" customHeight="1">
      <c r="A235" s="1005">
        <f t="shared" si="51"/>
        <v>46273</v>
      </c>
      <c r="B235" s="1005">
        <f t="shared" si="52"/>
        <v>46273</v>
      </c>
      <c r="C235" s="1150">
        <f t="shared" si="53"/>
        <v>23</v>
      </c>
      <c r="D235" s="1150">
        <f t="shared" si="54"/>
        <v>224</v>
      </c>
      <c r="E235" s="1006" t="str">
        <f t="shared" si="55"/>
        <v>A</v>
      </c>
      <c r="F235" s="1007" t="str">
        <f t="shared" si="56"/>
        <v>B</v>
      </c>
      <c r="G235" s="1008">
        <f t="shared" si="57"/>
        <v>85437</v>
      </c>
      <c r="H235" s="1138">
        <f t="shared" si="58"/>
        <v>0.97916666666666663</v>
      </c>
      <c r="I235" s="1009">
        <v>0.97777777777777775</v>
      </c>
      <c r="J235" s="1010">
        <f t="shared" si="59"/>
        <v>46</v>
      </c>
      <c r="K235" s="1011"/>
      <c r="L235" s="1012"/>
      <c r="M235" s="1013"/>
      <c r="N235" s="1014" t="str">
        <f t="shared" si="60"/>
        <v/>
      </c>
      <c r="O235" s="1323"/>
      <c r="P235" s="1324"/>
      <c r="Q235" s="1324"/>
      <c r="R235" s="1324"/>
      <c r="S235" s="1324"/>
      <c r="T235" s="1325"/>
      <c r="U235" s="1015">
        <v>1.8</v>
      </c>
      <c r="V235" s="1015"/>
      <c r="W235" s="1015"/>
      <c r="X235" s="1015"/>
      <c r="Y235" s="1015">
        <v>2.7</v>
      </c>
      <c r="Z235" s="1016">
        <f>'09월 에너지'!S237</f>
        <v>145.30000000000001</v>
      </c>
      <c r="AA235" s="1017"/>
      <c r="AB235" s="1208"/>
      <c r="AC235" s="1208"/>
      <c r="AD235" s="1208"/>
      <c r="AE235" s="1208"/>
      <c r="AF235" s="1208"/>
      <c r="AG235" s="1018">
        <f>'09월 화학성분'!AM235</f>
        <v>2334</v>
      </c>
      <c r="AH235" s="1006">
        <f t="shared" si="49"/>
        <v>26</v>
      </c>
      <c r="AI235" s="1019">
        <v>1561</v>
      </c>
      <c r="AJ235" s="1020">
        <v>0</v>
      </c>
      <c r="AK235" s="1021">
        <v>388</v>
      </c>
      <c r="AL235" s="1022">
        <v>11</v>
      </c>
      <c r="AM235" s="1155">
        <f>IF(AT235="","",3*'09월 에너지'!S237*(1/(3+7.8*(100-AT235)/AT235)))</f>
        <v>0.96008240049751248</v>
      </c>
      <c r="AN235" s="1023">
        <v>0.13819444444444443</v>
      </c>
      <c r="AO235" s="1024"/>
      <c r="AP235" s="1025"/>
      <c r="AQ235" s="1025"/>
      <c r="AR235" s="1149" t="str">
        <f t="shared" si="50"/>
        <v/>
      </c>
      <c r="AS235" s="1093">
        <f t="shared" si="61"/>
        <v>2</v>
      </c>
      <c r="AT235" s="1156">
        <v>1.7</v>
      </c>
      <c r="AU235" s="449"/>
      <c r="AV235" s="1205"/>
    </row>
    <row r="236" spans="1:48" ht="16.5" customHeight="1">
      <c r="A236" s="1005">
        <f t="shared" si="51"/>
        <v>46273</v>
      </c>
      <c r="B236" s="1005">
        <f t="shared" si="52"/>
        <v>46273</v>
      </c>
      <c r="C236" s="1150">
        <f t="shared" si="53"/>
        <v>24</v>
      </c>
      <c r="D236" s="1150">
        <f t="shared" si="54"/>
        <v>225</v>
      </c>
      <c r="E236" s="1006" t="str">
        <f t="shared" si="55"/>
        <v>A</v>
      </c>
      <c r="F236" s="1007" t="str">
        <f t="shared" si="56"/>
        <v>A</v>
      </c>
      <c r="G236" s="1008">
        <f t="shared" si="57"/>
        <v>85438</v>
      </c>
      <c r="H236" s="1138">
        <f t="shared" si="58"/>
        <v>1.0111111111111111</v>
      </c>
      <c r="I236" s="1009">
        <v>9.7222222222222224E-3</v>
      </c>
      <c r="J236" s="1010">
        <f t="shared" si="59"/>
        <v>46</v>
      </c>
      <c r="K236" s="1011"/>
      <c r="L236" s="1012"/>
      <c r="M236" s="1013"/>
      <c r="N236" s="1014" t="str">
        <f t="shared" si="60"/>
        <v/>
      </c>
      <c r="O236" s="1323" t="s">
        <v>724</v>
      </c>
      <c r="P236" s="1324"/>
      <c r="Q236" s="1324"/>
      <c r="R236" s="1324"/>
      <c r="S236" s="1324"/>
      <c r="T236" s="1325"/>
      <c r="U236" s="1015">
        <v>1.8</v>
      </c>
      <c r="V236" s="1015"/>
      <c r="W236" s="1015"/>
      <c r="X236" s="1015"/>
      <c r="Y236" s="1015">
        <v>2.9</v>
      </c>
      <c r="Z236" s="1016">
        <f>'09월 에너지'!S238</f>
        <v>144.6</v>
      </c>
      <c r="AA236" s="1017">
        <v>2057</v>
      </c>
      <c r="AB236" s="1208" t="s">
        <v>719</v>
      </c>
      <c r="AC236" s="1208" t="s">
        <v>532</v>
      </c>
      <c r="AD236" s="1208"/>
      <c r="AE236" s="1208"/>
      <c r="AF236" s="1208" t="s">
        <v>532</v>
      </c>
      <c r="AG236" s="1018">
        <f>'09월 화학성분'!AM236</f>
        <v>2430</v>
      </c>
      <c r="AH236" s="1006">
        <f t="shared" si="49"/>
        <v>27</v>
      </c>
      <c r="AI236" s="1019">
        <v>1564</v>
      </c>
      <c r="AJ236" s="1020">
        <v>0</v>
      </c>
      <c r="AK236" s="1021">
        <v>400</v>
      </c>
      <c r="AL236" s="1022">
        <v>11</v>
      </c>
      <c r="AM236" s="1155">
        <f>IF(AT236="","",3*'09월 에너지'!S238*(1/(3+7.8*(100-AT236)/AT236)))</f>
        <v>0.78538175046554926</v>
      </c>
      <c r="AN236" s="1023">
        <v>0.14305555555555557</v>
      </c>
      <c r="AO236" s="1024" t="s">
        <v>745</v>
      </c>
      <c r="AP236" s="1025">
        <v>2000018</v>
      </c>
      <c r="AQ236" s="1025">
        <v>2139</v>
      </c>
      <c r="AR236" s="1149">
        <v>1</v>
      </c>
      <c r="AS236" s="1093" t="str">
        <f t="shared" si="61"/>
        <v xml:space="preserve"> </v>
      </c>
      <c r="AT236" s="1156">
        <v>1.4</v>
      </c>
      <c r="AU236" s="449"/>
      <c r="AV236" s="1205"/>
    </row>
    <row r="237" spans="1:48" ht="16.5" customHeight="1">
      <c r="A237" s="1005">
        <f t="shared" si="51"/>
        <v>46273</v>
      </c>
      <c r="B237" s="1005">
        <f t="shared" si="52"/>
        <v>46273</v>
      </c>
      <c r="C237" s="1150">
        <f t="shared" si="53"/>
        <v>25</v>
      </c>
      <c r="D237" s="1150">
        <f t="shared" si="54"/>
        <v>226</v>
      </c>
      <c r="E237" s="1006" t="str">
        <f t="shared" si="55"/>
        <v>A</v>
      </c>
      <c r="F237" s="1007" t="str">
        <f t="shared" si="56"/>
        <v>B</v>
      </c>
      <c r="G237" s="1008">
        <f t="shared" si="57"/>
        <v>85439</v>
      </c>
      <c r="H237" s="1138">
        <f t="shared" si="58"/>
        <v>4.3055555555555555E-2</v>
      </c>
      <c r="I237" s="1009">
        <v>4.5138888888888888E-2</v>
      </c>
      <c r="J237" s="1010">
        <f t="shared" si="59"/>
        <v>51</v>
      </c>
      <c r="K237" s="1011"/>
      <c r="L237" s="1012">
        <v>5</v>
      </c>
      <c r="M237" s="1013"/>
      <c r="N237" s="1014" t="str">
        <f t="shared" si="60"/>
        <v/>
      </c>
      <c r="O237" s="1338" t="s">
        <v>725</v>
      </c>
      <c r="P237" s="1324"/>
      <c r="Q237" s="1324"/>
      <c r="R237" s="1324"/>
      <c r="S237" s="1324"/>
      <c r="T237" s="1325"/>
      <c r="U237" s="1015">
        <v>1.8</v>
      </c>
      <c r="V237" s="1015"/>
      <c r="W237" s="1015"/>
      <c r="X237" s="1015"/>
      <c r="Y237" s="1015">
        <v>3.2</v>
      </c>
      <c r="Z237" s="1016">
        <f>'09월 에너지'!S239</f>
        <v>144.6</v>
      </c>
      <c r="AA237" s="1017"/>
      <c r="AB237" s="1208"/>
      <c r="AC237" s="1208"/>
      <c r="AD237" s="1208"/>
      <c r="AE237" s="1208"/>
      <c r="AF237" s="1208"/>
      <c r="AG237" s="1018">
        <f>'09월 화학성분'!AM237</f>
        <v>919</v>
      </c>
      <c r="AH237" s="1006">
        <f t="shared" si="49"/>
        <v>28</v>
      </c>
      <c r="AI237" s="1019">
        <v>1545</v>
      </c>
      <c r="AJ237" s="1020">
        <v>0</v>
      </c>
      <c r="AK237" s="1021">
        <v>487</v>
      </c>
      <c r="AL237" s="1022">
        <v>9</v>
      </c>
      <c r="AM237" s="1155">
        <f>IF(AT237="","",3*'09월 에너지'!S239*(1/(3+7.8*(100-AT237)/AT237)))</f>
        <v>1.5269868585732165</v>
      </c>
      <c r="AN237" s="1023">
        <v>0.12916666666666668</v>
      </c>
      <c r="AO237" s="1024"/>
      <c r="AP237" s="1025"/>
      <c r="AQ237" s="1025"/>
      <c r="AR237" s="1149" t="str">
        <f t="shared" si="50"/>
        <v/>
      </c>
      <c r="AS237" s="1093">
        <f t="shared" si="61"/>
        <v>3</v>
      </c>
      <c r="AT237" s="1156">
        <v>2.7</v>
      </c>
      <c r="AU237" s="449"/>
      <c r="AV237" s="1205"/>
    </row>
    <row r="238" spans="1:48" ht="16.5" customHeight="1">
      <c r="A238" s="1005">
        <f t="shared" si="51"/>
        <v>46273</v>
      </c>
      <c r="B238" s="1005">
        <f t="shared" si="52"/>
        <v>46273</v>
      </c>
      <c r="C238" s="1150">
        <f t="shared" si="53"/>
        <v>26</v>
      </c>
      <c r="D238" s="1150">
        <f t="shared" si="54"/>
        <v>227</v>
      </c>
      <c r="E238" s="1006" t="str">
        <f t="shared" si="55"/>
        <v>A</v>
      </c>
      <c r="F238" s="1007" t="str">
        <f t="shared" si="56"/>
        <v>A</v>
      </c>
      <c r="G238" s="1008">
        <f t="shared" si="57"/>
        <v>85440</v>
      </c>
      <c r="H238" s="1138">
        <f t="shared" si="58"/>
        <v>7.8472222222222221E-2</v>
      </c>
      <c r="I238" s="1009">
        <v>7.3611111111111113E-2</v>
      </c>
      <c r="J238" s="1010">
        <f t="shared" si="59"/>
        <v>41.000000000000007</v>
      </c>
      <c r="K238" s="1011"/>
      <c r="L238" s="1012"/>
      <c r="M238" s="1013"/>
      <c r="N238" s="1014" t="str">
        <f t="shared" si="60"/>
        <v/>
      </c>
      <c r="O238" s="1323"/>
      <c r="P238" s="1324"/>
      <c r="Q238" s="1324"/>
      <c r="R238" s="1324"/>
      <c r="S238" s="1324"/>
      <c r="T238" s="1325"/>
      <c r="U238" s="1015">
        <v>1.8</v>
      </c>
      <c r="V238" s="1015">
        <v>2.7</v>
      </c>
      <c r="W238" s="1015">
        <v>1.6</v>
      </c>
      <c r="X238" s="1015"/>
      <c r="Y238" s="1015"/>
      <c r="Z238" s="1016">
        <f>'09월 에너지'!S240</f>
        <v>143.69999999999999</v>
      </c>
      <c r="AA238" s="1017"/>
      <c r="AB238" s="1208"/>
      <c r="AC238" s="1208"/>
      <c r="AD238" s="1208"/>
      <c r="AE238" s="1208"/>
      <c r="AF238" s="1208"/>
      <c r="AG238" s="1018">
        <f>'09월 화학성분'!AM238</f>
        <v>2567</v>
      </c>
      <c r="AH238" s="1006">
        <f t="shared" si="49"/>
        <v>29</v>
      </c>
      <c r="AI238" s="1019">
        <v>1561</v>
      </c>
      <c r="AJ238" s="1020">
        <v>0</v>
      </c>
      <c r="AK238" s="1021">
        <v>467</v>
      </c>
      <c r="AL238" s="1022">
        <v>9</v>
      </c>
      <c r="AM238" s="1155">
        <f>IF(AT238="","",3*'09월 에너지'!S240*(1/(3+7.8*(100-AT238)/AT238)))</f>
        <v>0.50019337871287128</v>
      </c>
      <c r="AN238" s="1023">
        <v>0.14305555555555557</v>
      </c>
      <c r="AO238" s="1024"/>
      <c r="AP238" s="1025"/>
      <c r="AQ238" s="1025"/>
      <c r="AR238" s="1149">
        <f t="shared" si="50"/>
        <v>2</v>
      </c>
      <c r="AS238" s="1093" t="str">
        <f t="shared" si="61"/>
        <v xml:space="preserve"> </v>
      </c>
      <c r="AT238" s="1156">
        <v>0.9</v>
      </c>
      <c r="AU238" s="449"/>
      <c r="AV238" s="1205"/>
    </row>
    <row r="239" spans="1:48" ht="16.5" customHeight="1">
      <c r="A239" s="1005">
        <f t="shared" si="51"/>
        <v>46273</v>
      </c>
      <c r="B239" s="1005">
        <f t="shared" si="52"/>
        <v>46273</v>
      </c>
      <c r="C239" s="1150">
        <f t="shared" si="53"/>
        <v>27</v>
      </c>
      <c r="D239" s="1150">
        <f t="shared" si="54"/>
        <v>228</v>
      </c>
      <c r="E239" s="1006" t="str">
        <f t="shared" si="55"/>
        <v>A</v>
      </c>
      <c r="F239" s="1007" t="str">
        <f t="shared" si="56"/>
        <v>B</v>
      </c>
      <c r="G239" s="1008">
        <f t="shared" si="57"/>
        <v>85441</v>
      </c>
      <c r="H239" s="1138">
        <f t="shared" si="58"/>
        <v>0.10694444444444445</v>
      </c>
      <c r="I239" s="1009">
        <v>0.11319444444444444</v>
      </c>
      <c r="J239" s="1010">
        <f t="shared" si="59"/>
        <v>57</v>
      </c>
      <c r="K239" s="1011">
        <v>11</v>
      </c>
      <c r="L239" s="1012"/>
      <c r="M239" s="1013">
        <v>8.6805555555555566E-2</v>
      </c>
      <c r="N239" s="1014">
        <f t="shared" si="60"/>
        <v>9.4444444444444456E-2</v>
      </c>
      <c r="O239" s="1338" t="s">
        <v>726</v>
      </c>
      <c r="P239" s="1339"/>
      <c r="Q239" s="1339"/>
      <c r="R239" s="1339"/>
      <c r="S239" s="1339"/>
      <c r="T239" s="1340"/>
      <c r="U239" s="1015">
        <v>1.8</v>
      </c>
      <c r="V239" s="1015"/>
      <c r="W239" s="1015"/>
      <c r="X239" s="1015"/>
      <c r="Y239" s="1015">
        <v>2.7</v>
      </c>
      <c r="Z239" s="1016">
        <f>'09월 에너지'!S241</f>
        <v>147</v>
      </c>
      <c r="AA239" s="1017"/>
      <c r="AB239" s="1208"/>
      <c r="AC239" s="1208"/>
      <c r="AD239" s="1208"/>
      <c r="AE239" s="1208"/>
      <c r="AF239" s="1208"/>
      <c r="AG239" s="1018">
        <f>'09월 화학성분'!AM239</f>
        <v>1095</v>
      </c>
      <c r="AH239" s="1006">
        <f t="shared" si="49"/>
        <v>30</v>
      </c>
      <c r="AI239" s="1019">
        <v>1533</v>
      </c>
      <c r="AJ239" s="1020">
        <v>0</v>
      </c>
      <c r="AK239" s="1021">
        <v>491</v>
      </c>
      <c r="AL239" s="1022">
        <v>8</v>
      </c>
      <c r="AM239" s="1155">
        <f>IF(AT239="","",3*'09월 에너지'!S241*(1/(3+7.8*(100-AT239)/AT239)))</f>
        <v>1.6108328115216028</v>
      </c>
      <c r="AN239" s="1023">
        <v>0.15138888888888888</v>
      </c>
      <c r="AO239" s="1024"/>
      <c r="AP239" s="1025"/>
      <c r="AQ239" s="1025"/>
      <c r="AR239" s="1149" t="str">
        <f t="shared" si="50"/>
        <v/>
      </c>
      <c r="AS239" s="1093">
        <f t="shared" si="61"/>
        <v>4</v>
      </c>
      <c r="AT239" s="1156">
        <v>2.8</v>
      </c>
      <c r="AU239" s="449"/>
      <c r="AV239" s="1205"/>
    </row>
    <row r="240" spans="1:48" ht="16.5" customHeight="1">
      <c r="A240" s="1005">
        <f t="shared" si="51"/>
        <v>46273</v>
      </c>
      <c r="B240" s="1005">
        <f t="shared" si="52"/>
        <v>46273</v>
      </c>
      <c r="C240" s="1150">
        <f t="shared" si="53"/>
        <v>28</v>
      </c>
      <c r="D240" s="1150">
        <f t="shared" si="54"/>
        <v>229</v>
      </c>
      <c r="E240" s="1006" t="str">
        <f t="shared" si="55"/>
        <v>A</v>
      </c>
      <c r="F240" s="1007" t="str">
        <f t="shared" si="56"/>
        <v>A</v>
      </c>
      <c r="G240" s="1008">
        <f t="shared" si="57"/>
        <v>85442</v>
      </c>
      <c r="H240" s="1138">
        <f t="shared" si="58"/>
        <v>0.14652777777777778</v>
      </c>
      <c r="I240" s="1009">
        <v>0.14166666666666666</v>
      </c>
      <c r="J240" s="1010">
        <f t="shared" si="59"/>
        <v>40.999999999999993</v>
      </c>
      <c r="K240" s="1011"/>
      <c r="L240" s="1012">
        <v>1</v>
      </c>
      <c r="M240" s="1013"/>
      <c r="N240" s="1014" t="str">
        <f t="shared" si="60"/>
        <v/>
      </c>
      <c r="O240" s="1323" t="s">
        <v>727</v>
      </c>
      <c r="P240" s="1324"/>
      <c r="Q240" s="1324"/>
      <c r="R240" s="1324"/>
      <c r="S240" s="1324"/>
      <c r="T240" s="1325"/>
      <c r="U240" s="1015">
        <v>1.8</v>
      </c>
      <c r="V240" s="1015"/>
      <c r="W240" s="1015"/>
      <c r="X240" s="1015"/>
      <c r="Y240" s="1015">
        <v>2.8</v>
      </c>
      <c r="Z240" s="1016">
        <f>'09월 에너지'!S242</f>
        <v>149.30000000000001</v>
      </c>
      <c r="AA240" s="1017"/>
      <c r="AB240" s="1208"/>
      <c r="AC240" s="1208"/>
      <c r="AD240" s="1208"/>
      <c r="AE240" s="1208"/>
      <c r="AF240" s="1208"/>
      <c r="AG240" s="1018">
        <f>'09월 화학성분'!AM240</f>
        <v>1953</v>
      </c>
      <c r="AH240" s="1006">
        <f t="shared" si="49"/>
        <v>31</v>
      </c>
      <c r="AI240" s="1019">
        <v>1580</v>
      </c>
      <c r="AJ240" s="1020">
        <v>61</v>
      </c>
      <c r="AK240" s="1021">
        <v>620</v>
      </c>
      <c r="AL240" s="1022">
        <v>6</v>
      </c>
      <c r="AM240" s="1155">
        <f>IF(AT240="","",3*'09월 에너지'!S242*(1/(3+7.8*(100-AT240)/AT240)))</f>
        <v>0.75252016129032251</v>
      </c>
      <c r="AN240" s="1023">
        <v>0.1451388888888889</v>
      </c>
      <c r="AO240" s="1024"/>
      <c r="AP240" s="1025"/>
      <c r="AQ240" s="1025"/>
      <c r="AR240" s="1149">
        <f t="shared" si="50"/>
        <v>3</v>
      </c>
      <c r="AS240" s="1093" t="str">
        <f t="shared" si="61"/>
        <v xml:space="preserve"> </v>
      </c>
      <c r="AT240" s="1156">
        <v>1.3</v>
      </c>
      <c r="AU240" s="449"/>
      <c r="AV240" s="1205"/>
    </row>
    <row r="241" spans="1:48" ht="16.5" customHeight="1">
      <c r="A241" s="1005">
        <v>46274</v>
      </c>
      <c r="B241" s="1005">
        <f t="shared" si="52"/>
        <v>46273</v>
      </c>
      <c r="C241" s="1150">
        <f t="shared" si="53"/>
        <v>1</v>
      </c>
      <c r="D241" s="1150">
        <f t="shared" si="54"/>
        <v>230</v>
      </c>
      <c r="E241" s="1006" t="str">
        <f t="shared" si="55"/>
        <v>A</v>
      </c>
      <c r="F241" s="1007" t="str">
        <f t="shared" si="56"/>
        <v>B</v>
      </c>
      <c r="G241" s="1008">
        <f t="shared" si="57"/>
        <v>85443</v>
      </c>
      <c r="H241" s="1138">
        <f t="shared" si="58"/>
        <v>0.17499999999999999</v>
      </c>
      <c r="I241" s="1009">
        <v>0.17222222222222225</v>
      </c>
      <c r="J241" s="1010">
        <f t="shared" si="59"/>
        <v>44.000000000000043</v>
      </c>
      <c r="K241" s="1011"/>
      <c r="L241" s="1012"/>
      <c r="M241" s="1013"/>
      <c r="N241" s="1014" t="str">
        <f t="shared" si="60"/>
        <v/>
      </c>
      <c r="O241" s="1323"/>
      <c r="P241" s="1324"/>
      <c r="Q241" s="1324"/>
      <c r="R241" s="1324"/>
      <c r="S241" s="1324"/>
      <c r="T241" s="1325"/>
      <c r="U241" s="1015">
        <v>1.8</v>
      </c>
      <c r="V241" s="1015"/>
      <c r="W241" s="1015"/>
      <c r="X241" s="1015"/>
      <c r="Y241" s="1015">
        <v>2.7</v>
      </c>
      <c r="Z241" s="1016">
        <f>'09월 에너지'!S243</f>
        <v>148.4</v>
      </c>
      <c r="AA241" s="1017"/>
      <c r="AB241" s="1208"/>
      <c r="AC241" s="1208"/>
      <c r="AD241" s="1208"/>
      <c r="AE241" s="1208"/>
      <c r="AF241" s="1208"/>
      <c r="AG241" s="1018">
        <f>'09월 화학성분'!AM241</f>
        <v>1402</v>
      </c>
      <c r="AH241" s="1006">
        <f t="shared" si="49"/>
        <v>32</v>
      </c>
      <c r="AI241" s="1019">
        <v>1543</v>
      </c>
      <c r="AJ241" s="1020">
        <v>0</v>
      </c>
      <c r="AK241" s="1021">
        <v>331</v>
      </c>
      <c r="AL241" s="1022">
        <v>14</v>
      </c>
      <c r="AM241" s="1155">
        <f>IF(AT241="","",3*'09월 에너지'!S243*(1/(3+7.8*(100-AT241)/AT241)))</f>
        <v>0.98056592039801005</v>
      </c>
      <c r="AN241" s="1023">
        <v>0.14722222222222223</v>
      </c>
      <c r="AO241" s="1024"/>
      <c r="AP241" s="1025"/>
      <c r="AQ241" s="1025"/>
      <c r="AR241" s="1149" t="str">
        <f t="shared" si="50"/>
        <v/>
      </c>
      <c r="AS241" s="1093">
        <f t="shared" si="61"/>
        <v>5</v>
      </c>
      <c r="AT241" s="1156">
        <v>1.7</v>
      </c>
      <c r="AU241" s="449"/>
      <c r="AV241" s="1205"/>
    </row>
    <row r="242" spans="1:48" ht="16.5" customHeight="1">
      <c r="A242" s="1005">
        <f t="shared" si="51"/>
        <v>46274</v>
      </c>
      <c r="B242" s="1005">
        <f t="shared" si="52"/>
        <v>46273</v>
      </c>
      <c r="C242" s="1150">
        <f t="shared" si="53"/>
        <v>2</v>
      </c>
      <c r="D242" s="1150">
        <f t="shared" si="54"/>
        <v>231</v>
      </c>
      <c r="E242" s="1006" t="str">
        <f t="shared" si="55"/>
        <v>A</v>
      </c>
      <c r="F242" s="1007" t="str">
        <f t="shared" si="56"/>
        <v>A</v>
      </c>
      <c r="G242" s="1008">
        <f t="shared" si="57"/>
        <v>85444</v>
      </c>
      <c r="H242" s="1138">
        <f t="shared" si="58"/>
        <v>0.20555555555555557</v>
      </c>
      <c r="I242" s="1009">
        <v>0.20208333333333331</v>
      </c>
      <c r="J242" s="1010">
        <f t="shared" si="59"/>
        <v>42.999999999999929</v>
      </c>
      <c r="K242" s="1011"/>
      <c r="L242" s="1012"/>
      <c r="M242" s="1013"/>
      <c r="N242" s="1014" t="str">
        <f t="shared" si="60"/>
        <v/>
      </c>
      <c r="O242" s="1323"/>
      <c r="P242" s="1324"/>
      <c r="Q242" s="1324"/>
      <c r="R242" s="1324"/>
      <c r="S242" s="1324"/>
      <c r="T242" s="1325"/>
      <c r="U242" s="1015">
        <v>1.8</v>
      </c>
      <c r="V242" s="1015"/>
      <c r="W242" s="1015"/>
      <c r="X242" s="1015">
        <v>3.2</v>
      </c>
      <c r="Y242" s="1015"/>
      <c r="Z242" s="1016">
        <f>'09월 에너지'!S244</f>
        <v>150.5</v>
      </c>
      <c r="AA242" s="1017"/>
      <c r="AB242" s="1208"/>
      <c r="AC242" s="1208"/>
      <c r="AD242" s="1208"/>
      <c r="AE242" s="1208"/>
      <c r="AF242" s="1208"/>
      <c r="AG242" s="1018">
        <f>'09월 화학성분'!AM242</f>
        <v>1823</v>
      </c>
      <c r="AH242" s="1006">
        <f t="shared" si="49"/>
        <v>33</v>
      </c>
      <c r="AI242" s="1019">
        <v>1568</v>
      </c>
      <c r="AJ242" s="1020">
        <v>122</v>
      </c>
      <c r="AK242" s="1021">
        <v>411</v>
      </c>
      <c r="AL242" s="1022">
        <v>10</v>
      </c>
      <c r="AM242" s="1155">
        <f>IF(AT242="","",3*'09월 에너지'!S244*(1/(3+7.8*(100-AT242)/AT242)))</f>
        <v>2.0705581761006289</v>
      </c>
      <c r="AN242" s="1023">
        <v>0.14930555555555555</v>
      </c>
      <c r="AO242" s="1024"/>
      <c r="AP242" s="1025"/>
      <c r="AQ242" s="1025"/>
      <c r="AR242" s="1149">
        <f t="shared" si="50"/>
        <v>4</v>
      </c>
      <c r="AS242" s="1093" t="str">
        <f t="shared" si="61"/>
        <v xml:space="preserve"> </v>
      </c>
      <c r="AT242" s="1156">
        <v>3.5</v>
      </c>
      <c r="AU242" s="449"/>
      <c r="AV242" s="1205"/>
    </row>
    <row r="243" spans="1:48" ht="16.5" customHeight="1">
      <c r="A243" s="1005">
        <f t="shared" si="51"/>
        <v>46274</v>
      </c>
      <c r="B243" s="1005">
        <f t="shared" si="52"/>
        <v>46273</v>
      </c>
      <c r="C243" s="1150">
        <f t="shared" si="53"/>
        <v>3</v>
      </c>
      <c r="D243" s="1150">
        <f t="shared" si="54"/>
        <v>232</v>
      </c>
      <c r="E243" s="1006" t="str">
        <f t="shared" si="55"/>
        <v>A</v>
      </c>
      <c r="F243" s="1007" t="str">
        <f t="shared" si="56"/>
        <v>B</v>
      </c>
      <c r="G243" s="1008">
        <f t="shared" si="57"/>
        <v>85445</v>
      </c>
      <c r="H243" s="1138">
        <f t="shared" si="58"/>
        <v>0.23541666666666664</v>
      </c>
      <c r="I243" s="1009">
        <v>0.23472222222222219</v>
      </c>
      <c r="J243" s="1010">
        <f t="shared" si="59"/>
        <v>46.999999999999993</v>
      </c>
      <c r="K243" s="1011"/>
      <c r="L243" s="1012">
        <v>2</v>
      </c>
      <c r="M243" s="1013"/>
      <c r="N243" s="1014" t="str">
        <f t="shared" si="60"/>
        <v/>
      </c>
      <c r="O243" s="1323" t="s">
        <v>728</v>
      </c>
      <c r="P243" s="1324"/>
      <c r="Q243" s="1324"/>
      <c r="R243" s="1324"/>
      <c r="S243" s="1324"/>
      <c r="T243" s="1325"/>
      <c r="U243" s="1015">
        <v>1.8</v>
      </c>
      <c r="V243" s="1015"/>
      <c r="W243" s="1015"/>
      <c r="X243" s="1015"/>
      <c r="Y243" s="1015">
        <v>2.8</v>
      </c>
      <c r="Z243" s="1016">
        <f>'09월 에너지'!S245</f>
        <v>149.30000000000001</v>
      </c>
      <c r="AA243" s="1017"/>
      <c r="AB243" s="1208"/>
      <c r="AC243" s="1208"/>
      <c r="AD243" s="1208"/>
      <c r="AE243" s="1208"/>
      <c r="AF243" s="1208"/>
      <c r="AG243" s="1018">
        <f>'09월 화학성분'!AM243</f>
        <v>2102</v>
      </c>
      <c r="AH243" s="1006">
        <f t="shared" si="49"/>
        <v>34</v>
      </c>
      <c r="AI243" s="1019">
        <v>1533</v>
      </c>
      <c r="AJ243" s="1020">
        <v>0</v>
      </c>
      <c r="AK243" s="1021">
        <v>333</v>
      </c>
      <c r="AL243" s="1022">
        <v>14</v>
      </c>
      <c r="AM243" s="1155">
        <f>IF(AT243="","",3*'09월 에너지'!S245*(1/(3+7.8*(100-AT243)/AT243)))</f>
        <v>1.2806456643792892</v>
      </c>
      <c r="AN243" s="1023">
        <v>0.13055555555555556</v>
      </c>
      <c r="AO243" s="1024"/>
      <c r="AP243" s="1025"/>
      <c r="AQ243" s="1025"/>
      <c r="AR243" s="1149" t="str">
        <f t="shared" si="50"/>
        <v/>
      </c>
      <c r="AS243" s="1093">
        <f t="shared" si="61"/>
        <v>6</v>
      </c>
      <c r="AT243" s="1156">
        <v>2.2000000000000002</v>
      </c>
      <c r="AU243" s="449"/>
      <c r="AV243" s="1205"/>
    </row>
    <row r="244" spans="1:48" ht="16.5" customHeight="1">
      <c r="A244" s="1005">
        <f t="shared" si="51"/>
        <v>46274</v>
      </c>
      <c r="B244" s="1005">
        <f t="shared" si="52"/>
        <v>46273</v>
      </c>
      <c r="C244" s="1150">
        <f t="shared" si="53"/>
        <v>4</v>
      </c>
      <c r="D244" s="1150">
        <f t="shared" si="54"/>
        <v>233</v>
      </c>
      <c r="E244" s="1006" t="str">
        <f t="shared" si="55"/>
        <v>A</v>
      </c>
      <c r="F244" s="1007" t="str">
        <f t="shared" si="56"/>
        <v>A</v>
      </c>
      <c r="G244" s="1008">
        <f t="shared" si="57"/>
        <v>85446</v>
      </c>
      <c r="H244" s="1138">
        <f t="shared" si="58"/>
        <v>0.26805555555555555</v>
      </c>
      <c r="I244" s="1009">
        <v>0.26319444444444445</v>
      </c>
      <c r="J244" s="1010">
        <f t="shared" si="59"/>
        <v>41.000000000000057</v>
      </c>
      <c r="K244" s="1011"/>
      <c r="L244" s="1012"/>
      <c r="M244" s="1013"/>
      <c r="N244" s="1014" t="str">
        <f t="shared" si="60"/>
        <v/>
      </c>
      <c r="O244" s="1323"/>
      <c r="P244" s="1324"/>
      <c r="Q244" s="1324"/>
      <c r="R244" s="1324"/>
      <c r="S244" s="1324"/>
      <c r="T244" s="1325"/>
      <c r="U244" s="1015">
        <v>1.8</v>
      </c>
      <c r="V244" s="1015"/>
      <c r="W244" s="1015"/>
      <c r="X244" s="1015"/>
      <c r="Y244" s="1015">
        <v>2.5</v>
      </c>
      <c r="Z244" s="1016">
        <f>'09월 에너지'!S246</f>
        <v>144.6</v>
      </c>
      <c r="AA244" s="1017"/>
      <c r="AB244" s="1208"/>
      <c r="AC244" s="1208"/>
      <c r="AD244" s="1208"/>
      <c r="AE244" s="1208"/>
      <c r="AF244" s="1208"/>
      <c r="AG244" s="1018">
        <f>'09월 화학성분'!AM244</f>
        <v>1786</v>
      </c>
      <c r="AH244" s="1006">
        <f t="shared" si="49"/>
        <v>35</v>
      </c>
      <c r="AI244" s="1019">
        <v>1563</v>
      </c>
      <c r="AJ244" s="1020">
        <v>0</v>
      </c>
      <c r="AK244" s="1021">
        <v>387</v>
      </c>
      <c r="AL244" s="1022">
        <v>11</v>
      </c>
      <c r="AM244" s="1155">
        <f>IF(AT244="","",3*'09월 에너지'!S246*(1/(3+7.8*(100-AT244)/AT244)))</f>
        <v>1.0691936488169365</v>
      </c>
      <c r="AN244" s="1023">
        <v>0.14097222222222222</v>
      </c>
      <c r="AO244" s="1024"/>
      <c r="AP244" s="1025"/>
      <c r="AQ244" s="1025"/>
      <c r="AR244" s="1149">
        <f t="shared" si="50"/>
        <v>5</v>
      </c>
      <c r="AS244" s="1093" t="str">
        <f t="shared" si="61"/>
        <v xml:space="preserve"> </v>
      </c>
      <c r="AT244" s="1156">
        <v>1.9</v>
      </c>
      <c r="AU244" s="449"/>
      <c r="AV244" s="1205"/>
    </row>
    <row r="245" spans="1:48" ht="16.5" customHeight="1">
      <c r="A245" s="1005">
        <f t="shared" si="51"/>
        <v>46274</v>
      </c>
      <c r="B245" s="1005">
        <v>46274</v>
      </c>
      <c r="C245" s="1150">
        <f t="shared" si="53"/>
        <v>5</v>
      </c>
      <c r="D245" s="1150">
        <f t="shared" si="54"/>
        <v>234</v>
      </c>
      <c r="E245" s="1006" t="s">
        <v>729</v>
      </c>
      <c r="F245" s="1007" t="str">
        <f t="shared" si="56"/>
        <v>B</v>
      </c>
      <c r="G245" s="1008">
        <f t="shared" si="57"/>
        <v>85447</v>
      </c>
      <c r="H245" s="1138">
        <f t="shared" si="58"/>
        <v>0.29652777777777778</v>
      </c>
      <c r="I245" s="1009">
        <v>0.29583333333333334</v>
      </c>
      <c r="J245" s="1010">
        <f t="shared" si="59"/>
        <v>46.999999999999993</v>
      </c>
      <c r="K245" s="1011"/>
      <c r="L245" s="1012"/>
      <c r="M245" s="1013"/>
      <c r="N245" s="1014" t="str">
        <f t="shared" si="60"/>
        <v/>
      </c>
      <c r="O245" s="1323"/>
      <c r="P245" s="1324"/>
      <c r="Q245" s="1324"/>
      <c r="R245" s="1324"/>
      <c r="S245" s="1324"/>
      <c r="T245" s="1325"/>
      <c r="U245" s="1015">
        <v>1.8</v>
      </c>
      <c r="V245" s="1015"/>
      <c r="W245" s="1015"/>
      <c r="X245" s="1015"/>
      <c r="Y245" s="1015" t="s">
        <v>552</v>
      </c>
      <c r="Z245" s="1016">
        <f>'09월 에너지'!S247</f>
        <v>145</v>
      </c>
      <c r="AA245" s="1017"/>
      <c r="AB245" s="1208"/>
      <c r="AC245" s="1208"/>
      <c r="AD245" s="1208"/>
      <c r="AE245" s="1208"/>
      <c r="AF245" s="1208"/>
      <c r="AG245" s="1018">
        <f>'09월 화학성분'!AM245</f>
        <v>1334</v>
      </c>
      <c r="AH245" s="1006">
        <f t="shared" si="49"/>
        <v>36</v>
      </c>
      <c r="AI245" s="1019">
        <v>1538</v>
      </c>
      <c r="AJ245" s="1020">
        <v>0</v>
      </c>
      <c r="AK245" s="1021">
        <v>665</v>
      </c>
      <c r="AL245" s="1022">
        <v>6</v>
      </c>
      <c r="AM245" s="1155">
        <f>IF(AT245="","",3*'09월 에너지'!S247*(1/(3+7.8*(100-AT245)/AT245)))</f>
        <v>1.5889167188478395</v>
      </c>
      <c r="AN245" s="1023">
        <v>0.12083333333333333</v>
      </c>
      <c r="AO245" s="1024"/>
      <c r="AP245" s="1025"/>
      <c r="AQ245" s="1025"/>
      <c r="AR245" s="1149" t="str">
        <f t="shared" si="50"/>
        <v/>
      </c>
      <c r="AS245" s="1093">
        <f t="shared" si="61"/>
        <v>7</v>
      </c>
      <c r="AT245" s="1156">
        <v>2.8</v>
      </c>
      <c r="AU245" s="449"/>
      <c r="AV245" s="1205"/>
    </row>
    <row r="246" spans="1:48" ht="16.5" customHeight="1">
      <c r="A246" s="1005">
        <f t="shared" si="51"/>
        <v>46274</v>
      </c>
      <c r="B246" s="1005">
        <f t="shared" si="52"/>
        <v>46274</v>
      </c>
      <c r="C246" s="1150">
        <f t="shared" si="53"/>
        <v>6</v>
      </c>
      <c r="D246" s="1150">
        <f t="shared" si="54"/>
        <v>235</v>
      </c>
      <c r="E246" s="1006" t="str">
        <f t="shared" si="55"/>
        <v>C</v>
      </c>
      <c r="F246" s="1007" t="str">
        <f t="shared" si="56"/>
        <v>A</v>
      </c>
      <c r="G246" s="1008">
        <f t="shared" si="57"/>
        <v>85448</v>
      </c>
      <c r="H246" s="1138">
        <f t="shared" si="58"/>
        <v>0.32916666666666666</v>
      </c>
      <c r="I246" s="1009">
        <v>0.32708333333333334</v>
      </c>
      <c r="J246" s="1010">
        <f t="shared" si="59"/>
        <v>45</v>
      </c>
      <c r="K246" s="1011"/>
      <c r="L246" s="1012"/>
      <c r="M246" s="1013"/>
      <c r="N246" s="1014" t="str">
        <f t="shared" si="60"/>
        <v/>
      </c>
      <c r="O246" s="1323"/>
      <c r="P246" s="1324"/>
      <c r="Q246" s="1324"/>
      <c r="R246" s="1324"/>
      <c r="S246" s="1324"/>
      <c r="T246" s="1325"/>
      <c r="U246" s="1015">
        <v>1.8</v>
      </c>
      <c r="V246" s="1015"/>
      <c r="W246" s="1015"/>
      <c r="X246" s="1015"/>
      <c r="Y246" s="1015">
        <v>2.7</v>
      </c>
      <c r="Z246" s="1016">
        <f>'09월 에너지'!S248</f>
        <v>145.1</v>
      </c>
      <c r="AA246" s="1017"/>
      <c r="AB246" s="1208"/>
      <c r="AC246" s="1208"/>
      <c r="AD246" s="1208"/>
      <c r="AE246" s="1208"/>
      <c r="AF246" s="1208"/>
      <c r="AG246" s="1018">
        <f>'09월 화학성분'!AM246</f>
        <v>1393</v>
      </c>
      <c r="AH246" s="1006">
        <f t="shared" si="49"/>
        <v>37</v>
      </c>
      <c r="AI246" s="1019">
        <v>1589</v>
      </c>
      <c r="AJ246" s="1020">
        <v>0</v>
      </c>
      <c r="AK246" s="1021">
        <v>719</v>
      </c>
      <c r="AL246" s="1022">
        <v>5</v>
      </c>
      <c r="AM246" s="1155">
        <f>IF(AT246="","",3*'09월 에너지'!S248*(1/(3+7.8*(100-AT246)/AT246)))</f>
        <v>0.78809745499689621</v>
      </c>
      <c r="AN246" s="1023">
        <v>0.12291666666666667</v>
      </c>
      <c r="AO246" s="1024"/>
      <c r="AP246" s="1025"/>
      <c r="AQ246" s="1025"/>
      <c r="AR246" s="1149">
        <f t="shared" si="50"/>
        <v>6</v>
      </c>
      <c r="AS246" s="1093" t="str">
        <f t="shared" si="61"/>
        <v xml:space="preserve"> </v>
      </c>
      <c r="AT246" s="1156">
        <v>1.4</v>
      </c>
      <c r="AU246" s="449"/>
      <c r="AV246" s="1205"/>
    </row>
    <row r="247" spans="1:48" ht="16.5" customHeight="1">
      <c r="A247" s="1005">
        <f t="shared" si="51"/>
        <v>46274</v>
      </c>
      <c r="B247" s="1005">
        <f t="shared" si="52"/>
        <v>46274</v>
      </c>
      <c r="C247" s="1150">
        <f t="shared" si="53"/>
        <v>7</v>
      </c>
      <c r="D247" s="1150">
        <f t="shared" si="54"/>
        <v>236</v>
      </c>
      <c r="E247" s="1006" t="str">
        <f t="shared" si="55"/>
        <v>C</v>
      </c>
      <c r="F247" s="1007" t="str">
        <f t="shared" si="56"/>
        <v>B</v>
      </c>
      <c r="G247" s="1008">
        <f t="shared" si="57"/>
        <v>85449</v>
      </c>
      <c r="H247" s="1138">
        <f t="shared" si="58"/>
        <v>0.36041666666666666</v>
      </c>
      <c r="I247" s="1009">
        <v>0.36041666666666666</v>
      </c>
      <c r="J247" s="1010">
        <f t="shared" si="59"/>
        <v>47.999999999999986</v>
      </c>
      <c r="K247" s="1011"/>
      <c r="L247" s="1012">
        <v>3</v>
      </c>
      <c r="M247" s="1013"/>
      <c r="N247" s="1014" t="str">
        <f t="shared" si="60"/>
        <v/>
      </c>
      <c r="O247" s="1323" t="s">
        <v>727</v>
      </c>
      <c r="P247" s="1324"/>
      <c r="Q247" s="1324"/>
      <c r="R247" s="1324"/>
      <c r="S247" s="1324"/>
      <c r="T247" s="1325"/>
      <c r="U247" s="1015">
        <v>1.8</v>
      </c>
      <c r="V247" s="1015"/>
      <c r="W247" s="1015"/>
      <c r="X247" s="1015"/>
      <c r="Y247" s="1015">
        <v>2.2999999999999998</v>
      </c>
      <c r="Z247" s="1016">
        <f>'09월 에너지'!S249</f>
        <v>145.69999999999999</v>
      </c>
      <c r="AA247" s="1017"/>
      <c r="AB247" s="1208"/>
      <c r="AC247" s="1208"/>
      <c r="AD247" s="1208"/>
      <c r="AE247" s="1208"/>
      <c r="AF247" s="1208"/>
      <c r="AG247" s="1018">
        <f>'09월 화학성분'!AM247</f>
        <v>1952</v>
      </c>
      <c r="AH247" s="1006">
        <f t="shared" si="49"/>
        <v>38</v>
      </c>
      <c r="AI247" s="1019">
        <v>1544</v>
      </c>
      <c r="AJ247" s="1020">
        <v>0</v>
      </c>
      <c r="AK247" s="1021">
        <v>707</v>
      </c>
      <c r="AL247" s="1022">
        <v>5</v>
      </c>
      <c r="AM247" s="1155">
        <f>IF(AT247="","",3*'09월 에너지'!S249*(1/(3+7.8*(100-AT247)/AT247)))</f>
        <v>2.2392418032786887</v>
      </c>
      <c r="AN247" s="1023">
        <v>0.11319444444444444</v>
      </c>
      <c r="AO247" s="1024"/>
      <c r="AP247" s="1025"/>
      <c r="AQ247" s="1025"/>
      <c r="AR247" s="1149" t="str">
        <f t="shared" si="50"/>
        <v/>
      </c>
      <c r="AS247" s="1093">
        <f t="shared" si="61"/>
        <v>8</v>
      </c>
      <c r="AT247" s="1156">
        <v>3.9</v>
      </c>
      <c r="AU247" s="449"/>
      <c r="AV247" s="1205"/>
    </row>
    <row r="248" spans="1:48" ht="16.5" customHeight="1">
      <c r="A248" s="1005">
        <f t="shared" si="51"/>
        <v>46274</v>
      </c>
      <c r="B248" s="1005">
        <f t="shared" si="52"/>
        <v>46274</v>
      </c>
      <c r="C248" s="1150">
        <f t="shared" si="53"/>
        <v>8</v>
      </c>
      <c r="D248" s="1150">
        <f t="shared" si="54"/>
        <v>237</v>
      </c>
      <c r="E248" s="1006" t="str">
        <f t="shared" si="55"/>
        <v>C</v>
      </c>
      <c r="F248" s="1007" t="str">
        <f t="shared" si="56"/>
        <v>A</v>
      </c>
      <c r="G248" s="1008">
        <f t="shared" si="57"/>
        <v>85450</v>
      </c>
      <c r="H248" s="1138">
        <f t="shared" si="58"/>
        <v>0.39374999999999999</v>
      </c>
      <c r="I248" s="1009">
        <v>0.39027777777777778</v>
      </c>
      <c r="J248" s="1010">
        <f t="shared" si="59"/>
        <v>43.000000000000007</v>
      </c>
      <c r="K248" s="1011"/>
      <c r="L248" s="1012"/>
      <c r="M248" s="1013"/>
      <c r="N248" s="1014" t="str">
        <f t="shared" si="60"/>
        <v/>
      </c>
      <c r="O248" s="1323"/>
      <c r="P248" s="1324"/>
      <c r="Q248" s="1324"/>
      <c r="R248" s="1324"/>
      <c r="S248" s="1324"/>
      <c r="T248" s="1325"/>
      <c r="U248" s="1015">
        <v>1.8</v>
      </c>
      <c r="V248" s="1015">
        <v>2.8</v>
      </c>
      <c r="W248" s="1015">
        <v>1.2</v>
      </c>
      <c r="X248" s="1015"/>
      <c r="Y248" s="1015"/>
      <c r="Z248" s="1016">
        <f>'09월 에너지'!S250</f>
        <v>140.80000000000001</v>
      </c>
      <c r="AA248" s="1017"/>
      <c r="AB248" s="1208"/>
      <c r="AC248" s="1208"/>
      <c r="AD248" s="1208"/>
      <c r="AE248" s="1208"/>
      <c r="AF248" s="1208"/>
      <c r="AG248" s="1018">
        <f>'09월 화학성분'!AM248</f>
        <v>1540</v>
      </c>
      <c r="AH248" s="1006">
        <f t="shared" si="49"/>
        <v>39</v>
      </c>
      <c r="AI248" s="1019">
        <v>1567</v>
      </c>
      <c r="AJ248" s="1020">
        <v>0</v>
      </c>
      <c r="AK248" s="1021">
        <v>763</v>
      </c>
      <c r="AL248" s="1022">
        <v>5</v>
      </c>
      <c r="AM248" s="1155">
        <f>IF(AT248="","",3*'09월 에너지'!S250*(1/(3+7.8*(100-AT248)/AT248)))</f>
        <v>1.8241206030150754</v>
      </c>
      <c r="AN248" s="1023">
        <v>0.1173611111111111</v>
      </c>
      <c r="AO248" s="1024"/>
      <c r="AP248" s="1025"/>
      <c r="AQ248" s="1025"/>
      <c r="AR248" s="1149">
        <f t="shared" si="50"/>
        <v>7</v>
      </c>
      <c r="AS248" s="1093" t="str">
        <f t="shared" si="61"/>
        <v xml:space="preserve"> </v>
      </c>
      <c r="AT248" s="1156">
        <v>3.3</v>
      </c>
      <c r="AU248" s="449"/>
      <c r="AV248" s="1205"/>
    </row>
    <row r="249" spans="1:48" ht="16.5" customHeight="1">
      <c r="A249" s="1005">
        <f t="shared" si="51"/>
        <v>46274</v>
      </c>
      <c r="B249" s="1005">
        <f t="shared" si="52"/>
        <v>46274</v>
      </c>
      <c r="C249" s="1150">
        <f t="shared" si="53"/>
        <v>9</v>
      </c>
      <c r="D249" s="1150">
        <f t="shared" si="54"/>
        <v>238</v>
      </c>
      <c r="E249" s="1006" t="str">
        <f t="shared" si="55"/>
        <v>C</v>
      </c>
      <c r="F249" s="1007" t="str">
        <f t="shared" si="56"/>
        <v>B</v>
      </c>
      <c r="G249" s="1008">
        <f t="shared" si="57"/>
        <v>85451</v>
      </c>
      <c r="H249" s="1138">
        <f t="shared" si="58"/>
        <v>0.4236111111111111</v>
      </c>
      <c r="I249" s="1009">
        <v>0.42291666666666666</v>
      </c>
      <c r="J249" s="1010">
        <f t="shared" si="59"/>
        <v>46.999999999999993</v>
      </c>
      <c r="K249" s="1011"/>
      <c r="L249" s="1012">
        <v>2</v>
      </c>
      <c r="M249" s="1013"/>
      <c r="N249" s="1014" t="str">
        <f t="shared" si="60"/>
        <v/>
      </c>
      <c r="O249" s="1323" t="s">
        <v>674</v>
      </c>
      <c r="P249" s="1324"/>
      <c r="Q249" s="1324"/>
      <c r="R249" s="1324"/>
      <c r="S249" s="1324"/>
      <c r="T249" s="1325"/>
      <c r="U249" s="1015">
        <v>1.8</v>
      </c>
      <c r="V249" s="1015"/>
      <c r="W249" s="1015"/>
      <c r="X249" s="1015"/>
      <c r="Y249" s="1015">
        <v>2.5</v>
      </c>
      <c r="Z249" s="1016">
        <f>'09월 에너지'!S251</f>
        <v>146.1</v>
      </c>
      <c r="AA249" s="1017"/>
      <c r="AB249" s="1208"/>
      <c r="AC249" s="1208"/>
      <c r="AD249" s="1208"/>
      <c r="AE249" s="1208"/>
      <c r="AF249" s="1208"/>
      <c r="AG249" s="1018">
        <f>'09월 화학성분'!AM249</f>
        <v>1468</v>
      </c>
      <c r="AH249" s="1006">
        <f t="shared" si="49"/>
        <v>40</v>
      </c>
      <c r="AI249" s="1019">
        <v>1544</v>
      </c>
      <c r="AJ249" s="1020">
        <v>0</v>
      </c>
      <c r="AK249" s="1021">
        <v>340</v>
      </c>
      <c r="AL249" s="1022">
        <v>13</v>
      </c>
      <c r="AM249" s="1155">
        <f>IF(AT249="","",3*'09월 에너지'!S251*(1/(3+7.8*(100-AT249)/AT249)))</f>
        <v>1.0802848692403486</v>
      </c>
      <c r="AN249" s="1023">
        <v>0.12916666666666668</v>
      </c>
      <c r="AO249" s="1024"/>
      <c r="AP249" s="1025"/>
      <c r="AQ249" s="1025"/>
      <c r="AR249" s="1149" t="str">
        <f t="shared" si="50"/>
        <v/>
      </c>
      <c r="AS249" s="1093">
        <f t="shared" si="61"/>
        <v>9</v>
      </c>
      <c r="AT249" s="1156">
        <v>1.9</v>
      </c>
      <c r="AU249" s="449"/>
      <c r="AV249" s="1205" t="s">
        <v>731</v>
      </c>
    </row>
    <row r="250" spans="1:48" ht="16.5" customHeight="1">
      <c r="A250" s="1005">
        <f t="shared" si="51"/>
        <v>46274</v>
      </c>
      <c r="B250" s="1005">
        <f t="shared" si="52"/>
        <v>46274</v>
      </c>
      <c r="C250" s="1150">
        <f t="shared" si="53"/>
        <v>10</v>
      </c>
      <c r="D250" s="1150">
        <f t="shared" si="54"/>
        <v>239</v>
      </c>
      <c r="E250" s="1006" t="str">
        <f t="shared" si="55"/>
        <v>C</v>
      </c>
      <c r="F250" s="1007" t="str">
        <f t="shared" si="56"/>
        <v>A</v>
      </c>
      <c r="G250" s="1008">
        <f t="shared" si="57"/>
        <v>85452</v>
      </c>
      <c r="H250" s="1138">
        <f t="shared" si="58"/>
        <v>0.45624999999999999</v>
      </c>
      <c r="I250" s="1009">
        <v>0.45277777777777778</v>
      </c>
      <c r="J250" s="1010">
        <f t="shared" si="59"/>
        <v>43.000000000000007</v>
      </c>
      <c r="K250" s="1011"/>
      <c r="L250" s="1012"/>
      <c r="M250" s="1013"/>
      <c r="N250" s="1014" t="str">
        <f t="shared" si="60"/>
        <v/>
      </c>
      <c r="O250" s="1346" t="s">
        <v>732</v>
      </c>
      <c r="P250" s="1347"/>
      <c r="Q250" s="1347"/>
      <c r="R250" s="1347"/>
      <c r="S250" s="1347"/>
      <c r="T250" s="1348"/>
      <c r="U250" s="1015">
        <v>1.8</v>
      </c>
      <c r="V250" s="1015"/>
      <c r="W250" s="1015"/>
      <c r="X250" s="1015"/>
      <c r="Y250" s="1015" t="s">
        <v>730</v>
      </c>
      <c r="Z250" s="1016">
        <f>'09월 에너지'!S252</f>
        <v>145.36000000000001</v>
      </c>
      <c r="AA250" s="1017"/>
      <c r="AB250" s="1208"/>
      <c r="AC250" s="1208"/>
      <c r="AD250" s="1208"/>
      <c r="AE250" s="1208"/>
      <c r="AF250" s="1208"/>
      <c r="AG250" s="1018">
        <f>'09월 화학성분'!AM250</f>
        <v>1569</v>
      </c>
      <c r="AH250" s="1006">
        <f t="shared" si="49"/>
        <v>41</v>
      </c>
      <c r="AI250" s="1019">
        <v>1589</v>
      </c>
      <c r="AJ250" s="1020">
        <v>62</v>
      </c>
      <c r="AK250" s="1021">
        <v>751</v>
      </c>
      <c r="AL250" s="1022">
        <v>5</v>
      </c>
      <c r="AM250" s="1155">
        <f>IF(AT250="","",3*'09월 에너지'!S252*(1/(3+7.8*(100-AT250)/AT250)))</f>
        <v>1.5928616155291171</v>
      </c>
      <c r="AN250" s="1023">
        <v>0.11666666666666665</v>
      </c>
      <c r="AO250" s="1024"/>
      <c r="AP250" s="1025"/>
      <c r="AQ250" s="1025"/>
      <c r="AR250" s="1149">
        <f t="shared" si="50"/>
        <v>8</v>
      </c>
      <c r="AS250" s="1093" t="str">
        <f t="shared" si="61"/>
        <v xml:space="preserve"> </v>
      </c>
      <c r="AT250" s="1156">
        <v>2.8</v>
      </c>
      <c r="AU250" s="449"/>
      <c r="AV250" s="1205"/>
    </row>
    <row r="251" spans="1:48" ht="16.5" customHeight="1">
      <c r="A251" s="1005">
        <f t="shared" si="51"/>
        <v>46274</v>
      </c>
      <c r="B251" s="1005">
        <f t="shared" si="52"/>
        <v>46274</v>
      </c>
      <c r="C251" s="1150">
        <f t="shared" si="53"/>
        <v>11</v>
      </c>
      <c r="D251" s="1150">
        <f t="shared" si="54"/>
        <v>240</v>
      </c>
      <c r="E251" s="1006" t="str">
        <f t="shared" si="55"/>
        <v>C</v>
      </c>
      <c r="F251" s="1007" t="str">
        <f t="shared" si="56"/>
        <v>B</v>
      </c>
      <c r="G251" s="1008">
        <f t="shared" si="57"/>
        <v>85453</v>
      </c>
      <c r="H251" s="1138">
        <f t="shared" si="58"/>
        <v>0.4861111111111111</v>
      </c>
      <c r="I251" s="1009">
        <v>0.48749999999999999</v>
      </c>
      <c r="J251" s="1010">
        <f t="shared" si="59"/>
        <v>49.999999999999986</v>
      </c>
      <c r="K251" s="1011"/>
      <c r="L251" s="1012"/>
      <c r="M251" s="1013"/>
      <c r="N251" s="1014" t="str">
        <f t="shared" si="60"/>
        <v/>
      </c>
      <c r="O251" s="1323" t="s">
        <v>530</v>
      </c>
      <c r="P251" s="1324"/>
      <c r="Q251" s="1324"/>
      <c r="R251" s="1324"/>
      <c r="S251" s="1324"/>
      <c r="T251" s="1325"/>
      <c r="U251" s="1015">
        <v>1.8</v>
      </c>
      <c r="V251" s="1015"/>
      <c r="W251" s="1015"/>
      <c r="X251" s="1015"/>
      <c r="Y251" s="1015" t="s">
        <v>563</v>
      </c>
      <c r="Z251" s="1016">
        <f>'09월 에너지'!S253</f>
        <v>146</v>
      </c>
      <c r="AA251" s="1017">
        <v>2093</v>
      </c>
      <c r="AB251" s="1208" t="s">
        <v>551</v>
      </c>
      <c r="AC251" s="1208" t="s">
        <v>733</v>
      </c>
      <c r="AD251" s="1208"/>
      <c r="AE251" s="1208"/>
      <c r="AF251" s="1208" t="s">
        <v>548</v>
      </c>
      <c r="AG251" s="1018">
        <f>'09월 화학성분'!AM251</f>
        <v>1437</v>
      </c>
      <c r="AH251" s="1006">
        <f t="shared" si="49"/>
        <v>42</v>
      </c>
      <c r="AI251" s="1019">
        <v>1554</v>
      </c>
      <c r="AJ251" s="1020">
        <v>0</v>
      </c>
      <c r="AK251" s="1021">
        <v>596</v>
      </c>
      <c r="AL251" s="1022">
        <v>7</v>
      </c>
      <c r="AM251" s="1155">
        <f>IF(AT251="","",3*'09월 에너지'!S253*(1/(3+7.8*(100-AT251)/AT251)))</f>
        <v>1.1946695760598505</v>
      </c>
      <c r="AN251" s="1023">
        <v>0.13472222222222222</v>
      </c>
      <c r="AO251" s="1024"/>
      <c r="AP251" s="1025"/>
      <c r="AQ251" s="1025"/>
      <c r="AR251" s="1149" t="str">
        <f t="shared" si="50"/>
        <v/>
      </c>
      <c r="AS251" s="1093">
        <f t="shared" si="61"/>
        <v>10</v>
      </c>
      <c r="AT251" s="1156">
        <v>2.1</v>
      </c>
      <c r="AU251" s="449"/>
      <c r="AV251" s="1205"/>
    </row>
    <row r="252" spans="1:48" ht="16.5" customHeight="1">
      <c r="A252" s="1005">
        <f t="shared" si="51"/>
        <v>46274</v>
      </c>
      <c r="B252" s="1005">
        <f t="shared" si="52"/>
        <v>46274</v>
      </c>
      <c r="C252" s="1150">
        <f t="shared" si="53"/>
        <v>12</v>
      </c>
      <c r="D252" s="1150">
        <f t="shared" si="54"/>
        <v>241</v>
      </c>
      <c r="E252" s="1006" t="str">
        <f t="shared" si="55"/>
        <v>C</v>
      </c>
      <c r="F252" s="1007" t="str">
        <f t="shared" si="56"/>
        <v>A</v>
      </c>
      <c r="G252" s="1008">
        <f t="shared" si="57"/>
        <v>85454</v>
      </c>
      <c r="H252" s="1138">
        <f t="shared" si="58"/>
        <v>0.52083333333333337</v>
      </c>
      <c r="I252" s="1009">
        <v>0.52152777777777781</v>
      </c>
      <c r="J252" s="1010">
        <f t="shared" si="59"/>
        <v>49.000000000000064</v>
      </c>
      <c r="K252" s="1011"/>
      <c r="L252" s="1012"/>
      <c r="M252" s="1013"/>
      <c r="N252" s="1014" t="str">
        <f t="shared" si="60"/>
        <v/>
      </c>
      <c r="O252" s="1323" t="s">
        <v>530</v>
      </c>
      <c r="P252" s="1324"/>
      <c r="Q252" s="1324"/>
      <c r="R252" s="1324"/>
      <c r="S252" s="1324"/>
      <c r="T252" s="1325"/>
      <c r="U252" s="1015">
        <v>1.8</v>
      </c>
      <c r="V252" s="1015">
        <v>2.6</v>
      </c>
      <c r="W252" s="1015">
        <v>1.5</v>
      </c>
      <c r="X252" s="1015"/>
      <c r="Y252" s="1015"/>
      <c r="Z252" s="1016">
        <f>'09월 에너지'!S254</f>
        <v>144.1</v>
      </c>
      <c r="AA252" s="1017">
        <v>1984</v>
      </c>
      <c r="AB252" s="1208" t="s">
        <v>551</v>
      </c>
      <c r="AC252" s="1208" t="s">
        <v>733</v>
      </c>
      <c r="AD252" s="1208"/>
      <c r="AE252" s="1208"/>
      <c r="AF252" s="1208" t="s">
        <v>548</v>
      </c>
      <c r="AG252" s="1018">
        <f>'09월 화학성분'!AM252</f>
        <v>2499</v>
      </c>
      <c r="AH252" s="1006">
        <f t="shared" si="49"/>
        <v>43</v>
      </c>
      <c r="AI252" s="1019">
        <v>1569</v>
      </c>
      <c r="AJ252" s="1020">
        <v>0</v>
      </c>
      <c r="AK252" s="1021">
        <v>704</v>
      </c>
      <c r="AL252" s="1022">
        <v>5</v>
      </c>
      <c r="AM252" s="1155">
        <f>IF(AT252="","",3*'09월 에너지'!S254*(1/(3+7.8*(100-AT252)/AT252)))</f>
        <v>1.0654965753424657</v>
      </c>
      <c r="AN252" s="1023">
        <v>0.13263888888888889</v>
      </c>
      <c r="AO252" s="1024"/>
      <c r="AP252" s="1025"/>
      <c r="AQ252" s="1025"/>
      <c r="AR252" s="1149">
        <f t="shared" si="50"/>
        <v>9</v>
      </c>
      <c r="AS252" s="1093" t="str">
        <f t="shared" si="61"/>
        <v xml:space="preserve"> </v>
      </c>
      <c r="AT252" s="1156">
        <v>1.9</v>
      </c>
      <c r="AU252" s="449"/>
      <c r="AV252" s="1205"/>
    </row>
    <row r="253" spans="1:48" ht="16.5" customHeight="1">
      <c r="A253" s="1005">
        <f t="shared" si="51"/>
        <v>46274</v>
      </c>
      <c r="B253" s="1005">
        <f t="shared" si="52"/>
        <v>46274</v>
      </c>
      <c r="C253" s="1150">
        <f t="shared" si="53"/>
        <v>13</v>
      </c>
      <c r="D253" s="1150">
        <f t="shared" si="54"/>
        <v>242</v>
      </c>
      <c r="E253" s="1006" t="str">
        <f t="shared" si="55"/>
        <v>C</v>
      </c>
      <c r="F253" s="1007" t="str">
        <f t="shared" si="56"/>
        <v>B</v>
      </c>
      <c r="G253" s="1008">
        <f t="shared" si="57"/>
        <v>85455</v>
      </c>
      <c r="H253" s="1138">
        <f t="shared" si="58"/>
        <v>0.55486111111111114</v>
      </c>
      <c r="I253" s="1009">
        <v>0.55347222222222225</v>
      </c>
      <c r="J253" s="1010">
        <f t="shared" si="59"/>
        <v>46</v>
      </c>
      <c r="K253" s="1011"/>
      <c r="L253" s="1012">
        <v>1</v>
      </c>
      <c r="M253" s="1013"/>
      <c r="N253" s="1014" t="str">
        <f t="shared" si="60"/>
        <v/>
      </c>
      <c r="O253" s="1323" t="s">
        <v>734</v>
      </c>
      <c r="P253" s="1324"/>
      <c r="Q253" s="1324"/>
      <c r="R253" s="1324"/>
      <c r="S253" s="1324"/>
      <c r="T253" s="1325"/>
      <c r="U253" s="1015">
        <v>1.8</v>
      </c>
      <c r="V253" s="1015"/>
      <c r="W253" s="1015"/>
      <c r="X253" s="1015"/>
      <c r="Y253" s="1015"/>
      <c r="Z253" s="1016">
        <f>'09월 에너지'!S255</f>
        <v>145.1</v>
      </c>
      <c r="AA253" s="1017"/>
      <c r="AB253" s="1208"/>
      <c r="AC253" s="1208"/>
      <c r="AD253" s="1208"/>
      <c r="AE253" s="1208"/>
      <c r="AF253" s="1208"/>
      <c r="AG253" s="1018">
        <f>'09월 화학성분'!AM253</f>
        <v>1515</v>
      </c>
      <c r="AH253" s="1006">
        <f t="shared" si="49"/>
        <v>44</v>
      </c>
      <c r="AI253" s="1019">
        <v>1552</v>
      </c>
      <c r="AJ253" s="1020">
        <v>0</v>
      </c>
      <c r="AK253" s="1021" t="s">
        <v>552</v>
      </c>
      <c r="AL253" s="1022" t="s">
        <v>563</v>
      </c>
      <c r="AM253" s="1155">
        <f>IF(AT253="","",3*'09월 에너지'!S255*(1/(3+7.8*(100-AT253)/AT253)))</f>
        <v>1.0157902924704416</v>
      </c>
      <c r="AN253" s="1023">
        <v>0.12916666666666668</v>
      </c>
      <c r="AO253" s="1024"/>
      <c r="AP253" s="1025"/>
      <c r="AQ253" s="1025"/>
      <c r="AR253" s="1149" t="str">
        <f t="shared" si="50"/>
        <v/>
      </c>
      <c r="AS253" s="1093">
        <f t="shared" si="61"/>
        <v>11</v>
      </c>
      <c r="AT253" s="1156">
        <v>1.8</v>
      </c>
      <c r="AU253" s="449"/>
      <c r="AV253" s="1205"/>
    </row>
    <row r="254" spans="1:48" ht="16.5" customHeight="1">
      <c r="A254" s="1005">
        <f t="shared" si="51"/>
        <v>46274</v>
      </c>
      <c r="B254" s="1005">
        <f t="shared" si="52"/>
        <v>46274</v>
      </c>
      <c r="C254" s="1150">
        <f t="shared" si="53"/>
        <v>14</v>
      </c>
      <c r="D254" s="1150">
        <f t="shared" si="54"/>
        <v>243</v>
      </c>
      <c r="E254" s="1006" t="str">
        <f t="shared" si="55"/>
        <v>C</v>
      </c>
      <c r="F254" s="1007" t="str">
        <f t="shared" si="56"/>
        <v>A</v>
      </c>
      <c r="G254" s="1008">
        <f t="shared" si="57"/>
        <v>85456</v>
      </c>
      <c r="H254" s="1138">
        <f t="shared" si="58"/>
        <v>0.58680555555555558</v>
      </c>
      <c r="I254" s="1009">
        <v>0.58750000000000002</v>
      </c>
      <c r="J254" s="1010">
        <f t="shared" si="59"/>
        <v>48.999999999999986</v>
      </c>
      <c r="K254" s="1011"/>
      <c r="L254" s="1012"/>
      <c r="M254" s="1013"/>
      <c r="N254" s="1014" t="str">
        <f t="shared" si="60"/>
        <v/>
      </c>
      <c r="O254" s="1323" t="s">
        <v>736</v>
      </c>
      <c r="P254" s="1324"/>
      <c r="Q254" s="1324"/>
      <c r="R254" s="1324"/>
      <c r="S254" s="1324"/>
      <c r="T254" s="1325"/>
      <c r="U254" s="1015">
        <v>1.8</v>
      </c>
      <c r="V254" s="1015"/>
      <c r="W254" s="1015"/>
      <c r="X254" s="1015"/>
      <c r="Y254" s="1015"/>
      <c r="Z254" s="1016">
        <f>'09월 에너지'!S256</f>
        <v>143.69999999999999</v>
      </c>
      <c r="AA254" s="1017"/>
      <c r="AB254" s="1208"/>
      <c r="AC254" s="1208"/>
      <c r="AD254" s="1208"/>
      <c r="AE254" s="1208"/>
      <c r="AF254" s="1208"/>
      <c r="AG254" s="1018">
        <f>'09월 화학성분'!AM254</f>
        <v>2584</v>
      </c>
      <c r="AH254" s="1006">
        <f t="shared" si="49"/>
        <v>45</v>
      </c>
      <c r="AI254" s="1019">
        <v>1582</v>
      </c>
      <c r="AJ254" s="1020">
        <v>0</v>
      </c>
      <c r="AK254" s="1021" t="s">
        <v>552</v>
      </c>
      <c r="AL254" s="1022" t="s">
        <v>552</v>
      </c>
      <c r="AM254" s="1155">
        <f>IF(AT254="","",3*'09월 에너지'!S256*(1/(3+7.8*(100-AT254)/AT254)))</f>
        <v>1.2326107298814724</v>
      </c>
      <c r="AN254" s="1023">
        <v>0.12916666666666668</v>
      </c>
      <c r="AO254" s="1024"/>
      <c r="AP254" s="1025"/>
      <c r="AQ254" s="1025"/>
      <c r="AR254" s="1149">
        <f t="shared" si="50"/>
        <v>10</v>
      </c>
      <c r="AS254" s="1093" t="str">
        <f t="shared" si="61"/>
        <v xml:space="preserve"> </v>
      </c>
      <c r="AT254" s="1156">
        <v>2.2000000000000002</v>
      </c>
      <c r="AU254" s="449"/>
      <c r="AV254" s="1205"/>
    </row>
    <row r="255" spans="1:48" ht="16.5" customHeight="1">
      <c r="A255" s="1005">
        <f t="shared" si="51"/>
        <v>46274</v>
      </c>
      <c r="B255" s="1005">
        <f t="shared" si="52"/>
        <v>46274</v>
      </c>
      <c r="C255" s="1150">
        <f t="shared" si="53"/>
        <v>15</v>
      </c>
      <c r="D255" s="1150">
        <f t="shared" si="54"/>
        <v>244</v>
      </c>
      <c r="E255" s="1006" t="s">
        <v>737</v>
      </c>
      <c r="F255" s="1007" t="str">
        <f t="shared" si="56"/>
        <v>B</v>
      </c>
      <c r="G255" s="1008">
        <f t="shared" si="57"/>
        <v>85457</v>
      </c>
      <c r="H255" s="1138">
        <f t="shared" si="58"/>
        <v>0.62083333333333335</v>
      </c>
      <c r="I255" s="1009">
        <v>0.61875000000000002</v>
      </c>
      <c r="J255" s="1010">
        <f t="shared" si="59"/>
        <v>45</v>
      </c>
      <c r="K255" s="1011">
        <v>1</v>
      </c>
      <c r="L255" s="1012"/>
      <c r="M255" s="1013">
        <v>0.58680555555555558</v>
      </c>
      <c r="N255" s="1014">
        <f t="shared" si="60"/>
        <v>0.58750000000000002</v>
      </c>
      <c r="O255" s="1323" t="s">
        <v>738</v>
      </c>
      <c r="P255" s="1324"/>
      <c r="Q255" s="1324"/>
      <c r="R255" s="1324"/>
      <c r="S255" s="1324"/>
      <c r="T255" s="1325"/>
      <c r="U255" s="1015">
        <v>1.8</v>
      </c>
      <c r="V255" s="1015"/>
      <c r="W255" s="1015"/>
      <c r="X255" s="1015"/>
      <c r="Y255" s="1015"/>
      <c r="Z255" s="1016">
        <f>'09월 에너지'!S257</f>
        <v>146.80000000000001</v>
      </c>
      <c r="AA255" s="1017"/>
      <c r="AB255" s="1208"/>
      <c r="AC255" s="1208"/>
      <c r="AD255" s="1208"/>
      <c r="AE255" s="1208"/>
      <c r="AF255" s="1208"/>
      <c r="AG255" s="1018">
        <f>'09월 화학성분'!AM255</f>
        <v>534</v>
      </c>
      <c r="AH255" s="1006">
        <f t="shared" si="49"/>
        <v>46</v>
      </c>
      <c r="AI255" s="1019">
        <v>1562</v>
      </c>
      <c r="AJ255" s="1020">
        <v>0</v>
      </c>
      <c r="AK255" s="1021">
        <v>542</v>
      </c>
      <c r="AL255" s="1022">
        <v>7</v>
      </c>
      <c r="AM255" s="1155">
        <f>IF(AT255="","",3*'09월 에너지'!S257*(1/(3+7.8*(100-AT255)/AT255)))</f>
        <v>1.3753903810118677</v>
      </c>
      <c r="AN255" s="1023">
        <v>0.1361111111111111</v>
      </c>
      <c r="AO255" s="1024"/>
      <c r="AP255" s="1025"/>
      <c r="AQ255" s="1025"/>
      <c r="AR255" s="1149" t="str">
        <f t="shared" si="50"/>
        <v/>
      </c>
      <c r="AS255" s="1093">
        <f t="shared" si="61"/>
        <v>12</v>
      </c>
      <c r="AT255" s="1156">
        <v>2.4</v>
      </c>
      <c r="AU255" s="449"/>
      <c r="AV255" s="1205"/>
    </row>
    <row r="256" spans="1:48" ht="16.5" customHeight="1">
      <c r="A256" s="1005">
        <f t="shared" si="51"/>
        <v>46274</v>
      </c>
      <c r="B256" s="1005">
        <f t="shared" si="52"/>
        <v>46274</v>
      </c>
      <c r="C256" s="1150">
        <f t="shared" si="53"/>
        <v>16</v>
      </c>
      <c r="D256" s="1150">
        <f t="shared" si="54"/>
        <v>245</v>
      </c>
      <c r="E256" s="1006" t="str">
        <f t="shared" si="55"/>
        <v>D</v>
      </c>
      <c r="F256" s="1007" t="str">
        <f t="shared" si="56"/>
        <v>A</v>
      </c>
      <c r="G256" s="1008">
        <f t="shared" si="57"/>
        <v>85458</v>
      </c>
      <c r="H256" s="1138">
        <f t="shared" si="58"/>
        <v>0.65208333333333335</v>
      </c>
      <c r="I256" s="1009">
        <v>0.65</v>
      </c>
      <c r="J256" s="1010">
        <f t="shared" si="59"/>
        <v>45</v>
      </c>
      <c r="K256" s="1011"/>
      <c r="L256" s="1012"/>
      <c r="M256" s="1013"/>
      <c r="N256" s="1014" t="str">
        <f t="shared" si="60"/>
        <v/>
      </c>
      <c r="O256" s="1323"/>
      <c r="P256" s="1324"/>
      <c r="Q256" s="1324"/>
      <c r="R256" s="1324"/>
      <c r="S256" s="1324"/>
      <c r="T256" s="1325"/>
      <c r="U256" s="1015">
        <v>1.8</v>
      </c>
      <c r="V256" s="1015">
        <v>3.2</v>
      </c>
      <c r="W256" s="1015"/>
      <c r="X256" s="1015" t="s">
        <v>552</v>
      </c>
      <c r="Y256" s="1015"/>
      <c r="Z256" s="1016">
        <f>'09월 에너지'!S258</f>
        <v>143.1</v>
      </c>
      <c r="AA256" s="1017"/>
      <c r="AB256" s="1208"/>
      <c r="AC256" s="1208"/>
      <c r="AD256" s="1208"/>
      <c r="AE256" s="1208"/>
      <c r="AF256" s="1208"/>
      <c r="AG256" s="1018">
        <f>'09월 화학성분'!AM256</f>
        <v>1644</v>
      </c>
      <c r="AH256" s="1006">
        <f t="shared" si="49"/>
        <v>47</v>
      </c>
      <c r="AI256" s="1019">
        <v>1596</v>
      </c>
      <c r="AJ256" s="1020">
        <v>0</v>
      </c>
      <c r="AK256" s="1021">
        <v>504</v>
      </c>
      <c r="AL256" s="1022">
        <v>8</v>
      </c>
      <c r="AM256" s="1155">
        <f>IF(AT256="","",3*'09월 에너지'!S258*(1/(3+7.8*(100-AT256)/AT256)))</f>
        <v>1.0017890479153702</v>
      </c>
      <c r="AN256" s="1023">
        <v>0.12222222222222223</v>
      </c>
      <c r="AO256" s="1024"/>
      <c r="AP256" s="1025"/>
      <c r="AQ256" s="1025"/>
      <c r="AR256" s="1149">
        <f t="shared" si="50"/>
        <v>11</v>
      </c>
      <c r="AS256" s="1093" t="str">
        <f t="shared" si="61"/>
        <v xml:space="preserve"> </v>
      </c>
      <c r="AT256" s="1156">
        <v>1.8</v>
      </c>
      <c r="AU256" s="449"/>
      <c r="AV256" s="1205"/>
    </row>
    <row r="257" spans="1:48" ht="16.5" customHeight="1">
      <c r="A257" s="1005">
        <f t="shared" si="51"/>
        <v>46274</v>
      </c>
      <c r="B257" s="1005">
        <f t="shared" si="52"/>
        <v>46274</v>
      </c>
      <c r="C257" s="1150">
        <f t="shared" si="53"/>
        <v>17</v>
      </c>
      <c r="D257" s="1150">
        <f t="shared" si="54"/>
        <v>246</v>
      </c>
      <c r="E257" s="1006" t="str">
        <f t="shared" si="55"/>
        <v>D</v>
      </c>
      <c r="F257" s="1007" t="str">
        <f t="shared" si="56"/>
        <v>B</v>
      </c>
      <c r="G257" s="1008">
        <f t="shared" si="57"/>
        <v>85459</v>
      </c>
      <c r="H257" s="1138">
        <f t="shared" si="58"/>
        <v>0.68333333333333335</v>
      </c>
      <c r="I257" s="1009">
        <v>0.68055555555555547</v>
      </c>
      <c r="J257" s="1010">
        <f t="shared" si="59"/>
        <v>43.999999999999844</v>
      </c>
      <c r="K257" s="1011"/>
      <c r="L257" s="1012"/>
      <c r="M257" s="1013"/>
      <c r="N257" s="1014" t="str">
        <f t="shared" si="60"/>
        <v/>
      </c>
      <c r="O257" s="1338" t="s">
        <v>741</v>
      </c>
      <c r="P257" s="1324"/>
      <c r="Q257" s="1324"/>
      <c r="R257" s="1324"/>
      <c r="S257" s="1324"/>
      <c r="T257" s="1325"/>
      <c r="U257" s="1015">
        <v>1.8</v>
      </c>
      <c r="V257" s="1015"/>
      <c r="W257" s="1015"/>
      <c r="X257" s="1015"/>
      <c r="Y257" s="1015"/>
      <c r="Z257" s="1016">
        <f>'09월 에너지'!S259</f>
        <v>145.4</v>
      </c>
      <c r="AA257" s="1017"/>
      <c r="AB257" s="1208"/>
      <c r="AC257" s="1208"/>
      <c r="AD257" s="1208"/>
      <c r="AE257" s="1208"/>
      <c r="AF257" s="1208"/>
      <c r="AG257" s="1018">
        <f>'09월 화학성분'!AM257</f>
        <v>1289</v>
      </c>
      <c r="AH257" s="1235">
        <v>1</v>
      </c>
      <c r="AI257" s="1019">
        <v>1557</v>
      </c>
      <c r="AJ257" s="1020">
        <v>28</v>
      </c>
      <c r="AK257" s="1021">
        <v>714</v>
      </c>
      <c r="AL257" s="1022">
        <v>5</v>
      </c>
      <c r="AM257" s="1155">
        <f>IF(AT257="","",3*'09월 에너지'!S259*(1/(3+7.8*(100-AT257)/AT257)))</f>
        <v>1.5932999373825922</v>
      </c>
      <c r="AN257" s="1023">
        <v>0.12638888888888888</v>
      </c>
      <c r="AO257" s="1024"/>
      <c r="AP257" s="1025"/>
      <c r="AQ257" s="1025"/>
      <c r="AR257" s="1149" t="str">
        <f t="shared" si="50"/>
        <v/>
      </c>
      <c r="AS257" s="1093">
        <f t="shared" si="61"/>
        <v>13</v>
      </c>
      <c r="AT257" s="1156">
        <v>2.8</v>
      </c>
      <c r="AU257" s="449"/>
      <c r="AV257" s="1205"/>
    </row>
    <row r="258" spans="1:48" ht="16.5" customHeight="1">
      <c r="A258" s="1005">
        <f t="shared" si="51"/>
        <v>46274</v>
      </c>
      <c r="B258" s="1005">
        <f t="shared" si="52"/>
        <v>46274</v>
      </c>
      <c r="C258" s="1150">
        <f t="shared" si="53"/>
        <v>18</v>
      </c>
      <c r="D258" s="1150">
        <f t="shared" si="54"/>
        <v>247</v>
      </c>
      <c r="E258" s="1006" t="str">
        <f t="shared" si="55"/>
        <v>D</v>
      </c>
      <c r="F258" s="1007" t="str">
        <f t="shared" si="56"/>
        <v>A</v>
      </c>
      <c r="G258" s="1008">
        <f t="shared" si="57"/>
        <v>85460</v>
      </c>
      <c r="H258" s="1138">
        <f t="shared" si="58"/>
        <v>0.7138888888888888</v>
      </c>
      <c r="I258" s="1009">
        <v>0.70972222222222225</v>
      </c>
      <c r="J258" s="1010">
        <f t="shared" si="59"/>
        <v>42.000000000000171</v>
      </c>
      <c r="K258" s="1011"/>
      <c r="L258" s="1012"/>
      <c r="M258" s="1013"/>
      <c r="N258" s="1014" t="str">
        <f t="shared" si="60"/>
        <v/>
      </c>
      <c r="O258" s="1338" t="s">
        <v>742</v>
      </c>
      <c r="P258" s="1324"/>
      <c r="Q258" s="1324"/>
      <c r="R258" s="1324"/>
      <c r="S258" s="1324"/>
      <c r="T258" s="1325"/>
      <c r="U258" s="1015">
        <v>1.8</v>
      </c>
      <c r="V258" s="1015"/>
      <c r="W258" s="1015"/>
      <c r="X258" s="1015"/>
      <c r="Y258" s="1015"/>
      <c r="Z258" s="1016">
        <f>'09월 에너지'!S260</f>
        <v>144.80000000000001</v>
      </c>
      <c r="AA258" s="1017"/>
      <c r="AB258" s="1208"/>
      <c r="AC258" s="1208"/>
      <c r="AD258" s="1208"/>
      <c r="AE258" s="1208"/>
      <c r="AF258" s="1208"/>
      <c r="AG258" s="1018">
        <f>'09월 화학성분'!AM258</f>
        <v>1567</v>
      </c>
      <c r="AH258" s="1006">
        <f t="shared" si="49"/>
        <v>2</v>
      </c>
      <c r="AI258" s="1019">
        <v>1595</v>
      </c>
      <c r="AJ258" s="1020">
        <v>0</v>
      </c>
      <c r="AK258" s="1021">
        <v>678</v>
      </c>
      <c r="AL258" s="1022">
        <v>6</v>
      </c>
      <c r="AM258" s="1155">
        <f>IF(AT258="","",3*'09월 에너지'!S260*(1/(3+7.8*(100-AT258)/AT258)))</f>
        <v>1.1277258566978194</v>
      </c>
      <c r="AN258" s="1023">
        <v>0.12847222222222224</v>
      </c>
      <c r="AO258" s="1024"/>
      <c r="AP258" s="1025"/>
      <c r="AQ258" s="1025"/>
      <c r="AR258" s="1149">
        <f t="shared" si="50"/>
        <v>12</v>
      </c>
      <c r="AS258" s="1093" t="str">
        <f t="shared" si="61"/>
        <v xml:space="preserve"> </v>
      </c>
      <c r="AT258" s="1156">
        <v>2</v>
      </c>
      <c r="AU258" s="449"/>
      <c r="AV258" s="1205"/>
    </row>
    <row r="259" spans="1:48" ht="16.5" customHeight="1">
      <c r="A259" s="1005">
        <f t="shared" si="51"/>
        <v>46274</v>
      </c>
      <c r="B259" s="1005">
        <f t="shared" si="52"/>
        <v>46274</v>
      </c>
      <c r="C259" s="1150">
        <f t="shared" si="53"/>
        <v>19</v>
      </c>
      <c r="D259" s="1150">
        <f t="shared" si="54"/>
        <v>248</v>
      </c>
      <c r="E259" s="1006" t="str">
        <f t="shared" si="55"/>
        <v>D</v>
      </c>
      <c r="F259" s="1007" t="str">
        <f t="shared" si="56"/>
        <v>B</v>
      </c>
      <c r="G259" s="1236">
        <f t="shared" si="57"/>
        <v>85461</v>
      </c>
      <c r="H259" s="1138">
        <f t="shared" si="58"/>
        <v>0.74305555555555558</v>
      </c>
      <c r="I259" s="1009">
        <v>0.74375000000000002</v>
      </c>
      <c r="J259" s="1010">
        <f t="shared" si="59"/>
        <v>48.999999999999986</v>
      </c>
      <c r="K259" s="1011"/>
      <c r="L259" s="1012"/>
      <c r="M259" s="1013"/>
      <c r="N259" s="1014" t="str">
        <f t="shared" si="60"/>
        <v/>
      </c>
      <c r="O259" s="1338" t="s">
        <v>744</v>
      </c>
      <c r="P259" s="1324"/>
      <c r="Q259" s="1324"/>
      <c r="R259" s="1324"/>
      <c r="S259" s="1324"/>
      <c r="T259" s="1325"/>
      <c r="U259" s="1015">
        <v>1.8</v>
      </c>
      <c r="V259" s="1015"/>
      <c r="W259" s="1015"/>
      <c r="X259" s="1015"/>
      <c r="Y259" s="1015"/>
      <c r="Z259" s="1016">
        <f>'09월 에너지'!S261</f>
        <v>145.30000000000001</v>
      </c>
      <c r="AA259" s="1017"/>
      <c r="AB259" s="1208"/>
      <c r="AC259" s="1208"/>
      <c r="AD259" s="1208"/>
      <c r="AE259" s="1208"/>
      <c r="AF259" s="1208"/>
      <c r="AG259" s="1018">
        <f>'09월 화학성분'!AM259</f>
        <v>1328</v>
      </c>
      <c r="AH259" s="1006">
        <f t="shared" si="49"/>
        <v>3</v>
      </c>
      <c r="AI259" s="1019">
        <v>1562</v>
      </c>
      <c r="AJ259" s="1020">
        <v>0</v>
      </c>
      <c r="AK259" s="1021" t="s">
        <v>563</v>
      </c>
      <c r="AL259" s="1022" t="s">
        <v>552</v>
      </c>
      <c r="AM259" s="1155">
        <f>IF(AT259="","",3*'09월 에너지'!S261*(1/(3+7.8*(100-AT259)/AT259)))</f>
        <v>0.96008240049751248</v>
      </c>
      <c r="AN259" s="1023">
        <v>0.12986111111111112</v>
      </c>
      <c r="AO259" s="1024"/>
      <c r="AP259" s="1025"/>
      <c r="AQ259" s="1025"/>
      <c r="AR259" s="1149" t="str">
        <f t="shared" si="50"/>
        <v/>
      </c>
      <c r="AS259" s="1093">
        <f t="shared" si="61"/>
        <v>14</v>
      </c>
      <c r="AT259" s="1156">
        <v>1.7</v>
      </c>
      <c r="AU259" s="449"/>
      <c r="AV259" s="1205"/>
    </row>
    <row r="260" spans="1:48" ht="16.5" customHeight="1">
      <c r="A260" s="1005">
        <f t="shared" si="51"/>
        <v>46274</v>
      </c>
      <c r="B260" s="1005">
        <f t="shared" si="52"/>
        <v>46274</v>
      </c>
      <c r="C260" s="1150">
        <f t="shared" si="53"/>
        <v>20</v>
      </c>
      <c r="D260" s="1150">
        <f t="shared" si="54"/>
        <v>249</v>
      </c>
      <c r="E260" s="1006" t="str">
        <f t="shared" si="55"/>
        <v>D</v>
      </c>
      <c r="F260" s="1007" t="str">
        <f t="shared" si="56"/>
        <v>A</v>
      </c>
      <c r="G260" s="1236">
        <f t="shared" si="57"/>
        <v>85462</v>
      </c>
      <c r="H260" s="1138">
        <f t="shared" si="58"/>
        <v>0.77708333333333335</v>
      </c>
      <c r="I260" s="1009">
        <v>0.7729166666666667</v>
      </c>
      <c r="J260" s="1010">
        <f t="shared" si="59"/>
        <v>42.000000000000014</v>
      </c>
      <c r="K260" s="1011"/>
      <c r="L260" s="1012"/>
      <c r="M260" s="1013"/>
      <c r="N260" s="1014" t="str">
        <f t="shared" si="60"/>
        <v/>
      </c>
      <c r="O260" s="1323"/>
      <c r="P260" s="1324"/>
      <c r="Q260" s="1324"/>
      <c r="R260" s="1324"/>
      <c r="S260" s="1324"/>
      <c r="T260" s="1325"/>
      <c r="U260" s="1015">
        <v>1.8</v>
      </c>
      <c r="V260" s="1015"/>
      <c r="W260" s="1015"/>
      <c r="X260" s="1015"/>
      <c r="Y260" s="1015">
        <v>2.9</v>
      </c>
      <c r="Z260" s="1016">
        <f>'09월 에너지'!S262</f>
        <v>146.19999999999999</v>
      </c>
      <c r="AA260" s="1017"/>
      <c r="AB260" s="1208"/>
      <c r="AC260" s="1208"/>
      <c r="AD260" s="1208"/>
      <c r="AE260" s="1208"/>
      <c r="AF260" s="1208"/>
      <c r="AG260" s="1018">
        <f>'09월 화학성분'!AM260</f>
        <v>1661</v>
      </c>
      <c r="AH260" s="1006">
        <f t="shared" si="49"/>
        <v>4</v>
      </c>
      <c r="AI260" s="1019">
        <v>1584</v>
      </c>
      <c r="AJ260" s="1020">
        <v>0</v>
      </c>
      <c r="AK260" s="1021">
        <v>378</v>
      </c>
      <c r="AL260" s="1022">
        <v>12</v>
      </c>
      <c r="AM260" s="1155">
        <f>IF(AT260="","",3*'09월 에너지'!S262*(1/(3+7.8*(100-AT260)/AT260)))</f>
        <v>0.45207173778602344</v>
      </c>
      <c r="AN260" s="1023">
        <v>0.1173611111111111</v>
      </c>
      <c r="AO260" s="1024"/>
      <c r="AP260" s="1025"/>
      <c r="AQ260" s="1025"/>
      <c r="AR260" s="1149">
        <f t="shared" si="50"/>
        <v>13</v>
      </c>
      <c r="AS260" s="1093" t="str">
        <f t="shared" si="61"/>
        <v xml:space="preserve"> </v>
      </c>
      <c r="AT260" s="1156">
        <v>0.8</v>
      </c>
      <c r="AU260" s="449"/>
      <c r="AV260" s="1205"/>
    </row>
    <row r="261" spans="1:48" ht="16.5" customHeight="1">
      <c r="A261" s="1005">
        <f t="shared" si="51"/>
        <v>46274</v>
      </c>
      <c r="B261" s="1005">
        <f t="shared" si="52"/>
        <v>46274</v>
      </c>
      <c r="C261" s="1150">
        <f t="shared" si="53"/>
        <v>21</v>
      </c>
      <c r="D261" s="1150">
        <f t="shared" si="54"/>
        <v>250</v>
      </c>
      <c r="E261" s="1006" t="str">
        <f t="shared" si="55"/>
        <v>D</v>
      </c>
      <c r="F261" s="1007" t="str">
        <f t="shared" si="56"/>
        <v>B</v>
      </c>
      <c r="G261" s="1236">
        <f t="shared" si="57"/>
        <v>85463</v>
      </c>
      <c r="H261" s="1138">
        <f t="shared" si="58"/>
        <v>0.80625000000000002</v>
      </c>
      <c r="I261" s="1009">
        <v>0.80972222222222223</v>
      </c>
      <c r="J261" s="1010">
        <f t="shared" si="59"/>
        <v>52.999999999999972</v>
      </c>
      <c r="K261" s="1011"/>
      <c r="L261" s="1012">
        <v>5</v>
      </c>
      <c r="M261" s="1013"/>
      <c r="N261" s="1014" t="str">
        <f t="shared" si="60"/>
        <v/>
      </c>
      <c r="O261" s="1323" t="s">
        <v>747</v>
      </c>
      <c r="P261" s="1324"/>
      <c r="Q261" s="1324"/>
      <c r="R261" s="1324"/>
      <c r="S261" s="1324"/>
      <c r="T261" s="1325"/>
      <c r="U261" s="1015">
        <v>1.8</v>
      </c>
      <c r="V261" s="1015"/>
      <c r="W261" s="1015"/>
      <c r="X261" s="1015"/>
      <c r="Y261" s="1015"/>
      <c r="Z261" s="1016">
        <f>'09월 에너지'!S263</f>
        <v>145.9</v>
      </c>
      <c r="AA261" s="1017">
        <v>1956</v>
      </c>
      <c r="AB261" s="1208" t="s">
        <v>551</v>
      </c>
      <c r="AC261" s="1208" t="s">
        <v>746</v>
      </c>
      <c r="AD261" s="1208" t="s">
        <v>733</v>
      </c>
      <c r="AE261" s="1208"/>
      <c r="AF261" s="1208" t="s">
        <v>548</v>
      </c>
      <c r="AG261" s="1018">
        <f>'09월 화학성분'!AM261</f>
        <v>1737</v>
      </c>
      <c r="AH261" s="1006">
        <f t="shared" si="49"/>
        <v>5</v>
      </c>
      <c r="AI261" s="1019">
        <v>1567</v>
      </c>
      <c r="AJ261" s="1020">
        <v>28</v>
      </c>
      <c r="AK261" s="1021">
        <v>734</v>
      </c>
      <c r="AL261" s="1022">
        <v>5</v>
      </c>
      <c r="AM261" s="1155">
        <f>IF(AT261="","",3*'09월 에너지'!S263*(1/(3+7.8*(100-AT261)/AT261)))</f>
        <v>1.1938513092269329</v>
      </c>
      <c r="AN261" s="1023">
        <v>0.1173611111111111</v>
      </c>
      <c r="AO261" s="1024"/>
      <c r="AP261" s="1025"/>
      <c r="AQ261" s="1025"/>
      <c r="AR261" s="1149" t="str">
        <f t="shared" si="50"/>
        <v/>
      </c>
      <c r="AS261" s="1093">
        <f t="shared" si="61"/>
        <v>15</v>
      </c>
      <c r="AT261" s="1156">
        <v>2.1</v>
      </c>
      <c r="AU261" s="449"/>
      <c r="AV261" s="1205"/>
    </row>
    <row r="262" spans="1:48" ht="16.5" customHeight="1">
      <c r="A262" s="1005">
        <f t="shared" si="51"/>
        <v>46274</v>
      </c>
      <c r="B262" s="1005">
        <f t="shared" si="52"/>
        <v>46274</v>
      </c>
      <c r="C262" s="1150">
        <f t="shared" si="53"/>
        <v>22</v>
      </c>
      <c r="D262" s="1150">
        <f t="shared" si="54"/>
        <v>251</v>
      </c>
      <c r="E262" s="1006" t="str">
        <f t="shared" si="55"/>
        <v>D</v>
      </c>
      <c r="F262" s="1007" t="str">
        <f t="shared" si="56"/>
        <v>A</v>
      </c>
      <c r="G262" s="1236">
        <f t="shared" si="57"/>
        <v>85464</v>
      </c>
      <c r="H262" s="1138">
        <f t="shared" si="58"/>
        <v>0.84305555555555556</v>
      </c>
      <c r="I262" s="1009">
        <v>0.83680555555555547</v>
      </c>
      <c r="J262" s="1010">
        <f t="shared" si="59"/>
        <v>38.999999999999858</v>
      </c>
      <c r="K262" s="1011"/>
      <c r="L262" s="1012"/>
      <c r="M262" s="1013"/>
      <c r="N262" s="1014" t="str">
        <f t="shared" si="60"/>
        <v/>
      </c>
      <c r="O262" s="1323"/>
      <c r="P262" s="1324"/>
      <c r="Q262" s="1324"/>
      <c r="R262" s="1324"/>
      <c r="S262" s="1324"/>
      <c r="T262" s="1325"/>
      <c r="U262" s="1015">
        <v>1.8</v>
      </c>
      <c r="V262" s="1015">
        <v>2.6</v>
      </c>
      <c r="W262" s="1015">
        <v>1.9</v>
      </c>
      <c r="X262" s="1015"/>
      <c r="Y262" s="1015"/>
      <c r="Z262" s="1016">
        <f>'09월 에너지'!S264</f>
        <v>144.30000000000001</v>
      </c>
      <c r="AA262" s="1017"/>
      <c r="AB262" s="1208"/>
      <c r="AC262" s="1208"/>
      <c r="AD262" s="1208"/>
      <c r="AE262" s="1208"/>
      <c r="AF262" s="1208"/>
      <c r="AG262" s="1018">
        <f>'09월 화학성분'!AM262</f>
        <v>2018</v>
      </c>
      <c r="AH262" s="1006">
        <f t="shared" si="49"/>
        <v>6</v>
      </c>
      <c r="AI262" s="1019">
        <v>1570</v>
      </c>
      <c r="AJ262" s="1020">
        <v>0</v>
      </c>
      <c r="AK262" s="1021">
        <v>597</v>
      </c>
      <c r="AL262" s="1022">
        <v>7</v>
      </c>
      <c r="AM262" s="1155">
        <f>IF(AT262="","",3*'09월 에너지'!S264*(1/(3+7.8*(100-AT262)/AT262)))</f>
        <v>0.72731854838709675</v>
      </c>
      <c r="AN262" s="1023">
        <v>0.10625</v>
      </c>
      <c r="AO262" s="1024"/>
      <c r="AP262" s="1025"/>
      <c r="AQ262" s="1025"/>
      <c r="AR262" s="1149">
        <f t="shared" si="50"/>
        <v>14</v>
      </c>
      <c r="AS262" s="1093" t="str">
        <f t="shared" si="61"/>
        <v xml:space="preserve"> </v>
      </c>
      <c r="AT262" s="1156">
        <v>1.3</v>
      </c>
      <c r="AU262" s="449"/>
      <c r="AV262" s="1205"/>
    </row>
    <row r="263" spans="1:48" ht="16.5" customHeight="1">
      <c r="A263" s="1005">
        <f t="shared" si="51"/>
        <v>46274</v>
      </c>
      <c r="B263" s="1005">
        <f t="shared" si="52"/>
        <v>46274</v>
      </c>
      <c r="C263" s="1150">
        <f t="shared" si="53"/>
        <v>23</v>
      </c>
      <c r="D263" s="1150">
        <f t="shared" si="54"/>
        <v>252</v>
      </c>
      <c r="E263" s="1006" t="str">
        <f t="shared" si="55"/>
        <v>D</v>
      </c>
      <c r="F263" s="1007" t="str">
        <f t="shared" si="56"/>
        <v>B</v>
      </c>
      <c r="G263" s="1236">
        <f t="shared" si="57"/>
        <v>85465</v>
      </c>
      <c r="H263" s="1138">
        <f t="shared" si="58"/>
        <v>0.8701388888888888</v>
      </c>
      <c r="I263" s="1009">
        <v>0.87222222222222223</v>
      </c>
      <c r="J263" s="1010">
        <f t="shared" si="59"/>
        <v>51.000000000000142</v>
      </c>
      <c r="K263" s="1011"/>
      <c r="L263" s="1012"/>
      <c r="M263" s="1013"/>
      <c r="N263" s="1014" t="str">
        <f t="shared" si="60"/>
        <v/>
      </c>
      <c r="O263" s="1323" t="s">
        <v>748</v>
      </c>
      <c r="P263" s="1324"/>
      <c r="Q263" s="1324"/>
      <c r="R263" s="1324"/>
      <c r="S263" s="1324"/>
      <c r="T263" s="1325"/>
      <c r="U263" s="1015">
        <v>1.8</v>
      </c>
      <c r="V263" s="1015"/>
      <c r="W263" s="1015"/>
      <c r="X263" s="1015"/>
      <c r="Y263" s="1015"/>
      <c r="Z263" s="1016">
        <f>'09월 에너지'!S265</f>
        <v>143.19999999999999</v>
      </c>
      <c r="AA263" s="1017"/>
      <c r="AB263" s="1208"/>
      <c r="AC263" s="1208"/>
      <c r="AD263" s="1208"/>
      <c r="AE263" s="1208"/>
      <c r="AF263" s="1208"/>
      <c r="AG263" s="1018">
        <f>'09월 화학성분'!AM263</f>
        <v>2659</v>
      </c>
      <c r="AH263" s="1006">
        <f t="shared" si="49"/>
        <v>7</v>
      </c>
      <c r="AI263" s="1019">
        <v>1572</v>
      </c>
      <c r="AJ263" s="1020">
        <v>47</v>
      </c>
      <c r="AK263" s="1021">
        <v>729</v>
      </c>
      <c r="AL263" s="1022">
        <v>5</v>
      </c>
      <c r="AM263" s="1155">
        <f>IF(AT263="","",3*'09월 에너지'!S265*(1/(3+7.8*(100-AT263)/AT263)))</f>
        <v>1.1152647975077881</v>
      </c>
      <c r="AN263" s="1023">
        <v>0.1277777777777778</v>
      </c>
      <c r="AO263" s="1024" t="s">
        <v>587</v>
      </c>
      <c r="AP263" s="1025">
        <v>2000025</v>
      </c>
      <c r="AQ263" s="1025">
        <v>2143</v>
      </c>
      <c r="AR263" s="1149" t="str">
        <f t="shared" si="50"/>
        <v/>
      </c>
      <c r="AS263" s="1093">
        <v>1</v>
      </c>
      <c r="AT263" s="1156">
        <v>2</v>
      </c>
      <c r="AU263" s="449"/>
      <c r="AV263" s="1205"/>
    </row>
    <row r="264" spans="1:48" ht="16.5" customHeight="1">
      <c r="A264" s="1005">
        <f t="shared" si="51"/>
        <v>46274</v>
      </c>
      <c r="B264" s="1005">
        <f t="shared" si="52"/>
        <v>46274</v>
      </c>
      <c r="C264" s="1150">
        <f t="shared" si="53"/>
        <v>24</v>
      </c>
      <c r="D264" s="1150">
        <f t="shared" si="54"/>
        <v>253</v>
      </c>
      <c r="E264" s="1006" t="str">
        <f t="shared" si="55"/>
        <v>D</v>
      </c>
      <c r="F264" s="1007" t="str">
        <f t="shared" si="56"/>
        <v>A</v>
      </c>
      <c r="G264" s="1236">
        <f t="shared" si="57"/>
        <v>85466</v>
      </c>
      <c r="H264" s="1138">
        <f t="shared" si="58"/>
        <v>0.90555555555555556</v>
      </c>
      <c r="I264" s="1009">
        <v>0.90277777777777779</v>
      </c>
      <c r="J264" s="1010">
        <f t="shared" si="59"/>
        <v>44</v>
      </c>
      <c r="K264" s="1011"/>
      <c r="L264" s="1012"/>
      <c r="M264" s="1013"/>
      <c r="N264" s="1014" t="str">
        <f t="shared" si="60"/>
        <v/>
      </c>
      <c r="O264" s="1323" t="s">
        <v>530</v>
      </c>
      <c r="P264" s="1324"/>
      <c r="Q264" s="1324"/>
      <c r="R264" s="1324"/>
      <c r="S264" s="1324"/>
      <c r="T264" s="1325"/>
      <c r="U264" s="1015">
        <v>1.8</v>
      </c>
      <c r="V264" s="1015"/>
      <c r="W264" s="1015"/>
      <c r="X264" s="1015"/>
      <c r="Y264" s="1015">
        <v>2.7</v>
      </c>
      <c r="Z264" s="1016">
        <f>'09월 에너지'!S266</f>
        <v>143.9</v>
      </c>
      <c r="AA264" s="1017">
        <v>2546</v>
      </c>
      <c r="AB264" s="1208" t="s">
        <v>573</v>
      </c>
      <c r="AC264" s="1208" t="s">
        <v>532</v>
      </c>
      <c r="AD264" s="1208" t="s">
        <v>548</v>
      </c>
      <c r="AE264" s="1208"/>
      <c r="AF264" s="1208" t="s">
        <v>548</v>
      </c>
      <c r="AG264" s="1018">
        <f>'09월 화학성분'!AM264</f>
        <v>1253</v>
      </c>
      <c r="AH264" s="1006">
        <f t="shared" si="49"/>
        <v>8</v>
      </c>
      <c r="AI264" s="1019">
        <v>1595</v>
      </c>
      <c r="AJ264" s="1020">
        <v>0</v>
      </c>
      <c r="AK264" s="1021">
        <v>420</v>
      </c>
      <c r="AL264" s="1022">
        <v>10</v>
      </c>
      <c r="AM264" s="1155">
        <f>IF(AT264="","",3*'09월 에너지'!S266*(1/(3+7.8*(100-AT264)/AT264)))</f>
        <v>1.4052734375000002</v>
      </c>
      <c r="AN264" s="1023">
        <v>0.13055555555555556</v>
      </c>
      <c r="AO264" s="1024"/>
      <c r="AP264" s="1025"/>
      <c r="AQ264" s="1025"/>
      <c r="AR264" s="1149">
        <f t="shared" si="50"/>
        <v>15</v>
      </c>
      <c r="AS264" s="1093" t="str">
        <f t="shared" si="61"/>
        <v xml:space="preserve"> </v>
      </c>
      <c r="AT264" s="1156">
        <v>2.5</v>
      </c>
      <c r="AU264" s="449"/>
      <c r="AV264" s="1205"/>
    </row>
    <row r="265" spans="1:48" ht="16.5" customHeight="1">
      <c r="A265" s="1005">
        <f t="shared" si="51"/>
        <v>46274</v>
      </c>
      <c r="B265" s="1005">
        <f t="shared" si="52"/>
        <v>46274</v>
      </c>
      <c r="C265" s="1150">
        <f t="shared" si="53"/>
        <v>25</v>
      </c>
      <c r="D265" s="1150">
        <f t="shared" si="54"/>
        <v>254</v>
      </c>
      <c r="E265" s="1006" t="str">
        <f t="shared" si="55"/>
        <v>D</v>
      </c>
      <c r="F265" s="1007" t="str">
        <f t="shared" si="56"/>
        <v>B</v>
      </c>
      <c r="G265" s="1236">
        <f t="shared" si="57"/>
        <v>85467</v>
      </c>
      <c r="H265" s="1138">
        <f t="shared" si="58"/>
        <v>0.93611111111111112</v>
      </c>
      <c r="I265" s="1009">
        <v>0.93680555555555556</v>
      </c>
      <c r="J265" s="1010">
        <f t="shared" si="59"/>
        <v>48.999999999999986</v>
      </c>
      <c r="K265" s="1011"/>
      <c r="L265" s="1012"/>
      <c r="M265" s="1013"/>
      <c r="N265" s="1014" t="str">
        <f t="shared" si="60"/>
        <v/>
      </c>
      <c r="O265" s="1323" t="s">
        <v>749</v>
      </c>
      <c r="P265" s="1324"/>
      <c r="Q265" s="1324"/>
      <c r="R265" s="1324"/>
      <c r="S265" s="1324"/>
      <c r="T265" s="1325"/>
      <c r="U265" s="1015">
        <v>1.8</v>
      </c>
      <c r="V265" s="1015"/>
      <c r="W265" s="1015"/>
      <c r="X265" s="1015"/>
      <c r="Y265" s="1015"/>
      <c r="Z265" s="1016">
        <f>'09월 에너지'!S267</f>
        <v>145.30000000000001</v>
      </c>
      <c r="AA265" s="1017"/>
      <c r="AB265" s="1208"/>
      <c r="AC265" s="1208"/>
      <c r="AD265" s="1208"/>
      <c r="AE265" s="1208"/>
      <c r="AF265" s="1208"/>
      <c r="AG265" s="1018">
        <f>'09월 화학성분'!AM265</f>
        <v>2240</v>
      </c>
      <c r="AH265" s="1006">
        <f t="shared" si="49"/>
        <v>9</v>
      </c>
      <c r="AI265" s="1019">
        <v>1551</v>
      </c>
      <c r="AJ265" s="1020">
        <v>0</v>
      </c>
      <c r="AK265" s="1021">
        <v>555</v>
      </c>
      <c r="AL265" s="1022">
        <v>7</v>
      </c>
      <c r="AM265" s="1155">
        <f>IF(AT265="","",3*'09월 에너지'!S267*(1/(3+7.8*(100-AT265)/AT265)))</f>
        <v>2.1744643982356644</v>
      </c>
      <c r="AN265" s="1023">
        <v>0.12569444444444444</v>
      </c>
      <c r="AO265" s="1024"/>
      <c r="AP265" s="1025"/>
      <c r="AQ265" s="1025"/>
      <c r="AR265" s="1149" t="str">
        <f t="shared" si="50"/>
        <v/>
      </c>
      <c r="AS265" s="1093">
        <f t="shared" si="61"/>
        <v>2</v>
      </c>
      <c r="AT265" s="1156">
        <v>3.8</v>
      </c>
      <c r="AU265" s="449"/>
      <c r="AV265" s="1205"/>
    </row>
    <row r="266" spans="1:48" ht="16.5" customHeight="1">
      <c r="A266" s="1005">
        <f t="shared" si="51"/>
        <v>46274</v>
      </c>
      <c r="B266" s="1005">
        <f t="shared" si="52"/>
        <v>46274</v>
      </c>
      <c r="C266" s="1150">
        <f t="shared" si="53"/>
        <v>26</v>
      </c>
      <c r="D266" s="1150">
        <f t="shared" si="54"/>
        <v>255</v>
      </c>
      <c r="E266" s="1006" t="s">
        <v>624</v>
      </c>
      <c r="F266" s="1007" t="s">
        <v>534</v>
      </c>
      <c r="G266" s="1236">
        <v>85468</v>
      </c>
      <c r="H266" s="1138">
        <f t="shared" si="58"/>
        <v>0.97013888888888888</v>
      </c>
      <c r="I266" s="1009">
        <v>0.97083333333333333</v>
      </c>
      <c r="J266" s="1010">
        <f t="shared" si="59"/>
        <v>48.999999999999986</v>
      </c>
      <c r="K266" s="1011"/>
      <c r="L266" s="1012"/>
      <c r="M266" s="1013"/>
      <c r="N266" s="1014" t="str">
        <f t="shared" si="60"/>
        <v/>
      </c>
      <c r="O266" s="1323"/>
      <c r="P266" s="1324"/>
      <c r="Q266" s="1324"/>
      <c r="R266" s="1324"/>
      <c r="S266" s="1324"/>
      <c r="T266" s="1325"/>
      <c r="U266" s="1015">
        <v>1.8</v>
      </c>
      <c r="V266" s="1015"/>
      <c r="W266" s="1015"/>
      <c r="X266" s="1015"/>
      <c r="Y266" s="1015">
        <v>2.9</v>
      </c>
      <c r="Z266" s="1016">
        <f>'09월 에너지'!S268</f>
        <v>144.6</v>
      </c>
      <c r="AA266" s="1017"/>
      <c r="AB266" s="1208"/>
      <c r="AC266" s="1208"/>
      <c r="AD266" s="1208"/>
      <c r="AE266" s="1208"/>
      <c r="AF266" s="1208"/>
      <c r="AG266" s="1018">
        <f>'09월 화학성분'!AM266</f>
        <v>2898</v>
      </c>
      <c r="AH266" s="1006">
        <f t="shared" si="49"/>
        <v>10</v>
      </c>
      <c r="AI266" s="1019">
        <v>1574</v>
      </c>
      <c r="AJ266" s="1020">
        <v>0</v>
      </c>
      <c r="AK266" s="1021">
        <v>543</v>
      </c>
      <c r="AL266" s="1022">
        <v>7</v>
      </c>
      <c r="AM266" s="1155">
        <f>IF(AT266="","",3*'09월 에너지'!S268*(1/(3+7.8*(100-AT266)/AT266)))</f>
        <v>0.44712430426716138</v>
      </c>
      <c r="AN266" s="1023">
        <v>0.11944444444444445</v>
      </c>
      <c r="AO266" s="1024"/>
      <c r="AP266" s="1025"/>
      <c r="AQ266" s="1025"/>
      <c r="AR266" s="1149">
        <f t="shared" si="50"/>
        <v>16</v>
      </c>
      <c r="AS266" s="1093" t="str">
        <f t="shared" si="61"/>
        <v xml:space="preserve"> </v>
      </c>
      <c r="AT266" s="1156">
        <v>0.8</v>
      </c>
      <c r="AU266" s="449"/>
      <c r="AV266" s="1205"/>
    </row>
    <row r="267" spans="1:48" ht="16.5" customHeight="1">
      <c r="A267" s="1005">
        <f t="shared" si="51"/>
        <v>46274</v>
      </c>
      <c r="B267" s="1005">
        <f t="shared" si="52"/>
        <v>46274</v>
      </c>
      <c r="C267" s="1150">
        <f t="shared" si="53"/>
        <v>27</v>
      </c>
      <c r="D267" s="1150">
        <f t="shared" si="54"/>
        <v>256</v>
      </c>
      <c r="E267" s="1006" t="str">
        <f t="shared" si="55"/>
        <v>B</v>
      </c>
      <c r="F267" s="1007" t="s">
        <v>600</v>
      </c>
      <c r="G267" s="1236">
        <v>85469</v>
      </c>
      <c r="H267" s="1138">
        <f t="shared" si="58"/>
        <v>1.0041666666666667</v>
      </c>
      <c r="I267" s="1009">
        <v>6.9444444444444441E-3</v>
      </c>
      <c r="J267" s="1010">
        <f t="shared" si="59"/>
        <v>52</v>
      </c>
      <c r="K267" s="1011"/>
      <c r="L267" s="1012"/>
      <c r="M267" s="1013"/>
      <c r="N267" s="1014" t="str">
        <f t="shared" si="60"/>
        <v/>
      </c>
      <c r="O267" s="1323"/>
      <c r="P267" s="1324"/>
      <c r="Q267" s="1324"/>
      <c r="R267" s="1324"/>
      <c r="S267" s="1324"/>
      <c r="T267" s="1325"/>
      <c r="U267" s="1015">
        <v>1.8</v>
      </c>
      <c r="V267" s="1015"/>
      <c r="W267" s="1015"/>
      <c r="X267" s="1015"/>
      <c r="Y267" s="1015"/>
      <c r="Z267" s="1016">
        <f>'09월 에너지'!S269</f>
        <v>143.4</v>
      </c>
      <c r="AA267" s="1017"/>
      <c r="AB267" s="1208"/>
      <c r="AC267" s="1208"/>
      <c r="AD267" s="1208"/>
      <c r="AE267" s="1208"/>
      <c r="AF267" s="1208"/>
      <c r="AG267" s="1018">
        <f>'09월 화학성분'!AM267</f>
        <v>4044</v>
      </c>
      <c r="AH267" s="1006">
        <f t="shared" si="49"/>
        <v>11</v>
      </c>
      <c r="AI267" s="1019">
        <v>1554</v>
      </c>
      <c r="AJ267" s="1020">
        <v>0</v>
      </c>
      <c r="AK267" s="1021">
        <v>620</v>
      </c>
      <c r="AL267" s="1022">
        <v>6</v>
      </c>
      <c r="AM267" s="1155">
        <f>IF(AT267="","",3*'09월 에너지'!S269*(1/(3+7.8*(100-AT267)/AT267)))</f>
        <v>1.6285244360902258</v>
      </c>
      <c r="AN267" s="1023">
        <v>0.1111111111111111</v>
      </c>
      <c r="AO267" s="1024"/>
      <c r="AP267" s="1025"/>
      <c r="AQ267" s="1025"/>
      <c r="AR267" s="1149" t="str">
        <f t="shared" si="50"/>
        <v/>
      </c>
      <c r="AS267" s="1093">
        <f t="shared" si="61"/>
        <v>3</v>
      </c>
      <c r="AT267" s="1156">
        <v>2.9</v>
      </c>
      <c r="AU267" s="449"/>
      <c r="AV267" s="1205"/>
    </row>
    <row r="268" spans="1:48" ht="16.5" customHeight="1">
      <c r="A268" s="1005">
        <f t="shared" si="51"/>
        <v>46274</v>
      </c>
      <c r="B268" s="1005">
        <f t="shared" si="52"/>
        <v>46274</v>
      </c>
      <c r="C268" s="1150">
        <f t="shared" si="53"/>
        <v>28</v>
      </c>
      <c r="D268" s="1150">
        <f t="shared" si="54"/>
        <v>257</v>
      </c>
      <c r="E268" s="1006" t="str">
        <f t="shared" si="55"/>
        <v>B</v>
      </c>
      <c r="F268" s="1007" t="s">
        <v>534</v>
      </c>
      <c r="G268" s="1236">
        <v>85470</v>
      </c>
      <c r="H268" s="1138">
        <f t="shared" si="58"/>
        <v>4.0277777777777773E-2</v>
      </c>
      <c r="I268" s="1009">
        <v>4.1666666666666664E-2</v>
      </c>
      <c r="J268" s="1010">
        <f t="shared" si="59"/>
        <v>50</v>
      </c>
      <c r="K268" s="1011"/>
      <c r="L268" s="1012"/>
      <c r="M268" s="1013"/>
      <c r="N268" s="1014" t="str">
        <f t="shared" si="60"/>
        <v/>
      </c>
      <c r="O268" s="1323" t="s">
        <v>602</v>
      </c>
      <c r="P268" s="1324"/>
      <c r="Q268" s="1324"/>
      <c r="R268" s="1324"/>
      <c r="S268" s="1324"/>
      <c r="T268" s="1325"/>
      <c r="U268" s="1015">
        <v>1.8</v>
      </c>
      <c r="V268" s="1015"/>
      <c r="W268" s="1015"/>
      <c r="X268" s="1015"/>
      <c r="Y268" s="1015">
        <v>2.1</v>
      </c>
      <c r="Z268" s="1016">
        <f>'09월 에너지'!S270</f>
        <v>144</v>
      </c>
      <c r="AA268" s="1017"/>
      <c r="AB268" s="1208"/>
      <c r="AC268" s="1208"/>
      <c r="AD268" s="1208"/>
      <c r="AE268" s="1208"/>
      <c r="AF268" s="1208"/>
      <c r="AG268" s="1018">
        <f>'09월 화학성분'!AM268</f>
        <v>2776</v>
      </c>
      <c r="AH268" s="1006">
        <f t="shared" si="49"/>
        <v>12</v>
      </c>
      <c r="AI268" s="1019">
        <v>1556</v>
      </c>
      <c r="AJ268" s="1020">
        <v>0</v>
      </c>
      <c r="AK268" s="1021">
        <v>705</v>
      </c>
      <c r="AL268" s="1022">
        <v>5</v>
      </c>
      <c r="AM268" s="1155">
        <f>IF(AT268="","",3*'09월 에너지'!S270*(1/(3+7.8*(100-AT268)/AT268)))</f>
        <v>2.3878711307643714</v>
      </c>
      <c r="AN268" s="1023">
        <v>0.1763888888888889</v>
      </c>
      <c r="AO268" s="1024" t="s">
        <v>587</v>
      </c>
      <c r="AP268" s="1025" t="s">
        <v>750</v>
      </c>
      <c r="AQ268" s="1025" t="s">
        <v>751</v>
      </c>
      <c r="AR268" s="1149">
        <v>1</v>
      </c>
      <c r="AS268" s="1093" t="str">
        <f t="shared" si="61"/>
        <v xml:space="preserve"> </v>
      </c>
      <c r="AT268" s="1156">
        <v>4.2</v>
      </c>
      <c r="AU268" s="449"/>
      <c r="AV268" s="1205"/>
    </row>
    <row r="269" spans="1:48" ht="16.5" customHeight="1">
      <c r="A269" s="1005">
        <f t="shared" si="51"/>
        <v>46274</v>
      </c>
      <c r="B269" s="1005">
        <f t="shared" si="52"/>
        <v>46274</v>
      </c>
      <c r="C269" s="1150">
        <f t="shared" si="53"/>
        <v>29</v>
      </c>
      <c r="D269" s="1150">
        <f t="shared" si="54"/>
        <v>258</v>
      </c>
      <c r="E269" s="1006" t="str">
        <f t="shared" si="55"/>
        <v>B</v>
      </c>
      <c r="F269" s="1007" t="s">
        <v>600</v>
      </c>
      <c r="G269" s="1236">
        <v>85471</v>
      </c>
      <c r="H269" s="1138">
        <f t="shared" si="58"/>
        <v>7.4999999999999997E-2</v>
      </c>
      <c r="I269" s="1009">
        <v>7.8472222222222221E-2</v>
      </c>
      <c r="J269" s="1010">
        <f t="shared" si="59"/>
        <v>53</v>
      </c>
      <c r="K269" s="1011"/>
      <c r="L269" s="1012"/>
      <c r="M269" s="1013"/>
      <c r="N269" s="1014" t="str">
        <f t="shared" si="60"/>
        <v/>
      </c>
      <c r="O269" s="1323" t="s">
        <v>752</v>
      </c>
      <c r="P269" s="1324"/>
      <c r="Q269" s="1324"/>
      <c r="R269" s="1324"/>
      <c r="S269" s="1324"/>
      <c r="T269" s="1325"/>
      <c r="U269" s="1015">
        <v>1.8</v>
      </c>
      <c r="V269" s="1015"/>
      <c r="W269" s="1015"/>
      <c r="X269" s="1015"/>
      <c r="Y269" s="1015"/>
      <c r="Z269" s="1016">
        <f>'09월 에너지'!S271</f>
        <v>139.1</v>
      </c>
      <c r="AA269" s="1017">
        <v>2442</v>
      </c>
      <c r="AB269" s="1208" t="s">
        <v>573</v>
      </c>
      <c r="AC269" s="1208" t="s">
        <v>532</v>
      </c>
      <c r="AD269" s="1208" t="s">
        <v>548</v>
      </c>
      <c r="AE269" s="1208"/>
      <c r="AF269" s="1208" t="s">
        <v>548</v>
      </c>
      <c r="AG269" s="1018">
        <f>'09월 화학성분'!AM269</f>
        <v>2990</v>
      </c>
      <c r="AH269" s="1006">
        <f t="shared" ref="AH269:AH332" si="62">IF(I269="","",AH268+1)</f>
        <v>13</v>
      </c>
      <c r="AI269" s="1019">
        <v>1547</v>
      </c>
      <c r="AJ269" s="1020">
        <v>0</v>
      </c>
      <c r="AK269" s="1021">
        <v>371</v>
      </c>
      <c r="AL269" s="1022">
        <v>12</v>
      </c>
      <c r="AM269" s="1155">
        <f>IF(AT269="","",3*'09월 에너지'!S271*(1/(3+7.8*(100-AT269)/AT269)))</f>
        <v>0.97378655880522702</v>
      </c>
      <c r="AN269" s="1023">
        <v>0.20138888888888887</v>
      </c>
      <c r="AO269" s="1024"/>
      <c r="AP269" s="1025"/>
      <c r="AQ269" s="1025"/>
      <c r="AR269" s="1149" t="str">
        <f t="shared" ref="AR269:AR332" si="63">IF(F269="A",IFERROR(IF(I269="","",IF(F269="A",AR268+1," ")),AR267+1),"")</f>
        <v/>
      </c>
      <c r="AS269" s="1093">
        <f t="shared" si="61"/>
        <v>4</v>
      </c>
      <c r="AT269" s="1156">
        <v>1.8</v>
      </c>
      <c r="AU269" s="449"/>
      <c r="AV269" s="1205"/>
    </row>
    <row r="270" spans="1:48" ht="16.5" customHeight="1">
      <c r="A270" s="1005">
        <f t="shared" ref="A270:A333" si="64">IF(I270="","",A269)</f>
        <v>46274</v>
      </c>
      <c r="B270" s="1005">
        <f t="shared" ref="B270:B333" si="65">IF(J270="","",B269)</f>
        <v>46274</v>
      </c>
      <c r="C270" s="1150">
        <f t="shared" ref="C270:C333" si="66">IF(I270="","",IF(A270=A269,C269+1,1))</f>
        <v>30</v>
      </c>
      <c r="D270" s="1150">
        <f t="shared" ref="D270:D333" si="67">IF(C270="","",D269+1)</f>
        <v>259</v>
      </c>
      <c r="E270" s="1006" t="str">
        <f t="shared" ref="E270:E333" si="68">IF(C270="","",E269)</f>
        <v>B</v>
      </c>
      <c r="F270" s="1007" t="s">
        <v>578</v>
      </c>
      <c r="G270" s="1236">
        <v>85472</v>
      </c>
      <c r="H270" s="1138">
        <f t="shared" ref="H270:H333" si="69">IF(ISBLANK(I269),H269+C$8/1440,I269+C$8/1440)</f>
        <v>0.11180555555555555</v>
      </c>
      <c r="I270" s="1009">
        <v>0.11041666666666666</v>
      </c>
      <c r="J270" s="1010">
        <f t="shared" ref="J270:J333" si="70">IF(I270="","",IF(I270&lt;I269,(I270-I269)*1440+1440,(I270-I269)*1440))</f>
        <v>46</v>
      </c>
      <c r="K270" s="1011"/>
      <c r="L270" s="1012"/>
      <c r="M270" s="1013"/>
      <c r="N270" s="1014" t="str">
        <f t="shared" ref="N270:N333" si="71">IF(M270="","",M270+K270/1440)</f>
        <v/>
      </c>
      <c r="O270" s="1323"/>
      <c r="P270" s="1324"/>
      <c r="Q270" s="1324"/>
      <c r="R270" s="1324"/>
      <c r="S270" s="1324"/>
      <c r="T270" s="1325"/>
      <c r="U270" s="1015">
        <v>1.8</v>
      </c>
      <c r="V270" s="1015"/>
      <c r="W270" s="1015"/>
      <c r="X270" s="1015"/>
      <c r="Y270" s="1015">
        <v>2.2000000000000002</v>
      </c>
      <c r="Z270" s="1016">
        <f>'09월 에너지'!S272</f>
        <v>144.1</v>
      </c>
      <c r="AA270" s="1017"/>
      <c r="AB270" s="1208"/>
      <c r="AC270" s="1208"/>
      <c r="AD270" s="1208"/>
      <c r="AE270" s="1208"/>
      <c r="AF270" s="1208"/>
      <c r="AG270" s="1018">
        <f>'09월 화학성분'!AM270</f>
        <v>1660</v>
      </c>
      <c r="AH270" s="1006">
        <f t="shared" si="62"/>
        <v>14</v>
      </c>
      <c r="AI270" s="1019">
        <v>1563</v>
      </c>
      <c r="AJ270" s="1020">
        <v>0</v>
      </c>
      <c r="AK270" s="1021">
        <v>167</v>
      </c>
      <c r="AL270" s="1022">
        <v>9</v>
      </c>
      <c r="AM270" s="1155">
        <f>IF(AT270="","",3*'09월 에너지'!S272*(1/(3+7.8*(100-AT270)/AT270)))</f>
        <v>1.1222741433021806</v>
      </c>
      <c r="AN270" s="1023">
        <v>3.14</v>
      </c>
      <c r="AO270" s="1024"/>
      <c r="AP270" s="1025"/>
      <c r="AQ270" s="1025"/>
      <c r="AR270" s="1149">
        <f t="shared" si="63"/>
        <v>2</v>
      </c>
      <c r="AS270" s="1093" t="str">
        <f t="shared" ref="AS270:AS333" si="72">IFERROR(IF($I270="","",IF($F270="B",AS269+1," ")),AS268+1)</f>
        <v xml:space="preserve"> </v>
      </c>
      <c r="AT270" s="1156">
        <v>2</v>
      </c>
      <c r="AU270" s="449"/>
      <c r="AV270" s="1205"/>
    </row>
    <row r="271" spans="1:48" ht="16.5" customHeight="1">
      <c r="A271" s="1005">
        <f t="shared" si="64"/>
        <v>46274</v>
      </c>
      <c r="B271" s="1005">
        <f t="shared" si="65"/>
        <v>46274</v>
      </c>
      <c r="C271" s="1150">
        <f t="shared" si="66"/>
        <v>31</v>
      </c>
      <c r="D271" s="1150">
        <f t="shared" si="67"/>
        <v>260</v>
      </c>
      <c r="E271" s="1006" t="str">
        <f t="shared" si="68"/>
        <v>B</v>
      </c>
      <c r="F271" s="1007" t="s">
        <v>624</v>
      </c>
      <c r="G271" s="1236">
        <v>85473</v>
      </c>
      <c r="H271" s="1138">
        <f t="shared" si="69"/>
        <v>0.14374999999999999</v>
      </c>
      <c r="I271" s="1009">
        <v>0.14166666666666666</v>
      </c>
      <c r="J271" s="1010">
        <f t="shared" si="70"/>
        <v>45</v>
      </c>
      <c r="K271" s="1011"/>
      <c r="L271" s="1012"/>
      <c r="M271" s="1013"/>
      <c r="N271" s="1014" t="str">
        <f t="shared" si="71"/>
        <v/>
      </c>
      <c r="O271" s="1323"/>
      <c r="P271" s="1324"/>
      <c r="Q271" s="1324"/>
      <c r="R271" s="1324"/>
      <c r="S271" s="1324"/>
      <c r="T271" s="1325"/>
      <c r="U271" s="1015">
        <v>1.8</v>
      </c>
      <c r="V271" s="1015"/>
      <c r="W271" s="1015"/>
      <c r="X271" s="1015"/>
      <c r="Y271" s="1015"/>
      <c r="Z271" s="1016">
        <f>'09월 에너지'!S273</f>
        <v>141.4</v>
      </c>
      <c r="AA271" s="1017"/>
      <c r="AB271" s="1208"/>
      <c r="AC271" s="1208"/>
      <c r="AD271" s="1208"/>
      <c r="AE271" s="1208"/>
      <c r="AF271" s="1208"/>
      <c r="AG271" s="1018">
        <f>'09월 화학성분'!AM271</f>
        <v>1743</v>
      </c>
      <c r="AH271" s="1006">
        <f t="shared" si="62"/>
        <v>15</v>
      </c>
      <c r="AI271" s="1019">
        <v>1588</v>
      </c>
      <c r="AJ271" s="1020">
        <v>0</v>
      </c>
      <c r="AK271" s="1021">
        <v>592</v>
      </c>
      <c r="AL271" s="1022">
        <v>7</v>
      </c>
      <c r="AM271" s="1155">
        <f>IF(AT271="","",3*'09월 에너지'!S273*(1/(3+7.8*(100-AT271)/AT271)))</f>
        <v>1.6622257053291536</v>
      </c>
      <c r="AN271" s="1023">
        <v>0.125</v>
      </c>
      <c r="AO271" s="1024"/>
      <c r="AP271" s="1025"/>
      <c r="AQ271" s="1025"/>
      <c r="AR271" s="1149" t="str">
        <f t="shared" si="63"/>
        <v/>
      </c>
      <c r="AS271" s="1093">
        <f t="shared" si="72"/>
        <v>5</v>
      </c>
      <c r="AT271" s="1156">
        <v>3</v>
      </c>
      <c r="AU271" s="449"/>
      <c r="AV271" s="1205"/>
    </row>
    <row r="272" spans="1:48" ht="16.5" customHeight="1">
      <c r="A272" s="1005">
        <v>46275</v>
      </c>
      <c r="B272" s="1005">
        <f t="shared" si="65"/>
        <v>46274</v>
      </c>
      <c r="C272" s="1150">
        <f t="shared" si="66"/>
        <v>1</v>
      </c>
      <c r="D272" s="1150">
        <f t="shared" si="67"/>
        <v>261</v>
      </c>
      <c r="E272" s="1006" t="str">
        <f t="shared" si="68"/>
        <v>B</v>
      </c>
      <c r="F272" s="1007" t="s">
        <v>578</v>
      </c>
      <c r="G272" s="1236">
        <v>85474</v>
      </c>
      <c r="H272" s="1138">
        <f t="shared" si="69"/>
        <v>0.17499999999999999</v>
      </c>
      <c r="I272" s="1009">
        <v>0.17430555555555557</v>
      </c>
      <c r="J272" s="1010">
        <f t="shared" si="70"/>
        <v>47.000000000000036</v>
      </c>
      <c r="K272" s="1011"/>
      <c r="L272" s="1012"/>
      <c r="M272" s="1013"/>
      <c r="N272" s="1014" t="str">
        <f t="shared" si="71"/>
        <v/>
      </c>
      <c r="O272" s="1338" t="s">
        <v>753</v>
      </c>
      <c r="P272" s="1339"/>
      <c r="Q272" s="1339"/>
      <c r="R272" s="1339"/>
      <c r="S272" s="1339"/>
      <c r="T272" s="1340"/>
      <c r="U272" s="1015">
        <v>1.8</v>
      </c>
      <c r="V272" s="1015"/>
      <c r="W272" s="1015"/>
      <c r="X272" s="1015"/>
      <c r="Y272" s="1015">
        <v>2.4</v>
      </c>
      <c r="Z272" s="1016">
        <f>'09월 에너지'!S274</f>
        <v>144.69999999999999</v>
      </c>
      <c r="AA272" s="1017"/>
      <c r="AB272" s="1208"/>
      <c r="AC272" s="1208"/>
      <c r="AD272" s="1208"/>
      <c r="AE272" s="1208"/>
      <c r="AF272" s="1208"/>
      <c r="AG272" s="1018">
        <f>'09월 화학성분'!AM272</f>
        <v>1888</v>
      </c>
      <c r="AH272" s="1006">
        <f t="shared" si="62"/>
        <v>16</v>
      </c>
      <c r="AI272" s="1019">
        <v>1570</v>
      </c>
      <c r="AJ272" s="1020">
        <v>0</v>
      </c>
      <c r="AK272" s="1021">
        <v>483</v>
      </c>
      <c r="AL272" s="1022">
        <v>9</v>
      </c>
      <c r="AM272" s="1155">
        <f>IF(AT272="","",3*'09월 에너지'!S274*(1/(3+7.8*(100-AT272)/AT272)))</f>
        <v>1.1840321072319202</v>
      </c>
      <c r="AN272" s="1023">
        <v>0.12222222222222223</v>
      </c>
      <c r="AO272" s="1024"/>
      <c r="AP272" s="1025"/>
      <c r="AQ272" s="1025"/>
      <c r="AR272" s="1149">
        <f t="shared" si="63"/>
        <v>3</v>
      </c>
      <c r="AS272" s="1093" t="str">
        <f t="shared" si="72"/>
        <v xml:space="preserve"> </v>
      </c>
      <c r="AT272" s="1156">
        <v>2.1</v>
      </c>
      <c r="AU272" s="449"/>
      <c r="AV272" s="1205"/>
    </row>
    <row r="273" spans="1:48" ht="16.5" customHeight="1">
      <c r="A273" s="1005">
        <f t="shared" si="64"/>
        <v>46275</v>
      </c>
      <c r="B273" s="1005">
        <f t="shared" si="65"/>
        <v>46274</v>
      </c>
      <c r="C273" s="1150">
        <f t="shared" si="66"/>
        <v>2</v>
      </c>
      <c r="D273" s="1150">
        <f t="shared" si="67"/>
        <v>262</v>
      </c>
      <c r="E273" s="1006" t="str">
        <f t="shared" si="68"/>
        <v>B</v>
      </c>
      <c r="F273" s="1007" t="s">
        <v>624</v>
      </c>
      <c r="G273" s="1008">
        <v>85475</v>
      </c>
      <c r="H273" s="1138">
        <f t="shared" si="69"/>
        <v>0.2076388888888889</v>
      </c>
      <c r="I273" s="1009">
        <v>0.20833333333333334</v>
      </c>
      <c r="J273" s="1010">
        <f t="shared" si="70"/>
        <v>48.999999999999986</v>
      </c>
      <c r="K273" s="1011"/>
      <c r="L273" s="1012"/>
      <c r="M273" s="1013"/>
      <c r="N273" s="1014" t="str">
        <f t="shared" si="71"/>
        <v/>
      </c>
      <c r="O273" s="1338" t="s">
        <v>723</v>
      </c>
      <c r="P273" s="1339"/>
      <c r="Q273" s="1339"/>
      <c r="R273" s="1339"/>
      <c r="S273" s="1339"/>
      <c r="T273" s="1340"/>
      <c r="U273" s="1015">
        <v>1.8</v>
      </c>
      <c r="V273" s="1015"/>
      <c r="W273" s="1015"/>
      <c r="X273" s="1015"/>
      <c r="Y273" s="1015"/>
      <c r="Z273" s="1016">
        <f>'09월 에너지'!S275</f>
        <v>142.69999999999999</v>
      </c>
      <c r="AA273" s="1017"/>
      <c r="AB273" s="1208"/>
      <c r="AC273" s="1208"/>
      <c r="AD273" s="1208"/>
      <c r="AE273" s="1208"/>
      <c r="AF273" s="1208"/>
      <c r="AG273" s="1018">
        <f>'09월 화학성분'!AM273</f>
        <v>2929</v>
      </c>
      <c r="AH273" s="1006">
        <f t="shared" si="62"/>
        <v>17</v>
      </c>
      <c r="AI273" s="1019">
        <v>1575</v>
      </c>
      <c r="AJ273" s="1020">
        <v>42</v>
      </c>
      <c r="AK273" s="1021">
        <v>551</v>
      </c>
      <c r="AL273" s="1022">
        <v>7</v>
      </c>
      <c r="AM273" s="1155">
        <f>IF(AT273="","",3*'09월 에너지'!S275*(1/(3+7.8*(100-AT273)/AT273)))</f>
        <v>2.4821315623023406</v>
      </c>
      <c r="AN273" s="1023">
        <v>0.12430555555555556</v>
      </c>
      <c r="AO273" s="1024"/>
      <c r="AP273" s="1025"/>
      <c r="AQ273" s="1025"/>
      <c r="AR273" s="1149" t="str">
        <f t="shared" si="63"/>
        <v/>
      </c>
      <c r="AS273" s="1093">
        <f t="shared" si="72"/>
        <v>6</v>
      </c>
      <c r="AT273" s="1156">
        <v>4.4000000000000004</v>
      </c>
      <c r="AU273" s="449"/>
      <c r="AV273" s="1205"/>
    </row>
    <row r="274" spans="1:48" ht="16.5" customHeight="1">
      <c r="A274" s="1005">
        <f t="shared" si="64"/>
        <v>46275</v>
      </c>
      <c r="B274" s="1005">
        <f t="shared" si="65"/>
        <v>46274</v>
      </c>
      <c r="C274" s="1150">
        <f t="shared" si="66"/>
        <v>3</v>
      </c>
      <c r="D274" s="1150">
        <f t="shared" si="67"/>
        <v>263</v>
      </c>
      <c r="E274" s="1006" t="str">
        <f t="shared" si="68"/>
        <v>B</v>
      </c>
      <c r="F274" s="1007" t="s">
        <v>578</v>
      </c>
      <c r="G274" s="1008">
        <v>85476</v>
      </c>
      <c r="H274" s="1138">
        <f t="shared" si="69"/>
        <v>0.24166666666666667</v>
      </c>
      <c r="I274" s="1009">
        <v>0.24305555555555555</v>
      </c>
      <c r="J274" s="1010">
        <f t="shared" si="70"/>
        <v>49.999999999999986</v>
      </c>
      <c r="K274" s="1011"/>
      <c r="L274" s="1012"/>
      <c r="M274" s="1013"/>
      <c r="N274" s="1014" t="str">
        <f t="shared" si="71"/>
        <v/>
      </c>
      <c r="O274" s="1323" t="s">
        <v>530</v>
      </c>
      <c r="P274" s="1324"/>
      <c r="Q274" s="1324"/>
      <c r="R274" s="1324"/>
      <c r="S274" s="1324"/>
      <c r="T274" s="1325"/>
      <c r="U274" s="1015">
        <v>1.8</v>
      </c>
      <c r="V274" s="1015"/>
      <c r="W274" s="1015"/>
      <c r="X274" s="1015"/>
      <c r="Y274" s="1015"/>
      <c r="Z274" s="1016">
        <f>'09월 에너지'!S276</f>
        <v>144.4</v>
      </c>
      <c r="AA274" s="1017">
        <v>2150</v>
      </c>
      <c r="AB274" s="1208" t="s">
        <v>573</v>
      </c>
      <c r="AC274" s="1208" t="s">
        <v>532</v>
      </c>
      <c r="AD274" s="1208"/>
      <c r="AE274" s="1208"/>
      <c r="AF274" s="1208" t="s">
        <v>548</v>
      </c>
      <c r="AG274" s="1018">
        <f>'09월 화학성분'!AM274</f>
        <v>1683</v>
      </c>
      <c r="AH274" s="1006">
        <f t="shared" si="62"/>
        <v>18</v>
      </c>
      <c r="AI274" s="1019">
        <v>1545</v>
      </c>
      <c r="AJ274" s="1020">
        <v>0</v>
      </c>
      <c r="AK274" s="1021">
        <v>662</v>
      </c>
      <c r="AL274" s="1022">
        <v>6</v>
      </c>
      <c r="AM274" s="1155">
        <f>IF(AT274="","",3*'09월 에너지'!S276*(1/(3+7.8*(100-AT274)/AT274)))</f>
        <v>0.95413557213930356</v>
      </c>
      <c r="AN274" s="1023">
        <v>0.11458333333333333</v>
      </c>
      <c r="AO274" s="1024"/>
      <c r="AP274" s="1025"/>
      <c r="AQ274" s="1025"/>
      <c r="AR274" s="1149">
        <f t="shared" si="63"/>
        <v>4</v>
      </c>
      <c r="AS274" s="1093" t="str">
        <f t="shared" si="72"/>
        <v xml:space="preserve"> </v>
      </c>
      <c r="AT274" s="1156">
        <v>1.7</v>
      </c>
      <c r="AU274" s="449"/>
      <c r="AV274" s="1205"/>
    </row>
    <row r="275" spans="1:48" ht="16.5" customHeight="1">
      <c r="A275" s="1005">
        <f t="shared" si="64"/>
        <v>46275</v>
      </c>
      <c r="B275" s="1005">
        <v>46275</v>
      </c>
      <c r="C275" s="1150">
        <f t="shared" si="66"/>
        <v>4</v>
      </c>
      <c r="D275" s="1150">
        <f t="shared" si="67"/>
        <v>264</v>
      </c>
      <c r="E275" s="1006" t="s">
        <v>582</v>
      </c>
      <c r="F275" s="1007" t="s">
        <v>600</v>
      </c>
      <c r="G275" s="1008">
        <v>85477</v>
      </c>
      <c r="H275" s="1138">
        <f t="shared" si="69"/>
        <v>0.27638888888888891</v>
      </c>
      <c r="I275" s="1009">
        <v>0.27638888888888885</v>
      </c>
      <c r="J275" s="1010">
        <f t="shared" si="70"/>
        <v>47.99999999999995</v>
      </c>
      <c r="K275" s="1011"/>
      <c r="L275" s="1012">
        <v>2</v>
      </c>
      <c r="M275" s="1013"/>
      <c r="N275" s="1014" t="str">
        <f t="shared" si="71"/>
        <v/>
      </c>
      <c r="O275" s="1323" t="s">
        <v>755</v>
      </c>
      <c r="P275" s="1324"/>
      <c r="Q275" s="1324"/>
      <c r="R275" s="1324"/>
      <c r="S275" s="1324"/>
      <c r="T275" s="1325"/>
      <c r="U275" s="1015">
        <v>1.8</v>
      </c>
      <c r="V275" s="1015"/>
      <c r="W275" s="1015"/>
      <c r="X275" s="1015"/>
      <c r="Y275" s="1015"/>
      <c r="Z275" s="1016">
        <f>'09월 에너지'!S277</f>
        <v>145.30000000000001</v>
      </c>
      <c r="AA275" s="1017"/>
      <c r="AB275" s="1208"/>
      <c r="AC275" s="1208"/>
      <c r="AD275" s="1208"/>
      <c r="AE275" s="1208"/>
      <c r="AF275" s="1208"/>
      <c r="AG275" s="1018">
        <f>'09월 화학성분'!AM275</f>
        <v>1857</v>
      </c>
      <c r="AH275" s="1006">
        <f t="shared" si="62"/>
        <v>19</v>
      </c>
      <c r="AI275" s="1019">
        <v>1580</v>
      </c>
      <c r="AJ275" s="1020">
        <v>56</v>
      </c>
      <c r="AK275" s="1021">
        <v>875</v>
      </c>
      <c r="AL275" s="1022">
        <v>4</v>
      </c>
      <c r="AM275" s="1155">
        <f>IF(AT275="","",3*'09월 에너지'!S277*(1/(3+7.8*(100-AT275)/AT275)))</f>
        <v>2.4094283006948833</v>
      </c>
      <c r="AN275" s="1023">
        <v>0.12083333333333333</v>
      </c>
      <c r="AO275" s="1024"/>
      <c r="AP275" s="1025"/>
      <c r="AQ275" s="1025"/>
      <c r="AR275" s="1149" t="str">
        <f t="shared" si="63"/>
        <v/>
      </c>
      <c r="AS275" s="1093">
        <f t="shared" si="72"/>
        <v>7</v>
      </c>
      <c r="AT275" s="1156">
        <v>4.2</v>
      </c>
      <c r="AU275" s="449"/>
      <c r="AV275" s="1205"/>
    </row>
    <row r="276" spans="1:48" ht="16.5" customHeight="1">
      <c r="A276" s="1005">
        <f t="shared" si="64"/>
        <v>46275</v>
      </c>
      <c r="B276" s="1005">
        <f t="shared" si="65"/>
        <v>46275</v>
      </c>
      <c r="C276" s="1150">
        <f t="shared" si="66"/>
        <v>5</v>
      </c>
      <c r="D276" s="1150">
        <f t="shared" si="67"/>
        <v>265</v>
      </c>
      <c r="E276" s="1006" t="str">
        <f t="shared" si="68"/>
        <v>C</v>
      </c>
      <c r="F276" s="1007" t="s">
        <v>534</v>
      </c>
      <c r="G276" s="1008">
        <f t="shared" ref="G276:G333" si="73">IF(C276="","",G275+1)</f>
        <v>85478</v>
      </c>
      <c r="H276" s="1138">
        <f t="shared" si="69"/>
        <v>0.30972222222222218</v>
      </c>
      <c r="I276" s="1009">
        <v>0.31111111111111112</v>
      </c>
      <c r="J276" s="1010">
        <f t="shared" si="70"/>
        <v>50.000000000000064</v>
      </c>
      <c r="K276" s="1011"/>
      <c r="L276" s="1012"/>
      <c r="M276" s="1013"/>
      <c r="N276" s="1014" t="str">
        <f t="shared" si="71"/>
        <v/>
      </c>
      <c r="O276" s="1338" t="s">
        <v>754</v>
      </c>
      <c r="P276" s="1339"/>
      <c r="Q276" s="1339"/>
      <c r="R276" s="1339"/>
      <c r="S276" s="1339"/>
      <c r="T276" s="1340"/>
      <c r="U276" s="1015">
        <v>1.8</v>
      </c>
      <c r="V276" s="1015"/>
      <c r="W276" s="1015"/>
      <c r="X276" s="1015"/>
      <c r="Y276" s="1015"/>
      <c r="Z276" s="1016">
        <f>'09월 에너지'!S278</f>
        <v>144.5</v>
      </c>
      <c r="AA276" s="1017"/>
      <c r="AB276" s="1208"/>
      <c r="AC276" s="1208"/>
      <c r="AD276" s="1208"/>
      <c r="AE276" s="1208"/>
      <c r="AF276" s="1208"/>
      <c r="AG276" s="1018">
        <f>'09월 화학성분'!AM276</f>
        <v>1906</v>
      </c>
      <c r="AH276" s="1006">
        <f t="shared" si="62"/>
        <v>20</v>
      </c>
      <c r="AI276" s="1019">
        <v>1605</v>
      </c>
      <c r="AJ276" s="1020">
        <v>0</v>
      </c>
      <c r="AK276" s="1021">
        <v>811</v>
      </c>
      <c r="AL276" s="1022">
        <v>5</v>
      </c>
      <c r="AM276" s="1155">
        <f>IF(AT276="","",3*'09월 에너지'!S278*(1/(3+7.8*(100-AT276)/AT276)))</f>
        <v>0.39072156983930778</v>
      </c>
      <c r="AN276" s="1023">
        <v>0.11458333333333333</v>
      </c>
      <c r="AO276" s="1024"/>
      <c r="AP276" s="1025"/>
      <c r="AQ276" s="1025"/>
      <c r="AR276" s="1149">
        <f t="shared" si="63"/>
        <v>5</v>
      </c>
      <c r="AS276" s="1093" t="str">
        <f t="shared" si="72"/>
        <v xml:space="preserve"> </v>
      </c>
      <c r="AT276" s="1156">
        <v>0.7</v>
      </c>
      <c r="AU276" s="449"/>
      <c r="AV276" s="1205"/>
    </row>
    <row r="277" spans="1:48" ht="16.5" customHeight="1">
      <c r="A277" s="1005">
        <f t="shared" si="64"/>
        <v>46275</v>
      </c>
      <c r="B277" s="1005">
        <f t="shared" si="65"/>
        <v>46275</v>
      </c>
      <c r="C277" s="1150">
        <f t="shared" si="66"/>
        <v>6</v>
      </c>
      <c r="D277" s="1150">
        <f t="shared" si="67"/>
        <v>266</v>
      </c>
      <c r="E277" s="1006" t="str">
        <f t="shared" si="68"/>
        <v>C</v>
      </c>
      <c r="F277" s="1007" t="s">
        <v>624</v>
      </c>
      <c r="G277" s="1008">
        <f t="shared" si="73"/>
        <v>85479</v>
      </c>
      <c r="H277" s="1138">
        <f t="shared" si="69"/>
        <v>0.34444444444444444</v>
      </c>
      <c r="I277" s="1009">
        <v>0.34652777777777777</v>
      </c>
      <c r="J277" s="1010">
        <f t="shared" si="70"/>
        <v>50.999999999999979</v>
      </c>
      <c r="K277" s="1011"/>
      <c r="L277" s="1012"/>
      <c r="M277" s="1013"/>
      <c r="N277" s="1014" t="str">
        <f t="shared" si="71"/>
        <v/>
      </c>
      <c r="O277" s="1326" t="s">
        <v>757</v>
      </c>
      <c r="P277" s="1327"/>
      <c r="Q277" s="1327"/>
      <c r="R277" s="1327"/>
      <c r="S277" s="1327"/>
      <c r="T277" s="1328"/>
      <c r="U277" s="1015"/>
      <c r="V277" s="1015"/>
      <c r="W277" s="1015"/>
      <c r="X277" s="1015"/>
      <c r="Y277" s="1015"/>
      <c r="Z277" s="1016">
        <f>'09월 에너지'!S279</f>
        <v>128.30000000000001</v>
      </c>
      <c r="AA277" s="1017"/>
      <c r="AB277" s="1208"/>
      <c r="AC277" s="1208"/>
      <c r="AD277" s="1208"/>
      <c r="AE277" s="1208"/>
      <c r="AF277" s="1208"/>
      <c r="AG277" s="1018">
        <f>'09월 화학성분'!AM277</f>
        <v>3683</v>
      </c>
      <c r="AH277" s="1006">
        <f t="shared" si="62"/>
        <v>21</v>
      </c>
      <c r="AI277" s="1019">
        <v>1570</v>
      </c>
      <c r="AJ277" s="1020">
        <v>100</v>
      </c>
      <c r="AK277" s="1021">
        <v>354</v>
      </c>
      <c r="AL277" s="1022">
        <v>13</v>
      </c>
      <c r="AM277" s="1155">
        <f>IF(AT277="","",3*'09월 에너지'!S279*(1/(3+7.8*(100-AT277)/AT277)))</f>
        <v>0.1978716841455892</v>
      </c>
      <c r="AN277" s="1023">
        <v>0.24027777777777778</v>
      </c>
      <c r="AO277" s="1024"/>
      <c r="AP277" s="1025"/>
      <c r="AQ277" s="1025"/>
      <c r="AR277" s="1149" t="str">
        <f t="shared" si="63"/>
        <v/>
      </c>
      <c r="AS277" s="1093">
        <f t="shared" si="72"/>
        <v>8</v>
      </c>
      <c r="AT277" s="1156">
        <v>0.4</v>
      </c>
      <c r="AU277" s="449"/>
      <c r="AV277" s="1205"/>
    </row>
    <row r="278" spans="1:48" ht="16.5" customHeight="1">
      <c r="A278" s="1005">
        <f t="shared" si="64"/>
        <v>46275</v>
      </c>
      <c r="B278" s="1005">
        <f t="shared" si="65"/>
        <v>46275</v>
      </c>
      <c r="C278" s="1150">
        <f t="shared" si="66"/>
        <v>7</v>
      </c>
      <c r="D278" s="1150">
        <f t="shared" si="67"/>
        <v>267</v>
      </c>
      <c r="E278" s="1006" t="str">
        <f t="shared" si="68"/>
        <v>C</v>
      </c>
      <c r="F278" s="1007" t="s">
        <v>578</v>
      </c>
      <c r="G278" s="1008">
        <f t="shared" si="73"/>
        <v>85480</v>
      </c>
      <c r="H278" s="1138">
        <f t="shared" si="69"/>
        <v>0.37986111111111109</v>
      </c>
      <c r="I278" s="1009">
        <v>0.37638888888888888</v>
      </c>
      <c r="J278" s="1010">
        <f t="shared" si="70"/>
        <v>43.000000000000007</v>
      </c>
      <c r="K278" s="1011">
        <v>4</v>
      </c>
      <c r="L278" s="1012"/>
      <c r="M278" s="1013">
        <v>0.36874999999999997</v>
      </c>
      <c r="N278" s="1014">
        <f t="shared" si="71"/>
        <v>0.37152777777777773</v>
      </c>
      <c r="O278" s="1326" t="s">
        <v>759</v>
      </c>
      <c r="P278" s="1327"/>
      <c r="Q278" s="1327"/>
      <c r="R278" s="1327"/>
      <c r="S278" s="1327"/>
      <c r="T278" s="1328"/>
      <c r="U278" s="1015">
        <v>1.8</v>
      </c>
      <c r="V278" s="1015"/>
      <c r="W278" s="1015"/>
      <c r="X278" s="1015"/>
      <c r="Y278" s="1015"/>
      <c r="Z278" s="1016">
        <f>'09월 에너지'!S280</f>
        <v>144.9</v>
      </c>
      <c r="AA278" s="1017"/>
      <c r="AB278" s="1208"/>
      <c r="AC278" s="1208"/>
      <c r="AD278" s="1208"/>
      <c r="AE278" s="1208"/>
      <c r="AF278" s="1208"/>
      <c r="AG278" s="1018">
        <f>'09월 화학성분'!AM278</f>
        <v>2622</v>
      </c>
      <c r="AH278" s="1006">
        <f t="shared" si="62"/>
        <v>22</v>
      </c>
      <c r="AI278" s="1019">
        <v>1599</v>
      </c>
      <c r="AJ278" s="1020">
        <v>0</v>
      </c>
      <c r="AK278" s="1021">
        <v>457</v>
      </c>
      <c r="AL278" s="1022">
        <v>9</v>
      </c>
      <c r="AM278" s="1155">
        <f>IF(AT278="","",3*'09월 에너지'!S280*(1/(3+7.8*(100-AT278)/AT278)))</f>
        <v>0.33562384187770233</v>
      </c>
      <c r="AN278" s="1023">
        <v>0.11041666666666666</v>
      </c>
      <c r="AO278" s="1024"/>
      <c r="AP278" s="1025"/>
      <c r="AQ278" s="1025"/>
      <c r="AR278" s="1149">
        <f t="shared" si="63"/>
        <v>6</v>
      </c>
      <c r="AS278" s="1093" t="str">
        <f t="shared" si="72"/>
        <v xml:space="preserve"> </v>
      </c>
      <c r="AT278" s="1156">
        <v>0.6</v>
      </c>
      <c r="AU278" s="449"/>
      <c r="AV278" s="1205"/>
    </row>
    <row r="279" spans="1:48" ht="16.5" customHeight="1">
      <c r="A279" s="1005">
        <f t="shared" si="64"/>
        <v>46275</v>
      </c>
      <c r="B279" s="1005">
        <f t="shared" si="65"/>
        <v>46275</v>
      </c>
      <c r="C279" s="1150">
        <f t="shared" si="66"/>
        <v>8</v>
      </c>
      <c r="D279" s="1150">
        <f t="shared" si="67"/>
        <v>268</v>
      </c>
      <c r="E279" s="1006" t="str">
        <f t="shared" si="68"/>
        <v>C</v>
      </c>
      <c r="F279" s="1007" t="s">
        <v>534</v>
      </c>
      <c r="G279" s="1008">
        <f t="shared" si="73"/>
        <v>85481</v>
      </c>
      <c r="H279" s="1138">
        <f t="shared" si="69"/>
        <v>0.40972222222222221</v>
      </c>
      <c r="I279" s="1009">
        <v>0.42777777777777781</v>
      </c>
      <c r="J279" s="1010">
        <f t="shared" si="70"/>
        <v>74.000000000000057</v>
      </c>
      <c r="K279" s="1011">
        <v>16</v>
      </c>
      <c r="L279" s="1012"/>
      <c r="M279" s="1013">
        <v>0.37986111111111115</v>
      </c>
      <c r="N279" s="1014">
        <f t="shared" si="71"/>
        <v>0.39097222222222228</v>
      </c>
      <c r="O279" s="1326" t="s">
        <v>760</v>
      </c>
      <c r="P279" s="1327"/>
      <c r="Q279" s="1327"/>
      <c r="R279" s="1327"/>
      <c r="S279" s="1327"/>
      <c r="T279" s="1328"/>
      <c r="U279" s="1015"/>
      <c r="V279" s="1015"/>
      <c r="W279" s="1015"/>
      <c r="X279" s="1015"/>
      <c r="Y279" s="1015"/>
      <c r="Z279" s="1016">
        <f>'09월 에너지'!S281</f>
        <v>122.5</v>
      </c>
      <c r="AA279" s="1017">
        <v>1227</v>
      </c>
      <c r="AB279" s="1208" t="s">
        <v>573</v>
      </c>
      <c r="AC279" s="1208"/>
      <c r="AD279" s="1208"/>
      <c r="AE279" s="1208" t="s">
        <v>532</v>
      </c>
      <c r="AF279" s="1208"/>
      <c r="AG279" s="1018">
        <f>'09월 화학성분'!AM279</f>
        <v>3018</v>
      </c>
      <c r="AH279" s="1006">
        <f t="shared" si="62"/>
        <v>23</v>
      </c>
      <c r="AI279" s="1019">
        <v>1617</v>
      </c>
      <c r="AJ279" s="1020">
        <v>401</v>
      </c>
      <c r="AK279" s="1021">
        <v>602</v>
      </c>
      <c r="AL279" s="1022">
        <v>7</v>
      </c>
      <c r="AM279" s="1155">
        <f>IF(AT279="","",3*'09월 에너지'!S281*(1/(3+7.8*(100-AT279)/AT279)))</f>
        <v>10.868323963457485</v>
      </c>
      <c r="AN279" s="1023">
        <v>0.16597222222222222</v>
      </c>
      <c r="AO279" s="1024"/>
      <c r="AP279" s="1025"/>
      <c r="AQ279" s="1025"/>
      <c r="AR279" s="1149">
        <f t="shared" si="63"/>
        <v>7</v>
      </c>
      <c r="AS279" s="1093" t="str">
        <f t="shared" si="72"/>
        <v xml:space="preserve"> </v>
      </c>
      <c r="AT279" s="1156">
        <v>20.2</v>
      </c>
      <c r="AU279" s="449"/>
      <c r="AV279" s="1205"/>
    </row>
    <row r="280" spans="1:48" ht="16.5" customHeight="1">
      <c r="A280" s="1005">
        <f t="shared" si="64"/>
        <v>46275</v>
      </c>
      <c r="B280" s="1005">
        <f t="shared" si="65"/>
        <v>46275</v>
      </c>
      <c r="C280" s="1150">
        <f t="shared" si="66"/>
        <v>9</v>
      </c>
      <c r="D280" s="1150">
        <f t="shared" si="67"/>
        <v>269</v>
      </c>
      <c r="E280" s="1006" t="s">
        <v>558</v>
      </c>
      <c r="F280" s="1007" t="s">
        <v>534</v>
      </c>
      <c r="G280" s="1008">
        <f t="shared" si="73"/>
        <v>85482</v>
      </c>
      <c r="H280" s="1138">
        <f t="shared" si="69"/>
        <v>0.46111111111111114</v>
      </c>
      <c r="I280" s="1009">
        <v>0.77500000000000002</v>
      </c>
      <c r="J280" s="1010">
        <f t="shared" si="70"/>
        <v>500</v>
      </c>
      <c r="K280" s="1011">
        <v>453</v>
      </c>
      <c r="L280" s="1012"/>
      <c r="M280" s="1013">
        <v>0.42777777777777781</v>
      </c>
      <c r="N280" s="1014">
        <f t="shared" si="71"/>
        <v>0.74236111111111114</v>
      </c>
      <c r="O280" s="1338" t="s">
        <v>762</v>
      </c>
      <c r="P280" s="1324"/>
      <c r="Q280" s="1324"/>
      <c r="R280" s="1324"/>
      <c r="S280" s="1324"/>
      <c r="T280" s="1325"/>
      <c r="U280" s="1015"/>
      <c r="V280" s="1015">
        <v>6</v>
      </c>
      <c r="W280" s="1015"/>
      <c r="X280" s="1015"/>
      <c r="Y280" s="1015"/>
      <c r="Z280" s="1016">
        <f>'09월 에너지'!S282</f>
        <v>133.80000000000001</v>
      </c>
      <c r="AA280" s="1017"/>
      <c r="AB280" s="1208"/>
      <c r="AC280" s="1208"/>
      <c r="AD280" s="1208"/>
      <c r="AE280" s="1208"/>
      <c r="AF280" s="1208"/>
      <c r="AG280" s="1018">
        <f>'09월 화학성분'!AM280</f>
        <v>3045</v>
      </c>
      <c r="AH280" s="1006">
        <v>1</v>
      </c>
      <c r="AI280" s="1019">
        <v>1567</v>
      </c>
      <c r="AJ280" s="1020">
        <v>150</v>
      </c>
      <c r="AK280" s="1021">
        <v>700</v>
      </c>
      <c r="AL280" s="1022">
        <v>5</v>
      </c>
      <c r="AM280" s="1155">
        <f>IF(AT280="","",3*'09월 에너지'!S282*(1/(3+7.8*(100-AT280)/AT280)))</f>
        <v>0.20635410240592233</v>
      </c>
      <c r="AN280" s="1023">
        <v>0.20555555555555557</v>
      </c>
      <c r="AO280" s="1024"/>
      <c r="AP280" s="1025"/>
      <c r="AQ280" s="1025"/>
      <c r="AR280" s="1149">
        <v>8</v>
      </c>
      <c r="AS280" s="1093" t="str">
        <f t="shared" si="72"/>
        <v xml:space="preserve"> </v>
      </c>
      <c r="AT280" s="1156">
        <v>0.4</v>
      </c>
      <c r="AU280" s="449"/>
      <c r="AV280" s="1205"/>
    </row>
    <row r="281" spans="1:48" ht="16.5" customHeight="1">
      <c r="A281" s="1005">
        <f t="shared" si="64"/>
        <v>46275</v>
      </c>
      <c r="B281" s="1005">
        <f t="shared" si="65"/>
        <v>46275</v>
      </c>
      <c r="C281" s="1150">
        <f t="shared" si="66"/>
        <v>10</v>
      </c>
      <c r="D281" s="1150">
        <f t="shared" si="67"/>
        <v>270</v>
      </c>
      <c r="E281" s="1006" t="str">
        <f t="shared" si="68"/>
        <v>D</v>
      </c>
      <c r="F281" s="1007" t="s">
        <v>534</v>
      </c>
      <c r="G281" s="1008">
        <f t="shared" si="73"/>
        <v>85483</v>
      </c>
      <c r="H281" s="1138">
        <f t="shared" si="69"/>
        <v>0.80833333333333335</v>
      </c>
      <c r="I281" s="1009">
        <v>0.81597222222222221</v>
      </c>
      <c r="J281" s="1010">
        <f t="shared" si="70"/>
        <v>58.99999999999995</v>
      </c>
      <c r="K281" s="1011">
        <v>11</v>
      </c>
      <c r="L281" s="1012"/>
      <c r="M281" s="1013">
        <v>0.77500000000000002</v>
      </c>
      <c r="N281" s="1014">
        <f t="shared" si="71"/>
        <v>0.78263888888888888</v>
      </c>
      <c r="O281" s="1323" t="s">
        <v>623</v>
      </c>
      <c r="P281" s="1324"/>
      <c r="Q281" s="1324"/>
      <c r="R281" s="1324"/>
      <c r="S281" s="1324"/>
      <c r="T281" s="1325"/>
      <c r="U281" s="1015">
        <v>1.8</v>
      </c>
      <c r="V281" s="1015"/>
      <c r="W281" s="1015"/>
      <c r="X281" s="1015"/>
      <c r="Y281" s="1015">
        <v>2.9</v>
      </c>
      <c r="Z281" s="1016">
        <f>'09월 에너지'!S283</f>
        <v>139.4</v>
      </c>
      <c r="AA281" s="1017">
        <v>4876</v>
      </c>
      <c r="AB281" s="1208"/>
      <c r="AC281" s="1208"/>
      <c r="AD281" s="1208"/>
      <c r="AE281" s="1208"/>
      <c r="AF281" s="1208"/>
      <c r="AG281" s="1018">
        <f>'09월 화학성분'!AM281</f>
        <v>2557</v>
      </c>
      <c r="AH281" s="1006">
        <f t="shared" si="62"/>
        <v>2</v>
      </c>
      <c r="AI281" s="1019">
        <v>1577</v>
      </c>
      <c r="AJ281" s="1020">
        <v>0</v>
      </c>
      <c r="AK281" s="1021">
        <v>642</v>
      </c>
      <c r="AL281" s="1022">
        <v>6</v>
      </c>
      <c r="AM281" s="1155">
        <f>IF(AT281="","",3*'09월 에너지'!S283*(1/(3+7.8*(100-AT281)/AT281)))</f>
        <v>0.48522586633663378</v>
      </c>
      <c r="AN281" s="1023">
        <v>0.18819444444444444</v>
      </c>
      <c r="AO281" s="1024"/>
      <c r="AP281" s="1025"/>
      <c r="AQ281" s="1025"/>
      <c r="AR281" s="1149">
        <f t="shared" si="63"/>
        <v>9</v>
      </c>
      <c r="AS281" s="1093" t="str">
        <f t="shared" si="72"/>
        <v xml:space="preserve"> </v>
      </c>
      <c r="AT281" s="1156">
        <v>0.9</v>
      </c>
      <c r="AU281" s="449"/>
      <c r="AV281" s="1205" t="s">
        <v>683</v>
      </c>
    </row>
    <row r="282" spans="1:48" ht="16.5" customHeight="1">
      <c r="A282" s="1005">
        <f t="shared" si="64"/>
        <v>46275</v>
      </c>
      <c r="B282" s="1005">
        <f t="shared" si="65"/>
        <v>46275</v>
      </c>
      <c r="C282" s="1150">
        <f t="shared" si="66"/>
        <v>11</v>
      </c>
      <c r="D282" s="1150">
        <f t="shared" si="67"/>
        <v>271</v>
      </c>
      <c r="E282" s="1006" t="str">
        <f t="shared" si="68"/>
        <v>D</v>
      </c>
      <c r="F282" s="1007" t="s">
        <v>534</v>
      </c>
      <c r="G282" s="1008">
        <f t="shared" si="73"/>
        <v>85484</v>
      </c>
      <c r="H282" s="1138">
        <f t="shared" si="69"/>
        <v>0.84930555555555554</v>
      </c>
      <c r="I282" s="1009">
        <v>0.85833333333333339</v>
      </c>
      <c r="J282" s="1010">
        <f t="shared" si="70"/>
        <v>61.000000000000099</v>
      </c>
      <c r="K282" s="1011">
        <v>13</v>
      </c>
      <c r="L282" s="1012"/>
      <c r="M282" s="1013">
        <v>0.81597222222222221</v>
      </c>
      <c r="N282" s="1014">
        <f t="shared" si="71"/>
        <v>0.82499999999999996</v>
      </c>
      <c r="O282" s="1323" t="s">
        <v>763</v>
      </c>
      <c r="P282" s="1324"/>
      <c r="Q282" s="1324"/>
      <c r="R282" s="1324"/>
      <c r="S282" s="1324"/>
      <c r="T282" s="1325"/>
      <c r="U282" s="1015">
        <v>1.8</v>
      </c>
      <c r="V282" s="1015"/>
      <c r="W282" s="1015"/>
      <c r="X282" s="1015"/>
      <c r="Y282" s="1015">
        <v>2.7</v>
      </c>
      <c r="Z282" s="1016">
        <f>'09월 에너지'!S284</f>
        <v>145</v>
      </c>
      <c r="AA282" s="1017"/>
      <c r="AB282" s="1208"/>
      <c r="AC282" s="1208"/>
      <c r="AD282" s="1208"/>
      <c r="AE282" s="1208"/>
      <c r="AF282" s="1208"/>
      <c r="AG282" s="1018">
        <f>'09월 화학성분'!AM282</f>
        <v>3334</v>
      </c>
      <c r="AH282" s="1006">
        <f t="shared" si="62"/>
        <v>3</v>
      </c>
      <c r="AI282" s="1019">
        <v>1542</v>
      </c>
      <c r="AJ282" s="1020">
        <v>109</v>
      </c>
      <c r="AK282" s="1021">
        <v>922</v>
      </c>
      <c r="AL282" s="1022">
        <v>4</v>
      </c>
      <c r="AM282" s="1155">
        <f>IF(AT282="","",3*'09월 에너지'!S284*(1/(3+7.8*(100-AT282)/AT282)))</f>
        <v>0.2236273904996916</v>
      </c>
      <c r="AN282" s="1023">
        <v>0.21319444444444444</v>
      </c>
      <c r="AO282" s="1024"/>
      <c r="AP282" s="1025"/>
      <c r="AQ282" s="1025"/>
      <c r="AR282" s="1149">
        <f t="shared" si="63"/>
        <v>10</v>
      </c>
      <c r="AS282" s="1093" t="str">
        <f t="shared" si="72"/>
        <v xml:space="preserve"> </v>
      </c>
      <c r="AT282" s="1156">
        <v>0.4</v>
      </c>
      <c r="AU282" s="449"/>
      <c r="AV282" s="1205"/>
    </row>
    <row r="283" spans="1:48" ht="16.5" customHeight="1">
      <c r="A283" s="1005">
        <f t="shared" si="64"/>
        <v>46275</v>
      </c>
      <c r="B283" s="1005">
        <f t="shared" si="65"/>
        <v>46275</v>
      </c>
      <c r="C283" s="1150">
        <f t="shared" si="66"/>
        <v>12</v>
      </c>
      <c r="D283" s="1150">
        <f t="shared" si="67"/>
        <v>272</v>
      </c>
      <c r="E283" s="1006" t="str">
        <f t="shared" si="68"/>
        <v>D</v>
      </c>
      <c r="F283" s="1007" t="str">
        <f t="shared" ref="F283:F333" si="74">IF(C283="","",IF(F282="A","B","A"))</f>
        <v>B</v>
      </c>
      <c r="G283" s="1008">
        <f t="shared" si="73"/>
        <v>85485</v>
      </c>
      <c r="H283" s="1138">
        <f t="shared" si="69"/>
        <v>0.89166666666666672</v>
      </c>
      <c r="I283" s="1009">
        <v>0.91666666666666663</v>
      </c>
      <c r="J283" s="1010">
        <f t="shared" si="70"/>
        <v>83.999999999999858</v>
      </c>
      <c r="K283" s="1011">
        <v>13</v>
      </c>
      <c r="L283" s="1012">
        <v>16</v>
      </c>
      <c r="M283" s="1013">
        <v>0.85833333333333339</v>
      </c>
      <c r="N283" s="1014">
        <f t="shared" si="71"/>
        <v>0.86736111111111114</v>
      </c>
      <c r="O283" s="1323" t="s">
        <v>764</v>
      </c>
      <c r="P283" s="1324"/>
      <c r="Q283" s="1324"/>
      <c r="R283" s="1324"/>
      <c r="S283" s="1324"/>
      <c r="T283" s="1325"/>
      <c r="U283" s="1015"/>
      <c r="V283" s="1015"/>
      <c r="W283" s="1015"/>
      <c r="X283" s="1015"/>
      <c r="Y283" s="1015"/>
      <c r="Z283" s="1016">
        <f>'09월 에너지'!S285</f>
        <v>133.80000000000001</v>
      </c>
      <c r="AA283" s="1017">
        <v>3181</v>
      </c>
      <c r="AB283" s="1208"/>
      <c r="AC283" s="1208"/>
      <c r="AD283" s="1208"/>
      <c r="AE283" s="1208"/>
      <c r="AF283" s="1208"/>
      <c r="AG283" s="1018">
        <f>'09월 화학성분'!AM283</f>
        <v>2918</v>
      </c>
      <c r="AH283" s="1006">
        <f t="shared" si="62"/>
        <v>4</v>
      </c>
      <c r="AI283" s="1019">
        <v>1580</v>
      </c>
      <c r="AJ283" s="1020">
        <v>0</v>
      </c>
      <c r="AK283" s="1021">
        <v>472</v>
      </c>
      <c r="AL283" s="1022">
        <v>9</v>
      </c>
      <c r="AM283" s="1155">
        <f>IF(AT283="","",3*'09월 에너지'!S285*(1/(3+7.8*(100-AT283)/AT283)))</f>
        <v>5.149322660098523E-2</v>
      </c>
      <c r="AN283" s="1023">
        <v>0.19375000000000001</v>
      </c>
      <c r="AO283" s="1024"/>
      <c r="AP283" s="1025"/>
      <c r="AQ283" s="1025"/>
      <c r="AR283" s="1149" t="str">
        <f t="shared" si="63"/>
        <v/>
      </c>
      <c r="AS283" s="1093">
        <v>9</v>
      </c>
      <c r="AT283" s="1156">
        <v>0.1</v>
      </c>
      <c r="AU283" s="449"/>
      <c r="AV283" s="1205"/>
    </row>
    <row r="284" spans="1:48" ht="16.5" customHeight="1">
      <c r="A284" s="1005">
        <f t="shared" si="64"/>
        <v>46275</v>
      </c>
      <c r="B284" s="1005">
        <f t="shared" si="65"/>
        <v>46275</v>
      </c>
      <c r="C284" s="1150">
        <f t="shared" si="66"/>
        <v>13</v>
      </c>
      <c r="D284" s="1150">
        <f t="shared" si="67"/>
        <v>273</v>
      </c>
      <c r="E284" s="1006" t="str">
        <f t="shared" si="68"/>
        <v>D</v>
      </c>
      <c r="F284" s="1007" t="str">
        <f t="shared" si="74"/>
        <v>A</v>
      </c>
      <c r="G284" s="1008">
        <f t="shared" si="73"/>
        <v>85486</v>
      </c>
      <c r="H284" s="1138">
        <f t="shared" si="69"/>
        <v>0.95</v>
      </c>
      <c r="I284" s="1009">
        <v>0.93680555555555556</v>
      </c>
      <c r="J284" s="1010">
        <f t="shared" si="70"/>
        <v>29.000000000000057</v>
      </c>
      <c r="K284" s="1011"/>
      <c r="L284" s="1012"/>
      <c r="M284" s="1013"/>
      <c r="N284" s="1014" t="str">
        <f t="shared" si="71"/>
        <v/>
      </c>
      <c r="O284" s="1338" t="s">
        <v>765</v>
      </c>
      <c r="P284" s="1324"/>
      <c r="Q284" s="1324"/>
      <c r="R284" s="1324"/>
      <c r="S284" s="1324"/>
      <c r="T284" s="1325"/>
      <c r="U284" s="1015">
        <v>1.8</v>
      </c>
      <c r="V284" s="1015"/>
      <c r="W284" s="1015"/>
      <c r="X284" s="1015"/>
      <c r="Y284" s="1015">
        <v>2.8</v>
      </c>
      <c r="Z284" s="1016">
        <f>'09월 에너지'!S286</f>
        <v>144.5</v>
      </c>
      <c r="AA284" s="1017"/>
      <c r="AB284" s="1208"/>
      <c r="AC284" s="1208"/>
      <c r="AD284" s="1208"/>
      <c r="AE284" s="1208"/>
      <c r="AF284" s="1208"/>
      <c r="AG284" s="1018">
        <f>'09월 화학성분'!AM284</f>
        <v>2369</v>
      </c>
      <c r="AH284" s="1006">
        <f t="shared" si="62"/>
        <v>5</v>
      </c>
      <c r="AI284" s="1019">
        <v>1577</v>
      </c>
      <c r="AJ284" s="1020">
        <v>0</v>
      </c>
      <c r="AK284" s="1021">
        <v>962</v>
      </c>
      <c r="AL284" s="1022">
        <v>4</v>
      </c>
      <c r="AM284" s="1155">
        <f>IF(AT284="","",3*'09월 에너지'!S286*(1/(3+7.8*(100-AT284)/AT284)))</f>
        <v>0.22285626156693403</v>
      </c>
      <c r="AN284" s="1023">
        <v>0.18402777777777779</v>
      </c>
      <c r="AO284" s="1024"/>
      <c r="AP284" s="1025"/>
      <c r="AQ284" s="1025"/>
      <c r="AR284" s="1149">
        <f t="shared" si="63"/>
        <v>11</v>
      </c>
      <c r="AS284" s="1093" t="str">
        <f t="shared" si="72"/>
        <v xml:space="preserve"> </v>
      </c>
      <c r="AT284" s="1156">
        <v>0.4</v>
      </c>
      <c r="AU284" s="449"/>
      <c r="AV284" s="1205"/>
    </row>
    <row r="285" spans="1:48" ht="16.5" customHeight="1">
      <c r="A285" s="1005">
        <f t="shared" si="64"/>
        <v>46275</v>
      </c>
      <c r="B285" s="1005">
        <f t="shared" si="65"/>
        <v>46275</v>
      </c>
      <c r="C285" s="1150">
        <f t="shared" si="66"/>
        <v>14</v>
      </c>
      <c r="D285" s="1150">
        <f t="shared" si="67"/>
        <v>274</v>
      </c>
      <c r="E285" s="1006" t="s">
        <v>600</v>
      </c>
      <c r="F285" s="1007" t="str">
        <f t="shared" si="74"/>
        <v>B</v>
      </c>
      <c r="G285" s="1008">
        <f t="shared" si="73"/>
        <v>85487</v>
      </c>
      <c r="H285" s="1138">
        <f t="shared" si="69"/>
        <v>0.97013888888888888</v>
      </c>
      <c r="I285" s="1009">
        <v>0.97152777777777777</v>
      </c>
      <c r="J285" s="1010">
        <f t="shared" si="70"/>
        <v>49.999999999999986</v>
      </c>
      <c r="K285" s="1011"/>
      <c r="L285" s="1012"/>
      <c r="M285" s="1013"/>
      <c r="N285" s="1014" t="str">
        <f t="shared" si="71"/>
        <v/>
      </c>
      <c r="O285" s="1323"/>
      <c r="P285" s="1324"/>
      <c r="Q285" s="1324"/>
      <c r="R285" s="1324"/>
      <c r="S285" s="1324"/>
      <c r="T285" s="1325"/>
      <c r="U285" s="1015">
        <v>1.8</v>
      </c>
      <c r="V285" s="1015">
        <v>2.6</v>
      </c>
      <c r="W285" s="1015">
        <v>1.5</v>
      </c>
      <c r="X285" s="1015"/>
      <c r="Y285" s="1015"/>
      <c r="Z285" s="1016">
        <f>'09월 에너지'!S287</f>
        <v>144.4</v>
      </c>
      <c r="AA285" s="1017"/>
      <c r="AB285" s="1208"/>
      <c r="AC285" s="1208"/>
      <c r="AD285" s="1208"/>
      <c r="AE285" s="1208"/>
      <c r="AF285" s="1208"/>
      <c r="AG285" s="1018">
        <f>'09월 화학성분'!AM285</f>
        <v>2027</v>
      </c>
      <c r="AH285" s="1006">
        <f t="shared" si="62"/>
        <v>6</v>
      </c>
      <c r="AI285" s="1019">
        <v>1579</v>
      </c>
      <c r="AJ285" s="1020">
        <v>0</v>
      </c>
      <c r="AK285" s="1021">
        <v>566</v>
      </c>
      <c r="AL285" s="1022">
        <v>7</v>
      </c>
      <c r="AM285" s="1155">
        <f>IF(AT285="","",3*'09월 에너지'!S287*(1/(3+7.8*(100-AT285)/AT285)))</f>
        <v>0.39045117428924603</v>
      </c>
      <c r="AN285" s="1023">
        <v>0.19027777777777777</v>
      </c>
      <c r="AO285" s="1024"/>
      <c r="AP285" s="1025"/>
      <c r="AQ285" s="1025"/>
      <c r="AR285" s="1149" t="str">
        <f t="shared" si="63"/>
        <v/>
      </c>
      <c r="AS285" s="1093">
        <f t="shared" si="72"/>
        <v>10</v>
      </c>
      <c r="AT285" s="1156">
        <v>0.7</v>
      </c>
      <c r="AU285" s="449"/>
      <c r="AV285" s="1205"/>
    </row>
    <row r="286" spans="1:48" ht="16.5" customHeight="1">
      <c r="A286" s="1005">
        <f t="shared" si="64"/>
        <v>46275</v>
      </c>
      <c r="B286" s="1005">
        <f t="shared" si="65"/>
        <v>46275</v>
      </c>
      <c r="C286" s="1150">
        <f t="shared" si="66"/>
        <v>15</v>
      </c>
      <c r="D286" s="1150">
        <f t="shared" si="67"/>
        <v>275</v>
      </c>
      <c r="E286" s="1006" t="str">
        <f t="shared" si="68"/>
        <v>B</v>
      </c>
      <c r="F286" s="1007" t="str">
        <f t="shared" si="74"/>
        <v>A</v>
      </c>
      <c r="G286" s="1008">
        <f t="shared" si="73"/>
        <v>85488</v>
      </c>
      <c r="H286" s="1138">
        <f t="shared" si="69"/>
        <v>1.0048611111111112</v>
      </c>
      <c r="I286" s="1009">
        <v>3.472222222222222E-3</v>
      </c>
      <c r="J286" s="1010">
        <f t="shared" si="70"/>
        <v>46</v>
      </c>
      <c r="K286" s="1011"/>
      <c r="L286" s="1012"/>
      <c r="M286" s="1013"/>
      <c r="N286" s="1014" t="str">
        <f t="shared" si="71"/>
        <v/>
      </c>
      <c r="O286" s="1323"/>
      <c r="P286" s="1324"/>
      <c r="Q286" s="1324"/>
      <c r="R286" s="1324"/>
      <c r="S286" s="1324"/>
      <c r="T286" s="1325"/>
      <c r="U286" s="1015">
        <v>1.8</v>
      </c>
      <c r="V286" s="1015">
        <v>2.8</v>
      </c>
      <c r="W286" s="1015">
        <v>1.4</v>
      </c>
      <c r="X286" s="1015"/>
      <c r="Y286" s="1015"/>
      <c r="Z286" s="1016">
        <f>'09월 에너지'!S288</f>
        <v>147.1</v>
      </c>
      <c r="AA286" s="1017"/>
      <c r="AB286" s="1208"/>
      <c r="AC286" s="1208"/>
      <c r="AD286" s="1208"/>
      <c r="AE286" s="1208"/>
      <c r="AF286" s="1208"/>
      <c r="AG286" s="1018">
        <f>'09월 화학성분'!AM286</f>
        <v>2170</v>
      </c>
      <c r="AH286" s="1006">
        <f t="shared" si="62"/>
        <v>7</v>
      </c>
      <c r="AI286" s="1019">
        <v>1592</v>
      </c>
      <c r="AJ286" s="1020">
        <v>0</v>
      </c>
      <c r="AK286" s="1021">
        <v>832</v>
      </c>
      <c r="AL286" s="1022">
        <v>4</v>
      </c>
      <c r="AM286" s="1155">
        <f>IF(AT286="","",3*'09월 에너지'!S288*(1/(3+7.8*(100-AT286)/AT286)))</f>
        <v>1.203670511221945</v>
      </c>
      <c r="AN286" s="1023">
        <v>0.16666666666666666</v>
      </c>
      <c r="AO286" s="1024"/>
      <c r="AP286" s="1025"/>
      <c r="AQ286" s="1025"/>
      <c r="AR286" s="1149">
        <f t="shared" si="63"/>
        <v>12</v>
      </c>
      <c r="AS286" s="1093" t="str">
        <f t="shared" si="72"/>
        <v xml:space="preserve"> </v>
      </c>
      <c r="AT286" s="1156">
        <v>2.1</v>
      </c>
      <c r="AU286" s="449"/>
      <c r="AV286" s="1205"/>
    </row>
    <row r="287" spans="1:48" ht="16.5" customHeight="1">
      <c r="A287" s="1005">
        <f t="shared" si="64"/>
        <v>46275</v>
      </c>
      <c r="B287" s="1005">
        <f t="shared" si="65"/>
        <v>46275</v>
      </c>
      <c r="C287" s="1150">
        <f t="shared" si="66"/>
        <v>16</v>
      </c>
      <c r="D287" s="1150">
        <f t="shared" si="67"/>
        <v>276</v>
      </c>
      <c r="E287" s="1006" t="str">
        <f t="shared" si="68"/>
        <v>B</v>
      </c>
      <c r="F287" s="1007" t="str">
        <f t="shared" si="74"/>
        <v>B</v>
      </c>
      <c r="G287" s="1008">
        <f t="shared" si="73"/>
        <v>85489</v>
      </c>
      <c r="H287" s="1138">
        <f t="shared" si="69"/>
        <v>3.6805555555555557E-2</v>
      </c>
      <c r="I287" s="1009">
        <v>4.027777777777778E-2</v>
      </c>
      <c r="J287" s="1010">
        <f t="shared" si="70"/>
        <v>53</v>
      </c>
      <c r="K287" s="1011">
        <v>3</v>
      </c>
      <c r="L287" s="1012"/>
      <c r="M287" s="1013">
        <v>3.472222222222222E-3</v>
      </c>
      <c r="N287" s="1014">
        <f t="shared" si="71"/>
        <v>5.5555555555555549E-3</v>
      </c>
      <c r="O287" s="1323" t="s">
        <v>766</v>
      </c>
      <c r="P287" s="1324"/>
      <c r="Q287" s="1324"/>
      <c r="R287" s="1324"/>
      <c r="S287" s="1324"/>
      <c r="T287" s="1325"/>
      <c r="U287" s="1015">
        <v>1.8</v>
      </c>
      <c r="V287" s="1015"/>
      <c r="W287" s="1015"/>
      <c r="X287" s="1015"/>
      <c r="Y287" s="1015">
        <v>2.5</v>
      </c>
      <c r="Z287" s="1016">
        <f>'09월 에너지'!S289</f>
        <v>145.5</v>
      </c>
      <c r="AA287" s="1017">
        <v>1998</v>
      </c>
      <c r="AB287" s="1208" t="s">
        <v>573</v>
      </c>
      <c r="AC287" s="1208" t="s">
        <v>548</v>
      </c>
      <c r="AD287" s="1208"/>
      <c r="AE287" s="1208"/>
      <c r="AF287" s="1208" t="s">
        <v>767</v>
      </c>
      <c r="AG287" s="1018">
        <f>'09월 화학성분'!AM287</f>
        <v>1367</v>
      </c>
      <c r="AH287" s="1006">
        <f t="shared" si="62"/>
        <v>8</v>
      </c>
      <c r="AI287" s="1019">
        <v>1569</v>
      </c>
      <c r="AJ287" s="1020">
        <v>0</v>
      </c>
      <c r="AK287" s="1021">
        <v>773</v>
      </c>
      <c r="AL287" s="1022">
        <v>5</v>
      </c>
      <c r="AM287" s="1155">
        <f>IF(AT287="","",3*'09월 에너지'!S289*(1/(3+7.8*(100-AT287)/AT287)))</f>
        <v>0.28067129629629628</v>
      </c>
      <c r="AN287" s="1023">
        <v>0.17569444444444446</v>
      </c>
      <c r="AO287" s="1024"/>
      <c r="AP287" s="1025"/>
      <c r="AQ287" s="1025"/>
      <c r="AR287" s="1149" t="str">
        <f t="shared" si="63"/>
        <v/>
      </c>
      <c r="AS287" s="1093">
        <f t="shared" si="72"/>
        <v>11</v>
      </c>
      <c r="AT287" s="1156">
        <v>0.5</v>
      </c>
      <c r="AU287" s="449"/>
      <c r="AV287" s="1205"/>
    </row>
    <row r="288" spans="1:48" ht="16.5" customHeight="1">
      <c r="A288" s="1005">
        <f t="shared" si="64"/>
        <v>46275</v>
      </c>
      <c r="B288" s="1005">
        <f t="shared" si="65"/>
        <v>46275</v>
      </c>
      <c r="C288" s="1150">
        <f t="shared" si="66"/>
        <v>17</v>
      </c>
      <c r="D288" s="1150">
        <f t="shared" si="67"/>
        <v>277</v>
      </c>
      <c r="E288" s="1006" t="str">
        <f t="shared" si="68"/>
        <v>B</v>
      </c>
      <c r="F288" s="1007" t="str">
        <f t="shared" si="74"/>
        <v>A</v>
      </c>
      <c r="G288" s="1008">
        <f t="shared" si="73"/>
        <v>85490</v>
      </c>
      <c r="H288" s="1138">
        <f t="shared" si="69"/>
        <v>7.3611111111111113E-2</v>
      </c>
      <c r="I288" s="1009">
        <v>7.5694444444444439E-2</v>
      </c>
      <c r="J288" s="1010">
        <f t="shared" si="70"/>
        <v>50.999999999999986</v>
      </c>
      <c r="K288" s="1011"/>
      <c r="L288" s="1012"/>
      <c r="M288" s="1013"/>
      <c r="N288" s="1014" t="str">
        <f t="shared" si="71"/>
        <v/>
      </c>
      <c r="O288" s="1323"/>
      <c r="P288" s="1324"/>
      <c r="Q288" s="1324"/>
      <c r="R288" s="1324"/>
      <c r="S288" s="1324"/>
      <c r="T288" s="1325"/>
      <c r="U288" s="1015">
        <v>1.8</v>
      </c>
      <c r="V288" s="1015"/>
      <c r="W288" s="1015"/>
      <c r="X288" s="1015"/>
      <c r="Y288" s="1015">
        <v>2.7</v>
      </c>
      <c r="Z288" s="1016">
        <f>'09월 에너지'!S290</f>
        <v>147.69999999999999</v>
      </c>
      <c r="AA288" s="1017"/>
      <c r="AB288" s="1208"/>
      <c r="AC288" s="1208"/>
      <c r="AD288" s="1208"/>
      <c r="AE288" s="1208"/>
      <c r="AF288" s="1208"/>
      <c r="AG288" s="1018">
        <f>'09월 화학성분'!AM288</f>
        <v>2410</v>
      </c>
      <c r="AH288" s="1006">
        <f t="shared" si="62"/>
        <v>9</v>
      </c>
      <c r="AI288" s="1019">
        <v>1616</v>
      </c>
      <c r="AJ288" s="1020">
        <v>0</v>
      </c>
      <c r="AK288" s="1021">
        <v>1100</v>
      </c>
      <c r="AL288" s="1022">
        <v>3</v>
      </c>
      <c r="AM288" s="1155">
        <f>IF(AT288="","",3*'09월 에너지'!S290*(1/(3+7.8*(100-AT288)/AT288)))</f>
        <v>0.39937422744128548</v>
      </c>
      <c r="AN288" s="1023">
        <v>0.18055555555555555</v>
      </c>
      <c r="AO288" s="1024"/>
      <c r="AP288" s="1025"/>
      <c r="AQ288" s="1025"/>
      <c r="AR288" s="1149">
        <f t="shared" si="63"/>
        <v>13</v>
      </c>
      <c r="AS288" s="1093" t="str">
        <f t="shared" si="72"/>
        <v xml:space="preserve"> </v>
      </c>
      <c r="AT288" s="1156">
        <v>0.7</v>
      </c>
      <c r="AU288" s="449"/>
      <c r="AV288" s="1205"/>
    </row>
    <row r="289" spans="1:48" ht="16.5" customHeight="1">
      <c r="A289" s="1005">
        <f t="shared" si="64"/>
        <v>46275</v>
      </c>
      <c r="B289" s="1005">
        <f t="shared" si="65"/>
        <v>46275</v>
      </c>
      <c r="C289" s="1150">
        <f t="shared" si="66"/>
        <v>18</v>
      </c>
      <c r="D289" s="1150">
        <f t="shared" si="67"/>
        <v>278</v>
      </c>
      <c r="E289" s="1006" t="str">
        <f t="shared" si="68"/>
        <v>B</v>
      </c>
      <c r="F289" s="1007" t="str">
        <f t="shared" si="74"/>
        <v>B</v>
      </c>
      <c r="G289" s="1008">
        <f t="shared" si="73"/>
        <v>85491</v>
      </c>
      <c r="H289" s="1138">
        <f t="shared" si="69"/>
        <v>0.10902777777777778</v>
      </c>
      <c r="I289" s="1009">
        <v>0.10486111111111111</v>
      </c>
      <c r="J289" s="1010">
        <f t="shared" si="70"/>
        <v>42.000000000000014</v>
      </c>
      <c r="K289" s="1011"/>
      <c r="L289" s="1012"/>
      <c r="M289" s="1013"/>
      <c r="N289" s="1014" t="str">
        <f t="shared" si="71"/>
        <v/>
      </c>
      <c r="O289" s="1323"/>
      <c r="P289" s="1324"/>
      <c r="Q289" s="1324"/>
      <c r="R289" s="1324"/>
      <c r="S289" s="1324"/>
      <c r="T289" s="1325"/>
      <c r="U289" s="1015">
        <v>1.8</v>
      </c>
      <c r="V289" s="1015"/>
      <c r="W289" s="1015"/>
      <c r="X289" s="1015"/>
      <c r="Y289" s="1015">
        <v>2.6</v>
      </c>
      <c r="Z289" s="1016">
        <f>'09월 에너지'!S291</f>
        <v>144.19999999999999</v>
      </c>
      <c r="AA289" s="1017"/>
      <c r="AB289" s="1208"/>
      <c r="AC289" s="1208"/>
      <c r="AD289" s="1208"/>
      <c r="AE289" s="1208"/>
      <c r="AF289" s="1208"/>
      <c r="AG289" s="1018">
        <f>'09월 화학성분'!AM289</f>
        <v>1986</v>
      </c>
      <c r="AH289" s="1006">
        <f t="shared" si="62"/>
        <v>10</v>
      </c>
      <c r="AI289" s="1019">
        <v>1558</v>
      </c>
      <c r="AJ289" s="1020">
        <v>0</v>
      </c>
      <c r="AK289" s="1021">
        <v>615</v>
      </c>
      <c r="AL289" s="1022">
        <v>6</v>
      </c>
      <c r="AM289" s="1155">
        <f>IF(AT289="","",3*'09월 에너지'!S291*(1/(3+7.8*(100-AT289)/AT289)))</f>
        <v>1.1230529595015577</v>
      </c>
      <c r="AN289" s="1023">
        <v>0.17500000000000002</v>
      </c>
      <c r="AO289" s="1024"/>
      <c r="AP289" s="1025"/>
      <c r="AQ289" s="1025"/>
      <c r="AR289" s="1149" t="str">
        <f t="shared" si="63"/>
        <v/>
      </c>
      <c r="AS289" s="1093">
        <f t="shared" si="72"/>
        <v>12</v>
      </c>
      <c r="AT289" s="1156">
        <v>2</v>
      </c>
      <c r="AU289" s="449"/>
      <c r="AV289" s="1205"/>
    </row>
    <row r="290" spans="1:48" ht="16.5" customHeight="1">
      <c r="A290" s="1005">
        <f t="shared" si="64"/>
        <v>46275</v>
      </c>
      <c r="B290" s="1005">
        <f t="shared" si="65"/>
        <v>46275</v>
      </c>
      <c r="C290" s="1150">
        <f t="shared" si="66"/>
        <v>19</v>
      </c>
      <c r="D290" s="1150">
        <f t="shared" si="67"/>
        <v>279</v>
      </c>
      <c r="E290" s="1006" t="str">
        <f t="shared" si="68"/>
        <v>B</v>
      </c>
      <c r="F290" s="1007" t="str">
        <f t="shared" si="74"/>
        <v>A</v>
      </c>
      <c r="G290" s="1008">
        <f t="shared" si="73"/>
        <v>85492</v>
      </c>
      <c r="H290" s="1138">
        <f t="shared" si="69"/>
        <v>0.13819444444444445</v>
      </c>
      <c r="I290" s="1009">
        <v>0.1388888888888889</v>
      </c>
      <c r="J290" s="1010">
        <f t="shared" si="70"/>
        <v>49.000000000000007</v>
      </c>
      <c r="K290" s="1011"/>
      <c r="L290" s="1012"/>
      <c r="M290" s="1013"/>
      <c r="N290" s="1014" t="str">
        <f t="shared" si="71"/>
        <v/>
      </c>
      <c r="O290" s="1323" t="s">
        <v>768</v>
      </c>
      <c r="P290" s="1324"/>
      <c r="Q290" s="1324"/>
      <c r="R290" s="1324"/>
      <c r="S290" s="1324"/>
      <c r="T290" s="1325"/>
      <c r="U290" s="1015">
        <v>1.8</v>
      </c>
      <c r="V290" s="1015">
        <v>2.7</v>
      </c>
      <c r="W290" s="1015">
        <v>1.5</v>
      </c>
      <c r="X290" s="1015"/>
      <c r="Y290" s="1015"/>
      <c r="Z290" s="1016">
        <f>'09월 에너지'!S292</f>
        <v>146.1</v>
      </c>
      <c r="AA290" s="1017">
        <v>1658</v>
      </c>
      <c r="AB290" s="1208" t="s">
        <v>551</v>
      </c>
      <c r="AC290" s="1208" t="s">
        <v>548</v>
      </c>
      <c r="AD290" s="1208"/>
      <c r="AE290" s="1208"/>
      <c r="AF290" s="1208" t="s">
        <v>548</v>
      </c>
      <c r="AG290" s="1018">
        <f>'09월 화학성분'!AM290</f>
        <v>1665</v>
      </c>
      <c r="AH290" s="1006">
        <f t="shared" si="62"/>
        <v>11</v>
      </c>
      <c r="AI290" s="1019">
        <v>1604</v>
      </c>
      <c r="AJ290" s="1020">
        <v>0</v>
      </c>
      <c r="AK290" s="1021">
        <v>895</v>
      </c>
      <c r="AL290" s="1022">
        <v>4</v>
      </c>
      <c r="AM290" s="1155">
        <f>IF(AT290="","",3*'09월 에너지'!S292*(1/(3+7.8*(100-AT290)/AT290)))</f>
        <v>1.6009705698184091</v>
      </c>
      <c r="AN290" s="1023">
        <v>0.18263888888888891</v>
      </c>
      <c r="AO290" s="1024" t="s">
        <v>587</v>
      </c>
      <c r="AP290" s="1025">
        <v>2000012</v>
      </c>
      <c r="AQ290" s="1025">
        <v>2128</v>
      </c>
      <c r="AR290" s="1149">
        <v>1</v>
      </c>
      <c r="AS290" s="1093" t="str">
        <f t="shared" si="72"/>
        <v xml:space="preserve"> </v>
      </c>
      <c r="AT290" s="1156">
        <v>2.8</v>
      </c>
      <c r="AU290" s="449"/>
      <c r="AV290" s="1205"/>
    </row>
    <row r="291" spans="1:48" ht="16.5" customHeight="1">
      <c r="A291" s="1005">
        <v>46276</v>
      </c>
      <c r="B291" s="1005">
        <f t="shared" si="65"/>
        <v>46275</v>
      </c>
      <c r="C291" s="1150">
        <f t="shared" si="66"/>
        <v>1</v>
      </c>
      <c r="D291" s="1150">
        <f t="shared" si="67"/>
        <v>280</v>
      </c>
      <c r="E291" s="1006" t="str">
        <f t="shared" si="68"/>
        <v>B</v>
      </c>
      <c r="F291" s="1007" t="str">
        <f t="shared" si="74"/>
        <v>B</v>
      </c>
      <c r="G291" s="1008">
        <f t="shared" si="73"/>
        <v>85493</v>
      </c>
      <c r="H291" s="1138">
        <f t="shared" si="69"/>
        <v>0.17222222222222222</v>
      </c>
      <c r="I291" s="1009">
        <v>0.17013888888888887</v>
      </c>
      <c r="J291" s="1010">
        <f t="shared" si="70"/>
        <v>44.999999999999957</v>
      </c>
      <c r="K291" s="1011"/>
      <c r="L291" s="1012"/>
      <c r="M291" s="1013"/>
      <c r="N291" s="1014" t="str">
        <f t="shared" si="71"/>
        <v/>
      </c>
      <c r="O291" s="1323"/>
      <c r="P291" s="1324"/>
      <c r="Q291" s="1324"/>
      <c r="R291" s="1324"/>
      <c r="S291" s="1324"/>
      <c r="T291" s="1325"/>
      <c r="U291" s="1015">
        <v>1.8</v>
      </c>
      <c r="V291" s="1015">
        <v>2.5</v>
      </c>
      <c r="W291" s="1015">
        <v>1.4</v>
      </c>
      <c r="X291" s="1015"/>
      <c r="Y291" s="1015"/>
      <c r="Z291" s="1016">
        <f>'09월 에너지'!S293</f>
        <v>144.30000000000001</v>
      </c>
      <c r="AA291" s="1017"/>
      <c r="AB291" s="1208"/>
      <c r="AC291" s="1208"/>
      <c r="AD291" s="1208"/>
      <c r="AE291" s="1208"/>
      <c r="AF291" s="1208"/>
      <c r="AG291" s="1018">
        <f>'09월 화학성분'!AM291</f>
        <v>2879</v>
      </c>
      <c r="AH291" s="1006">
        <f t="shared" si="62"/>
        <v>12</v>
      </c>
      <c r="AI291" s="1019">
        <v>1578</v>
      </c>
      <c r="AJ291" s="1020">
        <v>0</v>
      </c>
      <c r="AK291" s="1021">
        <v>776</v>
      </c>
      <c r="AL291" s="1022">
        <v>5</v>
      </c>
      <c r="AM291" s="1155">
        <f>IF(AT291="","",3*'09월 에너지'!S293*(1/(3+7.8*(100-AT291)/AT291)))</f>
        <v>0.27835648148148151</v>
      </c>
      <c r="AN291" s="1023">
        <v>0.16458333333333333</v>
      </c>
      <c r="AO291" s="1024"/>
      <c r="AP291" s="1025"/>
      <c r="AQ291" s="1025"/>
      <c r="AR291" s="1149" t="str">
        <f t="shared" si="63"/>
        <v/>
      </c>
      <c r="AS291" s="1093">
        <f t="shared" si="72"/>
        <v>13</v>
      </c>
      <c r="AT291" s="1156">
        <v>0.5</v>
      </c>
      <c r="AU291" s="449"/>
      <c r="AV291" s="1205"/>
    </row>
    <row r="292" spans="1:48" ht="16.5" customHeight="1">
      <c r="A292" s="1005">
        <f t="shared" si="64"/>
        <v>46276</v>
      </c>
      <c r="B292" s="1005">
        <f t="shared" si="65"/>
        <v>46275</v>
      </c>
      <c r="C292" s="1150">
        <f t="shared" si="66"/>
        <v>2</v>
      </c>
      <c r="D292" s="1150">
        <f t="shared" si="67"/>
        <v>281</v>
      </c>
      <c r="E292" s="1006" t="str">
        <f t="shared" si="68"/>
        <v>B</v>
      </c>
      <c r="F292" s="1007" t="str">
        <f t="shared" si="74"/>
        <v>A</v>
      </c>
      <c r="G292" s="1008">
        <f t="shared" si="73"/>
        <v>85494</v>
      </c>
      <c r="H292" s="1138">
        <f t="shared" si="69"/>
        <v>0.20347222222222219</v>
      </c>
      <c r="I292" s="1009">
        <v>0.20347222222222219</v>
      </c>
      <c r="J292" s="1010">
        <f t="shared" si="70"/>
        <v>47.999999999999986</v>
      </c>
      <c r="K292" s="1011"/>
      <c r="L292" s="1012"/>
      <c r="M292" s="1013"/>
      <c r="N292" s="1014" t="str">
        <f t="shared" si="71"/>
        <v/>
      </c>
      <c r="O292" s="1323"/>
      <c r="P292" s="1324"/>
      <c r="Q292" s="1324"/>
      <c r="R292" s="1324"/>
      <c r="S292" s="1324"/>
      <c r="T292" s="1325"/>
      <c r="U292" s="1015">
        <v>1.8</v>
      </c>
      <c r="V292" s="1015"/>
      <c r="W292" s="1015"/>
      <c r="X292" s="1015"/>
      <c r="Y292" s="1015">
        <v>2.6</v>
      </c>
      <c r="Z292" s="1016">
        <f>'09월 에너지'!S294</f>
        <v>146.5</v>
      </c>
      <c r="AA292" s="1017"/>
      <c r="AB292" s="1208"/>
      <c r="AC292" s="1208"/>
      <c r="AD292" s="1208"/>
      <c r="AE292" s="1208"/>
      <c r="AF292" s="1208"/>
      <c r="AG292" s="1018">
        <f>'09월 화학성분'!AM292</f>
        <v>1902</v>
      </c>
      <c r="AH292" s="1006">
        <f t="shared" si="62"/>
        <v>13</v>
      </c>
      <c r="AI292" s="1019">
        <v>1600</v>
      </c>
      <c r="AJ292" s="1020">
        <v>94</v>
      </c>
      <c r="AK292" s="1021">
        <v>1113</v>
      </c>
      <c r="AL292" s="1022">
        <v>3</v>
      </c>
      <c r="AM292" s="1155">
        <f>IF(AT292="","",3*'09월 에너지'!S294*(1/(3+7.8*(100-AT292)/AT292)))</f>
        <v>0.56695046439628494</v>
      </c>
      <c r="AN292" s="1023">
        <v>0.19236111111111112</v>
      </c>
      <c r="AO292" s="1024"/>
      <c r="AP292" s="1025"/>
      <c r="AQ292" s="1025"/>
      <c r="AR292" s="1149">
        <f t="shared" si="63"/>
        <v>2</v>
      </c>
      <c r="AS292" s="1093" t="str">
        <f t="shared" si="72"/>
        <v xml:space="preserve"> </v>
      </c>
      <c r="AT292" s="1156">
        <v>1</v>
      </c>
      <c r="AU292" s="449"/>
      <c r="AV292" s="1205"/>
    </row>
    <row r="293" spans="1:48" ht="16.5" customHeight="1">
      <c r="A293" s="1005">
        <f t="shared" si="64"/>
        <v>46276</v>
      </c>
      <c r="B293" s="1005">
        <f t="shared" si="65"/>
        <v>46275</v>
      </c>
      <c r="C293" s="1150">
        <f t="shared" si="66"/>
        <v>3</v>
      </c>
      <c r="D293" s="1150">
        <f t="shared" si="67"/>
        <v>282</v>
      </c>
      <c r="E293" s="1006" t="str">
        <f t="shared" si="68"/>
        <v>B</v>
      </c>
      <c r="F293" s="1007" t="str">
        <f t="shared" si="74"/>
        <v>B</v>
      </c>
      <c r="G293" s="1008">
        <f t="shared" si="73"/>
        <v>85495</v>
      </c>
      <c r="H293" s="1138">
        <f t="shared" si="69"/>
        <v>0.23680555555555552</v>
      </c>
      <c r="I293" s="1009">
        <v>0.23541666666666669</v>
      </c>
      <c r="J293" s="1010">
        <f t="shared" si="70"/>
        <v>46.000000000000078</v>
      </c>
      <c r="K293" s="1011"/>
      <c r="L293" s="1012"/>
      <c r="M293" s="1013"/>
      <c r="N293" s="1014" t="str">
        <f t="shared" si="71"/>
        <v/>
      </c>
      <c r="O293" s="1323"/>
      <c r="P293" s="1324"/>
      <c r="Q293" s="1324"/>
      <c r="R293" s="1324"/>
      <c r="S293" s="1324"/>
      <c r="T293" s="1325"/>
      <c r="U293" s="1015">
        <v>1.8</v>
      </c>
      <c r="V293" s="1015"/>
      <c r="W293" s="1015"/>
      <c r="X293" s="1015"/>
      <c r="Y293" s="1015">
        <v>2.5</v>
      </c>
      <c r="Z293" s="1016">
        <f>'09월 에너지'!S295</f>
        <v>144.80000000000001</v>
      </c>
      <c r="AA293" s="1017"/>
      <c r="AB293" s="1208"/>
      <c r="AC293" s="1208"/>
      <c r="AD293" s="1208"/>
      <c r="AE293" s="1208"/>
      <c r="AF293" s="1208"/>
      <c r="AG293" s="1018">
        <f>'09월 화학성분'!AM293</f>
        <v>1806</v>
      </c>
      <c r="AH293" s="1006">
        <f t="shared" si="62"/>
        <v>14</v>
      </c>
      <c r="AI293" s="1019">
        <v>1574</v>
      </c>
      <c r="AJ293" s="1020">
        <v>48</v>
      </c>
      <c r="AK293" s="1021">
        <v>776</v>
      </c>
      <c r="AL293" s="1022">
        <v>5</v>
      </c>
      <c r="AM293" s="1155">
        <f>IF(AT293="","",3*'09월 에너지'!S295*(1/(3+7.8*(100-AT293)/AT293)))</f>
        <v>0.61679058240396534</v>
      </c>
      <c r="AN293" s="1023">
        <v>0.16527777777777777</v>
      </c>
      <c r="AO293" s="1024"/>
      <c r="AP293" s="1025"/>
      <c r="AQ293" s="1025"/>
      <c r="AR293" s="1149" t="str">
        <f t="shared" si="63"/>
        <v/>
      </c>
      <c r="AS293" s="1093">
        <f t="shared" si="72"/>
        <v>14</v>
      </c>
      <c r="AT293" s="1156">
        <v>1.1000000000000001</v>
      </c>
      <c r="AU293" s="449"/>
      <c r="AV293" s="1205"/>
    </row>
    <row r="294" spans="1:48" ht="16.5" customHeight="1">
      <c r="A294" s="1005">
        <f t="shared" si="64"/>
        <v>46276</v>
      </c>
      <c r="B294" s="1005">
        <f t="shared" si="65"/>
        <v>46275</v>
      </c>
      <c r="C294" s="1150">
        <f t="shared" si="66"/>
        <v>4</v>
      </c>
      <c r="D294" s="1150">
        <f t="shared" si="67"/>
        <v>283</v>
      </c>
      <c r="E294" s="1006" t="str">
        <f t="shared" si="68"/>
        <v>B</v>
      </c>
      <c r="F294" s="1007" t="str">
        <f t="shared" si="74"/>
        <v>A</v>
      </c>
      <c r="G294" s="1236">
        <f t="shared" si="73"/>
        <v>85496</v>
      </c>
      <c r="H294" s="1138">
        <f t="shared" si="69"/>
        <v>0.26875000000000004</v>
      </c>
      <c r="I294" s="1009">
        <v>0.26527777777777778</v>
      </c>
      <c r="J294" s="1010">
        <f t="shared" si="70"/>
        <v>42.999999999999964</v>
      </c>
      <c r="K294" s="1011"/>
      <c r="L294" s="1012"/>
      <c r="M294" s="1013"/>
      <c r="N294" s="1014" t="str">
        <f t="shared" si="71"/>
        <v/>
      </c>
      <c r="O294" s="1338" t="s">
        <v>771</v>
      </c>
      <c r="P294" s="1339"/>
      <c r="Q294" s="1339"/>
      <c r="R294" s="1339"/>
      <c r="S294" s="1339"/>
      <c r="T294" s="1340"/>
      <c r="U294" s="1015">
        <v>1.8</v>
      </c>
      <c r="V294" s="1015"/>
      <c r="W294" s="1015"/>
      <c r="X294" s="1015"/>
      <c r="Y294" s="1015">
        <v>2.4</v>
      </c>
      <c r="Z294" s="1016">
        <f>'09월 에너지'!S296</f>
        <v>146.9</v>
      </c>
      <c r="AA294" s="1017"/>
      <c r="AB294" s="1208"/>
      <c r="AC294" s="1208"/>
      <c r="AD294" s="1208"/>
      <c r="AE294" s="1208"/>
      <c r="AF294" s="1208"/>
      <c r="AG294" s="1018">
        <f>'09월 화학성분'!AM294</f>
        <v>1631</v>
      </c>
      <c r="AH294" s="1006">
        <f t="shared" si="62"/>
        <v>15</v>
      </c>
      <c r="AI294" s="1019">
        <v>1591</v>
      </c>
      <c r="AJ294" s="1020">
        <v>16</v>
      </c>
      <c r="AK294" s="1021">
        <v>782</v>
      </c>
      <c r="AL294" s="1022">
        <v>5</v>
      </c>
      <c r="AM294" s="1155">
        <f>IF(AT294="","",3*'09월 에너지'!S296*(1/(3+7.8*(100-AT294)/AT294)))</f>
        <v>1.0283914125700062</v>
      </c>
      <c r="AN294" s="1023">
        <v>0.17083333333333331</v>
      </c>
      <c r="AO294" s="1024"/>
      <c r="AP294" s="1025"/>
      <c r="AQ294" s="1025"/>
      <c r="AR294" s="1149">
        <f t="shared" si="63"/>
        <v>3</v>
      </c>
      <c r="AS294" s="1093" t="str">
        <f t="shared" si="72"/>
        <v xml:space="preserve"> </v>
      </c>
      <c r="AT294" s="1156">
        <v>1.8</v>
      </c>
      <c r="AU294" s="449"/>
      <c r="AV294" s="1205"/>
    </row>
    <row r="295" spans="1:48" ht="16.5" customHeight="1">
      <c r="A295" s="1005">
        <f t="shared" si="64"/>
        <v>46276</v>
      </c>
      <c r="B295" s="1005">
        <v>46276</v>
      </c>
      <c r="C295" s="1150">
        <f t="shared" si="66"/>
        <v>5</v>
      </c>
      <c r="D295" s="1150">
        <f t="shared" si="67"/>
        <v>284</v>
      </c>
      <c r="E295" s="1006" t="s">
        <v>770</v>
      </c>
      <c r="F295" s="1007" t="str">
        <f t="shared" si="74"/>
        <v>B</v>
      </c>
      <c r="G295" s="1236">
        <f t="shared" si="73"/>
        <v>85497</v>
      </c>
      <c r="H295" s="1138">
        <f t="shared" si="69"/>
        <v>0.2986111111111111</v>
      </c>
      <c r="I295" s="1009">
        <v>0.3</v>
      </c>
      <c r="J295" s="1010">
        <f t="shared" si="70"/>
        <v>49.999999999999986</v>
      </c>
      <c r="K295" s="1011"/>
      <c r="L295" s="1012"/>
      <c r="M295" s="1013"/>
      <c r="N295" s="1014" t="str">
        <f t="shared" si="71"/>
        <v/>
      </c>
      <c r="O295" s="1323" t="s">
        <v>769</v>
      </c>
      <c r="P295" s="1324"/>
      <c r="Q295" s="1324"/>
      <c r="R295" s="1324"/>
      <c r="S295" s="1324"/>
      <c r="T295" s="1325"/>
      <c r="U295" s="1015">
        <v>1.8</v>
      </c>
      <c r="V295" s="1015"/>
      <c r="W295" s="1015"/>
      <c r="X295" s="1015"/>
      <c r="Y295" s="1015">
        <v>2.7</v>
      </c>
      <c r="Z295" s="1016">
        <f>'09월 에너지'!S297</f>
        <v>143.30000000000001</v>
      </c>
      <c r="AA295" s="1017"/>
      <c r="AB295" s="1208"/>
      <c r="AC295" s="1208"/>
      <c r="AD295" s="1208"/>
      <c r="AE295" s="1208"/>
      <c r="AF295" s="1208"/>
      <c r="AG295" s="1018">
        <f>'09월 화학성분'!AM295</f>
        <v>2345</v>
      </c>
      <c r="AH295" s="1006">
        <f t="shared" si="62"/>
        <v>16</v>
      </c>
      <c r="AI295" s="1019">
        <v>1553</v>
      </c>
      <c r="AJ295" s="1020">
        <v>19</v>
      </c>
      <c r="AK295" s="1021">
        <v>565</v>
      </c>
      <c r="AL295" s="1022">
        <v>7</v>
      </c>
      <c r="AM295" s="1155">
        <f>IF(AT295="","",3*'09월 에너지'!S297*(1/(3+7.8*(100-AT295)/AT295)))</f>
        <v>0.6663050216986981</v>
      </c>
      <c r="AN295" s="1023">
        <v>0.17083333333333331</v>
      </c>
      <c r="AO295" s="1024" t="s">
        <v>587</v>
      </c>
      <c r="AP295" s="1025">
        <v>2000011</v>
      </c>
      <c r="AQ295" s="1025">
        <v>2127</v>
      </c>
      <c r="AR295" s="1149" t="str">
        <f t="shared" si="63"/>
        <v/>
      </c>
      <c r="AS295" s="1093">
        <v>1</v>
      </c>
      <c r="AT295" s="1156">
        <v>1.2</v>
      </c>
      <c r="AU295" s="449"/>
      <c r="AV295" s="1205"/>
    </row>
    <row r="296" spans="1:48" ht="16.5" customHeight="1">
      <c r="A296" s="1005">
        <f t="shared" si="64"/>
        <v>46276</v>
      </c>
      <c r="B296" s="1005">
        <f t="shared" si="65"/>
        <v>46276</v>
      </c>
      <c r="C296" s="1150">
        <f t="shared" si="66"/>
        <v>6</v>
      </c>
      <c r="D296" s="1150">
        <f t="shared" si="67"/>
        <v>285</v>
      </c>
      <c r="E296" s="1006" t="str">
        <f t="shared" si="68"/>
        <v>C</v>
      </c>
      <c r="F296" s="1007" t="str">
        <f t="shared" si="74"/>
        <v>A</v>
      </c>
      <c r="G296" s="1236">
        <f t="shared" si="73"/>
        <v>85498</v>
      </c>
      <c r="H296" s="1138">
        <f t="shared" si="69"/>
        <v>0.33333333333333331</v>
      </c>
      <c r="I296" s="1009">
        <v>0.33611111111111108</v>
      </c>
      <c r="J296" s="1010">
        <f t="shared" si="70"/>
        <v>51.999999999999972</v>
      </c>
      <c r="K296" s="1011"/>
      <c r="L296" s="1012">
        <v>6</v>
      </c>
      <c r="M296" s="1013"/>
      <c r="N296" s="1014" t="str">
        <f t="shared" si="71"/>
        <v/>
      </c>
      <c r="O296" s="1323" t="s">
        <v>772</v>
      </c>
      <c r="P296" s="1324"/>
      <c r="Q296" s="1324"/>
      <c r="R296" s="1324"/>
      <c r="S296" s="1324"/>
      <c r="T296" s="1325"/>
      <c r="U296" s="1015">
        <v>1.8</v>
      </c>
      <c r="V296" s="1015"/>
      <c r="W296" s="1015"/>
      <c r="X296" s="1015"/>
      <c r="Y296" s="1015">
        <v>2.1</v>
      </c>
      <c r="Z296" s="1016">
        <f>'09월 에너지'!S298</f>
        <v>144.69999999999999</v>
      </c>
      <c r="AA296" s="1017"/>
      <c r="AB296" s="1208"/>
      <c r="AC296" s="1208"/>
      <c r="AD296" s="1208"/>
      <c r="AE296" s="1208"/>
      <c r="AF296" s="1208"/>
      <c r="AG296" s="1018">
        <f>'09월 화학성분'!AM296</f>
        <v>1929</v>
      </c>
      <c r="AH296" s="1006">
        <f t="shared" si="62"/>
        <v>17</v>
      </c>
      <c r="AI296" s="1019">
        <v>1581</v>
      </c>
      <c r="AJ296" s="1020">
        <v>28</v>
      </c>
      <c r="AK296" s="1021">
        <v>659</v>
      </c>
      <c r="AL296" s="1022">
        <v>6</v>
      </c>
      <c r="AM296" s="1155">
        <f>IF(AT296="","",3*'09월 에너지'!S298*(1/(3+7.8*(100-AT296)/AT296)))</f>
        <v>0.55998452012383904</v>
      </c>
      <c r="AN296" s="1023">
        <v>0.15833333333333333</v>
      </c>
      <c r="AO296" s="1024"/>
      <c r="AP296" s="1025"/>
      <c r="AQ296" s="1025"/>
      <c r="AR296" s="1149">
        <f t="shared" si="63"/>
        <v>4</v>
      </c>
      <c r="AS296" s="1093" t="str">
        <f t="shared" si="72"/>
        <v xml:space="preserve"> </v>
      </c>
      <c r="AT296" s="1156">
        <v>1</v>
      </c>
      <c r="AU296" s="449"/>
      <c r="AV296" s="1205"/>
    </row>
    <row r="297" spans="1:48" ht="16.5" customHeight="1">
      <c r="A297" s="1005">
        <f t="shared" si="64"/>
        <v>46276</v>
      </c>
      <c r="B297" s="1005">
        <f t="shared" si="65"/>
        <v>46276</v>
      </c>
      <c r="C297" s="1150">
        <f t="shared" si="66"/>
        <v>7</v>
      </c>
      <c r="D297" s="1150">
        <f t="shared" si="67"/>
        <v>286</v>
      </c>
      <c r="E297" s="1006" t="str">
        <f t="shared" si="68"/>
        <v>C</v>
      </c>
      <c r="F297" s="1007" t="str">
        <f t="shared" si="74"/>
        <v>B</v>
      </c>
      <c r="G297" s="1236">
        <f t="shared" si="73"/>
        <v>85499</v>
      </c>
      <c r="H297" s="1138">
        <f t="shared" si="69"/>
        <v>0.36944444444444441</v>
      </c>
      <c r="I297" s="1009">
        <v>0.3659722222222222</v>
      </c>
      <c r="J297" s="1010">
        <f t="shared" si="70"/>
        <v>43.000000000000007</v>
      </c>
      <c r="K297" s="1011"/>
      <c r="L297" s="1012"/>
      <c r="M297" s="1013"/>
      <c r="N297" s="1014" t="str">
        <f t="shared" si="71"/>
        <v/>
      </c>
      <c r="O297" s="1323"/>
      <c r="P297" s="1324"/>
      <c r="Q297" s="1324"/>
      <c r="R297" s="1324"/>
      <c r="S297" s="1324"/>
      <c r="T297" s="1325"/>
      <c r="U297" s="1015">
        <v>1.8</v>
      </c>
      <c r="V297" s="1015"/>
      <c r="W297" s="1015"/>
      <c r="X297" s="1015"/>
      <c r="Y297" s="1015">
        <v>2.5</v>
      </c>
      <c r="Z297" s="1016">
        <f>'09월 에너지'!S299</f>
        <v>143.69999999999999</v>
      </c>
      <c r="AA297" s="1017"/>
      <c r="AB297" s="1208"/>
      <c r="AC297" s="1208"/>
      <c r="AD297" s="1208"/>
      <c r="AE297" s="1208"/>
      <c r="AF297" s="1208"/>
      <c r="AG297" s="1018">
        <f>'09월 화학성분'!AM297</f>
        <v>1572</v>
      </c>
      <c r="AH297" s="1006">
        <f t="shared" si="62"/>
        <v>18</v>
      </c>
      <c r="AI297" s="1019">
        <v>1561</v>
      </c>
      <c r="AJ297" s="1020">
        <v>50</v>
      </c>
      <c r="AK297" s="1021">
        <v>746</v>
      </c>
      <c r="AL297" s="1022">
        <v>5</v>
      </c>
      <c r="AM297" s="1155">
        <f>IF(AT297="","",3*'09월 에너지'!S299*(1/(3+7.8*(100-AT297)/AT297)))</f>
        <v>0.61210501858736055</v>
      </c>
      <c r="AN297" s="1023">
        <v>0.18194444444444444</v>
      </c>
      <c r="AO297" s="1024"/>
      <c r="AP297" s="1025"/>
      <c r="AQ297" s="1025"/>
      <c r="AR297" s="1149" t="str">
        <f t="shared" si="63"/>
        <v/>
      </c>
      <c r="AS297" s="1093">
        <f t="shared" si="72"/>
        <v>2</v>
      </c>
      <c r="AT297" s="1156">
        <v>1.1000000000000001</v>
      </c>
      <c r="AU297" s="449"/>
      <c r="AV297" s="1205" t="s">
        <v>708</v>
      </c>
    </row>
    <row r="298" spans="1:48" ht="16.5" customHeight="1">
      <c r="A298" s="1005">
        <f t="shared" si="64"/>
        <v>46276</v>
      </c>
      <c r="B298" s="1005">
        <f t="shared" si="65"/>
        <v>46276</v>
      </c>
      <c r="C298" s="1150">
        <f t="shared" si="66"/>
        <v>8</v>
      </c>
      <c r="D298" s="1150">
        <f t="shared" si="67"/>
        <v>287</v>
      </c>
      <c r="E298" s="1006" t="str">
        <f t="shared" si="68"/>
        <v>C</v>
      </c>
      <c r="F298" s="1007" t="str">
        <f t="shared" si="74"/>
        <v>A</v>
      </c>
      <c r="G298" s="1236">
        <f t="shared" si="73"/>
        <v>85500</v>
      </c>
      <c r="H298" s="1138">
        <f t="shared" si="69"/>
        <v>0.39930555555555552</v>
      </c>
      <c r="I298" s="1009">
        <v>0.39861111111111108</v>
      </c>
      <c r="J298" s="1010">
        <f t="shared" si="70"/>
        <v>46.999999999999993</v>
      </c>
      <c r="K298" s="1011"/>
      <c r="L298" s="1012"/>
      <c r="M298" s="1013"/>
      <c r="N298" s="1014" t="str">
        <f t="shared" si="71"/>
        <v/>
      </c>
      <c r="O298" s="1323"/>
      <c r="P298" s="1324"/>
      <c r="Q298" s="1324"/>
      <c r="R298" s="1324"/>
      <c r="S298" s="1324"/>
      <c r="T298" s="1325"/>
      <c r="U298" s="1015">
        <v>1.8</v>
      </c>
      <c r="V298" s="1015"/>
      <c r="W298" s="1015"/>
      <c r="X298" s="1015"/>
      <c r="Y298" s="1015">
        <v>2.6</v>
      </c>
      <c r="Z298" s="1016">
        <f>'09월 에너지'!S300</f>
        <v>144.9</v>
      </c>
      <c r="AA298" s="1017"/>
      <c r="AB298" s="1208"/>
      <c r="AC298" s="1208"/>
      <c r="AD298" s="1208"/>
      <c r="AE298" s="1208"/>
      <c r="AF298" s="1208"/>
      <c r="AG298" s="1018">
        <f>'09월 화학성분'!AM298</f>
        <v>3088</v>
      </c>
      <c r="AH298" s="1006">
        <f t="shared" si="62"/>
        <v>19</v>
      </c>
      <c r="AI298" s="1019">
        <v>1592</v>
      </c>
      <c r="AJ298" s="1020">
        <v>0</v>
      </c>
      <c r="AK298" s="1021">
        <v>556</v>
      </c>
      <c r="AL298" s="1022">
        <v>7</v>
      </c>
      <c r="AM298" s="1155">
        <f>IF(AT298="","",3*'09월 에너지'!S300*(1/(3+7.8*(100-AT298)/AT298)))</f>
        <v>0.2795138888888889</v>
      </c>
      <c r="AN298" s="1023">
        <v>0.16944444444444443</v>
      </c>
      <c r="AO298" s="1024"/>
      <c r="AP298" s="1025"/>
      <c r="AQ298" s="1025"/>
      <c r="AR298" s="1149">
        <f t="shared" si="63"/>
        <v>5</v>
      </c>
      <c r="AS298" s="1093" t="str">
        <f t="shared" si="72"/>
        <v xml:space="preserve"> </v>
      </c>
      <c r="AT298" s="1156">
        <v>0.5</v>
      </c>
      <c r="AU298" s="449"/>
      <c r="AV298" s="1205"/>
    </row>
    <row r="299" spans="1:48" ht="16.5" customHeight="1">
      <c r="A299" s="1005">
        <f t="shared" si="64"/>
        <v>46276</v>
      </c>
      <c r="B299" s="1005">
        <f t="shared" si="65"/>
        <v>46276</v>
      </c>
      <c r="C299" s="1150">
        <f t="shared" si="66"/>
        <v>9</v>
      </c>
      <c r="D299" s="1150">
        <f t="shared" si="67"/>
        <v>288</v>
      </c>
      <c r="E299" s="1006" t="str">
        <f t="shared" si="68"/>
        <v>C</v>
      </c>
      <c r="F299" s="1007" t="str">
        <f t="shared" si="74"/>
        <v>B</v>
      </c>
      <c r="G299" s="1236">
        <f t="shared" si="73"/>
        <v>85501</v>
      </c>
      <c r="H299" s="1138">
        <f t="shared" si="69"/>
        <v>0.43194444444444441</v>
      </c>
      <c r="I299" s="1009">
        <v>0.4284722222222222</v>
      </c>
      <c r="J299" s="1010">
        <f t="shared" si="70"/>
        <v>43.000000000000007</v>
      </c>
      <c r="K299" s="1011"/>
      <c r="L299" s="1012"/>
      <c r="M299" s="1013"/>
      <c r="N299" s="1014" t="str">
        <f t="shared" si="71"/>
        <v/>
      </c>
      <c r="O299" s="1323"/>
      <c r="P299" s="1324"/>
      <c r="Q299" s="1324"/>
      <c r="R299" s="1324"/>
      <c r="S299" s="1324"/>
      <c r="T299" s="1325"/>
      <c r="U299" s="1015">
        <v>1.8</v>
      </c>
      <c r="V299" s="1015"/>
      <c r="W299" s="1015"/>
      <c r="X299" s="1015"/>
      <c r="Y299" s="1015">
        <v>2.5</v>
      </c>
      <c r="Z299" s="1016">
        <f>'09월 에너지'!S301</f>
        <v>146.9</v>
      </c>
      <c r="AA299" s="1017"/>
      <c r="AB299" s="1208"/>
      <c r="AC299" s="1208"/>
      <c r="AD299" s="1208"/>
      <c r="AE299" s="1208"/>
      <c r="AF299" s="1208"/>
      <c r="AG299" s="1018">
        <f>'09월 화학성분'!AM299</f>
        <v>1793</v>
      </c>
      <c r="AH299" s="1006">
        <f t="shared" si="62"/>
        <v>20</v>
      </c>
      <c r="AI299" s="1019">
        <v>1544</v>
      </c>
      <c r="AJ299" s="1020">
        <v>0</v>
      </c>
      <c r="AK299" s="1021">
        <v>644</v>
      </c>
      <c r="AL299" s="1022">
        <v>6</v>
      </c>
      <c r="AM299" s="1155">
        <f>IF(AT299="","",3*'09월 에너지'!S301*(1/(3+7.8*(100-AT299)/AT299)))</f>
        <v>0.4542362399505257</v>
      </c>
      <c r="AN299" s="1023">
        <v>0.17152777777777775</v>
      </c>
      <c r="AO299" s="1024"/>
      <c r="AP299" s="1025"/>
      <c r="AQ299" s="1025"/>
      <c r="AR299" s="1149" t="str">
        <f t="shared" si="63"/>
        <v/>
      </c>
      <c r="AS299" s="1093">
        <f t="shared" si="72"/>
        <v>3</v>
      </c>
      <c r="AT299" s="1156">
        <v>0.8</v>
      </c>
      <c r="AU299" s="449"/>
      <c r="AV299" s="1205"/>
    </row>
    <row r="300" spans="1:48" ht="16.5" customHeight="1">
      <c r="A300" s="1005">
        <f t="shared" si="64"/>
        <v>46276</v>
      </c>
      <c r="B300" s="1005">
        <f t="shared" si="65"/>
        <v>46276</v>
      </c>
      <c r="C300" s="1150">
        <f t="shared" si="66"/>
        <v>10</v>
      </c>
      <c r="D300" s="1150">
        <f t="shared" si="67"/>
        <v>289</v>
      </c>
      <c r="E300" s="1006" t="str">
        <f t="shared" si="68"/>
        <v>C</v>
      </c>
      <c r="F300" s="1007" t="str">
        <f t="shared" si="74"/>
        <v>A</v>
      </c>
      <c r="G300" s="1008">
        <f t="shared" si="73"/>
        <v>85502</v>
      </c>
      <c r="H300" s="1138">
        <f t="shared" si="69"/>
        <v>0.46180555555555552</v>
      </c>
      <c r="I300" s="1009">
        <v>0.46180555555555558</v>
      </c>
      <c r="J300" s="1010">
        <f t="shared" si="70"/>
        <v>48.000000000000071</v>
      </c>
      <c r="K300" s="1011"/>
      <c r="L300" s="1012">
        <v>2</v>
      </c>
      <c r="M300" s="1013"/>
      <c r="N300" s="1014" t="str">
        <f t="shared" si="71"/>
        <v/>
      </c>
      <c r="O300" s="1323" t="s">
        <v>727</v>
      </c>
      <c r="P300" s="1324"/>
      <c r="Q300" s="1324"/>
      <c r="R300" s="1324"/>
      <c r="S300" s="1324"/>
      <c r="T300" s="1325"/>
      <c r="U300" s="1015">
        <v>1.8</v>
      </c>
      <c r="V300" s="1015"/>
      <c r="W300" s="1015"/>
      <c r="X300" s="1015"/>
      <c r="Y300" s="1015">
        <v>2.7</v>
      </c>
      <c r="Z300" s="1016">
        <f>'09월 에너지'!S302</f>
        <v>146.30000000000001</v>
      </c>
      <c r="AA300" s="1017"/>
      <c r="AB300" s="1208"/>
      <c r="AC300" s="1208"/>
      <c r="AD300" s="1208"/>
      <c r="AE300" s="1208"/>
      <c r="AF300" s="1208"/>
      <c r="AG300" s="1018">
        <f>'09월 화학성분'!AM300</f>
        <v>2044</v>
      </c>
      <c r="AH300" s="1006">
        <f t="shared" si="62"/>
        <v>21</v>
      </c>
      <c r="AI300" s="1019">
        <v>1580</v>
      </c>
      <c r="AJ300" s="1020">
        <v>25</v>
      </c>
      <c r="AK300" s="1021">
        <v>515</v>
      </c>
      <c r="AL300" s="1022">
        <v>8</v>
      </c>
      <c r="AM300" s="1155">
        <f>IF(AT300="","",3*'09월 에너지'!S302*(1/(3+7.8*(100-AT300)/AT300)))</f>
        <v>0.33886658431130329</v>
      </c>
      <c r="AN300" s="1023">
        <v>0.16666666666666666</v>
      </c>
      <c r="AO300" s="1024"/>
      <c r="AP300" s="1025"/>
      <c r="AQ300" s="1025"/>
      <c r="AR300" s="1149">
        <f t="shared" si="63"/>
        <v>6</v>
      </c>
      <c r="AS300" s="1093" t="str">
        <f t="shared" si="72"/>
        <v xml:space="preserve"> </v>
      </c>
      <c r="AT300" s="1156">
        <v>0.6</v>
      </c>
      <c r="AU300" s="449"/>
      <c r="AV300" s="1205"/>
    </row>
    <row r="301" spans="1:48" ht="16.5" customHeight="1">
      <c r="A301" s="1005">
        <f t="shared" si="64"/>
        <v>46276</v>
      </c>
      <c r="B301" s="1005">
        <f t="shared" si="65"/>
        <v>46276</v>
      </c>
      <c r="C301" s="1150">
        <f t="shared" si="66"/>
        <v>11</v>
      </c>
      <c r="D301" s="1150">
        <f t="shared" si="67"/>
        <v>290</v>
      </c>
      <c r="E301" s="1006" t="str">
        <f t="shared" si="68"/>
        <v>C</v>
      </c>
      <c r="F301" s="1007" t="str">
        <f t="shared" si="74"/>
        <v>B</v>
      </c>
      <c r="G301" s="1008">
        <f t="shared" si="73"/>
        <v>85503</v>
      </c>
      <c r="H301" s="1138">
        <f t="shared" si="69"/>
        <v>0.49513888888888891</v>
      </c>
      <c r="I301" s="1009">
        <v>0.49722222222222223</v>
      </c>
      <c r="J301" s="1010">
        <f t="shared" si="70"/>
        <v>50.999999999999979</v>
      </c>
      <c r="K301" s="1011"/>
      <c r="L301" s="1012">
        <v>1</v>
      </c>
      <c r="M301" s="1013"/>
      <c r="N301" s="1014" t="str">
        <f t="shared" si="71"/>
        <v/>
      </c>
      <c r="O301" s="1323" t="s">
        <v>773</v>
      </c>
      <c r="P301" s="1324"/>
      <c r="Q301" s="1324"/>
      <c r="R301" s="1324"/>
      <c r="S301" s="1324"/>
      <c r="T301" s="1325"/>
      <c r="U301" s="1015">
        <v>1.8</v>
      </c>
      <c r="V301" s="1015"/>
      <c r="W301" s="1015"/>
      <c r="X301" s="1015"/>
      <c r="Y301" s="1015">
        <v>2.6</v>
      </c>
      <c r="Z301" s="1016">
        <f>'09월 에너지'!S303</f>
        <v>145.69999999999999</v>
      </c>
      <c r="AA301" s="1017"/>
      <c r="AB301" s="1208"/>
      <c r="AC301" s="1208"/>
      <c r="AD301" s="1208"/>
      <c r="AE301" s="1208"/>
      <c r="AF301" s="1208"/>
      <c r="AG301" s="1018">
        <f>'09월 화학성분'!AM301</f>
        <v>3791</v>
      </c>
      <c r="AH301" s="1006">
        <f t="shared" si="62"/>
        <v>22</v>
      </c>
      <c r="AI301" s="1019">
        <v>1575</v>
      </c>
      <c r="AJ301" s="1020">
        <v>0</v>
      </c>
      <c r="AK301" s="1021">
        <v>395</v>
      </c>
      <c r="AL301" s="1022">
        <v>11</v>
      </c>
      <c r="AM301" s="1155">
        <f>IF(AT301="","",3*'09월 에너지'!S303*(1/(3+7.8*(100-AT301)/AT301)))</f>
        <v>0.56385448916408676</v>
      </c>
      <c r="AN301" s="1023">
        <v>0.17430555555555557</v>
      </c>
      <c r="AO301" s="1024"/>
      <c r="AP301" s="1025"/>
      <c r="AQ301" s="1025"/>
      <c r="AR301" s="1149" t="str">
        <f t="shared" si="63"/>
        <v/>
      </c>
      <c r="AS301" s="1093">
        <f t="shared" si="72"/>
        <v>4</v>
      </c>
      <c r="AT301" s="1156">
        <v>1</v>
      </c>
      <c r="AU301" s="449"/>
      <c r="AV301" s="1205"/>
    </row>
    <row r="302" spans="1:48" ht="16.5" customHeight="1">
      <c r="A302" s="1005">
        <f t="shared" si="64"/>
        <v>46276</v>
      </c>
      <c r="B302" s="1005">
        <f t="shared" si="65"/>
        <v>46276</v>
      </c>
      <c r="C302" s="1150">
        <f t="shared" si="66"/>
        <v>12</v>
      </c>
      <c r="D302" s="1150">
        <f t="shared" si="67"/>
        <v>291</v>
      </c>
      <c r="E302" s="1006" t="str">
        <f t="shared" si="68"/>
        <v>C</v>
      </c>
      <c r="F302" s="1007" t="str">
        <f t="shared" si="74"/>
        <v>A</v>
      </c>
      <c r="G302" s="1008">
        <f t="shared" si="73"/>
        <v>85504</v>
      </c>
      <c r="H302" s="1138">
        <f t="shared" si="69"/>
        <v>0.53055555555555556</v>
      </c>
      <c r="I302" s="1009">
        <v>0.52847222222222223</v>
      </c>
      <c r="J302" s="1010">
        <f t="shared" si="70"/>
        <v>45</v>
      </c>
      <c r="K302" s="1011"/>
      <c r="L302" s="1012"/>
      <c r="M302" s="1013"/>
      <c r="N302" s="1014" t="str">
        <f t="shared" si="71"/>
        <v/>
      </c>
      <c r="O302" s="1323"/>
      <c r="P302" s="1324"/>
      <c r="Q302" s="1324"/>
      <c r="R302" s="1324"/>
      <c r="S302" s="1324"/>
      <c r="T302" s="1325"/>
      <c r="U302" s="1015">
        <v>1.8</v>
      </c>
      <c r="V302" s="1015">
        <v>2.7</v>
      </c>
      <c r="W302" s="1015">
        <v>1.1000000000000001</v>
      </c>
      <c r="X302" s="1015"/>
      <c r="Y302" s="1015"/>
      <c r="Z302" s="1016">
        <f>'09월 에너지'!S304</f>
        <v>146.5</v>
      </c>
      <c r="AA302" s="1017"/>
      <c r="AB302" s="1208"/>
      <c r="AC302" s="1208"/>
      <c r="AD302" s="1208"/>
      <c r="AE302" s="1208"/>
      <c r="AF302" s="1208"/>
      <c r="AG302" s="1018">
        <f>'09월 화학성분'!AM302</f>
        <v>2021</v>
      </c>
      <c r="AH302" s="1006">
        <f t="shared" si="62"/>
        <v>23</v>
      </c>
      <c r="AI302" s="1019">
        <v>1586</v>
      </c>
      <c r="AJ302" s="1020">
        <v>14</v>
      </c>
      <c r="AK302" s="1021">
        <v>580</v>
      </c>
      <c r="AL302" s="1022">
        <v>7</v>
      </c>
      <c r="AM302" s="1155">
        <f>IF(AT302="","",3*'09월 에너지'!S304*(1/(3+7.8*(100-AT302)/AT302)))</f>
        <v>0.50993966584158423</v>
      </c>
      <c r="AN302" s="1023">
        <v>0.15763888888888888</v>
      </c>
      <c r="AO302" s="1024"/>
      <c r="AP302" s="1025"/>
      <c r="AQ302" s="1025"/>
      <c r="AR302" s="1149">
        <f t="shared" si="63"/>
        <v>7</v>
      </c>
      <c r="AS302" s="1093" t="str">
        <f t="shared" si="72"/>
        <v xml:space="preserve"> </v>
      </c>
      <c r="AT302" s="1156">
        <v>0.9</v>
      </c>
      <c r="AU302" s="449"/>
      <c r="AV302" s="1205"/>
    </row>
    <row r="303" spans="1:48" ht="16.5" customHeight="1">
      <c r="A303" s="1005">
        <f t="shared" si="64"/>
        <v>46276</v>
      </c>
      <c r="B303" s="1005">
        <f t="shared" si="65"/>
        <v>46276</v>
      </c>
      <c r="C303" s="1150">
        <f t="shared" si="66"/>
        <v>13</v>
      </c>
      <c r="D303" s="1150">
        <f t="shared" si="67"/>
        <v>292</v>
      </c>
      <c r="E303" s="1006" t="str">
        <f t="shared" si="68"/>
        <v>C</v>
      </c>
      <c r="F303" s="1007" t="str">
        <f t="shared" si="74"/>
        <v>B</v>
      </c>
      <c r="G303" s="1008">
        <f t="shared" si="73"/>
        <v>85505</v>
      </c>
      <c r="H303" s="1138">
        <f t="shared" si="69"/>
        <v>0.56180555555555556</v>
      </c>
      <c r="I303" s="1009">
        <v>0.55972222222222223</v>
      </c>
      <c r="J303" s="1010">
        <f t="shared" si="70"/>
        <v>45</v>
      </c>
      <c r="K303" s="1011"/>
      <c r="L303" s="1012"/>
      <c r="M303" s="1013"/>
      <c r="N303" s="1014" t="str">
        <f t="shared" si="71"/>
        <v/>
      </c>
      <c r="O303" s="1323"/>
      <c r="P303" s="1324"/>
      <c r="Q303" s="1324"/>
      <c r="R303" s="1324"/>
      <c r="S303" s="1324"/>
      <c r="T303" s="1325"/>
      <c r="U303" s="1015">
        <v>1.8</v>
      </c>
      <c r="V303" s="1015">
        <v>2.4</v>
      </c>
      <c r="W303" s="1015">
        <v>1.3</v>
      </c>
      <c r="X303" s="1015"/>
      <c r="Y303" s="1015"/>
      <c r="Z303" s="1016">
        <f>'09월 에너지'!S305</f>
        <v>145.69999999999999</v>
      </c>
      <c r="AA303" s="1017"/>
      <c r="AB303" s="1208"/>
      <c r="AC303" s="1208"/>
      <c r="AD303" s="1208"/>
      <c r="AE303" s="1208"/>
      <c r="AF303" s="1208"/>
      <c r="AG303" s="1018">
        <f>'09월 화학성분'!AM303</f>
        <v>1778</v>
      </c>
      <c r="AH303" s="1006">
        <f t="shared" si="62"/>
        <v>24</v>
      </c>
      <c r="AI303" s="1019">
        <v>1586</v>
      </c>
      <c r="AJ303" s="1020">
        <v>0</v>
      </c>
      <c r="AK303" s="1021">
        <v>600</v>
      </c>
      <c r="AL303" s="1022">
        <v>7</v>
      </c>
      <c r="AM303" s="1155">
        <f>IF(AT303="","",3*'09월 에너지'!S305*(1/(3+7.8*(100-AT303)/AT303)))</f>
        <v>0.45052566481137907</v>
      </c>
      <c r="AN303" s="1023">
        <v>0.17291666666666669</v>
      </c>
      <c r="AO303" s="1024"/>
      <c r="AP303" s="1025"/>
      <c r="AQ303" s="1025"/>
      <c r="AR303" s="1149" t="str">
        <f t="shared" si="63"/>
        <v/>
      </c>
      <c r="AS303" s="1093">
        <f t="shared" si="72"/>
        <v>5</v>
      </c>
      <c r="AT303" s="1156">
        <v>0.8</v>
      </c>
      <c r="AU303" s="449"/>
      <c r="AV303" s="1205"/>
    </row>
    <row r="304" spans="1:48" ht="16.5" customHeight="1">
      <c r="A304" s="1005">
        <f t="shared" si="64"/>
        <v>46276</v>
      </c>
      <c r="B304" s="1005">
        <f t="shared" si="65"/>
        <v>46276</v>
      </c>
      <c r="C304" s="1150">
        <f t="shared" si="66"/>
        <v>14</v>
      </c>
      <c r="D304" s="1150">
        <f t="shared" si="67"/>
        <v>293</v>
      </c>
      <c r="E304" s="1006" t="str">
        <f t="shared" si="68"/>
        <v>C</v>
      </c>
      <c r="F304" s="1007" t="str">
        <f t="shared" si="74"/>
        <v>A</v>
      </c>
      <c r="G304" s="1008">
        <f t="shared" si="73"/>
        <v>85506</v>
      </c>
      <c r="H304" s="1138">
        <f t="shared" si="69"/>
        <v>0.59305555555555556</v>
      </c>
      <c r="I304" s="1009">
        <v>0.59305555555555556</v>
      </c>
      <c r="J304" s="1010">
        <f t="shared" si="70"/>
        <v>47.999999999999986</v>
      </c>
      <c r="K304" s="1011"/>
      <c r="L304" s="1012"/>
      <c r="M304" s="1013"/>
      <c r="N304" s="1014" t="str">
        <f t="shared" si="71"/>
        <v/>
      </c>
      <c r="O304" s="1323" t="s">
        <v>774</v>
      </c>
      <c r="P304" s="1324"/>
      <c r="Q304" s="1324"/>
      <c r="R304" s="1324"/>
      <c r="S304" s="1324"/>
      <c r="T304" s="1325"/>
      <c r="U304" s="1015">
        <v>1.8</v>
      </c>
      <c r="V304" s="1015"/>
      <c r="W304" s="1015"/>
      <c r="X304" s="1015"/>
      <c r="Y304" s="1015">
        <v>2.7</v>
      </c>
      <c r="Z304" s="1016">
        <f>'09월 에너지'!S306</f>
        <v>145.9</v>
      </c>
      <c r="AA304" s="1017">
        <v>1343</v>
      </c>
      <c r="AB304" s="1208" t="s">
        <v>775</v>
      </c>
      <c r="AC304" s="1208" t="s">
        <v>532</v>
      </c>
      <c r="AD304" s="1208"/>
      <c r="AE304" s="1208"/>
      <c r="AF304" s="1208" t="s">
        <v>532</v>
      </c>
      <c r="AG304" s="1018">
        <f>'09월 화학성분'!AM304</f>
        <v>1672</v>
      </c>
      <c r="AH304" s="1006">
        <f t="shared" si="62"/>
        <v>25</v>
      </c>
      <c r="AI304" s="1019">
        <v>1560</v>
      </c>
      <c r="AJ304" s="1020">
        <v>0</v>
      </c>
      <c r="AK304" s="1021">
        <v>607</v>
      </c>
      <c r="AL304" s="1022">
        <v>6</v>
      </c>
      <c r="AM304" s="1155">
        <f>IF(AT304="","",3*'09월 에너지'!S306*(1/(3+7.8*(100-AT304)/AT304)))</f>
        <v>0.28144290123456794</v>
      </c>
      <c r="AN304" s="1023">
        <v>0.33888888888888885</v>
      </c>
      <c r="AO304" s="1024"/>
      <c r="AP304" s="1025"/>
      <c r="AQ304" s="1025"/>
      <c r="AR304" s="1149">
        <f t="shared" si="63"/>
        <v>8</v>
      </c>
      <c r="AS304" s="1093" t="str">
        <f t="shared" si="72"/>
        <v xml:space="preserve"> </v>
      </c>
      <c r="AT304" s="1156">
        <v>0.5</v>
      </c>
      <c r="AU304" s="449"/>
      <c r="AV304" s="1205"/>
    </row>
    <row r="305" spans="1:48" ht="16.5" customHeight="1">
      <c r="A305" s="1005">
        <f t="shared" si="64"/>
        <v>46276</v>
      </c>
      <c r="B305" s="1005">
        <f t="shared" si="65"/>
        <v>46276</v>
      </c>
      <c r="C305" s="1150">
        <f t="shared" si="66"/>
        <v>15</v>
      </c>
      <c r="D305" s="1150">
        <f t="shared" si="67"/>
        <v>294</v>
      </c>
      <c r="E305" s="1006" t="s">
        <v>534</v>
      </c>
      <c r="F305" s="1007" t="str">
        <f t="shared" si="74"/>
        <v>B</v>
      </c>
      <c r="G305" s="1008">
        <f t="shared" si="73"/>
        <v>85507</v>
      </c>
      <c r="H305" s="1138">
        <f t="shared" si="69"/>
        <v>0.62638888888888888</v>
      </c>
      <c r="I305" s="1009">
        <v>0.63055555555555554</v>
      </c>
      <c r="J305" s="1010">
        <f t="shared" si="70"/>
        <v>53.999999999999972</v>
      </c>
      <c r="K305" s="1011"/>
      <c r="L305" s="1012">
        <v>6</v>
      </c>
      <c r="M305" s="1013"/>
      <c r="N305" s="1014" t="str">
        <f t="shared" si="71"/>
        <v/>
      </c>
      <c r="O305" s="1323" t="s">
        <v>776</v>
      </c>
      <c r="P305" s="1324"/>
      <c r="Q305" s="1324"/>
      <c r="R305" s="1324"/>
      <c r="S305" s="1324"/>
      <c r="T305" s="1325"/>
      <c r="U305" s="1015">
        <v>1.8</v>
      </c>
      <c r="V305" s="1015"/>
      <c r="W305" s="1015"/>
      <c r="X305" s="1015"/>
      <c r="Y305" s="1015">
        <v>2.5</v>
      </c>
      <c r="Z305" s="1016">
        <f>'09월 에너지'!S307</f>
        <v>148.19999999999999</v>
      </c>
      <c r="AA305" s="1017">
        <v>1680</v>
      </c>
      <c r="AB305" s="1208" t="s">
        <v>775</v>
      </c>
      <c r="AC305" s="1208" t="s">
        <v>532</v>
      </c>
      <c r="AD305" s="1208"/>
      <c r="AE305" s="1208"/>
      <c r="AF305" s="1208" t="s">
        <v>532</v>
      </c>
      <c r="AG305" s="1018">
        <f>'09월 화학성분'!AM305</f>
        <v>2017</v>
      </c>
      <c r="AH305" s="1006">
        <f t="shared" si="62"/>
        <v>26</v>
      </c>
      <c r="AI305" s="1019">
        <v>1544</v>
      </c>
      <c r="AJ305" s="1020">
        <v>0</v>
      </c>
      <c r="AK305" s="1021">
        <v>334</v>
      </c>
      <c r="AL305" s="1022">
        <v>13</v>
      </c>
      <c r="AM305" s="1155">
        <f>IF(AT305="","",3*'09월 에너지'!S307*(1/(3+7.8*(100-AT305)/AT305)))</f>
        <v>0.51585705445544561</v>
      </c>
      <c r="AN305" s="1023">
        <v>0.18611111111111112</v>
      </c>
      <c r="AO305" s="1024"/>
      <c r="AP305" s="1025"/>
      <c r="AQ305" s="1025"/>
      <c r="AR305" s="1149" t="str">
        <f t="shared" si="63"/>
        <v/>
      </c>
      <c r="AS305" s="1093">
        <f t="shared" si="72"/>
        <v>6</v>
      </c>
      <c r="AT305" s="1156">
        <v>0.9</v>
      </c>
      <c r="AU305" s="449"/>
      <c r="AV305" s="1205"/>
    </row>
    <row r="306" spans="1:48" ht="16.5" customHeight="1">
      <c r="A306" s="1005">
        <f t="shared" si="64"/>
        <v>46276</v>
      </c>
      <c r="B306" s="1005">
        <f t="shared" si="65"/>
        <v>46276</v>
      </c>
      <c r="C306" s="1150">
        <f t="shared" si="66"/>
        <v>16</v>
      </c>
      <c r="D306" s="1150">
        <f t="shared" si="67"/>
        <v>295</v>
      </c>
      <c r="E306" s="1006" t="str">
        <f t="shared" si="68"/>
        <v>A</v>
      </c>
      <c r="F306" s="1007" t="str">
        <f t="shared" si="74"/>
        <v>A</v>
      </c>
      <c r="G306" s="1008">
        <f t="shared" si="73"/>
        <v>85508</v>
      </c>
      <c r="H306" s="1138">
        <f t="shared" si="69"/>
        <v>0.66388888888888886</v>
      </c>
      <c r="I306" s="1009">
        <v>0.65972222222222221</v>
      </c>
      <c r="J306" s="1010">
        <f t="shared" si="70"/>
        <v>42.000000000000014</v>
      </c>
      <c r="K306" s="1011"/>
      <c r="L306" s="1012"/>
      <c r="M306" s="1013"/>
      <c r="N306" s="1014" t="str">
        <f t="shared" si="71"/>
        <v/>
      </c>
      <c r="O306" s="1323"/>
      <c r="P306" s="1324"/>
      <c r="Q306" s="1324"/>
      <c r="R306" s="1324"/>
      <c r="S306" s="1324"/>
      <c r="T306" s="1325"/>
      <c r="U306" s="1015">
        <v>1.8</v>
      </c>
      <c r="V306" s="1015">
        <v>2.6</v>
      </c>
      <c r="W306" s="1015">
        <v>1.5</v>
      </c>
      <c r="X306" s="1015"/>
      <c r="Y306" s="1015"/>
      <c r="Z306" s="1016">
        <f>'09월 에너지'!S308</f>
        <v>145.6</v>
      </c>
      <c r="AA306" s="1017"/>
      <c r="AB306" s="1208"/>
      <c r="AC306" s="1208"/>
      <c r="AD306" s="1208"/>
      <c r="AE306" s="1208"/>
      <c r="AF306" s="1208"/>
      <c r="AG306" s="1018">
        <f>'09월 화학성분'!AM306</f>
        <v>2590</v>
      </c>
      <c r="AH306" s="1006">
        <f t="shared" si="62"/>
        <v>27</v>
      </c>
      <c r="AI306" s="1019">
        <v>1580</v>
      </c>
      <c r="AJ306" s="1020">
        <v>75</v>
      </c>
      <c r="AK306" s="1021">
        <v>588</v>
      </c>
      <c r="AL306" s="1022">
        <v>7</v>
      </c>
      <c r="AM306" s="1155">
        <f>IF(AT306="","",3*'09월 에너지'!S308*(1/(3+7.8*(100-AT306)/AT306)))</f>
        <v>0.39369592088998756</v>
      </c>
      <c r="AN306" s="1023">
        <v>0.29583333333333334</v>
      </c>
      <c r="AO306" s="1024"/>
      <c r="AP306" s="1025"/>
      <c r="AQ306" s="1025"/>
      <c r="AR306" s="1149">
        <f t="shared" si="63"/>
        <v>9</v>
      </c>
      <c r="AS306" s="1093" t="str">
        <f t="shared" si="72"/>
        <v xml:space="preserve"> </v>
      </c>
      <c r="AT306" s="1156">
        <v>0.7</v>
      </c>
      <c r="AU306" s="449"/>
      <c r="AV306" s="1205"/>
    </row>
    <row r="307" spans="1:48" ht="16.5" customHeight="1">
      <c r="A307" s="1005">
        <f t="shared" si="64"/>
        <v>46276</v>
      </c>
      <c r="B307" s="1005">
        <f t="shared" si="65"/>
        <v>46276</v>
      </c>
      <c r="C307" s="1150">
        <f t="shared" si="66"/>
        <v>17</v>
      </c>
      <c r="D307" s="1150">
        <f t="shared" si="67"/>
        <v>296</v>
      </c>
      <c r="E307" s="1006" t="str">
        <f t="shared" si="68"/>
        <v>A</v>
      </c>
      <c r="F307" s="1007" t="str">
        <f t="shared" si="74"/>
        <v>B</v>
      </c>
      <c r="G307" s="1008">
        <f t="shared" si="73"/>
        <v>85509</v>
      </c>
      <c r="H307" s="1138">
        <f t="shared" si="69"/>
        <v>0.69305555555555554</v>
      </c>
      <c r="I307" s="1009">
        <v>0.69236111111111109</v>
      </c>
      <c r="J307" s="1010">
        <f t="shared" si="70"/>
        <v>46.999999999999993</v>
      </c>
      <c r="K307" s="1011"/>
      <c r="L307" s="1012"/>
      <c r="M307" s="1013"/>
      <c r="N307" s="1014" t="str">
        <f t="shared" si="71"/>
        <v/>
      </c>
      <c r="O307" s="1323"/>
      <c r="P307" s="1324"/>
      <c r="Q307" s="1324"/>
      <c r="R307" s="1324"/>
      <c r="S307" s="1324"/>
      <c r="T307" s="1325"/>
      <c r="U307" s="1015">
        <v>1.8</v>
      </c>
      <c r="V307" s="1015">
        <v>2.5</v>
      </c>
      <c r="W307" s="1015">
        <v>1</v>
      </c>
      <c r="X307" s="1015"/>
      <c r="Y307" s="1015"/>
      <c r="Z307" s="1016">
        <f>'09월 에너지'!S309</f>
        <v>146.6</v>
      </c>
      <c r="AA307" s="1017"/>
      <c r="AB307" s="1208"/>
      <c r="AC307" s="1208"/>
      <c r="AD307" s="1208"/>
      <c r="AE307" s="1208"/>
      <c r="AF307" s="1208"/>
      <c r="AG307" s="1018">
        <f>'09월 화학성분'!AM307</f>
        <v>2406</v>
      </c>
      <c r="AH307" s="1006">
        <f t="shared" si="62"/>
        <v>28</v>
      </c>
      <c r="AI307" s="1019">
        <v>1536</v>
      </c>
      <c r="AJ307" s="1020">
        <v>0</v>
      </c>
      <c r="AK307" s="1021">
        <v>420</v>
      </c>
      <c r="AL307" s="1022">
        <v>10</v>
      </c>
      <c r="AM307" s="1155">
        <f>IF(AT307="","",3*'09월 에너지'!S309*(1/(3+7.8*(100-AT307)/AT307)))</f>
        <v>1.7819165621079045</v>
      </c>
      <c r="AN307" s="1023">
        <v>0.21041666666666667</v>
      </c>
      <c r="AO307" s="1024"/>
      <c r="AP307" s="1025"/>
      <c r="AQ307" s="1025"/>
      <c r="AR307" s="1149" t="str">
        <f t="shared" si="63"/>
        <v/>
      </c>
      <c r="AS307" s="1093">
        <f t="shared" si="72"/>
        <v>7</v>
      </c>
      <c r="AT307" s="1156">
        <v>3.1</v>
      </c>
      <c r="AU307" s="449"/>
      <c r="AV307" s="1205"/>
    </row>
    <row r="308" spans="1:48" ht="16.5" customHeight="1">
      <c r="A308" s="1005">
        <f t="shared" si="64"/>
        <v>46276</v>
      </c>
      <c r="B308" s="1005">
        <f t="shared" si="65"/>
        <v>46276</v>
      </c>
      <c r="C308" s="1150">
        <f t="shared" si="66"/>
        <v>18</v>
      </c>
      <c r="D308" s="1150">
        <f t="shared" si="67"/>
        <v>297</v>
      </c>
      <c r="E308" s="1006" t="str">
        <f t="shared" si="68"/>
        <v>A</v>
      </c>
      <c r="F308" s="1007" t="str">
        <f t="shared" si="74"/>
        <v>A</v>
      </c>
      <c r="G308" s="1008">
        <f t="shared" si="73"/>
        <v>85510</v>
      </c>
      <c r="H308" s="1138">
        <f t="shared" si="69"/>
        <v>0.72569444444444442</v>
      </c>
      <c r="I308" s="1009">
        <v>0.72430555555555554</v>
      </c>
      <c r="J308" s="1010">
        <f t="shared" si="70"/>
        <v>46</v>
      </c>
      <c r="K308" s="1011"/>
      <c r="L308" s="1012"/>
      <c r="M308" s="1013"/>
      <c r="N308" s="1014" t="str">
        <f t="shared" si="71"/>
        <v/>
      </c>
      <c r="O308" s="1323"/>
      <c r="P308" s="1324"/>
      <c r="Q308" s="1324"/>
      <c r="R308" s="1324"/>
      <c r="S308" s="1324"/>
      <c r="T308" s="1325"/>
      <c r="U308" s="1015">
        <v>1.8</v>
      </c>
      <c r="V308" s="1015"/>
      <c r="W308" s="1015"/>
      <c r="X308" s="1015"/>
      <c r="Y308" s="1015"/>
      <c r="Z308" s="1016">
        <f>'09월 에너지'!S310</f>
        <v>148</v>
      </c>
      <c r="AA308" s="1017"/>
      <c r="AB308" s="1208"/>
      <c r="AC308" s="1208"/>
      <c r="AD308" s="1208"/>
      <c r="AE308" s="1208"/>
      <c r="AF308" s="1208"/>
      <c r="AG308" s="1018">
        <f>'09월 화학성분'!AM308</f>
        <v>2482</v>
      </c>
      <c r="AH308" s="1006">
        <f t="shared" si="62"/>
        <v>29</v>
      </c>
      <c r="AI308" s="1019">
        <v>1578</v>
      </c>
      <c r="AJ308" s="1020">
        <v>0</v>
      </c>
      <c r="AK308" s="1021">
        <v>842</v>
      </c>
      <c r="AL308" s="1022">
        <v>4</v>
      </c>
      <c r="AM308" s="1155">
        <f>IF(AT308="","",3*'09월 에너지'!S310*(1/(3+7.8*(100-AT308)/AT308)))</f>
        <v>1.328027465667915</v>
      </c>
      <c r="AN308" s="1023">
        <v>0.24791666666666667</v>
      </c>
      <c r="AO308" s="1024"/>
      <c r="AP308" s="1025"/>
      <c r="AQ308" s="1025"/>
      <c r="AR308" s="1149">
        <f t="shared" si="63"/>
        <v>10</v>
      </c>
      <c r="AS308" s="1093" t="str">
        <f t="shared" si="72"/>
        <v xml:space="preserve"> </v>
      </c>
      <c r="AT308" s="1156">
        <v>2.2999999999999998</v>
      </c>
      <c r="AU308" s="449"/>
      <c r="AV308" s="1205"/>
    </row>
    <row r="309" spans="1:48" ht="16.5" customHeight="1">
      <c r="A309" s="1005">
        <f t="shared" si="64"/>
        <v>46276</v>
      </c>
      <c r="B309" s="1005">
        <f t="shared" si="65"/>
        <v>46276</v>
      </c>
      <c r="C309" s="1150">
        <f t="shared" si="66"/>
        <v>19</v>
      </c>
      <c r="D309" s="1150">
        <f t="shared" si="67"/>
        <v>298</v>
      </c>
      <c r="E309" s="1006" t="str">
        <f t="shared" si="68"/>
        <v>A</v>
      </c>
      <c r="F309" s="1007" t="str">
        <f t="shared" si="74"/>
        <v>B</v>
      </c>
      <c r="G309" s="1008">
        <f t="shared" si="73"/>
        <v>85511</v>
      </c>
      <c r="H309" s="1138">
        <f t="shared" si="69"/>
        <v>0.75763888888888886</v>
      </c>
      <c r="I309" s="1009">
        <v>0.75763888888888886</v>
      </c>
      <c r="J309" s="1010">
        <f t="shared" si="70"/>
        <v>47.999999999999986</v>
      </c>
      <c r="K309" s="1011"/>
      <c r="L309" s="1012">
        <v>2</v>
      </c>
      <c r="M309" s="1013"/>
      <c r="N309" s="1014" t="str">
        <f t="shared" si="71"/>
        <v/>
      </c>
      <c r="O309" s="1335" t="s">
        <v>777</v>
      </c>
      <c r="P309" s="1336"/>
      <c r="Q309" s="1336"/>
      <c r="R309" s="1336"/>
      <c r="S309" s="1336"/>
      <c r="T309" s="1337"/>
      <c r="U309" s="1015">
        <v>1.8</v>
      </c>
      <c r="V309" s="1015"/>
      <c r="W309" s="1015"/>
      <c r="X309" s="1015"/>
      <c r="Y309" s="1015">
        <v>2.8</v>
      </c>
      <c r="Z309" s="1016">
        <f>'09월 에너지'!S311</f>
        <v>147.69999999999999</v>
      </c>
      <c r="AA309" s="1017"/>
      <c r="AB309" s="1208"/>
      <c r="AC309" s="1208"/>
      <c r="AD309" s="1208"/>
      <c r="AE309" s="1208"/>
      <c r="AF309" s="1208"/>
      <c r="AG309" s="1018">
        <f>'09월 화학성분'!AM309</f>
        <v>2488</v>
      </c>
      <c r="AH309" s="1006">
        <f t="shared" si="62"/>
        <v>30</v>
      </c>
      <c r="AI309" s="1019">
        <v>1556</v>
      </c>
      <c r="AJ309" s="1020">
        <v>0</v>
      </c>
      <c r="AK309" s="1021">
        <v>429</v>
      </c>
      <c r="AL309" s="1022">
        <v>10</v>
      </c>
      <c r="AM309" s="1155">
        <f>IF(AT309="","",3*'09월 에너지'!S311*(1/(3+7.8*(100-AT309)/AT309)))</f>
        <v>2.5691018342821006</v>
      </c>
      <c r="AN309" s="1023">
        <v>0.17500000000000002</v>
      </c>
      <c r="AO309" s="1024"/>
      <c r="AP309" s="1025"/>
      <c r="AQ309" s="1025"/>
      <c r="AR309" s="1149" t="str">
        <f t="shared" si="63"/>
        <v/>
      </c>
      <c r="AS309" s="1093">
        <f t="shared" si="72"/>
        <v>8</v>
      </c>
      <c r="AT309" s="1156">
        <v>4.4000000000000004</v>
      </c>
      <c r="AU309" s="449"/>
      <c r="AV309" s="1205"/>
    </row>
    <row r="310" spans="1:48" ht="16.5" customHeight="1">
      <c r="A310" s="1005">
        <f t="shared" si="64"/>
        <v>46276</v>
      </c>
      <c r="B310" s="1005">
        <f t="shared" si="65"/>
        <v>46276</v>
      </c>
      <c r="C310" s="1150">
        <f t="shared" si="66"/>
        <v>20</v>
      </c>
      <c r="D310" s="1150">
        <f t="shared" si="67"/>
        <v>299</v>
      </c>
      <c r="E310" s="1006" t="str">
        <f t="shared" si="68"/>
        <v>A</v>
      </c>
      <c r="F310" s="1007" t="str">
        <f t="shared" si="74"/>
        <v>A</v>
      </c>
      <c r="G310" s="1008">
        <f t="shared" si="73"/>
        <v>85512</v>
      </c>
      <c r="H310" s="1138">
        <f t="shared" si="69"/>
        <v>0.79097222222222219</v>
      </c>
      <c r="I310" s="1009">
        <v>0.78888888888888886</v>
      </c>
      <c r="J310" s="1010">
        <f t="shared" si="70"/>
        <v>45</v>
      </c>
      <c r="K310" s="1011"/>
      <c r="L310" s="1012">
        <v>1</v>
      </c>
      <c r="M310" s="1013"/>
      <c r="N310" s="1014" t="str">
        <f t="shared" si="71"/>
        <v/>
      </c>
      <c r="O310" s="1323" t="s">
        <v>727</v>
      </c>
      <c r="P310" s="1324"/>
      <c r="Q310" s="1324"/>
      <c r="R310" s="1324"/>
      <c r="S310" s="1324"/>
      <c r="T310" s="1325"/>
      <c r="U310" s="1015">
        <v>1.8</v>
      </c>
      <c r="V310" s="1015"/>
      <c r="W310" s="1015"/>
      <c r="X310" s="1015">
        <v>3.2</v>
      </c>
      <c r="Y310" s="1015"/>
      <c r="Z310" s="1016">
        <f>'09월 에너지'!S312</f>
        <v>144.4</v>
      </c>
      <c r="AA310" s="1017"/>
      <c r="AB310" s="1208"/>
      <c r="AC310" s="1208"/>
      <c r="AD310" s="1208"/>
      <c r="AE310" s="1208"/>
      <c r="AF310" s="1208"/>
      <c r="AG310" s="1018">
        <f>'09월 화학성분'!AM310</f>
        <v>2455</v>
      </c>
      <c r="AH310" s="1006">
        <f t="shared" si="62"/>
        <v>31</v>
      </c>
      <c r="AI310" s="1019">
        <v>1600</v>
      </c>
      <c r="AJ310" s="1020">
        <v>0</v>
      </c>
      <c r="AK310" s="1021">
        <v>940</v>
      </c>
      <c r="AL310" s="1022">
        <v>4</v>
      </c>
      <c r="AM310" s="1155">
        <f>IF(AT310="","",3*'09월 에너지'!S312*(1/(3+7.8*(100-AT310)/AT310)))</f>
        <v>5.5572660098522172E-2</v>
      </c>
      <c r="AN310" s="1023">
        <v>0.16597222222222222</v>
      </c>
      <c r="AO310" s="1024"/>
      <c r="AP310" s="1025"/>
      <c r="AQ310" s="1025"/>
      <c r="AR310" s="1149">
        <f t="shared" si="63"/>
        <v>11</v>
      </c>
      <c r="AS310" s="1093" t="str">
        <f t="shared" si="72"/>
        <v xml:space="preserve"> </v>
      </c>
      <c r="AT310" s="1156">
        <v>0.1</v>
      </c>
      <c r="AU310" s="449"/>
      <c r="AV310" s="1205"/>
    </row>
    <row r="311" spans="1:48" ht="16.5" customHeight="1">
      <c r="A311" s="1005">
        <f t="shared" si="64"/>
        <v>46276</v>
      </c>
      <c r="B311" s="1005">
        <f t="shared" si="65"/>
        <v>46276</v>
      </c>
      <c r="C311" s="1150">
        <f t="shared" si="66"/>
        <v>21</v>
      </c>
      <c r="D311" s="1150">
        <f t="shared" si="67"/>
        <v>300</v>
      </c>
      <c r="E311" s="1006" t="str">
        <f t="shared" si="68"/>
        <v>A</v>
      </c>
      <c r="F311" s="1007" t="str">
        <f t="shared" si="74"/>
        <v>B</v>
      </c>
      <c r="G311" s="1008">
        <f t="shared" si="73"/>
        <v>85513</v>
      </c>
      <c r="H311" s="1138">
        <f t="shared" si="69"/>
        <v>0.82222222222222219</v>
      </c>
      <c r="I311" s="1009">
        <v>0.82152777777777775</v>
      </c>
      <c r="J311" s="1010">
        <f t="shared" si="70"/>
        <v>46.999999999999993</v>
      </c>
      <c r="K311" s="1011"/>
      <c r="L311" s="1012"/>
      <c r="M311" s="1013"/>
      <c r="N311" s="1014" t="str">
        <f t="shared" si="71"/>
        <v/>
      </c>
      <c r="O311" s="1323"/>
      <c r="P311" s="1324"/>
      <c r="Q311" s="1324"/>
      <c r="R311" s="1324"/>
      <c r="S311" s="1324"/>
      <c r="T311" s="1325"/>
      <c r="U311" s="1015">
        <v>1.8</v>
      </c>
      <c r="V311" s="1015"/>
      <c r="W311" s="1015"/>
      <c r="X311" s="1015"/>
      <c r="Y311" s="1015">
        <v>2.5</v>
      </c>
      <c r="Z311" s="1016">
        <f>'09월 에너지'!S313</f>
        <v>145.80000000000001</v>
      </c>
      <c r="AA311" s="1017"/>
      <c r="AB311" s="1208"/>
      <c r="AC311" s="1208"/>
      <c r="AD311" s="1208"/>
      <c r="AE311" s="1208"/>
      <c r="AF311" s="1208"/>
      <c r="AG311" s="1018">
        <f>'09월 화학성분'!AM311</f>
        <v>2590</v>
      </c>
      <c r="AH311" s="1006">
        <f t="shared" si="62"/>
        <v>32</v>
      </c>
      <c r="AI311" s="1019">
        <v>1567</v>
      </c>
      <c r="AJ311" s="1020">
        <v>67</v>
      </c>
      <c r="AK311" s="1021">
        <v>375</v>
      </c>
      <c r="AL311" s="1022">
        <v>12</v>
      </c>
      <c r="AM311" s="1155">
        <f>IF(AT311="","",3*'09월 에너지'!S313*(1/(3+7.8*(100-AT311)/AT311)))</f>
        <v>2.5360531309297922</v>
      </c>
      <c r="AN311" s="1023">
        <v>0.18055555555555555</v>
      </c>
      <c r="AO311" s="1024"/>
      <c r="AP311" s="1025"/>
      <c r="AQ311" s="1025"/>
      <c r="AR311" s="1149" t="str">
        <f t="shared" si="63"/>
        <v/>
      </c>
      <c r="AS311" s="1093">
        <f t="shared" si="72"/>
        <v>9</v>
      </c>
      <c r="AT311" s="1156">
        <v>4.4000000000000004</v>
      </c>
      <c r="AU311" s="449"/>
      <c r="AV311" s="1205"/>
    </row>
    <row r="312" spans="1:48" ht="17.25" customHeight="1">
      <c r="A312" s="1005">
        <f t="shared" si="64"/>
        <v>46276</v>
      </c>
      <c r="B312" s="1005">
        <f t="shared" si="65"/>
        <v>46276</v>
      </c>
      <c r="C312" s="1150">
        <f t="shared" si="66"/>
        <v>22</v>
      </c>
      <c r="D312" s="1150">
        <f t="shared" si="67"/>
        <v>301</v>
      </c>
      <c r="E312" s="1006" t="str">
        <f t="shared" si="68"/>
        <v>A</v>
      </c>
      <c r="F312" s="1007" t="str">
        <f t="shared" si="74"/>
        <v>A</v>
      </c>
      <c r="G312" s="1008">
        <f t="shared" si="73"/>
        <v>85514</v>
      </c>
      <c r="H312" s="1138">
        <f t="shared" si="69"/>
        <v>0.85486111111111107</v>
      </c>
      <c r="I312" s="1009">
        <v>0.85625000000000007</v>
      </c>
      <c r="J312" s="1010">
        <f t="shared" si="70"/>
        <v>50.000000000000142</v>
      </c>
      <c r="K312" s="1011"/>
      <c r="L312" s="1012"/>
      <c r="M312" s="1013"/>
      <c r="N312" s="1014" t="str">
        <f t="shared" si="71"/>
        <v/>
      </c>
      <c r="O312" s="1323"/>
      <c r="P312" s="1324"/>
      <c r="Q312" s="1324"/>
      <c r="R312" s="1324"/>
      <c r="S312" s="1324"/>
      <c r="T312" s="1325"/>
      <c r="U312" s="1015">
        <v>1.8</v>
      </c>
      <c r="V312" s="1015"/>
      <c r="W312" s="1015"/>
      <c r="X312" s="1015"/>
      <c r="Y312" s="1015">
        <v>2.4</v>
      </c>
      <c r="Z312" s="1016">
        <f>'09월 에너지'!S314</f>
        <v>148.6</v>
      </c>
      <c r="AA312" s="1017"/>
      <c r="AB312" s="1208"/>
      <c r="AC312" s="1208"/>
      <c r="AD312" s="1208"/>
      <c r="AE312" s="1208"/>
      <c r="AF312" s="1208"/>
      <c r="AG312" s="1018">
        <f>'09월 화학성분'!AM312</f>
        <v>2545</v>
      </c>
      <c r="AH312" s="1006">
        <f t="shared" si="62"/>
        <v>33</v>
      </c>
      <c r="AI312" s="1019">
        <v>1587</v>
      </c>
      <c r="AJ312" s="1020">
        <v>44</v>
      </c>
      <c r="AK312" s="1021">
        <v>515</v>
      </c>
      <c r="AL312" s="1022">
        <v>8</v>
      </c>
      <c r="AM312" s="1155">
        <f>IF(AT312="","",3*'09월 에너지'!S314*(1/(3+7.8*(100-AT312)/AT312)))</f>
        <v>0.98188743781094512</v>
      </c>
      <c r="AN312" s="1023">
        <v>0.16944444444444443</v>
      </c>
      <c r="AO312" s="1024"/>
      <c r="AP312" s="1025"/>
      <c r="AQ312" s="1025"/>
      <c r="AR312" s="1149">
        <f t="shared" si="63"/>
        <v>12</v>
      </c>
      <c r="AS312" s="1093" t="str">
        <f t="shared" si="72"/>
        <v xml:space="preserve"> </v>
      </c>
      <c r="AT312" s="1156">
        <v>1.7</v>
      </c>
      <c r="AU312" s="449"/>
      <c r="AV312" s="1205"/>
    </row>
    <row r="313" spans="1:48" ht="16.5" customHeight="1">
      <c r="A313" s="1005">
        <f t="shared" si="64"/>
        <v>46276</v>
      </c>
      <c r="B313" s="1005">
        <f t="shared" si="65"/>
        <v>46276</v>
      </c>
      <c r="C313" s="1150">
        <f t="shared" si="66"/>
        <v>23</v>
      </c>
      <c r="D313" s="1150">
        <f t="shared" si="67"/>
        <v>302</v>
      </c>
      <c r="E313" s="1006" t="str">
        <f t="shared" si="68"/>
        <v>A</v>
      </c>
      <c r="F313" s="1007" t="str">
        <f t="shared" si="74"/>
        <v>B</v>
      </c>
      <c r="G313" s="1008">
        <f t="shared" si="73"/>
        <v>85515</v>
      </c>
      <c r="H313" s="1138">
        <f t="shared" si="69"/>
        <v>0.88958333333333339</v>
      </c>
      <c r="I313" s="1009">
        <v>0.88958333333333339</v>
      </c>
      <c r="J313" s="1010">
        <f t="shared" si="70"/>
        <v>47.999999999999986</v>
      </c>
      <c r="K313" s="1011"/>
      <c r="L313" s="1012"/>
      <c r="M313" s="1013"/>
      <c r="N313" s="1014" t="str">
        <f t="shared" si="71"/>
        <v/>
      </c>
      <c r="O313" s="1338" t="s">
        <v>740</v>
      </c>
      <c r="P313" s="1339"/>
      <c r="Q313" s="1339"/>
      <c r="R313" s="1339"/>
      <c r="S313" s="1339"/>
      <c r="T313" s="1340"/>
      <c r="U313" s="1015">
        <v>1.8</v>
      </c>
      <c r="V313" s="1015"/>
      <c r="W313" s="1015"/>
      <c r="X313" s="1015"/>
      <c r="Y313" s="1015">
        <v>2.7</v>
      </c>
      <c r="Z313" s="1016">
        <f>'09월 에너지'!S315</f>
        <v>144.5</v>
      </c>
      <c r="AA313" s="1017"/>
      <c r="AB313" s="1208"/>
      <c r="AC313" s="1208"/>
      <c r="AD313" s="1208"/>
      <c r="AE313" s="1208"/>
      <c r="AF313" s="1208"/>
      <c r="AG313" s="1018">
        <f>'09월 화학성분'!AM313</f>
        <v>2634</v>
      </c>
      <c r="AH313" s="1006">
        <f t="shared" si="62"/>
        <v>34</v>
      </c>
      <c r="AI313" s="1019">
        <v>1564</v>
      </c>
      <c r="AJ313" s="1020">
        <v>0</v>
      </c>
      <c r="AK313" s="1021">
        <v>346</v>
      </c>
      <c r="AL313" s="1022">
        <v>13</v>
      </c>
      <c r="AM313" s="1155">
        <f>IF(AT313="","",3*'09월 에너지'!S315*(1/(3+7.8*(100-AT313)/AT313)))</f>
        <v>0.78483860955927998</v>
      </c>
      <c r="AN313" s="1023">
        <v>0.17569444444444446</v>
      </c>
      <c r="AO313" s="1024"/>
      <c r="AP313" s="1025"/>
      <c r="AQ313" s="1025"/>
      <c r="AR313" s="1149" t="str">
        <f t="shared" si="63"/>
        <v/>
      </c>
      <c r="AS313" s="1093">
        <f t="shared" si="72"/>
        <v>10</v>
      </c>
      <c r="AT313" s="1156">
        <v>1.4</v>
      </c>
      <c r="AU313" s="449"/>
      <c r="AV313" s="1205"/>
    </row>
    <row r="314" spans="1:48" ht="16.5" customHeight="1">
      <c r="A314" s="1005">
        <f t="shared" si="64"/>
        <v>46276</v>
      </c>
      <c r="B314" s="1005">
        <f t="shared" si="65"/>
        <v>46276</v>
      </c>
      <c r="C314" s="1150">
        <f t="shared" si="66"/>
        <v>24</v>
      </c>
      <c r="D314" s="1150">
        <f t="shared" si="67"/>
        <v>303</v>
      </c>
      <c r="E314" s="1006" t="str">
        <f t="shared" si="68"/>
        <v>A</v>
      </c>
      <c r="F314" s="1007" t="str">
        <f t="shared" si="74"/>
        <v>A</v>
      </c>
      <c r="G314" s="1008">
        <f t="shared" si="73"/>
        <v>85516</v>
      </c>
      <c r="H314" s="1138">
        <f t="shared" si="69"/>
        <v>0.92291666666666672</v>
      </c>
      <c r="I314" s="1009">
        <v>0.92361111111111116</v>
      </c>
      <c r="J314" s="1010">
        <f t="shared" si="70"/>
        <v>48.999999999999986</v>
      </c>
      <c r="K314" s="1011"/>
      <c r="L314" s="1012"/>
      <c r="M314" s="1013"/>
      <c r="N314" s="1014" t="str">
        <f t="shared" si="71"/>
        <v/>
      </c>
      <c r="O314" s="1323" t="s">
        <v>781</v>
      </c>
      <c r="P314" s="1324"/>
      <c r="Q314" s="1324"/>
      <c r="R314" s="1324"/>
      <c r="S314" s="1324"/>
      <c r="T314" s="1325"/>
      <c r="U314" s="1015">
        <v>1.8</v>
      </c>
      <c r="V314" s="1015"/>
      <c r="W314" s="1015"/>
      <c r="X314" s="1015"/>
      <c r="Y314" s="1015">
        <v>2.7</v>
      </c>
      <c r="Z314" s="1016">
        <f>'09월 에너지'!S316</f>
        <v>146.69999999999999</v>
      </c>
      <c r="AA314" s="1017">
        <v>2135</v>
      </c>
      <c r="AB314" s="1208" t="s">
        <v>775</v>
      </c>
      <c r="AC314" s="1208" t="s">
        <v>532</v>
      </c>
      <c r="AD314" s="1208"/>
      <c r="AE314" s="1208"/>
      <c r="AF314" s="1208" t="s">
        <v>532</v>
      </c>
      <c r="AG314" s="1018">
        <f>'09월 화학성분'!AM314</f>
        <v>2758</v>
      </c>
      <c r="AH314" s="1006">
        <f t="shared" si="62"/>
        <v>35</v>
      </c>
      <c r="AI314" s="1019">
        <v>1537</v>
      </c>
      <c r="AJ314" s="1020">
        <v>0</v>
      </c>
      <c r="AK314" s="1021">
        <v>624</v>
      </c>
      <c r="AL314" s="1022">
        <v>6</v>
      </c>
      <c r="AM314" s="1155">
        <f>IF(AT314="","",3*'09월 에너지'!S316*(1/(3+7.8*(100-AT314)/AT314)))</f>
        <v>1.0847213574097134</v>
      </c>
      <c r="AN314" s="1023">
        <v>0.18194444444444444</v>
      </c>
      <c r="AO314" s="1024" t="s">
        <v>778</v>
      </c>
      <c r="AP314" s="1025">
        <v>2000048</v>
      </c>
      <c r="AQ314" s="1025">
        <v>2122</v>
      </c>
      <c r="AR314" s="1149">
        <v>1</v>
      </c>
      <c r="AS314" s="1093" t="str">
        <f t="shared" si="72"/>
        <v xml:space="preserve"> </v>
      </c>
      <c r="AT314" s="1156">
        <v>1.9</v>
      </c>
      <c r="AU314" s="449"/>
      <c r="AV314" s="1205"/>
    </row>
    <row r="315" spans="1:48" ht="16.5" customHeight="1">
      <c r="A315" s="1005">
        <f t="shared" si="64"/>
        <v>46276</v>
      </c>
      <c r="B315" s="1005">
        <f t="shared" si="65"/>
        <v>46276</v>
      </c>
      <c r="C315" s="1150">
        <f t="shared" si="66"/>
        <v>25</v>
      </c>
      <c r="D315" s="1150">
        <f t="shared" si="67"/>
        <v>304</v>
      </c>
      <c r="E315" s="1006" t="s">
        <v>600</v>
      </c>
      <c r="F315" s="1007" t="str">
        <f t="shared" si="74"/>
        <v>B</v>
      </c>
      <c r="G315" s="1008">
        <f t="shared" si="73"/>
        <v>85517</v>
      </c>
      <c r="H315" s="1138">
        <f t="shared" si="69"/>
        <v>0.95694444444444449</v>
      </c>
      <c r="I315" s="1009">
        <v>0.96180555555555547</v>
      </c>
      <c r="J315" s="1010">
        <f t="shared" si="70"/>
        <v>54.999999999999801</v>
      </c>
      <c r="K315" s="1011"/>
      <c r="L315" s="1012"/>
      <c r="M315" s="1013"/>
      <c r="N315" s="1014" t="str">
        <f t="shared" si="71"/>
        <v/>
      </c>
      <c r="O315" s="1338" t="s">
        <v>780</v>
      </c>
      <c r="P315" s="1339"/>
      <c r="Q315" s="1339"/>
      <c r="R315" s="1339"/>
      <c r="S315" s="1339"/>
      <c r="T315" s="1340"/>
      <c r="U315" s="1015">
        <v>1.8</v>
      </c>
      <c r="V315" s="1015"/>
      <c r="W315" s="1015"/>
      <c r="X315" s="1015"/>
      <c r="Y315" s="1015">
        <v>2.9</v>
      </c>
      <c r="Z315" s="1016">
        <f>'09월 에너지'!S317</f>
        <v>142.30000000000001</v>
      </c>
      <c r="AA315" s="1017">
        <v>2505</v>
      </c>
      <c r="AB315" s="1208" t="s">
        <v>775</v>
      </c>
      <c r="AC315" s="1208" t="s">
        <v>532</v>
      </c>
      <c r="AD315" s="1208" t="s">
        <v>532</v>
      </c>
      <c r="AE315" s="1208"/>
      <c r="AF315" s="1208" t="s">
        <v>532</v>
      </c>
      <c r="AG315" s="1018">
        <f>'09월 화학성분'!AM315</f>
        <v>2608</v>
      </c>
      <c r="AH315" s="1006">
        <f t="shared" si="62"/>
        <v>36</v>
      </c>
      <c r="AI315" s="1019">
        <v>1563</v>
      </c>
      <c r="AJ315" s="1020">
        <v>0</v>
      </c>
      <c r="AK315" s="1021">
        <v>304</v>
      </c>
      <c r="AL315" s="1022">
        <v>15</v>
      </c>
      <c r="AM315" s="1155">
        <f>IF(AT315="","",3*'09월 에너지'!S317*(1/(3+7.8*(100-AT315)/AT315)))</f>
        <v>2.2444794952681391</v>
      </c>
      <c r="AN315" s="1023">
        <v>0.16319444444444445</v>
      </c>
      <c r="AO315" s="1024"/>
      <c r="AP315" s="1025"/>
      <c r="AQ315" s="1025"/>
      <c r="AR315" s="1149" t="str">
        <f t="shared" si="63"/>
        <v/>
      </c>
      <c r="AS315" s="1093">
        <f t="shared" si="72"/>
        <v>11</v>
      </c>
      <c r="AT315" s="1156">
        <v>4</v>
      </c>
      <c r="AU315" s="449"/>
      <c r="AV315" s="1205"/>
    </row>
    <row r="316" spans="1:48" ht="16.5" customHeight="1">
      <c r="A316" s="1005">
        <f t="shared" si="64"/>
        <v>46276</v>
      </c>
      <c r="B316" s="1005">
        <f t="shared" si="65"/>
        <v>46276</v>
      </c>
      <c r="C316" s="1150">
        <f t="shared" si="66"/>
        <v>26</v>
      </c>
      <c r="D316" s="1150">
        <f t="shared" si="67"/>
        <v>305</v>
      </c>
      <c r="E316" s="1006" t="str">
        <f t="shared" si="68"/>
        <v>B</v>
      </c>
      <c r="F316" s="1007" t="str">
        <f t="shared" si="74"/>
        <v>A</v>
      </c>
      <c r="G316" s="1008">
        <f t="shared" si="73"/>
        <v>85518</v>
      </c>
      <c r="H316" s="1138">
        <f t="shared" si="69"/>
        <v>0.9951388888888888</v>
      </c>
      <c r="I316" s="1009">
        <v>0.99305555555555547</v>
      </c>
      <c r="J316" s="1010">
        <f t="shared" si="70"/>
        <v>45</v>
      </c>
      <c r="K316" s="1011"/>
      <c r="L316" s="1012"/>
      <c r="M316" s="1013"/>
      <c r="N316" s="1014" t="str">
        <f t="shared" si="71"/>
        <v/>
      </c>
      <c r="O316" s="1323"/>
      <c r="P316" s="1324"/>
      <c r="Q316" s="1324"/>
      <c r="R316" s="1324"/>
      <c r="S316" s="1324"/>
      <c r="T316" s="1325"/>
      <c r="U316" s="1015">
        <v>1.8</v>
      </c>
      <c r="V316" s="1015"/>
      <c r="W316" s="1015"/>
      <c r="X316" s="1015"/>
      <c r="Y316" s="1015">
        <v>2.8</v>
      </c>
      <c r="Z316" s="1016">
        <f>'09월 에너지'!S318</f>
        <v>146.19999999999999</v>
      </c>
      <c r="AA316" s="1017"/>
      <c r="AB316" s="1208"/>
      <c r="AC316" s="1208"/>
      <c r="AD316" s="1208"/>
      <c r="AE316" s="1208"/>
      <c r="AF316" s="1208"/>
      <c r="AG316" s="1018">
        <f>'09월 화학성분'!AM316</f>
        <v>1686</v>
      </c>
      <c r="AH316" s="1006">
        <f t="shared" si="62"/>
        <v>37</v>
      </c>
      <c r="AI316" s="1019">
        <v>1593</v>
      </c>
      <c r="AJ316" s="1020">
        <v>0</v>
      </c>
      <c r="AK316" s="1021">
        <v>833</v>
      </c>
      <c r="AL316" s="1022">
        <v>4</v>
      </c>
      <c r="AM316" s="1155">
        <f>IF(AT316="","",3*'09월 에너지'!S318*(1/(3+7.8*(100-AT316)/AT316)))</f>
        <v>1.9527027027027026</v>
      </c>
      <c r="AN316" s="1023">
        <v>0.19513888888888889</v>
      </c>
      <c r="AO316" s="1024"/>
      <c r="AP316" s="1025"/>
      <c r="AQ316" s="1025"/>
      <c r="AR316" s="1149">
        <f t="shared" si="63"/>
        <v>2</v>
      </c>
      <c r="AS316" s="1093" t="str">
        <f t="shared" si="72"/>
        <v xml:space="preserve"> </v>
      </c>
      <c r="AT316" s="1156">
        <v>3.4</v>
      </c>
      <c r="AU316" s="449"/>
      <c r="AV316" s="1205"/>
    </row>
    <row r="317" spans="1:48" ht="16.5" customHeight="1">
      <c r="A317" s="1005">
        <f t="shared" si="64"/>
        <v>46276</v>
      </c>
      <c r="B317" s="1005">
        <f t="shared" si="65"/>
        <v>46276</v>
      </c>
      <c r="C317" s="1150">
        <f t="shared" si="66"/>
        <v>27</v>
      </c>
      <c r="D317" s="1150">
        <f t="shared" si="67"/>
        <v>306</v>
      </c>
      <c r="E317" s="1006" t="str">
        <f t="shared" si="68"/>
        <v>B</v>
      </c>
      <c r="F317" s="1007" t="str">
        <f t="shared" si="74"/>
        <v>B</v>
      </c>
      <c r="G317" s="1008">
        <f t="shared" si="73"/>
        <v>85519</v>
      </c>
      <c r="H317" s="1138">
        <f t="shared" si="69"/>
        <v>1.0263888888888888</v>
      </c>
      <c r="I317" s="1009">
        <v>2.7083333333333334E-2</v>
      </c>
      <c r="J317" s="1010">
        <f t="shared" si="70"/>
        <v>49.000000000000227</v>
      </c>
      <c r="K317" s="1011"/>
      <c r="L317" s="1012"/>
      <c r="M317" s="1013"/>
      <c r="N317" s="1014" t="str">
        <f t="shared" si="71"/>
        <v/>
      </c>
      <c r="O317" s="1323"/>
      <c r="P317" s="1324"/>
      <c r="Q317" s="1324"/>
      <c r="R317" s="1324"/>
      <c r="S317" s="1324"/>
      <c r="T317" s="1325"/>
      <c r="U317" s="1015">
        <v>1.8</v>
      </c>
      <c r="V317" s="1015">
        <v>2.5</v>
      </c>
      <c r="W317" s="1015">
        <v>1.5</v>
      </c>
      <c r="X317" s="1015"/>
      <c r="Y317" s="1015"/>
      <c r="Z317" s="1016">
        <f>'09월 에너지'!S319</f>
        <v>140.5</v>
      </c>
      <c r="AA317" s="1017"/>
      <c r="AB317" s="1208"/>
      <c r="AC317" s="1208"/>
      <c r="AD317" s="1208"/>
      <c r="AE317" s="1208"/>
      <c r="AF317" s="1208"/>
      <c r="AG317" s="1018">
        <f>'09월 화학성분'!AM317</f>
        <v>1962</v>
      </c>
      <c r="AH317" s="1006">
        <f t="shared" si="62"/>
        <v>38</v>
      </c>
      <c r="AI317" s="1019">
        <v>1565</v>
      </c>
      <c r="AJ317" s="1020">
        <v>0</v>
      </c>
      <c r="AK317" s="1021">
        <v>344</v>
      </c>
      <c r="AL317" s="1022">
        <v>13</v>
      </c>
      <c r="AM317" s="1155">
        <f>IF(AT317="","",3*'09월 에너지'!S319*(1/(3+7.8*(100-AT317)/AT317)))</f>
        <v>0.59847428748451048</v>
      </c>
      <c r="AN317" s="1023">
        <v>0.17013888888888887</v>
      </c>
      <c r="AO317" s="1024"/>
      <c r="AP317" s="1025"/>
      <c r="AQ317" s="1025"/>
      <c r="AR317" s="1149" t="str">
        <f t="shared" si="63"/>
        <v/>
      </c>
      <c r="AS317" s="1093">
        <f t="shared" si="72"/>
        <v>12</v>
      </c>
      <c r="AT317" s="1156">
        <v>1.1000000000000001</v>
      </c>
      <c r="AU317" s="449"/>
      <c r="AV317" s="1205"/>
    </row>
    <row r="318" spans="1:48" ht="16.5" customHeight="1">
      <c r="A318" s="1005">
        <f t="shared" si="64"/>
        <v>46276</v>
      </c>
      <c r="B318" s="1005">
        <f t="shared" si="65"/>
        <v>46276</v>
      </c>
      <c r="C318" s="1150">
        <f t="shared" si="66"/>
        <v>28</v>
      </c>
      <c r="D318" s="1150">
        <f t="shared" si="67"/>
        <v>307</v>
      </c>
      <c r="E318" s="1006" t="str">
        <f t="shared" si="68"/>
        <v>B</v>
      </c>
      <c r="F318" s="1007" t="str">
        <f t="shared" si="74"/>
        <v>A</v>
      </c>
      <c r="G318" s="1008">
        <f t="shared" si="73"/>
        <v>85520</v>
      </c>
      <c r="H318" s="1138">
        <f t="shared" si="69"/>
        <v>6.0416666666666667E-2</v>
      </c>
      <c r="I318" s="1009">
        <v>5.6944444444444443E-2</v>
      </c>
      <c r="J318" s="1010">
        <f t="shared" si="70"/>
        <v>43</v>
      </c>
      <c r="K318" s="1011"/>
      <c r="L318" s="1012"/>
      <c r="M318" s="1013"/>
      <c r="N318" s="1014" t="str">
        <f t="shared" si="71"/>
        <v/>
      </c>
      <c r="O318" s="1323"/>
      <c r="P318" s="1324"/>
      <c r="Q318" s="1324"/>
      <c r="R318" s="1324"/>
      <c r="S318" s="1324"/>
      <c r="T318" s="1325"/>
      <c r="U318" s="1015">
        <v>1.8</v>
      </c>
      <c r="V318" s="1015"/>
      <c r="W318" s="1015"/>
      <c r="X318" s="1015"/>
      <c r="Y318" s="1015">
        <v>2.5</v>
      </c>
      <c r="Z318" s="1016">
        <f>'09월 에너지'!S320</f>
        <v>146.5</v>
      </c>
      <c r="AA318" s="1017"/>
      <c r="AB318" s="1208"/>
      <c r="AC318" s="1208"/>
      <c r="AD318" s="1208"/>
      <c r="AE318" s="1208"/>
      <c r="AF318" s="1208"/>
      <c r="AG318" s="1018">
        <f>'09월 화학성분'!AM318</f>
        <v>1276</v>
      </c>
      <c r="AH318" s="1006">
        <f t="shared" si="62"/>
        <v>39</v>
      </c>
      <c r="AI318" s="1019">
        <v>1586</v>
      </c>
      <c r="AJ318" s="1020">
        <v>0</v>
      </c>
      <c r="AK318" s="1021">
        <v>705</v>
      </c>
      <c r="AL318" s="1022">
        <v>5</v>
      </c>
      <c r="AM318" s="1155">
        <f>IF(AT318="","",3*'09월 에너지'!S320*(1/(3+7.8*(100-AT318)/AT318)))</f>
        <v>1.0255911636589918</v>
      </c>
      <c r="AN318" s="1023">
        <v>0.19652777777777777</v>
      </c>
      <c r="AO318" s="1024"/>
      <c r="AP318" s="1025"/>
      <c r="AQ318" s="1025"/>
      <c r="AR318" s="1149">
        <f t="shared" si="63"/>
        <v>3</v>
      </c>
      <c r="AS318" s="1093" t="str">
        <f t="shared" si="72"/>
        <v xml:space="preserve"> </v>
      </c>
      <c r="AT318" s="1156">
        <v>1.8</v>
      </c>
      <c r="AU318" s="449"/>
      <c r="AV318" s="1205"/>
    </row>
    <row r="319" spans="1:48" ht="16.5" customHeight="1">
      <c r="A319" s="1005">
        <f t="shared" si="64"/>
        <v>46276</v>
      </c>
      <c r="B319" s="1005">
        <f t="shared" si="65"/>
        <v>46276</v>
      </c>
      <c r="C319" s="1150">
        <f t="shared" si="66"/>
        <v>29</v>
      </c>
      <c r="D319" s="1150">
        <f t="shared" si="67"/>
        <v>308</v>
      </c>
      <c r="E319" s="1006" t="str">
        <f t="shared" si="68"/>
        <v>B</v>
      </c>
      <c r="F319" s="1007" t="str">
        <f t="shared" si="74"/>
        <v>B</v>
      </c>
      <c r="G319" s="1008">
        <f t="shared" si="73"/>
        <v>85521</v>
      </c>
      <c r="H319" s="1138">
        <f t="shared" si="69"/>
        <v>9.0277777777777776E-2</v>
      </c>
      <c r="I319" s="1009">
        <v>9.2361111111111116E-2</v>
      </c>
      <c r="J319" s="1010">
        <f t="shared" si="70"/>
        <v>51.000000000000007</v>
      </c>
      <c r="K319" s="1011"/>
      <c r="L319" s="1012"/>
      <c r="M319" s="1013"/>
      <c r="N319" s="1014" t="str">
        <f t="shared" si="71"/>
        <v/>
      </c>
      <c r="O319" s="1323" t="s">
        <v>783</v>
      </c>
      <c r="P319" s="1324"/>
      <c r="Q319" s="1324"/>
      <c r="R319" s="1324"/>
      <c r="S319" s="1324"/>
      <c r="T319" s="1325"/>
      <c r="U319" s="1015">
        <v>1.8</v>
      </c>
      <c r="V319" s="1015"/>
      <c r="W319" s="1015"/>
      <c r="X319" s="1015"/>
      <c r="Y319" s="1015">
        <v>2.6</v>
      </c>
      <c r="Z319" s="1016">
        <f>'09월 에너지'!S321</f>
        <v>142.19999999999999</v>
      </c>
      <c r="AA319" s="1017">
        <v>2364</v>
      </c>
      <c r="AB319" s="1208" t="s">
        <v>775</v>
      </c>
      <c r="AC319" s="1208" t="s">
        <v>532</v>
      </c>
      <c r="AD319" s="1208"/>
      <c r="AE319" s="1208"/>
      <c r="AF319" s="1208" t="s">
        <v>532</v>
      </c>
      <c r="AG319" s="1018">
        <f>'09월 화학성분'!AM319</f>
        <v>1779</v>
      </c>
      <c r="AH319" s="1006">
        <f t="shared" si="62"/>
        <v>40</v>
      </c>
      <c r="AI319" s="1019">
        <v>1575</v>
      </c>
      <c r="AJ319" s="1020">
        <v>0</v>
      </c>
      <c r="AK319" s="1021">
        <v>403</v>
      </c>
      <c r="AL319" s="1022">
        <v>11</v>
      </c>
      <c r="AM319" s="1155">
        <f>IF(AT319="","",3*'09월 에너지'!S321*(1/(3+7.8*(100-AT319)/AT319)))</f>
        <v>0.60571561338289959</v>
      </c>
      <c r="AN319" s="1023">
        <v>0.17222222222222225</v>
      </c>
      <c r="AO319" s="1024" t="s">
        <v>778</v>
      </c>
      <c r="AP319" s="1025">
        <v>2000047</v>
      </c>
      <c r="AQ319" s="1025">
        <v>2128</v>
      </c>
      <c r="AR319" s="1149" t="str">
        <f t="shared" si="63"/>
        <v/>
      </c>
      <c r="AS319" s="1093">
        <v>1</v>
      </c>
      <c r="AT319" s="1156">
        <v>1.1000000000000001</v>
      </c>
      <c r="AU319" s="449"/>
      <c r="AV319" s="1205"/>
    </row>
    <row r="320" spans="1:48" ht="16.5" customHeight="1">
      <c r="A320" s="1005">
        <f t="shared" si="64"/>
        <v>46276</v>
      </c>
      <c r="B320" s="1005">
        <f t="shared" si="65"/>
        <v>46276</v>
      </c>
      <c r="C320" s="1150">
        <f t="shared" si="66"/>
        <v>30</v>
      </c>
      <c r="D320" s="1150">
        <f t="shared" si="67"/>
        <v>309</v>
      </c>
      <c r="E320" s="1006" t="str">
        <f t="shared" si="68"/>
        <v>B</v>
      </c>
      <c r="F320" s="1007" t="str">
        <f t="shared" si="74"/>
        <v>A</v>
      </c>
      <c r="G320" s="1008">
        <f t="shared" si="73"/>
        <v>85522</v>
      </c>
      <c r="H320" s="1138">
        <f t="shared" si="69"/>
        <v>0.12569444444444444</v>
      </c>
      <c r="I320" s="1009">
        <v>0.12361111111111112</v>
      </c>
      <c r="J320" s="1010">
        <f t="shared" si="70"/>
        <v>45</v>
      </c>
      <c r="K320" s="1011"/>
      <c r="L320" s="1012"/>
      <c r="M320" s="1013"/>
      <c r="N320" s="1014" t="str">
        <f t="shared" si="71"/>
        <v/>
      </c>
      <c r="O320" s="1323"/>
      <c r="P320" s="1324"/>
      <c r="Q320" s="1324"/>
      <c r="R320" s="1324"/>
      <c r="S320" s="1324"/>
      <c r="T320" s="1325"/>
      <c r="U320" s="1015">
        <v>1.8</v>
      </c>
      <c r="V320" s="1015"/>
      <c r="W320" s="1015"/>
      <c r="X320" s="1015"/>
      <c r="Y320" s="1015">
        <v>2.4</v>
      </c>
      <c r="Z320" s="1016">
        <f>'09월 에너지'!S322</f>
        <v>146.5</v>
      </c>
      <c r="AA320" s="1017"/>
      <c r="AB320" s="1208"/>
      <c r="AC320" s="1208"/>
      <c r="AD320" s="1208"/>
      <c r="AE320" s="1208"/>
      <c r="AF320" s="1208"/>
      <c r="AG320" s="1018">
        <f>'09월 화학성분'!AM320</f>
        <v>1414</v>
      </c>
      <c r="AH320" s="1006">
        <f t="shared" si="62"/>
        <v>41</v>
      </c>
      <c r="AI320" s="1019">
        <v>1602</v>
      </c>
      <c r="AJ320" s="1020">
        <v>0</v>
      </c>
      <c r="AK320" s="1021">
        <v>1058</v>
      </c>
      <c r="AL320" s="1022">
        <v>4</v>
      </c>
      <c r="AM320" s="1155">
        <f>IF(AT320="","",3*'09월 에너지'!S322*(1/(3+7.8*(100-AT320)/AT320)))</f>
        <v>1.1409657320872275</v>
      </c>
      <c r="AN320" s="1023">
        <v>0.24722222222222223</v>
      </c>
      <c r="AO320" s="1024"/>
      <c r="AP320" s="1025"/>
      <c r="AQ320" s="1025"/>
      <c r="AR320" s="1149">
        <f t="shared" si="63"/>
        <v>4</v>
      </c>
      <c r="AS320" s="1093" t="str">
        <f t="shared" si="72"/>
        <v xml:space="preserve"> </v>
      </c>
      <c r="AT320" s="1156">
        <v>2</v>
      </c>
      <c r="AU320" s="449"/>
      <c r="AV320" s="1205"/>
    </row>
    <row r="321" spans="1:48" ht="16.5" customHeight="1">
      <c r="A321" s="1005">
        <v>46277</v>
      </c>
      <c r="B321" s="1005">
        <f t="shared" si="65"/>
        <v>46276</v>
      </c>
      <c r="C321" s="1150">
        <f t="shared" si="66"/>
        <v>1</v>
      </c>
      <c r="D321" s="1150">
        <f t="shared" si="67"/>
        <v>310</v>
      </c>
      <c r="E321" s="1006" t="str">
        <f t="shared" si="68"/>
        <v>B</v>
      </c>
      <c r="F321" s="1007" t="str">
        <f t="shared" si="74"/>
        <v>B</v>
      </c>
      <c r="G321" s="1008">
        <f t="shared" si="73"/>
        <v>85523</v>
      </c>
      <c r="H321" s="1138">
        <f t="shared" si="69"/>
        <v>0.15694444444444444</v>
      </c>
      <c r="I321" s="1009">
        <v>0.15486111111111112</v>
      </c>
      <c r="J321" s="1010">
        <f t="shared" si="70"/>
        <v>45</v>
      </c>
      <c r="K321" s="1011"/>
      <c r="L321" s="1012"/>
      <c r="M321" s="1013"/>
      <c r="N321" s="1014" t="str">
        <f t="shared" si="71"/>
        <v/>
      </c>
      <c r="O321" s="1326" t="s">
        <v>782</v>
      </c>
      <c r="P321" s="1327"/>
      <c r="Q321" s="1327"/>
      <c r="R321" s="1327"/>
      <c r="S321" s="1327"/>
      <c r="T321" s="1328"/>
      <c r="U321" s="1015">
        <v>1.8</v>
      </c>
      <c r="V321" s="1015"/>
      <c r="W321" s="1015"/>
      <c r="X321" s="1015"/>
      <c r="Y321" s="1015">
        <v>2.7</v>
      </c>
      <c r="Z321" s="1016">
        <f>'09월 에너지'!S323</f>
        <v>146.69999999999999</v>
      </c>
      <c r="AA321" s="1017"/>
      <c r="AB321" s="1208"/>
      <c r="AC321" s="1208"/>
      <c r="AD321" s="1208"/>
      <c r="AE321" s="1208"/>
      <c r="AF321" s="1208"/>
      <c r="AG321" s="1018">
        <f>'09월 화학성분'!AM321</f>
        <v>1261</v>
      </c>
      <c r="AH321" s="1006">
        <f t="shared" si="62"/>
        <v>42</v>
      </c>
      <c r="AI321" s="1019">
        <v>1600</v>
      </c>
      <c r="AJ321" s="1020">
        <v>0</v>
      </c>
      <c r="AK321" s="1021">
        <v>859</v>
      </c>
      <c r="AL321" s="1022">
        <v>4</v>
      </c>
      <c r="AM321" s="1155">
        <f>IF(AT321="","",3*'09월 에너지'!S323*(1/(3+7.8*(100-AT321)/AT321)))</f>
        <v>0.91174642635177117</v>
      </c>
      <c r="AN321" s="1023">
        <v>0.16666666666666666</v>
      </c>
      <c r="AO321" s="1024"/>
      <c r="AP321" s="1025"/>
      <c r="AQ321" s="1025"/>
      <c r="AR321" s="1149" t="str">
        <f t="shared" si="63"/>
        <v/>
      </c>
      <c r="AS321" s="1093">
        <f t="shared" si="72"/>
        <v>2</v>
      </c>
      <c r="AT321" s="1156">
        <v>1.6</v>
      </c>
      <c r="AU321" s="449"/>
      <c r="AV321" s="1205"/>
    </row>
    <row r="322" spans="1:48" ht="16.5" customHeight="1">
      <c r="A322" s="1005">
        <f t="shared" si="64"/>
        <v>46277</v>
      </c>
      <c r="B322" s="1005">
        <f t="shared" si="65"/>
        <v>46276</v>
      </c>
      <c r="C322" s="1150">
        <f t="shared" si="66"/>
        <v>2</v>
      </c>
      <c r="D322" s="1150">
        <f t="shared" si="67"/>
        <v>311</v>
      </c>
      <c r="E322" s="1006" t="str">
        <f t="shared" si="68"/>
        <v>B</v>
      </c>
      <c r="F322" s="1007" t="str">
        <f t="shared" si="74"/>
        <v>A</v>
      </c>
      <c r="G322" s="1008">
        <f t="shared" si="73"/>
        <v>85524</v>
      </c>
      <c r="H322" s="1138">
        <f t="shared" si="69"/>
        <v>0.18819444444444444</v>
      </c>
      <c r="I322" s="1009">
        <v>0.18472222222222223</v>
      </c>
      <c r="J322" s="1010">
        <f t="shared" si="70"/>
        <v>43.000000000000007</v>
      </c>
      <c r="K322" s="1011"/>
      <c r="L322" s="1012"/>
      <c r="M322" s="1013"/>
      <c r="N322" s="1014" t="str">
        <f t="shared" si="71"/>
        <v/>
      </c>
      <c r="O322" s="1323"/>
      <c r="P322" s="1324"/>
      <c r="Q322" s="1324"/>
      <c r="R322" s="1324"/>
      <c r="S322" s="1324"/>
      <c r="T322" s="1325"/>
      <c r="U322" s="1015">
        <v>1.8</v>
      </c>
      <c r="V322" s="1015"/>
      <c r="W322" s="1015"/>
      <c r="X322" s="1015"/>
      <c r="Y322" s="1015">
        <v>2.4</v>
      </c>
      <c r="Z322" s="1016">
        <f>'09월 에너지'!S324</f>
        <v>146.69999999999999</v>
      </c>
      <c r="AA322" s="1017"/>
      <c r="AB322" s="1208"/>
      <c r="AC322" s="1208"/>
      <c r="AD322" s="1208"/>
      <c r="AE322" s="1208"/>
      <c r="AF322" s="1208"/>
      <c r="AG322" s="1018">
        <f>'09월 화학성분'!AM322</f>
        <v>1458</v>
      </c>
      <c r="AH322" s="1006">
        <f t="shared" si="62"/>
        <v>43</v>
      </c>
      <c r="AI322" s="1019">
        <v>1598</v>
      </c>
      <c r="AJ322" s="1020">
        <v>66</v>
      </c>
      <c r="AK322" s="1021">
        <v>963</v>
      </c>
      <c r="AL322" s="1022">
        <v>4</v>
      </c>
      <c r="AM322" s="1155">
        <f>IF(AT322="","",3*'09월 에너지'!S324*(1/(3+7.8*(100-AT322)/AT322)))</f>
        <v>1.3163623595505616</v>
      </c>
      <c r="AN322" s="1023">
        <v>0.35625000000000001</v>
      </c>
      <c r="AO322" s="1024"/>
      <c r="AP322" s="1025"/>
      <c r="AQ322" s="1025"/>
      <c r="AR322" s="1149">
        <f t="shared" si="63"/>
        <v>5</v>
      </c>
      <c r="AS322" s="1093" t="str">
        <f t="shared" si="72"/>
        <v xml:space="preserve"> </v>
      </c>
      <c r="AT322" s="1156">
        <v>2.2999999999999998</v>
      </c>
      <c r="AU322" s="449"/>
      <c r="AV322" s="1205"/>
    </row>
    <row r="323" spans="1:48" ht="16.5" customHeight="1">
      <c r="A323" s="1005">
        <f t="shared" si="64"/>
        <v>46277</v>
      </c>
      <c r="B323" s="1005">
        <f t="shared" si="65"/>
        <v>46276</v>
      </c>
      <c r="C323" s="1150">
        <f t="shared" si="66"/>
        <v>3</v>
      </c>
      <c r="D323" s="1150">
        <f t="shared" si="67"/>
        <v>312</v>
      </c>
      <c r="E323" s="1006" t="str">
        <f t="shared" si="68"/>
        <v>B</v>
      </c>
      <c r="F323" s="1007" t="str">
        <f t="shared" si="74"/>
        <v>B</v>
      </c>
      <c r="G323" s="1008">
        <f t="shared" si="73"/>
        <v>85525</v>
      </c>
      <c r="H323" s="1138">
        <f t="shared" si="69"/>
        <v>0.21805555555555556</v>
      </c>
      <c r="I323" s="1009">
        <v>0.21666666666666667</v>
      </c>
      <c r="J323" s="1010">
        <f t="shared" si="70"/>
        <v>46</v>
      </c>
      <c r="K323" s="1011"/>
      <c r="L323" s="1012"/>
      <c r="M323" s="1013"/>
      <c r="N323" s="1014" t="str">
        <f t="shared" si="71"/>
        <v/>
      </c>
      <c r="O323" s="1323"/>
      <c r="P323" s="1324"/>
      <c r="Q323" s="1324"/>
      <c r="R323" s="1324"/>
      <c r="S323" s="1324"/>
      <c r="T323" s="1325"/>
      <c r="U323" s="1015">
        <v>1.8</v>
      </c>
      <c r="V323" s="1015"/>
      <c r="W323" s="1015"/>
      <c r="X323" s="1015"/>
      <c r="Y323" s="1015">
        <v>2.6</v>
      </c>
      <c r="Z323" s="1016">
        <f>'09월 에너지'!S325</f>
        <v>141.30000000000001</v>
      </c>
      <c r="AA323" s="1017"/>
      <c r="AB323" s="1208"/>
      <c r="AC323" s="1208"/>
      <c r="AD323" s="1208"/>
      <c r="AE323" s="1208"/>
      <c r="AF323" s="1208"/>
      <c r="AG323" s="1018">
        <f>'09월 화학성분'!AM323</f>
        <v>1591</v>
      </c>
      <c r="AH323" s="1006">
        <f t="shared" si="62"/>
        <v>44</v>
      </c>
      <c r="AI323" s="1019">
        <v>1585</v>
      </c>
      <c r="AJ323" s="1020">
        <v>0</v>
      </c>
      <c r="AK323" s="1021">
        <v>663</v>
      </c>
      <c r="AL323" s="1022">
        <v>6</v>
      </c>
      <c r="AM323" s="1155">
        <f>IF(AT323="","",3*'09월 에너지'!S325*(1/(3+7.8*(100-AT323)/AT323)))</f>
        <v>0.98918792781580589</v>
      </c>
      <c r="AN323" s="1023">
        <v>2.2999999999999998</v>
      </c>
      <c r="AO323" s="1024"/>
      <c r="AP323" s="1025"/>
      <c r="AQ323" s="1025"/>
      <c r="AR323" s="1149" t="str">
        <f t="shared" si="63"/>
        <v/>
      </c>
      <c r="AS323" s="1093">
        <f t="shared" si="72"/>
        <v>3</v>
      </c>
      <c r="AT323" s="1156">
        <v>1.8</v>
      </c>
      <c r="AU323" s="449"/>
      <c r="AV323" s="1205"/>
    </row>
    <row r="324" spans="1:48" ht="16.5" customHeight="1">
      <c r="A324" s="1005">
        <f t="shared" si="64"/>
        <v>46277</v>
      </c>
      <c r="B324" s="1005">
        <f t="shared" si="65"/>
        <v>46276</v>
      </c>
      <c r="C324" s="1150">
        <f t="shared" si="66"/>
        <v>4</v>
      </c>
      <c r="D324" s="1150">
        <f t="shared" si="67"/>
        <v>313</v>
      </c>
      <c r="E324" s="1006" t="str">
        <f t="shared" si="68"/>
        <v>B</v>
      </c>
      <c r="F324" s="1007" t="str">
        <f t="shared" si="74"/>
        <v>A</v>
      </c>
      <c r="G324" s="1008">
        <f t="shared" si="73"/>
        <v>85526</v>
      </c>
      <c r="H324" s="1138">
        <f t="shared" si="69"/>
        <v>0.25</v>
      </c>
      <c r="I324" s="1009">
        <v>0.24930555555555556</v>
      </c>
      <c r="J324" s="1010">
        <f t="shared" si="70"/>
        <v>46.999999999999993</v>
      </c>
      <c r="K324" s="1011"/>
      <c r="L324" s="1012"/>
      <c r="M324" s="1013"/>
      <c r="N324" s="1014" t="str">
        <f t="shared" si="71"/>
        <v/>
      </c>
      <c r="O324" s="1323" t="s">
        <v>530</v>
      </c>
      <c r="P324" s="1324"/>
      <c r="Q324" s="1324"/>
      <c r="R324" s="1324"/>
      <c r="S324" s="1324"/>
      <c r="T324" s="1325"/>
      <c r="U324" s="1015">
        <v>1.8</v>
      </c>
      <c r="V324" s="1015"/>
      <c r="W324" s="1015"/>
      <c r="X324" s="1015"/>
      <c r="Y324" s="1015">
        <v>2.8</v>
      </c>
      <c r="Z324" s="1016">
        <f>'09월 에너지'!S326</f>
        <v>146.1</v>
      </c>
      <c r="AA324" s="1017">
        <v>1870</v>
      </c>
      <c r="AB324" s="1208" t="s">
        <v>775</v>
      </c>
      <c r="AC324" s="1208" t="s">
        <v>532</v>
      </c>
      <c r="AD324" s="1208"/>
      <c r="AE324" s="1208"/>
      <c r="AF324" s="1208" t="s">
        <v>532</v>
      </c>
      <c r="AG324" s="1018">
        <f>'09월 화학성분'!AM324</f>
        <v>1368</v>
      </c>
      <c r="AH324" s="1006">
        <f t="shared" si="62"/>
        <v>45</v>
      </c>
      <c r="AI324" s="1019">
        <v>1570</v>
      </c>
      <c r="AJ324" s="1020">
        <v>0</v>
      </c>
      <c r="AK324" s="1021">
        <v>837</v>
      </c>
      <c r="AL324" s="1022">
        <v>4</v>
      </c>
      <c r="AM324" s="1155">
        <f>IF(AT324="","",3*'09월 에너지'!S326*(1/(3+7.8*(100-AT324)/AT324)))</f>
        <v>1.6591870300751879</v>
      </c>
      <c r="AN324" s="1023">
        <v>0.15208333333333332</v>
      </c>
      <c r="AO324" s="1024"/>
      <c r="AP324" s="1025"/>
      <c r="AQ324" s="1025"/>
      <c r="AR324" s="1149">
        <f t="shared" si="63"/>
        <v>6</v>
      </c>
      <c r="AS324" s="1093" t="str">
        <f t="shared" si="72"/>
        <v xml:space="preserve"> </v>
      </c>
      <c r="AT324" s="1156">
        <v>2.9</v>
      </c>
      <c r="AU324" s="449"/>
      <c r="AV324" s="1205"/>
    </row>
    <row r="325" spans="1:48" ht="16.5" customHeight="1">
      <c r="A325" s="1005">
        <f t="shared" si="64"/>
        <v>46277</v>
      </c>
      <c r="B325" s="1005">
        <v>46277</v>
      </c>
      <c r="C325" s="1150">
        <f t="shared" si="66"/>
        <v>5</v>
      </c>
      <c r="D325" s="1150">
        <f t="shared" si="67"/>
        <v>314</v>
      </c>
      <c r="E325" s="1006" t="s">
        <v>582</v>
      </c>
      <c r="F325" s="1007" t="str">
        <f t="shared" si="74"/>
        <v>B</v>
      </c>
      <c r="G325" s="1008">
        <f t="shared" si="73"/>
        <v>85527</v>
      </c>
      <c r="H325" s="1138">
        <f t="shared" si="69"/>
        <v>0.28263888888888888</v>
      </c>
      <c r="I325" s="1009">
        <v>0.28055555555555556</v>
      </c>
      <c r="J325" s="1010">
        <f t="shared" si="70"/>
        <v>45</v>
      </c>
      <c r="K325" s="1011"/>
      <c r="L325" s="1012"/>
      <c r="M325" s="1013"/>
      <c r="N325" s="1014" t="str">
        <f t="shared" si="71"/>
        <v/>
      </c>
      <c r="O325" s="1326" t="s">
        <v>567</v>
      </c>
      <c r="P325" s="1327"/>
      <c r="Q325" s="1327"/>
      <c r="R325" s="1327"/>
      <c r="S325" s="1327"/>
      <c r="T325" s="1328"/>
      <c r="U325" s="1015">
        <v>1.8</v>
      </c>
      <c r="V325" s="1015"/>
      <c r="W325" s="1015"/>
      <c r="X325" s="1015">
        <v>3.8</v>
      </c>
      <c r="Y325" s="1015"/>
      <c r="Z325" s="1016">
        <f>'09월 에너지'!S327</f>
        <v>141.80000000000001</v>
      </c>
      <c r="AA325" s="1017"/>
      <c r="AB325" s="1208"/>
      <c r="AC325" s="1208"/>
      <c r="AD325" s="1208"/>
      <c r="AE325" s="1208"/>
      <c r="AF325" s="1208"/>
      <c r="AG325" s="1018">
        <f>'09월 화학성분'!AM325</f>
        <v>2427</v>
      </c>
      <c r="AH325" s="1006">
        <f t="shared" si="62"/>
        <v>46</v>
      </c>
      <c r="AI325" s="1019">
        <v>1564</v>
      </c>
      <c r="AJ325" s="1020">
        <v>0</v>
      </c>
      <c r="AK325" s="1021">
        <v>603</v>
      </c>
      <c r="AL325" s="1022">
        <v>7</v>
      </c>
      <c r="AM325" s="1155">
        <f>IF(AT325="","",3*'09월 에너지'!S327*(1/(3+7.8*(100-AT325)/AT325)))</f>
        <v>0.88129272840273465</v>
      </c>
      <c r="AN325" s="1023">
        <v>0.15694444444444444</v>
      </c>
      <c r="AO325" s="1024"/>
      <c r="AP325" s="1025"/>
      <c r="AQ325" s="1025"/>
      <c r="AR325" s="1149" t="str">
        <f t="shared" si="63"/>
        <v/>
      </c>
      <c r="AS325" s="1093">
        <f t="shared" si="72"/>
        <v>4</v>
      </c>
      <c r="AT325" s="1156">
        <v>1.6</v>
      </c>
      <c r="AU325" s="449"/>
      <c r="AV325" s="1205"/>
    </row>
    <row r="326" spans="1:48" ht="16.5" customHeight="1">
      <c r="A326" s="1005">
        <f t="shared" si="64"/>
        <v>46277</v>
      </c>
      <c r="B326" s="1005">
        <f t="shared" si="65"/>
        <v>46277</v>
      </c>
      <c r="C326" s="1150">
        <f t="shared" si="66"/>
        <v>6</v>
      </c>
      <c r="D326" s="1150">
        <f t="shared" si="67"/>
        <v>315</v>
      </c>
      <c r="E326" s="1006" t="str">
        <f t="shared" si="68"/>
        <v>C</v>
      </c>
      <c r="F326" s="1007" t="str">
        <f t="shared" si="74"/>
        <v>A</v>
      </c>
      <c r="G326" s="1008">
        <f t="shared" si="73"/>
        <v>85528</v>
      </c>
      <c r="H326" s="1138">
        <f t="shared" si="69"/>
        <v>0.31388888888888888</v>
      </c>
      <c r="I326" s="1009">
        <v>0.31180555555555556</v>
      </c>
      <c r="J326" s="1010">
        <f t="shared" si="70"/>
        <v>45</v>
      </c>
      <c r="K326" s="1011"/>
      <c r="L326" s="1012"/>
      <c r="M326" s="1013"/>
      <c r="N326" s="1014" t="str">
        <f t="shared" si="71"/>
        <v/>
      </c>
      <c r="O326" s="1323"/>
      <c r="P326" s="1324"/>
      <c r="Q326" s="1324"/>
      <c r="R326" s="1324"/>
      <c r="S326" s="1324"/>
      <c r="T326" s="1325"/>
      <c r="U326" s="1015">
        <v>1.8</v>
      </c>
      <c r="V326" s="1015"/>
      <c r="W326" s="1015"/>
      <c r="X326" s="1015"/>
      <c r="Y326" s="1015">
        <v>2.5</v>
      </c>
      <c r="Z326" s="1016">
        <f>'09월 에너지'!S328</f>
        <v>143.1</v>
      </c>
      <c r="AA326" s="1017"/>
      <c r="AB326" s="1208"/>
      <c r="AC326" s="1208"/>
      <c r="AD326" s="1208"/>
      <c r="AE326" s="1208"/>
      <c r="AF326" s="1208"/>
      <c r="AG326" s="1018">
        <f>'09월 화학성분'!AM326</f>
        <v>1570</v>
      </c>
      <c r="AH326" s="1006">
        <f t="shared" si="62"/>
        <v>47</v>
      </c>
      <c r="AI326" s="1019">
        <v>1591</v>
      </c>
      <c r="AJ326" s="1020">
        <v>21</v>
      </c>
      <c r="AK326" s="1021">
        <v>631</v>
      </c>
      <c r="AL326" s="1022">
        <v>6</v>
      </c>
      <c r="AM326" s="1155">
        <f>IF(AT326="","",3*'09월 에너지'!S328*(1/(3+7.8*(100-AT326)/AT326)))</f>
        <v>1.3974609375</v>
      </c>
      <c r="AN326" s="1023">
        <v>0.21805555555555556</v>
      </c>
      <c r="AO326" s="1024"/>
      <c r="AP326" s="1025"/>
      <c r="AQ326" s="1025"/>
      <c r="AR326" s="1149">
        <f t="shared" si="63"/>
        <v>7</v>
      </c>
      <c r="AS326" s="1093" t="str">
        <f t="shared" si="72"/>
        <v xml:space="preserve"> </v>
      </c>
      <c r="AT326" s="1156">
        <v>2.5</v>
      </c>
      <c r="AU326" s="449"/>
      <c r="AV326" s="1205"/>
    </row>
    <row r="327" spans="1:48" ht="16.5" customHeight="1">
      <c r="A327" s="1005">
        <f t="shared" si="64"/>
        <v>46277</v>
      </c>
      <c r="B327" s="1005">
        <f t="shared" si="65"/>
        <v>46277</v>
      </c>
      <c r="C327" s="1150">
        <f t="shared" si="66"/>
        <v>7</v>
      </c>
      <c r="D327" s="1150">
        <f t="shared" si="67"/>
        <v>316</v>
      </c>
      <c r="E327" s="1006" t="str">
        <f t="shared" si="68"/>
        <v>C</v>
      </c>
      <c r="F327" s="1007" t="str">
        <f t="shared" si="74"/>
        <v>B</v>
      </c>
      <c r="G327" s="1008">
        <f t="shared" si="73"/>
        <v>85529</v>
      </c>
      <c r="H327" s="1138">
        <f t="shared" si="69"/>
        <v>0.34513888888888888</v>
      </c>
      <c r="I327" s="1009">
        <v>0.34236111111111112</v>
      </c>
      <c r="J327" s="1010">
        <f t="shared" si="70"/>
        <v>44</v>
      </c>
      <c r="K327" s="1011"/>
      <c r="L327" s="1012"/>
      <c r="M327" s="1013"/>
      <c r="N327" s="1014" t="str">
        <f t="shared" si="71"/>
        <v/>
      </c>
      <c r="O327" s="1323"/>
      <c r="P327" s="1324"/>
      <c r="Q327" s="1324"/>
      <c r="R327" s="1324"/>
      <c r="S327" s="1324"/>
      <c r="T327" s="1325"/>
      <c r="U327" s="1015">
        <v>1.8</v>
      </c>
      <c r="V327" s="1015"/>
      <c r="W327" s="1015"/>
      <c r="X327" s="1015"/>
      <c r="Y327" s="1015">
        <v>2.4</v>
      </c>
      <c r="Z327" s="1016">
        <f>'09월 에너지'!S329</f>
        <v>145</v>
      </c>
      <c r="AA327" s="1017"/>
      <c r="AB327" s="1208"/>
      <c r="AC327" s="1208"/>
      <c r="AD327" s="1208"/>
      <c r="AE327" s="1208"/>
      <c r="AF327" s="1208"/>
      <c r="AG327" s="1018">
        <f>'09월 화학성분'!AM327</f>
        <v>2116</v>
      </c>
      <c r="AH327" s="1006">
        <f t="shared" si="62"/>
        <v>48</v>
      </c>
      <c r="AI327" s="1019">
        <v>1585</v>
      </c>
      <c r="AJ327" s="1020">
        <v>26</v>
      </c>
      <c r="AK327" s="1021">
        <v>932</v>
      </c>
      <c r="AL327" s="1022">
        <v>4</v>
      </c>
      <c r="AM327" s="1155">
        <f>IF(AT327="","",3*'09월 에너지'!S329*(1/(3+7.8*(100-AT327)/AT327)))</f>
        <v>0.67420954742715433</v>
      </c>
      <c r="AN327" s="1023">
        <v>0.15069444444444444</v>
      </c>
      <c r="AO327" s="1024"/>
      <c r="AP327" s="1025"/>
      <c r="AQ327" s="1025"/>
      <c r="AR327" s="1149" t="str">
        <f t="shared" si="63"/>
        <v/>
      </c>
      <c r="AS327" s="1093">
        <f t="shared" si="72"/>
        <v>5</v>
      </c>
      <c r="AT327" s="1156">
        <v>1.2</v>
      </c>
      <c r="AU327" s="449"/>
      <c r="AV327" s="1205"/>
    </row>
    <row r="328" spans="1:48" ht="16.5" customHeight="1">
      <c r="A328" s="1005">
        <f t="shared" si="64"/>
        <v>46277</v>
      </c>
      <c r="B328" s="1005">
        <f t="shared" si="65"/>
        <v>46277</v>
      </c>
      <c r="C328" s="1150">
        <f t="shared" si="66"/>
        <v>8</v>
      </c>
      <c r="D328" s="1150">
        <f t="shared" si="67"/>
        <v>317</v>
      </c>
      <c r="E328" s="1006" t="str">
        <f t="shared" si="68"/>
        <v>C</v>
      </c>
      <c r="F328" s="1007" t="str">
        <f t="shared" si="74"/>
        <v>A</v>
      </c>
      <c r="G328" s="1008">
        <f t="shared" si="73"/>
        <v>85530</v>
      </c>
      <c r="H328" s="1138">
        <f t="shared" si="69"/>
        <v>0.37569444444444444</v>
      </c>
      <c r="I328" s="1009">
        <v>0.3743055555555555</v>
      </c>
      <c r="J328" s="1010">
        <f t="shared" si="70"/>
        <v>45.999999999999915</v>
      </c>
      <c r="K328" s="1011"/>
      <c r="L328" s="1012"/>
      <c r="M328" s="1013"/>
      <c r="N328" s="1014" t="str">
        <f t="shared" si="71"/>
        <v/>
      </c>
      <c r="O328" s="1323"/>
      <c r="P328" s="1324"/>
      <c r="Q328" s="1324"/>
      <c r="R328" s="1324"/>
      <c r="S328" s="1324"/>
      <c r="T328" s="1325"/>
      <c r="U328" s="1015">
        <v>1.8</v>
      </c>
      <c r="V328" s="1015"/>
      <c r="W328" s="1015"/>
      <c r="X328" s="1015"/>
      <c r="Y328" s="1015" t="s">
        <v>791</v>
      </c>
      <c r="Z328" s="1016">
        <f>'09월 에너지'!S330</f>
        <v>144.19999999999999</v>
      </c>
      <c r="AA328" s="1017"/>
      <c r="AB328" s="1208"/>
      <c r="AC328" s="1208"/>
      <c r="AD328" s="1208"/>
      <c r="AE328" s="1208"/>
      <c r="AF328" s="1208"/>
      <c r="AG328" s="1018">
        <f>'09월 화학성분'!AM328</f>
        <v>1994</v>
      </c>
      <c r="AH328" s="1006">
        <f t="shared" si="62"/>
        <v>49</v>
      </c>
      <c r="AI328" s="1019">
        <v>1585</v>
      </c>
      <c r="AJ328" s="1020">
        <v>0</v>
      </c>
      <c r="AK328" s="1021">
        <v>395</v>
      </c>
      <c r="AL328" s="1022">
        <v>10</v>
      </c>
      <c r="AM328" s="1155">
        <f>IF(AT328="","",3*'09월 에너지'!S330*(1/(3+7.8*(100-AT328)/AT328)))</f>
        <v>1.0662359900373599</v>
      </c>
      <c r="AN328" s="1023">
        <v>0.16388888888888889</v>
      </c>
      <c r="AO328" s="1024"/>
      <c r="AP328" s="1025">
        <v>12</v>
      </c>
      <c r="AQ328" s="1025"/>
      <c r="AR328" s="1149">
        <f t="shared" si="63"/>
        <v>8</v>
      </c>
      <c r="AS328" s="1093" t="str">
        <f t="shared" si="72"/>
        <v xml:space="preserve"> </v>
      </c>
      <c r="AT328" s="1156">
        <v>1.9</v>
      </c>
      <c r="AU328" s="449"/>
      <c r="AV328" s="1205"/>
    </row>
    <row r="329" spans="1:48" ht="16.5" customHeight="1">
      <c r="A329" s="1005">
        <f t="shared" si="64"/>
        <v>46277</v>
      </c>
      <c r="B329" s="1005">
        <f t="shared" si="65"/>
        <v>46277</v>
      </c>
      <c r="C329" s="1150">
        <f t="shared" si="66"/>
        <v>9</v>
      </c>
      <c r="D329" s="1150">
        <f t="shared" si="67"/>
        <v>318</v>
      </c>
      <c r="E329" s="1006" t="str">
        <f t="shared" si="68"/>
        <v>C</v>
      </c>
      <c r="F329" s="1007" t="str">
        <f t="shared" si="74"/>
        <v>B</v>
      </c>
      <c r="G329" s="1008">
        <f t="shared" si="73"/>
        <v>85531</v>
      </c>
      <c r="H329" s="1138">
        <f t="shared" si="69"/>
        <v>0.40763888888888883</v>
      </c>
      <c r="I329" s="1009">
        <v>0.40763888888888888</v>
      </c>
      <c r="J329" s="1010">
        <f t="shared" si="70"/>
        <v>48.000000000000071</v>
      </c>
      <c r="K329" s="1011"/>
      <c r="L329" s="1012"/>
      <c r="M329" s="1013"/>
      <c r="N329" s="1014" t="str">
        <f t="shared" si="71"/>
        <v/>
      </c>
      <c r="O329" s="1326" t="s">
        <v>568</v>
      </c>
      <c r="P329" s="1327"/>
      <c r="Q329" s="1327"/>
      <c r="R329" s="1327"/>
      <c r="S329" s="1327"/>
      <c r="T329" s="1328"/>
      <c r="U329" s="1015">
        <v>1.8</v>
      </c>
      <c r="V329" s="1015"/>
      <c r="W329" s="1015"/>
      <c r="X329" s="1015"/>
      <c r="Y329" s="1015">
        <v>2.8</v>
      </c>
      <c r="Z329" s="1016">
        <f>'09월 에너지'!S331</f>
        <v>142.80000000000001</v>
      </c>
      <c r="AA329" s="1017"/>
      <c r="AB329" s="1208"/>
      <c r="AC329" s="1208"/>
      <c r="AD329" s="1208"/>
      <c r="AE329" s="1208"/>
      <c r="AF329" s="1208"/>
      <c r="AG329" s="1018">
        <f>'09월 화학성분'!AM329</f>
        <v>2370</v>
      </c>
      <c r="AH329" s="1006">
        <f t="shared" si="62"/>
        <v>50</v>
      </c>
      <c r="AI329" s="1019">
        <v>1579</v>
      </c>
      <c r="AJ329" s="1020">
        <v>0</v>
      </c>
      <c r="AK329" s="1021">
        <v>503</v>
      </c>
      <c r="AL329" s="1022">
        <v>8</v>
      </c>
      <c r="AM329" s="1155">
        <f>IF(AT329="","",3*'09월 에너지'!S331*(1/(3+7.8*(100-AT329)/AT329)))</f>
        <v>0.55263157894736858</v>
      </c>
      <c r="AN329" s="1023">
        <v>0.17986111111111111</v>
      </c>
      <c r="AO329" s="1024"/>
      <c r="AP329" s="1025">
        <v>30</v>
      </c>
      <c r="AQ329" s="1025"/>
      <c r="AR329" s="1149" t="str">
        <f t="shared" si="63"/>
        <v/>
      </c>
      <c r="AS329" s="1093">
        <f t="shared" si="72"/>
        <v>6</v>
      </c>
      <c r="AT329" s="1156">
        <v>1</v>
      </c>
      <c r="AU329" s="449"/>
      <c r="AV329" s="1205"/>
    </row>
    <row r="330" spans="1:48" ht="16.5" customHeight="1">
      <c r="A330" s="1005">
        <f t="shared" si="64"/>
        <v>46277</v>
      </c>
      <c r="B330" s="1005">
        <f t="shared" si="65"/>
        <v>46277</v>
      </c>
      <c r="C330" s="1150">
        <f t="shared" si="66"/>
        <v>10</v>
      </c>
      <c r="D330" s="1150">
        <f t="shared" si="67"/>
        <v>319</v>
      </c>
      <c r="E330" s="1006" t="str">
        <f t="shared" si="68"/>
        <v>C</v>
      </c>
      <c r="F330" s="1007" t="str">
        <f t="shared" si="74"/>
        <v>A</v>
      </c>
      <c r="G330" s="1008">
        <f t="shared" si="73"/>
        <v>85532</v>
      </c>
      <c r="H330" s="1138">
        <f t="shared" si="69"/>
        <v>0.44097222222222221</v>
      </c>
      <c r="I330" s="1009">
        <v>0.44375000000000003</v>
      </c>
      <c r="J330" s="1010">
        <f t="shared" si="70"/>
        <v>52.000000000000057</v>
      </c>
      <c r="K330" s="1011"/>
      <c r="L330" s="1012">
        <v>4</v>
      </c>
      <c r="M330" s="1013"/>
      <c r="N330" s="1014" t="str">
        <f t="shared" si="71"/>
        <v/>
      </c>
      <c r="O330" s="1323" t="s">
        <v>785</v>
      </c>
      <c r="P330" s="1324"/>
      <c r="Q330" s="1324"/>
      <c r="R330" s="1324"/>
      <c r="S330" s="1324"/>
      <c r="T330" s="1325"/>
      <c r="U330" s="1015">
        <v>1.8</v>
      </c>
      <c r="V330" s="1015"/>
      <c r="W330" s="1015"/>
      <c r="X330" s="1015"/>
      <c r="Y330" s="1015"/>
      <c r="Z330" s="1016">
        <f>'09월 에너지'!S332</f>
        <v>144.80000000000001</v>
      </c>
      <c r="AA330" s="1017"/>
      <c r="AB330" s="1208"/>
      <c r="AC330" s="1208"/>
      <c r="AD330" s="1208"/>
      <c r="AE330" s="1208"/>
      <c r="AF330" s="1208"/>
      <c r="AG330" s="1018">
        <f>'09월 화학성분'!AM330</f>
        <v>912</v>
      </c>
      <c r="AH330" s="1006">
        <f t="shared" si="62"/>
        <v>51</v>
      </c>
      <c r="AI330" s="1019">
        <v>1568</v>
      </c>
      <c r="AJ330" s="1020">
        <v>46</v>
      </c>
      <c r="AK330" s="1021">
        <v>888</v>
      </c>
      <c r="AL330" s="1022">
        <v>4</v>
      </c>
      <c r="AM330" s="1155">
        <f>IF(AT330="","",3*'09월 에너지'!S332*(1/(3+7.8*(100-AT330)/AT330)))</f>
        <v>1.1277258566978194</v>
      </c>
      <c r="AN330" s="1023">
        <v>0.1423611111111111</v>
      </c>
      <c r="AO330" s="1024"/>
      <c r="AP330" s="1025"/>
      <c r="AQ330" s="1025"/>
      <c r="AR330" s="1149">
        <f t="shared" si="63"/>
        <v>9</v>
      </c>
      <c r="AS330" s="1093" t="str">
        <f t="shared" si="72"/>
        <v xml:space="preserve"> </v>
      </c>
      <c r="AT330" s="1156">
        <v>2</v>
      </c>
      <c r="AU330" s="449"/>
      <c r="AV330" s="1205"/>
    </row>
    <row r="331" spans="1:48" ht="16.5" customHeight="1">
      <c r="A331" s="1005">
        <f t="shared" si="64"/>
        <v>46277</v>
      </c>
      <c r="B331" s="1005">
        <f t="shared" si="65"/>
        <v>46277</v>
      </c>
      <c r="C331" s="1150">
        <f t="shared" si="66"/>
        <v>11</v>
      </c>
      <c r="D331" s="1150">
        <f t="shared" si="67"/>
        <v>320</v>
      </c>
      <c r="E331" s="1006" t="str">
        <f t="shared" si="68"/>
        <v>C</v>
      </c>
      <c r="F331" s="1007" t="str">
        <f t="shared" si="74"/>
        <v>B</v>
      </c>
      <c r="G331" s="1008">
        <f t="shared" si="73"/>
        <v>85533</v>
      </c>
      <c r="H331" s="1138">
        <f t="shared" si="69"/>
        <v>0.47708333333333336</v>
      </c>
      <c r="I331" s="1009">
        <v>0.47152777777777777</v>
      </c>
      <c r="J331" s="1010">
        <f t="shared" si="70"/>
        <v>39.999999999999936</v>
      </c>
      <c r="K331" s="1011"/>
      <c r="L331" s="1012"/>
      <c r="M331" s="1013"/>
      <c r="N331" s="1014" t="str">
        <f t="shared" si="71"/>
        <v/>
      </c>
      <c r="O331" s="1323" t="s">
        <v>788</v>
      </c>
      <c r="P331" s="1324"/>
      <c r="Q331" s="1324"/>
      <c r="R331" s="1324"/>
      <c r="S331" s="1324"/>
      <c r="T331" s="1325"/>
      <c r="U331" s="1015">
        <v>1.8</v>
      </c>
      <c r="V331" s="1015">
        <v>2.4</v>
      </c>
      <c r="W331" s="1015">
        <v>1.3</v>
      </c>
      <c r="X331" s="1015"/>
      <c r="Y331" s="1015"/>
      <c r="Z331" s="1016">
        <f>'09월 에너지'!S333</f>
        <v>144.80000000000001</v>
      </c>
      <c r="AA331" s="1017"/>
      <c r="AB331" s="1208"/>
      <c r="AC331" s="1208"/>
      <c r="AD331" s="1208"/>
      <c r="AE331" s="1208"/>
      <c r="AF331" s="1208"/>
      <c r="AG331" s="1018">
        <f>'09월 화학성분'!AM331</f>
        <v>1415</v>
      </c>
      <c r="AH331" s="1235">
        <v>1</v>
      </c>
      <c r="AI331" s="1019">
        <v>1572</v>
      </c>
      <c r="AJ331" s="1020">
        <v>0</v>
      </c>
      <c r="AK331" s="1021">
        <v>557</v>
      </c>
      <c r="AL331" s="1022">
        <v>7</v>
      </c>
      <c r="AM331" s="1155">
        <f>IF(AT331="","",3*'09월 에너지'!S333*(1/(3+7.8*(100-AT331)/AT331)))</f>
        <v>0.89993784959602241</v>
      </c>
      <c r="AN331" s="1023">
        <v>0.15069444444444444</v>
      </c>
      <c r="AO331" s="1024"/>
      <c r="AP331" s="1025"/>
      <c r="AQ331" s="1025"/>
      <c r="AR331" s="1149" t="str">
        <f t="shared" si="63"/>
        <v/>
      </c>
      <c r="AS331" s="1093">
        <f t="shared" si="72"/>
        <v>7</v>
      </c>
      <c r="AT331" s="1156">
        <v>1.6</v>
      </c>
      <c r="AU331" s="449"/>
      <c r="AV331" s="1205"/>
    </row>
    <row r="332" spans="1:48" ht="16.5" customHeight="1">
      <c r="A332" s="1005">
        <f t="shared" si="64"/>
        <v>46277</v>
      </c>
      <c r="B332" s="1005">
        <f t="shared" si="65"/>
        <v>46277</v>
      </c>
      <c r="C332" s="1150">
        <f t="shared" si="66"/>
        <v>12</v>
      </c>
      <c r="D332" s="1150">
        <f t="shared" si="67"/>
        <v>321</v>
      </c>
      <c r="E332" s="1006" t="str">
        <f t="shared" si="68"/>
        <v>C</v>
      </c>
      <c r="F332" s="1007" t="str">
        <f t="shared" si="74"/>
        <v>A</v>
      </c>
      <c r="G332" s="1008">
        <f t="shared" si="73"/>
        <v>85534</v>
      </c>
      <c r="H332" s="1138">
        <f t="shared" si="69"/>
        <v>0.50486111111111109</v>
      </c>
      <c r="I332" s="1009">
        <v>0.50347222222222221</v>
      </c>
      <c r="J332" s="1010">
        <f t="shared" si="70"/>
        <v>46</v>
      </c>
      <c r="K332" s="1011"/>
      <c r="L332" s="1012"/>
      <c r="M332" s="1013"/>
      <c r="N332" s="1014" t="str">
        <f t="shared" si="71"/>
        <v/>
      </c>
      <c r="O332" s="1323" t="s">
        <v>787</v>
      </c>
      <c r="P332" s="1324"/>
      <c r="Q332" s="1324"/>
      <c r="R332" s="1324"/>
      <c r="S332" s="1324"/>
      <c r="T332" s="1325"/>
      <c r="U332" s="1015">
        <v>1.8</v>
      </c>
      <c r="V332" s="1015"/>
      <c r="W332" s="1015"/>
      <c r="X332" s="1015"/>
      <c r="Y332" s="1015" t="s">
        <v>552</v>
      </c>
      <c r="Z332" s="1016">
        <f>'09월 에너지'!S334</f>
        <v>144.9</v>
      </c>
      <c r="AA332" s="1017"/>
      <c r="AB332" s="1208"/>
      <c r="AC332" s="1208"/>
      <c r="AD332" s="1208"/>
      <c r="AE332" s="1208"/>
      <c r="AF332" s="1208"/>
      <c r="AG332" s="1018">
        <f>'09월 화학성분'!AM332</f>
        <v>1705</v>
      </c>
      <c r="AH332" s="1006">
        <f t="shared" si="62"/>
        <v>2</v>
      </c>
      <c r="AI332" s="1019">
        <v>1552</v>
      </c>
      <c r="AJ332" s="1020">
        <v>0</v>
      </c>
      <c r="AK332" s="1021">
        <v>651</v>
      </c>
      <c r="AL332" s="1022">
        <v>6</v>
      </c>
      <c r="AM332" s="1155">
        <f>IF(AT332="","",3*'09월 에너지'!S334*(1/(3+7.8*(100-AT332)/AT332)))</f>
        <v>1.5301548811013772</v>
      </c>
      <c r="AN332" s="1023">
        <v>0.13819444444444443</v>
      </c>
      <c r="AO332" s="1024"/>
      <c r="AP332" s="1025"/>
      <c r="AQ332" s="1025"/>
      <c r="AR332" s="1149">
        <f t="shared" si="63"/>
        <v>10</v>
      </c>
      <c r="AS332" s="1093" t="str">
        <f t="shared" si="72"/>
        <v xml:space="preserve"> </v>
      </c>
      <c r="AT332" s="1156">
        <v>2.7</v>
      </c>
      <c r="AU332" s="449"/>
      <c r="AV332" s="1205"/>
    </row>
    <row r="333" spans="1:48" ht="16.5" customHeight="1">
      <c r="A333" s="1005">
        <f t="shared" si="64"/>
        <v>46277</v>
      </c>
      <c r="B333" s="1005">
        <f t="shared" si="65"/>
        <v>46277</v>
      </c>
      <c r="C333" s="1150">
        <f t="shared" si="66"/>
        <v>13</v>
      </c>
      <c r="D333" s="1150">
        <f t="shared" si="67"/>
        <v>322</v>
      </c>
      <c r="E333" s="1006" t="str">
        <f t="shared" si="68"/>
        <v>C</v>
      </c>
      <c r="F333" s="1007" t="str">
        <f t="shared" si="74"/>
        <v>B</v>
      </c>
      <c r="G333" s="1008">
        <f t="shared" si="73"/>
        <v>85535</v>
      </c>
      <c r="H333" s="1138">
        <f t="shared" si="69"/>
        <v>0.53680555555555554</v>
      </c>
      <c r="I333" s="1009">
        <v>0.53611111111111109</v>
      </c>
      <c r="J333" s="1010">
        <f t="shared" si="70"/>
        <v>46.999999999999993</v>
      </c>
      <c r="K333" s="1011"/>
      <c r="L333" s="1012"/>
      <c r="M333" s="1013"/>
      <c r="N333" s="1014" t="str">
        <f t="shared" si="71"/>
        <v/>
      </c>
      <c r="O333" s="1326" t="s">
        <v>789</v>
      </c>
      <c r="P333" s="1327"/>
      <c r="Q333" s="1327"/>
      <c r="R333" s="1327"/>
      <c r="S333" s="1327"/>
      <c r="T333" s="1328"/>
      <c r="U333" s="1015">
        <v>1.8</v>
      </c>
      <c r="V333" s="1015"/>
      <c r="W333" s="1015"/>
      <c r="X333" s="1015"/>
      <c r="Y333" s="1015">
        <v>2.2999999999999998</v>
      </c>
      <c r="Z333" s="1016">
        <f>'09월 에너지'!S335</f>
        <v>141.9</v>
      </c>
      <c r="AA333" s="1017"/>
      <c r="AB333" s="1208"/>
      <c r="AC333" s="1208"/>
      <c r="AD333" s="1208"/>
      <c r="AE333" s="1208"/>
      <c r="AF333" s="1208"/>
      <c r="AG333" s="1018">
        <f>'09월 화학성분'!AM333</f>
        <v>1385</v>
      </c>
      <c r="AH333" s="1006">
        <f t="shared" ref="AH333:AH396" si="75">IF(I333="","",AH332+1)</f>
        <v>3</v>
      </c>
      <c r="AI333" s="1019">
        <v>1560</v>
      </c>
      <c r="AJ333" s="1020">
        <v>0</v>
      </c>
      <c r="AK333" s="1021">
        <v>389</v>
      </c>
      <c r="AL333" s="1022">
        <v>11</v>
      </c>
      <c r="AM333" s="1155">
        <f>IF(AT333="","",3*'09월 에너지'!S335*(1/(3+7.8*(100-AT333)/AT333)))</f>
        <v>0.32867510809141448</v>
      </c>
      <c r="AN333" s="1023">
        <v>0.15694444444444444</v>
      </c>
      <c r="AO333" s="1024"/>
      <c r="AP333" s="1025"/>
      <c r="AQ333" s="1025"/>
      <c r="AR333" s="1149" t="str">
        <f t="shared" ref="AR333:AR396" si="76">IF(F333="A",IFERROR(IF(I333="","",IF(F333="A",AR332+1," ")),AR331+1),"")</f>
        <v/>
      </c>
      <c r="AS333" s="1093">
        <f t="shared" si="72"/>
        <v>8</v>
      </c>
      <c r="AT333" s="1156">
        <v>0.6</v>
      </c>
      <c r="AU333" s="449"/>
      <c r="AV333" s="1205"/>
    </row>
    <row r="334" spans="1:48" ht="16.5" customHeight="1">
      <c r="A334" s="1005">
        <f t="shared" ref="A334:A397" si="77">IF(I334="","",A333)</f>
        <v>46277</v>
      </c>
      <c r="B334" s="1005">
        <f t="shared" ref="B334:B397" si="78">IF(J334="","",B333)</f>
        <v>46277</v>
      </c>
      <c r="C334" s="1150">
        <f t="shared" ref="C334:C397" si="79">IF(I334="","",IF(A334=A333,C333+1,1))</f>
        <v>14</v>
      </c>
      <c r="D334" s="1150">
        <f t="shared" ref="D334:D397" si="80">IF(C334="","",D333+1)</f>
        <v>323</v>
      </c>
      <c r="E334" s="1006" t="str">
        <f t="shared" ref="E334:E396" si="81">IF(C334="","",E333)</f>
        <v>C</v>
      </c>
      <c r="F334" s="1007" t="str">
        <f t="shared" ref="F334:F396" si="82">IF(C334="","",IF(F333="A","B","A"))</f>
        <v>A</v>
      </c>
      <c r="G334" s="1008">
        <f t="shared" ref="G334:G397" si="83">IF(C334="","",G333+1)</f>
        <v>85536</v>
      </c>
      <c r="H334" s="1138">
        <f t="shared" ref="H334:H397" si="84">IF(ISBLANK(I333),H333+C$8/1440,I333+C$8/1440)</f>
        <v>0.56944444444444442</v>
      </c>
      <c r="I334" s="1009">
        <v>0.56736111111111109</v>
      </c>
      <c r="J334" s="1010">
        <f t="shared" ref="J334:J397" si="85">IF(I334="","",IF(I334&lt;I333,(I334-I333)*1440+1440,(I334-I333)*1440))</f>
        <v>45</v>
      </c>
      <c r="K334" s="1011"/>
      <c r="L334" s="1012"/>
      <c r="M334" s="1013"/>
      <c r="N334" s="1014" t="str">
        <f t="shared" ref="N334:N397" si="86">IF(M334="","",M334+K334/1440)</f>
        <v/>
      </c>
      <c r="O334" s="1323"/>
      <c r="P334" s="1324"/>
      <c r="Q334" s="1324"/>
      <c r="R334" s="1324"/>
      <c r="S334" s="1324"/>
      <c r="T334" s="1325"/>
      <c r="U334" s="1015">
        <v>1.8</v>
      </c>
      <c r="V334" s="1015"/>
      <c r="W334" s="1015"/>
      <c r="X334" s="1015"/>
      <c r="Y334" s="1015" t="s">
        <v>792</v>
      </c>
      <c r="Z334" s="1016">
        <f>'09월 에너지'!S336</f>
        <v>146.1</v>
      </c>
      <c r="AA334" s="1017"/>
      <c r="AB334" s="1208"/>
      <c r="AC334" s="1208"/>
      <c r="AD334" s="1208"/>
      <c r="AE334" s="1208"/>
      <c r="AF334" s="1208"/>
      <c r="AG334" s="1018">
        <f>'09월 화학성분'!AM334</f>
        <v>1578</v>
      </c>
      <c r="AH334" s="1006">
        <f t="shared" si="75"/>
        <v>4</v>
      </c>
      <c r="AI334" s="1019">
        <v>1559</v>
      </c>
      <c r="AJ334" s="1020">
        <v>39</v>
      </c>
      <c r="AK334" s="1021">
        <v>904</v>
      </c>
      <c r="AL334" s="1022">
        <v>4</v>
      </c>
      <c r="AM334" s="1155">
        <f>IF(AT334="","",3*'09월 에너지'!S336*(1/(3+7.8*(100-AT334)/AT334)))</f>
        <v>1.195487842892768</v>
      </c>
      <c r="AN334" s="1023">
        <v>0.20625000000000002</v>
      </c>
      <c r="AO334" s="1024"/>
      <c r="AP334" s="1025"/>
      <c r="AQ334" s="1025"/>
      <c r="AR334" s="1149">
        <f t="shared" si="76"/>
        <v>11</v>
      </c>
      <c r="AS334" s="1093" t="str">
        <f t="shared" ref="AS334:AS397" si="87">IFERROR(IF($I334="","",IF($F334="B",AS333+1," ")),AS332+1)</f>
        <v xml:space="preserve"> </v>
      </c>
      <c r="AT334" s="1156">
        <v>2.1</v>
      </c>
      <c r="AU334" s="449"/>
      <c r="AV334" s="1205"/>
    </row>
    <row r="335" spans="1:48" ht="16.5" customHeight="1">
      <c r="A335" s="1005">
        <f t="shared" si="77"/>
        <v>46277</v>
      </c>
      <c r="B335" s="1005">
        <f t="shared" si="78"/>
        <v>46277</v>
      </c>
      <c r="C335" s="1150">
        <f t="shared" si="79"/>
        <v>15</v>
      </c>
      <c r="D335" s="1150">
        <f t="shared" si="80"/>
        <v>324</v>
      </c>
      <c r="E335" s="1006" t="str">
        <f t="shared" si="81"/>
        <v>C</v>
      </c>
      <c r="F335" s="1007" t="str">
        <f t="shared" si="82"/>
        <v>B</v>
      </c>
      <c r="G335" s="1008">
        <f t="shared" si="83"/>
        <v>85537</v>
      </c>
      <c r="H335" s="1138">
        <f t="shared" si="84"/>
        <v>0.60069444444444442</v>
      </c>
      <c r="I335" s="1009">
        <v>0.6</v>
      </c>
      <c r="J335" s="1010">
        <f t="shared" si="85"/>
        <v>46.999999999999993</v>
      </c>
      <c r="K335" s="1011"/>
      <c r="L335" s="1012"/>
      <c r="M335" s="1013"/>
      <c r="N335" s="1014" t="str">
        <f t="shared" si="86"/>
        <v/>
      </c>
      <c r="O335" s="1323" t="s">
        <v>795</v>
      </c>
      <c r="P335" s="1324"/>
      <c r="Q335" s="1324"/>
      <c r="R335" s="1324"/>
      <c r="S335" s="1324"/>
      <c r="T335" s="1325"/>
      <c r="U335" s="1015">
        <v>1.8</v>
      </c>
      <c r="V335" s="1015">
        <v>2.8</v>
      </c>
      <c r="W335" s="1015">
        <v>1.5</v>
      </c>
      <c r="X335" s="1015"/>
      <c r="Y335" s="1015"/>
      <c r="Z335" s="1016">
        <f>'09월 에너지'!S337</f>
        <v>144.5</v>
      </c>
      <c r="AA335" s="1017">
        <v>1647</v>
      </c>
      <c r="AB335" s="1208" t="s">
        <v>573</v>
      </c>
      <c r="AC335" s="1208" t="s">
        <v>532</v>
      </c>
      <c r="AD335" s="1208"/>
      <c r="AE335" s="1208"/>
      <c r="AF335" s="1208" t="s">
        <v>607</v>
      </c>
      <c r="AG335" s="1018">
        <f>'09월 화학성분'!AM335</f>
        <v>532</v>
      </c>
      <c r="AH335" s="1006">
        <f t="shared" si="75"/>
        <v>5</v>
      </c>
      <c r="AI335" s="1019">
        <v>1551</v>
      </c>
      <c r="AJ335" s="1020">
        <v>0</v>
      </c>
      <c r="AK335" s="1021">
        <v>375</v>
      </c>
      <c r="AL335" s="1022">
        <v>12</v>
      </c>
      <c r="AM335" s="1155">
        <f>IF(AT335="","",3*'09월 에너지'!S337*(1/(3+7.8*(100-AT335)/AT335)))</f>
        <v>0.44681508967223249</v>
      </c>
      <c r="AN335" s="1023">
        <v>0.14722222222222223</v>
      </c>
      <c r="AO335" s="1024"/>
      <c r="AP335" s="1025"/>
      <c r="AQ335" s="1025"/>
      <c r="AR335" s="1149" t="str">
        <f t="shared" si="76"/>
        <v/>
      </c>
      <c r="AS335" s="1093">
        <f t="shared" si="87"/>
        <v>9</v>
      </c>
      <c r="AT335" s="1156">
        <v>0.8</v>
      </c>
      <c r="AU335" s="449"/>
      <c r="AV335" s="1205"/>
    </row>
    <row r="336" spans="1:48" ht="27" customHeight="1">
      <c r="A336" s="1005">
        <f t="shared" si="77"/>
        <v>46277</v>
      </c>
      <c r="B336" s="1005">
        <f t="shared" si="78"/>
        <v>46277</v>
      </c>
      <c r="C336" s="1150">
        <f t="shared" si="79"/>
        <v>16</v>
      </c>
      <c r="D336" s="1150">
        <f t="shared" si="80"/>
        <v>325</v>
      </c>
      <c r="E336" s="1006" t="s">
        <v>578</v>
      </c>
      <c r="F336" s="1007" t="str">
        <f t="shared" si="82"/>
        <v>A</v>
      </c>
      <c r="G336" s="1008">
        <f t="shared" si="83"/>
        <v>85538</v>
      </c>
      <c r="H336" s="1138">
        <f t="shared" si="84"/>
        <v>0.6333333333333333</v>
      </c>
      <c r="I336" s="1009">
        <v>0.64374999999999993</v>
      </c>
      <c r="J336" s="1010">
        <f t="shared" si="85"/>
        <v>62.999999999999936</v>
      </c>
      <c r="K336" s="1011"/>
      <c r="L336" s="1012">
        <v>7</v>
      </c>
      <c r="M336" s="1013"/>
      <c r="N336" s="1014" t="str">
        <f t="shared" si="86"/>
        <v/>
      </c>
      <c r="O336" s="1323" t="s">
        <v>796</v>
      </c>
      <c r="P336" s="1324"/>
      <c r="Q336" s="1324"/>
      <c r="R336" s="1324"/>
      <c r="S336" s="1324"/>
      <c r="T336" s="1325"/>
      <c r="U336" s="1015">
        <v>1.8</v>
      </c>
      <c r="V336" s="1015"/>
      <c r="W336" s="1015"/>
      <c r="X336" s="1015"/>
      <c r="Y336" s="1015">
        <v>2.9</v>
      </c>
      <c r="Z336" s="1016">
        <f>'09월 에너지'!S338</f>
        <v>147.4</v>
      </c>
      <c r="AA336" s="1017">
        <v>1422</v>
      </c>
      <c r="AB336" s="1208" t="s">
        <v>573</v>
      </c>
      <c r="AC336" s="1208" t="s">
        <v>532</v>
      </c>
      <c r="AD336" s="1208"/>
      <c r="AE336" s="1208"/>
      <c r="AF336" s="1208" t="s">
        <v>607</v>
      </c>
      <c r="AG336" s="1018">
        <f>'09월 화학성분'!AM336</f>
        <v>3018</v>
      </c>
      <c r="AH336" s="1006">
        <f t="shared" si="75"/>
        <v>6</v>
      </c>
      <c r="AI336" s="1019">
        <v>1565</v>
      </c>
      <c r="AJ336" s="1020">
        <v>0</v>
      </c>
      <c r="AK336" s="1021">
        <v>511</v>
      </c>
      <c r="AL336" s="1022">
        <v>8</v>
      </c>
      <c r="AM336" s="1155">
        <f>IF(AT336="","",3*'09월 에너지'!S338*(1/(3+7.8*(100-AT336)/AT336)))</f>
        <v>0.91609695463020513</v>
      </c>
      <c r="AN336" s="1023">
        <v>0.15555555555555556</v>
      </c>
      <c r="AO336" s="1024"/>
      <c r="AP336" s="1025"/>
      <c r="AQ336" s="1025"/>
      <c r="AR336" s="1149">
        <f t="shared" si="76"/>
        <v>12</v>
      </c>
      <c r="AS336" s="1093" t="str">
        <f t="shared" si="87"/>
        <v xml:space="preserve"> </v>
      </c>
      <c r="AT336" s="1156">
        <v>1.6</v>
      </c>
      <c r="AU336" s="449"/>
      <c r="AV336" s="1205"/>
    </row>
    <row r="337" spans="1:48" ht="16.5" customHeight="1">
      <c r="A337" s="1005">
        <f t="shared" si="77"/>
        <v>46277</v>
      </c>
      <c r="B337" s="1005">
        <f t="shared" si="78"/>
        <v>46277</v>
      </c>
      <c r="C337" s="1150">
        <f t="shared" si="79"/>
        <v>17</v>
      </c>
      <c r="D337" s="1150">
        <f t="shared" si="80"/>
        <v>326</v>
      </c>
      <c r="E337" s="1006" t="str">
        <f t="shared" si="81"/>
        <v>A</v>
      </c>
      <c r="F337" s="1007" t="str">
        <f t="shared" si="82"/>
        <v>B</v>
      </c>
      <c r="G337" s="1008">
        <f t="shared" si="83"/>
        <v>85539</v>
      </c>
      <c r="H337" s="1138">
        <f t="shared" si="84"/>
        <v>0.67708333333333326</v>
      </c>
      <c r="I337" s="1009">
        <v>0.6743055555555556</v>
      </c>
      <c r="J337" s="1010">
        <f t="shared" si="85"/>
        <v>44.000000000000163</v>
      </c>
      <c r="K337" s="1011"/>
      <c r="L337" s="1012"/>
      <c r="M337" s="1013"/>
      <c r="N337" s="1014" t="str">
        <f t="shared" si="86"/>
        <v/>
      </c>
      <c r="O337" s="1326" t="s">
        <v>784</v>
      </c>
      <c r="P337" s="1327"/>
      <c r="Q337" s="1327"/>
      <c r="R337" s="1327"/>
      <c r="S337" s="1327"/>
      <c r="T337" s="1328"/>
      <c r="U337" s="1015">
        <v>1.8</v>
      </c>
      <c r="V337" s="1015"/>
      <c r="W337" s="1015"/>
      <c r="X337" s="1015"/>
      <c r="Y337" s="1015">
        <v>2.7</v>
      </c>
      <c r="Z337" s="1016">
        <f>'09월 에너지'!S339</f>
        <v>145.1</v>
      </c>
      <c r="AA337" s="1017"/>
      <c r="AB337" s="1208"/>
      <c r="AC337" s="1208"/>
      <c r="AD337" s="1208"/>
      <c r="AE337" s="1208"/>
      <c r="AF337" s="1208"/>
      <c r="AG337" s="1018">
        <f>'09월 화학성분'!AM337</f>
        <v>1643</v>
      </c>
      <c r="AH337" s="1006">
        <f t="shared" si="75"/>
        <v>7</v>
      </c>
      <c r="AI337" s="1019">
        <v>1555</v>
      </c>
      <c r="AJ337" s="1020">
        <v>0</v>
      </c>
      <c r="AK337" s="1021">
        <v>401</v>
      </c>
      <c r="AL337" s="1022">
        <v>11</v>
      </c>
      <c r="AM337" s="1155">
        <f>IF(AT337="","",3*'09월 에너지'!S339*(1/(3+7.8*(100-AT337)/AT337)))</f>
        <v>0.5050665222772277</v>
      </c>
      <c r="AN337" s="1023">
        <v>0.30486111111111108</v>
      </c>
      <c r="AO337" s="1024"/>
      <c r="AP337" s="1025"/>
      <c r="AQ337" s="1025"/>
      <c r="AR337" s="1149" t="str">
        <f t="shared" si="76"/>
        <v/>
      </c>
      <c r="AS337" s="1093">
        <f t="shared" si="87"/>
        <v>10</v>
      </c>
      <c r="AT337" s="1156">
        <v>0.9</v>
      </c>
      <c r="AU337" s="449"/>
      <c r="AV337" s="1205"/>
    </row>
    <row r="338" spans="1:48" ht="16.5" customHeight="1">
      <c r="A338" s="1005">
        <f t="shared" si="77"/>
        <v>46277</v>
      </c>
      <c r="B338" s="1005">
        <f t="shared" si="78"/>
        <v>46277</v>
      </c>
      <c r="C338" s="1150">
        <f t="shared" si="79"/>
        <v>18</v>
      </c>
      <c r="D338" s="1150">
        <f t="shared" si="80"/>
        <v>327</v>
      </c>
      <c r="E338" s="1006" t="str">
        <f t="shared" si="81"/>
        <v>A</v>
      </c>
      <c r="F338" s="1007" t="str">
        <f t="shared" si="82"/>
        <v>A</v>
      </c>
      <c r="G338" s="1008">
        <f t="shared" si="83"/>
        <v>85540</v>
      </c>
      <c r="H338" s="1138">
        <f t="shared" si="84"/>
        <v>0.70763888888888893</v>
      </c>
      <c r="I338" s="1009">
        <v>0.70416666666666661</v>
      </c>
      <c r="J338" s="1010">
        <f t="shared" si="85"/>
        <v>42.999999999999844</v>
      </c>
      <c r="K338" s="1011"/>
      <c r="L338" s="1012"/>
      <c r="M338" s="1013"/>
      <c r="N338" s="1014" t="str">
        <f t="shared" si="86"/>
        <v/>
      </c>
      <c r="O338" s="1323" t="s">
        <v>797</v>
      </c>
      <c r="P338" s="1324"/>
      <c r="Q338" s="1324"/>
      <c r="R338" s="1324"/>
      <c r="S338" s="1324"/>
      <c r="T338" s="1325"/>
      <c r="U338" s="1015">
        <v>1.8</v>
      </c>
      <c r="V338" s="1015"/>
      <c r="W338" s="1015"/>
      <c r="X338" s="1015"/>
      <c r="Y338" s="1015">
        <v>2.2999999999999998</v>
      </c>
      <c r="Z338" s="1016">
        <f>'09월 에너지'!S340</f>
        <v>145.80000000000001</v>
      </c>
      <c r="AA338" s="1017"/>
      <c r="AB338" s="1208"/>
      <c r="AC338" s="1208"/>
      <c r="AD338" s="1208"/>
      <c r="AE338" s="1208"/>
      <c r="AF338" s="1208"/>
      <c r="AG338" s="1018">
        <f>'09월 화학성분'!AM338</f>
        <v>2496</v>
      </c>
      <c r="AH338" s="1006">
        <f t="shared" si="75"/>
        <v>8</v>
      </c>
      <c r="AI338" s="1019">
        <v>1622</v>
      </c>
      <c r="AJ338" s="1020">
        <v>0</v>
      </c>
      <c r="AK338" s="1021">
        <v>872</v>
      </c>
      <c r="AL338" s="1022">
        <v>4</v>
      </c>
      <c r="AM338" s="1155">
        <f>IF(AT338="","",3*'09월 에너지'!S340*(1/(3+7.8*(100-AT338)/AT338)))</f>
        <v>0.84899068322981386</v>
      </c>
      <c r="AN338" s="1023">
        <v>0.17569444444444446</v>
      </c>
      <c r="AO338" s="1024"/>
      <c r="AP338" s="1025"/>
      <c r="AQ338" s="1025"/>
      <c r="AR338" s="1149">
        <f t="shared" si="76"/>
        <v>13</v>
      </c>
      <c r="AS338" s="1093" t="str">
        <f t="shared" si="87"/>
        <v xml:space="preserve"> </v>
      </c>
      <c r="AT338" s="1156">
        <v>1.5</v>
      </c>
      <c r="AU338" s="449"/>
      <c r="AV338" s="1205"/>
    </row>
    <row r="339" spans="1:48" ht="16.5" customHeight="1">
      <c r="A339" s="1005">
        <f t="shared" si="77"/>
        <v>46277</v>
      </c>
      <c r="B339" s="1005">
        <f t="shared" si="78"/>
        <v>46277</v>
      </c>
      <c r="C339" s="1150">
        <f t="shared" si="79"/>
        <v>19</v>
      </c>
      <c r="D339" s="1150">
        <f t="shared" si="80"/>
        <v>328</v>
      </c>
      <c r="E339" s="1006" t="str">
        <f t="shared" si="81"/>
        <v>A</v>
      </c>
      <c r="F339" s="1007" t="str">
        <f t="shared" si="82"/>
        <v>B</v>
      </c>
      <c r="G339" s="1008">
        <f t="shared" si="83"/>
        <v>85541</v>
      </c>
      <c r="H339" s="1138">
        <f t="shared" si="84"/>
        <v>0.73749999999999993</v>
      </c>
      <c r="I339" s="1009">
        <v>0.73541666666666661</v>
      </c>
      <c r="J339" s="1010">
        <f t="shared" si="85"/>
        <v>45</v>
      </c>
      <c r="K339" s="1011"/>
      <c r="L339" s="1012"/>
      <c r="M339" s="1013"/>
      <c r="N339" s="1014" t="str">
        <f t="shared" si="86"/>
        <v/>
      </c>
      <c r="O339" s="1323"/>
      <c r="P339" s="1324"/>
      <c r="Q339" s="1324"/>
      <c r="R339" s="1324"/>
      <c r="S339" s="1324"/>
      <c r="T339" s="1325"/>
      <c r="U339" s="1015">
        <v>1.8</v>
      </c>
      <c r="V339" s="1015"/>
      <c r="W339" s="1015"/>
      <c r="X339" s="1015"/>
      <c r="Y339" s="1015">
        <v>2.5</v>
      </c>
      <c r="Z339" s="1016">
        <f>'09월 에너지'!S341</f>
        <v>147.9</v>
      </c>
      <c r="AA339" s="1017"/>
      <c r="AB339" s="1208"/>
      <c r="AC339" s="1208"/>
      <c r="AD339" s="1208"/>
      <c r="AE339" s="1208"/>
      <c r="AF339" s="1208"/>
      <c r="AG339" s="1018">
        <f>'09월 화학성분'!AM339</f>
        <v>1644</v>
      </c>
      <c r="AH339" s="1006">
        <f t="shared" si="75"/>
        <v>9</v>
      </c>
      <c r="AI339" s="1019">
        <v>1561</v>
      </c>
      <c r="AJ339" s="1020">
        <v>0</v>
      </c>
      <c r="AK339" s="1021">
        <v>310</v>
      </c>
      <c r="AL339" s="1022">
        <v>15</v>
      </c>
      <c r="AM339" s="1155">
        <f>IF(AT339="","",3*'09월 에너지'!S341*(1/(3+7.8*(100-AT339)/AT339)))</f>
        <v>0.57236842105263175</v>
      </c>
      <c r="AN339" s="1023">
        <v>0.18958333333333333</v>
      </c>
      <c r="AO339" s="1024"/>
      <c r="AP339" s="1025"/>
      <c r="AQ339" s="1025"/>
      <c r="AR339" s="1149" t="str">
        <f t="shared" si="76"/>
        <v/>
      </c>
      <c r="AS339" s="1093">
        <f t="shared" si="87"/>
        <v>11</v>
      </c>
      <c r="AT339" s="1156">
        <v>1</v>
      </c>
      <c r="AU339" s="449"/>
      <c r="AV339" s="1205"/>
    </row>
    <row r="340" spans="1:48" ht="16.5" customHeight="1">
      <c r="A340" s="1005">
        <f t="shared" si="77"/>
        <v>46277</v>
      </c>
      <c r="B340" s="1005">
        <f t="shared" si="78"/>
        <v>46277</v>
      </c>
      <c r="C340" s="1150">
        <f t="shared" si="79"/>
        <v>20</v>
      </c>
      <c r="D340" s="1150">
        <f t="shared" si="80"/>
        <v>329</v>
      </c>
      <c r="E340" s="1006" t="str">
        <f t="shared" si="81"/>
        <v>A</v>
      </c>
      <c r="F340" s="1007" t="str">
        <f t="shared" si="82"/>
        <v>A</v>
      </c>
      <c r="G340" s="1008">
        <f t="shared" si="83"/>
        <v>85542</v>
      </c>
      <c r="H340" s="1138">
        <f t="shared" si="84"/>
        <v>0.76874999999999993</v>
      </c>
      <c r="I340" s="1009">
        <v>0.7680555555555556</v>
      </c>
      <c r="J340" s="1010">
        <f t="shared" si="85"/>
        <v>47.000000000000156</v>
      </c>
      <c r="K340" s="1011"/>
      <c r="L340" s="1012"/>
      <c r="M340" s="1013"/>
      <c r="N340" s="1014" t="str">
        <f t="shared" si="86"/>
        <v/>
      </c>
      <c r="O340" s="1323" t="s">
        <v>798</v>
      </c>
      <c r="P340" s="1324"/>
      <c r="Q340" s="1324"/>
      <c r="R340" s="1324"/>
      <c r="S340" s="1324"/>
      <c r="T340" s="1325"/>
      <c r="U340" s="1015">
        <v>1.8</v>
      </c>
      <c r="V340" s="1015"/>
      <c r="W340" s="1015"/>
      <c r="X340" s="1015"/>
      <c r="Y340" s="1015">
        <v>2.4</v>
      </c>
      <c r="Z340" s="1016">
        <f>'09월 에너지'!S342</f>
        <v>147.6</v>
      </c>
      <c r="AA340" s="1017">
        <v>2306</v>
      </c>
      <c r="AB340" s="1208" t="s">
        <v>573</v>
      </c>
      <c r="AC340" s="1208" t="s">
        <v>532</v>
      </c>
      <c r="AD340" s="1208" t="s">
        <v>532</v>
      </c>
      <c r="AE340" s="1208"/>
      <c r="AF340" s="1208" t="s">
        <v>607</v>
      </c>
      <c r="AG340" s="1018">
        <f>'09월 화학성분'!AM340</f>
        <v>1939</v>
      </c>
      <c r="AH340" s="1006">
        <f t="shared" si="75"/>
        <v>10</v>
      </c>
      <c r="AI340" s="1019">
        <v>1552</v>
      </c>
      <c r="AJ340" s="1020">
        <v>0</v>
      </c>
      <c r="AK340" s="1021">
        <v>411</v>
      </c>
      <c r="AL340" s="1022">
        <v>11</v>
      </c>
      <c r="AM340" s="1155">
        <f>IF(AT340="","",3*'09월 에너지'!S342*(1/(3+7.8*(100-AT340)/AT340)))</f>
        <v>0.62871747211895901</v>
      </c>
      <c r="AN340" s="1023">
        <v>0.17291666666666669</v>
      </c>
      <c r="AO340" s="1024" t="s">
        <v>587</v>
      </c>
      <c r="AP340" s="1025">
        <v>2000038</v>
      </c>
      <c r="AQ340" s="1025">
        <v>2142</v>
      </c>
      <c r="AR340" s="1149">
        <v>1</v>
      </c>
      <c r="AS340" s="1093" t="str">
        <f t="shared" si="87"/>
        <v xml:space="preserve"> </v>
      </c>
      <c r="AT340" s="1156">
        <v>1.1000000000000001</v>
      </c>
      <c r="AU340" s="449"/>
      <c r="AV340" s="1205"/>
    </row>
    <row r="341" spans="1:48" ht="16.5" customHeight="1">
      <c r="A341" s="1005">
        <f t="shared" si="77"/>
        <v>46277</v>
      </c>
      <c r="B341" s="1005">
        <f t="shared" si="78"/>
        <v>46277</v>
      </c>
      <c r="C341" s="1150">
        <f t="shared" si="79"/>
        <v>21</v>
      </c>
      <c r="D341" s="1150">
        <f t="shared" si="80"/>
        <v>330</v>
      </c>
      <c r="E341" s="1006" t="str">
        <f t="shared" si="81"/>
        <v>A</v>
      </c>
      <c r="F341" s="1007" t="str">
        <f t="shared" si="82"/>
        <v>B</v>
      </c>
      <c r="G341" s="1008">
        <f t="shared" si="83"/>
        <v>85543</v>
      </c>
      <c r="H341" s="1138">
        <f t="shared" si="84"/>
        <v>0.80138888888888893</v>
      </c>
      <c r="I341" s="1009">
        <v>0.80347222222222225</v>
      </c>
      <c r="J341" s="1010">
        <f t="shared" si="85"/>
        <v>50.999999999999979</v>
      </c>
      <c r="K341" s="1011"/>
      <c r="L341" s="1012">
        <v>2</v>
      </c>
      <c r="M341" s="1013"/>
      <c r="N341" s="1014" t="str">
        <f t="shared" si="86"/>
        <v/>
      </c>
      <c r="O341" s="1326" t="s">
        <v>799</v>
      </c>
      <c r="P341" s="1327"/>
      <c r="Q341" s="1327"/>
      <c r="R341" s="1327"/>
      <c r="S341" s="1327"/>
      <c r="T341" s="1328"/>
      <c r="U341" s="1015">
        <v>1.8</v>
      </c>
      <c r="V341" s="1015"/>
      <c r="W341" s="1015"/>
      <c r="X341" s="1015"/>
      <c r="Y341" s="1015">
        <v>2.7</v>
      </c>
      <c r="Z341" s="1016">
        <f>'09월 에너지'!S343</f>
        <v>145.1</v>
      </c>
      <c r="AA341" s="1017">
        <v>2590</v>
      </c>
      <c r="AB341" s="1208" t="s">
        <v>573</v>
      </c>
      <c r="AC341" s="1208" t="s">
        <v>532</v>
      </c>
      <c r="AD341" s="1208" t="s">
        <v>532</v>
      </c>
      <c r="AE341" s="1208"/>
      <c r="AF341" s="1208" t="s">
        <v>607</v>
      </c>
      <c r="AG341" s="1018">
        <f>'09월 화학성분'!AM341</f>
        <v>983</v>
      </c>
      <c r="AH341" s="1006">
        <f t="shared" si="75"/>
        <v>11</v>
      </c>
      <c r="AI341" s="1019">
        <v>1557</v>
      </c>
      <c r="AJ341" s="1020">
        <v>0</v>
      </c>
      <c r="AK341" s="1021">
        <v>568</v>
      </c>
      <c r="AL341" s="1022">
        <v>7</v>
      </c>
      <c r="AM341" s="1155">
        <f>IF(AT341="","",3*'09월 에너지'!S343*(1/(3+7.8*(100-AT341)/AT341)))</f>
        <v>0.56153250773993812</v>
      </c>
      <c r="AN341" s="1023">
        <v>0.17291666666666669</v>
      </c>
      <c r="AO341" s="1024"/>
      <c r="AP341" s="1025"/>
      <c r="AQ341" s="1025"/>
      <c r="AR341" s="1149" t="str">
        <f t="shared" si="76"/>
        <v/>
      </c>
      <c r="AS341" s="1093">
        <f t="shared" si="87"/>
        <v>12</v>
      </c>
      <c r="AT341" s="1156">
        <v>1</v>
      </c>
      <c r="AU341" s="449"/>
      <c r="AV341" s="1205"/>
    </row>
    <row r="342" spans="1:48" ht="16.5" customHeight="1">
      <c r="A342" s="1005">
        <f t="shared" si="77"/>
        <v>46277</v>
      </c>
      <c r="B342" s="1005">
        <f t="shared" si="78"/>
        <v>46277</v>
      </c>
      <c r="C342" s="1150">
        <f t="shared" si="79"/>
        <v>22</v>
      </c>
      <c r="D342" s="1150">
        <f t="shared" si="80"/>
        <v>331</v>
      </c>
      <c r="E342" s="1006" t="str">
        <f t="shared" si="81"/>
        <v>A</v>
      </c>
      <c r="F342" s="1007" t="str">
        <f t="shared" si="82"/>
        <v>A</v>
      </c>
      <c r="G342" s="1008">
        <f t="shared" si="83"/>
        <v>85544</v>
      </c>
      <c r="H342" s="1138">
        <f t="shared" si="84"/>
        <v>0.83680555555555558</v>
      </c>
      <c r="I342" s="1009">
        <v>0.8340277777777777</v>
      </c>
      <c r="J342" s="1010">
        <f t="shared" si="85"/>
        <v>43.999999999999844</v>
      </c>
      <c r="K342" s="1011"/>
      <c r="L342" s="1012"/>
      <c r="M342" s="1013"/>
      <c r="N342" s="1014" t="str">
        <f t="shared" si="86"/>
        <v/>
      </c>
      <c r="O342" s="1323" t="s">
        <v>800</v>
      </c>
      <c r="P342" s="1324"/>
      <c r="Q342" s="1324"/>
      <c r="R342" s="1324"/>
      <c r="S342" s="1324"/>
      <c r="T342" s="1325"/>
      <c r="U342" s="1015">
        <v>1.8</v>
      </c>
      <c r="V342" s="1015"/>
      <c r="W342" s="1015"/>
      <c r="X342" s="1015"/>
      <c r="Y342" s="1015">
        <v>2.8</v>
      </c>
      <c r="Z342" s="1016">
        <f>'09월 에너지'!S344</f>
        <v>146.9</v>
      </c>
      <c r="AA342" s="1017"/>
      <c r="AB342" s="1208"/>
      <c r="AC342" s="1208"/>
      <c r="AD342" s="1208"/>
      <c r="AE342" s="1208"/>
      <c r="AF342" s="1208"/>
      <c r="AG342" s="1018">
        <f>'09월 화학성분'!AM342</f>
        <v>1535</v>
      </c>
      <c r="AH342" s="1006">
        <f t="shared" si="75"/>
        <v>12</v>
      </c>
      <c r="AI342" s="1019">
        <v>1565</v>
      </c>
      <c r="AJ342" s="1020">
        <v>63</v>
      </c>
      <c r="AK342" s="1021">
        <v>615</v>
      </c>
      <c r="AL342" s="1022">
        <v>6</v>
      </c>
      <c r="AM342" s="1155">
        <f>IF(AT342="","",3*'09월 에너지'!S344*(1/(3+7.8*(100-AT342)/AT342)))</f>
        <v>1.1440809968847354</v>
      </c>
      <c r="AN342" s="1023">
        <v>0.1451388888888889</v>
      </c>
      <c r="AO342" s="1024"/>
      <c r="AP342" s="1025"/>
      <c r="AQ342" s="1025"/>
      <c r="AR342" s="1149">
        <f t="shared" si="76"/>
        <v>2</v>
      </c>
      <c r="AS342" s="1093" t="str">
        <f t="shared" si="87"/>
        <v xml:space="preserve"> </v>
      </c>
      <c r="AT342" s="1156">
        <v>2</v>
      </c>
      <c r="AU342" s="449"/>
      <c r="AV342" s="1205"/>
    </row>
    <row r="343" spans="1:48" ht="16.5" customHeight="1">
      <c r="A343" s="1005">
        <f t="shared" si="77"/>
        <v>46277</v>
      </c>
      <c r="B343" s="1005">
        <f t="shared" si="78"/>
        <v>46277</v>
      </c>
      <c r="C343" s="1150">
        <f t="shared" si="79"/>
        <v>23</v>
      </c>
      <c r="D343" s="1150">
        <f t="shared" si="80"/>
        <v>332</v>
      </c>
      <c r="E343" s="1006" t="str">
        <f t="shared" si="81"/>
        <v>A</v>
      </c>
      <c r="F343" s="1007" t="str">
        <f t="shared" si="82"/>
        <v>B</v>
      </c>
      <c r="G343" s="1008">
        <f t="shared" si="83"/>
        <v>85545</v>
      </c>
      <c r="H343" s="1138">
        <f t="shared" si="84"/>
        <v>0.86736111111111103</v>
      </c>
      <c r="I343" s="1009">
        <v>0.87013888888888891</v>
      </c>
      <c r="J343" s="1010">
        <f t="shared" si="85"/>
        <v>52.000000000000135</v>
      </c>
      <c r="K343" s="1011"/>
      <c r="L343" s="1012"/>
      <c r="M343" s="1013"/>
      <c r="N343" s="1014" t="str">
        <f t="shared" si="86"/>
        <v/>
      </c>
      <c r="O343" s="1323" t="s">
        <v>801</v>
      </c>
      <c r="P343" s="1324"/>
      <c r="Q343" s="1324"/>
      <c r="R343" s="1324"/>
      <c r="S343" s="1324"/>
      <c r="T343" s="1325"/>
      <c r="U343" s="1015">
        <v>1.8</v>
      </c>
      <c r="V343" s="1015"/>
      <c r="W343" s="1015"/>
      <c r="X343" s="1015"/>
      <c r="Y343" s="1015">
        <v>2.4</v>
      </c>
      <c r="Z343" s="1016">
        <f>'09월 에너지'!S345</f>
        <v>143.19999999999999</v>
      </c>
      <c r="AA343" s="1017"/>
      <c r="AB343" s="1208"/>
      <c r="AC343" s="1208"/>
      <c r="AD343" s="1208"/>
      <c r="AE343" s="1208"/>
      <c r="AF343" s="1208"/>
      <c r="AG343" s="1018">
        <f>'09월 화학성분'!AM343</f>
        <v>2966</v>
      </c>
      <c r="AH343" s="1006">
        <f t="shared" si="75"/>
        <v>13</v>
      </c>
      <c r="AI343" s="1019">
        <v>1575</v>
      </c>
      <c r="AJ343" s="1020">
        <v>0</v>
      </c>
      <c r="AK343" s="1021">
        <v>309</v>
      </c>
      <c r="AL343" s="1022">
        <v>15</v>
      </c>
      <c r="AM343" s="1155">
        <f>IF(AT343="","",3*'09월 에너지'!S345*(1/(3+7.8*(100-AT343)/AT343)))</f>
        <v>0.55417956656346756</v>
      </c>
      <c r="AN343" s="1023">
        <v>0.17500000000000002</v>
      </c>
      <c r="AO343" s="1024"/>
      <c r="AP343" s="1025"/>
      <c r="AQ343" s="1025"/>
      <c r="AR343" s="1149" t="str">
        <f t="shared" si="76"/>
        <v/>
      </c>
      <c r="AS343" s="1093">
        <f t="shared" si="87"/>
        <v>13</v>
      </c>
      <c r="AT343" s="1156">
        <v>1</v>
      </c>
      <c r="AU343" s="449"/>
      <c r="AV343" s="1205"/>
    </row>
    <row r="344" spans="1:48" ht="16.5" customHeight="1">
      <c r="A344" s="1005">
        <f t="shared" si="77"/>
        <v>46277</v>
      </c>
      <c r="B344" s="1005">
        <f t="shared" si="78"/>
        <v>46277</v>
      </c>
      <c r="C344" s="1150">
        <f t="shared" si="79"/>
        <v>24</v>
      </c>
      <c r="D344" s="1150">
        <f t="shared" si="80"/>
        <v>333</v>
      </c>
      <c r="E344" s="1006" t="str">
        <f t="shared" si="81"/>
        <v>A</v>
      </c>
      <c r="F344" s="1007" t="str">
        <f t="shared" si="82"/>
        <v>A</v>
      </c>
      <c r="G344" s="1008">
        <f t="shared" si="83"/>
        <v>85546</v>
      </c>
      <c r="H344" s="1138">
        <f t="shared" si="84"/>
        <v>0.90347222222222223</v>
      </c>
      <c r="I344" s="1009">
        <v>0.90555555555555556</v>
      </c>
      <c r="J344" s="1010">
        <f t="shared" si="85"/>
        <v>50.999999999999979</v>
      </c>
      <c r="K344" s="1011"/>
      <c r="L344" s="1012">
        <v>4</v>
      </c>
      <c r="M344" s="1013"/>
      <c r="N344" s="1014" t="str">
        <f t="shared" si="86"/>
        <v/>
      </c>
      <c r="O344" s="1323" t="s">
        <v>802</v>
      </c>
      <c r="P344" s="1324"/>
      <c r="Q344" s="1324"/>
      <c r="R344" s="1324"/>
      <c r="S344" s="1324"/>
      <c r="T344" s="1325"/>
      <c r="U344" s="1015">
        <v>1.8</v>
      </c>
      <c r="V344" s="1015"/>
      <c r="W344" s="1015"/>
      <c r="X344" s="1015"/>
      <c r="Y344" s="1015">
        <v>2.7</v>
      </c>
      <c r="Z344" s="1016">
        <f>'09월 에너지'!S346</f>
        <v>144.80000000000001</v>
      </c>
      <c r="AA344" s="1017"/>
      <c r="AB344" s="1208"/>
      <c r="AC344" s="1208"/>
      <c r="AD344" s="1208"/>
      <c r="AE344" s="1208"/>
      <c r="AF344" s="1208"/>
      <c r="AG344" s="1018">
        <f>'09월 화학성분'!AM344</f>
        <v>2150</v>
      </c>
      <c r="AH344" s="1006">
        <f t="shared" si="75"/>
        <v>14</v>
      </c>
      <c r="AI344" s="1019">
        <v>1585</v>
      </c>
      <c r="AJ344" s="1020">
        <v>0</v>
      </c>
      <c r="AK344" s="1021" t="s">
        <v>563</v>
      </c>
      <c r="AL344" s="1022" t="s">
        <v>563</v>
      </c>
      <c r="AM344" s="1155">
        <f>IF(AT344="","",3*'09월 에너지'!S346*(1/(3+7.8*(100-AT344)/AT344)))</f>
        <v>1.013690105787181</v>
      </c>
      <c r="AN344" s="1023">
        <v>0.15902777777777777</v>
      </c>
      <c r="AO344" s="1024"/>
      <c r="AP344" s="1025"/>
      <c r="AQ344" s="1025"/>
      <c r="AR344" s="1149">
        <f t="shared" si="76"/>
        <v>3</v>
      </c>
      <c r="AS344" s="1093" t="str">
        <f t="shared" si="87"/>
        <v xml:space="preserve"> </v>
      </c>
      <c r="AT344" s="1156">
        <v>1.8</v>
      </c>
      <c r="AU344" s="449"/>
      <c r="AV344" s="1205"/>
    </row>
    <row r="345" spans="1:48" ht="16.5" customHeight="1">
      <c r="A345" s="1005">
        <f t="shared" si="77"/>
        <v>46277</v>
      </c>
      <c r="B345" s="1005">
        <f t="shared" si="78"/>
        <v>46277</v>
      </c>
      <c r="C345" s="1150">
        <f t="shared" si="79"/>
        <v>25</v>
      </c>
      <c r="D345" s="1150">
        <f t="shared" si="80"/>
        <v>334</v>
      </c>
      <c r="E345" s="1006" t="str">
        <f t="shared" si="81"/>
        <v>A</v>
      </c>
      <c r="F345" s="1007" t="str">
        <f t="shared" si="82"/>
        <v>B</v>
      </c>
      <c r="G345" s="1008">
        <f t="shared" si="83"/>
        <v>85547</v>
      </c>
      <c r="H345" s="1138">
        <f t="shared" si="84"/>
        <v>0.93888888888888888</v>
      </c>
      <c r="I345" s="1009">
        <v>0.93611111111111101</v>
      </c>
      <c r="J345" s="1010">
        <f t="shared" si="85"/>
        <v>43.999999999999844</v>
      </c>
      <c r="K345" s="1011"/>
      <c r="L345" s="1012"/>
      <c r="M345" s="1013"/>
      <c r="N345" s="1014" t="str">
        <f t="shared" si="86"/>
        <v/>
      </c>
      <c r="O345" s="1326" t="s">
        <v>793</v>
      </c>
      <c r="P345" s="1327"/>
      <c r="Q345" s="1327"/>
      <c r="R345" s="1327"/>
      <c r="S345" s="1327"/>
      <c r="T345" s="1328"/>
      <c r="U345" s="1015">
        <v>1.8</v>
      </c>
      <c r="V345" s="1015"/>
      <c r="W345" s="1015"/>
      <c r="X345" s="1015"/>
      <c r="Y345" s="1015">
        <v>2.6</v>
      </c>
      <c r="Z345" s="1016">
        <f>'09월 에너지'!S347</f>
        <v>144.1</v>
      </c>
      <c r="AA345" s="1017"/>
      <c r="AB345" s="1208"/>
      <c r="AC345" s="1208"/>
      <c r="AD345" s="1208"/>
      <c r="AE345" s="1208"/>
      <c r="AF345" s="1208"/>
      <c r="AG345" s="1018">
        <f>'09월 화학성분'!AM345</f>
        <v>1826</v>
      </c>
      <c r="AH345" s="1006">
        <f t="shared" si="75"/>
        <v>15</v>
      </c>
      <c r="AI345" s="1019">
        <v>1558</v>
      </c>
      <c r="AJ345" s="1020">
        <v>0</v>
      </c>
      <c r="AK345" s="1021">
        <v>452</v>
      </c>
      <c r="AL345" s="1022">
        <v>9</v>
      </c>
      <c r="AM345" s="1155">
        <f>IF(AT345="","",3*'09월 에너지'!S347*(1/(3+7.8*(100-AT345)/AT345)))</f>
        <v>1.1222741433021806</v>
      </c>
      <c r="AN345" s="1023">
        <v>0.17500000000000002</v>
      </c>
      <c r="AO345" s="1024"/>
      <c r="AP345" s="1025"/>
      <c r="AQ345" s="1025"/>
      <c r="AR345" s="1149" t="str">
        <f t="shared" si="76"/>
        <v/>
      </c>
      <c r="AS345" s="1093">
        <f t="shared" si="87"/>
        <v>14</v>
      </c>
      <c r="AT345" s="1156">
        <v>2</v>
      </c>
      <c r="AU345" s="449"/>
      <c r="AV345" s="1205"/>
    </row>
    <row r="346" spans="1:48" ht="16.5" customHeight="1">
      <c r="A346" s="1005">
        <f t="shared" si="77"/>
        <v>46277</v>
      </c>
      <c r="B346" s="1005">
        <f t="shared" si="78"/>
        <v>46277</v>
      </c>
      <c r="C346" s="1150">
        <f t="shared" si="79"/>
        <v>26</v>
      </c>
      <c r="D346" s="1150">
        <f t="shared" si="80"/>
        <v>335</v>
      </c>
      <c r="E346" s="1006" t="s">
        <v>624</v>
      </c>
      <c r="F346" s="1007" t="str">
        <f t="shared" si="82"/>
        <v>A</v>
      </c>
      <c r="G346" s="1008">
        <f t="shared" si="83"/>
        <v>85548</v>
      </c>
      <c r="H346" s="1138">
        <f t="shared" si="84"/>
        <v>0.96944444444444433</v>
      </c>
      <c r="I346" s="1009">
        <v>0.96736111111111101</v>
      </c>
      <c r="J346" s="1010">
        <f t="shared" si="85"/>
        <v>45</v>
      </c>
      <c r="K346" s="1011"/>
      <c r="L346" s="1012"/>
      <c r="M346" s="1013"/>
      <c r="N346" s="1014" t="str">
        <f t="shared" si="86"/>
        <v/>
      </c>
      <c r="O346" s="1323"/>
      <c r="P346" s="1324"/>
      <c r="Q346" s="1324"/>
      <c r="R346" s="1324"/>
      <c r="S346" s="1324"/>
      <c r="T346" s="1325"/>
      <c r="U346" s="1015">
        <v>1.8</v>
      </c>
      <c r="V346" s="1015"/>
      <c r="W346" s="1015"/>
      <c r="X346" s="1015"/>
      <c r="Y346" s="1015">
        <v>2.5</v>
      </c>
      <c r="Z346" s="1016">
        <f>'09월 에너지'!S348</f>
        <v>147.19999999999999</v>
      </c>
      <c r="AA346" s="1017"/>
      <c r="AB346" s="1208"/>
      <c r="AC346" s="1208"/>
      <c r="AD346" s="1208"/>
      <c r="AE346" s="1208"/>
      <c r="AF346" s="1208"/>
      <c r="AG346" s="1018">
        <f>'09월 화학성분'!AM346</f>
        <v>2526</v>
      </c>
      <c r="AH346" s="1006">
        <f t="shared" si="75"/>
        <v>16</v>
      </c>
      <c r="AI346" s="1019">
        <v>1558</v>
      </c>
      <c r="AJ346" s="1020">
        <v>0</v>
      </c>
      <c r="AK346" s="1021">
        <v>439</v>
      </c>
      <c r="AL346" s="1022">
        <v>9</v>
      </c>
      <c r="AM346" s="1155">
        <f>IF(AT346="","",3*'09월 에너지'!S348*(1/(3+7.8*(100-AT346)/AT346)))</f>
        <v>1.613024420788979</v>
      </c>
      <c r="AN346" s="1023">
        <v>0.14583333333333334</v>
      </c>
      <c r="AO346" s="1024"/>
      <c r="AP346" s="1025"/>
      <c r="AQ346" s="1025"/>
      <c r="AR346" s="1149">
        <f t="shared" si="76"/>
        <v>4</v>
      </c>
      <c r="AS346" s="1093" t="str">
        <f t="shared" si="87"/>
        <v xml:space="preserve"> </v>
      </c>
      <c r="AT346" s="1156">
        <v>2.8</v>
      </c>
      <c r="AU346" s="449"/>
      <c r="AV346" s="1205"/>
    </row>
    <row r="347" spans="1:48" ht="16.5" customHeight="1">
      <c r="A347" s="1005">
        <f t="shared" si="77"/>
        <v>46277</v>
      </c>
      <c r="B347" s="1005">
        <f t="shared" si="78"/>
        <v>46277</v>
      </c>
      <c r="C347" s="1150">
        <f t="shared" si="79"/>
        <v>27</v>
      </c>
      <c r="D347" s="1150">
        <f t="shared" si="80"/>
        <v>336</v>
      </c>
      <c r="E347" s="1006" t="str">
        <f t="shared" si="81"/>
        <v>B</v>
      </c>
      <c r="F347" s="1007" t="str">
        <f t="shared" si="82"/>
        <v>B</v>
      </c>
      <c r="G347" s="1008">
        <f t="shared" si="83"/>
        <v>85549</v>
      </c>
      <c r="H347" s="1138">
        <f t="shared" si="84"/>
        <v>1.0006944444444443</v>
      </c>
      <c r="I347" s="1009">
        <v>0.99930555555555556</v>
      </c>
      <c r="J347" s="1010">
        <f t="shared" si="85"/>
        <v>46.000000000000156</v>
      </c>
      <c r="K347" s="1011"/>
      <c r="L347" s="1012"/>
      <c r="M347" s="1013"/>
      <c r="N347" s="1014" t="str">
        <f t="shared" si="86"/>
        <v/>
      </c>
      <c r="O347" s="1323"/>
      <c r="P347" s="1324"/>
      <c r="Q347" s="1324"/>
      <c r="R347" s="1324"/>
      <c r="S347" s="1324"/>
      <c r="T347" s="1325"/>
      <c r="U347" s="1015">
        <v>1.8</v>
      </c>
      <c r="V347" s="1015"/>
      <c r="W347" s="1015"/>
      <c r="X347" s="1015"/>
      <c r="Y347" s="1015">
        <v>2.8</v>
      </c>
      <c r="Z347" s="1016">
        <f>'09월 에너지'!S349</f>
        <v>142.1</v>
      </c>
      <c r="AA347" s="1017"/>
      <c r="AB347" s="1208"/>
      <c r="AC347" s="1208"/>
      <c r="AD347" s="1208"/>
      <c r="AE347" s="1208"/>
      <c r="AF347" s="1208"/>
      <c r="AG347" s="1018">
        <f>'09월 화학성분'!AM347</f>
        <v>1012</v>
      </c>
      <c r="AH347" s="1006">
        <f t="shared" si="75"/>
        <v>17</v>
      </c>
      <c r="AI347" s="1019">
        <v>1583</v>
      </c>
      <c r="AJ347" s="1020">
        <v>0</v>
      </c>
      <c r="AK347" s="1021">
        <v>458</v>
      </c>
      <c r="AL347" s="1022">
        <v>9</v>
      </c>
      <c r="AM347" s="1155">
        <f>IF(AT347="","",3*'09월 에너지'!S349*(1/(3+7.8*(100-AT347)/AT347)))</f>
        <v>0.60528965303593552</v>
      </c>
      <c r="AN347" s="1023">
        <v>0.14027777777777778</v>
      </c>
      <c r="AO347" s="1024"/>
      <c r="AP347" s="1025"/>
      <c r="AQ347" s="1025"/>
      <c r="AR347" s="1149" t="str">
        <f t="shared" si="76"/>
        <v/>
      </c>
      <c r="AS347" s="1093">
        <f t="shared" si="87"/>
        <v>15</v>
      </c>
      <c r="AT347" s="1156">
        <v>1.1000000000000001</v>
      </c>
      <c r="AU347" s="449"/>
      <c r="AV347" s="1205"/>
    </row>
    <row r="348" spans="1:48" ht="16.5" customHeight="1">
      <c r="A348" s="1005">
        <f t="shared" si="77"/>
        <v>46277</v>
      </c>
      <c r="B348" s="1005">
        <f t="shared" si="78"/>
        <v>46277</v>
      </c>
      <c r="C348" s="1150">
        <f t="shared" si="79"/>
        <v>28</v>
      </c>
      <c r="D348" s="1150">
        <f t="shared" si="80"/>
        <v>337</v>
      </c>
      <c r="E348" s="1006" t="str">
        <f t="shared" si="81"/>
        <v>B</v>
      </c>
      <c r="F348" s="1007" t="str">
        <f t="shared" si="82"/>
        <v>A</v>
      </c>
      <c r="G348" s="1008">
        <f t="shared" si="83"/>
        <v>85550</v>
      </c>
      <c r="H348" s="1138">
        <f t="shared" si="84"/>
        <v>1.0326388888888889</v>
      </c>
      <c r="I348" s="1009">
        <v>3.125E-2</v>
      </c>
      <c r="J348" s="1010">
        <f t="shared" si="85"/>
        <v>46</v>
      </c>
      <c r="K348" s="1011"/>
      <c r="L348" s="1012"/>
      <c r="M348" s="1013"/>
      <c r="N348" s="1014" t="str">
        <f t="shared" si="86"/>
        <v/>
      </c>
      <c r="O348" s="1323"/>
      <c r="P348" s="1324"/>
      <c r="Q348" s="1324"/>
      <c r="R348" s="1324"/>
      <c r="S348" s="1324"/>
      <c r="T348" s="1325"/>
      <c r="U348" s="1015">
        <v>1.8</v>
      </c>
      <c r="V348" s="1015"/>
      <c r="W348" s="1015"/>
      <c r="X348" s="1015"/>
      <c r="Y348" s="1015" t="s">
        <v>599</v>
      </c>
      <c r="Z348" s="1016">
        <f>'09월 에너지'!S350</f>
        <v>148.4</v>
      </c>
      <c r="AA348" s="1017"/>
      <c r="AB348" s="1208"/>
      <c r="AC348" s="1208"/>
      <c r="AD348" s="1208"/>
      <c r="AE348" s="1208"/>
      <c r="AF348" s="1208"/>
      <c r="AG348" s="1018">
        <f>'09월 화학성분'!AM348</f>
        <v>1706</v>
      </c>
      <c r="AH348" s="1006">
        <f t="shared" si="75"/>
        <v>18</v>
      </c>
      <c r="AI348" s="1019">
        <v>1576</v>
      </c>
      <c r="AJ348" s="1020">
        <v>60</v>
      </c>
      <c r="AK348" s="1021">
        <v>473</v>
      </c>
      <c r="AL348" s="1022">
        <v>9</v>
      </c>
      <c r="AM348" s="1155">
        <f>IF(AT348="","",3*'09월 에너지'!S350*(1/(3+7.8*(100-AT348)/AT348)))</f>
        <v>1.8037954830614806</v>
      </c>
      <c r="AN348" s="1023">
        <v>0.14583333333333334</v>
      </c>
      <c r="AO348" s="1024"/>
      <c r="AP348" s="1025"/>
      <c r="AQ348" s="1025"/>
      <c r="AR348" s="1149">
        <f t="shared" si="76"/>
        <v>5</v>
      </c>
      <c r="AS348" s="1093" t="str">
        <f t="shared" si="87"/>
        <v xml:space="preserve"> </v>
      </c>
      <c r="AT348" s="1156">
        <v>3.1</v>
      </c>
      <c r="AU348" s="449"/>
      <c r="AV348" s="1205"/>
    </row>
    <row r="349" spans="1:48" ht="16.5" customHeight="1">
      <c r="A349" s="1005">
        <f t="shared" si="77"/>
        <v>46277</v>
      </c>
      <c r="B349" s="1005">
        <f t="shared" si="78"/>
        <v>46277</v>
      </c>
      <c r="C349" s="1150">
        <f t="shared" si="79"/>
        <v>29</v>
      </c>
      <c r="D349" s="1150">
        <f t="shared" si="80"/>
        <v>338</v>
      </c>
      <c r="E349" s="1006" t="str">
        <f t="shared" si="81"/>
        <v>B</v>
      </c>
      <c r="F349" s="1007" t="str">
        <f t="shared" si="82"/>
        <v>B</v>
      </c>
      <c r="G349" s="1008">
        <f t="shared" si="83"/>
        <v>85551</v>
      </c>
      <c r="H349" s="1138">
        <f t="shared" si="84"/>
        <v>6.4583333333333326E-2</v>
      </c>
      <c r="I349" s="1009">
        <v>6.458333333333334E-2</v>
      </c>
      <c r="J349" s="1010">
        <f t="shared" si="85"/>
        <v>48.000000000000007</v>
      </c>
      <c r="K349" s="1011"/>
      <c r="L349" s="1012"/>
      <c r="M349" s="1013"/>
      <c r="N349" s="1014" t="str">
        <f t="shared" si="86"/>
        <v/>
      </c>
      <c r="O349" s="1326" t="s">
        <v>794</v>
      </c>
      <c r="P349" s="1327"/>
      <c r="Q349" s="1327"/>
      <c r="R349" s="1327"/>
      <c r="S349" s="1327"/>
      <c r="T349" s="1328"/>
      <c r="U349" s="1015">
        <v>1.8</v>
      </c>
      <c r="V349" s="1015"/>
      <c r="W349" s="1015"/>
      <c r="X349" s="1015"/>
      <c r="Y349" s="1015">
        <v>2.5</v>
      </c>
      <c r="Z349" s="1016">
        <f>'09월 에너지'!S351</f>
        <v>143.80000000000001</v>
      </c>
      <c r="AA349" s="1017"/>
      <c r="AB349" s="1208"/>
      <c r="AC349" s="1208"/>
      <c r="AD349" s="1208"/>
      <c r="AE349" s="1208"/>
      <c r="AF349" s="1208"/>
      <c r="AG349" s="1018">
        <f>'09월 화학성분'!AM349</f>
        <v>1423</v>
      </c>
      <c r="AH349" s="1006">
        <f t="shared" si="75"/>
        <v>19</v>
      </c>
      <c r="AI349" s="1019">
        <v>1562</v>
      </c>
      <c r="AJ349" s="1020">
        <v>0</v>
      </c>
      <c r="AK349" s="1021">
        <v>518</v>
      </c>
      <c r="AL349" s="1022">
        <v>8</v>
      </c>
      <c r="AM349" s="1155">
        <f>IF(AT349="","",3*'09월 에너지'!S351*(1/(3+7.8*(100-AT349)/AT349)))</f>
        <v>0.78103662321539424</v>
      </c>
      <c r="AN349" s="1023">
        <v>0.14930555555555555</v>
      </c>
      <c r="AO349" s="1024"/>
      <c r="AP349" s="1025"/>
      <c r="AQ349" s="1025"/>
      <c r="AR349" s="1149" t="str">
        <f t="shared" si="76"/>
        <v/>
      </c>
      <c r="AS349" s="1093">
        <f t="shared" si="87"/>
        <v>16</v>
      </c>
      <c r="AT349" s="1156">
        <v>1.4</v>
      </c>
      <c r="AU349" s="449"/>
      <c r="AV349" s="1205"/>
    </row>
    <row r="350" spans="1:48" ht="16.5" customHeight="1">
      <c r="A350" s="1005">
        <f t="shared" si="77"/>
        <v>46277</v>
      </c>
      <c r="B350" s="1005">
        <f t="shared" si="78"/>
        <v>46277</v>
      </c>
      <c r="C350" s="1150">
        <f t="shared" si="79"/>
        <v>30</v>
      </c>
      <c r="D350" s="1150">
        <f t="shared" si="80"/>
        <v>339</v>
      </c>
      <c r="E350" s="1006" t="str">
        <f t="shared" si="81"/>
        <v>B</v>
      </c>
      <c r="F350" s="1007" t="str">
        <f t="shared" si="82"/>
        <v>A</v>
      </c>
      <c r="G350" s="1008">
        <f t="shared" si="83"/>
        <v>85552</v>
      </c>
      <c r="H350" s="1138">
        <f t="shared" si="84"/>
        <v>9.791666666666668E-2</v>
      </c>
      <c r="I350" s="1009">
        <v>9.7222222222222224E-2</v>
      </c>
      <c r="J350" s="1010">
        <f t="shared" si="85"/>
        <v>46.999999999999993</v>
      </c>
      <c r="K350" s="1011"/>
      <c r="L350" s="1012"/>
      <c r="M350" s="1013"/>
      <c r="N350" s="1014" t="str">
        <f t="shared" si="86"/>
        <v/>
      </c>
      <c r="O350" s="1323"/>
      <c r="P350" s="1324"/>
      <c r="Q350" s="1324"/>
      <c r="R350" s="1324"/>
      <c r="S350" s="1324"/>
      <c r="T350" s="1325"/>
      <c r="U350" s="1015">
        <v>1.8</v>
      </c>
      <c r="V350" s="1015"/>
      <c r="W350" s="1015"/>
      <c r="X350" s="1015"/>
      <c r="Y350" s="1015" t="s">
        <v>651</v>
      </c>
      <c r="Z350" s="1016">
        <f>'09월 에너지'!S352</f>
        <v>147.69999999999999</v>
      </c>
      <c r="AA350" s="1017"/>
      <c r="AB350" s="1208"/>
      <c r="AC350" s="1208"/>
      <c r="AD350" s="1208"/>
      <c r="AE350" s="1208"/>
      <c r="AF350" s="1208"/>
      <c r="AG350" s="1018">
        <f>'09월 화학성분'!AM350</f>
        <v>1952</v>
      </c>
      <c r="AH350" s="1006">
        <f t="shared" si="75"/>
        <v>20</v>
      </c>
      <c r="AI350" s="1019">
        <v>1570</v>
      </c>
      <c r="AJ350" s="1020">
        <v>0</v>
      </c>
      <c r="AK350" s="1021">
        <v>682</v>
      </c>
      <c r="AL350" s="1022">
        <v>5</v>
      </c>
      <c r="AM350" s="1155">
        <f>IF(AT350="","",3*'09월 에너지'!S352*(1/(3+7.8*(100-AT350)/AT350)))</f>
        <v>2.0914096916299556</v>
      </c>
      <c r="AN350" s="1023">
        <v>0.13472222222222222</v>
      </c>
      <c r="AO350" s="1024"/>
      <c r="AP350" s="1025"/>
      <c r="AQ350" s="1025"/>
      <c r="AR350" s="1149">
        <f t="shared" si="76"/>
        <v>6</v>
      </c>
      <c r="AS350" s="1093" t="str">
        <f t="shared" si="87"/>
        <v xml:space="preserve"> </v>
      </c>
      <c r="AT350" s="1156">
        <v>3.6</v>
      </c>
      <c r="AU350" s="449"/>
      <c r="AV350" s="1205"/>
    </row>
    <row r="351" spans="1:48" ht="16.5" customHeight="1">
      <c r="A351" s="1005">
        <f t="shared" si="77"/>
        <v>46277</v>
      </c>
      <c r="B351" s="1005">
        <f t="shared" si="78"/>
        <v>46277</v>
      </c>
      <c r="C351" s="1150">
        <f t="shared" si="79"/>
        <v>31</v>
      </c>
      <c r="D351" s="1150">
        <f t="shared" si="80"/>
        <v>340</v>
      </c>
      <c r="E351" s="1006" t="str">
        <f t="shared" si="81"/>
        <v>B</v>
      </c>
      <c r="F351" s="1007" t="str">
        <f t="shared" si="82"/>
        <v>B</v>
      </c>
      <c r="G351" s="1008">
        <f t="shared" si="83"/>
        <v>85553</v>
      </c>
      <c r="H351" s="1138">
        <f t="shared" si="84"/>
        <v>0.13055555555555556</v>
      </c>
      <c r="I351" s="1009">
        <v>0.13055555555555556</v>
      </c>
      <c r="J351" s="1010">
        <f t="shared" si="85"/>
        <v>48.000000000000007</v>
      </c>
      <c r="K351" s="1011"/>
      <c r="L351" s="1012"/>
      <c r="M351" s="1013"/>
      <c r="N351" s="1014" t="str">
        <f t="shared" si="86"/>
        <v/>
      </c>
      <c r="O351" s="1323" t="s">
        <v>803</v>
      </c>
      <c r="P351" s="1324"/>
      <c r="Q351" s="1324"/>
      <c r="R351" s="1324"/>
      <c r="S351" s="1324"/>
      <c r="T351" s="1325"/>
      <c r="U351" s="1015">
        <v>1.8</v>
      </c>
      <c r="V351" s="1015"/>
      <c r="W351" s="1015"/>
      <c r="X351" s="1015"/>
      <c r="Y351" s="1015">
        <v>2.4</v>
      </c>
      <c r="Z351" s="1016">
        <f>'09월 에너지'!S353</f>
        <v>144.6</v>
      </c>
      <c r="AA351" s="1017">
        <v>1901</v>
      </c>
      <c r="AB351" s="1208" t="s">
        <v>573</v>
      </c>
      <c r="AC351" s="1208" t="s">
        <v>532</v>
      </c>
      <c r="AD351" s="1208" t="s">
        <v>532</v>
      </c>
      <c r="AE351" s="1208"/>
      <c r="AF351" s="1208" t="s">
        <v>607</v>
      </c>
      <c r="AG351" s="1018">
        <f>'09월 화학성분'!AM351</f>
        <v>1596</v>
      </c>
      <c r="AH351" s="1006">
        <f t="shared" si="75"/>
        <v>21</v>
      </c>
      <c r="AI351" s="1019">
        <v>1556</v>
      </c>
      <c r="AJ351" s="1020">
        <v>0</v>
      </c>
      <c r="AK351" s="1021">
        <v>320</v>
      </c>
      <c r="AL351" s="1022">
        <v>14</v>
      </c>
      <c r="AM351" s="1155">
        <f>IF(AT351="","",3*'09월 에너지'!S353*(1/(3+7.8*(100-AT351)/AT351)))</f>
        <v>0.84200310559006208</v>
      </c>
      <c r="AN351" s="1023">
        <v>0.15625</v>
      </c>
      <c r="AO351" s="1024" t="s">
        <v>587</v>
      </c>
      <c r="AP351" s="1025">
        <v>2000021</v>
      </c>
      <c r="AQ351" s="1025">
        <v>2140</v>
      </c>
      <c r="AR351" s="1149" t="str">
        <f t="shared" si="76"/>
        <v/>
      </c>
      <c r="AS351" s="1093">
        <v>1</v>
      </c>
      <c r="AT351" s="1156">
        <v>1.5</v>
      </c>
      <c r="AU351" s="449"/>
      <c r="AV351" s="1205"/>
    </row>
    <row r="352" spans="1:48" ht="16.5" customHeight="1">
      <c r="A352" s="1005">
        <v>46278</v>
      </c>
      <c r="B352" s="1005">
        <f t="shared" si="78"/>
        <v>46277</v>
      </c>
      <c r="C352" s="1150">
        <f t="shared" si="79"/>
        <v>1</v>
      </c>
      <c r="D352" s="1150">
        <f t="shared" si="80"/>
        <v>341</v>
      </c>
      <c r="E352" s="1006" t="str">
        <f t="shared" si="81"/>
        <v>B</v>
      </c>
      <c r="F352" s="1007" t="str">
        <f t="shared" si="82"/>
        <v>A</v>
      </c>
      <c r="G352" s="1008">
        <f t="shared" si="83"/>
        <v>85554</v>
      </c>
      <c r="H352" s="1138">
        <f t="shared" si="84"/>
        <v>0.16388888888888889</v>
      </c>
      <c r="I352" s="1009">
        <v>0.16388888888888889</v>
      </c>
      <c r="J352" s="1010">
        <f t="shared" si="85"/>
        <v>47.999999999999986</v>
      </c>
      <c r="K352" s="1011"/>
      <c r="L352" s="1012"/>
      <c r="M352" s="1013"/>
      <c r="N352" s="1014" t="str">
        <f t="shared" si="86"/>
        <v/>
      </c>
      <c r="O352" s="1323"/>
      <c r="P352" s="1324"/>
      <c r="Q352" s="1324"/>
      <c r="R352" s="1324"/>
      <c r="S352" s="1324"/>
      <c r="T352" s="1325"/>
      <c r="U352" s="1015">
        <v>1.8</v>
      </c>
      <c r="V352" s="1015"/>
      <c r="W352" s="1015"/>
      <c r="X352" s="1015"/>
      <c r="Y352" s="1015" t="s">
        <v>651</v>
      </c>
      <c r="Z352" s="1016">
        <f>'09월 에너지'!S354</f>
        <v>143.9</v>
      </c>
      <c r="AA352" s="1017"/>
      <c r="AB352" s="1208"/>
      <c r="AC352" s="1208"/>
      <c r="AD352" s="1208"/>
      <c r="AE352" s="1208"/>
      <c r="AF352" s="1208"/>
      <c r="AG352" s="1018">
        <f>'09월 화학성분'!AM352</f>
        <v>2215</v>
      </c>
      <c r="AH352" s="1006">
        <f t="shared" si="75"/>
        <v>22</v>
      </c>
      <c r="AI352" s="1019">
        <v>1561</v>
      </c>
      <c r="AJ352" s="1020">
        <v>0</v>
      </c>
      <c r="AK352" s="1021">
        <v>1032</v>
      </c>
      <c r="AL352" s="1022">
        <v>3</v>
      </c>
      <c r="AM352" s="1155">
        <f>IF(AT352="","",3*'09월 에너지'!S354*(1/(3+7.8*(100-AT352)/AT352)))</f>
        <v>2.5030044275774834</v>
      </c>
      <c r="AN352" s="1023">
        <v>0.22708333333333333</v>
      </c>
      <c r="AO352" s="1024"/>
      <c r="AP352" s="1025"/>
      <c r="AQ352" s="1025"/>
      <c r="AR352" s="1149">
        <f t="shared" si="76"/>
        <v>7</v>
      </c>
      <c r="AS352" s="1093" t="str">
        <f t="shared" si="87"/>
        <v xml:space="preserve"> </v>
      </c>
      <c r="AT352" s="1156">
        <v>4.4000000000000004</v>
      </c>
      <c r="AU352" s="449"/>
      <c r="AV352" s="1205"/>
    </row>
    <row r="353" spans="1:48" ht="16.5" customHeight="1">
      <c r="A353" s="1005">
        <f t="shared" si="77"/>
        <v>46278</v>
      </c>
      <c r="B353" s="1005">
        <f t="shared" si="78"/>
        <v>46277</v>
      </c>
      <c r="C353" s="1150">
        <f t="shared" si="79"/>
        <v>2</v>
      </c>
      <c r="D353" s="1150">
        <f t="shared" si="80"/>
        <v>342</v>
      </c>
      <c r="E353" s="1006" t="str">
        <f t="shared" si="81"/>
        <v>B</v>
      </c>
      <c r="F353" s="1007" t="str">
        <f t="shared" si="82"/>
        <v>B</v>
      </c>
      <c r="G353" s="1008">
        <f t="shared" si="83"/>
        <v>85555</v>
      </c>
      <c r="H353" s="1138">
        <f t="shared" si="84"/>
        <v>0.19722222222222222</v>
      </c>
      <c r="I353" s="1009">
        <v>0.19583333333333333</v>
      </c>
      <c r="J353" s="1010">
        <f t="shared" si="85"/>
        <v>46</v>
      </c>
      <c r="K353" s="1011"/>
      <c r="L353" s="1012"/>
      <c r="M353" s="1013"/>
      <c r="N353" s="1014" t="str">
        <f t="shared" si="86"/>
        <v/>
      </c>
      <c r="O353" s="1326" t="s">
        <v>807</v>
      </c>
      <c r="P353" s="1327"/>
      <c r="Q353" s="1327"/>
      <c r="R353" s="1327"/>
      <c r="S353" s="1327"/>
      <c r="T353" s="1328"/>
      <c r="U353" s="1015">
        <v>1.8</v>
      </c>
      <c r="V353" s="1015"/>
      <c r="W353" s="1015"/>
      <c r="X353" s="1015"/>
      <c r="Y353" s="1015"/>
      <c r="Z353" s="1016">
        <f>'09월 에너지'!S355</f>
        <v>144.6</v>
      </c>
      <c r="AA353" s="1017"/>
      <c r="AB353" s="1208"/>
      <c r="AC353" s="1208"/>
      <c r="AD353" s="1208"/>
      <c r="AE353" s="1208"/>
      <c r="AF353" s="1208"/>
      <c r="AG353" s="1018">
        <f>'09월 화학성분'!AM353</f>
        <v>2011</v>
      </c>
      <c r="AH353" s="1006">
        <f t="shared" si="75"/>
        <v>23</v>
      </c>
      <c r="AI353" s="1019">
        <v>1608</v>
      </c>
      <c r="AJ353" s="1020">
        <v>0</v>
      </c>
      <c r="AK353" s="1021" t="s">
        <v>599</v>
      </c>
      <c r="AL353" s="1022"/>
      <c r="AM353" s="1155">
        <f>IF(AT353="","",3*'09월 에너지'!S355*(1/(3+7.8*(100-AT353)/AT353)))</f>
        <v>0.95545708955223874</v>
      </c>
      <c r="AN353" s="1023">
        <v>0.15902777777777777</v>
      </c>
      <c r="AO353" s="1024"/>
      <c r="AP353" s="1025"/>
      <c r="AQ353" s="1025"/>
      <c r="AR353" s="1149" t="str">
        <f t="shared" si="76"/>
        <v/>
      </c>
      <c r="AS353" s="1093">
        <f t="shared" si="87"/>
        <v>2</v>
      </c>
      <c r="AT353" s="1156">
        <v>1.7</v>
      </c>
      <c r="AU353" s="449"/>
      <c r="AV353" s="1205"/>
    </row>
    <row r="354" spans="1:48" ht="16.5" customHeight="1">
      <c r="A354" s="1005">
        <f t="shared" si="77"/>
        <v>46278</v>
      </c>
      <c r="B354" s="1005">
        <f t="shared" si="78"/>
        <v>46277</v>
      </c>
      <c r="C354" s="1150">
        <f t="shared" si="79"/>
        <v>3</v>
      </c>
      <c r="D354" s="1150">
        <f t="shared" si="80"/>
        <v>343</v>
      </c>
      <c r="E354" s="1006" t="str">
        <f t="shared" si="81"/>
        <v>B</v>
      </c>
      <c r="F354" s="1007" t="str">
        <f t="shared" si="82"/>
        <v>A</v>
      </c>
      <c r="G354" s="1008">
        <f t="shared" si="83"/>
        <v>85556</v>
      </c>
      <c r="H354" s="1138">
        <f t="shared" si="84"/>
        <v>0.22916666666666666</v>
      </c>
      <c r="I354" s="1009">
        <v>0.23055555555555554</v>
      </c>
      <c r="J354" s="1010">
        <f t="shared" si="85"/>
        <v>49.999999999999986</v>
      </c>
      <c r="K354" s="1011"/>
      <c r="L354" s="1012"/>
      <c r="M354" s="1013"/>
      <c r="N354" s="1014" t="str">
        <f t="shared" si="86"/>
        <v/>
      </c>
      <c r="O354" s="1323" t="s">
        <v>571</v>
      </c>
      <c r="P354" s="1324"/>
      <c r="Q354" s="1324"/>
      <c r="R354" s="1324"/>
      <c r="S354" s="1324"/>
      <c r="T354" s="1325"/>
      <c r="U354" s="1015">
        <v>1.8</v>
      </c>
      <c r="V354" s="1015"/>
      <c r="W354" s="1015"/>
      <c r="X354" s="1015"/>
      <c r="Y354" s="1015"/>
      <c r="Z354" s="1016">
        <f>'09월 에너지'!S356</f>
        <v>145</v>
      </c>
      <c r="AA354" s="1017">
        <v>2501</v>
      </c>
      <c r="AB354" s="1208" t="s">
        <v>573</v>
      </c>
      <c r="AC354" s="1208" t="s">
        <v>532</v>
      </c>
      <c r="AD354" s="1208" t="s">
        <v>532</v>
      </c>
      <c r="AE354" s="1208"/>
      <c r="AF354" s="1208" t="s">
        <v>607</v>
      </c>
      <c r="AG354" s="1018">
        <f>'09월 화학성분'!AM354</f>
        <v>3208</v>
      </c>
      <c r="AH354" s="1006">
        <f t="shared" si="75"/>
        <v>24</v>
      </c>
      <c r="AI354" s="1019">
        <v>1581</v>
      </c>
      <c r="AJ354" s="1020">
        <v>0</v>
      </c>
      <c r="AK354" s="1021">
        <v>632</v>
      </c>
      <c r="AL354" s="1022">
        <v>6</v>
      </c>
      <c r="AM354" s="1155">
        <f>IF(AT354="","",3*'09월 에너지'!S356*(1/(3+7.8*(100-AT354)/AT354)))</f>
        <v>1.072151307596513</v>
      </c>
      <c r="AN354" s="1023">
        <v>0.1451388888888889</v>
      </c>
      <c r="AO354" s="1024"/>
      <c r="AP354" s="1025"/>
      <c r="AQ354" s="1025"/>
      <c r="AR354" s="1149">
        <f t="shared" si="76"/>
        <v>8</v>
      </c>
      <c r="AS354" s="1093" t="str">
        <f t="shared" si="87"/>
        <v xml:space="preserve"> </v>
      </c>
      <c r="AT354" s="1156">
        <v>1.9</v>
      </c>
      <c r="AU354" s="449"/>
      <c r="AV354" s="1205"/>
    </row>
    <row r="355" spans="1:48" ht="16.5" customHeight="1">
      <c r="A355" s="1005">
        <f t="shared" si="77"/>
        <v>46278</v>
      </c>
      <c r="B355" s="1005">
        <f t="shared" si="78"/>
        <v>46277</v>
      </c>
      <c r="C355" s="1150">
        <f t="shared" si="79"/>
        <v>4</v>
      </c>
      <c r="D355" s="1150">
        <f t="shared" si="80"/>
        <v>344</v>
      </c>
      <c r="E355" s="1006" t="str">
        <f t="shared" si="81"/>
        <v>B</v>
      </c>
      <c r="F355" s="1007" t="str">
        <f t="shared" si="82"/>
        <v>B</v>
      </c>
      <c r="G355" s="1008">
        <f t="shared" si="83"/>
        <v>85557</v>
      </c>
      <c r="H355" s="1138">
        <f t="shared" si="84"/>
        <v>0.2638888888888889</v>
      </c>
      <c r="I355" s="1009">
        <v>0.26597222222222222</v>
      </c>
      <c r="J355" s="1010">
        <f t="shared" si="85"/>
        <v>51.000000000000021</v>
      </c>
      <c r="K355" s="1011"/>
      <c r="L355" s="1012"/>
      <c r="M355" s="1013"/>
      <c r="N355" s="1014" t="str">
        <f t="shared" si="86"/>
        <v/>
      </c>
      <c r="O355" s="1323" t="s">
        <v>804</v>
      </c>
      <c r="P355" s="1324"/>
      <c r="Q355" s="1324"/>
      <c r="R355" s="1324"/>
      <c r="S355" s="1324"/>
      <c r="T355" s="1325"/>
      <c r="U355" s="1015">
        <v>1.8</v>
      </c>
      <c r="V355" s="1015"/>
      <c r="W355" s="1015"/>
      <c r="X355" s="1015"/>
      <c r="Y355" s="1015"/>
      <c r="Z355" s="1016">
        <f>'09월 에너지'!S357</f>
        <v>146.30000000000001</v>
      </c>
      <c r="AA355" s="1017"/>
      <c r="AB355" s="1208"/>
      <c r="AC355" s="1208"/>
      <c r="AD355" s="1208"/>
      <c r="AE355" s="1208"/>
      <c r="AF355" s="1208"/>
      <c r="AG355" s="1018">
        <f>'09월 화학성분'!AM355</f>
        <v>2117</v>
      </c>
      <c r="AH355" s="1006">
        <f t="shared" si="75"/>
        <v>25</v>
      </c>
      <c r="AI355" s="1019">
        <v>1568</v>
      </c>
      <c r="AJ355" s="1020">
        <v>0</v>
      </c>
      <c r="AK355" s="1021" t="s">
        <v>599</v>
      </c>
      <c r="AL355" s="1022"/>
      <c r="AM355" s="1155">
        <f>IF(AT355="","",3*'09월 에너지'!S357*(1/(3+7.8*(100-AT355)/AT355)))</f>
        <v>0.96668998756218916</v>
      </c>
      <c r="AN355" s="1023">
        <v>0.14861111111111111</v>
      </c>
      <c r="AO355" s="1024"/>
      <c r="AP355" s="1025"/>
      <c r="AQ355" s="1025"/>
      <c r="AR355" s="1149" t="str">
        <f t="shared" si="76"/>
        <v/>
      </c>
      <c r="AS355" s="1093">
        <f t="shared" si="87"/>
        <v>3</v>
      </c>
      <c r="AT355" s="1156">
        <v>1.7</v>
      </c>
      <c r="AU355" s="449"/>
      <c r="AV355" s="1205"/>
    </row>
    <row r="356" spans="1:48" ht="17.25" customHeight="1">
      <c r="A356" s="1005">
        <f t="shared" si="77"/>
        <v>46278</v>
      </c>
      <c r="B356" s="1005">
        <v>46278</v>
      </c>
      <c r="C356" s="1150">
        <f t="shared" si="79"/>
        <v>5</v>
      </c>
      <c r="D356" s="1150">
        <f t="shared" si="80"/>
        <v>345</v>
      </c>
      <c r="E356" s="1006" t="s">
        <v>558</v>
      </c>
      <c r="F356" s="1007" t="str">
        <f t="shared" si="82"/>
        <v>A</v>
      </c>
      <c r="G356" s="1008">
        <f t="shared" si="83"/>
        <v>85558</v>
      </c>
      <c r="H356" s="1138">
        <f t="shared" si="84"/>
        <v>0.29930555555555555</v>
      </c>
      <c r="I356" s="1009">
        <v>0.29583333333333334</v>
      </c>
      <c r="J356" s="1010">
        <f t="shared" si="85"/>
        <v>43.000000000000007</v>
      </c>
      <c r="K356" s="1011"/>
      <c r="L356" s="1012"/>
      <c r="M356" s="1013"/>
      <c r="N356" s="1014" t="str">
        <f t="shared" si="86"/>
        <v/>
      </c>
      <c r="O356" s="1441" t="s">
        <v>805</v>
      </c>
      <c r="P356" s="1442"/>
      <c r="Q356" s="1442"/>
      <c r="R356" s="1442"/>
      <c r="S356" s="1442"/>
      <c r="T356" s="1443"/>
      <c r="U356" s="1015">
        <v>1.8</v>
      </c>
      <c r="V356" s="1015"/>
      <c r="W356" s="1015"/>
      <c r="X356" s="1015"/>
      <c r="Y356" s="1015"/>
      <c r="Z356" s="1016">
        <f>'09월 에너지'!S358</f>
        <v>144.5</v>
      </c>
      <c r="AA356" s="1017"/>
      <c r="AB356" s="1208"/>
      <c r="AC356" s="1208"/>
      <c r="AD356" s="1208"/>
      <c r="AE356" s="1208"/>
      <c r="AF356" s="1208"/>
      <c r="AG356" s="1018">
        <f>'09월 화학성분'!AM356</f>
        <v>1874</v>
      </c>
      <c r="AH356" s="1006">
        <f t="shared" si="75"/>
        <v>26</v>
      </c>
      <c r="AI356" s="1019">
        <v>1577</v>
      </c>
      <c r="AJ356" s="1020">
        <v>52</v>
      </c>
      <c r="AK356" s="1021">
        <v>527</v>
      </c>
      <c r="AL356" s="1022">
        <v>8</v>
      </c>
      <c r="AM356" s="1155">
        <f>IF(AT356="","",3*'09월 에너지'!S358*(1/(3+7.8*(100-AT356)/AT356)))</f>
        <v>1.2966214107365792</v>
      </c>
      <c r="AN356" s="1023">
        <v>0.15625</v>
      </c>
      <c r="AO356" s="1024"/>
      <c r="AP356" s="1025"/>
      <c r="AQ356" s="1025"/>
      <c r="AR356" s="1149">
        <f t="shared" si="76"/>
        <v>9</v>
      </c>
      <c r="AS356" s="1093" t="str">
        <f t="shared" si="87"/>
        <v xml:space="preserve"> </v>
      </c>
      <c r="AT356" s="1156">
        <v>2.2999999999999998</v>
      </c>
      <c r="AU356" s="449"/>
      <c r="AV356" s="1205"/>
    </row>
    <row r="357" spans="1:48" ht="17.100000000000001" customHeight="1">
      <c r="A357" s="1005">
        <f t="shared" si="77"/>
        <v>46278</v>
      </c>
      <c r="B357" s="1005">
        <f t="shared" si="78"/>
        <v>46278</v>
      </c>
      <c r="C357" s="1150">
        <f t="shared" si="79"/>
        <v>6</v>
      </c>
      <c r="D357" s="1150">
        <f t="shared" si="80"/>
        <v>346</v>
      </c>
      <c r="E357" s="1006" t="str">
        <f t="shared" si="81"/>
        <v>D</v>
      </c>
      <c r="F357" s="1007" t="str">
        <f t="shared" si="82"/>
        <v>B</v>
      </c>
      <c r="G357" s="1008">
        <f t="shared" si="83"/>
        <v>85559</v>
      </c>
      <c r="H357" s="1138">
        <f t="shared" si="84"/>
        <v>0.32916666666666666</v>
      </c>
      <c r="I357" s="1009">
        <v>0.32847222222222222</v>
      </c>
      <c r="J357" s="1010">
        <f t="shared" si="85"/>
        <v>46.999999999999993</v>
      </c>
      <c r="K357" s="1011"/>
      <c r="L357" s="1012">
        <v>2</v>
      </c>
      <c r="M357" s="1013"/>
      <c r="N357" s="1014" t="str">
        <f t="shared" si="86"/>
        <v/>
      </c>
      <c r="O357" s="1329" t="s">
        <v>806</v>
      </c>
      <c r="P357" s="1330"/>
      <c r="Q357" s="1330"/>
      <c r="R357" s="1330"/>
      <c r="S357" s="1330"/>
      <c r="T357" s="1331"/>
      <c r="U357" s="1015">
        <v>1.8</v>
      </c>
      <c r="V357" s="1015"/>
      <c r="W357" s="1015"/>
      <c r="X357" s="1015"/>
      <c r="Y357" s="1015"/>
      <c r="Z357" s="1016">
        <f>'09월 에너지'!S359</f>
        <v>144.19999999999999</v>
      </c>
      <c r="AA357" s="1017"/>
      <c r="AB357" s="1208"/>
      <c r="AC357" s="1208"/>
      <c r="AD357" s="1208"/>
      <c r="AE357" s="1208"/>
      <c r="AF357" s="1208"/>
      <c r="AG357" s="1018">
        <f>'09월 화학성분'!AM357</f>
        <v>1084</v>
      </c>
      <c r="AH357" s="1006">
        <f t="shared" si="75"/>
        <v>27</v>
      </c>
      <c r="AI357" s="1019">
        <v>1587</v>
      </c>
      <c r="AJ357" s="1020">
        <v>0</v>
      </c>
      <c r="AK357" s="1021">
        <v>749</v>
      </c>
      <c r="AL357" s="1022">
        <v>5</v>
      </c>
      <c r="AM357" s="1155">
        <f>IF(AT357="","",3*'09월 에너지'!S359*(1/(3+7.8*(100-AT357)/AT357)))</f>
        <v>0.78320918684047169</v>
      </c>
      <c r="AN357" s="1023">
        <v>0.15208333333333332</v>
      </c>
      <c r="AO357" s="1024"/>
      <c r="AP357" s="1025"/>
      <c r="AQ357" s="1025"/>
      <c r="AR357" s="1149" t="str">
        <f t="shared" si="76"/>
        <v/>
      </c>
      <c r="AS357" s="1093">
        <f t="shared" si="87"/>
        <v>4</v>
      </c>
      <c r="AT357" s="1156">
        <v>1.4</v>
      </c>
      <c r="AU357" s="449"/>
      <c r="AV357" s="1205"/>
    </row>
    <row r="358" spans="1:48" ht="17.100000000000001" customHeight="1">
      <c r="A358" s="1005">
        <f t="shared" si="77"/>
        <v>46278</v>
      </c>
      <c r="B358" s="1005">
        <f t="shared" si="78"/>
        <v>46278</v>
      </c>
      <c r="C358" s="1150">
        <f t="shared" si="79"/>
        <v>7</v>
      </c>
      <c r="D358" s="1150">
        <f t="shared" si="80"/>
        <v>347</v>
      </c>
      <c r="E358" s="1006" t="str">
        <f t="shared" si="81"/>
        <v>D</v>
      </c>
      <c r="F358" s="1007" t="str">
        <f t="shared" si="82"/>
        <v>A</v>
      </c>
      <c r="G358" s="1008">
        <f t="shared" si="83"/>
        <v>85560</v>
      </c>
      <c r="H358" s="1138">
        <f t="shared" si="84"/>
        <v>0.36180555555555555</v>
      </c>
      <c r="I358" s="1009">
        <v>0.35902777777777778</v>
      </c>
      <c r="J358" s="1010">
        <f t="shared" si="85"/>
        <v>44</v>
      </c>
      <c r="K358" s="1011"/>
      <c r="L358" s="1012"/>
      <c r="M358" s="1013"/>
      <c r="N358" s="1014" t="str">
        <f t="shared" si="86"/>
        <v/>
      </c>
      <c r="O358" s="1332"/>
      <c r="P358" s="1333"/>
      <c r="Q358" s="1333"/>
      <c r="R358" s="1333"/>
      <c r="S358" s="1333"/>
      <c r="T358" s="1334"/>
      <c r="U358" s="1015">
        <v>1.8</v>
      </c>
      <c r="V358" s="1015"/>
      <c r="W358" s="1015"/>
      <c r="X358" s="1015"/>
      <c r="Y358" s="1015"/>
      <c r="Z358" s="1016">
        <f>'09월 에너지'!S360</f>
        <v>143.6</v>
      </c>
      <c r="AA358" s="1017"/>
      <c r="AB358" s="1208"/>
      <c r="AC358" s="1208"/>
      <c r="AD358" s="1208"/>
      <c r="AE358" s="1208"/>
      <c r="AF358" s="1208"/>
      <c r="AG358" s="1018">
        <f>'09월 화학성분'!AM358</f>
        <v>2042</v>
      </c>
      <c r="AH358" s="1006">
        <f t="shared" si="75"/>
        <v>28</v>
      </c>
      <c r="AI358" s="1019">
        <v>1582</v>
      </c>
      <c r="AJ358" s="1020">
        <v>68</v>
      </c>
      <c r="AK358" s="1021">
        <v>750</v>
      </c>
      <c r="AL358" s="1022">
        <v>5</v>
      </c>
      <c r="AM358" s="1155">
        <f>IF(AT358="","",3*'09월 에너지'!S360*(1/(3+7.8*(100-AT358)/AT358)))</f>
        <v>1.573575453976205</v>
      </c>
      <c r="AN358" s="1023">
        <v>0.1451388888888889</v>
      </c>
      <c r="AO358" s="1024"/>
      <c r="AP358" s="1025"/>
      <c r="AQ358" s="1025"/>
      <c r="AR358" s="1149">
        <f t="shared" si="76"/>
        <v>10</v>
      </c>
      <c r="AS358" s="1093" t="str">
        <f t="shared" si="87"/>
        <v xml:space="preserve"> </v>
      </c>
      <c r="AT358" s="1156">
        <v>2.8</v>
      </c>
      <c r="AU358" s="449"/>
      <c r="AV358" s="1205"/>
    </row>
    <row r="359" spans="1:48" ht="17.100000000000001" customHeight="1">
      <c r="A359" s="1005">
        <f t="shared" si="77"/>
        <v>46278</v>
      </c>
      <c r="B359" s="1005">
        <f t="shared" si="78"/>
        <v>46278</v>
      </c>
      <c r="C359" s="1150">
        <f t="shared" si="79"/>
        <v>8</v>
      </c>
      <c r="D359" s="1150">
        <f t="shared" si="80"/>
        <v>348</v>
      </c>
      <c r="E359" s="1006" t="str">
        <f t="shared" si="81"/>
        <v>D</v>
      </c>
      <c r="F359" s="1007" t="str">
        <f t="shared" si="82"/>
        <v>B</v>
      </c>
      <c r="G359" s="1008">
        <f t="shared" si="83"/>
        <v>85561</v>
      </c>
      <c r="H359" s="1138">
        <f t="shared" si="84"/>
        <v>0.3923611111111111</v>
      </c>
      <c r="I359" s="1009">
        <v>0.38819444444444445</v>
      </c>
      <c r="J359" s="1010">
        <f t="shared" si="85"/>
        <v>42.000000000000014</v>
      </c>
      <c r="K359" s="1011"/>
      <c r="L359" s="1012"/>
      <c r="M359" s="1013"/>
      <c r="N359" s="1014" t="str">
        <f t="shared" si="86"/>
        <v/>
      </c>
      <c r="O359" s="1332"/>
      <c r="P359" s="1333"/>
      <c r="Q359" s="1333"/>
      <c r="R359" s="1333"/>
      <c r="S359" s="1333"/>
      <c r="T359" s="1334"/>
      <c r="U359" s="1015">
        <v>1.8</v>
      </c>
      <c r="V359" s="1015"/>
      <c r="W359" s="1015"/>
      <c r="X359" s="1015"/>
      <c r="Y359" s="1015"/>
      <c r="Z359" s="1016">
        <f>'09월 에너지'!S361</f>
        <v>146.19999999999999</v>
      </c>
      <c r="AA359" s="1017"/>
      <c r="AB359" s="1208"/>
      <c r="AC359" s="1208"/>
      <c r="AD359" s="1208"/>
      <c r="AE359" s="1208"/>
      <c r="AF359" s="1208"/>
      <c r="AG359" s="1018">
        <f>'09월 화학성분'!AM359</f>
        <v>999</v>
      </c>
      <c r="AH359" s="1006">
        <f t="shared" si="75"/>
        <v>29</v>
      </c>
      <c r="AI359" s="1019">
        <v>1583</v>
      </c>
      <c r="AJ359" s="1020">
        <v>0</v>
      </c>
      <c r="AK359" s="1021">
        <v>706</v>
      </c>
      <c r="AL359" s="1022">
        <v>5</v>
      </c>
      <c r="AM359" s="1155">
        <f>IF(AT359="","",3*'09월 에너지'!S361*(1/(3+7.8*(100-AT359)/AT359)))</f>
        <v>0.96602922885572129</v>
      </c>
      <c r="AN359" s="1023">
        <v>0.14097222222222222</v>
      </c>
      <c r="AO359" s="1024"/>
      <c r="AP359" s="1025"/>
      <c r="AQ359" s="1025"/>
      <c r="AR359" s="1149" t="str">
        <f t="shared" si="76"/>
        <v/>
      </c>
      <c r="AS359" s="1093">
        <f t="shared" si="87"/>
        <v>5</v>
      </c>
      <c r="AT359" s="1156">
        <v>1.7</v>
      </c>
      <c r="AU359" s="449"/>
      <c r="AV359" s="1205"/>
    </row>
    <row r="360" spans="1:48" ht="17.100000000000001" customHeight="1">
      <c r="A360" s="1005">
        <f t="shared" si="77"/>
        <v>46278</v>
      </c>
      <c r="B360" s="1005">
        <f t="shared" si="78"/>
        <v>46278</v>
      </c>
      <c r="C360" s="1150">
        <f t="shared" si="79"/>
        <v>9</v>
      </c>
      <c r="D360" s="1150">
        <f t="shared" si="80"/>
        <v>349</v>
      </c>
      <c r="E360" s="1006" t="str">
        <f t="shared" si="81"/>
        <v>D</v>
      </c>
      <c r="F360" s="1007" t="str">
        <f t="shared" si="82"/>
        <v>A</v>
      </c>
      <c r="G360" s="1008">
        <f t="shared" si="83"/>
        <v>85562</v>
      </c>
      <c r="H360" s="1138">
        <f t="shared" si="84"/>
        <v>0.42152777777777778</v>
      </c>
      <c r="I360" s="1009">
        <v>0.41875000000000001</v>
      </c>
      <c r="J360" s="1010">
        <f t="shared" si="85"/>
        <v>44</v>
      </c>
      <c r="K360" s="1011"/>
      <c r="L360" s="1012"/>
      <c r="M360" s="1013"/>
      <c r="N360" s="1014" t="str">
        <f t="shared" si="86"/>
        <v/>
      </c>
      <c r="O360" s="1332"/>
      <c r="P360" s="1333"/>
      <c r="Q360" s="1333"/>
      <c r="R360" s="1333"/>
      <c r="S360" s="1333"/>
      <c r="T360" s="1334"/>
      <c r="U360" s="1015">
        <v>1.8</v>
      </c>
      <c r="V360" s="1015"/>
      <c r="W360" s="1015"/>
      <c r="X360" s="1015"/>
      <c r="Y360" s="1015"/>
      <c r="Z360" s="1016">
        <f>'09월 에너지'!S362</f>
        <v>145.19999999999999</v>
      </c>
      <c r="AA360" s="1017"/>
      <c r="AB360" s="1208"/>
      <c r="AC360" s="1208"/>
      <c r="AD360" s="1208"/>
      <c r="AE360" s="1208"/>
      <c r="AF360" s="1208"/>
      <c r="AG360" s="1018">
        <f>'09월 화학성분'!AM360</f>
        <v>1828</v>
      </c>
      <c r="AH360" s="1006">
        <f t="shared" si="75"/>
        <v>30</v>
      </c>
      <c r="AI360" s="1019">
        <v>1570</v>
      </c>
      <c r="AJ360" s="1020">
        <v>22</v>
      </c>
      <c r="AK360" s="1021">
        <v>517</v>
      </c>
      <c r="AL360" s="1022">
        <v>8</v>
      </c>
      <c r="AM360" s="1155">
        <f>IF(AT360="","",3*'09월 에너지'!S362*(1/(3+7.8*(100-AT360)/AT360)))</f>
        <v>0.84549689440993792</v>
      </c>
      <c r="AN360" s="1023">
        <v>0.16180555555555556</v>
      </c>
      <c r="AO360" s="1024"/>
      <c r="AP360" s="1025"/>
      <c r="AQ360" s="1025"/>
      <c r="AR360" s="1149">
        <f t="shared" si="76"/>
        <v>11</v>
      </c>
      <c r="AS360" s="1093" t="str">
        <f t="shared" si="87"/>
        <v xml:space="preserve"> </v>
      </c>
      <c r="AT360" s="1156">
        <v>1.5</v>
      </c>
      <c r="AU360" s="449"/>
      <c r="AV360" s="1205"/>
    </row>
    <row r="361" spans="1:48" ht="17.100000000000001" customHeight="1">
      <c r="A361" s="1005">
        <f t="shared" si="77"/>
        <v>46278</v>
      </c>
      <c r="B361" s="1005">
        <f t="shared" si="78"/>
        <v>46278</v>
      </c>
      <c r="C361" s="1150">
        <f t="shared" si="79"/>
        <v>10</v>
      </c>
      <c r="D361" s="1150">
        <f t="shared" si="80"/>
        <v>350</v>
      </c>
      <c r="E361" s="1006" t="str">
        <f t="shared" si="81"/>
        <v>D</v>
      </c>
      <c r="F361" s="1007" t="str">
        <f t="shared" si="82"/>
        <v>B</v>
      </c>
      <c r="G361" s="1008">
        <f t="shared" si="83"/>
        <v>85563</v>
      </c>
      <c r="H361" s="1138">
        <f t="shared" si="84"/>
        <v>0.45208333333333334</v>
      </c>
      <c r="I361" s="1009">
        <v>0.45069444444444445</v>
      </c>
      <c r="J361" s="1010">
        <f t="shared" si="85"/>
        <v>46</v>
      </c>
      <c r="K361" s="1011"/>
      <c r="L361" s="1012"/>
      <c r="M361" s="1013"/>
      <c r="N361" s="1014" t="str">
        <f t="shared" si="86"/>
        <v/>
      </c>
      <c r="O361" s="1332"/>
      <c r="P361" s="1333"/>
      <c r="Q361" s="1333"/>
      <c r="R361" s="1333"/>
      <c r="S361" s="1333"/>
      <c r="T361" s="1334"/>
      <c r="U361" s="1015">
        <v>1.8</v>
      </c>
      <c r="V361" s="1015"/>
      <c r="W361" s="1015"/>
      <c r="X361" s="1015"/>
      <c r="Y361" s="1015"/>
      <c r="Z361" s="1016">
        <f>'09월 에너지'!S363</f>
        <v>146.6</v>
      </c>
      <c r="AA361" s="1017"/>
      <c r="AB361" s="1208"/>
      <c r="AC361" s="1208"/>
      <c r="AD361" s="1208"/>
      <c r="AE361" s="1208"/>
      <c r="AF361" s="1208"/>
      <c r="AG361" s="1018">
        <f>'09월 화학성분'!AM361</f>
        <v>966</v>
      </c>
      <c r="AH361" s="1006">
        <f t="shared" si="75"/>
        <v>31</v>
      </c>
      <c r="AI361" s="1019">
        <v>1589</v>
      </c>
      <c r="AJ361" s="1020">
        <v>96</v>
      </c>
      <c r="AK361" s="1021">
        <v>366</v>
      </c>
      <c r="AL361" s="1022">
        <v>12</v>
      </c>
      <c r="AM361" s="1155">
        <f>IF(AT361="","",3*'09월 에너지'!S363*(1/(3+7.8*(100-AT361)/AT361)))</f>
        <v>1.4898373983739837</v>
      </c>
      <c r="AN361" s="1023">
        <v>0.13680555555555554</v>
      </c>
      <c r="AO361" s="1024"/>
      <c r="AP361" s="1025"/>
      <c r="AQ361" s="1025"/>
      <c r="AR361" s="1149" t="str">
        <f t="shared" si="76"/>
        <v/>
      </c>
      <c r="AS361" s="1093">
        <f t="shared" si="87"/>
        <v>6</v>
      </c>
      <c r="AT361" s="1156">
        <v>2.6</v>
      </c>
      <c r="AU361" s="449"/>
      <c r="AV361" s="1205"/>
    </row>
    <row r="362" spans="1:48" ht="17.100000000000001" customHeight="1">
      <c r="A362" s="1005">
        <f t="shared" si="77"/>
        <v>46278</v>
      </c>
      <c r="B362" s="1005">
        <f t="shared" si="78"/>
        <v>46278</v>
      </c>
      <c r="C362" s="1150">
        <f t="shared" si="79"/>
        <v>11</v>
      </c>
      <c r="D362" s="1150">
        <f t="shared" si="80"/>
        <v>351</v>
      </c>
      <c r="E362" s="1006" t="str">
        <f t="shared" si="81"/>
        <v>D</v>
      </c>
      <c r="F362" s="1007" t="str">
        <f t="shared" si="82"/>
        <v>A</v>
      </c>
      <c r="G362" s="1008">
        <f t="shared" si="83"/>
        <v>85564</v>
      </c>
      <c r="H362" s="1138">
        <f t="shared" si="84"/>
        <v>0.48402777777777778</v>
      </c>
      <c r="I362" s="1009">
        <v>0.4826388888888889</v>
      </c>
      <c r="J362" s="1010">
        <f t="shared" si="85"/>
        <v>46</v>
      </c>
      <c r="K362" s="1011"/>
      <c r="L362" s="1012"/>
      <c r="M362" s="1013"/>
      <c r="N362" s="1014" t="str">
        <f t="shared" si="86"/>
        <v/>
      </c>
      <c r="O362" s="1332"/>
      <c r="P362" s="1333"/>
      <c r="Q362" s="1333"/>
      <c r="R362" s="1333"/>
      <c r="S362" s="1333"/>
      <c r="T362" s="1334"/>
      <c r="U362" s="1015">
        <v>1.8</v>
      </c>
      <c r="V362" s="1015"/>
      <c r="W362" s="1015"/>
      <c r="X362" s="1015"/>
      <c r="Y362" s="1015"/>
      <c r="Z362" s="1016">
        <f>'09월 에너지'!S364</f>
        <v>144.6</v>
      </c>
      <c r="AA362" s="1017"/>
      <c r="AB362" s="1208"/>
      <c r="AC362" s="1208"/>
      <c r="AD362" s="1208"/>
      <c r="AE362" s="1208"/>
      <c r="AF362" s="1208"/>
      <c r="AG362" s="1018">
        <f>'09월 화학성분'!AM362</f>
        <v>2159</v>
      </c>
      <c r="AH362" s="1006">
        <f t="shared" si="75"/>
        <v>32</v>
      </c>
      <c r="AI362" s="1019">
        <v>1573</v>
      </c>
      <c r="AJ362" s="1020">
        <v>0</v>
      </c>
      <c r="AK362" s="1021">
        <v>749</v>
      </c>
      <c r="AL362" s="1022">
        <v>5</v>
      </c>
      <c r="AM362" s="1155">
        <f>IF(AT362="","",3*'09월 에너지'!S364*(1/(3+7.8*(100-AT362)/AT362)))</f>
        <v>1.0122899813316737</v>
      </c>
      <c r="AN362" s="1023">
        <v>0.15208333333333332</v>
      </c>
      <c r="AO362" s="1024"/>
      <c r="AP362" s="1025"/>
      <c r="AQ362" s="1025"/>
      <c r="AR362" s="1149">
        <f t="shared" si="76"/>
        <v>12</v>
      </c>
      <c r="AS362" s="1093" t="str">
        <f t="shared" si="87"/>
        <v xml:space="preserve"> </v>
      </c>
      <c r="AT362" s="1156">
        <v>1.8</v>
      </c>
      <c r="AU362" s="449"/>
      <c r="AV362" s="1205"/>
    </row>
    <row r="363" spans="1:48" ht="17.100000000000001" customHeight="1">
      <c r="A363" s="1005">
        <f t="shared" si="77"/>
        <v>46278</v>
      </c>
      <c r="B363" s="1005">
        <f t="shared" si="78"/>
        <v>46278</v>
      </c>
      <c r="C363" s="1150">
        <f t="shared" si="79"/>
        <v>12</v>
      </c>
      <c r="D363" s="1150">
        <f t="shared" si="80"/>
        <v>352</v>
      </c>
      <c r="E363" s="1006" t="str">
        <f t="shared" si="81"/>
        <v>D</v>
      </c>
      <c r="F363" s="1007" t="str">
        <f t="shared" si="82"/>
        <v>B</v>
      </c>
      <c r="G363" s="1008">
        <f t="shared" si="83"/>
        <v>85565</v>
      </c>
      <c r="H363" s="1138">
        <f t="shared" si="84"/>
        <v>0.51597222222222228</v>
      </c>
      <c r="I363" s="1009">
        <v>0.51180555555555551</v>
      </c>
      <c r="J363" s="1010">
        <f t="shared" si="85"/>
        <v>41.999999999999929</v>
      </c>
      <c r="K363" s="1010"/>
      <c r="L363" s="1012"/>
      <c r="M363" s="1013"/>
      <c r="N363" s="1010" t="str">
        <f t="shared" ref="N363" si="88">IF(M363="","",IF(M363&lt;M362,(M363-M362)*1440+1440,(M363-M362)*1440))</f>
        <v/>
      </c>
      <c r="O363" s="1332"/>
      <c r="P363" s="1333"/>
      <c r="Q363" s="1333"/>
      <c r="R363" s="1333"/>
      <c r="S363" s="1333"/>
      <c r="T363" s="1334"/>
      <c r="U363" s="1015">
        <v>1.8</v>
      </c>
      <c r="V363" s="1015"/>
      <c r="W363" s="1015"/>
      <c r="X363" s="1015"/>
      <c r="Y363" s="1015"/>
      <c r="Z363" s="1016">
        <f>'09월 에너지'!S365</f>
        <v>146.1</v>
      </c>
      <c r="AA363" s="1017"/>
      <c r="AB363" s="1208"/>
      <c r="AC363" s="1208"/>
      <c r="AD363" s="1208"/>
      <c r="AE363" s="1208"/>
      <c r="AF363" s="1208"/>
      <c r="AG363" s="1018">
        <f>'09월 화학성분'!AM363</f>
        <v>874</v>
      </c>
      <c r="AH363" s="1006">
        <f t="shared" si="75"/>
        <v>33</v>
      </c>
      <c r="AI363" s="1019">
        <v>1586</v>
      </c>
      <c r="AJ363" s="1020">
        <v>22</v>
      </c>
      <c r="AK363" s="1021">
        <v>682</v>
      </c>
      <c r="AL363" s="1022">
        <v>6</v>
      </c>
      <c r="AM363" s="1155">
        <f>IF(AT363="","",3*'09월 에너지'!S365*(1/(3+7.8*(100-AT363)/AT363)))</f>
        <v>1.195487842892768</v>
      </c>
      <c r="AN363" s="1023">
        <v>0.1361111111111111</v>
      </c>
      <c r="AO363" s="1024"/>
      <c r="AP363" s="1025"/>
      <c r="AQ363" s="1025"/>
      <c r="AR363" s="1149" t="str">
        <f t="shared" si="76"/>
        <v/>
      </c>
      <c r="AS363" s="1093">
        <f t="shared" si="87"/>
        <v>7</v>
      </c>
      <c r="AT363" s="1156">
        <v>2.1</v>
      </c>
      <c r="AU363" s="449"/>
      <c r="AV363" s="1205"/>
    </row>
    <row r="364" spans="1:48" ht="17.100000000000001" customHeight="1">
      <c r="A364" s="1005">
        <f t="shared" si="77"/>
        <v>46278</v>
      </c>
      <c r="B364" s="1005">
        <v>46278</v>
      </c>
      <c r="C364" s="1150">
        <f t="shared" si="79"/>
        <v>13</v>
      </c>
      <c r="D364" s="1150">
        <f t="shared" si="80"/>
        <v>353</v>
      </c>
      <c r="E364" s="1006" t="str">
        <f t="shared" si="81"/>
        <v>D</v>
      </c>
      <c r="F364" s="1007" t="str">
        <f t="shared" si="82"/>
        <v>A</v>
      </c>
      <c r="G364" s="1008">
        <f t="shared" si="83"/>
        <v>85566</v>
      </c>
      <c r="H364" s="1138">
        <f t="shared" si="84"/>
        <v>0.54513888888888884</v>
      </c>
      <c r="I364" s="1009">
        <v>0.54305555555555551</v>
      </c>
      <c r="J364" s="1010">
        <f t="shared" si="85"/>
        <v>45</v>
      </c>
      <c r="K364" s="1011"/>
      <c r="L364" s="1012"/>
      <c r="M364" s="1013"/>
      <c r="N364" s="1014" t="str">
        <f t="shared" si="86"/>
        <v/>
      </c>
      <c r="O364" s="1332"/>
      <c r="P364" s="1333"/>
      <c r="Q364" s="1333"/>
      <c r="R364" s="1333"/>
      <c r="S364" s="1333"/>
      <c r="T364" s="1334"/>
      <c r="U364" s="1015">
        <v>1.8</v>
      </c>
      <c r="V364" s="1015"/>
      <c r="W364" s="1015"/>
      <c r="X364" s="1015"/>
      <c r="Y364" s="1015"/>
      <c r="Z364" s="1016">
        <f>'09월 에너지'!S366</f>
        <v>146.19999999999999</v>
      </c>
      <c r="AA364" s="1017"/>
      <c r="AB364" s="1208"/>
      <c r="AC364" s="1208"/>
      <c r="AD364" s="1208"/>
      <c r="AE364" s="1208"/>
      <c r="AF364" s="1208"/>
      <c r="AG364" s="1018">
        <f>'09월 화학성분'!AM364</f>
        <v>1507</v>
      </c>
      <c r="AH364" s="1006">
        <f t="shared" si="75"/>
        <v>34</v>
      </c>
      <c r="AI364" s="1019">
        <v>1570</v>
      </c>
      <c r="AJ364" s="1020">
        <v>0</v>
      </c>
      <c r="AK364" s="1021">
        <v>466</v>
      </c>
      <c r="AL364" s="1022">
        <v>9</v>
      </c>
      <c r="AM364" s="1155">
        <f>IF(AT364="","",3*'09월 에너지'!S366*(1/(3+7.8*(100-AT364)/AT364)))</f>
        <v>1.3697688944409745</v>
      </c>
      <c r="AN364" s="1023">
        <v>0.15972222222222224</v>
      </c>
      <c r="AO364" s="1024"/>
      <c r="AP364" s="1025"/>
      <c r="AQ364" s="1025"/>
      <c r="AR364" s="1149">
        <f t="shared" si="76"/>
        <v>13</v>
      </c>
      <c r="AS364" s="1093" t="str">
        <f t="shared" si="87"/>
        <v xml:space="preserve"> </v>
      </c>
      <c r="AT364" s="1156">
        <v>2.4</v>
      </c>
      <c r="AU364" s="449"/>
      <c r="AV364" s="1205"/>
    </row>
    <row r="365" spans="1:48" ht="17.100000000000001" customHeight="1">
      <c r="A365" s="1005">
        <f t="shared" si="77"/>
        <v>46278</v>
      </c>
      <c r="B365" s="1005">
        <f t="shared" si="78"/>
        <v>46278</v>
      </c>
      <c r="C365" s="1150">
        <f t="shared" si="79"/>
        <v>14</v>
      </c>
      <c r="D365" s="1150">
        <f t="shared" si="80"/>
        <v>354</v>
      </c>
      <c r="E365" s="1006" t="str">
        <f t="shared" si="81"/>
        <v>D</v>
      </c>
      <c r="F365" s="1007" t="str">
        <f t="shared" si="82"/>
        <v>B</v>
      </c>
      <c r="G365" s="1008">
        <f t="shared" si="83"/>
        <v>85567</v>
      </c>
      <c r="H365" s="1138">
        <f t="shared" si="84"/>
        <v>0.57638888888888884</v>
      </c>
      <c r="I365" s="1009">
        <v>0.57777777777777783</v>
      </c>
      <c r="J365" s="1010">
        <f t="shared" si="85"/>
        <v>50.000000000000142</v>
      </c>
      <c r="K365" s="1011"/>
      <c r="L365" s="1012"/>
      <c r="M365" s="1013"/>
      <c r="N365" s="1014" t="str">
        <f t="shared" si="86"/>
        <v/>
      </c>
      <c r="O365" s="1332" t="s">
        <v>571</v>
      </c>
      <c r="P365" s="1333"/>
      <c r="Q365" s="1333"/>
      <c r="R365" s="1333"/>
      <c r="S365" s="1333"/>
      <c r="T365" s="1334"/>
      <c r="U365" s="1015">
        <v>1.8</v>
      </c>
      <c r="V365" s="1015"/>
      <c r="W365" s="1015"/>
      <c r="X365" s="1015"/>
      <c r="Y365" s="1015"/>
      <c r="Z365" s="1016">
        <f>'09월 에너지'!S367</f>
        <v>146.9</v>
      </c>
      <c r="AA365" s="1017">
        <v>2654</v>
      </c>
      <c r="AB365" s="1208" t="s">
        <v>808</v>
      </c>
      <c r="AC365" s="1208" t="s">
        <v>548</v>
      </c>
      <c r="AD365" s="1208" t="s">
        <v>548</v>
      </c>
      <c r="AE365" s="1208"/>
      <c r="AF365" s="1208" t="s">
        <v>548</v>
      </c>
      <c r="AG365" s="1018">
        <f>'09월 화학성분'!AM365</f>
        <v>1362</v>
      </c>
      <c r="AH365" s="1006">
        <f t="shared" si="75"/>
        <v>35</v>
      </c>
      <c r="AI365" s="1019">
        <v>1563</v>
      </c>
      <c r="AJ365" s="1020">
        <v>0</v>
      </c>
      <c r="AK365" s="1021">
        <v>515</v>
      </c>
      <c r="AL365" s="1022">
        <v>8</v>
      </c>
      <c r="AM365" s="1155">
        <f>IF(AT365="","",3*'09월 에너지'!S367*(1/(3+7.8*(100-AT365)/AT365)))</f>
        <v>0.97065453980099514</v>
      </c>
      <c r="AN365" s="1023">
        <v>0.1763888888888889</v>
      </c>
      <c r="AO365" s="1024"/>
      <c r="AP365" s="1025"/>
      <c r="AQ365" s="1025"/>
      <c r="AR365" s="1149" t="str">
        <f t="shared" si="76"/>
        <v/>
      </c>
      <c r="AS365" s="1093">
        <f t="shared" si="87"/>
        <v>8</v>
      </c>
      <c r="AT365" s="1156">
        <v>1.7</v>
      </c>
      <c r="AU365" s="449"/>
      <c r="AV365" s="1205"/>
    </row>
    <row r="366" spans="1:48" ht="17.100000000000001" customHeight="1">
      <c r="A366" s="1005">
        <f t="shared" si="77"/>
        <v>46278</v>
      </c>
      <c r="B366" s="1005">
        <f t="shared" si="78"/>
        <v>46278</v>
      </c>
      <c r="C366" s="1150">
        <f t="shared" si="79"/>
        <v>15</v>
      </c>
      <c r="D366" s="1150">
        <f t="shared" si="80"/>
        <v>355</v>
      </c>
      <c r="E366" s="1006" t="s">
        <v>809</v>
      </c>
      <c r="F366" s="1007" t="str">
        <f t="shared" si="82"/>
        <v>A</v>
      </c>
      <c r="G366" s="1008">
        <f t="shared" si="83"/>
        <v>85568</v>
      </c>
      <c r="H366" s="1138">
        <f t="shared" si="84"/>
        <v>0.61111111111111116</v>
      </c>
      <c r="I366" s="1009">
        <v>0.61319444444444449</v>
      </c>
      <c r="J366" s="1010">
        <f t="shared" si="85"/>
        <v>50.999999999999979</v>
      </c>
      <c r="K366" s="1011"/>
      <c r="L366" s="1012"/>
      <c r="M366" s="1013"/>
      <c r="N366" s="1014" t="str">
        <f t="shared" si="86"/>
        <v/>
      </c>
      <c r="O366" s="1332" t="s">
        <v>571</v>
      </c>
      <c r="P366" s="1333"/>
      <c r="Q366" s="1333"/>
      <c r="R366" s="1333"/>
      <c r="S366" s="1333"/>
      <c r="T366" s="1334"/>
      <c r="U366" s="1015">
        <v>1.8</v>
      </c>
      <c r="V366" s="1015"/>
      <c r="W366" s="1015"/>
      <c r="X366" s="1015"/>
      <c r="Y366" s="1015"/>
      <c r="Z366" s="1016">
        <f>'09월 에너지'!S368</f>
        <v>146.6</v>
      </c>
      <c r="AA366" s="1017">
        <v>2213</v>
      </c>
      <c r="AB366" s="1208" t="s">
        <v>808</v>
      </c>
      <c r="AC366" s="1208" t="s">
        <v>548</v>
      </c>
      <c r="AD366" s="1208" t="s">
        <v>548</v>
      </c>
      <c r="AE366" s="1208"/>
      <c r="AF366" s="1208" t="s">
        <v>548</v>
      </c>
      <c r="AG366" s="1018">
        <f>'09월 화학성분'!AM366</f>
        <v>1781</v>
      </c>
      <c r="AH366" s="1006">
        <f t="shared" si="75"/>
        <v>36</v>
      </c>
      <c r="AI366" s="1019">
        <v>1571</v>
      </c>
      <c r="AJ366" s="1020">
        <v>0</v>
      </c>
      <c r="AK366" s="1021">
        <v>493</v>
      </c>
      <c r="AL366" s="1022">
        <v>8</v>
      </c>
      <c r="AM366" s="1155">
        <f>IF(AT366="","",3*'09월 에너지'!S368*(1/(3+7.8*(100-AT366)/AT366)))</f>
        <v>1.431640625</v>
      </c>
      <c r="AN366" s="1023">
        <v>0.15</v>
      </c>
      <c r="AO366" s="1024"/>
      <c r="AP366" s="1025"/>
      <c r="AQ366" s="1025"/>
      <c r="AR366" s="1149">
        <f t="shared" si="76"/>
        <v>14</v>
      </c>
      <c r="AS366" s="1093" t="str">
        <f t="shared" si="87"/>
        <v xml:space="preserve"> </v>
      </c>
      <c r="AT366" s="1156">
        <v>2.5</v>
      </c>
      <c r="AU366" s="449"/>
      <c r="AV366" s="1205"/>
    </row>
    <row r="367" spans="1:48" ht="16.5" customHeight="1">
      <c r="A367" s="1005">
        <f t="shared" si="77"/>
        <v>46278</v>
      </c>
      <c r="B367" s="1005">
        <f t="shared" si="78"/>
        <v>46278</v>
      </c>
      <c r="C367" s="1150">
        <f t="shared" si="79"/>
        <v>16</v>
      </c>
      <c r="D367" s="1150">
        <f t="shared" si="80"/>
        <v>356</v>
      </c>
      <c r="E367" s="1006" t="str">
        <f t="shared" si="81"/>
        <v>A</v>
      </c>
      <c r="F367" s="1007" t="str">
        <f t="shared" si="82"/>
        <v>B</v>
      </c>
      <c r="G367" s="1008">
        <f t="shared" si="83"/>
        <v>85569</v>
      </c>
      <c r="H367" s="1138">
        <f t="shared" si="84"/>
        <v>0.64652777777777781</v>
      </c>
      <c r="I367" s="1009">
        <v>0.64374999999999993</v>
      </c>
      <c r="J367" s="1010">
        <f t="shared" si="85"/>
        <v>43.999999999999844</v>
      </c>
      <c r="K367" s="1011"/>
      <c r="L367" s="1012"/>
      <c r="M367" s="1013"/>
      <c r="N367" s="1014" t="str">
        <f t="shared" si="86"/>
        <v/>
      </c>
      <c r="O367" s="1338" t="s">
        <v>667</v>
      </c>
      <c r="P367" s="1324"/>
      <c r="Q367" s="1324"/>
      <c r="R367" s="1324"/>
      <c r="S367" s="1324"/>
      <c r="T367" s="1325"/>
      <c r="U367" s="1015">
        <v>1.8</v>
      </c>
      <c r="V367" s="1015"/>
      <c r="W367" s="1015"/>
      <c r="X367" s="1015"/>
      <c r="Y367" s="1015"/>
      <c r="Z367" s="1016">
        <f>'09월 에너지'!S369</f>
        <v>143.69999999999999</v>
      </c>
      <c r="AA367" s="1017"/>
      <c r="AB367" s="1208"/>
      <c r="AC367" s="1208"/>
      <c r="AD367" s="1208"/>
      <c r="AE367" s="1208"/>
      <c r="AF367" s="1208"/>
      <c r="AG367" s="1018">
        <f>'09월 화학성분'!AM367</f>
        <v>1706</v>
      </c>
      <c r="AH367" s="1006">
        <f t="shared" si="75"/>
        <v>37</v>
      </c>
      <c r="AI367" s="1019">
        <v>1602</v>
      </c>
      <c r="AJ367" s="1020">
        <v>20</v>
      </c>
      <c r="AK367" s="1021">
        <v>566</v>
      </c>
      <c r="AL367" s="1022">
        <v>7</v>
      </c>
      <c r="AM367" s="1155">
        <f>IF(AT367="","",3*'09월 에너지'!S369*(1/(3+7.8*(100-AT367)/AT367)))</f>
        <v>0.44434137291280146</v>
      </c>
      <c r="AN367" s="1023">
        <v>0.18888888888888888</v>
      </c>
      <c r="AO367" s="1024"/>
      <c r="AP367" s="1025"/>
      <c r="AQ367" s="1025"/>
      <c r="AR367" s="1149" t="str">
        <f t="shared" si="76"/>
        <v/>
      </c>
      <c r="AS367" s="1093">
        <f t="shared" si="87"/>
        <v>9</v>
      </c>
      <c r="AT367" s="1156">
        <v>0.8</v>
      </c>
      <c r="AU367" s="449"/>
      <c r="AV367" s="1205"/>
    </row>
    <row r="368" spans="1:48" ht="16.5" customHeight="1">
      <c r="A368" s="1005">
        <f t="shared" si="77"/>
        <v>46278</v>
      </c>
      <c r="B368" s="1005">
        <f t="shared" si="78"/>
        <v>46278</v>
      </c>
      <c r="C368" s="1150">
        <f t="shared" si="79"/>
        <v>17</v>
      </c>
      <c r="D368" s="1150">
        <f t="shared" si="80"/>
        <v>357</v>
      </c>
      <c r="E368" s="1006" t="str">
        <f t="shared" si="81"/>
        <v>A</v>
      </c>
      <c r="F368" s="1007" t="str">
        <f t="shared" si="82"/>
        <v>A</v>
      </c>
      <c r="G368" s="1008">
        <f t="shared" si="83"/>
        <v>85570</v>
      </c>
      <c r="H368" s="1138">
        <f t="shared" si="84"/>
        <v>0.67708333333333326</v>
      </c>
      <c r="I368" s="1009">
        <v>0.67499999999999993</v>
      </c>
      <c r="J368" s="1010">
        <f t="shared" si="85"/>
        <v>45</v>
      </c>
      <c r="K368" s="1011"/>
      <c r="L368" s="1012"/>
      <c r="M368" s="1013"/>
      <c r="N368" s="1014" t="str">
        <f t="shared" si="86"/>
        <v/>
      </c>
      <c r="O368" s="1323"/>
      <c r="P368" s="1324"/>
      <c r="Q368" s="1324"/>
      <c r="R368" s="1324"/>
      <c r="S368" s="1324"/>
      <c r="T368" s="1325"/>
      <c r="U368" s="1015">
        <v>1.8</v>
      </c>
      <c r="V368" s="1015"/>
      <c r="W368" s="1015"/>
      <c r="X368" s="1015"/>
      <c r="Y368" s="1015"/>
      <c r="Z368" s="1016">
        <f>'09월 에너지'!S370</f>
        <v>145.4</v>
      </c>
      <c r="AA368" s="1017"/>
      <c r="AB368" s="1208"/>
      <c r="AC368" s="1208"/>
      <c r="AD368" s="1208"/>
      <c r="AE368" s="1208"/>
      <c r="AF368" s="1208"/>
      <c r="AG368" s="1018">
        <f>'09월 화학성분'!AM368</f>
        <v>2118</v>
      </c>
      <c r="AH368" s="1006">
        <f t="shared" si="75"/>
        <v>38</v>
      </c>
      <c r="AI368" s="1019">
        <v>1607</v>
      </c>
      <c r="AJ368" s="1020">
        <v>0</v>
      </c>
      <c r="AK368" s="1021">
        <v>814</v>
      </c>
      <c r="AL368" s="1022">
        <v>5</v>
      </c>
      <c r="AM368" s="1155">
        <f>IF(AT368="","",3*'09월 에너지'!S370*(1/(3+7.8*(100-AT368)/AT368)))</f>
        <v>1.9420175989943433</v>
      </c>
      <c r="AN368" s="1023">
        <v>0.14722222222222223</v>
      </c>
      <c r="AO368" s="1024"/>
      <c r="AP368" s="1025"/>
      <c r="AQ368" s="1025"/>
      <c r="AR368" s="1149">
        <f t="shared" si="76"/>
        <v>15</v>
      </c>
      <c r="AS368" s="1093" t="str">
        <f t="shared" si="87"/>
        <v xml:space="preserve"> </v>
      </c>
      <c r="AT368" s="1156">
        <v>3.4</v>
      </c>
      <c r="AU368" s="449"/>
      <c r="AV368" s="1205"/>
    </row>
    <row r="369" spans="1:48" ht="16.5" customHeight="1">
      <c r="A369" s="1005">
        <f t="shared" si="77"/>
        <v>46278</v>
      </c>
      <c r="B369" s="1005">
        <f t="shared" si="78"/>
        <v>46278</v>
      </c>
      <c r="C369" s="1150">
        <f t="shared" si="79"/>
        <v>18</v>
      </c>
      <c r="D369" s="1150">
        <f t="shared" si="80"/>
        <v>358</v>
      </c>
      <c r="E369" s="1006" t="str">
        <f t="shared" si="81"/>
        <v>A</v>
      </c>
      <c r="F369" s="1007" t="str">
        <f t="shared" si="82"/>
        <v>B</v>
      </c>
      <c r="G369" s="1008">
        <f t="shared" si="83"/>
        <v>85571</v>
      </c>
      <c r="H369" s="1138">
        <f t="shared" si="84"/>
        <v>0.70833333333333326</v>
      </c>
      <c r="I369" s="1009">
        <v>0.70833333333333337</v>
      </c>
      <c r="J369" s="1010">
        <f t="shared" si="85"/>
        <v>48.000000000000149</v>
      </c>
      <c r="K369" s="1011"/>
      <c r="L369" s="1012">
        <v>2</v>
      </c>
      <c r="M369" s="1013"/>
      <c r="N369" s="1014" t="str">
        <f t="shared" si="86"/>
        <v/>
      </c>
      <c r="O369" s="1323" t="s">
        <v>812</v>
      </c>
      <c r="P369" s="1324"/>
      <c r="Q369" s="1324"/>
      <c r="R369" s="1324"/>
      <c r="S369" s="1324"/>
      <c r="T369" s="1325"/>
      <c r="U369" s="1015">
        <v>1.8</v>
      </c>
      <c r="V369" s="1015"/>
      <c r="W369" s="1015"/>
      <c r="X369" s="1015"/>
      <c r="Y369" s="1015"/>
      <c r="Z369" s="1016">
        <f>'09월 에너지'!S371</f>
        <v>141.9</v>
      </c>
      <c r="AA369" s="1017"/>
      <c r="AB369" s="1208"/>
      <c r="AC369" s="1208"/>
      <c r="AD369" s="1208"/>
      <c r="AE369" s="1208"/>
      <c r="AF369" s="1208"/>
      <c r="AG369" s="1018">
        <f>'09월 화학성분'!AM369</f>
        <v>1568</v>
      </c>
      <c r="AH369" s="1006">
        <f t="shared" si="75"/>
        <v>39</v>
      </c>
      <c r="AI369" s="1019">
        <v>1553</v>
      </c>
      <c r="AJ369" s="1020">
        <v>0</v>
      </c>
      <c r="AK369" s="1021">
        <v>374</v>
      </c>
      <c r="AL369" s="1022">
        <v>11</v>
      </c>
      <c r="AM369" s="1155">
        <f>IF(AT369="","",3*'09월 에너지'!S371*(1/(3+7.8*(100-AT369)/AT369)))</f>
        <v>2.0663964105793458</v>
      </c>
      <c r="AN369" s="1023">
        <v>0.14861111111111111</v>
      </c>
      <c r="AO369" s="1024"/>
      <c r="AP369" s="1025"/>
      <c r="AQ369" s="1025"/>
      <c r="AR369" s="1149" t="str">
        <f t="shared" si="76"/>
        <v/>
      </c>
      <c r="AS369" s="1093">
        <f t="shared" si="87"/>
        <v>10</v>
      </c>
      <c r="AT369" s="1156">
        <v>3.7</v>
      </c>
      <c r="AU369" s="449"/>
      <c r="AV369" s="1205"/>
    </row>
    <row r="370" spans="1:48" ht="16.5" customHeight="1">
      <c r="A370" s="1005">
        <f t="shared" si="77"/>
        <v>46278</v>
      </c>
      <c r="B370" s="1005">
        <f t="shared" si="78"/>
        <v>46278</v>
      </c>
      <c r="C370" s="1150">
        <f t="shared" si="79"/>
        <v>19</v>
      </c>
      <c r="D370" s="1150">
        <f t="shared" si="80"/>
        <v>359</v>
      </c>
      <c r="E370" s="1006" t="str">
        <f t="shared" si="81"/>
        <v>A</v>
      </c>
      <c r="F370" s="1007" t="str">
        <f t="shared" si="82"/>
        <v>A</v>
      </c>
      <c r="G370" s="1008">
        <f t="shared" si="83"/>
        <v>85572</v>
      </c>
      <c r="H370" s="1138">
        <f t="shared" si="84"/>
        <v>0.7416666666666667</v>
      </c>
      <c r="I370" s="1009">
        <v>0.74375000000000002</v>
      </c>
      <c r="J370" s="1010">
        <f t="shared" si="85"/>
        <v>50.999999999999979</v>
      </c>
      <c r="K370" s="1011"/>
      <c r="L370" s="1012">
        <v>3</v>
      </c>
      <c r="M370" s="1013"/>
      <c r="N370" s="1014" t="str">
        <f t="shared" si="86"/>
        <v/>
      </c>
      <c r="O370" s="1323" t="s">
        <v>810</v>
      </c>
      <c r="P370" s="1324"/>
      <c r="Q370" s="1324"/>
      <c r="R370" s="1324"/>
      <c r="S370" s="1324"/>
      <c r="T370" s="1325"/>
      <c r="U370" s="1015">
        <v>1.8</v>
      </c>
      <c r="V370" s="1015"/>
      <c r="W370" s="1015"/>
      <c r="X370" s="1015"/>
      <c r="Y370" s="1015"/>
      <c r="Z370" s="1016">
        <f>'09월 에너지'!S372</f>
        <v>142.80000000000001</v>
      </c>
      <c r="AA370" s="1017">
        <v>1777</v>
      </c>
      <c r="AB370" s="1208" t="s">
        <v>808</v>
      </c>
      <c r="AC370" s="1208" t="s">
        <v>548</v>
      </c>
      <c r="AD370" s="1208"/>
      <c r="AE370" s="1208"/>
      <c r="AF370" s="1208" t="s">
        <v>548</v>
      </c>
      <c r="AG370" s="1018">
        <f>'09월 화학성분'!AM370</f>
        <v>2200</v>
      </c>
      <c r="AH370" s="1006">
        <f t="shared" si="75"/>
        <v>40</v>
      </c>
      <c r="AI370" s="1019">
        <v>1576</v>
      </c>
      <c r="AJ370" s="1020">
        <v>0</v>
      </c>
      <c r="AK370" s="1021">
        <v>461</v>
      </c>
      <c r="AL370" s="1022">
        <v>9</v>
      </c>
      <c r="AM370" s="1155">
        <f>IF(AT370="","",3*'09월 에너지'!S372*(1/(3+7.8*(100-AT370)/AT370)))</f>
        <v>0.943563432835821</v>
      </c>
      <c r="AN370" s="1023">
        <v>0.14305555555555557</v>
      </c>
      <c r="AO370" s="1024" t="s">
        <v>538</v>
      </c>
      <c r="AP370" s="1025">
        <v>2000022</v>
      </c>
      <c r="AQ370" s="1025">
        <v>2136</v>
      </c>
      <c r="AR370" s="1149">
        <v>1</v>
      </c>
      <c r="AS370" s="1093" t="str">
        <f t="shared" si="87"/>
        <v xml:space="preserve"> </v>
      </c>
      <c r="AT370" s="1156">
        <v>1.7</v>
      </c>
      <c r="AU370" s="449"/>
      <c r="AV370" s="1205"/>
    </row>
    <row r="371" spans="1:48" ht="16.5" customHeight="1">
      <c r="A371" s="1005">
        <f t="shared" si="77"/>
        <v>46278</v>
      </c>
      <c r="B371" s="1005">
        <f t="shared" si="78"/>
        <v>46278</v>
      </c>
      <c r="C371" s="1150">
        <f t="shared" si="79"/>
        <v>20</v>
      </c>
      <c r="D371" s="1150">
        <f t="shared" si="80"/>
        <v>360</v>
      </c>
      <c r="E371" s="1006" t="str">
        <f t="shared" si="81"/>
        <v>A</v>
      </c>
      <c r="F371" s="1007" t="str">
        <f t="shared" si="82"/>
        <v>B</v>
      </c>
      <c r="G371" s="1008">
        <f t="shared" si="83"/>
        <v>85573</v>
      </c>
      <c r="H371" s="1138">
        <f t="shared" si="84"/>
        <v>0.77708333333333335</v>
      </c>
      <c r="I371" s="1009">
        <v>0.77569444444444446</v>
      </c>
      <c r="J371" s="1010">
        <f t="shared" si="85"/>
        <v>46</v>
      </c>
      <c r="K371" s="1011"/>
      <c r="L371" s="1012">
        <v>4</v>
      </c>
      <c r="M371" s="1013"/>
      <c r="N371" s="1014" t="str">
        <f t="shared" si="86"/>
        <v/>
      </c>
      <c r="O371" s="1323" t="s">
        <v>811</v>
      </c>
      <c r="P371" s="1324"/>
      <c r="Q371" s="1324"/>
      <c r="R371" s="1324"/>
      <c r="S371" s="1324"/>
      <c r="T371" s="1325"/>
      <c r="U371" s="1015">
        <v>1.8</v>
      </c>
      <c r="V371" s="1015"/>
      <c r="W371" s="1015"/>
      <c r="X371" s="1015"/>
      <c r="Y371" s="1015"/>
      <c r="Z371" s="1016">
        <f>'09월 에너지'!S373</f>
        <v>145.80000000000001</v>
      </c>
      <c r="AA371" s="1017"/>
      <c r="AB371" s="1208"/>
      <c r="AC371" s="1208"/>
      <c r="AD371" s="1208"/>
      <c r="AE371" s="1208"/>
      <c r="AF371" s="1208"/>
      <c r="AG371" s="1018">
        <f>'09월 화학성분'!AM371</f>
        <v>1362</v>
      </c>
      <c r="AH371" s="1006">
        <f t="shared" si="75"/>
        <v>41</v>
      </c>
      <c r="AI371" s="1019">
        <v>1560</v>
      </c>
      <c r="AJ371" s="1020">
        <v>0</v>
      </c>
      <c r="AK371" s="1021">
        <v>426</v>
      </c>
      <c r="AL371" s="1022">
        <v>10</v>
      </c>
      <c r="AM371" s="1155">
        <f>IF(AT371="","",3*'09월 에너지'!S373*(1/(3+7.8*(100-AT371)/AT371)))</f>
        <v>1.1930330423940152</v>
      </c>
      <c r="AN371" s="1023">
        <v>0.14652777777777778</v>
      </c>
      <c r="AO371" s="1024"/>
      <c r="AP371" s="1025"/>
      <c r="AQ371" s="1025"/>
      <c r="AR371" s="1149" t="str">
        <f t="shared" si="76"/>
        <v/>
      </c>
      <c r="AS371" s="1093">
        <f t="shared" si="87"/>
        <v>11</v>
      </c>
      <c r="AT371" s="1156">
        <v>2.1</v>
      </c>
      <c r="AU371" s="449"/>
      <c r="AV371" s="1205"/>
    </row>
    <row r="372" spans="1:48" ht="16.5" customHeight="1">
      <c r="A372" s="1005">
        <f t="shared" si="77"/>
        <v>46278</v>
      </c>
      <c r="B372" s="1005">
        <f t="shared" si="78"/>
        <v>46278</v>
      </c>
      <c r="C372" s="1150">
        <f t="shared" si="79"/>
        <v>21</v>
      </c>
      <c r="D372" s="1150">
        <f t="shared" si="80"/>
        <v>361</v>
      </c>
      <c r="E372" s="1006" t="str">
        <f t="shared" si="81"/>
        <v>A</v>
      </c>
      <c r="F372" s="1007" t="str">
        <f t="shared" si="82"/>
        <v>A</v>
      </c>
      <c r="G372" s="1008">
        <f t="shared" si="83"/>
        <v>85574</v>
      </c>
      <c r="H372" s="1138">
        <f t="shared" si="84"/>
        <v>0.80902777777777779</v>
      </c>
      <c r="I372" s="1009">
        <v>0.8027777777777777</v>
      </c>
      <c r="J372" s="1010">
        <f t="shared" si="85"/>
        <v>38.999999999999858</v>
      </c>
      <c r="K372" s="1011"/>
      <c r="L372" s="1012"/>
      <c r="M372" s="1013"/>
      <c r="N372" s="1014" t="str">
        <f t="shared" si="86"/>
        <v/>
      </c>
      <c r="O372" s="1323"/>
      <c r="P372" s="1324"/>
      <c r="Q372" s="1324"/>
      <c r="R372" s="1324"/>
      <c r="S372" s="1324"/>
      <c r="T372" s="1325"/>
      <c r="U372" s="1015">
        <v>1.8</v>
      </c>
      <c r="V372" s="1015"/>
      <c r="W372" s="1015"/>
      <c r="X372" s="1015"/>
      <c r="Y372" s="1015"/>
      <c r="Z372" s="1016">
        <f>'09월 에너지'!S374</f>
        <v>144.6</v>
      </c>
      <c r="AA372" s="1017"/>
      <c r="AB372" s="1208"/>
      <c r="AC372" s="1208"/>
      <c r="AD372" s="1208"/>
      <c r="AE372" s="1208"/>
      <c r="AF372" s="1208"/>
      <c r="AG372" s="1018">
        <f>'09월 화학성분'!AM372</f>
        <v>1958</v>
      </c>
      <c r="AH372" s="1006">
        <f t="shared" si="75"/>
        <v>42</v>
      </c>
      <c r="AI372" s="1019">
        <v>1567</v>
      </c>
      <c r="AJ372" s="1020">
        <v>68</v>
      </c>
      <c r="AK372" s="1021">
        <v>526</v>
      </c>
      <c r="AL372" s="1022">
        <v>8</v>
      </c>
      <c r="AM372" s="1155">
        <f>IF(AT372="","",3*'09월 에너지'!S374*(1/(3+7.8*(100-AT372)/AT372)))</f>
        <v>1.9313324952859834</v>
      </c>
      <c r="AN372" s="1023">
        <v>0.15138888888888888</v>
      </c>
      <c r="AO372" s="1024"/>
      <c r="AP372" s="1025"/>
      <c r="AQ372" s="1025"/>
      <c r="AR372" s="1149">
        <f t="shared" si="76"/>
        <v>2</v>
      </c>
      <c r="AS372" s="1093" t="str">
        <f t="shared" si="87"/>
        <v xml:space="preserve"> </v>
      </c>
      <c r="AT372" s="1156">
        <v>3.4</v>
      </c>
      <c r="AU372" s="449"/>
      <c r="AV372" s="1205"/>
    </row>
    <row r="373" spans="1:48" ht="16.5" customHeight="1">
      <c r="A373" s="1005">
        <f t="shared" si="77"/>
        <v>46278</v>
      </c>
      <c r="B373" s="1005">
        <f t="shared" si="78"/>
        <v>46278</v>
      </c>
      <c r="C373" s="1150">
        <f t="shared" si="79"/>
        <v>22</v>
      </c>
      <c r="D373" s="1150">
        <f t="shared" si="80"/>
        <v>362</v>
      </c>
      <c r="E373" s="1006" t="str">
        <f t="shared" si="81"/>
        <v>A</v>
      </c>
      <c r="F373" s="1007" t="str">
        <f t="shared" si="82"/>
        <v>B</v>
      </c>
      <c r="G373" s="1008">
        <f t="shared" si="83"/>
        <v>85575</v>
      </c>
      <c r="H373" s="1138">
        <f t="shared" si="84"/>
        <v>0.83611111111111103</v>
      </c>
      <c r="I373" s="1009">
        <v>0.8340277777777777</v>
      </c>
      <c r="J373" s="1010">
        <f t="shared" si="85"/>
        <v>45</v>
      </c>
      <c r="K373" s="1011"/>
      <c r="L373" s="1012">
        <v>2</v>
      </c>
      <c r="M373" s="1013"/>
      <c r="N373" s="1014" t="str">
        <f t="shared" si="86"/>
        <v/>
      </c>
      <c r="O373" s="1323" t="s">
        <v>813</v>
      </c>
      <c r="P373" s="1324"/>
      <c r="Q373" s="1324"/>
      <c r="R373" s="1324"/>
      <c r="S373" s="1324"/>
      <c r="T373" s="1325"/>
      <c r="U373" s="1015">
        <v>1.8</v>
      </c>
      <c r="V373" s="1015"/>
      <c r="W373" s="1015"/>
      <c r="X373" s="1015"/>
      <c r="Y373" s="1015"/>
      <c r="Z373" s="1016">
        <f>'09월 에너지'!S375</f>
        <v>141.6</v>
      </c>
      <c r="AA373" s="1017"/>
      <c r="AB373" s="1208"/>
      <c r="AC373" s="1208"/>
      <c r="AD373" s="1208"/>
      <c r="AE373" s="1208"/>
      <c r="AF373" s="1208"/>
      <c r="AG373" s="1018">
        <f>'09월 화학성분'!AM373</f>
        <v>1205</v>
      </c>
      <c r="AH373" s="1006">
        <f t="shared" si="75"/>
        <v>43</v>
      </c>
      <c r="AI373" s="1019">
        <v>1572</v>
      </c>
      <c r="AJ373" s="1020">
        <v>0</v>
      </c>
      <c r="AK373" s="1021">
        <v>289</v>
      </c>
      <c r="AL373" s="1022">
        <v>16</v>
      </c>
      <c r="AM373" s="1155">
        <f>IF(AT373="","",3*'09월 에너지'!S375*(1/(3+7.8*(100-AT373)/AT373)))</f>
        <v>0.71370967741935465</v>
      </c>
      <c r="AN373" s="1023">
        <v>0.15069444444444444</v>
      </c>
      <c r="AO373" s="1024"/>
      <c r="AP373" s="1025"/>
      <c r="AQ373" s="1025"/>
      <c r="AR373" s="1149" t="str">
        <f t="shared" si="76"/>
        <v/>
      </c>
      <c r="AS373" s="1093">
        <f t="shared" si="87"/>
        <v>12</v>
      </c>
      <c r="AT373" s="1156">
        <v>1.3</v>
      </c>
      <c r="AU373" s="449"/>
      <c r="AV373" s="1205"/>
    </row>
    <row r="374" spans="1:48" ht="16.5" customHeight="1">
      <c r="A374" s="1005">
        <f t="shared" si="77"/>
        <v>46278</v>
      </c>
      <c r="B374" s="1005">
        <f t="shared" si="78"/>
        <v>46278</v>
      </c>
      <c r="C374" s="1150">
        <f t="shared" si="79"/>
        <v>23</v>
      </c>
      <c r="D374" s="1150">
        <f t="shared" si="80"/>
        <v>363</v>
      </c>
      <c r="E374" s="1006" t="str">
        <f t="shared" si="81"/>
        <v>A</v>
      </c>
      <c r="F374" s="1007" t="str">
        <f t="shared" si="82"/>
        <v>A</v>
      </c>
      <c r="G374" s="1008">
        <f t="shared" si="83"/>
        <v>85576</v>
      </c>
      <c r="H374" s="1138">
        <f t="shared" si="84"/>
        <v>0.86736111111111103</v>
      </c>
      <c r="I374" s="1009">
        <v>0.86458333333333337</v>
      </c>
      <c r="J374" s="1010">
        <f t="shared" si="85"/>
        <v>44.000000000000163</v>
      </c>
      <c r="K374" s="1011"/>
      <c r="L374" s="1012"/>
      <c r="M374" s="1013"/>
      <c r="N374" s="1014" t="str">
        <f t="shared" si="86"/>
        <v/>
      </c>
      <c r="O374" s="1323"/>
      <c r="P374" s="1324"/>
      <c r="Q374" s="1324"/>
      <c r="R374" s="1324"/>
      <c r="S374" s="1324"/>
      <c r="T374" s="1325"/>
      <c r="U374" s="1015">
        <v>1.8</v>
      </c>
      <c r="V374" s="1015"/>
      <c r="W374" s="1015"/>
      <c r="X374" s="1015"/>
      <c r="Y374" s="1015"/>
      <c r="Z374" s="1016">
        <f>'09월 에너지'!S376</f>
        <v>142.80000000000001</v>
      </c>
      <c r="AA374" s="1017"/>
      <c r="AB374" s="1208"/>
      <c r="AC374" s="1208"/>
      <c r="AD374" s="1208"/>
      <c r="AE374" s="1208"/>
      <c r="AF374" s="1208"/>
      <c r="AG374" s="1018">
        <f>'09월 화학성분'!AM374</f>
        <v>2037</v>
      </c>
      <c r="AH374" s="1006">
        <f t="shared" si="75"/>
        <v>44</v>
      </c>
      <c r="AI374" s="1019">
        <v>1595</v>
      </c>
      <c r="AJ374" s="1020">
        <v>0</v>
      </c>
      <c r="AK374" s="1021">
        <v>458</v>
      </c>
      <c r="AL374" s="1022">
        <v>9</v>
      </c>
      <c r="AM374" s="1155">
        <f>IF(AT374="","",3*'09월 에너지'!S376*(1/(3+7.8*(100-AT374)/AT374)))</f>
        <v>1.3945312500000002</v>
      </c>
      <c r="AN374" s="1023">
        <v>0.14027777777777778</v>
      </c>
      <c r="AO374" s="1024"/>
      <c r="AP374" s="1025"/>
      <c r="AQ374" s="1025"/>
      <c r="AR374" s="1149">
        <f t="shared" si="76"/>
        <v>3</v>
      </c>
      <c r="AS374" s="1093" t="str">
        <f t="shared" si="87"/>
        <v xml:space="preserve"> </v>
      </c>
      <c r="AT374" s="1156">
        <v>2.5</v>
      </c>
      <c r="AU374" s="449"/>
      <c r="AV374" s="1205"/>
    </row>
    <row r="375" spans="1:48" ht="16.5" customHeight="1">
      <c r="A375" s="1005">
        <f t="shared" si="77"/>
        <v>46278</v>
      </c>
      <c r="B375" s="1005">
        <f t="shared" si="78"/>
        <v>46278</v>
      </c>
      <c r="C375" s="1150">
        <f t="shared" si="79"/>
        <v>24</v>
      </c>
      <c r="D375" s="1150">
        <f t="shared" si="80"/>
        <v>364</v>
      </c>
      <c r="E375" s="1006" t="str">
        <f t="shared" si="81"/>
        <v>A</v>
      </c>
      <c r="F375" s="1007" t="str">
        <f t="shared" si="82"/>
        <v>B</v>
      </c>
      <c r="G375" s="1008">
        <f t="shared" si="83"/>
        <v>85577</v>
      </c>
      <c r="H375" s="1138">
        <f t="shared" si="84"/>
        <v>0.8979166666666667</v>
      </c>
      <c r="I375" s="1009">
        <v>0.9</v>
      </c>
      <c r="J375" s="1010">
        <f t="shared" si="85"/>
        <v>50.999999999999979</v>
      </c>
      <c r="K375" s="1011"/>
      <c r="L375" s="1012">
        <v>3</v>
      </c>
      <c r="M375" s="1013"/>
      <c r="N375" s="1014" t="str">
        <f t="shared" si="86"/>
        <v/>
      </c>
      <c r="O375" s="1323" t="s">
        <v>815</v>
      </c>
      <c r="P375" s="1324"/>
      <c r="Q375" s="1324"/>
      <c r="R375" s="1324"/>
      <c r="S375" s="1324"/>
      <c r="T375" s="1325"/>
      <c r="U375" s="1015">
        <v>1.8</v>
      </c>
      <c r="V375" s="1015"/>
      <c r="W375" s="1015"/>
      <c r="X375" s="1015"/>
      <c r="Y375" s="1015"/>
      <c r="Z375" s="1016">
        <f>'09월 에너지'!S377</f>
        <v>144.80000000000001</v>
      </c>
      <c r="AA375" s="1017">
        <v>2331</v>
      </c>
      <c r="AB375" s="1208" t="s">
        <v>808</v>
      </c>
      <c r="AC375" s="1208" t="s">
        <v>548</v>
      </c>
      <c r="AD375" s="1208"/>
      <c r="AE375" s="1208"/>
      <c r="AF375" s="1208" t="s">
        <v>548</v>
      </c>
      <c r="AG375" s="1018">
        <f>'09월 화학성분'!AM375</f>
        <v>1667</v>
      </c>
      <c r="AH375" s="1006">
        <f t="shared" si="75"/>
        <v>45</v>
      </c>
      <c r="AI375" s="1019">
        <v>1535</v>
      </c>
      <c r="AJ375" s="1020">
        <v>0</v>
      </c>
      <c r="AK375" s="1021">
        <v>314</v>
      </c>
      <c r="AL375" s="1022">
        <v>14</v>
      </c>
      <c r="AM375" s="1155">
        <f>IF(AT375="","",3*'09월 에너지'!S377*(1/(3+7.8*(100-AT375)/AT375)))</f>
        <v>1.070672478206725</v>
      </c>
      <c r="AN375" s="1023">
        <v>0.1423611111111111</v>
      </c>
      <c r="AO375" s="1024" t="s">
        <v>538</v>
      </c>
      <c r="AP375" s="1025">
        <v>2000103</v>
      </c>
      <c r="AQ375" s="1025">
        <v>2131</v>
      </c>
      <c r="AR375" s="1149" t="str">
        <f t="shared" si="76"/>
        <v/>
      </c>
      <c r="AS375" s="1093">
        <v>1</v>
      </c>
      <c r="AT375" s="1156">
        <v>1.9</v>
      </c>
      <c r="AU375" s="449"/>
      <c r="AV375" s="1205"/>
    </row>
    <row r="376" spans="1:48" ht="16.5" customHeight="1">
      <c r="A376" s="1005">
        <f t="shared" si="77"/>
        <v>46278</v>
      </c>
      <c r="B376" s="1005">
        <f t="shared" si="78"/>
        <v>46278</v>
      </c>
      <c r="C376" s="1150">
        <f t="shared" si="79"/>
        <v>25</v>
      </c>
      <c r="D376" s="1150">
        <f t="shared" si="80"/>
        <v>365</v>
      </c>
      <c r="E376" s="1006" t="str">
        <f t="shared" si="81"/>
        <v>A</v>
      </c>
      <c r="F376" s="1007" t="str">
        <f t="shared" si="82"/>
        <v>A</v>
      </c>
      <c r="G376" s="1008">
        <f t="shared" si="83"/>
        <v>85578</v>
      </c>
      <c r="H376" s="1138">
        <f t="shared" si="84"/>
        <v>0.93333333333333335</v>
      </c>
      <c r="I376" s="1009">
        <v>0.9291666666666667</v>
      </c>
      <c r="J376" s="1010">
        <f t="shared" si="85"/>
        <v>42.000000000000014</v>
      </c>
      <c r="K376" s="1011"/>
      <c r="L376" s="1012"/>
      <c r="M376" s="1013"/>
      <c r="N376" s="1014" t="str">
        <f t="shared" si="86"/>
        <v/>
      </c>
      <c r="O376" s="1323"/>
      <c r="P376" s="1324"/>
      <c r="Q376" s="1324"/>
      <c r="R376" s="1324"/>
      <c r="S376" s="1324"/>
      <c r="T376" s="1325"/>
      <c r="U376" s="1015">
        <v>1.8</v>
      </c>
      <c r="V376" s="1015"/>
      <c r="W376" s="1015"/>
      <c r="X376" s="1015"/>
      <c r="Y376" s="1015"/>
      <c r="Z376" s="1016">
        <f>'09월 에너지'!S378</f>
        <v>143.5</v>
      </c>
      <c r="AA376" s="1017"/>
      <c r="AB376" s="1208"/>
      <c r="AC376" s="1208"/>
      <c r="AD376" s="1208"/>
      <c r="AE376" s="1208"/>
      <c r="AF376" s="1208"/>
      <c r="AG376" s="1018">
        <f>'09월 화학성분'!AM376</f>
        <v>2136</v>
      </c>
      <c r="AH376" s="1006">
        <f t="shared" si="75"/>
        <v>46</v>
      </c>
      <c r="AI376" s="1019">
        <v>1584</v>
      </c>
      <c r="AJ376" s="1020">
        <v>0</v>
      </c>
      <c r="AK376" s="1021">
        <v>606</v>
      </c>
      <c r="AL376" s="1022">
        <v>6</v>
      </c>
      <c r="AM376" s="1155">
        <f>IF(AT376="","",3*'09월 에너지'!S378*(1/(3+7.8*(100-AT376)/AT376)))</f>
        <v>1.572479649342517</v>
      </c>
      <c r="AN376" s="1023">
        <v>0.1423611111111111</v>
      </c>
      <c r="AO376" s="1024"/>
      <c r="AP376" s="1025"/>
      <c r="AQ376" s="1025"/>
      <c r="AR376" s="1149">
        <f t="shared" si="76"/>
        <v>4</v>
      </c>
      <c r="AS376" s="1093" t="str">
        <f t="shared" si="87"/>
        <v xml:space="preserve"> </v>
      </c>
      <c r="AT376" s="1156">
        <v>2.8</v>
      </c>
      <c r="AU376" s="449"/>
      <c r="AV376" s="1205"/>
    </row>
    <row r="377" spans="1:48" ht="16.5" customHeight="1">
      <c r="A377" s="1005">
        <f t="shared" si="77"/>
        <v>46278</v>
      </c>
      <c r="B377" s="1005">
        <f t="shared" si="78"/>
        <v>46278</v>
      </c>
      <c r="C377" s="1150">
        <f t="shared" si="79"/>
        <v>26</v>
      </c>
      <c r="D377" s="1150">
        <f t="shared" si="80"/>
        <v>366</v>
      </c>
      <c r="E377" s="1006" t="s">
        <v>600</v>
      </c>
      <c r="F377" s="1007" t="str">
        <f t="shared" si="82"/>
        <v>B</v>
      </c>
      <c r="G377" s="1008">
        <f t="shared" si="83"/>
        <v>85579</v>
      </c>
      <c r="H377" s="1138">
        <f t="shared" si="84"/>
        <v>0.96250000000000002</v>
      </c>
      <c r="I377" s="1009">
        <v>0.96388888888888891</v>
      </c>
      <c r="J377" s="1010">
        <f t="shared" si="85"/>
        <v>49.999999999999986</v>
      </c>
      <c r="K377" s="1011"/>
      <c r="L377" s="1012"/>
      <c r="M377" s="1013"/>
      <c r="N377" s="1014" t="str">
        <f t="shared" si="86"/>
        <v/>
      </c>
      <c r="O377" s="1326" t="s">
        <v>814</v>
      </c>
      <c r="P377" s="1327"/>
      <c r="Q377" s="1327"/>
      <c r="R377" s="1327"/>
      <c r="S377" s="1327"/>
      <c r="T377" s="1328"/>
      <c r="U377" s="1015">
        <v>1.8</v>
      </c>
      <c r="V377" s="1015"/>
      <c r="W377" s="1015"/>
      <c r="X377" s="1015"/>
      <c r="Y377" s="1015"/>
      <c r="Z377" s="1016">
        <f>'09월 에너지'!S379</f>
        <v>142.4</v>
      </c>
      <c r="AA377" s="1017"/>
      <c r="AB377" s="1208"/>
      <c r="AC377" s="1208"/>
      <c r="AD377" s="1208"/>
      <c r="AE377" s="1208"/>
      <c r="AF377" s="1208"/>
      <c r="AG377" s="1018">
        <f>'09월 화학성분'!AM377</f>
        <v>2320</v>
      </c>
      <c r="AH377" s="1006">
        <f t="shared" si="75"/>
        <v>47</v>
      </c>
      <c r="AI377" s="1019">
        <v>1584</v>
      </c>
      <c r="AJ377" s="1020">
        <v>0</v>
      </c>
      <c r="AK377" s="1021">
        <v>334</v>
      </c>
      <c r="AL377" s="1022">
        <v>14</v>
      </c>
      <c r="AM377" s="1155">
        <f>IF(AT377="","",3*'09월 에너지'!S379*(1/(3+7.8*(100-AT377)/AT377)))</f>
        <v>0.99688861232109527</v>
      </c>
      <c r="AN377" s="1023">
        <v>0.13472222222222222</v>
      </c>
      <c r="AO377" s="1024"/>
      <c r="AP377" s="1025"/>
      <c r="AQ377" s="1025"/>
      <c r="AR377" s="1149" t="str">
        <f t="shared" si="76"/>
        <v/>
      </c>
      <c r="AS377" s="1093">
        <f t="shared" si="87"/>
        <v>2</v>
      </c>
      <c r="AT377" s="1156">
        <v>1.8</v>
      </c>
      <c r="AU377" s="449"/>
      <c r="AV377" s="1205"/>
    </row>
    <row r="378" spans="1:48" ht="16.5" customHeight="1">
      <c r="A378" s="1005">
        <f t="shared" si="77"/>
        <v>46278</v>
      </c>
      <c r="B378" s="1005">
        <f t="shared" si="78"/>
        <v>46278</v>
      </c>
      <c r="C378" s="1150">
        <f t="shared" si="79"/>
        <v>27</v>
      </c>
      <c r="D378" s="1150">
        <f t="shared" si="80"/>
        <v>367</v>
      </c>
      <c r="E378" s="1006" t="str">
        <f t="shared" si="81"/>
        <v>B</v>
      </c>
      <c r="F378" s="1007" t="str">
        <f t="shared" si="82"/>
        <v>A</v>
      </c>
      <c r="G378" s="1008">
        <f t="shared" si="83"/>
        <v>85580</v>
      </c>
      <c r="H378" s="1138">
        <f t="shared" si="84"/>
        <v>0.99722222222222223</v>
      </c>
      <c r="I378" s="1009">
        <v>0.99236111111111114</v>
      </c>
      <c r="J378" s="1010">
        <f t="shared" si="85"/>
        <v>41.000000000000014</v>
      </c>
      <c r="K378" s="1011"/>
      <c r="L378" s="1012"/>
      <c r="M378" s="1013"/>
      <c r="N378" s="1014" t="str">
        <f t="shared" si="86"/>
        <v/>
      </c>
      <c r="O378" s="1323"/>
      <c r="P378" s="1324"/>
      <c r="Q378" s="1324"/>
      <c r="R378" s="1324"/>
      <c r="S378" s="1324"/>
      <c r="T378" s="1325"/>
      <c r="U378" s="1015">
        <v>1.8</v>
      </c>
      <c r="V378" s="1015"/>
      <c r="W378" s="1015"/>
      <c r="X378" s="1015"/>
      <c r="Y378" s="1015"/>
      <c r="Z378" s="1016">
        <f>'09월 에너지'!S380</f>
        <v>147.1</v>
      </c>
      <c r="AA378" s="1017"/>
      <c r="AB378" s="1208"/>
      <c r="AC378" s="1208"/>
      <c r="AD378" s="1208"/>
      <c r="AE378" s="1208"/>
      <c r="AF378" s="1208"/>
      <c r="AG378" s="1018">
        <f>'09월 화학성분'!AM378</f>
        <v>2071</v>
      </c>
      <c r="AH378" s="1006">
        <f t="shared" si="75"/>
        <v>48</v>
      </c>
      <c r="AI378" s="1019">
        <v>1600</v>
      </c>
      <c r="AJ378" s="1020">
        <v>0</v>
      </c>
      <c r="AK378" s="1021">
        <v>501</v>
      </c>
      <c r="AL378" s="1022">
        <v>8</v>
      </c>
      <c r="AM378" s="1155">
        <f>IF(AT378="","",3*'09월 에너지'!S380*(1/(3+7.8*(100-AT378)/AT378)))</f>
        <v>1.5533870463078849</v>
      </c>
      <c r="AN378" s="1023">
        <v>0.13958333333333334</v>
      </c>
      <c r="AO378" s="1024"/>
      <c r="AP378" s="1025"/>
      <c r="AQ378" s="1025"/>
      <c r="AR378" s="1149">
        <f t="shared" si="76"/>
        <v>5</v>
      </c>
      <c r="AS378" s="1093" t="str">
        <f t="shared" si="87"/>
        <v xml:space="preserve"> </v>
      </c>
      <c r="AT378" s="1156">
        <v>2.7</v>
      </c>
      <c r="AU378" s="449"/>
      <c r="AV378" s="1205"/>
    </row>
    <row r="379" spans="1:48" ht="16.5" customHeight="1">
      <c r="A379" s="1005">
        <f t="shared" si="77"/>
        <v>46278</v>
      </c>
      <c r="B379" s="1005">
        <f t="shared" si="78"/>
        <v>46278</v>
      </c>
      <c r="C379" s="1150">
        <f t="shared" si="79"/>
        <v>28</v>
      </c>
      <c r="D379" s="1150">
        <f t="shared" si="80"/>
        <v>368</v>
      </c>
      <c r="E379" s="1006" t="str">
        <f t="shared" si="81"/>
        <v>B</v>
      </c>
      <c r="F379" s="1007" t="str">
        <f t="shared" si="82"/>
        <v>B</v>
      </c>
      <c r="G379" s="1008">
        <f t="shared" si="83"/>
        <v>85581</v>
      </c>
      <c r="H379" s="1138">
        <f t="shared" si="84"/>
        <v>1.0256944444444445</v>
      </c>
      <c r="I379" s="1009">
        <v>2.8472222222222222E-2</v>
      </c>
      <c r="J379" s="1010">
        <f t="shared" si="85"/>
        <v>52</v>
      </c>
      <c r="K379" s="1011"/>
      <c r="L379" s="1012"/>
      <c r="M379" s="1013"/>
      <c r="N379" s="1014" t="str">
        <f t="shared" si="86"/>
        <v/>
      </c>
      <c r="O379" s="1323"/>
      <c r="P379" s="1324"/>
      <c r="Q379" s="1324"/>
      <c r="R379" s="1324"/>
      <c r="S379" s="1324"/>
      <c r="T379" s="1325"/>
      <c r="U379" s="1015">
        <v>1.8</v>
      </c>
      <c r="V379" s="1015"/>
      <c r="W379" s="1015"/>
      <c r="X379" s="1015"/>
      <c r="Y379" s="1015"/>
      <c r="Z379" s="1016">
        <f>'09월 에너지'!S381</f>
        <v>144.1</v>
      </c>
      <c r="AA379" s="1017"/>
      <c r="AB379" s="1208"/>
      <c r="AC379" s="1208"/>
      <c r="AD379" s="1208"/>
      <c r="AE379" s="1208"/>
      <c r="AF379" s="1208"/>
      <c r="AG379" s="1018">
        <f>'09월 화학성분'!AM379</f>
        <v>2538</v>
      </c>
      <c r="AH379" s="1006">
        <f t="shared" si="75"/>
        <v>49</v>
      </c>
      <c r="AI379" s="1019">
        <v>1586</v>
      </c>
      <c r="AJ379" s="1020">
        <v>0</v>
      </c>
      <c r="AK379" s="1021">
        <v>295</v>
      </c>
      <c r="AL379" s="1022">
        <v>16</v>
      </c>
      <c r="AM379" s="1155">
        <f>IF(AT379="","",3*'09월 에너지'!S381*(1/(3+7.8*(100-AT379)/AT379)))</f>
        <v>1.0087896701929058</v>
      </c>
      <c r="AN379" s="1023">
        <v>0.13055555555555556</v>
      </c>
      <c r="AO379" s="1024"/>
      <c r="AP379" s="1025"/>
      <c r="AQ379" s="1025"/>
      <c r="AR379" s="1149" t="str">
        <f t="shared" si="76"/>
        <v/>
      </c>
      <c r="AS379" s="1093">
        <f t="shared" si="87"/>
        <v>3</v>
      </c>
      <c r="AT379" s="1156">
        <v>1.8</v>
      </c>
      <c r="AU379" s="449"/>
      <c r="AV379" s="1205"/>
    </row>
    <row r="380" spans="1:48" ht="16.5" customHeight="1">
      <c r="A380" s="1005">
        <f t="shared" si="77"/>
        <v>46278</v>
      </c>
      <c r="B380" s="1005">
        <f t="shared" si="78"/>
        <v>46278</v>
      </c>
      <c r="C380" s="1150">
        <f t="shared" si="79"/>
        <v>29</v>
      </c>
      <c r="D380" s="1150">
        <f t="shared" si="80"/>
        <v>369</v>
      </c>
      <c r="E380" s="1006" t="str">
        <f t="shared" si="81"/>
        <v>B</v>
      </c>
      <c r="F380" s="1007" t="str">
        <f t="shared" si="82"/>
        <v>A</v>
      </c>
      <c r="G380" s="1008">
        <f t="shared" si="83"/>
        <v>85582</v>
      </c>
      <c r="H380" s="1138">
        <f t="shared" si="84"/>
        <v>6.1805555555555558E-2</v>
      </c>
      <c r="I380" s="1009">
        <v>5.7638888888888885E-2</v>
      </c>
      <c r="J380" s="1010">
        <f t="shared" si="85"/>
        <v>41.999999999999993</v>
      </c>
      <c r="K380" s="1011"/>
      <c r="L380" s="1012"/>
      <c r="M380" s="1013"/>
      <c r="N380" s="1014" t="str">
        <f t="shared" si="86"/>
        <v/>
      </c>
      <c r="O380" s="1323"/>
      <c r="P380" s="1324"/>
      <c r="Q380" s="1324"/>
      <c r="R380" s="1324"/>
      <c r="S380" s="1324"/>
      <c r="T380" s="1325"/>
      <c r="U380" s="1015">
        <v>1.8</v>
      </c>
      <c r="V380" s="1015"/>
      <c r="W380" s="1015"/>
      <c r="X380" s="1015"/>
      <c r="Y380" s="1015"/>
      <c r="Z380" s="1016">
        <f>'09월 에너지'!S382</f>
        <v>146</v>
      </c>
      <c r="AA380" s="1017"/>
      <c r="AB380" s="1208"/>
      <c r="AC380" s="1208"/>
      <c r="AD380" s="1208"/>
      <c r="AE380" s="1208"/>
      <c r="AF380" s="1208"/>
      <c r="AG380" s="1018">
        <f>'09월 화학성분'!AM380</f>
        <v>1658</v>
      </c>
      <c r="AH380" s="1006">
        <f t="shared" si="75"/>
        <v>50</v>
      </c>
      <c r="AI380" s="1019">
        <v>1590</v>
      </c>
      <c r="AJ380" s="1020">
        <v>72</v>
      </c>
      <c r="AK380" s="1021">
        <v>442</v>
      </c>
      <c r="AL380" s="1022">
        <v>9</v>
      </c>
      <c r="AM380" s="1155">
        <f>IF(AT380="","",3*'09월 에너지'!S382*(1/(3+7.8*(100-AT380)/AT380)))</f>
        <v>1.3678950655840101</v>
      </c>
      <c r="AN380" s="1023">
        <v>0.1388888888888889</v>
      </c>
      <c r="AO380" s="1024"/>
      <c r="AP380" s="1025"/>
      <c r="AQ380" s="1025"/>
      <c r="AR380" s="1149">
        <f t="shared" si="76"/>
        <v>6</v>
      </c>
      <c r="AS380" s="1093" t="str">
        <f t="shared" si="87"/>
        <v xml:space="preserve"> </v>
      </c>
      <c r="AT380" s="1156">
        <v>2.4</v>
      </c>
      <c r="AU380" s="449"/>
      <c r="AV380" s="1205"/>
    </row>
    <row r="381" spans="1:48" ht="16.5" customHeight="1">
      <c r="A381" s="1005">
        <f t="shared" si="77"/>
        <v>46278</v>
      </c>
      <c r="B381" s="1005">
        <f t="shared" si="78"/>
        <v>46278</v>
      </c>
      <c r="C381" s="1150">
        <f t="shared" si="79"/>
        <v>30</v>
      </c>
      <c r="D381" s="1150">
        <f t="shared" si="80"/>
        <v>370</v>
      </c>
      <c r="E381" s="1006" t="str">
        <f t="shared" si="81"/>
        <v>B</v>
      </c>
      <c r="F381" s="1007" t="str">
        <f t="shared" si="82"/>
        <v>B</v>
      </c>
      <c r="G381" s="1008">
        <f t="shared" si="83"/>
        <v>85583</v>
      </c>
      <c r="H381" s="1138">
        <f t="shared" si="84"/>
        <v>9.0972222222222218E-2</v>
      </c>
      <c r="I381" s="1009">
        <v>9.0277777777777776E-2</v>
      </c>
      <c r="J381" s="1010">
        <f t="shared" si="85"/>
        <v>47</v>
      </c>
      <c r="K381" s="1011"/>
      <c r="L381" s="1012"/>
      <c r="M381" s="1013"/>
      <c r="N381" s="1014" t="str">
        <f t="shared" si="86"/>
        <v/>
      </c>
      <c r="O381" s="1326" t="s">
        <v>816</v>
      </c>
      <c r="P381" s="1327"/>
      <c r="Q381" s="1327"/>
      <c r="R381" s="1327"/>
      <c r="S381" s="1327"/>
      <c r="T381" s="1328"/>
      <c r="U381" s="1015">
        <v>1.8</v>
      </c>
      <c r="V381" s="1015">
        <v>2.7</v>
      </c>
      <c r="W381" s="1015">
        <v>1.4</v>
      </c>
      <c r="X381" s="1015"/>
      <c r="Y381" s="1015"/>
      <c r="Z381" s="1016">
        <f>'09월 에너지'!S383</f>
        <v>139.80000000000001</v>
      </c>
      <c r="AA381" s="1017"/>
      <c r="AB381" s="1208"/>
      <c r="AC381" s="1208"/>
      <c r="AD381" s="1208"/>
      <c r="AE381" s="1208"/>
      <c r="AF381" s="1208"/>
      <c r="AG381" s="1018">
        <f>'09월 화학성분'!AM381</f>
        <v>1161</v>
      </c>
      <c r="AH381" s="1006">
        <f t="shared" si="75"/>
        <v>51</v>
      </c>
      <c r="AI381" s="1019">
        <v>1603</v>
      </c>
      <c r="AJ381" s="1020">
        <v>0</v>
      </c>
      <c r="AK381" s="1021">
        <v>918</v>
      </c>
      <c r="AL381" s="1022">
        <v>4</v>
      </c>
      <c r="AM381" s="1155">
        <f>IF(AT381="","",3*'09월 에너지'!S383*(1/(3+7.8*(100-AT381)/AT381)))</f>
        <v>1.3652343750000002</v>
      </c>
      <c r="AN381" s="1023">
        <v>0.14861111111111111</v>
      </c>
      <c r="AO381" s="1024"/>
      <c r="AP381" s="1025"/>
      <c r="AQ381" s="1025"/>
      <c r="AR381" s="1149" t="str">
        <f t="shared" si="76"/>
        <v/>
      </c>
      <c r="AS381" s="1093">
        <f t="shared" si="87"/>
        <v>4</v>
      </c>
      <c r="AT381" s="1156">
        <v>2.5</v>
      </c>
      <c r="AU381" s="449"/>
      <c r="AV381" s="1205"/>
    </row>
    <row r="382" spans="1:48" ht="16.5" customHeight="1">
      <c r="A382" s="1005">
        <f t="shared" si="77"/>
        <v>46278</v>
      </c>
      <c r="B382" s="1005">
        <f t="shared" si="78"/>
        <v>46278</v>
      </c>
      <c r="C382" s="1150">
        <f t="shared" si="79"/>
        <v>31</v>
      </c>
      <c r="D382" s="1150">
        <f t="shared" si="80"/>
        <v>371</v>
      </c>
      <c r="E382" s="1006" t="str">
        <f t="shared" si="81"/>
        <v>B</v>
      </c>
      <c r="F382" s="1007" t="str">
        <f t="shared" si="82"/>
        <v>A</v>
      </c>
      <c r="G382" s="1008">
        <f t="shared" si="83"/>
        <v>85584</v>
      </c>
      <c r="H382" s="1138">
        <f t="shared" si="84"/>
        <v>0.12361111111111112</v>
      </c>
      <c r="I382" s="1009">
        <v>0.11944444444444445</v>
      </c>
      <c r="J382" s="1010">
        <f t="shared" si="85"/>
        <v>42.000000000000014</v>
      </c>
      <c r="K382" s="1011"/>
      <c r="L382" s="1012"/>
      <c r="M382" s="1013"/>
      <c r="N382" s="1014" t="str">
        <f t="shared" si="86"/>
        <v/>
      </c>
      <c r="O382" s="1323"/>
      <c r="P382" s="1324"/>
      <c r="Q382" s="1324"/>
      <c r="R382" s="1324"/>
      <c r="S382" s="1324"/>
      <c r="T382" s="1325"/>
      <c r="U382" s="1015">
        <v>1.8</v>
      </c>
      <c r="V382" s="1015" t="s">
        <v>651</v>
      </c>
      <c r="W382" s="1015"/>
      <c r="X382" s="1015"/>
      <c r="Y382" s="1015"/>
      <c r="Z382" s="1016">
        <f>'09월 에너지'!S384</f>
        <v>148</v>
      </c>
      <c r="AA382" s="1017"/>
      <c r="AB382" s="1208"/>
      <c r="AC382" s="1208"/>
      <c r="AD382" s="1208"/>
      <c r="AE382" s="1208"/>
      <c r="AF382" s="1208"/>
      <c r="AG382" s="1018">
        <f>'09월 화학성분'!AM382</f>
        <v>1418</v>
      </c>
      <c r="AH382" s="1006">
        <f t="shared" si="75"/>
        <v>52</v>
      </c>
      <c r="AI382" s="1019">
        <v>1605</v>
      </c>
      <c r="AJ382" s="1020">
        <v>0</v>
      </c>
      <c r="AK382" s="1021">
        <v>655</v>
      </c>
      <c r="AL382" s="1022">
        <v>6</v>
      </c>
      <c r="AM382" s="1155">
        <f>IF(AT382="","",3*'09월 에너지'!S384*(1/(3+7.8*(100-AT382)/AT382)))</f>
        <v>1.7398119122257052</v>
      </c>
      <c r="AN382" s="1023">
        <v>0.15972222222222224</v>
      </c>
      <c r="AO382" s="1024"/>
      <c r="AP382" s="1025"/>
      <c r="AQ382" s="1025"/>
      <c r="AR382" s="1149">
        <f t="shared" si="76"/>
        <v>7</v>
      </c>
      <c r="AS382" s="1093" t="str">
        <f t="shared" si="87"/>
        <v xml:space="preserve"> </v>
      </c>
      <c r="AT382" s="1156">
        <v>3</v>
      </c>
      <c r="AU382" s="449"/>
      <c r="AV382" s="1205"/>
    </row>
    <row r="383" spans="1:48" ht="16.5" customHeight="1">
      <c r="A383" s="1005">
        <v>46279</v>
      </c>
      <c r="B383" s="1005">
        <f t="shared" si="78"/>
        <v>46278</v>
      </c>
      <c r="C383" s="1150">
        <f t="shared" si="79"/>
        <v>1</v>
      </c>
      <c r="D383" s="1150">
        <f t="shared" si="80"/>
        <v>372</v>
      </c>
      <c r="E383" s="1006" t="str">
        <f t="shared" si="81"/>
        <v>B</v>
      </c>
      <c r="F383" s="1007" t="str">
        <f t="shared" si="82"/>
        <v>B</v>
      </c>
      <c r="G383" s="1008">
        <f t="shared" si="83"/>
        <v>85585</v>
      </c>
      <c r="H383" s="1138">
        <f t="shared" si="84"/>
        <v>0.15277777777777779</v>
      </c>
      <c r="I383" s="1009">
        <v>0.15138888888888888</v>
      </c>
      <c r="J383" s="1010">
        <f t="shared" si="85"/>
        <v>45.999999999999979</v>
      </c>
      <c r="K383" s="1011"/>
      <c r="L383" s="1012"/>
      <c r="M383" s="1013"/>
      <c r="N383" s="1014" t="str">
        <f t="shared" si="86"/>
        <v/>
      </c>
      <c r="O383" s="1338" t="s">
        <v>818</v>
      </c>
      <c r="P383" s="1339"/>
      <c r="Q383" s="1339"/>
      <c r="R383" s="1339"/>
      <c r="S383" s="1339"/>
      <c r="T383" s="1340"/>
      <c r="U383" s="1015">
        <v>1.8</v>
      </c>
      <c r="V383" s="1015"/>
      <c r="W383" s="1015"/>
      <c r="X383" s="1015"/>
      <c r="Y383" s="1015"/>
      <c r="Z383" s="1016">
        <f>'09월 에너지'!S385</f>
        <v>144.69999999999999</v>
      </c>
      <c r="AA383" s="1017"/>
      <c r="AB383" s="1208"/>
      <c r="AC383" s="1208"/>
      <c r="AD383" s="1208"/>
      <c r="AE383" s="1208"/>
      <c r="AF383" s="1208"/>
      <c r="AG383" s="1018">
        <f>'09월 화학성분'!AM383</f>
        <v>1993</v>
      </c>
      <c r="AH383" s="1235">
        <v>1</v>
      </c>
      <c r="AI383" s="1019">
        <v>1544</v>
      </c>
      <c r="AJ383" s="1020">
        <v>70</v>
      </c>
      <c r="AK383" s="1021">
        <v>291</v>
      </c>
      <c r="AL383" s="1022">
        <v>15</v>
      </c>
      <c r="AM383" s="1155">
        <f>IF(AT383="","",3*'09월 에너지'!S385*(1/(3+7.8*(100-AT383)/AT383)))</f>
        <v>2.165485192186515</v>
      </c>
      <c r="AN383" s="1023">
        <v>0.16597222222222222</v>
      </c>
      <c r="AO383" s="1024"/>
      <c r="AP383" s="1025"/>
      <c r="AQ383" s="1025"/>
      <c r="AR383" s="1149" t="str">
        <f t="shared" si="76"/>
        <v/>
      </c>
      <c r="AS383" s="1093">
        <f t="shared" si="87"/>
        <v>5</v>
      </c>
      <c r="AT383" s="1156">
        <v>3.8</v>
      </c>
      <c r="AU383" s="449"/>
      <c r="AV383" s="1205"/>
    </row>
    <row r="384" spans="1:48" ht="16.5" customHeight="1">
      <c r="A384" s="1005">
        <f t="shared" si="77"/>
        <v>46279</v>
      </c>
      <c r="B384" s="1005">
        <f t="shared" si="78"/>
        <v>46278</v>
      </c>
      <c r="C384" s="1150">
        <f t="shared" si="79"/>
        <v>2</v>
      </c>
      <c r="D384" s="1150">
        <f t="shared" si="80"/>
        <v>373</v>
      </c>
      <c r="E384" s="1006" t="str">
        <f t="shared" si="81"/>
        <v>B</v>
      </c>
      <c r="F384" s="1007" t="str">
        <f t="shared" si="82"/>
        <v>A</v>
      </c>
      <c r="G384" s="1008">
        <f t="shared" si="83"/>
        <v>85586</v>
      </c>
      <c r="H384" s="1138">
        <f t="shared" si="84"/>
        <v>0.1847222222222222</v>
      </c>
      <c r="I384" s="1009">
        <v>0.18611111111111112</v>
      </c>
      <c r="J384" s="1010">
        <f t="shared" si="85"/>
        <v>50.000000000000021</v>
      </c>
      <c r="K384" s="1011"/>
      <c r="L384" s="1012"/>
      <c r="M384" s="1013"/>
      <c r="N384" s="1014" t="str">
        <f t="shared" si="86"/>
        <v/>
      </c>
      <c r="O384" s="1323" t="s">
        <v>530</v>
      </c>
      <c r="P384" s="1324"/>
      <c r="Q384" s="1324"/>
      <c r="R384" s="1324"/>
      <c r="S384" s="1324"/>
      <c r="T384" s="1325"/>
      <c r="U384" s="1015">
        <v>1.8</v>
      </c>
      <c r="V384" s="1015"/>
      <c r="W384" s="1015"/>
      <c r="X384" s="1015"/>
      <c r="Y384" s="1015"/>
      <c r="Z384" s="1016">
        <f>'09월 에너지'!S386</f>
        <v>144.1</v>
      </c>
      <c r="AA384" s="1017">
        <v>2519</v>
      </c>
      <c r="AB384" s="1208" t="s">
        <v>808</v>
      </c>
      <c r="AC384" s="1208" t="s">
        <v>548</v>
      </c>
      <c r="AD384" s="1208"/>
      <c r="AE384" s="1208"/>
      <c r="AF384" s="1208" t="s">
        <v>548</v>
      </c>
      <c r="AG384" s="1018">
        <f>'09월 화학성분'!AM384</f>
        <v>1813</v>
      </c>
      <c r="AH384" s="1006">
        <f t="shared" si="75"/>
        <v>2</v>
      </c>
      <c r="AI384" s="1019">
        <v>1563</v>
      </c>
      <c r="AJ384" s="1020">
        <v>0</v>
      </c>
      <c r="AK384" s="1021">
        <v>322</v>
      </c>
      <c r="AL384" s="1022">
        <v>14</v>
      </c>
      <c r="AM384" s="1155">
        <f>IF(AT384="","",3*'09월 에너지'!S386*(1/(3+7.8*(100-AT384)/AT384)))</f>
        <v>1.0654965753424657</v>
      </c>
      <c r="AN384" s="1023">
        <v>0.16319444444444445</v>
      </c>
      <c r="AO384" s="1024"/>
      <c r="AP384" s="1025"/>
      <c r="AQ384" s="1025"/>
      <c r="AR384" s="1149">
        <f t="shared" si="76"/>
        <v>8</v>
      </c>
      <c r="AS384" s="1093" t="str">
        <f t="shared" si="87"/>
        <v xml:space="preserve"> </v>
      </c>
      <c r="AT384" s="1156">
        <v>1.9</v>
      </c>
      <c r="AU384" s="449"/>
      <c r="AV384" s="1205"/>
    </row>
    <row r="385" spans="1:48" ht="16.5" customHeight="1">
      <c r="A385" s="1005">
        <f t="shared" si="77"/>
        <v>46279</v>
      </c>
      <c r="B385" s="1005">
        <f t="shared" si="78"/>
        <v>46278</v>
      </c>
      <c r="C385" s="1150">
        <f t="shared" si="79"/>
        <v>3</v>
      </c>
      <c r="D385" s="1150">
        <f t="shared" si="80"/>
        <v>374</v>
      </c>
      <c r="E385" s="1006" t="str">
        <f t="shared" si="81"/>
        <v>B</v>
      </c>
      <c r="F385" s="1007" t="str">
        <f t="shared" si="82"/>
        <v>B</v>
      </c>
      <c r="G385" s="1008">
        <f t="shared" si="83"/>
        <v>85587</v>
      </c>
      <c r="H385" s="1138">
        <f t="shared" si="84"/>
        <v>0.21944444444444444</v>
      </c>
      <c r="I385" s="1009">
        <v>0.22152777777777777</v>
      </c>
      <c r="J385" s="1010">
        <f t="shared" si="85"/>
        <v>50.999999999999979</v>
      </c>
      <c r="K385" s="1011"/>
      <c r="L385" s="1012"/>
      <c r="M385" s="1013"/>
      <c r="N385" s="1014" t="str">
        <f t="shared" si="86"/>
        <v/>
      </c>
      <c r="O385" s="1326" t="s">
        <v>817</v>
      </c>
      <c r="P385" s="1327"/>
      <c r="Q385" s="1327"/>
      <c r="R385" s="1327"/>
      <c r="S385" s="1327"/>
      <c r="T385" s="1328"/>
      <c r="U385" s="1015">
        <v>1.8</v>
      </c>
      <c r="V385" s="1015">
        <v>2.6</v>
      </c>
      <c r="W385" s="1015">
        <v>1.5</v>
      </c>
      <c r="X385" s="1015"/>
      <c r="Y385" s="1015"/>
      <c r="Z385" s="1016">
        <f>'09월 에너지'!S387</f>
        <v>141.1</v>
      </c>
      <c r="AA385" s="1017">
        <v>2293</v>
      </c>
      <c r="AB385" s="1208" t="s">
        <v>808</v>
      </c>
      <c r="AC385" s="1208" t="s">
        <v>548</v>
      </c>
      <c r="AD385" s="1208"/>
      <c r="AE385" s="1208"/>
      <c r="AF385" s="1208" t="s">
        <v>548</v>
      </c>
      <c r="AG385" s="1018">
        <f>'09월 화학성분'!AM385</f>
        <v>1600</v>
      </c>
      <c r="AH385" s="1006">
        <f t="shared" si="75"/>
        <v>3</v>
      </c>
      <c r="AI385" s="1019">
        <v>1585</v>
      </c>
      <c r="AJ385" s="1020">
        <v>0</v>
      </c>
      <c r="AK385" s="1021">
        <v>511</v>
      </c>
      <c r="AL385" s="1022">
        <v>8</v>
      </c>
      <c r="AM385" s="1155">
        <f>IF(AT385="","",3*'09월 에너지'!S387*(1/(3+7.8*(100-AT385)/AT385)))</f>
        <v>1.0989096573208723</v>
      </c>
      <c r="AN385" s="1023">
        <v>0.14375000000000002</v>
      </c>
      <c r="AO385" s="1024"/>
      <c r="AP385" s="1025"/>
      <c r="AQ385" s="1025"/>
      <c r="AR385" s="1149" t="str">
        <f t="shared" si="76"/>
        <v/>
      </c>
      <c r="AS385" s="1093">
        <f t="shared" si="87"/>
        <v>6</v>
      </c>
      <c r="AT385" s="1156">
        <v>2</v>
      </c>
      <c r="AU385" s="449"/>
      <c r="AV385" s="1205"/>
    </row>
    <row r="386" spans="1:48" ht="16.5" customHeight="1">
      <c r="A386" s="1005">
        <f t="shared" si="77"/>
        <v>46279</v>
      </c>
      <c r="B386" s="1005">
        <f t="shared" si="78"/>
        <v>46278</v>
      </c>
      <c r="C386" s="1150">
        <f t="shared" si="79"/>
        <v>4</v>
      </c>
      <c r="D386" s="1150">
        <f t="shared" si="80"/>
        <v>375</v>
      </c>
      <c r="E386" s="1006" t="str">
        <f t="shared" si="81"/>
        <v>B</v>
      </c>
      <c r="F386" s="1007" t="str">
        <f t="shared" si="82"/>
        <v>A</v>
      </c>
      <c r="G386" s="1008">
        <f t="shared" si="83"/>
        <v>85588</v>
      </c>
      <c r="H386" s="1138">
        <f t="shared" si="84"/>
        <v>0.25486111111111109</v>
      </c>
      <c r="I386" s="1009">
        <v>0.25138888888888888</v>
      </c>
      <c r="J386" s="1010">
        <f t="shared" si="85"/>
        <v>43.000000000000007</v>
      </c>
      <c r="K386" s="1011"/>
      <c r="L386" s="1012"/>
      <c r="M386" s="1013"/>
      <c r="N386" s="1014" t="str">
        <f t="shared" si="86"/>
        <v/>
      </c>
      <c r="O386" s="1323" t="s">
        <v>820</v>
      </c>
      <c r="P386" s="1324"/>
      <c r="Q386" s="1324"/>
      <c r="R386" s="1324"/>
      <c r="S386" s="1324"/>
      <c r="T386" s="1325"/>
      <c r="U386" s="1015">
        <v>1.8</v>
      </c>
      <c r="V386" s="1015" t="s">
        <v>599</v>
      </c>
      <c r="W386" s="1015"/>
      <c r="X386" s="1015"/>
      <c r="Y386" s="1015"/>
      <c r="Z386" s="1016">
        <f>'09월 에너지'!S388</f>
        <v>142.80000000000001</v>
      </c>
      <c r="AA386" s="1017"/>
      <c r="AB386" s="1208"/>
      <c r="AC386" s="1208"/>
      <c r="AD386" s="1208"/>
      <c r="AE386" s="1208"/>
      <c r="AF386" s="1208"/>
      <c r="AG386" s="1018">
        <f>'09월 화학성분'!AM386</f>
        <v>1611</v>
      </c>
      <c r="AH386" s="1006">
        <f t="shared" si="75"/>
        <v>4</v>
      </c>
      <c r="AI386" s="1019">
        <v>1593</v>
      </c>
      <c r="AJ386" s="1020">
        <v>0</v>
      </c>
      <c r="AK386" s="1021">
        <v>370</v>
      </c>
      <c r="AL386" s="1022">
        <v>12</v>
      </c>
      <c r="AM386" s="1155">
        <f>IF(AT386="","",3*'09월 에너지'!S388*(1/(3+7.8*(100-AT386)/AT386)))</f>
        <v>1.2813670411985019</v>
      </c>
      <c r="AN386" s="1023">
        <v>0.16180555555555556</v>
      </c>
      <c r="AO386" s="1024"/>
      <c r="AP386" s="1025"/>
      <c r="AQ386" s="1025"/>
      <c r="AR386" s="1149">
        <f t="shared" si="76"/>
        <v>9</v>
      </c>
      <c r="AS386" s="1093" t="str">
        <f t="shared" si="87"/>
        <v xml:space="preserve"> </v>
      </c>
      <c r="AT386" s="1156">
        <v>2.2999999999999998</v>
      </c>
      <c r="AU386" s="449"/>
      <c r="AV386" s="1205"/>
    </row>
    <row r="387" spans="1:48" ht="16.5" customHeight="1">
      <c r="A387" s="1005">
        <f t="shared" si="77"/>
        <v>46279</v>
      </c>
      <c r="B387" s="1005">
        <v>46279</v>
      </c>
      <c r="C387" s="1150">
        <f t="shared" si="79"/>
        <v>5</v>
      </c>
      <c r="D387" s="1150">
        <f t="shared" si="80"/>
        <v>376</v>
      </c>
      <c r="E387" s="1006" t="s">
        <v>558</v>
      </c>
      <c r="F387" s="1007" t="str">
        <f t="shared" si="82"/>
        <v>B</v>
      </c>
      <c r="G387" s="1008">
        <f t="shared" si="83"/>
        <v>85589</v>
      </c>
      <c r="H387" s="1138">
        <f t="shared" si="84"/>
        <v>0.28472222222222221</v>
      </c>
      <c r="I387" s="1009">
        <v>0.28333333333333333</v>
      </c>
      <c r="J387" s="1010">
        <f t="shared" si="85"/>
        <v>46</v>
      </c>
      <c r="K387" s="1011"/>
      <c r="L387" s="1012"/>
      <c r="M387" s="1013"/>
      <c r="N387" s="1014" t="str">
        <f t="shared" si="86"/>
        <v/>
      </c>
      <c r="O387" s="1323" t="s">
        <v>821</v>
      </c>
      <c r="P387" s="1324"/>
      <c r="Q387" s="1324"/>
      <c r="R387" s="1324"/>
      <c r="S387" s="1324"/>
      <c r="T387" s="1325"/>
      <c r="U387" s="1015">
        <v>1.8</v>
      </c>
      <c r="V387" s="1015"/>
      <c r="W387" s="1015"/>
      <c r="X387" s="1015"/>
      <c r="Y387" s="1015"/>
      <c r="Z387" s="1016">
        <f>'09월 에너지'!S389</f>
        <v>145.80000000000001</v>
      </c>
      <c r="AA387" s="1017"/>
      <c r="AB387" s="1208"/>
      <c r="AC387" s="1208"/>
      <c r="AD387" s="1208"/>
      <c r="AE387" s="1208"/>
      <c r="AF387" s="1208"/>
      <c r="AG387" s="1018">
        <f>'09월 화학성분'!AM387</f>
        <v>1310</v>
      </c>
      <c r="AH387" s="1006">
        <f t="shared" si="75"/>
        <v>5</v>
      </c>
      <c r="AI387" s="1019">
        <v>1603</v>
      </c>
      <c r="AJ387" s="1020">
        <v>49</v>
      </c>
      <c r="AK387" s="1021">
        <v>597</v>
      </c>
      <c r="AL387" s="1022">
        <v>6</v>
      </c>
      <c r="AM387" s="1155">
        <f>IF(AT387="","",3*'09월 에너지'!S389*(1/(3+7.8*(100-AT387)/AT387)))</f>
        <v>1.3660212367270459</v>
      </c>
      <c r="AN387" s="1023">
        <v>0.14861111111111111</v>
      </c>
      <c r="AO387" s="1024"/>
      <c r="AP387" s="1025"/>
      <c r="AQ387" s="1025"/>
      <c r="AR387" s="1149" t="str">
        <f t="shared" si="76"/>
        <v/>
      </c>
      <c r="AS387" s="1093">
        <f t="shared" si="87"/>
        <v>7</v>
      </c>
      <c r="AT387" s="1156">
        <v>2.4</v>
      </c>
      <c r="AU387" s="449"/>
      <c r="AV387" s="1205"/>
    </row>
    <row r="388" spans="1:48" ht="16.5" customHeight="1">
      <c r="A388" s="1005">
        <f t="shared" si="77"/>
        <v>46279</v>
      </c>
      <c r="B388" s="1005">
        <f t="shared" si="78"/>
        <v>46279</v>
      </c>
      <c r="C388" s="1150">
        <f t="shared" si="79"/>
        <v>6</v>
      </c>
      <c r="D388" s="1150">
        <f t="shared" si="80"/>
        <v>377</v>
      </c>
      <c r="E388" s="1006" t="str">
        <f t="shared" si="81"/>
        <v>D</v>
      </c>
      <c r="F388" s="1007" t="str">
        <f t="shared" si="82"/>
        <v>A</v>
      </c>
      <c r="G388" s="1008">
        <f t="shared" si="83"/>
        <v>85590</v>
      </c>
      <c r="H388" s="1138">
        <f t="shared" si="84"/>
        <v>0.31666666666666665</v>
      </c>
      <c r="I388" s="1009">
        <v>0.31458333333333333</v>
      </c>
      <c r="J388" s="1010">
        <f t="shared" si="85"/>
        <v>45</v>
      </c>
      <c r="K388" s="1011"/>
      <c r="L388" s="1012"/>
      <c r="M388" s="1013"/>
      <c r="N388" s="1014" t="str">
        <f t="shared" si="86"/>
        <v/>
      </c>
      <c r="O388" s="1323"/>
      <c r="P388" s="1324"/>
      <c r="Q388" s="1324"/>
      <c r="R388" s="1324"/>
      <c r="S388" s="1324"/>
      <c r="T388" s="1325"/>
      <c r="U388" s="1015">
        <v>1.8</v>
      </c>
      <c r="V388" s="1015"/>
      <c r="W388" s="1015"/>
      <c r="X388" s="1015"/>
      <c r="Y388" s="1015"/>
      <c r="Z388" s="1016">
        <f>'09월 에너지'!S390</f>
        <v>143.9</v>
      </c>
      <c r="AA388" s="1017"/>
      <c r="AB388" s="1208"/>
      <c r="AC388" s="1208"/>
      <c r="AD388" s="1208"/>
      <c r="AE388" s="1208"/>
      <c r="AF388" s="1208"/>
      <c r="AG388" s="1018">
        <f>'09월 화학성분'!AM388</f>
        <v>1089</v>
      </c>
      <c r="AH388" s="1006">
        <f t="shared" si="75"/>
        <v>6</v>
      </c>
      <c r="AI388" s="1019">
        <v>1594</v>
      </c>
      <c r="AJ388" s="1020">
        <v>0</v>
      </c>
      <c r="AK388" s="1021">
        <v>422</v>
      </c>
      <c r="AL388" s="1022">
        <v>10</v>
      </c>
      <c r="AM388" s="1155">
        <f>IF(AT388="","",3*'09월 에너지'!S390*(1/(3+7.8*(100-AT388)/AT388)))</f>
        <v>0.55688854489164097</v>
      </c>
      <c r="AN388" s="1023">
        <v>0.24097222222222223</v>
      </c>
      <c r="AO388" s="1024"/>
      <c r="AP388" s="1025"/>
      <c r="AQ388" s="1025"/>
      <c r="AR388" s="1149">
        <f t="shared" si="76"/>
        <v>10</v>
      </c>
      <c r="AS388" s="1093" t="str">
        <f t="shared" si="87"/>
        <v xml:space="preserve"> </v>
      </c>
      <c r="AT388" s="1156">
        <v>1</v>
      </c>
      <c r="AU388" s="449"/>
      <c r="AV388" s="1205"/>
    </row>
    <row r="389" spans="1:48" ht="16.5" customHeight="1">
      <c r="A389" s="1005">
        <f t="shared" si="77"/>
        <v>46279</v>
      </c>
      <c r="B389" s="1005">
        <f t="shared" si="78"/>
        <v>46279</v>
      </c>
      <c r="C389" s="1150">
        <f t="shared" si="79"/>
        <v>7</v>
      </c>
      <c r="D389" s="1150">
        <f t="shared" si="80"/>
        <v>378</v>
      </c>
      <c r="E389" s="1006" t="str">
        <f t="shared" si="81"/>
        <v>D</v>
      </c>
      <c r="F389" s="1007" t="str">
        <f t="shared" si="82"/>
        <v>B</v>
      </c>
      <c r="G389" s="1008">
        <f t="shared" si="83"/>
        <v>85591</v>
      </c>
      <c r="H389" s="1138">
        <f t="shared" si="84"/>
        <v>0.34791666666666665</v>
      </c>
      <c r="I389" s="1009">
        <v>0.34513888888888888</v>
      </c>
      <c r="J389" s="1010">
        <f t="shared" si="85"/>
        <v>44</v>
      </c>
      <c r="K389" s="1011"/>
      <c r="L389" s="1012"/>
      <c r="M389" s="1013"/>
      <c r="N389" s="1014" t="str">
        <f t="shared" si="86"/>
        <v/>
      </c>
      <c r="O389" s="1326" t="s">
        <v>824</v>
      </c>
      <c r="P389" s="1327"/>
      <c r="Q389" s="1327"/>
      <c r="R389" s="1327"/>
      <c r="S389" s="1327"/>
      <c r="T389" s="1328"/>
      <c r="U389" s="1015">
        <v>1.8</v>
      </c>
      <c r="V389" s="1015"/>
      <c r="W389" s="1015"/>
      <c r="X389" s="1015"/>
      <c r="Y389" s="1015"/>
      <c r="Z389" s="1016">
        <f>'09월 에너지'!S391</f>
        <v>142.6</v>
      </c>
      <c r="AA389" s="1017"/>
      <c r="AB389" s="1208"/>
      <c r="AC389" s="1208"/>
      <c r="AD389" s="1208"/>
      <c r="AE389" s="1208"/>
      <c r="AF389" s="1208"/>
      <c r="AG389" s="1018">
        <f>'09월 화학성분'!AM389</f>
        <v>927</v>
      </c>
      <c r="AH389" s="1006">
        <f t="shared" si="75"/>
        <v>7</v>
      </c>
      <c r="AI389" s="1019">
        <v>1598</v>
      </c>
      <c r="AJ389" s="1020">
        <v>20</v>
      </c>
      <c r="AK389" s="1021">
        <v>727</v>
      </c>
      <c r="AL389" s="1022">
        <v>5</v>
      </c>
      <c r="AM389" s="1155">
        <f>IF(AT389="","",3*'09월 에너지'!S391*(1/(3+7.8*(100-AT389)/AT389)))</f>
        <v>1.619439223057644</v>
      </c>
      <c r="AN389" s="1023">
        <v>0.12847222222222224</v>
      </c>
      <c r="AO389" s="1024"/>
      <c r="AP389" s="1025"/>
      <c r="AQ389" s="1025"/>
      <c r="AR389" s="1149" t="str">
        <f t="shared" si="76"/>
        <v/>
      </c>
      <c r="AS389" s="1093">
        <f t="shared" si="87"/>
        <v>8</v>
      </c>
      <c r="AT389" s="1156">
        <v>2.9</v>
      </c>
      <c r="AU389" s="449"/>
      <c r="AV389" s="1205"/>
    </row>
    <row r="390" spans="1:48" ht="16.5" customHeight="1">
      <c r="A390" s="1005">
        <f t="shared" si="77"/>
        <v>46279</v>
      </c>
      <c r="B390" s="1005">
        <f t="shared" si="78"/>
        <v>46279</v>
      </c>
      <c r="C390" s="1150">
        <f t="shared" si="79"/>
        <v>8</v>
      </c>
      <c r="D390" s="1150">
        <f t="shared" si="80"/>
        <v>379</v>
      </c>
      <c r="E390" s="1006" t="str">
        <f t="shared" si="81"/>
        <v>D</v>
      </c>
      <c r="F390" s="1007" t="str">
        <f t="shared" si="82"/>
        <v>A</v>
      </c>
      <c r="G390" s="1008">
        <f t="shared" si="83"/>
        <v>85592</v>
      </c>
      <c r="H390" s="1138">
        <f t="shared" si="84"/>
        <v>0.37847222222222221</v>
      </c>
      <c r="I390" s="1009">
        <v>0.37777777777777777</v>
      </c>
      <c r="J390" s="1010">
        <f t="shared" si="85"/>
        <v>46.999999999999993</v>
      </c>
      <c r="K390" s="1011"/>
      <c r="L390" s="1012"/>
      <c r="M390" s="1013"/>
      <c r="N390" s="1014" t="str">
        <f t="shared" si="86"/>
        <v/>
      </c>
      <c r="O390" s="1323" t="s">
        <v>825</v>
      </c>
      <c r="P390" s="1324"/>
      <c r="Q390" s="1324"/>
      <c r="R390" s="1324"/>
      <c r="S390" s="1324"/>
      <c r="T390" s="1325"/>
      <c r="U390" s="1015">
        <v>1.8</v>
      </c>
      <c r="V390" s="1015"/>
      <c r="W390" s="1015"/>
      <c r="X390" s="1015"/>
      <c r="Y390" s="1015"/>
      <c r="Z390" s="1016">
        <f>'09월 에너지'!S392</f>
        <v>146.6</v>
      </c>
      <c r="AA390" s="1017"/>
      <c r="AB390" s="1208"/>
      <c r="AC390" s="1208"/>
      <c r="AD390" s="1208"/>
      <c r="AE390" s="1208"/>
      <c r="AF390" s="1208"/>
      <c r="AG390" s="1018">
        <f>'09월 화학성분'!AM390</f>
        <v>1381</v>
      </c>
      <c r="AH390" s="1006">
        <f t="shared" si="75"/>
        <v>8</v>
      </c>
      <c r="AI390" s="1019">
        <v>1561</v>
      </c>
      <c r="AJ390" s="1020">
        <v>0</v>
      </c>
      <c r="AK390" s="1021">
        <v>750</v>
      </c>
      <c r="AL390" s="1022">
        <v>5</v>
      </c>
      <c r="AM390" s="1155">
        <f>IF(AT390="","",3*'09월 에너지'!S392*(1/(3+7.8*(100-AT390)/AT390)))</f>
        <v>2.1348394206549122</v>
      </c>
      <c r="AN390" s="1023">
        <v>0.57291666666666663</v>
      </c>
      <c r="AO390" s="1024"/>
      <c r="AP390" s="1025"/>
      <c r="AQ390" s="1025"/>
      <c r="AR390" s="1149">
        <f t="shared" si="76"/>
        <v>11</v>
      </c>
      <c r="AS390" s="1093" t="str">
        <f t="shared" si="87"/>
        <v xml:space="preserve"> </v>
      </c>
      <c r="AT390" s="1156">
        <v>3.7</v>
      </c>
      <c r="AU390" s="449"/>
      <c r="AV390" s="1205"/>
    </row>
    <row r="391" spans="1:48" ht="16.5" customHeight="1">
      <c r="A391" s="1005">
        <f t="shared" si="77"/>
        <v>46279</v>
      </c>
      <c r="B391" s="1005">
        <f t="shared" si="78"/>
        <v>46279</v>
      </c>
      <c r="C391" s="1150">
        <f t="shared" si="79"/>
        <v>9</v>
      </c>
      <c r="D391" s="1150">
        <f t="shared" si="80"/>
        <v>380</v>
      </c>
      <c r="E391" s="1006" t="str">
        <f t="shared" si="81"/>
        <v>D</v>
      </c>
      <c r="F391" s="1007" t="str">
        <f t="shared" si="82"/>
        <v>B</v>
      </c>
      <c r="G391" s="1008">
        <f t="shared" si="83"/>
        <v>85593</v>
      </c>
      <c r="H391" s="1138">
        <f t="shared" si="84"/>
        <v>0.41111111111111109</v>
      </c>
      <c r="I391" s="1009">
        <v>0.40833333333333338</v>
      </c>
      <c r="J391" s="1010">
        <f t="shared" si="85"/>
        <v>44.000000000000085</v>
      </c>
      <c r="K391" s="1011">
        <v>1</v>
      </c>
      <c r="L391" s="1012"/>
      <c r="M391" s="1013">
        <v>0.3888888888888889</v>
      </c>
      <c r="N391" s="1014">
        <f t="shared" si="86"/>
        <v>0.38958333333333334</v>
      </c>
      <c r="O391" s="1323" t="s">
        <v>727</v>
      </c>
      <c r="P391" s="1324"/>
      <c r="Q391" s="1324"/>
      <c r="R391" s="1324"/>
      <c r="S391" s="1324"/>
      <c r="T391" s="1325"/>
      <c r="U391" s="1015">
        <v>1.8</v>
      </c>
      <c r="V391" s="1015"/>
      <c r="W391" s="1015"/>
      <c r="X391" s="1015"/>
      <c r="Y391" s="1015"/>
      <c r="Z391" s="1016">
        <f>'09월 에너지'!S393</f>
        <v>145</v>
      </c>
      <c r="AA391" s="1017"/>
      <c r="AB391" s="1208"/>
      <c r="AC391" s="1208"/>
      <c r="AD391" s="1208"/>
      <c r="AE391" s="1208"/>
      <c r="AF391" s="1208"/>
      <c r="AG391" s="1018">
        <f>'09월 화학성분'!AM391</f>
        <v>1499</v>
      </c>
      <c r="AH391" s="1006">
        <f t="shared" si="75"/>
        <v>9</v>
      </c>
      <c r="AI391" s="1019">
        <v>1600</v>
      </c>
      <c r="AJ391" s="1020">
        <v>23</v>
      </c>
      <c r="AK391" s="1021">
        <v>749</v>
      </c>
      <c r="AL391" s="1022">
        <v>5</v>
      </c>
      <c r="AM391" s="1155">
        <f>IF(AT391="","",3*'09월 에너지'!S393*(1/(3+7.8*(100-AT391)/AT391)))</f>
        <v>2.5810917721518991</v>
      </c>
      <c r="AN391" s="1023">
        <v>0.1388888888888889</v>
      </c>
      <c r="AO391" s="1024"/>
      <c r="AP391" s="1025"/>
      <c r="AQ391" s="1025"/>
      <c r="AR391" s="1149" t="str">
        <f t="shared" si="76"/>
        <v/>
      </c>
      <c r="AS391" s="1093">
        <f t="shared" si="87"/>
        <v>9</v>
      </c>
      <c r="AT391" s="1156">
        <v>4.5</v>
      </c>
      <c r="AU391" s="449"/>
      <c r="AV391" s="1205"/>
    </row>
    <row r="392" spans="1:48" ht="16.5" customHeight="1">
      <c r="A392" s="1005">
        <f t="shared" si="77"/>
        <v>46279</v>
      </c>
      <c r="B392" s="1005">
        <f t="shared" si="78"/>
        <v>46279</v>
      </c>
      <c r="C392" s="1150">
        <f t="shared" si="79"/>
        <v>10</v>
      </c>
      <c r="D392" s="1150">
        <f t="shared" si="80"/>
        <v>381</v>
      </c>
      <c r="E392" s="1006" t="str">
        <f t="shared" si="81"/>
        <v>D</v>
      </c>
      <c r="F392" s="1007" t="str">
        <f t="shared" si="82"/>
        <v>A</v>
      </c>
      <c r="G392" s="1008">
        <f t="shared" si="83"/>
        <v>85594</v>
      </c>
      <c r="H392" s="1138">
        <f t="shared" si="84"/>
        <v>0.44166666666666671</v>
      </c>
      <c r="I392" s="1009">
        <v>0.44236111111111115</v>
      </c>
      <c r="J392" s="1010">
        <f t="shared" si="85"/>
        <v>48.999999999999986</v>
      </c>
      <c r="K392" s="1011"/>
      <c r="L392" s="1012"/>
      <c r="M392" s="1013"/>
      <c r="N392" s="1014" t="str">
        <f t="shared" si="86"/>
        <v/>
      </c>
      <c r="O392" s="1323" t="s">
        <v>616</v>
      </c>
      <c r="P392" s="1324"/>
      <c r="Q392" s="1324"/>
      <c r="R392" s="1324"/>
      <c r="S392" s="1324"/>
      <c r="T392" s="1325"/>
      <c r="U392" s="1015">
        <v>1.8</v>
      </c>
      <c r="V392" s="1015"/>
      <c r="W392" s="1015"/>
      <c r="X392" s="1015"/>
      <c r="Y392" s="1015"/>
      <c r="Z392" s="1016">
        <f>'09월 에너지'!S394</f>
        <v>140.80000000000001</v>
      </c>
      <c r="AA392" s="1017">
        <v>1645</v>
      </c>
      <c r="AB392" s="1241" t="s">
        <v>826</v>
      </c>
      <c r="AC392" s="1208" t="s">
        <v>548</v>
      </c>
      <c r="AD392" s="1208"/>
      <c r="AE392" s="1208" t="s">
        <v>532</v>
      </c>
      <c r="AF392" s="1208" t="s">
        <v>532</v>
      </c>
      <c r="AG392" s="1018">
        <f>'09월 화학성분'!AM392</f>
        <v>2215</v>
      </c>
      <c r="AH392" s="1006">
        <f t="shared" si="75"/>
        <v>10</v>
      </c>
      <c r="AI392" s="1019">
        <v>1603</v>
      </c>
      <c r="AJ392" s="1020">
        <v>0</v>
      </c>
      <c r="AK392" s="1021">
        <v>754</v>
      </c>
      <c r="AL392" s="1022">
        <v>5</v>
      </c>
      <c r="AM392" s="1155">
        <f>IF(AT392="","",3*'09월 에너지'!S394*(1/(3+7.8*(100-AT392)/AT392)))</f>
        <v>2.3348073278584969</v>
      </c>
      <c r="AN392" s="1023">
        <v>0.26874999999999999</v>
      </c>
      <c r="AO392" s="1024"/>
      <c r="AP392" s="1025"/>
      <c r="AQ392" s="1025"/>
      <c r="AR392" s="1149">
        <f t="shared" si="76"/>
        <v>12</v>
      </c>
      <c r="AS392" s="1093" t="str">
        <f t="shared" si="87"/>
        <v xml:space="preserve"> </v>
      </c>
      <c r="AT392" s="1156">
        <v>4.2</v>
      </c>
      <c r="AU392" s="449"/>
      <c r="AV392" s="1205"/>
    </row>
    <row r="393" spans="1:48" ht="16.5" customHeight="1">
      <c r="A393" s="1005">
        <f t="shared" si="77"/>
        <v>46279</v>
      </c>
      <c r="B393" s="1005">
        <f t="shared" si="78"/>
        <v>46279</v>
      </c>
      <c r="C393" s="1150">
        <f t="shared" si="79"/>
        <v>11</v>
      </c>
      <c r="D393" s="1150">
        <f t="shared" si="80"/>
        <v>382</v>
      </c>
      <c r="E393" s="1006" t="str">
        <f t="shared" si="81"/>
        <v>D</v>
      </c>
      <c r="F393" s="1007" t="str">
        <f t="shared" si="82"/>
        <v>B</v>
      </c>
      <c r="G393" s="1008">
        <f t="shared" si="83"/>
        <v>85595</v>
      </c>
      <c r="H393" s="1138">
        <f t="shared" si="84"/>
        <v>0.47569444444444448</v>
      </c>
      <c r="I393" s="1009">
        <v>0.47500000000000003</v>
      </c>
      <c r="J393" s="1010">
        <f t="shared" si="85"/>
        <v>46.999999999999993</v>
      </c>
      <c r="K393" s="1011"/>
      <c r="L393" s="1012"/>
      <c r="M393" s="1013"/>
      <c r="N393" s="1014" t="str">
        <f t="shared" si="86"/>
        <v/>
      </c>
      <c r="O393" s="1326" t="s">
        <v>827</v>
      </c>
      <c r="P393" s="1327"/>
      <c r="Q393" s="1327"/>
      <c r="R393" s="1327"/>
      <c r="S393" s="1327"/>
      <c r="T393" s="1328"/>
      <c r="U393" s="1015">
        <v>1.8</v>
      </c>
      <c r="V393" s="1015"/>
      <c r="W393" s="1015"/>
      <c r="X393" s="1015"/>
      <c r="Y393" s="1015"/>
      <c r="Z393" s="1016">
        <f>'09월 에너지'!S395</f>
        <v>142.69999999999999</v>
      </c>
      <c r="AA393" s="1017"/>
      <c r="AB393" s="1208"/>
      <c r="AC393" s="1208"/>
      <c r="AD393" s="1208"/>
      <c r="AE393" s="1208"/>
      <c r="AF393" s="1208"/>
      <c r="AG393" s="1018">
        <f>'09월 화학성분'!AM393</f>
        <v>2329</v>
      </c>
      <c r="AH393" s="1006">
        <f t="shared" si="75"/>
        <v>11</v>
      </c>
      <c r="AI393" s="1019">
        <v>1587</v>
      </c>
      <c r="AJ393" s="1020">
        <v>0</v>
      </c>
      <c r="AK393" s="1021">
        <v>419</v>
      </c>
      <c r="AL393" s="1022">
        <v>10</v>
      </c>
      <c r="AM393" s="1155">
        <f>IF(AT393="","",3*'09월 에너지'!S395*(1/(3+7.8*(100-AT393)/AT393)))</f>
        <v>1.2240330630068623</v>
      </c>
      <c r="AN393" s="1023">
        <v>0.14861111111111111</v>
      </c>
      <c r="AO393" s="1024"/>
      <c r="AP393" s="1025"/>
      <c r="AQ393" s="1025"/>
      <c r="AR393" s="1149" t="str">
        <f t="shared" si="76"/>
        <v/>
      </c>
      <c r="AS393" s="1093">
        <f t="shared" si="87"/>
        <v>10</v>
      </c>
      <c r="AT393" s="1156">
        <v>2.2000000000000002</v>
      </c>
      <c r="AU393" s="449"/>
      <c r="AV393" s="1205"/>
    </row>
    <row r="394" spans="1:48" ht="16.5" customHeight="1">
      <c r="A394" s="1005">
        <f t="shared" si="77"/>
        <v>46279</v>
      </c>
      <c r="B394" s="1005">
        <f t="shared" si="78"/>
        <v>46279</v>
      </c>
      <c r="C394" s="1150">
        <f t="shared" si="79"/>
        <v>12</v>
      </c>
      <c r="D394" s="1150">
        <f t="shared" si="80"/>
        <v>383</v>
      </c>
      <c r="E394" s="1006" t="str">
        <f t="shared" si="81"/>
        <v>D</v>
      </c>
      <c r="F394" s="1007" t="str">
        <f t="shared" si="82"/>
        <v>A</v>
      </c>
      <c r="G394" s="1008">
        <f t="shared" si="83"/>
        <v>85596</v>
      </c>
      <c r="H394" s="1138">
        <f t="shared" si="84"/>
        <v>0.50833333333333341</v>
      </c>
      <c r="I394" s="1009">
        <v>0.50902777777777775</v>
      </c>
      <c r="J394" s="1010">
        <f t="shared" si="85"/>
        <v>48.999999999999908</v>
      </c>
      <c r="K394" s="1011"/>
      <c r="L394" s="1012"/>
      <c r="M394" s="1013"/>
      <c r="N394" s="1014" t="str">
        <f t="shared" si="86"/>
        <v/>
      </c>
      <c r="O394" s="1323" t="s">
        <v>829</v>
      </c>
      <c r="P394" s="1324"/>
      <c r="Q394" s="1324"/>
      <c r="R394" s="1324"/>
      <c r="S394" s="1324"/>
      <c r="T394" s="1325"/>
      <c r="U394" s="1015">
        <v>1.8</v>
      </c>
      <c r="V394" s="1015"/>
      <c r="W394" s="1015"/>
      <c r="X394" s="1015"/>
      <c r="Y394" s="1015"/>
      <c r="Z394" s="1016">
        <f>'09월 에너지'!S396</f>
        <v>142.19999999999999</v>
      </c>
      <c r="AA394" s="1017"/>
      <c r="AB394" s="1208"/>
      <c r="AC394" s="1208"/>
      <c r="AD394" s="1208"/>
      <c r="AE394" s="1208"/>
      <c r="AF394" s="1208"/>
      <c r="AG394" s="1018">
        <f>'09월 화학성분'!AM394</f>
        <v>1605</v>
      </c>
      <c r="AH394" s="1006">
        <f t="shared" si="75"/>
        <v>12</v>
      </c>
      <c r="AI394" s="1019">
        <v>1577</v>
      </c>
      <c r="AJ394" s="1020">
        <v>0</v>
      </c>
      <c r="AK394" s="1021">
        <v>621</v>
      </c>
      <c r="AL394" s="1022">
        <v>6</v>
      </c>
      <c r="AM394" s="1155">
        <f>IF(AT394="","",3*'09월 에너지'!S396*(1/(3+7.8*(100-AT394)/AT394)))</f>
        <v>1.6716300940438868</v>
      </c>
      <c r="AN394" s="1023">
        <v>0.26805555555555555</v>
      </c>
      <c r="AO394" s="1024"/>
      <c r="AP394" s="1025"/>
      <c r="AQ394" s="1025"/>
      <c r="AR394" s="1149">
        <f t="shared" si="76"/>
        <v>13</v>
      </c>
      <c r="AS394" s="1093" t="str">
        <f t="shared" si="87"/>
        <v xml:space="preserve"> </v>
      </c>
      <c r="AT394" s="1156">
        <v>3</v>
      </c>
      <c r="AU394" s="449"/>
      <c r="AV394" s="1205"/>
    </row>
    <row r="395" spans="1:48" ht="16.5" customHeight="1">
      <c r="A395" s="1005">
        <f t="shared" si="77"/>
        <v>46279</v>
      </c>
      <c r="B395" s="1005">
        <f t="shared" si="78"/>
        <v>46279</v>
      </c>
      <c r="C395" s="1150">
        <f t="shared" si="79"/>
        <v>13</v>
      </c>
      <c r="D395" s="1150">
        <f t="shared" si="80"/>
        <v>384</v>
      </c>
      <c r="E395" s="1006" t="str">
        <f t="shared" si="81"/>
        <v>D</v>
      </c>
      <c r="F395" s="1007" t="str">
        <f t="shared" si="82"/>
        <v>B</v>
      </c>
      <c r="G395" s="1008">
        <f t="shared" si="83"/>
        <v>85597</v>
      </c>
      <c r="H395" s="1138">
        <f t="shared" si="84"/>
        <v>0.54236111111111107</v>
      </c>
      <c r="I395" s="1009">
        <v>0.5395833333333333</v>
      </c>
      <c r="J395" s="1010">
        <f t="shared" si="85"/>
        <v>44</v>
      </c>
      <c r="K395" s="1011"/>
      <c r="L395" s="1012"/>
      <c r="M395" s="1013"/>
      <c r="N395" s="1014" t="str">
        <f t="shared" si="86"/>
        <v/>
      </c>
      <c r="O395" s="1323"/>
      <c r="P395" s="1324"/>
      <c r="Q395" s="1324"/>
      <c r="R395" s="1324"/>
      <c r="S395" s="1324"/>
      <c r="T395" s="1325"/>
      <c r="U395" s="1015">
        <v>1.8</v>
      </c>
      <c r="V395" s="1015"/>
      <c r="W395" s="1015"/>
      <c r="X395" s="1015"/>
      <c r="Y395" s="1015">
        <v>2.8</v>
      </c>
      <c r="Z395" s="1016">
        <f>'09월 에너지'!S397</f>
        <v>144.1</v>
      </c>
      <c r="AA395" s="1017"/>
      <c r="AB395" s="1208"/>
      <c r="AC395" s="1208"/>
      <c r="AD395" s="1208"/>
      <c r="AE395" s="1208"/>
      <c r="AF395" s="1208"/>
      <c r="AG395" s="1018">
        <f>'09월 화학성분'!AM395</f>
        <v>1475</v>
      </c>
      <c r="AH395" s="1006">
        <f t="shared" si="75"/>
        <v>13</v>
      </c>
      <c r="AI395" s="1019">
        <v>1607</v>
      </c>
      <c r="AJ395" s="1020">
        <v>17</v>
      </c>
      <c r="AK395" s="1021">
        <v>650</v>
      </c>
      <c r="AL395" s="1022">
        <v>6</v>
      </c>
      <c r="AM395" s="1155">
        <f>IF(AT395="","",3*'09월 에너지'!S397*(1/(3+7.8*(100-AT395)/AT395)))</f>
        <v>2.3895293746051798</v>
      </c>
      <c r="AN395" s="1023">
        <v>0.13055555555555556</v>
      </c>
      <c r="AO395" s="1024"/>
      <c r="AP395" s="1025"/>
      <c r="AQ395" s="1025"/>
      <c r="AR395" s="1149" t="str">
        <f t="shared" si="76"/>
        <v/>
      </c>
      <c r="AS395" s="1093">
        <f t="shared" si="87"/>
        <v>11</v>
      </c>
      <c r="AT395" s="1156">
        <v>4.2</v>
      </c>
      <c r="AU395" s="449"/>
      <c r="AV395" s="1205"/>
    </row>
    <row r="396" spans="1:48" ht="16.5" customHeight="1">
      <c r="A396" s="1005">
        <f t="shared" si="77"/>
        <v>46279</v>
      </c>
      <c r="B396" s="1005">
        <f t="shared" si="78"/>
        <v>46279</v>
      </c>
      <c r="C396" s="1150">
        <f t="shared" si="79"/>
        <v>14</v>
      </c>
      <c r="D396" s="1150">
        <f t="shared" si="80"/>
        <v>385</v>
      </c>
      <c r="E396" s="1006" t="str">
        <f t="shared" si="81"/>
        <v>D</v>
      </c>
      <c r="F396" s="1007" t="str">
        <f t="shared" si="82"/>
        <v>A</v>
      </c>
      <c r="G396" s="1008">
        <f t="shared" si="83"/>
        <v>85598</v>
      </c>
      <c r="H396" s="1138">
        <f t="shared" si="84"/>
        <v>0.57291666666666663</v>
      </c>
      <c r="I396" s="1009">
        <v>0.57430555555555551</v>
      </c>
      <c r="J396" s="1010">
        <f t="shared" si="85"/>
        <v>49.999999999999986</v>
      </c>
      <c r="K396" s="1011"/>
      <c r="L396" s="1012"/>
      <c r="M396" s="1013"/>
      <c r="N396" s="1014" t="str">
        <f t="shared" si="86"/>
        <v/>
      </c>
      <c r="O396" s="1323" t="s">
        <v>828</v>
      </c>
      <c r="P396" s="1324"/>
      <c r="Q396" s="1324"/>
      <c r="R396" s="1324"/>
      <c r="S396" s="1324"/>
      <c r="T396" s="1325"/>
      <c r="U396" s="1015">
        <v>1.8</v>
      </c>
      <c r="V396" s="1015"/>
      <c r="W396" s="1015"/>
      <c r="X396" s="1015"/>
      <c r="Y396" s="1015"/>
      <c r="Z396" s="1016">
        <f>'09월 에너지'!S398</f>
        <v>140.9</v>
      </c>
      <c r="AA396" s="1017"/>
      <c r="AB396" s="1208"/>
      <c r="AC396" s="1208"/>
      <c r="AD396" s="1208"/>
      <c r="AE396" s="1208"/>
      <c r="AF396" s="1208"/>
      <c r="AG396" s="1018">
        <f>'09월 화학성분'!AM396</f>
        <v>2856</v>
      </c>
      <c r="AH396" s="1006">
        <f t="shared" si="75"/>
        <v>14</v>
      </c>
      <c r="AI396" s="1019">
        <v>1573</v>
      </c>
      <c r="AJ396" s="1020">
        <v>0</v>
      </c>
      <c r="AK396" s="1021">
        <v>734</v>
      </c>
      <c r="AL396" s="1022">
        <v>5</v>
      </c>
      <c r="AM396" s="1155">
        <f>IF(AT396="","",3*'09월 에너지'!S398*(1/(3+7.8*(100-AT396)/AT396)))</f>
        <v>0.38098733003708285</v>
      </c>
      <c r="AN396" s="1023">
        <v>0.23472222222222219</v>
      </c>
      <c r="AO396" s="1024"/>
      <c r="AP396" s="1025"/>
      <c r="AQ396" s="1025"/>
      <c r="AR396" s="1149">
        <f t="shared" si="76"/>
        <v>14</v>
      </c>
      <c r="AS396" s="1093" t="str">
        <f t="shared" si="87"/>
        <v xml:space="preserve"> </v>
      </c>
      <c r="AT396" s="1156">
        <v>0.7</v>
      </c>
      <c r="AU396" s="449"/>
      <c r="AV396" s="1205"/>
    </row>
    <row r="397" spans="1:48" ht="16.5" customHeight="1">
      <c r="A397" s="1005">
        <f t="shared" si="77"/>
        <v>46279</v>
      </c>
      <c r="B397" s="1005">
        <f t="shared" si="78"/>
        <v>46279</v>
      </c>
      <c r="C397" s="1150">
        <f t="shared" si="79"/>
        <v>15</v>
      </c>
      <c r="D397" s="1150">
        <f t="shared" si="80"/>
        <v>386</v>
      </c>
      <c r="E397" s="1006" t="s">
        <v>534</v>
      </c>
      <c r="F397" s="1007" t="str">
        <f t="shared" ref="F397:F461" si="89">IF(C397="","",IF(F396="A","B","A"))</f>
        <v>B</v>
      </c>
      <c r="G397" s="1008">
        <f t="shared" si="83"/>
        <v>85599</v>
      </c>
      <c r="H397" s="1138">
        <f t="shared" si="84"/>
        <v>0.60763888888888884</v>
      </c>
      <c r="I397" s="1009">
        <v>0.60972222222222217</v>
      </c>
      <c r="J397" s="1010">
        <f t="shared" si="85"/>
        <v>50.999999999999979</v>
      </c>
      <c r="K397" s="1011"/>
      <c r="L397" s="1012"/>
      <c r="M397" s="1013"/>
      <c r="N397" s="1014" t="str">
        <f t="shared" si="86"/>
        <v/>
      </c>
      <c r="O397" s="1326" t="s">
        <v>830</v>
      </c>
      <c r="P397" s="1327"/>
      <c r="Q397" s="1327"/>
      <c r="R397" s="1327"/>
      <c r="S397" s="1327"/>
      <c r="T397" s="1328"/>
      <c r="U397" s="1015">
        <v>1.8</v>
      </c>
      <c r="V397" s="1015"/>
      <c r="W397" s="1015"/>
      <c r="X397" s="1015"/>
      <c r="Y397" s="1015">
        <v>2.5</v>
      </c>
      <c r="Z397" s="1016">
        <f>'09월 에너지'!S399</f>
        <v>140.4</v>
      </c>
      <c r="AA397" s="1017">
        <v>2553</v>
      </c>
      <c r="AB397" s="1208" t="s">
        <v>808</v>
      </c>
      <c r="AC397" s="1208" t="s">
        <v>548</v>
      </c>
      <c r="AD397" s="1208"/>
      <c r="AE397" s="1208"/>
      <c r="AF397" s="1208" t="s">
        <v>548</v>
      </c>
      <c r="AG397" s="1018">
        <f>'09월 화학성분'!AM397</f>
        <v>2355</v>
      </c>
      <c r="AH397" s="1006">
        <f t="shared" ref="AH397:AH460" si="90">IF(I397="","",AH396+1)</f>
        <v>15</v>
      </c>
      <c r="AI397" s="1019">
        <v>1575</v>
      </c>
      <c r="AJ397" s="1020">
        <v>0</v>
      </c>
      <c r="AK397" s="1021">
        <v>464</v>
      </c>
      <c r="AL397" s="1022">
        <v>9</v>
      </c>
      <c r="AM397" s="1155">
        <f>IF(AT397="","",3*'09월 에너지'!S399*(1/(3+7.8*(100-AT397)/AT397)))</f>
        <v>1.8189384422110553</v>
      </c>
      <c r="AN397" s="1023">
        <v>0.16527777777777777</v>
      </c>
      <c r="AO397" s="1024"/>
      <c r="AP397" s="1025"/>
      <c r="AQ397" s="1025"/>
      <c r="AR397" s="1149" t="str">
        <f t="shared" ref="AR397:AR460" si="91">IF(F397="A",IFERROR(IF(I397="","",IF(F397="A",AR396+1," ")),AR395+1),"")</f>
        <v/>
      </c>
      <c r="AS397" s="1093">
        <f t="shared" si="87"/>
        <v>12</v>
      </c>
      <c r="AT397" s="1156">
        <v>3.3</v>
      </c>
      <c r="AU397" s="449"/>
      <c r="AV397" s="1205"/>
    </row>
    <row r="398" spans="1:48" ht="16.5" customHeight="1">
      <c r="A398" s="1005">
        <f t="shared" ref="A398:A461" si="92">IF(I398="","",A397)</f>
        <v>46279</v>
      </c>
      <c r="B398" s="1005">
        <f t="shared" ref="B398:B461" si="93">IF(J398="","",B397)</f>
        <v>46279</v>
      </c>
      <c r="C398" s="1150">
        <f t="shared" ref="C398:C461" si="94">IF(I398="","",IF(A398=A397,C397+1,1))</f>
        <v>16</v>
      </c>
      <c r="D398" s="1150">
        <f t="shared" ref="D398:D461" si="95">IF(C398="","",D397+1)</f>
        <v>387</v>
      </c>
      <c r="E398" s="1006" t="str">
        <f t="shared" ref="E398:E461" si="96">IF(C398="","",E397)</f>
        <v>A</v>
      </c>
      <c r="F398" s="1007" t="str">
        <f t="shared" si="89"/>
        <v>A</v>
      </c>
      <c r="G398" s="1008">
        <f t="shared" ref="G398:G461" si="97">IF(C398="","",G397+1)</f>
        <v>85600</v>
      </c>
      <c r="H398" s="1138">
        <f t="shared" ref="H398:H461" si="98">IF(ISBLANK(I397),H397+C$8/1440,I397+C$8/1440)</f>
        <v>0.64305555555555549</v>
      </c>
      <c r="I398" s="1009">
        <v>0.64097222222222217</v>
      </c>
      <c r="J398" s="1010">
        <f t="shared" ref="J398:J461" si="99">IF(I398="","",IF(I398&lt;I397,(I398-I397)*1440+1440,(I398-I397)*1440))</f>
        <v>45</v>
      </c>
      <c r="K398" s="1011"/>
      <c r="L398" s="1012"/>
      <c r="M398" s="1013"/>
      <c r="N398" s="1014" t="str">
        <f t="shared" ref="N398:N461" si="100">IF(M398="","",M398+K398/1440)</f>
        <v/>
      </c>
      <c r="O398" s="1323"/>
      <c r="P398" s="1324"/>
      <c r="Q398" s="1324"/>
      <c r="R398" s="1324"/>
      <c r="S398" s="1324"/>
      <c r="T398" s="1325"/>
      <c r="U398" s="1015">
        <v>1.8</v>
      </c>
      <c r="V398" s="1015"/>
      <c r="W398" s="1015"/>
      <c r="X398" s="1015"/>
      <c r="Y398" s="1015">
        <v>2.9</v>
      </c>
      <c r="Z398" s="1016">
        <f>'09월 에너지'!S400</f>
        <v>142</v>
      </c>
      <c r="AA398" s="1017"/>
      <c r="AB398" s="1208"/>
      <c r="AC398" s="1208"/>
      <c r="AD398" s="1208"/>
      <c r="AE398" s="1208"/>
      <c r="AF398" s="1208"/>
      <c r="AG398" s="1018">
        <f>'09월 화학성분'!AM398</f>
        <v>2293</v>
      </c>
      <c r="AH398" s="1006">
        <f t="shared" si="90"/>
        <v>16</v>
      </c>
      <c r="AI398" s="1019">
        <v>1561</v>
      </c>
      <c r="AJ398" s="1020">
        <v>0</v>
      </c>
      <c r="AK398" s="1021">
        <v>742</v>
      </c>
      <c r="AL398" s="1022">
        <v>5</v>
      </c>
      <c r="AM398" s="1155">
        <f>IF(AT398="","",3*'09월 에너지'!S400*(1/(3+7.8*(100-AT398)/AT398)))</f>
        <v>2.0678526448362722</v>
      </c>
      <c r="AN398" s="1023">
        <v>0.19513888888888889</v>
      </c>
      <c r="AO398" s="1024"/>
      <c r="AP398" s="1025"/>
      <c r="AQ398" s="1025"/>
      <c r="AR398" s="1149">
        <f t="shared" si="91"/>
        <v>15</v>
      </c>
      <c r="AS398" s="1093" t="str">
        <f t="shared" ref="AS398:AS461" si="101">IFERROR(IF($I398="","",IF($F398="B",AS397+1," ")),AS396+1)</f>
        <v xml:space="preserve"> </v>
      </c>
      <c r="AT398" s="1156">
        <v>3.7</v>
      </c>
      <c r="AU398" s="449"/>
      <c r="AV398" s="1205"/>
    </row>
    <row r="399" spans="1:48" ht="16.5" customHeight="1">
      <c r="A399" s="1005">
        <f t="shared" si="92"/>
        <v>46279</v>
      </c>
      <c r="B399" s="1005">
        <f t="shared" si="93"/>
        <v>46279</v>
      </c>
      <c r="C399" s="1150">
        <f t="shared" si="94"/>
        <v>17</v>
      </c>
      <c r="D399" s="1150">
        <f t="shared" si="95"/>
        <v>388</v>
      </c>
      <c r="E399" s="1006" t="str">
        <f t="shared" si="96"/>
        <v>A</v>
      </c>
      <c r="F399" s="1007" t="str">
        <f t="shared" si="89"/>
        <v>B</v>
      </c>
      <c r="G399" s="1008">
        <f t="shared" si="97"/>
        <v>85601</v>
      </c>
      <c r="H399" s="1138">
        <f t="shared" si="98"/>
        <v>0.67430555555555549</v>
      </c>
      <c r="I399" s="1009">
        <v>0.67222222222222217</v>
      </c>
      <c r="J399" s="1010">
        <f t="shared" si="99"/>
        <v>45</v>
      </c>
      <c r="K399" s="1011"/>
      <c r="L399" s="1012"/>
      <c r="M399" s="1013"/>
      <c r="N399" s="1014" t="str">
        <f t="shared" si="100"/>
        <v/>
      </c>
      <c r="O399" s="1323"/>
      <c r="P399" s="1324"/>
      <c r="Q399" s="1324"/>
      <c r="R399" s="1324"/>
      <c r="S399" s="1324"/>
      <c r="T399" s="1325"/>
      <c r="U399" s="1015">
        <v>1.8</v>
      </c>
      <c r="V399" s="1015"/>
      <c r="W399" s="1015"/>
      <c r="X399" s="1015"/>
      <c r="Y399" s="1015">
        <v>2.5</v>
      </c>
      <c r="Z399" s="1016">
        <f>'09월 에너지'!S401</f>
        <v>142.5</v>
      </c>
      <c r="AA399" s="1017"/>
      <c r="AB399" s="1208"/>
      <c r="AC399" s="1208"/>
      <c r="AD399" s="1208"/>
      <c r="AE399" s="1208"/>
      <c r="AF399" s="1208"/>
      <c r="AG399" s="1018">
        <f>'09월 화학성분'!AM399</f>
        <v>2489</v>
      </c>
      <c r="AH399" s="1006">
        <f t="shared" si="90"/>
        <v>17</v>
      </c>
      <c r="AI399" s="1019">
        <v>1548</v>
      </c>
      <c r="AJ399" s="1020">
        <v>0</v>
      </c>
      <c r="AK399" s="1021">
        <v>432</v>
      </c>
      <c r="AL399" s="1022">
        <v>10</v>
      </c>
      <c r="AM399" s="1155">
        <f>IF(AT399="","",3*'09월 에너지'!S401*(1/(3+7.8*(100-AT399)/AT399)))</f>
        <v>0.88564325668116839</v>
      </c>
      <c r="AN399" s="1023">
        <v>0.17777777777777778</v>
      </c>
      <c r="AO399" s="1024"/>
      <c r="AP399" s="1025"/>
      <c r="AQ399" s="1025"/>
      <c r="AR399" s="1149" t="str">
        <f t="shared" si="91"/>
        <v/>
      </c>
      <c r="AS399" s="1093">
        <f t="shared" si="101"/>
        <v>13</v>
      </c>
      <c r="AT399" s="1156">
        <v>1.6</v>
      </c>
      <c r="AU399" s="449"/>
      <c r="AV399" s="1205"/>
    </row>
    <row r="400" spans="1:48" ht="16.5" customHeight="1">
      <c r="A400" s="1005">
        <f t="shared" si="92"/>
        <v>46279</v>
      </c>
      <c r="B400" s="1005">
        <f t="shared" si="93"/>
        <v>46279</v>
      </c>
      <c r="C400" s="1150">
        <f t="shared" si="94"/>
        <v>18</v>
      </c>
      <c r="D400" s="1150">
        <f t="shared" si="95"/>
        <v>389</v>
      </c>
      <c r="E400" s="1006" t="str">
        <f t="shared" si="96"/>
        <v>A</v>
      </c>
      <c r="F400" s="1007" t="str">
        <f t="shared" si="89"/>
        <v>A</v>
      </c>
      <c r="G400" s="1008">
        <f t="shared" si="97"/>
        <v>85602</v>
      </c>
      <c r="H400" s="1138">
        <f t="shared" si="98"/>
        <v>0.70555555555555549</v>
      </c>
      <c r="I400" s="1009">
        <v>0.71666666666666667</v>
      </c>
      <c r="J400" s="1010">
        <f t="shared" si="99"/>
        <v>64.000000000000085</v>
      </c>
      <c r="K400" s="1011"/>
      <c r="L400" s="1012">
        <v>6</v>
      </c>
      <c r="M400" s="1013"/>
      <c r="N400" s="1014" t="str">
        <f t="shared" si="100"/>
        <v/>
      </c>
      <c r="O400" s="1323" t="s">
        <v>831</v>
      </c>
      <c r="P400" s="1324"/>
      <c r="Q400" s="1324"/>
      <c r="R400" s="1324"/>
      <c r="S400" s="1324"/>
      <c r="T400" s="1325"/>
      <c r="U400" s="1015">
        <v>1.8</v>
      </c>
      <c r="V400" s="1015"/>
      <c r="W400" s="1015"/>
      <c r="X400" s="1015"/>
      <c r="Y400" s="1015">
        <v>2.7</v>
      </c>
      <c r="Z400" s="1016">
        <f>'09월 에너지'!S402</f>
        <v>144.6</v>
      </c>
      <c r="AA400" s="1017">
        <v>2695</v>
      </c>
      <c r="AB400" s="1208" t="s">
        <v>808</v>
      </c>
      <c r="AC400" s="1208" t="s">
        <v>548</v>
      </c>
      <c r="AD400" s="1208" t="s">
        <v>548</v>
      </c>
      <c r="AE400" s="1208"/>
      <c r="AF400" s="1208" t="s">
        <v>548</v>
      </c>
      <c r="AG400" s="1018">
        <f>'09월 화학성분'!AM400</f>
        <v>4893</v>
      </c>
      <c r="AH400" s="1006">
        <f t="shared" si="90"/>
        <v>18</v>
      </c>
      <c r="AI400" s="1019">
        <v>1574</v>
      </c>
      <c r="AJ400" s="1020">
        <v>0</v>
      </c>
      <c r="AK400" s="1021">
        <v>844</v>
      </c>
      <c r="AL400" s="1022">
        <v>4</v>
      </c>
      <c r="AM400" s="1155">
        <f>IF(AT400="","",3*'09월 에너지'!S402*(1/(3+7.8*(100-AT400)/AT400)))</f>
        <v>1.6421522556390977</v>
      </c>
      <c r="AN400" s="1023">
        <v>0.16111111111111112</v>
      </c>
      <c r="AO400" s="1024" t="s">
        <v>538</v>
      </c>
      <c r="AP400" s="1025">
        <v>2000079</v>
      </c>
      <c r="AQ400" s="1025">
        <v>2113</v>
      </c>
      <c r="AR400" s="1149">
        <v>1</v>
      </c>
      <c r="AS400" s="1093" t="str">
        <f t="shared" si="101"/>
        <v xml:space="preserve"> </v>
      </c>
      <c r="AT400" s="1156">
        <v>2.9</v>
      </c>
      <c r="AU400" s="449"/>
      <c r="AV400" s="1205"/>
    </row>
    <row r="401" spans="1:48" ht="16.5" customHeight="1">
      <c r="A401" s="1005">
        <f t="shared" si="92"/>
        <v>46279</v>
      </c>
      <c r="B401" s="1005">
        <f t="shared" si="93"/>
        <v>46279</v>
      </c>
      <c r="C401" s="1150">
        <f t="shared" si="94"/>
        <v>19</v>
      </c>
      <c r="D401" s="1150">
        <f t="shared" si="95"/>
        <v>390</v>
      </c>
      <c r="E401" s="1006" t="str">
        <f t="shared" si="96"/>
        <v>A</v>
      </c>
      <c r="F401" s="1007" t="str">
        <f t="shared" si="89"/>
        <v>B</v>
      </c>
      <c r="G401" s="1008">
        <f t="shared" si="97"/>
        <v>85603</v>
      </c>
      <c r="H401" s="1138">
        <f t="shared" si="98"/>
        <v>0.75</v>
      </c>
      <c r="I401" s="1009">
        <v>0.74583333333333324</v>
      </c>
      <c r="J401" s="1010">
        <f t="shared" si="99"/>
        <v>41.999999999999851</v>
      </c>
      <c r="K401" s="1011"/>
      <c r="L401" s="1012"/>
      <c r="M401" s="1013"/>
      <c r="N401" s="1014" t="str">
        <f t="shared" si="100"/>
        <v/>
      </c>
      <c r="O401" s="1326" t="s">
        <v>823</v>
      </c>
      <c r="P401" s="1327"/>
      <c r="Q401" s="1327"/>
      <c r="R401" s="1327"/>
      <c r="S401" s="1327"/>
      <c r="T401" s="1328"/>
      <c r="U401" s="1015">
        <v>1.8</v>
      </c>
      <c r="V401" s="1015"/>
      <c r="W401" s="1015"/>
      <c r="X401" s="1015"/>
      <c r="Y401" s="1015">
        <v>2.6</v>
      </c>
      <c r="Z401" s="1016">
        <f>'09월 에너지'!S403</f>
        <v>141.4</v>
      </c>
      <c r="AA401" s="1017"/>
      <c r="AB401" s="1208"/>
      <c r="AC401" s="1208"/>
      <c r="AD401" s="1208"/>
      <c r="AE401" s="1208"/>
      <c r="AF401" s="1208"/>
      <c r="AG401" s="1018">
        <f>'09월 화학성분'!AM401</f>
        <v>2802</v>
      </c>
      <c r="AH401" s="1006">
        <f t="shared" si="90"/>
        <v>19</v>
      </c>
      <c r="AI401" s="1019">
        <v>1553</v>
      </c>
      <c r="AJ401" s="1020">
        <v>0</v>
      </c>
      <c r="AK401" s="1021">
        <v>555</v>
      </c>
      <c r="AL401" s="1022">
        <v>7</v>
      </c>
      <c r="AM401" s="1155">
        <f>IF(AT401="","",3*'09월 에너지'!S403*(1/(3+7.8*(100-AT401)/AT401)))</f>
        <v>1.1012461059190033</v>
      </c>
      <c r="AN401" s="1023">
        <v>0.14166666666666666</v>
      </c>
      <c r="AO401" s="1024"/>
      <c r="AP401" s="1025"/>
      <c r="AQ401" s="1025"/>
      <c r="AR401" s="1149" t="str">
        <f t="shared" si="91"/>
        <v/>
      </c>
      <c r="AS401" s="1093">
        <f t="shared" si="101"/>
        <v>14</v>
      </c>
      <c r="AT401" s="1156">
        <v>2</v>
      </c>
      <c r="AU401" s="449"/>
      <c r="AV401" s="1205"/>
    </row>
    <row r="402" spans="1:48" ht="16.5" customHeight="1">
      <c r="A402" s="1005">
        <f t="shared" si="92"/>
        <v>46279</v>
      </c>
      <c r="B402" s="1005">
        <f t="shared" si="93"/>
        <v>46279</v>
      </c>
      <c r="C402" s="1150">
        <f t="shared" si="94"/>
        <v>20</v>
      </c>
      <c r="D402" s="1150">
        <f t="shared" si="95"/>
        <v>391</v>
      </c>
      <c r="E402" s="1006" t="str">
        <f t="shared" si="96"/>
        <v>A</v>
      </c>
      <c r="F402" s="1007" t="str">
        <f t="shared" si="89"/>
        <v>A</v>
      </c>
      <c r="G402" s="1008">
        <f t="shared" si="97"/>
        <v>85604</v>
      </c>
      <c r="H402" s="1138">
        <f t="shared" si="98"/>
        <v>0.77916666666666656</v>
      </c>
      <c r="I402" s="1009">
        <v>0.77777777777777779</v>
      </c>
      <c r="J402" s="1010">
        <f t="shared" si="99"/>
        <v>46.000000000000156</v>
      </c>
      <c r="K402" s="1011"/>
      <c r="L402" s="1012">
        <v>2</v>
      </c>
      <c r="M402" s="1013"/>
      <c r="N402" s="1014" t="str">
        <f t="shared" si="100"/>
        <v/>
      </c>
      <c r="O402" s="1323" t="s">
        <v>674</v>
      </c>
      <c r="P402" s="1324"/>
      <c r="Q402" s="1324"/>
      <c r="R402" s="1324"/>
      <c r="S402" s="1324"/>
      <c r="T402" s="1325"/>
      <c r="U402" s="1015">
        <v>1.8</v>
      </c>
      <c r="V402" s="1015"/>
      <c r="W402" s="1015"/>
      <c r="X402" s="1015"/>
      <c r="Y402" s="1015">
        <v>2.4</v>
      </c>
      <c r="Z402" s="1016">
        <f>'09월 에너지'!S404</f>
        <v>145</v>
      </c>
      <c r="AA402" s="1017"/>
      <c r="AB402" s="1208"/>
      <c r="AC402" s="1208"/>
      <c r="AD402" s="1208"/>
      <c r="AE402" s="1208"/>
      <c r="AF402" s="1208"/>
      <c r="AG402" s="1018">
        <f>'09월 화학성분'!AM402</f>
        <v>2688</v>
      </c>
      <c r="AH402" s="1006">
        <f t="shared" si="90"/>
        <v>20</v>
      </c>
      <c r="AI402" s="1019">
        <v>1542</v>
      </c>
      <c r="AJ402" s="1020">
        <v>0</v>
      </c>
      <c r="AK402" s="1021">
        <v>387</v>
      </c>
      <c r="AL402" s="1022">
        <v>11</v>
      </c>
      <c r="AM402" s="1155">
        <f>IF(AT402="","",3*'09월 에너지'!S404*(1/(3+7.8*(100-AT402)/AT402)))</f>
        <v>1.2437616968184657</v>
      </c>
      <c r="AN402" s="1023">
        <v>0.17083333333333331</v>
      </c>
      <c r="AO402" s="1024"/>
      <c r="AP402" s="1025"/>
      <c r="AQ402" s="1025"/>
      <c r="AR402" s="1149">
        <f t="shared" si="91"/>
        <v>2</v>
      </c>
      <c r="AS402" s="1093" t="str">
        <f t="shared" si="101"/>
        <v xml:space="preserve"> </v>
      </c>
      <c r="AT402" s="1156">
        <v>2.2000000000000002</v>
      </c>
      <c r="AU402" s="449"/>
      <c r="AV402" s="1205"/>
    </row>
    <row r="403" spans="1:48" ht="16.5" customHeight="1">
      <c r="A403" s="1005">
        <f t="shared" si="92"/>
        <v>46279</v>
      </c>
      <c r="B403" s="1005">
        <f t="shared" si="93"/>
        <v>46279</v>
      </c>
      <c r="C403" s="1150">
        <f t="shared" si="94"/>
        <v>21</v>
      </c>
      <c r="D403" s="1150">
        <f t="shared" si="95"/>
        <v>392</v>
      </c>
      <c r="E403" s="1006" t="str">
        <f t="shared" si="96"/>
        <v>A</v>
      </c>
      <c r="F403" s="1007" t="str">
        <f t="shared" si="89"/>
        <v>B</v>
      </c>
      <c r="G403" s="1008">
        <f t="shared" si="97"/>
        <v>85605</v>
      </c>
      <c r="H403" s="1138">
        <f t="shared" si="98"/>
        <v>0.81111111111111112</v>
      </c>
      <c r="I403" s="1009">
        <v>0.80972222222222223</v>
      </c>
      <c r="J403" s="1010">
        <f t="shared" si="99"/>
        <v>46</v>
      </c>
      <c r="K403" s="1011"/>
      <c r="L403" s="1012"/>
      <c r="M403" s="1013"/>
      <c r="N403" s="1014" t="str">
        <f t="shared" si="100"/>
        <v/>
      </c>
      <c r="O403" s="1323"/>
      <c r="P403" s="1324"/>
      <c r="Q403" s="1324"/>
      <c r="R403" s="1324"/>
      <c r="S403" s="1324"/>
      <c r="T403" s="1325"/>
      <c r="U403" s="1015">
        <v>1.8</v>
      </c>
      <c r="V403" s="1015"/>
      <c r="W403" s="1015"/>
      <c r="X403" s="1015"/>
      <c r="Y403" s="1015">
        <v>3</v>
      </c>
      <c r="Z403" s="1016">
        <f>'09월 에너지'!S405</f>
        <v>142.5</v>
      </c>
      <c r="AA403" s="1017"/>
      <c r="AB403" s="1208"/>
      <c r="AC403" s="1208"/>
      <c r="AD403" s="1208"/>
      <c r="AE403" s="1208"/>
      <c r="AF403" s="1208"/>
      <c r="AG403" s="1018">
        <f>'09월 화학성분'!AM403</f>
        <v>2753</v>
      </c>
      <c r="AH403" s="1006">
        <f t="shared" si="90"/>
        <v>21</v>
      </c>
      <c r="AI403" s="1019">
        <v>1584</v>
      </c>
      <c r="AJ403" s="1020">
        <v>0</v>
      </c>
      <c r="AK403" s="1021">
        <v>554</v>
      </c>
      <c r="AL403" s="1022">
        <v>7</v>
      </c>
      <c r="AM403" s="1155">
        <f>IF(AT403="","",3*'09월 에너지'!S405*(1/(3+7.8*(100-AT403)/AT403)))</f>
        <v>0.49601639851485158</v>
      </c>
      <c r="AN403" s="1023">
        <v>0.14166666666666666</v>
      </c>
      <c r="AO403" s="1024"/>
      <c r="AP403" s="1025"/>
      <c r="AQ403" s="1025"/>
      <c r="AR403" s="1149" t="str">
        <f t="shared" si="91"/>
        <v/>
      </c>
      <c r="AS403" s="1093">
        <f t="shared" si="101"/>
        <v>15</v>
      </c>
      <c r="AT403" s="1156">
        <v>0.9</v>
      </c>
      <c r="AU403" s="449"/>
      <c r="AV403" s="1205"/>
    </row>
    <row r="404" spans="1:48" ht="16.5" customHeight="1">
      <c r="A404" s="1005">
        <f t="shared" si="92"/>
        <v>46279</v>
      </c>
      <c r="B404" s="1005">
        <f t="shared" si="93"/>
        <v>46279</v>
      </c>
      <c r="C404" s="1150">
        <f t="shared" si="94"/>
        <v>22</v>
      </c>
      <c r="D404" s="1150">
        <f t="shared" si="95"/>
        <v>393</v>
      </c>
      <c r="E404" s="1006" t="str">
        <f t="shared" si="96"/>
        <v>A</v>
      </c>
      <c r="F404" s="1007" t="str">
        <f t="shared" si="89"/>
        <v>A</v>
      </c>
      <c r="G404" s="1008">
        <f t="shared" si="97"/>
        <v>85606</v>
      </c>
      <c r="H404" s="1138">
        <f t="shared" si="98"/>
        <v>0.84305555555555556</v>
      </c>
      <c r="I404" s="1009">
        <v>0.84513888888888899</v>
      </c>
      <c r="J404" s="1010">
        <f t="shared" si="99"/>
        <v>51.000000000000142</v>
      </c>
      <c r="K404" s="1011"/>
      <c r="L404" s="1012"/>
      <c r="M404" s="1013"/>
      <c r="N404" s="1014" t="str">
        <f t="shared" si="100"/>
        <v/>
      </c>
      <c r="O404" s="1323" t="s">
        <v>833</v>
      </c>
      <c r="P404" s="1324"/>
      <c r="Q404" s="1324"/>
      <c r="R404" s="1324"/>
      <c r="S404" s="1324"/>
      <c r="T404" s="1325"/>
      <c r="U404" s="1015">
        <v>1.8</v>
      </c>
      <c r="V404" s="1015"/>
      <c r="W404" s="1015"/>
      <c r="X404" s="1015"/>
      <c r="Y404" s="1015">
        <v>2.6</v>
      </c>
      <c r="Z404" s="1016">
        <f>'09월 에너지'!S406</f>
        <v>144.69999999999999</v>
      </c>
      <c r="AA404" s="1017"/>
      <c r="AB404" s="1208"/>
      <c r="AC404" s="1208"/>
      <c r="AD404" s="1208"/>
      <c r="AE404" s="1208"/>
      <c r="AF404" s="1208"/>
      <c r="AG404" s="1018">
        <f>'09월 화학성분'!AM404</f>
        <v>3151</v>
      </c>
      <c r="AH404" s="1006">
        <f t="shared" si="90"/>
        <v>22</v>
      </c>
      <c r="AI404" s="1019">
        <v>1601</v>
      </c>
      <c r="AJ404" s="1020">
        <v>0</v>
      </c>
      <c r="AK404" s="1021">
        <v>602</v>
      </c>
      <c r="AL404" s="1022">
        <v>6</v>
      </c>
      <c r="AM404" s="1155">
        <f>IF(AT404="","",3*'09월 에너지'!S406*(1/(3+7.8*(100-AT404)/AT404)))</f>
        <v>2.9303128970775094</v>
      </c>
      <c r="AN404" s="1023">
        <v>0.14305555555555557</v>
      </c>
      <c r="AO404" s="1024"/>
      <c r="AP404" s="1025"/>
      <c r="AQ404" s="1025"/>
      <c r="AR404" s="1149">
        <f t="shared" si="91"/>
        <v>3</v>
      </c>
      <c r="AS404" s="1093" t="str">
        <f t="shared" si="101"/>
        <v xml:space="preserve"> </v>
      </c>
      <c r="AT404" s="1156">
        <v>5.0999999999999996</v>
      </c>
      <c r="AU404" s="449"/>
      <c r="AV404" s="1205"/>
    </row>
    <row r="405" spans="1:48" ht="16.5" customHeight="1">
      <c r="A405" s="1005">
        <f t="shared" si="92"/>
        <v>46279</v>
      </c>
      <c r="B405" s="1005">
        <f t="shared" si="93"/>
        <v>46279</v>
      </c>
      <c r="C405" s="1150">
        <f t="shared" si="94"/>
        <v>23</v>
      </c>
      <c r="D405" s="1150">
        <f t="shared" si="95"/>
        <v>394</v>
      </c>
      <c r="E405" s="1006" t="str">
        <f t="shared" si="96"/>
        <v>A</v>
      </c>
      <c r="F405" s="1007" t="str">
        <f t="shared" si="89"/>
        <v>B</v>
      </c>
      <c r="G405" s="1008">
        <f t="shared" si="97"/>
        <v>85607</v>
      </c>
      <c r="H405" s="1138">
        <f t="shared" si="98"/>
        <v>0.87847222222222232</v>
      </c>
      <c r="I405" s="1009">
        <v>0.87638888888888899</v>
      </c>
      <c r="J405" s="1010">
        <f t="shared" si="99"/>
        <v>45</v>
      </c>
      <c r="K405" s="1011"/>
      <c r="L405" s="1012"/>
      <c r="M405" s="1013"/>
      <c r="N405" s="1014" t="str">
        <f t="shared" si="100"/>
        <v/>
      </c>
      <c r="O405" s="1326" t="s">
        <v>832</v>
      </c>
      <c r="P405" s="1327"/>
      <c r="Q405" s="1327"/>
      <c r="R405" s="1327"/>
      <c r="S405" s="1327"/>
      <c r="T405" s="1328"/>
      <c r="U405" s="1015">
        <v>1.8</v>
      </c>
      <c r="V405" s="1015"/>
      <c r="W405" s="1015"/>
      <c r="X405" s="1015"/>
      <c r="Y405" s="1015">
        <v>2.7</v>
      </c>
      <c r="Z405" s="1016">
        <f>'09월 에너지'!S407</f>
        <v>142.5</v>
      </c>
      <c r="AA405" s="1017"/>
      <c r="AB405" s="1208"/>
      <c r="AC405" s="1208"/>
      <c r="AD405" s="1208"/>
      <c r="AE405" s="1208"/>
      <c r="AF405" s="1208"/>
      <c r="AG405" s="1018">
        <f>'09월 화학성분'!AM405</f>
        <v>2718</v>
      </c>
      <c r="AH405" s="1006">
        <f t="shared" si="90"/>
        <v>23</v>
      </c>
      <c r="AI405" s="1019">
        <v>1605</v>
      </c>
      <c r="AJ405" s="1020">
        <v>0</v>
      </c>
      <c r="AK405" s="1021">
        <v>534</v>
      </c>
      <c r="AL405" s="1022">
        <v>8</v>
      </c>
      <c r="AM405" s="1155">
        <f>IF(AT405="","",3*'09월 에너지'!S407*(1/(3+7.8*(100-AT405)/AT405)))</f>
        <v>0.88564325668116839</v>
      </c>
      <c r="AN405" s="1023">
        <v>0.14652777777777778</v>
      </c>
      <c r="AO405" s="1024"/>
      <c r="AP405" s="1025"/>
      <c r="AQ405" s="1025"/>
      <c r="AR405" s="1149" t="str">
        <f t="shared" si="91"/>
        <v/>
      </c>
      <c r="AS405" s="1093">
        <f t="shared" si="101"/>
        <v>16</v>
      </c>
      <c r="AT405" s="1156">
        <v>1.6</v>
      </c>
      <c r="AU405" s="449"/>
      <c r="AV405" s="1205"/>
    </row>
    <row r="406" spans="1:48" ht="16.5" customHeight="1">
      <c r="A406" s="1005">
        <f t="shared" si="92"/>
        <v>46279</v>
      </c>
      <c r="B406" s="1005">
        <f t="shared" si="93"/>
        <v>46279</v>
      </c>
      <c r="C406" s="1150">
        <f t="shared" si="94"/>
        <v>24</v>
      </c>
      <c r="D406" s="1150">
        <f t="shared" si="95"/>
        <v>395</v>
      </c>
      <c r="E406" s="1006" t="str">
        <f t="shared" si="96"/>
        <v>A</v>
      </c>
      <c r="F406" s="1007" t="str">
        <f t="shared" si="89"/>
        <v>A</v>
      </c>
      <c r="G406" s="1008">
        <f t="shared" si="97"/>
        <v>85608</v>
      </c>
      <c r="H406" s="1138">
        <f t="shared" si="98"/>
        <v>0.90972222222222232</v>
      </c>
      <c r="I406" s="1009">
        <v>0.90763888888888899</v>
      </c>
      <c r="J406" s="1010">
        <f t="shared" si="99"/>
        <v>45</v>
      </c>
      <c r="K406" s="1011"/>
      <c r="L406" s="1012"/>
      <c r="M406" s="1013"/>
      <c r="N406" s="1014" t="str">
        <f t="shared" si="100"/>
        <v/>
      </c>
      <c r="O406" s="1323"/>
      <c r="P406" s="1324"/>
      <c r="Q406" s="1324"/>
      <c r="R406" s="1324"/>
      <c r="S406" s="1324"/>
      <c r="T406" s="1325"/>
      <c r="U406" s="1015">
        <v>1.8</v>
      </c>
      <c r="V406" s="1015"/>
      <c r="W406" s="1015"/>
      <c r="X406" s="1015"/>
      <c r="Y406" s="1015">
        <v>2.2999999999999998</v>
      </c>
      <c r="Z406" s="1016">
        <f>'09월 에너지'!S408</f>
        <v>146</v>
      </c>
      <c r="AA406" s="1017"/>
      <c r="AB406" s="1208"/>
      <c r="AC406" s="1208"/>
      <c r="AD406" s="1208"/>
      <c r="AE406" s="1208"/>
      <c r="AF406" s="1208"/>
      <c r="AG406" s="1018">
        <f>'09월 화학성분'!AM406</f>
        <v>2442</v>
      </c>
      <c r="AH406" s="1006">
        <f t="shared" si="90"/>
        <v>24</v>
      </c>
      <c r="AI406" s="1019">
        <v>1561</v>
      </c>
      <c r="AJ406" s="1020">
        <v>0</v>
      </c>
      <c r="AK406" s="1021">
        <v>757</v>
      </c>
      <c r="AL406" s="1022">
        <v>5</v>
      </c>
      <c r="AM406" s="1155">
        <f>IF(AT406="","",3*'09월 에너지'!S408*(1/(3+7.8*(100-AT406)/AT406)))</f>
        <v>2.5988924050632911</v>
      </c>
      <c r="AN406" s="1023">
        <v>0.15277777777777776</v>
      </c>
      <c r="AO406" s="1024"/>
      <c r="AP406" s="1025"/>
      <c r="AQ406" s="1025"/>
      <c r="AR406" s="1149">
        <f t="shared" si="91"/>
        <v>4</v>
      </c>
      <c r="AS406" s="1093" t="str">
        <f t="shared" si="101"/>
        <v xml:space="preserve"> </v>
      </c>
      <c r="AT406" s="1156">
        <v>4.5</v>
      </c>
      <c r="AU406" s="449"/>
      <c r="AV406" s="1205"/>
    </row>
    <row r="407" spans="1:48" ht="16.5" customHeight="1">
      <c r="A407" s="1005">
        <f t="shared" si="92"/>
        <v>46279</v>
      </c>
      <c r="B407" s="1005">
        <f t="shared" si="93"/>
        <v>46279</v>
      </c>
      <c r="C407" s="1150">
        <f t="shared" si="94"/>
        <v>25</v>
      </c>
      <c r="D407" s="1150">
        <f t="shared" si="95"/>
        <v>396</v>
      </c>
      <c r="E407" s="1006" t="str">
        <f t="shared" si="96"/>
        <v>A</v>
      </c>
      <c r="F407" s="1007" t="str">
        <f t="shared" si="89"/>
        <v>B</v>
      </c>
      <c r="G407" s="1008">
        <f t="shared" si="97"/>
        <v>85609</v>
      </c>
      <c r="H407" s="1138">
        <f t="shared" si="98"/>
        <v>0.94097222222222232</v>
      </c>
      <c r="I407" s="1009">
        <v>0.94166666666666676</v>
      </c>
      <c r="J407" s="1010">
        <f t="shared" si="99"/>
        <v>48.999999999999986</v>
      </c>
      <c r="K407" s="1011"/>
      <c r="L407" s="1012"/>
      <c r="M407" s="1013"/>
      <c r="N407" s="1014" t="str">
        <f t="shared" si="100"/>
        <v/>
      </c>
      <c r="O407" s="1323" t="s">
        <v>834</v>
      </c>
      <c r="P407" s="1324"/>
      <c r="Q407" s="1324"/>
      <c r="R407" s="1324"/>
      <c r="S407" s="1324"/>
      <c r="T407" s="1325"/>
      <c r="U407" s="1015">
        <v>1.8</v>
      </c>
      <c r="V407" s="1015"/>
      <c r="W407" s="1015"/>
      <c r="X407" s="1015"/>
      <c r="Y407" s="1015">
        <v>2.4</v>
      </c>
      <c r="Z407" s="1016">
        <f>'09월 에너지'!S409</f>
        <v>143.69999999999999</v>
      </c>
      <c r="AA407" s="1017">
        <v>2603</v>
      </c>
      <c r="AB407" s="1208" t="s">
        <v>808</v>
      </c>
      <c r="AC407" s="1208" t="s">
        <v>548</v>
      </c>
      <c r="AD407" s="1208" t="s">
        <v>548</v>
      </c>
      <c r="AE407" s="1208"/>
      <c r="AF407" s="1208" t="s">
        <v>548</v>
      </c>
      <c r="AG407" s="1018">
        <f>'09월 화학성분'!AM407</f>
        <v>2455</v>
      </c>
      <c r="AH407" s="1006">
        <f t="shared" si="90"/>
        <v>25</v>
      </c>
      <c r="AI407" s="1019">
        <v>1560</v>
      </c>
      <c r="AJ407" s="1020">
        <v>0</v>
      </c>
      <c r="AK407" s="1021">
        <v>517</v>
      </c>
      <c r="AL407" s="1022">
        <v>8</v>
      </c>
      <c r="AM407" s="1155">
        <f>IF(AT407="","",3*'09월 에너지'!S409*(1/(3+7.8*(100-AT407)/AT407)))</f>
        <v>1.1191588785046729</v>
      </c>
      <c r="AN407" s="1023">
        <v>0.14583333333333334</v>
      </c>
      <c r="AO407" s="1024"/>
      <c r="AP407" s="1025"/>
      <c r="AQ407" s="1025"/>
      <c r="AR407" s="1149" t="str">
        <f t="shared" si="91"/>
        <v/>
      </c>
      <c r="AS407" s="1093">
        <f t="shared" si="101"/>
        <v>17</v>
      </c>
      <c r="AT407" s="1156">
        <v>2</v>
      </c>
      <c r="AU407" s="449"/>
      <c r="AV407" s="1205"/>
    </row>
    <row r="408" spans="1:48" ht="16.5" customHeight="1">
      <c r="A408" s="1005">
        <f t="shared" si="92"/>
        <v>46279</v>
      </c>
      <c r="B408" s="1005">
        <f t="shared" si="93"/>
        <v>46279</v>
      </c>
      <c r="C408" s="1150">
        <f t="shared" si="94"/>
        <v>26</v>
      </c>
      <c r="D408" s="1150">
        <f t="shared" si="95"/>
        <v>397</v>
      </c>
      <c r="E408" s="1006" t="s">
        <v>546</v>
      </c>
      <c r="F408" s="1007" t="str">
        <f t="shared" si="89"/>
        <v>A</v>
      </c>
      <c r="G408" s="1008">
        <f t="shared" si="97"/>
        <v>85610</v>
      </c>
      <c r="H408" s="1138">
        <f t="shared" si="98"/>
        <v>0.97500000000000009</v>
      </c>
      <c r="I408" s="1009">
        <v>0.97499999999999998</v>
      </c>
      <c r="J408" s="1010">
        <f t="shared" si="99"/>
        <v>47.999999999999829</v>
      </c>
      <c r="K408" s="1011"/>
      <c r="L408" s="1012"/>
      <c r="M408" s="1013"/>
      <c r="N408" s="1014" t="str">
        <f t="shared" si="100"/>
        <v/>
      </c>
      <c r="O408" s="1323" t="s">
        <v>834</v>
      </c>
      <c r="P408" s="1324"/>
      <c r="Q408" s="1324"/>
      <c r="R408" s="1324"/>
      <c r="S408" s="1324"/>
      <c r="T408" s="1325"/>
      <c r="U408" s="1015">
        <v>1.8</v>
      </c>
      <c r="V408" s="1015"/>
      <c r="W408" s="1015"/>
      <c r="X408" s="1015"/>
      <c r="Y408" s="1015">
        <v>2.7</v>
      </c>
      <c r="Z408" s="1016">
        <f>'09월 에너지'!S410</f>
        <v>145.5</v>
      </c>
      <c r="AA408" s="1017">
        <v>2612</v>
      </c>
      <c r="AB408" s="1208" t="s">
        <v>808</v>
      </c>
      <c r="AC408" s="1208" t="s">
        <v>548</v>
      </c>
      <c r="AD408" s="1208"/>
      <c r="AE408" s="1208"/>
      <c r="AF408" s="1208" t="s">
        <v>548</v>
      </c>
      <c r="AG408" s="1018">
        <f>'09월 화학성분'!AM408</f>
        <v>1751</v>
      </c>
      <c r="AH408" s="1006">
        <f t="shared" si="90"/>
        <v>26</v>
      </c>
      <c r="AI408" s="1019">
        <v>1576</v>
      </c>
      <c r="AJ408" s="1020">
        <v>12</v>
      </c>
      <c r="AK408" s="1021">
        <v>639</v>
      </c>
      <c r="AL408" s="1022">
        <v>6</v>
      </c>
      <c r="AM408" s="1155">
        <f>IF(AT408="","",3*'09월 에너지'!S410*(1/(3+7.8*(100-AT408)/AT408)))</f>
        <v>2.2949526813880126</v>
      </c>
      <c r="AN408" s="1023">
        <v>0.11875000000000001</v>
      </c>
      <c r="AO408" s="1024"/>
      <c r="AP408" s="1025"/>
      <c r="AQ408" s="1025"/>
      <c r="AR408" s="1149">
        <f t="shared" si="91"/>
        <v>5</v>
      </c>
      <c r="AS408" s="1093" t="str">
        <f t="shared" si="101"/>
        <v xml:space="preserve"> </v>
      </c>
      <c r="AT408" s="1156">
        <v>4</v>
      </c>
      <c r="AU408" s="449"/>
      <c r="AV408" s="1205"/>
    </row>
    <row r="409" spans="1:48" ht="16.5" customHeight="1">
      <c r="A409" s="1005">
        <f t="shared" si="92"/>
        <v>46279</v>
      </c>
      <c r="B409" s="1005">
        <f t="shared" si="93"/>
        <v>46279</v>
      </c>
      <c r="C409" s="1150">
        <f t="shared" si="94"/>
        <v>27</v>
      </c>
      <c r="D409" s="1150">
        <f t="shared" si="95"/>
        <v>398</v>
      </c>
      <c r="E409" s="1006" t="str">
        <f t="shared" si="96"/>
        <v>C</v>
      </c>
      <c r="F409" s="1007" t="str">
        <f t="shared" si="89"/>
        <v>B</v>
      </c>
      <c r="G409" s="1008">
        <f t="shared" si="97"/>
        <v>85611</v>
      </c>
      <c r="H409" s="1138">
        <f t="shared" si="98"/>
        <v>1.0083333333333333</v>
      </c>
      <c r="I409" s="1009">
        <v>8.3333333333333332E-3</v>
      </c>
      <c r="J409" s="1010">
        <f t="shared" si="99"/>
        <v>48</v>
      </c>
      <c r="K409" s="1011"/>
      <c r="L409" s="1012"/>
      <c r="M409" s="1013"/>
      <c r="N409" s="1014" t="str">
        <f t="shared" si="100"/>
        <v/>
      </c>
      <c r="O409" s="1323" t="s">
        <v>835</v>
      </c>
      <c r="P409" s="1324"/>
      <c r="Q409" s="1324"/>
      <c r="R409" s="1324"/>
      <c r="S409" s="1324"/>
      <c r="T409" s="1325"/>
      <c r="U409" s="1015">
        <v>1.8</v>
      </c>
      <c r="V409" s="1015"/>
      <c r="W409" s="1015"/>
      <c r="X409" s="1015"/>
      <c r="Y409" s="1015">
        <v>2.6</v>
      </c>
      <c r="Z409" s="1016">
        <f>'09월 에너지'!S411</f>
        <v>143.19999999999999</v>
      </c>
      <c r="AA409" s="1017"/>
      <c r="AB409" s="1208"/>
      <c r="AC409" s="1208"/>
      <c r="AD409" s="1208"/>
      <c r="AE409" s="1208"/>
      <c r="AF409" s="1208"/>
      <c r="AG409" s="1018">
        <f>'09월 화학성분'!AM409</f>
        <v>1628</v>
      </c>
      <c r="AH409" s="1006">
        <f t="shared" si="90"/>
        <v>27</v>
      </c>
      <c r="AI409" s="1019">
        <v>1585</v>
      </c>
      <c r="AJ409" s="1020">
        <v>0</v>
      </c>
      <c r="AK409" s="1021">
        <v>416</v>
      </c>
      <c r="AL409" s="1022">
        <v>10</v>
      </c>
      <c r="AM409" s="1155">
        <f>IF(AT409="","",3*'09월 에너지'!S411*(1/(3+7.8*(100-AT409)/AT409)))</f>
        <v>0.88999378495960213</v>
      </c>
      <c r="AN409" s="1023">
        <v>0.14305555555555557</v>
      </c>
      <c r="AO409" s="1024"/>
      <c r="AP409" s="1025"/>
      <c r="AQ409" s="1025"/>
      <c r="AR409" s="1149" t="str">
        <f t="shared" si="91"/>
        <v/>
      </c>
      <c r="AS409" s="1093">
        <f t="shared" si="101"/>
        <v>18</v>
      </c>
      <c r="AT409" s="1156">
        <v>1.6</v>
      </c>
      <c r="AU409" s="449"/>
      <c r="AV409" s="1205"/>
    </row>
    <row r="410" spans="1:48" ht="16.5" customHeight="1">
      <c r="A410" s="1005">
        <f t="shared" si="92"/>
        <v>46279</v>
      </c>
      <c r="B410" s="1005">
        <f t="shared" si="93"/>
        <v>46279</v>
      </c>
      <c r="C410" s="1150">
        <f t="shared" si="94"/>
        <v>28</v>
      </c>
      <c r="D410" s="1150">
        <f t="shared" si="95"/>
        <v>399</v>
      </c>
      <c r="E410" s="1006" t="str">
        <f t="shared" si="96"/>
        <v>C</v>
      </c>
      <c r="F410" s="1007" t="str">
        <f t="shared" si="89"/>
        <v>A</v>
      </c>
      <c r="G410" s="1008">
        <f t="shared" si="97"/>
        <v>85612</v>
      </c>
      <c r="H410" s="1138">
        <f t="shared" si="98"/>
        <v>4.1666666666666664E-2</v>
      </c>
      <c r="I410" s="1009">
        <v>4.0972222222222222E-2</v>
      </c>
      <c r="J410" s="1010">
        <f t="shared" si="99"/>
        <v>47</v>
      </c>
      <c r="K410" s="1011"/>
      <c r="L410" s="1012"/>
      <c r="M410" s="1013"/>
      <c r="N410" s="1014" t="str">
        <f t="shared" si="100"/>
        <v/>
      </c>
      <c r="O410" s="1323"/>
      <c r="P410" s="1324"/>
      <c r="Q410" s="1324"/>
      <c r="R410" s="1324"/>
      <c r="S410" s="1324"/>
      <c r="T410" s="1325"/>
      <c r="U410" s="1015">
        <v>1.8</v>
      </c>
      <c r="V410" s="1015"/>
      <c r="W410" s="1015"/>
      <c r="X410" s="1015"/>
      <c r="Y410" s="1015">
        <v>2.7</v>
      </c>
      <c r="Z410" s="1016">
        <f>'09월 에너지'!S412</f>
        <v>144.69999999999999</v>
      </c>
      <c r="AA410" s="1017"/>
      <c r="AB410" s="1208"/>
      <c r="AC410" s="1208"/>
      <c r="AD410" s="1208"/>
      <c r="AE410" s="1208"/>
      <c r="AF410" s="1208"/>
      <c r="AG410" s="1018">
        <f>'09월 화학성분'!AM410</f>
        <v>1981</v>
      </c>
      <c r="AH410" s="1006">
        <f t="shared" si="90"/>
        <v>28</v>
      </c>
      <c r="AI410" s="1019">
        <v>1586</v>
      </c>
      <c r="AJ410" s="1020">
        <v>0</v>
      </c>
      <c r="AK410" s="1021">
        <v>529</v>
      </c>
      <c r="AL410" s="1022">
        <v>8</v>
      </c>
      <c r="AM410" s="1155">
        <f>IF(AT410="","",3*'09월 에너지'!S412*(1/(3+7.8*(100-AT410)/AT410)))</f>
        <v>1.6432879072681703</v>
      </c>
      <c r="AN410" s="1023">
        <v>0.22083333333333333</v>
      </c>
      <c r="AO410" s="1024"/>
      <c r="AP410" s="1025"/>
      <c r="AQ410" s="1025"/>
      <c r="AR410" s="1149">
        <f t="shared" si="91"/>
        <v>6</v>
      </c>
      <c r="AS410" s="1093" t="str">
        <f t="shared" si="101"/>
        <v xml:space="preserve"> </v>
      </c>
      <c r="AT410" s="1156">
        <v>2.9</v>
      </c>
      <c r="AU410" s="449"/>
      <c r="AV410" s="1205"/>
    </row>
    <row r="411" spans="1:48" ht="16.5" customHeight="1">
      <c r="A411" s="1005">
        <f t="shared" si="92"/>
        <v>46279</v>
      </c>
      <c r="B411" s="1005">
        <f t="shared" si="93"/>
        <v>46279</v>
      </c>
      <c r="C411" s="1150">
        <f t="shared" si="94"/>
        <v>29</v>
      </c>
      <c r="D411" s="1150">
        <f t="shared" si="95"/>
        <v>400</v>
      </c>
      <c r="E411" s="1006" t="str">
        <f t="shared" si="96"/>
        <v>C</v>
      </c>
      <c r="F411" s="1007" t="str">
        <f t="shared" si="89"/>
        <v>B</v>
      </c>
      <c r="G411" s="1008">
        <f t="shared" si="97"/>
        <v>85613</v>
      </c>
      <c r="H411" s="1138">
        <f t="shared" si="98"/>
        <v>7.4305555555555555E-2</v>
      </c>
      <c r="I411" s="1009">
        <v>7.3611111111111113E-2</v>
      </c>
      <c r="J411" s="1010">
        <f t="shared" si="99"/>
        <v>47</v>
      </c>
      <c r="K411" s="1011"/>
      <c r="L411" s="1012"/>
      <c r="M411" s="1013"/>
      <c r="N411" s="1014" t="str">
        <f t="shared" si="100"/>
        <v/>
      </c>
      <c r="O411" s="1323"/>
      <c r="P411" s="1324"/>
      <c r="Q411" s="1324"/>
      <c r="R411" s="1324"/>
      <c r="S411" s="1324"/>
      <c r="T411" s="1325"/>
      <c r="U411" s="1015">
        <v>1.8</v>
      </c>
      <c r="V411" s="1015"/>
      <c r="W411" s="1015"/>
      <c r="X411" s="1015"/>
      <c r="Y411" s="1015" t="s">
        <v>552</v>
      </c>
      <c r="Z411" s="1016">
        <f>'09월 에너지'!S413</f>
        <v>141.6</v>
      </c>
      <c r="AA411" s="1017"/>
      <c r="AB411" s="1208"/>
      <c r="AC411" s="1208"/>
      <c r="AD411" s="1208"/>
      <c r="AE411" s="1208"/>
      <c r="AF411" s="1208"/>
      <c r="AG411" s="1018">
        <f>'09월 화학성분'!AM411</f>
        <v>1691</v>
      </c>
      <c r="AH411" s="1006">
        <f t="shared" si="90"/>
        <v>29</v>
      </c>
      <c r="AI411" s="1019">
        <v>1593</v>
      </c>
      <c r="AJ411" s="1020">
        <v>0</v>
      </c>
      <c r="AK411" s="1021">
        <v>574</v>
      </c>
      <c r="AL411" s="1022">
        <v>7</v>
      </c>
      <c r="AM411" s="1155">
        <f>IF(AT411="","",3*'09월 에너지'!S413*(1/(3+7.8*(100-AT411)/AT411)))</f>
        <v>0.3828800988875154</v>
      </c>
      <c r="AN411" s="1023">
        <v>0.25416666666666665</v>
      </c>
      <c r="AO411" s="1024"/>
      <c r="AP411" s="1025"/>
      <c r="AQ411" s="1025"/>
      <c r="AR411" s="1149" t="str">
        <f t="shared" si="91"/>
        <v/>
      </c>
      <c r="AS411" s="1093">
        <f t="shared" si="101"/>
        <v>19</v>
      </c>
      <c r="AT411" s="1156">
        <v>0.7</v>
      </c>
      <c r="AU411" s="449"/>
      <c r="AV411" s="1205"/>
    </row>
    <row r="412" spans="1:48" ht="16.5" customHeight="1">
      <c r="A412" s="1005">
        <f t="shared" si="92"/>
        <v>46279</v>
      </c>
      <c r="B412" s="1005">
        <f t="shared" si="93"/>
        <v>46279</v>
      </c>
      <c r="C412" s="1150">
        <f t="shared" si="94"/>
        <v>30</v>
      </c>
      <c r="D412" s="1150">
        <f t="shared" si="95"/>
        <v>401</v>
      </c>
      <c r="E412" s="1006" t="str">
        <f t="shared" si="96"/>
        <v>C</v>
      </c>
      <c r="F412" s="1007" t="str">
        <f t="shared" si="89"/>
        <v>A</v>
      </c>
      <c r="G412" s="1008">
        <f t="shared" si="97"/>
        <v>85614</v>
      </c>
      <c r="H412" s="1138">
        <f t="shared" si="98"/>
        <v>0.10694444444444445</v>
      </c>
      <c r="I412" s="1009">
        <v>0.10625</v>
      </c>
      <c r="J412" s="1010">
        <f t="shared" si="99"/>
        <v>46.999999999999993</v>
      </c>
      <c r="K412" s="1011"/>
      <c r="L412" s="1012"/>
      <c r="M412" s="1013"/>
      <c r="N412" s="1014" t="str">
        <f t="shared" si="100"/>
        <v/>
      </c>
      <c r="O412" s="1323"/>
      <c r="P412" s="1324"/>
      <c r="Q412" s="1324"/>
      <c r="R412" s="1324"/>
      <c r="S412" s="1324"/>
      <c r="T412" s="1325"/>
      <c r="U412" s="1015">
        <v>1.8</v>
      </c>
      <c r="V412" s="1015"/>
      <c r="W412" s="1015"/>
      <c r="X412" s="1015"/>
      <c r="Y412" s="1015">
        <v>2.4</v>
      </c>
      <c r="Z412" s="1016">
        <f>'09월 에너지'!S414</f>
        <v>147.9</v>
      </c>
      <c r="AA412" s="1017"/>
      <c r="AB412" s="1208"/>
      <c r="AC412" s="1208"/>
      <c r="AD412" s="1208"/>
      <c r="AE412" s="1208"/>
      <c r="AF412" s="1208"/>
      <c r="AG412" s="1018">
        <f>'09월 화학성분'!AM412</f>
        <v>1699</v>
      </c>
      <c r="AH412" s="1006">
        <f t="shared" si="90"/>
        <v>30</v>
      </c>
      <c r="AI412" s="1019">
        <v>1605</v>
      </c>
      <c r="AJ412" s="1020">
        <v>0</v>
      </c>
      <c r="AK412" s="1021">
        <v>799</v>
      </c>
      <c r="AL412" s="1022">
        <v>5</v>
      </c>
      <c r="AM412" s="1155">
        <f>IF(AT412="","",3*'09월 에너지'!S414*(1/(3+7.8*(100-AT412)/AT412)))</f>
        <v>2.3926373106060606</v>
      </c>
      <c r="AN412" s="1023">
        <v>0.1451388888888889</v>
      </c>
      <c r="AO412" s="1024"/>
      <c r="AP412" s="1025"/>
      <c r="AQ412" s="1025"/>
      <c r="AR412" s="1149">
        <f t="shared" si="91"/>
        <v>7</v>
      </c>
      <c r="AS412" s="1093" t="str">
        <f t="shared" si="101"/>
        <v xml:space="preserve"> </v>
      </c>
      <c r="AT412" s="1156">
        <v>4.0999999999999996</v>
      </c>
      <c r="AU412" s="449"/>
      <c r="AV412" s="1205"/>
    </row>
    <row r="413" spans="1:48" ht="16.5" customHeight="1">
      <c r="A413" s="1005">
        <v>46280</v>
      </c>
      <c r="B413" s="1005">
        <f t="shared" si="93"/>
        <v>46279</v>
      </c>
      <c r="C413" s="1150">
        <f t="shared" si="94"/>
        <v>1</v>
      </c>
      <c r="D413" s="1150">
        <f t="shared" si="95"/>
        <v>402</v>
      </c>
      <c r="E413" s="1006" t="str">
        <f t="shared" si="96"/>
        <v>C</v>
      </c>
      <c r="F413" s="1007" t="str">
        <f t="shared" si="89"/>
        <v>B</v>
      </c>
      <c r="G413" s="1008">
        <f t="shared" si="97"/>
        <v>85615</v>
      </c>
      <c r="H413" s="1138">
        <f t="shared" si="98"/>
        <v>0.13958333333333334</v>
      </c>
      <c r="I413" s="1009">
        <v>0.14722222222222223</v>
      </c>
      <c r="J413" s="1010">
        <f t="shared" si="99"/>
        <v>59.000000000000007</v>
      </c>
      <c r="K413" s="1011"/>
      <c r="L413" s="1012">
        <v>7</v>
      </c>
      <c r="M413" s="1013"/>
      <c r="N413" s="1014" t="str">
        <f t="shared" si="100"/>
        <v/>
      </c>
      <c r="O413" s="1323" t="s">
        <v>837</v>
      </c>
      <c r="P413" s="1324"/>
      <c r="Q413" s="1324"/>
      <c r="R413" s="1324"/>
      <c r="S413" s="1324"/>
      <c r="T413" s="1325"/>
      <c r="U413" s="1015">
        <v>1.8</v>
      </c>
      <c r="V413" s="1015"/>
      <c r="W413" s="1015"/>
      <c r="X413" s="1015"/>
      <c r="Y413" s="1015" t="s">
        <v>836</v>
      </c>
      <c r="Z413" s="1016">
        <f>'09월 에너지'!S415</f>
        <v>139.69999999999999</v>
      </c>
      <c r="AA413" s="1017"/>
      <c r="AB413" s="1208"/>
      <c r="AC413" s="1208"/>
      <c r="AD413" s="1208"/>
      <c r="AE413" s="1208"/>
      <c r="AF413" s="1208"/>
      <c r="AG413" s="1018">
        <f>'09월 화학성분'!AM413</f>
        <v>1888</v>
      </c>
      <c r="AH413" s="1006">
        <f t="shared" si="90"/>
        <v>31</v>
      </c>
      <c r="AI413" s="1019">
        <v>1591</v>
      </c>
      <c r="AJ413" s="1020">
        <v>0</v>
      </c>
      <c r="AK413" s="1021">
        <v>439</v>
      </c>
      <c r="AL413" s="1022">
        <v>10</v>
      </c>
      <c r="AM413" s="1155">
        <f>IF(AT413="","",3*'09월 에너지'!S415*(1/(3+7.8*(100-AT413)/AT413)))</f>
        <v>0.59506660470879802</v>
      </c>
      <c r="AN413" s="1023">
        <v>0.16527777777777777</v>
      </c>
      <c r="AO413" s="1024" t="s">
        <v>587</v>
      </c>
      <c r="AP413" s="1025">
        <v>2000080</v>
      </c>
      <c r="AQ413" s="1025">
        <v>2126</v>
      </c>
      <c r="AR413" s="1149" t="str">
        <f t="shared" si="91"/>
        <v/>
      </c>
      <c r="AS413" s="1093">
        <v>1</v>
      </c>
      <c r="AT413" s="1156">
        <v>1.1000000000000001</v>
      </c>
      <c r="AU413" s="449"/>
      <c r="AV413" s="1205"/>
    </row>
    <row r="414" spans="1:48" ht="16.5" customHeight="1">
      <c r="A414" s="1005">
        <f t="shared" si="92"/>
        <v>46280</v>
      </c>
      <c r="B414" s="1005">
        <f t="shared" si="93"/>
        <v>46279</v>
      </c>
      <c r="C414" s="1150">
        <f t="shared" si="94"/>
        <v>2</v>
      </c>
      <c r="D414" s="1150">
        <f t="shared" si="95"/>
        <v>403</v>
      </c>
      <c r="E414" s="1006" t="str">
        <f t="shared" si="96"/>
        <v>C</v>
      </c>
      <c r="F414" s="1007" t="str">
        <f t="shared" si="89"/>
        <v>A</v>
      </c>
      <c r="G414" s="1008">
        <f t="shared" si="97"/>
        <v>85616</v>
      </c>
      <c r="H414" s="1138">
        <f t="shared" si="98"/>
        <v>0.18055555555555555</v>
      </c>
      <c r="I414" s="1009">
        <v>0.17777777777777778</v>
      </c>
      <c r="J414" s="1010">
        <f t="shared" si="99"/>
        <v>44</v>
      </c>
      <c r="K414" s="1011"/>
      <c r="L414" s="1012"/>
      <c r="M414" s="1013"/>
      <c r="N414" s="1014" t="str">
        <f t="shared" si="100"/>
        <v/>
      </c>
      <c r="O414" s="1323" t="s">
        <v>840</v>
      </c>
      <c r="P414" s="1324"/>
      <c r="Q414" s="1324"/>
      <c r="R414" s="1324"/>
      <c r="S414" s="1324"/>
      <c r="T414" s="1325"/>
      <c r="U414" s="1015">
        <v>1.8</v>
      </c>
      <c r="V414" s="1015"/>
      <c r="W414" s="1015"/>
      <c r="X414" s="1015"/>
      <c r="Y414" s="1015">
        <v>2.6</v>
      </c>
      <c r="Z414" s="1016">
        <f>'09월 에너지'!S416</f>
        <v>141.4</v>
      </c>
      <c r="AA414" s="1017">
        <v>1934</v>
      </c>
      <c r="AB414" s="1208" t="s">
        <v>808</v>
      </c>
      <c r="AC414" s="1208" t="s">
        <v>548</v>
      </c>
      <c r="AD414" s="1208"/>
      <c r="AE414" s="1208"/>
      <c r="AF414" s="1208" t="s">
        <v>548</v>
      </c>
      <c r="AG414" s="1018">
        <f>'09월 화학성분'!AM414</f>
        <v>1774</v>
      </c>
      <c r="AH414" s="1006">
        <f t="shared" si="90"/>
        <v>32</v>
      </c>
      <c r="AI414" s="1019">
        <v>1600</v>
      </c>
      <c r="AJ414" s="1020">
        <v>0</v>
      </c>
      <c r="AK414" s="1021">
        <v>483</v>
      </c>
      <c r="AL414" s="1022">
        <v>9</v>
      </c>
      <c r="AM414" s="1155">
        <f>IF(AT414="","",3*'09월 에너지'!S416*(1/(3+7.8*(100-AT414)/AT414)))</f>
        <v>2.059115239294711</v>
      </c>
      <c r="AN414" s="1023">
        <v>0.1361111111111111</v>
      </c>
      <c r="AO414" s="1024"/>
      <c r="AP414" s="1025"/>
      <c r="AQ414" s="1025"/>
      <c r="AR414" s="1149">
        <f t="shared" si="91"/>
        <v>8</v>
      </c>
      <c r="AS414" s="1093" t="str">
        <f t="shared" si="101"/>
        <v xml:space="preserve"> </v>
      </c>
      <c r="AT414" s="1156">
        <v>3.7</v>
      </c>
      <c r="AU414" s="449"/>
      <c r="AV414" s="1205"/>
    </row>
    <row r="415" spans="1:48" ht="16.5" customHeight="1">
      <c r="A415" s="1005">
        <f t="shared" si="92"/>
        <v>46280</v>
      </c>
      <c r="B415" s="1005">
        <f t="shared" si="93"/>
        <v>46279</v>
      </c>
      <c r="C415" s="1150">
        <f t="shared" si="94"/>
        <v>3</v>
      </c>
      <c r="D415" s="1150">
        <f t="shared" si="95"/>
        <v>404</v>
      </c>
      <c r="E415" s="1006" t="str">
        <f t="shared" si="96"/>
        <v>C</v>
      </c>
      <c r="F415" s="1007" t="str">
        <f t="shared" si="89"/>
        <v>B</v>
      </c>
      <c r="G415" s="1008">
        <f t="shared" si="97"/>
        <v>85617</v>
      </c>
      <c r="H415" s="1138">
        <f t="shared" si="98"/>
        <v>0.21111111111111111</v>
      </c>
      <c r="I415" s="1009">
        <v>0.21875</v>
      </c>
      <c r="J415" s="1010">
        <f t="shared" si="99"/>
        <v>58.999999999999993</v>
      </c>
      <c r="K415" s="1011"/>
      <c r="L415" s="1012"/>
      <c r="M415" s="1013"/>
      <c r="N415" s="1014" t="str">
        <f t="shared" si="100"/>
        <v/>
      </c>
      <c r="O415" s="1323" t="s">
        <v>839</v>
      </c>
      <c r="P415" s="1324"/>
      <c r="Q415" s="1324"/>
      <c r="R415" s="1324"/>
      <c r="S415" s="1324"/>
      <c r="T415" s="1325"/>
      <c r="U415" s="1015"/>
      <c r="V415" s="1015"/>
      <c r="W415" s="1015"/>
      <c r="X415" s="1015"/>
      <c r="Y415" s="1015"/>
      <c r="Z415" s="1016">
        <f>'09월 에너지'!S417</f>
        <v>115.5</v>
      </c>
      <c r="AA415" s="1017">
        <v>1965</v>
      </c>
      <c r="AB415" s="1208" t="s">
        <v>808</v>
      </c>
      <c r="AC415" s="1208" t="s">
        <v>548</v>
      </c>
      <c r="AD415" s="1208"/>
      <c r="AE415" s="1208"/>
      <c r="AF415" s="1208" t="s">
        <v>548</v>
      </c>
      <c r="AG415" s="1018">
        <f>'09월 화학성분'!AM415</f>
        <v>3380</v>
      </c>
      <c r="AH415" s="1006">
        <f t="shared" si="90"/>
        <v>33</v>
      </c>
      <c r="AI415" s="1019">
        <v>1578</v>
      </c>
      <c r="AJ415" s="1020">
        <v>67</v>
      </c>
      <c r="AK415" s="1021" t="s">
        <v>841</v>
      </c>
      <c r="AL415" s="1022" t="s">
        <v>841</v>
      </c>
      <c r="AM415" s="1155">
        <f>IF(AT415="","",3*'09월 에너지'!S417*(1/(3+7.8*(100-AT415)/AT415)))</f>
        <v>0.67255434782608703</v>
      </c>
      <c r="AN415" s="1023">
        <v>0.1986111111111111</v>
      </c>
      <c r="AO415" s="1024"/>
      <c r="AP415" s="1025"/>
      <c r="AQ415" s="1025"/>
      <c r="AR415" s="1149" t="str">
        <f t="shared" si="91"/>
        <v/>
      </c>
      <c r="AS415" s="1093">
        <f t="shared" si="101"/>
        <v>2</v>
      </c>
      <c r="AT415" s="1156">
        <v>1.5</v>
      </c>
      <c r="AU415" s="449"/>
      <c r="AV415" s="1205"/>
    </row>
    <row r="416" spans="1:48" ht="16.5" customHeight="1">
      <c r="A416" s="1242">
        <f t="shared" si="92"/>
        <v>46280</v>
      </c>
      <c r="B416" s="1242">
        <f t="shared" si="93"/>
        <v>46279</v>
      </c>
      <c r="C416" s="1150">
        <f t="shared" si="94"/>
        <v>4</v>
      </c>
      <c r="D416" s="1150">
        <f t="shared" si="95"/>
        <v>405</v>
      </c>
      <c r="E416" s="1006" t="str">
        <f t="shared" si="96"/>
        <v>C</v>
      </c>
      <c r="F416" s="1007" t="str">
        <f t="shared" si="89"/>
        <v>A</v>
      </c>
      <c r="G416" s="1008">
        <f t="shared" si="97"/>
        <v>85618</v>
      </c>
      <c r="H416" s="1138">
        <f t="shared" si="98"/>
        <v>0.25208333333333333</v>
      </c>
      <c r="I416" s="1009">
        <v>0.25486111111111109</v>
      </c>
      <c r="J416" s="1010">
        <f t="shared" si="99"/>
        <v>51.999999999999972</v>
      </c>
      <c r="K416" s="1011"/>
      <c r="L416" s="1012"/>
      <c r="M416" s="1013"/>
      <c r="N416" s="1014" t="str">
        <f t="shared" si="100"/>
        <v/>
      </c>
      <c r="O416" s="1323" t="s">
        <v>838</v>
      </c>
      <c r="P416" s="1324"/>
      <c r="Q416" s="1324"/>
      <c r="R416" s="1324"/>
      <c r="S416" s="1324"/>
      <c r="T416" s="1325"/>
      <c r="U416" s="1015"/>
      <c r="V416" s="1015"/>
      <c r="W416" s="1015"/>
      <c r="X416" s="1015"/>
      <c r="Y416" s="1015"/>
      <c r="Z416" s="1016">
        <f>'09월 에너지'!S418</f>
        <v>123.6</v>
      </c>
      <c r="AA416" s="1017"/>
      <c r="AB416" s="1208"/>
      <c r="AC416" s="1208"/>
      <c r="AD416" s="1208"/>
      <c r="AE416" s="1208"/>
      <c r="AF416" s="1208"/>
      <c r="AG416" s="1018">
        <f>'09월 화학성분'!AM416</f>
        <v>2971</v>
      </c>
      <c r="AH416" s="1006">
        <f t="shared" si="90"/>
        <v>34</v>
      </c>
      <c r="AI416" s="1019">
        <v>1610</v>
      </c>
      <c r="AJ416" s="1020">
        <v>0</v>
      </c>
      <c r="AK416" s="1021">
        <v>781</v>
      </c>
      <c r="AL416" s="1022">
        <v>5</v>
      </c>
      <c r="AM416" s="1155">
        <f>IF(AT416="","",3*'09월 에너지'!S418*(1/(3+7.8*(100-AT416)/AT416)))</f>
        <v>3.7379032258064511</v>
      </c>
      <c r="AN416" s="1023">
        <v>0.21180555555555555</v>
      </c>
      <c r="AO416" s="1024"/>
      <c r="AP416" s="1025"/>
      <c r="AQ416" s="1025"/>
      <c r="AR416" s="1149">
        <f t="shared" si="91"/>
        <v>9</v>
      </c>
      <c r="AS416" s="1093" t="str">
        <f t="shared" si="101"/>
        <v xml:space="preserve"> </v>
      </c>
      <c r="AT416" s="1156">
        <v>7.5</v>
      </c>
      <c r="AU416" s="449"/>
      <c r="AV416" s="1205"/>
    </row>
    <row r="417" spans="1:48" ht="16.5" customHeight="1">
      <c r="A417" s="1005">
        <f t="shared" si="92"/>
        <v>46280</v>
      </c>
      <c r="B417" s="1005">
        <v>46280</v>
      </c>
      <c r="C417" s="1150">
        <f t="shared" si="94"/>
        <v>5</v>
      </c>
      <c r="D417" s="1150">
        <f t="shared" si="95"/>
        <v>406</v>
      </c>
      <c r="E417" s="1006" t="str">
        <f t="shared" si="96"/>
        <v>C</v>
      </c>
      <c r="F417" s="1007" t="str">
        <f t="shared" si="89"/>
        <v>B</v>
      </c>
      <c r="G417" s="1008">
        <f t="shared" si="97"/>
        <v>85619</v>
      </c>
      <c r="H417" s="1138">
        <f t="shared" si="98"/>
        <v>0.28819444444444442</v>
      </c>
      <c r="I417" s="1009">
        <v>3.0555555555555555E-2</v>
      </c>
      <c r="J417" s="1010">
        <f t="shared" si="99"/>
        <v>1117</v>
      </c>
      <c r="K417" s="1011">
        <v>1049</v>
      </c>
      <c r="L417" s="1012"/>
      <c r="M417" s="1013">
        <v>0.25486111111111109</v>
      </c>
      <c r="N417" s="1014">
        <f t="shared" si="100"/>
        <v>0.98333333333333328</v>
      </c>
      <c r="O417" s="1326" t="s">
        <v>843</v>
      </c>
      <c r="P417" s="1327"/>
      <c r="Q417" s="1327"/>
      <c r="R417" s="1327"/>
      <c r="S417" s="1327"/>
      <c r="T417" s="1328"/>
      <c r="U417" s="1015"/>
      <c r="V417" s="1015">
        <v>4</v>
      </c>
      <c r="W417" s="1015"/>
      <c r="X417" s="1015"/>
      <c r="Y417" s="1015"/>
      <c r="Z417" s="1016">
        <f>'09월 에너지'!S419</f>
        <v>131.69999999999999</v>
      </c>
      <c r="AA417" s="1017">
        <v>3046</v>
      </c>
      <c r="AB417" s="1208" t="s">
        <v>573</v>
      </c>
      <c r="AC417" s="1208" t="s">
        <v>532</v>
      </c>
      <c r="AD417" s="1208"/>
      <c r="AE417" s="1208"/>
      <c r="AF417" s="1208" t="s">
        <v>532</v>
      </c>
      <c r="AG417" s="1018">
        <f>'09월 화학성분'!AM417</f>
        <v>3753</v>
      </c>
      <c r="AH417" s="1235">
        <v>1</v>
      </c>
      <c r="AI417" s="1019">
        <v>1529</v>
      </c>
      <c r="AJ417" s="1020">
        <v>51</v>
      </c>
      <c r="AK417" s="1021">
        <v>646</v>
      </c>
      <c r="AL417" s="1022">
        <v>6</v>
      </c>
      <c r="AM417" s="1155">
        <f>IF(AT417="","",3*'09월 에너지'!S419*(1/(3+7.8*(100-AT417)/AT417)))</f>
        <v>5.0685036945812806E-2</v>
      </c>
      <c r="AN417" s="1023">
        <v>0.20833333333333334</v>
      </c>
      <c r="AO417" s="1024"/>
      <c r="AP417" s="1025"/>
      <c r="AQ417" s="1025"/>
      <c r="AR417" s="1149" t="str">
        <f t="shared" si="91"/>
        <v/>
      </c>
      <c r="AS417" s="1093">
        <f t="shared" si="101"/>
        <v>3</v>
      </c>
      <c r="AT417" s="1156">
        <v>0.1</v>
      </c>
      <c r="AU417" s="449"/>
      <c r="AV417" s="1205"/>
    </row>
    <row r="418" spans="1:48" ht="16.5" customHeight="1">
      <c r="A418" s="1005">
        <f t="shared" si="92"/>
        <v>46280</v>
      </c>
      <c r="B418" s="1005">
        <f t="shared" si="93"/>
        <v>46280</v>
      </c>
      <c r="C418" s="1150">
        <f t="shared" si="94"/>
        <v>6</v>
      </c>
      <c r="D418" s="1150">
        <f t="shared" si="95"/>
        <v>407</v>
      </c>
      <c r="E418" s="1006" t="str">
        <f t="shared" si="96"/>
        <v>C</v>
      </c>
      <c r="F418" s="1007" t="s">
        <v>600</v>
      </c>
      <c r="G418" s="1008">
        <f t="shared" si="97"/>
        <v>85620</v>
      </c>
      <c r="H418" s="1138">
        <f t="shared" si="98"/>
        <v>6.3888888888888884E-2</v>
      </c>
      <c r="I418" s="1009">
        <v>7.9861111111111105E-2</v>
      </c>
      <c r="J418" s="1010">
        <f t="shared" si="99"/>
        <v>70.999999999999986</v>
      </c>
      <c r="K418" s="1011">
        <v>23</v>
      </c>
      <c r="L418" s="1012"/>
      <c r="M418" s="1013">
        <v>3.4027777777777775E-2</v>
      </c>
      <c r="N418" s="1014">
        <f t="shared" si="100"/>
        <v>4.9999999999999996E-2</v>
      </c>
      <c r="O418" s="1323"/>
      <c r="P418" s="1324"/>
      <c r="Q418" s="1324"/>
      <c r="R418" s="1324"/>
      <c r="S418" s="1324"/>
      <c r="T418" s="1325"/>
      <c r="U418" s="1015"/>
      <c r="V418" s="1015"/>
      <c r="W418" s="1015"/>
      <c r="X418" s="1015"/>
      <c r="Y418" s="1015"/>
      <c r="Z418" s="1016">
        <f>'09월 에너지'!S420</f>
        <v>140.30000000000001</v>
      </c>
      <c r="AA418" s="1017"/>
      <c r="AB418" s="1208"/>
      <c r="AC418" s="1208"/>
      <c r="AD418" s="1208"/>
      <c r="AE418" s="1208"/>
      <c r="AF418" s="1208"/>
      <c r="AG418" s="1018">
        <f>'09월 화학성분'!AM418</f>
        <v>2845</v>
      </c>
      <c r="AH418" s="1006">
        <f t="shared" si="90"/>
        <v>2</v>
      </c>
      <c r="AI418" s="1019">
        <v>1561</v>
      </c>
      <c r="AJ418" s="1020">
        <v>0</v>
      </c>
      <c r="AK418" s="1021">
        <v>316</v>
      </c>
      <c r="AL418" s="1022">
        <v>15</v>
      </c>
      <c r="AM418" s="1155">
        <f>IF(AT418="","",3*'09월 에너지'!S420*(1/(3+7.8*(100-AT418)/AT418)))</f>
        <v>0.21637877853177057</v>
      </c>
      <c r="AN418" s="1023">
        <v>0.20277777777777781</v>
      </c>
      <c r="AO418" s="1024"/>
      <c r="AP418" s="1025"/>
      <c r="AQ418" s="1025"/>
      <c r="AR418" s="1149" t="str">
        <f t="shared" si="91"/>
        <v/>
      </c>
      <c r="AS418" s="1093">
        <f t="shared" si="101"/>
        <v>4</v>
      </c>
      <c r="AT418" s="1156">
        <v>0.4</v>
      </c>
      <c r="AU418" s="449"/>
      <c r="AV418" s="1205"/>
    </row>
    <row r="419" spans="1:48" ht="16.5" customHeight="1">
      <c r="A419" s="1005">
        <f t="shared" si="92"/>
        <v>46280</v>
      </c>
      <c r="B419" s="1005">
        <f t="shared" si="93"/>
        <v>46280</v>
      </c>
      <c r="C419" s="1150">
        <f t="shared" si="94"/>
        <v>7</v>
      </c>
      <c r="D419" s="1150">
        <f t="shared" si="95"/>
        <v>408</v>
      </c>
      <c r="E419" s="1006" t="str">
        <f t="shared" si="96"/>
        <v>C</v>
      </c>
      <c r="F419" s="1007" t="s">
        <v>600</v>
      </c>
      <c r="G419" s="1008">
        <f t="shared" si="97"/>
        <v>85621</v>
      </c>
      <c r="H419" s="1138">
        <f t="shared" si="98"/>
        <v>0.11319444444444443</v>
      </c>
      <c r="I419" s="1009">
        <v>0.1388888888888889</v>
      </c>
      <c r="J419" s="1010">
        <f t="shared" si="99"/>
        <v>85.000000000000014</v>
      </c>
      <c r="K419" s="1011">
        <v>37</v>
      </c>
      <c r="L419" s="1012"/>
      <c r="M419" s="1013">
        <v>8.2638888888888887E-2</v>
      </c>
      <c r="N419" s="1014">
        <f t="shared" si="100"/>
        <v>0.10833333333333334</v>
      </c>
      <c r="O419" s="1323" t="s">
        <v>845</v>
      </c>
      <c r="P419" s="1324"/>
      <c r="Q419" s="1324"/>
      <c r="R419" s="1324"/>
      <c r="S419" s="1324"/>
      <c r="T419" s="1325"/>
      <c r="U419" s="1015">
        <v>2</v>
      </c>
      <c r="V419" s="1015"/>
      <c r="W419" s="1015"/>
      <c r="X419" s="1015"/>
      <c r="Y419" s="1015">
        <v>2.8</v>
      </c>
      <c r="Z419" s="1016">
        <f>'09월 에너지'!S421</f>
        <v>141.30000000000001</v>
      </c>
      <c r="AA419" s="1017">
        <v>1940</v>
      </c>
      <c r="AB419" s="1208" t="s">
        <v>573</v>
      </c>
      <c r="AC419" s="1208" t="s">
        <v>532</v>
      </c>
      <c r="AD419" s="1208"/>
      <c r="AE419" s="1208"/>
      <c r="AF419" s="1208" t="s">
        <v>548</v>
      </c>
      <c r="AG419" s="1018">
        <f>'09월 화학성분'!AM419</f>
        <v>2341</v>
      </c>
      <c r="AH419" s="1006">
        <f t="shared" si="90"/>
        <v>3</v>
      </c>
      <c r="AI419" s="1019">
        <v>1590</v>
      </c>
      <c r="AJ419" s="1020">
        <v>0</v>
      </c>
      <c r="AK419" s="1021">
        <v>399</v>
      </c>
      <c r="AL419" s="1022">
        <v>12</v>
      </c>
      <c r="AM419" s="1155">
        <f>IF(AT419="","",3*'09월 에너지'!S421*(1/(3+7.8*(100-AT419)/AT419)))</f>
        <v>0.32728536133415692</v>
      </c>
      <c r="AN419" s="1023">
        <v>0.19097222222222221</v>
      </c>
      <c r="AO419" s="1024"/>
      <c r="AP419" s="1025"/>
      <c r="AQ419" s="1025"/>
      <c r="AR419" s="1149" t="str">
        <f t="shared" si="91"/>
        <v/>
      </c>
      <c r="AS419" s="1093">
        <f t="shared" si="101"/>
        <v>5</v>
      </c>
      <c r="AT419" s="1156">
        <v>0.6</v>
      </c>
      <c r="AU419" s="449"/>
      <c r="AV419" s="1205"/>
    </row>
    <row r="420" spans="1:48" ht="16.5" customHeight="1">
      <c r="A420" s="1005">
        <v>46281</v>
      </c>
      <c r="B420" s="1005">
        <f t="shared" si="93"/>
        <v>46280</v>
      </c>
      <c r="C420" s="1150">
        <f t="shared" si="94"/>
        <v>1</v>
      </c>
      <c r="D420" s="1150">
        <f t="shared" si="95"/>
        <v>409</v>
      </c>
      <c r="E420" s="1006" t="str">
        <f t="shared" si="96"/>
        <v>C</v>
      </c>
      <c r="F420" s="1007" t="s">
        <v>600</v>
      </c>
      <c r="G420" s="1008">
        <f t="shared" si="97"/>
        <v>85622</v>
      </c>
      <c r="H420" s="1138">
        <f t="shared" si="98"/>
        <v>0.17222222222222222</v>
      </c>
      <c r="I420" s="1009">
        <v>0.18333333333333335</v>
      </c>
      <c r="J420" s="1010">
        <f t="shared" si="99"/>
        <v>64.000000000000014</v>
      </c>
      <c r="K420" s="1011">
        <v>16</v>
      </c>
      <c r="L420" s="1012"/>
      <c r="M420" s="1013">
        <v>0.1423611111111111</v>
      </c>
      <c r="N420" s="1014">
        <f t="shared" si="100"/>
        <v>0.1534722222222222</v>
      </c>
      <c r="O420" s="1323"/>
      <c r="P420" s="1324"/>
      <c r="Q420" s="1324"/>
      <c r="R420" s="1324"/>
      <c r="S420" s="1324"/>
      <c r="T420" s="1325"/>
      <c r="U420" s="1015">
        <v>2</v>
      </c>
      <c r="V420" s="1015"/>
      <c r="W420" s="1015"/>
      <c r="X420" s="1015"/>
      <c r="Y420" s="1015">
        <v>2.7</v>
      </c>
      <c r="Z420" s="1016">
        <f>'09월 에너지'!S422</f>
        <v>144.80000000000001</v>
      </c>
      <c r="AA420" s="1017"/>
      <c r="AB420" s="1208"/>
      <c r="AC420" s="1208"/>
      <c r="AD420" s="1208"/>
      <c r="AE420" s="1208"/>
      <c r="AF420" s="1208"/>
      <c r="AG420" s="1018">
        <f>'09월 화학성분'!AM420</f>
        <v>2156</v>
      </c>
      <c r="AH420" s="1006">
        <f t="shared" si="90"/>
        <v>4</v>
      </c>
      <c r="AI420" s="1019">
        <v>1579</v>
      </c>
      <c r="AJ420" s="1020">
        <v>0</v>
      </c>
      <c r="AK420" s="1021">
        <v>704</v>
      </c>
      <c r="AL420" s="1022">
        <v>6</v>
      </c>
      <c r="AM420" s="1155">
        <f>IF(AT420="","",3*'09월 에너지'!S422*(1/(3+7.8*(100-AT420)/AT420)))</f>
        <v>0.56037151702786392</v>
      </c>
      <c r="AN420" s="1023">
        <v>0.19375000000000001</v>
      </c>
      <c r="AO420" s="1024"/>
      <c r="AP420" s="1025"/>
      <c r="AQ420" s="1025"/>
      <c r="AR420" s="1149" t="str">
        <f t="shared" si="91"/>
        <v/>
      </c>
      <c r="AS420" s="1093">
        <f t="shared" si="101"/>
        <v>6</v>
      </c>
      <c r="AT420" s="1156">
        <v>1</v>
      </c>
      <c r="AU420" s="449"/>
      <c r="AV420" s="1205"/>
    </row>
    <row r="421" spans="1:48" ht="16.5" customHeight="1">
      <c r="A421" s="1005">
        <f t="shared" si="92"/>
        <v>46281</v>
      </c>
      <c r="B421" s="1005">
        <f t="shared" si="93"/>
        <v>46280</v>
      </c>
      <c r="C421" s="1150">
        <f t="shared" si="94"/>
        <v>2</v>
      </c>
      <c r="D421" s="1150">
        <f t="shared" si="95"/>
        <v>410</v>
      </c>
      <c r="E421" s="1006" t="str">
        <f t="shared" si="96"/>
        <v>C</v>
      </c>
      <c r="F421" s="1007" t="s">
        <v>600</v>
      </c>
      <c r="G421" s="1008">
        <f t="shared" si="97"/>
        <v>85623</v>
      </c>
      <c r="H421" s="1138">
        <f t="shared" si="98"/>
        <v>0.21666666666666667</v>
      </c>
      <c r="I421" s="1009">
        <v>0.22500000000000001</v>
      </c>
      <c r="J421" s="1010">
        <f t="shared" si="99"/>
        <v>59.999999999999986</v>
      </c>
      <c r="K421" s="1011">
        <v>12</v>
      </c>
      <c r="L421" s="1012"/>
      <c r="M421" s="1013">
        <v>0.1875</v>
      </c>
      <c r="N421" s="1014">
        <f t="shared" si="100"/>
        <v>0.19583333333333333</v>
      </c>
      <c r="O421" s="1326"/>
      <c r="P421" s="1327"/>
      <c r="Q421" s="1327"/>
      <c r="R421" s="1327"/>
      <c r="S421" s="1327"/>
      <c r="T421" s="1328"/>
      <c r="U421" s="1015">
        <v>2</v>
      </c>
      <c r="V421" s="1015"/>
      <c r="W421" s="1015"/>
      <c r="X421" s="1015"/>
      <c r="Y421" s="1015">
        <v>2.4</v>
      </c>
      <c r="Z421" s="1016">
        <f>'09월 에너지'!S423</f>
        <v>145.6</v>
      </c>
      <c r="AA421" s="1017"/>
      <c r="AB421" s="1208"/>
      <c r="AC421" s="1208"/>
      <c r="AD421" s="1208"/>
      <c r="AE421" s="1208"/>
      <c r="AF421" s="1208"/>
      <c r="AG421" s="1018">
        <f>'09월 화학성분'!AM421</f>
        <v>1868</v>
      </c>
      <c r="AH421" s="1006">
        <f t="shared" si="90"/>
        <v>5</v>
      </c>
      <c r="AI421" s="1019">
        <v>1526</v>
      </c>
      <c r="AJ421" s="1020">
        <v>0</v>
      </c>
      <c r="AK421" s="1021">
        <v>331</v>
      </c>
      <c r="AL421" s="1022">
        <v>14</v>
      </c>
      <c r="AM421" s="1155">
        <f>IF(AT421="","",3*'09월 에너지'!S423*(1/(3+7.8*(100-AT421)/AT421)))</f>
        <v>0.28086419753086417</v>
      </c>
      <c r="AN421" s="1023">
        <v>0.19375000000000001</v>
      </c>
      <c r="AO421" s="1024"/>
      <c r="AP421" s="1025"/>
      <c r="AQ421" s="1025"/>
      <c r="AR421" s="1149" t="str">
        <f t="shared" si="91"/>
        <v/>
      </c>
      <c r="AS421" s="1093">
        <f t="shared" si="101"/>
        <v>7</v>
      </c>
      <c r="AT421" s="1156">
        <v>0.5</v>
      </c>
      <c r="AU421" s="449"/>
      <c r="AV421" s="1205"/>
    </row>
    <row r="422" spans="1:48" ht="16.5" customHeight="1">
      <c r="A422" s="1005">
        <f t="shared" si="92"/>
        <v>46281</v>
      </c>
      <c r="B422" s="1005">
        <v>46281</v>
      </c>
      <c r="C422" s="1150">
        <f t="shared" si="94"/>
        <v>3</v>
      </c>
      <c r="D422" s="1150">
        <f t="shared" si="95"/>
        <v>411</v>
      </c>
      <c r="E422" s="1006" t="s">
        <v>848</v>
      </c>
      <c r="F422" s="1007" t="s">
        <v>600</v>
      </c>
      <c r="G422" s="1008">
        <f t="shared" si="97"/>
        <v>85624</v>
      </c>
      <c r="H422" s="1138">
        <f t="shared" si="98"/>
        <v>0.25833333333333336</v>
      </c>
      <c r="I422" s="1009">
        <v>0.28402777777777777</v>
      </c>
      <c r="J422" s="1010">
        <f t="shared" si="99"/>
        <v>84.999999999999972</v>
      </c>
      <c r="K422" s="1011">
        <v>37</v>
      </c>
      <c r="L422" s="1012"/>
      <c r="M422" s="1013">
        <v>0.22500000000000001</v>
      </c>
      <c r="N422" s="1014">
        <f t="shared" si="100"/>
        <v>0.25069444444444444</v>
      </c>
      <c r="O422" s="1323" t="s">
        <v>846</v>
      </c>
      <c r="P422" s="1324"/>
      <c r="Q422" s="1324"/>
      <c r="R422" s="1324"/>
      <c r="S422" s="1324"/>
      <c r="T422" s="1325"/>
      <c r="U422" s="1015">
        <v>2</v>
      </c>
      <c r="V422" s="1015"/>
      <c r="W422" s="1015"/>
      <c r="X422" s="1015"/>
      <c r="Y422" s="1015">
        <v>2.5</v>
      </c>
      <c r="Z422" s="1016">
        <f>'09월 에너지'!S424</f>
        <v>144.19999999999999</v>
      </c>
      <c r="AA422" s="1017"/>
      <c r="AB422" s="1208"/>
      <c r="AC422" s="1208"/>
      <c r="AD422" s="1208"/>
      <c r="AE422" s="1208"/>
      <c r="AF422" s="1208"/>
      <c r="AG422" s="1018">
        <f>'09월 화학성분'!AM422</f>
        <v>1477</v>
      </c>
      <c r="AH422" s="1006">
        <f t="shared" si="90"/>
        <v>6</v>
      </c>
      <c r="AI422" s="1019">
        <v>1555</v>
      </c>
      <c r="AJ422" s="1020">
        <v>0</v>
      </c>
      <c r="AK422" s="1021" t="s">
        <v>563</v>
      </c>
      <c r="AL422" s="1022" t="s">
        <v>552</v>
      </c>
      <c r="AM422" s="1155">
        <f>IF(AT422="","",3*'09월 에너지'!S424*(1/(3+7.8*(100-AT422)/AT422)))</f>
        <v>5.549568965517241E-2</v>
      </c>
      <c r="AN422" s="1023">
        <v>0.17222222222222225</v>
      </c>
      <c r="AO422" s="1024"/>
      <c r="AP422" s="1025"/>
      <c r="AQ422" s="1025"/>
      <c r="AR422" s="1149" t="str">
        <f t="shared" si="91"/>
        <v/>
      </c>
      <c r="AS422" s="1093">
        <f t="shared" si="101"/>
        <v>8</v>
      </c>
      <c r="AT422" s="1156">
        <v>0.1</v>
      </c>
      <c r="AU422" s="449"/>
      <c r="AV422" s="1205"/>
    </row>
    <row r="423" spans="1:48" ht="16.5" customHeight="1">
      <c r="A423" s="1005">
        <f t="shared" si="92"/>
        <v>46281</v>
      </c>
      <c r="B423" s="1005">
        <f t="shared" si="93"/>
        <v>46281</v>
      </c>
      <c r="C423" s="1150">
        <f t="shared" si="94"/>
        <v>4</v>
      </c>
      <c r="D423" s="1150">
        <f t="shared" si="95"/>
        <v>412</v>
      </c>
      <c r="E423" s="1006" t="str">
        <f t="shared" si="96"/>
        <v>D</v>
      </c>
      <c r="F423" s="1007" t="s">
        <v>600</v>
      </c>
      <c r="G423" s="1008">
        <f t="shared" si="97"/>
        <v>85625</v>
      </c>
      <c r="H423" s="1138">
        <f t="shared" si="98"/>
        <v>0.31736111111111109</v>
      </c>
      <c r="I423" s="1009">
        <v>0.3263888888888889</v>
      </c>
      <c r="J423" s="1010">
        <f t="shared" si="99"/>
        <v>61.000000000000021</v>
      </c>
      <c r="K423" s="1011">
        <v>13</v>
      </c>
      <c r="L423" s="1012"/>
      <c r="M423" s="1013">
        <v>0.28402777777777777</v>
      </c>
      <c r="N423" s="1014">
        <f t="shared" si="100"/>
        <v>0.29305555555555557</v>
      </c>
      <c r="O423" s="1323" t="s">
        <v>847</v>
      </c>
      <c r="P423" s="1324"/>
      <c r="Q423" s="1324"/>
      <c r="R423" s="1324"/>
      <c r="S423" s="1324"/>
      <c r="T423" s="1325"/>
      <c r="U423" s="1015">
        <v>2</v>
      </c>
      <c r="V423" s="1015"/>
      <c r="W423" s="1015"/>
      <c r="X423" s="1015"/>
      <c r="Y423" s="1015">
        <v>2.7</v>
      </c>
      <c r="Z423" s="1016">
        <f>'09월 에너지'!S425</f>
        <v>145.69999999999999</v>
      </c>
      <c r="AA423" s="1017"/>
      <c r="AB423" s="1208"/>
      <c r="AC423" s="1208"/>
      <c r="AD423" s="1208"/>
      <c r="AE423" s="1208"/>
      <c r="AF423" s="1208"/>
      <c r="AG423" s="1018">
        <f>'09월 화학성분'!AM423</f>
        <v>1735</v>
      </c>
      <c r="AH423" s="1006">
        <f t="shared" si="90"/>
        <v>7</v>
      </c>
      <c r="AI423" s="1019">
        <v>1549</v>
      </c>
      <c r="AJ423" s="1020">
        <v>0</v>
      </c>
      <c r="AK423" s="1021">
        <v>520</v>
      </c>
      <c r="AL423" s="1022">
        <v>8</v>
      </c>
      <c r="AM423" s="1155">
        <f>IF(AT423="","",3*'09월 에너지'!S425*(1/(3+7.8*(100-AT423)/AT423)))</f>
        <v>0.22470697100555215</v>
      </c>
      <c r="AN423" s="1023">
        <v>0.17291666666666669</v>
      </c>
      <c r="AO423" s="1024"/>
      <c r="AP423" s="1025"/>
      <c r="AQ423" s="1025"/>
      <c r="AR423" s="1149" t="str">
        <f t="shared" si="91"/>
        <v/>
      </c>
      <c r="AS423" s="1093">
        <f t="shared" si="101"/>
        <v>9</v>
      </c>
      <c r="AT423" s="1156">
        <v>0.4</v>
      </c>
      <c r="AU423" s="449"/>
      <c r="AV423" s="1205"/>
    </row>
    <row r="424" spans="1:48" ht="16.5" customHeight="1">
      <c r="A424" s="1005">
        <f t="shared" si="92"/>
        <v>46281</v>
      </c>
      <c r="B424" s="1005">
        <f t="shared" si="93"/>
        <v>46281</v>
      </c>
      <c r="C424" s="1150">
        <f t="shared" si="94"/>
        <v>5</v>
      </c>
      <c r="D424" s="1150">
        <f t="shared" si="95"/>
        <v>413</v>
      </c>
      <c r="E424" s="1006" t="str">
        <f t="shared" si="96"/>
        <v>D</v>
      </c>
      <c r="F424" s="1007" t="s">
        <v>600</v>
      </c>
      <c r="G424" s="1008">
        <f t="shared" si="97"/>
        <v>85626</v>
      </c>
      <c r="H424" s="1138">
        <f t="shared" si="98"/>
        <v>0.35972222222222222</v>
      </c>
      <c r="I424" s="1009">
        <v>0.37222222222222223</v>
      </c>
      <c r="J424" s="1010">
        <f t="shared" si="99"/>
        <v>66</v>
      </c>
      <c r="K424" s="1011">
        <v>18</v>
      </c>
      <c r="L424" s="1012"/>
      <c r="M424" s="1013">
        <v>0.3263888888888889</v>
      </c>
      <c r="N424" s="1014">
        <f t="shared" si="100"/>
        <v>0.33888888888888891</v>
      </c>
      <c r="O424" s="1323"/>
      <c r="P424" s="1324"/>
      <c r="Q424" s="1324"/>
      <c r="R424" s="1324"/>
      <c r="S424" s="1324"/>
      <c r="T424" s="1325"/>
      <c r="U424" s="1015">
        <v>2</v>
      </c>
      <c r="V424" s="1015"/>
      <c r="W424" s="1015"/>
      <c r="X424" s="1015"/>
      <c r="Y424" s="1015">
        <v>2.5</v>
      </c>
      <c r="Z424" s="1016">
        <f>'09월 에너지'!S426</f>
        <v>146.1</v>
      </c>
      <c r="AA424" s="1017"/>
      <c r="AB424" s="1208"/>
      <c r="AC424" s="1208"/>
      <c r="AD424" s="1208"/>
      <c r="AE424" s="1208"/>
      <c r="AF424" s="1208"/>
      <c r="AG424" s="1018">
        <f>'09월 화학성분'!AM424</f>
        <v>1718</v>
      </c>
      <c r="AH424" s="1006">
        <f t="shared" si="90"/>
        <v>8</v>
      </c>
      <c r="AI424" s="1019">
        <v>1567</v>
      </c>
      <c r="AJ424" s="1020">
        <v>0</v>
      </c>
      <c r="AK424" s="1021">
        <v>773</v>
      </c>
      <c r="AL424" s="1022">
        <v>5</v>
      </c>
      <c r="AM424" s="1155">
        <f>IF(AT424="","",3*'09월 에너지'!S426*(1/(3+7.8*(100-AT424)/AT424)))</f>
        <v>0.56540247678018585</v>
      </c>
      <c r="AN424" s="1023">
        <v>0.17291666666666669</v>
      </c>
      <c r="AO424" s="1024"/>
      <c r="AP424" s="1025"/>
      <c r="AQ424" s="1025"/>
      <c r="AR424" s="1149" t="str">
        <f t="shared" si="91"/>
        <v/>
      </c>
      <c r="AS424" s="1093">
        <f t="shared" si="101"/>
        <v>10</v>
      </c>
      <c r="AT424" s="1156">
        <v>1</v>
      </c>
      <c r="AU424" s="449"/>
      <c r="AV424" s="1205"/>
    </row>
    <row r="425" spans="1:48" ht="16.5" customHeight="1">
      <c r="A425" s="1005">
        <f t="shared" si="92"/>
        <v>46281</v>
      </c>
      <c r="B425" s="1005">
        <f t="shared" si="93"/>
        <v>46281</v>
      </c>
      <c r="C425" s="1150">
        <f t="shared" si="94"/>
        <v>6</v>
      </c>
      <c r="D425" s="1150">
        <f t="shared" si="95"/>
        <v>414</v>
      </c>
      <c r="E425" s="1006" t="str">
        <f t="shared" si="96"/>
        <v>D</v>
      </c>
      <c r="F425" s="1007" t="s">
        <v>850</v>
      </c>
      <c r="G425" s="1008">
        <f t="shared" si="97"/>
        <v>85627</v>
      </c>
      <c r="H425" s="1138">
        <f t="shared" si="98"/>
        <v>0.40555555555555556</v>
      </c>
      <c r="I425" s="1009">
        <v>0.41736111111111113</v>
      </c>
      <c r="J425" s="1010">
        <f t="shared" si="99"/>
        <v>65.000000000000014</v>
      </c>
      <c r="K425" s="1011">
        <v>17</v>
      </c>
      <c r="L425" s="1012"/>
      <c r="M425" s="1013">
        <v>0.35972222222222222</v>
      </c>
      <c r="N425" s="1014">
        <f t="shared" si="100"/>
        <v>0.37152777777777779</v>
      </c>
      <c r="O425" s="1323" t="s">
        <v>849</v>
      </c>
      <c r="P425" s="1324"/>
      <c r="Q425" s="1324"/>
      <c r="R425" s="1324"/>
      <c r="S425" s="1324"/>
      <c r="T425" s="1325"/>
      <c r="U425" s="1015">
        <v>2</v>
      </c>
      <c r="V425" s="1015"/>
      <c r="W425" s="1015"/>
      <c r="X425" s="1015"/>
      <c r="Y425" s="1015" t="s">
        <v>563</v>
      </c>
      <c r="Z425" s="1016">
        <f>'09월 에너지'!S427</f>
        <v>147.9</v>
      </c>
      <c r="AA425" s="1017"/>
      <c r="AB425" s="1208"/>
      <c r="AC425" s="1208"/>
      <c r="AD425" s="1208"/>
      <c r="AE425" s="1208"/>
      <c r="AF425" s="1208"/>
      <c r="AG425" s="1018">
        <f>'09월 화학성분'!AM425</f>
        <v>833</v>
      </c>
      <c r="AH425" s="1006">
        <f t="shared" si="90"/>
        <v>9</v>
      </c>
      <c r="AI425" s="1019">
        <v>1548</v>
      </c>
      <c r="AJ425" s="1020">
        <v>0</v>
      </c>
      <c r="AK425" s="1021">
        <v>922</v>
      </c>
      <c r="AL425" s="1022">
        <v>4</v>
      </c>
      <c r="AM425" s="1155">
        <f>IF(AT425="","",3*'09월 에너지'!S427*(1/(3+7.8*(100-AT425)/AT425)))</f>
        <v>0.57236842105263175</v>
      </c>
      <c r="AN425" s="1023">
        <v>0.1763888888888889</v>
      </c>
      <c r="AO425" s="1024"/>
      <c r="AP425" s="1025"/>
      <c r="AQ425" s="1025"/>
      <c r="AR425" s="1149" t="str">
        <f t="shared" si="91"/>
        <v/>
      </c>
      <c r="AS425" s="1093">
        <f t="shared" si="101"/>
        <v>11</v>
      </c>
      <c r="AT425" s="1156">
        <v>1</v>
      </c>
      <c r="AU425" s="449"/>
      <c r="AV425" s="1205"/>
    </row>
    <row r="426" spans="1:48" ht="16.5" customHeight="1">
      <c r="A426" s="1005">
        <f t="shared" si="92"/>
        <v>46281</v>
      </c>
      <c r="B426" s="1005">
        <f t="shared" si="93"/>
        <v>46281</v>
      </c>
      <c r="C426" s="1150">
        <f t="shared" si="94"/>
        <v>7</v>
      </c>
      <c r="D426" s="1150">
        <f t="shared" si="95"/>
        <v>415</v>
      </c>
      <c r="E426" s="1006" t="str">
        <f t="shared" si="96"/>
        <v>D</v>
      </c>
      <c r="F426" s="1007" t="s">
        <v>624</v>
      </c>
      <c r="G426" s="1008">
        <f t="shared" si="97"/>
        <v>85628</v>
      </c>
      <c r="H426" s="1138">
        <f t="shared" si="98"/>
        <v>0.45069444444444445</v>
      </c>
      <c r="I426" s="1009">
        <v>0.4770833333333333</v>
      </c>
      <c r="J426" s="1010">
        <f t="shared" si="99"/>
        <v>85.999999999999929</v>
      </c>
      <c r="K426" s="1011">
        <v>38</v>
      </c>
      <c r="L426" s="1012"/>
      <c r="M426" s="1013">
        <v>0.41736111111111113</v>
      </c>
      <c r="N426" s="1014">
        <f t="shared" si="100"/>
        <v>0.44375000000000003</v>
      </c>
      <c r="O426" s="1323" t="s">
        <v>530</v>
      </c>
      <c r="P426" s="1324"/>
      <c r="Q426" s="1324"/>
      <c r="R426" s="1324"/>
      <c r="S426" s="1324"/>
      <c r="T426" s="1325"/>
      <c r="U426" s="1015">
        <v>2</v>
      </c>
      <c r="V426" s="1015"/>
      <c r="W426" s="1015"/>
      <c r="X426" s="1015"/>
      <c r="Y426" s="1015">
        <v>2.7</v>
      </c>
      <c r="Z426" s="1016">
        <f>'09월 에너지'!S428</f>
        <v>143.19999999999999</v>
      </c>
      <c r="AA426" s="1017">
        <v>1925</v>
      </c>
      <c r="AB426" s="1208" t="s">
        <v>551</v>
      </c>
      <c r="AC426" s="1208" t="s">
        <v>548</v>
      </c>
      <c r="AD426" s="1208" t="s">
        <v>532</v>
      </c>
      <c r="AE426" s="1208"/>
      <c r="AF426" s="1208" t="s">
        <v>548</v>
      </c>
      <c r="AG426" s="1018">
        <f>'09월 화학성분'!AM426</f>
        <v>1620</v>
      </c>
      <c r="AH426" s="1006">
        <f t="shared" si="90"/>
        <v>10</v>
      </c>
      <c r="AI426" s="1019">
        <v>1550</v>
      </c>
      <c r="AJ426" s="1020">
        <v>0</v>
      </c>
      <c r="AK426" s="1021">
        <v>788</v>
      </c>
      <c r="AL426" s="1022">
        <v>5</v>
      </c>
      <c r="AM426" s="1155">
        <f>IF(AT426="","",3*'09월 에너지'!S428*(1/(3+7.8*(100-AT426)/AT426)))</f>
        <v>0.49845297029702973</v>
      </c>
      <c r="AN426" s="1023">
        <v>0.14861111111111111</v>
      </c>
      <c r="AO426" s="1024"/>
      <c r="AP426" s="1025"/>
      <c r="AQ426" s="1025"/>
      <c r="AR426" s="1149" t="str">
        <f t="shared" si="91"/>
        <v/>
      </c>
      <c r="AS426" s="1093">
        <f t="shared" si="101"/>
        <v>12</v>
      </c>
      <c r="AT426" s="1156">
        <v>0.9</v>
      </c>
      <c r="AU426" s="449"/>
      <c r="AV426" s="1205"/>
    </row>
    <row r="427" spans="1:48" ht="16.5" customHeight="1">
      <c r="A427" s="1005">
        <f t="shared" si="92"/>
        <v>46281</v>
      </c>
      <c r="B427" s="1005">
        <f t="shared" si="93"/>
        <v>46281</v>
      </c>
      <c r="C427" s="1150">
        <f t="shared" si="94"/>
        <v>8</v>
      </c>
      <c r="D427" s="1150">
        <f t="shared" si="95"/>
        <v>416</v>
      </c>
      <c r="E427" s="1006" t="str">
        <f t="shared" si="96"/>
        <v>D</v>
      </c>
      <c r="F427" s="1007" t="s">
        <v>600</v>
      </c>
      <c r="G427" s="1008">
        <f t="shared" si="97"/>
        <v>85629</v>
      </c>
      <c r="H427" s="1138">
        <f t="shared" si="98"/>
        <v>0.51041666666666663</v>
      </c>
      <c r="I427" s="1009">
        <v>0.51874999999999993</v>
      </c>
      <c r="J427" s="1010">
        <f t="shared" si="99"/>
        <v>59.999999999999943</v>
      </c>
      <c r="K427" s="1011">
        <v>12</v>
      </c>
      <c r="L427" s="1012"/>
      <c r="M427" s="1013">
        <v>0.4770833333333333</v>
      </c>
      <c r="N427" s="1014">
        <f t="shared" si="100"/>
        <v>0.48541666666666666</v>
      </c>
      <c r="O427" s="1323"/>
      <c r="P427" s="1324"/>
      <c r="Q427" s="1324"/>
      <c r="R427" s="1324"/>
      <c r="S427" s="1324"/>
      <c r="T427" s="1325"/>
      <c r="U427" s="1015">
        <v>2</v>
      </c>
      <c r="V427" s="1015"/>
      <c r="W427" s="1015"/>
      <c r="X427" s="1015"/>
      <c r="Y427" s="1015">
        <v>2.8</v>
      </c>
      <c r="Z427" s="1016">
        <f>'09월 에너지'!S429</f>
        <v>143</v>
      </c>
      <c r="AA427" s="1017"/>
      <c r="AB427" s="1208"/>
      <c r="AC427" s="1208"/>
      <c r="AD427" s="1208"/>
      <c r="AE427" s="1208"/>
      <c r="AF427" s="1208"/>
      <c r="AG427" s="1018">
        <f>'09월 화학성분'!AM427</f>
        <v>893</v>
      </c>
      <c r="AH427" s="1006">
        <f t="shared" si="90"/>
        <v>11</v>
      </c>
      <c r="AI427" s="1019">
        <v>1539</v>
      </c>
      <c r="AJ427" s="1020">
        <v>0</v>
      </c>
      <c r="AK427" s="1021">
        <v>579</v>
      </c>
      <c r="AL427" s="1022">
        <v>7</v>
      </c>
      <c r="AM427" s="1155">
        <f>IF(AT427="","",3*'09월 에너지'!S429*(1/(3+7.8*(100-AT427)/AT427)))</f>
        <v>0.60912329615861216</v>
      </c>
      <c r="AN427" s="1023">
        <v>0.20069444444444443</v>
      </c>
      <c r="AO427" s="1024"/>
      <c r="AP427" s="1025"/>
      <c r="AQ427" s="1025"/>
      <c r="AR427" s="1149" t="str">
        <f t="shared" si="91"/>
        <v/>
      </c>
      <c r="AS427" s="1093">
        <f t="shared" si="101"/>
        <v>13</v>
      </c>
      <c r="AT427" s="1156">
        <v>1.1000000000000001</v>
      </c>
      <c r="AU427" s="449"/>
      <c r="AV427" s="1205"/>
    </row>
    <row r="428" spans="1:48" ht="16.5" customHeight="1">
      <c r="A428" s="1005">
        <f t="shared" si="92"/>
        <v>46281</v>
      </c>
      <c r="B428" s="1005">
        <f t="shared" si="93"/>
        <v>46281</v>
      </c>
      <c r="C428" s="1150">
        <f t="shared" si="94"/>
        <v>9</v>
      </c>
      <c r="D428" s="1150">
        <f t="shared" si="95"/>
        <v>417</v>
      </c>
      <c r="E428" s="1006" t="str">
        <f t="shared" si="96"/>
        <v>D</v>
      </c>
      <c r="F428" s="1007" t="s">
        <v>600</v>
      </c>
      <c r="G428" s="1008">
        <f t="shared" si="97"/>
        <v>85630</v>
      </c>
      <c r="H428" s="1138">
        <f t="shared" si="98"/>
        <v>0.55208333333333326</v>
      </c>
      <c r="I428" s="1009">
        <v>0.56319444444444444</v>
      </c>
      <c r="J428" s="1010">
        <f t="shared" si="99"/>
        <v>64.000000000000085</v>
      </c>
      <c r="K428" s="1011">
        <v>16</v>
      </c>
      <c r="L428" s="1012"/>
      <c r="M428" s="1013">
        <v>0.51874999999999993</v>
      </c>
      <c r="N428" s="1014">
        <f t="shared" si="100"/>
        <v>0.52986111111111101</v>
      </c>
      <c r="O428" s="1323"/>
      <c r="P428" s="1324"/>
      <c r="Q428" s="1324"/>
      <c r="R428" s="1324"/>
      <c r="S428" s="1324"/>
      <c r="T428" s="1325"/>
      <c r="U428" s="1015">
        <v>2</v>
      </c>
      <c r="V428" s="1015"/>
      <c r="W428" s="1015"/>
      <c r="X428" s="1015"/>
      <c r="Y428" s="1015">
        <v>2.6</v>
      </c>
      <c r="Z428" s="1016">
        <f>'09월 에너지'!S430</f>
        <v>143.9</v>
      </c>
      <c r="AA428" s="1017"/>
      <c r="AB428" s="1208"/>
      <c r="AC428" s="1208"/>
      <c r="AD428" s="1208"/>
      <c r="AE428" s="1208"/>
      <c r="AF428" s="1208"/>
      <c r="AG428" s="1018">
        <f>'09월 화학성분'!AM428</f>
        <v>1413</v>
      </c>
      <c r="AH428" s="1006">
        <f t="shared" si="90"/>
        <v>12</v>
      </c>
      <c r="AI428" s="1019">
        <v>1550</v>
      </c>
      <c r="AJ428" s="1020">
        <v>0</v>
      </c>
      <c r="AK428" s="1021">
        <v>538</v>
      </c>
      <c r="AL428" s="1022">
        <v>7</v>
      </c>
      <c r="AM428" s="1155">
        <f>IF(AT428="","",3*'09월 에너지'!S430*(1/(3+7.8*(100-AT428)/AT428)))</f>
        <v>0.83792701863354058</v>
      </c>
      <c r="AN428" s="1023">
        <v>0.16319444444444445</v>
      </c>
      <c r="AO428" s="1024"/>
      <c r="AP428" s="1025"/>
      <c r="AQ428" s="1025"/>
      <c r="AR428" s="1149" t="str">
        <f t="shared" si="91"/>
        <v/>
      </c>
      <c r="AS428" s="1093">
        <f t="shared" si="101"/>
        <v>14</v>
      </c>
      <c r="AT428" s="1156">
        <v>1.5</v>
      </c>
      <c r="AU428" s="449"/>
      <c r="AV428" s="1205"/>
    </row>
    <row r="429" spans="1:48" ht="16.5" customHeight="1">
      <c r="A429" s="1005">
        <f t="shared" si="92"/>
        <v>46281</v>
      </c>
      <c r="B429" s="1005">
        <f t="shared" si="93"/>
        <v>46281</v>
      </c>
      <c r="C429" s="1150">
        <f t="shared" si="94"/>
        <v>10</v>
      </c>
      <c r="D429" s="1150">
        <f t="shared" si="95"/>
        <v>418</v>
      </c>
      <c r="E429" s="1006" t="s">
        <v>624</v>
      </c>
      <c r="F429" s="1007" t="s">
        <v>624</v>
      </c>
      <c r="G429" s="1008">
        <f t="shared" si="97"/>
        <v>85631</v>
      </c>
      <c r="H429" s="1138">
        <f t="shared" si="98"/>
        <v>0.59652777777777777</v>
      </c>
      <c r="I429" s="1009">
        <v>0.60833333333333328</v>
      </c>
      <c r="J429" s="1010">
        <f t="shared" si="99"/>
        <v>64.999999999999929</v>
      </c>
      <c r="K429" s="1011">
        <v>17</v>
      </c>
      <c r="L429" s="1012"/>
      <c r="M429" s="1013">
        <v>0.56319444444444444</v>
      </c>
      <c r="N429" s="1014">
        <f t="shared" si="100"/>
        <v>0.57499999999999996</v>
      </c>
      <c r="O429" s="1323"/>
      <c r="P429" s="1324"/>
      <c r="Q429" s="1324"/>
      <c r="R429" s="1324"/>
      <c r="S429" s="1324"/>
      <c r="T429" s="1325"/>
      <c r="U429" s="1015">
        <v>2</v>
      </c>
      <c r="V429" s="1015"/>
      <c r="W429" s="1015"/>
      <c r="X429" s="1015"/>
      <c r="Y429" s="1015">
        <v>2.7</v>
      </c>
      <c r="Z429" s="1016">
        <f>'09월 에너지'!S431</f>
        <v>143.6</v>
      </c>
      <c r="AA429" s="1017"/>
      <c r="AB429" s="1208"/>
      <c r="AC429" s="1208"/>
      <c r="AD429" s="1208"/>
      <c r="AE429" s="1208"/>
      <c r="AF429" s="1208"/>
      <c r="AG429" s="1018">
        <f>'09월 화학성분'!AM429</f>
        <v>2486</v>
      </c>
      <c r="AH429" s="1006">
        <f t="shared" si="90"/>
        <v>13</v>
      </c>
      <c r="AI429" s="1019">
        <v>1558</v>
      </c>
      <c r="AJ429" s="1020">
        <v>0</v>
      </c>
      <c r="AK429" s="1021">
        <v>510</v>
      </c>
      <c r="AL429" s="1022">
        <v>8</v>
      </c>
      <c r="AM429" s="1155">
        <f>IF(AT429="","",3*'09월 에너지'!S431*(1/(3+7.8*(100-AT429)/AT429)))</f>
        <v>0.66769993800371963</v>
      </c>
      <c r="AN429" s="1023">
        <v>0.18680555555555556</v>
      </c>
      <c r="AO429" s="1024"/>
      <c r="AP429" s="1025"/>
      <c r="AQ429" s="1025"/>
      <c r="AR429" s="1149" t="str">
        <f t="shared" si="91"/>
        <v/>
      </c>
      <c r="AS429" s="1093">
        <f t="shared" si="101"/>
        <v>15</v>
      </c>
      <c r="AT429" s="1156">
        <v>1.2</v>
      </c>
      <c r="AU429" s="449"/>
      <c r="AV429" s="1205"/>
    </row>
    <row r="430" spans="1:48" ht="16.5" customHeight="1">
      <c r="A430" s="1005">
        <f t="shared" si="92"/>
        <v>46281</v>
      </c>
      <c r="B430" s="1005">
        <f t="shared" si="93"/>
        <v>46281</v>
      </c>
      <c r="C430" s="1150">
        <f t="shared" si="94"/>
        <v>11</v>
      </c>
      <c r="D430" s="1150">
        <f t="shared" si="95"/>
        <v>419</v>
      </c>
      <c r="E430" s="1006" t="str">
        <f t="shared" si="96"/>
        <v>B</v>
      </c>
      <c r="F430" s="1007" t="s">
        <v>851</v>
      </c>
      <c r="G430" s="1008">
        <f t="shared" si="97"/>
        <v>85632</v>
      </c>
      <c r="H430" s="1138">
        <f t="shared" si="98"/>
        <v>0.64166666666666661</v>
      </c>
      <c r="I430" s="1009">
        <v>0.65763888888888888</v>
      </c>
      <c r="J430" s="1010">
        <f t="shared" si="99"/>
        <v>71.000000000000071</v>
      </c>
      <c r="K430" s="1011">
        <v>23</v>
      </c>
      <c r="L430" s="1012"/>
      <c r="M430" s="1013">
        <v>0.60833333333333328</v>
      </c>
      <c r="N430" s="1014">
        <f t="shared" si="100"/>
        <v>0.62430555555555545</v>
      </c>
      <c r="O430" s="1323" t="s">
        <v>602</v>
      </c>
      <c r="P430" s="1324"/>
      <c r="Q430" s="1324"/>
      <c r="R430" s="1324"/>
      <c r="S430" s="1324"/>
      <c r="T430" s="1325"/>
      <c r="U430" s="1015">
        <v>2</v>
      </c>
      <c r="V430" s="1015"/>
      <c r="W430" s="1015"/>
      <c r="X430" s="1015"/>
      <c r="Y430" s="1015">
        <v>2.6</v>
      </c>
      <c r="Z430" s="1016">
        <f>'09월 에너지'!S432</f>
        <v>143.30000000000001</v>
      </c>
      <c r="AA430" s="1017"/>
      <c r="AB430" s="1208"/>
      <c r="AC430" s="1208"/>
      <c r="AD430" s="1208"/>
      <c r="AE430" s="1208"/>
      <c r="AF430" s="1208"/>
      <c r="AG430" s="1018">
        <f>'09월 화학성분'!AM430</f>
        <v>2491</v>
      </c>
      <c r="AH430" s="1006">
        <f t="shared" si="90"/>
        <v>14</v>
      </c>
      <c r="AI430" s="1019">
        <v>1564</v>
      </c>
      <c r="AJ430" s="1020">
        <v>0</v>
      </c>
      <c r="AK430" s="1021">
        <v>241</v>
      </c>
      <c r="AL430" s="1022">
        <v>19</v>
      </c>
      <c r="AM430" s="1155">
        <f>IF(AT430="","",3*'09월 에너지'!S432*(1/(3+7.8*(100-AT430)/AT430)))</f>
        <v>0.55456656346749245</v>
      </c>
      <c r="AN430" s="1023">
        <v>0.15277777777777776</v>
      </c>
      <c r="AO430" s="1024" t="s">
        <v>587</v>
      </c>
      <c r="AP430" s="1025">
        <v>2000037</v>
      </c>
      <c r="AQ430" s="1025">
        <v>2139</v>
      </c>
      <c r="AR430" s="1149" t="str">
        <f t="shared" si="91"/>
        <v/>
      </c>
      <c r="AS430" s="1093">
        <v>1</v>
      </c>
      <c r="AT430" s="1156">
        <v>1</v>
      </c>
      <c r="AU430" s="449"/>
      <c r="AV430" s="1205"/>
    </row>
    <row r="431" spans="1:48" ht="16.5" customHeight="1">
      <c r="A431" s="1005">
        <f t="shared" si="92"/>
        <v>46281</v>
      </c>
      <c r="B431" s="1005">
        <f t="shared" si="93"/>
        <v>46281</v>
      </c>
      <c r="C431" s="1150">
        <f t="shared" si="94"/>
        <v>12</v>
      </c>
      <c r="D431" s="1150">
        <f t="shared" si="95"/>
        <v>420</v>
      </c>
      <c r="E431" s="1006" t="str">
        <f t="shared" si="96"/>
        <v>B</v>
      </c>
      <c r="F431" s="1007" t="s">
        <v>624</v>
      </c>
      <c r="G431" s="1008">
        <f t="shared" si="97"/>
        <v>85633</v>
      </c>
      <c r="H431" s="1138">
        <f t="shared" si="98"/>
        <v>0.69097222222222221</v>
      </c>
      <c r="I431" s="1009">
        <v>0.70208333333333339</v>
      </c>
      <c r="J431" s="1010">
        <f t="shared" si="99"/>
        <v>64.000000000000085</v>
      </c>
      <c r="K431" s="1011">
        <v>16</v>
      </c>
      <c r="L431" s="1012"/>
      <c r="M431" s="1013">
        <v>0.65763888888888888</v>
      </c>
      <c r="N431" s="1014">
        <f t="shared" si="100"/>
        <v>0.66874999999999996</v>
      </c>
      <c r="O431" s="1323"/>
      <c r="P431" s="1324"/>
      <c r="Q431" s="1324"/>
      <c r="R431" s="1324"/>
      <c r="S431" s="1324"/>
      <c r="T431" s="1325"/>
      <c r="U431" s="1015">
        <v>2</v>
      </c>
      <c r="V431" s="1015"/>
      <c r="W431" s="1015"/>
      <c r="X431" s="1015"/>
      <c r="Y431" s="1015">
        <v>2.7</v>
      </c>
      <c r="Z431" s="1016">
        <f>'09월 에너지'!S433</f>
        <v>145.1</v>
      </c>
      <c r="AA431" s="1017"/>
      <c r="AB431" s="1208"/>
      <c r="AC431" s="1208"/>
      <c r="AD431" s="1208"/>
      <c r="AE431" s="1208"/>
      <c r="AF431" s="1208"/>
      <c r="AG431" s="1018">
        <f>'09월 화학성분'!AM431</f>
        <v>2160</v>
      </c>
      <c r="AH431" s="1006">
        <f t="shared" si="90"/>
        <v>15</v>
      </c>
      <c r="AI431" s="1019">
        <v>1570</v>
      </c>
      <c r="AJ431" s="1020">
        <v>0</v>
      </c>
      <c r="AK431" s="1021">
        <v>421</v>
      </c>
      <c r="AL431" s="1022">
        <v>10</v>
      </c>
      <c r="AM431" s="1155">
        <f>IF(AT431="","",3*'09월 에너지'!S433*(1/(3+7.8*(100-AT431)/AT431)))</f>
        <v>0.84491459627329191</v>
      </c>
      <c r="AN431" s="1023">
        <v>0.15625</v>
      </c>
      <c r="AO431" s="1024"/>
      <c r="AP431" s="1025"/>
      <c r="AQ431" s="1025"/>
      <c r="AR431" s="1149" t="str">
        <f t="shared" si="91"/>
        <v/>
      </c>
      <c r="AS431" s="1093">
        <f t="shared" si="101"/>
        <v>2</v>
      </c>
      <c r="AT431" s="1156">
        <v>1.5</v>
      </c>
      <c r="AU431" s="449"/>
      <c r="AV431" s="1205"/>
    </row>
    <row r="432" spans="1:48" ht="16.5" customHeight="1">
      <c r="A432" s="1005">
        <f t="shared" si="92"/>
        <v>46281</v>
      </c>
      <c r="B432" s="1005">
        <f t="shared" si="93"/>
        <v>46281</v>
      </c>
      <c r="C432" s="1150">
        <f t="shared" si="94"/>
        <v>13</v>
      </c>
      <c r="D432" s="1150">
        <f t="shared" si="95"/>
        <v>421</v>
      </c>
      <c r="E432" s="1006" t="str">
        <f t="shared" si="96"/>
        <v>B</v>
      </c>
      <c r="F432" s="1007" t="s">
        <v>600</v>
      </c>
      <c r="G432" s="1008">
        <f t="shared" si="97"/>
        <v>85634</v>
      </c>
      <c r="H432" s="1138">
        <f t="shared" si="98"/>
        <v>0.73541666666666672</v>
      </c>
      <c r="I432" s="1009">
        <v>0.76111111111111107</v>
      </c>
      <c r="J432" s="1010">
        <f t="shared" si="99"/>
        <v>84.999999999999858</v>
      </c>
      <c r="K432" s="1011">
        <v>37</v>
      </c>
      <c r="L432" s="1012"/>
      <c r="M432" s="1013">
        <v>0.70208333333333339</v>
      </c>
      <c r="N432" s="1014">
        <f t="shared" si="100"/>
        <v>0.72777777777777786</v>
      </c>
      <c r="O432" s="1323"/>
      <c r="P432" s="1324"/>
      <c r="Q432" s="1324"/>
      <c r="R432" s="1324"/>
      <c r="S432" s="1324"/>
      <c r="T432" s="1325"/>
      <c r="U432" s="1015">
        <v>2</v>
      </c>
      <c r="V432" s="1015"/>
      <c r="W432" s="1015"/>
      <c r="X432" s="1015"/>
      <c r="Y432" s="1015">
        <v>2.6</v>
      </c>
      <c r="Z432" s="1016">
        <f>'09월 에너지'!S434</f>
        <v>144.5</v>
      </c>
      <c r="AA432" s="1017"/>
      <c r="AB432" s="1208"/>
      <c r="AC432" s="1208"/>
      <c r="AD432" s="1208"/>
      <c r="AE432" s="1208"/>
      <c r="AF432" s="1208"/>
      <c r="AG432" s="1018">
        <f>'09월 화학성분'!AM432</f>
        <v>2183</v>
      </c>
      <c r="AH432" s="1006">
        <f t="shared" si="90"/>
        <v>16</v>
      </c>
      <c r="AI432" s="1019">
        <v>1551</v>
      </c>
      <c r="AJ432" s="1020">
        <v>0</v>
      </c>
      <c r="AK432" s="1021">
        <v>285</v>
      </c>
      <c r="AL432" s="1022">
        <v>16</v>
      </c>
      <c r="AM432" s="1155">
        <f>IF(AT432="","",3*'09월 에너지'!S434*(1/(3+7.8*(100-AT432)/AT432)))</f>
        <v>0.72832661290322576</v>
      </c>
      <c r="AN432" s="1023">
        <v>0.15347222222222223</v>
      </c>
      <c r="AO432" s="1024"/>
      <c r="AP432" s="1025"/>
      <c r="AQ432" s="1025"/>
      <c r="AR432" s="1149" t="str">
        <f t="shared" si="91"/>
        <v/>
      </c>
      <c r="AS432" s="1093">
        <f t="shared" si="101"/>
        <v>3</v>
      </c>
      <c r="AT432" s="1156">
        <v>1.3</v>
      </c>
      <c r="AU432" s="449"/>
      <c r="AV432" s="1205"/>
    </row>
    <row r="433" spans="1:48" ht="16.5" customHeight="1">
      <c r="A433" s="1005">
        <f t="shared" si="92"/>
        <v>46281</v>
      </c>
      <c r="B433" s="1005">
        <f t="shared" si="93"/>
        <v>46281</v>
      </c>
      <c r="C433" s="1150">
        <f t="shared" si="94"/>
        <v>14</v>
      </c>
      <c r="D433" s="1150">
        <f t="shared" si="95"/>
        <v>422</v>
      </c>
      <c r="E433" s="1006" t="str">
        <f t="shared" si="96"/>
        <v>B</v>
      </c>
      <c r="F433" s="1007" t="str">
        <f t="shared" si="89"/>
        <v>A</v>
      </c>
      <c r="G433" s="1008">
        <f t="shared" si="97"/>
        <v>85635</v>
      </c>
      <c r="H433" s="1138">
        <f t="shared" si="98"/>
        <v>0.7944444444444444</v>
      </c>
      <c r="I433" s="1009">
        <v>0.77986111111111101</v>
      </c>
      <c r="J433" s="1010">
        <f t="shared" si="99"/>
        <v>26.999999999999904</v>
      </c>
      <c r="K433" s="1011"/>
      <c r="L433" s="1012"/>
      <c r="M433" s="1013"/>
      <c r="N433" s="1014" t="str">
        <f t="shared" si="100"/>
        <v/>
      </c>
      <c r="O433" s="1323"/>
      <c r="P433" s="1324"/>
      <c r="Q433" s="1324"/>
      <c r="R433" s="1324"/>
      <c r="S433" s="1324"/>
      <c r="T433" s="1325"/>
      <c r="U433" s="1015">
        <v>2</v>
      </c>
      <c r="V433" s="1015"/>
      <c r="W433" s="1015"/>
      <c r="X433" s="1015"/>
      <c r="Y433" s="1015"/>
      <c r="Z433" s="1016">
        <f>'09월 에너지'!S435</f>
        <v>133.4</v>
      </c>
      <c r="AA433" s="1017"/>
      <c r="AB433" s="1208"/>
      <c r="AC433" s="1208"/>
      <c r="AD433" s="1208"/>
      <c r="AE433" s="1208"/>
      <c r="AF433" s="1208"/>
      <c r="AG433" s="1018">
        <f>'09월 화학성분'!AM433</f>
        <v>3812</v>
      </c>
      <c r="AH433" s="1006">
        <f t="shared" si="90"/>
        <v>17</v>
      </c>
      <c r="AI433" s="1019">
        <v>1588</v>
      </c>
      <c r="AJ433" s="1020">
        <v>176</v>
      </c>
      <c r="AK433" s="1021">
        <v>801</v>
      </c>
      <c r="AL433" s="1022">
        <v>4</v>
      </c>
      <c r="AM433" s="1155">
        <f>IF(AT433="","",3*'09월 에너지'!S435*(1/(3+7.8*(100-AT433)/AT433)))</f>
        <v>0.36070766378244751</v>
      </c>
      <c r="AN433" s="1023">
        <v>0.18888888888888888</v>
      </c>
      <c r="AO433" s="1024"/>
      <c r="AP433" s="1025"/>
      <c r="AQ433" s="1025"/>
      <c r="AR433" s="1149">
        <v>10</v>
      </c>
      <c r="AS433" s="1093" t="str">
        <f t="shared" si="101"/>
        <v xml:space="preserve"> </v>
      </c>
      <c r="AT433" s="1156">
        <v>0.7</v>
      </c>
      <c r="AU433" s="449"/>
      <c r="AV433" s="1205"/>
    </row>
    <row r="434" spans="1:48" ht="16.5" customHeight="1">
      <c r="A434" s="1005">
        <f t="shared" si="92"/>
        <v>46281</v>
      </c>
      <c r="B434" s="1005">
        <f t="shared" si="93"/>
        <v>46281</v>
      </c>
      <c r="C434" s="1150">
        <f t="shared" si="94"/>
        <v>15</v>
      </c>
      <c r="D434" s="1150">
        <f t="shared" si="95"/>
        <v>423</v>
      </c>
      <c r="E434" s="1006" t="str">
        <f t="shared" si="96"/>
        <v>B</v>
      </c>
      <c r="F434" s="1007" t="str">
        <f t="shared" si="89"/>
        <v>B</v>
      </c>
      <c r="G434" s="1008">
        <f t="shared" si="97"/>
        <v>85636</v>
      </c>
      <c r="H434" s="1138">
        <f t="shared" si="98"/>
        <v>0.81319444444444433</v>
      </c>
      <c r="I434" s="1009">
        <v>0.81874999999999998</v>
      </c>
      <c r="J434" s="1010">
        <f t="shared" si="99"/>
        <v>56.000000000000121</v>
      </c>
      <c r="K434" s="1011"/>
      <c r="L434" s="1012">
        <v>2</v>
      </c>
      <c r="M434" s="1013"/>
      <c r="N434" s="1014" t="str">
        <f t="shared" si="100"/>
        <v/>
      </c>
      <c r="O434" s="1323" t="s">
        <v>854</v>
      </c>
      <c r="P434" s="1324"/>
      <c r="Q434" s="1324"/>
      <c r="R434" s="1324"/>
      <c r="S434" s="1324"/>
      <c r="T434" s="1325"/>
      <c r="U434" s="1015">
        <v>2</v>
      </c>
      <c r="V434" s="1015"/>
      <c r="W434" s="1015"/>
      <c r="X434" s="1015"/>
      <c r="Y434" s="1015">
        <v>2.4</v>
      </c>
      <c r="Z434" s="1016">
        <f>'09월 에너지'!S436</f>
        <v>143.30000000000001</v>
      </c>
      <c r="AA434" s="1017"/>
      <c r="AB434" s="1208"/>
      <c r="AC434" s="1208"/>
      <c r="AD434" s="1208"/>
      <c r="AE434" s="1208"/>
      <c r="AF434" s="1208"/>
      <c r="AG434" s="1018">
        <f>'09월 화학성분'!AM434</f>
        <v>2552</v>
      </c>
      <c r="AH434" s="1006">
        <f t="shared" si="90"/>
        <v>18</v>
      </c>
      <c r="AI434" s="1019">
        <v>1532</v>
      </c>
      <c r="AJ434" s="1020">
        <v>0</v>
      </c>
      <c r="AK434" s="1021">
        <v>615</v>
      </c>
      <c r="AL434" s="1022">
        <v>6</v>
      </c>
      <c r="AM434" s="1155">
        <f>IF(AT434="","",3*'09월 에너지'!S436*(1/(3+7.8*(100-AT434)/AT434)))</f>
        <v>0.44310451453308597</v>
      </c>
      <c r="AN434" s="1023">
        <v>0.20833333333333334</v>
      </c>
      <c r="AO434" s="1024"/>
      <c r="AP434" s="1025"/>
      <c r="AQ434" s="1025"/>
      <c r="AR434" s="1149" t="str">
        <f t="shared" si="91"/>
        <v/>
      </c>
      <c r="AS434" s="1093">
        <f t="shared" si="101"/>
        <v>4</v>
      </c>
      <c r="AT434" s="1156">
        <v>0.8</v>
      </c>
      <c r="AU434" s="449"/>
      <c r="AV434" s="1205"/>
    </row>
    <row r="435" spans="1:48" ht="16.5" customHeight="1">
      <c r="A435" s="1005">
        <f t="shared" si="92"/>
        <v>46281</v>
      </c>
      <c r="B435" s="1005">
        <f t="shared" si="93"/>
        <v>46281</v>
      </c>
      <c r="C435" s="1150">
        <f t="shared" si="94"/>
        <v>16</v>
      </c>
      <c r="D435" s="1150">
        <f t="shared" si="95"/>
        <v>424</v>
      </c>
      <c r="E435" s="1006" t="str">
        <f t="shared" si="96"/>
        <v>B</v>
      </c>
      <c r="F435" s="1007" t="str">
        <f t="shared" si="89"/>
        <v>A</v>
      </c>
      <c r="G435" s="1008">
        <f t="shared" si="97"/>
        <v>85637</v>
      </c>
      <c r="H435" s="1138">
        <f t="shared" si="98"/>
        <v>0.8520833333333333</v>
      </c>
      <c r="I435" s="1009">
        <v>0.85069444444444453</v>
      </c>
      <c r="J435" s="1010">
        <f t="shared" si="99"/>
        <v>46.000000000000156</v>
      </c>
      <c r="K435" s="1011"/>
      <c r="L435" s="1012"/>
      <c r="M435" s="1013"/>
      <c r="N435" s="1014" t="str">
        <f t="shared" si="100"/>
        <v/>
      </c>
      <c r="O435" s="1323"/>
      <c r="P435" s="1324"/>
      <c r="Q435" s="1324"/>
      <c r="R435" s="1324"/>
      <c r="S435" s="1324"/>
      <c r="T435" s="1325"/>
      <c r="U435" s="1015">
        <v>2</v>
      </c>
      <c r="V435" s="1015"/>
      <c r="W435" s="1015"/>
      <c r="X435" s="1015"/>
      <c r="Y435" s="1015">
        <v>2.6</v>
      </c>
      <c r="Z435" s="1016">
        <f>'09월 에너지'!S437</f>
        <v>145.30000000000001</v>
      </c>
      <c r="AA435" s="1017"/>
      <c r="AB435" s="1208"/>
      <c r="AC435" s="1208"/>
      <c r="AD435" s="1208"/>
      <c r="AE435" s="1208"/>
      <c r="AF435" s="1208"/>
      <c r="AG435" s="1018">
        <f>'09월 화학성분'!AM435</f>
        <v>2172</v>
      </c>
      <c r="AH435" s="1006">
        <f t="shared" si="90"/>
        <v>19</v>
      </c>
      <c r="AI435" s="1019">
        <v>1607</v>
      </c>
      <c r="AJ435" s="1020">
        <v>123</v>
      </c>
      <c r="AK435" s="1021">
        <v>1029</v>
      </c>
      <c r="AL435" s="1022">
        <v>3</v>
      </c>
      <c r="AM435" s="1155">
        <f>IF(AT435="","",3*'09월 에너지'!S437*(1/(3+7.8*(100-AT435)/AT435)))</f>
        <v>0.6189203841387857</v>
      </c>
      <c r="AN435" s="1023">
        <v>0.20347222222222219</v>
      </c>
      <c r="AO435" s="1024"/>
      <c r="AP435" s="1025"/>
      <c r="AQ435" s="1025"/>
      <c r="AR435" s="1149">
        <f t="shared" si="91"/>
        <v>11</v>
      </c>
      <c r="AS435" s="1093" t="str">
        <f t="shared" si="101"/>
        <v xml:space="preserve"> </v>
      </c>
      <c r="AT435" s="1156">
        <v>1.1000000000000001</v>
      </c>
      <c r="AU435" s="449"/>
      <c r="AV435" s="1205"/>
    </row>
    <row r="436" spans="1:48" ht="16.5" customHeight="1">
      <c r="A436" s="1005">
        <f t="shared" si="92"/>
        <v>46281</v>
      </c>
      <c r="B436" s="1005">
        <f t="shared" si="93"/>
        <v>46281</v>
      </c>
      <c r="C436" s="1150">
        <f t="shared" si="94"/>
        <v>17</v>
      </c>
      <c r="D436" s="1150">
        <f t="shared" si="95"/>
        <v>425</v>
      </c>
      <c r="E436" s="1006" t="str">
        <f t="shared" si="96"/>
        <v>B</v>
      </c>
      <c r="F436" s="1007" t="str">
        <f t="shared" si="89"/>
        <v>B</v>
      </c>
      <c r="G436" s="1008">
        <f t="shared" si="97"/>
        <v>85638</v>
      </c>
      <c r="H436" s="1138">
        <f t="shared" si="98"/>
        <v>0.88402777777777786</v>
      </c>
      <c r="I436" s="1009">
        <v>0.88611111111111107</v>
      </c>
      <c r="J436" s="1010">
        <f t="shared" si="99"/>
        <v>50.999999999999815</v>
      </c>
      <c r="K436" s="1011"/>
      <c r="L436" s="1012"/>
      <c r="M436" s="1013"/>
      <c r="N436" s="1014" t="str">
        <f t="shared" si="100"/>
        <v/>
      </c>
      <c r="O436" s="1323" t="s">
        <v>852</v>
      </c>
      <c r="P436" s="1324"/>
      <c r="Q436" s="1324"/>
      <c r="R436" s="1324"/>
      <c r="S436" s="1324"/>
      <c r="T436" s="1325"/>
      <c r="U436" s="1015">
        <v>2</v>
      </c>
      <c r="V436" s="1015"/>
      <c r="W436" s="1015"/>
      <c r="X436" s="1015"/>
      <c r="Y436" s="1015">
        <v>2.5</v>
      </c>
      <c r="Z436" s="1016">
        <f>'09월 에너지'!S438</f>
        <v>144</v>
      </c>
      <c r="AA436" s="1017">
        <v>1876</v>
      </c>
      <c r="AB436" s="1208" t="s">
        <v>573</v>
      </c>
      <c r="AC436" s="1208" t="s">
        <v>532</v>
      </c>
      <c r="AD436" s="1208"/>
      <c r="AE436" s="1208"/>
      <c r="AF436" s="1208" t="s">
        <v>532</v>
      </c>
      <c r="AG436" s="1018">
        <f>'09월 화학성분'!AM436</f>
        <v>2342</v>
      </c>
      <c r="AH436" s="1006">
        <f t="shared" si="90"/>
        <v>20</v>
      </c>
      <c r="AI436" s="1019">
        <v>1571</v>
      </c>
      <c r="AJ436" s="1020">
        <v>0</v>
      </c>
      <c r="AK436" s="1021">
        <v>322</v>
      </c>
      <c r="AL436" s="1022">
        <v>14</v>
      </c>
      <c r="AM436" s="1155">
        <f>IF(AT436="","",3*'09월 에너지'!S438*(1/(3+7.8*(100-AT436)/AT436)))</f>
        <v>0.44526901669758812</v>
      </c>
      <c r="AN436" s="1023">
        <v>0.21111111111111111</v>
      </c>
      <c r="AO436" s="1024"/>
      <c r="AP436" s="1025"/>
      <c r="AQ436" s="1025"/>
      <c r="AR436" s="1149" t="str">
        <f t="shared" si="91"/>
        <v/>
      </c>
      <c r="AS436" s="1093">
        <f t="shared" si="101"/>
        <v>5</v>
      </c>
      <c r="AT436" s="1156">
        <v>0.8</v>
      </c>
      <c r="AU436" s="449"/>
      <c r="AV436" s="1205"/>
    </row>
    <row r="437" spans="1:48" ht="16.5" customHeight="1">
      <c r="A437" s="1005">
        <f t="shared" si="92"/>
        <v>46281</v>
      </c>
      <c r="B437" s="1005">
        <f t="shared" si="93"/>
        <v>46281</v>
      </c>
      <c r="C437" s="1150">
        <f t="shared" si="94"/>
        <v>18</v>
      </c>
      <c r="D437" s="1150">
        <f t="shared" si="95"/>
        <v>426</v>
      </c>
      <c r="E437" s="1006" t="str">
        <f t="shared" si="96"/>
        <v>B</v>
      </c>
      <c r="F437" s="1007" t="str">
        <f t="shared" si="89"/>
        <v>A</v>
      </c>
      <c r="G437" s="1008">
        <f t="shared" si="97"/>
        <v>85639</v>
      </c>
      <c r="H437" s="1138">
        <f t="shared" si="98"/>
        <v>0.9194444444444444</v>
      </c>
      <c r="I437" s="1009">
        <v>0.91805555555555562</v>
      </c>
      <c r="J437" s="1010">
        <f t="shared" si="99"/>
        <v>46.000000000000156</v>
      </c>
      <c r="K437" s="1011"/>
      <c r="L437" s="1012"/>
      <c r="M437" s="1013"/>
      <c r="N437" s="1014" t="str">
        <f t="shared" si="100"/>
        <v/>
      </c>
      <c r="O437" s="1323"/>
      <c r="P437" s="1324"/>
      <c r="Q437" s="1324"/>
      <c r="R437" s="1324"/>
      <c r="S437" s="1324"/>
      <c r="T437" s="1325"/>
      <c r="U437" s="1015">
        <v>2</v>
      </c>
      <c r="V437" s="1015"/>
      <c r="W437" s="1015"/>
      <c r="X437" s="1015"/>
      <c r="Y437" s="1015">
        <v>2.7</v>
      </c>
      <c r="Z437" s="1016">
        <f>'09월 에너지'!S439</f>
        <v>144.30000000000001</v>
      </c>
      <c r="AA437" s="1017"/>
      <c r="AB437" s="1208"/>
      <c r="AC437" s="1208"/>
      <c r="AD437" s="1208"/>
      <c r="AE437" s="1208"/>
      <c r="AF437" s="1208"/>
      <c r="AG437" s="1018">
        <f>'09월 화학성분'!AM437</f>
        <v>2641</v>
      </c>
      <c r="AH437" s="1006">
        <f t="shared" si="90"/>
        <v>21</v>
      </c>
      <c r="AI437" s="1019">
        <v>1584</v>
      </c>
      <c r="AJ437" s="1020">
        <v>169</v>
      </c>
      <c r="AK437" s="1021">
        <v>995</v>
      </c>
      <c r="AL437" s="1022">
        <v>3</v>
      </c>
      <c r="AM437" s="1155">
        <f>IF(AT437="","",3*'09월 에너지'!S439*(1/(3+7.8*(100-AT437)/AT437)))</f>
        <v>0.67095474271543709</v>
      </c>
      <c r="AN437" s="1023">
        <v>0.20694444444444446</v>
      </c>
      <c r="AO437" s="1024"/>
      <c r="AP437" s="1025"/>
      <c r="AQ437" s="1025"/>
      <c r="AR437" s="1149">
        <f t="shared" si="91"/>
        <v>12</v>
      </c>
      <c r="AS437" s="1093" t="str">
        <f t="shared" si="101"/>
        <v xml:space="preserve"> </v>
      </c>
      <c r="AT437" s="1156">
        <v>1.2</v>
      </c>
      <c r="AU437" s="449"/>
      <c r="AV437" s="1205"/>
    </row>
    <row r="438" spans="1:48" ht="16.5" customHeight="1">
      <c r="A438" s="1005">
        <f t="shared" si="92"/>
        <v>46281</v>
      </c>
      <c r="B438" s="1005">
        <f t="shared" si="93"/>
        <v>46281</v>
      </c>
      <c r="C438" s="1150">
        <f t="shared" si="94"/>
        <v>19</v>
      </c>
      <c r="D438" s="1150">
        <f t="shared" si="95"/>
        <v>427</v>
      </c>
      <c r="E438" s="1006" t="s">
        <v>546</v>
      </c>
      <c r="F438" s="1007" t="str">
        <f t="shared" si="89"/>
        <v>B</v>
      </c>
      <c r="G438" s="1008">
        <f t="shared" si="97"/>
        <v>85640</v>
      </c>
      <c r="H438" s="1138">
        <f t="shared" si="98"/>
        <v>0.95138888888888895</v>
      </c>
      <c r="I438" s="1009">
        <v>0.97152777777777777</v>
      </c>
      <c r="J438" s="1010">
        <f t="shared" si="99"/>
        <v>76.999999999999886</v>
      </c>
      <c r="K438" s="1011"/>
      <c r="L438" s="1012">
        <v>23</v>
      </c>
      <c r="M438" s="1013"/>
      <c r="N438" s="1014" t="str">
        <f t="shared" si="100"/>
        <v/>
      </c>
      <c r="O438" s="1323" t="s">
        <v>855</v>
      </c>
      <c r="P438" s="1324"/>
      <c r="Q438" s="1324"/>
      <c r="R438" s="1324"/>
      <c r="S438" s="1324"/>
      <c r="T438" s="1325"/>
      <c r="U438" s="1015">
        <v>2</v>
      </c>
      <c r="V438" s="1015"/>
      <c r="W438" s="1015"/>
      <c r="X438" s="1015"/>
      <c r="Y438" s="1015">
        <v>2.5</v>
      </c>
      <c r="Z438" s="1016">
        <f>'09월 에너지'!S440</f>
        <v>143.80000000000001</v>
      </c>
      <c r="AA438" s="1017"/>
      <c r="AB438" s="1208"/>
      <c r="AC438" s="1208"/>
      <c r="AD438" s="1208"/>
      <c r="AE438" s="1208"/>
      <c r="AF438" s="1208"/>
      <c r="AG438" s="1018">
        <f>'09월 화학성분'!AM438</f>
        <v>2543</v>
      </c>
      <c r="AH438" s="1006">
        <f t="shared" si="90"/>
        <v>22</v>
      </c>
      <c r="AI438" s="1019">
        <v>1575</v>
      </c>
      <c r="AJ438" s="1020">
        <v>0</v>
      </c>
      <c r="AK438" s="1021">
        <v>520</v>
      </c>
      <c r="AL438" s="1022">
        <v>8</v>
      </c>
      <c r="AM438" s="1155">
        <f>IF(AT438="","",3*'09월 에너지'!S440*(1/(3+7.8*(100-AT438)/AT438)))</f>
        <v>0.83734472049689457</v>
      </c>
      <c r="AN438" s="1023">
        <v>0.17500000000000002</v>
      </c>
      <c r="AO438" s="1024"/>
      <c r="AP438" s="1025"/>
      <c r="AQ438" s="1025"/>
      <c r="AR438" s="1149" t="str">
        <f t="shared" si="91"/>
        <v/>
      </c>
      <c r="AS438" s="1093">
        <f t="shared" si="101"/>
        <v>6</v>
      </c>
      <c r="AT438" s="1156">
        <v>1.5</v>
      </c>
      <c r="AU438" s="449"/>
      <c r="AV438" s="1205"/>
    </row>
    <row r="439" spans="1:48" ht="16.5" customHeight="1">
      <c r="A439" s="1005">
        <f t="shared" si="92"/>
        <v>46281</v>
      </c>
      <c r="B439" s="1005">
        <f t="shared" si="93"/>
        <v>46281</v>
      </c>
      <c r="C439" s="1150">
        <f t="shared" si="94"/>
        <v>20</v>
      </c>
      <c r="D439" s="1150">
        <f t="shared" si="95"/>
        <v>428</v>
      </c>
      <c r="E439" s="1006" t="str">
        <f t="shared" si="96"/>
        <v>C</v>
      </c>
      <c r="F439" s="1007" t="str">
        <f t="shared" si="89"/>
        <v>A</v>
      </c>
      <c r="G439" s="1008">
        <f t="shared" si="97"/>
        <v>85641</v>
      </c>
      <c r="H439" s="1138">
        <f t="shared" si="98"/>
        <v>1.0048611111111112</v>
      </c>
      <c r="I439" s="1009">
        <v>0.98819444444444438</v>
      </c>
      <c r="J439" s="1010">
        <f t="shared" si="99"/>
        <v>23.999999999999915</v>
      </c>
      <c r="K439" s="1011"/>
      <c r="L439" s="1012"/>
      <c r="M439" s="1013"/>
      <c r="N439" s="1014" t="str">
        <f t="shared" si="100"/>
        <v/>
      </c>
      <c r="O439" s="1323"/>
      <c r="P439" s="1324"/>
      <c r="Q439" s="1324"/>
      <c r="R439" s="1324"/>
      <c r="S439" s="1324"/>
      <c r="T439" s="1325"/>
      <c r="U439" s="1015">
        <v>2</v>
      </c>
      <c r="V439" s="1015"/>
      <c r="W439" s="1015"/>
      <c r="X439" s="1015"/>
      <c r="Y439" s="1015">
        <v>2.8</v>
      </c>
      <c r="Z439" s="1016">
        <f>'09월 에너지'!S441</f>
        <v>142.30000000000001</v>
      </c>
      <c r="AA439" s="1017"/>
      <c r="AB439" s="1208"/>
      <c r="AC439" s="1208"/>
      <c r="AD439" s="1208"/>
      <c r="AE439" s="1208"/>
      <c r="AF439" s="1208"/>
      <c r="AG439" s="1018">
        <f>'09월 화학성분'!AM439</f>
        <v>2223</v>
      </c>
      <c r="AH439" s="1006">
        <f t="shared" si="90"/>
        <v>23</v>
      </c>
      <c r="AI439" s="1019">
        <v>1583</v>
      </c>
      <c r="AJ439" s="1020">
        <v>150</v>
      </c>
      <c r="AK439" s="1021">
        <v>951</v>
      </c>
      <c r="AL439" s="1022">
        <v>4</v>
      </c>
      <c r="AM439" s="1155">
        <f>IF(AT439="","",3*'09월 에너지'!S441*(1/(3+7.8*(100-AT439)/AT439)))</f>
        <v>0.71723790322580638</v>
      </c>
      <c r="AN439" s="1023">
        <v>0.19652777777777777</v>
      </c>
      <c r="AO439" s="1024"/>
      <c r="AP439" s="1025"/>
      <c r="AQ439" s="1025"/>
      <c r="AR439" s="1149">
        <f t="shared" si="91"/>
        <v>13</v>
      </c>
      <c r="AS439" s="1093" t="str">
        <f t="shared" si="101"/>
        <v xml:space="preserve"> </v>
      </c>
      <c r="AT439" s="1156">
        <v>1.3</v>
      </c>
      <c r="AU439" s="449"/>
      <c r="AV439" s="1205"/>
    </row>
    <row r="440" spans="1:48" ht="16.5" customHeight="1">
      <c r="A440" s="1005">
        <f t="shared" si="92"/>
        <v>46281</v>
      </c>
      <c r="B440" s="1005">
        <f t="shared" si="93"/>
        <v>46281</v>
      </c>
      <c r="C440" s="1150">
        <f t="shared" si="94"/>
        <v>21</v>
      </c>
      <c r="D440" s="1150">
        <f t="shared" si="95"/>
        <v>429</v>
      </c>
      <c r="E440" s="1006" t="str">
        <f t="shared" si="96"/>
        <v>C</v>
      </c>
      <c r="F440" s="1007" t="str">
        <f t="shared" si="89"/>
        <v>B</v>
      </c>
      <c r="G440" s="1008">
        <f t="shared" si="97"/>
        <v>85642</v>
      </c>
      <c r="H440" s="1138">
        <f t="shared" si="98"/>
        <v>1.0215277777777778</v>
      </c>
      <c r="I440" s="1009">
        <v>3.6805555555555557E-2</v>
      </c>
      <c r="J440" s="1010">
        <f t="shared" si="99"/>
        <v>70</v>
      </c>
      <c r="K440" s="1011"/>
      <c r="L440" s="1012">
        <v>20</v>
      </c>
      <c r="M440" s="1013"/>
      <c r="N440" s="1014" t="str">
        <f t="shared" si="100"/>
        <v/>
      </c>
      <c r="O440" s="1323" t="s">
        <v>857</v>
      </c>
      <c r="P440" s="1324"/>
      <c r="Q440" s="1324"/>
      <c r="R440" s="1324"/>
      <c r="S440" s="1324"/>
      <c r="T440" s="1325"/>
      <c r="U440" s="1015">
        <v>2</v>
      </c>
      <c r="V440" s="1015">
        <v>2.2999999999999998</v>
      </c>
      <c r="W440" s="1015">
        <v>1.4</v>
      </c>
      <c r="X440" s="1015"/>
      <c r="Y440" s="1015"/>
      <c r="Z440" s="1016">
        <f>'09월 에너지'!S442</f>
        <v>142.69999999999999</v>
      </c>
      <c r="AA440" s="1017"/>
      <c r="AB440" s="1208"/>
      <c r="AC440" s="1208"/>
      <c r="AD440" s="1208"/>
      <c r="AE440" s="1208"/>
      <c r="AF440" s="1208"/>
      <c r="AG440" s="1018">
        <f>'09월 화학성분'!AM440</f>
        <v>2703</v>
      </c>
      <c r="AH440" s="1006">
        <f t="shared" si="90"/>
        <v>24</v>
      </c>
      <c r="AI440" s="1019">
        <v>1551</v>
      </c>
      <c r="AJ440" s="1020">
        <v>0</v>
      </c>
      <c r="AK440" s="1021">
        <v>415</v>
      </c>
      <c r="AL440" s="1022">
        <v>10</v>
      </c>
      <c r="AM440" s="1155">
        <f>IF(AT440="","",3*'09월 에너지'!S442*(1/(3+7.8*(100-AT440)/AT440)))</f>
        <v>0.38585444993819523</v>
      </c>
      <c r="AN440" s="1023">
        <v>0.20625000000000002</v>
      </c>
      <c r="AO440" s="1024"/>
      <c r="AP440" s="1025"/>
      <c r="AQ440" s="1025"/>
      <c r="AR440" s="1149" t="str">
        <f t="shared" si="91"/>
        <v/>
      </c>
      <c r="AS440" s="1093">
        <f t="shared" si="101"/>
        <v>7</v>
      </c>
      <c r="AT440" s="1156">
        <v>0.7</v>
      </c>
      <c r="AU440" s="449"/>
      <c r="AV440" s="1205"/>
    </row>
    <row r="441" spans="1:48" ht="16.5" customHeight="1">
      <c r="A441" s="1005">
        <f t="shared" si="92"/>
        <v>46281</v>
      </c>
      <c r="B441" s="1005">
        <f t="shared" si="93"/>
        <v>46281</v>
      </c>
      <c r="C441" s="1150">
        <f t="shared" si="94"/>
        <v>22</v>
      </c>
      <c r="D441" s="1150">
        <f t="shared" si="95"/>
        <v>430</v>
      </c>
      <c r="E441" s="1006" t="str">
        <f t="shared" si="96"/>
        <v>C</v>
      </c>
      <c r="F441" s="1007" t="str">
        <f t="shared" si="89"/>
        <v>A</v>
      </c>
      <c r="G441" s="1008">
        <f t="shared" si="97"/>
        <v>85643</v>
      </c>
      <c r="H441" s="1138">
        <f t="shared" si="98"/>
        <v>7.013888888888889E-2</v>
      </c>
      <c r="I441" s="1009">
        <v>6.5277777777777782E-2</v>
      </c>
      <c r="J441" s="1010">
        <f t="shared" si="99"/>
        <v>41.000000000000007</v>
      </c>
      <c r="K441" s="1011"/>
      <c r="L441" s="1012">
        <v>10</v>
      </c>
      <c r="M441" s="1013"/>
      <c r="N441" s="1014" t="str">
        <f t="shared" si="100"/>
        <v/>
      </c>
      <c r="O441" s="1323" t="s">
        <v>858</v>
      </c>
      <c r="P441" s="1324"/>
      <c r="Q441" s="1324"/>
      <c r="R441" s="1324"/>
      <c r="S441" s="1324"/>
      <c r="T441" s="1325"/>
      <c r="U441" s="1015">
        <v>2</v>
      </c>
      <c r="V441" s="1015">
        <v>2.4</v>
      </c>
      <c r="W441" s="1015">
        <v>1.3</v>
      </c>
      <c r="X441" s="1015"/>
      <c r="Y441" s="1015"/>
      <c r="Z441" s="1016">
        <f>'09월 에너지'!S443</f>
        <v>141.69999999999999</v>
      </c>
      <c r="AA441" s="1017">
        <v>2414</v>
      </c>
      <c r="AB441" s="1208" t="s">
        <v>573</v>
      </c>
      <c r="AC441" s="1208" t="s">
        <v>532</v>
      </c>
      <c r="AD441" s="1208"/>
      <c r="AE441" s="1208"/>
      <c r="AF441" s="1208" t="s">
        <v>532</v>
      </c>
      <c r="AG441" s="1018">
        <f>'09월 화학성분'!AM441</f>
        <v>2113</v>
      </c>
      <c r="AH441" s="1006">
        <f t="shared" si="90"/>
        <v>25</v>
      </c>
      <c r="AI441" s="1019">
        <v>1575</v>
      </c>
      <c r="AJ441" s="1020">
        <v>0</v>
      </c>
      <c r="AK441" s="1021">
        <v>374</v>
      </c>
      <c r="AL441" s="1022">
        <v>12</v>
      </c>
      <c r="AM441" s="1155">
        <f>IF(AT441="","",3*'09월 에너지'!S443*(1/(3+7.8*(100-AT441)/AT441)))</f>
        <v>0.27334104938271603</v>
      </c>
      <c r="AN441" s="1023">
        <v>0.19097222222222221</v>
      </c>
      <c r="AO441" s="1024" t="s">
        <v>865</v>
      </c>
      <c r="AP441" s="1025">
        <v>2000081</v>
      </c>
      <c r="AQ441" s="1025">
        <v>2107</v>
      </c>
      <c r="AR441" s="1149">
        <v>1</v>
      </c>
      <c r="AS441" s="1093" t="str">
        <f t="shared" si="101"/>
        <v xml:space="preserve"> </v>
      </c>
      <c r="AT441" s="1156">
        <v>0.5</v>
      </c>
      <c r="AU441" s="449"/>
      <c r="AV441" s="1205"/>
    </row>
    <row r="442" spans="1:48" ht="16.5" customHeight="1">
      <c r="A442" s="1005">
        <f t="shared" si="92"/>
        <v>46281</v>
      </c>
      <c r="B442" s="1005">
        <f t="shared" si="93"/>
        <v>46281</v>
      </c>
      <c r="C442" s="1150">
        <f t="shared" si="94"/>
        <v>23</v>
      </c>
      <c r="D442" s="1150">
        <f t="shared" si="95"/>
        <v>431</v>
      </c>
      <c r="E442" s="1006" t="str">
        <f t="shared" si="96"/>
        <v>C</v>
      </c>
      <c r="F442" s="1007" t="str">
        <f t="shared" si="89"/>
        <v>B</v>
      </c>
      <c r="G442" s="1008">
        <f t="shared" si="97"/>
        <v>85644</v>
      </c>
      <c r="H442" s="1138">
        <f t="shared" si="98"/>
        <v>9.8611111111111122E-2</v>
      </c>
      <c r="I442" s="1009">
        <v>9.5138888888888884E-2</v>
      </c>
      <c r="J442" s="1010">
        <f t="shared" si="99"/>
        <v>42.999999999999986</v>
      </c>
      <c r="K442" s="1011">
        <v>2</v>
      </c>
      <c r="L442" s="1012"/>
      <c r="M442" s="1013">
        <v>5.486111111111111E-2</v>
      </c>
      <c r="N442" s="1014">
        <f t="shared" si="100"/>
        <v>5.6250000000000001E-2</v>
      </c>
      <c r="O442" s="1323" t="s">
        <v>530</v>
      </c>
      <c r="P442" s="1324"/>
      <c r="Q442" s="1324"/>
      <c r="R442" s="1324"/>
      <c r="S442" s="1324"/>
      <c r="T442" s="1325"/>
      <c r="U442" s="1015">
        <v>2</v>
      </c>
      <c r="V442" s="1015"/>
      <c r="W442" s="1015"/>
      <c r="X442" s="1015"/>
      <c r="Y442" s="1015">
        <v>2.5</v>
      </c>
      <c r="Z442" s="1016">
        <f>'09월 에너지'!S444</f>
        <v>144.69999999999999</v>
      </c>
      <c r="AA442" s="1017">
        <v>1044</v>
      </c>
      <c r="AB442" s="1208" t="s">
        <v>573</v>
      </c>
      <c r="AC442" s="1208"/>
      <c r="AD442" s="1208" t="s">
        <v>548</v>
      </c>
      <c r="AE442" s="1208"/>
      <c r="AF442" s="1208"/>
      <c r="AG442" s="1018">
        <f>'09월 화학성분'!AM442</f>
        <v>1506</v>
      </c>
      <c r="AH442" s="1006">
        <f t="shared" si="90"/>
        <v>26</v>
      </c>
      <c r="AI442" s="1019">
        <v>1573</v>
      </c>
      <c r="AJ442" s="1020">
        <v>0</v>
      </c>
      <c r="AK442" s="1021">
        <v>416</v>
      </c>
      <c r="AL442" s="1022">
        <v>10</v>
      </c>
      <c r="AM442" s="1155">
        <f>IF(AT442="","",3*'09월 에너지'!S444*(1/(3+7.8*(100-AT442)/AT442)))</f>
        <v>0.5036741955445545</v>
      </c>
      <c r="AN442" s="1023">
        <v>0.17083333333333331</v>
      </c>
      <c r="AO442" s="1024"/>
      <c r="AP442" s="1025"/>
      <c r="AQ442" s="1025"/>
      <c r="AR442" s="1149" t="str">
        <f t="shared" si="91"/>
        <v/>
      </c>
      <c r="AS442" s="1093">
        <f t="shared" si="101"/>
        <v>8</v>
      </c>
      <c r="AT442" s="1156">
        <v>0.9</v>
      </c>
      <c r="AU442" s="449"/>
      <c r="AV442" s="1205"/>
    </row>
    <row r="443" spans="1:48" ht="16.5" customHeight="1">
      <c r="A443" s="1005">
        <f t="shared" si="92"/>
        <v>46281</v>
      </c>
      <c r="B443" s="1005">
        <f t="shared" si="93"/>
        <v>46281</v>
      </c>
      <c r="C443" s="1150">
        <f t="shared" si="94"/>
        <v>24</v>
      </c>
      <c r="D443" s="1150">
        <f t="shared" si="95"/>
        <v>432</v>
      </c>
      <c r="E443" s="1006" t="str">
        <f t="shared" si="96"/>
        <v>C</v>
      </c>
      <c r="F443" s="1007" t="str">
        <f t="shared" si="89"/>
        <v>A</v>
      </c>
      <c r="G443" s="1008">
        <f t="shared" si="97"/>
        <v>85645</v>
      </c>
      <c r="H443" s="1138">
        <f t="shared" si="98"/>
        <v>0.12847222222222221</v>
      </c>
      <c r="I443" s="1009">
        <v>0.12569444444444444</v>
      </c>
      <c r="J443" s="1010">
        <f t="shared" si="99"/>
        <v>44</v>
      </c>
      <c r="K443" s="1011"/>
      <c r="L443" s="1012"/>
      <c r="M443" s="1013"/>
      <c r="N443" s="1014" t="str">
        <f t="shared" si="100"/>
        <v/>
      </c>
      <c r="O443" s="1323"/>
      <c r="P443" s="1324"/>
      <c r="Q443" s="1324"/>
      <c r="R443" s="1324"/>
      <c r="S443" s="1324"/>
      <c r="T443" s="1325"/>
      <c r="U443" s="1015">
        <v>2</v>
      </c>
      <c r="V443" s="1015"/>
      <c r="W443" s="1015"/>
      <c r="X443" s="1015"/>
      <c r="Y443" s="1015">
        <v>2.6</v>
      </c>
      <c r="Z443" s="1016">
        <f>'09월 에너지'!S445</f>
        <v>144.69999999999999</v>
      </c>
      <c r="AA443" s="1017"/>
      <c r="AB443" s="1208"/>
      <c r="AC443" s="1208"/>
      <c r="AD443" s="1208"/>
      <c r="AE443" s="1208"/>
      <c r="AF443" s="1208"/>
      <c r="AG443" s="1018">
        <f>'09월 화학성분'!AM443</f>
        <v>1403</v>
      </c>
      <c r="AH443" s="1006">
        <f t="shared" si="90"/>
        <v>27</v>
      </c>
      <c r="AI443" s="1019">
        <v>1589</v>
      </c>
      <c r="AJ443" s="1020">
        <v>0</v>
      </c>
      <c r="AK443" s="1021">
        <v>363</v>
      </c>
      <c r="AL443" s="1022">
        <v>12</v>
      </c>
      <c r="AM443" s="1155">
        <f>IF(AT443="","",3*'09월 에너지'!S445*(1/(3+7.8*(100-AT443)/AT443)))</f>
        <v>0.44743351886209026</v>
      </c>
      <c r="AN443" s="1023">
        <v>0.18402777777777779</v>
      </c>
      <c r="AO443" s="1024"/>
      <c r="AP443" s="1025"/>
      <c r="AQ443" s="1025"/>
      <c r="AR443" s="1149">
        <f t="shared" si="91"/>
        <v>2</v>
      </c>
      <c r="AS443" s="1093" t="str">
        <f t="shared" si="101"/>
        <v xml:space="preserve"> </v>
      </c>
      <c r="AT443" s="1156">
        <v>0.8</v>
      </c>
      <c r="AU443" s="449"/>
      <c r="AV443" s="1205"/>
    </row>
    <row r="444" spans="1:48" ht="16.5" customHeight="1">
      <c r="A444" s="1005">
        <v>46282</v>
      </c>
      <c r="B444" s="1005">
        <f t="shared" si="93"/>
        <v>46281</v>
      </c>
      <c r="C444" s="1150">
        <f t="shared" si="94"/>
        <v>1</v>
      </c>
      <c r="D444" s="1150">
        <f t="shared" si="95"/>
        <v>433</v>
      </c>
      <c r="E444" s="1006" t="str">
        <f t="shared" si="96"/>
        <v>C</v>
      </c>
      <c r="F444" s="1007" t="str">
        <f t="shared" si="89"/>
        <v>B</v>
      </c>
      <c r="G444" s="1008">
        <f t="shared" si="97"/>
        <v>85646</v>
      </c>
      <c r="H444" s="1138">
        <f t="shared" si="98"/>
        <v>0.15902777777777777</v>
      </c>
      <c r="I444" s="1009">
        <v>0.16180555555555556</v>
      </c>
      <c r="J444" s="1010">
        <f t="shared" si="99"/>
        <v>52.000000000000014</v>
      </c>
      <c r="K444" s="1011"/>
      <c r="L444" s="1012"/>
      <c r="M444" s="1013"/>
      <c r="N444" s="1014" t="str">
        <f t="shared" si="100"/>
        <v/>
      </c>
      <c r="O444" s="1323" t="s">
        <v>859</v>
      </c>
      <c r="P444" s="1324"/>
      <c r="Q444" s="1324"/>
      <c r="R444" s="1324"/>
      <c r="S444" s="1324"/>
      <c r="T444" s="1325"/>
      <c r="U444" s="1015">
        <v>2</v>
      </c>
      <c r="V444" s="1015">
        <v>2.5</v>
      </c>
      <c r="W444" s="1015">
        <v>1.4</v>
      </c>
      <c r="X444" s="1015"/>
      <c r="Y444" s="1015"/>
      <c r="Z444" s="1016">
        <f>'09월 에너지'!S446</f>
        <v>143.4</v>
      </c>
      <c r="AA444" s="1017"/>
      <c r="AB444" s="1208"/>
      <c r="AC444" s="1208"/>
      <c r="AD444" s="1208"/>
      <c r="AE444" s="1208"/>
      <c r="AF444" s="1208"/>
      <c r="AG444" s="1018">
        <f>'09월 화학성분'!AM444</f>
        <v>1368</v>
      </c>
      <c r="AH444" s="1006">
        <f t="shared" si="90"/>
        <v>28</v>
      </c>
      <c r="AI444" s="1019">
        <v>1569</v>
      </c>
      <c r="AJ444" s="1020">
        <v>88</v>
      </c>
      <c r="AK444" s="1021">
        <v>737</v>
      </c>
      <c r="AL444" s="1022">
        <v>5</v>
      </c>
      <c r="AM444" s="1155">
        <f>IF(AT444="","",3*'09월 에너지'!S446*(1/(3+7.8*(100-AT444)/AT444)))</f>
        <v>1.003889234598631</v>
      </c>
      <c r="AN444" s="1023">
        <v>0.16388888888888889</v>
      </c>
      <c r="AO444" s="1024"/>
      <c r="AP444" s="1025"/>
      <c r="AQ444" s="1025"/>
      <c r="AR444" s="1149" t="str">
        <f t="shared" si="91"/>
        <v/>
      </c>
      <c r="AS444" s="1093">
        <f t="shared" si="101"/>
        <v>9</v>
      </c>
      <c r="AT444" s="1156">
        <v>1.8</v>
      </c>
      <c r="AU444" s="449"/>
      <c r="AV444" s="1205"/>
    </row>
    <row r="445" spans="1:48" ht="16.5" customHeight="1">
      <c r="A445" s="1005">
        <f t="shared" si="92"/>
        <v>46282</v>
      </c>
      <c r="B445" s="1005">
        <f t="shared" si="93"/>
        <v>46281</v>
      </c>
      <c r="C445" s="1150">
        <f t="shared" si="94"/>
        <v>2</v>
      </c>
      <c r="D445" s="1150">
        <f t="shared" si="95"/>
        <v>434</v>
      </c>
      <c r="E445" s="1006" t="str">
        <f t="shared" si="96"/>
        <v>C</v>
      </c>
      <c r="F445" s="1007" t="str">
        <f t="shared" si="89"/>
        <v>A</v>
      </c>
      <c r="G445" s="1008">
        <f t="shared" si="97"/>
        <v>85647</v>
      </c>
      <c r="H445" s="1138">
        <f t="shared" si="98"/>
        <v>0.19513888888888889</v>
      </c>
      <c r="I445" s="1009">
        <v>0.19027777777777777</v>
      </c>
      <c r="J445" s="1010">
        <f t="shared" si="99"/>
        <v>40.999999999999972</v>
      </c>
      <c r="K445" s="1011"/>
      <c r="L445" s="1012"/>
      <c r="M445" s="1013"/>
      <c r="N445" s="1014" t="str">
        <f t="shared" si="100"/>
        <v/>
      </c>
      <c r="O445" s="1323"/>
      <c r="P445" s="1324"/>
      <c r="Q445" s="1324"/>
      <c r="R445" s="1324"/>
      <c r="S445" s="1324"/>
      <c r="T445" s="1325"/>
      <c r="U445" s="1015">
        <v>2</v>
      </c>
      <c r="V445" s="1015">
        <v>2.6</v>
      </c>
      <c r="W445" s="1015">
        <v>1.5</v>
      </c>
      <c r="X445" s="1015"/>
      <c r="Y445" s="1015"/>
      <c r="Z445" s="1016">
        <f>'09월 에너지'!S447</f>
        <v>142.5</v>
      </c>
      <c r="AA445" s="1017"/>
      <c r="AB445" s="1208"/>
      <c r="AC445" s="1208"/>
      <c r="AD445" s="1208"/>
      <c r="AE445" s="1208"/>
      <c r="AF445" s="1208"/>
      <c r="AG445" s="1018">
        <f>'09월 화학성분'!AM445</f>
        <v>1564</v>
      </c>
      <c r="AH445" s="1006">
        <f t="shared" si="90"/>
        <v>29</v>
      </c>
      <c r="AI445" s="1019">
        <v>1583</v>
      </c>
      <c r="AJ445" s="1020">
        <v>0</v>
      </c>
      <c r="AK445" s="1021">
        <v>428</v>
      </c>
      <c r="AL445" s="1022">
        <v>10</v>
      </c>
      <c r="AM445" s="1155">
        <f>IF(AT445="","",3*'09월 에너지'!S447*(1/(3+7.8*(100-AT445)/AT445)))</f>
        <v>0.66258524488530679</v>
      </c>
      <c r="AN445" s="1023">
        <v>0.17152777777777775</v>
      </c>
      <c r="AO445" s="1024"/>
      <c r="AP445" s="1025"/>
      <c r="AQ445" s="1025"/>
      <c r="AR445" s="1149">
        <f t="shared" si="91"/>
        <v>3</v>
      </c>
      <c r="AS445" s="1093" t="str">
        <f t="shared" si="101"/>
        <v xml:space="preserve"> </v>
      </c>
      <c r="AT445" s="1156">
        <v>1.2</v>
      </c>
      <c r="AU445" s="449"/>
      <c r="AV445" s="1205"/>
    </row>
    <row r="446" spans="1:48" ht="16.5" customHeight="1">
      <c r="A446" s="1005">
        <f t="shared" si="92"/>
        <v>46282</v>
      </c>
      <c r="B446" s="1005">
        <f t="shared" si="93"/>
        <v>46281</v>
      </c>
      <c r="C446" s="1150">
        <f t="shared" si="94"/>
        <v>3</v>
      </c>
      <c r="D446" s="1150">
        <f t="shared" si="95"/>
        <v>435</v>
      </c>
      <c r="E446" s="1006" t="str">
        <f t="shared" si="96"/>
        <v>C</v>
      </c>
      <c r="F446" s="1007" t="str">
        <f t="shared" si="89"/>
        <v>B</v>
      </c>
      <c r="G446" s="1008">
        <f t="shared" si="97"/>
        <v>85648</v>
      </c>
      <c r="H446" s="1138">
        <f t="shared" si="98"/>
        <v>0.22361111111111109</v>
      </c>
      <c r="I446" s="1009">
        <v>0.22916666666666666</v>
      </c>
      <c r="J446" s="1010">
        <f t="shared" si="99"/>
        <v>56</v>
      </c>
      <c r="K446" s="1011"/>
      <c r="L446" s="1012"/>
      <c r="M446" s="1013"/>
      <c r="N446" s="1014" t="str">
        <f t="shared" si="100"/>
        <v/>
      </c>
      <c r="O446" s="1323" t="s">
        <v>835</v>
      </c>
      <c r="P446" s="1324"/>
      <c r="Q446" s="1324"/>
      <c r="R446" s="1324"/>
      <c r="S446" s="1324"/>
      <c r="T446" s="1325"/>
      <c r="U446" s="1015">
        <v>2</v>
      </c>
      <c r="V446" s="1015"/>
      <c r="W446" s="1015"/>
      <c r="X446" s="1015"/>
      <c r="Y446" s="1015">
        <v>2.8</v>
      </c>
      <c r="Z446" s="1016">
        <f>'09월 에너지'!S448</f>
        <v>143.30000000000001</v>
      </c>
      <c r="AA446" s="1017"/>
      <c r="AB446" s="1208"/>
      <c r="AC446" s="1208"/>
      <c r="AD446" s="1208"/>
      <c r="AE446" s="1208"/>
      <c r="AF446" s="1208"/>
      <c r="AG446" s="1018">
        <f>'09월 화학성분'!AM446</f>
        <v>2169</v>
      </c>
      <c r="AH446" s="1006">
        <f t="shared" si="90"/>
        <v>30</v>
      </c>
      <c r="AI446" s="1019">
        <v>1527</v>
      </c>
      <c r="AJ446" s="1020">
        <v>28</v>
      </c>
      <c r="AK446" s="1021">
        <v>393</v>
      </c>
      <c r="AL446" s="1022">
        <v>11</v>
      </c>
      <c r="AM446" s="1155">
        <f>IF(AT446="","",3*'09월 에너지'!S448*(1/(3+7.8*(100-AT446)/AT446)))</f>
        <v>0.55456656346749245</v>
      </c>
      <c r="AN446" s="1023">
        <v>0.47222222222222227</v>
      </c>
      <c r="AO446" s="1024"/>
      <c r="AP446" s="1025"/>
      <c r="AQ446" s="1025"/>
      <c r="AR446" s="1149" t="str">
        <f t="shared" si="91"/>
        <v/>
      </c>
      <c r="AS446" s="1093">
        <f t="shared" si="101"/>
        <v>10</v>
      </c>
      <c r="AT446" s="1156">
        <v>1</v>
      </c>
      <c r="AU446" s="449"/>
      <c r="AV446" s="1205"/>
    </row>
    <row r="447" spans="1:48" ht="16.5" customHeight="1">
      <c r="A447" s="1005">
        <f t="shared" si="92"/>
        <v>46282</v>
      </c>
      <c r="B447" s="1005">
        <f t="shared" si="93"/>
        <v>46281</v>
      </c>
      <c r="C447" s="1150">
        <f t="shared" si="94"/>
        <v>4</v>
      </c>
      <c r="D447" s="1150">
        <f t="shared" si="95"/>
        <v>436</v>
      </c>
      <c r="E447" s="1006" t="str">
        <f t="shared" si="96"/>
        <v>C</v>
      </c>
      <c r="F447" s="1007" t="str">
        <f t="shared" si="89"/>
        <v>A</v>
      </c>
      <c r="G447" s="1008">
        <f t="shared" si="97"/>
        <v>85649</v>
      </c>
      <c r="H447" s="1138">
        <f t="shared" si="98"/>
        <v>0.26250000000000001</v>
      </c>
      <c r="I447" s="1009">
        <v>0.25555555555555559</v>
      </c>
      <c r="J447" s="1010">
        <f t="shared" si="99"/>
        <v>38.000000000000064</v>
      </c>
      <c r="K447" s="1011"/>
      <c r="L447" s="1012"/>
      <c r="M447" s="1013"/>
      <c r="N447" s="1014" t="str">
        <f t="shared" si="100"/>
        <v/>
      </c>
      <c r="O447" s="1323" t="s">
        <v>859</v>
      </c>
      <c r="P447" s="1324"/>
      <c r="Q447" s="1324"/>
      <c r="R447" s="1324"/>
      <c r="S447" s="1324"/>
      <c r="T447" s="1325"/>
      <c r="U447" s="1015">
        <v>2</v>
      </c>
      <c r="V447" s="1015"/>
      <c r="W447" s="1015"/>
      <c r="X447" s="1015"/>
      <c r="Y447" s="1015">
        <v>2.5</v>
      </c>
      <c r="Z447" s="1016">
        <f>'09월 에너지'!S449</f>
        <v>143.69999999999999</v>
      </c>
      <c r="AA447" s="1017"/>
      <c r="AB447" s="1208"/>
      <c r="AC447" s="1208"/>
      <c r="AD447" s="1208"/>
      <c r="AE447" s="1208"/>
      <c r="AF447" s="1208"/>
      <c r="AG447" s="1018">
        <f>'09월 화학성분'!AM447</f>
        <v>1135</v>
      </c>
      <c r="AH447" s="1006">
        <f t="shared" si="90"/>
        <v>31</v>
      </c>
      <c r="AI447" s="1019">
        <v>1572</v>
      </c>
      <c r="AJ447" s="1020">
        <v>0</v>
      </c>
      <c r="AK447" s="1021">
        <v>373</v>
      </c>
      <c r="AL447" s="1022">
        <v>12</v>
      </c>
      <c r="AM447" s="1155">
        <f>IF(AT447="","",3*'09월 에너지'!S449*(1/(3+7.8*(100-AT447)/AT447)))</f>
        <v>0.3328443483631871</v>
      </c>
      <c r="AN447" s="1023">
        <v>0.16874999999999998</v>
      </c>
      <c r="AO447" s="1024"/>
      <c r="AP447" s="1025"/>
      <c r="AQ447" s="1025"/>
      <c r="AR447" s="1149">
        <f t="shared" si="91"/>
        <v>4</v>
      </c>
      <c r="AS447" s="1093" t="str">
        <f t="shared" si="101"/>
        <v xml:space="preserve"> </v>
      </c>
      <c r="AT447" s="1156">
        <v>0.6</v>
      </c>
      <c r="AU447" s="449"/>
      <c r="AV447" s="1205"/>
    </row>
    <row r="448" spans="1:48" ht="16.5" customHeight="1">
      <c r="A448" s="1005">
        <f t="shared" si="92"/>
        <v>46282</v>
      </c>
      <c r="B448" s="1005">
        <v>46282</v>
      </c>
      <c r="C448" s="1150">
        <f t="shared" si="94"/>
        <v>5</v>
      </c>
      <c r="D448" s="1150">
        <f t="shared" si="95"/>
        <v>437</v>
      </c>
      <c r="E448" s="1006" t="s">
        <v>558</v>
      </c>
      <c r="F448" s="1007" t="str">
        <f t="shared" si="89"/>
        <v>B</v>
      </c>
      <c r="G448" s="1008">
        <f t="shared" si="97"/>
        <v>85650</v>
      </c>
      <c r="H448" s="1138">
        <f t="shared" si="98"/>
        <v>0.28888888888888892</v>
      </c>
      <c r="I448" s="1009">
        <v>0.29166666666666669</v>
      </c>
      <c r="J448" s="1010">
        <f t="shared" si="99"/>
        <v>51.999999999999972</v>
      </c>
      <c r="K448" s="1011"/>
      <c r="L448" s="1012"/>
      <c r="M448" s="1013"/>
      <c r="N448" s="1014" t="str">
        <f t="shared" si="100"/>
        <v/>
      </c>
      <c r="O448" s="1323" t="s">
        <v>860</v>
      </c>
      <c r="P448" s="1324"/>
      <c r="Q448" s="1324"/>
      <c r="R448" s="1324"/>
      <c r="S448" s="1324"/>
      <c r="T448" s="1325"/>
      <c r="U448" s="1015">
        <v>2</v>
      </c>
      <c r="V448" s="1015"/>
      <c r="W448" s="1015"/>
      <c r="X448" s="1015"/>
      <c r="Y448" s="1015">
        <v>2.7</v>
      </c>
      <c r="Z448" s="1016">
        <f>'09월 에너지'!S450</f>
        <v>144.19999999999999</v>
      </c>
      <c r="AA448" s="1017"/>
      <c r="AB448" s="1208"/>
      <c r="AC448" s="1208"/>
      <c r="AD448" s="1208"/>
      <c r="AE448" s="1208"/>
      <c r="AF448" s="1208"/>
      <c r="AG448" s="1018">
        <f>'09월 화학성분'!AM448</f>
        <v>737</v>
      </c>
      <c r="AH448" s="1006">
        <f t="shared" si="90"/>
        <v>32</v>
      </c>
      <c r="AI448" s="1019">
        <v>1521</v>
      </c>
      <c r="AJ448" s="1020">
        <v>0</v>
      </c>
      <c r="AK448" s="1021" t="s">
        <v>563</v>
      </c>
      <c r="AL448" s="1022" t="s">
        <v>552</v>
      </c>
      <c r="AM448" s="1155">
        <f>IF(AT448="","",3*'09월 에너지'!S450*(1/(3+7.8*(100-AT448)/AT448)))</f>
        <v>0.33400247066090177</v>
      </c>
      <c r="AN448" s="1023">
        <v>0.35416666666666669</v>
      </c>
      <c r="AO448" s="1024"/>
      <c r="AP448" s="1025"/>
      <c r="AQ448" s="1025"/>
      <c r="AR448" s="1149" t="str">
        <f t="shared" si="91"/>
        <v/>
      </c>
      <c r="AS448" s="1093">
        <f t="shared" si="101"/>
        <v>11</v>
      </c>
      <c r="AT448" s="1156">
        <v>0.6</v>
      </c>
      <c r="AU448" s="449"/>
      <c r="AV448" s="1205"/>
    </row>
    <row r="449" spans="1:48" ht="16.5" customHeight="1">
      <c r="A449" s="1005">
        <f t="shared" si="92"/>
        <v>46282</v>
      </c>
      <c r="B449" s="1005">
        <f t="shared" si="93"/>
        <v>46282</v>
      </c>
      <c r="C449" s="1150">
        <f t="shared" si="94"/>
        <v>6</v>
      </c>
      <c r="D449" s="1150">
        <f t="shared" si="95"/>
        <v>438</v>
      </c>
      <c r="E449" s="1006" t="str">
        <f t="shared" si="96"/>
        <v>D</v>
      </c>
      <c r="F449" s="1007" t="str">
        <f t="shared" si="89"/>
        <v>A</v>
      </c>
      <c r="G449" s="1008">
        <f t="shared" si="97"/>
        <v>85651</v>
      </c>
      <c r="H449" s="1138">
        <f t="shared" si="98"/>
        <v>0.32500000000000001</v>
      </c>
      <c r="I449" s="1009">
        <v>0.32083333333333336</v>
      </c>
      <c r="J449" s="1010">
        <f t="shared" si="99"/>
        <v>42.000000000000014</v>
      </c>
      <c r="K449" s="1011"/>
      <c r="L449" s="1012"/>
      <c r="M449" s="1013"/>
      <c r="N449" s="1014" t="str">
        <f t="shared" si="100"/>
        <v/>
      </c>
      <c r="O449" s="1323"/>
      <c r="P449" s="1324"/>
      <c r="Q449" s="1324"/>
      <c r="R449" s="1324"/>
      <c r="S449" s="1324"/>
      <c r="T449" s="1325"/>
      <c r="U449" s="1015">
        <v>2</v>
      </c>
      <c r="V449" s="1015"/>
      <c r="W449" s="1015"/>
      <c r="X449" s="1015">
        <v>3.6</v>
      </c>
      <c r="Y449" s="1015"/>
      <c r="Z449" s="1016">
        <f>'09월 에너지'!S451</f>
        <v>144.9</v>
      </c>
      <c r="AA449" s="1017"/>
      <c r="AB449" s="1208"/>
      <c r="AC449" s="1208"/>
      <c r="AD449" s="1208"/>
      <c r="AE449" s="1208"/>
      <c r="AF449" s="1208"/>
      <c r="AG449" s="1018">
        <f>'09월 화학성분'!AM449</f>
        <v>964</v>
      </c>
      <c r="AH449" s="1006">
        <f t="shared" si="90"/>
        <v>33</v>
      </c>
      <c r="AI449" s="1019">
        <v>1583</v>
      </c>
      <c r="AJ449" s="1020">
        <v>64</v>
      </c>
      <c r="AK449" s="1021">
        <v>719</v>
      </c>
      <c r="AL449" s="1022">
        <v>5</v>
      </c>
      <c r="AM449" s="1155">
        <f>IF(AT449="","",3*'09월 에너지'!S451*(1/(3+7.8*(100-AT449)/AT449)))</f>
        <v>0.84375000000000022</v>
      </c>
      <c r="AN449" s="1023">
        <v>0.34930555555555554</v>
      </c>
      <c r="AO449" s="1024"/>
      <c r="AP449" s="1025"/>
      <c r="AQ449" s="1025"/>
      <c r="AR449" s="1149">
        <f t="shared" si="91"/>
        <v>5</v>
      </c>
      <c r="AS449" s="1093" t="str">
        <f t="shared" si="101"/>
        <v xml:space="preserve"> </v>
      </c>
      <c r="AT449" s="1156">
        <v>1.5</v>
      </c>
      <c r="AU449" s="449"/>
      <c r="AV449" s="1205"/>
    </row>
    <row r="450" spans="1:48" ht="16.5" customHeight="1">
      <c r="A450" s="1005">
        <f t="shared" si="92"/>
        <v>46282</v>
      </c>
      <c r="B450" s="1005">
        <f t="shared" si="93"/>
        <v>46282</v>
      </c>
      <c r="C450" s="1150">
        <f t="shared" si="94"/>
        <v>7</v>
      </c>
      <c r="D450" s="1150">
        <f t="shared" si="95"/>
        <v>439</v>
      </c>
      <c r="E450" s="1006" t="str">
        <f t="shared" si="96"/>
        <v>D</v>
      </c>
      <c r="F450" s="1007" t="str">
        <f t="shared" si="89"/>
        <v>B</v>
      </c>
      <c r="G450" s="1008">
        <f t="shared" si="97"/>
        <v>85652</v>
      </c>
      <c r="H450" s="1138">
        <f t="shared" si="98"/>
        <v>0.35416666666666669</v>
      </c>
      <c r="I450" s="1009">
        <v>0.35347222222222219</v>
      </c>
      <c r="J450" s="1010">
        <f t="shared" si="99"/>
        <v>46.999999999999915</v>
      </c>
      <c r="K450" s="1011"/>
      <c r="L450" s="1012"/>
      <c r="M450" s="1013"/>
      <c r="N450" s="1014" t="str">
        <f t="shared" si="100"/>
        <v/>
      </c>
      <c r="O450" s="1323" t="s">
        <v>861</v>
      </c>
      <c r="P450" s="1324"/>
      <c r="Q450" s="1324"/>
      <c r="R450" s="1324"/>
      <c r="S450" s="1324"/>
      <c r="T450" s="1325"/>
      <c r="U450" s="1015">
        <v>2</v>
      </c>
      <c r="V450" s="1015"/>
      <c r="W450" s="1015"/>
      <c r="X450" s="1015"/>
      <c r="Y450" s="1015">
        <v>2.8</v>
      </c>
      <c r="Z450" s="1016">
        <f>'09월 에너지'!S452</f>
        <v>143.19999999999999</v>
      </c>
      <c r="AA450" s="1017"/>
      <c r="AB450" s="1208"/>
      <c r="AC450" s="1208"/>
      <c r="AD450" s="1208"/>
      <c r="AE450" s="1208"/>
      <c r="AF450" s="1208"/>
      <c r="AG450" s="1018">
        <f>'09월 화학성분'!AM450</f>
        <v>868</v>
      </c>
      <c r="AH450" s="1006">
        <f t="shared" si="90"/>
        <v>34</v>
      </c>
      <c r="AI450" s="1019">
        <v>1579</v>
      </c>
      <c r="AJ450" s="1020">
        <v>103</v>
      </c>
      <c r="AK450" s="1021">
        <v>749</v>
      </c>
      <c r="AL450" s="1022">
        <v>5</v>
      </c>
      <c r="AM450" s="1155">
        <f>IF(AT450="","",3*'09월 에너지'!S452*(1/(3+7.8*(100-AT450)/AT450)))</f>
        <v>0.66584004959702403</v>
      </c>
      <c r="AN450" s="1023">
        <v>0.34513888888888888</v>
      </c>
      <c r="AO450" s="1024"/>
      <c r="AP450" s="1025"/>
      <c r="AQ450" s="1025"/>
      <c r="AR450" s="1149" t="str">
        <f t="shared" si="91"/>
        <v/>
      </c>
      <c r="AS450" s="1093">
        <f t="shared" si="101"/>
        <v>12</v>
      </c>
      <c r="AT450" s="1156">
        <v>1.2</v>
      </c>
      <c r="AU450" s="449"/>
      <c r="AV450" s="1205"/>
    </row>
    <row r="451" spans="1:48" ht="16.5" customHeight="1">
      <c r="A451" s="1005">
        <f t="shared" si="92"/>
        <v>46282</v>
      </c>
      <c r="B451" s="1005">
        <f t="shared" si="93"/>
        <v>46282</v>
      </c>
      <c r="C451" s="1150">
        <f t="shared" si="94"/>
        <v>8</v>
      </c>
      <c r="D451" s="1150">
        <f t="shared" si="95"/>
        <v>440</v>
      </c>
      <c r="E451" s="1006" t="str">
        <f t="shared" si="96"/>
        <v>D</v>
      </c>
      <c r="F451" s="1007" t="str">
        <f t="shared" si="89"/>
        <v>A</v>
      </c>
      <c r="G451" s="1008">
        <f t="shared" si="97"/>
        <v>85653</v>
      </c>
      <c r="H451" s="1138">
        <f t="shared" si="98"/>
        <v>0.38680555555555551</v>
      </c>
      <c r="I451" s="1009">
        <v>0.3833333333333333</v>
      </c>
      <c r="J451" s="1010">
        <f t="shared" si="99"/>
        <v>43.000000000000007</v>
      </c>
      <c r="K451" s="1011"/>
      <c r="L451" s="1012"/>
      <c r="M451" s="1013"/>
      <c r="N451" s="1014" t="str">
        <f t="shared" si="100"/>
        <v/>
      </c>
      <c r="O451" s="1323"/>
      <c r="P451" s="1324"/>
      <c r="Q451" s="1324"/>
      <c r="R451" s="1324"/>
      <c r="S451" s="1324"/>
      <c r="T451" s="1325"/>
      <c r="U451" s="1015">
        <v>2</v>
      </c>
      <c r="V451" s="1015"/>
      <c r="W451" s="1015"/>
      <c r="X451" s="1015"/>
      <c r="Y451" s="1015">
        <v>2.7</v>
      </c>
      <c r="Z451" s="1016">
        <f>'09월 에너지'!S453</f>
        <v>144.1</v>
      </c>
      <c r="AA451" s="1017"/>
      <c r="AB451" s="1208"/>
      <c r="AC451" s="1208"/>
      <c r="AD451" s="1208"/>
      <c r="AE451" s="1208"/>
      <c r="AF451" s="1208"/>
      <c r="AG451" s="1018">
        <f>'09월 화학성분'!AM451</f>
        <v>1264</v>
      </c>
      <c r="AH451" s="1006">
        <f t="shared" si="90"/>
        <v>35</v>
      </c>
      <c r="AI451" s="1019">
        <v>1576</v>
      </c>
      <c r="AJ451" s="1020">
        <v>23</v>
      </c>
      <c r="AK451" s="1021">
        <v>489</v>
      </c>
      <c r="AL451" s="1022">
        <v>9</v>
      </c>
      <c r="AM451" s="1155">
        <f>IF(AT451="","",3*'09월 에너지'!S453*(1/(3+7.8*(100-AT451)/AT451)))</f>
        <v>0.22223935842072798</v>
      </c>
      <c r="AN451" s="1023">
        <v>0.19722222222222222</v>
      </c>
      <c r="AO451" s="1024"/>
      <c r="AP451" s="1025"/>
      <c r="AQ451" s="1025"/>
      <c r="AR451" s="1149">
        <f t="shared" si="91"/>
        <v>6</v>
      </c>
      <c r="AS451" s="1093" t="str">
        <f t="shared" si="101"/>
        <v xml:space="preserve"> </v>
      </c>
      <c r="AT451" s="1156">
        <v>0.4</v>
      </c>
      <c r="AU451" s="449"/>
      <c r="AV451" s="1205"/>
    </row>
    <row r="452" spans="1:48" ht="17.25" customHeight="1">
      <c r="A452" s="1005">
        <f t="shared" si="92"/>
        <v>46282</v>
      </c>
      <c r="B452" s="1005">
        <f t="shared" si="93"/>
        <v>46282</v>
      </c>
      <c r="C452" s="1150">
        <f t="shared" si="94"/>
        <v>9</v>
      </c>
      <c r="D452" s="1150">
        <f t="shared" si="95"/>
        <v>441</v>
      </c>
      <c r="E452" s="1006" t="str">
        <f t="shared" si="96"/>
        <v>D</v>
      </c>
      <c r="F452" s="1007" t="str">
        <f t="shared" si="89"/>
        <v>B</v>
      </c>
      <c r="G452" s="1008">
        <f t="shared" si="97"/>
        <v>85654</v>
      </c>
      <c r="H452" s="1138">
        <f t="shared" si="98"/>
        <v>0.41666666666666663</v>
      </c>
      <c r="I452" s="1009">
        <v>0.41875000000000001</v>
      </c>
      <c r="J452" s="1010">
        <f t="shared" si="99"/>
        <v>51.000000000000057</v>
      </c>
      <c r="K452" s="1011"/>
      <c r="L452" s="1012"/>
      <c r="M452" s="1013"/>
      <c r="N452" s="1014" t="str">
        <f t="shared" si="100"/>
        <v/>
      </c>
      <c r="O452" s="1323" t="s">
        <v>862</v>
      </c>
      <c r="P452" s="1324"/>
      <c r="Q452" s="1324"/>
      <c r="R452" s="1324"/>
      <c r="S452" s="1324"/>
      <c r="T452" s="1325"/>
      <c r="U452" s="1015">
        <v>2</v>
      </c>
      <c r="V452" s="1015"/>
      <c r="W452" s="1015"/>
      <c r="X452" s="1015"/>
      <c r="Y452" s="1015">
        <v>2.9</v>
      </c>
      <c r="Z452" s="1016">
        <f>'09월 에너지'!S454</f>
        <v>141.5</v>
      </c>
      <c r="AA452" s="1017">
        <v>2623</v>
      </c>
      <c r="AB452" s="1208" t="s">
        <v>863</v>
      </c>
      <c r="AC452" s="1208" t="s">
        <v>548</v>
      </c>
      <c r="AD452" s="1208" t="s">
        <v>532</v>
      </c>
      <c r="AE452" s="1208"/>
      <c r="AF452" s="1208" t="s">
        <v>548</v>
      </c>
      <c r="AG452" s="1018">
        <f>'09월 화학성분'!AM452</f>
        <v>1029</v>
      </c>
      <c r="AH452" s="1006">
        <f t="shared" si="90"/>
        <v>36</v>
      </c>
      <c r="AI452" s="1019">
        <v>1575</v>
      </c>
      <c r="AJ452" s="1020">
        <v>0</v>
      </c>
      <c r="AK452" s="1021">
        <v>752</v>
      </c>
      <c r="AL452" s="1022">
        <v>5</v>
      </c>
      <c r="AM452" s="1155">
        <f>IF(AT452="","",3*'09월 에너지'!S454*(1/(3+7.8*(100-AT452)/AT452)))</f>
        <v>1.2137398627573301</v>
      </c>
      <c r="AN452" s="1023">
        <v>0.17152777777777775</v>
      </c>
      <c r="AO452" s="1024"/>
      <c r="AP452" s="1025"/>
      <c r="AQ452" s="1025"/>
      <c r="AR452" s="1149" t="str">
        <f t="shared" si="91"/>
        <v/>
      </c>
      <c r="AS452" s="1093">
        <f t="shared" si="101"/>
        <v>13</v>
      </c>
      <c r="AT452" s="1156">
        <v>2.2000000000000002</v>
      </c>
      <c r="AU452" s="449"/>
      <c r="AV452" s="1205"/>
    </row>
    <row r="453" spans="1:48" ht="16.5" customHeight="1">
      <c r="A453" s="1005">
        <f t="shared" si="92"/>
        <v>46282</v>
      </c>
      <c r="B453" s="1005">
        <f t="shared" si="93"/>
        <v>46282</v>
      </c>
      <c r="C453" s="1150">
        <f t="shared" si="94"/>
        <v>10</v>
      </c>
      <c r="D453" s="1150">
        <f t="shared" si="95"/>
        <v>442</v>
      </c>
      <c r="E453" s="1006" t="str">
        <f t="shared" si="96"/>
        <v>D</v>
      </c>
      <c r="F453" s="1007" t="str">
        <f t="shared" si="89"/>
        <v>A</v>
      </c>
      <c r="G453" s="1008">
        <f t="shared" si="97"/>
        <v>85655</v>
      </c>
      <c r="H453" s="1138">
        <f t="shared" si="98"/>
        <v>0.45208333333333334</v>
      </c>
      <c r="I453" s="1009">
        <v>0.45277777777777778</v>
      </c>
      <c r="J453" s="1010">
        <f t="shared" si="99"/>
        <v>48.999999999999986</v>
      </c>
      <c r="K453" s="1011"/>
      <c r="L453" s="1012"/>
      <c r="M453" s="1013"/>
      <c r="N453" s="1014" t="str">
        <f t="shared" si="100"/>
        <v/>
      </c>
      <c r="O453" s="1323" t="s">
        <v>862</v>
      </c>
      <c r="P453" s="1324"/>
      <c r="Q453" s="1324"/>
      <c r="R453" s="1324"/>
      <c r="S453" s="1324"/>
      <c r="T453" s="1325"/>
      <c r="U453" s="1015">
        <v>2</v>
      </c>
      <c r="V453" s="1015"/>
      <c r="W453" s="1015"/>
      <c r="X453" s="1015"/>
      <c r="Y453" s="1015">
        <v>2.8</v>
      </c>
      <c r="Z453" s="1016">
        <f>'09월 에너지'!S455</f>
        <v>143.19999999999999</v>
      </c>
      <c r="AA453" s="1017">
        <v>800</v>
      </c>
      <c r="AB453" s="1208" t="s">
        <v>573</v>
      </c>
      <c r="AC453" s="1208"/>
      <c r="AD453" s="1208" t="s">
        <v>532</v>
      </c>
      <c r="AE453" s="1208"/>
      <c r="AF453" s="1208"/>
      <c r="AG453" s="1018">
        <f>'09월 화학성분'!AM453</f>
        <v>1705</v>
      </c>
      <c r="AH453" s="1006">
        <f t="shared" si="90"/>
        <v>37</v>
      </c>
      <c r="AI453" s="1019">
        <v>1575</v>
      </c>
      <c r="AJ453" s="1020">
        <v>0</v>
      </c>
      <c r="AK453" s="1021">
        <v>916</v>
      </c>
      <c r="AL453" s="1022">
        <v>4</v>
      </c>
      <c r="AM453" s="1155">
        <f>IF(AT453="","",3*'09월 에너지'!S455*(1/(3+7.8*(100-AT453)/AT453)))</f>
        <v>0.22085132634176438</v>
      </c>
      <c r="AN453" s="1023">
        <v>0.18819444444444444</v>
      </c>
      <c r="AO453" s="1024"/>
      <c r="AP453" s="1025"/>
      <c r="AQ453" s="1025"/>
      <c r="AR453" s="1149">
        <f t="shared" si="91"/>
        <v>7</v>
      </c>
      <c r="AS453" s="1093" t="str">
        <f t="shared" si="101"/>
        <v xml:space="preserve"> </v>
      </c>
      <c r="AT453" s="1156">
        <v>0.4</v>
      </c>
      <c r="AU453" s="449"/>
      <c r="AV453" s="1205"/>
    </row>
    <row r="454" spans="1:48" ht="16.5" customHeight="1">
      <c r="A454" s="1005">
        <f t="shared" si="92"/>
        <v>46282</v>
      </c>
      <c r="B454" s="1005">
        <f t="shared" si="93"/>
        <v>46282</v>
      </c>
      <c r="C454" s="1150">
        <f t="shared" si="94"/>
        <v>11</v>
      </c>
      <c r="D454" s="1150">
        <f t="shared" si="95"/>
        <v>443</v>
      </c>
      <c r="E454" s="1006" t="str">
        <f t="shared" si="96"/>
        <v>D</v>
      </c>
      <c r="F454" s="1007" t="str">
        <f t="shared" si="89"/>
        <v>B</v>
      </c>
      <c r="G454" s="1008">
        <f t="shared" si="97"/>
        <v>85656</v>
      </c>
      <c r="H454" s="1138">
        <f t="shared" si="98"/>
        <v>0.4861111111111111</v>
      </c>
      <c r="I454" s="1009">
        <v>0.48333333333333334</v>
      </c>
      <c r="J454" s="1010">
        <f t="shared" si="99"/>
        <v>44</v>
      </c>
      <c r="K454" s="1011"/>
      <c r="L454" s="1012"/>
      <c r="M454" s="1013"/>
      <c r="N454" s="1014" t="str">
        <f t="shared" si="100"/>
        <v/>
      </c>
      <c r="O454" s="1323" t="s">
        <v>864</v>
      </c>
      <c r="P454" s="1324"/>
      <c r="Q454" s="1324"/>
      <c r="R454" s="1324"/>
      <c r="S454" s="1324"/>
      <c r="T454" s="1325"/>
      <c r="U454" s="1015">
        <v>2</v>
      </c>
      <c r="V454" s="1015"/>
      <c r="W454" s="1015"/>
      <c r="X454" s="1015"/>
      <c r="Y454" s="1015">
        <v>2.7</v>
      </c>
      <c r="Z454" s="1016">
        <f>'09월 에너지'!S456</f>
        <v>141.1</v>
      </c>
      <c r="AA454" s="1017"/>
      <c r="AB454" s="1208"/>
      <c r="AC454" s="1208"/>
      <c r="AD454" s="1208"/>
      <c r="AE454" s="1208"/>
      <c r="AF454" s="1208"/>
      <c r="AG454" s="1018">
        <f>'09월 화학성분'!AM454</f>
        <v>1162</v>
      </c>
      <c r="AH454" s="1006">
        <f t="shared" si="90"/>
        <v>38</v>
      </c>
      <c r="AI454" s="1019">
        <v>1560</v>
      </c>
      <c r="AJ454" s="1020">
        <v>0</v>
      </c>
      <c r="AK454" s="1021">
        <v>624</v>
      </c>
      <c r="AL454" s="1022">
        <v>6</v>
      </c>
      <c r="AM454" s="1155">
        <f>IF(AT454="","",3*'09월 에너지'!S456*(1/(3+7.8*(100-AT454)/AT454)))</f>
        <v>0.82162267080745344</v>
      </c>
      <c r="AN454" s="1023">
        <v>0.21527777777777779</v>
      </c>
      <c r="AO454" s="1024"/>
      <c r="AP454" s="1025"/>
      <c r="AQ454" s="1025"/>
      <c r="AR454" s="1149" t="str">
        <f t="shared" si="91"/>
        <v/>
      </c>
      <c r="AS454" s="1093">
        <f t="shared" si="101"/>
        <v>14</v>
      </c>
      <c r="AT454" s="1156">
        <v>1.5</v>
      </c>
      <c r="AU454" s="449"/>
      <c r="AV454" s="1205"/>
    </row>
    <row r="455" spans="1:48" ht="16.5" customHeight="1">
      <c r="A455" s="1005">
        <f t="shared" si="92"/>
        <v>46282</v>
      </c>
      <c r="B455" s="1005">
        <f t="shared" si="93"/>
        <v>46282</v>
      </c>
      <c r="C455" s="1150">
        <f t="shared" si="94"/>
        <v>12</v>
      </c>
      <c r="D455" s="1150">
        <f t="shared" si="95"/>
        <v>444</v>
      </c>
      <c r="E455" s="1006" t="str">
        <f t="shared" si="96"/>
        <v>D</v>
      </c>
      <c r="F455" s="1007" t="str">
        <f t="shared" si="89"/>
        <v>A</v>
      </c>
      <c r="G455" s="1008">
        <f t="shared" si="97"/>
        <v>85657</v>
      </c>
      <c r="H455" s="1138">
        <f t="shared" si="98"/>
        <v>0.51666666666666672</v>
      </c>
      <c r="I455" s="1009">
        <v>0.51458333333333328</v>
      </c>
      <c r="J455" s="1010">
        <f t="shared" si="99"/>
        <v>44.999999999999922</v>
      </c>
      <c r="K455" s="1011"/>
      <c r="L455" s="1012"/>
      <c r="M455" s="1013"/>
      <c r="N455" s="1014" t="str">
        <f t="shared" si="100"/>
        <v/>
      </c>
      <c r="O455" s="1323"/>
      <c r="P455" s="1324"/>
      <c r="Q455" s="1324"/>
      <c r="R455" s="1324"/>
      <c r="S455" s="1324"/>
      <c r="T455" s="1325"/>
      <c r="U455" s="1015">
        <v>2</v>
      </c>
      <c r="V455" s="1015">
        <v>2.6</v>
      </c>
      <c r="W455" s="1015">
        <v>1.9</v>
      </c>
      <c r="X455" s="1015"/>
      <c r="Y455" s="1015"/>
      <c r="Z455" s="1016">
        <f>'09월 에너지'!S457</f>
        <v>142.69999999999999</v>
      </c>
      <c r="AA455" s="1017"/>
      <c r="AB455" s="1208"/>
      <c r="AC455" s="1208"/>
      <c r="AD455" s="1208"/>
      <c r="AE455" s="1208"/>
      <c r="AF455" s="1208"/>
      <c r="AG455" s="1018">
        <f>'09월 화학성분'!AM455</f>
        <v>2261</v>
      </c>
      <c r="AH455" s="1006">
        <f t="shared" si="90"/>
        <v>39</v>
      </c>
      <c r="AI455" s="1019">
        <v>1600</v>
      </c>
      <c r="AJ455" s="1020">
        <v>0</v>
      </c>
      <c r="AK455" s="1021">
        <v>770</v>
      </c>
      <c r="AL455" s="1022">
        <v>5</v>
      </c>
      <c r="AM455" s="1155">
        <f>IF(AT455="","",3*'09월 에너지'!S457*(1/(3+7.8*(100-AT455)/AT455)))</f>
        <v>0.27527006172839502</v>
      </c>
      <c r="AN455" s="1023">
        <v>0.17708333333333334</v>
      </c>
      <c r="AO455" s="1024"/>
      <c r="AP455" s="1025"/>
      <c r="AQ455" s="1025"/>
      <c r="AR455" s="1149">
        <f t="shared" si="91"/>
        <v>8</v>
      </c>
      <c r="AS455" s="1093" t="str">
        <f t="shared" si="101"/>
        <v xml:space="preserve"> </v>
      </c>
      <c r="AT455" s="1156">
        <v>0.5</v>
      </c>
      <c r="AU455" s="449"/>
      <c r="AV455" s="1205"/>
    </row>
    <row r="456" spans="1:48" ht="16.5" customHeight="1">
      <c r="A456" s="1005">
        <f t="shared" si="92"/>
        <v>46282</v>
      </c>
      <c r="B456" s="1005">
        <f t="shared" si="93"/>
        <v>46282</v>
      </c>
      <c r="C456" s="1150">
        <f t="shared" si="94"/>
        <v>13</v>
      </c>
      <c r="D456" s="1150">
        <f t="shared" si="95"/>
        <v>445</v>
      </c>
      <c r="E456" s="1006" t="str">
        <f t="shared" si="96"/>
        <v>D</v>
      </c>
      <c r="F456" s="1007" t="str">
        <f t="shared" si="89"/>
        <v>B</v>
      </c>
      <c r="G456" s="1008">
        <f t="shared" si="97"/>
        <v>85658</v>
      </c>
      <c r="H456" s="1138">
        <f t="shared" si="98"/>
        <v>0.54791666666666661</v>
      </c>
      <c r="I456" s="1009">
        <v>0.5493055555555556</v>
      </c>
      <c r="J456" s="1010">
        <f t="shared" si="99"/>
        <v>50.000000000000142</v>
      </c>
      <c r="K456" s="1011">
        <v>2</v>
      </c>
      <c r="L456" s="1012"/>
      <c r="M456" s="1013">
        <v>0.52847222222222223</v>
      </c>
      <c r="N456" s="1014">
        <f t="shared" si="100"/>
        <v>0.52986111111111112</v>
      </c>
      <c r="O456" s="1323" t="s">
        <v>868</v>
      </c>
      <c r="P456" s="1324"/>
      <c r="Q456" s="1324"/>
      <c r="R456" s="1324"/>
      <c r="S456" s="1324"/>
      <c r="T456" s="1325"/>
      <c r="U456" s="1015">
        <v>2</v>
      </c>
      <c r="V456" s="1015"/>
      <c r="W456" s="1015"/>
      <c r="X456" s="1015"/>
      <c r="Y456" s="1015">
        <v>2.6</v>
      </c>
      <c r="Z456" s="1016">
        <f>'09월 에너지'!S458</f>
        <v>143.9</v>
      </c>
      <c r="AA456" s="1017"/>
      <c r="AB456" s="1208"/>
      <c r="AC456" s="1208"/>
      <c r="AD456" s="1208"/>
      <c r="AE456" s="1208"/>
      <c r="AF456" s="1208"/>
      <c r="AG456" s="1018">
        <f>'09월 화학성분'!AM456</f>
        <v>1008</v>
      </c>
      <c r="AH456" s="1006">
        <f t="shared" si="90"/>
        <v>40</v>
      </c>
      <c r="AI456" s="1019">
        <v>1565</v>
      </c>
      <c r="AJ456" s="1020">
        <v>0</v>
      </c>
      <c r="AK456" s="1021">
        <v>438</v>
      </c>
      <c r="AL456" s="1022">
        <v>9</v>
      </c>
      <c r="AM456" s="1155">
        <f>IF(AT456="","",3*'09월 에너지'!S458*(1/(3+7.8*(100-AT456)/AT456)))</f>
        <v>0.66909485430874149</v>
      </c>
      <c r="AN456" s="1023">
        <v>0.3263888888888889</v>
      </c>
      <c r="AO456" s="1024"/>
      <c r="AP456" s="1025"/>
      <c r="AQ456" s="1025"/>
      <c r="AR456" s="1149" t="str">
        <f t="shared" si="91"/>
        <v/>
      </c>
      <c r="AS456" s="1093">
        <f t="shared" si="101"/>
        <v>15</v>
      </c>
      <c r="AT456" s="1156">
        <v>1.2</v>
      </c>
      <c r="AU456" s="449"/>
      <c r="AV456" s="1205"/>
    </row>
    <row r="457" spans="1:48" ht="16.5" customHeight="1">
      <c r="A457" s="1005">
        <f t="shared" si="92"/>
        <v>46282</v>
      </c>
      <c r="B457" s="1005">
        <f t="shared" si="93"/>
        <v>46282</v>
      </c>
      <c r="C457" s="1150">
        <f t="shared" si="94"/>
        <v>14</v>
      </c>
      <c r="D457" s="1150">
        <f t="shared" si="95"/>
        <v>446</v>
      </c>
      <c r="E457" s="1006" t="str">
        <f t="shared" si="96"/>
        <v>D</v>
      </c>
      <c r="F457" s="1007" t="str">
        <f t="shared" si="89"/>
        <v>A</v>
      </c>
      <c r="G457" s="1008">
        <f t="shared" si="97"/>
        <v>85659</v>
      </c>
      <c r="H457" s="1138">
        <f t="shared" si="98"/>
        <v>0.58263888888888893</v>
      </c>
      <c r="I457" s="1009">
        <v>0.58472222222222225</v>
      </c>
      <c r="J457" s="1010">
        <f t="shared" si="99"/>
        <v>50.999999999999979</v>
      </c>
      <c r="K457" s="1011"/>
      <c r="L457" s="1012">
        <v>2</v>
      </c>
      <c r="M457" s="1013"/>
      <c r="N457" s="1014" t="str">
        <f t="shared" si="100"/>
        <v/>
      </c>
      <c r="O457" s="1323" t="s">
        <v>867</v>
      </c>
      <c r="P457" s="1324"/>
      <c r="Q457" s="1324"/>
      <c r="R457" s="1324"/>
      <c r="S457" s="1324"/>
      <c r="T457" s="1325"/>
      <c r="U457" s="1015">
        <v>2</v>
      </c>
      <c r="V457" s="1015"/>
      <c r="W457" s="1015"/>
      <c r="X457" s="1015"/>
      <c r="Y457" s="1015">
        <v>2.9</v>
      </c>
      <c r="Z457" s="1016">
        <f>'09월 에너지'!S459</f>
        <v>142.69999999999999</v>
      </c>
      <c r="AA457" s="1017"/>
      <c r="AB457" s="1208"/>
      <c r="AC457" s="1208"/>
      <c r="AD457" s="1208"/>
      <c r="AE457" s="1208"/>
      <c r="AF457" s="1208"/>
      <c r="AG457" s="1018">
        <f>'09월 화학성분'!AM457</f>
        <v>1773</v>
      </c>
      <c r="AH457" s="1006">
        <f t="shared" si="90"/>
        <v>41</v>
      </c>
      <c r="AI457" s="1019">
        <v>1539</v>
      </c>
      <c r="AJ457" s="1020">
        <v>69</v>
      </c>
      <c r="AK457" s="1021">
        <v>833</v>
      </c>
      <c r="AL457" s="1022">
        <v>4</v>
      </c>
      <c r="AM457" s="1155">
        <f>IF(AT457="","",3*'09월 에너지'!S459*(1/(3+7.8*(100-AT457)/AT457)))</f>
        <v>0.44124922696351265</v>
      </c>
      <c r="AN457" s="1023">
        <v>0.17152777777777775</v>
      </c>
      <c r="AO457" s="1024" t="s">
        <v>866</v>
      </c>
      <c r="AP457" s="1025">
        <v>2000107</v>
      </c>
      <c r="AQ457" s="1025">
        <v>2122</v>
      </c>
      <c r="AR457" s="1149">
        <v>1</v>
      </c>
      <c r="AS457" s="1093"/>
      <c r="AT457" s="1156">
        <v>0.8</v>
      </c>
      <c r="AU457" s="449"/>
      <c r="AV457" s="1205"/>
    </row>
    <row r="458" spans="1:48" ht="16.5" customHeight="1">
      <c r="A458" s="1005">
        <f t="shared" si="92"/>
        <v>46282</v>
      </c>
      <c r="B458" s="1005">
        <f t="shared" si="93"/>
        <v>46282</v>
      </c>
      <c r="C458" s="1150">
        <f t="shared" si="94"/>
        <v>15</v>
      </c>
      <c r="D458" s="1150">
        <f t="shared" si="95"/>
        <v>447</v>
      </c>
      <c r="E458" s="1006" t="s">
        <v>600</v>
      </c>
      <c r="F458" s="1007" t="str">
        <f t="shared" si="89"/>
        <v>B</v>
      </c>
      <c r="G458" s="1008">
        <f t="shared" si="97"/>
        <v>85660</v>
      </c>
      <c r="H458" s="1138">
        <f t="shared" si="98"/>
        <v>0.61805555555555558</v>
      </c>
      <c r="I458" s="1009">
        <v>0.62152777777777779</v>
      </c>
      <c r="J458" s="1010">
        <f t="shared" si="99"/>
        <v>52.999999999999972</v>
      </c>
      <c r="K458" s="1011">
        <v>2</v>
      </c>
      <c r="L458" s="1012"/>
      <c r="M458" s="1013">
        <v>0.59583333333333333</v>
      </c>
      <c r="N458" s="1014">
        <f t="shared" si="100"/>
        <v>0.59722222222222221</v>
      </c>
      <c r="O458" s="1323" t="s">
        <v>869</v>
      </c>
      <c r="P458" s="1324"/>
      <c r="Q458" s="1324"/>
      <c r="R458" s="1324"/>
      <c r="S458" s="1324"/>
      <c r="T458" s="1325"/>
      <c r="U458" s="1015">
        <v>2</v>
      </c>
      <c r="V458" s="1015"/>
      <c r="W458" s="1015"/>
      <c r="X458" s="1015"/>
      <c r="Y458" s="1015">
        <v>2.8</v>
      </c>
      <c r="Z458" s="1016">
        <f>'09월 에너지'!S460</f>
        <v>145.4</v>
      </c>
      <c r="AA458" s="1017"/>
      <c r="AB458" s="1208"/>
      <c r="AC458" s="1208"/>
      <c r="AD458" s="1208"/>
      <c r="AE458" s="1208"/>
      <c r="AF458" s="1208"/>
      <c r="AG458" s="1018">
        <f>'09월 화학성분'!AM458</f>
        <v>1980</v>
      </c>
      <c r="AH458" s="1006">
        <f t="shared" si="90"/>
        <v>42</v>
      </c>
      <c r="AI458" s="1019">
        <v>1567</v>
      </c>
      <c r="AJ458" s="1020">
        <v>0</v>
      </c>
      <c r="AK458" s="1021">
        <v>568</v>
      </c>
      <c r="AL458" s="1022">
        <v>7</v>
      </c>
      <c r="AM458" s="1155">
        <f>IF(AT458="","",3*'09월 에너지'!S460*(1/(3+7.8*(100-AT458)/AT458)))</f>
        <v>0.39315512978986406</v>
      </c>
      <c r="AN458" s="1023">
        <v>0.27777777777777779</v>
      </c>
      <c r="AO458" s="1024"/>
      <c r="AP458" s="1025"/>
      <c r="AQ458" s="1025"/>
      <c r="AR458" s="1149" t="str">
        <f t="shared" si="91"/>
        <v/>
      </c>
      <c r="AS458" s="1093">
        <v>16</v>
      </c>
      <c r="AT458" s="1156">
        <v>0.7</v>
      </c>
      <c r="AU458" s="449"/>
      <c r="AV458" s="1205"/>
    </row>
    <row r="459" spans="1:48" ht="16.5" customHeight="1">
      <c r="A459" s="1005">
        <f t="shared" si="92"/>
        <v>46282</v>
      </c>
      <c r="B459" s="1005">
        <f t="shared" si="93"/>
        <v>46282</v>
      </c>
      <c r="C459" s="1150">
        <f t="shared" si="94"/>
        <v>16</v>
      </c>
      <c r="D459" s="1150">
        <f t="shared" si="95"/>
        <v>448</v>
      </c>
      <c r="E459" s="1006" t="str">
        <f t="shared" si="96"/>
        <v>B</v>
      </c>
      <c r="F459" s="1007" t="str">
        <f t="shared" si="89"/>
        <v>A</v>
      </c>
      <c r="G459" s="1008">
        <f t="shared" si="97"/>
        <v>85661</v>
      </c>
      <c r="H459" s="1138">
        <f t="shared" si="98"/>
        <v>0.65486111111111112</v>
      </c>
      <c r="I459" s="1009">
        <v>0.65347222222222223</v>
      </c>
      <c r="J459" s="1010">
        <f t="shared" si="99"/>
        <v>46</v>
      </c>
      <c r="K459" s="1011"/>
      <c r="L459" s="1012"/>
      <c r="M459" s="1013"/>
      <c r="N459" s="1014" t="str">
        <f t="shared" si="100"/>
        <v/>
      </c>
      <c r="O459" s="1323" t="s">
        <v>862</v>
      </c>
      <c r="P459" s="1324"/>
      <c r="Q459" s="1324"/>
      <c r="R459" s="1324"/>
      <c r="S459" s="1324"/>
      <c r="T459" s="1325"/>
      <c r="U459" s="1015">
        <v>2</v>
      </c>
      <c r="V459" s="1015">
        <v>2.9</v>
      </c>
      <c r="W459" s="1015">
        <v>1.6</v>
      </c>
      <c r="X459" s="1015"/>
      <c r="Y459" s="1015"/>
      <c r="Z459" s="1016">
        <f>'09월 에너지'!S461</f>
        <v>147</v>
      </c>
      <c r="AA459" s="1017">
        <v>1188</v>
      </c>
      <c r="AB459" s="1208" t="s">
        <v>551</v>
      </c>
      <c r="AC459" s="1208"/>
      <c r="AD459" s="1208" t="s">
        <v>548</v>
      </c>
      <c r="AE459" s="1208"/>
      <c r="AF459" s="1208"/>
      <c r="AG459" s="1018">
        <f>'09월 화학성분'!AM459</f>
        <v>1951</v>
      </c>
      <c r="AH459" s="1006">
        <f t="shared" si="90"/>
        <v>43</v>
      </c>
      <c r="AI459" s="1019">
        <v>1569</v>
      </c>
      <c r="AJ459" s="1020">
        <v>42</v>
      </c>
      <c r="AK459" s="1021">
        <v>732</v>
      </c>
      <c r="AL459" s="1022">
        <v>5</v>
      </c>
      <c r="AM459" s="1155">
        <f>IF(AT459="","",3*'09월 에너지'!S461*(1/(3+7.8*(100-AT459)/AT459)))</f>
        <v>0.51168007425742579</v>
      </c>
      <c r="AN459" s="1023">
        <v>0.18263888888888891</v>
      </c>
      <c r="AO459" s="1024"/>
      <c r="AP459" s="1025"/>
      <c r="AQ459" s="1025"/>
      <c r="AR459" s="1149">
        <f t="shared" si="91"/>
        <v>2</v>
      </c>
      <c r="AS459" s="1093" t="str">
        <f t="shared" si="101"/>
        <v xml:space="preserve"> </v>
      </c>
      <c r="AT459" s="1156">
        <v>0.9</v>
      </c>
      <c r="AU459" s="449"/>
      <c r="AV459" s="1205"/>
    </row>
    <row r="460" spans="1:48" ht="16.5" customHeight="1">
      <c r="A460" s="1005">
        <f t="shared" si="92"/>
        <v>46282</v>
      </c>
      <c r="B460" s="1005">
        <f t="shared" si="93"/>
        <v>46282</v>
      </c>
      <c r="C460" s="1150">
        <f t="shared" si="94"/>
        <v>17</v>
      </c>
      <c r="D460" s="1150">
        <f t="shared" si="95"/>
        <v>449</v>
      </c>
      <c r="E460" s="1006" t="str">
        <f t="shared" si="96"/>
        <v>B</v>
      </c>
      <c r="F460" s="1007" t="str">
        <f t="shared" si="89"/>
        <v>B</v>
      </c>
      <c r="G460" s="1008">
        <f t="shared" si="97"/>
        <v>85662</v>
      </c>
      <c r="H460" s="1138">
        <f t="shared" si="98"/>
        <v>0.68680555555555556</v>
      </c>
      <c r="I460" s="1009">
        <v>0.69027777777777777</v>
      </c>
      <c r="J460" s="1010">
        <f t="shared" si="99"/>
        <v>52.999999999999972</v>
      </c>
      <c r="K460" s="1011"/>
      <c r="L460" s="1012"/>
      <c r="M460" s="1013"/>
      <c r="N460" s="1014" t="str">
        <f t="shared" si="100"/>
        <v/>
      </c>
      <c r="O460" s="1323" t="s">
        <v>870</v>
      </c>
      <c r="P460" s="1324"/>
      <c r="Q460" s="1324"/>
      <c r="R460" s="1324"/>
      <c r="S460" s="1324"/>
      <c r="T460" s="1325"/>
      <c r="U460" s="1015">
        <v>2</v>
      </c>
      <c r="V460" s="1015"/>
      <c r="W460" s="1015"/>
      <c r="X460" s="1015"/>
      <c r="Y460" s="1015">
        <v>2.5</v>
      </c>
      <c r="Z460" s="1016">
        <f>'09월 에너지'!S462</f>
        <v>146.5</v>
      </c>
      <c r="AA460" s="1017"/>
      <c r="AB460" s="1208"/>
      <c r="AC460" s="1208"/>
      <c r="AD460" s="1208"/>
      <c r="AE460" s="1208"/>
      <c r="AF460" s="1208"/>
      <c r="AG460" s="1018">
        <f>'09월 화학성분'!AM460</f>
        <v>1649</v>
      </c>
      <c r="AH460" s="1006">
        <f t="shared" si="90"/>
        <v>44</v>
      </c>
      <c r="AI460" s="1019">
        <v>1589</v>
      </c>
      <c r="AJ460" s="1020">
        <v>22</v>
      </c>
      <c r="AK460" s="1021" t="s">
        <v>599</v>
      </c>
      <c r="AL460" s="1022"/>
      <c r="AM460" s="1155">
        <f>IF(AT460="","",3*'09월 에너지'!S462*(1/(3+7.8*(100-AT460)/AT460)))</f>
        <v>0.68118412895226277</v>
      </c>
      <c r="AN460" s="1023">
        <v>0.27499999999999997</v>
      </c>
      <c r="AO460" s="1024"/>
      <c r="AP460" s="1025"/>
      <c r="AQ460" s="1025"/>
      <c r="AR460" s="1149" t="str">
        <f t="shared" si="91"/>
        <v/>
      </c>
      <c r="AS460" s="1093">
        <f t="shared" si="101"/>
        <v>17</v>
      </c>
      <c r="AT460" s="1156">
        <v>1.2</v>
      </c>
      <c r="AU460" s="449"/>
      <c r="AV460" s="1205"/>
    </row>
    <row r="461" spans="1:48" ht="16.5" customHeight="1">
      <c r="A461" s="1005">
        <f t="shared" si="92"/>
        <v>46282</v>
      </c>
      <c r="B461" s="1005">
        <f t="shared" si="93"/>
        <v>46282</v>
      </c>
      <c r="C461" s="1150">
        <f t="shared" si="94"/>
        <v>18</v>
      </c>
      <c r="D461" s="1150">
        <f t="shared" si="95"/>
        <v>450</v>
      </c>
      <c r="E461" s="1006" t="str">
        <f t="shared" si="96"/>
        <v>B</v>
      </c>
      <c r="F461" s="1007" t="str">
        <f t="shared" si="89"/>
        <v>A</v>
      </c>
      <c r="G461" s="1008">
        <f t="shared" si="97"/>
        <v>85663</v>
      </c>
      <c r="H461" s="1138">
        <f t="shared" si="98"/>
        <v>0.72361111111111109</v>
      </c>
      <c r="I461" s="1009">
        <v>0.72152777777777777</v>
      </c>
      <c r="J461" s="1010">
        <f t="shared" si="99"/>
        <v>45</v>
      </c>
      <c r="K461" s="1011"/>
      <c r="L461" s="1012"/>
      <c r="M461" s="1013"/>
      <c r="N461" s="1014" t="str">
        <f t="shared" si="100"/>
        <v/>
      </c>
      <c r="O461" s="1323"/>
      <c r="P461" s="1324"/>
      <c r="Q461" s="1324"/>
      <c r="R461" s="1324"/>
      <c r="S461" s="1324"/>
      <c r="T461" s="1325"/>
      <c r="U461" s="1015">
        <v>2</v>
      </c>
      <c r="V461" s="1015"/>
      <c r="W461" s="1015"/>
      <c r="X461" s="1015"/>
      <c r="Y461" s="1015">
        <v>2.8</v>
      </c>
      <c r="Z461" s="1016">
        <f>'09월 에너지'!S463</f>
        <v>146.4</v>
      </c>
      <c r="AA461" s="1017"/>
      <c r="AB461" s="1208"/>
      <c r="AC461" s="1208"/>
      <c r="AD461" s="1208"/>
      <c r="AE461" s="1208"/>
      <c r="AF461" s="1208"/>
      <c r="AG461" s="1018">
        <f>'09월 화학성분'!AM461</f>
        <v>2495</v>
      </c>
      <c r="AH461" s="1006">
        <f t="shared" ref="AH461:AH524" si="102">IF(I461="","",AH460+1)</f>
        <v>45</v>
      </c>
      <c r="AI461" s="1019">
        <v>1589</v>
      </c>
      <c r="AJ461" s="1020">
        <v>88</v>
      </c>
      <c r="AK461" s="1021">
        <v>957</v>
      </c>
      <c r="AL461" s="1022">
        <v>4</v>
      </c>
      <c r="AM461" s="1155">
        <f>IF(AT461="","",3*'09월 에너지'!S463*(1/(3+7.8*(100-AT461)/AT461)))</f>
        <v>0.62360594795539037</v>
      </c>
      <c r="AN461" s="1023">
        <v>0.18194444444444444</v>
      </c>
      <c r="AO461" s="1024"/>
      <c r="AP461" s="1025"/>
      <c r="AQ461" s="1025"/>
      <c r="AR461" s="1149">
        <f t="shared" ref="AR461:AR523" si="103">IF(F461="A",IFERROR(IF(I461="","",IF(F461="A",AR460+1," ")),AR459+1),"")</f>
        <v>3</v>
      </c>
      <c r="AS461" s="1093" t="str">
        <f t="shared" si="101"/>
        <v xml:space="preserve"> </v>
      </c>
      <c r="AT461" s="1156">
        <v>1.1000000000000001</v>
      </c>
      <c r="AU461" s="449"/>
      <c r="AV461" s="1205"/>
    </row>
    <row r="462" spans="1:48" ht="16.5" customHeight="1">
      <c r="A462" s="1005">
        <f t="shared" ref="A462:A525" si="104">IF(I462="","",A461)</f>
        <v>46282</v>
      </c>
      <c r="B462" s="1005">
        <f t="shared" ref="B462:B525" si="105">IF(J462="","",B461)</f>
        <v>46282</v>
      </c>
      <c r="C462" s="1150">
        <f t="shared" ref="C462:C525" si="106">IF(I462="","",IF(A462=A461,C461+1,1))</f>
        <v>19</v>
      </c>
      <c r="D462" s="1150">
        <f t="shared" ref="D462:D525" si="107">IF(C462="","",D461+1)</f>
        <v>451</v>
      </c>
      <c r="E462" s="1006" t="str">
        <f t="shared" ref="E462:E525" si="108">IF(C462="","",E461)</f>
        <v>B</v>
      </c>
      <c r="F462" s="1007" t="str">
        <f t="shared" ref="F462:F525" si="109">IF(C462="","",IF(F461="A","B","A"))</f>
        <v>B</v>
      </c>
      <c r="G462" s="1008">
        <f t="shared" ref="G462:G525" si="110">IF(C462="","",G461+1)</f>
        <v>85664</v>
      </c>
      <c r="H462" s="1138">
        <f t="shared" ref="H462:H525" si="111">IF(ISBLANK(I461),H461+C$8/1440,I461+C$8/1440)</f>
        <v>0.75486111111111109</v>
      </c>
      <c r="I462" s="1009">
        <v>0.75486111111111109</v>
      </c>
      <c r="J462" s="1010">
        <f t="shared" ref="J462:J525" si="112">IF(I462="","",IF(I462&lt;I461,(I462-I461)*1440+1440,(I462-I461)*1440))</f>
        <v>47.999999999999986</v>
      </c>
      <c r="K462" s="1011"/>
      <c r="L462" s="1012"/>
      <c r="M462" s="1013"/>
      <c r="N462" s="1014" t="str">
        <f t="shared" ref="N462:N525" si="113">IF(M462="","",M462+K462/1440)</f>
        <v/>
      </c>
      <c r="O462" s="1323" t="s">
        <v>871</v>
      </c>
      <c r="P462" s="1324"/>
      <c r="Q462" s="1324"/>
      <c r="R462" s="1324"/>
      <c r="S462" s="1324"/>
      <c r="T462" s="1325"/>
      <c r="U462" s="1015">
        <v>2</v>
      </c>
      <c r="V462" s="1015"/>
      <c r="W462" s="1015"/>
      <c r="X462" s="1015"/>
      <c r="Y462" s="1015">
        <v>2.6</v>
      </c>
      <c r="Z462" s="1016">
        <f>'09월 에너지'!S464</f>
        <v>144.6</v>
      </c>
      <c r="AA462" s="1017">
        <v>2329</v>
      </c>
      <c r="AB462" s="1208" t="s">
        <v>863</v>
      </c>
      <c r="AC462" s="1208" t="s">
        <v>548</v>
      </c>
      <c r="AD462" s="1208"/>
      <c r="AE462" s="1208"/>
      <c r="AF462" s="1208" t="s">
        <v>548</v>
      </c>
      <c r="AG462" s="1018">
        <f>'09월 화학성분'!AM462</f>
        <v>1434</v>
      </c>
      <c r="AH462" s="1006">
        <f t="shared" si="102"/>
        <v>46</v>
      </c>
      <c r="AI462" s="1019">
        <v>1600</v>
      </c>
      <c r="AJ462" s="1020">
        <v>48</v>
      </c>
      <c r="AK462" s="1021">
        <v>450</v>
      </c>
      <c r="AL462" s="1022">
        <v>9</v>
      </c>
      <c r="AM462" s="1155">
        <f>IF(AT462="","",3*'09월 에너지'!S464*(1/(3+7.8*(100-AT462)/AT462)))</f>
        <v>0.78538175046554926</v>
      </c>
      <c r="AN462" s="1023">
        <v>0.3444444444444445</v>
      </c>
      <c r="AO462" s="1024" t="s">
        <v>866</v>
      </c>
      <c r="AP462" s="1025">
        <v>2000015</v>
      </c>
      <c r="AQ462" s="1025">
        <v>2139</v>
      </c>
      <c r="AR462" s="1149" t="str">
        <f t="shared" si="103"/>
        <v/>
      </c>
      <c r="AS462" s="1093">
        <v>1</v>
      </c>
      <c r="AT462" s="1156">
        <v>1.4</v>
      </c>
      <c r="AU462" s="449"/>
      <c r="AV462" s="1205"/>
    </row>
    <row r="463" spans="1:48" ht="16.5" customHeight="1">
      <c r="A463" s="1005">
        <f t="shared" si="104"/>
        <v>46282</v>
      </c>
      <c r="B463" s="1005">
        <f t="shared" si="105"/>
        <v>46282</v>
      </c>
      <c r="C463" s="1150">
        <f t="shared" si="106"/>
        <v>20</v>
      </c>
      <c r="D463" s="1150">
        <f t="shared" si="107"/>
        <v>452</v>
      </c>
      <c r="E463" s="1006" t="str">
        <f t="shared" si="108"/>
        <v>B</v>
      </c>
      <c r="F463" s="1007" t="str">
        <f t="shared" si="109"/>
        <v>A</v>
      </c>
      <c r="G463" s="1008">
        <f t="shared" si="110"/>
        <v>85665</v>
      </c>
      <c r="H463" s="1138">
        <f t="shared" si="111"/>
        <v>0.78819444444444442</v>
      </c>
      <c r="I463" s="1009">
        <v>0.78680555555555554</v>
      </c>
      <c r="J463" s="1010">
        <f t="shared" si="112"/>
        <v>46</v>
      </c>
      <c r="K463" s="1011"/>
      <c r="L463" s="1012"/>
      <c r="M463" s="1013"/>
      <c r="N463" s="1014" t="str">
        <f t="shared" si="113"/>
        <v/>
      </c>
      <c r="O463" s="1323"/>
      <c r="P463" s="1324"/>
      <c r="Q463" s="1324"/>
      <c r="R463" s="1324"/>
      <c r="S463" s="1324"/>
      <c r="T463" s="1325"/>
      <c r="U463" s="1015">
        <v>2</v>
      </c>
      <c r="V463" s="1015"/>
      <c r="W463" s="1015"/>
      <c r="X463" s="1015">
        <v>3</v>
      </c>
      <c r="Y463" s="1015"/>
      <c r="Z463" s="1016">
        <f>'09월 에너지'!S465</f>
        <v>146.19999999999999</v>
      </c>
      <c r="AA463" s="1017"/>
      <c r="AB463" s="1208"/>
      <c r="AC463" s="1208"/>
      <c r="AD463" s="1208"/>
      <c r="AE463" s="1208"/>
      <c r="AF463" s="1208"/>
      <c r="AG463" s="1018">
        <f>'09월 화학성분'!AM463</f>
        <v>2009</v>
      </c>
      <c r="AH463" s="1006">
        <f t="shared" si="102"/>
        <v>47</v>
      </c>
      <c r="AI463" s="1019">
        <v>1561</v>
      </c>
      <c r="AJ463" s="1020">
        <v>100</v>
      </c>
      <c r="AK463" s="1021">
        <v>711</v>
      </c>
      <c r="AL463" s="1022">
        <v>5</v>
      </c>
      <c r="AM463" s="1155">
        <f>IF(AT463="","",3*'09월 에너지'!S465*(1/(3+7.8*(100-AT463)/AT463)))</f>
        <v>0.67978921264724101</v>
      </c>
      <c r="AN463" s="1023">
        <v>0.17361111111111113</v>
      </c>
      <c r="AO463" s="1024"/>
      <c r="AP463" s="1025"/>
      <c r="AQ463" s="1025"/>
      <c r="AR463" s="1149">
        <f t="shared" si="103"/>
        <v>4</v>
      </c>
      <c r="AS463" s="1093" t="str">
        <f t="shared" ref="AS463:AS525" si="114">IFERROR(IF($I463="","",IF($F463="B",AS462+1," ")),AS461+1)</f>
        <v xml:space="preserve"> </v>
      </c>
      <c r="AT463" s="1156">
        <v>1.2</v>
      </c>
      <c r="AU463" s="449"/>
      <c r="AV463" s="1205"/>
    </row>
    <row r="464" spans="1:48" ht="16.5" customHeight="1">
      <c r="A464" s="1242">
        <f t="shared" si="104"/>
        <v>46282</v>
      </c>
      <c r="B464" s="1242">
        <f t="shared" si="105"/>
        <v>46282</v>
      </c>
      <c r="C464" s="1150">
        <f t="shared" si="106"/>
        <v>21</v>
      </c>
      <c r="D464" s="1150">
        <f t="shared" si="107"/>
        <v>453</v>
      </c>
      <c r="E464" s="1006" t="str">
        <f t="shared" si="108"/>
        <v>B</v>
      </c>
      <c r="F464" s="1007" t="str">
        <f t="shared" si="109"/>
        <v>B</v>
      </c>
      <c r="G464" s="1008">
        <f t="shared" si="110"/>
        <v>85666</v>
      </c>
      <c r="H464" s="1138">
        <f t="shared" si="111"/>
        <v>0.82013888888888886</v>
      </c>
      <c r="I464" s="1009">
        <v>0.81874999999999998</v>
      </c>
      <c r="J464" s="1010">
        <f t="shared" si="112"/>
        <v>46</v>
      </c>
      <c r="K464" s="1011"/>
      <c r="L464" s="1012"/>
      <c r="M464" s="1013"/>
      <c r="N464" s="1014" t="str">
        <f t="shared" si="113"/>
        <v/>
      </c>
      <c r="O464" s="1323"/>
      <c r="P464" s="1324"/>
      <c r="Q464" s="1324"/>
      <c r="R464" s="1324"/>
      <c r="S464" s="1324"/>
      <c r="T464" s="1325"/>
      <c r="U464" s="1015">
        <v>2</v>
      </c>
      <c r="V464" s="1015"/>
      <c r="W464" s="1015"/>
      <c r="X464" s="1015"/>
      <c r="Y464" s="1015">
        <v>2.8</v>
      </c>
      <c r="Z464" s="1016">
        <f>'09월 에너지'!S466</f>
        <v>142.4</v>
      </c>
      <c r="AA464" s="1017"/>
      <c r="AB464" s="1208"/>
      <c r="AC464" s="1208"/>
      <c r="AD464" s="1208"/>
      <c r="AE464" s="1208"/>
      <c r="AF464" s="1208"/>
      <c r="AG464" s="1018">
        <f>'09월 화학성분'!AM464</f>
        <v>1427</v>
      </c>
      <c r="AH464" s="1006">
        <f t="shared" si="102"/>
        <v>48</v>
      </c>
      <c r="AI464" s="1019">
        <v>1594</v>
      </c>
      <c r="AJ464" s="1020">
        <v>0</v>
      </c>
      <c r="AK464" s="1021">
        <v>642</v>
      </c>
      <c r="AL464" s="1022">
        <v>6</v>
      </c>
      <c r="AM464" s="1155">
        <f>IF(AT464="","",3*'09월 에너지'!S466*(1/(3+7.8*(100-AT464)/AT464)))</f>
        <v>0.77343265052762267</v>
      </c>
      <c r="AN464" s="1023">
        <v>0.37638888888888888</v>
      </c>
      <c r="AO464" s="1024"/>
      <c r="AP464" s="1025"/>
      <c r="AQ464" s="1025"/>
      <c r="AR464" s="1149" t="str">
        <f t="shared" si="103"/>
        <v/>
      </c>
      <c r="AS464" s="1093">
        <f t="shared" si="114"/>
        <v>2</v>
      </c>
      <c r="AT464" s="1156">
        <v>1.4</v>
      </c>
      <c r="AU464" s="449"/>
      <c r="AV464" s="1205"/>
    </row>
    <row r="465" spans="1:48" ht="16.5" customHeight="1">
      <c r="A465" s="1005">
        <f t="shared" si="104"/>
        <v>46282</v>
      </c>
      <c r="B465" s="1005">
        <f t="shared" si="105"/>
        <v>46282</v>
      </c>
      <c r="C465" s="1150">
        <f t="shared" si="106"/>
        <v>22</v>
      </c>
      <c r="D465" s="1150">
        <f t="shared" si="107"/>
        <v>454</v>
      </c>
      <c r="E465" s="1006" t="str">
        <f t="shared" si="108"/>
        <v>B</v>
      </c>
      <c r="F465" s="1007" t="str">
        <f t="shared" si="109"/>
        <v>A</v>
      </c>
      <c r="G465" s="1008">
        <f t="shared" si="110"/>
        <v>85667</v>
      </c>
      <c r="H465" s="1138">
        <f t="shared" si="111"/>
        <v>0.8520833333333333</v>
      </c>
      <c r="I465" s="1009">
        <v>0.85416666666666663</v>
      </c>
      <c r="J465" s="1010">
        <f t="shared" si="112"/>
        <v>50.999999999999979</v>
      </c>
      <c r="K465" s="1011"/>
      <c r="L465" s="1012"/>
      <c r="M465" s="1013"/>
      <c r="N465" s="1014" t="str">
        <f t="shared" si="113"/>
        <v/>
      </c>
      <c r="O465" s="1323"/>
      <c r="P465" s="1324"/>
      <c r="Q465" s="1324"/>
      <c r="R465" s="1324"/>
      <c r="S465" s="1324"/>
      <c r="T465" s="1325"/>
      <c r="U465" s="1015">
        <v>2</v>
      </c>
      <c r="V465" s="1015"/>
      <c r="W465" s="1015"/>
      <c r="X465" s="1015"/>
      <c r="Y465" s="1015">
        <v>2.6</v>
      </c>
      <c r="Z465" s="1016">
        <f>'09월 에너지'!S467</f>
        <v>145.69999999999999</v>
      </c>
      <c r="AA465" s="1017"/>
      <c r="AB465" s="1208"/>
      <c r="AC465" s="1208"/>
      <c r="AD465" s="1208"/>
      <c r="AE465" s="1208"/>
      <c r="AF465" s="1208"/>
      <c r="AG465" s="1018">
        <f>'09월 화학성분'!AM465</f>
        <v>2030</v>
      </c>
      <c r="AH465" s="1006">
        <f t="shared" si="102"/>
        <v>49</v>
      </c>
      <c r="AI465" s="1019">
        <v>1555</v>
      </c>
      <c r="AJ465" s="1020">
        <v>25</v>
      </c>
      <c r="AK465" s="1021">
        <v>274</v>
      </c>
      <c r="AL465" s="1022">
        <v>17</v>
      </c>
      <c r="AM465" s="1155">
        <f>IF(AT465="","",3*'09월 에너지'!S467*(1/(3+7.8*(100-AT465)/AT465)))</f>
        <v>0.50715501237623761</v>
      </c>
      <c r="AN465" s="1023">
        <v>0.16111111111111112</v>
      </c>
      <c r="AO465" s="1024"/>
      <c r="AP465" s="1025"/>
      <c r="AQ465" s="1025"/>
      <c r="AR465" s="1149">
        <f t="shared" si="103"/>
        <v>5</v>
      </c>
      <c r="AS465" s="1093" t="str">
        <f t="shared" si="114"/>
        <v xml:space="preserve"> </v>
      </c>
      <c r="AT465" s="1156">
        <v>0.9</v>
      </c>
      <c r="AU465" s="449"/>
      <c r="AV465" s="1205"/>
    </row>
    <row r="466" spans="1:48" ht="16.5" customHeight="1">
      <c r="A466" s="1005">
        <f t="shared" si="104"/>
        <v>46282</v>
      </c>
      <c r="B466" s="1005">
        <f t="shared" si="105"/>
        <v>46282</v>
      </c>
      <c r="C466" s="1150">
        <f t="shared" si="106"/>
        <v>23</v>
      </c>
      <c r="D466" s="1150">
        <f t="shared" si="107"/>
        <v>455</v>
      </c>
      <c r="E466" s="1006" t="str">
        <f t="shared" si="108"/>
        <v>B</v>
      </c>
      <c r="F466" s="1007" t="s">
        <v>578</v>
      </c>
      <c r="G466" s="1008">
        <f t="shared" si="110"/>
        <v>85668</v>
      </c>
      <c r="H466" s="1138">
        <f t="shared" si="111"/>
        <v>0.88749999999999996</v>
      </c>
      <c r="I466" s="1009">
        <v>0.9194444444444444</v>
      </c>
      <c r="J466" s="1010">
        <f t="shared" si="112"/>
        <v>93.999999999999986</v>
      </c>
      <c r="K466" s="1011"/>
      <c r="L466" s="1012">
        <v>30</v>
      </c>
      <c r="M466" s="1013"/>
      <c r="N466" s="1014" t="str">
        <f t="shared" si="113"/>
        <v/>
      </c>
      <c r="O466" s="1323" t="s">
        <v>872</v>
      </c>
      <c r="P466" s="1324"/>
      <c r="Q466" s="1324"/>
      <c r="R466" s="1324"/>
      <c r="S466" s="1324"/>
      <c r="T466" s="1325"/>
      <c r="U466" s="1015">
        <v>2</v>
      </c>
      <c r="V466" s="1015"/>
      <c r="W466" s="1015"/>
      <c r="X466" s="1015"/>
      <c r="Y466" s="1015"/>
      <c r="Z466" s="1016">
        <f>'09월 에너지'!S468</f>
        <v>145.4</v>
      </c>
      <c r="AA466" s="1017"/>
      <c r="AB466" s="1208"/>
      <c r="AC466" s="1208"/>
      <c r="AD466" s="1208"/>
      <c r="AE466" s="1208"/>
      <c r="AF466" s="1208"/>
      <c r="AG466" s="1018">
        <f>'09월 화학성분'!AM466</f>
        <v>3042</v>
      </c>
      <c r="AH466" s="1006">
        <f t="shared" si="102"/>
        <v>50</v>
      </c>
      <c r="AI466" s="1019">
        <v>1632</v>
      </c>
      <c r="AJ466" s="1020">
        <v>69</v>
      </c>
      <c r="AK466" s="1021">
        <v>620</v>
      </c>
      <c r="AL466" s="1022">
        <v>6</v>
      </c>
      <c r="AM466" s="1155">
        <f>IF(AT466="","",3*'09월 에너지'!S468*(1/(3+7.8*(100-AT466)/AT466)))</f>
        <v>0.50611076732673277</v>
      </c>
      <c r="AN466" s="1023">
        <v>0.16874999999999998</v>
      </c>
      <c r="AO466" s="1024"/>
      <c r="AP466" s="1025"/>
      <c r="AQ466" s="1025"/>
      <c r="AR466" s="1149">
        <f t="shared" si="103"/>
        <v>6</v>
      </c>
      <c r="AS466" s="1093" t="str">
        <f t="shared" si="114"/>
        <v xml:space="preserve"> </v>
      </c>
      <c r="AT466" s="1156">
        <v>0.9</v>
      </c>
      <c r="AU466" s="449"/>
      <c r="AV466" s="1205"/>
    </row>
    <row r="467" spans="1:48" ht="16.5" customHeight="1">
      <c r="A467" s="1005">
        <f t="shared" si="104"/>
        <v>46282</v>
      </c>
      <c r="B467" s="1005">
        <f t="shared" si="105"/>
        <v>46282</v>
      </c>
      <c r="C467" s="1150">
        <f t="shared" si="106"/>
        <v>24</v>
      </c>
      <c r="D467" s="1150">
        <f t="shared" si="107"/>
        <v>456</v>
      </c>
      <c r="E467" s="1006" t="s">
        <v>546</v>
      </c>
      <c r="F467" s="1007" t="s">
        <v>578</v>
      </c>
      <c r="G467" s="1008">
        <f t="shared" si="110"/>
        <v>85669</v>
      </c>
      <c r="H467" s="1138">
        <f t="shared" si="111"/>
        <v>0.95277777777777772</v>
      </c>
      <c r="I467" s="1009">
        <v>0.96319444444444446</v>
      </c>
      <c r="J467" s="1010">
        <f t="shared" si="112"/>
        <v>63.000000000000099</v>
      </c>
      <c r="K467" s="1011">
        <v>15</v>
      </c>
      <c r="L467" s="1012"/>
      <c r="M467" s="1013">
        <v>0.93472222222222223</v>
      </c>
      <c r="N467" s="1014">
        <f t="shared" si="113"/>
        <v>0.94513888888888886</v>
      </c>
      <c r="O467" s="1323" t="s">
        <v>874</v>
      </c>
      <c r="P467" s="1324"/>
      <c r="Q467" s="1324"/>
      <c r="R467" s="1324"/>
      <c r="S467" s="1324"/>
      <c r="T467" s="1325"/>
      <c r="U467" s="1015">
        <v>2</v>
      </c>
      <c r="V467" s="1015"/>
      <c r="W467" s="1015"/>
      <c r="X467" s="1015"/>
      <c r="Y467" s="1015"/>
      <c r="Z467" s="1016">
        <f>'09월 에너지'!S469</f>
        <v>78.2</v>
      </c>
      <c r="AA467" s="1017"/>
      <c r="AB467" s="1208"/>
      <c r="AC467" s="1208"/>
      <c r="AD467" s="1208"/>
      <c r="AE467" s="1208"/>
      <c r="AF467" s="1208"/>
      <c r="AG467" s="1018">
        <f>'09월 화학성분'!AM467</f>
        <v>1666</v>
      </c>
      <c r="AH467" s="1006">
        <f t="shared" si="102"/>
        <v>51</v>
      </c>
      <c r="AI467" s="1019">
        <v>1561</v>
      </c>
      <c r="AJ467" s="1020">
        <v>481</v>
      </c>
      <c r="AK467" s="1021">
        <v>444</v>
      </c>
      <c r="AL467" s="1022">
        <v>10</v>
      </c>
      <c r="AM467" s="1155">
        <f>IF(AT467="","",3*'09월 에너지'!S469*(1/(3+7.8*(100-AT467)/AT467)))</f>
        <v>0.21144932014833129</v>
      </c>
      <c r="AN467" s="1023">
        <v>0.20347222222222219</v>
      </c>
      <c r="AO467" s="1024"/>
      <c r="AP467" s="1025"/>
      <c r="AQ467" s="1025"/>
      <c r="AR467" s="1149">
        <f t="shared" si="103"/>
        <v>7</v>
      </c>
      <c r="AS467" s="1093" t="str">
        <f t="shared" si="114"/>
        <v xml:space="preserve"> </v>
      </c>
      <c r="AT467" s="1156">
        <v>0.7</v>
      </c>
      <c r="AU467" s="449"/>
      <c r="AV467" s="1205"/>
    </row>
    <row r="468" spans="1:48" ht="16.5" customHeight="1">
      <c r="A468" s="1005">
        <f t="shared" si="104"/>
        <v>46282</v>
      </c>
      <c r="B468" s="1005">
        <f t="shared" si="105"/>
        <v>46282</v>
      </c>
      <c r="C468" s="1150">
        <f t="shared" si="106"/>
        <v>25</v>
      </c>
      <c r="D468" s="1150">
        <f t="shared" si="107"/>
        <v>457</v>
      </c>
      <c r="E468" s="1006" t="str">
        <f t="shared" si="108"/>
        <v>C</v>
      </c>
      <c r="F468" s="1007" t="s">
        <v>578</v>
      </c>
      <c r="G468" s="1008">
        <f t="shared" si="110"/>
        <v>85670</v>
      </c>
      <c r="H468" s="1138">
        <f t="shared" si="111"/>
        <v>0.99652777777777779</v>
      </c>
      <c r="I468" s="1009">
        <v>1.0027777777777778</v>
      </c>
      <c r="J468" s="1010">
        <f t="shared" si="112"/>
        <v>56.999999999999957</v>
      </c>
      <c r="K468" s="1011">
        <v>9</v>
      </c>
      <c r="L468" s="1012"/>
      <c r="M468" s="1013">
        <v>0.96666666666666667</v>
      </c>
      <c r="N468" s="1014">
        <f t="shared" si="113"/>
        <v>0.97291666666666665</v>
      </c>
      <c r="O468" s="1323" t="s">
        <v>875</v>
      </c>
      <c r="P468" s="1324"/>
      <c r="Q468" s="1324"/>
      <c r="R468" s="1324"/>
      <c r="S468" s="1324"/>
      <c r="T468" s="1325"/>
      <c r="U468" s="1015">
        <v>2</v>
      </c>
      <c r="V468" s="1015"/>
      <c r="W468" s="1015"/>
      <c r="X468" s="1015"/>
      <c r="Y468" s="1015"/>
      <c r="Z468" s="1016">
        <f>'09월 에너지'!S470</f>
        <v>142.1</v>
      </c>
      <c r="AA468" s="1017"/>
      <c r="AB468" s="1208"/>
      <c r="AC468" s="1208"/>
      <c r="AD468" s="1208"/>
      <c r="AE468" s="1208"/>
      <c r="AF468" s="1208"/>
      <c r="AG468" s="1018">
        <f>'09월 화학성분'!AM468</f>
        <v>865</v>
      </c>
      <c r="AH468" s="1006">
        <f t="shared" si="102"/>
        <v>52</v>
      </c>
      <c r="AI468" s="1019">
        <v>1615</v>
      </c>
      <c r="AJ468" s="1020">
        <v>139</v>
      </c>
      <c r="AK468" s="1021">
        <v>846</v>
      </c>
      <c r="AL468" s="1022">
        <v>5</v>
      </c>
      <c r="AM468" s="1155">
        <f>IF(AT468="","",3*'09월 에너지'!S470*(1/(3+7.8*(100-AT468)/AT468)))</f>
        <v>0.66072535647861119</v>
      </c>
      <c r="AN468" s="1023">
        <v>0.16666666666666666</v>
      </c>
      <c r="AO468" s="1024"/>
      <c r="AP468" s="1025"/>
      <c r="AQ468" s="1025"/>
      <c r="AR468" s="1149">
        <f t="shared" si="103"/>
        <v>8</v>
      </c>
      <c r="AS468" s="1093" t="str">
        <f t="shared" si="114"/>
        <v xml:space="preserve"> </v>
      </c>
      <c r="AT468" s="1156">
        <v>1.2</v>
      </c>
      <c r="AU468" s="449"/>
      <c r="AV468" s="1205"/>
    </row>
    <row r="469" spans="1:48" ht="16.5" customHeight="1">
      <c r="A469" s="1005">
        <f t="shared" si="104"/>
        <v>46282</v>
      </c>
      <c r="B469" s="1005">
        <f t="shared" si="105"/>
        <v>46282</v>
      </c>
      <c r="C469" s="1150">
        <f t="shared" si="106"/>
        <v>26</v>
      </c>
      <c r="D469" s="1150">
        <f t="shared" si="107"/>
        <v>458</v>
      </c>
      <c r="E469" s="1006" t="str">
        <f t="shared" si="108"/>
        <v>C</v>
      </c>
      <c r="F469" s="1007" t="s">
        <v>578</v>
      </c>
      <c r="G469" s="1008">
        <f t="shared" si="110"/>
        <v>85671</v>
      </c>
      <c r="H469" s="1138">
        <f t="shared" si="111"/>
        <v>1.0361111111111112</v>
      </c>
      <c r="I469" s="1009">
        <v>4.7222222222222221E-2</v>
      </c>
      <c r="J469" s="1010">
        <f t="shared" si="112"/>
        <v>64</v>
      </c>
      <c r="K469" s="1011">
        <v>16</v>
      </c>
      <c r="L469" s="1012"/>
      <c r="M469" s="1013">
        <v>5.5555555555555558E-3</v>
      </c>
      <c r="N469" s="1014">
        <f t="shared" si="113"/>
        <v>1.6666666666666666E-2</v>
      </c>
      <c r="O469" s="1323" t="s">
        <v>873</v>
      </c>
      <c r="P469" s="1324"/>
      <c r="Q469" s="1324"/>
      <c r="R469" s="1324"/>
      <c r="S469" s="1324"/>
      <c r="T469" s="1325"/>
      <c r="U469" s="1015">
        <v>2</v>
      </c>
      <c r="V469" s="1015"/>
      <c r="W469" s="1015"/>
      <c r="X469" s="1015"/>
      <c r="Y469" s="1015">
        <v>2.8</v>
      </c>
      <c r="Z469" s="1016">
        <f>'09월 에너지'!S471</f>
        <v>147.19999999999999</v>
      </c>
      <c r="AA469" s="1017"/>
      <c r="AB469" s="1208"/>
      <c r="AC469" s="1208"/>
      <c r="AD469" s="1208"/>
      <c r="AE469" s="1208"/>
      <c r="AF469" s="1208"/>
      <c r="AG469" s="1018">
        <f>'09월 화학성분'!AM469</f>
        <v>823</v>
      </c>
      <c r="AH469" s="1006">
        <f t="shared" si="102"/>
        <v>53</v>
      </c>
      <c r="AI469" s="1019">
        <v>1554</v>
      </c>
      <c r="AJ469" s="1020">
        <v>0</v>
      </c>
      <c r="AK469" s="1021">
        <v>291</v>
      </c>
      <c r="AL469" s="1022">
        <v>16</v>
      </c>
      <c r="AM469" s="1155">
        <f>IF(AT469="","",3*'09월 에너지'!S471*(1/(3+7.8*(100-AT469)/AT469)))</f>
        <v>0.51237623762376239</v>
      </c>
      <c r="AN469" s="1023">
        <v>0.14375000000000002</v>
      </c>
      <c r="AO469" s="1024"/>
      <c r="AP469" s="1025"/>
      <c r="AQ469" s="1025"/>
      <c r="AR469" s="1149">
        <f t="shared" si="103"/>
        <v>9</v>
      </c>
      <c r="AS469" s="1093" t="str">
        <f t="shared" si="114"/>
        <v xml:space="preserve"> </v>
      </c>
      <c r="AT469" s="1156">
        <v>0.9</v>
      </c>
      <c r="AU469" s="449"/>
      <c r="AV469" s="1205"/>
    </row>
    <row r="470" spans="1:48" ht="16.5" customHeight="1">
      <c r="A470" s="1005">
        <v>46283</v>
      </c>
      <c r="B470" s="1005">
        <f t="shared" si="105"/>
        <v>46282</v>
      </c>
      <c r="C470" s="1150">
        <f t="shared" si="106"/>
        <v>1</v>
      </c>
      <c r="D470" s="1150">
        <f t="shared" si="107"/>
        <v>459</v>
      </c>
      <c r="E470" s="1006" t="str">
        <f t="shared" si="108"/>
        <v>C</v>
      </c>
      <c r="F470" s="1007" t="s">
        <v>578</v>
      </c>
      <c r="G470" s="1008">
        <f t="shared" si="110"/>
        <v>85672</v>
      </c>
      <c r="H470" s="1138">
        <f t="shared" si="111"/>
        <v>8.0555555555555547E-2</v>
      </c>
      <c r="I470" s="1009">
        <v>8.9583333333333334E-2</v>
      </c>
      <c r="J470" s="1010">
        <f t="shared" si="112"/>
        <v>61</v>
      </c>
      <c r="K470" s="1011">
        <v>13</v>
      </c>
      <c r="L470" s="1012"/>
      <c r="M470" s="1013">
        <v>4.9999999999999996E-2</v>
      </c>
      <c r="N470" s="1014">
        <f t="shared" si="113"/>
        <v>5.9027777777777776E-2</v>
      </c>
      <c r="O470" s="1323" t="s">
        <v>878</v>
      </c>
      <c r="P470" s="1324"/>
      <c r="Q470" s="1324"/>
      <c r="R470" s="1324"/>
      <c r="S470" s="1324"/>
      <c r="T470" s="1325"/>
      <c r="U470" s="1015">
        <v>2</v>
      </c>
      <c r="V470" s="1015"/>
      <c r="W470" s="1015"/>
      <c r="X470" s="1015"/>
      <c r="Y470" s="1015">
        <v>2.6</v>
      </c>
      <c r="Z470" s="1016">
        <f>'09월 에너지'!S472</f>
        <v>146.69999999999999</v>
      </c>
      <c r="AA470" s="1017"/>
      <c r="AB470" s="1208"/>
      <c r="AC470" s="1208"/>
      <c r="AD470" s="1208"/>
      <c r="AE470" s="1208"/>
      <c r="AF470" s="1208"/>
      <c r="AG470" s="1018">
        <f>'09월 화학성분'!AM470</f>
        <v>1778</v>
      </c>
      <c r="AH470" s="1235">
        <v>1</v>
      </c>
      <c r="AI470" s="1019">
        <v>1565</v>
      </c>
      <c r="AJ470" s="1020">
        <v>0</v>
      </c>
      <c r="AK470" s="1021" t="s">
        <v>841</v>
      </c>
      <c r="AL470" s="1022" t="s">
        <v>877</v>
      </c>
      <c r="AM470" s="1155">
        <f>IF(AT470="","",3*'09월 에너지'!S472*(1/(3+7.8*(100-AT470)/AT470)))</f>
        <v>0.96933302238805963</v>
      </c>
      <c r="AN470" s="1023">
        <v>0.14652777777777778</v>
      </c>
      <c r="AO470" s="1024"/>
      <c r="AP470" s="1025"/>
      <c r="AQ470" s="1025"/>
      <c r="AR470" s="1149">
        <f t="shared" si="103"/>
        <v>10</v>
      </c>
      <c r="AS470" s="1093" t="str">
        <f t="shared" si="114"/>
        <v xml:space="preserve"> </v>
      </c>
      <c r="AT470" s="1156">
        <v>1.7</v>
      </c>
      <c r="AU470" s="449"/>
      <c r="AV470" s="1205"/>
    </row>
    <row r="471" spans="1:48" ht="16.5" customHeight="1">
      <c r="A471" s="1005">
        <f t="shared" si="104"/>
        <v>46283</v>
      </c>
      <c r="B471" s="1005">
        <f t="shared" si="105"/>
        <v>46282</v>
      </c>
      <c r="C471" s="1150">
        <f t="shared" si="106"/>
        <v>2</v>
      </c>
      <c r="D471" s="1150">
        <f t="shared" si="107"/>
        <v>460</v>
      </c>
      <c r="E471" s="1006" t="str">
        <f t="shared" si="108"/>
        <v>C</v>
      </c>
      <c r="F471" s="1007" t="s">
        <v>578</v>
      </c>
      <c r="G471" s="1008">
        <f t="shared" si="110"/>
        <v>85673</v>
      </c>
      <c r="H471" s="1138">
        <f t="shared" si="111"/>
        <v>0.12291666666666667</v>
      </c>
      <c r="I471" s="1009">
        <v>0.1388888888888889</v>
      </c>
      <c r="J471" s="1010">
        <f t="shared" si="112"/>
        <v>71.000000000000014</v>
      </c>
      <c r="K471" s="1011">
        <v>23</v>
      </c>
      <c r="L471" s="1012"/>
      <c r="M471" s="1013">
        <v>9.2361111111111116E-2</v>
      </c>
      <c r="N471" s="1014">
        <f t="shared" si="113"/>
        <v>0.10833333333333334</v>
      </c>
      <c r="O471" s="1323" t="s">
        <v>879</v>
      </c>
      <c r="P471" s="1324"/>
      <c r="Q471" s="1324"/>
      <c r="R471" s="1324"/>
      <c r="S471" s="1324"/>
      <c r="T471" s="1325"/>
      <c r="U471" s="1015">
        <v>2</v>
      </c>
      <c r="V471" s="1015"/>
      <c r="W471" s="1015"/>
      <c r="X471" s="1015"/>
      <c r="Y471" s="1015">
        <v>2.5</v>
      </c>
      <c r="Z471" s="1016">
        <f>'09월 에너지'!S473</f>
        <v>148.30000000000001</v>
      </c>
      <c r="AA471" s="1017">
        <v>566</v>
      </c>
      <c r="AB471" s="1208" t="s">
        <v>573</v>
      </c>
      <c r="AC471" s="1208" t="s">
        <v>532</v>
      </c>
      <c r="AD471" s="1208"/>
      <c r="AE471" s="1208"/>
      <c r="AF471" s="1208"/>
      <c r="AG471" s="1018">
        <f>'09월 화학성분'!AM471</f>
        <v>1702</v>
      </c>
      <c r="AH471" s="1006">
        <f t="shared" si="102"/>
        <v>2</v>
      </c>
      <c r="AI471" s="1019">
        <v>1546</v>
      </c>
      <c r="AJ471" s="1020">
        <v>79</v>
      </c>
      <c r="AK471" s="1021">
        <v>651</v>
      </c>
      <c r="AL471" s="1022">
        <v>6</v>
      </c>
      <c r="AM471" s="1155">
        <f>IF(AT471="","",3*'09월 에너지'!S473*(1/(3+7.8*(100-AT471)/AT471)))</f>
        <v>0.28607253086419754</v>
      </c>
      <c r="AN471" s="1023">
        <v>0.18263888888888891</v>
      </c>
      <c r="AO471" s="1024"/>
      <c r="AP471" s="1025"/>
      <c r="AQ471" s="1025"/>
      <c r="AR471" s="1149">
        <f t="shared" si="103"/>
        <v>11</v>
      </c>
      <c r="AS471" s="1093" t="str">
        <f t="shared" si="114"/>
        <v xml:space="preserve"> </v>
      </c>
      <c r="AT471" s="1156">
        <v>0.5</v>
      </c>
      <c r="AU471" s="449"/>
      <c r="AV471" s="1205"/>
    </row>
    <row r="472" spans="1:48" ht="16.5" customHeight="1">
      <c r="A472" s="1005">
        <v>46283</v>
      </c>
      <c r="B472" s="1005">
        <v>46283</v>
      </c>
      <c r="C472" s="1150">
        <f t="shared" si="106"/>
        <v>3</v>
      </c>
      <c r="D472" s="1150">
        <f t="shared" si="107"/>
        <v>461</v>
      </c>
      <c r="E472" s="1006" t="s">
        <v>578</v>
      </c>
      <c r="F472" s="1007" t="s">
        <v>578</v>
      </c>
      <c r="G472" s="1008">
        <f t="shared" si="110"/>
        <v>85674</v>
      </c>
      <c r="H472" s="1138">
        <f t="shared" si="111"/>
        <v>0.17222222222222222</v>
      </c>
      <c r="I472" s="1009">
        <v>0.27986111111111112</v>
      </c>
      <c r="J472" s="1010">
        <f t="shared" si="112"/>
        <v>203</v>
      </c>
      <c r="K472" s="1011">
        <v>155</v>
      </c>
      <c r="L472" s="1012"/>
      <c r="M472" s="1013">
        <v>0.1423611111111111</v>
      </c>
      <c r="N472" s="1014">
        <f t="shared" si="113"/>
        <v>0.25</v>
      </c>
      <c r="O472" s="1323" t="s">
        <v>881</v>
      </c>
      <c r="P472" s="1324"/>
      <c r="Q472" s="1324"/>
      <c r="R472" s="1324"/>
      <c r="S472" s="1324"/>
      <c r="T472" s="1325"/>
      <c r="U472" s="1015">
        <v>2</v>
      </c>
      <c r="V472" s="1015"/>
      <c r="W472" s="1015"/>
      <c r="X472" s="1015"/>
      <c r="Y472" s="1015">
        <v>2.6</v>
      </c>
      <c r="Z472" s="1016">
        <f>'09월 에너지'!S474</f>
        <v>145.80000000000001</v>
      </c>
      <c r="AA472" s="1017">
        <v>1910</v>
      </c>
      <c r="AB472" s="1208" t="s">
        <v>573</v>
      </c>
      <c r="AC472" s="1208" t="s">
        <v>532</v>
      </c>
      <c r="AD472" s="1208"/>
      <c r="AE472" s="1208"/>
      <c r="AF472" s="1208" t="s">
        <v>880</v>
      </c>
      <c r="AG472" s="1018">
        <f>'09월 화학성분'!AM472</f>
        <v>2422</v>
      </c>
      <c r="AH472" s="1006">
        <f t="shared" si="102"/>
        <v>3</v>
      </c>
      <c r="AI472" s="1019">
        <v>1556</v>
      </c>
      <c r="AJ472" s="1020">
        <v>0</v>
      </c>
      <c r="AK472" s="1021">
        <v>401</v>
      </c>
      <c r="AL472" s="1022">
        <v>11</v>
      </c>
      <c r="AM472" s="1155">
        <f>IF(AT472="","",3*'09월 에너지'!S474*(1/(3+7.8*(100-AT472)/AT472)))</f>
        <v>0.62105018587360594</v>
      </c>
      <c r="AN472" s="1023">
        <v>0.14791666666666667</v>
      </c>
      <c r="AO472" s="1024"/>
      <c r="AP472" s="1025"/>
      <c r="AQ472" s="1025"/>
      <c r="AR472" s="1149">
        <f t="shared" si="103"/>
        <v>12</v>
      </c>
      <c r="AS472" s="1093" t="str">
        <f t="shared" si="114"/>
        <v xml:space="preserve"> </v>
      </c>
      <c r="AT472" s="1156">
        <v>1.1000000000000001</v>
      </c>
      <c r="AU472" s="449"/>
      <c r="AV472" s="1205"/>
    </row>
    <row r="473" spans="1:48" ht="16.5" customHeight="1">
      <c r="A473" s="1005">
        <f t="shared" si="104"/>
        <v>46283</v>
      </c>
      <c r="B473" s="1005">
        <f t="shared" si="105"/>
        <v>46283</v>
      </c>
      <c r="C473" s="1150">
        <f t="shared" si="106"/>
        <v>4</v>
      </c>
      <c r="D473" s="1150">
        <f t="shared" si="107"/>
        <v>462</v>
      </c>
      <c r="E473" s="1006" t="str">
        <f t="shared" si="108"/>
        <v>A</v>
      </c>
      <c r="F473" s="1007" t="s">
        <v>578</v>
      </c>
      <c r="G473" s="1008">
        <f t="shared" si="110"/>
        <v>85675</v>
      </c>
      <c r="H473" s="1138">
        <f t="shared" si="111"/>
        <v>0.31319444444444444</v>
      </c>
      <c r="I473" s="1009">
        <v>0.36736111111111108</v>
      </c>
      <c r="J473" s="1010">
        <f t="shared" si="112"/>
        <v>125.99999999999996</v>
      </c>
      <c r="K473" s="1011">
        <v>38</v>
      </c>
      <c r="L473" s="1012"/>
      <c r="M473" s="1013">
        <v>0.27986111111111112</v>
      </c>
      <c r="N473" s="1014">
        <f t="shared" si="113"/>
        <v>0.30625000000000002</v>
      </c>
      <c r="O473" s="1323" t="s">
        <v>882</v>
      </c>
      <c r="P473" s="1324"/>
      <c r="Q473" s="1324"/>
      <c r="R473" s="1324"/>
      <c r="S473" s="1324"/>
      <c r="T473" s="1325"/>
      <c r="U473" s="1015">
        <v>2</v>
      </c>
      <c r="V473" s="1015"/>
      <c r="W473" s="1015"/>
      <c r="X473" s="1015"/>
      <c r="Y473" s="1015">
        <v>2.7</v>
      </c>
      <c r="Z473" s="1016">
        <f>'09월 에너지'!S475</f>
        <v>142.19999999999999</v>
      </c>
      <c r="AA473" s="1017">
        <v>2113</v>
      </c>
      <c r="AB473" s="1208" t="s">
        <v>573</v>
      </c>
      <c r="AC473" s="1208" t="s">
        <v>532</v>
      </c>
      <c r="AD473" s="1208" t="s">
        <v>532</v>
      </c>
      <c r="AE473" s="1208"/>
      <c r="AF473" s="1208" t="s">
        <v>880</v>
      </c>
      <c r="AG473" s="1018">
        <f>'09월 화학성분'!AM473</f>
        <v>2233</v>
      </c>
      <c r="AH473" s="1006">
        <f t="shared" si="102"/>
        <v>4</v>
      </c>
      <c r="AI473" s="1019">
        <v>1572</v>
      </c>
      <c r="AJ473" s="1020">
        <v>0</v>
      </c>
      <c r="AK473" s="1021">
        <v>217</v>
      </c>
      <c r="AL473" s="1022">
        <v>23</v>
      </c>
      <c r="AM473" s="1155">
        <f>IF(AT473="","",3*'09월 에너지'!S475*(1/(3+7.8*(100-AT473)/AT473)))</f>
        <v>0.43970315398886822</v>
      </c>
      <c r="AN473" s="1023">
        <v>0.16250000000000001</v>
      </c>
      <c r="AO473" s="1024"/>
      <c r="AP473" s="1025"/>
      <c r="AQ473" s="1025"/>
      <c r="AR473" s="1149">
        <f t="shared" si="103"/>
        <v>13</v>
      </c>
      <c r="AS473" s="1093" t="str">
        <f t="shared" si="114"/>
        <v xml:space="preserve"> </v>
      </c>
      <c r="AT473" s="1156">
        <v>0.8</v>
      </c>
      <c r="AU473" s="449"/>
      <c r="AV473" s="1205"/>
    </row>
    <row r="474" spans="1:48" ht="16.5" customHeight="1">
      <c r="A474" s="1005">
        <f t="shared" si="104"/>
        <v>46283</v>
      </c>
      <c r="B474" s="1005">
        <f t="shared" si="105"/>
        <v>46283</v>
      </c>
      <c r="C474" s="1150">
        <f t="shared" si="106"/>
        <v>5</v>
      </c>
      <c r="D474" s="1150">
        <f t="shared" si="107"/>
        <v>463</v>
      </c>
      <c r="E474" s="1006" t="str">
        <f t="shared" si="108"/>
        <v>A</v>
      </c>
      <c r="F474" s="1007" t="s">
        <v>578</v>
      </c>
      <c r="G474" s="1008">
        <f t="shared" si="110"/>
        <v>85676</v>
      </c>
      <c r="H474" s="1138">
        <f t="shared" si="111"/>
        <v>0.40069444444444441</v>
      </c>
      <c r="I474" s="1009">
        <v>0.40972222222222227</v>
      </c>
      <c r="J474" s="1010">
        <f t="shared" si="112"/>
        <v>61.000000000000099</v>
      </c>
      <c r="K474" s="1011">
        <v>13</v>
      </c>
      <c r="L474" s="1012"/>
      <c r="M474" s="1013">
        <v>0.36736111111111108</v>
      </c>
      <c r="N474" s="1014">
        <f t="shared" si="113"/>
        <v>0.37638888888888888</v>
      </c>
      <c r="O474" s="1323"/>
      <c r="P474" s="1324"/>
      <c r="Q474" s="1324"/>
      <c r="R474" s="1324"/>
      <c r="S474" s="1324"/>
      <c r="T474" s="1325"/>
      <c r="U474" s="1015">
        <v>2</v>
      </c>
      <c r="V474" s="1015"/>
      <c r="W474" s="1015"/>
      <c r="X474" s="1015"/>
      <c r="Y474" s="1015">
        <v>2.4</v>
      </c>
      <c r="Z474" s="1016">
        <f>'09월 에너지'!S476</f>
        <v>144.80000000000001</v>
      </c>
      <c r="AA474" s="1017"/>
      <c r="AB474" s="1208"/>
      <c r="AC474" s="1208"/>
      <c r="AD474" s="1208"/>
      <c r="AE474" s="1208"/>
      <c r="AF474" s="1208"/>
      <c r="AG474" s="1018">
        <f>'09월 화학성분'!AM474</f>
        <v>3032</v>
      </c>
      <c r="AH474" s="1006">
        <f t="shared" si="102"/>
        <v>5</v>
      </c>
      <c r="AI474" s="1019">
        <v>1570</v>
      </c>
      <c r="AJ474" s="1020">
        <v>0</v>
      </c>
      <c r="AK474" s="1021">
        <v>514</v>
      </c>
      <c r="AL474" s="1022">
        <v>8</v>
      </c>
      <c r="AM474" s="1155">
        <f>IF(AT474="","",3*'09월 에너지'!S476*(1/(3+7.8*(100-AT474)/AT474)))</f>
        <v>0.50402227722772286</v>
      </c>
      <c r="AN474" s="1023">
        <v>0.16805555555555554</v>
      </c>
      <c r="AO474" s="1024"/>
      <c r="AP474" s="1025"/>
      <c r="AQ474" s="1025"/>
      <c r="AR474" s="1149">
        <f t="shared" si="103"/>
        <v>14</v>
      </c>
      <c r="AS474" s="1093" t="str">
        <f t="shared" si="114"/>
        <v xml:space="preserve"> </v>
      </c>
      <c r="AT474" s="1156">
        <v>0.9</v>
      </c>
      <c r="AU474" s="449"/>
      <c r="AV474" s="1205"/>
    </row>
    <row r="475" spans="1:48" ht="16.5" customHeight="1">
      <c r="A475" s="1005">
        <f t="shared" si="104"/>
        <v>46283</v>
      </c>
      <c r="B475" s="1005">
        <f t="shared" si="105"/>
        <v>46283</v>
      </c>
      <c r="C475" s="1150">
        <f t="shared" si="106"/>
        <v>6</v>
      </c>
      <c r="D475" s="1150">
        <f t="shared" si="107"/>
        <v>464</v>
      </c>
      <c r="E475" s="1006" t="str">
        <f t="shared" si="108"/>
        <v>A</v>
      </c>
      <c r="F475" s="1007" t="s">
        <v>578</v>
      </c>
      <c r="G475" s="1008">
        <f t="shared" si="110"/>
        <v>85677</v>
      </c>
      <c r="H475" s="1138">
        <f t="shared" si="111"/>
        <v>0.44305555555555559</v>
      </c>
      <c r="I475" s="1009">
        <v>0.45277777777777778</v>
      </c>
      <c r="J475" s="1010">
        <f t="shared" si="112"/>
        <v>61.999999999999943</v>
      </c>
      <c r="K475" s="1011">
        <v>14</v>
      </c>
      <c r="L475" s="1012"/>
      <c r="M475" s="1013">
        <v>0.40069444444444446</v>
      </c>
      <c r="N475" s="1014">
        <f t="shared" si="113"/>
        <v>0.41041666666666671</v>
      </c>
      <c r="O475" s="1323"/>
      <c r="P475" s="1324"/>
      <c r="Q475" s="1324"/>
      <c r="R475" s="1324"/>
      <c r="S475" s="1324"/>
      <c r="T475" s="1325"/>
      <c r="U475" s="1015">
        <v>2</v>
      </c>
      <c r="V475" s="1015"/>
      <c r="W475" s="1015"/>
      <c r="X475" s="1015"/>
      <c r="Y475" s="1015">
        <v>2.7</v>
      </c>
      <c r="Z475" s="1016">
        <f>'09월 에너지'!S477</f>
        <v>146.30000000000001</v>
      </c>
      <c r="AA475" s="1017"/>
      <c r="AB475" s="1208"/>
      <c r="AC475" s="1208"/>
      <c r="AD475" s="1208"/>
      <c r="AE475" s="1208"/>
      <c r="AF475" s="1208"/>
      <c r="AG475" s="1018">
        <f>'09월 화학성분'!AM475</f>
        <v>2239</v>
      </c>
      <c r="AH475" s="1006">
        <f t="shared" si="102"/>
        <v>6</v>
      </c>
      <c r="AI475" s="1019">
        <v>1566</v>
      </c>
      <c r="AJ475" s="1020">
        <v>0</v>
      </c>
      <c r="AK475" s="1021">
        <v>253</v>
      </c>
      <c r="AL475" s="1022">
        <v>19</v>
      </c>
      <c r="AM475" s="1155">
        <f>IF(AT475="","",3*'09월 에너지'!S477*(1/(3+7.8*(100-AT475)/AT475)))</f>
        <v>0.45238095238095238</v>
      </c>
      <c r="AN475" s="1023">
        <v>0.16111111111111112</v>
      </c>
      <c r="AO475" s="1024"/>
      <c r="AP475" s="1025"/>
      <c r="AQ475" s="1025"/>
      <c r="AR475" s="1149">
        <f t="shared" si="103"/>
        <v>15</v>
      </c>
      <c r="AS475" s="1093" t="str">
        <f t="shared" si="114"/>
        <v xml:space="preserve"> </v>
      </c>
      <c r="AT475" s="1156">
        <v>0.8</v>
      </c>
      <c r="AU475" s="449"/>
      <c r="AV475" s="1205"/>
    </row>
    <row r="476" spans="1:48" ht="16.5" customHeight="1">
      <c r="A476" s="1005">
        <f t="shared" si="104"/>
        <v>46283</v>
      </c>
      <c r="B476" s="1005">
        <f t="shared" si="105"/>
        <v>46283</v>
      </c>
      <c r="C476" s="1150">
        <f t="shared" si="106"/>
        <v>7</v>
      </c>
      <c r="D476" s="1150">
        <f t="shared" si="107"/>
        <v>465</v>
      </c>
      <c r="E476" s="1006" t="str">
        <f t="shared" si="108"/>
        <v>A</v>
      </c>
      <c r="F476" s="1007" t="s">
        <v>578</v>
      </c>
      <c r="G476" s="1008">
        <f t="shared" si="110"/>
        <v>85678</v>
      </c>
      <c r="H476" s="1138">
        <f t="shared" si="111"/>
        <v>0.4861111111111111</v>
      </c>
      <c r="I476" s="1009">
        <v>0.50555555555555554</v>
      </c>
      <c r="J476" s="1010">
        <f t="shared" si="112"/>
        <v>75.999999999999972</v>
      </c>
      <c r="K476" s="1011">
        <v>28</v>
      </c>
      <c r="L476" s="1012"/>
      <c r="M476" s="1013">
        <v>0.45277777777777778</v>
      </c>
      <c r="N476" s="1014">
        <f t="shared" si="113"/>
        <v>0.47222222222222221</v>
      </c>
      <c r="O476" s="1323" t="s">
        <v>884</v>
      </c>
      <c r="P476" s="1324"/>
      <c r="Q476" s="1324"/>
      <c r="R476" s="1324"/>
      <c r="S476" s="1324"/>
      <c r="T476" s="1325"/>
      <c r="U476" s="1015">
        <v>2</v>
      </c>
      <c r="V476" s="1015"/>
      <c r="W476" s="1015"/>
      <c r="X476" s="1015"/>
      <c r="Y476" s="1015">
        <v>2.2000000000000002</v>
      </c>
      <c r="Z476" s="1016">
        <f>'09월 에너지'!S478</f>
        <v>141.1</v>
      </c>
      <c r="AA476" s="1017"/>
      <c r="AB476" s="1208"/>
      <c r="AC476" s="1208"/>
      <c r="AD476" s="1208"/>
      <c r="AE476" s="1208"/>
      <c r="AF476" s="1208"/>
      <c r="AG476" s="1018">
        <f>'09월 화학성분'!AM476</f>
        <v>1874</v>
      </c>
      <c r="AH476" s="1006">
        <f t="shared" si="102"/>
        <v>7</v>
      </c>
      <c r="AI476" s="1019">
        <v>1568</v>
      </c>
      <c r="AJ476" s="1020">
        <v>0</v>
      </c>
      <c r="AK476" s="1021">
        <v>534</v>
      </c>
      <c r="AL476" s="1022">
        <v>8</v>
      </c>
      <c r="AM476" s="1155">
        <f>IF(AT476="","",3*'09월 에너지'!S478*(1/(3+7.8*(100-AT476)/AT476)))</f>
        <v>0.54605263157894746</v>
      </c>
      <c r="AN476" s="1023">
        <v>0.16111111111111112</v>
      </c>
      <c r="AO476" s="1024" t="s">
        <v>883</v>
      </c>
      <c r="AP476" s="1025">
        <v>2000016</v>
      </c>
      <c r="AQ476" s="1025">
        <v>2140</v>
      </c>
      <c r="AR476" s="1149">
        <v>1</v>
      </c>
      <c r="AS476" s="1093" t="str">
        <f t="shared" si="114"/>
        <v xml:space="preserve"> </v>
      </c>
      <c r="AT476" s="1156">
        <v>1</v>
      </c>
      <c r="AU476" s="449"/>
      <c r="AV476" s="1205"/>
    </row>
    <row r="477" spans="1:48" ht="16.5" customHeight="1">
      <c r="A477" s="1005">
        <f t="shared" si="104"/>
        <v>46283</v>
      </c>
      <c r="B477" s="1005">
        <f t="shared" si="105"/>
        <v>46283</v>
      </c>
      <c r="C477" s="1150">
        <f t="shared" si="106"/>
        <v>8</v>
      </c>
      <c r="D477" s="1150">
        <f t="shared" si="107"/>
        <v>466</v>
      </c>
      <c r="E477" s="1006" t="str">
        <f t="shared" si="108"/>
        <v>A</v>
      </c>
      <c r="F477" s="1007" t="s">
        <v>578</v>
      </c>
      <c r="G477" s="1008">
        <f t="shared" si="110"/>
        <v>85679</v>
      </c>
      <c r="H477" s="1138">
        <f t="shared" si="111"/>
        <v>0.53888888888888886</v>
      </c>
      <c r="I477" s="1009">
        <v>0.54861111111111105</v>
      </c>
      <c r="J477" s="1010">
        <f t="shared" si="112"/>
        <v>61.999999999999943</v>
      </c>
      <c r="K477" s="1011">
        <v>14</v>
      </c>
      <c r="L477" s="1012"/>
      <c r="M477" s="1013">
        <v>0.50555555555555554</v>
      </c>
      <c r="N477" s="1014">
        <f t="shared" si="113"/>
        <v>0.51527777777777772</v>
      </c>
      <c r="O477" s="1323"/>
      <c r="P477" s="1324"/>
      <c r="Q477" s="1324"/>
      <c r="R477" s="1324"/>
      <c r="S477" s="1324"/>
      <c r="T477" s="1325"/>
      <c r="U477" s="1015">
        <v>2</v>
      </c>
      <c r="V477" s="1015"/>
      <c r="W477" s="1015"/>
      <c r="X477" s="1015"/>
      <c r="Y477" s="1015">
        <v>2.5</v>
      </c>
      <c r="Z477" s="1016">
        <f>'09월 에너지'!S479</f>
        <v>146.6</v>
      </c>
      <c r="AA477" s="1017"/>
      <c r="AB477" s="1208"/>
      <c r="AC477" s="1208"/>
      <c r="AD477" s="1208"/>
      <c r="AE477" s="1208"/>
      <c r="AF477" s="1208"/>
      <c r="AG477" s="1018">
        <f>'09월 화학성분'!AM477</f>
        <v>2068</v>
      </c>
      <c r="AH477" s="1006">
        <f t="shared" si="102"/>
        <v>8</v>
      </c>
      <c r="AI477" s="1019">
        <v>1585</v>
      </c>
      <c r="AJ477" s="1020">
        <v>0</v>
      </c>
      <c r="AK477" s="1021">
        <v>304</v>
      </c>
      <c r="AL477" s="1022">
        <v>16</v>
      </c>
      <c r="AM477" s="1155">
        <f>IF(AT477="","",3*'09월 에너지'!S479*(1/(3+7.8*(100-AT477)/AT477)))</f>
        <v>0.32694023193577171</v>
      </c>
      <c r="AN477" s="1023">
        <v>0.16041666666666668</v>
      </c>
      <c r="AO477" s="1024"/>
      <c r="AP477" s="1025"/>
      <c r="AQ477" s="1025"/>
      <c r="AR477" s="1149">
        <f t="shared" si="103"/>
        <v>2</v>
      </c>
      <c r="AS477" s="1093" t="str">
        <f t="shared" si="114"/>
        <v xml:space="preserve"> </v>
      </c>
      <c r="AT477" s="1156">
        <v>0.57777777777777783</v>
      </c>
      <c r="AU477" s="449"/>
      <c r="AV477" s="1205"/>
    </row>
    <row r="478" spans="1:48" ht="16.5" customHeight="1">
      <c r="A478" s="1005">
        <f t="shared" si="104"/>
        <v>46283</v>
      </c>
      <c r="B478" s="1005">
        <f t="shared" si="105"/>
        <v>46283</v>
      </c>
      <c r="C478" s="1150">
        <f t="shared" si="106"/>
        <v>9</v>
      </c>
      <c r="D478" s="1150">
        <f t="shared" si="107"/>
        <v>467</v>
      </c>
      <c r="E478" s="1006" t="str">
        <f t="shared" si="108"/>
        <v>A</v>
      </c>
      <c r="F478" s="1007" t="s">
        <v>578</v>
      </c>
      <c r="G478" s="1008">
        <f t="shared" si="110"/>
        <v>85680</v>
      </c>
      <c r="H478" s="1138">
        <f t="shared" si="111"/>
        <v>0.58194444444444438</v>
      </c>
      <c r="I478" s="1009">
        <v>0.59027777777777779</v>
      </c>
      <c r="J478" s="1010">
        <f t="shared" si="112"/>
        <v>60.000000000000107</v>
      </c>
      <c r="K478" s="1011">
        <v>12</v>
      </c>
      <c r="L478" s="1012"/>
      <c r="M478" s="1013">
        <v>0.54861111111111105</v>
      </c>
      <c r="N478" s="1014">
        <f t="shared" si="113"/>
        <v>0.55694444444444435</v>
      </c>
      <c r="O478" s="1323"/>
      <c r="P478" s="1324"/>
      <c r="Q478" s="1324"/>
      <c r="R478" s="1324"/>
      <c r="S478" s="1324"/>
      <c r="T478" s="1325"/>
      <c r="U478" s="1015">
        <v>2</v>
      </c>
      <c r="V478" s="1015"/>
      <c r="W478" s="1015"/>
      <c r="X478" s="1015"/>
      <c r="Y478" s="1015">
        <v>2.8</v>
      </c>
      <c r="Z478" s="1016">
        <f>'09월 에너지'!S480</f>
        <v>146</v>
      </c>
      <c r="AA478" s="1017"/>
      <c r="AB478" s="1208"/>
      <c r="AC478" s="1208"/>
      <c r="AD478" s="1208"/>
      <c r="AE478" s="1208"/>
      <c r="AF478" s="1208"/>
      <c r="AG478" s="1018">
        <f>'09월 화학성분'!AM478</f>
        <v>2289</v>
      </c>
      <c r="AH478" s="1006">
        <f t="shared" si="102"/>
        <v>9</v>
      </c>
      <c r="AI478" s="1019">
        <v>1564</v>
      </c>
      <c r="AJ478" s="1020">
        <v>0</v>
      </c>
      <c r="AK478" s="1021">
        <v>362</v>
      </c>
      <c r="AL478" s="1022">
        <v>12</v>
      </c>
      <c r="AM478" s="1155">
        <f>IF(AT478="","",3*'09월 에너지'!S480*(1/(3+7.8*(100-AT478)/AT478)))</f>
        <v>0.50819925742574268</v>
      </c>
      <c r="AN478" s="1023">
        <v>0.16180555555555556</v>
      </c>
      <c r="AO478" s="1024"/>
      <c r="AP478" s="1025"/>
      <c r="AQ478" s="1025"/>
      <c r="AR478" s="1149">
        <f t="shared" si="103"/>
        <v>3</v>
      </c>
      <c r="AS478" s="1093" t="str">
        <f t="shared" si="114"/>
        <v xml:space="preserve"> </v>
      </c>
      <c r="AT478" s="1156">
        <v>0.9</v>
      </c>
      <c r="AU478" s="449"/>
      <c r="AV478" s="1205"/>
    </row>
    <row r="479" spans="1:48" ht="16.5" customHeight="1">
      <c r="A479" s="1005">
        <f t="shared" si="104"/>
        <v>46283</v>
      </c>
      <c r="B479" s="1005">
        <f t="shared" si="105"/>
        <v>46283</v>
      </c>
      <c r="C479" s="1150">
        <f t="shared" si="106"/>
        <v>10</v>
      </c>
      <c r="D479" s="1150">
        <f t="shared" si="107"/>
        <v>468</v>
      </c>
      <c r="E479" s="1006" t="s">
        <v>600</v>
      </c>
      <c r="F479" s="1007" t="s">
        <v>578</v>
      </c>
      <c r="G479" s="1008">
        <f t="shared" si="110"/>
        <v>85681</v>
      </c>
      <c r="H479" s="1138">
        <f t="shared" si="111"/>
        <v>0.62361111111111112</v>
      </c>
      <c r="I479" s="1009">
        <v>0.6333333333333333</v>
      </c>
      <c r="J479" s="1010">
        <f t="shared" si="112"/>
        <v>61.999999999999943</v>
      </c>
      <c r="K479" s="1011">
        <v>14</v>
      </c>
      <c r="L479" s="1012"/>
      <c r="M479" s="1013">
        <v>0.59027777777777779</v>
      </c>
      <c r="N479" s="1014">
        <f t="shared" si="113"/>
        <v>0.6</v>
      </c>
      <c r="O479" s="1323"/>
      <c r="P479" s="1324"/>
      <c r="Q479" s="1324"/>
      <c r="R479" s="1324"/>
      <c r="S479" s="1324"/>
      <c r="T479" s="1325"/>
      <c r="U479" s="1015">
        <v>2</v>
      </c>
      <c r="V479" s="1015"/>
      <c r="W479" s="1015"/>
      <c r="X479" s="1015"/>
      <c r="Y479" s="1015">
        <v>2.7</v>
      </c>
      <c r="Z479" s="1016">
        <f>'09월 에너지'!S481</f>
        <v>146.80000000000001</v>
      </c>
      <c r="AA479" s="1017"/>
      <c r="AB479" s="1208"/>
      <c r="AC479" s="1208"/>
      <c r="AD479" s="1208"/>
      <c r="AE479" s="1208"/>
      <c r="AF479" s="1208"/>
      <c r="AG479" s="1018">
        <f>'09월 화학성분'!AM479</f>
        <v>2372</v>
      </c>
      <c r="AH479" s="1006">
        <f t="shared" si="102"/>
        <v>10</v>
      </c>
      <c r="AI479" s="1019">
        <v>1585</v>
      </c>
      <c r="AJ479" s="1020">
        <v>0</v>
      </c>
      <c r="AK479" s="1021">
        <v>401</v>
      </c>
      <c r="AL479" s="1022">
        <v>11</v>
      </c>
      <c r="AM479" s="1155">
        <f>IF(AT479="","",3*'09월 에너지'!S481*(1/(3+7.8*(100-AT479)/AT479)))</f>
        <v>0.91236793039154762</v>
      </c>
      <c r="AN479" s="1023">
        <v>0.14583333333333334</v>
      </c>
      <c r="AO479" s="1024"/>
      <c r="AP479" s="1025"/>
      <c r="AQ479" s="1025"/>
      <c r="AR479" s="1149">
        <f t="shared" si="103"/>
        <v>4</v>
      </c>
      <c r="AS479" s="1093" t="str">
        <f t="shared" si="114"/>
        <v xml:space="preserve"> </v>
      </c>
      <c r="AT479" s="1156">
        <v>1.6</v>
      </c>
      <c r="AU479" s="449"/>
      <c r="AV479" s="1205"/>
    </row>
    <row r="480" spans="1:48" ht="16.5" customHeight="1">
      <c r="A480" s="1005">
        <f t="shared" si="104"/>
        <v>46283</v>
      </c>
      <c r="B480" s="1005">
        <f t="shared" si="105"/>
        <v>46283</v>
      </c>
      <c r="C480" s="1150">
        <f t="shared" si="106"/>
        <v>11</v>
      </c>
      <c r="D480" s="1150">
        <f t="shared" si="107"/>
        <v>469</v>
      </c>
      <c r="E480" s="1006" t="str">
        <f t="shared" si="108"/>
        <v>B</v>
      </c>
      <c r="F480" s="1007" t="s">
        <v>578</v>
      </c>
      <c r="G480" s="1008">
        <f t="shared" si="110"/>
        <v>85682</v>
      </c>
      <c r="H480" s="1138">
        <f t="shared" si="111"/>
        <v>0.66666666666666663</v>
      </c>
      <c r="I480" s="1009">
        <v>0.67708333333333337</v>
      </c>
      <c r="J480" s="1010">
        <f t="shared" si="112"/>
        <v>63.000000000000099</v>
      </c>
      <c r="K480" s="1011">
        <v>15</v>
      </c>
      <c r="L480" s="1012"/>
      <c r="M480" s="1013">
        <v>0.6333333333333333</v>
      </c>
      <c r="N480" s="1014">
        <f t="shared" si="113"/>
        <v>0.64374999999999993</v>
      </c>
      <c r="O480" s="1323"/>
      <c r="P480" s="1324"/>
      <c r="Q480" s="1324"/>
      <c r="R480" s="1324"/>
      <c r="S480" s="1324"/>
      <c r="T480" s="1325"/>
      <c r="U480" s="1015">
        <v>2</v>
      </c>
      <c r="V480" s="1015"/>
      <c r="W480" s="1015"/>
      <c r="X480" s="1015"/>
      <c r="Y480" s="1015">
        <v>2.7</v>
      </c>
      <c r="Z480" s="1016">
        <f>'09월 에너지'!S482</f>
        <v>141.1</v>
      </c>
      <c r="AA480" s="1017"/>
      <c r="AB480" s="1208"/>
      <c r="AC480" s="1208"/>
      <c r="AD480" s="1208"/>
      <c r="AE480" s="1208"/>
      <c r="AF480" s="1208"/>
      <c r="AG480" s="1018">
        <f>'09월 화학성분'!AM480</f>
        <v>2112</v>
      </c>
      <c r="AH480" s="1006">
        <f t="shared" si="102"/>
        <v>11</v>
      </c>
      <c r="AI480" s="1019">
        <v>1584</v>
      </c>
      <c r="AJ480" s="1020">
        <v>47</v>
      </c>
      <c r="AK480" s="1021">
        <v>525</v>
      </c>
      <c r="AL480" s="1022">
        <v>8</v>
      </c>
      <c r="AM480" s="1155">
        <f>IF(AT480="","",3*'09월 에너지'!S482*(1/(3+7.8*(100-AT480)/AT480)))</f>
        <v>0.82162267080745344</v>
      </c>
      <c r="AN480" s="1023">
        <v>0.13541666666666666</v>
      </c>
      <c r="AO480" s="1024"/>
      <c r="AP480" s="1025"/>
      <c r="AQ480" s="1025"/>
      <c r="AR480" s="1149">
        <f t="shared" si="103"/>
        <v>5</v>
      </c>
      <c r="AS480" s="1093" t="str">
        <f t="shared" si="114"/>
        <v xml:space="preserve"> </v>
      </c>
      <c r="AT480" s="1156">
        <v>1.5</v>
      </c>
      <c r="AU480" s="449"/>
      <c r="AV480" s="1205"/>
    </row>
    <row r="481" spans="1:48" ht="16.5" customHeight="1">
      <c r="A481" s="1005">
        <f t="shared" si="104"/>
        <v>46283</v>
      </c>
      <c r="B481" s="1005">
        <f t="shared" si="105"/>
        <v>46283</v>
      </c>
      <c r="C481" s="1150">
        <f t="shared" si="106"/>
        <v>12</v>
      </c>
      <c r="D481" s="1150">
        <f t="shared" si="107"/>
        <v>470</v>
      </c>
      <c r="E481" s="1006" t="str">
        <f t="shared" si="108"/>
        <v>B</v>
      </c>
      <c r="F481" s="1007" t="s">
        <v>578</v>
      </c>
      <c r="G481" s="1008">
        <f t="shared" si="110"/>
        <v>85683</v>
      </c>
      <c r="H481" s="1138">
        <f t="shared" si="111"/>
        <v>0.7104166666666667</v>
      </c>
      <c r="I481" s="1009">
        <v>0.73333333333333339</v>
      </c>
      <c r="J481" s="1010">
        <f t="shared" si="112"/>
        <v>81.000000000000028</v>
      </c>
      <c r="K481" s="1011">
        <v>33</v>
      </c>
      <c r="L481" s="1012"/>
      <c r="M481" s="1013">
        <v>0.67708333333333337</v>
      </c>
      <c r="N481" s="1014">
        <f t="shared" si="113"/>
        <v>0.70000000000000007</v>
      </c>
      <c r="O481" s="1323" t="s">
        <v>886</v>
      </c>
      <c r="P481" s="1324"/>
      <c r="Q481" s="1324"/>
      <c r="R481" s="1324"/>
      <c r="S481" s="1324"/>
      <c r="T481" s="1325"/>
      <c r="U481" s="1015">
        <v>2</v>
      </c>
      <c r="V481" s="1015"/>
      <c r="W481" s="1015"/>
      <c r="X481" s="1015"/>
      <c r="Y481" s="1015">
        <v>2.2000000000000002</v>
      </c>
      <c r="Z481" s="1016">
        <f>'09월 에너지'!S483</f>
        <v>146.30000000000001</v>
      </c>
      <c r="AA481" s="1017">
        <v>2351</v>
      </c>
      <c r="AB481" s="1208" t="s">
        <v>573</v>
      </c>
      <c r="AC481" s="1208" t="s">
        <v>532</v>
      </c>
      <c r="AD481" s="1208"/>
      <c r="AE481" s="1208"/>
      <c r="AF481" s="1208" t="s">
        <v>880</v>
      </c>
      <c r="AG481" s="1018">
        <f>'09월 화학성분'!AM481</f>
        <v>2364</v>
      </c>
      <c r="AH481" s="1006">
        <f t="shared" si="102"/>
        <v>12</v>
      </c>
      <c r="AI481" s="1019">
        <v>1584</v>
      </c>
      <c r="AJ481" s="1020">
        <v>69</v>
      </c>
      <c r="AK481" s="1021">
        <v>761</v>
      </c>
      <c r="AL481" s="1022">
        <v>5</v>
      </c>
      <c r="AM481" s="1155">
        <f>IF(AT481="","",3*'09월 에너지'!S483*(1/(3+7.8*(100-AT481)/AT481)))</f>
        <v>1.2549126637554588</v>
      </c>
      <c r="AN481" s="1023">
        <v>0.13819444444444443</v>
      </c>
      <c r="AO481" s="1024"/>
      <c r="AP481" s="1025"/>
      <c r="AQ481" s="1025"/>
      <c r="AR481" s="1149">
        <f t="shared" si="103"/>
        <v>6</v>
      </c>
      <c r="AS481" s="1093" t="str">
        <f t="shared" si="114"/>
        <v xml:space="preserve"> </v>
      </c>
      <c r="AT481" s="1156">
        <v>2.2000000000000002</v>
      </c>
      <c r="AU481" s="449"/>
      <c r="AV481" s="1205"/>
    </row>
    <row r="482" spans="1:48" ht="16.5" customHeight="1">
      <c r="A482" s="1005">
        <f t="shared" si="104"/>
        <v>46283</v>
      </c>
      <c r="B482" s="1005">
        <f t="shared" si="105"/>
        <v>46283</v>
      </c>
      <c r="C482" s="1150">
        <f t="shared" si="106"/>
        <v>13</v>
      </c>
      <c r="D482" s="1150">
        <f t="shared" si="107"/>
        <v>471</v>
      </c>
      <c r="E482" s="1006" t="str">
        <f t="shared" si="108"/>
        <v>B</v>
      </c>
      <c r="F482" s="1007" t="s">
        <v>534</v>
      </c>
      <c r="G482" s="1008">
        <f t="shared" si="110"/>
        <v>85684</v>
      </c>
      <c r="H482" s="1138">
        <f t="shared" si="111"/>
        <v>0.76666666666666672</v>
      </c>
      <c r="I482" s="1009">
        <v>0.77361111111111114</v>
      </c>
      <c r="J482" s="1010">
        <f t="shared" si="112"/>
        <v>57.999999999999957</v>
      </c>
      <c r="K482" s="1011">
        <v>10</v>
      </c>
      <c r="L482" s="1012"/>
      <c r="M482" s="1013">
        <v>0.73333333333333339</v>
      </c>
      <c r="N482" s="1014">
        <f t="shared" si="113"/>
        <v>0.74027777777777781</v>
      </c>
      <c r="O482" s="1323"/>
      <c r="P482" s="1324"/>
      <c r="Q482" s="1324"/>
      <c r="R482" s="1324"/>
      <c r="S482" s="1324"/>
      <c r="T482" s="1325"/>
      <c r="U482" s="1015">
        <v>2</v>
      </c>
      <c r="V482" s="1015"/>
      <c r="W482" s="1015"/>
      <c r="X482" s="1015"/>
      <c r="Y482" s="1015">
        <v>2.5</v>
      </c>
      <c r="Z482" s="1016">
        <f>'09월 에너지'!S484</f>
        <v>147.6</v>
      </c>
      <c r="AA482" s="1017"/>
      <c r="AB482" s="1208"/>
      <c r="AC482" s="1208"/>
      <c r="AD482" s="1208"/>
      <c r="AE482" s="1208"/>
      <c r="AF482" s="1208"/>
      <c r="AG482" s="1018">
        <f>'09월 화학성분'!AM482</f>
        <v>2035</v>
      </c>
      <c r="AH482" s="1006">
        <f t="shared" si="102"/>
        <v>13</v>
      </c>
      <c r="AI482" s="1019">
        <v>1567</v>
      </c>
      <c r="AJ482" s="1020">
        <v>0</v>
      </c>
      <c r="AK482" s="1021">
        <v>348</v>
      </c>
      <c r="AL482" s="1022">
        <v>13</v>
      </c>
      <c r="AM482" s="1155">
        <f>IF(AT482="","",3*'09월 에너지'!S484*(1/(3+7.8*(100-AT482)/AT482)))</f>
        <v>0.80167597765363119</v>
      </c>
      <c r="AN482" s="1023">
        <v>0.14305555555555557</v>
      </c>
      <c r="AO482" s="1024"/>
      <c r="AP482" s="1025"/>
      <c r="AQ482" s="1025"/>
      <c r="AR482" s="1149">
        <f t="shared" si="103"/>
        <v>7</v>
      </c>
      <c r="AS482" s="1093" t="str">
        <f t="shared" si="114"/>
        <v xml:space="preserve"> </v>
      </c>
      <c r="AT482" s="1156">
        <v>1.4</v>
      </c>
      <c r="AU482" s="449"/>
      <c r="AV482" s="1205"/>
    </row>
    <row r="483" spans="1:48" ht="16.5" customHeight="1">
      <c r="A483" s="1005">
        <f t="shared" si="104"/>
        <v>46283</v>
      </c>
      <c r="B483" s="1005">
        <f t="shared" si="105"/>
        <v>46283</v>
      </c>
      <c r="C483" s="1150">
        <f t="shared" si="106"/>
        <v>14</v>
      </c>
      <c r="D483" s="1150">
        <f t="shared" si="107"/>
        <v>472</v>
      </c>
      <c r="E483" s="1006" t="str">
        <f t="shared" si="108"/>
        <v>B</v>
      </c>
      <c r="F483" s="1007" t="s">
        <v>534</v>
      </c>
      <c r="G483" s="1008">
        <f t="shared" si="110"/>
        <v>85685</v>
      </c>
      <c r="H483" s="1138">
        <f t="shared" si="111"/>
        <v>0.80694444444444446</v>
      </c>
      <c r="I483" s="1009">
        <v>0.81458333333333333</v>
      </c>
      <c r="J483" s="1010">
        <f t="shared" si="112"/>
        <v>58.99999999999995</v>
      </c>
      <c r="K483" s="1011">
        <v>11</v>
      </c>
      <c r="L483" s="1012"/>
      <c r="M483" s="1013">
        <v>0.77361111111111114</v>
      </c>
      <c r="N483" s="1014">
        <f t="shared" si="113"/>
        <v>0.78125</v>
      </c>
      <c r="O483" s="1323"/>
      <c r="P483" s="1324"/>
      <c r="Q483" s="1324"/>
      <c r="R483" s="1324"/>
      <c r="S483" s="1324"/>
      <c r="T483" s="1325"/>
      <c r="U483" s="1015">
        <v>2</v>
      </c>
      <c r="V483" s="1015"/>
      <c r="W483" s="1015"/>
      <c r="X483" s="1015"/>
      <c r="Y483" s="1015">
        <v>2.8</v>
      </c>
      <c r="Z483" s="1016">
        <f>'09월 에너지'!S485</f>
        <v>145.69999999999999</v>
      </c>
      <c r="AA483" s="1017"/>
      <c r="AB483" s="1208"/>
      <c r="AC483" s="1208"/>
      <c r="AD483" s="1208"/>
      <c r="AE483" s="1208"/>
      <c r="AF483" s="1208"/>
      <c r="AG483" s="1018">
        <f>'09월 화학성분'!AM483</f>
        <v>2013</v>
      </c>
      <c r="AH483" s="1006">
        <f t="shared" si="102"/>
        <v>14</v>
      </c>
      <c r="AI483" s="1019">
        <v>1547</v>
      </c>
      <c r="AJ483" s="1020">
        <v>0</v>
      </c>
      <c r="AK483" s="1021">
        <v>389</v>
      </c>
      <c r="AL483" s="1022">
        <v>11</v>
      </c>
      <c r="AM483" s="1155">
        <f>IF(AT483="","",3*'09월 에너지'!S485*(1/(3+7.8*(100-AT483)/AT483)))</f>
        <v>0.45052566481137907</v>
      </c>
      <c r="AN483" s="1023">
        <v>0.1388888888888889</v>
      </c>
      <c r="AO483" s="1024"/>
      <c r="AP483" s="1025"/>
      <c r="AQ483" s="1025"/>
      <c r="AR483" s="1149">
        <f t="shared" si="103"/>
        <v>8</v>
      </c>
      <c r="AS483" s="1093" t="str">
        <f t="shared" si="114"/>
        <v xml:space="preserve"> </v>
      </c>
      <c r="AT483" s="1156">
        <v>0.8</v>
      </c>
      <c r="AU483" s="449"/>
      <c r="AV483" s="1205"/>
    </row>
    <row r="484" spans="1:48" ht="16.5" customHeight="1">
      <c r="A484" s="1005">
        <f t="shared" si="104"/>
        <v>46283</v>
      </c>
      <c r="B484" s="1005">
        <f t="shared" si="105"/>
        <v>46283</v>
      </c>
      <c r="C484" s="1150">
        <f t="shared" si="106"/>
        <v>15</v>
      </c>
      <c r="D484" s="1150">
        <f t="shared" si="107"/>
        <v>473</v>
      </c>
      <c r="E484" s="1006" t="str">
        <f t="shared" si="108"/>
        <v>B</v>
      </c>
      <c r="F484" s="1007" t="s">
        <v>885</v>
      </c>
      <c r="G484" s="1008">
        <f t="shared" si="110"/>
        <v>85686</v>
      </c>
      <c r="H484" s="1138">
        <f t="shared" si="111"/>
        <v>0.84791666666666665</v>
      </c>
      <c r="I484" s="1009">
        <v>0.85763888888888884</v>
      </c>
      <c r="J484" s="1010">
        <f t="shared" si="112"/>
        <v>61.999999999999943</v>
      </c>
      <c r="K484" s="1011">
        <v>14</v>
      </c>
      <c r="L484" s="1012"/>
      <c r="M484" s="1013">
        <v>0.81458333333333333</v>
      </c>
      <c r="N484" s="1014">
        <f t="shared" si="113"/>
        <v>0.82430555555555551</v>
      </c>
      <c r="O484" s="1323"/>
      <c r="P484" s="1324"/>
      <c r="Q484" s="1324"/>
      <c r="R484" s="1324"/>
      <c r="S484" s="1324"/>
      <c r="T484" s="1325"/>
      <c r="U484" s="1015">
        <v>2</v>
      </c>
      <c r="V484" s="1015"/>
      <c r="W484" s="1015"/>
      <c r="X484" s="1015"/>
      <c r="Y484" s="1015">
        <v>2.7</v>
      </c>
      <c r="Z484" s="1016">
        <f>'09월 에너지'!S486</f>
        <v>150.4</v>
      </c>
      <c r="AA484" s="1017"/>
      <c r="AB484" s="1208"/>
      <c r="AC484" s="1208"/>
      <c r="AD484" s="1208"/>
      <c r="AE484" s="1208"/>
      <c r="AF484" s="1208"/>
      <c r="AG484" s="1018">
        <f>'09월 화학성분'!AM484</f>
        <v>1873</v>
      </c>
      <c r="AH484" s="1006">
        <f t="shared" si="102"/>
        <v>15</v>
      </c>
      <c r="AI484" s="1019">
        <v>1585</v>
      </c>
      <c r="AJ484" s="1020">
        <v>0</v>
      </c>
      <c r="AK484" s="1021">
        <v>486</v>
      </c>
      <c r="AL484" s="1022">
        <v>9</v>
      </c>
      <c r="AM484" s="1155">
        <f>IF(AT484="","",3*'09월 에너지'!S486*(1/(3+7.8*(100-AT484)/AT484)))</f>
        <v>0.58204334365325094</v>
      </c>
      <c r="AN484" s="1023">
        <v>0.13541666666666666</v>
      </c>
      <c r="AO484" s="1024"/>
      <c r="AP484" s="1025"/>
      <c r="AQ484" s="1025"/>
      <c r="AR484" s="1149">
        <f t="shared" si="103"/>
        <v>9</v>
      </c>
      <c r="AS484" s="1093" t="str">
        <f t="shared" si="114"/>
        <v xml:space="preserve"> </v>
      </c>
      <c r="AT484" s="1156">
        <v>1</v>
      </c>
      <c r="AU484" s="449"/>
      <c r="AV484" s="1205"/>
    </row>
    <row r="485" spans="1:48" ht="16.5" customHeight="1">
      <c r="A485" s="1005">
        <f t="shared" si="104"/>
        <v>46283</v>
      </c>
      <c r="B485" s="1005">
        <f t="shared" si="105"/>
        <v>46283</v>
      </c>
      <c r="C485" s="1150">
        <f t="shared" si="106"/>
        <v>16</v>
      </c>
      <c r="D485" s="1150">
        <f t="shared" si="107"/>
        <v>474</v>
      </c>
      <c r="E485" s="1006" t="str">
        <f t="shared" si="108"/>
        <v>B</v>
      </c>
      <c r="F485" s="1007" t="s">
        <v>578</v>
      </c>
      <c r="G485" s="1008">
        <f t="shared" si="110"/>
        <v>85687</v>
      </c>
      <c r="H485" s="1138">
        <f t="shared" si="111"/>
        <v>0.89097222222222217</v>
      </c>
      <c r="I485" s="1009">
        <v>0.9243055555555556</v>
      </c>
      <c r="J485" s="1010">
        <f t="shared" si="112"/>
        <v>96.000000000000142</v>
      </c>
      <c r="K485" s="1011">
        <v>48</v>
      </c>
      <c r="L485" s="1012"/>
      <c r="M485" s="1013">
        <v>0.85763888888888884</v>
      </c>
      <c r="N485" s="1014">
        <f t="shared" si="113"/>
        <v>0.89097222222222217</v>
      </c>
      <c r="O485" s="1323" t="s">
        <v>886</v>
      </c>
      <c r="P485" s="1324"/>
      <c r="Q485" s="1324"/>
      <c r="R485" s="1324"/>
      <c r="S485" s="1324"/>
      <c r="T485" s="1325"/>
      <c r="U485" s="1015">
        <v>2</v>
      </c>
      <c r="V485" s="1015"/>
      <c r="W485" s="1015"/>
      <c r="X485" s="1015"/>
      <c r="Y485" s="1015"/>
      <c r="Z485" s="1016">
        <f>'09월 에너지'!S487</f>
        <v>142.5</v>
      </c>
      <c r="AA485" s="1017">
        <v>1366</v>
      </c>
      <c r="AB485" s="1208" t="s">
        <v>573</v>
      </c>
      <c r="AC485" s="1208" t="s">
        <v>532</v>
      </c>
      <c r="AD485" s="1208"/>
      <c r="AE485" s="1208"/>
      <c r="AF485" s="1208" t="s">
        <v>880</v>
      </c>
      <c r="AG485" s="1018">
        <f>'09월 화학성분'!AM485</f>
        <v>2357</v>
      </c>
      <c r="AH485" s="1006">
        <f t="shared" si="102"/>
        <v>16</v>
      </c>
      <c r="AI485" s="1019">
        <v>1577</v>
      </c>
      <c r="AJ485" s="1020">
        <v>0</v>
      </c>
      <c r="AK485" s="1021">
        <v>659</v>
      </c>
      <c r="AL485" s="1022">
        <v>6</v>
      </c>
      <c r="AM485" s="1155">
        <f>IF(AT485="","",3*'09월 에너지'!S487*(1/(3+7.8*(100-AT485)/AT485)))</f>
        <v>0.44063079777365488</v>
      </c>
      <c r="AN485" s="1023">
        <v>0.15902777777777777</v>
      </c>
      <c r="AO485" s="1024"/>
      <c r="AP485" s="1025"/>
      <c r="AQ485" s="1025"/>
      <c r="AR485" s="1149">
        <f t="shared" si="103"/>
        <v>10</v>
      </c>
      <c r="AS485" s="1093" t="str">
        <f t="shared" si="114"/>
        <v xml:space="preserve"> </v>
      </c>
      <c r="AT485" s="1156">
        <v>0.8</v>
      </c>
      <c r="AU485" s="449"/>
      <c r="AV485" s="1205"/>
    </row>
    <row r="486" spans="1:48" ht="16.5" customHeight="1">
      <c r="A486" s="1005">
        <f t="shared" si="104"/>
        <v>46283</v>
      </c>
      <c r="B486" s="1005">
        <f t="shared" si="105"/>
        <v>46283</v>
      </c>
      <c r="C486" s="1150">
        <f t="shared" si="106"/>
        <v>17</v>
      </c>
      <c r="D486" s="1150">
        <f t="shared" si="107"/>
        <v>475</v>
      </c>
      <c r="E486" s="1006" t="s">
        <v>582</v>
      </c>
      <c r="F486" s="1007" t="s">
        <v>578</v>
      </c>
      <c r="G486" s="1008">
        <f t="shared" si="110"/>
        <v>85688</v>
      </c>
      <c r="H486" s="1138">
        <f t="shared" si="111"/>
        <v>0.95763888888888893</v>
      </c>
      <c r="I486" s="1009">
        <v>0.98055555555555562</v>
      </c>
      <c r="J486" s="1010">
        <f t="shared" si="112"/>
        <v>81.000000000000028</v>
      </c>
      <c r="K486" s="1011">
        <v>21</v>
      </c>
      <c r="L486" s="1012">
        <v>12</v>
      </c>
      <c r="M486" s="1013">
        <v>0.92499999999999993</v>
      </c>
      <c r="N486" s="1014">
        <f t="shared" si="113"/>
        <v>0.93958333333333321</v>
      </c>
      <c r="O486" s="1323"/>
      <c r="P486" s="1324"/>
      <c r="Q486" s="1324"/>
      <c r="R486" s="1324"/>
      <c r="S486" s="1324"/>
      <c r="T486" s="1325"/>
      <c r="U486" s="1015">
        <v>2</v>
      </c>
      <c r="V486" s="1015"/>
      <c r="W486" s="1015"/>
      <c r="X486" s="1015"/>
      <c r="Y486" s="1015">
        <v>2.6</v>
      </c>
      <c r="Z486" s="1016">
        <f>'09월 에너지'!S488</f>
        <v>143.5</v>
      </c>
      <c r="AA486" s="1017"/>
      <c r="AB486" s="1208"/>
      <c r="AC486" s="1208"/>
      <c r="AD486" s="1208"/>
      <c r="AE486" s="1208"/>
      <c r="AF486" s="1208"/>
      <c r="AG486" s="1018">
        <f>'09월 화학성분'!AM486</f>
        <v>2988</v>
      </c>
      <c r="AH486" s="1006">
        <f t="shared" si="102"/>
        <v>17</v>
      </c>
      <c r="AI486" s="1019">
        <v>1565</v>
      </c>
      <c r="AJ486" s="1020">
        <v>57</v>
      </c>
      <c r="AK486" s="1021">
        <v>846</v>
      </c>
      <c r="AL486" s="1022">
        <v>4</v>
      </c>
      <c r="AM486" s="1155">
        <f>IF(AT486="","",3*'09월 에너지'!S488*(1/(3+7.8*(100-AT486)/AT486)))</f>
        <v>0.55534055727554188</v>
      </c>
      <c r="AN486" s="1023">
        <v>0.15</v>
      </c>
      <c r="AO486" s="1024"/>
      <c r="AP486" s="1025"/>
      <c r="AQ486" s="1025"/>
      <c r="AR486" s="1149">
        <f t="shared" si="103"/>
        <v>11</v>
      </c>
      <c r="AS486" s="1093" t="str">
        <f t="shared" si="114"/>
        <v xml:space="preserve"> </v>
      </c>
      <c r="AT486" s="1156">
        <v>1</v>
      </c>
      <c r="AU486" s="449"/>
      <c r="AV486" s="1205"/>
    </row>
    <row r="487" spans="1:48" ht="16.5" customHeight="1">
      <c r="A487" s="1005">
        <f t="shared" si="104"/>
        <v>46283</v>
      </c>
      <c r="B487" s="1005">
        <f t="shared" si="105"/>
        <v>46283</v>
      </c>
      <c r="C487" s="1150">
        <f t="shared" si="106"/>
        <v>18</v>
      </c>
      <c r="D487" s="1150">
        <f t="shared" si="107"/>
        <v>476</v>
      </c>
      <c r="E487" s="1006" t="str">
        <f t="shared" si="108"/>
        <v>C</v>
      </c>
      <c r="F487" s="1007" t="s">
        <v>624</v>
      </c>
      <c r="G487" s="1008">
        <f t="shared" si="110"/>
        <v>85689</v>
      </c>
      <c r="H487" s="1138">
        <f t="shared" si="111"/>
        <v>1.0138888888888891</v>
      </c>
      <c r="I487" s="1009">
        <v>0.99722222222222223</v>
      </c>
      <c r="J487" s="1010">
        <f t="shared" si="112"/>
        <v>23.999999999999915</v>
      </c>
      <c r="K487" s="1011"/>
      <c r="L487" s="1012"/>
      <c r="M487" s="1013"/>
      <c r="N487" s="1014" t="str">
        <f t="shared" si="113"/>
        <v/>
      </c>
      <c r="O487" s="1323"/>
      <c r="P487" s="1324"/>
      <c r="Q487" s="1324"/>
      <c r="R487" s="1324"/>
      <c r="S487" s="1324"/>
      <c r="T487" s="1325"/>
      <c r="U487" s="1015">
        <v>2</v>
      </c>
      <c r="V487" s="1015"/>
      <c r="W487" s="1015"/>
      <c r="X487" s="1015"/>
      <c r="Y487" s="1015"/>
      <c r="Z487" s="1016">
        <f>'09월 에너지'!S489</f>
        <v>129.19999999999999</v>
      </c>
      <c r="AA487" s="1017"/>
      <c r="AB487" s="1208"/>
      <c r="AC487" s="1208"/>
      <c r="AD487" s="1208"/>
      <c r="AE487" s="1208"/>
      <c r="AF487" s="1208"/>
      <c r="AG487" s="1018">
        <f>'09월 화학성분'!AM487</f>
        <v>2742</v>
      </c>
      <c r="AH487" s="1006">
        <f t="shared" si="102"/>
        <v>18</v>
      </c>
      <c r="AI487" s="1019">
        <v>1541</v>
      </c>
      <c r="AJ487" s="1020">
        <v>0</v>
      </c>
      <c r="AK487" s="1021">
        <v>249</v>
      </c>
      <c r="AL487" s="1022">
        <v>19</v>
      </c>
      <c r="AM487" s="1155">
        <f>IF(AT487="","",3*'09월 에너지'!S489*(1/(3+7.8*(100-AT487)/AT487)))</f>
        <v>9.9507085643869397E-2</v>
      </c>
      <c r="AN487" s="1023">
        <v>0.12708333333333333</v>
      </c>
      <c r="AO487" s="1024"/>
      <c r="AP487" s="1025"/>
      <c r="AQ487" s="1025"/>
      <c r="AR487" s="1149" t="str">
        <f t="shared" si="103"/>
        <v/>
      </c>
      <c r="AS487" s="1093">
        <v>3</v>
      </c>
      <c r="AT487" s="1156">
        <v>0.2</v>
      </c>
      <c r="AU487" s="449"/>
      <c r="AV487" s="1205"/>
    </row>
    <row r="488" spans="1:48" ht="16.5" customHeight="1">
      <c r="A488" s="1005">
        <f t="shared" si="104"/>
        <v>46283</v>
      </c>
      <c r="B488" s="1005">
        <f t="shared" si="105"/>
        <v>46283</v>
      </c>
      <c r="C488" s="1150">
        <f t="shared" si="106"/>
        <v>19</v>
      </c>
      <c r="D488" s="1150">
        <f t="shared" si="107"/>
        <v>477</v>
      </c>
      <c r="E488" s="1006" t="str">
        <f t="shared" si="108"/>
        <v>C</v>
      </c>
      <c r="F488" s="1007" t="str">
        <f t="shared" si="109"/>
        <v>A</v>
      </c>
      <c r="G488" s="1008">
        <f t="shared" si="110"/>
        <v>85690</v>
      </c>
      <c r="H488" s="1138">
        <f t="shared" si="111"/>
        <v>1.0305555555555557</v>
      </c>
      <c r="I488" s="1009">
        <v>3.125E-2</v>
      </c>
      <c r="J488" s="1010">
        <f t="shared" si="112"/>
        <v>49</v>
      </c>
      <c r="K488" s="1011"/>
      <c r="L488" s="1012">
        <v>2</v>
      </c>
      <c r="M488" s="1013"/>
      <c r="N488" s="1014" t="str">
        <f t="shared" si="113"/>
        <v/>
      </c>
      <c r="O488" s="1326" t="s">
        <v>887</v>
      </c>
      <c r="P488" s="1327"/>
      <c r="Q488" s="1327"/>
      <c r="R488" s="1327"/>
      <c r="S488" s="1327"/>
      <c r="T488" s="1328"/>
      <c r="U488" s="1015">
        <v>2</v>
      </c>
      <c r="V488" s="1015"/>
      <c r="W488" s="1015"/>
      <c r="X488" s="1015"/>
      <c r="Y488" s="1015"/>
      <c r="Z488" s="1016">
        <f>'09월 에너지'!S490</f>
        <v>140.6</v>
      </c>
      <c r="AA488" s="1017"/>
      <c r="AB488" s="1208"/>
      <c r="AC488" s="1208"/>
      <c r="AD488" s="1208"/>
      <c r="AE488" s="1208"/>
      <c r="AF488" s="1208"/>
      <c r="AG488" s="1018">
        <f>'09월 화학성분'!AM488</f>
        <v>2169</v>
      </c>
      <c r="AH488" s="1006">
        <f t="shared" si="102"/>
        <v>19</v>
      </c>
      <c r="AI488" s="1019">
        <v>1592</v>
      </c>
      <c r="AJ488" s="1020">
        <v>0</v>
      </c>
      <c r="AK488" s="1021">
        <v>381</v>
      </c>
      <c r="AL488" s="1022">
        <v>12</v>
      </c>
      <c r="AM488" s="1155">
        <f>IF(AT488="","",3*'09월 에너지'!S490*(1/(3+7.8*(100-AT488)/AT488)))</f>
        <v>0.76365611421477331</v>
      </c>
      <c r="AN488" s="1023">
        <v>0.15555555555555556</v>
      </c>
      <c r="AO488" s="1024"/>
      <c r="AP488" s="1025"/>
      <c r="AQ488" s="1025"/>
      <c r="AR488" s="1149">
        <f t="shared" si="103"/>
        <v>12</v>
      </c>
      <c r="AS488" s="1093" t="str">
        <f t="shared" si="114"/>
        <v xml:space="preserve"> </v>
      </c>
      <c r="AT488" s="1156">
        <v>1.4</v>
      </c>
      <c r="AU488" s="449"/>
      <c r="AV488" s="1205"/>
    </row>
    <row r="489" spans="1:48" ht="16.5" customHeight="1">
      <c r="A489" s="1005">
        <f t="shared" si="104"/>
        <v>46283</v>
      </c>
      <c r="B489" s="1005">
        <f t="shared" si="105"/>
        <v>46283</v>
      </c>
      <c r="C489" s="1150">
        <f t="shared" si="106"/>
        <v>20</v>
      </c>
      <c r="D489" s="1150">
        <f t="shared" si="107"/>
        <v>478</v>
      </c>
      <c r="E489" s="1006" t="str">
        <f t="shared" si="108"/>
        <v>C</v>
      </c>
      <c r="F489" s="1007" t="str">
        <f t="shared" si="109"/>
        <v>B</v>
      </c>
      <c r="G489" s="1008">
        <f t="shared" si="110"/>
        <v>85691</v>
      </c>
      <c r="H489" s="1138">
        <f t="shared" si="111"/>
        <v>6.4583333333333326E-2</v>
      </c>
      <c r="I489" s="1009">
        <v>6.25E-2</v>
      </c>
      <c r="J489" s="1010">
        <f t="shared" si="112"/>
        <v>45</v>
      </c>
      <c r="K489" s="1011"/>
      <c r="L489" s="1012">
        <v>2</v>
      </c>
      <c r="M489" s="1013"/>
      <c r="N489" s="1014" t="str">
        <f t="shared" si="113"/>
        <v/>
      </c>
      <c r="O489" s="1323" t="s">
        <v>674</v>
      </c>
      <c r="P489" s="1324"/>
      <c r="Q489" s="1324"/>
      <c r="R489" s="1324"/>
      <c r="S489" s="1324"/>
      <c r="T489" s="1325"/>
      <c r="U489" s="1015">
        <v>2</v>
      </c>
      <c r="V489" s="1015"/>
      <c r="W489" s="1015"/>
      <c r="X489" s="1015"/>
      <c r="Y489" s="1015"/>
      <c r="Z489" s="1016">
        <f>'09월 에너지'!S491</f>
        <v>145.9</v>
      </c>
      <c r="AA489" s="1017"/>
      <c r="AB489" s="1208"/>
      <c r="AC489" s="1208"/>
      <c r="AD489" s="1208"/>
      <c r="AE489" s="1208"/>
      <c r="AF489" s="1208"/>
      <c r="AG489" s="1018">
        <f>'09월 화학성분'!AM489</f>
        <v>1651</v>
      </c>
      <c r="AH489" s="1006">
        <f t="shared" si="102"/>
        <v>20</v>
      </c>
      <c r="AI489" s="1019">
        <v>1560</v>
      </c>
      <c r="AJ489" s="1020">
        <v>0</v>
      </c>
      <c r="AK489" s="1021">
        <v>301</v>
      </c>
      <c r="AL489" s="1022">
        <v>15</v>
      </c>
      <c r="AM489" s="1155">
        <f>IF(AT489="","",3*'09월 에너지'!S491*(1/(3+7.8*(100-AT489)/AT489)))</f>
        <v>0.45114409400123689</v>
      </c>
      <c r="AN489" s="1023">
        <v>0.1423611111111111</v>
      </c>
      <c r="AO489" s="1024"/>
      <c r="AP489" s="1025"/>
      <c r="AQ489" s="1025"/>
      <c r="AR489" s="1149" t="str">
        <f t="shared" si="103"/>
        <v/>
      </c>
      <c r="AS489" s="1093">
        <f t="shared" si="114"/>
        <v>4</v>
      </c>
      <c r="AT489" s="1156">
        <v>0.8</v>
      </c>
      <c r="AU489" s="449"/>
      <c r="AV489" s="1205"/>
    </row>
    <row r="490" spans="1:48" ht="16.5" customHeight="1">
      <c r="A490" s="1005">
        <f t="shared" si="104"/>
        <v>46283</v>
      </c>
      <c r="B490" s="1005">
        <f t="shared" si="105"/>
        <v>46283</v>
      </c>
      <c r="C490" s="1150">
        <f t="shared" si="106"/>
        <v>21</v>
      </c>
      <c r="D490" s="1150">
        <f t="shared" si="107"/>
        <v>479</v>
      </c>
      <c r="E490" s="1006" t="str">
        <f t="shared" si="108"/>
        <v>C</v>
      </c>
      <c r="F490" s="1007" t="str">
        <f t="shared" si="109"/>
        <v>A</v>
      </c>
      <c r="G490" s="1008">
        <f t="shared" si="110"/>
        <v>85692</v>
      </c>
      <c r="H490" s="1138">
        <f t="shared" si="111"/>
        <v>9.5833333333333326E-2</v>
      </c>
      <c r="I490" s="1009">
        <v>9.4444444444444442E-2</v>
      </c>
      <c r="J490" s="1010">
        <f t="shared" si="112"/>
        <v>46</v>
      </c>
      <c r="K490" s="1011"/>
      <c r="L490" s="1012"/>
      <c r="M490" s="1013"/>
      <c r="N490" s="1014" t="str">
        <f t="shared" si="113"/>
        <v/>
      </c>
      <c r="O490" s="1323"/>
      <c r="P490" s="1324"/>
      <c r="Q490" s="1324"/>
      <c r="R490" s="1324"/>
      <c r="S490" s="1324"/>
      <c r="T490" s="1325"/>
      <c r="U490" s="1015">
        <v>2</v>
      </c>
      <c r="V490" s="1015"/>
      <c r="W490" s="1015"/>
      <c r="X490" s="1015"/>
      <c r="Y490" s="1015">
        <v>2.6</v>
      </c>
      <c r="Z490" s="1016">
        <f>'09월 에너지'!S492</f>
        <v>141.69999999999999</v>
      </c>
      <c r="AA490" s="1017"/>
      <c r="AB490" s="1208"/>
      <c r="AC490" s="1208"/>
      <c r="AD490" s="1208"/>
      <c r="AE490" s="1208"/>
      <c r="AF490" s="1208"/>
      <c r="AG490" s="1018">
        <f>'09월 화학성분'!AM490</f>
        <v>1696</v>
      </c>
      <c r="AH490" s="1006">
        <f t="shared" si="102"/>
        <v>21</v>
      </c>
      <c r="AI490" s="1019">
        <v>1578</v>
      </c>
      <c r="AJ490" s="1020">
        <v>41</v>
      </c>
      <c r="AK490" s="1021">
        <v>434</v>
      </c>
      <c r="AL490" s="1022">
        <v>10</v>
      </c>
      <c r="AM490" s="1155">
        <f>IF(AT490="","",3*'09월 에너지'!S492*(1/(3+7.8*(100-AT490)/AT490)))</f>
        <v>1.2154553961322521</v>
      </c>
      <c r="AN490" s="1023">
        <v>0.15138888888888888</v>
      </c>
      <c r="AO490" s="1024"/>
      <c r="AP490" s="1025"/>
      <c r="AQ490" s="1025"/>
      <c r="AR490" s="1149">
        <f t="shared" si="103"/>
        <v>13</v>
      </c>
      <c r="AS490" s="1093" t="str">
        <f t="shared" si="114"/>
        <v xml:space="preserve"> </v>
      </c>
      <c r="AT490" s="1156">
        <v>2.2000000000000002</v>
      </c>
      <c r="AU490" s="449"/>
      <c r="AV490" s="1205"/>
    </row>
    <row r="491" spans="1:48" ht="16.5" customHeight="1">
      <c r="A491" s="1005">
        <f t="shared" si="104"/>
        <v>46283</v>
      </c>
      <c r="B491" s="1005">
        <f t="shared" si="105"/>
        <v>46283</v>
      </c>
      <c r="C491" s="1150">
        <f t="shared" si="106"/>
        <v>22</v>
      </c>
      <c r="D491" s="1150">
        <f t="shared" si="107"/>
        <v>480</v>
      </c>
      <c r="E491" s="1006" t="str">
        <f t="shared" si="108"/>
        <v>C</v>
      </c>
      <c r="F491" s="1007" t="str">
        <f t="shared" si="109"/>
        <v>B</v>
      </c>
      <c r="G491" s="1008">
        <f t="shared" si="110"/>
        <v>85693</v>
      </c>
      <c r="H491" s="1138">
        <f t="shared" si="111"/>
        <v>0.12777777777777777</v>
      </c>
      <c r="I491" s="1009">
        <v>0.13263888888888889</v>
      </c>
      <c r="J491" s="1010">
        <f t="shared" si="112"/>
        <v>55.000000000000007</v>
      </c>
      <c r="K491" s="1011">
        <v>5</v>
      </c>
      <c r="L491" s="1012"/>
      <c r="M491" s="1013">
        <v>0.10902777777777778</v>
      </c>
      <c r="N491" s="1014">
        <f t="shared" si="113"/>
        <v>0.1125</v>
      </c>
      <c r="O491" s="1323" t="s">
        <v>890</v>
      </c>
      <c r="P491" s="1324"/>
      <c r="Q491" s="1324"/>
      <c r="R491" s="1324"/>
      <c r="S491" s="1324"/>
      <c r="T491" s="1325"/>
      <c r="U491" s="1015">
        <v>2</v>
      </c>
      <c r="V491" s="1015"/>
      <c r="W491" s="1015"/>
      <c r="X491" s="1015"/>
      <c r="Y491" s="1015">
        <v>2.4</v>
      </c>
      <c r="Z491" s="1016">
        <f>'09월 에너지'!S493</f>
        <v>145.5</v>
      </c>
      <c r="AA491" s="1017">
        <v>1530</v>
      </c>
      <c r="AB491" s="1208" t="s">
        <v>889</v>
      </c>
      <c r="AC491" s="1208" t="s">
        <v>548</v>
      </c>
      <c r="AD491" s="1208"/>
      <c r="AE491" s="1208"/>
      <c r="AF491" s="1208" t="s">
        <v>548</v>
      </c>
      <c r="AG491" s="1018">
        <f>'09월 화학성분'!AM491</f>
        <v>1776</v>
      </c>
      <c r="AH491" s="1006">
        <f t="shared" si="102"/>
        <v>22</v>
      </c>
      <c r="AI491" s="1019">
        <v>1552</v>
      </c>
      <c r="AJ491" s="1020">
        <v>0</v>
      </c>
      <c r="AK491" s="1021">
        <v>356</v>
      </c>
      <c r="AL491" s="1022">
        <v>12</v>
      </c>
      <c r="AM491" s="1155">
        <f>IF(AT491="","",3*'09월 에너지'!S493*(1/(3+7.8*(100-AT491)/AT491)))</f>
        <v>0.4499072356215213</v>
      </c>
      <c r="AN491" s="1023">
        <v>0.13958333333333334</v>
      </c>
      <c r="AO491" s="1024"/>
      <c r="AP491" s="1025"/>
      <c r="AQ491" s="1025"/>
      <c r="AR491" s="1149" t="str">
        <f t="shared" si="103"/>
        <v/>
      </c>
      <c r="AS491" s="1093">
        <f t="shared" si="114"/>
        <v>5</v>
      </c>
      <c r="AT491" s="1156">
        <v>0.8</v>
      </c>
      <c r="AU491" s="449"/>
      <c r="AV491" s="1205"/>
    </row>
    <row r="492" spans="1:48" ht="16.5" customHeight="1">
      <c r="A492" s="1005">
        <v>46284</v>
      </c>
      <c r="B492" s="1005">
        <f t="shared" si="105"/>
        <v>46283</v>
      </c>
      <c r="C492" s="1150">
        <f t="shared" si="106"/>
        <v>1</v>
      </c>
      <c r="D492" s="1150">
        <f t="shared" si="107"/>
        <v>481</v>
      </c>
      <c r="E492" s="1006" t="str">
        <f t="shared" si="108"/>
        <v>C</v>
      </c>
      <c r="F492" s="1007" t="str">
        <f t="shared" si="109"/>
        <v>A</v>
      </c>
      <c r="G492" s="1008">
        <f t="shared" si="110"/>
        <v>85694</v>
      </c>
      <c r="H492" s="1138">
        <f t="shared" si="111"/>
        <v>0.16597222222222222</v>
      </c>
      <c r="I492" s="1009">
        <v>0.16944444444444443</v>
      </c>
      <c r="J492" s="1010">
        <f t="shared" si="112"/>
        <v>52.999999999999972</v>
      </c>
      <c r="K492" s="1011"/>
      <c r="L492" s="1012"/>
      <c r="M492" s="1013"/>
      <c r="N492" s="1014" t="str">
        <f t="shared" si="113"/>
        <v/>
      </c>
      <c r="O492" s="1326" t="s">
        <v>888</v>
      </c>
      <c r="P492" s="1327"/>
      <c r="Q492" s="1327"/>
      <c r="R492" s="1327"/>
      <c r="S492" s="1327"/>
      <c r="T492" s="1328"/>
      <c r="U492" s="1015">
        <v>2</v>
      </c>
      <c r="V492" s="1015"/>
      <c r="W492" s="1015"/>
      <c r="X492" s="1015"/>
      <c r="Y492" s="1015">
        <v>2.6</v>
      </c>
      <c r="Z492" s="1016">
        <f>'09월 에너지'!S494</f>
        <v>140.80000000000001</v>
      </c>
      <c r="AA492" s="1017">
        <v>2456</v>
      </c>
      <c r="AB492" s="1208" t="s">
        <v>889</v>
      </c>
      <c r="AC492" s="1208" t="s">
        <v>548</v>
      </c>
      <c r="AD492" s="1208"/>
      <c r="AE492" s="1208"/>
      <c r="AF492" s="1208" t="s">
        <v>548</v>
      </c>
      <c r="AG492" s="1018">
        <f>'09월 화학성분'!AM492</f>
        <v>1923</v>
      </c>
      <c r="AH492" s="1006">
        <f t="shared" si="102"/>
        <v>23</v>
      </c>
      <c r="AI492" s="1019">
        <v>1547</v>
      </c>
      <c r="AJ492" s="1020">
        <v>41</v>
      </c>
      <c r="AK492" s="1021">
        <v>545</v>
      </c>
      <c r="AL492" s="1022">
        <v>7</v>
      </c>
      <c r="AM492" s="1155">
        <f>IF(AT492="","",3*'09월 에너지'!S494*(1/(3+7.8*(100-AT492)/AT492)))</f>
        <v>1.2077354959451032</v>
      </c>
      <c r="AN492" s="1023">
        <v>0.13541666666666666</v>
      </c>
      <c r="AO492" s="1024"/>
      <c r="AP492" s="1025"/>
      <c r="AQ492" s="1025"/>
      <c r="AR492" s="1149">
        <f t="shared" si="103"/>
        <v>14</v>
      </c>
      <c r="AS492" s="1093" t="str">
        <f t="shared" si="114"/>
        <v xml:space="preserve"> </v>
      </c>
      <c r="AT492" s="1156">
        <v>2.2000000000000002</v>
      </c>
      <c r="AU492" s="449"/>
      <c r="AV492" s="1205"/>
    </row>
    <row r="493" spans="1:48" ht="16.5" customHeight="1">
      <c r="A493" s="1005">
        <f t="shared" si="104"/>
        <v>46284</v>
      </c>
      <c r="B493" s="1005">
        <f t="shared" si="105"/>
        <v>46283</v>
      </c>
      <c r="C493" s="1150">
        <f t="shared" si="106"/>
        <v>2</v>
      </c>
      <c r="D493" s="1150">
        <f t="shared" si="107"/>
        <v>482</v>
      </c>
      <c r="E493" s="1006" t="str">
        <f t="shared" si="108"/>
        <v>C</v>
      </c>
      <c r="F493" s="1007" t="str">
        <f t="shared" si="109"/>
        <v>B</v>
      </c>
      <c r="G493" s="1008">
        <f t="shared" si="110"/>
        <v>85695</v>
      </c>
      <c r="H493" s="1138">
        <f t="shared" si="111"/>
        <v>0.20277777777777775</v>
      </c>
      <c r="I493" s="1009">
        <v>0.19999999999999998</v>
      </c>
      <c r="J493" s="1010">
        <f t="shared" si="112"/>
        <v>44</v>
      </c>
      <c r="K493" s="1011"/>
      <c r="L493" s="1012"/>
      <c r="M493" s="1013"/>
      <c r="N493" s="1014" t="str">
        <f t="shared" si="113"/>
        <v/>
      </c>
      <c r="O493" s="1323"/>
      <c r="P493" s="1324"/>
      <c r="Q493" s="1324"/>
      <c r="R493" s="1324"/>
      <c r="S493" s="1324"/>
      <c r="T493" s="1325"/>
      <c r="U493" s="1015">
        <v>2</v>
      </c>
      <c r="V493" s="1015"/>
      <c r="W493" s="1015"/>
      <c r="X493" s="1015"/>
      <c r="Y493" s="1015">
        <v>2.5</v>
      </c>
      <c r="Z493" s="1016">
        <f>'09월 에너지'!S495</f>
        <v>146.5</v>
      </c>
      <c r="AA493" s="1017"/>
      <c r="AB493" s="1208"/>
      <c r="AC493" s="1208"/>
      <c r="AD493" s="1208"/>
      <c r="AE493" s="1208"/>
      <c r="AF493" s="1208"/>
      <c r="AG493" s="1018">
        <f>'09월 화학성분'!AM493</f>
        <v>1389</v>
      </c>
      <c r="AH493" s="1006">
        <f t="shared" si="102"/>
        <v>24</v>
      </c>
      <c r="AI493" s="1019">
        <v>1550</v>
      </c>
      <c r="AJ493" s="1020">
        <v>0</v>
      </c>
      <c r="AK493" s="1021">
        <v>478</v>
      </c>
      <c r="AL493" s="1022">
        <v>9</v>
      </c>
      <c r="AM493" s="1155">
        <f>IF(AT493="","",3*'09월 에너지'!S495*(1/(3+7.8*(100-AT493)/AT493)))</f>
        <v>0.33932983323038912</v>
      </c>
      <c r="AN493" s="1023">
        <v>0.1361111111111111</v>
      </c>
      <c r="AO493" s="1024"/>
      <c r="AP493" s="1025"/>
      <c r="AQ493" s="1025"/>
      <c r="AR493" s="1149" t="str">
        <f t="shared" si="103"/>
        <v/>
      </c>
      <c r="AS493" s="1093">
        <f t="shared" si="114"/>
        <v>6</v>
      </c>
      <c r="AT493" s="1156">
        <v>0.6</v>
      </c>
      <c r="AU493" s="449"/>
      <c r="AV493" s="1205"/>
    </row>
    <row r="494" spans="1:48" ht="16.5" customHeight="1">
      <c r="A494" s="1005">
        <f t="shared" si="104"/>
        <v>46284</v>
      </c>
      <c r="B494" s="1005">
        <f t="shared" si="105"/>
        <v>46283</v>
      </c>
      <c r="C494" s="1150">
        <f t="shared" si="106"/>
        <v>3</v>
      </c>
      <c r="D494" s="1150">
        <f t="shared" si="107"/>
        <v>483</v>
      </c>
      <c r="E494" s="1006" t="str">
        <f t="shared" si="108"/>
        <v>C</v>
      </c>
      <c r="F494" s="1007" t="str">
        <f t="shared" si="109"/>
        <v>A</v>
      </c>
      <c r="G494" s="1008">
        <f t="shared" si="110"/>
        <v>85696</v>
      </c>
      <c r="H494" s="1138">
        <f t="shared" si="111"/>
        <v>0.23333333333333331</v>
      </c>
      <c r="I494" s="1009">
        <v>0.23055555555555554</v>
      </c>
      <c r="J494" s="1010">
        <f t="shared" si="112"/>
        <v>44</v>
      </c>
      <c r="K494" s="1011"/>
      <c r="L494" s="1012"/>
      <c r="M494" s="1013"/>
      <c r="N494" s="1014" t="str">
        <f t="shared" si="113"/>
        <v/>
      </c>
      <c r="O494" s="1323"/>
      <c r="P494" s="1324"/>
      <c r="Q494" s="1324"/>
      <c r="R494" s="1324"/>
      <c r="S494" s="1324"/>
      <c r="T494" s="1325"/>
      <c r="U494" s="1015">
        <v>2</v>
      </c>
      <c r="V494" s="1015"/>
      <c r="W494" s="1015"/>
      <c r="X494" s="1015"/>
      <c r="Y494" s="1015">
        <v>2.5</v>
      </c>
      <c r="Z494" s="1016">
        <f>'09월 에너지'!S496</f>
        <v>144</v>
      </c>
      <c r="AA494" s="1017"/>
      <c r="AB494" s="1208"/>
      <c r="AC494" s="1208"/>
      <c r="AD494" s="1208"/>
      <c r="AE494" s="1208"/>
      <c r="AF494" s="1208"/>
      <c r="AG494" s="1018">
        <f>'09월 화학성분'!AM494</f>
        <v>1799</v>
      </c>
      <c r="AH494" s="1006">
        <f t="shared" si="102"/>
        <v>25</v>
      </c>
      <c r="AI494" s="1019">
        <v>1584</v>
      </c>
      <c r="AJ494" s="1020">
        <v>74</v>
      </c>
      <c r="AK494" s="1021">
        <v>754</v>
      </c>
      <c r="AL494" s="1022">
        <v>5</v>
      </c>
      <c r="AM494" s="1155">
        <f>IF(AT494="","",3*'09월 에너지'!S496*(1/(3+7.8*(100-AT494)/AT494)))</f>
        <v>0.72580645161290314</v>
      </c>
      <c r="AN494" s="1023">
        <v>0.14444444444444446</v>
      </c>
      <c r="AO494" s="1024"/>
      <c r="AP494" s="1025"/>
      <c r="AQ494" s="1025"/>
      <c r="AR494" s="1149">
        <f t="shared" si="103"/>
        <v>15</v>
      </c>
      <c r="AS494" s="1093" t="str">
        <f t="shared" si="114"/>
        <v xml:space="preserve"> </v>
      </c>
      <c r="AT494" s="1156">
        <v>1.3</v>
      </c>
      <c r="AU494" s="449"/>
      <c r="AV494" s="1205"/>
    </row>
    <row r="495" spans="1:48" ht="16.5" customHeight="1">
      <c r="A495" s="1005">
        <f t="shared" si="104"/>
        <v>46284</v>
      </c>
      <c r="B495" s="1005">
        <f t="shared" si="105"/>
        <v>46283</v>
      </c>
      <c r="C495" s="1150">
        <f t="shared" si="106"/>
        <v>4</v>
      </c>
      <c r="D495" s="1150">
        <f t="shared" si="107"/>
        <v>484</v>
      </c>
      <c r="E495" s="1006" t="str">
        <f t="shared" si="108"/>
        <v>C</v>
      </c>
      <c r="F495" s="1007" t="str">
        <f t="shared" si="109"/>
        <v>B</v>
      </c>
      <c r="G495" s="1008">
        <f t="shared" si="110"/>
        <v>85697</v>
      </c>
      <c r="H495" s="1138">
        <f t="shared" si="111"/>
        <v>0.2638888888888889</v>
      </c>
      <c r="I495" s="1009">
        <v>0.26319444444444445</v>
      </c>
      <c r="J495" s="1010">
        <f t="shared" si="112"/>
        <v>47.000000000000036</v>
      </c>
      <c r="K495" s="1011"/>
      <c r="L495" s="1012"/>
      <c r="M495" s="1013"/>
      <c r="N495" s="1014" t="str">
        <f t="shared" si="113"/>
        <v/>
      </c>
      <c r="O495" s="1323" t="s">
        <v>891</v>
      </c>
      <c r="P495" s="1324"/>
      <c r="Q495" s="1324"/>
      <c r="R495" s="1324"/>
      <c r="S495" s="1324"/>
      <c r="T495" s="1325"/>
      <c r="U495" s="1015">
        <v>2</v>
      </c>
      <c r="V495" s="1015"/>
      <c r="W495" s="1015"/>
      <c r="X495" s="1015"/>
      <c r="Y495" s="1015">
        <v>2.7</v>
      </c>
      <c r="Z495" s="1016">
        <f>'09월 에너지'!S497</f>
        <v>146.80000000000001</v>
      </c>
      <c r="AA495" s="1017"/>
      <c r="AB495" s="1208"/>
      <c r="AC495" s="1208"/>
      <c r="AD495" s="1208"/>
      <c r="AE495" s="1208"/>
      <c r="AF495" s="1208"/>
      <c r="AG495" s="1018">
        <f>'09월 화학성분'!AM495</f>
        <v>1631</v>
      </c>
      <c r="AH495" s="1006">
        <f t="shared" si="102"/>
        <v>26</v>
      </c>
      <c r="AI495" s="1019">
        <v>1527</v>
      </c>
      <c r="AJ495" s="1020">
        <v>0</v>
      </c>
      <c r="AK495" s="1021">
        <v>399</v>
      </c>
      <c r="AL495" s="1022">
        <v>11</v>
      </c>
      <c r="AM495" s="1155">
        <f>IF(AT495="","",3*'09월 에너지'!S497*(1/(3+7.8*(100-AT495)/AT495)))</f>
        <v>0.68257904525728452</v>
      </c>
      <c r="AN495" s="1023">
        <v>0.12569444444444444</v>
      </c>
      <c r="AO495" s="1024"/>
      <c r="AP495" s="1025"/>
      <c r="AQ495" s="1025"/>
      <c r="AR495" s="1149" t="str">
        <f t="shared" si="103"/>
        <v/>
      </c>
      <c r="AS495" s="1093">
        <f t="shared" si="114"/>
        <v>7</v>
      </c>
      <c r="AT495" s="1156">
        <v>1.2</v>
      </c>
      <c r="AU495" s="449"/>
      <c r="AV495" s="1205"/>
    </row>
    <row r="496" spans="1:48" ht="16.5" customHeight="1">
      <c r="A496" s="1005">
        <f t="shared" si="104"/>
        <v>46284</v>
      </c>
      <c r="B496" s="1005">
        <v>46284</v>
      </c>
      <c r="C496" s="1150">
        <f t="shared" si="106"/>
        <v>5</v>
      </c>
      <c r="D496" s="1150">
        <f t="shared" si="107"/>
        <v>485</v>
      </c>
      <c r="E496" s="1006" t="s">
        <v>534</v>
      </c>
      <c r="F496" s="1007" t="str">
        <f t="shared" si="109"/>
        <v>A</v>
      </c>
      <c r="G496" s="1008">
        <f t="shared" si="110"/>
        <v>85698</v>
      </c>
      <c r="H496" s="1138">
        <f t="shared" si="111"/>
        <v>0.29652777777777778</v>
      </c>
      <c r="I496" s="1009">
        <v>0.29444444444444445</v>
      </c>
      <c r="J496" s="1010">
        <f t="shared" si="112"/>
        <v>45</v>
      </c>
      <c r="K496" s="1011"/>
      <c r="L496" s="1012"/>
      <c r="M496" s="1013"/>
      <c r="N496" s="1014" t="str">
        <f t="shared" si="113"/>
        <v/>
      </c>
      <c r="O496" s="1326" t="s">
        <v>568</v>
      </c>
      <c r="P496" s="1327"/>
      <c r="Q496" s="1327"/>
      <c r="R496" s="1327"/>
      <c r="S496" s="1327"/>
      <c r="T496" s="1328"/>
      <c r="U496" s="1015">
        <v>2</v>
      </c>
      <c r="V496" s="1015"/>
      <c r="W496" s="1015"/>
      <c r="X496" s="1015"/>
      <c r="Y496" s="1015">
        <v>2.6</v>
      </c>
      <c r="Z496" s="1016">
        <f>'09월 에너지'!S498</f>
        <v>142.5</v>
      </c>
      <c r="AA496" s="1017"/>
      <c r="AB496" s="1208"/>
      <c r="AC496" s="1208"/>
      <c r="AD496" s="1208"/>
      <c r="AE496" s="1208"/>
      <c r="AF496" s="1208"/>
      <c r="AG496" s="1018">
        <f>'09월 화학성분'!AM496</f>
        <v>2542</v>
      </c>
      <c r="AH496" s="1006">
        <f t="shared" si="102"/>
        <v>27</v>
      </c>
      <c r="AI496" s="1019">
        <v>1566</v>
      </c>
      <c r="AJ496" s="1020">
        <v>55</v>
      </c>
      <c r="AK496" s="1021">
        <v>539</v>
      </c>
      <c r="AL496" s="1022">
        <v>7</v>
      </c>
      <c r="AM496" s="1155">
        <f>IF(AT496="","",3*'09월 에너지'!S498*(1/(3+7.8*(100-AT496)/AT496)))</f>
        <v>1.1098130841121496</v>
      </c>
      <c r="AN496" s="1023">
        <v>0.15694444444444444</v>
      </c>
      <c r="AO496" s="1024"/>
      <c r="AP496" s="1025"/>
      <c r="AQ496" s="1025"/>
      <c r="AR496" s="1149">
        <f t="shared" si="103"/>
        <v>16</v>
      </c>
      <c r="AS496" s="1093" t="str">
        <f t="shared" si="114"/>
        <v xml:space="preserve"> </v>
      </c>
      <c r="AT496" s="1156">
        <v>2</v>
      </c>
      <c r="AU496" s="449"/>
      <c r="AV496" s="1205"/>
    </row>
    <row r="497" spans="1:48" ht="16.5" customHeight="1">
      <c r="A497" s="1005">
        <f t="shared" si="104"/>
        <v>46284</v>
      </c>
      <c r="B497" s="1005">
        <f t="shared" si="105"/>
        <v>46284</v>
      </c>
      <c r="C497" s="1150">
        <f t="shared" si="106"/>
        <v>6</v>
      </c>
      <c r="D497" s="1150">
        <f t="shared" si="107"/>
        <v>486</v>
      </c>
      <c r="E497" s="1006" t="str">
        <f t="shared" si="108"/>
        <v>A</v>
      </c>
      <c r="F497" s="1007" t="str">
        <f t="shared" si="109"/>
        <v>B</v>
      </c>
      <c r="G497" s="1008">
        <f t="shared" si="110"/>
        <v>85699</v>
      </c>
      <c r="H497" s="1138">
        <f t="shared" si="111"/>
        <v>0.32777777777777778</v>
      </c>
      <c r="I497" s="1009">
        <v>0.3263888888888889</v>
      </c>
      <c r="J497" s="1010">
        <f t="shared" si="112"/>
        <v>46</v>
      </c>
      <c r="K497" s="1011"/>
      <c r="L497" s="1012"/>
      <c r="M497" s="1013"/>
      <c r="N497" s="1014" t="str">
        <f t="shared" si="113"/>
        <v/>
      </c>
      <c r="O497" s="1323" t="s">
        <v>894</v>
      </c>
      <c r="P497" s="1324"/>
      <c r="Q497" s="1324"/>
      <c r="R497" s="1324"/>
      <c r="S497" s="1324"/>
      <c r="T497" s="1325"/>
      <c r="U497" s="1015">
        <v>2</v>
      </c>
      <c r="V497" s="1015">
        <v>2.8</v>
      </c>
      <c r="W497" s="1015">
        <v>1.2</v>
      </c>
      <c r="X497" s="1015"/>
      <c r="Y497" s="1015"/>
      <c r="Z497" s="1016">
        <f>'09월 에너지'!S499</f>
        <v>145.9</v>
      </c>
      <c r="AA497" s="1017"/>
      <c r="AB497" s="1208"/>
      <c r="AC497" s="1208"/>
      <c r="AD497" s="1208"/>
      <c r="AE497" s="1208"/>
      <c r="AF497" s="1208"/>
      <c r="AG497" s="1018">
        <f>'09월 화학성분'!AM497</f>
        <v>2362</v>
      </c>
      <c r="AH497" s="1006">
        <f t="shared" si="102"/>
        <v>28</v>
      </c>
      <c r="AI497" s="1019">
        <v>1544</v>
      </c>
      <c r="AJ497" s="1020">
        <v>0</v>
      </c>
      <c r="AK497" s="1021">
        <v>543</v>
      </c>
      <c r="AL497" s="1022">
        <v>7</v>
      </c>
      <c r="AM497" s="1155">
        <f>IF(AT497="","",3*'09월 에너지'!S499*(1/(3+7.8*(100-AT497)/AT497)))</f>
        <v>0.79244258224705155</v>
      </c>
      <c r="AN497" s="1023">
        <v>0.14930555555555555</v>
      </c>
      <c r="AO497" s="1024"/>
      <c r="AP497" s="1025"/>
      <c r="AQ497" s="1025"/>
      <c r="AR497" s="1149" t="str">
        <f t="shared" si="103"/>
        <v/>
      </c>
      <c r="AS497" s="1093">
        <f t="shared" si="114"/>
        <v>8</v>
      </c>
      <c r="AT497" s="1156">
        <v>1.4</v>
      </c>
      <c r="AU497" s="449"/>
      <c r="AV497" s="1205"/>
    </row>
    <row r="498" spans="1:48" ht="16.5" customHeight="1">
      <c r="A498" s="1005">
        <f t="shared" si="104"/>
        <v>46284</v>
      </c>
      <c r="B498" s="1005">
        <f t="shared" si="105"/>
        <v>46284</v>
      </c>
      <c r="C498" s="1150">
        <f t="shared" si="106"/>
        <v>7</v>
      </c>
      <c r="D498" s="1150">
        <f t="shared" si="107"/>
        <v>487</v>
      </c>
      <c r="E498" s="1006" t="str">
        <f t="shared" si="108"/>
        <v>A</v>
      </c>
      <c r="F498" s="1007" t="str">
        <f t="shared" si="109"/>
        <v>A</v>
      </c>
      <c r="G498" s="1008">
        <f t="shared" si="110"/>
        <v>85700</v>
      </c>
      <c r="H498" s="1138">
        <f t="shared" si="111"/>
        <v>0.35972222222222222</v>
      </c>
      <c r="I498" s="1009">
        <v>0.35972222222222222</v>
      </c>
      <c r="J498" s="1010">
        <f t="shared" si="112"/>
        <v>47.999999999999986</v>
      </c>
      <c r="K498" s="1011"/>
      <c r="L498" s="1012"/>
      <c r="M498" s="1013"/>
      <c r="N498" s="1014" t="str">
        <f t="shared" si="113"/>
        <v/>
      </c>
      <c r="O498" s="1323"/>
      <c r="P498" s="1324"/>
      <c r="Q498" s="1324"/>
      <c r="R498" s="1324"/>
      <c r="S498" s="1324"/>
      <c r="T498" s="1325"/>
      <c r="U498" s="1015">
        <v>2</v>
      </c>
      <c r="V498" s="1015">
        <v>2.2999999999999998</v>
      </c>
      <c r="W498" s="1015">
        <v>1.7</v>
      </c>
      <c r="X498" s="1015"/>
      <c r="Y498" s="1015"/>
      <c r="Z498" s="1016">
        <f>'09월 에너지'!S500</f>
        <v>144.19999999999999</v>
      </c>
      <c r="AA498" s="1017"/>
      <c r="AB498" s="1208"/>
      <c r="AC498" s="1208"/>
      <c r="AD498" s="1208"/>
      <c r="AE498" s="1208"/>
      <c r="AF498" s="1208"/>
      <c r="AG498" s="1018">
        <f>'09월 화학성분'!AM498</f>
        <v>2994</v>
      </c>
      <c r="AH498" s="1006">
        <f t="shared" si="102"/>
        <v>29</v>
      </c>
      <c r="AI498" s="1019">
        <v>1547</v>
      </c>
      <c r="AJ498" s="1020">
        <v>0</v>
      </c>
      <c r="AK498" s="1021">
        <v>483</v>
      </c>
      <c r="AL498" s="1022">
        <v>9</v>
      </c>
      <c r="AM498" s="1155">
        <f>IF(AT498="","",3*'09월 에너지'!S500*(1/(3+7.8*(100-AT498)/AT498)))</f>
        <v>0.78320918684047169</v>
      </c>
      <c r="AN498" s="1023">
        <v>0.15208333333333332</v>
      </c>
      <c r="AO498" s="1024"/>
      <c r="AP498" s="1025"/>
      <c r="AQ498" s="1025"/>
      <c r="AR498" s="1149">
        <f t="shared" si="103"/>
        <v>17</v>
      </c>
      <c r="AS498" s="1093" t="str">
        <f t="shared" si="114"/>
        <v xml:space="preserve"> </v>
      </c>
      <c r="AT498" s="1156">
        <v>1.4</v>
      </c>
      <c r="AU498" s="449"/>
      <c r="AV498" s="1205"/>
    </row>
    <row r="499" spans="1:48" ht="16.5" customHeight="1">
      <c r="A499" s="1005">
        <f t="shared" si="104"/>
        <v>46284</v>
      </c>
      <c r="B499" s="1005">
        <f t="shared" si="105"/>
        <v>46284</v>
      </c>
      <c r="C499" s="1150">
        <f t="shared" si="106"/>
        <v>8</v>
      </c>
      <c r="D499" s="1150">
        <f t="shared" si="107"/>
        <v>488</v>
      </c>
      <c r="E499" s="1006" t="str">
        <f t="shared" si="108"/>
        <v>A</v>
      </c>
      <c r="F499" s="1007" t="str">
        <f t="shared" si="109"/>
        <v>B</v>
      </c>
      <c r="G499" s="1008">
        <f t="shared" si="110"/>
        <v>85701</v>
      </c>
      <c r="H499" s="1138">
        <f t="shared" si="111"/>
        <v>0.39305555555555555</v>
      </c>
      <c r="I499" s="1009">
        <v>0.39930555555555558</v>
      </c>
      <c r="J499" s="1010">
        <f t="shared" si="112"/>
        <v>57.000000000000036</v>
      </c>
      <c r="K499" s="1011"/>
      <c r="L499" s="1012">
        <v>6</v>
      </c>
      <c r="M499" s="1013"/>
      <c r="N499" s="1014" t="str">
        <f t="shared" si="113"/>
        <v/>
      </c>
      <c r="O499" s="1338" t="s">
        <v>896</v>
      </c>
      <c r="P499" s="1339"/>
      <c r="Q499" s="1339"/>
      <c r="R499" s="1339"/>
      <c r="S499" s="1339"/>
      <c r="T499" s="1340"/>
      <c r="U499" s="1015">
        <v>2</v>
      </c>
      <c r="V499" s="1015"/>
      <c r="W499" s="1015"/>
      <c r="X499" s="1015"/>
      <c r="Y499" s="1015">
        <v>2.8</v>
      </c>
      <c r="Z499" s="1016">
        <f>'09월 에너지'!S501</f>
        <v>147.69999999999999</v>
      </c>
      <c r="AA499" s="1017"/>
      <c r="AB499" s="1208"/>
      <c r="AC499" s="1208"/>
      <c r="AD499" s="1208"/>
      <c r="AE499" s="1208"/>
      <c r="AF499" s="1208"/>
      <c r="AG499" s="1018">
        <f>'09월 화학성분'!AM499</f>
        <v>1832</v>
      </c>
      <c r="AH499" s="1006">
        <f t="shared" si="102"/>
        <v>30</v>
      </c>
      <c r="AI499" s="1019">
        <v>1550</v>
      </c>
      <c r="AJ499" s="1020">
        <v>0</v>
      </c>
      <c r="AK499" s="1021">
        <v>317</v>
      </c>
      <c r="AL499" s="1022">
        <v>14</v>
      </c>
      <c r="AM499" s="1155">
        <f>IF(AT499="","",3*'09월 에너지'!S501*(1/(3+7.8*(100-AT499)/AT499)))</f>
        <v>1.1503115264797508</v>
      </c>
      <c r="AN499" s="1023">
        <v>0.1451388888888889</v>
      </c>
      <c r="AO499" s="1024"/>
      <c r="AP499" s="1025"/>
      <c r="AQ499" s="1025"/>
      <c r="AR499" s="1149" t="str">
        <f t="shared" si="103"/>
        <v/>
      </c>
      <c r="AS499" s="1093">
        <f t="shared" si="114"/>
        <v>9</v>
      </c>
      <c r="AT499" s="1156">
        <v>2</v>
      </c>
      <c r="AU499" s="449"/>
      <c r="AV499" s="1205"/>
    </row>
    <row r="500" spans="1:48" ht="16.5" customHeight="1">
      <c r="A500" s="1005">
        <f t="shared" si="104"/>
        <v>46284</v>
      </c>
      <c r="B500" s="1005">
        <f t="shared" si="105"/>
        <v>46284</v>
      </c>
      <c r="C500" s="1150">
        <f t="shared" si="106"/>
        <v>9</v>
      </c>
      <c r="D500" s="1150">
        <f t="shared" si="107"/>
        <v>489</v>
      </c>
      <c r="E500" s="1006" t="str">
        <f t="shared" si="108"/>
        <v>A</v>
      </c>
      <c r="F500" s="1007" t="str">
        <f t="shared" si="109"/>
        <v>A</v>
      </c>
      <c r="G500" s="1008">
        <f t="shared" si="110"/>
        <v>85702</v>
      </c>
      <c r="H500" s="1138">
        <f t="shared" si="111"/>
        <v>0.43263888888888891</v>
      </c>
      <c r="I500" s="1009">
        <v>0.42986111111111108</v>
      </c>
      <c r="J500" s="1010">
        <f t="shared" si="112"/>
        <v>43.999999999999922</v>
      </c>
      <c r="K500" s="1011"/>
      <c r="L500" s="1012"/>
      <c r="M500" s="1013"/>
      <c r="N500" s="1014" t="str">
        <f t="shared" si="113"/>
        <v/>
      </c>
      <c r="O500" s="1326" t="s">
        <v>897</v>
      </c>
      <c r="P500" s="1327"/>
      <c r="Q500" s="1327"/>
      <c r="R500" s="1327"/>
      <c r="S500" s="1327"/>
      <c r="T500" s="1328"/>
      <c r="U500" s="1015">
        <v>2</v>
      </c>
      <c r="V500" s="1015"/>
      <c r="W500" s="1015"/>
      <c r="X500" s="1015"/>
      <c r="Y500" s="1015">
        <v>2.7</v>
      </c>
      <c r="Z500" s="1016">
        <f>'09월 에너지'!S502</f>
        <v>142.9</v>
      </c>
      <c r="AA500" s="1017">
        <v>2438</v>
      </c>
      <c r="AB500" s="1208" t="s">
        <v>889</v>
      </c>
      <c r="AC500" s="1208" t="s">
        <v>548</v>
      </c>
      <c r="AD500" s="1208"/>
      <c r="AE500" s="1208"/>
      <c r="AF500" s="1208" t="s">
        <v>548</v>
      </c>
      <c r="AG500" s="1018">
        <f>'09월 화학성분'!AM500</f>
        <v>1748</v>
      </c>
      <c r="AH500" s="1006">
        <f t="shared" si="102"/>
        <v>31</v>
      </c>
      <c r="AI500" s="1019">
        <v>1554</v>
      </c>
      <c r="AJ500" s="1020">
        <v>0</v>
      </c>
      <c r="AK500" s="1021">
        <v>291</v>
      </c>
      <c r="AL500" s="1022">
        <v>16</v>
      </c>
      <c r="AM500" s="1155">
        <f>IF(AT500="","",3*'09월 에너지'!S502*(1/(3+7.8*(100-AT500)/AT500)))</f>
        <v>0.77614835505896962</v>
      </c>
      <c r="AN500" s="1023">
        <v>0.16874999999999998</v>
      </c>
      <c r="AO500" s="1024" t="s">
        <v>587</v>
      </c>
      <c r="AP500" s="1025">
        <v>2000010</v>
      </c>
      <c r="AQ500" s="1025">
        <v>2141</v>
      </c>
      <c r="AR500" s="1149">
        <v>1</v>
      </c>
      <c r="AS500" s="1093" t="str">
        <f t="shared" si="114"/>
        <v xml:space="preserve"> </v>
      </c>
      <c r="AT500" s="1156">
        <v>1.4</v>
      </c>
      <c r="AU500" s="449"/>
      <c r="AV500" s="1205"/>
    </row>
    <row r="501" spans="1:48" ht="16.5" customHeight="1">
      <c r="A501" s="1005">
        <f t="shared" si="104"/>
        <v>46284</v>
      </c>
      <c r="B501" s="1005">
        <f t="shared" si="105"/>
        <v>46284</v>
      </c>
      <c r="C501" s="1150">
        <f t="shared" si="106"/>
        <v>10</v>
      </c>
      <c r="D501" s="1150">
        <f t="shared" si="107"/>
        <v>490</v>
      </c>
      <c r="E501" s="1006" t="str">
        <f t="shared" si="108"/>
        <v>A</v>
      </c>
      <c r="F501" s="1007" t="str">
        <f t="shared" si="109"/>
        <v>B</v>
      </c>
      <c r="G501" s="1008">
        <f t="shared" si="110"/>
        <v>85703</v>
      </c>
      <c r="H501" s="1138">
        <f t="shared" si="111"/>
        <v>0.46319444444444441</v>
      </c>
      <c r="I501" s="1009">
        <v>0.46388888888888885</v>
      </c>
      <c r="J501" s="1010">
        <f t="shared" si="112"/>
        <v>48.999999999999986</v>
      </c>
      <c r="K501" s="1011"/>
      <c r="L501" s="1012"/>
      <c r="M501" s="1013"/>
      <c r="N501" s="1014" t="str">
        <f t="shared" si="113"/>
        <v/>
      </c>
      <c r="O501" s="1323"/>
      <c r="P501" s="1324"/>
      <c r="Q501" s="1324"/>
      <c r="R501" s="1324"/>
      <c r="S501" s="1324"/>
      <c r="T501" s="1325"/>
      <c r="U501" s="1015">
        <v>2</v>
      </c>
      <c r="V501" s="1015">
        <v>2.6</v>
      </c>
      <c r="W501" s="1015">
        <v>1.5</v>
      </c>
      <c r="X501" s="1015"/>
      <c r="Y501" s="1015"/>
      <c r="Z501" s="1016">
        <f>'09월 에너지'!S503</f>
        <v>143.9</v>
      </c>
      <c r="AA501" s="1017"/>
      <c r="AB501" s="1208"/>
      <c r="AC501" s="1208"/>
      <c r="AD501" s="1208"/>
      <c r="AE501" s="1208"/>
      <c r="AF501" s="1208"/>
      <c r="AG501" s="1018">
        <f>'09월 화학성분'!AM501</f>
        <v>2566</v>
      </c>
      <c r="AH501" s="1006">
        <f t="shared" si="102"/>
        <v>32</v>
      </c>
      <c r="AI501" s="1019">
        <v>1539</v>
      </c>
      <c r="AJ501" s="1020">
        <v>0</v>
      </c>
      <c r="AK501" s="1021">
        <v>896</v>
      </c>
      <c r="AL501" s="1022">
        <v>4</v>
      </c>
      <c r="AM501" s="1155">
        <f>IF(AT501="","",3*'09월 에너지'!S503*(1/(3+7.8*(100-AT501)/AT501)))</f>
        <v>2.327927714646465</v>
      </c>
      <c r="AN501" s="1023">
        <v>0.20277777777777781</v>
      </c>
      <c r="AO501" s="1024"/>
      <c r="AP501" s="1025"/>
      <c r="AQ501" s="1025"/>
      <c r="AR501" s="1149" t="str">
        <f t="shared" si="103"/>
        <v/>
      </c>
      <c r="AS501" s="1093">
        <f t="shared" si="114"/>
        <v>10</v>
      </c>
      <c r="AT501" s="1156">
        <v>4.0999999999999996</v>
      </c>
      <c r="AU501" s="449"/>
      <c r="AV501" s="1205"/>
    </row>
    <row r="502" spans="1:48" ht="16.5" customHeight="1">
      <c r="A502" s="1005">
        <f t="shared" si="104"/>
        <v>46284</v>
      </c>
      <c r="B502" s="1005">
        <f t="shared" si="105"/>
        <v>46284</v>
      </c>
      <c r="C502" s="1150">
        <f t="shared" si="106"/>
        <v>11</v>
      </c>
      <c r="D502" s="1150">
        <f t="shared" si="107"/>
        <v>491</v>
      </c>
      <c r="E502" s="1006" t="str">
        <f t="shared" si="108"/>
        <v>A</v>
      </c>
      <c r="F502" s="1007" t="str">
        <f t="shared" si="109"/>
        <v>A</v>
      </c>
      <c r="G502" s="1008">
        <f t="shared" si="110"/>
        <v>85704</v>
      </c>
      <c r="H502" s="1138">
        <f t="shared" si="111"/>
        <v>0.49722222222222218</v>
      </c>
      <c r="I502" s="1009">
        <v>0.49513888888888885</v>
      </c>
      <c r="J502" s="1010">
        <f t="shared" si="112"/>
        <v>45</v>
      </c>
      <c r="K502" s="1011"/>
      <c r="L502" s="1012"/>
      <c r="M502" s="1013"/>
      <c r="N502" s="1014" t="str">
        <f t="shared" si="113"/>
        <v/>
      </c>
      <c r="O502" s="1323"/>
      <c r="P502" s="1324"/>
      <c r="Q502" s="1324"/>
      <c r="R502" s="1324"/>
      <c r="S502" s="1324"/>
      <c r="T502" s="1325"/>
      <c r="U502" s="1015">
        <v>2</v>
      </c>
      <c r="V502" s="1015">
        <v>2.8</v>
      </c>
      <c r="W502" s="1015">
        <v>1.3</v>
      </c>
      <c r="X502" s="1015"/>
      <c r="Y502" s="1015"/>
      <c r="Z502" s="1016">
        <f>'09월 에너지'!S504</f>
        <v>144.19999999999999</v>
      </c>
      <c r="AA502" s="1017"/>
      <c r="AB502" s="1208"/>
      <c r="AC502" s="1208"/>
      <c r="AD502" s="1208"/>
      <c r="AE502" s="1208"/>
      <c r="AF502" s="1208"/>
      <c r="AG502" s="1018">
        <f>'09월 화학성분'!AM502</f>
        <v>1527</v>
      </c>
      <c r="AH502" s="1006">
        <f t="shared" si="102"/>
        <v>33</v>
      </c>
      <c r="AI502" s="1019">
        <v>1559</v>
      </c>
      <c r="AJ502" s="1020">
        <v>0</v>
      </c>
      <c r="AK502" s="1021">
        <v>354</v>
      </c>
      <c r="AL502" s="1022">
        <v>13</v>
      </c>
      <c r="AM502" s="1155">
        <f>IF(AT502="","",3*'09월 에너지'!S504*(1/(3+7.8*(100-AT502)/AT502)))</f>
        <v>0.89620882535736468</v>
      </c>
      <c r="AN502" s="1023">
        <v>0.17847222222222223</v>
      </c>
      <c r="AO502" s="1024"/>
      <c r="AP502" s="1025"/>
      <c r="AQ502" s="1025"/>
      <c r="AR502" s="1149">
        <f t="shared" si="103"/>
        <v>2</v>
      </c>
      <c r="AS502" s="1093" t="str">
        <f t="shared" si="114"/>
        <v xml:space="preserve"> </v>
      </c>
      <c r="AT502" s="1156">
        <v>1.6</v>
      </c>
      <c r="AU502" s="449"/>
      <c r="AV502" s="1205"/>
    </row>
    <row r="503" spans="1:48" ht="16.5" customHeight="1">
      <c r="A503" s="1005">
        <f t="shared" si="104"/>
        <v>46284</v>
      </c>
      <c r="B503" s="1005">
        <f t="shared" si="105"/>
        <v>46284</v>
      </c>
      <c r="C503" s="1150">
        <f t="shared" si="106"/>
        <v>12</v>
      </c>
      <c r="D503" s="1150">
        <f t="shared" si="107"/>
        <v>492</v>
      </c>
      <c r="E503" s="1006" t="str">
        <f t="shared" si="108"/>
        <v>A</v>
      </c>
      <c r="F503" s="1007" t="str">
        <f t="shared" si="109"/>
        <v>B</v>
      </c>
      <c r="G503" s="1008">
        <f t="shared" si="110"/>
        <v>85705</v>
      </c>
      <c r="H503" s="1138">
        <f t="shared" si="111"/>
        <v>0.52847222222222223</v>
      </c>
      <c r="I503" s="1009">
        <v>0.53680555555555554</v>
      </c>
      <c r="J503" s="1010">
        <f t="shared" si="112"/>
        <v>60.000000000000028</v>
      </c>
      <c r="K503" s="1011"/>
      <c r="L503" s="1012">
        <v>5</v>
      </c>
      <c r="M503" s="1013"/>
      <c r="N503" s="1014" t="str">
        <f t="shared" si="113"/>
        <v/>
      </c>
      <c r="O503" s="1323" t="s">
        <v>898</v>
      </c>
      <c r="P503" s="1324"/>
      <c r="Q503" s="1324"/>
      <c r="R503" s="1324"/>
      <c r="S503" s="1324"/>
      <c r="T503" s="1325"/>
      <c r="U503" s="1015">
        <v>2</v>
      </c>
      <c r="V503" s="1015"/>
      <c r="W503" s="1015"/>
      <c r="X503" s="1015"/>
      <c r="Y503" s="1015">
        <v>3</v>
      </c>
      <c r="Z503" s="1016">
        <f>'09월 에너지'!S505</f>
        <v>146.1</v>
      </c>
      <c r="AA503" s="1017">
        <v>2573</v>
      </c>
      <c r="AB503" s="1208" t="s">
        <v>889</v>
      </c>
      <c r="AC503" s="1208" t="s">
        <v>548</v>
      </c>
      <c r="AD503" s="1208"/>
      <c r="AE503" s="1208"/>
      <c r="AF503" s="1208" t="s">
        <v>548</v>
      </c>
      <c r="AG503" s="1018">
        <f>'09월 화학성분'!AM503</f>
        <v>2540</v>
      </c>
      <c r="AH503" s="1006">
        <f t="shared" si="102"/>
        <v>34</v>
      </c>
      <c r="AI503" s="1019">
        <v>534</v>
      </c>
      <c r="AJ503" s="1020">
        <v>0</v>
      </c>
      <c r="AK503" s="1021">
        <v>345</v>
      </c>
      <c r="AL503" s="1022">
        <v>13</v>
      </c>
      <c r="AM503" s="1155">
        <f>IF(AT503="","",3*'09월 에너지'!S505*(1/(3+7.8*(100-AT503)/AT503)))</f>
        <v>0.96536847014925364</v>
      </c>
      <c r="AN503" s="1023">
        <v>0.13958333333333334</v>
      </c>
      <c r="AO503" s="1024"/>
      <c r="AP503" s="1025"/>
      <c r="AQ503" s="1025"/>
      <c r="AR503" s="1149" t="str">
        <f t="shared" si="103"/>
        <v/>
      </c>
      <c r="AS503" s="1093">
        <f t="shared" si="114"/>
        <v>11</v>
      </c>
      <c r="AT503" s="1156">
        <v>1.7</v>
      </c>
      <c r="AU503" s="449"/>
      <c r="AV503" s="1205"/>
    </row>
    <row r="504" spans="1:48" ht="16.5" customHeight="1">
      <c r="A504" s="1005">
        <f t="shared" si="104"/>
        <v>46284</v>
      </c>
      <c r="B504" s="1005">
        <f t="shared" si="105"/>
        <v>46284</v>
      </c>
      <c r="C504" s="1150">
        <f t="shared" si="106"/>
        <v>13</v>
      </c>
      <c r="D504" s="1150">
        <f t="shared" si="107"/>
        <v>493</v>
      </c>
      <c r="E504" s="1006" t="str">
        <f t="shared" si="108"/>
        <v>A</v>
      </c>
      <c r="F504" s="1007" t="str">
        <f t="shared" si="109"/>
        <v>A</v>
      </c>
      <c r="G504" s="1008">
        <f t="shared" si="110"/>
        <v>85706</v>
      </c>
      <c r="H504" s="1138">
        <f t="shared" si="111"/>
        <v>0.57013888888888886</v>
      </c>
      <c r="I504" s="1009">
        <v>0.56527777777777777</v>
      </c>
      <c r="J504" s="1010">
        <f t="shared" si="112"/>
        <v>41.000000000000014</v>
      </c>
      <c r="K504" s="1011"/>
      <c r="L504" s="1012"/>
      <c r="M504" s="1013"/>
      <c r="N504" s="1014" t="str">
        <f t="shared" si="113"/>
        <v/>
      </c>
      <c r="O504" s="1326" t="s">
        <v>893</v>
      </c>
      <c r="P504" s="1327"/>
      <c r="Q504" s="1327"/>
      <c r="R504" s="1327"/>
      <c r="S504" s="1327"/>
      <c r="T504" s="1328"/>
      <c r="U504" s="1015">
        <v>2</v>
      </c>
      <c r="V504" s="1015"/>
      <c r="W504" s="1015"/>
      <c r="X504" s="1015"/>
      <c r="Y504" s="1015">
        <v>2.8</v>
      </c>
      <c r="Z504" s="1016">
        <f>'09월 에너지'!S506</f>
        <v>142.69999999999999</v>
      </c>
      <c r="AA504" s="1017"/>
      <c r="AB504" s="1208"/>
      <c r="AC504" s="1208"/>
      <c r="AD504" s="1208"/>
      <c r="AE504" s="1208"/>
      <c r="AF504" s="1208"/>
      <c r="AG504" s="1018">
        <f>'09월 화학성분'!AM504</f>
        <v>1543</v>
      </c>
      <c r="AH504" s="1006">
        <f t="shared" si="102"/>
        <v>35</v>
      </c>
      <c r="AI504" s="1019">
        <v>1544</v>
      </c>
      <c r="AJ504" s="1020">
        <v>0</v>
      </c>
      <c r="AK504" s="1021">
        <v>378</v>
      </c>
      <c r="AL504" s="1022">
        <v>11</v>
      </c>
      <c r="AM504" s="1155">
        <f>IF(AT504="","",3*'09월 에너지'!S506*(1/(3+7.8*(100-AT504)/AT504)))</f>
        <v>1.1113707165109035</v>
      </c>
      <c r="AN504" s="1023">
        <v>0.14930555555555555</v>
      </c>
      <c r="AO504" s="1024"/>
      <c r="AP504" s="1025"/>
      <c r="AQ504" s="1025"/>
      <c r="AR504" s="1149">
        <f t="shared" si="103"/>
        <v>3</v>
      </c>
      <c r="AS504" s="1093" t="str">
        <f t="shared" si="114"/>
        <v xml:space="preserve"> </v>
      </c>
      <c r="AT504" s="1156">
        <v>2</v>
      </c>
      <c r="AU504" s="449"/>
      <c r="AV504" s="1205"/>
    </row>
    <row r="505" spans="1:48" ht="16.5" customHeight="1">
      <c r="A505" s="1005">
        <f t="shared" si="104"/>
        <v>46284</v>
      </c>
      <c r="B505" s="1005">
        <f t="shared" si="105"/>
        <v>46284</v>
      </c>
      <c r="C505" s="1150">
        <f t="shared" si="106"/>
        <v>14</v>
      </c>
      <c r="D505" s="1150">
        <f t="shared" si="107"/>
        <v>494</v>
      </c>
      <c r="E505" s="1006" t="str">
        <f t="shared" si="108"/>
        <v>A</v>
      </c>
      <c r="F505" s="1007" t="str">
        <f t="shared" si="109"/>
        <v>B</v>
      </c>
      <c r="G505" s="1008">
        <f t="shared" si="110"/>
        <v>85707</v>
      </c>
      <c r="H505" s="1138">
        <f t="shared" si="111"/>
        <v>0.59861111111111109</v>
      </c>
      <c r="I505" s="1009">
        <v>0.60277777777777775</v>
      </c>
      <c r="J505" s="1010">
        <f t="shared" si="112"/>
        <v>53.999999999999972</v>
      </c>
      <c r="K505" s="1011"/>
      <c r="L505" s="1012"/>
      <c r="M505" s="1013"/>
      <c r="N505" s="1014" t="str">
        <f t="shared" si="113"/>
        <v/>
      </c>
      <c r="O505" s="1338" t="s">
        <v>900</v>
      </c>
      <c r="P505" s="1339"/>
      <c r="Q505" s="1339"/>
      <c r="R505" s="1339"/>
      <c r="S505" s="1339"/>
      <c r="T505" s="1340"/>
      <c r="U505" s="1015">
        <v>2</v>
      </c>
      <c r="V505" s="1015"/>
      <c r="W505" s="1015"/>
      <c r="X505" s="1015">
        <v>3.3</v>
      </c>
      <c r="Y505" s="1015"/>
      <c r="Z505" s="1016">
        <f>'09월 에너지'!S507</f>
        <v>144.80000000000001</v>
      </c>
      <c r="AA505" s="1017"/>
      <c r="AB505" s="1208"/>
      <c r="AC505" s="1208"/>
      <c r="AD505" s="1208"/>
      <c r="AE505" s="1208"/>
      <c r="AF505" s="1208"/>
      <c r="AG505" s="1018">
        <f>'09월 화학성분'!AM505</f>
        <v>2880</v>
      </c>
      <c r="AH505" s="1006">
        <f t="shared" si="102"/>
        <v>36</v>
      </c>
      <c r="AI505" s="1019">
        <v>1555</v>
      </c>
      <c r="AJ505" s="1020">
        <v>11</v>
      </c>
      <c r="AK505" s="1021">
        <v>626</v>
      </c>
      <c r="AL505" s="1022">
        <v>6</v>
      </c>
      <c r="AM505" s="1155">
        <f>IF(AT505="","",3*'09월 에너지'!S507*(1/(3+7.8*(100-AT505)/AT505)))</f>
        <v>0.84316770186335421</v>
      </c>
      <c r="AN505" s="1023">
        <v>0.1388888888888889</v>
      </c>
      <c r="AO505" s="1024"/>
      <c r="AP505" s="1025"/>
      <c r="AQ505" s="1025"/>
      <c r="AR505" s="1149" t="str">
        <f t="shared" si="103"/>
        <v/>
      </c>
      <c r="AS505" s="1093">
        <f t="shared" si="114"/>
        <v>12</v>
      </c>
      <c r="AT505" s="1156">
        <v>1.5</v>
      </c>
      <c r="AU505" s="449"/>
      <c r="AV505" s="1205"/>
    </row>
    <row r="506" spans="1:48" ht="16.5" customHeight="1">
      <c r="A506" s="1005">
        <f t="shared" si="104"/>
        <v>46284</v>
      </c>
      <c r="B506" s="1005">
        <f t="shared" si="105"/>
        <v>46284</v>
      </c>
      <c r="C506" s="1150">
        <f t="shared" si="106"/>
        <v>15</v>
      </c>
      <c r="D506" s="1150">
        <f t="shared" si="107"/>
        <v>495</v>
      </c>
      <c r="E506" s="1006" t="s">
        <v>600</v>
      </c>
      <c r="F506" s="1007" t="str">
        <f t="shared" si="109"/>
        <v>A</v>
      </c>
      <c r="G506" s="1008">
        <f t="shared" si="110"/>
        <v>85708</v>
      </c>
      <c r="H506" s="1138">
        <f t="shared" si="111"/>
        <v>0.63611111111111107</v>
      </c>
      <c r="I506" s="1009">
        <v>0.63263888888888886</v>
      </c>
      <c r="J506" s="1010">
        <f t="shared" si="112"/>
        <v>43.000000000000007</v>
      </c>
      <c r="K506" s="1011"/>
      <c r="L506" s="1012"/>
      <c r="M506" s="1013"/>
      <c r="N506" s="1014" t="str">
        <f t="shared" si="113"/>
        <v/>
      </c>
      <c r="O506" s="1323"/>
      <c r="P506" s="1324"/>
      <c r="Q506" s="1324"/>
      <c r="R506" s="1324"/>
      <c r="S506" s="1324"/>
      <c r="T506" s="1325"/>
      <c r="U506" s="1015">
        <v>2</v>
      </c>
      <c r="V506" s="1015"/>
      <c r="W506" s="1015"/>
      <c r="X506" s="1015">
        <v>3.4</v>
      </c>
      <c r="Y506" s="1015"/>
      <c r="Z506" s="1016">
        <f>'09월 에너지'!S508</f>
        <v>146.30000000000001</v>
      </c>
      <c r="AA506" s="1017"/>
      <c r="AB506" s="1208"/>
      <c r="AC506" s="1208"/>
      <c r="AD506" s="1208"/>
      <c r="AE506" s="1208"/>
      <c r="AF506" s="1208"/>
      <c r="AG506" s="1018">
        <f>'09월 화학성분'!AM506</f>
        <v>1655</v>
      </c>
      <c r="AH506" s="1006">
        <f t="shared" si="102"/>
        <v>37</v>
      </c>
      <c r="AI506" s="1019">
        <v>1586</v>
      </c>
      <c r="AJ506" s="1020">
        <v>138</v>
      </c>
      <c r="AK506" s="1021">
        <v>614</v>
      </c>
      <c r="AL506" s="1022">
        <v>6</v>
      </c>
      <c r="AM506" s="1155">
        <f>IF(AT506="","",3*'09월 에너지'!S508*(1/(3+7.8*(100-AT506)/AT506)))</f>
        <v>1.8367859384808538</v>
      </c>
      <c r="AN506" s="1023">
        <v>0.14583333333333334</v>
      </c>
      <c r="AO506" s="1024"/>
      <c r="AP506" s="1025"/>
      <c r="AQ506" s="1025"/>
      <c r="AR506" s="1149">
        <f t="shared" si="103"/>
        <v>4</v>
      </c>
      <c r="AS506" s="1093" t="str">
        <f t="shared" si="114"/>
        <v xml:space="preserve"> </v>
      </c>
      <c r="AT506" s="1156">
        <v>3.2</v>
      </c>
      <c r="AU506" s="449"/>
      <c r="AV506" s="1205"/>
    </row>
    <row r="507" spans="1:48" ht="16.5" customHeight="1">
      <c r="A507" s="1005">
        <f t="shared" si="104"/>
        <v>46284</v>
      </c>
      <c r="B507" s="1005">
        <f t="shared" si="105"/>
        <v>46284</v>
      </c>
      <c r="C507" s="1150">
        <f t="shared" si="106"/>
        <v>16</v>
      </c>
      <c r="D507" s="1150">
        <f t="shared" si="107"/>
        <v>496</v>
      </c>
      <c r="E507" s="1006" t="str">
        <f t="shared" si="108"/>
        <v>B</v>
      </c>
      <c r="F507" s="1007" t="str">
        <f t="shared" si="109"/>
        <v>B</v>
      </c>
      <c r="G507" s="1008">
        <f t="shared" si="110"/>
        <v>85709</v>
      </c>
      <c r="H507" s="1138">
        <f t="shared" si="111"/>
        <v>0.66597222222222219</v>
      </c>
      <c r="I507" s="1009">
        <v>0.66736111111111107</v>
      </c>
      <c r="J507" s="1010">
        <f t="shared" si="112"/>
        <v>49.999999999999986</v>
      </c>
      <c r="K507" s="1011"/>
      <c r="L507" s="1012"/>
      <c r="M507" s="1013"/>
      <c r="N507" s="1014" t="str">
        <f t="shared" si="113"/>
        <v/>
      </c>
      <c r="O507" s="1323"/>
      <c r="P507" s="1324"/>
      <c r="Q507" s="1324"/>
      <c r="R507" s="1324"/>
      <c r="S507" s="1324"/>
      <c r="T507" s="1325"/>
      <c r="U507" s="1015">
        <v>2</v>
      </c>
      <c r="V507" s="1015"/>
      <c r="W507" s="1015"/>
      <c r="X507" s="1015"/>
      <c r="Y507" s="1015">
        <v>2.7</v>
      </c>
      <c r="Z507" s="1016">
        <f>'09월 에너지'!S509</f>
        <v>146.69999999999999</v>
      </c>
      <c r="AA507" s="1017"/>
      <c r="AB507" s="1208"/>
      <c r="AC507" s="1208"/>
      <c r="AD507" s="1208"/>
      <c r="AE507" s="1208"/>
      <c r="AF507" s="1208"/>
      <c r="AG507" s="1018">
        <f>'09월 화학성분'!AM507</f>
        <v>2456</v>
      </c>
      <c r="AH507" s="1006">
        <f t="shared" si="102"/>
        <v>38</v>
      </c>
      <c r="AI507" s="1019">
        <v>1595</v>
      </c>
      <c r="AJ507" s="1020">
        <v>41</v>
      </c>
      <c r="AK507" s="1021">
        <v>578</v>
      </c>
      <c r="AL507" s="1022">
        <v>7</v>
      </c>
      <c r="AM507" s="1155">
        <f>IF(AT507="","",3*'09월 에너지'!S509*(1/(3+7.8*(100-AT507)/AT507)))</f>
        <v>1.4908536585365852</v>
      </c>
      <c r="AN507" s="1023">
        <v>0.14375000000000002</v>
      </c>
      <c r="AO507" s="1024"/>
      <c r="AP507" s="1025"/>
      <c r="AQ507" s="1025"/>
      <c r="AR507" s="1149" t="str">
        <f t="shared" si="103"/>
        <v/>
      </c>
      <c r="AS507" s="1093">
        <f t="shared" si="114"/>
        <v>13</v>
      </c>
      <c r="AT507" s="1156">
        <v>2.6</v>
      </c>
      <c r="AU507" s="449"/>
      <c r="AV507" s="1205"/>
    </row>
    <row r="508" spans="1:48" ht="16.5" customHeight="1">
      <c r="A508" s="1005">
        <f t="shared" si="104"/>
        <v>46284</v>
      </c>
      <c r="B508" s="1005">
        <f t="shared" si="105"/>
        <v>46284</v>
      </c>
      <c r="C508" s="1150">
        <f t="shared" si="106"/>
        <v>17</v>
      </c>
      <c r="D508" s="1150">
        <f t="shared" si="107"/>
        <v>497</v>
      </c>
      <c r="E508" s="1006" t="str">
        <f t="shared" si="108"/>
        <v>B</v>
      </c>
      <c r="F508" s="1007" t="str">
        <f t="shared" si="109"/>
        <v>A</v>
      </c>
      <c r="G508" s="1008">
        <f t="shared" si="110"/>
        <v>85710</v>
      </c>
      <c r="H508" s="1138">
        <f t="shared" si="111"/>
        <v>0.7006944444444444</v>
      </c>
      <c r="I508" s="1009">
        <v>0.70000000000000007</v>
      </c>
      <c r="J508" s="1010">
        <f t="shared" si="112"/>
        <v>47.000000000000156</v>
      </c>
      <c r="K508" s="1011"/>
      <c r="L508" s="1012"/>
      <c r="M508" s="1013"/>
      <c r="N508" s="1014" t="str">
        <f t="shared" si="113"/>
        <v/>
      </c>
      <c r="O508" s="1326" t="s">
        <v>694</v>
      </c>
      <c r="P508" s="1327"/>
      <c r="Q508" s="1327"/>
      <c r="R508" s="1327"/>
      <c r="S508" s="1327"/>
      <c r="T508" s="1328"/>
      <c r="U508" s="1015">
        <v>2</v>
      </c>
      <c r="V508" s="1015"/>
      <c r="W508" s="1015"/>
      <c r="X508" s="1015"/>
      <c r="Y508" s="1015">
        <v>2.8</v>
      </c>
      <c r="Z508" s="1016">
        <f>'09월 에너지'!S510</f>
        <v>141.6</v>
      </c>
      <c r="AA508" s="1017"/>
      <c r="AB508" s="1208"/>
      <c r="AC508" s="1208"/>
      <c r="AD508" s="1208"/>
      <c r="AE508" s="1208"/>
      <c r="AF508" s="1208"/>
      <c r="AG508" s="1018">
        <f>'09월 화학성분'!AM508</f>
        <v>1664</v>
      </c>
      <c r="AH508" s="1006">
        <f t="shared" si="102"/>
        <v>39</v>
      </c>
      <c r="AI508" s="1019">
        <v>1592</v>
      </c>
      <c r="AJ508" s="1020">
        <v>69</v>
      </c>
      <c r="AK508" s="1021">
        <v>686</v>
      </c>
      <c r="AL508" s="1022">
        <v>6</v>
      </c>
      <c r="AM508" s="1155">
        <f>IF(AT508="","",3*'09월 에너지'!S510*(1/(3+7.8*(100-AT508)/AT508)))</f>
        <v>1.1028037383177569</v>
      </c>
      <c r="AN508" s="1023">
        <v>0.14722222222222223</v>
      </c>
      <c r="AO508" s="1024"/>
      <c r="AP508" s="1025"/>
      <c r="AQ508" s="1025"/>
      <c r="AR508" s="1149">
        <f t="shared" si="103"/>
        <v>5</v>
      </c>
      <c r="AS508" s="1093" t="str">
        <f t="shared" si="114"/>
        <v xml:space="preserve"> </v>
      </c>
      <c r="AT508" s="1156">
        <v>2</v>
      </c>
      <c r="AU508" s="449"/>
      <c r="AV508" s="1205"/>
    </row>
    <row r="509" spans="1:48" ht="16.5" customHeight="1">
      <c r="A509" s="1005">
        <f t="shared" si="104"/>
        <v>46284</v>
      </c>
      <c r="B509" s="1005">
        <f t="shared" si="105"/>
        <v>46284</v>
      </c>
      <c r="C509" s="1150">
        <f t="shared" si="106"/>
        <v>18</v>
      </c>
      <c r="D509" s="1150">
        <f t="shared" si="107"/>
        <v>498</v>
      </c>
      <c r="E509" s="1006" t="str">
        <f t="shared" si="108"/>
        <v>B</v>
      </c>
      <c r="F509" s="1007" t="str">
        <f t="shared" si="109"/>
        <v>B</v>
      </c>
      <c r="G509" s="1008">
        <f t="shared" si="110"/>
        <v>85711</v>
      </c>
      <c r="H509" s="1138">
        <f t="shared" si="111"/>
        <v>0.73333333333333339</v>
      </c>
      <c r="I509" s="1009">
        <v>0.73958333333333337</v>
      </c>
      <c r="J509" s="1010">
        <f t="shared" si="112"/>
        <v>56.999999999999957</v>
      </c>
      <c r="K509" s="1011"/>
      <c r="L509" s="1012">
        <v>5</v>
      </c>
      <c r="M509" s="1013"/>
      <c r="N509" s="1014" t="str">
        <f t="shared" si="113"/>
        <v/>
      </c>
      <c r="O509" s="1323" t="s">
        <v>902</v>
      </c>
      <c r="P509" s="1324"/>
      <c r="Q509" s="1324"/>
      <c r="R509" s="1324"/>
      <c r="S509" s="1324"/>
      <c r="T509" s="1325"/>
      <c r="U509" s="1015">
        <v>2</v>
      </c>
      <c r="V509" s="1015"/>
      <c r="W509" s="1015"/>
      <c r="X509" s="1015"/>
      <c r="Y509" s="1015">
        <v>2.6</v>
      </c>
      <c r="Z509" s="1016">
        <f>'09월 에너지'!S511</f>
        <v>146.6</v>
      </c>
      <c r="AA509" s="1017">
        <v>2622</v>
      </c>
      <c r="AB509" s="1208" t="s">
        <v>889</v>
      </c>
      <c r="AC509" s="1208" t="s">
        <v>548</v>
      </c>
      <c r="AD509" s="1208"/>
      <c r="AE509" s="1208"/>
      <c r="AF509" s="1208" t="s">
        <v>548</v>
      </c>
      <c r="AG509" s="1018">
        <f>'09월 화학성분'!AM509</f>
        <v>1950</v>
      </c>
      <c r="AH509" s="1006">
        <f t="shared" si="102"/>
        <v>40</v>
      </c>
      <c r="AI509" s="1019">
        <v>1550</v>
      </c>
      <c r="AJ509" s="1020">
        <v>0</v>
      </c>
      <c r="AK509" s="1021">
        <v>480</v>
      </c>
      <c r="AL509" s="1022">
        <v>9</v>
      </c>
      <c r="AM509" s="1155">
        <f>IF(AT509="","",3*'09월 에너지'!S511*(1/(3+7.8*(100-AT509)/AT509)))</f>
        <v>1.1417445482866042</v>
      </c>
      <c r="AN509" s="1023">
        <v>0.14930555555555555</v>
      </c>
      <c r="AO509" s="1024" t="s">
        <v>570</v>
      </c>
      <c r="AP509" s="1025">
        <v>2000009</v>
      </c>
      <c r="AQ509" s="1025">
        <v>2133</v>
      </c>
      <c r="AR509" s="1149" t="str">
        <f t="shared" si="103"/>
        <v/>
      </c>
      <c r="AS509" s="1093">
        <v>1</v>
      </c>
      <c r="AT509" s="1156">
        <v>2</v>
      </c>
      <c r="AU509" s="449"/>
      <c r="AV509" s="1205"/>
    </row>
    <row r="510" spans="1:48" ht="16.5" customHeight="1">
      <c r="A510" s="1005">
        <f t="shared" si="104"/>
        <v>46284</v>
      </c>
      <c r="B510" s="1005">
        <f t="shared" si="105"/>
        <v>46284</v>
      </c>
      <c r="C510" s="1150">
        <f t="shared" si="106"/>
        <v>19</v>
      </c>
      <c r="D510" s="1150">
        <f t="shared" si="107"/>
        <v>499</v>
      </c>
      <c r="E510" s="1006" t="str">
        <f t="shared" si="108"/>
        <v>B</v>
      </c>
      <c r="F510" s="1007" t="str">
        <f t="shared" si="109"/>
        <v>A</v>
      </c>
      <c r="G510" s="1008">
        <f t="shared" si="110"/>
        <v>85712</v>
      </c>
      <c r="H510" s="1138">
        <f t="shared" si="111"/>
        <v>0.7729166666666667</v>
      </c>
      <c r="I510" s="1009">
        <v>0.76944444444444438</v>
      </c>
      <c r="J510" s="1010">
        <f t="shared" si="112"/>
        <v>42.999999999999844</v>
      </c>
      <c r="K510" s="1011"/>
      <c r="L510" s="1012"/>
      <c r="M510" s="1013"/>
      <c r="N510" s="1014" t="str">
        <f t="shared" si="113"/>
        <v/>
      </c>
      <c r="O510" s="1323" t="s">
        <v>530</v>
      </c>
      <c r="P510" s="1324"/>
      <c r="Q510" s="1324"/>
      <c r="R510" s="1324"/>
      <c r="S510" s="1324"/>
      <c r="T510" s="1325"/>
      <c r="U510" s="1015">
        <v>2</v>
      </c>
      <c r="V510" s="1015"/>
      <c r="W510" s="1015"/>
      <c r="X510" s="1015"/>
      <c r="Y510" s="1015">
        <v>2.5</v>
      </c>
      <c r="Z510" s="1016">
        <f>'09월 에너지'!S512</f>
        <v>142</v>
      </c>
      <c r="AA510" s="1017">
        <v>2544</v>
      </c>
      <c r="AB510" s="1208" t="s">
        <v>889</v>
      </c>
      <c r="AC510" s="1208" t="s">
        <v>548</v>
      </c>
      <c r="AD510" s="1208"/>
      <c r="AE510" s="1208"/>
      <c r="AF510" s="1208" t="s">
        <v>548</v>
      </c>
      <c r="AG510" s="1018">
        <f>'09월 화학성분'!AM510</f>
        <v>1765</v>
      </c>
      <c r="AH510" s="1006">
        <f t="shared" si="102"/>
        <v>41</v>
      </c>
      <c r="AI510" s="1019">
        <v>1563</v>
      </c>
      <c r="AJ510" s="1020">
        <v>183</v>
      </c>
      <c r="AK510" s="1021">
        <v>685</v>
      </c>
      <c r="AL510" s="1022">
        <v>5</v>
      </c>
      <c r="AM510" s="1155">
        <f>IF(AT510="","",3*'09월 에너지'!S512*(1/(3+7.8*(100-AT510)/AT510)))</f>
        <v>1.6692789968652035</v>
      </c>
      <c r="AN510" s="1023">
        <v>0.15486111111111112</v>
      </c>
      <c r="AO510" s="1024"/>
      <c r="AP510" s="1025"/>
      <c r="AQ510" s="1025"/>
      <c r="AR510" s="1149">
        <f t="shared" si="103"/>
        <v>6</v>
      </c>
      <c r="AS510" s="1093" t="str">
        <f t="shared" si="114"/>
        <v xml:space="preserve"> </v>
      </c>
      <c r="AT510" s="1156">
        <v>3</v>
      </c>
      <c r="AU510" s="449"/>
      <c r="AV510" s="1205"/>
    </row>
    <row r="511" spans="1:48" ht="16.5" customHeight="1">
      <c r="A511" s="1005">
        <f t="shared" si="104"/>
        <v>46284</v>
      </c>
      <c r="B511" s="1005">
        <f t="shared" si="105"/>
        <v>46284</v>
      </c>
      <c r="C511" s="1150">
        <f t="shared" si="106"/>
        <v>20</v>
      </c>
      <c r="D511" s="1150">
        <f t="shared" si="107"/>
        <v>500</v>
      </c>
      <c r="E511" s="1006" t="str">
        <f t="shared" si="108"/>
        <v>B</v>
      </c>
      <c r="F511" s="1007" t="str">
        <f t="shared" si="109"/>
        <v>B</v>
      </c>
      <c r="G511" s="1008">
        <f t="shared" si="110"/>
        <v>85713</v>
      </c>
      <c r="H511" s="1138">
        <f t="shared" si="111"/>
        <v>0.8027777777777777</v>
      </c>
      <c r="I511" s="1009">
        <v>0.80138888888888893</v>
      </c>
      <c r="J511" s="1010">
        <f t="shared" si="112"/>
        <v>46.000000000000156</v>
      </c>
      <c r="K511" s="1011"/>
      <c r="L511" s="1012"/>
      <c r="M511" s="1013"/>
      <c r="N511" s="1014" t="str">
        <f t="shared" si="113"/>
        <v/>
      </c>
      <c r="O511" s="1323"/>
      <c r="P511" s="1324"/>
      <c r="Q511" s="1324"/>
      <c r="R511" s="1324"/>
      <c r="S511" s="1324"/>
      <c r="T511" s="1325"/>
      <c r="U511" s="1015">
        <v>2</v>
      </c>
      <c r="V511" s="1015">
        <v>2.7</v>
      </c>
      <c r="W511" s="1015">
        <v>1.2</v>
      </c>
      <c r="X511" s="1015"/>
      <c r="Y511" s="1015"/>
      <c r="Z511" s="1016">
        <f>'09월 에너지'!S513</f>
        <v>145.6</v>
      </c>
      <c r="AA511" s="1017"/>
      <c r="AB511" s="1208"/>
      <c r="AC511" s="1208"/>
      <c r="AD511" s="1208"/>
      <c r="AE511" s="1208"/>
      <c r="AF511" s="1208"/>
      <c r="AG511" s="1018">
        <f>'09월 화학성분'!AM511</f>
        <v>1228</v>
      </c>
      <c r="AH511" s="1006">
        <f t="shared" si="102"/>
        <v>42</v>
      </c>
      <c r="AI511" s="1019">
        <v>1587</v>
      </c>
      <c r="AJ511" s="1020">
        <v>0</v>
      </c>
      <c r="AK511" s="1021">
        <v>635</v>
      </c>
      <c r="AL511" s="1022">
        <v>6</v>
      </c>
      <c r="AM511" s="1155">
        <f>IF(AT511="","",3*'09월 에너지'!S513*(1/(3+7.8*(100-AT511)/AT511)))</f>
        <v>4.0353470437017993</v>
      </c>
      <c r="AN511" s="1023">
        <v>0.1423611111111111</v>
      </c>
      <c r="AO511" s="1024"/>
      <c r="AP511" s="1025"/>
      <c r="AQ511" s="1025"/>
      <c r="AR511" s="1149" t="str">
        <f t="shared" si="103"/>
        <v/>
      </c>
      <c r="AS511" s="1093">
        <f t="shared" si="114"/>
        <v>2</v>
      </c>
      <c r="AT511" s="1156">
        <v>6.9</v>
      </c>
      <c r="AU511" s="449"/>
      <c r="AV511" s="1205"/>
    </row>
    <row r="512" spans="1:48" ht="16.5" customHeight="1">
      <c r="A512" s="1005">
        <f t="shared" si="104"/>
        <v>46284</v>
      </c>
      <c r="B512" s="1005">
        <f t="shared" si="105"/>
        <v>46284</v>
      </c>
      <c r="C512" s="1150">
        <f t="shared" si="106"/>
        <v>21</v>
      </c>
      <c r="D512" s="1150">
        <f t="shared" si="107"/>
        <v>501</v>
      </c>
      <c r="E512" s="1006" t="str">
        <f t="shared" si="108"/>
        <v>B</v>
      </c>
      <c r="F512" s="1007" t="str">
        <f t="shared" si="109"/>
        <v>A</v>
      </c>
      <c r="G512" s="1008">
        <f t="shared" si="110"/>
        <v>85714</v>
      </c>
      <c r="H512" s="1138">
        <f t="shared" si="111"/>
        <v>0.83472222222222225</v>
      </c>
      <c r="I512" s="1009">
        <v>0.8354166666666667</v>
      </c>
      <c r="J512" s="1010">
        <f t="shared" si="112"/>
        <v>48.999999999999986</v>
      </c>
      <c r="K512" s="1011"/>
      <c r="L512" s="1012">
        <v>3</v>
      </c>
      <c r="M512" s="1013"/>
      <c r="N512" s="1014" t="str">
        <f t="shared" si="113"/>
        <v/>
      </c>
      <c r="O512" s="1326" t="s">
        <v>903</v>
      </c>
      <c r="P512" s="1327"/>
      <c r="Q512" s="1327"/>
      <c r="R512" s="1327"/>
      <c r="S512" s="1327"/>
      <c r="T512" s="1328"/>
      <c r="U512" s="1015">
        <v>2</v>
      </c>
      <c r="V512" s="1015">
        <v>2.6</v>
      </c>
      <c r="W512" s="1015">
        <v>1.4</v>
      </c>
      <c r="X512" s="1015"/>
      <c r="Y512" s="1015"/>
      <c r="Z512" s="1016">
        <f>'09월 에너지'!S514</f>
        <v>141.30000000000001</v>
      </c>
      <c r="AA512" s="1017"/>
      <c r="AB512" s="1208"/>
      <c r="AC512" s="1208"/>
      <c r="AD512" s="1208"/>
      <c r="AE512" s="1208"/>
      <c r="AF512" s="1208"/>
      <c r="AG512" s="1018">
        <f>'09월 화학성분'!AM512</f>
        <v>1659</v>
      </c>
      <c r="AH512" s="1006">
        <f t="shared" si="102"/>
        <v>43</v>
      </c>
      <c r="AI512" s="1019">
        <v>1562</v>
      </c>
      <c r="AJ512" s="1020">
        <v>131</v>
      </c>
      <c r="AK512" s="1021">
        <v>534</v>
      </c>
      <c r="AL512" s="1022">
        <v>7</v>
      </c>
      <c r="AM512" s="1155">
        <f>IF(AT512="","",3*'09월 에너지'!S514*(1/(3+7.8*(100-AT512)/AT512)))</f>
        <v>2.1146030245746688</v>
      </c>
      <c r="AN512" s="1023">
        <v>0.14791666666666667</v>
      </c>
      <c r="AO512" s="1024"/>
      <c r="AP512" s="1025"/>
      <c r="AQ512" s="1025"/>
      <c r="AR512" s="1149">
        <f t="shared" si="103"/>
        <v>7</v>
      </c>
      <c r="AS512" s="1093" t="str">
        <f t="shared" si="114"/>
        <v xml:space="preserve"> </v>
      </c>
      <c r="AT512" s="1156">
        <v>3.8</v>
      </c>
      <c r="AU512" s="449"/>
      <c r="AV512" s="1205"/>
    </row>
    <row r="513" spans="1:48" ht="16.5" customHeight="1">
      <c r="A513" s="1005">
        <f t="shared" si="104"/>
        <v>46284</v>
      </c>
      <c r="B513" s="1005">
        <f t="shared" si="105"/>
        <v>46284</v>
      </c>
      <c r="C513" s="1150">
        <f t="shared" si="106"/>
        <v>22</v>
      </c>
      <c r="D513" s="1150">
        <f t="shared" si="107"/>
        <v>502</v>
      </c>
      <c r="E513" s="1006" t="str">
        <f t="shared" si="108"/>
        <v>B</v>
      </c>
      <c r="F513" s="1007" t="str">
        <f t="shared" si="109"/>
        <v>B</v>
      </c>
      <c r="G513" s="1008">
        <f t="shared" si="110"/>
        <v>85715</v>
      </c>
      <c r="H513" s="1138">
        <f t="shared" si="111"/>
        <v>0.86875000000000002</v>
      </c>
      <c r="I513" s="1009">
        <v>0.86736111111111114</v>
      </c>
      <c r="J513" s="1010">
        <f t="shared" si="112"/>
        <v>46</v>
      </c>
      <c r="K513" s="1011"/>
      <c r="L513" s="1012"/>
      <c r="M513" s="1013"/>
      <c r="N513" s="1014" t="str">
        <f t="shared" si="113"/>
        <v/>
      </c>
      <c r="O513" s="1323"/>
      <c r="P513" s="1324"/>
      <c r="Q513" s="1324"/>
      <c r="R513" s="1324"/>
      <c r="S513" s="1324"/>
      <c r="T513" s="1325"/>
      <c r="U513" s="1015">
        <v>2</v>
      </c>
      <c r="V513" s="1015"/>
      <c r="W513" s="1015"/>
      <c r="X513" s="1015"/>
      <c r="Y513" s="1015">
        <v>2.5</v>
      </c>
      <c r="Z513" s="1016">
        <f>'09월 에너지'!S515</f>
        <v>146.69999999999999</v>
      </c>
      <c r="AA513" s="1017"/>
      <c r="AB513" s="1208"/>
      <c r="AC513" s="1208"/>
      <c r="AD513" s="1208"/>
      <c r="AE513" s="1208"/>
      <c r="AF513" s="1208"/>
      <c r="AG513" s="1018">
        <f>'09월 화학성분'!AM513</f>
        <v>1494</v>
      </c>
      <c r="AH513" s="1006">
        <f t="shared" si="102"/>
        <v>44</v>
      </c>
      <c r="AI513" s="1019">
        <v>1583</v>
      </c>
      <c r="AJ513" s="1020">
        <v>0</v>
      </c>
      <c r="AK513" s="1021">
        <v>489</v>
      </c>
      <c r="AL513" s="1022">
        <v>9</v>
      </c>
      <c r="AM513" s="1155">
        <f>IF(AT513="","",3*'09월 에너지'!S515*(1/(3+7.8*(100-AT513)/AT513)))</f>
        <v>1.6075453976205381</v>
      </c>
      <c r="AN513" s="1023">
        <v>0.12569444444444444</v>
      </c>
      <c r="AO513" s="1024"/>
      <c r="AP513" s="1025"/>
      <c r="AQ513" s="1025"/>
      <c r="AR513" s="1149" t="str">
        <f t="shared" si="103"/>
        <v/>
      </c>
      <c r="AS513" s="1093">
        <f t="shared" si="114"/>
        <v>3</v>
      </c>
      <c r="AT513" s="1156">
        <v>2.8</v>
      </c>
      <c r="AU513" s="449"/>
      <c r="AV513" s="1205"/>
    </row>
    <row r="514" spans="1:48" ht="16.5" customHeight="1">
      <c r="A514" s="1005">
        <f t="shared" si="104"/>
        <v>46284</v>
      </c>
      <c r="B514" s="1005">
        <f t="shared" si="105"/>
        <v>46284</v>
      </c>
      <c r="C514" s="1150">
        <f t="shared" si="106"/>
        <v>23</v>
      </c>
      <c r="D514" s="1150">
        <f t="shared" si="107"/>
        <v>503</v>
      </c>
      <c r="E514" s="1006" t="str">
        <f t="shared" si="108"/>
        <v>B</v>
      </c>
      <c r="F514" s="1007" t="str">
        <f t="shared" si="109"/>
        <v>A</v>
      </c>
      <c r="G514" s="1008">
        <f t="shared" si="110"/>
        <v>85716</v>
      </c>
      <c r="H514" s="1138">
        <f t="shared" si="111"/>
        <v>0.90069444444444446</v>
      </c>
      <c r="I514" s="1009">
        <v>0.89861111111111114</v>
      </c>
      <c r="J514" s="1010">
        <f t="shared" si="112"/>
        <v>45</v>
      </c>
      <c r="K514" s="1011"/>
      <c r="L514" s="1012"/>
      <c r="M514" s="1013"/>
      <c r="N514" s="1014" t="str">
        <f t="shared" si="113"/>
        <v/>
      </c>
      <c r="O514" s="1323"/>
      <c r="P514" s="1324"/>
      <c r="Q514" s="1324"/>
      <c r="R514" s="1324"/>
      <c r="S514" s="1324"/>
      <c r="T514" s="1325"/>
      <c r="U514" s="1015">
        <v>2</v>
      </c>
      <c r="V514" s="1015"/>
      <c r="W514" s="1015"/>
      <c r="X514" s="1015"/>
      <c r="Y514" s="1015">
        <v>2.7</v>
      </c>
      <c r="Z514" s="1016">
        <f>'09월 에너지'!S516</f>
        <v>145.1</v>
      </c>
      <c r="AA514" s="1017"/>
      <c r="AB514" s="1208"/>
      <c r="AC514" s="1208"/>
      <c r="AD514" s="1208"/>
      <c r="AE514" s="1208"/>
      <c r="AF514" s="1208"/>
      <c r="AG514" s="1018">
        <f>'09월 화학성분'!AM514</f>
        <v>1984</v>
      </c>
      <c r="AH514" s="1006">
        <f t="shared" si="102"/>
        <v>45</v>
      </c>
      <c r="AI514" s="1019">
        <v>1572</v>
      </c>
      <c r="AJ514" s="1020">
        <v>220</v>
      </c>
      <c r="AK514" s="1021">
        <v>537</v>
      </c>
      <c r="AL514" s="1022">
        <v>8</v>
      </c>
      <c r="AM514" s="1155">
        <f>IF(AT514="","",3*'09월 에너지'!S516*(1/(3+7.8*(100-AT514)/AT514)))</f>
        <v>1.5900125234815274</v>
      </c>
      <c r="AN514" s="1023">
        <v>0.16319444444444445</v>
      </c>
      <c r="AO514" s="1024"/>
      <c r="AP514" s="1025"/>
      <c r="AQ514" s="1025"/>
      <c r="AR514" s="1149">
        <f t="shared" si="103"/>
        <v>8</v>
      </c>
      <c r="AS514" s="1093" t="str">
        <f t="shared" si="114"/>
        <v xml:space="preserve"> </v>
      </c>
      <c r="AT514" s="1156">
        <v>2.8</v>
      </c>
      <c r="AU514" s="449"/>
      <c r="AV514" s="1205"/>
    </row>
    <row r="515" spans="1:48" ht="16.5" customHeight="1">
      <c r="A515" s="1005">
        <f t="shared" si="104"/>
        <v>46284</v>
      </c>
      <c r="B515" s="1005">
        <f t="shared" si="105"/>
        <v>46284</v>
      </c>
      <c r="C515" s="1150">
        <f t="shared" si="106"/>
        <v>24</v>
      </c>
      <c r="D515" s="1150">
        <f t="shared" si="107"/>
        <v>504</v>
      </c>
      <c r="E515" s="1006" t="str">
        <f t="shared" si="108"/>
        <v>B</v>
      </c>
      <c r="F515" s="1007" t="str">
        <f t="shared" si="109"/>
        <v>B</v>
      </c>
      <c r="G515" s="1008">
        <f t="shared" si="110"/>
        <v>85717</v>
      </c>
      <c r="H515" s="1138">
        <f t="shared" si="111"/>
        <v>0.93194444444444446</v>
      </c>
      <c r="I515" s="1009">
        <v>0.92986111111111114</v>
      </c>
      <c r="J515" s="1010">
        <f t="shared" si="112"/>
        <v>45</v>
      </c>
      <c r="K515" s="1011"/>
      <c r="L515" s="1012"/>
      <c r="M515" s="1013"/>
      <c r="N515" s="1014" t="str">
        <f t="shared" si="113"/>
        <v/>
      </c>
      <c r="O515" s="1338" t="s">
        <v>904</v>
      </c>
      <c r="P515" s="1339"/>
      <c r="Q515" s="1339"/>
      <c r="R515" s="1339"/>
      <c r="S515" s="1339"/>
      <c r="T515" s="1340"/>
      <c r="U515" s="1015">
        <v>2</v>
      </c>
      <c r="V515" s="1015">
        <v>2.5</v>
      </c>
      <c r="W515" s="1015">
        <v>1.3</v>
      </c>
      <c r="X515" s="1015"/>
      <c r="Y515" s="1015"/>
      <c r="Z515" s="1016">
        <f>'09월 에너지'!S517</f>
        <v>143.5</v>
      </c>
      <c r="AA515" s="1017"/>
      <c r="AB515" s="1208"/>
      <c r="AC515" s="1208"/>
      <c r="AD515" s="1208"/>
      <c r="AE515" s="1208"/>
      <c r="AF515" s="1208"/>
      <c r="AG515" s="1018">
        <f>'09월 화학성분'!AM515</f>
        <v>1515</v>
      </c>
      <c r="AH515" s="1006">
        <f t="shared" si="102"/>
        <v>46</v>
      </c>
      <c r="AI515" s="1019">
        <v>1581</v>
      </c>
      <c r="AJ515" s="1020">
        <v>64</v>
      </c>
      <c r="AK515" s="1021">
        <v>325</v>
      </c>
      <c r="AL515" s="1022">
        <v>14</v>
      </c>
      <c r="AM515" s="1155">
        <f>IF(AT515="","",3*'09월 에너지'!S517*(1/(3+7.8*(100-AT515)/AT515)))</f>
        <v>1.572479649342517</v>
      </c>
      <c r="AN515" s="1023">
        <v>0.13402777777777777</v>
      </c>
      <c r="AO515" s="1024"/>
      <c r="AP515" s="1025"/>
      <c r="AQ515" s="1025"/>
      <c r="AR515" s="1149" t="str">
        <f t="shared" si="103"/>
        <v/>
      </c>
      <c r="AS515" s="1093">
        <f t="shared" si="114"/>
        <v>4</v>
      </c>
      <c r="AT515" s="1156">
        <v>2.8</v>
      </c>
      <c r="AU515" s="449"/>
      <c r="AV515" s="1205"/>
    </row>
    <row r="516" spans="1:48" ht="16.5" customHeight="1">
      <c r="A516" s="1005">
        <f t="shared" si="104"/>
        <v>46284</v>
      </c>
      <c r="B516" s="1005">
        <f t="shared" si="105"/>
        <v>46284</v>
      </c>
      <c r="C516" s="1150">
        <f t="shared" si="106"/>
        <v>25</v>
      </c>
      <c r="D516" s="1150">
        <f t="shared" si="107"/>
        <v>505</v>
      </c>
      <c r="E516" s="1006" t="s">
        <v>737</v>
      </c>
      <c r="F516" s="1007" t="str">
        <f t="shared" si="109"/>
        <v>A</v>
      </c>
      <c r="G516" s="1008">
        <f t="shared" si="110"/>
        <v>85718</v>
      </c>
      <c r="H516" s="1138">
        <f t="shared" si="111"/>
        <v>0.96319444444444446</v>
      </c>
      <c r="I516" s="1009">
        <v>0.96250000000000002</v>
      </c>
      <c r="J516" s="1010">
        <f t="shared" si="112"/>
        <v>46.999999999999993</v>
      </c>
      <c r="K516" s="1011"/>
      <c r="L516" s="1012"/>
      <c r="M516" s="1013"/>
      <c r="N516" s="1014" t="str">
        <f t="shared" si="113"/>
        <v/>
      </c>
      <c r="O516" s="1326" t="s">
        <v>822</v>
      </c>
      <c r="P516" s="1324"/>
      <c r="Q516" s="1324"/>
      <c r="R516" s="1324"/>
      <c r="S516" s="1324"/>
      <c r="T516" s="1325"/>
      <c r="U516" s="1015">
        <v>2</v>
      </c>
      <c r="V516" s="1015">
        <v>2.5</v>
      </c>
      <c r="W516" s="1015">
        <v>1.8</v>
      </c>
      <c r="X516" s="1015"/>
      <c r="Y516" s="1015"/>
      <c r="Z516" s="1016">
        <f>'09월 에너지'!S518</f>
        <v>141.19999999999999</v>
      </c>
      <c r="AA516" s="1017"/>
      <c r="AB516" s="1208"/>
      <c r="AC516" s="1208"/>
      <c r="AD516" s="1208"/>
      <c r="AE516" s="1208"/>
      <c r="AF516" s="1208"/>
      <c r="AG516" s="1018">
        <f>'09월 화학성분'!AM516</f>
        <v>1416</v>
      </c>
      <c r="AH516" s="1006">
        <f t="shared" si="102"/>
        <v>47</v>
      </c>
      <c r="AI516" s="1019">
        <v>1586</v>
      </c>
      <c r="AJ516" s="1020">
        <v>0</v>
      </c>
      <c r="AK516" s="1021">
        <v>750</v>
      </c>
      <c r="AL516" s="1022">
        <v>5</v>
      </c>
      <c r="AM516" s="1155">
        <f>IF(AT516="","",3*'09월 에너지'!S518*(1/(3+7.8*(100-AT516)/AT516)))</f>
        <v>1.3229231730168645</v>
      </c>
      <c r="AN516" s="1023">
        <v>0.15208333333333332</v>
      </c>
      <c r="AO516" s="1024"/>
      <c r="AP516" s="1025"/>
      <c r="AQ516" s="1025"/>
      <c r="AR516" s="1149">
        <f t="shared" si="103"/>
        <v>9</v>
      </c>
      <c r="AS516" s="1093" t="str">
        <f t="shared" si="114"/>
        <v xml:space="preserve"> </v>
      </c>
      <c r="AT516" s="1156">
        <v>2.4</v>
      </c>
      <c r="AU516" s="449"/>
      <c r="AV516" s="1205"/>
    </row>
    <row r="517" spans="1:48" ht="16.5" customHeight="1">
      <c r="A517" s="1005">
        <f t="shared" si="104"/>
        <v>46284</v>
      </c>
      <c r="B517" s="1005">
        <f t="shared" si="105"/>
        <v>46284</v>
      </c>
      <c r="C517" s="1150">
        <f t="shared" si="106"/>
        <v>26</v>
      </c>
      <c r="D517" s="1150">
        <f t="shared" si="107"/>
        <v>506</v>
      </c>
      <c r="E517" s="1006" t="str">
        <f t="shared" si="108"/>
        <v>D</v>
      </c>
      <c r="F517" s="1007" t="str">
        <f t="shared" si="109"/>
        <v>B</v>
      </c>
      <c r="G517" s="1008">
        <f t="shared" si="110"/>
        <v>85719</v>
      </c>
      <c r="H517" s="1138">
        <f t="shared" si="111"/>
        <v>0.99583333333333335</v>
      </c>
      <c r="I517" s="1009">
        <v>0.99375000000000002</v>
      </c>
      <c r="J517" s="1010">
        <f t="shared" si="112"/>
        <v>45</v>
      </c>
      <c r="K517" s="1011"/>
      <c r="L517" s="1012"/>
      <c r="M517" s="1013"/>
      <c r="N517" s="1014" t="str">
        <f t="shared" si="113"/>
        <v/>
      </c>
      <c r="O517" s="1326"/>
      <c r="P517" s="1327"/>
      <c r="Q517" s="1327"/>
      <c r="R517" s="1327"/>
      <c r="S517" s="1327"/>
      <c r="T517" s="1328"/>
      <c r="U517" s="1015">
        <v>2</v>
      </c>
      <c r="V517" s="1015"/>
      <c r="W517" s="1015"/>
      <c r="X517" s="1015"/>
      <c r="Y517" s="1015">
        <v>2.5</v>
      </c>
      <c r="Z517" s="1016">
        <f>'09월 에너지'!S519</f>
        <v>146.69999999999999</v>
      </c>
      <c r="AA517" s="1017"/>
      <c r="AB517" s="1208"/>
      <c r="AC517" s="1208"/>
      <c r="AD517" s="1208"/>
      <c r="AE517" s="1208"/>
      <c r="AF517" s="1208"/>
      <c r="AG517" s="1018">
        <f>'09월 화학성분'!AM517</f>
        <v>1101</v>
      </c>
      <c r="AH517" s="1006">
        <f t="shared" si="102"/>
        <v>48</v>
      </c>
      <c r="AI517" s="1019">
        <v>1572</v>
      </c>
      <c r="AJ517" s="1020">
        <v>0</v>
      </c>
      <c r="AK517" s="1021">
        <v>390</v>
      </c>
      <c r="AL517" s="1022">
        <v>11</v>
      </c>
      <c r="AM517" s="1155">
        <f>IF(AT517="","",3*'09월 에너지'!S519*(1/(3+7.8*(100-AT517)/AT517)))</f>
        <v>0.96933302238805963</v>
      </c>
      <c r="AN517" s="1023">
        <v>0.13958333333333334</v>
      </c>
      <c r="AO517" s="1024"/>
      <c r="AP517" s="1025"/>
      <c r="AQ517" s="1025"/>
      <c r="AR517" s="1149" t="str">
        <f t="shared" si="103"/>
        <v/>
      </c>
      <c r="AS517" s="1093">
        <f t="shared" si="114"/>
        <v>5</v>
      </c>
      <c r="AT517" s="1156">
        <v>1.7</v>
      </c>
      <c r="AU517" s="449"/>
      <c r="AV517" s="1205"/>
    </row>
    <row r="518" spans="1:48" ht="16.5" customHeight="1">
      <c r="A518" s="1005">
        <f t="shared" si="104"/>
        <v>46284</v>
      </c>
      <c r="B518" s="1005">
        <f t="shared" si="105"/>
        <v>46284</v>
      </c>
      <c r="C518" s="1150">
        <f t="shared" si="106"/>
        <v>27</v>
      </c>
      <c r="D518" s="1150">
        <f t="shared" si="107"/>
        <v>507</v>
      </c>
      <c r="E518" s="1006" t="str">
        <f t="shared" si="108"/>
        <v>D</v>
      </c>
      <c r="F518" s="1007" t="str">
        <f t="shared" si="109"/>
        <v>A</v>
      </c>
      <c r="G518" s="1008">
        <f t="shared" si="110"/>
        <v>85720</v>
      </c>
      <c r="H518" s="1138">
        <f t="shared" si="111"/>
        <v>1.0270833333333333</v>
      </c>
      <c r="I518" s="1009">
        <v>2.5694444444444447E-2</v>
      </c>
      <c r="J518" s="1010">
        <f t="shared" si="112"/>
        <v>46</v>
      </c>
      <c r="K518" s="1011"/>
      <c r="L518" s="1012"/>
      <c r="M518" s="1013"/>
      <c r="N518" s="1014" t="str">
        <f t="shared" si="113"/>
        <v/>
      </c>
      <c r="O518" s="1323" t="s">
        <v>906</v>
      </c>
      <c r="P518" s="1324"/>
      <c r="Q518" s="1324"/>
      <c r="R518" s="1324"/>
      <c r="S518" s="1324"/>
      <c r="T518" s="1325"/>
      <c r="U518" s="1015">
        <v>2</v>
      </c>
      <c r="V518" s="1015"/>
      <c r="W518" s="1015"/>
      <c r="X518" s="1015"/>
      <c r="Y518" s="1015">
        <v>2.6</v>
      </c>
      <c r="Z518" s="1016">
        <f>'09월 에너지'!S520</f>
        <v>143.30000000000001</v>
      </c>
      <c r="AA518" s="1017"/>
      <c r="AB518" s="1208"/>
      <c r="AC518" s="1208"/>
      <c r="AD518" s="1208"/>
      <c r="AE518" s="1208"/>
      <c r="AF518" s="1208"/>
      <c r="AG518" s="1018">
        <f>'09월 화학성분'!AM518</f>
        <v>1991</v>
      </c>
      <c r="AH518" s="1006">
        <f t="shared" si="102"/>
        <v>49</v>
      </c>
      <c r="AI518" s="1019">
        <v>1553</v>
      </c>
      <c r="AJ518" s="1020">
        <v>0</v>
      </c>
      <c r="AK518" s="1021">
        <v>321</v>
      </c>
      <c r="AL518" s="1022">
        <v>14</v>
      </c>
      <c r="AM518" s="1155">
        <f>IF(AT518="","",3*'09월 에너지'!S520*(1/(3+7.8*(100-AT518)/AT518)))</f>
        <v>0.72227822580645162</v>
      </c>
      <c r="AN518" s="1023">
        <v>0.14722222222222223</v>
      </c>
      <c r="AO518" s="1024"/>
      <c r="AP518" s="1025"/>
      <c r="AQ518" s="1025"/>
      <c r="AR518" s="1149">
        <f t="shared" si="103"/>
        <v>10</v>
      </c>
      <c r="AS518" s="1093" t="str">
        <f t="shared" si="114"/>
        <v xml:space="preserve"> </v>
      </c>
      <c r="AT518" s="1156">
        <v>1.3</v>
      </c>
      <c r="AU518" s="449"/>
      <c r="AV518" s="1205"/>
    </row>
    <row r="519" spans="1:48" ht="16.5" customHeight="1">
      <c r="A519" s="1005">
        <f t="shared" si="104"/>
        <v>46284</v>
      </c>
      <c r="B519" s="1005">
        <f t="shared" si="105"/>
        <v>46284</v>
      </c>
      <c r="C519" s="1150">
        <f t="shared" si="106"/>
        <v>28</v>
      </c>
      <c r="D519" s="1150">
        <f t="shared" si="107"/>
        <v>508</v>
      </c>
      <c r="E519" s="1006" t="str">
        <f t="shared" si="108"/>
        <v>D</v>
      </c>
      <c r="F519" s="1007" t="str">
        <f t="shared" si="109"/>
        <v>B</v>
      </c>
      <c r="G519" s="1008">
        <f t="shared" si="110"/>
        <v>85721</v>
      </c>
      <c r="H519" s="1138">
        <f t="shared" si="111"/>
        <v>5.9027777777777776E-2</v>
      </c>
      <c r="I519" s="1009">
        <v>5.6250000000000001E-2</v>
      </c>
      <c r="J519" s="1010">
        <f t="shared" si="112"/>
        <v>44</v>
      </c>
      <c r="K519" s="1011"/>
      <c r="L519" s="1012"/>
      <c r="M519" s="1013"/>
      <c r="N519" s="1014" t="str">
        <f t="shared" si="113"/>
        <v/>
      </c>
      <c r="O519" s="1323"/>
      <c r="P519" s="1324"/>
      <c r="Q519" s="1324"/>
      <c r="R519" s="1324"/>
      <c r="S519" s="1324"/>
      <c r="T519" s="1325"/>
      <c r="U519" s="1015">
        <v>2</v>
      </c>
      <c r="V519" s="1015"/>
      <c r="W519" s="1015"/>
      <c r="X519" s="1015">
        <v>3.3</v>
      </c>
      <c r="Y519" s="1015"/>
      <c r="Z519" s="1016">
        <f>'09월 에너지'!S521</f>
        <v>144.6</v>
      </c>
      <c r="AA519" s="1017"/>
      <c r="AB519" s="1208"/>
      <c r="AC519" s="1208"/>
      <c r="AD519" s="1208"/>
      <c r="AE519" s="1208"/>
      <c r="AF519" s="1208"/>
      <c r="AG519" s="1018">
        <f>'09월 화학성분'!AM519</f>
        <v>1736</v>
      </c>
      <c r="AH519" s="1006">
        <f t="shared" si="102"/>
        <v>50</v>
      </c>
      <c r="AI519" s="1019">
        <v>1579</v>
      </c>
      <c r="AJ519" s="1020">
        <v>0</v>
      </c>
      <c r="AK519" s="1021">
        <v>459</v>
      </c>
      <c r="AL519" s="1022">
        <v>9</v>
      </c>
      <c r="AM519" s="1155">
        <f>IF(AT519="","",3*'09월 에너지'!S521*(1/(3+7.8*(100-AT519)/AT519)))</f>
        <v>0.84200310559006208</v>
      </c>
      <c r="AN519" s="1023">
        <v>0.15555555555555556</v>
      </c>
      <c r="AO519" s="1024"/>
      <c r="AP519" s="1025"/>
      <c r="AQ519" s="1025"/>
      <c r="AR519" s="1149" t="str">
        <f t="shared" si="103"/>
        <v/>
      </c>
      <c r="AS519" s="1093">
        <f t="shared" si="114"/>
        <v>6</v>
      </c>
      <c r="AT519" s="1156">
        <v>1.5</v>
      </c>
      <c r="AU519" s="449"/>
      <c r="AV519" s="1205"/>
    </row>
    <row r="520" spans="1:48" ht="16.5" customHeight="1">
      <c r="A520" s="1005">
        <f t="shared" si="104"/>
        <v>46284</v>
      </c>
      <c r="B520" s="1005">
        <f t="shared" si="105"/>
        <v>46284</v>
      </c>
      <c r="C520" s="1150">
        <f t="shared" si="106"/>
        <v>29</v>
      </c>
      <c r="D520" s="1150">
        <f t="shared" si="107"/>
        <v>509</v>
      </c>
      <c r="E520" s="1006" t="str">
        <f t="shared" si="108"/>
        <v>D</v>
      </c>
      <c r="F520" s="1007" t="str">
        <f t="shared" si="109"/>
        <v>A</v>
      </c>
      <c r="G520" s="1008">
        <f t="shared" si="110"/>
        <v>85722</v>
      </c>
      <c r="H520" s="1138">
        <f t="shared" si="111"/>
        <v>8.9583333333333334E-2</v>
      </c>
      <c r="I520" s="1009">
        <v>8.7500000000000008E-2</v>
      </c>
      <c r="J520" s="1010">
        <f t="shared" si="112"/>
        <v>45.000000000000007</v>
      </c>
      <c r="K520" s="1011"/>
      <c r="L520" s="1012"/>
      <c r="M520" s="1013"/>
      <c r="N520" s="1014" t="str">
        <f t="shared" si="113"/>
        <v/>
      </c>
      <c r="O520" s="1326" t="s">
        <v>706</v>
      </c>
      <c r="P520" s="1324"/>
      <c r="Q520" s="1324"/>
      <c r="R520" s="1324"/>
      <c r="S520" s="1324"/>
      <c r="T520" s="1325"/>
      <c r="U520" s="1015">
        <v>2</v>
      </c>
      <c r="V520" s="1015"/>
      <c r="W520" s="1015"/>
      <c r="X520" s="1015">
        <v>3.9</v>
      </c>
      <c r="Y520" s="1015"/>
      <c r="Z520" s="1016">
        <f>'09월 에너지'!S522</f>
        <v>142.5</v>
      </c>
      <c r="AA520" s="1017"/>
      <c r="AB520" s="1208"/>
      <c r="AC520" s="1208"/>
      <c r="AD520" s="1208"/>
      <c r="AE520" s="1208"/>
      <c r="AF520" s="1208"/>
      <c r="AG520" s="1018">
        <f>'09월 화학성분'!AM520</f>
        <v>1263</v>
      </c>
      <c r="AH520" s="1006">
        <f t="shared" si="102"/>
        <v>51</v>
      </c>
      <c r="AI520" s="1019">
        <v>1590</v>
      </c>
      <c r="AJ520" s="1020">
        <v>0</v>
      </c>
      <c r="AK520" s="1021">
        <v>214</v>
      </c>
      <c r="AL520" s="1022">
        <v>23</v>
      </c>
      <c r="AM520" s="1155">
        <f>IF(AT520="","",3*'09월 에너지'!S522*(1/(3+7.8*(100-AT520)/AT520)))</f>
        <v>0.77397579143389195</v>
      </c>
      <c r="AN520" s="1023">
        <v>0.15069444444444444</v>
      </c>
      <c r="AO520" s="1024"/>
      <c r="AP520" s="1025"/>
      <c r="AQ520" s="1025"/>
      <c r="AR520" s="1149">
        <f t="shared" si="103"/>
        <v>11</v>
      </c>
      <c r="AS520" s="1093" t="str">
        <f t="shared" si="114"/>
        <v xml:space="preserve"> </v>
      </c>
      <c r="AT520" s="1156">
        <v>1.4</v>
      </c>
      <c r="AU520" s="449"/>
      <c r="AV520" s="1205"/>
    </row>
    <row r="521" spans="1:48" ht="16.5" customHeight="1">
      <c r="A521" s="1005">
        <v>46284</v>
      </c>
      <c r="B521" s="1005">
        <f t="shared" si="105"/>
        <v>46284</v>
      </c>
      <c r="C521" s="1150">
        <f t="shared" si="106"/>
        <v>30</v>
      </c>
      <c r="D521" s="1150">
        <f t="shared" si="107"/>
        <v>510</v>
      </c>
      <c r="E521" s="1006" t="str">
        <f t="shared" si="108"/>
        <v>D</v>
      </c>
      <c r="F521" s="1007" t="str">
        <f t="shared" si="109"/>
        <v>B</v>
      </c>
      <c r="G521" s="1008">
        <f t="shared" si="110"/>
        <v>85723</v>
      </c>
      <c r="H521" s="1138">
        <f t="shared" si="111"/>
        <v>0.12083333333333335</v>
      </c>
      <c r="I521" s="1009">
        <v>0.11805555555555557</v>
      </c>
      <c r="J521" s="1010">
        <f t="shared" si="112"/>
        <v>44</v>
      </c>
      <c r="K521" s="1011"/>
      <c r="L521" s="1012"/>
      <c r="M521" s="1013"/>
      <c r="N521" s="1014" t="str">
        <f t="shared" si="113"/>
        <v/>
      </c>
      <c r="O521" s="1323"/>
      <c r="P521" s="1324"/>
      <c r="Q521" s="1324"/>
      <c r="R521" s="1324"/>
      <c r="S521" s="1324"/>
      <c r="T521" s="1325"/>
      <c r="U521" s="1015">
        <v>2</v>
      </c>
      <c r="V521" s="1015"/>
      <c r="W521" s="1015"/>
      <c r="X521" s="1015"/>
      <c r="Y521" s="1015">
        <v>2.4</v>
      </c>
      <c r="Z521" s="1016">
        <f>'09월 에너지'!S523</f>
        <v>144.9</v>
      </c>
      <c r="AA521" s="1017"/>
      <c r="AB521" s="1208"/>
      <c r="AC521" s="1208"/>
      <c r="AD521" s="1208"/>
      <c r="AE521" s="1208"/>
      <c r="AF521" s="1208"/>
      <c r="AG521" s="1018">
        <f>'09월 화학성분'!AM521</f>
        <v>1500</v>
      </c>
      <c r="AH521" s="1006">
        <f t="shared" si="102"/>
        <v>52</v>
      </c>
      <c r="AI521" s="1019">
        <v>1586</v>
      </c>
      <c r="AJ521" s="1020">
        <v>22</v>
      </c>
      <c r="AK521" s="1021">
        <v>584</v>
      </c>
      <c r="AL521" s="1022">
        <v>7</v>
      </c>
      <c r="AM521" s="1155">
        <f>IF(AT521="","",3*'09월 에너지'!S523*(1/(3+7.8*(100-AT521)/AT521)))</f>
        <v>0.90055935363579864</v>
      </c>
      <c r="AN521" s="1023">
        <v>0.1361111111111111</v>
      </c>
      <c r="AO521" s="1024"/>
      <c r="AP521" s="1025"/>
      <c r="AQ521" s="1025"/>
      <c r="AR521" s="1149" t="str">
        <f t="shared" si="103"/>
        <v/>
      </c>
      <c r="AS521" s="1093">
        <f t="shared" si="114"/>
        <v>7</v>
      </c>
      <c r="AT521" s="1156">
        <v>1.6</v>
      </c>
      <c r="AU521" s="449"/>
      <c r="AV521" s="1205"/>
    </row>
    <row r="522" spans="1:48" ht="16.5" customHeight="1">
      <c r="A522" s="1005">
        <v>46285</v>
      </c>
      <c r="B522" s="1005">
        <f t="shared" si="105"/>
        <v>46284</v>
      </c>
      <c r="C522" s="1150">
        <f t="shared" si="106"/>
        <v>1</v>
      </c>
      <c r="D522" s="1150">
        <f t="shared" si="107"/>
        <v>511</v>
      </c>
      <c r="E522" s="1006" t="str">
        <f t="shared" si="108"/>
        <v>D</v>
      </c>
      <c r="F522" s="1007" t="str">
        <f t="shared" si="109"/>
        <v>A</v>
      </c>
      <c r="G522" s="1008">
        <f t="shared" si="110"/>
        <v>85724</v>
      </c>
      <c r="H522" s="1138">
        <f t="shared" si="111"/>
        <v>0.15138888888888891</v>
      </c>
      <c r="I522" s="1009">
        <v>0.15</v>
      </c>
      <c r="J522" s="1010">
        <f t="shared" si="112"/>
        <v>45.999999999999979</v>
      </c>
      <c r="K522" s="1011"/>
      <c r="L522" s="1012"/>
      <c r="M522" s="1013"/>
      <c r="N522" s="1014" t="str">
        <f t="shared" si="113"/>
        <v/>
      </c>
      <c r="O522" s="1323"/>
      <c r="P522" s="1324"/>
      <c r="Q522" s="1324"/>
      <c r="R522" s="1324"/>
      <c r="S522" s="1324"/>
      <c r="T522" s="1325"/>
      <c r="U522" s="1015">
        <v>2</v>
      </c>
      <c r="V522" s="1015"/>
      <c r="W522" s="1015"/>
      <c r="X522" s="1015"/>
      <c r="Y522" s="1015">
        <v>2.6</v>
      </c>
      <c r="Z522" s="1016">
        <f>'09월 에너지'!S524</f>
        <v>144.69999999999999</v>
      </c>
      <c r="AA522" s="1017"/>
      <c r="AB522" s="1208"/>
      <c r="AC522" s="1208"/>
      <c r="AD522" s="1208"/>
      <c r="AE522" s="1208"/>
      <c r="AF522" s="1208"/>
      <c r="AG522" s="1018">
        <f>'09월 화학성분'!AM522</f>
        <v>1177</v>
      </c>
      <c r="AH522" s="1006">
        <f t="shared" si="102"/>
        <v>53</v>
      </c>
      <c r="AI522" s="1019">
        <v>1593</v>
      </c>
      <c r="AJ522" s="1020">
        <v>0</v>
      </c>
      <c r="AK522" s="1021">
        <v>545</v>
      </c>
      <c r="AL522" s="1022">
        <v>7</v>
      </c>
      <c r="AM522" s="1155">
        <f>IF(AT522="","",3*'09월 에너지'!S524*(1/(3+7.8*(100-AT522)/AT522)))</f>
        <v>0.95611784825870638</v>
      </c>
      <c r="AN522" s="1023">
        <v>0.15902777777777777</v>
      </c>
      <c r="AO522" s="1024"/>
      <c r="AP522" s="1025"/>
      <c r="AQ522" s="1025"/>
      <c r="AR522" s="1149">
        <f t="shared" si="103"/>
        <v>12</v>
      </c>
      <c r="AS522" s="1093" t="str">
        <f t="shared" si="114"/>
        <v xml:space="preserve"> </v>
      </c>
      <c r="AT522" s="1156">
        <v>1.7</v>
      </c>
      <c r="AU522" s="449"/>
      <c r="AV522" s="1205"/>
    </row>
    <row r="523" spans="1:48" ht="16.5" customHeight="1">
      <c r="A523" s="1005">
        <f t="shared" si="104"/>
        <v>46285</v>
      </c>
      <c r="B523" s="1005">
        <f t="shared" si="105"/>
        <v>46284</v>
      </c>
      <c r="C523" s="1150">
        <f t="shared" si="106"/>
        <v>2</v>
      </c>
      <c r="D523" s="1150">
        <f t="shared" si="107"/>
        <v>512</v>
      </c>
      <c r="E523" s="1006" t="str">
        <f t="shared" si="108"/>
        <v>D</v>
      </c>
      <c r="F523" s="1007" t="str">
        <f t="shared" si="109"/>
        <v>B</v>
      </c>
      <c r="G523" s="1008">
        <f t="shared" si="110"/>
        <v>85725</v>
      </c>
      <c r="H523" s="1138">
        <f t="shared" si="111"/>
        <v>0.18333333333333332</v>
      </c>
      <c r="I523" s="1009">
        <v>0.18055555555555555</v>
      </c>
      <c r="J523" s="1010">
        <f t="shared" si="112"/>
        <v>44</v>
      </c>
      <c r="K523" s="1011"/>
      <c r="L523" s="1012"/>
      <c r="M523" s="1013"/>
      <c r="N523" s="1014" t="str">
        <f t="shared" si="113"/>
        <v/>
      </c>
      <c r="O523" s="1323"/>
      <c r="P523" s="1324"/>
      <c r="Q523" s="1324"/>
      <c r="R523" s="1324"/>
      <c r="S523" s="1324"/>
      <c r="T523" s="1325"/>
      <c r="U523" s="1015">
        <v>2</v>
      </c>
      <c r="V523" s="1015"/>
      <c r="W523" s="1015"/>
      <c r="X523" s="1015"/>
      <c r="Y523" s="1015">
        <v>2.5</v>
      </c>
      <c r="Z523" s="1016">
        <f>'09월 에너지'!S525</f>
        <v>145</v>
      </c>
      <c r="AA523" s="1017"/>
      <c r="AB523" s="1208"/>
      <c r="AC523" s="1208"/>
      <c r="AD523" s="1208"/>
      <c r="AE523" s="1208"/>
      <c r="AF523" s="1208"/>
      <c r="AG523" s="1018">
        <f>'09월 화학성분'!AM523</f>
        <v>1458</v>
      </c>
      <c r="AH523" s="1006">
        <f t="shared" si="102"/>
        <v>54</v>
      </c>
      <c r="AI523" s="1019">
        <v>1594</v>
      </c>
      <c r="AJ523" s="1020">
        <v>62</v>
      </c>
      <c r="AK523" s="1021">
        <v>572</v>
      </c>
      <c r="AL523" s="1022">
        <v>6</v>
      </c>
      <c r="AM523" s="1155">
        <f>IF(AT523="","",3*'09월 에너지'!S525*(1/(3+7.8*(100-AT523)/AT523)))</f>
        <v>0.95810012437810943</v>
      </c>
      <c r="AN523" s="1023">
        <v>0.1361111111111111</v>
      </c>
      <c r="AO523" s="1024"/>
      <c r="AP523" s="1025"/>
      <c r="AQ523" s="1025"/>
      <c r="AR523" s="1149" t="str">
        <f t="shared" si="103"/>
        <v/>
      </c>
      <c r="AS523" s="1093">
        <f t="shared" si="114"/>
        <v>8</v>
      </c>
      <c r="AT523" s="1156">
        <v>1.7</v>
      </c>
      <c r="AU523" s="449"/>
      <c r="AV523" s="1205"/>
    </row>
    <row r="524" spans="1:48" ht="16.5" customHeight="1">
      <c r="A524" s="1005">
        <f t="shared" si="104"/>
        <v>46285</v>
      </c>
      <c r="B524" s="1005">
        <f t="shared" si="105"/>
        <v>46284</v>
      </c>
      <c r="C524" s="1150">
        <f t="shared" si="106"/>
        <v>3</v>
      </c>
      <c r="D524" s="1150">
        <f t="shared" si="107"/>
        <v>513</v>
      </c>
      <c r="E524" s="1006" t="str">
        <f t="shared" si="108"/>
        <v>D</v>
      </c>
      <c r="F524" s="1007" t="str">
        <f t="shared" si="109"/>
        <v>A</v>
      </c>
      <c r="G524" s="1008">
        <f t="shared" si="110"/>
        <v>85726</v>
      </c>
      <c r="H524" s="1138">
        <f t="shared" si="111"/>
        <v>0.21388888888888888</v>
      </c>
      <c r="I524" s="1009">
        <v>0.21388888888888891</v>
      </c>
      <c r="J524" s="1010">
        <f t="shared" si="112"/>
        <v>48.000000000000028</v>
      </c>
      <c r="K524" s="1011"/>
      <c r="L524" s="1012"/>
      <c r="M524" s="1013"/>
      <c r="N524" s="1014" t="str">
        <f t="shared" si="113"/>
        <v/>
      </c>
      <c r="O524" s="1326" t="s">
        <v>907</v>
      </c>
      <c r="P524" s="1324"/>
      <c r="Q524" s="1324"/>
      <c r="R524" s="1324"/>
      <c r="S524" s="1324"/>
      <c r="T524" s="1325"/>
      <c r="U524" s="1015">
        <v>2</v>
      </c>
      <c r="V524" s="1015"/>
      <c r="W524" s="1015"/>
      <c r="X524" s="1015"/>
      <c r="Y524" s="1015">
        <v>2.7</v>
      </c>
      <c r="Z524" s="1016">
        <f>'09월 에너지'!S526</f>
        <v>143.5</v>
      </c>
      <c r="AA524" s="1017">
        <v>2571</v>
      </c>
      <c r="AB524" s="1208" t="s">
        <v>573</v>
      </c>
      <c r="AC524" s="1208" t="s">
        <v>532</v>
      </c>
      <c r="AD524" s="1208" t="s">
        <v>548</v>
      </c>
      <c r="AE524" s="1208"/>
      <c r="AF524" s="1208" t="s">
        <v>532</v>
      </c>
      <c r="AG524" s="1018">
        <f>'09월 화학성분'!AM524</f>
        <v>1203</v>
      </c>
      <c r="AH524" s="1006">
        <f t="shared" si="102"/>
        <v>55</v>
      </c>
      <c r="AI524" s="1019">
        <v>1584</v>
      </c>
      <c r="AJ524" s="1020">
        <v>0</v>
      </c>
      <c r="AK524" s="1021">
        <v>463</v>
      </c>
      <c r="AL524" s="1022">
        <v>9</v>
      </c>
      <c r="AM524" s="1155">
        <f>IF(AT524="","",3*'09월 에너지'!S526*(1/(3+7.8*(100-AT524)/AT524)))</f>
        <v>0.94818874378109452</v>
      </c>
      <c r="AN524" s="1023">
        <v>0.1388888888888889</v>
      </c>
      <c r="AO524" s="1024" t="s">
        <v>538</v>
      </c>
      <c r="AP524" s="1025">
        <v>2000114</v>
      </c>
      <c r="AQ524" s="1025">
        <v>2124</v>
      </c>
      <c r="AR524" s="1149">
        <v>1</v>
      </c>
      <c r="AS524" s="1093" t="str">
        <f t="shared" si="114"/>
        <v xml:space="preserve"> </v>
      </c>
      <c r="AT524" s="1156">
        <v>1.7</v>
      </c>
      <c r="AU524" s="449"/>
      <c r="AV524" s="1205"/>
    </row>
    <row r="525" spans="1:48" ht="16.5" customHeight="1">
      <c r="A525" s="1005">
        <f t="shared" si="104"/>
        <v>46285</v>
      </c>
      <c r="B525" s="1005">
        <f t="shared" si="105"/>
        <v>46284</v>
      </c>
      <c r="C525" s="1150">
        <f t="shared" si="106"/>
        <v>4</v>
      </c>
      <c r="D525" s="1150">
        <f t="shared" si="107"/>
        <v>514</v>
      </c>
      <c r="E525" s="1006" t="str">
        <f t="shared" si="108"/>
        <v>D</v>
      </c>
      <c r="F525" s="1007" t="str">
        <f t="shared" si="109"/>
        <v>B</v>
      </c>
      <c r="G525" s="1008">
        <f t="shared" si="110"/>
        <v>85727</v>
      </c>
      <c r="H525" s="1138">
        <f t="shared" si="111"/>
        <v>0.24722222222222223</v>
      </c>
      <c r="I525" s="1009">
        <v>0.24791666666666667</v>
      </c>
      <c r="J525" s="1010">
        <f t="shared" si="112"/>
        <v>48.999999999999986</v>
      </c>
      <c r="K525" s="1011"/>
      <c r="L525" s="1012"/>
      <c r="M525" s="1013"/>
      <c r="N525" s="1014" t="str">
        <f t="shared" si="113"/>
        <v/>
      </c>
      <c r="O525" s="1323" t="s">
        <v>530</v>
      </c>
      <c r="P525" s="1324"/>
      <c r="Q525" s="1324"/>
      <c r="R525" s="1324"/>
      <c r="S525" s="1324"/>
      <c r="T525" s="1325"/>
      <c r="U525" s="1015">
        <v>2</v>
      </c>
      <c r="V525" s="1015">
        <v>2.6</v>
      </c>
      <c r="W525" s="1015">
        <v>1.8</v>
      </c>
      <c r="X525" s="1015"/>
      <c r="Y525" s="1015"/>
      <c r="Z525" s="1016">
        <f>'09월 에너지'!S527</f>
        <v>142.4</v>
      </c>
      <c r="AA525" s="1017">
        <v>2365</v>
      </c>
      <c r="AB525" s="1208" t="s">
        <v>573</v>
      </c>
      <c r="AC525" s="1208" t="s">
        <v>532</v>
      </c>
      <c r="AD525" s="1208" t="s">
        <v>548</v>
      </c>
      <c r="AE525" s="1208"/>
      <c r="AF525" s="1208" t="s">
        <v>532</v>
      </c>
      <c r="AG525" s="1018">
        <f>'09월 화학성분'!AM525</f>
        <v>1224</v>
      </c>
      <c r="AH525" s="1006">
        <f t="shared" ref="AH525:AH588" si="115">IF(I525="","",AH524+1)</f>
        <v>56</v>
      </c>
      <c r="AI525" s="1019">
        <v>1595</v>
      </c>
      <c r="AJ525" s="1020">
        <v>138</v>
      </c>
      <c r="AK525" s="1021">
        <v>754</v>
      </c>
      <c r="AL525" s="1022">
        <v>5</v>
      </c>
      <c r="AM525" s="1155">
        <f>IF(AT525="","",3*'09월 에너지'!S527*(1/(3+7.8*(100-AT525)/AT525)))</f>
        <v>1.2214597629444794</v>
      </c>
      <c r="AN525" s="1023">
        <v>0.13055555555555556</v>
      </c>
      <c r="AO525" s="1024"/>
      <c r="AP525" s="1025"/>
      <c r="AQ525" s="1025"/>
      <c r="AR525" s="1149" t="str">
        <f t="shared" ref="AR525:AR588" si="116">IF(F525="A",IFERROR(IF(I525="","",IF(F525="A",AR524+1," ")),AR523+1),"")</f>
        <v/>
      </c>
      <c r="AS525" s="1093">
        <f t="shared" si="114"/>
        <v>9</v>
      </c>
      <c r="AT525" s="1156">
        <v>2.2000000000000002</v>
      </c>
      <c r="AU525" s="449"/>
      <c r="AV525" s="1205"/>
    </row>
    <row r="526" spans="1:48" ht="16.5" customHeight="1">
      <c r="A526" s="1005">
        <f t="shared" ref="A526:A589" si="117">IF(I526="","",A525)</f>
        <v>46285</v>
      </c>
      <c r="B526" s="1005">
        <v>46285</v>
      </c>
      <c r="C526" s="1150">
        <f t="shared" ref="C526:C589" si="118">IF(I526="","",IF(A526=A525,C525+1,1))</f>
        <v>5</v>
      </c>
      <c r="D526" s="1150">
        <f t="shared" ref="D526:D589" si="119">IF(C526="","",D525+1)</f>
        <v>515</v>
      </c>
      <c r="E526" s="1006" t="s">
        <v>534</v>
      </c>
      <c r="F526" s="1007" t="str">
        <f t="shared" ref="F526:F589" si="120">IF(C526="","",IF(F525="A","B","A"))</f>
        <v>A</v>
      </c>
      <c r="G526" s="1008">
        <f t="shared" ref="G526:G589" si="121">IF(C526="","",G525+1)</f>
        <v>85728</v>
      </c>
      <c r="H526" s="1138">
        <f t="shared" ref="H526:H589" si="122">IF(ISBLANK(I525),H525+C$8/1440,I525+C$8/1440)</f>
        <v>0.28125</v>
      </c>
      <c r="I526" s="1009">
        <v>0.27777777777777779</v>
      </c>
      <c r="J526" s="1010">
        <f t="shared" ref="J526:J589" si="123">IF(I526="","",IF(I526&lt;I525,(I526-I525)*1440+1440,(I526-I525)*1440))</f>
        <v>43.000000000000007</v>
      </c>
      <c r="K526" s="1011"/>
      <c r="L526" s="1012"/>
      <c r="M526" s="1013"/>
      <c r="N526" s="1014" t="str">
        <f t="shared" ref="N526:N589" si="124">IF(M526="","",M526+K526/1440)</f>
        <v/>
      </c>
      <c r="O526" s="1323"/>
      <c r="P526" s="1324"/>
      <c r="Q526" s="1324"/>
      <c r="R526" s="1324"/>
      <c r="S526" s="1324"/>
      <c r="T526" s="1325"/>
      <c r="U526" s="1015">
        <v>2</v>
      </c>
      <c r="V526" s="1015">
        <v>2.5</v>
      </c>
      <c r="W526" s="1015">
        <v>1.6</v>
      </c>
      <c r="X526" s="1015"/>
      <c r="Y526" s="1015"/>
      <c r="Z526" s="1016">
        <f>'09월 에너지'!S528</f>
        <v>143.6</v>
      </c>
      <c r="AA526" s="1017"/>
      <c r="AB526" s="1208"/>
      <c r="AC526" s="1208"/>
      <c r="AD526" s="1208"/>
      <c r="AE526" s="1208"/>
      <c r="AF526" s="1208"/>
      <c r="AG526" s="1018">
        <f>'09월 화학성분'!AM526</f>
        <v>1661</v>
      </c>
      <c r="AH526" s="1006">
        <f t="shared" si="115"/>
        <v>57</v>
      </c>
      <c r="AI526" s="1019">
        <v>1571</v>
      </c>
      <c r="AJ526" s="1020">
        <v>0</v>
      </c>
      <c r="AK526" s="1021">
        <v>538</v>
      </c>
      <c r="AL526" s="1022">
        <v>8</v>
      </c>
      <c r="AM526" s="1155">
        <f>IF(AT526="","",3*'09월 에너지'!S528*(1/(3+7.8*(100-AT526)/AT526)))</f>
        <v>0.33261272390364416</v>
      </c>
      <c r="AN526" s="1023">
        <v>0.1451388888888889</v>
      </c>
      <c r="AO526" s="1024"/>
      <c r="AP526" s="1025"/>
      <c r="AQ526" s="1025"/>
      <c r="AR526" s="1149">
        <f t="shared" si="116"/>
        <v>2</v>
      </c>
      <c r="AS526" s="1093" t="str">
        <f t="shared" ref="AS526:AS589" si="125">IFERROR(IF($I526="","",IF($F526="B",AS525+1," ")),AS524+1)</f>
        <v xml:space="preserve"> </v>
      </c>
      <c r="AT526" s="1156">
        <v>0.6</v>
      </c>
      <c r="AU526" s="449"/>
      <c r="AV526" s="1205"/>
    </row>
    <row r="527" spans="1:48" ht="16.5" customHeight="1">
      <c r="A527" s="1005">
        <f t="shared" si="117"/>
        <v>46285</v>
      </c>
      <c r="B527" s="1005">
        <f t="shared" ref="B527:B589" si="126">IF(J527="","",B526)</f>
        <v>46285</v>
      </c>
      <c r="C527" s="1150">
        <f t="shared" si="118"/>
        <v>6</v>
      </c>
      <c r="D527" s="1150">
        <f t="shared" si="119"/>
        <v>516</v>
      </c>
      <c r="E527" s="1006" t="str">
        <f t="shared" ref="E527:E589" si="127">IF(C527="","",E526)</f>
        <v>A</v>
      </c>
      <c r="F527" s="1007" t="str">
        <f t="shared" si="120"/>
        <v>B</v>
      </c>
      <c r="G527" s="1008">
        <f t="shared" si="121"/>
        <v>85729</v>
      </c>
      <c r="H527" s="1138">
        <f t="shared" si="122"/>
        <v>0.31111111111111112</v>
      </c>
      <c r="I527" s="1009">
        <v>0.30972222222222223</v>
      </c>
      <c r="J527" s="1010">
        <f t="shared" si="123"/>
        <v>46</v>
      </c>
      <c r="K527" s="1011"/>
      <c r="L527" s="1012"/>
      <c r="M527" s="1013"/>
      <c r="N527" s="1014" t="str">
        <f t="shared" si="124"/>
        <v/>
      </c>
      <c r="O527" s="1323" t="s">
        <v>529</v>
      </c>
      <c r="P527" s="1324"/>
      <c r="Q527" s="1324"/>
      <c r="R527" s="1324"/>
      <c r="S527" s="1324"/>
      <c r="T527" s="1325"/>
      <c r="U527" s="1015">
        <v>2</v>
      </c>
      <c r="V527" s="1015"/>
      <c r="W527" s="1015"/>
      <c r="X527" s="1015"/>
      <c r="Y527" s="1015">
        <v>2.8</v>
      </c>
      <c r="Z527" s="1016">
        <f>'09월 에너지'!S529</f>
        <v>144.1</v>
      </c>
      <c r="AA527" s="1017"/>
      <c r="AB527" s="1208"/>
      <c r="AC527" s="1208"/>
      <c r="AD527" s="1208"/>
      <c r="AE527" s="1208"/>
      <c r="AF527" s="1208"/>
      <c r="AG527" s="1018">
        <f>'09월 화학성분'!AM527</f>
        <v>2092</v>
      </c>
      <c r="AH527" s="1006">
        <f t="shared" si="115"/>
        <v>58</v>
      </c>
      <c r="AI527" s="1019">
        <v>1552</v>
      </c>
      <c r="AJ527" s="1020">
        <v>0</v>
      </c>
      <c r="AK527" s="1021">
        <v>453</v>
      </c>
      <c r="AL527" s="1022">
        <v>9</v>
      </c>
      <c r="AM527" s="1155">
        <f>IF(AT527="","",3*'09월 에너지'!S529*(1/(3+7.8*(100-AT527)/AT527)))</f>
        <v>0.67002479851208918</v>
      </c>
      <c r="AN527" s="1023">
        <v>0.14652777777777778</v>
      </c>
      <c r="AO527" s="1024"/>
      <c r="AP527" s="1025"/>
      <c r="AQ527" s="1025"/>
      <c r="AR527" s="1149" t="str">
        <f t="shared" si="116"/>
        <v/>
      </c>
      <c r="AS527" s="1093">
        <f t="shared" si="125"/>
        <v>10</v>
      </c>
      <c r="AT527" s="1156">
        <v>1.2</v>
      </c>
      <c r="AU527" s="449"/>
      <c r="AV527" s="1205"/>
    </row>
    <row r="528" spans="1:48" ht="16.5" customHeight="1">
      <c r="A528" s="1005">
        <f t="shared" si="117"/>
        <v>46285</v>
      </c>
      <c r="B528" s="1005">
        <f t="shared" si="126"/>
        <v>46285</v>
      </c>
      <c r="C528" s="1150">
        <f t="shared" si="118"/>
        <v>7</v>
      </c>
      <c r="D528" s="1150">
        <f t="shared" si="119"/>
        <v>517</v>
      </c>
      <c r="E528" s="1006" t="str">
        <f t="shared" si="127"/>
        <v>A</v>
      </c>
      <c r="F528" s="1007" t="str">
        <f t="shared" si="120"/>
        <v>A</v>
      </c>
      <c r="G528" s="1008">
        <f t="shared" si="121"/>
        <v>85730</v>
      </c>
      <c r="H528" s="1138">
        <f t="shared" si="122"/>
        <v>0.34305555555555556</v>
      </c>
      <c r="I528" s="1009">
        <v>0.34027777777777773</v>
      </c>
      <c r="J528" s="1010">
        <f t="shared" si="123"/>
        <v>43.999999999999922</v>
      </c>
      <c r="K528" s="1011"/>
      <c r="L528" s="1012"/>
      <c r="M528" s="1013"/>
      <c r="N528" s="1014" t="str">
        <f t="shared" si="124"/>
        <v/>
      </c>
      <c r="O528" s="1323"/>
      <c r="P528" s="1324"/>
      <c r="Q528" s="1324"/>
      <c r="R528" s="1324"/>
      <c r="S528" s="1324"/>
      <c r="T528" s="1325"/>
      <c r="U528" s="1015">
        <v>2</v>
      </c>
      <c r="V528" s="1015"/>
      <c r="W528" s="1015"/>
      <c r="X528" s="1015"/>
      <c r="Y528" s="1015">
        <v>2.6</v>
      </c>
      <c r="Z528" s="1016">
        <f>'09월 에너지'!S530</f>
        <v>143.69999999999999</v>
      </c>
      <c r="AA528" s="1017"/>
      <c r="AB528" s="1208"/>
      <c r="AC528" s="1208"/>
      <c r="AD528" s="1208"/>
      <c r="AE528" s="1208"/>
      <c r="AF528" s="1208"/>
      <c r="AG528" s="1018">
        <f>'09월 화학성분'!AM528</f>
        <v>1854</v>
      </c>
      <c r="AH528" s="1006">
        <f t="shared" si="115"/>
        <v>59</v>
      </c>
      <c r="AI528" s="1019">
        <v>1584</v>
      </c>
      <c r="AJ528" s="1020">
        <v>56</v>
      </c>
      <c r="AK528" s="1021">
        <v>754</v>
      </c>
      <c r="AL528" s="1022">
        <v>5</v>
      </c>
      <c r="AM528" s="1155">
        <f>IF(AT528="","",3*'09월 에너지'!S530*(1/(3+7.8*(100-AT528)/AT528)))</f>
        <v>1.5174827909887361</v>
      </c>
      <c r="AN528" s="1023">
        <v>0.1451388888888889</v>
      </c>
      <c r="AO528" s="1024"/>
      <c r="AP528" s="1025"/>
      <c r="AQ528" s="1025"/>
      <c r="AR528" s="1149">
        <f t="shared" si="116"/>
        <v>3</v>
      </c>
      <c r="AS528" s="1093" t="str">
        <f t="shared" si="125"/>
        <v xml:space="preserve"> </v>
      </c>
      <c r="AT528" s="1156">
        <v>2.7</v>
      </c>
      <c r="AU528" s="449"/>
      <c r="AV528" s="1205"/>
    </row>
    <row r="529" spans="1:48" ht="16.5" customHeight="1">
      <c r="A529" s="1005">
        <f t="shared" si="117"/>
        <v>46285</v>
      </c>
      <c r="B529" s="1005">
        <f t="shared" si="126"/>
        <v>46285</v>
      </c>
      <c r="C529" s="1150">
        <f t="shared" si="118"/>
        <v>8</v>
      </c>
      <c r="D529" s="1150">
        <f t="shared" si="119"/>
        <v>518</v>
      </c>
      <c r="E529" s="1006" t="str">
        <f t="shared" si="127"/>
        <v>A</v>
      </c>
      <c r="F529" s="1007" t="str">
        <f t="shared" si="120"/>
        <v>B</v>
      </c>
      <c r="G529" s="1008">
        <f t="shared" si="121"/>
        <v>85731</v>
      </c>
      <c r="H529" s="1138">
        <f t="shared" si="122"/>
        <v>0.37361111111111106</v>
      </c>
      <c r="I529" s="1009">
        <v>0.37361111111111112</v>
      </c>
      <c r="J529" s="1010">
        <f t="shared" si="123"/>
        <v>48.000000000000071</v>
      </c>
      <c r="K529" s="1011"/>
      <c r="L529" s="1012">
        <v>2</v>
      </c>
      <c r="M529" s="1013"/>
      <c r="N529" s="1014" t="str">
        <f t="shared" si="124"/>
        <v/>
      </c>
      <c r="O529" s="1323" t="s">
        <v>704</v>
      </c>
      <c r="P529" s="1324"/>
      <c r="Q529" s="1324"/>
      <c r="R529" s="1324"/>
      <c r="S529" s="1324"/>
      <c r="T529" s="1325"/>
      <c r="U529" s="1015">
        <v>2</v>
      </c>
      <c r="V529" s="1015">
        <v>2.7</v>
      </c>
      <c r="W529" s="1015">
        <v>1.6</v>
      </c>
      <c r="X529" s="1015"/>
      <c r="Y529" s="1015"/>
      <c r="Z529" s="1016">
        <f>'09월 에너지'!S531</f>
        <v>143.4</v>
      </c>
      <c r="AA529" s="1017"/>
      <c r="AB529" s="1208"/>
      <c r="AC529" s="1208"/>
      <c r="AD529" s="1208"/>
      <c r="AE529" s="1208"/>
      <c r="AF529" s="1208"/>
      <c r="AG529" s="1018">
        <f>'09월 화학성분'!AM529</f>
        <v>1963</v>
      </c>
      <c r="AH529" s="1006">
        <f t="shared" si="115"/>
        <v>60</v>
      </c>
      <c r="AI529" s="1019">
        <v>1533</v>
      </c>
      <c r="AJ529" s="1020">
        <v>0</v>
      </c>
      <c r="AK529" s="1021">
        <v>370</v>
      </c>
      <c r="AL529" s="1022">
        <v>12</v>
      </c>
      <c r="AM529" s="1155">
        <f>IF(AT529="","",3*'09월 에너지'!S531*(1/(3+7.8*(100-AT529)/AT529)))</f>
        <v>0.89123679303915482</v>
      </c>
      <c r="AN529" s="1023">
        <v>0.12708333333333333</v>
      </c>
      <c r="AO529" s="1024"/>
      <c r="AP529" s="1025"/>
      <c r="AQ529" s="1025"/>
      <c r="AR529" s="1149" t="str">
        <f t="shared" si="116"/>
        <v/>
      </c>
      <c r="AS529" s="1093">
        <f t="shared" si="125"/>
        <v>11</v>
      </c>
      <c r="AT529" s="1156">
        <v>1.6</v>
      </c>
      <c r="AU529" s="449"/>
      <c r="AV529" s="1205"/>
    </row>
    <row r="530" spans="1:48" ht="16.5" customHeight="1">
      <c r="A530" s="1005">
        <f t="shared" si="117"/>
        <v>46285</v>
      </c>
      <c r="B530" s="1005">
        <f t="shared" si="126"/>
        <v>46285</v>
      </c>
      <c r="C530" s="1150">
        <f t="shared" si="118"/>
        <v>9</v>
      </c>
      <c r="D530" s="1150">
        <f t="shared" si="119"/>
        <v>519</v>
      </c>
      <c r="E530" s="1006" t="str">
        <f t="shared" si="127"/>
        <v>A</v>
      </c>
      <c r="F530" s="1007" t="str">
        <f t="shared" si="120"/>
        <v>A</v>
      </c>
      <c r="G530" s="1008">
        <f t="shared" si="121"/>
        <v>85732</v>
      </c>
      <c r="H530" s="1138">
        <f t="shared" si="122"/>
        <v>0.40694444444444444</v>
      </c>
      <c r="I530" s="1009">
        <v>0.40277777777777773</v>
      </c>
      <c r="J530" s="1010">
        <f t="shared" si="123"/>
        <v>41.999999999999929</v>
      </c>
      <c r="K530" s="1011"/>
      <c r="L530" s="1012"/>
      <c r="M530" s="1013"/>
      <c r="N530" s="1014" t="str">
        <f t="shared" si="124"/>
        <v/>
      </c>
      <c r="O530" s="1323"/>
      <c r="P530" s="1324"/>
      <c r="Q530" s="1324"/>
      <c r="R530" s="1324"/>
      <c r="S530" s="1324"/>
      <c r="T530" s="1325"/>
      <c r="U530" s="1015">
        <v>2</v>
      </c>
      <c r="V530" s="1015">
        <v>2.4</v>
      </c>
      <c r="W530" s="1015">
        <v>1.5</v>
      </c>
      <c r="X530" s="1015"/>
      <c r="Y530" s="1015"/>
      <c r="Z530" s="1016">
        <f>'09월 에너지'!S532</f>
        <v>143</v>
      </c>
      <c r="AA530" s="1017"/>
      <c r="AB530" s="1208"/>
      <c r="AC530" s="1208"/>
      <c r="AD530" s="1208"/>
      <c r="AE530" s="1208"/>
      <c r="AF530" s="1208"/>
      <c r="AG530" s="1018">
        <f>'09월 화학성분'!AM530</f>
        <v>1509</v>
      </c>
      <c r="AH530" s="1006">
        <f t="shared" si="115"/>
        <v>61</v>
      </c>
      <c r="AI530" s="1019">
        <v>1560</v>
      </c>
      <c r="AJ530" s="1020">
        <v>0</v>
      </c>
      <c r="AK530" s="1021">
        <v>424</v>
      </c>
      <c r="AL530" s="1022">
        <v>10</v>
      </c>
      <c r="AM530" s="1155">
        <f>IF(AT530="","",3*'09월 에너지'!S532*(1/(3+7.8*(100-AT530)/AT530)))</f>
        <v>1.396484375</v>
      </c>
      <c r="AN530" s="1023">
        <v>0.14444444444444446</v>
      </c>
      <c r="AO530" s="1024"/>
      <c r="AP530" s="1025"/>
      <c r="AQ530" s="1025"/>
      <c r="AR530" s="1149">
        <f t="shared" si="116"/>
        <v>4</v>
      </c>
      <c r="AS530" s="1093" t="str">
        <f t="shared" si="125"/>
        <v xml:space="preserve"> </v>
      </c>
      <c r="AT530" s="1156">
        <v>2.5</v>
      </c>
      <c r="AU530" s="449"/>
      <c r="AV530" s="1205"/>
    </row>
    <row r="531" spans="1:48" ht="16.5" customHeight="1">
      <c r="A531" s="1005">
        <f t="shared" si="117"/>
        <v>46285</v>
      </c>
      <c r="B531" s="1005">
        <f t="shared" si="126"/>
        <v>46285</v>
      </c>
      <c r="C531" s="1150">
        <f t="shared" si="118"/>
        <v>10</v>
      </c>
      <c r="D531" s="1150">
        <f t="shared" si="119"/>
        <v>520</v>
      </c>
      <c r="E531" s="1006" t="str">
        <f t="shared" si="127"/>
        <v>A</v>
      </c>
      <c r="F531" s="1007" t="str">
        <f t="shared" si="120"/>
        <v>B</v>
      </c>
      <c r="G531" s="1008">
        <f t="shared" si="121"/>
        <v>85733</v>
      </c>
      <c r="H531" s="1138">
        <f t="shared" si="122"/>
        <v>0.43611111111111106</v>
      </c>
      <c r="I531" s="1009">
        <v>0.4375</v>
      </c>
      <c r="J531" s="1010">
        <f t="shared" si="123"/>
        <v>50.000000000000064</v>
      </c>
      <c r="K531" s="1011"/>
      <c r="L531" s="1012">
        <v>5</v>
      </c>
      <c r="M531" s="1013"/>
      <c r="N531" s="1014" t="str">
        <f t="shared" si="124"/>
        <v/>
      </c>
      <c r="O531" s="1323" t="s">
        <v>908</v>
      </c>
      <c r="P531" s="1324"/>
      <c r="Q531" s="1324"/>
      <c r="R531" s="1324"/>
      <c r="S531" s="1324"/>
      <c r="T531" s="1325"/>
      <c r="U531" s="1015">
        <v>2</v>
      </c>
      <c r="V531" s="1015"/>
      <c r="W531" s="1015"/>
      <c r="X531" s="1015"/>
      <c r="Y531" s="1015">
        <v>2.5</v>
      </c>
      <c r="Z531" s="1016">
        <f>'09월 에너지'!S533</f>
        <v>142.69999999999999</v>
      </c>
      <c r="AA531" s="1017"/>
      <c r="AB531" s="1208"/>
      <c r="AC531" s="1208"/>
      <c r="AD531" s="1208"/>
      <c r="AE531" s="1208"/>
      <c r="AF531" s="1208"/>
      <c r="AG531" s="1018">
        <f>'09월 화학성분'!AM531</f>
        <v>1475</v>
      </c>
      <c r="AH531" s="1006">
        <f t="shared" si="115"/>
        <v>62</v>
      </c>
      <c r="AI531" s="1019">
        <v>1540</v>
      </c>
      <c r="AJ531" s="1020">
        <v>0</v>
      </c>
      <c r="AK531" s="1021">
        <v>498</v>
      </c>
      <c r="AL531" s="1022">
        <v>8</v>
      </c>
      <c r="AM531" s="1155">
        <f>IF(AT531="","",3*'09월 에너지'!S533*(1/(3+7.8*(100-AT531)/AT531)))</f>
        <v>1.0551447696139475</v>
      </c>
      <c r="AN531" s="1023">
        <v>0.13263888888888889</v>
      </c>
      <c r="AO531" s="1024"/>
      <c r="AP531" s="1025"/>
      <c r="AQ531" s="1025"/>
      <c r="AR531" s="1149" t="str">
        <f t="shared" si="116"/>
        <v/>
      </c>
      <c r="AS531" s="1093">
        <f t="shared" si="125"/>
        <v>12</v>
      </c>
      <c r="AT531" s="1156">
        <v>1.9</v>
      </c>
      <c r="AU531" s="449"/>
      <c r="AV531" s="1205"/>
    </row>
    <row r="532" spans="1:48" ht="16.5" customHeight="1">
      <c r="A532" s="1005">
        <f t="shared" si="117"/>
        <v>46285</v>
      </c>
      <c r="B532" s="1005">
        <f t="shared" si="126"/>
        <v>46285</v>
      </c>
      <c r="C532" s="1150">
        <f t="shared" si="118"/>
        <v>11</v>
      </c>
      <c r="D532" s="1150">
        <f t="shared" si="119"/>
        <v>521</v>
      </c>
      <c r="E532" s="1006" t="str">
        <f t="shared" si="127"/>
        <v>A</v>
      </c>
      <c r="F532" s="1007" t="str">
        <f t="shared" si="120"/>
        <v>A</v>
      </c>
      <c r="G532" s="1008">
        <f t="shared" si="121"/>
        <v>85734</v>
      </c>
      <c r="H532" s="1138">
        <f t="shared" si="122"/>
        <v>0.47083333333333333</v>
      </c>
      <c r="I532" s="1009">
        <v>0.46597222222222223</v>
      </c>
      <c r="J532" s="1010">
        <f t="shared" si="123"/>
        <v>41.000000000000014</v>
      </c>
      <c r="K532" s="1011"/>
      <c r="L532" s="1012"/>
      <c r="M532" s="1013"/>
      <c r="N532" s="1014" t="str">
        <f t="shared" si="124"/>
        <v/>
      </c>
      <c r="O532" s="1323"/>
      <c r="P532" s="1324"/>
      <c r="Q532" s="1324"/>
      <c r="R532" s="1324"/>
      <c r="S532" s="1324"/>
      <c r="T532" s="1325"/>
      <c r="U532" s="1015">
        <v>2</v>
      </c>
      <c r="V532" s="1015"/>
      <c r="W532" s="1015"/>
      <c r="X532" s="1015"/>
      <c r="Y532" s="1015">
        <v>2.8</v>
      </c>
      <c r="Z532" s="1016">
        <f>'09월 에너지'!S534</f>
        <v>143.80000000000001</v>
      </c>
      <c r="AA532" s="1017"/>
      <c r="AB532" s="1208"/>
      <c r="AC532" s="1208"/>
      <c r="AD532" s="1208"/>
      <c r="AE532" s="1208"/>
      <c r="AF532" s="1208"/>
      <c r="AG532" s="1018">
        <f>'09월 화학성분'!AM532</f>
        <v>1418</v>
      </c>
      <c r="AH532" s="1006">
        <f t="shared" si="115"/>
        <v>63</v>
      </c>
      <c r="AI532" s="1019">
        <v>1552</v>
      </c>
      <c r="AJ532" s="1020">
        <v>0</v>
      </c>
      <c r="AK532" s="1021">
        <v>586</v>
      </c>
      <c r="AL532" s="1022">
        <v>7</v>
      </c>
      <c r="AM532" s="1155">
        <f>IF(AT532="","",3*'09월 에너지'!S534*(1/(3+7.8*(100-AT532)/AT532)))</f>
        <v>1.1766677057356609</v>
      </c>
      <c r="AN532" s="1023">
        <v>0.16458333333333333</v>
      </c>
      <c r="AO532" s="1024"/>
      <c r="AP532" s="1025"/>
      <c r="AQ532" s="1025"/>
      <c r="AR532" s="1149">
        <f t="shared" si="116"/>
        <v>5</v>
      </c>
      <c r="AS532" s="1093" t="str">
        <f t="shared" si="125"/>
        <v xml:space="preserve"> </v>
      </c>
      <c r="AT532" s="1156">
        <v>2.1</v>
      </c>
      <c r="AU532" s="449"/>
      <c r="AV532" s="1205"/>
    </row>
    <row r="533" spans="1:48" ht="16.5" customHeight="1">
      <c r="A533" s="1005">
        <f t="shared" si="117"/>
        <v>46285</v>
      </c>
      <c r="B533" s="1005">
        <f t="shared" si="126"/>
        <v>46285</v>
      </c>
      <c r="C533" s="1150">
        <f t="shared" si="118"/>
        <v>12</v>
      </c>
      <c r="D533" s="1150">
        <f t="shared" si="119"/>
        <v>522</v>
      </c>
      <c r="E533" s="1006" t="str">
        <f t="shared" si="127"/>
        <v>A</v>
      </c>
      <c r="F533" s="1007" t="str">
        <f t="shared" si="120"/>
        <v>B</v>
      </c>
      <c r="G533" s="1008">
        <f t="shared" si="121"/>
        <v>85735</v>
      </c>
      <c r="H533" s="1138">
        <f t="shared" si="122"/>
        <v>0.49930555555555556</v>
      </c>
      <c r="I533" s="1009">
        <v>0.50416666666666665</v>
      </c>
      <c r="J533" s="1010">
        <f t="shared" si="123"/>
        <v>54.999999999999964</v>
      </c>
      <c r="K533" s="1011"/>
      <c r="L533" s="1012">
        <v>8</v>
      </c>
      <c r="M533" s="1013"/>
      <c r="N533" s="1014" t="str">
        <f t="shared" si="124"/>
        <v/>
      </c>
      <c r="O533" s="1323" t="s">
        <v>909</v>
      </c>
      <c r="P533" s="1324"/>
      <c r="Q533" s="1324"/>
      <c r="R533" s="1324"/>
      <c r="S533" s="1324"/>
      <c r="T533" s="1325"/>
      <c r="U533" s="1015">
        <v>2</v>
      </c>
      <c r="V533" s="1015"/>
      <c r="W533" s="1015"/>
      <c r="X533" s="1015">
        <v>3.2</v>
      </c>
      <c r="Y533" s="1015"/>
      <c r="Z533" s="1016">
        <f>'09월 에너지'!S535</f>
        <v>143.19999999999999</v>
      </c>
      <c r="AA533" s="1017"/>
      <c r="AB533" s="1208"/>
      <c r="AC533" s="1208"/>
      <c r="AD533" s="1208"/>
      <c r="AE533" s="1208"/>
      <c r="AF533" s="1208"/>
      <c r="AG533" s="1018">
        <f>'09월 화학성분'!AM533</f>
        <v>1954</v>
      </c>
      <c r="AH533" s="1006">
        <f t="shared" si="115"/>
        <v>64</v>
      </c>
      <c r="AI533" s="1019">
        <v>1534</v>
      </c>
      <c r="AJ533" s="1020">
        <v>0</v>
      </c>
      <c r="AK533" s="1021">
        <v>441</v>
      </c>
      <c r="AL533" s="1022">
        <v>9</v>
      </c>
      <c r="AM533" s="1155">
        <f>IF(AT533="","",3*'09월 에너지'!S535*(1/(3+7.8*(100-AT533)/AT533)))</f>
        <v>1.1152647975077881</v>
      </c>
      <c r="AN533" s="1023">
        <v>0.14583333333333334</v>
      </c>
      <c r="AO533" s="1024"/>
      <c r="AP533" s="1025"/>
      <c r="AQ533" s="1025"/>
      <c r="AR533" s="1149" t="str">
        <f t="shared" si="116"/>
        <v/>
      </c>
      <c r="AS533" s="1093">
        <f t="shared" si="125"/>
        <v>13</v>
      </c>
      <c r="AT533" s="1156">
        <v>2</v>
      </c>
      <c r="AU533" s="449"/>
      <c r="AV533" s="1205"/>
    </row>
    <row r="534" spans="1:48" ht="16.5" customHeight="1">
      <c r="A534" s="1005">
        <f t="shared" si="117"/>
        <v>46285</v>
      </c>
      <c r="B534" s="1005">
        <f t="shared" si="126"/>
        <v>46285</v>
      </c>
      <c r="C534" s="1150">
        <f t="shared" si="118"/>
        <v>13</v>
      </c>
      <c r="D534" s="1150">
        <f t="shared" si="119"/>
        <v>523</v>
      </c>
      <c r="E534" s="1006" t="str">
        <f t="shared" si="127"/>
        <v>A</v>
      </c>
      <c r="F534" s="1007" t="str">
        <f t="shared" si="120"/>
        <v>A</v>
      </c>
      <c r="G534" s="1008">
        <f t="shared" si="121"/>
        <v>85736</v>
      </c>
      <c r="H534" s="1138">
        <f t="shared" si="122"/>
        <v>0.53749999999999998</v>
      </c>
      <c r="I534" s="1009">
        <v>0.52986111111111112</v>
      </c>
      <c r="J534" s="1010">
        <f t="shared" si="123"/>
        <v>37.000000000000028</v>
      </c>
      <c r="K534" s="1011"/>
      <c r="L534" s="1012"/>
      <c r="M534" s="1013"/>
      <c r="N534" s="1014" t="str">
        <f t="shared" si="124"/>
        <v/>
      </c>
      <c r="O534" s="1323"/>
      <c r="P534" s="1324"/>
      <c r="Q534" s="1324"/>
      <c r="R534" s="1324"/>
      <c r="S534" s="1324"/>
      <c r="T534" s="1325"/>
      <c r="U534" s="1015">
        <v>2</v>
      </c>
      <c r="V534" s="1015"/>
      <c r="W534" s="1015"/>
      <c r="X534" s="1015">
        <v>3.3</v>
      </c>
      <c r="Y534" s="1015"/>
      <c r="Z534" s="1016">
        <f>'09월 에너지'!S536</f>
        <v>143.9</v>
      </c>
      <c r="AA534" s="1017"/>
      <c r="AB534" s="1208"/>
      <c r="AC534" s="1208"/>
      <c r="AD534" s="1208"/>
      <c r="AE534" s="1208"/>
      <c r="AF534" s="1208"/>
      <c r="AG534" s="1018">
        <f>'09월 화학성분'!AM534</f>
        <v>1363</v>
      </c>
      <c r="AH534" s="1006">
        <f t="shared" si="115"/>
        <v>65</v>
      </c>
      <c r="AI534" s="1019">
        <v>1590</v>
      </c>
      <c r="AJ534" s="1020">
        <v>62</v>
      </c>
      <c r="AK534" s="1021">
        <v>704</v>
      </c>
      <c r="AL534" s="1022">
        <v>5</v>
      </c>
      <c r="AM534" s="1155">
        <f>IF(AT534="","",3*'09월 에너지'!S536*(1/(3+7.8*(100-AT534)/AT534)))</f>
        <v>1.2343262632563947</v>
      </c>
      <c r="AN534" s="1023">
        <v>0.1388888888888889</v>
      </c>
      <c r="AO534" s="1024"/>
      <c r="AP534" s="1025"/>
      <c r="AQ534" s="1025"/>
      <c r="AR534" s="1149">
        <f t="shared" si="116"/>
        <v>6</v>
      </c>
      <c r="AS534" s="1093" t="str">
        <f t="shared" si="125"/>
        <v xml:space="preserve"> </v>
      </c>
      <c r="AT534" s="1156">
        <v>2.2000000000000002</v>
      </c>
      <c r="AU534" s="449"/>
      <c r="AV534" s="1205"/>
    </row>
    <row r="535" spans="1:48" ht="16.5" customHeight="1">
      <c r="A535" s="1005">
        <f t="shared" si="117"/>
        <v>46285</v>
      </c>
      <c r="B535" s="1005">
        <f t="shared" si="126"/>
        <v>46285</v>
      </c>
      <c r="C535" s="1150">
        <f t="shared" si="118"/>
        <v>14</v>
      </c>
      <c r="D535" s="1150">
        <f t="shared" si="119"/>
        <v>524</v>
      </c>
      <c r="E535" s="1006" t="str">
        <f t="shared" si="127"/>
        <v>A</v>
      </c>
      <c r="F535" s="1007" t="str">
        <f t="shared" si="120"/>
        <v>B</v>
      </c>
      <c r="G535" s="1008">
        <f t="shared" si="121"/>
        <v>85737</v>
      </c>
      <c r="H535" s="1138">
        <f t="shared" si="122"/>
        <v>0.56319444444444444</v>
      </c>
      <c r="I535" s="1009">
        <v>0.5625</v>
      </c>
      <c r="J535" s="1010">
        <f t="shared" si="123"/>
        <v>46.999999999999993</v>
      </c>
      <c r="K535" s="1011"/>
      <c r="L535" s="1012"/>
      <c r="M535" s="1013"/>
      <c r="N535" s="1014" t="str">
        <f t="shared" si="124"/>
        <v/>
      </c>
      <c r="O535" s="1323"/>
      <c r="P535" s="1324"/>
      <c r="Q535" s="1324"/>
      <c r="R535" s="1324"/>
      <c r="S535" s="1324"/>
      <c r="T535" s="1325"/>
      <c r="U535" s="1015">
        <v>2</v>
      </c>
      <c r="V535" s="1015"/>
      <c r="W535" s="1015"/>
      <c r="X535" s="1015"/>
      <c r="Y535" s="1015"/>
      <c r="Z535" s="1016">
        <f>'09월 에너지'!S537</f>
        <v>143.69999999999999</v>
      </c>
      <c r="AA535" s="1017"/>
      <c r="AB535" s="1208"/>
      <c r="AC535" s="1208"/>
      <c r="AD535" s="1208"/>
      <c r="AE535" s="1208"/>
      <c r="AF535" s="1208"/>
      <c r="AG535" s="1018">
        <f>'09월 화학성분'!AM535</f>
        <v>1059</v>
      </c>
      <c r="AH535" s="1235">
        <v>1</v>
      </c>
      <c r="AI535" s="1019">
        <v>1555</v>
      </c>
      <c r="AJ535" s="1020">
        <v>0</v>
      </c>
      <c r="AK535" s="1021">
        <v>430</v>
      </c>
      <c r="AL535" s="1022">
        <v>10</v>
      </c>
      <c r="AM535" s="1155">
        <f>IF(AT535="","",3*'09월 에너지'!S537*(1/(3+7.8*(100-AT535)/AT535)))</f>
        <v>1.4033203125</v>
      </c>
      <c r="AN535" s="1023">
        <v>0.14027777777777778</v>
      </c>
      <c r="AO535" s="1024"/>
      <c r="AP535" s="1025"/>
      <c r="AQ535" s="1025"/>
      <c r="AR535" s="1149" t="str">
        <f t="shared" si="116"/>
        <v/>
      </c>
      <c r="AS535" s="1093">
        <f t="shared" si="125"/>
        <v>14</v>
      </c>
      <c r="AT535" s="1156">
        <v>2.5</v>
      </c>
      <c r="AU535" s="449"/>
      <c r="AV535" s="1205"/>
    </row>
    <row r="536" spans="1:48" ht="16.5" customHeight="1">
      <c r="A536" s="1005">
        <f t="shared" si="117"/>
        <v>46285</v>
      </c>
      <c r="B536" s="1005">
        <f t="shared" si="126"/>
        <v>46285</v>
      </c>
      <c r="C536" s="1150">
        <f t="shared" si="118"/>
        <v>15</v>
      </c>
      <c r="D536" s="1150">
        <f t="shared" si="119"/>
        <v>525</v>
      </c>
      <c r="E536" s="1006" t="str">
        <f t="shared" si="127"/>
        <v>A</v>
      </c>
      <c r="F536" s="1007" t="str">
        <f t="shared" si="120"/>
        <v>A</v>
      </c>
      <c r="G536" s="1008">
        <f t="shared" si="121"/>
        <v>85738</v>
      </c>
      <c r="H536" s="1138">
        <f t="shared" si="122"/>
        <v>0.59583333333333333</v>
      </c>
      <c r="I536" s="1009">
        <v>0.59652777777777777</v>
      </c>
      <c r="J536" s="1010">
        <f t="shared" si="123"/>
        <v>48.999999999999986</v>
      </c>
      <c r="K536" s="1011"/>
      <c r="L536" s="1012"/>
      <c r="M536" s="1013"/>
      <c r="N536" s="1014" t="str">
        <f t="shared" si="124"/>
        <v/>
      </c>
      <c r="O536" s="1323" t="s">
        <v>571</v>
      </c>
      <c r="P536" s="1324"/>
      <c r="Q536" s="1324"/>
      <c r="R536" s="1324"/>
      <c r="S536" s="1324"/>
      <c r="T536" s="1325"/>
      <c r="U536" s="1015">
        <v>2</v>
      </c>
      <c r="V536" s="1015"/>
      <c r="W536" s="1015"/>
      <c r="X536" s="1015"/>
      <c r="Y536" s="1015">
        <v>2.6</v>
      </c>
      <c r="Z536" s="1016">
        <f>'09월 에너지'!S538</f>
        <v>143.30000000000001</v>
      </c>
      <c r="AA536" s="1017">
        <v>2431</v>
      </c>
      <c r="AB536" s="1208" t="s">
        <v>573</v>
      </c>
      <c r="AC536" s="1208" t="s">
        <v>532</v>
      </c>
      <c r="AD536" s="1208"/>
      <c r="AE536" s="1208"/>
      <c r="AF536" s="1208" t="s">
        <v>532</v>
      </c>
      <c r="AG536" s="1018">
        <f>'09월 화학성분'!AM536</f>
        <v>2287</v>
      </c>
      <c r="AH536" s="1006">
        <f t="shared" si="115"/>
        <v>2</v>
      </c>
      <c r="AI536" s="1019">
        <v>1558</v>
      </c>
      <c r="AJ536" s="1020">
        <v>0</v>
      </c>
      <c r="AK536" s="1021">
        <v>417</v>
      </c>
      <c r="AL536" s="1022">
        <v>10</v>
      </c>
      <c r="AM536" s="1155">
        <f>IF(AT536="","",3*'09월 에너지'!S538*(1/(3+7.8*(100-AT536)/AT536)))</f>
        <v>1.0595812577833126</v>
      </c>
      <c r="AN536" s="1023">
        <v>0.14791666666666667</v>
      </c>
      <c r="AO536" s="1024"/>
      <c r="AP536" s="1025"/>
      <c r="AQ536" s="1025"/>
      <c r="AR536" s="1149">
        <f t="shared" si="116"/>
        <v>7</v>
      </c>
      <c r="AS536" s="1093" t="str">
        <f t="shared" si="125"/>
        <v xml:space="preserve"> </v>
      </c>
      <c r="AT536" s="1156">
        <v>1.9</v>
      </c>
      <c r="AU536" s="449"/>
      <c r="AV536" s="1205"/>
    </row>
    <row r="537" spans="1:48" ht="16.5" customHeight="1">
      <c r="A537" s="1005">
        <f t="shared" si="117"/>
        <v>46285</v>
      </c>
      <c r="B537" s="1005">
        <f t="shared" si="126"/>
        <v>46285</v>
      </c>
      <c r="C537" s="1150">
        <f t="shared" si="118"/>
        <v>16</v>
      </c>
      <c r="D537" s="1150">
        <f t="shared" si="119"/>
        <v>526</v>
      </c>
      <c r="E537" s="1006" t="s">
        <v>910</v>
      </c>
      <c r="F537" s="1007" t="str">
        <f t="shared" si="120"/>
        <v>B</v>
      </c>
      <c r="G537" s="1008">
        <f t="shared" si="121"/>
        <v>85739</v>
      </c>
      <c r="H537" s="1138">
        <f t="shared" si="122"/>
        <v>0.62986111111111109</v>
      </c>
      <c r="I537" s="1009">
        <v>0.63402777777777775</v>
      </c>
      <c r="J537" s="1010">
        <f t="shared" si="123"/>
        <v>53.999999999999972</v>
      </c>
      <c r="K537" s="1011"/>
      <c r="L537" s="1012">
        <v>6</v>
      </c>
      <c r="M537" s="1013"/>
      <c r="N537" s="1014" t="str">
        <f t="shared" si="124"/>
        <v/>
      </c>
      <c r="O537" s="1323" t="s">
        <v>912</v>
      </c>
      <c r="P537" s="1324"/>
      <c r="Q537" s="1324"/>
      <c r="R537" s="1324"/>
      <c r="S537" s="1324"/>
      <c r="T537" s="1325"/>
      <c r="U537" s="1015">
        <v>2</v>
      </c>
      <c r="V537" s="1015"/>
      <c r="W537" s="1015"/>
      <c r="X537" s="1015"/>
      <c r="Y537" s="1015"/>
      <c r="Z537" s="1016">
        <f>'09월 에너지'!S539</f>
        <v>143.4</v>
      </c>
      <c r="AA537" s="1017">
        <v>2310</v>
      </c>
      <c r="AB537" s="1208" t="s">
        <v>573</v>
      </c>
      <c r="AC537" s="1208" t="s">
        <v>532</v>
      </c>
      <c r="AD537" s="1208"/>
      <c r="AE537" s="1208"/>
      <c r="AF537" s="1208" t="s">
        <v>532</v>
      </c>
      <c r="AG537" s="1018">
        <f>'09월 화학성분'!AM537</f>
        <v>2056</v>
      </c>
      <c r="AH537" s="1006">
        <f t="shared" si="115"/>
        <v>3</v>
      </c>
      <c r="AI537" s="1019">
        <v>1551</v>
      </c>
      <c r="AJ537" s="1020">
        <v>0</v>
      </c>
      <c r="AK537" s="1021">
        <v>219</v>
      </c>
      <c r="AL537" s="1022">
        <v>22</v>
      </c>
      <c r="AM537" s="1155">
        <f>IF(AT537="","",3*'09월 에너지'!S539*(1/(3+7.8*(100-AT537)/AT537)))</f>
        <v>0.94752798507462699</v>
      </c>
      <c r="AN537" s="1023">
        <v>0.1277777777777778</v>
      </c>
      <c r="AO537" s="1024"/>
      <c r="AP537" s="1025"/>
      <c r="AQ537" s="1025"/>
      <c r="AR537" s="1149" t="str">
        <f t="shared" si="116"/>
        <v/>
      </c>
      <c r="AS537" s="1093">
        <f t="shared" si="125"/>
        <v>15</v>
      </c>
      <c r="AT537" s="1156">
        <v>1.7</v>
      </c>
      <c r="AU537" s="449"/>
      <c r="AV537" s="1205"/>
    </row>
    <row r="538" spans="1:48" ht="16.5" customHeight="1">
      <c r="A538" s="1005">
        <f t="shared" si="117"/>
        <v>46285</v>
      </c>
      <c r="B538" s="1005">
        <f t="shared" si="126"/>
        <v>46285</v>
      </c>
      <c r="C538" s="1150">
        <f t="shared" si="118"/>
        <v>17</v>
      </c>
      <c r="D538" s="1150">
        <f t="shared" si="119"/>
        <v>527</v>
      </c>
      <c r="E538" s="1006" t="str">
        <f t="shared" si="127"/>
        <v>B</v>
      </c>
      <c r="F538" s="1007" t="str">
        <f t="shared" si="120"/>
        <v>A</v>
      </c>
      <c r="G538" s="1008">
        <f t="shared" si="121"/>
        <v>85740</v>
      </c>
      <c r="H538" s="1138">
        <f t="shared" si="122"/>
        <v>0.66736111111111107</v>
      </c>
      <c r="I538" s="1009">
        <v>0.66597222222222219</v>
      </c>
      <c r="J538" s="1010">
        <f t="shared" si="123"/>
        <v>46</v>
      </c>
      <c r="K538" s="1011"/>
      <c r="L538" s="1012"/>
      <c r="M538" s="1013"/>
      <c r="N538" s="1014" t="str">
        <f t="shared" si="124"/>
        <v/>
      </c>
      <c r="O538" s="1323"/>
      <c r="P538" s="1324"/>
      <c r="Q538" s="1324"/>
      <c r="R538" s="1324"/>
      <c r="S538" s="1324"/>
      <c r="T538" s="1325"/>
      <c r="U538" s="1015">
        <v>2</v>
      </c>
      <c r="V538" s="1015"/>
      <c r="W538" s="1015"/>
      <c r="X538" s="1015"/>
      <c r="Y538" s="1015">
        <v>2.5</v>
      </c>
      <c r="Z538" s="1016">
        <f>'09월 에너지'!S540</f>
        <v>145.4</v>
      </c>
      <c r="AA538" s="1017"/>
      <c r="AB538" s="1208"/>
      <c r="AC538" s="1208"/>
      <c r="AD538" s="1208"/>
      <c r="AE538" s="1208"/>
      <c r="AF538" s="1208"/>
      <c r="AG538" s="1018">
        <f>'09월 화학성분'!AM538</f>
        <v>2790</v>
      </c>
      <c r="AH538" s="1006">
        <f t="shared" si="115"/>
        <v>4</v>
      </c>
      <c r="AI538" s="1019">
        <v>1586</v>
      </c>
      <c r="AJ538" s="1020">
        <v>166</v>
      </c>
      <c r="AK538" s="1021">
        <v>321</v>
      </c>
      <c r="AL538" s="1022">
        <v>14</v>
      </c>
      <c r="AM538" s="1155">
        <f>IF(AT538="","",3*'09월 에너지'!S540*(1/(3+7.8*(100-AT538)/AT538)))</f>
        <v>1.8837154522613067</v>
      </c>
      <c r="AN538" s="1023">
        <v>0.14375000000000002</v>
      </c>
      <c r="AO538" s="1024"/>
      <c r="AP538" s="1025"/>
      <c r="AQ538" s="1025"/>
      <c r="AR538" s="1149">
        <f t="shared" si="116"/>
        <v>8</v>
      </c>
      <c r="AS538" s="1093" t="str">
        <f t="shared" si="125"/>
        <v xml:space="preserve"> </v>
      </c>
      <c r="AT538" s="1156">
        <v>3.3</v>
      </c>
      <c r="AU538" s="449"/>
      <c r="AV538" s="1205"/>
    </row>
    <row r="539" spans="1:48" ht="16.5" customHeight="1">
      <c r="A539" s="1005">
        <f t="shared" si="117"/>
        <v>46285</v>
      </c>
      <c r="B539" s="1005">
        <f t="shared" si="126"/>
        <v>46285</v>
      </c>
      <c r="C539" s="1150">
        <f t="shared" si="118"/>
        <v>18</v>
      </c>
      <c r="D539" s="1150">
        <f t="shared" si="119"/>
        <v>528</v>
      </c>
      <c r="E539" s="1006" t="str">
        <f t="shared" si="127"/>
        <v>B</v>
      </c>
      <c r="F539" s="1007" t="str">
        <f t="shared" si="120"/>
        <v>B</v>
      </c>
      <c r="G539" s="1008">
        <f t="shared" si="121"/>
        <v>85741</v>
      </c>
      <c r="H539" s="1138">
        <f t="shared" si="122"/>
        <v>0.69930555555555551</v>
      </c>
      <c r="I539" s="1009">
        <v>0.6958333333333333</v>
      </c>
      <c r="J539" s="1010">
        <f t="shared" si="123"/>
        <v>43.000000000000007</v>
      </c>
      <c r="K539" s="1011"/>
      <c r="L539" s="1012"/>
      <c r="M539" s="1013"/>
      <c r="N539" s="1014" t="str">
        <f t="shared" si="124"/>
        <v/>
      </c>
      <c r="O539" s="1323"/>
      <c r="P539" s="1324"/>
      <c r="Q539" s="1324"/>
      <c r="R539" s="1324"/>
      <c r="S539" s="1324"/>
      <c r="T539" s="1325"/>
      <c r="U539" s="1015">
        <v>2</v>
      </c>
      <c r="V539" s="1015">
        <v>2.6</v>
      </c>
      <c r="W539" s="1015">
        <v>1.5</v>
      </c>
      <c r="X539" s="1015"/>
      <c r="Y539" s="1015"/>
      <c r="Z539" s="1016">
        <f>'09월 에너지'!S541</f>
        <v>142.4</v>
      </c>
      <c r="AA539" s="1017"/>
      <c r="AB539" s="1208"/>
      <c r="AC539" s="1208"/>
      <c r="AD539" s="1208"/>
      <c r="AE539" s="1208"/>
      <c r="AF539" s="1208"/>
      <c r="AG539" s="1018">
        <f>'09월 화학성분'!AM539</f>
        <v>1097</v>
      </c>
      <c r="AH539" s="1006">
        <f t="shared" si="115"/>
        <v>5</v>
      </c>
      <c r="AI539" s="1019">
        <v>1561</v>
      </c>
      <c r="AJ539" s="1020">
        <v>0</v>
      </c>
      <c r="AK539" s="1021">
        <v>427</v>
      </c>
      <c r="AL539" s="1022">
        <v>10</v>
      </c>
      <c r="AM539" s="1155">
        <f>IF(AT539="","",3*'09월 에너지'!S541*(1/(3+7.8*(100-AT539)/AT539)))</f>
        <v>1.5037546933667088</v>
      </c>
      <c r="AN539" s="1023">
        <v>0.11805555555555557</v>
      </c>
      <c r="AO539" s="1024"/>
      <c r="AP539" s="1025"/>
      <c r="AQ539" s="1025"/>
      <c r="AR539" s="1149" t="str">
        <f t="shared" si="116"/>
        <v/>
      </c>
      <c r="AS539" s="1093">
        <f t="shared" si="125"/>
        <v>16</v>
      </c>
      <c r="AT539" s="1156">
        <v>2.7</v>
      </c>
      <c r="AU539" s="449"/>
      <c r="AV539" s="1205"/>
    </row>
    <row r="540" spans="1:48" ht="16.5" customHeight="1">
      <c r="A540" s="1005">
        <f t="shared" si="117"/>
        <v>46285</v>
      </c>
      <c r="B540" s="1005">
        <f t="shared" si="126"/>
        <v>46285</v>
      </c>
      <c r="C540" s="1150">
        <f t="shared" si="118"/>
        <v>19</v>
      </c>
      <c r="D540" s="1150">
        <f t="shared" si="119"/>
        <v>529</v>
      </c>
      <c r="E540" s="1006" t="str">
        <f t="shared" si="127"/>
        <v>B</v>
      </c>
      <c r="F540" s="1007" t="str">
        <f t="shared" si="120"/>
        <v>A</v>
      </c>
      <c r="G540" s="1008">
        <f t="shared" si="121"/>
        <v>85742</v>
      </c>
      <c r="H540" s="1138">
        <f t="shared" si="122"/>
        <v>0.72916666666666663</v>
      </c>
      <c r="I540" s="1009">
        <v>0.73263888888888884</v>
      </c>
      <c r="J540" s="1010">
        <f t="shared" si="123"/>
        <v>52.999999999999972</v>
      </c>
      <c r="K540" s="1011">
        <v>6</v>
      </c>
      <c r="L540" s="1012"/>
      <c r="M540" s="1013">
        <v>0.6958333333333333</v>
      </c>
      <c r="N540" s="1014">
        <f t="shared" si="124"/>
        <v>0.7</v>
      </c>
      <c r="O540" s="1323" t="s">
        <v>911</v>
      </c>
      <c r="P540" s="1324"/>
      <c r="Q540" s="1324"/>
      <c r="R540" s="1324"/>
      <c r="S540" s="1324"/>
      <c r="T540" s="1325"/>
      <c r="U540" s="1015">
        <v>2</v>
      </c>
      <c r="V540" s="1015">
        <v>2.4</v>
      </c>
      <c r="W540" s="1015">
        <v>1.7</v>
      </c>
      <c r="X540" s="1015"/>
      <c r="Y540" s="1015"/>
      <c r="Z540" s="1016">
        <f>'09월 에너지'!S542</f>
        <v>142.19999999999999</v>
      </c>
      <c r="AA540" s="1017"/>
      <c r="AB540" s="1208"/>
      <c r="AC540" s="1208"/>
      <c r="AD540" s="1208"/>
      <c r="AE540" s="1208"/>
      <c r="AF540" s="1208"/>
      <c r="AG540" s="1018">
        <f>'09월 화학성분'!AM540</f>
        <v>2041</v>
      </c>
      <c r="AH540" s="1006">
        <f t="shared" si="115"/>
        <v>6</v>
      </c>
      <c r="AI540" s="1019">
        <v>1559</v>
      </c>
      <c r="AJ540" s="1020">
        <v>66</v>
      </c>
      <c r="AK540" s="1021">
        <v>805</v>
      </c>
      <c r="AL540" s="1022">
        <v>4</v>
      </c>
      <c r="AM540" s="1155">
        <f>IF(AT540="","",3*'09월 에너지'!S542*(1/(3+7.8*(100-AT540)/AT540)))</f>
        <v>1.1074766355140186</v>
      </c>
      <c r="AN540" s="1023">
        <v>0.14027777777777778</v>
      </c>
      <c r="AO540" s="1024"/>
      <c r="AP540" s="1025"/>
      <c r="AQ540" s="1025"/>
      <c r="AR540" s="1149">
        <f t="shared" si="116"/>
        <v>9</v>
      </c>
      <c r="AS540" s="1093" t="str">
        <f t="shared" si="125"/>
        <v xml:space="preserve"> </v>
      </c>
      <c r="AT540" s="1156">
        <v>2</v>
      </c>
      <c r="AU540" s="449"/>
      <c r="AV540" s="1205"/>
    </row>
    <row r="541" spans="1:48" ht="16.5" customHeight="1">
      <c r="A541" s="1005">
        <f t="shared" si="117"/>
        <v>46285</v>
      </c>
      <c r="B541" s="1005">
        <f t="shared" si="126"/>
        <v>46285</v>
      </c>
      <c r="C541" s="1150">
        <f t="shared" si="118"/>
        <v>20</v>
      </c>
      <c r="D541" s="1150">
        <f t="shared" si="119"/>
        <v>530</v>
      </c>
      <c r="E541" s="1006" t="str">
        <f t="shared" si="127"/>
        <v>B</v>
      </c>
      <c r="F541" s="1007" t="str">
        <f t="shared" si="120"/>
        <v>B</v>
      </c>
      <c r="G541" s="1008">
        <f t="shared" si="121"/>
        <v>85743</v>
      </c>
      <c r="H541" s="1138">
        <f t="shared" si="122"/>
        <v>0.76597222222222217</v>
      </c>
      <c r="I541" s="1009">
        <v>0.76597222222222217</v>
      </c>
      <c r="J541" s="1010">
        <f t="shared" si="123"/>
        <v>47.999999999999986</v>
      </c>
      <c r="K541" s="1011"/>
      <c r="L541" s="1012"/>
      <c r="M541" s="1013"/>
      <c r="N541" s="1014" t="str">
        <f t="shared" si="124"/>
        <v/>
      </c>
      <c r="O541" s="1323" t="s">
        <v>901</v>
      </c>
      <c r="P541" s="1324"/>
      <c r="Q541" s="1324"/>
      <c r="R541" s="1324"/>
      <c r="S541" s="1324"/>
      <c r="T541" s="1325"/>
      <c r="U541" s="1015">
        <v>2</v>
      </c>
      <c r="V541" s="1015"/>
      <c r="W541" s="1015"/>
      <c r="X541" s="1015"/>
      <c r="Y541" s="1015"/>
      <c r="Z541" s="1016">
        <f>'09월 에너지'!S543</f>
        <v>145</v>
      </c>
      <c r="AA541" s="1017">
        <v>1783</v>
      </c>
      <c r="AB541" s="1208" t="s">
        <v>573</v>
      </c>
      <c r="AC541" s="1208" t="s">
        <v>532</v>
      </c>
      <c r="AD541" s="1208"/>
      <c r="AE541" s="1208"/>
      <c r="AF541" s="1208" t="s">
        <v>532</v>
      </c>
      <c r="AG541" s="1018">
        <f>'09월 화학성분'!AM541</f>
        <v>1252</v>
      </c>
      <c r="AH541" s="1006">
        <f t="shared" si="115"/>
        <v>7</v>
      </c>
      <c r="AI541" s="1019">
        <v>1582</v>
      </c>
      <c r="AJ541" s="1020">
        <v>92</v>
      </c>
      <c r="AK541" s="1021">
        <v>349</v>
      </c>
      <c r="AL541" s="1022">
        <v>13</v>
      </c>
      <c r="AM541" s="1155">
        <f>IF(AT541="","",3*'09월 에너지'!S543*(1/(3+7.8*(100-AT541)/AT541)))</f>
        <v>1.3011079900124842</v>
      </c>
      <c r="AN541" s="1023">
        <v>0.1388888888888889</v>
      </c>
      <c r="AO541" s="1024" t="s">
        <v>538</v>
      </c>
      <c r="AP541" s="1025">
        <v>2000115</v>
      </c>
      <c r="AQ541" s="1025">
        <v>2067</v>
      </c>
      <c r="AR541" s="1149" t="str">
        <f t="shared" si="116"/>
        <v/>
      </c>
      <c r="AS541" s="1093">
        <v>1</v>
      </c>
      <c r="AT541" s="1156">
        <v>2.2999999999999998</v>
      </c>
      <c r="AU541" s="449"/>
      <c r="AV541" s="1205"/>
    </row>
    <row r="542" spans="1:48" ht="16.5" customHeight="1">
      <c r="A542" s="1005">
        <f t="shared" si="117"/>
        <v>46285</v>
      </c>
      <c r="B542" s="1005">
        <f t="shared" si="126"/>
        <v>46285</v>
      </c>
      <c r="C542" s="1150">
        <f t="shared" si="118"/>
        <v>21</v>
      </c>
      <c r="D542" s="1150">
        <f t="shared" si="119"/>
        <v>531</v>
      </c>
      <c r="E542" s="1006" t="str">
        <f t="shared" si="127"/>
        <v>B</v>
      </c>
      <c r="F542" s="1007" t="str">
        <f t="shared" si="120"/>
        <v>A</v>
      </c>
      <c r="G542" s="1008">
        <f t="shared" si="121"/>
        <v>85744</v>
      </c>
      <c r="H542" s="1138">
        <f t="shared" si="122"/>
        <v>0.79930555555555549</v>
      </c>
      <c r="I542" s="1009">
        <v>0.7993055555555556</v>
      </c>
      <c r="J542" s="1010">
        <f t="shared" si="123"/>
        <v>48.000000000000149</v>
      </c>
      <c r="K542" s="1011"/>
      <c r="L542" s="1012"/>
      <c r="M542" s="1013"/>
      <c r="N542" s="1014" t="str">
        <f t="shared" si="124"/>
        <v/>
      </c>
      <c r="O542" s="1323"/>
      <c r="P542" s="1324"/>
      <c r="Q542" s="1324"/>
      <c r="R542" s="1324"/>
      <c r="S542" s="1324"/>
      <c r="T542" s="1325"/>
      <c r="U542" s="1015">
        <v>2</v>
      </c>
      <c r="V542" s="1015"/>
      <c r="W542" s="1015"/>
      <c r="X542" s="1015"/>
      <c r="Y542" s="1015">
        <v>2.5</v>
      </c>
      <c r="Z542" s="1016">
        <f>'09월 에너지'!S544</f>
        <v>142.6</v>
      </c>
      <c r="AA542" s="1017"/>
      <c r="AB542" s="1208"/>
      <c r="AC542" s="1208"/>
      <c r="AD542" s="1208"/>
      <c r="AE542" s="1208"/>
      <c r="AF542" s="1208"/>
      <c r="AG542" s="1018">
        <f>'09월 화학성분'!AM542</f>
        <v>2048</v>
      </c>
      <c r="AH542" s="1006">
        <f t="shared" si="115"/>
        <v>8</v>
      </c>
      <c r="AI542" s="1019">
        <v>1556</v>
      </c>
      <c r="AJ542" s="1020">
        <v>172</v>
      </c>
      <c r="AK542" s="1021">
        <v>862</v>
      </c>
      <c r="AL542" s="1022">
        <v>4</v>
      </c>
      <c r="AM542" s="1155">
        <f>IF(AT542="","",3*'09월 에너지'!S544*(1/(3+7.8*(100-AT542)/AT542)))</f>
        <v>1.2231752963194011</v>
      </c>
      <c r="AN542" s="1023">
        <v>0.13680555555555554</v>
      </c>
      <c r="AO542" s="1024"/>
      <c r="AP542" s="1025"/>
      <c r="AQ542" s="1025"/>
      <c r="AR542" s="1149">
        <f t="shared" si="116"/>
        <v>10</v>
      </c>
      <c r="AS542" s="1093" t="str">
        <f t="shared" si="125"/>
        <v xml:space="preserve"> </v>
      </c>
      <c r="AT542" s="1156">
        <v>2.2000000000000002</v>
      </c>
      <c r="AU542" s="449"/>
      <c r="AV542" s="1205"/>
    </row>
    <row r="543" spans="1:48" ht="16.5" customHeight="1">
      <c r="A543" s="1005">
        <f t="shared" si="117"/>
        <v>46285</v>
      </c>
      <c r="B543" s="1005">
        <f t="shared" si="126"/>
        <v>46285</v>
      </c>
      <c r="C543" s="1150">
        <f t="shared" si="118"/>
        <v>22</v>
      </c>
      <c r="D543" s="1150">
        <f t="shared" si="119"/>
        <v>532</v>
      </c>
      <c r="E543" s="1006" t="str">
        <f t="shared" si="127"/>
        <v>B</v>
      </c>
      <c r="F543" s="1007" t="str">
        <f t="shared" si="120"/>
        <v>B</v>
      </c>
      <c r="G543" s="1008">
        <f t="shared" si="121"/>
        <v>85745</v>
      </c>
      <c r="H543" s="1138">
        <f t="shared" si="122"/>
        <v>0.83263888888888893</v>
      </c>
      <c r="I543" s="1009">
        <v>0.82986111111111116</v>
      </c>
      <c r="J543" s="1010">
        <f t="shared" si="123"/>
        <v>44</v>
      </c>
      <c r="K543" s="1011"/>
      <c r="L543" s="1012"/>
      <c r="M543" s="1013"/>
      <c r="N543" s="1014" t="str">
        <f t="shared" si="124"/>
        <v/>
      </c>
      <c r="O543" s="1323"/>
      <c r="P543" s="1324"/>
      <c r="Q543" s="1324"/>
      <c r="R543" s="1324"/>
      <c r="S543" s="1324"/>
      <c r="T543" s="1325"/>
      <c r="U543" s="1015">
        <v>2</v>
      </c>
      <c r="V543" s="1015">
        <v>2.5</v>
      </c>
      <c r="W543" s="1015">
        <v>1.6</v>
      </c>
      <c r="X543" s="1015"/>
      <c r="Y543" s="1015"/>
      <c r="Z543" s="1016">
        <f>'09월 에너지'!S545</f>
        <v>141.6</v>
      </c>
      <c r="AA543" s="1017"/>
      <c r="AB543" s="1208"/>
      <c r="AC543" s="1208"/>
      <c r="AD543" s="1208"/>
      <c r="AE543" s="1208"/>
      <c r="AF543" s="1208"/>
      <c r="AG543" s="1018">
        <f>'09월 화학성분'!AM543</f>
        <v>1528</v>
      </c>
      <c r="AH543" s="1006">
        <f t="shared" si="115"/>
        <v>9</v>
      </c>
      <c r="AI543" s="1019">
        <v>1527</v>
      </c>
      <c r="AJ543" s="1020">
        <v>68</v>
      </c>
      <c r="AK543" s="1021">
        <v>811</v>
      </c>
      <c r="AL543" s="1022">
        <v>5</v>
      </c>
      <c r="AM543" s="1155">
        <f>IF(AT543="","",3*'09월 에너지'!S545*(1/(3+7.8*(100-AT543)/AT543)))</f>
        <v>1.3266708307307933</v>
      </c>
      <c r="AN543" s="1023">
        <v>0.1277777777777778</v>
      </c>
      <c r="AO543" s="1024"/>
      <c r="AP543" s="1025"/>
      <c r="AQ543" s="1025"/>
      <c r="AR543" s="1149" t="str">
        <f t="shared" si="116"/>
        <v/>
      </c>
      <c r="AS543" s="1093">
        <f t="shared" si="125"/>
        <v>2</v>
      </c>
      <c r="AT543" s="1156">
        <v>2.4</v>
      </c>
      <c r="AU543" s="449"/>
      <c r="AV543" s="1205"/>
    </row>
    <row r="544" spans="1:48" ht="16.5" customHeight="1">
      <c r="A544" s="1005">
        <f t="shared" si="117"/>
        <v>46285</v>
      </c>
      <c r="B544" s="1005">
        <f t="shared" si="126"/>
        <v>46285</v>
      </c>
      <c r="C544" s="1150">
        <f t="shared" si="118"/>
        <v>23</v>
      </c>
      <c r="D544" s="1150">
        <f t="shared" si="119"/>
        <v>533</v>
      </c>
      <c r="E544" s="1006" t="str">
        <f t="shared" si="127"/>
        <v>B</v>
      </c>
      <c r="F544" s="1007" t="str">
        <f t="shared" si="120"/>
        <v>A</v>
      </c>
      <c r="G544" s="1008">
        <f t="shared" si="121"/>
        <v>85746</v>
      </c>
      <c r="H544" s="1138">
        <f t="shared" si="122"/>
        <v>0.86319444444444449</v>
      </c>
      <c r="I544" s="1009">
        <v>0.86736111111111114</v>
      </c>
      <c r="J544" s="1010">
        <f t="shared" si="123"/>
        <v>53.999999999999972</v>
      </c>
      <c r="K544" s="1011"/>
      <c r="L544" s="1012">
        <v>3</v>
      </c>
      <c r="M544" s="1013"/>
      <c r="N544" s="1014" t="str">
        <f t="shared" si="124"/>
        <v/>
      </c>
      <c r="O544" s="1323" t="s">
        <v>913</v>
      </c>
      <c r="P544" s="1324"/>
      <c r="Q544" s="1324"/>
      <c r="R544" s="1324"/>
      <c r="S544" s="1324"/>
      <c r="T544" s="1325"/>
      <c r="U544" s="1015">
        <v>2</v>
      </c>
      <c r="V544" s="1015">
        <v>2.6</v>
      </c>
      <c r="W544" s="1015">
        <v>1.7</v>
      </c>
      <c r="X544" s="1015"/>
      <c r="Y544" s="1015"/>
      <c r="Z544" s="1016">
        <f>'09월 에너지'!S546</f>
        <v>141.6</v>
      </c>
      <c r="AA544" s="1017">
        <v>2377</v>
      </c>
      <c r="AB544" s="1208" t="s">
        <v>573</v>
      </c>
      <c r="AC544" s="1208" t="s">
        <v>532</v>
      </c>
      <c r="AD544" s="1208" t="s">
        <v>548</v>
      </c>
      <c r="AE544" s="1208"/>
      <c r="AF544" s="1208" t="s">
        <v>532</v>
      </c>
      <c r="AG544" s="1018">
        <f>'09월 화학성분'!AM544</f>
        <v>2029</v>
      </c>
      <c r="AH544" s="1006">
        <f t="shared" si="115"/>
        <v>10</v>
      </c>
      <c r="AI544" s="1019">
        <v>1571</v>
      </c>
      <c r="AJ544" s="1020">
        <v>92</v>
      </c>
      <c r="AK544" s="1021">
        <v>518</v>
      </c>
      <c r="AL544" s="1022">
        <v>8</v>
      </c>
      <c r="AM544" s="1155">
        <f>IF(AT544="","",3*'09월 에너지'!S546*(1/(3+7.8*(100-AT544)/AT544)))</f>
        <v>1.5516593613024416</v>
      </c>
      <c r="AN544" s="1023">
        <v>0.11388888888888889</v>
      </c>
      <c r="AO544" s="1024"/>
      <c r="AP544" s="1025"/>
      <c r="AQ544" s="1025"/>
      <c r="AR544" s="1149">
        <f t="shared" si="116"/>
        <v>11</v>
      </c>
      <c r="AS544" s="1093" t="str">
        <f t="shared" si="125"/>
        <v xml:space="preserve"> </v>
      </c>
      <c r="AT544" s="1156">
        <v>2.8</v>
      </c>
      <c r="AU544" s="449"/>
      <c r="AV544" s="1205"/>
    </row>
    <row r="545" spans="1:48" ht="16.5" customHeight="1">
      <c r="A545" s="1005">
        <f t="shared" si="117"/>
        <v>46285</v>
      </c>
      <c r="B545" s="1005">
        <f t="shared" si="126"/>
        <v>46285</v>
      </c>
      <c r="C545" s="1150">
        <f t="shared" si="118"/>
        <v>24</v>
      </c>
      <c r="D545" s="1150">
        <f t="shared" si="119"/>
        <v>534</v>
      </c>
      <c r="E545" s="1006" t="str">
        <f t="shared" si="127"/>
        <v>B</v>
      </c>
      <c r="F545" s="1007" t="str">
        <f t="shared" si="120"/>
        <v>B</v>
      </c>
      <c r="G545" s="1008">
        <f t="shared" si="121"/>
        <v>85747</v>
      </c>
      <c r="H545" s="1138">
        <f t="shared" si="122"/>
        <v>0.90069444444444446</v>
      </c>
      <c r="I545" s="1009">
        <v>0.90138888888888891</v>
      </c>
      <c r="J545" s="1010">
        <f t="shared" si="123"/>
        <v>48.999999999999986</v>
      </c>
      <c r="K545" s="1011">
        <v>7</v>
      </c>
      <c r="L545" s="1012"/>
      <c r="M545" s="1013">
        <v>0.8652777777777777</v>
      </c>
      <c r="N545" s="1014">
        <f t="shared" si="124"/>
        <v>0.8701388888888888</v>
      </c>
      <c r="O545" s="1323" t="s">
        <v>914</v>
      </c>
      <c r="P545" s="1324"/>
      <c r="Q545" s="1324"/>
      <c r="R545" s="1324"/>
      <c r="S545" s="1324"/>
      <c r="T545" s="1325"/>
      <c r="U545" s="1015">
        <v>2</v>
      </c>
      <c r="V545" s="1015"/>
      <c r="W545" s="1015"/>
      <c r="X545" s="1015"/>
      <c r="Y545" s="1015"/>
      <c r="Z545" s="1016">
        <f>'09월 에너지'!S547</f>
        <v>143.1</v>
      </c>
      <c r="AA545" s="1017"/>
      <c r="AB545" s="1208"/>
      <c r="AC545" s="1208"/>
      <c r="AD545" s="1208"/>
      <c r="AE545" s="1208"/>
      <c r="AF545" s="1208"/>
      <c r="AG545" s="1018">
        <f>'09월 화학성분'!AM545</f>
        <v>1554</v>
      </c>
      <c r="AH545" s="1006">
        <f t="shared" si="115"/>
        <v>11</v>
      </c>
      <c r="AI545" s="1019">
        <v>1603</v>
      </c>
      <c r="AJ545" s="1020">
        <v>40</v>
      </c>
      <c r="AK545" s="1021">
        <v>684</v>
      </c>
      <c r="AL545" s="1022">
        <v>6</v>
      </c>
      <c r="AM545" s="1155">
        <f>IF(AT545="","",3*'09월 에너지'!S547*(1/(3+7.8*(100-AT545)/AT545)))</f>
        <v>0.83326863354037262</v>
      </c>
      <c r="AN545" s="1023">
        <v>0.12986111111111112</v>
      </c>
      <c r="AO545" s="1024"/>
      <c r="AP545" s="1025"/>
      <c r="AQ545" s="1025"/>
      <c r="AR545" s="1149" t="str">
        <f t="shared" si="116"/>
        <v/>
      </c>
      <c r="AS545" s="1093">
        <f t="shared" si="125"/>
        <v>3</v>
      </c>
      <c r="AT545" s="1156">
        <v>1.5</v>
      </c>
      <c r="AU545" s="449"/>
      <c r="AV545" s="1205"/>
    </row>
    <row r="546" spans="1:48" ht="16.5" customHeight="1">
      <c r="A546" s="1005">
        <f t="shared" si="117"/>
        <v>46285</v>
      </c>
      <c r="B546" s="1005">
        <f t="shared" si="126"/>
        <v>46285</v>
      </c>
      <c r="C546" s="1150">
        <f t="shared" si="118"/>
        <v>25</v>
      </c>
      <c r="D546" s="1150">
        <f t="shared" si="119"/>
        <v>535</v>
      </c>
      <c r="E546" s="1006" t="str">
        <f t="shared" si="127"/>
        <v>B</v>
      </c>
      <c r="F546" s="1007" t="str">
        <f t="shared" si="120"/>
        <v>A</v>
      </c>
      <c r="G546" s="1008">
        <f t="shared" si="121"/>
        <v>85748</v>
      </c>
      <c r="H546" s="1138">
        <f t="shared" si="122"/>
        <v>0.93472222222222223</v>
      </c>
      <c r="I546" s="1009">
        <v>0.93333333333333324</v>
      </c>
      <c r="J546" s="1010">
        <f t="shared" si="123"/>
        <v>45.999999999999837</v>
      </c>
      <c r="K546" s="1011"/>
      <c r="L546" s="1012"/>
      <c r="M546" s="1013"/>
      <c r="N546" s="1014" t="str">
        <f t="shared" si="124"/>
        <v/>
      </c>
      <c r="O546" s="1323"/>
      <c r="P546" s="1324"/>
      <c r="Q546" s="1324"/>
      <c r="R546" s="1324"/>
      <c r="S546" s="1324"/>
      <c r="T546" s="1325"/>
      <c r="U546" s="1015">
        <v>2</v>
      </c>
      <c r="V546" s="1015"/>
      <c r="W546" s="1015"/>
      <c r="X546" s="1015"/>
      <c r="Y546" s="1015">
        <v>2.6</v>
      </c>
      <c r="Z546" s="1016">
        <f>'09월 에너지'!S548</f>
        <v>141.4</v>
      </c>
      <c r="AA546" s="1017"/>
      <c r="AB546" s="1208"/>
      <c r="AC546" s="1208"/>
      <c r="AD546" s="1208"/>
      <c r="AE546" s="1208"/>
      <c r="AF546" s="1208"/>
      <c r="AG546" s="1018">
        <f>'09월 화학성분'!AM546</f>
        <v>1884</v>
      </c>
      <c r="AH546" s="1006">
        <f t="shared" si="115"/>
        <v>12</v>
      </c>
      <c r="AI546" s="1019">
        <v>1581</v>
      </c>
      <c r="AJ546" s="1020">
        <v>0</v>
      </c>
      <c r="AK546" s="1021">
        <v>429</v>
      </c>
      <c r="AL546" s="1022">
        <v>10</v>
      </c>
      <c r="AM546" s="1155">
        <f>IF(AT546="","",3*'09월 에너지'!S548*(1/(3+7.8*(100-AT546)/AT546)))</f>
        <v>0.98988799004355943</v>
      </c>
      <c r="AN546" s="1023">
        <v>0.13680555555555554</v>
      </c>
      <c r="AO546" s="1024"/>
      <c r="AP546" s="1025"/>
      <c r="AQ546" s="1025"/>
      <c r="AR546" s="1149">
        <f t="shared" si="116"/>
        <v>12</v>
      </c>
      <c r="AS546" s="1093" t="str">
        <f t="shared" si="125"/>
        <v xml:space="preserve"> </v>
      </c>
      <c r="AT546" s="1156">
        <v>1.8</v>
      </c>
      <c r="AU546" s="449"/>
      <c r="AV546" s="1205"/>
    </row>
    <row r="547" spans="1:48" ht="16.5" customHeight="1">
      <c r="A547" s="1005">
        <f t="shared" si="117"/>
        <v>46285</v>
      </c>
      <c r="B547" s="1005">
        <f t="shared" si="126"/>
        <v>46285</v>
      </c>
      <c r="C547" s="1150">
        <f t="shared" si="118"/>
        <v>26</v>
      </c>
      <c r="D547" s="1150">
        <f t="shared" si="119"/>
        <v>536</v>
      </c>
      <c r="E547" s="1006" t="s">
        <v>737</v>
      </c>
      <c r="F547" s="1007" t="str">
        <f t="shared" si="120"/>
        <v>B</v>
      </c>
      <c r="G547" s="1008">
        <f t="shared" si="121"/>
        <v>85749</v>
      </c>
      <c r="H547" s="1138">
        <f t="shared" si="122"/>
        <v>0.96666666666666656</v>
      </c>
      <c r="I547" s="1009">
        <v>0.96527777777777779</v>
      </c>
      <c r="J547" s="1010">
        <f t="shared" si="123"/>
        <v>46.000000000000156</v>
      </c>
      <c r="K547" s="1011"/>
      <c r="L547" s="1012"/>
      <c r="M547" s="1013"/>
      <c r="N547" s="1014" t="str">
        <f t="shared" si="124"/>
        <v/>
      </c>
      <c r="O547" s="1323"/>
      <c r="P547" s="1324"/>
      <c r="Q547" s="1324"/>
      <c r="R547" s="1324"/>
      <c r="S547" s="1324"/>
      <c r="T547" s="1325"/>
      <c r="U547" s="1015">
        <v>2</v>
      </c>
      <c r="V547" s="1015"/>
      <c r="W547" s="1015"/>
      <c r="X547" s="1015">
        <v>3.4</v>
      </c>
      <c r="Y547" s="1015"/>
      <c r="Z547" s="1016">
        <f>'09월 에너지'!S549</f>
        <v>144.1</v>
      </c>
      <c r="AA547" s="1017"/>
      <c r="AB547" s="1208"/>
      <c r="AC547" s="1208"/>
      <c r="AD547" s="1208"/>
      <c r="AE547" s="1208"/>
      <c r="AF547" s="1208"/>
      <c r="AG547" s="1018">
        <f>'09월 화학성분'!AM547</f>
        <v>1240</v>
      </c>
      <c r="AH547" s="1006">
        <f t="shared" si="115"/>
        <v>13</v>
      </c>
      <c r="AI547" s="1019">
        <v>1598</v>
      </c>
      <c r="AJ547" s="1020">
        <v>27</v>
      </c>
      <c r="AK547" s="1021">
        <v>742</v>
      </c>
      <c r="AL547" s="1022">
        <v>5</v>
      </c>
      <c r="AM547" s="1155">
        <f>IF(AT547="","",3*'09월 에너지'!S549*(1/(3+7.8*(100-AT547)/AT547)))</f>
        <v>0.89558732131758845</v>
      </c>
      <c r="AN547" s="1023">
        <v>0.125</v>
      </c>
      <c r="AO547" s="1024"/>
      <c r="AP547" s="1025"/>
      <c r="AQ547" s="1025"/>
      <c r="AR547" s="1149" t="str">
        <f t="shared" si="116"/>
        <v/>
      </c>
      <c r="AS547" s="1093">
        <f t="shared" si="125"/>
        <v>4</v>
      </c>
      <c r="AT547" s="1156">
        <v>1.6</v>
      </c>
      <c r="AU547" s="449"/>
      <c r="AV547" s="1205"/>
    </row>
    <row r="548" spans="1:48" ht="16.5" customHeight="1">
      <c r="A548" s="1005">
        <f t="shared" si="117"/>
        <v>46285</v>
      </c>
      <c r="B548" s="1005">
        <f t="shared" si="126"/>
        <v>46285</v>
      </c>
      <c r="C548" s="1150">
        <f t="shared" si="118"/>
        <v>27</v>
      </c>
      <c r="D548" s="1150">
        <f t="shared" si="119"/>
        <v>537</v>
      </c>
      <c r="E548" s="1006" t="str">
        <f t="shared" si="127"/>
        <v>D</v>
      </c>
      <c r="F548" s="1007" t="str">
        <f t="shared" si="120"/>
        <v>A</v>
      </c>
      <c r="G548" s="1008">
        <f t="shared" si="121"/>
        <v>85750</v>
      </c>
      <c r="H548" s="1138">
        <f t="shared" si="122"/>
        <v>0.99861111111111112</v>
      </c>
      <c r="I548" s="1009">
        <v>0.99652777777777779</v>
      </c>
      <c r="J548" s="1010">
        <f t="shared" si="123"/>
        <v>45</v>
      </c>
      <c r="K548" s="1011"/>
      <c r="L548" s="1012"/>
      <c r="M548" s="1013"/>
      <c r="N548" s="1014" t="str">
        <f t="shared" si="124"/>
        <v/>
      </c>
      <c r="O548" s="1323"/>
      <c r="P548" s="1324"/>
      <c r="Q548" s="1324"/>
      <c r="R548" s="1324"/>
      <c r="S548" s="1324"/>
      <c r="T548" s="1325"/>
      <c r="U548" s="1015">
        <v>2</v>
      </c>
      <c r="V548" s="1015"/>
      <c r="W548" s="1015"/>
      <c r="X548" s="1015">
        <v>2.5</v>
      </c>
      <c r="Y548" s="1015"/>
      <c r="Z548" s="1016">
        <f>'09월 에너지'!S550</f>
        <v>143.9</v>
      </c>
      <c r="AA548" s="1017"/>
      <c r="AB548" s="1208"/>
      <c r="AC548" s="1208"/>
      <c r="AD548" s="1208"/>
      <c r="AE548" s="1208"/>
      <c r="AF548" s="1208"/>
      <c r="AG548" s="1018">
        <f>'09월 화학성분'!AM548</f>
        <v>929</v>
      </c>
      <c r="AH548" s="1006">
        <f t="shared" si="115"/>
        <v>14</v>
      </c>
      <c r="AI548" s="1019">
        <v>1580</v>
      </c>
      <c r="AJ548" s="1020">
        <v>68</v>
      </c>
      <c r="AK548" s="1021">
        <v>593</v>
      </c>
      <c r="AL548" s="1022">
        <v>7</v>
      </c>
      <c r="AM548" s="1155">
        <f>IF(AT548="","",3*'09월 에너지'!S550*(1/(3+7.8*(100-AT548)/AT548)))</f>
        <v>1.749098180677541</v>
      </c>
      <c r="AN548" s="1023">
        <v>0.13055555555555556</v>
      </c>
      <c r="AO548" s="1024"/>
      <c r="AP548" s="1025"/>
      <c r="AQ548" s="1025"/>
      <c r="AR548" s="1149">
        <f t="shared" si="116"/>
        <v>13</v>
      </c>
      <c r="AS548" s="1093" t="str">
        <f t="shared" si="125"/>
        <v xml:space="preserve"> </v>
      </c>
      <c r="AT548" s="1156">
        <v>3.1</v>
      </c>
      <c r="AU548" s="449"/>
      <c r="AV548" s="1205"/>
    </row>
    <row r="549" spans="1:48" ht="16.5" customHeight="1">
      <c r="A549" s="1005">
        <f t="shared" si="117"/>
        <v>46285</v>
      </c>
      <c r="B549" s="1005">
        <f t="shared" si="126"/>
        <v>46285</v>
      </c>
      <c r="C549" s="1150">
        <f t="shared" si="118"/>
        <v>28</v>
      </c>
      <c r="D549" s="1150">
        <f t="shared" si="119"/>
        <v>538</v>
      </c>
      <c r="E549" s="1006" t="str">
        <f t="shared" si="127"/>
        <v>D</v>
      </c>
      <c r="F549" s="1007" t="str">
        <f t="shared" si="120"/>
        <v>B</v>
      </c>
      <c r="G549" s="1008">
        <f t="shared" si="121"/>
        <v>85751</v>
      </c>
      <c r="H549" s="1138">
        <f t="shared" si="122"/>
        <v>1.0298611111111111</v>
      </c>
      <c r="I549" s="1009">
        <v>2.7083333333333334E-2</v>
      </c>
      <c r="J549" s="1010">
        <f t="shared" si="123"/>
        <v>44</v>
      </c>
      <c r="K549" s="1011"/>
      <c r="L549" s="1012"/>
      <c r="M549" s="1013"/>
      <c r="N549" s="1014" t="str">
        <f t="shared" si="124"/>
        <v/>
      </c>
      <c r="O549" s="1323"/>
      <c r="P549" s="1324"/>
      <c r="Q549" s="1324"/>
      <c r="R549" s="1324"/>
      <c r="S549" s="1324"/>
      <c r="T549" s="1325"/>
      <c r="U549" s="1015">
        <v>2</v>
      </c>
      <c r="V549" s="1015"/>
      <c r="W549" s="1015"/>
      <c r="X549" s="1015"/>
      <c r="Y549" s="1015">
        <v>2.7</v>
      </c>
      <c r="Z549" s="1016">
        <f>'09월 에너지'!S551</f>
        <v>143.30000000000001</v>
      </c>
      <c r="AA549" s="1017"/>
      <c r="AB549" s="1208"/>
      <c r="AC549" s="1208"/>
      <c r="AD549" s="1208"/>
      <c r="AE549" s="1208"/>
      <c r="AF549" s="1208"/>
      <c r="AG549" s="1018">
        <f>'09월 화학성분'!AM549</f>
        <v>1293</v>
      </c>
      <c r="AH549" s="1006">
        <f t="shared" si="115"/>
        <v>15</v>
      </c>
      <c r="AI549" s="1019">
        <v>1564</v>
      </c>
      <c r="AJ549" s="1020">
        <v>27</v>
      </c>
      <c r="AK549" s="1021">
        <v>620</v>
      </c>
      <c r="AL549" s="1022">
        <v>6</v>
      </c>
      <c r="AM549" s="1155">
        <f>IF(AT549="","",3*'09월 에너지'!S551*(1/(3+7.8*(100-AT549)/AT549)))</f>
        <v>0.89061528899937858</v>
      </c>
      <c r="AN549" s="1023">
        <v>0.1125</v>
      </c>
      <c r="AO549" s="1024"/>
      <c r="AP549" s="1025"/>
      <c r="AQ549" s="1025"/>
      <c r="AR549" s="1149" t="str">
        <f t="shared" si="116"/>
        <v/>
      </c>
      <c r="AS549" s="1093">
        <f t="shared" si="125"/>
        <v>5</v>
      </c>
      <c r="AT549" s="1156">
        <v>1.6</v>
      </c>
      <c r="AU549" s="449"/>
      <c r="AV549" s="1205"/>
    </row>
    <row r="550" spans="1:48" ht="16.5" customHeight="1">
      <c r="A550" s="1005">
        <f t="shared" si="117"/>
        <v>46285</v>
      </c>
      <c r="B550" s="1005">
        <f t="shared" si="126"/>
        <v>46285</v>
      </c>
      <c r="C550" s="1150">
        <f t="shared" si="118"/>
        <v>29</v>
      </c>
      <c r="D550" s="1150">
        <f t="shared" si="119"/>
        <v>539</v>
      </c>
      <c r="E550" s="1006" t="str">
        <f t="shared" si="127"/>
        <v>D</v>
      </c>
      <c r="F550" s="1007" t="str">
        <f t="shared" si="120"/>
        <v>A</v>
      </c>
      <c r="G550" s="1008">
        <f t="shared" si="121"/>
        <v>85752</v>
      </c>
      <c r="H550" s="1138">
        <f t="shared" si="122"/>
        <v>6.0416666666666667E-2</v>
      </c>
      <c r="I550" s="1009">
        <v>5.9722222222222225E-2</v>
      </c>
      <c r="J550" s="1010">
        <f t="shared" si="123"/>
        <v>47</v>
      </c>
      <c r="K550" s="1011"/>
      <c r="L550" s="1012"/>
      <c r="M550" s="1013"/>
      <c r="N550" s="1014" t="str">
        <f t="shared" si="124"/>
        <v/>
      </c>
      <c r="O550" s="1332" t="s">
        <v>915</v>
      </c>
      <c r="P550" s="1333"/>
      <c r="Q550" s="1333"/>
      <c r="R550" s="1333"/>
      <c r="S550" s="1333"/>
      <c r="T550" s="1334"/>
      <c r="U550" s="1015">
        <v>2</v>
      </c>
      <c r="V550" s="1015"/>
      <c r="W550" s="1015"/>
      <c r="X550" s="1015"/>
      <c r="Y550" s="1015">
        <v>2.9</v>
      </c>
      <c r="Z550" s="1016">
        <f>'09월 에너지'!S552</f>
        <v>142.1</v>
      </c>
      <c r="AA550" s="1017"/>
      <c r="AB550" s="1208"/>
      <c r="AC550" s="1208"/>
      <c r="AD550" s="1208"/>
      <c r="AE550" s="1208"/>
      <c r="AF550" s="1208"/>
      <c r="AG550" s="1018">
        <f>'09월 화학성분'!AM550</f>
        <v>1369</v>
      </c>
      <c r="AH550" s="1006">
        <f t="shared" si="115"/>
        <v>16</v>
      </c>
      <c r="AI550" s="1019">
        <v>1565</v>
      </c>
      <c r="AJ550" s="1020">
        <v>0</v>
      </c>
      <c r="AK550" s="1021">
        <v>565</v>
      </c>
      <c r="AL550" s="1022">
        <v>7</v>
      </c>
      <c r="AM550" s="1155">
        <f>IF(AT550="","",3*'09월 에너지'!S552*(1/(3+7.8*(100-AT550)/AT550)))</f>
        <v>1.3876953125</v>
      </c>
      <c r="AN550" s="1023">
        <v>0.13541666666666666</v>
      </c>
      <c r="AO550" s="1024"/>
      <c r="AP550" s="1025"/>
      <c r="AQ550" s="1025"/>
      <c r="AR550" s="1149">
        <f t="shared" si="116"/>
        <v>14</v>
      </c>
      <c r="AS550" s="1093" t="str">
        <f t="shared" si="125"/>
        <v xml:space="preserve"> </v>
      </c>
      <c r="AT550" s="1156">
        <v>2.5</v>
      </c>
      <c r="AU550" s="449"/>
      <c r="AV550" s="1205"/>
    </row>
    <row r="551" spans="1:48" ht="16.5" customHeight="1">
      <c r="A551" s="1005">
        <f t="shared" si="117"/>
        <v>46285</v>
      </c>
      <c r="B551" s="1005">
        <f t="shared" si="126"/>
        <v>46285</v>
      </c>
      <c r="C551" s="1150">
        <f t="shared" si="118"/>
        <v>30</v>
      </c>
      <c r="D551" s="1150">
        <f t="shared" si="119"/>
        <v>540</v>
      </c>
      <c r="E551" s="1006" t="str">
        <f t="shared" si="127"/>
        <v>D</v>
      </c>
      <c r="F551" s="1007" t="str">
        <f t="shared" si="120"/>
        <v>B</v>
      </c>
      <c r="G551" s="1008">
        <f t="shared" si="121"/>
        <v>85753</v>
      </c>
      <c r="H551" s="1138">
        <f t="shared" si="122"/>
        <v>9.3055555555555558E-2</v>
      </c>
      <c r="I551" s="1009">
        <v>9.0972222222222218E-2</v>
      </c>
      <c r="J551" s="1010">
        <f t="shared" si="123"/>
        <v>44.999999999999993</v>
      </c>
      <c r="K551" s="1011"/>
      <c r="L551" s="1012"/>
      <c r="M551" s="1013"/>
      <c r="N551" s="1014" t="str">
        <f t="shared" si="124"/>
        <v/>
      </c>
      <c r="O551" s="1332" t="s">
        <v>530</v>
      </c>
      <c r="P551" s="1333"/>
      <c r="Q551" s="1333"/>
      <c r="R551" s="1333"/>
      <c r="S551" s="1333"/>
      <c r="T551" s="1334"/>
      <c r="U551" s="1015">
        <v>2</v>
      </c>
      <c r="V551" s="1015"/>
      <c r="W551" s="1015"/>
      <c r="X551" s="1015"/>
      <c r="Y551" s="1015">
        <v>2.5</v>
      </c>
      <c r="Z551" s="1016">
        <f>'09월 에너지'!S553</f>
        <v>143.6</v>
      </c>
      <c r="AA551" s="1017">
        <v>777</v>
      </c>
      <c r="AB551" s="1208" t="s">
        <v>551</v>
      </c>
      <c r="AC551" s="1208" t="s">
        <v>532</v>
      </c>
      <c r="AD551" s="1208"/>
      <c r="AE551" s="1208"/>
      <c r="AF551" s="1208" t="s">
        <v>532</v>
      </c>
      <c r="AG551" s="1018">
        <f>'09월 화학성분'!AM551</f>
        <v>1429</v>
      </c>
      <c r="AH551" s="1006">
        <f t="shared" si="115"/>
        <v>17</v>
      </c>
      <c r="AI551" s="1019">
        <v>1579</v>
      </c>
      <c r="AJ551" s="1020">
        <v>0</v>
      </c>
      <c r="AK551" s="1021">
        <v>508</v>
      </c>
      <c r="AL551" s="1022">
        <v>8</v>
      </c>
      <c r="AM551" s="1155">
        <f>IF(AT551="","",3*'09월 에너지'!S553*(1/(3+7.8*(100-AT551)/AT551)))</f>
        <v>1.0052893590541381</v>
      </c>
      <c r="AN551" s="1023">
        <v>0.11875000000000001</v>
      </c>
      <c r="AO551" s="1024"/>
      <c r="AP551" s="1025"/>
      <c r="AQ551" s="1025"/>
      <c r="AR551" s="1149" t="str">
        <f t="shared" si="116"/>
        <v/>
      </c>
      <c r="AS551" s="1093">
        <f t="shared" si="125"/>
        <v>6</v>
      </c>
      <c r="AT551" s="1156">
        <v>1.8</v>
      </c>
      <c r="AU551" s="449"/>
      <c r="AV551" s="1205"/>
    </row>
    <row r="552" spans="1:48" ht="16.5" customHeight="1">
      <c r="A552" s="1005">
        <f t="shared" si="117"/>
        <v>46285</v>
      </c>
      <c r="B552" s="1005">
        <f t="shared" si="126"/>
        <v>46285</v>
      </c>
      <c r="C552" s="1150">
        <f t="shared" si="118"/>
        <v>31</v>
      </c>
      <c r="D552" s="1150">
        <f t="shared" si="119"/>
        <v>541</v>
      </c>
      <c r="E552" s="1006" t="str">
        <f t="shared" si="127"/>
        <v>D</v>
      </c>
      <c r="F552" s="1007" t="str">
        <f t="shared" si="120"/>
        <v>A</v>
      </c>
      <c r="G552" s="1008">
        <f t="shared" si="121"/>
        <v>85754</v>
      </c>
      <c r="H552" s="1138">
        <f t="shared" si="122"/>
        <v>0.12430555555555556</v>
      </c>
      <c r="I552" s="1009">
        <v>0.12222222222222223</v>
      </c>
      <c r="J552" s="1010">
        <f t="shared" si="123"/>
        <v>45.000000000000021</v>
      </c>
      <c r="K552" s="1011"/>
      <c r="L552" s="1012"/>
      <c r="M552" s="1013"/>
      <c r="N552" s="1014" t="str">
        <f t="shared" si="124"/>
        <v/>
      </c>
      <c r="O552" s="1332"/>
      <c r="P552" s="1333"/>
      <c r="Q552" s="1333"/>
      <c r="R552" s="1333"/>
      <c r="S552" s="1333"/>
      <c r="T552" s="1334"/>
      <c r="U552" s="1015">
        <v>2</v>
      </c>
      <c r="V552" s="1015"/>
      <c r="W552" s="1015"/>
      <c r="X552" s="1015"/>
      <c r="Y552" s="1015">
        <v>2.6</v>
      </c>
      <c r="Z552" s="1016">
        <f>'09월 에너지'!S554</f>
        <v>142.80000000000001</v>
      </c>
      <c r="AA552" s="1017"/>
      <c r="AB552" s="1208"/>
      <c r="AC552" s="1208"/>
      <c r="AD552" s="1208"/>
      <c r="AE552" s="1208"/>
      <c r="AF552" s="1208"/>
      <c r="AG552" s="1018">
        <f>'09월 화학성분'!AM552</f>
        <v>2069</v>
      </c>
      <c r="AH552" s="1006">
        <f t="shared" si="115"/>
        <v>18</v>
      </c>
      <c r="AI552" s="1019">
        <v>1577</v>
      </c>
      <c r="AJ552" s="1020">
        <v>0</v>
      </c>
      <c r="AK552" s="1021">
        <v>539</v>
      </c>
      <c r="AL552" s="1022">
        <v>7</v>
      </c>
      <c r="AM552" s="1155">
        <f>IF(AT552="","",3*'09월 에너지'!S554*(1/(3+7.8*(100-AT552)/AT552)))</f>
        <v>1.3945312500000002</v>
      </c>
      <c r="AN552" s="1023">
        <v>0.1277777777777778</v>
      </c>
      <c r="AO552" s="1024"/>
      <c r="AP552" s="1025"/>
      <c r="AQ552" s="1025"/>
      <c r="AR552" s="1149">
        <f t="shared" si="116"/>
        <v>15</v>
      </c>
      <c r="AS552" s="1093" t="str">
        <f t="shared" si="125"/>
        <v xml:space="preserve"> </v>
      </c>
      <c r="AT552" s="1156">
        <v>2.5</v>
      </c>
      <c r="AU552" s="449"/>
      <c r="AV552" s="1205"/>
    </row>
    <row r="553" spans="1:48" ht="16.5" customHeight="1">
      <c r="A553" s="1005">
        <v>46286</v>
      </c>
      <c r="B553" s="1005">
        <f t="shared" si="126"/>
        <v>46285</v>
      </c>
      <c r="C553" s="1150">
        <f t="shared" si="118"/>
        <v>1</v>
      </c>
      <c r="D553" s="1150">
        <f t="shared" si="119"/>
        <v>542</v>
      </c>
      <c r="E553" s="1006" t="str">
        <f t="shared" si="127"/>
        <v>D</v>
      </c>
      <c r="F553" s="1007" t="str">
        <f t="shared" si="120"/>
        <v>B</v>
      </c>
      <c r="G553" s="1008">
        <f t="shared" si="121"/>
        <v>85755</v>
      </c>
      <c r="H553" s="1138">
        <f t="shared" si="122"/>
        <v>0.15555555555555556</v>
      </c>
      <c r="I553" s="1009">
        <v>0.15347222222222223</v>
      </c>
      <c r="J553" s="1010">
        <f t="shared" si="123"/>
        <v>45</v>
      </c>
      <c r="K553" s="1011"/>
      <c r="L553" s="1012"/>
      <c r="M553" s="1013"/>
      <c r="N553" s="1014" t="str">
        <f t="shared" si="124"/>
        <v/>
      </c>
      <c r="O553" s="1332"/>
      <c r="P553" s="1333"/>
      <c r="Q553" s="1333"/>
      <c r="R553" s="1333"/>
      <c r="S553" s="1333"/>
      <c r="T553" s="1334"/>
      <c r="U553" s="1015">
        <v>2</v>
      </c>
      <c r="V553" s="1015">
        <v>2.6</v>
      </c>
      <c r="W553" s="1015">
        <v>1.7</v>
      </c>
      <c r="X553" s="1015"/>
      <c r="Y553" s="1015"/>
      <c r="Z553" s="1016">
        <f>'09월 에너지'!S555</f>
        <v>142.19999999999999</v>
      </c>
      <c r="AA553" s="1017"/>
      <c r="AB553" s="1208"/>
      <c r="AC553" s="1208"/>
      <c r="AD553" s="1208"/>
      <c r="AE553" s="1208"/>
      <c r="AF553" s="1208"/>
      <c r="AG553" s="1018">
        <f>'09월 화학성분'!AM553</f>
        <v>1350</v>
      </c>
      <c r="AH553" s="1006">
        <f t="shared" si="115"/>
        <v>19</v>
      </c>
      <c r="AI553" s="1019">
        <v>1601</v>
      </c>
      <c r="AJ553" s="1020">
        <v>98</v>
      </c>
      <c r="AK553" s="1021">
        <v>688</v>
      </c>
      <c r="AL553" s="1022">
        <v>6</v>
      </c>
      <c r="AM553" s="1155">
        <f>IF(AT553="","",3*'09월 에너지'!S555*(1/(3+7.8*(100-AT553)/AT553)))</f>
        <v>0.3293699814700432</v>
      </c>
      <c r="AN553" s="1023">
        <v>0.11805555555555557</v>
      </c>
      <c r="AO553" s="1024"/>
      <c r="AP553" s="1025"/>
      <c r="AQ553" s="1025"/>
      <c r="AR553" s="1149" t="str">
        <f t="shared" si="116"/>
        <v/>
      </c>
      <c r="AS553" s="1093">
        <f t="shared" si="125"/>
        <v>7</v>
      </c>
      <c r="AT553" s="1156">
        <v>0.6</v>
      </c>
      <c r="AU553" s="449"/>
      <c r="AV553" s="1205"/>
    </row>
    <row r="554" spans="1:48" ht="16.5" customHeight="1">
      <c r="A554" s="1005">
        <f t="shared" si="117"/>
        <v>46286</v>
      </c>
      <c r="B554" s="1005">
        <f t="shared" si="126"/>
        <v>46285</v>
      </c>
      <c r="C554" s="1150">
        <f t="shared" si="118"/>
        <v>2</v>
      </c>
      <c r="D554" s="1150">
        <f t="shared" si="119"/>
        <v>543</v>
      </c>
      <c r="E554" s="1006" t="str">
        <f t="shared" si="127"/>
        <v>D</v>
      </c>
      <c r="F554" s="1007" t="str">
        <f t="shared" si="120"/>
        <v>A</v>
      </c>
      <c r="G554" s="1008">
        <f t="shared" si="121"/>
        <v>85756</v>
      </c>
      <c r="H554" s="1138">
        <f t="shared" si="122"/>
        <v>0.18680555555555556</v>
      </c>
      <c r="I554" s="1009">
        <v>0.18472222222222223</v>
      </c>
      <c r="J554" s="1010">
        <f t="shared" si="123"/>
        <v>45</v>
      </c>
      <c r="K554" s="1011"/>
      <c r="L554" s="1012"/>
      <c r="M554" s="1013"/>
      <c r="N554" s="1014" t="str">
        <f t="shared" si="124"/>
        <v/>
      </c>
      <c r="O554" s="1332"/>
      <c r="P554" s="1333"/>
      <c r="Q554" s="1333"/>
      <c r="R554" s="1333"/>
      <c r="S554" s="1333"/>
      <c r="T554" s="1334"/>
      <c r="U554" s="1015">
        <v>2</v>
      </c>
      <c r="V554" s="1015">
        <v>2.5</v>
      </c>
      <c r="W554" s="1015">
        <v>1.6</v>
      </c>
      <c r="X554" s="1015"/>
      <c r="Y554" s="1015"/>
      <c r="Z554" s="1016">
        <f>'09월 에너지'!S556</f>
        <v>143.1</v>
      </c>
      <c r="AA554" s="1017"/>
      <c r="AB554" s="1208"/>
      <c r="AC554" s="1208"/>
      <c r="AD554" s="1208"/>
      <c r="AE554" s="1208"/>
      <c r="AF554" s="1208"/>
      <c r="AG554" s="1018">
        <f>'09월 화학성분'!AM554</f>
        <v>2476</v>
      </c>
      <c r="AH554" s="1006">
        <f t="shared" si="115"/>
        <v>20</v>
      </c>
      <c r="AI554" s="1019">
        <v>1566</v>
      </c>
      <c r="AJ554" s="1020">
        <v>0</v>
      </c>
      <c r="AK554" s="1021">
        <v>636</v>
      </c>
      <c r="AL554" s="1022">
        <v>6</v>
      </c>
      <c r="AM554" s="1155">
        <f>IF(AT554="","",3*'09월 에너지'!S556*(1/(3+7.8*(100-AT554)/AT554)))</f>
        <v>1.0017890479153702</v>
      </c>
      <c r="AN554" s="1023">
        <v>0.13819444444444443</v>
      </c>
      <c r="AO554" s="1024"/>
      <c r="AP554" s="1025"/>
      <c r="AQ554" s="1025"/>
      <c r="AR554" s="1149">
        <f t="shared" si="116"/>
        <v>16</v>
      </c>
      <c r="AS554" s="1093" t="str">
        <f t="shared" si="125"/>
        <v xml:space="preserve"> </v>
      </c>
      <c r="AT554" s="1156">
        <v>1.8</v>
      </c>
      <c r="AU554" s="449"/>
      <c r="AV554" s="1205"/>
    </row>
    <row r="555" spans="1:48" ht="16.5" customHeight="1">
      <c r="A555" s="1005">
        <f t="shared" si="117"/>
        <v>46286</v>
      </c>
      <c r="B555" s="1005">
        <f t="shared" si="126"/>
        <v>46285</v>
      </c>
      <c r="C555" s="1150">
        <f t="shared" si="118"/>
        <v>3</v>
      </c>
      <c r="D555" s="1150">
        <f t="shared" si="119"/>
        <v>544</v>
      </c>
      <c r="E555" s="1006" t="str">
        <f t="shared" si="127"/>
        <v>D</v>
      </c>
      <c r="F555" s="1007" t="str">
        <f t="shared" si="120"/>
        <v>B</v>
      </c>
      <c r="G555" s="1008">
        <f t="shared" si="121"/>
        <v>85757</v>
      </c>
      <c r="H555" s="1138">
        <f t="shared" si="122"/>
        <v>0.21805555555555556</v>
      </c>
      <c r="I555" s="1009">
        <v>0.21597222222222223</v>
      </c>
      <c r="J555" s="1010">
        <f t="shared" si="123"/>
        <v>45</v>
      </c>
      <c r="K555" s="1011"/>
      <c r="L555" s="1012"/>
      <c r="M555" s="1013"/>
      <c r="N555" s="1014" t="str">
        <f t="shared" si="124"/>
        <v/>
      </c>
      <c r="O555" s="1332"/>
      <c r="P555" s="1333"/>
      <c r="Q555" s="1333"/>
      <c r="R555" s="1333"/>
      <c r="S555" s="1333"/>
      <c r="T555" s="1334"/>
      <c r="U555" s="1015">
        <v>2</v>
      </c>
      <c r="V555" s="1015"/>
      <c r="W555" s="1015"/>
      <c r="X555" s="1015"/>
      <c r="Y555" s="1015">
        <v>2.9</v>
      </c>
      <c r="Z555" s="1016">
        <f>'09월 에너지'!S557</f>
        <v>143.30000000000001</v>
      </c>
      <c r="AA555" s="1017"/>
      <c r="AB555" s="1208"/>
      <c r="AC555" s="1208"/>
      <c r="AD555" s="1208"/>
      <c r="AE555" s="1208"/>
      <c r="AF555" s="1208"/>
      <c r="AG555" s="1018">
        <f>'09월 화학성분'!AM555</f>
        <v>1224</v>
      </c>
      <c r="AH555" s="1006">
        <f t="shared" si="115"/>
        <v>21</v>
      </c>
      <c r="AI555" s="1019">
        <v>1589</v>
      </c>
      <c r="AJ555" s="1020">
        <v>24</v>
      </c>
      <c r="AK555" s="1021">
        <v>671</v>
      </c>
      <c r="AL555" s="1022">
        <v>6</v>
      </c>
      <c r="AM555" s="1155">
        <f>IF(AT555="","",3*'09월 에너지'!S557*(1/(3+7.8*(100-AT555)/AT555)))</f>
        <v>1.3994140625000002</v>
      </c>
      <c r="AN555" s="1023">
        <v>0.12430555555555556</v>
      </c>
      <c r="AO555" s="1024"/>
      <c r="AP555" s="1025"/>
      <c r="AQ555" s="1025"/>
      <c r="AR555" s="1149" t="str">
        <f t="shared" si="116"/>
        <v/>
      </c>
      <c r="AS555" s="1093">
        <f t="shared" si="125"/>
        <v>8</v>
      </c>
      <c r="AT555" s="1156">
        <v>2.5</v>
      </c>
      <c r="AU555" s="449"/>
      <c r="AV555" s="1205"/>
    </row>
    <row r="556" spans="1:48" ht="16.5" customHeight="1">
      <c r="A556" s="1005">
        <f t="shared" si="117"/>
        <v>46286</v>
      </c>
      <c r="B556" s="1005">
        <f t="shared" si="126"/>
        <v>46285</v>
      </c>
      <c r="C556" s="1150">
        <f t="shared" si="118"/>
        <v>4</v>
      </c>
      <c r="D556" s="1150">
        <f t="shared" si="119"/>
        <v>545</v>
      </c>
      <c r="E556" s="1006" t="str">
        <f t="shared" si="127"/>
        <v>D</v>
      </c>
      <c r="F556" s="1007" t="str">
        <f t="shared" si="120"/>
        <v>A</v>
      </c>
      <c r="G556" s="1008">
        <f t="shared" si="121"/>
        <v>85758</v>
      </c>
      <c r="H556" s="1138">
        <f t="shared" si="122"/>
        <v>0.24930555555555556</v>
      </c>
      <c r="I556" s="1009">
        <v>0.24930555555555556</v>
      </c>
      <c r="J556" s="1010">
        <f t="shared" si="123"/>
        <v>47.999999999999986</v>
      </c>
      <c r="K556" s="1011"/>
      <c r="L556" s="1012"/>
      <c r="M556" s="1013"/>
      <c r="N556" s="1014" t="str">
        <f t="shared" si="124"/>
        <v/>
      </c>
      <c r="O556" s="1332" t="s">
        <v>917</v>
      </c>
      <c r="P556" s="1333"/>
      <c r="Q556" s="1333"/>
      <c r="R556" s="1333"/>
      <c r="S556" s="1333"/>
      <c r="T556" s="1334"/>
      <c r="U556" s="1015">
        <v>2</v>
      </c>
      <c r="V556" s="1015"/>
      <c r="W556" s="1015"/>
      <c r="X556" s="1015"/>
      <c r="Y556" s="1015">
        <v>2.7</v>
      </c>
      <c r="Z556" s="1016">
        <f>'09월 에너지'!S558</f>
        <v>143.19999999999999</v>
      </c>
      <c r="AA556" s="1017">
        <v>2255</v>
      </c>
      <c r="AB556" s="1208" t="s">
        <v>918</v>
      </c>
      <c r="AC556" s="1208" t="s">
        <v>532</v>
      </c>
      <c r="AD556" s="1208" t="s">
        <v>916</v>
      </c>
      <c r="AE556" s="1208"/>
      <c r="AF556" s="1208" t="s">
        <v>548</v>
      </c>
      <c r="AG556" s="1018">
        <f>'09월 화학성분'!AM556</f>
        <v>1187</v>
      </c>
      <c r="AH556" s="1006">
        <f t="shared" si="115"/>
        <v>22</v>
      </c>
      <c r="AI556" s="1019">
        <v>1570</v>
      </c>
      <c r="AJ556" s="1020">
        <v>0</v>
      </c>
      <c r="AK556" s="1021">
        <v>366</v>
      </c>
      <c r="AL556" s="1022">
        <v>12</v>
      </c>
      <c r="AM556" s="1155">
        <f>IF(AT556="","",3*'09월 에너지'!S558*(1/(3+7.8*(100-AT556)/AT556)))</f>
        <v>1.0024891101431237</v>
      </c>
      <c r="AN556" s="1023">
        <v>0.15625</v>
      </c>
      <c r="AO556" s="1024"/>
      <c r="AP556" s="1025"/>
      <c r="AQ556" s="1025"/>
      <c r="AR556" s="1149">
        <f t="shared" si="116"/>
        <v>17</v>
      </c>
      <c r="AS556" s="1093" t="str">
        <f t="shared" si="125"/>
        <v xml:space="preserve"> </v>
      </c>
      <c r="AT556" s="1156">
        <v>1.8</v>
      </c>
      <c r="AU556" s="449"/>
      <c r="AV556" s="1205"/>
    </row>
    <row r="557" spans="1:48" ht="16.5" customHeight="1">
      <c r="A557" s="1005">
        <f t="shared" si="117"/>
        <v>46286</v>
      </c>
      <c r="B557" s="1005">
        <v>46286</v>
      </c>
      <c r="C557" s="1150">
        <f t="shared" si="118"/>
        <v>5</v>
      </c>
      <c r="D557" s="1150">
        <f t="shared" si="119"/>
        <v>546</v>
      </c>
      <c r="E557" s="1006" t="s">
        <v>919</v>
      </c>
      <c r="F557" s="1007" t="str">
        <f t="shared" si="120"/>
        <v>B</v>
      </c>
      <c r="G557" s="1008">
        <f t="shared" si="121"/>
        <v>85759</v>
      </c>
      <c r="H557" s="1138">
        <f t="shared" si="122"/>
        <v>0.28263888888888888</v>
      </c>
      <c r="I557" s="1009">
        <v>0.28263888888888888</v>
      </c>
      <c r="J557" s="1010">
        <f t="shared" si="123"/>
        <v>47.999999999999986</v>
      </c>
      <c r="K557" s="1011"/>
      <c r="L557" s="1012">
        <v>3</v>
      </c>
      <c r="M557" s="1013"/>
      <c r="N557" s="1014" t="str">
        <f t="shared" si="124"/>
        <v/>
      </c>
      <c r="O557" s="1335" t="s">
        <v>920</v>
      </c>
      <c r="P557" s="1336"/>
      <c r="Q557" s="1336"/>
      <c r="R557" s="1336"/>
      <c r="S557" s="1336"/>
      <c r="T557" s="1337"/>
      <c r="U557" s="1015">
        <v>2</v>
      </c>
      <c r="V557" s="1015">
        <v>2.4</v>
      </c>
      <c r="W557" s="1015">
        <v>1.7</v>
      </c>
      <c r="X557" s="1015"/>
      <c r="Y557" s="1015"/>
      <c r="Z557" s="1016">
        <f>'09월 에너지'!S559</f>
        <v>142.19999999999999</v>
      </c>
      <c r="AA557" s="1017"/>
      <c r="AB557" s="1208"/>
      <c r="AC557" s="1208"/>
      <c r="AD557" s="1208"/>
      <c r="AE557" s="1208"/>
      <c r="AF557" s="1208"/>
      <c r="AG557" s="1018">
        <f>'09월 화학성분'!AM557</f>
        <v>1918</v>
      </c>
      <c r="AH557" s="1006">
        <f t="shared" si="115"/>
        <v>23</v>
      </c>
      <c r="AI557" s="1019">
        <v>1560</v>
      </c>
      <c r="AJ557" s="1020">
        <v>0</v>
      </c>
      <c r="AK557" s="1021">
        <v>408</v>
      </c>
      <c r="AL557" s="1022">
        <v>11</v>
      </c>
      <c r="AM557" s="1155">
        <f>IF(AT557="","",3*'09월 에너지'!S559*(1/(3+7.8*(100-AT557)/AT557)))</f>
        <v>0.43970315398886822</v>
      </c>
      <c r="AN557" s="1023">
        <v>0.1388888888888889</v>
      </c>
      <c r="AO557" s="1024"/>
      <c r="AP557" s="1025"/>
      <c r="AQ557" s="1025"/>
      <c r="AR557" s="1149" t="str">
        <f t="shared" si="116"/>
        <v/>
      </c>
      <c r="AS557" s="1093">
        <f t="shared" si="125"/>
        <v>9</v>
      </c>
      <c r="AT557" s="1156">
        <v>0.8</v>
      </c>
      <c r="AU557" s="449"/>
      <c r="AV557" s="1205"/>
    </row>
    <row r="558" spans="1:48" ht="16.5" customHeight="1">
      <c r="A558" s="1005">
        <f t="shared" si="117"/>
        <v>46286</v>
      </c>
      <c r="B558" s="1005">
        <f t="shared" si="126"/>
        <v>46286</v>
      </c>
      <c r="C558" s="1150">
        <f t="shared" si="118"/>
        <v>6</v>
      </c>
      <c r="D558" s="1150">
        <f t="shared" si="119"/>
        <v>547</v>
      </c>
      <c r="E558" s="1006" t="str">
        <f t="shared" si="127"/>
        <v>A</v>
      </c>
      <c r="F558" s="1007" t="str">
        <f t="shared" si="120"/>
        <v>A</v>
      </c>
      <c r="G558" s="1008">
        <f t="shared" si="121"/>
        <v>85760</v>
      </c>
      <c r="H558" s="1138">
        <f t="shared" si="122"/>
        <v>0.31597222222222221</v>
      </c>
      <c r="I558" s="1009">
        <v>0.31180555555555556</v>
      </c>
      <c r="J558" s="1010">
        <f t="shared" si="123"/>
        <v>42.000000000000014</v>
      </c>
      <c r="K558" s="1011"/>
      <c r="L558" s="1012"/>
      <c r="M558" s="1013"/>
      <c r="N558" s="1014" t="str">
        <f t="shared" si="124"/>
        <v/>
      </c>
      <c r="O558" s="1323"/>
      <c r="P558" s="1324"/>
      <c r="Q558" s="1324"/>
      <c r="R558" s="1324"/>
      <c r="S558" s="1324"/>
      <c r="T558" s="1325"/>
      <c r="U558" s="1015">
        <v>2</v>
      </c>
      <c r="V558" s="1015">
        <v>2.7</v>
      </c>
      <c r="W558" s="1015">
        <v>1.4</v>
      </c>
      <c r="X558" s="1015"/>
      <c r="Y558" s="1015"/>
      <c r="Z558" s="1016">
        <f>'09월 에너지'!S560</f>
        <v>139.80000000000001</v>
      </c>
      <c r="AA558" s="1017"/>
      <c r="AB558" s="1208"/>
      <c r="AC558" s="1208"/>
      <c r="AD558" s="1208"/>
      <c r="AE558" s="1208"/>
      <c r="AF558" s="1208"/>
      <c r="AG558" s="1018">
        <f>'09월 화학성분'!AM558</f>
        <v>1765</v>
      </c>
      <c r="AH558" s="1006">
        <f t="shared" si="115"/>
        <v>24</v>
      </c>
      <c r="AI558" s="1019">
        <v>1563</v>
      </c>
      <c r="AJ558" s="1020">
        <v>0</v>
      </c>
      <c r="AK558" s="1021">
        <v>455</v>
      </c>
      <c r="AL558" s="1022">
        <v>9</v>
      </c>
      <c r="AM558" s="1155">
        <f>IF(AT558="","",3*'09월 에너지'!S560*(1/(3+7.8*(100-AT558)/AT558)))</f>
        <v>1.0337017434620175</v>
      </c>
      <c r="AN558" s="1023">
        <v>0.14583333333333334</v>
      </c>
      <c r="AO558" s="1024"/>
      <c r="AP558" s="1025"/>
      <c r="AQ558" s="1025"/>
      <c r="AR558" s="1149">
        <f t="shared" si="116"/>
        <v>18</v>
      </c>
      <c r="AS558" s="1093" t="str">
        <f t="shared" si="125"/>
        <v xml:space="preserve"> </v>
      </c>
      <c r="AT558" s="1156">
        <v>1.9</v>
      </c>
      <c r="AU558" s="449"/>
      <c r="AV558" s="1205"/>
    </row>
    <row r="559" spans="1:48" ht="16.5" customHeight="1">
      <c r="A559" s="1005">
        <f t="shared" si="117"/>
        <v>46286</v>
      </c>
      <c r="B559" s="1005">
        <f t="shared" si="126"/>
        <v>46286</v>
      </c>
      <c r="C559" s="1150">
        <f t="shared" si="118"/>
        <v>7</v>
      </c>
      <c r="D559" s="1150">
        <f t="shared" si="119"/>
        <v>548</v>
      </c>
      <c r="E559" s="1006" t="str">
        <f t="shared" si="127"/>
        <v>A</v>
      </c>
      <c r="F559" s="1007" t="str">
        <f t="shared" si="120"/>
        <v>B</v>
      </c>
      <c r="G559" s="1008">
        <f t="shared" si="121"/>
        <v>85761</v>
      </c>
      <c r="H559" s="1138">
        <f t="shared" si="122"/>
        <v>0.34513888888888888</v>
      </c>
      <c r="I559" s="1009">
        <v>0.3444444444444445</v>
      </c>
      <c r="J559" s="1010">
        <f t="shared" si="123"/>
        <v>47.000000000000071</v>
      </c>
      <c r="K559" s="1011"/>
      <c r="L559" s="1012"/>
      <c r="M559" s="1013"/>
      <c r="N559" s="1014" t="str">
        <f t="shared" si="124"/>
        <v/>
      </c>
      <c r="O559" s="1323"/>
      <c r="P559" s="1324"/>
      <c r="Q559" s="1324"/>
      <c r="R559" s="1324"/>
      <c r="S559" s="1324"/>
      <c r="T559" s="1325"/>
      <c r="U559" s="1015">
        <v>2</v>
      </c>
      <c r="V559" s="1015"/>
      <c r="W559" s="1015"/>
      <c r="X559" s="1015"/>
      <c r="Y559" s="1015"/>
      <c r="Z559" s="1016">
        <f>'09월 에너지'!S561</f>
        <v>144.5</v>
      </c>
      <c r="AA559" s="1017"/>
      <c r="AB559" s="1208"/>
      <c r="AC559" s="1208"/>
      <c r="AD559" s="1208"/>
      <c r="AE559" s="1208"/>
      <c r="AF559" s="1208"/>
      <c r="AG559" s="1018">
        <f>'09월 화학성분'!AM559</f>
        <v>2378</v>
      </c>
      <c r="AH559" s="1006">
        <f t="shared" si="115"/>
        <v>25</v>
      </c>
      <c r="AI559" s="1019">
        <v>1557</v>
      </c>
      <c r="AJ559" s="1020">
        <v>0</v>
      </c>
      <c r="AK559" s="1021">
        <v>499</v>
      </c>
      <c r="AL559" s="1022">
        <v>8</v>
      </c>
      <c r="AM559" s="1155">
        <f>IF(AT559="","",3*'09월 에너지'!S561*(1/(3+7.8*(100-AT559)/AT559)))</f>
        <v>0.84142080745341619</v>
      </c>
      <c r="AN559" s="1023">
        <v>0.13333333333333333</v>
      </c>
      <c r="AO559" s="1024"/>
      <c r="AP559" s="1025"/>
      <c r="AQ559" s="1025"/>
      <c r="AR559" s="1149" t="str">
        <f t="shared" si="116"/>
        <v/>
      </c>
      <c r="AS559" s="1093">
        <f t="shared" si="125"/>
        <v>10</v>
      </c>
      <c r="AT559" s="1156">
        <v>1.5</v>
      </c>
      <c r="AU559" s="449"/>
      <c r="AV559" s="1205"/>
    </row>
    <row r="560" spans="1:48" ht="16.5" customHeight="1">
      <c r="A560" s="1005">
        <f t="shared" si="117"/>
        <v>46286</v>
      </c>
      <c r="B560" s="1005">
        <f t="shared" si="126"/>
        <v>46286</v>
      </c>
      <c r="C560" s="1150">
        <f t="shared" si="118"/>
        <v>8</v>
      </c>
      <c r="D560" s="1150">
        <f t="shared" si="119"/>
        <v>549</v>
      </c>
      <c r="E560" s="1006" t="str">
        <f t="shared" si="127"/>
        <v>A</v>
      </c>
      <c r="F560" s="1007" t="str">
        <f t="shared" si="120"/>
        <v>A</v>
      </c>
      <c r="G560" s="1008">
        <f t="shared" si="121"/>
        <v>85762</v>
      </c>
      <c r="H560" s="1138">
        <f t="shared" si="122"/>
        <v>0.37777777777777782</v>
      </c>
      <c r="I560" s="1009">
        <v>0.37777777777777777</v>
      </c>
      <c r="J560" s="1010">
        <f t="shared" si="123"/>
        <v>47.999999999999908</v>
      </c>
      <c r="K560" s="1011"/>
      <c r="L560" s="1012"/>
      <c r="M560" s="1013"/>
      <c r="N560" s="1014" t="str">
        <f t="shared" si="124"/>
        <v/>
      </c>
      <c r="O560" s="1323" t="s">
        <v>921</v>
      </c>
      <c r="P560" s="1324"/>
      <c r="Q560" s="1324"/>
      <c r="R560" s="1324"/>
      <c r="S560" s="1324"/>
      <c r="T560" s="1325"/>
      <c r="U560" s="1015">
        <v>2</v>
      </c>
      <c r="V560" s="1015"/>
      <c r="W560" s="1015"/>
      <c r="X560" s="1015"/>
      <c r="Y560" s="1015">
        <v>2.7</v>
      </c>
      <c r="Z560" s="1016">
        <f>'09월 에너지'!S562</f>
        <v>145.1</v>
      </c>
      <c r="AA560" s="1017">
        <v>2510</v>
      </c>
      <c r="AB560" s="1208" t="s">
        <v>551</v>
      </c>
      <c r="AC560" s="1208" t="s">
        <v>532</v>
      </c>
      <c r="AD560" s="1208"/>
      <c r="AE560" s="1208"/>
      <c r="AF560" s="1208" t="s">
        <v>532</v>
      </c>
      <c r="AG560" s="1018">
        <f>'09월 화학성분'!AM560</f>
        <v>1925</v>
      </c>
      <c r="AH560" s="1006">
        <f t="shared" si="115"/>
        <v>26</v>
      </c>
      <c r="AI560" s="1019">
        <v>1564</v>
      </c>
      <c r="AJ560" s="1020">
        <v>64</v>
      </c>
      <c r="AK560" s="1021">
        <v>473</v>
      </c>
      <c r="AL560" s="1022">
        <v>9</v>
      </c>
      <c r="AM560" s="1155">
        <f>IF(AT560="","",3*'09월 에너지'!S562*(1/(3+7.8*(100-AT560)/AT560)))</f>
        <v>2.4061118130132657</v>
      </c>
      <c r="AN560" s="1023">
        <v>0.13263888888888889</v>
      </c>
      <c r="AO560" s="1024" t="s">
        <v>587</v>
      </c>
      <c r="AP560" s="1025">
        <v>2000106</v>
      </c>
      <c r="AQ560" s="1025">
        <v>2126</v>
      </c>
      <c r="AR560" s="1149">
        <v>1</v>
      </c>
      <c r="AS560" s="1093" t="str">
        <f t="shared" si="125"/>
        <v xml:space="preserve"> </v>
      </c>
      <c r="AT560" s="1156">
        <v>4.2</v>
      </c>
      <c r="AU560" s="449"/>
      <c r="AV560" s="1205"/>
    </row>
    <row r="561" spans="1:48" ht="16.5" customHeight="1">
      <c r="A561" s="1005">
        <f t="shared" si="117"/>
        <v>46286</v>
      </c>
      <c r="B561" s="1005">
        <f t="shared" si="126"/>
        <v>46286</v>
      </c>
      <c r="C561" s="1150">
        <f t="shared" si="118"/>
        <v>9</v>
      </c>
      <c r="D561" s="1150">
        <f t="shared" si="119"/>
        <v>550</v>
      </c>
      <c r="E561" s="1006" t="str">
        <f t="shared" si="127"/>
        <v>A</v>
      </c>
      <c r="F561" s="1007" t="str">
        <f t="shared" si="120"/>
        <v>B</v>
      </c>
      <c r="G561" s="1008">
        <f t="shared" si="121"/>
        <v>85763</v>
      </c>
      <c r="H561" s="1138">
        <f t="shared" si="122"/>
        <v>0.41111111111111109</v>
      </c>
      <c r="I561" s="1009">
        <v>0.41041666666666665</v>
      </c>
      <c r="J561" s="1010">
        <f t="shared" si="123"/>
        <v>46.999999999999993</v>
      </c>
      <c r="K561" s="1011"/>
      <c r="L561" s="1012"/>
      <c r="M561" s="1013"/>
      <c r="N561" s="1014" t="str">
        <f t="shared" si="124"/>
        <v/>
      </c>
      <c r="O561" s="1323"/>
      <c r="P561" s="1324"/>
      <c r="Q561" s="1324"/>
      <c r="R561" s="1324"/>
      <c r="S561" s="1324"/>
      <c r="T561" s="1325"/>
      <c r="U561" s="1015">
        <v>2</v>
      </c>
      <c r="V561" s="1015"/>
      <c r="W561" s="1015"/>
      <c r="X561" s="1015">
        <v>3.2</v>
      </c>
      <c r="Y561" s="1015"/>
      <c r="Z561" s="1016">
        <f>'09월 에너지'!S563</f>
        <v>141.9</v>
      </c>
      <c r="AA561" s="1017"/>
      <c r="AB561" s="1208"/>
      <c r="AC561" s="1208"/>
      <c r="AD561" s="1208"/>
      <c r="AE561" s="1208"/>
      <c r="AF561" s="1208"/>
      <c r="AG561" s="1018">
        <f>'09월 화학성분'!AM561</f>
        <v>1854</v>
      </c>
      <c r="AH561" s="1006">
        <f t="shared" si="115"/>
        <v>27</v>
      </c>
      <c r="AI561" s="1019">
        <v>1566</v>
      </c>
      <c r="AJ561" s="1020">
        <v>63</v>
      </c>
      <c r="AK561" s="1021">
        <v>538</v>
      </c>
      <c r="AL561" s="1022">
        <v>7</v>
      </c>
      <c r="AM561" s="1155">
        <f>IF(AT561="","",3*'09월 에너지'!S563*(1/(3+7.8*(100-AT561)/AT561)))</f>
        <v>1.1051401869158881</v>
      </c>
      <c r="AN561" s="1023">
        <v>0.20347222222222219</v>
      </c>
      <c r="AO561" s="1024"/>
      <c r="AP561" s="1025"/>
      <c r="AQ561" s="1025"/>
      <c r="AR561" s="1149" t="str">
        <f t="shared" si="116"/>
        <v/>
      </c>
      <c r="AS561" s="1093">
        <f t="shared" si="125"/>
        <v>11</v>
      </c>
      <c r="AT561" s="1156">
        <v>2</v>
      </c>
      <c r="AU561" s="449"/>
      <c r="AV561" s="1205"/>
    </row>
    <row r="562" spans="1:48" ht="16.5" customHeight="1">
      <c r="A562" s="1005">
        <f t="shared" si="117"/>
        <v>46286</v>
      </c>
      <c r="B562" s="1005">
        <f t="shared" si="126"/>
        <v>46286</v>
      </c>
      <c r="C562" s="1150">
        <f t="shared" si="118"/>
        <v>10</v>
      </c>
      <c r="D562" s="1150">
        <f t="shared" si="119"/>
        <v>551</v>
      </c>
      <c r="E562" s="1006" t="str">
        <f t="shared" si="127"/>
        <v>A</v>
      </c>
      <c r="F562" s="1007" t="str">
        <f t="shared" si="120"/>
        <v>A</v>
      </c>
      <c r="G562" s="1008">
        <f t="shared" si="121"/>
        <v>85764</v>
      </c>
      <c r="H562" s="1138">
        <f t="shared" si="122"/>
        <v>0.44374999999999998</v>
      </c>
      <c r="I562" s="1009">
        <v>0.44166666666666665</v>
      </c>
      <c r="J562" s="1010">
        <f t="shared" si="123"/>
        <v>45</v>
      </c>
      <c r="K562" s="1011"/>
      <c r="L562" s="1012"/>
      <c r="M562" s="1013"/>
      <c r="N562" s="1014" t="str">
        <f t="shared" si="124"/>
        <v/>
      </c>
      <c r="O562" s="1323"/>
      <c r="P562" s="1324"/>
      <c r="Q562" s="1324"/>
      <c r="R562" s="1324"/>
      <c r="S562" s="1324"/>
      <c r="T562" s="1325"/>
      <c r="U562" s="1015">
        <v>2</v>
      </c>
      <c r="V562" s="1015"/>
      <c r="W562" s="1015"/>
      <c r="X562" s="1015">
        <v>3.3</v>
      </c>
      <c r="Y562" s="1015"/>
      <c r="Z562" s="1016">
        <f>'09월 에너지'!S564</f>
        <v>143.69999999999999</v>
      </c>
      <c r="AA562" s="1017"/>
      <c r="AB562" s="1208"/>
      <c r="AC562" s="1208"/>
      <c r="AD562" s="1208"/>
      <c r="AE562" s="1208"/>
      <c r="AF562" s="1208"/>
      <c r="AG562" s="1018">
        <f>'09월 화학성분'!AM562</f>
        <v>2251</v>
      </c>
      <c r="AH562" s="1006">
        <f t="shared" si="115"/>
        <v>28</v>
      </c>
      <c r="AI562" s="1019">
        <v>1577</v>
      </c>
      <c r="AJ562" s="1020">
        <v>75</v>
      </c>
      <c r="AK562" s="1021">
        <v>517</v>
      </c>
      <c r="AL562" s="1022">
        <v>8</v>
      </c>
      <c r="AM562" s="1155">
        <f>IF(AT562="","",3*'09월 에너지'!S564*(1/(3+7.8*(100-AT562)/AT562)))</f>
        <v>1.9193117536140791</v>
      </c>
      <c r="AN562" s="1023">
        <v>0.14375000000000002</v>
      </c>
      <c r="AO562" s="1024"/>
      <c r="AP562" s="1025"/>
      <c r="AQ562" s="1025"/>
      <c r="AR562" s="1149">
        <f t="shared" si="116"/>
        <v>2</v>
      </c>
      <c r="AS562" s="1093" t="str">
        <f t="shared" si="125"/>
        <v xml:space="preserve"> </v>
      </c>
      <c r="AT562" s="1156">
        <v>3.4</v>
      </c>
      <c r="AU562" s="449"/>
      <c r="AV562" s="1205"/>
    </row>
    <row r="563" spans="1:48" ht="16.5" customHeight="1">
      <c r="A563" s="1005">
        <f t="shared" si="117"/>
        <v>46286</v>
      </c>
      <c r="B563" s="1005">
        <f t="shared" si="126"/>
        <v>46286</v>
      </c>
      <c r="C563" s="1150">
        <f t="shared" si="118"/>
        <v>11</v>
      </c>
      <c r="D563" s="1150">
        <f t="shared" si="119"/>
        <v>552</v>
      </c>
      <c r="E563" s="1006" t="str">
        <f t="shared" si="127"/>
        <v>A</v>
      </c>
      <c r="F563" s="1007" t="str">
        <f t="shared" si="120"/>
        <v>B</v>
      </c>
      <c r="G563" s="1008">
        <f t="shared" si="121"/>
        <v>85765</v>
      </c>
      <c r="H563" s="1138">
        <f t="shared" si="122"/>
        <v>0.47499999999999998</v>
      </c>
      <c r="I563" s="1009">
        <v>0.47569444444444442</v>
      </c>
      <c r="J563" s="1010">
        <f t="shared" si="123"/>
        <v>48.999999999999986</v>
      </c>
      <c r="K563" s="1011"/>
      <c r="L563" s="1012"/>
      <c r="M563" s="1013"/>
      <c r="N563" s="1014" t="str">
        <f t="shared" si="124"/>
        <v/>
      </c>
      <c r="O563" s="1323"/>
      <c r="P563" s="1324"/>
      <c r="Q563" s="1324"/>
      <c r="R563" s="1324"/>
      <c r="S563" s="1324"/>
      <c r="T563" s="1325"/>
      <c r="U563" s="1015">
        <v>2</v>
      </c>
      <c r="V563" s="1015"/>
      <c r="W563" s="1015"/>
      <c r="X563" s="1015"/>
      <c r="Y563" s="1015"/>
      <c r="Z563" s="1016">
        <f>'09월 에너지'!S565</f>
        <v>140.69999999999999</v>
      </c>
      <c r="AA563" s="1017"/>
      <c r="AB563" s="1208"/>
      <c r="AC563" s="1208"/>
      <c r="AD563" s="1208"/>
      <c r="AE563" s="1208"/>
      <c r="AF563" s="1208"/>
      <c r="AG563" s="1018">
        <f>'09월 화학성분'!AM563</f>
        <v>1711</v>
      </c>
      <c r="AH563" s="1006">
        <f t="shared" si="115"/>
        <v>29</v>
      </c>
      <c r="AI563" s="1019">
        <v>1576</v>
      </c>
      <c r="AJ563" s="1020">
        <v>0</v>
      </c>
      <c r="AK563" s="1021">
        <v>445</v>
      </c>
      <c r="AL563" s="1022">
        <v>10</v>
      </c>
      <c r="AM563" s="1155">
        <f>IF(AT563="","",3*'09월 에너지'!S565*(1/(3+7.8*(100-AT563)/AT563)))</f>
        <v>0.92968749999999989</v>
      </c>
      <c r="AN563" s="1023">
        <v>0.16944444444444443</v>
      </c>
      <c r="AO563" s="1024"/>
      <c r="AP563" s="1025"/>
      <c r="AQ563" s="1025"/>
      <c r="AR563" s="1149" t="str">
        <f t="shared" si="116"/>
        <v/>
      </c>
      <c r="AS563" s="1093">
        <f t="shared" si="125"/>
        <v>12</v>
      </c>
      <c r="AT563" s="1156">
        <v>1.7</v>
      </c>
      <c r="AU563" s="449"/>
      <c r="AV563" s="1205"/>
    </row>
    <row r="564" spans="1:48" ht="16.5" customHeight="1">
      <c r="A564" s="1005">
        <f t="shared" si="117"/>
        <v>46286</v>
      </c>
      <c r="B564" s="1005">
        <f t="shared" si="126"/>
        <v>46286</v>
      </c>
      <c r="C564" s="1150">
        <f t="shared" si="118"/>
        <v>12</v>
      </c>
      <c r="D564" s="1150">
        <f t="shared" si="119"/>
        <v>553</v>
      </c>
      <c r="E564" s="1006" t="str">
        <f t="shared" si="127"/>
        <v>A</v>
      </c>
      <c r="F564" s="1007" t="str">
        <f t="shared" si="120"/>
        <v>A</v>
      </c>
      <c r="G564" s="1008">
        <f t="shared" si="121"/>
        <v>85766</v>
      </c>
      <c r="H564" s="1138">
        <f t="shared" si="122"/>
        <v>0.50902777777777775</v>
      </c>
      <c r="I564" s="1009">
        <v>0.5083333333333333</v>
      </c>
      <c r="J564" s="1010">
        <f t="shared" si="123"/>
        <v>46.999999999999993</v>
      </c>
      <c r="K564" s="1011"/>
      <c r="L564" s="1012">
        <v>3</v>
      </c>
      <c r="M564" s="1013"/>
      <c r="N564" s="1014" t="str">
        <f t="shared" si="124"/>
        <v/>
      </c>
      <c r="O564" s="1323" t="s">
        <v>923</v>
      </c>
      <c r="P564" s="1324"/>
      <c r="Q564" s="1324"/>
      <c r="R564" s="1324"/>
      <c r="S564" s="1324"/>
      <c r="T564" s="1325"/>
      <c r="U564" s="1015">
        <v>2</v>
      </c>
      <c r="V564" s="1015"/>
      <c r="W564" s="1015"/>
      <c r="X564" s="1015"/>
      <c r="Y564" s="1015">
        <v>2.5</v>
      </c>
      <c r="Z564" s="1016">
        <f>'09월 에너지'!S566</f>
        <v>140.80000000000001</v>
      </c>
      <c r="AA564" s="1017"/>
      <c r="AB564" s="1208"/>
      <c r="AC564" s="1208"/>
      <c r="AD564" s="1208"/>
      <c r="AE564" s="1208"/>
      <c r="AF564" s="1208"/>
      <c r="AG564" s="1018">
        <f>'09월 화학성분'!AM564</f>
        <v>2555</v>
      </c>
      <c r="AH564" s="1006">
        <f t="shared" si="115"/>
        <v>30</v>
      </c>
      <c r="AI564" s="1019">
        <v>1534</v>
      </c>
      <c r="AJ564" s="1020">
        <v>0</v>
      </c>
      <c r="AK564" s="1021" t="s">
        <v>552</v>
      </c>
      <c r="AL564" s="1022" t="s">
        <v>922</v>
      </c>
      <c r="AM564" s="1155">
        <f>IF(AT564="","",3*'09월 에너지'!S566*(1/(3+7.8*(100-AT564)/AT564)))</f>
        <v>1.0410958904109591</v>
      </c>
      <c r="AN564" s="1023">
        <v>0.15347222222222223</v>
      </c>
      <c r="AO564" s="1024"/>
      <c r="AP564" s="1025"/>
      <c r="AQ564" s="1025"/>
      <c r="AR564" s="1149">
        <f t="shared" si="116"/>
        <v>3</v>
      </c>
      <c r="AS564" s="1093" t="str">
        <f t="shared" si="125"/>
        <v xml:space="preserve"> </v>
      </c>
      <c r="AT564" s="1156">
        <v>1.9</v>
      </c>
      <c r="AU564" s="449"/>
      <c r="AV564" s="1205"/>
    </row>
    <row r="565" spans="1:48" ht="16.5" customHeight="1">
      <c r="A565" s="1005">
        <f t="shared" si="117"/>
        <v>46286</v>
      </c>
      <c r="B565" s="1005">
        <f t="shared" si="126"/>
        <v>46286</v>
      </c>
      <c r="C565" s="1150">
        <f t="shared" si="118"/>
        <v>13</v>
      </c>
      <c r="D565" s="1150">
        <f t="shared" si="119"/>
        <v>554</v>
      </c>
      <c r="E565" s="1006" t="str">
        <f t="shared" si="127"/>
        <v>A</v>
      </c>
      <c r="F565" s="1007" t="str">
        <f t="shared" si="120"/>
        <v>B</v>
      </c>
      <c r="G565" s="1008">
        <f t="shared" si="121"/>
        <v>85767</v>
      </c>
      <c r="H565" s="1138">
        <f t="shared" si="122"/>
        <v>0.54166666666666663</v>
      </c>
      <c r="I565" s="1009">
        <v>0.54236111111111118</v>
      </c>
      <c r="J565" s="1010">
        <f t="shared" si="123"/>
        <v>49.000000000000142</v>
      </c>
      <c r="K565" s="1011"/>
      <c r="L565" s="1012">
        <v>4</v>
      </c>
      <c r="M565" s="1013"/>
      <c r="N565" s="1014" t="str">
        <f t="shared" si="124"/>
        <v/>
      </c>
      <c r="O565" s="1323" t="s">
        <v>924</v>
      </c>
      <c r="P565" s="1324"/>
      <c r="Q565" s="1324"/>
      <c r="R565" s="1324"/>
      <c r="S565" s="1324"/>
      <c r="T565" s="1325"/>
      <c r="U565" s="1015">
        <v>2</v>
      </c>
      <c r="V565" s="1015"/>
      <c r="W565" s="1015"/>
      <c r="X565" s="1015"/>
      <c r="Y565" s="1015">
        <v>2.8</v>
      </c>
      <c r="Z565" s="1016">
        <f>'09월 에너지'!S567</f>
        <v>143</v>
      </c>
      <c r="AA565" s="1017"/>
      <c r="AB565" s="1208"/>
      <c r="AC565" s="1208"/>
      <c r="AD565" s="1208"/>
      <c r="AE565" s="1208"/>
      <c r="AF565" s="1208"/>
      <c r="AG565" s="1018">
        <f>'09월 화학성분'!AM565</f>
        <v>2348</v>
      </c>
      <c r="AH565" s="1006">
        <f t="shared" si="115"/>
        <v>31</v>
      </c>
      <c r="AI565" s="1019">
        <v>1568</v>
      </c>
      <c r="AJ565" s="1020">
        <v>0</v>
      </c>
      <c r="AK565" s="1021">
        <v>476</v>
      </c>
      <c r="AL565" s="1022">
        <v>9</v>
      </c>
      <c r="AM565" s="1155">
        <f>IF(AT565="","",3*'09월 에너지'!S567*(1/(3+7.8*(100-AT565)/AT565)))</f>
        <v>0.72076612903225801</v>
      </c>
      <c r="AN565" s="1023">
        <v>0.14722222222222223</v>
      </c>
      <c r="AO565" s="1024"/>
      <c r="AP565" s="1025"/>
      <c r="AQ565" s="1025"/>
      <c r="AR565" s="1149" t="str">
        <f t="shared" si="116"/>
        <v/>
      </c>
      <c r="AS565" s="1093">
        <f t="shared" si="125"/>
        <v>13</v>
      </c>
      <c r="AT565" s="1156">
        <v>1.3</v>
      </c>
      <c r="AU565" s="449"/>
      <c r="AV565" s="1205"/>
    </row>
    <row r="566" spans="1:48" ht="16.5" customHeight="1">
      <c r="A566" s="1005">
        <f t="shared" si="117"/>
        <v>46286</v>
      </c>
      <c r="B566" s="1005">
        <f t="shared" si="126"/>
        <v>46286</v>
      </c>
      <c r="C566" s="1150">
        <f t="shared" si="118"/>
        <v>14</v>
      </c>
      <c r="D566" s="1150">
        <f t="shared" si="119"/>
        <v>555</v>
      </c>
      <c r="E566" s="1006" t="str">
        <f t="shared" si="127"/>
        <v>A</v>
      </c>
      <c r="F566" s="1007" t="str">
        <f t="shared" si="120"/>
        <v>A</v>
      </c>
      <c r="G566" s="1008">
        <f t="shared" si="121"/>
        <v>85768</v>
      </c>
      <c r="H566" s="1138">
        <f t="shared" si="122"/>
        <v>0.57569444444444451</v>
      </c>
      <c r="I566" s="1009">
        <v>0.57430555555555551</v>
      </c>
      <c r="J566" s="1010">
        <f t="shared" si="123"/>
        <v>45.999999999999837</v>
      </c>
      <c r="K566" s="1011"/>
      <c r="L566" s="1012">
        <v>3</v>
      </c>
      <c r="M566" s="1013"/>
      <c r="N566" s="1014" t="str">
        <f t="shared" si="124"/>
        <v/>
      </c>
      <c r="O566" s="1323" t="s">
        <v>925</v>
      </c>
      <c r="P566" s="1324"/>
      <c r="Q566" s="1324"/>
      <c r="R566" s="1324"/>
      <c r="S566" s="1324"/>
      <c r="T566" s="1325"/>
      <c r="U566" s="1015">
        <v>2</v>
      </c>
      <c r="V566" s="1015"/>
      <c r="W566" s="1015"/>
      <c r="X566" s="1015"/>
      <c r="Y566" s="1015">
        <v>2.4</v>
      </c>
      <c r="Z566" s="1016">
        <f>'09월 에너지'!S568</f>
        <v>144.5</v>
      </c>
      <c r="AA566" s="1017"/>
      <c r="AB566" s="1208"/>
      <c r="AC566" s="1208"/>
      <c r="AD566" s="1208"/>
      <c r="AE566" s="1208"/>
      <c r="AF566" s="1208"/>
      <c r="AG566" s="1018">
        <f>'09월 화학성분'!AM566</f>
        <v>2976</v>
      </c>
      <c r="AH566" s="1006">
        <f t="shared" si="115"/>
        <v>32</v>
      </c>
      <c r="AI566" s="1019">
        <v>1542</v>
      </c>
      <c r="AJ566" s="1020">
        <v>0</v>
      </c>
      <c r="AK566" s="1021">
        <v>502</v>
      </c>
      <c r="AL566" s="1022">
        <v>8</v>
      </c>
      <c r="AM566" s="1155">
        <f>IF(AT566="","",3*'09월 에너지'!S568*(1/(3+7.8*(100-AT566)/AT566)))</f>
        <v>0.72832661290322576</v>
      </c>
      <c r="AN566" s="1023">
        <v>0.13819444444444443</v>
      </c>
      <c r="AO566" s="1024"/>
      <c r="AP566" s="1025"/>
      <c r="AQ566" s="1025"/>
      <c r="AR566" s="1149">
        <f t="shared" si="116"/>
        <v>4</v>
      </c>
      <c r="AS566" s="1093" t="str">
        <f t="shared" si="125"/>
        <v xml:space="preserve"> </v>
      </c>
      <c r="AT566" s="1156">
        <v>1.3</v>
      </c>
      <c r="AU566" s="449"/>
      <c r="AV566" s="1205"/>
    </row>
    <row r="567" spans="1:48" ht="16.5" customHeight="1">
      <c r="A567" s="1005">
        <f t="shared" si="117"/>
        <v>46286</v>
      </c>
      <c r="B567" s="1005">
        <f t="shared" si="126"/>
        <v>46286</v>
      </c>
      <c r="C567" s="1150">
        <f t="shared" si="118"/>
        <v>15</v>
      </c>
      <c r="D567" s="1150">
        <f t="shared" si="119"/>
        <v>556</v>
      </c>
      <c r="E567" s="1006" t="str">
        <f t="shared" si="127"/>
        <v>A</v>
      </c>
      <c r="F567" s="1007" t="str">
        <f t="shared" si="120"/>
        <v>B</v>
      </c>
      <c r="G567" s="1008">
        <f t="shared" si="121"/>
        <v>85769</v>
      </c>
      <c r="H567" s="1138">
        <f t="shared" si="122"/>
        <v>0.60763888888888884</v>
      </c>
      <c r="I567" s="1009">
        <v>0.60972222222222217</v>
      </c>
      <c r="J567" s="1010">
        <f t="shared" si="123"/>
        <v>50.999999999999979</v>
      </c>
      <c r="K567" s="1011"/>
      <c r="L567" s="1012"/>
      <c r="M567" s="1013"/>
      <c r="N567" s="1014" t="str">
        <f t="shared" si="124"/>
        <v/>
      </c>
      <c r="O567" s="1323" t="s">
        <v>530</v>
      </c>
      <c r="P567" s="1324"/>
      <c r="Q567" s="1324"/>
      <c r="R567" s="1324"/>
      <c r="S567" s="1324"/>
      <c r="T567" s="1325"/>
      <c r="U567" s="1015">
        <v>2</v>
      </c>
      <c r="V567" s="1015">
        <v>2.7</v>
      </c>
      <c r="W567" s="1015">
        <v>1.2</v>
      </c>
      <c r="X567" s="1015"/>
      <c r="Y567" s="1015"/>
      <c r="Z567" s="1016">
        <f>'09월 에너지'!S569</f>
        <v>141.80000000000001</v>
      </c>
      <c r="AA567" s="1017">
        <v>2560</v>
      </c>
      <c r="AB567" s="1208" t="s">
        <v>551</v>
      </c>
      <c r="AC567" s="1208" t="s">
        <v>532</v>
      </c>
      <c r="AD567" s="1208"/>
      <c r="AE567" s="1208"/>
      <c r="AF567" s="1208" t="s">
        <v>532</v>
      </c>
      <c r="AG567" s="1018">
        <f>'09월 화학성분'!AM567</f>
        <v>2489</v>
      </c>
      <c r="AH567" s="1006">
        <f t="shared" si="115"/>
        <v>33</v>
      </c>
      <c r="AI567" s="1019">
        <v>1554</v>
      </c>
      <c r="AJ567" s="1020">
        <v>0</v>
      </c>
      <c r="AK567" s="1021">
        <v>301</v>
      </c>
      <c r="AL567" s="1022">
        <v>15</v>
      </c>
      <c r="AM567" s="1155">
        <f>IF(AT567="","",3*'09월 에너지'!S569*(1/(3+7.8*(100-AT567)/AT567)))</f>
        <v>1.4410569105691058</v>
      </c>
      <c r="AN567" s="1023">
        <v>0.19930555555555554</v>
      </c>
      <c r="AO567" s="1024"/>
      <c r="AP567" s="1025"/>
      <c r="AQ567" s="1025"/>
      <c r="AR567" s="1149" t="str">
        <f t="shared" si="116"/>
        <v/>
      </c>
      <c r="AS567" s="1093">
        <f t="shared" si="125"/>
        <v>14</v>
      </c>
      <c r="AT567" s="1156">
        <v>2.6</v>
      </c>
      <c r="AU567" s="449"/>
      <c r="AV567" s="1205"/>
    </row>
    <row r="568" spans="1:48" ht="16.5" customHeight="1">
      <c r="A568" s="1005">
        <f t="shared" si="117"/>
        <v>46286</v>
      </c>
      <c r="B568" s="1005">
        <f t="shared" si="126"/>
        <v>46286</v>
      </c>
      <c r="C568" s="1150">
        <f t="shared" si="118"/>
        <v>16</v>
      </c>
      <c r="D568" s="1150">
        <f t="shared" si="119"/>
        <v>557</v>
      </c>
      <c r="E568" s="1006" t="s">
        <v>582</v>
      </c>
      <c r="F568" s="1007" t="str">
        <f t="shared" si="120"/>
        <v>A</v>
      </c>
      <c r="G568" s="1008">
        <f t="shared" si="121"/>
        <v>85770</v>
      </c>
      <c r="H568" s="1138">
        <f t="shared" si="122"/>
        <v>0.64305555555555549</v>
      </c>
      <c r="I568" s="1009">
        <v>0.64097222222222217</v>
      </c>
      <c r="J568" s="1010">
        <f t="shared" si="123"/>
        <v>45</v>
      </c>
      <c r="K568" s="1011"/>
      <c r="L568" s="1012"/>
      <c r="M568" s="1013"/>
      <c r="N568" s="1014" t="str">
        <f t="shared" si="124"/>
        <v/>
      </c>
      <c r="O568" s="1323"/>
      <c r="P568" s="1324"/>
      <c r="Q568" s="1324"/>
      <c r="R568" s="1324"/>
      <c r="S568" s="1324"/>
      <c r="T568" s="1325"/>
      <c r="U568" s="1015">
        <v>2</v>
      </c>
      <c r="V568" s="1015">
        <v>2.8</v>
      </c>
      <c r="W568" s="1015">
        <v>1.3</v>
      </c>
      <c r="X568" s="1015"/>
      <c r="Y568" s="1015"/>
      <c r="Z568" s="1016">
        <f>'09월 에너지'!S570</f>
        <v>140.30000000000001</v>
      </c>
      <c r="AA568" s="1017"/>
      <c r="AB568" s="1208"/>
      <c r="AC568" s="1208"/>
      <c r="AD568" s="1208"/>
      <c r="AE568" s="1208"/>
      <c r="AF568" s="1208"/>
      <c r="AG568" s="1018">
        <f>'09월 화학성분'!AM568</f>
        <v>2057</v>
      </c>
      <c r="AH568" s="1006">
        <f t="shared" si="115"/>
        <v>34</v>
      </c>
      <c r="AI568" s="1019">
        <v>1528</v>
      </c>
      <c r="AJ568" s="1020">
        <v>0</v>
      </c>
      <c r="AK568" s="1021">
        <v>427</v>
      </c>
      <c r="AL568" s="1022">
        <v>10</v>
      </c>
      <c r="AM568" s="1155">
        <f>IF(AT568="","",3*'09월 에너지'!S570*(1/(3+7.8*(100-AT568)/AT568)))</f>
        <v>0.43382807668521955</v>
      </c>
      <c r="AN568" s="1023">
        <v>0.15694444444444444</v>
      </c>
      <c r="AO568" s="1024"/>
      <c r="AP568" s="1025"/>
      <c r="AQ568" s="1025"/>
      <c r="AR568" s="1149">
        <f t="shared" si="116"/>
        <v>5</v>
      </c>
      <c r="AS568" s="1093" t="str">
        <f t="shared" si="125"/>
        <v xml:space="preserve"> </v>
      </c>
      <c r="AT568" s="1156">
        <v>0.8</v>
      </c>
      <c r="AU568" s="449"/>
      <c r="AV568" s="1205"/>
    </row>
    <row r="569" spans="1:48" ht="16.5" customHeight="1">
      <c r="A569" s="1005">
        <f t="shared" si="117"/>
        <v>46286</v>
      </c>
      <c r="B569" s="1005">
        <f t="shared" si="126"/>
        <v>46286</v>
      </c>
      <c r="C569" s="1150">
        <f t="shared" si="118"/>
        <v>17</v>
      </c>
      <c r="D569" s="1150">
        <f t="shared" si="119"/>
        <v>558</v>
      </c>
      <c r="E569" s="1006" t="str">
        <f t="shared" si="127"/>
        <v>C</v>
      </c>
      <c r="F569" s="1007" t="str">
        <f t="shared" si="120"/>
        <v>B</v>
      </c>
      <c r="G569" s="1008">
        <f t="shared" si="121"/>
        <v>85771</v>
      </c>
      <c r="H569" s="1138">
        <f t="shared" si="122"/>
        <v>0.67430555555555549</v>
      </c>
      <c r="I569" s="1009">
        <v>0.6743055555555556</v>
      </c>
      <c r="J569" s="1010">
        <f t="shared" si="123"/>
        <v>48.000000000000149</v>
      </c>
      <c r="K569" s="1011"/>
      <c r="L569" s="1012"/>
      <c r="M569" s="1013"/>
      <c r="N569" s="1014" t="str">
        <f t="shared" si="124"/>
        <v/>
      </c>
      <c r="O569" s="1323" t="s">
        <v>926</v>
      </c>
      <c r="P569" s="1324"/>
      <c r="Q569" s="1324"/>
      <c r="R569" s="1324"/>
      <c r="S569" s="1324"/>
      <c r="T569" s="1325"/>
      <c r="U569" s="1015">
        <v>2</v>
      </c>
      <c r="V569" s="1015"/>
      <c r="W569" s="1015"/>
      <c r="X569" s="1015"/>
      <c r="Y569" s="1015">
        <v>3</v>
      </c>
      <c r="Z569" s="1016">
        <f>'09월 에너지'!S571</f>
        <v>142.9</v>
      </c>
      <c r="AA569" s="1017"/>
      <c r="AB569" s="1208"/>
      <c r="AC569" s="1208"/>
      <c r="AD569" s="1208"/>
      <c r="AE569" s="1208"/>
      <c r="AF569" s="1208"/>
      <c r="AG569" s="1018">
        <f>'09월 화학성분'!AM569</f>
        <v>2185</v>
      </c>
      <c r="AH569" s="1006">
        <f t="shared" si="115"/>
        <v>35</v>
      </c>
      <c r="AI569" s="1019">
        <v>1516</v>
      </c>
      <c r="AJ569" s="1020">
        <v>0</v>
      </c>
      <c r="AK569" s="1021" t="s">
        <v>563</v>
      </c>
      <c r="AL569" s="1022" t="s">
        <v>563</v>
      </c>
      <c r="AM569" s="1155">
        <f>IF(AT569="","",3*'09월 에너지'!S571*(1/(3+7.8*(100-AT569)/AT569)))</f>
        <v>1.0003889234598631</v>
      </c>
      <c r="AN569" s="1023">
        <v>0.16944444444444443</v>
      </c>
      <c r="AO569" s="1024"/>
      <c r="AP569" s="1025"/>
      <c r="AQ569" s="1025"/>
      <c r="AR569" s="1149" t="str">
        <f t="shared" si="116"/>
        <v/>
      </c>
      <c r="AS569" s="1093">
        <f t="shared" si="125"/>
        <v>15</v>
      </c>
      <c r="AT569" s="1156">
        <v>1.8</v>
      </c>
      <c r="AU569" s="449"/>
      <c r="AV569" s="1205"/>
    </row>
    <row r="570" spans="1:48" ht="17.25" customHeight="1">
      <c r="A570" s="1005">
        <f t="shared" si="117"/>
        <v>46286</v>
      </c>
      <c r="B570" s="1005">
        <f t="shared" si="126"/>
        <v>46286</v>
      </c>
      <c r="C570" s="1150">
        <f t="shared" si="118"/>
        <v>18</v>
      </c>
      <c r="D570" s="1150">
        <f t="shared" si="119"/>
        <v>559</v>
      </c>
      <c r="E570" s="1006" t="str">
        <f t="shared" si="127"/>
        <v>C</v>
      </c>
      <c r="F570" s="1007" t="str">
        <f t="shared" si="120"/>
        <v>A</v>
      </c>
      <c r="G570" s="1008">
        <f t="shared" si="121"/>
        <v>85772</v>
      </c>
      <c r="H570" s="1138">
        <f t="shared" si="122"/>
        <v>0.70763888888888893</v>
      </c>
      <c r="I570" s="1009">
        <v>0.7104166666666667</v>
      </c>
      <c r="J570" s="1010">
        <f t="shared" si="123"/>
        <v>51.999999999999972</v>
      </c>
      <c r="K570" s="1011"/>
      <c r="L570" s="1012">
        <v>2</v>
      </c>
      <c r="M570" s="1013"/>
      <c r="N570" s="1014" t="str">
        <f t="shared" si="124"/>
        <v/>
      </c>
      <c r="O570" s="1323" t="s">
        <v>927</v>
      </c>
      <c r="P570" s="1324"/>
      <c r="Q570" s="1324"/>
      <c r="R570" s="1324"/>
      <c r="S570" s="1324"/>
      <c r="T570" s="1325"/>
      <c r="U570" s="1015">
        <v>2</v>
      </c>
      <c r="V570" s="1015"/>
      <c r="W570" s="1015"/>
      <c r="X570" s="1015"/>
      <c r="Y570" s="1015">
        <v>2.7</v>
      </c>
      <c r="Z570" s="1016">
        <f>'09월 에너지'!S572</f>
        <v>144.9</v>
      </c>
      <c r="AA570" s="1017"/>
      <c r="AB570" s="1208"/>
      <c r="AC570" s="1208"/>
      <c r="AD570" s="1208"/>
      <c r="AE570" s="1208"/>
      <c r="AF570" s="1208"/>
      <c r="AG570" s="1018">
        <f>'09월 화학성분'!AM570</f>
        <v>2788</v>
      </c>
      <c r="AH570" s="1006">
        <f t="shared" si="115"/>
        <v>36</v>
      </c>
      <c r="AI570" s="1019">
        <v>1575</v>
      </c>
      <c r="AJ570" s="1020">
        <v>0</v>
      </c>
      <c r="AK570" s="1021">
        <v>614</v>
      </c>
      <c r="AL570" s="1022">
        <v>6</v>
      </c>
      <c r="AM570" s="1155">
        <f>IF(AT570="","",3*'09월 에너지'!S572*(1/(3+7.8*(100-AT570)/AT570)))</f>
        <v>0.90055935363579864</v>
      </c>
      <c r="AN570" s="1023">
        <v>0.1277777777777778</v>
      </c>
      <c r="AO570" s="1024"/>
      <c r="AP570" s="1025"/>
      <c r="AQ570" s="1025"/>
      <c r="AR570" s="1149">
        <f t="shared" si="116"/>
        <v>6</v>
      </c>
      <c r="AS570" s="1093" t="str">
        <f t="shared" si="125"/>
        <v xml:space="preserve"> </v>
      </c>
      <c r="AT570" s="1156">
        <v>1.6</v>
      </c>
      <c r="AU570" s="449"/>
      <c r="AV570" s="1205"/>
    </row>
    <row r="571" spans="1:48" ht="16.5" customHeight="1">
      <c r="A571" s="1005">
        <f t="shared" si="117"/>
        <v>46286</v>
      </c>
      <c r="B571" s="1005">
        <f t="shared" si="126"/>
        <v>46286</v>
      </c>
      <c r="C571" s="1150">
        <f t="shared" si="118"/>
        <v>19</v>
      </c>
      <c r="D571" s="1150">
        <f t="shared" si="119"/>
        <v>560</v>
      </c>
      <c r="E571" s="1006" t="str">
        <f t="shared" si="127"/>
        <v>C</v>
      </c>
      <c r="F571" s="1007" t="str">
        <f t="shared" si="120"/>
        <v>B</v>
      </c>
      <c r="G571" s="1008">
        <f t="shared" si="121"/>
        <v>85773</v>
      </c>
      <c r="H571" s="1138">
        <f t="shared" si="122"/>
        <v>0.74375000000000002</v>
      </c>
      <c r="I571" s="1009">
        <v>0.74305555555555547</v>
      </c>
      <c r="J571" s="1010">
        <f t="shared" si="123"/>
        <v>46.999999999999829</v>
      </c>
      <c r="K571" s="1011"/>
      <c r="L571" s="1012"/>
      <c r="M571" s="1013"/>
      <c r="N571" s="1014" t="str">
        <f t="shared" si="124"/>
        <v/>
      </c>
      <c r="O571" s="1323"/>
      <c r="P571" s="1324"/>
      <c r="Q571" s="1324"/>
      <c r="R571" s="1324"/>
      <c r="S571" s="1324"/>
      <c r="T571" s="1325"/>
      <c r="U571" s="1015">
        <v>2</v>
      </c>
      <c r="V571" s="1015">
        <v>2.8</v>
      </c>
      <c r="W571" s="1015">
        <v>1.4</v>
      </c>
      <c r="X571" s="1015"/>
      <c r="Y571" s="1015"/>
      <c r="Z571" s="1016">
        <f>'09월 에너지'!S573</f>
        <v>141.80000000000001</v>
      </c>
      <c r="AA571" s="1017"/>
      <c r="AB571" s="1208"/>
      <c r="AC571" s="1208"/>
      <c r="AD571" s="1208"/>
      <c r="AE571" s="1208"/>
      <c r="AF571" s="1208"/>
      <c r="AG571" s="1018">
        <f>'09월 화학성분'!AM571</f>
        <v>1267</v>
      </c>
      <c r="AH571" s="1006">
        <f t="shared" si="115"/>
        <v>37</v>
      </c>
      <c r="AI571" s="1019">
        <v>1572</v>
      </c>
      <c r="AJ571" s="1020">
        <v>69</v>
      </c>
      <c r="AK571" s="1021">
        <v>486</v>
      </c>
      <c r="AL571" s="1022">
        <v>9</v>
      </c>
      <c r="AM571" s="1155">
        <f>IF(AT571="","",3*'09월 에너지'!S573*(1/(3+7.8*(100-AT571)/AT571)))</f>
        <v>0.99268823895457381</v>
      </c>
      <c r="AN571" s="1023">
        <v>0.12916666666666668</v>
      </c>
      <c r="AO571" s="1024"/>
      <c r="AP571" s="1025"/>
      <c r="AQ571" s="1025"/>
      <c r="AR571" s="1149" t="str">
        <f t="shared" si="116"/>
        <v/>
      </c>
      <c r="AS571" s="1093">
        <f t="shared" si="125"/>
        <v>16</v>
      </c>
      <c r="AT571" s="1156">
        <v>1.8</v>
      </c>
      <c r="AU571" s="449"/>
      <c r="AV571" s="1205" t="s">
        <v>553</v>
      </c>
    </row>
    <row r="572" spans="1:48" ht="16.5" customHeight="1">
      <c r="A572" s="1005">
        <f t="shared" si="117"/>
        <v>46286</v>
      </c>
      <c r="B572" s="1005">
        <f t="shared" si="126"/>
        <v>46286</v>
      </c>
      <c r="C572" s="1150">
        <f t="shared" si="118"/>
        <v>20</v>
      </c>
      <c r="D572" s="1150">
        <f t="shared" si="119"/>
        <v>561</v>
      </c>
      <c r="E572" s="1006" t="str">
        <f t="shared" si="127"/>
        <v>C</v>
      </c>
      <c r="F572" s="1007" t="str">
        <f t="shared" si="120"/>
        <v>A</v>
      </c>
      <c r="G572" s="1008">
        <f t="shared" si="121"/>
        <v>85774</v>
      </c>
      <c r="H572" s="1138">
        <f t="shared" si="122"/>
        <v>0.7763888888888888</v>
      </c>
      <c r="I572" s="1009">
        <v>0.77777777777777779</v>
      </c>
      <c r="J572" s="1010">
        <f t="shared" si="123"/>
        <v>50.000000000000142</v>
      </c>
      <c r="K572" s="1011"/>
      <c r="L572" s="1012"/>
      <c r="M572" s="1013"/>
      <c r="N572" s="1014" t="str">
        <f t="shared" si="124"/>
        <v/>
      </c>
      <c r="O572" s="1323"/>
      <c r="P572" s="1324"/>
      <c r="Q572" s="1324"/>
      <c r="R572" s="1324"/>
      <c r="S572" s="1324"/>
      <c r="T572" s="1325"/>
      <c r="U572" s="1015">
        <v>2</v>
      </c>
      <c r="V572" s="1015">
        <v>2.6</v>
      </c>
      <c r="W572" s="1015">
        <v>1.5</v>
      </c>
      <c r="X572" s="1015"/>
      <c r="Y572" s="1015"/>
      <c r="Z572" s="1016">
        <f>'09월 에너지'!S574</f>
        <v>146.80000000000001</v>
      </c>
      <c r="AA572" s="1017"/>
      <c r="AB572" s="1208"/>
      <c r="AC572" s="1208"/>
      <c r="AD572" s="1208"/>
      <c r="AE572" s="1208"/>
      <c r="AF572" s="1208"/>
      <c r="AG572" s="1018">
        <f>'09월 화학성분'!AM572</f>
        <v>3495</v>
      </c>
      <c r="AH572" s="1006">
        <f t="shared" si="115"/>
        <v>38</v>
      </c>
      <c r="AI572" s="1019">
        <v>1564</v>
      </c>
      <c r="AJ572" s="1020">
        <v>61</v>
      </c>
      <c r="AK572" s="1021">
        <v>536</v>
      </c>
      <c r="AL572" s="1022">
        <v>8</v>
      </c>
      <c r="AM572" s="1155">
        <f>IF(AT572="","",3*'09월 에너지'!S574*(1/(3+7.8*(100-AT572)/AT572)))</f>
        <v>1.7257053291536051</v>
      </c>
      <c r="AN572" s="1023">
        <v>0.12361111111111112</v>
      </c>
      <c r="AO572" s="1024"/>
      <c r="AP572" s="1025"/>
      <c r="AQ572" s="1025"/>
      <c r="AR572" s="1149">
        <f t="shared" si="116"/>
        <v>7</v>
      </c>
      <c r="AS572" s="1093" t="str">
        <f t="shared" si="125"/>
        <v xml:space="preserve"> </v>
      </c>
      <c r="AT572" s="1156">
        <v>3</v>
      </c>
      <c r="AU572" s="449"/>
      <c r="AV572" s="1205"/>
    </row>
    <row r="573" spans="1:48" ht="16.5" customHeight="1">
      <c r="A573" s="1005">
        <f t="shared" si="117"/>
        <v>46286</v>
      </c>
      <c r="B573" s="1005">
        <f t="shared" si="126"/>
        <v>46286</v>
      </c>
      <c r="C573" s="1150">
        <f t="shared" si="118"/>
        <v>21</v>
      </c>
      <c r="D573" s="1150">
        <f t="shared" si="119"/>
        <v>562</v>
      </c>
      <c r="E573" s="1006" t="str">
        <f t="shared" si="127"/>
        <v>C</v>
      </c>
      <c r="F573" s="1007" t="str">
        <f t="shared" si="120"/>
        <v>B</v>
      </c>
      <c r="G573" s="1008">
        <f t="shared" si="121"/>
        <v>85775</v>
      </c>
      <c r="H573" s="1138">
        <f t="shared" si="122"/>
        <v>0.81111111111111112</v>
      </c>
      <c r="I573" s="1009">
        <v>0.81388888888888899</v>
      </c>
      <c r="J573" s="1010">
        <f t="shared" si="123"/>
        <v>52.000000000000135</v>
      </c>
      <c r="K573" s="1011"/>
      <c r="L573" s="1012"/>
      <c r="M573" s="1013"/>
      <c r="N573" s="1014" t="str">
        <f t="shared" si="124"/>
        <v/>
      </c>
      <c r="O573" s="1323" t="s">
        <v>856</v>
      </c>
      <c r="P573" s="1324"/>
      <c r="Q573" s="1324"/>
      <c r="R573" s="1324"/>
      <c r="S573" s="1324"/>
      <c r="T573" s="1325"/>
      <c r="U573" s="1015">
        <v>2</v>
      </c>
      <c r="V573" s="1015"/>
      <c r="W573" s="1015"/>
      <c r="X573" s="1015"/>
      <c r="Y573" s="1015">
        <v>2.2999999999999998</v>
      </c>
      <c r="Z573" s="1016">
        <f>'09월 에너지'!S575</f>
        <v>138.9</v>
      </c>
      <c r="AA573" s="1017">
        <v>2467</v>
      </c>
      <c r="AB573" s="1208" t="s">
        <v>573</v>
      </c>
      <c r="AC573" s="1208" t="s">
        <v>548</v>
      </c>
      <c r="AD573" s="1208"/>
      <c r="AE573" s="1208"/>
      <c r="AF573" s="1208" t="s">
        <v>548</v>
      </c>
      <c r="AG573" s="1018">
        <f>'09월 화학성분'!AM573</f>
        <v>2505</v>
      </c>
      <c r="AH573" s="1006">
        <f t="shared" si="115"/>
        <v>39</v>
      </c>
      <c r="AI573" s="1019">
        <v>1544</v>
      </c>
      <c r="AJ573" s="1020">
        <v>68</v>
      </c>
      <c r="AK573" s="1021">
        <v>570</v>
      </c>
      <c r="AL573" s="1022">
        <v>7</v>
      </c>
      <c r="AM573" s="1155">
        <f>IF(AT573="","",3*'09월 에너지'!S575*(1/(3+7.8*(100-AT573)/AT573)))</f>
        <v>1.2463717228464419</v>
      </c>
      <c r="AN573" s="1023">
        <v>0.31805555555555554</v>
      </c>
      <c r="AO573" s="1024" t="s">
        <v>538</v>
      </c>
      <c r="AP573" s="1025">
        <v>2000116</v>
      </c>
      <c r="AQ573" s="1025">
        <v>2090</v>
      </c>
      <c r="AR573" s="1149" t="str">
        <f t="shared" si="116"/>
        <v/>
      </c>
      <c r="AS573" s="1093">
        <v>1</v>
      </c>
      <c r="AT573" s="1156">
        <v>2.2999999999999998</v>
      </c>
      <c r="AU573" s="449"/>
      <c r="AV573" s="1205"/>
    </row>
    <row r="574" spans="1:48" ht="16.5" customHeight="1">
      <c r="A574" s="1005">
        <f t="shared" si="117"/>
        <v>46286</v>
      </c>
      <c r="B574" s="1005">
        <f t="shared" si="126"/>
        <v>46286</v>
      </c>
      <c r="C574" s="1150">
        <f t="shared" si="118"/>
        <v>22</v>
      </c>
      <c r="D574" s="1150">
        <f t="shared" si="119"/>
        <v>563</v>
      </c>
      <c r="E574" s="1006" t="str">
        <f t="shared" si="127"/>
        <v>C</v>
      </c>
      <c r="F574" s="1007" t="str">
        <f t="shared" si="120"/>
        <v>A</v>
      </c>
      <c r="G574" s="1008">
        <f t="shared" si="121"/>
        <v>85776</v>
      </c>
      <c r="H574" s="1138">
        <f t="shared" si="122"/>
        <v>0.84722222222222232</v>
      </c>
      <c r="I574" s="1009">
        <v>0.85486111111111107</v>
      </c>
      <c r="J574" s="1010">
        <f t="shared" si="123"/>
        <v>58.999999999999787</v>
      </c>
      <c r="K574" s="1011"/>
      <c r="L574" s="1012">
        <v>4</v>
      </c>
      <c r="M574" s="1013"/>
      <c r="N574" s="1014" t="str">
        <f t="shared" si="124"/>
        <v/>
      </c>
      <c r="O574" s="1323" t="s">
        <v>928</v>
      </c>
      <c r="P574" s="1324"/>
      <c r="Q574" s="1324"/>
      <c r="R574" s="1324"/>
      <c r="S574" s="1324"/>
      <c r="T574" s="1325"/>
      <c r="U574" s="1015">
        <v>2</v>
      </c>
      <c r="V574" s="1015"/>
      <c r="W574" s="1015"/>
      <c r="X574" s="1015"/>
      <c r="Y574" s="1015">
        <v>2.5</v>
      </c>
      <c r="Z574" s="1016">
        <f>'09월 에너지'!S576</f>
        <v>146.9</v>
      </c>
      <c r="AA574" s="1017">
        <v>2692</v>
      </c>
      <c r="AB574" s="1208" t="s">
        <v>573</v>
      </c>
      <c r="AC574" s="1208" t="s">
        <v>548</v>
      </c>
      <c r="AD574" s="1208"/>
      <c r="AE574" s="1208"/>
      <c r="AF574" s="1208" t="s">
        <v>548</v>
      </c>
      <c r="AG574" s="1018">
        <f>'09월 화학성분'!AM574</f>
        <v>3063</v>
      </c>
      <c r="AH574" s="1006">
        <f t="shared" si="115"/>
        <v>40</v>
      </c>
      <c r="AI574" s="1019">
        <v>1588</v>
      </c>
      <c r="AJ574" s="1020">
        <v>26</v>
      </c>
      <c r="AK574" s="1021">
        <v>518</v>
      </c>
      <c r="AL574" s="1022">
        <v>8</v>
      </c>
      <c r="AM574" s="1155">
        <f>IF(AT574="","",3*'09월 에너지'!S576*(1/(3+7.8*(100-AT574)/AT574)))</f>
        <v>1.903148555276382</v>
      </c>
      <c r="AN574" s="1023">
        <v>0.11666666666666665</v>
      </c>
      <c r="AO574" s="1024"/>
      <c r="AP574" s="1025"/>
      <c r="AQ574" s="1025"/>
      <c r="AR574" s="1149">
        <f t="shared" si="116"/>
        <v>8</v>
      </c>
      <c r="AS574" s="1093" t="str">
        <f t="shared" si="125"/>
        <v xml:space="preserve"> </v>
      </c>
      <c r="AT574" s="1156">
        <v>3.3</v>
      </c>
      <c r="AU574" s="449"/>
      <c r="AV574" s="1205"/>
    </row>
    <row r="575" spans="1:48" ht="16.5" customHeight="1">
      <c r="A575" s="1005">
        <f t="shared" si="117"/>
        <v>46286</v>
      </c>
      <c r="B575" s="1005">
        <f t="shared" si="126"/>
        <v>46286</v>
      </c>
      <c r="C575" s="1150">
        <f t="shared" si="118"/>
        <v>23</v>
      </c>
      <c r="D575" s="1150">
        <f t="shared" si="119"/>
        <v>564</v>
      </c>
      <c r="E575" s="1006" t="str">
        <f t="shared" si="127"/>
        <v>C</v>
      </c>
      <c r="F575" s="1007" t="str">
        <f t="shared" si="120"/>
        <v>B</v>
      </c>
      <c r="G575" s="1008">
        <f t="shared" si="121"/>
        <v>85777</v>
      </c>
      <c r="H575" s="1138">
        <f t="shared" si="122"/>
        <v>0.8881944444444444</v>
      </c>
      <c r="I575" s="1009">
        <v>0.88958333333333339</v>
      </c>
      <c r="J575" s="1010">
        <f t="shared" si="123"/>
        <v>50.000000000000142</v>
      </c>
      <c r="K575" s="1011"/>
      <c r="L575" s="1012">
        <v>7</v>
      </c>
      <c r="M575" s="1013"/>
      <c r="N575" s="1014" t="str">
        <f t="shared" si="124"/>
        <v/>
      </c>
      <c r="O575" s="1323" t="s">
        <v>929</v>
      </c>
      <c r="P575" s="1324"/>
      <c r="Q575" s="1324"/>
      <c r="R575" s="1324"/>
      <c r="S575" s="1324"/>
      <c r="T575" s="1325"/>
      <c r="U575" s="1015">
        <v>2</v>
      </c>
      <c r="V575" s="1015"/>
      <c r="W575" s="1015"/>
      <c r="X575" s="1015">
        <v>3.2</v>
      </c>
      <c r="Y575" s="1015"/>
      <c r="Z575" s="1016">
        <f>'09월 에너지'!S577</f>
        <v>144.80000000000001</v>
      </c>
      <c r="AA575" s="1017"/>
      <c r="AB575" s="1208"/>
      <c r="AC575" s="1208"/>
      <c r="AD575" s="1208"/>
      <c r="AE575" s="1208"/>
      <c r="AF575" s="1208"/>
      <c r="AG575" s="1018">
        <f>'09월 화학성분'!AM575</f>
        <v>1905</v>
      </c>
      <c r="AH575" s="1006">
        <f t="shared" si="115"/>
        <v>41</v>
      </c>
      <c r="AI575" s="1019">
        <v>1546</v>
      </c>
      <c r="AJ575" s="1020">
        <v>0</v>
      </c>
      <c r="AK575" s="1021">
        <v>272</v>
      </c>
      <c r="AL575" s="1022">
        <v>17</v>
      </c>
      <c r="AM575" s="1155">
        <f>IF(AT575="","",3*'09월 에너지'!S577*(1/(3+7.8*(100-AT575)/AT575)))</f>
        <v>1.013690105787181</v>
      </c>
      <c r="AN575" s="1023">
        <v>0.12708333333333333</v>
      </c>
      <c r="AO575" s="1024"/>
      <c r="AP575" s="1025"/>
      <c r="AQ575" s="1025"/>
      <c r="AR575" s="1149" t="str">
        <f t="shared" si="116"/>
        <v/>
      </c>
      <c r="AS575" s="1093">
        <f t="shared" si="125"/>
        <v>2</v>
      </c>
      <c r="AT575" s="1156">
        <v>1.8</v>
      </c>
      <c r="AU575" s="449"/>
      <c r="AV575" s="1205"/>
    </row>
    <row r="576" spans="1:48" ht="16.5" customHeight="1">
      <c r="A576" s="1005">
        <f t="shared" si="117"/>
        <v>46286</v>
      </c>
      <c r="B576" s="1005">
        <f t="shared" si="126"/>
        <v>46286</v>
      </c>
      <c r="C576" s="1150">
        <f t="shared" si="118"/>
        <v>24</v>
      </c>
      <c r="D576" s="1150">
        <f t="shared" si="119"/>
        <v>565</v>
      </c>
      <c r="E576" s="1006" t="str">
        <f t="shared" si="127"/>
        <v>C</v>
      </c>
      <c r="F576" s="1007" t="str">
        <f t="shared" si="120"/>
        <v>A</v>
      </c>
      <c r="G576" s="1008">
        <f t="shared" si="121"/>
        <v>85778</v>
      </c>
      <c r="H576" s="1138">
        <f t="shared" si="122"/>
        <v>0.92291666666666672</v>
      </c>
      <c r="I576" s="1009">
        <v>0.91666666666666663</v>
      </c>
      <c r="J576" s="1010">
        <f t="shared" si="123"/>
        <v>38.999999999999858</v>
      </c>
      <c r="K576" s="1011"/>
      <c r="L576" s="1012"/>
      <c r="M576" s="1013"/>
      <c r="N576" s="1014" t="str">
        <f t="shared" si="124"/>
        <v/>
      </c>
      <c r="O576" s="1323"/>
      <c r="P576" s="1324"/>
      <c r="Q576" s="1324"/>
      <c r="R576" s="1324"/>
      <c r="S576" s="1324"/>
      <c r="T576" s="1325"/>
      <c r="U576" s="1015">
        <v>2</v>
      </c>
      <c r="V576" s="1015"/>
      <c r="W576" s="1015"/>
      <c r="X576" s="1015"/>
      <c r="Y576" s="1015">
        <v>2.4</v>
      </c>
      <c r="Z576" s="1016">
        <f>'09월 에너지'!S578</f>
        <v>144.19999999999999</v>
      </c>
      <c r="AA576" s="1017"/>
      <c r="AB576" s="1208"/>
      <c r="AC576" s="1208"/>
      <c r="AD576" s="1208"/>
      <c r="AE576" s="1208"/>
      <c r="AF576" s="1208"/>
      <c r="AG576" s="1018">
        <f>'09월 화학성분'!AM576</f>
        <v>1700</v>
      </c>
      <c r="AH576" s="1006">
        <f t="shared" si="115"/>
        <v>42</v>
      </c>
      <c r="AI576" s="1019">
        <v>1555</v>
      </c>
      <c r="AJ576" s="1020">
        <v>0</v>
      </c>
      <c r="AK576" s="1021">
        <v>328</v>
      </c>
      <c r="AL576" s="1022">
        <v>14</v>
      </c>
      <c r="AM576" s="1155">
        <f>IF(AT576="","",3*'09월 에너지'!S578*(1/(3+7.8*(100-AT576)/AT576)))</f>
        <v>1.4654471544715446</v>
      </c>
      <c r="AN576" s="1023">
        <v>0.12291666666666667</v>
      </c>
      <c r="AO576" s="1024"/>
      <c r="AP576" s="1025"/>
      <c r="AQ576" s="1025"/>
      <c r="AR576" s="1149">
        <f t="shared" si="116"/>
        <v>9</v>
      </c>
      <c r="AS576" s="1093" t="str">
        <f t="shared" si="125"/>
        <v xml:space="preserve"> </v>
      </c>
      <c r="AT576" s="1156">
        <v>2.6</v>
      </c>
      <c r="AU576" s="449"/>
      <c r="AV576" s="1205"/>
    </row>
    <row r="577" spans="1:48" ht="16.5" customHeight="1">
      <c r="A577" s="1005">
        <f t="shared" si="117"/>
        <v>46286</v>
      </c>
      <c r="B577" s="1005">
        <f t="shared" si="126"/>
        <v>46286</v>
      </c>
      <c r="C577" s="1150">
        <f t="shared" si="118"/>
        <v>25</v>
      </c>
      <c r="D577" s="1150">
        <f t="shared" si="119"/>
        <v>566</v>
      </c>
      <c r="E577" s="1006" t="s">
        <v>930</v>
      </c>
      <c r="F577" s="1007" t="str">
        <f t="shared" si="120"/>
        <v>B</v>
      </c>
      <c r="G577" s="1008">
        <f t="shared" si="121"/>
        <v>85779</v>
      </c>
      <c r="H577" s="1138">
        <f t="shared" si="122"/>
        <v>0.95</v>
      </c>
      <c r="I577" s="1009">
        <v>0.95000000000000007</v>
      </c>
      <c r="J577" s="1010">
        <f t="shared" si="123"/>
        <v>48.000000000000149</v>
      </c>
      <c r="K577" s="1011"/>
      <c r="L577" s="1012">
        <v>2</v>
      </c>
      <c r="M577" s="1013"/>
      <c r="N577" s="1014" t="str">
        <f t="shared" si="124"/>
        <v/>
      </c>
      <c r="O577" s="1332" t="s">
        <v>727</v>
      </c>
      <c r="P577" s="1333"/>
      <c r="Q577" s="1333"/>
      <c r="R577" s="1333"/>
      <c r="S577" s="1333"/>
      <c r="T577" s="1334"/>
      <c r="U577" s="1015">
        <v>2</v>
      </c>
      <c r="V577" s="1015"/>
      <c r="W577" s="1015"/>
      <c r="X577" s="1015"/>
      <c r="Y577" s="1015">
        <v>2.6</v>
      </c>
      <c r="Z577" s="1016">
        <f>'09월 에너지'!S579</f>
        <v>145.19999999999999</v>
      </c>
      <c r="AA577" s="1017"/>
      <c r="AB577" s="1208"/>
      <c r="AC577" s="1208"/>
      <c r="AD577" s="1208"/>
      <c r="AE577" s="1208"/>
      <c r="AF577" s="1208"/>
      <c r="AG577" s="1018">
        <f>'09월 화학성분'!AM577</f>
        <v>774</v>
      </c>
      <c r="AH577" s="1006">
        <f t="shared" si="115"/>
        <v>43</v>
      </c>
      <c r="AI577" s="1019">
        <v>1571</v>
      </c>
      <c r="AJ577" s="1020">
        <v>26</v>
      </c>
      <c r="AK577" s="1021">
        <v>464</v>
      </c>
      <c r="AL577" s="1022">
        <v>9</v>
      </c>
      <c r="AM577" s="1155">
        <f>IF(AT577="","",3*'09월 에너지'!S579*(1/(3+7.8*(100-AT577)/AT577)))</f>
        <v>1.7648996235884566</v>
      </c>
      <c r="AN577" s="1023">
        <v>0.1173611111111111</v>
      </c>
      <c r="AO577" s="1024"/>
      <c r="AP577" s="1025"/>
      <c r="AQ577" s="1025"/>
      <c r="AR577" s="1149" t="str">
        <f t="shared" si="116"/>
        <v/>
      </c>
      <c r="AS577" s="1093">
        <f t="shared" si="125"/>
        <v>3</v>
      </c>
      <c r="AT577" s="1156">
        <v>3.1</v>
      </c>
      <c r="AU577" s="449"/>
      <c r="AV577" s="1205"/>
    </row>
    <row r="578" spans="1:48" ht="16.5" customHeight="1">
      <c r="A578" s="1005">
        <f t="shared" si="117"/>
        <v>46286</v>
      </c>
      <c r="B578" s="1005">
        <f t="shared" si="126"/>
        <v>46286</v>
      </c>
      <c r="C578" s="1150">
        <f t="shared" si="118"/>
        <v>26</v>
      </c>
      <c r="D578" s="1150">
        <f t="shared" si="119"/>
        <v>567</v>
      </c>
      <c r="E578" s="1006" t="str">
        <f t="shared" si="127"/>
        <v>D</v>
      </c>
      <c r="F578" s="1007" t="str">
        <f t="shared" si="120"/>
        <v>A</v>
      </c>
      <c r="G578" s="1008">
        <f t="shared" si="121"/>
        <v>85780</v>
      </c>
      <c r="H578" s="1138">
        <f t="shared" si="122"/>
        <v>0.98333333333333339</v>
      </c>
      <c r="I578" s="1009">
        <v>0.98125000000000007</v>
      </c>
      <c r="J578" s="1010">
        <f t="shared" si="123"/>
        <v>45</v>
      </c>
      <c r="K578" s="1011"/>
      <c r="L578" s="1012"/>
      <c r="M578" s="1013"/>
      <c r="N578" s="1014" t="str">
        <f t="shared" si="124"/>
        <v/>
      </c>
      <c r="O578" s="1332"/>
      <c r="P578" s="1333"/>
      <c r="Q578" s="1333"/>
      <c r="R578" s="1333"/>
      <c r="S578" s="1333"/>
      <c r="T578" s="1334"/>
      <c r="U578" s="1015">
        <v>2</v>
      </c>
      <c r="V578" s="1015"/>
      <c r="W578" s="1015"/>
      <c r="X578" s="1015"/>
      <c r="Y578" s="1015">
        <v>2.5</v>
      </c>
      <c r="Z578" s="1016">
        <f>'09월 에너지'!S580</f>
        <v>144.30000000000001</v>
      </c>
      <c r="AA578" s="1017"/>
      <c r="AB578" s="1208"/>
      <c r="AC578" s="1208"/>
      <c r="AD578" s="1208"/>
      <c r="AE578" s="1208"/>
      <c r="AF578" s="1208"/>
      <c r="AG578" s="1018">
        <f>'09월 화학성분'!AM578</f>
        <v>1225</v>
      </c>
      <c r="AH578" s="1006">
        <f t="shared" si="115"/>
        <v>44</v>
      </c>
      <c r="AI578" s="1019">
        <v>1587</v>
      </c>
      <c r="AJ578" s="1020">
        <v>53</v>
      </c>
      <c r="AK578" s="1021">
        <v>354</v>
      </c>
      <c r="AL578" s="1022">
        <v>13</v>
      </c>
      <c r="AM578" s="1155">
        <f>IF(AT578="","",3*'09월 에너지'!S580*(1/(3+7.8*(100-AT578)/AT578)))</f>
        <v>1.63874530075188</v>
      </c>
      <c r="AN578" s="1023">
        <v>0.15</v>
      </c>
      <c r="AO578" s="1024"/>
      <c r="AP578" s="1025"/>
      <c r="AQ578" s="1025"/>
      <c r="AR578" s="1149">
        <f t="shared" si="116"/>
        <v>10</v>
      </c>
      <c r="AS578" s="1093" t="str">
        <f t="shared" si="125"/>
        <v xml:space="preserve"> </v>
      </c>
      <c r="AT578" s="1156">
        <v>2.9</v>
      </c>
      <c r="AU578" s="449"/>
      <c r="AV578" s="1205"/>
    </row>
    <row r="579" spans="1:48" ht="17.100000000000001" customHeight="1">
      <c r="A579" s="1005">
        <f t="shared" si="117"/>
        <v>46286</v>
      </c>
      <c r="B579" s="1005">
        <f t="shared" si="126"/>
        <v>46286</v>
      </c>
      <c r="C579" s="1150">
        <f t="shared" si="118"/>
        <v>27</v>
      </c>
      <c r="D579" s="1150">
        <f t="shared" si="119"/>
        <v>568</v>
      </c>
      <c r="E579" s="1006" t="str">
        <f t="shared" si="127"/>
        <v>D</v>
      </c>
      <c r="F579" s="1007" t="str">
        <f t="shared" si="120"/>
        <v>B</v>
      </c>
      <c r="G579" s="1008">
        <f t="shared" si="121"/>
        <v>85781</v>
      </c>
      <c r="H579" s="1138">
        <f t="shared" si="122"/>
        <v>1.0145833333333334</v>
      </c>
      <c r="I579" s="1009">
        <v>1.2499999999999999E-2</v>
      </c>
      <c r="J579" s="1010">
        <f t="shared" si="123"/>
        <v>44.999999999999773</v>
      </c>
      <c r="K579" s="1011"/>
      <c r="L579" s="1012"/>
      <c r="M579" s="1013"/>
      <c r="N579" s="1014" t="str">
        <f t="shared" si="124"/>
        <v/>
      </c>
      <c r="O579" s="1332"/>
      <c r="P579" s="1333"/>
      <c r="Q579" s="1333"/>
      <c r="R579" s="1333"/>
      <c r="S579" s="1333"/>
      <c r="T579" s="1334"/>
      <c r="U579" s="1015">
        <v>2</v>
      </c>
      <c r="V579" s="1015"/>
      <c r="W579" s="1015"/>
      <c r="X579" s="1015"/>
      <c r="Y579" s="1015">
        <v>2.6</v>
      </c>
      <c r="Z579" s="1016">
        <f>'09월 에너지'!S581</f>
        <v>141.4</v>
      </c>
      <c r="AA579" s="1017"/>
      <c r="AB579" s="1208"/>
      <c r="AC579" s="1208"/>
      <c r="AD579" s="1208"/>
      <c r="AE579" s="1208"/>
      <c r="AF579" s="1208"/>
      <c r="AG579" s="1018">
        <f>'09월 화학성분'!AM579</f>
        <v>1172</v>
      </c>
      <c r="AH579" s="1006">
        <f t="shared" si="115"/>
        <v>45</v>
      </c>
      <c r="AI579" s="1019">
        <v>1590</v>
      </c>
      <c r="AJ579" s="1020">
        <v>23</v>
      </c>
      <c r="AK579" s="1021">
        <v>718</v>
      </c>
      <c r="AL579" s="1022">
        <v>5</v>
      </c>
      <c r="AM579" s="1155">
        <f>IF(AT579="","",3*'09월 에너지'!S581*(1/(3+7.8*(100-AT579)/AT579)))</f>
        <v>1.2688046192259674</v>
      </c>
      <c r="AN579" s="1023">
        <v>0.13055555555555556</v>
      </c>
      <c r="AO579" s="1024"/>
      <c r="AP579" s="1025"/>
      <c r="AQ579" s="1025"/>
      <c r="AR579" s="1149" t="str">
        <f t="shared" si="116"/>
        <v/>
      </c>
      <c r="AS579" s="1093">
        <f t="shared" si="125"/>
        <v>4</v>
      </c>
      <c r="AT579" s="1156">
        <v>2.2999999999999998</v>
      </c>
      <c r="AU579" s="449"/>
      <c r="AV579" s="1205"/>
    </row>
    <row r="580" spans="1:48" ht="17.100000000000001" customHeight="1">
      <c r="A580" s="1005">
        <f t="shared" si="117"/>
        <v>46286</v>
      </c>
      <c r="B580" s="1005">
        <f t="shared" si="126"/>
        <v>46286</v>
      </c>
      <c r="C580" s="1150">
        <f t="shared" si="118"/>
        <v>28</v>
      </c>
      <c r="D580" s="1150">
        <f t="shared" si="119"/>
        <v>569</v>
      </c>
      <c r="E580" s="1006" t="str">
        <f t="shared" si="127"/>
        <v>D</v>
      </c>
      <c r="F580" s="1007" t="str">
        <f t="shared" si="120"/>
        <v>A</v>
      </c>
      <c r="G580" s="1008">
        <f t="shared" si="121"/>
        <v>85782</v>
      </c>
      <c r="H580" s="1138">
        <f t="shared" si="122"/>
        <v>4.583333333333333E-2</v>
      </c>
      <c r="I580" s="1009">
        <v>4.2361111111111106E-2</v>
      </c>
      <c r="J580" s="1010">
        <f t="shared" si="123"/>
        <v>43</v>
      </c>
      <c r="K580" s="1011"/>
      <c r="L580" s="1012"/>
      <c r="M580" s="1013"/>
      <c r="N580" s="1014" t="str">
        <f t="shared" si="124"/>
        <v/>
      </c>
      <c r="O580" s="1332"/>
      <c r="P580" s="1333"/>
      <c r="Q580" s="1333"/>
      <c r="R580" s="1333"/>
      <c r="S580" s="1333"/>
      <c r="T580" s="1334"/>
      <c r="U580" s="1015">
        <v>2</v>
      </c>
      <c r="V580" s="1015"/>
      <c r="W580" s="1015"/>
      <c r="X580" s="1015"/>
      <c r="Y580" s="1015">
        <v>2.7</v>
      </c>
      <c r="Z580" s="1016">
        <f>'09월 에너지'!S582</f>
        <v>142.30000000000001</v>
      </c>
      <c r="AA580" s="1017"/>
      <c r="AB580" s="1208"/>
      <c r="AC580" s="1208"/>
      <c r="AD580" s="1208"/>
      <c r="AE580" s="1208"/>
      <c r="AF580" s="1208"/>
      <c r="AG580" s="1018">
        <f>'09월 화학성분'!AM580</f>
        <v>975</v>
      </c>
      <c r="AH580" s="1006">
        <f t="shared" si="115"/>
        <v>46</v>
      </c>
      <c r="AI580" s="1019">
        <v>1579</v>
      </c>
      <c r="AJ580" s="1020">
        <v>0</v>
      </c>
      <c r="AK580" s="1021">
        <v>699</v>
      </c>
      <c r="AL580" s="1022">
        <v>6</v>
      </c>
      <c r="AM580" s="1155">
        <f>IF(AT580="","",3*'09월 에너지'!S582*(1/(3+7.8*(100-AT580)/AT580)))</f>
        <v>1.0521871108343712</v>
      </c>
      <c r="AN580" s="1023">
        <v>0.11944444444444445</v>
      </c>
      <c r="AO580" s="1024"/>
      <c r="AP580" s="1025"/>
      <c r="AQ580" s="1025"/>
      <c r="AR580" s="1149">
        <f t="shared" si="116"/>
        <v>11</v>
      </c>
      <c r="AS580" s="1093" t="str">
        <f t="shared" si="125"/>
        <v xml:space="preserve"> </v>
      </c>
      <c r="AT580" s="1156">
        <v>1.9</v>
      </c>
      <c r="AU580" s="449"/>
      <c r="AV580" s="1205"/>
    </row>
    <row r="581" spans="1:48" ht="17.100000000000001" customHeight="1">
      <c r="A581" s="1005">
        <f t="shared" si="117"/>
        <v>46286</v>
      </c>
      <c r="B581" s="1005">
        <f t="shared" si="126"/>
        <v>46286</v>
      </c>
      <c r="C581" s="1150">
        <f t="shared" si="118"/>
        <v>29</v>
      </c>
      <c r="D581" s="1150">
        <f t="shared" si="119"/>
        <v>570</v>
      </c>
      <c r="E581" s="1006" t="str">
        <f t="shared" si="127"/>
        <v>D</v>
      </c>
      <c r="F581" s="1007" t="str">
        <f t="shared" si="120"/>
        <v>B</v>
      </c>
      <c r="G581" s="1008">
        <f t="shared" si="121"/>
        <v>85783</v>
      </c>
      <c r="H581" s="1138">
        <f t="shared" si="122"/>
        <v>7.5694444444444439E-2</v>
      </c>
      <c r="I581" s="1009">
        <v>7.2916666666666671E-2</v>
      </c>
      <c r="J581" s="1010">
        <f t="shared" si="123"/>
        <v>44.000000000000014</v>
      </c>
      <c r="K581" s="1011"/>
      <c r="L581" s="1012"/>
      <c r="M581" s="1013"/>
      <c r="N581" s="1014" t="str">
        <f t="shared" si="124"/>
        <v/>
      </c>
      <c r="O581" s="1332" t="s">
        <v>906</v>
      </c>
      <c r="P581" s="1333"/>
      <c r="Q581" s="1333"/>
      <c r="R581" s="1333"/>
      <c r="S581" s="1333"/>
      <c r="T581" s="1334"/>
      <c r="U581" s="1015">
        <v>2</v>
      </c>
      <c r="V581" s="1015"/>
      <c r="W581" s="1015"/>
      <c r="X581" s="1015"/>
      <c r="Y581" s="1015">
        <v>2.2999999999999998</v>
      </c>
      <c r="Z581" s="1016">
        <f>'09월 에너지'!S583</f>
        <v>142.69999999999999</v>
      </c>
      <c r="AA581" s="1017"/>
      <c r="AB581" s="1208"/>
      <c r="AC581" s="1208"/>
      <c r="AD581" s="1208"/>
      <c r="AE581" s="1208"/>
      <c r="AF581" s="1208"/>
      <c r="AG581" s="1018">
        <f>'09월 화학성분'!AM581</f>
        <v>1872</v>
      </c>
      <c r="AH581" s="1006">
        <f t="shared" si="115"/>
        <v>47</v>
      </c>
      <c r="AI581" s="1019">
        <v>1580</v>
      </c>
      <c r="AJ581" s="1020">
        <v>60</v>
      </c>
      <c r="AK581" s="1021">
        <v>454</v>
      </c>
      <c r="AL581" s="1022">
        <v>9</v>
      </c>
      <c r="AM581" s="1155">
        <f>IF(AT581="","",3*'09월 에너지'!S583*(1/(3+7.8*(100-AT581)/AT581)))</f>
        <v>1.4502032520325203</v>
      </c>
      <c r="AN581" s="1023">
        <v>0.13402777777777777</v>
      </c>
      <c r="AO581" s="1024"/>
      <c r="AP581" s="1025"/>
      <c r="AQ581" s="1025"/>
      <c r="AR581" s="1149" t="str">
        <f t="shared" si="116"/>
        <v/>
      </c>
      <c r="AS581" s="1093">
        <f t="shared" si="125"/>
        <v>5</v>
      </c>
      <c r="AT581" s="1156">
        <v>2.6</v>
      </c>
      <c r="AU581" s="449"/>
      <c r="AV581" s="1205"/>
    </row>
    <row r="582" spans="1:48" ht="17.100000000000001" customHeight="1">
      <c r="A582" s="1005">
        <f t="shared" si="117"/>
        <v>46286</v>
      </c>
      <c r="B582" s="1005">
        <f t="shared" si="126"/>
        <v>46286</v>
      </c>
      <c r="C582" s="1150">
        <f t="shared" si="118"/>
        <v>30</v>
      </c>
      <c r="D582" s="1150">
        <f t="shared" si="119"/>
        <v>571</v>
      </c>
      <c r="E582" s="1006" t="str">
        <f t="shared" si="127"/>
        <v>D</v>
      </c>
      <c r="F582" s="1007" t="str">
        <f t="shared" si="120"/>
        <v>A</v>
      </c>
      <c r="G582" s="1008">
        <f t="shared" si="121"/>
        <v>85784</v>
      </c>
      <c r="H582" s="1138">
        <f t="shared" si="122"/>
        <v>0.10625000000000001</v>
      </c>
      <c r="I582" s="1009">
        <v>0.10555555555555556</v>
      </c>
      <c r="J582" s="1010">
        <f t="shared" si="123"/>
        <v>46.999999999999993</v>
      </c>
      <c r="K582" s="1011"/>
      <c r="L582" s="1012"/>
      <c r="M582" s="1013"/>
      <c r="N582" s="1014" t="str">
        <f t="shared" si="124"/>
        <v/>
      </c>
      <c r="O582" s="1332" t="s">
        <v>529</v>
      </c>
      <c r="P582" s="1333"/>
      <c r="Q582" s="1333"/>
      <c r="R582" s="1333"/>
      <c r="S582" s="1333"/>
      <c r="T582" s="1334"/>
      <c r="U582" s="1015">
        <v>2</v>
      </c>
      <c r="V582" s="1015"/>
      <c r="W582" s="1015"/>
      <c r="X582" s="1015"/>
      <c r="Y582" s="1015">
        <v>2.6</v>
      </c>
      <c r="Z582" s="1016">
        <f>'09월 에너지'!S584</f>
        <v>143.5</v>
      </c>
      <c r="AA582" s="1017"/>
      <c r="AB582" s="1208"/>
      <c r="AC582" s="1208"/>
      <c r="AD582" s="1208"/>
      <c r="AE582" s="1208"/>
      <c r="AF582" s="1208"/>
      <c r="AG582" s="1018">
        <f>'09월 화학성분'!AM582</f>
        <v>1495</v>
      </c>
      <c r="AH582" s="1006">
        <f t="shared" si="115"/>
        <v>48</v>
      </c>
      <c r="AI582" s="1019">
        <v>1543</v>
      </c>
      <c r="AJ582" s="1020">
        <v>0</v>
      </c>
      <c r="AK582" s="1021">
        <v>379</v>
      </c>
      <c r="AL582" s="1022">
        <v>11</v>
      </c>
      <c r="AM582" s="1155">
        <f>IF(AT582="","",3*'09월 에너지'!S584*(1/(3+7.8*(100-AT582)/AT582)))</f>
        <v>1.2308951965065504</v>
      </c>
      <c r="AN582" s="1023">
        <v>0.12430555555555556</v>
      </c>
      <c r="AO582" s="1024"/>
      <c r="AP582" s="1025"/>
      <c r="AQ582" s="1025"/>
      <c r="AR582" s="1149">
        <f t="shared" si="116"/>
        <v>12</v>
      </c>
      <c r="AS582" s="1093" t="str">
        <f t="shared" si="125"/>
        <v xml:space="preserve"> </v>
      </c>
      <c r="AT582" s="1156">
        <v>2.2000000000000002</v>
      </c>
      <c r="AU582" s="449"/>
      <c r="AV582" s="1205"/>
    </row>
    <row r="583" spans="1:48" ht="17.100000000000001" customHeight="1">
      <c r="A583" s="1005">
        <f t="shared" si="117"/>
        <v>46286</v>
      </c>
      <c r="B583" s="1005">
        <f t="shared" si="126"/>
        <v>46286</v>
      </c>
      <c r="C583" s="1150">
        <f t="shared" si="118"/>
        <v>31</v>
      </c>
      <c r="D583" s="1150">
        <f t="shared" si="119"/>
        <v>572</v>
      </c>
      <c r="E583" s="1006" t="str">
        <f t="shared" si="127"/>
        <v>D</v>
      </c>
      <c r="F583" s="1007" t="str">
        <f t="shared" si="120"/>
        <v>B</v>
      </c>
      <c r="G583" s="1008">
        <f t="shared" si="121"/>
        <v>85785</v>
      </c>
      <c r="H583" s="1138">
        <f t="shared" si="122"/>
        <v>0.1388888888888889</v>
      </c>
      <c r="I583" s="1009">
        <v>0.13680555555555554</v>
      </c>
      <c r="J583" s="1010">
        <f t="shared" si="123"/>
        <v>44.999999999999979</v>
      </c>
      <c r="K583" s="1011"/>
      <c r="L583" s="1012"/>
      <c r="M583" s="1013"/>
      <c r="N583" s="1014" t="str">
        <f t="shared" si="124"/>
        <v/>
      </c>
      <c r="O583" s="1332"/>
      <c r="P583" s="1333"/>
      <c r="Q583" s="1333"/>
      <c r="R583" s="1333"/>
      <c r="S583" s="1333"/>
      <c r="T583" s="1334"/>
      <c r="U583" s="1015">
        <v>2</v>
      </c>
      <c r="V583" s="1015"/>
      <c r="W583" s="1015"/>
      <c r="X583" s="1015"/>
      <c r="Y583" s="1015">
        <v>2.5</v>
      </c>
      <c r="Z583" s="1016">
        <f>'09월 에너지'!S585</f>
        <v>143.4</v>
      </c>
      <c r="AA583" s="1017"/>
      <c r="AB583" s="1208"/>
      <c r="AC583" s="1208"/>
      <c r="AD583" s="1208"/>
      <c r="AE583" s="1208"/>
      <c r="AF583" s="1208"/>
      <c r="AG583" s="1018">
        <f>'09월 화학성분'!AM583</f>
        <v>1502</v>
      </c>
      <c r="AH583" s="1006">
        <f t="shared" si="115"/>
        <v>49</v>
      </c>
      <c r="AI583" s="1019">
        <v>1580</v>
      </c>
      <c r="AJ583" s="1020">
        <v>0</v>
      </c>
      <c r="AK583" s="1021">
        <v>749</v>
      </c>
      <c r="AL583" s="1022">
        <v>5</v>
      </c>
      <c r="AM583" s="1155">
        <f>IF(AT583="","",3*'09월 에너지'!S585*(1/(3+7.8*(100-AT583)/AT583)))</f>
        <v>1.0603206724782068</v>
      </c>
      <c r="AN583" s="1023">
        <v>0.11944444444444445</v>
      </c>
      <c r="AO583" s="1024"/>
      <c r="AP583" s="1025"/>
      <c r="AQ583" s="1025"/>
      <c r="AR583" s="1149" t="str">
        <f t="shared" si="116"/>
        <v/>
      </c>
      <c r="AS583" s="1093">
        <f t="shared" si="125"/>
        <v>6</v>
      </c>
      <c r="AT583" s="1156">
        <v>1.9</v>
      </c>
      <c r="AU583" s="449"/>
      <c r="AV583" s="1205"/>
    </row>
    <row r="584" spans="1:48" ht="17.100000000000001" customHeight="1">
      <c r="A584" s="1005">
        <v>46287</v>
      </c>
      <c r="B584" s="1005">
        <f t="shared" si="126"/>
        <v>46286</v>
      </c>
      <c r="C584" s="1150">
        <f t="shared" si="118"/>
        <v>1</v>
      </c>
      <c r="D584" s="1150">
        <f t="shared" si="119"/>
        <v>573</v>
      </c>
      <c r="E584" s="1006" t="str">
        <f t="shared" si="127"/>
        <v>D</v>
      </c>
      <c r="F584" s="1007" t="str">
        <f t="shared" si="120"/>
        <v>A</v>
      </c>
      <c r="G584" s="1008">
        <f t="shared" si="121"/>
        <v>85786</v>
      </c>
      <c r="H584" s="1138">
        <f t="shared" si="122"/>
        <v>0.17013888888888887</v>
      </c>
      <c r="I584" s="1009">
        <v>0.16805555555555554</v>
      </c>
      <c r="J584" s="1010">
        <f t="shared" si="123"/>
        <v>45</v>
      </c>
      <c r="K584" s="1011"/>
      <c r="L584" s="1012"/>
      <c r="M584" s="1013"/>
      <c r="N584" s="1014" t="str">
        <f t="shared" si="124"/>
        <v/>
      </c>
      <c r="O584" s="1332"/>
      <c r="P584" s="1333"/>
      <c r="Q584" s="1333"/>
      <c r="R584" s="1333"/>
      <c r="S584" s="1333"/>
      <c r="T584" s="1334"/>
      <c r="U584" s="1015">
        <v>2</v>
      </c>
      <c r="V584" s="1015"/>
      <c r="W584" s="1015"/>
      <c r="X584" s="1015"/>
      <c r="Y584" s="1015">
        <v>2.9</v>
      </c>
      <c r="Z584" s="1016">
        <f>'09월 에너지'!S586</f>
        <v>146.4</v>
      </c>
      <c r="AA584" s="1017"/>
      <c r="AB584" s="1208"/>
      <c r="AC584" s="1208"/>
      <c r="AD584" s="1208"/>
      <c r="AE584" s="1208"/>
      <c r="AF584" s="1208"/>
      <c r="AG584" s="1018">
        <f>'09월 화학성분'!AM584</f>
        <v>1374</v>
      </c>
      <c r="AH584" s="1006">
        <f t="shared" si="115"/>
        <v>50</v>
      </c>
      <c r="AI584" s="1019">
        <v>1595</v>
      </c>
      <c r="AJ584" s="1020">
        <v>0</v>
      </c>
      <c r="AK584" s="1021">
        <v>338</v>
      </c>
      <c r="AL584" s="1022">
        <v>14</v>
      </c>
      <c r="AM584" s="1155">
        <f>IF(AT584="","",3*'09월 에너지'!S586*(1/(3+7.8*(100-AT584)/AT584)))</f>
        <v>0.90988191423244258</v>
      </c>
      <c r="AN584" s="1023">
        <v>0.12638888888888888</v>
      </c>
      <c r="AO584" s="1024"/>
      <c r="AP584" s="1025"/>
      <c r="AQ584" s="1025"/>
      <c r="AR584" s="1149">
        <f t="shared" si="116"/>
        <v>13</v>
      </c>
      <c r="AS584" s="1093" t="str">
        <f t="shared" si="125"/>
        <v xml:space="preserve"> </v>
      </c>
      <c r="AT584" s="1156">
        <v>1.6</v>
      </c>
      <c r="AU584" s="449"/>
      <c r="AV584" s="1205"/>
    </row>
    <row r="585" spans="1:48" ht="17.100000000000001" customHeight="1">
      <c r="A585" s="1005">
        <f t="shared" si="117"/>
        <v>46287</v>
      </c>
      <c r="B585" s="1005">
        <f t="shared" si="126"/>
        <v>46286</v>
      </c>
      <c r="C585" s="1150">
        <f t="shared" si="118"/>
        <v>2</v>
      </c>
      <c r="D585" s="1150">
        <f t="shared" si="119"/>
        <v>574</v>
      </c>
      <c r="E585" s="1006" t="str">
        <f t="shared" si="127"/>
        <v>D</v>
      </c>
      <c r="F585" s="1007" t="str">
        <f t="shared" si="120"/>
        <v>B</v>
      </c>
      <c r="G585" s="1008">
        <f t="shared" si="121"/>
        <v>85787</v>
      </c>
      <c r="H585" s="1138">
        <f t="shared" si="122"/>
        <v>0.20138888888888887</v>
      </c>
      <c r="I585" s="1009">
        <v>0.20277777777777781</v>
      </c>
      <c r="J585" s="1010">
        <f t="shared" si="123"/>
        <v>50.000000000000064</v>
      </c>
      <c r="K585" s="1011"/>
      <c r="L585" s="1012"/>
      <c r="M585" s="1013"/>
      <c r="N585" s="1014" t="str">
        <f t="shared" si="124"/>
        <v/>
      </c>
      <c r="O585" s="1332" t="s">
        <v>530</v>
      </c>
      <c r="P585" s="1333"/>
      <c r="Q585" s="1333"/>
      <c r="R585" s="1333"/>
      <c r="S585" s="1333"/>
      <c r="T585" s="1334"/>
      <c r="U585" s="1015">
        <v>2</v>
      </c>
      <c r="V585" s="1015"/>
      <c r="W585" s="1015"/>
      <c r="X585" s="1015"/>
      <c r="Y585" s="1015">
        <v>2.7</v>
      </c>
      <c r="Z585" s="1016">
        <f>'09월 에너지'!S587</f>
        <v>143.5</v>
      </c>
      <c r="AA585" s="1017">
        <v>2576</v>
      </c>
      <c r="AB585" s="1208" t="s">
        <v>573</v>
      </c>
      <c r="AC585" s="1208" t="s">
        <v>532</v>
      </c>
      <c r="AD585" s="1208" t="s">
        <v>548</v>
      </c>
      <c r="AE585" s="1208"/>
      <c r="AF585" s="1208" t="s">
        <v>931</v>
      </c>
      <c r="AG585" s="1018">
        <f>'09월 화학성분'!AM585</f>
        <v>2442</v>
      </c>
      <c r="AH585" s="1006">
        <f t="shared" si="115"/>
        <v>51</v>
      </c>
      <c r="AI585" s="1019">
        <v>1586</v>
      </c>
      <c r="AJ585" s="1020">
        <v>0</v>
      </c>
      <c r="AK585" s="1021">
        <v>241</v>
      </c>
      <c r="AL585" s="1022">
        <v>20</v>
      </c>
      <c r="AM585" s="1155">
        <f>IF(AT585="","",3*'09월 에너지'!S587*(1/(3+7.8*(100-AT585)/AT585)))</f>
        <v>1.0610600871731009</v>
      </c>
      <c r="AN585" s="1023">
        <v>0.12847222222222224</v>
      </c>
      <c r="AO585" s="1024"/>
      <c r="AP585" s="1025"/>
      <c r="AQ585" s="1025"/>
      <c r="AR585" s="1149" t="str">
        <f t="shared" si="116"/>
        <v/>
      </c>
      <c r="AS585" s="1093">
        <f t="shared" si="125"/>
        <v>7</v>
      </c>
      <c r="AT585" s="1156">
        <v>1.9</v>
      </c>
      <c r="AU585" s="449"/>
      <c r="AV585" s="1205"/>
    </row>
    <row r="586" spans="1:48" ht="17.100000000000001" customHeight="1">
      <c r="A586" s="1005">
        <f t="shared" si="117"/>
        <v>46287</v>
      </c>
      <c r="B586" s="1005">
        <f t="shared" si="126"/>
        <v>46286</v>
      </c>
      <c r="C586" s="1150">
        <f t="shared" si="118"/>
        <v>3</v>
      </c>
      <c r="D586" s="1150">
        <f t="shared" si="119"/>
        <v>575</v>
      </c>
      <c r="E586" s="1006" t="str">
        <f t="shared" si="127"/>
        <v>D</v>
      </c>
      <c r="F586" s="1007" t="str">
        <f t="shared" si="120"/>
        <v>A</v>
      </c>
      <c r="G586" s="1008">
        <f t="shared" si="121"/>
        <v>85788</v>
      </c>
      <c r="H586" s="1138">
        <f t="shared" si="122"/>
        <v>0.23611111111111113</v>
      </c>
      <c r="I586" s="1009">
        <v>0.23680555555555557</v>
      </c>
      <c r="J586" s="1010">
        <f t="shared" si="123"/>
        <v>48.999999999999986</v>
      </c>
      <c r="K586" s="1011"/>
      <c r="L586" s="1012"/>
      <c r="M586" s="1013"/>
      <c r="N586" s="1014" t="str">
        <f t="shared" si="124"/>
        <v/>
      </c>
      <c r="O586" s="1332" t="s">
        <v>934</v>
      </c>
      <c r="P586" s="1333"/>
      <c r="Q586" s="1333"/>
      <c r="R586" s="1333"/>
      <c r="S586" s="1333"/>
      <c r="T586" s="1334"/>
      <c r="U586" s="1015">
        <v>2</v>
      </c>
      <c r="V586" s="1015"/>
      <c r="W586" s="1015"/>
      <c r="X586" s="1015"/>
      <c r="Y586" s="1015">
        <v>2.5</v>
      </c>
      <c r="Z586" s="1016">
        <f>'09월 에너지'!S588</f>
        <v>145.80000000000001</v>
      </c>
      <c r="AA586" s="1017">
        <v>2529</v>
      </c>
      <c r="AB586" s="1208" t="s">
        <v>933</v>
      </c>
      <c r="AC586" s="1208" t="s">
        <v>932</v>
      </c>
      <c r="AD586" s="1208" t="s">
        <v>532</v>
      </c>
      <c r="AE586" s="1208"/>
      <c r="AF586" s="1208" t="s">
        <v>532</v>
      </c>
      <c r="AG586" s="1018">
        <f>'09월 화학성분'!AM586</f>
        <v>1215</v>
      </c>
      <c r="AH586" s="1006">
        <f t="shared" si="115"/>
        <v>52</v>
      </c>
      <c r="AI586" s="1019">
        <v>1598</v>
      </c>
      <c r="AJ586" s="1020">
        <v>0</v>
      </c>
      <c r="AK586" s="1021" t="s">
        <v>563</v>
      </c>
      <c r="AL586" s="1022" t="s">
        <v>563</v>
      </c>
      <c r="AM586" s="1155">
        <f>IF(AT586="","",3*'09월 에너지'!S588*(1/(3+7.8*(100-AT586)/AT586)))</f>
        <v>1.0206907280647168</v>
      </c>
      <c r="AN586" s="1023">
        <v>0.13749999999999998</v>
      </c>
      <c r="AO586" s="1024" t="s">
        <v>538</v>
      </c>
      <c r="AP586" s="1025">
        <v>2000082</v>
      </c>
      <c r="AQ586" s="1025">
        <v>2123</v>
      </c>
      <c r="AR586" s="1149">
        <v>1</v>
      </c>
      <c r="AS586" s="1093" t="str">
        <f t="shared" si="125"/>
        <v xml:space="preserve"> </v>
      </c>
      <c r="AT586" s="1156">
        <v>1.8</v>
      </c>
      <c r="AU586" s="449"/>
      <c r="AV586" s="1205"/>
    </row>
    <row r="587" spans="1:48" ht="16.5" customHeight="1">
      <c r="A587" s="1005">
        <f t="shared" si="117"/>
        <v>46287</v>
      </c>
      <c r="B587" s="1005">
        <f t="shared" si="126"/>
        <v>46286</v>
      </c>
      <c r="C587" s="1150">
        <f t="shared" si="118"/>
        <v>4</v>
      </c>
      <c r="D587" s="1150">
        <f t="shared" si="119"/>
        <v>576</v>
      </c>
      <c r="E587" s="1006" t="str">
        <f t="shared" si="127"/>
        <v>D</v>
      </c>
      <c r="F587" s="1007" t="str">
        <f t="shared" si="120"/>
        <v>B</v>
      </c>
      <c r="G587" s="1008">
        <f t="shared" si="121"/>
        <v>85789</v>
      </c>
      <c r="H587" s="1138">
        <f t="shared" si="122"/>
        <v>0.27013888888888893</v>
      </c>
      <c r="I587" s="1009">
        <v>0.26805555555555555</v>
      </c>
      <c r="J587" s="1010">
        <f t="shared" si="123"/>
        <v>44.999999999999957</v>
      </c>
      <c r="K587" s="1011"/>
      <c r="L587" s="1012"/>
      <c r="M587" s="1013"/>
      <c r="N587" s="1014" t="str">
        <f t="shared" si="124"/>
        <v/>
      </c>
      <c r="O587" s="1323"/>
      <c r="P587" s="1324"/>
      <c r="Q587" s="1324"/>
      <c r="R587" s="1324"/>
      <c r="S587" s="1324"/>
      <c r="T587" s="1325"/>
      <c r="U587" s="1015">
        <v>2</v>
      </c>
      <c r="V587" s="1015"/>
      <c r="W587" s="1015"/>
      <c r="X587" s="1015"/>
      <c r="Y587" s="1015">
        <v>2.4</v>
      </c>
      <c r="Z587" s="1016">
        <f>'09월 에너지'!S589</f>
        <v>142.6</v>
      </c>
      <c r="AA587" s="1017"/>
      <c r="AB587" s="1208"/>
      <c r="AC587" s="1208"/>
      <c r="AD587" s="1208"/>
      <c r="AE587" s="1208"/>
      <c r="AF587" s="1208"/>
      <c r="AG587" s="1018">
        <f>'09월 화학성분'!AM587</f>
        <v>1474</v>
      </c>
      <c r="AH587" s="1006">
        <f t="shared" si="115"/>
        <v>53</v>
      </c>
      <c r="AI587" s="1019">
        <v>1606</v>
      </c>
      <c r="AJ587" s="1020">
        <v>143</v>
      </c>
      <c r="AK587" s="1021">
        <v>957</v>
      </c>
      <c r="AL587" s="1022">
        <v>4</v>
      </c>
      <c r="AM587" s="1155">
        <f>IF(AT587="","",3*'09월 에너지'!S589*(1/(3+7.8*(100-AT587)/AT587)))</f>
        <v>1.2231752963194011</v>
      </c>
      <c r="AN587" s="1023">
        <v>0.1361111111111111</v>
      </c>
      <c r="AO587" s="1024"/>
      <c r="AP587" s="1025"/>
      <c r="AQ587" s="1025"/>
      <c r="AR587" s="1149" t="str">
        <f t="shared" si="116"/>
        <v/>
      </c>
      <c r="AS587" s="1093">
        <f t="shared" si="125"/>
        <v>8</v>
      </c>
      <c r="AT587" s="1156">
        <v>2.2000000000000002</v>
      </c>
      <c r="AU587" s="449"/>
      <c r="AV587" s="1205"/>
    </row>
    <row r="588" spans="1:48" ht="16.5" customHeight="1">
      <c r="A588" s="1005">
        <f t="shared" si="117"/>
        <v>46287</v>
      </c>
      <c r="B588" s="1005">
        <v>46287</v>
      </c>
      <c r="C588" s="1150">
        <f t="shared" si="118"/>
        <v>5</v>
      </c>
      <c r="D588" s="1150">
        <f t="shared" si="119"/>
        <v>577</v>
      </c>
      <c r="E588" s="1006" t="s">
        <v>578</v>
      </c>
      <c r="F588" s="1007" t="str">
        <f t="shared" si="120"/>
        <v>A</v>
      </c>
      <c r="G588" s="1008">
        <f t="shared" si="121"/>
        <v>85790</v>
      </c>
      <c r="H588" s="1138">
        <f t="shared" si="122"/>
        <v>0.30138888888888887</v>
      </c>
      <c r="I588" s="1009">
        <v>0.30694444444444441</v>
      </c>
      <c r="J588" s="1010">
        <f t="shared" si="123"/>
        <v>55.999999999999957</v>
      </c>
      <c r="K588" s="1011"/>
      <c r="L588" s="1012">
        <v>6</v>
      </c>
      <c r="M588" s="1013"/>
      <c r="N588" s="1014" t="str">
        <f t="shared" si="124"/>
        <v/>
      </c>
      <c r="O588" s="1323" t="s">
        <v>935</v>
      </c>
      <c r="P588" s="1324"/>
      <c r="Q588" s="1324"/>
      <c r="R588" s="1324"/>
      <c r="S588" s="1324"/>
      <c r="T588" s="1325"/>
      <c r="U588" s="1015">
        <v>2</v>
      </c>
      <c r="V588" s="1015"/>
      <c r="W588" s="1015"/>
      <c r="X588" s="1015"/>
      <c r="Y588" s="1015">
        <v>2.4</v>
      </c>
      <c r="Z588" s="1016">
        <f>'09월 에너지'!S590</f>
        <v>140.30000000000001</v>
      </c>
      <c r="AA588" s="1017"/>
      <c r="AB588" s="1208"/>
      <c r="AC588" s="1208"/>
      <c r="AD588" s="1208"/>
      <c r="AE588" s="1208"/>
      <c r="AF588" s="1208"/>
      <c r="AG588" s="1018">
        <f>'09월 화학성분'!AM588</f>
        <v>2282</v>
      </c>
      <c r="AH588" s="1006">
        <f t="shared" si="115"/>
        <v>54</v>
      </c>
      <c r="AI588" s="1019">
        <v>1574</v>
      </c>
      <c r="AJ588" s="1020">
        <v>0</v>
      </c>
      <c r="AK588" s="1021">
        <v>516</v>
      </c>
      <c r="AL588" s="1022">
        <v>8</v>
      </c>
      <c r="AM588" s="1155">
        <f>IF(AT588="","",3*'09월 에너지'!S590*(1/(3+7.8*(100-AT588)/AT588)))</f>
        <v>0.98218730553827005</v>
      </c>
      <c r="AN588" s="1023">
        <v>0.14166666666666666</v>
      </c>
      <c r="AO588" s="1024"/>
      <c r="AP588" s="1025"/>
      <c r="AQ588" s="1025"/>
      <c r="AR588" s="1149">
        <f t="shared" si="116"/>
        <v>2</v>
      </c>
      <c r="AS588" s="1093" t="str">
        <f t="shared" si="125"/>
        <v xml:space="preserve"> </v>
      </c>
      <c r="AT588" s="1156">
        <v>1.8</v>
      </c>
      <c r="AU588" s="449"/>
      <c r="AV588" s="1205"/>
    </row>
    <row r="589" spans="1:48" ht="16.5" customHeight="1">
      <c r="A589" s="1005">
        <f t="shared" si="117"/>
        <v>46287</v>
      </c>
      <c r="B589" s="1005">
        <f t="shared" si="126"/>
        <v>46287</v>
      </c>
      <c r="C589" s="1150">
        <f t="shared" si="118"/>
        <v>6</v>
      </c>
      <c r="D589" s="1150">
        <f t="shared" si="119"/>
        <v>578</v>
      </c>
      <c r="E589" s="1006" t="str">
        <f t="shared" si="127"/>
        <v>A</v>
      </c>
      <c r="F589" s="1007" t="str">
        <f t="shared" si="120"/>
        <v>B</v>
      </c>
      <c r="G589" s="1008">
        <f t="shared" si="121"/>
        <v>85791</v>
      </c>
      <c r="H589" s="1138">
        <f t="shared" si="122"/>
        <v>0.34027777777777773</v>
      </c>
      <c r="I589" s="1009">
        <v>0.33333333333333331</v>
      </c>
      <c r="J589" s="1010">
        <f t="shared" si="123"/>
        <v>38.000000000000028</v>
      </c>
      <c r="K589" s="1011"/>
      <c r="L589" s="1012"/>
      <c r="M589" s="1013"/>
      <c r="N589" s="1014" t="str">
        <f t="shared" si="124"/>
        <v/>
      </c>
      <c r="O589" s="1323"/>
      <c r="P589" s="1324"/>
      <c r="Q589" s="1324"/>
      <c r="R589" s="1324"/>
      <c r="S589" s="1324"/>
      <c r="T589" s="1325"/>
      <c r="U589" s="1015">
        <v>2</v>
      </c>
      <c r="V589" s="1015"/>
      <c r="W589" s="1015"/>
      <c r="X589" s="1015"/>
      <c r="Y589" s="1015">
        <v>2.5</v>
      </c>
      <c r="Z589" s="1016">
        <f>'09월 에너지'!S591</f>
        <v>138.1</v>
      </c>
      <c r="AA589" s="1017"/>
      <c r="AB589" s="1208"/>
      <c r="AC589" s="1208"/>
      <c r="AD589" s="1208"/>
      <c r="AE589" s="1208"/>
      <c r="AF589" s="1208"/>
      <c r="AG589" s="1018">
        <f>'09월 화학성분'!AM589</f>
        <v>2158</v>
      </c>
      <c r="AH589" s="1006">
        <f t="shared" ref="AH589:AH652" si="128">IF(I589="","",AH588+1)</f>
        <v>55</v>
      </c>
      <c r="AI589" s="1019">
        <v>1565</v>
      </c>
      <c r="AJ589" s="1020">
        <v>22</v>
      </c>
      <c r="AK589" s="1021">
        <v>434</v>
      </c>
      <c r="AL589" s="1022">
        <v>10</v>
      </c>
      <c r="AM589" s="1155">
        <f>IF(AT589="","",3*'09월 에너지'!S591*(1/(3+7.8*(100-AT589)/AT589)))</f>
        <v>0.91250777363184066</v>
      </c>
      <c r="AN589" s="1023">
        <v>0.12847222222222224</v>
      </c>
      <c r="AO589" s="1024"/>
      <c r="AP589" s="1025"/>
      <c r="AQ589" s="1025"/>
      <c r="AR589" s="1149" t="str">
        <f t="shared" ref="AR589:AR652" si="129">IF(F589="A",IFERROR(IF(I589="","",IF(F589="A",AR588+1," ")),AR587+1),"")</f>
        <v/>
      </c>
      <c r="AS589" s="1093">
        <f t="shared" si="125"/>
        <v>9</v>
      </c>
      <c r="AT589" s="1156">
        <v>1.7</v>
      </c>
      <c r="AU589" s="449"/>
      <c r="AV589" s="1205"/>
    </row>
    <row r="590" spans="1:48" ht="16.5" customHeight="1">
      <c r="A590" s="1005">
        <f t="shared" ref="A590:A653" si="130">IF(I590="","",A589)</f>
        <v>46287</v>
      </c>
      <c r="B590" s="1005">
        <f t="shared" ref="B590:B653" si="131">IF(J590="","",B589)</f>
        <v>46287</v>
      </c>
      <c r="C590" s="1150">
        <f t="shared" ref="C590:C653" si="132">IF(I590="","",IF(A590=A589,C589+1,1))</f>
        <v>7</v>
      </c>
      <c r="D590" s="1150">
        <f t="shared" ref="D590:D653" si="133">IF(C590="","",D589+1)</f>
        <v>579</v>
      </c>
      <c r="E590" s="1006" t="str">
        <f t="shared" ref="E590:E653" si="134">IF(C590="","",E589)</f>
        <v>A</v>
      </c>
      <c r="F590" s="1007" t="str">
        <f t="shared" ref="F590:F653" si="135">IF(C590="","",IF(F589="A","B","A"))</f>
        <v>A</v>
      </c>
      <c r="G590" s="1008">
        <f t="shared" ref="G590:G653" si="136">IF(C590="","",G589+1)</f>
        <v>85792</v>
      </c>
      <c r="H590" s="1138">
        <f t="shared" ref="H590:H653" si="137">IF(ISBLANK(I589),H589+C$8/1440,I589+C$8/1440)</f>
        <v>0.36666666666666664</v>
      </c>
      <c r="I590" s="1009">
        <v>0.36805555555555558</v>
      </c>
      <c r="J590" s="1010">
        <f t="shared" ref="J590:J653" si="138">IF(I590="","",IF(I590&lt;I589,(I590-I589)*1440+1440,(I590-I589)*1440))</f>
        <v>50.000000000000064</v>
      </c>
      <c r="K590" s="1011"/>
      <c r="L590" s="1012"/>
      <c r="M590" s="1013"/>
      <c r="N590" s="1014" t="str">
        <f t="shared" ref="N590:N653" si="139">IF(M590="","",M590+K590/1440)</f>
        <v/>
      </c>
      <c r="O590" s="1323" t="s">
        <v>936</v>
      </c>
      <c r="P590" s="1324"/>
      <c r="Q590" s="1324"/>
      <c r="R590" s="1324"/>
      <c r="S590" s="1324"/>
      <c r="T590" s="1325"/>
      <c r="U590" s="1015">
        <v>1</v>
      </c>
      <c r="V590" s="1015"/>
      <c r="W590" s="1015"/>
      <c r="X590" s="1015"/>
      <c r="Y590" s="1015"/>
      <c r="Z590" s="1016">
        <f>'09월 에너지'!S592</f>
        <v>145.1</v>
      </c>
      <c r="AA590" s="1017"/>
      <c r="AB590" s="1208"/>
      <c r="AC590" s="1208"/>
      <c r="AD590" s="1208"/>
      <c r="AE590" s="1208"/>
      <c r="AF590" s="1208"/>
      <c r="AG590" s="1018">
        <f>'09월 화학성분'!AM590</f>
        <v>1873</v>
      </c>
      <c r="AH590" s="1006">
        <f t="shared" si="128"/>
        <v>56</v>
      </c>
      <c r="AI590" s="1019">
        <v>1596</v>
      </c>
      <c r="AJ590" s="1020">
        <v>123</v>
      </c>
      <c r="AK590" s="1021">
        <v>587</v>
      </c>
      <c r="AL590" s="1022">
        <v>7</v>
      </c>
      <c r="AM590" s="1155">
        <f>IF(AT590="","",3*'09월 에너지'!S592*(1/(3+7.8*(100-AT590)/AT590)))</f>
        <v>1.072890722291407</v>
      </c>
      <c r="AN590" s="1023">
        <v>0.21111111111111111</v>
      </c>
      <c r="AO590" s="1024"/>
      <c r="AP590" s="1025"/>
      <c r="AQ590" s="1025"/>
      <c r="AR590" s="1149">
        <f t="shared" si="129"/>
        <v>3</v>
      </c>
      <c r="AS590" s="1093" t="str">
        <f t="shared" ref="AS590:AS653" si="140">IFERROR(IF($I590="","",IF($F590="B",AS589+1," ")),AS588+1)</f>
        <v xml:space="preserve"> </v>
      </c>
      <c r="AT590" s="1156">
        <v>1.9</v>
      </c>
      <c r="AU590" s="449"/>
      <c r="AV590" s="1205"/>
    </row>
    <row r="591" spans="1:48" ht="16.5" customHeight="1">
      <c r="A591" s="1005">
        <f t="shared" si="130"/>
        <v>46287</v>
      </c>
      <c r="B591" s="1005">
        <f t="shared" si="131"/>
        <v>46287</v>
      </c>
      <c r="C591" s="1150">
        <f t="shared" si="132"/>
        <v>8</v>
      </c>
      <c r="D591" s="1150">
        <f t="shared" si="133"/>
        <v>580</v>
      </c>
      <c r="E591" s="1006" t="str">
        <f t="shared" si="134"/>
        <v>A</v>
      </c>
      <c r="F591" s="1007" t="str">
        <f t="shared" si="135"/>
        <v>B</v>
      </c>
      <c r="G591" s="1008">
        <f t="shared" si="136"/>
        <v>85793</v>
      </c>
      <c r="H591" s="1138">
        <f t="shared" si="137"/>
        <v>0.40138888888888891</v>
      </c>
      <c r="I591" s="1009">
        <v>0.4069444444444445</v>
      </c>
      <c r="J591" s="1010">
        <f t="shared" si="138"/>
        <v>56.000000000000043</v>
      </c>
      <c r="K591" s="1011"/>
      <c r="L591" s="1012"/>
      <c r="M591" s="1013"/>
      <c r="N591" s="1014" t="str">
        <f t="shared" si="139"/>
        <v/>
      </c>
      <c r="O591" s="1323" t="s">
        <v>937</v>
      </c>
      <c r="P591" s="1324"/>
      <c r="Q591" s="1324"/>
      <c r="R591" s="1324"/>
      <c r="S591" s="1324"/>
      <c r="T591" s="1325"/>
      <c r="U591" s="1015">
        <v>1</v>
      </c>
      <c r="V591" s="1015"/>
      <c r="W591" s="1015"/>
      <c r="X591" s="1015"/>
      <c r="Y591" s="1015"/>
      <c r="Z591" s="1016">
        <f>'09월 에너지'!S593</f>
        <v>117.6</v>
      </c>
      <c r="AA591" s="1017"/>
      <c r="AB591" s="1208"/>
      <c r="AC591" s="1208"/>
      <c r="AD591" s="1208"/>
      <c r="AE591" s="1208"/>
      <c r="AF591" s="1208"/>
      <c r="AG591" s="1018">
        <f>'09월 화학성분'!AM591</f>
        <v>2394</v>
      </c>
      <c r="AH591" s="1006">
        <f t="shared" si="128"/>
        <v>57</v>
      </c>
      <c r="AI591" s="1019">
        <v>1594</v>
      </c>
      <c r="AJ591" s="1020">
        <v>105</v>
      </c>
      <c r="AK591" s="1021">
        <v>496</v>
      </c>
      <c r="AL591" s="1022"/>
      <c r="AM591" s="1155">
        <f>IF(AT591="","",3*'09월 에너지'!S593*(1/(3+7.8*(100-AT591)/AT591)))</f>
        <v>2.8178913738019169</v>
      </c>
      <c r="AN591" s="1023">
        <v>0.13125000000000001</v>
      </c>
      <c r="AO591" s="1024"/>
      <c r="AP591" s="1025"/>
      <c r="AQ591" s="1025"/>
      <c r="AR591" s="1149" t="str">
        <f t="shared" si="129"/>
        <v/>
      </c>
      <c r="AS591" s="1093">
        <f t="shared" si="140"/>
        <v>10</v>
      </c>
      <c r="AT591" s="1156">
        <v>6</v>
      </c>
      <c r="AU591" s="449"/>
      <c r="AV591" s="1205"/>
    </row>
    <row r="592" spans="1:48" ht="16.5" customHeight="1">
      <c r="A592" s="1005">
        <f t="shared" si="130"/>
        <v>46287</v>
      </c>
      <c r="B592" s="1005">
        <f t="shared" si="131"/>
        <v>46287</v>
      </c>
      <c r="C592" s="1150">
        <f t="shared" si="132"/>
        <v>9</v>
      </c>
      <c r="D592" s="1150">
        <f t="shared" si="133"/>
        <v>581</v>
      </c>
      <c r="E592" s="1006" t="s">
        <v>582</v>
      </c>
      <c r="F592" s="1007" t="s">
        <v>624</v>
      </c>
      <c r="G592" s="1008">
        <f t="shared" si="136"/>
        <v>85794</v>
      </c>
      <c r="H592" s="1138">
        <f t="shared" si="137"/>
        <v>0.44027777777777782</v>
      </c>
      <c r="I592" s="1009">
        <v>0.7680555555555556</v>
      </c>
      <c r="J592" s="1010">
        <f t="shared" si="138"/>
        <v>520</v>
      </c>
      <c r="K592" s="1011">
        <v>461</v>
      </c>
      <c r="L592" s="1012"/>
      <c r="M592" s="1013">
        <v>0.4069444444444445</v>
      </c>
      <c r="N592" s="1014">
        <f t="shared" si="139"/>
        <v>0.7270833333333333</v>
      </c>
      <c r="O592" s="1323" t="s">
        <v>939</v>
      </c>
      <c r="P592" s="1324"/>
      <c r="Q592" s="1324"/>
      <c r="R592" s="1324"/>
      <c r="S592" s="1324"/>
      <c r="T592" s="1325"/>
      <c r="U592" s="1015"/>
      <c r="V592" s="1015"/>
      <c r="W592" s="1015"/>
      <c r="X592" s="1015"/>
      <c r="Y592" s="1015"/>
      <c r="Z592" s="1016">
        <f>'09월 에너지'!S594</f>
        <v>127</v>
      </c>
      <c r="AA592" s="1017">
        <v>4539</v>
      </c>
      <c r="AB592" s="1208" t="s">
        <v>573</v>
      </c>
      <c r="AC592" s="1208" t="s">
        <v>532</v>
      </c>
      <c r="AD592" s="1208" t="s">
        <v>548</v>
      </c>
      <c r="AE592" s="1208" t="s">
        <v>532</v>
      </c>
      <c r="AF592" s="1208" t="s">
        <v>548</v>
      </c>
      <c r="AG592" s="1018">
        <f>'09월 화학성분'!AM592</f>
        <v>3237</v>
      </c>
      <c r="AH592" s="1235">
        <v>1</v>
      </c>
      <c r="AI592" s="1019">
        <v>1587</v>
      </c>
      <c r="AJ592" s="1020">
        <v>52</v>
      </c>
      <c r="AK592" s="1021">
        <v>343</v>
      </c>
      <c r="AL592" s="1022">
        <v>13</v>
      </c>
      <c r="AM592" s="1155">
        <f>IF(AT592="","",3*'09월 에너지'!S594*(1/(3+7.8*(100-AT592)/AT592)))</f>
        <v>9.7812692544670385E-2</v>
      </c>
      <c r="AN592" s="1023">
        <v>0.18055555555555555</v>
      </c>
      <c r="AO592" s="1024"/>
      <c r="AP592" s="1025"/>
      <c r="AQ592" s="1025"/>
      <c r="AR592" s="1149" t="str">
        <f t="shared" si="129"/>
        <v/>
      </c>
      <c r="AS592" s="1093">
        <f t="shared" si="140"/>
        <v>11</v>
      </c>
      <c r="AT592" s="1156">
        <v>0.2</v>
      </c>
      <c r="AU592" s="449"/>
      <c r="AV592" s="1205" t="s">
        <v>553</v>
      </c>
    </row>
    <row r="593" spans="1:48" ht="25.5" customHeight="1">
      <c r="A593" s="1005">
        <f t="shared" si="130"/>
        <v>46287</v>
      </c>
      <c r="B593" s="1005">
        <f t="shared" si="131"/>
        <v>46287</v>
      </c>
      <c r="C593" s="1150">
        <f t="shared" si="132"/>
        <v>10</v>
      </c>
      <c r="D593" s="1150">
        <f t="shared" si="133"/>
        <v>582</v>
      </c>
      <c r="E593" s="1006" t="str">
        <f t="shared" si="134"/>
        <v>C</v>
      </c>
      <c r="F593" s="1007" t="str">
        <f t="shared" si="135"/>
        <v>A</v>
      </c>
      <c r="G593" s="1008">
        <f t="shared" si="136"/>
        <v>85795</v>
      </c>
      <c r="H593" s="1138">
        <f t="shared" si="137"/>
        <v>0.80138888888888893</v>
      </c>
      <c r="I593" s="1009">
        <v>0.82291666666666663</v>
      </c>
      <c r="J593" s="1010">
        <f t="shared" si="138"/>
        <v>78.999999999999886</v>
      </c>
      <c r="K593" s="1011"/>
      <c r="L593" s="1012">
        <v>12</v>
      </c>
      <c r="M593" s="1013"/>
      <c r="N593" s="1014" t="str">
        <f t="shared" si="139"/>
        <v/>
      </c>
      <c r="O593" s="1323" t="s">
        <v>941</v>
      </c>
      <c r="P593" s="1324"/>
      <c r="Q593" s="1324"/>
      <c r="R593" s="1324"/>
      <c r="S593" s="1324"/>
      <c r="T593" s="1325"/>
      <c r="U593" s="1015"/>
      <c r="V593" s="1015"/>
      <c r="W593" s="1015"/>
      <c r="X593" s="1015"/>
      <c r="Y593" s="1015"/>
      <c r="Z593" s="1016">
        <f>'09월 에너지'!S595</f>
        <v>127.3</v>
      </c>
      <c r="AA593" s="1017">
        <v>3121</v>
      </c>
      <c r="AB593" s="1208" t="s">
        <v>933</v>
      </c>
      <c r="AC593" s="1208" t="s">
        <v>940</v>
      </c>
      <c r="AD593" s="1208" t="s">
        <v>548</v>
      </c>
      <c r="AE593" s="1208"/>
      <c r="AF593" s="1208" t="s">
        <v>532</v>
      </c>
      <c r="AG593" s="1018">
        <f>'09월 화학성분'!AM593</f>
        <v>3822</v>
      </c>
      <c r="AH593" s="1006">
        <f t="shared" si="128"/>
        <v>2</v>
      </c>
      <c r="AI593" s="1019">
        <v>1580</v>
      </c>
      <c r="AJ593" s="1020">
        <v>90</v>
      </c>
      <c r="AK593" s="1021">
        <v>404</v>
      </c>
      <c r="AL593" s="1022">
        <v>11</v>
      </c>
      <c r="AM593" s="1155">
        <f>IF(AT593="","",3*'09월 에너지'!S595*(1/(3+7.8*(100-AT593)/AT593)))</f>
        <v>0.19632942628007405</v>
      </c>
      <c r="AN593" s="1023">
        <v>0.21527777777777779</v>
      </c>
      <c r="AO593" s="1024"/>
      <c r="AP593" s="1025"/>
      <c r="AQ593" s="1025"/>
      <c r="AR593" s="1149">
        <v>4</v>
      </c>
      <c r="AS593" s="1093" t="str">
        <f t="shared" si="140"/>
        <v xml:space="preserve"> </v>
      </c>
      <c r="AT593" s="1156">
        <v>0.4</v>
      </c>
      <c r="AU593" s="449"/>
      <c r="AV593" s="1205"/>
    </row>
    <row r="594" spans="1:48" ht="16.5" customHeight="1">
      <c r="A594" s="1005">
        <f t="shared" si="130"/>
        <v>46287</v>
      </c>
      <c r="B594" s="1005">
        <f t="shared" si="131"/>
        <v>46287</v>
      </c>
      <c r="C594" s="1150">
        <f t="shared" si="132"/>
        <v>11</v>
      </c>
      <c r="D594" s="1150">
        <f t="shared" si="133"/>
        <v>583</v>
      </c>
      <c r="E594" s="1006" t="str">
        <f t="shared" si="134"/>
        <v>C</v>
      </c>
      <c r="F594" s="1007" t="str">
        <f t="shared" si="135"/>
        <v>B</v>
      </c>
      <c r="G594" s="1008">
        <f t="shared" si="136"/>
        <v>85796</v>
      </c>
      <c r="H594" s="1138">
        <f t="shared" si="137"/>
        <v>0.85624999999999996</v>
      </c>
      <c r="I594" s="1009">
        <v>0.91666666666666663</v>
      </c>
      <c r="J594" s="1010">
        <f t="shared" si="138"/>
        <v>135</v>
      </c>
      <c r="K594" s="1011">
        <v>67</v>
      </c>
      <c r="L594" s="1012">
        <v>25</v>
      </c>
      <c r="M594" s="1013">
        <v>0.85486111111111107</v>
      </c>
      <c r="N594" s="1014">
        <f t="shared" si="139"/>
        <v>0.9013888888888888</v>
      </c>
      <c r="O594" s="1323" t="s">
        <v>942</v>
      </c>
      <c r="P594" s="1324"/>
      <c r="Q594" s="1324"/>
      <c r="R594" s="1324"/>
      <c r="S594" s="1324"/>
      <c r="T594" s="1325"/>
      <c r="U594" s="1015">
        <v>1.8</v>
      </c>
      <c r="V594" s="1015"/>
      <c r="W594" s="1015"/>
      <c r="X594" s="1015"/>
      <c r="Y594" s="1015">
        <v>2.6</v>
      </c>
      <c r="Z594" s="1016">
        <f>'09월 에너지'!S596</f>
        <v>136.9</v>
      </c>
      <c r="AA594" s="1017"/>
      <c r="AB594" s="1208"/>
      <c r="AC594" s="1208"/>
      <c r="AD594" s="1208"/>
      <c r="AE594" s="1208"/>
      <c r="AF594" s="1208"/>
      <c r="AG594" s="1018">
        <f>'09월 화학성분'!AM594</f>
        <v>4236</v>
      </c>
      <c r="AH594" s="1006">
        <f t="shared" si="128"/>
        <v>3</v>
      </c>
      <c r="AI594" s="1019">
        <v>1533</v>
      </c>
      <c r="AJ594" s="1020">
        <v>0</v>
      </c>
      <c r="AK594" s="1021">
        <v>726</v>
      </c>
      <c r="AL594" s="1022">
        <v>5</v>
      </c>
      <c r="AM594" s="1155">
        <f>IF(AT594="","",3*'09월 에너지'!S596*(1/(3+7.8*(100-AT594)/AT594)))</f>
        <v>0.69002016129032262</v>
      </c>
      <c r="AN594" s="1023">
        <v>0.17500000000000002</v>
      </c>
      <c r="AO594" s="1024"/>
      <c r="AP594" s="1025"/>
      <c r="AQ594" s="1025"/>
      <c r="AR594" s="1149" t="str">
        <f t="shared" si="129"/>
        <v/>
      </c>
      <c r="AS594" s="1093">
        <f t="shared" si="140"/>
        <v>12</v>
      </c>
      <c r="AT594" s="1156">
        <v>1.3</v>
      </c>
      <c r="AU594" s="449"/>
      <c r="AV594" s="1205"/>
    </row>
    <row r="595" spans="1:48" ht="16.5" customHeight="1">
      <c r="A595" s="1005">
        <f t="shared" si="130"/>
        <v>46287</v>
      </c>
      <c r="B595" s="1005">
        <f t="shared" si="131"/>
        <v>46287</v>
      </c>
      <c r="C595" s="1150">
        <f t="shared" si="132"/>
        <v>12</v>
      </c>
      <c r="D595" s="1150">
        <f t="shared" si="133"/>
        <v>584</v>
      </c>
      <c r="E595" s="1006" t="str">
        <f t="shared" si="134"/>
        <v>C</v>
      </c>
      <c r="F595" s="1007" t="str">
        <f t="shared" si="135"/>
        <v>A</v>
      </c>
      <c r="G595" s="1008">
        <f t="shared" si="136"/>
        <v>85797</v>
      </c>
      <c r="H595" s="1138">
        <f t="shared" si="137"/>
        <v>0.95</v>
      </c>
      <c r="I595" s="1009">
        <v>0.93819444444444444</v>
      </c>
      <c r="J595" s="1010">
        <f t="shared" si="138"/>
        <v>31.00000000000005</v>
      </c>
      <c r="K595" s="1011"/>
      <c r="L595" s="1012"/>
      <c r="M595" s="1013"/>
      <c r="N595" s="1014" t="str">
        <f t="shared" si="139"/>
        <v/>
      </c>
      <c r="O595" s="1323" t="s">
        <v>530</v>
      </c>
      <c r="P595" s="1324"/>
      <c r="Q595" s="1324"/>
      <c r="R595" s="1324"/>
      <c r="S595" s="1324"/>
      <c r="T595" s="1325"/>
      <c r="U595" s="1015">
        <v>1.8</v>
      </c>
      <c r="V595" s="1015"/>
      <c r="W595" s="1015"/>
      <c r="X595" s="1015"/>
      <c r="Y595" s="1015">
        <v>2.2999999999999998</v>
      </c>
      <c r="Z595" s="1016">
        <f>'09월 에너지'!S597</f>
        <v>136</v>
      </c>
      <c r="AA595" s="1017">
        <v>1579</v>
      </c>
      <c r="AB595" s="1208" t="s">
        <v>573</v>
      </c>
      <c r="AC595" s="1208" t="s">
        <v>548</v>
      </c>
      <c r="AD595" s="1208"/>
      <c r="AE595" s="1208"/>
      <c r="AF595" s="1208" t="s">
        <v>532</v>
      </c>
      <c r="AG595" s="1018">
        <f>'09월 화학성분'!AM595</f>
        <v>2678</v>
      </c>
      <c r="AH595" s="1006">
        <f t="shared" si="128"/>
        <v>4</v>
      </c>
      <c r="AI595" s="1019">
        <v>1590</v>
      </c>
      <c r="AJ595" s="1020">
        <v>0</v>
      </c>
      <c r="AK595" s="1021">
        <v>725</v>
      </c>
      <c r="AL595" s="1022">
        <v>5</v>
      </c>
      <c r="AM595" s="1155">
        <f>IF(AT595="","",3*'09월 에너지'!S597*(1/(3+7.8*(100-AT595)/AT595)))</f>
        <v>0.31500926497838172</v>
      </c>
      <c r="AN595" s="1023">
        <v>0.21527777777777779</v>
      </c>
      <c r="AO595" s="1024"/>
      <c r="AP595" s="1025"/>
      <c r="AQ595" s="1025"/>
      <c r="AR595" s="1149">
        <f t="shared" si="129"/>
        <v>5</v>
      </c>
      <c r="AS595" s="1093" t="str">
        <f t="shared" si="140"/>
        <v xml:space="preserve"> </v>
      </c>
      <c r="AT595" s="1156">
        <v>0.6</v>
      </c>
      <c r="AU595" s="449"/>
      <c r="AV595" s="1205"/>
    </row>
    <row r="596" spans="1:48" ht="16.5" customHeight="1">
      <c r="A596" s="1005">
        <f t="shared" si="130"/>
        <v>46287</v>
      </c>
      <c r="B596" s="1005">
        <f t="shared" si="131"/>
        <v>46287</v>
      </c>
      <c r="C596" s="1150">
        <f t="shared" si="132"/>
        <v>13</v>
      </c>
      <c r="D596" s="1150">
        <f t="shared" si="133"/>
        <v>585</v>
      </c>
      <c r="E596" s="1006" t="s">
        <v>558</v>
      </c>
      <c r="F596" s="1007" t="str">
        <f t="shared" si="135"/>
        <v>B</v>
      </c>
      <c r="G596" s="1008">
        <f t="shared" si="136"/>
        <v>85798</v>
      </c>
      <c r="H596" s="1138">
        <f t="shared" si="137"/>
        <v>0.97152777777777777</v>
      </c>
      <c r="I596" s="1009">
        <v>0.97013888888888899</v>
      </c>
      <c r="J596" s="1010">
        <f t="shared" si="138"/>
        <v>46.000000000000156</v>
      </c>
      <c r="K596" s="1011"/>
      <c r="L596" s="1012"/>
      <c r="M596" s="1013"/>
      <c r="N596" s="1014" t="str">
        <f t="shared" si="139"/>
        <v/>
      </c>
      <c r="O596" s="1323"/>
      <c r="P596" s="1324"/>
      <c r="Q596" s="1324"/>
      <c r="R596" s="1324"/>
      <c r="S596" s="1324"/>
      <c r="T596" s="1325"/>
      <c r="U596" s="1015">
        <v>1.8</v>
      </c>
      <c r="V596" s="1015"/>
      <c r="W596" s="1015"/>
      <c r="X596" s="1015"/>
      <c r="Y596" s="1015">
        <v>2.6</v>
      </c>
      <c r="Z596" s="1016">
        <f>'09월 에너지'!S598</f>
        <v>143.1</v>
      </c>
      <c r="AA596" s="1017"/>
      <c r="AB596" s="1208"/>
      <c r="AC596" s="1208"/>
      <c r="AD596" s="1208"/>
      <c r="AE596" s="1208"/>
      <c r="AF596" s="1208"/>
      <c r="AG596" s="1018">
        <f>'09월 화학성분'!AM596</f>
        <v>2058</v>
      </c>
      <c r="AH596" s="1006">
        <f t="shared" si="128"/>
        <v>5</v>
      </c>
      <c r="AI596" s="1019">
        <v>1532</v>
      </c>
      <c r="AJ596" s="1020">
        <v>0</v>
      </c>
      <c r="AK596" s="1021">
        <v>718</v>
      </c>
      <c r="AL596" s="1022">
        <v>5</v>
      </c>
      <c r="AM596" s="1155">
        <f>IF(AT596="","",3*'09월 에너지'!S598*(1/(3+7.8*(100-AT596)/AT596)))</f>
        <v>0.27604166666666663</v>
      </c>
      <c r="AN596" s="1023">
        <v>0.17916666666666667</v>
      </c>
      <c r="AO596" s="1024"/>
      <c r="AP596" s="1025"/>
      <c r="AQ596" s="1025"/>
      <c r="AR596" s="1149" t="str">
        <f t="shared" si="129"/>
        <v/>
      </c>
      <c r="AS596" s="1093">
        <f t="shared" si="140"/>
        <v>13</v>
      </c>
      <c r="AT596" s="1156">
        <v>0.5</v>
      </c>
      <c r="AU596" s="449"/>
      <c r="AV596" s="1205"/>
    </row>
    <row r="597" spans="1:48" ht="16.5" customHeight="1">
      <c r="A597" s="1005">
        <f t="shared" si="130"/>
        <v>46287</v>
      </c>
      <c r="B597" s="1005">
        <f t="shared" si="131"/>
        <v>46287</v>
      </c>
      <c r="C597" s="1150">
        <f t="shared" si="132"/>
        <v>14</v>
      </c>
      <c r="D597" s="1150">
        <f t="shared" si="133"/>
        <v>586</v>
      </c>
      <c r="E597" s="1006" t="str">
        <f t="shared" si="134"/>
        <v>D</v>
      </c>
      <c r="F597" s="1007" t="str">
        <f t="shared" si="135"/>
        <v>A</v>
      </c>
      <c r="G597" s="1008">
        <f t="shared" si="136"/>
        <v>85799</v>
      </c>
      <c r="H597" s="1138">
        <f t="shared" si="137"/>
        <v>1.0034722222222223</v>
      </c>
      <c r="I597" s="1009">
        <v>1.3888888888888889E-3</v>
      </c>
      <c r="J597" s="1010">
        <f t="shared" si="138"/>
        <v>44.999999999999773</v>
      </c>
      <c r="K597" s="1011"/>
      <c r="L597" s="1012"/>
      <c r="M597" s="1013"/>
      <c r="N597" s="1014" t="str">
        <f t="shared" si="139"/>
        <v/>
      </c>
      <c r="O597" s="1338" t="s">
        <v>944</v>
      </c>
      <c r="P597" s="1324"/>
      <c r="Q597" s="1324"/>
      <c r="R597" s="1324"/>
      <c r="S597" s="1324"/>
      <c r="T597" s="1325"/>
      <c r="U597" s="1015">
        <v>1.8</v>
      </c>
      <c r="V597" s="1015"/>
      <c r="W597" s="1015"/>
      <c r="X597" s="1015"/>
      <c r="Y597" s="1015">
        <v>2.7</v>
      </c>
      <c r="Z597" s="1016">
        <f>'09월 에너지'!S599</f>
        <v>139.5</v>
      </c>
      <c r="AA597" s="1017"/>
      <c r="AB597" s="1208"/>
      <c r="AC597" s="1208"/>
      <c r="AD597" s="1208"/>
      <c r="AE597" s="1208"/>
      <c r="AF597" s="1208"/>
      <c r="AG597" s="1018">
        <f>'09월 화학성분'!AM597</f>
        <v>2117</v>
      </c>
      <c r="AH597" s="1006">
        <f t="shared" si="128"/>
        <v>6</v>
      </c>
      <c r="AI597" s="1019">
        <v>1568</v>
      </c>
      <c r="AJ597" s="1020">
        <v>74</v>
      </c>
      <c r="AK597" s="1021">
        <v>666</v>
      </c>
      <c r="AL597" s="1022">
        <v>6</v>
      </c>
      <c r="AM597" s="1155">
        <f>IF(AT597="","",3*'09월 에너지'!S599*(1/(3+7.8*(100-AT597)/AT597)))</f>
        <v>0.64863608183508981</v>
      </c>
      <c r="AN597" s="1023">
        <v>0.20138888888888887</v>
      </c>
      <c r="AO597" s="1024"/>
      <c r="AP597" s="1025"/>
      <c r="AQ597" s="1025"/>
      <c r="AR597" s="1149">
        <f t="shared" si="129"/>
        <v>6</v>
      </c>
      <c r="AS597" s="1093" t="str">
        <f t="shared" si="140"/>
        <v xml:space="preserve"> </v>
      </c>
      <c r="AT597" s="1156">
        <v>1.2</v>
      </c>
      <c r="AU597" s="449"/>
      <c r="AV597" s="1205"/>
    </row>
    <row r="598" spans="1:48" ht="16.5" customHeight="1">
      <c r="A598" s="1005">
        <f t="shared" si="130"/>
        <v>46287</v>
      </c>
      <c r="B598" s="1005">
        <f t="shared" si="131"/>
        <v>46287</v>
      </c>
      <c r="C598" s="1150">
        <f t="shared" si="132"/>
        <v>15</v>
      </c>
      <c r="D598" s="1150">
        <f t="shared" si="133"/>
        <v>587</v>
      </c>
      <c r="E598" s="1006" t="str">
        <f t="shared" si="134"/>
        <v>D</v>
      </c>
      <c r="F598" s="1007" t="str">
        <f t="shared" si="135"/>
        <v>B</v>
      </c>
      <c r="G598" s="1008">
        <f t="shared" si="136"/>
        <v>85800</v>
      </c>
      <c r="H598" s="1138">
        <f t="shared" si="137"/>
        <v>3.4722222222222224E-2</v>
      </c>
      <c r="I598" s="1009">
        <v>3.4027777777777775E-2</v>
      </c>
      <c r="J598" s="1010">
        <f t="shared" si="138"/>
        <v>46.999999999999993</v>
      </c>
      <c r="K598" s="1011"/>
      <c r="L598" s="1012"/>
      <c r="M598" s="1013"/>
      <c r="N598" s="1014" t="str">
        <f t="shared" si="139"/>
        <v/>
      </c>
      <c r="O598" s="1323"/>
      <c r="P598" s="1324"/>
      <c r="Q598" s="1324"/>
      <c r="R598" s="1324"/>
      <c r="S598" s="1324"/>
      <c r="T598" s="1325"/>
      <c r="U598" s="1015">
        <v>1.8</v>
      </c>
      <c r="V598" s="1015"/>
      <c r="W598" s="1015"/>
      <c r="X598" s="1015"/>
      <c r="Y598" s="1015">
        <v>2.4</v>
      </c>
      <c r="Z598" s="1016">
        <f>'09월 에너지'!S600</f>
        <v>145.4</v>
      </c>
      <c r="AA598" s="1017"/>
      <c r="AB598" s="1208"/>
      <c r="AC598" s="1208"/>
      <c r="AD598" s="1208"/>
      <c r="AE598" s="1208"/>
      <c r="AF598" s="1208"/>
      <c r="AG598" s="1018">
        <f>'09월 화학성분'!AM598</f>
        <v>1881</v>
      </c>
      <c r="AH598" s="1006">
        <f t="shared" si="128"/>
        <v>7</v>
      </c>
      <c r="AI598" s="1019">
        <v>1547</v>
      </c>
      <c r="AJ598" s="1020">
        <v>120</v>
      </c>
      <c r="AK598" s="1021">
        <v>676</v>
      </c>
      <c r="AL598" s="1022">
        <v>5</v>
      </c>
      <c r="AM598" s="1155">
        <f>IF(AT598="","",3*'09월 에너지'!S600*(1/(3+7.8*(100-AT598)/AT598)))</f>
        <v>0.28047839506172845</v>
      </c>
      <c r="AN598" s="1023">
        <v>0.16944444444444443</v>
      </c>
      <c r="AO598" s="1024"/>
      <c r="AP598" s="1025"/>
      <c r="AQ598" s="1025"/>
      <c r="AR598" s="1149" t="str">
        <f t="shared" si="129"/>
        <v/>
      </c>
      <c r="AS598" s="1093">
        <f t="shared" si="140"/>
        <v>14</v>
      </c>
      <c r="AT598" s="1156">
        <v>0.5</v>
      </c>
      <c r="AU598" s="449"/>
      <c r="AV598" s="1205"/>
    </row>
    <row r="599" spans="1:48" ht="16.5" customHeight="1">
      <c r="A599" s="1005">
        <f t="shared" si="130"/>
        <v>46287</v>
      </c>
      <c r="B599" s="1005">
        <f t="shared" si="131"/>
        <v>46287</v>
      </c>
      <c r="C599" s="1150">
        <f t="shared" si="132"/>
        <v>16</v>
      </c>
      <c r="D599" s="1150">
        <f t="shared" si="133"/>
        <v>588</v>
      </c>
      <c r="E599" s="1006" t="str">
        <f t="shared" si="134"/>
        <v>D</v>
      </c>
      <c r="F599" s="1007" t="str">
        <f t="shared" si="135"/>
        <v>A</v>
      </c>
      <c r="G599" s="1008">
        <f t="shared" si="136"/>
        <v>85801</v>
      </c>
      <c r="H599" s="1138">
        <f t="shared" si="137"/>
        <v>6.7361111111111108E-2</v>
      </c>
      <c r="I599" s="1009">
        <v>6.5972222222222224E-2</v>
      </c>
      <c r="J599" s="1010">
        <f t="shared" si="138"/>
        <v>46.000000000000007</v>
      </c>
      <c r="K599" s="1011"/>
      <c r="L599" s="1012"/>
      <c r="M599" s="1013"/>
      <c r="N599" s="1014" t="str">
        <f t="shared" si="139"/>
        <v/>
      </c>
      <c r="O599" s="1323" t="s">
        <v>529</v>
      </c>
      <c r="P599" s="1324"/>
      <c r="Q599" s="1324"/>
      <c r="R599" s="1324"/>
      <c r="S599" s="1324"/>
      <c r="T599" s="1325"/>
      <c r="U599" s="1015">
        <v>1.8</v>
      </c>
      <c r="V599" s="1015">
        <v>2.7</v>
      </c>
      <c r="W599" s="1015">
        <v>1.5</v>
      </c>
      <c r="X599" s="1015"/>
      <c r="Y599" s="1015"/>
      <c r="Z599" s="1016">
        <f>'09월 에너지'!S601</f>
        <v>141.30000000000001</v>
      </c>
      <c r="AA599" s="1017"/>
      <c r="AB599" s="1208"/>
      <c r="AC599" s="1208"/>
      <c r="AD599" s="1208"/>
      <c r="AE599" s="1208"/>
      <c r="AF599" s="1208"/>
      <c r="AG599" s="1018">
        <f>'09월 화학성분'!AM599</f>
        <v>2321</v>
      </c>
      <c r="AH599" s="1006">
        <f t="shared" si="128"/>
        <v>8</v>
      </c>
      <c r="AI599" s="1019">
        <v>1537</v>
      </c>
      <c r="AJ599" s="1020">
        <v>88</v>
      </c>
      <c r="AK599" s="1021">
        <v>705</v>
      </c>
      <c r="AL599" s="1022">
        <v>5</v>
      </c>
      <c r="AM599" s="1155">
        <f>IF(AT599="","",3*'09월 에너지'!S601*(1/(3+7.8*(100-AT599)/AT599)))</f>
        <v>0.27256944444444448</v>
      </c>
      <c r="AN599" s="1023">
        <v>0.20486111111111113</v>
      </c>
      <c r="AO599" s="1024"/>
      <c r="AP599" s="1025"/>
      <c r="AQ599" s="1025"/>
      <c r="AR599" s="1149">
        <f t="shared" si="129"/>
        <v>7</v>
      </c>
      <c r="AS599" s="1093" t="str">
        <f t="shared" si="140"/>
        <v xml:space="preserve"> </v>
      </c>
      <c r="AT599" s="1156">
        <v>0.5</v>
      </c>
      <c r="AU599" s="449"/>
      <c r="AV599" s="1205"/>
    </row>
    <row r="600" spans="1:48" ht="16.5" customHeight="1">
      <c r="A600" s="1005">
        <f t="shared" si="130"/>
        <v>46287</v>
      </c>
      <c r="B600" s="1005">
        <f t="shared" si="131"/>
        <v>46287</v>
      </c>
      <c r="C600" s="1150">
        <f t="shared" si="132"/>
        <v>17</v>
      </c>
      <c r="D600" s="1150">
        <f t="shared" si="133"/>
        <v>589</v>
      </c>
      <c r="E600" s="1006" t="str">
        <f t="shared" si="134"/>
        <v>D</v>
      </c>
      <c r="F600" s="1007" t="str">
        <f t="shared" si="135"/>
        <v>B</v>
      </c>
      <c r="G600" s="1008">
        <f t="shared" si="136"/>
        <v>85802</v>
      </c>
      <c r="H600" s="1138">
        <f t="shared" si="137"/>
        <v>9.9305555555555564E-2</v>
      </c>
      <c r="I600" s="1009">
        <v>9.7222222222222224E-2</v>
      </c>
      <c r="J600" s="1010">
        <f t="shared" si="138"/>
        <v>45</v>
      </c>
      <c r="K600" s="1011"/>
      <c r="L600" s="1012"/>
      <c r="M600" s="1013"/>
      <c r="N600" s="1014" t="str">
        <f t="shared" si="139"/>
        <v/>
      </c>
      <c r="O600" s="1338" t="s">
        <v>740</v>
      </c>
      <c r="P600" s="1324"/>
      <c r="Q600" s="1324"/>
      <c r="R600" s="1324"/>
      <c r="S600" s="1324"/>
      <c r="T600" s="1325"/>
      <c r="U600" s="1015">
        <v>1.8</v>
      </c>
      <c r="V600" s="1015">
        <v>2.8</v>
      </c>
      <c r="W600" s="1015">
        <v>1.4</v>
      </c>
      <c r="X600" s="1015"/>
      <c r="Y600" s="1015"/>
      <c r="Z600" s="1016">
        <f>'09월 에너지'!S602</f>
        <v>145.4</v>
      </c>
      <c r="AA600" s="1017"/>
      <c r="AB600" s="1208"/>
      <c r="AC600" s="1208"/>
      <c r="AD600" s="1208"/>
      <c r="AE600" s="1208"/>
      <c r="AF600" s="1208"/>
      <c r="AG600" s="1018">
        <f>'09월 화학성분'!AM600</f>
        <v>1955</v>
      </c>
      <c r="AH600" s="1006">
        <f t="shared" si="128"/>
        <v>9</v>
      </c>
      <c r="AI600" s="1019">
        <v>1558</v>
      </c>
      <c r="AJ600" s="1020">
        <v>0</v>
      </c>
      <c r="AK600" s="1021">
        <v>672</v>
      </c>
      <c r="AL600" s="1022">
        <v>6</v>
      </c>
      <c r="AM600" s="1155">
        <f>IF(AT600="","",3*'09월 에너지'!S602*(1/(3+7.8*(100-AT600)/AT600)))</f>
        <v>0.50611076732673277</v>
      </c>
      <c r="AN600" s="1023">
        <v>0.22569444444444445</v>
      </c>
      <c r="AO600" s="1024"/>
      <c r="AP600" s="1025"/>
      <c r="AQ600" s="1025"/>
      <c r="AR600" s="1149" t="str">
        <f t="shared" si="129"/>
        <v/>
      </c>
      <c r="AS600" s="1093">
        <f t="shared" si="140"/>
        <v>15</v>
      </c>
      <c r="AT600" s="1156">
        <v>0.9</v>
      </c>
      <c r="AU600" s="449"/>
      <c r="AV600" s="1205"/>
    </row>
    <row r="601" spans="1:48" ht="16.5" customHeight="1">
      <c r="A601" s="1005">
        <f t="shared" si="130"/>
        <v>46287</v>
      </c>
      <c r="B601" s="1005">
        <f t="shared" si="131"/>
        <v>46287</v>
      </c>
      <c r="C601" s="1150">
        <f t="shared" si="132"/>
        <v>18</v>
      </c>
      <c r="D601" s="1150">
        <f t="shared" si="133"/>
        <v>590</v>
      </c>
      <c r="E601" s="1006" t="str">
        <f t="shared" si="134"/>
        <v>D</v>
      </c>
      <c r="F601" s="1007" t="str">
        <f t="shared" si="135"/>
        <v>A</v>
      </c>
      <c r="G601" s="1008">
        <f t="shared" si="136"/>
        <v>85803</v>
      </c>
      <c r="H601" s="1138">
        <f t="shared" si="137"/>
        <v>0.13055555555555556</v>
      </c>
      <c r="I601" s="1009">
        <v>0.13194444444444445</v>
      </c>
      <c r="J601" s="1010">
        <f t="shared" si="138"/>
        <v>50</v>
      </c>
      <c r="K601" s="1011"/>
      <c r="L601" s="1012"/>
      <c r="M601" s="1013"/>
      <c r="N601" s="1014" t="str">
        <f t="shared" si="139"/>
        <v/>
      </c>
      <c r="O601" s="1323" t="s">
        <v>946</v>
      </c>
      <c r="P601" s="1324"/>
      <c r="Q601" s="1324"/>
      <c r="R601" s="1324"/>
      <c r="S601" s="1324"/>
      <c r="T601" s="1325"/>
      <c r="U601" s="1015">
        <v>1.8</v>
      </c>
      <c r="V601" s="1015"/>
      <c r="W601" s="1015"/>
      <c r="X601" s="1015"/>
      <c r="Y601" s="1015">
        <v>2.9</v>
      </c>
      <c r="Z601" s="1016">
        <f>'09월 에너지'!S603</f>
        <v>143</v>
      </c>
      <c r="AA601" s="1017"/>
      <c r="AB601" s="1208"/>
      <c r="AC601" s="1208"/>
      <c r="AD601" s="1208"/>
      <c r="AE601" s="1208"/>
      <c r="AF601" s="1208"/>
      <c r="AG601" s="1018">
        <f>'09월 화학성분'!AM601</f>
        <v>2479</v>
      </c>
      <c r="AH601" s="1006">
        <f t="shared" si="128"/>
        <v>10</v>
      </c>
      <c r="AI601" s="1019">
        <v>1548</v>
      </c>
      <c r="AJ601" s="1020">
        <v>0</v>
      </c>
      <c r="AK601" s="1021">
        <v>749</v>
      </c>
      <c r="AL601" s="1022">
        <v>5</v>
      </c>
      <c r="AM601" s="1155">
        <f>IF(AT601="","",3*'09월 에너지'!S603*(1/(3+7.8*(100-AT601)/AT601)))</f>
        <v>0.44217687074829931</v>
      </c>
      <c r="AN601" s="1023">
        <v>0.19999999999999998</v>
      </c>
      <c r="AO601" s="1024"/>
      <c r="AP601" s="1025"/>
      <c r="AQ601" s="1025"/>
      <c r="AR601" s="1149">
        <f t="shared" si="129"/>
        <v>8</v>
      </c>
      <c r="AS601" s="1093" t="str">
        <f t="shared" si="140"/>
        <v xml:space="preserve"> </v>
      </c>
      <c r="AT601" s="1156">
        <v>0.8</v>
      </c>
      <c r="AU601" s="449"/>
      <c r="AV601" s="1205"/>
    </row>
    <row r="602" spans="1:48" ht="16.5" customHeight="1">
      <c r="A602" s="1005">
        <v>46288</v>
      </c>
      <c r="B602" s="1005">
        <f t="shared" si="131"/>
        <v>46287</v>
      </c>
      <c r="C602" s="1150">
        <f t="shared" si="132"/>
        <v>1</v>
      </c>
      <c r="D602" s="1150">
        <f t="shared" si="133"/>
        <v>591</v>
      </c>
      <c r="E602" s="1006" t="str">
        <f t="shared" si="134"/>
        <v>D</v>
      </c>
      <c r="F602" s="1007" t="str">
        <f t="shared" si="135"/>
        <v>B</v>
      </c>
      <c r="G602" s="1008">
        <f t="shared" si="136"/>
        <v>85804</v>
      </c>
      <c r="H602" s="1138">
        <f t="shared" si="137"/>
        <v>0.16527777777777777</v>
      </c>
      <c r="I602" s="1009">
        <v>0.16597222222222222</v>
      </c>
      <c r="J602" s="1010">
        <f t="shared" si="138"/>
        <v>48.999999999999986</v>
      </c>
      <c r="K602" s="1011"/>
      <c r="L602" s="1012"/>
      <c r="M602" s="1013"/>
      <c r="N602" s="1014" t="str">
        <f t="shared" si="139"/>
        <v/>
      </c>
      <c r="O602" s="1323" t="s">
        <v>950</v>
      </c>
      <c r="P602" s="1324"/>
      <c r="Q602" s="1324"/>
      <c r="R602" s="1324"/>
      <c r="S602" s="1324"/>
      <c r="T602" s="1325"/>
      <c r="U602" s="1015">
        <v>1.8</v>
      </c>
      <c r="V602" s="1015"/>
      <c r="W602" s="1015"/>
      <c r="X602" s="1015"/>
      <c r="Y602" s="1015">
        <v>2.7</v>
      </c>
      <c r="Z602" s="1016">
        <f>'09월 에너지'!S604</f>
        <v>145</v>
      </c>
      <c r="AA602" s="1017">
        <v>2609</v>
      </c>
      <c r="AB602" s="1208" t="s">
        <v>573</v>
      </c>
      <c r="AC602" s="1208"/>
      <c r="AD602" s="1208" t="s">
        <v>532</v>
      </c>
      <c r="AE602" s="1208"/>
      <c r="AF602" s="1208" t="s">
        <v>948</v>
      </c>
      <c r="AG602" s="1018">
        <f>'09월 화학성분'!AM602</f>
        <v>1313</v>
      </c>
      <c r="AH602" s="1006">
        <f t="shared" si="128"/>
        <v>11</v>
      </c>
      <c r="AI602" s="1019">
        <v>1576</v>
      </c>
      <c r="AJ602" s="1020">
        <v>22</v>
      </c>
      <c r="AK602" s="1021">
        <v>919</v>
      </c>
      <c r="AL602" s="1022">
        <v>4</v>
      </c>
      <c r="AM602" s="1155">
        <f>IF(AT602="","",3*'09월 에너지'!S604*(1/(3+7.8*(100-AT602)/AT602)))</f>
        <v>0.56114551083591346</v>
      </c>
      <c r="AN602" s="1023">
        <v>0.17361111111111113</v>
      </c>
      <c r="AO602" s="1024" t="s">
        <v>587</v>
      </c>
      <c r="AP602" s="1025">
        <v>2000101</v>
      </c>
      <c r="AQ602" s="1025">
        <v>2111</v>
      </c>
      <c r="AR602" s="1149" t="str">
        <f t="shared" si="129"/>
        <v/>
      </c>
      <c r="AS602" s="1093">
        <v>1</v>
      </c>
      <c r="AT602" s="1156">
        <v>1</v>
      </c>
      <c r="AU602" s="449"/>
      <c r="AV602" s="1205"/>
    </row>
    <row r="603" spans="1:48" ht="16.5" customHeight="1">
      <c r="A603" s="1005">
        <f t="shared" si="130"/>
        <v>46288</v>
      </c>
      <c r="B603" s="1005">
        <f t="shared" si="131"/>
        <v>46287</v>
      </c>
      <c r="C603" s="1150">
        <f t="shared" si="132"/>
        <v>2</v>
      </c>
      <c r="D603" s="1150">
        <f t="shared" si="133"/>
        <v>592</v>
      </c>
      <c r="E603" s="1006" t="str">
        <f t="shared" si="134"/>
        <v>D</v>
      </c>
      <c r="F603" s="1007" t="str">
        <f t="shared" si="135"/>
        <v>A</v>
      </c>
      <c r="G603" s="1008">
        <f t="shared" si="136"/>
        <v>85805</v>
      </c>
      <c r="H603" s="1138">
        <f t="shared" si="137"/>
        <v>0.19930555555555554</v>
      </c>
      <c r="I603" s="1009">
        <v>0.19930555555555554</v>
      </c>
      <c r="J603" s="1010">
        <f t="shared" si="138"/>
        <v>47.999999999999986</v>
      </c>
      <c r="K603" s="1011"/>
      <c r="L603" s="1012"/>
      <c r="M603" s="1013"/>
      <c r="N603" s="1014" t="str">
        <f t="shared" si="139"/>
        <v/>
      </c>
      <c r="O603" s="1323"/>
      <c r="P603" s="1324"/>
      <c r="Q603" s="1324"/>
      <c r="R603" s="1324"/>
      <c r="S603" s="1324"/>
      <c r="T603" s="1325"/>
      <c r="U603" s="1015">
        <v>1.8</v>
      </c>
      <c r="V603" s="1015">
        <v>2.7</v>
      </c>
      <c r="W603" s="1015">
        <v>1.2</v>
      </c>
      <c r="X603" s="1015"/>
      <c r="Y603" s="1015"/>
      <c r="Z603" s="1016">
        <f>'09월 에너지'!S605</f>
        <v>142.9</v>
      </c>
      <c r="AA603" s="1017"/>
      <c r="AB603" s="1208"/>
      <c r="AC603" s="1208"/>
      <c r="AD603" s="1208"/>
      <c r="AE603" s="1208"/>
      <c r="AF603" s="1208"/>
      <c r="AG603" s="1018">
        <f>'09월 화학성분'!AM603</f>
        <v>2790</v>
      </c>
      <c r="AH603" s="1006">
        <f t="shared" si="128"/>
        <v>12</v>
      </c>
      <c r="AI603" s="1019">
        <v>1562</v>
      </c>
      <c r="AJ603" s="1020">
        <v>0</v>
      </c>
      <c r="AK603" s="1021">
        <v>749</v>
      </c>
      <c r="AL603" s="1022">
        <v>5</v>
      </c>
      <c r="AM603" s="1155">
        <f>IF(AT603="","",3*'09월 에너지'!S605*(1/(3+7.8*(100-AT603)/AT603)))</f>
        <v>0.38639524103831896</v>
      </c>
      <c r="AN603" s="1023">
        <v>0.18472222222222223</v>
      </c>
      <c r="AO603" s="1024"/>
      <c r="AP603" s="1025"/>
      <c r="AQ603" s="1025"/>
      <c r="AR603" s="1149">
        <f t="shared" si="129"/>
        <v>9</v>
      </c>
      <c r="AS603" s="1093" t="str">
        <f t="shared" si="140"/>
        <v xml:space="preserve"> </v>
      </c>
      <c r="AT603" s="1156">
        <v>0.7</v>
      </c>
      <c r="AU603" s="449"/>
      <c r="AV603" s="1205"/>
    </row>
    <row r="604" spans="1:48" ht="16.5" customHeight="1">
      <c r="A604" s="1005">
        <f t="shared" si="130"/>
        <v>46288</v>
      </c>
      <c r="B604" s="1005">
        <f t="shared" si="131"/>
        <v>46287</v>
      </c>
      <c r="C604" s="1150">
        <f t="shared" si="132"/>
        <v>3</v>
      </c>
      <c r="D604" s="1150">
        <f t="shared" si="133"/>
        <v>593</v>
      </c>
      <c r="E604" s="1006" t="str">
        <f t="shared" si="134"/>
        <v>D</v>
      </c>
      <c r="F604" s="1007" t="str">
        <f t="shared" si="135"/>
        <v>B</v>
      </c>
      <c r="G604" s="1008">
        <f t="shared" si="136"/>
        <v>85806</v>
      </c>
      <c r="H604" s="1138">
        <f t="shared" si="137"/>
        <v>0.23263888888888887</v>
      </c>
      <c r="I604" s="1009">
        <v>0.23263888888888887</v>
      </c>
      <c r="J604" s="1010">
        <f t="shared" si="138"/>
        <v>47.999999999999986</v>
      </c>
      <c r="K604" s="1011"/>
      <c r="L604" s="1012"/>
      <c r="M604" s="1013"/>
      <c r="N604" s="1014" t="str">
        <f t="shared" si="139"/>
        <v/>
      </c>
      <c r="O604" s="1323" t="s">
        <v>949</v>
      </c>
      <c r="P604" s="1324"/>
      <c r="Q604" s="1324"/>
      <c r="R604" s="1324"/>
      <c r="S604" s="1324"/>
      <c r="T604" s="1325"/>
      <c r="U604" s="1015">
        <v>1.8</v>
      </c>
      <c r="V604" s="1015">
        <v>2.5</v>
      </c>
      <c r="W604" s="1015">
        <v>1.6</v>
      </c>
      <c r="X604" s="1015"/>
      <c r="Y604" s="1015"/>
      <c r="Z604" s="1016">
        <f>'09월 에너지'!S606</f>
        <v>146.69999999999999</v>
      </c>
      <c r="AA604" s="1017">
        <v>771</v>
      </c>
      <c r="AB604" s="1208" t="s">
        <v>551</v>
      </c>
      <c r="AC604" s="1208"/>
      <c r="AD604" s="1208" t="s">
        <v>733</v>
      </c>
      <c r="AE604" s="1208"/>
      <c r="AF604" s="1208"/>
      <c r="AG604" s="1018">
        <f>'09월 화학성분'!AM604</f>
        <v>2002</v>
      </c>
      <c r="AH604" s="1006">
        <f t="shared" si="128"/>
        <v>13</v>
      </c>
      <c r="AI604" s="1019">
        <v>1546</v>
      </c>
      <c r="AJ604" s="1020">
        <v>43</v>
      </c>
      <c r="AK604" s="1021">
        <v>927</v>
      </c>
      <c r="AL604" s="1022">
        <v>4</v>
      </c>
      <c r="AM604" s="1155">
        <f>IF(AT604="","",3*'09월 에너지'!S606*(1/(3+7.8*(100-AT604)/AT604)))</f>
        <v>0.51063582920792083</v>
      </c>
      <c r="AN604" s="1023">
        <v>0.24722222222222223</v>
      </c>
      <c r="AO604" s="1024"/>
      <c r="AP604" s="1025"/>
      <c r="AQ604" s="1025"/>
      <c r="AR604" s="1149" t="str">
        <f t="shared" si="129"/>
        <v/>
      </c>
      <c r="AS604" s="1093">
        <f t="shared" si="140"/>
        <v>2</v>
      </c>
      <c r="AT604" s="1156">
        <v>0.9</v>
      </c>
      <c r="AU604" s="449"/>
      <c r="AV604" s="1205"/>
    </row>
    <row r="605" spans="1:48" ht="16.5" customHeight="1">
      <c r="A605" s="1005">
        <f t="shared" si="130"/>
        <v>46288</v>
      </c>
      <c r="B605" s="1005">
        <f t="shared" si="131"/>
        <v>46287</v>
      </c>
      <c r="C605" s="1150">
        <f t="shared" si="132"/>
        <v>4</v>
      </c>
      <c r="D605" s="1150">
        <f t="shared" si="133"/>
        <v>594</v>
      </c>
      <c r="E605" s="1006" t="str">
        <f t="shared" si="134"/>
        <v>D</v>
      </c>
      <c r="F605" s="1007" t="str">
        <f t="shared" si="135"/>
        <v>A</v>
      </c>
      <c r="G605" s="1008">
        <f t="shared" si="136"/>
        <v>85807</v>
      </c>
      <c r="H605" s="1138">
        <f t="shared" si="137"/>
        <v>0.26597222222222222</v>
      </c>
      <c r="I605" s="1009">
        <v>0.26527777777777778</v>
      </c>
      <c r="J605" s="1010">
        <f t="shared" si="138"/>
        <v>47.000000000000036</v>
      </c>
      <c r="K605" s="1011"/>
      <c r="L605" s="1012"/>
      <c r="M605" s="1013"/>
      <c r="N605" s="1014" t="str">
        <f t="shared" si="139"/>
        <v/>
      </c>
      <c r="O605" s="1323" t="s">
        <v>952</v>
      </c>
      <c r="P605" s="1324"/>
      <c r="Q605" s="1324"/>
      <c r="R605" s="1324"/>
      <c r="S605" s="1324"/>
      <c r="T605" s="1325"/>
      <c r="U605" s="1015">
        <v>1.8</v>
      </c>
      <c r="V605" s="1015"/>
      <c r="W605" s="1015"/>
      <c r="X605" s="1015"/>
      <c r="Y605" s="1015">
        <v>2.9</v>
      </c>
      <c r="Z605" s="1016">
        <f>'09월 에너지'!S607</f>
        <v>141.6</v>
      </c>
      <c r="AA605" s="1017">
        <v>1561</v>
      </c>
      <c r="AB605" s="1208" t="s">
        <v>951</v>
      </c>
      <c r="AC605" s="1208" t="s">
        <v>532</v>
      </c>
      <c r="AD605" s="1208"/>
      <c r="AE605" s="1208"/>
      <c r="AF605" s="1208" t="s">
        <v>548</v>
      </c>
      <c r="AG605" s="1018">
        <f>'09월 화학성분'!AM605</f>
        <v>1886</v>
      </c>
      <c r="AH605" s="1006">
        <f t="shared" si="128"/>
        <v>14</v>
      </c>
      <c r="AI605" s="1019">
        <v>1561</v>
      </c>
      <c r="AJ605" s="1020">
        <v>0</v>
      </c>
      <c r="AK605" s="1021">
        <v>927</v>
      </c>
      <c r="AL605" s="1022">
        <v>4</v>
      </c>
      <c r="AM605" s="1155">
        <f>IF(AT605="","",3*'09월 에너지'!S607*(1/(3+7.8*(100-AT605)/AT605)))</f>
        <v>0.9912881144990664</v>
      </c>
      <c r="AN605" s="1023">
        <v>0.20138888888888887</v>
      </c>
      <c r="AO605" s="1024"/>
      <c r="AP605" s="1025"/>
      <c r="AQ605" s="1025"/>
      <c r="AR605" s="1149">
        <f t="shared" si="129"/>
        <v>10</v>
      </c>
      <c r="AS605" s="1093" t="str">
        <f t="shared" si="140"/>
        <v xml:space="preserve"> </v>
      </c>
      <c r="AT605" s="1156">
        <v>1.8</v>
      </c>
      <c r="AU605" s="449"/>
      <c r="AV605" s="1205"/>
    </row>
    <row r="606" spans="1:48" ht="16.5" customHeight="1">
      <c r="A606" s="1005">
        <f t="shared" si="130"/>
        <v>46288</v>
      </c>
      <c r="B606" s="1005">
        <v>46288</v>
      </c>
      <c r="C606" s="1150">
        <f t="shared" si="132"/>
        <v>5</v>
      </c>
      <c r="D606" s="1150">
        <f t="shared" si="133"/>
        <v>595</v>
      </c>
      <c r="E606" s="1006" t="s">
        <v>600</v>
      </c>
      <c r="F606" s="1007" t="str">
        <f t="shared" si="135"/>
        <v>B</v>
      </c>
      <c r="G606" s="1008">
        <f t="shared" si="136"/>
        <v>85808</v>
      </c>
      <c r="H606" s="1138">
        <f t="shared" si="137"/>
        <v>0.2986111111111111</v>
      </c>
      <c r="I606" s="1009">
        <v>0.29652777777777778</v>
      </c>
      <c r="J606" s="1010">
        <f t="shared" si="138"/>
        <v>45</v>
      </c>
      <c r="K606" s="1011"/>
      <c r="L606" s="1012"/>
      <c r="M606" s="1013"/>
      <c r="N606" s="1014" t="str">
        <f t="shared" si="139"/>
        <v/>
      </c>
      <c r="O606" s="1323"/>
      <c r="P606" s="1324"/>
      <c r="Q606" s="1324"/>
      <c r="R606" s="1324"/>
      <c r="S606" s="1324"/>
      <c r="T606" s="1325"/>
      <c r="U606" s="1015">
        <v>1.8</v>
      </c>
      <c r="V606" s="1015"/>
      <c r="W606" s="1015"/>
      <c r="X606" s="1015"/>
      <c r="Y606" s="1015">
        <v>2.7</v>
      </c>
      <c r="Z606" s="1016">
        <f>'09월 에너지'!S608</f>
        <v>145.9</v>
      </c>
      <c r="AA606" s="1017"/>
      <c r="AB606" s="1208"/>
      <c r="AC606" s="1208"/>
      <c r="AD606" s="1208"/>
      <c r="AE606" s="1208"/>
      <c r="AF606" s="1208"/>
      <c r="AG606" s="1018">
        <f>'09월 화학성분'!AM606</f>
        <v>1772</v>
      </c>
      <c r="AH606" s="1006">
        <f t="shared" si="128"/>
        <v>15</v>
      </c>
      <c r="AI606" s="1019">
        <v>1603</v>
      </c>
      <c r="AJ606" s="1020">
        <v>21</v>
      </c>
      <c r="AK606" s="1021">
        <v>540</v>
      </c>
      <c r="AL606" s="1022">
        <v>7</v>
      </c>
      <c r="AM606" s="1155">
        <f>IF(AT606="","",3*'09월 에너지'!S608*(1/(3+7.8*(100-AT606)/AT606)))</f>
        <v>1.136292834890966</v>
      </c>
      <c r="AN606" s="1023">
        <v>0.19166666666666665</v>
      </c>
      <c r="AO606" s="1024"/>
      <c r="AP606" s="1025"/>
      <c r="AQ606" s="1025"/>
      <c r="AR606" s="1149" t="str">
        <f t="shared" si="129"/>
        <v/>
      </c>
      <c r="AS606" s="1093">
        <f t="shared" si="140"/>
        <v>3</v>
      </c>
      <c r="AT606" s="1156">
        <v>2</v>
      </c>
      <c r="AU606" s="449"/>
      <c r="AV606" s="1205"/>
    </row>
    <row r="607" spans="1:48" ht="16.5" customHeight="1">
      <c r="A607" s="1005">
        <f t="shared" si="130"/>
        <v>46288</v>
      </c>
      <c r="B607" s="1005">
        <f t="shared" si="131"/>
        <v>46288</v>
      </c>
      <c r="C607" s="1150">
        <f t="shared" si="132"/>
        <v>6</v>
      </c>
      <c r="D607" s="1150">
        <f t="shared" si="133"/>
        <v>596</v>
      </c>
      <c r="E607" s="1006" t="str">
        <f t="shared" si="134"/>
        <v>B</v>
      </c>
      <c r="F607" s="1007" t="str">
        <f t="shared" si="135"/>
        <v>A</v>
      </c>
      <c r="G607" s="1008">
        <f t="shared" si="136"/>
        <v>85809</v>
      </c>
      <c r="H607" s="1138">
        <f t="shared" si="137"/>
        <v>0.3298611111111111</v>
      </c>
      <c r="I607" s="1009">
        <v>0.32916666666666666</v>
      </c>
      <c r="J607" s="1010">
        <f t="shared" si="138"/>
        <v>46.999999999999993</v>
      </c>
      <c r="K607" s="1011"/>
      <c r="L607" s="1012"/>
      <c r="M607" s="1013"/>
      <c r="N607" s="1014" t="str">
        <f t="shared" si="139"/>
        <v/>
      </c>
      <c r="O607" s="1323"/>
      <c r="P607" s="1324"/>
      <c r="Q607" s="1324"/>
      <c r="R607" s="1324"/>
      <c r="S607" s="1324"/>
      <c r="T607" s="1325"/>
      <c r="U607" s="1015">
        <v>1.8</v>
      </c>
      <c r="V607" s="1015"/>
      <c r="W607" s="1015"/>
      <c r="X607" s="1015">
        <v>3.6</v>
      </c>
      <c r="Y607" s="1015"/>
      <c r="Z607" s="1016">
        <f>'09월 에너지'!S609</f>
        <v>145.30000000000001</v>
      </c>
      <c r="AA607" s="1017"/>
      <c r="AB607" s="1208"/>
      <c r="AC607" s="1208"/>
      <c r="AD607" s="1208"/>
      <c r="AE607" s="1208"/>
      <c r="AF607" s="1208"/>
      <c r="AG607" s="1018">
        <f>'09월 화학성분'!AM607</f>
        <v>2523</v>
      </c>
      <c r="AH607" s="1006">
        <f t="shared" si="128"/>
        <v>16</v>
      </c>
      <c r="AI607" s="1019">
        <v>1578</v>
      </c>
      <c r="AJ607" s="1020">
        <v>0</v>
      </c>
      <c r="AK607" s="1021">
        <v>750</v>
      </c>
      <c r="AL607" s="1022">
        <v>5</v>
      </c>
      <c r="AM607" s="1155">
        <f>IF(AT607="","",3*'09월 에너지'!S609*(1/(3+7.8*(100-AT607)/AT607)))</f>
        <v>0.67560446373217609</v>
      </c>
      <c r="AN607" s="1023">
        <v>0.18888888888888888</v>
      </c>
      <c r="AO607" s="1024"/>
      <c r="AP607" s="1025"/>
      <c r="AQ607" s="1025"/>
      <c r="AR607" s="1149">
        <f t="shared" si="129"/>
        <v>11</v>
      </c>
      <c r="AS607" s="1093" t="str">
        <f t="shared" si="140"/>
        <v xml:space="preserve"> </v>
      </c>
      <c r="AT607" s="1156">
        <v>1.2</v>
      </c>
      <c r="AU607" s="449"/>
      <c r="AV607" s="1205"/>
    </row>
    <row r="608" spans="1:48" ht="16.5" customHeight="1">
      <c r="A608" s="1005">
        <f t="shared" si="130"/>
        <v>46288</v>
      </c>
      <c r="B608" s="1005">
        <f t="shared" si="131"/>
        <v>46288</v>
      </c>
      <c r="C608" s="1150">
        <f t="shared" si="132"/>
        <v>7</v>
      </c>
      <c r="D608" s="1150">
        <f t="shared" si="133"/>
        <v>597</v>
      </c>
      <c r="E608" s="1006" t="str">
        <f t="shared" si="134"/>
        <v>B</v>
      </c>
      <c r="F608" s="1007" t="str">
        <f t="shared" si="135"/>
        <v>B</v>
      </c>
      <c r="G608" s="1008">
        <f t="shared" si="136"/>
        <v>85810</v>
      </c>
      <c r="H608" s="1138">
        <f t="shared" si="137"/>
        <v>0.36249999999999999</v>
      </c>
      <c r="I608" s="1009">
        <v>0.36041666666666666</v>
      </c>
      <c r="J608" s="1010">
        <f t="shared" si="138"/>
        <v>45</v>
      </c>
      <c r="K608" s="1011"/>
      <c r="L608" s="1012"/>
      <c r="M608" s="1013"/>
      <c r="N608" s="1014" t="str">
        <f t="shared" si="139"/>
        <v/>
      </c>
      <c r="O608" s="1338" t="s">
        <v>954</v>
      </c>
      <c r="P608" s="1339"/>
      <c r="Q608" s="1339"/>
      <c r="R608" s="1339"/>
      <c r="S608" s="1339"/>
      <c r="T608" s="1340"/>
      <c r="U608" s="1015">
        <v>1.8</v>
      </c>
      <c r="V608" s="1015"/>
      <c r="W608" s="1015"/>
      <c r="X608" s="1015">
        <v>3</v>
      </c>
      <c r="Y608" s="1015"/>
      <c r="Z608" s="1016">
        <f>'09월 에너지'!S610</f>
        <v>147.4</v>
      </c>
      <c r="AA608" s="1017"/>
      <c r="AB608" s="1208"/>
      <c r="AC608" s="1208"/>
      <c r="AD608" s="1208"/>
      <c r="AE608" s="1208"/>
      <c r="AF608" s="1208"/>
      <c r="AG608" s="1018">
        <f>'09월 화학성분'!AM608</f>
        <v>1702</v>
      </c>
      <c r="AH608" s="1006">
        <f t="shared" si="128"/>
        <v>17</v>
      </c>
      <c r="AI608" s="1019">
        <v>1595</v>
      </c>
      <c r="AJ608" s="1020">
        <v>21</v>
      </c>
      <c r="AK608" s="1021">
        <v>571</v>
      </c>
      <c r="AL608" s="1022">
        <v>7</v>
      </c>
      <c r="AM608" s="1155">
        <f>IF(AT608="","",3*'09월 에너지'!S610*(1/(3+7.8*(100-AT608)/AT608)))</f>
        <v>0.91609695463020513</v>
      </c>
      <c r="AN608" s="1023">
        <v>0.16527777777777777</v>
      </c>
      <c r="AO608" s="1024"/>
      <c r="AP608" s="1025"/>
      <c r="AQ608" s="1025"/>
      <c r="AR608" s="1149" t="str">
        <f t="shared" si="129"/>
        <v/>
      </c>
      <c r="AS608" s="1093">
        <f t="shared" si="140"/>
        <v>4</v>
      </c>
      <c r="AT608" s="1156">
        <v>1.6</v>
      </c>
      <c r="AU608" s="449"/>
      <c r="AV608" s="1205"/>
    </row>
    <row r="609" spans="1:48" ht="16.5" customHeight="1">
      <c r="A609" s="1005">
        <f t="shared" si="130"/>
        <v>46288</v>
      </c>
      <c r="B609" s="1005">
        <f t="shared" si="131"/>
        <v>46288</v>
      </c>
      <c r="C609" s="1150">
        <f t="shared" si="132"/>
        <v>8</v>
      </c>
      <c r="D609" s="1150">
        <f t="shared" si="133"/>
        <v>598</v>
      </c>
      <c r="E609" s="1006" t="str">
        <f t="shared" si="134"/>
        <v>B</v>
      </c>
      <c r="F609" s="1007" t="str">
        <f t="shared" si="135"/>
        <v>A</v>
      </c>
      <c r="G609" s="1008">
        <f t="shared" si="136"/>
        <v>85811</v>
      </c>
      <c r="H609" s="1138">
        <f t="shared" si="137"/>
        <v>0.39374999999999999</v>
      </c>
      <c r="I609" s="1009">
        <v>0.39444444444444443</v>
      </c>
      <c r="J609" s="1010">
        <f t="shared" si="138"/>
        <v>48.999999999999986</v>
      </c>
      <c r="K609" s="1011"/>
      <c r="L609" s="1012"/>
      <c r="M609" s="1013"/>
      <c r="N609" s="1014" t="str">
        <f t="shared" si="139"/>
        <v/>
      </c>
      <c r="O609" s="1323" t="s">
        <v>955</v>
      </c>
      <c r="P609" s="1324"/>
      <c r="Q609" s="1324"/>
      <c r="R609" s="1324"/>
      <c r="S609" s="1324"/>
      <c r="T609" s="1325"/>
      <c r="U609" s="1015">
        <v>1.8</v>
      </c>
      <c r="V609" s="1015"/>
      <c r="W609" s="1015"/>
      <c r="X609" s="1015"/>
      <c r="Y609" s="1015">
        <v>2.6</v>
      </c>
      <c r="Z609" s="1016">
        <f>'09월 에너지'!S611</f>
        <v>146.4</v>
      </c>
      <c r="AA609" s="1017"/>
      <c r="AB609" s="1208"/>
      <c r="AC609" s="1208"/>
      <c r="AD609" s="1208"/>
      <c r="AE609" s="1208"/>
      <c r="AF609" s="1208"/>
      <c r="AG609" s="1018">
        <f>'09월 화학성분'!AM609</f>
        <v>1319</v>
      </c>
      <c r="AH609" s="1006">
        <f t="shared" si="128"/>
        <v>18</v>
      </c>
      <c r="AI609" s="1019">
        <v>1590</v>
      </c>
      <c r="AJ609" s="1020">
        <v>0</v>
      </c>
      <c r="AK609" s="1021">
        <v>476</v>
      </c>
      <c r="AL609" s="1022">
        <v>9</v>
      </c>
      <c r="AM609" s="1155">
        <f>IF(AT609="","",3*'09월 에너지'!S611*(1/(3+7.8*(100-AT609)/AT609)))</f>
        <v>0.39585908529048208</v>
      </c>
      <c r="AN609" s="1023">
        <v>0.18124999999999999</v>
      </c>
      <c r="AO609" s="1024"/>
      <c r="AP609" s="1025"/>
      <c r="AQ609" s="1025"/>
      <c r="AR609" s="1149">
        <f t="shared" si="129"/>
        <v>12</v>
      </c>
      <c r="AS609" s="1093" t="str">
        <f t="shared" si="140"/>
        <v xml:space="preserve"> </v>
      </c>
      <c r="AT609" s="1156">
        <v>0.7</v>
      </c>
      <c r="AU609" s="449"/>
      <c r="AV609" s="1205"/>
    </row>
    <row r="610" spans="1:48" ht="16.5" customHeight="1">
      <c r="A610" s="1005">
        <f t="shared" si="130"/>
        <v>46288</v>
      </c>
      <c r="B610" s="1005">
        <f t="shared" si="131"/>
        <v>46288</v>
      </c>
      <c r="C610" s="1150">
        <f t="shared" si="132"/>
        <v>9</v>
      </c>
      <c r="D610" s="1150">
        <f t="shared" si="133"/>
        <v>599</v>
      </c>
      <c r="E610" s="1006" t="str">
        <f t="shared" si="134"/>
        <v>B</v>
      </c>
      <c r="F610" s="1007" t="str">
        <f t="shared" si="135"/>
        <v>B</v>
      </c>
      <c r="G610" s="1008">
        <f t="shared" si="136"/>
        <v>85812</v>
      </c>
      <c r="H610" s="1138">
        <f t="shared" si="137"/>
        <v>0.42777777777777776</v>
      </c>
      <c r="I610" s="1009">
        <v>0.42569444444444443</v>
      </c>
      <c r="J610" s="1010">
        <f t="shared" si="138"/>
        <v>45</v>
      </c>
      <c r="K610" s="1011"/>
      <c r="L610" s="1012"/>
      <c r="M610" s="1013"/>
      <c r="N610" s="1014" t="str">
        <f t="shared" si="139"/>
        <v/>
      </c>
      <c r="O610" s="1323"/>
      <c r="P610" s="1324"/>
      <c r="Q610" s="1324"/>
      <c r="R610" s="1324"/>
      <c r="S610" s="1324"/>
      <c r="T610" s="1325"/>
      <c r="U610" s="1015">
        <v>1.8</v>
      </c>
      <c r="V610" s="1015"/>
      <c r="W610" s="1015"/>
      <c r="X610" s="1015"/>
      <c r="Y610" s="1015">
        <v>2.8</v>
      </c>
      <c r="Z610" s="1016">
        <f>'09월 에너지'!S612</f>
        <v>147.69999999999999</v>
      </c>
      <c r="AA610" s="1017"/>
      <c r="AB610" s="1208"/>
      <c r="AC610" s="1208"/>
      <c r="AD610" s="1208"/>
      <c r="AE610" s="1208"/>
      <c r="AF610" s="1208"/>
      <c r="AG610" s="1018">
        <f>'09월 화학성분'!AM610</f>
        <v>985</v>
      </c>
      <c r="AH610" s="1006">
        <f t="shared" si="128"/>
        <v>19</v>
      </c>
      <c r="AI610" s="1019">
        <v>1581</v>
      </c>
      <c r="AJ610" s="1020">
        <v>62</v>
      </c>
      <c r="AK610" s="1021">
        <v>849</v>
      </c>
      <c r="AL610" s="1022">
        <v>4</v>
      </c>
      <c r="AM610" s="1155">
        <f>IF(AT610="","",3*'09월 에너지'!S612*(1/(3+7.8*(100-AT610)/AT610)))</f>
        <v>0.86005434782608703</v>
      </c>
      <c r="AN610" s="1023">
        <v>0.16666666666666666</v>
      </c>
      <c r="AO610" s="1024"/>
      <c r="AP610" s="1025"/>
      <c r="AQ610" s="1025"/>
      <c r="AR610" s="1149" t="str">
        <f t="shared" si="129"/>
        <v/>
      </c>
      <c r="AS610" s="1093">
        <f t="shared" si="140"/>
        <v>5</v>
      </c>
      <c r="AT610" s="1156">
        <v>1.5</v>
      </c>
      <c r="AU610" s="449"/>
      <c r="AV610" s="1205"/>
    </row>
    <row r="611" spans="1:48" ht="16.5" customHeight="1">
      <c r="A611" s="1005">
        <f t="shared" si="130"/>
        <v>46288</v>
      </c>
      <c r="B611" s="1005">
        <f t="shared" si="131"/>
        <v>46288</v>
      </c>
      <c r="C611" s="1150">
        <f t="shared" si="132"/>
        <v>10</v>
      </c>
      <c r="D611" s="1150">
        <f t="shared" si="133"/>
        <v>600</v>
      </c>
      <c r="E611" s="1006" t="str">
        <f t="shared" si="134"/>
        <v>B</v>
      </c>
      <c r="F611" s="1007" t="str">
        <f t="shared" si="135"/>
        <v>A</v>
      </c>
      <c r="G611" s="1008">
        <f t="shared" si="136"/>
        <v>85813</v>
      </c>
      <c r="H611" s="1138">
        <f t="shared" si="137"/>
        <v>0.45902777777777776</v>
      </c>
      <c r="I611" s="1009">
        <v>0.45763888888888887</v>
      </c>
      <c r="J611" s="1010">
        <f t="shared" si="138"/>
        <v>46</v>
      </c>
      <c r="K611" s="1011"/>
      <c r="L611" s="1012"/>
      <c r="M611" s="1013"/>
      <c r="N611" s="1014" t="str">
        <f t="shared" si="139"/>
        <v/>
      </c>
      <c r="O611" s="1323"/>
      <c r="P611" s="1324"/>
      <c r="Q611" s="1324"/>
      <c r="R611" s="1324"/>
      <c r="S611" s="1324"/>
      <c r="T611" s="1325"/>
      <c r="U611" s="1015">
        <v>1.8</v>
      </c>
      <c r="V611" s="1015"/>
      <c r="W611" s="1015"/>
      <c r="X611" s="1015"/>
      <c r="Y611" s="1015">
        <v>2.7</v>
      </c>
      <c r="Z611" s="1016">
        <f>'09월 에너지'!S613</f>
        <v>146.19999999999999</v>
      </c>
      <c r="AA611" s="1017"/>
      <c r="AB611" s="1208"/>
      <c r="AC611" s="1208"/>
      <c r="AD611" s="1208"/>
      <c r="AE611" s="1208"/>
      <c r="AF611" s="1208"/>
      <c r="AG611" s="1018">
        <f>'09월 화학성분'!AM611</f>
        <v>957</v>
      </c>
      <c r="AH611" s="1006">
        <f t="shared" si="128"/>
        <v>20</v>
      </c>
      <c r="AI611" s="1019">
        <v>1545</v>
      </c>
      <c r="AJ611" s="1020">
        <v>0</v>
      </c>
      <c r="AK611" s="1021">
        <v>340</v>
      </c>
      <c r="AL611" s="1022">
        <v>13</v>
      </c>
      <c r="AM611" s="1155">
        <f>IF(AT611="","",3*'09월 에너지'!S613*(1/(3+7.8*(100-AT611)/AT611)))</f>
        <v>1.023490976975731</v>
      </c>
      <c r="AN611" s="1023">
        <v>0.1875</v>
      </c>
      <c r="AO611" s="1024"/>
      <c r="AP611" s="1025"/>
      <c r="AQ611" s="1025"/>
      <c r="AR611" s="1149">
        <f t="shared" si="129"/>
        <v>13</v>
      </c>
      <c r="AS611" s="1093" t="str">
        <f t="shared" si="140"/>
        <v xml:space="preserve"> </v>
      </c>
      <c r="AT611" s="1156">
        <v>1.8</v>
      </c>
      <c r="AU611" s="449"/>
      <c r="AV611" s="1205"/>
    </row>
    <row r="612" spans="1:48" ht="16.5" customHeight="1">
      <c r="A612" s="1005">
        <f t="shared" si="130"/>
        <v>46288</v>
      </c>
      <c r="B612" s="1005">
        <f t="shared" si="131"/>
        <v>46288</v>
      </c>
      <c r="C612" s="1150">
        <f t="shared" si="132"/>
        <v>11</v>
      </c>
      <c r="D612" s="1150">
        <f t="shared" si="133"/>
        <v>601</v>
      </c>
      <c r="E612" s="1006" t="str">
        <f t="shared" si="134"/>
        <v>B</v>
      </c>
      <c r="F612" s="1007" t="str">
        <f t="shared" si="135"/>
        <v>B</v>
      </c>
      <c r="G612" s="1008">
        <f t="shared" si="136"/>
        <v>85814</v>
      </c>
      <c r="H612" s="1138">
        <f t="shared" si="137"/>
        <v>0.4909722222222222</v>
      </c>
      <c r="I612" s="1009">
        <v>0.48958333333333331</v>
      </c>
      <c r="J612" s="1010">
        <f t="shared" si="138"/>
        <v>46</v>
      </c>
      <c r="K612" s="1011"/>
      <c r="L612" s="1012"/>
      <c r="M612" s="1013"/>
      <c r="N612" s="1014" t="str">
        <f t="shared" si="139"/>
        <v/>
      </c>
      <c r="O612" s="1323"/>
      <c r="P612" s="1324"/>
      <c r="Q612" s="1324"/>
      <c r="R612" s="1324"/>
      <c r="S612" s="1324"/>
      <c r="T612" s="1325"/>
      <c r="U612" s="1015">
        <v>1.8</v>
      </c>
      <c r="V612" s="1015"/>
      <c r="W612" s="1015"/>
      <c r="X612" s="1015"/>
      <c r="Y612" s="1015">
        <v>2.9</v>
      </c>
      <c r="Z612" s="1016">
        <f>'09월 에너지'!S614</f>
        <v>146.5</v>
      </c>
      <c r="AA612" s="1017"/>
      <c r="AB612" s="1208"/>
      <c r="AC612" s="1208"/>
      <c r="AD612" s="1208"/>
      <c r="AE612" s="1208"/>
      <c r="AF612" s="1208"/>
      <c r="AG612" s="1018">
        <f>'09월 화학성분'!AM612</f>
        <v>1653</v>
      </c>
      <c r="AH612" s="1006">
        <f t="shared" si="128"/>
        <v>21</v>
      </c>
      <c r="AI612" s="1019">
        <v>1549</v>
      </c>
      <c r="AJ612" s="1020">
        <v>0</v>
      </c>
      <c r="AK612" s="1021">
        <v>327</v>
      </c>
      <c r="AL612" s="1022">
        <v>13</v>
      </c>
      <c r="AM612" s="1155">
        <f>IF(AT612="","",3*'09월 에너지'!S614*(1/(3+7.8*(100-AT612)/AT612)))</f>
        <v>1.1409657320872275</v>
      </c>
      <c r="AN612" s="1023">
        <v>0.17500000000000002</v>
      </c>
      <c r="AO612" s="1024"/>
      <c r="AP612" s="1025"/>
      <c r="AQ612" s="1025"/>
      <c r="AR612" s="1149" t="str">
        <f t="shared" si="129"/>
        <v/>
      </c>
      <c r="AS612" s="1093">
        <f t="shared" si="140"/>
        <v>6</v>
      </c>
      <c r="AT612" s="1156">
        <v>2</v>
      </c>
      <c r="AU612" s="449"/>
      <c r="AV612" s="1205"/>
    </row>
    <row r="613" spans="1:48" ht="16.5" customHeight="1">
      <c r="A613" s="1005">
        <f t="shared" si="130"/>
        <v>46288</v>
      </c>
      <c r="B613" s="1005">
        <f t="shared" si="131"/>
        <v>46288</v>
      </c>
      <c r="C613" s="1150">
        <f t="shared" si="132"/>
        <v>12</v>
      </c>
      <c r="D613" s="1150">
        <f t="shared" si="133"/>
        <v>602</v>
      </c>
      <c r="E613" s="1006" t="str">
        <f t="shared" si="134"/>
        <v>B</v>
      </c>
      <c r="F613" s="1007" t="str">
        <f t="shared" si="135"/>
        <v>A</v>
      </c>
      <c r="G613" s="1008">
        <f t="shared" si="136"/>
        <v>85815</v>
      </c>
      <c r="H613" s="1138">
        <f t="shared" si="137"/>
        <v>0.5229166666666667</v>
      </c>
      <c r="I613" s="1009">
        <v>0.52638888888888891</v>
      </c>
      <c r="J613" s="1010">
        <f t="shared" si="138"/>
        <v>53.00000000000005</v>
      </c>
      <c r="K613" s="1011"/>
      <c r="L613" s="1012">
        <v>5</v>
      </c>
      <c r="M613" s="1013"/>
      <c r="N613" s="1014" t="str">
        <f t="shared" si="139"/>
        <v/>
      </c>
      <c r="O613" s="1323" t="s">
        <v>956</v>
      </c>
      <c r="P613" s="1324"/>
      <c r="Q613" s="1324"/>
      <c r="R613" s="1324"/>
      <c r="S613" s="1324"/>
      <c r="T613" s="1325"/>
      <c r="U613" s="1015">
        <v>1.8</v>
      </c>
      <c r="V613" s="1015">
        <v>2.4</v>
      </c>
      <c r="W613" s="1015">
        <v>1.5</v>
      </c>
      <c r="X613" s="1015"/>
      <c r="Y613" s="1015"/>
      <c r="Z613" s="1016">
        <f>'09월 에너지'!S615</f>
        <v>146.4</v>
      </c>
      <c r="AA613" s="1017"/>
      <c r="AB613" s="1208"/>
      <c r="AC613" s="1208"/>
      <c r="AD613" s="1208"/>
      <c r="AE613" s="1208"/>
      <c r="AF613" s="1208"/>
      <c r="AG613" s="1018">
        <f>'09월 화학성분'!AM613</f>
        <v>1485</v>
      </c>
      <c r="AH613" s="1006">
        <f t="shared" si="128"/>
        <v>22</v>
      </c>
      <c r="AI613" s="1019">
        <v>1584</v>
      </c>
      <c r="AJ613" s="1020">
        <v>0</v>
      </c>
      <c r="AK613" s="1021">
        <v>401</v>
      </c>
      <c r="AL613" s="1022">
        <v>11</v>
      </c>
      <c r="AM613" s="1155">
        <f>IF(AT613="","",3*'09월 에너지'!S615*(1/(3+7.8*(100-AT613)/AT613)))</f>
        <v>0.62360594795539037</v>
      </c>
      <c r="AN613" s="1023">
        <v>0.1986111111111111</v>
      </c>
      <c r="AO613" s="1024"/>
      <c r="AP613" s="1025"/>
      <c r="AQ613" s="1025"/>
      <c r="AR613" s="1149">
        <f t="shared" si="129"/>
        <v>14</v>
      </c>
      <c r="AS613" s="1093" t="str">
        <f t="shared" si="140"/>
        <v xml:space="preserve"> </v>
      </c>
      <c r="AT613" s="1156">
        <v>1.1000000000000001</v>
      </c>
      <c r="AU613" s="449"/>
      <c r="AV613" s="1205"/>
    </row>
    <row r="614" spans="1:48" ht="16.5" customHeight="1">
      <c r="A614" s="1005">
        <f t="shared" si="130"/>
        <v>46288</v>
      </c>
      <c r="B614" s="1005">
        <f t="shared" si="131"/>
        <v>46288</v>
      </c>
      <c r="C614" s="1150">
        <f t="shared" si="132"/>
        <v>13</v>
      </c>
      <c r="D614" s="1150">
        <f t="shared" si="133"/>
        <v>603</v>
      </c>
      <c r="E614" s="1006" t="str">
        <f t="shared" si="134"/>
        <v>B</v>
      </c>
      <c r="F614" s="1007" t="str">
        <f t="shared" si="135"/>
        <v>B</v>
      </c>
      <c r="G614" s="1008">
        <f t="shared" si="136"/>
        <v>85816</v>
      </c>
      <c r="H614" s="1138">
        <f t="shared" si="137"/>
        <v>0.55972222222222223</v>
      </c>
      <c r="I614" s="1009">
        <v>0.55694444444444446</v>
      </c>
      <c r="J614" s="1010">
        <f t="shared" si="138"/>
        <v>44</v>
      </c>
      <c r="K614" s="1011"/>
      <c r="L614" s="1012"/>
      <c r="M614" s="1013"/>
      <c r="N614" s="1014" t="str">
        <f t="shared" si="139"/>
        <v/>
      </c>
      <c r="O614" s="1323" t="s">
        <v>958</v>
      </c>
      <c r="P614" s="1324"/>
      <c r="Q614" s="1324"/>
      <c r="R614" s="1324"/>
      <c r="S614" s="1324"/>
      <c r="T614" s="1325"/>
      <c r="U614" s="1015">
        <v>1.8</v>
      </c>
      <c r="V614" s="1015">
        <v>2.6</v>
      </c>
      <c r="W614" s="1015">
        <v>1.5</v>
      </c>
      <c r="X614" s="1015"/>
      <c r="Y614" s="1015"/>
      <c r="Z614" s="1016">
        <f>'09월 에너지'!S616</f>
        <v>146.6</v>
      </c>
      <c r="AA614" s="1017">
        <v>2466</v>
      </c>
      <c r="AB614" s="1208" t="s">
        <v>951</v>
      </c>
      <c r="AC614" s="1208" t="s">
        <v>532</v>
      </c>
      <c r="AD614" s="1208" t="s">
        <v>548</v>
      </c>
      <c r="AE614" s="1208"/>
      <c r="AF614" s="1208" t="s">
        <v>548</v>
      </c>
      <c r="AG614" s="1018">
        <f>'09월 화학성분'!AM614</f>
        <v>1638</v>
      </c>
      <c r="AH614" s="1006">
        <f t="shared" si="128"/>
        <v>23</v>
      </c>
      <c r="AI614" s="1019">
        <v>1571</v>
      </c>
      <c r="AJ614" s="1020">
        <v>0</v>
      </c>
      <c r="AK614" s="1021">
        <v>511</v>
      </c>
      <c r="AL614" s="1022">
        <v>8</v>
      </c>
      <c r="AM614" s="1155">
        <f>IF(AT614="","",3*'09월 에너지'!S616*(1/(3+7.8*(100-AT614)/AT614)))</f>
        <v>0.96867226368159187</v>
      </c>
      <c r="AN614" s="1023">
        <v>0.16388888888888889</v>
      </c>
      <c r="AO614" s="1024"/>
      <c r="AP614" s="1025"/>
      <c r="AQ614" s="1025"/>
      <c r="AR614" s="1149" t="str">
        <f t="shared" si="129"/>
        <v/>
      </c>
      <c r="AS614" s="1093">
        <f t="shared" si="140"/>
        <v>7</v>
      </c>
      <c r="AT614" s="1156">
        <v>1.7</v>
      </c>
      <c r="AU614" s="449"/>
      <c r="AV614" s="1205"/>
    </row>
    <row r="615" spans="1:48" ht="16.5" customHeight="1">
      <c r="A615" s="1005">
        <f t="shared" si="130"/>
        <v>46288</v>
      </c>
      <c r="B615" s="1005">
        <f t="shared" si="131"/>
        <v>46288</v>
      </c>
      <c r="C615" s="1150">
        <f t="shared" si="132"/>
        <v>14</v>
      </c>
      <c r="D615" s="1150">
        <f t="shared" si="133"/>
        <v>604</v>
      </c>
      <c r="E615" s="1006" t="str">
        <f t="shared" si="134"/>
        <v>B</v>
      </c>
      <c r="F615" s="1007" t="str">
        <f t="shared" si="135"/>
        <v>A</v>
      </c>
      <c r="G615" s="1008">
        <f t="shared" si="136"/>
        <v>85817</v>
      </c>
      <c r="H615" s="1138">
        <f t="shared" si="137"/>
        <v>0.59027777777777779</v>
      </c>
      <c r="I615" s="1009">
        <v>0.59027777777777779</v>
      </c>
      <c r="J615" s="1010">
        <f t="shared" si="138"/>
        <v>47.999999999999986</v>
      </c>
      <c r="K615" s="1011"/>
      <c r="L615" s="1012"/>
      <c r="M615" s="1013"/>
      <c r="N615" s="1014" t="str">
        <f t="shared" si="139"/>
        <v/>
      </c>
      <c r="O615" s="1323" t="s">
        <v>957</v>
      </c>
      <c r="P615" s="1324"/>
      <c r="Q615" s="1324"/>
      <c r="R615" s="1324"/>
      <c r="S615" s="1324"/>
      <c r="T615" s="1325"/>
      <c r="U615" s="1015">
        <v>1.8</v>
      </c>
      <c r="V615" s="1015"/>
      <c r="W615" s="1015"/>
      <c r="X615" s="1015"/>
      <c r="Y615" s="1015">
        <v>2.5</v>
      </c>
      <c r="Z615" s="1016">
        <f>'09월 에너지'!S617</f>
        <v>142</v>
      </c>
      <c r="AA615" s="1017">
        <v>2302</v>
      </c>
      <c r="AB615" s="1208" t="s">
        <v>951</v>
      </c>
      <c r="AC615" s="1208" t="s">
        <v>532</v>
      </c>
      <c r="AD615" s="1208"/>
      <c r="AE615" s="1208"/>
      <c r="AF615" s="1208" t="s">
        <v>548</v>
      </c>
      <c r="AG615" s="1018">
        <f>'09월 화학성분'!AM615</f>
        <v>668</v>
      </c>
      <c r="AH615" s="1006">
        <f t="shared" si="128"/>
        <v>24</v>
      </c>
      <c r="AI615" s="1019">
        <v>1596</v>
      </c>
      <c r="AJ615" s="1020">
        <v>0</v>
      </c>
      <c r="AK615" s="1021">
        <v>467</v>
      </c>
      <c r="AL615" s="1022">
        <v>9</v>
      </c>
      <c r="AM615" s="1155">
        <f>IF(AT615="","",3*'09월 에너지'!S617*(1/(3+7.8*(100-AT615)/AT615)))</f>
        <v>0.88253573648228711</v>
      </c>
      <c r="AN615" s="1023">
        <v>0.18958333333333333</v>
      </c>
      <c r="AO615" s="1024" t="s">
        <v>587</v>
      </c>
      <c r="AP615" s="1025">
        <v>2000102</v>
      </c>
      <c r="AQ615" s="1025">
        <v>2135</v>
      </c>
      <c r="AR615" s="1149">
        <v>1</v>
      </c>
      <c r="AS615" s="1093" t="str">
        <f t="shared" si="140"/>
        <v xml:space="preserve"> </v>
      </c>
      <c r="AT615" s="1156">
        <v>1.6</v>
      </c>
      <c r="AU615" s="449"/>
      <c r="AV615" s="1205"/>
    </row>
    <row r="616" spans="1:48" ht="16.5" customHeight="1">
      <c r="A616" s="1005">
        <f t="shared" si="130"/>
        <v>46288</v>
      </c>
      <c r="B616" s="1005">
        <f t="shared" si="131"/>
        <v>46288</v>
      </c>
      <c r="C616" s="1150">
        <f t="shared" si="132"/>
        <v>15</v>
      </c>
      <c r="D616" s="1150">
        <f t="shared" si="133"/>
        <v>605</v>
      </c>
      <c r="E616" s="1006" t="s">
        <v>546</v>
      </c>
      <c r="F616" s="1007" t="str">
        <f t="shared" si="135"/>
        <v>B</v>
      </c>
      <c r="G616" s="1008">
        <f t="shared" si="136"/>
        <v>85818</v>
      </c>
      <c r="H616" s="1138">
        <f t="shared" si="137"/>
        <v>0.62361111111111112</v>
      </c>
      <c r="I616" s="1009">
        <v>0.62916666666666665</v>
      </c>
      <c r="J616" s="1010">
        <f t="shared" si="138"/>
        <v>55.999999999999957</v>
      </c>
      <c r="K616" s="1011"/>
      <c r="L616" s="1012">
        <v>10</v>
      </c>
      <c r="M616" s="1013"/>
      <c r="N616" s="1014" t="str">
        <f t="shared" si="139"/>
        <v/>
      </c>
      <c r="O616" s="1323" t="s">
        <v>959</v>
      </c>
      <c r="P616" s="1324"/>
      <c r="Q616" s="1324"/>
      <c r="R616" s="1324"/>
      <c r="S616" s="1324"/>
      <c r="T616" s="1325"/>
      <c r="U616" s="1015">
        <v>1.8</v>
      </c>
      <c r="V616" s="1015"/>
      <c r="W616" s="1015"/>
      <c r="X616" s="1015"/>
      <c r="Y616" s="1015">
        <v>2.8</v>
      </c>
      <c r="Z616" s="1016">
        <f>'09월 에너지'!S618</f>
        <v>143.6</v>
      </c>
      <c r="AA616" s="1017"/>
      <c r="AB616" s="1208"/>
      <c r="AC616" s="1208"/>
      <c r="AD616" s="1208"/>
      <c r="AE616" s="1208"/>
      <c r="AF616" s="1208"/>
      <c r="AG616" s="1018">
        <f>'09월 화학성분'!AM616</f>
        <v>1645</v>
      </c>
      <c r="AH616" s="1006">
        <f t="shared" si="128"/>
        <v>25</v>
      </c>
      <c r="AI616" s="1019">
        <v>1561</v>
      </c>
      <c r="AJ616" s="1020">
        <v>0</v>
      </c>
      <c r="AK616" s="1021">
        <v>672</v>
      </c>
      <c r="AL616" s="1022">
        <v>6</v>
      </c>
      <c r="AM616" s="1155">
        <f>IF(AT616="","",3*'09월 에너지'!S618*(1/(3+7.8*(100-AT616)/AT616)))</f>
        <v>5.5264778325123151E-2</v>
      </c>
      <c r="AN616" s="1023">
        <v>0.15902777777777777</v>
      </c>
      <c r="AO616" s="1024"/>
      <c r="AP616" s="1025"/>
      <c r="AQ616" s="1025"/>
      <c r="AR616" s="1149" t="str">
        <f t="shared" si="129"/>
        <v/>
      </c>
      <c r="AS616" s="1093">
        <f t="shared" si="140"/>
        <v>8</v>
      </c>
      <c r="AT616" s="1156">
        <v>0.1</v>
      </c>
      <c r="AU616" s="449"/>
      <c r="AV616" s="1205"/>
    </row>
    <row r="617" spans="1:48" ht="16.5" customHeight="1">
      <c r="A617" s="1005">
        <f t="shared" si="130"/>
        <v>46288</v>
      </c>
      <c r="B617" s="1005">
        <f t="shared" si="131"/>
        <v>46288</v>
      </c>
      <c r="C617" s="1150">
        <f t="shared" si="132"/>
        <v>16</v>
      </c>
      <c r="D617" s="1150">
        <f t="shared" si="133"/>
        <v>606</v>
      </c>
      <c r="E617" s="1006" t="str">
        <f t="shared" si="134"/>
        <v>C</v>
      </c>
      <c r="F617" s="1007" t="str">
        <f t="shared" si="135"/>
        <v>A</v>
      </c>
      <c r="G617" s="1008">
        <f t="shared" si="136"/>
        <v>85819</v>
      </c>
      <c r="H617" s="1138">
        <f t="shared" si="137"/>
        <v>0.66249999999999998</v>
      </c>
      <c r="I617" s="1009">
        <v>0.65694444444444444</v>
      </c>
      <c r="J617" s="1010">
        <f t="shared" si="138"/>
        <v>40.000000000000014</v>
      </c>
      <c r="K617" s="1011"/>
      <c r="L617" s="1012"/>
      <c r="M617" s="1013"/>
      <c r="N617" s="1014" t="str">
        <f t="shared" si="139"/>
        <v/>
      </c>
      <c r="O617" s="1323"/>
      <c r="P617" s="1324"/>
      <c r="Q617" s="1324"/>
      <c r="R617" s="1324"/>
      <c r="S617" s="1324"/>
      <c r="T617" s="1325"/>
      <c r="U617" s="1015">
        <v>1.8</v>
      </c>
      <c r="V617" s="1015">
        <v>2.6</v>
      </c>
      <c r="W617" s="1015">
        <v>1.5</v>
      </c>
      <c r="X617" s="1015"/>
      <c r="Y617" s="1015"/>
      <c r="Z617" s="1016">
        <f>'09월 에너지'!S619</f>
        <v>143.6</v>
      </c>
      <c r="AA617" s="1017"/>
      <c r="AB617" s="1208"/>
      <c r="AC617" s="1208"/>
      <c r="AD617" s="1208"/>
      <c r="AE617" s="1208"/>
      <c r="AF617" s="1208"/>
      <c r="AG617" s="1018">
        <f>'09월 화학성분'!AM617</f>
        <v>1864</v>
      </c>
      <c r="AH617" s="1006">
        <f t="shared" si="128"/>
        <v>26</v>
      </c>
      <c r="AI617" s="1019">
        <v>1587</v>
      </c>
      <c r="AJ617" s="1020">
        <v>121</v>
      </c>
      <c r="AK617" s="1021">
        <v>722</v>
      </c>
      <c r="AL617" s="1022">
        <v>5</v>
      </c>
      <c r="AM617" s="1155">
        <f>IF(AT617="","",3*'09월 에너지'!S619*(1/(3+7.8*(100-AT617)/AT617)))</f>
        <v>1.4593495934959348</v>
      </c>
      <c r="AN617" s="1023">
        <v>0.20486111111111113</v>
      </c>
      <c r="AO617" s="1024"/>
      <c r="AP617" s="1025"/>
      <c r="AQ617" s="1025"/>
      <c r="AR617" s="1149">
        <f t="shared" si="129"/>
        <v>2</v>
      </c>
      <c r="AS617" s="1093" t="str">
        <f t="shared" si="140"/>
        <v xml:space="preserve"> </v>
      </c>
      <c r="AT617" s="1156">
        <v>2.6</v>
      </c>
      <c r="AU617" s="449"/>
      <c r="AV617" s="1205" t="s">
        <v>553</v>
      </c>
    </row>
    <row r="618" spans="1:48" ht="17.25" customHeight="1">
      <c r="A618" s="1005">
        <f t="shared" si="130"/>
        <v>46288</v>
      </c>
      <c r="B618" s="1005">
        <f t="shared" si="131"/>
        <v>46288</v>
      </c>
      <c r="C618" s="1150">
        <f t="shared" si="132"/>
        <v>17</v>
      </c>
      <c r="D618" s="1150">
        <f t="shared" si="133"/>
        <v>607</v>
      </c>
      <c r="E618" s="1006" t="str">
        <f t="shared" si="134"/>
        <v>C</v>
      </c>
      <c r="F618" s="1007" t="str">
        <f t="shared" si="135"/>
        <v>B</v>
      </c>
      <c r="G618" s="1008">
        <f t="shared" si="136"/>
        <v>85820</v>
      </c>
      <c r="H618" s="1138">
        <f t="shared" si="137"/>
        <v>0.69027777777777777</v>
      </c>
      <c r="I618" s="1009">
        <v>0.68958333333333333</v>
      </c>
      <c r="J618" s="1010">
        <f t="shared" si="138"/>
        <v>46.999999999999993</v>
      </c>
      <c r="K618" s="1011"/>
      <c r="L618" s="1012"/>
      <c r="M618" s="1013"/>
      <c r="N618" s="1014" t="str">
        <f t="shared" si="139"/>
        <v/>
      </c>
      <c r="O618" s="1323"/>
      <c r="P618" s="1324"/>
      <c r="Q618" s="1324"/>
      <c r="R618" s="1324"/>
      <c r="S618" s="1324"/>
      <c r="T618" s="1325"/>
      <c r="U618" s="1015">
        <v>1.8</v>
      </c>
      <c r="V618" s="1015">
        <v>2.2999999999999998</v>
      </c>
      <c r="W618" s="1015">
        <v>1.2</v>
      </c>
      <c r="X618" s="1015"/>
      <c r="Y618" s="1015"/>
      <c r="Z618" s="1016">
        <f>'09월 에너지'!S620</f>
        <v>143.9</v>
      </c>
      <c r="AA618" s="1017"/>
      <c r="AB618" s="1208"/>
      <c r="AC618" s="1208"/>
      <c r="AD618" s="1208"/>
      <c r="AE618" s="1208"/>
      <c r="AF618" s="1208"/>
      <c r="AG618" s="1018">
        <f>'09월 화학성분'!AM618</f>
        <v>2019</v>
      </c>
      <c r="AH618" s="1006">
        <f t="shared" si="128"/>
        <v>27</v>
      </c>
      <c r="AI618" s="1019">
        <v>1611</v>
      </c>
      <c r="AJ618" s="1020">
        <v>0</v>
      </c>
      <c r="AK618" s="1021">
        <v>663</v>
      </c>
      <c r="AL618" s="1022">
        <v>6</v>
      </c>
      <c r="AM618" s="1155">
        <f>IF(AT618="","",3*'09월 에너지'!S620*(1/(3+7.8*(100-AT618)/AT618)))</f>
        <v>1.0073895457373989</v>
      </c>
      <c r="AN618" s="1023">
        <v>0.15763888888888888</v>
      </c>
      <c r="AO618" s="1024"/>
      <c r="AP618" s="1025"/>
      <c r="AQ618" s="1025"/>
      <c r="AR618" s="1149" t="str">
        <f t="shared" si="129"/>
        <v/>
      </c>
      <c r="AS618" s="1093">
        <f t="shared" si="140"/>
        <v>9</v>
      </c>
      <c r="AT618" s="1156">
        <v>1.8</v>
      </c>
      <c r="AU618" s="449"/>
      <c r="AV618" s="1205"/>
    </row>
    <row r="619" spans="1:48" ht="16.5" customHeight="1">
      <c r="A619" s="1005">
        <f t="shared" si="130"/>
        <v>46288</v>
      </c>
      <c r="B619" s="1005">
        <f t="shared" si="131"/>
        <v>46288</v>
      </c>
      <c r="C619" s="1150">
        <f t="shared" si="132"/>
        <v>18</v>
      </c>
      <c r="D619" s="1150">
        <f t="shared" si="133"/>
        <v>608</v>
      </c>
      <c r="E619" s="1006" t="str">
        <f t="shared" si="134"/>
        <v>C</v>
      </c>
      <c r="F619" s="1007" t="str">
        <f t="shared" si="135"/>
        <v>A</v>
      </c>
      <c r="G619" s="1008">
        <f t="shared" si="136"/>
        <v>85821</v>
      </c>
      <c r="H619" s="1138">
        <f t="shared" si="137"/>
        <v>0.72291666666666665</v>
      </c>
      <c r="I619" s="1009">
        <v>0.72222222222222221</v>
      </c>
      <c r="J619" s="1010">
        <f t="shared" si="138"/>
        <v>46.999999999999993</v>
      </c>
      <c r="K619" s="1011"/>
      <c r="L619" s="1012"/>
      <c r="M619" s="1013"/>
      <c r="N619" s="1014" t="str">
        <f t="shared" si="139"/>
        <v/>
      </c>
      <c r="O619" s="1323" t="s">
        <v>529</v>
      </c>
      <c r="P619" s="1324"/>
      <c r="Q619" s="1324"/>
      <c r="R619" s="1324"/>
      <c r="S619" s="1324"/>
      <c r="T619" s="1325"/>
      <c r="U619" s="1015">
        <v>1.8</v>
      </c>
      <c r="V619" s="1015"/>
      <c r="W619" s="1015"/>
      <c r="X619" s="1015"/>
      <c r="Y619" s="1015">
        <v>2.6</v>
      </c>
      <c r="Z619" s="1016">
        <f>'09월 에너지'!S621</f>
        <v>142.1</v>
      </c>
      <c r="AA619" s="1017"/>
      <c r="AB619" s="1208"/>
      <c r="AC619" s="1208"/>
      <c r="AD619" s="1208"/>
      <c r="AE619" s="1208"/>
      <c r="AF619" s="1208"/>
      <c r="AG619" s="1018">
        <f>'09월 화학성분'!AM619</f>
        <v>2283</v>
      </c>
      <c r="AH619" s="1006">
        <f t="shared" si="128"/>
        <v>28</v>
      </c>
      <c r="AI619" s="1019">
        <v>1583</v>
      </c>
      <c r="AJ619" s="1020">
        <v>0</v>
      </c>
      <c r="AK619" s="1021">
        <v>452</v>
      </c>
      <c r="AL619" s="1022">
        <v>9</v>
      </c>
      <c r="AM619" s="1155">
        <f>IF(AT619="","",3*'09월 에너지'!S621*(1/(3+7.8*(100-AT619)/AT619)))</f>
        <v>0.32913835701050026</v>
      </c>
      <c r="AN619" s="1023">
        <v>0.16666666666666666</v>
      </c>
      <c r="AO619" s="1024"/>
      <c r="AP619" s="1025"/>
      <c r="AQ619" s="1025"/>
      <c r="AR619" s="1149">
        <f t="shared" si="129"/>
        <v>3</v>
      </c>
      <c r="AS619" s="1093" t="str">
        <f t="shared" si="140"/>
        <v xml:space="preserve"> </v>
      </c>
      <c r="AT619" s="1156">
        <v>0.6</v>
      </c>
      <c r="AU619" s="449"/>
      <c r="AV619" s="1205"/>
    </row>
    <row r="620" spans="1:48" ht="16.5" customHeight="1">
      <c r="A620" s="1005">
        <f t="shared" si="130"/>
        <v>46288</v>
      </c>
      <c r="B620" s="1005">
        <f t="shared" si="131"/>
        <v>46288</v>
      </c>
      <c r="C620" s="1150">
        <f t="shared" si="132"/>
        <v>19</v>
      </c>
      <c r="D620" s="1150">
        <f t="shared" si="133"/>
        <v>609</v>
      </c>
      <c r="E620" s="1006" t="str">
        <f t="shared" si="134"/>
        <v>C</v>
      </c>
      <c r="F620" s="1007" t="str">
        <f t="shared" si="135"/>
        <v>B</v>
      </c>
      <c r="G620" s="1008">
        <f t="shared" si="136"/>
        <v>85822</v>
      </c>
      <c r="H620" s="1138">
        <f t="shared" si="137"/>
        <v>0.75555555555555554</v>
      </c>
      <c r="I620" s="1009">
        <v>0.75555555555555554</v>
      </c>
      <c r="J620" s="1010">
        <f t="shared" si="138"/>
        <v>47.999999999999986</v>
      </c>
      <c r="K620" s="1011"/>
      <c r="L620" s="1012"/>
      <c r="M620" s="1013"/>
      <c r="N620" s="1014" t="str">
        <f t="shared" si="139"/>
        <v/>
      </c>
      <c r="O620" s="1323"/>
      <c r="P620" s="1324"/>
      <c r="Q620" s="1324"/>
      <c r="R620" s="1324"/>
      <c r="S620" s="1324"/>
      <c r="T620" s="1325"/>
      <c r="U620" s="1015">
        <v>1.8</v>
      </c>
      <c r="V620" s="1015"/>
      <c r="W620" s="1015"/>
      <c r="X620" s="1015"/>
      <c r="Y620" s="1015">
        <v>2.5</v>
      </c>
      <c r="Z620" s="1016">
        <f>'09월 에너지'!S622</f>
        <v>143.4</v>
      </c>
      <c r="AA620" s="1017"/>
      <c r="AB620" s="1208"/>
      <c r="AC620" s="1208"/>
      <c r="AD620" s="1208"/>
      <c r="AE620" s="1208"/>
      <c r="AF620" s="1208"/>
      <c r="AG620" s="1018">
        <f>'09월 화학성분'!AM620</f>
        <v>2091</v>
      </c>
      <c r="AH620" s="1006">
        <f t="shared" si="128"/>
        <v>29</v>
      </c>
      <c r="AI620" s="1019">
        <v>1555</v>
      </c>
      <c r="AJ620" s="1020">
        <v>0</v>
      </c>
      <c r="AK620" s="1021">
        <v>412</v>
      </c>
      <c r="AL620" s="1022">
        <v>10</v>
      </c>
      <c r="AM620" s="1155">
        <f>IF(AT620="","",3*'09월 에너지'!S622*(1/(3+7.8*(100-AT620)/AT620)))</f>
        <v>1.003889234598631</v>
      </c>
      <c r="AN620" s="1023">
        <v>0.15555555555555556</v>
      </c>
      <c r="AO620" s="1024"/>
      <c r="AP620" s="1025"/>
      <c r="AQ620" s="1025"/>
      <c r="AR620" s="1149" t="str">
        <f t="shared" si="129"/>
        <v/>
      </c>
      <c r="AS620" s="1093">
        <f t="shared" si="140"/>
        <v>10</v>
      </c>
      <c r="AT620" s="1156">
        <v>1.8</v>
      </c>
      <c r="AU620" s="449"/>
      <c r="AV620" s="1205"/>
    </row>
    <row r="621" spans="1:48" ht="16.5" customHeight="1">
      <c r="A621" s="1005">
        <f t="shared" si="130"/>
        <v>46288</v>
      </c>
      <c r="B621" s="1005">
        <f t="shared" si="131"/>
        <v>46288</v>
      </c>
      <c r="C621" s="1150">
        <f t="shared" si="132"/>
        <v>20</v>
      </c>
      <c r="D621" s="1150">
        <f t="shared" si="133"/>
        <v>610</v>
      </c>
      <c r="E621" s="1006" t="str">
        <f t="shared" si="134"/>
        <v>C</v>
      </c>
      <c r="F621" s="1007" t="str">
        <f t="shared" si="135"/>
        <v>A</v>
      </c>
      <c r="G621" s="1008">
        <f t="shared" si="136"/>
        <v>85823</v>
      </c>
      <c r="H621" s="1138">
        <f t="shared" si="137"/>
        <v>0.78888888888888886</v>
      </c>
      <c r="I621" s="1009">
        <v>0.78819444444444453</v>
      </c>
      <c r="J621" s="1010">
        <f t="shared" si="138"/>
        <v>47.000000000000156</v>
      </c>
      <c r="K621" s="1011"/>
      <c r="L621" s="1012"/>
      <c r="M621" s="1013"/>
      <c r="N621" s="1014" t="str">
        <f t="shared" si="139"/>
        <v/>
      </c>
      <c r="O621" s="1323" t="s">
        <v>960</v>
      </c>
      <c r="P621" s="1324"/>
      <c r="Q621" s="1324"/>
      <c r="R621" s="1324"/>
      <c r="S621" s="1324"/>
      <c r="T621" s="1325"/>
      <c r="U621" s="1015">
        <v>1.8</v>
      </c>
      <c r="V621" s="1015"/>
      <c r="W621" s="1015"/>
      <c r="X621" s="1015">
        <v>3.4</v>
      </c>
      <c r="Y621" s="1015"/>
      <c r="Z621" s="1016">
        <f>'09월 에너지'!S623</f>
        <v>142.9</v>
      </c>
      <c r="AA621" s="1017"/>
      <c r="AB621" s="1208"/>
      <c r="AC621" s="1208"/>
      <c r="AD621" s="1208"/>
      <c r="AE621" s="1208"/>
      <c r="AF621" s="1208"/>
      <c r="AG621" s="1018">
        <f>'09월 화학성분'!AM621</f>
        <v>2237</v>
      </c>
      <c r="AH621" s="1006">
        <f t="shared" si="128"/>
        <v>30</v>
      </c>
      <c r="AI621" s="1019">
        <v>1571</v>
      </c>
      <c r="AJ621" s="1020">
        <v>0</v>
      </c>
      <c r="AK621" s="1021" t="s">
        <v>552</v>
      </c>
      <c r="AL621" s="1022" t="s">
        <v>563</v>
      </c>
      <c r="AM621" s="1155">
        <f>IF(AT621="","",3*'09월 에너지'!S623*(1/(3+7.8*(100-AT621)/AT621)))</f>
        <v>0.77614835505896962</v>
      </c>
      <c r="AN621" s="1023">
        <v>0.25069444444444444</v>
      </c>
      <c r="AO621" s="1024"/>
      <c r="AP621" s="1025"/>
      <c r="AQ621" s="1025"/>
      <c r="AR621" s="1149">
        <f t="shared" si="129"/>
        <v>4</v>
      </c>
      <c r="AS621" s="1093" t="str">
        <f t="shared" si="140"/>
        <v xml:space="preserve"> </v>
      </c>
      <c r="AT621" s="1156">
        <v>1.4</v>
      </c>
      <c r="AU621" s="449"/>
      <c r="AV621" s="1205"/>
    </row>
    <row r="622" spans="1:48" ht="16.5" customHeight="1">
      <c r="A622" s="1005">
        <f t="shared" si="130"/>
        <v>46288</v>
      </c>
      <c r="B622" s="1005">
        <f t="shared" si="131"/>
        <v>46288</v>
      </c>
      <c r="C622" s="1150">
        <f t="shared" si="132"/>
        <v>21</v>
      </c>
      <c r="D622" s="1150">
        <f t="shared" si="133"/>
        <v>611</v>
      </c>
      <c r="E622" s="1006" t="str">
        <f t="shared" si="134"/>
        <v>C</v>
      </c>
      <c r="F622" s="1007" t="str">
        <f t="shared" si="135"/>
        <v>B</v>
      </c>
      <c r="G622" s="1008">
        <f t="shared" si="136"/>
        <v>85824</v>
      </c>
      <c r="H622" s="1138">
        <f t="shared" si="137"/>
        <v>0.82152777777777786</v>
      </c>
      <c r="I622" s="1009">
        <v>0.82361111111111107</v>
      </c>
      <c r="J622" s="1010">
        <f t="shared" si="138"/>
        <v>50.999999999999815</v>
      </c>
      <c r="K622" s="1011"/>
      <c r="L622" s="1012"/>
      <c r="M622" s="1013"/>
      <c r="N622" s="1014" t="str">
        <f t="shared" si="139"/>
        <v/>
      </c>
      <c r="O622" s="1323"/>
      <c r="P622" s="1324"/>
      <c r="Q622" s="1324"/>
      <c r="R622" s="1324"/>
      <c r="S622" s="1324"/>
      <c r="T622" s="1325"/>
      <c r="U622" s="1015">
        <v>1.8</v>
      </c>
      <c r="V622" s="1015"/>
      <c r="W622" s="1015"/>
      <c r="X622" s="1015">
        <v>3.2</v>
      </c>
      <c r="Y622" s="1015"/>
      <c r="Z622" s="1016">
        <f>'09월 에너지'!S624</f>
        <v>143.4</v>
      </c>
      <c r="AA622" s="1017"/>
      <c r="AB622" s="1208"/>
      <c r="AC622" s="1208"/>
      <c r="AD622" s="1208"/>
      <c r="AE622" s="1208"/>
      <c r="AF622" s="1208"/>
      <c r="AG622" s="1018">
        <f>'09월 화학성분'!AM622</f>
        <v>2075</v>
      </c>
      <c r="AH622" s="1006">
        <f t="shared" si="128"/>
        <v>31</v>
      </c>
      <c r="AI622" s="1019">
        <v>1574</v>
      </c>
      <c r="AJ622" s="1020">
        <v>92</v>
      </c>
      <c r="AK622" s="1021">
        <v>383</v>
      </c>
      <c r="AL622" s="1022">
        <v>11</v>
      </c>
      <c r="AM622" s="1155">
        <f>IF(AT622="","",3*'09월 에너지'!S624*(1/(3+7.8*(100-AT622)/AT622)))</f>
        <v>1.5713838447088291</v>
      </c>
      <c r="AN622" s="1023">
        <v>0.15277777777777776</v>
      </c>
      <c r="AO622" s="1024"/>
      <c r="AP622" s="1025"/>
      <c r="AQ622" s="1025"/>
      <c r="AR622" s="1149" t="str">
        <f t="shared" si="129"/>
        <v/>
      </c>
      <c r="AS622" s="1093">
        <f t="shared" si="140"/>
        <v>11</v>
      </c>
      <c r="AT622" s="1156">
        <v>2.8</v>
      </c>
      <c r="AU622" s="449"/>
      <c r="AV622" s="1205"/>
    </row>
    <row r="623" spans="1:48" ht="16.5" customHeight="1">
      <c r="A623" s="1005">
        <f t="shared" si="130"/>
        <v>46288</v>
      </c>
      <c r="B623" s="1005">
        <f t="shared" si="131"/>
        <v>46288</v>
      </c>
      <c r="C623" s="1150">
        <f t="shared" si="132"/>
        <v>22</v>
      </c>
      <c r="D623" s="1150">
        <f t="shared" si="133"/>
        <v>612</v>
      </c>
      <c r="E623" s="1006" t="str">
        <f t="shared" si="134"/>
        <v>C</v>
      </c>
      <c r="F623" s="1007" t="str">
        <f t="shared" si="135"/>
        <v>A</v>
      </c>
      <c r="G623" s="1008">
        <f t="shared" si="136"/>
        <v>85825</v>
      </c>
      <c r="H623" s="1138">
        <f t="shared" si="137"/>
        <v>0.8569444444444444</v>
      </c>
      <c r="I623" s="1009">
        <v>0.85625000000000007</v>
      </c>
      <c r="J623" s="1010">
        <f t="shared" si="138"/>
        <v>47.000000000000156</v>
      </c>
      <c r="K623" s="1011"/>
      <c r="L623" s="1012"/>
      <c r="M623" s="1013"/>
      <c r="N623" s="1014" t="str">
        <f t="shared" si="139"/>
        <v/>
      </c>
      <c r="O623" s="1323"/>
      <c r="P623" s="1324"/>
      <c r="Q623" s="1324"/>
      <c r="R623" s="1324"/>
      <c r="S623" s="1324"/>
      <c r="T623" s="1325"/>
      <c r="U623" s="1015">
        <v>1.8</v>
      </c>
      <c r="V623" s="1015"/>
      <c r="W623" s="1015"/>
      <c r="X623" s="1015"/>
      <c r="Y623" s="1015">
        <v>2.8</v>
      </c>
      <c r="Z623" s="1016">
        <f>'09월 에너지'!S625</f>
        <v>144.69999999999999</v>
      </c>
      <c r="AA623" s="1017"/>
      <c r="AB623" s="1208"/>
      <c r="AC623" s="1208"/>
      <c r="AD623" s="1208"/>
      <c r="AE623" s="1208"/>
      <c r="AF623" s="1208"/>
      <c r="AG623" s="1018">
        <f>'09월 화학성분'!AM623</f>
        <v>2931</v>
      </c>
      <c r="AH623" s="1006">
        <f t="shared" si="128"/>
        <v>32</v>
      </c>
      <c r="AI623" s="1019">
        <v>1576</v>
      </c>
      <c r="AJ623" s="1020">
        <v>14</v>
      </c>
      <c r="AK623" s="1021">
        <v>738</v>
      </c>
      <c r="AL623" s="1022">
        <v>5</v>
      </c>
      <c r="AM623" s="1155">
        <f>IF(AT623="","",3*'09월 에너지'!S625*(1/(3+7.8*(100-AT623)/AT623)))</f>
        <v>1.1840321072319202</v>
      </c>
      <c r="AN623" s="1023">
        <v>0.16111111111111112</v>
      </c>
      <c r="AO623" s="1024"/>
      <c r="AP623" s="1025"/>
      <c r="AQ623" s="1025"/>
      <c r="AR623" s="1149">
        <f t="shared" si="129"/>
        <v>5</v>
      </c>
      <c r="AS623" s="1093" t="str">
        <f t="shared" si="140"/>
        <v xml:space="preserve"> </v>
      </c>
      <c r="AT623" s="1156">
        <v>2.1</v>
      </c>
      <c r="AU623" s="449"/>
      <c r="AV623" s="1205"/>
    </row>
    <row r="624" spans="1:48" ht="16.5" customHeight="1">
      <c r="A624" s="1005">
        <f t="shared" si="130"/>
        <v>46288</v>
      </c>
      <c r="B624" s="1005">
        <f t="shared" si="131"/>
        <v>46288</v>
      </c>
      <c r="C624" s="1150">
        <f t="shared" si="132"/>
        <v>23</v>
      </c>
      <c r="D624" s="1150">
        <f t="shared" si="133"/>
        <v>613</v>
      </c>
      <c r="E624" s="1006" t="str">
        <f t="shared" si="134"/>
        <v>C</v>
      </c>
      <c r="F624" s="1007" t="str">
        <f t="shared" si="135"/>
        <v>B</v>
      </c>
      <c r="G624" s="1008">
        <f t="shared" si="136"/>
        <v>85826</v>
      </c>
      <c r="H624" s="1138">
        <f t="shared" si="137"/>
        <v>0.88958333333333339</v>
      </c>
      <c r="I624" s="1009">
        <v>0.8930555555555556</v>
      </c>
      <c r="J624" s="1010">
        <f t="shared" si="138"/>
        <v>52.999999999999972</v>
      </c>
      <c r="K624" s="1011"/>
      <c r="L624" s="1012"/>
      <c r="M624" s="1013"/>
      <c r="N624" s="1014" t="str">
        <f t="shared" si="139"/>
        <v/>
      </c>
      <c r="O624" s="1323" t="s">
        <v>961</v>
      </c>
      <c r="P624" s="1324"/>
      <c r="Q624" s="1324"/>
      <c r="R624" s="1324"/>
      <c r="S624" s="1324"/>
      <c r="T624" s="1325"/>
      <c r="U624" s="1015">
        <v>1.8</v>
      </c>
      <c r="V624" s="1015"/>
      <c r="W624" s="1015"/>
      <c r="X624" s="1015"/>
      <c r="Y624" s="1015">
        <v>2.6</v>
      </c>
      <c r="Z624" s="1016">
        <f>'09월 에너지'!S626</f>
        <v>143.80000000000001</v>
      </c>
      <c r="AA624" s="1017">
        <v>2067</v>
      </c>
      <c r="AB624" s="1208" t="s">
        <v>573</v>
      </c>
      <c r="AC624" s="1208" t="s">
        <v>532</v>
      </c>
      <c r="AD624" s="1208"/>
      <c r="AE624" s="1208"/>
      <c r="AF624" s="1208" t="s">
        <v>532</v>
      </c>
      <c r="AG624" s="1018">
        <f>'09월 화학성분'!AM624</f>
        <v>1323</v>
      </c>
      <c r="AH624" s="1006">
        <f t="shared" si="128"/>
        <v>33</v>
      </c>
      <c r="AI624" s="1019">
        <v>1581</v>
      </c>
      <c r="AJ624" s="1020">
        <v>0</v>
      </c>
      <c r="AK624" s="1021">
        <v>763</v>
      </c>
      <c r="AL624" s="1022">
        <v>5</v>
      </c>
      <c r="AM624" s="1155">
        <f>IF(AT624="","",3*'09월 에너지'!S626*(1/(3+7.8*(100-AT624)/AT624)))</f>
        <v>0.78103662321539424</v>
      </c>
      <c r="AN624" s="1023">
        <v>0.17986111111111111</v>
      </c>
      <c r="AO624" s="1024" t="s">
        <v>587</v>
      </c>
      <c r="AP624" s="1025">
        <v>2000093</v>
      </c>
      <c r="AQ624" s="1025">
        <v>2122</v>
      </c>
      <c r="AR624" s="1149" t="str">
        <f t="shared" si="129"/>
        <v/>
      </c>
      <c r="AS624" s="1093">
        <v>1</v>
      </c>
      <c r="AT624" s="1156">
        <v>1.4</v>
      </c>
      <c r="AU624" s="449"/>
      <c r="AV624" s="1205"/>
    </row>
    <row r="625" spans="1:48" ht="16.5" customHeight="1">
      <c r="A625" s="1005">
        <f t="shared" si="130"/>
        <v>46288</v>
      </c>
      <c r="B625" s="1005">
        <f t="shared" si="131"/>
        <v>46288</v>
      </c>
      <c r="C625" s="1150">
        <f t="shared" si="132"/>
        <v>24</v>
      </c>
      <c r="D625" s="1150">
        <f t="shared" si="133"/>
        <v>614</v>
      </c>
      <c r="E625" s="1006" t="str">
        <f t="shared" si="134"/>
        <v>C</v>
      </c>
      <c r="F625" s="1007" t="str">
        <f t="shared" si="135"/>
        <v>A</v>
      </c>
      <c r="G625" s="1008">
        <f t="shared" si="136"/>
        <v>85827</v>
      </c>
      <c r="H625" s="1138">
        <f t="shared" si="137"/>
        <v>0.92638888888888893</v>
      </c>
      <c r="I625" s="1009">
        <v>0.9277777777777777</v>
      </c>
      <c r="J625" s="1010">
        <f t="shared" si="138"/>
        <v>49.999999999999822</v>
      </c>
      <c r="K625" s="1011"/>
      <c r="L625" s="1012"/>
      <c r="M625" s="1013"/>
      <c r="N625" s="1014" t="str">
        <f t="shared" si="139"/>
        <v/>
      </c>
      <c r="O625" s="1323" t="s">
        <v>571</v>
      </c>
      <c r="P625" s="1324"/>
      <c r="Q625" s="1324"/>
      <c r="R625" s="1324"/>
      <c r="S625" s="1324"/>
      <c r="T625" s="1325"/>
      <c r="U625" s="1015">
        <v>1.8</v>
      </c>
      <c r="V625" s="1015"/>
      <c r="W625" s="1015"/>
      <c r="X625" s="1015"/>
      <c r="Y625" s="1015">
        <v>2.4</v>
      </c>
      <c r="Z625" s="1016">
        <f>'09월 에너지'!S627</f>
        <v>142.9</v>
      </c>
      <c r="AA625" s="1017">
        <v>1528</v>
      </c>
      <c r="AB625" s="1208" t="s">
        <v>573</v>
      </c>
      <c r="AC625" s="1208" t="s">
        <v>548</v>
      </c>
      <c r="AD625" s="1208"/>
      <c r="AE625" s="1208"/>
      <c r="AF625" s="1208" t="s">
        <v>962</v>
      </c>
      <c r="AG625" s="1018">
        <f>'09월 화학성분'!AM625</f>
        <v>2519</v>
      </c>
      <c r="AH625" s="1006">
        <f t="shared" si="128"/>
        <v>34</v>
      </c>
      <c r="AI625" s="1019">
        <v>1578</v>
      </c>
      <c r="AJ625" s="1020">
        <v>0</v>
      </c>
      <c r="AK625" s="1021">
        <v>458</v>
      </c>
      <c r="AL625" s="1022">
        <v>9</v>
      </c>
      <c r="AM625" s="1155">
        <f>IF(AT625="","",3*'09월 에너지'!S627*(1/(3+7.8*(100-AT625)/AT625)))</f>
        <v>0.94422419154228865</v>
      </c>
      <c r="AN625" s="1023">
        <v>0.18402777777777779</v>
      </c>
      <c r="AO625" s="1024"/>
      <c r="AP625" s="1025"/>
      <c r="AQ625" s="1025"/>
      <c r="AR625" s="1149">
        <f t="shared" si="129"/>
        <v>6</v>
      </c>
      <c r="AS625" s="1093" t="str">
        <f t="shared" si="140"/>
        <v xml:space="preserve"> </v>
      </c>
      <c r="AT625" s="1156">
        <v>1.7</v>
      </c>
      <c r="AU625" s="449"/>
      <c r="AV625" s="1205"/>
    </row>
    <row r="626" spans="1:48" ht="16.5" customHeight="1">
      <c r="A626" s="1005">
        <f t="shared" si="130"/>
        <v>46288</v>
      </c>
      <c r="B626" s="1005">
        <f t="shared" si="131"/>
        <v>46288</v>
      </c>
      <c r="C626" s="1150">
        <f t="shared" si="132"/>
        <v>25</v>
      </c>
      <c r="D626" s="1150">
        <f t="shared" si="133"/>
        <v>615</v>
      </c>
      <c r="E626" s="1006" t="s">
        <v>558</v>
      </c>
      <c r="F626" s="1007" t="str">
        <f t="shared" si="135"/>
        <v>B</v>
      </c>
      <c r="G626" s="1008">
        <f t="shared" si="136"/>
        <v>85828</v>
      </c>
      <c r="H626" s="1138">
        <f t="shared" si="137"/>
        <v>0.96111111111111103</v>
      </c>
      <c r="I626" s="1009">
        <v>0.95694444444444438</v>
      </c>
      <c r="J626" s="1010">
        <f t="shared" si="138"/>
        <v>42.000000000000014</v>
      </c>
      <c r="K626" s="1011"/>
      <c r="L626" s="1012"/>
      <c r="M626" s="1013"/>
      <c r="N626" s="1014" t="str">
        <f t="shared" si="139"/>
        <v/>
      </c>
      <c r="O626" s="1323"/>
      <c r="P626" s="1324"/>
      <c r="Q626" s="1324"/>
      <c r="R626" s="1324"/>
      <c r="S626" s="1324"/>
      <c r="T626" s="1325"/>
      <c r="U626" s="1015">
        <v>1.8</v>
      </c>
      <c r="V626" s="1015"/>
      <c r="W626" s="1015"/>
      <c r="X626" s="1015"/>
      <c r="Y626" s="1015">
        <v>2.8</v>
      </c>
      <c r="Z626" s="1016">
        <f>'09월 에너지'!S628</f>
        <v>143</v>
      </c>
      <c r="AA626" s="1017"/>
      <c r="AB626" s="1208"/>
      <c r="AC626" s="1208"/>
      <c r="AD626" s="1208"/>
      <c r="AE626" s="1208"/>
      <c r="AF626" s="1208"/>
      <c r="AG626" s="1018">
        <f>'09월 화학성분'!AM626</f>
        <v>1323</v>
      </c>
      <c r="AH626" s="1006">
        <f t="shared" si="128"/>
        <v>35</v>
      </c>
      <c r="AI626" s="1019">
        <v>1567</v>
      </c>
      <c r="AJ626" s="1020">
        <v>0</v>
      </c>
      <c r="AK626" s="1021">
        <v>447</v>
      </c>
      <c r="AL626" s="1022">
        <v>9</v>
      </c>
      <c r="AM626" s="1155">
        <f>IF(AT626="","",3*'09월 에너지'!S628*(1/(3+7.8*(100-AT626)/AT626)))</f>
        <v>1.8526224874371857</v>
      </c>
      <c r="AN626" s="1023">
        <v>0.15555555555555556</v>
      </c>
      <c r="AO626" s="1024"/>
      <c r="AP626" s="1025"/>
      <c r="AQ626" s="1025"/>
      <c r="AR626" s="1149" t="str">
        <f t="shared" si="129"/>
        <v/>
      </c>
      <c r="AS626" s="1093">
        <f t="shared" si="140"/>
        <v>2</v>
      </c>
      <c r="AT626" s="1156">
        <v>3.3</v>
      </c>
      <c r="AU626" s="449"/>
      <c r="AV626" s="1205"/>
    </row>
    <row r="627" spans="1:48" ht="16.5" customHeight="1">
      <c r="A627" s="1005">
        <f t="shared" si="130"/>
        <v>46288</v>
      </c>
      <c r="B627" s="1005">
        <f t="shared" si="131"/>
        <v>46288</v>
      </c>
      <c r="C627" s="1150">
        <f t="shared" si="132"/>
        <v>26</v>
      </c>
      <c r="D627" s="1150">
        <f t="shared" si="133"/>
        <v>616</v>
      </c>
      <c r="E627" s="1006" t="str">
        <f t="shared" si="134"/>
        <v>D</v>
      </c>
      <c r="F627" s="1007" t="str">
        <f t="shared" si="135"/>
        <v>A</v>
      </c>
      <c r="G627" s="1008">
        <f t="shared" si="136"/>
        <v>85829</v>
      </c>
      <c r="H627" s="1138">
        <f t="shared" si="137"/>
        <v>0.9902777777777777</v>
      </c>
      <c r="I627" s="1009">
        <v>0.9916666666666667</v>
      </c>
      <c r="J627" s="1010">
        <f t="shared" si="138"/>
        <v>50.000000000000142</v>
      </c>
      <c r="K627" s="1011"/>
      <c r="L627" s="1012"/>
      <c r="M627" s="1013"/>
      <c r="N627" s="1014" t="str">
        <f t="shared" si="139"/>
        <v/>
      </c>
      <c r="O627" s="1338" t="s">
        <v>723</v>
      </c>
      <c r="P627" s="1324"/>
      <c r="Q627" s="1324"/>
      <c r="R627" s="1324"/>
      <c r="S627" s="1324"/>
      <c r="T627" s="1325"/>
      <c r="U627" s="1015">
        <v>1.8</v>
      </c>
      <c r="V627" s="1015">
        <v>2.7</v>
      </c>
      <c r="W627" s="1015">
        <v>1.5</v>
      </c>
      <c r="X627" s="1015"/>
      <c r="Y627" s="1015"/>
      <c r="Z627" s="1016">
        <f>'09월 에너지'!S629</f>
        <v>140.80000000000001</v>
      </c>
      <c r="AA627" s="1017"/>
      <c r="AB627" s="1208"/>
      <c r="AC627" s="1208"/>
      <c r="AD627" s="1208"/>
      <c r="AE627" s="1208"/>
      <c r="AF627" s="1208"/>
      <c r="AG627" s="1018">
        <f>'09월 화학성분'!AM627</f>
        <v>1472</v>
      </c>
      <c r="AH627" s="1006">
        <f t="shared" si="128"/>
        <v>36</v>
      </c>
      <c r="AI627" s="1019">
        <v>1546</v>
      </c>
      <c r="AJ627" s="1020">
        <v>0</v>
      </c>
      <c r="AK627" s="1021">
        <v>511</v>
      </c>
      <c r="AL627" s="1022">
        <v>8</v>
      </c>
      <c r="AM627" s="1155">
        <f>IF(AT627="","",3*'09월 에너지'!S629*(1/(3+7.8*(100-AT627)/AT627)))</f>
        <v>0.93034825870646776</v>
      </c>
      <c r="AN627" s="1023">
        <v>0.16805555555555554</v>
      </c>
      <c r="AO627" s="1024"/>
      <c r="AP627" s="1025"/>
      <c r="AQ627" s="1025"/>
      <c r="AR627" s="1149">
        <f t="shared" si="129"/>
        <v>7</v>
      </c>
      <c r="AS627" s="1093" t="str">
        <f t="shared" si="140"/>
        <v xml:space="preserve"> </v>
      </c>
      <c r="AT627" s="1156">
        <v>1.7</v>
      </c>
      <c r="AU627" s="449"/>
      <c r="AV627" s="1205"/>
    </row>
    <row r="628" spans="1:48" ht="16.5" customHeight="1">
      <c r="A628" s="1005">
        <f t="shared" si="130"/>
        <v>46288</v>
      </c>
      <c r="B628" s="1005">
        <f t="shared" si="131"/>
        <v>46288</v>
      </c>
      <c r="C628" s="1150">
        <f t="shared" si="132"/>
        <v>27</v>
      </c>
      <c r="D628" s="1150">
        <f t="shared" si="133"/>
        <v>617</v>
      </c>
      <c r="E628" s="1006" t="str">
        <f t="shared" si="134"/>
        <v>D</v>
      </c>
      <c r="F628" s="1007" t="str">
        <f t="shared" si="135"/>
        <v>B</v>
      </c>
      <c r="G628" s="1008">
        <f t="shared" si="136"/>
        <v>85830</v>
      </c>
      <c r="H628" s="1138">
        <f t="shared" si="137"/>
        <v>1.0250000000000001</v>
      </c>
      <c r="I628" s="1009">
        <v>2.2916666666666669E-2</v>
      </c>
      <c r="J628" s="1010">
        <f t="shared" si="138"/>
        <v>45</v>
      </c>
      <c r="K628" s="1011"/>
      <c r="L628" s="1012"/>
      <c r="M628" s="1013"/>
      <c r="N628" s="1014" t="str">
        <f t="shared" si="139"/>
        <v/>
      </c>
      <c r="O628" s="1323"/>
      <c r="P628" s="1324"/>
      <c r="Q628" s="1324"/>
      <c r="R628" s="1324"/>
      <c r="S628" s="1324"/>
      <c r="T628" s="1325"/>
      <c r="U628" s="1015">
        <v>1.8</v>
      </c>
      <c r="V628" s="1015">
        <v>2.6</v>
      </c>
      <c r="W628" s="1015">
        <v>1.4</v>
      </c>
      <c r="X628" s="1015"/>
      <c r="Y628" s="1015"/>
      <c r="Z628" s="1016">
        <f>'09월 에너지'!S630</f>
        <v>142</v>
      </c>
      <c r="AA628" s="1017"/>
      <c r="AB628" s="1208"/>
      <c r="AC628" s="1208"/>
      <c r="AD628" s="1208"/>
      <c r="AE628" s="1208"/>
      <c r="AF628" s="1208"/>
      <c r="AG628" s="1018">
        <f>'09월 화학성분'!AM628</f>
        <v>1141</v>
      </c>
      <c r="AH628" s="1006">
        <f t="shared" si="128"/>
        <v>37</v>
      </c>
      <c r="AI628" s="1019">
        <v>1552</v>
      </c>
      <c r="AJ628" s="1020">
        <v>0</v>
      </c>
      <c r="AK628" s="1021">
        <v>681</v>
      </c>
      <c r="AL628" s="1022">
        <v>5</v>
      </c>
      <c r="AM628" s="1155">
        <f>IF(AT628="","",3*'09월 에너지'!S630*(1/(3+7.8*(100-AT628)/AT628)))</f>
        <v>1.2180286961946354</v>
      </c>
      <c r="AN628" s="1023">
        <v>0.14930555555555555</v>
      </c>
      <c r="AO628" s="1024"/>
      <c r="AP628" s="1025"/>
      <c r="AQ628" s="1025"/>
      <c r="AR628" s="1149" t="str">
        <f t="shared" si="129"/>
        <v/>
      </c>
      <c r="AS628" s="1093">
        <f t="shared" si="140"/>
        <v>3</v>
      </c>
      <c r="AT628" s="1156">
        <v>2.2000000000000002</v>
      </c>
      <c r="AU628" s="449"/>
      <c r="AV628" s="1205"/>
    </row>
    <row r="629" spans="1:48" ht="16.5" customHeight="1">
      <c r="A629" s="1005">
        <f t="shared" si="130"/>
        <v>46288</v>
      </c>
      <c r="B629" s="1005">
        <f t="shared" si="131"/>
        <v>46288</v>
      </c>
      <c r="C629" s="1150">
        <f t="shared" si="132"/>
        <v>28</v>
      </c>
      <c r="D629" s="1150">
        <f t="shared" si="133"/>
        <v>618</v>
      </c>
      <c r="E629" s="1006" t="str">
        <f t="shared" si="134"/>
        <v>D</v>
      </c>
      <c r="F629" s="1007" t="str">
        <f t="shared" si="135"/>
        <v>A</v>
      </c>
      <c r="G629" s="1008">
        <f t="shared" si="136"/>
        <v>85831</v>
      </c>
      <c r="H629" s="1138">
        <f t="shared" si="137"/>
        <v>5.6250000000000001E-2</v>
      </c>
      <c r="I629" s="1009">
        <v>5.7638888888888885E-2</v>
      </c>
      <c r="J629" s="1010">
        <f t="shared" si="138"/>
        <v>49.999999999999993</v>
      </c>
      <c r="K629" s="1011"/>
      <c r="L629" s="1012"/>
      <c r="M629" s="1013"/>
      <c r="N629" s="1014" t="str">
        <f t="shared" si="139"/>
        <v/>
      </c>
      <c r="O629" s="1323" t="s">
        <v>963</v>
      </c>
      <c r="P629" s="1324"/>
      <c r="Q629" s="1324"/>
      <c r="R629" s="1324"/>
      <c r="S629" s="1324"/>
      <c r="T629" s="1325"/>
      <c r="U629" s="1015">
        <v>1.8</v>
      </c>
      <c r="V629" s="1015"/>
      <c r="W629" s="1015"/>
      <c r="X629" s="1015"/>
      <c r="Y629" s="1015">
        <v>2.9</v>
      </c>
      <c r="Z629" s="1016">
        <f>'09월 에너지'!S631</f>
        <v>142.80000000000001</v>
      </c>
      <c r="AA629" s="1017"/>
      <c r="AB629" s="1208"/>
      <c r="AC629" s="1208"/>
      <c r="AD629" s="1208"/>
      <c r="AE629" s="1208"/>
      <c r="AF629" s="1208"/>
      <c r="AG629" s="1018">
        <f>'09월 화학성분'!AM629</f>
        <v>1388</v>
      </c>
      <c r="AH629" s="1006">
        <f t="shared" si="128"/>
        <v>38</v>
      </c>
      <c r="AI629" s="1019">
        <v>1578</v>
      </c>
      <c r="AJ629" s="1020">
        <v>0</v>
      </c>
      <c r="AK629" s="1021">
        <v>650</v>
      </c>
      <c r="AL629" s="1022">
        <v>6</v>
      </c>
      <c r="AM629" s="1155">
        <f>IF(AT629="","",3*'09월 에너지'!S631*(1/(3+7.8*(100-AT629)/AT629)))</f>
        <v>0.719758064516129</v>
      </c>
      <c r="AN629" s="1023">
        <v>0.19097222222222221</v>
      </c>
      <c r="AO629" s="1024"/>
      <c r="AP629" s="1025"/>
      <c r="AQ629" s="1025"/>
      <c r="AR629" s="1149">
        <f t="shared" si="129"/>
        <v>8</v>
      </c>
      <c r="AS629" s="1093" t="str">
        <f t="shared" si="140"/>
        <v xml:space="preserve"> </v>
      </c>
      <c r="AT629" s="1156">
        <v>1.3</v>
      </c>
      <c r="AU629" s="449"/>
      <c r="AV629" s="1205"/>
    </row>
    <row r="630" spans="1:48" ht="16.5" customHeight="1">
      <c r="A630" s="1005">
        <f t="shared" si="130"/>
        <v>46288</v>
      </c>
      <c r="B630" s="1005">
        <f t="shared" si="131"/>
        <v>46288</v>
      </c>
      <c r="C630" s="1150">
        <f t="shared" si="132"/>
        <v>29</v>
      </c>
      <c r="D630" s="1150">
        <f t="shared" si="133"/>
        <v>619</v>
      </c>
      <c r="E630" s="1006" t="str">
        <f t="shared" si="134"/>
        <v>D</v>
      </c>
      <c r="F630" s="1007" t="str">
        <f t="shared" si="135"/>
        <v>B</v>
      </c>
      <c r="G630" s="1008">
        <f t="shared" si="136"/>
        <v>85832</v>
      </c>
      <c r="H630" s="1138">
        <f t="shared" si="137"/>
        <v>9.0972222222222218E-2</v>
      </c>
      <c r="I630" s="1009">
        <v>8.7500000000000008E-2</v>
      </c>
      <c r="J630" s="1010">
        <f t="shared" si="138"/>
        <v>43.000000000000014</v>
      </c>
      <c r="K630" s="1011"/>
      <c r="L630" s="1012"/>
      <c r="M630" s="1013"/>
      <c r="N630" s="1014" t="str">
        <f t="shared" si="139"/>
        <v/>
      </c>
      <c r="O630" s="1323" t="s">
        <v>529</v>
      </c>
      <c r="P630" s="1324"/>
      <c r="Q630" s="1324"/>
      <c r="R630" s="1324"/>
      <c r="S630" s="1324"/>
      <c r="T630" s="1325"/>
      <c r="U630" s="1015">
        <v>1.8</v>
      </c>
      <c r="V630" s="1015"/>
      <c r="W630" s="1015"/>
      <c r="X630" s="1015"/>
      <c r="Y630" s="1015"/>
      <c r="Z630" s="1016">
        <f>'09월 에너지'!S632</f>
        <v>144.1</v>
      </c>
      <c r="AA630" s="1017"/>
      <c r="AB630" s="1208"/>
      <c r="AC630" s="1208"/>
      <c r="AD630" s="1208"/>
      <c r="AE630" s="1208"/>
      <c r="AF630" s="1208"/>
      <c r="AG630" s="1018">
        <f>'09월 화학성분'!AM630</f>
        <v>1766</v>
      </c>
      <c r="AH630" s="1006">
        <f t="shared" si="128"/>
        <v>39</v>
      </c>
      <c r="AI630" s="1019">
        <v>1562</v>
      </c>
      <c r="AJ630" s="1020">
        <v>0</v>
      </c>
      <c r="AK630" s="1021">
        <v>749</v>
      </c>
      <c r="AL630" s="1022">
        <v>5</v>
      </c>
      <c r="AM630" s="1155">
        <f>IF(AT630="","",3*'09월 에너지'!S632*(1/(3+7.8*(100-AT630)/AT630)))</f>
        <v>1.8091650973006903</v>
      </c>
      <c r="AN630" s="1023">
        <v>0.14375000000000002</v>
      </c>
      <c r="AO630" s="1024"/>
      <c r="AP630" s="1025"/>
      <c r="AQ630" s="1025"/>
      <c r="AR630" s="1149" t="str">
        <f t="shared" si="129"/>
        <v/>
      </c>
      <c r="AS630" s="1093">
        <f t="shared" si="140"/>
        <v>4</v>
      </c>
      <c r="AT630" s="1156">
        <v>3.2</v>
      </c>
      <c r="AU630" s="449"/>
      <c r="AV630" s="1205"/>
    </row>
    <row r="631" spans="1:48" ht="16.5" customHeight="1">
      <c r="A631" s="1005">
        <f t="shared" si="130"/>
        <v>46288</v>
      </c>
      <c r="B631" s="1005">
        <f t="shared" si="131"/>
        <v>46288</v>
      </c>
      <c r="C631" s="1150">
        <f t="shared" si="132"/>
        <v>30</v>
      </c>
      <c r="D631" s="1150">
        <f t="shared" si="133"/>
        <v>620</v>
      </c>
      <c r="E631" s="1006" t="str">
        <f t="shared" si="134"/>
        <v>D</v>
      </c>
      <c r="F631" s="1007" t="str">
        <f t="shared" si="135"/>
        <v>A</v>
      </c>
      <c r="G631" s="1008">
        <f t="shared" si="136"/>
        <v>85833</v>
      </c>
      <c r="H631" s="1138">
        <f t="shared" si="137"/>
        <v>0.12083333333333335</v>
      </c>
      <c r="I631" s="1009">
        <v>0.12152777777777778</v>
      </c>
      <c r="J631" s="1010">
        <f t="shared" si="138"/>
        <v>48.999999999999986</v>
      </c>
      <c r="K631" s="1011"/>
      <c r="L631" s="1012"/>
      <c r="M631" s="1013"/>
      <c r="N631" s="1014" t="str">
        <f t="shared" si="139"/>
        <v/>
      </c>
      <c r="O631" s="1323"/>
      <c r="P631" s="1324"/>
      <c r="Q631" s="1324"/>
      <c r="R631" s="1324"/>
      <c r="S631" s="1324"/>
      <c r="T631" s="1325"/>
      <c r="U631" s="1015">
        <v>1.8</v>
      </c>
      <c r="V631" s="1015">
        <v>2.9</v>
      </c>
      <c r="W631" s="1015">
        <v>1.7</v>
      </c>
      <c r="X631" s="1015"/>
      <c r="Y631" s="1015"/>
      <c r="Z631" s="1016">
        <f>'09월 에너지'!S633</f>
        <v>143.1</v>
      </c>
      <c r="AA631" s="1017"/>
      <c r="AB631" s="1208"/>
      <c r="AC631" s="1208"/>
      <c r="AD631" s="1208"/>
      <c r="AE631" s="1208"/>
      <c r="AF631" s="1208"/>
      <c r="AG631" s="1018">
        <f>'09월 화학성분'!AM631</f>
        <v>2114</v>
      </c>
      <c r="AH631" s="1006">
        <f t="shared" si="128"/>
        <v>40</v>
      </c>
      <c r="AI631" s="1019">
        <v>1599</v>
      </c>
      <c r="AJ631" s="1020">
        <v>0</v>
      </c>
      <c r="AK631" s="1021">
        <v>760</v>
      </c>
      <c r="AL631" s="1022">
        <v>5</v>
      </c>
      <c r="AM631" s="1155">
        <f>IF(AT631="","",3*'09월 에너지'!S633*(1/(3+7.8*(100-AT631)/AT631)))</f>
        <v>1.2840589887640446</v>
      </c>
      <c r="AN631" s="1023">
        <v>0.18263888888888891</v>
      </c>
      <c r="AO631" s="1024"/>
      <c r="AP631" s="1025"/>
      <c r="AQ631" s="1025"/>
      <c r="AR631" s="1149">
        <f t="shared" si="129"/>
        <v>9</v>
      </c>
      <c r="AS631" s="1093" t="str">
        <f t="shared" si="140"/>
        <v xml:space="preserve"> </v>
      </c>
      <c r="AT631" s="1156">
        <v>2.2999999999999998</v>
      </c>
      <c r="AU631" s="449"/>
      <c r="AV631" s="1205"/>
    </row>
    <row r="632" spans="1:48" ht="16.5" customHeight="1">
      <c r="A632" s="1005">
        <v>46289</v>
      </c>
      <c r="B632" s="1005">
        <f t="shared" si="131"/>
        <v>46288</v>
      </c>
      <c r="C632" s="1150">
        <f t="shared" si="132"/>
        <v>1</v>
      </c>
      <c r="D632" s="1150">
        <f t="shared" si="133"/>
        <v>621</v>
      </c>
      <c r="E632" s="1006" t="str">
        <f t="shared" si="134"/>
        <v>D</v>
      </c>
      <c r="F632" s="1007" t="str">
        <f t="shared" si="135"/>
        <v>B</v>
      </c>
      <c r="G632" s="1008">
        <f t="shared" si="136"/>
        <v>85834</v>
      </c>
      <c r="H632" s="1138">
        <f t="shared" si="137"/>
        <v>0.15486111111111112</v>
      </c>
      <c r="I632" s="1009">
        <v>0.15138888888888888</v>
      </c>
      <c r="J632" s="1010">
        <f t="shared" si="138"/>
        <v>42.999999999999986</v>
      </c>
      <c r="K632" s="1011"/>
      <c r="L632" s="1012"/>
      <c r="M632" s="1013"/>
      <c r="N632" s="1014" t="str">
        <f t="shared" si="139"/>
        <v/>
      </c>
      <c r="O632" s="1345"/>
      <c r="P632" s="1324"/>
      <c r="Q632" s="1324"/>
      <c r="R632" s="1324"/>
      <c r="S632" s="1324"/>
      <c r="T632" s="1325"/>
      <c r="U632" s="1015">
        <v>1.8</v>
      </c>
      <c r="V632" s="1015">
        <v>2.7</v>
      </c>
      <c r="W632" s="1015">
        <v>1.5</v>
      </c>
      <c r="X632" s="1015"/>
      <c r="Y632" s="1015"/>
      <c r="Z632" s="1016">
        <f>'09월 에너지'!S634</f>
        <v>143.80000000000001</v>
      </c>
      <c r="AA632" s="1017"/>
      <c r="AB632" s="1208"/>
      <c r="AC632" s="1208"/>
      <c r="AD632" s="1208"/>
      <c r="AE632" s="1208"/>
      <c r="AF632" s="1208"/>
      <c r="AG632" s="1018">
        <f>'09월 화학성분'!AM632</f>
        <v>2036</v>
      </c>
      <c r="AH632" s="1006">
        <f t="shared" si="128"/>
        <v>41</v>
      </c>
      <c r="AI632" s="1019">
        <v>1552</v>
      </c>
      <c r="AJ632" s="1020">
        <v>0</v>
      </c>
      <c r="AK632" s="1021">
        <v>855</v>
      </c>
      <c r="AL632" s="1022">
        <v>4</v>
      </c>
      <c r="AM632" s="1155">
        <f>IF(AT632="","",3*'09월 에너지'!S634*(1/(3+7.8*(100-AT632)/AT632)))</f>
        <v>0.72479838709677413</v>
      </c>
      <c r="AN632" s="1023">
        <v>0.17361111111111113</v>
      </c>
      <c r="AO632" s="1024"/>
      <c r="AP632" s="1025"/>
      <c r="AQ632" s="1025"/>
      <c r="AR632" s="1149" t="str">
        <f t="shared" si="129"/>
        <v/>
      </c>
      <c r="AS632" s="1093">
        <f t="shared" si="140"/>
        <v>5</v>
      </c>
      <c r="AT632" s="1156">
        <v>1.3</v>
      </c>
      <c r="AU632" s="449"/>
      <c r="AV632" s="1205"/>
    </row>
    <row r="633" spans="1:48" ht="16.5" customHeight="1">
      <c r="A633" s="1005">
        <f t="shared" si="130"/>
        <v>46289</v>
      </c>
      <c r="B633" s="1005">
        <f t="shared" si="131"/>
        <v>46288</v>
      </c>
      <c r="C633" s="1150">
        <f t="shared" si="132"/>
        <v>2</v>
      </c>
      <c r="D633" s="1150">
        <f t="shared" si="133"/>
        <v>622</v>
      </c>
      <c r="E633" s="1006" t="str">
        <f t="shared" si="134"/>
        <v>D</v>
      </c>
      <c r="F633" s="1007" t="str">
        <f t="shared" si="135"/>
        <v>A</v>
      </c>
      <c r="G633" s="1008">
        <f t="shared" si="136"/>
        <v>85835</v>
      </c>
      <c r="H633" s="1138">
        <f t="shared" si="137"/>
        <v>0.1847222222222222</v>
      </c>
      <c r="I633" s="1009">
        <v>0.18124999999999999</v>
      </c>
      <c r="J633" s="1010">
        <f t="shared" si="138"/>
        <v>43.000000000000007</v>
      </c>
      <c r="K633" s="1011"/>
      <c r="L633" s="1012"/>
      <c r="M633" s="1013"/>
      <c r="N633" s="1014" t="str">
        <f t="shared" si="139"/>
        <v/>
      </c>
      <c r="O633" s="1323"/>
      <c r="P633" s="1324"/>
      <c r="Q633" s="1324"/>
      <c r="R633" s="1324"/>
      <c r="S633" s="1324"/>
      <c r="T633" s="1325"/>
      <c r="U633" s="1015">
        <v>1.8</v>
      </c>
      <c r="V633" s="1015"/>
      <c r="W633" s="1015"/>
      <c r="X633" s="1015"/>
      <c r="Y633" s="1015">
        <v>2.8</v>
      </c>
      <c r="Z633" s="1016">
        <f>'09월 에너지'!S635</f>
        <v>143.1</v>
      </c>
      <c r="AA633" s="1017"/>
      <c r="AB633" s="1208"/>
      <c r="AC633" s="1208"/>
      <c r="AD633" s="1208"/>
      <c r="AE633" s="1208"/>
      <c r="AF633" s="1208"/>
      <c r="AG633" s="1018">
        <f>'09월 화학성분'!AM633</f>
        <v>2093</v>
      </c>
      <c r="AH633" s="1006">
        <f t="shared" si="128"/>
        <v>42</v>
      </c>
      <c r="AI633" s="1019">
        <v>1570</v>
      </c>
      <c r="AJ633" s="1020">
        <v>0</v>
      </c>
      <c r="AK633" s="1021">
        <v>598</v>
      </c>
      <c r="AL633" s="1022">
        <v>7</v>
      </c>
      <c r="AM633" s="1155">
        <f>IF(AT633="","",3*'09월 에너지'!S635*(1/(3+7.8*(100-AT633)/AT633)))</f>
        <v>1.1144859813084111</v>
      </c>
      <c r="AN633" s="1023">
        <v>0.15208333333333332</v>
      </c>
      <c r="AO633" s="1024"/>
      <c r="AP633" s="1025"/>
      <c r="AQ633" s="1025"/>
      <c r="AR633" s="1149">
        <f t="shared" si="129"/>
        <v>10</v>
      </c>
      <c r="AS633" s="1093" t="str">
        <f t="shared" si="140"/>
        <v xml:space="preserve"> </v>
      </c>
      <c r="AT633" s="1156">
        <v>2</v>
      </c>
      <c r="AU633" s="449"/>
      <c r="AV633" s="1205"/>
    </row>
    <row r="634" spans="1:48" ht="16.5" customHeight="1">
      <c r="A634" s="1005">
        <f t="shared" si="130"/>
        <v>46289</v>
      </c>
      <c r="B634" s="1005">
        <f t="shared" si="131"/>
        <v>46288</v>
      </c>
      <c r="C634" s="1150">
        <f t="shared" si="132"/>
        <v>3</v>
      </c>
      <c r="D634" s="1150">
        <f t="shared" si="133"/>
        <v>623</v>
      </c>
      <c r="E634" s="1006" t="str">
        <f t="shared" si="134"/>
        <v>D</v>
      </c>
      <c r="F634" s="1007" t="str">
        <f t="shared" si="135"/>
        <v>B</v>
      </c>
      <c r="G634" s="1008">
        <f t="shared" si="136"/>
        <v>85836</v>
      </c>
      <c r="H634" s="1138">
        <f t="shared" si="137"/>
        <v>0.21458333333333332</v>
      </c>
      <c r="I634" s="1009">
        <v>0.21458333333333335</v>
      </c>
      <c r="J634" s="1010">
        <f t="shared" si="138"/>
        <v>48.000000000000028</v>
      </c>
      <c r="K634" s="1011"/>
      <c r="L634" s="1012"/>
      <c r="M634" s="1013"/>
      <c r="N634" s="1014" t="str">
        <f t="shared" si="139"/>
        <v/>
      </c>
      <c r="O634" s="1323" t="s">
        <v>964</v>
      </c>
      <c r="P634" s="1324"/>
      <c r="Q634" s="1324"/>
      <c r="R634" s="1324"/>
      <c r="S634" s="1324"/>
      <c r="T634" s="1325"/>
      <c r="U634" s="1015">
        <v>1.8</v>
      </c>
      <c r="V634" s="1015"/>
      <c r="W634" s="1015"/>
      <c r="X634" s="1015"/>
      <c r="Y634" s="1015">
        <v>2.7</v>
      </c>
      <c r="Z634" s="1016">
        <f>'09월 에너지'!S636</f>
        <v>143.69999999999999</v>
      </c>
      <c r="AA634" s="1017">
        <v>1800</v>
      </c>
      <c r="AB634" s="1208" t="s">
        <v>965</v>
      </c>
      <c r="AC634" s="1208" t="s">
        <v>548</v>
      </c>
      <c r="AD634" s="1208" t="s">
        <v>548</v>
      </c>
      <c r="AE634" s="1208"/>
      <c r="AF634" s="1208" t="s">
        <v>532</v>
      </c>
      <c r="AG634" s="1018">
        <f>'09월 화학성분'!AM634</f>
        <v>1398</v>
      </c>
      <c r="AH634" s="1006">
        <f t="shared" si="128"/>
        <v>43</v>
      </c>
      <c r="AI634" s="1019">
        <v>1582</v>
      </c>
      <c r="AJ634" s="1020">
        <v>0</v>
      </c>
      <c r="AK634" s="1021">
        <v>707</v>
      </c>
      <c r="AL634" s="1022">
        <v>5</v>
      </c>
      <c r="AM634" s="1155">
        <f>IF(AT634="","",3*'09월 에너지'!S636*(1/(3+7.8*(100-AT634)/AT634)))</f>
        <v>0.61210501858736055</v>
      </c>
      <c r="AN634" s="1023">
        <v>0.24097222222222223</v>
      </c>
      <c r="AO634" s="1024"/>
      <c r="AP634" s="1025"/>
      <c r="AQ634" s="1025"/>
      <c r="AR634" s="1149" t="str">
        <f t="shared" si="129"/>
        <v/>
      </c>
      <c r="AS634" s="1093">
        <f t="shared" si="140"/>
        <v>6</v>
      </c>
      <c r="AT634" s="1156">
        <v>1.1000000000000001</v>
      </c>
      <c r="AU634" s="449"/>
      <c r="AV634" s="1205"/>
    </row>
    <row r="635" spans="1:48" ht="16.5" customHeight="1">
      <c r="A635" s="1005">
        <f t="shared" si="130"/>
        <v>46289</v>
      </c>
      <c r="B635" s="1005">
        <f t="shared" si="131"/>
        <v>46288</v>
      </c>
      <c r="C635" s="1150">
        <f t="shared" si="132"/>
        <v>4</v>
      </c>
      <c r="D635" s="1150">
        <f t="shared" si="133"/>
        <v>624</v>
      </c>
      <c r="E635" s="1006" t="str">
        <f t="shared" si="134"/>
        <v>D</v>
      </c>
      <c r="F635" s="1007" t="str">
        <f t="shared" si="135"/>
        <v>A</v>
      </c>
      <c r="G635" s="1008">
        <f t="shared" si="136"/>
        <v>85837</v>
      </c>
      <c r="H635" s="1138">
        <f t="shared" si="137"/>
        <v>0.24791666666666667</v>
      </c>
      <c r="I635" s="1009">
        <v>0.24791666666666667</v>
      </c>
      <c r="J635" s="1010">
        <f t="shared" si="138"/>
        <v>47.999999999999986</v>
      </c>
      <c r="K635" s="1011"/>
      <c r="L635" s="1012"/>
      <c r="M635" s="1013"/>
      <c r="N635" s="1014" t="str">
        <f>IF(M635="","",M635+K635/1440)</f>
        <v/>
      </c>
      <c r="O635" s="1323" t="s">
        <v>571</v>
      </c>
      <c r="P635" s="1324"/>
      <c r="Q635" s="1324"/>
      <c r="R635" s="1324"/>
      <c r="S635" s="1324"/>
      <c r="T635" s="1325"/>
      <c r="U635" s="1015">
        <v>1.8</v>
      </c>
      <c r="V635" s="1015"/>
      <c r="W635" s="1015"/>
      <c r="X635" s="1015">
        <v>3.6</v>
      </c>
      <c r="Y635" s="1015"/>
      <c r="Z635" s="1016">
        <f>'09월 에너지'!S637</f>
        <v>143.4</v>
      </c>
      <c r="AA635" s="1017">
        <v>2332</v>
      </c>
      <c r="AB635" s="1208" t="s">
        <v>965</v>
      </c>
      <c r="AC635" s="1208" t="s">
        <v>532</v>
      </c>
      <c r="AD635" s="1208" t="s">
        <v>532</v>
      </c>
      <c r="AE635" s="1208"/>
      <c r="AF635" s="1208" t="s">
        <v>548</v>
      </c>
      <c r="AG635" s="1018">
        <f>'09월 화학성분'!AM635</f>
        <v>2161</v>
      </c>
      <c r="AH635" s="1006">
        <f t="shared" si="128"/>
        <v>44</v>
      </c>
      <c r="AI635" s="1019">
        <v>1581</v>
      </c>
      <c r="AJ635" s="1020">
        <v>0</v>
      </c>
      <c r="AK635" s="1021">
        <v>382</v>
      </c>
      <c r="AL635" s="1022">
        <v>11</v>
      </c>
      <c r="AM635" s="1155">
        <f>IF(AT635="","",3*'09월 에너지'!S637*(1/(3+7.8*(100-AT635)/AT635)))</f>
        <v>1.2300374298190895</v>
      </c>
      <c r="AN635" s="1023">
        <v>0.16874999999999998</v>
      </c>
      <c r="AO635" s="1024"/>
      <c r="AP635" s="1025"/>
      <c r="AQ635" s="1025"/>
      <c r="AR635" s="1149">
        <f t="shared" si="129"/>
        <v>11</v>
      </c>
      <c r="AS635" s="1093" t="str">
        <f t="shared" si="140"/>
        <v xml:space="preserve"> </v>
      </c>
      <c r="AT635" s="1156">
        <v>2.2000000000000002</v>
      </c>
      <c r="AU635" s="449"/>
      <c r="AV635" s="1205"/>
    </row>
    <row r="636" spans="1:48" ht="16.5" customHeight="1">
      <c r="A636" s="1005">
        <f t="shared" si="130"/>
        <v>46289</v>
      </c>
      <c r="B636" s="1005">
        <v>46289</v>
      </c>
      <c r="C636" s="1150">
        <f t="shared" si="132"/>
        <v>5</v>
      </c>
      <c r="D636" s="1150">
        <f t="shared" si="133"/>
        <v>625</v>
      </c>
      <c r="E636" s="1006" t="s">
        <v>600</v>
      </c>
      <c r="F636" s="1007" t="str">
        <f t="shared" si="135"/>
        <v>B</v>
      </c>
      <c r="G636" s="1008">
        <f t="shared" si="136"/>
        <v>85838</v>
      </c>
      <c r="H636" s="1138">
        <f t="shared" si="137"/>
        <v>0.28125</v>
      </c>
      <c r="I636" s="1009">
        <v>0.27916666666666667</v>
      </c>
      <c r="J636" s="1010">
        <f t="shared" si="138"/>
        <v>45</v>
      </c>
      <c r="K636" s="1011"/>
      <c r="L636" s="1012"/>
      <c r="M636" s="1013"/>
      <c r="N636" s="1014" t="str">
        <f t="shared" si="139"/>
        <v/>
      </c>
      <c r="O636" s="1323"/>
      <c r="P636" s="1324"/>
      <c r="Q636" s="1324"/>
      <c r="R636" s="1324"/>
      <c r="S636" s="1324"/>
      <c r="T636" s="1325"/>
      <c r="U636" s="1015">
        <v>1.8</v>
      </c>
      <c r="V636" s="1015"/>
      <c r="W636" s="1015"/>
      <c r="X636" s="1015">
        <v>3.4</v>
      </c>
      <c r="Y636" s="1015"/>
      <c r="Z636" s="1016">
        <f>'09월 에너지'!S638</f>
        <v>145.1</v>
      </c>
      <c r="AA636" s="1017"/>
      <c r="AB636" s="1208"/>
      <c r="AC636" s="1208"/>
      <c r="AD636" s="1208"/>
      <c r="AE636" s="1208"/>
      <c r="AF636" s="1208"/>
      <c r="AG636" s="1018">
        <f>'09월 화학성분'!AM636</f>
        <v>1761</v>
      </c>
      <c r="AH636" s="1006">
        <f t="shared" si="128"/>
        <v>45</v>
      </c>
      <c r="AI636" s="1019">
        <v>1600</v>
      </c>
      <c r="AJ636" s="1020">
        <v>21</v>
      </c>
      <c r="AK636" s="1021">
        <v>661</v>
      </c>
      <c r="AL636" s="1022">
        <v>6</v>
      </c>
      <c r="AM636" s="1155">
        <f>IF(AT636="","",3*'09월 에너지'!S638*(1/(3+7.8*(100-AT636)/AT636)))</f>
        <v>0.73135080645161277</v>
      </c>
      <c r="AN636" s="1023">
        <v>0.15902777777777777</v>
      </c>
      <c r="AO636" s="1024"/>
      <c r="AP636" s="1025"/>
      <c r="AQ636" s="1025"/>
      <c r="AR636" s="1149" t="str">
        <f t="shared" si="129"/>
        <v/>
      </c>
      <c r="AS636" s="1093">
        <f t="shared" si="140"/>
        <v>7</v>
      </c>
      <c r="AT636" s="1156">
        <v>1.3</v>
      </c>
      <c r="AU636" s="449"/>
      <c r="AV636" s="1205"/>
    </row>
    <row r="637" spans="1:48" ht="16.5" customHeight="1">
      <c r="A637" s="1005">
        <f t="shared" si="130"/>
        <v>46289</v>
      </c>
      <c r="B637" s="1005">
        <f t="shared" si="131"/>
        <v>46289</v>
      </c>
      <c r="C637" s="1150">
        <f t="shared" si="132"/>
        <v>6</v>
      </c>
      <c r="D637" s="1150">
        <f t="shared" si="133"/>
        <v>626</v>
      </c>
      <c r="E637" s="1006" t="str">
        <f t="shared" si="134"/>
        <v>B</v>
      </c>
      <c r="F637" s="1007" t="str">
        <f t="shared" si="135"/>
        <v>A</v>
      </c>
      <c r="G637" s="1008">
        <f t="shared" si="136"/>
        <v>85839</v>
      </c>
      <c r="H637" s="1138">
        <f t="shared" si="137"/>
        <v>0.3125</v>
      </c>
      <c r="I637" s="1009">
        <v>0.30902777777777779</v>
      </c>
      <c r="J637" s="1010">
        <f t="shared" si="138"/>
        <v>43.000000000000007</v>
      </c>
      <c r="K637" s="1011"/>
      <c r="L637" s="1012"/>
      <c r="M637" s="1013"/>
      <c r="N637" s="1014" t="str">
        <f t="shared" si="139"/>
        <v/>
      </c>
      <c r="O637" s="1323"/>
      <c r="P637" s="1324"/>
      <c r="Q637" s="1324"/>
      <c r="R637" s="1324"/>
      <c r="S637" s="1324"/>
      <c r="T637" s="1325"/>
      <c r="U637" s="1015">
        <v>1.8</v>
      </c>
      <c r="V637" s="1015"/>
      <c r="W637" s="1015"/>
      <c r="X637" s="1015"/>
      <c r="Y637" s="1015">
        <v>2.7</v>
      </c>
      <c r="Z637" s="1016">
        <f>'09월 에너지'!S639</f>
        <v>144.5</v>
      </c>
      <c r="AA637" s="1017"/>
      <c r="AB637" s="1208"/>
      <c r="AC637" s="1208"/>
      <c r="AD637" s="1208"/>
      <c r="AE637" s="1208"/>
      <c r="AF637" s="1208"/>
      <c r="AG637" s="1018">
        <f>'09월 화학성분'!AM637</f>
        <v>1393</v>
      </c>
      <c r="AH637" s="1006">
        <f t="shared" si="128"/>
        <v>46</v>
      </c>
      <c r="AI637" s="1019">
        <v>1571</v>
      </c>
      <c r="AJ637" s="1020">
        <v>0</v>
      </c>
      <c r="AK637" s="1021">
        <v>634</v>
      </c>
      <c r="AL637" s="1022">
        <v>6</v>
      </c>
      <c r="AM637" s="1155">
        <f>IF(AT637="","",3*'09월 에너지'!S639*(1/(3+7.8*(100-AT637)/AT637)))</f>
        <v>1.8720555904522611</v>
      </c>
      <c r="AN637" s="1023">
        <v>0.16597222222222222</v>
      </c>
      <c r="AO637" s="1024"/>
      <c r="AP637" s="1025"/>
      <c r="AQ637" s="1025"/>
      <c r="AR637" s="1149">
        <f t="shared" si="129"/>
        <v>12</v>
      </c>
      <c r="AS637" s="1093" t="str">
        <f t="shared" si="140"/>
        <v xml:space="preserve"> </v>
      </c>
      <c r="AT637" s="1156">
        <v>3.3</v>
      </c>
      <c r="AU637" s="449"/>
      <c r="AV637" s="1205"/>
    </row>
    <row r="638" spans="1:48" ht="16.5" customHeight="1">
      <c r="A638" s="1005">
        <f t="shared" si="130"/>
        <v>46289</v>
      </c>
      <c r="B638" s="1005">
        <f t="shared" si="131"/>
        <v>46289</v>
      </c>
      <c r="C638" s="1150">
        <f t="shared" si="132"/>
        <v>7</v>
      </c>
      <c r="D638" s="1150">
        <f t="shared" si="133"/>
        <v>627</v>
      </c>
      <c r="E638" s="1006" t="str">
        <f t="shared" si="134"/>
        <v>B</v>
      </c>
      <c r="F638" s="1007" t="str">
        <f t="shared" si="135"/>
        <v>B</v>
      </c>
      <c r="G638" s="1008">
        <f t="shared" si="136"/>
        <v>85840</v>
      </c>
      <c r="H638" s="1138">
        <f t="shared" si="137"/>
        <v>0.34236111111111112</v>
      </c>
      <c r="I638" s="1009">
        <v>0.34166666666666662</v>
      </c>
      <c r="J638" s="1010">
        <f t="shared" si="138"/>
        <v>46.999999999999915</v>
      </c>
      <c r="K638" s="1011"/>
      <c r="L638" s="1012"/>
      <c r="M638" s="1013"/>
      <c r="N638" s="1014" t="str">
        <f t="shared" si="139"/>
        <v/>
      </c>
      <c r="O638" s="1323"/>
      <c r="P638" s="1324"/>
      <c r="Q638" s="1324"/>
      <c r="R638" s="1324"/>
      <c r="S638" s="1324"/>
      <c r="T638" s="1325"/>
      <c r="U638" s="1015">
        <v>1.8</v>
      </c>
      <c r="V638" s="1015"/>
      <c r="W638" s="1015"/>
      <c r="X638" s="1015"/>
      <c r="Y638" s="1015">
        <v>2.5</v>
      </c>
      <c r="Z638" s="1016">
        <f>'09월 에너지'!S640</f>
        <v>145.30000000000001</v>
      </c>
      <c r="AA638" s="1017"/>
      <c r="AB638" s="1208"/>
      <c r="AC638" s="1208"/>
      <c r="AD638" s="1208"/>
      <c r="AE638" s="1208"/>
      <c r="AF638" s="1208"/>
      <c r="AG638" s="1018">
        <f>'09월 화학성분'!AM638</f>
        <v>1545</v>
      </c>
      <c r="AH638" s="1006">
        <f t="shared" si="128"/>
        <v>47</v>
      </c>
      <c r="AI638" s="1019">
        <v>1597</v>
      </c>
      <c r="AJ638" s="1020">
        <v>0</v>
      </c>
      <c r="AK638" s="1021">
        <v>568</v>
      </c>
      <c r="AL638" s="1022">
        <v>7</v>
      </c>
      <c r="AM638" s="1155">
        <f>IF(AT638="","",3*'09월 에너지'!S640*(1/(3+7.8*(100-AT638)/AT638)))</f>
        <v>1.9406819610307984</v>
      </c>
      <c r="AN638" s="1023">
        <v>0.16180555555555556</v>
      </c>
      <c r="AO638" s="1024"/>
      <c r="AP638" s="1025"/>
      <c r="AQ638" s="1025"/>
      <c r="AR638" s="1149" t="str">
        <f t="shared" si="129"/>
        <v/>
      </c>
      <c r="AS638" s="1093">
        <f t="shared" si="140"/>
        <v>8</v>
      </c>
      <c r="AT638" s="1156">
        <v>3.4</v>
      </c>
      <c r="AU638" s="449"/>
      <c r="AV638" s="1205"/>
    </row>
    <row r="639" spans="1:48" ht="16.5" customHeight="1">
      <c r="A639" s="1005">
        <f t="shared" si="130"/>
        <v>46289</v>
      </c>
      <c r="B639" s="1005">
        <f t="shared" si="131"/>
        <v>46289</v>
      </c>
      <c r="C639" s="1150">
        <f t="shared" si="132"/>
        <v>8</v>
      </c>
      <c r="D639" s="1150">
        <f t="shared" si="133"/>
        <v>628</v>
      </c>
      <c r="E639" s="1006" t="str">
        <f t="shared" si="134"/>
        <v>B</v>
      </c>
      <c r="F639" s="1007" t="str">
        <f t="shared" si="135"/>
        <v>A</v>
      </c>
      <c r="G639" s="1008">
        <f t="shared" si="136"/>
        <v>85841</v>
      </c>
      <c r="H639" s="1138">
        <f t="shared" si="137"/>
        <v>0.37499999999999994</v>
      </c>
      <c r="I639" s="1009">
        <v>0.37291666666666662</v>
      </c>
      <c r="J639" s="1010">
        <f t="shared" si="138"/>
        <v>45</v>
      </c>
      <c r="K639" s="1011"/>
      <c r="L639" s="1012"/>
      <c r="M639" s="1013"/>
      <c r="N639" s="1014" t="str">
        <f t="shared" si="139"/>
        <v/>
      </c>
      <c r="O639" s="1323"/>
      <c r="P639" s="1324"/>
      <c r="Q639" s="1324"/>
      <c r="R639" s="1324"/>
      <c r="S639" s="1324"/>
      <c r="T639" s="1325"/>
      <c r="U639" s="1015">
        <v>1.8</v>
      </c>
      <c r="V639" s="1015"/>
      <c r="W639" s="1015"/>
      <c r="X639" s="1015"/>
      <c r="Y639" s="1015">
        <v>2.6</v>
      </c>
      <c r="Z639" s="1016">
        <f>'09월 에너지'!S641</f>
        <v>145.1</v>
      </c>
      <c r="AA639" s="1017"/>
      <c r="AB639" s="1208"/>
      <c r="AC639" s="1208"/>
      <c r="AD639" s="1208"/>
      <c r="AE639" s="1208"/>
      <c r="AF639" s="1208"/>
      <c r="AG639" s="1018">
        <f>'09월 화학성분'!AM639</f>
        <v>1597</v>
      </c>
      <c r="AH639" s="1006">
        <f t="shared" si="128"/>
        <v>48</v>
      </c>
      <c r="AI639" s="1019">
        <v>1586</v>
      </c>
      <c r="AJ639" s="1020">
        <v>0</v>
      </c>
      <c r="AK639" s="1021">
        <v>568</v>
      </c>
      <c r="AL639" s="1022">
        <v>7</v>
      </c>
      <c r="AM639" s="1155">
        <f>IF(AT639="","",3*'09월 에너지'!S641*(1/(3+7.8*(100-AT639)/AT639)))</f>
        <v>2.2300204918032787</v>
      </c>
      <c r="AN639" s="1023">
        <v>0.15972222222222224</v>
      </c>
      <c r="AO639" s="1024"/>
      <c r="AP639" s="1025"/>
      <c r="AQ639" s="1025"/>
      <c r="AR639" s="1149">
        <f t="shared" si="129"/>
        <v>13</v>
      </c>
      <c r="AS639" s="1093" t="str">
        <f t="shared" si="140"/>
        <v xml:space="preserve"> </v>
      </c>
      <c r="AT639" s="1156">
        <v>3.9</v>
      </c>
      <c r="AU639" s="449"/>
      <c r="AV639" s="1205"/>
    </row>
    <row r="640" spans="1:48" ht="16.5" customHeight="1">
      <c r="A640" s="1005">
        <f t="shared" si="130"/>
        <v>46289</v>
      </c>
      <c r="B640" s="1005">
        <f t="shared" si="131"/>
        <v>46289</v>
      </c>
      <c r="C640" s="1150">
        <f t="shared" si="132"/>
        <v>9</v>
      </c>
      <c r="D640" s="1150">
        <f t="shared" si="133"/>
        <v>629</v>
      </c>
      <c r="E640" s="1006" t="str">
        <f t="shared" si="134"/>
        <v>B</v>
      </c>
      <c r="F640" s="1007" t="str">
        <f t="shared" si="135"/>
        <v>B</v>
      </c>
      <c r="G640" s="1008">
        <f t="shared" si="136"/>
        <v>85842</v>
      </c>
      <c r="H640" s="1138">
        <f t="shared" si="137"/>
        <v>0.40624999999999994</v>
      </c>
      <c r="I640" s="1009">
        <v>0.40625</v>
      </c>
      <c r="J640" s="1010">
        <f t="shared" si="138"/>
        <v>48.000000000000071</v>
      </c>
      <c r="K640" s="1011"/>
      <c r="L640" s="1012"/>
      <c r="M640" s="1013"/>
      <c r="N640" s="1014" t="str">
        <f t="shared" si="139"/>
        <v/>
      </c>
      <c r="O640" s="1323" t="s">
        <v>975</v>
      </c>
      <c r="P640" s="1324"/>
      <c r="Q640" s="1324"/>
      <c r="R640" s="1324"/>
      <c r="S640" s="1324"/>
      <c r="T640" s="1325"/>
      <c r="U640" s="1015">
        <v>1.8</v>
      </c>
      <c r="V640" s="1015"/>
      <c r="W640" s="1015"/>
      <c r="X640" s="1015"/>
      <c r="Y640" s="1015">
        <v>2.8</v>
      </c>
      <c r="Z640" s="1016">
        <f>'09월 에너지'!S642</f>
        <v>145.19999999999999</v>
      </c>
      <c r="AA640" s="1017"/>
      <c r="AB640" s="1208"/>
      <c r="AC640" s="1208"/>
      <c r="AD640" s="1208"/>
      <c r="AE640" s="1208"/>
      <c r="AF640" s="1208"/>
      <c r="AG640" s="1018">
        <f>'09월 화학성분'!AM640</f>
        <v>1797</v>
      </c>
      <c r="AH640" s="1006">
        <f t="shared" si="128"/>
        <v>49</v>
      </c>
      <c r="AI640" s="1019">
        <v>1578</v>
      </c>
      <c r="AJ640" s="1020">
        <v>0</v>
      </c>
      <c r="AK640" s="1021">
        <v>517</v>
      </c>
      <c r="AL640" s="1022">
        <v>8</v>
      </c>
      <c r="AM640" s="1155">
        <f>IF(AT640="","",3*'09월 에너지'!S642*(1/(3+7.8*(100-AT640)/AT640)))</f>
        <v>0.95942164179104472</v>
      </c>
      <c r="AN640" s="1023">
        <v>0.14305555555555557</v>
      </c>
      <c r="AO640" s="1024"/>
      <c r="AP640" s="1025"/>
      <c r="AQ640" s="1025"/>
      <c r="AR640" s="1149" t="str">
        <f t="shared" si="129"/>
        <v/>
      </c>
      <c r="AS640" s="1093">
        <f t="shared" si="140"/>
        <v>9</v>
      </c>
      <c r="AT640" s="1156">
        <v>1.7</v>
      </c>
      <c r="AU640" s="449"/>
      <c r="AV640" s="1205"/>
    </row>
    <row r="641" spans="1:48" ht="16.5" customHeight="1">
      <c r="A641" s="1005">
        <f t="shared" si="130"/>
        <v>46289</v>
      </c>
      <c r="B641" s="1005">
        <f t="shared" si="131"/>
        <v>46289</v>
      </c>
      <c r="C641" s="1150">
        <f t="shared" si="132"/>
        <v>10</v>
      </c>
      <c r="D641" s="1150">
        <f t="shared" si="133"/>
        <v>630</v>
      </c>
      <c r="E641" s="1006" t="str">
        <f t="shared" si="134"/>
        <v>B</v>
      </c>
      <c r="F641" s="1007" t="str">
        <f t="shared" si="135"/>
        <v>A</v>
      </c>
      <c r="G641" s="1008">
        <f t="shared" si="136"/>
        <v>85843</v>
      </c>
      <c r="H641" s="1138">
        <f t="shared" si="137"/>
        <v>0.43958333333333333</v>
      </c>
      <c r="I641" s="1009">
        <v>0.43888888888888888</v>
      </c>
      <c r="J641" s="1010">
        <f t="shared" si="138"/>
        <v>46.999999999999993</v>
      </c>
      <c r="K641" s="1011"/>
      <c r="L641" s="1012"/>
      <c r="M641" s="1013"/>
      <c r="N641" s="1014" t="str">
        <f t="shared" si="139"/>
        <v/>
      </c>
      <c r="O641" s="1323" t="s">
        <v>957</v>
      </c>
      <c r="P641" s="1324"/>
      <c r="Q641" s="1324"/>
      <c r="R641" s="1324"/>
      <c r="S641" s="1324"/>
      <c r="T641" s="1325"/>
      <c r="U641" s="1015">
        <v>1.8</v>
      </c>
      <c r="V641" s="1015">
        <v>2.8</v>
      </c>
      <c r="W641" s="1015">
        <v>1.6</v>
      </c>
      <c r="X641" s="1015"/>
      <c r="Y641" s="1015"/>
      <c r="Z641" s="1016">
        <f>'09월 에너지'!S643</f>
        <v>144.9</v>
      </c>
      <c r="AA641" s="1017">
        <v>1871</v>
      </c>
      <c r="AB641" s="1208" t="s">
        <v>965</v>
      </c>
      <c r="AC641" s="1208" t="s">
        <v>532</v>
      </c>
      <c r="AD641" s="1208" t="s">
        <v>532</v>
      </c>
      <c r="AE641" s="1208"/>
      <c r="AF641" s="1208" t="s">
        <v>548</v>
      </c>
      <c r="AG641" s="1018">
        <f>'09월 화학성분'!AM641</f>
        <v>1972</v>
      </c>
      <c r="AH641" s="1006">
        <f t="shared" si="128"/>
        <v>50</v>
      </c>
      <c r="AI641" s="1019">
        <v>1551</v>
      </c>
      <c r="AJ641" s="1020">
        <v>0</v>
      </c>
      <c r="AK641" s="1021">
        <v>920</v>
      </c>
      <c r="AL641" s="1022">
        <v>4</v>
      </c>
      <c r="AM641" s="1155">
        <f>IF(AT641="","",3*'09월 에너지'!S643*(1/(3+7.8*(100-AT641)/AT641)))</f>
        <v>1.071411892901619</v>
      </c>
      <c r="AN641" s="1023">
        <v>0.25138888888888888</v>
      </c>
      <c r="AO641" s="1024" t="s">
        <v>587</v>
      </c>
      <c r="AP641" s="1025">
        <v>2000094</v>
      </c>
      <c r="AQ641" s="1025">
        <v>2136</v>
      </c>
      <c r="AR641" s="1149">
        <v>1</v>
      </c>
      <c r="AS641" s="1093" t="str">
        <f t="shared" si="140"/>
        <v xml:space="preserve"> </v>
      </c>
      <c r="AT641" s="1156">
        <v>1.9</v>
      </c>
      <c r="AU641" s="449"/>
      <c r="AV641" s="1205"/>
    </row>
    <row r="642" spans="1:48" ht="16.5" customHeight="1">
      <c r="A642" s="1005">
        <f t="shared" si="130"/>
        <v>46289</v>
      </c>
      <c r="B642" s="1005">
        <f t="shared" si="131"/>
        <v>46289</v>
      </c>
      <c r="C642" s="1150">
        <f t="shared" si="132"/>
        <v>11</v>
      </c>
      <c r="D642" s="1150">
        <f t="shared" si="133"/>
        <v>631</v>
      </c>
      <c r="E642" s="1006" t="str">
        <f t="shared" si="134"/>
        <v>B</v>
      </c>
      <c r="F642" s="1007" t="str">
        <f t="shared" si="135"/>
        <v>B</v>
      </c>
      <c r="G642" s="1008">
        <f t="shared" si="136"/>
        <v>85844</v>
      </c>
      <c r="H642" s="1138">
        <f t="shared" si="137"/>
        <v>0.47222222222222221</v>
      </c>
      <c r="I642" s="1009">
        <v>0.47152777777777777</v>
      </c>
      <c r="J642" s="1010">
        <f t="shared" si="138"/>
        <v>46.999999999999993</v>
      </c>
      <c r="K642" s="1011"/>
      <c r="L642" s="1012"/>
      <c r="M642" s="1013"/>
      <c r="N642" s="1014" t="str">
        <f t="shared" si="139"/>
        <v/>
      </c>
      <c r="O642" s="1338"/>
      <c r="P642" s="1339"/>
      <c r="Q642" s="1339"/>
      <c r="R642" s="1339"/>
      <c r="S642" s="1339"/>
      <c r="T642" s="1340"/>
      <c r="U642" s="1015">
        <v>1.8</v>
      </c>
      <c r="V642" s="1015">
        <v>2.5</v>
      </c>
      <c r="W642" s="1015">
        <v>1.4</v>
      </c>
      <c r="X642" s="1015"/>
      <c r="Y642" s="1015"/>
      <c r="Z642" s="1016">
        <f>'09월 에너지'!S644</f>
        <v>144.4</v>
      </c>
      <c r="AA642" s="1017"/>
      <c r="AB642" s="1208"/>
      <c r="AC642" s="1208"/>
      <c r="AD642" s="1208"/>
      <c r="AE642" s="1208"/>
      <c r="AF642" s="1208"/>
      <c r="AG642" s="1018">
        <f>'09월 화학성분'!AM642</f>
        <v>1595</v>
      </c>
      <c r="AH642" s="1006">
        <f t="shared" si="128"/>
        <v>51</v>
      </c>
      <c r="AI642" s="1019">
        <v>1582</v>
      </c>
      <c r="AJ642" s="1020">
        <v>12</v>
      </c>
      <c r="AK642" s="1021">
        <v>724</v>
      </c>
      <c r="AL642" s="1022">
        <v>5</v>
      </c>
      <c r="AM642" s="1155">
        <f>IF(AT642="","",3*'09월 에너지'!S644*(1/(3+7.8*(100-AT642)/AT642)))</f>
        <v>1.755175658720201</v>
      </c>
      <c r="AN642" s="1023">
        <v>0.15208333333333332</v>
      </c>
      <c r="AO642" s="1024"/>
      <c r="AP642" s="1025"/>
      <c r="AQ642" s="1025"/>
      <c r="AR642" s="1149" t="str">
        <f t="shared" si="129"/>
        <v/>
      </c>
      <c r="AS642" s="1093">
        <f t="shared" si="140"/>
        <v>10</v>
      </c>
      <c r="AT642" s="1156">
        <v>3.1</v>
      </c>
      <c r="AU642" s="449"/>
      <c r="AV642" s="1205"/>
    </row>
    <row r="643" spans="1:48" ht="16.5" customHeight="1">
      <c r="A643" s="1005">
        <f t="shared" si="130"/>
        <v>46289</v>
      </c>
      <c r="B643" s="1005">
        <f t="shared" si="131"/>
        <v>46289</v>
      </c>
      <c r="C643" s="1150">
        <f t="shared" si="132"/>
        <v>12</v>
      </c>
      <c r="D643" s="1150">
        <f t="shared" si="133"/>
        <v>632</v>
      </c>
      <c r="E643" s="1006" t="str">
        <f t="shared" si="134"/>
        <v>B</v>
      </c>
      <c r="F643" s="1007" t="str">
        <f t="shared" si="135"/>
        <v>A</v>
      </c>
      <c r="G643" s="1008">
        <f t="shared" si="136"/>
        <v>85845</v>
      </c>
      <c r="H643" s="1138">
        <f t="shared" si="137"/>
        <v>0.50486111111111109</v>
      </c>
      <c r="I643" s="1009">
        <v>0.50972222222222219</v>
      </c>
      <c r="J643" s="1010">
        <f t="shared" si="138"/>
        <v>54.999999999999964</v>
      </c>
      <c r="K643" s="1011"/>
      <c r="L643" s="1012">
        <v>8</v>
      </c>
      <c r="M643" s="1013"/>
      <c r="N643" s="1014" t="str">
        <f t="shared" si="139"/>
        <v/>
      </c>
      <c r="O643" s="1323" t="s">
        <v>967</v>
      </c>
      <c r="P643" s="1339"/>
      <c r="Q643" s="1339"/>
      <c r="R643" s="1339"/>
      <c r="S643" s="1339"/>
      <c r="T643" s="1340"/>
      <c r="U643" s="1015">
        <v>1.8</v>
      </c>
      <c r="V643" s="1015"/>
      <c r="W643" s="1015"/>
      <c r="X643" s="1015"/>
      <c r="Y643" s="1015">
        <v>2.5</v>
      </c>
      <c r="Z643" s="1016">
        <f>'09월 에너지'!S645</f>
        <v>145.9</v>
      </c>
      <c r="AA643" s="1017"/>
      <c r="AB643" s="1208"/>
      <c r="AC643" s="1208"/>
      <c r="AD643" s="1208"/>
      <c r="AE643" s="1208"/>
      <c r="AF643" s="1208"/>
      <c r="AG643" s="1018">
        <f>'09월 화학성분'!AM643</f>
        <v>2493</v>
      </c>
      <c r="AH643" s="1235">
        <v>1</v>
      </c>
      <c r="AI643" s="1019">
        <v>1587</v>
      </c>
      <c r="AJ643" s="1020">
        <v>22</v>
      </c>
      <c r="AK643" s="1021">
        <v>630</v>
      </c>
      <c r="AL643" s="1022">
        <v>6</v>
      </c>
      <c r="AM643" s="1155">
        <f>IF(AT643="","",3*'09월 에너지'!S645*(1/(3+7.8*(100-AT643)/AT643)))</f>
        <v>1.8901931532663316</v>
      </c>
      <c r="AN643" s="1023">
        <v>0.15625</v>
      </c>
      <c r="AO643" s="1024"/>
      <c r="AP643" s="1025"/>
      <c r="AQ643" s="1025"/>
      <c r="AR643" s="1149">
        <f t="shared" si="129"/>
        <v>2</v>
      </c>
      <c r="AS643" s="1093" t="str">
        <f t="shared" si="140"/>
        <v xml:space="preserve"> </v>
      </c>
      <c r="AT643" s="1156">
        <v>3.3</v>
      </c>
      <c r="AU643" s="449"/>
      <c r="AV643" s="1205"/>
    </row>
    <row r="644" spans="1:48" ht="16.5" customHeight="1">
      <c r="A644" s="1005">
        <f t="shared" si="130"/>
        <v>46289</v>
      </c>
      <c r="B644" s="1005">
        <f t="shared" si="131"/>
        <v>46289</v>
      </c>
      <c r="C644" s="1150">
        <f t="shared" si="132"/>
        <v>13</v>
      </c>
      <c r="D644" s="1150">
        <f t="shared" si="133"/>
        <v>633</v>
      </c>
      <c r="E644" s="1006" t="str">
        <f t="shared" si="134"/>
        <v>B</v>
      </c>
      <c r="F644" s="1007" t="str">
        <f t="shared" si="135"/>
        <v>B</v>
      </c>
      <c r="G644" s="1008">
        <f t="shared" si="136"/>
        <v>85846</v>
      </c>
      <c r="H644" s="1138">
        <f t="shared" si="137"/>
        <v>0.54305555555555551</v>
      </c>
      <c r="I644" s="1009">
        <v>0.54375000000000007</v>
      </c>
      <c r="J644" s="1010">
        <f t="shared" si="138"/>
        <v>49.000000000000142</v>
      </c>
      <c r="K644" s="1011"/>
      <c r="L644" s="1012">
        <v>10</v>
      </c>
      <c r="M644" s="1013"/>
      <c r="N644" s="1014" t="str">
        <f t="shared" si="139"/>
        <v/>
      </c>
      <c r="O644" s="1338" t="s">
        <v>968</v>
      </c>
      <c r="P644" s="1339"/>
      <c r="Q644" s="1339"/>
      <c r="R644" s="1339"/>
      <c r="S644" s="1339"/>
      <c r="T644" s="1340"/>
      <c r="U644" s="1015">
        <v>1.8</v>
      </c>
      <c r="V644" s="1015"/>
      <c r="W644" s="1015"/>
      <c r="X644" s="1015"/>
      <c r="Y644" s="1015">
        <v>2.6</v>
      </c>
      <c r="Z644" s="1016">
        <f>'09월 에너지'!S646</f>
        <v>143.5</v>
      </c>
      <c r="AA644" s="1017"/>
      <c r="AB644" s="1208"/>
      <c r="AC644" s="1208"/>
      <c r="AD644" s="1208"/>
      <c r="AE644" s="1208"/>
      <c r="AF644" s="1208"/>
      <c r="AG644" s="1018">
        <f>'09월 화학성분'!AM644</f>
        <v>1981</v>
      </c>
      <c r="AH644" s="1006">
        <f t="shared" si="128"/>
        <v>2</v>
      </c>
      <c r="AI644" s="1019">
        <v>1553</v>
      </c>
      <c r="AJ644" s="1020">
        <v>0</v>
      </c>
      <c r="AK644" s="1021">
        <v>651</v>
      </c>
      <c r="AL644" s="1022">
        <v>6</v>
      </c>
      <c r="AM644" s="1155">
        <f>IF(AT644="","",3*'09월 에너지'!S646*(1/(3+7.8*(100-AT644)/AT644)))</f>
        <v>1.0610600871731009</v>
      </c>
      <c r="AN644" s="1023">
        <v>0.18333333333333335</v>
      </c>
      <c r="AO644" s="1024"/>
      <c r="AP644" s="1025"/>
      <c r="AQ644" s="1025"/>
      <c r="AR644" s="1149" t="str">
        <f t="shared" si="129"/>
        <v/>
      </c>
      <c r="AS644" s="1093">
        <f t="shared" si="140"/>
        <v>11</v>
      </c>
      <c r="AT644" s="1156">
        <v>1.9</v>
      </c>
      <c r="AU644" s="449"/>
      <c r="AV644" s="1205"/>
    </row>
    <row r="645" spans="1:48" ht="16.5" customHeight="1">
      <c r="A645" s="1005">
        <f t="shared" si="130"/>
        <v>46289</v>
      </c>
      <c r="B645" s="1005">
        <f t="shared" si="131"/>
        <v>46289</v>
      </c>
      <c r="C645" s="1150">
        <f t="shared" si="132"/>
        <v>14</v>
      </c>
      <c r="D645" s="1150">
        <f t="shared" si="133"/>
        <v>634</v>
      </c>
      <c r="E645" s="1006" t="str">
        <f t="shared" si="134"/>
        <v>B</v>
      </c>
      <c r="F645" s="1007" t="str">
        <f t="shared" si="135"/>
        <v>A</v>
      </c>
      <c r="G645" s="1008">
        <f t="shared" si="136"/>
        <v>85847</v>
      </c>
      <c r="H645" s="1138">
        <f t="shared" si="137"/>
        <v>0.57708333333333339</v>
      </c>
      <c r="I645" s="1009">
        <v>0.59236111111111112</v>
      </c>
      <c r="J645" s="1010">
        <f t="shared" si="138"/>
        <v>69.999999999999915</v>
      </c>
      <c r="K645" s="1011">
        <v>15</v>
      </c>
      <c r="L645" s="1012">
        <v>18</v>
      </c>
      <c r="M645" s="1013">
        <v>0.5493055555555556</v>
      </c>
      <c r="N645" s="1014">
        <f t="shared" si="139"/>
        <v>0.55972222222222223</v>
      </c>
      <c r="O645" s="1323" t="s">
        <v>970</v>
      </c>
      <c r="P645" s="1324"/>
      <c r="Q645" s="1324"/>
      <c r="R645" s="1324"/>
      <c r="S645" s="1324"/>
      <c r="T645" s="1325"/>
      <c r="U645" s="1015">
        <v>1.8</v>
      </c>
      <c r="V645" s="1015">
        <v>2.6</v>
      </c>
      <c r="W645" s="1015">
        <v>1.5</v>
      </c>
      <c r="X645" s="1015"/>
      <c r="Y645" s="1015"/>
      <c r="Z645" s="1016">
        <f>'09월 에너지'!S647</f>
        <v>144.80000000000001</v>
      </c>
      <c r="AA645" s="1017"/>
      <c r="AB645" s="1208"/>
      <c r="AC645" s="1208"/>
      <c r="AD645" s="1208"/>
      <c r="AE645" s="1208"/>
      <c r="AF645" s="1208"/>
      <c r="AG645" s="1018">
        <f>'09월 화학성분'!AM645</f>
        <v>2416</v>
      </c>
      <c r="AH645" s="1006">
        <f t="shared" si="128"/>
        <v>3</v>
      </c>
      <c r="AI645" s="1019">
        <v>1567</v>
      </c>
      <c r="AJ645" s="1020">
        <v>0</v>
      </c>
      <c r="AK645" s="1021">
        <v>518</v>
      </c>
      <c r="AL645" s="1022">
        <v>8</v>
      </c>
      <c r="AM645" s="1155">
        <f>IF(AT645="","",3*'09월 에너지'!S647*(1/(3+7.8*(100-AT645)/AT645)))</f>
        <v>1.2993133583021224</v>
      </c>
      <c r="AN645" s="1023">
        <v>0.15277777777777776</v>
      </c>
      <c r="AO645" s="1024"/>
      <c r="AP645" s="1025"/>
      <c r="AQ645" s="1025"/>
      <c r="AR645" s="1149">
        <f t="shared" si="129"/>
        <v>3</v>
      </c>
      <c r="AS645" s="1093" t="str">
        <f t="shared" si="140"/>
        <v xml:space="preserve"> </v>
      </c>
      <c r="AT645" s="1156">
        <v>2.2999999999999998</v>
      </c>
      <c r="AU645" s="449"/>
      <c r="AV645" s="1205"/>
    </row>
    <row r="646" spans="1:48" ht="16.5" customHeight="1">
      <c r="A646" s="1005">
        <f t="shared" si="130"/>
        <v>46289</v>
      </c>
      <c r="B646" s="1005">
        <f t="shared" si="131"/>
        <v>46289</v>
      </c>
      <c r="C646" s="1150">
        <f t="shared" si="132"/>
        <v>15</v>
      </c>
      <c r="D646" s="1150">
        <f t="shared" si="133"/>
        <v>635</v>
      </c>
      <c r="E646" s="1006" t="s">
        <v>971</v>
      </c>
      <c r="F646" s="1007" t="str">
        <f t="shared" si="135"/>
        <v>B</v>
      </c>
      <c r="G646" s="1008">
        <f t="shared" si="136"/>
        <v>85848</v>
      </c>
      <c r="H646" s="1138">
        <f t="shared" si="137"/>
        <v>0.62569444444444444</v>
      </c>
      <c r="I646" s="1009">
        <v>0.61597222222222225</v>
      </c>
      <c r="J646" s="1010">
        <f t="shared" si="138"/>
        <v>34.000000000000043</v>
      </c>
      <c r="K646" s="1011"/>
      <c r="L646" s="1012"/>
      <c r="M646" s="1013"/>
      <c r="N646" s="1014" t="str">
        <f t="shared" si="139"/>
        <v/>
      </c>
      <c r="O646" s="1338" t="s">
        <v>969</v>
      </c>
      <c r="P646" s="1339"/>
      <c r="Q646" s="1339"/>
      <c r="R646" s="1339"/>
      <c r="S646" s="1339"/>
      <c r="T646" s="1340"/>
      <c r="U646" s="1015">
        <v>1.8</v>
      </c>
      <c r="V646" s="1015">
        <v>2.8</v>
      </c>
      <c r="W646" s="1015">
        <v>1.6</v>
      </c>
      <c r="X646" s="1015"/>
      <c r="Y646" s="1015"/>
      <c r="Z646" s="1016">
        <f>'09월 에너지'!S648</f>
        <v>142.9</v>
      </c>
      <c r="AA646" s="1017">
        <v>1246</v>
      </c>
      <c r="AB646" s="1208" t="s">
        <v>965</v>
      </c>
      <c r="AC646" s="1208" t="s">
        <v>532</v>
      </c>
      <c r="AD646" s="1208" t="s">
        <v>532</v>
      </c>
      <c r="AE646" s="1208"/>
      <c r="AF646" s="1208" t="s">
        <v>548</v>
      </c>
      <c r="AG646" s="1018">
        <f>'09월 화학성분'!AM646</f>
        <v>2783</v>
      </c>
      <c r="AH646" s="1006">
        <f t="shared" si="128"/>
        <v>4</v>
      </c>
      <c r="AI646" s="1019">
        <v>1605</v>
      </c>
      <c r="AJ646" s="1020">
        <v>0</v>
      </c>
      <c r="AK646" s="1021">
        <v>565</v>
      </c>
      <c r="AL646" s="1022">
        <v>8</v>
      </c>
      <c r="AM646" s="1155">
        <f>IF(AT646="","",3*'09월 에너지'!S648*(1/(3+7.8*(100-AT646)/AT646)))</f>
        <v>0.49740872524752489</v>
      </c>
      <c r="AN646" s="1023">
        <v>0.19305555555555554</v>
      </c>
      <c r="AO646" s="1024"/>
      <c r="AP646" s="1025"/>
      <c r="AQ646" s="1025"/>
      <c r="AR646" s="1149" t="str">
        <f t="shared" si="129"/>
        <v/>
      </c>
      <c r="AS646" s="1093">
        <f t="shared" si="140"/>
        <v>12</v>
      </c>
      <c r="AT646" s="1156">
        <v>0.9</v>
      </c>
      <c r="AU646" s="449"/>
      <c r="AV646" s="1205"/>
    </row>
    <row r="647" spans="1:48" ht="16.5" customHeight="1">
      <c r="A647" s="1005">
        <f t="shared" si="130"/>
        <v>46289</v>
      </c>
      <c r="B647" s="1005">
        <f t="shared" si="131"/>
        <v>46289</v>
      </c>
      <c r="C647" s="1150">
        <f t="shared" si="132"/>
        <v>16</v>
      </c>
      <c r="D647" s="1150">
        <f t="shared" si="133"/>
        <v>636</v>
      </c>
      <c r="E647" s="1006" t="str">
        <f t="shared" si="134"/>
        <v>C</v>
      </c>
      <c r="F647" s="1007" t="str">
        <f t="shared" si="135"/>
        <v>A</v>
      </c>
      <c r="G647" s="1008">
        <f t="shared" si="136"/>
        <v>85849</v>
      </c>
      <c r="H647" s="1138">
        <f t="shared" si="137"/>
        <v>0.64930555555555558</v>
      </c>
      <c r="I647" s="1009">
        <v>0.65277777777777779</v>
      </c>
      <c r="J647" s="1010">
        <f t="shared" si="138"/>
        <v>52.999999999999972</v>
      </c>
      <c r="K647" s="1011"/>
      <c r="L647" s="1012">
        <v>5</v>
      </c>
      <c r="M647" s="1013"/>
      <c r="N647" s="1014" t="str">
        <f t="shared" si="139"/>
        <v/>
      </c>
      <c r="O647" s="1323" t="s">
        <v>972</v>
      </c>
      <c r="P647" s="1324"/>
      <c r="Q647" s="1324"/>
      <c r="R647" s="1324"/>
      <c r="S647" s="1324"/>
      <c r="T647" s="1325"/>
      <c r="U647" s="1015">
        <v>1.8</v>
      </c>
      <c r="V647" s="1015"/>
      <c r="W647" s="1015"/>
      <c r="X647" s="1015"/>
      <c r="Y647" s="1015">
        <v>2.8</v>
      </c>
      <c r="Z647" s="1016">
        <f>'09월 에너지'!S649</f>
        <v>144.5</v>
      </c>
      <c r="AA647" s="1017"/>
      <c r="AB647" s="1208"/>
      <c r="AC647" s="1208"/>
      <c r="AD647" s="1208"/>
      <c r="AE647" s="1208"/>
      <c r="AF647" s="1208"/>
      <c r="AG647" s="1018">
        <f>'09월 화학성분'!AM647</f>
        <v>1595</v>
      </c>
      <c r="AH647" s="1006">
        <f t="shared" si="128"/>
        <v>5</v>
      </c>
      <c r="AI647" s="1019">
        <v>1561</v>
      </c>
      <c r="AJ647" s="1020">
        <v>0</v>
      </c>
      <c r="AK647" s="1021">
        <v>584</v>
      </c>
      <c r="AL647" s="1022">
        <v>7</v>
      </c>
      <c r="AM647" s="1155">
        <f>IF(AT647="","",3*'09월 에너지'!S649*(1/(3+7.8*(100-AT647)/AT647)))</f>
        <v>0.72832661290322576</v>
      </c>
      <c r="AN647" s="1023">
        <v>0.14722222222222223</v>
      </c>
      <c r="AO647" s="1024"/>
      <c r="AP647" s="1025"/>
      <c r="AQ647" s="1025"/>
      <c r="AR647" s="1149">
        <f t="shared" si="129"/>
        <v>4</v>
      </c>
      <c r="AS647" s="1093" t="str">
        <f t="shared" si="140"/>
        <v xml:space="preserve"> </v>
      </c>
      <c r="AT647" s="1156">
        <v>1.3</v>
      </c>
      <c r="AU647" s="449"/>
      <c r="AV647" s="1205"/>
    </row>
    <row r="648" spans="1:48" ht="18.75" customHeight="1">
      <c r="A648" s="1005">
        <f t="shared" si="130"/>
        <v>46289</v>
      </c>
      <c r="B648" s="1005">
        <f t="shared" si="131"/>
        <v>46289</v>
      </c>
      <c r="C648" s="1150">
        <f t="shared" si="132"/>
        <v>17</v>
      </c>
      <c r="D648" s="1150">
        <f t="shared" si="133"/>
        <v>637</v>
      </c>
      <c r="E648" s="1006" t="str">
        <f t="shared" si="134"/>
        <v>C</v>
      </c>
      <c r="F648" s="1007" t="str">
        <f t="shared" si="135"/>
        <v>B</v>
      </c>
      <c r="G648" s="1008">
        <f t="shared" si="136"/>
        <v>85850</v>
      </c>
      <c r="H648" s="1138">
        <f t="shared" si="137"/>
        <v>0.68611111111111112</v>
      </c>
      <c r="I648" s="1009">
        <v>0.6791666666666667</v>
      </c>
      <c r="J648" s="1010">
        <f t="shared" si="138"/>
        <v>38.000000000000028</v>
      </c>
      <c r="K648" s="1011"/>
      <c r="L648" s="1012"/>
      <c r="M648" s="1013"/>
      <c r="N648" s="1014" t="str">
        <f t="shared" si="139"/>
        <v/>
      </c>
      <c r="O648" s="1323"/>
      <c r="P648" s="1324"/>
      <c r="Q648" s="1324"/>
      <c r="R648" s="1324"/>
      <c r="S648" s="1324"/>
      <c r="T648" s="1325"/>
      <c r="U648" s="1015">
        <v>1.8</v>
      </c>
      <c r="V648" s="1015"/>
      <c r="W648" s="1015"/>
      <c r="X648" s="1015"/>
      <c r="Y648" s="1015">
        <v>2.6</v>
      </c>
      <c r="Z648" s="1016">
        <f>'09월 에너지'!S650</f>
        <v>144.9</v>
      </c>
      <c r="AA648" s="1017"/>
      <c r="AB648" s="1208"/>
      <c r="AC648" s="1208"/>
      <c r="AD648" s="1208"/>
      <c r="AE648" s="1208"/>
      <c r="AF648" s="1208"/>
      <c r="AG648" s="1018">
        <f>'09월 화학성분'!AM648</f>
        <v>1552</v>
      </c>
      <c r="AH648" s="1006">
        <f t="shared" si="128"/>
        <v>6</v>
      </c>
      <c r="AI648" s="1019">
        <v>1583</v>
      </c>
      <c r="AJ648" s="1020">
        <v>0</v>
      </c>
      <c r="AK648" s="1021">
        <v>553</v>
      </c>
      <c r="AL648" s="1022">
        <v>7</v>
      </c>
      <c r="AM648" s="1155">
        <f>IF(AT648="","",3*'09월 에너지'!S650*(1/(3+7.8*(100-AT648)/AT648)))</f>
        <v>0.84375000000000022</v>
      </c>
      <c r="AN648" s="1023">
        <v>0.15486111111111112</v>
      </c>
      <c r="AO648" s="1024"/>
      <c r="AP648" s="1025"/>
      <c r="AQ648" s="1025"/>
      <c r="AR648" s="1149" t="str">
        <f t="shared" si="129"/>
        <v/>
      </c>
      <c r="AS648" s="1093">
        <f t="shared" si="140"/>
        <v>13</v>
      </c>
      <c r="AT648" s="1156">
        <v>1.5</v>
      </c>
      <c r="AU648" s="449"/>
      <c r="AV648" s="1205"/>
    </row>
    <row r="649" spans="1:48" ht="16.5" customHeight="1">
      <c r="A649" s="1005">
        <f t="shared" si="130"/>
        <v>46289</v>
      </c>
      <c r="B649" s="1005">
        <f t="shared" si="131"/>
        <v>46289</v>
      </c>
      <c r="C649" s="1150">
        <f t="shared" si="132"/>
        <v>18</v>
      </c>
      <c r="D649" s="1150">
        <f t="shared" si="133"/>
        <v>638</v>
      </c>
      <c r="E649" s="1006" t="str">
        <f t="shared" si="134"/>
        <v>C</v>
      </c>
      <c r="F649" s="1007" t="str">
        <f t="shared" si="135"/>
        <v>A</v>
      </c>
      <c r="G649" s="1008">
        <f t="shared" si="136"/>
        <v>85851</v>
      </c>
      <c r="H649" s="1138">
        <f t="shared" si="137"/>
        <v>0.71250000000000002</v>
      </c>
      <c r="I649" s="1009">
        <v>0.71319444444444446</v>
      </c>
      <c r="J649" s="1010">
        <f t="shared" si="138"/>
        <v>48.999999999999986</v>
      </c>
      <c r="K649" s="1011"/>
      <c r="L649" s="1012"/>
      <c r="M649" s="1013"/>
      <c r="N649" s="1014" t="str">
        <f t="shared" si="139"/>
        <v/>
      </c>
      <c r="O649" s="1323"/>
      <c r="P649" s="1324"/>
      <c r="Q649" s="1324"/>
      <c r="R649" s="1324"/>
      <c r="S649" s="1324"/>
      <c r="T649" s="1325"/>
      <c r="U649" s="1015">
        <v>1.8</v>
      </c>
      <c r="V649" s="1015"/>
      <c r="W649" s="1015"/>
      <c r="X649" s="1015">
        <v>3.1</v>
      </c>
      <c r="Y649" s="1015"/>
      <c r="Z649" s="1016">
        <f>'09월 에너지'!S651</f>
        <v>144.6</v>
      </c>
      <c r="AA649" s="1017"/>
      <c r="AB649" s="1208"/>
      <c r="AC649" s="1208"/>
      <c r="AD649" s="1208"/>
      <c r="AE649" s="1208"/>
      <c r="AF649" s="1208"/>
      <c r="AG649" s="1018">
        <f>'09월 화학성분'!AM649</f>
        <v>2249</v>
      </c>
      <c r="AH649" s="1006">
        <f t="shared" si="128"/>
        <v>7</v>
      </c>
      <c r="AI649" s="1019">
        <v>1557</v>
      </c>
      <c r="AJ649" s="1020">
        <v>0</v>
      </c>
      <c r="AK649" s="1021">
        <v>915</v>
      </c>
      <c r="AL649" s="1022">
        <v>4</v>
      </c>
      <c r="AM649" s="1155">
        <f>IF(AT649="","",3*'09월 에너지'!S651*(1/(3+7.8*(100-AT649)/AT649)))</f>
        <v>0.89869484151646972</v>
      </c>
      <c r="AN649" s="1023">
        <v>0.15208333333333332</v>
      </c>
      <c r="AO649" s="1024"/>
      <c r="AP649" s="1025"/>
      <c r="AQ649" s="1025"/>
      <c r="AR649" s="1149">
        <f t="shared" si="129"/>
        <v>5</v>
      </c>
      <c r="AS649" s="1093" t="str">
        <f t="shared" si="140"/>
        <v xml:space="preserve"> </v>
      </c>
      <c r="AT649" s="1156">
        <v>1.6</v>
      </c>
      <c r="AU649" s="449"/>
      <c r="AV649" s="1205"/>
    </row>
    <row r="650" spans="1:48" ht="16.5" customHeight="1">
      <c r="A650" s="1005">
        <f t="shared" si="130"/>
        <v>46289</v>
      </c>
      <c r="B650" s="1005">
        <f t="shared" si="131"/>
        <v>46289</v>
      </c>
      <c r="C650" s="1150">
        <f t="shared" si="132"/>
        <v>19</v>
      </c>
      <c r="D650" s="1150">
        <f t="shared" si="133"/>
        <v>639</v>
      </c>
      <c r="E650" s="1006" t="str">
        <f t="shared" si="134"/>
        <v>C</v>
      </c>
      <c r="F650" s="1007" t="str">
        <f t="shared" si="135"/>
        <v>B</v>
      </c>
      <c r="G650" s="1008">
        <f t="shared" si="136"/>
        <v>85852</v>
      </c>
      <c r="H650" s="1138">
        <f t="shared" si="137"/>
        <v>0.74652777777777779</v>
      </c>
      <c r="I650" s="1009">
        <v>0.74583333333333324</v>
      </c>
      <c r="J650" s="1010">
        <f t="shared" si="138"/>
        <v>46.999999999999829</v>
      </c>
      <c r="K650" s="1011"/>
      <c r="L650" s="1012"/>
      <c r="M650" s="1013"/>
      <c r="N650" s="1014" t="str">
        <f t="shared" si="139"/>
        <v/>
      </c>
      <c r="O650" s="1323"/>
      <c r="P650" s="1324"/>
      <c r="Q650" s="1324"/>
      <c r="R650" s="1324"/>
      <c r="S650" s="1324"/>
      <c r="T650" s="1325"/>
      <c r="U650" s="1015">
        <v>1.8</v>
      </c>
      <c r="V650" s="1015"/>
      <c r="W650" s="1015"/>
      <c r="X650" s="1015">
        <v>3.5</v>
      </c>
      <c r="Y650" s="1015"/>
      <c r="Z650" s="1016">
        <f>'09월 에너지'!S652</f>
        <v>145.69999999999999</v>
      </c>
      <c r="AA650" s="1017"/>
      <c r="AB650" s="1208"/>
      <c r="AC650" s="1208"/>
      <c r="AD650" s="1208"/>
      <c r="AE650" s="1208"/>
      <c r="AF650" s="1208"/>
      <c r="AG650" s="1018">
        <f>'09월 화학성분'!AM650</f>
        <v>1165</v>
      </c>
      <c r="AH650" s="1006">
        <f t="shared" si="128"/>
        <v>8</v>
      </c>
      <c r="AI650" s="1019">
        <v>1555</v>
      </c>
      <c r="AJ650" s="1020">
        <v>29</v>
      </c>
      <c r="AK650" s="1021">
        <v>660</v>
      </c>
      <c r="AL650" s="1022">
        <v>6</v>
      </c>
      <c r="AM650" s="1155">
        <f>IF(AT650="","",3*'09월 에너지'!S652*(1/(3+7.8*(100-AT650)/AT650)))</f>
        <v>1.4806910569105691</v>
      </c>
      <c r="AN650" s="1023">
        <v>0.1388888888888889</v>
      </c>
      <c r="AO650" s="1024"/>
      <c r="AP650" s="1025"/>
      <c r="AQ650" s="1025"/>
      <c r="AR650" s="1149" t="str">
        <f t="shared" si="129"/>
        <v/>
      </c>
      <c r="AS650" s="1093">
        <f t="shared" si="140"/>
        <v>14</v>
      </c>
      <c r="AT650" s="1156">
        <v>2.6</v>
      </c>
      <c r="AU650" s="449"/>
      <c r="AV650" s="1205"/>
    </row>
    <row r="651" spans="1:48" ht="16.5" customHeight="1">
      <c r="A651" s="1005">
        <f t="shared" si="130"/>
        <v>46289</v>
      </c>
      <c r="B651" s="1005">
        <f t="shared" si="131"/>
        <v>46289</v>
      </c>
      <c r="C651" s="1150">
        <f t="shared" si="132"/>
        <v>20</v>
      </c>
      <c r="D651" s="1150">
        <f t="shared" si="133"/>
        <v>640</v>
      </c>
      <c r="E651" s="1006" t="str">
        <f t="shared" si="134"/>
        <v>C</v>
      </c>
      <c r="F651" s="1007" t="str">
        <f t="shared" si="135"/>
        <v>A</v>
      </c>
      <c r="G651" s="1008">
        <f t="shared" si="136"/>
        <v>85853</v>
      </c>
      <c r="H651" s="1138">
        <f t="shared" si="137"/>
        <v>0.77916666666666656</v>
      </c>
      <c r="I651" s="1009">
        <v>0.78263888888888899</v>
      </c>
      <c r="J651" s="1010">
        <f t="shared" si="138"/>
        <v>53.000000000000291</v>
      </c>
      <c r="K651" s="1011"/>
      <c r="L651" s="1012">
        <v>1</v>
      </c>
      <c r="M651" s="1013"/>
      <c r="N651" s="1014" t="str">
        <f t="shared" si="139"/>
        <v/>
      </c>
      <c r="O651" s="1323" t="s">
        <v>973</v>
      </c>
      <c r="P651" s="1324"/>
      <c r="Q651" s="1324"/>
      <c r="R651" s="1324"/>
      <c r="S651" s="1324"/>
      <c r="T651" s="1325"/>
      <c r="U651" s="1015">
        <v>1.8</v>
      </c>
      <c r="V651" s="1015"/>
      <c r="W651" s="1015"/>
      <c r="X651" s="1015"/>
      <c r="Y651" s="1015">
        <v>2.6</v>
      </c>
      <c r="Z651" s="1016">
        <f>'09월 에너지'!S653</f>
        <v>144.80000000000001</v>
      </c>
      <c r="AA651" s="1017"/>
      <c r="AB651" s="1208"/>
      <c r="AC651" s="1208"/>
      <c r="AD651" s="1208"/>
      <c r="AE651" s="1208"/>
      <c r="AF651" s="1208"/>
      <c r="AG651" s="1018">
        <f>'09월 화학성분'!AM651</f>
        <v>4422</v>
      </c>
      <c r="AH651" s="1006">
        <f t="shared" si="128"/>
        <v>9</v>
      </c>
      <c r="AI651" s="1019">
        <v>1561</v>
      </c>
      <c r="AJ651" s="1020">
        <v>0</v>
      </c>
      <c r="AK651" s="1021">
        <v>1088</v>
      </c>
      <c r="AL651" s="1022">
        <v>3</v>
      </c>
      <c r="AM651" s="1155">
        <f>IF(AT651="","",3*'09월 에너지'!S653*(1/(3+7.8*(100-AT651)/AT651)))</f>
        <v>1.702194357366771</v>
      </c>
      <c r="AN651" s="1023">
        <v>0.15277777777777776</v>
      </c>
      <c r="AO651" s="1024"/>
      <c r="AP651" s="1025"/>
      <c r="AQ651" s="1025"/>
      <c r="AR651" s="1149">
        <f t="shared" si="129"/>
        <v>6</v>
      </c>
      <c r="AS651" s="1093" t="str">
        <f t="shared" si="140"/>
        <v xml:space="preserve"> </v>
      </c>
      <c r="AT651" s="1156">
        <v>3</v>
      </c>
      <c r="AU651" s="449"/>
      <c r="AV651" s="1205" t="s">
        <v>553</v>
      </c>
    </row>
    <row r="652" spans="1:48" ht="16.5" customHeight="1">
      <c r="A652" s="1005">
        <f t="shared" si="130"/>
        <v>46289</v>
      </c>
      <c r="B652" s="1005">
        <f t="shared" si="131"/>
        <v>46289</v>
      </c>
      <c r="C652" s="1150">
        <f t="shared" si="132"/>
        <v>21</v>
      </c>
      <c r="D652" s="1150">
        <f t="shared" si="133"/>
        <v>641</v>
      </c>
      <c r="E652" s="1006" t="str">
        <f t="shared" si="134"/>
        <v>C</v>
      </c>
      <c r="F652" s="1007" t="str">
        <f t="shared" si="135"/>
        <v>B</v>
      </c>
      <c r="G652" s="1008">
        <f t="shared" si="136"/>
        <v>85854</v>
      </c>
      <c r="H652" s="1138">
        <f t="shared" si="137"/>
        <v>0.81597222222222232</v>
      </c>
      <c r="I652" s="1009">
        <v>0.81111111111111101</v>
      </c>
      <c r="J652" s="1010">
        <f t="shared" si="138"/>
        <v>40.999999999999694</v>
      </c>
      <c r="K652" s="1011"/>
      <c r="L652" s="1012"/>
      <c r="M652" s="1013"/>
      <c r="N652" s="1014" t="str">
        <f t="shared" si="139"/>
        <v/>
      </c>
      <c r="O652" s="1323"/>
      <c r="P652" s="1324"/>
      <c r="Q652" s="1324"/>
      <c r="R652" s="1324"/>
      <c r="S652" s="1324"/>
      <c r="T652" s="1325"/>
      <c r="U652" s="1015">
        <v>1.8</v>
      </c>
      <c r="V652" s="1015"/>
      <c r="W652" s="1015"/>
      <c r="X652" s="1015"/>
      <c r="Y652" s="1015" t="s">
        <v>552</v>
      </c>
      <c r="Z652" s="1016">
        <f>'09월 에너지'!S654</f>
        <v>143.4</v>
      </c>
      <c r="AA652" s="1017"/>
      <c r="AB652" s="1208"/>
      <c r="AC652" s="1208"/>
      <c r="AD652" s="1208"/>
      <c r="AE652" s="1208"/>
      <c r="AF652" s="1208"/>
      <c r="AG652" s="1018">
        <f>'09월 화학성분'!AM652</f>
        <v>1046</v>
      </c>
      <c r="AH652" s="1006">
        <f t="shared" si="128"/>
        <v>10</v>
      </c>
      <c r="AI652" s="1019">
        <v>1570</v>
      </c>
      <c r="AJ652" s="1020">
        <v>53</v>
      </c>
      <c r="AK652" s="1021">
        <v>622</v>
      </c>
      <c r="AL652" s="1022">
        <v>6</v>
      </c>
      <c r="AM652" s="1155">
        <f>IF(AT652="","",3*'09월 에너지'!S654*(1/(3+7.8*(100-AT652)/AT652)))</f>
        <v>2.3198390151515151</v>
      </c>
      <c r="AN652" s="1023">
        <v>0.13680555555555554</v>
      </c>
      <c r="AO652" s="1024"/>
      <c r="AP652" s="1025"/>
      <c r="AQ652" s="1025"/>
      <c r="AR652" s="1149" t="str">
        <f t="shared" si="129"/>
        <v/>
      </c>
      <c r="AS652" s="1093">
        <f t="shared" si="140"/>
        <v>15</v>
      </c>
      <c r="AT652" s="1156">
        <v>4.0999999999999996</v>
      </c>
      <c r="AU652" s="449"/>
      <c r="AV652" s="1205"/>
    </row>
    <row r="653" spans="1:48" ht="16.5" customHeight="1">
      <c r="A653" s="1005">
        <f t="shared" si="130"/>
        <v>46289</v>
      </c>
      <c r="B653" s="1005">
        <f t="shared" si="131"/>
        <v>46289</v>
      </c>
      <c r="C653" s="1150">
        <f t="shared" si="132"/>
        <v>22</v>
      </c>
      <c r="D653" s="1150">
        <f t="shared" si="133"/>
        <v>642</v>
      </c>
      <c r="E653" s="1006" t="str">
        <f t="shared" si="134"/>
        <v>C</v>
      </c>
      <c r="F653" s="1007" t="str">
        <f t="shared" si="135"/>
        <v>A</v>
      </c>
      <c r="G653" s="1008">
        <f t="shared" si="136"/>
        <v>85855</v>
      </c>
      <c r="H653" s="1138">
        <f t="shared" si="137"/>
        <v>0.84444444444444433</v>
      </c>
      <c r="I653" s="1009">
        <v>0.84652777777777777</v>
      </c>
      <c r="J653" s="1010">
        <f t="shared" si="138"/>
        <v>51.000000000000142</v>
      </c>
      <c r="K653" s="1011"/>
      <c r="L653" s="1012"/>
      <c r="M653" s="1013"/>
      <c r="N653" s="1014" t="str">
        <f t="shared" si="139"/>
        <v/>
      </c>
      <c r="O653" s="1323" t="s">
        <v>530</v>
      </c>
      <c r="P653" s="1324"/>
      <c r="Q653" s="1324"/>
      <c r="R653" s="1324"/>
      <c r="S653" s="1324"/>
      <c r="T653" s="1325"/>
      <c r="U653" s="1015">
        <v>1.8</v>
      </c>
      <c r="V653" s="1015"/>
      <c r="W653" s="1015"/>
      <c r="X653" s="1015"/>
      <c r="Y653" s="1015">
        <v>2.7</v>
      </c>
      <c r="Z653" s="1016">
        <f>'09월 에너지'!S655</f>
        <v>143</v>
      </c>
      <c r="AA653" s="1017">
        <v>2062</v>
      </c>
      <c r="AB653" s="1208" t="s">
        <v>573</v>
      </c>
      <c r="AC653" s="1208" t="s">
        <v>532</v>
      </c>
      <c r="AD653" s="1208"/>
      <c r="AE653" s="1208"/>
      <c r="AF653" s="1208" t="s">
        <v>548</v>
      </c>
      <c r="AG653" s="1018">
        <f>'09월 화학성분'!AM653</f>
        <v>2602</v>
      </c>
      <c r="AH653" s="1006">
        <f t="shared" ref="AH653:AH716" si="141">IF(I653="","",AH652+1)</f>
        <v>11</v>
      </c>
      <c r="AI653" s="1019">
        <v>1594</v>
      </c>
      <c r="AJ653" s="1020">
        <v>0</v>
      </c>
      <c r="AK653" s="1021">
        <v>1000</v>
      </c>
      <c r="AL653" s="1022">
        <v>3</v>
      </c>
      <c r="AM653" s="1155">
        <f>IF(AT653="","",3*'09월 에너지'!S655*(1/(3+7.8*(100-AT653)/AT653)))</f>
        <v>2.3133680555555554</v>
      </c>
      <c r="AN653" s="1023">
        <v>0.14305555555555557</v>
      </c>
      <c r="AO653" s="1024"/>
      <c r="AP653" s="1025"/>
      <c r="AQ653" s="1025"/>
      <c r="AR653" s="1149">
        <f t="shared" ref="AR653:AR716" si="142">IF(F653="A",IFERROR(IF(I653="","",IF(F653="A",AR652+1," ")),AR651+1),"")</f>
        <v>7</v>
      </c>
      <c r="AS653" s="1093" t="str">
        <f t="shared" si="140"/>
        <v xml:space="preserve"> </v>
      </c>
      <c r="AT653" s="1156">
        <v>4.0999999999999996</v>
      </c>
      <c r="AU653" s="449"/>
      <c r="AV653" s="1205"/>
    </row>
    <row r="654" spans="1:48" ht="16.5" customHeight="1">
      <c r="A654" s="1005">
        <f t="shared" ref="A654:A717" si="143">IF(I654="","",A653)</f>
        <v>46289</v>
      </c>
      <c r="B654" s="1005">
        <f t="shared" ref="B654:B717" si="144">IF(J654="","",B653)</f>
        <v>46289</v>
      </c>
      <c r="C654" s="1150">
        <f t="shared" ref="C654:C717" si="145">IF(I654="","",IF(A654=A653,C653+1,1))</f>
        <v>23</v>
      </c>
      <c r="D654" s="1150">
        <f t="shared" ref="D654:D717" si="146">IF(C654="","",D653+1)</f>
        <v>643</v>
      </c>
      <c r="E654" s="1006" t="str">
        <f t="shared" ref="E654:E716" si="147">IF(C654="","",E653)</f>
        <v>C</v>
      </c>
      <c r="F654" s="1007" t="str">
        <f t="shared" ref="F654:F717" si="148">IF(C654="","",IF(F653="A","B","A"))</f>
        <v>B</v>
      </c>
      <c r="G654" s="1008">
        <f t="shared" ref="G654:G717" si="149">IF(C654="","",G653+1)</f>
        <v>85856</v>
      </c>
      <c r="H654" s="1138">
        <f t="shared" ref="H654:H717" si="150">IF(ISBLANK(I653),H653+C$8/1440,I653+C$8/1440)</f>
        <v>0.87986111111111109</v>
      </c>
      <c r="I654" s="1009">
        <v>0.88055555555555554</v>
      </c>
      <c r="J654" s="1010">
        <f t="shared" ref="J654:J717" si="151">IF(I654="","",IF(I654&lt;I653,(I654-I653)*1440+1440,(I654-I653)*1440))</f>
        <v>48.999999999999986</v>
      </c>
      <c r="K654" s="1011"/>
      <c r="L654" s="1012"/>
      <c r="M654" s="1013"/>
      <c r="N654" s="1014" t="str">
        <f t="shared" ref="N654:N717" si="152">IF(M654="","",M654+K654/1440)</f>
        <v/>
      </c>
      <c r="O654" s="1323"/>
      <c r="P654" s="1324"/>
      <c r="Q654" s="1324"/>
      <c r="R654" s="1324"/>
      <c r="S654" s="1324"/>
      <c r="T654" s="1325"/>
      <c r="U654" s="1015">
        <v>1.8</v>
      </c>
      <c r="V654" s="1015"/>
      <c r="W654" s="1015"/>
      <c r="X654" s="1015"/>
      <c r="Y654" s="1015" t="s">
        <v>563</v>
      </c>
      <c r="Z654" s="1016">
        <f>'09월 에너지'!S656</f>
        <v>144.4</v>
      </c>
      <c r="AA654" s="1017"/>
      <c r="AB654" s="1208"/>
      <c r="AC654" s="1208"/>
      <c r="AD654" s="1208"/>
      <c r="AE654" s="1208"/>
      <c r="AF654" s="1208"/>
      <c r="AG654" s="1018">
        <f>'09월 화학성분'!AM654</f>
        <v>1919</v>
      </c>
      <c r="AH654" s="1006">
        <f t="shared" si="141"/>
        <v>12</v>
      </c>
      <c r="AI654" s="1019">
        <v>1535</v>
      </c>
      <c r="AJ654" s="1020">
        <v>0</v>
      </c>
      <c r="AK654" s="1021">
        <v>719</v>
      </c>
      <c r="AL654" s="1022">
        <v>5</v>
      </c>
      <c r="AM654" s="1155">
        <f>IF(AT654="","",3*'09월 에너지'!S656*(1/(3+7.8*(100-AT654)/AT654)))</f>
        <v>1.2957240948813982</v>
      </c>
      <c r="AN654" s="1023">
        <v>0.13472222222222222</v>
      </c>
      <c r="AO654" s="1024"/>
      <c r="AP654" s="1025"/>
      <c r="AQ654" s="1025"/>
      <c r="AR654" s="1149" t="str">
        <f t="shared" si="142"/>
        <v/>
      </c>
      <c r="AS654" s="1093">
        <f t="shared" ref="AS654:AS717" si="153">IFERROR(IF($I654="","",IF($F654="B",AS653+1," ")),AS652+1)</f>
        <v>16</v>
      </c>
      <c r="AT654" s="1156">
        <v>2.2999999999999998</v>
      </c>
      <c r="AU654" s="449"/>
      <c r="AV654" s="1205"/>
    </row>
    <row r="655" spans="1:48" ht="16.5" customHeight="1">
      <c r="A655" s="1005">
        <f t="shared" si="143"/>
        <v>46289</v>
      </c>
      <c r="B655" s="1005">
        <f t="shared" si="144"/>
        <v>46289</v>
      </c>
      <c r="C655" s="1150">
        <f t="shared" si="145"/>
        <v>24</v>
      </c>
      <c r="D655" s="1150">
        <f t="shared" si="146"/>
        <v>644</v>
      </c>
      <c r="E655" s="1006" t="str">
        <f t="shared" si="147"/>
        <v>C</v>
      </c>
      <c r="F655" s="1007" t="str">
        <f t="shared" si="148"/>
        <v>A</v>
      </c>
      <c r="G655" s="1008">
        <f t="shared" si="149"/>
        <v>85857</v>
      </c>
      <c r="H655" s="1138">
        <f t="shared" si="150"/>
        <v>0.91388888888888886</v>
      </c>
      <c r="I655" s="1009">
        <v>0.91041666666666676</v>
      </c>
      <c r="J655" s="1010">
        <f t="shared" si="151"/>
        <v>43.000000000000171</v>
      </c>
      <c r="K655" s="1011"/>
      <c r="L655" s="1012"/>
      <c r="M655" s="1013"/>
      <c r="N655" s="1014" t="str">
        <f t="shared" si="152"/>
        <v/>
      </c>
      <c r="O655" s="1323"/>
      <c r="P655" s="1324"/>
      <c r="Q655" s="1324"/>
      <c r="R655" s="1324"/>
      <c r="S655" s="1324"/>
      <c r="T655" s="1325"/>
      <c r="U655" s="1015">
        <v>1.8</v>
      </c>
      <c r="V655" s="1015">
        <v>2.2999999999999998</v>
      </c>
      <c r="W655" s="1015">
        <v>1.6</v>
      </c>
      <c r="X655" s="1015"/>
      <c r="Y655" s="1015"/>
      <c r="Z655" s="1016">
        <f>'09월 에너지'!S657</f>
        <v>142.6</v>
      </c>
      <c r="AA655" s="1017"/>
      <c r="AB655" s="1208"/>
      <c r="AC655" s="1208"/>
      <c r="AD655" s="1208"/>
      <c r="AE655" s="1208"/>
      <c r="AF655" s="1208"/>
      <c r="AG655" s="1018">
        <f>'09월 화학성분'!AM655</f>
        <v>1969</v>
      </c>
      <c r="AH655" s="1006">
        <f t="shared" si="141"/>
        <v>13</v>
      </c>
      <c r="AI655" s="1019">
        <v>1582</v>
      </c>
      <c r="AJ655" s="1020">
        <v>0</v>
      </c>
      <c r="AK655" s="1021">
        <v>617</v>
      </c>
      <c r="AL655" s="1022">
        <v>6</v>
      </c>
      <c r="AM655" s="1155">
        <f>IF(AT655="","",3*'09월 에너지'!S657*(1/(3+7.8*(100-AT655)/AT655)))</f>
        <v>2.3646557169930511</v>
      </c>
      <c r="AN655" s="1023">
        <v>0.15277777777777776</v>
      </c>
      <c r="AO655" s="1024"/>
      <c r="AP655" s="1025"/>
      <c r="AQ655" s="1025"/>
      <c r="AR655" s="1149">
        <f t="shared" si="142"/>
        <v>8</v>
      </c>
      <c r="AS655" s="1093" t="str">
        <f t="shared" si="153"/>
        <v xml:space="preserve"> </v>
      </c>
      <c r="AT655" s="1156">
        <v>4.2</v>
      </c>
      <c r="AU655" s="449"/>
      <c r="AV655" s="1205"/>
    </row>
    <row r="656" spans="1:48" ht="16.5" customHeight="1">
      <c r="A656" s="1005">
        <f t="shared" si="143"/>
        <v>46289</v>
      </c>
      <c r="B656" s="1005">
        <f t="shared" si="144"/>
        <v>46289</v>
      </c>
      <c r="C656" s="1150">
        <f t="shared" si="145"/>
        <v>25</v>
      </c>
      <c r="D656" s="1150">
        <f t="shared" si="146"/>
        <v>645</v>
      </c>
      <c r="E656" s="1006" t="s">
        <v>534</v>
      </c>
      <c r="F656" s="1007" t="str">
        <f t="shared" si="148"/>
        <v>B</v>
      </c>
      <c r="G656" s="1008">
        <f t="shared" si="149"/>
        <v>85858</v>
      </c>
      <c r="H656" s="1138">
        <f t="shared" si="150"/>
        <v>0.94375000000000009</v>
      </c>
      <c r="I656" s="1009">
        <v>0.94444444444444453</v>
      </c>
      <c r="J656" s="1010">
        <f t="shared" si="151"/>
        <v>48.999999999999986</v>
      </c>
      <c r="K656" s="1011"/>
      <c r="L656" s="1012"/>
      <c r="M656" s="1013"/>
      <c r="N656" s="1014" t="str">
        <f t="shared" si="152"/>
        <v/>
      </c>
      <c r="O656" s="1323"/>
      <c r="P656" s="1324"/>
      <c r="Q656" s="1324"/>
      <c r="R656" s="1324"/>
      <c r="S656" s="1324"/>
      <c r="T656" s="1325"/>
      <c r="U656" s="1015">
        <v>1.8</v>
      </c>
      <c r="V656" s="1015">
        <v>2.5</v>
      </c>
      <c r="W656" s="1015">
        <v>1.4</v>
      </c>
      <c r="X656" s="1015"/>
      <c r="Y656" s="1015"/>
      <c r="Z656" s="1016">
        <f>'09월 에너지'!S658</f>
        <v>146.4</v>
      </c>
      <c r="AA656" s="1017"/>
      <c r="AB656" s="1208" t="s">
        <v>573</v>
      </c>
      <c r="AC656" s="1208" t="s">
        <v>733</v>
      </c>
      <c r="AD656" s="1208"/>
      <c r="AE656" s="1208"/>
      <c r="AF656" s="1208" t="s">
        <v>548</v>
      </c>
      <c r="AG656" s="1018">
        <f>'09월 화학성분'!AM656</f>
        <v>2003</v>
      </c>
      <c r="AH656" s="1006">
        <f t="shared" si="141"/>
        <v>14</v>
      </c>
      <c r="AI656" s="1019">
        <v>1544</v>
      </c>
      <c r="AJ656" s="1020">
        <v>0</v>
      </c>
      <c r="AK656" s="1021">
        <v>585</v>
      </c>
      <c r="AL656" s="1022">
        <v>7</v>
      </c>
      <c r="AM656" s="1155">
        <f>IF(AT656="","",3*'09월 에너지'!S658*(1/(3+7.8*(100-AT656)/AT656)))</f>
        <v>1.0825031133250314</v>
      </c>
      <c r="AN656" s="1023">
        <v>0.15208333333333332</v>
      </c>
      <c r="AO656" s="1024"/>
      <c r="AP656" s="1025"/>
      <c r="AQ656" s="1025"/>
      <c r="AR656" s="1149" t="str">
        <f t="shared" si="142"/>
        <v/>
      </c>
      <c r="AS656" s="1093">
        <f t="shared" si="153"/>
        <v>17</v>
      </c>
      <c r="AT656" s="1156">
        <v>1.9</v>
      </c>
      <c r="AU656" s="449"/>
      <c r="AV656" s="1205"/>
    </row>
    <row r="657" spans="1:48" ht="16.5" customHeight="1">
      <c r="A657" s="1005">
        <f t="shared" si="143"/>
        <v>46289</v>
      </c>
      <c r="B657" s="1005">
        <f t="shared" si="144"/>
        <v>46289</v>
      </c>
      <c r="C657" s="1150">
        <f t="shared" si="145"/>
        <v>26</v>
      </c>
      <c r="D657" s="1150">
        <f t="shared" si="146"/>
        <v>646</v>
      </c>
      <c r="E657" s="1006" t="str">
        <f t="shared" si="147"/>
        <v>A</v>
      </c>
      <c r="F657" s="1007" t="str">
        <f t="shared" si="148"/>
        <v>A</v>
      </c>
      <c r="G657" s="1008">
        <f t="shared" si="149"/>
        <v>85859</v>
      </c>
      <c r="H657" s="1138">
        <f t="shared" si="150"/>
        <v>0.97777777777777786</v>
      </c>
      <c r="I657" s="1009">
        <v>0.98055555555555562</v>
      </c>
      <c r="J657" s="1010">
        <f t="shared" si="151"/>
        <v>51.999999999999972</v>
      </c>
      <c r="K657" s="1011"/>
      <c r="L657" s="1012">
        <v>2</v>
      </c>
      <c r="M657" s="1013"/>
      <c r="N657" s="1014" t="str">
        <f t="shared" si="152"/>
        <v/>
      </c>
      <c r="O657" s="1323" t="s">
        <v>974</v>
      </c>
      <c r="P657" s="1324"/>
      <c r="Q657" s="1324"/>
      <c r="R657" s="1324"/>
      <c r="S657" s="1324"/>
      <c r="T657" s="1325"/>
      <c r="U657" s="1015">
        <v>1.8</v>
      </c>
      <c r="V657" s="1015"/>
      <c r="W657" s="1015"/>
      <c r="X657" s="1015"/>
      <c r="Y657" s="1015">
        <v>2.7</v>
      </c>
      <c r="Z657" s="1016">
        <f>'09월 에너지'!S659</f>
        <v>147.4</v>
      </c>
      <c r="AA657" s="1017"/>
      <c r="AB657" s="1208"/>
      <c r="AC657" s="1208"/>
      <c r="AD657" s="1208"/>
      <c r="AE657" s="1208"/>
      <c r="AF657" s="1208"/>
      <c r="AG657" s="1018">
        <f>'09월 화학성분'!AM657</f>
        <v>3154</v>
      </c>
      <c r="AH657" s="1006">
        <f t="shared" si="141"/>
        <v>15</v>
      </c>
      <c r="AI657" s="1019">
        <v>1570</v>
      </c>
      <c r="AJ657" s="1020">
        <v>0</v>
      </c>
      <c r="AK657" s="1021">
        <v>994</v>
      </c>
      <c r="AL657" s="1022">
        <v>3</v>
      </c>
      <c r="AM657" s="1155">
        <f>IF(AT657="","",3*'09월 에너지'!S659*(1/(3+7.8*(100-AT657)/AT657)))</f>
        <v>1.9687303582652422</v>
      </c>
      <c r="AN657" s="1023">
        <v>0.16597222222222222</v>
      </c>
      <c r="AO657" s="1024"/>
      <c r="AP657" s="1025"/>
      <c r="AQ657" s="1025"/>
      <c r="AR657" s="1149">
        <f t="shared" si="142"/>
        <v>9</v>
      </c>
      <c r="AS657" s="1093" t="str">
        <f t="shared" si="153"/>
        <v xml:space="preserve"> </v>
      </c>
      <c r="AT657" s="1156">
        <v>3.4</v>
      </c>
      <c r="AU657" s="449"/>
      <c r="AV657" s="1205"/>
    </row>
    <row r="658" spans="1:48" ht="16.5" customHeight="1">
      <c r="A658" s="1005">
        <f t="shared" si="143"/>
        <v>46289</v>
      </c>
      <c r="B658" s="1005">
        <f t="shared" si="144"/>
        <v>46289</v>
      </c>
      <c r="C658" s="1150">
        <f t="shared" si="145"/>
        <v>27</v>
      </c>
      <c r="D658" s="1150">
        <f t="shared" si="146"/>
        <v>647</v>
      </c>
      <c r="E658" s="1006" t="str">
        <f t="shared" si="147"/>
        <v>A</v>
      </c>
      <c r="F658" s="1007" t="str">
        <f t="shared" si="148"/>
        <v>B</v>
      </c>
      <c r="G658" s="1008">
        <f t="shared" si="149"/>
        <v>85860</v>
      </c>
      <c r="H658" s="1138">
        <f t="shared" si="150"/>
        <v>1.0138888888888891</v>
      </c>
      <c r="I658" s="1009">
        <v>2.0833333333333332E-2</v>
      </c>
      <c r="J658" s="1010">
        <f t="shared" si="151"/>
        <v>58</v>
      </c>
      <c r="K658" s="1011">
        <v>1</v>
      </c>
      <c r="L658" s="1012">
        <v>8</v>
      </c>
      <c r="M658" s="1013"/>
      <c r="N658" s="1014" t="str">
        <f t="shared" si="152"/>
        <v/>
      </c>
      <c r="O658" s="1323" t="s">
        <v>976</v>
      </c>
      <c r="P658" s="1324"/>
      <c r="Q658" s="1324"/>
      <c r="R658" s="1324"/>
      <c r="S658" s="1324"/>
      <c r="T658" s="1325"/>
      <c r="U658" s="1015">
        <v>1.8</v>
      </c>
      <c r="V658" s="1015"/>
      <c r="W658" s="1015"/>
      <c r="X658" s="1015"/>
      <c r="Y658" s="1015"/>
      <c r="Z658" s="1016">
        <f>'09월 에너지'!S660</f>
        <v>144.4</v>
      </c>
      <c r="AA658" s="1017"/>
      <c r="AB658" s="1208"/>
      <c r="AC658" s="1208"/>
      <c r="AD658" s="1208"/>
      <c r="AE658" s="1208"/>
      <c r="AF658" s="1208"/>
      <c r="AG658" s="1018">
        <f>'09월 화학성분'!AM658</f>
        <v>2758</v>
      </c>
      <c r="AH658" s="1006">
        <f t="shared" si="141"/>
        <v>16</v>
      </c>
      <c r="AI658" s="1019">
        <v>1578</v>
      </c>
      <c r="AJ658" s="1020">
        <v>0</v>
      </c>
      <c r="AK658" s="1021">
        <v>384</v>
      </c>
      <c r="AL658" s="1022">
        <v>12</v>
      </c>
      <c r="AM658" s="1155">
        <f>IF(AT658="","",3*'09월 에너지'!S660*(1/(3+7.8*(100-AT658)/AT658)))</f>
        <v>0.50262995049504966</v>
      </c>
      <c r="AN658" s="1023">
        <v>0.15</v>
      </c>
      <c r="AO658" s="1024" t="s">
        <v>538</v>
      </c>
      <c r="AP658" s="1025">
        <v>2000067</v>
      </c>
      <c r="AQ658" s="1025">
        <v>2128</v>
      </c>
      <c r="AR658" s="1149" t="str">
        <f t="shared" si="142"/>
        <v/>
      </c>
      <c r="AS658" s="1093">
        <v>1</v>
      </c>
      <c r="AT658" s="1156">
        <v>0.9</v>
      </c>
      <c r="AU658" s="449"/>
      <c r="AV658" s="1205"/>
    </row>
    <row r="659" spans="1:48" ht="16.5" customHeight="1">
      <c r="A659" s="1005">
        <f t="shared" si="143"/>
        <v>46289</v>
      </c>
      <c r="B659" s="1005">
        <f t="shared" si="144"/>
        <v>46289</v>
      </c>
      <c r="C659" s="1150">
        <f t="shared" si="145"/>
        <v>28</v>
      </c>
      <c r="D659" s="1150">
        <f t="shared" si="146"/>
        <v>648</v>
      </c>
      <c r="E659" s="1006" t="str">
        <f t="shared" si="147"/>
        <v>A</v>
      </c>
      <c r="F659" s="1007" t="str">
        <f t="shared" si="148"/>
        <v>A</v>
      </c>
      <c r="G659" s="1008">
        <f t="shared" si="149"/>
        <v>85861</v>
      </c>
      <c r="H659" s="1138">
        <f t="shared" si="150"/>
        <v>5.4166666666666669E-2</v>
      </c>
      <c r="I659" s="1009">
        <v>4.9999999999999996E-2</v>
      </c>
      <c r="J659" s="1010">
        <f t="shared" si="151"/>
        <v>41.999999999999993</v>
      </c>
      <c r="K659" s="1011"/>
      <c r="L659" s="1012">
        <v>2</v>
      </c>
      <c r="M659" s="1013"/>
      <c r="N659" s="1014" t="str">
        <f t="shared" si="152"/>
        <v/>
      </c>
      <c r="O659" s="1323" t="s">
        <v>977</v>
      </c>
      <c r="P659" s="1324"/>
      <c r="Q659" s="1324"/>
      <c r="R659" s="1324"/>
      <c r="S659" s="1324"/>
      <c r="T659" s="1325"/>
      <c r="U659" s="1015">
        <v>1.8</v>
      </c>
      <c r="V659" s="1015">
        <v>2.4</v>
      </c>
      <c r="W659" s="1015">
        <v>1.8</v>
      </c>
      <c r="X659" s="1015"/>
      <c r="Y659" s="1015"/>
      <c r="Z659" s="1016">
        <f>'09월 에너지'!S661</f>
        <v>143</v>
      </c>
      <c r="AA659" s="1017">
        <v>2435</v>
      </c>
      <c r="AB659" s="1208" t="s">
        <v>573</v>
      </c>
      <c r="AC659" s="1208" t="s">
        <v>733</v>
      </c>
      <c r="AD659" s="1208"/>
      <c r="AE659" s="1208"/>
      <c r="AF659" s="1208" t="s">
        <v>548</v>
      </c>
      <c r="AG659" s="1018">
        <f>'09월 화학성분'!AM659</f>
        <v>2135</v>
      </c>
      <c r="AH659" s="1006">
        <f t="shared" si="141"/>
        <v>17</v>
      </c>
      <c r="AI659" s="1019">
        <v>1537</v>
      </c>
      <c r="AJ659" s="1020">
        <v>0</v>
      </c>
      <c r="AK659" s="1021">
        <v>467</v>
      </c>
      <c r="AL659" s="1022">
        <v>9</v>
      </c>
      <c r="AM659" s="1155">
        <f>IF(AT659="","",3*'09월 에너지'!S661*(1/(3+7.8*(100-AT659)/AT659)))</f>
        <v>0.22054287476866136</v>
      </c>
      <c r="AN659" s="1023">
        <v>0.1673611111111111</v>
      </c>
      <c r="AO659" s="1024"/>
      <c r="AP659" s="1025"/>
      <c r="AQ659" s="1025"/>
      <c r="AR659" s="1149">
        <f t="shared" si="142"/>
        <v>10</v>
      </c>
      <c r="AS659" s="1093" t="str">
        <f t="shared" si="153"/>
        <v xml:space="preserve"> </v>
      </c>
      <c r="AT659" s="1156">
        <v>0.4</v>
      </c>
      <c r="AU659" s="449"/>
      <c r="AV659" s="1205"/>
    </row>
    <row r="660" spans="1:48" ht="16.5" customHeight="1">
      <c r="A660" s="1005">
        <f t="shared" si="143"/>
        <v>46289</v>
      </c>
      <c r="B660" s="1005">
        <f t="shared" si="144"/>
        <v>46289</v>
      </c>
      <c r="C660" s="1150">
        <f t="shared" si="145"/>
        <v>29</v>
      </c>
      <c r="D660" s="1150">
        <f t="shared" si="146"/>
        <v>649</v>
      </c>
      <c r="E660" s="1006" t="str">
        <f t="shared" si="147"/>
        <v>A</v>
      </c>
      <c r="F660" s="1007" t="str">
        <f t="shared" si="148"/>
        <v>B</v>
      </c>
      <c r="G660" s="1008">
        <f t="shared" si="149"/>
        <v>85862</v>
      </c>
      <c r="H660" s="1138">
        <f t="shared" si="150"/>
        <v>8.3333333333333329E-2</v>
      </c>
      <c r="I660" s="1009">
        <v>8.0555555555555561E-2</v>
      </c>
      <c r="J660" s="1010">
        <f t="shared" si="151"/>
        <v>44.000000000000014</v>
      </c>
      <c r="K660" s="1011"/>
      <c r="L660" s="1012"/>
      <c r="M660" s="1013"/>
      <c r="N660" s="1014" t="str">
        <f t="shared" si="152"/>
        <v/>
      </c>
      <c r="O660" s="1323"/>
      <c r="P660" s="1324"/>
      <c r="Q660" s="1324"/>
      <c r="R660" s="1324"/>
      <c r="S660" s="1324"/>
      <c r="T660" s="1325"/>
      <c r="U660" s="1015">
        <v>1.8</v>
      </c>
      <c r="V660" s="1015">
        <v>2.6</v>
      </c>
      <c r="W660" s="1015">
        <v>1.5</v>
      </c>
      <c r="X660" s="1015"/>
      <c r="Y660" s="1015"/>
      <c r="Z660" s="1016">
        <f>'09월 에너지'!S662</f>
        <v>144.5</v>
      </c>
      <c r="AA660" s="1017"/>
      <c r="AB660" s="1208"/>
      <c r="AC660" s="1208"/>
      <c r="AD660" s="1208"/>
      <c r="AE660" s="1208"/>
      <c r="AF660" s="1208"/>
      <c r="AG660" s="1018">
        <f>'09월 화학성분'!AM660</f>
        <v>1697</v>
      </c>
      <c r="AH660" s="1006">
        <f t="shared" si="141"/>
        <v>18</v>
      </c>
      <c r="AI660" s="1019">
        <v>1557</v>
      </c>
      <c r="AJ660" s="1020">
        <v>0</v>
      </c>
      <c r="AK660" s="1021">
        <v>622</v>
      </c>
      <c r="AL660" s="1022">
        <v>6</v>
      </c>
      <c r="AM660" s="1155">
        <f>IF(AT660="","",3*'09월 에너지'!S662*(1/(3+7.8*(100-AT660)/AT660)))</f>
        <v>1.7563911543287327</v>
      </c>
      <c r="AN660" s="1023">
        <v>0.14097222222222222</v>
      </c>
      <c r="AO660" s="1024"/>
      <c r="AP660" s="1025"/>
      <c r="AQ660" s="1025"/>
      <c r="AR660" s="1149" t="str">
        <f t="shared" si="142"/>
        <v/>
      </c>
      <c r="AS660" s="1093">
        <f t="shared" si="153"/>
        <v>2</v>
      </c>
      <c r="AT660" s="1156">
        <v>3.1</v>
      </c>
      <c r="AU660" s="449"/>
      <c r="AV660" s="1205"/>
    </row>
    <row r="661" spans="1:48" ht="16.5" customHeight="1">
      <c r="A661" s="1005">
        <f t="shared" si="143"/>
        <v>46289</v>
      </c>
      <c r="B661" s="1005">
        <f t="shared" si="144"/>
        <v>46289</v>
      </c>
      <c r="C661" s="1150">
        <f t="shared" si="145"/>
        <v>30</v>
      </c>
      <c r="D661" s="1150">
        <f t="shared" si="146"/>
        <v>650</v>
      </c>
      <c r="E661" s="1006" t="str">
        <f t="shared" si="147"/>
        <v>A</v>
      </c>
      <c r="F661" s="1007" t="str">
        <f t="shared" si="148"/>
        <v>A</v>
      </c>
      <c r="G661" s="1008">
        <f t="shared" si="149"/>
        <v>85863</v>
      </c>
      <c r="H661" s="1138">
        <f t="shared" si="150"/>
        <v>0.1138888888888889</v>
      </c>
      <c r="I661" s="1009">
        <v>0.1125</v>
      </c>
      <c r="J661" s="1010">
        <f t="shared" si="151"/>
        <v>46</v>
      </c>
      <c r="K661" s="1011"/>
      <c r="L661" s="1012"/>
      <c r="M661" s="1013"/>
      <c r="N661" s="1014" t="str">
        <f t="shared" si="152"/>
        <v/>
      </c>
      <c r="O661" s="1323"/>
      <c r="P661" s="1324"/>
      <c r="Q661" s="1324"/>
      <c r="R661" s="1324"/>
      <c r="S661" s="1324"/>
      <c r="T661" s="1325"/>
      <c r="U661" s="1015">
        <v>1.8</v>
      </c>
      <c r="V661" s="1015"/>
      <c r="W661" s="1015"/>
      <c r="X661" s="1015"/>
      <c r="Y661" s="1015">
        <v>2.8</v>
      </c>
      <c r="Z661" s="1016">
        <f>'09월 에너지'!S663</f>
        <v>143</v>
      </c>
      <c r="AA661" s="1017"/>
      <c r="AB661" s="1208"/>
      <c r="AC661" s="1208"/>
      <c r="AD661" s="1208"/>
      <c r="AE661" s="1208"/>
      <c r="AF661" s="1208"/>
      <c r="AG661" s="1018">
        <f>'09월 화학성분'!AM661</f>
        <v>2246</v>
      </c>
      <c r="AH661" s="1006">
        <f t="shared" si="141"/>
        <v>19</v>
      </c>
      <c r="AI661" s="1019">
        <v>1559</v>
      </c>
      <c r="AJ661" s="1020">
        <v>0</v>
      </c>
      <c r="AK661" s="1021">
        <v>546</v>
      </c>
      <c r="AL661" s="1022">
        <v>7</v>
      </c>
      <c r="AM661" s="1155">
        <f>IF(AT661="","",3*'09월 에너지'!S663*(1/(3+7.8*(100-AT661)/AT661)))</f>
        <v>1.7381587202007529</v>
      </c>
      <c r="AN661" s="1023">
        <v>0.15486111111111112</v>
      </c>
      <c r="AO661" s="1024"/>
      <c r="AP661" s="1025"/>
      <c r="AQ661" s="1025"/>
      <c r="AR661" s="1149">
        <f t="shared" si="142"/>
        <v>11</v>
      </c>
      <c r="AS661" s="1093" t="str">
        <f t="shared" si="153"/>
        <v xml:space="preserve"> </v>
      </c>
      <c r="AT661" s="1156">
        <v>3.1</v>
      </c>
      <c r="AU661" s="449"/>
      <c r="AV661" s="1205"/>
    </row>
    <row r="662" spans="1:48" ht="16.5" customHeight="1">
      <c r="A662" s="1005">
        <v>46290</v>
      </c>
      <c r="B662" s="1005">
        <f t="shared" si="144"/>
        <v>46289</v>
      </c>
      <c r="C662" s="1150">
        <f t="shared" si="145"/>
        <v>1</v>
      </c>
      <c r="D662" s="1150">
        <f t="shared" si="146"/>
        <v>651</v>
      </c>
      <c r="E662" s="1006" t="str">
        <f t="shared" si="147"/>
        <v>A</v>
      </c>
      <c r="F662" s="1007" t="str">
        <f t="shared" si="148"/>
        <v>B</v>
      </c>
      <c r="G662" s="1008">
        <f t="shared" si="149"/>
        <v>85864</v>
      </c>
      <c r="H662" s="1138">
        <f t="shared" si="150"/>
        <v>0.14583333333333334</v>
      </c>
      <c r="I662" s="1009">
        <v>0.14791666666666667</v>
      </c>
      <c r="J662" s="1010">
        <f t="shared" si="151"/>
        <v>51</v>
      </c>
      <c r="K662" s="1011"/>
      <c r="L662" s="1012">
        <v>5</v>
      </c>
      <c r="M662" s="1013"/>
      <c r="N662" s="1014" t="str">
        <f t="shared" si="152"/>
        <v/>
      </c>
      <c r="O662" s="1323" t="s">
        <v>978</v>
      </c>
      <c r="P662" s="1324"/>
      <c r="Q662" s="1324"/>
      <c r="R662" s="1324"/>
      <c r="S662" s="1324"/>
      <c r="T662" s="1325"/>
      <c r="U662" s="1015">
        <v>1.8</v>
      </c>
      <c r="V662" s="1015"/>
      <c r="W662" s="1015"/>
      <c r="X662" s="1015"/>
      <c r="Y662" s="1015"/>
      <c r="Z662" s="1016">
        <f>'09월 에너지'!S664</f>
        <v>146</v>
      </c>
      <c r="AA662" s="1017"/>
      <c r="AB662" s="1208"/>
      <c r="AC662" s="1208"/>
      <c r="AD662" s="1208"/>
      <c r="AE662" s="1208"/>
      <c r="AF662" s="1208"/>
      <c r="AG662" s="1018">
        <f>'09월 화학성분'!AM662</f>
        <v>2609</v>
      </c>
      <c r="AH662" s="1006">
        <f t="shared" si="141"/>
        <v>20</v>
      </c>
      <c r="AI662" s="1019">
        <v>1556</v>
      </c>
      <c r="AJ662" s="1020">
        <v>25</v>
      </c>
      <c r="AK662" s="1021" t="s">
        <v>563</v>
      </c>
      <c r="AL662" s="1022" t="s">
        <v>563</v>
      </c>
      <c r="AM662" s="1155">
        <f>IF(AT662="","",3*'09월 에너지'!S664*(1/(3+7.8*(100-AT662)/AT662)))</f>
        <v>1.3678950655840101</v>
      </c>
      <c r="AN662" s="1023">
        <v>0.1388888888888889</v>
      </c>
      <c r="AO662" s="1024"/>
      <c r="AP662" s="1025"/>
      <c r="AQ662" s="1025"/>
      <c r="AR662" s="1149" t="str">
        <f t="shared" si="142"/>
        <v/>
      </c>
      <c r="AS662" s="1093">
        <f t="shared" si="153"/>
        <v>3</v>
      </c>
      <c r="AT662" s="1156">
        <v>2.4</v>
      </c>
      <c r="AU662" s="449"/>
      <c r="AV662" s="1205"/>
    </row>
    <row r="663" spans="1:48" ht="16.5" customHeight="1">
      <c r="A663" s="1005">
        <f t="shared" si="143"/>
        <v>46290</v>
      </c>
      <c r="B663" s="1005">
        <f t="shared" si="144"/>
        <v>46289</v>
      </c>
      <c r="C663" s="1150">
        <f t="shared" si="145"/>
        <v>2</v>
      </c>
      <c r="D663" s="1150">
        <f t="shared" si="146"/>
        <v>652</v>
      </c>
      <c r="E663" s="1006" t="str">
        <f t="shared" si="147"/>
        <v>A</v>
      </c>
      <c r="F663" s="1007" t="str">
        <f t="shared" si="148"/>
        <v>A</v>
      </c>
      <c r="G663" s="1008">
        <f t="shared" si="149"/>
        <v>85865</v>
      </c>
      <c r="H663" s="1138">
        <f t="shared" si="150"/>
        <v>0.18124999999999999</v>
      </c>
      <c r="I663" s="1009">
        <v>0.17708333333333334</v>
      </c>
      <c r="J663" s="1010">
        <f t="shared" si="151"/>
        <v>42.000000000000014</v>
      </c>
      <c r="K663" s="1011"/>
      <c r="L663" s="1012"/>
      <c r="M663" s="1013"/>
      <c r="N663" s="1014" t="str">
        <f t="shared" si="152"/>
        <v/>
      </c>
      <c r="O663" s="1338" t="s">
        <v>979</v>
      </c>
      <c r="P663" s="1339"/>
      <c r="Q663" s="1339"/>
      <c r="R663" s="1339"/>
      <c r="S663" s="1339"/>
      <c r="T663" s="1340"/>
      <c r="U663" s="1015">
        <v>1.8</v>
      </c>
      <c r="V663" s="1015"/>
      <c r="W663" s="1015"/>
      <c r="X663" s="1015">
        <v>3.3</v>
      </c>
      <c r="Y663" s="1015"/>
      <c r="Z663" s="1016">
        <f>'09월 에너지'!S665</f>
        <v>143.30000000000001</v>
      </c>
      <c r="AA663" s="1017"/>
      <c r="AB663" s="1208"/>
      <c r="AC663" s="1208"/>
      <c r="AD663" s="1208"/>
      <c r="AE663" s="1208"/>
      <c r="AF663" s="1208"/>
      <c r="AG663" s="1018">
        <f>'09월 화학성분'!AM663</f>
        <v>2392</v>
      </c>
      <c r="AH663" s="1006">
        <f t="shared" si="141"/>
        <v>21</v>
      </c>
      <c r="AI663" s="1019">
        <v>1584</v>
      </c>
      <c r="AJ663" s="1020">
        <v>0</v>
      </c>
      <c r="AK663" s="1021">
        <v>516</v>
      </c>
      <c r="AL663" s="1022">
        <v>8</v>
      </c>
      <c r="AM663" s="1155">
        <f>IF(AT663="","",3*'09월 에너지'!S665*(1/(3+7.8*(100-AT663)/AT663)))</f>
        <v>0.6663050216986981</v>
      </c>
      <c r="AN663" s="1023">
        <v>0.16111111111111112</v>
      </c>
      <c r="AO663" s="1024"/>
      <c r="AP663" s="1025"/>
      <c r="AQ663" s="1025"/>
      <c r="AR663" s="1149">
        <f t="shared" si="142"/>
        <v>12</v>
      </c>
      <c r="AS663" s="1093" t="str">
        <f t="shared" si="153"/>
        <v xml:space="preserve"> </v>
      </c>
      <c r="AT663" s="1156">
        <v>1.2</v>
      </c>
      <c r="AU663" s="449"/>
      <c r="AV663" s="1205"/>
    </row>
    <row r="664" spans="1:48" ht="17.25" customHeight="1">
      <c r="A664" s="1005">
        <f t="shared" si="143"/>
        <v>46290</v>
      </c>
      <c r="B664" s="1005">
        <f t="shared" si="144"/>
        <v>46289</v>
      </c>
      <c r="C664" s="1150">
        <f t="shared" si="145"/>
        <v>3</v>
      </c>
      <c r="D664" s="1150">
        <f t="shared" si="146"/>
        <v>653</v>
      </c>
      <c r="E664" s="1006" t="str">
        <f t="shared" si="147"/>
        <v>A</v>
      </c>
      <c r="F664" s="1007" t="str">
        <f t="shared" si="148"/>
        <v>B</v>
      </c>
      <c r="G664" s="1008">
        <f t="shared" si="149"/>
        <v>85866</v>
      </c>
      <c r="H664" s="1138">
        <f t="shared" si="150"/>
        <v>0.21041666666666667</v>
      </c>
      <c r="I664" s="1009">
        <v>0.21527777777777779</v>
      </c>
      <c r="J664" s="1010">
        <f t="shared" si="151"/>
        <v>55.000000000000007</v>
      </c>
      <c r="K664" s="1011"/>
      <c r="L664" s="1012">
        <v>3</v>
      </c>
      <c r="M664" s="1013"/>
      <c r="N664" s="1014" t="str">
        <f t="shared" si="152"/>
        <v/>
      </c>
      <c r="O664" s="1323" t="s">
        <v>980</v>
      </c>
      <c r="P664" s="1324"/>
      <c r="Q664" s="1324"/>
      <c r="R664" s="1324"/>
      <c r="S664" s="1324"/>
      <c r="T664" s="1325"/>
      <c r="U664" s="1015">
        <v>1.8</v>
      </c>
      <c r="V664" s="1015"/>
      <c r="W664" s="1015"/>
      <c r="X664" s="1015">
        <v>3</v>
      </c>
      <c r="Y664" s="1015"/>
      <c r="Z664" s="1016">
        <f>'09월 에너지'!S666</f>
        <v>143.6</v>
      </c>
      <c r="AA664" s="1017"/>
      <c r="AB664" s="1208"/>
      <c r="AC664" s="1208"/>
      <c r="AD664" s="1208"/>
      <c r="AE664" s="1208"/>
      <c r="AF664" s="1208"/>
      <c r="AG664" s="1018">
        <f>'09월 화학성분'!AM664</f>
        <v>2983</v>
      </c>
      <c r="AH664" s="1006">
        <f t="shared" si="141"/>
        <v>22</v>
      </c>
      <c r="AI664" s="1019">
        <v>1590</v>
      </c>
      <c r="AJ664" s="1020">
        <v>0</v>
      </c>
      <c r="AK664" s="1021">
        <v>517</v>
      </c>
      <c r="AL664" s="1022">
        <v>8</v>
      </c>
      <c r="AM664" s="1155">
        <f>IF(AT664="","",3*'09월 에너지'!S666*(1/(3+7.8*(100-AT664)/AT664)))</f>
        <v>1.0052893590541381</v>
      </c>
      <c r="AN664" s="1023">
        <v>0.14305555555555557</v>
      </c>
      <c r="AO664" s="1024"/>
      <c r="AP664" s="1025"/>
      <c r="AQ664" s="1025"/>
      <c r="AR664" s="1149" t="str">
        <f t="shared" si="142"/>
        <v/>
      </c>
      <c r="AS664" s="1093">
        <f t="shared" si="153"/>
        <v>4</v>
      </c>
      <c r="AT664" s="1156">
        <v>1.8</v>
      </c>
      <c r="AU664" s="449"/>
      <c r="AV664" s="1205"/>
    </row>
    <row r="665" spans="1:48" ht="16.5" customHeight="1">
      <c r="A665" s="1005">
        <f t="shared" si="143"/>
        <v>46290</v>
      </c>
      <c r="B665" s="1005">
        <f t="shared" si="144"/>
        <v>46289</v>
      </c>
      <c r="C665" s="1150">
        <f t="shared" si="145"/>
        <v>4</v>
      </c>
      <c r="D665" s="1150">
        <f t="shared" si="146"/>
        <v>654</v>
      </c>
      <c r="E665" s="1006" t="str">
        <f t="shared" si="147"/>
        <v>A</v>
      </c>
      <c r="F665" s="1007" t="str">
        <f t="shared" si="148"/>
        <v>A</v>
      </c>
      <c r="G665" s="1008">
        <f t="shared" si="149"/>
        <v>85867</v>
      </c>
      <c r="H665" s="1138">
        <f t="shared" si="150"/>
        <v>0.24861111111111112</v>
      </c>
      <c r="I665" s="1009">
        <v>0.24722222222222223</v>
      </c>
      <c r="J665" s="1010">
        <f t="shared" si="151"/>
        <v>46</v>
      </c>
      <c r="K665" s="1011"/>
      <c r="L665" s="1012"/>
      <c r="M665" s="1013"/>
      <c r="N665" s="1014" t="str">
        <f t="shared" si="152"/>
        <v/>
      </c>
      <c r="O665" s="1323" t="s">
        <v>981</v>
      </c>
      <c r="P665" s="1324"/>
      <c r="Q665" s="1324"/>
      <c r="R665" s="1324"/>
      <c r="S665" s="1324"/>
      <c r="T665" s="1325"/>
      <c r="U665" s="1015">
        <v>1.8</v>
      </c>
      <c r="V665" s="1015"/>
      <c r="W665" s="1015"/>
      <c r="X665" s="1015"/>
      <c r="Y665" s="1015">
        <v>2.5</v>
      </c>
      <c r="Z665" s="1016">
        <f>'09월 에너지'!S667</f>
        <v>143.4</v>
      </c>
      <c r="AA665" s="1017"/>
      <c r="AB665" s="1208"/>
      <c r="AC665" s="1208"/>
      <c r="AD665" s="1208"/>
      <c r="AE665" s="1208"/>
      <c r="AF665" s="1208"/>
      <c r="AG665" s="1018">
        <f>'09월 화학성분'!AM665</f>
        <v>2591</v>
      </c>
      <c r="AH665" s="1006">
        <f t="shared" si="141"/>
        <v>23</v>
      </c>
      <c r="AI665" s="1019">
        <v>1576</v>
      </c>
      <c r="AJ665" s="1020">
        <v>0</v>
      </c>
      <c r="AK665" s="1021">
        <v>345</v>
      </c>
      <c r="AL665" s="1022">
        <v>13</v>
      </c>
      <c r="AM665" s="1155">
        <f>IF(AT665="","",3*'09월 에너지'!S667*(1/(3+7.8*(100-AT665)/AT665)))</f>
        <v>1.2867509363295879</v>
      </c>
      <c r="AN665" s="1023">
        <v>0.14930555555555555</v>
      </c>
      <c r="AO665" s="1024"/>
      <c r="AP665" s="1025"/>
      <c r="AQ665" s="1025"/>
      <c r="AR665" s="1149">
        <f t="shared" si="142"/>
        <v>13</v>
      </c>
      <c r="AS665" s="1093" t="str">
        <f t="shared" si="153"/>
        <v xml:space="preserve"> </v>
      </c>
      <c r="AT665" s="1156">
        <v>2.2999999999999998</v>
      </c>
      <c r="AU665" s="449"/>
      <c r="AV665" s="1205"/>
    </row>
    <row r="666" spans="1:48" ht="16.5" customHeight="1">
      <c r="A666" s="1005">
        <f t="shared" si="143"/>
        <v>46290</v>
      </c>
      <c r="B666" s="1005">
        <v>46290</v>
      </c>
      <c r="C666" s="1150">
        <f t="shared" si="145"/>
        <v>5</v>
      </c>
      <c r="D666" s="1150">
        <f t="shared" si="146"/>
        <v>655</v>
      </c>
      <c r="E666" s="1006" t="s">
        <v>983</v>
      </c>
      <c r="F666" s="1007" t="str">
        <f t="shared" si="148"/>
        <v>B</v>
      </c>
      <c r="G666" s="1008">
        <f t="shared" si="149"/>
        <v>85868</v>
      </c>
      <c r="H666" s="1138">
        <f t="shared" si="150"/>
        <v>0.28055555555555556</v>
      </c>
      <c r="I666" s="1009">
        <v>0.28194444444444444</v>
      </c>
      <c r="J666" s="1010">
        <f t="shared" si="151"/>
        <v>49.999999999999986</v>
      </c>
      <c r="K666" s="1011"/>
      <c r="L666" s="1012"/>
      <c r="M666" s="1013"/>
      <c r="N666" s="1014" t="str">
        <f t="shared" si="152"/>
        <v/>
      </c>
      <c r="O666" s="1338" t="s">
        <v>982</v>
      </c>
      <c r="P666" s="1339"/>
      <c r="Q666" s="1339"/>
      <c r="R666" s="1339"/>
      <c r="S666" s="1339"/>
      <c r="T666" s="1340"/>
      <c r="U666" s="1015">
        <v>1.8</v>
      </c>
      <c r="V666" s="1015"/>
      <c r="W666" s="1015"/>
      <c r="X666" s="1015"/>
      <c r="Y666" s="1015"/>
      <c r="Z666" s="1016">
        <f>'09월 에너지'!S668</f>
        <v>144.30000000000001</v>
      </c>
      <c r="AA666" s="1017">
        <v>2485</v>
      </c>
      <c r="AB666" s="1208" t="s">
        <v>573</v>
      </c>
      <c r="AC666" s="1208" t="s">
        <v>733</v>
      </c>
      <c r="AD666" s="1208"/>
      <c r="AE666" s="1208"/>
      <c r="AF666" s="1208" t="s">
        <v>548</v>
      </c>
      <c r="AG666" s="1018">
        <f>'09월 화학성분'!AM666</f>
        <v>2184</v>
      </c>
      <c r="AH666" s="1006">
        <f t="shared" si="141"/>
        <v>24</v>
      </c>
      <c r="AI666" s="1019">
        <v>1559</v>
      </c>
      <c r="AJ666" s="1020">
        <v>0</v>
      </c>
      <c r="AK666" s="1021">
        <v>402</v>
      </c>
      <c r="AL666" s="1022">
        <v>10</v>
      </c>
      <c r="AM666" s="1155">
        <f>IF(AT666="","",3*'09월 에너지'!S668*(1/(3+7.8*(100-AT666)/AT666)))</f>
        <v>2.2177254098360661</v>
      </c>
      <c r="AN666" s="1023">
        <v>0.13263888888888889</v>
      </c>
      <c r="AO666" s="1024"/>
      <c r="AP666" s="1025"/>
      <c r="AQ666" s="1025"/>
      <c r="AR666" s="1149" t="str">
        <f t="shared" si="142"/>
        <v/>
      </c>
      <c r="AS666" s="1093">
        <f t="shared" si="153"/>
        <v>5</v>
      </c>
      <c r="AT666" s="1156">
        <v>3.9</v>
      </c>
      <c r="AU666" s="449"/>
      <c r="AV666" s="1205"/>
    </row>
    <row r="667" spans="1:48" ht="16.5" customHeight="1">
      <c r="A667" s="1005">
        <f t="shared" si="143"/>
        <v>46290</v>
      </c>
      <c r="B667" s="1005">
        <f t="shared" si="144"/>
        <v>46290</v>
      </c>
      <c r="C667" s="1150">
        <f t="shared" si="145"/>
        <v>6</v>
      </c>
      <c r="D667" s="1150">
        <f t="shared" si="146"/>
        <v>656</v>
      </c>
      <c r="E667" s="1006" t="str">
        <f t="shared" si="147"/>
        <v>B</v>
      </c>
      <c r="F667" s="1007" t="str">
        <f t="shared" si="148"/>
        <v>A</v>
      </c>
      <c r="G667" s="1008">
        <f t="shared" si="149"/>
        <v>85869</v>
      </c>
      <c r="H667" s="1138">
        <f t="shared" si="150"/>
        <v>0.31527777777777777</v>
      </c>
      <c r="I667" s="1009">
        <v>0.31319444444444444</v>
      </c>
      <c r="J667" s="1010">
        <f t="shared" si="151"/>
        <v>45</v>
      </c>
      <c r="K667" s="1011"/>
      <c r="L667" s="1012"/>
      <c r="M667" s="1013"/>
      <c r="N667" s="1014" t="str">
        <f t="shared" si="152"/>
        <v/>
      </c>
      <c r="O667" s="1323"/>
      <c r="P667" s="1324"/>
      <c r="Q667" s="1324"/>
      <c r="R667" s="1324"/>
      <c r="S667" s="1324"/>
      <c r="T667" s="1325"/>
      <c r="U667" s="1015">
        <v>1.8</v>
      </c>
      <c r="V667" s="1015"/>
      <c r="W667" s="1015"/>
      <c r="X667" s="1015"/>
      <c r="Y667" s="1015">
        <v>2.2999999999999998</v>
      </c>
      <c r="Z667" s="1016">
        <f>'09월 에너지'!S669</f>
        <v>142.9</v>
      </c>
      <c r="AA667" s="1017"/>
      <c r="AB667" s="1208"/>
      <c r="AC667" s="1208"/>
      <c r="AD667" s="1208"/>
      <c r="AE667" s="1208"/>
      <c r="AF667" s="1208"/>
      <c r="AG667" s="1018">
        <f>'09월 화학성분'!AM667</f>
        <v>1615</v>
      </c>
      <c r="AH667" s="1006">
        <f t="shared" si="141"/>
        <v>25</v>
      </c>
      <c r="AI667" s="1019">
        <v>1598</v>
      </c>
      <c r="AJ667" s="1020">
        <v>0</v>
      </c>
      <c r="AK667" s="1021">
        <v>431</v>
      </c>
      <c r="AL667" s="1022">
        <v>10</v>
      </c>
      <c r="AM667" s="1155">
        <f>IF(AT667="","",3*'09월 에너지'!S669*(1/(3+7.8*(100-AT667)/AT667)))</f>
        <v>1.6228461779448624</v>
      </c>
      <c r="AN667" s="1023">
        <v>0.15208333333333332</v>
      </c>
      <c r="AO667" s="1024"/>
      <c r="AP667" s="1025"/>
      <c r="AQ667" s="1025"/>
      <c r="AR667" s="1149">
        <f t="shared" si="142"/>
        <v>14</v>
      </c>
      <c r="AS667" s="1093" t="str">
        <f t="shared" si="153"/>
        <v xml:space="preserve"> </v>
      </c>
      <c r="AT667" s="1156">
        <v>2.9</v>
      </c>
      <c r="AU667" s="449"/>
      <c r="AV667" s="1205"/>
    </row>
    <row r="668" spans="1:48" ht="16.5" customHeight="1">
      <c r="A668" s="1005">
        <f t="shared" si="143"/>
        <v>46290</v>
      </c>
      <c r="B668" s="1005">
        <f t="shared" si="144"/>
        <v>46290</v>
      </c>
      <c r="C668" s="1150">
        <f t="shared" si="145"/>
        <v>7</v>
      </c>
      <c r="D668" s="1150">
        <f t="shared" si="146"/>
        <v>657</v>
      </c>
      <c r="E668" s="1006" t="str">
        <f t="shared" si="147"/>
        <v>B</v>
      </c>
      <c r="F668" s="1007" t="str">
        <f t="shared" si="148"/>
        <v>B</v>
      </c>
      <c r="G668" s="1008">
        <f t="shared" si="149"/>
        <v>85870</v>
      </c>
      <c r="H668" s="1138">
        <f t="shared" si="150"/>
        <v>0.34652777777777777</v>
      </c>
      <c r="I668" s="1009">
        <v>0.34375</v>
      </c>
      <c r="J668" s="1010">
        <f t="shared" si="151"/>
        <v>44</v>
      </c>
      <c r="K668" s="1011"/>
      <c r="L668" s="1012"/>
      <c r="M668" s="1013"/>
      <c r="N668" s="1014" t="str">
        <f t="shared" si="152"/>
        <v/>
      </c>
      <c r="O668" s="1323"/>
      <c r="P668" s="1324"/>
      <c r="Q668" s="1324"/>
      <c r="R668" s="1324"/>
      <c r="S668" s="1324"/>
      <c r="T668" s="1325"/>
      <c r="U668" s="1015">
        <v>1.8</v>
      </c>
      <c r="V668" s="1015"/>
      <c r="W668" s="1015"/>
      <c r="X668" s="1015"/>
      <c r="Y668" s="1015"/>
      <c r="Z668" s="1016">
        <f>'09월 에너지'!S670</f>
        <v>142.5</v>
      </c>
      <c r="AA668" s="1017"/>
      <c r="AB668" s="1208"/>
      <c r="AC668" s="1208"/>
      <c r="AD668" s="1208"/>
      <c r="AE668" s="1208"/>
      <c r="AF668" s="1208"/>
      <c r="AG668" s="1018">
        <f>'09월 화학성분'!AM668</f>
        <v>1516</v>
      </c>
      <c r="AH668" s="1006">
        <f t="shared" si="141"/>
        <v>26</v>
      </c>
      <c r="AI668" s="1019">
        <v>1607</v>
      </c>
      <c r="AJ668" s="1020">
        <v>0</v>
      </c>
      <c r="AK668" s="1021">
        <v>556</v>
      </c>
      <c r="AL668" s="1022">
        <v>7</v>
      </c>
      <c r="AM668" s="1155">
        <f>IF(AT668="","",3*'09월 에너지'!S670*(1/(3+7.8*(100-AT668)/AT668)))</f>
        <v>1.7320812421580929</v>
      </c>
      <c r="AN668" s="1023">
        <v>0.13194444444444445</v>
      </c>
      <c r="AO668" s="1024"/>
      <c r="AP668" s="1025"/>
      <c r="AQ668" s="1025"/>
      <c r="AR668" s="1149" t="str">
        <f t="shared" si="142"/>
        <v/>
      </c>
      <c r="AS668" s="1093">
        <f t="shared" si="153"/>
        <v>6</v>
      </c>
      <c r="AT668" s="1156">
        <v>3.1</v>
      </c>
      <c r="AU668" s="449"/>
      <c r="AV668" s="1205"/>
    </row>
    <row r="669" spans="1:48" ht="18" customHeight="1">
      <c r="A669" s="1005">
        <f t="shared" si="143"/>
        <v>46290</v>
      </c>
      <c r="B669" s="1005">
        <f t="shared" si="144"/>
        <v>46290</v>
      </c>
      <c r="C669" s="1150">
        <f t="shared" si="145"/>
        <v>8</v>
      </c>
      <c r="D669" s="1150">
        <f t="shared" si="146"/>
        <v>658</v>
      </c>
      <c r="E669" s="1006" t="str">
        <f t="shared" si="147"/>
        <v>B</v>
      </c>
      <c r="F669" s="1007" t="str">
        <f t="shared" si="148"/>
        <v>A</v>
      </c>
      <c r="G669" s="1008">
        <f t="shared" si="149"/>
        <v>85871</v>
      </c>
      <c r="H669" s="1138">
        <f t="shared" si="150"/>
        <v>0.37708333333333333</v>
      </c>
      <c r="I669" s="1009">
        <v>0.37638888888888888</v>
      </c>
      <c r="J669" s="1010">
        <f t="shared" si="151"/>
        <v>46.999999999999993</v>
      </c>
      <c r="K669" s="1011"/>
      <c r="L669" s="1012"/>
      <c r="M669" s="1013"/>
      <c r="N669" s="1014" t="str">
        <f t="shared" si="152"/>
        <v/>
      </c>
      <c r="O669" s="1323"/>
      <c r="P669" s="1324"/>
      <c r="Q669" s="1324"/>
      <c r="R669" s="1324"/>
      <c r="S669" s="1324"/>
      <c r="T669" s="1325"/>
      <c r="U669" s="1015">
        <v>1.8</v>
      </c>
      <c r="V669" s="1015">
        <v>2.6</v>
      </c>
      <c r="W669" s="1015">
        <v>1.7</v>
      </c>
      <c r="X669" s="1015"/>
      <c r="Y669" s="1015"/>
      <c r="Z669" s="1016">
        <f>'09월 에너지'!S671</f>
        <v>145.1</v>
      </c>
      <c r="AA669" s="1017"/>
      <c r="AB669" s="1208"/>
      <c r="AC669" s="1208"/>
      <c r="AD669" s="1208"/>
      <c r="AE669" s="1208"/>
      <c r="AF669" s="1208"/>
      <c r="AG669" s="1018">
        <f>'09월 화학성분'!AM669</f>
        <v>1840</v>
      </c>
      <c r="AH669" s="1006">
        <f t="shared" si="141"/>
        <v>27</v>
      </c>
      <c r="AI669" s="1019">
        <v>1591</v>
      </c>
      <c r="AJ669" s="1020">
        <v>0</v>
      </c>
      <c r="AK669" s="1021">
        <v>718</v>
      </c>
      <c r="AL669" s="1022">
        <v>5</v>
      </c>
      <c r="AM669" s="1155">
        <f>IF(AT669="","",3*'09월 에너지'!S671*(1/(3+7.8*(100-AT669)/AT669)))</f>
        <v>2.5828718354430378</v>
      </c>
      <c r="AN669" s="1023">
        <v>0.13263888888888889</v>
      </c>
      <c r="AO669" s="1024"/>
      <c r="AP669" s="1025"/>
      <c r="AQ669" s="1025"/>
      <c r="AR669" s="1149">
        <f t="shared" si="142"/>
        <v>15</v>
      </c>
      <c r="AS669" s="1093" t="str">
        <f t="shared" si="153"/>
        <v xml:space="preserve"> </v>
      </c>
      <c r="AT669" s="1156">
        <v>4.5</v>
      </c>
      <c r="AU669" s="449"/>
      <c r="AV669" s="1205"/>
    </row>
    <row r="670" spans="1:48" ht="16.5" customHeight="1">
      <c r="A670" s="1005">
        <f t="shared" si="143"/>
        <v>46290</v>
      </c>
      <c r="B670" s="1005">
        <f t="shared" si="144"/>
        <v>46290</v>
      </c>
      <c r="C670" s="1150">
        <f t="shared" si="145"/>
        <v>9</v>
      </c>
      <c r="D670" s="1150">
        <f t="shared" si="146"/>
        <v>659</v>
      </c>
      <c r="E670" s="1006" t="str">
        <f t="shared" si="147"/>
        <v>B</v>
      </c>
      <c r="F670" s="1007" t="str">
        <f t="shared" si="148"/>
        <v>B</v>
      </c>
      <c r="G670" s="1008">
        <f t="shared" si="149"/>
        <v>85872</v>
      </c>
      <c r="H670" s="1138">
        <f t="shared" si="150"/>
        <v>0.40972222222222221</v>
      </c>
      <c r="I670" s="1009">
        <v>0.40972222222222227</v>
      </c>
      <c r="J670" s="1010">
        <f t="shared" si="151"/>
        <v>48.000000000000071</v>
      </c>
      <c r="K670" s="1011">
        <v>2</v>
      </c>
      <c r="L670" s="1012"/>
      <c r="M670" s="1013">
        <v>0.38819444444444445</v>
      </c>
      <c r="N670" s="1014">
        <f t="shared" si="152"/>
        <v>0.38958333333333334</v>
      </c>
      <c r="O670" s="1323" t="s">
        <v>984</v>
      </c>
      <c r="P670" s="1324"/>
      <c r="Q670" s="1324"/>
      <c r="R670" s="1324"/>
      <c r="S670" s="1324"/>
      <c r="T670" s="1325"/>
      <c r="U670" s="1015">
        <v>1.8</v>
      </c>
      <c r="V670" s="1015">
        <v>2.8</v>
      </c>
      <c r="W670" s="1015">
        <v>1.4</v>
      </c>
      <c r="X670" s="1015"/>
      <c r="Y670" s="1015"/>
      <c r="Z670" s="1016">
        <f>'09월 에너지'!S672</f>
        <v>141.19999999999999</v>
      </c>
      <c r="AA670" s="1017"/>
      <c r="AB670" s="1208"/>
      <c r="AC670" s="1208"/>
      <c r="AD670" s="1208"/>
      <c r="AE670" s="1208"/>
      <c r="AF670" s="1208"/>
      <c r="AG670" s="1018">
        <f>'09월 화학성분'!AM670</f>
        <v>1716</v>
      </c>
      <c r="AH670" s="1006">
        <f t="shared" si="141"/>
        <v>28</v>
      </c>
      <c r="AI670" s="1019">
        <v>1586</v>
      </c>
      <c r="AJ670" s="1020">
        <v>0</v>
      </c>
      <c r="AK670" s="1021">
        <v>406</v>
      </c>
      <c r="AL670" s="1022">
        <v>11</v>
      </c>
      <c r="AM670" s="1155">
        <f>IF(AT670="","",3*'09월 에너지'!S672*(1/(3+7.8*(100-AT670)/AT670)))</f>
        <v>1.8859208045254556</v>
      </c>
      <c r="AN670" s="1023">
        <v>0.13333333333333333</v>
      </c>
      <c r="AO670" s="1024"/>
      <c r="AP670" s="1025"/>
      <c r="AQ670" s="1025"/>
      <c r="AR670" s="1149" t="str">
        <f t="shared" si="142"/>
        <v/>
      </c>
      <c r="AS670" s="1093">
        <f t="shared" si="153"/>
        <v>7</v>
      </c>
      <c r="AT670" s="1156">
        <v>3.4</v>
      </c>
      <c r="AU670" s="449"/>
      <c r="AV670" s="1205"/>
    </row>
    <row r="671" spans="1:48" ht="16.5" customHeight="1">
      <c r="A671" s="1005">
        <f t="shared" si="143"/>
        <v>46290</v>
      </c>
      <c r="B671" s="1005">
        <f t="shared" si="144"/>
        <v>46290</v>
      </c>
      <c r="C671" s="1150">
        <f t="shared" si="145"/>
        <v>10</v>
      </c>
      <c r="D671" s="1150">
        <f t="shared" si="146"/>
        <v>660</v>
      </c>
      <c r="E671" s="1006" t="str">
        <f t="shared" si="147"/>
        <v>B</v>
      </c>
      <c r="F671" s="1007" t="str">
        <f t="shared" si="148"/>
        <v>A</v>
      </c>
      <c r="G671" s="1008">
        <f t="shared" si="149"/>
        <v>85873</v>
      </c>
      <c r="H671" s="1138">
        <f t="shared" si="150"/>
        <v>0.44305555555555559</v>
      </c>
      <c r="I671" s="1009">
        <v>0.44305555555555554</v>
      </c>
      <c r="J671" s="1010">
        <f t="shared" si="151"/>
        <v>47.999999999999908</v>
      </c>
      <c r="K671" s="1011"/>
      <c r="L671" s="1012"/>
      <c r="M671" s="1013"/>
      <c r="N671" s="1014" t="str">
        <f t="shared" si="152"/>
        <v/>
      </c>
      <c r="O671" s="1323" t="s">
        <v>901</v>
      </c>
      <c r="P671" s="1324"/>
      <c r="Q671" s="1324"/>
      <c r="R671" s="1324"/>
      <c r="S671" s="1324"/>
      <c r="T671" s="1325"/>
      <c r="U671" s="1015">
        <v>1.8</v>
      </c>
      <c r="V671" s="1015"/>
      <c r="W671" s="1015"/>
      <c r="X671" s="1015"/>
      <c r="Y671" s="1015">
        <v>2.6</v>
      </c>
      <c r="Z671" s="1016">
        <f>'09월 에너지'!S673</f>
        <v>145</v>
      </c>
      <c r="AA671" s="1017">
        <v>2301</v>
      </c>
      <c r="AB671" s="1208" t="s">
        <v>573</v>
      </c>
      <c r="AC671" s="1208" t="s">
        <v>733</v>
      </c>
      <c r="AD671" s="1208"/>
      <c r="AE671" s="1208"/>
      <c r="AF671" s="1208" t="s">
        <v>548</v>
      </c>
      <c r="AG671" s="1018">
        <f>'09월 화학성분'!AM671</f>
        <v>2168</v>
      </c>
      <c r="AH671" s="1006">
        <f t="shared" si="141"/>
        <v>29</v>
      </c>
      <c r="AI671" s="1019">
        <v>1571</v>
      </c>
      <c r="AJ671" s="1020">
        <v>0</v>
      </c>
      <c r="AK671" s="1021">
        <v>350</v>
      </c>
      <c r="AL671" s="1022">
        <v>13</v>
      </c>
      <c r="AM671" s="1155">
        <f>IF(AT671="","",3*'09월 에너지'!S673*(1/(3+7.8*(100-AT671)/AT671)))</f>
        <v>4.6925566343042071</v>
      </c>
      <c r="AN671" s="1023">
        <v>0.15</v>
      </c>
      <c r="AO671" s="1024" t="s">
        <v>538</v>
      </c>
      <c r="AP671" s="1025">
        <v>2000068</v>
      </c>
      <c r="AQ671" s="1025">
        <v>2124</v>
      </c>
      <c r="AR671" s="1149">
        <v>1</v>
      </c>
      <c r="AS671" s="1093" t="str">
        <f t="shared" si="153"/>
        <v xml:space="preserve"> </v>
      </c>
      <c r="AT671" s="1156">
        <v>8</v>
      </c>
      <c r="AU671" s="449"/>
      <c r="AV671" s="1205"/>
    </row>
    <row r="672" spans="1:48" ht="16.5" customHeight="1">
      <c r="A672" s="1005">
        <f t="shared" si="143"/>
        <v>46290</v>
      </c>
      <c r="B672" s="1005">
        <f t="shared" si="144"/>
        <v>46290</v>
      </c>
      <c r="C672" s="1150">
        <f t="shared" si="145"/>
        <v>11</v>
      </c>
      <c r="D672" s="1150">
        <f t="shared" si="146"/>
        <v>661</v>
      </c>
      <c r="E672" s="1006" t="str">
        <f t="shared" si="147"/>
        <v>B</v>
      </c>
      <c r="F672" s="1007" t="str">
        <f t="shared" si="148"/>
        <v>B</v>
      </c>
      <c r="G672" s="1008">
        <f t="shared" si="149"/>
        <v>85874</v>
      </c>
      <c r="H672" s="1138">
        <f t="shared" si="150"/>
        <v>0.47638888888888886</v>
      </c>
      <c r="I672" s="1009">
        <v>0.47500000000000003</v>
      </c>
      <c r="J672" s="1010">
        <f t="shared" si="151"/>
        <v>46.000000000000078</v>
      </c>
      <c r="K672" s="1011"/>
      <c r="L672" s="1012"/>
      <c r="M672" s="1013"/>
      <c r="N672" s="1014" t="str">
        <f t="shared" si="152"/>
        <v/>
      </c>
      <c r="O672" s="1323"/>
      <c r="P672" s="1324"/>
      <c r="Q672" s="1324"/>
      <c r="R672" s="1324"/>
      <c r="S672" s="1324"/>
      <c r="T672" s="1325"/>
      <c r="U672" s="1015">
        <v>1.8</v>
      </c>
      <c r="V672" s="1015"/>
      <c r="W672" s="1015"/>
      <c r="X672" s="1015"/>
      <c r="Y672" s="1015"/>
      <c r="Z672" s="1016">
        <f>'09월 에너지'!S674</f>
        <v>141</v>
      </c>
      <c r="AA672" s="1017"/>
      <c r="AB672" s="1208"/>
      <c r="AC672" s="1208"/>
      <c r="AD672" s="1208"/>
      <c r="AE672" s="1208"/>
      <c r="AF672" s="1208"/>
      <c r="AG672" s="1018">
        <f>'09월 화학성분'!AM672</f>
        <v>1567</v>
      </c>
      <c r="AH672" s="1006">
        <f t="shared" si="141"/>
        <v>30</v>
      </c>
      <c r="AI672" s="1019">
        <v>1595</v>
      </c>
      <c r="AJ672" s="1020">
        <v>0</v>
      </c>
      <c r="AK672" s="1021">
        <v>491</v>
      </c>
      <c r="AL672" s="1022">
        <v>9</v>
      </c>
      <c r="AM672" s="1155">
        <f>IF(AT672="","",3*'09월 에너지'!S674*(1/(3+7.8*(100-AT672)/AT672)))</f>
        <v>1.8267116834170853</v>
      </c>
      <c r="AN672" s="1023">
        <v>0.14027777777777778</v>
      </c>
      <c r="AO672" s="1024"/>
      <c r="AP672" s="1025"/>
      <c r="AQ672" s="1025"/>
      <c r="AR672" s="1149" t="str">
        <f t="shared" si="142"/>
        <v/>
      </c>
      <c r="AS672" s="1093">
        <f t="shared" si="153"/>
        <v>8</v>
      </c>
      <c r="AT672" s="1156">
        <v>3.3</v>
      </c>
      <c r="AU672" s="449"/>
      <c r="AV672" s="1205"/>
    </row>
    <row r="673" spans="1:48" ht="16.5" customHeight="1">
      <c r="A673" s="1005">
        <f t="shared" si="143"/>
        <v>46290</v>
      </c>
      <c r="B673" s="1005">
        <f t="shared" si="144"/>
        <v>46290</v>
      </c>
      <c r="C673" s="1150">
        <f t="shared" si="145"/>
        <v>12</v>
      </c>
      <c r="D673" s="1150">
        <f t="shared" si="146"/>
        <v>662</v>
      </c>
      <c r="E673" s="1006" t="str">
        <f t="shared" si="147"/>
        <v>B</v>
      </c>
      <c r="F673" s="1007" t="str">
        <f t="shared" si="148"/>
        <v>A</v>
      </c>
      <c r="G673" s="1008">
        <f t="shared" si="149"/>
        <v>85875</v>
      </c>
      <c r="H673" s="1138">
        <f t="shared" si="150"/>
        <v>0.50833333333333341</v>
      </c>
      <c r="I673" s="1009">
        <v>0.50763888888888886</v>
      </c>
      <c r="J673" s="1010">
        <f t="shared" si="151"/>
        <v>46.999999999999915</v>
      </c>
      <c r="K673" s="1011"/>
      <c r="L673" s="1012"/>
      <c r="M673" s="1013"/>
      <c r="N673" s="1014" t="str">
        <f t="shared" si="152"/>
        <v/>
      </c>
      <c r="O673" s="1323" t="s">
        <v>985</v>
      </c>
      <c r="P673" s="1324"/>
      <c r="Q673" s="1324"/>
      <c r="R673" s="1324"/>
      <c r="S673" s="1324"/>
      <c r="T673" s="1325"/>
      <c r="U673" s="1015">
        <v>1.8</v>
      </c>
      <c r="V673" s="1015">
        <v>2.8</v>
      </c>
      <c r="W673" s="1015">
        <v>1.4</v>
      </c>
      <c r="X673" s="1015"/>
      <c r="Y673" s="1015"/>
      <c r="Z673" s="1016">
        <f>'09월 에너지'!S675</f>
        <v>145.80000000000001</v>
      </c>
      <c r="AA673" s="1017"/>
      <c r="AB673" s="1208"/>
      <c r="AC673" s="1208"/>
      <c r="AD673" s="1208"/>
      <c r="AE673" s="1208"/>
      <c r="AF673" s="1208"/>
      <c r="AG673" s="1018">
        <f>'09월 화학성분'!AM673</f>
        <v>2264</v>
      </c>
      <c r="AH673" s="1006">
        <f t="shared" si="141"/>
        <v>31</v>
      </c>
      <c r="AI673" s="1019">
        <v>1573</v>
      </c>
      <c r="AJ673" s="1020">
        <v>0</v>
      </c>
      <c r="AK673" s="1021">
        <v>350</v>
      </c>
      <c r="AL673" s="1022">
        <v>13</v>
      </c>
      <c r="AM673" s="1155">
        <f>IF(AT673="","",3*'09월 에너지'!S675*(1/(3+7.8*(100-AT673)/AT673)))</f>
        <v>2.0058962264150946</v>
      </c>
      <c r="AN673" s="1023">
        <v>0.15625</v>
      </c>
      <c r="AO673" s="1024"/>
      <c r="AP673" s="1025"/>
      <c r="AQ673" s="1025"/>
      <c r="AR673" s="1149">
        <f t="shared" si="142"/>
        <v>2</v>
      </c>
      <c r="AS673" s="1093" t="str">
        <f t="shared" si="153"/>
        <v xml:space="preserve"> </v>
      </c>
      <c r="AT673" s="1156">
        <v>3.5</v>
      </c>
      <c r="AU673" s="449"/>
      <c r="AV673" s="1205"/>
    </row>
    <row r="674" spans="1:48" ht="16.5" customHeight="1">
      <c r="A674" s="1005">
        <f t="shared" si="143"/>
        <v>46290</v>
      </c>
      <c r="B674" s="1005">
        <f t="shared" si="144"/>
        <v>46290</v>
      </c>
      <c r="C674" s="1150">
        <f t="shared" si="145"/>
        <v>13</v>
      </c>
      <c r="D674" s="1150">
        <f t="shared" si="146"/>
        <v>663</v>
      </c>
      <c r="E674" s="1006" t="str">
        <f t="shared" si="147"/>
        <v>B</v>
      </c>
      <c r="F674" s="1007" t="str">
        <f t="shared" si="148"/>
        <v>B</v>
      </c>
      <c r="G674" s="1008">
        <f t="shared" si="149"/>
        <v>85876</v>
      </c>
      <c r="H674" s="1138">
        <f t="shared" si="150"/>
        <v>0.54097222222222219</v>
      </c>
      <c r="I674" s="1009">
        <v>0.53888888888888886</v>
      </c>
      <c r="J674" s="1010">
        <f t="shared" si="151"/>
        <v>45</v>
      </c>
      <c r="K674" s="1011"/>
      <c r="L674" s="1012"/>
      <c r="M674" s="1013"/>
      <c r="N674" s="1014" t="str">
        <f t="shared" si="152"/>
        <v/>
      </c>
      <c r="O674" s="1323"/>
      <c r="P674" s="1324"/>
      <c r="Q674" s="1324"/>
      <c r="R674" s="1324"/>
      <c r="S674" s="1324"/>
      <c r="T674" s="1325"/>
      <c r="U674" s="1015">
        <v>1.8</v>
      </c>
      <c r="V674" s="1015">
        <v>2.7</v>
      </c>
      <c r="W674" s="1015">
        <v>1.6</v>
      </c>
      <c r="X674" s="1015"/>
      <c r="Y674" s="1015"/>
      <c r="Z674" s="1016">
        <f>'09월 에너지'!S676</f>
        <v>140</v>
      </c>
      <c r="AA674" s="1017"/>
      <c r="AB674" s="1208"/>
      <c r="AC674" s="1208"/>
      <c r="AD674" s="1208"/>
      <c r="AE674" s="1208"/>
      <c r="AF674" s="1208"/>
      <c r="AG674" s="1018">
        <f>'09월 화학성분'!AM674</f>
        <v>1231</v>
      </c>
      <c r="AH674" s="1006">
        <f t="shared" si="141"/>
        <v>32</v>
      </c>
      <c r="AI674" s="1019">
        <v>1581</v>
      </c>
      <c r="AJ674" s="1020">
        <v>0</v>
      </c>
      <c r="AK674" s="1021">
        <v>607</v>
      </c>
      <c r="AL674" s="1022">
        <v>6</v>
      </c>
      <c r="AM674" s="1155">
        <f>IF(AT674="","",3*'09월 에너지'!S676*(1/(3+7.8*(100-AT674)/AT674)))</f>
        <v>0.81521739130434789</v>
      </c>
      <c r="AN674" s="1023">
        <v>0.2076388888888889</v>
      </c>
      <c r="AO674" s="1024"/>
      <c r="AP674" s="1025"/>
      <c r="AQ674" s="1025"/>
      <c r="AR674" s="1149" t="str">
        <f t="shared" si="142"/>
        <v/>
      </c>
      <c r="AS674" s="1093">
        <f t="shared" si="153"/>
        <v>9</v>
      </c>
      <c r="AT674" s="1156">
        <v>1.5</v>
      </c>
      <c r="AU674" s="449"/>
      <c r="AV674" s="1205"/>
    </row>
    <row r="675" spans="1:48" ht="16.5" customHeight="1">
      <c r="A675" s="1005">
        <f t="shared" si="143"/>
        <v>46290</v>
      </c>
      <c r="B675" s="1005">
        <f t="shared" si="144"/>
        <v>46290</v>
      </c>
      <c r="C675" s="1150">
        <f t="shared" si="145"/>
        <v>14</v>
      </c>
      <c r="D675" s="1150">
        <f t="shared" si="146"/>
        <v>664</v>
      </c>
      <c r="E675" s="1006" t="str">
        <f t="shared" si="147"/>
        <v>B</v>
      </c>
      <c r="F675" s="1007" t="str">
        <f t="shared" si="148"/>
        <v>A</v>
      </c>
      <c r="G675" s="1008">
        <f t="shared" si="149"/>
        <v>85877</v>
      </c>
      <c r="H675" s="1138">
        <f t="shared" si="150"/>
        <v>0.57222222222222219</v>
      </c>
      <c r="I675" s="1009">
        <v>0.57152777777777775</v>
      </c>
      <c r="J675" s="1010">
        <f t="shared" si="151"/>
        <v>46.999999999999993</v>
      </c>
      <c r="K675" s="1011"/>
      <c r="L675" s="1012"/>
      <c r="M675" s="1013"/>
      <c r="N675" s="1014" t="str">
        <f t="shared" si="152"/>
        <v/>
      </c>
      <c r="O675" s="1323"/>
      <c r="P675" s="1324"/>
      <c r="Q675" s="1324"/>
      <c r="R675" s="1324"/>
      <c r="S675" s="1324"/>
      <c r="T675" s="1325"/>
      <c r="U675" s="1015">
        <v>1.8</v>
      </c>
      <c r="V675" s="1015"/>
      <c r="W675" s="1015"/>
      <c r="X675" s="1015"/>
      <c r="Y675" s="1015">
        <v>2.8</v>
      </c>
      <c r="Z675" s="1016">
        <f>'09월 에너지'!S677</f>
        <v>140.6</v>
      </c>
      <c r="AA675" s="1017"/>
      <c r="AB675" s="1208"/>
      <c r="AC675" s="1208"/>
      <c r="AD675" s="1208"/>
      <c r="AE675" s="1208"/>
      <c r="AF675" s="1208"/>
      <c r="AG675" s="1018">
        <f>'09월 화학성분'!AM675</f>
        <v>2020</v>
      </c>
      <c r="AH675" s="1006">
        <f t="shared" si="141"/>
        <v>33</v>
      </c>
      <c r="AI675" s="1019">
        <v>1611</v>
      </c>
      <c r="AJ675" s="1020">
        <v>0</v>
      </c>
      <c r="AK675" s="1021">
        <v>703</v>
      </c>
      <c r="AL675" s="1022">
        <v>6</v>
      </c>
      <c r="AM675" s="1155">
        <f>IF(AT675="","",3*'09월 에너지'!S677*(1/(3+7.8*(100-AT675)/AT675)))</f>
        <v>0.65375077495350264</v>
      </c>
      <c r="AN675" s="1023">
        <v>0.15833333333333333</v>
      </c>
      <c r="AO675" s="1024"/>
      <c r="AP675" s="1025"/>
      <c r="AQ675" s="1025"/>
      <c r="AR675" s="1149">
        <f t="shared" si="142"/>
        <v>3</v>
      </c>
      <c r="AS675" s="1093" t="str">
        <f t="shared" si="153"/>
        <v xml:space="preserve"> </v>
      </c>
      <c r="AT675" s="1156">
        <v>1.2</v>
      </c>
      <c r="AU675" s="449"/>
      <c r="AV675" s="1205"/>
    </row>
    <row r="676" spans="1:48" ht="16.5" customHeight="1">
      <c r="A676" s="1005">
        <f t="shared" si="143"/>
        <v>46290</v>
      </c>
      <c r="B676" s="1005">
        <f t="shared" si="144"/>
        <v>46290</v>
      </c>
      <c r="C676" s="1150">
        <f t="shared" si="145"/>
        <v>15</v>
      </c>
      <c r="D676" s="1150">
        <f t="shared" si="146"/>
        <v>665</v>
      </c>
      <c r="E676" s="1006" t="str">
        <f t="shared" si="147"/>
        <v>B</v>
      </c>
      <c r="F676" s="1007" t="str">
        <f t="shared" si="148"/>
        <v>B</v>
      </c>
      <c r="G676" s="1008">
        <f t="shared" si="149"/>
        <v>85878</v>
      </c>
      <c r="H676" s="1138">
        <f t="shared" si="150"/>
        <v>0.60486111111111107</v>
      </c>
      <c r="I676" s="1009">
        <v>0.61111111111111105</v>
      </c>
      <c r="J676" s="1010">
        <f t="shared" si="151"/>
        <v>56.999999999999957</v>
      </c>
      <c r="K676" s="1011"/>
      <c r="L676" s="1012">
        <v>5</v>
      </c>
      <c r="M676" s="1013"/>
      <c r="N676" s="1014" t="str">
        <f t="shared" si="152"/>
        <v/>
      </c>
      <c r="O676" s="1323" t="s">
        <v>986</v>
      </c>
      <c r="P676" s="1324"/>
      <c r="Q676" s="1324"/>
      <c r="R676" s="1324"/>
      <c r="S676" s="1324"/>
      <c r="T676" s="1325"/>
      <c r="U676" s="1015">
        <v>1.8</v>
      </c>
      <c r="V676" s="1015"/>
      <c r="W676" s="1015"/>
      <c r="X676" s="1015"/>
      <c r="Y676" s="1015"/>
      <c r="Z676" s="1016">
        <f>'09월 에너지'!S678</f>
        <v>143.6</v>
      </c>
      <c r="AA676" s="1017">
        <v>1599</v>
      </c>
      <c r="AB676" s="1208" t="s">
        <v>573</v>
      </c>
      <c r="AC676" s="1208" t="s">
        <v>733</v>
      </c>
      <c r="AD676" s="1208"/>
      <c r="AE676" s="1208"/>
      <c r="AF676" s="1208" t="s">
        <v>548</v>
      </c>
      <c r="AG676" s="1018">
        <f>'09월 화학성분'!AM676</f>
        <v>1618</v>
      </c>
      <c r="AH676" s="1006">
        <f t="shared" si="141"/>
        <v>34</v>
      </c>
      <c r="AI676" s="1019">
        <v>1564</v>
      </c>
      <c r="AJ676" s="1020">
        <v>56</v>
      </c>
      <c r="AK676" s="1021">
        <v>630</v>
      </c>
      <c r="AL676" s="1022">
        <v>6</v>
      </c>
      <c r="AM676" s="1155">
        <f>IF(AT676="","",3*'09월 에너지'!S678*(1/(3+7.8*(100-AT676)/AT676)))</f>
        <v>1.2317529631940114</v>
      </c>
      <c r="AN676" s="1023">
        <v>0.13541666666666666</v>
      </c>
      <c r="AO676" s="1024"/>
      <c r="AP676" s="1025"/>
      <c r="AQ676" s="1025"/>
      <c r="AR676" s="1149" t="str">
        <f t="shared" si="142"/>
        <v/>
      </c>
      <c r="AS676" s="1093">
        <f t="shared" si="153"/>
        <v>10</v>
      </c>
      <c r="AT676" s="1156">
        <v>2.2000000000000002</v>
      </c>
      <c r="AU676" s="449"/>
      <c r="AV676" s="1205"/>
    </row>
    <row r="677" spans="1:48" ht="16.5" customHeight="1">
      <c r="A677" s="1005">
        <f t="shared" si="143"/>
        <v>46290</v>
      </c>
      <c r="B677" s="1005">
        <f t="shared" si="144"/>
        <v>46290</v>
      </c>
      <c r="C677" s="1150">
        <f t="shared" si="145"/>
        <v>16</v>
      </c>
      <c r="D677" s="1150">
        <f t="shared" si="146"/>
        <v>666</v>
      </c>
      <c r="E677" s="1006" t="s">
        <v>582</v>
      </c>
      <c r="F677" s="1007" t="str">
        <f t="shared" si="148"/>
        <v>A</v>
      </c>
      <c r="G677" s="1008">
        <f t="shared" si="149"/>
        <v>85879</v>
      </c>
      <c r="H677" s="1138">
        <f t="shared" si="150"/>
        <v>0.64444444444444438</v>
      </c>
      <c r="I677" s="1009">
        <v>0.63958333333333328</v>
      </c>
      <c r="J677" s="1010">
        <f t="shared" si="151"/>
        <v>41.000000000000014</v>
      </c>
      <c r="K677" s="1011"/>
      <c r="L677" s="1012"/>
      <c r="M677" s="1013"/>
      <c r="N677" s="1014" t="str">
        <f t="shared" si="152"/>
        <v/>
      </c>
      <c r="O677" s="1323" t="s">
        <v>529</v>
      </c>
      <c r="P677" s="1324"/>
      <c r="Q677" s="1324"/>
      <c r="R677" s="1324"/>
      <c r="S677" s="1324"/>
      <c r="T677" s="1325"/>
      <c r="U677" s="1015">
        <v>1.8</v>
      </c>
      <c r="V677" s="1015"/>
      <c r="W677" s="1015"/>
      <c r="X677" s="1015">
        <v>2.8</v>
      </c>
      <c r="Y677" s="1015"/>
      <c r="Z677" s="1016">
        <f>'09월 에너지'!S679</f>
        <v>143.69999999999999</v>
      </c>
      <c r="AA677" s="1017"/>
      <c r="AB677" s="1208"/>
      <c r="AC677" s="1208"/>
      <c r="AD677" s="1208"/>
      <c r="AE677" s="1208"/>
      <c r="AF677" s="1208"/>
      <c r="AG677" s="1018">
        <f>'09월 화학성분'!AM677</f>
        <v>3287</v>
      </c>
      <c r="AH677" s="1006">
        <f t="shared" si="141"/>
        <v>35</v>
      </c>
      <c r="AI677" s="1019">
        <v>1587</v>
      </c>
      <c r="AJ677" s="1020">
        <v>0</v>
      </c>
      <c r="AK677" s="1021">
        <v>467</v>
      </c>
      <c r="AL677" s="1022">
        <v>9</v>
      </c>
      <c r="AM677" s="1155">
        <f>IF(AT677="","",3*'09월 에너지'!S679*(1/(3+7.8*(100-AT677)/AT677)))</f>
        <v>1.5746712586098932</v>
      </c>
      <c r="AN677" s="1023">
        <v>0.14166666666666666</v>
      </c>
      <c r="AO677" s="1024"/>
      <c r="AP677" s="1025"/>
      <c r="AQ677" s="1025"/>
      <c r="AR677" s="1149">
        <f t="shared" si="142"/>
        <v>4</v>
      </c>
      <c r="AS677" s="1093" t="str">
        <f t="shared" si="153"/>
        <v xml:space="preserve"> </v>
      </c>
      <c r="AT677" s="1156">
        <v>2.8</v>
      </c>
      <c r="AU677" s="449"/>
      <c r="AV677" s="1205"/>
    </row>
    <row r="678" spans="1:48" ht="16.5" customHeight="1">
      <c r="A678" s="1005">
        <f t="shared" si="143"/>
        <v>46290</v>
      </c>
      <c r="B678" s="1005">
        <f t="shared" si="144"/>
        <v>46290</v>
      </c>
      <c r="C678" s="1150">
        <f t="shared" si="145"/>
        <v>17</v>
      </c>
      <c r="D678" s="1150">
        <f t="shared" si="146"/>
        <v>667</v>
      </c>
      <c r="E678" s="1006" t="str">
        <f t="shared" si="147"/>
        <v>C</v>
      </c>
      <c r="F678" s="1007" t="str">
        <f t="shared" si="148"/>
        <v>B</v>
      </c>
      <c r="G678" s="1008">
        <f t="shared" si="149"/>
        <v>85880</v>
      </c>
      <c r="H678" s="1138">
        <f t="shared" si="150"/>
        <v>0.67291666666666661</v>
      </c>
      <c r="I678" s="1009">
        <v>0.67499999999999993</v>
      </c>
      <c r="J678" s="1010">
        <f t="shared" si="151"/>
        <v>50.999999999999979</v>
      </c>
      <c r="K678" s="1011"/>
      <c r="L678" s="1012"/>
      <c r="M678" s="1013"/>
      <c r="N678" s="1014" t="str">
        <f t="shared" si="152"/>
        <v/>
      </c>
      <c r="O678" s="1323"/>
      <c r="P678" s="1324"/>
      <c r="Q678" s="1324"/>
      <c r="R678" s="1324"/>
      <c r="S678" s="1324"/>
      <c r="T678" s="1325"/>
      <c r="U678" s="1015">
        <v>1.8</v>
      </c>
      <c r="V678" s="1015"/>
      <c r="W678" s="1015"/>
      <c r="X678" s="1015">
        <v>3</v>
      </c>
      <c r="Y678" s="1015"/>
      <c r="Z678" s="1016">
        <f>'09월 에너지'!S680</f>
        <v>141.80000000000001</v>
      </c>
      <c r="AA678" s="1017"/>
      <c r="AB678" s="1208"/>
      <c r="AC678" s="1208"/>
      <c r="AD678" s="1208"/>
      <c r="AE678" s="1208"/>
      <c r="AF678" s="1208"/>
      <c r="AG678" s="1018">
        <f>'09월 화학성분'!AM678</f>
        <v>2318</v>
      </c>
      <c r="AH678" s="1006">
        <f t="shared" si="141"/>
        <v>36</v>
      </c>
      <c r="AI678" s="1019">
        <v>1581</v>
      </c>
      <c r="AJ678" s="1020">
        <v>0</v>
      </c>
      <c r="AK678" s="1021">
        <v>433</v>
      </c>
      <c r="AL678" s="1022">
        <v>10</v>
      </c>
      <c r="AM678" s="1155">
        <f>IF(AT678="","",3*'09월 에너지'!S680*(1/(3+7.8*(100-AT678)/AT678)))</f>
        <v>2.2939551767676769</v>
      </c>
      <c r="AN678" s="1023">
        <v>0.18888888888888888</v>
      </c>
      <c r="AO678" s="1024"/>
      <c r="AP678" s="1025"/>
      <c r="AQ678" s="1025"/>
      <c r="AR678" s="1149" t="str">
        <f t="shared" si="142"/>
        <v/>
      </c>
      <c r="AS678" s="1093">
        <f t="shared" si="153"/>
        <v>11</v>
      </c>
      <c r="AT678" s="1156">
        <v>4.0999999999999996</v>
      </c>
      <c r="AU678" s="449"/>
      <c r="AV678" s="1205"/>
    </row>
    <row r="679" spans="1:48" ht="16.5" customHeight="1">
      <c r="A679" s="1005">
        <f t="shared" si="143"/>
        <v>46290</v>
      </c>
      <c r="B679" s="1005">
        <f t="shared" si="144"/>
        <v>46290</v>
      </c>
      <c r="C679" s="1150">
        <f t="shared" si="145"/>
        <v>18</v>
      </c>
      <c r="D679" s="1150">
        <f t="shared" si="146"/>
        <v>668</v>
      </c>
      <c r="E679" s="1006" t="str">
        <f t="shared" si="147"/>
        <v>C</v>
      </c>
      <c r="F679" s="1007" t="str">
        <f t="shared" si="148"/>
        <v>A</v>
      </c>
      <c r="G679" s="1008">
        <f t="shared" si="149"/>
        <v>85881</v>
      </c>
      <c r="H679" s="1138">
        <f t="shared" si="150"/>
        <v>0.70833333333333326</v>
      </c>
      <c r="I679" s="1009">
        <v>0.70763888888888893</v>
      </c>
      <c r="J679" s="1010">
        <f t="shared" si="151"/>
        <v>47.000000000000156</v>
      </c>
      <c r="K679" s="1011"/>
      <c r="L679" s="1012"/>
      <c r="M679" s="1013"/>
      <c r="N679" s="1014" t="str">
        <f t="shared" si="152"/>
        <v/>
      </c>
      <c r="O679" s="1323"/>
      <c r="P679" s="1324"/>
      <c r="Q679" s="1324"/>
      <c r="R679" s="1324"/>
      <c r="S679" s="1324"/>
      <c r="T679" s="1325"/>
      <c r="U679" s="1015">
        <v>1.8</v>
      </c>
      <c r="V679" s="1015"/>
      <c r="W679" s="1015"/>
      <c r="X679" s="1015"/>
      <c r="Y679" s="1015">
        <v>2.6</v>
      </c>
      <c r="Z679" s="1016">
        <f>'09월 에너지'!S681</f>
        <v>144.80000000000001</v>
      </c>
      <c r="AA679" s="1017"/>
      <c r="AB679" s="1208"/>
      <c r="AC679" s="1208"/>
      <c r="AD679" s="1208"/>
      <c r="AE679" s="1208"/>
      <c r="AF679" s="1208"/>
      <c r="AG679" s="1018">
        <f>'09월 화학성분'!AM679</f>
        <v>2510</v>
      </c>
      <c r="AH679" s="1006">
        <f t="shared" si="141"/>
        <v>37</v>
      </c>
      <c r="AI679" s="1019">
        <v>1606</v>
      </c>
      <c r="AJ679" s="1020">
        <v>63</v>
      </c>
      <c r="AK679" s="1021">
        <v>961</v>
      </c>
      <c r="AL679" s="1022">
        <v>4</v>
      </c>
      <c r="AM679" s="1155">
        <f>IF(AT679="","",3*'09월 에너지'!S681*(1/(3+7.8*(100-AT679)/AT679)))</f>
        <v>2.5775316455696204</v>
      </c>
      <c r="AN679" s="1023">
        <v>0.13958333333333334</v>
      </c>
      <c r="AO679" s="1024"/>
      <c r="AP679" s="1025"/>
      <c r="AQ679" s="1025"/>
      <c r="AR679" s="1149">
        <f t="shared" si="142"/>
        <v>5</v>
      </c>
      <c r="AS679" s="1093" t="str">
        <f t="shared" si="153"/>
        <v xml:space="preserve"> </v>
      </c>
      <c r="AT679" s="1156">
        <v>4.5</v>
      </c>
      <c r="AU679" s="449"/>
      <c r="AV679" s="1205"/>
    </row>
    <row r="680" spans="1:48" ht="16.5" customHeight="1">
      <c r="A680" s="1005">
        <f t="shared" si="143"/>
        <v>46290</v>
      </c>
      <c r="B680" s="1005">
        <f t="shared" si="144"/>
        <v>46290</v>
      </c>
      <c r="C680" s="1150">
        <f t="shared" si="145"/>
        <v>19</v>
      </c>
      <c r="D680" s="1150">
        <f t="shared" si="146"/>
        <v>669</v>
      </c>
      <c r="E680" s="1006" t="str">
        <f t="shared" si="147"/>
        <v>C</v>
      </c>
      <c r="F680" s="1007" t="str">
        <f t="shared" si="148"/>
        <v>B</v>
      </c>
      <c r="G680" s="1008">
        <f t="shared" si="149"/>
        <v>85882</v>
      </c>
      <c r="H680" s="1138">
        <f t="shared" si="150"/>
        <v>0.74097222222222225</v>
      </c>
      <c r="I680" s="1009">
        <v>0.74097222222222225</v>
      </c>
      <c r="J680" s="1010">
        <f t="shared" si="151"/>
        <v>47.999999999999986</v>
      </c>
      <c r="K680" s="1011"/>
      <c r="L680" s="1012"/>
      <c r="M680" s="1013"/>
      <c r="N680" s="1014" t="str">
        <f t="shared" si="152"/>
        <v/>
      </c>
      <c r="O680" s="1323"/>
      <c r="P680" s="1324"/>
      <c r="Q680" s="1324"/>
      <c r="R680" s="1324"/>
      <c r="S680" s="1324"/>
      <c r="T680" s="1325"/>
      <c r="U680" s="1015">
        <v>1.8</v>
      </c>
      <c r="V680" s="1015"/>
      <c r="W680" s="1015"/>
      <c r="X680" s="1015"/>
      <c r="Y680" s="1015"/>
      <c r="Z680" s="1016">
        <f>'09월 에너지'!S682</f>
        <v>143.4</v>
      </c>
      <c r="AA680" s="1017"/>
      <c r="AB680" s="1208"/>
      <c r="AC680" s="1208"/>
      <c r="AD680" s="1208"/>
      <c r="AE680" s="1208"/>
      <c r="AF680" s="1208"/>
      <c r="AG680" s="1018">
        <f>'09월 화학성분'!AM680</f>
        <v>2619</v>
      </c>
      <c r="AH680" s="1006">
        <f t="shared" si="141"/>
        <v>38</v>
      </c>
      <c r="AI680" s="1019">
        <v>1574</v>
      </c>
      <c r="AJ680" s="1020">
        <v>0</v>
      </c>
      <c r="AK680" s="1021">
        <v>509</v>
      </c>
      <c r="AL680" s="1022">
        <v>8</v>
      </c>
      <c r="AM680" s="1155">
        <f>IF(AT680="","",3*'09월 에너지'!S682*(1/(3+7.8*(100-AT680)/AT680)))</f>
        <v>1.1733946384039902</v>
      </c>
      <c r="AN680" s="1023">
        <v>0.13263888888888889</v>
      </c>
      <c r="AO680" s="1024"/>
      <c r="AP680" s="1025"/>
      <c r="AQ680" s="1025"/>
      <c r="AR680" s="1149" t="str">
        <f t="shared" si="142"/>
        <v/>
      </c>
      <c r="AS680" s="1093">
        <f t="shared" si="153"/>
        <v>12</v>
      </c>
      <c r="AT680" s="1156">
        <v>2.1</v>
      </c>
      <c r="AU680" s="449"/>
      <c r="AV680" s="1205"/>
    </row>
    <row r="681" spans="1:48" ht="16.5" customHeight="1">
      <c r="A681" s="1005">
        <f t="shared" si="143"/>
        <v>46290</v>
      </c>
      <c r="B681" s="1005">
        <f t="shared" si="144"/>
        <v>46290</v>
      </c>
      <c r="C681" s="1150">
        <f t="shared" si="145"/>
        <v>20</v>
      </c>
      <c r="D681" s="1150">
        <f t="shared" si="146"/>
        <v>670</v>
      </c>
      <c r="E681" s="1006" t="str">
        <f t="shared" si="147"/>
        <v>C</v>
      </c>
      <c r="F681" s="1007" t="str">
        <f t="shared" si="148"/>
        <v>A</v>
      </c>
      <c r="G681" s="1008">
        <f t="shared" si="149"/>
        <v>85883</v>
      </c>
      <c r="H681" s="1138">
        <f t="shared" si="150"/>
        <v>0.77430555555555558</v>
      </c>
      <c r="I681" s="1009">
        <v>0.77430555555555547</v>
      </c>
      <c r="J681" s="1010">
        <f t="shared" si="151"/>
        <v>47.999999999999829</v>
      </c>
      <c r="K681" s="1011"/>
      <c r="L681" s="1012">
        <v>1</v>
      </c>
      <c r="M681" s="1013"/>
      <c r="N681" s="1014" t="str">
        <f t="shared" si="152"/>
        <v/>
      </c>
      <c r="O681" s="1323" t="s">
        <v>987</v>
      </c>
      <c r="P681" s="1324"/>
      <c r="Q681" s="1324"/>
      <c r="R681" s="1324"/>
      <c r="S681" s="1324"/>
      <c r="T681" s="1325"/>
      <c r="U681" s="1015">
        <v>1.8</v>
      </c>
      <c r="V681" s="1015"/>
      <c r="W681" s="1015"/>
      <c r="X681" s="1015"/>
      <c r="Y681" s="1015">
        <v>2.5</v>
      </c>
      <c r="Z681" s="1016">
        <f>'09월 에너지'!S683</f>
        <v>147.9</v>
      </c>
      <c r="AA681" s="1017"/>
      <c r="AB681" s="1208"/>
      <c r="AC681" s="1208"/>
      <c r="AD681" s="1208"/>
      <c r="AE681" s="1208"/>
      <c r="AF681" s="1208"/>
      <c r="AG681" s="1018">
        <f>'09월 화학성분'!AM681</f>
        <v>3504</v>
      </c>
      <c r="AH681" s="1006">
        <f t="shared" si="141"/>
        <v>39</v>
      </c>
      <c r="AI681" s="1019">
        <v>1621</v>
      </c>
      <c r="AJ681" s="1020">
        <v>0</v>
      </c>
      <c r="AK681" s="1021">
        <v>642</v>
      </c>
      <c r="AL681" s="1022">
        <v>6</v>
      </c>
      <c r="AM681" s="1155">
        <f>IF(AT681="","",3*'09월 에너지'!S683*(1/(3+7.8*(100-AT681)/AT681)))</f>
        <v>3.1165314885496187</v>
      </c>
      <c r="AN681" s="1023">
        <v>0.13749999999999998</v>
      </c>
      <c r="AO681" s="1024"/>
      <c r="AP681" s="1025"/>
      <c r="AQ681" s="1025"/>
      <c r="AR681" s="1149">
        <f t="shared" si="142"/>
        <v>6</v>
      </c>
      <c r="AS681" s="1093" t="str">
        <f t="shared" si="153"/>
        <v xml:space="preserve"> </v>
      </c>
      <c r="AT681" s="1156">
        <v>5.3</v>
      </c>
      <c r="AU681" s="449"/>
      <c r="AV681" s="1205"/>
    </row>
    <row r="682" spans="1:48" ht="16.5" customHeight="1">
      <c r="A682" s="1005">
        <f t="shared" si="143"/>
        <v>46290</v>
      </c>
      <c r="B682" s="1005">
        <f t="shared" si="144"/>
        <v>46290</v>
      </c>
      <c r="C682" s="1150">
        <f t="shared" si="145"/>
        <v>21</v>
      </c>
      <c r="D682" s="1150">
        <f t="shared" si="146"/>
        <v>671</v>
      </c>
      <c r="E682" s="1006" t="str">
        <f t="shared" si="147"/>
        <v>C</v>
      </c>
      <c r="F682" s="1007" t="str">
        <f t="shared" si="148"/>
        <v>B</v>
      </c>
      <c r="G682" s="1008">
        <f t="shared" si="149"/>
        <v>85884</v>
      </c>
      <c r="H682" s="1138">
        <f t="shared" si="150"/>
        <v>0.8076388888888888</v>
      </c>
      <c r="I682" s="1009">
        <v>0.81180555555555556</v>
      </c>
      <c r="J682" s="1010">
        <f t="shared" si="151"/>
        <v>54.000000000000128</v>
      </c>
      <c r="K682" s="1011"/>
      <c r="L682" s="1012"/>
      <c r="M682" s="1013"/>
      <c r="N682" s="1014" t="str">
        <f t="shared" si="152"/>
        <v/>
      </c>
      <c r="O682" s="1323" t="s">
        <v>988</v>
      </c>
      <c r="P682" s="1324"/>
      <c r="Q682" s="1324"/>
      <c r="R682" s="1324"/>
      <c r="S682" s="1324"/>
      <c r="T682" s="1325"/>
      <c r="U682" s="1015">
        <v>1.8</v>
      </c>
      <c r="V682" s="1015"/>
      <c r="W682" s="1015"/>
      <c r="X682" s="1015"/>
      <c r="Y682" s="1015"/>
      <c r="Z682" s="1016">
        <f>'09월 에너지'!S684</f>
        <v>143.19999999999999</v>
      </c>
      <c r="AA682" s="1017"/>
      <c r="AB682" s="1208"/>
      <c r="AC682" s="1208"/>
      <c r="AD682" s="1208"/>
      <c r="AE682" s="1208"/>
      <c r="AF682" s="1208"/>
      <c r="AG682" s="1018">
        <f>'09월 화학성분'!AM682</f>
        <v>2495</v>
      </c>
      <c r="AH682" s="1006">
        <f t="shared" si="141"/>
        <v>40</v>
      </c>
      <c r="AI682" s="1019">
        <v>1579</v>
      </c>
      <c r="AJ682" s="1020">
        <v>0</v>
      </c>
      <c r="AK682" s="1021" t="s">
        <v>563</v>
      </c>
      <c r="AL682" s="1022" t="s">
        <v>552</v>
      </c>
      <c r="AM682" s="1155">
        <f>IF(AT682="","",3*'09월 에너지'!S684*(1/(3+7.8*(100-AT682)/AT682)))</f>
        <v>1.5691922354414523</v>
      </c>
      <c r="AN682" s="1023">
        <v>0.125</v>
      </c>
      <c r="AO682" s="1024"/>
      <c r="AP682" s="1025"/>
      <c r="AQ682" s="1025"/>
      <c r="AR682" s="1149" t="str">
        <f t="shared" si="142"/>
        <v/>
      </c>
      <c r="AS682" s="1093">
        <f t="shared" si="153"/>
        <v>13</v>
      </c>
      <c r="AT682" s="1156">
        <v>2.8</v>
      </c>
      <c r="AU682" s="449"/>
      <c r="AV682" s="1205"/>
    </row>
    <row r="683" spans="1:48" ht="16.5" customHeight="1">
      <c r="A683" s="1005">
        <f t="shared" si="143"/>
        <v>46290</v>
      </c>
      <c r="B683" s="1005">
        <f t="shared" si="144"/>
        <v>46290</v>
      </c>
      <c r="C683" s="1150">
        <f t="shared" si="145"/>
        <v>22</v>
      </c>
      <c r="D683" s="1150">
        <f t="shared" si="146"/>
        <v>672</v>
      </c>
      <c r="E683" s="1006" t="str">
        <f t="shared" si="147"/>
        <v>C</v>
      </c>
      <c r="F683" s="1007" t="str">
        <f t="shared" si="148"/>
        <v>A</v>
      </c>
      <c r="G683" s="1008">
        <f t="shared" si="149"/>
        <v>85885</v>
      </c>
      <c r="H683" s="1138">
        <f t="shared" si="150"/>
        <v>0.84513888888888888</v>
      </c>
      <c r="I683" s="1009">
        <v>0.84652777777777777</v>
      </c>
      <c r="J683" s="1010">
        <f t="shared" si="151"/>
        <v>49.999999999999986</v>
      </c>
      <c r="K683" s="1011"/>
      <c r="L683" s="1012"/>
      <c r="M683" s="1013"/>
      <c r="N683" s="1014" t="str">
        <f t="shared" si="152"/>
        <v/>
      </c>
      <c r="O683" s="1323" t="s">
        <v>530</v>
      </c>
      <c r="P683" s="1324"/>
      <c r="Q683" s="1324"/>
      <c r="R683" s="1324"/>
      <c r="S683" s="1324"/>
      <c r="T683" s="1325"/>
      <c r="U683" s="1015">
        <v>1.8</v>
      </c>
      <c r="V683" s="1015">
        <v>2.6</v>
      </c>
      <c r="W683" s="1015">
        <v>1.3</v>
      </c>
      <c r="X683" s="1015"/>
      <c r="Y683" s="1015"/>
      <c r="Z683" s="1016">
        <f>'09월 에너지'!S685</f>
        <v>143.4</v>
      </c>
      <c r="AA683" s="1017">
        <v>2430</v>
      </c>
      <c r="AB683" s="1208" t="s">
        <v>551</v>
      </c>
      <c r="AC683" s="1208" t="s">
        <v>532</v>
      </c>
      <c r="AD683" s="1208" t="s">
        <v>532</v>
      </c>
      <c r="AE683" s="1208"/>
      <c r="AF683" s="1208" t="s">
        <v>548</v>
      </c>
      <c r="AG683" s="1018">
        <f>'09월 화학성분'!AM683</f>
        <v>2165</v>
      </c>
      <c r="AH683" s="1006">
        <f t="shared" si="141"/>
        <v>41</v>
      </c>
      <c r="AI683" s="1019">
        <v>1583</v>
      </c>
      <c r="AJ683" s="1020">
        <v>0</v>
      </c>
      <c r="AK683" s="1021">
        <v>578</v>
      </c>
      <c r="AL683" s="1022">
        <v>7</v>
      </c>
      <c r="AM683" s="1155">
        <f>IF(AT683="","",3*'09월 에너지'!S685*(1/(3+7.8*(100-AT683)/AT683)))</f>
        <v>1.2867509363295879</v>
      </c>
      <c r="AN683" s="1023">
        <v>0.1423611111111111</v>
      </c>
      <c r="AO683" s="1024"/>
      <c r="AP683" s="1025"/>
      <c r="AQ683" s="1025"/>
      <c r="AR683" s="1149">
        <f t="shared" si="142"/>
        <v>7</v>
      </c>
      <c r="AS683" s="1093" t="str">
        <f t="shared" si="153"/>
        <v xml:space="preserve"> </v>
      </c>
      <c r="AT683" s="1156">
        <v>2.2999999999999998</v>
      </c>
      <c r="AU683" s="449"/>
      <c r="AV683" s="1205"/>
    </row>
    <row r="684" spans="1:48" ht="16.5" customHeight="1">
      <c r="A684" s="1005">
        <f t="shared" si="143"/>
        <v>46290</v>
      </c>
      <c r="B684" s="1005">
        <f t="shared" si="144"/>
        <v>46290</v>
      </c>
      <c r="C684" s="1150">
        <f t="shared" si="145"/>
        <v>23</v>
      </c>
      <c r="D684" s="1150">
        <f t="shared" si="146"/>
        <v>673</v>
      </c>
      <c r="E684" s="1006" t="str">
        <f t="shared" si="147"/>
        <v>C</v>
      </c>
      <c r="F684" s="1007" t="str">
        <f t="shared" si="148"/>
        <v>B</v>
      </c>
      <c r="G684" s="1008">
        <f t="shared" si="149"/>
        <v>85886</v>
      </c>
      <c r="H684" s="1138">
        <f t="shared" si="150"/>
        <v>0.87986111111111109</v>
      </c>
      <c r="I684" s="1009">
        <v>0.87777777777777777</v>
      </c>
      <c r="J684" s="1010">
        <f t="shared" si="151"/>
        <v>45</v>
      </c>
      <c r="K684" s="1011"/>
      <c r="L684" s="1012"/>
      <c r="M684" s="1013"/>
      <c r="N684" s="1014" t="str">
        <f t="shared" si="152"/>
        <v/>
      </c>
      <c r="O684" s="1323"/>
      <c r="P684" s="1324"/>
      <c r="Q684" s="1324"/>
      <c r="R684" s="1324"/>
      <c r="S684" s="1324"/>
      <c r="T684" s="1325"/>
      <c r="U684" s="1015">
        <v>1.8</v>
      </c>
      <c r="V684" s="1015">
        <v>2.5</v>
      </c>
      <c r="W684" s="1015">
        <v>1.2</v>
      </c>
      <c r="X684" s="1015"/>
      <c r="Y684" s="1015"/>
      <c r="Z684" s="1016">
        <f>'09월 에너지'!S686</f>
        <v>145.5</v>
      </c>
      <c r="AA684" s="1017"/>
      <c r="AB684" s="1208"/>
      <c r="AC684" s="1208"/>
      <c r="AD684" s="1208"/>
      <c r="AE684" s="1208"/>
      <c r="AF684" s="1208"/>
      <c r="AG684" s="1018">
        <f>'09월 화학성분'!AM684</f>
        <v>1772</v>
      </c>
      <c r="AH684" s="1006">
        <f t="shared" si="141"/>
        <v>42</v>
      </c>
      <c r="AI684" s="1019">
        <v>1566</v>
      </c>
      <c r="AJ684" s="1020">
        <v>0</v>
      </c>
      <c r="AK684" s="1021">
        <v>605</v>
      </c>
      <c r="AL684" s="1022">
        <v>6</v>
      </c>
      <c r="AM684" s="1155">
        <f>IF(AT684="","",3*'09월 에너지'!S686*(1/(3+7.8*(100-AT684)/AT684)))</f>
        <v>1.8850109924623113</v>
      </c>
      <c r="AN684" s="1023">
        <v>0.12638888888888888</v>
      </c>
      <c r="AO684" s="1024"/>
      <c r="AP684" s="1025"/>
      <c r="AQ684" s="1025"/>
      <c r="AR684" s="1149" t="str">
        <f t="shared" si="142"/>
        <v/>
      </c>
      <c r="AS684" s="1093">
        <f t="shared" si="153"/>
        <v>14</v>
      </c>
      <c r="AT684" s="1156">
        <v>3.3</v>
      </c>
      <c r="AU684" s="449"/>
      <c r="AV684" s="1205"/>
    </row>
    <row r="685" spans="1:48" ht="16.5" customHeight="1">
      <c r="A685" s="1005">
        <f t="shared" si="143"/>
        <v>46290</v>
      </c>
      <c r="B685" s="1005">
        <f t="shared" si="144"/>
        <v>46290</v>
      </c>
      <c r="C685" s="1150">
        <f t="shared" si="145"/>
        <v>24</v>
      </c>
      <c r="D685" s="1150">
        <f t="shared" si="146"/>
        <v>674</v>
      </c>
      <c r="E685" s="1006" t="str">
        <f t="shared" si="147"/>
        <v>C</v>
      </c>
      <c r="F685" s="1007" t="str">
        <f t="shared" si="148"/>
        <v>A</v>
      </c>
      <c r="G685" s="1008">
        <f t="shared" si="149"/>
        <v>85887</v>
      </c>
      <c r="H685" s="1138">
        <f t="shared" si="150"/>
        <v>0.91111111111111109</v>
      </c>
      <c r="I685" s="1009">
        <v>0.90972222222222221</v>
      </c>
      <c r="J685" s="1010">
        <f t="shared" si="151"/>
        <v>46</v>
      </c>
      <c r="K685" s="1011"/>
      <c r="L685" s="1012"/>
      <c r="M685" s="1013"/>
      <c r="N685" s="1014" t="str">
        <f t="shared" si="152"/>
        <v/>
      </c>
      <c r="O685" s="1323"/>
      <c r="P685" s="1324"/>
      <c r="Q685" s="1324"/>
      <c r="R685" s="1324"/>
      <c r="S685" s="1324"/>
      <c r="T685" s="1325"/>
      <c r="U685" s="1015">
        <v>1.8</v>
      </c>
      <c r="V685" s="1015"/>
      <c r="W685" s="1015"/>
      <c r="X685" s="1015"/>
      <c r="Y685" s="1015">
        <v>2.4</v>
      </c>
      <c r="Z685" s="1016">
        <f>'09월 에너지'!S687</f>
        <v>144.4</v>
      </c>
      <c r="AA685" s="1017"/>
      <c r="AB685" s="1208"/>
      <c r="AC685" s="1208"/>
      <c r="AD685" s="1208"/>
      <c r="AE685" s="1208"/>
      <c r="AF685" s="1208"/>
      <c r="AG685" s="1018">
        <f>'09월 화학성분'!AM685</f>
        <v>2239</v>
      </c>
      <c r="AH685" s="1006">
        <f t="shared" si="141"/>
        <v>43</v>
      </c>
      <c r="AI685" s="1019">
        <v>1599</v>
      </c>
      <c r="AJ685" s="1020">
        <v>0</v>
      </c>
      <c r="AK685" s="1021">
        <v>702</v>
      </c>
      <c r="AL685" s="1022">
        <v>5</v>
      </c>
      <c r="AM685" s="1155">
        <f>IF(AT685="","",3*'09월 에너지'!S687*(1/(3+7.8*(100-AT685)/AT685)))</f>
        <v>1.8129315756434403</v>
      </c>
      <c r="AN685" s="1023">
        <v>0.14097222222222222</v>
      </c>
      <c r="AO685" s="1024"/>
      <c r="AP685" s="1025"/>
      <c r="AQ685" s="1025"/>
      <c r="AR685" s="1149">
        <f t="shared" si="142"/>
        <v>8</v>
      </c>
      <c r="AS685" s="1093" t="str">
        <f t="shared" si="153"/>
        <v xml:space="preserve"> </v>
      </c>
      <c r="AT685" s="1156">
        <v>3.2</v>
      </c>
      <c r="AU685" s="449"/>
      <c r="AV685" s="1205"/>
    </row>
    <row r="686" spans="1:48" ht="16.5" customHeight="1">
      <c r="A686" s="1005">
        <f t="shared" si="143"/>
        <v>46290</v>
      </c>
      <c r="B686" s="1005">
        <f t="shared" si="144"/>
        <v>46290</v>
      </c>
      <c r="C686" s="1150">
        <f t="shared" si="145"/>
        <v>25</v>
      </c>
      <c r="D686" s="1150">
        <f t="shared" si="146"/>
        <v>675</v>
      </c>
      <c r="E686" s="1006" t="s">
        <v>534</v>
      </c>
      <c r="F686" s="1007" t="str">
        <f t="shared" si="148"/>
        <v>B</v>
      </c>
      <c r="G686" s="1008">
        <f t="shared" si="149"/>
        <v>85888</v>
      </c>
      <c r="H686" s="1138">
        <f t="shared" si="150"/>
        <v>0.94305555555555554</v>
      </c>
      <c r="I686" s="1009">
        <v>0.9458333333333333</v>
      </c>
      <c r="J686" s="1010">
        <f t="shared" si="151"/>
        <v>51.999999999999972</v>
      </c>
      <c r="K686" s="1011"/>
      <c r="L686" s="1012">
        <v>4</v>
      </c>
      <c r="M686" s="1013"/>
      <c r="N686" s="1014" t="str">
        <f t="shared" si="152"/>
        <v/>
      </c>
      <c r="O686" s="1323" t="s">
        <v>991</v>
      </c>
      <c r="P686" s="1324"/>
      <c r="Q686" s="1324"/>
      <c r="R686" s="1324"/>
      <c r="S686" s="1324"/>
      <c r="T686" s="1325"/>
      <c r="U686" s="1015">
        <v>1.8</v>
      </c>
      <c r="V686" s="1015"/>
      <c r="W686" s="1015"/>
      <c r="X686" s="1015"/>
      <c r="Y686" s="1015"/>
      <c r="Z686" s="1016">
        <f>'09월 에너지'!S688</f>
        <v>145.1</v>
      </c>
      <c r="AA686" s="1017">
        <v>1804</v>
      </c>
      <c r="AB686" s="1208" t="s">
        <v>551</v>
      </c>
      <c r="AC686" s="1208" t="s">
        <v>532</v>
      </c>
      <c r="AD686" s="1208"/>
      <c r="AE686" s="1208"/>
      <c r="AF686" s="1208" t="s">
        <v>548</v>
      </c>
      <c r="AG686" s="1018">
        <f>'09월 화학성분'!AM686</f>
        <v>2461</v>
      </c>
      <c r="AH686" s="1006">
        <f t="shared" si="141"/>
        <v>44</v>
      </c>
      <c r="AI686" s="1019">
        <v>1572</v>
      </c>
      <c r="AJ686" s="1020">
        <v>0</v>
      </c>
      <c r="AK686" s="1021">
        <v>468</v>
      </c>
      <c r="AL686" s="1022">
        <v>9</v>
      </c>
      <c r="AM686" s="1155">
        <f>IF(AT686="","",3*'09월 에너지'!S688*(1/(3+7.8*(100-AT686)/AT686)))</f>
        <v>1.6478305137844611</v>
      </c>
      <c r="AN686" s="1023">
        <v>0.1388888888888889</v>
      </c>
      <c r="AO686" s="1024" t="s">
        <v>538</v>
      </c>
      <c r="AP686" s="1025">
        <v>2000095</v>
      </c>
      <c r="AQ686" s="1025">
        <v>2131</v>
      </c>
      <c r="AR686" s="1149" t="str">
        <f t="shared" si="142"/>
        <v/>
      </c>
      <c r="AS686" s="1093">
        <v>1</v>
      </c>
      <c r="AT686" s="1156">
        <v>2.9</v>
      </c>
      <c r="AU686" s="449"/>
      <c r="AV686" s="1205"/>
    </row>
    <row r="687" spans="1:48" ht="16.5" customHeight="1">
      <c r="A687" s="1005">
        <f t="shared" si="143"/>
        <v>46290</v>
      </c>
      <c r="B687" s="1005">
        <f t="shared" si="144"/>
        <v>46290</v>
      </c>
      <c r="C687" s="1150">
        <f t="shared" si="145"/>
        <v>26</v>
      </c>
      <c r="D687" s="1150">
        <f t="shared" si="146"/>
        <v>676</v>
      </c>
      <c r="E687" s="1006" t="str">
        <f t="shared" si="147"/>
        <v>A</v>
      </c>
      <c r="F687" s="1007" t="str">
        <f t="shared" si="148"/>
        <v>A</v>
      </c>
      <c r="G687" s="1008">
        <f t="shared" si="149"/>
        <v>85889</v>
      </c>
      <c r="H687" s="1138">
        <f t="shared" si="150"/>
        <v>0.97916666666666663</v>
      </c>
      <c r="I687" s="1009">
        <v>0.97569444444444453</v>
      </c>
      <c r="J687" s="1010">
        <f t="shared" si="151"/>
        <v>43.000000000000171</v>
      </c>
      <c r="K687" s="1011"/>
      <c r="L687" s="1012"/>
      <c r="M687" s="1013"/>
      <c r="N687" s="1014" t="str">
        <f t="shared" si="152"/>
        <v/>
      </c>
      <c r="O687" s="1338" t="s">
        <v>989</v>
      </c>
      <c r="P687" s="1339"/>
      <c r="Q687" s="1339"/>
      <c r="R687" s="1339"/>
      <c r="S687" s="1339"/>
      <c r="T687" s="1340"/>
      <c r="U687" s="1015">
        <v>1.8</v>
      </c>
      <c r="V687" s="1015">
        <v>2.7</v>
      </c>
      <c r="W687" s="1015">
        <v>1.3</v>
      </c>
      <c r="X687" s="1015"/>
      <c r="Y687" s="1015"/>
      <c r="Z687" s="1016">
        <f>'09월 에너지'!S689</f>
        <v>144.6</v>
      </c>
      <c r="AA687" s="1017"/>
      <c r="AB687" s="1208"/>
      <c r="AC687" s="1208"/>
      <c r="AD687" s="1208"/>
      <c r="AE687" s="1208"/>
      <c r="AF687" s="1208"/>
      <c r="AG687" s="1018">
        <f>'09월 화학성분'!AM687</f>
        <v>2436</v>
      </c>
      <c r="AH687" s="1006">
        <f t="shared" si="141"/>
        <v>45</v>
      </c>
      <c r="AI687" s="1019">
        <v>1609</v>
      </c>
      <c r="AJ687" s="1020">
        <v>65</v>
      </c>
      <c r="AK687" s="1021">
        <v>667</v>
      </c>
      <c r="AL687" s="1022">
        <v>6</v>
      </c>
      <c r="AM687" s="1155">
        <f>IF(AT687="","",3*'09월 에너지'!S689*(1/(3+7.8*(100-AT687)/AT687)))</f>
        <v>1.873351130653266</v>
      </c>
      <c r="AN687" s="1023">
        <v>0.14652777777777778</v>
      </c>
      <c r="AO687" s="1024"/>
      <c r="AP687" s="1025"/>
      <c r="AQ687" s="1025"/>
      <c r="AR687" s="1149">
        <f t="shared" si="142"/>
        <v>9</v>
      </c>
      <c r="AS687" s="1093" t="str">
        <f t="shared" si="153"/>
        <v xml:space="preserve"> </v>
      </c>
      <c r="AT687" s="1156">
        <v>3.3</v>
      </c>
      <c r="AU687" s="449"/>
      <c r="AV687" s="1205"/>
    </row>
    <row r="688" spans="1:48" ht="16.5" customHeight="1">
      <c r="A688" s="1005">
        <f t="shared" si="143"/>
        <v>46290</v>
      </c>
      <c r="B688" s="1005">
        <f t="shared" si="144"/>
        <v>46290</v>
      </c>
      <c r="C688" s="1150">
        <f t="shared" si="145"/>
        <v>27</v>
      </c>
      <c r="D688" s="1150">
        <f t="shared" si="146"/>
        <v>677</v>
      </c>
      <c r="E688" s="1006" t="str">
        <f t="shared" si="147"/>
        <v>A</v>
      </c>
      <c r="F688" s="1007" t="str">
        <f t="shared" si="148"/>
        <v>B</v>
      </c>
      <c r="G688" s="1008">
        <f t="shared" si="149"/>
        <v>85890</v>
      </c>
      <c r="H688" s="1138">
        <f t="shared" si="150"/>
        <v>1.0090277777777779</v>
      </c>
      <c r="I688" s="1009">
        <v>7.6388888888888886E-3</v>
      </c>
      <c r="J688" s="1010">
        <f t="shared" si="151"/>
        <v>45.999999999999773</v>
      </c>
      <c r="K688" s="1011"/>
      <c r="L688" s="1012"/>
      <c r="M688" s="1013"/>
      <c r="N688" s="1014" t="str">
        <f t="shared" si="152"/>
        <v/>
      </c>
      <c r="O688" s="1323"/>
      <c r="P688" s="1324"/>
      <c r="Q688" s="1324"/>
      <c r="R688" s="1324"/>
      <c r="S688" s="1324"/>
      <c r="T688" s="1325"/>
      <c r="U688" s="1015">
        <v>1.8</v>
      </c>
      <c r="V688" s="1015">
        <v>2.7</v>
      </c>
      <c r="W688" s="1015">
        <v>1.4</v>
      </c>
      <c r="X688" s="1015"/>
      <c r="Y688" s="1015"/>
      <c r="Z688" s="1016">
        <f>'09월 에너지'!S690</f>
        <v>144.69999999999999</v>
      </c>
      <c r="AA688" s="1017"/>
      <c r="AB688" s="1208"/>
      <c r="AC688" s="1208"/>
      <c r="AD688" s="1208"/>
      <c r="AE688" s="1208"/>
      <c r="AF688" s="1208"/>
      <c r="AG688" s="1018">
        <f>'09월 화학성분'!AM688</f>
        <v>2102</v>
      </c>
      <c r="AH688" s="1006">
        <f t="shared" si="141"/>
        <v>46</v>
      </c>
      <c r="AI688" s="1019">
        <v>1590</v>
      </c>
      <c r="AJ688" s="1020">
        <v>75</v>
      </c>
      <c r="AK688" s="1021">
        <v>594</v>
      </c>
      <c r="AL688" s="1022">
        <v>7</v>
      </c>
      <c r="AM688" s="1155">
        <f>IF(AT688="","",3*'09월 에너지'!S690*(1/(3+7.8*(100-AT688)/AT688)))</f>
        <v>2.3408696338383836</v>
      </c>
      <c r="AN688" s="1023">
        <v>0.13749999999999998</v>
      </c>
      <c r="AO688" s="1024"/>
      <c r="AP688" s="1025"/>
      <c r="AQ688" s="1025"/>
      <c r="AR688" s="1149" t="str">
        <f t="shared" si="142"/>
        <v/>
      </c>
      <c r="AS688" s="1093">
        <f t="shared" si="153"/>
        <v>2</v>
      </c>
      <c r="AT688" s="1156">
        <v>4.0999999999999996</v>
      </c>
      <c r="AU688" s="449"/>
      <c r="AV688" s="1205"/>
    </row>
    <row r="689" spans="1:48" ht="16.5" customHeight="1">
      <c r="A689" s="1005">
        <f t="shared" si="143"/>
        <v>46290</v>
      </c>
      <c r="B689" s="1005">
        <f t="shared" si="144"/>
        <v>46290</v>
      </c>
      <c r="C689" s="1150">
        <f t="shared" si="145"/>
        <v>28</v>
      </c>
      <c r="D689" s="1150">
        <f t="shared" si="146"/>
        <v>678</v>
      </c>
      <c r="E689" s="1006" t="str">
        <f t="shared" si="147"/>
        <v>A</v>
      </c>
      <c r="F689" s="1007" t="str">
        <f t="shared" si="148"/>
        <v>A</v>
      </c>
      <c r="G689" s="1008">
        <f t="shared" si="149"/>
        <v>85891</v>
      </c>
      <c r="H689" s="1138">
        <f t="shared" si="150"/>
        <v>4.0972222222222222E-2</v>
      </c>
      <c r="I689" s="1009">
        <v>3.888888888888889E-2</v>
      </c>
      <c r="J689" s="1010">
        <f t="shared" si="151"/>
        <v>45</v>
      </c>
      <c r="K689" s="1011"/>
      <c r="L689" s="1012"/>
      <c r="M689" s="1013"/>
      <c r="N689" s="1014" t="str">
        <f t="shared" si="152"/>
        <v/>
      </c>
      <c r="O689" s="1323"/>
      <c r="P689" s="1324"/>
      <c r="Q689" s="1324"/>
      <c r="R689" s="1324"/>
      <c r="S689" s="1324"/>
      <c r="T689" s="1325"/>
      <c r="U689" s="1015">
        <v>1.8</v>
      </c>
      <c r="V689" s="1015"/>
      <c r="W689" s="1015"/>
      <c r="X689" s="1015"/>
      <c r="Y689" s="1015">
        <v>2.8</v>
      </c>
      <c r="Z689" s="1016">
        <f>'09월 에너지'!S691</f>
        <v>144</v>
      </c>
      <c r="AA689" s="1017"/>
      <c r="AB689" s="1208"/>
      <c r="AC689" s="1208"/>
      <c r="AD689" s="1208"/>
      <c r="AE689" s="1208"/>
      <c r="AF689" s="1208"/>
      <c r="AG689" s="1018">
        <f>'09월 화학성분'!AM689</f>
        <v>2104</v>
      </c>
      <c r="AH689" s="1006">
        <f t="shared" si="141"/>
        <v>47</v>
      </c>
      <c r="AI689" s="1019">
        <v>1584</v>
      </c>
      <c r="AJ689" s="1020">
        <v>67</v>
      </c>
      <c r="AK689" s="1021">
        <v>487</v>
      </c>
      <c r="AL689" s="1022">
        <v>8</v>
      </c>
      <c r="AM689" s="1155">
        <f>IF(AT689="","",3*'09월 에너지'!S691*(1/(3+7.8*(100-AT689)/AT689)))</f>
        <v>2.0390182504719947</v>
      </c>
      <c r="AN689" s="1023">
        <v>0.16111111111111112</v>
      </c>
      <c r="AO689" s="1024"/>
      <c r="AP689" s="1025"/>
      <c r="AQ689" s="1025"/>
      <c r="AR689" s="1149">
        <f t="shared" si="142"/>
        <v>10</v>
      </c>
      <c r="AS689" s="1093" t="str">
        <f t="shared" si="153"/>
        <v xml:space="preserve"> </v>
      </c>
      <c r="AT689" s="1156">
        <v>3.6</v>
      </c>
      <c r="AU689" s="449"/>
      <c r="AV689" s="1205"/>
    </row>
    <row r="690" spans="1:48" ht="16.5" customHeight="1">
      <c r="A690" s="1005">
        <f t="shared" si="143"/>
        <v>46290</v>
      </c>
      <c r="B690" s="1005">
        <f t="shared" si="144"/>
        <v>46290</v>
      </c>
      <c r="C690" s="1150">
        <f t="shared" si="145"/>
        <v>29</v>
      </c>
      <c r="D690" s="1150">
        <f t="shared" si="146"/>
        <v>679</v>
      </c>
      <c r="E690" s="1006" t="str">
        <f t="shared" si="147"/>
        <v>A</v>
      </c>
      <c r="F690" s="1007" t="str">
        <f t="shared" si="148"/>
        <v>B</v>
      </c>
      <c r="G690" s="1008">
        <f t="shared" si="149"/>
        <v>85892</v>
      </c>
      <c r="H690" s="1138">
        <f t="shared" si="150"/>
        <v>7.2222222222222215E-2</v>
      </c>
      <c r="I690" s="1009">
        <v>7.013888888888889E-2</v>
      </c>
      <c r="J690" s="1010">
        <f t="shared" si="151"/>
        <v>45</v>
      </c>
      <c r="K690" s="1011"/>
      <c r="L690" s="1012"/>
      <c r="M690" s="1013"/>
      <c r="N690" s="1014" t="str">
        <f t="shared" si="152"/>
        <v/>
      </c>
      <c r="O690" s="1338" t="s">
        <v>992</v>
      </c>
      <c r="P690" s="1339"/>
      <c r="Q690" s="1339"/>
      <c r="R690" s="1339"/>
      <c r="S690" s="1339"/>
      <c r="T690" s="1340"/>
      <c r="U690" s="1015">
        <v>1.8</v>
      </c>
      <c r="V690" s="1015"/>
      <c r="W690" s="1015"/>
      <c r="X690" s="1015"/>
      <c r="Y690" s="1015"/>
      <c r="Z690" s="1016">
        <f>'09월 에너지'!S692</f>
        <v>143.19999999999999</v>
      </c>
      <c r="AA690" s="1017"/>
      <c r="AB690" s="1208"/>
      <c r="AC690" s="1208"/>
      <c r="AD690" s="1208"/>
      <c r="AE690" s="1208"/>
      <c r="AF690" s="1208"/>
      <c r="AG690" s="1018">
        <f>'09월 화학성분'!AM690</f>
        <v>2113</v>
      </c>
      <c r="AH690" s="1006">
        <f t="shared" si="141"/>
        <v>48</v>
      </c>
      <c r="AI690" s="1019">
        <v>1571</v>
      </c>
      <c r="AJ690" s="1020">
        <v>0</v>
      </c>
      <c r="AK690" s="1021">
        <v>341</v>
      </c>
      <c r="AL690" s="1022">
        <v>13</v>
      </c>
      <c r="AM690" s="1155">
        <f>IF(AT690="","",3*'09월 에너지'!S692*(1/(3+7.8*(100-AT690)/AT690)))</f>
        <v>1.5691922354414523</v>
      </c>
      <c r="AN690" s="1023">
        <v>0.13680555555555554</v>
      </c>
      <c r="AO690" s="1024"/>
      <c r="AP690" s="1025"/>
      <c r="AQ690" s="1025"/>
      <c r="AR690" s="1149" t="str">
        <f t="shared" si="142"/>
        <v/>
      </c>
      <c r="AS690" s="1093">
        <f t="shared" si="153"/>
        <v>3</v>
      </c>
      <c r="AT690" s="1156">
        <v>2.8</v>
      </c>
      <c r="AU690" s="449"/>
      <c r="AV690" s="1205"/>
    </row>
    <row r="691" spans="1:48" ht="16.5" customHeight="1">
      <c r="A691" s="1005">
        <f t="shared" si="143"/>
        <v>46290</v>
      </c>
      <c r="B691" s="1005">
        <f t="shared" si="144"/>
        <v>46290</v>
      </c>
      <c r="C691" s="1150">
        <f t="shared" si="145"/>
        <v>30</v>
      </c>
      <c r="D691" s="1150">
        <f t="shared" si="146"/>
        <v>680</v>
      </c>
      <c r="E691" s="1006" t="str">
        <f t="shared" si="147"/>
        <v>A</v>
      </c>
      <c r="F691" s="1007" t="str">
        <f t="shared" si="148"/>
        <v>A</v>
      </c>
      <c r="G691" s="1008">
        <f t="shared" si="149"/>
        <v>85893</v>
      </c>
      <c r="H691" s="1138">
        <f t="shared" si="150"/>
        <v>0.10347222222222222</v>
      </c>
      <c r="I691" s="1009">
        <v>0.10208333333333335</v>
      </c>
      <c r="J691" s="1010">
        <f t="shared" si="151"/>
        <v>46.000000000000014</v>
      </c>
      <c r="K691" s="1011"/>
      <c r="L691" s="1012"/>
      <c r="M691" s="1013"/>
      <c r="N691" s="1014" t="str">
        <f t="shared" si="152"/>
        <v/>
      </c>
      <c r="O691" s="1323"/>
      <c r="P691" s="1324"/>
      <c r="Q691" s="1324"/>
      <c r="R691" s="1324"/>
      <c r="S691" s="1324"/>
      <c r="T691" s="1325"/>
      <c r="U691" s="1015">
        <v>1.8</v>
      </c>
      <c r="V691" s="1015"/>
      <c r="W691" s="1015"/>
      <c r="X691" s="1015">
        <v>3.4</v>
      </c>
      <c r="Y691" s="1015"/>
      <c r="Z691" s="1016">
        <f>'09월 에너지'!S693</f>
        <v>143.1</v>
      </c>
      <c r="AA691" s="1017"/>
      <c r="AB691" s="1208"/>
      <c r="AC691" s="1208"/>
      <c r="AD691" s="1208"/>
      <c r="AE691" s="1208"/>
      <c r="AF691" s="1208"/>
      <c r="AG691" s="1018">
        <f>'09월 화학성분'!AM691</f>
        <v>2153</v>
      </c>
      <c r="AH691" s="1006">
        <f t="shared" si="141"/>
        <v>49</v>
      </c>
      <c r="AI691" s="1019">
        <v>1569</v>
      </c>
      <c r="AJ691" s="1020">
        <v>0</v>
      </c>
      <c r="AK691" s="1021">
        <v>570</v>
      </c>
      <c r="AL691" s="1022">
        <v>7</v>
      </c>
      <c r="AM691" s="1155">
        <f>IF(AT691="","",3*'09월 에너지'!S693*(1/(3+7.8*(100-AT691)/AT691)))</f>
        <v>1.1709398379052369</v>
      </c>
      <c r="AN691" s="1023">
        <v>0.16111111111111112</v>
      </c>
      <c r="AO691" s="1024"/>
      <c r="AP691" s="1025"/>
      <c r="AQ691" s="1025"/>
      <c r="AR691" s="1149">
        <f t="shared" si="142"/>
        <v>11</v>
      </c>
      <c r="AS691" s="1093" t="str">
        <f t="shared" si="153"/>
        <v xml:space="preserve"> </v>
      </c>
      <c r="AT691" s="1156">
        <v>2.1</v>
      </c>
      <c r="AU691" s="449"/>
      <c r="AV691" s="1205"/>
    </row>
    <row r="692" spans="1:48" ht="16.5" customHeight="1">
      <c r="A692" s="1005">
        <f t="shared" si="143"/>
        <v>46290</v>
      </c>
      <c r="B692" s="1005">
        <f t="shared" si="144"/>
        <v>46290</v>
      </c>
      <c r="C692" s="1150">
        <f t="shared" si="145"/>
        <v>31</v>
      </c>
      <c r="D692" s="1150">
        <f t="shared" si="146"/>
        <v>681</v>
      </c>
      <c r="E692" s="1006" t="str">
        <f t="shared" si="147"/>
        <v>A</v>
      </c>
      <c r="F692" s="1007" t="str">
        <f t="shared" si="148"/>
        <v>B</v>
      </c>
      <c r="G692" s="1008">
        <f t="shared" si="149"/>
        <v>85894</v>
      </c>
      <c r="H692" s="1138">
        <f t="shared" si="150"/>
        <v>0.13541666666666669</v>
      </c>
      <c r="I692" s="1009">
        <v>0.1361111111111111</v>
      </c>
      <c r="J692" s="1010">
        <f t="shared" si="151"/>
        <v>48.999999999999964</v>
      </c>
      <c r="K692" s="1011"/>
      <c r="L692" s="1012">
        <v>4</v>
      </c>
      <c r="M692" s="1013"/>
      <c r="N692" s="1014" t="str">
        <f t="shared" si="152"/>
        <v/>
      </c>
      <c r="O692" s="1335" t="s">
        <v>543</v>
      </c>
      <c r="P692" s="1336"/>
      <c r="Q692" s="1336"/>
      <c r="R692" s="1336"/>
      <c r="S692" s="1336"/>
      <c r="T692" s="1337"/>
      <c r="U692" s="1015">
        <v>1.8</v>
      </c>
      <c r="V692" s="1015"/>
      <c r="W692" s="1015"/>
      <c r="X692" s="1015">
        <v>3.2</v>
      </c>
      <c r="Y692" s="1015"/>
      <c r="Z692" s="1016">
        <f>'09월 에너지'!S694</f>
        <v>143.69999999999999</v>
      </c>
      <c r="AA692" s="1017"/>
      <c r="AB692" s="1208"/>
      <c r="AC692" s="1208"/>
      <c r="AD692" s="1208"/>
      <c r="AE692" s="1208"/>
      <c r="AF692" s="1208"/>
      <c r="AG692" s="1018">
        <f>'09월 화학성분'!AM692</f>
        <v>2289</v>
      </c>
      <c r="AH692" s="1006">
        <f t="shared" si="141"/>
        <v>50</v>
      </c>
      <c r="AI692" s="1019">
        <v>1547</v>
      </c>
      <c r="AJ692" s="1020">
        <v>0</v>
      </c>
      <c r="AK692" s="1021">
        <v>383</v>
      </c>
      <c r="AL692" s="1022">
        <v>11</v>
      </c>
      <c r="AM692" s="1155">
        <f>IF(AT692="","",3*'09월 에너지'!S694*(1/(3+7.8*(100-AT692)/AT692)))</f>
        <v>1.3463460337289195</v>
      </c>
      <c r="AN692" s="1023">
        <v>0.12986111111111112</v>
      </c>
      <c r="AO692" s="1024"/>
      <c r="AP692" s="1025"/>
      <c r="AQ692" s="1025"/>
      <c r="AR692" s="1149" t="str">
        <f t="shared" si="142"/>
        <v/>
      </c>
      <c r="AS692" s="1093">
        <f t="shared" si="153"/>
        <v>4</v>
      </c>
      <c r="AT692" s="1156">
        <v>2.4</v>
      </c>
      <c r="AU692" s="449"/>
      <c r="AV692" s="1205"/>
    </row>
    <row r="693" spans="1:48" ht="16.5" customHeight="1">
      <c r="A693" s="1005">
        <v>46291</v>
      </c>
      <c r="B693" s="1005">
        <f t="shared" si="144"/>
        <v>46290</v>
      </c>
      <c r="C693" s="1150">
        <f t="shared" si="145"/>
        <v>1</v>
      </c>
      <c r="D693" s="1150">
        <f t="shared" si="146"/>
        <v>682</v>
      </c>
      <c r="E693" s="1006" t="str">
        <f t="shared" si="147"/>
        <v>A</v>
      </c>
      <c r="F693" s="1007" t="str">
        <f t="shared" si="148"/>
        <v>A</v>
      </c>
      <c r="G693" s="1008">
        <f t="shared" si="149"/>
        <v>85895</v>
      </c>
      <c r="H693" s="1138">
        <f t="shared" si="150"/>
        <v>0.16944444444444443</v>
      </c>
      <c r="I693" s="1009">
        <v>0.16805555555555554</v>
      </c>
      <c r="J693" s="1010">
        <f t="shared" si="151"/>
        <v>46</v>
      </c>
      <c r="K693" s="1011"/>
      <c r="L693" s="1012"/>
      <c r="M693" s="1013"/>
      <c r="N693" s="1014" t="str">
        <f t="shared" si="152"/>
        <v/>
      </c>
      <c r="O693" s="1338" t="s">
        <v>994</v>
      </c>
      <c r="P693" s="1339"/>
      <c r="Q693" s="1339"/>
      <c r="R693" s="1339"/>
      <c r="S693" s="1339"/>
      <c r="T693" s="1340"/>
      <c r="U693" s="1015">
        <v>1.8</v>
      </c>
      <c r="V693" s="1015"/>
      <c r="W693" s="1015"/>
      <c r="X693" s="1015"/>
      <c r="Y693" s="1015">
        <v>2.5</v>
      </c>
      <c r="Z693" s="1016">
        <f>'09월 에너지'!S695</f>
        <v>143.6</v>
      </c>
      <c r="AA693" s="1017">
        <v>2619</v>
      </c>
      <c r="AB693" s="1208" t="s">
        <v>996</v>
      </c>
      <c r="AC693" s="1208" t="s">
        <v>532</v>
      </c>
      <c r="AD693" s="1208"/>
      <c r="AE693" s="1208"/>
      <c r="AF693" s="1208" t="s">
        <v>548</v>
      </c>
      <c r="AG693" s="1018">
        <f>'09월 화학성분'!AM693</f>
        <v>2856</v>
      </c>
      <c r="AH693" s="1235">
        <v>1</v>
      </c>
      <c r="AI693" s="1019">
        <v>1568</v>
      </c>
      <c r="AJ693" s="1020">
        <v>0</v>
      </c>
      <c r="AK693" s="1021">
        <v>458</v>
      </c>
      <c r="AL693" s="1022">
        <v>9</v>
      </c>
      <c r="AM693" s="1155">
        <f>IF(AT693="","",3*'09월 에너지'!S695*(1/(3+7.8*(100-AT693)/AT693)))</f>
        <v>2.0333543108873502</v>
      </c>
      <c r="AN693" s="1023">
        <v>0.13819444444444443</v>
      </c>
      <c r="AO693" s="1024" t="s">
        <v>538</v>
      </c>
      <c r="AP693" s="1025">
        <v>2000096</v>
      </c>
      <c r="AQ693" s="1025">
        <v>2126</v>
      </c>
      <c r="AR693" s="1149">
        <v>1</v>
      </c>
      <c r="AS693" s="1093" t="str">
        <f t="shared" si="153"/>
        <v xml:space="preserve"> </v>
      </c>
      <c r="AT693" s="1156">
        <v>3.6</v>
      </c>
      <c r="AU693" s="449"/>
      <c r="AV693" s="1205"/>
    </row>
    <row r="694" spans="1:48" ht="16.5" customHeight="1">
      <c r="A694" s="1005">
        <f t="shared" si="143"/>
        <v>46291</v>
      </c>
      <c r="B694" s="1005">
        <f t="shared" si="144"/>
        <v>46290</v>
      </c>
      <c r="C694" s="1150">
        <f t="shared" si="145"/>
        <v>2</v>
      </c>
      <c r="D694" s="1150">
        <f t="shared" si="146"/>
        <v>683</v>
      </c>
      <c r="E694" s="1006" t="str">
        <f t="shared" si="147"/>
        <v>A</v>
      </c>
      <c r="F694" s="1007" t="str">
        <f t="shared" si="148"/>
        <v>B</v>
      </c>
      <c r="G694" s="1008">
        <f t="shared" si="149"/>
        <v>85896</v>
      </c>
      <c r="H694" s="1138">
        <f t="shared" si="150"/>
        <v>0.20138888888888887</v>
      </c>
      <c r="I694" s="1009">
        <v>0.20347222222222219</v>
      </c>
      <c r="J694" s="1010">
        <f t="shared" si="151"/>
        <v>50.999999999999979</v>
      </c>
      <c r="K694" s="1011"/>
      <c r="L694" s="1012">
        <v>5</v>
      </c>
      <c r="M694" s="1013"/>
      <c r="N694" s="1014" t="str">
        <f t="shared" si="152"/>
        <v/>
      </c>
      <c r="O694" s="1338" t="s">
        <v>995</v>
      </c>
      <c r="P694" s="1339"/>
      <c r="Q694" s="1339"/>
      <c r="R694" s="1339"/>
      <c r="S694" s="1339"/>
      <c r="T694" s="1340"/>
      <c r="U694" s="1015">
        <v>1.8</v>
      </c>
      <c r="V694" s="1015"/>
      <c r="W694" s="1015"/>
      <c r="X694" s="1015"/>
      <c r="Y694" s="1015"/>
      <c r="Z694" s="1016">
        <f>'09월 에너지'!S696</f>
        <v>147.80000000000001</v>
      </c>
      <c r="AA694" s="1017"/>
      <c r="AB694" s="1208"/>
      <c r="AC694" s="1208"/>
      <c r="AD694" s="1208"/>
      <c r="AE694" s="1208"/>
      <c r="AF694" s="1208"/>
      <c r="AG694" s="1018">
        <f>'09월 화학성분'!AM694</f>
        <v>1882</v>
      </c>
      <c r="AH694" s="1006">
        <f t="shared" si="141"/>
        <v>2</v>
      </c>
      <c r="AI694" s="1019">
        <v>1557</v>
      </c>
      <c r="AJ694" s="1020">
        <v>0</v>
      </c>
      <c r="AK694" s="1021">
        <v>525</v>
      </c>
      <c r="AL694" s="1022">
        <v>8</v>
      </c>
      <c r="AM694" s="1155">
        <f>IF(AT694="","",3*'09월 에너지'!S696*(1/(3+7.8*(100-AT694)/AT694)))</f>
        <v>1.8556183301946014</v>
      </c>
      <c r="AN694" s="1023">
        <v>0.13541666666666666</v>
      </c>
      <c r="AO694" s="1024"/>
      <c r="AP694" s="1025"/>
      <c r="AQ694" s="1025"/>
      <c r="AR694" s="1149" t="str">
        <f t="shared" si="142"/>
        <v/>
      </c>
      <c r="AS694" s="1093">
        <f t="shared" si="153"/>
        <v>5</v>
      </c>
      <c r="AT694" s="1156">
        <v>3.2</v>
      </c>
      <c r="AU694" s="449"/>
      <c r="AV694" s="1205"/>
    </row>
    <row r="695" spans="1:48" ht="16.5" customHeight="1">
      <c r="A695" s="1005">
        <f t="shared" si="143"/>
        <v>46291</v>
      </c>
      <c r="B695" s="1005">
        <f t="shared" si="144"/>
        <v>46290</v>
      </c>
      <c r="C695" s="1150">
        <f t="shared" si="145"/>
        <v>3</v>
      </c>
      <c r="D695" s="1150">
        <f t="shared" si="146"/>
        <v>684</v>
      </c>
      <c r="E695" s="1006" t="str">
        <f t="shared" si="147"/>
        <v>A</v>
      </c>
      <c r="F695" s="1007" t="str">
        <f t="shared" si="148"/>
        <v>A</v>
      </c>
      <c r="G695" s="1008">
        <f t="shared" si="149"/>
        <v>85897</v>
      </c>
      <c r="H695" s="1138">
        <f t="shared" si="150"/>
        <v>0.23680555555555552</v>
      </c>
      <c r="I695" s="1009">
        <v>0.23541666666666669</v>
      </c>
      <c r="J695" s="1010">
        <f t="shared" si="151"/>
        <v>46.000000000000078</v>
      </c>
      <c r="K695" s="1011"/>
      <c r="L695" s="1012"/>
      <c r="M695" s="1013"/>
      <c r="N695" s="1014" t="str">
        <f t="shared" si="152"/>
        <v/>
      </c>
      <c r="O695" s="1323" t="s">
        <v>571</v>
      </c>
      <c r="P695" s="1324"/>
      <c r="Q695" s="1324"/>
      <c r="R695" s="1324"/>
      <c r="S695" s="1324"/>
      <c r="T695" s="1325"/>
      <c r="U695" s="1015">
        <v>1.8</v>
      </c>
      <c r="V695" s="1015"/>
      <c r="W695" s="1015"/>
      <c r="X695" s="1015"/>
      <c r="Y695" s="1015">
        <v>2.7</v>
      </c>
      <c r="Z695" s="1016">
        <f>'09월 에너지'!S697</f>
        <v>142.9</v>
      </c>
      <c r="AA695" s="1017">
        <v>2394</v>
      </c>
      <c r="AB695" s="1208" t="s">
        <v>996</v>
      </c>
      <c r="AC695" s="1208" t="s">
        <v>532</v>
      </c>
      <c r="AD695" s="1208"/>
      <c r="AE695" s="1208"/>
      <c r="AF695" s="1208" t="s">
        <v>548</v>
      </c>
      <c r="AG695" s="1018">
        <f>'09월 화학성분'!AM695</f>
        <v>2095</v>
      </c>
      <c r="AH695" s="1006">
        <f t="shared" si="141"/>
        <v>3</v>
      </c>
      <c r="AI695" s="1019">
        <v>1584</v>
      </c>
      <c r="AJ695" s="1020">
        <v>0</v>
      </c>
      <c r="AK695" s="1021">
        <v>827</v>
      </c>
      <c r="AL695" s="1022">
        <v>4</v>
      </c>
      <c r="AM695" s="1155">
        <f>IF(AT695="","",3*'09월 에너지'!S697*(1/(3+7.8*(100-AT695)/AT695)))</f>
        <v>2.1962090163934431</v>
      </c>
      <c r="AN695" s="1023">
        <v>0.16388888888888889</v>
      </c>
      <c r="AO695" s="1024"/>
      <c r="AP695" s="1025"/>
      <c r="AQ695" s="1025"/>
      <c r="AR695" s="1149">
        <f t="shared" si="142"/>
        <v>2</v>
      </c>
      <c r="AS695" s="1093" t="str">
        <f t="shared" si="153"/>
        <v xml:space="preserve"> </v>
      </c>
      <c r="AT695" s="1156">
        <v>3.9</v>
      </c>
      <c r="AU695" s="449"/>
      <c r="AV695" s="1205"/>
    </row>
    <row r="696" spans="1:48" ht="16.5" customHeight="1">
      <c r="A696" s="1005">
        <f t="shared" si="143"/>
        <v>46291</v>
      </c>
      <c r="B696" s="1005">
        <f t="shared" si="144"/>
        <v>46290</v>
      </c>
      <c r="C696" s="1150">
        <f t="shared" si="145"/>
        <v>4</v>
      </c>
      <c r="D696" s="1150">
        <f t="shared" si="146"/>
        <v>685</v>
      </c>
      <c r="E696" s="1006" t="str">
        <f t="shared" si="147"/>
        <v>A</v>
      </c>
      <c r="F696" s="1007" t="str">
        <f t="shared" si="148"/>
        <v>B</v>
      </c>
      <c r="G696" s="1008">
        <f t="shared" si="149"/>
        <v>85898</v>
      </c>
      <c r="H696" s="1138">
        <f t="shared" si="150"/>
        <v>0.26875000000000004</v>
      </c>
      <c r="I696" s="1009">
        <v>0.26805555555555555</v>
      </c>
      <c r="J696" s="1010">
        <f t="shared" si="151"/>
        <v>46.99999999999995</v>
      </c>
      <c r="K696" s="1011"/>
      <c r="L696" s="1012"/>
      <c r="M696" s="1013"/>
      <c r="N696" s="1014" t="str">
        <f t="shared" si="152"/>
        <v/>
      </c>
      <c r="O696" s="1323" t="s">
        <v>997</v>
      </c>
      <c r="P696" s="1324"/>
      <c r="Q696" s="1324"/>
      <c r="R696" s="1324"/>
      <c r="S696" s="1324"/>
      <c r="T696" s="1325"/>
      <c r="U696" s="1015">
        <v>1.8</v>
      </c>
      <c r="V696" s="1015"/>
      <c r="W696" s="1015"/>
      <c r="X696" s="1015"/>
      <c r="Y696" s="1015"/>
      <c r="Z696" s="1016">
        <f>'09월 에너지'!S698</f>
        <v>143.19999999999999</v>
      </c>
      <c r="AA696" s="1017">
        <v>2480</v>
      </c>
      <c r="AB696" s="1208" t="s">
        <v>551</v>
      </c>
      <c r="AC696" s="1208" t="s">
        <v>532</v>
      </c>
      <c r="AD696" s="1208"/>
      <c r="AE696" s="1208"/>
      <c r="AF696" s="1208" t="s">
        <v>548</v>
      </c>
      <c r="AG696" s="1018">
        <f>'09월 화학성분'!AM696</f>
        <v>2141</v>
      </c>
      <c r="AH696" s="1006">
        <f t="shared" si="141"/>
        <v>4</v>
      </c>
      <c r="AI696" s="1019">
        <v>1531</v>
      </c>
      <c r="AJ696" s="1020">
        <v>0</v>
      </c>
      <c r="AK696" s="1021">
        <v>357</v>
      </c>
      <c r="AL696" s="1022">
        <v>12</v>
      </c>
      <c r="AM696" s="1155">
        <f>IF(AT696="","",3*'09월 에너지'!S698*(1/(3+7.8*(100-AT696)/AT696)))</f>
        <v>1.8552135678391957</v>
      </c>
      <c r="AN696" s="1023">
        <v>0.12847222222222224</v>
      </c>
      <c r="AO696" s="1024"/>
      <c r="AP696" s="1025"/>
      <c r="AQ696" s="1025"/>
      <c r="AR696" s="1149" t="str">
        <f t="shared" si="142"/>
        <v/>
      </c>
      <c r="AS696" s="1093">
        <f t="shared" si="153"/>
        <v>6</v>
      </c>
      <c r="AT696" s="1156">
        <v>3.3</v>
      </c>
      <c r="AU696" s="449"/>
      <c r="AV696" s="1205"/>
    </row>
    <row r="697" spans="1:48" ht="16.5" customHeight="1">
      <c r="A697" s="1005">
        <f t="shared" si="143"/>
        <v>46291</v>
      </c>
      <c r="B697" s="1005">
        <v>46291</v>
      </c>
      <c r="C697" s="1150">
        <f t="shared" si="145"/>
        <v>5</v>
      </c>
      <c r="D697" s="1150">
        <f t="shared" si="146"/>
        <v>686</v>
      </c>
      <c r="E697" s="1006" t="s">
        <v>600</v>
      </c>
      <c r="F697" s="1007" t="str">
        <f t="shared" si="148"/>
        <v>A</v>
      </c>
      <c r="G697" s="1008">
        <f t="shared" si="149"/>
        <v>85899</v>
      </c>
      <c r="H697" s="1138">
        <f t="shared" si="150"/>
        <v>0.30138888888888887</v>
      </c>
      <c r="I697" s="1009">
        <v>0.30208333333333331</v>
      </c>
      <c r="J697" s="1010">
        <f t="shared" si="151"/>
        <v>48.999999999999986</v>
      </c>
      <c r="K697" s="1011"/>
      <c r="L697" s="1012"/>
      <c r="M697" s="1013"/>
      <c r="N697" s="1014" t="str">
        <f t="shared" si="152"/>
        <v/>
      </c>
      <c r="O697" s="1323" t="s">
        <v>998</v>
      </c>
      <c r="P697" s="1324"/>
      <c r="Q697" s="1324"/>
      <c r="R697" s="1324"/>
      <c r="S697" s="1324"/>
      <c r="T697" s="1325"/>
      <c r="U697" s="1015">
        <v>1.8</v>
      </c>
      <c r="V697" s="1015">
        <v>2.6</v>
      </c>
      <c r="W697" s="1015">
        <v>1.5</v>
      </c>
      <c r="X697" s="1015"/>
      <c r="Y697" s="1015"/>
      <c r="Z697" s="1016">
        <f>'09월 에너지'!S699</f>
        <v>141.69999999999999</v>
      </c>
      <c r="AA697" s="1017">
        <v>1369</v>
      </c>
      <c r="AB697" s="1208" t="s">
        <v>996</v>
      </c>
      <c r="AC697" s="1208" t="s">
        <v>532</v>
      </c>
      <c r="AD697" s="1208"/>
      <c r="AE697" s="1208"/>
      <c r="AF697" s="1208" t="s">
        <v>548</v>
      </c>
      <c r="AG697" s="1018">
        <f>'09월 화학성분'!AM697</f>
        <v>1877</v>
      </c>
      <c r="AH697" s="1006">
        <f t="shared" si="141"/>
        <v>5</v>
      </c>
      <c r="AI697" s="1019">
        <v>1574</v>
      </c>
      <c r="AJ697" s="1020">
        <v>0</v>
      </c>
      <c r="AK697" s="1021">
        <v>653</v>
      </c>
      <c r="AL697" s="1022">
        <v>6</v>
      </c>
      <c r="AM697" s="1155">
        <f>IF(AT697="","",3*'09월 에너지'!S699*(1/(3+7.8*(100-AT697)/AT697)))</f>
        <v>3.2779993618379071</v>
      </c>
      <c r="AN697" s="1023">
        <v>0.15763888888888888</v>
      </c>
      <c r="AO697" s="1024"/>
      <c r="AP697" s="1025"/>
      <c r="AQ697" s="1025"/>
      <c r="AR697" s="1149">
        <f t="shared" si="142"/>
        <v>3</v>
      </c>
      <c r="AS697" s="1093" t="str">
        <f t="shared" si="153"/>
        <v xml:space="preserve"> </v>
      </c>
      <c r="AT697" s="1156">
        <v>5.8</v>
      </c>
      <c r="AU697" s="449"/>
      <c r="AV697" s="1205"/>
    </row>
    <row r="698" spans="1:48" ht="16.5" customHeight="1">
      <c r="A698" s="1005">
        <f t="shared" si="143"/>
        <v>46291</v>
      </c>
      <c r="B698" s="1005">
        <f t="shared" si="144"/>
        <v>46291</v>
      </c>
      <c r="C698" s="1150">
        <f t="shared" si="145"/>
        <v>6</v>
      </c>
      <c r="D698" s="1150">
        <f t="shared" si="146"/>
        <v>687</v>
      </c>
      <c r="E698" s="1006" t="str">
        <f t="shared" si="147"/>
        <v>B</v>
      </c>
      <c r="F698" s="1007" t="str">
        <f t="shared" si="148"/>
        <v>B</v>
      </c>
      <c r="G698" s="1008">
        <f t="shared" si="149"/>
        <v>85900</v>
      </c>
      <c r="H698" s="1138">
        <f t="shared" si="150"/>
        <v>0.33541666666666664</v>
      </c>
      <c r="I698" s="1009">
        <v>0.33263888888888887</v>
      </c>
      <c r="J698" s="1010">
        <f t="shared" si="151"/>
        <v>44</v>
      </c>
      <c r="K698" s="1011"/>
      <c r="L698" s="1012"/>
      <c r="M698" s="1013"/>
      <c r="N698" s="1014" t="str">
        <f t="shared" si="152"/>
        <v/>
      </c>
      <c r="O698" s="1323"/>
      <c r="P698" s="1324"/>
      <c r="Q698" s="1324"/>
      <c r="R698" s="1324"/>
      <c r="S698" s="1324"/>
      <c r="T698" s="1325"/>
      <c r="U698" s="1015">
        <v>1.8</v>
      </c>
      <c r="V698" s="1015">
        <v>2.6</v>
      </c>
      <c r="W698" s="1015">
        <v>1.4</v>
      </c>
      <c r="X698" s="1015"/>
      <c r="Y698" s="1015"/>
      <c r="Z698" s="1016">
        <f>'09월 에너지'!S700</f>
        <v>141.80000000000001</v>
      </c>
      <c r="AA698" s="1017"/>
      <c r="AB698" s="1208"/>
      <c r="AC698" s="1208"/>
      <c r="AD698" s="1208"/>
      <c r="AE698" s="1208"/>
      <c r="AF698" s="1208"/>
      <c r="AG698" s="1018">
        <f>'09월 화학성분'!AM698</f>
        <v>1654</v>
      </c>
      <c r="AH698" s="1006">
        <f t="shared" si="141"/>
        <v>6</v>
      </c>
      <c r="AI698" s="1019">
        <v>1551</v>
      </c>
      <c r="AJ698" s="1020">
        <v>0</v>
      </c>
      <c r="AK698" s="1021">
        <v>807</v>
      </c>
      <c r="AL698" s="1022">
        <v>8</v>
      </c>
      <c r="AM698" s="1155">
        <f>IF(AT698="","",3*'09월 에너지'!S700*(1/(3+7.8*(100-AT698)/AT698)))</f>
        <v>1.723572772898369</v>
      </c>
      <c r="AN698" s="1023">
        <v>0.1125</v>
      </c>
      <c r="AO698" s="1024"/>
      <c r="AP698" s="1025"/>
      <c r="AQ698" s="1025"/>
      <c r="AR698" s="1149" t="str">
        <f t="shared" si="142"/>
        <v/>
      </c>
      <c r="AS698" s="1093">
        <f t="shared" si="153"/>
        <v>7</v>
      </c>
      <c r="AT698" s="1156">
        <v>3.1</v>
      </c>
      <c r="AU698" s="449"/>
      <c r="AV698" s="1205"/>
    </row>
    <row r="699" spans="1:48" ht="16.5" customHeight="1">
      <c r="A699" s="1005">
        <f t="shared" si="143"/>
        <v>46291</v>
      </c>
      <c r="B699" s="1005">
        <f t="shared" si="144"/>
        <v>46291</v>
      </c>
      <c r="C699" s="1150">
        <f t="shared" si="145"/>
        <v>7</v>
      </c>
      <c r="D699" s="1150">
        <f t="shared" si="146"/>
        <v>688</v>
      </c>
      <c r="E699" s="1006" t="str">
        <f t="shared" si="147"/>
        <v>B</v>
      </c>
      <c r="F699" s="1007" t="s">
        <v>999</v>
      </c>
      <c r="G699" s="1008">
        <f t="shared" si="149"/>
        <v>85901</v>
      </c>
      <c r="H699" s="1138">
        <f t="shared" si="150"/>
        <v>0.3659722222222222</v>
      </c>
      <c r="I699" s="1009">
        <v>0.37222222222222223</v>
      </c>
      <c r="J699" s="1010">
        <f t="shared" si="151"/>
        <v>57.000000000000036</v>
      </c>
      <c r="K699" s="1011">
        <v>9</v>
      </c>
      <c r="L699" s="1012"/>
      <c r="M699" s="1013">
        <v>0.33263888888888887</v>
      </c>
      <c r="N699" s="1014">
        <f t="shared" si="152"/>
        <v>0.33888888888888885</v>
      </c>
      <c r="O699" s="1344" t="s">
        <v>1000</v>
      </c>
      <c r="P699" s="1324"/>
      <c r="Q699" s="1324"/>
      <c r="R699" s="1324"/>
      <c r="S699" s="1324"/>
      <c r="T699" s="1325"/>
      <c r="U699" s="1015">
        <v>1.8</v>
      </c>
      <c r="V699" s="1015"/>
      <c r="W699" s="1015"/>
      <c r="X699" s="1015"/>
      <c r="Y699" s="1015"/>
      <c r="Z699" s="1016">
        <f>'09월 에너지'!S701</f>
        <v>143.4</v>
      </c>
      <c r="AA699" s="1017"/>
      <c r="AB699" s="1208"/>
      <c r="AC699" s="1208"/>
      <c r="AD699" s="1208"/>
      <c r="AE699" s="1208"/>
      <c r="AF699" s="1208"/>
      <c r="AG699" s="1018">
        <f>'09월 화학성분'!AM699</f>
        <v>1678</v>
      </c>
      <c r="AH699" s="1006">
        <f t="shared" si="141"/>
        <v>7</v>
      </c>
      <c r="AI699" s="1019">
        <v>1564</v>
      </c>
      <c r="AJ699" s="1020">
        <v>0</v>
      </c>
      <c r="AK699" s="1021">
        <v>537</v>
      </c>
      <c r="AL699" s="1022">
        <v>7</v>
      </c>
      <c r="AM699" s="1155">
        <f>IF(AT699="","",3*'09월 에너지'!S701*(1/(3+7.8*(100-AT699)/AT699)))</f>
        <v>1.2300374298190895</v>
      </c>
      <c r="AN699" s="1023">
        <v>0.12361111111111112</v>
      </c>
      <c r="AO699" s="1024"/>
      <c r="AP699" s="1025"/>
      <c r="AQ699" s="1025"/>
      <c r="AR699" s="1149" t="str">
        <f t="shared" si="142"/>
        <v/>
      </c>
      <c r="AS699" s="1093">
        <f t="shared" si="153"/>
        <v>8</v>
      </c>
      <c r="AT699" s="1156">
        <v>2.2000000000000002</v>
      </c>
      <c r="AU699" s="449"/>
      <c r="AV699" s="1205"/>
    </row>
    <row r="700" spans="1:48" ht="16.5" customHeight="1">
      <c r="A700" s="1005">
        <f t="shared" si="143"/>
        <v>46291</v>
      </c>
      <c r="B700" s="1005">
        <f t="shared" si="144"/>
        <v>46291</v>
      </c>
      <c r="C700" s="1150">
        <f t="shared" si="145"/>
        <v>8</v>
      </c>
      <c r="D700" s="1150">
        <f t="shared" si="146"/>
        <v>689</v>
      </c>
      <c r="E700" s="1006" t="str">
        <f t="shared" si="147"/>
        <v>B</v>
      </c>
      <c r="F700" s="1007" t="str">
        <f t="shared" si="148"/>
        <v>A</v>
      </c>
      <c r="G700" s="1008">
        <f t="shared" si="149"/>
        <v>85902</v>
      </c>
      <c r="H700" s="1138">
        <f t="shared" si="150"/>
        <v>0.40555555555555556</v>
      </c>
      <c r="I700" s="1009">
        <v>0.40416666666666662</v>
      </c>
      <c r="J700" s="1010">
        <f t="shared" si="151"/>
        <v>45.999999999999915</v>
      </c>
      <c r="K700" s="1011"/>
      <c r="L700" s="1012"/>
      <c r="M700" s="1013"/>
      <c r="N700" s="1014" t="str">
        <f t="shared" si="152"/>
        <v/>
      </c>
      <c r="O700" s="1323" t="s">
        <v>530</v>
      </c>
      <c r="P700" s="1324"/>
      <c r="Q700" s="1324"/>
      <c r="R700" s="1324"/>
      <c r="S700" s="1324"/>
      <c r="T700" s="1325"/>
      <c r="U700" s="1015">
        <v>1.8</v>
      </c>
      <c r="V700" s="1015"/>
      <c r="W700" s="1015"/>
      <c r="X700" s="1015"/>
      <c r="Y700" s="1015"/>
      <c r="Z700" s="1016">
        <f>'09월 에너지'!S702</f>
        <v>143.30000000000001</v>
      </c>
      <c r="AA700" s="1017">
        <v>1351</v>
      </c>
      <c r="AB700" s="1208" t="s">
        <v>996</v>
      </c>
      <c r="AC700" s="1208" t="s">
        <v>532</v>
      </c>
      <c r="AD700" s="1208"/>
      <c r="AE700" s="1208"/>
      <c r="AF700" s="1208" t="s">
        <v>548</v>
      </c>
      <c r="AG700" s="1018">
        <f>'09월 화학성분'!AM700</f>
        <v>1638</v>
      </c>
      <c r="AH700" s="1006">
        <f t="shared" si="141"/>
        <v>8</v>
      </c>
      <c r="AI700" s="1019">
        <v>1576</v>
      </c>
      <c r="AJ700" s="1020">
        <v>0</v>
      </c>
      <c r="AK700" s="1021">
        <v>964</v>
      </c>
      <c r="AL700" s="1022">
        <v>4</v>
      </c>
      <c r="AM700" s="1155">
        <f>IF(AT700="","",3*'09월 에너지'!S702*(1/(3+7.8*(100-AT700)/AT700)))</f>
        <v>2.6675776299112806</v>
      </c>
      <c r="AN700" s="1023">
        <v>0.19791666666666666</v>
      </c>
      <c r="AO700" s="1024"/>
      <c r="AP700" s="1025"/>
      <c r="AQ700" s="1025"/>
      <c r="AR700" s="1149">
        <v>4</v>
      </c>
      <c r="AS700" s="1093" t="str">
        <f t="shared" si="153"/>
        <v xml:space="preserve"> </v>
      </c>
      <c r="AT700" s="1156">
        <v>4.7</v>
      </c>
      <c r="AU700" s="449"/>
      <c r="AV700" s="1205"/>
    </row>
    <row r="701" spans="1:48" ht="16.5" customHeight="1">
      <c r="A701" s="1005">
        <f t="shared" si="143"/>
        <v>46291</v>
      </c>
      <c r="B701" s="1005">
        <f t="shared" si="144"/>
        <v>46291</v>
      </c>
      <c r="C701" s="1150">
        <f t="shared" si="145"/>
        <v>9</v>
      </c>
      <c r="D701" s="1150">
        <f t="shared" si="146"/>
        <v>690</v>
      </c>
      <c r="E701" s="1006" t="str">
        <f t="shared" si="147"/>
        <v>B</v>
      </c>
      <c r="F701" s="1007" t="str">
        <f t="shared" si="148"/>
        <v>B</v>
      </c>
      <c r="G701" s="1008">
        <f t="shared" si="149"/>
        <v>85903</v>
      </c>
      <c r="H701" s="1138">
        <f t="shared" si="150"/>
        <v>0.43749999999999994</v>
      </c>
      <c r="I701" s="1009">
        <v>0.43611111111111112</v>
      </c>
      <c r="J701" s="1010">
        <f t="shared" si="151"/>
        <v>46.000000000000078</v>
      </c>
      <c r="K701" s="1011"/>
      <c r="L701" s="1012"/>
      <c r="M701" s="1013"/>
      <c r="N701" s="1014" t="str">
        <f t="shared" si="152"/>
        <v/>
      </c>
      <c r="O701" s="1323"/>
      <c r="P701" s="1324"/>
      <c r="Q701" s="1324"/>
      <c r="R701" s="1324"/>
      <c r="S701" s="1324"/>
      <c r="T701" s="1325"/>
      <c r="U701" s="1015">
        <v>1.8</v>
      </c>
      <c r="V701" s="1015">
        <v>2.4</v>
      </c>
      <c r="W701" s="1015">
        <v>1.5</v>
      </c>
      <c r="X701" s="1015"/>
      <c r="Y701" s="1015"/>
      <c r="Z701" s="1016">
        <f>'09월 에너지'!S703</f>
        <v>143.1</v>
      </c>
      <c r="AA701" s="1017"/>
      <c r="AB701" s="1208"/>
      <c r="AC701" s="1208"/>
      <c r="AD701" s="1208"/>
      <c r="AE701" s="1208"/>
      <c r="AF701" s="1208"/>
      <c r="AG701" s="1018">
        <f>'09월 화학성분'!AM701</f>
        <v>1577</v>
      </c>
      <c r="AH701" s="1006">
        <f t="shared" si="141"/>
        <v>9</v>
      </c>
      <c r="AI701" s="1019">
        <v>1560</v>
      </c>
      <c r="AJ701" s="1020">
        <v>0</v>
      </c>
      <c r="AK701" s="1021">
        <v>386</v>
      </c>
      <c r="AL701" s="1022">
        <v>11</v>
      </c>
      <c r="AM701" s="1155">
        <f>IF(AT701="","",3*'09월 에너지'!S703*(1/(3+7.8*(100-AT701)/AT701)))</f>
        <v>2.314985795454545</v>
      </c>
      <c r="AN701" s="1023">
        <v>0.12222222222222223</v>
      </c>
      <c r="AO701" s="1024"/>
      <c r="AP701" s="1025"/>
      <c r="AQ701" s="1025"/>
      <c r="AR701" s="1149" t="str">
        <f t="shared" si="142"/>
        <v/>
      </c>
      <c r="AS701" s="1093">
        <f t="shared" si="153"/>
        <v>9</v>
      </c>
      <c r="AT701" s="1156">
        <v>4.0999999999999996</v>
      </c>
      <c r="AU701" s="449"/>
      <c r="AV701" s="1205"/>
    </row>
    <row r="702" spans="1:48" ht="16.5" customHeight="1">
      <c r="A702" s="1005">
        <f t="shared" si="143"/>
        <v>46291</v>
      </c>
      <c r="B702" s="1005">
        <f t="shared" si="144"/>
        <v>46291</v>
      </c>
      <c r="C702" s="1150">
        <f t="shared" si="145"/>
        <v>10</v>
      </c>
      <c r="D702" s="1150">
        <f t="shared" si="146"/>
        <v>691</v>
      </c>
      <c r="E702" s="1006" t="str">
        <f t="shared" si="147"/>
        <v>B</v>
      </c>
      <c r="F702" s="1007" t="str">
        <f t="shared" si="148"/>
        <v>A</v>
      </c>
      <c r="G702" s="1008">
        <f t="shared" si="149"/>
        <v>85904</v>
      </c>
      <c r="H702" s="1138">
        <f t="shared" si="150"/>
        <v>0.46944444444444444</v>
      </c>
      <c r="I702" s="1009">
        <v>0.46875</v>
      </c>
      <c r="J702" s="1010">
        <f t="shared" si="151"/>
        <v>46.999999999999993</v>
      </c>
      <c r="K702" s="1011"/>
      <c r="L702" s="1012"/>
      <c r="M702" s="1013"/>
      <c r="N702" s="1014" t="str">
        <f t="shared" si="152"/>
        <v/>
      </c>
      <c r="O702" s="1323"/>
      <c r="P702" s="1324"/>
      <c r="Q702" s="1324"/>
      <c r="R702" s="1324"/>
      <c r="S702" s="1324"/>
      <c r="T702" s="1325"/>
      <c r="U702" s="1015">
        <v>1.8</v>
      </c>
      <c r="V702" s="1015">
        <v>2.7</v>
      </c>
      <c r="W702" s="1015">
        <v>1.9</v>
      </c>
      <c r="X702" s="1015"/>
      <c r="Y702" s="1015"/>
      <c r="Z702" s="1016">
        <f>'09월 에너지'!S704</f>
        <v>141.80000000000001</v>
      </c>
      <c r="AA702" s="1017"/>
      <c r="AB702" s="1208"/>
      <c r="AC702" s="1208"/>
      <c r="AD702" s="1208"/>
      <c r="AE702" s="1208"/>
      <c r="AF702" s="1208"/>
      <c r="AG702" s="1018">
        <f>'09월 화학성분'!AM702</f>
        <v>2577</v>
      </c>
      <c r="AH702" s="1006">
        <f t="shared" si="141"/>
        <v>10</v>
      </c>
      <c r="AI702" s="1019">
        <v>1562</v>
      </c>
      <c r="AJ702" s="1020">
        <v>0</v>
      </c>
      <c r="AK702" s="1021">
        <v>1084</v>
      </c>
      <c r="AL702" s="1022">
        <v>3</v>
      </c>
      <c r="AM702" s="1155">
        <f>IF(AT702="","",3*'09월 에너지'!S704*(1/(3+7.8*(100-AT702)/AT702)))</f>
        <v>1.8939346323067254</v>
      </c>
      <c r="AN702" s="1023">
        <v>0.15347222222222223</v>
      </c>
      <c r="AO702" s="1024"/>
      <c r="AP702" s="1025"/>
      <c r="AQ702" s="1025"/>
      <c r="AR702" s="1149">
        <f t="shared" si="142"/>
        <v>5</v>
      </c>
      <c r="AS702" s="1093" t="str">
        <f t="shared" si="153"/>
        <v xml:space="preserve"> </v>
      </c>
      <c r="AT702" s="1156">
        <v>3.4</v>
      </c>
      <c r="AU702" s="449"/>
      <c r="AV702" s="1205"/>
    </row>
    <row r="703" spans="1:48" ht="16.5" customHeight="1">
      <c r="A703" s="1005">
        <f t="shared" si="143"/>
        <v>46291</v>
      </c>
      <c r="B703" s="1005">
        <f t="shared" si="144"/>
        <v>46291</v>
      </c>
      <c r="C703" s="1150">
        <f t="shared" si="145"/>
        <v>11</v>
      </c>
      <c r="D703" s="1150">
        <f t="shared" si="146"/>
        <v>692</v>
      </c>
      <c r="E703" s="1006" t="str">
        <f t="shared" si="147"/>
        <v>B</v>
      </c>
      <c r="F703" s="1007" t="str">
        <f t="shared" si="148"/>
        <v>B</v>
      </c>
      <c r="G703" s="1008">
        <f t="shared" si="149"/>
        <v>85905</v>
      </c>
      <c r="H703" s="1138">
        <f t="shared" si="150"/>
        <v>0.50208333333333333</v>
      </c>
      <c r="I703" s="1009">
        <v>0.50138888888888888</v>
      </c>
      <c r="J703" s="1010">
        <f t="shared" si="151"/>
        <v>46.999999999999993</v>
      </c>
      <c r="K703" s="1011"/>
      <c r="L703" s="1012"/>
      <c r="M703" s="1013"/>
      <c r="N703" s="1014" t="str">
        <f t="shared" si="152"/>
        <v/>
      </c>
      <c r="O703" s="1323"/>
      <c r="P703" s="1324"/>
      <c r="Q703" s="1324"/>
      <c r="R703" s="1324"/>
      <c r="S703" s="1324"/>
      <c r="T703" s="1325"/>
      <c r="U703" s="1015">
        <v>1.8</v>
      </c>
      <c r="V703" s="1015"/>
      <c r="W703" s="1015"/>
      <c r="X703" s="1015"/>
      <c r="Y703" s="1015"/>
      <c r="Z703" s="1016">
        <f>'09월 에너지'!S705</f>
        <v>143.80000000000001</v>
      </c>
      <c r="AA703" s="1017"/>
      <c r="AB703" s="1208"/>
      <c r="AC703" s="1208"/>
      <c r="AD703" s="1208"/>
      <c r="AE703" s="1208"/>
      <c r="AF703" s="1208"/>
      <c r="AG703" s="1018">
        <f>'09월 화학성분'!AM703</f>
        <v>1076</v>
      </c>
      <c r="AH703" s="1006">
        <f t="shared" si="141"/>
        <v>11</v>
      </c>
      <c r="AI703" s="1019">
        <v>1561</v>
      </c>
      <c r="AJ703" s="1020">
        <v>0</v>
      </c>
      <c r="AK703" s="1021">
        <v>518</v>
      </c>
      <c r="AL703" s="1022">
        <v>8</v>
      </c>
      <c r="AM703" s="1155">
        <f>IF(AT703="","",3*'09월 에너지'!S705*(1/(3+7.8*(100-AT703)/AT703)))</f>
        <v>1.4613821138211385</v>
      </c>
      <c r="AN703" s="1023">
        <v>0.20138888888888887</v>
      </c>
      <c r="AO703" s="1024"/>
      <c r="AP703" s="1025"/>
      <c r="AQ703" s="1025"/>
      <c r="AR703" s="1149" t="str">
        <f t="shared" si="142"/>
        <v/>
      </c>
      <c r="AS703" s="1093">
        <f t="shared" si="153"/>
        <v>10</v>
      </c>
      <c r="AT703" s="1156">
        <v>2.6</v>
      </c>
      <c r="AU703" s="449"/>
      <c r="AV703" s="1205"/>
    </row>
    <row r="704" spans="1:48" ht="16.5" customHeight="1">
      <c r="A704" s="1005">
        <f t="shared" si="143"/>
        <v>46291</v>
      </c>
      <c r="B704" s="1005">
        <f t="shared" si="144"/>
        <v>46291</v>
      </c>
      <c r="C704" s="1150">
        <f t="shared" si="145"/>
        <v>12</v>
      </c>
      <c r="D704" s="1150">
        <f t="shared" si="146"/>
        <v>693</v>
      </c>
      <c r="E704" s="1006" t="str">
        <f t="shared" si="147"/>
        <v>B</v>
      </c>
      <c r="F704" s="1007" t="str">
        <f t="shared" si="148"/>
        <v>A</v>
      </c>
      <c r="G704" s="1008">
        <f t="shared" si="149"/>
        <v>85906</v>
      </c>
      <c r="H704" s="1138">
        <f t="shared" si="150"/>
        <v>0.53472222222222221</v>
      </c>
      <c r="I704" s="1009">
        <v>0.53263888888888888</v>
      </c>
      <c r="J704" s="1010">
        <f t="shared" si="151"/>
        <v>45</v>
      </c>
      <c r="K704" s="1011"/>
      <c r="L704" s="1012"/>
      <c r="M704" s="1013"/>
      <c r="N704" s="1014" t="str">
        <f t="shared" si="152"/>
        <v/>
      </c>
      <c r="O704" s="1323"/>
      <c r="P704" s="1324"/>
      <c r="Q704" s="1324"/>
      <c r="R704" s="1324"/>
      <c r="S704" s="1324"/>
      <c r="T704" s="1325"/>
      <c r="U704" s="1015">
        <v>1.8</v>
      </c>
      <c r="V704" s="1015"/>
      <c r="W704" s="1015"/>
      <c r="X704" s="1015"/>
      <c r="Y704" s="1015">
        <v>2.6</v>
      </c>
      <c r="Z704" s="1016">
        <f>'09월 에너지'!S706</f>
        <v>142.19999999999999</v>
      </c>
      <c r="AA704" s="1017"/>
      <c r="AB704" s="1208"/>
      <c r="AC704" s="1208"/>
      <c r="AD704" s="1208"/>
      <c r="AE704" s="1208"/>
      <c r="AF704" s="1208"/>
      <c r="AG704" s="1018">
        <f>'09월 화학성분'!AM704</f>
        <v>2435</v>
      </c>
      <c r="AH704" s="1006">
        <f t="shared" si="141"/>
        <v>12</v>
      </c>
      <c r="AI704" s="1019">
        <v>1580</v>
      </c>
      <c r="AJ704" s="1020">
        <v>0</v>
      </c>
      <c r="AK704" s="1021">
        <v>855</v>
      </c>
      <c r="AL704" s="1022">
        <v>4</v>
      </c>
      <c r="AM704" s="1155">
        <f>IF(AT704="","",3*'09월 에너지'!S706*(1/(3+7.8*(100-AT704)/AT704)))</f>
        <v>2.3580227416298167</v>
      </c>
      <c r="AN704" s="1023">
        <v>0.1763888888888889</v>
      </c>
      <c r="AO704" s="1024"/>
      <c r="AP704" s="1025"/>
      <c r="AQ704" s="1025"/>
      <c r="AR704" s="1149">
        <f t="shared" si="142"/>
        <v>6</v>
      </c>
      <c r="AS704" s="1093" t="str">
        <f t="shared" si="153"/>
        <v xml:space="preserve"> </v>
      </c>
      <c r="AT704" s="1156">
        <v>4.2</v>
      </c>
      <c r="AU704" s="449"/>
      <c r="AV704" s="1205"/>
    </row>
    <row r="705" spans="1:48" ht="16.5" customHeight="1">
      <c r="A705" s="1005">
        <f t="shared" si="143"/>
        <v>46291</v>
      </c>
      <c r="B705" s="1005">
        <f t="shared" si="144"/>
        <v>46291</v>
      </c>
      <c r="C705" s="1150">
        <f t="shared" si="145"/>
        <v>13</v>
      </c>
      <c r="D705" s="1150">
        <f t="shared" si="146"/>
        <v>694</v>
      </c>
      <c r="E705" s="1006" t="str">
        <f t="shared" si="147"/>
        <v>B</v>
      </c>
      <c r="F705" s="1007" t="str">
        <f t="shared" si="148"/>
        <v>B</v>
      </c>
      <c r="G705" s="1008">
        <f t="shared" si="149"/>
        <v>85907</v>
      </c>
      <c r="H705" s="1138">
        <f t="shared" si="150"/>
        <v>0.56597222222222221</v>
      </c>
      <c r="I705" s="1009">
        <v>0.56736111111111109</v>
      </c>
      <c r="J705" s="1010">
        <f t="shared" si="151"/>
        <v>49.999999999999986</v>
      </c>
      <c r="K705" s="1011"/>
      <c r="L705" s="1012"/>
      <c r="M705" s="1013"/>
      <c r="N705" s="1014" t="str">
        <f t="shared" si="152"/>
        <v/>
      </c>
      <c r="O705" s="1323" t="s">
        <v>530</v>
      </c>
      <c r="P705" s="1324"/>
      <c r="Q705" s="1324"/>
      <c r="R705" s="1324"/>
      <c r="S705" s="1324"/>
      <c r="T705" s="1325"/>
      <c r="U705" s="1015">
        <v>1.8</v>
      </c>
      <c r="V705" s="1015"/>
      <c r="W705" s="1015"/>
      <c r="X705" s="1015">
        <v>3</v>
      </c>
      <c r="Y705" s="1015"/>
      <c r="Z705" s="1016">
        <f>'09월 에너지'!S707</f>
        <v>142.69999999999999</v>
      </c>
      <c r="AA705" s="1017">
        <v>1800</v>
      </c>
      <c r="AB705" s="1208" t="s">
        <v>551</v>
      </c>
      <c r="AC705" s="1208" t="s">
        <v>532</v>
      </c>
      <c r="AD705" s="1208"/>
      <c r="AE705" s="1208"/>
      <c r="AF705" s="1208" t="s">
        <v>548</v>
      </c>
      <c r="AG705" s="1018">
        <f>'09월 화학성분'!AM705</f>
        <v>2432</v>
      </c>
      <c r="AH705" s="1006">
        <f t="shared" si="141"/>
        <v>13</v>
      </c>
      <c r="AI705" s="1019">
        <v>1535</v>
      </c>
      <c r="AJ705" s="1020">
        <v>0</v>
      </c>
      <c r="AK705" s="1021">
        <v>976</v>
      </c>
      <c r="AL705" s="1022">
        <v>3</v>
      </c>
      <c r="AM705" s="1155">
        <f>IF(AT705="","",3*'09월 에너지'!S707*(1/(3+7.8*(100-AT705)/AT705)))</f>
        <v>1.3935546875</v>
      </c>
      <c r="AN705" s="1023">
        <v>0.10902777777777778</v>
      </c>
      <c r="AO705" s="1024"/>
      <c r="AP705" s="1025"/>
      <c r="AQ705" s="1025"/>
      <c r="AR705" s="1149" t="str">
        <f t="shared" si="142"/>
        <v/>
      </c>
      <c r="AS705" s="1093">
        <f t="shared" si="153"/>
        <v>11</v>
      </c>
      <c r="AT705" s="1156">
        <v>2.5</v>
      </c>
      <c r="AU705" s="449"/>
      <c r="AV705" s="1205"/>
    </row>
    <row r="706" spans="1:48" ht="17.25" customHeight="1">
      <c r="A706" s="1005">
        <f t="shared" si="143"/>
        <v>46291</v>
      </c>
      <c r="B706" s="1005">
        <f t="shared" si="144"/>
        <v>46291</v>
      </c>
      <c r="C706" s="1150">
        <f t="shared" si="145"/>
        <v>14</v>
      </c>
      <c r="D706" s="1150">
        <f t="shared" si="146"/>
        <v>695</v>
      </c>
      <c r="E706" s="1006" t="str">
        <f t="shared" si="147"/>
        <v>B</v>
      </c>
      <c r="F706" s="1007" t="str">
        <f t="shared" si="148"/>
        <v>A</v>
      </c>
      <c r="G706" s="1008">
        <f t="shared" si="149"/>
        <v>85908</v>
      </c>
      <c r="H706" s="1138">
        <f t="shared" si="150"/>
        <v>0.60069444444444442</v>
      </c>
      <c r="I706" s="1009">
        <v>0.60138888888888886</v>
      </c>
      <c r="J706" s="1010">
        <f t="shared" si="151"/>
        <v>48.999999999999986</v>
      </c>
      <c r="K706" s="1011"/>
      <c r="L706" s="1012"/>
      <c r="M706" s="1013"/>
      <c r="N706" s="1014" t="str">
        <f t="shared" si="152"/>
        <v/>
      </c>
      <c r="O706" s="1323" t="s">
        <v>1001</v>
      </c>
      <c r="P706" s="1324"/>
      <c r="Q706" s="1324"/>
      <c r="R706" s="1324"/>
      <c r="S706" s="1324"/>
      <c r="T706" s="1325"/>
      <c r="U706" s="1015">
        <v>1.8</v>
      </c>
      <c r="V706" s="1015"/>
      <c r="W706" s="1015"/>
      <c r="X706" s="1015">
        <v>3.2</v>
      </c>
      <c r="Y706" s="1015"/>
      <c r="Z706" s="1016">
        <f>'09월 에너지'!S708</f>
        <v>142.4</v>
      </c>
      <c r="AA706" s="1017"/>
      <c r="AB706" s="1208"/>
      <c r="AC706" s="1208"/>
      <c r="AD706" s="1208"/>
      <c r="AE706" s="1208"/>
      <c r="AF706" s="1208"/>
      <c r="AG706" s="1018">
        <f>'09월 화학성분'!AM706</f>
        <v>2668</v>
      </c>
      <c r="AH706" s="1006">
        <f t="shared" si="141"/>
        <v>14</v>
      </c>
      <c r="AI706" s="1019">
        <v>1565</v>
      </c>
      <c r="AJ706" s="1020">
        <v>65</v>
      </c>
      <c r="AK706" s="1021">
        <v>859</v>
      </c>
      <c r="AL706" s="1022">
        <v>4</v>
      </c>
      <c r="AM706" s="1155">
        <f>IF(AT706="","",3*'09월 에너지'!S708*(1/(3+7.8*(100-AT706)/AT706)))</f>
        <v>2.1885245901639347</v>
      </c>
      <c r="AN706" s="1023">
        <v>0.11666666666666665</v>
      </c>
      <c r="AO706" s="1024"/>
      <c r="AP706" s="1025"/>
      <c r="AQ706" s="1025"/>
      <c r="AR706" s="1149">
        <f t="shared" si="142"/>
        <v>7</v>
      </c>
      <c r="AS706" s="1093" t="str">
        <f t="shared" si="153"/>
        <v xml:space="preserve"> </v>
      </c>
      <c r="AT706" s="1156">
        <v>3.9</v>
      </c>
      <c r="AU706" s="449"/>
      <c r="AV706" s="1205"/>
    </row>
    <row r="707" spans="1:48" ht="16.5" customHeight="1">
      <c r="A707" s="1005">
        <f t="shared" si="143"/>
        <v>46291</v>
      </c>
      <c r="B707" s="1005">
        <f t="shared" si="144"/>
        <v>46291</v>
      </c>
      <c r="C707" s="1150">
        <f t="shared" si="145"/>
        <v>15</v>
      </c>
      <c r="D707" s="1150">
        <f t="shared" si="146"/>
        <v>696</v>
      </c>
      <c r="E707" s="1006" t="s">
        <v>1002</v>
      </c>
      <c r="F707" s="1007" t="str">
        <f t="shared" si="148"/>
        <v>B</v>
      </c>
      <c r="G707" s="1008">
        <f t="shared" si="149"/>
        <v>85909</v>
      </c>
      <c r="H707" s="1138">
        <f t="shared" si="150"/>
        <v>0.63472222222222219</v>
      </c>
      <c r="I707" s="1009">
        <v>0.63680555555555551</v>
      </c>
      <c r="J707" s="1010">
        <f t="shared" si="151"/>
        <v>50.999999999999979</v>
      </c>
      <c r="K707" s="1011"/>
      <c r="L707" s="1012"/>
      <c r="M707" s="1013"/>
      <c r="N707" s="1014" t="str">
        <f t="shared" si="152"/>
        <v/>
      </c>
      <c r="O707" s="1323" t="s">
        <v>1003</v>
      </c>
      <c r="P707" s="1324"/>
      <c r="Q707" s="1324"/>
      <c r="R707" s="1324"/>
      <c r="S707" s="1324"/>
      <c r="T707" s="1325"/>
      <c r="U707" s="1015">
        <v>1.8</v>
      </c>
      <c r="V707" s="1015"/>
      <c r="W707" s="1015"/>
      <c r="X707" s="1015"/>
      <c r="Y707" s="1015"/>
      <c r="Z707" s="1016">
        <f>'09월 에너지'!S709</f>
        <v>145.30000000000001</v>
      </c>
      <c r="AA707" s="1017"/>
      <c r="AB707" s="1208"/>
      <c r="AC707" s="1208"/>
      <c r="AD707" s="1208"/>
      <c r="AE707" s="1208"/>
      <c r="AF707" s="1208"/>
      <c r="AG707" s="1018">
        <f>'09월 화학성분'!AM707</f>
        <v>1610</v>
      </c>
      <c r="AH707" s="1006">
        <f t="shared" si="141"/>
        <v>15</v>
      </c>
      <c r="AI707" s="1019">
        <v>1571</v>
      </c>
      <c r="AJ707" s="1020">
        <v>0</v>
      </c>
      <c r="AK707" s="1021">
        <v>472</v>
      </c>
      <c r="AL707" s="1022">
        <v>9</v>
      </c>
      <c r="AM707" s="1155">
        <f>IF(AT707="","",3*'09월 에너지'!S709*(1/(3+7.8*(100-AT707)/AT707)))</f>
        <v>1.0171904169259489</v>
      </c>
      <c r="AN707" s="1023">
        <v>0.12083333333333333</v>
      </c>
      <c r="AO707" s="1024"/>
      <c r="AP707" s="1025"/>
      <c r="AQ707" s="1025"/>
      <c r="AR707" s="1149" t="str">
        <f t="shared" si="142"/>
        <v/>
      </c>
      <c r="AS707" s="1093">
        <f t="shared" si="153"/>
        <v>12</v>
      </c>
      <c r="AT707" s="1156">
        <v>1.8</v>
      </c>
      <c r="AU707" s="449"/>
      <c r="AV707" s="1205"/>
    </row>
    <row r="708" spans="1:48" ht="16.5" customHeight="1">
      <c r="A708" s="1005">
        <f t="shared" si="143"/>
        <v>46291</v>
      </c>
      <c r="B708" s="1005">
        <f t="shared" si="144"/>
        <v>46291</v>
      </c>
      <c r="C708" s="1150">
        <f t="shared" si="145"/>
        <v>16</v>
      </c>
      <c r="D708" s="1150">
        <f t="shared" si="146"/>
        <v>697</v>
      </c>
      <c r="E708" s="1006" t="str">
        <f t="shared" si="147"/>
        <v>D</v>
      </c>
      <c r="F708" s="1007" t="str">
        <f t="shared" si="148"/>
        <v>A</v>
      </c>
      <c r="G708" s="1008">
        <f t="shared" si="149"/>
        <v>85910</v>
      </c>
      <c r="H708" s="1138">
        <f t="shared" si="150"/>
        <v>0.67013888888888884</v>
      </c>
      <c r="I708" s="1009">
        <v>0.66805555555555562</v>
      </c>
      <c r="J708" s="1010">
        <f t="shared" si="151"/>
        <v>45.000000000000156</v>
      </c>
      <c r="K708" s="1011"/>
      <c r="L708" s="1012"/>
      <c r="M708" s="1013"/>
      <c r="N708" s="1014" t="str">
        <f t="shared" si="152"/>
        <v/>
      </c>
      <c r="O708" s="1323" t="s">
        <v>1004</v>
      </c>
      <c r="P708" s="1324"/>
      <c r="Q708" s="1324"/>
      <c r="R708" s="1324"/>
      <c r="S708" s="1324"/>
      <c r="T708" s="1325"/>
      <c r="U708" s="1015">
        <v>1.8</v>
      </c>
      <c r="V708" s="1015"/>
      <c r="W708" s="1015"/>
      <c r="X708" s="1015"/>
      <c r="Y708" s="1015">
        <v>2.4</v>
      </c>
      <c r="Z708" s="1016">
        <f>'09월 에너지'!S710</f>
        <v>137</v>
      </c>
      <c r="AA708" s="1017"/>
      <c r="AB708" s="1208"/>
      <c r="AC708" s="1208"/>
      <c r="AD708" s="1208"/>
      <c r="AE708" s="1208"/>
      <c r="AF708" s="1208"/>
      <c r="AG708" s="1018">
        <f>'09월 화학성분'!AM708</f>
        <v>2510</v>
      </c>
      <c r="AH708" s="1006">
        <f t="shared" si="141"/>
        <v>16</v>
      </c>
      <c r="AI708" s="1019">
        <v>1550</v>
      </c>
      <c r="AJ708" s="1020">
        <v>65</v>
      </c>
      <c r="AK708" s="1021" t="s">
        <v>552</v>
      </c>
      <c r="AL708" s="1022" t="s">
        <v>552</v>
      </c>
      <c r="AM708" s="1155">
        <f>IF(AT708="","",3*'09월 에너지'!S710*(1/(3+7.8*(100-AT708)/AT708)))</f>
        <v>2.9431890515595165</v>
      </c>
      <c r="AN708" s="1023">
        <v>0.13402777777777777</v>
      </c>
      <c r="AO708" s="1024"/>
      <c r="AP708" s="1025"/>
      <c r="AQ708" s="1025"/>
      <c r="AR708" s="1149">
        <f t="shared" si="142"/>
        <v>8</v>
      </c>
      <c r="AS708" s="1093" t="str">
        <f t="shared" si="153"/>
        <v xml:space="preserve"> </v>
      </c>
      <c r="AT708" s="1156">
        <v>5.4</v>
      </c>
      <c r="AU708" s="449"/>
      <c r="AV708" s="1205"/>
    </row>
    <row r="709" spans="1:48" ht="16.5" customHeight="1">
      <c r="A709" s="1005">
        <f t="shared" si="143"/>
        <v>46291</v>
      </c>
      <c r="B709" s="1005">
        <f t="shared" si="144"/>
        <v>46291</v>
      </c>
      <c r="C709" s="1150">
        <f t="shared" si="145"/>
        <v>17</v>
      </c>
      <c r="D709" s="1150">
        <f t="shared" si="146"/>
        <v>698</v>
      </c>
      <c r="E709" s="1006" t="str">
        <f t="shared" si="147"/>
        <v>D</v>
      </c>
      <c r="F709" s="1007" t="str">
        <f t="shared" si="148"/>
        <v>B</v>
      </c>
      <c r="G709" s="1008">
        <f t="shared" si="149"/>
        <v>85911</v>
      </c>
      <c r="H709" s="1138">
        <f t="shared" si="150"/>
        <v>0.70138888888888895</v>
      </c>
      <c r="I709" s="1009">
        <v>0.69791666666666663</v>
      </c>
      <c r="J709" s="1010">
        <f t="shared" si="151"/>
        <v>42.999999999999844</v>
      </c>
      <c r="K709" s="1011"/>
      <c r="L709" s="1012"/>
      <c r="M709" s="1013"/>
      <c r="N709" s="1014" t="str">
        <f t="shared" si="152"/>
        <v/>
      </c>
      <c r="O709" s="1338" t="s">
        <v>1005</v>
      </c>
      <c r="P709" s="1324"/>
      <c r="Q709" s="1324"/>
      <c r="R709" s="1324"/>
      <c r="S709" s="1324"/>
      <c r="T709" s="1325"/>
      <c r="U709" s="1015">
        <v>1.8</v>
      </c>
      <c r="V709" s="1015"/>
      <c r="W709" s="1015"/>
      <c r="X709" s="1015"/>
      <c r="Y709" s="1015"/>
      <c r="Z709" s="1016">
        <f>'09월 에너지'!S711</f>
        <v>146.1</v>
      </c>
      <c r="AA709" s="1017"/>
      <c r="AB709" s="1208"/>
      <c r="AC709" s="1208"/>
      <c r="AD709" s="1208"/>
      <c r="AE709" s="1208"/>
      <c r="AF709" s="1208"/>
      <c r="AG709" s="1018">
        <f>'09월 화학성분'!AM709</f>
        <v>1217</v>
      </c>
      <c r="AH709" s="1006">
        <f t="shared" si="141"/>
        <v>17</v>
      </c>
      <c r="AI709" s="1019">
        <v>1574</v>
      </c>
      <c r="AJ709" s="1020">
        <v>0</v>
      </c>
      <c r="AK709" s="1021">
        <v>737</v>
      </c>
      <c r="AL709" s="1022">
        <v>5</v>
      </c>
      <c r="AM709" s="1155">
        <f>IF(AT709="","",3*'09월 에너지'!S711*(1/(3+7.8*(100-AT709)/AT709)))</f>
        <v>2.3044164037854888</v>
      </c>
      <c r="AN709" s="1023">
        <v>0.11597222222222221</v>
      </c>
      <c r="AO709" s="1024"/>
      <c r="AP709" s="1025"/>
      <c r="AQ709" s="1025"/>
      <c r="AR709" s="1149" t="str">
        <f t="shared" si="142"/>
        <v/>
      </c>
      <c r="AS709" s="1093">
        <f t="shared" si="153"/>
        <v>13</v>
      </c>
      <c r="AT709" s="1156">
        <v>4</v>
      </c>
      <c r="AU709" s="449"/>
      <c r="AV709" s="1205"/>
    </row>
    <row r="710" spans="1:48" ht="16.5" customHeight="1">
      <c r="A710" s="1005">
        <f t="shared" si="143"/>
        <v>46291</v>
      </c>
      <c r="B710" s="1005">
        <f t="shared" si="144"/>
        <v>46291</v>
      </c>
      <c r="C710" s="1150">
        <f t="shared" si="145"/>
        <v>18</v>
      </c>
      <c r="D710" s="1150">
        <f t="shared" si="146"/>
        <v>699</v>
      </c>
      <c r="E710" s="1006" t="str">
        <f t="shared" si="147"/>
        <v>D</v>
      </c>
      <c r="F710" s="1007" t="str">
        <f t="shared" si="148"/>
        <v>A</v>
      </c>
      <c r="G710" s="1008">
        <f t="shared" si="149"/>
        <v>85912</v>
      </c>
      <c r="H710" s="1138">
        <f t="shared" si="150"/>
        <v>0.73124999999999996</v>
      </c>
      <c r="I710" s="1009">
        <v>0.73055555555555562</v>
      </c>
      <c r="J710" s="1010">
        <f t="shared" si="151"/>
        <v>47.000000000000156</v>
      </c>
      <c r="K710" s="1011"/>
      <c r="L710" s="1012"/>
      <c r="M710" s="1013"/>
      <c r="N710" s="1014" t="str">
        <f t="shared" si="152"/>
        <v/>
      </c>
      <c r="O710" s="1323" t="s">
        <v>577</v>
      </c>
      <c r="P710" s="1324"/>
      <c r="Q710" s="1324"/>
      <c r="R710" s="1324"/>
      <c r="S710" s="1324"/>
      <c r="T710" s="1325"/>
      <c r="U710" s="1015">
        <v>1.8</v>
      </c>
      <c r="V710" s="1015"/>
      <c r="W710" s="1015"/>
      <c r="X710" s="1015"/>
      <c r="Y710" s="1015">
        <v>2.5</v>
      </c>
      <c r="Z710" s="1016">
        <f>'09월 에너지'!S712</f>
        <v>144.30000000000001</v>
      </c>
      <c r="AA710" s="1017"/>
      <c r="AB710" s="1208"/>
      <c r="AC710" s="1208"/>
      <c r="AD710" s="1208"/>
      <c r="AE710" s="1208"/>
      <c r="AF710" s="1208"/>
      <c r="AG710" s="1018">
        <f>'09월 화학성분'!AM710</f>
        <v>2079</v>
      </c>
      <c r="AH710" s="1006">
        <f t="shared" si="141"/>
        <v>18</v>
      </c>
      <c r="AI710" s="1019">
        <v>1572</v>
      </c>
      <c r="AJ710" s="1020">
        <v>0</v>
      </c>
      <c r="AK710" s="1021">
        <v>749</v>
      </c>
      <c r="AL710" s="1022">
        <v>5</v>
      </c>
      <c r="AM710" s="1155">
        <f>IF(AT710="","",3*'09월 에너지'!S712*(1/(3+7.8*(100-AT710)/AT710)))</f>
        <v>2.2177254098360661</v>
      </c>
      <c r="AN710" s="1023">
        <v>0.12013888888888889</v>
      </c>
      <c r="AO710" s="1024"/>
      <c r="AP710" s="1025"/>
      <c r="AQ710" s="1025"/>
      <c r="AR710" s="1149">
        <f t="shared" si="142"/>
        <v>9</v>
      </c>
      <c r="AS710" s="1093" t="str">
        <f t="shared" si="153"/>
        <v xml:space="preserve"> </v>
      </c>
      <c r="AT710" s="1156">
        <v>3.9</v>
      </c>
      <c r="AU710" s="449"/>
      <c r="AV710" s="1205"/>
    </row>
    <row r="711" spans="1:48" ht="16.5" customHeight="1">
      <c r="A711" s="1005">
        <f t="shared" si="143"/>
        <v>46291</v>
      </c>
      <c r="B711" s="1005">
        <f t="shared" si="144"/>
        <v>46291</v>
      </c>
      <c r="C711" s="1150">
        <f t="shared" si="145"/>
        <v>19</v>
      </c>
      <c r="D711" s="1150">
        <f t="shared" si="146"/>
        <v>700</v>
      </c>
      <c r="E711" s="1006" t="str">
        <f t="shared" si="147"/>
        <v>D</v>
      </c>
      <c r="F711" s="1007" t="str">
        <f t="shared" si="148"/>
        <v>B</v>
      </c>
      <c r="G711" s="1008">
        <f t="shared" si="149"/>
        <v>85913</v>
      </c>
      <c r="H711" s="1138">
        <f t="shared" si="150"/>
        <v>0.76388888888888895</v>
      </c>
      <c r="I711" s="1009">
        <v>0.76250000000000007</v>
      </c>
      <c r="J711" s="1010">
        <f t="shared" si="151"/>
        <v>46</v>
      </c>
      <c r="K711" s="1011"/>
      <c r="L711" s="1012"/>
      <c r="M711" s="1013"/>
      <c r="N711" s="1014" t="str">
        <f t="shared" si="152"/>
        <v/>
      </c>
      <c r="O711" s="1323" t="s">
        <v>1006</v>
      </c>
      <c r="P711" s="1324"/>
      <c r="Q711" s="1324"/>
      <c r="R711" s="1324"/>
      <c r="S711" s="1324"/>
      <c r="T711" s="1325"/>
      <c r="U711" s="1015">
        <v>1.8</v>
      </c>
      <c r="V711" s="1015">
        <v>2.6</v>
      </c>
      <c r="W711" s="1015">
        <v>1.5</v>
      </c>
      <c r="X711" s="1015"/>
      <c r="Y711" s="1015"/>
      <c r="Z711" s="1016">
        <f>'09월 에너지'!S713</f>
        <v>144.1</v>
      </c>
      <c r="AA711" s="1017"/>
      <c r="AB711" s="1208"/>
      <c r="AC711" s="1208"/>
      <c r="AD711" s="1208"/>
      <c r="AE711" s="1208"/>
      <c r="AF711" s="1208"/>
      <c r="AG711" s="1018">
        <f>'09월 화학성분'!AM711</f>
        <v>1715</v>
      </c>
      <c r="AH711" s="1006">
        <f t="shared" si="141"/>
        <v>19</v>
      </c>
      <c r="AI711" s="1019">
        <v>1572</v>
      </c>
      <c r="AJ711" s="1020">
        <v>0</v>
      </c>
      <c r="AK711" s="1021" t="s">
        <v>563</v>
      </c>
      <c r="AL711" s="1022" t="s">
        <v>1007</v>
      </c>
      <c r="AM711" s="1155">
        <f>IF(AT711="","",3*'09월 에너지'!S713*(1/(3+7.8*(100-AT711)/AT711)))</f>
        <v>1.8668734296482408</v>
      </c>
      <c r="AN711" s="1023">
        <v>9.6527777777777768E-2</v>
      </c>
      <c r="AO711" s="1024"/>
      <c r="AP711" s="1025"/>
      <c r="AQ711" s="1025"/>
      <c r="AR711" s="1149" t="str">
        <f t="shared" si="142"/>
        <v/>
      </c>
      <c r="AS711" s="1093">
        <f t="shared" si="153"/>
        <v>14</v>
      </c>
      <c r="AT711" s="1156">
        <v>3.3</v>
      </c>
      <c r="AU711" s="449"/>
      <c r="AV711" s="1205"/>
    </row>
    <row r="712" spans="1:48" ht="16.5" customHeight="1">
      <c r="A712" s="1005">
        <f t="shared" si="143"/>
        <v>46291</v>
      </c>
      <c r="B712" s="1005">
        <f t="shared" si="144"/>
        <v>46291</v>
      </c>
      <c r="C712" s="1150">
        <f t="shared" si="145"/>
        <v>20</v>
      </c>
      <c r="D712" s="1150">
        <f t="shared" si="146"/>
        <v>701</v>
      </c>
      <c r="E712" s="1006" t="str">
        <f t="shared" si="147"/>
        <v>D</v>
      </c>
      <c r="F712" s="1007" t="str">
        <f t="shared" si="148"/>
        <v>A</v>
      </c>
      <c r="G712" s="1008">
        <f t="shared" si="149"/>
        <v>85914</v>
      </c>
      <c r="H712" s="1138">
        <f t="shared" si="150"/>
        <v>0.79583333333333339</v>
      </c>
      <c r="I712" s="1009">
        <v>0.7944444444444444</v>
      </c>
      <c r="J712" s="1010">
        <f t="shared" si="151"/>
        <v>45.999999999999837</v>
      </c>
      <c r="K712" s="1011"/>
      <c r="L712" s="1012"/>
      <c r="M712" s="1013"/>
      <c r="N712" s="1014" t="str">
        <f t="shared" si="152"/>
        <v/>
      </c>
      <c r="O712" s="1323"/>
      <c r="P712" s="1324"/>
      <c r="Q712" s="1324"/>
      <c r="R712" s="1324"/>
      <c r="S712" s="1324"/>
      <c r="T712" s="1325"/>
      <c r="U712" s="1015">
        <v>1.8</v>
      </c>
      <c r="V712" s="1015">
        <v>2.8</v>
      </c>
      <c r="W712" s="1015">
        <v>1.4</v>
      </c>
      <c r="X712" s="1015"/>
      <c r="Y712" s="1015"/>
      <c r="Z712" s="1016">
        <f>'09월 에너지'!S714</f>
        <v>141.19999999999999</v>
      </c>
      <c r="AA712" s="1017"/>
      <c r="AB712" s="1208"/>
      <c r="AC712" s="1208"/>
      <c r="AD712" s="1208"/>
      <c r="AE712" s="1208"/>
      <c r="AF712" s="1208"/>
      <c r="AG712" s="1018">
        <f>'09월 화학성분'!AM712</f>
        <v>2306</v>
      </c>
      <c r="AH712" s="1006">
        <f t="shared" si="141"/>
        <v>20</v>
      </c>
      <c r="AI712" s="1019">
        <v>1583</v>
      </c>
      <c r="AJ712" s="1020">
        <v>100</v>
      </c>
      <c r="AK712" s="1021">
        <v>822</v>
      </c>
      <c r="AL712" s="1022">
        <v>4</v>
      </c>
      <c r="AM712" s="1155">
        <f>IF(AT712="","",3*'09월 에너지'!S714*(1/(3+7.8*(100-AT712)/AT712)))</f>
        <v>2.8594345616264292</v>
      </c>
      <c r="AN712" s="1023">
        <v>0.12708333333333333</v>
      </c>
      <c r="AO712" s="1024"/>
      <c r="AP712" s="1025"/>
      <c r="AQ712" s="1025"/>
      <c r="AR712" s="1149">
        <f t="shared" si="142"/>
        <v>10</v>
      </c>
      <c r="AS712" s="1093" t="str">
        <f t="shared" si="153"/>
        <v xml:space="preserve"> </v>
      </c>
      <c r="AT712" s="1156">
        <v>5.0999999999999996</v>
      </c>
      <c r="AU712" s="449"/>
      <c r="AV712" s="1205"/>
    </row>
    <row r="713" spans="1:48" ht="16.5" customHeight="1">
      <c r="A713" s="1005">
        <f t="shared" si="143"/>
        <v>46291</v>
      </c>
      <c r="B713" s="1005">
        <f t="shared" si="144"/>
        <v>46291</v>
      </c>
      <c r="C713" s="1150">
        <f t="shared" si="145"/>
        <v>21</v>
      </c>
      <c r="D713" s="1150">
        <f t="shared" si="146"/>
        <v>702</v>
      </c>
      <c r="E713" s="1006" t="str">
        <f t="shared" si="147"/>
        <v>D</v>
      </c>
      <c r="F713" s="1007" t="str">
        <f t="shared" si="148"/>
        <v>B</v>
      </c>
      <c r="G713" s="1008">
        <f t="shared" si="149"/>
        <v>85915</v>
      </c>
      <c r="H713" s="1138">
        <f t="shared" si="150"/>
        <v>0.82777777777777772</v>
      </c>
      <c r="I713" s="1009">
        <v>0.82916666666666661</v>
      </c>
      <c r="J713" s="1010">
        <f t="shared" si="151"/>
        <v>49.999999999999986</v>
      </c>
      <c r="K713" s="1011"/>
      <c r="L713" s="1012"/>
      <c r="M713" s="1013"/>
      <c r="N713" s="1014" t="str">
        <f t="shared" si="152"/>
        <v/>
      </c>
      <c r="O713" s="1323" t="s">
        <v>1011</v>
      </c>
      <c r="P713" s="1324"/>
      <c r="Q713" s="1324"/>
      <c r="R713" s="1324"/>
      <c r="S713" s="1324"/>
      <c r="T713" s="1325"/>
      <c r="U713" s="1015">
        <v>1.8</v>
      </c>
      <c r="V713" s="1015"/>
      <c r="W713" s="1015"/>
      <c r="X713" s="1015"/>
      <c r="Y713" s="1015"/>
      <c r="Z713" s="1016">
        <f>'09월 에너지'!S715</f>
        <v>143.4</v>
      </c>
      <c r="AA713" s="1017">
        <v>1799</v>
      </c>
      <c r="AB713" s="1208" t="s">
        <v>551</v>
      </c>
      <c r="AC713" s="1208" t="s">
        <v>548</v>
      </c>
      <c r="AD713" s="1208" t="s">
        <v>532</v>
      </c>
      <c r="AE713" s="1208"/>
      <c r="AF713" s="1208" t="s">
        <v>1008</v>
      </c>
      <c r="AG713" s="1018">
        <f>'09월 화학성분'!AM713</f>
        <v>2064</v>
      </c>
      <c r="AH713" s="1006">
        <f t="shared" si="141"/>
        <v>21</v>
      </c>
      <c r="AI713" s="1019">
        <v>1588</v>
      </c>
      <c r="AJ713" s="1020">
        <v>0</v>
      </c>
      <c r="AK713" s="1021">
        <v>583</v>
      </c>
      <c r="AL713" s="1022">
        <v>7</v>
      </c>
      <c r="AM713" s="1155">
        <f>IF(AT713="","",3*'09월 에너지'!S715*(1/(3+7.8*(100-AT713)/AT713)))</f>
        <v>0.94752798507462699</v>
      </c>
      <c r="AN713" s="1023">
        <v>0.1388888888888889</v>
      </c>
      <c r="AO713" s="1024" t="s">
        <v>538</v>
      </c>
      <c r="AP713" s="1025">
        <v>2000105</v>
      </c>
      <c r="AQ713" s="1025">
        <v>2120</v>
      </c>
      <c r="AR713" s="1149" t="str">
        <f t="shared" si="142"/>
        <v/>
      </c>
      <c r="AS713" s="1093">
        <v>1</v>
      </c>
      <c r="AT713" s="1156">
        <v>1.7</v>
      </c>
      <c r="AU713" s="449"/>
      <c r="AV713" s="1205"/>
    </row>
    <row r="714" spans="1:48" ht="16.5" customHeight="1">
      <c r="A714" s="1005">
        <f t="shared" si="143"/>
        <v>46291</v>
      </c>
      <c r="B714" s="1005">
        <f t="shared" si="144"/>
        <v>46291</v>
      </c>
      <c r="C714" s="1150">
        <f t="shared" si="145"/>
        <v>22</v>
      </c>
      <c r="D714" s="1150">
        <f t="shared" si="146"/>
        <v>703</v>
      </c>
      <c r="E714" s="1006" t="str">
        <f t="shared" si="147"/>
        <v>D</v>
      </c>
      <c r="F714" s="1007" t="str">
        <f t="shared" si="148"/>
        <v>A</v>
      </c>
      <c r="G714" s="1008">
        <f t="shared" si="149"/>
        <v>85916</v>
      </c>
      <c r="H714" s="1138">
        <f t="shared" si="150"/>
        <v>0.86249999999999993</v>
      </c>
      <c r="I714" s="1009">
        <v>0.8652777777777777</v>
      </c>
      <c r="J714" s="1010">
        <f t="shared" si="151"/>
        <v>51.999999999999972</v>
      </c>
      <c r="K714" s="1011"/>
      <c r="L714" s="1012"/>
      <c r="M714" s="1013"/>
      <c r="N714" s="1014" t="str">
        <f t="shared" si="152"/>
        <v/>
      </c>
      <c r="O714" s="1323" t="s">
        <v>530</v>
      </c>
      <c r="P714" s="1324"/>
      <c r="Q714" s="1324"/>
      <c r="R714" s="1324"/>
      <c r="S714" s="1324"/>
      <c r="T714" s="1325"/>
      <c r="U714" s="1015">
        <v>1.8</v>
      </c>
      <c r="V714" s="1015"/>
      <c r="W714" s="1015"/>
      <c r="X714" s="1015"/>
      <c r="Y714" s="1015">
        <v>2.5</v>
      </c>
      <c r="Z714" s="1016">
        <f>'09월 에너지'!S716</f>
        <v>144.6</v>
      </c>
      <c r="AA714" s="1017">
        <v>2400</v>
      </c>
      <c r="AB714" s="1208" t="s">
        <v>551</v>
      </c>
      <c r="AC714" s="1208" t="s">
        <v>548</v>
      </c>
      <c r="AD714" s="1208" t="s">
        <v>532</v>
      </c>
      <c r="AE714" s="1208"/>
      <c r="AF714" s="1208" t="s">
        <v>532</v>
      </c>
      <c r="AG714" s="1018">
        <f>'09월 화학성분'!AM714</f>
        <v>2510</v>
      </c>
      <c r="AH714" s="1006">
        <f t="shared" si="141"/>
        <v>22</v>
      </c>
      <c r="AI714" s="1019">
        <v>1576</v>
      </c>
      <c r="AJ714" s="1020">
        <v>0</v>
      </c>
      <c r="AK714" s="1021">
        <v>346</v>
      </c>
      <c r="AL714" s="1022">
        <v>13</v>
      </c>
      <c r="AM714" s="1155">
        <f>IF(AT714="","",3*'09월 에너지'!S716*(1/(3+7.8*(100-AT714)/AT714)))</f>
        <v>1.873351130653266</v>
      </c>
      <c r="AN714" s="1023">
        <v>0.12708333333333333</v>
      </c>
      <c r="AO714" s="1024"/>
      <c r="AP714" s="1025"/>
      <c r="AQ714" s="1025"/>
      <c r="AR714" s="1149">
        <f t="shared" si="142"/>
        <v>11</v>
      </c>
      <c r="AS714" s="1093" t="str">
        <f t="shared" si="153"/>
        <v xml:space="preserve"> </v>
      </c>
      <c r="AT714" s="1156">
        <v>3.3</v>
      </c>
      <c r="AU714" s="449"/>
      <c r="AV714" s="1205"/>
    </row>
    <row r="715" spans="1:48" ht="16.5" customHeight="1">
      <c r="A715" s="1005">
        <f t="shared" si="143"/>
        <v>46291</v>
      </c>
      <c r="B715" s="1005">
        <f t="shared" si="144"/>
        <v>46291</v>
      </c>
      <c r="C715" s="1150">
        <f t="shared" si="145"/>
        <v>23</v>
      </c>
      <c r="D715" s="1150">
        <f t="shared" si="146"/>
        <v>704</v>
      </c>
      <c r="E715" s="1006" t="str">
        <f t="shared" si="147"/>
        <v>D</v>
      </c>
      <c r="F715" s="1007" t="str">
        <f t="shared" si="148"/>
        <v>B</v>
      </c>
      <c r="G715" s="1008">
        <f t="shared" si="149"/>
        <v>85917</v>
      </c>
      <c r="H715" s="1138">
        <f t="shared" si="150"/>
        <v>0.89861111111111103</v>
      </c>
      <c r="I715" s="1009">
        <v>0.89722222222222225</v>
      </c>
      <c r="J715" s="1010">
        <f t="shared" si="151"/>
        <v>46.000000000000156</v>
      </c>
      <c r="K715" s="1011"/>
      <c r="L715" s="1012"/>
      <c r="M715" s="1013"/>
      <c r="N715" s="1014" t="str">
        <f t="shared" si="152"/>
        <v/>
      </c>
      <c r="O715" s="1323"/>
      <c r="P715" s="1324"/>
      <c r="Q715" s="1324"/>
      <c r="R715" s="1324"/>
      <c r="S715" s="1324"/>
      <c r="T715" s="1325"/>
      <c r="U715" s="1015">
        <v>1.8</v>
      </c>
      <c r="V715" s="1015">
        <v>2.7</v>
      </c>
      <c r="W715" s="1015">
        <v>1.5</v>
      </c>
      <c r="X715" s="1015"/>
      <c r="Y715" s="1015"/>
      <c r="Z715" s="1016">
        <f>'09월 에너지'!S717</f>
        <v>143.30000000000001</v>
      </c>
      <c r="AA715" s="1017"/>
      <c r="AB715" s="1208"/>
      <c r="AC715" s="1208"/>
      <c r="AD715" s="1208"/>
      <c r="AE715" s="1208"/>
      <c r="AF715" s="1208"/>
      <c r="AG715" s="1018">
        <f>'09월 화학성분'!AM715</f>
        <v>1628</v>
      </c>
      <c r="AH715" s="1006">
        <f t="shared" si="141"/>
        <v>23</v>
      </c>
      <c r="AI715" s="1019">
        <v>1595</v>
      </c>
      <c r="AJ715" s="1020">
        <v>0</v>
      </c>
      <c r="AK715" s="1021">
        <v>749</v>
      </c>
      <c r="AL715" s="1022">
        <v>5</v>
      </c>
      <c r="AM715" s="1155">
        <f>IF(AT715="","",3*'09월 에너지'!S717*(1/(3+7.8*(100-AT715)/AT715)))</f>
        <v>1.6845611285266457</v>
      </c>
      <c r="AN715" s="1023">
        <v>0.11458333333333333</v>
      </c>
      <c r="AO715" s="1024"/>
      <c r="AP715" s="1025"/>
      <c r="AQ715" s="1025"/>
      <c r="AR715" s="1149" t="str">
        <f t="shared" si="142"/>
        <v/>
      </c>
      <c r="AS715" s="1093">
        <f t="shared" si="153"/>
        <v>2</v>
      </c>
      <c r="AT715" s="1156">
        <v>3</v>
      </c>
      <c r="AU715" s="449"/>
      <c r="AV715" s="1205"/>
    </row>
    <row r="716" spans="1:48" ht="16.5" customHeight="1">
      <c r="A716" s="1005">
        <f t="shared" si="143"/>
        <v>46291</v>
      </c>
      <c r="B716" s="1005">
        <f t="shared" si="144"/>
        <v>46291</v>
      </c>
      <c r="C716" s="1150">
        <f t="shared" si="145"/>
        <v>24</v>
      </c>
      <c r="D716" s="1150">
        <f t="shared" si="146"/>
        <v>705</v>
      </c>
      <c r="E716" s="1006" t="str">
        <f t="shared" si="147"/>
        <v>D</v>
      </c>
      <c r="F716" s="1007" t="str">
        <f t="shared" si="148"/>
        <v>A</v>
      </c>
      <c r="G716" s="1008">
        <f t="shared" si="149"/>
        <v>85918</v>
      </c>
      <c r="H716" s="1138">
        <f t="shared" si="150"/>
        <v>0.93055555555555558</v>
      </c>
      <c r="I716" s="1009">
        <v>0.92986111111111114</v>
      </c>
      <c r="J716" s="1010">
        <f t="shared" si="151"/>
        <v>46.999999999999993</v>
      </c>
      <c r="K716" s="1011"/>
      <c r="L716" s="1012"/>
      <c r="M716" s="1013"/>
      <c r="N716" s="1014" t="str">
        <f t="shared" si="152"/>
        <v/>
      </c>
      <c r="O716" s="1323"/>
      <c r="P716" s="1324"/>
      <c r="Q716" s="1324"/>
      <c r="R716" s="1324"/>
      <c r="S716" s="1324"/>
      <c r="T716" s="1325"/>
      <c r="U716" s="1015">
        <v>1.8</v>
      </c>
      <c r="V716" s="1015">
        <v>2.8</v>
      </c>
      <c r="W716" s="1015">
        <v>1.4</v>
      </c>
      <c r="X716" s="1015"/>
      <c r="Y716" s="1015"/>
      <c r="Z716" s="1016">
        <f>'09월 에너지'!S718</f>
        <v>141.30000000000001</v>
      </c>
      <c r="AA716" s="1017"/>
      <c r="AB716" s="1208"/>
      <c r="AC716" s="1208"/>
      <c r="AD716" s="1208"/>
      <c r="AE716" s="1208"/>
      <c r="AF716" s="1208"/>
      <c r="AG716" s="1018">
        <f>'09월 화학성분'!AM716</f>
        <v>2247</v>
      </c>
      <c r="AH716" s="1006">
        <f t="shared" si="141"/>
        <v>24</v>
      </c>
      <c r="AI716" s="1019">
        <v>1592</v>
      </c>
      <c r="AJ716" s="1020">
        <v>0</v>
      </c>
      <c r="AK716" s="1021">
        <v>745</v>
      </c>
      <c r="AL716" s="1022">
        <v>5</v>
      </c>
      <c r="AM716" s="1155">
        <f>IF(AT716="","",3*'09월 에너지'!S718*(1/(3+7.8*(100-AT716)/AT716)))</f>
        <v>1.717495294855709</v>
      </c>
      <c r="AN716" s="1023">
        <v>0.1277777777777778</v>
      </c>
      <c r="AO716" s="1024"/>
      <c r="AP716" s="1025"/>
      <c r="AQ716" s="1025"/>
      <c r="AR716" s="1149">
        <f t="shared" si="142"/>
        <v>12</v>
      </c>
      <c r="AS716" s="1093" t="str">
        <f t="shared" si="153"/>
        <v xml:space="preserve"> </v>
      </c>
      <c r="AT716" s="1156">
        <v>3.1</v>
      </c>
      <c r="AU716" s="449"/>
      <c r="AV716" s="1205"/>
    </row>
    <row r="717" spans="1:48" ht="16.5" customHeight="1">
      <c r="A717" s="1005">
        <f t="shared" si="143"/>
        <v>46291</v>
      </c>
      <c r="B717" s="1005">
        <f t="shared" si="144"/>
        <v>46291</v>
      </c>
      <c r="C717" s="1150">
        <f t="shared" si="145"/>
        <v>25</v>
      </c>
      <c r="D717" s="1150">
        <f t="shared" si="146"/>
        <v>706</v>
      </c>
      <c r="E717" s="1006" t="s">
        <v>578</v>
      </c>
      <c r="F717" s="1007" t="str">
        <f t="shared" si="148"/>
        <v>B</v>
      </c>
      <c r="G717" s="1008">
        <f t="shared" si="149"/>
        <v>85919</v>
      </c>
      <c r="H717" s="1138">
        <f t="shared" si="150"/>
        <v>0.96319444444444446</v>
      </c>
      <c r="I717" s="1009">
        <v>0.96458333333333324</v>
      </c>
      <c r="J717" s="1010">
        <f t="shared" si="151"/>
        <v>49.999999999999822</v>
      </c>
      <c r="K717" s="1011"/>
      <c r="L717" s="1012"/>
      <c r="M717" s="1013"/>
      <c r="N717" s="1014" t="str">
        <f t="shared" si="152"/>
        <v/>
      </c>
      <c r="O717" s="1338" t="s">
        <v>1009</v>
      </c>
      <c r="P717" s="1324"/>
      <c r="Q717" s="1324"/>
      <c r="R717" s="1324"/>
      <c r="S717" s="1324"/>
      <c r="T717" s="1325"/>
      <c r="U717" s="1015">
        <v>1.8</v>
      </c>
      <c r="V717" s="1015"/>
      <c r="W717" s="1015"/>
      <c r="X717" s="1015"/>
      <c r="Y717" s="1015"/>
      <c r="Z717" s="1016">
        <f>'09월 에너지'!S719</f>
        <v>142.6</v>
      </c>
      <c r="AA717" s="1017">
        <v>1217</v>
      </c>
      <c r="AB717" s="1208" t="s">
        <v>551</v>
      </c>
      <c r="AC717" s="1208"/>
      <c r="AD717" s="1208" t="s">
        <v>548</v>
      </c>
      <c r="AE717" s="1208"/>
      <c r="AF717" s="1208"/>
      <c r="AG717" s="1018">
        <f>'09월 화학성분'!AM717</f>
        <v>2898</v>
      </c>
      <c r="AH717" s="1006">
        <f t="shared" ref="AH717:AH780" si="154">IF(I717="","",AH716+1)</f>
        <v>25</v>
      </c>
      <c r="AI717" s="1019">
        <v>1583</v>
      </c>
      <c r="AJ717" s="1020">
        <v>0</v>
      </c>
      <c r="AK717" s="1021">
        <v>369</v>
      </c>
      <c r="AL717" s="1022">
        <v>12</v>
      </c>
      <c r="AM717" s="1155">
        <f>IF(AT717="","",3*'09월 에너지'!S719*(1/(3+7.8*(100-AT717)/AT717)))</f>
        <v>1.2231752963194011</v>
      </c>
      <c r="AN717" s="1023">
        <v>0.15625</v>
      </c>
      <c r="AO717" s="1024"/>
      <c r="AP717" s="1025"/>
      <c r="AQ717" s="1025"/>
      <c r="AR717" s="1149" t="str">
        <f t="shared" ref="AR717:AR780" si="155">IF(F717="A",IFERROR(IF(I717="","",IF(F717="A",AR716+1," ")),AR715+1),"")</f>
        <v/>
      </c>
      <c r="AS717" s="1093">
        <f t="shared" si="153"/>
        <v>3</v>
      </c>
      <c r="AT717" s="1156">
        <v>2.2000000000000002</v>
      </c>
      <c r="AU717" s="449"/>
      <c r="AV717" s="1205"/>
    </row>
    <row r="718" spans="1:48" ht="16.5" customHeight="1">
      <c r="A718" s="1005">
        <f t="shared" ref="A718:A781" si="156">IF(I718="","",A717)</f>
        <v>46291</v>
      </c>
      <c r="B718" s="1005">
        <f t="shared" ref="B718:B781" si="157">IF(J718="","",B717)</f>
        <v>46291</v>
      </c>
      <c r="C718" s="1150">
        <f t="shared" ref="C718:C781" si="158">IF(I718="","",IF(A718=A717,C717+1,1))</f>
        <v>26</v>
      </c>
      <c r="D718" s="1150">
        <f t="shared" ref="D718:D781" si="159">IF(C718="","",D717+1)</f>
        <v>707</v>
      </c>
      <c r="E718" s="1006" t="str">
        <f t="shared" ref="E718:E781" si="160">IF(C718="","",E717)</f>
        <v>A</v>
      </c>
      <c r="F718" s="1007" t="str">
        <f t="shared" ref="F718:F781" si="161">IF(C718="","",IF(F717="A","B","A"))</f>
        <v>A</v>
      </c>
      <c r="G718" s="1008">
        <f t="shared" ref="G718:G781" si="162">IF(C718="","",G717+1)</f>
        <v>85920</v>
      </c>
      <c r="H718" s="1138">
        <f t="shared" ref="H718:H781" si="163">IF(ISBLANK(I717),H717+C$8/1440,I717+C$8/1440)</f>
        <v>0.99791666666666656</v>
      </c>
      <c r="I718" s="1009">
        <v>0.99722222222222223</v>
      </c>
      <c r="J718" s="1010">
        <f t="shared" ref="J718:J781" si="164">IF(I718="","",IF(I718&lt;I717,(I718-I717)*1440+1440,(I718-I717)*1440))</f>
        <v>47.000000000000156</v>
      </c>
      <c r="K718" s="1011"/>
      <c r="L718" s="1012"/>
      <c r="M718" s="1013"/>
      <c r="N718" s="1014" t="str">
        <f t="shared" ref="N718:N781" si="165">IF(M718="","",M718+K718/1440)</f>
        <v/>
      </c>
      <c r="O718" s="1323"/>
      <c r="P718" s="1324"/>
      <c r="Q718" s="1324"/>
      <c r="R718" s="1324"/>
      <c r="S718" s="1324"/>
      <c r="T718" s="1325"/>
      <c r="U718" s="1015">
        <v>1.8</v>
      </c>
      <c r="V718" s="1015"/>
      <c r="W718" s="1015"/>
      <c r="X718" s="1015"/>
      <c r="Y718" s="1015">
        <v>2.5</v>
      </c>
      <c r="Z718" s="1016">
        <f>'09월 에너지'!S720</f>
        <v>143.4</v>
      </c>
      <c r="AA718" s="1017"/>
      <c r="AB718" s="1208"/>
      <c r="AC718" s="1208"/>
      <c r="AD718" s="1208"/>
      <c r="AE718" s="1208"/>
      <c r="AF718" s="1208"/>
      <c r="AG718" s="1018">
        <f>'09월 화학성분'!AM718</f>
        <v>2534</v>
      </c>
      <c r="AH718" s="1006">
        <f t="shared" si="154"/>
        <v>26</v>
      </c>
      <c r="AI718" s="1019">
        <v>1591</v>
      </c>
      <c r="AJ718" s="1020">
        <v>47</v>
      </c>
      <c r="AK718" s="1021">
        <v>630</v>
      </c>
      <c r="AL718" s="1022">
        <v>6</v>
      </c>
      <c r="AM718" s="1155">
        <f>IF(AT718="","",3*'09월 에너지'!S720*(1/(3+7.8*(100-AT718)/AT718)))</f>
        <v>1.9728773584905663</v>
      </c>
      <c r="AN718" s="1023">
        <v>0.16388888888888889</v>
      </c>
      <c r="AO718" s="1024"/>
      <c r="AP718" s="1025"/>
      <c r="AQ718" s="1025"/>
      <c r="AR718" s="1149">
        <f t="shared" si="155"/>
        <v>13</v>
      </c>
      <c r="AS718" s="1093" t="str">
        <f t="shared" ref="AS718:AS781" si="166">IFERROR(IF($I718="","",IF($F718="B",AS717+1," ")),AS716+1)</f>
        <v xml:space="preserve"> </v>
      </c>
      <c r="AT718" s="1156">
        <v>3.5</v>
      </c>
      <c r="AU718" s="449"/>
      <c r="AV718" s="1205"/>
    </row>
    <row r="719" spans="1:48" ht="16.5" customHeight="1">
      <c r="A719" s="1005">
        <f t="shared" si="156"/>
        <v>46291</v>
      </c>
      <c r="B719" s="1005">
        <f t="shared" si="157"/>
        <v>46291</v>
      </c>
      <c r="C719" s="1150">
        <f t="shared" si="158"/>
        <v>27</v>
      </c>
      <c r="D719" s="1150">
        <f t="shared" si="159"/>
        <v>708</v>
      </c>
      <c r="E719" s="1006" t="str">
        <f t="shared" si="160"/>
        <v>A</v>
      </c>
      <c r="F719" s="1007" t="str">
        <f t="shared" si="161"/>
        <v>B</v>
      </c>
      <c r="G719" s="1008">
        <f t="shared" si="162"/>
        <v>85921</v>
      </c>
      <c r="H719" s="1138">
        <f t="shared" si="163"/>
        <v>1.0305555555555557</v>
      </c>
      <c r="I719" s="1009">
        <v>2.9861111111111113E-2</v>
      </c>
      <c r="J719" s="1010">
        <f t="shared" si="164"/>
        <v>47</v>
      </c>
      <c r="K719" s="1011"/>
      <c r="L719" s="1012"/>
      <c r="M719" s="1013"/>
      <c r="N719" s="1014" t="str">
        <f t="shared" si="165"/>
        <v/>
      </c>
      <c r="O719" s="1323"/>
      <c r="P719" s="1324"/>
      <c r="Q719" s="1324"/>
      <c r="R719" s="1324"/>
      <c r="S719" s="1324"/>
      <c r="T719" s="1325"/>
      <c r="U719" s="1015">
        <v>1.8</v>
      </c>
      <c r="V719" s="1015"/>
      <c r="W719" s="1015"/>
      <c r="X719" s="1015">
        <v>2.8</v>
      </c>
      <c r="Y719" s="1015"/>
      <c r="Z719" s="1016">
        <f>'09월 에너지'!S721</f>
        <v>143.5</v>
      </c>
      <c r="AA719" s="1017"/>
      <c r="AB719" s="1208"/>
      <c r="AC719" s="1208"/>
      <c r="AD719" s="1208"/>
      <c r="AE719" s="1208"/>
      <c r="AF719" s="1208"/>
      <c r="AG719" s="1018">
        <f>'09월 화학성분'!AM719</f>
        <v>1912</v>
      </c>
      <c r="AH719" s="1006">
        <f t="shared" si="154"/>
        <v>27</v>
      </c>
      <c r="AI719" s="1019">
        <v>1571</v>
      </c>
      <c r="AJ719" s="1020">
        <v>0</v>
      </c>
      <c r="AK719" s="1021">
        <v>334</v>
      </c>
      <c r="AL719" s="1022">
        <v>13</v>
      </c>
      <c r="AM719" s="1155">
        <f>IF(AT719="","",3*'09월 에너지'!S721*(1/(3+7.8*(100-AT719)/AT719)))</f>
        <v>2.4960468058191023</v>
      </c>
      <c r="AN719" s="1023">
        <v>0.1277777777777778</v>
      </c>
      <c r="AO719" s="1024"/>
      <c r="AP719" s="1025"/>
      <c r="AQ719" s="1025"/>
      <c r="AR719" s="1149" t="str">
        <f t="shared" si="155"/>
        <v/>
      </c>
      <c r="AS719" s="1093">
        <f t="shared" si="166"/>
        <v>4</v>
      </c>
      <c r="AT719" s="1156">
        <v>4.4000000000000004</v>
      </c>
      <c r="AU719" s="449"/>
      <c r="AV719" s="1205"/>
    </row>
    <row r="720" spans="1:48" ht="16.5" customHeight="1">
      <c r="A720" s="1005">
        <f t="shared" si="156"/>
        <v>46291</v>
      </c>
      <c r="B720" s="1005">
        <f t="shared" si="157"/>
        <v>46291</v>
      </c>
      <c r="C720" s="1150">
        <f t="shared" si="158"/>
        <v>28</v>
      </c>
      <c r="D720" s="1150">
        <f t="shared" si="159"/>
        <v>709</v>
      </c>
      <c r="E720" s="1006" t="str">
        <f t="shared" si="160"/>
        <v>A</v>
      </c>
      <c r="F720" s="1007" t="str">
        <f t="shared" si="161"/>
        <v>A</v>
      </c>
      <c r="G720" s="1008">
        <f t="shared" si="162"/>
        <v>85922</v>
      </c>
      <c r="H720" s="1138">
        <f t="shared" si="163"/>
        <v>6.3194444444444442E-2</v>
      </c>
      <c r="I720" s="1009">
        <v>6.1805555555555558E-2</v>
      </c>
      <c r="J720" s="1010">
        <f t="shared" si="164"/>
        <v>46</v>
      </c>
      <c r="K720" s="1011"/>
      <c r="L720" s="1012"/>
      <c r="M720" s="1013"/>
      <c r="N720" s="1014" t="str">
        <f t="shared" si="165"/>
        <v/>
      </c>
      <c r="O720" s="1323"/>
      <c r="P720" s="1324"/>
      <c r="Q720" s="1324"/>
      <c r="R720" s="1324"/>
      <c r="S720" s="1324"/>
      <c r="T720" s="1325"/>
      <c r="U720" s="1015">
        <v>1.8</v>
      </c>
      <c r="V720" s="1015"/>
      <c r="W720" s="1015"/>
      <c r="X720" s="1015">
        <v>3.4</v>
      </c>
      <c r="Y720" s="1015"/>
      <c r="Z720" s="1016">
        <f>'09월 에너지'!S722</f>
        <v>144.5</v>
      </c>
      <c r="AA720" s="1017"/>
      <c r="AB720" s="1208"/>
      <c r="AC720" s="1208"/>
      <c r="AD720" s="1208"/>
      <c r="AE720" s="1208"/>
      <c r="AF720" s="1208"/>
      <c r="AG720" s="1018">
        <f>'09월 화학성분'!AM720</f>
        <v>2621</v>
      </c>
      <c r="AH720" s="1006">
        <f t="shared" si="154"/>
        <v>28</v>
      </c>
      <c r="AI720" s="1019">
        <v>1580</v>
      </c>
      <c r="AJ720" s="1020">
        <v>0</v>
      </c>
      <c r="AK720" s="1021">
        <v>426</v>
      </c>
      <c r="AL720" s="1022">
        <v>10</v>
      </c>
      <c r="AM720" s="1155">
        <f>IF(AT720="","",3*'09월 에너지'!S722*(1/(3+7.8*(100-AT720)/AT720)))</f>
        <v>2.2791798107255521</v>
      </c>
      <c r="AN720" s="1023">
        <v>0.13749999999999998</v>
      </c>
      <c r="AO720" s="1024"/>
      <c r="AP720" s="1025"/>
      <c r="AQ720" s="1025"/>
      <c r="AR720" s="1149">
        <f t="shared" si="155"/>
        <v>14</v>
      </c>
      <c r="AS720" s="1093" t="str">
        <f t="shared" si="166"/>
        <v xml:space="preserve"> </v>
      </c>
      <c r="AT720" s="1156">
        <v>4</v>
      </c>
      <c r="AU720" s="449"/>
      <c r="AV720" s="1205"/>
    </row>
    <row r="721" spans="1:48" ht="16.5" customHeight="1">
      <c r="A721" s="1005">
        <f t="shared" si="156"/>
        <v>46291</v>
      </c>
      <c r="B721" s="1005">
        <f t="shared" si="157"/>
        <v>46291</v>
      </c>
      <c r="C721" s="1150">
        <f t="shared" si="158"/>
        <v>29</v>
      </c>
      <c r="D721" s="1150">
        <f t="shared" si="159"/>
        <v>710</v>
      </c>
      <c r="E721" s="1006" t="str">
        <f t="shared" si="160"/>
        <v>A</v>
      </c>
      <c r="F721" s="1007" t="str">
        <f t="shared" si="161"/>
        <v>B</v>
      </c>
      <c r="G721" s="1008">
        <f t="shared" si="162"/>
        <v>85923</v>
      </c>
      <c r="H721" s="1138">
        <f t="shared" si="163"/>
        <v>9.5138888888888884E-2</v>
      </c>
      <c r="I721" s="1009">
        <v>9.375E-2</v>
      </c>
      <c r="J721" s="1010">
        <f t="shared" si="164"/>
        <v>46</v>
      </c>
      <c r="K721" s="1011"/>
      <c r="L721" s="1012"/>
      <c r="M721" s="1013"/>
      <c r="N721" s="1014" t="str">
        <f t="shared" si="165"/>
        <v/>
      </c>
      <c r="O721" s="1326" t="s">
        <v>1010</v>
      </c>
      <c r="P721" s="1327"/>
      <c r="Q721" s="1327"/>
      <c r="R721" s="1327"/>
      <c r="S721" s="1327"/>
      <c r="T721" s="1328"/>
      <c r="U721" s="1015">
        <v>1.8</v>
      </c>
      <c r="V721" s="1015"/>
      <c r="W721" s="1015"/>
      <c r="X721" s="1015"/>
      <c r="Y721" s="1015"/>
      <c r="Z721" s="1016">
        <f>'09월 에너지'!S723</f>
        <v>140.19999999999999</v>
      </c>
      <c r="AA721" s="1017"/>
      <c r="AB721" s="1208"/>
      <c r="AC721" s="1208"/>
      <c r="AD721" s="1208"/>
      <c r="AE721" s="1208"/>
      <c r="AF721" s="1208"/>
      <c r="AG721" s="1018">
        <f>'09월 화학성분'!AM721</f>
        <v>2000</v>
      </c>
      <c r="AH721" s="1006">
        <f t="shared" si="154"/>
        <v>29</v>
      </c>
      <c r="AI721" s="1019">
        <v>1570</v>
      </c>
      <c r="AJ721" s="1020">
        <v>0</v>
      </c>
      <c r="AK721" s="1021">
        <v>343</v>
      </c>
      <c r="AL721" s="1022">
        <v>13</v>
      </c>
      <c r="AM721" s="1155">
        <f>IF(AT721="","",3*'09월 에너지'!S723*(1/(3+7.8*(100-AT721)/AT721)))</f>
        <v>1.5921835839598997</v>
      </c>
      <c r="AN721" s="1023">
        <v>0.15208333333333332</v>
      </c>
      <c r="AO721" s="1024"/>
      <c r="AP721" s="1025"/>
      <c r="AQ721" s="1025"/>
      <c r="AR721" s="1149" t="str">
        <f t="shared" si="155"/>
        <v/>
      </c>
      <c r="AS721" s="1093">
        <f t="shared" si="166"/>
        <v>5</v>
      </c>
      <c r="AT721" s="1156">
        <v>2.9</v>
      </c>
      <c r="AU721" s="449"/>
      <c r="AV721" s="1205"/>
    </row>
    <row r="722" spans="1:48" ht="16.5" customHeight="1">
      <c r="A722" s="1005">
        <f t="shared" si="156"/>
        <v>46291</v>
      </c>
      <c r="B722" s="1005">
        <f t="shared" si="157"/>
        <v>46291</v>
      </c>
      <c r="C722" s="1150">
        <f t="shared" si="158"/>
        <v>30</v>
      </c>
      <c r="D722" s="1150">
        <f t="shared" si="159"/>
        <v>711</v>
      </c>
      <c r="E722" s="1006" t="str">
        <f t="shared" si="160"/>
        <v>A</v>
      </c>
      <c r="F722" s="1007" t="str">
        <f t="shared" si="161"/>
        <v>A</v>
      </c>
      <c r="G722" s="1008">
        <f t="shared" si="162"/>
        <v>85924</v>
      </c>
      <c r="H722" s="1138">
        <f t="shared" si="163"/>
        <v>0.12708333333333333</v>
      </c>
      <c r="I722" s="1009">
        <v>0.12847222222222224</v>
      </c>
      <c r="J722" s="1010">
        <f t="shared" si="164"/>
        <v>50.000000000000021</v>
      </c>
      <c r="K722" s="1011"/>
      <c r="L722" s="1012"/>
      <c r="M722" s="1013"/>
      <c r="N722" s="1014" t="str">
        <f t="shared" si="165"/>
        <v/>
      </c>
      <c r="O722" s="1323" t="s">
        <v>535</v>
      </c>
      <c r="P722" s="1324"/>
      <c r="Q722" s="1324"/>
      <c r="R722" s="1324"/>
      <c r="S722" s="1324"/>
      <c r="T722" s="1325"/>
      <c r="U722" s="1015">
        <v>1.8</v>
      </c>
      <c r="V722" s="1015"/>
      <c r="W722" s="1015"/>
      <c r="X722" s="1015"/>
      <c r="Y722" s="1015">
        <v>2.7</v>
      </c>
      <c r="Z722" s="1016">
        <f>'09월 에너지'!S724</f>
        <v>144.30000000000001</v>
      </c>
      <c r="AA722" s="1017">
        <v>2597</v>
      </c>
      <c r="AB722" s="1208" t="s">
        <v>551</v>
      </c>
      <c r="AC722" s="1208" t="s">
        <v>548</v>
      </c>
      <c r="AD722" s="1208"/>
      <c r="AE722" s="1208"/>
      <c r="AF722" s="1208" t="s">
        <v>532</v>
      </c>
      <c r="AG722" s="1018">
        <f>'09월 화학성분'!AM722</f>
        <v>2505</v>
      </c>
      <c r="AH722" s="1006">
        <f t="shared" si="154"/>
        <v>30</v>
      </c>
      <c r="AI722" s="1019">
        <v>1558</v>
      </c>
      <c r="AJ722" s="1020">
        <v>0</v>
      </c>
      <c r="AK722" s="1021">
        <v>441</v>
      </c>
      <c r="AL722" s="1022">
        <v>9</v>
      </c>
      <c r="AM722" s="1155">
        <f>IF(AT722="","",3*'09월 에너지'!S724*(1/(3+7.8*(100-AT722)/AT722)))</f>
        <v>1.9852594339622645</v>
      </c>
      <c r="AN722" s="1023">
        <v>0.1361111111111111</v>
      </c>
      <c r="AO722" s="1024" t="s">
        <v>538</v>
      </c>
      <c r="AP722" s="1025">
        <v>2000104</v>
      </c>
      <c r="AQ722" s="1025">
        <v>2119</v>
      </c>
      <c r="AR722" s="1149">
        <v>1</v>
      </c>
      <c r="AS722" s="1093" t="str">
        <f t="shared" si="166"/>
        <v xml:space="preserve"> </v>
      </c>
      <c r="AT722" s="1156">
        <v>3.5</v>
      </c>
      <c r="AU722" s="449"/>
      <c r="AV722" s="1205"/>
    </row>
    <row r="723" spans="1:48" ht="16.5" customHeight="1">
      <c r="A723" s="1005">
        <v>46292</v>
      </c>
      <c r="B723" s="1005">
        <f t="shared" si="157"/>
        <v>46291</v>
      </c>
      <c r="C723" s="1150">
        <f t="shared" si="158"/>
        <v>1</v>
      </c>
      <c r="D723" s="1150">
        <f t="shared" si="159"/>
        <v>712</v>
      </c>
      <c r="E723" s="1006" t="str">
        <f t="shared" si="160"/>
        <v>A</v>
      </c>
      <c r="F723" s="1007" t="str">
        <f t="shared" si="161"/>
        <v>B</v>
      </c>
      <c r="G723" s="1008">
        <f t="shared" si="162"/>
        <v>85925</v>
      </c>
      <c r="H723" s="1138">
        <f t="shared" si="163"/>
        <v>0.16180555555555556</v>
      </c>
      <c r="I723" s="1009">
        <v>0.15902777777777777</v>
      </c>
      <c r="J723" s="1010">
        <f t="shared" si="164"/>
        <v>43.999999999999964</v>
      </c>
      <c r="K723" s="1011"/>
      <c r="L723" s="1012"/>
      <c r="M723" s="1013"/>
      <c r="N723" s="1014" t="str">
        <f t="shared" si="165"/>
        <v/>
      </c>
      <c r="O723" s="1323"/>
      <c r="P723" s="1324"/>
      <c r="Q723" s="1324"/>
      <c r="R723" s="1324"/>
      <c r="S723" s="1324"/>
      <c r="T723" s="1325"/>
      <c r="U723" s="1015">
        <v>1.8</v>
      </c>
      <c r="V723" s="1015"/>
      <c r="W723" s="1015"/>
      <c r="X723" s="1015"/>
      <c r="Y723" s="1015"/>
      <c r="Z723" s="1016">
        <f>'09월 에너지'!S725</f>
        <v>141.6</v>
      </c>
      <c r="AA723" s="1017"/>
      <c r="AB723" s="1208"/>
      <c r="AC723" s="1208"/>
      <c r="AD723" s="1208"/>
      <c r="AE723" s="1208"/>
      <c r="AF723" s="1208"/>
      <c r="AG723" s="1018">
        <f>'09월 화학성분'!AM723</f>
        <v>852</v>
      </c>
      <c r="AH723" s="1006">
        <f t="shared" si="154"/>
        <v>31</v>
      </c>
      <c r="AI723" s="1019">
        <v>1563</v>
      </c>
      <c r="AJ723" s="1020">
        <v>0</v>
      </c>
      <c r="AK723" s="1021">
        <v>493</v>
      </c>
      <c r="AL723" s="1022">
        <v>8</v>
      </c>
      <c r="AM723" s="1155">
        <f>IF(AT723="","",3*'09월 에너지'!S725*(1/(3+7.8*(100-AT723)/AT723)))</f>
        <v>3.2756860242501595</v>
      </c>
      <c r="AN723" s="1023">
        <v>0.20625000000000002</v>
      </c>
      <c r="AO723" s="1024"/>
      <c r="AP723" s="1025"/>
      <c r="AQ723" s="1025"/>
      <c r="AR723" s="1149" t="str">
        <f t="shared" si="155"/>
        <v/>
      </c>
      <c r="AS723" s="1093">
        <f t="shared" si="166"/>
        <v>6</v>
      </c>
      <c r="AT723" s="1156">
        <v>5.8</v>
      </c>
      <c r="AU723" s="449"/>
      <c r="AV723" s="1205"/>
    </row>
    <row r="724" spans="1:48" ht="16.5" customHeight="1">
      <c r="A724" s="1005">
        <f t="shared" si="156"/>
        <v>46292</v>
      </c>
      <c r="B724" s="1005">
        <f t="shared" si="157"/>
        <v>46291</v>
      </c>
      <c r="C724" s="1150">
        <f t="shared" si="158"/>
        <v>2</v>
      </c>
      <c r="D724" s="1150">
        <f t="shared" si="159"/>
        <v>713</v>
      </c>
      <c r="E724" s="1006" t="str">
        <f t="shared" si="160"/>
        <v>A</v>
      </c>
      <c r="F724" s="1007" t="str">
        <f t="shared" si="161"/>
        <v>A</v>
      </c>
      <c r="G724" s="1008">
        <f t="shared" si="162"/>
        <v>85926</v>
      </c>
      <c r="H724" s="1138">
        <f t="shared" si="163"/>
        <v>0.19236111111111109</v>
      </c>
      <c r="I724" s="1009">
        <v>0.19097222222222221</v>
      </c>
      <c r="J724" s="1010">
        <f t="shared" si="164"/>
        <v>46</v>
      </c>
      <c r="K724" s="1011"/>
      <c r="L724" s="1012"/>
      <c r="M724" s="1013"/>
      <c r="N724" s="1014" t="str">
        <f t="shared" si="165"/>
        <v/>
      </c>
      <c r="O724" s="1323"/>
      <c r="P724" s="1324"/>
      <c r="Q724" s="1324"/>
      <c r="R724" s="1324"/>
      <c r="S724" s="1324"/>
      <c r="T724" s="1325"/>
      <c r="U724" s="1015">
        <v>1.8</v>
      </c>
      <c r="V724" s="1015"/>
      <c r="W724" s="1015"/>
      <c r="X724" s="1015"/>
      <c r="Y724" s="1015">
        <v>2.8</v>
      </c>
      <c r="Z724" s="1016">
        <f>'09월 에너지'!S726</f>
        <v>144</v>
      </c>
      <c r="AA724" s="1017"/>
      <c r="AB724" s="1208"/>
      <c r="AC724" s="1208"/>
      <c r="AD724" s="1208"/>
      <c r="AE724" s="1208"/>
      <c r="AF724" s="1208"/>
      <c r="AG724" s="1018">
        <f>'09월 화학성분'!AM724</f>
        <v>2479</v>
      </c>
      <c r="AH724" s="1006">
        <f t="shared" si="154"/>
        <v>32</v>
      </c>
      <c r="AI724" s="1019">
        <v>1581</v>
      </c>
      <c r="AJ724" s="1020">
        <v>149</v>
      </c>
      <c r="AK724" s="1021">
        <v>591</v>
      </c>
      <c r="AL724" s="1022">
        <v>7</v>
      </c>
      <c r="AM724" s="1155">
        <f>IF(AT724="","",3*'09월 에너지'!S726*(1/(3+7.8*(100-AT724)/AT724)))</f>
        <v>2.5047438330170784</v>
      </c>
      <c r="AN724" s="1023">
        <v>0.14097222222222222</v>
      </c>
      <c r="AO724" s="1024"/>
      <c r="AP724" s="1025"/>
      <c r="AQ724" s="1025"/>
      <c r="AR724" s="1149">
        <f t="shared" si="155"/>
        <v>2</v>
      </c>
      <c r="AS724" s="1093" t="str">
        <f t="shared" si="166"/>
        <v xml:space="preserve"> </v>
      </c>
      <c r="AT724" s="1156">
        <v>4.4000000000000004</v>
      </c>
      <c r="AU724" s="449"/>
      <c r="AV724" s="1205"/>
    </row>
    <row r="725" spans="1:48" ht="16.5" customHeight="1">
      <c r="A725" s="1005">
        <f t="shared" si="156"/>
        <v>46292</v>
      </c>
      <c r="B725" s="1005">
        <f t="shared" si="157"/>
        <v>46291</v>
      </c>
      <c r="C725" s="1150">
        <f t="shared" si="158"/>
        <v>3</v>
      </c>
      <c r="D725" s="1150">
        <f t="shared" si="159"/>
        <v>714</v>
      </c>
      <c r="E725" s="1006" t="str">
        <f t="shared" si="160"/>
        <v>A</v>
      </c>
      <c r="F725" s="1007" t="str">
        <f t="shared" si="161"/>
        <v>B</v>
      </c>
      <c r="G725" s="1008">
        <f t="shared" si="162"/>
        <v>85927</v>
      </c>
      <c r="H725" s="1138">
        <f t="shared" si="163"/>
        <v>0.22430555555555554</v>
      </c>
      <c r="I725" s="1009">
        <v>0.22708333333333333</v>
      </c>
      <c r="J725" s="1010">
        <f t="shared" si="164"/>
        <v>52.000000000000014</v>
      </c>
      <c r="K725" s="1011"/>
      <c r="L725" s="1012">
        <v>4</v>
      </c>
      <c r="M725" s="1013"/>
      <c r="N725" s="1014" t="str">
        <f t="shared" si="165"/>
        <v/>
      </c>
      <c r="O725" s="1326" t="s">
        <v>1013</v>
      </c>
      <c r="P725" s="1327"/>
      <c r="Q725" s="1327"/>
      <c r="R725" s="1327"/>
      <c r="S725" s="1327"/>
      <c r="T725" s="1328"/>
      <c r="U725" s="1015">
        <v>1.8</v>
      </c>
      <c r="V725" s="1015">
        <v>2.6</v>
      </c>
      <c r="W725" s="1015">
        <v>1.3</v>
      </c>
      <c r="X725" s="1015"/>
      <c r="Y725" s="1015"/>
      <c r="Z725" s="1016">
        <f>'09월 에너지'!S727</f>
        <v>143.69999999999999</v>
      </c>
      <c r="AA725" s="1017"/>
      <c r="AB725" s="1208"/>
      <c r="AC725" s="1208"/>
      <c r="AD725" s="1208"/>
      <c r="AE725" s="1208"/>
      <c r="AF725" s="1208"/>
      <c r="AG725" s="1018">
        <f>'09월 화학성분'!AM725</f>
        <v>1889</v>
      </c>
      <c r="AH725" s="1006">
        <f t="shared" si="154"/>
        <v>33</v>
      </c>
      <c r="AI725" s="1019">
        <v>1551</v>
      </c>
      <c r="AJ725" s="1020">
        <v>0</v>
      </c>
      <c r="AK725" s="1021">
        <v>316</v>
      </c>
      <c r="AL725" s="1022">
        <v>14</v>
      </c>
      <c r="AM725" s="1155">
        <f>IF(AT725="","",3*'09월 에너지'!S727*(1/(3+7.8*(100-AT725)/AT725)))</f>
        <v>1.2894428838951308</v>
      </c>
      <c r="AN725" s="1023">
        <v>0.12291666666666667</v>
      </c>
      <c r="AO725" s="1024"/>
      <c r="AP725" s="1025"/>
      <c r="AQ725" s="1025"/>
      <c r="AR725" s="1149" t="str">
        <f t="shared" si="155"/>
        <v/>
      </c>
      <c r="AS725" s="1093">
        <f t="shared" si="166"/>
        <v>7</v>
      </c>
      <c r="AT725" s="1156">
        <v>2.2999999999999998</v>
      </c>
      <c r="AU725" s="449"/>
      <c r="AV725" s="1205"/>
    </row>
    <row r="726" spans="1:48" ht="16.5" customHeight="1">
      <c r="A726" s="1005">
        <f t="shared" si="156"/>
        <v>46292</v>
      </c>
      <c r="B726" s="1005">
        <f t="shared" si="157"/>
        <v>46291</v>
      </c>
      <c r="C726" s="1150">
        <f t="shared" si="158"/>
        <v>4</v>
      </c>
      <c r="D726" s="1150">
        <f t="shared" si="159"/>
        <v>715</v>
      </c>
      <c r="E726" s="1006" t="str">
        <f t="shared" si="160"/>
        <v>A</v>
      </c>
      <c r="F726" s="1007" t="str">
        <f t="shared" si="161"/>
        <v>A</v>
      </c>
      <c r="G726" s="1008">
        <f t="shared" si="162"/>
        <v>85928</v>
      </c>
      <c r="H726" s="1138">
        <f t="shared" si="163"/>
        <v>0.26041666666666669</v>
      </c>
      <c r="I726" s="1009">
        <v>0.26250000000000001</v>
      </c>
      <c r="J726" s="1010">
        <f t="shared" si="164"/>
        <v>51.000000000000021</v>
      </c>
      <c r="K726" s="1011"/>
      <c r="L726" s="1012">
        <v>2</v>
      </c>
      <c r="M726" s="1013"/>
      <c r="N726" s="1014" t="str">
        <f t="shared" si="165"/>
        <v/>
      </c>
      <c r="O726" s="1323" t="s">
        <v>1014</v>
      </c>
      <c r="P726" s="1324"/>
      <c r="Q726" s="1324"/>
      <c r="R726" s="1324"/>
      <c r="S726" s="1324"/>
      <c r="T726" s="1325"/>
      <c r="U726" s="1015">
        <v>1.8</v>
      </c>
      <c r="V726" s="1015">
        <v>2.5</v>
      </c>
      <c r="W726" s="1015">
        <v>1.4</v>
      </c>
      <c r="X726" s="1015"/>
      <c r="Y726" s="1015"/>
      <c r="Z726" s="1016">
        <f>'09월 에너지'!S728</f>
        <v>141.5</v>
      </c>
      <c r="AA726" s="1017">
        <v>2108</v>
      </c>
      <c r="AB726" s="1208" t="s">
        <v>551</v>
      </c>
      <c r="AC726" s="1208" t="s">
        <v>548</v>
      </c>
      <c r="AD726" s="1208" t="s">
        <v>532</v>
      </c>
      <c r="AE726" s="1208"/>
      <c r="AF726" s="1208" t="s">
        <v>532</v>
      </c>
      <c r="AG726" s="1018">
        <f>'09월 화학성분'!AM726</f>
        <v>3991</v>
      </c>
      <c r="AH726" s="1006">
        <f t="shared" si="154"/>
        <v>34</v>
      </c>
      <c r="AI726" s="1019">
        <v>1550</v>
      </c>
      <c r="AJ726" s="1020">
        <v>59</v>
      </c>
      <c r="AK726" s="1021">
        <v>538</v>
      </c>
      <c r="AL726" s="1022">
        <v>7</v>
      </c>
      <c r="AM726" s="1155">
        <f>IF(AT726="","",3*'09월 에너지'!S728*(1/(3+7.8*(100-AT726)/AT726)))</f>
        <v>2.2891019570707067</v>
      </c>
      <c r="AN726" s="1023">
        <v>0.12916666666666668</v>
      </c>
      <c r="AO726" s="1024"/>
      <c r="AP726" s="1025"/>
      <c r="AQ726" s="1025"/>
      <c r="AR726" s="1149">
        <f t="shared" si="155"/>
        <v>3</v>
      </c>
      <c r="AS726" s="1093" t="str">
        <f t="shared" si="166"/>
        <v xml:space="preserve"> </v>
      </c>
      <c r="AT726" s="1156">
        <v>4.0999999999999996</v>
      </c>
      <c r="AU726" s="449"/>
      <c r="AV726" s="1205"/>
    </row>
    <row r="727" spans="1:48" ht="16.5" customHeight="1">
      <c r="A727" s="1005">
        <f t="shared" si="156"/>
        <v>46292</v>
      </c>
      <c r="B727" s="1005">
        <v>46292</v>
      </c>
      <c r="C727" s="1150">
        <f t="shared" si="158"/>
        <v>5</v>
      </c>
      <c r="D727" s="1150">
        <f t="shared" si="159"/>
        <v>716</v>
      </c>
      <c r="E727" s="1006" t="s">
        <v>1015</v>
      </c>
      <c r="F727" s="1007" t="str">
        <f t="shared" si="161"/>
        <v>B</v>
      </c>
      <c r="G727" s="1008">
        <f t="shared" si="162"/>
        <v>85929</v>
      </c>
      <c r="H727" s="1138">
        <f t="shared" si="163"/>
        <v>0.29583333333333334</v>
      </c>
      <c r="I727" s="1009">
        <v>0.29791666666666666</v>
      </c>
      <c r="J727" s="1010">
        <f t="shared" si="164"/>
        <v>50.999999999999979</v>
      </c>
      <c r="K727" s="1011"/>
      <c r="L727" s="1012"/>
      <c r="M727" s="1013"/>
      <c r="N727" s="1014" t="str">
        <f t="shared" si="165"/>
        <v/>
      </c>
      <c r="O727" s="1323" t="s">
        <v>571</v>
      </c>
      <c r="P727" s="1324"/>
      <c r="Q727" s="1324"/>
      <c r="R727" s="1324"/>
      <c r="S727" s="1324"/>
      <c r="T727" s="1325"/>
      <c r="U727" s="1015">
        <v>1.8</v>
      </c>
      <c r="V727" s="1015"/>
      <c r="W727" s="1015"/>
      <c r="X727" s="1015"/>
      <c r="Y727" s="1015"/>
      <c r="Z727" s="1016">
        <f>'09월 에너지'!S729</f>
        <v>143.6</v>
      </c>
      <c r="AA727" s="1017">
        <v>2373</v>
      </c>
      <c r="AB727" s="1208" t="s">
        <v>551</v>
      </c>
      <c r="AC727" s="1208" t="s">
        <v>548</v>
      </c>
      <c r="AD727" s="1208" t="s">
        <v>532</v>
      </c>
      <c r="AE727" s="1208"/>
      <c r="AF727" s="1208" t="s">
        <v>532</v>
      </c>
      <c r="AG727" s="1018">
        <f>'09월 화학성분'!AM727</f>
        <v>1286</v>
      </c>
      <c r="AH727" s="1006">
        <f t="shared" si="154"/>
        <v>35</v>
      </c>
      <c r="AI727" s="1019">
        <v>1596</v>
      </c>
      <c r="AJ727" s="1020">
        <v>19</v>
      </c>
      <c r="AK727" s="1021">
        <v>260</v>
      </c>
      <c r="AL727" s="1022">
        <v>19</v>
      </c>
      <c r="AM727" s="1155">
        <f>IF(AT727="","",3*'09월 에너지'!S729*(1/(3+7.8*(100-AT727)/AT727)))</f>
        <v>1.9756289308176098</v>
      </c>
      <c r="AN727" s="1023">
        <v>0.11875000000000001</v>
      </c>
      <c r="AO727" s="1024"/>
      <c r="AP727" s="1025"/>
      <c r="AQ727" s="1025"/>
      <c r="AR727" s="1149" t="str">
        <f t="shared" si="155"/>
        <v/>
      </c>
      <c r="AS727" s="1093">
        <f t="shared" si="166"/>
        <v>8</v>
      </c>
      <c r="AT727" s="1156">
        <v>3.5</v>
      </c>
      <c r="AU727" s="449"/>
      <c r="AV727" s="1205"/>
    </row>
    <row r="728" spans="1:48" ht="16.5" customHeight="1">
      <c r="A728" s="1005">
        <f t="shared" si="156"/>
        <v>46292</v>
      </c>
      <c r="B728" s="1005">
        <f t="shared" si="157"/>
        <v>46292</v>
      </c>
      <c r="C728" s="1150">
        <f t="shared" si="158"/>
        <v>6</v>
      </c>
      <c r="D728" s="1150">
        <f t="shared" si="159"/>
        <v>717</v>
      </c>
      <c r="E728" s="1006" t="str">
        <f t="shared" si="160"/>
        <v>B</v>
      </c>
      <c r="F728" s="1007" t="str">
        <f t="shared" si="161"/>
        <v>A</v>
      </c>
      <c r="G728" s="1008">
        <f t="shared" si="162"/>
        <v>85930</v>
      </c>
      <c r="H728" s="1138">
        <f t="shared" si="163"/>
        <v>0.33124999999999999</v>
      </c>
      <c r="I728" s="1009">
        <v>0.32916666666666666</v>
      </c>
      <c r="J728" s="1010">
        <f t="shared" si="164"/>
        <v>45</v>
      </c>
      <c r="K728" s="1011"/>
      <c r="L728" s="1012"/>
      <c r="M728" s="1013"/>
      <c r="N728" s="1014" t="str">
        <f t="shared" si="165"/>
        <v/>
      </c>
      <c r="O728" s="1323"/>
      <c r="P728" s="1324"/>
      <c r="Q728" s="1324"/>
      <c r="R728" s="1324"/>
      <c r="S728" s="1324"/>
      <c r="T728" s="1325"/>
      <c r="U728" s="1015">
        <v>1.8</v>
      </c>
      <c r="V728" s="1015"/>
      <c r="W728" s="1015"/>
      <c r="X728" s="1015"/>
      <c r="Y728" s="1015">
        <v>2.4</v>
      </c>
      <c r="Z728" s="1016">
        <f>'09월 에너지'!S730</f>
        <v>143.6</v>
      </c>
      <c r="AA728" s="1017"/>
      <c r="AB728" s="1208"/>
      <c r="AC728" s="1208"/>
      <c r="AD728" s="1208"/>
      <c r="AE728" s="1208"/>
      <c r="AF728" s="1208"/>
      <c r="AG728" s="1018">
        <f>'09월 화학성분'!AM728</f>
        <v>2282</v>
      </c>
      <c r="AH728" s="1006">
        <f t="shared" si="154"/>
        <v>36</v>
      </c>
      <c r="AI728" s="1019">
        <v>1590</v>
      </c>
      <c r="AJ728" s="1020">
        <v>0</v>
      </c>
      <c r="AK728" s="1021">
        <v>695</v>
      </c>
      <c r="AL728" s="1022">
        <v>5</v>
      </c>
      <c r="AM728" s="1155">
        <f>IF(AT728="","",3*'09월 에너지'!S730*(1/(3+7.8*(100-AT728)/AT728)))</f>
        <v>2.7904505076142132</v>
      </c>
      <c r="AN728" s="1023">
        <v>0.12847222222222224</v>
      </c>
      <c r="AO728" s="1024"/>
      <c r="AP728" s="1025"/>
      <c r="AQ728" s="1025"/>
      <c r="AR728" s="1149">
        <f t="shared" si="155"/>
        <v>4</v>
      </c>
      <c r="AS728" s="1093" t="str">
        <f t="shared" si="166"/>
        <v xml:space="preserve"> </v>
      </c>
      <c r="AT728" s="1156">
        <v>4.9000000000000004</v>
      </c>
      <c r="AU728" s="449"/>
      <c r="AV728" s="1205"/>
    </row>
    <row r="729" spans="1:48" ht="16.5" customHeight="1">
      <c r="A729" s="1005">
        <f t="shared" si="156"/>
        <v>46292</v>
      </c>
      <c r="B729" s="1005">
        <f t="shared" si="157"/>
        <v>46292</v>
      </c>
      <c r="C729" s="1150">
        <f t="shared" si="158"/>
        <v>7</v>
      </c>
      <c r="D729" s="1150">
        <f t="shared" si="159"/>
        <v>718</v>
      </c>
      <c r="E729" s="1006" t="str">
        <f t="shared" si="160"/>
        <v>B</v>
      </c>
      <c r="F729" s="1007" t="str">
        <f t="shared" si="161"/>
        <v>B</v>
      </c>
      <c r="G729" s="1008">
        <f t="shared" si="162"/>
        <v>85931</v>
      </c>
      <c r="H729" s="1138">
        <f t="shared" si="163"/>
        <v>0.36249999999999999</v>
      </c>
      <c r="I729" s="1009">
        <v>0.36180555555555555</v>
      </c>
      <c r="J729" s="1010">
        <f t="shared" si="164"/>
        <v>46.999999999999993</v>
      </c>
      <c r="K729" s="1011"/>
      <c r="L729" s="1012"/>
      <c r="M729" s="1013"/>
      <c r="N729" s="1014" t="str">
        <f t="shared" si="165"/>
        <v/>
      </c>
      <c r="O729" s="1326" t="s">
        <v>568</v>
      </c>
      <c r="P729" s="1327"/>
      <c r="Q729" s="1327"/>
      <c r="R729" s="1327"/>
      <c r="S729" s="1327"/>
      <c r="T729" s="1328"/>
      <c r="U729" s="1015">
        <v>1.8</v>
      </c>
      <c r="V729" s="1015">
        <v>2.5</v>
      </c>
      <c r="W729" s="1015">
        <v>1.4</v>
      </c>
      <c r="X729" s="1015"/>
      <c r="Y729" s="1015"/>
      <c r="Z729" s="1016">
        <f>'09월 에너지'!S731</f>
        <v>140.1</v>
      </c>
      <c r="AA729" s="1017"/>
      <c r="AB729" s="1208"/>
      <c r="AC729" s="1208"/>
      <c r="AD729" s="1208"/>
      <c r="AE729" s="1208"/>
      <c r="AF729" s="1208"/>
      <c r="AG729" s="1018">
        <f>'09월 화학성분'!AM729</f>
        <v>1317</v>
      </c>
      <c r="AH729" s="1006">
        <f t="shared" si="154"/>
        <v>37</v>
      </c>
      <c r="AI729" s="1019">
        <v>1559</v>
      </c>
      <c r="AJ729" s="1020">
        <v>0</v>
      </c>
      <c r="AK729" s="1021">
        <v>963</v>
      </c>
      <c r="AL729" s="1022">
        <v>4</v>
      </c>
      <c r="AM729" s="1155">
        <f>IF(AT729="","",3*'09월 에너지'!S731*(1/(3+7.8*(100-AT729)/AT729)))</f>
        <v>2.0401841939546599</v>
      </c>
      <c r="AN729" s="1023">
        <v>0.15</v>
      </c>
      <c r="AO729" s="1024"/>
      <c r="AP729" s="1025"/>
      <c r="AQ729" s="1025"/>
      <c r="AR729" s="1149" t="str">
        <f t="shared" si="155"/>
        <v/>
      </c>
      <c r="AS729" s="1093">
        <f t="shared" si="166"/>
        <v>9</v>
      </c>
      <c r="AT729" s="1156">
        <v>3.7</v>
      </c>
      <c r="AU729" s="449"/>
      <c r="AV729" s="1205"/>
    </row>
    <row r="730" spans="1:48" ht="16.5" customHeight="1">
      <c r="A730" s="1005">
        <f t="shared" si="156"/>
        <v>46292</v>
      </c>
      <c r="B730" s="1005">
        <f t="shared" si="157"/>
        <v>46292</v>
      </c>
      <c r="C730" s="1150">
        <f t="shared" si="158"/>
        <v>8</v>
      </c>
      <c r="D730" s="1150">
        <f t="shared" si="159"/>
        <v>719</v>
      </c>
      <c r="E730" s="1006" t="str">
        <f t="shared" si="160"/>
        <v>B</v>
      </c>
      <c r="F730" s="1007" t="str">
        <f t="shared" si="161"/>
        <v>A</v>
      </c>
      <c r="G730" s="1008">
        <f t="shared" si="162"/>
        <v>85932</v>
      </c>
      <c r="H730" s="1138">
        <f t="shared" si="163"/>
        <v>0.39513888888888887</v>
      </c>
      <c r="I730" s="1009">
        <v>0.39097222222222222</v>
      </c>
      <c r="J730" s="1010">
        <f t="shared" si="164"/>
        <v>42.000000000000014</v>
      </c>
      <c r="K730" s="1011"/>
      <c r="L730" s="1012"/>
      <c r="M730" s="1013"/>
      <c r="N730" s="1014" t="str">
        <f t="shared" si="165"/>
        <v/>
      </c>
      <c r="O730" s="1323"/>
      <c r="P730" s="1324"/>
      <c r="Q730" s="1324"/>
      <c r="R730" s="1324"/>
      <c r="S730" s="1324"/>
      <c r="T730" s="1325"/>
      <c r="U730" s="1015">
        <v>1.8</v>
      </c>
      <c r="V730" s="1015">
        <v>2.6</v>
      </c>
      <c r="W730" s="1015">
        <v>1.5</v>
      </c>
      <c r="X730" s="1015"/>
      <c r="Y730" s="1015"/>
      <c r="Z730" s="1016">
        <f>'09월 에너지'!S732</f>
        <v>144.80000000000001</v>
      </c>
      <c r="AA730" s="1017"/>
      <c r="AB730" s="1208"/>
      <c r="AC730" s="1208"/>
      <c r="AD730" s="1208"/>
      <c r="AE730" s="1208"/>
      <c r="AF730" s="1208"/>
      <c r="AG730" s="1018">
        <f>'09월 화학성분'!AM730</f>
        <v>1274</v>
      </c>
      <c r="AH730" s="1006">
        <f t="shared" si="154"/>
        <v>38</v>
      </c>
      <c r="AI730" s="1019">
        <v>1586</v>
      </c>
      <c r="AJ730" s="1020">
        <v>49</v>
      </c>
      <c r="AK730" s="1021">
        <v>772</v>
      </c>
      <c r="AL730" s="1022">
        <v>5</v>
      </c>
      <c r="AM730" s="1155">
        <f>IF(AT730="","",3*'09월 에너지'!S732*(1/(3+7.8*(100-AT730)/AT730)))</f>
        <v>2.5186590765338401</v>
      </c>
      <c r="AN730" s="1023">
        <v>0.12569444444444444</v>
      </c>
      <c r="AO730" s="1024"/>
      <c r="AP730" s="1025"/>
      <c r="AQ730" s="1025"/>
      <c r="AR730" s="1149">
        <f t="shared" si="155"/>
        <v>5</v>
      </c>
      <c r="AS730" s="1093" t="str">
        <f t="shared" si="166"/>
        <v xml:space="preserve"> </v>
      </c>
      <c r="AT730" s="1156">
        <v>4.4000000000000004</v>
      </c>
      <c r="AU730" s="449"/>
      <c r="AV730" s="1205"/>
    </row>
    <row r="731" spans="1:48" ht="16.5" customHeight="1">
      <c r="A731" s="1005">
        <f t="shared" si="156"/>
        <v>46292</v>
      </c>
      <c r="B731" s="1005">
        <f t="shared" si="157"/>
        <v>46292</v>
      </c>
      <c r="C731" s="1150">
        <f t="shared" si="158"/>
        <v>9</v>
      </c>
      <c r="D731" s="1150">
        <f t="shared" si="159"/>
        <v>720</v>
      </c>
      <c r="E731" s="1006" t="str">
        <f t="shared" si="160"/>
        <v>B</v>
      </c>
      <c r="F731" s="1007" t="str">
        <f t="shared" si="161"/>
        <v>B</v>
      </c>
      <c r="G731" s="1008">
        <f t="shared" si="162"/>
        <v>85933</v>
      </c>
      <c r="H731" s="1138">
        <f t="shared" si="163"/>
        <v>0.42430555555555555</v>
      </c>
      <c r="I731" s="1009">
        <v>0.42499999999999999</v>
      </c>
      <c r="J731" s="1010">
        <f t="shared" si="164"/>
        <v>48.999999999999986</v>
      </c>
      <c r="K731" s="1011"/>
      <c r="L731" s="1012"/>
      <c r="M731" s="1013"/>
      <c r="N731" s="1014" t="str">
        <f t="shared" si="165"/>
        <v/>
      </c>
      <c r="O731" s="1338" t="s">
        <v>754</v>
      </c>
      <c r="P731" s="1339"/>
      <c r="Q731" s="1339"/>
      <c r="R731" s="1339"/>
      <c r="S731" s="1339"/>
      <c r="T731" s="1340"/>
      <c r="U731" s="1015">
        <v>1.8</v>
      </c>
      <c r="V731" s="1015"/>
      <c r="W731" s="1015"/>
      <c r="X731" s="1015"/>
      <c r="Y731" s="1015"/>
      <c r="Z731" s="1016">
        <f>'09월 에너지'!S733</f>
        <v>146</v>
      </c>
      <c r="AA731" s="1017"/>
      <c r="AB731" s="1208"/>
      <c r="AC731" s="1208"/>
      <c r="AD731" s="1208"/>
      <c r="AE731" s="1208"/>
      <c r="AF731" s="1208"/>
      <c r="AG731" s="1018">
        <f>'09월 화학성분'!AM731</f>
        <v>1907</v>
      </c>
      <c r="AH731" s="1006">
        <f t="shared" si="154"/>
        <v>39</v>
      </c>
      <c r="AI731" s="1019">
        <v>1570</v>
      </c>
      <c r="AJ731" s="1020">
        <v>0</v>
      </c>
      <c r="AK731" s="1021">
        <v>1001</v>
      </c>
      <c r="AL731" s="1022">
        <v>3</v>
      </c>
      <c r="AM731" s="1155">
        <f>IF(AT731="","",3*'09월 에너지'!S733*(1/(3+7.8*(100-AT731)/AT731)))</f>
        <v>1.2523393636930757</v>
      </c>
      <c r="AN731" s="1023">
        <v>0.10833333333333334</v>
      </c>
      <c r="AO731" s="1024"/>
      <c r="AP731" s="1025"/>
      <c r="AQ731" s="1025"/>
      <c r="AR731" s="1149" t="str">
        <f t="shared" si="155"/>
        <v/>
      </c>
      <c r="AS731" s="1093">
        <f t="shared" si="166"/>
        <v>10</v>
      </c>
      <c r="AT731" s="1156">
        <v>2.2000000000000002</v>
      </c>
      <c r="AU731" s="449"/>
      <c r="AV731" s="1205"/>
    </row>
    <row r="732" spans="1:48" ht="16.5" customHeight="1">
      <c r="A732" s="1005">
        <f t="shared" si="156"/>
        <v>46292</v>
      </c>
      <c r="B732" s="1005">
        <f t="shared" si="157"/>
        <v>46292</v>
      </c>
      <c r="C732" s="1150">
        <f t="shared" si="158"/>
        <v>10</v>
      </c>
      <c r="D732" s="1150">
        <f t="shared" si="159"/>
        <v>721</v>
      </c>
      <c r="E732" s="1006" t="str">
        <f t="shared" si="160"/>
        <v>B</v>
      </c>
      <c r="F732" s="1007" t="str">
        <f t="shared" si="161"/>
        <v>A</v>
      </c>
      <c r="G732" s="1008">
        <f t="shared" si="162"/>
        <v>85934</v>
      </c>
      <c r="H732" s="1138">
        <f t="shared" si="163"/>
        <v>0.45833333333333331</v>
      </c>
      <c r="I732" s="1009">
        <v>0.45555555555555555</v>
      </c>
      <c r="J732" s="1010">
        <f t="shared" si="164"/>
        <v>44</v>
      </c>
      <c r="K732" s="1011"/>
      <c r="L732" s="1012"/>
      <c r="M732" s="1013"/>
      <c r="N732" s="1014" t="str">
        <f t="shared" si="165"/>
        <v/>
      </c>
      <c r="O732" s="1323"/>
      <c r="P732" s="1324"/>
      <c r="Q732" s="1324"/>
      <c r="R732" s="1324"/>
      <c r="S732" s="1324"/>
      <c r="T732" s="1325"/>
      <c r="U732" s="1015">
        <v>1.8</v>
      </c>
      <c r="V732" s="1015"/>
      <c r="W732" s="1015"/>
      <c r="X732" s="1015"/>
      <c r="Y732" s="1015">
        <v>2.6</v>
      </c>
      <c r="Z732" s="1016">
        <f>'09월 에너지'!S734</f>
        <v>142.80000000000001</v>
      </c>
      <c r="AA732" s="1017"/>
      <c r="AB732" s="1208"/>
      <c r="AC732" s="1208"/>
      <c r="AD732" s="1208"/>
      <c r="AE732" s="1208"/>
      <c r="AF732" s="1208"/>
      <c r="AG732" s="1018">
        <f>'09월 화학성분'!AM732</f>
        <v>1848</v>
      </c>
      <c r="AH732" s="1006">
        <f t="shared" si="154"/>
        <v>40</v>
      </c>
      <c r="AI732" s="1019">
        <v>1596</v>
      </c>
      <c r="AJ732" s="1020">
        <v>0</v>
      </c>
      <c r="AK732" s="1021">
        <v>889</v>
      </c>
      <c r="AL732" s="1022">
        <v>4</v>
      </c>
      <c r="AM732" s="1155">
        <f>IF(AT732="","",3*'09월 에너지'!S734*(1/(3+7.8*(100-AT732)/AT732)))</f>
        <v>2.1370510396975422</v>
      </c>
      <c r="AN732" s="1023">
        <v>0.1125</v>
      </c>
      <c r="AO732" s="1024"/>
      <c r="AP732" s="1025"/>
      <c r="AQ732" s="1025"/>
      <c r="AR732" s="1149">
        <f t="shared" si="155"/>
        <v>6</v>
      </c>
      <c r="AS732" s="1093" t="str">
        <f t="shared" si="166"/>
        <v xml:space="preserve"> </v>
      </c>
      <c r="AT732" s="1156">
        <v>3.8</v>
      </c>
      <c r="AU732" s="449"/>
      <c r="AV732" s="1205"/>
    </row>
    <row r="733" spans="1:48" ht="16.5" customHeight="1">
      <c r="A733" s="1005">
        <f t="shared" si="156"/>
        <v>46292</v>
      </c>
      <c r="B733" s="1005">
        <f t="shared" si="157"/>
        <v>46292</v>
      </c>
      <c r="C733" s="1150">
        <f t="shared" si="158"/>
        <v>11</v>
      </c>
      <c r="D733" s="1150">
        <f t="shared" si="159"/>
        <v>722</v>
      </c>
      <c r="E733" s="1006" t="str">
        <f t="shared" si="160"/>
        <v>B</v>
      </c>
      <c r="F733" s="1007" t="str">
        <f t="shared" si="161"/>
        <v>B</v>
      </c>
      <c r="G733" s="1008">
        <f t="shared" si="162"/>
        <v>85935</v>
      </c>
      <c r="H733" s="1138">
        <f t="shared" si="163"/>
        <v>0.48888888888888887</v>
      </c>
      <c r="I733" s="1009">
        <v>0.48819444444444443</v>
      </c>
      <c r="J733" s="1010">
        <f t="shared" si="164"/>
        <v>46.999999999999993</v>
      </c>
      <c r="K733" s="1011"/>
      <c r="L733" s="1012"/>
      <c r="M733" s="1013"/>
      <c r="N733" s="1014" t="str">
        <f t="shared" si="165"/>
        <v/>
      </c>
      <c r="O733" s="1326" t="s">
        <v>1016</v>
      </c>
      <c r="P733" s="1327"/>
      <c r="Q733" s="1327"/>
      <c r="R733" s="1327"/>
      <c r="S733" s="1327"/>
      <c r="T733" s="1328"/>
      <c r="U733" s="1015">
        <v>1.8</v>
      </c>
      <c r="V733" s="1015"/>
      <c r="W733" s="1015"/>
      <c r="X733" s="1015">
        <v>3.3</v>
      </c>
      <c r="Y733" s="1015"/>
      <c r="Z733" s="1016">
        <f>'09월 에너지'!S735</f>
        <v>136.80000000000001</v>
      </c>
      <c r="AA733" s="1017"/>
      <c r="AB733" s="1208"/>
      <c r="AC733" s="1208"/>
      <c r="AD733" s="1208"/>
      <c r="AE733" s="1208"/>
      <c r="AF733" s="1208"/>
      <c r="AG733" s="1018">
        <f>'09월 화학성분'!AM733</f>
        <v>2119</v>
      </c>
      <c r="AH733" s="1006">
        <f t="shared" si="154"/>
        <v>41</v>
      </c>
      <c r="AI733" s="1019">
        <v>1541</v>
      </c>
      <c r="AJ733" s="1020">
        <v>0</v>
      </c>
      <c r="AK733" s="1021">
        <v>594</v>
      </c>
      <c r="AL733" s="1022">
        <v>5</v>
      </c>
      <c r="AM733" s="1155">
        <f>IF(AT733="","",3*'09월 에너지'!S735*(1/(3+7.8*(100-AT733)/AT733)))</f>
        <v>2.4908169727675742</v>
      </c>
      <c r="AN733" s="1023">
        <v>0.11458333333333333</v>
      </c>
      <c r="AO733" s="1024"/>
      <c r="AP733" s="1025"/>
      <c r="AQ733" s="1025"/>
      <c r="AR733" s="1149" t="str">
        <f t="shared" si="155"/>
        <v/>
      </c>
      <c r="AS733" s="1093">
        <f t="shared" si="166"/>
        <v>11</v>
      </c>
      <c r="AT733" s="1156">
        <v>4.5999999999999996</v>
      </c>
      <c r="AU733" s="449"/>
      <c r="AV733" s="1205"/>
    </row>
    <row r="734" spans="1:48" ht="16.5" customHeight="1">
      <c r="A734" s="1005">
        <f t="shared" si="156"/>
        <v>46292</v>
      </c>
      <c r="B734" s="1005">
        <f t="shared" si="157"/>
        <v>46292</v>
      </c>
      <c r="C734" s="1150">
        <f t="shared" si="158"/>
        <v>12</v>
      </c>
      <c r="D734" s="1150">
        <f t="shared" si="159"/>
        <v>723</v>
      </c>
      <c r="E734" s="1006" t="str">
        <f t="shared" si="160"/>
        <v>B</v>
      </c>
      <c r="F734" s="1007" t="str">
        <f t="shared" si="161"/>
        <v>A</v>
      </c>
      <c r="G734" s="1008">
        <f t="shared" si="162"/>
        <v>85936</v>
      </c>
      <c r="H734" s="1138">
        <f t="shared" si="163"/>
        <v>0.52152777777777781</v>
      </c>
      <c r="I734" s="1009">
        <v>0.51944444444444449</v>
      </c>
      <c r="J734" s="1010">
        <f t="shared" si="164"/>
        <v>45.000000000000078</v>
      </c>
      <c r="K734" s="1011"/>
      <c r="L734" s="1012"/>
      <c r="M734" s="1013"/>
      <c r="N734" s="1014" t="str">
        <f t="shared" si="165"/>
        <v/>
      </c>
      <c r="O734" s="1323"/>
      <c r="P734" s="1324"/>
      <c r="Q734" s="1324"/>
      <c r="R734" s="1324"/>
      <c r="S734" s="1324"/>
      <c r="T734" s="1325"/>
      <c r="U734" s="1015">
        <v>1.8</v>
      </c>
      <c r="V734" s="1015"/>
      <c r="W734" s="1015"/>
      <c r="X734" s="1015"/>
      <c r="Y734" s="1015">
        <v>2.8</v>
      </c>
      <c r="Z734" s="1016">
        <f>'09월 에너지'!S736</f>
        <v>142</v>
      </c>
      <c r="AA734" s="1017"/>
      <c r="AB734" s="1208"/>
      <c r="AC734" s="1208"/>
      <c r="AD734" s="1208"/>
      <c r="AE734" s="1208"/>
      <c r="AF734" s="1208"/>
      <c r="AG734" s="1018">
        <f>'09월 화학성분'!AM734</f>
        <v>1903</v>
      </c>
      <c r="AH734" s="1006">
        <f t="shared" si="154"/>
        <v>42</v>
      </c>
      <c r="AI734" s="1019">
        <v>1598</v>
      </c>
      <c r="AJ734" s="1020">
        <v>0</v>
      </c>
      <c r="AK734" s="1021">
        <v>727</v>
      </c>
      <c r="AL734" s="1022">
        <v>6</v>
      </c>
      <c r="AM734" s="1155">
        <f>IF(AT734="","",3*'09월 에너지'!S736*(1/(3+7.8*(100-AT734)/AT734)))</f>
        <v>2.0106985525487726</v>
      </c>
      <c r="AN734" s="1023">
        <v>0.12083333333333333</v>
      </c>
      <c r="AO734" s="1024"/>
      <c r="AP734" s="1025"/>
      <c r="AQ734" s="1025"/>
      <c r="AR734" s="1149">
        <f t="shared" si="155"/>
        <v>7</v>
      </c>
      <c r="AS734" s="1093" t="str">
        <f t="shared" si="166"/>
        <v xml:space="preserve"> </v>
      </c>
      <c r="AT734" s="1156">
        <v>3.6</v>
      </c>
      <c r="AU734" s="449"/>
      <c r="AV734" s="1205"/>
    </row>
    <row r="735" spans="1:48" ht="16.5" customHeight="1">
      <c r="A735" s="1005">
        <f t="shared" si="156"/>
        <v>46292</v>
      </c>
      <c r="B735" s="1005">
        <f t="shared" si="157"/>
        <v>46292</v>
      </c>
      <c r="C735" s="1150">
        <f t="shared" si="158"/>
        <v>13</v>
      </c>
      <c r="D735" s="1150">
        <f t="shared" si="159"/>
        <v>724</v>
      </c>
      <c r="E735" s="1006" t="str">
        <f t="shared" si="160"/>
        <v>B</v>
      </c>
      <c r="F735" s="1007" t="str">
        <f t="shared" si="161"/>
        <v>B</v>
      </c>
      <c r="G735" s="1008">
        <f t="shared" si="162"/>
        <v>85937</v>
      </c>
      <c r="H735" s="1138">
        <f t="shared" si="163"/>
        <v>0.55277777777777781</v>
      </c>
      <c r="I735" s="1009">
        <v>0.55625000000000002</v>
      </c>
      <c r="J735" s="1010">
        <f t="shared" si="164"/>
        <v>52.999999999999972</v>
      </c>
      <c r="K735" s="1011"/>
      <c r="L735" s="1012"/>
      <c r="M735" s="1013"/>
      <c r="N735" s="1014" t="str">
        <f t="shared" si="165"/>
        <v/>
      </c>
      <c r="O735" s="1323" t="s">
        <v>530</v>
      </c>
      <c r="P735" s="1324"/>
      <c r="Q735" s="1324"/>
      <c r="R735" s="1324"/>
      <c r="S735" s="1324"/>
      <c r="T735" s="1325"/>
      <c r="U735" s="1015">
        <v>1.8</v>
      </c>
      <c r="V735" s="1015"/>
      <c r="W735" s="1015"/>
      <c r="X735" s="1015"/>
      <c r="Y735" s="1015"/>
      <c r="Z735" s="1016">
        <f>'09월 에너지'!S737</f>
        <v>139.6</v>
      </c>
      <c r="AA735" s="1017">
        <v>2325</v>
      </c>
      <c r="AB735" s="1208" t="s">
        <v>551</v>
      </c>
      <c r="AC735" s="1208" t="s">
        <v>548</v>
      </c>
      <c r="AD735" s="1208"/>
      <c r="AE735" s="1208"/>
      <c r="AF735" s="1208" t="s">
        <v>532</v>
      </c>
      <c r="AG735" s="1018">
        <f>'09월 화학성분'!AM735</f>
        <v>2129</v>
      </c>
      <c r="AH735" s="1006">
        <f t="shared" si="154"/>
        <v>43</v>
      </c>
      <c r="AI735" s="1019">
        <v>1574</v>
      </c>
      <c r="AJ735" s="1020">
        <v>0</v>
      </c>
      <c r="AK735" s="1021">
        <v>670</v>
      </c>
      <c r="AL735" s="1022">
        <v>6</v>
      </c>
      <c r="AM735" s="1155">
        <f>IF(AT735="","",3*'09월 에너지'!S737*(1/(3+7.8*(100-AT735)/AT735)))</f>
        <v>0.4316635745207173</v>
      </c>
      <c r="AN735" s="1023">
        <v>0.12361111111111112</v>
      </c>
      <c r="AO735" s="1024"/>
      <c r="AP735" s="1025"/>
      <c r="AQ735" s="1025"/>
      <c r="AR735" s="1149" t="str">
        <f t="shared" si="155"/>
        <v/>
      </c>
      <c r="AS735" s="1093">
        <f t="shared" si="166"/>
        <v>12</v>
      </c>
      <c r="AT735" s="1156">
        <v>0.8</v>
      </c>
      <c r="AU735" s="449"/>
      <c r="AV735" s="1205"/>
    </row>
    <row r="736" spans="1:48" ht="16.5" customHeight="1">
      <c r="A736" s="1005">
        <f t="shared" si="156"/>
        <v>46292</v>
      </c>
      <c r="B736" s="1005">
        <f t="shared" si="157"/>
        <v>46292</v>
      </c>
      <c r="C736" s="1150">
        <f t="shared" si="158"/>
        <v>14</v>
      </c>
      <c r="D736" s="1150">
        <f t="shared" si="159"/>
        <v>725</v>
      </c>
      <c r="E736" s="1006" t="str">
        <f t="shared" si="160"/>
        <v>B</v>
      </c>
      <c r="F736" s="1007" t="str">
        <f t="shared" si="161"/>
        <v>A</v>
      </c>
      <c r="G736" s="1008">
        <f t="shared" si="162"/>
        <v>85938</v>
      </c>
      <c r="H736" s="1138">
        <f t="shared" si="163"/>
        <v>0.58958333333333335</v>
      </c>
      <c r="I736" s="1009">
        <v>0.59097222222222223</v>
      </c>
      <c r="J736" s="1010">
        <f t="shared" si="164"/>
        <v>49.999999999999986</v>
      </c>
      <c r="K736" s="1011"/>
      <c r="L736" s="1012"/>
      <c r="M736" s="1013"/>
      <c r="N736" s="1014" t="str">
        <f t="shared" si="165"/>
        <v/>
      </c>
      <c r="O736" s="1323" t="s">
        <v>530</v>
      </c>
      <c r="P736" s="1324"/>
      <c r="Q736" s="1324"/>
      <c r="R736" s="1324"/>
      <c r="S736" s="1324"/>
      <c r="T736" s="1325"/>
      <c r="U736" s="1015">
        <v>1.8</v>
      </c>
      <c r="V736" s="1015"/>
      <c r="W736" s="1015"/>
      <c r="X736" s="1015"/>
      <c r="Y736" s="1015">
        <v>2.6</v>
      </c>
      <c r="Z736" s="1016">
        <f>'09월 에너지'!S738</f>
        <v>142.5</v>
      </c>
      <c r="AA736" s="1017">
        <v>1503</v>
      </c>
      <c r="AB736" s="1208" t="s">
        <v>551</v>
      </c>
      <c r="AC736" s="1208" t="s">
        <v>548</v>
      </c>
      <c r="AD736" s="1208"/>
      <c r="AE736" s="1208"/>
      <c r="AF736" s="1208" t="s">
        <v>532</v>
      </c>
      <c r="AG736" s="1018">
        <f>'09월 화학성분'!AM736</f>
        <v>2301</v>
      </c>
      <c r="AH736" s="1006">
        <f t="shared" si="154"/>
        <v>44</v>
      </c>
      <c r="AI736" s="1019">
        <v>1575</v>
      </c>
      <c r="AJ736" s="1020">
        <v>0</v>
      </c>
      <c r="AK736" s="1021">
        <v>781</v>
      </c>
      <c r="AL736" s="1022">
        <v>5</v>
      </c>
      <c r="AM736" s="1155">
        <f>IF(AT736="","",3*'09월 에너지'!S738*(1/(3+7.8*(100-AT736)/AT736)))</f>
        <v>3.0027433206106871</v>
      </c>
      <c r="AN736" s="1023">
        <v>0.13194444444444445</v>
      </c>
      <c r="AO736" s="1024"/>
      <c r="AP736" s="1025"/>
      <c r="AQ736" s="1025"/>
      <c r="AR736" s="1149">
        <f t="shared" si="155"/>
        <v>8</v>
      </c>
      <c r="AS736" s="1093" t="str">
        <f t="shared" si="166"/>
        <v xml:space="preserve"> </v>
      </c>
      <c r="AT736" s="1156">
        <v>5.3</v>
      </c>
      <c r="AU736" s="449"/>
      <c r="AV736" s="1205"/>
    </row>
    <row r="737" spans="1:48" ht="16.5" customHeight="1">
      <c r="A737" s="1005">
        <f t="shared" si="156"/>
        <v>46292</v>
      </c>
      <c r="B737" s="1005">
        <f t="shared" si="157"/>
        <v>46292</v>
      </c>
      <c r="C737" s="1150">
        <f t="shared" si="158"/>
        <v>15</v>
      </c>
      <c r="D737" s="1150">
        <f t="shared" si="159"/>
        <v>726</v>
      </c>
      <c r="E737" s="1006" t="s">
        <v>558</v>
      </c>
      <c r="F737" s="1007" t="str">
        <f t="shared" si="161"/>
        <v>B</v>
      </c>
      <c r="G737" s="1008">
        <f t="shared" si="162"/>
        <v>85939</v>
      </c>
      <c r="H737" s="1138">
        <f t="shared" si="163"/>
        <v>0.62430555555555556</v>
      </c>
      <c r="I737" s="1009">
        <v>0.62291666666666667</v>
      </c>
      <c r="J737" s="1010">
        <f t="shared" si="164"/>
        <v>46</v>
      </c>
      <c r="K737" s="1011"/>
      <c r="L737" s="1012"/>
      <c r="M737" s="1013"/>
      <c r="N737" s="1014" t="str">
        <f t="shared" si="165"/>
        <v/>
      </c>
      <c r="O737" s="1326" t="s">
        <v>1018</v>
      </c>
      <c r="P737" s="1327"/>
      <c r="Q737" s="1327"/>
      <c r="R737" s="1327"/>
      <c r="S737" s="1327"/>
      <c r="T737" s="1328"/>
      <c r="U737" s="1015">
        <v>1.8</v>
      </c>
      <c r="V737" s="1015"/>
      <c r="W737" s="1015"/>
      <c r="X737" s="1015"/>
      <c r="Y737" s="1015"/>
      <c r="Z737" s="1016">
        <f>'09월 에너지'!S739</f>
        <v>144.80000000000001</v>
      </c>
      <c r="AA737" s="1017"/>
      <c r="AB737" s="1208"/>
      <c r="AC737" s="1208"/>
      <c r="AD737" s="1208"/>
      <c r="AE737" s="1208"/>
      <c r="AF737" s="1208"/>
      <c r="AG737" s="1018">
        <f>'09월 화학성분'!AM737</f>
        <v>1509</v>
      </c>
      <c r="AH737" s="1006">
        <f t="shared" si="154"/>
        <v>45</v>
      </c>
      <c r="AI737" s="1019">
        <v>1569</v>
      </c>
      <c r="AJ737" s="1020">
        <v>101</v>
      </c>
      <c r="AK737" s="1021">
        <v>701</v>
      </c>
      <c r="AL737" s="1022">
        <v>5</v>
      </c>
      <c r="AM737" s="1155">
        <f>IF(AT737="","",3*'09월 에너지'!S739*(1/(3+7.8*(100-AT737)/AT737)))</f>
        <v>1.3566520924422238</v>
      </c>
      <c r="AN737" s="1023">
        <v>0.1388888888888889</v>
      </c>
      <c r="AO737" s="1024"/>
      <c r="AP737" s="1025"/>
      <c r="AQ737" s="1025"/>
      <c r="AR737" s="1149" t="str">
        <f t="shared" si="155"/>
        <v/>
      </c>
      <c r="AS737" s="1093">
        <f t="shared" si="166"/>
        <v>13</v>
      </c>
      <c r="AT737" s="1156">
        <v>2.4</v>
      </c>
      <c r="AU737" s="449"/>
      <c r="AV737" s="1205"/>
    </row>
    <row r="738" spans="1:48" ht="16.5" customHeight="1">
      <c r="A738" s="1005">
        <f t="shared" si="156"/>
        <v>46292</v>
      </c>
      <c r="B738" s="1005">
        <f t="shared" si="157"/>
        <v>46292</v>
      </c>
      <c r="C738" s="1150">
        <f t="shared" si="158"/>
        <v>16</v>
      </c>
      <c r="D738" s="1150">
        <f t="shared" si="159"/>
        <v>727</v>
      </c>
      <c r="E738" s="1006" t="str">
        <f t="shared" si="160"/>
        <v>D</v>
      </c>
      <c r="F738" s="1007" t="str">
        <f t="shared" si="161"/>
        <v>A</v>
      </c>
      <c r="G738" s="1008">
        <f t="shared" si="162"/>
        <v>85940</v>
      </c>
      <c r="H738" s="1138">
        <f t="shared" si="163"/>
        <v>0.65625</v>
      </c>
      <c r="I738" s="1009">
        <v>0.65625</v>
      </c>
      <c r="J738" s="1010">
        <f t="shared" si="164"/>
        <v>47.999999999999986</v>
      </c>
      <c r="K738" s="1011"/>
      <c r="L738" s="1012"/>
      <c r="M738" s="1013"/>
      <c r="N738" s="1014" t="str">
        <f t="shared" si="165"/>
        <v/>
      </c>
      <c r="O738" s="1323"/>
      <c r="P738" s="1324"/>
      <c r="Q738" s="1324"/>
      <c r="R738" s="1324"/>
      <c r="S738" s="1324"/>
      <c r="T738" s="1325"/>
      <c r="U738" s="1015">
        <v>1.8</v>
      </c>
      <c r="V738" s="1015"/>
      <c r="W738" s="1015"/>
      <c r="X738" s="1015"/>
      <c r="Y738" s="1015">
        <v>2.2999999999999998</v>
      </c>
      <c r="Z738" s="1016">
        <f>'09월 에너지'!S740</f>
        <v>144.4</v>
      </c>
      <c r="AA738" s="1017"/>
      <c r="AB738" s="1208"/>
      <c r="AC738" s="1208"/>
      <c r="AD738" s="1208"/>
      <c r="AE738" s="1208"/>
      <c r="AF738" s="1208"/>
      <c r="AG738" s="1018">
        <f>'09월 화학성분'!AM738</f>
        <v>2972</v>
      </c>
      <c r="AH738" s="1006">
        <f t="shared" si="154"/>
        <v>46</v>
      </c>
      <c r="AI738" s="1019">
        <v>1574</v>
      </c>
      <c r="AJ738" s="1020">
        <v>64</v>
      </c>
      <c r="AK738" s="1021">
        <v>767</v>
      </c>
      <c r="AL738" s="1022">
        <v>5</v>
      </c>
      <c r="AM738" s="1155">
        <f>IF(AT738="","",3*'09월 에너지'!S740*(1/(3+7.8*(100-AT738)/AT738)))</f>
        <v>2.2776025236593065</v>
      </c>
      <c r="AN738" s="1023">
        <v>0.14444444444444446</v>
      </c>
      <c r="AO738" s="1024"/>
      <c r="AP738" s="1025"/>
      <c r="AQ738" s="1025"/>
      <c r="AR738" s="1149">
        <f t="shared" si="155"/>
        <v>9</v>
      </c>
      <c r="AS738" s="1093" t="str">
        <f t="shared" si="166"/>
        <v xml:space="preserve"> </v>
      </c>
      <c r="AT738" s="1156">
        <v>4</v>
      </c>
      <c r="AU738" s="449"/>
      <c r="AV738" s="1205"/>
    </row>
    <row r="739" spans="1:48" ht="17.100000000000001" customHeight="1">
      <c r="A739" s="1005">
        <f t="shared" si="156"/>
        <v>46292</v>
      </c>
      <c r="B739" s="1005">
        <f t="shared" si="157"/>
        <v>46292</v>
      </c>
      <c r="C739" s="1150">
        <f t="shared" si="158"/>
        <v>17</v>
      </c>
      <c r="D739" s="1150">
        <f t="shared" si="159"/>
        <v>728</v>
      </c>
      <c r="E739" s="1006" t="str">
        <f t="shared" si="160"/>
        <v>D</v>
      </c>
      <c r="F739" s="1007" t="str">
        <f t="shared" si="161"/>
        <v>B</v>
      </c>
      <c r="G739" s="1008">
        <f t="shared" si="162"/>
        <v>85941</v>
      </c>
      <c r="H739" s="1138">
        <f t="shared" si="163"/>
        <v>0.68958333333333333</v>
      </c>
      <c r="I739" s="1009">
        <v>0.69027777777777777</v>
      </c>
      <c r="J739" s="1010">
        <f t="shared" si="164"/>
        <v>48.999999999999986</v>
      </c>
      <c r="K739" s="1011"/>
      <c r="L739" s="1012"/>
      <c r="M739" s="1013"/>
      <c r="N739" s="1014" t="str">
        <f t="shared" si="165"/>
        <v/>
      </c>
      <c r="O739" s="1323"/>
      <c r="P739" s="1324"/>
      <c r="Q739" s="1324"/>
      <c r="R739" s="1324"/>
      <c r="S739" s="1324"/>
      <c r="T739" s="1325"/>
      <c r="U739" s="1015">
        <v>1.8</v>
      </c>
      <c r="V739" s="1015"/>
      <c r="W739" s="1015"/>
      <c r="X739" s="1015"/>
      <c r="Y739" s="1015"/>
      <c r="Z739" s="1016">
        <f>'09월 에너지'!S741</f>
        <v>146.19999999999999</v>
      </c>
      <c r="AA739" s="1017"/>
      <c r="AB739" s="1208"/>
      <c r="AC739" s="1208"/>
      <c r="AD739" s="1208"/>
      <c r="AE739" s="1208"/>
      <c r="AF739" s="1208"/>
      <c r="AG739" s="1018">
        <f>'09월 화학성분'!AM739</f>
        <v>2088</v>
      </c>
      <c r="AH739" s="1006">
        <f t="shared" si="154"/>
        <v>47</v>
      </c>
      <c r="AI739" s="1019">
        <v>1598</v>
      </c>
      <c r="AJ739" s="1020">
        <v>100</v>
      </c>
      <c r="AK739" s="1021">
        <v>431</v>
      </c>
      <c r="AL739" s="1022">
        <v>9</v>
      </c>
      <c r="AM739" s="1155">
        <f>IF(AT739="","",3*'09월 에너지'!S741*(1/(3+7.8*(100-AT739)/AT739)))</f>
        <v>1.3697688944409745</v>
      </c>
      <c r="AN739" s="1023">
        <v>0.11944444444444445</v>
      </c>
      <c r="AO739" s="1024"/>
      <c r="AP739" s="1025"/>
      <c r="AQ739" s="1025"/>
      <c r="AR739" s="1149" t="str">
        <f t="shared" si="155"/>
        <v/>
      </c>
      <c r="AS739" s="1093">
        <f t="shared" si="166"/>
        <v>14</v>
      </c>
      <c r="AT739" s="1156">
        <v>2.4</v>
      </c>
      <c r="AU739" s="449"/>
      <c r="AV739" s="1205"/>
    </row>
    <row r="740" spans="1:48" ht="17.100000000000001" customHeight="1">
      <c r="A740" s="1005">
        <f t="shared" si="156"/>
        <v>46292</v>
      </c>
      <c r="B740" s="1005">
        <f t="shared" si="157"/>
        <v>46292</v>
      </c>
      <c r="C740" s="1150">
        <f t="shared" si="158"/>
        <v>18</v>
      </c>
      <c r="D740" s="1150">
        <f t="shared" si="159"/>
        <v>729</v>
      </c>
      <c r="E740" s="1006" t="str">
        <f t="shared" si="160"/>
        <v>D</v>
      </c>
      <c r="F740" s="1007" t="str">
        <f t="shared" si="161"/>
        <v>A</v>
      </c>
      <c r="G740" s="1008">
        <f t="shared" si="162"/>
        <v>85942</v>
      </c>
      <c r="H740" s="1138">
        <f t="shared" si="163"/>
        <v>0.72361111111111109</v>
      </c>
      <c r="I740" s="1009">
        <v>0.72152777777777777</v>
      </c>
      <c r="J740" s="1010">
        <f t="shared" si="164"/>
        <v>45</v>
      </c>
      <c r="K740" s="1011"/>
      <c r="L740" s="1012"/>
      <c r="M740" s="1013"/>
      <c r="N740" s="1014" t="str">
        <f t="shared" si="165"/>
        <v/>
      </c>
      <c r="O740" s="1323"/>
      <c r="P740" s="1324"/>
      <c r="Q740" s="1324"/>
      <c r="R740" s="1324"/>
      <c r="S740" s="1324"/>
      <c r="T740" s="1325"/>
      <c r="U740" s="1015">
        <v>1.8</v>
      </c>
      <c r="V740" s="1015"/>
      <c r="W740" s="1015"/>
      <c r="X740" s="1015"/>
      <c r="Y740" s="1015">
        <v>2.5</v>
      </c>
      <c r="Z740" s="1016">
        <f>'09월 에너지'!S742</f>
        <v>143.80000000000001</v>
      </c>
      <c r="AA740" s="1017"/>
      <c r="AB740" s="1208"/>
      <c r="AC740" s="1208"/>
      <c r="AD740" s="1208"/>
      <c r="AE740" s="1208"/>
      <c r="AF740" s="1208"/>
      <c r="AG740" s="1018">
        <f>'09월 화학성분'!AM740</f>
        <v>2074</v>
      </c>
      <c r="AH740" s="1006">
        <f t="shared" si="154"/>
        <v>48</v>
      </c>
      <c r="AI740" s="1019">
        <v>1586</v>
      </c>
      <c r="AJ740" s="1020">
        <v>0</v>
      </c>
      <c r="AK740" s="1021">
        <v>453</v>
      </c>
      <c r="AL740" s="1022">
        <v>9</v>
      </c>
      <c r="AM740" s="1155">
        <f>IF(AT740="","",3*'09월 에너지'!S742*(1/(3+7.8*(100-AT740)/AT740)))</f>
        <v>1.8629868090452262</v>
      </c>
      <c r="AN740" s="1023">
        <v>0.12708333333333333</v>
      </c>
      <c r="AO740" s="1024"/>
      <c r="AP740" s="1025"/>
      <c r="AQ740" s="1025"/>
      <c r="AR740" s="1149">
        <f t="shared" si="155"/>
        <v>10</v>
      </c>
      <c r="AS740" s="1093" t="str">
        <f t="shared" si="166"/>
        <v xml:space="preserve"> </v>
      </c>
      <c r="AT740" s="1156">
        <v>3.3</v>
      </c>
      <c r="AU740" s="449"/>
      <c r="AV740" s="1205"/>
    </row>
    <row r="741" spans="1:48" ht="17.100000000000001" customHeight="1">
      <c r="A741" s="1005">
        <f t="shared" si="156"/>
        <v>46292</v>
      </c>
      <c r="B741" s="1005">
        <f t="shared" si="157"/>
        <v>46292</v>
      </c>
      <c r="C741" s="1150">
        <f t="shared" si="158"/>
        <v>19</v>
      </c>
      <c r="D741" s="1150">
        <f t="shared" si="159"/>
        <v>730</v>
      </c>
      <c r="E741" s="1006" t="str">
        <f t="shared" si="160"/>
        <v>D</v>
      </c>
      <c r="F741" s="1007" t="str">
        <f t="shared" si="161"/>
        <v>B</v>
      </c>
      <c r="G741" s="1008">
        <f t="shared" si="162"/>
        <v>85943</v>
      </c>
      <c r="H741" s="1138">
        <f t="shared" si="163"/>
        <v>0.75486111111111109</v>
      </c>
      <c r="I741" s="1009">
        <v>0.75416666666666676</v>
      </c>
      <c r="J741" s="1010">
        <f t="shared" si="164"/>
        <v>47.000000000000156</v>
      </c>
      <c r="K741" s="1011"/>
      <c r="L741" s="1012"/>
      <c r="M741" s="1013"/>
      <c r="N741" s="1014" t="str">
        <f t="shared" si="165"/>
        <v/>
      </c>
      <c r="O741" s="1326" t="s">
        <v>1019</v>
      </c>
      <c r="P741" s="1327"/>
      <c r="Q741" s="1327"/>
      <c r="R741" s="1327"/>
      <c r="S741" s="1327"/>
      <c r="T741" s="1328"/>
      <c r="U741" s="1015">
        <v>1.8</v>
      </c>
      <c r="V741" s="1015"/>
      <c r="W741" s="1015"/>
      <c r="X741" s="1015"/>
      <c r="Y741" s="1015"/>
      <c r="Z741" s="1016">
        <f>'09월 에너지'!S743</f>
        <v>144.5</v>
      </c>
      <c r="AA741" s="1017"/>
      <c r="AB741" s="1208"/>
      <c r="AC741" s="1208"/>
      <c r="AD741" s="1208"/>
      <c r="AE741" s="1208"/>
      <c r="AF741" s="1208"/>
      <c r="AG741" s="1018">
        <f>'09월 화학성분'!AM741</f>
        <v>1671</v>
      </c>
      <c r="AH741" s="1006">
        <f t="shared" si="154"/>
        <v>49</v>
      </c>
      <c r="AI741" s="1019">
        <v>1575</v>
      </c>
      <c r="AJ741" s="1020">
        <v>54</v>
      </c>
      <c r="AK741" s="1021">
        <v>724</v>
      </c>
      <c r="AL741" s="1022">
        <v>5</v>
      </c>
      <c r="AM741" s="1155">
        <f>IF(AT741="","",3*'09월 에너지'!S743*(1/(3+7.8*(100-AT741)/AT741)))</f>
        <v>1.3538413491567771</v>
      </c>
      <c r="AN741" s="1023">
        <v>0.11041666666666666</v>
      </c>
      <c r="AO741" s="1024"/>
      <c r="AP741" s="1025"/>
      <c r="AQ741" s="1025"/>
      <c r="AR741" s="1149" t="str">
        <f t="shared" si="155"/>
        <v/>
      </c>
      <c r="AS741" s="1093">
        <f t="shared" si="166"/>
        <v>15</v>
      </c>
      <c r="AT741" s="1156">
        <v>2.4</v>
      </c>
      <c r="AU741" s="449"/>
      <c r="AV741" s="1205"/>
    </row>
    <row r="742" spans="1:48" ht="17.100000000000001" customHeight="1">
      <c r="A742" s="1005">
        <f t="shared" si="156"/>
        <v>46292</v>
      </c>
      <c r="B742" s="1005">
        <f t="shared" si="157"/>
        <v>46292</v>
      </c>
      <c r="C742" s="1150">
        <f t="shared" si="158"/>
        <v>20</v>
      </c>
      <c r="D742" s="1150">
        <f t="shared" si="159"/>
        <v>731</v>
      </c>
      <c r="E742" s="1006" t="str">
        <f t="shared" si="160"/>
        <v>D</v>
      </c>
      <c r="F742" s="1007" t="str">
        <f t="shared" si="161"/>
        <v>A</v>
      </c>
      <c r="G742" s="1008">
        <f t="shared" si="162"/>
        <v>85944</v>
      </c>
      <c r="H742" s="1138">
        <f t="shared" si="163"/>
        <v>0.78750000000000009</v>
      </c>
      <c r="I742" s="1009">
        <v>0.78611111111111109</v>
      </c>
      <c r="J742" s="1010">
        <f t="shared" si="164"/>
        <v>45.999999999999837</v>
      </c>
      <c r="K742" s="1011"/>
      <c r="L742" s="1012"/>
      <c r="M742" s="1013"/>
      <c r="N742" s="1014" t="str">
        <f t="shared" si="165"/>
        <v/>
      </c>
      <c r="O742" s="1323"/>
      <c r="P742" s="1324"/>
      <c r="Q742" s="1324"/>
      <c r="R742" s="1324"/>
      <c r="S742" s="1324"/>
      <c r="T742" s="1325"/>
      <c r="U742" s="1015">
        <v>1.8</v>
      </c>
      <c r="V742" s="1015"/>
      <c r="W742" s="1015"/>
      <c r="X742" s="1015"/>
      <c r="Y742" s="1015">
        <v>2.6</v>
      </c>
      <c r="Z742" s="1016">
        <f>'09월 에너지'!S744</f>
        <v>146</v>
      </c>
      <c r="AA742" s="1017"/>
      <c r="AB742" s="1208"/>
      <c r="AC742" s="1208"/>
      <c r="AD742" s="1208"/>
      <c r="AE742" s="1208"/>
      <c r="AF742" s="1208"/>
      <c r="AG742" s="1018">
        <f>'09월 화학성분'!AM742</f>
        <v>1960</v>
      </c>
      <c r="AH742" s="1235">
        <v>1</v>
      </c>
      <c r="AI742" s="1019">
        <v>1584</v>
      </c>
      <c r="AJ742" s="1020">
        <v>54</v>
      </c>
      <c r="AK742" s="1021">
        <v>601</v>
      </c>
      <c r="AL742" s="1022">
        <v>6</v>
      </c>
      <c r="AM742" s="1155">
        <f>IF(AT742="","",3*'09월 에너지'!S744*(1/(3+7.8*(100-AT742)/AT742)))</f>
        <v>2.6583280557314755</v>
      </c>
      <c r="AN742" s="1023">
        <v>0.12013888888888889</v>
      </c>
      <c r="AO742" s="1024"/>
      <c r="AP742" s="1025"/>
      <c r="AQ742" s="1025"/>
      <c r="AR742" s="1149">
        <f t="shared" si="155"/>
        <v>11</v>
      </c>
      <c r="AS742" s="1093" t="str">
        <f t="shared" si="166"/>
        <v xml:space="preserve"> </v>
      </c>
      <c r="AT742" s="1156">
        <v>4.5999999999999996</v>
      </c>
      <c r="AU742" s="449"/>
      <c r="AV742" s="1205"/>
    </row>
    <row r="743" spans="1:48" ht="17.100000000000001" customHeight="1">
      <c r="A743" s="1005">
        <f t="shared" si="156"/>
        <v>46292</v>
      </c>
      <c r="B743" s="1005">
        <f t="shared" si="157"/>
        <v>46292</v>
      </c>
      <c r="C743" s="1150">
        <f t="shared" si="158"/>
        <v>21</v>
      </c>
      <c r="D743" s="1150">
        <f t="shared" si="159"/>
        <v>732</v>
      </c>
      <c r="E743" s="1006" t="str">
        <f t="shared" si="160"/>
        <v>D</v>
      </c>
      <c r="F743" s="1007" t="str">
        <f t="shared" si="161"/>
        <v>B</v>
      </c>
      <c r="G743" s="1008">
        <f t="shared" si="162"/>
        <v>85945</v>
      </c>
      <c r="H743" s="1138">
        <f t="shared" si="163"/>
        <v>0.81944444444444442</v>
      </c>
      <c r="I743" s="1009">
        <v>0.8208333333333333</v>
      </c>
      <c r="J743" s="1010">
        <f t="shared" si="164"/>
        <v>49.999999999999986</v>
      </c>
      <c r="K743" s="1011"/>
      <c r="L743" s="1012"/>
      <c r="M743" s="1013"/>
      <c r="N743" s="1014" t="str">
        <f t="shared" si="165"/>
        <v/>
      </c>
      <c r="O743" s="1323"/>
      <c r="P743" s="1324"/>
      <c r="Q743" s="1324"/>
      <c r="R743" s="1324"/>
      <c r="S743" s="1324"/>
      <c r="T743" s="1325"/>
      <c r="U743" s="1015">
        <v>1.8</v>
      </c>
      <c r="V743" s="1015"/>
      <c r="W743" s="1015"/>
      <c r="X743" s="1015"/>
      <c r="Y743" s="1015"/>
      <c r="Z743" s="1016">
        <f>'09월 에너지'!S745</f>
        <v>147.80000000000001</v>
      </c>
      <c r="AA743" s="1017"/>
      <c r="AB743" s="1208"/>
      <c r="AC743" s="1208"/>
      <c r="AD743" s="1208"/>
      <c r="AE743" s="1208"/>
      <c r="AF743" s="1208"/>
      <c r="AG743" s="1018">
        <f>'09월 화학성분'!AM743</f>
        <v>2290</v>
      </c>
      <c r="AH743" s="1006">
        <f t="shared" si="154"/>
        <v>2</v>
      </c>
      <c r="AI743" s="1019">
        <v>1592</v>
      </c>
      <c r="AJ743" s="1020">
        <v>0</v>
      </c>
      <c r="AK743" s="1021">
        <v>449</v>
      </c>
      <c r="AL743" s="1022">
        <v>9</v>
      </c>
      <c r="AM743" s="1155">
        <f>IF(AT743="","",3*'09월 에너지'!S745*(1/(3+7.8*(100-AT743)/AT743)))</f>
        <v>1.2093983790523692</v>
      </c>
      <c r="AN743" s="1023">
        <v>0.12569444444444444</v>
      </c>
      <c r="AO743" s="1024"/>
      <c r="AP743" s="1025"/>
      <c r="AQ743" s="1025"/>
      <c r="AR743" s="1149" t="str">
        <f t="shared" si="155"/>
        <v/>
      </c>
      <c r="AS743" s="1093">
        <f t="shared" si="166"/>
        <v>16</v>
      </c>
      <c r="AT743" s="1156">
        <v>2.1</v>
      </c>
      <c r="AU743" s="449"/>
      <c r="AV743" s="1205"/>
    </row>
    <row r="744" spans="1:48" ht="17.100000000000001" customHeight="1">
      <c r="A744" s="1005">
        <f t="shared" si="156"/>
        <v>46292</v>
      </c>
      <c r="B744" s="1005">
        <f t="shared" si="157"/>
        <v>46292</v>
      </c>
      <c r="C744" s="1150">
        <f t="shared" si="158"/>
        <v>22</v>
      </c>
      <c r="D744" s="1150">
        <f t="shared" si="159"/>
        <v>733</v>
      </c>
      <c r="E744" s="1006" t="str">
        <f t="shared" si="160"/>
        <v>D</v>
      </c>
      <c r="F744" s="1007" t="str">
        <f t="shared" si="161"/>
        <v>A</v>
      </c>
      <c r="G744" s="1008">
        <f t="shared" si="162"/>
        <v>85946</v>
      </c>
      <c r="H744" s="1138">
        <f t="shared" si="163"/>
        <v>0.85416666666666663</v>
      </c>
      <c r="I744" s="1009">
        <v>0.85416666666666663</v>
      </c>
      <c r="J744" s="1010">
        <f t="shared" si="164"/>
        <v>47.999999999999986</v>
      </c>
      <c r="K744" s="1011"/>
      <c r="L744" s="1012"/>
      <c r="M744" s="1013"/>
      <c r="N744" s="1014" t="str">
        <f t="shared" si="165"/>
        <v/>
      </c>
      <c r="O744" s="1323" t="s">
        <v>530</v>
      </c>
      <c r="P744" s="1324"/>
      <c r="Q744" s="1324"/>
      <c r="R744" s="1324"/>
      <c r="S744" s="1324"/>
      <c r="T744" s="1325"/>
      <c r="U744" s="1015">
        <v>1.8</v>
      </c>
      <c r="V744" s="1015"/>
      <c r="W744" s="1015"/>
      <c r="X744" s="1015"/>
      <c r="Y744" s="1015">
        <v>2.8</v>
      </c>
      <c r="Z744" s="1016">
        <f>'09월 에너지'!S746</f>
        <v>143.30000000000001</v>
      </c>
      <c r="AA744" s="1017">
        <v>2344</v>
      </c>
      <c r="AB744" s="1208" t="s">
        <v>573</v>
      </c>
      <c r="AC744" s="1208" t="s">
        <v>1020</v>
      </c>
      <c r="AD744" s="1208" t="s">
        <v>532</v>
      </c>
      <c r="AE744" s="1208"/>
      <c r="AF744" s="1208" t="s">
        <v>532</v>
      </c>
      <c r="AG744" s="1018">
        <f>'09월 화학성분'!AM744</f>
        <v>1476</v>
      </c>
      <c r="AH744" s="1006">
        <f t="shared" si="154"/>
        <v>3</v>
      </c>
      <c r="AI744" s="1019">
        <v>1595</v>
      </c>
      <c r="AJ744" s="1020">
        <v>0</v>
      </c>
      <c r="AK744" s="1021">
        <v>632</v>
      </c>
      <c r="AL744" s="1022">
        <v>6</v>
      </c>
      <c r="AM744" s="1155">
        <f>IF(AT744="","",3*'09월 에너지'!S746*(1/(3+7.8*(100-AT744)/AT744)))</f>
        <v>2.3182212752525255</v>
      </c>
      <c r="AN744" s="1023">
        <v>0.1451388888888889</v>
      </c>
      <c r="AO744" s="1024"/>
      <c r="AP744" s="1025"/>
      <c r="AQ744" s="1025"/>
      <c r="AR744" s="1149">
        <f t="shared" si="155"/>
        <v>12</v>
      </c>
      <c r="AS744" s="1093" t="str">
        <f t="shared" si="166"/>
        <v xml:space="preserve"> </v>
      </c>
      <c r="AT744" s="1156">
        <v>4.0999999999999996</v>
      </c>
      <c r="AU744" s="449"/>
      <c r="AV744" s="1205"/>
    </row>
    <row r="745" spans="1:48" ht="17.100000000000001" customHeight="1">
      <c r="A745" s="1005">
        <f t="shared" si="156"/>
        <v>46292</v>
      </c>
      <c r="B745" s="1005">
        <f t="shared" si="157"/>
        <v>46292</v>
      </c>
      <c r="C745" s="1150">
        <f t="shared" si="158"/>
        <v>23</v>
      </c>
      <c r="D745" s="1150">
        <f t="shared" si="159"/>
        <v>734</v>
      </c>
      <c r="E745" s="1006" t="str">
        <f t="shared" si="160"/>
        <v>D</v>
      </c>
      <c r="F745" s="1007" t="str">
        <f t="shared" si="161"/>
        <v>B</v>
      </c>
      <c r="G745" s="1008">
        <f t="shared" si="162"/>
        <v>85947</v>
      </c>
      <c r="H745" s="1138">
        <f t="shared" si="163"/>
        <v>0.88749999999999996</v>
      </c>
      <c r="I745" s="1009">
        <v>0.89166666666666661</v>
      </c>
      <c r="J745" s="1010">
        <f t="shared" si="164"/>
        <v>53.999999999999972</v>
      </c>
      <c r="K745" s="1011"/>
      <c r="L745" s="1012"/>
      <c r="M745" s="1013"/>
      <c r="N745" s="1014" t="str">
        <f t="shared" si="165"/>
        <v/>
      </c>
      <c r="O745" s="1326" t="s">
        <v>1023</v>
      </c>
      <c r="P745" s="1324"/>
      <c r="Q745" s="1324"/>
      <c r="R745" s="1324"/>
      <c r="S745" s="1324"/>
      <c r="T745" s="1325"/>
      <c r="U745" s="1015">
        <v>1.8</v>
      </c>
      <c r="V745" s="1015"/>
      <c r="W745" s="1015"/>
      <c r="X745" s="1015"/>
      <c r="Y745" s="1015"/>
      <c r="Z745" s="1016">
        <f>'09월 에너지'!S747</f>
        <v>143</v>
      </c>
      <c r="AA745" s="1017">
        <v>2201</v>
      </c>
      <c r="AB745" s="1208" t="s">
        <v>573</v>
      </c>
      <c r="AC745" s="1208" t="s">
        <v>1020</v>
      </c>
      <c r="AD745" s="1208" t="s">
        <v>532</v>
      </c>
      <c r="AE745" s="1208"/>
      <c r="AF745" s="1208" t="s">
        <v>532</v>
      </c>
      <c r="AG745" s="1018">
        <f>'09월 화학성분'!AM745</f>
        <v>2191</v>
      </c>
      <c r="AH745" s="1006">
        <f t="shared" si="154"/>
        <v>4</v>
      </c>
      <c r="AI745" s="1019">
        <v>1598</v>
      </c>
      <c r="AJ745" s="1020">
        <v>13</v>
      </c>
      <c r="AK745" s="1021">
        <v>513</v>
      </c>
      <c r="AL745" s="1022">
        <v>8</v>
      </c>
      <c r="AM745" s="1155">
        <f>IF(AT745="","",3*'09월 에너지'!S747*(1/(3+7.8*(100-AT745)/AT745)))</f>
        <v>1.7381587202007529</v>
      </c>
      <c r="AN745" s="1023">
        <v>0.12291666666666667</v>
      </c>
      <c r="AO745" s="1024" t="s">
        <v>538</v>
      </c>
      <c r="AP745" s="1025">
        <v>2000050</v>
      </c>
      <c r="AQ745" s="1025">
        <v>2162</v>
      </c>
      <c r="AR745" s="1149" t="str">
        <f t="shared" si="155"/>
        <v/>
      </c>
      <c r="AS745" s="1093">
        <v>1</v>
      </c>
      <c r="AT745" s="1156">
        <v>3.1</v>
      </c>
      <c r="AU745" s="449"/>
      <c r="AV745" s="1205"/>
    </row>
    <row r="746" spans="1:48" ht="17.100000000000001" customHeight="1">
      <c r="A746" s="1005">
        <f t="shared" si="156"/>
        <v>46292</v>
      </c>
      <c r="B746" s="1005">
        <f t="shared" si="157"/>
        <v>46292</v>
      </c>
      <c r="C746" s="1150">
        <f t="shared" si="158"/>
        <v>24</v>
      </c>
      <c r="D746" s="1150">
        <f t="shared" si="159"/>
        <v>735</v>
      </c>
      <c r="E746" s="1006" t="str">
        <f t="shared" si="160"/>
        <v>D</v>
      </c>
      <c r="F746" s="1007" t="str">
        <f t="shared" si="161"/>
        <v>A</v>
      </c>
      <c r="G746" s="1008">
        <f t="shared" si="162"/>
        <v>85948</v>
      </c>
      <c r="H746" s="1138">
        <f t="shared" si="163"/>
        <v>0.92499999999999993</v>
      </c>
      <c r="I746" s="1009">
        <v>0.92361111111111116</v>
      </c>
      <c r="J746" s="1010">
        <f t="shared" si="164"/>
        <v>46.000000000000156</v>
      </c>
      <c r="K746" s="1011"/>
      <c r="L746" s="1012"/>
      <c r="M746" s="1013"/>
      <c r="N746" s="1014" t="str">
        <f t="shared" si="165"/>
        <v/>
      </c>
      <c r="O746" s="1323"/>
      <c r="P746" s="1324"/>
      <c r="Q746" s="1324"/>
      <c r="R746" s="1324"/>
      <c r="S746" s="1324"/>
      <c r="T746" s="1325"/>
      <c r="U746" s="1015">
        <v>1.8</v>
      </c>
      <c r="V746" s="1015"/>
      <c r="W746" s="1015"/>
      <c r="X746" s="1015"/>
      <c r="Y746" s="1015">
        <v>2.6</v>
      </c>
      <c r="Z746" s="1016">
        <f>'09월 에너지'!S748</f>
        <v>144.80000000000001</v>
      </c>
      <c r="AA746" s="1017"/>
      <c r="AB746" s="1208"/>
      <c r="AC746" s="1208"/>
      <c r="AD746" s="1208"/>
      <c r="AE746" s="1208"/>
      <c r="AF746" s="1208"/>
      <c r="AG746" s="1018">
        <f>'09월 화학성분'!AM746</f>
        <v>3064</v>
      </c>
      <c r="AH746" s="1006">
        <f t="shared" si="154"/>
        <v>5</v>
      </c>
      <c r="AI746" s="1019">
        <v>1568</v>
      </c>
      <c r="AJ746" s="1020">
        <v>69</v>
      </c>
      <c r="AK746" s="1021">
        <v>664</v>
      </c>
      <c r="AL746" s="1022">
        <v>5</v>
      </c>
      <c r="AM746" s="1155">
        <f>IF(AT746="","",3*'09월 에너지'!S748*(1/(3+7.8*(100-AT746)/AT746)))</f>
        <v>2.1086272040302272</v>
      </c>
      <c r="AN746" s="1023">
        <v>0.17083333333333331</v>
      </c>
      <c r="AO746" s="1024"/>
      <c r="AP746" s="1025"/>
      <c r="AQ746" s="1025"/>
      <c r="AR746" s="1149">
        <f t="shared" si="155"/>
        <v>13</v>
      </c>
      <c r="AS746" s="1093" t="str">
        <f t="shared" si="166"/>
        <v xml:space="preserve"> </v>
      </c>
      <c r="AT746" s="1156">
        <v>3.7</v>
      </c>
      <c r="AU746" s="449"/>
      <c r="AV746" s="1205"/>
    </row>
    <row r="747" spans="1:48" ht="16.5" customHeight="1">
      <c r="A747" s="1005">
        <f t="shared" si="156"/>
        <v>46292</v>
      </c>
      <c r="B747" s="1005">
        <f t="shared" si="157"/>
        <v>46292</v>
      </c>
      <c r="C747" s="1150">
        <f t="shared" si="158"/>
        <v>25</v>
      </c>
      <c r="D747" s="1150">
        <f t="shared" si="159"/>
        <v>736</v>
      </c>
      <c r="E747" s="1006" t="s">
        <v>534</v>
      </c>
      <c r="F747" s="1007" t="str">
        <f t="shared" si="161"/>
        <v>B</v>
      </c>
      <c r="G747" s="1008">
        <f t="shared" si="162"/>
        <v>85949</v>
      </c>
      <c r="H747" s="1138">
        <f t="shared" si="163"/>
        <v>0.95694444444444449</v>
      </c>
      <c r="I747" s="1009">
        <v>0.95763888888888893</v>
      </c>
      <c r="J747" s="1010">
        <f t="shared" si="164"/>
        <v>48.999999999999986</v>
      </c>
      <c r="K747" s="1011"/>
      <c r="L747" s="1012">
        <v>2</v>
      </c>
      <c r="M747" s="1013"/>
      <c r="N747" s="1014" t="str">
        <f t="shared" si="165"/>
        <v/>
      </c>
      <c r="O747" s="1323" t="s">
        <v>1022</v>
      </c>
      <c r="P747" s="1324"/>
      <c r="Q747" s="1324"/>
      <c r="R747" s="1324"/>
      <c r="S747" s="1324"/>
      <c r="T747" s="1325"/>
      <c r="U747" s="1015">
        <v>1.8</v>
      </c>
      <c r="V747" s="1015"/>
      <c r="W747" s="1015"/>
      <c r="X747" s="1015"/>
      <c r="Y747" s="1015"/>
      <c r="Z747" s="1016">
        <f>'09월 에너지'!S749</f>
        <v>143.1</v>
      </c>
      <c r="AA747" s="1017"/>
      <c r="AB747" s="1208"/>
      <c r="AC747" s="1208"/>
      <c r="AD747" s="1208"/>
      <c r="AE747" s="1208"/>
      <c r="AF747" s="1208"/>
      <c r="AG747" s="1018">
        <f>'09월 화학성분'!AM747</f>
        <v>2575</v>
      </c>
      <c r="AH747" s="1006">
        <f t="shared" si="154"/>
        <v>6</v>
      </c>
      <c r="AI747" s="1019">
        <v>1582</v>
      </c>
      <c r="AJ747" s="1020">
        <v>0</v>
      </c>
      <c r="AK747" s="1021">
        <v>497</v>
      </c>
      <c r="AL747" s="1022">
        <v>8</v>
      </c>
      <c r="AM747" s="1155">
        <f>IF(AT747="","",3*'09월 에너지'!S749*(1/(3+7.8*(100-AT747)/AT747)))</f>
        <v>0.8893722809198259</v>
      </c>
      <c r="AN747" s="1023">
        <v>0.13055555555555556</v>
      </c>
      <c r="AO747" s="1024"/>
      <c r="AP747" s="1025"/>
      <c r="AQ747" s="1025"/>
      <c r="AR747" s="1149" t="str">
        <f t="shared" si="155"/>
        <v/>
      </c>
      <c r="AS747" s="1093">
        <f t="shared" si="166"/>
        <v>2</v>
      </c>
      <c r="AT747" s="1156">
        <v>1.6</v>
      </c>
      <c r="AU747" s="449"/>
      <c r="AV747" s="1205"/>
    </row>
    <row r="748" spans="1:48" ht="16.5" customHeight="1">
      <c r="A748" s="1005">
        <f t="shared" si="156"/>
        <v>46292</v>
      </c>
      <c r="B748" s="1005">
        <f t="shared" si="157"/>
        <v>46292</v>
      </c>
      <c r="C748" s="1150">
        <f t="shared" si="158"/>
        <v>26</v>
      </c>
      <c r="D748" s="1150">
        <f t="shared" si="159"/>
        <v>737</v>
      </c>
      <c r="E748" s="1006" t="str">
        <f t="shared" si="160"/>
        <v>A</v>
      </c>
      <c r="F748" s="1007" t="str">
        <f t="shared" si="161"/>
        <v>A</v>
      </c>
      <c r="G748" s="1008">
        <f t="shared" si="162"/>
        <v>85950</v>
      </c>
      <c r="H748" s="1138">
        <f t="shared" si="163"/>
        <v>0.99097222222222225</v>
      </c>
      <c r="I748" s="1009">
        <v>0.98888888888888893</v>
      </c>
      <c r="J748" s="1010">
        <f t="shared" si="164"/>
        <v>45</v>
      </c>
      <c r="K748" s="1011"/>
      <c r="L748" s="1012"/>
      <c r="M748" s="1013"/>
      <c r="N748" s="1014" t="str">
        <f t="shared" si="165"/>
        <v/>
      </c>
      <c r="O748" s="1323"/>
      <c r="P748" s="1324"/>
      <c r="Q748" s="1324"/>
      <c r="R748" s="1324"/>
      <c r="S748" s="1324"/>
      <c r="T748" s="1325"/>
      <c r="U748" s="1015">
        <v>1.8</v>
      </c>
      <c r="V748" s="1015"/>
      <c r="W748" s="1015"/>
      <c r="X748" s="1015"/>
      <c r="Y748" s="1015">
        <v>2.7</v>
      </c>
      <c r="Z748" s="1016">
        <f>'09월 에너지'!S750</f>
        <v>142.9</v>
      </c>
      <c r="AA748" s="1017"/>
      <c r="AB748" s="1208"/>
      <c r="AC748" s="1208"/>
      <c r="AD748" s="1208"/>
      <c r="AE748" s="1208"/>
      <c r="AF748" s="1208"/>
      <c r="AG748" s="1018">
        <f>'09월 화학성분'!AM748</f>
        <v>2338</v>
      </c>
      <c r="AH748" s="1006">
        <f t="shared" si="154"/>
        <v>7</v>
      </c>
      <c r="AI748" s="1019">
        <v>1579</v>
      </c>
      <c r="AJ748" s="1020">
        <v>67</v>
      </c>
      <c r="AK748" s="1021">
        <v>527</v>
      </c>
      <c r="AL748" s="1022">
        <v>8</v>
      </c>
      <c r="AM748" s="1155">
        <f>IF(AT748="","",3*'09월 에너지'!S750*(1/(3+7.8*(100-AT748)/AT748)))</f>
        <v>2.6601314955640056</v>
      </c>
      <c r="AN748" s="1023">
        <v>0.13194444444444445</v>
      </c>
      <c r="AO748" s="1024"/>
      <c r="AP748" s="1025"/>
      <c r="AQ748" s="1025"/>
      <c r="AR748" s="1149">
        <f t="shared" si="155"/>
        <v>14</v>
      </c>
      <c r="AS748" s="1093" t="str">
        <f t="shared" si="166"/>
        <v xml:space="preserve"> </v>
      </c>
      <c r="AT748" s="1156">
        <v>4.7</v>
      </c>
      <c r="AU748" s="449"/>
      <c r="AV748" s="1205"/>
    </row>
    <row r="749" spans="1:48" ht="16.5" customHeight="1">
      <c r="A749" s="1005">
        <f t="shared" si="156"/>
        <v>46292</v>
      </c>
      <c r="B749" s="1005">
        <f t="shared" si="157"/>
        <v>46292</v>
      </c>
      <c r="C749" s="1150">
        <f t="shared" si="158"/>
        <v>27</v>
      </c>
      <c r="D749" s="1150">
        <f t="shared" si="159"/>
        <v>738</v>
      </c>
      <c r="E749" s="1006" t="str">
        <f t="shared" si="160"/>
        <v>A</v>
      </c>
      <c r="F749" s="1007" t="str">
        <f t="shared" si="161"/>
        <v>B</v>
      </c>
      <c r="G749" s="1008">
        <f t="shared" si="162"/>
        <v>85951</v>
      </c>
      <c r="H749" s="1138">
        <f t="shared" si="163"/>
        <v>1.0222222222222224</v>
      </c>
      <c r="I749" s="1009">
        <v>2.2222222222222223E-2</v>
      </c>
      <c r="J749" s="1010">
        <f t="shared" si="164"/>
        <v>48</v>
      </c>
      <c r="K749" s="1011"/>
      <c r="L749" s="1012"/>
      <c r="M749" s="1013"/>
      <c r="N749" s="1014" t="str">
        <f t="shared" si="165"/>
        <v/>
      </c>
      <c r="O749" s="1326" t="s">
        <v>584</v>
      </c>
      <c r="P749" s="1324"/>
      <c r="Q749" s="1324"/>
      <c r="R749" s="1324"/>
      <c r="S749" s="1324"/>
      <c r="T749" s="1325"/>
      <c r="U749" s="1015">
        <v>1.8</v>
      </c>
      <c r="V749" s="1015"/>
      <c r="W749" s="1015"/>
      <c r="X749" s="1015"/>
      <c r="Y749" s="1015"/>
      <c r="Z749" s="1016">
        <f>'09월 에너지'!S751</f>
        <v>140.69999999999999</v>
      </c>
      <c r="AA749" s="1017"/>
      <c r="AB749" s="1208"/>
      <c r="AC749" s="1208"/>
      <c r="AD749" s="1208"/>
      <c r="AE749" s="1208"/>
      <c r="AF749" s="1208"/>
      <c r="AG749" s="1018">
        <f>'09월 화학성분'!AM749</f>
        <v>2312</v>
      </c>
      <c r="AH749" s="1006">
        <f t="shared" si="154"/>
        <v>8</v>
      </c>
      <c r="AI749" s="1019">
        <v>1566</v>
      </c>
      <c r="AJ749" s="1020">
        <v>0</v>
      </c>
      <c r="AK749" s="1021">
        <v>371</v>
      </c>
      <c r="AL749" s="1022">
        <v>12</v>
      </c>
      <c r="AM749" s="1155">
        <f>IF(AT749="","",3*'09월 에너지'!S751*(1/(3+7.8*(100-AT749)/AT749)))</f>
        <v>1.6539968652037615</v>
      </c>
      <c r="AN749" s="1023">
        <v>0.14583333333333334</v>
      </c>
      <c r="AO749" s="1024"/>
      <c r="AP749" s="1025"/>
      <c r="AQ749" s="1025"/>
      <c r="AR749" s="1149" t="str">
        <f t="shared" si="155"/>
        <v/>
      </c>
      <c r="AS749" s="1093">
        <f t="shared" si="166"/>
        <v>3</v>
      </c>
      <c r="AT749" s="1156">
        <v>3</v>
      </c>
      <c r="AU749" s="449"/>
      <c r="AV749" s="1205"/>
    </row>
    <row r="750" spans="1:48" ht="16.5" customHeight="1">
      <c r="A750" s="1005">
        <f t="shared" si="156"/>
        <v>46292</v>
      </c>
      <c r="B750" s="1005">
        <f t="shared" si="157"/>
        <v>46292</v>
      </c>
      <c r="C750" s="1150">
        <f t="shared" si="158"/>
        <v>28</v>
      </c>
      <c r="D750" s="1150">
        <f t="shared" si="159"/>
        <v>739</v>
      </c>
      <c r="E750" s="1006" t="str">
        <f t="shared" si="160"/>
        <v>A</v>
      </c>
      <c r="F750" s="1007" t="str">
        <f t="shared" si="161"/>
        <v>A</v>
      </c>
      <c r="G750" s="1008">
        <f t="shared" si="162"/>
        <v>85952</v>
      </c>
      <c r="H750" s="1138">
        <f t="shared" si="163"/>
        <v>5.5555555555555552E-2</v>
      </c>
      <c r="I750" s="1009">
        <v>5.486111111111111E-2</v>
      </c>
      <c r="J750" s="1010">
        <f t="shared" si="164"/>
        <v>46.999999999999993</v>
      </c>
      <c r="K750" s="1011"/>
      <c r="L750" s="1012"/>
      <c r="M750" s="1013"/>
      <c r="N750" s="1014" t="str">
        <f t="shared" si="165"/>
        <v/>
      </c>
      <c r="O750" s="1323"/>
      <c r="P750" s="1324"/>
      <c r="Q750" s="1324"/>
      <c r="R750" s="1324"/>
      <c r="S750" s="1324"/>
      <c r="T750" s="1325"/>
      <c r="U750" s="1015">
        <v>1.8</v>
      </c>
      <c r="V750" s="1015"/>
      <c r="W750" s="1015"/>
      <c r="X750" s="1015"/>
      <c r="Y750" s="1015">
        <v>2.8</v>
      </c>
      <c r="Z750" s="1016">
        <f>'09월 에너지'!S752</f>
        <v>140.19999999999999</v>
      </c>
      <c r="AA750" s="1017"/>
      <c r="AB750" s="1208"/>
      <c r="AC750" s="1208"/>
      <c r="AD750" s="1208"/>
      <c r="AE750" s="1208"/>
      <c r="AF750" s="1208"/>
      <c r="AG750" s="1018">
        <f>'09월 화학성분'!AM750</f>
        <v>2741</v>
      </c>
      <c r="AH750" s="1006">
        <f t="shared" si="154"/>
        <v>9</v>
      </c>
      <c r="AI750" s="1019">
        <v>1568</v>
      </c>
      <c r="AJ750" s="1020">
        <v>109</v>
      </c>
      <c r="AK750" s="1021">
        <v>681</v>
      </c>
      <c r="AL750" s="1022">
        <v>6</v>
      </c>
      <c r="AM750" s="1155">
        <f>IF(AT750="","",3*'09월 에너지'!S752*(1/(3+7.8*(100-AT750)/AT750)))</f>
        <v>3.3013250319284806</v>
      </c>
      <c r="AN750" s="1023">
        <v>0.13194444444444445</v>
      </c>
      <c r="AO750" s="1024"/>
      <c r="AP750" s="1025"/>
      <c r="AQ750" s="1025"/>
      <c r="AR750" s="1149">
        <f t="shared" si="155"/>
        <v>15</v>
      </c>
      <c r="AS750" s="1093" t="str">
        <f t="shared" si="166"/>
        <v xml:space="preserve"> </v>
      </c>
      <c r="AT750" s="1156">
        <v>5.9</v>
      </c>
      <c r="AU750" s="449"/>
      <c r="AV750" s="1205"/>
    </row>
    <row r="751" spans="1:48" ht="16.5" customHeight="1">
      <c r="A751" s="1005">
        <f t="shared" si="156"/>
        <v>46292</v>
      </c>
      <c r="B751" s="1005">
        <f t="shared" si="157"/>
        <v>46292</v>
      </c>
      <c r="C751" s="1150">
        <f t="shared" si="158"/>
        <v>29</v>
      </c>
      <c r="D751" s="1150">
        <f t="shared" si="159"/>
        <v>740</v>
      </c>
      <c r="E751" s="1006" t="str">
        <f t="shared" si="160"/>
        <v>A</v>
      </c>
      <c r="F751" s="1007" t="str">
        <f t="shared" si="161"/>
        <v>B</v>
      </c>
      <c r="G751" s="1008">
        <f t="shared" si="162"/>
        <v>85953</v>
      </c>
      <c r="H751" s="1138">
        <f t="shared" si="163"/>
        <v>8.8194444444444436E-2</v>
      </c>
      <c r="I751" s="1009">
        <v>8.9583333333333334E-2</v>
      </c>
      <c r="J751" s="1010">
        <f t="shared" si="164"/>
        <v>50</v>
      </c>
      <c r="K751" s="1011"/>
      <c r="L751" s="1012">
        <v>5</v>
      </c>
      <c r="M751" s="1013"/>
      <c r="N751" s="1014" t="str">
        <f t="shared" si="165"/>
        <v/>
      </c>
      <c r="O751" s="1335" t="s">
        <v>1024</v>
      </c>
      <c r="P751" s="1336"/>
      <c r="Q751" s="1336"/>
      <c r="R751" s="1336"/>
      <c r="S751" s="1336"/>
      <c r="T751" s="1337"/>
      <c r="U751" s="1015">
        <v>1.8</v>
      </c>
      <c r="V751" s="1015"/>
      <c r="W751" s="1015"/>
      <c r="X751" s="1015"/>
      <c r="Y751" s="1015"/>
      <c r="Z751" s="1016">
        <f>'09월 에너지'!S753</f>
        <v>142.5</v>
      </c>
      <c r="AA751" s="1017"/>
      <c r="AB751" s="1208"/>
      <c r="AC751" s="1208"/>
      <c r="AD751" s="1208"/>
      <c r="AE751" s="1208"/>
      <c r="AF751" s="1208"/>
      <c r="AG751" s="1018">
        <f>'09월 화학성분'!AM751</f>
        <v>1619</v>
      </c>
      <c r="AH751" s="1006">
        <f t="shared" si="154"/>
        <v>10</v>
      </c>
      <c r="AI751" s="1019">
        <v>1585</v>
      </c>
      <c r="AJ751" s="1020">
        <v>24</v>
      </c>
      <c r="AK751" s="1021">
        <v>732</v>
      </c>
      <c r="AL751" s="1022">
        <v>5</v>
      </c>
      <c r="AM751" s="1155">
        <f>IF(AT751="","",3*'09월 에너지'!S753*(1/(3+7.8*(100-AT751)/AT751)))</f>
        <v>1.4481707317073171</v>
      </c>
      <c r="AN751" s="1023">
        <v>0.1388888888888889</v>
      </c>
      <c r="AO751" s="1024"/>
      <c r="AP751" s="1025"/>
      <c r="AQ751" s="1025"/>
      <c r="AR751" s="1149" t="str">
        <f t="shared" si="155"/>
        <v/>
      </c>
      <c r="AS751" s="1093">
        <f t="shared" si="166"/>
        <v>4</v>
      </c>
      <c r="AT751" s="1156">
        <v>2.6</v>
      </c>
      <c r="AU751" s="449"/>
      <c r="AV751" s="1205"/>
    </row>
    <row r="752" spans="1:48" ht="16.5" customHeight="1">
      <c r="A752" s="1005">
        <f t="shared" si="156"/>
        <v>46292</v>
      </c>
      <c r="B752" s="1005">
        <f t="shared" si="157"/>
        <v>46292</v>
      </c>
      <c r="C752" s="1150">
        <f t="shared" si="158"/>
        <v>30</v>
      </c>
      <c r="D752" s="1150">
        <f t="shared" si="159"/>
        <v>741</v>
      </c>
      <c r="E752" s="1006" t="str">
        <f t="shared" si="160"/>
        <v>A</v>
      </c>
      <c r="F752" s="1007" t="str">
        <f t="shared" si="161"/>
        <v>A</v>
      </c>
      <c r="G752" s="1008">
        <f t="shared" si="162"/>
        <v>85954</v>
      </c>
      <c r="H752" s="1138">
        <f t="shared" si="163"/>
        <v>0.12291666666666667</v>
      </c>
      <c r="I752" s="1009">
        <v>0.12430555555555556</v>
      </c>
      <c r="J752" s="1010">
        <f t="shared" si="164"/>
        <v>50</v>
      </c>
      <c r="K752" s="1011"/>
      <c r="L752" s="1012">
        <v>4</v>
      </c>
      <c r="M752" s="1013"/>
      <c r="N752" s="1014" t="str">
        <f t="shared" si="165"/>
        <v/>
      </c>
      <c r="O752" s="1323" t="s">
        <v>1025</v>
      </c>
      <c r="P752" s="1324"/>
      <c r="Q752" s="1324"/>
      <c r="R752" s="1324"/>
      <c r="S752" s="1324"/>
      <c r="T752" s="1325"/>
      <c r="U752" s="1015">
        <v>1.8</v>
      </c>
      <c r="V752" s="1015"/>
      <c r="W752" s="1015"/>
      <c r="X752" s="1015"/>
      <c r="Y752" s="1015">
        <v>2.5</v>
      </c>
      <c r="Z752" s="1016">
        <f>'09월 에너지'!S754</f>
        <v>142.69999999999999</v>
      </c>
      <c r="AA752" s="1017">
        <v>2522</v>
      </c>
      <c r="AB752" s="1208" t="s">
        <v>573</v>
      </c>
      <c r="AC752" s="1208" t="s">
        <v>1020</v>
      </c>
      <c r="AD752" s="1208"/>
      <c r="AE752" s="1208"/>
      <c r="AF752" s="1208" t="s">
        <v>532</v>
      </c>
      <c r="AG752" s="1018">
        <f>'09월 화학성분'!AM752</f>
        <v>2287</v>
      </c>
      <c r="AH752" s="1006">
        <f t="shared" si="154"/>
        <v>11</v>
      </c>
      <c r="AI752" s="1019">
        <v>1532</v>
      </c>
      <c r="AJ752" s="1020">
        <v>0</v>
      </c>
      <c r="AK752" s="1021" t="s">
        <v>552</v>
      </c>
      <c r="AL752" s="1022" t="s">
        <v>563</v>
      </c>
      <c r="AM752" s="1155">
        <f>IF(AT752="","",3*'09월 에너지'!S754*(1/(3+7.8*(100-AT752)/AT752)))</f>
        <v>2.0780462846347607</v>
      </c>
      <c r="AN752" s="1023">
        <v>0.14027777777777778</v>
      </c>
      <c r="AO752" s="1024" t="s">
        <v>538</v>
      </c>
      <c r="AP752" s="1025">
        <v>2000051</v>
      </c>
      <c r="AQ752" s="1025">
        <v>2156</v>
      </c>
      <c r="AR752" s="1149">
        <v>1</v>
      </c>
      <c r="AS752" s="1093" t="str">
        <f t="shared" si="166"/>
        <v xml:space="preserve"> </v>
      </c>
      <c r="AT752" s="1156">
        <v>3.7</v>
      </c>
      <c r="AU752" s="449"/>
      <c r="AV752" s="1205"/>
    </row>
    <row r="753" spans="1:48" ht="16.5" customHeight="1">
      <c r="A753" s="1005">
        <v>46293</v>
      </c>
      <c r="B753" s="1005">
        <f t="shared" si="157"/>
        <v>46292</v>
      </c>
      <c r="C753" s="1150">
        <f t="shared" si="158"/>
        <v>1</v>
      </c>
      <c r="D753" s="1150">
        <f t="shared" si="159"/>
        <v>742</v>
      </c>
      <c r="E753" s="1006" t="str">
        <f t="shared" si="160"/>
        <v>A</v>
      </c>
      <c r="F753" s="1007" t="str">
        <f t="shared" si="161"/>
        <v>B</v>
      </c>
      <c r="G753" s="1008">
        <f t="shared" si="162"/>
        <v>85955</v>
      </c>
      <c r="H753" s="1138">
        <f t="shared" si="163"/>
        <v>0.15763888888888888</v>
      </c>
      <c r="I753" s="1009">
        <v>0.15347222222222223</v>
      </c>
      <c r="J753" s="1010">
        <f t="shared" si="164"/>
        <v>42.000000000000014</v>
      </c>
      <c r="K753" s="1011"/>
      <c r="L753" s="1012"/>
      <c r="M753" s="1013"/>
      <c r="N753" s="1014" t="str">
        <f t="shared" si="165"/>
        <v/>
      </c>
      <c r="O753" s="1326" t="s">
        <v>1027</v>
      </c>
      <c r="P753" s="1324"/>
      <c r="Q753" s="1324"/>
      <c r="R753" s="1324"/>
      <c r="S753" s="1324"/>
      <c r="T753" s="1325"/>
      <c r="U753" s="1015">
        <v>1.8</v>
      </c>
      <c r="V753" s="1015"/>
      <c r="W753" s="1015"/>
      <c r="X753" s="1015"/>
      <c r="Y753" s="1015"/>
      <c r="Z753" s="1016">
        <f>'09월 에너지'!S755</f>
        <v>144.80000000000001</v>
      </c>
      <c r="AA753" s="1017"/>
      <c r="AB753" s="1208"/>
      <c r="AC753" s="1208"/>
      <c r="AD753" s="1208"/>
      <c r="AE753" s="1208"/>
      <c r="AF753" s="1208"/>
      <c r="AG753" s="1018">
        <f>'09월 화학성분'!AM753</f>
        <v>2494</v>
      </c>
      <c r="AH753" s="1006">
        <f t="shared" si="154"/>
        <v>12</v>
      </c>
      <c r="AI753" s="1019">
        <v>1591</v>
      </c>
      <c r="AJ753" s="1020">
        <v>25</v>
      </c>
      <c r="AK753" s="1021">
        <v>391</v>
      </c>
      <c r="AL753" s="1022">
        <v>11</v>
      </c>
      <c r="AM753" s="1155">
        <f>IF(AT753="","",3*'09월 에너지'!S755*(1/(3+7.8*(100-AT753)/AT753)))</f>
        <v>1.3566520924422238</v>
      </c>
      <c r="AN753" s="1023">
        <v>0.12569444444444444</v>
      </c>
      <c r="AO753" s="1024"/>
      <c r="AP753" s="1025"/>
      <c r="AQ753" s="1025"/>
      <c r="AR753" s="1149" t="str">
        <f t="shared" si="155"/>
        <v/>
      </c>
      <c r="AS753" s="1093">
        <f t="shared" si="166"/>
        <v>5</v>
      </c>
      <c r="AT753" s="1156">
        <v>2.4</v>
      </c>
      <c r="AU753" s="449"/>
      <c r="AV753" s="1205"/>
    </row>
    <row r="754" spans="1:48" ht="16.5" customHeight="1">
      <c r="A754" s="1005">
        <f t="shared" si="156"/>
        <v>46293</v>
      </c>
      <c r="B754" s="1005">
        <f t="shared" si="157"/>
        <v>46292</v>
      </c>
      <c r="C754" s="1150">
        <f t="shared" si="158"/>
        <v>2</v>
      </c>
      <c r="D754" s="1150">
        <f t="shared" si="159"/>
        <v>743</v>
      </c>
      <c r="E754" s="1006" t="str">
        <f t="shared" si="160"/>
        <v>A</v>
      </c>
      <c r="F754" s="1007" t="str">
        <f t="shared" si="161"/>
        <v>A</v>
      </c>
      <c r="G754" s="1008">
        <f t="shared" si="162"/>
        <v>85956</v>
      </c>
      <c r="H754" s="1138">
        <f t="shared" si="163"/>
        <v>0.18680555555555556</v>
      </c>
      <c r="I754" s="1009">
        <v>0.18541666666666667</v>
      </c>
      <c r="J754" s="1010">
        <f t="shared" si="164"/>
        <v>46</v>
      </c>
      <c r="K754" s="1011"/>
      <c r="L754" s="1012"/>
      <c r="M754" s="1013"/>
      <c r="N754" s="1014" t="str">
        <f t="shared" si="165"/>
        <v/>
      </c>
      <c r="O754" s="1323"/>
      <c r="P754" s="1324"/>
      <c r="Q754" s="1324"/>
      <c r="R754" s="1324"/>
      <c r="S754" s="1324"/>
      <c r="T754" s="1325"/>
      <c r="U754" s="1015">
        <v>1.8</v>
      </c>
      <c r="V754" s="1015"/>
      <c r="W754" s="1015"/>
      <c r="X754" s="1015"/>
      <c r="Y754" s="1015">
        <v>2.7</v>
      </c>
      <c r="Z754" s="1016">
        <f>'09월 에너지'!S756</f>
        <v>144</v>
      </c>
      <c r="AA754" s="1017"/>
      <c r="AB754" s="1208"/>
      <c r="AC754" s="1208"/>
      <c r="AD754" s="1208"/>
      <c r="AE754" s="1208"/>
      <c r="AF754" s="1208"/>
      <c r="AG754" s="1018">
        <f>'09월 화학성분'!AM754</f>
        <v>2629</v>
      </c>
      <c r="AH754" s="1006">
        <f t="shared" si="154"/>
        <v>13</v>
      </c>
      <c r="AI754" s="1019">
        <v>1577</v>
      </c>
      <c r="AJ754" s="1020">
        <v>112</v>
      </c>
      <c r="AK754" s="1021">
        <v>728</v>
      </c>
      <c r="AL754" s="1022">
        <v>5</v>
      </c>
      <c r="AM754" s="1155">
        <f>IF(AT754="","",3*'09월 에너지'!S756*(1/(3+7.8*(100-AT754)/AT754)))</f>
        <v>2.3878711307643714</v>
      </c>
      <c r="AN754" s="1023">
        <v>0.16944444444444443</v>
      </c>
      <c r="AO754" s="1024"/>
      <c r="AP754" s="1025"/>
      <c r="AQ754" s="1025"/>
      <c r="AR754" s="1149">
        <f t="shared" si="155"/>
        <v>2</v>
      </c>
      <c r="AS754" s="1093" t="str">
        <f t="shared" si="166"/>
        <v xml:space="preserve"> </v>
      </c>
      <c r="AT754" s="1156">
        <v>4.2</v>
      </c>
      <c r="AU754" s="449"/>
      <c r="AV754" s="1205"/>
    </row>
    <row r="755" spans="1:48" ht="16.5" customHeight="1">
      <c r="A755" s="1005">
        <f t="shared" si="156"/>
        <v>46293</v>
      </c>
      <c r="B755" s="1005">
        <f t="shared" si="157"/>
        <v>46292</v>
      </c>
      <c r="C755" s="1150">
        <f t="shared" si="158"/>
        <v>3</v>
      </c>
      <c r="D755" s="1150">
        <f t="shared" si="159"/>
        <v>744</v>
      </c>
      <c r="E755" s="1006" t="str">
        <f t="shared" si="160"/>
        <v>A</v>
      </c>
      <c r="F755" s="1007" t="str">
        <f t="shared" si="161"/>
        <v>B</v>
      </c>
      <c r="G755" s="1008">
        <f t="shared" si="162"/>
        <v>85957</v>
      </c>
      <c r="H755" s="1138">
        <f t="shared" si="163"/>
        <v>0.21875</v>
      </c>
      <c r="I755" s="1009">
        <v>0.22152777777777777</v>
      </c>
      <c r="J755" s="1010">
        <f t="shared" si="164"/>
        <v>51.999999999999972</v>
      </c>
      <c r="K755" s="1011"/>
      <c r="L755" s="1012">
        <v>3</v>
      </c>
      <c r="M755" s="1013"/>
      <c r="N755" s="1014" t="str">
        <f t="shared" si="165"/>
        <v/>
      </c>
      <c r="O755" s="1335" t="s">
        <v>1028</v>
      </c>
      <c r="P755" s="1336"/>
      <c r="Q755" s="1336"/>
      <c r="R755" s="1336"/>
      <c r="S755" s="1336"/>
      <c r="T755" s="1337"/>
      <c r="U755" s="1015">
        <v>1.8</v>
      </c>
      <c r="V755" s="1015"/>
      <c r="W755" s="1015"/>
      <c r="X755" s="1015"/>
      <c r="Y755" s="1015"/>
      <c r="Z755" s="1016">
        <f>'09월 에너지'!S757</f>
        <v>143.30000000000001</v>
      </c>
      <c r="AA755" s="1017">
        <v>2576</v>
      </c>
      <c r="AB755" s="1208" t="s">
        <v>573</v>
      </c>
      <c r="AC755" s="1208" t="s">
        <v>1020</v>
      </c>
      <c r="AD755" s="1208" t="s">
        <v>532</v>
      </c>
      <c r="AE755" s="1208"/>
      <c r="AF755" s="1208" t="s">
        <v>532</v>
      </c>
      <c r="AG755" s="1018">
        <f>'09월 화학성분'!AM755</f>
        <v>2153</v>
      </c>
      <c r="AH755" s="1006">
        <f t="shared" si="154"/>
        <v>14</v>
      </c>
      <c r="AI755" s="1019">
        <v>1542</v>
      </c>
      <c r="AJ755" s="1020">
        <v>0</v>
      </c>
      <c r="AK755" s="1021">
        <v>313</v>
      </c>
      <c r="AL755" s="1022">
        <v>14</v>
      </c>
      <c r="AM755" s="1155">
        <f>IF(AT755="","",3*'09월 에너지'!S757*(1/(3+7.8*(100-AT755)/AT755)))</f>
        <v>0.94686722636815923</v>
      </c>
      <c r="AN755" s="1023">
        <v>0.12638888888888888</v>
      </c>
      <c r="AO755" s="1024"/>
      <c r="AP755" s="1025"/>
      <c r="AQ755" s="1025"/>
      <c r="AR755" s="1149" t="str">
        <f t="shared" si="155"/>
        <v/>
      </c>
      <c r="AS755" s="1093">
        <f t="shared" si="166"/>
        <v>6</v>
      </c>
      <c r="AT755" s="1156">
        <v>1.7</v>
      </c>
      <c r="AU755" s="449"/>
      <c r="AV755" s="1205"/>
    </row>
    <row r="756" spans="1:48" ht="16.5" customHeight="1">
      <c r="A756" s="1005">
        <f t="shared" si="156"/>
        <v>46293</v>
      </c>
      <c r="B756" s="1005">
        <f t="shared" si="157"/>
        <v>46292</v>
      </c>
      <c r="C756" s="1150">
        <f t="shared" si="158"/>
        <v>4</v>
      </c>
      <c r="D756" s="1150">
        <f t="shared" si="159"/>
        <v>745</v>
      </c>
      <c r="E756" s="1006" t="str">
        <f t="shared" si="160"/>
        <v>A</v>
      </c>
      <c r="F756" s="1007" t="str">
        <f t="shared" si="161"/>
        <v>A</v>
      </c>
      <c r="G756" s="1008">
        <f t="shared" si="162"/>
        <v>85958</v>
      </c>
      <c r="H756" s="1138">
        <f t="shared" si="163"/>
        <v>0.25486111111111109</v>
      </c>
      <c r="I756" s="1009">
        <v>0.25138888888888888</v>
      </c>
      <c r="J756" s="1010">
        <f t="shared" si="164"/>
        <v>43.000000000000007</v>
      </c>
      <c r="K756" s="1011"/>
      <c r="L756" s="1012"/>
      <c r="M756" s="1013"/>
      <c r="N756" s="1014" t="str">
        <f t="shared" si="165"/>
        <v/>
      </c>
      <c r="O756" s="1323"/>
      <c r="P756" s="1324"/>
      <c r="Q756" s="1324"/>
      <c r="R756" s="1324"/>
      <c r="S756" s="1324"/>
      <c r="T756" s="1325"/>
      <c r="U756" s="1015">
        <v>1.8</v>
      </c>
      <c r="V756" s="1015"/>
      <c r="W756" s="1015"/>
      <c r="X756" s="1015"/>
      <c r="Y756" s="1015">
        <v>2.2999999999999998</v>
      </c>
      <c r="Z756" s="1016">
        <f>'09월 에너지'!S758</f>
        <v>141.4</v>
      </c>
      <c r="AA756" s="1017"/>
      <c r="AB756" s="1208"/>
      <c r="AC756" s="1208"/>
      <c r="AD756" s="1208"/>
      <c r="AE756" s="1208"/>
      <c r="AF756" s="1208"/>
      <c r="AG756" s="1018">
        <f>'09월 화학성분'!AM756</f>
        <v>1814</v>
      </c>
      <c r="AH756" s="1006">
        <f t="shared" si="154"/>
        <v>15</v>
      </c>
      <c r="AI756" s="1019">
        <v>1569</v>
      </c>
      <c r="AJ756" s="1020">
        <v>0</v>
      </c>
      <c r="AK756" s="1021">
        <v>808</v>
      </c>
      <c r="AL756" s="1022">
        <v>4</v>
      </c>
      <c r="AM756" s="1155">
        <f>IF(AT756="","",3*'09월 에너지'!S758*(1/(3+7.8*(100-AT756)/AT756)))</f>
        <v>3.2710593490746658</v>
      </c>
      <c r="AN756" s="1023">
        <v>0.14444444444444446</v>
      </c>
      <c r="AO756" s="1024"/>
      <c r="AP756" s="1025"/>
      <c r="AQ756" s="1025"/>
      <c r="AR756" s="1149">
        <f t="shared" si="155"/>
        <v>3</v>
      </c>
      <c r="AS756" s="1093" t="str">
        <f t="shared" si="166"/>
        <v xml:space="preserve"> </v>
      </c>
      <c r="AT756" s="1156">
        <v>5.8</v>
      </c>
      <c r="AU756" s="449"/>
      <c r="AV756" s="1205"/>
    </row>
    <row r="757" spans="1:48" ht="16.5" customHeight="1">
      <c r="A757" s="1005">
        <f t="shared" si="156"/>
        <v>46293</v>
      </c>
      <c r="B757" s="1005">
        <v>46293</v>
      </c>
      <c r="C757" s="1150">
        <f t="shared" si="158"/>
        <v>5</v>
      </c>
      <c r="D757" s="1150">
        <f t="shared" si="159"/>
        <v>746</v>
      </c>
      <c r="E757" s="1006" t="s">
        <v>582</v>
      </c>
      <c r="F757" s="1007" t="str">
        <f t="shared" si="161"/>
        <v>B</v>
      </c>
      <c r="G757" s="1008">
        <f t="shared" si="162"/>
        <v>85959</v>
      </c>
      <c r="H757" s="1138">
        <f t="shared" si="163"/>
        <v>0.28472222222222221</v>
      </c>
      <c r="I757" s="1009">
        <v>0.28888888888888892</v>
      </c>
      <c r="J757" s="1010">
        <f t="shared" si="164"/>
        <v>54.00000000000005</v>
      </c>
      <c r="K757" s="1011"/>
      <c r="L757" s="1012"/>
      <c r="M757" s="1013"/>
      <c r="N757" s="1014" t="str">
        <f t="shared" si="165"/>
        <v/>
      </c>
      <c r="O757" s="1326" t="s">
        <v>1021</v>
      </c>
      <c r="P757" s="1324"/>
      <c r="Q757" s="1324"/>
      <c r="R757" s="1324"/>
      <c r="S757" s="1324"/>
      <c r="T757" s="1325"/>
      <c r="U757" s="1015">
        <v>1.8</v>
      </c>
      <c r="V757" s="1015"/>
      <c r="W757" s="1015"/>
      <c r="X757" s="1015"/>
      <c r="Y757" s="1015"/>
      <c r="Z757" s="1016">
        <f>'09월 에너지'!S759</f>
        <v>144.1</v>
      </c>
      <c r="AA757" s="1017"/>
      <c r="AB757" s="1208"/>
      <c r="AC757" s="1208"/>
      <c r="AD757" s="1208"/>
      <c r="AE757" s="1208"/>
      <c r="AF757" s="1208"/>
      <c r="AG757" s="1018">
        <f>'09월 화학성분'!AM757</f>
        <v>3073</v>
      </c>
      <c r="AH757" s="1006">
        <f t="shared" si="154"/>
        <v>16</v>
      </c>
      <c r="AI757" s="1019">
        <v>1606</v>
      </c>
      <c r="AJ757" s="1020">
        <v>0</v>
      </c>
      <c r="AK757" s="1021">
        <v>763</v>
      </c>
      <c r="AL757" s="1022">
        <v>5</v>
      </c>
      <c r="AM757" s="1155">
        <f>IF(AT757="","",3*'09월 에너지'!S759*(1/(3+7.8*(100-AT757)/AT757)))</f>
        <v>1.1791225062344139</v>
      </c>
      <c r="AN757" s="1023">
        <v>0.13055555555555556</v>
      </c>
      <c r="AO757" s="1024"/>
      <c r="AP757" s="1025"/>
      <c r="AQ757" s="1025"/>
      <c r="AR757" s="1149" t="str">
        <f t="shared" si="155"/>
        <v/>
      </c>
      <c r="AS757" s="1093">
        <f t="shared" si="166"/>
        <v>7</v>
      </c>
      <c r="AT757" s="1156">
        <v>2.1</v>
      </c>
      <c r="AU757" s="449"/>
      <c r="AV757" s="1205"/>
    </row>
    <row r="758" spans="1:48" ht="16.5" customHeight="1">
      <c r="A758" s="1005">
        <f t="shared" si="156"/>
        <v>46293</v>
      </c>
      <c r="B758" s="1005">
        <f t="shared" si="157"/>
        <v>46293</v>
      </c>
      <c r="C758" s="1150">
        <f t="shared" si="158"/>
        <v>6</v>
      </c>
      <c r="D758" s="1150">
        <f t="shared" si="159"/>
        <v>747</v>
      </c>
      <c r="E758" s="1006" t="str">
        <f t="shared" si="160"/>
        <v>C</v>
      </c>
      <c r="F758" s="1007" t="str">
        <f t="shared" si="161"/>
        <v>A</v>
      </c>
      <c r="G758" s="1008">
        <f t="shared" si="162"/>
        <v>85960</v>
      </c>
      <c r="H758" s="1138">
        <f t="shared" si="163"/>
        <v>0.32222222222222224</v>
      </c>
      <c r="I758" s="1009">
        <v>0.3215277777777778</v>
      </c>
      <c r="J758" s="1010">
        <f t="shared" si="164"/>
        <v>46.999999999999993</v>
      </c>
      <c r="K758" s="1011"/>
      <c r="L758" s="1012"/>
      <c r="M758" s="1013"/>
      <c r="N758" s="1014" t="str">
        <f t="shared" si="165"/>
        <v/>
      </c>
      <c r="O758" s="1323"/>
      <c r="P758" s="1324"/>
      <c r="Q758" s="1324"/>
      <c r="R758" s="1324"/>
      <c r="S758" s="1324"/>
      <c r="T758" s="1325"/>
      <c r="U758" s="1015">
        <v>1.8</v>
      </c>
      <c r="V758" s="1015"/>
      <c r="W758" s="1015"/>
      <c r="X758" s="1015"/>
      <c r="Y758" s="1015">
        <v>2.6</v>
      </c>
      <c r="Z758" s="1016">
        <f>'09월 에너지'!S760</f>
        <v>141.9</v>
      </c>
      <c r="AA758" s="1017"/>
      <c r="AB758" s="1208"/>
      <c r="AC758" s="1208"/>
      <c r="AD758" s="1208"/>
      <c r="AE758" s="1208"/>
      <c r="AF758" s="1208"/>
      <c r="AG758" s="1018">
        <f>'09월 화학성분'!AM758</f>
        <v>1741</v>
      </c>
      <c r="AH758" s="1006">
        <f t="shared" si="154"/>
        <v>17</v>
      </c>
      <c r="AI758" s="1019">
        <v>1613</v>
      </c>
      <c r="AJ758" s="1020">
        <v>0</v>
      </c>
      <c r="AK758" s="1021">
        <v>538</v>
      </c>
      <c r="AL758" s="1022">
        <v>7</v>
      </c>
      <c r="AM758" s="1155">
        <f>IF(AT758="","",3*'09월 에너지'!S760*(1/(3+7.8*(100-AT758)/AT758)))</f>
        <v>2.0092825676526118</v>
      </c>
      <c r="AN758" s="1023">
        <v>0.12013888888888889</v>
      </c>
      <c r="AO758" s="1024"/>
      <c r="AP758" s="1025"/>
      <c r="AQ758" s="1025"/>
      <c r="AR758" s="1149">
        <f t="shared" si="155"/>
        <v>4</v>
      </c>
      <c r="AS758" s="1093" t="str">
        <f t="shared" si="166"/>
        <v xml:space="preserve"> </v>
      </c>
      <c r="AT758" s="1156">
        <v>3.6</v>
      </c>
      <c r="AU758" s="449"/>
      <c r="AV758" s="1205" t="s">
        <v>708</v>
      </c>
    </row>
    <row r="759" spans="1:48" ht="16.5" customHeight="1">
      <c r="A759" s="1005">
        <f t="shared" si="156"/>
        <v>46293</v>
      </c>
      <c r="B759" s="1005">
        <f t="shared" si="157"/>
        <v>46293</v>
      </c>
      <c r="C759" s="1150">
        <f t="shared" si="158"/>
        <v>7</v>
      </c>
      <c r="D759" s="1150">
        <f t="shared" si="159"/>
        <v>748</v>
      </c>
      <c r="E759" s="1006" t="str">
        <f t="shared" si="160"/>
        <v>C</v>
      </c>
      <c r="F759" s="1007" t="str">
        <f t="shared" si="161"/>
        <v>B</v>
      </c>
      <c r="G759" s="1008">
        <f t="shared" si="162"/>
        <v>85961</v>
      </c>
      <c r="H759" s="1138">
        <f t="shared" si="163"/>
        <v>0.35486111111111113</v>
      </c>
      <c r="I759" s="1009">
        <v>0.35625000000000001</v>
      </c>
      <c r="J759" s="1010">
        <f t="shared" si="164"/>
        <v>49.999999999999986</v>
      </c>
      <c r="K759" s="1011"/>
      <c r="L759" s="1012"/>
      <c r="M759" s="1013"/>
      <c r="N759" s="1014" t="str">
        <f t="shared" si="165"/>
        <v/>
      </c>
      <c r="O759" s="1323" t="s">
        <v>1029</v>
      </c>
      <c r="P759" s="1324"/>
      <c r="Q759" s="1324"/>
      <c r="R759" s="1324"/>
      <c r="S759" s="1324"/>
      <c r="T759" s="1325"/>
      <c r="U759" s="1015">
        <v>1.8</v>
      </c>
      <c r="V759" s="1015"/>
      <c r="W759" s="1015"/>
      <c r="X759" s="1015"/>
      <c r="Y759" s="1015"/>
      <c r="Z759" s="1016">
        <f>'09월 에너지'!S761</f>
        <v>145.69999999999999</v>
      </c>
      <c r="AA759" s="1017"/>
      <c r="AB759" s="1208"/>
      <c r="AC759" s="1208"/>
      <c r="AD759" s="1208"/>
      <c r="AE759" s="1208"/>
      <c r="AF759" s="1208"/>
      <c r="AG759" s="1018">
        <f>'09월 화학성분'!AM759</f>
        <v>1671</v>
      </c>
      <c r="AH759" s="1006">
        <f t="shared" si="154"/>
        <v>18</v>
      </c>
      <c r="AI759" s="1019">
        <v>1573</v>
      </c>
      <c r="AJ759" s="1020">
        <v>21</v>
      </c>
      <c r="AK759" s="1021">
        <v>724</v>
      </c>
      <c r="AL759" s="1022">
        <v>5</v>
      </c>
      <c r="AM759" s="1155">
        <f>IF(AT759="","",3*'09월 에너지'!S761*(1/(3+7.8*(100-AT759)/AT759)))</f>
        <v>1.2497660636306926</v>
      </c>
      <c r="AN759" s="1023">
        <v>0.13333333333333333</v>
      </c>
      <c r="AO759" s="1024"/>
      <c r="AP759" s="1025"/>
      <c r="AQ759" s="1025"/>
      <c r="AR759" s="1149" t="str">
        <f t="shared" si="155"/>
        <v/>
      </c>
      <c r="AS759" s="1093">
        <f t="shared" si="166"/>
        <v>8</v>
      </c>
      <c r="AT759" s="1156">
        <v>2.2000000000000002</v>
      </c>
      <c r="AU759" s="449"/>
      <c r="AV759" s="1205"/>
    </row>
    <row r="760" spans="1:48" ht="16.5" customHeight="1">
      <c r="A760" s="1005">
        <f t="shared" si="156"/>
        <v>46293</v>
      </c>
      <c r="B760" s="1005">
        <f t="shared" si="157"/>
        <v>46293</v>
      </c>
      <c r="C760" s="1150">
        <f t="shared" si="158"/>
        <v>8</v>
      </c>
      <c r="D760" s="1150">
        <f t="shared" si="159"/>
        <v>749</v>
      </c>
      <c r="E760" s="1006" t="str">
        <f t="shared" si="160"/>
        <v>C</v>
      </c>
      <c r="F760" s="1007" t="str">
        <f t="shared" si="161"/>
        <v>A</v>
      </c>
      <c r="G760" s="1008">
        <f t="shared" si="162"/>
        <v>85962</v>
      </c>
      <c r="H760" s="1138">
        <f t="shared" si="163"/>
        <v>0.38958333333333334</v>
      </c>
      <c r="I760" s="1009">
        <v>0.39027777777777778</v>
      </c>
      <c r="J760" s="1010">
        <f t="shared" si="164"/>
        <v>48.999999999999986</v>
      </c>
      <c r="K760" s="1011"/>
      <c r="L760" s="1012"/>
      <c r="M760" s="1013"/>
      <c r="N760" s="1014" t="str">
        <f t="shared" si="165"/>
        <v/>
      </c>
      <c r="O760" s="1326" t="s">
        <v>611</v>
      </c>
      <c r="P760" s="1327"/>
      <c r="Q760" s="1327"/>
      <c r="R760" s="1327"/>
      <c r="S760" s="1327"/>
      <c r="T760" s="1328"/>
      <c r="U760" s="1015"/>
      <c r="V760" s="1015"/>
      <c r="W760" s="1015"/>
      <c r="X760" s="1015"/>
      <c r="Y760" s="1015"/>
      <c r="Z760" s="1016">
        <f>'09월 에너지'!S762</f>
        <v>118.3</v>
      </c>
      <c r="AA760" s="1017"/>
      <c r="AB760" s="1208"/>
      <c r="AC760" s="1208"/>
      <c r="AD760" s="1208"/>
      <c r="AE760" s="1208"/>
      <c r="AF760" s="1208"/>
      <c r="AG760" s="1018">
        <f>'09월 화학성분'!AM760</f>
        <v>3229</v>
      </c>
      <c r="AH760" s="1006">
        <f t="shared" si="154"/>
        <v>19</v>
      </c>
      <c r="AI760" s="1019">
        <v>1612</v>
      </c>
      <c r="AJ760" s="1020">
        <v>219</v>
      </c>
      <c r="AK760" s="1021">
        <v>639</v>
      </c>
      <c r="AL760" s="1022">
        <v>6</v>
      </c>
      <c r="AM760" s="1155">
        <f>IF(AT760="","",3*'09월 에너지'!S762*(1/(3+7.8*(100-AT760)/AT760)))</f>
        <v>16.740566037735849</v>
      </c>
      <c r="AN760" s="1023">
        <v>0.16180555555555556</v>
      </c>
      <c r="AO760" s="1024"/>
      <c r="AP760" s="1025"/>
      <c r="AQ760" s="1025"/>
      <c r="AR760" s="1149">
        <f t="shared" si="155"/>
        <v>5</v>
      </c>
      <c r="AS760" s="1093" t="str">
        <f t="shared" si="166"/>
        <v xml:space="preserve"> </v>
      </c>
      <c r="AT760" s="1156">
        <v>30</v>
      </c>
      <c r="AU760" s="449"/>
      <c r="AV760" s="1205"/>
    </row>
    <row r="761" spans="1:48" ht="16.5" customHeight="1">
      <c r="A761" s="1005">
        <f t="shared" si="156"/>
        <v>46293</v>
      </c>
      <c r="B761" s="1005">
        <f t="shared" si="157"/>
        <v>46293</v>
      </c>
      <c r="C761" s="1150">
        <f t="shared" si="158"/>
        <v>9</v>
      </c>
      <c r="D761" s="1150">
        <f t="shared" si="159"/>
        <v>750</v>
      </c>
      <c r="E761" s="1006" t="str">
        <f t="shared" si="160"/>
        <v>C</v>
      </c>
      <c r="F761" s="1007" t="str">
        <f t="shared" si="161"/>
        <v>B</v>
      </c>
      <c r="G761" s="1008">
        <f t="shared" si="162"/>
        <v>85963</v>
      </c>
      <c r="H761" s="1138">
        <f t="shared" si="163"/>
        <v>0.4236111111111111</v>
      </c>
      <c r="I761" s="1009">
        <v>0.43055555555555558</v>
      </c>
      <c r="J761" s="1010">
        <f t="shared" si="164"/>
        <v>58.000000000000036</v>
      </c>
      <c r="K761" s="1011"/>
      <c r="L761" s="1012"/>
      <c r="M761" s="1013"/>
      <c r="N761" s="1014" t="str">
        <f t="shared" si="165"/>
        <v/>
      </c>
      <c r="O761" s="1326" t="s">
        <v>611</v>
      </c>
      <c r="P761" s="1327"/>
      <c r="Q761" s="1327"/>
      <c r="R761" s="1327"/>
      <c r="S761" s="1327"/>
      <c r="T761" s="1328"/>
      <c r="U761" s="1015"/>
      <c r="V761" s="1015"/>
      <c r="W761" s="1015"/>
      <c r="X761" s="1015"/>
      <c r="Y761" s="1015"/>
      <c r="Z761" s="1016">
        <f>'09월 에너지'!S763</f>
        <v>117.6</v>
      </c>
      <c r="AA761" s="1017"/>
      <c r="AB761" s="1208"/>
      <c r="AC761" s="1208"/>
      <c r="AD761" s="1208"/>
      <c r="AE761" s="1208"/>
      <c r="AF761" s="1208"/>
      <c r="AG761" s="1018">
        <f>'09월 화학성분'!AM761</f>
        <v>3768</v>
      </c>
      <c r="AH761" s="1006">
        <f t="shared" si="154"/>
        <v>20</v>
      </c>
      <c r="AI761" s="1019">
        <v>1592</v>
      </c>
      <c r="AJ761" s="1020">
        <v>91</v>
      </c>
      <c r="AK761" s="1021">
        <v>474</v>
      </c>
      <c r="AL761" s="1022">
        <v>9</v>
      </c>
      <c r="AM761" s="1155">
        <f>IF(AT761="","",3*'09월 에너지'!S763*(1/(3+7.8*(100-AT761)/AT761)))</f>
        <v>0.77705223880597007</v>
      </c>
      <c r="AN761" s="1023">
        <v>0.17013888888888887</v>
      </c>
      <c r="AO761" s="1024"/>
      <c r="AP761" s="1025"/>
      <c r="AQ761" s="1025"/>
      <c r="AR761" s="1149" t="str">
        <f t="shared" si="155"/>
        <v/>
      </c>
      <c r="AS761" s="1093">
        <f t="shared" si="166"/>
        <v>9</v>
      </c>
      <c r="AT761" s="1156">
        <v>1.7</v>
      </c>
      <c r="AU761" s="449"/>
      <c r="AV761" s="1205"/>
    </row>
    <row r="762" spans="1:48" ht="17.100000000000001" customHeight="1">
      <c r="A762" s="1005">
        <f t="shared" si="156"/>
        <v>46293</v>
      </c>
      <c r="B762" s="1005">
        <f t="shared" si="157"/>
        <v>46293</v>
      </c>
      <c r="C762" s="1150">
        <f t="shared" si="158"/>
        <v>10</v>
      </c>
      <c r="D762" s="1150">
        <f t="shared" si="159"/>
        <v>751</v>
      </c>
      <c r="E762" s="1006" t="s">
        <v>737</v>
      </c>
      <c r="F762" s="1007" t="s">
        <v>1032</v>
      </c>
      <c r="G762" s="1008">
        <f t="shared" si="162"/>
        <v>85964</v>
      </c>
      <c r="H762" s="1138">
        <f t="shared" si="163"/>
        <v>0.46388888888888891</v>
      </c>
      <c r="I762" s="1009">
        <v>0.79583333333333339</v>
      </c>
      <c r="J762" s="1010">
        <f t="shared" si="164"/>
        <v>526</v>
      </c>
      <c r="K762" s="1011">
        <v>465</v>
      </c>
      <c r="L762" s="1012"/>
      <c r="M762" s="1013">
        <v>0.43055555555555558</v>
      </c>
      <c r="N762" s="1014">
        <f t="shared" si="165"/>
        <v>0.75347222222222232</v>
      </c>
      <c r="O762" s="1323" t="s">
        <v>1047</v>
      </c>
      <c r="P762" s="1324"/>
      <c r="Q762" s="1324"/>
      <c r="R762" s="1324"/>
      <c r="S762" s="1324"/>
      <c r="T762" s="1325"/>
      <c r="U762" s="1015"/>
      <c r="V762" s="1015">
        <v>3.3</v>
      </c>
      <c r="W762" s="1015"/>
      <c r="X762" s="1015"/>
      <c r="Y762" s="1015"/>
      <c r="Z762" s="1016">
        <f>'09월 에너지'!S764</f>
        <v>133.5</v>
      </c>
      <c r="AA762" s="1017">
        <v>5347</v>
      </c>
      <c r="AB762" s="1208" t="s">
        <v>573</v>
      </c>
      <c r="AC762" s="1208" t="s">
        <v>1020</v>
      </c>
      <c r="AD762" s="1208" t="s">
        <v>532</v>
      </c>
      <c r="AE762" s="1208"/>
      <c r="AF762" s="1208" t="s">
        <v>532</v>
      </c>
      <c r="AG762" s="1018">
        <f>'09월 화학성분'!AM762</f>
        <v>2973</v>
      </c>
      <c r="AH762" s="1235">
        <v>1</v>
      </c>
      <c r="AI762" s="1019">
        <v>1583</v>
      </c>
      <c r="AJ762" s="1020">
        <v>118</v>
      </c>
      <c r="AK762" s="1021">
        <v>852</v>
      </c>
      <c r="AL762" s="1022">
        <v>4</v>
      </c>
      <c r="AM762" s="1155">
        <f>IF(AT762="","",3*'09월 에너지'!S764*(1/(3+7.8*(100-AT762)/AT762)))</f>
        <v>0.41280148423005564</v>
      </c>
      <c r="AN762" s="1023">
        <v>0.22708333333333333</v>
      </c>
      <c r="AO762" s="1024"/>
      <c r="AP762" s="1025"/>
      <c r="AQ762" s="1025"/>
      <c r="AR762" s="1149">
        <f t="shared" si="155"/>
        <v>6</v>
      </c>
      <c r="AS762" s="1093" t="str">
        <f t="shared" si="166"/>
        <v xml:space="preserve"> </v>
      </c>
      <c r="AT762" s="1156">
        <v>0.8</v>
      </c>
      <c r="AU762" s="449"/>
      <c r="AV762" s="1205"/>
    </row>
    <row r="763" spans="1:48" ht="17.100000000000001" customHeight="1">
      <c r="A763" s="1005">
        <f t="shared" si="156"/>
        <v>46293</v>
      </c>
      <c r="B763" s="1005">
        <f t="shared" si="157"/>
        <v>46293</v>
      </c>
      <c r="C763" s="1150">
        <f t="shared" si="158"/>
        <v>11</v>
      </c>
      <c r="D763" s="1150">
        <f t="shared" si="159"/>
        <v>752</v>
      </c>
      <c r="E763" s="1006" t="str">
        <f t="shared" si="160"/>
        <v>D</v>
      </c>
      <c r="F763" s="1007" t="s">
        <v>534</v>
      </c>
      <c r="G763" s="1008">
        <f t="shared" si="162"/>
        <v>85965</v>
      </c>
      <c r="H763" s="1138">
        <f t="shared" si="163"/>
        <v>0.82916666666666672</v>
      </c>
      <c r="I763" s="1009">
        <v>0.84027777777777779</v>
      </c>
      <c r="J763" s="1010">
        <f t="shared" si="164"/>
        <v>63.999999999999929</v>
      </c>
      <c r="K763" s="1011">
        <v>16</v>
      </c>
      <c r="L763" s="1012"/>
      <c r="M763" s="1013">
        <v>0.79583333333333339</v>
      </c>
      <c r="N763" s="1014">
        <f t="shared" si="165"/>
        <v>0.80694444444444446</v>
      </c>
      <c r="O763" s="1323" t="s">
        <v>1033</v>
      </c>
      <c r="P763" s="1324"/>
      <c r="Q763" s="1324"/>
      <c r="R763" s="1324"/>
      <c r="S763" s="1324"/>
      <c r="T763" s="1325"/>
      <c r="U763" s="1015">
        <v>1.8</v>
      </c>
      <c r="V763" s="1015"/>
      <c r="W763" s="1015"/>
      <c r="X763" s="1015"/>
      <c r="Y763" s="1015"/>
      <c r="Z763" s="1016">
        <f>'09월 에너지'!S765</f>
        <v>136.69999999999999</v>
      </c>
      <c r="AA763" s="1017"/>
      <c r="AB763" s="1208"/>
      <c r="AC763" s="1208"/>
      <c r="AD763" s="1208"/>
      <c r="AE763" s="1208"/>
      <c r="AF763" s="1208"/>
      <c r="AG763" s="1018">
        <f>'09월 화학성분'!AM763</f>
        <v>2794</v>
      </c>
      <c r="AH763" s="1006">
        <f t="shared" si="154"/>
        <v>2</v>
      </c>
      <c r="AI763" s="1019">
        <v>1543</v>
      </c>
      <c r="AJ763" s="1020">
        <v>0</v>
      </c>
      <c r="AK763" s="1021">
        <v>580</v>
      </c>
      <c r="AL763" s="1022">
        <v>7</v>
      </c>
      <c r="AM763" s="1155">
        <f>IF(AT763="","",3*'09월 에너지'!S765*(1/(3+7.8*(100-AT763)/AT763)))</f>
        <v>0.21082665021591612</v>
      </c>
      <c r="AN763" s="1023">
        <v>0.20347222222222219</v>
      </c>
      <c r="AO763" s="1024"/>
      <c r="AP763" s="1025"/>
      <c r="AQ763" s="1025"/>
      <c r="AR763" s="1149">
        <f t="shared" si="155"/>
        <v>7</v>
      </c>
      <c r="AS763" s="1093" t="str">
        <f t="shared" si="166"/>
        <v xml:space="preserve"> </v>
      </c>
      <c r="AT763" s="1156">
        <v>0.4</v>
      </c>
      <c r="AU763" s="449"/>
      <c r="AV763" s="1205"/>
    </row>
    <row r="764" spans="1:48" ht="17.100000000000001" customHeight="1">
      <c r="A764" s="1005">
        <f t="shared" si="156"/>
        <v>46293</v>
      </c>
      <c r="B764" s="1005">
        <f t="shared" si="157"/>
        <v>46293</v>
      </c>
      <c r="C764" s="1150">
        <f t="shared" si="158"/>
        <v>12</v>
      </c>
      <c r="D764" s="1150">
        <f t="shared" si="159"/>
        <v>753</v>
      </c>
      <c r="E764" s="1006" t="str">
        <f t="shared" si="160"/>
        <v>D</v>
      </c>
      <c r="F764" s="1007" t="str">
        <f t="shared" si="161"/>
        <v>B</v>
      </c>
      <c r="G764" s="1008">
        <f t="shared" si="162"/>
        <v>85966</v>
      </c>
      <c r="H764" s="1138">
        <f t="shared" si="163"/>
        <v>0.87361111111111112</v>
      </c>
      <c r="I764" s="1009">
        <v>0.90416666666666667</v>
      </c>
      <c r="J764" s="1010">
        <f t="shared" si="164"/>
        <v>92</v>
      </c>
      <c r="K764" s="1011">
        <v>29</v>
      </c>
      <c r="L764" s="1012">
        <v>10</v>
      </c>
      <c r="M764" s="1013">
        <v>0.84027777777777779</v>
      </c>
      <c r="N764" s="1014">
        <f t="shared" si="165"/>
        <v>0.86041666666666672</v>
      </c>
      <c r="O764" s="1323" t="s">
        <v>1034</v>
      </c>
      <c r="P764" s="1324"/>
      <c r="Q764" s="1324"/>
      <c r="R764" s="1324"/>
      <c r="S764" s="1324"/>
      <c r="T764" s="1325"/>
      <c r="U764" s="1015"/>
      <c r="V764" s="1015">
        <v>3.5</v>
      </c>
      <c r="W764" s="1015"/>
      <c r="X764" s="1015"/>
      <c r="Y764" s="1015"/>
      <c r="Z764" s="1016">
        <f>'09월 에너지'!S766</f>
        <v>134</v>
      </c>
      <c r="AA764" s="1017">
        <v>3453</v>
      </c>
      <c r="AB764" s="1208" t="s">
        <v>573</v>
      </c>
      <c r="AC764" s="1208" t="s">
        <v>1020</v>
      </c>
      <c r="AD764" s="1208" t="s">
        <v>532</v>
      </c>
      <c r="AE764" s="1208"/>
      <c r="AF764" s="1208" t="s">
        <v>532</v>
      </c>
      <c r="AG764" s="1018">
        <f>'09월 화학성분'!AM764</f>
        <v>2794</v>
      </c>
      <c r="AH764" s="1006">
        <f t="shared" si="154"/>
        <v>3</v>
      </c>
      <c r="AI764" s="1019">
        <v>1565</v>
      </c>
      <c r="AJ764" s="1020">
        <v>0</v>
      </c>
      <c r="AK764" s="1021">
        <v>652</v>
      </c>
      <c r="AL764" s="1022">
        <v>6</v>
      </c>
      <c r="AM764" s="1155">
        <f>IF(AT764="","",3*'09월 에너지'!S766*(1/(3+7.8*(100-AT764)/AT764)))</f>
        <v>0.10320394331484907</v>
      </c>
      <c r="AN764" s="1023">
        <v>0.20138888888888887</v>
      </c>
      <c r="AO764" s="1024"/>
      <c r="AP764" s="1025"/>
      <c r="AQ764" s="1025"/>
      <c r="AR764" s="1149" t="str">
        <f t="shared" si="155"/>
        <v/>
      </c>
      <c r="AS764" s="1093">
        <v>10</v>
      </c>
      <c r="AT764" s="1156">
        <v>0.2</v>
      </c>
      <c r="AU764" s="449"/>
      <c r="AV764" s="1205"/>
    </row>
    <row r="765" spans="1:48" ht="17.100000000000001" customHeight="1">
      <c r="A765" s="1005">
        <f t="shared" si="156"/>
        <v>46293</v>
      </c>
      <c r="B765" s="1005">
        <f t="shared" si="157"/>
        <v>46293</v>
      </c>
      <c r="C765" s="1150">
        <f t="shared" si="158"/>
        <v>13</v>
      </c>
      <c r="D765" s="1150">
        <f t="shared" si="159"/>
        <v>754</v>
      </c>
      <c r="E765" s="1006" t="str">
        <f t="shared" si="160"/>
        <v>D</v>
      </c>
      <c r="F765" s="1007" t="str">
        <f t="shared" si="161"/>
        <v>A</v>
      </c>
      <c r="G765" s="1008">
        <f t="shared" si="162"/>
        <v>85967</v>
      </c>
      <c r="H765" s="1138">
        <f t="shared" si="163"/>
        <v>0.9375</v>
      </c>
      <c r="I765" s="1009">
        <v>0.93333333333333324</v>
      </c>
      <c r="J765" s="1010">
        <f t="shared" si="164"/>
        <v>41.999999999999851</v>
      </c>
      <c r="K765" s="1011"/>
      <c r="L765" s="1012"/>
      <c r="M765" s="1013"/>
      <c r="N765" s="1014" t="str">
        <f t="shared" si="165"/>
        <v/>
      </c>
      <c r="O765" s="1338" t="s">
        <v>1035</v>
      </c>
      <c r="P765" s="1324"/>
      <c r="Q765" s="1324"/>
      <c r="R765" s="1324"/>
      <c r="S765" s="1324"/>
      <c r="T765" s="1325"/>
      <c r="U765" s="1015"/>
      <c r="V765" s="1015"/>
      <c r="W765" s="1015"/>
      <c r="X765" s="1015"/>
      <c r="Y765" s="1015">
        <v>2.7</v>
      </c>
      <c r="Z765" s="1016">
        <f>'09월 에너지'!S767</f>
        <v>144</v>
      </c>
      <c r="AA765" s="1017"/>
      <c r="AB765" s="1208"/>
      <c r="AC765" s="1208"/>
      <c r="AD765" s="1208"/>
      <c r="AE765" s="1208"/>
      <c r="AF765" s="1208"/>
      <c r="AG765" s="1018">
        <f>'09월 화학성분'!AM765</f>
        <v>2529</v>
      </c>
      <c r="AH765" s="1006">
        <f t="shared" si="154"/>
        <v>4</v>
      </c>
      <c r="AI765" s="1019">
        <v>1530</v>
      </c>
      <c r="AJ765" s="1020">
        <v>0</v>
      </c>
      <c r="AK765" s="1021">
        <v>855</v>
      </c>
      <c r="AL765" s="1022">
        <v>4</v>
      </c>
      <c r="AM765" s="1155">
        <f>IF(AT765="","",3*'09월 에너지'!S767*(1/(3+7.8*(100-AT765)/AT765)))</f>
        <v>0.72580645161290314</v>
      </c>
      <c r="AN765" s="1023">
        <v>0.1986111111111111</v>
      </c>
      <c r="AO765" s="1024"/>
      <c r="AP765" s="1025"/>
      <c r="AQ765" s="1025"/>
      <c r="AR765" s="1149">
        <f t="shared" si="155"/>
        <v>8</v>
      </c>
      <c r="AS765" s="1093" t="str">
        <f t="shared" si="166"/>
        <v xml:space="preserve"> </v>
      </c>
      <c r="AT765" s="1156">
        <v>1.3</v>
      </c>
      <c r="AU765" s="449"/>
      <c r="AV765" s="1205"/>
    </row>
    <row r="766" spans="1:48" ht="17.100000000000001" customHeight="1">
      <c r="A766" s="1005">
        <f t="shared" si="156"/>
        <v>46293</v>
      </c>
      <c r="B766" s="1005">
        <f t="shared" si="157"/>
        <v>46293</v>
      </c>
      <c r="C766" s="1150">
        <f t="shared" si="158"/>
        <v>14</v>
      </c>
      <c r="D766" s="1150">
        <f t="shared" si="159"/>
        <v>755</v>
      </c>
      <c r="E766" s="1006" t="s">
        <v>534</v>
      </c>
      <c r="F766" s="1007" t="str">
        <f t="shared" si="161"/>
        <v>B</v>
      </c>
      <c r="G766" s="1008">
        <f t="shared" si="162"/>
        <v>85968</v>
      </c>
      <c r="H766" s="1138">
        <f t="shared" si="163"/>
        <v>0.96666666666666656</v>
      </c>
      <c r="I766" s="1009">
        <v>0.96458333333333324</v>
      </c>
      <c r="J766" s="1010">
        <f t="shared" si="164"/>
        <v>45</v>
      </c>
      <c r="K766" s="1011"/>
      <c r="L766" s="1012">
        <v>1</v>
      </c>
      <c r="M766" s="1013"/>
      <c r="N766" s="1014" t="str">
        <f t="shared" si="165"/>
        <v/>
      </c>
      <c r="O766" s="1323" t="s">
        <v>674</v>
      </c>
      <c r="P766" s="1324"/>
      <c r="Q766" s="1324"/>
      <c r="R766" s="1324"/>
      <c r="S766" s="1324"/>
      <c r="T766" s="1325"/>
      <c r="U766" s="1015">
        <v>1.8</v>
      </c>
      <c r="V766" s="1015"/>
      <c r="W766" s="1015"/>
      <c r="X766" s="1015"/>
      <c r="Y766" s="1015">
        <v>2.6</v>
      </c>
      <c r="Z766" s="1016">
        <f>'09월 에너지'!S768</f>
        <v>141.80000000000001</v>
      </c>
      <c r="AA766" s="1017"/>
      <c r="AB766" s="1208"/>
      <c r="AC766" s="1208"/>
      <c r="AD766" s="1208"/>
      <c r="AE766" s="1208"/>
      <c r="AF766" s="1208"/>
      <c r="AG766" s="1018">
        <f>'09월 화학성분'!AM766</f>
        <v>2708</v>
      </c>
      <c r="AH766" s="1006">
        <f t="shared" si="154"/>
        <v>5</v>
      </c>
      <c r="AI766" s="1019">
        <v>1562</v>
      </c>
      <c r="AJ766" s="1020">
        <v>0</v>
      </c>
      <c r="AK766" s="1021">
        <v>658</v>
      </c>
      <c r="AL766" s="1022">
        <v>6</v>
      </c>
      <c r="AM766" s="1155">
        <f>IF(AT766="","",3*'09월 에너지'!S768*(1/(3+7.8*(100-AT766)/AT766)))</f>
        <v>0.60401177199504341</v>
      </c>
      <c r="AN766" s="1023">
        <v>0.21249999999999999</v>
      </c>
      <c r="AO766" s="1024"/>
      <c r="AP766" s="1025"/>
      <c r="AQ766" s="1025"/>
      <c r="AR766" s="1149" t="str">
        <f t="shared" si="155"/>
        <v/>
      </c>
      <c r="AS766" s="1093">
        <f t="shared" si="166"/>
        <v>11</v>
      </c>
      <c r="AT766" s="1156">
        <v>1.1000000000000001</v>
      </c>
      <c r="AU766" s="449"/>
      <c r="AV766" s="1205"/>
    </row>
    <row r="767" spans="1:48" ht="17.100000000000001" customHeight="1">
      <c r="A767" s="1005">
        <f t="shared" si="156"/>
        <v>46293</v>
      </c>
      <c r="B767" s="1005">
        <f t="shared" si="157"/>
        <v>46293</v>
      </c>
      <c r="C767" s="1150">
        <f t="shared" si="158"/>
        <v>15</v>
      </c>
      <c r="D767" s="1150">
        <f t="shared" si="159"/>
        <v>756</v>
      </c>
      <c r="E767" s="1006" t="str">
        <f t="shared" si="160"/>
        <v>A</v>
      </c>
      <c r="F767" s="1007" t="str">
        <f t="shared" si="161"/>
        <v>A</v>
      </c>
      <c r="G767" s="1008">
        <f t="shared" si="162"/>
        <v>85969</v>
      </c>
      <c r="H767" s="1138">
        <f t="shared" si="163"/>
        <v>0.99791666666666656</v>
      </c>
      <c r="I767" s="1009">
        <v>0.99791666666666667</v>
      </c>
      <c r="J767" s="1010">
        <f t="shared" si="164"/>
        <v>48.000000000000149</v>
      </c>
      <c r="K767" s="1011"/>
      <c r="L767" s="1012"/>
      <c r="M767" s="1013"/>
      <c r="N767" s="1014" t="str">
        <f t="shared" si="165"/>
        <v/>
      </c>
      <c r="O767" s="1323"/>
      <c r="P767" s="1324"/>
      <c r="Q767" s="1324"/>
      <c r="R767" s="1324"/>
      <c r="S767" s="1324"/>
      <c r="T767" s="1325"/>
      <c r="U767" s="1015">
        <v>1.8</v>
      </c>
      <c r="V767" s="1015"/>
      <c r="W767" s="1015"/>
      <c r="X767" s="1015"/>
      <c r="Y767" s="1015">
        <v>2.8</v>
      </c>
      <c r="Z767" s="1016">
        <f>'09월 에너지'!S769</f>
        <v>146.9</v>
      </c>
      <c r="AA767" s="1017"/>
      <c r="AB767" s="1208"/>
      <c r="AC767" s="1208"/>
      <c r="AD767" s="1208"/>
      <c r="AE767" s="1208"/>
      <c r="AF767" s="1208"/>
      <c r="AG767" s="1018">
        <f>'09월 화학성분'!AM767</f>
        <v>3064</v>
      </c>
      <c r="AH767" s="1006">
        <f t="shared" si="154"/>
        <v>6</v>
      </c>
      <c r="AI767" s="1019">
        <v>1567</v>
      </c>
      <c r="AJ767" s="1020">
        <v>32</v>
      </c>
      <c r="AK767" s="1021">
        <v>747</v>
      </c>
      <c r="AL767" s="1022">
        <v>5</v>
      </c>
      <c r="AM767" s="1155">
        <f>IF(AT767="","",3*'09월 에너지'!S769*(1/(3+7.8*(100-AT767)/AT767)))</f>
        <v>0.51133199257425754</v>
      </c>
      <c r="AN767" s="1023">
        <v>0.22291666666666665</v>
      </c>
      <c r="AO767" s="1024"/>
      <c r="AP767" s="1025"/>
      <c r="AQ767" s="1025"/>
      <c r="AR767" s="1149">
        <f t="shared" si="155"/>
        <v>9</v>
      </c>
      <c r="AS767" s="1093" t="str">
        <f t="shared" si="166"/>
        <v xml:space="preserve"> </v>
      </c>
      <c r="AT767" s="1156">
        <v>0.9</v>
      </c>
      <c r="AU767" s="449"/>
      <c r="AV767" s="1205"/>
    </row>
    <row r="768" spans="1:48" ht="17.100000000000001" customHeight="1">
      <c r="A768" s="1005">
        <f t="shared" si="156"/>
        <v>46293</v>
      </c>
      <c r="B768" s="1005">
        <f t="shared" si="157"/>
        <v>46293</v>
      </c>
      <c r="C768" s="1150">
        <f t="shared" si="158"/>
        <v>16</v>
      </c>
      <c r="D768" s="1150">
        <f t="shared" si="159"/>
        <v>757</v>
      </c>
      <c r="E768" s="1006" t="str">
        <f t="shared" si="160"/>
        <v>A</v>
      </c>
      <c r="F768" s="1007" t="str">
        <f t="shared" si="161"/>
        <v>B</v>
      </c>
      <c r="G768" s="1008">
        <f t="shared" si="162"/>
        <v>85970</v>
      </c>
      <c r="H768" s="1138">
        <f t="shared" si="163"/>
        <v>1.03125</v>
      </c>
      <c r="I768" s="1009">
        <v>3.125E-2</v>
      </c>
      <c r="J768" s="1010">
        <f t="shared" si="164"/>
        <v>48</v>
      </c>
      <c r="K768" s="1011"/>
      <c r="L768" s="1012"/>
      <c r="M768" s="1013"/>
      <c r="N768" s="1014" t="str">
        <f t="shared" si="165"/>
        <v/>
      </c>
      <c r="O768" s="1323"/>
      <c r="P768" s="1324"/>
      <c r="Q768" s="1324"/>
      <c r="R768" s="1324"/>
      <c r="S768" s="1324"/>
      <c r="T768" s="1325"/>
      <c r="U768" s="1015">
        <v>1.8</v>
      </c>
      <c r="V768" s="1015">
        <v>2.4</v>
      </c>
      <c r="W768" s="1015">
        <v>1.5</v>
      </c>
      <c r="X768" s="1015"/>
      <c r="Y768" s="1015"/>
      <c r="Z768" s="1016">
        <f>'09월 에너지'!S770</f>
        <v>151.1</v>
      </c>
      <c r="AA768" s="1017"/>
      <c r="AB768" s="1208"/>
      <c r="AC768" s="1208"/>
      <c r="AD768" s="1208"/>
      <c r="AE768" s="1208"/>
      <c r="AF768" s="1208"/>
      <c r="AG768" s="1018">
        <f>'09월 화학성분'!AM768</f>
        <v>2986</v>
      </c>
      <c r="AH768" s="1006">
        <f t="shared" si="154"/>
        <v>7</v>
      </c>
      <c r="AI768" s="1019">
        <v>1525</v>
      </c>
      <c r="AJ768" s="1020">
        <v>0</v>
      </c>
      <c r="AK768" s="1021">
        <v>466</v>
      </c>
      <c r="AL768" s="1022">
        <v>9</v>
      </c>
      <c r="AM768" s="1155">
        <f>IF(AT768="","",3*'09월 에너지'!S770*(1/(3+7.8*(100-AT768)/AT768)))</f>
        <v>0.70257284562926214</v>
      </c>
      <c r="AN768" s="1023">
        <v>0.19999999999999998</v>
      </c>
      <c r="AO768" s="1024"/>
      <c r="AP768" s="1025"/>
      <c r="AQ768" s="1025"/>
      <c r="AR768" s="1149" t="str">
        <f t="shared" si="155"/>
        <v/>
      </c>
      <c r="AS768" s="1093">
        <f t="shared" si="166"/>
        <v>12</v>
      </c>
      <c r="AT768" s="1156">
        <v>1.2</v>
      </c>
      <c r="AU768" s="449"/>
      <c r="AV768" s="1205"/>
    </row>
    <row r="769" spans="1:48" ht="17.100000000000001" customHeight="1">
      <c r="A769" s="1005">
        <f t="shared" si="156"/>
        <v>46293</v>
      </c>
      <c r="B769" s="1005">
        <f t="shared" si="157"/>
        <v>46293</v>
      </c>
      <c r="C769" s="1150">
        <f t="shared" si="158"/>
        <v>17</v>
      </c>
      <c r="D769" s="1150">
        <f t="shared" si="159"/>
        <v>758</v>
      </c>
      <c r="E769" s="1006" t="str">
        <f t="shared" si="160"/>
        <v>A</v>
      </c>
      <c r="F769" s="1007" t="str">
        <f t="shared" si="161"/>
        <v>A</v>
      </c>
      <c r="G769" s="1008">
        <f t="shared" si="162"/>
        <v>85971</v>
      </c>
      <c r="H769" s="1138">
        <f t="shared" si="163"/>
        <v>6.4583333333333326E-2</v>
      </c>
      <c r="I769" s="1009">
        <v>6.1805555555555558E-2</v>
      </c>
      <c r="J769" s="1010">
        <f t="shared" si="164"/>
        <v>44</v>
      </c>
      <c r="K769" s="1011"/>
      <c r="L769" s="1012">
        <v>1</v>
      </c>
      <c r="M769" s="1013"/>
      <c r="N769" s="1014" t="str">
        <f t="shared" si="165"/>
        <v/>
      </c>
      <c r="O769" s="1323" t="s">
        <v>674</v>
      </c>
      <c r="P769" s="1324"/>
      <c r="Q769" s="1324"/>
      <c r="R769" s="1324"/>
      <c r="S769" s="1324"/>
      <c r="T769" s="1325"/>
      <c r="U769" s="1015">
        <v>1.8</v>
      </c>
      <c r="V769" s="1015">
        <v>2.7</v>
      </c>
      <c r="W769" s="1015">
        <v>1.4</v>
      </c>
      <c r="X769" s="1015"/>
      <c r="Y769" s="1015"/>
      <c r="Z769" s="1016">
        <f>'09월 에너지'!S771</f>
        <v>145.80000000000001</v>
      </c>
      <c r="AA769" s="1017"/>
      <c r="AB769" s="1208"/>
      <c r="AC769" s="1208"/>
      <c r="AD769" s="1208"/>
      <c r="AE769" s="1208"/>
      <c r="AF769" s="1208"/>
      <c r="AG769" s="1018">
        <f>'09월 화학성분'!AM769</f>
        <v>2357</v>
      </c>
      <c r="AH769" s="1006">
        <f t="shared" si="154"/>
        <v>8</v>
      </c>
      <c r="AI769" s="1019">
        <v>1574</v>
      </c>
      <c r="AJ769" s="1020">
        <v>52</v>
      </c>
      <c r="AK769" s="1021">
        <v>915</v>
      </c>
      <c r="AL769" s="1022">
        <v>4</v>
      </c>
      <c r="AM769" s="1155">
        <f>IF(AT769="","",3*'09월 에너지'!S771*(1/(3+7.8*(100-AT769)/AT769)))</f>
        <v>1.2506238303181538</v>
      </c>
      <c r="AN769" s="1023">
        <v>0.21458333333333335</v>
      </c>
      <c r="AO769" s="1024"/>
      <c r="AP769" s="1025"/>
      <c r="AQ769" s="1025"/>
      <c r="AR769" s="1149">
        <f t="shared" si="155"/>
        <v>10</v>
      </c>
      <c r="AS769" s="1093" t="str">
        <f t="shared" si="166"/>
        <v xml:space="preserve"> </v>
      </c>
      <c r="AT769" s="1156">
        <v>2.2000000000000002</v>
      </c>
      <c r="AU769" s="449"/>
      <c r="AV769" s="1205"/>
    </row>
    <row r="770" spans="1:48" ht="17.100000000000001" customHeight="1">
      <c r="A770" s="1005">
        <f t="shared" si="156"/>
        <v>46293</v>
      </c>
      <c r="B770" s="1005">
        <f t="shared" si="157"/>
        <v>46293</v>
      </c>
      <c r="C770" s="1150">
        <f t="shared" si="158"/>
        <v>18</v>
      </c>
      <c r="D770" s="1150">
        <f t="shared" si="159"/>
        <v>759</v>
      </c>
      <c r="E770" s="1006" t="str">
        <f t="shared" si="160"/>
        <v>A</v>
      </c>
      <c r="F770" s="1007" t="str">
        <f t="shared" si="161"/>
        <v>B</v>
      </c>
      <c r="G770" s="1008">
        <f t="shared" si="162"/>
        <v>85972</v>
      </c>
      <c r="H770" s="1138">
        <f t="shared" si="163"/>
        <v>9.5138888888888884E-2</v>
      </c>
      <c r="I770" s="1009">
        <v>0.10069444444444443</v>
      </c>
      <c r="J770" s="1010">
        <f t="shared" si="164"/>
        <v>55.999999999999979</v>
      </c>
      <c r="K770" s="1011"/>
      <c r="L770" s="1012"/>
      <c r="M770" s="1013"/>
      <c r="N770" s="1014" t="str">
        <f t="shared" si="165"/>
        <v/>
      </c>
      <c r="O770" s="1323" t="s">
        <v>571</v>
      </c>
      <c r="P770" s="1324"/>
      <c r="Q770" s="1324"/>
      <c r="R770" s="1324"/>
      <c r="S770" s="1324"/>
      <c r="T770" s="1325"/>
      <c r="U770" s="1015">
        <v>1.8</v>
      </c>
      <c r="V770" s="1015"/>
      <c r="W770" s="1015"/>
      <c r="X770" s="1015"/>
      <c r="Y770" s="1015">
        <v>2.8</v>
      </c>
      <c r="Z770" s="1016">
        <f>'09월 에너지'!S772</f>
        <v>150.5</v>
      </c>
      <c r="AA770" s="1017">
        <v>2469</v>
      </c>
      <c r="AB770" s="1208" t="s">
        <v>573</v>
      </c>
      <c r="AC770" s="1208" t="s">
        <v>1020</v>
      </c>
      <c r="AD770" s="1208" t="s">
        <v>532</v>
      </c>
      <c r="AE770" s="1208"/>
      <c r="AF770" s="1208" t="s">
        <v>532</v>
      </c>
      <c r="AG770" s="1018">
        <f>'09월 화학성분'!AM770</f>
        <v>3479</v>
      </c>
      <c r="AH770" s="1006">
        <f t="shared" si="154"/>
        <v>9</v>
      </c>
      <c r="AI770" s="1019">
        <v>1524</v>
      </c>
      <c r="AJ770" s="1020">
        <v>0</v>
      </c>
      <c r="AK770" s="1021">
        <v>343</v>
      </c>
      <c r="AL770" s="1022">
        <v>13</v>
      </c>
      <c r="AM770" s="1155">
        <f>IF(AT770="","",3*'09월 에너지'!S772*(1/(3+7.8*(100-AT770)/AT770)))</f>
        <v>0.46536796536796537</v>
      </c>
      <c r="AN770" s="1023">
        <v>0.30486111111111108</v>
      </c>
      <c r="AO770" s="1024"/>
      <c r="AP770" s="1025"/>
      <c r="AQ770" s="1025"/>
      <c r="AR770" s="1149" t="str">
        <f t="shared" si="155"/>
        <v/>
      </c>
      <c r="AS770" s="1093">
        <f t="shared" si="166"/>
        <v>13</v>
      </c>
      <c r="AT770" s="1156">
        <v>0.8</v>
      </c>
      <c r="AU770" s="449"/>
      <c r="AV770" s="1205"/>
    </row>
    <row r="771" spans="1:48" ht="17.100000000000001" customHeight="1">
      <c r="A771" s="1005">
        <f t="shared" si="156"/>
        <v>46293</v>
      </c>
      <c r="B771" s="1005">
        <f t="shared" si="157"/>
        <v>46293</v>
      </c>
      <c r="C771" s="1150">
        <f t="shared" si="158"/>
        <v>19</v>
      </c>
      <c r="D771" s="1150">
        <f t="shared" si="159"/>
        <v>760</v>
      </c>
      <c r="E771" s="1006" t="str">
        <f t="shared" si="160"/>
        <v>A</v>
      </c>
      <c r="F771" s="1007" t="str">
        <f t="shared" si="161"/>
        <v>A</v>
      </c>
      <c r="G771" s="1008">
        <f t="shared" si="162"/>
        <v>85973</v>
      </c>
      <c r="H771" s="1138">
        <f t="shared" si="163"/>
        <v>0.13402777777777777</v>
      </c>
      <c r="I771" s="1009">
        <v>0.1361111111111111</v>
      </c>
      <c r="J771" s="1010">
        <f t="shared" si="164"/>
        <v>51</v>
      </c>
      <c r="K771" s="1011"/>
      <c r="L771" s="1012"/>
      <c r="M771" s="1013"/>
      <c r="N771" s="1014" t="str">
        <f t="shared" si="165"/>
        <v/>
      </c>
      <c r="O771" s="1323"/>
      <c r="P771" s="1324"/>
      <c r="Q771" s="1324"/>
      <c r="R771" s="1324"/>
      <c r="S771" s="1324"/>
      <c r="T771" s="1325"/>
      <c r="U771" s="1015">
        <v>1.8</v>
      </c>
      <c r="V771" s="1015"/>
      <c r="W771" s="1015"/>
      <c r="X771" s="1015"/>
      <c r="Y771" s="1015">
        <v>2.6</v>
      </c>
      <c r="Z771" s="1016">
        <f>'09월 에너지'!S773</f>
        <v>144</v>
      </c>
      <c r="AA771" s="1017"/>
      <c r="AB771" s="1208"/>
      <c r="AC771" s="1208"/>
      <c r="AD771" s="1208"/>
      <c r="AE771" s="1208"/>
      <c r="AF771" s="1208"/>
      <c r="AG771" s="1018">
        <f>'09월 화학성분'!AM771</f>
        <v>3641</v>
      </c>
      <c r="AH771" s="1006">
        <f t="shared" si="154"/>
        <v>10</v>
      </c>
      <c r="AI771" s="1019">
        <v>1551</v>
      </c>
      <c r="AJ771" s="1020">
        <v>0</v>
      </c>
      <c r="AK771" s="1021">
        <v>624</v>
      </c>
      <c r="AL771" s="1022">
        <v>6</v>
      </c>
      <c r="AM771" s="1155">
        <f>IF(AT771="","",3*'09월 에너지'!S773*(1/(3+7.8*(100-AT771)/AT771)))</f>
        <v>1.292134831460674</v>
      </c>
      <c r="AN771" s="1023">
        <v>0.21666666666666667</v>
      </c>
      <c r="AO771" s="1024"/>
      <c r="AP771" s="1025"/>
      <c r="AQ771" s="1025"/>
      <c r="AR771" s="1149">
        <f t="shared" si="155"/>
        <v>11</v>
      </c>
      <c r="AS771" s="1093" t="str">
        <f t="shared" si="166"/>
        <v xml:space="preserve"> </v>
      </c>
      <c r="AT771" s="1156">
        <v>2.2999999999999998</v>
      </c>
      <c r="AU771" s="449"/>
      <c r="AV771" s="1205"/>
    </row>
    <row r="772" spans="1:48" ht="17.100000000000001" customHeight="1">
      <c r="A772" s="1005">
        <v>46294</v>
      </c>
      <c r="B772" s="1005">
        <f t="shared" si="157"/>
        <v>46293</v>
      </c>
      <c r="C772" s="1150">
        <f t="shared" si="158"/>
        <v>1</v>
      </c>
      <c r="D772" s="1150">
        <f t="shared" si="159"/>
        <v>761</v>
      </c>
      <c r="E772" s="1006" t="str">
        <f t="shared" si="160"/>
        <v>A</v>
      </c>
      <c r="F772" s="1007" t="s">
        <v>534</v>
      </c>
      <c r="G772" s="1008">
        <f t="shared" si="162"/>
        <v>85974</v>
      </c>
      <c r="H772" s="1138">
        <f t="shared" si="163"/>
        <v>0.16944444444444443</v>
      </c>
      <c r="I772" s="1009">
        <v>0.18194444444444444</v>
      </c>
      <c r="J772" s="1010">
        <f t="shared" si="164"/>
        <v>66</v>
      </c>
      <c r="K772" s="1011">
        <v>18</v>
      </c>
      <c r="L772" s="1012"/>
      <c r="M772" s="1013">
        <v>0.1361111111111111</v>
      </c>
      <c r="N772" s="1014">
        <f t="shared" si="165"/>
        <v>0.14861111111111111</v>
      </c>
      <c r="O772" s="1338" t="s">
        <v>1040</v>
      </c>
      <c r="P772" s="1339"/>
      <c r="Q772" s="1339"/>
      <c r="R772" s="1339"/>
      <c r="S772" s="1339"/>
      <c r="T772" s="1340"/>
      <c r="U772" s="1015">
        <v>1.8</v>
      </c>
      <c r="V772" s="1015">
        <v>2.5</v>
      </c>
      <c r="W772" s="1015">
        <v>1.8</v>
      </c>
      <c r="X772" s="1015"/>
      <c r="Y772" s="1015"/>
      <c r="Z772" s="1016">
        <f>'09월 에너지'!S774</f>
        <v>142.6</v>
      </c>
      <c r="AA772" s="1017"/>
      <c r="AB772" s="1208"/>
      <c r="AC772" s="1208"/>
      <c r="AD772" s="1208"/>
      <c r="AE772" s="1208"/>
      <c r="AF772" s="1208"/>
      <c r="AG772" s="1018">
        <f>'09월 화학성분'!AM772</f>
        <v>3885</v>
      </c>
      <c r="AH772" s="1006">
        <f t="shared" si="154"/>
        <v>11</v>
      </c>
      <c r="AI772" s="1019">
        <v>1561</v>
      </c>
      <c r="AJ772" s="1020">
        <v>0</v>
      </c>
      <c r="AK772" s="1021">
        <v>736</v>
      </c>
      <c r="AL772" s="1022">
        <v>5</v>
      </c>
      <c r="AM772" s="1155">
        <f>IF(AT772="","",3*'09월 에너지'!S774*(1/(3+7.8*(100-AT772)/AT772)))</f>
        <v>0.88626476072094451</v>
      </c>
      <c r="AN772" s="1023">
        <v>0.19583333333333333</v>
      </c>
      <c r="AO772" s="1024"/>
      <c r="AP772" s="1025"/>
      <c r="AQ772" s="1025"/>
      <c r="AR772" s="1149">
        <f t="shared" si="155"/>
        <v>12</v>
      </c>
      <c r="AS772" s="1093" t="str">
        <f t="shared" si="166"/>
        <v xml:space="preserve"> </v>
      </c>
      <c r="AT772" s="1156">
        <v>1.6</v>
      </c>
      <c r="AU772" s="449"/>
      <c r="AV772" s="1205"/>
    </row>
    <row r="773" spans="1:48" ht="17.100000000000001" customHeight="1">
      <c r="A773" s="1005">
        <f t="shared" si="156"/>
        <v>46294</v>
      </c>
      <c r="B773" s="1005">
        <f t="shared" si="157"/>
        <v>46293</v>
      </c>
      <c r="C773" s="1150">
        <f t="shared" si="158"/>
        <v>2</v>
      </c>
      <c r="D773" s="1150">
        <f t="shared" si="159"/>
        <v>762</v>
      </c>
      <c r="E773" s="1006" t="str">
        <f t="shared" si="160"/>
        <v>A</v>
      </c>
      <c r="F773" s="1007" t="str">
        <f t="shared" si="161"/>
        <v>B</v>
      </c>
      <c r="G773" s="1008">
        <f t="shared" si="162"/>
        <v>85975</v>
      </c>
      <c r="H773" s="1138">
        <f t="shared" si="163"/>
        <v>0.21527777777777776</v>
      </c>
      <c r="I773" s="1009">
        <v>0.22222222222222221</v>
      </c>
      <c r="J773" s="1010">
        <f t="shared" si="164"/>
        <v>57.999999999999993</v>
      </c>
      <c r="K773" s="1011">
        <v>4</v>
      </c>
      <c r="L773" s="1012"/>
      <c r="M773" s="1013">
        <v>0.19583333333333333</v>
      </c>
      <c r="N773" s="1014">
        <f t="shared" si="165"/>
        <v>0.1986111111111111</v>
      </c>
      <c r="O773" s="1335" t="s">
        <v>1038</v>
      </c>
      <c r="P773" s="1336"/>
      <c r="Q773" s="1336"/>
      <c r="R773" s="1336"/>
      <c r="S773" s="1336"/>
      <c r="T773" s="1337"/>
      <c r="U773" s="1015">
        <v>1.8</v>
      </c>
      <c r="V773" s="1015">
        <v>2.7</v>
      </c>
      <c r="W773" s="1015">
        <v>1.6</v>
      </c>
      <c r="X773" s="1015"/>
      <c r="Y773" s="1015"/>
      <c r="Z773" s="1016">
        <f>'09월 에너지'!S775</f>
        <v>146.6</v>
      </c>
      <c r="AA773" s="1017">
        <v>1017</v>
      </c>
      <c r="AB773" s="1208" t="s">
        <v>573</v>
      </c>
      <c r="AC773" s="1208" t="s">
        <v>1020</v>
      </c>
      <c r="AD773" s="1208"/>
      <c r="AE773" s="1208"/>
      <c r="AF773" s="1208" t="s">
        <v>532</v>
      </c>
      <c r="AG773" s="1018">
        <f>'09월 화학성분'!AM773</f>
        <v>3467</v>
      </c>
      <c r="AH773" s="1006">
        <f t="shared" si="154"/>
        <v>12</v>
      </c>
      <c r="AI773" s="1019">
        <v>1529</v>
      </c>
      <c r="AJ773" s="1020">
        <v>0</v>
      </c>
      <c r="AK773" s="1021">
        <v>358</v>
      </c>
      <c r="AL773" s="1022">
        <v>13</v>
      </c>
      <c r="AM773" s="1155">
        <f>IF(AT773="","",3*'09월 에너지'!S775*(1/(3+7.8*(100-AT773)/AT773)))</f>
        <v>0.91112492231199493</v>
      </c>
      <c r="AN773" s="1023">
        <v>0.19930555555555554</v>
      </c>
      <c r="AO773" s="1024"/>
      <c r="AP773" s="1025"/>
      <c r="AQ773" s="1025"/>
      <c r="AR773" s="1149" t="str">
        <f t="shared" si="155"/>
        <v/>
      </c>
      <c r="AS773" s="1093">
        <v>14</v>
      </c>
      <c r="AT773" s="1156">
        <v>1.6</v>
      </c>
      <c r="AU773" s="449"/>
      <c r="AV773" s="1205"/>
    </row>
    <row r="774" spans="1:48" ht="17.100000000000001" customHeight="1">
      <c r="A774" s="1005">
        <f t="shared" si="156"/>
        <v>46294</v>
      </c>
      <c r="B774" s="1005">
        <f t="shared" si="157"/>
        <v>46293</v>
      </c>
      <c r="C774" s="1150">
        <f t="shared" si="158"/>
        <v>3</v>
      </c>
      <c r="D774" s="1150">
        <f t="shared" si="159"/>
        <v>763</v>
      </c>
      <c r="E774" s="1006" t="str">
        <f t="shared" si="160"/>
        <v>A</v>
      </c>
      <c r="F774" s="1007" t="str">
        <f t="shared" si="161"/>
        <v>A</v>
      </c>
      <c r="G774" s="1008">
        <f t="shared" si="162"/>
        <v>85976</v>
      </c>
      <c r="H774" s="1138">
        <f t="shared" si="163"/>
        <v>0.25555555555555554</v>
      </c>
      <c r="I774" s="1009">
        <v>0.2590277777777778</v>
      </c>
      <c r="J774" s="1010">
        <f t="shared" si="164"/>
        <v>53.00000000000005</v>
      </c>
      <c r="K774" s="1011"/>
      <c r="L774" s="1012"/>
      <c r="M774" s="1013"/>
      <c r="N774" s="1014" t="str">
        <f t="shared" si="165"/>
        <v/>
      </c>
      <c r="O774" s="1320" t="s">
        <v>1041</v>
      </c>
      <c r="P774" s="1336"/>
      <c r="Q774" s="1336"/>
      <c r="R774" s="1336"/>
      <c r="S774" s="1336"/>
      <c r="T774" s="1337"/>
      <c r="U774" s="1015">
        <v>1.8</v>
      </c>
      <c r="V774" s="1015"/>
      <c r="W774" s="1015"/>
      <c r="X774" s="1015"/>
      <c r="Y774" s="1015">
        <v>2.7</v>
      </c>
      <c r="Z774" s="1016">
        <f>'09월 에너지'!S776</f>
        <v>144</v>
      </c>
      <c r="AA774" s="1017">
        <v>1697</v>
      </c>
      <c r="AB774" s="1208" t="s">
        <v>573</v>
      </c>
      <c r="AC774" s="1208" t="s">
        <v>1020</v>
      </c>
      <c r="AD774" s="1208" t="s">
        <v>1020</v>
      </c>
      <c r="AE774" s="1208"/>
      <c r="AF774" s="1208" t="s">
        <v>532</v>
      </c>
      <c r="AG774" s="1018">
        <f>'09월 화학성분'!AM774</f>
        <v>3059</v>
      </c>
      <c r="AH774" s="1006">
        <f t="shared" si="154"/>
        <v>13</v>
      </c>
      <c r="AI774" s="1019">
        <v>1605</v>
      </c>
      <c r="AJ774" s="1020">
        <v>0</v>
      </c>
      <c r="AK774" s="1021">
        <v>742</v>
      </c>
      <c r="AL774" s="1022">
        <v>5</v>
      </c>
      <c r="AM774" s="1155">
        <f>IF(AT774="","",3*'09월 에너지'!S776*(1/(3+7.8*(100-AT774)/AT774)))</f>
        <v>0.55727554179566574</v>
      </c>
      <c r="AN774" s="1023">
        <v>0.21875</v>
      </c>
      <c r="AO774" s="1024"/>
      <c r="AP774" s="1025"/>
      <c r="AQ774" s="1025"/>
      <c r="AR774" s="1149">
        <f t="shared" si="155"/>
        <v>13</v>
      </c>
      <c r="AS774" s="1093" t="str">
        <f t="shared" si="166"/>
        <v xml:space="preserve"> </v>
      </c>
      <c r="AT774" s="1156">
        <v>1</v>
      </c>
      <c r="AU774" s="449"/>
      <c r="AV774" s="1205"/>
    </row>
    <row r="775" spans="1:48" ht="17.100000000000001" customHeight="1">
      <c r="A775" s="1005">
        <f t="shared" si="156"/>
        <v>46294</v>
      </c>
      <c r="B775" s="1005">
        <v>46294</v>
      </c>
      <c r="C775" s="1150">
        <f t="shared" si="158"/>
        <v>4</v>
      </c>
      <c r="D775" s="1150">
        <f t="shared" si="159"/>
        <v>764</v>
      </c>
      <c r="E775" s="1006" t="s">
        <v>582</v>
      </c>
      <c r="F775" s="1007" t="str">
        <f t="shared" si="161"/>
        <v>B</v>
      </c>
      <c r="G775" s="1008">
        <f t="shared" si="162"/>
        <v>85977</v>
      </c>
      <c r="H775" s="1138">
        <f t="shared" si="163"/>
        <v>0.29236111111111113</v>
      </c>
      <c r="I775" s="1009">
        <v>0.29305555555555557</v>
      </c>
      <c r="J775" s="1010">
        <f t="shared" si="164"/>
        <v>48.999999999999986</v>
      </c>
      <c r="K775" s="1011"/>
      <c r="L775" s="1012"/>
      <c r="M775" s="1013"/>
      <c r="N775" s="1014" t="str">
        <f t="shared" si="165"/>
        <v/>
      </c>
      <c r="O775" s="1323"/>
      <c r="P775" s="1324"/>
      <c r="Q775" s="1324"/>
      <c r="R775" s="1324"/>
      <c r="S775" s="1324"/>
      <c r="T775" s="1325"/>
      <c r="U775" s="1015">
        <v>1.8</v>
      </c>
      <c r="V775" s="1015"/>
      <c r="W775" s="1015"/>
      <c r="X775" s="1015"/>
      <c r="Y775" s="1015">
        <v>2</v>
      </c>
      <c r="Z775" s="1016">
        <f>'09월 에너지'!S777</f>
        <v>140.30000000000001</v>
      </c>
      <c r="AA775" s="1017"/>
      <c r="AB775" s="1208"/>
      <c r="AC775" s="1208"/>
      <c r="AD775" s="1208"/>
      <c r="AE775" s="1208"/>
      <c r="AF775" s="1208"/>
      <c r="AG775" s="1018">
        <f>'09월 화학성분'!AM775</f>
        <v>1565</v>
      </c>
      <c r="AH775" s="1006">
        <f t="shared" si="154"/>
        <v>14</v>
      </c>
      <c r="AI775" s="1019">
        <v>1525</v>
      </c>
      <c r="AJ775" s="1020">
        <v>0</v>
      </c>
      <c r="AK775" s="1021">
        <v>711</v>
      </c>
      <c r="AL775" s="1022">
        <v>5</v>
      </c>
      <c r="AM775" s="1155">
        <f>IF(AT775="","",3*'09월 에너지'!S777*(1/(3+7.8*(100-AT775)/AT775)))</f>
        <v>5.3994766009852223E-2</v>
      </c>
      <c r="AN775" s="1023">
        <v>0.20416666666666669</v>
      </c>
      <c r="AO775" s="1024" t="s">
        <v>538</v>
      </c>
      <c r="AP775" s="1025" t="s">
        <v>1037</v>
      </c>
      <c r="AQ775" s="1025">
        <v>2100</v>
      </c>
      <c r="AR775" s="1149" t="str">
        <f t="shared" si="155"/>
        <v/>
      </c>
      <c r="AS775" s="1093">
        <v>1</v>
      </c>
      <c r="AT775" s="1156">
        <v>0.1</v>
      </c>
      <c r="AU775" s="449"/>
      <c r="AV775" s="1205"/>
    </row>
    <row r="776" spans="1:48" ht="16.5" customHeight="1">
      <c r="A776" s="1005">
        <f t="shared" si="156"/>
        <v>46294</v>
      </c>
      <c r="B776" s="1005">
        <f t="shared" si="157"/>
        <v>46294</v>
      </c>
      <c r="C776" s="1150">
        <f t="shared" si="158"/>
        <v>5</v>
      </c>
      <c r="D776" s="1150">
        <f t="shared" si="159"/>
        <v>765</v>
      </c>
      <c r="E776" s="1006" t="str">
        <f t="shared" si="160"/>
        <v>C</v>
      </c>
      <c r="F776" s="1007" t="str">
        <f t="shared" si="161"/>
        <v>A</v>
      </c>
      <c r="G776" s="1008">
        <f t="shared" si="162"/>
        <v>85978</v>
      </c>
      <c r="H776" s="1138">
        <f t="shared" si="163"/>
        <v>0.3263888888888889</v>
      </c>
      <c r="I776" s="1009">
        <v>0.32430555555555557</v>
      </c>
      <c r="J776" s="1010">
        <f t="shared" si="164"/>
        <v>45</v>
      </c>
      <c r="K776" s="1011"/>
      <c r="L776" s="1012"/>
      <c r="M776" s="1013"/>
      <c r="N776" s="1014" t="str">
        <f t="shared" si="165"/>
        <v/>
      </c>
      <c r="O776" s="1323"/>
      <c r="P776" s="1324"/>
      <c r="Q776" s="1324"/>
      <c r="R776" s="1324"/>
      <c r="S776" s="1324"/>
      <c r="T776" s="1325"/>
      <c r="U776" s="1015">
        <v>1.8</v>
      </c>
      <c r="V776" s="1015"/>
      <c r="W776" s="1015"/>
      <c r="X776" s="1015">
        <v>3.3</v>
      </c>
      <c r="Y776" s="1015"/>
      <c r="Z776" s="1016">
        <f>'09월 에너지'!S778</f>
        <v>143.9</v>
      </c>
      <c r="AA776" s="1017"/>
      <c r="AB776" s="1208"/>
      <c r="AC776" s="1208"/>
      <c r="AD776" s="1208"/>
      <c r="AE776" s="1208"/>
      <c r="AF776" s="1208"/>
      <c r="AG776" s="1018">
        <f>'09월 화학성분'!AM776</f>
        <v>2202</v>
      </c>
      <c r="AH776" s="1006">
        <f t="shared" si="154"/>
        <v>15</v>
      </c>
      <c r="AI776" s="1019">
        <v>1596</v>
      </c>
      <c r="AJ776" s="1020">
        <v>0</v>
      </c>
      <c r="AK776" s="1021">
        <v>772</v>
      </c>
      <c r="AL776" s="1022">
        <v>5</v>
      </c>
      <c r="AM776" s="1155">
        <f>IF(AT776="","",3*'09월 에너지'!S778*(1/(3+7.8*(100-AT776)/AT776)))</f>
        <v>1.5195948060075097</v>
      </c>
      <c r="AN776" s="1023">
        <v>0.17013888888888887</v>
      </c>
      <c r="AO776" s="1024"/>
      <c r="AP776" s="1025"/>
      <c r="AQ776" s="1025"/>
      <c r="AR776" s="1149">
        <f t="shared" si="155"/>
        <v>14</v>
      </c>
      <c r="AS776" s="1093" t="str">
        <f t="shared" si="166"/>
        <v xml:space="preserve"> </v>
      </c>
      <c r="AT776" s="1156">
        <v>2.7</v>
      </c>
      <c r="AU776" s="449"/>
      <c r="AV776" s="1205"/>
    </row>
    <row r="777" spans="1:48" ht="16.5" customHeight="1">
      <c r="A777" s="1005">
        <f t="shared" si="156"/>
        <v>46294</v>
      </c>
      <c r="B777" s="1005">
        <f t="shared" si="157"/>
        <v>46294</v>
      </c>
      <c r="C777" s="1150">
        <f t="shared" si="158"/>
        <v>6</v>
      </c>
      <c r="D777" s="1150">
        <f t="shared" si="159"/>
        <v>766</v>
      </c>
      <c r="E777" s="1006" t="str">
        <f t="shared" si="160"/>
        <v>C</v>
      </c>
      <c r="F777" s="1007" t="str">
        <f t="shared" si="161"/>
        <v>B</v>
      </c>
      <c r="G777" s="1008">
        <f t="shared" si="162"/>
        <v>85979</v>
      </c>
      <c r="H777" s="1138">
        <f t="shared" si="163"/>
        <v>0.3576388888888889</v>
      </c>
      <c r="I777" s="1009">
        <v>0.35625000000000001</v>
      </c>
      <c r="J777" s="1010">
        <f t="shared" si="164"/>
        <v>46</v>
      </c>
      <c r="K777" s="1011"/>
      <c r="L777" s="1012"/>
      <c r="M777" s="1013"/>
      <c r="N777" s="1014" t="str">
        <f t="shared" si="165"/>
        <v/>
      </c>
      <c r="O777" s="1323"/>
      <c r="P777" s="1324"/>
      <c r="Q777" s="1324"/>
      <c r="R777" s="1324"/>
      <c r="S777" s="1324"/>
      <c r="T777" s="1325"/>
      <c r="U777" s="1015">
        <v>1.8</v>
      </c>
      <c r="V777" s="1015"/>
      <c r="W777" s="1015"/>
      <c r="X777" s="1015">
        <v>3.5</v>
      </c>
      <c r="Y777" s="1015"/>
      <c r="Z777" s="1016">
        <f>'09월 에너지'!S779</f>
        <v>146.80000000000001</v>
      </c>
      <c r="AA777" s="1017"/>
      <c r="AB777" s="1208"/>
      <c r="AC777" s="1208"/>
      <c r="AD777" s="1208"/>
      <c r="AE777" s="1208"/>
      <c r="AF777" s="1208"/>
      <c r="AG777" s="1018">
        <f>'09월 화학성분'!AM777</f>
        <v>2676</v>
      </c>
      <c r="AH777" s="1006">
        <f t="shared" si="154"/>
        <v>16</v>
      </c>
      <c r="AI777" s="1019">
        <v>1537</v>
      </c>
      <c r="AJ777" s="1020">
        <v>0</v>
      </c>
      <c r="AK777" s="1021">
        <v>537</v>
      </c>
      <c r="AL777" s="1022">
        <v>7</v>
      </c>
      <c r="AM777" s="1155">
        <f>IF(AT777="","",3*'09월 에너지'!S779*(1/(3+7.8*(100-AT777)/AT777)))</f>
        <v>0.3400247066090179</v>
      </c>
      <c r="AN777" s="1023">
        <v>0.17013888888888887</v>
      </c>
      <c r="AO777" s="1024"/>
      <c r="AP777" s="1025"/>
      <c r="AQ777" s="1025"/>
      <c r="AR777" s="1149" t="str">
        <f t="shared" si="155"/>
        <v/>
      </c>
      <c r="AS777" s="1093">
        <f t="shared" si="166"/>
        <v>2</v>
      </c>
      <c r="AT777" s="1156">
        <v>0.6</v>
      </c>
      <c r="AU777" s="449"/>
      <c r="AV777" s="1205"/>
    </row>
    <row r="778" spans="1:48" ht="16.5" customHeight="1">
      <c r="A778" s="1005">
        <f t="shared" si="156"/>
        <v>46294</v>
      </c>
      <c r="B778" s="1005">
        <f t="shared" si="157"/>
        <v>46294</v>
      </c>
      <c r="C778" s="1150">
        <f t="shared" si="158"/>
        <v>7</v>
      </c>
      <c r="D778" s="1150">
        <f t="shared" si="159"/>
        <v>767</v>
      </c>
      <c r="E778" s="1006" t="str">
        <f t="shared" si="160"/>
        <v>C</v>
      </c>
      <c r="F778" s="1007" t="str">
        <f t="shared" si="161"/>
        <v>A</v>
      </c>
      <c r="G778" s="1008">
        <f t="shared" si="162"/>
        <v>85980</v>
      </c>
      <c r="H778" s="1138">
        <f t="shared" si="163"/>
        <v>0.38958333333333334</v>
      </c>
      <c r="I778" s="1009">
        <v>0.3923611111111111</v>
      </c>
      <c r="J778" s="1010">
        <f t="shared" si="164"/>
        <v>51.999999999999972</v>
      </c>
      <c r="K778" s="1011"/>
      <c r="L778" s="1012"/>
      <c r="M778" s="1013"/>
      <c r="N778" s="1014" t="str">
        <f t="shared" si="165"/>
        <v/>
      </c>
      <c r="O778" s="1323" t="s">
        <v>586</v>
      </c>
      <c r="P778" s="1324"/>
      <c r="Q778" s="1324"/>
      <c r="R778" s="1324"/>
      <c r="S778" s="1324"/>
      <c r="T778" s="1325"/>
      <c r="U778" s="1015">
        <v>1.8</v>
      </c>
      <c r="V778" s="1015"/>
      <c r="W778" s="1015"/>
      <c r="X778" s="1015"/>
      <c r="Y778" s="1015">
        <v>2.6</v>
      </c>
      <c r="Z778" s="1016">
        <f>'09월 에너지'!S780</f>
        <v>143.4</v>
      </c>
      <c r="AA778" s="1017">
        <v>1816</v>
      </c>
      <c r="AB778" s="1208" t="s">
        <v>573</v>
      </c>
      <c r="AC778" s="1208" t="s">
        <v>532</v>
      </c>
      <c r="AD778" s="1208"/>
      <c r="AE778" s="1208"/>
      <c r="AF778" s="1208" t="s">
        <v>548</v>
      </c>
      <c r="AG778" s="1018">
        <f>'09월 화학성분'!AM778</f>
        <v>2030</v>
      </c>
      <c r="AH778" s="1006">
        <f t="shared" si="154"/>
        <v>17</v>
      </c>
      <c r="AI778" s="1019">
        <v>1558</v>
      </c>
      <c r="AJ778" s="1020">
        <v>0</v>
      </c>
      <c r="AK778" s="1021">
        <v>757</v>
      </c>
      <c r="AL778" s="1022">
        <v>5</v>
      </c>
      <c r="AM778" s="1155">
        <f>IF(AT778="","",3*'09월 에너지'!S780*(1/(3+7.8*(100-AT778)/AT778)))</f>
        <v>1.0603206724782068</v>
      </c>
      <c r="AN778" s="1023">
        <v>0.17500000000000002</v>
      </c>
      <c r="AO778" s="1024" t="s">
        <v>587</v>
      </c>
      <c r="AP778" s="1025" t="s">
        <v>1042</v>
      </c>
      <c r="AQ778" s="1025">
        <v>2125</v>
      </c>
      <c r="AR778" s="1149">
        <v>1</v>
      </c>
      <c r="AS778" s="1093" t="str">
        <f t="shared" si="166"/>
        <v xml:space="preserve"> </v>
      </c>
      <c r="AT778" s="1156">
        <v>1.9</v>
      </c>
      <c r="AU778" s="449"/>
      <c r="AV778" s="1205"/>
    </row>
    <row r="779" spans="1:48" ht="16.5" customHeight="1">
      <c r="A779" s="1005">
        <f t="shared" si="156"/>
        <v>46294</v>
      </c>
      <c r="B779" s="1005">
        <f t="shared" si="157"/>
        <v>46294</v>
      </c>
      <c r="C779" s="1150">
        <f t="shared" si="158"/>
        <v>8</v>
      </c>
      <c r="D779" s="1150">
        <f t="shared" si="159"/>
        <v>768</v>
      </c>
      <c r="E779" s="1006" t="str">
        <f t="shared" si="160"/>
        <v>C</v>
      </c>
      <c r="F779" s="1007" t="str">
        <f t="shared" si="161"/>
        <v>B</v>
      </c>
      <c r="G779" s="1008">
        <f t="shared" si="162"/>
        <v>85981</v>
      </c>
      <c r="H779" s="1138">
        <f t="shared" si="163"/>
        <v>0.42569444444444443</v>
      </c>
      <c r="I779" s="1009">
        <v>0.42430555555555555</v>
      </c>
      <c r="J779" s="1010">
        <f t="shared" si="164"/>
        <v>46</v>
      </c>
      <c r="K779" s="1011"/>
      <c r="L779" s="1012"/>
      <c r="M779" s="1013"/>
      <c r="N779" s="1014" t="str">
        <f t="shared" si="165"/>
        <v/>
      </c>
      <c r="O779" s="1323"/>
      <c r="P779" s="1324"/>
      <c r="Q779" s="1324"/>
      <c r="R779" s="1324"/>
      <c r="S779" s="1324"/>
      <c r="T779" s="1325"/>
      <c r="U779" s="1015">
        <v>1.8</v>
      </c>
      <c r="V779" s="1015"/>
      <c r="W779" s="1015"/>
      <c r="X779" s="1015"/>
      <c r="Y779" s="1015"/>
      <c r="Z779" s="1016">
        <f>'09월 에너지'!S781</f>
        <v>145</v>
      </c>
      <c r="AA779" s="1017"/>
      <c r="AB779" s="1208"/>
      <c r="AC779" s="1208"/>
      <c r="AD779" s="1208"/>
      <c r="AE779" s="1208"/>
      <c r="AF779" s="1208"/>
      <c r="AG779" s="1018">
        <f>'09월 화학성분'!AM779</f>
        <v>2904</v>
      </c>
      <c r="AH779" s="1006">
        <f t="shared" si="154"/>
        <v>18</v>
      </c>
      <c r="AI779" s="1019">
        <v>1539</v>
      </c>
      <c r="AJ779" s="1020">
        <v>0</v>
      </c>
      <c r="AK779" s="1021">
        <v>389</v>
      </c>
      <c r="AL779" s="1022">
        <v>11</v>
      </c>
      <c r="AM779" s="1155">
        <f>IF(AT779="","",3*'09월 에너지'!S781*(1/(3+7.8*(100-AT779)/AT779)))</f>
        <v>0.33585546633724522</v>
      </c>
      <c r="AN779" s="1023">
        <v>0.17222222222222225</v>
      </c>
      <c r="AO779" s="1024"/>
      <c r="AP779" s="1025"/>
      <c r="AQ779" s="1025"/>
      <c r="AR779" s="1149" t="str">
        <f t="shared" si="155"/>
        <v/>
      </c>
      <c r="AS779" s="1093">
        <f t="shared" si="166"/>
        <v>3</v>
      </c>
      <c r="AT779" s="1156">
        <v>0.6</v>
      </c>
      <c r="AU779" s="449"/>
      <c r="AV779" s="1205"/>
    </row>
    <row r="780" spans="1:48" ht="16.5" customHeight="1">
      <c r="A780" s="1005">
        <f t="shared" si="156"/>
        <v>46294</v>
      </c>
      <c r="B780" s="1005">
        <f t="shared" si="157"/>
        <v>46294</v>
      </c>
      <c r="C780" s="1150">
        <f t="shared" si="158"/>
        <v>9</v>
      </c>
      <c r="D780" s="1150">
        <f t="shared" si="159"/>
        <v>769</v>
      </c>
      <c r="E780" s="1006" t="str">
        <f t="shared" si="160"/>
        <v>C</v>
      </c>
      <c r="F780" s="1007" t="str">
        <f t="shared" si="161"/>
        <v>A</v>
      </c>
      <c r="G780" s="1008">
        <f t="shared" si="162"/>
        <v>85982</v>
      </c>
      <c r="H780" s="1138">
        <f t="shared" si="163"/>
        <v>0.45763888888888887</v>
      </c>
      <c r="I780" s="1009">
        <v>0.46249999999999997</v>
      </c>
      <c r="J780" s="1010">
        <f t="shared" si="164"/>
        <v>54.999999999999964</v>
      </c>
      <c r="K780" s="1011"/>
      <c r="L780" s="1012">
        <v>3</v>
      </c>
      <c r="M780" s="1013"/>
      <c r="N780" s="1014" t="str">
        <f t="shared" si="165"/>
        <v/>
      </c>
      <c r="O780" s="1323" t="s">
        <v>1043</v>
      </c>
      <c r="P780" s="1324"/>
      <c r="Q780" s="1324"/>
      <c r="R780" s="1324"/>
      <c r="S780" s="1324"/>
      <c r="T780" s="1325"/>
      <c r="U780" s="1015">
        <v>1.8</v>
      </c>
      <c r="V780" s="1015"/>
      <c r="W780" s="1015"/>
      <c r="X780" s="1015"/>
      <c r="Y780" s="1015">
        <v>2.2999999999999998</v>
      </c>
      <c r="Z780" s="1016">
        <f>'09월 에너지'!S782</f>
        <v>142.9</v>
      </c>
      <c r="AA780" s="1017"/>
      <c r="AB780" s="1208"/>
      <c r="AC780" s="1208"/>
      <c r="AD780" s="1208"/>
      <c r="AE780" s="1208"/>
      <c r="AF780" s="1208"/>
      <c r="AG780" s="1018">
        <f>'09월 화학성분'!AM780</f>
        <v>1964</v>
      </c>
      <c r="AH780" s="1006">
        <f t="shared" si="154"/>
        <v>19</v>
      </c>
      <c r="AI780" s="1019">
        <v>1577</v>
      </c>
      <c r="AJ780" s="1020">
        <v>21</v>
      </c>
      <c r="AK780" s="1021">
        <v>856</v>
      </c>
      <c r="AL780" s="1022">
        <v>4</v>
      </c>
      <c r="AM780" s="1155">
        <f>IF(AT780="","",3*'09월 에너지'!S782*(1/(3+7.8*(100-AT780)/AT780)))</f>
        <v>1.3955078125000002</v>
      </c>
      <c r="AN780" s="1023">
        <v>0.16666666666666666</v>
      </c>
      <c r="AO780" s="1024"/>
      <c r="AP780" s="1025"/>
      <c r="AQ780" s="1025"/>
      <c r="AR780" s="1149">
        <f t="shared" si="155"/>
        <v>2</v>
      </c>
      <c r="AS780" s="1093" t="str">
        <f t="shared" si="166"/>
        <v xml:space="preserve"> </v>
      </c>
      <c r="AT780" s="1156">
        <v>2.5</v>
      </c>
      <c r="AU780" s="449"/>
      <c r="AV780" s="1205" t="s">
        <v>708</v>
      </c>
    </row>
    <row r="781" spans="1:48" ht="16.5" customHeight="1">
      <c r="A781" s="1005">
        <f t="shared" si="156"/>
        <v>46294</v>
      </c>
      <c r="B781" s="1005">
        <f t="shared" si="157"/>
        <v>46294</v>
      </c>
      <c r="C781" s="1150">
        <f t="shared" si="158"/>
        <v>10</v>
      </c>
      <c r="D781" s="1150">
        <f t="shared" si="159"/>
        <v>770</v>
      </c>
      <c r="E781" s="1006" t="str">
        <f t="shared" si="160"/>
        <v>C</v>
      </c>
      <c r="F781" s="1007" t="str">
        <f t="shared" si="161"/>
        <v>B</v>
      </c>
      <c r="G781" s="1008">
        <f t="shared" si="162"/>
        <v>85983</v>
      </c>
      <c r="H781" s="1138">
        <f t="shared" si="163"/>
        <v>0.49583333333333329</v>
      </c>
      <c r="I781" s="1009">
        <v>0.50069444444444444</v>
      </c>
      <c r="J781" s="1010">
        <f t="shared" si="164"/>
        <v>55.000000000000043</v>
      </c>
      <c r="K781" s="1011"/>
      <c r="L781" s="1012">
        <v>6</v>
      </c>
      <c r="M781" s="1013"/>
      <c r="N781" s="1014" t="str">
        <f t="shared" si="165"/>
        <v/>
      </c>
      <c r="O781" s="1323" t="s">
        <v>1044</v>
      </c>
      <c r="P781" s="1324"/>
      <c r="Q781" s="1324"/>
      <c r="R781" s="1324"/>
      <c r="S781" s="1324"/>
      <c r="T781" s="1325"/>
      <c r="U781" s="1015">
        <v>1.8</v>
      </c>
      <c r="V781" s="1015"/>
      <c r="W781" s="1015"/>
      <c r="X781" s="1015"/>
      <c r="Y781" s="1015"/>
      <c r="Z781" s="1016">
        <f>'09월 에너지'!S783</f>
        <v>144.5</v>
      </c>
      <c r="AA781" s="1017">
        <v>2288</v>
      </c>
      <c r="AB781" s="1208" t="s">
        <v>573</v>
      </c>
      <c r="AC781" s="1208" t="s">
        <v>532</v>
      </c>
      <c r="AD781" s="1208"/>
      <c r="AE781" s="1208"/>
      <c r="AF781" s="1208" t="s">
        <v>548</v>
      </c>
      <c r="AG781" s="1018">
        <f>'09월 화학성분'!AM781</f>
        <v>2045</v>
      </c>
      <c r="AH781" s="1006">
        <f t="shared" ref="AH781:AH844" si="167">IF(I781="","",AH780+1)</f>
        <v>20</v>
      </c>
      <c r="AI781" s="1019">
        <v>1558</v>
      </c>
      <c r="AJ781" s="1020">
        <v>0</v>
      </c>
      <c r="AK781" s="1021">
        <v>523</v>
      </c>
      <c r="AL781" s="1022">
        <v>8</v>
      </c>
      <c r="AM781" s="1155">
        <f>IF(AT781="","",3*'09월 에너지'!S783*(1/(3+7.8*(100-AT781)/AT781)))</f>
        <v>1.1253894080996885</v>
      </c>
      <c r="AN781" s="1023">
        <v>0.17569444444444446</v>
      </c>
      <c r="AO781" s="1024"/>
      <c r="AP781" s="1025"/>
      <c r="AQ781" s="1025"/>
      <c r="AR781" s="1149" t="str">
        <f t="shared" ref="AR781:AR844" si="168">IF(F781="A",IFERROR(IF(I781="","",IF(F781="A",AR780+1," ")),AR779+1),"")</f>
        <v/>
      </c>
      <c r="AS781" s="1093">
        <f t="shared" si="166"/>
        <v>4</v>
      </c>
      <c r="AT781" s="1156">
        <v>2</v>
      </c>
      <c r="AU781" s="449"/>
      <c r="AV781" s="1205"/>
    </row>
    <row r="782" spans="1:48" ht="16.5" customHeight="1">
      <c r="A782" s="1005">
        <f t="shared" ref="A782:A845" si="169">IF(I782="","",A781)</f>
        <v>46294</v>
      </c>
      <c r="B782" s="1005">
        <f t="shared" ref="B782:B845" si="170">IF(J782="","",B781)</f>
        <v>46294</v>
      </c>
      <c r="C782" s="1150">
        <f t="shared" ref="C782:C845" si="171">IF(I782="","",IF(A782=A781,C781+1,1))</f>
        <v>11</v>
      </c>
      <c r="D782" s="1150">
        <f t="shared" ref="D782:D845" si="172">IF(C782="","",D781+1)</f>
        <v>771</v>
      </c>
      <c r="E782" s="1006" t="str">
        <f t="shared" ref="E782:E845" si="173">IF(C782="","",E781)</f>
        <v>C</v>
      </c>
      <c r="F782" s="1007" t="str">
        <f t="shared" ref="F782:F845" si="174">IF(C782="","",IF(F781="A","B","A"))</f>
        <v>A</v>
      </c>
      <c r="G782" s="1008">
        <f t="shared" ref="G782:G845" si="175">IF(C782="","",G781+1)</f>
        <v>85984</v>
      </c>
      <c r="H782" s="1138">
        <f t="shared" ref="H782:H845" si="176">IF(ISBLANK(I781),H781+C$8/1440,I781+C$8/1440)</f>
        <v>0.53402777777777777</v>
      </c>
      <c r="I782" s="1009">
        <v>0.53125</v>
      </c>
      <c r="J782" s="1010">
        <f t="shared" ref="J782:J845" si="177">IF(I782="","",IF(I782&lt;I781,(I782-I781)*1440+1440,(I782-I781)*1440))</f>
        <v>44</v>
      </c>
      <c r="K782" s="1011"/>
      <c r="L782" s="1012"/>
      <c r="M782" s="1013"/>
      <c r="N782" s="1014" t="str">
        <f t="shared" ref="N782:N845" si="178">IF(M782="","",M782+K782/1440)</f>
        <v/>
      </c>
      <c r="O782" s="1323"/>
      <c r="P782" s="1324"/>
      <c r="Q782" s="1324"/>
      <c r="R782" s="1324"/>
      <c r="S782" s="1324"/>
      <c r="T782" s="1325"/>
      <c r="U782" s="1015">
        <v>1.8</v>
      </c>
      <c r="V782" s="1015">
        <v>2.7</v>
      </c>
      <c r="W782" s="1015">
        <v>1.5</v>
      </c>
      <c r="X782" s="1015"/>
      <c r="Y782" s="1015"/>
      <c r="Z782" s="1016">
        <f>'09월 에너지'!S784</f>
        <v>144.19999999999999</v>
      </c>
      <c r="AA782" s="1017"/>
      <c r="AB782" s="1208"/>
      <c r="AC782" s="1208"/>
      <c r="AD782" s="1208"/>
      <c r="AE782" s="1208"/>
      <c r="AF782" s="1208"/>
      <c r="AG782" s="1018">
        <f>'09월 화학성분'!AM782</f>
        <v>3321</v>
      </c>
      <c r="AH782" s="1006">
        <f t="shared" si="167"/>
        <v>21</v>
      </c>
      <c r="AI782" s="1019">
        <v>1571</v>
      </c>
      <c r="AJ782" s="1020">
        <v>0</v>
      </c>
      <c r="AK782" s="1021">
        <v>914</v>
      </c>
      <c r="AL782" s="1022">
        <v>4</v>
      </c>
      <c r="AM782" s="1155">
        <f>IF(AT782="","",3*'09월 에너지'!S784*(1/(3+7.8*(100-AT782)/AT782)))</f>
        <v>0.61423482032218091</v>
      </c>
      <c r="AN782" s="1023">
        <v>0.16041666666666668</v>
      </c>
      <c r="AO782" s="1024"/>
      <c r="AP782" s="1025"/>
      <c r="AQ782" s="1025"/>
      <c r="AR782" s="1149">
        <f t="shared" si="168"/>
        <v>3</v>
      </c>
      <c r="AS782" s="1093" t="str">
        <f t="shared" ref="AS782:AS845" si="179">IFERROR(IF($I782="","",IF($F782="B",AS781+1," ")),AS780+1)</f>
        <v xml:space="preserve"> </v>
      </c>
      <c r="AT782" s="1156">
        <v>1.1000000000000001</v>
      </c>
      <c r="AU782" s="449"/>
      <c r="AV782" s="1205"/>
    </row>
    <row r="783" spans="1:48" ht="16.5" customHeight="1">
      <c r="A783" s="1005">
        <f t="shared" si="169"/>
        <v>46294</v>
      </c>
      <c r="B783" s="1005">
        <f t="shared" si="170"/>
        <v>46294</v>
      </c>
      <c r="C783" s="1150">
        <f t="shared" si="171"/>
        <v>12</v>
      </c>
      <c r="D783" s="1150">
        <f t="shared" si="172"/>
        <v>772</v>
      </c>
      <c r="E783" s="1006" t="str">
        <f t="shared" si="173"/>
        <v>C</v>
      </c>
      <c r="F783" s="1007" t="str">
        <f t="shared" si="174"/>
        <v>B</v>
      </c>
      <c r="G783" s="1008">
        <f t="shared" si="175"/>
        <v>85985</v>
      </c>
      <c r="H783" s="1138">
        <f t="shared" si="176"/>
        <v>0.56458333333333333</v>
      </c>
      <c r="I783" s="1009">
        <v>0.58194444444444449</v>
      </c>
      <c r="J783" s="1010">
        <f t="shared" si="177"/>
        <v>73.000000000000057</v>
      </c>
      <c r="K783" s="1011"/>
      <c r="L783" s="1012">
        <v>20</v>
      </c>
      <c r="M783" s="1013"/>
      <c r="N783" s="1014" t="str">
        <f t="shared" si="178"/>
        <v/>
      </c>
      <c r="O783" s="1338" t="s">
        <v>1045</v>
      </c>
      <c r="P783" s="1339"/>
      <c r="Q783" s="1339"/>
      <c r="R783" s="1339"/>
      <c r="S783" s="1339"/>
      <c r="T783" s="1340"/>
      <c r="U783" s="1015">
        <v>1.8</v>
      </c>
      <c r="V783" s="1015">
        <v>2.6</v>
      </c>
      <c r="W783" s="1015">
        <v>1.4</v>
      </c>
      <c r="X783" s="1015"/>
      <c r="Y783" s="1015"/>
      <c r="Z783" s="1016">
        <f>'09월 에너지'!S785</f>
        <v>143.5</v>
      </c>
      <c r="AA783" s="1017"/>
      <c r="AB783" s="1208"/>
      <c r="AC783" s="1208"/>
      <c r="AD783" s="1208"/>
      <c r="AE783" s="1208"/>
      <c r="AF783" s="1208"/>
      <c r="AG783" s="1018">
        <f>'09월 화학성분'!AM783</f>
        <v>2880</v>
      </c>
      <c r="AH783" s="1006">
        <f t="shared" si="167"/>
        <v>22</v>
      </c>
      <c r="AI783" s="1019">
        <v>1559</v>
      </c>
      <c r="AJ783" s="1020">
        <v>0</v>
      </c>
      <c r="AK783" s="1021">
        <v>313</v>
      </c>
      <c r="AL783" s="1022">
        <v>15</v>
      </c>
      <c r="AM783" s="1155">
        <f>IF(AT783="","",3*'09월 에너지'!S785*(1/(3+7.8*(100-AT783)/AT783)))</f>
        <v>0.83559782608695665</v>
      </c>
      <c r="AN783" s="1023">
        <v>0.16527777777777777</v>
      </c>
      <c r="AO783" s="1024"/>
      <c r="AP783" s="1025"/>
      <c r="AQ783" s="1025"/>
      <c r="AR783" s="1149" t="str">
        <f t="shared" si="168"/>
        <v/>
      </c>
      <c r="AS783" s="1093">
        <f t="shared" si="179"/>
        <v>5</v>
      </c>
      <c r="AT783" s="1156">
        <v>1.5</v>
      </c>
      <c r="AU783" s="449"/>
      <c r="AV783" s="1205"/>
    </row>
    <row r="784" spans="1:48" ht="16.5" customHeight="1">
      <c r="A784" s="1005">
        <f t="shared" si="169"/>
        <v>46294</v>
      </c>
      <c r="B784" s="1005">
        <f t="shared" si="170"/>
        <v>46294</v>
      </c>
      <c r="C784" s="1150">
        <f t="shared" si="171"/>
        <v>13</v>
      </c>
      <c r="D784" s="1150">
        <f t="shared" si="172"/>
        <v>773</v>
      </c>
      <c r="E784" s="1006" t="s">
        <v>558</v>
      </c>
      <c r="F784" s="1007" t="str">
        <f t="shared" si="174"/>
        <v>A</v>
      </c>
      <c r="G784" s="1008">
        <f t="shared" si="175"/>
        <v>85986</v>
      </c>
      <c r="H784" s="1138">
        <f t="shared" si="176"/>
        <v>0.61527777777777781</v>
      </c>
      <c r="I784" s="1009">
        <v>0.61041666666666672</v>
      </c>
      <c r="J784" s="1010">
        <f t="shared" si="177"/>
        <v>41.000000000000014</v>
      </c>
      <c r="K784" s="1011"/>
      <c r="L784" s="1012"/>
      <c r="M784" s="1013"/>
      <c r="N784" s="1014" t="str">
        <f t="shared" si="178"/>
        <v/>
      </c>
      <c r="O784" s="1323" t="s">
        <v>530</v>
      </c>
      <c r="P784" s="1324"/>
      <c r="Q784" s="1324"/>
      <c r="R784" s="1324"/>
      <c r="S784" s="1324"/>
      <c r="T784" s="1325"/>
      <c r="U784" s="1015">
        <v>1.8</v>
      </c>
      <c r="V784" s="1015"/>
      <c r="W784" s="1015"/>
      <c r="X784" s="1015"/>
      <c r="Y784" s="1015">
        <v>2.6</v>
      </c>
      <c r="Z784" s="1016">
        <f>'09월 에너지'!S786</f>
        <v>144</v>
      </c>
      <c r="AA784" s="1017">
        <v>2275</v>
      </c>
      <c r="AB784" s="1208" t="s">
        <v>573</v>
      </c>
      <c r="AC784" s="1208" t="s">
        <v>1046</v>
      </c>
      <c r="AD784" s="1208" t="s">
        <v>548</v>
      </c>
      <c r="AE784" s="1208"/>
      <c r="AF784" s="1208" t="s">
        <v>532</v>
      </c>
      <c r="AG784" s="1018">
        <f>'09월 화학성분'!AM784</f>
        <v>3662</v>
      </c>
      <c r="AH784" s="1006">
        <f t="shared" si="167"/>
        <v>23</v>
      </c>
      <c r="AI784" s="1019">
        <v>1585</v>
      </c>
      <c r="AJ784" s="1020">
        <v>0</v>
      </c>
      <c r="AK784" s="1021">
        <v>605</v>
      </c>
      <c r="AL784" s="1022">
        <v>6</v>
      </c>
      <c r="AM784" s="1155">
        <f>IF(AT784="","",3*'09월 에너지'!S786*(1/(3+7.8*(100-AT784)/AT784)))</f>
        <v>0.33353922174181594</v>
      </c>
      <c r="AN784" s="1023">
        <v>0.17361111111111113</v>
      </c>
      <c r="AO784" s="1024"/>
      <c r="AP784" s="1025"/>
      <c r="AQ784" s="1025"/>
      <c r="AR784" s="1149">
        <f t="shared" si="168"/>
        <v>4</v>
      </c>
      <c r="AS784" s="1093" t="str">
        <f t="shared" si="179"/>
        <v xml:space="preserve"> </v>
      </c>
      <c r="AT784" s="1156">
        <v>0.6</v>
      </c>
      <c r="AU784" s="449"/>
      <c r="AV784" s="1205"/>
    </row>
    <row r="785" spans="1:48" ht="16.5" customHeight="1">
      <c r="A785" s="1005">
        <f t="shared" si="169"/>
        <v>46294</v>
      </c>
      <c r="B785" s="1005">
        <f t="shared" si="170"/>
        <v>46294</v>
      </c>
      <c r="C785" s="1150">
        <f t="shared" si="171"/>
        <v>14</v>
      </c>
      <c r="D785" s="1150">
        <f t="shared" si="172"/>
        <v>774</v>
      </c>
      <c r="E785" s="1006" t="str">
        <f t="shared" si="173"/>
        <v>D</v>
      </c>
      <c r="F785" s="1007" t="s">
        <v>534</v>
      </c>
      <c r="G785" s="1008">
        <f t="shared" si="175"/>
        <v>85987</v>
      </c>
      <c r="H785" s="1138">
        <f t="shared" si="176"/>
        <v>0.64375000000000004</v>
      </c>
      <c r="I785" s="1009">
        <v>0.65347222222222223</v>
      </c>
      <c r="J785" s="1010">
        <f t="shared" si="177"/>
        <v>61.999999999999943</v>
      </c>
      <c r="K785" s="1011">
        <v>14</v>
      </c>
      <c r="L785" s="1012"/>
      <c r="M785" s="1013">
        <v>0.61041666666666672</v>
      </c>
      <c r="N785" s="1014">
        <f t="shared" si="178"/>
        <v>0.62013888888888891</v>
      </c>
      <c r="O785" s="1323" t="s">
        <v>1048</v>
      </c>
      <c r="P785" s="1324"/>
      <c r="Q785" s="1324"/>
      <c r="R785" s="1324"/>
      <c r="S785" s="1324"/>
      <c r="T785" s="1325"/>
      <c r="U785" s="1015">
        <v>1.8</v>
      </c>
      <c r="V785" s="1015"/>
      <c r="W785" s="1015"/>
      <c r="X785" s="1015"/>
      <c r="Y785" s="1015">
        <v>2.8</v>
      </c>
      <c r="Z785" s="1016">
        <f>'09월 에너지'!S787</f>
        <v>144.30000000000001</v>
      </c>
      <c r="AA785" s="1017"/>
      <c r="AB785" s="1208"/>
      <c r="AC785" s="1208"/>
      <c r="AD785" s="1208"/>
      <c r="AE785" s="1208"/>
      <c r="AF785" s="1208"/>
      <c r="AG785" s="1018">
        <f>'09월 화학성분'!AM785</f>
        <v>2660</v>
      </c>
      <c r="AH785" s="1006">
        <f t="shared" si="167"/>
        <v>24</v>
      </c>
      <c r="AI785" s="1019">
        <v>1586</v>
      </c>
      <c r="AJ785" s="1020">
        <v>25</v>
      </c>
      <c r="AK785" s="1021">
        <v>617</v>
      </c>
      <c r="AL785" s="1022">
        <v>6</v>
      </c>
      <c r="AM785" s="1155">
        <f>IF(AT785="","",3*'09월 에너지'!S787*(1/(3+7.8*(100-AT785)/AT785)))</f>
        <v>0.72731854838709675</v>
      </c>
      <c r="AN785" s="1023">
        <v>0.17013888888888887</v>
      </c>
      <c r="AO785" s="1024"/>
      <c r="AP785" s="1025"/>
      <c r="AQ785" s="1025"/>
      <c r="AR785" s="1149">
        <f t="shared" si="168"/>
        <v>5</v>
      </c>
      <c r="AS785" s="1093" t="str">
        <f t="shared" si="179"/>
        <v xml:space="preserve"> </v>
      </c>
      <c r="AT785" s="1156">
        <v>1.3</v>
      </c>
      <c r="AU785" s="449"/>
      <c r="AV785" s="1205"/>
    </row>
    <row r="786" spans="1:48" ht="16.5" customHeight="1">
      <c r="A786" s="1005">
        <f t="shared" si="169"/>
        <v>46294</v>
      </c>
      <c r="B786" s="1005">
        <f t="shared" si="170"/>
        <v>46294</v>
      </c>
      <c r="C786" s="1150">
        <f t="shared" si="171"/>
        <v>15</v>
      </c>
      <c r="D786" s="1150">
        <f t="shared" si="172"/>
        <v>775</v>
      </c>
      <c r="E786" s="1006" t="str">
        <f t="shared" si="173"/>
        <v>D</v>
      </c>
      <c r="F786" s="1007" t="s">
        <v>534</v>
      </c>
      <c r="G786" s="1008">
        <f t="shared" si="175"/>
        <v>85988</v>
      </c>
      <c r="H786" s="1138">
        <f t="shared" si="176"/>
        <v>0.68680555555555556</v>
      </c>
      <c r="I786" s="1009">
        <v>0.69444444444444453</v>
      </c>
      <c r="J786" s="1010">
        <f t="shared" si="177"/>
        <v>59.000000000000114</v>
      </c>
      <c r="K786" s="1011">
        <v>11</v>
      </c>
      <c r="L786" s="1012"/>
      <c r="M786" s="1013">
        <v>0.65347222222222223</v>
      </c>
      <c r="N786" s="1014">
        <f t="shared" si="178"/>
        <v>0.66111111111111109</v>
      </c>
      <c r="O786" s="1323"/>
      <c r="P786" s="1324"/>
      <c r="Q786" s="1324"/>
      <c r="R786" s="1324"/>
      <c r="S786" s="1324"/>
      <c r="T786" s="1325"/>
      <c r="U786" s="1015">
        <v>1.8</v>
      </c>
      <c r="V786" s="1015"/>
      <c r="W786" s="1015"/>
      <c r="X786" s="1015"/>
      <c r="Y786" s="1015">
        <v>2.7</v>
      </c>
      <c r="Z786" s="1016">
        <f>'09월 에너지'!S788</f>
        <v>144.5</v>
      </c>
      <c r="AA786" s="1017"/>
      <c r="AB786" s="1208"/>
      <c r="AC786" s="1208"/>
      <c r="AD786" s="1208"/>
      <c r="AE786" s="1208"/>
      <c r="AF786" s="1208"/>
      <c r="AG786" s="1018">
        <f>'09월 화학성분'!AM786</f>
        <v>1759</v>
      </c>
      <c r="AH786" s="1006">
        <f t="shared" si="167"/>
        <v>25</v>
      </c>
      <c r="AI786" s="1019">
        <v>1595</v>
      </c>
      <c r="AJ786" s="1020">
        <v>0</v>
      </c>
      <c r="AK786" s="1021">
        <v>706</v>
      </c>
      <c r="AL786" s="1022">
        <v>5</v>
      </c>
      <c r="AM786" s="1155">
        <f>IF(AT786="","",3*'09월 에너지'!S788*(1/(3+7.8*(100-AT786)/AT786)))</f>
        <v>0.67188468691878478</v>
      </c>
      <c r="AN786" s="1023">
        <v>0.16805555555555554</v>
      </c>
      <c r="AO786" s="1024"/>
      <c r="AP786" s="1025"/>
      <c r="AQ786" s="1025"/>
      <c r="AR786" s="1149">
        <f t="shared" si="168"/>
        <v>6</v>
      </c>
      <c r="AS786" s="1093" t="str">
        <f t="shared" si="179"/>
        <v xml:space="preserve"> </v>
      </c>
      <c r="AT786" s="1156">
        <v>1.2</v>
      </c>
      <c r="AU786" s="449"/>
      <c r="AV786" s="1205"/>
    </row>
    <row r="787" spans="1:48" ht="16.5" customHeight="1">
      <c r="A787" s="1005">
        <f t="shared" si="169"/>
        <v>46294</v>
      </c>
      <c r="B787" s="1005">
        <f t="shared" si="170"/>
        <v>46294</v>
      </c>
      <c r="C787" s="1150">
        <f t="shared" si="171"/>
        <v>16</v>
      </c>
      <c r="D787" s="1150">
        <f t="shared" si="172"/>
        <v>776</v>
      </c>
      <c r="E787" s="1006" t="str">
        <f t="shared" si="173"/>
        <v>D</v>
      </c>
      <c r="F787" s="1007" t="str">
        <f t="shared" si="174"/>
        <v>B</v>
      </c>
      <c r="G787" s="1008">
        <f t="shared" si="175"/>
        <v>85989</v>
      </c>
      <c r="H787" s="1138">
        <f t="shared" si="176"/>
        <v>0.72777777777777786</v>
      </c>
      <c r="I787" s="1009">
        <v>0.7402777777777777</v>
      </c>
      <c r="J787" s="1010">
        <f t="shared" si="177"/>
        <v>65.999999999999773</v>
      </c>
      <c r="K787" s="1011">
        <v>8</v>
      </c>
      <c r="L787" s="1012"/>
      <c r="M787" s="1013">
        <v>0.69444444444444453</v>
      </c>
      <c r="N787" s="1014">
        <f t="shared" si="178"/>
        <v>0.70000000000000007</v>
      </c>
      <c r="O787" s="1323" t="s">
        <v>1050</v>
      </c>
      <c r="P787" s="1324"/>
      <c r="Q787" s="1324"/>
      <c r="R787" s="1324"/>
      <c r="S787" s="1324"/>
      <c r="T787" s="1325"/>
      <c r="U787" s="1015">
        <v>1.8</v>
      </c>
      <c r="V787" s="1015"/>
      <c r="W787" s="1015"/>
      <c r="X787" s="1015"/>
      <c r="Y787" s="1015">
        <v>2.9</v>
      </c>
      <c r="Z787" s="1016">
        <f>'09월 에너지'!S789</f>
        <v>145.19999999999999</v>
      </c>
      <c r="AA787" s="1017">
        <v>1109</v>
      </c>
      <c r="AB787" s="1208"/>
      <c r="AC787" s="1208"/>
      <c r="AD787" s="1208"/>
      <c r="AE787" s="1208"/>
      <c r="AF787" s="1208"/>
      <c r="AG787" s="1018">
        <f>'09월 화학성분'!AM787</f>
        <v>2394</v>
      </c>
      <c r="AH787" s="1006">
        <f t="shared" si="167"/>
        <v>26</v>
      </c>
      <c r="AI787" s="1019">
        <v>1578</v>
      </c>
      <c r="AJ787" s="1020">
        <v>0</v>
      </c>
      <c r="AK787" s="1021" t="s">
        <v>552</v>
      </c>
      <c r="AL787" s="1022" t="s">
        <v>552</v>
      </c>
      <c r="AM787" s="1155">
        <f>IF(AT787="","",3*'09월 에너지'!S789*(1/(3+7.8*(100-AT787)/AT787)))</f>
        <v>0.5619195046439629</v>
      </c>
      <c r="AN787" s="1023">
        <v>0.1673611111111111</v>
      </c>
      <c r="AO787" s="1024"/>
      <c r="AP787" s="1025"/>
      <c r="AQ787" s="1025"/>
      <c r="AR787" s="1149" t="str">
        <f t="shared" si="168"/>
        <v/>
      </c>
      <c r="AS787" s="1093">
        <v>6</v>
      </c>
      <c r="AT787" s="1156">
        <v>1</v>
      </c>
      <c r="AU787" s="449"/>
      <c r="AV787" s="1205"/>
    </row>
    <row r="788" spans="1:48" ht="16.5" customHeight="1">
      <c r="A788" s="1005">
        <f t="shared" si="169"/>
        <v>46294</v>
      </c>
      <c r="B788" s="1005">
        <f t="shared" si="170"/>
        <v>46294</v>
      </c>
      <c r="C788" s="1150">
        <f t="shared" si="171"/>
        <v>17</v>
      </c>
      <c r="D788" s="1150">
        <f t="shared" si="172"/>
        <v>777</v>
      </c>
      <c r="E788" s="1006" t="str">
        <f t="shared" si="173"/>
        <v>D</v>
      </c>
      <c r="F788" s="1007" t="str">
        <f t="shared" si="174"/>
        <v>A</v>
      </c>
      <c r="G788" s="1008">
        <f t="shared" si="175"/>
        <v>85990</v>
      </c>
      <c r="H788" s="1138">
        <f t="shared" si="176"/>
        <v>0.77361111111111103</v>
      </c>
      <c r="I788" s="1009">
        <v>0.77222222222222225</v>
      </c>
      <c r="J788" s="1010">
        <f t="shared" si="177"/>
        <v>46.000000000000156</v>
      </c>
      <c r="K788" s="1011"/>
      <c r="L788" s="1012"/>
      <c r="M788" s="1013"/>
      <c r="N788" s="1014" t="str">
        <f t="shared" si="178"/>
        <v/>
      </c>
      <c r="O788" s="1323"/>
      <c r="P788" s="1324"/>
      <c r="Q788" s="1324"/>
      <c r="R788" s="1324"/>
      <c r="S788" s="1324"/>
      <c r="T788" s="1325"/>
      <c r="U788" s="1015">
        <v>1.8</v>
      </c>
      <c r="V788" s="1015"/>
      <c r="W788" s="1015"/>
      <c r="X788" s="1015"/>
      <c r="Y788" s="1015">
        <v>2.8</v>
      </c>
      <c r="Z788" s="1016">
        <f>'09월 에너지'!S790</f>
        <v>144.30000000000001</v>
      </c>
      <c r="AA788" s="1017"/>
      <c r="AB788" s="1208"/>
      <c r="AC788" s="1208"/>
      <c r="AD788" s="1208"/>
      <c r="AE788" s="1208"/>
      <c r="AF788" s="1208"/>
      <c r="AG788" s="1018">
        <f>'09월 화학성분'!AM788</f>
        <v>2063</v>
      </c>
      <c r="AH788" s="1006">
        <f t="shared" si="167"/>
        <v>27</v>
      </c>
      <c r="AI788" s="1019">
        <v>1577</v>
      </c>
      <c r="AJ788" s="1020">
        <v>0</v>
      </c>
      <c r="AK788" s="1021">
        <v>749</v>
      </c>
      <c r="AL788" s="1022">
        <v>5</v>
      </c>
      <c r="AM788" s="1155">
        <f>IF(AT788="","",3*'09월 에너지'!S790*(1/(3+7.8*(100-AT788)/AT788)))</f>
        <v>0.95347481343283591</v>
      </c>
      <c r="AN788" s="1023">
        <v>0.15763888888888888</v>
      </c>
      <c r="AO788" s="1024"/>
      <c r="AP788" s="1025"/>
      <c r="AQ788" s="1025"/>
      <c r="AR788" s="1149">
        <f t="shared" si="168"/>
        <v>7</v>
      </c>
      <c r="AS788" s="1093" t="str">
        <f t="shared" si="179"/>
        <v xml:space="preserve"> </v>
      </c>
      <c r="AT788" s="1156">
        <v>1.7</v>
      </c>
      <c r="AU788" s="449"/>
      <c r="AV788" s="1205"/>
    </row>
    <row r="789" spans="1:48" ht="16.5" customHeight="1">
      <c r="A789" s="1005">
        <f t="shared" si="169"/>
        <v>46294</v>
      </c>
      <c r="B789" s="1005">
        <f t="shared" si="170"/>
        <v>46294</v>
      </c>
      <c r="C789" s="1150">
        <f t="shared" si="171"/>
        <v>18</v>
      </c>
      <c r="D789" s="1150">
        <f t="shared" si="172"/>
        <v>778</v>
      </c>
      <c r="E789" s="1006" t="str">
        <f t="shared" si="173"/>
        <v>D</v>
      </c>
      <c r="F789" s="1007" t="str">
        <f t="shared" si="174"/>
        <v>B</v>
      </c>
      <c r="G789" s="1008">
        <f t="shared" si="175"/>
        <v>85991</v>
      </c>
      <c r="H789" s="1138">
        <f t="shared" si="176"/>
        <v>0.80555555555555558</v>
      </c>
      <c r="I789" s="1009">
        <v>0.8027777777777777</v>
      </c>
      <c r="J789" s="1010">
        <f t="shared" si="177"/>
        <v>43.999999999999844</v>
      </c>
      <c r="K789" s="1011"/>
      <c r="L789" s="1012"/>
      <c r="M789" s="1013"/>
      <c r="N789" s="1014" t="str">
        <f t="shared" si="178"/>
        <v/>
      </c>
      <c r="O789" s="1323"/>
      <c r="P789" s="1324"/>
      <c r="Q789" s="1324"/>
      <c r="R789" s="1324"/>
      <c r="S789" s="1324"/>
      <c r="T789" s="1325"/>
      <c r="U789" s="1015">
        <v>1.8</v>
      </c>
      <c r="V789" s="1015">
        <v>2.6</v>
      </c>
      <c r="W789" s="1015">
        <v>1.3</v>
      </c>
      <c r="X789" s="1015"/>
      <c r="Y789" s="1015"/>
      <c r="Z789" s="1016">
        <f>'09월 에너지'!S791</f>
        <v>146.6</v>
      </c>
      <c r="AA789" s="1017"/>
      <c r="AB789" s="1208"/>
      <c r="AC789" s="1208"/>
      <c r="AD789" s="1208"/>
      <c r="AE789" s="1208"/>
      <c r="AF789" s="1208"/>
      <c r="AG789" s="1018">
        <f>'09월 화학성분'!AM789</f>
        <v>922</v>
      </c>
      <c r="AH789" s="1006">
        <f t="shared" si="167"/>
        <v>28</v>
      </c>
      <c r="AI789" s="1019">
        <v>1570</v>
      </c>
      <c r="AJ789" s="1020">
        <v>19</v>
      </c>
      <c r="AK789" s="1021">
        <v>743</v>
      </c>
      <c r="AL789" s="1022">
        <v>5</v>
      </c>
      <c r="AM789" s="1155">
        <f>IF(AT789="","",3*'09월 에너지'!S791*(1/(3+7.8*(100-AT789)/AT789)))</f>
        <v>0.79624456859093717</v>
      </c>
      <c r="AN789" s="1023">
        <v>0.16250000000000001</v>
      </c>
      <c r="AO789" s="1024"/>
      <c r="AP789" s="1025"/>
      <c r="AQ789" s="1025"/>
      <c r="AR789" s="1149" t="str">
        <f t="shared" si="168"/>
        <v/>
      </c>
      <c r="AS789" s="1093">
        <f t="shared" si="179"/>
        <v>7</v>
      </c>
      <c r="AT789" s="1156">
        <v>1.4</v>
      </c>
      <c r="AU789" s="449"/>
      <c r="AV789" s="1205"/>
    </row>
    <row r="790" spans="1:48" ht="16.5" customHeight="1">
      <c r="A790" s="1005">
        <f t="shared" si="169"/>
        <v>46294</v>
      </c>
      <c r="B790" s="1005">
        <f t="shared" si="170"/>
        <v>46294</v>
      </c>
      <c r="C790" s="1150">
        <f t="shared" si="171"/>
        <v>19</v>
      </c>
      <c r="D790" s="1150">
        <f t="shared" si="172"/>
        <v>779</v>
      </c>
      <c r="E790" s="1006" t="str">
        <f t="shared" si="173"/>
        <v>D</v>
      </c>
      <c r="F790" s="1007" t="str">
        <f t="shared" si="174"/>
        <v>A</v>
      </c>
      <c r="G790" s="1008">
        <f t="shared" si="175"/>
        <v>85992</v>
      </c>
      <c r="H790" s="1138">
        <f t="shared" si="176"/>
        <v>0.83611111111111103</v>
      </c>
      <c r="I790" s="1009">
        <v>0.83750000000000002</v>
      </c>
      <c r="J790" s="1010">
        <f t="shared" si="177"/>
        <v>50.000000000000142</v>
      </c>
      <c r="K790" s="1011"/>
      <c r="L790" s="1012"/>
      <c r="M790" s="1013"/>
      <c r="N790" s="1014" t="str">
        <f t="shared" si="178"/>
        <v/>
      </c>
      <c r="O790" s="1323" t="s">
        <v>1051</v>
      </c>
      <c r="P790" s="1324"/>
      <c r="Q790" s="1324"/>
      <c r="R790" s="1324"/>
      <c r="S790" s="1324"/>
      <c r="T790" s="1325"/>
      <c r="U790" s="1015">
        <v>1.8</v>
      </c>
      <c r="V790" s="1015">
        <v>2.9</v>
      </c>
      <c r="W790" s="1015">
        <v>1.8</v>
      </c>
      <c r="X790" s="1015"/>
      <c r="Y790" s="1015"/>
      <c r="Z790" s="1016">
        <f>'09월 에너지'!S792</f>
        <v>143.1</v>
      </c>
      <c r="AA790" s="1017">
        <v>2665</v>
      </c>
      <c r="AB790" s="1208" t="s">
        <v>551</v>
      </c>
      <c r="AC790" s="1208"/>
      <c r="AD790" s="1208" t="s">
        <v>548</v>
      </c>
      <c r="AE790" s="1208"/>
      <c r="AF790" s="1208" t="s">
        <v>548</v>
      </c>
      <c r="AG790" s="1018">
        <f>'09월 화학성분'!AM790</f>
        <v>2431</v>
      </c>
      <c r="AH790" s="1006">
        <f t="shared" si="167"/>
        <v>29</v>
      </c>
      <c r="AI790" s="1019">
        <v>1557</v>
      </c>
      <c r="AJ790" s="1020">
        <v>0</v>
      </c>
      <c r="AK790" s="1021">
        <v>647</v>
      </c>
      <c r="AL790" s="1022">
        <v>6</v>
      </c>
      <c r="AM790" s="1155">
        <f>IF(AT790="","",3*'09월 에너지'!S792*(1/(3+7.8*(100-AT790)/AT790)))</f>
        <v>1.7393742158092846</v>
      </c>
      <c r="AN790" s="1023">
        <v>0.17708333333333334</v>
      </c>
      <c r="AO790" s="1024"/>
      <c r="AP790" s="1025"/>
      <c r="AQ790" s="1025"/>
      <c r="AR790" s="1149">
        <f t="shared" si="168"/>
        <v>8</v>
      </c>
      <c r="AS790" s="1093" t="str">
        <f t="shared" si="179"/>
        <v xml:space="preserve"> </v>
      </c>
      <c r="AT790" s="1156">
        <v>3.1</v>
      </c>
      <c r="AU790" s="449"/>
      <c r="AV790" s="1205"/>
    </row>
    <row r="791" spans="1:48" ht="16.5" customHeight="1">
      <c r="A791" s="1005">
        <f t="shared" si="169"/>
        <v>46294</v>
      </c>
      <c r="B791" s="1005">
        <f t="shared" si="170"/>
        <v>46294</v>
      </c>
      <c r="C791" s="1150">
        <f t="shared" si="171"/>
        <v>20</v>
      </c>
      <c r="D791" s="1150">
        <f t="shared" si="172"/>
        <v>780</v>
      </c>
      <c r="E791" s="1006" t="str">
        <f t="shared" si="173"/>
        <v>D</v>
      </c>
      <c r="F791" s="1007" t="str">
        <f t="shared" si="174"/>
        <v>B</v>
      </c>
      <c r="G791" s="1008">
        <f t="shared" si="175"/>
        <v>85993</v>
      </c>
      <c r="H791" s="1138">
        <f t="shared" si="176"/>
        <v>0.87083333333333335</v>
      </c>
      <c r="I791" s="1009">
        <v>0.86944444444444446</v>
      </c>
      <c r="J791" s="1010">
        <f t="shared" si="177"/>
        <v>46</v>
      </c>
      <c r="K791" s="1011"/>
      <c r="L791" s="1012"/>
      <c r="M791" s="1013"/>
      <c r="N791" s="1014" t="str">
        <f t="shared" si="178"/>
        <v/>
      </c>
      <c r="O791" s="1338" t="s">
        <v>1049</v>
      </c>
      <c r="P791" s="1324"/>
      <c r="Q791" s="1324"/>
      <c r="R791" s="1324"/>
      <c r="S791" s="1324"/>
      <c r="T791" s="1325"/>
      <c r="U791" s="1015">
        <v>1.8</v>
      </c>
      <c r="V791" s="1015"/>
      <c r="W791" s="1015"/>
      <c r="X791" s="1015"/>
      <c r="Y791" s="1015">
        <v>2.9</v>
      </c>
      <c r="Z791" s="1016">
        <f>'09월 에너지'!S793</f>
        <v>144.1</v>
      </c>
      <c r="AA791" s="1017"/>
      <c r="AB791" s="1208"/>
      <c r="AC791" s="1208"/>
      <c r="AD791" s="1208"/>
      <c r="AE791" s="1208"/>
      <c r="AF791" s="1208"/>
      <c r="AG791" s="1018">
        <f>'09월 화학성분'!AM791</f>
        <v>1444</v>
      </c>
      <c r="AH791" s="1006">
        <f t="shared" si="167"/>
        <v>30</v>
      </c>
      <c r="AI791" s="1019">
        <v>1565</v>
      </c>
      <c r="AJ791" s="1020">
        <v>0</v>
      </c>
      <c r="AK791" s="1021">
        <v>562</v>
      </c>
      <c r="AL791" s="1022">
        <v>7</v>
      </c>
      <c r="AM791" s="1155">
        <f>IF(AT791="","",3*'09월 에너지'!S793*(1/(3+7.8*(100-AT791)/AT791)))</f>
        <v>0.11098274799753544</v>
      </c>
      <c r="AN791" s="1023">
        <v>0.21388888888888891</v>
      </c>
      <c r="AO791" s="1024"/>
      <c r="AP791" s="1025"/>
      <c r="AQ791" s="1025"/>
      <c r="AR791" s="1149" t="str">
        <f t="shared" si="168"/>
        <v/>
      </c>
      <c r="AS791" s="1093">
        <f t="shared" si="179"/>
        <v>8</v>
      </c>
      <c r="AT791" s="1156">
        <v>0.2</v>
      </c>
      <c r="AU791" s="449"/>
      <c r="AV791" s="1205"/>
    </row>
    <row r="792" spans="1:48" ht="16.5" customHeight="1">
      <c r="A792" s="1005">
        <f t="shared" si="169"/>
        <v>46294</v>
      </c>
      <c r="B792" s="1005">
        <f t="shared" si="170"/>
        <v>46294</v>
      </c>
      <c r="C792" s="1150">
        <f t="shared" si="171"/>
        <v>21</v>
      </c>
      <c r="D792" s="1150">
        <f t="shared" si="172"/>
        <v>781</v>
      </c>
      <c r="E792" s="1006" t="str">
        <f t="shared" si="173"/>
        <v>D</v>
      </c>
      <c r="F792" s="1007" t="str">
        <f t="shared" si="174"/>
        <v>A</v>
      </c>
      <c r="G792" s="1008">
        <f t="shared" si="175"/>
        <v>85994</v>
      </c>
      <c r="H792" s="1138">
        <f t="shared" si="176"/>
        <v>0.90277777777777779</v>
      </c>
      <c r="I792" s="1009">
        <v>0.90138888888888891</v>
      </c>
      <c r="J792" s="1010">
        <f t="shared" si="177"/>
        <v>46</v>
      </c>
      <c r="K792" s="1011"/>
      <c r="L792" s="1012"/>
      <c r="M792" s="1013"/>
      <c r="N792" s="1014" t="str">
        <f t="shared" si="178"/>
        <v/>
      </c>
      <c r="O792" s="1323"/>
      <c r="P792" s="1324"/>
      <c r="Q792" s="1324"/>
      <c r="R792" s="1324"/>
      <c r="S792" s="1324"/>
      <c r="T792" s="1325"/>
      <c r="U792" s="1015">
        <v>1.8</v>
      </c>
      <c r="V792" s="1015"/>
      <c r="W792" s="1015"/>
      <c r="X792" s="1015"/>
      <c r="Y792" s="1015">
        <v>2.7</v>
      </c>
      <c r="Z792" s="1016">
        <f>'09월 에너지'!S794</f>
        <v>143.80000000000001</v>
      </c>
      <c r="AA792" s="1017"/>
      <c r="AB792" s="1208"/>
      <c r="AC792" s="1208"/>
      <c r="AD792" s="1208"/>
      <c r="AE792" s="1208"/>
      <c r="AF792" s="1208"/>
      <c r="AG792" s="1018">
        <f>'09월 화학성분'!AM792</f>
        <v>1889</v>
      </c>
      <c r="AH792" s="1006">
        <f t="shared" si="167"/>
        <v>31</v>
      </c>
      <c r="AI792" s="1019">
        <v>1547</v>
      </c>
      <c r="AJ792" s="1020">
        <v>0</v>
      </c>
      <c r="AK792" s="1021">
        <v>790</v>
      </c>
      <c r="AL792" s="1022">
        <v>5</v>
      </c>
      <c r="AM792" s="1155">
        <f>IF(AT792="","",3*'09월 에너지'!S794*(1/(3+7.8*(100-AT792)/AT792)))</f>
        <v>0.4446505875077304</v>
      </c>
      <c r="AN792" s="1023">
        <v>0.16319444444444445</v>
      </c>
      <c r="AO792" s="1024"/>
      <c r="AP792" s="1025"/>
      <c r="AQ792" s="1025"/>
      <c r="AR792" s="1149">
        <f t="shared" si="168"/>
        <v>9</v>
      </c>
      <c r="AS792" s="1093" t="str">
        <f t="shared" si="179"/>
        <v xml:space="preserve"> </v>
      </c>
      <c r="AT792" s="1156">
        <v>0.8</v>
      </c>
      <c r="AU792" s="449"/>
      <c r="AV792" s="1205"/>
    </row>
    <row r="793" spans="1:48" ht="16.5" customHeight="1">
      <c r="A793" s="1005">
        <f t="shared" si="169"/>
        <v>46294</v>
      </c>
      <c r="B793" s="1005">
        <f t="shared" si="170"/>
        <v>46294</v>
      </c>
      <c r="C793" s="1150">
        <f t="shared" si="171"/>
        <v>22</v>
      </c>
      <c r="D793" s="1150">
        <f t="shared" si="172"/>
        <v>782</v>
      </c>
      <c r="E793" s="1006" t="str">
        <f t="shared" si="173"/>
        <v>D</v>
      </c>
      <c r="F793" s="1007" t="str">
        <f t="shared" si="174"/>
        <v>B</v>
      </c>
      <c r="G793" s="1008">
        <f t="shared" si="175"/>
        <v>85995</v>
      </c>
      <c r="H793" s="1138">
        <f t="shared" si="176"/>
        <v>0.93472222222222223</v>
      </c>
      <c r="I793" s="1009">
        <v>0.93611111111111101</v>
      </c>
      <c r="J793" s="1010">
        <f t="shared" si="177"/>
        <v>49.999999999999822</v>
      </c>
      <c r="K793" s="1011"/>
      <c r="L793" s="1012"/>
      <c r="M793" s="1013"/>
      <c r="N793" s="1014" t="str">
        <f t="shared" si="178"/>
        <v/>
      </c>
      <c r="O793" s="1323" t="s">
        <v>530</v>
      </c>
      <c r="P793" s="1324"/>
      <c r="Q793" s="1324"/>
      <c r="R793" s="1324"/>
      <c r="S793" s="1324"/>
      <c r="T793" s="1325"/>
      <c r="U793" s="1015">
        <v>1.8</v>
      </c>
      <c r="V793" s="1015"/>
      <c r="W793" s="1015"/>
      <c r="X793" s="1015">
        <v>3.3</v>
      </c>
      <c r="Y793" s="1015"/>
      <c r="Z793" s="1016">
        <f>'09월 에너지'!S795</f>
        <v>147.80000000000001</v>
      </c>
      <c r="AA793" s="1017">
        <v>1883</v>
      </c>
      <c r="AB793" s="1208" t="s">
        <v>1054</v>
      </c>
      <c r="AC793" s="1208" t="s">
        <v>532</v>
      </c>
      <c r="AD793" s="1208" t="s">
        <v>1053</v>
      </c>
      <c r="AE793" s="1208"/>
      <c r="AF793" s="1208" t="s">
        <v>532</v>
      </c>
      <c r="AG793" s="1018">
        <f>'09월 화학성분'!AM793</f>
        <v>2423</v>
      </c>
      <c r="AH793" s="1006">
        <f t="shared" si="167"/>
        <v>32</v>
      </c>
      <c r="AI793" s="1019">
        <v>1539</v>
      </c>
      <c r="AJ793" s="1020">
        <v>0</v>
      </c>
      <c r="AK793" s="1021">
        <v>657</v>
      </c>
      <c r="AL793" s="1022">
        <v>6</v>
      </c>
      <c r="AM793" s="1155">
        <f>IF(AT793="","",3*'09월 에너지'!S795*(1/(3+7.8*(100-AT793)/AT793)))</f>
        <v>0.28510802469135804</v>
      </c>
      <c r="AN793" s="1023">
        <v>0.20902777777777778</v>
      </c>
      <c r="AO793" s="1024"/>
      <c r="AP793" s="1025"/>
      <c r="AQ793" s="1025"/>
      <c r="AR793" s="1149" t="str">
        <f t="shared" si="168"/>
        <v/>
      </c>
      <c r="AS793" s="1093">
        <f t="shared" si="179"/>
        <v>9</v>
      </c>
      <c r="AT793" s="1156">
        <v>0.5</v>
      </c>
      <c r="AU793" s="449"/>
      <c r="AV793" s="1205"/>
    </row>
    <row r="794" spans="1:48" ht="16.5" customHeight="1">
      <c r="A794" s="1005">
        <f t="shared" si="169"/>
        <v>46294</v>
      </c>
      <c r="B794" s="1005">
        <f t="shared" si="170"/>
        <v>46294</v>
      </c>
      <c r="C794" s="1150">
        <f t="shared" si="171"/>
        <v>23</v>
      </c>
      <c r="D794" s="1150">
        <f t="shared" si="172"/>
        <v>783</v>
      </c>
      <c r="E794" s="1006" t="s">
        <v>624</v>
      </c>
      <c r="F794" s="1007" t="str">
        <f t="shared" si="174"/>
        <v>A</v>
      </c>
      <c r="G794" s="1008">
        <f t="shared" si="175"/>
        <v>85996</v>
      </c>
      <c r="H794" s="1138">
        <f t="shared" si="176"/>
        <v>0.96944444444444433</v>
      </c>
      <c r="I794" s="1009">
        <v>0.96736111111111101</v>
      </c>
      <c r="J794" s="1010">
        <f t="shared" si="177"/>
        <v>45</v>
      </c>
      <c r="K794" s="1011"/>
      <c r="L794" s="1012"/>
      <c r="M794" s="1013"/>
      <c r="N794" s="1014" t="str">
        <f t="shared" si="178"/>
        <v/>
      </c>
      <c r="O794" s="1323"/>
      <c r="P794" s="1324"/>
      <c r="Q794" s="1324"/>
      <c r="R794" s="1324"/>
      <c r="S794" s="1324"/>
      <c r="T794" s="1325"/>
      <c r="U794" s="1015">
        <v>1.8</v>
      </c>
      <c r="V794" s="1015"/>
      <c r="W794" s="1015"/>
      <c r="X794" s="1015">
        <v>3</v>
      </c>
      <c r="Y794" s="1015"/>
      <c r="Z794" s="1016">
        <f>'09월 에너지'!S796</f>
        <v>145.69999999999999</v>
      </c>
      <c r="AA794" s="1017"/>
      <c r="AB794" s="1208"/>
      <c r="AC794" s="1208"/>
      <c r="AD794" s="1208"/>
      <c r="AE794" s="1208"/>
      <c r="AF794" s="1208"/>
      <c r="AG794" s="1018">
        <f>'09월 화학성분'!AM794</f>
        <v>1472</v>
      </c>
      <c r="AH794" s="1006">
        <f t="shared" si="167"/>
        <v>33</v>
      </c>
      <c r="AI794" s="1019">
        <v>1595</v>
      </c>
      <c r="AJ794" s="1020">
        <v>135</v>
      </c>
      <c r="AK794" s="1021">
        <v>735</v>
      </c>
      <c r="AL794" s="1022">
        <v>5</v>
      </c>
      <c r="AM794" s="1155">
        <f>IF(AT794="","",3*'09월 에너지'!S796*(1/(3+7.8*(100-AT794)/AT794)))</f>
        <v>1.4806910569105691</v>
      </c>
      <c r="AN794" s="1023">
        <v>0.17361111111111113</v>
      </c>
      <c r="AO794" s="1024"/>
      <c r="AP794" s="1025"/>
      <c r="AQ794" s="1025"/>
      <c r="AR794" s="1149">
        <f t="shared" si="168"/>
        <v>10</v>
      </c>
      <c r="AS794" s="1093" t="str">
        <f t="shared" si="179"/>
        <v xml:space="preserve"> </v>
      </c>
      <c r="AT794" s="1156">
        <v>2.6</v>
      </c>
      <c r="AU794" s="449"/>
      <c r="AV794" s="1205"/>
    </row>
    <row r="795" spans="1:48" ht="16.5" customHeight="1">
      <c r="A795" s="1005">
        <f t="shared" si="169"/>
        <v>46294</v>
      </c>
      <c r="B795" s="1005">
        <f t="shared" si="170"/>
        <v>46294</v>
      </c>
      <c r="C795" s="1150">
        <f t="shared" si="171"/>
        <v>24</v>
      </c>
      <c r="D795" s="1150">
        <f t="shared" si="172"/>
        <v>784</v>
      </c>
      <c r="E795" s="1006" t="str">
        <f t="shared" si="173"/>
        <v>B</v>
      </c>
      <c r="F795" s="1007" t="str">
        <f t="shared" si="174"/>
        <v>B</v>
      </c>
      <c r="G795" s="1008">
        <f t="shared" si="175"/>
        <v>85997</v>
      </c>
      <c r="H795" s="1138">
        <f t="shared" si="176"/>
        <v>1.0006944444444443</v>
      </c>
      <c r="I795" s="1009">
        <v>0.99861111111111101</v>
      </c>
      <c r="J795" s="1010">
        <f t="shared" si="177"/>
        <v>45</v>
      </c>
      <c r="K795" s="1011"/>
      <c r="L795" s="1012"/>
      <c r="M795" s="1013"/>
      <c r="N795" s="1014" t="str">
        <f t="shared" si="178"/>
        <v/>
      </c>
      <c r="O795" s="1323"/>
      <c r="P795" s="1324"/>
      <c r="Q795" s="1324"/>
      <c r="R795" s="1324"/>
      <c r="S795" s="1324"/>
      <c r="T795" s="1325"/>
      <c r="U795" s="1015">
        <v>1.8</v>
      </c>
      <c r="V795" s="1015"/>
      <c r="W795" s="1015"/>
      <c r="X795" s="1015"/>
      <c r="Y795" s="1015">
        <v>2.7</v>
      </c>
      <c r="Z795" s="1016">
        <f>'09월 에너지'!S797</f>
        <v>145.30000000000001</v>
      </c>
      <c r="AA795" s="1017"/>
      <c r="AB795" s="1208"/>
      <c r="AC795" s="1208"/>
      <c r="AD795" s="1208"/>
      <c r="AE795" s="1208"/>
      <c r="AF795" s="1208"/>
      <c r="AG795" s="1018">
        <f>'09월 화학성분'!AM795</f>
        <v>1741</v>
      </c>
      <c r="AH795" s="1006">
        <f t="shared" si="167"/>
        <v>34</v>
      </c>
      <c r="AI795" s="1019">
        <v>1567</v>
      </c>
      <c r="AJ795" s="1020">
        <v>0</v>
      </c>
      <c r="AK795" s="1021">
        <v>365</v>
      </c>
      <c r="AL795" s="1022">
        <v>12</v>
      </c>
      <c r="AM795" s="1155">
        <f>IF(AT795="","",3*'09월 에너지'!S797*(1/(3+7.8*(100-AT795)/AT795)))</f>
        <v>1.0743695516811955</v>
      </c>
      <c r="AN795" s="1023">
        <v>0.16458333333333333</v>
      </c>
      <c r="AO795" s="1024"/>
      <c r="AP795" s="1025"/>
      <c r="AQ795" s="1025"/>
      <c r="AR795" s="1149" t="str">
        <f t="shared" si="168"/>
        <v/>
      </c>
      <c r="AS795" s="1093">
        <f t="shared" si="179"/>
        <v>10</v>
      </c>
      <c r="AT795" s="1156">
        <v>1.9</v>
      </c>
      <c r="AU795" s="449"/>
      <c r="AV795" s="1205"/>
    </row>
    <row r="796" spans="1:48" ht="16.5" customHeight="1">
      <c r="A796" s="1005">
        <f t="shared" si="169"/>
        <v>46294</v>
      </c>
      <c r="B796" s="1005">
        <f t="shared" si="170"/>
        <v>46294</v>
      </c>
      <c r="C796" s="1150">
        <f t="shared" si="171"/>
        <v>25</v>
      </c>
      <c r="D796" s="1150">
        <f t="shared" si="172"/>
        <v>785</v>
      </c>
      <c r="E796" s="1006" t="str">
        <f t="shared" si="173"/>
        <v>B</v>
      </c>
      <c r="F796" s="1007" t="str">
        <f t="shared" si="174"/>
        <v>A</v>
      </c>
      <c r="G796" s="1008">
        <f t="shared" si="175"/>
        <v>85998</v>
      </c>
      <c r="H796" s="1138">
        <f t="shared" si="176"/>
        <v>1.0319444444444443</v>
      </c>
      <c r="I796" s="1009">
        <v>3.1944444444444449E-2</v>
      </c>
      <c r="J796" s="1010">
        <f t="shared" si="177"/>
        <v>48.000000000000227</v>
      </c>
      <c r="K796" s="1011"/>
      <c r="L796" s="1012"/>
      <c r="M796" s="1013"/>
      <c r="N796" s="1014" t="str">
        <f t="shared" si="178"/>
        <v/>
      </c>
      <c r="O796" s="1323" t="s">
        <v>1055</v>
      </c>
      <c r="P796" s="1324"/>
      <c r="Q796" s="1324"/>
      <c r="R796" s="1324"/>
      <c r="S796" s="1324"/>
      <c r="T796" s="1325"/>
      <c r="U796" s="1015">
        <v>1.8</v>
      </c>
      <c r="V796" s="1015"/>
      <c r="W796" s="1015"/>
      <c r="X796" s="1015"/>
      <c r="Y796" s="1015">
        <v>2.8</v>
      </c>
      <c r="Z796" s="1016">
        <f>'09월 에너지'!S798</f>
        <v>145.1</v>
      </c>
      <c r="AA796" s="1017">
        <v>2425</v>
      </c>
      <c r="AB796" s="1208" t="s">
        <v>1054</v>
      </c>
      <c r="AC796" s="1208" t="s">
        <v>532</v>
      </c>
      <c r="AD796" s="1208"/>
      <c r="AE796" s="1208"/>
      <c r="AF796" s="1208" t="s">
        <v>532</v>
      </c>
      <c r="AG796" s="1018">
        <f>'09월 화학성분'!AM796</f>
        <v>2013</v>
      </c>
      <c r="AH796" s="1006">
        <f t="shared" si="167"/>
        <v>35</v>
      </c>
      <c r="AI796" s="1019">
        <v>1587</v>
      </c>
      <c r="AJ796" s="1020">
        <v>0</v>
      </c>
      <c r="AK796" s="1021">
        <v>627</v>
      </c>
      <c r="AL796" s="1022">
        <v>6</v>
      </c>
      <c r="AM796" s="1155">
        <f>IF(AT796="","",3*'09월 에너지'!S798*(1/(3+7.8*(100-AT796)/AT796)))</f>
        <v>1.2446194635059264</v>
      </c>
      <c r="AN796" s="1023">
        <v>0.15625</v>
      </c>
      <c r="AO796" s="1024"/>
      <c r="AP796" s="1025"/>
      <c r="AQ796" s="1025"/>
      <c r="AR796" s="1149">
        <f t="shared" si="168"/>
        <v>11</v>
      </c>
      <c r="AS796" s="1093" t="str">
        <f t="shared" si="179"/>
        <v xml:space="preserve"> </v>
      </c>
      <c r="AT796" s="1156">
        <v>2.2000000000000002</v>
      </c>
      <c r="AU796" s="449"/>
      <c r="AV796" s="1205"/>
    </row>
    <row r="797" spans="1:48" ht="16.5" customHeight="1">
      <c r="A797" s="1005">
        <f t="shared" si="169"/>
        <v>46294</v>
      </c>
      <c r="B797" s="1005">
        <f t="shared" si="170"/>
        <v>46294</v>
      </c>
      <c r="C797" s="1150">
        <f t="shared" si="171"/>
        <v>26</v>
      </c>
      <c r="D797" s="1150">
        <f t="shared" si="172"/>
        <v>786</v>
      </c>
      <c r="E797" s="1006" t="str">
        <f t="shared" si="173"/>
        <v>B</v>
      </c>
      <c r="F797" s="1007" t="str">
        <f t="shared" si="174"/>
        <v>B</v>
      </c>
      <c r="G797" s="1008">
        <f t="shared" si="175"/>
        <v>85999</v>
      </c>
      <c r="H797" s="1138">
        <f t="shared" si="176"/>
        <v>6.5277777777777782E-2</v>
      </c>
      <c r="I797" s="1009">
        <v>6.3194444444444442E-2</v>
      </c>
      <c r="J797" s="1010">
        <f t="shared" si="177"/>
        <v>44.999999999999993</v>
      </c>
      <c r="K797" s="1011"/>
      <c r="L797" s="1012"/>
      <c r="M797" s="1013"/>
      <c r="N797" s="1014" t="str">
        <f t="shared" si="178"/>
        <v/>
      </c>
      <c r="O797" s="1323"/>
      <c r="P797" s="1324"/>
      <c r="Q797" s="1324"/>
      <c r="R797" s="1324"/>
      <c r="S797" s="1324"/>
      <c r="T797" s="1325"/>
      <c r="U797" s="1015">
        <v>1.8</v>
      </c>
      <c r="V797" s="1015"/>
      <c r="W797" s="1015"/>
      <c r="X797" s="1015"/>
      <c r="Y797" s="1015">
        <v>2.6</v>
      </c>
      <c r="Z797" s="1016">
        <f>'09월 에너지'!S799</f>
        <v>147.4</v>
      </c>
      <c r="AA797" s="1017"/>
      <c r="AB797" s="1208"/>
      <c r="AC797" s="1208"/>
      <c r="AD797" s="1208"/>
      <c r="AE797" s="1208"/>
      <c r="AF797" s="1208"/>
      <c r="AG797" s="1018">
        <f>'09월 화학성분'!AM797</f>
        <v>1675</v>
      </c>
      <c r="AH797" s="1006">
        <f t="shared" si="167"/>
        <v>36</v>
      </c>
      <c r="AI797" s="1019">
        <v>1558</v>
      </c>
      <c r="AJ797" s="1020">
        <v>0</v>
      </c>
      <c r="AK797" s="1021">
        <v>768</v>
      </c>
      <c r="AL797" s="1022">
        <v>5</v>
      </c>
      <c r="AM797" s="1155">
        <f>IF(AT797="","",3*'09월 에너지'!S799*(1/(3+7.8*(100-AT797)/AT797)))</f>
        <v>1.5565550688360454</v>
      </c>
      <c r="AN797" s="1023">
        <v>0.15</v>
      </c>
      <c r="AO797" s="1024"/>
      <c r="AP797" s="1025"/>
      <c r="AQ797" s="1025"/>
      <c r="AR797" s="1149" t="str">
        <f t="shared" si="168"/>
        <v/>
      </c>
      <c r="AS797" s="1093">
        <f t="shared" si="179"/>
        <v>11</v>
      </c>
      <c r="AT797" s="1156">
        <v>2.7</v>
      </c>
      <c r="AU797" s="449"/>
      <c r="AV797" s="1205"/>
    </row>
    <row r="798" spans="1:48" ht="16.5" customHeight="1">
      <c r="A798" s="1005">
        <f t="shared" si="169"/>
        <v>46294</v>
      </c>
      <c r="B798" s="1005">
        <f t="shared" si="170"/>
        <v>46294</v>
      </c>
      <c r="C798" s="1150">
        <f t="shared" si="171"/>
        <v>27</v>
      </c>
      <c r="D798" s="1150">
        <f t="shared" si="172"/>
        <v>787</v>
      </c>
      <c r="E798" s="1006" t="str">
        <f t="shared" si="173"/>
        <v>B</v>
      </c>
      <c r="F798" s="1007" t="str">
        <f t="shared" si="174"/>
        <v>A</v>
      </c>
      <c r="G798" s="1008">
        <f t="shared" si="175"/>
        <v>86000</v>
      </c>
      <c r="H798" s="1138">
        <f t="shared" si="176"/>
        <v>9.6527777777777768E-2</v>
      </c>
      <c r="I798" s="1009">
        <v>9.5138888888888884E-2</v>
      </c>
      <c r="J798" s="1010">
        <f t="shared" si="177"/>
        <v>46</v>
      </c>
      <c r="K798" s="1011"/>
      <c r="L798" s="1012"/>
      <c r="M798" s="1013"/>
      <c r="N798" s="1014" t="str">
        <f t="shared" si="178"/>
        <v/>
      </c>
      <c r="O798" s="1323"/>
      <c r="P798" s="1324"/>
      <c r="Q798" s="1324"/>
      <c r="R798" s="1324"/>
      <c r="S798" s="1324"/>
      <c r="T798" s="1325"/>
      <c r="U798" s="1015">
        <v>1.8</v>
      </c>
      <c r="V798" s="1015"/>
      <c r="W798" s="1015"/>
      <c r="X798" s="1015"/>
      <c r="Y798" s="1015">
        <v>2.8</v>
      </c>
      <c r="Z798" s="1016">
        <f>'09월 에너지'!S800</f>
        <v>145.30000000000001</v>
      </c>
      <c r="AA798" s="1017"/>
      <c r="AB798" s="1208"/>
      <c r="AC798" s="1208"/>
      <c r="AD798" s="1208"/>
      <c r="AE798" s="1208"/>
      <c r="AF798" s="1208"/>
      <c r="AG798" s="1018">
        <f>'09월 화학성분'!AM798</f>
        <v>1216</v>
      </c>
      <c r="AH798" s="1006">
        <f t="shared" si="167"/>
        <v>37</v>
      </c>
      <c r="AI798" s="1019">
        <v>1599</v>
      </c>
      <c r="AJ798" s="1020">
        <v>0</v>
      </c>
      <c r="AK798" s="1021">
        <v>499</v>
      </c>
      <c r="AL798" s="1022">
        <v>8</v>
      </c>
      <c r="AM798" s="1155">
        <f>IF(AT798="","",3*'09월 에너지'!S800*(1/(3+7.8*(100-AT798)/AT798)))</f>
        <v>1.1316199376947043</v>
      </c>
      <c r="AN798" s="1023">
        <v>0.15625</v>
      </c>
      <c r="AO798" s="1024"/>
      <c r="AP798" s="1025"/>
      <c r="AQ798" s="1025"/>
      <c r="AR798" s="1149">
        <f t="shared" si="168"/>
        <v>12</v>
      </c>
      <c r="AS798" s="1093" t="str">
        <f t="shared" si="179"/>
        <v xml:space="preserve"> </v>
      </c>
      <c r="AT798" s="1156">
        <v>2</v>
      </c>
      <c r="AU798" s="449"/>
      <c r="AV798" s="1205"/>
    </row>
    <row r="799" spans="1:48" ht="16.5" customHeight="1">
      <c r="A799" s="1005">
        <f t="shared" si="169"/>
        <v>46294</v>
      </c>
      <c r="B799" s="1005">
        <f t="shared" si="170"/>
        <v>46294</v>
      </c>
      <c r="C799" s="1150">
        <f t="shared" si="171"/>
        <v>28</v>
      </c>
      <c r="D799" s="1150">
        <f t="shared" si="172"/>
        <v>788</v>
      </c>
      <c r="E799" s="1006" t="str">
        <f t="shared" si="173"/>
        <v>B</v>
      </c>
      <c r="F799" s="1007" t="str">
        <f t="shared" si="174"/>
        <v>B</v>
      </c>
      <c r="G799" s="1008">
        <f t="shared" si="175"/>
        <v>86001</v>
      </c>
      <c r="H799" s="1138">
        <f t="shared" si="176"/>
        <v>0.12847222222222221</v>
      </c>
      <c r="I799" s="1009">
        <v>0.1277777777777778</v>
      </c>
      <c r="J799" s="1010">
        <f t="shared" si="177"/>
        <v>47.000000000000036</v>
      </c>
      <c r="K799" s="1011"/>
      <c r="L799" s="1012"/>
      <c r="M799" s="1013"/>
      <c r="N799" s="1014" t="str">
        <f t="shared" si="178"/>
        <v/>
      </c>
      <c r="O799" s="1323" t="s">
        <v>957</v>
      </c>
      <c r="P799" s="1324"/>
      <c r="Q799" s="1324"/>
      <c r="R799" s="1324"/>
      <c r="S799" s="1324"/>
      <c r="T799" s="1325"/>
      <c r="U799" s="1015">
        <v>1.8</v>
      </c>
      <c r="V799" s="1015">
        <v>2.8</v>
      </c>
      <c r="W799" s="1015">
        <v>1.5</v>
      </c>
      <c r="X799" s="1015"/>
      <c r="Y799" s="1015"/>
      <c r="Z799" s="1016">
        <f>'09월 에너지'!S801</f>
        <v>145.30000000000001</v>
      </c>
      <c r="AA799" s="1017">
        <v>1121</v>
      </c>
      <c r="AB799" s="1208" t="s">
        <v>1054</v>
      </c>
      <c r="AC799" s="1208" t="s">
        <v>532</v>
      </c>
      <c r="AD799" s="1208"/>
      <c r="AE799" s="1208"/>
      <c r="AF799" s="1208" t="s">
        <v>532</v>
      </c>
      <c r="AG799" s="1018">
        <f>'09월 화학성분'!AM799</f>
        <v>1407</v>
      </c>
      <c r="AH799" s="1006">
        <f t="shared" si="167"/>
        <v>38</v>
      </c>
      <c r="AI799" s="1019">
        <v>1538</v>
      </c>
      <c r="AJ799" s="1020">
        <v>0</v>
      </c>
      <c r="AK799" s="1021">
        <v>578</v>
      </c>
      <c r="AL799" s="1022">
        <v>7</v>
      </c>
      <c r="AM799" s="1155">
        <f>IF(AT799="","",3*'09월 에너지'!S801*(1/(3+7.8*(100-AT799)/AT799)))</f>
        <v>2.1744643982356644</v>
      </c>
      <c r="AN799" s="1023">
        <v>0.16458333333333333</v>
      </c>
      <c r="AO799" s="1024" t="s">
        <v>587</v>
      </c>
      <c r="AP799" s="1025" t="s">
        <v>1042</v>
      </c>
      <c r="AQ799" s="1025">
        <v>2125</v>
      </c>
      <c r="AR799" s="1149" t="str">
        <f t="shared" si="168"/>
        <v/>
      </c>
      <c r="AS799" s="1093">
        <v>1</v>
      </c>
      <c r="AT799" s="1156">
        <v>3.8</v>
      </c>
      <c r="AU799" s="449"/>
      <c r="AV799" s="1205"/>
    </row>
    <row r="800" spans="1:48" ht="16.5" customHeight="1">
      <c r="A800" s="1005">
        <v>46295</v>
      </c>
      <c r="B800" s="1005">
        <f t="shared" si="170"/>
        <v>46294</v>
      </c>
      <c r="C800" s="1150">
        <f t="shared" si="171"/>
        <v>1</v>
      </c>
      <c r="D800" s="1150">
        <f t="shared" si="172"/>
        <v>789</v>
      </c>
      <c r="E800" s="1006" t="str">
        <f t="shared" si="173"/>
        <v>B</v>
      </c>
      <c r="F800" s="1007" t="str">
        <f t="shared" si="174"/>
        <v>A</v>
      </c>
      <c r="G800" s="1008">
        <f t="shared" si="175"/>
        <v>86002</v>
      </c>
      <c r="H800" s="1138">
        <f t="shared" si="176"/>
        <v>0.16111111111111112</v>
      </c>
      <c r="I800" s="1009">
        <v>0.16041666666666668</v>
      </c>
      <c r="J800" s="1010">
        <f t="shared" si="177"/>
        <v>46.999999999999993</v>
      </c>
      <c r="K800" s="1011"/>
      <c r="L800" s="1012"/>
      <c r="M800" s="1013"/>
      <c r="N800" s="1014" t="str">
        <f t="shared" si="178"/>
        <v/>
      </c>
      <c r="O800" s="1323"/>
      <c r="P800" s="1324"/>
      <c r="Q800" s="1324"/>
      <c r="R800" s="1324"/>
      <c r="S800" s="1324"/>
      <c r="T800" s="1325"/>
      <c r="U800" s="1015">
        <v>1.8</v>
      </c>
      <c r="V800" s="1015">
        <v>2.8</v>
      </c>
      <c r="W800" s="1015">
        <v>1.6</v>
      </c>
      <c r="X800" s="1015"/>
      <c r="Y800" s="1015"/>
      <c r="Z800" s="1016">
        <f>'09월 에너지'!S802</f>
        <v>145.69999999999999</v>
      </c>
      <c r="AA800" s="1017"/>
      <c r="AB800" s="1208"/>
      <c r="AC800" s="1208"/>
      <c r="AD800" s="1208"/>
      <c r="AE800" s="1208"/>
      <c r="AF800" s="1208"/>
      <c r="AG800" s="1018">
        <f>'09월 화학성분'!AM800</f>
        <v>1590</v>
      </c>
      <c r="AH800" s="1006">
        <f t="shared" si="167"/>
        <v>39</v>
      </c>
      <c r="AI800" s="1019">
        <v>1589</v>
      </c>
      <c r="AJ800" s="1020">
        <v>0</v>
      </c>
      <c r="AK800" s="1021">
        <v>564</v>
      </c>
      <c r="AL800" s="1022">
        <v>7</v>
      </c>
      <c r="AM800" s="1155">
        <f>IF(AT800="","",3*'09월 에너지'!S802*(1/(3+7.8*(100-AT800)/AT800)))</f>
        <v>0.90553138595400862</v>
      </c>
      <c r="AN800" s="1023">
        <v>0.16111111111111112</v>
      </c>
      <c r="AO800" s="1024"/>
      <c r="AP800" s="1025"/>
      <c r="AQ800" s="1025"/>
      <c r="AR800" s="1149">
        <f t="shared" si="168"/>
        <v>13</v>
      </c>
      <c r="AS800" s="1093" t="str">
        <f t="shared" si="179"/>
        <v xml:space="preserve"> </v>
      </c>
      <c r="AT800" s="1156">
        <v>1.6</v>
      </c>
      <c r="AU800" s="449"/>
      <c r="AV800" s="1205"/>
    </row>
    <row r="801" spans="1:48" ht="16.5" customHeight="1">
      <c r="A801" s="1005">
        <f t="shared" si="169"/>
        <v>46295</v>
      </c>
      <c r="B801" s="1005">
        <f t="shared" si="170"/>
        <v>46294</v>
      </c>
      <c r="C801" s="1150">
        <f t="shared" si="171"/>
        <v>2</v>
      </c>
      <c r="D801" s="1150">
        <f t="shared" si="172"/>
        <v>790</v>
      </c>
      <c r="E801" s="1006" t="str">
        <f t="shared" si="173"/>
        <v>B</v>
      </c>
      <c r="F801" s="1007" t="str">
        <f t="shared" si="174"/>
        <v>B</v>
      </c>
      <c r="G801" s="1008">
        <f t="shared" si="175"/>
        <v>86003</v>
      </c>
      <c r="H801" s="1138">
        <f t="shared" si="176"/>
        <v>0.19375000000000001</v>
      </c>
      <c r="I801" s="1009">
        <v>0.19375000000000001</v>
      </c>
      <c r="J801" s="1010">
        <f t="shared" si="177"/>
        <v>47.999999999999986</v>
      </c>
      <c r="K801" s="1011"/>
      <c r="L801" s="1012"/>
      <c r="M801" s="1013"/>
      <c r="N801" s="1014" t="str">
        <f t="shared" si="178"/>
        <v/>
      </c>
      <c r="O801" s="1323"/>
      <c r="P801" s="1324"/>
      <c r="Q801" s="1324"/>
      <c r="R801" s="1324"/>
      <c r="S801" s="1324"/>
      <c r="T801" s="1325"/>
      <c r="U801" s="1015">
        <v>1.8</v>
      </c>
      <c r="V801" s="1015"/>
      <c r="W801" s="1015"/>
      <c r="X801" s="1015"/>
      <c r="Y801" s="1015">
        <v>2.5</v>
      </c>
      <c r="Z801" s="1016">
        <f>'09월 에너지'!S803</f>
        <v>146.80000000000001</v>
      </c>
      <c r="AA801" s="1017"/>
      <c r="AB801" s="1208"/>
      <c r="AC801" s="1208"/>
      <c r="AD801" s="1208"/>
      <c r="AE801" s="1208"/>
      <c r="AF801" s="1208"/>
      <c r="AG801" s="1018">
        <f>'09월 화학성분'!AM801</f>
        <v>2198</v>
      </c>
      <c r="AH801" s="1006">
        <f t="shared" si="167"/>
        <v>40</v>
      </c>
      <c r="AI801" s="1019">
        <v>1566</v>
      </c>
      <c r="AJ801" s="1020">
        <v>47</v>
      </c>
      <c r="AK801" s="1021">
        <v>550</v>
      </c>
      <c r="AL801" s="1022">
        <v>7</v>
      </c>
      <c r="AM801" s="1155">
        <f>IF(AT801="","",3*'09월 에너지'!S803*(1/(3+7.8*(100-AT801)/AT801)))</f>
        <v>2.7327313054499371</v>
      </c>
      <c r="AN801" s="1023">
        <v>0.15138888888888888</v>
      </c>
      <c r="AO801" s="1024"/>
      <c r="AP801" s="1025"/>
      <c r="AQ801" s="1025"/>
      <c r="AR801" s="1149" t="str">
        <f t="shared" si="168"/>
        <v/>
      </c>
      <c r="AS801" s="1093">
        <f t="shared" si="179"/>
        <v>2</v>
      </c>
      <c r="AT801" s="1156">
        <v>4.7</v>
      </c>
      <c r="AU801" s="449"/>
      <c r="AV801" s="1205"/>
    </row>
    <row r="802" spans="1:48" ht="16.5" customHeight="1">
      <c r="A802" s="1005">
        <f t="shared" si="169"/>
        <v>46295</v>
      </c>
      <c r="B802" s="1005">
        <f t="shared" si="170"/>
        <v>46294</v>
      </c>
      <c r="C802" s="1150">
        <f t="shared" si="171"/>
        <v>3</v>
      </c>
      <c r="D802" s="1150">
        <f t="shared" si="172"/>
        <v>791</v>
      </c>
      <c r="E802" s="1006" t="str">
        <f t="shared" si="173"/>
        <v>B</v>
      </c>
      <c r="F802" s="1007" t="str">
        <f t="shared" si="174"/>
        <v>A</v>
      </c>
      <c r="G802" s="1008">
        <f t="shared" si="175"/>
        <v>86004</v>
      </c>
      <c r="H802" s="1138">
        <f t="shared" si="176"/>
        <v>0.22708333333333333</v>
      </c>
      <c r="I802" s="1009">
        <v>0.22708333333333333</v>
      </c>
      <c r="J802" s="1010">
        <f t="shared" si="177"/>
        <v>47.999999999999986</v>
      </c>
      <c r="K802" s="1011"/>
      <c r="L802" s="1012"/>
      <c r="M802" s="1013"/>
      <c r="N802" s="1014" t="str">
        <f t="shared" si="178"/>
        <v/>
      </c>
      <c r="O802" s="1323" t="s">
        <v>1056</v>
      </c>
      <c r="P802" s="1324"/>
      <c r="Q802" s="1324"/>
      <c r="R802" s="1324"/>
      <c r="S802" s="1324"/>
      <c r="T802" s="1325"/>
      <c r="U802" s="1015">
        <v>1.8</v>
      </c>
      <c r="V802" s="1015"/>
      <c r="W802" s="1015"/>
      <c r="X802" s="1015"/>
      <c r="Y802" s="1015">
        <v>2.8</v>
      </c>
      <c r="Z802" s="1016">
        <f>'09월 에너지'!S804</f>
        <v>146.4</v>
      </c>
      <c r="AA802" s="1017"/>
      <c r="AB802" s="1208"/>
      <c r="AC802" s="1208"/>
      <c r="AD802" s="1208"/>
      <c r="AE802" s="1208"/>
      <c r="AF802" s="1208"/>
      <c r="AG802" s="1018">
        <f>'09월 화학성분'!AM802</f>
        <v>1957</v>
      </c>
      <c r="AH802" s="1006">
        <f t="shared" si="167"/>
        <v>41</v>
      </c>
      <c r="AI802" s="1019">
        <v>1591</v>
      </c>
      <c r="AJ802" s="1020">
        <v>198</v>
      </c>
      <c r="AK802" s="1021">
        <v>604</v>
      </c>
      <c r="AL802" s="1022">
        <v>6</v>
      </c>
      <c r="AM802" s="1155">
        <f>IF(AT802="","",3*'09월 에너지'!S804*(1/(3+7.8*(100-AT802)/AT802)))</f>
        <v>1.4296875000000002</v>
      </c>
      <c r="AN802" s="1023">
        <v>0.15833333333333333</v>
      </c>
      <c r="AO802" s="1024" t="s">
        <v>587</v>
      </c>
      <c r="AP802" s="1025" t="s">
        <v>1042</v>
      </c>
      <c r="AQ802" s="1025">
        <v>2125</v>
      </c>
      <c r="AR802" s="1149">
        <v>1</v>
      </c>
      <c r="AS802" s="1093" t="str">
        <f t="shared" si="179"/>
        <v xml:space="preserve"> </v>
      </c>
      <c r="AT802" s="1156">
        <v>2.5</v>
      </c>
      <c r="AU802" s="449"/>
      <c r="AV802" s="1205"/>
    </row>
    <row r="803" spans="1:48" ht="16.5" customHeight="1">
      <c r="A803" s="1005">
        <f t="shared" si="169"/>
        <v>46295</v>
      </c>
      <c r="B803" s="1005">
        <f t="shared" si="170"/>
        <v>46294</v>
      </c>
      <c r="C803" s="1150">
        <f t="shared" si="171"/>
        <v>4</v>
      </c>
      <c r="D803" s="1150">
        <f t="shared" si="172"/>
        <v>792</v>
      </c>
      <c r="E803" s="1006" t="str">
        <f t="shared" si="173"/>
        <v>B</v>
      </c>
      <c r="F803" s="1007" t="str">
        <f t="shared" si="174"/>
        <v>B</v>
      </c>
      <c r="G803" s="1008">
        <f t="shared" si="175"/>
        <v>86005</v>
      </c>
      <c r="H803" s="1138">
        <f t="shared" si="176"/>
        <v>0.26041666666666669</v>
      </c>
      <c r="I803" s="1009">
        <v>0.25833333333333336</v>
      </c>
      <c r="J803" s="1010">
        <f t="shared" si="177"/>
        <v>45.000000000000043</v>
      </c>
      <c r="K803" s="1011"/>
      <c r="L803" s="1012"/>
      <c r="M803" s="1013"/>
      <c r="N803" s="1014" t="str">
        <f t="shared" si="178"/>
        <v/>
      </c>
      <c r="O803" s="1323"/>
      <c r="P803" s="1324"/>
      <c r="Q803" s="1324"/>
      <c r="R803" s="1324"/>
      <c r="S803" s="1324"/>
      <c r="T803" s="1325"/>
      <c r="U803" s="1015">
        <v>1.8</v>
      </c>
      <c r="V803" s="1015">
        <v>2.6</v>
      </c>
      <c r="W803" s="1015">
        <v>1.4</v>
      </c>
      <c r="X803" s="1015"/>
      <c r="Y803" s="1015"/>
      <c r="Z803" s="1016">
        <f>'09월 에너지'!S805</f>
        <v>144.69999999999999</v>
      </c>
      <c r="AA803" s="1017"/>
      <c r="AB803" s="1208"/>
      <c r="AC803" s="1208"/>
      <c r="AD803" s="1208"/>
      <c r="AE803" s="1208"/>
      <c r="AF803" s="1208"/>
      <c r="AG803" s="1018">
        <f>'09월 화학성분'!AM803</f>
        <v>1866</v>
      </c>
      <c r="AH803" s="1006">
        <f t="shared" si="167"/>
        <v>42</v>
      </c>
      <c r="AI803" s="1019">
        <v>1550</v>
      </c>
      <c r="AJ803" s="1020">
        <v>0</v>
      </c>
      <c r="AK803" s="1021">
        <v>518</v>
      </c>
      <c r="AL803" s="1022">
        <v>8</v>
      </c>
      <c r="AM803" s="1155">
        <f>IF(AT803="","",3*'09월 에너지'!S805*(1/(3+7.8*(100-AT803)/AT803)))</f>
        <v>1.3557151780137413</v>
      </c>
      <c r="AN803" s="1023">
        <v>0.15</v>
      </c>
      <c r="AO803" s="1024"/>
      <c r="AP803" s="1025"/>
      <c r="AQ803" s="1025"/>
      <c r="AR803" s="1149" t="str">
        <f t="shared" si="168"/>
        <v/>
      </c>
      <c r="AS803" s="1093">
        <f t="shared" si="179"/>
        <v>3</v>
      </c>
      <c r="AT803" s="1156">
        <v>2.4</v>
      </c>
      <c r="AU803" s="449"/>
      <c r="AV803" s="1205"/>
    </row>
    <row r="804" spans="1:48" ht="16.5" customHeight="1">
      <c r="A804" s="1005">
        <f t="shared" si="169"/>
        <v>46295</v>
      </c>
      <c r="B804" s="1005">
        <v>46295</v>
      </c>
      <c r="C804" s="1150">
        <f t="shared" si="171"/>
        <v>5</v>
      </c>
      <c r="D804" s="1150">
        <f t="shared" si="172"/>
        <v>793</v>
      </c>
      <c r="E804" s="1006" t="s">
        <v>582</v>
      </c>
      <c r="F804" s="1007" t="str">
        <f t="shared" si="174"/>
        <v>A</v>
      </c>
      <c r="G804" s="1008">
        <f t="shared" si="175"/>
        <v>86006</v>
      </c>
      <c r="H804" s="1138">
        <f t="shared" si="176"/>
        <v>0.29166666666666669</v>
      </c>
      <c r="I804" s="1009">
        <v>0.2902777777777778</v>
      </c>
      <c r="J804" s="1010">
        <f t="shared" si="177"/>
        <v>46</v>
      </c>
      <c r="K804" s="1011"/>
      <c r="L804" s="1012"/>
      <c r="M804" s="1013"/>
      <c r="N804" s="1014" t="str">
        <f t="shared" si="178"/>
        <v/>
      </c>
      <c r="O804" s="1323"/>
      <c r="P804" s="1324"/>
      <c r="Q804" s="1324"/>
      <c r="R804" s="1324"/>
      <c r="S804" s="1324"/>
      <c r="T804" s="1325"/>
      <c r="U804" s="1015">
        <v>1.8</v>
      </c>
      <c r="V804" s="1015">
        <v>2.9</v>
      </c>
      <c r="W804" s="1015">
        <v>1.5</v>
      </c>
      <c r="X804" s="1015"/>
      <c r="Y804" s="1015"/>
      <c r="Z804" s="1016">
        <f>'09월 에너지'!S806</f>
        <v>144.30000000000001</v>
      </c>
      <c r="AA804" s="1017"/>
      <c r="AB804" s="1208"/>
      <c r="AC804" s="1208"/>
      <c r="AD804" s="1208"/>
      <c r="AE804" s="1208"/>
      <c r="AF804" s="1208"/>
      <c r="AG804" s="1018">
        <f>'09월 화학성분'!AM804</f>
        <v>1419</v>
      </c>
      <c r="AH804" s="1006">
        <f t="shared" si="167"/>
        <v>43</v>
      </c>
      <c r="AI804" s="1019">
        <v>1571</v>
      </c>
      <c r="AJ804" s="1020">
        <v>98</v>
      </c>
      <c r="AK804" s="1021">
        <v>522</v>
      </c>
      <c r="AL804" s="1022">
        <v>8</v>
      </c>
      <c r="AM804" s="1155">
        <f>IF(AT804="","",3*'09월 에너지'!S806*(1/(3+7.8*(100-AT804)/AT804)))</f>
        <v>1.6963166144200628</v>
      </c>
      <c r="AN804" s="1023">
        <v>0.14861111111111111</v>
      </c>
      <c r="AO804" s="1024"/>
      <c r="AP804" s="1025"/>
      <c r="AQ804" s="1025"/>
      <c r="AR804" s="1149">
        <f t="shared" si="168"/>
        <v>2</v>
      </c>
      <c r="AS804" s="1093" t="str">
        <f t="shared" si="179"/>
        <v xml:space="preserve"> </v>
      </c>
      <c r="AT804" s="1156">
        <v>3</v>
      </c>
      <c r="AU804" s="449"/>
      <c r="AV804" s="1205"/>
    </row>
    <row r="805" spans="1:48" ht="16.5" customHeight="1">
      <c r="A805" s="1005">
        <f t="shared" si="169"/>
        <v>46295</v>
      </c>
      <c r="B805" s="1005">
        <f t="shared" si="170"/>
        <v>46295</v>
      </c>
      <c r="C805" s="1150">
        <f t="shared" si="171"/>
        <v>6</v>
      </c>
      <c r="D805" s="1150">
        <f t="shared" si="172"/>
        <v>794</v>
      </c>
      <c r="E805" s="1006" t="str">
        <f t="shared" si="173"/>
        <v>C</v>
      </c>
      <c r="F805" s="1007" t="str">
        <f t="shared" si="174"/>
        <v>B</v>
      </c>
      <c r="G805" s="1008">
        <f t="shared" si="175"/>
        <v>86007</v>
      </c>
      <c r="H805" s="1138">
        <f t="shared" si="176"/>
        <v>0.32361111111111113</v>
      </c>
      <c r="I805" s="1009">
        <v>0.32291666666666669</v>
      </c>
      <c r="J805" s="1010">
        <f t="shared" si="177"/>
        <v>46.999999999999993</v>
      </c>
      <c r="K805" s="1011"/>
      <c r="L805" s="1012"/>
      <c r="M805" s="1013"/>
      <c r="N805" s="1014" t="str">
        <f t="shared" si="178"/>
        <v/>
      </c>
      <c r="O805" s="1323"/>
      <c r="P805" s="1324"/>
      <c r="Q805" s="1324"/>
      <c r="R805" s="1324"/>
      <c r="S805" s="1324"/>
      <c r="T805" s="1325"/>
      <c r="U805" s="1015">
        <v>1.8</v>
      </c>
      <c r="V805" s="1015"/>
      <c r="W805" s="1015"/>
      <c r="X805" s="1015"/>
      <c r="Y805" s="1015">
        <v>2.8</v>
      </c>
      <c r="Z805" s="1016">
        <f>'09월 에너지'!S807</f>
        <v>145.19999999999999</v>
      </c>
      <c r="AA805" s="1017"/>
      <c r="AB805" s="1208"/>
      <c r="AC805" s="1208"/>
      <c r="AD805" s="1208"/>
      <c r="AE805" s="1208"/>
      <c r="AF805" s="1208"/>
      <c r="AG805" s="1018">
        <f>'09월 화학성분'!AM805</f>
        <v>1314</v>
      </c>
      <c r="AH805" s="1006">
        <f t="shared" si="167"/>
        <v>44</v>
      </c>
      <c r="AI805" s="1019">
        <v>1578</v>
      </c>
      <c r="AJ805" s="1020">
        <v>0</v>
      </c>
      <c r="AK805" s="1021">
        <v>469</v>
      </c>
      <c r="AL805" s="1022">
        <v>9</v>
      </c>
      <c r="AM805" s="1155">
        <f>IF(AT805="","",3*'09월 에너지'!S807*(1/(3+7.8*(100-AT805)/AT805)))</f>
        <v>1.3029026217228461</v>
      </c>
      <c r="AN805" s="1023">
        <v>0.16041666666666668</v>
      </c>
      <c r="AO805" s="1024"/>
      <c r="AP805" s="1025"/>
      <c r="AQ805" s="1025"/>
      <c r="AR805" s="1149" t="str">
        <f t="shared" si="168"/>
        <v/>
      </c>
      <c r="AS805" s="1093">
        <f t="shared" si="179"/>
        <v>4</v>
      </c>
      <c r="AT805" s="1156">
        <v>2.2999999999999998</v>
      </c>
      <c r="AU805" s="449"/>
      <c r="AV805" s="1205"/>
    </row>
    <row r="806" spans="1:48" ht="16.5" customHeight="1">
      <c r="A806" s="1005">
        <f t="shared" si="169"/>
        <v>46295</v>
      </c>
      <c r="B806" s="1005">
        <f t="shared" si="170"/>
        <v>46295</v>
      </c>
      <c r="C806" s="1150">
        <f t="shared" si="171"/>
        <v>7</v>
      </c>
      <c r="D806" s="1150">
        <f t="shared" si="172"/>
        <v>795</v>
      </c>
      <c r="E806" s="1006" t="str">
        <f t="shared" si="173"/>
        <v>C</v>
      </c>
      <c r="F806" s="1007" t="str">
        <f t="shared" si="174"/>
        <v>A</v>
      </c>
      <c r="G806" s="1008">
        <f t="shared" si="175"/>
        <v>86008</v>
      </c>
      <c r="H806" s="1138">
        <f t="shared" si="176"/>
        <v>0.35625000000000001</v>
      </c>
      <c r="I806" s="1009">
        <v>0.35694444444444445</v>
      </c>
      <c r="J806" s="1010">
        <f t="shared" si="177"/>
        <v>48.999999999999986</v>
      </c>
      <c r="K806" s="1011"/>
      <c r="L806" s="1012"/>
      <c r="M806" s="1013"/>
      <c r="N806" s="1014" t="str">
        <f t="shared" si="178"/>
        <v/>
      </c>
      <c r="O806" s="1323"/>
      <c r="P806" s="1324"/>
      <c r="Q806" s="1324"/>
      <c r="R806" s="1324"/>
      <c r="S806" s="1324"/>
      <c r="T806" s="1325"/>
      <c r="U806" s="1015">
        <v>1.8</v>
      </c>
      <c r="V806" s="1015"/>
      <c r="W806" s="1015"/>
      <c r="X806" s="1015"/>
      <c r="Y806" s="1015">
        <v>2.5</v>
      </c>
      <c r="Z806" s="1016">
        <f>'09월 에너지'!S808</f>
        <v>143.30000000000001</v>
      </c>
      <c r="AA806" s="1017"/>
      <c r="AB806" s="1208"/>
      <c r="AC806" s="1208"/>
      <c r="AD806" s="1208"/>
      <c r="AE806" s="1208"/>
      <c r="AF806" s="1208"/>
      <c r="AG806" s="1018">
        <f>'09월 화학성분'!AM806</f>
        <v>2249</v>
      </c>
      <c r="AH806" s="1006">
        <f t="shared" si="167"/>
        <v>45</v>
      </c>
      <c r="AI806" s="1019">
        <v>1585</v>
      </c>
      <c r="AJ806" s="1020">
        <v>12</v>
      </c>
      <c r="AK806" s="1021">
        <v>595</v>
      </c>
      <c r="AL806" s="1022">
        <v>7</v>
      </c>
      <c r="AM806" s="1155">
        <f>IF(AT806="","",3*'09월 에너지'!S808*(1/(3+7.8*(100-AT806)/AT806)))</f>
        <v>1.1160436137071652</v>
      </c>
      <c r="AN806" s="1023">
        <v>0.14444444444444446</v>
      </c>
      <c r="AO806" s="1024"/>
      <c r="AP806" s="1025"/>
      <c r="AQ806" s="1025"/>
      <c r="AR806" s="1149">
        <f t="shared" si="168"/>
        <v>3</v>
      </c>
      <c r="AS806" s="1093" t="str">
        <f t="shared" si="179"/>
        <v xml:space="preserve"> </v>
      </c>
      <c r="AT806" s="1156">
        <v>2</v>
      </c>
      <c r="AU806" s="449"/>
      <c r="AV806" s="1205"/>
    </row>
    <row r="807" spans="1:48" ht="16.5" customHeight="1">
      <c r="A807" s="1005">
        <f t="shared" si="169"/>
        <v>46295</v>
      </c>
      <c r="B807" s="1005">
        <f t="shared" si="170"/>
        <v>46295</v>
      </c>
      <c r="C807" s="1150">
        <f t="shared" si="171"/>
        <v>8</v>
      </c>
      <c r="D807" s="1150">
        <f t="shared" si="172"/>
        <v>796</v>
      </c>
      <c r="E807" s="1006" t="str">
        <f t="shared" si="173"/>
        <v>C</v>
      </c>
      <c r="F807" s="1007" t="str">
        <f t="shared" si="174"/>
        <v>B</v>
      </c>
      <c r="G807" s="1008">
        <f t="shared" si="175"/>
        <v>86009</v>
      </c>
      <c r="H807" s="1138">
        <f t="shared" si="176"/>
        <v>0.39027777777777778</v>
      </c>
      <c r="I807" s="1009">
        <v>0.3888888888888889</v>
      </c>
      <c r="J807" s="1010">
        <f t="shared" si="177"/>
        <v>46</v>
      </c>
      <c r="K807" s="1011"/>
      <c r="L807" s="1012"/>
      <c r="M807" s="1013"/>
      <c r="N807" s="1014" t="str">
        <f t="shared" si="178"/>
        <v/>
      </c>
      <c r="O807" s="1323"/>
      <c r="P807" s="1324"/>
      <c r="Q807" s="1324"/>
      <c r="R807" s="1324"/>
      <c r="S807" s="1324"/>
      <c r="T807" s="1325"/>
      <c r="U807" s="1015">
        <v>1.8</v>
      </c>
      <c r="V807" s="1015"/>
      <c r="W807" s="1015"/>
      <c r="X807" s="1015">
        <v>3.5</v>
      </c>
      <c r="Y807" s="1015"/>
      <c r="Z807" s="1016">
        <f>'09월 에너지'!S809</f>
        <v>145.1</v>
      </c>
      <c r="AA807" s="1017"/>
      <c r="AB807" s="1208"/>
      <c r="AC807" s="1208"/>
      <c r="AD807" s="1208"/>
      <c r="AE807" s="1208"/>
      <c r="AF807" s="1208"/>
      <c r="AG807" s="1018">
        <f>'09월 화학성분'!AM807</f>
        <v>1154</v>
      </c>
      <c r="AH807" s="1006">
        <f t="shared" si="167"/>
        <v>46</v>
      </c>
      <c r="AI807" s="1019">
        <v>1564</v>
      </c>
      <c r="AJ807" s="1020">
        <v>0</v>
      </c>
      <c r="AK807" s="1021">
        <v>739</v>
      </c>
      <c r="AL807" s="1022">
        <v>5</v>
      </c>
      <c r="AM807" s="1155">
        <f>IF(AT807="","",3*'09월 에너지'!S809*(1/(3+7.8*(100-AT807)/AT807)))</f>
        <v>0.67467451952882818</v>
      </c>
      <c r="AN807" s="1023">
        <v>0.15694444444444444</v>
      </c>
      <c r="AO807" s="1024"/>
      <c r="AP807" s="1025"/>
      <c r="AQ807" s="1025"/>
      <c r="AR807" s="1149" t="str">
        <f t="shared" si="168"/>
        <v/>
      </c>
      <c r="AS807" s="1093">
        <f t="shared" si="179"/>
        <v>5</v>
      </c>
      <c r="AT807" s="1156">
        <v>1.2</v>
      </c>
      <c r="AU807" s="449"/>
      <c r="AV807" s="1205"/>
    </row>
    <row r="808" spans="1:48" ht="16.5" customHeight="1">
      <c r="A808" s="1005">
        <f t="shared" si="169"/>
        <v>46295</v>
      </c>
      <c r="B808" s="1005">
        <f t="shared" si="170"/>
        <v>46295</v>
      </c>
      <c r="C808" s="1150">
        <f t="shared" si="171"/>
        <v>9</v>
      </c>
      <c r="D808" s="1150">
        <f t="shared" si="172"/>
        <v>797</v>
      </c>
      <c r="E808" s="1006" t="str">
        <f t="shared" si="173"/>
        <v>C</v>
      </c>
      <c r="F808" s="1007" t="str">
        <f t="shared" si="174"/>
        <v>A</v>
      </c>
      <c r="G808" s="1008">
        <f t="shared" si="175"/>
        <v>86010</v>
      </c>
      <c r="H808" s="1138">
        <f t="shared" si="176"/>
        <v>0.42222222222222222</v>
      </c>
      <c r="I808" s="1009">
        <v>0.4201388888888889</v>
      </c>
      <c r="J808" s="1010">
        <f t="shared" si="177"/>
        <v>45</v>
      </c>
      <c r="K808" s="1011"/>
      <c r="L808" s="1012"/>
      <c r="M808" s="1013"/>
      <c r="N808" s="1014" t="str">
        <f t="shared" si="178"/>
        <v/>
      </c>
      <c r="O808" s="1323"/>
      <c r="P808" s="1324"/>
      <c r="Q808" s="1324"/>
      <c r="R808" s="1324"/>
      <c r="S808" s="1324"/>
      <c r="T808" s="1325"/>
      <c r="U808" s="1015">
        <v>1.8</v>
      </c>
      <c r="V808" s="1015"/>
      <c r="W808" s="1015"/>
      <c r="X808" s="1015">
        <v>3.6</v>
      </c>
      <c r="Y808" s="1015"/>
      <c r="Z808" s="1016">
        <f>'09월 에너지'!S810</f>
        <v>144.80000000000001</v>
      </c>
      <c r="AA808" s="1017"/>
      <c r="AB808" s="1208"/>
      <c r="AC808" s="1208"/>
      <c r="AD808" s="1208"/>
      <c r="AE808" s="1208"/>
      <c r="AF808" s="1208"/>
      <c r="AG808" s="1018">
        <f>'09월 화학성분'!AM808</f>
        <v>1565</v>
      </c>
      <c r="AH808" s="1006">
        <f t="shared" si="167"/>
        <v>47</v>
      </c>
      <c r="AI808" s="1019">
        <v>1574</v>
      </c>
      <c r="AJ808" s="1020">
        <v>87</v>
      </c>
      <c r="AK808" s="1021">
        <v>688</v>
      </c>
      <c r="AL808" s="1022">
        <v>6</v>
      </c>
      <c r="AM808" s="1155">
        <f>IF(AT808="","",3*'09월 에너지'!S810*(1/(3+7.8*(100-AT808)/AT808)))</f>
        <v>1.4715447154471546</v>
      </c>
      <c r="AN808" s="1023">
        <v>0.14166666666666666</v>
      </c>
      <c r="AO808" s="1024"/>
      <c r="AP808" s="1025"/>
      <c r="AQ808" s="1025"/>
      <c r="AR808" s="1149">
        <f t="shared" si="168"/>
        <v>4</v>
      </c>
      <c r="AS808" s="1093" t="str">
        <f t="shared" si="179"/>
        <v xml:space="preserve"> </v>
      </c>
      <c r="AT808" s="1156">
        <v>2.6</v>
      </c>
      <c r="AU808" s="449"/>
      <c r="AV808" s="1205" t="s">
        <v>708</v>
      </c>
    </row>
    <row r="809" spans="1:48" ht="16.5" customHeight="1">
      <c r="A809" s="1005">
        <f t="shared" si="169"/>
        <v>46295</v>
      </c>
      <c r="B809" s="1005">
        <f t="shared" si="170"/>
        <v>46295</v>
      </c>
      <c r="C809" s="1150">
        <f t="shared" si="171"/>
        <v>10</v>
      </c>
      <c r="D809" s="1150">
        <f t="shared" si="172"/>
        <v>798</v>
      </c>
      <c r="E809" s="1006" t="str">
        <f t="shared" si="173"/>
        <v>C</v>
      </c>
      <c r="F809" s="1007" t="str">
        <f t="shared" si="174"/>
        <v>B</v>
      </c>
      <c r="G809" s="1008">
        <f t="shared" si="175"/>
        <v>86011</v>
      </c>
      <c r="H809" s="1138">
        <f t="shared" si="176"/>
        <v>0.45347222222222222</v>
      </c>
      <c r="I809" s="1009">
        <v>0.45347222222222222</v>
      </c>
      <c r="J809" s="1010">
        <f t="shared" si="177"/>
        <v>47.999999999999986</v>
      </c>
      <c r="K809" s="1011">
        <v>2</v>
      </c>
      <c r="L809" s="1012"/>
      <c r="M809" s="1013">
        <v>0.43124999999999997</v>
      </c>
      <c r="N809" s="1014">
        <f t="shared" si="178"/>
        <v>0.43263888888888885</v>
      </c>
      <c r="O809" s="1323" t="s">
        <v>674</v>
      </c>
      <c r="P809" s="1324"/>
      <c r="Q809" s="1324"/>
      <c r="R809" s="1324"/>
      <c r="S809" s="1324"/>
      <c r="T809" s="1325"/>
      <c r="U809" s="1015">
        <v>1.8</v>
      </c>
      <c r="V809" s="1015"/>
      <c r="W809" s="1015"/>
      <c r="X809" s="1015"/>
      <c r="Y809" s="1015">
        <v>2.6</v>
      </c>
      <c r="Z809" s="1016">
        <f>'09월 에너지'!S811</f>
        <v>145.19999999999999</v>
      </c>
      <c r="AA809" s="1017"/>
      <c r="AB809" s="1208"/>
      <c r="AC809" s="1208"/>
      <c r="AD809" s="1208"/>
      <c r="AE809" s="1208"/>
      <c r="AF809" s="1208"/>
      <c r="AG809" s="1018">
        <f>'09월 화학성분'!AM809</f>
        <v>1414</v>
      </c>
      <c r="AH809" s="1006">
        <f t="shared" si="167"/>
        <v>48</v>
      </c>
      <c r="AI809" s="1019">
        <v>1548</v>
      </c>
      <c r="AJ809" s="1020">
        <v>0</v>
      </c>
      <c r="AK809" s="1021">
        <v>450</v>
      </c>
      <c r="AL809" s="1022">
        <v>9</v>
      </c>
      <c r="AM809" s="1155">
        <f>IF(AT809="","",3*'09월 에너지'!S811*(1/(3+7.8*(100-AT809)/AT809)))</f>
        <v>1.0164903546981952</v>
      </c>
      <c r="AN809" s="1023">
        <v>0.15277777777777776</v>
      </c>
      <c r="AO809" s="1024"/>
      <c r="AP809" s="1025"/>
      <c r="AQ809" s="1025"/>
      <c r="AR809" s="1149" t="str">
        <f t="shared" si="168"/>
        <v/>
      </c>
      <c r="AS809" s="1093">
        <f t="shared" si="179"/>
        <v>6</v>
      </c>
      <c r="AT809" s="1156">
        <v>1.8</v>
      </c>
      <c r="AU809" s="449"/>
      <c r="AV809" s="1205"/>
    </row>
    <row r="810" spans="1:48" ht="16.5" customHeight="1">
      <c r="A810" s="1005">
        <f t="shared" si="169"/>
        <v>46295</v>
      </c>
      <c r="B810" s="1005">
        <f t="shared" si="170"/>
        <v>46295</v>
      </c>
      <c r="C810" s="1150">
        <f t="shared" si="171"/>
        <v>11</v>
      </c>
      <c r="D810" s="1150">
        <f t="shared" si="172"/>
        <v>799</v>
      </c>
      <c r="E810" s="1006" t="str">
        <f t="shared" si="173"/>
        <v>C</v>
      </c>
      <c r="F810" s="1007" t="str">
        <f t="shared" si="174"/>
        <v>A</v>
      </c>
      <c r="G810" s="1008">
        <f t="shared" si="175"/>
        <v>86012</v>
      </c>
      <c r="H810" s="1138">
        <f t="shared" si="176"/>
        <v>0.48680555555555555</v>
      </c>
      <c r="I810" s="1009">
        <v>0.48888888888888887</v>
      </c>
      <c r="J810" s="1010">
        <f t="shared" si="177"/>
        <v>50.999999999999979</v>
      </c>
      <c r="K810" s="1011"/>
      <c r="L810" s="1012"/>
      <c r="M810" s="1013"/>
      <c r="N810" s="1014" t="str">
        <f t="shared" si="178"/>
        <v/>
      </c>
      <c r="O810" s="1323" t="s">
        <v>1057</v>
      </c>
      <c r="P810" s="1324"/>
      <c r="Q810" s="1324"/>
      <c r="R810" s="1324"/>
      <c r="S810" s="1324"/>
      <c r="T810" s="1325"/>
      <c r="U810" s="1015">
        <v>1.8</v>
      </c>
      <c r="V810" s="1015"/>
      <c r="W810" s="1015"/>
      <c r="X810" s="1015"/>
      <c r="Y810" s="1015">
        <v>2.7</v>
      </c>
      <c r="Z810" s="1016">
        <f>'09월 에너지'!S812</f>
        <v>145.69999999999999</v>
      </c>
      <c r="AA810" s="1017">
        <v>2611</v>
      </c>
      <c r="AB810" s="1208" t="s">
        <v>573</v>
      </c>
      <c r="AC810" s="1208" t="s">
        <v>548</v>
      </c>
      <c r="AD810" s="1208"/>
      <c r="AE810" s="1208"/>
      <c r="AF810" s="1208" t="s">
        <v>1058</v>
      </c>
      <c r="AG810" s="1018">
        <f>'09월 화학성분'!AM810</f>
        <v>1717</v>
      </c>
      <c r="AH810" s="1006">
        <f t="shared" si="167"/>
        <v>49</v>
      </c>
      <c r="AI810" s="1019">
        <v>1568</v>
      </c>
      <c r="AJ810" s="1020">
        <v>0</v>
      </c>
      <c r="AK810" s="1021">
        <v>1024</v>
      </c>
      <c r="AL810" s="1022">
        <v>3</v>
      </c>
      <c r="AM810" s="1155">
        <f>IF(AT810="","",3*'09월 에너지'!S812*(1/(3+7.8*(100-AT810)/AT810)))</f>
        <v>1.5965873512836566</v>
      </c>
      <c r="AN810" s="1023">
        <v>0.15138888888888888</v>
      </c>
      <c r="AO810" s="1024"/>
      <c r="AP810" s="1025"/>
      <c r="AQ810" s="1025"/>
      <c r="AR810" s="1149">
        <f t="shared" si="168"/>
        <v>5</v>
      </c>
      <c r="AS810" s="1093" t="str">
        <f t="shared" si="179"/>
        <v xml:space="preserve"> </v>
      </c>
      <c r="AT810" s="1156">
        <v>2.8</v>
      </c>
      <c r="AU810" s="449"/>
      <c r="AV810" s="1205"/>
    </row>
    <row r="811" spans="1:48" ht="16.5" customHeight="1">
      <c r="A811" s="1005">
        <f t="shared" si="169"/>
        <v>46295</v>
      </c>
      <c r="B811" s="1005">
        <f t="shared" si="170"/>
        <v>46295</v>
      </c>
      <c r="C811" s="1150">
        <f t="shared" si="171"/>
        <v>12</v>
      </c>
      <c r="D811" s="1150">
        <f t="shared" si="172"/>
        <v>800</v>
      </c>
      <c r="E811" s="1006" t="str">
        <f t="shared" si="173"/>
        <v>C</v>
      </c>
      <c r="F811" s="1007" t="str">
        <f t="shared" si="174"/>
        <v>B</v>
      </c>
      <c r="G811" s="1008">
        <f t="shared" si="175"/>
        <v>86013</v>
      </c>
      <c r="H811" s="1138">
        <f t="shared" si="176"/>
        <v>0.52222222222222225</v>
      </c>
      <c r="I811" s="1009">
        <v>0.52222222222222225</v>
      </c>
      <c r="J811" s="1010">
        <f t="shared" si="177"/>
        <v>48.000000000000071</v>
      </c>
      <c r="K811" s="1011"/>
      <c r="L811" s="1012">
        <v>3</v>
      </c>
      <c r="M811" s="1013"/>
      <c r="N811" s="1014" t="str">
        <f t="shared" si="178"/>
        <v/>
      </c>
      <c r="O811" s="1323" t="s">
        <v>1059</v>
      </c>
      <c r="P811" s="1324"/>
      <c r="Q811" s="1324"/>
      <c r="R811" s="1324"/>
      <c r="S811" s="1324"/>
      <c r="T811" s="1325"/>
      <c r="U811" s="1015">
        <v>1.8</v>
      </c>
      <c r="V811" s="1015"/>
      <c r="W811" s="1015"/>
      <c r="X811" s="1015"/>
      <c r="Y811" s="1015">
        <v>2.7</v>
      </c>
      <c r="Z811" s="1016">
        <f>'09월 에너지'!S813</f>
        <v>147.69999999999999</v>
      </c>
      <c r="AA811" s="1017"/>
      <c r="AB811" s="1208"/>
      <c r="AC811" s="1208"/>
      <c r="AD811" s="1208"/>
      <c r="AE811" s="1208"/>
      <c r="AF811" s="1208"/>
      <c r="AG811" s="1018">
        <f>'09월 화학성분'!AM811</f>
        <v>3250</v>
      </c>
      <c r="AH811" s="1006">
        <f t="shared" si="167"/>
        <v>50</v>
      </c>
      <c r="AI811" s="1019">
        <v>1540</v>
      </c>
      <c r="AJ811" s="1020">
        <v>0</v>
      </c>
      <c r="AK811" s="1021">
        <v>394</v>
      </c>
      <c r="AL811" s="1022">
        <v>11</v>
      </c>
      <c r="AM811" s="1155">
        <f>IF(AT811="","",3*'09월 에너지'!S813*(1/(3+7.8*(100-AT811)/AT811)))</f>
        <v>0.62914343246592308</v>
      </c>
      <c r="AN811" s="1023">
        <v>0.15833333333333333</v>
      </c>
      <c r="AO811" s="1024"/>
      <c r="AP811" s="1025"/>
      <c r="AQ811" s="1025"/>
      <c r="AR811" s="1149" t="str">
        <f t="shared" si="168"/>
        <v/>
      </c>
      <c r="AS811" s="1093">
        <f t="shared" si="179"/>
        <v>7</v>
      </c>
      <c r="AT811" s="1156">
        <v>1.1000000000000001</v>
      </c>
      <c r="AU811" s="449"/>
      <c r="AV811" s="1205"/>
    </row>
    <row r="812" spans="1:48" ht="16.5" customHeight="1">
      <c r="A812" s="1005">
        <f t="shared" si="169"/>
        <v>46295</v>
      </c>
      <c r="B812" s="1005">
        <f t="shared" si="170"/>
        <v>46295</v>
      </c>
      <c r="C812" s="1150">
        <f t="shared" si="171"/>
        <v>13</v>
      </c>
      <c r="D812" s="1150">
        <f t="shared" si="172"/>
        <v>801</v>
      </c>
      <c r="E812" s="1006" t="str">
        <f t="shared" si="173"/>
        <v>C</v>
      </c>
      <c r="F812" s="1007" t="str">
        <f t="shared" si="174"/>
        <v>A</v>
      </c>
      <c r="G812" s="1008">
        <f t="shared" si="175"/>
        <v>86014</v>
      </c>
      <c r="H812" s="1138">
        <f t="shared" si="176"/>
        <v>0.55555555555555558</v>
      </c>
      <c r="I812" s="1009">
        <v>0.55625000000000002</v>
      </c>
      <c r="J812" s="1010">
        <f t="shared" si="177"/>
        <v>48.999999999999986</v>
      </c>
      <c r="K812" s="1011"/>
      <c r="L812" s="1012"/>
      <c r="M812" s="1013"/>
      <c r="N812" s="1014" t="str">
        <f t="shared" si="178"/>
        <v/>
      </c>
      <c r="O812" s="1323"/>
      <c r="P812" s="1324"/>
      <c r="Q812" s="1324"/>
      <c r="R812" s="1324"/>
      <c r="S812" s="1324"/>
      <c r="T812" s="1325"/>
      <c r="U812" s="1015">
        <v>1.8</v>
      </c>
      <c r="V812" s="1015"/>
      <c r="W812" s="1015"/>
      <c r="X812" s="1015"/>
      <c r="Y812" s="1015">
        <v>2.6</v>
      </c>
      <c r="Z812" s="1016">
        <f>'09월 에너지'!S814</f>
        <v>145.4</v>
      </c>
      <c r="AA812" s="1017"/>
      <c r="AB812" s="1208"/>
      <c r="AC812" s="1208"/>
      <c r="AD812" s="1208"/>
      <c r="AE812" s="1208"/>
      <c r="AF812" s="1208"/>
      <c r="AG812" s="1018">
        <f>'09월 화학성분'!AM812</f>
        <v>3017</v>
      </c>
      <c r="AH812" s="1006">
        <f t="shared" si="167"/>
        <v>51</v>
      </c>
      <c r="AI812" s="1019">
        <v>1562</v>
      </c>
      <c r="AJ812" s="1020">
        <v>0</v>
      </c>
      <c r="AK812" s="1021">
        <v>935</v>
      </c>
      <c r="AL812" s="1022">
        <v>4</v>
      </c>
      <c r="AM812" s="1155">
        <f>IF(AT812="","",3*'09월 에너지'!S814*(1/(3+7.8*(100-AT812)/AT812)))</f>
        <v>0.28047839506172845</v>
      </c>
      <c r="AN812" s="1023">
        <v>0.17569444444444446</v>
      </c>
      <c r="AO812" s="1024"/>
      <c r="AP812" s="1025"/>
      <c r="AQ812" s="1025"/>
      <c r="AR812" s="1149">
        <f t="shared" si="168"/>
        <v>6</v>
      </c>
      <c r="AS812" s="1093" t="str">
        <f t="shared" si="179"/>
        <v xml:space="preserve"> </v>
      </c>
      <c r="AT812" s="1156">
        <v>0.5</v>
      </c>
      <c r="AU812" s="449"/>
      <c r="AV812" s="1205"/>
    </row>
    <row r="813" spans="1:48" ht="16.5" customHeight="1">
      <c r="A813" s="1005">
        <f t="shared" si="169"/>
        <v>46295</v>
      </c>
      <c r="B813" s="1005">
        <f t="shared" si="170"/>
        <v>46295</v>
      </c>
      <c r="C813" s="1150">
        <f t="shared" si="171"/>
        <v>14</v>
      </c>
      <c r="D813" s="1150">
        <f t="shared" si="172"/>
        <v>802</v>
      </c>
      <c r="E813" s="1006" t="str">
        <f t="shared" si="173"/>
        <v>C</v>
      </c>
      <c r="F813" s="1007" t="str">
        <f t="shared" si="174"/>
        <v>B</v>
      </c>
      <c r="G813" s="1008">
        <f t="shared" si="175"/>
        <v>86015</v>
      </c>
      <c r="H813" s="1138">
        <f t="shared" si="176"/>
        <v>0.58958333333333335</v>
      </c>
      <c r="I813" s="1009">
        <v>0.59236111111111112</v>
      </c>
      <c r="J813" s="1010">
        <f t="shared" si="177"/>
        <v>51.999999999999972</v>
      </c>
      <c r="K813" s="1011"/>
      <c r="L813" s="1012"/>
      <c r="M813" s="1013"/>
      <c r="N813" s="1014" t="str">
        <f t="shared" si="178"/>
        <v/>
      </c>
      <c r="O813" s="1323" t="s">
        <v>1060</v>
      </c>
      <c r="P813" s="1324"/>
      <c r="Q813" s="1324"/>
      <c r="R813" s="1324"/>
      <c r="S813" s="1324"/>
      <c r="T813" s="1325"/>
      <c r="U813" s="1015">
        <v>1.8</v>
      </c>
      <c r="V813" s="1015">
        <v>2.7</v>
      </c>
      <c r="W813" s="1015">
        <v>1.4</v>
      </c>
      <c r="X813" s="1015"/>
      <c r="Y813" s="1015"/>
      <c r="Z813" s="1016">
        <f>'09월 에너지'!S815</f>
        <v>145.69999999999999</v>
      </c>
      <c r="AA813" s="1017">
        <v>2474</v>
      </c>
      <c r="AB813" s="1208" t="s">
        <v>573</v>
      </c>
      <c r="AC813" s="1208" t="s">
        <v>532</v>
      </c>
      <c r="AD813" s="1208" t="s">
        <v>548</v>
      </c>
      <c r="AE813" s="1208"/>
      <c r="AF813" s="1208" t="s">
        <v>532</v>
      </c>
      <c r="AG813" s="1018">
        <f>'09월 화학성분'!AM813</f>
        <v>1284</v>
      </c>
      <c r="AH813" s="1006">
        <f t="shared" si="167"/>
        <v>52</v>
      </c>
      <c r="AI813" s="1019">
        <v>1540</v>
      </c>
      <c r="AJ813" s="1020">
        <v>0</v>
      </c>
      <c r="AK813" s="1021">
        <v>391</v>
      </c>
      <c r="AL813" s="1022">
        <v>14</v>
      </c>
      <c r="AM813" s="1155">
        <f>IF(AT813="","",3*'09월 에너지'!S815*(1/(3+7.8*(100-AT813)/AT813)))</f>
        <v>5.6072967980295561E-2</v>
      </c>
      <c r="AN813" s="1023">
        <v>0.15208333333333332</v>
      </c>
      <c r="AO813" s="1024"/>
      <c r="AP813" s="1025"/>
      <c r="AQ813" s="1025"/>
      <c r="AR813" s="1149" t="str">
        <f t="shared" si="168"/>
        <v/>
      </c>
      <c r="AS813" s="1093">
        <f t="shared" si="179"/>
        <v>8</v>
      </c>
      <c r="AT813" s="1156">
        <v>0.1</v>
      </c>
      <c r="AU813" s="449"/>
      <c r="AV813" s="1205"/>
    </row>
    <row r="814" spans="1:48" ht="16.5" customHeight="1">
      <c r="A814" s="1005">
        <f t="shared" si="169"/>
        <v>46295</v>
      </c>
      <c r="B814" s="1005">
        <f t="shared" si="170"/>
        <v>46295</v>
      </c>
      <c r="C814" s="1150">
        <f t="shared" si="171"/>
        <v>15</v>
      </c>
      <c r="D814" s="1150">
        <f t="shared" si="172"/>
        <v>803</v>
      </c>
      <c r="E814" s="1006" t="s">
        <v>558</v>
      </c>
      <c r="F814" s="1007" t="str">
        <f t="shared" si="174"/>
        <v>A</v>
      </c>
      <c r="G814" s="1008">
        <f t="shared" si="175"/>
        <v>86016</v>
      </c>
      <c r="H814" s="1138">
        <f t="shared" si="176"/>
        <v>0.62569444444444444</v>
      </c>
      <c r="I814" s="1009">
        <v>0.62222222222222223</v>
      </c>
      <c r="J814" s="1010">
        <f t="shared" si="177"/>
        <v>43.000000000000007</v>
      </c>
      <c r="K814" s="1011"/>
      <c r="L814" s="1012"/>
      <c r="M814" s="1013"/>
      <c r="N814" s="1014" t="str">
        <f t="shared" si="178"/>
        <v/>
      </c>
      <c r="O814" s="1323"/>
      <c r="P814" s="1324"/>
      <c r="Q814" s="1324"/>
      <c r="R814" s="1324"/>
      <c r="S814" s="1324"/>
      <c r="T814" s="1325"/>
      <c r="U814" s="1015">
        <v>1.8</v>
      </c>
      <c r="V814" s="1015">
        <v>2.7</v>
      </c>
      <c r="W814" s="1015">
        <v>1.3</v>
      </c>
      <c r="X814" s="1015"/>
      <c r="Y814" s="1015"/>
      <c r="Z814" s="1016">
        <f>'09월 에너지'!S816</f>
        <v>145.19999999999999</v>
      </c>
      <c r="AA814" s="1017"/>
      <c r="AB814" s="1208"/>
      <c r="AC814" s="1208"/>
      <c r="AD814" s="1208"/>
      <c r="AE814" s="1208"/>
      <c r="AF814" s="1208"/>
      <c r="AG814" s="1018">
        <f>'09월 화학성분'!AM814</f>
        <v>2457</v>
      </c>
      <c r="AH814" s="1235">
        <v>1</v>
      </c>
      <c r="AI814" s="1019">
        <v>1579</v>
      </c>
      <c r="AJ814" s="1020">
        <v>51</v>
      </c>
      <c r="AK814" s="1021">
        <v>726</v>
      </c>
      <c r="AL814" s="1022">
        <v>5</v>
      </c>
      <c r="AM814" s="1155">
        <f>IF(AT814="","",3*'09월 에너지'!S816*(1/(3+7.8*(100-AT814)/AT814)))</f>
        <v>1.475609756097561</v>
      </c>
      <c r="AN814" s="1023">
        <v>0.14444444444444446</v>
      </c>
      <c r="AO814" s="1024"/>
      <c r="AP814" s="1025"/>
      <c r="AQ814" s="1025"/>
      <c r="AR814" s="1149">
        <f t="shared" si="168"/>
        <v>7</v>
      </c>
      <c r="AS814" s="1093" t="str">
        <f t="shared" si="179"/>
        <v xml:space="preserve"> </v>
      </c>
      <c r="AT814" s="1156">
        <v>2.6</v>
      </c>
      <c r="AU814" s="449"/>
      <c r="AV814" s="1205"/>
    </row>
    <row r="815" spans="1:48" ht="16.5" customHeight="1">
      <c r="A815" s="1005">
        <f t="shared" si="169"/>
        <v>46295</v>
      </c>
      <c r="B815" s="1005">
        <f t="shared" si="170"/>
        <v>46295</v>
      </c>
      <c r="C815" s="1150">
        <f t="shared" si="171"/>
        <v>16</v>
      </c>
      <c r="D815" s="1150">
        <f t="shared" si="172"/>
        <v>804</v>
      </c>
      <c r="E815" s="1006" t="str">
        <f t="shared" si="173"/>
        <v>D</v>
      </c>
      <c r="F815" s="1007" t="str">
        <f t="shared" si="174"/>
        <v>B</v>
      </c>
      <c r="G815" s="1008">
        <f t="shared" si="175"/>
        <v>86017</v>
      </c>
      <c r="H815" s="1138">
        <f t="shared" si="176"/>
        <v>0.65555555555555556</v>
      </c>
      <c r="I815" s="1009">
        <v>0.65277777777777779</v>
      </c>
      <c r="J815" s="1010">
        <f t="shared" si="177"/>
        <v>44</v>
      </c>
      <c r="K815" s="1011"/>
      <c r="L815" s="1012"/>
      <c r="M815" s="1013"/>
      <c r="N815" s="1014" t="str">
        <f t="shared" si="178"/>
        <v/>
      </c>
      <c r="O815" s="1323"/>
      <c r="P815" s="1324"/>
      <c r="Q815" s="1324"/>
      <c r="R815" s="1324"/>
      <c r="S815" s="1324"/>
      <c r="T815" s="1325"/>
      <c r="U815" s="1015">
        <v>1.8</v>
      </c>
      <c r="V815" s="1015"/>
      <c r="W815" s="1015"/>
      <c r="X815" s="1015"/>
      <c r="Y815" s="1015">
        <v>2.8</v>
      </c>
      <c r="Z815" s="1016">
        <f>'09월 에너지'!S817</f>
        <v>144.9</v>
      </c>
      <c r="AA815" s="1017"/>
      <c r="AB815" s="1208"/>
      <c r="AC815" s="1208"/>
      <c r="AD815" s="1208"/>
      <c r="AE815" s="1208"/>
      <c r="AF815" s="1208"/>
      <c r="AG815" s="1018">
        <f>'09월 화학성분'!AM815</f>
        <v>685</v>
      </c>
      <c r="AH815" s="1006">
        <f t="shared" si="167"/>
        <v>2</v>
      </c>
      <c r="AI815" s="1019">
        <v>1559</v>
      </c>
      <c r="AJ815" s="1020">
        <v>0</v>
      </c>
      <c r="AK815" s="1021">
        <v>615</v>
      </c>
      <c r="AL815" s="1022">
        <v>6</v>
      </c>
      <c r="AM815" s="1155">
        <f>IF(AT815="","",3*'09월 에너지'!S817*(1/(3+7.8*(100-AT815)/AT815)))</f>
        <v>0.73034274193548387</v>
      </c>
      <c r="AN815" s="1023">
        <v>0.1361111111111111</v>
      </c>
      <c r="AO815" s="1024"/>
      <c r="AP815" s="1025"/>
      <c r="AQ815" s="1025"/>
      <c r="AR815" s="1149" t="str">
        <f t="shared" si="168"/>
        <v/>
      </c>
      <c r="AS815" s="1093">
        <f t="shared" si="179"/>
        <v>9</v>
      </c>
      <c r="AT815" s="1156">
        <v>1.3</v>
      </c>
      <c r="AU815" s="449"/>
      <c r="AV815" s="1205"/>
    </row>
    <row r="816" spans="1:48" s="1137" customFormat="1" ht="16.5" customHeight="1">
      <c r="A816" s="1005">
        <f t="shared" si="169"/>
        <v>46295</v>
      </c>
      <c r="B816" s="1005">
        <f t="shared" si="170"/>
        <v>46295</v>
      </c>
      <c r="C816" s="1150">
        <f t="shared" si="171"/>
        <v>17</v>
      </c>
      <c r="D816" s="1150">
        <f t="shared" si="172"/>
        <v>805</v>
      </c>
      <c r="E816" s="1006" t="str">
        <f t="shared" si="173"/>
        <v>D</v>
      </c>
      <c r="F816" s="1007" t="str">
        <f t="shared" si="174"/>
        <v>A</v>
      </c>
      <c r="G816" s="1008">
        <f t="shared" si="175"/>
        <v>86018</v>
      </c>
      <c r="H816" s="1138">
        <f t="shared" si="176"/>
        <v>0.68611111111111112</v>
      </c>
      <c r="I816" s="1009">
        <v>0.68472222222222223</v>
      </c>
      <c r="J816" s="1010">
        <f t="shared" si="177"/>
        <v>46</v>
      </c>
      <c r="K816" s="1011"/>
      <c r="L816" s="1012"/>
      <c r="M816" s="1013"/>
      <c r="N816" s="1014" t="str">
        <f t="shared" si="178"/>
        <v/>
      </c>
      <c r="O816" s="1323"/>
      <c r="P816" s="1324"/>
      <c r="Q816" s="1324"/>
      <c r="R816" s="1324"/>
      <c r="S816" s="1324"/>
      <c r="T816" s="1325"/>
      <c r="U816" s="1015">
        <v>1.8</v>
      </c>
      <c r="V816" s="1015"/>
      <c r="W816" s="1015"/>
      <c r="X816" s="1015"/>
      <c r="Y816" s="1015">
        <v>2.7</v>
      </c>
      <c r="Z816" s="1016">
        <f>'09월 에너지'!S818</f>
        <v>144.30000000000001</v>
      </c>
      <c r="AA816" s="1017"/>
      <c r="AB816" s="1208"/>
      <c r="AC816" s="1208"/>
      <c r="AD816" s="1208"/>
      <c r="AE816" s="1208"/>
      <c r="AF816" s="1208"/>
      <c r="AG816" s="1018">
        <f>'09월 화학성분'!AM816</f>
        <v>2198</v>
      </c>
      <c r="AH816" s="1006">
        <f t="shared" si="167"/>
        <v>3</v>
      </c>
      <c r="AI816" s="1019">
        <v>1579</v>
      </c>
      <c r="AJ816" s="1020">
        <v>0</v>
      </c>
      <c r="AK816" s="1021">
        <v>685</v>
      </c>
      <c r="AL816" s="1022">
        <v>6</v>
      </c>
      <c r="AM816" s="1155">
        <f>IF(AT816="","",3*'09월 에너지'!S818*(1/(3+7.8*(100-AT816)/AT816)))</f>
        <v>0.84025621118012439</v>
      </c>
      <c r="AN816" s="1023">
        <v>0.14930555555555555</v>
      </c>
      <c r="AO816" s="1024"/>
      <c r="AP816" s="1025"/>
      <c r="AQ816" s="1025"/>
      <c r="AR816" s="1149">
        <f t="shared" si="168"/>
        <v>8</v>
      </c>
      <c r="AS816" s="1093" t="str">
        <f t="shared" si="179"/>
        <v xml:space="preserve"> </v>
      </c>
      <c r="AT816" s="1156">
        <v>1.5</v>
      </c>
      <c r="AU816" s="449"/>
      <c r="AV816" s="1205"/>
    </row>
    <row r="817" spans="1:48" ht="16.5" customHeight="1">
      <c r="A817" s="1005">
        <f t="shared" si="169"/>
        <v>46295</v>
      </c>
      <c r="B817" s="1005">
        <f t="shared" si="170"/>
        <v>46295</v>
      </c>
      <c r="C817" s="1150">
        <f t="shared" si="171"/>
        <v>18</v>
      </c>
      <c r="D817" s="1150">
        <f t="shared" si="172"/>
        <v>806</v>
      </c>
      <c r="E817" s="1006" t="str">
        <f t="shared" si="173"/>
        <v>D</v>
      </c>
      <c r="F817" s="1007" t="str">
        <f t="shared" si="174"/>
        <v>B</v>
      </c>
      <c r="G817" s="1008">
        <f t="shared" si="175"/>
        <v>86019</v>
      </c>
      <c r="H817" s="1138">
        <f t="shared" si="176"/>
        <v>0.71805555555555556</v>
      </c>
      <c r="I817" s="1009">
        <v>0.71736111111111101</v>
      </c>
      <c r="J817" s="1010">
        <f t="shared" si="177"/>
        <v>46.999999999999829</v>
      </c>
      <c r="K817" s="1011"/>
      <c r="L817" s="1012">
        <v>2</v>
      </c>
      <c r="M817" s="1013"/>
      <c r="N817" s="1014" t="str">
        <f t="shared" si="178"/>
        <v/>
      </c>
      <c r="O817" s="1323" t="s">
        <v>674</v>
      </c>
      <c r="P817" s="1324"/>
      <c r="Q817" s="1324"/>
      <c r="R817" s="1324"/>
      <c r="S817" s="1324"/>
      <c r="T817" s="1325"/>
      <c r="U817" s="1015">
        <v>1.8</v>
      </c>
      <c r="V817" s="1015">
        <v>2.6</v>
      </c>
      <c r="W817" s="1015">
        <v>1.4</v>
      </c>
      <c r="X817" s="1015"/>
      <c r="Y817" s="1015"/>
      <c r="Z817" s="1016">
        <f>'09월 에너지'!S819</f>
        <v>144.80000000000001</v>
      </c>
      <c r="AA817" s="1017"/>
      <c r="AB817" s="1208"/>
      <c r="AC817" s="1208"/>
      <c r="AD817" s="1208"/>
      <c r="AE817" s="1208"/>
      <c r="AF817" s="1208"/>
      <c r="AG817" s="1018">
        <f>'09월 화학성분'!AM817</f>
        <v>1351</v>
      </c>
      <c r="AH817" s="1006">
        <f t="shared" si="167"/>
        <v>4</v>
      </c>
      <c r="AI817" s="1019">
        <v>1569</v>
      </c>
      <c r="AJ817" s="1020">
        <v>0</v>
      </c>
      <c r="AK817" s="1021">
        <v>708</v>
      </c>
      <c r="AL817" s="1022">
        <v>5</v>
      </c>
      <c r="AM817" s="1155">
        <f>IF(AT817="","",3*'09월 에너지'!S819*(1/(3+7.8*(100-AT817)/AT817)))</f>
        <v>1.2420461634435438</v>
      </c>
      <c r="AN817" s="1023">
        <v>0.1388888888888889</v>
      </c>
      <c r="AO817" s="1024"/>
      <c r="AP817" s="1025"/>
      <c r="AQ817" s="1025"/>
      <c r="AR817" s="1149" t="str">
        <f t="shared" si="168"/>
        <v/>
      </c>
      <c r="AS817" s="1093">
        <f t="shared" si="179"/>
        <v>10</v>
      </c>
      <c r="AT817" s="1156">
        <v>2.2000000000000002</v>
      </c>
      <c r="AU817" s="449"/>
      <c r="AV817" s="1205"/>
    </row>
    <row r="818" spans="1:48" ht="16.5" customHeight="1">
      <c r="A818" s="1005">
        <f t="shared" si="169"/>
        <v>46295</v>
      </c>
      <c r="B818" s="1005">
        <f t="shared" si="170"/>
        <v>46295</v>
      </c>
      <c r="C818" s="1150">
        <f t="shared" si="171"/>
        <v>19</v>
      </c>
      <c r="D818" s="1150">
        <f t="shared" si="172"/>
        <v>807</v>
      </c>
      <c r="E818" s="1006" t="str">
        <f t="shared" si="173"/>
        <v>D</v>
      </c>
      <c r="F818" s="1007" t="str">
        <f t="shared" si="174"/>
        <v>A</v>
      </c>
      <c r="G818" s="1008">
        <f t="shared" si="175"/>
        <v>86020</v>
      </c>
      <c r="H818" s="1138">
        <f t="shared" si="176"/>
        <v>0.75069444444444433</v>
      </c>
      <c r="I818" s="1009">
        <v>0.74791666666666667</v>
      </c>
      <c r="J818" s="1010">
        <f t="shared" si="177"/>
        <v>44.000000000000163</v>
      </c>
      <c r="K818" s="1011"/>
      <c r="L818" s="1012"/>
      <c r="M818" s="1013"/>
      <c r="N818" s="1014" t="str">
        <f t="shared" si="178"/>
        <v/>
      </c>
      <c r="O818" s="1323"/>
      <c r="P818" s="1324"/>
      <c r="Q818" s="1324"/>
      <c r="R818" s="1324"/>
      <c r="S818" s="1324"/>
      <c r="T818" s="1325"/>
      <c r="U818" s="1015">
        <v>1.8</v>
      </c>
      <c r="V818" s="1015">
        <v>2.9</v>
      </c>
      <c r="W818" s="1015">
        <v>1.7</v>
      </c>
      <c r="X818" s="1015"/>
      <c r="Y818" s="1015"/>
      <c r="Z818" s="1016">
        <f>'09월 에너지'!S820</f>
        <v>142.6</v>
      </c>
      <c r="AA818" s="1017"/>
      <c r="AB818" s="1208"/>
      <c r="AC818" s="1208"/>
      <c r="AD818" s="1208"/>
      <c r="AE818" s="1208"/>
      <c r="AF818" s="1208"/>
      <c r="AG818" s="1018">
        <f>'09월 화학성분'!AM818</f>
        <v>3007</v>
      </c>
      <c r="AH818" s="1006">
        <f t="shared" si="167"/>
        <v>5</v>
      </c>
      <c r="AI818" s="1019">
        <v>1584</v>
      </c>
      <c r="AJ818" s="1020">
        <v>0</v>
      </c>
      <c r="AK818" s="1021">
        <v>749</v>
      </c>
      <c r="AL818" s="1022">
        <v>5</v>
      </c>
      <c r="AM818" s="1155">
        <f>IF(AT818="","",3*'09월 에너지'!S820*(1/(3+7.8*(100-AT818)/AT818)))</f>
        <v>1.2231752963194011</v>
      </c>
      <c r="AN818" s="1023">
        <v>0.15208333333333332</v>
      </c>
      <c r="AO818" s="1024"/>
      <c r="AP818" s="1025"/>
      <c r="AQ818" s="1025"/>
      <c r="AR818" s="1149">
        <f t="shared" si="168"/>
        <v>9</v>
      </c>
      <c r="AS818" s="1093" t="str">
        <f t="shared" si="179"/>
        <v xml:space="preserve"> </v>
      </c>
      <c r="AT818" s="1156">
        <v>2.2000000000000002</v>
      </c>
      <c r="AU818" s="449"/>
      <c r="AV818" s="1205"/>
    </row>
    <row r="819" spans="1:48" ht="16.5" customHeight="1">
      <c r="A819" s="1005">
        <f t="shared" si="169"/>
        <v>46295</v>
      </c>
      <c r="B819" s="1005">
        <f t="shared" si="170"/>
        <v>46295</v>
      </c>
      <c r="C819" s="1150">
        <f t="shared" si="171"/>
        <v>20</v>
      </c>
      <c r="D819" s="1150">
        <f t="shared" si="172"/>
        <v>808</v>
      </c>
      <c r="E819" s="1006" t="str">
        <f t="shared" si="173"/>
        <v>D</v>
      </c>
      <c r="F819" s="1007" t="str">
        <f t="shared" si="174"/>
        <v>B</v>
      </c>
      <c r="G819" s="1008">
        <f t="shared" si="175"/>
        <v>86021</v>
      </c>
      <c r="H819" s="1138">
        <f t="shared" si="176"/>
        <v>0.78125</v>
      </c>
      <c r="I819" s="1009">
        <v>0.77916666666666667</v>
      </c>
      <c r="J819" s="1010">
        <f t="shared" si="177"/>
        <v>45</v>
      </c>
      <c r="K819" s="1011"/>
      <c r="L819" s="1012"/>
      <c r="M819" s="1013"/>
      <c r="N819" s="1014" t="str">
        <f t="shared" si="178"/>
        <v/>
      </c>
      <c r="O819" s="1323"/>
      <c r="P819" s="1324"/>
      <c r="Q819" s="1324"/>
      <c r="R819" s="1324"/>
      <c r="S819" s="1324"/>
      <c r="T819" s="1325"/>
      <c r="U819" s="1015">
        <v>1.8</v>
      </c>
      <c r="V819" s="1015"/>
      <c r="W819" s="1015"/>
      <c r="X819" s="1015"/>
      <c r="Y819" s="1015">
        <v>2.7</v>
      </c>
      <c r="Z819" s="1016">
        <f>'09월 에너지'!S821</f>
        <v>146.1</v>
      </c>
      <c r="AA819" s="1017"/>
      <c r="AB819" s="1208"/>
      <c r="AC819" s="1208"/>
      <c r="AD819" s="1208"/>
      <c r="AE819" s="1208"/>
      <c r="AF819" s="1208"/>
      <c r="AG819" s="1018">
        <f>'09월 화학성분'!AM819</f>
        <v>1375</v>
      </c>
      <c r="AH819" s="1006">
        <f t="shared" si="167"/>
        <v>6</v>
      </c>
      <c r="AI819" s="1019">
        <v>1588</v>
      </c>
      <c r="AJ819" s="1020">
        <v>0</v>
      </c>
      <c r="AK819" s="1021">
        <v>735</v>
      </c>
      <c r="AL819" s="1022">
        <v>5</v>
      </c>
      <c r="AM819" s="1155">
        <f>IF(AT819="","",3*'09월 에너지'!S821*(1/(3+7.8*(100-AT819)/AT819)))</f>
        <v>0.85073757763975155</v>
      </c>
      <c r="AN819" s="1023">
        <v>0.14652777777777778</v>
      </c>
      <c r="AO819" s="1024"/>
      <c r="AP819" s="1025"/>
      <c r="AQ819" s="1025"/>
      <c r="AR819" s="1149" t="str">
        <f t="shared" si="168"/>
        <v/>
      </c>
      <c r="AS819" s="1093">
        <f t="shared" si="179"/>
        <v>11</v>
      </c>
      <c r="AT819" s="1156">
        <v>1.5</v>
      </c>
      <c r="AU819" s="449"/>
      <c r="AV819" s="1205"/>
    </row>
    <row r="820" spans="1:48" ht="16.5" customHeight="1">
      <c r="A820" s="1005">
        <f t="shared" si="169"/>
        <v>46295</v>
      </c>
      <c r="B820" s="1005">
        <f t="shared" si="170"/>
        <v>46295</v>
      </c>
      <c r="C820" s="1150">
        <f t="shared" si="171"/>
        <v>21</v>
      </c>
      <c r="D820" s="1150">
        <f t="shared" si="172"/>
        <v>809</v>
      </c>
      <c r="E820" s="1006" t="str">
        <f t="shared" si="173"/>
        <v>D</v>
      </c>
      <c r="F820" s="1007" t="str">
        <f t="shared" si="174"/>
        <v>A</v>
      </c>
      <c r="G820" s="1008">
        <f t="shared" si="175"/>
        <v>86022</v>
      </c>
      <c r="H820" s="1138">
        <f t="shared" si="176"/>
        <v>0.8125</v>
      </c>
      <c r="I820" s="1009">
        <v>0.81111111111111101</v>
      </c>
      <c r="J820" s="1010">
        <f t="shared" si="177"/>
        <v>45.999999999999837</v>
      </c>
      <c r="K820" s="1011"/>
      <c r="L820" s="1012"/>
      <c r="M820" s="1013"/>
      <c r="N820" s="1014" t="str">
        <f t="shared" si="178"/>
        <v/>
      </c>
      <c r="O820" s="1323"/>
      <c r="P820" s="1324"/>
      <c r="Q820" s="1324"/>
      <c r="R820" s="1324"/>
      <c r="S820" s="1324"/>
      <c r="T820" s="1325"/>
      <c r="U820" s="1015">
        <v>1.8</v>
      </c>
      <c r="V820" s="1015"/>
      <c r="W820" s="1015"/>
      <c r="X820" s="1015"/>
      <c r="Y820" s="1015">
        <v>2.7</v>
      </c>
      <c r="Z820" s="1016">
        <f>'09월 에너지'!S822</f>
        <v>146.19999999999999</v>
      </c>
      <c r="AA820" s="1017"/>
      <c r="AB820" s="1208"/>
      <c r="AC820" s="1208"/>
      <c r="AD820" s="1208"/>
      <c r="AE820" s="1208"/>
      <c r="AF820" s="1208"/>
      <c r="AG820" s="1018">
        <f>'09월 화학성분'!AM820</f>
        <v>1973</v>
      </c>
      <c r="AH820" s="1006">
        <f t="shared" si="167"/>
        <v>7</v>
      </c>
      <c r="AI820" s="1019">
        <v>1578</v>
      </c>
      <c r="AJ820" s="1020">
        <v>61</v>
      </c>
      <c r="AK820" s="1021">
        <v>867</v>
      </c>
      <c r="AL820" s="1022">
        <v>4</v>
      </c>
      <c r="AM820" s="1155">
        <f>IF(AT820="","",3*'09월 에너지'!S822*(1/(3+7.8*(100-AT820)/AT820)))</f>
        <v>1.3118757802746563</v>
      </c>
      <c r="AN820" s="1023">
        <v>0.17083333333333331</v>
      </c>
      <c r="AO820" s="1024"/>
      <c r="AP820" s="1025"/>
      <c r="AQ820" s="1025"/>
      <c r="AR820" s="1149">
        <f t="shared" si="168"/>
        <v>10</v>
      </c>
      <c r="AS820" s="1093" t="str">
        <f t="shared" si="179"/>
        <v xml:space="preserve"> </v>
      </c>
      <c r="AT820" s="1156">
        <v>2.2999999999999998</v>
      </c>
      <c r="AU820" s="449"/>
      <c r="AV820" s="1205"/>
    </row>
    <row r="821" spans="1:48" ht="16.5" customHeight="1">
      <c r="A821" s="1005">
        <f t="shared" si="169"/>
        <v>46295</v>
      </c>
      <c r="B821" s="1005">
        <f t="shared" si="170"/>
        <v>46295</v>
      </c>
      <c r="C821" s="1150">
        <f t="shared" si="171"/>
        <v>22</v>
      </c>
      <c r="D821" s="1150">
        <f t="shared" si="172"/>
        <v>810</v>
      </c>
      <c r="E821" s="1006" t="str">
        <f t="shared" si="173"/>
        <v>D</v>
      </c>
      <c r="F821" s="1007" t="str">
        <f t="shared" si="174"/>
        <v>B</v>
      </c>
      <c r="G821" s="1008">
        <f t="shared" si="175"/>
        <v>86023</v>
      </c>
      <c r="H821" s="1138">
        <f t="shared" si="176"/>
        <v>0.84444444444444433</v>
      </c>
      <c r="I821" s="1009">
        <v>0.84375</v>
      </c>
      <c r="J821" s="1010">
        <f t="shared" si="177"/>
        <v>47.000000000000156</v>
      </c>
      <c r="K821" s="1011"/>
      <c r="L821" s="1012"/>
      <c r="M821" s="1013"/>
      <c r="N821" s="1014" t="str">
        <f t="shared" si="178"/>
        <v/>
      </c>
      <c r="O821" s="1323"/>
      <c r="P821" s="1324"/>
      <c r="Q821" s="1324"/>
      <c r="R821" s="1324"/>
      <c r="S821" s="1324"/>
      <c r="T821" s="1325"/>
      <c r="U821" s="1015">
        <v>1.8</v>
      </c>
      <c r="V821" s="1015"/>
      <c r="W821" s="1015"/>
      <c r="X821" s="1015">
        <v>3.9</v>
      </c>
      <c r="Y821" s="1015"/>
      <c r="Z821" s="1016">
        <f>'09월 에너지'!S823</f>
        <v>144.4</v>
      </c>
      <c r="AA821" s="1017"/>
      <c r="AB821" s="1208"/>
      <c r="AC821" s="1208"/>
      <c r="AD821" s="1208"/>
      <c r="AE821" s="1208"/>
      <c r="AF821" s="1208"/>
      <c r="AG821" s="1018">
        <f>'09월 화학성분'!AM821</f>
        <v>1336</v>
      </c>
      <c r="AH821" s="1006">
        <f t="shared" si="167"/>
        <v>8</v>
      </c>
      <c r="AI821" s="1019">
        <v>1581</v>
      </c>
      <c r="AJ821" s="1020">
        <v>0</v>
      </c>
      <c r="AK821" s="1021">
        <v>678</v>
      </c>
      <c r="AL821" s="1022">
        <v>6</v>
      </c>
      <c r="AM821" s="1155">
        <f>IF(AT821="","",3*'09월 에너지'!S823*(1/(3+7.8*(100-AT821)/AT821)))</f>
        <v>1.0108898568761668</v>
      </c>
      <c r="AN821" s="1023">
        <v>0.14722222222222223</v>
      </c>
      <c r="AO821" s="1024"/>
      <c r="AP821" s="1025"/>
      <c r="AQ821" s="1025"/>
      <c r="AR821" s="1149" t="str">
        <f t="shared" si="168"/>
        <v/>
      </c>
      <c r="AS821" s="1093">
        <f t="shared" si="179"/>
        <v>12</v>
      </c>
      <c r="AT821" s="1156">
        <v>1.8</v>
      </c>
      <c r="AU821" s="449"/>
      <c r="AV821" s="1205"/>
    </row>
    <row r="822" spans="1:48" ht="16.5" customHeight="1">
      <c r="A822" s="1005">
        <f t="shared" si="169"/>
        <v>46295</v>
      </c>
      <c r="B822" s="1005">
        <f t="shared" si="170"/>
        <v>46295</v>
      </c>
      <c r="C822" s="1150">
        <f t="shared" si="171"/>
        <v>23</v>
      </c>
      <c r="D822" s="1150">
        <f t="shared" si="172"/>
        <v>811</v>
      </c>
      <c r="E822" s="1006" t="str">
        <f t="shared" si="173"/>
        <v>D</v>
      </c>
      <c r="F822" s="1007" t="str">
        <f t="shared" si="174"/>
        <v>A</v>
      </c>
      <c r="G822" s="1008">
        <f t="shared" si="175"/>
        <v>86024</v>
      </c>
      <c r="H822" s="1138">
        <f t="shared" si="176"/>
        <v>0.87708333333333333</v>
      </c>
      <c r="I822" s="1009">
        <v>0.87708333333333333</v>
      </c>
      <c r="J822" s="1010">
        <f t="shared" si="177"/>
        <v>47.999999999999986</v>
      </c>
      <c r="K822" s="1011"/>
      <c r="L822" s="1012"/>
      <c r="M822" s="1013"/>
      <c r="N822" s="1014" t="str">
        <f t="shared" si="178"/>
        <v/>
      </c>
      <c r="O822" s="1323" t="s">
        <v>1061</v>
      </c>
      <c r="P822" s="1324"/>
      <c r="Q822" s="1324"/>
      <c r="R822" s="1324"/>
      <c r="S822" s="1324"/>
      <c r="T822" s="1325"/>
      <c r="U822" s="1015">
        <v>1.8</v>
      </c>
      <c r="V822" s="1015"/>
      <c r="W822" s="1015"/>
      <c r="X822" s="1015">
        <v>3.8</v>
      </c>
      <c r="Y822" s="1015"/>
      <c r="Z822" s="1016">
        <f>'09월 에너지'!S824</f>
        <v>145.1</v>
      </c>
      <c r="AA822" s="1017"/>
      <c r="AB822" s="1208"/>
      <c r="AC822" s="1208"/>
      <c r="AD822" s="1208"/>
      <c r="AE822" s="1208"/>
      <c r="AF822" s="1208"/>
      <c r="AG822" s="1018">
        <f>'09월 화학성분'!AM822</f>
        <v>3390</v>
      </c>
      <c r="AH822" s="1006">
        <f t="shared" si="167"/>
        <v>9</v>
      </c>
      <c r="AI822" s="1019">
        <v>1573</v>
      </c>
      <c r="AJ822" s="1020">
        <v>327</v>
      </c>
      <c r="AK822" s="1021">
        <v>920</v>
      </c>
      <c r="AL822" s="1022">
        <v>4</v>
      </c>
      <c r="AM822" s="1155">
        <f>IF(AT822="","",3*'09월 에너지'!S824*(1/(3+7.8*(100-AT822)/AT822)))</f>
        <v>1.5322668961201502</v>
      </c>
      <c r="AN822" s="1023">
        <v>0.1423611111111111</v>
      </c>
      <c r="AO822" s="1024"/>
      <c r="AP822" s="1025"/>
      <c r="AQ822" s="1025"/>
      <c r="AR822" s="1149">
        <f t="shared" si="168"/>
        <v>11</v>
      </c>
      <c r="AS822" s="1093" t="str">
        <f t="shared" si="179"/>
        <v xml:space="preserve"> </v>
      </c>
      <c r="AT822" s="1156">
        <v>2.7</v>
      </c>
      <c r="AU822" s="449"/>
      <c r="AV822" s="1205"/>
    </row>
    <row r="823" spans="1:48" ht="16.5" customHeight="1">
      <c r="A823" s="1005">
        <f t="shared" si="169"/>
        <v>46295</v>
      </c>
      <c r="B823" s="1005">
        <f t="shared" si="170"/>
        <v>46295</v>
      </c>
      <c r="C823" s="1150">
        <f t="shared" si="171"/>
        <v>24</v>
      </c>
      <c r="D823" s="1150">
        <f t="shared" si="172"/>
        <v>812</v>
      </c>
      <c r="E823" s="1006" t="str">
        <f t="shared" si="173"/>
        <v>D</v>
      </c>
      <c r="F823" s="1007" t="str">
        <f t="shared" si="174"/>
        <v>B</v>
      </c>
      <c r="G823" s="1008">
        <f t="shared" si="175"/>
        <v>86025</v>
      </c>
      <c r="H823" s="1138">
        <f t="shared" si="176"/>
        <v>0.91041666666666665</v>
      </c>
      <c r="I823" s="1009">
        <v>0.91041666666666676</v>
      </c>
      <c r="J823" s="1010">
        <f t="shared" si="177"/>
        <v>48.000000000000149</v>
      </c>
      <c r="K823" s="1011"/>
      <c r="L823" s="1012"/>
      <c r="M823" s="1013"/>
      <c r="N823" s="1014" t="str">
        <f t="shared" si="178"/>
        <v/>
      </c>
      <c r="O823" s="1323" t="s">
        <v>571</v>
      </c>
      <c r="P823" s="1324"/>
      <c r="Q823" s="1324"/>
      <c r="R823" s="1324"/>
      <c r="S823" s="1324"/>
      <c r="T823" s="1325"/>
      <c r="U823" s="1015">
        <v>1.8</v>
      </c>
      <c r="V823" s="1015"/>
      <c r="W823" s="1015"/>
      <c r="X823" s="1015"/>
      <c r="Y823" s="1015">
        <v>2.7</v>
      </c>
      <c r="Z823" s="1016">
        <f>'09월 에너지'!S825</f>
        <v>144.6</v>
      </c>
      <c r="AA823" s="1017">
        <v>1822</v>
      </c>
      <c r="AB823" s="1208" t="s">
        <v>573</v>
      </c>
      <c r="AC823" s="1208" t="s">
        <v>548</v>
      </c>
      <c r="AD823" s="1208" t="s">
        <v>532</v>
      </c>
      <c r="AE823" s="1208"/>
      <c r="AF823" s="1208" t="s">
        <v>548</v>
      </c>
      <c r="AG823" s="1018">
        <f>'09월 화학성분'!AM823</f>
        <v>1461</v>
      </c>
      <c r="AH823" s="1006">
        <f t="shared" si="167"/>
        <v>10</v>
      </c>
      <c r="AI823" s="1019">
        <v>1589</v>
      </c>
      <c r="AJ823" s="1020">
        <v>0</v>
      </c>
      <c r="AK823" s="1021">
        <v>667</v>
      </c>
      <c r="AL823" s="1022">
        <v>6</v>
      </c>
      <c r="AM823" s="1155">
        <f>IF(AT823="","",3*'09월 에너지'!S825*(1/(3+7.8*(100-AT823)/AT823)))</f>
        <v>0.72883064516129015</v>
      </c>
      <c r="AN823" s="1023">
        <v>0.14722222222222223</v>
      </c>
      <c r="AO823" s="1024"/>
      <c r="AP823" s="1025"/>
      <c r="AQ823" s="1025"/>
      <c r="AR823" s="1149" t="str">
        <f t="shared" si="168"/>
        <v/>
      </c>
      <c r="AS823" s="1093">
        <f t="shared" si="179"/>
        <v>13</v>
      </c>
      <c r="AT823" s="1156">
        <v>1.3</v>
      </c>
      <c r="AU823" s="449"/>
      <c r="AV823" s="1205"/>
    </row>
    <row r="824" spans="1:48" ht="16.5" customHeight="1">
      <c r="A824" s="1005">
        <f t="shared" si="169"/>
        <v>46295</v>
      </c>
      <c r="B824" s="1005">
        <f t="shared" si="170"/>
        <v>46295</v>
      </c>
      <c r="C824" s="1150">
        <f t="shared" si="171"/>
        <v>25</v>
      </c>
      <c r="D824" s="1150">
        <f t="shared" si="172"/>
        <v>813</v>
      </c>
      <c r="E824" s="1006" t="s">
        <v>600</v>
      </c>
      <c r="F824" s="1007" t="str">
        <f t="shared" si="174"/>
        <v>A</v>
      </c>
      <c r="G824" s="1008">
        <f t="shared" si="175"/>
        <v>86026</v>
      </c>
      <c r="H824" s="1138">
        <f t="shared" si="176"/>
        <v>0.94375000000000009</v>
      </c>
      <c r="I824" s="1009">
        <v>0.94791666666666663</v>
      </c>
      <c r="J824" s="1010">
        <f t="shared" si="177"/>
        <v>53.999999999999808</v>
      </c>
      <c r="K824" s="1011"/>
      <c r="L824" s="1012"/>
      <c r="M824" s="1013"/>
      <c r="N824" s="1014" t="str">
        <f t="shared" si="178"/>
        <v/>
      </c>
      <c r="O824" s="1323" t="s">
        <v>1062</v>
      </c>
      <c r="P824" s="1324"/>
      <c r="Q824" s="1324"/>
      <c r="R824" s="1324"/>
      <c r="S824" s="1324"/>
      <c r="T824" s="1325"/>
      <c r="U824" s="1015">
        <v>1.8</v>
      </c>
      <c r="V824" s="1015"/>
      <c r="W824" s="1015"/>
      <c r="X824" s="1015"/>
      <c r="Y824" s="1015">
        <v>2.9</v>
      </c>
      <c r="Z824" s="1016">
        <f>'09월 에너지'!S826</f>
        <v>147.5</v>
      </c>
      <c r="AA824" s="1017">
        <v>2534</v>
      </c>
      <c r="AB824" s="1208" t="s">
        <v>573</v>
      </c>
      <c r="AC824" s="1208"/>
      <c r="AD824" s="1208" t="s">
        <v>532</v>
      </c>
      <c r="AE824" s="1208"/>
      <c r="AF824" s="1208" t="s">
        <v>548</v>
      </c>
      <c r="AG824" s="1018">
        <f>'09월 화학성분'!AM824</f>
        <v>3420</v>
      </c>
      <c r="AH824" s="1006">
        <f t="shared" si="167"/>
        <v>11</v>
      </c>
      <c r="AI824" s="1019">
        <v>1591</v>
      </c>
      <c r="AJ824" s="1020">
        <v>327</v>
      </c>
      <c r="AK824" s="1021">
        <v>1054</v>
      </c>
      <c r="AL824" s="1022">
        <v>3</v>
      </c>
      <c r="AM824" s="1155">
        <f>IF(AT824="","",3*'09월 에너지'!S826*(1/(3+7.8*(100-AT824)/AT824)))</f>
        <v>1.3235408863920097</v>
      </c>
      <c r="AN824" s="1023">
        <v>0.18819444444444444</v>
      </c>
      <c r="AO824" s="1024"/>
      <c r="AP824" s="1025"/>
      <c r="AQ824" s="1025"/>
      <c r="AR824" s="1149">
        <f t="shared" si="168"/>
        <v>12</v>
      </c>
      <c r="AS824" s="1093" t="str">
        <f t="shared" si="179"/>
        <v xml:space="preserve"> </v>
      </c>
      <c r="AT824" s="1156">
        <v>2.2999999999999998</v>
      </c>
      <c r="AU824" s="449"/>
      <c r="AV824" s="1205"/>
    </row>
    <row r="825" spans="1:48" ht="16.5" customHeight="1">
      <c r="A825" s="1005">
        <f t="shared" si="169"/>
        <v>46295</v>
      </c>
      <c r="B825" s="1005">
        <f t="shared" si="170"/>
        <v>46295</v>
      </c>
      <c r="C825" s="1150">
        <f t="shared" si="171"/>
        <v>26</v>
      </c>
      <c r="D825" s="1150">
        <f t="shared" si="172"/>
        <v>814</v>
      </c>
      <c r="E825" s="1006" t="str">
        <f t="shared" si="173"/>
        <v>B</v>
      </c>
      <c r="F825" s="1007" t="str">
        <f t="shared" si="174"/>
        <v>B</v>
      </c>
      <c r="G825" s="1008">
        <f t="shared" si="175"/>
        <v>86027</v>
      </c>
      <c r="H825" s="1138">
        <f t="shared" si="176"/>
        <v>0.98124999999999996</v>
      </c>
      <c r="I825" s="1009">
        <v>0.97916666666666663</v>
      </c>
      <c r="J825" s="1010">
        <f t="shared" si="177"/>
        <v>45</v>
      </c>
      <c r="K825" s="1011"/>
      <c r="L825" s="1012"/>
      <c r="M825" s="1013"/>
      <c r="N825" s="1014" t="str">
        <f t="shared" si="178"/>
        <v/>
      </c>
      <c r="O825" s="1326"/>
      <c r="P825" s="1327"/>
      <c r="Q825" s="1327"/>
      <c r="R825" s="1327"/>
      <c r="S825" s="1327"/>
      <c r="T825" s="1328"/>
      <c r="U825" s="1015">
        <v>1.8</v>
      </c>
      <c r="V825" s="1015"/>
      <c r="W825" s="1015"/>
      <c r="X825" s="1015"/>
      <c r="Y825" s="1015">
        <v>2.7</v>
      </c>
      <c r="Z825" s="1016">
        <f>'09월 에너지'!S827</f>
        <v>144.5</v>
      </c>
      <c r="AA825" s="1017"/>
      <c r="AB825" s="1208"/>
      <c r="AC825" s="1208"/>
      <c r="AD825" s="1208"/>
      <c r="AE825" s="1208"/>
      <c r="AF825" s="1208"/>
      <c r="AG825" s="1018">
        <f>'09월 화학성분'!AM825</f>
        <v>1544</v>
      </c>
      <c r="AH825" s="1006">
        <f t="shared" si="167"/>
        <v>12</v>
      </c>
      <c r="AI825" s="1019">
        <v>1600</v>
      </c>
      <c r="AJ825" s="1020">
        <v>0</v>
      </c>
      <c r="AK825" s="1021">
        <v>637</v>
      </c>
      <c r="AL825" s="1022">
        <v>6</v>
      </c>
      <c r="AM825" s="1155">
        <f>IF(AT825="","",3*'09월 에너지'!S827*(1/(3+7.8*(100-AT825)/AT825)))</f>
        <v>1.4111328125</v>
      </c>
      <c r="AN825" s="1023">
        <v>0.14027777777777778</v>
      </c>
      <c r="AO825" s="1024"/>
      <c r="AP825" s="1025"/>
      <c r="AQ825" s="1025"/>
      <c r="AR825" s="1149" t="str">
        <f t="shared" si="168"/>
        <v/>
      </c>
      <c r="AS825" s="1093">
        <f t="shared" si="179"/>
        <v>14</v>
      </c>
      <c r="AT825" s="1156">
        <v>2.5</v>
      </c>
      <c r="AU825" s="449"/>
      <c r="AV825" s="1205"/>
    </row>
    <row r="826" spans="1:48" ht="16.5" customHeight="1">
      <c r="A826" s="1005">
        <f t="shared" si="169"/>
        <v>46295</v>
      </c>
      <c r="B826" s="1005">
        <f t="shared" si="170"/>
        <v>46295</v>
      </c>
      <c r="C826" s="1150">
        <f t="shared" si="171"/>
        <v>27</v>
      </c>
      <c r="D826" s="1150">
        <f t="shared" si="172"/>
        <v>815</v>
      </c>
      <c r="E826" s="1006" t="str">
        <f t="shared" si="173"/>
        <v>B</v>
      </c>
      <c r="F826" s="1007" t="str">
        <f t="shared" si="174"/>
        <v>A</v>
      </c>
      <c r="G826" s="1008">
        <f t="shared" si="175"/>
        <v>86028</v>
      </c>
      <c r="H826" s="1138">
        <f t="shared" si="176"/>
        <v>1.0125</v>
      </c>
      <c r="I826" s="1009">
        <v>1.3194444444444444E-2</v>
      </c>
      <c r="J826" s="1010">
        <f t="shared" si="177"/>
        <v>49</v>
      </c>
      <c r="K826" s="1011"/>
      <c r="L826" s="1012"/>
      <c r="M826" s="1013"/>
      <c r="N826" s="1014" t="str">
        <f t="shared" si="178"/>
        <v/>
      </c>
      <c r="O826" s="1323" t="s">
        <v>1063</v>
      </c>
      <c r="P826" s="1324"/>
      <c r="Q826" s="1324"/>
      <c r="R826" s="1324"/>
      <c r="S826" s="1324"/>
      <c r="T826" s="1325"/>
      <c r="U826" s="1015">
        <v>1.8</v>
      </c>
      <c r="V826" s="1015"/>
      <c r="W826" s="1015"/>
      <c r="X826" s="1015"/>
      <c r="Y826" s="1015">
        <v>2.8</v>
      </c>
      <c r="Z826" s="1016">
        <f>'09월 에너지'!S828</f>
        <v>140.5</v>
      </c>
      <c r="AA826" s="1017"/>
      <c r="AB826" s="1208"/>
      <c r="AC826" s="1208"/>
      <c r="AD826" s="1208"/>
      <c r="AE826" s="1208"/>
      <c r="AF826" s="1208"/>
      <c r="AG826" s="1018">
        <f>'09월 화학성분'!AM826</f>
        <v>2339</v>
      </c>
      <c r="AH826" s="1006">
        <f t="shared" si="167"/>
        <v>13</v>
      </c>
      <c r="AI826" s="1019">
        <v>1570</v>
      </c>
      <c r="AJ826" s="1020">
        <v>93</v>
      </c>
      <c r="AK826" s="1021" t="s">
        <v>575</v>
      </c>
      <c r="AL826" s="1022"/>
      <c r="AM826" s="1155">
        <f>IF(AT826="","",3*'09월 에너지'!S828*(1/(3+7.8*(100-AT826)/AT826)))</f>
        <v>1.539605510331872</v>
      </c>
      <c r="AN826" s="1023">
        <v>0.24861111111111112</v>
      </c>
      <c r="AO826" s="1024"/>
      <c r="AP826" s="1025"/>
      <c r="AQ826" s="1025"/>
      <c r="AR826" s="1149">
        <f t="shared" si="168"/>
        <v>13</v>
      </c>
      <c r="AS826" s="1093" t="str">
        <f t="shared" si="179"/>
        <v xml:space="preserve"> </v>
      </c>
      <c r="AT826" s="1156">
        <v>2.8</v>
      </c>
      <c r="AU826" s="449"/>
      <c r="AV826" s="1205"/>
    </row>
    <row r="827" spans="1:48" ht="16.5" customHeight="1">
      <c r="A827" s="1005">
        <f t="shared" si="169"/>
        <v>46295</v>
      </c>
      <c r="B827" s="1005">
        <f t="shared" si="170"/>
        <v>46295</v>
      </c>
      <c r="C827" s="1150">
        <f t="shared" si="171"/>
        <v>28</v>
      </c>
      <c r="D827" s="1150">
        <f t="shared" si="172"/>
        <v>816</v>
      </c>
      <c r="E827" s="1006" t="str">
        <f t="shared" si="173"/>
        <v>B</v>
      </c>
      <c r="F827" s="1007" t="str">
        <f t="shared" si="174"/>
        <v>B</v>
      </c>
      <c r="G827" s="1008">
        <f t="shared" si="175"/>
        <v>86029</v>
      </c>
      <c r="H827" s="1138">
        <f t="shared" si="176"/>
        <v>4.6527777777777779E-2</v>
      </c>
      <c r="I827" s="1009">
        <v>4.4444444444444446E-2</v>
      </c>
      <c r="J827" s="1010">
        <f t="shared" si="177"/>
        <v>45</v>
      </c>
      <c r="K827" s="1011"/>
      <c r="L827" s="1012"/>
      <c r="M827" s="1013"/>
      <c r="N827" s="1014" t="str">
        <f t="shared" si="178"/>
        <v/>
      </c>
      <c r="O827" s="1326"/>
      <c r="P827" s="1327"/>
      <c r="Q827" s="1327"/>
      <c r="R827" s="1327"/>
      <c r="S827" s="1327"/>
      <c r="T827" s="1328"/>
      <c r="U827" s="1015">
        <v>1.8</v>
      </c>
      <c r="V827" s="1015">
        <v>2.8</v>
      </c>
      <c r="W827" s="1015">
        <v>1.6</v>
      </c>
      <c r="X827" s="1015"/>
      <c r="Y827" s="1015"/>
      <c r="Z827" s="1016">
        <f>'09월 에너지'!S829</f>
        <v>143.80000000000001</v>
      </c>
      <c r="AA827" s="1017"/>
      <c r="AB827" s="1208"/>
      <c r="AC827" s="1208"/>
      <c r="AD827" s="1208"/>
      <c r="AE827" s="1208"/>
      <c r="AF827" s="1208"/>
      <c r="AG827" s="1018">
        <f>'09월 화학성분'!AM827</f>
        <v>1864</v>
      </c>
      <c r="AH827" s="1006">
        <f t="shared" si="167"/>
        <v>14</v>
      </c>
      <c r="AI827" s="1019">
        <v>1592</v>
      </c>
      <c r="AJ827" s="1020">
        <v>0</v>
      </c>
      <c r="AK827" s="1021">
        <v>516</v>
      </c>
      <c r="AL827" s="1022">
        <v>8</v>
      </c>
      <c r="AM827" s="1155">
        <f>IF(AT827="","",3*'09월 에너지'!S829*(1/(3+7.8*(100-AT827)/AT827)))</f>
        <v>0.5565015479876162</v>
      </c>
      <c r="AN827" s="1023">
        <v>0.14166666666666666</v>
      </c>
      <c r="AO827" s="1024"/>
      <c r="AP827" s="1025"/>
      <c r="AQ827" s="1025"/>
      <c r="AR827" s="1149" t="str">
        <f t="shared" si="168"/>
        <v/>
      </c>
      <c r="AS827" s="1093">
        <f t="shared" si="179"/>
        <v>15</v>
      </c>
      <c r="AT827" s="1156">
        <v>1</v>
      </c>
      <c r="AU827" s="449"/>
      <c r="AV827" s="1205"/>
    </row>
    <row r="828" spans="1:48" ht="16.5" customHeight="1">
      <c r="A828" s="1005">
        <f t="shared" si="169"/>
        <v>46295</v>
      </c>
      <c r="B828" s="1005">
        <f t="shared" si="170"/>
        <v>46295</v>
      </c>
      <c r="C828" s="1150">
        <f t="shared" si="171"/>
        <v>29</v>
      </c>
      <c r="D828" s="1150">
        <f t="shared" si="172"/>
        <v>817</v>
      </c>
      <c r="E828" s="1006" t="str">
        <f t="shared" si="173"/>
        <v>B</v>
      </c>
      <c r="F828" s="1007" t="str">
        <f t="shared" si="174"/>
        <v>A</v>
      </c>
      <c r="G828" s="1008">
        <f t="shared" si="175"/>
        <v>86030</v>
      </c>
      <c r="H828" s="1138">
        <f t="shared" si="176"/>
        <v>7.7777777777777779E-2</v>
      </c>
      <c r="I828" s="1009">
        <v>7.9166666666666663E-2</v>
      </c>
      <c r="J828" s="1010">
        <f t="shared" si="177"/>
        <v>49.999999999999993</v>
      </c>
      <c r="K828" s="1011"/>
      <c r="L828" s="1012"/>
      <c r="M828" s="1013"/>
      <c r="N828" s="1014" t="str">
        <f t="shared" si="178"/>
        <v/>
      </c>
      <c r="O828" s="1326"/>
      <c r="P828" s="1327"/>
      <c r="Q828" s="1327"/>
      <c r="R828" s="1327"/>
      <c r="S828" s="1327"/>
      <c r="T828" s="1328"/>
      <c r="U828" s="1015">
        <v>1.8</v>
      </c>
      <c r="V828" s="1015">
        <v>2.7</v>
      </c>
      <c r="W828" s="1015">
        <v>1.8</v>
      </c>
      <c r="X828" s="1015"/>
      <c r="Y828" s="1015"/>
      <c r="Z828" s="1016">
        <f>'09월 에너지'!S830</f>
        <v>148.30000000000001</v>
      </c>
      <c r="AA828" s="1017"/>
      <c r="AB828" s="1208"/>
      <c r="AC828" s="1208"/>
      <c r="AD828" s="1208"/>
      <c r="AE828" s="1208"/>
      <c r="AF828" s="1208"/>
      <c r="AG828" s="1018">
        <f>'09월 화학성분'!AM828</f>
        <v>3444</v>
      </c>
      <c r="AH828" s="1006">
        <f t="shared" si="167"/>
        <v>15</v>
      </c>
      <c r="AI828" s="1019">
        <v>1587</v>
      </c>
      <c r="AJ828" s="1020"/>
      <c r="AK828" s="1021">
        <v>1021</v>
      </c>
      <c r="AL828" s="1022">
        <v>3</v>
      </c>
      <c r="AM828" s="1155">
        <f>IF(AT828="","",3*'09월 에너지'!S830*(1/(3+7.8*(100-AT828)/AT828)))</f>
        <v>2.0402908805031448</v>
      </c>
      <c r="AN828" s="1023">
        <v>0.15416666666666667</v>
      </c>
      <c r="AO828" s="1024"/>
      <c r="AP828" s="1025"/>
      <c r="AQ828" s="1025"/>
      <c r="AR828" s="1149">
        <f t="shared" si="168"/>
        <v>14</v>
      </c>
      <c r="AS828" s="1093" t="str">
        <f t="shared" si="179"/>
        <v xml:space="preserve"> </v>
      </c>
      <c r="AT828" s="1156">
        <v>3.5</v>
      </c>
      <c r="AU828" s="449"/>
      <c r="AV828" s="1205"/>
    </row>
    <row r="829" spans="1:48" ht="16.5" customHeight="1">
      <c r="A829" s="1005">
        <f t="shared" si="169"/>
        <v>46295</v>
      </c>
      <c r="B829" s="1005">
        <f t="shared" si="170"/>
        <v>46295</v>
      </c>
      <c r="C829" s="1150">
        <f t="shared" si="171"/>
        <v>30</v>
      </c>
      <c r="D829" s="1150">
        <f t="shared" si="172"/>
        <v>818</v>
      </c>
      <c r="E829" s="1006" t="str">
        <f t="shared" si="173"/>
        <v>B</v>
      </c>
      <c r="F829" s="1007" t="str">
        <f t="shared" si="174"/>
        <v>B</v>
      </c>
      <c r="G829" s="1008">
        <f t="shared" si="175"/>
        <v>86031</v>
      </c>
      <c r="H829" s="1138">
        <f t="shared" si="176"/>
        <v>0.11249999999999999</v>
      </c>
      <c r="I829" s="1009">
        <v>0.11180555555555556</v>
      </c>
      <c r="J829" s="1010">
        <f t="shared" si="177"/>
        <v>47.000000000000014</v>
      </c>
      <c r="K829" s="1011"/>
      <c r="L829" s="1012"/>
      <c r="M829" s="1013"/>
      <c r="N829" s="1014" t="str">
        <f t="shared" si="178"/>
        <v/>
      </c>
      <c r="O829" s="1326"/>
      <c r="P829" s="1327"/>
      <c r="Q829" s="1327"/>
      <c r="R829" s="1327"/>
      <c r="S829" s="1327"/>
      <c r="T829" s="1328"/>
      <c r="U829" s="1015">
        <v>1.8</v>
      </c>
      <c r="V829" s="1015"/>
      <c r="W829" s="1015"/>
      <c r="X829" s="1015"/>
      <c r="Y829" s="1015">
        <v>2.8</v>
      </c>
      <c r="Z829" s="1016">
        <f>'09월 에너지'!S831</f>
        <v>143.69999999999999</v>
      </c>
      <c r="AA829" s="1017"/>
      <c r="AB829" s="1208"/>
      <c r="AC829" s="1208"/>
      <c r="AD829" s="1208"/>
      <c r="AE829" s="1208"/>
      <c r="AF829" s="1208"/>
      <c r="AG829" s="1018">
        <f>'09월 화학성분'!AM829</f>
        <v>1995</v>
      </c>
      <c r="AH829" s="1006">
        <f t="shared" si="167"/>
        <v>16</v>
      </c>
      <c r="AI829" s="1019">
        <v>1550</v>
      </c>
      <c r="AJ829" s="1020"/>
      <c r="AK829" s="1021">
        <v>646</v>
      </c>
      <c r="AL829" s="1022">
        <v>6</v>
      </c>
      <c r="AM829" s="1155">
        <f>IF(AT829="","",3*'09월 에너지'!S831*(1/(3+7.8*(100-AT829)/AT829)))</f>
        <v>1.1191588785046729</v>
      </c>
      <c r="AN829" s="1023">
        <v>0.1388888888888889</v>
      </c>
      <c r="AO829" s="1024"/>
      <c r="AP829" s="1025"/>
      <c r="AQ829" s="1025"/>
      <c r="AR829" s="1149" t="str">
        <f t="shared" si="168"/>
        <v/>
      </c>
      <c r="AS829" s="1093">
        <f t="shared" si="179"/>
        <v>16</v>
      </c>
      <c r="AT829" s="1156">
        <v>2</v>
      </c>
      <c r="AU829" s="449"/>
      <c r="AV829" s="1205"/>
    </row>
    <row r="830" spans="1:48" ht="16.5" customHeight="1">
      <c r="A830" s="1005">
        <v>46296</v>
      </c>
      <c r="B830" s="1005">
        <f t="shared" si="170"/>
        <v>46295</v>
      </c>
      <c r="C830" s="1150">
        <f t="shared" si="171"/>
        <v>1</v>
      </c>
      <c r="D830" s="1150">
        <f t="shared" si="172"/>
        <v>819</v>
      </c>
      <c r="E830" s="1006" t="str">
        <f t="shared" si="173"/>
        <v>B</v>
      </c>
      <c r="F830" s="1007" t="str">
        <f t="shared" si="174"/>
        <v>A</v>
      </c>
      <c r="G830" s="1008">
        <f t="shared" si="175"/>
        <v>86032</v>
      </c>
      <c r="H830" s="1138">
        <f t="shared" si="176"/>
        <v>0.1451388888888889</v>
      </c>
      <c r="I830" s="1009">
        <v>0.14722222222222223</v>
      </c>
      <c r="J830" s="1010">
        <f t="shared" si="177"/>
        <v>51</v>
      </c>
      <c r="K830" s="1011"/>
      <c r="L830" s="1012"/>
      <c r="M830" s="1013"/>
      <c r="N830" s="1014" t="str">
        <f t="shared" si="178"/>
        <v/>
      </c>
      <c r="O830" s="1323" t="s">
        <v>957</v>
      </c>
      <c r="P830" s="1324"/>
      <c r="Q830" s="1324"/>
      <c r="R830" s="1324"/>
      <c r="S830" s="1324"/>
      <c r="T830" s="1325"/>
      <c r="U830" s="1015">
        <v>1.8</v>
      </c>
      <c r="V830" s="1015"/>
      <c r="W830" s="1015"/>
      <c r="X830" s="1015"/>
      <c r="Y830" s="1015">
        <v>2.6</v>
      </c>
      <c r="Z830" s="1016">
        <f>'09월 에너지'!S832</f>
        <v>145.4</v>
      </c>
      <c r="AA830" s="1017"/>
      <c r="AB830" s="1208" t="s">
        <v>573</v>
      </c>
      <c r="AC830" s="1208" t="s">
        <v>548</v>
      </c>
      <c r="AD830" s="1208" t="s">
        <v>532</v>
      </c>
      <c r="AE830" s="1208"/>
      <c r="AF830" s="1208" t="s">
        <v>548</v>
      </c>
      <c r="AG830" s="1018">
        <f>'09월 화학성분'!AM830</f>
        <v>2540</v>
      </c>
      <c r="AH830" s="1006">
        <f t="shared" si="167"/>
        <v>17</v>
      </c>
      <c r="AI830" s="1019">
        <v>1572</v>
      </c>
      <c r="AJ830" s="1020"/>
      <c r="AK830" s="1021">
        <v>1101</v>
      </c>
      <c r="AL830" s="1022">
        <v>3</v>
      </c>
      <c r="AM830" s="1155">
        <f>IF(AT830="","",3*'09월 에너지'!S832*(1/(3+7.8*(100-AT830)/AT830)))</f>
        <v>2.2346311475409841</v>
      </c>
      <c r="AN830" s="1023">
        <v>0.1423611111111111</v>
      </c>
      <c r="AO830" s="1024" t="s">
        <v>587</v>
      </c>
      <c r="AP830" s="1025" t="s">
        <v>1042</v>
      </c>
      <c r="AQ830" s="1025">
        <v>2125</v>
      </c>
      <c r="AR830" s="1149">
        <v>1</v>
      </c>
      <c r="AS830" s="1093" t="str">
        <f t="shared" si="179"/>
        <v xml:space="preserve"> </v>
      </c>
      <c r="AT830" s="1156">
        <v>3.9</v>
      </c>
      <c r="AU830" s="449"/>
      <c r="AV830" s="1205"/>
    </row>
    <row r="831" spans="1:48" ht="16.5" customHeight="1">
      <c r="A831" s="1005" t="str">
        <f t="shared" si="169"/>
        <v/>
      </c>
      <c r="B831" s="1005" t="str">
        <f t="shared" si="170"/>
        <v/>
      </c>
      <c r="C831" s="1150" t="str">
        <f t="shared" si="171"/>
        <v/>
      </c>
      <c r="D831" s="1150" t="str">
        <f t="shared" si="172"/>
        <v/>
      </c>
      <c r="E831" s="1006" t="str">
        <f t="shared" si="173"/>
        <v/>
      </c>
      <c r="F831" s="1007" t="str">
        <f t="shared" si="174"/>
        <v/>
      </c>
      <c r="G831" s="1008" t="str">
        <f t="shared" si="175"/>
        <v/>
      </c>
      <c r="H831" s="1138">
        <f t="shared" si="176"/>
        <v>0.18055555555555555</v>
      </c>
      <c r="I831" s="1009"/>
      <c r="J831" s="1010" t="str">
        <f t="shared" si="177"/>
        <v/>
      </c>
      <c r="K831" s="1011"/>
      <c r="L831" s="1012"/>
      <c r="M831" s="1013"/>
      <c r="N831" s="1014" t="str">
        <f t="shared" si="178"/>
        <v/>
      </c>
      <c r="O831" s="1326"/>
      <c r="P831" s="1327"/>
      <c r="Q831" s="1327"/>
      <c r="R831" s="1327"/>
      <c r="S831" s="1327"/>
      <c r="T831" s="1328"/>
      <c r="U831" s="1015">
        <v>1.8</v>
      </c>
      <c r="V831" s="1015">
        <v>2.6</v>
      </c>
      <c r="W831" s="1015">
        <v>1.5</v>
      </c>
      <c r="X831" s="1015"/>
      <c r="Y831" s="1015"/>
      <c r="Z831" s="1016">
        <f>'09월 에너지'!S833</f>
        <v>0</v>
      </c>
      <c r="AA831" s="1017"/>
      <c r="AB831" s="1208"/>
      <c r="AC831" s="1208"/>
      <c r="AD831" s="1208"/>
      <c r="AE831" s="1208"/>
      <c r="AF831" s="1208"/>
      <c r="AG831" s="1018">
        <f>'09월 화학성분'!AM831</f>
        <v>0</v>
      </c>
      <c r="AH831" s="1006" t="str">
        <f t="shared" si="167"/>
        <v/>
      </c>
      <c r="AI831" s="1019"/>
      <c r="AJ831" s="1020"/>
      <c r="AK831" s="1021"/>
      <c r="AL831" s="1022"/>
      <c r="AM831" s="1155" t="str">
        <f>IF(AT831="","",3*'09월 에너지'!S833*(1/(3+7.8*(100-AT831)/AT831)))</f>
        <v/>
      </c>
      <c r="AN831" s="1023"/>
      <c r="AO831" s="1024"/>
      <c r="AP831" s="1025"/>
      <c r="AQ831" s="1025"/>
      <c r="AR831" s="1149" t="str">
        <f t="shared" si="168"/>
        <v/>
      </c>
      <c r="AS831" s="1093" t="str">
        <f t="shared" si="179"/>
        <v/>
      </c>
      <c r="AT831" s="1156"/>
      <c r="AU831" s="449"/>
      <c r="AV831" s="1205"/>
    </row>
    <row r="832" spans="1:48" ht="16.5" customHeight="1">
      <c r="A832" s="1005" t="str">
        <f t="shared" si="169"/>
        <v/>
      </c>
      <c r="B832" s="1005" t="str">
        <f t="shared" si="170"/>
        <v/>
      </c>
      <c r="C832" s="1150" t="str">
        <f t="shared" si="171"/>
        <v/>
      </c>
      <c r="D832" s="1150" t="str">
        <f t="shared" si="172"/>
        <v/>
      </c>
      <c r="E832" s="1006" t="str">
        <f t="shared" si="173"/>
        <v/>
      </c>
      <c r="F832" s="1007" t="str">
        <f t="shared" si="174"/>
        <v/>
      </c>
      <c r="G832" s="1008" t="str">
        <f t="shared" si="175"/>
        <v/>
      </c>
      <c r="H832" s="1138">
        <f t="shared" si="176"/>
        <v>0.21388888888888888</v>
      </c>
      <c r="I832" s="1009"/>
      <c r="J832" s="1010" t="str">
        <f t="shared" si="177"/>
        <v/>
      </c>
      <c r="K832" s="1011"/>
      <c r="L832" s="1012"/>
      <c r="M832" s="1013"/>
      <c r="N832" s="1014" t="str">
        <f t="shared" si="178"/>
        <v/>
      </c>
      <c r="O832" s="1326"/>
      <c r="P832" s="1327"/>
      <c r="Q832" s="1327"/>
      <c r="R832" s="1327"/>
      <c r="S832" s="1327"/>
      <c r="T832" s="1328"/>
      <c r="U832" s="1015">
        <v>1.8</v>
      </c>
      <c r="V832" s="1015">
        <v>2.5</v>
      </c>
      <c r="W832" s="1015">
        <v>1.6</v>
      </c>
      <c r="X832" s="1015"/>
      <c r="Y832" s="1015"/>
      <c r="Z832" s="1016">
        <f>'09월 에너지'!S834</f>
        <v>0</v>
      </c>
      <c r="AA832" s="1017"/>
      <c r="AB832" s="1208"/>
      <c r="AC832" s="1208"/>
      <c r="AD832" s="1208"/>
      <c r="AE832" s="1208"/>
      <c r="AF832" s="1208"/>
      <c r="AG832" s="1018">
        <f>'09월 화학성분'!AM832</f>
        <v>0</v>
      </c>
      <c r="AH832" s="1006" t="str">
        <f t="shared" si="167"/>
        <v/>
      </c>
      <c r="AI832" s="1019"/>
      <c r="AJ832" s="1020"/>
      <c r="AK832" s="1021"/>
      <c r="AL832" s="1022"/>
      <c r="AM832" s="1155" t="str">
        <f>IF(AT832="","",3*'09월 에너지'!S834*(1/(3+7.8*(100-AT832)/AT832)))</f>
        <v/>
      </c>
      <c r="AN832" s="1023"/>
      <c r="AO832" s="1024"/>
      <c r="AP832" s="1025"/>
      <c r="AQ832" s="1025"/>
      <c r="AR832" s="1149" t="str">
        <f t="shared" si="168"/>
        <v/>
      </c>
      <c r="AS832" s="1093" t="str">
        <f t="shared" si="179"/>
        <v/>
      </c>
      <c r="AT832" s="1156"/>
      <c r="AU832" s="449"/>
      <c r="AV832" s="1205"/>
    </row>
    <row r="833" spans="1:48" ht="16.5" customHeight="1">
      <c r="A833" s="1005" t="str">
        <f t="shared" si="169"/>
        <v/>
      </c>
      <c r="B833" s="1005" t="str">
        <f t="shared" si="170"/>
        <v/>
      </c>
      <c r="C833" s="1150" t="str">
        <f t="shared" si="171"/>
        <v/>
      </c>
      <c r="D833" s="1150" t="str">
        <f t="shared" si="172"/>
        <v/>
      </c>
      <c r="E833" s="1006" t="str">
        <f t="shared" si="173"/>
        <v/>
      </c>
      <c r="F833" s="1007" t="str">
        <f t="shared" si="174"/>
        <v/>
      </c>
      <c r="G833" s="1008" t="str">
        <f t="shared" si="175"/>
        <v/>
      </c>
      <c r="H833" s="1138">
        <f t="shared" si="176"/>
        <v>0.2472222222222222</v>
      </c>
      <c r="I833" s="1009"/>
      <c r="J833" s="1010" t="str">
        <f t="shared" si="177"/>
        <v/>
      </c>
      <c r="K833" s="1011"/>
      <c r="L833" s="1012"/>
      <c r="M833" s="1013"/>
      <c r="N833" s="1014" t="str">
        <f t="shared" si="178"/>
        <v/>
      </c>
      <c r="O833" s="1326"/>
      <c r="P833" s="1327"/>
      <c r="Q833" s="1327"/>
      <c r="R833" s="1327"/>
      <c r="S833" s="1327"/>
      <c r="T833" s="1328"/>
      <c r="U833" s="1015">
        <v>1.8</v>
      </c>
      <c r="V833" s="1015"/>
      <c r="W833" s="1015"/>
      <c r="X833" s="1015"/>
      <c r="Y833" s="1015"/>
      <c r="Z833" s="1016">
        <f>'09월 에너지'!S835</f>
        <v>0</v>
      </c>
      <c r="AA833" s="1017"/>
      <c r="AB833" s="1208"/>
      <c r="AC833" s="1208"/>
      <c r="AD833" s="1208"/>
      <c r="AE833" s="1208"/>
      <c r="AF833" s="1208"/>
      <c r="AG833" s="1018">
        <f>'09월 화학성분'!AM833</f>
        <v>0</v>
      </c>
      <c r="AH833" s="1006" t="str">
        <f t="shared" si="167"/>
        <v/>
      </c>
      <c r="AI833" s="1019"/>
      <c r="AJ833" s="1020"/>
      <c r="AK833" s="1021"/>
      <c r="AL833" s="1022"/>
      <c r="AM833" s="1155" t="str">
        <f>IF(AT833="","",3*'09월 에너지'!S835*(1/(3+7.8*(100-AT833)/AT833)))</f>
        <v/>
      </c>
      <c r="AN833" s="1023"/>
      <c r="AO833" s="1024"/>
      <c r="AP833" s="1025"/>
      <c r="AQ833" s="1025"/>
      <c r="AR833" s="1149" t="str">
        <f t="shared" si="168"/>
        <v/>
      </c>
      <c r="AS833" s="1093" t="str">
        <f t="shared" si="179"/>
        <v/>
      </c>
      <c r="AT833" s="1156"/>
      <c r="AU833" s="449"/>
      <c r="AV833" s="1205"/>
    </row>
    <row r="834" spans="1:48" ht="16.5" customHeight="1">
      <c r="A834" s="1005" t="str">
        <f t="shared" si="169"/>
        <v/>
      </c>
      <c r="B834" s="1005" t="str">
        <f t="shared" si="170"/>
        <v/>
      </c>
      <c r="C834" s="1150" t="str">
        <f t="shared" si="171"/>
        <v/>
      </c>
      <c r="D834" s="1150" t="str">
        <f t="shared" si="172"/>
        <v/>
      </c>
      <c r="E834" s="1006" t="str">
        <f t="shared" si="173"/>
        <v/>
      </c>
      <c r="F834" s="1007" t="str">
        <f t="shared" si="174"/>
        <v/>
      </c>
      <c r="G834" s="1008" t="str">
        <f t="shared" si="175"/>
        <v/>
      </c>
      <c r="H834" s="1138">
        <f t="shared" si="176"/>
        <v>0.28055555555555556</v>
      </c>
      <c r="I834" s="1009"/>
      <c r="J834" s="1010" t="str">
        <f t="shared" si="177"/>
        <v/>
      </c>
      <c r="K834" s="1011"/>
      <c r="L834" s="1012"/>
      <c r="M834" s="1013"/>
      <c r="N834" s="1014" t="str">
        <f t="shared" si="178"/>
        <v/>
      </c>
      <c r="O834" s="1326"/>
      <c r="P834" s="1327"/>
      <c r="Q834" s="1327"/>
      <c r="R834" s="1327"/>
      <c r="S834" s="1327"/>
      <c r="T834" s="1328"/>
      <c r="U834" s="1015">
        <v>1.8</v>
      </c>
      <c r="V834" s="1015"/>
      <c r="W834" s="1015"/>
      <c r="X834" s="1015"/>
      <c r="Y834" s="1015"/>
      <c r="Z834" s="1016">
        <f>'09월 에너지'!S836</f>
        <v>0</v>
      </c>
      <c r="AA834" s="1017"/>
      <c r="AB834" s="1208"/>
      <c r="AC834" s="1208"/>
      <c r="AD834" s="1208"/>
      <c r="AE834" s="1208"/>
      <c r="AF834" s="1208"/>
      <c r="AG834" s="1018">
        <f>'09월 화학성분'!AM834</f>
        <v>0</v>
      </c>
      <c r="AH834" s="1006" t="str">
        <f t="shared" si="167"/>
        <v/>
      </c>
      <c r="AI834" s="1019"/>
      <c r="AJ834" s="1020"/>
      <c r="AK834" s="1021"/>
      <c r="AL834" s="1022"/>
      <c r="AM834" s="1155" t="str">
        <f>IF(AT834="","",3*'09월 에너지'!S836*(1/(3+7.8*(100-AT834)/AT834)))</f>
        <v/>
      </c>
      <c r="AN834" s="1023"/>
      <c r="AO834" s="1024"/>
      <c r="AP834" s="1025"/>
      <c r="AQ834" s="1025"/>
      <c r="AR834" s="1149" t="str">
        <f t="shared" si="168"/>
        <v/>
      </c>
      <c r="AS834" s="1093" t="str">
        <f t="shared" si="179"/>
        <v/>
      </c>
      <c r="AT834" s="1156"/>
      <c r="AU834" s="449"/>
      <c r="AV834" s="1205"/>
    </row>
    <row r="835" spans="1:48" ht="16.5" customHeight="1">
      <c r="A835" s="1005" t="str">
        <f t="shared" si="169"/>
        <v/>
      </c>
      <c r="B835" s="1005" t="str">
        <f t="shared" si="170"/>
        <v/>
      </c>
      <c r="C835" s="1150" t="str">
        <f t="shared" si="171"/>
        <v/>
      </c>
      <c r="D835" s="1150" t="str">
        <f t="shared" si="172"/>
        <v/>
      </c>
      <c r="E835" s="1006" t="str">
        <f t="shared" si="173"/>
        <v/>
      </c>
      <c r="F835" s="1007" t="str">
        <f t="shared" si="174"/>
        <v/>
      </c>
      <c r="G835" s="1008" t="str">
        <f t="shared" si="175"/>
        <v/>
      </c>
      <c r="H835" s="1138">
        <f t="shared" si="176"/>
        <v>0.31388888888888888</v>
      </c>
      <c r="I835" s="1009"/>
      <c r="J835" s="1010" t="str">
        <f t="shared" si="177"/>
        <v/>
      </c>
      <c r="K835" s="1011"/>
      <c r="L835" s="1012"/>
      <c r="M835" s="1013"/>
      <c r="N835" s="1014" t="str">
        <f t="shared" si="178"/>
        <v/>
      </c>
      <c r="O835" s="1326"/>
      <c r="P835" s="1327"/>
      <c r="Q835" s="1327"/>
      <c r="R835" s="1327"/>
      <c r="S835" s="1327"/>
      <c r="T835" s="1328"/>
      <c r="U835" s="1015">
        <v>1.8</v>
      </c>
      <c r="V835" s="1015"/>
      <c r="W835" s="1015"/>
      <c r="X835" s="1015"/>
      <c r="Y835" s="1015"/>
      <c r="Z835" s="1016">
        <f>'09월 에너지'!S837</f>
        <v>0</v>
      </c>
      <c r="AA835" s="1017"/>
      <c r="AB835" s="1208"/>
      <c r="AC835" s="1208"/>
      <c r="AD835" s="1208"/>
      <c r="AE835" s="1208"/>
      <c r="AF835" s="1208"/>
      <c r="AG835" s="1018">
        <f>'09월 화학성분'!AM835</f>
        <v>0</v>
      </c>
      <c r="AH835" s="1006" t="str">
        <f t="shared" si="167"/>
        <v/>
      </c>
      <c r="AI835" s="1019"/>
      <c r="AJ835" s="1020"/>
      <c r="AK835" s="1021"/>
      <c r="AL835" s="1022"/>
      <c r="AM835" s="1155" t="str">
        <f>IF(AT835="","",3*'09월 에너지'!S837*(1/(3+7.8*(100-AT835)/AT835)))</f>
        <v/>
      </c>
      <c r="AN835" s="1023"/>
      <c r="AO835" s="1024"/>
      <c r="AP835" s="1025"/>
      <c r="AQ835" s="1025"/>
      <c r="AR835" s="1149" t="str">
        <f t="shared" si="168"/>
        <v/>
      </c>
      <c r="AS835" s="1093" t="str">
        <f t="shared" si="179"/>
        <v/>
      </c>
      <c r="AT835" s="1156"/>
      <c r="AU835" s="449"/>
      <c r="AV835" s="1205"/>
    </row>
    <row r="836" spans="1:48" ht="16.5" customHeight="1">
      <c r="A836" s="1005" t="str">
        <f t="shared" si="169"/>
        <v/>
      </c>
      <c r="B836" s="1005" t="str">
        <f t="shared" si="170"/>
        <v/>
      </c>
      <c r="C836" s="1150" t="str">
        <f t="shared" si="171"/>
        <v/>
      </c>
      <c r="D836" s="1150" t="str">
        <f t="shared" si="172"/>
        <v/>
      </c>
      <c r="E836" s="1006" t="str">
        <f t="shared" si="173"/>
        <v/>
      </c>
      <c r="F836" s="1007" t="str">
        <f t="shared" si="174"/>
        <v/>
      </c>
      <c r="G836" s="1008" t="str">
        <f t="shared" si="175"/>
        <v/>
      </c>
      <c r="H836" s="1138">
        <f t="shared" si="176"/>
        <v>0.34722222222222221</v>
      </c>
      <c r="I836" s="1009"/>
      <c r="J836" s="1010" t="str">
        <f t="shared" si="177"/>
        <v/>
      </c>
      <c r="K836" s="1011"/>
      <c r="L836" s="1012"/>
      <c r="M836" s="1013"/>
      <c r="N836" s="1014" t="str">
        <f t="shared" si="178"/>
        <v/>
      </c>
      <c r="O836" s="1326"/>
      <c r="P836" s="1327"/>
      <c r="Q836" s="1327"/>
      <c r="R836" s="1327"/>
      <c r="S836" s="1327"/>
      <c r="T836" s="1328"/>
      <c r="U836" s="1015">
        <v>1.8</v>
      </c>
      <c r="V836" s="1015"/>
      <c r="W836" s="1015"/>
      <c r="X836" s="1015"/>
      <c r="Y836" s="1015"/>
      <c r="Z836" s="1016">
        <f>'09월 에너지'!S838</f>
        <v>0</v>
      </c>
      <c r="AA836" s="1017"/>
      <c r="AB836" s="1208"/>
      <c r="AC836" s="1208"/>
      <c r="AD836" s="1208"/>
      <c r="AE836" s="1208"/>
      <c r="AF836" s="1208"/>
      <c r="AG836" s="1018">
        <f>'09월 화학성분'!AM836</f>
        <v>0</v>
      </c>
      <c r="AH836" s="1006" t="str">
        <f t="shared" si="167"/>
        <v/>
      </c>
      <c r="AI836" s="1019"/>
      <c r="AJ836" s="1020"/>
      <c r="AK836" s="1021"/>
      <c r="AL836" s="1022"/>
      <c r="AM836" s="1155" t="str">
        <f>IF(AT836="","",3*'09월 에너지'!S838*(1/(3+7.8*(100-AT836)/AT836)))</f>
        <v/>
      </c>
      <c r="AN836" s="1023"/>
      <c r="AO836" s="1024"/>
      <c r="AP836" s="1025"/>
      <c r="AQ836" s="1025"/>
      <c r="AR836" s="1149" t="str">
        <f t="shared" si="168"/>
        <v/>
      </c>
      <c r="AS836" s="1093" t="str">
        <f t="shared" si="179"/>
        <v/>
      </c>
      <c r="AT836" s="1156"/>
      <c r="AU836" s="449"/>
      <c r="AV836" s="1205"/>
    </row>
    <row r="837" spans="1:48" ht="16.5" customHeight="1">
      <c r="A837" s="1005" t="str">
        <f t="shared" si="169"/>
        <v/>
      </c>
      <c r="B837" s="1005" t="str">
        <f t="shared" si="170"/>
        <v/>
      </c>
      <c r="C837" s="1150" t="str">
        <f t="shared" si="171"/>
        <v/>
      </c>
      <c r="D837" s="1150" t="str">
        <f t="shared" si="172"/>
        <v/>
      </c>
      <c r="E837" s="1006" t="str">
        <f t="shared" si="173"/>
        <v/>
      </c>
      <c r="F837" s="1007" t="str">
        <f t="shared" si="174"/>
        <v/>
      </c>
      <c r="G837" s="1008" t="str">
        <f t="shared" si="175"/>
        <v/>
      </c>
      <c r="H837" s="1138">
        <f t="shared" si="176"/>
        <v>0.38055555555555554</v>
      </c>
      <c r="I837" s="1009"/>
      <c r="J837" s="1010" t="str">
        <f t="shared" si="177"/>
        <v/>
      </c>
      <c r="K837" s="1011"/>
      <c r="L837" s="1012"/>
      <c r="M837" s="1013"/>
      <c r="N837" s="1014" t="str">
        <f t="shared" si="178"/>
        <v/>
      </c>
      <c r="O837" s="1326"/>
      <c r="P837" s="1327"/>
      <c r="Q837" s="1327"/>
      <c r="R837" s="1327"/>
      <c r="S837" s="1327"/>
      <c r="T837" s="1328"/>
      <c r="U837" s="1015">
        <v>1.8</v>
      </c>
      <c r="V837" s="1015"/>
      <c r="W837" s="1015"/>
      <c r="X837" s="1015"/>
      <c r="Y837" s="1015"/>
      <c r="Z837" s="1016">
        <f>'09월 에너지'!S839</f>
        <v>0</v>
      </c>
      <c r="AA837" s="1017"/>
      <c r="AB837" s="1208"/>
      <c r="AC837" s="1208"/>
      <c r="AD837" s="1208"/>
      <c r="AE837" s="1208"/>
      <c r="AF837" s="1208"/>
      <c r="AG837" s="1018">
        <f>'09월 화학성분'!AM837</f>
        <v>0</v>
      </c>
      <c r="AH837" s="1006" t="str">
        <f t="shared" si="167"/>
        <v/>
      </c>
      <c r="AI837" s="1019"/>
      <c r="AJ837" s="1020"/>
      <c r="AK837" s="1021"/>
      <c r="AL837" s="1022"/>
      <c r="AM837" s="1155" t="str">
        <f>IF(AT837="","",3*'09월 에너지'!S839*(1/(3+7.8*(100-AT837)/AT837)))</f>
        <v/>
      </c>
      <c r="AN837" s="1023"/>
      <c r="AO837" s="1024"/>
      <c r="AP837" s="1025"/>
      <c r="AQ837" s="1025"/>
      <c r="AR837" s="1149" t="str">
        <f t="shared" si="168"/>
        <v/>
      </c>
      <c r="AS837" s="1093" t="str">
        <f t="shared" si="179"/>
        <v/>
      </c>
      <c r="AT837" s="1156"/>
      <c r="AU837" s="449"/>
      <c r="AV837" s="1205"/>
    </row>
    <row r="838" spans="1:48" ht="16.5" customHeight="1">
      <c r="A838" s="1005" t="str">
        <f t="shared" si="169"/>
        <v/>
      </c>
      <c r="B838" s="1005" t="str">
        <f t="shared" si="170"/>
        <v/>
      </c>
      <c r="C838" s="1150" t="str">
        <f t="shared" si="171"/>
        <v/>
      </c>
      <c r="D838" s="1150" t="str">
        <f t="shared" si="172"/>
        <v/>
      </c>
      <c r="E838" s="1006" t="str">
        <f t="shared" si="173"/>
        <v/>
      </c>
      <c r="F838" s="1007" t="str">
        <f t="shared" si="174"/>
        <v/>
      </c>
      <c r="G838" s="1008" t="str">
        <f t="shared" si="175"/>
        <v/>
      </c>
      <c r="H838" s="1138">
        <f t="shared" si="176"/>
        <v>0.41388888888888886</v>
      </c>
      <c r="I838" s="1009"/>
      <c r="J838" s="1010" t="str">
        <f t="shared" si="177"/>
        <v/>
      </c>
      <c r="K838" s="1011"/>
      <c r="L838" s="1012"/>
      <c r="M838" s="1013"/>
      <c r="N838" s="1014" t="str">
        <f t="shared" si="178"/>
        <v/>
      </c>
      <c r="O838" s="1326"/>
      <c r="P838" s="1327"/>
      <c r="Q838" s="1327"/>
      <c r="R838" s="1327"/>
      <c r="S838" s="1327"/>
      <c r="T838" s="1328"/>
      <c r="U838" s="1015">
        <v>1.8</v>
      </c>
      <c r="V838" s="1015"/>
      <c r="W838" s="1015"/>
      <c r="X838" s="1015"/>
      <c r="Y838" s="1015"/>
      <c r="Z838" s="1016">
        <f>'09월 에너지'!S840</f>
        <v>0</v>
      </c>
      <c r="AA838" s="1017"/>
      <c r="AB838" s="1208"/>
      <c r="AC838" s="1208"/>
      <c r="AD838" s="1208"/>
      <c r="AE838" s="1208"/>
      <c r="AF838" s="1208"/>
      <c r="AG838" s="1018">
        <f>'09월 화학성분'!AM838</f>
        <v>0</v>
      </c>
      <c r="AH838" s="1006" t="str">
        <f t="shared" si="167"/>
        <v/>
      </c>
      <c r="AI838" s="1019"/>
      <c r="AJ838" s="1020"/>
      <c r="AK838" s="1021"/>
      <c r="AL838" s="1022"/>
      <c r="AM838" s="1155" t="str">
        <f>IF(AT838="","",3*'09월 에너지'!S840*(1/(3+7.8*(100-AT838)/AT838)))</f>
        <v/>
      </c>
      <c r="AN838" s="1023"/>
      <c r="AO838" s="1024"/>
      <c r="AP838" s="1025"/>
      <c r="AQ838" s="1025"/>
      <c r="AR838" s="1149" t="str">
        <f t="shared" si="168"/>
        <v/>
      </c>
      <c r="AS838" s="1093" t="str">
        <f t="shared" si="179"/>
        <v/>
      </c>
      <c r="AT838" s="1156"/>
      <c r="AU838" s="449"/>
      <c r="AV838" s="1205"/>
    </row>
    <row r="839" spans="1:48" ht="16.5" customHeight="1">
      <c r="A839" s="1005" t="str">
        <f t="shared" si="169"/>
        <v/>
      </c>
      <c r="B839" s="1005" t="str">
        <f t="shared" si="170"/>
        <v/>
      </c>
      <c r="C839" s="1150" t="str">
        <f t="shared" si="171"/>
        <v/>
      </c>
      <c r="D839" s="1150" t="str">
        <f t="shared" si="172"/>
        <v/>
      </c>
      <c r="E839" s="1006" t="str">
        <f t="shared" si="173"/>
        <v/>
      </c>
      <c r="F839" s="1007" t="str">
        <f t="shared" si="174"/>
        <v/>
      </c>
      <c r="G839" s="1008" t="str">
        <f t="shared" si="175"/>
        <v/>
      </c>
      <c r="H839" s="1138">
        <f t="shared" si="176"/>
        <v>0.44722222222222219</v>
      </c>
      <c r="I839" s="1009"/>
      <c r="J839" s="1010" t="str">
        <f t="shared" si="177"/>
        <v/>
      </c>
      <c r="K839" s="1011"/>
      <c r="L839" s="1012"/>
      <c r="M839" s="1013"/>
      <c r="N839" s="1014" t="str">
        <f t="shared" si="178"/>
        <v/>
      </c>
      <c r="O839" s="1326"/>
      <c r="P839" s="1327"/>
      <c r="Q839" s="1327"/>
      <c r="R839" s="1327"/>
      <c r="S839" s="1327"/>
      <c r="T839" s="1328"/>
      <c r="U839" s="1015">
        <v>1.8</v>
      </c>
      <c r="V839" s="1015"/>
      <c r="W839" s="1015"/>
      <c r="X839" s="1015"/>
      <c r="Y839" s="1015"/>
      <c r="Z839" s="1016">
        <f>'09월 에너지'!S841</f>
        <v>0</v>
      </c>
      <c r="AA839" s="1017"/>
      <c r="AB839" s="1208"/>
      <c r="AC839" s="1208"/>
      <c r="AD839" s="1208"/>
      <c r="AE839" s="1208"/>
      <c r="AF839" s="1208"/>
      <c r="AG839" s="1018">
        <f>'09월 화학성분'!AM839</f>
        <v>0</v>
      </c>
      <c r="AH839" s="1006" t="str">
        <f t="shared" si="167"/>
        <v/>
      </c>
      <c r="AI839" s="1019"/>
      <c r="AJ839" s="1020"/>
      <c r="AK839" s="1021"/>
      <c r="AL839" s="1022"/>
      <c r="AM839" s="1155" t="str">
        <f>IF(AT839="","",3*'09월 에너지'!S841*(1/(3+7.8*(100-AT839)/AT839)))</f>
        <v/>
      </c>
      <c r="AN839" s="1023"/>
      <c r="AO839" s="1024"/>
      <c r="AP839" s="1025"/>
      <c r="AQ839" s="1025"/>
      <c r="AR839" s="1149" t="str">
        <f t="shared" si="168"/>
        <v/>
      </c>
      <c r="AS839" s="1093" t="str">
        <f t="shared" si="179"/>
        <v/>
      </c>
      <c r="AT839" s="1156"/>
      <c r="AU839" s="449"/>
      <c r="AV839" s="1205"/>
    </row>
    <row r="840" spans="1:48" ht="16.5" customHeight="1">
      <c r="A840" s="1005" t="str">
        <f t="shared" si="169"/>
        <v/>
      </c>
      <c r="B840" s="1005" t="str">
        <f t="shared" si="170"/>
        <v/>
      </c>
      <c r="C840" s="1150" t="str">
        <f t="shared" si="171"/>
        <v/>
      </c>
      <c r="D840" s="1150" t="str">
        <f t="shared" si="172"/>
        <v/>
      </c>
      <c r="E840" s="1006" t="str">
        <f t="shared" si="173"/>
        <v/>
      </c>
      <c r="F840" s="1007" t="str">
        <f t="shared" si="174"/>
        <v/>
      </c>
      <c r="G840" s="1008" t="str">
        <f t="shared" si="175"/>
        <v/>
      </c>
      <c r="H840" s="1138">
        <f t="shared" si="176"/>
        <v>0.48055555555555551</v>
      </c>
      <c r="I840" s="1009"/>
      <c r="J840" s="1010" t="str">
        <f t="shared" si="177"/>
        <v/>
      </c>
      <c r="K840" s="1011"/>
      <c r="L840" s="1012"/>
      <c r="M840" s="1013"/>
      <c r="N840" s="1014" t="str">
        <f t="shared" si="178"/>
        <v/>
      </c>
      <c r="O840" s="1326"/>
      <c r="P840" s="1327"/>
      <c r="Q840" s="1327"/>
      <c r="R840" s="1327"/>
      <c r="S840" s="1327"/>
      <c r="T840" s="1328"/>
      <c r="U840" s="1015">
        <v>1.8</v>
      </c>
      <c r="V840" s="1015"/>
      <c r="W840" s="1015"/>
      <c r="X840" s="1015"/>
      <c r="Y840" s="1015"/>
      <c r="Z840" s="1016">
        <f>'09월 에너지'!S842</f>
        <v>0</v>
      </c>
      <c r="AA840" s="1017"/>
      <c r="AB840" s="1208"/>
      <c r="AC840" s="1208"/>
      <c r="AD840" s="1208"/>
      <c r="AE840" s="1208"/>
      <c r="AF840" s="1208"/>
      <c r="AG840" s="1018">
        <f>'09월 화학성분'!AM840</f>
        <v>0</v>
      </c>
      <c r="AH840" s="1006" t="str">
        <f t="shared" si="167"/>
        <v/>
      </c>
      <c r="AI840" s="1019"/>
      <c r="AJ840" s="1020"/>
      <c r="AK840" s="1021"/>
      <c r="AL840" s="1022"/>
      <c r="AM840" s="1155" t="str">
        <f>IF(AT840="","",3*'09월 에너지'!S842*(1/(3+7.8*(100-AT840)/AT840)))</f>
        <v/>
      </c>
      <c r="AN840" s="1023"/>
      <c r="AO840" s="1024"/>
      <c r="AP840" s="1025"/>
      <c r="AQ840" s="1025"/>
      <c r="AR840" s="1149" t="str">
        <f t="shared" si="168"/>
        <v/>
      </c>
      <c r="AS840" s="1093" t="str">
        <f t="shared" si="179"/>
        <v/>
      </c>
      <c r="AT840" s="1156"/>
      <c r="AU840" s="449"/>
      <c r="AV840" s="1205"/>
    </row>
    <row r="841" spans="1:48" ht="16.5" customHeight="1">
      <c r="A841" s="1005" t="str">
        <f t="shared" si="169"/>
        <v/>
      </c>
      <c r="B841" s="1005" t="str">
        <f t="shared" si="170"/>
        <v/>
      </c>
      <c r="C841" s="1150" t="str">
        <f t="shared" si="171"/>
        <v/>
      </c>
      <c r="D841" s="1150" t="str">
        <f t="shared" si="172"/>
        <v/>
      </c>
      <c r="E841" s="1006" t="str">
        <f t="shared" si="173"/>
        <v/>
      </c>
      <c r="F841" s="1007" t="str">
        <f t="shared" si="174"/>
        <v/>
      </c>
      <c r="G841" s="1008" t="str">
        <f t="shared" si="175"/>
        <v/>
      </c>
      <c r="H841" s="1138">
        <f t="shared" si="176"/>
        <v>0.51388888888888884</v>
      </c>
      <c r="I841" s="1009"/>
      <c r="J841" s="1010" t="str">
        <f t="shared" si="177"/>
        <v/>
      </c>
      <c r="K841" s="1011"/>
      <c r="L841" s="1012"/>
      <c r="M841" s="1013"/>
      <c r="N841" s="1014" t="str">
        <f t="shared" si="178"/>
        <v/>
      </c>
      <c r="O841" s="1326"/>
      <c r="P841" s="1327"/>
      <c r="Q841" s="1327"/>
      <c r="R841" s="1327"/>
      <c r="S841" s="1327"/>
      <c r="T841" s="1328"/>
      <c r="U841" s="1015">
        <v>1.8</v>
      </c>
      <c r="V841" s="1015"/>
      <c r="W841" s="1015"/>
      <c r="X841" s="1015"/>
      <c r="Y841" s="1015"/>
      <c r="Z841" s="1016">
        <f>'09월 에너지'!S843</f>
        <v>0</v>
      </c>
      <c r="AA841" s="1017"/>
      <c r="AB841" s="1208"/>
      <c r="AC841" s="1208"/>
      <c r="AD841" s="1208"/>
      <c r="AE841" s="1208"/>
      <c r="AF841" s="1208"/>
      <c r="AG841" s="1018">
        <f>'09월 화학성분'!AM841</f>
        <v>0</v>
      </c>
      <c r="AH841" s="1006" t="str">
        <f t="shared" si="167"/>
        <v/>
      </c>
      <c r="AI841" s="1019"/>
      <c r="AJ841" s="1020"/>
      <c r="AK841" s="1021"/>
      <c r="AL841" s="1022"/>
      <c r="AM841" s="1155" t="str">
        <f>IF(AT841="","",3*'09월 에너지'!S843*(1/(3+7.8*(100-AT841)/AT841)))</f>
        <v/>
      </c>
      <c r="AN841" s="1023"/>
      <c r="AO841" s="1024"/>
      <c r="AP841" s="1025"/>
      <c r="AQ841" s="1025"/>
      <c r="AR841" s="1149" t="str">
        <f t="shared" si="168"/>
        <v/>
      </c>
      <c r="AS841" s="1093" t="str">
        <f t="shared" si="179"/>
        <v/>
      </c>
      <c r="AT841" s="1156"/>
      <c r="AU841" s="449"/>
      <c r="AV841" s="1205"/>
    </row>
    <row r="842" spans="1:48" ht="16.5" customHeight="1">
      <c r="A842" s="1005" t="str">
        <f t="shared" si="169"/>
        <v/>
      </c>
      <c r="B842" s="1005" t="str">
        <f t="shared" si="170"/>
        <v/>
      </c>
      <c r="C842" s="1150" t="str">
        <f t="shared" si="171"/>
        <v/>
      </c>
      <c r="D842" s="1150" t="str">
        <f t="shared" si="172"/>
        <v/>
      </c>
      <c r="E842" s="1006" t="str">
        <f t="shared" si="173"/>
        <v/>
      </c>
      <c r="F842" s="1007" t="str">
        <f t="shared" si="174"/>
        <v/>
      </c>
      <c r="G842" s="1008" t="str">
        <f t="shared" si="175"/>
        <v/>
      </c>
      <c r="H842" s="1138">
        <f t="shared" si="176"/>
        <v>0.54722222222222217</v>
      </c>
      <c r="I842" s="1009"/>
      <c r="J842" s="1010" t="str">
        <f t="shared" si="177"/>
        <v/>
      </c>
      <c r="K842" s="1011"/>
      <c r="L842" s="1012"/>
      <c r="M842" s="1013"/>
      <c r="N842" s="1014" t="str">
        <f t="shared" si="178"/>
        <v/>
      </c>
      <c r="O842" s="1326"/>
      <c r="P842" s="1327"/>
      <c r="Q842" s="1327"/>
      <c r="R842" s="1327"/>
      <c r="S842" s="1327"/>
      <c r="T842" s="1328"/>
      <c r="U842" s="1015">
        <v>1.8</v>
      </c>
      <c r="V842" s="1015"/>
      <c r="W842" s="1015"/>
      <c r="X842" s="1015"/>
      <c r="Y842" s="1015"/>
      <c r="Z842" s="1016">
        <f>'09월 에너지'!S844</f>
        <v>0</v>
      </c>
      <c r="AA842" s="1017"/>
      <c r="AB842" s="1208"/>
      <c r="AC842" s="1208"/>
      <c r="AD842" s="1208"/>
      <c r="AE842" s="1208"/>
      <c r="AF842" s="1208"/>
      <c r="AG842" s="1018">
        <f>'09월 화학성분'!AM842</f>
        <v>0</v>
      </c>
      <c r="AH842" s="1006" t="str">
        <f t="shared" si="167"/>
        <v/>
      </c>
      <c r="AI842" s="1019"/>
      <c r="AJ842" s="1020"/>
      <c r="AK842" s="1021"/>
      <c r="AL842" s="1022"/>
      <c r="AM842" s="1155" t="str">
        <f>IF(AT842="","",3*'09월 에너지'!S844*(1/(3+7.8*(100-AT842)/AT842)))</f>
        <v/>
      </c>
      <c r="AN842" s="1023"/>
      <c r="AO842" s="1024"/>
      <c r="AP842" s="1025"/>
      <c r="AQ842" s="1025"/>
      <c r="AR842" s="1149" t="str">
        <f t="shared" si="168"/>
        <v/>
      </c>
      <c r="AS842" s="1093" t="str">
        <f t="shared" si="179"/>
        <v/>
      </c>
      <c r="AT842" s="1156"/>
      <c r="AU842" s="449"/>
      <c r="AV842" s="1205"/>
    </row>
    <row r="843" spans="1:48" ht="16.5" customHeight="1">
      <c r="A843" s="1005" t="str">
        <f t="shared" si="169"/>
        <v/>
      </c>
      <c r="B843" s="1005" t="str">
        <f t="shared" si="170"/>
        <v/>
      </c>
      <c r="C843" s="1150" t="str">
        <f t="shared" si="171"/>
        <v/>
      </c>
      <c r="D843" s="1150" t="str">
        <f t="shared" si="172"/>
        <v/>
      </c>
      <c r="E843" s="1006" t="str">
        <f t="shared" si="173"/>
        <v/>
      </c>
      <c r="F843" s="1007" t="str">
        <f t="shared" si="174"/>
        <v/>
      </c>
      <c r="G843" s="1008" t="str">
        <f t="shared" si="175"/>
        <v/>
      </c>
      <c r="H843" s="1138">
        <f t="shared" si="176"/>
        <v>0.58055555555555549</v>
      </c>
      <c r="I843" s="1009"/>
      <c r="J843" s="1010" t="str">
        <f t="shared" si="177"/>
        <v/>
      </c>
      <c r="K843" s="1011"/>
      <c r="L843" s="1012"/>
      <c r="M843" s="1013"/>
      <c r="N843" s="1014" t="str">
        <f t="shared" si="178"/>
        <v/>
      </c>
      <c r="O843" s="1326"/>
      <c r="P843" s="1327"/>
      <c r="Q843" s="1327"/>
      <c r="R843" s="1327"/>
      <c r="S843" s="1327"/>
      <c r="T843" s="1328"/>
      <c r="U843" s="1015">
        <v>1.8</v>
      </c>
      <c r="V843" s="1015"/>
      <c r="W843" s="1015"/>
      <c r="X843" s="1015"/>
      <c r="Y843" s="1015"/>
      <c r="Z843" s="1016">
        <f>'09월 에너지'!S845</f>
        <v>0</v>
      </c>
      <c r="AA843" s="1017"/>
      <c r="AB843" s="1208"/>
      <c r="AC843" s="1208"/>
      <c r="AD843" s="1208"/>
      <c r="AE843" s="1208"/>
      <c r="AF843" s="1208"/>
      <c r="AG843" s="1018">
        <f>'09월 화학성분'!AM843</f>
        <v>0</v>
      </c>
      <c r="AH843" s="1006" t="str">
        <f t="shared" si="167"/>
        <v/>
      </c>
      <c r="AI843" s="1019"/>
      <c r="AJ843" s="1020"/>
      <c r="AK843" s="1021"/>
      <c r="AL843" s="1022"/>
      <c r="AM843" s="1155" t="str">
        <f>IF(AT843="","",3*'09월 에너지'!S845*(1/(3+7.8*(100-AT843)/AT843)))</f>
        <v/>
      </c>
      <c r="AN843" s="1023"/>
      <c r="AO843" s="1024"/>
      <c r="AP843" s="1025"/>
      <c r="AQ843" s="1025"/>
      <c r="AR843" s="1149" t="str">
        <f t="shared" si="168"/>
        <v/>
      </c>
      <c r="AS843" s="1093" t="str">
        <f t="shared" si="179"/>
        <v/>
      </c>
      <c r="AT843" s="1156"/>
      <c r="AU843" s="449"/>
      <c r="AV843" s="1205"/>
    </row>
    <row r="844" spans="1:48" ht="16.5" customHeight="1">
      <c r="A844" s="1005" t="str">
        <f t="shared" si="169"/>
        <v/>
      </c>
      <c r="B844" s="1005" t="str">
        <f t="shared" si="170"/>
        <v/>
      </c>
      <c r="C844" s="1150" t="str">
        <f t="shared" si="171"/>
        <v/>
      </c>
      <c r="D844" s="1150" t="str">
        <f t="shared" si="172"/>
        <v/>
      </c>
      <c r="E844" s="1006" t="str">
        <f t="shared" si="173"/>
        <v/>
      </c>
      <c r="F844" s="1007" t="str">
        <f t="shared" si="174"/>
        <v/>
      </c>
      <c r="G844" s="1008" t="str">
        <f t="shared" si="175"/>
        <v/>
      </c>
      <c r="H844" s="1138">
        <f t="shared" si="176"/>
        <v>0.61388888888888882</v>
      </c>
      <c r="I844" s="1009"/>
      <c r="J844" s="1010" t="str">
        <f t="shared" si="177"/>
        <v/>
      </c>
      <c r="K844" s="1011"/>
      <c r="L844" s="1012"/>
      <c r="M844" s="1013"/>
      <c r="N844" s="1014" t="str">
        <f t="shared" si="178"/>
        <v/>
      </c>
      <c r="O844" s="1326"/>
      <c r="P844" s="1327"/>
      <c r="Q844" s="1327"/>
      <c r="R844" s="1327"/>
      <c r="S844" s="1327"/>
      <c r="T844" s="1328"/>
      <c r="U844" s="1015">
        <v>1.8</v>
      </c>
      <c r="V844" s="1015"/>
      <c r="W844" s="1015"/>
      <c r="X844" s="1015"/>
      <c r="Y844" s="1015"/>
      <c r="Z844" s="1016">
        <f>'09월 에너지'!S846</f>
        <v>0</v>
      </c>
      <c r="AA844" s="1017"/>
      <c r="AB844" s="1208"/>
      <c r="AC844" s="1208"/>
      <c r="AD844" s="1208"/>
      <c r="AE844" s="1208"/>
      <c r="AF844" s="1208"/>
      <c r="AG844" s="1018">
        <f>'09월 화학성분'!AM844</f>
        <v>0</v>
      </c>
      <c r="AH844" s="1006" t="str">
        <f t="shared" si="167"/>
        <v/>
      </c>
      <c r="AI844" s="1019"/>
      <c r="AJ844" s="1020"/>
      <c r="AK844" s="1021"/>
      <c r="AL844" s="1022"/>
      <c r="AM844" s="1155" t="str">
        <f>IF(AT844="","",3*'09월 에너지'!S846*(1/(3+7.8*(100-AT844)/AT844)))</f>
        <v/>
      </c>
      <c r="AN844" s="1023"/>
      <c r="AO844" s="1024"/>
      <c r="AP844" s="1025"/>
      <c r="AQ844" s="1025"/>
      <c r="AR844" s="1149" t="str">
        <f t="shared" si="168"/>
        <v/>
      </c>
      <c r="AS844" s="1093" t="str">
        <f t="shared" si="179"/>
        <v/>
      </c>
      <c r="AT844" s="1156"/>
      <c r="AU844" s="449"/>
      <c r="AV844" s="1205"/>
    </row>
    <row r="845" spans="1:48" ht="16.5" customHeight="1">
      <c r="A845" s="1005" t="str">
        <f t="shared" si="169"/>
        <v/>
      </c>
      <c r="B845" s="1005" t="str">
        <f t="shared" si="170"/>
        <v/>
      </c>
      <c r="C845" s="1150" t="str">
        <f t="shared" si="171"/>
        <v/>
      </c>
      <c r="D845" s="1150" t="str">
        <f t="shared" si="172"/>
        <v/>
      </c>
      <c r="E845" s="1006" t="str">
        <f t="shared" si="173"/>
        <v/>
      </c>
      <c r="F845" s="1007" t="str">
        <f t="shared" si="174"/>
        <v/>
      </c>
      <c r="G845" s="1008" t="str">
        <f t="shared" si="175"/>
        <v/>
      </c>
      <c r="H845" s="1138">
        <f t="shared" si="176"/>
        <v>0.64722222222222214</v>
      </c>
      <c r="I845" s="1009"/>
      <c r="J845" s="1010" t="str">
        <f t="shared" si="177"/>
        <v/>
      </c>
      <c r="K845" s="1011"/>
      <c r="L845" s="1012"/>
      <c r="M845" s="1013"/>
      <c r="N845" s="1014" t="str">
        <f t="shared" si="178"/>
        <v/>
      </c>
      <c r="O845" s="1326"/>
      <c r="P845" s="1327"/>
      <c r="Q845" s="1327"/>
      <c r="R845" s="1327"/>
      <c r="S845" s="1327"/>
      <c r="T845" s="1328"/>
      <c r="U845" s="1015">
        <v>1.8</v>
      </c>
      <c r="V845" s="1015"/>
      <c r="W845" s="1015"/>
      <c r="X845" s="1015"/>
      <c r="Y845" s="1015"/>
      <c r="Z845" s="1016">
        <f>'09월 에너지'!S847</f>
        <v>0</v>
      </c>
      <c r="AA845" s="1017"/>
      <c r="AB845" s="1208"/>
      <c r="AC845" s="1208"/>
      <c r="AD845" s="1208"/>
      <c r="AE845" s="1208"/>
      <c r="AF845" s="1208"/>
      <c r="AG845" s="1018">
        <f>'09월 화학성분'!AM845</f>
        <v>0</v>
      </c>
      <c r="AH845" s="1006" t="str">
        <f t="shared" ref="AH845:AH908" si="180">IF(I845="","",AH844+1)</f>
        <v/>
      </c>
      <c r="AI845" s="1019"/>
      <c r="AJ845" s="1020"/>
      <c r="AK845" s="1021"/>
      <c r="AL845" s="1022"/>
      <c r="AM845" s="1155" t="str">
        <f>IF(AT845="","",3*'09월 에너지'!S847*(1/(3+7.8*(100-AT845)/AT845)))</f>
        <v/>
      </c>
      <c r="AN845" s="1023"/>
      <c r="AO845" s="1024"/>
      <c r="AP845" s="1025"/>
      <c r="AQ845" s="1025"/>
      <c r="AR845" s="1149" t="str">
        <f t="shared" ref="AR845:AR908" si="181">IF(F845="A",IFERROR(IF(I845="","",IF(F845="A",AR844+1," ")),AR843+1),"")</f>
        <v/>
      </c>
      <c r="AS845" s="1093" t="str">
        <f t="shared" si="179"/>
        <v/>
      </c>
      <c r="AT845" s="1156"/>
      <c r="AU845" s="449"/>
      <c r="AV845" s="1205"/>
    </row>
    <row r="846" spans="1:48" ht="16.5" customHeight="1">
      <c r="A846" s="1005" t="str">
        <f t="shared" ref="A846:A909" si="182">IF(I846="","",A845)</f>
        <v/>
      </c>
      <c r="B846" s="1005" t="str">
        <f t="shared" ref="B846:B909" si="183">IF(J846="","",B845)</f>
        <v/>
      </c>
      <c r="C846" s="1150" t="str">
        <f t="shared" ref="C846:C909" si="184">IF(I846="","",IF(A846=A845,C845+1,1))</f>
        <v/>
      </c>
      <c r="D846" s="1150" t="str">
        <f t="shared" ref="D846:D909" si="185">IF(C846="","",D845+1)</f>
        <v/>
      </c>
      <c r="E846" s="1006" t="str">
        <f t="shared" ref="E846:E909" si="186">IF(C846="","",E845)</f>
        <v/>
      </c>
      <c r="F846" s="1007" t="str">
        <f t="shared" ref="F846:F909" si="187">IF(C846="","",IF(F845="A","B","A"))</f>
        <v/>
      </c>
      <c r="G846" s="1008" t="str">
        <f t="shared" ref="G846:G909" si="188">IF(C846="","",G845+1)</f>
        <v/>
      </c>
      <c r="H846" s="1138">
        <f t="shared" ref="H846:H909" si="189">IF(ISBLANK(I845),H845+C$8/1440,I845+C$8/1440)</f>
        <v>0.68055555555555547</v>
      </c>
      <c r="I846" s="1009"/>
      <c r="J846" s="1010" t="str">
        <f t="shared" ref="J846:J909" si="190">IF(I846="","",IF(I846&lt;I845,(I846-I845)*1440+1440,(I846-I845)*1440))</f>
        <v/>
      </c>
      <c r="K846" s="1011"/>
      <c r="L846" s="1012"/>
      <c r="M846" s="1013"/>
      <c r="N846" s="1014" t="str">
        <f t="shared" ref="N846:N909" si="191">IF(M846="","",M846+K846/1440)</f>
        <v/>
      </c>
      <c r="O846" s="1326"/>
      <c r="P846" s="1327"/>
      <c r="Q846" s="1327"/>
      <c r="R846" s="1327"/>
      <c r="S846" s="1327"/>
      <c r="T846" s="1328"/>
      <c r="U846" s="1015">
        <v>1.8</v>
      </c>
      <c r="V846" s="1015"/>
      <c r="W846" s="1015"/>
      <c r="X846" s="1015"/>
      <c r="Y846" s="1015"/>
      <c r="Z846" s="1016">
        <f>'09월 에너지'!S848</f>
        <v>0</v>
      </c>
      <c r="AA846" s="1017"/>
      <c r="AB846" s="1208"/>
      <c r="AC846" s="1208"/>
      <c r="AD846" s="1208"/>
      <c r="AE846" s="1208"/>
      <c r="AF846" s="1208"/>
      <c r="AG846" s="1018">
        <f>'09월 화학성분'!AM846</f>
        <v>0</v>
      </c>
      <c r="AH846" s="1006" t="str">
        <f t="shared" si="180"/>
        <v/>
      </c>
      <c r="AI846" s="1019"/>
      <c r="AJ846" s="1020"/>
      <c r="AK846" s="1021"/>
      <c r="AL846" s="1022"/>
      <c r="AM846" s="1155" t="str">
        <f>IF(AT846="","",3*'09월 에너지'!S848*(1/(3+7.8*(100-AT846)/AT846)))</f>
        <v/>
      </c>
      <c r="AN846" s="1023"/>
      <c r="AO846" s="1024"/>
      <c r="AP846" s="1025"/>
      <c r="AQ846" s="1025"/>
      <c r="AR846" s="1149" t="str">
        <f t="shared" si="181"/>
        <v/>
      </c>
      <c r="AS846" s="1093" t="str">
        <f t="shared" ref="AS846:AS909" si="192">IFERROR(IF($I846="","",IF($F846="B",AS845+1," ")),AS844+1)</f>
        <v/>
      </c>
      <c r="AT846" s="1156"/>
      <c r="AU846" s="449"/>
      <c r="AV846" s="1205"/>
    </row>
    <row r="847" spans="1:48" ht="16.5" customHeight="1">
      <c r="A847" s="1005" t="str">
        <f t="shared" si="182"/>
        <v/>
      </c>
      <c r="B847" s="1005" t="str">
        <f t="shared" si="183"/>
        <v/>
      </c>
      <c r="C847" s="1150" t="str">
        <f t="shared" si="184"/>
        <v/>
      </c>
      <c r="D847" s="1150" t="str">
        <f t="shared" si="185"/>
        <v/>
      </c>
      <c r="E847" s="1006" t="str">
        <f t="shared" si="186"/>
        <v/>
      </c>
      <c r="F847" s="1007" t="str">
        <f t="shared" si="187"/>
        <v/>
      </c>
      <c r="G847" s="1008" t="str">
        <f t="shared" si="188"/>
        <v/>
      </c>
      <c r="H847" s="1138">
        <f t="shared" si="189"/>
        <v>0.7138888888888888</v>
      </c>
      <c r="I847" s="1009"/>
      <c r="J847" s="1010" t="str">
        <f t="shared" si="190"/>
        <v/>
      </c>
      <c r="K847" s="1011"/>
      <c r="L847" s="1012"/>
      <c r="M847" s="1013"/>
      <c r="N847" s="1014" t="str">
        <f t="shared" si="191"/>
        <v/>
      </c>
      <c r="O847" s="1326"/>
      <c r="P847" s="1327"/>
      <c r="Q847" s="1327"/>
      <c r="R847" s="1327"/>
      <c r="S847" s="1327"/>
      <c r="T847" s="1328"/>
      <c r="U847" s="1015">
        <v>1.8</v>
      </c>
      <c r="V847" s="1015"/>
      <c r="W847" s="1015"/>
      <c r="X847" s="1015"/>
      <c r="Y847" s="1015"/>
      <c r="Z847" s="1016">
        <f>'09월 에너지'!S849</f>
        <v>0</v>
      </c>
      <c r="AA847" s="1017"/>
      <c r="AB847" s="1208"/>
      <c r="AC847" s="1208"/>
      <c r="AD847" s="1208"/>
      <c r="AE847" s="1208"/>
      <c r="AF847" s="1208"/>
      <c r="AG847" s="1018">
        <f>'09월 화학성분'!AM847</f>
        <v>0</v>
      </c>
      <c r="AH847" s="1006" t="str">
        <f t="shared" si="180"/>
        <v/>
      </c>
      <c r="AI847" s="1019"/>
      <c r="AJ847" s="1020"/>
      <c r="AK847" s="1021"/>
      <c r="AL847" s="1022"/>
      <c r="AM847" s="1155" t="str">
        <f>IF(AT847="","",3*'09월 에너지'!S849*(1/(3+7.8*(100-AT847)/AT847)))</f>
        <v/>
      </c>
      <c r="AN847" s="1023"/>
      <c r="AO847" s="1024"/>
      <c r="AP847" s="1025"/>
      <c r="AQ847" s="1025"/>
      <c r="AR847" s="1149" t="str">
        <f t="shared" si="181"/>
        <v/>
      </c>
      <c r="AS847" s="1093" t="str">
        <f t="shared" si="192"/>
        <v/>
      </c>
      <c r="AT847" s="1156"/>
      <c r="AU847" s="449"/>
      <c r="AV847" s="1205"/>
    </row>
    <row r="848" spans="1:48" ht="16.5" customHeight="1">
      <c r="A848" s="1005" t="str">
        <f t="shared" si="182"/>
        <v/>
      </c>
      <c r="B848" s="1005" t="str">
        <f t="shared" si="183"/>
        <v/>
      </c>
      <c r="C848" s="1150" t="str">
        <f t="shared" si="184"/>
        <v/>
      </c>
      <c r="D848" s="1150" t="str">
        <f t="shared" si="185"/>
        <v/>
      </c>
      <c r="E848" s="1006" t="str">
        <f t="shared" si="186"/>
        <v/>
      </c>
      <c r="F848" s="1007" t="str">
        <f t="shared" si="187"/>
        <v/>
      </c>
      <c r="G848" s="1008" t="str">
        <f t="shared" si="188"/>
        <v/>
      </c>
      <c r="H848" s="1138">
        <f t="shared" si="189"/>
        <v>0.74722222222222212</v>
      </c>
      <c r="I848" s="1009"/>
      <c r="J848" s="1010" t="str">
        <f t="shared" si="190"/>
        <v/>
      </c>
      <c r="K848" s="1011"/>
      <c r="L848" s="1012"/>
      <c r="M848" s="1013"/>
      <c r="N848" s="1014" t="str">
        <f t="shared" si="191"/>
        <v/>
      </c>
      <c r="O848" s="1326"/>
      <c r="P848" s="1327"/>
      <c r="Q848" s="1327"/>
      <c r="R848" s="1327"/>
      <c r="S848" s="1327"/>
      <c r="T848" s="1328"/>
      <c r="U848" s="1015">
        <v>1.8</v>
      </c>
      <c r="V848" s="1015"/>
      <c r="W848" s="1015"/>
      <c r="X848" s="1015"/>
      <c r="Y848" s="1015"/>
      <c r="Z848" s="1016">
        <f>'09월 에너지'!S850</f>
        <v>0</v>
      </c>
      <c r="AA848" s="1017"/>
      <c r="AB848" s="1208"/>
      <c r="AC848" s="1208"/>
      <c r="AD848" s="1208"/>
      <c r="AE848" s="1208"/>
      <c r="AF848" s="1208"/>
      <c r="AG848" s="1018">
        <f>'09월 화학성분'!AM848</f>
        <v>0</v>
      </c>
      <c r="AH848" s="1006" t="str">
        <f t="shared" si="180"/>
        <v/>
      </c>
      <c r="AI848" s="1019"/>
      <c r="AJ848" s="1020"/>
      <c r="AK848" s="1021"/>
      <c r="AL848" s="1022"/>
      <c r="AM848" s="1155" t="str">
        <f>IF(AT848="","",3*'09월 에너지'!S850*(1/(3+7.8*(100-AT848)/AT848)))</f>
        <v/>
      </c>
      <c r="AN848" s="1023"/>
      <c r="AO848" s="1024"/>
      <c r="AP848" s="1025"/>
      <c r="AQ848" s="1025"/>
      <c r="AR848" s="1149" t="str">
        <f t="shared" si="181"/>
        <v/>
      </c>
      <c r="AS848" s="1093" t="str">
        <f t="shared" si="192"/>
        <v/>
      </c>
      <c r="AT848" s="1156"/>
      <c r="AU848" s="449"/>
      <c r="AV848" s="1205"/>
    </row>
    <row r="849" spans="1:48" ht="16.5" customHeight="1">
      <c r="A849" s="1005" t="str">
        <f t="shared" si="182"/>
        <v/>
      </c>
      <c r="B849" s="1005" t="str">
        <f t="shared" si="183"/>
        <v/>
      </c>
      <c r="C849" s="1150" t="str">
        <f t="shared" si="184"/>
        <v/>
      </c>
      <c r="D849" s="1150" t="str">
        <f t="shared" si="185"/>
        <v/>
      </c>
      <c r="E849" s="1006" t="str">
        <f t="shared" si="186"/>
        <v/>
      </c>
      <c r="F849" s="1007" t="str">
        <f t="shared" si="187"/>
        <v/>
      </c>
      <c r="G849" s="1008" t="str">
        <f t="shared" si="188"/>
        <v/>
      </c>
      <c r="H849" s="1138">
        <f t="shared" si="189"/>
        <v>0.78055555555555545</v>
      </c>
      <c r="I849" s="1009"/>
      <c r="J849" s="1010" t="str">
        <f t="shared" si="190"/>
        <v/>
      </c>
      <c r="K849" s="1011"/>
      <c r="L849" s="1012"/>
      <c r="M849" s="1013"/>
      <c r="N849" s="1014" t="str">
        <f t="shared" si="191"/>
        <v/>
      </c>
      <c r="O849" s="1326"/>
      <c r="P849" s="1327"/>
      <c r="Q849" s="1327"/>
      <c r="R849" s="1327"/>
      <c r="S849" s="1327"/>
      <c r="T849" s="1328"/>
      <c r="U849" s="1015">
        <v>1.8</v>
      </c>
      <c r="V849" s="1015"/>
      <c r="W849" s="1015"/>
      <c r="X849" s="1015"/>
      <c r="Y849" s="1015"/>
      <c r="Z849" s="1016">
        <f>'09월 에너지'!S851</f>
        <v>0</v>
      </c>
      <c r="AA849" s="1017"/>
      <c r="AB849" s="1208"/>
      <c r="AC849" s="1208"/>
      <c r="AD849" s="1208"/>
      <c r="AE849" s="1208"/>
      <c r="AF849" s="1208"/>
      <c r="AG849" s="1018">
        <f>'09월 화학성분'!AM849</f>
        <v>0</v>
      </c>
      <c r="AH849" s="1006" t="str">
        <f t="shared" si="180"/>
        <v/>
      </c>
      <c r="AI849" s="1019"/>
      <c r="AJ849" s="1020"/>
      <c r="AK849" s="1021"/>
      <c r="AL849" s="1022"/>
      <c r="AM849" s="1155" t="str">
        <f>IF(AT849="","",3*'09월 에너지'!S851*(1/(3+7.8*(100-AT849)/AT849)))</f>
        <v/>
      </c>
      <c r="AN849" s="1023"/>
      <c r="AO849" s="1024"/>
      <c r="AP849" s="1025"/>
      <c r="AQ849" s="1025"/>
      <c r="AR849" s="1149" t="str">
        <f t="shared" si="181"/>
        <v/>
      </c>
      <c r="AS849" s="1093" t="str">
        <f t="shared" si="192"/>
        <v/>
      </c>
      <c r="AT849" s="1156"/>
      <c r="AU849" s="449"/>
      <c r="AV849" s="1205"/>
    </row>
    <row r="850" spans="1:48" ht="16.5" customHeight="1">
      <c r="A850" s="1005" t="str">
        <f t="shared" si="182"/>
        <v/>
      </c>
      <c r="B850" s="1005" t="str">
        <f t="shared" si="183"/>
        <v/>
      </c>
      <c r="C850" s="1150" t="str">
        <f t="shared" si="184"/>
        <v/>
      </c>
      <c r="D850" s="1150" t="str">
        <f t="shared" si="185"/>
        <v/>
      </c>
      <c r="E850" s="1006" t="str">
        <f t="shared" si="186"/>
        <v/>
      </c>
      <c r="F850" s="1007" t="str">
        <f t="shared" si="187"/>
        <v/>
      </c>
      <c r="G850" s="1008" t="str">
        <f t="shared" si="188"/>
        <v/>
      </c>
      <c r="H850" s="1138">
        <f t="shared" si="189"/>
        <v>0.81388888888888877</v>
      </c>
      <c r="I850" s="1009"/>
      <c r="J850" s="1010" t="str">
        <f t="shared" si="190"/>
        <v/>
      </c>
      <c r="K850" s="1011"/>
      <c r="L850" s="1012"/>
      <c r="M850" s="1013"/>
      <c r="N850" s="1014" t="str">
        <f t="shared" si="191"/>
        <v/>
      </c>
      <c r="O850" s="1326"/>
      <c r="P850" s="1327"/>
      <c r="Q850" s="1327"/>
      <c r="R850" s="1327"/>
      <c r="S850" s="1327"/>
      <c r="T850" s="1328"/>
      <c r="U850" s="1015">
        <v>1.8</v>
      </c>
      <c r="V850" s="1015"/>
      <c r="W850" s="1015"/>
      <c r="X850" s="1015"/>
      <c r="Y850" s="1015"/>
      <c r="Z850" s="1016">
        <f>'09월 에너지'!S852</f>
        <v>0</v>
      </c>
      <c r="AA850" s="1017"/>
      <c r="AB850" s="1208"/>
      <c r="AC850" s="1208"/>
      <c r="AD850" s="1208"/>
      <c r="AE850" s="1208"/>
      <c r="AF850" s="1208"/>
      <c r="AG850" s="1018">
        <f>'09월 화학성분'!AM850</f>
        <v>0</v>
      </c>
      <c r="AH850" s="1006" t="str">
        <f t="shared" si="180"/>
        <v/>
      </c>
      <c r="AI850" s="1019"/>
      <c r="AJ850" s="1020"/>
      <c r="AK850" s="1021"/>
      <c r="AL850" s="1022"/>
      <c r="AM850" s="1155" t="str">
        <f>IF(AT850="","",3*'09월 에너지'!S852*(1/(3+7.8*(100-AT850)/AT850)))</f>
        <v/>
      </c>
      <c r="AN850" s="1023"/>
      <c r="AO850" s="1024"/>
      <c r="AP850" s="1025"/>
      <c r="AQ850" s="1025"/>
      <c r="AR850" s="1149" t="str">
        <f t="shared" si="181"/>
        <v/>
      </c>
      <c r="AS850" s="1093" t="str">
        <f t="shared" si="192"/>
        <v/>
      </c>
      <c r="AT850" s="1156"/>
      <c r="AU850" s="449"/>
      <c r="AV850" s="1205"/>
    </row>
    <row r="851" spans="1:48" ht="16.5" customHeight="1">
      <c r="A851" s="1005" t="str">
        <f t="shared" si="182"/>
        <v/>
      </c>
      <c r="B851" s="1005" t="str">
        <f t="shared" si="183"/>
        <v/>
      </c>
      <c r="C851" s="1150" t="str">
        <f t="shared" si="184"/>
        <v/>
      </c>
      <c r="D851" s="1150" t="str">
        <f t="shared" si="185"/>
        <v/>
      </c>
      <c r="E851" s="1006" t="str">
        <f t="shared" si="186"/>
        <v/>
      </c>
      <c r="F851" s="1007" t="str">
        <f t="shared" si="187"/>
        <v/>
      </c>
      <c r="G851" s="1008" t="str">
        <f t="shared" si="188"/>
        <v/>
      </c>
      <c r="H851" s="1138">
        <f t="shared" si="189"/>
        <v>0.8472222222222221</v>
      </c>
      <c r="I851" s="1009"/>
      <c r="J851" s="1010" t="str">
        <f t="shared" si="190"/>
        <v/>
      </c>
      <c r="K851" s="1011"/>
      <c r="L851" s="1012"/>
      <c r="M851" s="1013"/>
      <c r="N851" s="1014" t="str">
        <f t="shared" si="191"/>
        <v/>
      </c>
      <c r="O851" s="1326"/>
      <c r="P851" s="1327"/>
      <c r="Q851" s="1327"/>
      <c r="R851" s="1327"/>
      <c r="S851" s="1327"/>
      <c r="T851" s="1328"/>
      <c r="U851" s="1015">
        <v>1.8</v>
      </c>
      <c r="V851" s="1015"/>
      <c r="W851" s="1015"/>
      <c r="X851" s="1015"/>
      <c r="Y851" s="1015"/>
      <c r="Z851" s="1016">
        <f>'09월 에너지'!S853</f>
        <v>0</v>
      </c>
      <c r="AA851" s="1017"/>
      <c r="AB851" s="1208"/>
      <c r="AC851" s="1208"/>
      <c r="AD851" s="1208"/>
      <c r="AE851" s="1208"/>
      <c r="AF851" s="1208"/>
      <c r="AG851" s="1018">
        <f>'09월 화학성분'!AM851</f>
        <v>0</v>
      </c>
      <c r="AH851" s="1006" t="str">
        <f t="shared" si="180"/>
        <v/>
      </c>
      <c r="AI851" s="1019"/>
      <c r="AJ851" s="1020"/>
      <c r="AK851" s="1021"/>
      <c r="AL851" s="1022"/>
      <c r="AM851" s="1155" t="str">
        <f>IF(AT851="","",3*'09월 에너지'!S853*(1/(3+7.8*(100-AT851)/AT851)))</f>
        <v/>
      </c>
      <c r="AN851" s="1023"/>
      <c r="AO851" s="1024"/>
      <c r="AP851" s="1025"/>
      <c r="AQ851" s="1025"/>
      <c r="AR851" s="1149" t="str">
        <f t="shared" si="181"/>
        <v/>
      </c>
      <c r="AS851" s="1093" t="str">
        <f t="shared" si="192"/>
        <v/>
      </c>
      <c r="AT851" s="1156"/>
      <c r="AU851" s="449"/>
      <c r="AV851" s="1205"/>
    </row>
    <row r="852" spans="1:48" ht="16.5" customHeight="1">
      <c r="A852" s="1005" t="str">
        <f t="shared" si="182"/>
        <v/>
      </c>
      <c r="B852" s="1005" t="str">
        <f t="shared" si="183"/>
        <v/>
      </c>
      <c r="C852" s="1150" t="str">
        <f t="shared" si="184"/>
        <v/>
      </c>
      <c r="D852" s="1150" t="str">
        <f t="shared" si="185"/>
        <v/>
      </c>
      <c r="E852" s="1006" t="str">
        <f t="shared" si="186"/>
        <v/>
      </c>
      <c r="F852" s="1007" t="str">
        <f t="shared" si="187"/>
        <v/>
      </c>
      <c r="G852" s="1008" t="str">
        <f t="shared" si="188"/>
        <v/>
      </c>
      <c r="H852" s="1138">
        <f t="shared" si="189"/>
        <v>0.88055555555555542</v>
      </c>
      <c r="I852" s="1009"/>
      <c r="J852" s="1010" t="str">
        <f t="shared" si="190"/>
        <v/>
      </c>
      <c r="K852" s="1011"/>
      <c r="L852" s="1012"/>
      <c r="M852" s="1013"/>
      <c r="N852" s="1014" t="str">
        <f t="shared" si="191"/>
        <v/>
      </c>
      <c r="O852" s="1326"/>
      <c r="P852" s="1327"/>
      <c r="Q852" s="1327"/>
      <c r="R852" s="1327"/>
      <c r="S852" s="1327"/>
      <c r="T852" s="1328"/>
      <c r="U852" s="1015">
        <v>1.8</v>
      </c>
      <c r="V852" s="1015"/>
      <c r="W852" s="1015"/>
      <c r="X852" s="1015"/>
      <c r="Y852" s="1015"/>
      <c r="Z852" s="1016">
        <f>'09월 에너지'!S854</f>
        <v>0</v>
      </c>
      <c r="AA852" s="1017"/>
      <c r="AB852" s="1208"/>
      <c r="AC852" s="1208"/>
      <c r="AD852" s="1208"/>
      <c r="AE852" s="1208"/>
      <c r="AF852" s="1208"/>
      <c r="AG852" s="1018">
        <f>'09월 화학성분'!AM852</f>
        <v>0</v>
      </c>
      <c r="AH852" s="1006" t="str">
        <f t="shared" si="180"/>
        <v/>
      </c>
      <c r="AI852" s="1019"/>
      <c r="AJ852" s="1020"/>
      <c r="AK852" s="1021"/>
      <c r="AL852" s="1022"/>
      <c r="AM852" s="1155" t="str">
        <f>IF(AT852="","",3*'09월 에너지'!S854*(1/(3+7.8*(100-AT852)/AT852)))</f>
        <v/>
      </c>
      <c r="AN852" s="1023"/>
      <c r="AO852" s="1024"/>
      <c r="AP852" s="1025"/>
      <c r="AQ852" s="1025"/>
      <c r="AR852" s="1149" t="str">
        <f t="shared" si="181"/>
        <v/>
      </c>
      <c r="AS852" s="1093" t="str">
        <f t="shared" si="192"/>
        <v/>
      </c>
      <c r="AT852" s="1156"/>
      <c r="AU852" s="449"/>
      <c r="AV852" s="1205"/>
    </row>
    <row r="853" spans="1:48" ht="16.5" customHeight="1">
      <c r="A853" s="1005" t="str">
        <f t="shared" si="182"/>
        <v/>
      </c>
      <c r="B853" s="1005" t="str">
        <f t="shared" si="183"/>
        <v/>
      </c>
      <c r="C853" s="1150" t="str">
        <f t="shared" si="184"/>
        <v/>
      </c>
      <c r="D853" s="1150" t="str">
        <f t="shared" si="185"/>
        <v/>
      </c>
      <c r="E853" s="1006" t="str">
        <f t="shared" si="186"/>
        <v/>
      </c>
      <c r="F853" s="1007" t="str">
        <f t="shared" si="187"/>
        <v/>
      </c>
      <c r="G853" s="1008" t="str">
        <f t="shared" si="188"/>
        <v/>
      </c>
      <c r="H853" s="1138">
        <f t="shared" si="189"/>
        <v>0.91388888888888875</v>
      </c>
      <c r="I853" s="1009"/>
      <c r="J853" s="1010" t="str">
        <f t="shared" si="190"/>
        <v/>
      </c>
      <c r="K853" s="1011"/>
      <c r="L853" s="1012"/>
      <c r="M853" s="1013"/>
      <c r="N853" s="1014" t="str">
        <f t="shared" si="191"/>
        <v/>
      </c>
      <c r="O853" s="1326"/>
      <c r="P853" s="1327"/>
      <c r="Q853" s="1327"/>
      <c r="R853" s="1327"/>
      <c r="S853" s="1327"/>
      <c r="T853" s="1328"/>
      <c r="U853" s="1015">
        <v>1.8</v>
      </c>
      <c r="V853" s="1015"/>
      <c r="W853" s="1015"/>
      <c r="X853" s="1015"/>
      <c r="Y853" s="1015"/>
      <c r="Z853" s="1016">
        <f>'09월 에너지'!S855</f>
        <v>0</v>
      </c>
      <c r="AA853" s="1017"/>
      <c r="AB853" s="1208"/>
      <c r="AC853" s="1208"/>
      <c r="AD853" s="1208"/>
      <c r="AE853" s="1208"/>
      <c r="AF853" s="1208"/>
      <c r="AG853" s="1018">
        <f>'09월 화학성분'!AM853</f>
        <v>0</v>
      </c>
      <c r="AH853" s="1006" t="str">
        <f t="shared" si="180"/>
        <v/>
      </c>
      <c r="AI853" s="1019"/>
      <c r="AJ853" s="1020"/>
      <c r="AK853" s="1021"/>
      <c r="AL853" s="1022"/>
      <c r="AM853" s="1155" t="str">
        <f>IF(AT853="","",3*'09월 에너지'!S855*(1/(3+7.8*(100-AT853)/AT853)))</f>
        <v/>
      </c>
      <c r="AN853" s="1023"/>
      <c r="AO853" s="1024"/>
      <c r="AP853" s="1025"/>
      <c r="AQ853" s="1025"/>
      <c r="AR853" s="1149" t="str">
        <f t="shared" si="181"/>
        <v/>
      </c>
      <c r="AS853" s="1093" t="str">
        <f t="shared" si="192"/>
        <v/>
      </c>
      <c r="AT853" s="1156"/>
      <c r="AU853" s="449"/>
      <c r="AV853" s="1205"/>
    </row>
    <row r="854" spans="1:48" ht="16.5" customHeight="1">
      <c r="A854" s="1005" t="str">
        <f t="shared" si="182"/>
        <v/>
      </c>
      <c r="B854" s="1005" t="str">
        <f t="shared" si="183"/>
        <v/>
      </c>
      <c r="C854" s="1150" t="str">
        <f t="shared" si="184"/>
        <v/>
      </c>
      <c r="D854" s="1150" t="str">
        <f t="shared" si="185"/>
        <v/>
      </c>
      <c r="E854" s="1006" t="str">
        <f t="shared" si="186"/>
        <v/>
      </c>
      <c r="F854" s="1007" t="str">
        <f t="shared" si="187"/>
        <v/>
      </c>
      <c r="G854" s="1008" t="str">
        <f t="shared" si="188"/>
        <v/>
      </c>
      <c r="H854" s="1138">
        <f t="shared" si="189"/>
        <v>0.94722222222222208</v>
      </c>
      <c r="I854" s="1009"/>
      <c r="J854" s="1010" t="str">
        <f t="shared" si="190"/>
        <v/>
      </c>
      <c r="K854" s="1011"/>
      <c r="L854" s="1012"/>
      <c r="M854" s="1013"/>
      <c r="N854" s="1014" t="str">
        <f t="shared" si="191"/>
        <v/>
      </c>
      <c r="O854" s="1326"/>
      <c r="P854" s="1327"/>
      <c r="Q854" s="1327"/>
      <c r="R854" s="1327"/>
      <c r="S854" s="1327"/>
      <c r="T854" s="1328"/>
      <c r="U854" s="1015">
        <v>1.8</v>
      </c>
      <c r="V854" s="1015"/>
      <c r="W854" s="1015"/>
      <c r="X854" s="1015"/>
      <c r="Y854" s="1015"/>
      <c r="Z854" s="1016">
        <f>'09월 에너지'!S856</f>
        <v>0</v>
      </c>
      <c r="AA854" s="1017"/>
      <c r="AB854" s="1208"/>
      <c r="AC854" s="1208"/>
      <c r="AD854" s="1208"/>
      <c r="AE854" s="1208"/>
      <c r="AF854" s="1208"/>
      <c r="AG854" s="1018">
        <f>'09월 화학성분'!AM854</f>
        <v>0</v>
      </c>
      <c r="AH854" s="1006" t="str">
        <f t="shared" si="180"/>
        <v/>
      </c>
      <c r="AI854" s="1019"/>
      <c r="AJ854" s="1020"/>
      <c r="AK854" s="1021"/>
      <c r="AL854" s="1022"/>
      <c r="AM854" s="1155" t="str">
        <f>IF(AT854="","",3*'09월 에너지'!S856*(1/(3+7.8*(100-AT854)/AT854)))</f>
        <v/>
      </c>
      <c r="AN854" s="1023"/>
      <c r="AO854" s="1024"/>
      <c r="AP854" s="1025"/>
      <c r="AQ854" s="1025"/>
      <c r="AR854" s="1149" t="str">
        <f t="shared" si="181"/>
        <v/>
      </c>
      <c r="AS854" s="1093" t="str">
        <f t="shared" si="192"/>
        <v/>
      </c>
      <c r="AT854" s="1156"/>
      <c r="AU854" s="449"/>
      <c r="AV854" s="1205"/>
    </row>
    <row r="855" spans="1:48" ht="16.5" customHeight="1">
      <c r="A855" s="1005" t="str">
        <f t="shared" si="182"/>
        <v/>
      </c>
      <c r="B855" s="1005" t="str">
        <f t="shared" si="183"/>
        <v/>
      </c>
      <c r="C855" s="1150" t="str">
        <f t="shared" si="184"/>
        <v/>
      </c>
      <c r="D855" s="1150" t="str">
        <f t="shared" si="185"/>
        <v/>
      </c>
      <c r="E855" s="1006" t="str">
        <f t="shared" si="186"/>
        <v/>
      </c>
      <c r="F855" s="1007" t="str">
        <f t="shared" si="187"/>
        <v/>
      </c>
      <c r="G855" s="1008" t="str">
        <f t="shared" si="188"/>
        <v/>
      </c>
      <c r="H855" s="1138">
        <f t="shared" si="189"/>
        <v>0.9805555555555554</v>
      </c>
      <c r="I855" s="1009"/>
      <c r="J855" s="1010" t="str">
        <f t="shared" si="190"/>
        <v/>
      </c>
      <c r="K855" s="1011"/>
      <c r="L855" s="1012"/>
      <c r="M855" s="1013"/>
      <c r="N855" s="1014" t="str">
        <f t="shared" si="191"/>
        <v/>
      </c>
      <c r="O855" s="1326"/>
      <c r="P855" s="1327"/>
      <c r="Q855" s="1327"/>
      <c r="R855" s="1327"/>
      <c r="S855" s="1327"/>
      <c r="T855" s="1328"/>
      <c r="U855" s="1015">
        <v>1.8</v>
      </c>
      <c r="V855" s="1015"/>
      <c r="W855" s="1015"/>
      <c r="X855" s="1015"/>
      <c r="Y855" s="1015"/>
      <c r="Z855" s="1016">
        <f>'09월 에너지'!S857</f>
        <v>0</v>
      </c>
      <c r="AA855" s="1017"/>
      <c r="AB855" s="1208"/>
      <c r="AC855" s="1208"/>
      <c r="AD855" s="1208"/>
      <c r="AE855" s="1208"/>
      <c r="AF855" s="1208"/>
      <c r="AG855" s="1018">
        <f>'09월 화학성분'!AM855</f>
        <v>0</v>
      </c>
      <c r="AH855" s="1006" t="str">
        <f t="shared" si="180"/>
        <v/>
      </c>
      <c r="AI855" s="1019"/>
      <c r="AJ855" s="1020"/>
      <c r="AK855" s="1021"/>
      <c r="AL855" s="1022"/>
      <c r="AM855" s="1155" t="str">
        <f>IF(AT855="","",3*'09월 에너지'!S857*(1/(3+7.8*(100-AT855)/AT855)))</f>
        <v/>
      </c>
      <c r="AN855" s="1023"/>
      <c r="AO855" s="1024"/>
      <c r="AP855" s="1025"/>
      <c r="AQ855" s="1025"/>
      <c r="AR855" s="1149" t="str">
        <f t="shared" si="181"/>
        <v/>
      </c>
      <c r="AS855" s="1093" t="str">
        <f t="shared" si="192"/>
        <v/>
      </c>
      <c r="AT855" s="1156"/>
      <c r="AU855" s="449"/>
      <c r="AV855" s="1205"/>
    </row>
    <row r="856" spans="1:48" ht="16.5" customHeight="1">
      <c r="A856" s="1005" t="str">
        <f t="shared" si="182"/>
        <v/>
      </c>
      <c r="B856" s="1005" t="str">
        <f t="shared" si="183"/>
        <v/>
      </c>
      <c r="C856" s="1150" t="str">
        <f t="shared" si="184"/>
        <v/>
      </c>
      <c r="D856" s="1150" t="str">
        <f t="shared" si="185"/>
        <v/>
      </c>
      <c r="E856" s="1006" t="str">
        <f t="shared" si="186"/>
        <v/>
      </c>
      <c r="F856" s="1007" t="str">
        <f t="shared" si="187"/>
        <v/>
      </c>
      <c r="G856" s="1008" t="str">
        <f t="shared" si="188"/>
        <v/>
      </c>
      <c r="H856" s="1138">
        <f t="shared" si="189"/>
        <v>1.0138888888888888</v>
      </c>
      <c r="I856" s="1009"/>
      <c r="J856" s="1010" t="str">
        <f t="shared" si="190"/>
        <v/>
      </c>
      <c r="K856" s="1011"/>
      <c r="L856" s="1012"/>
      <c r="M856" s="1013"/>
      <c r="N856" s="1014" t="str">
        <f t="shared" si="191"/>
        <v/>
      </c>
      <c r="O856" s="1326"/>
      <c r="P856" s="1327"/>
      <c r="Q856" s="1327"/>
      <c r="R856" s="1327"/>
      <c r="S856" s="1327"/>
      <c r="T856" s="1328"/>
      <c r="U856" s="1015"/>
      <c r="V856" s="1015"/>
      <c r="W856" s="1015"/>
      <c r="X856" s="1015"/>
      <c r="Y856" s="1015"/>
      <c r="Z856" s="1016">
        <f>'09월 에너지'!S858</f>
        <v>0</v>
      </c>
      <c r="AA856" s="1017"/>
      <c r="AB856" s="1208"/>
      <c r="AC856" s="1208"/>
      <c r="AD856" s="1208"/>
      <c r="AE856" s="1208"/>
      <c r="AF856" s="1208"/>
      <c r="AG856" s="1018">
        <f>'09월 화학성분'!AM856</f>
        <v>0</v>
      </c>
      <c r="AH856" s="1006" t="str">
        <f t="shared" si="180"/>
        <v/>
      </c>
      <c r="AI856" s="1019"/>
      <c r="AJ856" s="1020"/>
      <c r="AK856" s="1021"/>
      <c r="AL856" s="1022"/>
      <c r="AM856" s="1155" t="str">
        <f>IF(AT856="","",3*'09월 에너지'!S858*(1/(3+7.8*(100-AT856)/AT856)))</f>
        <v/>
      </c>
      <c r="AN856" s="1023"/>
      <c r="AO856" s="1024"/>
      <c r="AP856" s="1025"/>
      <c r="AQ856" s="1025"/>
      <c r="AR856" s="1149" t="str">
        <f t="shared" si="181"/>
        <v/>
      </c>
      <c r="AS856" s="1093" t="str">
        <f t="shared" si="192"/>
        <v/>
      </c>
      <c r="AT856" s="1156"/>
      <c r="AU856" s="449"/>
      <c r="AV856" s="1205"/>
    </row>
    <row r="857" spans="1:48" ht="16.5" customHeight="1">
      <c r="A857" s="1005" t="str">
        <f t="shared" si="182"/>
        <v/>
      </c>
      <c r="B857" s="1005" t="str">
        <f t="shared" si="183"/>
        <v/>
      </c>
      <c r="C857" s="1150" t="str">
        <f t="shared" si="184"/>
        <v/>
      </c>
      <c r="D857" s="1150" t="str">
        <f t="shared" si="185"/>
        <v/>
      </c>
      <c r="E857" s="1006" t="str">
        <f t="shared" si="186"/>
        <v/>
      </c>
      <c r="F857" s="1007" t="str">
        <f t="shared" si="187"/>
        <v/>
      </c>
      <c r="G857" s="1008" t="str">
        <f t="shared" si="188"/>
        <v/>
      </c>
      <c r="H857" s="1138">
        <f t="shared" si="189"/>
        <v>1.0472222222222223</v>
      </c>
      <c r="I857" s="1009"/>
      <c r="J857" s="1010" t="str">
        <f t="shared" si="190"/>
        <v/>
      </c>
      <c r="K857" s="1011"/>
      <c r="L857" s="1012"/>
      <c r="M857" s="1013"/>
      <c r="N857" s="1014" t="str">
        <f t="shared" si="191"/>
        <v/>
      </c>
      <c r="O857" s="1326"/>
      <c r="P857" s="1327"/>
      <c r="Q857" s="1327"/>
      <c r="R857" s="1327"/>
      <c r="S857" s="1327"/>
      <c r="T857" s="1328"/>
      <c r="U857" s="1015"/>
      <c r="V857" s="1015"/>
      <c r="W857" s="1015"/>
      <c r="X857" s="1015"/>
      <c r="Y857" s="1015"/>
      <c r="Z857" s="1016">
        <f>'09월 에너지'!S859</f>
        <v>0</v>
      </c>
      <c r="AA857" s="1017"/>
      <c r="AB857" s="1208"/>
      <c r="AC857" s="1208"/>
      <c r="AD857" s="1208"/>
      <c r="AE857" s="1208"/>
      <c r="AF857" s="1208"/>
      <c r="AG857" s="1018">
        <f>'09월 화학성분'!AM857</f>
        <v>0</v>
      </c>
      <c r="AH857" s="1006" t="str">
        <f t="shared" si="180"/>
        <v/>
      </c>
      <c r="AI857" s="1019"/>
      <c r="AJ857" s="1020"/>
      <c r="AK857" s="1021"/>
      <c r="AL857" s="1022"/>
      <c r="AM857" s="1155" t="str">
        <f>IF(AT857="","",3*'09월 에너지'!S859*(1/(3+7.8*(100-AT857)/AT857)))</f>
        <v/>
      </c>
      <c r="AN857" s="1023"/>
      <c r="AO857" s="1024"/>
      <c r="AP857" s="1025"/>
      <c r="AQ857" s="1025"/>
      <c r="AR857" s="1149" t="str">
        <f t="shared" si="181"/>
        <v/>
      </c>
      <c r="AS857" s="1093" t="str">
        <f t="shared" si="192"/>
        <v/>
      </c>
      <c r="AT857" s="1156"/>
      <c r="AU857" s="449"/>
      <c r="AV857" s="1205"/>
    </row>
    <row r="858" spans="1:48" ht="16.5" customHeight="1">
      <c r="A858" s="1005" t="str">
        <f t="shared" si="182"/>
        <v/>
      </c>
      <c r="B858" s="1005" t="str">
        <f t="shared" si="183"/>
        <v/>
      </c>
      <c r="C858" s="1150" t="str">
        <f t="shared" si="184"/>
        <v/>
      </c>
      <c r="D858" s="1150" t="str">
        <f t="shared" si="185"/>
        <v/>
      </c>
      <c r="E858" s="1006" t="str">
        <f t="shared" si="186"/>
        <v/>
      </c>
      <c r="F858" s="1007" t="str">
        <f t="shared" si="187"/>
        <v/>
      </c>
      <c r="G858" s="1008" t="str">
        <f t="shared" si="188"/>
        <v/>
      </c>
      <c r="H858" s="1138">
        <f t="shared" si="189"/>
        <v>1.0805555555555557</v>
      </c>
      <c r="I858" s="1009"/>
      <c r="J858" s="1010" t="str">
        <f t="shared" si="190"/>
        <v/>
      </c>
      <c r="K858" s="1011"/>
      <c r="L858" s="1012"/>
      <c r="M858" s="1013"/>
      <c r="N858" s="1014" t="str">
        <f t="shared" si="191"/>
        <v/>
      </c>
      <c r="O858" s="1326"/>
      <c r="P858" s="1327"/>
      <c r="Q858" s="1327"/>
      <c r="R858" s="1327"/>
      <c r="S858" s="1327"/>
      <c r="T858" s="1328"/>
      <c r="U858" s="1015"/>
      <c r="V858" s="1015"/>
      <c r="W858" s="1015"/>
      <c r="X858" s="1015"/>
      <c r="Y858" s="1015"/>
      <c r="Z858" s="1016">
        <f>'09월 에너지'!S860</f>
        <v>0</v>
      </c>
      <c r="AA858" s="1017"/>
      <c r="AB858" s="1208"/>
      <c r="AC858" s="1208"/>
      <c r="AD858" s="1208"/>
      <c r="AE858" s="1208"/>
      <c r="AF858" s="1208"/>
      <c r="AG858" s="1018">
        <f>'09월 화학성분'!AM858</f>
        <v>0</v>
      </c>
      <c r="AH858" s="1006" t="str">
        <f t="shared" si="180"/>
        <v/>
      </c>
      <c r="AI858" s="1019"/>
      <c r="AJ858" s="1020"/>
      <c r="AK858" s="1021"/>
      <c r="AL858" s="1022"/>
      <c r="AM858" s="1155" t="str">
        <f>IF(AT858="","",3*'09월 에너지'!S860*(1/(3+7.8*(100-AT858)/AT858)))</f>
        <v/>
      </c>
      <c r="AN858" s="1023"/>
      <c r="AO858" s="1024"/>
      <c r="AP858" s="1025"/>
      <c r="AQ858" s="1025"/>
      <c r="AR858" s="1149" t="str">
        <f t="shared" si="181"/>
        <v/>
      </c>
      <c r="AS858" s="1093" t="str">
        <f t="shared" si="192"/>
        <v/>
      </c>
      <c r="AT858" s="1156"/>
      <c r="AU858" s="449"/>
      <c r="AV858" s="1205"/>
    </row>
    <row r="859" spans="1:48" ht="16.5" customHeight="1">
      <c r="A859" s="1005" t="str">
        <f t="shared" si="182"/>
        <v/>
      </c>
      <c r="B859" s="1005" t="str">
        <f t="shared" si="183"/>
        <v/>
      </c>
      <c r="C859" s="1150" t="str">
        <f t="shared" si="184"/>
        <v/>
      </c>
      <c r="D859" s="1150" t="str">
        <f t="shared" si="185"/>
        <v/>
      </c>
      <c r="E859" s="1006" t="str">
        <f t="shared" si="186"/>
        <v/>
      </c>
      <c r="F859" s="1007" t="str">
        <f t="shared" si="187"/>
        <v/>
      </c>
      <c r="G859" s="1008" t="str">
        <f t="shared" si="188"/>
        <v/>
      </c>
      <c r="H859" s="1138">
        <f t="shared" si="189"/>
        <v>1.1138888888888892</v>
      </c>
      <c r="I859" s="1009"/>
      <c r="J859" s="1010" t="str">
        <f t="shared" si="190"/>
        <v/>
      </c>
      <c r="K859" s="1011"/>
      <c r="L859" s="1012"/>
      <c r="M859" s="1013"/>
      <c r="N859" s="1014" t="str">
        <f t="shared" si="191"/>
        <v/>
      </c>
      <c r="O859" s="1326"/>
      <c r="P859" s="1327"/>
      <c r="Q859" s="1327"/>
      <c r="R859" s="1327"/>
      <c r="S859" s="1327"/>
      <c r="T859" s="1328"/>
      <c r="U859" s="1015"/>
      <c r="V859" s="1015"/>
      <c r="W859" s="1015"/>
      <c r="X859" s="1015"/>
      <c r="Y859" s="1015"/>
      <c r="Z859" s="1016">
        <f>'09월 에너지'!S861</f>
        <v>0</v>
      </c>
      <c r="AA859" s="1017"/>
      <c r="AB859" s="1208"/>
      <c r="AC859" s="1208"/>
      <c r="AD859" s="1208"/>
      <c r="AE859" s="1208"/>
      <c r="AF859" s="1208"/>
      <c r="AG859" s="1018">
        <f>'09월 화학성분'!AM859</f>
        <v>0</v>
      </c>
      <c r="AH859" s="1006" t="str">
        <f t="shared" si="180"/>
        <v/>
      </c>
      <c r="AI859" s="1019"/>
      <c r="AJ859" s="1020"/>
      <c r="AK859" s="1021"/>
      <c r="AL859" s="1022"/>
      <c r="AM859" s="1155" t="str">
        <f>IF(AT859="","",3*'09월 에너지'!S861*(1/(3+7.8*(100-AT859)/AT859)))</f>
        <v/>
      </c>
      <c r="AN859" s="1023"/>
      <c r="AO859" s="1024"/>
      <c r="AP859" s="1025"/>
      <c r="AQ859" s="1025"/>
      <c r="AR859" s="1149" t="str">
        <f t="shared" si="181"/>
        <v/>
      </c>
      <c r="AS859" s="1093" t="str">
        <f t="shared" si="192"/>
        <v/>
      </c>
      <c r="AT859" s="1156"/>
      <c r="AU859" s="449"/>
      <c r="AV859" s="1205"/>
    </row>
    <row r="860" spans="1:48" ht="16.5" customHeight="1">
      <c r="A860" s="1005" t="str">
        <f t="shared" si="182"/>
        <v/>
      </c>
      <c r="B860" s="1005" t="str">
        <f t="shared" si="183"/>
        <v/>
      </c>
      <c r="C860" s="1150" t="str">
        <f t="shared" si="184"/>
        <v/>
      </c>
      <c r="D860" s="1150" t="str">
        <f t="shared" si="185"/>
        <v/>
      </c>
      <c r="E860" s="1006" t="str">
        <f t="shared" si="186"/>
        <v/>
      </c>
      <c r="F860" s="1007" t="str">
        <f t="shared" si="187"/>
        <v/>
      </c>
      <c r="G860" s="1008" t="str">
        <f t="shared" si="188"/>
        <v/>
      </c>
      <c r="H860" s="1138">
        <f t="shared" si="189"/>
        <v>1.1472222222222226</v>
      </c>
      <c r="I860" s="1009"/>
      <c r="J860" s="1010" t="str">
        <f t="shared" si="190"/>
        <v/>
      </c>
      <c r="K860" s="1011"/>
      <c r="L860" s="1012"/>
      <c r="M860" s="1013"/>
      <c r="N860" s="1014" t="str">
        <f t="shared" si="191"/>
        <v/>
      </c>
      <c r="O860" s="1326"/>
      <c r="P860" s="1327"/>
      <c r="Q860" s="1327"/>
      <c r="R860" s="1327"/>
      <c r="S860" s="1327"/>
      <c r="T860" s="1328"/>
      <c r="U860" s="1015"/>
      <c r="V860" s="1015"/>
      <c r="W860" s="1015"/>
      <c r="X860" s="1015"/>
      <c r="Y860" s="1015"/>
      <c r="Z860" s="1016">
        <f>'09월 에너지'!S862</f>
        <v>0</v>
      </c>
      <c r="AA860" s="1017"/>
      <c r="AB860" s="1208"/>
      <c r="AC860" s="1208"/>
      <c r="AD860" s="1208"/>
      <c r="AE860" s="1208"/>
      <c r="AF860" s="1208"/>
      <c r="AG860" s="1018">
        <f>'09월 화학성분'!AM860</f>
        <v>0</v>
      </c>
      <c r="AH860" s="1006" t="str">
        <f t="shared" si="180"/>
        <v/>
      </c>
      <c r="AI860" s="1019"/>
      <c r="AJ860" s="1020"/>
      <c r="AK860" s="1021"/>
      <c r="AL860" s="1022"/>
      <c r="AM860" s="1155" t="str">
        <f>IF(AT860="","",3*'09월 에너지'!S862*(1/(3+7.8*(100-AT860)/AT860)))</f>
        <v/>
      </c>
      <c r="AN860" s="1023"/>
      <c r="AO860" s="1024"/>
      <c r="AP860" s="1025"/>
      <c r="AQ860" s="1025"/>
      <c r="AR860" s="1149" t="str">
        <f t="shared" si="181"/>
        <v/>
      </c>
      <c r="AS860" s="1093" t="str">
        <f t="shared" si="192"/>
        <v/>
      </c>
      <c r="AT860" s="1156"/>
      <c r="AU860" s="449"/>
      <c r="AV860" s="1205"/>
    </row>
    <row r="861" spans="1:48" ht="16.5" customHeight="1">
      <c r="A861" s="1005" t="str">
        <f t="shared" si="182"/>
        <v/>
      </c>
      <c r="B861" s="1005" t="str">
        <f t="shared" si="183"/>
        <v/>
      </c>
      <c r="C861" s="1150" t="str">
        <f t="shared" si="184"/>
        <v/>
      </c>
      <c r="D861" s="1150" t="str">
        <f t="shared" si="185"/>
        <v/>
      </c>
      <c r="E861" s="1006" t="str">
        <f t="shared" si="186"/>
        <v/>
      </c>
      <c r="F861" s="1007" t="str">
        <f t="shared" si="187"/>
        <v/>
      </c>
      <c r="G861" s="1008" t="str">
        <f t="shared" si="188"/>
        <v/>
      </c>
      <c r="H861" s="1138">
        <f t="shared" si="189"/>
        <v>1.180555555555556</v>
      </c>
      <c r="I861" s="1009"/>
      <c r="J861" s="1010" t="str">
        <f t="shared" si="190"/>
        <v/>
      </c>
      <c r="K861" s="1011"/>
      <c r="L861" s="1012"/>
      <c r="M861" s="1013"/>
      <c r="N861" s="1014" t="str">
        <f t="shared" si="191"/>
        <v/>
      </c>
      <c r="O861" s="1326"/>
      <c r="P861" s="1327"/>
      <c r="Q861" s="1327"/>
      <c r="R861" s="1327"/>
      <c r="S861" s="1327"/>
      <c r="T861" s="1328"/>
      <c r="U861" s="1015"/>
      <c r="V861" s="1015"/>
      <c r="W861" s="1015"/>
      <c r="X861" s="1015"/>
      <c r="Y861" s="1015"/>
      <c r="Z861" s="1016">
        <f>'09월 에너지'!S863</f>
        <v>0</v>
      </c>
      <c r="AA861" s="1017"/>
      <c r="AB861" s="1208"/>
      <c r="AC861" s="1208"/>
      <c r="AD861" s="1208"/>
      <c r="AE861" s="1208"/>
      <c r="AF861" s="1208"/>
      <c r="AG861" s="1018">
        <f>'09월 화학성분'!AM861</f>
        <v>0</v>
      </c>
      <c r="AH861" s="1006" t="str">
        <f t="shared" si="180"/>
        <v/>
      </c>
      <c r="AI861" s="1019"/>
      <c r="AJ861" s="1020"/>
      <c r="AK861" s="1021"/>
      <c r="AL861" s="1022"/>
      <c r="AM861" s="1155" t="str">
        <f>IF(AT861="","",3*'09월 에너지'!S863*(1/(3+7.8*(100-AT861)/AT861)))</f>
        <v/>
      </c>
      <c r="AN861" s="1023"/>
      <c r="AO861" s="1024"/>
      <c r="AP861" s="1025"/>
      <c r="AQ861" s="1025"/>
      <c r="AR861" s="1149" t="str">
        <f t="shared" si="181"/>
        <v/>
      </c>
      <c r="AS861" s="1093" t="str">
        <f t="shared" si="192"/>
        <v/>
      </c>
      <c r="AT861" s="1156"/>
      <c r="AU861" s="449"/>
      <c r="AV861" s="1205"/>
    </row>
    <row r="862" spans="1:48" ht="16.5" customHeight="1">
      <c r="A862" s="1005" t="str">
        <f t="shared" si="182"/>
        <v/>
      </c>
      <c r="B862" s="1005" t="str">
        <f t="shared" si="183"/>
        <v/>
      </c>
      <c r="C862" s="1150" t="str">
        <f t="shared" si="184"/>
        <v/>
      </c>
      <c r="D862" s="1150" t="str">
        <f t="shared" si="185"/>
        <v/>
      </c>
      <c r="E862" s="1006" t="str">
        <f t="shared" si="186"/>
        <v/>
      </c>
      <c r="F862" s="1007" t="str">
        <f t="shared" si="187"/>
        <v/>
      </c>
      <c r="G862" s="1008" t="str">
        <f t="shared" si="188"/>
        <v/>
      </c>
      <c r="H862" s="1138">
        <f t="shared" si="189"/>
        <v>1.2138888888888895</v>
      </c>
      <c r="I862" s="1009"/>
      <c r="J862" s="1010" t="str">
        <f t="shared" si="190"/>
        <v/>
      </c>
      <c r="K862" s="1011"/>
      <c r="L862" s="1012"/>
      <c r="M862" s="1013"/>
      <c r="N862" s="1014" t="str">
        <f t="shared" si="191"/>
        <v/>
      </c>
      <c r="O862" s="1326"/>
      <c r="P862" s="1327"/>
      <c r="Q862" s="1327"/>
      <c r="R862" s="1327"/>
      <c r="S862" s="1327"/>
      <c r="T862" s="1328"/>
      <c r="U862" s="1015"/>
      <c r="V862" s="1015"/>
      <c r="W862" s="1015"/>
      <c r="X862" s="1015"/>
      <c r="Y862" s="1015"/>
      <c r="Z862" s="1016">
        <f>'09월 에너지'!S864</f>
        <v>0</v>
      </c>
      <c r="AA862" s="1017"/>
      <c r="AB862" s="1208"/>
      <c r="AC862" s="1208"/>
      <c r="AD862" s="1208"/>
      <c r="AE862" s="1208"/>
      <c r="AF862" s="1208"/>
      <c r="AG862" s="1018">
        <f>'09월 화학성분'!AM862</f>
        <v>0</v>
      </c>
      <c r="AH862" s="1006" t="str">
        <f t="shared" si="180"/>
        <v/>
      </c>
      <c r="AI862" s="1019"/>
      <c r="AJ862" s="1020"/>
      <c r="AK862" s="1021"/>
      <c r="AL862" s="1022"/>
      <c r="AM862" s="1155" t="str">
        <f>IF(AT862="","",3*'09월 에너지'!S864*(1/(3+7.8*(100-AT862)/AT862)))</f>
        <v/>
      </c>
      <c r="AN862" s="1023"/>
      <c r="AO862" s="1024"/>
      <c r="AP862" s="1025"/>
      <c r="AQ862" s="1025"/>
      <c r="AR862" s="1149" t="str">
        <f t="shared" si="181"/>
        <v/>
      </c>
      <c r="AS862" s="1093" t="str">
        <f t="shared" si="192"/>
        <v/>
      </c>
      <c r="AT862" s="1156"/>
      <c r="AU862" s="449"/>
      <c r="AV862" s="1205"/>
    </row>
    <row r="863" spans="1:48" ht="16.5" customHeight="1">
      <c r="A863" s="1005" t="str">
        <f t="shared" si="182"/>
        <v/>
      </c>
      <c r="B863" s="1005" t="str">
        <f t="shared" si="183"/>
        <v/>
      </c>
      <c r="C863" s="1150" t="str">
        <f t="shared" si="184"/>
        <v/>
      </c>
      <c r="D863" s="1150" t="str">
        <f t="shared" si="185"/>
        <v/>
      </c>
      <c r="E863" s="1006" t="str">
        <f t="shared" si="186"/>
        <v/>
      </c>
      <c r="F863" s="1007" t="str">
        <f t="shared" si="187"/>
        <v/>
      </c>
      <c r="G863" s="1008" t="str">
        <f t="shared" si="188"/>
        <v/>
      </c>
      <c r="H863" s="1138">
        <f t="shared" si="189"/>
        <v>1.2472222222222229</v>
      </c>
      <c r="I863" s="1009"/>
      <c r="J863" s="1010" t="str">
        <f t="shared" si="190"/>
        <v/>
      </c>
      <c r="K863" s="1011"/>
      <c r="L863" s="1012"/>
      <c r="M863" s="1013"/>
      <c r="N863" s="1014" t="str">
        <f t="shared" si="191"/>
        <v/>
      </c>
      <c r="O863" s="1326"/>
      <c r="P863" s="1327"/>
      <c r="Q863" s="1327"/>
      <c r="R863" s="1327"/>
      <c r="S863" s="1327"/>
      <c r="T863" s="1328"/>
      <c r="U863" s="1015"/>
      <c r="V863" s="1015"/>
      <c r="W863" s="1015"/>
      <c r="X863" s="1015"/>
      <c r="Y863" s="1015"/>
      <c r="Z863" s="1016">
        <f>'09월 에너지'!S865</f>
        <v>0</v>
      </c>
      <c r="AA863" s="1017"/>
      <c r="AB863" s="1208"/>
      <c r="AC863" s="1208"/>
      <c r="AD863" s="1208"/>
      <c r="AE863" s="1208"/>
      <c r="AF863" s="1208"/>
      <c r="AG863" s="1018">
        <f>'09월 화학성분'!AM863</f>
        <v>0</v>
      </c>
      <c r="AH863" s="1006" t="str">
        <f t="shared" si="180"/>
        <v/>
      </c>
      <c r="AI863" s="1019"/>
      <c r="AJ863" s="1020"/>
      <c r="AK863" s="1021"/>
      <c r="AL863" s="1022"/>
      <c r="AM863" s="1155" t="str">
        <f>IF(AT863="","",3*'09월 에너지'!S865*(1/(3+7.8*(100-AT863)/AT863)))</f>
        <v/>
      </c>
      <c r="AN863" s="1023"/>
      <c r="AO863" s="1024"/>
      <c r="AP863" s="1025"/>
      <c r="AQ863" s="1025"/>
      <c r="AR863" s="1149" t="str">
        <f t="shared" si="181"/>
        <v/>
      </c>
      <c r="AS863" s="1093" t="str">
        <f t="shared" si="192"/>
        <v/>
      </c>
      <c r="AT863" s="1156"/>
      <c r="AU863" s="449"/>
      <c r="AV863" s="1205"/>
    </row>
    <row r="864" spans="1:48" ht="16.5" customHeight="1">
      <c r="A864" s="1005" t="str">
        <f t="shared" si="182"/>
        <v/>
      </c>
      <c r="B864" s="1005" t="str">
        <f t="shared" si="183"/>
        <v/>
      </c>
      <c r="C864" s="1150" t="str">
        <f t="shared" si="184"/>
        <v/>
      </c>
      <c r="D864" s="1150" t="str">
        <f t="shared" si="185"/>
        <v/>
      </c>
      <c r="E864" s="1006" t="str">
        <f t="shared" si="186"/>
        <v/>
      </c>
      <c r="F864" s="1007" t="str">
        <f t="shared" si="187"/>
        <v/>
      </c>
      <c r="G864" s="1008" t="str">
        <f t="shared" si="188"/>
        <v/>
      </c>
      <c r="H864" s="1138">
        <f t="shared" si="189"/>
        <v>1.2805555555555563</v>
      </c>
      <c r="I864" s="1009"/>
      <c r="J864" s="1010" t="str">
        <f t="shared" si="190"/>
        <v/>
      </c>
      <c r="K864" s="1011"/>
      <c r="L864" s="1012"/>
      <c r="M864" s="1013"/>
      <c r="N864" s="1014" t="str">
        <f t="shared" si="191"/>
        <v/>
      </c>
      <c r="O864" s="1326"/>
      <c r="P864" s="1327"/>
      <c r="Q864" s="1327"/>
      <c r="R864" s="1327"/>
      <c r="S864" s="1327"/>
      <c r="T864" s="1328"/>
      <c r="U864" s="1015"/>
      <c r="V864" s="1015"/>
      <c r="W864" s="1015"/>
      <c r="X864" s="1015"/>
      <c r="Y864" s="1015"/>
      <c r="Z864" s="1016">
        <f>'09월 에너지'!S866</f>
        <v>0</v>
      </c>
      <c r="AA864" s="1017"/>
      <c r="AB864" s="1208"/>
      <c r="AC864" s="1208"/>
      <c r="AD864" s="1208"/>
      <c r="AE864" s="1208"/>
      <c r="AF864" s="1208"/>
      <c r="AG864" s="1018">
        <f>'09월 화학성분'!AM864</f>
        <v>0</v>
      </c>
      <c r="AH864" s="1006" t="str">
        <f t="shared" si="180"/>
        <v/>
      </c>
      <c r="AI864" s="1019"/>
      <c r="AJ864" s="1020"/>
      <c r="AK864" s="1021"/>
      <c r="AL864" s="1022"/>
      <c r="AM864" s="1155" t="str">
        <f>IF(AT864="","",3*'09월 에너지'!S866*(1/(3+7.8*(100-AT864)/AT864)))</f>
        <v/>
      </c>
      <c r="AN864" s="1023"/>
      <c r="AO864" s="1024"/>
      <c r="AP864" s="1025"/>
      <c r="AQ864" s="1025"/>
      <c r="AR864" s="1149" t="str">
        <f t="shared" si="181"/>
        <v/>
      </c>
      <c r="AS864" s="1093" t="str">
        <f t="shared" si="192"/>
        <v/>
      </c>
      <c r="AT864" s="1156"/>
      <c r="AU864" s="449"/>
      <c r="AV864" s="1205"/>
    </row>
    <row r="865" spans="1:48" ht="16.5" customHeight="1">
      <c r="A865" s="1005" t="str">
        <f t="shared" si="182"/>
        <v/>
      </c>
      <c r="B865" s="1005" t="str">
        <f t="shared" si="183"/>
        <v/>
      </c>
      <c r="C865" s="1150" t="str">
        <f t="shared" si="184"/>
        <v/>
      </c>
      <c r="D865" s="1150" t="str">
        <f t="shared" si="185"/>
        <v/>
      </c>
      <c r="E865" s="1006" t="str">
        <f t="shared" si="186"/>
        <v/>
      </c>
      <c r="F865" s="1007" t="str">
        <f t="shared" si="187"/>
        <v/>
      </c>
      <c r="G865" s="1008" t="str">
        <f t="shared" si="188"/>
        <v/>
      </c>
      <c r="H865" s="1138">
        <f t="shared" si="189"/>
        <v>1.3138888888888898</v>
      </c>
      <c r="I865" s="1009"/>
      <c r="J865" s="1010" t="str">
        <f t="shared" si="190"/>
        <v/>
      </c>
      <c r="K865" s="1011"/>
      <c r="L865" s="1012"/>
      <c r="M865" s="1013"/>
      <c r="N865" s="1014" t="str">
        <f t="shared" si="191"/>
        <v/>
      </c>
      <c r="O865" s="1326"/>
      <c r="P865" s="1327"/>
      <c r="Q865" s="1327"/>
      <c r="R865" s="1327"/>
      <c r="S865" s="1327"/>
      <c r="T865" s="1328"/>
      <c r="U865" s="1015"/>
      <c r="V865" s="1015"/>
      <c r="W865" s="1015"/>
      <c r="X865" s="1015"/>
      <c r="Y865" s="1015"/>
      <c r="Z865" s="1016">
        <f>'09월 에너지'!S867</f>
        <v>0</v>
      </c>
      <c r="AA865" s="1017"/>
      <c r="AB865" s="1208"/>
      <c r="AC865" s="1208"/>
      <c r="AD865" s="1208"/>
      <c r="AE865" s="1208"/>
      <c r="AF865" s="1208"/>
      <c r="AG865" s="1018">
        <f>'09월 화학성분'!AM865</f>
        <v>0</v>
      </c>
      <c r="AH865" s="1006" t="str">
        <f t="shared" si="180"/>
        <v/>
      </c>
      <c r="AI865" s="1019"/>
      <c r="AJ865" s="1020"/>
      <c r="AK865" s="1021"/>
      <c r="AL865" s="1022"/>
      <c r="AM865" s="1155" t="str">
        <f>IF(AT865="","",3*'09월 에너지'!S867*(1/(3+7.8*(100-AT865)/AT865)))</f>
        <v/>
      </c>
      <c r="AN865" s="1023"/>
      <c r="AO865" s="1024"/>
      <c r="AP865" s="1025"/>
      <c r="AQ865" s="1025"/>
      <c r="AR865" s="1149" t="str">
        <f t="shared" si="181"/>
        <v/>
      </c>
      <c r="AS865" s="1093" t="str">
        <f t="shared" si="192"/>
        <v/>
      </c>
      <c r="AT865" s="1156"/>
      <c r="AU865" s="449"/>
      <c r="AV865" s="1205"/>
    </row>
    <row r="866" spans="1:48" ht="16.5" customHeight="1">
      <c r="A866" s="1005" t="str">
        <f t="shared" si="182"/>
        <v/>
      </c>
      <c r="B866" s="1005" t="str">
        <f t="shared" si="183"/>
        <v/>
      </c>
      <c r="C866" s="1150" t="str">
        <f t="shared" si="184"/>
        <v/>
      </c>
      <c r="D866" s="1150" t="str">
        <f t="shared" si="185"/>
        <v/>
      </c>
      <c r="E866" s="1006" t="str">
        <f t="shared" si="186"/>
        <v/>
      </c>
      <c r="F866" s="1007" t="str">
        <f t="shared" si="187"/>
        <v/>
      </c>
      <c r="G866" s="1008" t="str">
        <f t="shared" si="188"/>
        <v/>
      </c>
      <c r="H866" s="1138">
        <f t="shared" si="189"/>
        <v>1.3472222222222232</v>
      </c>
      <c r="I866" s="1009"/>
      <c r="J866" s="1010" t="str">
        <f t="shared" si="190"/>
        <v/>
      </c>
      <c r="K866" s="1011"/>
      <c r="L866" s="1012"/>
      <c r="M866" s="1013"/>
      <c r="N866" s="1014" t="str">
        <f t="shared" si="191"/>
        <v/>
      </c>
      <c r="O866" s="1326"/>
      <c r="P866" s="1327"/>
      <c r="Q866" s="1327"/>
      <c r="R866" s="1327"/>
      <c r="S866" s="1327"/>
      <c r="T866" s="1328"/>
      <c r="U866" s="1015"/>
      <c r="V866" s="1015"/>
      <c r="W866" s="1015"/>
      <c r="X866" s="1015"/>
      <c r="Y866" s="1015"/>
      <c r="Z866" s="1016">
        <f>'09월 에너지'!S868</f>
        <v>0</v>
      </c>
      <c r="AA866" s="1017"/>
      <c r="AB866" s="1208"/>
      <c r="AC866" s="1208"/>
      <c r="AD866" s="1208"/>
      <c r="AE866" s="1208"/>
      <c r="AF866" s="1208"/>
      <c r="AG866" s="1018">
        <f>'09월 화학성분'!AM866</f>
        <v>0</v>
      </c>
      <c r="AH866" s="1006" t="str">
        <f t="shared" si="180"/>
        <v/>
      </c>
      <c r="AI866" s="1019"/>
      <c r="AJ866" s="1020"/>
      <c r="AK866" s="1021"/>
      <c r="AL866" s="1022"/>
      <c r="AM866" s="1155" t="str">
        <f>IF(AT866="","",3*'09월 에너지'!S868*(1/(3+7.8*(100-AT866)/AT866)))</f>
        <v/>
      </c>
      <c r="AN866" s="1023"/>
      <c r="AO866" s="1024"/>
      <c r="AP866" s="1025"/>
      <c r="AQ866" s="1025"/>
      <c r="AR866" s="1149" t="str">
        <f t="shared" si="181"/>
        <v/>
      </c>
      <c r="AS866" s="1093" t="str">
        <f t="shared" si="192"/>
        <v/>
      </c>
      <c r="AT866" s="1156"/>
      <c r="AU866" s="449"/>
      <c r="AV866" s="1205"/>
    </row>
    <row r="867" spans="1:48" ht="16.5" customHeight="1">
      <c r="A867" s="1005" t="str">
        <f t="shared" si="182"/>
        <v/>
      </c>
      <c r="B867" s="1005" t="str">
        <f t="shared" si="183"/>
        <v/>
      </c>
      <c r="C867" s="1150" t="str">
        <f t="shared" si="184"/>
        <v/>
      </c>
      <c r="D867" s="1150" t="str">
        <f t="shared" si="185"/>
        <v/>
      </c>
      <c r="E867" s="1006" t="str">
        <f t="shared" si="186"/>
        <v/>
      </c>
      <c r="F867" s="1007" t="str">
        <f t="shared" si="187"/>
        <v/>
      </c>
      <c r="G867" s="1008" t="str">
        <f t="shared" si="188"/>
        <v/>
      </c>
      <c r="H867" s="1138">
        <f t="shared" si="189"/>
        <v>1.3805555555555566</v>
      </c>
      <c r="I867" s="1009"/>
      <c r="J867" s="1010" t="str">
        <f t="shared" si="190"/>
        <v/>
      </c>
      <c r="K867" s="1011"/>
      <c r="L867" s="1012"/>
      <c r="M867" s="1013"/>
      <c r="N867" s="1014" t="str">
        <f t="shared" si="191"/>
        <v/>
      </c>
      <c r="O867" s="1326"/>
      <c r="P867" s="1327"/>
      <c r="Q867" s="1327"/>
      <c r="R867" s="1327"/>
      <c r="S867" s="1327"/>
      <c r="T867" s="1328"/>
      <c r="U867" s="1015"/>
      <c r="V867" s="1015"/>
      <c r="W867" s="1015"/>
      <c r="X867" s="1015"/>
      <c r="Y867" s="1015"/>
      <c r="Z867" s="1016">
        <f>'09월 에너지'!S869</f>
        <v>0</v>
      </c>
      <c r="AA867" s="1017"/>
      <c r="AB867" s="1208"/>
      <c r="AC867" s="1208"/>
      <c r="AD867" s="1208"/>
      <c r="AE867" s="1208"/>
      <c r="AF867" s="1208"/>
      <c r="AG867" s="1018">
        <f>'09월 화학성분'!AM867</f>
        <v>0</v>
      </c>
      <c r="AH867" s="1006" t="str">
        <f t="shared" si="180"/>
        <v/>
      </c>
      <c r="AI867" s="1019"/>
      <c r="AJ867" s="1020"/>
      <c r="AK867" s="1021"/>
      <c r="AL867" s="1022"/>
      <c r="AM867" s="1155" t="str">
        <f>IF(AT867="","",3*'09월 에너지'!S869*(1/(3+7.8*(100-AT867)/AT867)))</f>
        <v/>
      </c>
      <c r="AN867" s="1023"/>
      <c r="AO867" s="1024"/>
      <c r="AP867" s="1025"/>
      <c r="AQ867" s="1025"/>
      <c r="AR867" s="1149" t="str">
        <f t="shared" si="181"/>
        <v/>
      </c>
      <c r="AS867" s="1093" t="str">
        <f t="shared" si="192"/>
        <v/>
      </c>
      <c r="AT867" s="1156"/>
      <c r="AU867" s="449"/>
      <c r="AV867" s="1205"/>
    </row>
    <row r="868" spans="1:48" ht="16.5" customHeight="1">
      <c r="A868" s="1005" t="str">
        <f t="shared" si="182"/>
        <v/>
      </c>
      <c r="B868" s="1005" t="str">
        <f t="shared" si="183"/>
        <v/>
      </c>
      <c r="C868" s="1150" t="str">
        <f t="shared" si="184"/>
        <v/>
      </c>
      <c r="D868" s="1150" t="str">
        <f t="shared" si="185"/>
        <v/>
      </c>
      <c r="E868" s="1006" t="str">
        <f t="shared" si="186"/>
        <v/>
      </c>
      <c r="F868" s="1007" t="str">
        <f t="shared" si="187"/>
        <v/>
      </c>
      <c r="G868" s="1008" t="str">
        <f t="shared" si="188"/>
        <v/>
      </c>
      <c r="H868" s="1138">
        <f t="shared" si="189"/>
        <v>1.4138888888888901</v>
      </c>
      <c r="I868" s="1009"/>
      <c r="J868" s="1010" t="str">
        <f t="shared" si="190"/>
        <v/>
      </c>
      <c r="K868" s="1011"/>
      <c r="L868" s="1012"/>
      <c r="M868" s="1013"/>
      <c r="N868" s="1014" t="str">
        <f t="shared" si="191"/>
        <v/>
      </c>
      <c r="O868" s="1326"/>
      <c r="P868" s="1327"/>
      <c r="Q868" s="1327"/>
      <c r="R868" s="1327"/>
      <c r="S868" s="1327"/>
      <c r="T868" s="1328"/>
      <c r="U868" s="1015"/>
      <c r="V868" s="1015"/>
      <c r="W868" s="1015"/>
      <c r="X868" s="1015"/>
      <c r="Y868" s="1015"/>
      <c r="Z868" s="1016">
        <f>'09월 에너지'!S870</f>
        <v>0</v>
      </c>
      <c r="AA868" s="1017"/>
      <c r="AB868" s="1208"/>
      <c r="AC868" s="1208"/>
      <c r="AD868" s="1208"/>
      <c r="AE868" s="1208"/>
      <c r="AF868" s="1208"/>
      <c r="AG868" s="1018">
        <f>'09월 화학성분'!AM868</f>
        <v>0</v>
      </c>
      <c r="AH868" s="1006" t="str">
        <f t="shared" si="180"/>
        <v/>
      </c>
      <c r="AI868" s="1019"/>
      <c r="AJ868" s="1020"/>
      <c r="AK868" s="1021"/>
      <c r="AL868" s="1022"/>
      <c r="AM868" s="1155" t="str">
        <f>IF(AT868="","",3*'09월 에너지'!S870*(1/(3+7.8*(100-AT868)/AT868)))</f>
        <v/>
      </c>
      <c r="AN868" s="1023"/>
      <c r="AO868" s="1024"/>
      <c r="AP868" s="1025"/>
      <c r="AQ868" s="1025"/>
      <c r="AR868" s="1149" t="str">
        <f t="shared" si="181"/>
        <v/>
      </c>
      <c r="AS868" s="1093" t="str">
        <f t="shared" si="192"/>
        <v/>
      </c>
      <c r="AT868" s="1156"/>
      <c r="AU868" s="449"/>
      <c r="AV868" s="1205"/>
    </row>
    <row r="869" spans="1:48" ht="16.5" customHeight="1">
      <c r="A869" s="1005" t="str">
        <f t="shared" si="182"/>
        <v/>
      </c>
      <c r="B869" s="1005" t="str">
        <f t="shared" si="183"/>
        <v/>
      </c>
      <c r="C869" s="1150" t="str">
        <f t="shared" si="184"/>
        <v/>
      </c>
      <c r="D869" s="1150" t="str">
        <f t="shared" si="185"/>
        <v/>
      </c>
      <c r="E869" s="1006" t="str">
        <f t="shared" si="186"/>
        <v/>
      </c>
      <c r="F869" s="1007" t="str">
        <f t="shared" si="187"/>
        <v/>
      </c>
      <c r="G869" s="1008" t="str">
        <f t="shared" si="188"/>
        <v/>
      </c>
      <c r="H869" s="1138">
        <f t="shared" si="189"/>
        <v>1.4472222222222235</v>
      </c>
      <c r="I869" s="1009"/>
      <c r="J869" s="1010" t="str">
        <f t="shared" si="190"/>
        <v/>
      </c>
      <c r="K869" s="1011"/>
      <c r="L869" s="1012"/>
      <c r="M869" s="1013"/>
      <c r="N869" s="1014" t="str">
        <f t="shared" si="191"/>
        <v/>
      </c>
      <c r="O869" s="1326"/>
      <c r="P869" s="1327"/>
      <c r="Q869" s="1327"/>
      <c r="R869" s="1327"/>
      <c r="S869" s="1327"/>
      <c r="T869" s="1328"/>
      <c r="U869" s="1015"/>
      <c r="V869" s="1015"/>
      <c r="W869" s="1015"/>
      <c r="X869" s="1015"/>
      <c r="Y869" s="1015"/>
      <c r="Z869" s="1016">
        <f>'09월 에너지'!S871</f>
        <v>0</v>
      </c>
      <c r="AA869" s="1017"/>
      <c r="AB869" s="1208"/>
      <c r="AC869" s="1208"/>
      <c r="AD869" s="1208"/>
      <c r="AE869" s="1208"/>
      <c r="AF869" s="1208"/>
      <c r="AG869" s="1018">
        <f>'09월 화학성분'!AM869</f>
        <v>0</v>
      </c>
      <c r="AH869" s="1006" t="str">
        <f t="shared" si="180"/>
        <v/>
      </c>
      <c r="AI869" s="1019"/>
      <c r="AJ869" s="1020"/>
      <c r="AK869" s="1021"/>
      <c r="AL869" s="1022"/>
      <c r="AM869" s="1155" t="str">
        <f>IF(AT869="","",3*'09월 에너지'!S871*(1/(3+7.8*(100-AT869)/AT869)))</f>
        <v/>
      </c>
      <c r="AN869" s="1023"/>
      <c r="AO869" s="1024"/>
      <c r="AP869" s="1025"/>
      <c r="AQ869" s="1025"/>
      <c r="AR869" s="1149" t="str">
        <f t="shared" si="181"/>
        <v/>
      </c>
      <c r="AS869" s="1093" t="str">
        <f t="shared" si="192"/>
        <v/>
      </c>
      <c r="AT869" s="1156"/>
      <c r="AU869" s="449"/>
      <c r="AV869" s="1205"/>
    </row>
    <row r="870" spans="1:48" ht="16.5" customHeight="1">
      <c r="A870" s="1005" t="str">
        <f t="shared" si="182"/>
        <v/>
      </c>
      <c r="B870" s="1005" t="str">
        <f t="shared" si="183"/>
        <v/>
      </c>
      <c r="C870" s="1150" t="str">
        <f t="shared" si="184"/>
        <v/>
      </c>
      <c r="D870" s="1150" t="str">
        <f t="shared" si="185"/>
        <v/>
      </c>
      <c r="E870" s="1006" t="str">
        <f t="shared" si="186"/>
        <v/>
      </c>
      <c r="F870" s="1007" t="str">
        <f t="shared" si="187"/>
        <v/>
      </c>
      <c r="G870" s="1008" t="str">
        <f t="shared" si="188"/>
        <v/>
      </c>
      <c r="H870" s="1138">
        <f t="shared" si="189"/>
        <v>1.480555555555557</v>
      </c>
      <c r="I870" s="1009"/>
      <c r="J870" s="1010" t="str">
        <f t="shared" si="190"/>
        <v/>
      </c>
      <c r="K870" s="1011"/>
      <c r="L870" s="1012"/>
      <c r="M870" s="1013"/>
      <c r="N870" s="1014" t="str">
        <f t="shared" si="191"/>
        <v/>
      </c>
      <c r="O870" s="1326"/>
      <c r="P870" s="1327"/>
      <c r="Q870" s="1327"/>
      <c r="R870" s="1327"/>
      <c r="S870" s="1327"/>
      <c r="T870" s="1328"/>
      <c r="U870" s="1015"/>
      <c r="V870" s="1015"/>
      <c r="W870" s="1015"/>
      <c r="X870" s="1015"/>
      <c r="Y870" s="1015"/>
      <c r="Z870" s="1016">
        <f>'09월 에너지'!S872</f>
        <v>0</v>
      </c>
      <c r="AA870" s="1017"/>
      <c r="AB870" s="1208"/>
      <c r="AC870" s="1208"/>
      <c r="AD870" s="1208"/>
      <c r="AE870" s="1208"/>
      <c r="AF870" s="1208"/>
      <c r="AG870" s="1018">
        <f>'09월 화학성분'!AM870</f>
        <v>0</v>
      </c>
      <c r="AH870" s="1006" t="str">
        <f t="shared" si="180"/>
        <v/>
      </c>
      <c r="AI870" s="1019"/>
      <c r="AJ870" s="1020"/>
      <c r="AK870" s="1021"/>
      <c r="AL870" s="1022"/>
      <c r="AM870" s="1155" t="str">
        <f>IF(AT870="","",3*'09월 에너지'!S872*(1/(3+7.8*(100-AT870)/AT870)))</f>
        <v/>
      </c>
      <c r="AN870" s="1023"/>
      <c r="AO870" s="1024"/>
      <c r="AP870" s="1025"/>
      <c r="AQ870" s="1025"/>
      <c r="AR870" s="1149" t="str">
        <f t="shared" si="181"/>
        <v/>
      </c>
      <c r="AS870" s="1093" t="str">
        <f t="shared" si="192"/>
        <v/>
      </c>
      <c r="AT870" s="1156"/>
      <c r="AU870" s="449"/>
      <c r="AV870" s="1205"/>
    </row>
    <row r="871" spans="1:48" ht="16.5" customHeight="1">
      <c r="A871" s="1005" t="str">
        <f t="shared" si="182"/>
        <v/>
      </c>
      <c r="B871" s="1005" t="str">
        <f t="shared" si="183"/>
        <v/>
      </c>
      <c r="C871" s="1150" t="str">
        <f t="shared" si="184"/>
        <v/>
      </c>
      <c r="D871" s="1150" t="str">
        <f t="shared" si="185"/>
        <v/>
      </c>
      <c r="E871" s="1006" t="str">
        <f t="shared" si="186"/>
        <v/>
      </c>
      <c r="F871" s="1007" t="str">
        <f t="shared" si="187"/>
        <v/>
      </c>
      <c r="G871" s="1008" t="str">
        <f t="shared" si="188"/>
        <v/>
      </c>
      <c r="H871" s="1138">
        <f t="shared" si="189"/>
        <v>1.5138888888888904</v>
      </c>
      <c r="I871" s="1009"/>
      <c r="J871" s="1010" t="str">
        <f t="shared" si="190"/>
        <v/>
      </c>
      <c r="K871" s="1011"/>
      <c r="L871" s="1012"/>
      <c r="M871" s="1013"/>
      <c r="N871" s="1014" t="str">
        <f t="shared" si="191"/>
        <v/>
      </c>
      <c r="O871" s="1326"/>
      <c r="P871" s="1327"/>
      <c r="Q871" s="1327"/>
      <c r="R871" s="1327"/>
      <c r="S871" s="1327"/>
      <c r="T871" s="1328"/>
      <c r="U871" s="1015"/>
      <c r="V871" s="1015"/>
      <c r="W871" s="1015"/>
      <c r="X871" s="1015"/>
      <c r="Y871" s="1015"/>
      <c r="Z871" s="1016">
        <f>'09월 에너지'!S873</f>
        <v>0</v>
      </c>
      <c r="AA871" s="1017"/>
      <c r="AB871" s="1208"/>
      <c r="AC871" s="1208"/>
      <c r="AD871" s="1208"/>
      <c r="AE871" s="1208"/>
      <c r="AF871" s="1208"/>
      <c r="AG871" s="1018">
        <f>'09월 화학성분'!AM871</f>
        <v>0</v>
      </c>
      <c r="AH871" s="1006" t="str">
        <f t="shared" si="180"/>
        <v/>
      </c>
      <c r="AI871" s="1019"/>
      <c r="AJ871" s="1020"/>
      <c r="AK871" s="1021"/>
      <c r="AL871" s="1022"/>
      <c r="AM871" s="1155" t="str">
        <f>IF(AT871="","",3*'09월 에너지'!S873*(1/(3+7.8*(100-AT871)/AT871)))</f>
        <v/>
      </c>
      <c r="AN871" s="1023"/>
      <c r="AO871" s="1024"/>
      <c r="AP871" s="1025"/>
      <c r="AQ871" s="1025"/>
      <c r="AR871" s="1149" t="str">
        <f t="shared" si="181"/>
        <v/>
      </c>
      <c r="AS871" s="1093" t="str">
        <f t="shared" si="192"/>
        <v/>
      </c>
      <c r="AT871" s="1156"/>
      <c r="AU871" s="449"/>
      <c r="AV871" s="1205"/>
    </row>
    <row r="872" spans="1:48" ht="16.5" customHeight="1">
      <c r="A872" s="1005" t="str">
        <f t="shared" si="182"/>
        <v/>
      </c>
      <c r="B872" s="1005" t="str">
        <f t="shared" si="183"/>
        <v/>
      </c>
      <c r="C872" s="1150" t="str">
        <f t="shared" si="184"/>
        <v/>
      </c>
      <c r="D872" s="1150" t="str">
        <f t="shared" si="185"/>
        <v/>
      </c>
      <c r="E872" s="1006" t="str">
        <f t="shared" si="186"/>
        <v/>
      </c>
      <c r="F872" s="1007" t="str">
        <f t="shared" si="187"/>
        <v/>
      </c>
      <c r="G872" s="1008" t="str">
        <f t="shared" si="188"/>
        <v/>
      </c>
      <c r="H872" s="1138">
        <f t="shared" si="189"/>
        <v>1.5472222222222238</v>
      </c>
      <c r="I872" s="1009"/>
      <c r="J872" s="1010" t="str">
        <f t="shared" si="190"/>
        <v/>
      </c>
      <c r="K872" s="1011"/>
      <c r="L872" s="1012"/>
      <c r="M872" s="1013"/>
      <c r="N872" s="1014" t="str">
        <f t="shared" si="191"/>
        <v/>
      </c>
      <c r="O872" s="1326"/>
      <c r="P872" s="1327"/>
      <c r="Q872" s="1327"/>
      <c r="R872" s="1327"/>
      <c r="S872" s="1327"/>
      <c r="T872" s="1328"/>
      <c r="U872" s="1015"/>
      <c r="V872" s="1015"/>
      <c r="W872" s="1015"/>
      <c r="X872" s="1015"/>
      <c r="Y872" s="1015"/>
      <c r="Z872" s="1016">
        <f>'09월 에너지'!S874</f>
        <v>0</v>
      </c>
      <c r="AA872" s="1017"/>
      <c r="AB872" s="1208"/>
      <c r="AC872" s="1208"/>
      <c r="AD872" s="1208"/>
      <c r="AE872" s="1208"/>
      <c r="AF872" s="1208"/>
      <c r="AG872" s="1018">
        <f>'09월 화학성분'!AM872</f>
        <v>0</v>
      </c>
      <c r="AH872" s="1006" t="str">
        <f t="shared" si="180"/>
        <v/>
      </c>
      <c r="AI872" s="1019"/>
      <c r="AJ872" s="1020"/>
      <c r="AK872" s="1021"/>
      <c r="AL872" s="1022"/>
      <c r="AM872" s="1155" t="str">
        <f>IF(AT872="","",3*'09월 에너지'!S874*(1/(3+7.8*(100-AT872)/AT872)))</f>
        <v/>
      </c>
      <c r="AN872" s="1023"/>
      <c r="AO872" s="1024"/>
      <c r="AP872" s="1025"/>
      <c r="AQ872" s="1025"/>
      <c r="AR872" s="1149" t="str">
        <f t="shared" si="181"/>
        <v/>
      </c>
      <c r="AS872" s="1093" t="str">
        <f t="shared" si="192"/>
        <v/>
      </c>
      <c r="AT872" s="1156"/>
      <c r="AU872" s="449"/>
      <c r="AV872" s="1205"/>
    </row>
    <row r="873" spans="1:48" ht="16.5" customHeight="1">
      <c r="A873" s="1005" t="str">
        <f t="shared" si="182"/>
        <v/>
      </c>
      <c r="B873" s="1005" t="str">
        <f t="shared" si="183"/>
        <v/>
      </c>
      <c r="C873" s="1150" t="str">
        <f t="shared" si="184"/>
        <v/>
      </c>
      <c r="D873" s="1150" t="str">
        <f t="shared" si="185"/>
        <v/>
      </c>
      <c r="E873" s="1006" t="str">
        <f t="shared" si="186"/>
        <v/>
      </c>
      <c r="F873" s="1007" t="str">
        <f t="shared" si="187"/>
        <v/>
      </c>
      <c r="G873" s="1008" t="str">
        <f t="shared" si="188"/>
        <v/>
      </c>
      <c r="H873" s="1138">
        <f t="shared" si="189"/>
        <v>1.5805555555555573</v>
      </c>
      <c r="I873" s="1009"/>
      <c r="J873" s="1010" t="str">
        <f t="shared" si="190"/>
        <v/>
      </c>
      <c r="K873" s="1011"/>
      <c r="L873" s="1012"/>
      <c r="M873" s="1013"/>
      <c r="N873" s="1014" t="str">
        <f t="shared" si="191"/>
        <v/>
      </c>
      <c r="O873" s="1326"/>
      <c r="P873" s="1327"/>
      <c r="Q873" s="1327"/>
      <c r="R873" s="1327"/>
      <c r="S873" s="1327"/>
      <c r="T873" s="1328"/>
      <c r="U873" s="1015"/>
      <c r="V873" s="1015"/>
      <c r="W873" s="1015"/>
      <c r="X873" s="1015"/>
      <c r="Y873" s="1015"/>
      <c r="Z873" s="1016">
        <f>'09월 에너지'!S875</f>
        <v>0</v>
      </c>
      <c r="AA873" s="1017"/>
      <c r="AB873" s="1208"/>
      <c r="AC873" s="1208"/>
      <c r="AD873" s="1208"/>
      <c r="AE873" s="1208"/>
      <c r="AF873" s="1208"/>
      <c r="AG873" s="1018">
        <f>'09월 화학성분'!AM873</f>
        <v>0</v>
      </c>
      <c r="AH873" s="1006" t="str">
        <f t="shared" si="180"/>
        <v/>
      </c>
      <c r="AI873" s="1019"/>
      <c r="AJ873" s="1020"/>
      <c r="AK873" s="1021"/>
      <c r="AL873" s="1022"/>
      <c r="AM873" s="1155" t="str">
        <f>IF(AT873="","",3*'09월 에너지'!S875*(1/(3+7.8*(100-AT873)/AT873)))</f>
        <v/>
      </c>
      <c r="AN873" s="1023"/>
      <c r="AO873" s="1024"/>
      <c r="AP873" s="1025"/>
      <c r="AQ873" s="1025"/>
      <c r="AR873" s="1149" t="str">
        <f t="shared" si="181"/>
        <v/>
      </c>
      <c r="AS873" s="1093" t="str">
        <f t="shared" si="192"/>
        <v/>
      </c>
      <c r="AT873" s="1156"/>
      <c r="AU873" s="449"/>
      <c r="AV873" s="1205"/>
    </row>
    <row r="874" spans="1:48" ht="16.5" customHeight="1">
      <c r="A874" s="1005" t="str">
        <f t="shared" si="182"/>
        <v/>
      </c>
      <c r="B874" s="1005" t="str">
        <f t="shared" si="183"/>
        <v/>
      </c>
      <c r="C874" s="1150" t="str">
        <f t="shared" si="184"/>
        <v/>
      </c>
      <c r="D874" s="1150" t="str">
        <f t="shared" si="185"/>
        <v/>
      </c>
      <c r="E874" s="1006" t="str">
        <f t="shared" si="186"/>
        <v/>
      </c>
      <c r="F874" s="1007" t="str">
        <f t="shared" si="187"/>
        <v/>
      </c>
      <c r="G874" s="1008" t="str">
        <f t="shared" si="188"/>
        <v/>
      </c>
      <c r="H874" s="1138">
        <f t="shared" si="189"/>
        <v>1.6138888888888907</v>
      </c>
      <c r="I874" s="1009"/>
      <c r="J874" s="1010" t="str">
        <f t="shared" si="190"/>
        <v/>
      </c>
      <c r="K874" s="1011"/>
      <c r="L874" s="1012"/>
      <c r="M874" s="1013"/>
      <c r="N874" s="1014" t="str">
        <f t="shared" si="191"/>
        <v/>
      </c>
      <c r="O874" s="1326"/>
      <c r="P874" s="1327"/>
      <c r="Q874" s="1327"/>
      <c r="R874" s="1327"/>
      <c r="S874" s="1327"/>
      <c r="T874" s="1328"/>
      <c r="U874" s="1015"/>
      <c r="V874" s="1015"/>
      <c r="W874" s="1015"/>
      <c r="X874" s="1015"/>
      <c r="Y874" s="1015"/>
      <c r="Z874" s="1016">
        <f>'09월 에너지'!S876</f>
        <v>0</v>
      </c>
      <c r="AA874" s="1017"/>
      <c r="AB874" s="1208"/>
      <c r="AC874" s="1208"/>
      <c r="AD874" s="1208"/>
      <c r="AE874" s="1208"/>
      <c r="AF874" s="1208"/>
      <c r="AG874" s="1018">
        <f>'09월 화학성분'!AM874</f>
        <v>0</v>
      </c>
      <c r="AH874" s="1006" t="str">
        <f t="shared" si="180"/>
        <v/>
      </c>
      <c r="AI874" s="1019"/>
      <c r="AJ874" s="1020"/>
      <c r="AK874" s="1021"/>
      <c r="AL874" s="1022"/>
      <c r="AM874" s="1155" t="str">
        <f>IF(AT874="","",3*'09월 에너지'!S876*(1/(3+7.8*(100-AT874)/AT874)))</f>
        <v/>
      </c>
      <c r="AN874" s="1023"/>
      <c r="AO874" s="1024"/>
      <c r="AP874" s="1025"/>
      <c r="AQ874" s="1025"/>
      <c r="AR874" s="1149" t="str">
        <f t="shared" si="181"/>
        <v/>
      </c>
      <c r="AS874" s="1093" t="str">
        <f t="shared" si="192"/>
        <v/>
      </c>
      <c r="AT874" s="1156"/>
      <c r="AU874" s="449"/>
      <c r="AV874" s="1205"/>
    </row>
    <row r="875" spans="1:48" ht="16.5" customHeight="1">
      <c r="A875" s="1005" t="str">
        <f t="shared" si="182"/>
        <v/>
      </c>
      <c r="B875" s="1005" t="str">
        <f t="shared" si="183"/>
        <v/>
      </c>
      <c r="C875" s="1150" t="str">
        <f t="shared" si="184"/>
        <v/>
      </c>
      <c r="D875" s="1150" t="str">
        <f t="shared" si="185"/>
        <v/>
      </c>
      <c r="E875" s="1006" t="str">
        <f t="shared" si="186"/>
        <v/>
      </c>
      <c r="F875" s="1007" t="str">
        <f t="shared" si="187"/>
        <v/>
      </c>
      <c r="G875" s="1008" t="str">
        <f t="shared" si="188"/>
        <v/>
      </c>
      <c r="H875" s="1138">
        <f t="shared" si="189"/>
        <v>1.6472222222222241</v>
      </c>
      <c r="I875" s="1009"/>
      <c r="J875" s="1010" t="str">
        <f t="shared" si="190"/>
        <v/>
      </c>
      <c r="K875" s="1011"/>
      <c r="L875" s="1012"/>
      <c r="M875" s="1013"/>
      <c r="N875" s="1014" t="str">
        <f t="shared" si="191"/>
        <v/>
      </c>
      <c r="O875" s="1326"/>
      <c r="P875" s="1327"/>
      <c r="Q875" s="1327"/>
      <c r="R875" s="1327"/>
      <c r="S875" s="1327"/>
      <c r="T875" s="1328"/>
      <c r="U875" s="1015"/>
      <c r="V875" s="1015"/>
      <c r="W875" s="1015"/>
      <c r="X875" s="1015"/>
      <c r="Y875" s="1015"/>
      <c r="Z875" s="1016">
        <f>'09월 에너지'!S877</f>
        <v>0</v>
      </c>
      <c r="AA875" s="1017"/>
      <c r="AB875" s="1208"/>
      <c r="AC875" s="1208"/>
      <c r="AD875" s="1208"/>
      <c r="AE875" s="1208"/>
      <c r="AF875" s="1208"/>
      <c r="AG875" s="1018">
        <f>'09월 화학성분'!AM875</f>
        <v>0</v>
      </c>
      <c r="AH875" s="1006" t="str">
        <f t="shared" si="180"/>
        <v/>
      </c>
      <c r="AI875" s="1019"/>
      <c r="AJ875" s="1020"/>
      <c r="AK875" s="1021"/>
      <c r="AL875" s="1022"/>
      <c r="AM875" s="1155" t="str">
        <f>IF(AT875="","",3*'09월 에너지'!S877*(1/(3+7.8*(100-AT875)/AT875)))</f>
        <v/>
      </c>
      <c r="AN875" s="1023"/>
      <c r="AO875" s="1024"/>
      <c r="AP875" s="1025"/>
      <c r="AQ875" s="1025"/>
      <c r="AR875" s="1149" t="str">
        <f t="shared" si="181"/>
        <v/>
      </c>
      <c r="AS875" s="1093" t="str">
        <f t="shared" si="192"/>
        <v/>
      </c>
      <c r="AT875" s="1156"/>
      <c r="AU875" s="449"/>
      <c r="AV875" s="1205"/>
    </row>
    <row r="876" spans="1:48" ht="16.5" customHeight="1">
      <c r="A876" s="1005" t="str">
        <f t="shared" si="182"/>
        <v/>
      </c>
      <c r="B876" s="1005" t="str">
        <f t="shared" si="183"/>
        <v/>
      </c>
      <c r="C876" s="1150" t="str">
        <f t="shared" si="184"/>
        <v/>
      </c>
      <c r="D876" s="1150" t="str">
        <f t="shared" si="185"/>
        <v/>
      </c>
      <c r="E876" s="1006" t="str">
        <f t="shared" si="186"/>
        <v/>
      </c>
      <c r="F876" s="1007" t="str">
        <f t="shared" si="187"/>
        <v/>
      </c>
      <c r="G876" s="1008" t="str">
        <f t="shared" si="188"/>
        <v/>
      </c>
      <c r="H876" s="1138">
        <f t="shared" si="189"/>
        <v>1.6805555555555576</v>
      </c>
      <c r="I876" s="1009"/>
      <c r="J876" s="1010" t="str">
        <f t="shared" si="190"/>
        <v/>
      </c>
      <c r="K876" s="1011"/>
      <c r="L876" s="1012"/>
      <c r="M876" s="1013"/>
      <c r="N876" s="1014" t="str">
        <f t="shared" si="191"/>
        <v/>
      </c>
      <c r="O876" s="1326"/>
      <c r="P876" s="1327"/>
      <c r="Q876" s="1327"/>
      <c r="R876" s="1327"/>
      <c r="S876" s="1327"/>
      <c r="T876" s="1328"/>
      <c r="U876" s="1015"/>
      <c r="V876" s="1015"/>
      <c r="W876" s="1015"/>
      <c r="X876" s="1015"/>
      <c r="Y876" s="1015"/>
      <c r="Z876" s="1016">
        <f>'09월 에너지'!S878</f>
        <v>0</v>
      </c>
      <c r="AA876" s="1017"/>
      <c r="AB876" s="1208"/>
      <c r="AC876" s="1208"/>
      <c r="AD876" s="1208"/>
      <c r="AE876" s="1208"/>
      <c r="AF876" s="1208"/>
      <c r="AG876" s="1018">
        <f>'09월 화학성분'!AM876</f>
        <v>0</v>
      </c>
      <c r="AH876" s="1006" t="str">
        <f t="shared" si="180"/>
        <v/>
      </c>
      <c r="AI876" s="1019"/>
      <c r="AJ876" s="1020"/>
      <c r="AK876" s="1021"/>
      <c r="AL876" s="1022"/>
      <c r="AM876" s="1155" t="str">
        <f>IF(AT876="","",3*'09월 에너지'!S878*(1/(3+7.8*(100-AT876)/AT876)))</f>
        <v/>
      </c>
      <c r="AN876" s="1023"/>
      <c r="AO876" s="1024"/>
      <c r="AP876" s="1025"/>
      <c r="AQ876" s="1025"/>
      <c r="AR876" s="1149" t="str">
        <f t="shared" si="181"/>
        <v/>
      </c>
      <c r="AS876" s="1093" t="str">
        <f t="shared" si="192"/>
        <v/>
      </c>
      <c r="AT876" s="1156"/>
      <c r="AU876" s="449"/>
      <c r="AV876" s="1205"/>
    </row>
    <row r="877" spans="1:48" ht="16.5" customHeight="1">
      <c r="A877" s="1005" t="str">
        <f t="shared" si="182"/>
        <v/>
      </c>
      <c r="B877" s="1005" t="str">
        <f t="shared" si="183"/>
        <v/>
      </c>
      <c r="C877" s="1150" t="str">
        <f t="shared" si="184"/>
        <v/>
      </c>
      <c r="D877" s="1150" t="str">
        <f t="shared" si="185"/>
        <v/>
      </c>
      <c r="E877" s="1006" t="str">
        <f t="shared" si="186"/>
        <v/>
      </c>
      <c r="F877" s="1007" t="str">
        <f t="shared" si="187"/>
        <v/>
      </c>
      <c r="G877" s="1008" t="str">
        <f t="shared" si="188"/>
        <v/>
      </c>
      <c r="H877" s="1138">
        <f t="shared" si="189"/>
        <v>1.713888888888891</v>
      </c>
      <c r="I877" s="1009"/>
      <c r="J877" s="1010" t="str">
        <f t="shared" si="190"/>
        <v/>
      </c>
      <c r="K877" s="1011"/>
      <c r="L877" s="1012"/>
      <c r="M877" s="1013"/>
      <c r="N877" s="1014" t="str">
        <f t="shared" si="191"/>
        <v/>
      </c>
      <c r="O877" s="1326"/>
      <c r="P877" s="1327"/>
      <c r="Q877" s="1327"/>
      <c r="R877" s="1327"/>
      <c r="S877" s="1327"/>
      <c r="T877" s="1328"/>
      <c r="U877" s="1015"/>
      <c r="V877" s="1015"/>
      <c r="W877" s="1015"/>
      <c r="X877" s="1015"/>
      <c r="Y877" s="1015"/>
      <c r="Z877" s="1016">
        <f>'09월 에너지'!S879</f>
        <v>0</v>
      </c>
      <c r="AA877" s="1017"/>
      <c r="AB877" s="1208"/>
      <c r="AC877" s="1208"/>
      <c r="AD877" s="1208"/>
      <c r="AE877" s="1208"/>
      <c r="AF877" s="1208"/>
      <c r="AG877" s="1018">
        <f>'09월 화학성분'!AM877</f>
        <v>0</v>
      </c>
      <c r="AH877" s="1006" t="str">
        <f t="shared" si="180"/>
        <v/>
      </c>
      <c r="AI877" s="1019"/>
      <c r="AJ877" s="1020"/>
      <c r="AK877" s="1021"/>
      <c r="AL877" s="1022"/>
      <c r="AM877" s="1155" t="str">
        <f>IF(AT877="","",3*'09월 에너지'!S879*(1/(3+7.8*(100-AT877)/AT877)))</f>
        <v/>
      </c>
      <c r="AN877" s="1023"/>
      <c r="AO877" s="1024"/>
      <c r="AP877" s="1025"/>
      <c r="AQ877" s="1025"/>
      <c r="AR877" s="1149" t="str">
        <f t="shared" si="181"/>
        <v/>
      </c>
      <c r="AS877" s="1093" t="str">
        <f t="shared" si="192"/>
        <v/>
      </c>
      <c r="AT877" s="1156"/>
      <c r="AU877" s="449"/>
      <c r="AV877" s="1205"/>
    </row>
    <row r="878" spans="1:48" ht="16.5" customHeight="1">
      <c r="A878" s="1005" t="str">
        <f t="shared" si="182"/>
        <v/>
      </c>
      <c r="B878" s="1005" t="str">
        <f t="shared" si="183"/>
        <v/>
      </c>
      <c r="C878" s="1150" t="str">
        <f t="shared" si="184"/>
        <v/>
      </c>
      <c r="D878" s="1150" t="str">
        <f t="shared" si="185"/>
        <v/>
      </c>
      <c r="E878" s="1006" t="str">
        <f t="shared" si="186"/>
        <v/>
      </c>
      <c r="F878" s="1007" t="str">
        <f t="shared" si="187"/>
        <v/>
      </c>
      <c r="G878" s="1008" t="str">
        <f t="shared" si="188"/>
        <v/>
      </c>
      <c r="H878" s="1138">
        <f t="shared" si="189"/>
        <v>1.7472222222222245</v>
      </c>
      <c r="I878" s="1009"/>
      <c r="J878" s="1010" t="str">
        <f t="shared" si="190"/>
        <v/>
      </c>
      <c r="K878" s="1011"/>
      <c r="L878" s="1012"/>
      <c r="M878" s="1013"/>
      <c r="N878" s="1014" t="str">
        <f t="shared" si="191"/>
        <v/>
      </c>
      <c r="O878" s="1326"/>
      <c r="P878" s="1327"/>
      <c r="Q878" s="1327"/>
      <c r="R878" s="1327"/>
      <c r="S878" s="1327"/>
      <c r="T878" s="1328"/>
      <c r="U878" s="1015"/>
      <c r="V878" s="1015"/>
      <c r="W878" s="1015"/>
      <c r="X878" s="1015"/>
      <c r="Y878" s="1015"/>
      <c r="Z878" s="1016">
        <f>'09월 에너지'!S880</f>
        <v>0</v>
      </c>
      <c r="AA878" s="1017"/>
      <c r="AB878" s="1208"/>
      <c r="AC878" s="1208"/>
      <c r="AD878" s="1208"/>
      <c r="AE878" s="1208"/>
      <c r="AF878" s="1208"/>
      <c r="AG878" s="1018">
        <f>'09월 화학성분'!AM878</f>
        <v>0</v>
      </c>
      <c r="AH878" s="1006" t="str">
        <f t="shared" si="180"/>
        <v/>
      </c>
      <c r="AI878" s="1019"/>
      <c r="AJ878" s="1020"/>
      <c r="AK878" s="1021"/>
      <c r="AL878" s="1022"/>
      <c r="AM878" s="1155" t="str">
        <f>IF(AT878="","",3*'09월 에너지'!S880*(1/(3+7.8*(100-AT878)/AT878)))</f>
        <v/>
      </c>
      <c r="AN878" s="1023"/>
      <c r="AO878" s="1024"/>
      <c r="AP878" s="1025"/>
      <c r="AQ878" s="1025"/>
      <c r="AR878" s="1149" t="str">
        <f t="shared" si="181"/>
        <v/>
      </c>
      <c r="AS878" s="1093" t="str">
        <f t="shared" si="192"/>
        <v/>
      </c>
      <c r="AT878" s="1156"/>
      <c r="AU878" s="449"/>
      <c r="AV878" s="1205"/>
    </row>
    <row r="879" spans="1:48" ht="16.5" customHeight="1">
      <c r="A879" s="1005" t="str">
        <f t="shared" si="182"/>
        <v/>
      </c>
      <c r="B879" s="1005" t="str">
        <f t="shared" si="183"/>
        <v/>
      </c>
      <c r="C879" s="1150" t="str">
        <f t="shared" si="184"/>
        <v/>
      </c>
      <c r="D879" s="1150" t="str">
        <f t="shared" si="185"/>
        <v/>
      </c>
      <c r="E879" s="1006" t="str">
        <f t="shared" si="186"/>
        <v/>
      </c>
      <c r="F879" s="1007" t="str">
        <f t="shared" si="187"/>
        <v/>
      </c>
      <c r="G879" s="1008" t="str">
        <f t="shared" si="188"/>
        <v/>
      </c>
      <c r="H879" s="1138">
        <f t="shared" si="189"/>
        <v>1.7805555555555579</v>
      </c>
      <c r="I879" s="1009"/>
      <c r="J879" s="1010" t="str">
        <f t="shared" si="190"/>
        <v/>
      </c>
      <c r="K879" s="1011"/>
      <c r="L879" s="1012"/>
      <c r="M879" s="1013"/>
      <c r="N879" s="1014" t="str">
        <f t="shared" si="191"/>
        <v/>
      </c>
      <c r="O879" s="1326"/>
      <c r="P879" s="1327"/>
      <c r="Q879" s="1327"/>
      <c r="R879" s="1327"/>
      <c r="S879" s="1327"/>
      <c r="T879" s="1328"/>
      <c r="U879" s="1015"/>
      <c r="V879" s="1015"/>
      <c r="W879" s="1015"/>
      <c r="X879" s="1015"/>
      <c r="Y879" s="1015"/>
      <c r="Z879" s="1016">
        <f>'09월 에너지'!S881</f>
        <v>0</v>
      </c>
      <c r="AA879" s="1017"/>
      <c r="AB879" s="1208"/>
      <c r="AC879" s="1208"/>
      <c r="AD879" s="1208"/>
      <c r="AE879" s="1208"/>
      <c r="AF879" s="1208"/>
      <c r="AG879" s="1018">
        <f>'09월 화학성분'!AM879</f>
        <v>0</v>
      </c>
      <c r="AH879" s="1006" t="str">
        <f t="shared" si="180"/>
        <v/>
      </c>
      <c r="AI879" s="1019"/>
      <c r="AJ879" s="1020"/>
      <c r="AK879" s="1021"/>
      <c r="AL879" s="1022"/>
      <c r="AM879" s="1155" t="str">
        <f>IF(AT879="","",3*'09월 에너지'!S881*(1/(3+7.8*(100-AT879)/AT879)))</f>
        <v/>
      </c>
      <c r="AN879" s="1023"/>
      <c r="AO879" s="1024"/>
      <c r="AP879" s="1025"/>
      <c r="AQ879" s="1025"/>
      <c r="AR879" s="1149" t="str">
        <f t="shared" si="181"/>
        <v/>
      </c>
      <c r="AS879" s="1093" t="str">
        <f t="shared" si="192"/>
        <v/>
      </c>
      <c r="AT879" s="1156"/>
      <c r="AU879" s="449"/>
      <c r="AV879" s="1205"/>
    </row>
    <row r="880" spans="1:48" ht="16.5" customHeight="1">
      <c r="A880" s="1005" t="str">
        <f t="shared" si="182"/>
        <v/>
      </c>
      <c r="B880" s="1005" t="str">
        <f t="shared" si="183"/>
        <v/>
      </c>
      <c r="C880" s="1150" t="str">
        <f t="shared" si="184"/>
        <v/>
      </c>
      <c r="D880" s="1150" t="str">
        <f t="shared" si="185"/>
        <v/>
      </c>
      <c r="E880" s="1006" t="str">
        <f t="shared" si="186"/>
        <v/>
      </c>
      <c r="F880" s="1007" t="str">
        <f t="shared" si="187"/>
        <v/>
      </c>
      <c r="G880" s="1008" t="str">
        <f t="shared" si="188"/>
        <v/>
      </c>
      <c r="H880" s="1138">
        <f t="shared" si="189"/>
        <v>1.8138888888888913</v>
      </c>
      <c r="I880" s="1009"/>
      <c r="J880" s="1010" t="str">
        <f t="shared" si="190"/>
        <v/>
      </c>
      <c r="K880" s="1011"/>
      <c r="L880" s="1012"/>
      <c r="M880" s="1013"/>
      <c r="N880" s="1014" t="str">
        <f t="shared" si="191"/>
        <v/>
      </c>
      <c r="O880" s="1326"/>
      <c r="P880" s="1327"/>
      <c r="Q880" s="1327"/>
      <c r="R880" s="1327"/>
      <c r="S880" s="1327"/>
      <c r="T880" s="1328"/>
      <c r="U880" s="1015"/>
      <c r="V880" s="1015"/>
      <c r="W880" s="1015"/>
      <c r="X880" s="1015"/>
      <c r="Y880" s="1015"/>
      <c r="Z880" s="1016">
        <f>'09월 에너지'!S882</f>
        <v>0</v>
      </c>
      <c r="AA880" s="1017"/>
      <c r="AB880" s="1208"/>
      <c r="AC880" s="1208"/>
      <c r="AD880" s="1208"/>
      <c r="AE880" s="1208"/>
      <c r="AF880" s="1208"/>
      <c r="AG880" s="1018">
        <f>'09월 화학성분'!AM880</f>
        <v>0</v>
      </c>
      <c r="AH880" s="1006" t="str">
        <f t="shared" si="180"/>
        <v/>
      </c>
      <c r="AI880" s="1019"/>
      <c r="AJ880" s="1020"/>
      <c r="AK880" s="1021"/>
      <c r="AL880" s="1022"/>
      <c r="AM880" s="1155" t="str">
        <f>IF(AT880="","",3*'09월 에너지'!S882*(1/(3+7.8*(100-AT880)/AT880)))</f>
        <v/>
      </c>
      <c r="AN880" s="1023"/>
      <c r="AO880" s="1024"/>
      <c r="AP880" s="1025"/>
      <c r="AQ880" s="1025"/>
      <c r="AR880" s="1149" t="str">
        <f t="shared" si="181"/>
        <v/>
      </c>
      <c r="AS880" s="1093" t="str">
        <f t="shared" si="192"/>
        <v/>
      </c>
      <c r="AT880" s="1156"/>
      <c r="AU880" s="449"/>
      <c r="AV880" s="1205"/>
    </row>
    <row r="881" spans="1:48" ht="16.5" customHeight="1">
      <c r="A881" s="1005" t="str">
        <f t="shared" si="182"/>
        <v/>
      </c>
      <c r="B881" s="1005" t="str">
        <f t="shared" si="183"/>
        <v/>
      </c>
      <c r="C881" s="1150" t="str">
        <f t="shared" si="184"/>
        <v/>
      </c>
      <c r="D881" s="1150" t="str">
        <f t="shared" si="185"/>
        <v/>
      </c>
      <c r="E881" s="1006" t="str">
        <f t="shared" si="186"/>
        <v/>
      </c>
      <c r="F881" s="1007" t="str">
        <f t="shared" si="187"/>
        <v/>
      </c>
      <c r="G881" s="1008" t="str">
        <f t="shared" si="188"/>
        <v/>
      </c>
      <c r="H881" s="1138">
        <f t="shared" si="189"/>
        <v>1.8472222222222248</v>
      </c>
      <c r="I881" s="1009"/>
      <c r="J881" s="1010" t="str">
        <f t="shared" si="190"/>
        <v/>
      </c>
      <c r="K881" s="1011"/>
      <c r="L881" s="1012"/>
      <c r="M881" s="1013"/>
      <c r="N881" s="1014" t="str">
        <f t="shared" si="191"/>
        <v/>
      </c>
      <c r="O881" s="1326"/>
      <c r="P881" s="1327"/>
      <c r="Q881" s="1327"/>
      <c r="R881" s="1327"/>
      <c r="S881" s="1327"/>
      <c r="T881" s="1328"/>
      <c r="U881" s="1015"/>
      <c r="V881" s="1015"/>
      <c r="W881" s="1015"/>
      <c r="X881" s="1015"/>
      <c r="Y881" s="1015"/>
      <c r="Z881" s="1016">
        <f>'09월 에너지'!S883</f>
        <v>0</v>
      </c>
      <c r="AA881" s="1017"/>
      <c r="AB881" s="1208"/>
      <c r="AC881" s="1208"/>
      <c r="AD881" s="1208"/>
      <c r="AE881" s="1208"/>
      <c r="AF881" s="1208"/>
      <c r="AG881" s="1018">
        <f>'09월 화학성분'!AM881</f>
        <v>0</v>
      </c>
      <c r="AH881" s="1006" t="str">
        <f t="shared" si="180"/>
        <v/>
      </c>
      <c r="AI881" s="1019"/>
      <c r="AJ881" s="1020"/>
      <c r="AK881" s="1021"/>
      <c r="AL881" s="1022"/>
      <c r="AM881" s="1155" t="str">
        <f>IF(AT881="","",3*'09월 에너지'!S883*(1/(3+7.8*(100-AT881)/AT881)))</f>
        <v/>
      </c>
      <c r="AN881" s="1023"/>
      <c r="AO881" s="1024"/>
      <c r="AP881" s="1025"/>
      <c r="AQ881" s="1025"/>
      <c r="AR881" s="1149" t="str">
        <f t="shared" si="181"/>
        <v/>
      </c>
      <c r="AS881" s="1093" t="str">
        <f t="shared" si="192"/>
        <v/>
      </c>
      <c r="AT881" s="1156"/>
      <c r="AU881" s="449"/>
      <c r="AV881" s="1205"/>
    </row>
    <row r="882" spans="1:48" ht="16.5" customHeight="1">
      <c r="A882" s="1005" t="str">
        <f t="shared" si="182"/>
        <v/>
      </c>
      <c r="B882" s="1005" t="str">
        <f t="shared" si="183"/>
        <v/>
      </c>
      <c r="C882" s="1150" t="str">
        <f t="shared" si="184"/>
        <v/>
      </c>
      <c r="D882" s="1150" t="str">
        <f t="shared" si="185"/>
        <v/>
      </c>
      <c r="E882" s="1006" t="str">
        <f t="shared" si="186"/>
        <v/>
      </c>
      <c r="F882" s="1007" t="str">
        <f t="shared" si="187"/>
        <v/>
      </c>
      <c r="G882" s="1008" t="str">
        <f t="shared" si="188"/>
        <v/>
      </c>
      <c r="H882" s="1138">
        <f t="shared" si="189"/>
        <v>1.8805555555555582</v>
      </c>
      <c r="I882" s="1009"/>
      <c r="J882" s="1010" t="str">
        <f t="shared" si="190"/>
        <v/>
      </c>
      <c r="K882" s="1011"/>
      <c r="L882" s="1012"/>
      <c r="M882" s="1013"/>
      <c r="N882" s="1014" t="str">
        <f t="shared" si="191"/>
        <v/>
      </c>
      <c r="O882" s="1326"/>
      <c r="P882" s="1327"/>
      <c r="Q882" s="1327"/>
      <c r="R882" s="1327"/>
      <c r="S882" s="1327"/>
      <c r="T882" s="1328"/>
      <c r="U882" s="1015"/>
      <c r="V882" s="1015"/>
      <c r="W882" s="1015"/>
      <c r="X882" s="1015"/>
      <c r="Y882" s="1015"/>
      <c r="Z882" s="1016">
        <f>'09월 에너지'!S884</f>
        <v>0</v>
      </c>
      <c r="AA882" s="1017"/>
      <c r="AB882" s="1208"/>
      <c r="AC882" s="1208"/>
      <c r="AD882" s="1208"/>
      <c r="AE882" s="1208"/>
      <c r="AF882" s="1208"/>
      <c r="AG882" s="1018">
        <f>'09월 화학성분'!AM882</f>
        <v>0</v>
      </c>
      <c r="AH882" s="1006" t="str">
        <f t="shared" si="180"/>
        <v/>
      </c>
      <c r="AI882" s="1019"/>
      <c r="AJ882" s="1020"/>
      <c r="AK882" s="1021"/>
      <c r="AL882" s="1022"/>
      <c r="AM882" s="1155" t="str">
        <f>IF(AT882="","",3*'09월 에너지'!S884*(1/(3+7.8*(100-AT882)/AT882)))</f>
        <v/>
      </c>
      <c r="AN882" s="1023"/>
      <c r="AO882" s="1024"/>
      <c r="AP882" s="1025"/>
      <c r="AQ882" s="1025"/>
      <c r="AR882" s="1149" t="str">
        <f t="shared" si="181"/>
        <v/>
      </c>
      <c r="AS882" s="1093" t="str">
        <f t="shared" si="192"/>
        <v/>
      </c>
      <c r="AT882" s="1156"/>
      <c r="AU882" s="449"/>
      <c r="AV882" s="1205"/>
    </row>
    <row r="883" spans="1:48" ht="16.5" customHeight="1">
      <c r="A883" s="1005" t="str">
        <f t="shared" si="182"/>
        <v/>
      </c>
      <c r="B883" s="1005" t="str">
        <f t="shared" si="183"/>
        <v/>
      </c>
      <c r="C883" s="1150" t="str">
        <f t="shared" si="184"/>
        <v/>
      </c>
      <c r="D883" s="1150" t="str">
        <f t="shared" si="185"/>
        <v/>
      </c>
      <c r="E883" s="1006" t="str">
        <f t="shared" si="186"/>
        <v/>
      </c>
      <c r="F883" s="1007" t="str">
        <f t="shared" si="187"/>
        <v/>
      </c>
      <c r="G883" s="1008" t="str">
        <f t="shared" si="188"/>
        <v/>
      </c>
      <c r="H883" s="1138">
        <f t="shared" si="189"/>
        <v>1.9138888888888916</v>
      </c>
      <c r="I883" s="1009"/>
      <c r="J883" s="1010" t="str">
        <f t="shared" si="190"/>
        <v/>
      </c>
      <c r="K883" s="1011"/>
      <c r="L883" s="1012"/>
      <c r="M883" s="1013"/>
      <c r="N883" s="1014" t="str">
        <f t="shared" si="191"/>
        <v/>
      </c>
      <c r="O883" s="1326"/>
      <c r="P883" s="1327"/>
      <c r="Q883" s="1327"/>
      <c r="R883" s="1327"/>
      <c r="S883" s="1327"/>
      <c r="T883" s="1328"/>
      <c r="U883" s="1015"/>
      <c r="V883" s="1015"/>
      <c r="W883" s="1015"/>
      <c r="X883" s="1015"/>
      <c r="Y883" s="1015"/>
      <c r="Z883" s="1016">
        <f>'09월 에너지'!S885</f>
        <v>0</v>
      </c>
      <c r="AA883" s="1017"/>
      <c r="AB883" s="1208"/>
      <c r="AC883" s="1208"/>
      <c r="AD883" s="1208"/>
      <c r="AE883" s="1208"/>
      <c r="AF883" s="1208"/>
      <c r="AG883" s="1018">
        <f>'09월 화학성분'!AM883</f>
        <v>0</v>
      </c>
      <c r="AH883" s="1006" t="str">
        <f t="shared" si="180"/>
        <v/>
      </c>
      <c r="AI883" s="1019"/>
      <c r="AJ883" s="1020"/>
      <c r="AK883" s="1021"/>
      <c r="AL883" s="1022"/>
      <c r="AM883" s="1155" t="str">
        <f>IF(AT883="","",3*'09월 에너지'!S885*(1/(3+7.8*(100-AT883)/AT883)))</f>
        <v/>
      </c>
      <c r="AN883" s="1023"/>
      <c r="AO883" s="1024"/>
      <c r="AP883" s="1025"/>
      <c r="AQ883" s="1025"/>
      <c r="AR883" s="1149" t="str">
        <f t="shared" si="181"/>
        <v/>
      </c>
      <c r="AS883" s="1093" t="str">
        <f t="shared" si="192"/>
        <v/>
      </c>
      <c r="AT883" s="1156"/>
      <c r="AU883" s="449"/>
      <c r="AV883" s="1205"/>
    </row>
    <row r="884" spans="1:48" ht="16.5" customHeight="1">
      <c r="A884" s="1005" t="str">
        <f t="shared" si="182"/>
        <v/>
      </c>
      <c r="B884" s="1005" t="str">
        <f t="shared" si="183"/>
        <v/>
      </c>
      <c r="C884" s="1150" t="str">
        <f t="shared" si="184"/>
        <v/>
      </c>
      <c r="D884" s="1150" t="str">
        <f t="shared" si="185"/>
        <v/>
      </c>
      <c r="E884" s="1006" t="str">
        <f t="shared" si="186"/>
        <v/>
      </c>
      <c r="F884" s="1007" t="str">
        <f t="shared" si="187"/>
        <v/>
      </c>
      <c r="G884" s="1008" t="str">
        <f t="shared" si="188"/>
        <v/>
      </c>
      <c r="H884" s="1138">
        <f t="shared" si="189"/>
        <v>1.9472222222222251</v>
      </c>
      <c r="I884" s="1009"/>
      <c r="J884" s="1010" t="str">
        <f t="shared" si="190"/>
        <v/>
      </c>
      <c r="K884" s="1011"/>
      <c r="L884" s="1012"/>
      <c r="M884" s="1013"/>
      <c r="N884" s="1014" t="str">
        <f t="shared" si="191"/>
        <v/>
      </c>
      <c r="O884" s="1326"/>
      <c r="P884" s="1327"/>
      <c r="Q884" s="1327"/>
      <c r="R884" s="1327"/>
      <c r="S884" s="1327"/>
      <c r="T884" s="1328"/>
      <c r="U884" s="1015"/>
      <c r="V884" s="1015"/>
      <c r="W884" s="1015"/>
      <c r="X884" s="1015"/>
      <c r="Y884" s="1015"/>
      <c r="Z884" s="1016">
        <f>'09월 에너지'!S886</f>
        <v>0</v>
      </c>
      <c r="AA884" s="1017"/>
      <c r="AB884" s="1208"/>
      <c r="AC884" s="1208"/>
      <c r="AD884" s="1208"/>
      <c r="AE884" s="1208"/>
      <c r="AF884" s="1208"/>
      <c r="AG884" s="1018">
        <f>'09월 화학성분'!AM884</f>
        <v>0</v>
      </c>
      <c r="AH884" s="1006" t="str">
        <f t="shared" si="180"/>
        <v/>
      </c>
      <c r="AI884" s="1019"/>
      <c r="AJ884" s="1020"/>
      <c r="AK884" s="1021"/>
      <c r="AL884" s="1022"/>
      <c r="AM884" s="1155" t="str">
        <f>IF(AT884="","",3*'09월 에너지'!S886*(1/(3+7.8*(100-AT884)/AT884)))</f>
        <v/>
      </c>
      <c r="AN884" s="1023"/>
      <c r="AO884" s="1024"/>
      <c r="AP884" s="1025"/>
      <c r="AQ884" s="1025"/>
      <c r="AR884" s="1149" t="str">
        <f t="shared" si="181"/>
        <v/>
      </c>
      <c r="AS884" s="1093" t="str">
        <f t="shared" si="192"/>
        <v/>
      </c>
      <c r="AT884" s="1156"/>
      <c r="AU884" s="449"/>
      <c r="AV884" s="1205"/>
    </row>
    <row r="885" spans="1:48" ht="16.5" customHeight="1">
      <c r="A885" s="1005" t="str">
        <f t="shared" si="182"/>
        <v/>
      </c>
      <c r="B885" s="1005" t="str">
        <f t="shared" si="183"/>
        <v/>
      </c>
      <c r="C885" s="1150" t="str">
        <f t="shared" si="184"/>
        <v/>
      </c>
      <c r="D885" s="1150" t="str">
        <f t="shared" si="185"/>
        <v/>
      </c>
      <c r="E885" s="1006" t="str">
        <f t="shared" si="186"/>
        <v/>
      </c>
      <c r="F885" s="1007" t="str">
        <f t="shared" si="187"/>
        <v/>
      </c>
      <c r="G885" s="1008" t="str">
        <f t="shared" si="188"/>
        <v/>
      </c>
      <c r="H885" s="1138">
        <f t="shared" si="189"/>
        <v>1.9805555555555585</v>
      </c>
      <c r="I885" s="1009"/>
      <c r="J885" s="1010" t="str">
        <f t="shared" si="190"/>
        <v/>
      </c>
      <c r="K885" s="1011"/>
      <c r="L885" s="1012"/>
      <c r="M885" s="1013"/>
      <c r="N885" s="1014" t="str">
        <f t="shared" si="191"/>
        <v/>
      </c>
      <c r="O885" s="1326"/>
      <c r="P885" s="1327"/>
      <c r="Q885" s="1327"/>
      <c r="R885" s="1327"/>
      <c r="S885" s="1327"/>
      <c r="T885" s="1328"/>
      <c r="U885" s="1015"/>
      <c r="V885" s="1015"/>
      <c r="W885" s="1015"/>
      <c r="X885" s="1015"/>
      <c r="Y885" s="1015"/>
      <c r="Z885" s="1016">
        <f>'09월 에너지'!S887</f>
        <v>0</v>
      </c>
      <c r="AA885" s="1017"/>
      <c r="AB885" s="1208"/>
      <c r="AC885" s="1208"/>
      <c r="AD885" s="1208"/>
      <c r="AE885" s="1208"/>
      <c r="AF885" s="1208"/>
      <c r="AG885" s="1018">
        <f>'09월 화학성분'!AM885</f>
        <v>0</v>
      </c>
      <c r="AH885" s="1006" t="str">
        <f t="shared" si="180"/>
        <v/>
      </c>
      <c r="AI885" s="1019"/>
      <c r="AJ885" s="1020"/>
      <c r="AK885" s="1021"/>
      <c r="AL885" s="1022"/>
      <c r="AM885" s="1155" t="str">
        <f>IF(AT885="","",3*'09월 에너지'!S887*(1/(3+7.8*(100-AT885)/AT885)))</f>
        <v/>
      </c>
      <c r="AN885" s="1023"/>
      <c r="AO885" s="1024"/>
      <c r="AP885" s="1025"/>
      <c r="AQ885" s="1025"/>
      <c r="AR885" s="1149" t="str">
        <f t="shared" si="181"/>
        <v/>
      </c>
      <c r="AS885" s="1093" t="str">
        <f t="shared" si="192"/>
        <v/>
      </c>
      <c r="AT885" s="1156"/>
      <c r="AU885" s="449"/>
      <c r="AV885" s="1205"/>
    </row>
    <row r="886" spans="1:48" ht="16.5" customHeight="1">
      <c r="A886" s="1005" t="str">
        <f t="shared" si="182"/>
        <v/>
      </c>
      <c r="B886" s="1005" t="str">
        <f t="shared" si="183"/>
        <v/>
      </c>
      <c r="C886" s="1150" t="str">
        <f t="shared" si="184"/>
        <v/>
      </c>
      <c r="D886" s="1150" t="str">
        <f t="shared" si="185"/>
        <v/>
      </c>
      <c r="E886" s="1006" t="str">
        <f t="shared" si="186"/>
        <v/>
      </c>
      <c r="F886" s="1007" t="str">
        <f t="shared" si="187"/>
        <v/>
      </c>
      <c r="G886" s="1008" t="str">
        <f t="shared" si="188"/>
        <v/>
      </c>
      <c r="H886" s="1138">
        <f t="shared" si="189"/>
        <v>2.0138888888888919</v>
      </c>
      <c r="I886" s="1009"/>
      <c r="J886" s="1010" t="str">
        <f t="shared" si="190"/>
        <v/>
      </c>
      <c r="K886" s="1011"/>
      <c r="L886" s="1012"/>
      <c r="M886" s="1013"/>
      <c r="N886" s="1014" t="str">
        <f t="shared" si="191"/>
        <v/>
      </c>
      <c r="O886" s="1326"/>
      <c r="P886" s="1327"/>
      <c r="Q886" s="1327"/>
      <c r="R886" s="1327"/>
      <c r="S886" s="1327"/>
      <c r="T886" s="1328"/>
      <c r="U886" s="1015"/>
      <c r="V886" s="1015"/>
      <c r="W886" s="1015"/>
      <c r="X886" s="1015"/>
      <c r="Y886" s="1015"/>
      <c r="Z886" s="1016">
        <f>'09월 에너지'!S888</f>
        <v>0</v>
      </c>
      <c r="AA886" s="1017"/>
      <c r="AB886" s="1208"/>
      <c r="AC886" s="1208"/>
      <c r="AD886" s="1208"/>
      <c r="AE886" s="1208"/>
      <c r="AF886" s="1208"/>
      <c r="AG886" s="1018">
        <f>'09월 화학성분'!AM886</f>
        <v>0</v>
      </c>
      <c r="AH886" s="1006" t="str">
        <f t="shared" si="180"/>
        <v/>
      </c>
      <c r="AI886" s="1019"/>
      <c r="AJ886" s="1020"/>
      <c r="AK886" s="1021"/>
      <c r="AL886" s="1022"/>
      <c r="AM886" s="1155" t="str">
        <f>IF(AT886="","",3*'09월 에너지'!S888*(1/(3+7.8*(100-AT886)/AT886)))</f>
        <v/>
      </c>
      <c r="AN886" s="1023"/>
      <c r="AO886" s="1024"/>
      <c r="AP886" s="1025"/>
      <c r="AQ886" s="1025"/>
      <c r="AR886" s="1149" t="str">
        <f t="shared" si="181"/>
        <v/>
      </c>
      <c r="AS886" s="1093" t="str">
        <f t="shared" si="192"/>
        <v/>
      </c>
      <c r="AT886" s="1156"/>
      <c r="AU886" s="449"/>
      <c r="AV886" s="1205"/>
    </row>
    <row r="887" spans="1:48" ht="16.5" customHeight="1">
      <c r="A887" s="1005" t="str">
        <f t="shared" si="182"/>
        <v/>
      </c>
      <c r="B887" s="1005" t="str">
        <f t="shared" si="183"/>
        <v/>
      </c>
      <c r="C887" s="1150" t="str">
        <f t="shared" si="184"/>
        <v/>
      </c>
      <c r="D887" s="1150" t="str">
        <f t="shared" si="185"/>
        <v/>
      </c>
      <c r="E887" s="1006" t="str">
        <f t="shared" si="186"/>
        <v/>
      </c>
      <c r="F887" s="1007" t="str">
        <f t="shared" si="187"/>
        <v/>
      </c>
      <c r="G887" s="1008" t="str">
        <f t="shared" si="188"/>
        <v/>
      </c>
      <c r="H887" s="1138">
        <f t="shared" si="189"/>
        <v>2.0472222222222252</v>
      </c>
      <c r="I887" s="1009"/>
      <c r="J887" s="1010" t="str">
        <f t="shared" si="190"/>
        <v/>
      </c>
      <c r="K887" s="1011"/>
      <c r="L887" s="1012"/>
      <c r="M887" s="1013"/>
      <c r="N887" s="1014" t="str">
        <f t="shared" si="191"/>
        <v/>
      </c>
      <c r="O887" s="1326"/>
      <c r="P887" s="1327"/>
      <c r="Q887" s="1327"/>
      <c r="R887" s="1327"/>
      <c r="S887" s="1327"/>
      <c r="T887" s="1328"/>
      <c r="U887" s="1015"/>
      <c r="V887" s="1015"/>
      <c r="W887" s="1015"/>
      <c r="X887" s="1015"/>
      <c r="Y887" s="1015"/>
      <c r="Z887" s="1016">
        <f>'09월 에너지'!S889</f>
        <v>0</v>
      </c>
      <c r="AA887" s="1017"/>
      <c r="AB887" s="1208"/>
      <c r="AC887" s="1208"/>
      <c r="AD887" s="1208"/>
      <c r="AE887" s="1208"/>
      <c r="AF887" s="1208"/>
      <c r="AG887" s="1018">
        <f>'09월 화학성분'!AM887</f>
        <v>0</v>
      </c>
      <c r="AH887" s="1006" t="str">
        <f t="shared" si="180"/>
        <v/>
      </c>
      <c r="AI887" s="1019"/>
      <c r="AJ887" s="1020"/>
      <c r="AK887" s="1021"/>
      <c r="AL887" s="1022"/>
      <c r="AM887" s="1155" t="str">
        <f>IF(AT887="","",3*'09월 에너지'!S889*(1/(3+7.8*(100-AT887)/AT887)))</f>
        <v/>
      </c>
      <c r="AN887" s="1023"/>
      <c r="AO887" s="1024"/>
      <c r="AP887" s="1025"/>
      <c r="AQ887" s="1025"/>
      <c r="AR887" s="1149" t="str">
        <f t="shared" si="181"/>
        <v/>
      </c>
      <c r="AS887" s="1093" t="str">
        <f t="shared" si="192"/>
        <v/>
      </c>
      <c r="AT887" s="1156"/>
      <c r="AU887" s="449"/>
      <c r="AV887" s="1205"/>
    </row>
    <row r="888" spans="1:48" ht="16.5" customHeight="1">
      <c r="A888" s="1005" t="str">
        <f t="shared" si="182"/>
        <v/>
      </c>
      <c r="B888" s="1005" t="str">
        <f t="shared" si="183"/>
        <v/>
      </c>
      <c r="C888" s="1150" t="str">
        <f t="shared" si="184"/>
        <v/>
      </c>
      <c r="D888" s="1150" t="str">
        <f t="shared" si="185"/>
        <v/>
      </c>
      <c r="E888" s="1006" t="str">
        <f t="shared" si="186"/>
        <v/>
      </c>
      <c r="F888" s="1007" t="str">
        <f t="shared" si="187"/>
        <v/>
      </c>
      <c r="G888" s="1008" t="str">
        <f t="shared" si="188"/>
        <v/>
      </c>
      <c r="H888" s="1138">
        <f t="shared" si="189"/>
        <v>2.0805555555555584</v>
      </c>
      <c r="I888" s="1009"/>
      <c r="J888" s="1010" t="str">
        <f t="shared" si="190"/>
        <v/>
      </c>
      <c r="K888" s="1011"/>
      <c r="L888" s="1012"/>
      <c r="M888" s="1013"/>
      <c r="N888" s="1014" t="str">
        <f t="shared" si="191"/>
        <v/>
      </c>
      <c r="O888" s="1320"/>
      <c r="P888" s="1321"/>
      <c r="Q888" s="1321"/>
      <c r="R888" s="1321"/>
      <c r="S888" s="1321"/>
      <c r="T888" s="1322"/>
      <c r="U888" s="1015"/>
      <c r="V888" s="1015"/>
      <c r="W888" s="1015"/>
      <c r="X888" s="1015"/>
      <c r="Y888" s="1015"/>
      <c r="Z888" s="1016">
        <f>'09월 에너지'!S890</f>
        <v>0</v>
      </c>
      <c r="AA888" s="1017"/>
      <c r="AB888" s="1208"/>
      <c r="AC888" s="1208"/>
      <c r="AD888" s="1208"/>
      <c r="AE888" s="1208"/>
      <c r="AF888" s="1208"/>
      <c r="AG888" s="1018">
        <f>'09월 화학성분'!AM888</f>
        <v>0</v>
      </c>
      <c r="AH888" s="1006" t="str">
        <f t="shared" si="180"/>
        <v/>
      </c>
      <c r="AI888" s="1019"/>
      <c r="AJ888" s="1020"/>
      <c r="AK888" s="1021"/>
      <c r="AL888" s="1022"/>
      <c r="AM888" s="1155" t="str">
        <f>IF(AT888="","",3*'09월 에너지'!S890*(1/(3+7.8*(100-AT888)/AT888)))</f>
        <v/>
      </c>
      <c r="AN888" s="1023"/>
      <c r="AO888" s="1024"/>
      <c r="AP888" s="1025"/>
      <c r="AQ888" s="1025"/>
      <c r="AR888" s="1149" t="str">
        <f t="shared" si="181"/>
        <v/>
      </c>
      <c r="AS888" s="1093" t="str">
        <f t="shared" si="192"/>
        <v/>
      </c>
      <c r="AT888" s="1156"/>
      <c r="AU888" s="449"/>
      <c r="AV888" s="1205"/>
    </row>
    <row r="889" spans="1:48" ht="16.5" customHeight="1">
      <c r="A889" s="1005" t="str">
        <f t="shared" si="182"/>
        <v/>
      </c>
      <c r="B889" s="1005" t="str">
        <f t="shared" si="183"/>
        <v/>
      </c>
      <c r="C889" s="1150" t="str">
        <f t="shared" si="184"/>
        <v/>
      </c>
      <c r="D889" s="1150" t="str">
        <f t="shared" si="185"/>
        <v/>
      </c>
      <c r="E889" s="1006" t="str">
        <f t="shared" si="186"/>
        <v/>
      </c>
      <c r="F889" s="1007" t="str">
        <f t="shared" si="187"/>
        <v/>
      </c>
      <c r="G889" s="1008" t="str">
        <f t="shared" si="188"/>
        <v/>
      </c>
      <c r="H889" s="1138">
        <f t="shared" si="189"/>
        <v>2.1138888888888916</v>
      </c>
      <c r="I889" s="1009"/>
      <c r="J889" s="1010" t="str">
        <f t="shared" si="190"/>
        <v/>
      </c>
      <c r="K889" s="1011"/>
      <c r="L889" s="1012"/>
      <c r="M889" s="1013"/>
      <c r="N889" s="1014" t="str">
        <f t="shared" si="191"/>
        <v/>
      </c>
      <c r="O889" s="1320"/>
      <c r="P889" s="1321"/>
      <c r="Q889" s="1321"/>
      <c r="R889" s="1321"/>
      <c r="S889" s="1321"/>
      <c r="T889" s="1322"/>
      <c r="U889" s="1015"/>
      <c r="V889" s="1015"/>
      <c r="W889" s="1015"/>
      <c r="X889" s="1015"/>
      <c r="Y889" s="1015"/>
      <c r="Z889" s="1016">
        <f>'09월 에너지'!S891</f>
        <v>0</v>
      </c>
      <c r="AA889" s="1017"/>
      <c r="AB889" s="1208"/>
      <c r="AC889" s="1208"/>
      <c r="AD889" s="1208"/>
      <c r="AE889" s="1208"/>
      <c r="AF889" s="1208"/>
      <c r="AG889" s="1018">
        <f>'09월 화학성분'!AM889</f>
        <v>0</v>
      </c>
      <c r="AH889" s="1006" t="str">
        <f t="shared" si="180"/>
        <v/>
      </c>
      <c r="AI889" s="1019"/>
      <c r="AJ889" s="1020"/>
      <c r="AK889" s="1021"/>
      <c r="AL889" s="1022"/>
      <c r="AM889" s="1155" t="str">
        <f>IF(AT889="","",3*'09월 에너지'!S891*(1/(3+7.8*(100-AT889)/AT889)))</f>
        <v/>
      </c>
      <c r="AN889" s="1023"/>
      <c r="AO889" s="1024"/>
      <c r="AP889" s="1025"/>
      <c r="AQ889" s="1025"/>
      <c r="AR889" s="1149" t="str">
        <f t="shared" si="181"/>
        <v/>
      </c>
      <c r="AS889" s="1093" t="str">
        <f t="shared" si="192"/>
        <v/>
      </c>
      <c r="AT889" s="1156"/>
      <c r="AU889" s="449"/>
      <c r="AV889" s="1205"/>
    </row>
    <row r="890" spans="1:48" ht="16.5" customHeight="1">
      <c r="A890" s="1005" t="str">
        <f t="shared" si="182"/>
        <v/>
      </c>
      <c r="B890" s="1005" t="str">
        <f t="shared" si="183"/>
        <v/>
      </c>
      <c r="C890" s="1150" t="str">
        <f t="shared" si="184"/>
        <v/>
      </c>
      <c r="D890" s="1150" t="str">
        <f t="shared" si="185"/>
        <v/>
      </c>
      <c r="E890" s="1006" t="str">
        <f t="shared" si="186"/>
        <v/>
      </c>
      <c r="F890" s="1007" t="str">
        <f t="shared" si="187"/>
        <v/>
      </c>
      <c r="G890" s="1008" t="str">
        <f t="shared" si="188"/>
        <v/>
      </c>
      <c r="H890" s="1138">
        <f t="shared" si="189"/>
        <v>2.1472222222222248</v>
      </c>
      <c r="I890" s="1009"/>
      <c r="J890" s="1010" t="str">
        <f t="shared" si="190"/>
        <v/>
      </c>
      <c r="K890" s="1011"/>
      <c r="L890" s="1012"/>
      <c r="M890" s="1013"/>
      <c r="N890" s="1014" t="str">
        <f t="shared" si="191"/>
        <v/>
      </c>
      <c r="O890" s="1320"/>
      <c r="P890" s="1321"/>
      <c r="Q890" s="1321"/>
      <c r="R890" s="1321"/>
      <c r="S890" s="1321"/>
      <c r="T890" s="1322"/>
      <c r="U890" s="1015"/>
      <c r="V890" s="1015"/>
      <c r="W890" s="1015"/>
      <c r="X890" s="1015"/>
      <c r="Y890" s="1015"/>
      <c r="Z890" s="1016">
        <f>'09월 에너지'!S892</f>
        <v>0</v>
      </c>
      <c r="AA890" s="1017"/>
      <c r="AB890" s="1208"/>
      <c r="AC890" s="1208"/>
      <c r="AD890" s="1208"/>
      <c r="AE890" s="1208"/>
      <c r="AF890" s="1208"/>
      <c r="AG890" s="1018">
        <f>'09월 화학성분'!AM890</f>
        <v>0</v>
      </c>
      <c r="AH890" s="1006" t="str">
        <f t="shared" si="180"/>
        <v/>
      </c>
      <c r="AI890" s="1019"/>
      <c r="AJ890" s="1020"/>
      <c r="AK890" s="1021"/>
      <c r="AL890" s="1022"/>
      <c r="AM890" s="1155" t="str">
        <f>IF(AT890="","",3*'09월 에너지'!S892*(1/(3+7.8*(100-AT890)/AT890)))</f>
        <v/>
      </c>
      <c r="AN890" s="1023"/>
      <c r="AO890" s="1024"/>
      <c r="AP890" s="1025"/>
      <c r="AQ890" s="1025"/>
      <c r="AR890" s="1149" t="str">
        <f t="shared" si="181"/>
        <v/>
      </c>
      <c r="AS890" s="1093" t="str">
        <f t="shared" si="192"/>
        <v/>
      </c>
      <c r="AT890" s="1156"/>
      <c r="AU890" s="449"/>
      <c r="AV890" s="1205"/>
    </row>
    <row r="891" spans="1:48" ht="16.5" customHeight="1">
      <c r="A891" s="1005" t="str">
        <f t="shared" si="182"/>
        <v/>
      </c>
      <c r="B891" s="1005" t="str">
        <f t="shared" si="183"/>
        <v/>
      </c>
      <c r="C891" s="1150" t="str">
        <f t="shared" si="184"/>
        <v/>
      </c>
      <c r="D891" s="1150" t="str">
        <f t="shared" si="185"/>
        <v/>
      </c>
      <c r="E891" s="1006" t="str">
        <f t="shared" si="186"/>
        <v/>
      </c>
      <c r="F891" s="1007" t="str">
        <f t="shared" si="187"/>
        <v/>
      </c>
      <c r="G891" s="1008" t="str">
        <f t="shared" si="188"/>
        <v/>
      </c>
      <c r="H891" s="1138">
        <f t="shared" si="189"/>
        <v>2.180555555555558</v>
      </c>
      <c r="I891" s="1009"/>
      <c r="J891" s="1010" t="str">
        <f t="shared" si="190"/>
        <v/>
      </c>
      <c r="K891" s="1011"/>
      <c r="L891" s="1012"/>
      <c r="M891" s="1013"/>
      <c r="N891" s="1014" t="str">
        <f t="shared" si="191"/>
        <v/>
      </c>
      <c r="O891" s="1320"/>
      <c r="P891" s="1321"/>
      <c r="Q891" s="1321"/>
      <c r="R891" s="1321"/>
      <c r="S891" s="1321"/>
      <c r="T891" s="1322"/>
      <c r="U891" s="1015"/>
      <c r="V891" s="1015"/>
      <c r="W891" s="1015"/>
      <c r="X891" s="1015"/>
      <c r="Y891" s="1015"/>
      <c r="Z891" s="1016">
        <f>'09월 에너지'!S893</f>
        <v>0</v>
      </c>
      <c r="AA891" s="1017"/>
      <c r="AB891" s="1208"/>
      <c r="AC891" s="1208"/>
      <c r="AD891" s="1208"/>
      <c r="AE891" s="1208"/>
      <c r="AF891" s="1208"/>
      <c r="AG891" s="1018">
        <f>'09월 화학성분'!AM891</f>
        <v>0</v>
      </c>
      <c r="AH891" s="1006" t="str">
        <f t="shared" si="180"/>
        <v/>
      </c>
      <c r="AI891" s="1019"/>
      <c r="AJ891" s="1020"/>
      <c r="AK891" s="1021"/>
      <c r="AL891" s="1022"/>
      <c r="AM891" s="1155" t="str">
        <f>IF(AT891="","",3*'09월 에너지'!S893*(1/(3+7.8*(100-AT891)/AT891)))</f>
        <v/>
      </c>
      <c r="AN891" s="1023"/>
      <c r="AO891" s="1024"/>
      <c r="AP891" s="1025"/>
      <c r="AQ891" s="1025"/>
      <c r="AR891" s="1149" t="str">
        <f t="shared" si="181"/>
        <v/>
      </c>
      <c r="AS891" s="1093" t="str">
        <f t="shared" si="192"/>
        <v/>
      </c>
      <c r="AT891" s="1156"/>
      <c r="AU891" s="449"/>
      <c r="AV891" s="1205"/>
    </row>
    <row r="892" spans="1:48" ht="16.5" customHeight="1">
      <c r="A892" s="1005" t="str">
        <f t="shared" si="182"/>
        <v/>
      </c>
      <c r="B892" s="1005" t="str">
        <f t="shared" si="183"/>
        <v/>
      </c>
      <c r="C892" s="1150" t="str">
        <f t="shared" si="184"/>
        <v/>
      </c>
      <c r="D892" s="1150" t="str">
        <f t="shared" si="185"/>
        <v/>
      </c>
      <c r="E892" s="1006" t="str">
        <f t="shared" si="186"/>
        <v/>
      </c>
      <c r="F892" s="1007" t="str">
        <f t="shared" si="187"/>
        <v/>
      </c>
      <c r="G892" s="1008" t="str">
        <f t="shared" si="188"/>
        <v/>
      </c>
      <c r="H892" s="1138">
        <f t="shared" si="189"/>
        <v>2.2138888888888912</v>
      </c>
      <c r="I892" s="1009"/>
      <c r="J892" s="1010" t="str">
        <f t="shared" si="190"/>
        <v/>
      </c>
      <c r="K892" s="1011"/>
      <c r="L892" s="1012"/>
      <c r="M892" s="1013"/>
      <c r="N892" s="1014" t="str">
        <f t="shared" si="191"/>
        <v/>
      </c>
      <c r="O892" s="1320"/>
      <c r="P892" s="1321"/>
      <c r="Q892" s="1321"/>
      <c r="R892" s="1321"/>
      <c r="S892" s="1321"/>
      <c r="T892" s="1322"/>
      <c r="U892" s="1015"/>
      <c r="V892" s="1015"/>
      <c r="W892" s="1015"/>
      <c r="X892" s="1015"/>
      <c r="Y892" s="1015"/>
      <c r="Z892" s="1016">
        <f>'09월 에너지'!S894</f>
        <v>0</v>
      </c>
      <c r="AA892" s="1017"/>
      <c r="AB892" s="1208"/>
      <c r="AC892" s="1208"/>
      <c r="AD892" s="1208"/>
      <c r="AE892" s="1208"/>
      <c r="AF892" s="1208"/>
      <c r="AG892" s="1018">
        <f>'09월 화학성분'!AM892</f>
        <v>0</v>
      </c>
      <c r="AH892" s="1006" t="str">
        <f t="shared" si="180"/>
        <v/>
      </c>
      <c r="AI892" s="1019"/>
      <c r="AJ892" s="1020"/>
      <c r="AK892" s="1021"/>
      <c r="AL892" s="1022"/>
      <c r="AM892" s="1155" t="str">
        <f>IF(AT892="","",3*'09월 에너지'!S894*(1/(3+7.8*(100-AT892)/AT892)))</f>
        <v/>
      </c>
      <c r="AN892" s="1023"/>
      <c r="AO892" s="1024"/>
      <c r="AP892" s="1025"/>
      <c r="AQ892" s="1025"/>
      <c r="AR892" s="1149" t="str">
        <f t="shared" si="181"/>
        <v/>
      </c>
      <c r="AS892" s="1093" t="str">
        <f t="shared" si="192"/>
        <v/>
      </c>
      <c r="AT892" s="1156"/>
      <c r="AU892" s="449"/>
      <c r="AV892" s="1205"/>
    </row>
    <row r="893" spans="1:48" ht="16.5" customHeight="1">
      <c r="A893" s="1005" t="str">
        <f t="shared" si="182"/>
        <v/>
      </c>
      <c r="B893" s="1005" t="str">
        <f t="shared" si="183"/>
        <v/>
      </c>
      <c r="C893" s="1150" t="str">
        <f t="shared" si="184"/>
        <v/>
      </c>
      <c r="D893" s="1150" t="str">
        <f t="shared" si="185"/>
        <v/>
      </c>
      <c r="E893" s="1006" t="str">
        <f t="shared" si="186"/>
        <v/>
      </c>
      <c r="F893" s="1007" t="str">
        <f t="shared" si="187"/>
        <v/>
      </c>
      <c r="G893" s="1008" t="str">
        <f t="shared" si="188"/>
        <v/>
      </c>
      <c r="H893" s="1138">
        <f t="shared" si="189"/>
        <v>2.2472222222222245</v>
      </c>
      <c r="I893" s="1009"/>
      <c r="J893" s="1010" t="str">
        <f t="shared" si="190"/>
        <v/>
      </c>
      <c r="K893" s="1011"/>
      <c r="L893" s="1012"/>
      <c r="M893" s="1013"/>
      <c r="N893" s="1014" t="str">
        <f t="shared" si="191"/>
        <v/>
      </c>
      <c r="O893" s="1320"/>
      <c r="P893" s="1321"/>
      <c r="Q893" s="1321"/>
      <c r="R893" s="1321"/>
      <c r="S893" s="1321"/>
      <c r="T893" s="1322"/>
      <c r="U893" s="1015"/>
      <c r="V893" s="1015"/>
      <c r="W893" s="1015"/>
      <c r="X893" s="1015"/>
      <c r="Y893" s="1015"/>
      <c r="Z893" s="1016">
        <f>'09월 에너지'!S895</f>
        <v>0</v>
      </c>
      <c r="AA893" s="1017"/>
      <c r="AB893" s="1208"/>
      <c r="AC893" s="1208"/>
      <c r="AD893" s="1208"/>
      <c r="AE893" s="1208"/>
      <c r="AF893" s="1208"/>
      <c r="AG893" s="1018">
        <f>'09월 화학성분'!AM893</f>
        <v>0</v>
      </c>
      <c r="AH893" s="1006" t="str">
        <f t="shared" si="180"/>
        <v/>
      </c>
      <c r="AI893" s="1019"/>
      <c r="AJ893" s="1020"/>
      <c r="AK893" s="1021"/>
      <c r="AL893" s="1022"/>
      <c r="AM893" s="1155" t="str">
        <f>IF(AT893="","",3*'09월 에너지'!S895*(1/(3+7.8*(100-AT893)/AT893)))</f>
        <v/>
      </c>
      <c r="AN893" s="1023"/>
      <c r="AO893" s="1024"/>
      <c r="AP893" s="1025"/>
      <c r="AQ893" s="1025"/>
      <c r="AR893" s="1149" t="str">
        <f t="shared" si="181"/>
        <v/>
      </c>
      <c r="AS893" s="1093" t="str">
        <f t="shared" si="192"/>
        <v/>
      </c>
      <c r="AT893" s="1156"/>
      <c r="AU893" s="449"/>
      <c r="AV893" s="1205"/>
    </row>
    <row r="894" spans="1:48" ht="16.5" customHeight="1">
      <c r="A894" s="1005" t="str">
        <f t="shared" si="182"/>
        <v/>
      </c>
      <c r="B894" s="1005" t="str">
        <f t="shared" si="183"/>
        <v/>
      </c>
      <c r="C894" s="1150" t="str">
        <f t="shared" si="184"/>
        <v/>
      </c>
      <c r="D894" s="1150" t="str">
        <f t="shared" si="185"/>
        <v/>
      </c>
      <c r="E894" s="1006" t="str">
        <f t="shared" si="186"/>
        <v/>
      </c>
      <c r="F894" s="1007" t="str">
        <f t="shared" si="187"/>
        <v/>
      </c>
      <c r="G894" s="1008" t="str">
        <f t="shared" si="188"/>
        <v/>
      </c>
      <c r="H894" s="1138">
        <f t="shared" si="189"/>
        <v>2.2805555555555577</v>
      </c>
      <c r="I894" s="1009"/>
      <c r="J894" s="1010" t="str">
        <f t="shared" si="190"/>
        <v/>
      </c>
      <c r="K894" s="1011"/>
      <c r="L894" s="1012"/>
      <c r="M894" s="1013"/>
      <c r="N894" s="1014" t="str">
        <f t="shared" si="191"/>
        <v/>
      </c>
      <c r="O894" s="1320"/>
      <c r="P894" s="1321"/>
      <c r="Q894" s="1321"/>
      <c r="R894" s="1321"/>
      <c r="S894" s="1321"/>
      <c r="T894" s="1322"/>
      <c r="U894" s="1015"/>
      <c r="V894" s="1015"/>
      <c r="W894" s="1015"/>
      <c r="X894" s="1015"/>
      <c r="Y894" s="1015"/>
      <c r="Z894" s="1016">
        <f>'09월 에너지'!S896</f>
        <v>0</v>
      </c>
      <c r="AA894" s="1017"/>
      <c r="AB894" s="1208"/>
      <c r="AC894" s="1208"/>
      <c r="AD894" s="1208"/>
      <c r="AE894" s="1208"/>
      <c r="AF894" s="1208"/>
      <c r="AG894" s="1018">
        <f>'09월 화학성분'!AM894</f>
        <v>0</v>
      </c>
      <c r="AH894" s="1006" t="str">
        <f t="shared" si="180"/>
        <v/>
      </c>
      <c r="AI894" s="1019"/>
      <c r="AJ894" s="1020"/>
      <c r="AK894" s="1021"/>
      <c r="AL894" s="1022"/>
      <c r="AM894" s="1155" t="str">
        <f>IF(AT894="","",3*'09월 에너지'!S896*(1/(3+7.8*(100-AT894)/AT894)))</f>
        <v/>
      </c>
      <c r="AN894" s="1023"/>
      <c r="AO894" s="1024"/>
      <c r="AP894" s="1025"/>
      <c r="AQ894" s="1025"/>
      <c r="AR894" s="1149" t="str">
        <f t="shared" si="181"/>
        <v/>
      </c>
      <c r="AS894" s="1093" t="str">
        <f t="shared" si="192"/>
        <v/>
      </c>
      <c r="AT894" s="1156"/>
      <c r="AU894" s="449"/>
      <c r="AV894" s="1205"/>
    </row>
    <row r="895" spans="1:48" ht="16.5" customHeight="1">
      <c r="A895" s="1005" t="str">
        <f t="shared" si="182"/>
        <v/>
      </c>
      <c r="B895" s="1005" t="str">
        <f t="shared" si="183"/>
        <v/>
      </c>
      <c r="C895" s="1150" t="str">
        <f t="shared" si="184"/>
        <v/>
      </c>
      <c r="D895" s="1150" t="str">
        <f t="shared" si="185"/>
        <v/>
      </c>
      <c r="E895" s="1006" t="str">
        <f t="shared" si="186"/>
        <v/>
      </c>
      <c r="F895" s="1007" t="str">
        <f t="shared" si="187"/>
        <v/>
      </c>
      <c r="G895" s="1008" t="str">
        <f t="shared" si="188"/>
        <v/>
      </c>
      <c r="H895" s="1138">
        <f t="shared" si="189"/>
        <v>2.3138888888888909</v>
      </c>
      <c r="I895" s="1009"/>
      <c r="J895" s="1010" t="str">
        <f t="shared" si="190"/>
        <v/>
      </c>
      <c r="K895" s="1011"/>
      <c r="L895" s="1012"/>
      <c r="M895" s="1013"/>
      <c r="N895" s="1014" t="str">
        <f t="shared" si="191"/>
        <v/>
      </c>
      <c r="O895" s="1320"/>
      <c r="P895" s="1321"/>
      <c r="Q895" s="1321"/>
      <c r="R895" s="1321"/>
      <c r="S895" s="1321"/>
      <c r="T895" s="1322"/>
      <c r="U895" s="1015"/>
      <c r="V895" s="1015"/>
      <c r="W895" s="1015"/>
      <c r="X895" s="1015"/>
      <c r="Y895" s="1015"/>
      <c r="Z895" s="1016">
        <f>'09월 에너지'!S897</f>
        <v>0</v>
      </c>
      <c r="AA895" s="1017"/>
      <c r="AB895" s="1208"/>
      <c r="AC895" s="1208"/>
      <c r="AD895" s="1208"/>
      <c r="AE895" s="1208"/>
      <c r="AF895" s="1208"/>
      <c r="AG895" s="1018">
        <f>'09월 화학성분'!AM895</f>
        <v>0</v>
      </c>
      <c r="AH895" s="1006" t="str">
        <f t="shared" si="180"/>
        <v/>
      </c>
      <c r="AI895" s="1019"/>
      <c r="AJ895" s="1020"/>
      <c r="AK895" s="1021"/>
      <c r="AL895" s="1022"/>
      <c r="AM895" s="1155" t="str">
        <f>IF(AT895="","",3*'09월 에너지'!S897*(1/(3+7.8*(100-AT895)/AT895)))</f>
        <v/>
      </c>
      <c r="AN895" s="1023"/>
      <c r="AO895" s="1024"/>
      <c r="AP895" s="1025"/>
      <c r="AQ895" s="1025"/>
      <c r="AR895" s="1149" t="str">
        <f t="shared" si="181"/>
        <v/>
      </c>
      <c r="AS895" s="1093" t="str">
        <f t="shared" si="192"/>
        <v/>
      </c>
      <c r="AT895" s="1156"/>
      <c r="AU895" s="449"/>
      <c r="AV895" s="1205"/>
    </row>
    <row r="896" spans="1:48" ht="16.5" customHeight="1">
      <c r="A896" s="1005" t="str">
        <f t="shared" si="182"/>
        <v/>
      </c>
      <c r="B896" s="1005" t="str">
        <f t="shared" si="183"/>
        <v/>
      </c>
      <c r="C896" s="1150" t="str">
        <f t="shared" si="184"/>
        <v/>
      </c>
      <c r="D896" s="1150" t="str">
        <f t="shared" si="185"/>
        <v/>
      </c>
      <c r="E896" s="1006" t="str">
        <f t="shared" si="186"/>
        <v/>
      </c>
      <c r="F896" s="1007" t="str">
        <f t="shared" si="187"/>
        <v/>
      </c>
      <c r="G896" s="1008" t="str">
        <f t="shared" si="188"/>
        <v/>
      </c>
      <c r="H896" s="1138">
        <f t="shared" si="189"/>
        <v>2.3472222222222241</v>
      </c>
      <c r="I896" s="1009"/>
      <c r="J896" s="1010" t="str">
        <f t="shared" si="190"/>
        <v/>
      </c>
      <c r="K896" s="1011"/>
      <c r="L896" s="1012"/>
      <c r="M896" s="1013"/>
      <c r="N896" s="1014" t="str">
        <f t="shared" si="191"/>
        <v/>
      </c>
      <c r="O896" s="1320"/>
      <c r="P896" s="1321"/>
      <c r="Q896" s="1321"/>
      <c r="R896" s="1321"/>
      <c r="S896" s="1321"/>
      <c r="T896" s="1322"/>
      <c r="U896" s="1015"/>
      <c r="V896" s="1015"/>
      <c r="W896" s="1015"/>
      <c r="X896" s="1015"/>
      <c r="Y896" s="1015"/>
      <c r="Z896" s="1016">
        <f>'09월 에너지'!S898</f>
        <v>0</v>
      </c>
      <c r="AA896" s="1017"/>
      <c r="AB896" s="1208"/>
      <c r="AC896" s="1208"/>
      <c r="AD896" s="1208"/>
      <c r="AE896" s="1208"/>
      <c r="AF896" s="1208"/>
      <c r="AG896" s="1018">
        <f>'09월 화학성분'!AM896</f>
        <v>0</v>
      </c>
      <c r="AH896" s="1006" t="str">
        <f t="shared" si="180"/>
        <v/>
      </c>
      <c r="AI896" s="1019"/>
      <c r="AJ896" s="1020"/>
      <c r="AK896" s="1021"/>
      <c r="AL896" s="1022"/>
      <c r="AM896" s="1155" t="str">
        <f>IF(AT896="","",3*'09월 에너지'!S898*(1/(3+7.8*(100-AT896)/AT896)))</f>
        <v/>
      </c>
      <c r="AN896" s="1023"/>
      <c r="AO896" s="1024"/>
      <c r="AP896" s="1025"/>
      <c r="AQ896" s="1025"/>
      <c r="AR896" s="1149" t="str">
        <f t="shared" si="181"/>
        <v/>
      </c>
      <c r="AS896" s="1093" t="str">
        <f t="shared" si="192"/>
        <v/>
      </c>
      <c r="AT896" s="1156"/>
      <c r="AU896" s="449"/>
      <c r="AV896" s="1205"/>
    </row>
    <row r="897" spans="1:48" ht="16.5" customHeight="1">
      <c r="A897" s="1005" t="str">
        <f t="shared" si="182"/>
        <v/>
      </c>
      <c r="B897" s="1005" t="str">
        <f t="shared" si="183"/>
        <v/>
      </c>
      <c r="C897" s="1150" t="str">
        <f t="shared" si="184"/>
        <v/>
      </c>
      <c r="D897" s="1150" t="str">
        <f t="shared" si="185"/>
        <v/>
      </c>
      <c r="E897" s="1006" t="str">
        <f t="shared" si="186"/>
        <v/>
      </c>
      <c r="F897" s="1007" t="str">
        <f t="shared" si="187"/>
        <v/>
      </c>
      <c r="G897" s="1008" t="str">
        <f t="shared" si="188"/>
        <v/>
      </c>
      <c r="H897" s="1138">
        <f t="shared" si="189"/>
        <v>2.3805555555555573</v>
      </c>
      <c r="I897" s="1009"/>
      <c r="J897" s="1010" t="str">
        <f t="shared" si="190"/>
        <v/>
      </c>
      <c r="K897" s="1011"/>
      <c r="L897" s="1012"/>
      <c r="M897" s="1013"/>
      <c r="N897" s="1014" t="str">
        <f t="shared" si="191"/>
        <v/>
      </c>
      <c r="O897" s="1320"/>
      <c r="P897" s="1321"/>
      <c r="Q897" s="1321"/>
      <c r="R897" s="1321"/>
      <c r="S897" s="1321"/>
      <c r="T897" s="1322"/>
      <c r="U897" s="1015"/>
      <c r="V897" s="1015"/>
      <c r="W897" s="1015"/>
      <c r="X897" s="1015"/>
      <c r="Y897" s="1015"/>
      <c r="Z897" s="1016">
        <f>'09월 에너지'!S899</f>
        <v>0</v>
      </c>
      <c r="AA897" s="1017"/>
      <c r="AB897" s="1208"/>
      <c r="AC897" s="1208"/>
      <c r="AD897" s="1208"/>
      <c r="AE897" s="1208"/>
      <c r="AF897" s="1208"/>
      <c r="AG897" s="1018">
        <f>'09월 화학성분'!AM897</f>
        <v>0</v>
      </c>
      <c r="AH897" s="1006" t="str">
        <f t="shared" si="180"/>
        <v/>
      </c>
      <c r="AI897" s="1019"/>
      <c r="AJ897" s="1020"/>
      <c r="AK897" s="1021"/>
      <c r="AL897" s="1022"/>
      <c r="AM897" s="1155" t="str">
        <f>IF(AT897="","",3*'09월 에너지'!S899*(1/(3+7.8*(100-AT897)/AT897)))</f>
        <v/>
      </c>
      <c r="AN897" s="1023"/>
      <c r="AO897" s="1024"/>
      <c r="AP897" s="1025"/>
      <c r="AQ897" s="1025"/>
      <c r="AR897" s="1149" t="str">
        <f t="shared" si="181"/>
        <v/>
      </c>
      <c r="AS897" s="1093" t="str">
        <f t="shared" si="192"/>
        <v/>
      </c>
      <c r="AT897" s="1156"/>
      <c r="AU897" s="449"/>
      <c r="AV897" s="1205"/>
    </row>
    <row r="898" spans="1:48" ht="16.5" customHeight="1">
      <c r="A898" s="1005" t="str">
        <f t="shared" si="182"/>
        <v/>
      </c>
      <c r="B898" s="1005" t="str">
        <f t="shared" si="183"/>
        <v/>
      </c>
      <c r="C898" s="1150" t="str">
        <f t="shared" si="184"/>
        <v/>
      </c>
      <c r="D898" s="1150" t="str">
        <f t="shared" si="185"/>
        <v/>
      </c>
      <c r="E898" s="1006" t="str">
        <f t="shared" si="186"/>
        <v/>
      </c>
      <c r="F898" s="1007" t="str">
        <f t="shared" si="187"/>
        <v/>
      </c>
      <c r="G898" s="1008" t="str">
        <f t="shared" si="188"/>
        <v/>
      </c>
      <c r="H898" s="1138">
        <f t="shared" si="189"/>
        <v>2.4138888888888905</v>
      </c>
      <c r="I898" s="1009"/>
      <c r="J898" s="1010" t="str">
        <f t="shared" si="190"/>
        <v/>
      </c>
      <c r="K898" s="1011"/>
      <c r="L898" s="1012"/>
      <c r="M898" s="1013"/>
      <c r="N898" s="1014" t="str">
        <f t="shared" si="191"/>
        <v/>
      </c>
      <c r="O898" s="1320"/>
      <c r="P898" s="1321"/>
      <c r="Q898" s="1321"/>
      <c r="R898" s="1321"/>
      <c r="S898" s="1321"/>
      <c r="T898" s="1322"/>
      <c r="U898" s="1015"/>
      <c r="V898" s="1015"/>
      <c r="W898" s="1015"/>
      <c r="X898" s="1015"/>
      <c r="Y898" s="1015"/>
      <c r="Z898" s="1016">
        <f>'09월 에너지'!S900</f>
        <v>0</v>
      </c>
      <c r="AA898" s="1017"/>
      <c r="AB898" s="1208"/>
      <c r="AC898" s="1208"/>
      <c r="AD898" s="1208"/>
      <c r="AE898" s="1208"/>
      <c r="AF898" s="1208"/>
      <c r="AG898" s="1018">
        <f>'09월 화학성분'!AM898</f>
        <v>0</v>
      </c>
      <c r="AH898" s="1006" t="str">
        <f t="shared" si="180"/>
        <v/>
      </c>
      <c r="AI898" s="1019"/>
      <c r="AJ898" s="1020"/>
      <c r="AK898" s="1021"/>
      <c r="AL898" s="1022"/>
      <c r="AM898" s="1155" t="str">
        <f>IF(AT898="","",3*'09월 에너지'!S900*(1/(3+7.8*(100-AT898)/AT898)))</f>
        <v/>
      </c>
      <c r="AN898" s="1023"/>
      <c r="AO898" s="1024"/>
      <c r="AP898" s="1025"/>
      <c r="AQ898" s="1025"/>
      <c r="AR898" s="1149" t="str">
        <f t="shared" si="181"/>
        <v/>
      </c>
      <c r="AS898" s="1093" t="str">
        <f t="shared" si="192"/>
        <v/>
      </c>
      <c r="AT898" s="1156"/>
      <c r="AU898" s="449"/>
      <c r="AV898" s="1205"/>
    </row>
    <row r="899" spans="1:48" ht="16.5" customHeight="1">
      <c r="A899" s="1005" t="str">
        <f t="shared" si="182"/>
        <v/>
      </c>
      <c r="B899" s="1005" t="str">
        <f t="shared" si="183"/>
        <v/>
      </c>
      <c r="C899" s="1150" t="str">
        <f t="shared" si="184"/>
        <v/>
      </c>
      <c r="D899" s="1150" t="str">
        <f t="shared" si="185"/>
        <v/>
      </c>
      <c r="E899" s="1006" t="str">
        <f t="shared" si="186"/>
        <v/>
      </c>
      <c r="F899" s="1007" t="str">
        <f t="shared" si="187"/>
        <v/>
      </c>
      <c r="G899" s="1008" t="str">
        <f t="shared" si="188"/>
        <v/>
      </c>
      <c r="H899" s="1138">
        <f t="shared" si="189"/>
        <v>2.4472222222222237</v>
      </c>
      <c r="I899" s="1009"/>
      <c r="J899" s="1010" t="str">
        <f t="shared" si="190"/>
        <v/>
      </c>
      <c r="K899" s="1011"/>
      <c r="L899" s="1012"/>
      <c r="M899" s="1013"/>
      <c r="N899" s="1014" t="str">
        <f t="shared" si="191"/>
        <v/>
      </c>
      <c r="O899" s="1320"/>
      <c r="P899" s="1321"/>
      <c r="Q899" s="1321"/>
      <c r="R899" s="1321"/>
      <c r="S899" s="1321"/>
      <c r="T899" s="1322"/>
      <c r="U899" s="1015"/>
      <c r="V899" s="1015"/>
      <c r="W899" s="1015"/>
      <c r="X899" s="1015"/>
      <c r="Y899" s="1015"/>
      <c r="Z899" s="1016">
        <f>'09월 에너지'!S901</f>
        <v>0</v>
      </c>
      <c r="AA899" s="1017"/>
      <c r="AB899" s="1208"/>
      <c r="AC899" s="1208"/>
      <c r="AD899" s="1208"/>
      <c r="AE899" s="1208"/>
      <c r="AF899" s="1208"/>
      <c r="AG899" s="1018">
        <f>'09월 화학성분'!AM899</f>
        <v>0</v>
      </c>
      <c r="AH899" s="1006" t="str">
        <f t="shared" si="180"/>
        <v/>
      </c>
      <c r="AI899" s="1019"/>
      <c r="AJ899" s="1020"/>
      <c r="AK899" s="1021"/>
      <c r="AL899" s="1022"/>
      <c r="AM899" s="1155" t="str">
        <f>IF(AT899="","",3*'09월 에너지'!S901*(1/(3+7.8*(100-AT899)/AT899)))</f>
        <v/>
      </c>
      <c r="AN899" s="1023"/>
      <c r="AO899" s="1024"/>
      <c r="AP899" s="1025"/>
      <c r="AQ899" s="1025"/>
      <c r="AR899" s="1149" t="str">
        <f t="shared" si="181"/>
        <v/>
      </c>
      <c r="AS899" s="1093" t="str">
        <f t="shared" si="192"/>
        <v/>
      </c>
      <c r="AT899" s="1156"/>
      <c r="AU899" s="449"/>
      <c r="AV899" s="1205"/>
    </row>
    <row r="900" spans="1:48" ht="16.5" customHeight="1">
      <c r="A900" s="1005" t="str">
        <f t="shared" si="182"/>
        <v/>
      </c>
      <c r="B900" s="1005" t="str">
        <f t="shared" si="183"/>
        <v/>
      </c>
      <c r="C900" s="1150" t="str">
        <f t="shared" si="184"/>
        <v/>
      </c>
      <c r="D900" s="1150" t="str">
        <f t="shared" si="185"/>
        <v/>
      </c>
      <c r="E900" s="1006" t="str">
        <f t="shared" si="186"/>
        <v/>
      </c>
      <c r="F900" s="1007" t="str">
        <f t="shared" si="187"/>
        <v/>
      </c>
      <c r="G900" s="1008" t="str">
        <f t="shared" si="188"/>
        <v/>
      </c>
      <c r="H900" s="1138">
        <f t="shared" si="189"/>
        <v>2.480555555555557</v>
      </c>
      <c r="I900" s="1009"/>
      <c r="J900" s="1010" t="str">
        <f t="shared" si="190"/>
        <v/>
      </c>
      <c r="K900" s="1011"/>
      <c r="L900" s="1012"/>
      <c r="M900" s="1013"/>
      <c r="N900" s="1014" t="str">
        <f t="shared" si="191"/>
        <v/>
      </c>
      <c r="O900" s="1320"/>
      <c r="P900" s="1321"/>
      <c r="Q900" s="1321"/>
      <c r="R900" s="1321"/>
      <c r="S900" s="1321"/>
      <c r="T900" s="1322"/>
      <c r="U900" s="1015"/>
      <c r="V900" s="1015"/>
      <c r="W900" s="1015"/>
      <c r="X900" s="1015"/>
      <c r="Y900" s="1015"/>
      <c r="Z900" s="1016">
        <f>'09월 에너지'!S902</f>
        <v>0</v>
      </c>
      <c r="AA900" s="1017"/>
      <c r="AB900" s="1208"/>
      <c r="AC900" s="1208"/>
      <c r="AD900" s="1208"/>
      <c r="AE900" s="1208"/>
      <c r="AF900" s="1208"/>
      <c r="AG900" s="1018">
        <f>'09월 화학성분'!AM900</f>
        <v>0</v>
      </c>
      <c r="AH900" s="1006" t="str">
        <f t="shared" si="180"/>
        <v/>
      </c>
      <c r="AI900" s="1019"/>
      <c r="AJ900" s="1020"/>
      <c r="AK900" s="1021"/>
      <c r="AL900" s="1022"/>
      <c r="AM900" s="1155" t="str">
        <f>IF(AT900="","",3*'09월 에너지'!S902*(1/(3+7.8*(100-AT900)/AT900)))</f>
        <v/>
      </c>
      <c r="AN900" s="1023"/>
      <c r="AO900" s="1024"/>
      <c r="AP900" s="1025"/>
      <c r="AQ900" s="1025"/>
      <c r="AR900" s="1149" t="str">
        <f t="shared" si="181"/>
        <v/>
      </c>
      <c r="AS900" s="1093" t="str">
        <f t="shared" si="192"/>
        <v/>
      </c>
      <c r="AT900" s="1156"/>
      <c r="AU900" s="449"/>
      <c r="AV900" s="1205"/>
    </row>
    <row r="901" spans="1:48" ht="16.5" customHeight="1">
      <c r="A901" s="1005" t="str">
        <f t="shared" si="182"/>
        <v/>
      </c>
      <c r="B901" s="1005" t="str">
        <f t="shared" si="183"/>
        <v/>
      </c>
      <c r="C901" s="1150" t="str">
        <f t="shared" si="184"/>
        <v/>
      </c>
      <c r="D901" s="1150" t="str">
        <f t="shared" si="185"/>
        <v/>
      </c>
      <c r="E901" s="1006" t="str">
        <f t="shared" si="186"/>
        <v/>
      </c>
      <c r="F901" s="1007" t="str">
        <f t="shared" si="187"/>
        <v/>
      </c>
      <c r="G901" s="1008" t="str">
        <f t="shared" si="188"/>
        <v/>
      </c>
      <c r="H901" s="1138">
        <f t="shared" si="189"/>
        <v>2.5138888888888902</v>
      </c>
      <c r="I901" s="1009"/>
      <c r="J901" s="1010" t="str">
        <f t="shared" si="190"/>
        <v/>
      </c>
      <c r="K901" s="1011"/>
      <c r="L901" s="1012"/>
      <c r="M901" s="1013"/>
      <c r="N901" s="1014" t="str">
        <f t="shared" si="191"/>
        <v/>
      </c>
      <c r="O901" s="1320"/>
      <c r="P901" s="1321"/>
      <c r="Q901" s="1321"/>
      <c r="R901" s="1321"/>
      <c r="S901" s="1321"/>
      <c r="T901" s="1322"/>
      <c r="U901" s="1015"/>
      <c r="V901" s="1015"/>
      <c r="W901" s="1015"/>
      <c r="X901" s="1015"/>
      <c r="Y901" s="1015"/>
      <c r="Z901" s="1016">
        <f>'09월 에너지'!S903</f>
        <v>0</v>
      </c>
      <c r="AA901" s="1017"/>
      <c r="AB901" s="1208"/>
      <c r="AC901" s="1208"/>
      <c r="AD901" s="1208"/>
      <c r="AE901" s="1208"/>
      <c r="AF901" s="1208"/>
      <c r="AG901" s="1018">
        <f>'09월 화학성분'!AM901</f>
        <v>0</v>
      </c>
      <c r="AH901" s="1006" t="str">
        <f t="shared" si="180"/>
        <v/>
      </c>
      <c r="AI901" s="1019"/>
      <c r="AJ901" s="1020"/>
      <c r="AK901" s="1021"/>
      <c r="AL901" s="1022"/>
      <c r="AM901" s="1155" t="str">
        <f>IF(AT901="","",3*'09월 에너지'!S903*(1/(3+7.8*(100-AT901)/AT901)))</f>
        <v/>
      </c>
      <c r="AN901" s="1023"/>
      <c r="AO901" s="1024"/>
      <c r="AP901" s="1025"/>
      <c r="AQ901" s="1025"/>
      <c r="AR901" s="1149" t="str">
        <f t="shared" si="181"/>
        <v/>
      </c>
      <c r="AS901" s="1093" t="str">
        <f t="shared" si="192"/>
        <v/>
      </c>
      <c r="AT901" s="1156"/>
      <c r="AU901" s="449"/>
      <c r="AV901" s="1205"/>
    </row>
    <row r="902" spans="1:48" ht="16.5" customHeight="1">
      <c r="A902" s="1005" t="str">
        <f t="shared" si="182"/>
        <v/>
      </c>
      <c r="B902" s="1005" t="str">
        <f t="shared" si="183"/>
        <v/>
      </c>
      <c r="C902" s="1150" t="str">
        <f t="shared" si="184"/>
        <v/>
      </c>
      <c r="D902" s="1150" t="str">
        <f t="shared" si="185"/>
        <v/>
      </c>
      <c r="E902" s="1006" t="str">
        <f t="shared" si="186"/>
        <v/>
      </c>
      <c r="F902" s="1007" t="str">
        <f t="shared" si="187"/>
        <v/>
      </c>
      <c r="G902" s="1008" t="str">
        <f t="shared" si="188"/>
        <v/>
      </c>
      <c r="H902" s="1138">
        <f t="shared" si="189"/>
        <v>2.5472222222222234</v>
      </c>
      <c r="I902" s="1009"/>
      <c r="J902" s="1010" t="str">
        <f t="shared" si="190"/>
        <v/>
      </c>
      <c r="K902" s="1011"/>
      <c r="L902" s="1012"/>
      <c r="M902" s="1013"/>
      <c r="N902" s="1014" t="str">
        <f t="shared" si="191"/>
        <v/>
      </c>
      <c r="O902" s="1320"/>
      <c r="P902" s="1321"/>
      <c r="Q902" s="1321"/>
      <c r="R902" s="1321"/>
      <c r="S902" s="1321"/>
      <c r="T902" s="1322"/>
      <c r="U902" s="1015"/>
      <c r="V902" s="1015"/>
      <c r="W902" s="1015"/>
      <c r="X902" s="1015"/>
      <c r="Y902" s="1015"/>
      <c r="Z902" s="1016">
        <f>'09월 에너지'!S904</f>
        <v>0</v>
      </c>
      <c r="AA902" s="1017"/>
      <c r="AB902" s="1208"/>
      <c r="AC902" s="1208"/>
      <c r="AD902" s="1208"/>
      <c r="AE902" s="1208"/>
      <c r="AF902" s="1208"/>
      <c r="AG902" s="1018">
        <f>'09월 화학성분'!AM902</f>
        <v>0</v>
      </c>
      <c r="AH902" s="1006" t="str">
        <f t="shared" si="180"/>
        <v/>
      </c>
      <c r="AI902" s="1019"/>
      <c r="AJ902" s="1020"/>
      <c r="AK902" s="1021"/>
      <c r="AL902" s="1022"/>
      <c r="AM902" s="1155" t="str">
        <f>IF(AT902="","",3*'09월 에너지'!S904*(1/(3+7.8*(100-AT902)/AT902)))</f>
        <v/>
      </c>
      <c r="AN902" s="1023"/>
      <c r="AO902" s="1024"/>
      <c r="AP902" s="1025"/>
      <c r="AQ902" s="1025"/>
      <c r="AR902" s="1149" t="str">
        <f t="shared" si="181"/>
        <v/>
      </c>
      <c r="AS902" s="1093" t="str">
        <f t="shared" si="192"/>
        <v/>
      </c>
      <c r="AT902" s="1156"/>
      <c r="AU902" s="449"/>
      <c r="AV902" s="1205"/>
    </row>
    <row r="903" spans="1:48" ht="16.5" customHeight="1">
      <c r="A903" s="1005" t="str">
        <f t="shared" si="182"/>
        <v/>
      </c>
      <c r="B903" s="1005" t="str">
        <f t="shared" si="183"/>
        <v/>
      </c>
      <c r="C903" s="1150" t="str">
        <f t="shared" si="184"/>
        <v/>
      </c>
      <c r="D903" s="1150" t="str">
        <f t="shared" si="185"/>
        <v/>
      </c>
      <c r="E903" s="1006" t="str">
        <f t="shared" si="186"/>
        <v/>
      </c>
      <c r="F903" s="1007" t="str">
        <f t="shared" si="187"/>
        <v/>
      </c>
      <c r="G903" s="1008" t="str">
        <f t="shared" si="188"/>
        <v/>
      </c>
      <c r="H903" s="1138">
        <f t="shared" si="189"/>
        <v>2.5805555555555566</v>
      </c>
      <c r="I903" s="1009"/>
      <c r="J903" s="1010" t="str">
        <f t="shared" si="190"/>
        <v/>
      </c>
      <c r="K903" s="1011"/>
      <c r="L903" s="1012"/>
      <c r="M903" s="1013"/>
      <c r="N903" s="1014" t="str">
        <f t="shared" si="191"/>
        <v/>
      </c>
      <c r="O903" s="1320"/>
      <c r="P903" s="1321"/>
      <c r="Q903" s="1321"/>
      <c r="R903" s="1321"/>
      <c r="S903" s="1321"/>
      <c r="T903" s="1322"/>
      <c r="U903" s="1015"/>
      <c r="V903" s="1015"/>
      <c r="W903" s="1015"/>
      <c r="X903" s="1015"/>
      <c r="Y903" s="1015"/>
      <c r="Z903" s="1016">
        <f>'09월 에너지'!S905</f>
        <v>0</v>
      </c>
      <c r="AA903" s="1017"/>
      <c r="AB903" s="1208"/>
      <c r="AC903" s="1208"/>
      <c r="AD903" s="1208"/>
      <c r="AE903" s="1208"/>
      <c r="AF903" s="1208"/>
      <c r="AG903" s="1018">
        <f>'09월 화학성분'!AM903</f>
        <v>0</v>
      </c>
      <c r="AH903" s="1006" t="str">
        <f t="shared" si="180"/>
        <v/>
      </c>
      <c r="AI903" s="1019"/>
      <c r="AJ903" s="1020"/>
      <c r="AK903" s="1021"/>
      <c r="AL903" s="1022"/>
      <c r="AM903" s="1155" t="str">
        <f>IF(AT903="","",3*'09월 에너지'!S905*(1/(3+7.8*(100-AT903)/AT903)))</f>
        <v/>
      </c>
      <c r="AN903" s="1023"/>
      <c r="AO903" s="1024"/>
      <c r="AP903" s="1025"/>
      <c r="AQ903" s="1025"/>
      <c r="AR903" s="1149" t="str">
        <f t="shared" si="181"/>
        <v/>
      </c>
      <c r="AS903" s="1093" t="str">
        <f t="shared" si="192"/>
        <v/>
      </c>
      <c r="AT903" s="1156"/>
      <c r="AU903" s="449"/>
      <c r="AV903" s="1205"/>
    </row>
    <row r="904" spans="1:48" ht="16.5" customHeight="1">
      <c r="A904" s="1005" t="str">
        <f t="shared" si="182"/>
        <v/>
      </c>
      <c r="B904" s="1005" t="str">
        <f t="shared" si="183"/>
        <v/>
      </c>
      <c r="C904" s="1150" t="str">
        <f t="shared" si="184"/>
        <v/>
      </c>
      <c r="D904" s="1150" t="str">
        <f t="shared" si="185"/>
        <v/>
      </c>
      <c r="E904" s="1006" t="str">
        <f t="shared" si="186"/>
        <v/>
      </c>
      <c r="F904" s="1007" t="str">
        <f t="shared" si="187"/>
        <v/>
      </c>
      <c r="G904" s="1008" t="str">
        <f t="shared" si="188"/>
        <v/>
      </c>
      <c r="H904" s="1138">
        <f t="shared" si="189"/>
        <v>2.6138888888888898</v>
      </c>
      <c r="I904" s="1009"/>
      <c r="J904" s="1010" t="str">
        <f t="shared" si="190"/>
        <v/>
      </c>
      <c r="K904" s="1011"/>
      <c r="L904" s="1012"/>
      <c r="M904" s="1013"/>
      <c r="N904" s="1014" t="str">
        <f t="shared" si="191"/>
        <v/>
      </c>
      <c r="O904" s="1320"/>
      <c r="P904" s="1321"/>
      <c r="Q904" s="1321"/>
      <c r="R904" s="1321"/>
      <c r="S904" s="1321"/>
      <c r="T904" s="1322"/>
      <c r="U904" s="1015"/>
      <c r="V904" s="1015"/>
      <c r="W904" s="1015"/>
      <c r="X904" s="1015"/>
      <c r="Y904" s="1015"/>
      <c r="Z904" s="1016">
        <f>'09월 에너지'!S906</f>
        <v>0</v>
      </c>
      <c r="AA904" s="1017"/>
      <c r="AB904" s="1208"/>
      <c r="AC904" s="1208"/>
      <c r="AD904" s="1208"/>
      <c r="AE904" s="1208"/>
      <c r="AF904" s="1208"/>
      <c r="AG904" s="1018">
        <f>'09월 화학성분'!AM904</f>
        <v>0</v>
      </c>
      <c r="AH904" s="1006" t="str">
        <f t="shared" si="180"/>
        <v/>
      </c>
      <c r="AI904" s="1019"/>
      <c r="AJ904" s="1020"/>
      <c r="AK904" s="1021"/>
      <c r="AL904" s="1022"/>
      <c r="AM904" s="1155" t="str">
        <f>IF(AT904="","",3*'09월 에너지'!S906*(1/(3+7.8*(100-AT904)/AT904)))</f>
        <v/>
      </c>
      <c r="AN904" s="1023"/>
      <c r="AO904" s="1024"/>
      <c r="AP904" s="1025"/>
      <c r="AQ904" s="1025"/>
      <c r="AR904" s="1149" t="str">
        <f t="shared" si="181"/>
        <v/>
      </c>
      <c r="AS904" s="1093" t="str">
        <f t="shared" si="192"/>
        <v/>
      </c>
      <c r="AT904" s="1156"/>
      <c r="AU904" s="449"/>
      <c r="AV904" s="1205"/>
    </row>
    <row r="905" spans="1:48" ht="16.5" customHeight="1">
      <c r="A905" s="1005" t="str">
        <f t="shared" si="182"/>
        <v/>
      </c>
      <c r="B905" s="1005" t="str">
        <f t="shared" si="183"/>
        <v/>
      </c>
      <c r="C905" s="1150" t="str">
        <f t="shared" si="184"/>
        <v/>
      </c>
      <c r="D905" s="1150" t="str">
        <f t="shared" si="185"/>
        <v/>
      </c>
      <c r="E905" s="1006" t="str">
        <f t="shared" si="186"/>
        <v/>
      </c>
      <c r="F905" s="1007" t="str">
        <f t="shared" si="187"/>
        <v/>
      </c>
      <c r="G905" s="1008" t="str">
        <f t="shared" si="188"/>
        <v/>
      </c>
      <c r="H905" s="1138">
        <f t="shared" si="189"/>
        <v>2.647222222222223</v>
      </c>
      <c r="I905" s="1009"/>
      <c r="J905" s="1010" t="str">
        <f t="shared" si="190"/>
        <v/>
      </c>
      <c r="K905" s="1011"/>
      <c r="L905" s="1012"/>
      <c r="M905" s="1013"/>
      <c r="N905" s="1014" t="str">
        <f t="shared" si="191"/>
        <v/>
      </c>
      <c r="O905" s="1320"/>
      <c r="P905" s="1321"/>
      <c r="Q905" s="1321"/>
      <c r="R905" s="1321"/>
      <c r="S905" s="1321"/>
      <c r="T905" s="1322"/>
      <c r="U905" s="1015"/>
      <c r="V905" s="1015"/>
      <c r="W905" s="1015"/>
      <c r="X905" s="1015"/>
      <c r="Y905" s="1015"/>
      <c r="Z905" s="1016">
        <f>'09월 에너지'!S907</f>
        <v>0</v>
      </c>
      <c r="AA905" s="1017"/>
      <c r="AB905" s="1208"/>
      <c r="AC905" s="1208"/>
      <c r="AD905" s="1208"/>
      <c r="AE905" s="1208"/>
      <c r="AF905" s="1208"/>
      <c r="AG905" s="1018">
        <f>'09월 화학성분'!AM905</f>
        <v>0</v>
      </c>
      <c r="AH905" s="1006" t="str">
        <f t="shared" si="180"/>
        <v/>
      </c>
      <c r="AI905" s="1019"/>
      <c r="AJ905" s="1020"/>
      <c r="AK905" s="1021"/>
      <c r="AL905" s="1022"/>
      <c r="AM905" s="1155" t="str">
        <f>IF(AT905="","",3*'09월 에너지'!S907*(1/(3+7.8*(100-AT905)/AT905)))</f>
        <v/>
      </c>
      <c r="AN905" s="1023"/>
      <c r="AO905" s="1024"/>
      <c r="AP905" s="1025"/>
      <c r="AQ905" s="1025"/>
      <c r="AR905" s="1149" t="str">
        <f t="shared" si="181"/>
        <v/>
      </c>
      <c r="AS905" s="1093" t="str">
        <f t="shared" si="192"/>
        <v/>
      </c>
      <c r="AT905" s="1156"/>
      <c r="AU905" s="449"/>
      <c r="AV905" s="1205"/>
    </row>
    <row r="906" spans="1:48" ht="16.5" customHeight="1">
      <c r="A906" s="1005" t="str">
        <f t="shared" si="182"/>
        <v/>
      </c>
      <c r="B906" s="1005" t="str">
        <f t="shared" si="183"/>
        <v/>
      </c>
      <c r="C906" s="1150" t="str">
        <f t="shared" si="184"/>
        <v/>
      </c>
      <c r="D906" s="1150" t="str">
        <f t="shared" si="185"/>
        <v/>
      </c>
      <c r="E906" s="1006" t="str">
        <f t="shared" si="186"/>
        <v/>
      </c>
      <c r="F906" s="1007" t="str">
        <f t="shared" si="187"/>
        <v/>
      </c>
      <c r="G906" s="1008" t="str">
        <f t="shared" si="188"/>
        <v/>
      </c>
      <c r="H906" s="1138">
        <f t="shared" si="189"/>
        <v>2.6805555555555562</v>
      </c>
      <c r="I906" s="1009"/>
      <c r="J906" s="1010" t="str">
        <f t="shared" si="190"/>
        <v/>
      </c>
      <c r="K906" s="1011"/>
      <c r="L906" s="1012"/>
      <c r="M906" s="1013"/>
      <c r="N906" s="1014" t="str">
        <f t="shared" si="191"/>
        <v/>
      </c>
      <c r="O906" s="1320"/>
      <c r="P906" s="1321"/>
      <c r="Q906" s="1321"/>
      <c r="R906" s="1321"/>
      <c r="S906" s="1321"/>
      <c r="T906" s="1322"/>
      <c r="U906" s="1015"/>
      <c r="V906" s="1015"/>
      <c r="W906" s="1015"/>
      <c r="X906" s="1015"/>
      <c r="Y906" s="1015"/>
      <c r="Z906" s="1016">
        <f>'09월 에너지'!S908</f>
        <v>0</v>
      </c>
      <c r="AA906" s="1017"/>
      <c r="AB906" s="1208"/>
      <c r="AC906" s="1208"/>
      <c r="AD906" s="1208"/>
      <c r="AE906" s="1208"/>
      <c r="AF906" s="1208"/>
      <c r="AG906" s="1018">
        <f>'09월 화학성분'!AM906</f>
        <v>0</v>
      </c>
      <c r="AH906" s="1006" t="str">
        <f t="shared" si="180"/>
        <v/>
      </c>
      <c r="AI906" s="1019"/>
      <c r="AJ906" s="1020"/>
      <c r="AK906" s="1021"/>
      <c r="AL906" s="1022"/>
      <c r="AM906" s="1155" t="str">
        <f>IF(AT906="","",3*'09월 에너지'!S908*(1/(3+7.8*(100-AT906)/AT906)))</f>
        <v/>
      </c>
      <c r="AN906" s="1023"/>
      <c r="AO906" s="1024"/>
      <c r="AP906" s="1025"/>
      <c r="AQ906" s="1025"/>
      <c r="AR906" s="1149" t="str">
        <f t="shared" si="181"/>
        <v/>
      </c>
      <c r="AS906" s="1093" t="str">
        <f t="shared" si="192"/>
        <v/>
      </c>
      <c r="AT906" s="1156"/>
      <c r="AU906" s="449"/>
      <c r="AV906" s="1205"/>
    </row>
    <row r="907" spans="1:48" ht="16.5" customHeight="1">
      <c r="A907" s="1005" t="str">
        <f t="shared" si="182"/>
        <v/>
      </c>
      <c r="B907" s="1005" t="str">
        <f t="shared" si="183"/>
        <v/>
      </c>
      <c r="C907" s="1150" t="str">
        <f t="shared" si="184"/>
        <v/>
      </c>
      <c r="D907" s="1150" t="str">
        <f t="shared" si="185"/>
        <v/>
      </c>
      <c r="E907" s="1006" t="str">
        <f t="shared" si="186"/>
        <v/>
      </c>
      <c r="F907" s="1007" t="str">
        <f t="shared" si="187"/>
        <v/>
      </c>
      <c r="G907" s="1008" t="str">
        <f t="shared" si="188"/>
        <v/>
      </c>
      <c r="H907" s="1138">
        <f t="shared" si="189"/>
        <v>2.7138888888888895</v>
      </c>
      <c r="I907" s="1009"/>
      <c r="J907" s="1010" t="str">
        <f t="shared" si="190"/>
        <v/>
      </c>
      <c r="K907" s="1011"/>
      <c r="L907" s="1012"/>
      <c r="M907" s="1013"/>
      <c r="N907" s="1014" t="str">
        <f t="shared" si="191"/>
        <v/>
      </c>
      <c r="O907" s="1320"/>
      <c r="P907" s="1321"/>
      <c r="Q907" s="1321"/>
      <c r="R907" s="1321"/>
      <c r="S907" s="1321"/>
      <c r="T907" s="1322"/>
      <c r="U907" s="1015"/>
      <c r="V907" s="1015"/>
      <c r="W907" s="1015"/>
      <c r="X907" s="1015"/>
      <c r="Y907" s="1015"/>
      <c r="Z907" s="1016">
        <f>'09월 에너지'!S909</f>
        <v>0</v>
      </c>
      <c r="AA907" s="1017"/>
      <c r="AB907" s="1208"/>
      <c r="AC907" s="1208"/>
      <c r="AD907" s="1208"/>
      <c r="AE907" s="1208"/>
      <c r="AF907" s="1208"/>
      <c r="AG907" s="1018">
        <f>'09월 화학성분'!AM907</f>
        <v>0</v>
      </c>
      <c r="AH907" s="1006" t="str">
        <f t="shared" si="180"/>
        <v/>
      </c>
      <c r="AI907" s="1019"/>
      <c r="AJ907" s="1020"/>
      <c r="AK907" s="1021"/>
      <c r="AL907" s="1022"/>
      <c r="AM907" s="1155" t="str">
        <f>IF(AT907="","",3*'09월 에너지'!S909*(1/(3+7.8*(100-AT907)/AT907)))</f>
        <v/>
      </c>
      <c r="AN907" s="1023"/>
      <c r="AO907" s="1024"/>
      <c r="AP907" s="1025"/>
      <c r="AQ907" s="1025"/>
      <c r="AR907" s="1149" t="str">
        <f t="shared" si="181"/>
        <v/>
      </c>
      <c r="AS907" s="1093" t="str">
        <f t="shared" si="192"/>
        <v/>
      </c>
      <c r="AT907" s="1156"/>
      <c r="AU907" s="449"/>
      <c r="AV907" s="1205"/>
    </row>
    <row r="908" spans="1:48" ht="16.5" customHeight="1">
      <c r="A908" s="1005" t="str">
        <f t="shared" si="182"/>
        <v/>
      </c>
      <c r="B908" s="1005" t="str">
        <f t="shared" si="183"/>
        <v/>
      </c>
      <c r="C908" s="1150" t="str">
        <f t="shared" si="184"/>
        <v/>
      </c>
      <c r="D908" s="1150" t="str">
        <f t="shared" si="185"/>
        <v/>
      </c>
      <c r="E908" s="1006" t="str">
        <f t="shared" si="186"/>
        <v/>
      </c>
      <c r="F908" s="1007" t="str">
        <f t="shared" si="187"/>
        <v/>
      </c>
      <c r="G908" s="1008" t="str">
        <f t="shared" si="188"/>
        <v/>
      </c>
      <c r="H908" s="1138">
        <f t="shared" si="189"/>
        <v>2.7472222222222227</v>
      </c>
      <c r="I908" s="1009"/>
      <c r="J908" s="1010" t="str">
        <f t="shared" si="190"/>
        <v/>
      </c>
      <c r="K908" s="1011"/>
      <c r="L908" s="1012"/>
      <c r="M908" s="1013"/>
      <c r="N908" s="1014" t="str">
        <f t="shared" si="191"/>
        <v/>
      </c>
      <c r="O908" s="1320"/>
      <c r="P908" s="1321"/>
      <c r="Q908" s="1321"/>
      <c r="R908" s="1321"/>
      <c r="S908" s="1321"/>
      <c r="T908" s="1322"/>
      <c r="U908" s="1015"/>
      <c r="V908" s="1015"/>
      <c r="W908" s="1015"/>
      <c r="X908" s="1015"/>
      <c r="Y908" s="1015"/>
      <c r="Z908" s="1016">
        <f>'09월 에너지'!S910</f>
        <v>0</v>
      </c>
      <c r="AA908" s="1017"/>
      <c r="AB908" s="1208"/>
      <c r="AC908" s="1208"/>
      <c r="AD908" s="1208"/>
      <c r="AE908" s="1208"/>
      <c r="AF908" s="1208"/>
      <c r="AG908" s="1018">
        <f>'09월 화학성분'!AM908</f>
        <v>0</v>
      </c>
      <c r="AH908" s="1006" t="str">
        <f t="shared" si="180"/>
        <v/>
      </c>
      <c r="AI908" s="1019"/>
      <c r="AJ908" s="1020"/>
      <c r="AK908" s="1021"/>
      <c r="AL908" s="1022"/>
      <c r="AM908" s="1155" t="str">
        <f>IF(AT908="","",3*'09월 에너지'!S910*(1/(3+7.8*(100-AT908)/AT908)))</f>
        <v/>
      </c>
      <c r="AN908" s="1023"/>
      <c r="AO908" s="1024"/>
      <c r="AP908" s="1025"/>
      <c r="AQ908" s="1025"/>
      <c r="AR908" s="1149" t="str">
        <f t="shared" si="181"/>
        <v/>
      </c>
      <c r="AS908" s="1093" t="str">
        <f t="shared" si="192"/>
        <v/>
      </c>
      <c r="AT908" s="1156"/>
      <c r="AU908" s="449"/>
      <c r="AV908" s="1205"/>
    </row>
    <row r="909" spans="1:48" ht="16.5" customHeight="1">
      <c r="A909" s="1005" t="str">
        <f t="shared" si="182"/>
        <v/>
      </c>
      <c r="B909" s="1005" t="str">
        <f t="shared" si="183"/>
        <v/>
      </c>
      <c r="C909" s="1150" t="str">
        <f t="shared" si="184"/>
        <v/>
      </c>
      <c r="D909" s="1150" t="str">
        <f t="shared" si="185"/>
        <v/>
      </c>
      <c r="E909" s="1006" t="str">
        <f t="shared" si="186"/>
        <v/>
      </c>
      <c r="F909" s="1007" t="str">
        <f t="shared" si="187"/>
        <v/>
      </c>
      <c r="G909" s="1008" t="str">
        <f t="shared" si="188"/>
        <v/>
      </c>
      <c r="H909" s="1138">
        <f t="shared" si="189"/>
        <v>2.7805555555555559</v>
      </c>
      <c r="I909" s="1009"/>
      <c r="J909" s="1010" t="str">
        <f t="shared" si="190"/>
        <v/>
      </c>
      <c r="K909" s="1011"/>
      <c r="L909" s="1012"/>
      <c r="M909" s="1013"/>
      <c r="N909" s="1014" t="str">
        <f t="shared" si="191"/>
        <v/>
      </c>
      <c r="O909" s="1320"/>
      <c r="P909" s="1321"/>
      <c r="Q909" s="1321"/>
      <c r="R909" s="1321"/>
      <c r="S909" s="1321"/>
      <c r="T909" s="1322"/>
      <c r="U909" s="1015"/>
      <c r="V909" s="1015"/>
      <c r="W909" s="1015"/>
      <c r="X909" s="1015"/>
      <c r="Y909" s="1015"/>
      <c r="Z909" s="1016">
        <f>'09월 에너지'!S911</f>
        <v>0</v>
      </c>
      <c r="AA909" s="1017"/>
      <c r="AB909" s="1208"/>
      <c r="AC909" s="1208"/>
      <c r="AD909" s="1208"/>
      <c r="AE909" s="1208"/>
      <c r="AF909" s="1208"/>
      <c r="AG909" s="1018">
        <f>'09월 화학성분'!AM909</f>
        <v>0</v>
      </c>
      <c r="AH909" s="1006" t="str">
        <f t="shared" ref="AH909:AH977" si="193">IF(I909="","",AH908+1)</f>
        <v/>
      </c>
      <c r="AI909" s="1019"/>
      <c r="AJ909" s="1020"/>
      <c r="AK909" s="1021"/>
      <c r="AL909" s="1022"/>
      <c r="AM909" s="1155" t="str">
        <f>IF(AT909="","",3*'09월 에너지'!S911*(1/(3+7.8*(100-AT909)/AT909)))</f>
        <v/>
      </c>
      <c r="AN909" s="1023"/>
      <c r="AO909" s="1024"/>
      <c r="AP909" s="1025"/>
      <c r="AQ909" s="1025"/>
      <c r="AR909" s="1149" t="str">
        <f t="shared" ref="AR909:AR972" si="194">IF(F909="A",IFERROR(IF(I909="","",IF(F909="A",AR908+1," ")),AR907+1),"")</f>
        <v/>
      </c>
      <c r="AS909" s="1093" t="str">
        <f t="shared" si="192"/>
        <v/>
      </c>
      <c r="AT909" s="1156"/>
      <c r="AU909" s="449"/>
      <c r="AV909" s="1205"/>
    </row>
    <row r="910" spans="1:48" ht="16.5" customHeight="1">
      <c r="A910" s="1005" t="str">
        <f t="shared" ref="A910:A973" si="195">IF(I910="","",A909)</f>
        <v/>
      </c>
      <c r="B910" s="1005" t="str">
        <f t="shared" ref="B910:B973" si="196">IF(J910="","",B909)</f>
        <v/>
      </c>
      <c r="C910" s="1150" t="str">
        <f t="shared" ref="C910:C973" si="197">IF(I910="","",IF(A910=A909,C909+1,1))</f>
        <v/>
      </c>
      <c r="D910" s="1150" t="str">
        <f t="shared" ref="D910:D973" si="198">IF(C910="","",D909+1)</f>
        <v/>
      </c>
      <c r="E910" s="1006" t="str">
        <f t="shared" ref="E910:E973" si="199">IF(C910="","",E909)</f>
        <v/>
      </c>
      <c r="F910" s="1007" t="str">
        <f t="shared" ref="F910:F973" si="200">IF(C910="","",IF(F909="A","B","A"))</f>
        <v/>
      </c>
      <c r="G910" s="1008" t="str">
        <f t="shared" ref="G910:G973" si="201">IF(C910="","",G909+1)</f>
        <v/>
      </c>
      <c r="H910" s="1138">
        <f t="shared" ref="H910:H973" si="202">IF(ISBLANK(I909),H909+C$8/1440,I909+C$8/1440)</f>
        <v>2.8138888888888891</v>
      </c>
      <c r="I910" s="1009"/>
      <c r="J910" s="1010" t="str">
        <f t="shared" ref="J910:J973" si="203">IF(I910="","",IF(I910&lt;I909,(I910-I909)*1440+1440,(I910-I909)*1440))</f>
        <v/>
      </c>
      <c r="K910" s="1011"/>
      <c r="L910" s="1012"/>
      <c r="M910" s="1013"/>
      <c r="N910" s="1014" t="str">
        <f t="shared" ref="N910:N973" si="204">IF(M910="","",M910+K910/1440)</f>
        <v/>
      </c>
      <c r="O910" s="1320"/>
      <c r="P910" s="1321"/>
      <c r="Q910" s="1321"/>
      <c r="R910" s="1321"/>
      <c r="S910" s="1321"/>
      <c r="T910" s="1322"/>
      <c r="U910" s="1015"/>
      <c r="V910" s="1015"/>
      <c r="W910" s="1015"/>
      <c r="X910" s="1015"/>
      <c r="Y910" s="1015"/>
      <c r="Z910" s="1016">
        <f>'09월 에너지'!S912</f>
        <v>0</v>
      </c>
      <c r="AA910" s="1017"/>
      <c r="AB910" s="1208"/>
      <c r="AC910" s="1208"/>
      <c r="AD910" s="1208"/>
      <c r="AE910" s="1208"/>
      <c r="AF910" s="1208"/>
      <c r="AG910" s="1018">
        <f>'09월 화학성분'!AM910</f>
        <v>0</v>
      </c>
      <c r="AH910" s="1006" t="str">
        <f t="shared" si="193"/>
        <v/>
      </c>
      <c r="AI910" s="1019"/>
      <c r="AJ910" s="1020"/>
      <c r="AK910" s="1021"/>
      <c r="AL910" s="1022"/>
      <c r="AM910" s="1155" t="str">
        <f>IF(AT910="","",3*'09월 에너지'!S912*(1/(3+7.8*(100-AT910)/AT910)))</f>
        <v/>
      </c>
      <c r="AN910" s="1023"/>
      <c r="AO910" s="1024"/>
      <c r="AP910" s="1025"/>
      <c r="AQ910" s="1025"/>
      <c r="AR910" s="1149" t="str">
        <f t="shared" si="194"/>
        <v/>
      </c>
      <c r="AS910" s="1093" t="str">
        <f t="shared" ref="AS910:AS973" si="205">IFERROR(IF($I910="","",IF($F910="B",AS909+1," ")),AS908+1)</f>
        <v/>
      </c>
      <c r="AT910" s="1156"/>
      <c r="AU910" s="449"/>
      <c r="AV910" s="1205"/>
    </row>
    <row r="911" spans="1:48" ht="16.5" customHeight="1">
      <c r="A911" s="1005" t="str">
        <f t="shared" si="195"/>
        <v/>
      </c>
      <c r="B911" s="1005" t="str">
        <f t="shared" si="196"/>
        <v/>
      </c>
      <c r="C911" s="1150" t="str">
        <f t="shared" si="197"/>
        <v/>
      </c>
      <c r="D911" s="1150" t="str">
        <f t="shared" si="198"/>
        <v/>
      </c>
      <c r="E911" s="1006" t="str">
        <f t="shared" si="199"/>
        <v/>
      </c>
      <c r="F911" s="1007" t="str">
        <f t="shared" si="200"/>
        <v/>
      </c>
      <c r="G911" s="1008" t="str">
        <f t="shared" si="201"/>
        <v/>
      </c>
      <c r="H911" s="1138">
        <f t="shared" si="202"/>
        <v>2.8472222222222223</v>
      </c>
      <c r="I911" s="1009"/>
      <c r="J911" s="1010" t="str">
        <f t="shared" si="203"/>
        <v/>
      </c>
      <c r="K911" s="1011"/>
      <c r="L911" s="1012"/>
      <c r="M911" s="1013"/>
      <c r="N911" s="1014" t="str">
        <f t="shared" si="204"/>
        <v/>
      </c>
      <c r="O911" s="1320"/>
      <c r="P911" s="1321"/>
      <c r="Q911" s="1321"/>
      <c r="R911" s="1321"/>
      <c r="S911" s="1321"/>
      <c r="T911" s="1322"/>
      <c r="U911" s="1015"/>
      <c r="V911" s="1015"/>
      <c r="W911" s="1015"/>
      <c r="X911" s="1015"/>
      <c r="Y911" s="1015"/>
      <c r="Z911" s="1016">
        <f>'09월 에너지'!S913</f>
        <v>0</v>
      </c>
      <c r="AA911" s="1017"/>
      <c r="AB911" s="1208"/>
      <c r="AC911" s="1208"/>
      <c r="AD911" s="1208"/>
      <c r="AE911" s="1208"/>
      <c r="AF911" s="1208"/>
      <c r="AG911" s="1018">
        <f>'09월 화학성분'!AM911</f>
        <v>0</v>
      </c>
      <c r="AH911" s="1006" t="str">
        <f t="shared" si="193"/>
        <v/>
      </c>
      <c r="AI911" s="1019"/>
      <c r="AJ911" s="1020"/>
      <c r="AK911" s="1021"/>
      <c r="AL911" s="1022"/>
      <c r="AM911" s="1155" t="str">
        <f>IF(AT911="","",3*'09월 에너지'!S913*(1/(3+7.8*(100-AT911)/AT911)))</f>
        <v/>
      </c>
      <c r="AN911" s="1023"/>
      <c r="AO911" s="1024"/>
      <c r="AP911" s="1025"/>
      <c r="AQ911" s="1025"/>
      <c r="AR911" s="1149" t="str">
        <f t="shared" si="194"/>
        <v/>
      </c>
      <c r="AS911" s="1093" t="str">
        <f t="shared" si="205"/>
        <v/>
      </c>
      <c r="AT911" s="1156"/>
      <c r="AU911" s="449"/>
      <c r="AV911" s="1205"/>
    </row>
    <row r="912" spans="1:48" ht="16.5" customHeight="1">
      <c r="A912" s="1005" t="str">
        <f t="shared" si="195"/>
        <v/>
      </c>
      <c r="B912" s="1005" t="str">
        <f t="shared" si="196"/>
        <v/>
      </c>
      <c r="C912" s="1150" t="str">
        <f t="shared" si="197"/>
        <v/>
      </c>
      <c r="D912" s="1150" t="str">
        <f t="shared" si="198"/>
        <v/>
      </c>
      <c r="E912" s="1006" t="str">
        <f t="shared" si="199"/>
        <v/>
      </c>
      <c r="F912" s="1007" t="str">
        <f t="shared" si="200"/>
        <v/>
      </c>
      <c r="G912" s="1008" t="str">
        <f t="shared" si="201"/>
        <v/>
      </c>
      <c r="H912" s="1138">
        <f t="shared" si="202"/>
        <v>2.8805555555555555</v>
      </c>
      <c r="I912" s="1009"/>
      <c r="J912" s="1010" t="str">
        <f t="shared" si="203"/>
        <v/>
      </c>
      <c r="K912" s="1011"/>
      <c r="L912" s="1012"/>
      <c r="M912" s="1013"/>
      <c r="N912" s="1014" t="str">
        <f t="shared" si="204"/>
        <v/>
      </c>
      <c r="O912" s="1320"/>
      <c r="P912" s="1321"/>
      <c r="Q912" s="1321"/>
      <c r="R912" s="1321"/>
      <c r="S912" s="1321"/>
      <c r="T912" s="1322"/>
      <c r="U912" s="1015"/>
      <c r="V912" s="1015"/>
      <c r="W912" s="1015"/>
      <c r="X912" s="1015"/>
      <c r="Y912" s="1015"/>
      <c r="Z912" s="1016">
        <f>'09월 에너지'!S914</f>
        <v>0</v>
      </c>
      <c r="AA912" s="1017"/>
      <c r="AB912" s="1208"/>
      <c r="AC912" s="1208"/>
      <c r="AD912" s="1208"/>
      <c r="AE912" s="1208"/>
      <c r="AF912" s="1208"/>
      <c r="AG912" s="1018">
        <f>'09월 화학성분'!AM912</f>
        <v>0</v>
      </c>
      <c r="AH912" s="1006" t="str">
        <f t="shared" si="193"/>
        <v/>
      </c>
      <c r="AI912" s="1019"/>
      <c r="AJ912" s="1020"/>
      <c r="AK912" s="1021"/>
      <c r="AL912" s="1022"/>
      <c r="AM912" s="1155" t="str">
        <f>IF(AT912="","",3*'09월 에너지'!S914*(1/(3+7.8*(100-AT912)/AT912)))</f>
        <v/>
      </c>
      <c r="AN912" s="1023"/>
      <c r="AO912" s="1024"/>
      <c r="AP912" s="1025"/>
      <c r="AQ912" s="1025"/>
      <c r="AR912" s="1149" t="str">
        <f t="shared" si="194"/>
        <v/>
      </c>
      <c r="AS912" s="1093" t="str">
        <f t="shared" si="205"/>
        <v/>
      </c>
      <c r="AT912" s="1156"/>
      <c r="AU912" s="449"/>
      <c r="AV912" s="1205"/>
    </row>
    <row r="913" spans="1:48" ht="16.5" customHeight="1">
      <c r="A913" s="1005" t="str">
        <f t="shared" si="195"/>
        <v/>
      </c>
      <c r="B913" s="1005" t="str">
        <f t="shared" si="196"/>
        <v/>
      </c>
      <c r="C913" s="1150" t="str">
        <f t="shared" si="197"/>
        <v/>
      </c>
      <c r="D913" s="1150" t="str">
        <f t="shared" si="198"/>
        <v/>
      </c>
      <c r="E913" s="1006" t="str">
        <f t="shared" si="199"/>
        <v/>
      </c>
      <c r="F913" s="1007" t="str">
        <f t="shared" si="200"/>
        <v/>
      </c>
      <c r="G913" s="1008" t="str">
        <f t="shared" si="201"/>
        <v/>
      </c>
      <c r="H913" s="1138">
        <f t="shared" si="202"/>
        <v>2.9138888888888888</v>
      </c>
      <c r="I913" s="1009"/>
      <c r="J913" s="1010" t="str">
        <f t="shared" si="203"/>
        <v/>
      </c>
      <c r="K913" s="1011"/>
      <c r="L913" s="1012"/>
      <c r="M913" s="1013"/>
      <c r="N913" s="1014" t="str">
        <f t="shared" si="204"/>
        <v/>
      </c>
      <c r="O913" s="1320"/>
      <c r="P913" s="1321"/>
      <c r="Q913" s="1321"/>
      <c r="R913" s="1321"/>
      <c r="S913" s="1321"/>
      <c r="T913" s="1322"/>
      <c r="U913" s="1015"/>
      <c r="V913" s="1015"/>
      <c r="W913" s="1015"/>
      <c r="X913" s="1015"/>
      <c r="Y913" s="1015"/>
      <c r="Z913" s="1016">
        <f>'09월 에너지'!S915</f>
        <v>0</v>
      </c>
      <c r="AA913" s="1017"/>
      <c r="AB913" s="1208"/>
      <c r="AC913" s="1208"/>
      <c r="AD913" s="1208"/>
      <c r="AE913" s="1208"/>
      <c r="AF913" s="1208"/>
      <c r="AG913" s="1018">
        <f>'09월 화학성분'!AM913</f>
        <v>0</v>
      </c>
      <c r="AH913" s="1006" t="str">
        <f t="shared" si="193"/>
        <v/>
      </c>
      <c r="AI913" s="1019"/>
      <c r="AJ913" s="1020"/>
      <c r="AK913" s="1021"/>
      <c r="AL913" s="1022"/>
      <c r="AM913" s="1155" t="str">
        <f>IF(AT913="","",3*'09월 에너지'!S915*(1/(3+7.8*(100-AT913)/AT913)))</f>
        <v/>
      </c>
      <c r="AN913" s="1023"/>
      <c r="AO913" s="1024"/>
      <c r="AP913" s="1025"/>
      <c r="AQ913" s="1025"/>
      <c r="AR913" s="1149" t="str">
        <f t="shared" si="194"/>
        <v/>
      </c>
      <c r="AS913" s="1093" t="str">
        <f t="shared" si="205"/>
        <v/>
      </c>
      <c r="AT913" s="1156"/>
      <c r="AU913" s="449"/>
      <c r="AV913" s="1205"/>
    </row>
    <row r="914" spans="1:48" ht="16.5" customHeight="1">
      <c r="A914" s="1005" t="str">
        <f t="shared" si="195"/>
        <v/>
      </c>
      <c r="B914" s="1005" t="str">
        <f t="shared" si="196"/>
        <v/>
      </c>
      <c r="C914" s="1150" t="str">
        <f t="shared" si="197"/>
        <v/>
      </c>
      <c r="D914" s="1150" t="str">
        <f t="shared" si="198"/>
        <v/>
      </c>
      <c r="E914" s="1006" t="str">
        <f t="shared" si="199"/>
        <v/>
      </c>
      <c r="F914" s="1007" t="str">
        <f t="shared" si="200"/>
        <v/>
      </c>
      <c r="G914" s="1008" t="str">
        <f t="shared" si="201"/>
        <v/>
      </c>
      <c r="H914" s="1138">
        <f t="shared" si="202"/>
        <v>2.947222222222222</v>
      </c>
      <c r="I914" s="1009"/>
      <c r="J914" s="1010" t="str">
        <f t="shared" si="203"/>
        <v/>
      </c>
      <c r="K914" s="1011"/>
      <c r="L914" s="1012"/>
      <c r="M914" s="1013"/>
      <c r="N914" s="1014" t="str">
        <f t="shared" si="204"/>
        <v/>
      </c>
      <c r="O914" s="1320"/>
      <c r="P914" s="1321"/>
      <c r="Q914" s="1321"/>
      <c r="R914" s="1321"/>
      <c r="S914" s="1321"/>
      <c r="T914" s="1322"/>
      <c r="U914" s="1015"/>
      <c r="V914" s="1015"/>
      <c r="W914" s="1015"/>
      <c r="X914" s="1015"/>
      <c r="Y914" s="1015"/>
      <c r="Z914" s="1016">
        <f>'09월 에너지'!S916</f>
        <v>0</v>
      </c>
      <c r="AA914" s="1017"/>
      <c r="AB914" s="1208"/>
      <c r="AC914" s="1208"/>
      <c r="AD914" s="1208"/>
      <c r="AE914" s="1208"/>
      <c r="AF914" s="1208"/>
      <c r="AG914" s="1018">
        <f>'09월 화학성분'!AM914</f>
        <v>0</v>
      </c>
      <c r="AH914" s="1006" t="str">
        <f t="shared" si="193"/>
        <v/>
      </c>
      <c r="AI914" s="1019"/>
      <c r="AJ914" s="1020"/>
      <c r="AK914" s="1021"/>
      <c r="AL914" s="1022"/>
      <c r="AM914" s="1155" t="str">
        <f>IF(AT914="","",3*'09월 에너지'!S916*(1/(3+7.8*(100-AT914)/AT914)))</f>
        <v/>
      </c>
      <c r="AN914" s="1023"/>
      <c r="AO914" s="1024"/>
      <c r="AP914" s="1025"/>
      <c r="AQ914" s="1025"/>
      <c r="AR914" s="1149" t="str">
        <f t="shared" si="194"/>
        <v/>
      </c>
      <c r="AS914" s="1093" t="str">
        <f t="shared" si="205"/>
        <v/>
      </c>
      <c r="AT914" s="1156"/>
      <c r="AU914" s="449"/>
      <c r="AV914" s="1205"/>
    </row>
    <row r="915" spans="1:48" ht="16.5" customHeight="1">
      <c r="A915" s="1005" t="str">
        <f t="shared" si="195"/>
        <v/>
      </c>
      <c r="B915" s="1005" t="str">
        <f t="shared" si="196"/>
        <v/>
      </c>
      <c r="C915" s="1150" t="str">
        <f t="shared" si="197"/>
        <v/>
      </c>
      <c r="D915" s="1150" t="str">
        <f t="shared" si="198"/>
        <v/>
      </c>
      <c r="E915" s="1006" t="str">
        <f t="shared" si="199"/>
        <v/>
      </c>
      <c r="F915" s="1007" t="str">
        <f t="shared" si="200"/>
        <v/>
      </c>
      <c r="G915" s="1008" t="str">
        <f t="shared" si="201"/>
        <v/>
      </c>
      <c r="H915" s="1138">
        <f t="shared" si="202"/>
        <v>2.9805555555555552</v>
      </c>
      <c r="I915" s="1009"/>
      <c r="J915" s="1010" t="str">
        <f t="shared" si="203"/>
        <v/>
      </c>
      <c r="K915" s="1011"/>
      <c r="L915" s="1012"/>
      <c r="M915" s="1013"/>
      <c r="N915" s="1014" t="str">
        <f t="shared" si="204"/>
        <v/>
      </c>
      <c r="O915" s="1320"/>
      <c r="P915" s="1321"/>
      <c r="Q915" s="1321"/>
      <c r="R915" s="1321"/>
      <c r="S915" s="1321"/>
      <c r="T915" s="1322"/>
      <c r="U915" s="1015"/>
      <c r="V915" s="1015"/>
      <c r="W915" s="1015"/>
      <c r="X915" s="1015"/>
      <c r="Y915" s="1015"/>
      <c r="Z915" s="1016">
        <f>'09월 에너지'!S917</f>
        <v>0</v>
      </c>
      <c r="AA915" s="1017"/>
      <c r="AB915" s="1208"/>
      <c r="AC915" s="1208"/>
      <c r="AD915" s="1208"/>
      <c r="AE915" s="1208"/>
      <c r="AF915" s="1208"/>
      <c r="AG915" s="1018">
        <f>'09월 화학성분'!AM915</f>
        <v>0</v>
      </c>
      <c r="AH915" s="1006" t="str">
        <f t="shared" si="193"/>
        <v/>
      </c>
      <c r="AI915" s="1019"/>
      <c r="AJ915" s="1020"/>
      <c r="AK915" s="1021"/>
      <c r="AL915" s="1022"/>
      <c r="AM915" s="1155" t="str">
        <f>IF(AT915="","",3*'09월 에너지'!S917*(1/(3+7.8*(100-AT915)/AT915)))</f>
        <v/>
      </c>
      <c r="AN915" s="1023"/>
      <c r="AO915" s="1024"/>
      <c r="AP915" s="1025"/>
      <c r="AQ915" s="1025"/>
      <c r="AR915" s="1149" t="str">
        <f t="shared" si="194"/>
        <v/>
      </c>
      <c r="AS915" s="1093" t="str">
        <f t="shared" si="205"/>
        <v/>
      </c>
      <c r="AT915" s="1156"/>
      <c r="AU915" s="449"/>
      <c r="AV915" s="1205"/>
    </row>
    <row r="916" spans="1:48" ht="16.5" customHeight="1">
      <c r="A916" s="1005" t="str">
        <f t="shared" si="195"/>
        <v/>
      </c>
      <c r="B916" s="1005" t="str">
        <f t="shared" si="196"/>
        <v/>
      </c>
      <c r="C916" s="1150" t="str">
        <f t="shared" si="197"/>
        <v/>
      </c>
      <c r="D916" s="1150" t="str">
        <f t="shared" si="198"/>
        <v/>
      </c>
      <c r="E916" s="1006" t="str">
        <f t="shared" si="199"/>
        <v/>
      </c>
      <c r="F916" s="1007" t="str">
        <f t="shared" si="200"/>
        <v/>
      </c>
      <c r="G916" s="1008" t="str">
        <f t="shared" si="201"/>
        <v/>
      </c>
      <c r="H916" s="1138">
        <f t="shared" si="202"/>
        <v>3.0138888888888884</v>
      </c>
      <c r="I916" s="1009"/>
      <c r="J916" s="1010" t="str">
        <f t="shared" si="203"/>
        <v/>
      </c>
      <c r="K916" s="1011"/>
      <c r="L916" s="1012"/>
      <c r="M916" s="1013"/>
      <c r="N916" s="1014" t="str">
        <f t="shared" si="204"/>
        <v/>
      </c>
      <c r="O916" s="1320"/>
      <c r="P916" s="1321"/>
      <c r="Q916" s="1321"/>
      <c r="R916" s="1321"/>
      <c r="S916" s="1321"/>
      <c r="T916" s="1322"/>
      <c r="U916" s="1015"/>
      <c r="V916" s="1015"/>
      <c r="W916" s="1015"/>
      <c r="X916" s="1015"/>
      <c r="Y916" s="1015"/>
      <c r="Z916" s="1016">
        <f>'09월 에너지'!S918</f>
        <v>0</v>
      </c>
      <c r="AA916" s="1017"/>
      <c r="AB916" s="1208"/>
      <c r="AC916" s="1208"/>
      <c r="AD916" s="1208"/>
      <c r="AE916" s="1208"/>
      <c r="AF916" s="1208"/>
      <c r="AG916" s="1018">
        <f>'09월 화학성분'!AM916</f>
        <v>0</v>
      </c>
      <c r="AH916" s="1006" t="str">
        <f t="shared" si="193"/>
        <v/>
      </c>
      <c r="AI916" s="1019"/>
      <c r="AJ916" s="1020"/>
      <c r="AK916" s="1021"/>
      <c r="AL916" s="1022"/>
      <c r="AM916" s="1155" t="str">
        <f>IF(AT916="","",3*'09월 에너지'!S918*(1/(3+7.8*(100-AT916)/AT916)))</f>
        <v/>
      </c>
      <c r="AN916" s="1023"/>
      <c r="AO916" s="1024"/>
      <c r="AP916" s="1025"/>
      <c r="AQ916" s="1025"/>
      <c r="AR916" s="1149" t="str">
        <f t="shared" si="194"/>
        <v/>
      </c>
      <c r="AS916" s="1093" t="str">
        <f t="shared" si="205"/>
        <v/>
      </c>
      <c r="AT916" s="1156"/>
      <c r="AU916" s="449"/>
      <c r="AV916" s="1205"/>
    </row>
    <row r="917" spans="1:48" ht="16.5" customHeight="1">
      <c r="A917" s="1005" t="str">
        <f t="shared" si="195"/>
        <v/>
      </c>
      <c r="B917" s="1005" t="str">
        <f t="shared" si="196"/>
        <v/>
      </c>
      <c r="C917" s="1150" t="str">
        <f t="shared" si="197"/>
        <v/>
      </c>
      <c r="D917" s="1150" t="str">
        <f t="shared" si="198"/>
        <v/>
      </c>
      <c r="E917" s="1006" t="str">
        <f t="shared" si="199"/>
        <v/>
      </c>
      <c r="F917" s="1007" t="str">
        <f t="shared" si="200"/>
        <v/>
      </c>
      <c r="G917" s="1008" t="str">
        <f t="shared" si="201"/>
        <v/>
      </c>
      <c r="H917" s="1138">
        <f t="shared" si="202"/>
        <v>3.0472222222222216</v>
      </c>
      <c r="I917" s="1009"/>
      <c r="J917" s="1010" t="str">
        <f t="shared" si="203"/>
        <v/>
      </c>
      <c r="K917" s="1011"/>
      <c r="L917" s="1012"/>
      <c r="M917" s="1013"/>
      <c r="N917" s="1014" t="str">
        <f t="shared" si="204"/>
        <v/>
      </c>
      <c r="O917" s="1320"/>
      <c r="P917" s="1321"/>
      <c r="Q917" s="1321"/>
      <c r="R917" s="1321"/>
      <c r="S917" s="1321"/>
      <c r="T917" s="1322"/>
      <c r="U917" s="1015"/>
      <c r="V917" s="1015"/>
      <c r="W917" s="1015"/>
      <c r="X917" s="1015"/>
      <c r="Y917" s="1015"/>
      <c r="Z917" s="1016">
        <f>'09월 에너지'!S919</f>
        <v>0</v>
      </c>
      <c r="AA917" s="1017"/>
      <c r="AB917" s="1208"/>
      <c r="AC917" s="1208"/>
      <c r="AD917" s="1208"/>
      <c r="AE917" s="1208"/>
      <c r="AF917" s="1208"/>
      <c r="AG917" s="1018">
        <f>'09월 화학성분'!AM917</f>
        <v>0</v>
      </c>
      <c r="AH917" s="1006" t="str">
        <f t="shared" si="193"/>
        <v/>
      </c>
      <c r="AI917" s="1019"/>
      <c r="AJ917" s="1020"/>
      <c r="AK917" s="1021"/>
      <c r="AL917" s="1022"/>
      <c r="AM917" s="1155" t="str">
        <f>IF(AT917="","",3*'09월 에너지'!S919*(1/(3+7.8*(100-AT917)/AT917)))</f>
        <v/>
      </c>
      <c r="AN917" s="1023"/>
      <c r="AO917" s="1024"/>
      <c r="AP917" s="1025"/>
      <c r="AQ917" s="1025"/>
      <c r="AR917" s="1149" t="str">
        <f t="shared" si="194"/>
        <v/>
      </c>
      <c r="AS917" s="1093" t="str">
        <f t="shared" si="205"/>
        <v/>
      </c>
      <c r="AT917" s="1156"/>
      <c r="AU917" s="449"/>
      <c r="AV917" s="1205"/>
    </row>
    <row r="918" spans="1:48" ht="16.5" customHeight="1">
      <c r="A918" s="1005" t="str">
        <f t="shared" si="195"/>
        <v/>
      </c>
      <c r="B918" s="1005" t="str">
        <f t="shared" si="196"/>
        <v/>
      </c>
      <c r="C918" s="1150" t="str">
        <f t="shared" si="197"/>
        <v/>
      </c>
      <c r="D918" s="1150" t="str">
        <f t="shared" si="198"/>
        <v/>
      </c>
      <c r="E918" s="1006" t="str">
        <f t="shared" si="199"/>
        <v/>
      </c>
      <c r="F918" s="1007" t="str">
        <f t="shared" si="200"/>
        <v/>
      </c>
      <c r="G918" s="1008" t="str">
        <f t="shared" si="201"/>
        <v/>
      </c>
      <c r="H918" s="1138">
        <f t="shared" si="202"/>
        <v>3.0805555555555548</v>
      </c>
      <c r="I918" s="1009"/>
      <c r="J918" s="1010" t="str">
        <f t="shared" si="203"/>
        <v/>
      </c>
      <c r="K918" s="1011"/>
      <c r="L918" s="1012"/>
      <c r="M918" s="1013"/>
      <c r="N918" s="1014" t="str">
        <f t="shared" si="204"/>
        <v/>
      </c>
      <c r="O918" s="1320"/>
      <c r="P918" s="1321"/>
      <c r="Q918" s="1321"/>
      <c r="R918" s="1321"/>
      <c r="S918" s="1321"/>
      <c r="T918" s="1322"/>
      <c r="U918" s="1015"/>
      <c r="V918" s="1015"/>
      <c r="W918" s="1015"/>
      <c r="X918" s="1015"/>
      <c r="Y918" s="1015"/>
      <c r="Z918" s="1016">
        <f>'09월 에너지'!S920</f>
        <v>0</v>
      </c>
      <c r="AA918" s="1017"/>
      <c r="AB918" s="1208"/>
      <c r="AC918" s="1208"/>
      <c r="AD918" s="1208"/>
      <c r="AE918" s="1208"/>
      <c r="AF918" s="1208"/>
      <c r="AG918" s="1018">
        <f>'09월 화학성분'!AM918</f>
        <v>0</v>
      </c>
      <c r="AH918" s="1006" t="str">
        <f t="shared" si="193"/>
        <v/>
      </c>
      <c r="AI918" s="1019"/>
      <c r="AJ918" s="1020"/>
      <c r="AK918" s="1021"/>
      <c r="AL918" s="1022"/>
      <c r="AM918" s="1155" t="str">
        <f>IF(AT918="","",3*'09월 에너지'!S920*(1/(3+7.8*(100-AT918)/AT918)))</f>
        <v/>
      </c>
      <c r="AN918" s="1023"/>
      <c r="AO918" s="1024"/>
      <c r="AP918" s="1025"/>
      <c r="AQ918" s="1025"/>
      <c r="AR918" s="1149" t="str">
        <f t="shared" si="194"/>
        <v/>
      </c>
      <c r="AS918" s="1093" t="str">
        <f t="shared" si="205"/>
        <v/>
      </c>
      <c r="AT918" s="1156"/>
      <c r="AU918" s="449"/>
      <c r="AV918" s="1205"/>
    </row>
    <row r="919" spans="1:48" ht="16.5" customHeight="1">
      <c r="A919" s="1005" t="str">
        <f t="shared" si="195"/>
        <v/>
      </c>
      <c r="B919" s="1005" t="str">
        <f t="shared" si="196"/>
        <v/>
      </c>
      <c r="C919" s="1150" t="str">
        <f t="shared" si="197"/>
        <v/>
      </c>
      <c r="D919" s="1150" t="str">
        <f t="shared" si="198"/>
        <v/>
      </c>
      <c r="E919" s="1006" t="str">
        <f t="shared" si="199"/>
        <v/>
      </c>
      <c r="F919" s="1007" t="str">
        <f t="shared" si="200"/>
        <v/>
      </c>
      <c r="G919" s="1008" t="str">
        <f t="shared" si="201"/>
        <v/>
      </c>
      <c r="H919" s="1138">
        <f t="shared" si="202"/>
        <v>3.113888888888888</v>
      </c>
      <c r="I919" s="1009"/>
      <c r="J919" s="1010" t="str">
        <f t="shared" si="203"/>
        <v/>
      </c>
      <c r="K919" s="1011"/>
      <c r="L919" s="1012"/>
      <c r="M919" s="1013"/>
      <c r="N919" s="1014" t="str">
        <f t="shared" si="204"/>
        <v/>
      </c>
      <c r="O919" s="1320"/>
      <c r="P919" s="1321"/>
      <c r="Q919" s="1321"/>
      <c r="R919" s="1321"/>
      <c r="S919" s="1321"/>
      <c r="T919" s="1322"/>
      <c r="U919" s="1015"/>
      <c r="V919" s="1015"/>
      <c r="W919" s="1015"/>
      <c r="X919" s="1015"/>
      <c r="Y919" s="1015"/>
      <c r="Z919" s="1016">
        <f>'09월 에너지'!S921</f>
        <v>0</v>
      </c>
      <c r="AA919" s="1017"/>
      <c r="AB919" s="1208"/>
      <c r="AC919" s="1208"/>
      <c r="AD919" s="1208"/>
      <c r="AE919" s="1208"/>
      <c r="AF919" s="1208"/>
      <c r="AG919" s="1018">
        <f>'09월 화학성분'!AM919</f>
        <v>0</v>
      </c>
      <c r="AH919" s="1006" t="str">
        <f t="shared" si="193"/>
        <v/>
      </c>
      <c r="AI919" s="1019"/>
      <c r="AJ919" s="1020"/>
      <c r="AK919" s="1021"/>
      <c r="AL919" s="1022"/>
      <c r="AM919" s="1155" t="str">
        <f>IF(AT919="","",3*'09월 에너지'!S921*(1/(3+7.8*(100-AT919)/AT919)))</f>
        <v/>
      </c>
      <c r="AN919" s="1023"/>
      <c r="AO919" s="1024"/>
      <c r="AP919" s="1025"/>
      <c r="AQ919" s="1025"/>
      <c r="AR919" s="1149" t="str">
        <f t="shared" si="194"/>
        <v/>
      </c>
      <c r="AS919" s="1093" t="str">
        <f t="shared" si="205"/>
        <v/>
      </c>
      <c r="AT919" s="1156"/>
      <c r="AU919" s="449"/>
      <c r="AV919" s="1205"/>
    </row>
    <row r="920" spans="1:48" ht="16.5" customHeight="1">
      <c r="A920" s="1005" t="str">
        <f t="shared" si="195"/>
        <v/>
      </c>
      <c r="B920" s="1005" t="str">
        <f t="shared" si="196"/>
        <v/>
      </c>
      <c r="C920" s="1150" t="str">
        <f t="shared" si="197"/>
        <v/>
      </c>
      <c r="D920" s="1150" t="str">
        <f t="shared" si="198"/>
        <v/>
      </c>
      <c r="E920" s="1006" t="str">
        <f t="shared" si="199"/>
        <v/>
      </c>
      <c r="F920" s="1007" t="str">
        <f t="shared" si="200"/>
        <v/>
      </c>
      <c r="G920" s="1008" t="str">
        <f t="shared" si="201"/>
        <v/>
      </c>
      <c r="H920" s="1138">
        <f t="shared" si="202"/>
        <v>3.1472222222222213</v>
      </c>
      <c r="I920" s="1009"/>
      <c r="J920" s="1010" t="str">
        <f t="shared" si="203"/>
        <v/>
      </c>
      <c r="K920" s="1011"/>
      <c r="L920" s="1012"/>
      <c r="M920" s="1013"/>
      <c r="N920" s="1014" t="str">
        <f t="shared" si="204"/>
        <v/>
      </c>
      <c r="O920" s="1320"/>
      <c r="P920" s="1321"/>
      <c r="Q920" s="1321"/>
      <c r="R920" s="1321"/>
      <c r="S920" s="1321"/>
      <c r="T920" s="1322"/>
      <c r="U920" s="1015"/>
      <c r="V920" s="1015"/>
      <c r="W920" s="1015"/>
      <c r="X920" s="1015"/>
      <c r="Y920" s="1015"/>
      <c r="Z920" s="1016">
        <f>'09월 에너지'!S922</f>
        <v>0</v>
      </c>
      <c r="AA920" s="1017"/>
      <c r="AB920" s="1208"/>
      <c r="AC920" s="1208"/>
      <c r="AD920" s="1208"/>
      <c r="AE920" s="1208"/>
      <c r="AF920" s="1208"/>
      <c r="AG920" s="1018">
        <f>'09월 화학성분'!AM920</f>
        <v>0</v>
      </c>
      <c r="AH920" s="1006" t="str">
        <f t="shared" si="193"/>
        <v/>
      </c>
      <c r="AI920" s="1019"/>
      <c r="AJ920" s="1020"/>
      <c r="AK920" s="1021"/>
      <c r="AL920" s="1022"/>
      <c r="AM920" s="1155" t="str">
        <f>IF(AT920="","",3*'09월 에너지'!S922*(1/(3+7.8*(100-AT920)/AT920)))</f>
        <v/>
      </c>
      <c r="AN920" s="1023"/>
      <c r="AO920" s="1024"/>
      <c r="AP920" s="1025"/>
      <c r="AQ920" s="1025"/>
      <c r="AR920" s="1149" t="str">
        <f t="shared" si="194"/>
        <v/>
      </c>
      <c r="AS920" s="1093" t="str">
        <f t="shared" si="205"/>
        <v/>
      </c>
      <c r="AT920" s="1156"/>
      <c r="AU920" s="449"/>
      <c r="AV920" s="1205"/>
    </row>
    <row r="921" spans="1:48" ht="16.5" customHeight="1">
      <c r="A921" s="1005" t="str">
        <f t="shared" si="195"/>
        <v/>
      </c>
      <c r="B921" s="1005" t="str">
        <f t="shared" si="196"/>
        <v/>
      </c>
      <c r="C921" s="1150" t="str">
        <f t="shared" si="197"/>
        <v/>
      </c>
      <c r="D921" s="1150" t="str">
        <f t="shared" si="198"/>
        <v/>
      </c>
      <c r="E921" s="1006" t="str">
        <f t="shared" si="199"/>
        <v/>
      </c>
      <c r="F921" s="1007" t="str">
        <f t="shared" si="200"/>
        <v/>
      </c>
      <c r="G921" s="1008" t="str">
        <f t="shared" si="201"/>
        <v/>
      </c>
      <c r="H921" s="1138">
        <f t="shared" si="202"/>
        <v>3.1805555555555545</v>
      </c>
      <c r="I921" s="1009"/>
      <c r="J921" s="1010" t="str">
        <f t="shared" si="203"/>
        <v/>
      </c>
      <c r="K921" s="1011"/>
      <c r="L921" s="1012"/>
      <c r="M921" s="1013"/>
      <c r="N921" s="1014" t="str">
        <f t="shared" si="204"/>
        <v/>
      </c>
      <c r="O921" s="1320"/>
      <c r="P921" s="1321"/>
      <c r="Q921" s="1321"/>
      <c r="R921" s="1321"/>
      <c r="S921" s="1321"/>
      <c r="T921" s="1322"/>
      <c r="U921" s="1015"/>
      <c r="V921" s="1015"/>
      <c r="W921" s="1015"/>
      <c r="X921" s="1015"/>
      <c r="Y921" s="1015"/>
      <c r="Z921" s="1016">
        <f>'09월 에너지'!S923</f>
        <v>0</v>
      </c>
      <c r="AA921" s="1017"/>
      <c r="AB921" s="1208"/>
      <c r="AC921" s="1208"/>
      <c r="AD921" s="1208"/>
      <c r="AE921" s="1208"/>
      <c r="AF921" s="1208"/>
      <c r="AG921" s="1018">
        <f>'09월 화학성분'!AM921</f>
        <v>0</v>
      </c>
      <c r="AH921" s="1006" t="str">
        <f t="shared" si="193"/>
        <v/>
      </c>
      <c r="AI921" s="1019"/>
      <c r="AJ921" s="1020"/>
      <c r="AK921" s="1021"/>
      <c r="AL921" s="1022"/>
      <c r="AM921" s="1155" t="str">
        <f>IF(AT921="","",3*'09월 에너지'!S923*(1/(3+7.8*(100-AT921)/AT921)))</f>
        <v/>
      </c>
      <c r="AN921" s="1023"/>
      <c r="AO921" s="1024"/>
      <c r="AP921" s="1025"/>
      <c r="AQ921" s="1025"/>
      <c r="AR921" s="1149" t="str">
        <f t="shared" si="194"/>
        <v/>
      </c>
      <c r="AS921" s="1093" t="str">
        <f t="shared" si="205"/>
        <v/>
      </c>
      <c r="AT921" s="1156"/>
      <c r="AU921" s="449"/>
      <c r="AV921" s="1205"/>
    </row>
    <row r="922" spans="1:48" ht="16.5" customHeight="1">
      <c r="A922" s="1005" t="str">
        <f t="shared" si="195"/>
        <v/>
      </c>
      <c r="B922" s="1005" t="str">
        <f t="shared" si="196"/>
        <v/>
      </c>
      <c r="C922" s="1150" t="str">
        <f t="shared" si="197"/>
        <v/>
      </c>
      <c r="D922" s="1150" t="str">
        <f t="shared" si="198"/>
        <v/>
      </c>
      <c r="E922" s="1006" t="str">
        <f t="shared" si="199"/>
        <v/>
      </c>
      <c r="F922" s="1007" t="str">
        <f t="shared" si="200"/>
        <v/>
      </c>
      <c r="G922" s="1008" t="str">
        <f t="shared" si="201"/>
        <v/>
      </c>
      <c r="H922" s="1138">
        <f t="shared" si="202"/>
        <v>3.2138888888888877</v>
      </c>
      <c r="I922" s="1009"/>
      <c r="J922" s="1010" t="str">
        <f t="shared" si="203"/>
        <v/>
      </c>
      <c r="K922" s="1011"/>
      <c r="L922" s="1012"/>
      <c r="M922" s="1013"/>
      <c r="N922" s="1014" t="str">
        <f t="shared" si="204"/>
        <v/>
      </c>
      <c r="O922" s="1320"/>
      <c r="P922" s="1321"/>
      <c r="Q922" s="1321"/>
      <c r="R922" s="1321"/>
      <c r="S922" s="1321"/>
      <c r="T922" s="1322"/>
      <c r="U922" s="1015"/>
      <c r="V922" s="1015"/>
      <c r="W922" s="1015"/>
      <c r="X922" s="1015"/>
      <c r="Y922" s="1015"/>
      <c r="Z922" s="1016">
        <f>'09월 에너지'!S924</f>
        <v>0</v>
      </c>
      <c r="AA922" s="1017"/>
      <c r="AB922" s="1208"/>
      <c r="AC922" s="1208"/>
      <c r="AD922" s="1208"/>
      <c r="AE922" s="1208"/>
      <c r="AF922" s="1208"/>
      <c r="AG922" s="1018">
        <f>'09월 화학성분'!AM922</f>
        <v>0</v>
      </c>
      <c r="AH922" s="1006" t="str">
        <f t="shared" si="193"/>
        <v/>
      </c>
      <c r="AI922" s="1019"/>
      <c r="AJ922" s="1020"/>
      <c r="AK922" s="1021"/>
      <c r="AL922" s="1022"/>
      <c r="AM922" s="1155" t="str">
        <f>IF(AT922="","",3*'09월 에너지'!S924*(1/(3+7.8*(100-AT922)/AT922)))</f>
        <v/>
      </c>
      <c r="AN922" s="1023"/>
      <c r="AO922" s="1024"/>
      <c r="AP922" s="1025"/>
      <c r="AQ922" s="1025"/>
      <c r="AR922" s="1149" t="str">
        <f t="shared" si="194"/>
        <v/>
      </c>
      <c r="AS922" s="1093" t="str">
        <f t="shared" si="205"/>
        <v/>
      </c>
      <c r="AT922" s="1156"/>
      <c r="AU922" s="449"/>
      <c r="AV922" s="1205"/>
    </row>
    <row r="923" spans="1:48" ht="16.5" customHeight="1">
      <c r="A923" s="1005" t="str">
        <f t="shared" si="195"/>
        <v/>
      </c>
      <c r="B923" s="1005" t="str">
        <f t="shared" si="196"/>
        <v/>
      </c>
      <c r="C923" s="1150" t="str">
        <f t="shared" si="197"/>
        <v/>
      </c>
      <c r="D923" s="1150" t="str">
        <f t="shared" si="198"/>
        <v/>
      </c>
      <c r="E923" s="1006" t="str">
        <f t="shared" si="199"/>
        <v/>
      </c>
      <c r="F923" s="1007" t="str">
        <f t="shared" si="200"/>
        <v/>
      </c>
      <c r="G923" s="1008" t="str">
        <f t="shared" si="201"/>
        <v/>
      </c>
      <c r="H923" s="1138">
        <f t="shared" si="202"/>
        <v>3.2472222222222209</v>
      </c>
      <c r="I923" s="1009"/>
      <c r="J923" s="1010" t="str">
        <f t="shared" si="203"/>
        <v/>
      </c>
      <c r="K923" s="1011"/>
      <c r="L923" s="1012"/>
      <c r="M923" s="1013"/>
      <c r="N923" s="1014" t="str">
        <f t="shared" si="204"/>
        <v/>
      </c>
      <c r="O923" s="1320"/>
      <c r="P923" s="1321"/>
      <c r="Q923" s="1321"/>
      <c r="R923" s="1321"/>
      <c r="S923" s="1321"/>
      <c r="T923" s="1322"/>
      <c r="U923" s="1015"/>
      <c r="V923" s="1015"/>
      <c r="W923" s="1015"/>
      <c r="X923" s="1015"/>
      <c r="Y923" s="1015"/>
      <c r="Z923" s="1016">
        <f>'09월 에너지'!S925</f>
        <v>0</v>
      </c>
      <c r="AA923" s="1017"/>
      <c r="AB923" s="1208"/>
      <c r="AC923" s="1208"/>
      <c r="AD923" s="1208"/>
      <c r="AE923" s="1208"/>
      <c r="AF923" s="1208"/>
      <c r="AG923" s="1018">
        <f>'09월 화학성분'!AM923</f>
        <v>0</v>
      </c>
      <c r="AH923" s="1006" t="str">
        <f t="shared" si="193"/>
        <v/>
      </c>
      <c r="AI923" s="1019"/>
      <c r="AJ923" s="1020"/>
      <c r="AK923" s="1021"/>
      <c r="AL923" s="1022"/>
      <c r="AM923" s="1155" t="str">
        <f>IF(AT923="","",3*'09월 에너지'!S925*(1/(3+7.8*(100-AT923)/AT923)))</f>
        <v/>
      </c>
      <c r="AN923" s="1023"/>
      <c r="AO923" s="1024"/>
      <c r="AP923" s="1025"/>
      <c r="AQ923" s="1025"/>
      <c r="AR923" s="1149" t="str">
        <f t="shared" si="194"/>
        <v/>
      </c>
      <c r="AS923" s="1093" t="str">
        <f t="shared" si="205"/>
        <v/>
      </c>
      <c r="AT923" s="1156"/>
      <c r="AU923" s="449"/>
      <c r="AV923" s="1205"/>
    </row>
    <row r="924" spans="1:48" ht="16.5" customHeight="1">
      <c r="A924" s="1005" t="str">
        <f t="shared" si="195"/>
        <v/>
      </c>
      <c r="B924" s="1005" t="str">
        <f t="shared" si="196"/>
        <v/>
      </c>
      <c r="C924" s="1150" t="str">
        <f t="shared" si="197"/>
        <v/>
      </c>
      <c r="D924" s="1150" t="str">
        <f t="shared" si="198"/>
        <v/>
      </c>
      <c r="E924" s="1006" t="str">
        <f t="shared" si="199"/>
        <v/>
      </c>
      <c r="F924" s="1007" t="str">
        <f t="shared" si="200"/>
        <v/>
      </c>
      <c r="G924" s="1008" t="str">
        <f t="shared" si="201"/>
        <v/>
      </c>
      <c r="H924" s="1138">
        <f t="shared" si="202"/>
        <v>3.2805555555555541</v>
      </c>
      <c r="I924" s="1009"/>
      <c r="J924" s="1010" t="str">
        <f t="shared" si="203"/>
        <v/>
      </c>
      <c r="K924" s="1011"/>
      <c r="L924" s="1012"/>
      <c r="M924" s="1013"/>
      <c r="N924" s="1014" t="str">
        <f t="shared" si="204"/>
        <v/>
      </c>
      <c r="O924" s="1320"/>
      <c r="P924" s="1321"/>
      <c r="Q924" s="1321"/>
      <c r="R924" s="1321"/>
      <c r="S924" s="1321"/>
      <c r="T924" s="1322"/>
      <c r="U924" s="1015"/>
      <c r="V924" s="1015"/>
      <c r="W924" s="1015"/>
      <c r="X924" s="1015"/>
      <c r="Y924" s="1015"/>
      <c r="Z924" s="1016">
        <f>'09월 에너지'!S926</f>
        <v>0</v>
      </c>
      <c r="AA924" s="1017"/>
      <c r="AB924" s="1208"/>
      <c r="AC924" s="1208"/>
      <c r="AD924" s="1208"/>
      <c r="AE924" s="1208"/>
      <c r="AF924" s="1208"/>
      <c r="AG924" s="1018">
        <f>'09월 화학성분'!AM924</f>
        <v>0</v>
      </c>
      <c r="AH924" s="1006" t="str">
        <f t="shared" si="193"/>
        <v/>
      </c>
      <c r="AI924" s="1019"/>
      <c r="AJ924" s="1020"/>
      <c r="AK924" s="1021"/>
      <c r="AL924" s="1022"/>
      <c r="AM924" s="1155" t="str">
        <f>IF(AT924="","",3*'09월 에너지'!S926*(1/(3+7.8*(100-AT924)/AT924)))</f>
        <v/>
      </c>
      <c r="AN924" s="1023"/>
      <c r="AO924" s="1024"/>
      <c r="AP924" s="1025"/>
      <c r="AQ924" s="1025"/>
      <c r="AR924" s="1149" t="str">
        <f t="shared" si="194"/>
        <v/>
      </c>
      <c r="AS924" s="1093" t="str">
        <f t="shared" si="205"/>
        <v/>
      </c>
      <c r="AT924" s="1156"/>
      <c r="AU924" s="449"/>
      <c r="AV924" s="1205"/>
    </row>
    <row r="925" spans="1:48" ht="16.5" customHeight="1">
      <c r="A925" s="1005" t="str">
        <f t="shared" si="195"/>
        <v/>
      </c>
      <c r="B925" s="1005" t="str">
        <f t="shared" si="196"/>
        <v/>
      </c>
      <c r="C925" s="1150" t="str">
        <f t="shared" si="197"/>
        <v/>
      </c>
      <c r="D925" s="1150" t="str">
        <f t="shared" si="198"/>
        <v/>
      </c>
      <c r="E925" s="1006" t="str">
        <f t="shared" si="199"/>
        <v/>
      </c>
      <c r="F925" s="1007" t="str">
        <f t="shared" si="200"/>
        <v/>
      </c>
      <c r="G925" s="1008" t="str">
        <f t="shared" si="201"/>
        <v/>
      </c>
      <c r="H925" s="1138">
        <f t="shared" si="202"/>
        <v>3.3138888888888873</v>
      </c>
      <c r="I925" s="1009"/>
      <c r="J925" s="1010" t="str">
        <f t="shared" si="203"/>
        <v/>
      </c>
      <c r="K925" s="1011"/>
      <c r="L925" s="1012"/>
      <c r="M925" s="1013"/>
      <c r="N925" s="1014" t="str">
        <f t="shared" si="204"/>
        <v/>
      </c>
      <c r="O925" s="1320"/>
      <c r="P925" s="1321"/>
      <c r="Q925" s="1321"/>
      <c r="R925" s="1321"/>
      <c r="S925" s="1321"/>
      <c r="T925" s="1322"/>
      <c r="U925" s="1015"/>
      <c r="V925" s="1015"/>
      <c r="W925" s="1015"/>
      <c r="X925" s="1015"/>
      <c r="Y925" s="1015"/>
      <c r="Z925" s="1016">
        <f>'09월 에너지'!S927</f>
        <v>0</v>
      </c>
      <c r="AA925" s="1017"/>
      <c r="AB925" s="1208"/>
      <c r="AC925" s="1208"/>
      <c r="AD925" s="1208"/>
      <c r="AE925" s="1208"/>
      <c r="AF925" s="1208"/>
      <c r="AG925" s="1018">
        <f>'09월 화학성분'!AM925</f>
        <v>0</v>
      </c>
      <c r="AH925" s="1006" t="str">
        <f t="shared" si="193"/>
        <v/>
      </c>
      <c r="AI925" s="1019"/>
      <c r="AJ925" s="1020"/>
      <c r="AK925" s="1021"/>
      <c r="AL925" s="1022"/>
      <c r="AM925" s="1155" t="str">
        <f>IF(AT925="","",3*'09월 에너지'!S927*(1/(3+7.8*(100-AT925)/AT925)))</f>
        <v/>
      </c>
      <c r="AN925" s="1023"/>
      <c r="AO925" s="1024"/>
      <c r="AP925" s="1025"/>
      <c r="AQ925" s="1025"/>
      <c r="AR925" s="1149" t="str">
        <f t="shared" si="194"/>
        <v/>
      </c>
      <c r="AS925" s="1093" t="str">
        <f t="shared" si="205"/>
        <v/>
      </c>
      <c r="AT925" s="1156"/>
      <c r="AU925" s="449"/>
      <c r="AV925" s="1205"/>
    </row>
    <row r="926" spans="1:48" ht="16.5" customHeight="1">
      <c r="A926" s="1005" t="str">
        <f t="shared" si="195"/>
        <v/>
      </c>
      <c r="B926" s="1005" t="str">
        <f t="shared" si="196"/>
        <v/>
      </c>
      <c r="C926" s="1150" t="str">
        <f t="shared" si="197"/>
        <v/>
      </c>
      <c r="D926" s="1150" t="str">
        <f t="shared" si="198"/>
        <v/>
      </c>
      <c r="E926" s="1006" t="str">
        <f t="shared" si="199"/>
        <v/>
      </c>
      <c r="F926" s="1007" t="str">
        <f t="shared" si="200"/>
        <v/>
      </c>
      <c r="G926" s="1008" t="str">
        <f t="shared" si="201"/>
        <v/>
      </c>
      <c r="H926" s="1138">
        <f t="shared" si="202"/>
        <v>3.3472222222222205</v>
      </c>
      <c r="I926" s="1009"/>
      <c r="J926" s="1010" t="str">
        <f t="shared" si="203"/>
        <v/>
      </c>
      <c r="K926" s="1011"/>
      <c r="L926" s="1012"/>
      <c r="M926" s="1013"/>
      <c r="N926" s="1014" t="str">
        <f t="shared" si="204"/>
        <v/>
      </c>
      <c r="O926" s="1320"/>
      <c r="P926" s="1321"/>
      <c r="Q926" s="1321"/>
      <c r="R926" s="1321"/>
      <c r="S926" s="1321"/>
      <c r="T926" s="1322"/>
      <c r="U926" s="1015"/>
      <c r="V926" s="1015"/>
      <c r="W926" s="1015"/>
      <c r="X926" s="1015"/>
      <c r="Y926" s="1015"/>
      <c r="Z926" s="1016">
        <f>'09월 에너지'!S928</f>
        <v>0</v>
      </c>
      <c r="AA926" s="1017"/>
      <c r="AB926" s="1208"/>
      <c r="AC926" s="1208"/>
      <c r="AD926" s="1208"/>
      <c r="AE926" s="1208"/>
      <c r="AF926" s="1208"/>
      <c r="AG926" s="1018">
        <f>'09월 화학성분'!AM926</f>
        <v>0</v>
      </c>
      <c r="AH926" s="1006" t="str">
        <f t="shared" si="193"/>
        <v/>
      </c>
      <c r="AI926" s="1019"/>
      <c r="AJ926" s="1020"/>
      <c r="AK926" s="1021"/>
      <c r="AL926" s="1022"/>
      <c r="AM926" s="1155" t="str">
        <f>IF(AT926="","",3*'09월 에너지'!S928*(1/(3+7.8*(100-AT926)/AT926)))</f>
        <v/>
      </c>
      <c r="AN926" s="1023"/>
      <c r="AO926" s="1024"/>
      <c r="AP926" s="1025"/>
      <c r="AQ926" s="1025"/>
      <c r="AR926" s="1149" t="str">
        <f t="shared" si="194"/>
        <v/>
      </c>
      <c r="AS926" s="1093" t="str">
        <f t="shared" si="205"/>
        <v/>
      </c>
      <c r="AT926" s="1156"/>
      <c r="AU926" s="449"/>
      <c r="AV926" s="1205"/>
    </row>
    <row r="927" spans="1:48" ht="16.5" customHeight="1">
      <c r="A927" s="1005" t="str">
        <f t="shared" si="195"/>
        <v/>
      </c>
      <c r="B927" s="1005" t="str">
        <f t="shared" si="196"/>
        <v/>
      </c>
      <c r="C927" s="1150" t="str">
        <f t="shared" si="197"/>
        <v/>
      </c>
      <c r="D927" s="1150" t="str">
        <f t="shared" si="198"/>
        <v/>
      </c>
      <c r="E927" s="1006" t="str">
        <f t="shared" si="199"/>
        <v/>
      </c>
      <c r="F927" s="1007" t="str">
        <f t="shared" si="200"/>
        <v/>
      </c>
      <c r="G927" s="1008" t="str">
        <f t="shared" si="201"/>
        <v/>
      </c>
      <c r="H927" s="1138">
        <f t="shared" si="202"/>
        <v>3.3805555555555538</v>
      </c>
      <c r="I927" s="1009"/>
      <c r="J927" s="1010" t="str">
        <f t="shared" si="203"/>
        <v/>
      </c>
      <c r="K927" s="1011"/>
      <c r="L927" s="1012"/>
      <c r="M927" s="1013"/>
      <c r="N927" s="1014" t="str">
        <f t="shared" si="204"/>
        <v/>
      </c>
      <c r="O927" s="1320"/>
      <c r="P927" s="1321"/>
      <c r="Q927" s="1321"/>
      <c r="R927" s="1321"/>
      <c r="S927" s="1321"/>
      <c r="T927" s="1322"/>
      <c r="U927" s="1015"/>
      <c r="V927" s="1015"/>
      <c r="W927" s="1015"/>
      <c r="X927" s="1015"/>
      <c r="Y927" s="1015"/>
      <c r="Z927" s="1016">
        <f>'09월 에너지'!S929</f>
        <v>0</v>
      </c>
      <c r="AA927" s="1017"/>
      <c r="AB927" s="1208"/>
      <c r="AC927" s="1208"/>
      <c r="AD927" s="1208"/>
      <c r="AE927" s="1208"/>
      <c r="AF927" s="1208"/>
      <c r="AG927" s="1018">
        <f>'09월 화학성분'!AM927</f>
        <v>0</v>
      </c>
      <c r="AH927" s="1006" t="str">
        <f t="shared" si="193"/>
        <v/>
      </c>
      <c r="AI927" s="1019"/>
      <c r="AJ927" s="1020"/>
      <c r="AK927" s="1021"/>
      <c r="AL927" s="1022"/>
      <c r="AM927" s="1155" t="str">
        <f>IF(AT927="","",3*'09월 에너지'!S929*(1/(3+7.8*(100-AT927)/AT927)))</f>
        <v/>
      </c>
      <c r="AN927" s="1023"/>
      <c r="AO927" s="1024"/>
      <c r="AP927" s="1025"/>
      <c r="AQ927" s="1025"/>
      <c r="AR927" s="1149" t="str">
        <f t="shared" si="194"/>
        <v/>
      </c>
      <c r="AS927" s="1093" t="str">
        <f t="shared" si="205"/>
        <v/>
      </c>
      <c r="AT927" s="1156"/>
      <c r="AU927" s="449"/>
      <c r="AV927" s="1205"/>
    </row>
    <row r="928" spans="1:48" ht="16.5" customHeight="1">
      <c r="A928" s="1005" t="str">
        <f t="shared" si="195"/>
        <v/>
      </c>
      <c r="B928" s="1005" t="str">
        <f t="shared" si="196"/>
        <v/>
      </c>
      <c r="C928" s="1150" t="str">
        <f t="shared" si="197"/>
        <v/>
      </c>
      <c r="D928" s="1150" t="str">
        <f t="shared" si="198"/>
        <v/>
      </c>
      <c r="E928" s="1006" t="str">
        <f t="shared" si="199"/>
        <v/>
      </c>
      <c r="F928" s="1007" t="str">
        <f t="shared" si="200"/>
        <v/>
      </c>
      <c r="G928" s="1008" t="str">
        <f t="shared" si="201"/>
        <v/>
      </c>
      <c r="H928" s="1138">
        <f t="shared" si="202"/>
        <v>3.413888888888887</v>
      </c>
      <c r="I928" s="1009"/>
      <c r="J928" s="1010" t="str">
        <f t="shared" si="203"/>
        <v/>
      </c>
      <c r="K928" s="1011"/>
      <c r="L928" s="1012"/>
      <c r="M928" s="1013"/>
      <c r="N928" s="1014" t="str">
        <f t="shared" si="204"/>
        <v/>
      </c>
      <c r="O928" s="1320"/>
      <c r="P928" s="1321"/>
      <c r="Q928" s="1321"/>
      <c r="R928" s="1321"/>
      <c r="S928" s="1321"/>
      <c r="T928" s="1322"/>
      <c r="U928" s="1015"/>
      <c r="V928" s="1015"/>
      <c r="W928" s="1015"/>
      <c r="X928" s="1015"/>
      <c r="Y928" s="1015"/>
      <c r="Z928" s="1016">
        <f>'09월 에너지'!S930</f>
        <v>0</v>
      </c>
      <c r="AA928" s="1017"/>
      <c r="AB928" s="1208"/>
      <c r="AC928" s="1208"/>
      <c r="AD928" s="1208"/>
      <c r="AE928" s="1208"/>
      <c r="AF928" s="1208"/>
      <c r="AG928" s="1018">
        <f>'09월 화학성분'!AM928</f>
        <v>0</v>
      </c>
      <c r="AH928" s="1006" t="str">
        <f t="shared" si="193"/>
        <v/>
      </c>
      <c r="AI928" s="1019"/>
      <c r="AJ928" s="1020"/>
      <c r="AK928" s="1021"/>
      <c r="AL928" s="1022"/>
      <c r="AM928" s="1155" t="str">
        <f>IF(AT928="","",3*'09월 에너지'!S930*(1/(3+7.8*(100-AT928)/AT928)))</f>
        <v/>
      </c>
      <c r="AN928" s="1023"/>
      <c r="AO928" s="1024"/>
      <c r="AP928" s="1025"/>
      <c r="AQ928" s="1025"/>
      <c r="AR928" s="1149" t="str">
        <f t="shared" si="194"/>
        <v/>
      </c>
      <c r="AS928" s="1093" t="str">
        <f t="shared" si="205"/>
        <v/>
      </c>
      <c r="AT928" s="1156"/>
      <c r="AU928" s="449"/>
      <c r="AV928" s="1205"/>
    </row>
    <row r="929" spans="1:48" ht="16.5" customHeight="1">
      <c r="A929" s="1005" t="str">
        <f t="shared" si="195"/>
        <v/>
      </c>
      <c r="B929" s="1005" t="str">
        <f t="shared" si="196"/>
        <v/>
      </c>
      <c r="C929" s="1150" t="str">
        <f t="shared" si="197"/>
        <v/>
      </c>
      <c r="D929" s="1150" t="str">
        <f t="shared" si="198"/>
        <v/>
      </c>
      <c r="E929" s="1006" t="str">
        <f t="shared" si="199"/>
        <v/>
      </c>
      <c r="F929" s="1007" t="str">
        <f t="shared" si="200"/>
        <v/>
      </c>
      <c r="G929" s="1008" t="str">
        <f t="shared" si="201"/>
        <v/>
      </c>
      <c r="H929" s="1138">
        <f t="shared" si="202"/>
        <v>3.4472222222222202</v>
      </c>
      <c r="I929" s="1009"/>
      <c r="J929" s="1010" t="str">
        <f t="shared" si="203"/>
        <v/>
      </c>
      <c r="K929" s="1011"/>
      <c r="L929" s="1012"/>
      <c r="M929" s="1013"/>
      <c r="N929" s="1014" t="str">
        <f t="shared" si="204"/>
        <v/>
      </c>
      <c r="O929" s="1320"/>
      <c r="P929" s="1321"/>
      <c r="Q929" s="1321"/>
      <c r="R929" s="1321"/>
      <c r="S929" s="1321"/>
      <c r="T929" s="1322"/>
      <c r="U929" s="1015"/>
      <c r="V929" s="1015"/>
      <c r="W929" s="1015"/>
      <c r="X929" s="1015"/>
      <c r="Y929" s="1015"/>
      <c r="Z929" s="1016">
        <f>'09월 에너지'!S931</f>
        <v>0</v>
      </c>
      <c r="AA929" s="1017"/>
      <c r="AB929" s="1208"/>
      <c r="AC929" s="1208"/>
      <c r="AD929" s="1208"/>
      <c r="AE929" s="1208"/>
      <c r="AF929" s="1208"/>
      <c r="AG929" s="1018">
        <f>'09월 화학성분'!AM929</f>
        <v>0</v>
      </c>
      <c r="AH929" s="1006" t="str">
        <f t="shared" si="193"/>
        <v/>
      </c>
      <c r="AI929" s="1019"/>
      <c r="AJ929" s="1020"/>
      <c r="AK929" s="1021"/>
      <c r="AL929" s="1022"/>
      <c r="AM929" s="1155" t="str">
        <f>IF(AT929="","",3*'09월 에너지'!S931*(1/(3+7.8*(100-AT929)/AT929)))</f>
        <v/>
      </c>
      <c r="AN929" s="1023"/>
      <c r="AO929" s="1024"/>
      <c r="AP929" s="1025"/>
      <c r="AQ929" s="1025"/>
      <c r="AR929" s="1149" t="str">
        <f t="shared" si="194"/>
        <v/>
      </c>
      <c r="AS929" s="1093" t="str">
        <f t="shared" si="205"/>
        <v/>
      </c>
      <c r="AT929" s="1156"/>
      <c r="AU929" s="449"/>
      <c r="AV929" s="1205"/>
    </row>
    <row r="930" spans="1:48" ht="16.5" customHeight="1">
      <c r="A930" s="1005" t="str">
        <f t="shared" si="195"/>
        <v/>
      </c>
      <c r="B930" s="1005" t="str">
        <f t="shared" si="196"/>
        <v/>
      </c>
      <c r="C930" s="1150" t="str">
        <f t="shared" si="197"/>
        <v/>
      </c>
      <c r="D930" s="1150" t="str">
        <f t="shared" si="198"/>
        <v/>
      </c>
      <c r="E930" s="1006" t="str">
        <f t="shared" si="199"/>
        <v/>
      </c>
      <c r="F930" s="1007" t="str">
        <f t="shared" si="200"/>
        <v/>
      </c>
      <c r="G930" s="1008" t="str">
        <f t="shared" si="201"/>
        <v/>
      </c>
      <c r="H930" s="1138">
        <f t="shared" si="202"/>
        <v>3.4805555555555534</v>
      </c>
      <c r="I930" s="1009"/>
      <c r="J930" s="1010" t="str">
        <f t="shared" si="203"/>
        <v/>
      </c>
      <c r="K930" s="1011"/>
      <c r="L930" s="1012"/>
      <c r="M930" s="1013"/>
      <c r="N930" s="1014" t="str">
        <f t="shared" si="204"/>
        <v/>
      </c>
      <c r="O930" s="1320"/>
      <c r="P930" s="1321"/>
      <c r="Q930" s="1321"/>
      <c r="R930" s="1321"/>
      <c r="S930" s="1321"/>
      <c r="T930" s="1322"/>
      <c r="U930" s="1015"/>
      <c r="V930" s="1015"/>
      <c r="W930" s="1015"/>
      <c r="X930" s="1015"/>
      <c r="Y930" s="1015"/>
      <c r="Z930" s="1016">
        <f>'09월 에너지'!S932</f>
        <v>0</v>
      </c>
      <c r="AA930" s="1017"/>
      <c r="AB930" s="1208"/>
      <c r="AC930" s="1208"/>
      <c r="AD930" s="1208"/>
      <c r="AE930" s="1208"/>
      <c r="AF930" s="1208"/>
      <c r="AG930" s="1018">
        <f>'09월 화학성분'!AM930</f>
        <v>0</v>
      </c>
      <c r="AH930" s="1006" t="str">
        <f t="shared" si="193"/>
        <v/>
      </c>
      <c r="AI930" s="1019"/>
      <c r="AJ930" s="1020"/>
      <c r="AK930" s="1021"/>
      <c r="AL930" s="1022"/>
      <c r="AM930" s="1155" t="str">
        <f>IF(AT930="","",3*'09월 에너지'!S932*(1/(3+7.8*(100-AT930)/AT930)))</f>
        <v/>
      </c>
      <c r="AN930" s="1023"/>
      <c r="AO930" s="1024"/>
      <c r="AP930" s="1025"/>
      <c r="AQ930" s="1025"/>
      <c r="AR930" s="1149" t="str">
        <f t="shared" si="194"/>
        <v/>
      </c>
      <c r="AS930" s="1093" t="str">
        <f t="shared" si="205"/>
        <v/>
      </c>
      <c r="AT930" s="1156"/>
      <c r="AU930" s="449"/>
      <c r="AV930" s="1205"/>
    </row>
    <row r="931" spans="1:48" ht="16.5" customHeight="1">
      <c r="A931" s="1005" t="str">
        <f t="shared" si="195"/>
        <v/>
      </c>
      <c r="B931" s="1005" t="str">
        <f t="shared" si="196"/>
        <v/>
      </c>
      <c r="C931" s="1150" t="str">
        <f t="shared" si="197"/>
        <v/>
      </c>
      <c r="D931" s="1150" t="str">
        <f t="shared" si="198"/>
        <v/>
      </c>
      <c r="E931" s="1006" t="str">
        <f t="shared" si="199"/>
        <v/>
      </c>
      <c r="F931" s="1007" t="str">
        <f t="shared" si="200"/>
        <v/>
      </c>
      <c r="G931" s="1008" t="str">
        <f t="shared" si="201"/>
        <v/>
      </c>
      <c r="H931" s="1138">
        <f t="shared" si="202"/>
        <v>3.5138888888888866</v>
      </c>
      <c r="I931" s="1009"/>
      <c r="J931" s="1010" t="str">
        <f t="shared" si="203"/>
        <v/>
      </c>
      <c r="K931" s="1011"/>
      <c r="L931" s="1012"/>
      <c r="M931" s="1013"/>
      <c r="N931" s="1014" t="str">
        <f t="shared" si="204"/>
        <v/>
      </c>
      <c r="O931" s="1320"/>
      <c r="P931" s="1321"/>
      <c r="Q931" s="1321"/>
      <c r="R931" s="1321"/>
      <c r="S931" s="1321"/>
      <c r="T931" s="1322"/>
      <c r="U931" s="1015"/>
      <c r="V931" s="1015"/>
      <c r="W931" s="1015"/>
      <c r="X931" s="1015"/>
      <c r="Y931" s="1015"/>
      <c r="Z931" s="1016">
        <f>'09월 에너지'!S933</f>
        <v>0</v>
      </c>
      <c r="AA931" s="1017"/>
      <c r="AB931" s="1208"/>
      <c r="AC931" s="1208"/>
      <c r="AD931" s="1208"/>
      <c r="AE931" s="1208"/>
      <c r="AF931" s="1208"/>
      <c r="AG931" s="1018">
        <f>'09월 화학성분'!AM931</f>
        <v>0</v>
      </c>
      <c r="AH931" s="1006" t="str">
        <f t="shared" si="193"/>
        <v/>
      </c>
      <c r="AI931" s="1019"/>
      <c r="AJ931" s="1020"/>
      <c r="AK931" s="1021"/>
      <c r="AL931" s="1022"/>
      <c r="AM931" s="1155" t="str">
        <f>IF(AT931="","",3*'09월 에너지'!S933*(1/(3+7.8*(100-AT931)/AT931)))</f>
        <v/>
      </c>
      <c r="AN931" s="1023"/>
      <c r="AO931" s="1024"/>
      <c r="AP931" s="1025"/>
      <c r="AQ931" s="1025"/>
      <c r="AR931" s="1149" t="str">
        <f t="shared" si="194"/>
        <v/>
      </c>
      <c r="AS931" s="1093" t="str">
        <f t="shared" si="205"/>
        <v/>
      </c>
      <c r="AT931" s="1156"/>
      <c r="AU931" s="449"/>
      <c r="AV931" s="1205"/>
    </row>
    <row r="932" spans="1:48" ht="16.5" customHeight="1">
      <c r="A932" s="1005" t="str">
        <f t="shared" si="195"/>
        <v/>
      </c>
      <c r="B932" s="1005" t="str">
        <f t="shared" si="196"/>
        <v/>
      </c>
      <c r="C932" s="1150" t="str">
        <f t="shared" si="197"/>
        <v/>
      </c>
      <c r="D932" s="1150" t="str">
        <f t="shared" si="198"/>
        <v/>
      </c>
      <c r="E932" s="1006" t="str">
        <f t="shared" si="199"/>
        <v/>
      </c>
      <c r="F932" s="1007" t="str">
        <f t="shared" si="200"/>
        <v/>
      </c>
      <c r="G932" s="1008" t="str">
        <f t="shared" si="201"/>
        <v/>
      </c>
      <c r="H932" s="1138">
        <f t="shared" si="202"/>
        <v>3.5472222222222198</v>
      </c>
      <c r="I932" s="1009"/>
      <c r="J932" s="1010" t="str">
        <f t="shared" si="203"/>
        <v/>
      </c>
      <c r="K932" s="1011"/>
      <c r="L932" s="1012"/>
      <c r="M932" s="1013"/>
      <c r="N932" s="1014" t="str">
        <f t="shared" si="204"/>
        <v/>
      </c>
      <c r="O932" s="1320"/>
      <c r="P932" s="1321"/>
      <c r="Q932" s="1321"/>
      <c r="R932" s="1321"/>
      <c r="S932" s="1321"/>
      <c r="T932" s="1322"/>
      <c r="U932" s="1015"/>
      <c r="V932" s="1015"/>
      <c r="W932" s="1015"/>
      <c r="X932" s="1015"/>
      <c r="Y932" s="1015"/>
      <c r="Z932" s="1016">
        <f>'09월 에너지'!S934</f>
        <v>0</v>
      </c>
      <c r="AA932" s="1017"/>
      <c r="AB932" s="1208"/>
      <c r="AC932" s="1208"/>
      <c r="AD932" s="1208"/>
      <c r="AE932" s="1208"/>
      <c r="AF932" s="1208"/>
      <c r="AG932" s="1018">
        <f>'09월 화학성분'!AM932</f>
        <v>0</v>
      </c>
      <c r="AH932" s="1006" t="str">
        <f t="shared" si="193"/>
        <v/>
      </c>
      <c r="AI932" s="1019"/>
      <c r="AJ932" s="1020"/>
      <c r="AK932" s="1021"/>
      <c r="AL932" s="1022"/>
      <c r="AM932" s="1155" t="str">
        <f>IF(AT932="","",3*'09월 에너지'!S934*(1/(3+7.8*(100-AT932)/AT932)))</f>
        <v/>
      </c>
      <c r="AN932" s="1023"/>
      <c r="AO932" s="1024"/>
      <c r="AP932" s="1025"/>
      <c r="AQ932" s="1025"/>
      <c r="AR932" s="1149" t="str">
        <f t="shared" si="194"/>
        <v/>
      </c>
      <c r="AS932" s="1093" t="str">
        <f t="shared" si="205"/>
        <v/>
      </c>
      <c r="AT932" s="1156"/>
      <c r="AU932" s="449"/>
      <c r="AV932" s="1205"/>
    </row>
    <row r="933" spans="1:48" ht="16.5" customHeight="1">
      <c r="A933" s="1005" t="str">
        <f t="shared" si="195"/>
        <v/>
      </c>
      <c r="B933" s="1005" t="str">
        <f t="shared" si="196"/>
        <v/>
      </c>
      <c r="C933" s="1150" t="str">
        <f t="shared" si="197"/>
        <v/>
      </c>
      <c r="D933" s="1150" t="str">
        <f t="shared" si="198"/>
        <v/>
      </c>
      <c r="E933" s="1006" t="str">
        <f t="shared" si="199"/>
        <v/>
      </c>
      <c r="F933" s="1007" t="str">
        <f t="shared" si="200"/>
        <v/>
      </c>
      <c r="G933" s="1008" t="str">
        <f t="shared" si="201"/>
        <v/>
      </c>
      <c r="H933" s="1138">
        <f t="shared" si="202"/>
        <v>3.580555555555553</v>
      </c>
      <c r="I933" s="1009"/>
      <c r="J933" s="1010" t="str">
        <f t="shared" si="203"/>
        <v/>
      </c>
      <c r="K933" s="1011"/>
      <c r="L933" s="1012"/>
      <c r="M933" s="1013"/>
      <c r="N933" s="1014" t="str">
        <f t="shared" si="204"/>
        <v/>
      </c>
      <c r="O933" s="1320"/>
      <c r="P933" s="1321"/>
      <c r="Q933" s="1321"/>
      <c r="R933" s="1321"/>
      <c r="S933" s="1321"/>
      <c r="T933" s="1322"/>
      <c r="U933" s="1015"/>
      <c r="V933" s="1015"/>
      <c r="W933" s="1015"/>
      <c r="X933" s="1015"/>
      <c r="Y933" s="1015"/>
      <c r="Z933" s="1016">
        <f>'09월 에너지'!S935</f>
        <v>0</v>
      </c>
      <c r="AA933" s="1017"/>
      <c r="AB933" s="1208"/>
      <c r="AC933" s="1208"/>
      <c r="AD933" s="1208"/>
      <c r="AE933" s="1208"/>
      <c r="AF933" s="1208"/>
      <c r="AG933" s="1018">
        <f>'09월 화학성분'!AM933</f>
        <v>0</v>
      </c>
      <c r="AH933" s="1006" t="str">
        <f t="shared" si="193"/>
        <v/>
      </c>
      <c r="AI933" s="1019"/>
      <c r="AJ933" s="1020"/>
      <c r="AK933" s="1021"/>
      <c r="AL933" s="1022"/>
      <c r="AM933" s="1155" t="str">
        <f>IF(AT933="","",3*'09월 에너지'!S935*(1/(3+7.8*(100-AT933)/AT933)))</f>
        <v/>
      </c>
      <c r="AN933" s="1023"/>
      <c r="AO933" s="1024"/>
      <c r="AP933" s="1025"/>
      <c r="AQ933" s="1025"/>
      <c r="AR933" s="1149" t="str">
        <f t="shared" si="194"/>
        <v/>
      </c>
      <c r="AS933" s="1093" t="str">
        <f t="shared" si="205"/>
        <v/>
      </c>
      <c r="AT933" s="1156"/>
      <c r="AU933" s="449"/>
      <c r="AV933" s="1205"/>
    </row>
    <row r="934" spans="1:48" ht="16.5" customHeight="1">
      <c r="A934" s="1005" t="str">
        <f t="shared" si="195"/>
        <v/>
      </c>
      <c r="B934" s="1005" t="str">
        <f t="shared" si="196"/>
        <v/>
      </c>
      <c r="C934" s="1150" t="str">
        <f t="shared" si="197"/>
        <v/>
      </c>
      <c r="D934" s="1150" t="str">
        <f t="shared" si="198"/>
        <v/>
      </c>
      <c r="E934" s="1006" t="str">
        <f t="shared" si="199"/>
        <v/>
      </c>
      <c r="F934" s="1007" t="str">
        <f t="shared" si="200"/>
        <v/>
      </c>
      <c r="G934" s="1008" t="str">
        <f t="shared" si="201"/>
        <v/>
      </c>
      <c r="H934" s="1138">
        <f t="shared" si="202"/>
        <v>3.6138888888888863</v>
      </c>
      <c r="I934" s="1009"/>
      <c r="J934" s="1010" t="str">
        <f t="shared" si="203"/>
        <v/>
      </c>
      <c r="K934" s="1011"/>
      <c r="L934" s="1012"/>
      <c r="M934" s="1013"/>
      <c r="N934" s="1014" t="str">
        <f t="shared" si="204"/>
        <v/>
      </c>
      <c r="O934" s="1320"/>
      <c r="P934" s="1321"/>
      <c r="Q934" s="1321"/>
      <c r="R934" s="1321"/>
      <c r="S934" s="1321"/>
      <c r="T934" s="1322"/>
      <c r="U934" s="1015"/>
      <c r="V934" s="1015"/>
      <c r="W934" s="1015"/>
      <c r="X934" s="1015"/>
      <c r="Y934" s="1015"/>
      <c r="Z934" s="1016">
        <f>'09월 에너지'!S936</f>
        <v>0</v>
      </c>
      <c r="AA934" s="1017"/>
      <c r="AB934" s="1208"/>
      <c r="AC934" s="1208"/>
      <c r="AD934" s="1208"/>
      <c r="AE934" s="1208"/>
      <c r="AF934" s="1208"/>
      <c r="AG934" s="1018">
        <f>'09월 화학성분'!AM934</f>
        <v>0</v>
      </c>
      <c r="AH934" s="1006" t="str">
        <f t="shared" si="193"/>
        <v/>
      </c>
      <c r="AI934" s="1019"/>
      <c r="AJ934" s="1020"/>
      <c r="AK934" s="1021"/>
      <c r="AL934" s="1022"/>
      <c r="AM934" s="1155" t="str">
        <f>IF(AT934="","",3*'09월 에너지'!S936*(1/(3+7.8*(100-AT934)/AT934)))</f>
        <v/>
      </c>
      <c r="AN934" s="1023"/>
      <c r="AO934" s="1024"/>
      <c r="AP934" s="1025"/>
      <c r="AQ934" s="1025"/>
      <c r="AR934" s="1149" t="str">
        <f t="shared" si="194"/>
        <v/>
      </c>
      <c r="AS934" s="1093" t="str">
        <f t="shared" si="205"/>
        <v/>
      </c>
      <c r="AT934" s="1156"/>
      <c r="AU934" s="449"/>
      <c r="AV934" s="1205"/>
    </row>
    <row r="935" spans="1:48" ht="16.5" customHeight="1">
      <c r="A935" s="1005" t="str">
        <f t="shared" si="195"/>
        <v/>
      </c>
      <c r="B935" s="1005" t="str">
        <f t="shared" si="196"/>
        <v/>
      </c>
      <c r="C935" s="1150" t="str">
        <f t="shared" si="197"/>
        <v/>
      </c>
      <c r="D935" s="1150" t="str">
        <f t="shared" si="198"/>
        <v/>
      </c>
      <c r="E935" s="1006" t="str">
        <f t="shared" si="199"/>
        <v/>
      </c>
      <c r="F935" s="1007" t="str">
        <f t="shared" si="200"/>
        <v/>
      </c>
      <c r="G935" s="1008" t="str">
        <f t="shared" si="201"/>
        <v/>
      </c>
      <c r="H935" s="1138">
        <f t="shared" si="202"/>
        <v>3.6472222222222195</v>
      </c>
      <c r="I935" s="1009"/>
      <c r="J935" s="1010" t="str">
        <f t="shared" si="203"/>
        <v/>
      </c>
      <c r="K935" s="1011"/>
      <c r="L935" s="1012"/>
      <c r="M935" s="1013"/>
      <c r="N935" s="1014" t="str">
        <f t="shared" si="204"/>
        <v/>
      </c>
      <c r="O935" s="1320"/>
      <c r="P935" s="1321"/>
      <c r="Q935" s="1321"/>
      <c r="R935" s="1321"/>
      <c r="S935" s="1321"/>
      <c r="T935" s="1322"/>
      <c r="U935" s="1015"/>
      <c r="V935" s="1015"/>
      <c r="W935" s="1015"/>
      <c r="X935" s="1015"/>
      <c r="Y935" s="1015"/>
      <c r="Z935" s="1016">
        <f>'09월 에너지'!S937</f>
        <v>0</v>
      </c>
      <c r="AA935" s="1017"/>
      <c r="AB935" s="1208"/>
      <c r="AC935" s="1208"/>
      <c r="AD935" s="1208"/>
      <c r="AE935" s="1208"/>
      <c r="AF935" s="1208"/>
      <c r="AG935" s="1018">
        <f>'09월 화학성분'!AM935</f>
        <v>0</v>
      </c>
      <c r="AH935" s="1006" t="str">
        <f t="shared" si="193"/>
        <v/>
      </c>
      <c r="AI935" s="1019"/>
      <c r="AJ935" s="1020"/>
      <c r="AK935" s="1021"/>
      <c r="AL935" s="1022"/>
      <c r="AM935" s="1155" t="str">
        <f>IF(AT935="","",3*'09월 에너지'!S937*(1/(3+7.8*(100-AT935)/AT935)))</f>
        <v/>
      </c>
      <c r="AN935" s="1023"/>
      <c r="AO935" s="1024"/>
      <c r="AP935" s="1025"/>
      <c r="AQ935" s="1025"/>
      <c r="AR935" s="1149" t="str">
        <f t="shared" si="194"/>
        <v/>
      </c>
      <c r="AS935" s="1093" t="str">
        <f t="shared" si="205"/>
        <v/>
      </c>
      <c r="AT935" s="1156"/>
      <c r="AU935" s="449"/>
      <c r="AV935" s="1205"/>
    </row>
    <row r="936" spans="1:48" ht="16.5" customHeight="1">
      <c r="A936" s="1005" t="str">
        <f t="shared" si="195"/>
        <v/>
      </c>
      <c r="B936" s="1005" t="str">
        <f t="shared" si="196"/>
        <v/>
      </c>
      <c r="C936" s="1150" t="str">
        <f t="shared" si="197"/>
        <v/>
      </c>
      <c r="D936" s="1150" t="str">
        <f t="shared" si="198"/>
        <v/>
      </c>
      <c r="E936" s="1006" t="str">
        <f t="shared" si="199"/>
        <v/>
      </c>
      <c r="F936" s="1007" t="str">
        <f t="shared" si="200"/>
        <v/>
      </c>
      <c r="G936" s="1008" t="str">
        <f t="shared" si="201"/>
        <v/>
      </c>
      <c r="H936" s="1138">
        <f t="shared" si="202"/>
        <v>3.6805555555555527</v>
      </c>
      <c r="I936" s="1009"/>
      <c r="J936" s="1010" t="str">
        <f t="shared" si="203"/>
        <v/>
      </c>
      <c r="K936" s="1011"/>
      <c r="L936" s="1012"/>
      <c r="M936" s="1013"/>
      <c r="N936" s="1014" t="str">
        <f t="shared" si="204"/>
        <v/>
      </c>
      <c r="O936" s="1320"/>
      <c r="P936" s="1321"/>
      <c r="Q936" s="1321"/>
      <c r="R936" s="1321"/>
      <c r="S936" s="1321"/>
      <c r="T936" s="1322"/>
      <c r="U936" s="1015"/>
      <c r="V936" s="1015"/>
      <c r="W936" s="1015"/>
      <c r="X936" s="1015"/>
      <c r="Y936" s="1015"/>
      <c r="Z936" s="1016">
        <f>'09월 에너지'!S938</f>
        <v>0</v>
      </c>
      <c r="AA936" s="1017"/>
      <c r="AB936" s="1208"/>
      <c r="AC936" s="1208"/>
      <c r="AD936" s="1208"/>
      <c r="AE936" s="1208"/>
      <c r="AF936" s="1208"/>
      <c r="AG936" s="1018">
        <f>'09월 화학성분'!AM936</f>
        <v>0</v>
      </c>
      <c r="AH936" s="1006" t="str">
        <f t="shared" si="193"/>
        <v/>
      </c>
      <c r="AI936" s="1019"/>
      <c r="AJ936" s="1020"/>
      <c r="AK936" s="1021"/>
      <c r="AL936" s="1022"/>
      <c r="AM936" s="1155" t="str">
        <f>IF(AT936="","",3*'09월 에너지'!S938*(1/(3+7.8*(100-AT936)/AT936)))</f>
        <v/>
      </c>
      <c r="AN936" s="1023"/>
      <c r="AO936" s="1024"/>
      <c r="AP936" s="1025"/>
      <c r="AQ936" s="1025"/>
      <c r="AR936" s="1149" t="str">
        <f t="shared" si="194"/>
        <v/>
      </c>
      <c r="AS936" s="1093" t="str">
        <f t="shared" si="205"/>
        <v/>
      </c>
      <c r="AT936" s="1156"/>
      <c r="AU936" s="449"/>
      <c r="AV936" s="1205"/>
    </row>
    <row r="937" spans="1:48" ht="16.5" customHeight="1">
      <c r="A937" s="1005" t="str">
        <f t="shared" si="195"/>
        <v/>
      </c>
      <c r="B937" s="1005" t="str">
        <f t="shared" si="196"/>
        <v/>
      </c>
      <c r="C937" s="1150" t="str">
        <f t="shared" si="197"/>
        <v/>
      </c>
      <c r="D937" s="1150" t="str">
        <f t="shared" si="198"/>
        <v/>
      </c>
      <c r="E937" s="1006" t="str">
        <f t="shared" si="199"/>
        <v/>
      </c>
      <c r="F937" s="1007" t="str">
        <f t="shared" si="200"/>
        <v/>
      </c>
      <c r="G937" s="1008" t="str">
        <f t="shared" si="201"/>
        <v/>
      </c>
      <c r="H937" s="1138">
        <f t="shared" si="202"/>
        <v>3.7138888888888859</v>
      </c>
      <c r="I937" s="1009"/>
      <c r="J937" s="1010" t="str">
        <f t="shared" si="203"/>
        <v/>
      </c>
      <c r="K937" s="1011"/>
      <c r="L937" s="1012"/>
      <c r="M937" s="1013"/>
      <c r="N937" s="1014" t="str">
        <f t="shared" si="204"/>
        <v/>
      </c>
      <c r="O937" s="1320"/>
      <c r="P937" s="1321"/>
      <c r="Q937" s="1321"/>
      <c r="R937" s="1321"/>
      <c r="S937" s="1321"/>
      <c r="T937" s="1322"/>
      <c r="U937" s="1015"/>
      <c r="V937" s="1015"/>
      <c r="W937" s="1015"/>
      <c r="X937" s="1015"/>
      <c r="Y937" s="1015"/>
      <c r="Z937" s="1016">
        <f>'09월 에너지'!S939</f>
        <v>0</v>
      </c>
      <c r="AA937" s="1017"/>
      <c r="AB937" s="1208"/>
      <c r="AC937" s="1208"/>
      <c r="AD937" s="1208"/>
      <c r="AE937" s="1208"/>
      <c r="AF937" s="1208"/>
      <c r="AG937" s="1018">
        <f>'09월 화학성분'!AM937</f>
        <v>0</v>
      </c>
      <c r="AH937" s="1006" t="str">
        <f t="shared" si="193"/>
        <v/>
      </c>
      <c r="AI937" s="1019"/>
      <c r="AJ937" s="1020"/>
      <c r="AK937" s="1021"/>
      <c r="AL937" s="1022"/>
      <c r="AM937" s="1155" t="str">
        <f>IF(AT937="","",3*'09월 에너지'!S939*(1/(3+7.8*(100-AT937)/AT937)))</f>
        <v/>
      </c>
      <c r="AN937" s="1023"/>
      <c r="AO937" s="1024"/>
      <c r="AP937" s="1025"/>
      <c r="AQ937" s="1025"/>
      <c r="AR937" s="1149" t="str">
        <f t="shared" si="194"/>
        <v/>
      </c>
      <c r="AS937" s="1093" t="str">
        <f t="shared" si="205"/>
        <v/>
      </c>
      <c r="AT937" s="1156"/>
      <c r="AU937" s="449"/>
      <c r="AV937" s="1205"/>
    </row>
    <row r="938" spans="1:48" ht="16.5" customHeight="1">
      <c r="A938" s="1005" t="str">
        <f t="shared" si="195"/>
        <v/>
      </c>
      <c r="B938" s="1005" t="str">
        <f t="shared" si="196"/>
        <v/>
      </c>
      <c r="C938" s="1150" t="str">
        <f t="shared" si="197"/>
        <v/>
      </c>
      <c r="D938" s="1150" t="str">
        <f t="shared" si="198"/>
        <v/>
      </c>
      <c r="E938" s="1006" t="str">
        <f t="shared" si="199"/>
        <v/>
      </c>
      <c r="F938" s="1007" t="str">
        <f t="shared" si="200"/>
        <v/>
      </c>
      <c r="G938" s="1008" t="str">
        <f t="shared" si="201"/>
        <v/>
      </c>
      <c r="H938" s="1138">
        <f t="shared" si="202"/>
        <v>3.7472222222222191</v>
      </c>
      <c r="I938" s="1009"/>
      <c r="J938" s="1010" t="str">
        <f t="shared" si="203"/>
        <v/>
      </c>
      <c r="K938" s="1011"/>
      <c r="L938" s="1012"/>
      <c r="M938" s="1013"/>
      <c r="N938" s="1014" t="str">
        <f t="shared" si="204"/>
        <v/>
      </c>
      <c r="O938" s="1320"/>
      <c r="P938" s="1321"/>
      <c r="Q938" s="1321"/>
      <c r="R938" s="1321"/>
      <c r="S938" s="1321"/>
      <c r="T938" s="1322"/>
      <c r="U938" s="1015"/>
      <c r="V938" s="1015"/>
      <c r="W938" s="1015"/>
      <c r="X938" s="1015"/>
      <c r="Y938" s="1015"/>
      <c r="Z938" s="1016">
        <f>'09월 에너지'!S940</f>
        <v>0</v>
      </c>
      <c r="AA938" s="1017"/>
      <c r="AB938" s="1208"/>
      <c r="AC938" s="1208"/>
      <c r="AD938" s="1208"/>
      <c r="AE938" s="1208"/>
      <c r="AF938" s="1208"/>
      <c r="AG938" s="1018">
        <f>'09월 화학성분'!AM938</f>
        <v>0</v>
      </c>
      <c r="AH938" s="1006" t="str">
        <f t="shared" si="193"/>
        <v/>
      </c>
      <c r="AI938" s="1019"/>
      <c r="AJ938" s="1020"/>
      <c r="AK938" s="1021"/>
      <c r="AL938" s="1022"/>
      <c r="AM938" s="1155" t="str">
        <f>IF(AT938="","",3*'09월 에너지'!S940*(1/(3+7.8*(100-AT938)/AT938)))</f>
        <v/>
      </c>
      <c r="AN938" s="1023"/>
      <c r="AO938" s="1024"/>
      <c r="AP938" s="1025"/>
      <c r="AQ938" s="1025"/>
      <c r="AR938" s="1149" t="str">
        <f t="shared" si="194"/>
        <v/>
      </c>
      <c r="AS938" s="1093" t="str">
        <f t="shared" si="205"/>
        <v/>
      </c>
      <c r="AT938" s="1156"/>
      <c r="AU938" s="449"/>
      <c r="AV938" s="1205"/>
    </row>
    <row r="939" spans="1:48" ht="16.5" customHeight="1">
      <c r="A939" s="1005" t="str">
        <f t="shared" si="195"/>
        <v/>
      </c>
      <c r="B939" s="1005" t="str">
        <f t="shared" si="196"/>
        <v/>
      </c>
      <c r="C939" s="1150" t="str">
        <f t="shared" si="197"/>
        <v/>
      </c>
      <c r="D939" s="1150" t="str">
        <f t="shared" si="198"/>
        <v/>
      </c>
      <c r="E939" s="1006" t="str">
        <f t="shared" si="199"/>
        <v/>
      </c>
      <c r="F939" s="1007" t="str">
        <f t="shared" si="200"/>
        <v/>
      </c>
      <c r="G939" s="1008" t="str">
        <f t="shared" si="201"/>
        <v/>
      </c>
      <c r="H939" s="1138">
        <f t="shared" si="202"/>
        <v>3.7805555555555523</v>
      </c>
      <c r="I939" s="1009"/>
      <c r="J939" s="1010" t="str">
        <f t="shared" si="203"/>
        <v/>
      </c>
      <c r="K939" s="1011"/>
      <c r="L939" s="1012"/>
      <c r="M939" s="1013"/>
      <c r="N939" s="1014" t="str">
        <f t="shared" si="204"/>
        <v/>
      </c>
      <c r="O939" s="1320"/>
      <c r="P939" s="1321"/>
      <c r="Q939" s="1321"/>
      <c r="R939" s="1321"/>
      <c r="S939" s="1321"/>
      <c r="T939" s="1322"/>
      <c r="U939" s="1015"/>
      <c r="V939" s="1015"/>
      <c r="W939" s="1015"/>
      <c r="X939" s="1015"/>
      <c r="Y939" s="1015"/>
      <c r="Z939" s="1016">
        <f>'09월 에너지'!S941</f>
        <v>0</v>
      </c>
      <c r="AA939" s="1017"/>
      <c r="AB939" s="1208"/>
      <c r="AC939" s="1208"/>
      <c r="AD939" s="1208"/>
      <c r="AE939" s="1208"/>
      <c r="AF939" s="1208"/>
      <c r="AG939" s="1018">
        <f>'09월 화학성분'!AM939</f>
        <v>0</v>
      </c>
      <c r="AH939" s="1006" t="str">
        <f t="shared" si="193"/>
        <v/>
      </c>
      <c r="AI939" s="1019"/>
      <c r="AJ939" s="1020"/>
      <c r="AK939" s="1021"/>
      <c r="AL939" s="1022"/>
      <c r="AM939" s="1155" t="str">
        <f>IF(AT939="","",3*'09월 에너지'!S941*(1/(3+7.8*(100-AT939)/AT939)))</f>
        <v/>
      </c>
      <c r="AN939" s="1023"/>
      <c r="AO939" s="1024"/>
      <c r="AP939" s="1025"/>
      <c r="AQ939" s="1025"/>
      <c r="AR939" s="1149" t="str">
        <f t="shared" si="194"/>
        <v/>
      </c>
      <c r="AS939" s="1093" t="str">
        <f t="shared" si="205"/>
        <v/>
      </c>
      <c r="AT939" s="1156"/>
      <c r="AU939" s="449"/>
      <c r="AV939" s="1205"/>
    </row>
    <row r="940" spans="1:48" ht="16.5" customHeight="1">
      <c r="A940" s="1005" t="str">
        <f t="shared" si="195"/>
        <v/>
      </c>
      <c r="B940" s="1005" t="str">
        <f t="shared" si="196"/>
        <v/>
      </c>
      <c r="C940" s="1150" t="str">
        <f t="shared" si="197"/>
        <v/>
      </c>
      <c r="D940" s="1150" t="str">
        <f t="shared" si="198"/>
        <v/>
      </c>
      <c r="E940" s="1006" t="str">
        <f t="shared" si="199"/>
        <v/>
      </c>
      <c r="F940" s="1007" t="str">
        <f t="shared" si="200"/>
        <v/>
      </c>
      <c r="G940" s="1008" t="str">
        <f t="shared" si="201"/>
        <v/>
      </c>
      <c r="H940" s="1138">
        <f t="shared" si="202"/>
        <v>3.8138888888888856</v>
      </c>
      <c r="I940" s="1009"/>
      <c r="J940" s="1010" t="str">
        <f t="shared" si="203"/>
        <v/>
      </c>
      <c r="K940" s="1011"/>
      <c r="L940" s="1012"/>
      <c r="M940" s="1013"/>
      <c r="N940" s="1014" t="str">
        <f t="shared" si="204"/>
        <v/>
      </c>
      <c r="O940" s="1320"/>
      <c r="P940" s="1321"/>
      <c r="Q940" s="1321"/>
      <c r="R940" s="1321"/>
      <c r="S940" s="1321"/>
      <c r="T940" s="1322"/>
      <c r="U940" s="1015"/>
      <c r="V940" s="1015"/>
      <c r="W940" s="1015"/>
      <c r="X940" s="1015"/>
      <c r="Y940" s="1015"/>
      <c r="Z940" s="1016">
        <f>'09월 에너지'!S942</f>
        <v>0</v>
      </c>
      <c r="AA940" s="1017"/>
      <c r="AB940" s="1208"/>
      <c r="AC940" s="1208"/>
      <c r="AD940" s="1208"/>
      <c r="AE940" s="1208"/>
      <c r="AF940" s="1208"/>
      <c r="AG940" s="1018">
        <f>'09월 화학성분'!AM940</f>
        <v>0</v>
      </c>
      <c r="AH940" s="1006" t="str">
        <f t="shared" si="193"/>
        <v/>
      </c>
      <c r="AI940" s="1019"/>
      <c r="AJ940" s="1020"/>
      <c r="AK940" s="1021"/>
      <c r="AL940" s="1022"/>
      <c r="AM940" s="1155" t="str">
        <f>IF(AT940="","",3*'09월 에너지'!S942*(1/(3+7.8*(100-AT940)/AT940)))</f>
        <v/>
      </c>
      <c r="AN940" s="1023"/>
      <c r="AO940" s="1024"/>
      <c r="AP940" s="1025"/>
      <c r="AQ940" s="1025"/>
      <c r="AR940" s="1149" t="str">
        <f t="shared" si="194"/>
        <v/>
      </c>
      <c r="AS940" s="1093" t="str">
        <f t="shared" si="205"/>
        <v/>
      </c>
      <c r="AT940" s="1156"/>
      <c r="AU940" s="449"/>
      <c r="AV940" s="1205"/>
    </row>
    <row r="941" spans="1:48" ht="16.5" customHeight="1">
      <c r="A941" s="1005" t="str">
        <f t="shared" si="195"/>
        <v/>
      </c>
      <c r="B941" s="1005" t="str">
        <f t="shared" si="196"/>
        <v/>
      </c>
      <c r="C941" s="1150" t="str">
        <f t="shared" si="197"/>
        <v/>
      </c>
      <c r="D941" s="1150" t="str">
        <f t="shared" si="198"/>
        <v/>
      </c>
      <c r="E941" s="1006" t="str">
        <f t="shared" si="199"/>
        <v/>
      </c>
      <c r="F941" s="1007" t="str">
        <f t="shared" si="200"/>
        <v/>
      </c>
      <c r="G941" s="1008" t="str">
        <f t="shared" si="201"/>
        <v/>
      </c>
      <c r="H941" s="1138">
        <f t="shared" si="202"/>
        <v>3.8472222222222188</v>
      </c>
      <c r="I941" s="1009"/>
      <c r="J941" s="1010" t="str">
        <f t="shared" si="203"/>
        <v/>
      </c>
      <c r="K941" s="1011"/>
      <c r="L941" s="1012"/>
      <c r="M941" s="1013"/>
      <c r="N941" s="1014" t="str">
        <f t="shared" si="204"/>
        <v/>
      </c>
      <c r="O941" s="1320"/>
      <c r="P941" s="1321"/>
      <c r="Q941" s="1321"/>
      <c r="R941" s="1321"/>
      <c r="S941" s="1321"/>
      <c r="T941" s="1322"/>
      <c r="U941" s="1015"/>
      <c r="V941" s="1015"/>
      <c r="W941" s="1015"/>
      <c r="X941" s="1015"/>
      <c r="Y941" s="1015"/>
      <c r="Z941" s="1016">
        <f>'09월 에너지'!S943</f>
        <v>0</v>
      </c>
      <c r="AA941" s="1017"/>
      <c r="AB941" s="1208"/>
      <c r="AC941" s="1208"/>
      <c r="AD941" s="1208"/>
      <c r="AE941" s="1208"/>
      <c r="AF941" s="1208"/>
      <c r="AG941" s="1018">
        <f>'09월 화학성분'!AM941</f>
        <v>0</v>
      </c>
      <c r="AH941" s="1006" t="str">
        <f t="shared" si="193"/>
        <v/>
      </c>
      <c r="AI941" s="1019"/>
      <c r="AJ941" s="1020"/>
      <c r="AK941" s="1021"/>
      <c r="AL941" s="1022"/>
      <c r="AM941" s="1155" t="str">
        <f>IF(AT941="","",3*'09월 에너지'!S943*(1/(3+7.8*(100-AT941)/AT941)))</f>
        <v/>
      </c>
      <c r="AN941" s="1023"/>
      <c r="AO941" s="1024"/>
      <c r="AP941" s="1025"/>
      <c r="AQ941" s="1025"/>
      <c r="AR941" s="1149" t="str">
        <f t="shared" si="194"/>
        <v/>
      </c>
      <c r="AS941" s="1093" t="str">
        <f t="shared" si="205"/>
        <v/>
      </c>
      <c r="AT941" s="1156"/>
      <c r="AU941" s="449"/>
      <c r="AV941" s="1205"/>
    </row>
    <row r="942" spans="1:48" ht="16.5" customHeight="1">
      <c r="A942" s="1005" t="str">
        <f t="shared" si="195"/>
        <v/>
      </c>
      <c r="B942" s="1005" t="str">
        <f t="shared" si="196"/>
        <v/>
      </c>
      <c r="C942" s="1150" t="str">
        <f t="shared" si="197"/>
        <v/>
      </c>
      <c r="D942" s="1150" t="str">
        <f t="shared" si="198"/>
        <v/>
      </c>
      <c r="E942" s="1006" t="str">
        <f t="shared" si="199"/>
        <v/>
      </c>
      <c r="F942" s="1007" t="str">
        <f t="shared" si="200"/>
        <v/>
      </c>
      <c r="G942" s="1008" t="str">
        <f t="shared" si="201"/>
        <v/>
      </c>
      <c r="H942" s="1138">
        <f t="shared" si="202"/>
        <v>3.880555555555552</v>
      </c>
      <c r="I942" s="1009"/>
      <c r="J942" s="1010" t="str">
        <f t="shared" si="203"/>
        <v/>
      </c>
      <c r="K942" s="1011"/>
      <c r="L942" s="1012"/>
      <c r="M942" s="1013"/>
      <c r="N942" s="1014" t="str">
        <f t="shared" si="204"/>
        <v/>
      </c>
      <c r="O942" s="1320"/>
      <c r="P942" s="1321"/>
      <c r="Q942" s="1321"/>
      <c r="R942" s="1321"/>
      <c r="S942" s="1321"/>
      <c r="T942" s="1322"/>
      <c r="U942" s="1015"/>
      <c r="V942" s="1015"/>
      <c r="W942" s="1015"/>
      <c r="X942" s="1015"/>
      <c r="Y942" s="1015"/>
      <c r="Z942" s="1016">
        <f>'09월 에너지'!S944</f>
        <v>0</v>
      </c>
      <c r="AA942" s="1017"/>
      <c r="AB942" s="1208"/>
      <c r="AC942" s="1208"/>
      <c r="AD942" s="1208"/>
      <c r="AE942" s="1208"/>
      <c r="AF942" s="1208"/>
      <c r="AG942" s="1018">
        <f>'09월 화학성분'!AM942</f>
        <v>0</v>
      </c>
      <c r="AH942" s="1006" t="str">
        <f t="shared" si="193"/>
        <v/>
      </c>
      <c r="AI942" s="1019"/>
      <c r="AJ942" s="1020"/>
      <c r="AK942" s="1021"/>
      <c r="AL942" s="1022"/>
      <c r="AM942" s="1155" t="str">
        <f>IF(AT942="","",3*'09월 에너지'!S944*(1/(3+7.8*(100-AT942)/AT942)))</f>
        <v/>
      </c>
      <c r="AN942" s="1023"/>
      <c r="AO942" s="1024"/>
      <c r="AP942" s="1025"/>
      <c r="AQ942" s="1025"/>
      <c r="AR942" s="1149" t="str">
        <f t="shared" si="194"/>
        <v/>
      </c>
      <c r="AS942" s="1093" t="str">
        <f t="shared" si="205"/>
        <v/>
      </c>
      <c r="AT942" s="1156"/>
      <c r="AU942" s="449"/>
      <c r="AV942" s="1205"/>
    </row>
    <row r="943" spans="1:48" ht="16.5" customHeight="1">
      <c r="A943" s="1005" t="str">
        <f t="shared" si="195"/>
        <v/>
      </c>
      <c r="B943" s="1005" t="str">
        <f t="shared" si="196"/>
        <v/>
      </c>
      <c r="C943" s="1150" t="str">
        <f t="shared" si="197"/>
        <v/>
      </c>
      <c r="D943" s="1150" t="str">
        <f t="shared" si="198"/>
        <v/>
      </c>
      <c r="E943" s="1006" t="str">
        <f t="shared" si="199"/>
        <v/>
      </c>
      <c r="F943" s="1007" t="str">
        <f t="shared" si="200"/>
        <v/>
      </c>
      <c r="G943" s="1008" t="str">
        <f t="shared" si="201"/>
        <v/>
      </c>
      <c r="H943" s="1138">
        <f t="shared" si="202"/>
        <v>3.9138888888888852</v>
      </c>
      <c r="I943" s="1009"/>
      <c r="J943" s="1010" t="str">
        <f t="shared" si="203"/>
        <v/>
      </c>
      <c r="K943" s="1011"/>
      <c r="L943" s="1012"/>
      <c r="M943" s="1013"/>
      <c r="N943" s="1014" t="str">
        <f t="shared" si="204"/>
        <v/>
      </c>
      <c r="O943" s="1320"/>
      <c r="P943" s="1321"/>
      <c r="Q943" s="1321"/>
      <c r="R943" s="1321"/>
      <c r="S943" s="1321"/>
      <c r="T943" s="1322"/>
      <c r="U943" s="1015"/>
      <c r="V943" s="1015"/>
      <c r="W943" s="1015"/>
      <c r="X943" s="1015"/>
      <c r="Y943" s="1015"/>
      <c r="Z943" s="1016">
        <f>'09월 에너지'!S945</f>
        <v>0</v>
      </c>
      <c r="AA943" s="1017"/>
      <c r="AB943" s="1208"/>
      <c r="AC943" s="1208"/>
      <c r="AD943" s="1208"/>
      <c r="AE943" s="1208"/>
      <c r="AF943" s="1208"/>
      <c r="AG943" s="1018">
        <f>'09월 화학성분'!AM943</f>
        <v>0</v>
      </c>
      <c r="AH943" s="1006" t="str">
        <f t="shared" si="193"/>
        <v/>
      </c>
      <c r="AI943" s="1019"/>
      <c r="AJ943" s="1020"/>
      <c r="AK943" s="1021"/>
      <c r="AL943" s="1022"/>
      <c r="AM943" s="1155" t="str">
        <f>IF(AT943="","",3*'09월 에너지'!S945*(1/(3+7.8*(100-AT943)/AT943)))</f>
        <v/>
      </c>
      <c r="AN943" s="1023"/>
      <c r="AO943" s="1024"/>
      <c r="AP943" s="1025"/>
      <c r="AQ943" s="1025"/>
      <c r="AR943" s="1149" t="str">
        <f t="shared" si="194"/>
        <v/>
      </c>
      <c r="AS943" s="1093" t="str">
        <f t="shared" si="205"/>
        <v/>
      </c>
      <c r="AT943" s="1156"/>
      <c r="AU943" s="449"/>
      <c r="AV943" s="1205"/>
    </row>
    <row r="944" spans="1:48" ht="16.5" customHeight="1">
      <c r="A944" s="1005" t="str">
        <f t="shared" si="195"/>
        <v/>
      </c>
      <c r="B944" s="1005" t="str">
        <f t="shared" si="196"/>
        <v/>
      </c>
      <c r="C944" s="1150" t="str">
        <f t="shared" si="197"/>
        <v/>
      </c>
      <c r="D944" s="1150" t="str">
        <f t="shared" si="198"/>
        <v/>
      </c>
      <c r="E944" s="1006" t="str">
        <f t="shared" si="199"/>
        <v/>
      </c>
      <c r="F944" s="1007" t="str">
        <f t="shared" si="200"/>
        <v/>
      </c>
      <c r="G944" s="1008" t="str">
        <f t="shared" si="201"/>
        <v/>
      </c>
      <c r="H944" s="1138">
        <f t="shared" si="202"/>
        <v>3.9472222222222184</v>
      </c>
      <c r="I944" s="1009"/>
      <c r="J944" s="1010" t="str">
        <f t="shared" si="203"/>
        <v/>
      </c>
      <c r="K944" s="1011"/>
      <c r="L944" s="1012"/>
      <c r="M944" s="1013"/>
      <c r="N944" s="1014" t="str">
        <f t="shared" si="204"/>
        <v/>
      </c>
      <c r="O944" s="1320"/>
      <c r="P944" s="1321"/>
      <c r="Q944" s="1321"/>
      <c r="R944" s="1321"/>
      <c r="S944" s="1321"/>
      <c r="T944" s="1322"/>
      <c r="U944" s="1015"/>
      <c r="V944" s="1015"/>
      <c r="W944" s="1015"/>
      <c r="X944" s="1015"/>
      <c r="Y944" s="1015"/>
      <c r="Z944" s="1016">
        <f>'09월 에너지'!S946</f>
        <v>0</v>
      </c>
      <c r="AA944" s="1017"/>
      <c r="AB944" s="1208"/>
      <c r="AC944" s="1208"/>
      <c r="AD944" s="1208"/>
      <c r="AE944" s="1208"/>
      <c r="AF944" s="1208"/>
      <c r="AG944" s="1018">
        <f>'09월 화학성분'!AM944</f>
        <v>0</v>
      </c>
      <c r="AH944" s="1006" t="str">
        <f t="shared" si="193"/>
        <v/>
      </c>
      <c r="AI944" s="1019"/>
      <c r="AJ944" s="1020"/>
      <c r="AK944" s="1021"/>
      <c r="AL944" s="1022"/>
      <c r="AM944" s="1155" t="str">
        <f>IF(AT944="","",3*'09월 에너지'!S946*(1/(3+7.8*(100-AT944)/AT944)))</f>
        <v/>
      </c>
      <c r="AN944" s="1023"/>
      <c r="AO944" s="1024"/>
      <c r="AP944" s="1025"/>
      <c r="AQ944" s="1025"/>
      <c r="AR944" s="1149" t="str">
        <f t="shared" si="194"/>
        <v/>
      </c>
      <c r="AS944" s="1093" t="str">
        <f t="shared" si="205"/>
        <v/>
      </c>
      <c r="AT944" s="1156"/>
      <c r="AU944" s="449"/>
      <c r="AV944" s="1205"/>
    </row>
    <row r="945" spans="1:48" ht="16.5" customHeight="1">
      <c r="A945" s="1005" t="str">
        <f t="shared" si="195"/>
        <v/>
      </c>
      <c r="B945" s="1005" t="str">
        <f t="shared" si="196"/>
        <v/>
      </c>
      <c r="C945" s="1150" t="str">
        <f t="shared" si="197"/>
        <v/>
      </c>
      <c r="D945" s="1150" t="str">
        <f t="shared" si="198"/>
        <v/>
      </c>
      <c r="E945" s="1006" t="str">
        <f t="shared" si="199"/>
        <v/>
      </c>
      <c r="F945" s="1007" t="str">
        <f t="shared" si="200"/>
        <v/>
      </c>
      <c r="G945" s="1008" t="str">
        <f t="shared" si="201"/>
        <v/>
      </c>
      <c r="H945" s="1138">
        <f t="shared" si="202"/>
        <v>3.9805555555555516</v>
      </c>
      <c r="I945" s="1009"/>
      <c r="J945" s="1010" t="str">
        <f t="shared" si="203"/>
        <v/>
      </c>
      <c r="K945" s="1011"/>
      <c r="L945" s="1012"/>
      <c r="M945" s="1013"/>
      <c r="N945" s="1014" t="str">
        <f t="shared" si="204"/>
        <v/>
      </c>
      <c r="O945" s="1320"/>
      <c r="P945" s="1321"/>
      <c r="Q945" s="1321"/>
      <c r="R945" s="1321"/>
      <c r="S945" s="1321"/>
      <c r="T945" s="1322"/>
      <c r="U945" s="1015"/>
      <c r="V945" s="1015"/>
      <c r="W945" s="1015"/>
      <c r="X945" s="1015"/>
      <c r="Y945" s="1015"/>
      <c r="Z945" s="1016">
        <f>'09월 에너지'!S947</f>
        <v>0</v>
      </c>
      <c r="AA945" s="1017"/>
      <c r="AB945" s="1208"/>
      <c r="AC945" s="1208"/>
      <c r="AD945" s="1208"/>
      <c r="AE945" s="1208"/>
      <c r="AF945" s="1208"/>
      <c r="AG945" s="1018">
        <f>'09월 화학성분'!AM945</f>
        <v>0</v>
      </c>
      <c r="AH945" s="1006" t="str">
        <f t="shared" si="193"/>
        <v/>
      </c>
      <c r="AI945" s="1019"/>
      <c r="AJ945" s="1020"/>
      <c r="AK945" s="1021"/>
      <c r="AL945" s="1022"/>
      <c r="AM945" s="1155" t="str">
        <f>IF(AT945="","",3*'09월 에너지'!S947*(1/(3+7.8*(100-AT945)/AT945)))</f>
        <v/>
      </c>
      <c r="AN945" s="1023"/>
      <c r="AO945" s="1024"/>
      <c r="AP945" s="1025"/>
      <c r="AQ945" s="1025"/>
      <c r="AR945" s="1149" t="str">
        <f t="shared" si="194"/>
        <v/>
      </c>
      <c r="AS945" s="1093" t="str">
        <f t="shared" si="205"/>
        <v/>
      </c>
      <c r="AT945" s="1156"/>
      <c r="AU945" s="449"/>
      <c r="AV945" s="1205"/>
    </row>
    <row r="946" spans="1:48" ht="16.5" customHeight="1">
      <c r="A946" s="1005" t="str">
        <f t="shared" si="195"/>
        <v/>
      </c>
      <c r="B946" s="1005" t="str">
        <f t="shared" si="196"/>
        <v/>
      </c>
      <c r="C946" s="1150" t="str">
        <f t="shared" si="197"/>
        <v/>
      </c>
      <c r="D946" s="1150" t="str">
        <f t="shared" si="198"/>
        <v/>
      </c>
      <c r="E946" s="1006" t="str">
        <f t="shared" si="199"/>
        <v/>
      </c>
      <c r="F946" s="1007" t="str">
        <f t="shared" si="200"/>
        <v/>
      </c>
      <c r="G946" s="1008" t="str">
        <f t="shared" si="201"/>
        <v/>
      </c>
      <c r="H946" s="1138">
        <f t="shared" si="202"/>
        <v>4.0138888888888848</v>
      </c>
      <c r="I946" s="1009"/>
      <c r="J946" s="1010" t="str">
        <f t="shared" si="203"/>
        <v/>
      </c>
      <c r="K946" s="1011"/>
      <c r="L946" s="1012"/>
      <c r="M946" s="1013"/>
      <c r="N946" s="1014" t="str">
        <f t="shared" si="204"/>
        <v/>
      </c>
      <c r="O946" s="1320"/>
      <c r="P946" s="1321"/>
      <c r="Q946" s="1321"/>
      <c r="R946" s="1321"/>
      <c r="S946" s="1321"/>
      <c r="T946" s="1322"/>
      <c r="U946" s="1015"/>
      <c r="V946" s="1015"/>
      <c r="W946" s="1015"/>
      <c r="X946" s="1015"/>
      <c r="Y946" s="1015"/>
      <c r="Z946" s="1016">
        <f>'09월 에너지'!S948</f>
        <v>0</v>
      </c>
      <c r="AA946" s="1017"/>
      <c r="AB946" s="1208"/>
      <c r="AC946" s="1208"/>
      <c r="AD946" s="1208"/>
      <c r="AE946" s="1208"/>
      <c r="AF946" s="1208"/>
      <c r="AG946" s="1018">
        <f>'09월 화학성분'!AM946</f>
        <v>0</v>
      </c>
      <c r="AH946" s="1006" t="str">
        <f t="shared" si="193"/>
        <v/>
      </c>
      <c r="AI946" s="1019"/>
      <c r="AJ946" s="1020"/>
      <c r="AK946" s="1021"/>
      <c r="AL946" s="1022"/>
      <c r="AM946" s="1155" t="str">
        <f>IF(AT946="","",3*'09월 에너지'!S948*(1/(3+7.8*(100-AT946)/AT946)))</f>
        <v/>
      </c>
      <c r="AN946" s="1023"/>
      <c r="AO946" s="1024"/>
      <c r="AP946" s="1025"/>
      <c r="AQ946" s="1025"/>
      <c r="AR946" s="1149" t="str">
        <f t="shared" si="194"/>
        <v/>
      </c>
      <c r="AS946" s="1093" t="str">
        <f t="shared" si="205"/>
        <v/>
      </c>
      <c r="AT946" s="1156"/>
      <c r="AU946" s="449"/>
      <c r="AV946" s="1205"/>
    </row>
    <row r="947" spans="1:48" ht="16.5" customHeight="1">
      <c r="A947" s="1005" t="str">
        <f t="shared" si="195"/>
        <v/>
      </c>
      <c r="B947" s="1005" t="str">
        <f t="shared" si="196"/>
        <v/>
      </c>
      <c r="C947" s="1150" t="str">
        <f t="shared" si="197"/>
        <v/>
      </c>
      <c r="D947" s="1150" t="str">
        <f t="shared" si="198"/>
        <v/>
      </c>
      <c r="E947" s="1006" t="str">
        <f t="shared" si="199"/>
        <v/>
      </c>
      <c r="F947" s="1007" t="str">
        <f t="shared" si="200"/>
        <v/>
      </c>
      <c r="G947" s="1008" t="str">
        <f t="shared" si="201"/>
        <v/>
      </c>
      <c r="H947" s="1138">
        <f t="shared" si="202"/>
        <v>4.0472222222222181</v>
      </c>
      <c r="I947" s="1009"/>
      <c r="J947" s="1010" t="str">
        <f t="shared" si="203"/>
        <v/>
      </c>
      <c r="K947" s="1011"/>
      <c r="L947" s="1012"/>
      <c r="M947" s="1013"/>
      <c r="N947" s="1014" t="str">
        <f t="shared" si="204"/>
        <v/>
      </c>
      <c r="O947" s="1320"/>
      <c r="P947" s="1321"/>
      <c r="Q947" s="1321"/>
      <c r="R947" s="1321"/>
      <c r="S947" s="1321"/>
      <c r="T947" s="1322"/>
      <c r="U947" s="1015"/>
      <c r="V947" s="1015"/>
      <c r="W947" s="1015"/>
      <c r="X947" s="1015"/>
      <c r="Y947" s="1015"/>
      <c r="Z947" s="1016">
        <f>'09월 에너지'!S949</f>
        <v>0</v>
      </c>
      <c r="AA947" s="1017"/>
      <c r="AB947" s="1208"/>
      <c r="AC947" s="1208"/>
      <c r="AD947" s="1208"/>
      <c r="AE947" s="1208"/>
      <c r="AF947" s="1208"/>
      <c r="AG947" s="1018">
        <f>'09월 화학성분'!AM947</f>
        <v>0</v>
      </c>
      <c r="AH947" s="1006" t="str">
        <f t="shared" si="193"/>
        <v/>
      </c>
      <c r="AI947" s="1019"/>
      <c r="AJ947" s="1020"/>
      <c r="AK947" s="1021"/>
      <c r="AL947" s="1022"/>
      <c r="AM947" s="1155" t="str">
        <f>IF(AT947="","",3*'09월 에너지'!S949*(1/(3+7.8*(100-AT947)/AT947)))</f>
        <v/>
      </c>
      <c r="AN947" s="1023"/>
      <c r="AO947" s="1024"/>
      <c r="AP947" s="1025"/>
      <c r="AQ947" s="1025"/>
      <c r="AR947" s="1149" t="str">
        <f t="shared" si="194"/>
        <v/>
      </c>
      <c r="AS947" s="1093" t="str">
        <f t="shared" si="205"/>
        <v/>
      </c>
      <c r="AT947" s="1156"/>
      <c r="AU947" s="449"/>
      <c r="AV947" s="1205"/>
    </row>
    <row r="948" spans="1:48" ht="16.5" customHeight="1">
      <c r="A948" s="1005" t="str">
        <f t="shared" si="195"/>
        <v/>
      </c>
      <c r="B948" s="1005" t="str">
        <f t="shared" si="196"/>
        <v/>
      </c>
      <c r="C948" s="1150" t="str">
        <f t="shared" si="197"/>
        <v/>
      </c>
      <c r="D948" s="1150" t="str">
        <f t="shared" si="198"/>
        <v/>
      </c>
      <c r="E948" s="1006" t="str">
        <f t="shared" si="199"/>
        <v/>
      </c>
      <c r="F948" s="1007" t="str">
        <f t="shared" si="200"/>
        <v/>
      </c>
      <c r="G948" s="1008" t="str">
        <f t="shared" si="201"/>
        <v/>
      </c>
      <c r="H948" s="1138">
        <f t="shared" si="202"/>
        <v>4.0805555555555513</v>
      </c>
      <c r="I948" s="1009"/>
      <c r="J948" s="1010" t="str">
        <f t="shared" si="203"/>
        <v/>
      </c>
      <c r="K948" s="1011"/>
      <c r="L948" s="1012"/>
      <c r="M948" s="1013"/>
      <c r="N948" s="1014" t="str">
        <f t="shared" si="204"/>
        <v/>
      </c>
      <c r="O948" s="1320"/>
      <c r="P948" s="1321"/>
      <c r="Q948" s="1321"/>
      <c r="R948" s="1321"/>
      <c r="S948" s="1321"/>
      <c r="T948" s="1322"/>
      <c r="U948" s="1015"/>
      <c r="V948" s="1015"/>
      <c r="W948" s="1015"/>
      <c r="X948" s="1015"/>
      <c r="Y948" s="1015"/>
      <c r="Z948" s="1016">
        <f>'09월 에너지'!S950</f>
        <v>0</v>
      </c>
      <c r="AA948" s="1017"/>
      <c r="AB948" s="1208"/>
      <c r="AC948" s="1208"/>
      <c r="AD948" s="1208"/>
      <c r="AE948" s="1208"/>
      <c r="AF948" s="1208"/>
      <c r="AG948" s="1018">
        <f>'09월 화학성분'!AM948</f>
        <v>0</v>
      </c>
      <c r="AH948" s="1006" t="str">
        <f t="shared" si="193"/>
        <v/>
      </c>
      <c r="AI948" s="1019"/>
      <c r="AJ948" s="1020"/>
      <c r="AK948" s="1021"/>
      <c r="AL948" s="1022"/>
      <c r="AM948" s="1155" t="str">
        <f>IF(AT948="","",3*'09월 에너지'!S950*(1/(3+7.8*(100-AT948)/AT948)))</f>
        <v/>
      </c>
      <c r="AN948" s="1023"/>
      <c r="AO948" s="1024"/>
      <c r="AP948" s="1025"/>
      <c r="AQ948" s="1025"/>
      <c r="AR948" s="1149" t="str">
        <f t="shared" si="194"/>
        <v/>
      </c>
      <c r="AS948" s="1093" t="str">
        <f t="shared" si="205"/>
        <v/>
      </c>
      <c r="AT948" s="1156"/>
      <c r="AU948" s="449"/>
      <c r="AV948" s="1205"/>
    </row>
    <row r="949" spans="1:48" ht="16.5" customHeight="1">
      <c r="A949" s="1005" t="str">
        <f t="shared" si="195"/>
        <v/>
      </c>
      <c r="B949" s="1005" t="str">
        <f t="shared" si="196"/>
        <v/>
      </c>
      <c r="C949" s="1150" t="str">
        <f t="shared" si="197"/>
        <v/>
      </c>
      <c r="D949" s="1150" t="str">
        <f t="shared" si="198"/>
        <v/>
      </c>
      <c r="E949" s="1006" t="str">
        <f t="shared" si="199"/>
        <v/>
      </c>
      <c r="F949" s="1007" t="str">
        <f t="shared" si="200"/>
        <v/>
      </c>
      <c r="G949" s="1008" t="str">
        <f t="shared" si="201"/>
        <v/>
      </c>
      <c r="H949" s="1138">
        <f t="shared" si="202"/>
        <v>4.1138888888888845</v>
      </c>
      <c r="I949" s="1009"/>
      <c r="J949" s="1010" t="str">
        <f t="shared" si="203"/>
        <v/>
      </c>
      <c r="K949" s="1011"/>
      <c r="L949" s="1012"/>
      <c r="M949" s="1013"/>
      <c r="N949" s="1014" t="str">
        <f t="shared" si="204"/>
        <v/>
      </c>
      <c r="O949" s="1320"/>
      <c r="P949" s="1321"/>
      <c r="Q949" s="1321"/>
      <c r="R949" s="1321"/>
      <c r="S949" s="1321"/>
      <c r="T949" s="1322"/>
      <c r="U949" s="1015"/>
      <c r="V949" s="1015"/>
      <c r="W949" s="1015"/>
      <c r="X949" s="1015"/>
      <c r="Y949" s="1015"/>
      <c r="Z949" s="1016">
        <f>'09월 에너지'!S951</f>
        <v>0</v>
      </c>
      <c r="AA949" s="1017"/>
      <c r="AB949" s="1208"/>
      <c r="AC949" s="1208"/>
      <c r="AD949" s="1208"/>
      <c r="AE949" s="1208"/>
      <c r="AF949" s="1208"/>
      <c r="AG949" s="1018">
        <f>'09월 화학성분'!AM949</f>
        <v>0</v>
      </c>
      <c r="AH949" s="1006" t="str">
        <f t="shared" si="193"/>
        <v/>
      </c>
      <c r="AI949" s="1019"/>
      <c r="AJ949" s="1020"/>
      <c r="AK949" s="1021"/>
      <c r="AL949" s="1022"/>
      <c r="AM949" s="1155" t="str">
        <f>IF(AT949="","",3*'09월 에너지'!S951*(1/(3+7.8*(100-AT949)/AT949)))</f>
        <v/>
      </c>
      <c r="AN949" s="1023"/>
      <c r="AO949" s="1024"/>
      <c r="AP949" s="1025"/>
      <c r="AQ949" s="1025"/>
      <c r="AR949" s="1149" t="str">
        <f t="shared" si="194"/>
        <v/>
      </c>
      <c r="AS949" s="1093" t="str">
        <f t="shared" si="205"/>
        <v/>
      </c>
      <c r="AT949" s="1156"/>
      <c r="AU949" s="449"/>
      <c r="AV949" s="1205"/>
    </row>
    <row r="950" spans="1:48" ht="16.5" customHeight="1">
      <c r="A950" s="1005" t="str">
        <f t="shared" si="195"/>
        <v/>
      </c>
      <c r="B950" s="1005" t="str">
        <f t="shared" si="196"/>
        <v/>
      </c>
      <c r="C950" s="1150" t="str">
        <f t="shared" si="197"/>
        <v/>
      </c>
      <c r="D950" s="1150" t="str">
        <f t="shared" si="198"/>
        <v/>
      </c>
      <c r="E950" s="1006" t="str">
        <f t="shared" si="199"/>
        <v/>
      </c>
      <c r="F950" s="1007" t="str">
        <f t="shared" si="200"/>
        <v/>
      </c>
      <c r="G950" s="1008" t="str">
        <f t="shared" si="201"/>
        <v/>
      </c>
      <c r="H950" s="1138">
        <f t="shared" si="202"/>
        <v>4.1472222222222177</v>
      </c>
      <c r="I950" s="1009"/>
      <c r="J950" s="1010" t="str">
        <f t="shared" si="203"/>
        <v/>
      </c>
      <c r="K950" s="1011"/>
      <c r="L950" s="1012"/>
      <c r="M950" s="1013"/>
      <c r="N950" s="1014" t="str">
        <f t="shared" si="204"/>
        <v/>
      </c>
      <c r="O950" s="1320"/>
      <c r="P950" s="1321"/>
      <c r="Q950" s="1321"/>
      <c r="R950" s="1321"/>
      <c r="S950" s="1321"/>
      <c r="T950" s="1322"/>
      <c r="U950" s="1015"/>
      <c r="V950" s="1015"/>
      <c r="W950" s="1015"/>
      <c r="X950" s="1015"/>
      <c r="Y950" s="1015"/>
      <c r="Z950" s="1016">
        <f>'09월 에너지'!S952</f>
        <v>0</v>
      </c>
      <c r="AA950" s="1017"/>
      <c r="AB950" s="1208"/>
      <c r="AC950" s="1208"/>
      <c r="AD950" s="1208"/>
      <c r="AE950" s="1208"/>
      <c r="AF950" s="1208"/>
      <c r="AG950" s="1018">
        <f>'09월 화학성분'!AM950</f>
        <v>0</v>
      </c>
      <c r="AH950" s="1006" t="str">
        <f t="shared" si="193"/>
        <v/>
      </c>
      <c r="AI950" s="1019"/>
      <c r="AJ950" s="1020"/>
      <c r="AK950" s="1021"/>
      <c r="AL950" s="1022"/>
      <c r="AM950" s="1155" t="str">
        <f>IF(AT950="","",3*'09월 에너지'!S952*(1/(3+7.8*(100-AT950)/AT950)))</f>
        <v/>
      </c>
      <c r="AN950" s="1023"/>
      <c r="AO950" s="1024"/>
      <c r="AP950" s="1025"/>
      <c r="AQ950" s="1025"/>
      <c r="AR950" s="1149" t="str">
        <f t="shared" si="194"/>
        <v/>
      </c>
      <c r="AS950" s="1093" t="str">
        <f t="shared" si="205"/>
        <v/>
      </c>
      <c r="AT950" s="1156"/>
      <c r="AU950" s="449"/>
      <c r="AV950" s="1205"/>
    </row>
    <row r="951" spans="1:48" ht="16.5" customHeight="1">
      <c r="A951" s="1005" t="str">
        <f t="shared" si="195"/>
        <v/>
      </c>
      <c r="B951" s="1005" t="str">
        <f t="shared" si="196"/>
        <v/>
      </c>
      <c r="C951" s="1150" t="str">
        <f t="shared" si="197"/>
        <v/>
      </c>
      <c r="D951" s="1150" t="str">
        <f t="shared" si="198"/>
        <v/>
      </c>
      <c r="E951" s="1006" t="str">
        <f t="shared" si="199"/>
        <v/>
      </c>
      <c r="F951" s="1007" t="str">
        <f t="shared" si="200"/>
        <v/>
      </c>
      <c r="G951" s="1008" t="str">
        <f t="shared" si="201"/>
        <v/>
      </c>
      <c r="H951" s="1138">
        <f t="shared" si="202"/>
        <v>4.1805555555555509</v>
      </c>
      <c r="I951" s="1009"/>
      <c r="J951" s="1010" t="str">
        <f t="shared" si="203"/>
        <v/>
      </c>
      <c r="K951" s="1011"/>
      <c r="L951" s="1012"/>
      <c r="M951" s="1013"/>
      <c r="N951" s="1014" t="str">
        <f t="shared" si="204"/>
        <v/>
      </c>
      <c r="O951" s="1320"/>
      <c r="P951" s="1321"/>
      <c r="Q951" s="1321"/>
      <c r="R951" s="1321"/>
      <c r="S951" s="1321"/>
      <c r="T951" s="1322"/>
      <c r="U951" s="1015"/>
      <c r="V951" s="1015"/>
      <c r="W951" s="1015"/>
      <c r="X951" s="1015"/>
      <c r="Y951" s="1015"/>
      <c r="Z951" s="1016">
        <f>'09월 에너지'!S953</f>
        <v>0</v>
      </c>
      <c r="AA951" s="1017"/>
      <c r="AB951" s="1208"/>
      <c r="AC951" s="1208"/>
      <c r="AD951" s="1208"/>
      <c r="AE951" s="1208"/>
      <c r="AF951" s="1208"/>
      <c r="AG951" s="1018">
        <f>'09월 화학성분'!AM951</f>
        <v>0</v>
      </c>
      <c r="AH951" s="1006" t="str">
        <f t="shared" si="193"/>
        <v/>
      </c>
      <c r="AI951" s="1019"/>
      <c r="AJ951" s="1020"/>
      <c r="AK951" s="1021"/>
      <c r="AL951" s="1022"/>
      <c r="AM951" s="1155" t="str">
        <f>IF(AT951="","",3*'09월 에너지'!S953*(1/(3+7.8*(100-AT951)/AT951)))</f>
        <v/>
      </c>
      <c r="AN951" s="1023"/>
      <c r="AO951" s="1024"/>
      <c r="AP951" s="1025"/>
      <c r="AQ951" s="1025"/>
      <c r="AR951" s="1149" t="str">
        <f t="shared" si="194"/>
        <v/>
      </c>
      <c r="AS951" s="1093" t="str">
        <f t="shared" si="205"/>
        <v/>
      </c>
      <c r="AT951" s="1156"/>
      <c r="AU951" s="449"/>
      <c r="AV951" s="1205"/>
    </row>
    <row r="952" spans="1:48" ht="16.5" customHeight="1">
      <c r="A952" s="1005" t="str">
        <f t="shared" si="195"/>
        <v/>
      </c>
      <c r="B952" s="1005" t="str">
        <f t="shared" si="196"/>
        <v/>
      </c>
      <c r="C952" s="1150" t="str">
        <f t="shared" si="197"/>
        <v/>
      </c>
      <c r="D952" s="1150" t="str">
        <f t="shared" si="198"/>
        <v/>
      </c>
      <c r="E952" s="1006" t="str">
        <f t="shared" si="199"/>
        <v/>
      </c>
      <c r="F952" s="1007" t="str">
        <f t="shared" si="200"/>
        <v/>
      </c>
      <c r="G952" s="1008" t="str">
        <f t="shared" si="201"/>
        <v/>
      </c>
      <c r="H952" s="1138">
        <f t="shared" si="202"/>
        <v>4.2138888888888841</v>
      </c>
      <c r="I952" s="1009"/>
      <c r="J952" s="1010" t="str">
        <f t="shared" si="203"/>
        <v/>
      </c>
      <c r="K952" s="1011"/>
      <c r="L952" s="1012"/>
      <c r="M952" s="1013"/>
      <c r="N952" s="1014" t="str">
        <f t="shared" si="204"/>
        <v/>
      </c>
      <c r="O952" s="1320"/>
      <c r="P952" s="1321"/>
      <c r="Q952" s="1321"/>
      <c r="R952" s="1321"/>
      <c r="S952" s="1321"/>
      <c r="T952" s="1322"/>
      <c r="U952" s="1015"/>
      <c r="V952" s="1015"/>
      <c r="W952" s="1015"/>
      <c r="X952" s="1015"/>
      <c r="Y952" s="1015"/>
      <c r="Z952" s="1016">
        <f>'09월 에너지'!S954</f>
        <v>0</v>
      </c>
      <c r="AA952" s="1017"/>
      <c r="AB952" s="1208"/>
      <c r="AC952" s="1208"/>
      <c r="AD952" s="1208"/>
      <c r="AE952" s="1208"/>
      <c r="AF952" s="1208"/>
      <c r="AG952" s="1018">
        <f>'09월 화학성분'!AM952</f>
        <v>0</v>
      </c>
      <c r="AH952" s="1006" t="str">
        <f t="shared" si="193"/>
        <v/>
      </c>
      <c r="AI952" s="1019"/>
      <c r="AJ952" s="1020"/>
      <c r="AK952" s="1021"/>
      <c r="AL952" s="1022"/>
      <c r="AM952" s="1155" t="str">
        <f>IF(AT952="","",3*'09월 에너지'!S954*(1/(3+7.8*(100-AT952)/AT952)))</f>
        <v/>
      </c>
      <c r="AN952" s="1023"/>
      <c r="AO952" s="1024"/>
      <c r="AP952" s="1025"/>
      <c r="AQ952" s="1025"/>
      <c r="AR952" s="1149" t="str">
        <f t="shared" si="194"/>
        <v/>
      </c>
      <c r="AS952" s="1093" t="str">
        <f t="shared" si="205"/>
        <v/>
      </c>
      <c r="AT952" s="1156"/>
      <c r="AU952" s="449"/>
      <c r="AV952" s="1205"/>
    </row>
    <row r="953" spans="1:48" ht="16.5" customHeight="1">
      <c r="A953" s="1005" t="str">
        <f t="shared" si="195"/>
        <v/>
      </c>
      <c r="B953" s="1005" t="str">
        <f t="shared" si="196"/>
        <v/>
      </c>
      <c r="C953" s="1150" t="str">
        <f t="shared" si="197"/>
        <v/>
      </c>
      <c r="D953" s="1150" t="str">
        <f t="shared" si="198"/>
        <v/>
      </c>
      <c r="E953" s="1006" t="str">
        <f t="shared" si="199"/>
        <v/>
      </c>
      <c r="F953" s="1007" t="str">
        <f t="shared" si="200"/>
        <v/>
      </c>
      <c r="G953" s="1008" t="str">
        <f t="shared" si="201"/>
        <v/>
      </c>
      <c r="H953" s="1138">
        <f t="shared" si="202"/>
        <v>4.2472222222222173</v>
      </c>
      <c r="I953" s="1009"/>
      <c r="J953" s="1010" t="str">
        <f t="shared" si="203"/>
        <v/>
      </c>
      <c r="K953" s="1011"/>
      <c r="L953" s="1012"/>
      <c r="M953" s="1013"/>
      <c r="N953" s="1014" t="str">
        <f t="shared" si="204"/>
        <v/>
      </c>
      <c r="O953" s="1320"/>
      <c r="P953" s="1321"/>
      <c r="Q953" s="1321"/>
      <c r="R953" s="1321"/>
      <c r="S953" s="1321"/>
      <c r="T953" s="1322"/>
      <c r="U953" s="1015"/>
      <c r="V953" s="1015"/>
      <c r="W953" s="1015"/>
      <c r="X953" s="1015"/>
      <c r="Y953" s="1015"/>
      <c r="Z953" s="1016">
        <f>'09월 에너지'!S955</f>
        <v>0</v>
      </c>
      <c r="AA953" s="1017"/>
      <c r="AB953" s="1208"/>
      <c r="AC953" s="1208"/>
      <c r="AD953" s="1208"/>
      <c r="AE953" s="1208"/>
      <c r="AF953" s="1208"/>
      <c r="AG953" s="1018">
        <f>'09월 화학성분'!AM953</f>
        <v>0</v>
      </c>
      <c r="AH953" s="1006" t="str">
        <f t="shared" si="193"/>
        <v/>
      </c>
      <c r="AI953" s="1019"/>
      <c r="AJ953" s="1020"/>
      <c r="AK953" s="1021"/>
      <c r="AL953" s="1022"/>
      <c r="AM953" s="1155" t="str">
        <f>IF(AT953="","",3*'09월 에너지'!S955*(1/(3+7.8*(100-AT953)/AT953)))</f>
        <v/>
      </c>
      <c r="AN953" s="1023"/>
      <c r="AO953" s="1024"/>
      <c r="AP953" s="1025"/>
      <c r="AQ953" s="1025"/>
      <c r="AR953" s="1149" t="str">
        <f t="shared" si="194"/>
        <v/>
      </c>
      <c r="AS953" s="1093" t="str">
        <f t="shared" si="205"/>
        <v/>
      </c>
      <c r="AT953" s="1156"/>
      <c r="AU953" s="449"/>
      <c r="AV953" s="1205"/>
    </row>
    <row r="954" spans="1:48" ht="16.5" customHeight="1">
      <c r="A954" s="1005" t="str">
        <f t="shared" si="195"/>
        <v/>
      </c>
      <c r="B954" s="1005" t="str">
        <f t="shared" si="196"/>
        <v/>
      </c>
      <c r="C954" s="1150" t="str">
        <f t="shared" si="197"/>
        <v/>
      </c>
      <c r="D954" s="1150" t="str">
        <f t="shared" si="198"/>
        <v/>
      </c>
      <c r="E954" s="1006" t="str">
        <f t="shared" si="199"/>
        <v/>
      </c>
      <c r="F954" s="1007" t="str">
        <f t="shared" si="200"/>
        <v/>
      </c>
      <c r="G954" s="1008" t="str">
        <f t="shared" si="201"/>
        <v/>
      </c>
      <c r="H954" s="1138">
        <f t="shared" si="202"/>
        <v>4.2805555555555506</v>
      </c>
      <c r="I954" s="1009"/>
      <c r="J954" s="1010" t="str">
        <f t="shared" si="203"/>
        <v/>
      </c>
      <c r="K954" s="1011"/>
      <c r="L954" s="1012"/>
      <c r="M954" s="1013"/>
      <c r="N954" s="1014" t="str">
        <f t="shared" si="204"/>
        <v/>
      </c>
      <c r="O954" s="1320"/>
      <c r="P954" s="1321"/>
      <c r="Q954" s="1321"/>
      <c r="R954" s="1321"/>
      <c r="S954" s="1321"/>
      <c r="T954" s="1322"/>
      <c r="U954" s="1015"/>
      <c r="V954" s="1015"/>
      <c r="W954" s="1015"/>
      <c r="X954" s="1015"/>
      <c r="Y954" s="1015"/>
      <c r="Z954" s="1016">
        <f>'09월 에너지'!S956</f>
        <v>0</v>
      </c>
      <c r="AA954" s="1017"/>
      <c r="AB954" s="1208"/>
      <c r="AC954" s="1208"/>
      <c r="AD954" s="1208"/>
      <c r="AE954" s="1208"/>
      <c r="AF954" s="1208"/>
      <c r="AG954" s="1018">
        <f>'09월 화학성분'!AM954</f>
        <v>0</v>
      </c>
      <c r="AH954" s="1006" t="str">
        <f t="shared" si="193"/>
        <v/>
      </c>
      <c r="AI954" s="1019"/>
      <c r="AJ954" s="1020"/>
      <c r="AK954" s="1021"/>
      <c r="AL954" s="1022"/>
      <c r="AM954" s="1155" t="str">
        <f>IF(AT954="","",3*'09월 에너지'!S956*(1/(3+7.8*(100-AT954)/AT954)))</f>
        <v/>
      </c>
      <c r="AN954" s="1023"/>
      <c r="AO954" s="1024"/>
      <c r="AP954" s="1025"/>
      <c r="AQ954" s="1025"/>
      <c r="AR954" s="1149" t="str">
        <f t="shared" si="194"/>
        <v/>
      </c>
      <c r="AS954" s="1093" t="str">
        <f t="shared" si="205"/>
        <v/>
      </c>
      <c r="AT954" s="1156"/>
      <c r="AU954" s="449"/>
      <c r="AV954" s="1205"/>
    </row>
    <row r="955" spans="1:48" ht="16.5" customHeight="1">
      <c r="A955" s="1005" t="str">
        <f t="shared" si="195"/>
        <v/>
      </c>
      <c r="B955" s="1005" t="str">
        <f t="shared" si="196"/>
        <v/>
      </c>
      <c r="C955" s="1150" t="str">
        <f t="shared" si="197"/>
        <v/>
      </c>
      <c r="D955" s="1150" t="str">
        <f t="shared" si="198"/>
        <v/>
      </c>
      <c r="E955" s="1006" t="str">
        <f t="shared" si="199"/>
        <v/>
      </c>
      <c r="F955" s="1007" t="str">
        <f t="shared" si="200"/>
        <v/>
      </c>
      <c r="G955" s="1008" t="str">
        <f t="shared" si="201"/>
        <v/>
      </c>
      <c r="H955" s="1138">
        <f t="shared" si="202"/>
        <v>4.3138888888888838</v>
      </c>
      <c r="I955" s="1009"/>
      <c r="J955" s="1010" t="str">
        <f t="shared" si="203"/>
        <v/>
      </c>
      <c r="K955" s="1011"/>
      <c r="L955" s="1012"/>
      <c r="M955" s="1013"/>
      <c r="N955" s="1014" t="str">
        <f t="shared" si="204"/>
        <v/>
      </c>
      <c r="O955" s="1320"/>
      <c r="P955" s="1321"/>
      <c r="Q955" s="1321"/>
      <c r="R955" s="1321"/>
      <c r="S955" s="1321"/>
      <c r="T955" s="1322"/>
      <c r="U955" s="1015"/>
      <c r="V955" s="1015"/>
      <c r="W955" s="1015"/>
      <c r="X955" s="1015"/>
      <c r="Y955" s="1015"/>
      <c r="Z955" s="1016">
        <f>'09월 에너지'!S957</f>
        <v>0</v>
      </c>
      <c r="AA955" s="1017"/>
      <c r="AB955" s="1208"/>
      <c r="AC955" s="1208"/>
      <c r="AD955" s="1208"/>
      <c r="AE955" s="1208"/>
      <c r="AF955" s="1208"/>
      <c r="AG955" s="1018">
        <f>'09월 화학성분'!AM955</f>
        <v>0</v>
      </c>
      <c r="AH955" s="1006" t="str">
        <f t="shared" si="193"/>
        <v/>
      </c>
      <c r="AI955" s="1019"/>
      <c r="AJ955" s="1020"/>
      <c r="AK955" s="1021"/>
      <c r="AL955" s="1022"/>
      <c r="AM955" s="1155" t="str">
        <f>IF(AT955="","",3*'09월 에너지'!S957*(1/(3+7.8*(100-AT955)/AT955)))</f>
        <v/>
      </c>
      <c r="AN955" s="1023"/>
      <c r="AO955" s="1024"/>
      <c r="AP955" s="1025"/>
      <c r="AQ955" s="1025"/>
      <c r="AR955" s="1149" t="str">
        <f t="shared" si="194"/>
        <v/>
      </c>
      <c r="AS955" s="1093" t="str">
        <f t="shared" si="205"/>
        <v/>
      </c>
      <c r="AT955" s="1156"/>
      <c r="AU955" s="449"/>
      <c r="AV955" s="1205"/>
    </row>
    <row r="956" spans="1:48" ht="16.5" customHeight="1">
      <c r="A956" s="1005" t="str">
        <f t="shared" si="195"/>
        <v/>
      </c>
      <c r="B956" s="1005" t="str">
        <f t="shared" si="196"/>
        <v/>
      </c>
      <c r="C956" s="1150" t="str">
        <f t="shared" si="197"/>
        <v/>
      </c>
      <c r="D956" s="1150" t="str">
        <f t="shared" si="198"/>
        <v/>
      </c>
      <c r="E956" s="1006" t="str">
        <f t="shared" si="199"/>
        <v/>
      </c>
      <c r="F956" s="1007" t="str">
        <f t="shared" si="200"/>
        <v/>
      </c>
      <c r="G956" s="1008" t="str">
        <f t="shared" si="201"/>
        <v/>
      </c>
      <c r="H956" s="1138">
        <f t="shared" si="202"/>
        <v>4.347222222222217</v>
      </c>
      <c r="I956" s="1009"/>
      <c r="J956" s="1010" t="str">
        <f t="shared" si="203"/>
        <v/>
      </c>
      <c r="K956" s="1011"/>
      <c r="L956" s="1012"/>
      <c r="M956" s="1013"/>
      <c r="N956" s="1014" t="str">
        <f t="shared" si="204"/>
        <v/>
      </c>
      <c r="O956" s="1320"/>
      <c r="P956" s="1321"/>
      <c r="Q956" s="1321"/>
      <c r="R956" s="1321"/>
      <c r="S956" s="1321"/>
      <c r="T956" s="1322"/>
      <c r="U956" s="1015"/>
      <c r="V956" s="1015"/>
      <c r="W956" s="1015"/>
      <c r="X956" s="1015"/>
      <c r="Y956" s="1015"/>
      <c r="Z956" s="1016">
        <f>'09월 에너지'!S958</f>
        <v>0</v>
      </c>
      <c r="AA956" s="1017"/>
      <c r="AB956" s="1208"/>
      <c r="AC956" s="1208"/>
      <c r="AD956" s="1208"/>
      <c r="AE956" s="1208"/>
      <c r="AF956" s="1208"/>
      <c r="AG956" s="1018">
        <f>'09월 화학성분'!AM956</f>
        <v>0</v>
      </c>
      <c r="AH956" s="1006" t="str">
        <f t="shared" si="193"/>
        <v/>
      </c>
      <c r="AI956" s="1019"/>
      <c r="AJ956" s="1020"/>
      <c r="AK956" s="1021"/>
      <c r="AL956" s="1022"/>
      <c r="AM956" s="1155" t="str">
        <f>IF(AT956="","",3*'09월 에너지'!S958*(1/(3+7.8*(100-AT956)/AT956)))</f>
        <v/>
      </c>
      <c r="AN956" s="1023"/>
      <c r="AO956" s="1024"/>
      <c r="AP956" s="1025"/>
      <c r="AQ956" s="1025"/>
      <c r="AR956" s="1149" t="str">
        <f t="shared" si="194"/>
        <v/>
      </c>
      <c r="AS956" s="1093" t="str">
        <f t="shared" si="205"/>
        <v/>
      </c>
      <c r="AT956" s="1156"/>
      <c r="AU956" s="449"/>
      <c r="AV956" s="1205"/>
    </row>
    <row r="957" spans="1:48" ht="16.5" customHeight="1">
      <c r="A957" s="1005" t="str">
        <f t="shared" si="195"/>
        <v/>
      </c>
      <c r="B957" s="1005" t="str">
        <f t="shared" si="196"/>
        <v/>
      </c>
      <c r="C957" s="1150" t="str">
        <f t="shared" si="197"/>
        <v/>
      </c>
      <c r="D957" s="1150" t="str">
        <f t="shared" si="198"/>
        <v/>
      </c>
      <c r="E957" s="1006" t="str">
        <f t="shared" si="199"/>
        <v/>
      </c>
      <c r="F957" s="1007" t="str">
        <f t="shared" si="200"/>
        <v/>
      </c>
      <c r="G957" s="1008" t="str">
        <f t="shared" si="201"/>
        <v/>
      </c>
      <c r="H957" s="1138">
        <f t="shared" si="202"/>
        <v>4.3805555555555502</v>
      </c>
      <c r="I957" s="1009"/>
      <c r="J957" s="1010" t="str">
        <f t="shared" si="203"/>
        <v/>
      </c>
      <c r="K957" s="1011"/>
      <c r="L957" s="1012"/>
      <c r="M957" s="1013"/>
      <c r="N957" s="1014" t="str">
        <f t="shared" si="204"/>
        <v/>
      </c>
      <c r="O957" s="1320"/>
      <c r="P957" s="1321"/>
      <c r="Q957" s="1321"/>
      <c r="R957" s="1321"/>
      <c r="S957" s="1321"/>
      <c r="T957" s="1322"/>
      <c r="U957" s="1015"/>
      <c r="V957" s="1015"/>
      <c r="W957" s="1015"/>
      <c r="X957" s="1015"/>
      <c r="Y957" s="1015"/>
      <c r="Z957" s="1016">
        <f>'09월 에너지'!S959</f>
        <v>0</v>
      </c>
      <c r="AA957" s="1017"/>
      <c r="AB957" s="1208"/>
      <c r="AC957" s="1208"/>
      <c r="AD957" s="1208"/>
      <c r="AE957" s="1208"/>
      <c r="AF957" s="1208"/>
      <c r="AG957" s="1018">
        <f>'09월 화학성분'!AM957</f>
        <v>0</v>
      </c>
      <c r="AH957" s="1006" t="str">
        <f t="shared" si="193"/>
        <v/>
      </c>
      <c r="AI957" s="1019"/>
      <c r="AJ957" s="1020"/>
      <c r="AK957" s="1021"/>
      <c r="AL957" s="1022"/>
      <c r="AM957" s="1155" t="str">
        <f>IF(AT957="","",3*'09월 에너지'!S959*(1/(3+7.8*(100-AT957)/AT957)))</f>
        <v/>
      </c>
      <c r="AN957" s="1023"/>
      <c r="AO957" s="1024"/>
      <c r="AP957" s="1025"/>
      <c r="AQ957" s="1025"/>
      <c r="AR957" s="1149" t="str">
        <f t="shared" si="194"/>
        <v/>
      </c>
      <c r="AS957" s="1093" t="str">
        <f t="shared" si="205"/>
        <v/>
      </c>
      <c r="AT957" s="1156"/>
      <c r="AU957" s="449"/>
      <c r="AV957" s="1205"/>
    </row>
    <row r="958" spans="1:48" ht="16.5" customHeight="1">
      <c r="A958" s="1005" t="str">
        <f t="shared" si="195"/>
        <v/>
      </c>
      <c r="B958" s="1005" t="str">
        <f t="shared" si="196"/>
        <v/>
      </c>
      <c r="C958" s="1150" t="str">
        <f t="shared" si="197"/>
        <v/>
      </c>
      <c r="D958" s="1150" t="str">
        <f t="shared" si="198"/>
        <v/>
      </c>
      <c r="E958" s="1006" t="str">
        <f t="shared" si="199"/>
        <v/>
      </c>
      <c r="F958" s="1007" t="str">
        <f t="shared" si="200"/>
        <v/>
      </c>
      <c r="G958" s="1008" t="str">
        <f t="shared" si="201"/>
        <v/>
      </c>
      <c r="H958" s="1138">
        <f t="shared" si="202"/>
        <v>4.4138888888888834</v>
      </c>
      <c r="I958" s="1009"/>
      <c r="J958" s="1010" t="str">
        <f t="shared" si="203"/>
        <v/>
      </c>
      <c r="K958" s="1011"/>
      <c r="L958" s="1012"/>
      <c r="M958" s="1013"/>
      <c r="N958" s="1014" t="str">
        <f t="shared" si="204"/>
        <v/>
      </c>
      <c r="O958" s="1320"/>
      <c r="P958" s="1321"/>
      <c r="Q958" s="1321"/>
      <c r="R958" s="1321"/>
      <c r="S958" s="1321"/>
      <c r="T958" s="1322"/>
      <c r="U958" s="1015"/>
      <c r="V958" s="1015"/>
      <c r="W958" s="1015"/>
      <c r="X958" s="1015"/>
      <c r="Y958" s="1015"/>
      <c r="Z958" s="1016">
        <f>'09월 에너지'!S960</f>
        <v>0</v>
      </c>
      <c r="AA958" s="1017"/>
      <c r="AB958" s="1208"/>
      <c r="AC958" s="1208"/>
      <c r="AD958" s="1208"/>
      <c r="AE958" s="1208"/>
      <c r="AF958" s="1208"/>
      <c r="AG958" s="1018">
        <f>'09월 화학성분'!AM958</f>
        <v>0</v>
      </c>
      <c r="AH958" s="1006" t="str">
        <f t="shared" si="193"/>
        <v/>
      </c>
      <c r="AI958" s="1019"/>
      <c r="AJ958" s="1020"/>
      <c r="AK958" s="1021"/>
      <c r="AL958" s="1022"/>
      <c r="AM958" s="1155" t="str">
        <f>IF(AT958="","",3*'09월 에너지'!S960*(1/(3+7.8*(100-AT958)/AT958)))</f>
        <v/>
      </c>
      <c r="AN958" s="1023"/>
      <c r="AO958" s="1024"/>
      <c r="AP958" s="1025"/>
      <c r="AQ958" s="1025"/>
      <c r="AR958" s="1149" t="str">
        <f t="shared" si="194"/>
        <v/>
      </c>
      <c r="AS958" s="1093" t="str">
        <f t="shared" si="205"/>
        <v/>
      </c>
      <c r="AT958" s="1156"/>
      <c r="AU958" s="449"/>
      <c r="AV958" s="1205"/>
    </row>
    <row r="959" spans="1:48" ht="16.5" customHeight="1">
      <c r="A959" s="1005" t="str">
        <f t="shared" si="195"/>
        <v/>
      </c>
      <c r="B959" s="1005" t="str">
        <f t="shared" si="196"/>
        <v/>
      </c>
      <c r="C959" s="1150" t="str">
        <f t="shared" si="197"/>
        <v/>
      </c>
      <c r="D959" s="1150" t="str">
        <f t="shared" si="198"/>
        <v/>
      </c>
      <c r="E959" s="1006" t="str">
        <f t="shared" si="199"/>
        <v/>
      </c>
      <c r="F959" s="1007" t="str">
        <f t="shared" si="200"/>
        <v/>
      </c>
      <c r="G959" s="1008" t="str">
        <f t="shared" si="201"/>
        <v/>
      </c>
      <c r="H959" s="1138">
        <f t="shared" si="202"/>
        <v>4.4472222222222166</v>
      </c>
      <c r="I959" s="1009"/>
      <c r="J959" s="1010" t="str">
        <f t="shared" si="203"/>
        <v/>
      </c>
      <c r="K959" s="1011"/>
      <c r="L959" s="1012"/>
      <c r="M959" s="1013"/>
      <c r="N959" s="1014" t="str">
        <f t="shared" si="204"/>
        <v/>
      </c>
      <c r="O959" s="1320"/>
      <c r="P959" s="1321"/>
      <c r="Q959" s="1321"/>
      <c r="R959" s="1321"/>
      <c r="S959" s="1321"/>
      <c r="T959" s="1322"/>
      <c r="U959" s="1015"/>
      <c r="V959" s="1015"/>
      <c r="W959" s="1015"/>
      <c r="X959" s="1015"/>
      <c r="Y959" s="1015"/>
      <c r="Z959" s="1016">
        <f>'09월 에너지'!S961</f>
        <v>0</v>
      </c>
      <c r="AA959" s="1017"/>
      <c r="AB959" s="1208"/>
      <c r="AC959" s="1208"/>
      <c r="AD959" s="1208"/>
      <c r="AE959" s="1208"/>
      <c r="AF959" s="1208"/>
      <c r="AG959" s="1018">
        <f>'09월 화학성분'!AM959</f>
        <v>0</v>
      </c>
      <c r="AH959" s="1006" t="str">
        <f t="shared" si="193"/>
        <v/>
      </c>
      <c r="AI959" s="1019"/>
      <c r="AJ959" s="1020"/>
      <c r="AK959" s="1021"/>
      <c r="AL959" s="1022"/>
      <c r="AM959" s="1155" t="str">
        <f>IF(AT959="","",3*'09월 에너지'!S961*(1/(3+7.8*(100-AT959)/AT959)))</f>
        <v/>
      </c>
      <c r="AN959" s="1023"/>
      <c r="AO959" s="1024"/>
      <c r="AP959" s="1025"/>
      <c r="AQ959" s="1025"/>
      <c r="AR959" s="1149" t="str">
        <f t="shared" si="194"/>
        <v/>
      </c>
      <c r="AS959" s="1093" t="str">
        <f t="shared" si="205"/>
        <v/>
      </c>
      <c r="AT959" s="1156"/>
      <c r="AU959" s="449"/>
      <c r="AV959" s="1205"/>
    </row>
    <row r="960" spans="1:48" ht="16.5" customHeight="1">
      <c r="A960" s="1005" t="str">
        <f t="shared" si="195"/>
        <v/>
      </c>
      <c r="B960" s="1005" t="str">
        <f t="shared" si="196"/>
        <v/>
      </c>
      <c r="C960" s="1150" t="str">
        <f t="shared" si="197"/>
        <v/>
      </c>
      <c r="D960" s="1150" t="str">
        <f t="shared" si="198"/>
        <v/>
      </c>
      <c r="E960" s="1006" t="str">
        <f t="shared" si="199"/>
        <v/>
      </c>
      <c r="F960" s="1007" t="str">
        <f t="shared" si="200"/>
        <v/>
      </c>
      <c r="G960" s="1008" t="str">
        <f t="shared" si="201"/>
        <v/>
      </c>
      <c r="H960" s="1138">
        <f t="shared" si="202"/>
        <v>4.4805555555555499</v>
      </c>
      <c r="I960" s="1009"/>
      <c r="J960" s="1010" t="str">
        <f t="shared" si="203"/>
        <v/>
      </c>
      <c r="K960" s="1011"/>
      <c r="L960" s="1012"/>
      <c r="M960" s="1013"/>
      <c r="N960" s="1014" t="str">
        <f t="shared" si="204"/>
        <v/>
      </c>
      <c r="O960" s="1320"/>
      <c r="P960" s="1321"/>
      <c r="Q960" s="1321"/>
      <c r="R960" s="1321"/>
      <c r="S960" s="1321"/>
      <c r="T960" s="1322"/>
      <c r="U960" s="1015"/>
      <c r="V960" s="1015"/>
      <c r="W960" s="1015"/>
      <c r="X960" s="1015"/>
      <c r="Y960" s="1015"/>
      <c r="Z960" s="1016">
        <f>'09월 에너지'!S962</f>
        <v>0</v>
      </c>
      <c r="AA960" s="1017"/>
      <c r="AB960" s="1208"/>
      <c r="AC960" s="1208"/>
      <c r="AD960" s="1208"/>
      <c r="AE960" s="1208"/>
      <c r="AF960" s="1208"/>
      <c r="AG960" s="1018">
        <f>'09월 화학성분'!AM960</f>
        <v>0</v>
      </c>
      <c r="AH960" s="1006" t="str">
        <f t="shared" si="193"/>
        <v/>
      </c>
      <c r="AI960" s="1019"/>
      <c r="AJ960" s="1020"/>
      <c r="AK960" s="1021"/>
      <c r="AL960" s="1022"/>
      <c r="AM960" s="1155" t="str">
        <f>IF(AT960="","",3*'09월 에너지'!S962*(1/(3+7.8*(100-AT960)/AT960)))</f>
        <v/>
      </c>
      <c r="AN960" s="1023"/>
      <c r="AO960" s="1024"/>
      <c r="AP960" s="1025"/>
      <c r="AQ960" s="1025"/>
      <c r="AR960" s="1149" t="str">
        <f t="shared" si="194"/>
        <v/>
      </c>
      <c r="AS960" s="1093" t="str">
        <f t="shared" si="205"/>
        <v/>
      </c>
      <c r="AT960" s="1156"/>
      <c r="AU960" s="449"/>
      <c r="AV960" s="1205"/>
    </row>
    <row r="961" spans="1:48" ht="16.5" customHeight="1">
      <c r="A961" s="1005" t="str">
        <f t="shared" si="195"/>
        <v/>
      </c>
      <c r="B961" s="1005" t="str">
        <f t="shared" si="196"/>
        <v/>
      </c>
      <c r="C961" s="1150" t="str">
        <f t="shared" si="197"/>
        <v/>
      </c>
      <c r="D961" s="1150" t="str">
        <f t="shared" si="198"/>
        <v/>
      </c>
      <c r="E961" s="1006" t="str">
        <f t="shared" si="199"/>
        <v/>
      </c>
      <c r="F961" s="1007" t="str">
        <f t="shared" si="200"/>
        <v/>
      </c>
      <c r="G961" s="1008" t="str">
        <f t="shared" si="201"/>
        <v/>
      </c>
      <c r="H961" s="1138">
        <f t="shared" si="202"/>
        <v>4.5138888888888831</v>
      </c>
      <c r="I961" s="1009"/>
      <c r="J961" s="1010" t="str">
        <f t="shared" si="203"/>
        <v/>
      </c>
      <c r="K961" s="1011"/>
      <c r="L961" s="1012"/>
      <c r="M961" s="1013"/>
      <c r="N961" s="1014" t="str">
        <f t="shared" si="204"/>
        <v/>
      </c>
      <c r="O961" s="1320"/>
      <c r="P961" s="1321"/>
      <c r="Q961" s="1321"/>
      <c r="R961" s="1321"/>
      <c r="S961" s="1321"/>
      <c r="T961" s="1322"/>
      <c r="U961" s="1015"/>
      <c r="V961" s="1015"/>
      <c r="W961" s="1015"/>
      <c r="X961" s="1015"/>
      <c r="Y961" s="1015"/>
      <c r="Z961" s="1016">
        <f>'09월 에너지'!S963</f>
        <v>0</v>
      </c>
      <c r="AA961" s="1017"/>
      <c r="AB961" s="1208"/>
      <c r="AC961" s="1208"/>
      <c r="AD961" s="1208"/>
      <c r="AE961" s="1208"/>
      <c r="AF961" s="1208"/>
      <c r="AG961" s="1018">
        <f>'09월 화학성분'!AM961</f>
        <v>0</v>
      </c>
      <c r="AH961" s="1006" t="str">
        <f t="shared" si="193"/>
        <v/>
      </c>
      <c r="AI961" s="1019"/>
      <c r="AJ961" s="1020"/>
      <c r="AK961" s="1021"/>
      <c r="AL961" s="1022"/>
      <c r="AM961" s="1155" t="str">
        <f>IF(AT961="","",3*'09월 에너지'!S963*(1/(3+7.8*(100-AT961)/AT961)))</f>
        <v/>
      </c>
      <c r="AN961" s="1023"/>
      <c r="AO961" s="1024"/>
      <c r="AP961" s="1025"/>
      <c r="AQ961" s="1025"/>
      <c r="AR961" s="1149" t="str">
        <f t="shared" si="194"/>
        <v/>
      </c>
      <c r="AS961" s="1093" t="str">
        <f t="shared" si="205"/>
        <v/>
      </c>
      <c r="AT961" s="1156"/>
      <c r="AU961" s="449"/>
      <c r="AV961" s="1205"/>
    </row>
    <row r="962" spans="1:48" ht="16.5" customHeight="1">
      <c r="A962" s="1005" t="str">
        <f t="shared" si="195"/>
        <v/>
      </c>
      <c r="B962" s="1005" t="str">
        <f t="shared" si="196"/>
        <v/>
      </c>
      <c r="C962" s="1150" t="str">
        <f t="shared" si="197"/>
        <v/>
      </c>
      <c r="D962" s="1150" t="str">
        <f t="shared" si="198"/>
        <v/>
      </c>
      <c r="E962" s="1006" t="str">
        <f t="shared" si="199"/>
        <v/>
      </c>
      <c r="F962" s="1007" t="str">
        <f t="shared" si="200"/>
        <v/>
      </c>
      <c r="G962" s="1008" t="str">
        <f t="shared" si="201"/>
        <v/>
      </c>
      <c r="H962" s="1138">
        <f t="shared" si="202"/>
        <v>4.5472222222222163</v>
      </c>
      <c r="I962" s="1009"/>
      <c r="J962" s="1010" t="str">
        <f t="shared" si="203"/>
        <v/>
      </c>
      <c r="K962" s="1011"/>
      <c r="L962" s="1012"/>
      <c r="M962" s="1013"/>
      <c r="N962" s="1014" t="str">
        <f t="shared" si="204"/>
        <v/>
      </c>
      <c r="O962" s="1320"/>
      <c r="P962" s="1321"/>
      <c r="Q962" s="1321"/>
      <c r="R962" s="1321"/>
      <c r="S962" s="1321"/>
      <c r="T962" s="1322"/>
      <c r="U962" s="1015"/>
      <c r="V962" s="1015"/>
      <c r="W962" s="1015"/>
      <c r="X962" s="1015"/>
      <c r="Y962" s="1015"/>
      <c r="Z962" s="1016">
        <f>'09월 에너지'!S964</f>
        <v>0</v>
      </c>
      <c r="AA962" s="1017"/>
      <c r="AB962" s="1208"/>
      <c r="AC962" s="1208"/>
      <c r="AD962" s="1208"/>
      <c r="AE962" s="1208"/>
      <c r="AF962" s="1208"/>
      <c r="AG962" s="1018">
        <f>'09월 화학성분'!AM962</f>
        <v>0</v>
      </c>
      <c r="AH962" s="1006" t="str">
        <f t="shared" si="193"/>
        <v/>
      </c>
      <c r="AI962" s="1019"/>
      <c r="AJ962" s="1020"/>
      <c r="AK962" s="1021"/>
      <c r="AL962" s="1022"/>
      <c r="AM962" s="1155" t="str">
        <f>IF(AT962="","",3*'09월 에너지'!S964*(1/(3+7.8*(100-AT962)/AT962)))</f>
        <v/>
      </c>
      <c r="AN962" s="1023"/>
      <c r="AO962" s="1024"/>
      <c r="AP962" s="1025"/>
      <c r="AQ962" s="1025"/>
      <c r="AR962" s="1149" t="str">
        <f t="shared" si="194"/>
        <v/>
      </c>
      <c r="AS962" s="1093" t="str">
        <f t="shared" si="205"/>
        <v/>
      </c>
      <c r="AT962" s="1156"/>
      <c r="AU962" s="449"/>
      <c r="AV962" s="1205"/>
    </row>
    <row r="963" spans="1:48" ht="16.5" customHeight="1">
      <c r="A963" s="1005" t="str">
        <f t="shared" si="195"/>
        <v/>
      </c>
      <c r="B963" s="1005" t="str">
        <f t="shared" si="196"/>
        <v/>
      </c>
      <c r="C963" s="1150" t="str">
        <f t="shared" si="197"/>
        <v/>
      </c>
      <c r="D963" s="1150" t="str">
        <f t="shared" si="198"/>
        <v/>
      </c>
      <c r="E963" s="1006" t="str">
        <f t="shared" si="199"/>
        <v/>
      </c>
      <c r="F963" s="1007" t="str">
        <f t="shared" si="200"/>
        <v/>
      </c>
      <c r="G963" s="1008" t="str">
        <f t="shared" si="201"/>
        <v/>
      </c>
      <c r="H963" s="1138">
        <f t="shared" si="202"/>
        <v>4.5805555555555495</v>
      </c>
      <c r="I963" s="1009"/>
      <c r="J963" s="1010" t="str">
        <f t="shared" si="203"/>
        <v/>
      </c>
      <c r="K963" s="1011"/>
      <c r="L963" s="1012"/>
      <c r="M963" s="1013"/>
      <c r="N963" s="1014" t="str">
        <f t="shared" si="204"/>
        <v/>
      </c>
      <c r="O963" s="1320"/>
      <c r="P963" s="1321"/>
      <c r="Q963" s="1321"/>
      <c r="R963" s="1321"/>
      <c r="S963" s="1321"/>
      <c r="T963" s="1322"/>
      <c r="U963" s="1015"/>
      <c r="V963" s="1015"/>
      <c r="W963" s="1015"/>
      <c r="X963" s="1015"/>
      <c r="Y963" s="1015"/>
      <c r="Z963" s="1016">
        <f>'09월 에너지'!S965</f>
        <v>0</v>
      </c>
      <c r="AA963" s="1017"/>
      <c r="AB963" s="1208"/>
      <c r="AC963" s="1208"/>
      <c r="AD963" s="1208"/>
      <c r="AE963" s="1208"/>
      <c r="AF963" s="1208"/>
      <c r="AG963" s="1018">
        <f>'09월 화학성분'!AM963</f>
        <v>0</v>
      </c>
      <c r="AH963" s="1006" t="str">
        <f t="shared" si="193"/>
        <v/>
      </c>
      <c r="AI963" s="1019"/>
      <c r="AJ963" s="1020"/>
      <c r="AK963" s="1021"/>
      <c r="AL963" s="1022"/>
      <c r="AM963" s="1155" t="str">
        <f>IF(AT963="","",3*'09월 에너지'!S965*(1/(3+7.8*(100-AT963)/AT963)))</f>
        <v/>
      </c>
      <c r="AN963" s="1023"/>
      <c r="AO963" s="1024"/>
      <c r="AP963" s="1025"/>
      <c r="AQ963" s="1025"/>
      <c r="AR963" s="1149" t="str">
        <f t="shared" si="194"/>
        <v/>
      </c>
      <c r="AS963" s="1093" t="str">
        <f t="shared" si="205"/>
        <v/>
      </c>
      <c r="AT963" s="1156"/>
      <c r="AU963" s="449"/>
      <c r="AV963" s="1205"/>
    </row>
    <row r="964" spans="1:48" ht="16.5" customHeight="1">
      <c r="A964" s="1005" t="str">
        <f t="shared" si="195"/>
        <v/>
      </c>
      <c r="B964" s="1005" t="str">
        <f t="shared" si="196"/>
        <v/>
      </c>
      <c r="C964" s="1150" t="str">
        <f t="shared" si="197"/>
        <v/>
      </c>
      <c r="D964" s="1150" t="str">
        <f t="shared" si="198"/>
        <v/>
      </c>
      <c r="E964" s="1006" t="str">
        <f t="shared" si="199"/>
        <v/>
      </c>
      <c r="F964" s="1007" t="str">
        <f t="shared" si="200"/>
        <v/>
      </c>
      <c r="G964" s="1008" t="str">
        <f t="shared" si="201"/>
        <v/>
      </c>
      <c r="H964" s="1138">
        <f t="shared" si="202"/>
        <v>4.6138888888888827</v>
      </c>
      <c r="I964" s="1009"/>
      <c r="J964" s="1010" t="str">
        <f t="shared" si="203"/>
        <v/>
      </c>
      <c r="K964" s="1011"/>
      <c r="L964" s="1012"/>
      <c r="M964" s="1013"/>
      <c r="N964" s="1014" t="str">
        <f t="shared" si="204"/>
        <v/>
      </c>
      <c r="O964" s="1320"/>
      <c r="P964" s="1321"/>
      <c r="Q964" s="1321"/>
      <c r="R964" s="1321"/>
      <c r="S964" s="1321"/>
      <c r="T964" s="1322"/>
      <c r="U964" s="1015"/>
      <c r="V964" s="1015"/>
      <c r="W964" s="1015"/>
      <c r="X964" s="1015"/>
      <c r="Y964" s="1015"/>
      <c r="Z964" s="1016">
        <f>'09월 에너지'!S966</f>
        <v>0</v>
      </c>
      <c r="AA964" s="1017"/>
      <c r="AB964" s="1208"/>
      <c r="AC964" s="1208"/>
      <c r="AD964" s="1208"/>
      <c r="AE964" s="1208"/>
      <c r="AF964" s="1208"/>
      <c r="AG964" s="1018">
        <f>'09월 화학성분'!AM964</f>
        <v>0</v>
      </c>
      <c r="AH964" s="1006" t="str">
        <f t="shared" si="193"/>
        <v/>
      </c>
      <c r="AI964" s="1019"/>
      <c r="AJ964" s="1020"/>
      <c r="AK964" s="1021"/>
      <c r="AL964" s="1022"/>
      <c r="AM964" s="1155" t="str">
        <f>IF(AT964="","",3*'09월 에너지'!S966*(1/(3+7.8*(100-AT964)/AT964)))</f>
        <v/>
      </c>
      <c r="AN964" s="1023"/>
      <c r="AO964" s="1024"/>
      <c r="AP964" s="1025"/>
      <c r="AQ964" s="1025"/>
      <c r="AR964" s="1149" t="str">
        <f t="shared" si="194"/>
        <v/>
      </c>
      <c r="AS964" s="1093" t="str">
        <f t="shared" si="205"/>
        <v/>
      </c>
      <c r="AT964" s="1156"/>
      <c r="AU964" s="449"/>
      <c r="AV964" s="1205"/>
    </row>
    <row r="965" spans="1:48" ht="16.5" customHeight="1">
      <c r="A965" s="1005" t="str">
        <f t="shared" si="195"/>
        <v/>
      </c>
      <c r="B965" s="1005" t="str">
        <f t="shared" si="196"/>
        <v/>
      </c>
      <c r="C965" s="1150" t="str">
        <f t="shared" si="197"/>
        <v/>
      </c>
      <c r="D965" s="1150" t="str">
        <f t="shared" si="198"/>
        <v/>
      </c>
      <c r="E965" s="1006" t="str">
        <f t="shared" si="199"/>
        <v/>
      </c>
      <c r="F965" s="1007" t="str">
        <f t="shared" si="200"/>
        <v/>
      </c>
      <c r="G965" s="1008" t="str">
        <f t="shared" si="201"/>
        <v/>
      </c>
      <c r="H965" s="1138">
        <f t="shared" si="202"/>
        <v>4.6472222222222159</v>
      </c>
      <c r="I965" s="1009"/>
      <c r="J965" s="1010" t="str">
        <f t="shared" si="203"/>
        <v/>
      </c>
      <c r="K965" s="1011"/>
      <c r="L965" s="1012"/>
      <c r="M965" s="1013"/>
      <c r="N965" s="1014" t="str">
        <f t="shared" si="204"/>
        <v/>
      </c>
      <c r="O965" s="1320"/>
      <c r="P965" s="1321"/>
      <c r="Q965" s="1321"/>
      <c r="R965" s="1321"/>
      <c r="S965" s="1321"/>
      <c r="T965" s="1322"/>
      <c r="U965" s="1015"/>
      <c r="V965" s="1015"/>
      <c r="W965" s="1015"/>
      <c r="X965" s="1015"/>
      <c r="Y965" s="1015"/>
      <c r="Z965" s="1016">
        <f>'09월 에너지'!S967</f>
        <v>0</v>
      </c>
      <c r="AA965" s="1017"/>
      <c r="AB965" s="1208"/>
      <c r="AC965" s="1208"/>
      <c r="AD965" s="1208"/>
      <c r="AE965" s="1208"/>
      <c r="AF965" s="1208"/>
      <c r="AG965" s="1018">
        <f>'09월 화학성분'!AM965</f>
        <v>0</v>
      </c>
      <c r="AH965" s="1006" t="str">
        <f t="shared" si="193"/>
        <v/>
      </c>
      <c r="AI965" s="1019"/>
      <c r="AJ965" s="1020"/>
      <c r="AK965" s="1021"/>
      <c r="AL965" s="1022"/>
      <c r="AM965" s="1155" t="str">
        <f>IF(AT965="","",3*'09월 에너지'!S967*(1/(3+7.8*(100-AT965)/AT965)))</f>
        <v/>
      </c>
      <c r="AN965" s="1023"/>
      <c r="AO965" s="1024"/>
      <c r="AP965" s="1025"/>
      <c r="AQ965" s="1025"/>
      <c r="AR965" s="1149" t="str">
        <f t="shared" si="194"/>
        <v/>
      </c>
      <c r="AS965" s="1093" t="str">
        <f t="shared" si="205"/>
        <v/>
      </c>
      <c r="AT965" s="1156"/>
      <c r="AU965" s="449"/>
      <c r="AV965" s="1205"/>
    </row>
    <row r="966" spans="1:48" ht="16.5" customHeight="1">
      <c r="A966" s="1005" t="str">
        <f t="shared" si="195"/>
        <v/>
      </c>
      <c r="B966" s="1005" t="str">
        <f t="shared" si="196"/>
        <v/>
      </c>
      <c r="C966" s="1150" t="str">
        <f t="shared" si="197"/>
        <v/>
      </c>
      <c r="D966" s="1150" t="str">
        <f t="shared" si="198"/>
        <v/>
      </c>
      <c r="E966" s="1006" t="str">
        <f t="shared" si="199"/>
        <v/>
      </c>
      <c r="F966" s="1007" t="str">
        <f t="shared" si="200"/>
        <v/>
      </c>
      <c r="G966" s="1008" t="str">
        <f t="shared" si="201"/>
        <v/>
      </c>
      <c r="H966" s="1138">
        <f t="shared" si="202"/>
        <v>4.6805555555555491</v>
      </c>
      <c r="I966" s="1009"/>
      <c r="J966" s="1010" t="str">
        <f t="shared" si="203"/>
        <v/>
      </c>
      <c r="K966" s="1011"/>
      <c r="L966" s="1012"/>
      <c r="M966" s="1013"/>
      <c r="N966" s="1014" t="str">
        <f t="shared" si="204"/>
        <v/>
      </c>
      <c r="O966" s="1320"/>
      <c r="P966" s="1321"/>
      <c r="Q966" s="1321"/>
      <c r="R966" s="1321"/>
      <c r="S966" s="1321"/>
      <c r="T966" s="1322"/>
      <c r="U966" s="1015"/>
      <c r="V966" s="1015"/>
      <c r="W966" s="1015"/>
      <c r="X966" s="1015"/>
      <c r="Y966" s="1015"/>
      <c r="Z966" s="1016">
        <f>'09월 에너지'!S968</f>
        <v>0</v>
      </c>
      <c r="AA966" s="1017"/>
      <c r="AB966" s="1208"/>
      <c r="AC966" s="1208"/>
      <c r="AD966" s="1208"/>
      <c r="AE966" s="1208"/>
      <c r="AF966" s="1208"/>
      <c r="AG966" s="1018">
        <f>'09월 화학성분'!AM966</f>
        <v>0</v>
      </c>
      <c r="AH966" s="1006" t="str">
        <f t="shared" si="193"/>
        <v/>
      </c>
      <c r="AI966" s="1019"/>
      <c r="AJ966" s="1020"/>
      <c r="AK966" s="1021"/>
      <c r="AL966" s="1022"/>
      <c r="AM966" s="1155" t="str">
        <f>IF(AT966="","",3*'09월 에너지'!S968*(1/(3+7.8*(100-AT966)/AT966)))</f>
        <v/>
      </c>
      <c r="AN966" s="1023"/>
      <c r="AO966" s="1024"/>
      <c r="AP966" s="1025"/>
      <c r="AQ966" s="1025"/>
      <c r="AR966" s="1149" t="str">
        <f t="shared" si="194"/>
        <v/>
      </c>
      <c r="AS966" s="1093" t="str">
        <f t="shared" si="205"/>
        <v/>
      </c>
      <c r="AT966" s="1156"/>
      <c r="AU966" s="449"/>
      <c r="AV966" s="1205"/>
    </row>
    <row r="967" spans="1:48" ht="16.5" customHeight="1">
      <c r="A967" s="1005" t="str">
        <f t="shared" si="195"/>
        <v/>
      </c>
      <c r="B967" s="1005" t="str">
        <f t="shared" si="196"/>
        <v/>
      </c>
      <c r="C967" s="1150" t="str">
        <f t="shared" si="197"/>
        <v/>
      </c>
      <c r="D967" s="1150" t="str">
        <f t="shared" si="198"/>
        <v/>
      </c>
      <c r="E967" s="1006" t="str">
        <f t="shared" si="199"/>
        <v/>
      </c>
      <c r="F967" s="1007" t="str">
        <f t="shared" si="200"/>
        <v/>
      </c>
      <c r="G967" s="1008" t="str">
        <f t="shared" si="201"/>
        <v/>
      </c>
      <c r="H967" s="1138">
        <f t="shared" si="202"/>
        <v>4.7138888888888824</v>
      </c>
      <c r="I967" s="1009"/>
      <c r="J967" s="1010" t="str">
        <f t="shared" si="203"/>
        <v/>
      </c>
      <c r="K967" s="1011"/>
      <c r="L967" s="1012"/>
      <c r="M967" s="1013"/>
      <c r="N967" s="1014" t="str">
        <f t="shared" si="204"/>
        <v/>
      </c>
      <c r="O967" s="1320"/>
      <c r="P967" s="1321"/>
      <c r="Q967" s="1321"/>
      <c r="R967" s="1321"/>
      <c r="S967" s="1321"/>
      <c r="T967" s="1322"/>
      <c r="U967" s="1015"/>
      <c r="V967" s="1015"/>
      <c r="W967" s="1015"/>
      <c r="X967" s="1015"/>
      <c r="Y967" s="1015"/>
      <c r="Z967" s="1016">
        <f>'09월 에너지'!S969</f>
        <v>0</v>
      </c>
      <c r="AA967" s="1017"/>
      <c r="AB967" s="1208"/>
      <c r="AC967" s="1208"/>
      <c r="AD967" s="1208"/>
      <c r="AE967" s="1208"/>
      <c r="AF967" s="1208"/>
      <c r="AG967" s="1018">
        <f>'09월 화학성분'!AM967</f>
        <v>0</v>
      </c>
      <c r="AH967" s="1006" t="str">
        <f t="shared" si="193"/>
        <v/>
      </c>
      <c r="AI967" s="1019"/>
      <c r="AJ967" s="1020"/>
      <c r="AK967" s="1021"/>
      <c r="AL967" s="1022"/>
      <c r="AM967" s="1155" t="str">
        <f>IF(AT967="","",3*'09월 에너지'!S969*(1/(3+7.8*(100-AT967)/AT967)))</f>
        <v/>
      </c>
      <c r="AN967" s="1023"/>
      <c r="AO967" s="1024"/>
      <c r="AP967" s="1025"/>
      <c r="AQ967" s="1025"/>
      <c r="AR967" s="1149" t="str">
        <f t="shared" si="194"/>
        <v/>
      </c>
      <c r="AS967" s="1093" t="str">
        <f t="shared" si="205"/>
        <v/>
      </c>
      <c r="AT967" s="1156"/>
      <c r="AU967" s="449"/>
      <c r="AV967" s="1205"/>
    </row>
    <row r="968" spans="1:48" ht="16.5" customHeight="1">
      <c r="A968" s="1005" t="str">
        <f t="shared" si="195"/>
        <v/>
      </c>
      <c r="B968" s="1005" t="str">
        <f t="shared" si="196"/>
        <v/>
      </c>
      <c r="C968" s="1150" t="str">
        <f t="shared" si="197"/>
        <v/>
      </c>
      <c r="D968" s="1150" t="str">
        <f t="shared" si="198"/>
        <v/>
      </c>
      <c r="E968" s="1006" t="str">
        <f t="shared" si="199"/>
        <v/>
      </c>
      <c r="F968" s="1007" t="str">
        <f t="shared" si="200"/>
        <v/>
      </c>
      <c r="G968" s="1008" t="str">
        <f t="shared" si="201"/>
        <v/>
      </c>
      <c r="H968" s="1138">
        <f t="shared" si="202"/>
        <v>4.7472222222222156</v>
      </c>
      <c r="I968" s="1009"/>
      <c r="J968" s="1010" t="str">
        <f t="shared" si="203"/>
        <v/>
      </c>
      <c r="K968" s="1011"/>
      <c r="L968" s="1012"/>
      <c r="M968" s="1013"/>
      <c r="N968" s="1014" t="str">
        <f t="shared" si="204"/>
        <v/>
      </c>
      <c r="O968" s="1320"/>
      <c r="P968" s="1321"/>
      <c r="Q968" s="1321"/>
      <c r="R968" s="1321"/>
      <c r="S968" s="1321"/>
      <c r="T968" s="1322"/>
      <c r="U968" s="1015"/>
      <c r="V968" s="1015"/>
      <c r="W968" s="1015"/>
      <c r="X968" s="1015"/>
      <c r="Y968" s="1015"/>
      <c r="Z968" s="1016">
        <f>'09월 에너지'!S970</f>
        <v>0</v>
      </c>
      <c r="AA968" s="1017"/>
      <c r="AB968" s="1208"/>
      <c r="AC968" s="1208"/>
      <c r="AD968" s="1208"/>
      <c r="AE968" s="1208"/>
      <c r="AF968" s="1208"/>
      <c r="AG968" s="1018">
        <f>'09월 화학성분'!AM968</f>
        <v>0</v>
      </c>
      <c r="AH968" s="1006" t="str">
        <f t="shared" si="193"/>
        <v/>
      </c>
      <c r="AI968" s="1019"/>
      <c r="AJ968" s="1020"/>
      <c r="AK968" s="1021"/>
      <c r="AL968" s="1022"/>
      <c r="AM968" s="1155" t="str">
        <f>IF(AT968="","",3*'09월 에너지'!S970*(1/(3+7.8*(100-AT968)/AT968)))</f>
        <v/>
      </c>
      <c r="AN968" s="1023"/>
      <c r="AO968" s="1024"/>
      <c r="AP968" s="1025"/>
      <c r="AQ968" s="1025"/>
      <c r="AR968" s="1149" t="str">
        <f t="shared" si="194"/>
        <v/>
      </c>
      <c r="AS968" s="1093" t="str">
        <f t="shared" si="205"/>
        <v/>
      </c>
      <c r="AT968" s="1156"/>
      <c r="AU968" s="449"/>
      <c r="AV968" s="1205"/>
    </row>
    <row r="969" spans="1:48" ht="16.5" customHeight="1">
      <c r="A969" s="1005" t="str">
        <f t="shared" si="195"/>
        <v/>
      </c>
      <c r="B969" s="1005" t="str">
        <f t="shared" si="196"/>
        <v/>
      </c>
      <c r="C969" s="1150" t="str">
        <f t="shared" si="197"/>
        <v/>
      </c>
      <c r="D969" s="1150" t="str">
        <f t="shared" si="198"/>
        <v/>
      </c>
      <c r="E969" s="1006" t="str">
        <f t="shared" si="199"/>
        <v/>
      </c>
      <c r="F969" s="1007" t="str">
        <f t="shared" si="200"/>
        <v/>
      </c>
      <c r="G969" s="1008" t="str">
        <f t="shared" si="201"/>
        <v/>
      </c>
      <c r="H969" s="1138">
        <f t="shared" si="202"/>
        <v>4.7805555555555488</v>
      </c>
      <c r="I969" s="1009"/>
      <c r="J969" s="1010" t="str">
        <f t="shared" si="203"/>
        <v/>
      </c>
      <c r="K969" s="1011"/>
      <c r="L969" s="1012"/>
      <c r="M969" s="1013"/>
      <c r="N969" s="1014" t="str">
        <f t="shared" si="204"/>
        <v/>
      </c>
      <c r="O969" s="1320"/>
      <c r="P969" s="1321"/>
      <c r="Q969" s="1321"/>
      <c r="R969" s="1321"/>
      <c r="S969" s="1321"/>
      <c r="T969" s="1322"/>
      <c r="U969" s="1015"/>
      <c r="V969" s="1015"/>
      <c r="W969" s="1015"/>
      <c r="X969" s="1015"/>
      <c r="Y969" s="1015"/>
      <c r="Z969" s="1016">
        <f>'09월 에너지'!S971</f>
        <v>0</v>
      </c>
      <c r="AA969" s="1017"/>
      <c r="AB969" s="1208"/>
      <c r="AC969" s="1208"/>
      <c r="AD969" s="1208"/>
      <c r="AE969" s="1208"/>
      <c r="AF969" s="1208"/>
      <c r="AG969" s="1018">
        <f>'09월 화학성분'!AM969</f>
        <v>0</v>
      </c>
      <c r="AH969" s="1006" t="str">
        <f t="shared" si="193"/>
        <v/>
      </c>
      <c r="AI969" s="1019"/>
      <c r="AJ969" s="1020"/>
      <c r="AK969" s="1021"/>
      <c r="AL969" s="1022"/>
      <c r="AM969" s="1155" t="str">
        <f>IF(AT969="","",3*'09월 에너지'!S971*(1/(3+7.8*(100-AT969)/AT969)))</f>
        <v/>
      </c>
      <c r="AN969" s="1023"/>
      <c r="AO969" s="1024"/>
      <c r="AP969" s="1025"/>
      <c r="AQ969" s="1025"/>
      <c r="AR969" s="1149" t="str">
        <f t="shared" si="194"/>
        <v/>
      </c>
      <c r="AS969" s="1093" t="str">
        <f t="shared" si="205"/>
        <v/>
      </c>
      <c r="AT969" s="1156"/>
      <c r="AU969" s="449"/>
      <c r="AV969" s="1205"/>
    </row>
    <row r="970" spans="1:48" ht="16.5" customHeight="1">
      <c r="A970" s="1005" t="str">
        <f t="shared" si="195"/>
        <v/>
      </c>
      <c r="B970" s="1005" t="str">
        <f t="shared" si="196"/>
        <v/>
      </c>
      <c r="C970" s="1150" t="str">
        <f t="shared" si="197"/>
        <v/>
      </c>
      <c r="D970" s="1150" t="str">
        <f t="shared" si="198"/>
        <v/>
      </c>
      <c r="E970" s="1006" t="str">
        <f t="shared" si="199"/>
        <v/>
      </c>
      <c r="F970" s="1007" t="str">
        <f t="shared" si="200"/>
        <v/>
      </c>
      <c r="G970" s="1008" t="str">
        <f t="shared" si="201"/>
        <v/>
      </c>
      <c r="H970" s="1138">
        <f t="shared" si="202"/>
        <v>4.813888888888882</v>
      </c>
      <c r="I970" s="1009"/>
      <c r="J970" s="1010" t="str">
        <f t="shared" si="203"/>
        <v/>
      </c>
      <c r="K970" s="1011"/>
      <c r="L970" s="1012"/>
      <c r="M970" s="1013"/>
      <c r="N970" s="1014" t="str">
        <f t="shared" si="204"/>
        <v/>
      </c>
      <c r="O970" s="1320"/>
      <c r="P970" s="1321"/>
      <c r="Q970" s="1321"/>
      <c r="R970" s="1321"/>
      <c r="S970" s="1321"/>
      <c r="T970" s="1322"/>
      <c r="U970" s="1015"/>
      <c r="V970" s="1015"/>
      <c r="W970" s="1015"/>
      <c r="X970" s="1015"/>
      <c r="Y970" s="1015"/>
      <c r="Z970" s="1016">
        <f>'09월 에너지'!S972</f>
        <v>0</v>
      </c>
      <c r="AA970" s="1017"/>
      <c r="AB970" s="1208"/>
      <c r="AC970" s="1208"/>
      <c r="AD970" s="1208"/>
      <c r="AE970" s="1208"/>
      <c r="AF970" s="1208"/>
      <c r="AG970" s="1018">
        <f>'09월 화학성분'!AM970</f>
        <v>0</v>
      </c>
      <c r="AH970" s="1006" t="str">
        <f t="shared" si="193"/>
        <v/>
      </c>
      <c r="AI970" s="1019"/>
      <c r="AJ970" s="1020"/>
      <c r="AK970" s="1021"/>
      <c r="AL970" s="1022"/>
      <c r="AM970" s="1155" t="str">
        <f>IF(AT970="","",3*'09월 에너지'!S972*(1/(3+7.8*(100-AT970)/AT970)))</f>
        <v/>
      </c>
      <c r="AN970" s="1023"/>
      <c r="AO970" s="1024"/>
      <c r="AP970" s="1025"/>
      <c r="AQ970" s="1025"/>
      <c r="AR970" s="1149" t="str">
        <f t="shared" si="194"/>
        <v/>
      </c>
      <c r="AS970" s="1093" t="str">
        <f t="shared" si="205"/>
        <v/>
      </c>
      <c r="AT970" s="1156"/>
      <c r="AU970" s="449"/>
      <c r="AV970" s="1205"/>
    </row>
    <row r="971" spans="1:48" ht="16.5" customHeight="1">
      <c r="A971" s="1005" t="str">
        <f t="shared" si="195"/>
        <v/>
      </c>
      <c r="B971" s="1005" t="str">
        <f t="shared" si="196"/>
        <v/>
      </c>
      <c r="C971" s="1150" t="str">
        <f t="shared" si="197"/>
        <v/>
      </c>
      <c r="D971" s="1150" t="str">
        <f t="shared" si="198"/>
        <v/>
      </c>
      <c r="E971" s="1006" t="str">
        <f t="shared" si="199"/>
        <v/>
      </c>
      <c r="F971" s="1007" t="str">
        <f t="shared" si="200"/>
        <v/>
      </c>
      <c r="G971" s="1008" t="str">
        <f t="shared" si="201"/>
        <v/>
      </c>
      <c r="H971" s="1138">
        <f t="shared" si="202"/>
        <v>4.8472222222222152</v>
      </c>
      <c r="I971" s="1009"/>
      <c r="J971" s="1010" t="str">
        <f t="shared" si="203"/>
        <v/>
      </c>
      <c r="K971" s="1011"/>
      <c r="L971" s="1012"/>
      <c r="M971" s="1013"/>
      <c r="N971" s="1014" t="str">
        <f t="shared" si="204"/>
        <v/>
      </c>
      <c r="O971" s="1320"/>
      <c r="P971" s="1321"/>
      <c r="Q971" s="1321"/>
      <c r="R971" s="1321"/>
      <c r="S971" s="1321"/>
      <c r="T971" s="1322"/>
      <c r="U971" s="1015"/>
      <c r="V971" s="1015"/>
      <c r="W971" s="1015"/>
      <c r="X971" s="1015"/>
      <c r="Y971" s="1015"/>
      <c r="Z971" s="1016">
        <f>'09월 에너지'!S973</f>
        <v>0</v>
      </c>
      <c r="AA971" s="1017"/>
      <c r="AB971" s="1208"/>
      <c r="AC971" s="1208"/>
      <c r="AD971" s="1208"/>
      <c r="AE971" s="1208"/>
      <c r="AF971" s="1208"/>
      <c r="AG971" s="1018">
        <f>'09월 화학성분'!AM971</f>
        <v>0</v>
      </c>
      <c r="AH971" s="1006" t="str">
        <f t="shared" si="193"/>
        <v/>
      </c>
      <c r="AI971" s="1019"/>
      <c r="AJ971" s="1020"/>
      <c r="AK971" s="1021"/>
      <c r="AL971" s="1022"/>
      <c r="AM971" s="1155" t="str">
        <f>IF(AT971="","",3*'09월 에너지'!S973*(1/(3+7.8*(100-AT971)/AT971)))</f>
        <v/>
      </c>
      <c r="AN971" s="1023"/>
      <c r="AO971" s="1024"/>
      <c r="AP971" s="1025"/>
      <c r="AQ971" s="1025"/>
      <c r="AR971" s="1149" t="str">
        <f t="shared" si="194"/>
        <v/>
      </c>
      <c r="AS971" s="1093" t="str">
        <f t="shared" si="205"/>
        <v/>
      </c>
      <c r="AT971" s="1156"/>
      <c r="AU971" s="449"/>
      <c r="AV971" s="1205"/>
    </row>
    <row r="972" spans="1:48" ht="16.5" customHeight="1">
      <c r="A972" s="1005" t="str">
        <f t="shared" si="195"/>
        <v/>
      </c>
      <c r="B972" s="1005" t="str">
        <f t="shared" si="196"/>
        <v/>
      </c>
      <c r="C972" s="1150" t="str">
        <f t="shared" si="197"/>
        <v/>
      </c>
      <c r="D972" s="1150" t="str">
        <f t="shared" si="198"/>
        <v/>
      </c>
      <c r="E972" s="1006" t="str">
        <f t="shared" si="199"/>
        <v/>
      </c>
      <c r="F972" s="1007" t="str">
        <f t="shared" si="200"/>
        <v/>
      </c>
      <c r="G972" s="1008" t="str">
        <f t="shared" si="201"/>
        <v/>
      </c>
      <c r="H972" s="1138">
        <f t="shared" si="202"/>
        <v>4.8805555555555484</v>
      </c>
      <c r="I972" s="1009"/>
      <c r="J972" s="1010" t="str">
        <f t="shared" si="203"/>
        <v/>
      </c>
      <c r="K972" s="1011"/>
      <c r="L972" s="1012"/>
      <c r="M972" s="1013"/>
      <c r="N972" s="1014" t="str">
        <f t="shared" si="204"/>
        <v/>
      </c>
      <c r="O972" s="1320"/>
      <c r="P972" s="1321"/>
      <c r="Q972" s="1321"/>
      <c r="R972" s="1321"/>
      <c r="S972" s="1321"/>
      <c r="T972" s="1322"/>
      <c r="U972" s="1015"/>
      <c r="V972" s="1015"/>
      <c r="W972" s="1015"/>
      <c r="X972" s="1015"/>
      <c r="Y972" s="1015"/>
      <c r="Z972" s="1016">
        <f>'09월 에너지'!S974</f>
        <v>0</v>
      </c>
      <c r="AA972" s="1017"/>
      <c r="AB972" s="1208"/>
      <c r="AC972" s="1208"/>
      <c r="AD972" s="1208"/>
      <c r="AE972" s="1208"/>
      <c r="AF972" s="1208"/>
      <c r="AG972" s="1018">
        <f>'09월 화학성분'!AM972</f>
        <v>0</v>
      </c>
      <c r="AH972" s="1006" t="str">
        <f t="shared" si="193"/>
        <v/>
      </c>
      <c r="AI972" s="1019"/>
      <c r="AJ972" s="1020"/>
      <c r="AK972" s="1021"/>
      <c r="AL972" s="1022"/>
      <c r="AM972" s="1155" t="str">
        <f>IF(AT972="","",3*'09월 에너지'!S974*(1/(3+7.8*(100-AT972)/AT972)))</f>
        <v/>
      </c>
      <c r="AN972" s="1023"/>
      <c r="AO972" s="1024"/>
      <c r="AP972" s="1025"/>
      <c r="AQ972" s="1025"/>
      <c r="AR972" s="1149" t="str">
        <f t="shared" si="194"/>
        <v/>
      </c>
      <c r="AS972" s="1093" t="str">
        <f t="shared" si="205"/>
        <v/>
      </c>
      <c r="AT972" s="1156"/>
      <c r="AU972" s="449"/>
      <c r="AV972" s="1205"/>
    </row>
    <row r="973" spans="1:48" ht="16.5" customHeight="1">
      <c r="A973" s="1005" t="str">
        <f t="shared" si="195"/>
        <v/>
      </c>
      <c r="B973" s="1005" t="str">
        <f t="shared" si="196"/>
        <v/>
      </c>
      <c r="C973" s="1150" t="str">
        <f t="shared" si="197"/>
        <v/>
      </c>
      <c r="D973" s="1150" t="str">
        <f t="shared" si="198"/>
        <v/>
      </c>
      <c r="E973" s="1006" t="str">
        <f t="shared" si="199"/>
        <v/>
      </c>
      <c r="F973" s="1007" t="str">
        <f t="shared" si="200"/>
        <v/>
      </c>
      <c r="G973" s="1008" t="str">
        <f t="shared" si="201"/>
        <v/>
      </c>
      <c r="H973" s="1138">
        <f t="shared" si="202"/>
        <v>4.9138888888888816</v>
      </c>
      <c r="I973" s="1009"/>
      <c r="J973" s="1010" t="str">
        <f t="shared" si="203"/>
        <v/>
      </c>
      <c r="K973" s="1011"/>
      <c r="L973" s="1012"/>
      <c r="M973" s="1013"/>
      <c r="N973" s="1014" t="str">
        <f t="shared" si="204"/>
        <v/>
      </c>
      <c r="O973" s="1320"/>
      <c r="P973" s="1321"/>
      <c r="Q973" s="1321"/>
      <c r="R973" s="1321"/>
      <c r="S973" s="1321"/>
      <c r="T973" s="1322"/>
      <c r="U973" s="1015"/>
      <c r="V973" s="1015"/>
      <c r="W973" s="1015"/>
      <c r="X973" s="1015"/>
      <c r="Y973" s="1015"/>
      <c r="Z973" s="1016">
        <f>'09월 에너지'!S975</f>
        <v>0</v>
      </c>
      <c r="AA973" s="1017"/>
      <c r="AB973" s="1208"/>
      <c r="AC973" s="1208"/>
      <c r="AD973" s="1208"/>
      <c r="AE973" s="1208"/>
      <c r="AF973" s="1208"/>
      <c r="AG973" s="1018">
        <f>'09월 화학성분'!AM973</f>
        <v>0</v>
      </c>
      <c r="AH973" s="1006" t="str">
        <f t="shared" si="193"/>
        <v/>
      </c>
      <c r="AI973" s="1019"/>
      <c r="AJ973" s="1020"/>
      <c r="AK973" s="1021"/>
      <c r="AL973" s="1022"/>
      <c r="AM973" s="1155" t="str">
        <f>IF(AT973="","",3*'09월 에너지'!S975*(1/(3+7.8*(100-AT973)/AT973)))</f>
        <v/>
      </c>
      <c r="AN973" s="1023"/>
      <c r="AO973" s="1024"/>
      <c r="AP973" s="1025"/>
      <c r="AQ973" s="1025"/>
      <c r="AR973" s="1149" t="str">
        <f t="shared" ref="AR973:AR977" si="206">IF(F973="A",IFERROR(IF(I973="","",IF(F973="A",AR972+1," ")),AR971+1),"")</f>
        <v/>
      </c>
      <c r="AS973" s="1093" t="str">
        <f t="shared" si="205"/>
        <v/>
      </c>
      <c r="AT973" s="1156"/>
      <c r="AU973" s="449"/>
      <c r="AV973" s="1205"/>
    </row>
    <row r="974" spans="1:48" ht="16.5" customHeight="1">
      <c r="A974" s="1005" t="str">
        <f t="shared" ref="A974:A977" si="207">IF(I974="","",A973)</f>
        <v/>
      </c>
      <c r="B974" s="1005" t="str">
        <f t="shared" ref="B974:B977" si="208">IF(J974="","",B973)</f>
        <v/>
      </c>
      <c r="C974" s="1150" t="str">
        <f t="shared" ref="C974:C977" si="209">IF(I974="","",IF(A974=A973,C973+1,1))</f>
        <v/>
      </c>
      <c r="D974" s="1150" t="str">
        <f t="shared" ref="D974:D977" si="210">IF(C974="","",D973+1)</f>
        <v/>
      </c>
      <c r="E974" s="1006" t="str">
        <f t="shared" ref="E974:E977" si="211">IF(C974="","",E973)</f>
        <v/>
      </c>
      <c r="F974" s="1007" t="str">
        <f t="shared" ref="F974:F977" si="212">IF(C974="","",IF(F973="A","B","A"))</f>
        <v/>
      </c>
      <c r="G974" s="1008" t="str">
        <f t="shared" ref="G974:G977" si="213">IF(C974="","",G973+1)</f>
        <v/>
      </c>
      <c r="H974" s="1138">
        <f t="shared" ref="H974:H977" si="214">IF(ISBLANK(I973),H973+C$8/1440,I973+C$8/1440)</f>
        <v>4.9472222222222149</v>
      </c>
      <c r="I974" s="1009"/>
      <c r="J974" s="1010" t="str">
        <f t="shared" ref="J974:J977" si="215">IF(I974="","",IF(I974&lt;I973,(I974-I973)*1440+1440,(I974-I973)*1440))</f>
        <v/>
      </c>
      <c r="K974" s="1011"/>
      <c r="L974" s="1012"/>
      <c r="M974" s="1013"/>
      <c r="N974" s="1014" t="str">
        <f t="shared" ref="N974:N977" si="216">IF(M974="","",M974+K974/1440)</f>
        <v/>
      </c>
      <c r="O974" s="1320"/>
      <c r="P974" s="1321"/>
      <c r="Q974" s="1321"/>
      <c r="R974" s="1321"/>
      <c r="S974" s="1321"/>
      <c r="T974" s="1322"/>
      <c r="U974" s="1015"/>
      <c r="V974" s="1015"/>
      <c r="W974" s="1015"/>
      <c r="X974" s="1015"/>
      <c r="Y974" s="1015"/>
      <c r="Z974" s="1016">
        <f>'09월 에너지'!S976</f>
        <v>0</v>
      </c>
      <c r="AA974" s="1017"/>
      <c r="AB974" s="1208"/>
      <c r="AC974" s="1208"/>
      <c r="AD974" s="1208"/>
      <c r="AE974" s="1208"/>
      <c r="AF974" s="1208"/>
      <c r="AG974" s="1018">
        <f>'09월 화학성분'!AM974</f>
        <v>0</v>
      </c>
      <c r="AH974" s="1006" t="str">
        <f t="shared" si="193"/>
        <v/>
      </c>
      <c r="AI974" s="1019"/>
      <c r="AJ974" s="1020"/>
      <c r="AK974" s="1021"/>
      <c r="AL974" s="1022"/>
      <c r="AM974" s="1155" t="str">
        <f>IF(AT974="","",3*'09월 에너지'!S976*(1/(3+7.8*(100-AT974)/AT974)))</f>
        <v/>
      </c>
      <c r="AN974" s="1023"/>
      <c r="AO974" s="1024"/>
      <c r="AP974" s="1025"/>
      <c r="AQ974" s="1025"/>
      <c r="AR974" s="1149" t="str">
        <f t="shared" si="206"/>
        <v/>
      </c>
      <c r="AS974" s="1093" t="str">
        <f t="shared" ref="AS974:AS977" si="217">IFERROR(IF($I974="","",IF($F974="B",AS973+1," ")),AS972+1)</f>
        <v/>
      </c>
      <c r="AT974" s="1156"/>
      <c r="AU974" s="449"/>
      <c r="AV974" s="1205"/>
    </row>
    <row r="975" spans="1:48" ht="16.5" customHeight="1">
      <c r="A975" s="1005" t="str">
        <f t="shared" si="207"/>
        <v/>
      </c>
      <c r="B975" s="1005" t="str">
        <f t="shared" si="208"/>
        <v/>
      </c>
      <c r="C975" s="1150" t="str">
        <f t="shared" si="209"/>
        <v/>
      </c>
      <c r="D975" s="1150" t="str">
        <f t="shared" si="210"/>
        <v/>
      </c>
      <c r="E975" s="1006" t="str">
        <f t="shared" si="211"/>
        <v/>
      </c>
      <c r="F975" s="1007" t="str">
        <f t="shared" si="212"/>
        <v/>
      </c>
      <c r="G975" s="1008" t="str">
        <f t="shared" si="213"/>
        <v/>
      </c>
      <c r="H975" s="1138">
        <f t="shared" si="214"/>
        <v>4.9805555555555481</v>
      </c>
      <c r="I975" s="1009"/>
      <c r="J975" s="1010" t="str">
        <f t="shared" si="215"/>
        <v/>
      </c>
      <c r="K975" s="1011"/>
      <c r="L975" s="1012"/>
      <c r="M975" s="1013"/>
      <c r="N975" s="1014" t="str">
        <f t="shared" si="216"/>
        <v/>
      </c>
      <c r="O975" s="1320"/>
      <c r="P975" s="1321"/>
      <c r="Q975" s="1321"/>
      <c r="R975" s="1321"/>
      <c r="S975" s="1321"/>
      <c r="T975" s="1322"/>
      <c r="U975" s="1015"/>
      <c r="V975" s="1015"/>
      <c r="W975" s="1015"/>
      <c r="X975" s="1015"/>
      <c r="Y975" s="1015"/>
      <c r="Z975" s="1016">
        <f>'09월 에너지'!S977</f>
        <v>0</v>
      </c>
      <c r="AA975" s="1017"/>
      <c r="AB975" s="1208"/>
      <c r="AC975" s="1208"/>
      <c r="AD975" s="1208"/>
      <c r="AE975" s="1208"/>
      <c r="AF975" s="1208"/>
      <c r="AG975" s="1018">
        <f>'09월 화학성분'!AM975</f>
        <v>0</v>
      </c>
      <c r="AH975" s="1006" t="str">
        <f t="shared" si="193"/>
        <v/>
      </c>
      <c r="AI975" s="1019"/>
      <c r="AJ975" s="1020"/>
      <c r="AK975" s="1021"/>
      <c r="AL975" s="1022"/>
      <c r="AM975" s="1155" t="str">
        <f>IF(AT975="","",3*'09월 에너지'!S977*(1/(3+7.8*(100-AT975)/AT975)))</f>
        <v/>
      </c>
      <c r="AN975" s="1023"/>
      <c r="AO975" s="1024"/>
      <c r="AP975" s="1025"/>
      <c r="AQ975" s="1025"/>
      <c r="AR975" s="1149" t="str">
        <f t="shared" si="206"/>
        <v/>
      </c>
      <c r="AS975" s="1093" t="str">
        <f t="shared" si="217"/>
        <v/>
      </c>
      <c r="AT975" s="1156"/>
      <c r="AU975" s="449"/>
      <c r="AV975" s="1205"/>
    </row>
    <row r="976" spans="1:48" ht="16.5" customHeight="1">
      <c r="A976" s="1005" t="str">
        <f t="shared" si="207"/>
        <v/>
      </c>
      <c r="B976" s="1005" t="str">
        <f t="shared" si="208"/>
        <v/>
      </c>
      <c r="C976" s="1150" t="str">
        <f t="shared" si="209"/>
        <v/>
      </c>
      <c r="D976" s="1150" t="str">
        <f t="shared" si="210"/>
        <v/>
      </c>
      <c r="E976" s="1006" t="str">
        <f t="shared" si="211"/>
        <v/>
      </c>
      <c r="F976" s="1007" t="str">
        <f t="shared" si="212"/>
        <v/>
      </c>
      <c r="G976" s="1008" t="str">
        <f t="shared" si="213"/>
        <v/>
      </c>
      <c r="H976" s="1138">
        <f t="shared" si="214"/>
        <v>5.0138888888888813</v>
      </c>
      <c r="I976" s="1009"/>
      <c r="J976" s="1010" t="str">
        <f t="shared" si="215"/>
        <v/>
      </c>
      <c r="K976" s="1011"/>
      <c r="L976" s="1012"/>
      <c r="M976" s="1013"/>
      <c r="N976" s="1014" t="str">
        <f t="shared" si="216"/>
        <v/>
      </c>
      <c r="O976" s="1320"/>
      <c r="P976" s="1321"/>
      <c r="Q976" s="1321"/>
      <c r="R976" s="1321"/>
      <c r="S976" s="1321"/>
      <c r="T976" s="1322"/>
      <c r="U976" s="1015"/>
      <c r="V976" s="1015"/>
      <c r="W976" s="1015"/>
      <c r="X976" s="1015"/>
      <c r="Y976" s="1015"/>
      <c r="Z976" s="1016">
        <f>'09월 에너지'!S978</f>
        <v>0</v>
      </c>
      <c r="AA976" s="1017"/>
      <c r="AB976" s="1208"/>
      <c r="AC976" s="1208"/>
      <c r="AD976" s="1208"/>
      <c r="AE976" s="1208"/>
      <c r="AF976" s="1208"/>
      <c r="AG976" s="1018">
        <f>'09월 화학성분'!AM976</f>
        <v>0</v>
      </c>
      <c r="AH976" s="1006" t="str">
        <f t="shared" si="193"/>
        <v/>
      </c>
      <c r="AI976" s="1019"/>
      <c r="AJ976" s="1020"/>
      <c r="AK976" s="1021"/>
      <c r="AL976" s="1022"/>
      <c r="AM976" s="1155" t="str">
        <f>IF(AT976="","",3*'09월 에너지'!S978*(1/(3+7.8*(100-AT976)/AT976)))</f>
        <v/>
      </c>
      <c r="AN976" s="1023"/>
      <c r="AO976" s="1024"/>
      <c r="AP976" s="1025"/>
      <c r="AQ976" s="1025"/>
      <c r="AR976" s="1149" t="str">
        <f t="shared" si="206"/>
        <v/>
      </c>
      <c r="AS976" s="1093" t="str">
        <f t="shared" si="217"/>
        <v/>
      </c>
      <c r="AT976" s="1156"/>
      <c r="AU976" s="449"/>
      <c r="AV976" s="1205"/>
    </row>
    <row r="977" spans="1:48" ht="16.5" customHeight="1">
      <c r="A977" s="1005" t="str">
        <f t="shared" si="207"/>
        <v/>
      </c>
      <c r="B977" s="1005" t="str">
        <f t="shared" si="208"/>
        <v/>
      </c>
      <c r="C977" s="1150" t="str">
        <f t="shared" si="209"/>
        <v/>
      </c>
      <c r="D977" s="1150" t="str">
        <f t="shared" si="210"/>
        <v/>
      </c>
      <c r="E977" s="1006" t="str">
        <f t="shared" si="211"/>
        <v/>
      </c>
      <c r="F977" s="1007" t="str">
        <f t="shared" si="212"/>
        <v/>
      </c>
      <c r="G977" s="1008" t="str">
        <f t="shared" si="213"/>
        <v/>
      </c>
      <c r="H977" s="1138">
        <f t="shared" si="214"/>
        <v>5.0472222222222145</v>
      </c>
      <c r="I977" s="1009"/>
      <c r="J977" s="1010" t="str">
        <f t="shared" si="215"/>
        <v/>
      </c>
      <c r="K977" s="1011"/>
      <c r="L977" s="1012"/>
      <c r="M977" s="1013"/>
      <c r="N977" s="1014" t="str">
        <f t="shared" si="216"/>
        <v/>
      </c>
      <c r="O977" s="1320"/>
      <c r="P977" s="1321"/>
      <c r="Q977" s="1321"/>
      <c r="R977" s="1321"/>
      <c r="S977" s="1321"/>
      <c r="T977" s="1322"/>
      <c r="U977" s="1015"/>
      <c r="V977" s="1015"/>
      <c r="W977" s="1015"/>
      <c r="X977" s="1015"/>
      <c r="Y977" s="1015"/>
      <c r="Z977" s="1016">
        <f>'09월 에너지'!S979</f>
        <v>0</v>
      </c>
      <c r="AA977" s="1017"/>
      <c r="AB977" s="1208"/>
      <c r="AC977" s="1208"/>
      <c r="AD977" s="1208"/>
      <c r="AE977" s="1208"/>
      <c r="AF977" s="1208"/>
      <c r="AG977" s="1018">
        <f>'09월 화학성분'!AM977</f>
        <v>0</v>
      </c>
      <c r="AH977" s="1006" t="str">
        <f t="shared" si="193"/>
        <v/>
      </c>
      <c r="AI977" s="1019"/>
      <c r="AJ977" s="1020"/>
      <c r="AK977" s="1021"/>
      <c r="AL977" s="1022"/>
      <c r="AM977" s="1155" t="str">
        <f>IF(AT977="","",3*'09월 에너지'!S979*(1/(3+7.8*(100-AT977)/AT977)))</f>
        <v/>
      </c>
      <c r="AN977" s="1023"/>
      <c r="AO977" s="1024"/>
      <c r="AP977" s="1025"/>
      <c r="AQ977" s="1025"/>
      <c r="AR977" s="1149" t="str">
        <f t="shared" si="206"/>
        <v/>
      </c>
      <c r="AS977" s="1093" t="str">
        <f t="shared" si="217"/>
        <v/>
      </c>
      <c r="AT977" s="1156"/>
      <c r="AU977" s="449"/>
      <c r="AV977" s="1205"/>
    </row>
    <row r="978" spans="1:48" ht="16.5" customHeight="1">
      <c r="U978" s="451"/>
      <c r="V978" s="451"/>
      <c r="W978" s="451"/>
      <c r="X978" s="451"/>
      <c r="Y978" s="451"/>
      <c r="Z978" s="451"/>
      <c r="AA978" s="454"/>
      <c r="AB978" s="454"/>
      <c r="AC978" s="454"/>
      <c r="AD978" s="454"/>
      <c r="AE978" s="454"/>
      <c r="AF978" s="454"/>
    </row>
  </sheetData>
  <sheetProtection formatCells="0" formatColumns="0" formatRows="0" insertColumns="0" insertRows="0" insertHyperlinks="0" deleteColumns="0" deleteRows="0" selectLockedCells="1" sort="0" autoFilter="0" pivotTables="0"/>
  <mergeCells count="1037">
    <mergeCell ref="O441:T441"/>
    <mergeCell ref="O319:T319"/>
    <mergeCell ref="O327:T327"/>
    <mergeCell ref="O335:T335"/>
    <mergeCell ref="O389:T389"/>
    <mergeCell ref="O390:T390"/>
    <mergeCell ref="A3:C3"/>
    <mergeCell ref="D3:G3"/>
    <mergeCell ref="H3:J3"/>
    <mergeCell ref="A4:A5"/>
    <mergeCell ref="B4:C4"/>
    <mergeCell ref="D4:G4"/>
    <mergeCell ref="H4:J4"/>
    <mergeCell ref="B5:C5"/>
    <mergeCell ref="D5:G5"/>
    <mergeCell ref="H5:J5"/>
    <mergeCell ref="O386:T386"/>
    <mergeCell ref="O346:T346"/>
    <mergeCell ref="O347:T347"/>
    <mergeCell ref="O373:T373"/>
    <mergeCell ref="O374:T374"/>
    <mergeCell ref="O375:T375"/>
    <mergeCell ref="O376:T376"/>
    <mergeCell ref="O377:T377"/>
    <mergeCell ref="O348:T348"/>
    <mergeCell ref="O349:T349"/>
    <mergeCell ref="O350:T350"/>
    <mergeCell ref="O351:T351"/>
    <mergeCell ref="O352:T352"/>
    <mergeCell ref="O422:T422"/>
    <mergeCell ref="O423:T423"/>
    <mergeCell ref="O398:T398"/>
    <mergeCell ref="A2:Q2"/>
    <mergeCell ref="K3:M3"/>
    <mergeCell ref="N3:O3"/>
    <mergeCell ref="P3:Q3"/>
    <mergeCell ref="K4:M4"/>
    <mergeCell ref="N4:O4"/>
    <mergeCell ref="P4:Q4"/>
    <mergeCell ref="K5:M5"/>
    <mergeCell ref="N5:O5"/>
    <mergeCell ref="P5:Q5"/>
    <mergeCell ref="O338:T338"/>
    <mergeCell ref="O320:T320"/>
    <mergeCell ref="O321:T321"/>
    <mergeCell ref="O322:T322"/>
    <mergeCell ref="O323:T323"/>
    <mergeCell ref="O324:T324"/>
    <mergeCell ref="O397:T397"/>
    <mergeCell ref="O384:T384"/>
    <mergeCell ref="O385:T385"/>
    <mergeCell ref="O387:T387"/>
    <mergeCell ref="O336:T336"/>
    <mergeCell ref="O337:T337"/>
    <mergeCell ref="O339:T339"/>
    <mergeCell ref="O340:T340"/>
    <mergeCell ref="O353:T353"/>
    <mergeCell ref="O354:T354"/>
    <mergeCell ref="O370:T370"/>
    <mergeCell ref="O371:T371"/>
    <mergeCell ref="O372:T372"/>
    <mergeCell ref="O362:T362"/>
    <mergeCell ref="O392:T392"/>
    <mergeCell ref="O393:T393"/>
    <mergeCell ref="O952:T952"/>
    <mergeCell ref="O603:T603"/>
    <mergeCell ref="O416:T416"/>
    <mergeCell ref="O474:T474"/>
    <mergeCell ref="O815:T815"/>
    <mergeCell ref="O402:T402"/>
    <mergeCell ref="O404:T404"/>
    <mergeCell ref="O405:T405"/>
    <mergeCell ref="O406:T406"/>
    <mergeCell ref="O407:T407"/>
    <mergeCell ref="O408:T408"/>
    <mergeCell ref="O409:T409"/>
    <mergeCell ref="O410:T410"/>
    <mergeCell ref="O437:T437"/>
    <mergeCell ref="O424:T424"/>
    <mergeCell ref="O587:T587"/>
    <mergeCell ref="O586:T586"/>
    <mergeCell ref="O452:T452"/>
    <mergeCell ref="O453:T453"/>
    <mergeCell ref="O454:T454"/>
    <mergeCell ref="O455:T455"/>
    <mergeCell ref="O467:T467"/>
    <mergeCell ref="O468:T468"/>
    <mergeCell ref="O816:T816"/>
    <mergeCell ref="O817:T817"/>
    <mergeCell ref="O840:T840"/>
    <mergeCell ref="O591:T591"/>
    <mergeCell ref="O418:T418"/>
    <mergeCell ref="O438:T438"/>
    <mergeCell ref="O421:T421"/>
    <mergeCell ref="O447:T447"/>
    <mergeCell ref="O448:T448"/>
    <mergeCell ref="O419:T419"/>
    <mergeCell ref="O420:T420"/>
    <mergeCell ref="O326:T326"/>
    <mergeCell ref="O328:T328"/>
    <mergeCell ref="O329:T329"/>
    <mergeCell ref="O330:T330"/>
    <mergeCell ref="O331:T331"/>
    <mergeCell ref="O332:T332"/>
    <mergeCell ref="O333:T333"/>
    <mergeCell ref="O334:T334"/>
    <mergeCell ref="O379:T379"/>
    <mergeCell ref="O355:T355"/>
    <mergeCell ref="O356:T356"/>
    <mergeCell ref="O364:T364"/>
    <mergeCell ref="O365:T365"/>
    <mergeCell ref="O366:T366"/>
    <mergeCell ref="O367:T367"/>
    <mergeCell ref="O368:T368"/>
    <mergeCell ref="O369:T369"/>
    <mergeCell ref="O391:T391"/>
    <mergeCell ref="O341:T341"/>
    <mergeCell ref="O342:T342"/>
    <mergeCell ref="O343:T343"/>
    <mergeCell ref="O344:T344"/>
    <mergeCell ref="O399:T399"/>
    <mergeCell ref="O400:T400"/>
    <mergeCell ref="O401:T401"/>
    <mergeCell ref="O383:T383"/>
    <mergeCell ref="O361:T361"/>
    <mergeCell ref="O394:T394"/>
    <mergeCell ref="O395:T395"/>
    <mergeCell ref="O396:T396"/>
    <mergeCell ref="O449:T449"/>
    <mergeCell ref="O450:T450"/>
    <mergeCell ref="O451:T451"/>
    <mergeCell ref="O473:T473"/>
    <mergeCell ref="O475:T475"/>
    <mergeCell ref="O476:T476"/>
    <mergeCell ref="O497:T497"/>
    <mergeCell ref="O478:T478"/>
    <mergeCell ref="O479:T479"/>
    <mergeCell ref="O480:T480"/>
    <mergeCell ref="O482:T482"/>
    <mergeCell ref="O483:T483"/>
    <mergeCell ref="O427:T427"/>
    <mergeCell ref="O428:T428"/>
    <mergeCell ref="O429:T429"/>
    <mergeCell ref="O430:T430"/>
    <mergeCell ref="O431:T431"/>
    <mergeCell ref="O432:T432"/>
    <mergeCell ref="O433:T433"/>
    <mergeCell ref="O434:T434"/>
    <mergeCell ref="O456:T456"/>
    <mergeCell ref="O459:T459"/>
    <mergeCell ref="O442:T442"/>
    <mergeCell ref="O443:T443"/>
    <mergeCell ref="O444:T444"/>
    <mergeCell ref="O439:T439"/>
    <mergeCell ref="O440:T440"/>
    <mergeCell ref="O461:T461"/>
    <mergeCell ref="O463:T463"/>
    <mergeCell ref="O462:T462"/>
    <mergeCell ref="O464:T464"/>
    <mergeCell ref="O465:T465"/>
    <mergeCell ref="O596:T596"/>
    <mergeCell ref="O578:T578"/>
    <mergeCell ref="O579:T579"/>
    <mergeCell ref="O581:T581"/>
    <mergeCell ref="O582:T582"/>
    <mergeCell ref="O460:T460"/>
    <mergeCell ref="O457:T457"/>
    <mergeCell ref="O469:T469"/>
    <mergeCell ref="O481:T481"/>
    <mergeCell ref="O477:T477"/>
    <mergeCell ref="O485:T485"/>
    <mergeCell ref="O486:T486"/>
    <mergeCell ref="O487:T487"/>
    <mergeCell ref="O488:T488"/>
    <mergeCell ref="O489:T489"/>
    <mergeCell ref="O490:T490"/>
    <mergeCell ref="O584:T584"/>
    <mergeCell ref="O583:T583"/>
    <mergeCell ref="O553:T553"/>
    <mergeCell ref="O557:T557"/>
    <mergeCell ref="O554:T554"/>
    <mergeCell ref="O555:T555"/>
    <mergeCell ref="O556:T556"/>
    <mergeCell ref="O561:T561"/>
    <mergeCell ref="O593:T593"/>
    <mergeCell ref="O592:T592"/>
    <mergeCell ref="O585:T585"/>
    <mergeCell ref="O484:T484"/>
    <mergeCell ref="O470:T470"/>
    <mergeCell ref="O471:T471"/>
    <mergeCell ref="O472:T472"/>
    <mergeCell ref="O458:T458"/>
    <mergeCell ref="O466:T466"/>
    <mergeCell ref="O445:T445"/>
    <mergeCell ref="O446:T446"/>
    <mergeCell ref="O949:T949"/>
    <mergeCell ref="K8:L8"/>
    <mergeCell ref="K7:L7"/>
    <mergeCell ref="K6:L6"/>
    <mergeCell ref="T6:Y6"/>
    <mergeCell ref="T7:Y7"/>
    <mergeCell ref="T8:Y8"/>
    <mergeCell ref="K10:N10"/>
    <mergeCell ref="O60:T60"/>
    <mergeCell ref="O41:T41"/>
    <mergeCell ref="O42:T42"/>
    <mergeCell ref="O43:T43"/>
    <mergeCell ref="O44:T44"/>
    <mergeCell ref="O45:T45"/>
    <mergeCell ref="O46:T46"/>
    <mergeCell ref="O47:T47"/>
    <mergeCell ref="O48:T48"/>
    <mergeCell ref="O49:T49"/>
    <mergeCell ref="O50:T50"/>
    <mergeCell ref="O51:T51"/>
    <mergeCell ref="O52:T52"/>
    <mergeCell ref="O53:T53"/>
    <mergeCell ref="O40:T40"/>
    <mergeCell ref="O24:T24"/>
    <mergeCell ref="O425:T425"/>
    <mergeCell ref="O426:T426"/>
    <mergeCell ref="O380:T380"/>
    <mergeCell ref="O381:T381"/>
    <mergeCell ref="O382:T382"/>
    <mergeCell ref="AO6:AO8"/>
    <mergeCell ref="AA10:AA11"/>
    <mergeCell ref="O10:T11"/>
    <mergeCell ref="AU7:AU8"/>
    <mergeCell ref="AT10:AT11"/>
    <mergeCell ref="AN10:AN11"/>
    <mergeCell ref="AJ10:AJ11"/>
    <mergeCell ref="AL10:AL11"/>
    <mergeCell ref="AM10:AM11"/>
    <mergeCell ref="AO10:AS10"/>
    <mergeCell ref="AG6:AG7"/>
    <mergeCell ref="AH6:AI6"/>
    <mergeCell ref="AH7:AI7"/>
    <mergeCell ref="AH8:AI8"/>
    <mergeCell ref="U10:U11"/>
    <mergeCell ref="V10:V11"/>
    <mergeCell ref="AG10:AG11"/>
    <mergeCell ref="AH10:AH11"/>
    <mergeCell ref="Z10:Z11"/>
    <mergeCell ref="Z8:AA8"/>
    <mergeCell ref="AC8:AF8"/>
    <mergeCell ref="AC6:AF7"/>
    <mergeCell ref="Z6:AA7"/>
    <mergeCell ref="AC10:AF10"/>
    <mergeCell ref="AB6:AB7"/>
    <mergeCell ref="W10:W11"/>
    <mergeCell ref="AB10:AB11"/>
    <mergeCell ref="X10:X11"/>
    <mergeCell ref="A6:A7"/>
    <mergeCell ref="A10:A11"/>
    <mergeCell ref="G10:G11"/>
    <mergeCell ref="C6:I6"/>
    <mergeCell ref="B10:B11"/>
    <mergeCell ref="B6:B7"/>
    <mergeCell ref="C7:D7"/>
    <mergeCell ref="C8:D8"/>
    <mergeCell ref="E7:F7"/>
    <mergeCell ref="E8:F8"/>
    <mergeCell ref="E10:E11"/>
    <mergeCell ref="F10:F11"/>
    <mergeCell ref="H10:J10"/>
    <mergeCell ref="C10:D10"/>
    <mergeCell ref="O54:T54"/>
    <mergeCell ref="O55:T55"/>
    <mergeCell ref="O56:T56"/>
    <mergeCell ref="O39:T39"/>
    <mergeCell ref="O31:T31"/>
    <mergeCell ref="O32:T32"/>
    <mergeCell ref="O33:T33"/>
    <mergeCell ref="O34:T34"/>
    <mergeCell ref="O35:T35"/>
    <mergeCell ref="O36:T36"/>
    <mergeCell ref="O37:T37"/>
    <mergeCell ref="O13:T13"/>
    <mergeCell ref="O14:T14"/>
    <mergeCell ref="O12:T12"/>
    <mergeCell ref="O388:T388"/>
    <mergeCell ref="O325:T325"/>
    <mergeCell ref="O38:T38"/>
    <mergeCell ref="O23:T23"/>
    <mergeCell ref="O15:T15"/>
    <mergeCell ref="O16:T16"/>
    <mergeCell ref="O28:T28"/>
    <mergeCell ref="O29:T29"/>
    <mergeCell ref="O30:T30"/>
    <mergeCell ref="O25:T25"/>
    <mergeCell ref="O26:T26"/>
    <mergeCell ref="O27:T27"/>
    <mergeCell ref="O62:T62"/>
    <mergeCell ref="O63:T63"/>
    <mergeCell ref="O64:T64"/>
    <mergeCell ref="O65:T65"/>
    <mergeCell ref="O66:T66"/>
    <mergeCell ref="O67:T67"/>
    <mergeCell ref="O68:T68"/>
    <mergeCell ref="O57:T57"/>
    <mergeCell ref="O58:T58"/>
    <mergeCell ref="O69:T69"/>
    <mergeCell ref="O70:T70"/>
    <mergeCell ref="O71:T71"/>
    <mergeCell ref="O72:T72"/>
    <mergeCell ref="O73:T73"/>
    <mergeCell ref="O74:T74"/>
    <mergeCell ref="O75:T75"/>
    <mergeCell ref="O59:T59"/>
    <mergeCell ref="O61:T61"/>
    <mergeCell ref="O76:T76"/>
    <mergeCell ref="O77:T77"/>
    <mergeCell ref="O78:T78"/>
    <mergeCell ref="O79:T79"/>
    <mergeCell ref="O100:T100"/>
    <mergeCell ref="O81:T81"/>
    <mergeCell ref="O82:T82"/>
    <mergeCell ref="O83:T83"/>
    <mergeCell ref="O84:T84"/>
    <mergeCell ref="O85:T85"/>
    <mergeCell ref="O86:T86"/>
    <mergeCell ref="O87:T87"/>
    <mergeCell ref="O88:T88"/>
    <mergeCell ref="O89:T89"/>
    <mergeCell ref="O90:T90"/>
    <mergeCell ref="O91:T91"/>
    <mergeCell ref="O92:T92"/>
    <mergeCell ref="O93:T93"/>
    <mergeCell ref="O94:T94"/>
    <mergeCell ref="O95:T95"/>
    <mergeCell ref="O96:T96"/>
    <mergeCell ref="O97:T97"/>
    <mergeCell ref="O98:T98"/>
    <mergeCell ref="O99:T99"/>
    <mergeCell ref="O80:T80"/>
    <mergeCell ref="O120:T120"/>
    <mergeCell ref="O101:T101"/>
    <mergeCell ref="O102:T102"/>
    <mergeCell ref="O103:T103"/>
    <mergeCell ref="O104:T104"/>
    <mergeCell ref="O105:T105"/>
    <mergeCell ref="O106:T106"/>
    <mergeCell ref="O107:T107"/>
    <mergeCell ref="O108:T108"/>
    <mergeCell ref="O109:T109"/>
    <mergeCell ref="O110:T110"/>
    <mergeCell ref="O111:T111"/>
    <mergeCell ref="O112:T112"/>
    <mergeCell ref="O113:T113"/>
    <mergeCell ref="O114:T114"/>
    <mergeCell ref="O115:T115"/>
    <mergeCell ref="O116:T116"/>
    <mergeCell ref="O117:T117"/>
    <mergeCell ref="O118:T118"/>
    <mergeCell ref="O119:T119"/>
    <mergeCell ref="O140:T140"/>
    <mergeCell ref="O121:T121"/>
    <mergeCell ref="O122:T122"/>
    <mergeCell ref="O123:T123"/>
    <mergeCell ref="O124:T124"/>
    <mergeCell ref="O125:T125"/>
    <mergeCell ref="O126:T126"/>
    <mergeCell ref="O127:T127"/>
    <mergeCell ref="O128:T128"/>
    <mergeCell ref="O129:T129"/>
    <mergeCell ref="O130:T130"/>
    <mergeCell ref="O131:T131"/>
    <mergeCell ref="O132:T132"/>
    <mergeCell ref="O133:T133"/>
    <mergeCell ref="O134:T134"/>
    <mergeCell ref="O135:T135"/>
    <mergeCell ref="O136:T136"/>
    <mergeCell ref="O138:T138"/>
    <mergeCell ref="O139:T139"/>
    <mergeCell ref="O137:T137"/>
    <mergeCell ref="O160:T160"/>
    <mergeCell ref="O141:T141"/>
    <mergeCell ref="O142:T142"/>
    <mergeCell ref="O143:T143"/>
    <mergeCell ref="O144:T144"/>
    <mergeCell ref="O145:T145"/>
    <mergeCell ref="O146:T146"/>
    <mergeCell ref="O147:T147"/>
    <mergeCell ref="O148:T148"/>
    <mergeCell ref="O149:T149"/>
    <mergeCell ref="O150:T150"/>
    <mergeCell ref="O151:T151"/>
    <mergeCell ref="O152:T152"/>
    <mergeCell ref="O153:T153"/>
    <mergeCell ref="O154:T154"/>
    <mergeCell ref="O156:T156"/>
    <mergeCell ref="O157:T157"/>
    <mergeCell ref="O158:T158"/>
    <mergeCell ref="O159:T159"/>
    <mergeCell ref="O155:T155"/>
    <mergeCell ref="O180:T180"/>
    <mergeCell ref="O161:T161"/>
    <mergeCell ref="O162:T162"/>
    <mergeCell ref="O163:T163"/>
    <mergeCell ref="O164:T164"/>
    <mergeCell ref="O165:T165"/>
    <mergeCell ref="O166:T166"/>
    <mergeCell ref="O167:T167"/>
    <mergeCell ref="O168:T168"/>
    <mergeCell ref="O169:T169"/>
    <mergeCell ref="O171:T171"/>
    <mergeCell ref="O172:T172"/>
    <mergeCell ref="O173:T173"/>
    <mergeCell ref="O174:T174"/>
    <mergeCell ref="O177:T177"/>
    <mergeCell ref="O178:T178"/>
    <mergeCell ref="O175:T175"/>
    <mergeCell ref="O176:T176"/>
    <mergeCell ref="O179:T179"/>
    <mergeCell ref="O170:T170"/>
    <mergeCell ref="O199:T199"/>
    <mergeCell ref="O181:T181"/>
    <mergeCell ref="O182:T182"/>
    <mergeCell ref="O183:T183"/>
    <mergeCell ref="O184:T184"/>
    <mergeCell ref="O185:T185"/>
    <mergeCell ref="O186:T186"/>
    <mergeCell ref="O187:T187"/>
    <mergeCell ref="O188:T188"/>
    <mergeCell ref="O189:T189"/>
    <mergeCell ref="O190:T190"/>
    <mergeCell ref="O191:T191"/>
    <mergeCell ref="O192:T192"/>
    <mergeCell ref="O193:T193"/>
    <mergeCell ref="O194:T194"/>
    <mergeCell ref="O196:T196"/>
    <mergeCell ref="O197:T197"/>
    <mergeCell ref="O198:T198"/>
    <mergeCell ref="O195:T195"/>
    <mergeCell ref="O219:T219"/>
    <mergeCell ref="O200:T200"/>
    <mergeCell ref="O202:T202"/>
    <mergeCell ref="O203:T203"/>
    <mergeCell ref="O204:T204"/>
    <mergeCell ref="O205:T205"/>
    <mergeCell ref="O206:T206"/>
    <mergeCell ref="O207:T207"/>
    <mergeCell ref="O208:T208"/>
    <mergeCell ref="O209:T209"/>
    <mergeCell ref="O210:T210"/>
    <mergeCell ref="O211:T211"/>
    <mergeCell ref="O212:T212"/>
    <mergeCell ref="O213:T213"/>
    <mergeCell ref="O214:T214"/>
    <mergeCell ref="O215:T215"/>
    <mergeCell ref="O216:T216"/>
    <mergeCell ref="O217:T217"/>
    <mergeCell ref="O218:T218"/>
    <mergeCell ref="O201:T201"/>
    <mergeCell ref="O238:T238"/>
    <mergeCell ref="O220:T220"/>
    <mergeCell ref="O221:T221"/>
    <mergeCell ref="O222:T222"/>
    <mergeCell ref="O223:T223"/>
    <mergeCell ref="O224:T224"/>
    <mergeCell ref="O225:T225"/>
    <mergeCell ref="O226:T226"/>
    <mergeCell ref="O227:T227"/>
    <mergeCell ref="O228:T228"/>
    <mergeCell ref="O229:T229"/>
    <mergeCell ref="O230:T230"/>
    <mergeCell ref="O231:T231"/>
    <mergeCell ref="O232:T232"/>
    <mergeCell ref="O233:T233"/>
    <mergeCell ref="O234:T234"/>
    <mergeCell ref="O235:T235"/>
    <mergeCell ref="O236:T236"/>
    <mergeCell ref="O237:T237"/>
    <mergeCell ref="O258:T258"/>
    <mergeCell ref="O239:T239"/>
    <mergeCell ref="O240:T240"/>
    <mergeCell ref="O241:T241"/>
    <mergeCell ref="O242:T242"/>
    <mergeCell ref="O243:T243"/>
    <mergeCell ref="O244:T244"/>
    <mergeCell ref="O245:T245"/>
    <mergeCell ref="O246:T246"/>
    <mergeCell ref="O247:T247"/>
    <mergeCell ref="O248:T248"/>
    <mergeCell ref="O249:T249"/>
    <mergeCell ref="O250:T250"/>
    <mergeCell ref="O251:T251"/>
    <mergeCell ref="O252:T252"/>
    <mergeCell ref="O253:T253"/>
    <mergeCell ref="O254:T254"/>
    <mergeCell ref="O255:T255"/>
    <mergeCell ref="O256:T256"/>
    <mergeCell ref="O257:T257"/>
    <mergeCell ref="O305:T305"/>
    <mergeCell ref="O278:T278"/>
    <mergeCell ref="O259:T259"/>
    <mergeCell ref="O260:T260"/>
    <mergeCell ref="O261:T261"/>
    <mergeCell ref="O262:T262"/>
    <mergeCell ref="O263:T263"/>
    <mergeCell ref="O264:T264"/>
    <mergeCell ref="O265:T265"/>
    <mergeCell ref="O266:T266"/>
    <mergeCell ref="O267:T267"/>
    <mergeCell ref="O268:T268"/>
    <mergeCell ref="O269:T269"/>
    <mergeCell ref="O271:T271"/>
    <mergeCell ref="O272:T272"/>
    <mergeCell ref="O273:T273"/>
    <mergeCell ref="O274:T274"/>
    <mergeCell ref="O275:T275"/>
    <mergeCell ref="O276:T276"/>
    <mergeCell ref="O277:T277"/>
    <mergeCell ref="O270:T270"/>
    <mergeCell ref="O298:T298"/>
    <mergeCell ref="O279:T279"/>
    <mergeCell ref="O280:T280"/>
    <mergeCell ref="O281:T281"/>
    <mergeCell ref="O282:T282"/>
    <mergeCell ref="O284:T284"/>
    <mergeCell ref="O285:T285"/>
    <mergeCell ref="O286:T286"/>
    <mergeCell ref="O287:T287"/>
    <mergeCell ref="O288:T288"/>
    <mergeCell ref="O289:T289"/>
    <mergeCell ref="O292:T292"/>
    <mergeCell ref="O291:T291"/>
    <mergeCell ref="O293:T293"/>
    <mergeCell ref="O294:T294"/>
    <mergeCell ref="O295:T295"/>
    <mergeCell ref="O296:T296"/>
    <mergeCell ref="O297:T297"/>
    <mergeCell ref="O290:T290"/>
    <mergeCell ref="O283:T283"/>
    <mergeCell ref="O491:T491"/>
    <mergeCell ref="O492:T492"/>
    <mergeCell ref="O494:T494"/>
    <mergeCell ref="O507:T507"/>
    <mergeCell ref="O496:T496"/>
    <mergeCell ref="O493:T493"/>
    <mergeCell ref="O517:T517"/>
    <mergeCell ref="O498:T498"/>
    <mergeCell ref="O499:T499"/>
    <mergeCell ref="O500:T500"/>
    <mergeCell ref="O501:T501"/>
    <mergeCell ref="O502:T502"/>
    <mergeCell ref="O503:T503"/>
    <mergeCell ref="O504:T504"/>
    <mergeCell ref="O505:T505"/>
    <mergeCell ref="O506:T506"/>
    <mergeCell ref="O508:T508"/>
    <mergeCell ref="O510:T510"/>
    <mergeCell ref="O511:T511"/>
    <mergeCell ref="O512:T512"/>
    <mergeCell ref="O513:T513"/>
    <mergeCell ref="O514:T514"/>
    <mergeCell ref="O515:T515"/>
    <mergeCell ref="O516:T516"/>
    <mergeCell ref="O509:T509"/>
    <mergeCell ref="O495:T495"/>
    <mergeCell ref="O560:T560"/>
    <mergeCell ref="O551:T551"/>
    <mergeCell ref="O538:T538"/>
    <mergeCell ref="O518:T518"/>
    <mergeCell ref="O519:T519"/>
    <mergeCell ref="O520:T520"/>
    <mergeCell ref="O521:T521"/>
    <mergeCell ref="O522:T522"/>
    <mergeCell ref="O523:T523"/>
    <mergeCell ref="O524:T524"/>
    <mergeCell ref="O525:T525"/>
    <mergeCell ref="O526:T526"/>
    <mergeCell ref="O527:T527"/>
    <mergeCell ref="O528:T528"/>
    <mergeCell ref="O529:T529"/>
    <mergeCell ref="O530:T530"/>
    <mergeCell ref="O531:T531"/>
    <mergeCell ref="O532:T532"/>
    <mergeCell ref="O533:T533"/>
    <mergeCell ref="O534:T534"/>
    <mergeCell ref="O535:T535"/>
    <mergeCell ref="O536:T536"/>
    <mergeCell ref="O537:T537"/>
    <mergeCell ref="O595:T595"/>
    <mergeCell ref="O590:T590"/>
    <mergeCell ref="O539:T539"/>
    <mergeCell ref="O540:T540"/>
    <mergeCell ref="O541:T541"/>
    <mergeCell ref="O542:T542"/>
    <mergeCell ref="O543:T543"/>
    <mergeCell ref="O544:T544"/>
    <mergeCell ref="O545:T545"/>
    <mergeCell ref="O546:T546"/>
    <mergeCell ref="O547:T547"/>
    <mergeCell ref="O548:T548"/>
    <mergeCell ref="O549:T549"/>
    <mergeCell ref="O550:T550"/>
    <mergeCell ref="O577:T577"/>
    <mergeCell ref="O562:T562"/>
    <mergeCell ref="O563:T563"/>
    <mergeCell ref="O564:T564"/>
    <mergeCell ref="O566:T566"/>
    <mergeCell ref="O567:T567"/>
    <mergeCell ref="O568:T568"/>
    <mergeCell ref="O569:T569"/>
    <mergeCell ref="O570:T570"/>
    <mergeCell ref="O571:T571"/>
    <mergeCell ref="O572:T572"/>
    <mergeCell ref="O573:T573"/>
    <mergeCell ref="O574:T574"/>
    <mergeCell ref="O575:T575"/>
    <mergeCell ref="O576:T576"/>
    <mergeCell ref="O565:T565"/>
    <mergeCell ref="O558:T558"/>
    <mergeCell ref="O559:T559"/>
    <mergeCell ref="O638:T638"/>
    <mergeCell ref="O642:T642"/>
    <mergeCell ref="O647:T647"/>
    <mergeCell ref="O648:T648"/>
    <mergeCell ref="O649:T649"/>
    <mergeCell ref="O650:T650"/>
    <mergeCell ref="O651:T651"/>
    <mergeCell ref="O652:T652"/>
    <mergeCell ref="O552:T552"/>
    <mergeCell ref="O580:T580"/>
    <mergeCell ref="O617:T617"/>
    <mergeCell ref="O599:T599"/>
    <mergeCell ref="O600:T600"/>
    <mergeCell ref="O601:T601"/>
    <mergeCell ref="O602:T602"/>
    <mergeCell ref="O604:T604"/>
    <mergeCell ref="O605:T605"/>
    <mergeCell ref="O606:T606"/>
    <mergeCell ref="O607:T607"/>
    <mergeCell ref="O608:T608"/>
    <mergeCell ref="O609:T609"/>
    <mergeCell ref="O610:T610"/>
    <mergeCell ref="O611:T611"/>
    <mergeCell ref="O612:T612"/>
    <mergeCell ref="O613:T613"/>
    <mergeCell ref="O614:T614"/>
    <mergeCell ref="O615:T615"/>
    <mergeCell ref="O616:T616"/>
    <mergeCell ref="O597:T597"/>
    <mergeCell ref="O588:T588"/>
    <mergeCell ref="O589:T589"/>
    <mergeCell ref="O594:T594"/>
    <mergeCell ref="O637:T637"/>
    <mergeCell ref="O618:T618"/>
    <mergeCell ref="O619:T619"/>
    <mergeCell ref="O620:T620"/>
    <mergeCell ref="O621:T621"/>
    <mergeCell ref="O622:T622"/>
    <mergeCell ref="O623:T623"/>
    <mergeCell ref="O624:T624"/>
    <mergeCell ref="O626:T626"/>
    <mergeCell ref="O627:T627"/>
    <mergeCell ref="O628:T628"/>
    <mergeCell ref="O629:T629"/>
    <mergeCell ref="O630:T630"/>
    <mergeCell ref="O631:T631"/>
    <mergeCell ref="O633:T633"/>
    <mergeCell ref="O634:T634"/>
    <mergeCell ref="O635:T635"/>
    <mergeCell ref="O636:T636"/>
    <mergeCell ref="O625:T625"/>
    <mergeCell ref="O632:T632"/>
    <mergeCell ref="O653:T653"/>
    <mergeCell ref="O654:T654"/>
    <mergeCell ref="O655:T655"/>
    <mergeCell ref="O656:T656"/>
    <mergeCell ref="O646:T646"/>
    <mergeCell ref="O644:T644"/>
    <mergeCell ref="O643:T643"/>
    <mergeCell ref="O640:T640"/>
    <mergeCell ref="O639:T639"/>
    <mergeCell ref="O645:T645"/>
    <mergeCell ref="O641:T641"/>
    <mergeCell ref="O661:T661"/>
    <mergeCell ref="O662:T662"/>
    <mergeCell ref="O663:T663"/>
    <mergeCell ref="O664:T664"/>
    <mergeCell ref="O665:T665"/>
    <mergeCell ref="O666:T666"/>
    <mergeCell ref="O658:T658"/>
    <mergeCell ref="O659:T659"/>
    <mergeCell ref="O660:T660"/>
    <mergeCell ref="O657:T657"/>
    <mergeCell ref="O667:T667"/>
    <mergeCell ref="O668:T668"/>
    <mergeCell ref="O669:T669"/>
    <mergeCell ref="O670:T670"/>
    <mergeCell ref="O671:T671"/>
    <mergeCell ref="O672:T672"/>
    <mergeCell ref="O674:T674"/>
    <mergeCell ref="O675:T675"/>
    <mergeCell ref="O676:T676"/>
    <mergeCell ref="O689:T689"/>
    <mergeCell ref="O690:T690"/>
    <mergeCell ref="O682:T682"/>
    <mergeCell ref="O683:T683"/>
    <mergeCell ref="O684:T684"/>
    <mergeCell ref="O685:T685"/>
    <mergeCell ref="O686:T686"/>
    <mergeCell ref="O687:T687"/>
    <mergeCell ref="O688:T688"/>
    <mergeCell ref="O673:T673"/>
    <mergeCell ref="O677:T677"/>
    <mergeCell ref="O678:T678"/>
    <mergeCell ref="O680:T680"/>
    <mergeCell ref="O681:T681"/>
    <mergeCell ref="O679:T679"/>
    <mergeCell ref="O691:T691"/>
    <mergeCell ref="O692:T692"/>
    <mergeCell ref="O693:T693"/>
    <mergeCell ref="O694:T694"/>
    <mergeCell ref="O695:T695"/>
    <mergeCell ref="O696:T696"/>
    <mergeCell ref="O703:T703"/>
    <mergeCell ref="O704:T704"/>
    <mergeCell ref="O705:T705"/>
    <mergeCell ref="O706:T706"/>
    <mergeCell ref="O707:T707"/>
    <mergeCell ref="O708:T708"/>
    <mergeCell ref="O709:T709"/>
    <mergeCell ref="O710:T710"/>
    <mergeCell ref="O711:T711"/>
    <mergeCell ref="O698:T698"/>
    <mergeCell ref="O699:T699"/>
    <mergeCell ref="O700:T700"/>
    <mergeCell ref="O701:T701"/>
    <mergeCell ref="O702:T702"/>
    <mergeCell ref="O697:T697"/>
    <mergeCell ref="O712:T712"/>
    <mergeCell ref="O713:T713"/>
    <mergeCell ref="O714:T714"/>
    <mergeCell ref="O715:T715"/>
    <mergeCell ref="O716:T716"/>
    <mergeCell ref="O720:T720"/>
    <mergeCell ref="O721:T721"/>
    <mergeCell ref="O723:T723"/>
    <mergeCell ref="O718:T718"/>
    <mergeCell ref="O719:T719"/>
    <mergeCell ref="O717:T717"/>
    <mergeCell ref="O722:T722"/>
    <mergeCell ref="O724:T724"/>
    <mergeCell ref="O725:T725"/>
    <mergeCell ref="O726:T726"/>
    <mergeCell ref="O727:T727"/>
    <mergeCell ref="O728:T728"/>
    <mergeCell ref="O729:T729"/>
    <mergeCell ref="O730:T730"/>
    <mergeCell ref="O731:T731"/>
    <mergeCell ref="O732:T732"/>
    <mergeCell ref="O733:T733"/>
    <mergeCell ref="O734:T734"/>
    <mergeCell ref="O735:T735"/>
    <mergeCell ref="O736:T736"/>
    <mergeCell ref="O739:T739"/>
    <mergeCell ref="O738:T738"/>
    <mergeCell ref="O737:T737"/>
    <mergeCell ref="O740:T740"/>
    <mergeCell ref="O741:T741"/>
    <mergeCell ref="O742:T742"/>
    <mergeCell ref="O748:T748"/>
    <mergeCell ref="O749:T749"/>
    <mergeCell ref="O750:T750"/>
    <mergeCell ref="O743:T743"/>
    <mergeCell ref="O751:T751"/>
    <mergeCell ref="O752:T752"/>
    <mergeCell ref="O753:T753"/>
    <mergeCell ref="O754:T754"/>
    <mergeCell ref="O755:T755"/>
    <mergeCell ref="O756:T756"/>
    <mergeCell ref="O744:T744"/>
    <mergeCell ref="O745:T745"/>
    <mergeCell ref="O746:T746"/>
    <mergeCell ref="O747:T747"/>
    <mergeCell ref="O760:T760"/>
    <mergeCell ref="O758:T758"/>
    <mergeCell ref="O759:T759"/>
    <mergeCell ref="O757:T757"/>
    <mergeCell ref="O761:T761"/>
    <mergeCell ref="O762:T762"/>
    <mergeCell ref="O763:T763"/>
    <mergeCell ref="O764:T764"/>
    <mergeCell ref="O765:T765"/>
    <mergeCell ref="O766:T766"/>
    <mergeCell ref="O767:T767"/>
    <mergeCell ref="O768:T768"/>
    <mergeCell ref="O769:T769"/>
    <mergeCell ref="O772:T772"/>
    <mergeCell ref="O773:T773"/>
    <mergeCell ref="O774:T774"/>
    <mergeCell ref="O775:T775"/>
    <mergeCell ref="O776:T776"/>
    <mergeCell ref="O801:T801"/>
    <mergeCell ref="O786:T786"/>
    <mergeCell ref="O793:T793"/>
    <mergeCell ref="O777:T777"/>
    <mergeCell ref="O791:T791"/>
    <mergeCell ref="O792:T792"/>
    <mergeCell ref="O787:T787"/>
    <mergeCell ref="O788:T788"/>
    <mergeCell ref="O789:T789"/>
    <mergeCell ref="O790:T790"/>
    <mergeCell ref="O795:T795"/>
    <mergeCell ref="O770:T770"/>
    <mergeCell ref="O771:T771"/>
    <mergeCell ref="O798:T798"/>
    <mergeCell ref="O799:T799"/>
    <mergeCell ref="O800:T800"/>
    <mergeCell ref="O797:T797"/>
    <mergeCell ref="O796:T796"/>
    <mergeCell ref="O778:T778"/>
    <mergeCell ref="O779:T779"/>
    <mergeCell ref="O780:T780"/>
    <mergeCell ref="O802:T802"/>
    <mergeCell ref="O804:T804"/>
    <mergeCell ref="O806:T806"/>
    <mergeCell ref="O807:T807"/>
    <mergeCell ref="O812:T812"/>
    <mergeCell ref="O813:T813"/>
    <mergeCell ref="O803:T803"/>
    <mergeCell ref="O805:T805"/>
    <mergeCell ref="O808:T808"/>
    <mergeCell ref="O809:T809"/>
    <mergeCell ref="O810:T810"/>
    <mergeCell ref="O811:T811"/>
    <mergeCell ref="O837:T837"/>
    <mergeCell ref="O820:T820"/>
    <mergeCell ref="O821:T821"/>
    <mergeCell ref="O822:T822"/>
    <mergeCell ref="O823:T823"/>
    <mergeCell ref="O824:T824"/>
    <mergeCell ref="O825:T825"/>
    <mergeCell ref="O826:T826"/>
    <mergeCell ref="O827:T827"/>
    <mergeCell ref="O828:T828"/>
    <mergeCell ref="O829:T829"/>
    <mergeCell ref="O830:T830"/>
    <mergeCell ref="O831:T831"/>
    <mergeCell ref="O832:T832"/>
    <mergeCell ref="O833:T833"/>
    <mergeCell ref="O834:T834"/>
    <mergeCell ref="O835:T835"/>
    <mergeCell ref="O836:T836"/>
    <mergeCell ref="O818:T818"/>
    <mergeCell ref="O819:T819"/>
    <mergeCell ref="O865:T865"/>
    <mergeCell ref="O866:T866"/>
    <mergeCell ref="O867:T867"/>
    <mergeCell ref="O868:T868"/>
    <mergeCell ref="O869:T869"/>
    <mergeCell ref="O870:T870"/>
    <mergeCell ref="O871:T871"/>
    <mergeCell ref="O872:T872"/>
    <mergeCell ref="O873:T873"/>
    <mergeCell ref="O874:T874"/>
    <mergeCell ref="O875:T875"/>
    <mergeCell ref="O876:T876"/>
    <mergeCell ref="O857:T857"/>
    <mergeCell ref="O838:T838"/>
    <mergeCell ref="O839:T839"/>
    <mergeCell ref="O844:T844"/>
    <mergeCell ref="O845:T845"/>
    <mergeCell ref="O846:T846"/>
    <mergeCell ref="O847:T847"/>
    <mergeCell ref="O848:T848"/>
    <mergeCell ref="O849:T849"/>
    <mergeCell ref="O850:T850"/>
    <mergeCell ref="O851:T851"/>
    <mergeCell ref="O852:T852"/>
    <mergeCell ref="O853:T853"/>
    <mergeCell ref="O854:T854"/>
    <mergeCell ref="O855:T855"/>
    <mergeCell ref="O856:T856"/>
    <mergeCell ref="O842:T842"/>
    <mergeCell ref="O843:T843"/>
    <mergeCell ref="O841:T841"/>
    <mergeCell ref="O781:T781"/>
    <mergeCell ref="O782:T782"/>
    <mergeCell ref="O783:T783"/>
    <mergeCell ref="O784:T784"/>
    <mergeCell ref="O785:T785"/>
    <mergeCell ref="O920:T920"/>
    <mergeCell ref="O912:T912"/>
    <mergeCell ref="O913:T913"/>
    <mergeCell ref="O914:T914"/>
    <mergeCell ref="O915:T915"/>
    <mergeCell ref="O898:T898"/>
    <mergeCell ref="O899:T899"/>
    <mergeCell ref="O900:T900"/>
    <mergeCell ref="O901:T901"/>
    <mergeCell ref="O902:T902"/>
    <mergeCell ref="O903:T903"/>
    <mergeCell ref="O904:T904"/>
    <mergeCell ref="O905:T905"/>
    <mergeCell ref="O906:T906"/>
    <mergeCell ref="O916:T916"/>
    <mergeCell ref="O907:T907"/>
    <mergeCell ref="O908:T908"/>
    <mergeCell ref="O909:T909"/>
    <mergeCell ref="O794:T794"/>
    <mergeCell ref="O877:T877"/>
    <mergeCell ref="O858:T858"/>
    <mergeCell ref="O859:T859"/>
    <mergeCell ref="O860:T860"/>
    <mergeCell ref="O861:T861"/>
    <mergeCell ref="O862:T862"/>
    <mergeCell ref="O863:T863"/>
    <mergeCell ref="O864:T864"/>
    <mergeCell ref="O930:T930"/>
    <mergeCell ref="O931:T931"/>
    <mergeCell ref="O932:T932"/>
    <mergeCell ref="O933:T933"/>
    <mergeCell ref="O934:T934"/>
    <mergeCell ref="O935:T935"/>
    <mergeCell ref="O936:T936"/>
    <mergeCell ref="O897:T897"/>
    <mergeCell ref="O878:T878"/>
    <mergeCell ref="O879:T879"/>
    <mergeCell ref="O880:T880"/>
    <mergeCell ref="O881:T881"/>
    <mergeCell ref="O882:T882"/>
    <mergeCell ref="O883:T883"/>
    <mergeCell ref="O884:T884"/>
    <mergeCell ref="O885:T885"/>
    <mergeCell ref="O886:T886"/>
    <mergeCell ref="O887:T887"/>
    <mergeCell ref="O888:T888"/>
    <mergeCell ref="O889:T889"/>
    <mergeCell ref="O890:T890"/>
    <mergeCell ref="O891:T891"/>
    <mergeCell ref="O892:T892"/>
    <mergeCell ref="O893:T893"/>
    <mergeCell ref="O894:T894"/>
    <mergeCell ref="O895:T895"/>
    <mergeCell ref="O896:T896"/>
    <mergeCell ref="O918:T918"/>
    <mergeCell ref="O919:T919"/>
    <mergeCell ref="O951:T951"/>
    <mergeCell ref="O17:T17"/>
    <mergeCell ref="O18:T18"/>
    <mergeCell ref="O19:T19"/>
    <mergeCell ref="O20:T20"/>
    <mergeCell ref="O21:T21"/>
    <mergeCell ref="O22:T22"/>
    <mergeCell ref="A1:I1"/>
    <mergeCell ref="Y10:Y11"/>
    <mergeCell ref="O950:T950"/>
    <mergeCell ref="O921:T921"/>
    <mergeCell ref="O922:T922"/>
    <mergeCell ref="O923:T923"/>
    <mergeCell ref="O924:T924"/>
    <mergeCell ref="O925:T925"/>
    <mergeCell ref="O926:T926"/>
    <mergeCell ref="O927:T927"/>
    <mergeCell ref="O937:T937"/>
    <mergeCell ref="O938:T938"/>
    <mergeCell ref="O939:T939"/>
    <mergeCell ref="O940:T940"/>
    <mergeCell ref="O941:T941"/>
    <mergeCell ref="O942:T942"/>
    <mergeCell ref="O943:T943"/>
    <mergeCell ref="O944:T944"/>
    <mergeCell ref="O945:T945"/>
    <mergeCell ref="O917:T917"/>
    <mergeCell ref="O363:T363"/>
    <mergeCell ref="O403:T403"/>
    <mergeCell ref="O928:T928"/>
    <mergeCell ref="O929:T929"/>
    <mergeCell ref="O358:T358"/>
    <mergeCell ref="O436:T436"/>
    <mergeCell ref="O435:T435"/>
    <mergeCell ref="O411:T411"/>
    <mergeCell ref="O412:T412"/>
    <mergeCell ref="O413:T413"/>
    <mergeCell ref="O414:T414"/>
    <mergeCell ref="O415:T415"/>
    <mergeCell ref="O417:T417"/>
    <mergeCell ref="O357:T357"/>
    <mergeCell ref="O345:T345"/>
    <mergeCell ref="O378:T378"/>
    <mergeCell ref="O359:T359"/>
    <mergeCell ref="O360:T360"/>
    <mergeCell ref="O318:T318"/>
    <mergeCell ref="O299:T299"/>
    <mergeCell ref="O300:T300"/>
    <mergeCell ref="O301:T301"/>
    <mergeCell ref="O302:T302"/>
    <mergeCell ref="O303:T303"/>
    <mergeCell ref="O304:T304"/>
    <mergeCell ref="O306:T306"/>
    <mergeCell ref="O309:T309"/>
    <mergeCell ref="O308:T308"/>
    <mergeCell ref="O310:T310"/>
    <mergeCell ref="O311:T311"/>
    <mergeCell ref="O312:T312"/>
    <mergeCell ref="O313:T313"/>
    <mergeCell ref="O314:T314"/>
    <mergeCell ref="O315:T315"/>
    <mergeCell ref="O316:T316"/>
    <mergeCell ref="O317:T317"/>
    <mergeCell ref="O307:T307"/>
    <mergeCell ref="O953:T953"/>
    <mergeCell ref="O954:T954"/>
    <mergeCell ref="O598:T598"/>
    <mergeCell ref="O972:T972"/>
    <mergeCell ref="O973:T973"/>
    <mergeCell ref="O974:T974"/>
    <mergeCell ref="O975:T975"/>
    <mergeCell ref="O976:T976"/>
    <mergeCell ref="O977:T977"/>
    <mergeCell ref="O955:T955"/>
    <mergeCell ref="O956:T956"/>
    <mergeCell ref="O957:T957"/>
    <mergeCell ref="O958:T958"/>
    <mergeCell ref="O959:T959"/>
    <mergeCell ref="O960:T960"/>
    <mergeCell ref="O961:T961"/>
    <mergeCell ref="O962:T962"/>
    <mergeCell ref="O963:T963"/>
    <mergeCell ref="O964:T964"/>
    <mergeCell ref="O965:T965"/>
    <mergeCell ref="O966:T966"/>
    <mergeCell ref="O967:T967"/>
    <mergeCell ref="O968:T968"/>
    <mergeCell ref="O969:T969"/>
    <mergeCell ref="O970:T970"/>
    <mergeCell ref="O971:T971"/>
    <mergeCell ref="O910:T910"/>
    <mergeCell ref="O911:T911"/>
    <mergeCell ref="O814:T814"/>
    <mergeCell ref="O946:T946"/>
    <mergeCell ref="O947:T947"/>
    <mergeCell ref="O948:T948"/>
  </mergeCells>
  <phoneticPr fontId="9" type="noConversion"/>
  <conditionalFormatting sqref="AI978:AI65248">
    <cfRule type="cellIs" dxfId="962" priority="5639" stopIfTrue="1" operator="between">
      <formula>1530</formula>
      <formula>1560</formula>
    </cfRule>
    <cfRule type="cellIs" dxfId="961" priority="5640" stopIfTrue="1" operator="lessThanOrEqual">
      <formula>1525</formula>
    </cfRule>
  </conditionalFormatting>
  <conditionalFormatting sqref="AI10:AI11">
    <cfRule type="cellIs" dxfId="960" priority="5207" stopIfTrue="1" operator="between">
      <formula>1530</formula>
      <formula>1560</formula>
    </cfRule>
    <cfRule type="cellIs" dxfId="959" priority="5208" stopIfTrue="1" operator="lessThanOrEqual">
      <formula>1525</formula>
    </cfRule>
  </conditionalFormatting>
  <conditionalFormatting sqref="AO968:AQ977">
    <cfRule type="expression" dxfId="958" priority="811">
      <formula>$AR968=1</formula>
    </cfRule>
    <cfRule type="expression" dxfId="957" priority="812">
      <formula>$AS968=1</formula>
    </cfRule>
  </conditionalFormatting>
  <conditionalFormatting sqref="AM12:AM977">
    <cfRule type="cellIs" dxfId="956" priority="809" operator="lessThan">
      <formula>2.5</formula>
    </cfRule>
    <cfRule type="cellIs" dxfId="955" priority="810" operator="greaterThan">
      <formula>2.4999</formula>
    </cfRule>
  </conditionalFormatting>
  <conditionalFormatting sqref="F12:F977">
    <cfRule type="cellIs" dxfId="954" priority="703" operator="equal">
      <formula>$F11</formula>
    </cfRule>
  </conditionalFormatting>
  <conditionalFormatting sqref="V12:Z977 A12:T977">
    <cfRule type="expression" dxfId="953" priority="702">
      <formula>$A12&gt;$A11</formula>
    </cfRule>
  </conditionalFormatting>
  <conditionalFormatting sqref="O12:T887">
    <cfRule type="expression" dxfId="952" priority="701">
      <formula>$A12&gt;$A11</formula>
    </cfRule>
  </conditionalFormatting>
  <conditionalFormatting sqref="O13:T824">
    <cfRule type="expression" dxfId="951" priority="700">
      <formula>$A13&gt;$A12</formula>
    </cfRule>
  </conditionalFormatting>
  <conditionalFormatting sqref="AO12:AQ12">
    <cfRule type="expression" dxfId="950" priority="688">
      <formula>$AR12=1</formula>
    </cfRule>
    <cfRule type="expression" dxfId="949" priority="689">
      <formula>$AS12=1</formula>
    </cfRule>
  </conditionalFormatting>
  <conditionalFormatting sqref="AO13:AQ967">
    <cfRule type="expression" dxfId="948" priority="686">
      <formula>$AR13=1</formula>
    </cfRule>
    <cfRule type="expression" dxfId="947" priority="687">
      <formula>$AS13=1</formula>
    </cfRule>
  </conditionalFormatting>
  <conditionalFormatting sqref="U12:U977">
    <cfRule type="expression" dxfId="946" priority="679">
      <formula>$A12&gt;$A11</formula>
    </cfRule>
  </conditionalFormatting>
  <conditionalFormatting sqref="AC12:AF17 AC20:AF24 AC26:AF54 AC57:AF80 AC82:AF85 AC87:AF106 AC108:AF116 AC118:AF119 AC121:AF123 AC125:AF130 AC133:AF153 AC156:AF162 AC164:AF165 AC167:AF178 AC180:AF182 AC184:AF190 AC193:AF193 AC195:AF209 AC212:AF235 AC237:AF268 AC271:AF273 AC275:AF313 AC317:AF318 AC320:AF323 AC325:AF339 AC342:AF350 AC352:AF353 AC355:AF369 AC371:AF374 AC376:AF383 AC386:AF396 AC398:AF399 AC401:AF406 AC416:AF461 AC409:AF413 AC463:AF480 AC482:AF484 AC486:AF499 AC501:AF502 AC504:AF508 AC511:AF535 AC538:AF540 AC542:AF543 AC545:AF559 AC561:AF566 AC568:AF613 AC616:AF640 AC642:AF645 AC647:AF658 AC660:AF665 AC667:AF670 AC672:AF675 AC677:AF685 AC687:AF692 AC694:AF694 AC698:AF699 AC701:AF704 AC706:AF721 AC723:AF725 AC728:AF734 AC737:AF744 AC746:AF751 AC753:AF754 AC756:AF761 AC763:AF763 AC765:AF769 AC771:AF772 AC775:AF795 AC797:AF798 AC800:AF829 AC831:AF977">
    <cfRule type="expression" dxfId="945" priority="622">
      <formula>$AF12&lt;&gt;""</formula>
    </cfRule>
    <cfRule type="expression" dxfId="944" priority="623">
      <formula>$AE12&lt;&gt;""</formula>
    </cfRule>
    <cfRule type="expression" dxfId="943" priority="627">
      <formula>$AD12&lt;&gt;""</formula>
    </cfRule>
    <cfRule type="expression" dxfId="942" priority="628">
      <formula>$AC12&lt;&gt;""</formula>
    </cfRule>
  </conditionalFormatting>
  <conditionalFormatting sqref="AB12:AB17 AB20:AB24 AB26:AB54 AB57:AB80 AB82:AB85 AB87:AB106 AB108:AB116 AB118:AB119 AB121:AB123 AB125:AB130 AB133:AB153 AB156:AB162 AB164:AB165 AB167:AB178 AB180:AB182 AB184:AB190 AB193 AB195:AB209 AB212:AB235 AB237:AB268 AB271:AB273 AB275:AB313 AB317:AB318 AB320:AB323 AB325:AB339 AB342:AB350 AB352:AB353 AB355:AB369 AB371:AB374 AB376:AB383 AB386:AB396 AB398:AB399 AB401:AB406 AB409:AB413 AB416:AB461 AB463:AB480 AB482:AB484 AB486:AB499 AB501:AB502 AB504:AB508 AB511:AB535 AB538:AB540 AB542:AB543 AB545:AB559 AB561:AB566 AB568:AB613 AB616:AB640 AB642:AB645 AB647:AB658 AB660:AB665 AB667:AB670 AB672:AB675 AB677:AB685 AB687:AB692 AB694 AB698:AB699 AB701:AB704 AB706:AB721 AB723:AB725 AB728:AB734 AB737:AB744 AB746:AB751 AB753:AB754 AB756:AB761 AB763 AB765:AB769 AB771:AB772 AB775:AB795 AB797:AB798 AB800:AB829 AB831:AB977">
    <cfRule type="expression" dxfId="941" priority="619">
      <formula>AB12&lt;&gt;""</formula>
    </cfRule>
    <cfRule type="expression" dxfId="940" priority="620">
      <formula>AA12&lt;&gt;""</formula>
    </cfRule>
  </conditionalFormatting>
  <conditionalFormatting sqref="AC12:AF17 AC20:AF24 AC26:AF54 AC57:AF80 AC82:AF85 AC87:AF106 AC108:AF116 AC118:AF119 AC121:AF123 AC125:AF130 AC133:AF153 AC156:AF162 AC164:AF165 AC167:AF178 AC180:AF182 AC184:AF190 AC193:AF193 AC195:AF209 AC212:AF235 AC237:AF268 AC271:AF273 AC275:AF313 AC317:AF318 AC320:AF323 AC325:AF339 AC342:AF350 AC352:AF353 AC355:AF369 AC371:AF374 AC376:AF383 AC386:AF396 AC398:AF399 AC401:AF406 AC416:AF461 AC409:AF413 AC463:AF480 AC482:AF484 AC486:AF499 AC501:AF502 AC504:AF508 AC511:AF535 AC538:AF540 AC542:AF543 AC545:AF559 AC561:AF566 AC568:AF613 AC616:AF640 AC642:AF645 AC647:AF658 AC660:AF665 AC667:AF670 AC672:AF675 AC677:AF685 AC687:AF692 AC694:AF694 AC698:AF699 AC701:AF704 AC706:AF721 AC723:AF725 AC728:AF734 AC737:AF744 AC746:AF751 AC753:AF754 AC756:AF761 AC763:AF763 AC765:AF769 AC771:AF772 AC775:AF795 AC797:AF798 AC800:AF829 AC831:AF977">
    <cfRule type="expression" dxfId="939" priority="5641">
      <formula>#REF!&lt;&gt;""</formula>
    </cfRule>
    <cfRule type="expression" dxfId="938" priority="5642">
      <formula>$AA12&lt;&gt;""</formula>
    </cfRule>
  </conditionalFormatting>
  <conditionalFormatting sqref="AC400:AF400">
    <cfRule type="expression" dxfId="937" priority="333">
      <formula>$AF400&lt;&gt;""</formula>
    </cfRule>
    <cfRule type="expression" dxfId="936" priority="334">
      <formula>$AE400&lt;&gt;""</formula>
    </cfRule>
    <cfRule type="expression" dxfId="935" priority="335">
      <formula>$AD400&lt;&gt;""</formula>
    </cfRule>
    <cfRule type="expression" dxfId="934" priority="336">
      <formula>$AC400&lt;&gt;""</formula>
    </cfRule>
  </conditionalFormatting>
  <conditionalFormatting sqref="AB400">
    <cfRule type="expression" dxfId="933" priority="331">
      <formula>AB400&lt;&gt;""</formula>
    </cfRule>
    <cfRule type="expression" dxfId="932" priority="332">
      <formula>AA400&lt;&gt;""</formula>
    </cfRule>
  </conditionalFormatting>
  <conditionalFormatting sqref="AC400:AF400">
    <cfRule type="expression" dxfId="931" priority="337">
      <formula>#REF!&lt;&gt;""</formula>
    </cfRule>
    <cfRule type="expression" dxfId="930" priority="338">
      <formula>$AA400&lt;&gt;""</formula>
    </cfRule>
  </conditionalFormatting>
  <conditionalFormatting sqref="AC18:AF19">
    <cfRule type="expression" dxfId="929" priority="605">
      <formula>$AF18&lt;&gt;""</formula>
    </cfRule>
    <cfRule type="expression" dxfId="928" priority="606">
      <formula>$AE18&lt;&gt;""</formula>
    </cfRule>
    <cfRule type="expression" dxfId="927" priority="607">
      <formula>$AD18&lt;&gt;""</formula>
    </cfRule>
    <cfRule type="expression" dxfId="926" priority="608">
      <formula>$AC18&lt;&gt;""</formula>
    </cfRule>
  </conditionalFormatting>
  <conditionalFormatting sqref="AB18:AB19">
    <cfRule type="expression" dxfId="925" priority="603">
      <formula>AB18&lt;&gt;""</formula>
    </cfRule>
    <cfRule type="expression" dxfId="924" priority="604">
      <formula>AA18&lt;&gt;""</formula>
    </cfRule>
  </conditionalFormatting>
  <conditionalFormatting sqref="AC18:AF19">
    <cfRule type="expression" dxfId="923" priority="609">
      <formula>#REF!&lt;&gt;""</formula>
    </cfRule>
    <cfRule type="expression" dxfId="922" priority="610">
      <formula>$AA18&lt;&gt;""</formula>
    </cfRule>
  </conditionalFormatting>
  <conditionalFormatting sqref="AB407:AB408">
    <cfRule type="expression" dxfId="921" priority="323">
      <formula>AB407&lt;&gt;""</formula>
    </cfRule>
    <cfRule type="expression" dxfId="920" priority="324">
      <formula>AA407&lt;&gt;""</formula>
    </cfRule>
  </conditionalFormatting>
  <conditionalFormatting sqref="AC25:AF25">
    <cfRule type="expression" dxfId="919" priority="597">
      <formula>$AF25&lt;&gt;""</formula>
    </cfRule>
    <cfRule type="expression" dxfId="918" priority="598">
      <formula>$AE25&lt;&gt;""</formula>
    </cfRule>
    <cfRule type="expression" dxfId="917" priority="599">
      <formula>$AD25&lt;&gt;""</formula>
    </cfRule>
    <cfRule type="expression" dxfId="916" priority="600">
      <formula>$AC25&lt;&gt;""</formula>
    </cfRule>
  </conditionalFormatting>
  <conditionalFormatting sqref="AB25">
    <cfRule type="expression" dxfId="915" priority="595">
      <formula>AB25&lt;&gt;""</formula>
    </cfRule>
    <cfRule type="expression" dxfId="914" priority="596">
      <formula>AA25&lt;&gt;""</formula>
    </cfRule>
  </conditionalFormatting>
  <conditionalFormatting sqref="AC25:AF25">
    <cfRule type="expression" dxfId="913" priority="601">
      <formula>#REF!&lt;&gt;""</formula>
    </cfRule>
    <cfRule type="expression" dxfId="912" priority="602">
      <formula>$AA25&lt;&gt;""</formula>
    </cfRule>
  </conditionalFormatting>
  <conditionalFormatting sqref="AC55:AF56">
    <cfRule type="expression" dxfId="911" priority="589">
      <formula>$AF55&lt;&gt;""</formula>
    </cfRule>
    <cfRule type="expression" dxfId="910" priority="590">
      <formula>$AE55&lt;&gt;""</formula>
    </cfRule>
    <cfRule type="expression" dxfId="909" priority="591">
      <formula>$AD55&lt;&gt;""</formula>
    </cfRule>
    <cfRule type="expression" dxfId="908" priority="592">
      <formula>$AC55&lt;&gt;""</formula>
    </cfRule>
  </conditionalFormatting>
  <conditionalFormatting sqref="AB55:AB56">
    <cfRule type="expression" dxfId="907" priority="587">
      <formula>AB55&lt;&gt;""</formula>
    </cfRule>
    <cfRule type="expression" dxfId="906" priority="588">
      <formula>AA55&lt;&gt;""</formula>
    </cfRule>
  </conditionalFormatting>
  <conditionalFormatting sqref="AC55:AF56">
    <cfRule type="expression" dxfId="905" priority="593">
      <formula>#REF!&lt;&gt;""</formula>
    </cfRule>
    <cfRule type="expression" dxfId="904" priority="594">
      <formula>$AA55&lt;&gt;""</formula>
    </cfRule>
  </conditionalFormatting>
  <conditionalFormatting sqref="AC81:AF81">
    <cfRule type="expression" dxfId="903" priority="581">
      <formula>$AF81&lt;&gt;""</formula>
    </cfRule>
    <cfRule type="expression" dxfId="902" priority="582">
      <formula>$AE81&lt;&gt;""</formula>
    </cfRule>
    <cfRule type="expression" dxfId="901" priority="583">
      <formula>$AD81&lt;&gt;""</formula>
    </cfRule>
    <cfRule type="expression" dxfId="900" priority="584">
      <formula>$AC81&lt;&gt;""</formula>
    </cfRule>
  </conditionalFormatting>
  <conditionalFormatting sqref="AB81">
    <cfRule type="expression" dxfId="899" priority="579">
      <formula>AB81&lt;&gt;""</formula>
    </cfRule>
    <cfRule type="expression" dxfId="898" priority="580">
      <formula>AA81&lt;&gt;""</formula>
    </cfRule>
  </conditionalFormatting>
  <conditionalFormatting sqref="AC81:AF81">
    <cfRule type="expression" dxfId="897" priority="585">
      <formula>#REF!&lt;&gt;""</formula>
    </cfRule>
    <cfRule type="expression" dxfId="896" priority="586">
      <formula>$AA81&lt;&gt;""</formula>
    </cfRule>
  </conditionalFormatting>
  <conditionalFormatting sqref="AC86:AF86">
    <cfRule type="expression" dxfId="895" priority="573">
      <formula>$AF86&lt;&gt;""</formula>
    </cfRule>
    <cfRule type="expression" dxfId="894" priority="574">
      <formula>$AE86&lt;&gt;""</formula>
    </cfRule>
    <cfRule type="expression" dxfId="893" priority="575">
      <formula>$AD86&lt;&gt;""</formula>
    </cfRule>
    <cfRule type="expression" dxfId="892" priority="576">
      <formula>$AC86&lt;&gt;""</formula>
    </cfRule>
  </conditionalFormatting>
  <conditionalFormatting sqref="AB86">
    <cfRule type="expression" dxfId="891" priority="571">
      <formula>AB86&lt;&gt;""</formula>
    </cfRule>
    <cfRule type="expression" dxfId="890" priority="572">
      <formula>AA86&lt;&gt;""</formula>
    </cfRule>
  </conditionalFormatting>
  <conditionalFormatting sqref="AC86:AF86">
    <cfRule type="expression" dxfId="889" priority="577">
      <formula>#REF!&lt;&gt;""</formula>
    </cfRule>
    <cfRule type="expression" dxfId="888" priority="578">
      <formula>$AA86&lt;&gt;""</formula>
    </cfRule>
  </conditionalFormatting>
  <conditionalFormatting sqref="AC107:AF107">
    <cfRule type="expression" dxfId="887" priority="565">
      <formula>$AF107&lt;&gt;""</formula>
    </cfRule>
    <cfRule type="expression" dxfId="886" priority="566">
      <formula>$AE107&lt;&gt;""</formula>
    </cfRule>
    <cfRule type="expression" dxfId="885" priority="567">
      <formula>$AD107&lt;&gt;""</formula>
    </cfRule>
    <cfRule type="expression" dxfId="884" priority="568">
      <formula>$AC107&lt;&gt;""</formula>
    </cfRule>
  </conditionalFormatting>
  <conditionalFormatting sqref="AB107">
    <cfRule type="expression" dxfId="883" priority="563">
      <formula>AB107&lt;&gt;""</formula>
    </cfRule>
    <cfRule type="expression" dxfId="882" priority="564">
      <formula>AA107&lt;&gt;""</formula>
    </cfRule>
  </conditionalFormatting>
  <conditionalFormatting sqref="AC107:AF107">
    <cfRule type="expression" dxfId="881" priority="569">
      <formula>#REF!&lt;&gt;""</formula>
    </cfRule>
    <cfRule type="expression" dxfId="880" priority="570">
      <formula>$AA107&lt;&gt;""</formula>
    </cfRule>
  </conditionalFormatting>
  <conditionalFormatting sqref="AC117:AF117">
    <cfRule type="expression" dxfId="879" priority="557">
      <formula>$AF117&lt;&gt;""</formula>
    </cfRule>
    <cfRule type="expression" dxfId="878" priority="558">
      <formula>$AE117&lt;&gt;""</formula>
    </cfRule>
    <cfRule type="expression" dxfId="877" priority="559">
      <formula>$AD117&lt;&gt;""</formula>
    </cfRule>
    <cfRule type="expression" dxfId="876" priority="560">
      <formula>$AC117&lt;&gt;""</formula>
    </cfRule>
  </conditionalFormatting>
  <conditionalFormatting sqref="AB117">
    <cfRule type="expression" dxfId="875" priority="555">
      <formula>AB117&lt;&gt;""</formula>
    </cfRule>
    <cfRule type="expression" dxfId="874" priority="556">
      <formula>AA117&lt;&gt;""</formula>
    </cfRule>
  </conditionalFormatting>
  <conditionalFormatting sqref="AC117:AF117">
    <cfRule type="expression" dxfId="873" priority="561">
      <formula>#REF!&lt;&gt;""</formula>
    </cfRule>
    <cfRule type="expression" dxfId="872" priority="562">
      <formula>$AA117&lt;&gt;""</formula>
    </cfRule>
  </conditionalFormatting>
  <conditionalFormatting sqref="AC120:AF120">
    <cfRule type="expression" dxfId="871" priority="549">
      <formula>$AF120&lt;&gt;""</formula>
    </cfRule>
    <cfRule type="expression" dxfId="870" priority="550">
      <formula>$AE120&lt;&gt;""</formula>
    </cfRule>
    <cfRule type="expression" dxfId="869" priority="551">
      <formula>$AD120&lt;&gt;""</formula>
    </cfRule>
    <cfRule type="expression" dxfId="868" priority="552">
      <formula>$AC120&lt;&gt;""</formula>
    </cfRule>
  </conditionalFormatting>
  <conditionalFormatting sqref="AB120">
    <cfRule type="expression" dxfId="867" priority="547">
      <formula>AB120&lt;&gt;""</formula>
    </cfRule>
    <cfRule type="expression" dxfId="866" priority="548">
      <formula>AA120&lt;&gt;""</formula>
    </cfRule>
  </conditionalFormatting>
  <conditionalFormatting sqref="AC120:AF120">
    <cfRule type="expression" dxfId="865" priority="553">
      <formula>#REF!&lt;&gt;""</formula>
    </cfRule>
    <cfRule type="expression" dxfId="864" priority="554">
      <formula>$AA120&lt;&gt;""</formula>
    </cfRule>
  </conditionalFormatting>
  <conditionalFormatting sqref="AC124:AF124">
    <cfRule type="expression" dxfId="863" priority="541">
      <formula>$AF124&lt;&gt;""</formula>
    </cfRule>
    <cfRule type="expression" dxfId="862" priority="542">
      <formula>$AE124&lt;&gt;""</formula>
    </cfRule>
    <cfRule type="expression" dxfId="861" priority="543">
      <formula>$AD124&lt;&gt;""</formula>
    </cfRule>
    <cfRule type="expression" dxfId="860" priority="544">
      <formula>$AC124&lt;&gt;""</formula>
    </cfRule>
  </conditionalFormatting>
  <conditionalFormatting sqref="AB124">
    <cfRule type="expression" dxfId="859" priority="539">
      <formula>AB124&lt;&gt;""</formula>
    </cfRule>
    <cfRule type="expression" dxfId="858" priority="540">
      <formula>AA124&lt;&gt;""</formula>
    </cfRule>
  </conditionalFormatting>
  <conditionalFormatting sqref="AC124:AF124">
    <cfRule type="expression" dxfId="857" priority="545">
      <formula>#REF!&lt;&gt;""</formula>
    </cfRule>
    <cfRule type="expression" dxfId="856" priority="546">
      <formula>$AA124&lt;&gt;""</formula>
    </cfRule>
  </conditionalFormatting>
  <conditionalFormatting sqref="AC131:AF132">
    <cfRule type="expression" dxfId="855" priority="533">
      <formula>$AF131&lt;&gt;""</formula>
    </cfRule>
    <cfRule type="expression" dxfId="854" priority="534">
      <formula>$AE131&lt;&gt;""</formula>
    </cfRule>
    <cfRule type="expression" dxfId="853" priority="535">
      <formula>$AD131&lt;&gt;""</formula>
    </cfRule>
    <cfRule type="expression" dxfId="852" priority="536">
      <formula>$AC131&lt;&gt;""</formula>
    </cfRule>
  </conditionalFormatting>
  <conditionalFormatting sqref="AB131:AB132">
    <cfRule type="expression" dxfId="851" priority="531">
      <formula>AB131&lt;&gt;""</formula>
    </cfRule>
    <cfRule type="expression" dxfId="850" priority="532">
      <formula>AA131&lt;&gt;""</formula>
    </cfRule>
  </conditionalFormatting>
  <conditionalFormatting sqref="AC131:AF132">
    <cfRule type="expression" dxfId="849" priority="537">
      <formula>#REF!&lt;&gt;""</formula>
    </cfRule>
    <cfRule type="expression" dxfId="848" priority="538">
      <formula>$AA131&lt;&gt;""</formula>
    </cfRule>
  </conditionalFormatting>
  <conditionalFormatting sqref="AC154:AF155">
    <cfRule type="expression" dxfId="847" priority="525">
      <formula>$AF154&lt;&gt;""</formula>
    </cfRule>
    <cfRule type="expression" dxfId="846" priority="526">
      <formula>$AE154&lt;&gt;""</formula>
    </cfRule>
    <cfRule type="expression" dxfId="845" priority="527">
      <formula>$AD154&lt;&gt;""</formula>
    </cfRule>
    <cfRule type="expression" dxfId="844" priority="528">
      <formula>$AC154&lt;&gt;""</formula>
    </cfRule>
  </conditionalFormatting>
  <conditionalFormatting sqref="AB154:AB155">
    <cfRule type="expression" dxfId="843" priority="523">
      <formula>AB154&lt;&gt;""</formula>
    </cfRule>
    <cfRule type="expression" dxfId="842" priority="524">
      <formula>AA154&lt;&gt;""</formula>
    </cfRule>
  </conditionalFormatting>
  <conditionalFormatting sqref="AC154:AF155">
    <cfRule type="expression" dxfId="841" priority="529">
      <formula>#REF!&lt;&gt;""</formula>
    </cfRule>
    <cfRule type="expression" dxfId="840" priority="530">
      <formula>$AA154&lt;&gt;""</formula>
    </cfRule>
  </conditionalFormatting>
  <conditionalFormatting sqref="AC163:AF163">
    <cfRule type="expression" dxfId="839" priority="517">
      <formula>$AF163&lt;&gt;""</formula>
    </cfRule>
    <cfRule type="expression" dxfId="838" priority="518">
      <formula>$AE163&lt;&gt;""</formula>
    </cfRule>
    <cfRule type="expression" dxfId="837" priority="519">
      <formula>$AD163&lt;&gt;""</formula>
    </cfRule>
    <cfRule type="expression" dxfId="836" priority="520">
      <formula>$AC163&lt;&gt;""</formula>
    </cfRule>
  </conditionalFormatting>
  <conditionalFormatting sqref="AB163">
    <cfRule type="expression" dxfId="835" priority="515">
      <formula>AB163&lt;&gt;""</formula>
    </cfRule>
    <cfRule type="expression" dxfId="834" priority="516">
      <formula>AA163&lt;&gt;""</formula>
    </cfRule>
  </conditionalFormatting>
  <conditionalFormatting sqref="AC163:AF163">
    <cfRule type="expression" dxfId="833" priority="521">
      <formula>#REF!&lt;&gt;""</formula>
    </cfRule>
    <cfRule type="expression" dxfId="832" priority="522">
      <formula>$AA163&lt;&gt;""</formula>
    </cfRule>
  </conditionalFormatting>
  <conditionalFormatting sqref="AC166:AF166">
    <cfRule type="expression" dxfId="831" priority="509">
      <formula>$AF166&lt;&gt;""</formula>
    </cfRule>
    <cfRule type="expression" dxfId="830" priority="510">
      <formula>$AE166&lt;&gt;""</formula>
    </cfRule>
    <cfRule type="expression" dxfId="829" priority="511">
      <formula>$AD166&lt;&gt;""</formula>
    </cfRule>
    <cfRule type="expression" dxfId="828" priority="512">
      <formula>$AC166&lt;&gt;""</formula>
    </cfRule>
  </conditionalFormatting>
  <conditionalFormatting sqref="AB166">
    <cfRule type="expression" dxfId="827" priority="507">
      <formula>AB166&lt;&gt;""</formula>
    </cfRule>
    <cfRule type="expression" dxfId="826" priority="508">
      <formula>AA166&lt;&gt;""</formula>
    </cfRule>
  </conditionalFormatting>
  <conditionalFormatting sqref="AC166:AF166">
    <cfRule type="expression" dxfId="825" priority="513">
      <formula>#REF!&lt;&gt;""</formula>
    </cfRule>
    <cfRule type="expression" dxfId="824" priority="514">
      <formula>$AA166&lt;&gt;""</formula>
    </cfRule>
  </conditionalFormatting>
  <conditionalFormatting sqref="AC179:AF179">
    <cfRule type="expression" dxfId="823" priority="501">
      <formula>$AF179&lt;&gt;""</formula>
    </cfRule>
    <cfRule type="expression" dxfId="822" priority="502">
      <formula>$AE179&lt;&gt;""</formula>
    </cfRule>
    <cfRule type="expression" dxfId="821" priority="503">
      <formula>$AD179&lt;&gt;""</formula>
    </cfRule>
    <cfRule type="expression" dxfId="820" priority="504">
      <formula>$AC179&lt;&gt;""</formula>
    </cfRule>
  </conditionalFormatting>
  <conditionalFormatting sqref="AB179">
    <cfRule type="expression" dxfId="819" priority="499">
      <formula>AB179&lt;&gt;""</formula>
    </cfRule>
    <cfRule type="expression" dxfId="818" priority="500">
      <formula>AA179&lt;&gt;""</formula>
    </cfRule>
  </conditionalFormatting>
  <conditionalFormatting sqref="AC179:AF179">
    <cfRule type="expression" dxfId="817" priority="505">
      <formula>#REF!&lt;&gt;""</formula>
    </cfRule>
    <cfRule type="expression" dxfId="816" priority="506">
      <formula>$AA179&lt;&gt;""</formula>
    </cfRule>
  </conditionalFormatting>
  <conditionalFormatting sqref="AC183:AF183">
    <cfRule type="expression" dxfId="815" priority="493">
      <formula>$AF183&lt;&gt;""</formula>
    </cfRule>
    <cfRule type="expression" dxfId="814" priority="494">
      <formula>$AE183&lt;&gt;""</formula>
    </cfRule>
    <cfRule type="expression" dxfId="813" priority="495">
      <formula>$AD183&lt;&gt;""</formula>
    </cfRule>
    <cfRule type="expression" dxfId="812" priority="496">
      <formula>$AC183&lt;&gt;""</formula>
    </cfRule>
  </conditionalFormatting>
  <conditionalFormatting sqref="AB183">
    <cfRule type="expression" dxfId="811" priority="491">
      <formula>AB183&lt;&gt;""</formula>
    </cfRule>
    <cfRule type="expression" dxfId="810" priority="492">
      <formula>AA183&lt;&gt;""</formula>
    </cfRule>
  </conditionalFormatting>
  <conditionalFormatting sqref="AC183:AF183">
    <cfRule type="expression" dxfId="809" priority="497">
      <formula>#REF!&lt;&gt;""</formula>
    </cfRule>
    <cfRule type="expression" dxfId="808" priority="498">
      <formula>$AA183&lt;&gt;""</formula>
    </cfRule>
  </conditionalFormatting>
  <conditionalFormatting sqref="AC191:AF191">
    <cfRule type="expression" dxfId="807" priority="485">
      <formula>$AF191&lt;&gt;""</formula>
    </cfRule>
    <cfRule type="expression" dxfId="806" priority="486">
      <formula>$AE191&lt;&gt;""</formula>
    </cfRule>
    <cfRule type="expression" dxfId="805" priority="487">
      <formula>$AD191&lt;&gt;""</formula>
    </cfRule>
    <cfRule type="expression" dxfId="804" priority="488">
      <formula>$AC191&lt;&gt;""</formula>
    </cfRule>
  </conditionalFormatting>
  <conditionalFormatting sqref="AB191">
    <cfRule type="expression" dxfId="803" priority="483">
      <formula>AB191&lt;&gt;""</formula>
    </cfRule>
    <cfRule type="expression" dxfId="802" priority="484">
      <formula>AA191&lt;&gt;""</formula>
    </cfRule>
  </conditionalFormatting>
  <conditionalFormatting sqref="AC191:AF191">
    <cfRule type="expression" dxfId="801" priority="489">
      <formula>#REF!&lt;&gt;""</formula>
    </cfRule>
    <cfRule type="expression" dxfId="800" priority="490">
      <formula>$AA191&lt;&gt;""</formula>
    </cfRule>
  </conditionalFormatting>
  <conditionalFormatting sqref="AC192:AF192">
    <cfRule type="expression" dxfId="799" priority="477">
      <formula>$AF192&lt;&gt;""</formula>
    </cfRule>
    <cfRule type="expression" dxfId="798" priority="478">
      <formula>$AE192&lt;&gt;""</formula>
    </cfRule>
    <cfRule type="expression" dxfId="797" priority="479">
      <formula>$AD192&lt;&gt;""</formula>
    </cfRule>
    <cfRule type="expression" dxfId="796" priority="480">
      <formula>$AC192&lt;&gt;""</formula>
    </cfRule>
  </conditionalFormatting>
  <conditionalFormatting sqref="AB192">
    <cfRule type="expression" dxfId="795" priority="475">
      <formula>AB192&lt;&gt;""</formula>
    </cfRule>
    <cfRule type="expression" dxfId="794" priority="476">
      <formula>AA192&lt;&gt;""</formula>
    </cfRule>
  </conditionalFormatting>
  <conditionalFormatting sqref="AC192:AF192">
    <cfRule type="expression" dxfId="793" priority="481">
      <formula>#REF!&lt;&gt;""</formula>
    </cfRule>
    <cfRule type="expression" dxfId="792" priority="482">
      <formula>$AA192&lt;&gt;""</formula>
    </cfRule>
  </conditionalFormatting>
  <conditionalFormatting sqref="AC194:AF194">
    <cfRule type="expression" dxfId="791" priority="469">
      <formula>$AF194&lt;&gt;""</formula>
    </cfRule>
    <cfRule type="expression" dxfId="790" priority="470">
      <formula>$AE194&lt;&gt;""</formula>
    </cfRule>
    <cfRule type="expression" dxfId="789" priority="471">
      <formula>$AD194&lt;&gt;""</formula>
    </cfRule>
    <cfRule type="expression" dxfId="788" priority="472">
      <formula>$AC194&lt;&gt;""</formula>
    </cfRule>
  </conditionalFormatting>
  <conditionalFormatting sqref="AB194">
    <cfRule type="expression" dxfId="787" priority="467">
      <formula>AB194&lt;&gt;""</formula>
    </cfRule>
    <cfRule type="expression" dxfId="786" priority="468">
      <formula>AA194&lt;&gt;""</formula>
    </cfRule>
  </conditionalFormatting>
  <conditionalFormatting sqref="AC194:AF194">
    <cfRule type="expression" dxfId="785" priority="473">
      <formula>#REF!&lt;&gt;""</formula>
    </cfRule>
    <cfRule type="expression" dxfId="784" priority="474">
      <formula>$AA194&lt;&gt;""</formula>
    </cfRule>
  </conditionalFormatting>
  <conditionalFormatting sqref="AC210:AF211">
    <cfRule type="expression" dxfId="783" priority="461">
      <formula>$AF210&lt;&gt;""</formula>
    </cfRule>
    <cfRule type="expression" dxfId="782" priority="462">
      <formula>$AE210&lt;&gt;""</formula>
    </cfRule>
    <cfRule type="expression" dxfId="781" priority="463">
      <formula>$AD210&lt;&gt;""</formula>
    </cfRule>
    <cfRule type="expression" dxfId="780" priority="464">
      <formula>$AC210&lt;&gt;""</formula>
    </cfRule>
  </conditionalFormatting>
  <conditionalFormatting sqref="AB210:AB211">
    <cfRule type="expression" dxfId="779" priority="459">
      <formula>AB210&lt;&gt;""</formula>
    </cfRule>
    <cfRule type="expression" dxfId="778" priority="460">
      <formula>AA210&lt;&gt;""</formula>
    </cfRule>
  </conditionalFormatting>
  <conditionalFormatting sqref="AC210:AF211">
    <cfRule type="expression" dxfId="777" priority="465">
      <formula>#REF!&lt;&gt;""</formula>
    </cfRule>
    <cfRule type="expression" dxfId="776" priority="466">
      <formula>$AA210&lt;&gt;""</formula>
    </cfRule>
  </conditionalFormatting>
  <conditionalFormatting sqref="AC236:AF236">
    <cfRule type="expression" dxfId="775" priority="453">
      <formula>$AF236&lt;&gt;""</formula>
    </cfRule>
    <cfRule type="expression" dxfId="774" priority="454">
      <formula>$AE236&lt;&gt;""</formula>
    </cfRule>
    <cfRule type="expression" dxfId="773" priority="455">
      <formula>$AD236&lt;&gt;""</formula>
    </cfRule>
    <cfRule type="expression" dxfId="772" priority="456">
      <formula>$AC236&lt;&gt;""</formula>
    </cfRule>
  </conditionalFormatting>
  <conditionalFormatting sqref="AB236">
    <cfRule type="expression" dxfId="771" priority="451">
      <formula>AB236&lt;&gt;""</formula>
    </cfRule>
    <cfRule type="expression" dxfId="770" priority="452">
      <formula>AA236&lt;&gt;""</formula>
    </cfRule>
  </conditionalFormatting>
  <conditionalFormatting sqref="AC236:AF236">
    <cfRule type="expression" dxfId="769" priority="457">
      <formula>#REF!&lt;&gt;""</formula>
    </cfRule>
    <cfRule type="expression" dxfId="768" priority="458">
      <formula>$AA236&lt;&gt;""</formula>
    </cfRule>
  </conditionalFormatting>
  <conditionalFormatting sqref="AC269:AF269">
    <cfRule type="expression" dxfId="767" priority="445">
      <formula>$AF269&lt;&gt;""</formula>
    </cfRule>
    <cfRule type="expression" dxfId="766" priority="446">
      <formula>$AE269&lt;&gt;""</formula>
    </cfRule>
    <cfRule type="expression" dxfId="765" priority="447">
      <formula>$AD269&lt;&gt;""</formula>
    </cfRule>
    <cfRule type="expression" dxfId="764" priority="448">
      <formula>$AC269&lt;&gt;""</formula>
    </cfRule>
  </conditionalFormatting>
  <conditionalFormatting sqref="AB269">
    <cfRule type="expression" dxfId="763" priority="443">
      <formula>AB269&lt;&gt;""</formula>
    </cfRule>
    <cfRule type="expression" dxfId="762" priority="444">
      <formula>AA269&lt;&gt;""</formula>
    </cfRule>
  </conditionalFormatting>
  <conditionalFormatting sqref="AC269:AF269">
    <cfRule type="expression" dxfId="761" priority="449">
      <formula>#REF!&lt;&gt;""</formula>
    </cfRule>
    <cfRule type="expression" dxfId="760" priority="450">
      <formula>$AA269&lt;&gt;""</formula>
    </cfRule>
  </conditionalFormatting>
  <conditionalFormatting sqref="AC270:AF270">
    <cfRule type="expression" dxfId="759" priority="437">
      <formula>$AF270&lt;&gt;""</formula>
    </cfRule>
    <cfRule type="expression" dxfId="758" priority="438">
      <formula>$AE270&lt;&gt;""</formula>
    </cfRule>
    <cfRule type="expression" dxfId="757" priority="439">
      <formula>$AD270&lt;&gt;""</formula>
    </cfRule>
    <cfRule type="expression" dxfId="756" priority="440">
      <formula>$AC270&lt;&gt;""</formula>
    </cfRule>
  </conditionalFormatting>
  <conditionalFormatting sqref="AB270">
    <cfRule type="expression" dxfId="755" priority="435">
      <formula>AB270&lt;&gt;""</formula>
    </cfRule>
    <cfRule type="expression" dxfId="754" priority="436">
      <formula>AA270&lt;&gt;""</formula>
    </cfRule>
  </conditionalFormatting>
  <conditionalFormatting sqref="AC270:AF270">
    <cfRule type="expression" dxfId="753" priority="441">
      <formula>#REF!&lt;&gt;""</formula>
    </cfRule>
    <cfRule type="expression" dxfId="752" priority="442">
      <formula>$AA270&lt;&gt;""</formula>
    </cfRule>
  </conditionalFormatting>
  <conditionalFormatting sqref="AC274:AF274">
    <cfRule type="expression" dxfId="751" priority="429">
      <formula>$AF274&lt;&gt;""</formula>
    </cfRule>
    <cfRule type="expression" dxfId="750" priority="430">
      <formula>$AE274&lt;&gt;""</formula>
    </cfRule>
    <cfRule type="expression" dxfId="749" priority="431">
      <formula>$AD274&lt;&gt;""</formula>
    </cfRule>
    <cfRule type="expression" dxfId="748" priority="432">
      <formula>$AC274&lt;&gt;""</formula>
    </cfRule>
  </conditionalFormatting>
  <conditionalFormatting sqref="AB274">
    <cfRule type="expression" dxfId="747" priority="427">
      <formula>AB274&lt;&gt;""</formula>
    </cfRule>
    <cfRule type="expression" dxfId="746" priority="428">
      <formula>AA274&lt;&gt;""</formula>
    </cfRule>
  </conditionalFormatting>
  <conditionalFormatting sqref="AC274:AF274">
    <cfRule type="expression" dxfId="745" priority="433">
      <formula>#REF!&lt;&gt;""</formula>
    </cfRule>
    <cfRule type="expression" dxfId="744" priority="434">
      <formula>$AA274&lt;&gt;""</formula>
    </cfRule>
  </conditionalFormatting>
  <conditionalFormatting sqref="AC314:AF316">
    <cfRule type="expression" dxfId="743" priority="421">
      <formula>$AF314&lt;&gt;""</formula>
    </cfRule>
    <cfRule type="expression" dxfId="742" priority="422">
      <formula>$AE314&lt;&gt;""</formula>
    </cfRule>
    <cfRule type="expression" dxfId="741" priority="423">
      <formula>$AD314&lt;&gt;""</formula>
    </cfRule>
    <cfRule type="expression" dxfId="740" priority="424">
      <formula>$AC314&lt;&gt;""</formula>
    </cfRule>
  </conditionalFormatting>
  <conditionalFormatting sqref="AB314:AB316">
    <cfRule type="expression" dxfId="739" priority="419">
      <formula>AB314&lt;&gt;""</formula>
    </cfRule>
    <cfRule type="expression" dxfId="738" priority="420">
      <formula>AA314&lt;&gt;""</formula>
    </cfRule>
  </conditionalFormatting>
  <conditionalFormatting sqref="AC314:AF316">
    <cfRule type="expression" dxfId="737" priority="425">
      <formula>#REF!&lt;&gt;""</formula>
    </cfRule>
    <cfRule type="expression" dxfId="736" priority="426">
      <formula>$AA314&lt;&gt;""</formula>
    </cfRule>
  </conditionalFormatting>
  <conditionalFormatting sqref="AC319:AF319">
    <cfRule type="expression" dxfId="735" priority="413">
      <formula>$AF319&lt;&gt;""</formula>
    </cfRule>
    <cfRule type="expression" dxfId="734" priority="414">
      <formula>$AE319&lt;&gt;""</formula>
    </cfRule>
    <cfRule type="expression" dxfId="733" priority="415">
      <formula>$AD319&lt;&gt;""</formula>
    </cfRule>
    <cfRule type="expression" dxfId="732" priority="416">
      <formula>$AC319&lt;&gt;""</formula>
    </cfRule>
  </conditionalFormatting>
  <conditionalFormatting sqref="AB319">
    <cfRule type="expression" dxfId="731" priority="411">
      <formula>AB319&lt;&gt;""</formula>
    </cfRule>
    <cfRule type="expression" dxfId="730" priority="412">
      <formula>AA319&lt;&gt;""</formula>
    </cfRule>
  </conditionalFormatting>
  <conditionalFormatting sqref="AC319:AF319">
    <cfRule type="expression" dxfId="729" priority="417">
      <formula>#REF!&lt;&gt;""</formula>
    </cfRule>
    <cfRule type="expression" dxfId="728" priority="418">
      <formula>$AA319&lt;&gt;""</formula>
    </cfRule>
  </conditionalFormatting>
  <conditionalFormatting sqref="AC324:AF324">
    <cfRule type="expression" dxfId="727" priority="405">
      <formula>$AF324&lt;&gt;""</formula>
    </cfRule>
    <cfRule type="expression" dxfId="726" priority="406">
      <formula>$AE324&lt;&gt;""</formula>
    </cfRule>
    <cfRule type="expression" dxfId="725" priority="407">
      <formula>$AD324&lt;&gt;""</formula>
    </cfRule>
    <cfRule type="expression" dxfId="724" priority="408">
      <formula>$AC324&lt;&gt;""</formula>
    </cfRule>
  </conditionalFormatting>
  <conditionalFormatting sqref="AB324">
    <cfRule type="expression" dxfId="723" priority="403">
      <formula>AB324&lt;&gt;""</formula>
    </cfRule>
    <cfRule type="expression" dxfId="722" priority="404">
      <formula>AA324&lt;&gt;""</formula>
    </cfRule>
  </conditionalFormatting>
  <conditionalFormatting sqref="AC324:AF324">
    <cfRule type="expression" dxfId="721" priority="409">
      <formula>#REF!&lt;&gt;""</formula>
    </cfRule>
    <cfRule type="expression" dxfId="720" priority="410">
      <formula>$AA324&lt;&gt;""</formula>
    </cfRule>
  </conditionalFormatting>
  <conditionalFormatting sqref="AC340:AF341">
    <cfRule type="expression" dxfId="719" priority="397">
      <formula>$AF340&lt;&gt;""</formula>
    </cfRule>
    <cfRule type="expression" dxfId="718" priority="398">
      <formula>$AE340&lt;&gt;""</formula>
    </cfRule>
    <cfRule type="expression" dxfId="717" priority="399">
      <formula>$AD340&lt;&gt;""</formula>
    </cfRule>
    <cfRule type="expression" dxfId="716" priority="400">
      <formula>$AC340&lt;&gt;""</formula>
    </cfRule>
  </conditionalFormatting>
  <conditionalFormatting sqref="AB340:AB341">
    <cfRule type="expression" dxfId="715" priority="395">
      <formula>AB340&lt;&gt;""</formula>
    </cfRule>
    <cfRule type="expression" dxfId="714" priority="396">
      <formula>AA340&lt;&gt;""</formula>
    </cfRule>
  </conditionalFormatting>
  <conditionalFormatting sqref="AC340:AF341">
    <cfRule type="expression" dxfId="713" priority="401">
      <formula>#REF!&lt;&gt;""</formula>
    </cfRule>
    <cfRule type="expression" dxfId="712" priority="402">
      <formula>$AA340&lt;&gt;""</formula>
    </cfRule>
  </conditionalFormatting>
  <conditionalFormatting sqref="AC351:AF351">
    <cfRule type="expression" dxfId="711" priority="389">
      <formula>$AF351&lt;&gt;""</formula>
    </cfRule>
    <cfRule type="expression" dxfId="710" priority="390">
      <formula>$AE351&lt;&gt;""</formula>
    </cfRule>
    <cfRule type="expression" dxfId="709" priority="391">
      <formula>$AD351&lt;&gt;""</formula>
    </cfRule>
    <cfRule type="expression" dxfId="708" priority="392">
      <formula>$AC351&lt;&gt;""</formula>
    </cfRule>
  </conditionalFormatting>
  <conditionalFormatting sqref="AB351">
    <cfRule type="expression" dxfId="707" priority="387">
      <formula>AB351&lt;&gt;""</formula>
    </cfRule>
    <cfRule type="expression" dxfId="706" priority="388">
      <formula>AA351&lt;&gt;""</formula>
    </cfRule>
  </conditionalFormatting>
  <conditionalFormatting sqref="AC351:AF351">
    <cfRule type="expression" dxfId="705" priority="393">
      <formula>#REF!&lt;&gt;""</formula>
    </cfRule>
    <cfRule type="expression" dxfId="704" priority="394">
      <formula>$AA351&lt;&gt;""</formula>
    </cfRule>
  </conditionalFormatting>
  <conditionalFormatting sqref="AC354:AF354">
    <cfRule type="expression" dxfId="703" priority="381">
      <formula>$AF354&lt;&gt;""</formula>
    </cfRule>
    <cfRule type="expression" dxfId="702" priority="382">
      <formula>$AE354&lt;&gt;""</formula>
    </cfRule>
    <cfRule type="expression" dxfId="701" priority="383">
      <formula>$AD354&lt;&gt;""</formula>
    </cfRule>
    <cfRule type="expression" dxfId="700" priority="384">
      <formula>$AC354&lt;&gt;""</formula>
    </cfRule>
  </conditionalFormatting>
  <conditionalFormatting sqref="AB354">
    <cfRule type="expression" dxfId="699" priority="379">
      <formula>AB354&lt;&gt;""</formula>
    </cfRule>
    <cfRule type="expression" dxfId="698" priority="380">
      <formula>AA354&lt;&gt;""</formula>
    </cfRule>
  </conditionalFormatting>
  <conditionalFormatting sqref="AC354:AF354">
    <cfRule type="expression" dxfId="697" priority="385">
      <formula>#REF!&lt;&gt;""</formula>
    </cfRule>
    <cfRule type="expression" dxfId="696" priority="386">
      <formula>$AA354&lt;&gt;""</formula>
    </cfRule>
  </conditionalFormatting>
  <conditionalFormatting sqref="AC370:AF370">
    <cfRule type="expression" dxfId="695" priority="373">
      <formula>$AF370&lt;&gt;""</formula>
    </cfRule>
    <cfRule type="expression" dxfId="694" priority="374">
      <formula>$AE370&lt;&gt;""</formula>
    </cfRule>
    <cfRule type="expression" dxfId="693" priority="375">
      <formula>$AD370&lt;&gt;""</formula>
    </cfRule>
    <cfRule type="expression" dxfId="692" priority="376">
      <formula>$AC370&lt;&gt;""</formula>
    </cfRule>
  </conditionalFormatting>
  <conditionalFormatting sqref="AB370">
    <cfRule type="expression" dxfId="691" priority="371">
      <formula>AB370&lt;&gt;""</formula>
    </cfRule>
    <cfRule type="expression" dxfId="690" priority="372">
      <formula>AA370&lt;&gt;""</formula>
    </cfRule>
  </conditionalFormatting>
  <conditionalFormatting sqref="AC370:AF370">
    <cfRule type="expression" dxfId="689" priority="377">
      <formula>#REF!&lt;&gt;""</formula>
    </cfRule>
    <cfRule type="expression" dxfId="688" priority="378">
      <formula>$AA370&lt;&gt;""</formula>
    </cfRule>
  </conditionalFormatting>
  <conditionalFormatting sqref="AC375:AF375">
    <cfRule type="expression" dxfId="687" priority="365">
      <formula>$AF375&lt;&gt;""</formula>
    </cfRule>
    <cfRule type="expression" dxfId="686" priority="366">
      <formula>$AE375&lt;&gt;""</formula>
    </cfRule>
    <cfRule type="expression" dxfId="685" priority="367">
      <formula>$AD375&lt;&gt;""</formula>
    </cfRule>
    <cfRule type="expression" dxfId="684" priority="368">
      <formula>$AC375&lt;&gt;""</formula>
    </cfRule>
  </conditionalFormatting>
  <conditionalFormatting sqref="AB375">
    <cfRule type="expression" dxfId="683" priority="363">
      <formula>AB375&lt;&gt;""</formula>
    </cfRule>
    <cfRule type="expression" dxfId="682" priority="364">
      <formula>AA375&lt;&gt;""</formula>
    </cfRule>
  </conditionalFormatting>
  <conditionalFormatting sqref="AC375:AF375">
    <cfRule type="expression" dxfId="681" priority="369">
      <formula>#REF!&lt;&gt;""</formula>
    </cfRule>
    <cfRule type="expression" dxfId="680" priority="370">
      <formula>$AA375&lt;&gt;""</formula>
    </cfRule>
  </conditionalFormatting>
  <conditionalFormatting sqref="AC384:AF384">
    <cfRule type="expression" dxfId="679" priority="357">
      <formula>$AF384&lt;&gt;""</formula>
    </cfRule>
    <cfRule type="expression" dxfId="678" priority="358">
      <formula>$AE384&lt;&gt;""</formula>
    </cfRule>
    <cfRule type="expression" dxfId="677" priority="359">
      <formula>$AD384&lt;&gt;""</formula>
    </cfRule>
    <cfRule type="expression" dxfId="676" priority="360">
      <formula>$AC384&lt;&gt;""</formula>
    </cfRule>
  </conditionalFormatting>
  <conditionalFormatting sqref="AB384">
    <cfRule type="expression" dxfId="675" priority="355">
      <formula>AB384&lt;&gt;""</formula>
    </cfRule>
    <cfRule type="expression" dxfId="674" priority="356">
      <formula>AA384&lt;&gt;""</formula>
    </cfRule>
  </conditionalFormatting>
  <conditionalFormatting sqref="AC384:AF384">
    <cfRule type="expression" dxfId="673" priority="361">
      <formula>#REF!&lt;&gt;""</formula>
    </cfRule>
    <cfRule type="expression" dxfId="672" priority="362">
      <formula>$AA384&lt;&gt;""</formula>
    </cfRule>
  </conditionalFormatting>
  <conditionalFormatting sqref="AC385:AF385">
    <cfRule type="expression" dxfId="671" priority="349">
      <formula>$AF385&lt;&gt;""</formula>
    </cfRule>
    <cfRule type="expression" dxfId="670" priority="350">
      <formula>$AE385&lt;&gt;""</formula>
    </cfRule>
    <cfRule type="expression" dxfId="669" priority="351">
      <formula>$AD385&lt;&gt;""</formula>
    </cfRule>
    <cfRule type="expression" dxfId="668" priority="352">
      <formula>$AC385&lt;&gt;""</formula>
    </cfRule>
  </conditionalFormatting>
  <conditionalFormatting sqref="AB385">
    <cfRule type="expression" dxfId="667" priority="347">
      <formula>AB385&lt;&gt;""</formula>
    </cfRule>
    <cfRule type="expression" dxfId="666" priority="348">
      <formula>AA385&lt;&gt;""</formula>
    </cfRule>
  </conditionalFormatting>
  <conditionalFormatting sqref="AC385:AF385">
    <cfRule type="expression" dxfId="665" priority="353">
      <formula>#REF!&lt;&gt;""</formula>
    </cfRule>
    <cfRule type="expression" dxfId="664" priority="354">
      <formula>$AA385&lt;&gt;""</formula>
    </cfRule>
  </conditionalFormatting>
  <conditionalFormatting sqref="AC397:AF397">
    <cfRule type="expression" dxfId="663" priority="341">
      <formula>$AF397&lt;&gt;""</formula>
    </cfRule>
    <cfRule type="expression" dxfId="662" priority="342">
      <formula>$AE397&lt;&gt;""</formula>
    </cfRule>
    <cfRule type="expression" dxfId="661" priority="343">
      <formula>$AD397&lt;&gt;""</formula>
    </cfRule>
    <cfRule type="expression" dxfId="660" priority="344">
      <formula>$AC397&lt;&gt;""</formula>
    </cfRule>
  </conditionalFormatting>
  <conditionalFormatting sqref="AB397">
    <cfRule type="expression" dxfId="659" priority="339">
      <formula>AB397&lt;&gt;""</formula>
    </cfRule>
    <cfRule type="expression" dxfId="658" priority="340">
      <formula>AA397&lt;&gt;""</formula>
    </cfRule>
  </conditionalFormatting>
  <conditionalFormatting sqref="AC397:AF397">
    <cfRule type="expression" dxfId="657" priority="345">
      <formula>#REF!&lt;&gt;""</formula>
    </cfRule>
    <cfRule type="expression" dxfId="656" priority="346">
      <formula>$AA397&lt;&gt;""</formula>
    </cfRule>
  </conditionalFormatting>
  <conditionalFormatting sqref="AC407:AF408">
    <cfRule type="expression" dxfId="655" priority="325">
      <formula>$AF407&lt;&gt;""</formula>
    </cfRule>
    <cfRule type="expression" dxfId="654" priority="326">
      <formula>$AE407&lt;&gt;""</formula>
    </cfRule>
    <cfRule type="expression" dxfId="653" priority="327">
      <formula>$AD407&lt;&gt;""</formula>
    </cfRule>
    <cfRule type="expression" dxfId="652" priority="328">
      <formula>$AC407&lt;&gt;""</formula>
    </cfRule>
  </conditionalFormatting>
  <conditionalFormatting sqref="AC407:AF408">
    <cfRule type="expression" dxfId="651" priority="329">
      <formula>#REF!&lt;&gt;""</formula>
    </cfRule>
    <cfRule type="expression" dxfId="650" priority="330">
      <formula>$AA407&lt;&gt;""</formula>
    </cfRule>
  </conditionalFormatting>
  <conditionalFormatting sqref="AB414">
    <cfRule type="expression" dxfId="649" priority="315">
      <formula>AB414&lt;&gt;""</formula>
    </cfRule>
    <cfRule type="expression" dxfId="648" priority="316">
      <formula>AA414&lt;&gt;""</formula>
    </cfRule>
  </conditionalFormatting>
  <conditionalFormatting sqref="AC414:AF414">
    <cfRule type="expression" dxfId="647" priority="317">
      <formula>$AF414&lt;&gt;""</formula>
    </cfRule>
    <cfRule type="expression" dxfId="646" priority="318">
      <formula>$AE414&lt;&gt;""</formula>
    </cfRule>
    <cfRule type="expression" dxfId="645" priority="319">
      <formula>$AD414&lt;&gt;""</formula>
    </cfRule>
    <cfRule type="expression" dxfId="644" priority="320">
      <formula>$AC414&lt;&gt;""</formula>
    </cfRule>
  </conditionalFormatting>
  <conditionalFormatting sqref="AC414:AF414">
    <cfRule type="expression" dxfId="643" priority="321">
      <formula>#REF!&lt;&gt;""</formula>
    </cfRule>
    <cfRule type="expression" dxfId="642" priority="322">
      <formula>$AA414&lt;&gt;""</formula>
    </cfRule>
  </conditionalFormatting>
  <conditionalFormatting sqref="AB415">
    <cfRule type="expression" dxfId="641" priority="307">
      <formula>AB415&lt;&gt;""</formula>
    </cfRule>
    <cfRule type="expression" dxfId="640" priority="308">
      <formula>AA415&lt;&gt;""</formula>
    </cfRule>
  </conditionalFormatting>
  <conditionalFormatting sqref="AC415:AF415">
    <cfRule type="expression" dxfId="639" priority="309">
      <formula>$AF415&lt;&gt;""</formula>
    </cfRule>
    <cfRule type="expression" dxfId="638" priority="310">
      <formula>$AE415&lt;&gt;""</formula>
    </cfRule>
    <cfRule type="expression" dxfId="637" priority="311">
      <formula>$AD415&lt;&gt;""</formula>
    </cfRule>
    <cfRule type="expression" dxfId="636" priority="312">
      <formula>$AC415&lt;&gt;""</formula>
    </cfRule>
  </conditionalFormatting>
  <conditionalFormatting sqref="AC415:AF415">
    <cfRule type="expression" dxfId="635" priority="313">
      <formula>#REF!&lt;&gt;""</formula>
    </cfRule>
    <cfRule type="expression" dxfId="634" priority="314">
      <formula>$AA415&lt;&gt;""</formula>
    </cfRule>
  </conditionalFormatting>
  <conditionalFormatting sqref="AC462:AF462">
    <cfRule type="expression" dxfId="633" priority="301">
      <formula>$AF462&lt;&gt;""</formula>
    </cfRule>
    <cfRule type="expression" dxfId="632" priority="302">
      <formula>$AE462&lt;&gt;""</formula>
    </cfRule>
    <cfRule type="expression" dxfId="631" priority="303">
      <formula>$AD462&lt;&gt;""</formula>
    </cfRule>
    <cfRule type="expression" dxfId="630" priority="304">
      <formula>$AC462&lt;&gt;""</formula>
    </cfRule>
  </conditionalFormatting>
  <conditionalFormatting sqref="AB462">
    <cfRule type="expression" dxfId="629" priority="299">
      <formula>AB462&lt;&gt;""</formula>
    </cfRule>
    <cfRule type="expression" dxfId="628" priority="300">
      <formula>AA462&lt;&gt;""</formula>
    </cfRule>
  </conditionalFormatting>
  <conditionalFormatting sqref="AC462:AF462">
    <cfRule type="expression" dxfId="627" priority="305">
      <formula>#REF!&lt;&gt;""</formula>
    </cfRule>
    <cfRule type="expression" dxfId="626" priority="306">
      <formula>$AA462&lt;&gt;""</formula>
    </cfRule>
  </conditionalFormatting>
  <conditionalFormatting sqref="AC481:AF481">
    <cfRule type="expression" dxfId="625" priority="293">
      <formula>$AF481&lt;&gt;""</formula>
    </cfRule>
    <cfRule type="expression" dxfId="624" priority="294">
      <formula>$AE481&lt;&gt;""</formula>
    </cfRule>
    <cfRule type="expression" dxfId="623" priority="295">
      <formula>$AD481&lt;&gt;""</formula>
    </cfRule>
    <cfRule type="expression" dxfId="622" priority="296">
      <formula>$AC481&lt;&gt;""</formula>
    </cfRule>
  </conditionalFormatting>
  <conditionalFormatting sqref="AB481">
    <cfRule type="expression" dxfId="621" priority="291">
      <formula>AB481&lt;&gt;""</formula>
    </cfRule>
    <cfRule type="expression" dxfId="620" priority="292">
      <formula>AA481&lt;&gt;""</formula>
    </cfRule>
  </conditionalFormatting>
  <conditionalFormatting sqref="AC481:AF481">
    <cfRule type="expression" dxfId="619" priority="297">
      <formula>#REF!&lt;&gt;""</formula>
    </cfRule>
    <cfRule type="expression" dxfId="618" priority="298">
      <formula>$AA481&lt;&gt;""</formula>
    </cfRule>
  </conditionalFormatting>
  <conditionalFormatting sqref="AC485:AF485">
    <cfRule type="expression" dxfId="617" priority="285">
      <formula>$AF485&lt;&gt;""</formula>
    </cfRule>
    <cfRule type="expression" dxfId="616" priority="286">
      <formula>$AE485&lt;&gt;""</formula>
    </cfRule>
    <cfRule type="expression" dxfId="615" priority="287">
      <formula>$AD485&lt;&gt;""</formula>
    </cfRule>
    <cfRule type="expression" dxfId="614" priority="288">
      <formula>$AC485&lt;&gt;""</formula>
    </cfRule>
  </conditionalFormatting>
  <conditionalFormatting sqref="AB485">
    <cfRule type="expression" dxfId="613" priority="283">
      <formula>AB485&lt;&gt;""</formula>
    </cfRule>
    <cfRule type="expression" dxfId="612" priority="284">
      <formula>AA485&lt;&gt;""</formula>
    </cfRule>
  </conditionalFormatting>
  <conditionalFormatting sqref="AC485:AF485">
    <cfRule type="expression" dxfId="611" priority="289">
      <formula>#REF!&lt;&gt;""</formula>
    </cfRule>
    <cfRule type="expression" dxfId="610" priority="290">
      <formula>$AA485&lt;&gt;""</formula>
    </cfRule>
  </conditionalFormatting>
  <conditionalFormatting sqref="AC500:AF500">
    <cfRule type="expression" dxfId="609" priority="277">
      <formula>$AF500&lt;&gt;""</formula>
    </cfRule>
    <cfRule type="expression" dxfId="608" priority="278">
      <formula>$AE500&lt;&gt;""</formula>
    </cfRule>
    <cfRule type="expression" dxfId="607" priority="279">
      <formula>$AD500&lt;&gt;""</formula>
    </cfRule>
    <cfRule type="expression" dxfId="606" priority="280">
      <formula>$AC500&lt;&gt;""</formula>
    </cfRule>
  </conditionalFormatting>
  <conditionalFormatting sqref="AB500">
    <cfRule type="expression" dxfId="605" priority="275">
      <formula>AB500&lt;&gt;""</formula>
    </cfRule>
    <cfRule type="expression" dxfId="604" priority="276">
      <formula>AA500&lt;&gt;""</formula>
    </cfRule>
  </conditionalFormatting>
  <conditionalFormatting sqref="AC500:AF500">
    <cfRule type="expression" dxfId="603" priority="281">
      <formula>#REF!&lt;&gt;""</formula>
    </cfRule>
    <cfRule type="expression" dxfId="602" priority="282">
      <formula>$AA500&lt;&gt;""</formula>
    </cfRule>
  </conditionalFormatting>
  <conditionalFormatting sqref="AC503:AF503">
    <cfRule type="expression" dxfId="601" priority="269">
      <formula>$AF503&lt;&gt;""</formula>
    </cfRule>
    <cfRule type="expression" dxfId="600" priority="270">
      <formula>$AE503&lt;&gt;""</formula>
    </cfRule>
    <cfRule type="expression" dxfId="599" priority="271">
      <formula>$AD503&lt;&gt;""</formula>
    </cfRule>
    <cfRule type="expression" dxfId="598" priority="272">
      <formula>$AC503&lt;&gt;""</formula>
    </cfRule>
  </conditionalFormatting>
  <conditionalFormatting sqref="AB503">
    <cfRule type="expression" dxfId="597" priority="267">
      <formula>AB503&lt;&gt;""</formula>
    </cfRule>
    <cfRule type="expression" dxfId="596" priority="268">
      <formula>AA503&lt;&gt;""</formula>
    </cfRule>
  </conditionalFormatting>
  <conditionalFormatting sqref="AC503:AF503">
    <cfRule type="expression" dxfId="595" priority="273">
      <formula>#REF!&lt;&gt;""</formula>
    </cfRule>
    <cfRule type="expression" dxfId="594" priority="274">
      <formula>$AA503&lt;&gt;""</formula>
    </cfRule>
  </conditionalFormatting>
  <conditionalFormatting sqref="AC509:AF510">
    <cfRule type="expression" dxfId="593" priority="261">
      <formula>$AF509&lt;&gt;""</formula>
    </cfRule>
    <cfRule type="expression" dxfId="592" priority="262">
      <formula>$AE509&lt;&gt;""</formula>
    </cfRule>
    <cfRule type="expression" dxfId="591" priority="263">
      <formula>$AD509&lt;&gt;""</formula>
    </cfRule>
    <cfRule type="expression" dxfId="590" priority="264">
      <formula>$AC509&lt;&gt;""</formula>
    </cfRule>
  </conditionalFormatting>
  <conditionalFormatting sqref="AB509:AB510">
    <cfRule type="expression" dxfId="589" priority="259">
      <formula>AB509&lt;&gt;""</formula>
    </cfRule>
    <cfRule type="expression" dxfId="588" priority="260">
      <formula>AA509&lt;&gt;""</formula>
    </cfRule>
  </conditionalFormatting>
  <conditionalFormatting sqref="AC509:AF510">
    <cfRule type="expression" dxfId="587" priority="265">
      <formula>#REF!&lt;&gt;""</formula>
    </cfRule>
    <cfRule type="expression" dxfId="586" priority="266">
      <formula>$AA509&lt;&gt;""</formula>
    </cfRule>
  </conditionalFormatting>
  <conditionalFormatting sqref="AC536:AF537">
    <cfRule type="expression" dxfId="585" priority="253">
      <formula>$AF536&lt;&gt;""</formula>
    </cfRule>
    <cfRule type="expression" dxfId="584" priority="254">
      <formula>$AE536&lt;&gt;""</formula>
    </cfRule>
    <cfRule type="expression" dxfId="583" priority="255">
      <formula>$AD536&lt;&gt;""</formula>
    </cfRule>
    <cfRule type="expression" dxfId="582" priority="256">
      <formula>$AC536&lt;&gt;""</formula>
    </cfRule>
  </conditionalFormatting>
  <conditionalFormatting sqref="AB536:AB537">
    <cfRule type="expression" dxfId="581" priority="251">
      <formula>AB536&lt;&gt;""</formula>
    </cfRule>
    <cfRule type="expression" dxfId="580" priority="252">
      <formula>AA536&lt;&gt;""</formula>
    </cfRule>
  </conditionalFormatting>
  <conditionalFormatting sqref="AC536:AF537">
    <cfRule type="expression" dxfId="579" priority="257">
      <formula>#REF!&lt;&gt;""</formula>
    </cfRule>
    <cfRule type="expression" dxfId="578" priority="258">
      <formula>$AA536&lt;&gt;""</formula>
    </cfRule>
  </conditionalFormatting>
  <conditionalFormatting sqref="AC541:AF541">
    <cfRule type="expression" dxfId="577" priority="245">
      <formula>$AF541&lt;&gt;""</formula>
    </cfRule>
    <cfRule type="expression" dxfId="576" priority="246">
      <formula>$AE541&lt;&gt;""</formula>
    </cfRule>
    <cfRule type="expression" dxfId="575" priority="247">
      <formula>$AD541&lt;&gt;""</formula>
    </cfRule>
    <cfRule type="expression" dxfId="574" priority="248">
      <formula>$AC541&lt;&gt;""</formula>
    </cfRule>
  </conditionalFormatting>
  <conditionalFormatting sqref="AB541">
    <cfRule type="expression" dxfId="573" priority="243">
      <formula>AB541&lt;&gt;""</formula>
    </cfRule>
    <cfRule type="expression" dxfId="572" priority="244">
      <formula>AA541&lt;&gt;""</formula>
    </cfRule>
  </conditionalFormatting>
  <conditionalFormatting sqref="AC541:AF541">
    <cfRule type="expression" dxfId="571" priority="249">
      <formula>#REF!&lt;&gt;""</formula>
    </cfRule>
    <cfRule type="expression" dxfId="570" priority="250">
      <formula>$AA541&lt;&gt;""</formula>
    </cfRule>
  </conditionalFormatting>
  <conditionalFormatting sqref="AC544:AF544">
    <cfRule type="expression" dxfId="569" priority="237">
      <formula>$AF544&lt;&gt;""</formula>
    </cfRule>
    <cfRule type="expression" dxfId="568" priority="238">
      <formula>$AE544&lt;&gt;""</formula>
    </cfRule>
    <cfRule type="expression" dxfId="567" priority="239">
      <formula>$AD544&lt;&gt;""</formula>
    </cfRule>
    <cfRule type="expression" dxfId="566" priority="240">
      <formula>$AC544&lt;&gt;""</formula>
    </cfRule>
  </conditionalFormatting>
  <conditionalFormatting sqref="AB544">
    <cfRule type="expression" dxfId="565" priority="235">
      <formula>AB544&lt;&gt;""</formula>
    </cfRule>
    <cfRule type="expression" dxfId="564" priority="236">
      <formula>AA544&lt;&gt;""</formula>
    </cfRule>
  </conditionalFormatting>
  <conditionalFormatting sqref="AC544:AF544">
    <cfRule type="expression" dxfId="563" priority="241">
      <formula>#REF!&lt;&gt;""</formula>
    </cfRule>
    <cfRule type="expression" dxfId="562" priority="242">
      <formula>$AA544&lt;&gt;""</formula>
    </cfRule>
  </conditionalFormatting>
  <conditionalFormatting sqref="AC560:AF560">
    <cfRule type="expression" dxfId="561" priority="229">
      <formula>$AF560&lt;&gt;""</formula>
    </cfRule>
    <cfRule type="expression" dxfId="560" priority="230">
      <formula>$AE560&lt;&gt;""</formula>
    </cfRule>
    <cfRule type="expression" dxfId="559" priority="231">
      <formula>$AD560&lt;&gt;""</formula>
    </cfRule>
    <cfRule type="expression" dxfId="558" priority="232">
      <formula>$AC560&lt;&gt;""</formula>
    </cfRule>
  </conditionalFormatting>
  <conditionalFormatting sqref="AB560">
    <cfRule type="expression" dxfId="557" priority="227">
      <formula>AB560&lt;&gt;""</formula>
    </cfRule>
    <cfRule type="expression" dxfId="556" priority="228">
      <formula>AA560&lt;&gt;""</formula>
    </cfRule>
  </conditionalFormatting>
  <conditionalFormatting sqref="AC560:AF560">
    <cfRule type="expression" dxfId="555" priority="233">
      <formula>#REF!&lt;&gt;""</formula>
    </cfRule>
    <cfRule type="expression" dxfId="554" priority="234">
      <formula>$AA560&lt;&gt;""</formula>
    </cfRule>
  </conditionalFormatting>
  <conditionalFormatting sqref="AC567:AF567">
    <cfRule type="expression" dxfId="553" priority="221">
      <formula>$AF567&lt;&gt;""</formula>
    </cfRule>
    <cfRule type="expression" dxfId="552" priority="222">
      <formula>$AE567&lt;&gt;""</formula>
    </cfRule>
    <cfRule type="expression" dxfId="551" priority="223">
      <formula>$AD567&lt;&gt;""</formula>
    </cfRule>
    <cfRule type="expression" dxfId="550" priority="224">
      <formula>$AC567&lt;&gt;""</formula>
    </cfRule>
  </conditionalFormatting>
  <conditionalFormatting sqref="AB567">
    <cfRule type="expression" dxfId="549" priority="219">
      <formula>AB567&lt;&gt;""</formula>
    </cfRule>
    <cfRule type="expression" dxfId="548" priority="220">
      <formula>AA567&lt;&gt;""</formula>
    </cfRule>
  </conditionalFormatting>
  <conditionalFormatting sqref="AC567:AF567">
    <cfRule type="expression" dxfId="547" priority="225">
      <formula>#REF!&lt;&gt;""</formula>
    </cfRule>
    <cfRule type="expression" dxfId="546" priority="226">
      <formula>$AA567&lt;&gt;""</formula>
    </cfRule>
  </conditionalFormatting>
  <conditionalFormatting sqref="AC614:AF614">
    <cfRule type="expression" dxfId="545" priority="213">
      <formula>$AF614&lt;&gt;""</formula>
    </cfRule>
    <cfRule type="expression" dxfId="544" priority="214">
      <formula>$AE614&lt;&gt;""</formula>
    </cfRule>
    <cfRule type="expression" dxfId="543" priority="215">
      <formula>$AD614&lt;&gt;""</formula>
    </cfRule>
    <cfRule type="expression" dxfId="542" priority="216">
      <formula>$AC614&lt;&gt;""</formula>
    </cfRule>
  </conditionalFormatting>
  <conditionalFormatting sqref="AB614">
    <cfRule type="expression" dxfId="541" priority="211">
      <formula>AB614&lt;&gt;""</formula>
    </cfRule>
    <cfRule type="expression" dxfId="540" priority="212">
      <formula>AA614&lt;&gt;""</formula>
    </cfRule>
  </conditionalFormatting>
  <conditionalFormatting sqref="AC614:AF614">
    <cfRule type="expression" dxfId="539" priority="217">
      <formula>#REF!&lt;&gt;""</formula>
    </cfRule>
    <cfRule type="expression" dxfId="538" priority="218">
      <formula>$AA614&lt;&gt;""</formula>
    </cfRule>
  </conditionalFormatting>
  <conditionalFormatting sqref="AC615:AF615">
    <cfRule type="expression" dxfId="537" priority="205">
      <formula>$AF615&lt;&gt;""</formula>
    </cfRule>
    <cfRule type="expression" dxfId="536" priority="206">
      <formula>$AE615&lt;&gt;""</formula>
    </cfRule>
    <cfRule type="expression" dxfId="535" priority="207">
      <formula>$AD615&lt;&gt;""</formula>
    </cfRule>
    <cfRule type="expression" dxfId="534" priority="208">
      <formula>$AC615&lt;&gt;""</formula>
    </cfRule>
  </conditionalFormatting>
  <conditionalFormatting sqref="AB615">
    <cfRule type="expression" dxfId="533" priority="203">
      <formula>AB615&lt;&gt;""</formula>
    </cfRule>
    <cfRule type="expression" dxfId="532" priority="204">
      <formula>AA615&lt;&gt;""</formula>
    </cfRule>
  </conditionalFormatting>
  <conditionalFormatting sqref="AC615:AF615">
    <cfRule type="expression" dxfId="531" priority="209">
      <formula>#REF!&lt;&gt;""</formula>
    </cfRule>
    <cfRule type="expression" dxfId="530" priority="210">
      <formula>$AA615&lt;&gt;""</formula>
    </cfRule>
  </conditionalFormatting>
  <conditionalFormatting sqref="AC641:AF641">
    <cfRule type="expression" dxfId="529" priority="197">
      <formula>$AF641&lt;&gt;""</formula>
    </cfRule>
    <cfRule type="expression" dxfId="528" priority="198">
      <formula>$AE641&lt;&gt;""</formula>
    </cfRule>
    <cfRule type="expression" dxfId="527" priority="199">
      <formula>$AD641&lt;&gt;""</formula>
    </cfRule>
    <cfRule type="expression" dxfId="526" priority="200">
      <formula>$AC641&lt;&gt;""</formula>
    </cfRule>
  </conditionalFormatting>
  <conditionalFormatting sqref="AB641">
    <cfRule type="expression" dxfId="525" priority="195">
      <formula>AB641&lt;&gt;""</formula>
    </cfRule>
    <cfRule type="expression" dxfId="524" priority="196">
      <formula>AA641&lt;&gt;""</formula>
    </cfRule>
  </conditionalFormatting>
  <conditionalFormatting sqref="AC641:AF641">
    <cfRule type="expression" dxfId="523" priority="201">
      <formula>#REF!&lt;&gt;""</formula>
    </cfRule>
    <cfRule type="expression" dxfId="522" priority="202">
      <formula>$AA641&lt;&gt;""</formula>
    </cfRule>
  </conditionalFormatting>
  <conditionalFormatting sqref="AC646:AF646">
    <cfRule type="expression" dxfId="521" priority="189">
      <formula>$AF646&lt;&gt;""</formula>
    </cfRule>
    <cfRule type="expression" dxfId="520" priority="190">
      <formula>$AE646&lt;&gt;""</formula>
    </cfRule>
    <cfRule type="expression" dxfId="519" priority="191">
      <formula>$AD646&lt;&gt;""</formula>
    </cfRule>
    <cfRule type="expression" dxfId="518" priority="192">
      <formula>$AC646&lt;&gt;""</formula>
    </cfRule>
  </conditionalFormatting>
  <conditionalFormatting sqref="AB646">
    <cfRule type="expression" dxfId="517" priority="187">
      <formula>AB646&lt;&gt;""</formula>
    </cfRule>
    <cfRule type="expression" dxfId="516" priority="188">
      <formula>AA646&lt;&gt;""</formula>
    </cfRule>
  </conditionalFormatting>
  <conditionalFormatting sqref="AC646:AF646">
    <cfRule type="expression" dxfId="515" priority="193">
      <formula>#REF!&lt;&gt;""</formula>
    </cfRule>
    <cfRule type="expression" dxfId="514" priority="194">
      <formula>$AA646&lt;&gt;""</formula>
    </cfRule>
  </conditionalFormatting>
  <conditionalFormatting sqref="AC659:AF659">
    <cfRule type="expression" dxfId="513" priority="181">
      <formula>$AF659&lt;&gt;""</formula>
    </cfRule>
    <cfRule type="expression" dxfId="512" priority="182">
      <formula>$AE659&lt;&gt;""</formula>
    </cfRule>
    <cfRule type="expression" dxfId="511" priority="183">
      <formula>$AD659&lt;&gt;""</formula>
    </cfRule>
    <cfRule type="expression" dxfId="510" priority="184">
      <formula>$AC659&lt;&gt;""</formula>
    </cfRule>
  </conditionalFormatting>
  <conditionalFormatting sqref="AB659">
    <cfRule type="expression" dxfId="509" priority="179">
      <formula>AB659&lt;&gt;""</formula>
    </cfRule>
    <cfRule type="expression" dxfId="508" priority="180">
      <formula>AA659&lt;&gt;""</formula>
    </cfRule>
  </conditionalFormatting>
  <conditionalFormatting sqref="AC659:AF659">
    <cfRule type="expression" dxfId="507" priority="185">
      <formula>#REF!&lt;&gt;""</formula>
    </cfRule>
    <cfRule type="expression" dxfId="506" priority="186">
      <formula>$AA659&lt;&gt;""</formula>
    </cfRule>
  </conditionalFormatting>
  <conditionalFormatting sqref="AC666:AF666">
    <cfRule type="expression" dxfId="505" priority="173">
      <formula>$AF666&lt;&gt;""</formula>
    </cfRule>
    <cfRule type="expression" dxfId="504" priority="174">
      <formula>$AE666&lt;&gt;""</formula>
    </cfRule>
    <cfRule type="expression" dxfId="503" priority="175">
      <formula>$AD666&lt;&gt;""</formula>
    </cfRule>
    <cfRule type="expression" dxfId="502" priority="176">
      <formula>$AC666&lt;&gt;""</formula>
    </cfRule>
  </conditionalFormatting>
  <conditionalFormatting sqref="AB666">
    <cfRule type="expression" dxfId="501" priority="171">
      <formula>AB666&lt;&gt;""</formula>
    </cfRule>
    <cfRule type="expression" dxfId="500" priority="172">
      <formula>AA666&lt;&gt;""</formula>
    </cfRule>
  </conditionalFormatting>
  <conditionalFormatting sqref="AC666:AF666">
    <cfRule type="expression" dxfId="499" priority="177">
      <formula>#REF!&lt;&gt;""</formula>
    </cfRule>
    <cfRule type="expression" dxfId="498" priority="178">
      <formula>$AA666&lt;&gt;""</formula>
    </cfRule>
  </conditionalFormatting>
  <conditionalFormatting sqref="AC671:AF671">
    <cfRule type="expression" dxfId="497" priority="165">
      <formula>$AF671&lt;&gt;""</formula>
    </cfRule>
    <cfRule type="expression" dxfId="496" priority="166">
      <formula>$AE671&lt;&gt;""</formula>
    </cfRule>
    <cfRule type="expression" dxfId="495" priority="167">
      <formula>$AD671&lt;&gt;""</formula>
    </cfRule>
    <cfRule type="expression" dxfId="494" priority="168">
      <formula>$AC671&lt;&gt;""</formula>
    </cfRule>
  </conditionalFormatting>
  <conditionalFormatting sqref="AB671">
    <cfRule type="expression" dxfId="493" priority="163">
      <formula>AB671&lt;&gt;""</formula>
    </cfRule>
    <cfRule type="expression" dxfId="492" priority="164">
      <formula>AA671&lt;&gt;""</formula>
    </cfRule>
  </conditionalFormatting>
  <conditionalFormatting sqref="AC671:AF671">
    <cfRule type="expression" dxfId="491" priority="169">
      <formula>#REF!&lt;&gt;""</formula>
    </cfRule>
    <cfRule type="expression" dxfId="490" priority="170">
      <formula>$AA671&lt;&gt;""</formula>
    </cfRule>
  </conditionalFormatting>
  <conditionalFormatting sqref="AC676:AF676">
    <cfRule type="expression" dxfId="489" priority="157">
      <formula>$AF676&lt;&gt;""</formula>
    </cfRule>
    <cfRule type="expression" dxfId="488" priority="158">
      <formula>$AE676&lt;&gt;""</formula>
    </cfRule>
    <cfRule type="expression" dxfId="487" priority="159">
      <formula>$AD676&lt;&gt;""</formula>
    </cfRule>
    <cfRule type="expression" dxfId="486" priority="160">
      <formula>$AC676&lt;&gt;""</formula>
    </cfRule>
  </conditionalFormatting>
  <conditionalFormatting sqref="AB676">
    <cfRule type="expression" dxfId="485" priority="155">
      <formula>AB676&lt;&gt;""</formula>
    </cfRule>
    <cfRule type="expression" dxfId="484" priority="156">
      <formula>AA676&lt;&gt;""</formula>
    </cfRule>
  </conditionalFormatting>
  <conditionalFormatting sqref="AC676:AF676">
    <cfRule type="expression" dxfId="483" priority="161">
      <formula>#REF!&lt;&gt;""</formula>
    </cfRule>
    <cfRule type="expression" dxfId="482" priority="162">
      <formula>$AA676&lt;&gt;""</formula>
    </cfRule>
  </conditionalFormatting>
  <conditionalFormatting sqref="AC686:AF686">
    <cfRule type="expression" dxfId="481" priority="149">
      <formula>$AF686&lt;&gt;""</formula>
    </cfRule>
    <cfRule type="expression" dxfId="480" priority="150">
      <formula>$AE686&lt;&gt;""</formula>
    </cfRule>
    <cfRule type="expression" dxfId="479" priority="151">
      <formula>$AD686&lt;&gt;""</formula>
    </cfRule>
    <cfRule type="expression" dxfId="478" priority="152">
      <formula>$AC686&lt;&gt;""</formula>
    </cfRule>
  </conditionalFormatting>
  <conditionalFormatting sqref="AB686">
    <cfRule type="expression" dxfId="477" priority="147">
      <formula>AB686&lt;&gt;""</formula>
    </cfRule>
    <cfRule type="expression" dxfId="476" priority="148">
      <formula>AA686&lt;&gt;""</formula>
    </cfRule>
  </conditionalFormatting>
  <conditionalFormatting sqref="AC686:AF686">
    <cfRule type="expression" dxfId="475" priority="153">
      <formula>#REF!&lt;&gt;""</formula>
    </cfRule>
    <cfRule type="expression" dxfId="474" priority="154">
      <formula>$AA686&lt;&gt;""</formula>
    </cfRule>
  </conditionalFormatting>
  <conditionalFormatting sqref="AC693:AF693">
    <cfRule type="expression" dxfId="473" priority="141">
      <formula>$AF693&lt;&gt;""</formula>
    </cfRule>
    <cfRule type="expression" dxfId="472" priority="142">
      <formula>$AE693&lt;&gt;""</formula>
    </cfRule>
    <cfRule type="expression" dxfId="471" priority="143">
      <formula>$AD693&lt;&gt;""</formula>
    </cfRule>
    <cfRule type="expression" dxfId="470" priority="144">
      <formula>$AC693&lt;&gt;""</formula>
    </cfRule>
  </conditionalFormatting>
  <conditionalFormatting sqref="AB693">
    <cfRule type="expression" dxfId="469" priority="139">
      <formula>AB693&lt;&gt;""</formula>
    </cfRule>
    <cfRule type="expression" dxfId="468" priority="140">
      <formula>AA693&lt;&gt;""</formula>
    </cfRule>
  </conditionalFormatting>
  <conditionalFormatting sqref="AC693:AF693">
    <cfRule type="expression" dxfId="467" priority="145">
      <formula>#REF!&lt;&gt;""</formula>
    </cfRule>
    <cfRule type="expression" dxfId="466" priority="146">
      <formula>$AA693&lt;&gt;""</formula>
    </cfRule>
  </conditionalFormatting>
  <conditionalFormatting sqref="AC695:AF695">
    <cfRule type="expression" dxfId="465" priority="133">
      <formula>$AF695&lt;&gt;""</formula>
    </cfRule>
    <cfRule type="expression" dxfId="464" priority="134">
      <formula>$AE695&lt;&gt;""</formula>
    </cfRule>
    <cfRule type="expression" dxfId="463" priority="135">
      <formula>$AD695&lt;&gt;""</formula>
    </cfRule>
    <cfRule type="expression" dxfId="462" priority="136">
      <formula>$AC695&lt;&gt;""</formula>
    </cfRule>
  </conditionalFormatting>
  <conditionalFormatting sqref="AB695">
    <cfRule type="expression" dxfId="461" priority="131">
      <formula>AB695&lt;&gt;""</formula>
    </cfRule>
    <cfRule type="expression" dxfId="460" priority="132">
      <formula>AA695&lt;&gt;""</formula>
    </cfRule>
  </conditionalFormatting>
  <conditionalFormatting sqref="AC695:AF695">
    <cfRule type="expression" dxfId="459" priority="137">
      <formula>#REF!&lt;&gt;""</formula>
    </cfRule>
    <cfRule type="expression" dxfId="458" priority="138">
      <formula>$AA695&lt;&gt;""</formula>
    </cfRule>
  </conditionalFormatting>
  <conditionalFormatting sqref="AC696:AF697">
    <cfRule type="expression" dxfId="457" priority="125">
      <formula>$AF696&lt;&gt;""</formula>
    </cfRule>
    <cfRule type="expression" dxfId="456" priority="126">
      <formula>$AE696&lt;&gt;""</formula>
    </cfRule>
    <cfRule type="expression" dxfId="455" priority="127">
      <formula>$AD696&lt;&gt;""</formula>
    </cfRule>
    <cfRule type="expression" dxfId="454" priority="128">
      <formula>$AC696&lt;&gt;""</formula>
    </cfRule>
  </conditionalFormatting>
  <conditionalFormatting sqref="AB696">
    <cfRule type="expression" dxfId="453" priority="123">
      <formula>AB696&lt;&gt;""</formula>
    </cfRule>
    <cfRule type="expression" dxfId="452" priority="124">
      <formula>AA696&lt;&gt;""</formula>
    </cfRule>
  </conditionalFormatting>
  <conditionalFormatting sqref="AC696:AF697">
    <cfRule type="expression" dxfId="451" priority="129">
      <formula>#REF!&lt;&gt;""</formula>
    </cfRule>
    <cfRule type="expression" dxfId="450" priority="130">
      <formula>$AA696&lt;&gt;""</formula>
    </cfRule>
  </conditionalFormatting>
  <conditionalFormatting sqref="AB697">
    <cfRule type="expression" dxfId="449" priority="121">
      <formula>AB697&lt;&gt;""</formula>
    </cfRule>
    <cfRule type="expression" dxfId="448" priority="122">
      <formula>AA697&lt;&gt;""</formula>
    </cfRule>
  </conditionalFormatting>
  <conditionalFormatting sqref="AC700:AF700">
    <cfRule type="expression" dxfId="447" priority="115">
      <formula>$AF700&lt;&gt;""</formula>
    </cfRule>
    <cfRule type="expression" dxfId="446" priority="116">
      <formula>$AE700&lt;&gt;""</formula>
    </cfRule>
    <cfRule type="expression" dxfId="445" priority="117">
      <formula>$AD700&lt;&gt;""</formula>
    </cfRule>
    <cfRule type="expression" dxfId="444" priority="118">
      <formula>$AC700&lt;&gt;""</formula>
    </cfRule>
  </conditionalFormatting>
  <conditionalFormatting sqref="AC700:AF700">
    <cfRule type="expression" dxfId="443" priority="119">
      <formula>#REF!&lt;&gt;""</formula>
    </cfRule>
    <cfRule type="expression" dxfId="442" priority="120">
      <formula>$AA700&lt;&gt;""</formula>
    </cfRule>
  </conditionalFormatting>
  <conditionalFormatting sqref="AB700">
    <cfRule type="expression" dxfId="441" priority="113">
      <formula>AB700&lt;&gt;""</formula>
    </cfRule>
    <cfRule type="expression" dxfId="440" priority="114">
      <formula>AA700&lt;&gt;""</formula>
    </cfRule>
  </conditionalFormatting>
  <conditionalFormatting sqref="AC705:AF705">
    <cfRule type="expression" dxfId="439" priority="107">
      <formula>$AF705&lt;&gt;""</formula>
    </cfRule>
    <cfRule type="expression" dxfId="438" priority="108">
      <formula>$AE705&lt;&gt;""</formula>
    </cfRule>
    <cfRule type="expression" dxfId="437" priority="109">
      <formula>$AD705&lt;&gt;""</formula>
    </cfRule>
    <cfRule type="expression" dxfId="436" priority="110">
      <formula>$AC705&lt;&gt;""</formula>
    </cfRule>
  </conditionalFormatting>
  <conditionalFormatting sqref="AB705">
    <cfRule type="expression" dxfId="435" priority="105">
      <formula>AB705&lt;&gt;""</formula>
    </cfRule>
    <cfRule type="expression" dxfId="434" priority="106">
      <formula>AA705&lt;&gt;""</formula>
    </cfRule>
  </conditionalFormatting>
  <conditionalFormatting sqref="AC705:AF705">
    <cfRule type="expression" dxfId="433" priority="111">
      <formula>#REF!&lt;&gt;""</formula>
    </cfRule>
    <cfRule type="expression" dxfId="432" priority="112">
      <formula>$AA705&lt;&gt;""</formula>
    </cfRule>
  </conditionalFormatting>
  <conditionalFormatting sqref="AC722:AF722">
    <cfRule type="expression" dxfId="431" priority="99">
      <formula>$AF722&lt;&gt;""</formula>
    </cfRule>
    <cfRule type="expression" dxfId="430" priority="100">
      <formula>$AE722&lt;&gt;""</formula>
    </cfRule>
    <cfRule type="expression" dxfId="429" priority="101">
      <formula>$AD722&lt;&gt;""</formula>
    </cfRule>
    <cfRule type="expression" dxfId="428" priority="102">
      <formula>$AC722&lt;&gt;""</formula>
    </cfRule>
  </conditionalFormatting>
  <conditionalFormatting sqref="AB722">
    <cfRule type="expression" dxfId="427" priority="97">
      <formula>AB722&lt;&gt;""</formula>
    </cfRule>
    <cfRule type="expression" dxfId="426" priority="98">
      <formula>AA722&lt;&gt;""</formula>
    </cfRule>
  </conditionalFormatting>
  <conditionalFormatting sqref="AC722:AF722">
    <cfRule type="expression" dxfId="425" priority="103">
      <formula>#REF!&lt;&gt;""</formula>
    </cfRule>
    <cfRule type="expression" dxfId="424" priority="104">
      <formula>$AA722&lt;&gt;""</formula>
    </cfRule>
  </conditionalFormatting>
  <conditionalFormatting sqref="AC726:AF727">
    <cfRule type="expression" dxfId="423" priority="91">
      <formula>$AF726&lt;&gt;""</formula>
    </cfRule>
    <cfRule type="expression" dxfId="422" priority="92">
      <formula>$AE726&lt;&gt;""</formula>
    </cfRule>
    <cfRule type="expression" dxfId="421" priority="93">
      <formula>$AD726&lt;&gt;""</formula>
    </cfRule>
    <cfRule type="expression" dxfId="420" priority="94">
      <formula>$AC726&lt;&gt;""</formula>
    </cfRule>
  </conditionalFormatting>
  <conditionalFormatting sqref="AB726:AB727">
    <cfRule type="expression" dxfId="419" priority="89">
      <formula>AB726&lt;&gt;""</formula>
    </cfRule>
    <cfRule type="expression" dxfId="418" priority="90">
      <formula>AA726&lt;&gt;""</formula>
    </cfRule>
  </conditionalFormatting>
  <conditionalFormatting sqref="AC726:AF727">
    <cfRule type="expression" dxfId="417" priority="95">
      <formula>#REF!&lt;&gt;""</formula>
    </cfRule>
    <cfRule type="expression" dxfId="416" priority="96">
      <formula>$AA726&lt;&gt;""</formula>
    </cfRule>
  </conditionalFormatting>
  <conditionalFormatting sqref="AC735:AF736">
    <cfRule type="expression" dxfId="415" priority="83">
      <formula>$AF735&lt;&gt;""</formula>
    </cfRule>
    <cfRule type="expression" dxfId="414" priority="84">
      <formula>$AE735&lt;&gt;""</formula>
    </cfRule>
    <cfRule type="expression" dxfId="413" priority="85">
      <formula>$AD735&lt;&gt;""</formula>
    </cfRule>
    <cfRule type="expression" dxfId="412" priority="86">
      <formula>$AC735&lt;&gt;""</formula>
    </cfRule>
  </conditionalFormatting>
  <conditionalFormatting sqref="AB735:AB736">
    <cfRule type="expression" dxfId="411" priority="81">
      <formula>AB735&lt;&gt;""</formula>
    </cfRule>
    <cfRule type="expression" dxfId="410" priority="82">
      <formula>AA735&lt;&gt;""</formula>
    </cfRule>
  </conditionalFormatting>
  <conditionalFormatting sqref="AC735:AF736">
    <cfRule type="expression" dxfId="409" priority="87">
      <formula>#REF!&lt;&gt;""</formula>
    </cfRule>
    <cfRule type="expression" dxfId="408" priority="88">
      <formula>$AA735&lt;&gt;""</formula>
    </cfRule>
  </conditionalFormatting>
  <conditionalFormatting sqref="AC745:AF745">
    <cfRule type="expression" dxfId="407" priority="75">
      <formula>$AF745&lt;&gt;""</formula>
    </cfRule>
    <cfRule type="expression" dxfId="406" priority="76">
      <formula>$AE745&lt;&gt;""</formula>
    </cfRule>
    <cfRule type="expression" dxfId="405" priority="77">
      <formula>$AD745&lt;&gt;""</formula>
    </cfRule>
    <cfRule type="expression" dxfId="404" priority="78">
      <formula>$AC745&lt;&gt;""</formula>
    </cfRule>
  </conditionalFormatting>
  <conditionalFormatting sqref="AB745">
    <cfRule type="expression" dxfId="403" priority="73">
      <formula>AB745&lt;&gt;""</formula>
    </cfRule>
    <cfRule type="expression" dxfId="402" priority="74">
      <formula>AA745&lt;&gt;""</formula>
    </cfRule>
  </conditionalFormatting>
  <conditionalFormatting sqref="AC745:AF745">
    <cfRule type="expression" dxfId="401" priority="79">
      <formula>#REF!&lt;&gt;""</formula>
    </cfRule>
    <cfRule type="expression" dxfId="400" priority="80">
      <formula>$AA745&lt;&gt;""</formula>
    </cfRule>
  </conditionalFormatting>
  <conditionalFormatting sqref="AC752:AF752">
    <cfRule type="expression" dxfId="399" priority="67">
      <formula>$AF752&lt;&gt;""</formula>
    </cfRule>
    <cfRule type="expression" dxfId="398" priority="68">
      <formula>$AE752&lt;&gt;""</formula>
    </cfRule>
    <cfRule type="expression" dxfId="397" priority="69">
      <formula>$AD752&lt;&gt;""</formula>
    </cfRule>
    <cfRule type="expression" dxfId="396" priority="70">
      <formula>$AC752&lt;&gt;""</formula>
    </cfRule>
  </conditionalFormatting>
  <conditionalFormatting sqref="AB752">
    <cfRule type="expression" dxfId="395" priority="65">
      <formula>AB752&lt;&gt;""</formula>
    </cfRule>
    <cfRule type="expression" dxfId="394" priority="66">
      <formula>AA752&lt;&gt;""</formula>
    </cfRule>
  </conditionalFormatting>
  <conditionalFormatting sqref="AC752:AF752">
    <cfRule type="expression" dxfId="393" priority="71">
      <formula>#REF!&lt;&gt;""</formula>
    </cfRule>
    <cfRule type="expression" dxfId="392" priority="72">
      <formula>$AA752&lt;&gt;""</formula>
    </cfRule>
  </conditionalFormatting>
  <conditionalFormatting sqref="AC755:AF755">
    <cfRule type="expression" dxfId="391" priority="59">
      <formula>$AF755&lt;&gt;""</formula>
    </cfRule>
    <cfRule type="expression" dxfId="390" priority="60">
      <formula>$AE755&lt;&gt;""</formula>
    </cfRule>
    <cfRule type="expression" dxfId="389" priority="61">
      <formula>$AD755&lt;&gt;""</formula>
    </cfRule>
    <cfRule type="expression" dxfId="388" priority="62">
      <formula>$AC755&lt;&gt;""</formula>
    </cfRule>
  </conditionalFormatting>
  <conditionalFormatting sqref="AB755">
    <cfRule type="expression" dxfId="387" priority="57">
      <formula>AB755&lt;&gt;""</formula>
    </cfRule>
    <cfRule type="expression" dxfId="386" priority="58">
      <formula>AA755&lt;&gt;""</formula>
    </cfRule>
  </conditionalFormatting>
  <conditionalFormatting sqref="AC755:AF755">
    <cfRule type="expression" dxfId="385" priority="63">
      <formula>#REF!&lt;&gt;""</formula>
    </cfRule>
    <cfRule type="expression" dxfId="384" priority="64">
      <formula>$AA755&lt;&gt;""</formula>
    </cfRule>
  </conditionalFormatting>
  <conditionalFormatting sqref="AC762:AF762">
    <cfRule type="expression" dxfId="383" priority="51">
      <formula>$AF762&lt;&gt;""</formula>
    </cfRule>
    <cfRule type="expression" dxfId="382" priority="52">
      <formula>$AE762&lt;&gt;""</formula>
    </cfRule>
    <cfRule type="expression" dxfId="381" priority="53">
      <formula>$AD762&lt;&gt;""</formula>
    </cfRule>
    <cfRule type="expression" dxfId="380" priority="54">
      <formula>$AC762&lt;&gt;""</formula>
    </cfRule>
  </conditionalFormatting>
  <conditionalFormatting sqref="AB762">
    <cfRule type="expression" dxfId="379" priority="49">
      <formula>AB762&lt;&gt;""</formula>
    </cfRule>
    <cfRule type="expression" dxfId="378" priority="50">
      <formula>AA762&lt;&gt;""</formula>
    </cfRule>
  </conditionalFormatting>
  <conditionalFormatting sqref="AC762:AF762">
    <cfRule type="expression" dxfId="377" priority="55">
      <formula>#REF!&lt;&gt;""</formula>
    </cfRule>
    <cfRule type="expression" dxfId="376" priority="56">
      <formula>$AA762&lt;&gt;""</formula>
    </cfRule>
  </conditionalFormatting>
  <conditionalFormatting sqref="AC764:AF764">
    <cfRule type="expression" dxfId="375" priority="43">
      <formula>$AF764&lt;&gt;""</formula>
    </cfRule>
    <cfRule type="expression" dxfId="374" priority="44">
      <formula>$AE764&lt;&gt;""</formula>
    </cfRule>
    <cfRule type="expression" dxfId="373" priority="45">
      <formula>$AD764&lt;&gt;""</formula>
    </cfRule>
    <cfRule type="expression" dxfId="372" priority="46">
      <formula>$AC764&lt;&gt;""</formula>
    </cfRule>
  </conditionalFormatting>
  <conditionalFormatting sqref="AB764">
    <cfRule type="expression" dxfId="371" priority="41">
      <formula>AB764&lt;&gt;""</formula>
    </cfRule>
    <cfRule type="expression" dxfId="370" priority="42">
      <formula>AA764&lt;&gt;""</formula>
    </cfRule>
  </conditionalFormatting>
  <conditionalFormatting sqref="AC764:AF764">
    <cfRule type="expression" dxfId="369" priority="47">
      <formula>#REF!&lt;&gt;""</formula>
    </cfRule>
    <cfRule type="expression" dxfId="368" priority="48">
      <formula>$AA764&lt;&gt;""</formula>
    </cfRule>
  </conditionalFormatting>
  <conditionalFormatting sqref="AC770:AF770">
    <cfRule type="expression" dxfId="367" priority="35">
      <formula>$AF770&lt;&gt;""</formula>
    </cfRule>
    <cfRule type="expression" dxfId="366" priority="36">
      <formula>$AE770&lt;&gt;""</formula>
    </cfRule>
    <cfRule type="expression" dxfId="365" priority="37">
      <formula>$AD770&lt;&gt;""</formula>
    </cfRule>
    <cfRule type="expression" dxfId="364" priority="38">
      <formula>$AC770&lt;&gt;""</formula>
    </cfRule>
  </conditionalFormatting>
  <conditionalFormatting sqref="AB770">
    <cfRule type="expression" dxfId="363" priority="33">
      <formula>AB770&lt;&gt;""</formula>
    </cfRule>
    <cfRule type="expression" dxfId="362" priority="34">
      <formula>AA770&lt;&gt;""</formula>
    </cfRule>
  </conditionalFormatting>
  <conditionalFormatting sqref="AC770:AF770">
    <cfRule type="expression" dxfId="361" priority="39">
      <formula>#REF!&lt;&gt;""</formula>
    </cfRule>
    <cfRule type="expression" dxfId="360" priority="40">
      <formula>$AA770&lt;&gt;""</formula>
    </cfRule>
  </conditionalFormatting>
  <conditionalFormatting sqref="AC773:AF774">
    <cfRule type="expression" dxfId="359" priority="27">
      <formula>$AF773&lt;&gt;""</formula>
    </cfRule>
    <cfRule type="expression" dxfId="358" priority="28">
      <formula>$AE773&lt;&gt;""</formula>
    </cfRule>
    <cfRule type="expression" dxfId="357" priority="29">
      <formula>$AD773&lt;&gt;""</formula>
    </cfRule>
    <cfRule type="expression" dxfId="356" priority="30">
      <formula>$AC773&lt;&gt;""</formula>
    </cfRule>
  </conditionalFormatting>
  <conditionalFormatting sqref="AB773:AB774">
    <cfRule type="expression" dxfId="355" priority="25">
      <formula>AB773&lt;&gt;""</formula>
    </cfRule>
    <cfRule type="expression" dxfId="354" priority="26">
      <formula>AA773&lt;&gt;""</formula>
    </cfRule>
  </conditionalFormatting>
  <conditionalFormatting sqref="AC773:AF774">
    <cfRule type="expression" dxfId="353" priority="31">
      <formula>#REF!&lt;&gt;""</formula>
    </cfRule>
    <cfRule type="expression" dxfId="352" priority="32">
      <formula>$AA773&lt;&gt;""</formula>
    </cfRule>
  </conditionalFormatting>
  <conditionalFormatting sqref="AC796:AF796">
    <cfRule type="expression" dxfId="351" priority="19">
      <formula>$AF796&lt;&gt;""</formula>
    </cfRule>
    <cfRule type="expression" dxfId="350" priority="20">
      <formula>$AE796&lt;&gt;""</formula>
    </cfRule>
    <cfRule type="expression" dxfId="349" priority="21">
      <formula>$AD796&lt;&gt;""</formula>
    </cfRule>
    <cfRule type="expression" dxfId="348" priority="22">
      <formula>$AC796&lt;&gt;""</formula>
    </cfRule>
  </conditionalFormatting>
  <conditionalFormatting sqref="AB796">
    <cfRule type="expression" dxfId="347" priority="17">
      <formula>AB796&lt;&gt;""</formula>
    </cfRule>
    <cfRule type="expression" dxfId="346" priority="18">
      <formula>AA796&lt;&gt;""</formula>
    </cfRule>
  </conditionalFormatting>
  <conditionalFormatting sqref="AC796:AF796">
    <cfRule type="expression" dxfId="345" priority="23">
      <formula>#REF!&lt;&gt;""</formula>
    </cfRule>
    <cfRule type="expression" dxfId="344" priority="24">
      <formula>$AA796&lt;&gt;""</formula>
    </cfRule>
  </conditionalFormatting>
  <conditionalFormatting sqref="AC799:AF799">
    <cfRule type="expression" dxfId="343" priority="11">
      <formula>$AF799&lt;&gt;""</formula>
    </cfRule>
    <cfRule type="expression" dxfId="342" priority="12">
      <formula>$AE799&lt;&gt;""</formula>
    </cfRule>
    <cfRule type="expression" dxfId="341" priority="13">
      <formula>$AD799&lt;&gt;""</formula>
    </cfRule>
    <cfRule type="expression" dxfId="340" priority="14">
      <formula>$AC799&lt;&gt;""</formula>
    </cfRule>
  </conditionalFormatting>
  <conditionalFormatting sqref="AB799">
    <cfRule type="expression" dxfId="339" priority="9">
      <formula>AB799&lt;&gt;""</formula>
    </cfRule>
    <cfRule type="expression" dxfId="338" priority="10">
      <formula>AA799&lt;&gt;""</formula>
    </cfRule>
  </conditionalFormatting>
  <conditionalFormatting sqref="AC799:AF799">
    <cfRule type="expression" dxfId="337" priority="15">
      <formula>#REF!&lt;&gt;""</formula>
    </cfRule>
    <cfRule type="expression" dxfId="336" priority="16">
      <formula>$AA799&lt;&gt;""</formula>
    </cfRule>
  </conditionalFormatting>
  <conditionalFormatting sqref="AC830:AF830">
    <cfRule type="expression" dxfId="335" priority="3">
      <formula>$AF830&lt;&gt;""</formula>
    </cfRule>
    <cfRule type="expression" dxfId="334" priority="4">
      <formula>$AE830&lt;&gt;""</formula>
    </cfRule>
    <cfRule type="expression" dxfId="333" priority="5">
      <formula>$AD830&lt;&gt;""</formula>
    </cfRule>
    <cfRule type="expression" dxfId="332" priority="6">
      <formula>$AC830&lt;&gt;""</formula>
    </cfRule>
  </conditionalFormatting>
  <conditionalFormatting sqref="AB830">
    <cfRule type="expression" dxfId="331" priority="1">
      <formula>AB830&lt;&gt;""</formula>
    </cfRule>
    <cfRule type="expression" dxfId="330" priority="2">
      <formula>AA830&lt;&gt;""</formula>
    </cfRule>
  </conditionalFormatting>
  <conditionalFormatting sqref="AC830:AF830">
    <cfRule type="expression" dxfId="329" priority="7">
      <formula>#REF!&lt;&gt;""</formula>
    </cfRule>
    <cfRule type="expression" dxfId="328" priority="8">
      <formula>$AA830&lt;&gt;""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CC"/>
  </sheetPr>
  <dimension ref="A1:AL950"/>
  <sheetViews>
    <sheetView zoomScale="110" zoomScaleNormal="110" workbookViewId="0">
      <pane xSplit="6" ySplit="13" topLeftCell="K821" activePane="bottomRight" state="frozen"/>
      <selection activeCell="AB559" sqref="AB559"/>
      <selection pane="topRight" activeCell="AB559" sqref="AB559"/>
      <selection pane="bottomLeft" activeCell="AB559" sqref="AB559"/>
      <selection pane="bottomRight" activeCell="R832" sqref="R832"/>
    </sheetView>
  </sheetViews>
  <sheetFormatPr defaultColWidth="7.8984375" defaultRowHeight="13.2"/>
  <cols>
    <col min="1" max="1" width="7.59765625" style="551" customWidth="1"/>
    <col min="2" max="2" width="7.59765625" style="551" hidden="1" customWidth="1"/>
    <col min="3" max="4" width="3" style="602" customWidth="1"/>
    <col min="5" max="5" width="5.3984375" style="576" customWidth="1"/>
    <col min="6" max="6" width="15.296875" style="576" bestFit="1" customWidth="1"/>
    <col min="7" max="7" width="4.19921875" style="1185" customWidth="1"/>
    <col min="8" max="8" width="6.69921875" style="564" customWidth="1"/>
    <col min="9" max="9" width="4.19921875" style="1185" customWidth="1"/>
    <col min="10" max="10" width="6.69921875" style="564" customWidth="1"/>
    <col min="11" max="11" width="4.19921875" style="1185" customWidth="1"/>
    <col min="12" max="12" width="6.69921875" style="564" customWidth="1"/>
    <col min="13" max="13" width="4.3984375" style="1185" customWidth="1"/>
    <col min="14" max="14" width="5.796875" style="564" customWidth="1"/>
    <col min="15" max="15" width="5.19921875" style="564" customWidth="1"/>
    <col min="16" max="16" width="5.19921875" style="588" customWidth="1"/>
    <col min="17" max="17" width="5.19921875" style="564" customWidth="1"/>
    <col min="18" max="18" width="5.19921875" style="588" customWidth="1"/>
    <col min="19" max="19" width="5.19921875" style="603" customWidth="1"/>
    <col min="20" max="20" width="4.796875" style="604" customWidth="1"/>
    <col min="21" max="21" width="4.796875" style="605" customWidth="1"/>
    <col min="22" max="22" width="4.796875" style="604" customWidth="1"/>
    <col min="23" max="23" width="5.19921875" style="605" customWidth="1"/>
    <col min="24" max="24" width="5.19921875" style="604" customWidth="1"/>
    <col min="25" max="25" width="5.19921875" style="588" customWidth="1"/>
    <col min="26" max="29" width="5.19921875" style="564" customWidth="1"/>
    <col min="30" max="31" width="6.19921875" style="564" customWidth="1"/>
    <col min="32" max="36" width="5.19921875" style="564" customWidth="1"/>
    <col min="37" max="16384" width="7.8984375" style="564"/>
  </cols>
  <sheetData>
    <row r="1" spans="1:37" ht="25.5" customHeight="1" thickBot="1">
      <c r="A1" s="475" t="str">
        <f>LEFT('09월 조업일지'!A1,10)&amp;" ENERGY 실적"</f>
        <v xml:space="preserve"> 2026년 09  ENERGY 실적</v>
      </c>
      <c r="B1" s="475"/>
      <c r="C1" s="552"/>
      <c r="D1" s="552"/>
      <c r="E1" s="552"/>
      <c r="F1" s="552"/>
      <c r="G1" s="1175"/>
      <c r="H1" s="553"/>
      <c r="I1" s="554"/>
      <c r="J1" s="555"/>
      <c r="K1" s="554"/>
      <c r="L1" s="556"/>
      <c r="M1" s="1195"/>
      <c r="N1" s="557"/>
      <c r="O1" s="558"/>
      <c r="P1" s="476"/>
      <c r="Q1" s="558"/>
      <c r="R1" s="477"/>
      <c r="S1" s="558"/>
      <c r="T1" s="477"/>
      <c r="U1" s="558"/>
      <c r="V1" s="477"/>
      <c r="W1" s="559"/>
      <c r="X1" s="560"/>
      <c r="Y1" s="561"/>
      <c r="Z1" s="557"/>
      <c r="AA1" s="557"/>
      <c r="AB1" s="557"/>
      <c r="AC1" s="562"/>
      <c r="AD1" s="563"/>
      <c r="AE1" s="557"/>
      <c r="AF1" s="557"/>
      <c r="AG1" s="557"/>
      <c r="AH1" s="557"/>
      <c r="AI1" s="557"/>
      <c r="AJ1" s="557"/>
    </row>
    <row r="2" spans="1:37" ht="12.75" customHeight="1">
      <c r="A2" s="478"/>
      <c r="B2" s="478"/>
      <c r="C2" s="1484" t="s">
        <v>68</v>
      </c>
      <c r="D2" s="1485"/>
      <c r="E2" s="1486"/>
      <c r="F2" s="1490" t="s">
        <v>69</v>
      </c>
      <c r="G2" s="1492" t="s">
        <v>70</v>
      </c>
      <c r="H2" s="1493"/>
      <c r="I2" s="1494" t="s">
        <v>43</v>
      </c>
      <c r="J2" s="1494"/>
      <c r="K2" s="1494" t="s">
        <v>71</v>
      </c>
      <c r="L2" s="1494"/>
      <c r="M2" s="1494" t="s">
        <v>72</v>
      </c>
      <c r="N2" s="1495"/>
      <c r="O2" s="1496" t="s">
        <v>73</v>
      </c>
      <c r="P2" s="1494"/>
      <c r="Q2" s="1494"/>
      <c r="R2" s="1495"/>
      <c r="S2" s="1497" t="s">
        <v>74</v>
      </c>
      <c r="T2" s="1496" t="s">
        <v>431</v>
      </c>
      <c r="U2" s="1494"/>
      <c r="V2" s="1494"/>
      <c r="W2" s="1494"/>
      <c r="X2" s="1495"/>
      <c r="Y2" s="1499" t="s">
        <v>432</v>
      </c>
      <c r="Z2" s="1482"/>
      <c r="AA2" s="1482"/>
      <c r="AB2" s="1482"/>
      <c r="AC2" s="1483"/>
      <c r="AD2" s="1500" t="s">
        <v>77</v>
      </c>
      <c r="AE2" s="1501"/>
      <c r="AF2" s="1482" t="s">
        <v>433</v>
      </c>
      <c r="AG2" s="1482"/>
      <c r="AH2" s="1482"/>
      <c r="AI2" s="1482"/>
      <c r="AJ2" s="1483"/>
    </row>
    <row r="3" spans="1:37" ht="12.75" customHeight="1">
      <c r="A3" s="478"/>
      <c r="B3" s="478"/>
      <c r="C3" s="1487"/>
      <c r="D3" s="1488"/>
      <c r="E3" s="1489"/>
      <c r="F3" s="1491"/>
      <c r="G3" s="1176" t="s">
        <v>79</v>
      </c>
      <c r="H3" s="565" t="s">
        <v>80</v>
      </c>
      <c r="I3" s="1186" t="s">
        <v>79</v>
      </c>
      <c r="J3" s="565" t="s">
        <v>80</v>
      </c>
      <c r="K3" s="1186" t="s">
        <v>79</v>
      </c>
      <c r="L3" s="565" t="s">
        <v>80</v>
      </c>
      <c r="M3" s="1186" t="s">
        <v>79</v>
      </c>
      <c r="N3" s="566" t="s">
        <v>80</v>
      </c>
      <c r="O3" s="567" t="s">
        <v>70</v>
      </c>
      <c r="P3" s="565" t="s">
        <v>43</v>
      </c>
      <c r="Q3" s="565" t="s">
        <v>71</v>
      </c>
      <c r="R3" s="566" t="s">
        <v>72</v>
      </c>
      <c r="S3" s="1498"/>
      <c r="T3" s="567" t="s">
        <v>70</v>
      </c>
      <c r="U3" s="565" t="s">
        <v>43</v>
      </c>
      <c r="V3" s="565" t="s">
        <v>71</v>
      </c>
      <c r="W3" s="565" t="s">
        <v>72</v>
      </c>
      <c r="X3" s="568" t="s">
        <v>73</v>
      </c>
      <c r="Y3" s="567" t="s">
        <v>70</v>
      </c>
      <c r="Z3" s="565" t="s">
        <v>43</v>
      </c>
      <c r="AA3" s="565" t="s">
        <v>71</v>
      </c>
      <c r="AB3" s="565" t="s">
        <v>72</v>
      </c>
      <c r="AC3" s="568" t="s">
        <v>73</v>
      </c>
      <c r="AD3" s="569" t="s">
        <v>81</v>
      </c>
      <c r="AE3" s="570" t="s">
        <v>73</v>
      </c>
      <c r="AF3" s="571" t="s">
        <v>70</v>
      </c>
      <c r="AG3" s="572" t="s">
        <v>43</v>
      </c>
      <c r="AH3" s="572" t="s">
        <v>71</v>
      </c>
      <c r="AI3" s="572" t="s">
        <v>72</v>
      </c>
      <c r="AJ3" s="573" t="s">
        <v>73</v>
      </c>
    </row>
    <row r="4" spans="1:37" ht="14.4" customHeight="1">
      <c r="A4" s="478"/>
      <c r="B4" s="478"/>
      <c r="C4" s="1527" t="s">
        <v>25</v>
      </c>
      <c r="D4" s="1528"/>
      <c r="E4" s="1528"/>
      <c r="F4" s="574">
        <f>COUNTIF($C$14:$C$950,C4)</f>
        <v>207</v>
      </c>
      <c r="G4" s="1177">
        <f>IF(F4=0,"",SUMIF($C$14:$C$950,$C4,G$14:G$950)/$F4)</f>
        <v>19.434782608695649</v>
      </c>
      <c r="H4" s="480">
        <f>IF(F4=0,"",SUMIF($C$14:$C$950,$C4,H$14:H$950)/$F4)</f>
        <v>23264.057971014492</v>
      </c>
      <c r="I4" s="1187">
        <f>IF(F4=0,"",SUMIF($C$14:$C$950,$C4,I$14:I$950)/$F4)</f>
        <v>16.5256038647343</v>
      </c>
      <c r="J4" s="480">
        <f>IF(F4=0,"",SUMIF($C$14:$C$949,$C4,J$14:J$949)/$F4)</f>
        <v>20460.869565217392</v>
      </c>
      <c r="K4" s="1187">
        <f>IF(F4=0,"",SUMIF($C$14:$C$949,$C4,K$14:K$949)/$F4)</f>
        <v>9.7942028985507257</v>
      </c>
      <c r="L4" s="480">
        <f>IF(F4=0,"",SUMIF($C$14:$C$949,$C4,L$14:L$949)/$F4)</f>
        <v>12491.304347826086</v>
      </c>
      <c r="M4" s="1196">
        <f>G4+I4+K4</f>
        <v>45.754589371980671</v>
      </c>
      <c r="N4" s="482">
        <f>H4+J4+L4</f>
        <v>56216.231884057976</v>
      </c>
      <c r="O4" s="483">
        <f>IF(F4=0,"",SUMIF($C$14:$C$949,$C4,O$14:O$949)/$F4)</f>
        <v>161.40497959216009</v>
      </c>
      <c r="P4" s="484">
        <f>IF(F4=0,"",SUMIF($C$14:$C$949,$C4,P$14:P$949)/$F4)</f>
        <v>141.78062420895296</v>
      </c>
      <c r="Q4" s="484">
        <f>IF(F4=0,"",SUMIF($C$14:$C$949,$C4,Q$14:Q$949)/$F4)</f>
        <v>86.698382865015574</v>
      </c>
      <c r="R4" s="485">
        <f t="shared" ref="R4:R10" si="0">SUM(O4:Q4)</f>
        <v>389.88398666612864</v>
      </c>
      <c r="S4" s="486">
        <f>IF(ISERROR(SUMIF($C$14:$C$949,$C4,S$14:S$949)/$F4),"",(SUMIF($C$14:$C$949,$C4,S$14:S$949)/$F4))</f>
        <v>144.23333333333332</v>
      </c>
      <c r="T4" s="479">
        <f>IF(F4=0,"",SUMIF($C$14:$C$949,$C4,T$14:T$949)/$F4)</f>
        <v>0</v>
      </c>
      <c r="U4" s="480">
        <f>IF(F4=0,"",SUMIF($C$14:$C$949,$C4,U$14:U$949)/$F4)</f>
        <v>138.768115942029</v>
      </c>
      <c r="V4" s="480">
        <f>IF(F4=0,"",SUMIF($C$14:$C$949,$C4,V$14:V$949)/$F4)</f>
        <v>240.3574879227053</v>
      </c>
      <c r="W4" s="481">
        <f>SUM(T4:V4)</f>
        <v>379.12560386473433</v>
      </c>
      <c r="X4" s="487">
        <f>W4/S4</f>
        <v>2.6285574568851469</v>
      </c>
      <c r="Y4" s="479">
        <f>IF(F4=0,"",SUMIF($C$14:$C$949,$C4,Y$14:Y$949)/$F4)</f>
        <v>1604.2173913043478</v>
      </c>
      <c r="Z4" s="480">
        <f>IF(F4=0,"",SUMIF($C$14:$C$949,$C4,Z$14:Z$949)/$F4)</f>
        <v>1372.2367149758454</v>
      </c>
      <c r="AA4" s="480">
        <f>IF(F4=0,"",SUMIF($C$14:$C$949,$C4,AA$14:AA$949)/$F4)</f>
        <v>775.77777777777783</v>
      </c>
      <c r="AB4" s="481">
        <f t="shared" ref="AB4:AB10" si="1">SUM(Y4:AA4)</f>
        <v>3752.231884057971</v>
      </c>
      <c r="AC4" s="487">
        <f>AB4/S4</f>
        <v>26.015011907034697</v>
      </c>
      <c r="AD4" s="488">
        <f>IF(F4=0,"",SUMIF($C$14:$C$949,$C4,AD$14:AD$949)/$F4)</f>
        <v>4131.3574879227053</v>
      </c>
      <c r="AE4" s="489">
        <f>IF(F4=0,"",SUMIF($C$14:$C$949,$C4,AE$14:AE$949)/$F4)</f>
        <v>28.659845241023394</v>
      </c>
      <c r="AF4" s="490">
        <f>IF(F4=0,"",SUMIF($C$14:$C$949,$C4,AF$14:AF$949)/$F4)</f>
        <v>80.811594202898547</v>
      </c>
      <c r="AG4" s="491">
        <f>IF(F4=0,"",SUMIF($C$14:$C$949,$C4,AG$14:AG$949)/$F4)</f>
        <v>62.603864734299513</v>
      </c>
      <c r="AH4" s="491">
        <f>IF(F4=0,"",SUMIF($C$14:$C$949,$C4,AH$14:AH$949)/$F4)</f>
        <v>6.7777777777777777</v>
      </c>
      <c r="AI4" s="492">
        <f t="shared" ref="AI4:AI10" si="2">SUM(AF4:AH4)</f>
        <v>150.19323671497582</v>
      </c>
      <c r="AJ4" s="493">
        <f>IF(F4=0,"",SUMIF($C$14:$C$949,$C4,AJ$14:AJ$949)/$F4)</f>
        <v>1.0414160289675103</v>
      </c>
    </row>
    <row r="5" spans="1:37" ht="14.4" customHeight="1">
      <c r="A5" s="478"/>
      <c r="B5" s="478"/>
      <c r="C5" s="1521" t="s">
        <v>26</v>
      </c>
      <c r="D5" s="1522"/>
      <c r="E5" s="1522"/>
      <c r="F5" s="574">
        <f>COUNTIF($C$14:$C$950,C5)</f>
        <v>205</v>
      </c>
      <c r="G5" s="1178">
        <f>IF(F5=0,"",SUMIF($C$14:$C$950,$C5,G$14:G$950)/$F5)</f>
        <v>19.443902439024392</v>
      </c>
      <c r="H5" s="495">
        <f>IF(F5=0,"",SUMIF($C$14:$C$950,$C5,H$14:H$950)/$F5)</f>
        <v>23378.048780487807</v>
      </c>
      <c r="I5" s="1188">
        <f t="shared" ref="I5:I7" si="3">IF(F5=0,"",SUMIF($C$14:$C$949,$C5,I$14:I$949)/$F5)</f>
        <v>16.654146341463424</v>
      </c>
      <c r="J5" s="495">
        <f>IF(F5=0,"",SUMIF($C$14:$C$949,$C5,J$14:J$949)/$F5)</f>
        <v>20466.341463414636</v>
      </c>
      <c r="K5" s="1188">
        <f>IF(F5=0,"",SUMIF($C$14:$C$949,$C5,K$14:K$949)/$F5)</f>
        <v>9.7697560975609736</v>
      </c>
      <c r="L5" s="495">
        <f>IF(F5=0,"",SUMIF($C$14:$C$949,$C5,L$14:L$949)/$F5)</f>
        <v>12400</v>
      </c>
      <c r="M5" s="1196">
        <f t="shared" ref="M5:M7" si="4">G5+I5+K5</f>
        <v>45.867804878048787</v>
      </c>
      <c r="N5" s="482">
        <f t="shared" ref="N5:N7" si="5">H5+J5+L5</f>
        <v>56244.390243902439</v>
      </c>
      <c r="O5" s="497">
        <f>IF(F5=0,"",SUMIF($C$14:$C$949,$C5,O$14:O$949)/$F5)</f>
        <v>162.69589467684958</v>
      </c>
      <c r="P5" s="491">
        <f>IF(F5=0,"",SUMIF($C$14:$C$949,$C5,P$14:P$949)/$F5)</f>
        <v>142.00994684154165</v>
      </c>
      <c r="Q5" s="491">
        <f>IF(F5=0,"",SUMIF($C$14:$C$949,$C5,Q$14:Q$949)/$F5)</f>
        <v>86.360787949029358</v>
      </c>
      <c r="R5" s="498">
        <f t="shared" si="0"/>
        <v>391.06662946742063</v>
      </c>
      <c r="S5" s="499">
        <f>IF(ISERROR(SUMIF($C$14:$C$949,$C5,S$14:S$949)/$F5),"",(SUMIF($C$14:$C$949,$C5,S$14:S$949)/$F5))</f>
        <v>143.87073170731702</v>
      </c>
      <c r="T5" s="494">
        <f>IF(F5=0,"",SUMIF($C$14:$C$949,$C5,T$14:T$949)/$F5)</f>
        <v>0</v>
      </c>
      <c r="U5" s="495">
        <f>IF(F5=0,"",SUMIF($C$14:$C$949,$C5,U$14:U$949)/$F5)</f>
        <v>39.165853658536584</v>
      </c>
      <c r="V5" s="495">
        <f>IF(F5=0,"",SUMIF($C$14:$C$949,$C5,V$14:V$949)/$F5)</f>
        <v>319.41951219512197</v>
      </c>
      <c r="W5" s="481">
        <f t="shared" ref="W5:W7" si="6">SUM(T5:V5)</f>
        <v>358.58536585365857</v>
      </c>
      <c r="X5" s="487">
        <f t="shared" ref="X5:X7" si="7">W5/S5</f>
        <v>2.4924135826538061</v>
      </c>
      <c r="Y5" s="494">
        <f>IF(F5=0,"",SUMIF($C$14:$C$949,$C5,Y$14:Y$949)/$F5)</f>
        <v>1600.6243902439023</v>
      </c>
      <c r="Z5" s="495">
        <f>IF(F5=0,"",SUMIF($C$14:$C$949,$C5,Z$14:Z$949)/$F5)</f>
        <v>1378.0048780487805</v>
      </c>
      <c r="AA5" s="495">
        <f>IF(F5=0,"",SUMIF($C$14:$C$949,$C5,AA$14:AA$949)/$F5)</f>
        <v>851.77073170731705</v>
      </c>
      <c r="AB5" s="496">
        <f t="shared" si="1"/>
        <v>3830.3999999999996</v>
      </c>
      <c r="AC5" s="487">
        <f t="shared" ref="AC5:AC10" si="8">AB5/S5</f>
        <v>26.623900181395907</v>
      </c>
      <c r="AD5" s="488">
        <f>IF(F5=0,"",SUMIF($C$14:$C$949,$C5,AD$14:AD$949)/$F5)</f>
        <v>4188.9853658536585</v>
      </c>
      <c r="AE5" s="489">
        <f>IF(F5=0,"",SUMIF($C$14:$C$949,$C5,AE$14:AE$949)/$F5)</f>
        <v>29.129339981648325</v>
      </c>
      <c r="AF5" s="490">
        <f>IF(F5=0,"",SUMIF($C$14:$C$949,$C5,AF$14:AF$949)/$F5)</f>
        <v>81.175609756097558</v>
      </c>
      <c r="AG5" s="491">
        <f>IF(F5=0,"",SUMIF($C$14:$C$949,$C5,AG$14:AG$949)/$F5)</f>
        <v>63.653658536585368</v>
      </c>
      <c r="AH5" s="491">
        <f>IF(F5=0,"",SUMIF($C$14:$C$949,$C5,AH$14:AH$949)/$F5)</f>
        <v>9.4</v>
      </c>
      <c r="AI5" s="492">
        <f t="shared" si="2"/>
        <v>154.22926829268292</v>
      </c>
      <c r="AJ5" s="493">
        <f>IF(F5=0,"",SUMIF($C$14:$C$949,$C5,AJ$14:AJ$949)/$F5)</f>
        <v>1.0716709000916509</v>
      </c>
    </row>
    <row r="6" spans="1:37" ht="14.4" customHeight="1">
      <c r="A6" s="478"/>
      <c r="B6" s="478"/>
      <c r="C6" s="1521" t="s">
        <v>27</v>
      </c>
      <c r="D6" s="1522"/>
      <c r="E6" s="1522"/>
      <c r="F6" s="574">
        <f>COUNTIF($C$14:$C$950,C6)</f>
        <v>194</v>
      </c>
      <c r="G6" s="1178">
        <f>IF(F6=0,"",SUMIF($C$14:$C$950,$C6,G$14:G$950)/$F6)</f>
        <v>19.808247422680406</v>
      </c>
      <c r="H6" s="495">
        <f>IF(F6=0,"",SUMIF($C$14:$C$950,$C6,H$14:H$950)/$F6)</f>
        <v>23573.195876288661</v>
      </c>
      <c r="I6" s="1188">
        <f t="shared" si="3"/>
        <v>16.500515463917523</v>
      </c>
      <c r="J6" s="495">
        <f>IF(F6=0,"",SUMIF($C$14:$C$949,$C6,J$14:J$949)/$F6)</f>
        <v>20007.731958762888</v>
      </c>
      <c r="K6" s="1188">
        <f>IF(F6=0,"",SUMIF($C$14:$C$949,$C6,K$14:K$949)/$F6)</f>
        <v>9.9304123711340235</v>
      </c>
      <c r="L6" s="495">
        <f>IF(F6=0,"",SUMIF($C$14:$C$949,$C6,L$14:L$949)/$F6)</f>
        <v>12823.711340206186</v>
      </c>
      <c r="M6" s="1196">
        <f t="shared" si="4"/>
        <v>46.239175257731958</v>
      </c>
      <c r="N6" s="482">
        <f t="shared" si="5"/>
        <v>56404.63917525774</v>
      </c>
      <c r="O6" s="497">
        <f>IF(F6=0,"",SUMIF($C$14:$C$949,$C6,O$14:O$949)/$F6)</f>
        <v>166.50768191852328</v>
      </c>
      <c r="P6" s="491">
        <f>IF(F6=0,"",SUMIF($C$14:$C$949,$C6,P$14:P$949)/$F6)</f>
        <v>140.31787914426477</v>
      </c>
      <c r="Q6" s="491">
        <f>IF(F6=0,"",SUMIF($C$14:$C$949,$C6,Q$14:Q$949)/$F6)</f>
        <v>90.613794190523251</v>
      </c>
      <c r="R6" s="498">
        <f t="shared" si="0"/>
        <v>397.43935525331131</v>
      </c>
      <c r="S6" s="499">
        <f>IF(ISERROR(SUMIF($C$14:$C$949,$C6,S$14:S$949)/$F6),"",(SUMIF($C$14:$C$949,$C6,S$14:S$949)/$F6))</f>
        <v>142.2874226804125</v>
      </c>
      <c r="T6" s="494">
        <f>IF(F6=0,"",SUMIF($C$14:$C$949,$C6,T$14:T$949)/$F6)</f>
        <v>1.6237113402061856</v>
      </c>
      <c r="U6" s="495">
        <f>IF(F6=0,"",SUMIF($C$14:$C$949,$C6,U$14:U$949)/$F6)</f>
        <v>90.469072164948457</v>
      </c>
      <c r="V6" s="495">
        <f>IF(F6=0,"",SUMIF($C$14:$C$949,$C6,V$14:V$949)/$F6)</f>
        <v>274.19072164948454</v>
      </c>
      <c r="W6" s="481">
        <f t="shared" si="6"/>
        <v>366.28350515463922</v>
      </c>
      <c r="X6" s="487">
        <f t="shared" si="7"/>
        <v>2.5742507542450719</v>
      </c>
      <c r="Y6" s="494">
        <f>IF(F6=0,"",SUMIF($C$14:$C$949,$C6,Y$14:Y$949)/$F6)</f>
        <v>1622.6237113402062</v>
      </c>
      <c r="Z6" s="495">
        <f>IF(F6=0,"",SUMIF($C$14:$C$949,$C6,Z$14:Z$949)/$F6)</f>
        <v>1368.7577319587629</v>
      </c>
      <c r="AA6" s="495">
        <f>IF(F6=0,"",SUMIF($C$14:$C$949,$C6,AA$14:AA$949)/$F6)</f>
        <v>915.86597938144325</v>
      </c>
      <c r="AB6" s="496">
        <f t="shared" si="1"/>
        <v>3907.2474226804125</v>
      </c>
      <c r="AC6" s="487">
        <f t="shared" si="8"/>
        <v>27.460244546395103</v>
      </c>
      <c r="AD6" s="488">
        <f>IF(F6=0,"",SUMIF($C$14:$C$949,$C6,AD$14:AD$949)/$F6)</f>
        <v>4273.5309278350514</v>
      </c>
      <c r="AE6" s="489">
        <f>IF(F6=0,"",SUMIF($C$14:$C$949,$C6,AE$14:AE$949)/$F6)</f>
        <v>30.114808947114113</v>
      </c>
      <c r="AF6" s="490">
        <f>IF(F6=0,"",SUMIF($C$14:$C$949,$C6,AF$14:AF$949)/$F6)</f>
        <v>81.201030927835049</v>
      </c>
      <c r="AG6" s="491">
        <f>IF(F6=0,"",SUMIF($C$14:$C$949,$C6,AG$14:AG$949)/$F6)</f>
        <v>62.886597938144327</v>
      </c>
      <c r="AH6" s="491">
        <f>IF(F6=0,"",SUMIF($C$14:$C$949,$C6,AH$14:AH$949)/$F6)</f>
        <v>12.489690721649485</v>
      </c>
      <c r="AI6" s="492">
        <f t="shared" si="2"/>
        <v>156.57731958762886</v>
      </c>
      <c r="AJ6" s="493">
        <f>IF(F6=0,"",SUMIF($C$14:$C$949,$C6,AJ$14:AJ$949)/$F6)</f>
        <v>1.1014081423103017</v>
      </c>
    </row>
    <row r="7" spans="1:37" ht="14.4" customHeight="1" thickBot="1">
      <c r="A7" s="478"/>
      <c r="B7" s="478"/>
      <c r="C7" s="1523" t="s">
        <v>82</v>
      </c>
      <c r="D7" s="1524"/>
      <c r="E7" s="1524"/>
      <c r="F7" s="574">
        <f>COUNTIF($C$14:$C$950,C7)</f>
        <v>213</v>
      </c>
      <c r="G7" s="1179">
        <f>IF(F7=0,"",SUMIF($C$14:$C$950,$C7,G$14:G$950)/$F7)</f>
        <v>18.995305164319259</v>
      </c>
      <c r="H7" s="501">
        <f>IF(F7=0,"",SUMIF($C$14:$C$950,$C7,H$14:H$950)/$F7)</f>
        <v>22854.929577464787</v>
      </c>
      <c r="I7" s="1189">
        <f t="shared" si="3"/>
        <v>16.753051643192485</v>
      </c>
      <c r="J7" s="501">
        <f>IF(F7=0,"",SUMIF($C$14:$C$949,$C7,J$14:J$949)/$F7)</f>
        <v>20648.826291079811</v>
      </c>
      <c r="K7" s="1189">
        <f>IF(F7=0,"",SUMIF($C$14:$C$949,$C7,K$14:K$949)/$F7)</f>
        <v>9.6887323943661983</v>
      </c>
      <c r="L7" s="501">
        <f>IF(F7=0,"",SUMIF($C$14:$C$949,$C7,L$14:L$949)/$F7)</f>
        <v>12318.779342723004</v>
      </c>
      <c r="M7" s="1196">
        <f t="shared" si="4"/>
        <v>45.437089201877939</v>
      </c>
      <c r="N7" s="482">
        <f t="shared" si="5"/>
        <v>55822.535211267605</v>
      </c>
      <c r="O7" s="502">
        <f>IF(F7=0,"",SUMIF($C$14:$C$949,$C7,O$14:O$949)/$F7)</f>
        <v>159.05856143076031</v>
      </c>
      <c r="P7" s="503">
        <f>IF(F7=0,"",SUMIF($C$14:$C$949,$C7,P$14:P$949)/$F7)</f>
        <v>143.68218663626766</v>
      </c>
      <c r="Q7" s="503">
        <f>IF(F7=0,"",SUMIF($C$14:$C$949,$C7,Q$14:Q$949)/$F7)</f>
        <v>85.702476366798521</v>
      </c>
      <c r="R7" s="504">
        <f t="shared" si="0"/>
        <v>388.44322443382651</v>
      </c>
      <c r="S7" s="505">
        <f>IF(ISERROR(SUMIF($C$14:$C$949,$C7,S$14:S$949)/$F7),"",(SUMIF($C$14:$C$949,$C7,S$14:S$949)/$F7))</f>
        <v>143.75117370892013</v>
      </c>
      <c r="T7" s="500">
        <f>IF(F7=0,"",SUMIF($C$14:$C$949,$C7,T$14:T$949)/$F7)</f>
        <v>0.11737089201877934</v>
      </c>
      <c r="U7" s="501">
        <f>IF(F7=0,"",SUMIF($C$14:$C$949,$C7,U$14:U$949)/$F7)</f>
        <v>20.230046948356808</v>
      </c>
      <c r="V7" s="501">
        <f>IF(F7=0,"",SUMIF($C$14:$C$949,$C7,V$14:V$949)/$F7)</f>
        <v>317.86384976525824</v>
      </c>
      <c r="W7" s="481">
        <f t="shared" si="6"/>
        <v>338.21126760563385</v>
      </c>
      <c r="X7" s="487">
        <f t="shared" si="7"/>
        <v>2.3527548254351887</v>
      </c>
      <c r="Y7" s="500">
        <f>IF(F7=0,"",SUMIF($C$14:$C$949,$C7,Y$14:Y$949)/$F7)</f>
        <v>1549.4413145539907</v>
      </c>
      <c r="Z7" s="501">
        <f>IF(F7=0,"",SUMIF($C$14:$C$949,$C7,Z$14:Z$949)/$F7)</f>
        <v>1395.6666666666667</v>
      </c>
      <c r="AA7" s="501">
        <f>IF(F7=0,"",SUMIF($C$14:$C$949,$C7,AA$14:AA$949)/$F7)</f>
        <v>794.35680751173709</v>
      </c>
      <c r="AB7" s="496">
        <f t="shared" si="1"/>
        <v>3739.4647887323945</v>
      </c>
      <c r="AC7" s="1097">
        <f t="shared" si="8"/>
        <v>26.013455697442776</v>
      </c>
      <c r="AD7" s="488">
        <f>IF(F7=0,"",SUMIF($C$14:$C$949,$C7,AD$14:AD$949)/$F7)</f>
        <v>4077.676056338028</v>
      </c>
      <c r="AE7" s="489">
        <f>IF(F7=0,"",SUMIF($C$14:$C$949,$C7,AE$14:AE$949)/$F7)</f>
        <v>28.37144587644384</v>
      </c>
      <c r="AF7" s="507">
        <f>IF(F7=0,"",SUMIF($C$14:$C$949,$C7,AF$14:AF$949)/$F7)</f>
        <v>80.375586854460096</v>
      </c>
      <c r="AG7" s="508">
        <f>IF(F7=0,"",SUMIF($C$14:$C$949,$C7,AG$14:AG$949)/$F7)</f>
        <v>63.812206572769952</v>
      </c>
      <c r="AH7" s="508">
        <f>IF(F7=0,"",SUMIF($C$14:$C$949,$C7,AH$14:AH$949)/$F7)</f>
        <v>6.63849765258216</v>
      </c>
      <c r="AI7" s="492">
        <f t="shared" si="2"/>
        <v>150.82629107981222</v>
      </c>
      <c r="AJ7" s="506">
        <f>IF(F7=0,"",SUMIF($C$14:$C$949,$C7,AJ$14:AJ$949)/$F7)</f>
        <v>1.0496952580241203</v>
      </c>
    </row>
    <row r="8" spans="1:37" s="576" customFormat="1" ht="14.4" customHeight="1" thickBot="1">
      <c r="A8" s="478"/>
      <c r="B8" s="478"/>
      <c r="C8" s="1525" t="s">
        <v>151</v>
      </c>
      <c r="D8" s="1526"/>
      <c r="E8" s="1526"/>
      <c r="F8" s="575">
        <f>COUNTIF($D$14:$D$950,"A")</f>
        <v>414</v>
      </c>
      <c r="G8" s="1180">
        <f>IF($F$8=0,"",SUMIF($D$14:$D$950,"A",G14:G950)/$F$8)</f>
        <v>19.475362318840574</v>
      </c>
      <c r="H8" s="510">
        <f>IF($F$8=0,"",SUMIF($D$14:$D$950, "A", H14:H950)/$F$8)</f>
        <v>23402.657004830919</v>
      </c>
      <c r="I8" s="1180">
        <f>IF($F$8=0,"",SUMIF($D$14:$D$950,"A",I14:I950)/$F$8)</f>
        <v>16.828019323671498</v>
      </c>
      <c r="J8" s="510">
        <f>IF($F$8=0,"",SUMIF($D$14:$D$949, "A", J14:J949)/$F$8)</f>
        <v>20571.497584541063</v>
      </c>
      <c r="K8" s="1193">
        <f>IF($F$8=0,"",SUMIF($D$14:$D$949,"A",K14:K949)/$F$8)</f>
        <v>9.182125603864737</v>
      </c>
      <c r="L8" s="510">
        <f t="shared" ref="L8:Q8" si="9">IF($F$8=0,"",SUMIF($D$14:$D$949, "A", L14:L949)/$F$8)</f>
        <v>11652.415458937197</v>
      </c>
      <c r="M8" s="1197">
        <f>G8+I8+K8</f>
        <v>45.485507246376812</v>
      </c>
      <c r="N8" s="512">
        <f>H8+J8+L8</f>
        <v>55626.570048309179</v>
      </c>
      <c r="O8" s="513">
        <f t="shared" si="9"/>
        <v>163.38917565630726</v>
      </c>
      <c r="P8" s="514">
        <f t="shared" si="9"/>
        <v>143.27742199410838</v>
      </c>
      <c r="Q8" s="514">
        <f t="shared" si="9"/>
        <v>81.317993856838214</v>
      </c>
      <c r="R8" s="515">
        <f t="shared" si="0"/>
        <v>387.98459150725381</v>
      </c>
      <c r="S8" s="516">
        <f>IF($F$8=0,"",SUMIF($D$14:$D$949,"A",S14:S949)/$F$8)</f>
        <v>143.53830917874416</v>
      </c>
      <c r="T8" s="509">
        <f t="shared" ref="T8:AJ8" si="10">IF($F$8=0,"",SUMIF($D$14:$D$949, "A", T14:T949)/$F$8)</f>
        <v>0.34782608695652173</v>
      </c>
      <c r="U8" s="510">
        <f t="shared" si="10"/>
        <v>90.439613526570042</v>
      </c>
      <c r="V8" s="510">
        <f t="shared" si="10"/>
        <v>264.87439613526573</v>
      </c>
      <c r="W8" s="511">
        <f>SUM(T8:V8)</f>
        <v>355.66183574879227</v>
      </c>
      <c r="X8" s="517">
        <f>W8/S8</f>
        <v>2.4778182060504612</v>
      </c>
      <c r="Y8" s="509">
        <f t="shared" si="10"/>
        <v>1596.8115942028985</v>
      </c>
      <c r="Z8" s="510">
        <f t="shared" si="10"/>
        <v>1396.1739130434783</v>
      </c>
      <c r="AA8" s="510">
        <f t="shared" si="10"/>
        <v>745.44202898550725</v>
      </c>
      <c r="AB8" s="511">
        <f t="shared" si="1"/>
        <v>3738.427536231884</v>
      </c>
      <c r="AC8" s="487">
        <f t="shared" si="8"/>
        <v>26.044806836734622</v>
      </c>
      <c r="AD8" s="518">
        <f t="shared" si="10"/>
        <v>4094.0893719806763</v>
      </c>
      <c r="AE8" s="519">
        <f t="shared" si="10"/>
        <v>28.563066187324168</v>
      </c>
      <c r="AF8" s="520">
        <f t="shared" si="10"/>
        <v>80.125603864734302</v>
      </c>
      <c r="AG8" s="514">
        <f t="shared" si="10"/>
        <v>62.990338164251206</v>
      </c>
      <c r="AH8" s="514">
        <f t="shared" si="10"/>
        <v>7.7318840579710146</v>
      </c>
      <c r="AI8" s="521">
        <f t="shared" si="2"/>
        <v>150.8478260869565</v>
      </c>
      <c r="AJ8" s="517">
        <f t="shared" si="10"/>
        <v>1.051758956550807</v>
      </c>
    </row>
    <row r="9" spans="1:37" s="576" customFormat="1" ht="14.4" customHeight="1" thickBot="1">
      <c r="A9" s="478"/>
      <c r="B9" s="478"/>
      <c r="C9" s="1535" t="s">
        <v>152</v>
      </c>
      <c r="D9" s="1536"/>
      <c r="E9" s="1536"/>
      <c r="F9" s="575">
        <f>COUNTIF($D$14:$D$950,"B")</f>
        <v>405</v>
      </c>
      <c r="G9" s="1181">
        <f>IF($F$9=0,"",SUMIF($D$14:$D$950,"B",G14:G950)/$F$9)</f>
        <v>19.345679012345673</v>
      </c>
      <c r="H9" s="523">
        <f>IF($F$9=0,"",SUMIF($D$14:$D$950,"B",H14:H950)/$F$9)</f>
        <v>23112.987654320987</v>
      </c>
      <c r="I9" s="1181">
        <f>IF($F$9=0,"",SUMIF($D$14:$D$950,"B",I14:I950)/$F$9)</f>
        <v>16.389135802469145</v>
      </c>
      <c r="J9" s="523">
        <f>IF($F$9=0,"",SUMIF($D$14:$D$949,"B",J14:J949)/$F$9)</f>
        <v>20232.345679012345</v>
      </c>
      <c r="K9" s="1194">
        <f>IF($F$9=0,"",SUMIF($D$14:$D$949,"B",K14:K949)/$F$9)</f>
        <v>10.417283950617275</v>
      </c>
      <c r="L9" s="523">
        <f>IF($F$9=0,"",SUMIF($D$14:$D$949,"B",L14:L949)/$F$9)</f>
        <v>13371.111111111111</v>
      </c>
      <c r="M9" s="1198">
        <f>K9+I9+G9</f>
        <v>46.152098765432093</v>
      </c>
      <c r="N9" s="524">
        <f>L9+J9+H9</f>
        <v>56716.444444444438</v>
      </c>
      <c r="O9" s="525">
        <f t="shared" ref="O9:AA9" si="11">IF($F$9=0,"",SUMIF($D$14:$D$949,"B",O14:O949)/$F$9)</f>
        <v>161.24033170263095</v>
      </c>
      <c r="P9" s="526">
        <f t="shared" si="11"/>
        <v>140.66604917461908</v>
      </c>
      <c r="Q9" s="526">
        <f t="shared" si="11"/>
        <v>93.37921201226618</v>
      </c>
      <c r="R9" s="527">
        <f t="shared" si="0"/>
        <v>395.28559288951624</v>
      </c>
      <c r="S9" s="528">
        <f t="shared" si="11"/>
        <v>143.5745679012345</v>
      </c>
      <c r="T9" s="522">
        <f t="shared" si="11"/>
        <v>0.48395061728395061</v>
      </c>
      <c r="U9" s="523">
        <f t="shared" si="11"/>
        <v>52.276543209876543</v>
      </c>
      <c r="V9" s="523">
        <f t="shared" si="11"/>
        <v>312.28395061728395</v>
      </c>
      <c r="W9" s="529">
        <f>SUM(T9:V9)</f>
        <v>365.04444444444442</v>
      </c>
      <c r="X9" s="517">
        <f>W9/S9</f>
        <v>2.5425425253277441</v>
      </c>
      <c r="Y9" s="522">
        <f t="shared" si="11"/>
        <v>1589.9777777777779</v>
      </c>
      <c r="Z9" s="523">
        <f t="shared" si="11"/>
        <v>1361.3432098765431</v>
      </c>
      <c r="AA9" s="523">
        <f t="shared" si="11"/>
        <v>922.12839506172838</v>
      </c>
      <c r="AB9" s="529">
        <f t="shared" si="1"/>
        <v>3873.4493827160495</v>
      </c>
      <c r="AC9" s="1097">
        <f t="shared" si="8"/>
        <v>26.978659517057437</v>
      </c>
      <c r="AD9" s="531">
        <f>IF($F$9=0,"",SUMIF($D$14:$D$949, "B", AD14:AD949)/$F$9)</f>
        <v>4238.4938271604942</v>
      </c>
      <c r="AE9" s="532">
        <f>IF($F$9=0,"",SUMIF($D$14:$D$949, "B", AE14:AE949)/$F$9)</f>
        <v>29.541689301235095</v>
      </c>
      <c r="AF9" s="533">
        <f>IF($F$9=0,"",SUMIF($D$14:$D$949,"B",AF14:AF949)/$F$9)</f>
        <v>81.654320987654316</v>
      </c>
      <c r="AG9" s="534">
        <f>IF($F$9=0,"",SUMIF($D$14:$D$949,"B",AG14:AG949)/$F$9)</f>
        <v>63.511111111111113</v>
      </c>
      <c r="AH9" s="534">
        <f>IF($F$9=0,"",SUMIF($D$14:$D$949,"B",AH14:AH949)/$F$9)</f>
        <v>9.7925925925925927</v>
      </c>
      <c r="AI9" s="535">
        <f t="shared" si="2"/>
        <v>154.95802469135802</v>
      </c>
      <c r="AJ9" s="530">
        <f>IF($F$9=0,"",SUMIF($D$14:$D$949,"B",AJ14:AJ949)/$F$9)</f>
        <v>1.0792486767169513</v>
      </c>
    </row>
    <row r="10" spans="1:37" s="578" customFormat="1" ht="14.4" customHeight="1" thickBot="1">
      <c r="A10" s="478"/>
      <c r="B10" s="478"/>
      <c r="C10" s="1537" t="s">
        <v>85</v>
      </c>
      <c r="D10" s="1538"/>
      <c r="E10" s="1538"/>
      <c r="F10" s="577">
        <f>F8+F9</f>
        <v>819</v>
      </c>
      <c r="G10" s="1182">
        <f>IF(F10="","",AVERAGE($G$14:$G$950))</f>
        <v>19.411233211233206</v>
      </c>
      <c r="H10" s="536">
        <f>IF(F10="","",AVERAGE($H$14:$H$950))</f>
        <v>23259.413919413921</v>
      </c>
      <c r="I10" s="1190">
        <f>IF(F10="","",AVERAGE($I$14:$I$950))</f>
        <v>16.610989010989009</v>
      </c>
      <c r="J10" s="536">
        <f>IF(F10="","",AVERAGE($J$14:$J$950))</f>
        <v>20403.785103785103</v>
      </c>
      <c r="K10" s="1190">
        <f>IF(F10="","",AVERAGE($K$14:$K$950))</f>
        <v>9.7929181929181901</v>
      </c>
      <c r="L10" s="536">
        <f>IF(F10="","",AVERAGE($L$14:$L$950))</f>
        <v>12502.319902319903</v>
      </c>
      <c r="M10" s="1199">
        <f>G10+I10+K10</f>
        <v>45.815140415140405</v>
      </c>
      <c r="N10" s="537">
        <f>H10+J10+L10</f>
        <v>56165.518925518925</v>
      </c>
      <c r="O10" s="538">
        <f>H10/S10</f>
        <v>162.02300945050445</v>
      </c>
      <c r="P10" s="539">
        <f>J10/S10</f>
        <v>142.13095300468066</v>
      </c>
      <c r="Q10" s="539">
        <f>L10/S10</f>
        <v>87.090048902567062</v>
      </c>
      <c r="R10" s="540">
        <f t="shared" si="0"/>
        <v>391.24401135775219</v>
      </c>
      <c r="S10" s="541">
        <f>IF(F10="","",AVERAGE(S14:S949))</f>
        <v>143.55623931623933</v>
      </c>
      <c r="T10" s="542">
        <f>IF(F10="","",AVERAGE(T14:T949))</f>
        <v>0.41514041514041516</v>
      </c>
      <c r="U10" s="542">
        <f>IF(F10="","",AVERAGE(U14:U949))</f>
        <v>71.655256723716377</v>
      </c>
      <c r="V10" s="543">
        <f>IF(F10="","",AVERAGE(V14:V949))</f>
        <v>288.31868131868134</v>
      </c>
      <c r="W10" s="537">
        <f>SUM(T10:V10)</f>
        <v>360.38907845753812</v>
      </c>
      <c r="X10" s="544">
        <f>W10/S10</f>
        <v>2.5104382796183371</v>
      </c>
      <c r="Y10" s="542">
        <f>IF(F10="","",AVERAGE(Y14:Y949))</f>
        <v>1593.4322344322345</v>
      </c>
      <c r="Z10" s="543">
        <f>IF(F10="","",AVERAGE(Z14:Z949))</f>
        <v>1378.949938949939</v>
      </c>
      <c r="AA10" s="543">
        <f>IF(F10="","",AVERAGE(AA14:AA949))</f>
        <v>832.81440781440779</v>
      </c>
      <c r="AB10" s="537">
        <f t="shared" si="1"/>
        <v>3805.1965811965811</v>
      </c>
      <c r="AC10" s="1098">
        <f t="shared" si="8"/>
        <v>26.506661078061068</v>
      </c>
      <c r="AD10" s="546">
        <f>IF(F10="","",AVERAGE(AD14:AD949))</f>
        <v>4165.4981684981685</v>
      </c>
      <c r="AE10" s="547">
        <f>IF(F10="","",AVERAGE(AE14:AE949))</f>
        <v>29.047000694203206</v>
      </c>
      <c r="AF10" s="548">
        <f>IF(F10="","",AVERAGE(AF14:AF949))</f>
        <v>80.881562881562886</v>
      </c>
      <c r="AG10" s="549">
        <f>IF(F10="","",AVERAGE(AG14:AG949))</f>
        <v>63.247863247863251</v>
      </c>
      <c r="AH10" s="549">
        <f>IF(F10="","",AVERAGE(AH14:AH949))</f>
        <v>8.7509157509157518</v>
      </c>
      <c r="AI10" s="550">
        <f t="shared" si="2"/>
        <v>152.88034188034186</v>
      </c>
      <c r="AJ10" s="545">
        <f>IF(F10="","",AVERAGE(AJ14:AJ949))</f>
        <v>1.0653527742153845</v>
      </c>
    </row>
    <row r="11" spans="1:37" ht="4.5" customHeight="1" thickBot="1">
      <c r="A11" s="478"/>
      <c r="B11" s="478"/>
      <c r="C11" s="579"/>
      <c r="D11" s="579"/>
      <c r="E11" s="579"/>
      <c r="F11" s="579"/>
      <c r="G11" s="1183"/>
      <c r="H11" s="580"/>
      <c r="I11" s="1191"/>
      <c r="J11" s="581"/>
      <c r="K11" s="1191"/>
      <c r="L11" s="581"/>
      <c r="M11" s="1200"/>
      <c r="N11" s="582"/>
      <c r="O11" s="583"/>
      <c r="P11" s="584"/>
      <c r="Q11" s="583"/>
      <c r="R11" s="584"/>
      <c r="S11" s="583"/>
      <c r="T11" s="584"/>
      <c r="U11" s="583"/>
      <c r="V11" s="584"/>
      <c r="W11" s="585"/>
      <c r="X11" s="586"/>
      <c r="Y11" s="586"/>
      <c r="Z11" s="582"/>
      <c r="AA11" s="582"/>
      <c r="AB11" s="582"/>
      <c r="AC11" s="582"/>
      <c r="AD11" s="582"/>
      <c r="AE11" s="582"/>
      <c r="AF11" s="582"/>
      <c r="AG11" s="582"/>
      <c r="AH11" s="582"/>
      <c r="AI11" s="582"/>
      <c r="AJ11" s="582"/>
      <c r="AK11" s="587"/>
    </row>
    <row r="12" spans="1:37" s="588" customFormat="1" ht="13.5" customHeight="1">
      <c r="A12" s="1529" t="s">
        <v>250</v>
      </c>
      <c r="B12" s="1529" t="s">
        <v>419</v>
      </c>
      <c r="C12" s="1531" t="s">
        <v>86</v>
      </c>
      <c r="D12" s="1531" t="s">
        <v>39</v>
      </c>
      <c r="E12" s="1533" t="s">
        <v>87</v>
      </c>
      <c r="F12" s="1517" t="s">
        <v>88</v>
      </c>
      <c r="G12" s="1505" t="s">
        <v>70</v>
      </c>
      <c r="H12" s="1506"/>
      <c r="I12" s="1507" t="s">
        <v>43</v>
      </c>
      <c r="J12" s="1507"/>
      <c r="K12" s="1507" t="s">
        <v>71</v>
      </c>
      <c r="L12" s="1507"/>
      <c r="M12" s="1508" t="s">
        <v>72</v>
      </c>
      <c r="N12" s="1509"/>
      <c r="O12" s="1510" t="s">
        <v>73</v>
      </c>
      <c r="P12" s="1511"/>
      <c r="Q12" s="1511"/>
      <c r="R12" s="1512"/>
      <c r="S12" s="1513" t="s">
        <v>74</v>
      </c>
      <c r="T12" s="1505" t="s">
        <v>431</v>
      </c>
      <c r="U12" s="1515"/>
      <c r="V12" s="1515"/>
      <c r="W12" s="1515"/>
      <c r="X12" s="1516"/>
      <c r="Y12" s="1502" t="s">
        <v>432</v>
      </c>
      <c r="Z12" s="1503"/>
      <c r="AA12" s="1503"/>
      <c r="AB12" s="1503"/>
      <c r="AC12" s="1504"/>
      <c r="AD12" s="1519" t="s">
        <v>89</v>
      </c>
      <c r="AE12" s="1520"/>
      <c r="AF12" s="1502" t="s">
        <v>433</v>
      </c>
      <c r="AG12" s="1503"/>
      <c r="AH12" s="1503"/>
      <c r="AI12" s="1503"/>
      <c r="AJ12" s="1504"/>
    </row>
    <row r="13" spans="1:37" s="588" customFormat="1" ht="14.25" customHeight="1" thickBot="1">
      <c r="A13" s="1530"/>
      <c r="B13" s="1530"/>
      <c r="C13" s="1532"/>
      <c r="D13" s="1532"/>
      <c r="E13" s="1534"/>
      <c r="F13" s="1518"/>
      <c r="G13" s="1184" t="s">
        <v>79</v>
      </c>
      <c r="H13" s="589" t="s">
        <v>80</v>
      </c>
      <c r="I13" s="1192" t="s">
        <v>79</v>
      </c>
      <c r="J13" s="589" t="s">
        <v>80</v>
      </c>
      <c r="K13" s="1192" t="s">
        <v>79</v>
      </c>
      <c r="L13" s="589" t="s">
        <v>80</v>
      </c>
      <c r="M13" s="1201" t="s">
        <v>79</v>
      </c>
      <c r="N13" s="592" t="s">
        <v>80</v>
      </c>
      <c r="O13" s="593" t="s">
        <v>70</v>
      </c>
      <c r="P13" s="594" t="s">
        <v>43</v>
      </c>
      <c r="Q13" s="594" t="s">
        <v>71</v>
      </c>
      <c r="R13" s="595" t="s">
        <v>72</v>
      </c>
      <c r="S13" s="1514"/>
      <c r="T13" s="596" t="s">
        <v>70</v>
      </c>
      <c r="U13" s="589" t="s">
        <v>43</v>
      </c>
      <c r="V13" s="589" t="s">
        <v>71</v>
      </c>
      <c r="W13" s="594" t="s">
        <v>72</v>
      </c>
      <c r="X13" s="595" t="s">
        <v>73</v>
      </c>
      <c r="Y13" s="596" t="s">
        <v>70</v>
      </c>
      <c r="Z13" s="589" t="s">
        <v>43</v>
      </c>
      <c r="AA13" s="589" t="s">
        <v>71</v>
      </c>
      <c r="AB13" s="594" t="s">
        <v>72</v>
      </c>
      <c r="AC13" s="595" t="s">
        <v>73</v>
      </c>
      <c r="AD13" s="597" t="s">
        <v>90</v>
      </c>
      <c r="AE13" s="598" t="s">
        <v>91</v>
      </c>
      <c r="AF13" s="599" t="s">
        <v>70</v>
      </c>
      <c r="AG13" s="589" t="s">
        <v>43</v>
      </c>
      <c r="AH13" s="589" t="s">
        <v>71</v>
      </c>
      <c r="AI13" s="594" t="s">
        <v>72</v>
      </c>
      <c r="AJ13" s="595" t="s">
        <v>73</v>
      </c>
    </row>
    <row r="14" spans="1:37" ht="16.5" customHeight="1">
      <c r="A14" s="999">
        <f>'09월 조업일지'!A12</f>
        <v>46266</v>
      </c>
      <c r="B14" s="1099">
        <f>'09월 조업일지'!B12</f>
        <v>46265</v>
      </c>
      <c r="C14" s="1000" t="str">
        <f>'09월 조업일지'!E12</f>
        <v>D</v>
      </c>
      <c r="D14" s="1000" t="str">
        <f>'09월 화학성분'!E12</f>
        <v>B</v>
      </c>
      <c r="E14" s="1000">
        <f>'09월 화학성분'!C12</f>
        <v>85214</v>
      </c>
      <c r="F14" s="1104" t="s">
        <v>528</v>
      </c>
      <c r="G14" s="1172">
        <v>18</v>
      </c>
      <c r="H14" s="985">
        <v>22300</v>
      </c>
      <c r="I14" s="1173">
        <v>16.7</v>
      </c>
      <c r="J14" s="985">
        <v>20400</v>
      </c>
      <c r="K14" s="1173">
        <v>8.9</v>
      </c>
      <c r="L14" s="985">
        <v>11600</v>
      </c>
      <c r="M14" s="1174">
        <f t="shared" ref="M14:N16" si="12">IF(ISBLANK(G14),"",SUM(G14,I14,K14))</f>
        <v>43.6</v>
      </c>
      <c r="N14" s="984">
        <f t="shared" si="12"/>
        <v>54300</v>
      </c>
      <c r="O14" s="986">
        <f t="shared" ref="O14:O16" si="13">IF(ISBLANK(H14),"",H14/S14)</f>
        <v>154.53915453915454</v>
      </c>
      <c r="P14" s="987">
        <f t="shared" ref="P14:P16" si="14">IF(ISBLANK(J14),"",+J14/S14)</f>
        <v>141.37214137214136</v>
      </c>
      <c r="Q14" s="987">
        <f t="shared" ref="Q14:Q16" si="15">IF(ISBLANK(L14),"",L14/S14)</f>
        <v>80.388080388080382</v>
      </c>
      <c r="R14" s="988">
        <f t="shared" ref="R14:R16" si="16">IF(ISBLANK(L14),"",SUM(O14:Q14))</f>
        <v>376.29937629937626</v>
      </c>
      <c r="S14" s="989">
        <v>144.30000000000001</v>
      </c>
      <c r="T14" s="990">
        <v>0</v>
      </c>
      <c r="U14" s="991">
        <v>0</v>
      </c>
      <c r="V14" s="991">
        <v>340</v>
      </c>
      <c r="W14" s="992">
        <f t="shared" ref="W14:W16" si="17">IF(SUM(T14:V14)=0,"",SUM(T14:V14))</f>
        <v>340</v>
      </c>
      <c r="X14" s="993">
        <f t="shared" ref="X14:X16" si="18">IF(W14="","",W14/S14)</f>
        <v>2.3562023562023562</v>
      </c>
      <c r="Y14" s="990">
        <v>1493</v>
      </c>
      <c r="Z14" s="991">
        <v>1404</v>
      </c>
      <c r="AA14" s="991">
        <v>841</v>
      </c>
      <c r="AB14" s="992">
        <f t="shared" ref="AB14:AB16" si="19">IF(SUM(Y14:AA14)=0,"",SUM(Y14:AA14))</f>
        <v>3738</v>
      </c>
      <c r="AC14" s="993">
        <f t="shared" ref="AC14:AC16" si="20">IF(AB14="","",AB14/S14)</f>
        <v>25.904365904365903</v>
      </c>
      <c r="AD14" s="994">
        <f t="shared" ref="AD14:AD16" si="21">IF(SUM(W14,AB14)=0,"",SUM(W14,AB14))</f>
        <v>4078</v>
      </c>
      <c r="AE14" s="995">
        <f t="shared" ref="AE14:AE16" si="22">IF(AD14="","",AD14/S14)</f>
        <v>28.26056826056826</v>
      </c>
      <c r="AF14" s="996">
        <v>77</v>
      </c>
      <c r="AG14" s="997">
        <v>66</v>
      </c>
      <c r="AH14" s="997">
        <v>7</v>
      </c>
      <c r="AI14" s="998">
        <f t="shared" ref="AI14:AI15" si="23">IF(SUM(AF14:AH14)=0,"",SUM(AF14:AH14))</f>
        <v>150</v>
      </c>
      <c r="AJ14" s="993">
        <f t="shared" ref="AJ14:AJ15" si="24">IF(AI14="","",AI14/S14)</f>
        <v>1.0395010395010393</v>
      </c>
    </row>
    <row r="15" spans="1:37" ht="17.25" customHeight="1">
      <c r="A15" s="999">
        <f>'09월 조업일지'!A13</f>
        <v>46266</v>
      </c>
      <c r="B15" s="1099">
        <f>'09월 조업일지'!B13</f>
        <v>46265</v>
      </c>
      <c r="C15" s="1000" t="str">
        <f>'09월 화학성분'!D13</f>
        <v>D</v>
      </c>
      <c r="D15" s="1000" t="str">
        <f>'09월 화학성분'!E13</f>
        <v>A</v>
      </c>
      <c r="E15" s="1000">
        <f>'09월 화학성분'!C13</f>
        <v>85215</v>
      </c>
      <c r="F15" s="1001" t="s">
        <v>533</v>
      </c>
      <c r="G15" s="1172">
        <v>20.8</v>
      </c>
      <c r="H15" s="985">
        <v>22800</v>
      </c>
      <c r="I15" s="1173">
        <v>16.899999999999999</v>
      </c>
      <c r="J15" s="985">
        <v>20800</v>
      </c>
      <c r="K15" s="1173">
        <v>8.1999999999999993</v>
      </c>
      <c r="L15" s="985">
        <v>10300</v>
      </c>
      <c r="M15" s="1174">
        <f t="shared" si="12"/>
        <v>45.900000000000006</v>
      </c>
      <c r="N15" s="984">
        <f t="shared" si="12"/>
        <v>53900</v>
      </c>
      <c r="O15" s="986">
        <f t="shared" si="13"/>
        <v>158.44336344683808</v>
      </c>
      <c r="P15" s="987">
        <f t="shared" si="14"/>
        <v>144.54482279360667</v>
      </c>
      <c r="Q15" s="987">
        <f t="shared" si="15"/>
        <v>71.577484364141768</v>
      </c>
      <c r="R15" s="988">
        <f t="shared" si="16"/>
        <v>374.5656706045865</v>
      </c>
      <c r="S15" s="989">
        <v>143.9</v>
      </c>
      <c r="T15" s="990">
        <v>0</v>
      </c>
      <c r="U15" s="991">
        <v>69</v>
      </c>
      <c r="V15" s="991">
        <v>251</v>
      </c>
      <c r="W15" s="992">
        <f t="shared" si="17"/>
        <v>320</v>
      </c>
      <c r="X15" s="993">
        <f t="shared" si="18"/>
        <v>2.2237665045170258</v>
      </c>
      <c r="Y15" s="990">
        <v>1701</v>
      </c>
      <c r="Z15" s="991">
        <v>1370</v>
      </c>
      <c r="AA15" s="991">
        <v>699</v>
      </c>
      <c r="AB15" s="992">
        <f t="shared" si="19"/>
        <v>3770</v>
      </c>
      <c r="AC15" s="993">
        <f t="shared" si="20"/>
        <v>26.198749131341209</v>
      </c>
      <c r="AD15" s="994">
        <f t="shared" si="21"/>
        <v>4090</v>
      </c>
      <c r="AE15" s="995">
        <f t="shared" si="22"/>
        <v>28.422515635858232</v>
      </c>
      <c r="AF15" s="996">
        <v>80</v>
      </c>
      <c r="AG15" s="997">
        <v>63</v>
      </c>
      <c r="AH15" s="997">
        <v>6</v>
      </c>
      <c r="AI15" s="998">
        <f t="shared" si="23"/>
        <v>149</v>
      </c>
      <c r="AJ15" s="993">
        <f t="shared" si="24"/>
        <v>1.0354412786657401</v>
      </c>
    </row>
    <row r="16" spans="1:37" ht="16.5" customHeight="1">
      <c r="A16" s="999">
        <f>'09월 조업일지'!A14</f>
        <v>46266</v>
      </c>
      <c r="B16" s="1099">
        <f>'09월 조업일지'!B14</f>
        <v>46265</v>
      </c>
      <c r="C16" s="1000" t="str">
        <f>'09월 화학성분'!D14</f>
        <v>D</v>
      </c>
      <c r="D16" s="1000" t="str">
        <f>'09월 화학성분'!E14</f>
        <v>B</v>
      </c>
      <c r="E16" s="1000">
        <f>'09월 화학성분'!C14</f>
        <v>85216</v>
      </c>
      <c r="F16" s="1001" t="str">
        <f t="shared" ref="F16:F79" si="25">IF(G16="","",F15)</f>
        <v>SHN400(BL)</v>
      </c>
      <c r="G16" s="1172">
        <v>19.100000000000001</v>
      </c>
      <c r="H16" s="985">
        <v>23100</v>
      </c>
      <c r="I16" s="1173">
        <v>16.600000000000001</v>
      </c>
      <c r="J16" s="985">
        <v>20400</v>
      </c>
      <c r="K16" s="1173">
        <v>9.6</v>
      </c>
      <c r="L16" s="985">
        <v>12200</v>
      </c>
      <c r="M16" s="1174">
        <f t="shared" si="12"/>
        <v>45.300000000000004</v>
      </c>
      <c r="N16" s="984">
        <f t="shared" si="12"/>
        <v>55700</v>
      </c>
      <c r="O16" s="986">
        <f t="shared" si="13"/>
        <v>158.32762165867032</v>
      </c>
      <c r="P16" s="987">
        <f t="shared" si="14"/>
        <v>139.82179575051404</v>
      </c>
      <c r="Q16" s="987">
        <f t="shared" si="15"/>
        <v>83.618917066483888</v>
      </c>
      <c r="R16" s="988">
        <f t="shared" si="16"/>
        <v>381.76833447566827</v>
      </c>
      <c r="S16" s="989">
        <v>145.9</v>
      </c>
      <c r="T16" s="990">
        <v>0</v>
      </c>
      <c r="U16" s="991">
        <v>8</v>
      </c>
      <c r="V16" s="991">
        <v>338</v>
      </c>
      <c r="W16" s="992">
        <f t="shared" si="17"/>
        <v>346</v>
      </c>
      <c r="X16" s="993">
        <f t="shared" si="18"/>
        <v>2.3714873200822479</v>
      </c>
      <c r="Y16" s="990">
        <v>1625</v>
      </c>
      <c r="Z16" s="991">
        <v>1402</v>
      </c>
      <c r="AA16" s="991">
        <v>807</v>
      </c>
      <c r="AB16" s="992">
        <f t="shared" si="19"/>
        <v>3834</v>
      </c>
      <c r="AC16" s="993">
        <f t="shared" si="20"/>
        <v>26.278272789581905</v>
      </c>
      <c r="AD16" s="994">
        <f t="shared" si="21"/>
        <v>4180</v>
      </c>
      <c r="AE16" s="995">
        <f t="shared" si="22"/>
        <v>28.649760109664154</v>
      </c>
      <c r="AF16" s="996">
        <v>81</v>
      </c>
      <c r="AG16" s="997">
        <v>64</v>
      </c>
      <c r="AH16" s="997">
        <v>6</v>
      </c>
      <c r="AI16" s="998">
        <f t="shared" ref="AI16:AI79" si="26">IF(SUM(AF16:AH16)=0,"",SUM(AF16:AH16))</f>
        <v>151</v>
      </c>
      <c r="AJ16" s="993">
        <f t="shared" ref="AJ16:AJ79" si="27">IF(AI16="","",AI16/S16)</f>
        <v>1.0349554489376285</v>
      </c>
    </row>
    <row r="17" spans="1:36" ht="16.5" customHeight="1">
      <c r="A17" s="999">
        <f>'09월 조업일지'!A15</f>
        <v>46266</v>
      </c>
      <c r="B17" s="1099">
        <f>'09월 조업일지'!B15</f>
        <v>46265</v>
      </c>
      <c r="C17" s="1000" t="str">
        <f>'09월 화학성분'!D15</f>
        <v>D</v>
      </c>
      <c r="D17" s="1000" t="str">
        <f>'09월 화학성분'!E15</f>
        <v>A</v>
      </c>
      <c r="E17" s="1000">
        <f>'09월 화학성분'!C15</f>
        <v>85217</v>
      </c>
      <c r="F17" s="1001" t="str">
        <f t="shared" si="25"/>
        <v>SHN400(BL)</v>
      </c>
      <c r="G17" s="1172">
        <v>19.5</v>
      </c>
      <c r="H17" s="985">
        <v>23200</v>
      </c>
      <c r="I17" s="1173">
        <v>16.899999999999999</v>
      </c>
      <c r="J17" s="985">
        <v>20700</v>
      </c>
      <c r="K17" s="1173">
        <v>9.1</v>
      </c>
      <c r="L17" s="985">
        <v>11500</v>
      </c>
      <c r="M17" s="1174">
        <f t="shared" ref="M17:M79" si="28">IF(ISBLANK(G17),"",SUM(G17,I17,K17))</f>
        <v>45.5</v>
      </c>
      <c r="N17" s="984">
        <f t="shared" ref="N17:N79" si="29">IF(ISBLANK(H17),"",SUM(H17,J17,L17))</f>
        <v>55400</v>
      </c>
      <c r="O17" s="986">
        <f t="shared" ref="O17:O79" si="30">IF(ISBLANK(H17),"",H17/S17)</f>
        <v>160.33172080165861</v>
      </c>
      <c r="P17" s="987">
        <f t="shared" ref="P17:P79" si="31">IF(ISBLANK(J17),"",+J17/S17)</f>
        <v>143.054595715273</v>
      </c>
      <c r="Q17" s="987">
        <f t="shared" ref="Q17:Q79" si="32">IF(ISBLANK(L17),"",L17/S17)</f>
        <v>79.47477539737389</v>
      </c>
      <c r="R17" s="988">
        <f t="shared" ref="R17:R79" si="33">IF(ISBLANK(L17),"",SUM(O17:Q17))</f>
        <v>382.86109191430552</v>
      </c>
      <c r="S17" s="989">
        <v>144.69999999999999</v>
      </c>
      <c r="T17" s="990">
        <v>0</v>
      </c>
      <c r="U17" s="991">
        <v>31</v>
      </c>
      <c r="V17" s="991">
        <v>314</v>
      </c>
      <c r="W17" s="992">
        <f t="shared" ref="W17:W79" si="34">IF(SUM(T17:V17)=0,"",SUM(T17:V17))</f>
        <v>345</v>
      </c>
      <c r="X17" s="993">
        <f t="shared" ref="X17:X79" si="35">IF(W17="","",W17/S17)</f>
        <v>2.3842432619212164</v>
      </c>
      <c r="Y17" s="990">
        <v>1615</v>
      </c>
      <c r="Z17" s="991">
        <v>1425</v>
      </c>
      <c r="AA17" s="991">
        <v>804</v>
      </c>
      <c r="AB17" s="992">
        <f t="shared" ref="AB17:AB79" si="36">IF(SUM(Y17:AA17)=0,"",SUM(Y17:AA17))</f>
        <v>3844</v>
      </c>
      <c r="AC17" s="993">
        <f t="shared" ref="AC17:AC79" si="37">IF(AB17="","",AB17/S17)</f>
        <v>26.565307532826541</v>
      </c>
      <c r="AD17" s="994">
        <f t="shared" ref="AD17:AD79" si="38">IF(SUM(W17,AB17)=0,"",SUM(W17,AB17))</f>
        <v>4189</v>
      </c>
      <c r="AE17" s="995">
        <f t="shared" ref="AE17:AE79" si="39">IF(AD17="","",AD17/S17)</f>
        <v>28.949550794747758</v>
      </c>
      <c r="AF17" s="996">
        <v>79</v>
      </c>
      <c r="AG17" s="997">
        <v>64</v>
      </c>
      <c r="AH17" s="997">
        <v>7</v>
      </c>
      <c r="AI17" s="998">
        <f t="shared" si="26"/>
        <v>150</v>
      </c>
      <c r="AJ17" s="993">
        <f t="shared" si="27"/>
        <v>1.0366275051831375</v>
      </c>
    </row>
    <row r="18" spans="1:36" ht="16.5" customHeight="1">
      <c r="A18" s="999">
        <f>'09월 조업일지'!A16</f>
        <v>46266</v>
      </c>
      <c r="B18" s="1099">
        <f>'09월 조업일지'!B16</f>
        <v>46266</v>
      </c>
      <c r="C18" s="1000" t="str">
        <f>'09월 화학성분'!D16</f>
        <v>A</v>
      </c>
      <c r="D18" s="1000" t="str">
        <f>'09월 화학성분'!E16</f>
        <v>B</v>
      </c>
      <c r="E18" s="1000">
        <f>'09월 화학성분'!C16</f>
        <v>85218</v>
      </c>
      <c r="F18" s="1001" t="str">
        <f t="shared" si="25"/>
        <v>SHN400(BL)</v>
      </c>
      <c r="G18" s="1172">
        <v>18.100000000000001</v>
      </c>
      <c r="H18" s="985">
        <v>22500</v>
      </c>
      <c r="I18" s="1173">
        <v>16.600000000000001</v>
      </c>
      <c r="J18" s="985">
        <v>20400</v>
      </c>
      <c r="K18" s="1173">
        <v>9.1</v>
      </c>
      <c r="L18" s="985">
        <v>11600</v>
      </c>
      <c r="M18" s="1174">
        <f t="shared" si="28"/>
        <v>43.800000000000004</v>
      </c>
      <c r="N18" s="984">
        <f t="shared" si="29"/>
        <v>54500</v>
      </c>
      <c r="O18" s="986">
        <f t="shared" si="30"/>
        <v>151.92437542201216</v>
      </c>
      <c r="P18" s="987">
        <f t="shared" si="31"/>
        <v>137.74476704929103</v>
      </c>
      <c r="Q18" s="987">
        <f t="shared" si="32"/>
        <v>78.325455773126265</v>
      </c>
      <c r="R18" s="988">
        <f t="shared" si="33"/>
        <v>367.99459824442943</v>
      </c>
      <c r="S18" s="989">
        <v>148.1</v>
      </c>
      <c r="T18" s="990">
        <v>0</v>
      </c>
      <c r="U18" s="991">
        <v>203</v>
      </c>
      <c r="V18" s="991">
        <v>146</v>
      </c>
      <c r="W18" s="992">
        <f t="shared" si="34"/>
        <v>349</v>
      </c>
      <c r="X18" s="993">
        <f t="shared" si="35"/>
        <v>2.3565158676569884</v>
      </c>
      <c r="Y18" s="990">
        <v>1535</v>
      </c>
      <c r="Z18" s="991">
        <v>1386</v>
      </c>
      <c r="AA18" s="991">
        <v>789</v>
      </c>
      <c r="AB18" s="992">
        <f t="shared" si="36"/>
        <v>3710</v>
      </c>
      <c r="AC18" s="993">
        <f t="shared" si="37"/>
        <v>25.050641458474004</v>
      </c>
      <c r="AD18" s="994">
        <f t="shared" si="38"/>
        <v>4059</v>
      </c>
      <c r="AE18" s="995">
        <f t="shared" si="39"/>
        <v>27.407157326130992</v>
      </c>
      <c r="AF18" s="996">
        <v>77</v>
      </c>
      <c r="AG18" s="997">
        <v>63</v>
      </c>
      <c r="AH18" s="997">
        <v>8</v>
      </c>
      <c r="AI18" s="998">
        <f t="shared" si="26"/>
        <v>148</v>
      </c>
      <c r="AJ18" s="993">
        <f t="shared" si="27"/>
        <v>0.99932478055368001</v>
      </c>
    </row>
    <row r="19" spans="1:36" ht="17.25" customHeight="1">
      <c r="A19" s="999">
        <f>'09월 조업일지'!A17</f>
        <v>46266</v>
      </c>
      <c r="B19" s="1099">
        <f>'09월 조업일지'!B17</f>
        <v>46266</v>
      </c>
      <c r="C19" s="1000" t="str">
        <f>'09월 화학성분'!D17</f>
        <v>A</v>
      </c>
      <c r="D19" s="1000" t="str">
        <f>'09월 화학성분'!E17</f>
        <v>A</v>
      </c>
      <c r="E19" s="1000">
        <f>'09월 화학성분'!C17</f>
        <v>85219</v>
      </c>
      <c r="F19" s="1001" t="str">
        <f t="shared" si="25"/>
        <v>SHN400(BL)</v>
      </c>
      <c r="G19" s="1172">
        <v>24.9</v>
      </c>
      <c r="H19" s="985">
        <v>23900</v>
      </c>
      <c r="I19" s="1173">
        <v>17.2</v>
      </c>
      <c r="J19" s="985">
        <v>20800</v>
      </c>
      <c r="K19" s="1173">
        <v>8.1999999999999993</v>
      </c>
      <c r="L19" s="985">
        <v>10300</v>
      </c>
      <c r="M19" s="1174">
        <f t="shared" si="28"/>
        <v>50.3</v>
      </c>
      <c r="N19" s="984">
        <f t="shared" si="29"/>
        <v>55000</v>
      </c>
      <c r="O19" s="986">
        <f t="shared" si="30"/>
        <v>166.89944134078215</v>
      </c>
      <c r="P19" s="987">
        <f t="shared" si="31"/>
        <v>145.2513966480447</v>
      </c>
      <c r="Q19" s="987">
        <f t="shared" si="32"/>
        <v>71.927374301675982</v>
      </c>
      <c r="R19" s="988">
        <f t="shared" si="33"/>
        <v>384.07821229050285</v>
      </c>
      <c r="S19" s="989">
        <v>143.19999999999999</v>
      </c>
      <c r="T19" s="990">
        <v>0</v>
      </c>
      <c r="U19" s="991">
        <v>286</v>
      </c>
      <c r="V19" s="991">
        <v>50</v>
      </c>
      <c r="W19" s="992">
        <f t="shared" si="34"/>
        <v>336</v>
      </c>
      <c r="X19" s="993">
        <f t="shared" si="35"/>
        <v>2.3463687150837989</v>
      </c>
      <c r="Y19" s="990">
        <v>1923</v>
      </c>
      <c r="Z19" s="991">
        <v>1424</v>
      </c>
      <c r="AA19" s="991">
        <v>662</v>
      </c>
      <c r="AB19" s="992">
        <f t="shared" si="36"/>
        <v>4009</v>
      </c>
      <c r="AC19" s="993">
        <f t="shared" si="37"/>
        <v>27.995810055865924</v>
      </c>
      <c r="AD19" s="994">
        <f t="shared" si="38"/>
        <v>4345</v>
      </c>
      <c r="AE19" s="995">
        <f t="shared" si="39"/>
        <v>30.342178770949722</v>
      </c>
      <c r="AF19" s="996">
        <v>98</v>
      </c>
      <c r="AG19" s="997">
        <v>65</v>
      </c>
      <c r="AH19" s="997">
        <v>5</v>
      </c>
      <c r="AI19" s="998">
        <f t="shared" si="26"/>
        <v>168</v>
      </c>
      <c r="AJ19" s="993">
        <f t="shared" si="27"/>
        <v>1.1731843575418994</v>
      </c>
    </row>
    <row r="20" spans="1:36" ht="16.5" customHeight="1">
      <c r="A20" s="999">
        <f>'09월 조업일지'!A18</f>
        <v>46266</v>
      </c>
      <c r="B20" s="1099">
        <f>'09월 조업일지'!B18</f>
        <v>46266</v>
      </c>
      <c r="C20" s="1000" t="str">
        <f>'09월 화학성분'!D18</f>
        <v>A</v>
      </c>
      <c r="D20" s="1000" t="str">
        <f>'09월 화학성분'!E18</f>
        <v>B</v>
      </c>
      <c r="E20" s="1000">
        <f>'09월 화학성분'!C18</f>
        <v>85220</v>
      </c>
      <c r="F20" s="1001" t="str">
        <f t="shared" si="25"/>
        <v>SHN400(BL)</v>
      </c>
      <c r="G20" s="1172">
        <v>20.2</v>
      </c>
      <c r="H20" s="985">
        <v>24000</v>
      </c>
      <c r="I20" s="1173">
        <v>16.8</v>
      </c>
      <c r="J20" s="985">
        <v>20300</v>
      </c>
      <c r="K20" s="1173">
        <v>10.8</v>
      </c>
      <c r="L20" s="985">
        <v>13300</v>
      </c>
      <c r="M20" s="1174">
        <f t="shared" si="28"/>
        <v>47.8</v>
      </c>
      <c r="N20" s="984">
        <f t="shared" si="29"/>
        <v>57600</v>
      </c>
      <c r="O20" s="986">
        <f t="shared" si="30"/>
        <v>162.16216216216216</v>
      </c>
      <c r="P20" s="987">
        <f t="shared" si="31"/>
        <v>137.16216216216216</v>
      </c>
      <c r="Q20" s="987">
        <f t="shared" si="32"/>
        <v>89.86486486486487</v>
      </c>
      <c r="R20" s="988">
        <f t="shared" si="33"/>
        <v>389.18918918918916</v>
      </c>
      <c r="S20" s="989">
        <v>148</v>
      </c>
      <c r="T20" s="990">
        <v>0</v>
      </c>
      <c r="U20" s="991">
        <v>251</v>
      </c>
      <c r="V20" s="991">
        <v>91</v>
      </c>
      <c r="W20" s="992">
        <f t="shared" si="34"/>
        <v>342</v>
      </c>
      <c r="X20" s="993">
        <f t="shared" si="35"/>
        <v>2.310810810810811</v>
      </c>
      <c r="Y20" s="990">
        <v>1721</v>
      </c>
      <c r="Z20" s="991">
        <v>1397</v>
      </c>
      <c r="AA20" s="991">
        <v>912</v>
      </c>
      <c r="AB20" s="992">
        <f t="shared" si="36"/>
        <v>4030</v>
      </c>
      <c r="AC20" s="993">
        <f t="shared" si="37"/>
        <v>27.22972972972973</v>
      </c>
      <c r="AD20" s="994">
        <f t="shared" si="38"/>
        <v>4372</v>
      </c>
      <c r="AE20" s="995">
        <f t="shared" si="39"/>
        <v>29.54054054054054</v>
      </c>
      <c r="AF20" s="996">
        <v>82</v>
      </c>
      <c r="AG20" s="997">
        <v>65</v>
      </c>
      <c r="AH20" s="997">
        <v>8</v>
      </c>
      <c r="AI20" s="998">
        <f t="shared" si="26"/>
        <v>155</v>
      </c>
      <c r="AJ20" s="993">
        <f t="shared" si="27"/>
        <v>1.0472972972972974</v>
      </c>
    </row>
    <row r="21" spans="1:36" ht="16.5" customHeight="1">
      <c r="A21" s="999">
        <f>'09월 조업일지'!A19</f>
        <v>46266</v>
      </c>
      <c r="B21" s="1099">
        <f>'09월 조업일지'!B19</f>
        <v>46266</v>
      </c>
      <c r="C21" s="1000" t="str">
        <f>'09월 화학성분'!D19</f>
        <v>A</v>
      </c>
      <c r="D21" s="1000" t="str">
        <f>'09월 화학성분'!E19</f>
        <v>A</v>
      </c>
      <c r="E21" s="1000">
        <f>'09월 화학성분'!C19</f>
        <v>85221</v>
      </c>
      <c r="F21" s="1001" t="str">
        <f t="shared" si="25"/>
        <v>SHN400(BL)</v>
      </c>
      <c r="G21" s="1172">
        <v>19.5</v>
      </c>
      <c r="H21" s="985">
        <v>23500</v>
      </c>
      <c r="I21" s="1173">
        <v>16.600000000000001</v>
      </c>
      <c r="J21" s="985">
        <v>20700</v>
      </c>
      <c r="K21" s="1173">
        <v>8</v>
      </c>
      <c r="L21" s="985">
        <v>10200</v>
      </c>
      <c r="M21" s="1174">
        <f t="shared" si="28"/>
        <v>44.1</v>
      </c>
      <c r="N21" s="984">
        <f t="shared" si="29"/>
        <v>54400</v>
      </c>
      <c r="O21" s="986">
        <f t="shared" si="30"/>
        <v>159.10629654705485</v>
      </c>
      <c r="P21" s="987">
        <f t="shared" si="31"/>
        <v>140.14895057549086</v>
      </c>
      <c r="Q21" s="987">
        <f t="shared" si="32"/>
        <v>69.058903182125931</v>
      </c>
      <c r="R21" s="988">
        <f t="shared" si="33"/>
        <v>368.31415030467167</v>
      </c>
      <c r="S21" s="989">
        <v>147.69999999999999</v>
      </c>
      <c r="T21" s="990">
        <v>0</v>
      </c>
      <c r="U21" s="991">
        <v>220</v>
      </c>
      <c r="V21" s="991">
        <v>86</v>
      </c>
      <c r="W21" s="992">
        <f t="shared" si="34"/>
        <v>306</v>
      </c>
      <c r="X21" s="993">
        <f t="shared" si="35"/>
        <v>2.0717670954637781</v>
      </c>
      <c r="Y21" s="990">
        <v>1608</v>
      </c>
      <c r="Z21" s="991">
        <v>1388</v>
      </c>
      <c r="AA21" s="991">
        <v>585</v>
      </c>
      <c r="AB21" s="992">
        <f t="shared" si="36"/>
        <v>3581</v>
      </c>
      <c r="AC21" s="993">
        <f t="shared" si="37"/>
        <v>24.245091401489507</v>
      </c>
      <c r="AD21" s="994">
        <f t="shared" si="38"/>
        <v>3887</v>
      </c>
      <c r="AE21" s="995">
        <f t="shared" si="39"/>
        <v>26.316858496953287</v>
      </c>
      <c r="AF21" s="996">
        <v>79</v>
      </c>
      <c r="AG21" s="997">
        <v>64</v>
      </c>
      <c r="AH21" s="997">
        <v>5</v>
      </c>
      <c r="AI21" s="998">
        <f t="shared" si="26"/>
        <v>148</v>
      </c>
      <c r="AJ21" s="993">
        <f t="shared" si="27"/>
        <v>1.0020311442112391</v>
      </c>
    </row>
    <row r="22" spans="1:36" ht="16.5" customHeight="1">
      <c r="A22" s="999">
        <f>'09월 조업일지'!A20</f>
        <v>46266</v>
      </c>
      <c r="B22" s="1099">
        <f>'09월 조업일지'!B20</f>
        <v>46266</v>
      </c>
      <c r="C22" s="1000" t="str">
        <f>'09월 화학성분'!D20</f>
        <v>A</v>
      </c>
      <c r="D22" s="1000" t="str">
        <f>'09월 화학성분'!E20</f>
        <v>B</v>
      </c>
      <c r="E22" s="1000">
        <f>'09월 화학성분'!C20</f>
        <v>85222</v>
      </c>
      <c r="F22" s="1001" t="str">
        <f t="shared" si="25"/>
        <v>SHN400(BL)</v>
      </c>
      <c r="G22" s="1172">
        <v>19.100000000000001</v>
      </c>
      <c r="H22" s="985">
        <v>22300</v>
      </c>
      <c r="I22" s="1173">
        <v>16.2</v>
      </c>
      <c r="J22" s="985">
        <v>20400</v>
      </c>
      <c r="K22" s="1173">
        <v>9.6999999999999993</v>
      </c>
      <c r="L22" s="985">
        <v>12400</v>
      </c>
      <c r="M22" s="1174">
        <f t="shared" si="28"/>
        <v>45</v>
      </c>
      <c r="N22" s="984">
        <f t="shared" si="29"/>
        <v>55100</v>
      </c>
      <c r="O22" s="986">
        <f t="shared" si="30"/>
        <v>151.3917175831636</v>
      </c>
      <c r="P22" s="987">
        <f t="shared" si="31"/>
        <v>138.49287169042768</v>
      </c>
      <c r="Q22" s="987">
        <f t="shared" si="32"/>
        <v>84.181941615750162</v>
      </c>
      <c r="R22" s="988">
        <f t="shared" si="33"/>
        <v>374.06653088934138</v>
      </c>
      <c r="S22" s="989">
        <v>147.30000000000001</v>
      </c>
      <c r="T22" s="990">
        <v>0</v>
      </c>
      <c r="U22" s="991">
        <v>157</v>
      </c>
      <c r="V22" s="991">
        <v>141</v>
      </c>
      <c r="W22" s="992">
        <f t="shared" si="34"/>
        <v>298</v>
      </c>
      <c r="X22" s="993">
        <f t="shared" si="35"/>
        <v>2.0230821452817378</v>
      </c>
      <c r="Y22" s="990">
        <v>1599</v>
      </c>
      <c r="Z22" s="991">
        <v>1378</v>
      </c>
      <c r="AA22" s="991">
        <v>1004</v>
      </c>
      <c r="AB22" s="992">
        <f t="shared" si="36"/>
        <v>3981</v>
      </c>
      <c r="AC22" s="993">
        <f t="shared" si="37"/>
        <v>27.026476578411405</v>
      </c>
      <c r="AD22" s="994">
        <f t="shared" si="38"/>
        <v>4279</v>
      </c>
      <c r="AE22" s="995">
        <f t="shared" si="39"/>
        <v>29.049558723693142</v>
      </c>
      <c r="AF22" s="996">
        <v>83</v>
      </c>
      <c r="AG22" s="997">
        <v>60</v>
      </c>
      <c r="AH22" s="997">
        <v>11</v>
      </c>
      <c r="AI22" s="998">
        <f t="shared" si="26"/>
        <v>154</v>
      </c>
      <c r="AJ22" s="993">
        <f t="shared" si="27"/>
        <v>1.0454854039375423</v>
      </c>
    </row>
    <row r="23" spans="1:36" ht="16.5" customHeight="1">
      <c r="A23" s="999">
        <f>'09월 조업일지'!A21</f>
        <v>46266</v>
      </c>
      <c r="B23" s="1099">
        <f>'09월 조업일지'!B21</f>
        <v>46266</v>
      </c>
      <c r="C23" s="1000" t="str">
        <f>'09월 화학성분'!D21</f>
        <v>A</v>
      </c>
      <c r="D23" s="1000" t="str">
        <f>'09월 화학성분'!E21</f>
        <v>A</v>
      </c>
      <c r="E23" s="1000">
        <f>'09월 화학성분'!C21</f>
        <v>85223</v>
      </c>
      <c r="F23" s="1001" t="str">
        <f t="shared" si="25"/>
        <v>SHN400(BL)</v>
      </c>
      <c r="G23" s="1172">
        <v>19.5</v>
      </c>
      <c r="H23" s="985">
        <v>23700</v>
      </c>
      <c r="I23" s="1173">
        <v>16.600000000000001</v>
      </c>
      <c r="J23" s="985">
        <v>20700</v>
      </c>
      <c r="K23" s="1173">
        <v>8.6999999999999993</v>
      </c>
      <c r="L23" s="985">
        <v>11100</v>
      </c>
      <c r="M23" s="1174">
        <f t="shared" si="28"/>
        <v>44.8</v>
      </c>
      <c r="N23" s="984">
        <f t="shared" si="29"/>
        <v>55500</v>
      </c>
      <c r="O23" s="986">
        <f t="shared" si="30"/>
        <v>158.63453815261045</v>
      </c>
      <c r="P23" s="987">
        <f t="shared" si="31"/>
        <v>138.55421686746988</v>
      </c>
      <c r="Q23" s="987">
        <f t="shared" si="32"/>
        <v>74.297188755020073</v>
      </c>
      <c r="R23" s="988">
        <f t="shared" si="33"/>
        <v>371.4859437751004</v>
      </c>
      <c r="S23" s="989">
        <v>149.4</v>
      </c>
      <c r="T23" s="990">
        <v>0</v>
      </c>
      <c r="U23" s="991">
        <v>186</v>
      </c>
      <c r="V23" s="991">
        <v>312</v>
      </c>
      <c r="W23" s="992">
        <f t="shared" si="34"/>
        <v>498</v>
      </c>
      <c r="X23" s="993">
        <f t="shared" si="35"/>
        <v>3.333333333333333</v>
      </c>
      <c r="Y23" s="990">
        <v>1601</v>
      </c>
      <c r="Z23" s="991">
        <v>1387</v>
      </c>
      <c r="AA23" s="991">
        <v>693</v>
      </c>
      <c r="AB23" s="992">
        <f t="shared" si="36"/>
        <v>3681</v>
      </c>
      <c r="AC23" s="993">
        <f t="shared" si="37"/>
        <v>24.638554216867469</v>
      </c>
      <c r="AD23" s="994">
        <f t="shared" si="38"/>
        <v>4179</v>
      </c>
      <c r="AE23" s="995">
        <f t="shared" si="39"/>
        <v>27.971887550200801</v>
      </c>
      <c r="AF23" s="996">
        <v>79</v>
      </c>
      <c r="AG23" s="997">
        <v>64</v>
      </c>
      <c r="AH23" s="997">
        <v>6</v>
      </c>
      <c r="AI23" s="998">
        <f t="shared" si="26"/>
        <v>149</v>
      </c>
      <c r="AJ23" s="993">
        <f t="shared" si="27"/>
        <v>0.99732262382864789</v>
      </c>
    </row>
    <row r="24" spans="1:36" ht="16.5" customHeight="1">
      <c r="A24" s="999">
        <f>'09월 조업일지'!A22</f>
        <v>46266</v>
      </c>
      <c r="B24" s="1099">
        <f>'09월 조업일지'!B22</f>
        <v>46266</v>
      </c>
      <c r="C24" s="1000" t="str">
        <f>'09월 화학성분'!D22</f>
        <v>A</v>
      </c>
      <c r="D24" s="1000" t="str">
        <f>'09월 화학성분'!E22</f>
        <v>B</v>
      </c>
      <c r="E24" s="1000">
        <f>'09월 화학성분'!C22</f>
        <v>85224</v>
      </c>
      <c r="F24" s="1104" t="s">
        <v>541</v>
      </c>
      <c r="G24" s="1172">
        <v>19.100000000000001</v>
      </c>
      <c r="H24" s="985">
        <v>22500</v>
      </c>
      <c r="I24" s="1173">
        <v>16.8</v>
      </c>
      <c r="J24" s="985">
        <v>20300</v>
      </c>
      <c r="K24" s="1173">
        <v>11.5</v>
      </c>
      <c r="L24" s="985">
        <v>14700</v>
      </c>
      <c r="M24" s="1174">
        <f t="shared" si="28"/>
        <v>47.400000000000006</v>
      </c>
      <c r="N24" s="984">
        <f t="shared" si="29"/>
        <v>57500</v>
      </c>
      <c r="O24" s="986">
        <f t="shared" si="30"/>
        <v>152.74949083503054</v>
      </c>
      <c r="P24" s="987">
        <f t="shared" si="31"/>
        <v>137.81398506449423</v>
      </c>
      <c r="Q24" s="987">
        <f t="shared" si="32"/>
        <v>99.796334012219958</v>
      </c>
      <c r="R24" s="988">
        <f t="shared" si="33"/>
        <v>390.35980991174472</v>
      </c>
      <c r="S24" s="989">
        <v>147.30000000000001</v>
      </c>
      <c r="T24" s="990">
        <v>0</v>
      </c>
      <c r="U24" s="991">
        <v>137</v>
      </c>
      <c r="V24" s="991">
        <v>207</v>
      </c>
      <c r="W24" s="992">
        <f t="shared" si="34"/>
        <v>344</v>
      </c>
      <c r="X24" s="993">
        <f t="shared" si="35"/>
        <v>2.3353699932111334</v>
      </c>
      <c r="Y24" s="990">
        <v>1676</v>
      </c>
      <c r="Z24" s="991">
        <v>1353</v>
      </c>
      <c r="AA24" s="991">
        <v>859</v>
      </c>
      <c r="AB24" s="992">
        <f t="shared" si="36"/>
        <v>3888</v>
      </c>
      <c r="AC24" s="993">
        <f t="shared" si="37"/>
        <v>26.395112016293275</v>
      </c>
      <c r="AD24" s="994">
        <f t="shared" si="38"/>
        <v>4232</v>
      </c>
      <c r="AE24" s="995">
        <f t="shared" si="39"/>
        <v>28.73048200950441</v>
      </c>
      <c r="AF24" s="996">
        <v>81</v>
      </c>
      <c r="AG24" s="997">
        <v>66</v>
      </c>
      <c r="AH24" s="997">
        <v>8</v>
      </c>
      <c r="AI24" s="998">
        <f t="shared" si="26"/>
        <v>155</v>
      </c>
      <c r="AJ24" s="993">
        <f t="shared" si="27"/>
        <v>1.052274270196877</v>
      </c>
    </row>
    <row r="25" spans="1:36" ht="16.5" customHeight="1">
      <c r="A25" s="999">
        <f>'09월 조업일지'!A23</f>
        <v>46266</v>
      </c>
      <c r="B25" s="1099">
        <f>'09월 조업일지'!B23</f>
        <v>46266</v>
      </c>
      <c r="C25" s="1000" t="str">
        <f>'09월 화학성분'!D23</f>
        <v>A</v>
      </c>
      <c r="D25" s="1000" t="str">
        <f>'09월 화학성분'!E23</f>
        <v>A</v>
      </c>
      <c r="E25" s="1000">
        <f>'09월 화학성분'!C23</f>
        <v>85225</v>
      </c>
      <c r="F25" s="1001" t="str">
        <f t="shared" si="25"/>
        <v>SS400-05</v>
      </c>
      <c r="G25" s="1172">
        <v>19.399999999999999</v>
      </c>
      <c r="H25" s="985">
        <v>24000</v>
      </c>
      <c r="I25" s="1173">
        <v>16.600000000000001</v>
      </c>
      <c r="J25" s="985">
        <v>20900</v>
      </c>
      <c r="K25" s="1173">
        <v>6.4</v>
      </c>
      <c r="L25" s="985">
        <v>8300</v>
      </c>
      <c r="M25" s="1174">
        <f t="shared" si="28"/>
        <v>42.4</v>
      </c>
      <c r="N25" s="984">
        <f t="shared" si="29"/>
        <v>53200</v>
      </c>
      <c r="O25" s="986">
        <f t="shared" si="30"/>
        <v>160.10673782521681</v>
      </c>
      <c r="P25" s="987">
        <f t="shared" si="31"/>
        <v>139.42628418945964</v>
      </c>
      <c r="Q25" s="987">
        <f t="shared" si="32"/>
        <v>55.370246831220811</v>
      </c>
      <c r="R25" s="988">
        <f t="shared" si="33"/>
        <v>354.90326884589729</v>
      </c>
      <c r="S25" s="989">
        <v>149.9</v>
      </c>
      <c r="T25" s="990">
        <v>0</v>
      </c>
      <c r="U25" s="991">
        <v>267</v>
      </c>
      <c r="V25" s="991">
        <v>113</v>
      </c>
      <c r="W25" s="992">
        <f t="shared" si="34"/>
        <v>380</v>
      </c>
      <c r="X25" s="993">
        <f t="shared" si="35"/>
        <v>2.5350233488992662</v>
      </c>
      <c r="Y25" s="990">
        <v>1608</v>
      </c>
      <c r="Z25" s="991">
        <v>1382</v>
      </c>
      <c r="AA25" s="991">
        <v>583</v>
      </c>
      <c r="AB25" s="992">
        <f t="shared" si="36"/>
        <v>3573</v>
      </c>
      <c r="AC25" s="993">
        <f t="shared" si="37"/>
        <v>23.83589059372915</v>
      </c>
      <c r="AD25" s="994">
        <f t="shared" si="38"/>
        <v>3953</v>
      </c>
      <c r="AE25" s="995">
        <f t="shared" si="39"/>
        <v>26.37091394262842</v>
      </c>
      <c r="AF25" s="996">
        <v>78</v>
      </c>
      <c r="AG25" s="997">
        <v>61</v>
      </c>
      <c r="AH25" s="997">
        <v>5</v>
      </c>
      <c r="AI25" s="998">
        <f t="shared" si="26"/>
        <v>144</v>
      </c>
      <c r="AJ25" s="993">
        <f t="shared" si="27"/>
        <v>0.96064042695130081</v>
      </c>
    </row>
    <row r="26" spans="1:36" ht="16.5" customHeight="1">
      <c r="A26" s="999">
        <f>'09월 조업일지'!A24</f>
        <v>46266</v>
      </c>
      <c r="B26" s="1099">
        <f>'09월 조업일지'!B24</f>
        <v>46266</v>
      </c>
      <c r="C26" s="1000" t="str">
        <f>'09월 화학성분'!D24</f>
        <v>A</v>
      </c>
      <c r="D26" s="1000" t="str">
        <f>'09월 화학성분'!E24</f>
        <v>B</v>
      </c>
      <c r="E26" s="1000">
        <f>'09월 화학성분'!C24</f>
        <v>85226</v>
      </c>
      <c r="F26" s="1001" t="str">
        <f t="shared" si="25"/>
        <v>SS400-05</v>
      </c>
      <c r="G26" s="1172">
        <v>18.600000000000001</v>
      </c>
      <c r="H26" s="985">
        <v>22400</v>
      </c>
      <c r="I26" s="1173">
        <v>16.399999999999999</v>
      </c>
      <c r="J26" s="985">
        <v>20500</v>
      </c>
      <c r="K26" s="1173">
        <v>8.9</v>
      </c>
      <c r="L26" s="985">
        <v>11200</v>
      </c>
      <c r="M26" s="1174">
        <f t="shared" si="28"/>
        <v>43.9</v>
      </c>
      <c r="N26" s="984">
        <f t="shared" si="29"/>
        <v>54100</v>
      </c>
      <c r="O26" s="986">
        <f t="shared" si="30"/>
        <v>154.05777166437414</v>
      </c>
      <c r="P26" s="987">
        <f t="shared" si="31"/>
        <v>140.99037138927096</v>
      </c>
      <c r="Q26" s="987">
        <f t="shared" si="32"/>
        <v>77.028885832187072</v>
      </c>
      <c r="R26" s="988">
        <f t="shared" si="33"/>
        <v>372.07702888583219</v>
      </c>
      <c r="S26" s="989">
        <v>145.4</v>
      </c>
      <c r="T26" s="990">
        <v>0</v>
      </c>
      <c r="U26" s="991">
        <v>163</v>
      </c>
      <c r="V26" s="991">
        <v>120</v>
      </c>
      <c r="W26" s="992">
        <f t="shared" si="34"/>
        <v>283</v>
      </c>
      <c r="X26" s="993">
        <f t="shared" si="35"/>
        <v>1.9463548830811555</v>
      </c>
      <c r="Y26" s="990">
        <v>1515</v>
      </c>
      <c r="Z26" s="991">
        <v>1377</v>
      </c>
      <c r="AA26" s="991">
        <v>823</v>
      </c>
      <c r="AB26" s="992">
        <f t="shared" si="36"/>
        <v>3715</v>
      </c>
      <c r="AC26" s="993">
        <f t="shared" si="37"/>
        <v>25.550206327372763</v>
      </c>
      <c r="AD26" s="994">
        <f t="shared" si="38"/>
        <v>3998</v>
      </c>
      <c r="AE26" s="995">
        <f t="shared" si="39"/>
        <v>27.496561210453919</v>
      </c>
      <c r="AF26" s="996">
        <v>80</v>
      </c>
      <c r="AG26" s="997">
        <v>63</v>
      </c>
      <c r="AH26" s="997">
        <v>8</v>
      </c>
      <c r="AI26" s="998">
        <f t="shared" si="26"/>
        <v>151</v>
      </c>
      <c r="AJ26" s="993">
        <f t="shared" si="27"/>
        <v>1.0385144429160935</v>
      </c>
    </row>
    <row r="27" spans="1:36" ht="16.5" customHeight="1">
      <c r="A27" s="999">
        <f>'09월 조업일지'!A25</f>
        <v>46266</v>
      </c>
      <c r="B27" s="1099">
        <f>'09월 조업일지'!B25</f>
        <v>46266</v>
      </c>
      <c r="C27" s="1000" t="str">
        <f>'09월 화학성분'!D25</f>
        <v>A</v>
      </c>
      <c r="D27" s="1000" t="str">
        <f>'09월 화학성분'!E25</f>
        <v>A</v>
      </c>
      <c r="E27" s="1000">
        <f>'09월 화학성분'!C25</f>
        <v>85227</v>
      </c>
      <c r="F27" s="1001" t="str">
        <f t="shared" si="25"/>
        <v>SS400-05</v>
      </c>
      <c r="G27" s="1172">
        <v>18.5</v>
      </c>
      <c r="H27" s="985">
        <v>22800</v>
      </c>
      <c r="I27" s="1173">
        <v>16.7</v>
      </c>
      <c r="J27" s="985">
        <v>20600</v>
      </c>
      <c r="K27" s="1173">
        <v>6.5</v>
      </c>
      <c r="L27" s="985">
        <v>8400</v>
      </c>
      <c r="M27" s="1174">
        <f t="shared" si="28"/>
        <v>41.7</v>
      </c>
      <c r="N27" s="984">
        <f t="shared" si="29"/>
        <v>51800</v>
      </c>
      <c r="O27" s="986">
        <f t="shared" si="30"/>
        <v>158.66388308977037</v>
      </c>
      <c r="P27" s="987">
        <f t="shared" si="31"/>
        <v>143.35421016005569</v>
      </c>
      <c r="Q27" s="987">
        <f t="shared" si="32"/>
        <v>58.455114822546975</v>
      </c>
      <c r="R27" s="988">
        <f t="shared" si="33"/>
        <v>360.47320807237304</v>
      </c>
      <c r="S27" s="989">
        <v>143.69999999999999</v>
      </c>
      <c r="T27" s="990">
        <v>0</v>
      </c>
      <c r="U27" s="991">
        <v>193</v>
      </c>
      <c r="V27" s="991">
        <v>169</v>
      </c>
      <c r="W27" s="992">
        <f t="shared" si="34"/>
        <v>362</v>
      </c>
      <c r="X27" s="993">
        <f t="shared" si="35"/>
        <v>2.5191370911621433</v>
      </c>
      <c r="Y27" s="990">
        <v>1522</v>
      </c>
      <c r="Z27" s="991">
        <v>1382</v>
      </c>
      <c r="AA27" s="991">
        <v>663</v>
      </c>
      <c r="AB27" s="992">
        <f t="shared" si="36"/>
        <v>3567</v>
      </c>
      <c r="AC27" s="993">
        <f t="shared" si="37"/>
        <v>24.822546972860128</v>
      </c>
      <c r="AD27" s="994">
        <f t="shared" si="38"/>
        <v>3929</v>
      </c>
      <c r="AE27" s="995">
        <f t="shared" si="39"/>
        <v>27.341684064022271</v>
      </c>
      <c r="AF27" s="996">
        <v>79</v>
      </c>
      <c r="AG27" s="997">
        <v>60</v>
      </c>
      <c r="AH27" s="997">
        <v>7</v>
      </c>
      <c r="AI27" s="998">
        <f t="shared" si="26"/>
        <v>146</v>
      </c>
      <c r="AJ27" s="993">
        <f t="shared" si="27"/>
        <v>1.0160055671537926</v>
      </c>
    </row>
    <row r="28" spans="1:36" ht="16.5" customHeight="1">
      <c r="A28" s="999">
        <f>'09월 조업일지'!A26</f>
        <v>46266</v>
      </c>
      <c r="B28" s="1099">
        <f>'09월 조업일지'!B26</f>
        <v>46266</v>
      </c>
      <c r="C28" s="1000" t="str">
        <f>'09월 화학성분'!D26</f>
        <v>C</v>
      </c>
      <c r="D28" s="1000" t="str">
        <f>'09월 화학성분'!E26</f>
        <v>B</v>
      </c>
      <c r="E28" s="1000">
        <f>'09월 화학성분'!C26</f>
        <v>85228</v>
      </c>
      <c r="F28" s="1001" t="str">
        <f t="shared" si="25"/>
        <v>SS400-05</v>
      </c>
      <c r="G28" s="1172">
        <v>19.100000000000001</v>
      </c>
      <c r="H28" s="985">
        <v>22500</v>
      </c>
      <c r="I28" s="1173">
        <v>16.7</v>
      </c>
      <c r="J28" s="985">
        <v>20400</v>
      </c>
      <c r="K28" s="1173">
        <v>15.5</v>
      </c>
      <c r="L28" s="985">
        <v>19700</v>
      </c>
      <c r="M28" s="1174">
        <f t="shared" si="28"/>
        <v>51.3</v>
      </c>
      <c r="N28" s="984">
        <f t="shared" si="29"/>
        <v>62600</v>
      </c>
      <c r="O28" s="986">
        <f t="shared" si="30"/>
        <v>156.57620041753654</v>
      </c>
      <c r="P28" s="987">
        <f t="shared" si="31"/>
        <v>141.96242171189979</v>
      </c>
      <c r="Q28" s="987">
        <f t="shared" si="32"/>
        <v>137.09116214335421</v>
      </c>
      <c r="R28" s="988">
        <f t="shared" si="33"/>
        <v>435.62978427279057</v>
      </c>
      <c r="S28" s="989">
        <v>143.69999999999999</v>
      </c>
      <c r="T28" s="990">
        <v>0</v>
      </c>
      <c r="U28" s="991">
        <v>15</v>
      </c>
      <c r="V28" s="991">
        <v>337</v>
      </c>
      <c r="W28" s="992">
        <f t="shared" si="34"/>
        <v>352</v>
      </c>
      <c r="X28" s="993">
        <f t="shared" si="35"/>
        <v>2.4495476687543496</v>
      </c>
      <c r="Y28" s="990">
        <v>1562</v>
      </c>
      <c r="Z28" s="991">
        <v>1376</v>
      </c>
      <c r="AA28" s="991">
        <v>1568</v>
      </c>
      <c r="AB28" s="992">
        <f t="shared" si="36"/>
        <v>4506</v>
      </c>
      <c r="AC28" s="993">
        <f t="shared" si="37"/>
        <v>31.356993736951985</v>
      </c>
      <c r="AD28" s="994">
        <f t="shared" si="38"/>
        <v>4858</v>
      </c>
      <c r="AE28" s="995">
        <f t="shared" si="39"/>
        <v>33.806541405706334</v>
      </c>
      <c r="AF28" s="996">
        <v>83</v>
      </c>
      <c r="AG28" s="997">
        <v>60</v>
      </c>
      <c r="AH28" s="997">
        <v>38</v>
      </c>
      <c r="AI28" s="998">
        <f t="shared" si="26"/>
        <v>181</v>
      </c>
      <c r="AJ28" s="993">
        <f t="shared" si="27"/>
        <v>1.2595685455810717</v>
      </c>
    </row>
    <row r="29" spans="1:36" ht="16.5" customHeight="1">
      <c r="A29" s="999">
        <f>'09월 조업일지'!A27</f>
        <v>46266</v>
      </c>
      <c r="B29" s="1099">
        <f>'09월 조업일지'!B27</f>
        <v>46266</v>
      </c>
      <c r="C29" s="1000" t="str">
        <f>'09월 화학성분'!D27</f>
        <v>C</v>
      </c>
      <c r="D29" s="1000" t="str">
        <f>'09월 화학성분'!E27</f>
        <v>A</v>
      </c>
      <c r="E29" s="1000">
        <f>'09월 화학성분'!C27</f>
        <v>85229</v>
      </c>
      <c r="F29" s="1001" t="str">
        <f t="shared" si="25"/>
        <v>SS400-05</v>
      </c>
      <c r="G29" s="1172">
        <v>19.899999999999999</v>
      </c>
      <c r="H29" s="985">
        <v>23700</v>
      </c>
      <c r="I29" s="1173">
        <v>17.600000000000001</v>
      </c>
      <c r="J29" s="985">
        <v>20700</v>
      </c>
      <c r="K29" s="1173">
        <v>9.8000000000000007</v>
      </c>
      <c r="L29" s="985">
        <v>12200</v>
      </c>
      <c r="M29" s="1174">
        <f t="shared" si="28"/>
        <v>47.3</v>
      </c>
      <c r="N29" s="984">
        <f t="shared" si="29"/>
        <v>56600</v>
      </c>
      <c r="O29" s="986">
        <f t="shared" si="30"/>
        <v>164.6977067407922</v>
      </c>
      <c r="P29" s="987">
        <f t="shared" si="31"/>
        <v>143.84989576094509</v>
      </c>
      <c r="Q29" s="987">
        <f t="shared" si="32"/>
        <v>84.781097984711607</v>
      </c>
      <c r="R29" s="988">
        <f t="shared" si="33"/>
        <v>393.32870048644889</v>
      </c>
      <c r="S29" s="989">
        <v>143.9</v>
      </c>
      <c r="T29" s="990">
        <v>0</v>
      </c>
      <c r="U29" s="991">
        <v>181</v>
      </c>
      <c r="V29" s="991">
        <v>203</v>
      </c>
      <c r="W29" s="992">
        <f t="shared" si="34"/>
        <v>384</v>
      </c>
      <c r="X29" s="993">
        <f t="shared" si="35"/>
        <v>2.6685198054204307</v>
      </c>
      <c r="Y29" s="990">
        <v>1662</v>
      </c>
      <c r="Z29" s="991">
        <v>1355</v>
      </c>
      <c r="AA29" s="991">
        <v>795</v>
      </c>
      <c r="AB29" s="992">
        <f t="shared" si="36"/>
        <v>3812</v>
      </c>
      <c r="AC29" s="993">
        <f t="shared" si="37"/>
        <v>26.490618485059066</v>
      </c>
      <c r="AD29" s="994">
        <f t="shared" si="38"/>
        <v>4196</v>
      </c>
      <c r="AE29" s="995">
        <f t="shared" si="39"/>
        <v>29.159138290479497</v>
      </c>
      <c r="AF29" s="996">
        <v>82</v>
      </c>
      <c r="AG29" s="997">
        <v>61</v>
      </c>
      <c r="AH29" s="997">
        <v>7</v>
      </c>
      <c r="AI29" s="998">
        <f t="shared" si="26"/>
        <v>150</v>
      </c>
      <c r="AJ29" s="993">
        <f t="shared" si="27"/>
        <v>1.0423905489923557</v>
      </c>
    </row>
    <row r="30" spans="1:36" ht="16.5" customHeight="1">
      <c r="A30" s="999">
        <f>'09월 조업일지'!A28</f>
        <v>46266</v>
      </c>
      <c r="B30" s="1099">
        <f>'09월 조업일지'!B28</f>
        <v>46266</v>
      </c>
      <c r="C30" s="1000" t="str">
        <f>'09월 화학성분'!D28</f>
        <v>C</v>
      </c>
      <c r="D30" s="1000" t="str">
        <f>'09월 화학성분'!E28</f>
        <v>B</v>
      </c>
      <c r="E30" s="1000">
        <f>'09월 화학성분'!C28</f>
        <v>85230</v>
      </c>
      <c r="F30" s="1001" t="str">
        <f t="shared" si="25"/>
        <v>SS400-05</v>
      </c>
      <c r="G30" s="1172">
        <v>20.8</v>
      </c>
      <c r="H30" s="985">
        <v>24000</v>
      </c>
      <c r="I30" s="1173">
        <v>16.600000000000001</v>
      </c>
      <c r="J30" s="985">
        <v>20400</v>
      </c>
      <c r="K30" s="1173">
        <v>11.3</v>
      </c>
      <c r="L30" s="985">
        <v>14200</v>
      </c>
      <c r="M30" s="1174">
        <f t="shared" si="28"/>
        <v>48.7</v>
      </c>
      <c r="N30" s="984">
        <f t="shared" si="29"/>
        <v>58600</v>
      </c>
      <c r="O30" s="986">
        <f t="shared" si="30"/>
        <v>168.18500350385426</v>
      </c>
      <c r="P30" s="987">
        <f t="shared" si="31"/>
        <v>142.9572529782761</v>
      </c>
      <c r="Q30" s="987">
        <f t="shared" si="32"/>
        <v>99.509460406447104</v>
      </c>
      <c r="R30" s="988">
        <f t="shared" si="33"/>
        <v>410.65171688857748</v>
      </c>
      <c r="S30" s="989">
        <v>142.69999999999999</v>
      </c>
      <c r="T30" s="990">
        <v>0</v>
      </c>
      <c r="U30" s="991">
        <v>28</v>
      </c>
      <c r="V30" s="991">
        <v>290</v>
      </c>
      <c r="W30" s="992">
        <f t="shared" si="34"/>
        <v>318</v>
      </c>
      <c r="X30" s="993">
        <f t="shared" si="35"/>
        <v>2.2284512964260688</v>
      </c>
      <c r="Y30" s="990">
        <v>1744</v>
      </c>
      <c r="Z30" s="991">
        <v>1397</v>
      </c>
      <c r="AA30" s="991">
        <v>1260</v>
      </c>
      <c r="AB30" s="992">
        <f t="shared" si="36"/>
        <v>4401</v>
      </c>
      <c r="AC30" s="993">
        <f t="shared" si="37"/>
        <v>30.840925017519275</v>
      </c>
      <c r="AD30" s="994">
        <f t="shared" si="38"/>
        <v>4719</v>
      </c>
      <c r="AE30" s="995">
        <f t="shared" si="39"/>
        <v>33.069376313945341</v>
      </c>
      <c r="AF30" s="996">
        <v>86</v>
      </c>
      <c r="AG30" s="997">
        <v>62</v>
      </c>
      <c r="AH30" s="997">
        <v>37</v>
      </c>
      <c r="AI30" s="998">
        <f t="shared" si="26"/>
        <v>185</v>
      </c>
      <c r="AJ30" s="993">
        <f t="shared" si="27"/>
        <v>1.2964260686755431</v>
      </c>
    </row>
    <row r="31" spans="1:36" ht="16.5" customHeight="1">
      <c r="A31" s="999">
        <f>'09월 조업일지'!A29</f>
        <v>46266</v>
      </c>
      <c r="B31" s="1099">
        <f>'09월 조업일지'!B29</f>
        <v>46266</v>
      </c>
      <c r="C31" s="1000" t="str">
        <f>'09월 화학성분'!D29</f>
        <v>C</v>
      </c>
      <c r="D31" s="1000" t="str">
        <f>'09월 화학성분'!E29</f>
        <v>A</v>
      </c>
      <c r="E31" s="1000">
        <f>'09월 화학성분'!C29</f>
        <v>85231</v>
      </c>
      <c r="F31" s="1001" t="str">
        <f t="shared" si="25"/>
        <v>SS400-05</v>
      </c>
      <c r="G31" s="1172">
        <v>19.899999999999999</v>
      </c>
      <c r="H31" s="985">
        <v>23800</v>
      </c>
      <c r="I31" s="1173">
        <v>17.3</v>
      </c>
      <c r="J31" s="985">
        <v>21100</v>
      </c>
      <c r="K31" s="1173">
        <v>9.6999999999999993</v>
      </c>
      <c r="L31" s="985">
        <v>12200</v>
      </c>
      <c r="M31" s="1174">
        <f t="shared" si="28"/>
        <v>46.900000000000006</v>
      </c>
      <c r="N31" s="984">
        <f t="shared" si="29"/>
        <v>57100</v>
      </c>
      <c r="O31" s="986">
        <f t="shared" si="30"/>
        <v>167.25228390723822</v>
      </c>
      <c r="P31" s="987">
        <f t="shared" si="31"/>
        <v>148.27828531271959</v>
      </c>
      <c r="Q31" s="987">
        <f t="shared" si="32"/>
        <v>85.734364019676732</v>
      </c>
      <c r="R31" s="988">
        <f t="shared" si="33"/>
        <v>401.2649332396345</v>
      </c>
      <c r="S31" s="989">
        <v>142.30000000000001</v>
      </c>
      <c r="T31" s="990">
        <v>0</v>
      </c>
      <c r="U31" s="991">
        <v>176</v>
      </c>
      <c r="V31" s="991">
        <v>188</v>
      </c>
      <c r="W31" s="992">
        <f t="shared" si="34"/>
        <v>364</v>
      </c>
      <c r="X31" s="993">
        <f t="shared" si="35"/>
        <v>2.5579761068165845</v>
      </c>
      <c r="Y31" s="990">
        <v>1635</v>
      </c>
      <c r="Z31" s="991">
        <v>1509</v>
      </c>
      <c r="AA31" s="991">
        <v>898</v>
      </c>
      <c r="AB31" s="992">
        <f t="shared" si="36"/>
        <v>4042</v>
      </c>
      <c r="AC31" s="993">
        <f t="shared" si="37"/>
        <v>28.404778636683062</v>
      </c>
      <c r="AD31" s="994">
        <f t="shared" si="38"/>
        <v>4406</v>
      </c>
      <c r="AE31" s="995">
        <f t="shared" si="39"/>
        <v>30.962754743499644</v>
      </c>
      <c r="AF31" s="996">
        <v>79</v>
      </c>
      <c r="AG31" s="997">
        <v>74</v>
      </c>
      <c r="AH31" s="997">
        <v>15</v>
      </c>
      <c r="AI31" s="998">
        <f t="shared" si="26"/>
        <v>168</v>
      </c>
      <c r="AJ31" s="993">
        <f t="shared" si="27"/>
        <v>1.1806043569922697</v>
      </c>
    </row>
    <row r="32" spans="1:36" ht="16.5" customHeight="1">
      <c r="A32" s="999">
        <f>'09월 조업일지'!A30</f>
        <v>46266</v>
      </c>
      <c r="B32" s="1099">
        <f>'09월 조업일지'!B30</f>
        <v>46266</v>
      </c>
      <c r="C32" s="1000" t="str">
        <f>'09월 화학성분'!D30</f>
        <v>C</v>
      </c>
      <c r="D32" s="1000" t="str">
        <f>'09월 화학성분'!E30</f>
        <v>B</v>
      </c>
      <c r="E32" s="1000">
        <f>'09월 화학성분'!C30</f>
        <v>85232</v>
      </c>
      <c r="F32" s="1001" t="str">
        <f t="shared" si="25"/>
        <v>SS400-05</v>
      </c>
      <c r="G32" s="1172">
        <v>18.8</v>
      </c>
      <c r="H32" s="985">
        <v>22400</v>
      </c>
      <c r="I32" s="1173">
        <v>17.399999999999999</v>
      </c>
      <c r="J32" s="985">
        <v>20400</v>
      </c>
      <c r="K32" s="1173">
        <v>10.6</v>
      </c>
      <c r="L32" s="985">
        <v>13700</v>
      </c>
      <c r="M32" s="1174">
        <f t="shared" si="28"/>
        <v>46.800000000000004</v>
      </c>
      <c r="N32" s="984">
        <f t="shared" si="29"/>
        <v>56500</v>
      </c>
      <c r="O32" s="986">
        <f t="shared" si="30"/>
        <v>155.44760582928524</v>
      </c>
      <c r="P32" s="987">
        <f t="shared" si="31"/>
        <v>141.56835530881332</v>
      </c>
      <c r="Q32" s="987">
        <f t="shared" si="32"/>
        <v>95.072866065232475</v>
      </c>
      <c r="R32" s="988">
        <f t="shared" si="33"/>
        <v>392.08882720333099</v>
      </c>
      <c r="S32" s="989">
        <v>144.1</v>
      </c>
      <c r="T32" s="990">
        <v>0</v>
      </c>
      <c r="U32" s="991">
        <v>63</v>
      </c>
      <c r="V32" s="991">
        <v>268</v>
      </c>
      <c r="W32" s="992">
        <f t="shared" si="34"/>
        <v>331</v>
      </c>
      <c r="X32" s="993">
        <f t="shared" si="35"/>
        <v>2.2970159611380985</v>
      </c>
      <c r="Y32" s="990">
        <v>1553</v>
      </c>
      <c r="Z32" s="991">
        <v>1437</v>
      </c>
      <c r="AA32" s="991">
        <v>1040</v>
      </c>
      <c r="AB32" s="992">
        <f t="shared" si="36"/>
        <v>4030</v>
      </c>
      <c r="AC32" s="993">
        <f t="shared" si="37"/>
        <v>27.966689798750867</v>
      </c>
      <c r="AD32" s="994">
        <f t="shared" si="38"/>
        <v>4361</v>
      </c>
      <c r="AE32" s="995">
        <f t="shared" si="39"/>
        <v>30.263705759888968</v>
      </c>
      <c r="AF32" s="996">
        <v>80</v>
      </c>
      <c r="AG32" s="997">
        <v>65</v>
      </c>
      <c r="AH32" s="997">
        <v>32</v>
      </c>
      <c r="AI32" s="998">
        <f t="shared" si="26"/>
        <v>177</v>
      </c>
      <c r="AJ32" s="993">
        <f t="shared" si="27"/>
        <v>1.2283136710617628</v>
      </c>
    </row>
    <row r="33" spans="1:36" ht="16.5" customHeight="1">
      <c r="A33" s="999">
        <f>'09월 조업일지'!A31</f>
        <v>46266</v>
      </c>
      <c r="B33" s="1099">
        <f>'09월 조업일지'!B31</f>
        <v>46266</v>
      </c>
      <c r="C33" s="1000" t="str">
        <f>'09월 화학성분'!D31</f>
        <v>C</v>
      </c>
      <c r="D33" s="1000" t="str">
        <f>'09월 화학성분'!E31</f>
        <v>A</v>
      </c>
      <c r="E33" s="1000">
        <f>'09월 화학성분'!C31</f>
        <v>85233</v>
      </c>
      <c r="F33" s="1001" t="str">
        <f t="shared" si="25"/>
        <v>SS400-05</v>
      </c>
      <c r="G33" s="1172">
        <v>20.399999999999999</v>
      </c>
      <c r="H33" s="985">
        <v>24200</v>
      </c>
      <c r="I33" s="1173">
        <v>17.7</v>
      </c>
      <c r="J33" s="985">
        <v>20900</v>
      </c>
      <c r="K33" s="1173">
        <v>8</v>
      </c>
      <c r="L33" s="985">
        <v>10000</v>
      </c>
      <c r="M33" s="1174">
        <f t="shared" si="28"/>
        <v>46.099999999999994</v>
      </c>
      <c r="N33" s="984">
        <f t="shared" si="29"/>
        <v>55100</v>
      </c>
      <c r="O33" s="986">
        <f t="shared" si="30"/>
        <v>168.28929068150208</v>
      </c>
      <c r="P33" s="987">
        <f t="shared" si="31"/>
        <v>145.34075104311543</v>
      </c>
      <c r="Q33" s="987">
        <f t="shared" si="32"/>
        <v>69.541029207232256</v>
      </c>
      <c r="R33" s="988">
        <f t="shared" si="33"/>
        <v>383.17107093184978</v>
      </c>
      <c r="S33" s="989">
        <v>143.80000000000001</v>
      </c>
      <c r="T33" s="990">
        <v>0</v>
      </c>
      <c r="U33" s="991">
        <v>212</v>
      </c>
      <c r="V33" s="991">
        <v>149</v>
      </c>
      <c r="W33" s="992">
        <f t="shared" si="34"/>
        <v>361</v>
      </c>
      <c r="X33" s="993">
        <f t="shared" si="35"/>
        <v>2.5104311543810844</v>
      </c>
      <c r="Y33" s="990">
        <v>1700</v>
      </c>
      <c r="Z33" s="991">
        <v>1514</v>
      </c>
      <c r="AA33" s="991">
        <v>657</v>
      </c>
      <c r="AB33" s="992">
        <f t="shared" si="36"/>
        <v>3871</v>
      </c>
      <c r="AC33" s="993">
        <f t="shared" si="37"/>
        <v>26.919332406119608</v>
      </c>
      <c r="AD33" s="994">
        <f t="shared" si="38"/>
        <v>4232</v>
      </c>
      <c r="AE33" s="995">
        <f t="shared" si="39"/>
        <v>29.429763560500692</v>
      </c>
      <c r="AF33" s="996">
        <v>82</v>
      </c>
      <c r="AG33" s="997">
        <v>74</v>
      </c>
      <c r="AH33" s="997">
        <v>7</v>
      </c>
      <c r="AI33" s="998">
        <f t="shared" si="26"/>
        <v>163</v>
      </c>
      <c r="AJ33" s="993">
        <f t="shared" si="27"/>
        <v>1.1335187760778858</v>
      </c>
    </row>
    <row r="34" spans="1:36" ht="16.5" customHeight="1">
      <c r="A34" s="999">
        <f>'09월 조업일지'!A32</f>
        <v>46266</v>
      </c>
      <c r="B34" s="1099">
        <f>'09월 조업일지'!B32</f>
        <v>46266</v>
      </c>
      <c r="C34" s="1000" t="str">
        <f>'09월 화학성분'!D32</f>
        <v>C</v>
      </c>
      <c r="D34" s="1000" t="str">
        <f>'09월 화학성분'!E32</f>
        <v>B</v>
      </c>
      <c r="E34" s="1000">
        <f>'09월 화학성분'!C32</f>
        <v>85234</v>
      </c>
      <c r="F34" s="1001" t="str">
        <f t="shared" si="25"/>
        <v>SS400-05</v>
      </c>
      <c r="G34" s="1172">
        <v>19.8</v>
      </c>
      <c r="H34" s="985">
        <v>23800</v>
      </c>
      <c r="I34" s="1173">
        <v>16.8</v>
      </c>
      <c r="J34" s="985">
        <v>20500</v>
      </c>
      <c r="K34" s="1173">
        <v>8.1</v>
      </c>
      <c r="L34" s="985">
        <v>10300</v>
      </c>
      <c r="M34" s="1174">
        <f t="shared" si="28"/>
        <v>44.7</v>
      </c>
      <c r="N34" s="984">
        <f t="shared" si="29"/>
        <v>54600</v>
      </c>
      <c r="O34" s="986">
        <f t="shared" si="30"/>
        <v>164.93416493416493</v>
      </c>
      <c r="P34" s="987">
        <f t="shared" si="31"/>
        <v>142.06514206514206</v>
      </c>
      <c r="Q34" s="987">
        <f t="shared" si="32"/>
        <v>71.379071379071377</v>
      </c>
      <c r="R34" s="988">
        <f t="shared" si="33"/>
        <v>378.37837837837839</v>
      </c>
      <c r="S34" s="989">
        <v>144.30000000000001</v>
      </c>
      <c r="T34" s="990">
        <v>0</v>
      </c>
      <c r="U34" s="991">
        <v>150</v>
      </c>
      <c r="V34" s="991">
        <v>173</v>
      </c>
      <c r="W34" s="992">
        <f t="shared" si="34"/>
        <v>323</v>
      </c>
      <c r="X34" s="993">
        <f t="shared" si="35"/>
        <v>2.2383922383922381</v>
      </c>
      <c r="Y34" s="990">
        <v>1681</v>
      </c>
      <c r="Z34" s="991">
        <v>1409</v>
      </c>
      <c r="AA34" s="991">
        <v>863</v>
      </c>
      <c r="AB34" s="992">
        <f t="shared" si="36"/>
        <v>3953</v>
      </c>
      <c r="AC34" s="993">
        <f t="shared" si="37"/>
        <v>27.394317394317394</v>
      </c>
      <c r="AD34" s="994">
        <f t="shared" si="38"/>
        <v>4276</v>
      </c>
      <c r="AE34" s="995">
        <f t="shared" si="39"/>
        <v>29.632709632709631</v>
      </c>
      <c r="AF34" s="996">
        <v>81</v>
      </c>
      <c r="AG34" s="997">
        <v>65</v>
      </c>
      <c r="AH34" s="997">
        <v>26</v>
      </c>
      <c r="AI34" s="998">
        <f t="shared" si="26"/>
        <v>172</v>
      </c>
      <c r="AJ34" s="993">
        <f t="shared" si="27"/>
        <v>1.1919611919611919</v>
      </c>
    </row>
    <row r="35" spans="1:36" ht="16.5" customHeight="1">
      <c r="A35" s="999">
        <f>'09월 조업일지'!A33</f>
        <v>46266</v>
      </c>
      <c r="B35" s="1099">
        <f>'09월 조업일지'!B33</f>
        <v>46266</v>
      </c>
      <c r="C35" s="1000" t="str">
        <f>'09월 화학성분'!D33</f>
        <v>C</v>
      </c>
      <c r="D35" s="1000" t="str">
        <f>'09월 화학성분'!E33</f>
        <v>A</v>
      </c>
      <c r="E35" s="1000">
        <f>'09월 화학성분'!C33</f>
        <v>85235</v>
      </c>
      <c r="F35" s="1001" t="str">
        <f t="shared" si="25"/>
        <v>SS400-05</v>
      </c>
      <c r="G35" s="1172">
        <v>19.899999999999999</v>
      </c>
      <c r="H35" s="985">
        <v>23900</v>
      </c>
      <c r="I35" s="1173">
        <v>17.7</v>
      </c>
      <c r="J35" s="985">
        <v>20900</v>
      </c>
      <c r="K35" s="1173">
        <v>5.6</v>
      </c>
      <c r="L35" s="985">
        <v>7200</v>
      </c>
      <c r="M35" s="1174">
        <f t="shared" si="28"/>
        <v>43.199999999999996</v>
      </c>
      <c r="N35" s="984">
        <f t="shared" si="29"/>
        <v>52000</v>
      </c>
      <c r="O35" s="986">
        <f t="shared" si="30"/>
        <v>180.10550113036928</v>
      </c>
      <c r="P35" s="987">
        <f t="shared" si="31"/>
        <v>157.49811605124341</v>
      </c>
      <c r="Q35" s="987">
        <f t="shared" si="32"/>
        <v>54.257724189902042</v>
      </c>
      <c r="R35" s="988">
        <f t="shared" si="33"/>
        <v>391.8613413715147</v>
      </c>
      <c r="S35" s="989">
        <v>132.69999999999999</v>
      </c>
      <c r="T35" s="990">
        <v>0</v>
      </c>
      <c r="U35" s="991">
        <v>320</v>
      </c>
      <c r="V35" s="991">
        <v>24</v>
      </c>
      <c r="W35" s="992">
        <f t="shared" si="34"/>
        <v>344</v>
      </c>
      <c r="X35" s="993">
        <f t="shared" si="35"/>
        <v>2.5923134890730974</v>
      </c>
      <c r="Y35" s="990">
        <v>1650</v>
      </c>
      <c r="Z35" s="991">
        <v>1494</v>
      </c>
      <c r="AA35" s="991">
        <v>685</v>
      </c>
      <c r="AB35" s="992">
        <f t="shared" si="36"/>
        <v>3829</v>
      </c>
      <c r="AC35" s="993">
        <f t="shared" si="37"/>
        <v>28.854559155990959</v>
      </c>
      <c r="AD35" s="994">
        <f t="shared" si="38"/>
        <v>4173</v>
      </c>
      <c r="AE35" s="995">
        <f t="shared" si="39"/>
        <v>31.446872645064058</v>
      </c>
      <c r="AF35" s="996">
        <v>79</v>
      </c>
      <c r="AG35" s="997">
        <v>74</v>
      </c>
      <c r="AH35" s="997">
        <v>5</v>
      </c>
      <c r="AI35" s="998">
        <f t="shared" si="26"/>
        <v>158</v>
      </c>
      <c r="AJ35" s="993">
        <f t="shared" si="27"/>
        <v>1.1906556141672948</v>
      </c>
    </row>
    <row r="36" spans="1:36" ht="16.5" customHeight="1">
      <c r="A36" s="999">
        <f>'09월 조업일지'!A34</f>
        <v>46266</v>
      </c>
      <c r="B36" s="1099">
        <f>'09월 조업일지'!B34</f>
        <v>46266</v>
      </c>
      <c r="C36" s="1000" t="str">
        <f>'09월 화학성분'!D34</f>
        <v>C</v>
      </c>
      <c r="D36" s="1000" t="str">
        <f>'09월 화학성분'!E34</f>
        <v>B</v>
      </c>
      <c r="E36" s="1000">
        <f>'09월 화학성분'!C34</f>
        <v>85236</v>
      </c>
      <c r="F36" s="1001" t="str">
        <f t="shared" si="25"/>
        <v>SS400-05</v>
      </c>
      <c r="G36" s="1172">
        <v>19</v>
      </c>
      <c r="H36" s="985">
        <v>22500</v>
      </c>
      <c r="I36" s="1173">
        <v>16.8</v>
      </c>
      <c r="J36" s="985">
        <v>20400</v>
      </c>
      <c r="K36" s="1173">
        <v>11.4</v>
      </c>
      <c r="L36" s="985">
        <v>13900</v>
      </c>
      <c r="M36" s="1174">
        <f t="shared" si="28"/>
        <v>47.199999999999996</v>
      </c>
      <c r="N36" s="984">
        <f t="shared" si="29"/>
        <v>56800</v>
      </c>
      <c r="O36" s="986">
        <f t="shared" si="30"/>
        <v>155.81717451523545</v>
      </c>
      <c r="P36" s="987">
        <f t="shared" si="31"/>
        <v>141.27423822714681</v>
      </c>
      <c r="Q36" s="987">
        <f t="shared" si="32"/>
        <v>96.260387811634345</v>
      </c>
      <c r="R36" s="988">
        <f t="shared" si="33"/>
        <v>393.35180055401662</v>
      </c>
      <c r="S36" s="989">
        <v>144.4</v>
      </c>
      <c r="T36" s="990">
        <v>0</v>
      </c>
      <c r="U36" s="991">
        <v>0</v>
      </c>
      <c r="V36" s="991">
        <v>318</v>
      </c>
      <c r="W36" s="992">
        <f t="shared" si="34"/>
        <v>318</v>
      </c>
      <c r="X36" s="993">
        <f t="shared" si="35"/>
        <v>2.2022160664819945</v>
      </c>
      <c r="Y36" s="990">
        <v>1583</v>
      </c>
      <c r="Z36" s="991">
        <v>1387</v>
      </c>
      <c r="AA36" s="991">
        <v>1090</v>
      </c>
      <c r="AB36" s="992">
        <f t="shared" si="36"/>
        <v>4060</v>
      </c>
      <c r="AC36" s="993">
        <f t="shared" si="37"/>
        <v>28.116343490304708</v>
      </c>
      <c r="AD36" s="994">
        <f t="shared" si="38"/>
        <v>4378</v>
      </c>
      <c r="AE36" s="995">
        <f t="shared" si="39"/>
        <v>30.318559556786703</v>
      </c>
      <c r="AF36" s="996">
        <v>78</v>
      </c>
      <c r="AG36" s="997">
        <v>65</v>
      </c>
      <c r="AH36" s="997">
        <v>33</v>
      </c>
      <c r="AI36" s="998">
        <f t="shared" si="26"/>
        <v>176</v>
      </c>
      <c r="AJ36" s="993">
        <f t="shared" si="27"/>
        <v>1.2188365650969528</v>
      </c>
    </row>
    <row r="37" spans="1:36" ht="16.5" customHeight="1">
      <c r="A37" s="999">
        <f>'09월 조업일지'!A35</f>
        <v>46266</v>
      </c>
      <c r="B37" s="1099">
        <f>'09월 조업일지'!B35</f>
        <v>46266</v>
      </c>
      <c r="C37" s="1000" t="str">
        <f>'09월 화학성분'!D35</f>
        <v>C</v>
      </c>
      <c r="D37" s="1000" t="str">
        <f>'09월 화학성분'!E35</f>
        <v>A</v>
      </c>
      <c r="E37" s="1000">
        <f>'09월 화학성분'!C35</f>
        <v>85237</v>
      </c>
      <c r="F37" s="1001" t="str">
        <f t="shared" si="25"/>
        <v>SS400-05</v>
      </c>
      <c r="G37" s="1172">
        <v>26.6</v>
      </c>
      <c r="H37" s="985">
        <v>23600</v>
      </c>
      <c r="I37" s="1173">
        <v>17.399999999999999</v>
      </c>
      <c r="J37" s="985">
        <v>20500</v>
      </c>
      <c r="K37" s="1173">
        <v>10.4</v>
      </c>
      <c r="L37" s="985">
        <v>14100</v>
      </c>
      <c r="M37" s="1174">
        <f t="shared" si="28"/>
        <v>54.4</v>
      </c>
      <c r="N37" s="984">
        <f t="shared" si="29"/>
        <v>58200</v>
      </c>
      <c r="O37" s="986">
        <f t="shared" si="30"/>
        <v>164.45993031358884</v>
      </c>
      <c r="P37" s="987">
        <f t="shared" si="31"/>
        <v>142.85714285714286</v>
      </c>
      <c r="Q37" s="987">
        <f t="shared" si="32"/>
        <v>98.257839721254356</v>
      </c>
      <c r="R37" s="988">
        <f t="shared" si="33"/>
        <v>405.57491289198606</v>
      </c>
      <c r="S37" s="989">
        <v>143.5</v>
      </c>
      <c r="T37" s="990">
        <v>0</v>
      </c>
      <c r="U37" s="991">
        <v>232</v>
      </c>
      <c r="V37" s="991">
        <v>142</v>
      </c>
      <c r="W37" s="992">
        <f t="shared" si="34"/>
        <v>374</v>
      </c>
      <c r="X37" s="993">
        <f t="shared" si="35"/>
        <v>2.6062717770034842</v>
      </c>
      <c r="Y37" s="990">
        <v>1907</v>
      </c>
      <c r="Z37" s="991">
        <v>1483</v>
      </c>
      <c r="AA37" s="991">
        <v>587</v>
      </c>
      <c r="AB37" s="992">
        <f t="shared" si="36"/>
        <v>3977</v>
      </c>
      <c r="AC37" s="993">
        <f t="shared" si="37"/>
        <v>27.714285714285715</v>
      </c>
      <c r="AD37" s="994">
        <f t="shared" si="38"/>
        <v>4351</v>
      </c>
      <c r="AE37" s="995">
        <f t="shared" si="39"/>
        <v>30.320557491289197</v>
      </c>
      <c r="AF37" s="996">
        <v>100</v>
      </c>
      <c r="AG37" s="997">
        <v>74</v>
      </c>
      <c r="AH37" s="997">
        <v>4</v>
      </c>
      <c r="AI37" s="998">
        <f t="shared" si="26"/>
        <v>178</v>
      </c>
      <c r="AJ37" s="993">
        <f t="shared" si="27"/>
        <v>1.240418118466899</v>
      </c>
    </row>
    <row r="38" spans="1:36" ht="16.5" customHeight="1">
      <c r="A38" s="999">
        <f>'09월 조업일지'!A36</f>
        <v>46266</v>
      </c>
      <c r="B38" s="1099">
        <f>'09월 조업일지'!B36</f>
        <v>46266</v>
      </c>
      <c r="C38" s="1000" t="str">
        <f>'09월 화학성분'!D36</f>
        <v>D</v>
      </c>
      <c r="D38" s="1000" t="str">
        <f>'09월 화학성분'!E36</f>
        <v>B</v>
      </c>
      <c r="E38" s="1000">
        <f>'09월 화학성분'!C36</f>
        <v>85238</v>
      </c>
      <c r="F38" s="1001" t="str">
        <f t="shared" si="25"/>
        <v>SS400-05</v>
      </c>
      <c r="G38" s="1172">
        <v>22</v>
      </c>
      <c r="H38" s="985">
        <v>22700</v>
      </c>
      <c r="I38" s="1173">
        <v>16.600000000000001</v>
      </c>
      <c r="J38" s="985">
        <v>20400</v>
      </c>
      <c r="K38" s="1173">
        <v>8.1999999999999993</v>
      </c>
      <c r="L38" s="985">
        <v>10400</v>
      </c>
      <c r="M38" s="1174">
        <f t="shared" si="28"/>
        <v>46.8</v>
      </c>
      <c r="N38" s="984">
        <f t="shared" si="29"/>
        <v>53500</v>
      </c>
      <c r="O38" s="986">
        <f t="shared" si="30"/>
        <v>157.3111573111573</v>
      </c>
      <c r="P38" s="987">
        <f t="shared" si="31"/>
        <v>141.37214137214136</v>
      </c>
      <c r="Q38" s="987">
        <f t="shared" si="32"/>
        <v>72.072072072072061</v>
      </c>
      <c r="R38" s="988">
        <f t="shared" si="33"/>
        <v>370.75537075537068</v>
      </c>
      <c r="S38" s="989">
        <v>144.30000000000001</v>
      </c>
      <c r="T38" s="990">
        <v>0</v>
      </c>
      <c r="U38" s="991">
        <v>3</v>
      </c>
      <c r="V38" s="991">
        <v>348</v>
      </c>
      <c r="W38" s="992">
        <f t="shared" si="34"/>
        <v>351</v>
      </c>
      <c r="X38" s="993">
        <f t="shared" si="35"/>
        <v>2.4324324324324325</v>
      </c>
      <c r="Y38" s="990">
        <v>1719</v>
      </c>
      <c r="Z38" s="991">
        <v>1392</v>
      </c>
      <c r="AA38" s="991">
        <v>812</v>
      </c>
      <c r="AB38" s="992">
        <f t="shared" si="36"/>
        <v>3923</v>
      </c>
      <c r="AC38" s="993">
        <f t="shared" si="37"/>
        <v>27.186417186417184</v>
      </c>
      <c r="AD38" s="994">
        <f t="shared" si="38"/>
        <v>4274</v>
      </c>
      <c r="AE38" s="995">
        <f t="shared" si="39"/>
        <v>29.618849618849616</v>
      </c>
      <c r="AF38" s="996">
        <v>88</v>
      </c>
      <c r="AG38" s="997">
        <v>64</v>
      </c>
      <c r="AH38" s="997">
        <v>11</v>
      </c>
      <c r="AI38" s="998">
        <f t="shared" si="26"/>
        <v>163</v>
      </c>
      <c r="AJ38" s="993">
        <f t="shared" si="27"/>
        <v>1.1295911295911294</v>
      </c>
    </row>
    <row r="39" spans="1:36" ht="16.5" customHeight="1">
      <c r="A39" s="999">
        <f>'09월 조업일지'!A37</f>
        <v>46266</v>
      </c>
      <c r="B39" s="1099">
        <f>'09월 조업일지'!B37</f>
        <v>46266</v>
      </c>
      <c r="C39" s="1000" t="str">
        <f>'09월 화학성분'!D37</f>
        <v>D</v>
      </c>
      <c r="D39" s="1000" t="str">
        <f>'09월 화학성분'!E37</f>
        <v>A</v>
      </c>
      <c r="E39" s="1000">
        <f>'09월 화학성분'!C37</f>
        <v>85239</v>
      </c>
      <c r="F39" s="1001" t="str">
        <f t="shared" si="25"/>
        <v>SS400-05</v>
      </c>
      <c r="G39" s="1172">
        <v>18.899999999999999</v>
      </c>
      <c r="H39" s="985">
        <v>22400</v>
      </c>
      <c r="I39" s="1173">
        <v>17.399999999999999</v>
      </c>
      <c r="J39" s="985">
        <v>20900</v>
      </c>
      <c r="K39" s="1173">
        <v>8.6</v>
      </c>
      <c r="L39" s="985">
        <v>10800</v>
      </c>
      <c r="M39" s="1174">
        <f t="shared" si="28"/>
        <v>44.9</v>
      </c>
      <c r="N39" s="984">
        <f t="shared" si="29"/>
        <v>54100</v>
      </c>
      <c r="O39" s="986">
        <f t="shared" si="30"/>
        <v>156.09756097560975</v>
      </c>
      <c r="P39" s="987">
        <f t="shared" si="31"/>
        <v>145.64459930313589</v>
      </c>
      <c r="Q39" s="987">
        <f t="shared" si="32"/>
        <v>75.261324041811847</v>
      </c>
      <c r="R39" s="988">
        <f t="shared" si="33"/>
        <v>377.0034843205575</v>
      </c>
      <c r="S39" s="989">
        <v>143.5</v>
      </c>
      <c r="T39" s="990">
        <v>0</v>
      </c>
      <c r="U39" s="991">
        <v>37</v>
      </c>
      <c r="V39" s="991">
        <v>291</v>
      </c>
      <c r="W39" s="992">
        <f t="shared" si="34"/>
        <v>328</v>
      </c>
      <c r="X39" s="993">
        <f t="shared" si="35"/>
        <v>2.2857142857142856</v>
      </c>
      <c r="Y39" s="990">
        <v>1556</v>
      </c>
      <c r="Z39" s="991">
        <v>1510</v>
      </c>
      <c r="AA39" s="991">
        <v>713</v>
      </c>
      <c r="AB39" s="992">
        <f t="shared" si="36"/>
        <v>3779</v>
      </c>
      <c r="AC39" s="993">
        <f t="shared" si="37"/>
        <v>26.334494773519165</v>
      </c>
      <c r="AD39" s="994">
        <f t="shared" si="38"/>
        <v>4107</v>
      </c>
      <c r="AE39" s="995">
        <f t="shared" si="39"/>
        <v>28.620209059233449</v>
      </c>
      <c r="AF39" s="996">
        <v>79</v>
      </c>
      <c r="AG39" s="997">
        <v>74</v>
      </c>
      <c r="AH39" s="997">
        <v>5</v>
      </c>
      <c r="AI39" s="998">
        <f t="shared" si="26"/>
        <v>158</v>
      </c>
      <c r="AJ39" s="993">
        <f t="shared" si="27"/>
        <v>1.1010452961672474</v>
      </c>
    </row>
    <row r="40" spans="1:36" ht="16.5" customHeight="1">
      <c r="A40" s="999">
        <f>'09월 조업일지'!A38</f>
        <v>46266</v>
      </c>
      <c r="B40" s="1099">
        <f>'09월 조업일지'!B38</f>
        <v>46266</v>
      </c>
      <c r="C40" s="1000" t="str">
        <f>'09월 화학성분'!D38</f>
        <v>D</v>
      </c>
      <c r="D40" s="1000" t="str">
        <f>'09월 화학성분'!E38</f>
        <v>B</v>
      </c>
      <c r="E40" s="1000">
        <f>'09월 화학성분'!C38</f>
        <v>85240</v>
      </c>
      <c r="F40" s="1001" t="str">
        <f t="shared" si="25"/>
        <v>SS400-05</v>
      </c>
      <c r="G40" s="1172">
        <v>18.600000000000001</v>
      </c>
      <c r="H40" s="985">
        <v>22400</v>
      </c>
      <c r="I40" s="1173">
        <v>16.600000000000001</v>
      </c>
      <c r="J40" s="985">
        <v>20400</v>
      </c>
      <c r="K40" s="1173">
        <v>8.9</v>
      </c>
      <c r="L40" s="985">
        <v>11400</v>
      </c>
      <c r="M40" s="1174">
        <f t="shared" si="28"/>
        <v>44.1</v>
      </c>
      <c r="N40" s="984">
        <f t="shared" si="29"/>
        <v>54200</v>
      </c>
      <c r="O40" s="986">
        <f t="shared" si="30"/>
        <v>155.88030619345861</v>
      </c>
      <c r="P40" s="987">
        <f t="shared" si="31"/>
        <v>141.96242171189979</v>
      </c>
      <c r="Q40" s="987">
        <f t="shared" si="32"/>
        <v>79.331941544885183</v>
      </c>
      <c r="R40" s="988">
        <f t="shared" si="33"/>
        <v>377.17466945024358</v>
      </c>
      <c r="S40" s="989">
        <v>143.69999999999999</v>
      </c>
      <c r="T40" s="990">
        <v>0</v>
      </c>
      <c r="U40" s="991">
        <v>0</v>
      </c>
      <c r="V40" s="991">
        <v>328</v>
      </c>
      <c r="W40" s="992">
        <f t="shared" si="34"/>
        <v>328</v>
      </c>
      <c r="X40" s="993">
        <f t="shared" si="35"/>
        <v>2.282533054975644</v>
      </c>
      <c r="Y40" s="990">
        <v>1567</v>
      </c>
      <c r="Z40" s="991">
        <v>1408</v>
      </c>
      <c r="AA40" s="991">
        <v>758</v>
      </c>
      <c r="AB40" s="992">
        <f t="shared" si="36"/>
        <v>3733</v>
      </c>
      <c r="AC40" s="993">
        <f t="shared" si="37"/>
        <v>25.977731384829507</v>
      </c>
      <c r="AD40" s="994">
        <f t="shared" si="38"/>
        <v>4061</v>
      </c>
      <c r="AE40" s="995">
        <f t="shared" si="39"/>
        <v>28.260264439805152</v>
      </c>
      <c r="AF40" s="996">
        <v>81</v>
      </c>
      <c r="AG40" s="997">
        <v>62</v>
      </c>
      <c r="AH40" s="997">
        <v>7</v>
      </c>
      <c r="AI40" s="998">
        <f t="shared" si="26"/>
        <v>150</v>
      </c>
      <c r="AJ40" s="993">
        <f t="shared" si="27"/>
        <v>1.0438413361169103</v>
      </c>
    </row>
    <row r="41" spans="1:36" ht="16.5" customHeight="1">
      <c r="A41" s="999">
        <f>'09월 조업일지'!A39</f>
        <v>46266</v>
      </c>
      <c r="B41" s="1099">
        <f>'09월 조업일지'!B39</f>
        <v>46266</v>
      </c>
      <c r="C41" s="1000" t="str">
        <f>'09월 화학성분'!D39</f>
        <v>D</v>
      </c>
      <c r="D41" s="1000" t="str">
        <f>'09월 화학성분'!E39</f>
        <v>A</v>
      </c>
      <c r="E41" s="1000">
        <f>'09월 화학성분'!C39</f>
        <v>85241</v>
      </c>
      <c r="F41" s="1001" t="str">
        <f t="shared" si="25"/>
        <v>SS400-05</v>
      </c>
      <c r="G41" s="1172">
        <v>18.399999999999999</v>
      </c>
      <c r="H41" s="985">
        <v>22400</v>
      </c>
      <c r="I41" s="1173">
        <v>16.8</v>
      </c>
      <c r="J41" s="985">
        <v>20600</v>
      </c>
      <c r="K41" s="1173">
        <v>9.1999999999999993</v>
      </c>
      <c r="L41" s="985">
        <v>11700</v>
      </c>
      <c r="M41" s="1174">
        <f t="shared" si="28"/>
        <v>44.400000000000006</v>
      </c>
      <c r="N41" s="984">
        <f t="shared" si="29"/>
        <v>54700</v>
      </c>
      <c r="O41" s="986">
        <f t="shared" si="30"/>
        <v>155.66365531619181</v>
      </c>
      <c r="P41" s="987">
        <f t="shared" si="31"/>
        <v>143.15496872828354</v>
      </c>
      <c r="Q41" s="987">
        <f t="shared" si="32"/>
        <v>81.306462821403755</v>
      </c>
      <c r="R41" s="988">
        <f t="shared" si="33"/>
        <v>380.1250868658791</v>
      </c>
      <c r="S41" s="989">
        <v>143.9</v>
      </c>
      <c r="T41" s="990">
        <v>11</v>
      </c>
      <c r="U41" s="991">
        <v>0</v>
      </c>
      <c r="V41" s="991">
        <v>318</v>
      </c>
      <c r="W41" s="992">
        <f t="shared" si="34"/>
        <v>329</v>
      </c>
      <c r="X41" s="993">
        <f t="shared" si="35"/>
        <v>2.2863099374565672</v>
      </c>
      <c r="Y41" s="990">
        <v>1522</v>
      </c>
      <c r="Z41" s="991">
        <v>1458</v>
      </c>
      <c r="AA41" s="991">
        <v>741</v>
      </c>
      <c r="AB41" s="992">
        <f t="shared" si="36"/>
        <v>3721</v>
      </c>
      <c r="AC41" s="993">
        <f t="shared" si="37"/>
        <v>25.858234885337037</v>
      </c>
      <c r="AD41" s="994">
        <f t="shared" si="38"/>
        <v>4050</v>
      </c>
      <c r="AE41" s="995">
        <f t="shared" si="39"/>
        <v>28.144544822793605</v>
      </c>
      <c r="AF41" s="996">
        <v>78</v>
      </c>
      <c r="AG41" s="997">
        <v>72</v>
      </c>
      <c r="AH41" s="997">
        <v>7</v>
      </c>
      <c r="AI41" s="998">
        <f t="shared" si="26"/>
        <v>157</v>
      </c>
      <c r="AJ41" s="993">
        <f t="shared" si="27"/>
        <v>1.0910354412786658</v>
      </c>
    </row>
    <row r="42" spans="1:36" ht="16.5" customHeight="1">
      <c r="A42" s="999">
        <f>'09월 조업일지'!A40</f>
        <v>46266</v>
      </c>
      <c r="B42" s="1099">
        <f>'09월 조업일지'!B40</f>
        <v>46266</v>
      </c>
      <c r="C42" s="1000" t="str">
        <f>'09월 화학성분'!D40</f>
        <v>D</v>
      </c>
      <c r="D42" s="1000" t="str">
        <f>'09월 화학성분'!E40</f>
        <v>B</v>
      </c>
      <c r="E42" s="1000">
        <f>'09월 화학성분'!C40</f>
        <v>85242</v>
      </c>
      <c r="F42" s="1001" t="str">
        <f t="shared" si="25"/>
        <v>SS400-05</v>
      </c>
      <c r="G42" s="1172">
        <v>19.399999999999999</v>
      </c>
      <c r="H42" s="985">
        <v>22300</v>
      </c>
      <c r="I42" s="1173">
        <v>16.2</v>
      </c>
      <c r="J42" s="985">
        <v>20300</v>
      </c>
      <c r="K42" s="1173">
        <v>8.1</v>
      </c>
      <c r="L42" s="985">
        <v>10400</v>
      </c>
      <c r="M42" s="1174">
        <f t="shared" si="28"/>
        <v>43.699999999999996</v>
      </c>
      <c r="N42" s="984">
        <f t="shared" si="29"/>
        <v>53000</v>
      </c>
      <c r="O42" s="986">
        <f t="shared" si="30"/>
        <v>154.75364330326164</v>
      </c>
      <c r="P42" s="987">
        <f t="shared" si="31"/>
        <v>140.87439278278973</v>
      </c>
      <c r="Q42" s="987">
        <f t="shared" si="32"/>
        <v>72.172102706453856</v>
      </c>
      <c r="R42" s="988">
        <f t="shared" si="33"/>
        <v>367.80013879250521</v>
      </c>
      <c r="S42" s="989">
        <v>144.1</v>
      </c>
      <c r="T42" s="990">
        <v>0</v>
      </c>
      <c r="U42" s="991">
        <v>31</v>
      </c>
      <c r="V42" s="991">
        <v>299</v>
      </c>
      <c r="W42" s="992">
        <f t="shared" si="34"/>
        <v>330</v>
      </c>
      <c r="X42" s="993">
        <f t="shared" si="35"/>
        <v>2.2900763358778629</v>
      </c>
      <c r="Y42" s="990">
        <v>1569</v>
      </c>
      <c r="Z42" s="991">
        <v>1381</v>
      </c>
      <c r="AA42" s="991">
        <v>728</v>
      </c>
      <c r="AB42" s="992">
        <f t="shared" si="36"/>
        <v>3678</v>
      </c>
      <c r="AC42" s="993">
        <f t="shared" si="37"/>
        <v>25.523941707147817</v>
      </c>
      <c r="AD42" s="994">
        <f t="shared" si="38"/>
        <v>4008</v>
      </c>
      <c r="AE42" s="995">
        <f t="shared" si="39"/>
        <v>27.814018043025676</v>
      </c>
      <c r="AF42" s="996">
        <v>83</v>
      </c>
      <c r="AG42" s="997">
        <v>62</v>
      </c>
      <c r="AH42" s="997">
        <v>7</v>
      </c>
      <c r="AI42" s="998">
        <f t="shared" si="26"/>
        <v>152</v>
      </c>
      <c r="AJ42" s="993">
        <f t="shared" si="27"/>
        <v>1.054823039555864</v>
      </c>
    </row>
    <row r="43" spans="1:36" ht="16.5" customHeight="1">
      <c r="A43" s="999">
        <f>'09월 조업일지'!A41</f>
        <v>46266</v>
      </c>
      <c r="B43" s="1099">
        <f>'09월 조업일지'!B41</f>
        <v>46266</v>
      </c>
      <c r="C43" s="1000" t="str">
        <f>'09월 화학성분'!D41</f>
        <v>D</v>
      </c>
      <c r="D43" s="1000" t="str">
        <f>'09월 화학성분'!E41</f>
        <v>A</v>
      </c>
      <c r="E43" s="1000">
        <f>'09월 화학성분'!C41</f>
        <v>85243</v>
      </c>
      <c r="F43" s="1001" t="str">
        <f t="shared" si="25"/>
        <v>SS400-05</v>
      </c>
      <c r="G43" s="1172">
        <v>18.5</v>
      </c>
      <c r="H43" s="985">
        <v>22400</v>
      </c>
      <c r="I43" s="1173">
        <v>17.100000000000001</v>
      </c>
      <c r="J43" s="985">
        <v>21000</v>
      </c>
      <c r="K43" s="1173">
        <v>7.6</v>
      </c>
      <c r="L43" s="985">
        <v>9700</v>
      </c>
      <c r="M43" s="1174">
        <f t="shared" si="28"/>
        <v>43.2</v>
      </c>
      <c r="N43" s="984">
        <f t="shared" si="29"/>
        <v>53100</v>
      </c>
      <c r="O43" s="986">
        <f t="shared" si="30"/>
        <v>155.66365531619181</v>
      </c>
      <c r="P43" s="987">
        <f t="shared" si="31"/>
        <v>145.93467685892981</v>
      </c>
      <c r="Q43" s="987">
        <f t="shared" si="32"/>
        <v>67.407922168172334</v>
      </c>
      <c r="R43" s="988">
        <f t="shared" si="33"/>
        <v>369.00625434329396</v>
      </c>
      <c r="S43" s="989">
        <v>143.9</v>
      </c>
      <c r="T43" s="990">
        <v>0</v>
      </c>
      <c r="U43" s="991">
        <v>53</v>
      </c>
      <c r="V43" s="991">
        <v>276</v>
      </c>
      <c r="W43" s="992">
        <f t="shared" si="34"/>
        <v>329</v>
      </c>
      <c r="X43" s="993">
        <f t="shared" si="35"/>
        <v>2.2863099374565672</v>
      </c>
      <c r="Y43" s="990">
        <v>1536</v>
      </c>
      <c r="Z43" s="991">
        <v>1485</v>
      </c>
      <c r="AA43" s="991">
        <v>680</v>
      </c>
      <c r="AB43" s="992">
        <f t="shared" si="36"/>
        <v>3701</v>
      </c>
      <c r="AC43" s="993">
        <f t="shared" si="37"/>
        <v>25.719249478804723</v>
      </c>
      <c r="AD43" s="994">
        <f t="shared" si="38"/>
        <v>4030</v>
      </c>
      <c r="AE43" s="995">
        <f t="shared" si="39"/>
        <v>28.005559416261292</v>
      </c>
      <c r="AF43" s="996">
        <v>78</v>
      </c>
      <c r="AG43" s="997">
        <v>72</v>
      </c>
      <c r="AH43" s="997">
        <v>6</v>
      </c>
      <c r="AI43" s="998">
        <f t="shared" si="26"/>
        <v>156</v>
      </c>
      <c r="AJ43" s="993">
        <f t="shared" si="27"/>
        <v>1.08408617095205</v>
      </c>
    </row>
    <row r="44" spans="1:36" ht="16.5" customHeight="1">
      <c r="A44" s="999">
        <f>'09월 조업일지'!A42</f>
        <v>46267</v>
      </c>
      <c r="B44" s="1099">
        <f>'09월 조업일지'!B42</f>
        <v>46266</v>
      </c>
      <c r="C44" s="1000" t="str">
        <f>'09월 화학성분'!D42</f>
        <v>D</v>
      </c>
      <c r="D44" s="1000" t="str">
        <f>'09월 화학성분'!E42</f>
        <v>B</v>
      </c>
      <c r="E44" s="1000">
        <f>'09월 화학성분'!C42</f>
        <v>85244</v>
      </c>
      <c r="F44" s="1001" t="str">
        <f t="shared" si="25"/>
        <v>SS400-05</v>
      </c>
      <c r="G44" s="1172">
        <v>18.5</v>
      </c>
      <c r="H44" s="985">
        <v>22500</v>
      </c>
      <c r="I44" s="1173">
        <v>16.5</v>
      </c>
      <c r="J44" s="985">
        <v>20600</v>
      </c>
      <c r="K44" s="1173">
        <v>10.3</v>
      </c>
      <c r="L44" s="985">
        <v>13100</v>
      </c>
      <c r="M44" s="1174">
        <f t="shared" si="28"/>
        <v>45.3</v>
      </c>
      <c r="N44" s="984">
        <f t="shared" si="29"/>
        <v>56200</v>
      </c>
      <c r="O44" s="986">
        <f t="shared" si="30"/>
        <v>159.46137491141036</v>
      </c>
      <c r="P44" s="987">
        <f t="shared" si="31"/>
        <v>145.99574769666904</v>
      </c>
      <c r="Q44" s="987">
        <f t="shared" si="32"/>
        <v>92.841956059532251</v>
      </c>
      <c r="R44" s="988">
        <f t="shared" si="33"/>
        <v>398.2990786676117</v>
      </c>
      <c r="S44" s="989">
        <v>141.1</v>
      </c>
      <c r="T44" s="990">
        <v>0</v>
      </c>
      <c r="U44" s="991">
        <v>0</v>
      </c>
      <c r="V44" s="991">
        <v>332</v>
      </c>
      <c r="W44" s="992">
        <f t="shared" si="34"/>
        <v>332</v>
      </c>
      <c r="X44" s="993">
        <f t="shared" si="35"/>
        <v>2.3529411764705883</v>
      </c>
      <c r="Y44" s="990">
        <v>1540</v>
      </c>
      <c r="Z44" s="991">
        <v>1408</v>
      </c>
      <c r="AA44" s="991">
        <v>749</v>
      </c>
      <c r="AB44" s="992">
        <f t="shared" si="36"/>
        <v>3697</v>
      </c>
      <c r="AC44" s="993">
        <f t="shared" si="37"/>
        <v>26.201275690999292</v>
      </c>
      <c r="AD44" s="994">
        <f t="shared" si="38"/>
        <v>4029</v>
      </c>
      <c r="AE44" s="995">
        <f t="shared" si="39"/>
        <v>28.554216867469879</v>
      </c>
      <c r="AF44" s="996">
        <v>78</v>
      </c>
      <c r="AG44" s="997">
        <v>65</v>
      </c>
      <c r="AH44" s="997">
        <v>6</v>
      </c>
      <c r="AI44" s="998">
        <f t="shared" si="26"/>
        <v>149</v>
      </c>
      <c r="AJ44" s="993">
        <f t="shared" si="27"/>
        <v>1.0559886605244508</v>
      </c>
    </row>
    <row r="45" spans="1:36" ht="16.5" customHeight="1">
      <c r="A45" s="999">
        <f>'09월 조업일지'!A43</f>
        <v>46267</v>
      </c>
      <c r="B45" s="1099">
        <f>'09월 조업일지'!B43</f>
        <v>46266</v>
      </c>
      <c r="C45" s="1000" t="str">
        <f>'09월 화학성분'!D43</f>
        <v>D</v>
      </c>
      <c r="D45" s="1000" t="str">
        <f>'09월 화학성분'!E43</f>
        <v>A</v>
      </c>
      <c r="E45" s="1000">
        <f>'09월 화학성분'!C43</f>
        <v>85245</v>
      </c>
      <c r="F45" s="1001" t="str">
        <f t="shared" si="25"/>
        <v>SS400-05</v>
      </c>
      <c r="G45" s="1172">
        <v>19.2</v>
      </c>
      <c r="H45" s="985">
        <v>23300</v>
      </c>
      <c r="I45" s="1173">
        <v>16.899999999999999</v>
      </c>
      <c r="J45" s="985">
        <v>21100</v>
      </c>
      <c r="K45" s="1173">
        <v>9.1</v>
      </c>
      <c r="L45" s="985">
        <v>11500</v>
      </c>
      <c r="M45" s="1174">
        <f t="shared" si="28"/>
        <v>45.199999999999996</v>
      </c>
      <c r="N45" s="984">
        <f t="shared" si="29"/>
        <v>55900</v>
      </c>
      <c r="O45" s="986">
        <f t="shared" si="30"/>
        <v>162.36933797909407</v>
      </c>
      <c r="P45" s="987">
        <f t="shared" si="31"/>
        <v>147.03832752613241</v>
      </c>
      <c r="Q45" s="987">
        <f t="shared" si="32"/>
        <v>80.139372822299649</v>
      </c>
      <c r="R45" s="988">
        <f t="shared" si="33"/>
        <v>389.54703832752614</v>
      </c>
      <c r="S45" s="989">
        <v>143.5</v>
      </c>
      <c r="T45" s="990">
        <v>0</v>
      </c>
      <c r="U45" s="991">
        <v>50</v>
      </c>
      <c r="V45" s="991">
        <v>295</v>
      </c>
      <c r="W45" s="992">
        <f t="shared" si="34"/>
        <v>345</v>
      </c>
      <c r="X45" s="993">
        <f t="shared" si="35"/>
        <v>2.4041811846689893</v>
      </c>
      <c r="Y45" s="990">
        <v>1583</v>
      </c>
      <c r="Z45" s="991">
        <v>1506</v>
      </c>
      <c r="AA45" s="991">
        <v>667</v>
      </c>
      <c r="AB45" s="992">
        <f t="shared" si="36"/>
        <v>3756</v>
      </c>
      <c r="AC45" s="993">
        <f t="shared" si="37"/>
        <v>26.174216027874564</v>
      </c>
      <c r="AD45" s="994">
        <f t="shared" si="38"/>
        <v>4101</v>
      </c>
      <c r="AE45" s="995">
        <f t="shared" si="39"/>
        <v>28.578397212543553</v>
      </c>
      <c r="AF45" s="996">
        <v>79</v>
      </c>
      <c r="AG45" s="997">
        <v>71</v>
      </c>
      <c r="AH45" s="997">
        <v>5</v>
      </c>
      <c r="AI45" s="998">
        <f t="shared" si="26"/>
        <v>155</v>
      </c>
      <c r="AJ45" s="993">
        <f t="shared" si="27"/>
        <v>1.0801393728222997</v>
      </c>
    </row>
    <row r="46" spans="1:36" ht="16.5" customHeight="1">
      <c r="A46" s="999">
        <f>'09월 조업일지'!A44</f>
        <v>46267</v>
      </c>
      <c r="B46" s="1099">
        <f>'09월 조업일지'!B44</f>
        <v>46266</v>
      </c>
      <c r="C46" s="1000" t="str">
        <f>'09월 화학성분'!D44</f>
        <v>D</v>
      </c>
      <c r="D46" s="1000" t="str">
        <f>'09월 화학성분'!E44</f>
        <v>B</v>
      </c>
      <c r="E46" s="1000">
        <f>'09월 화학성분'!C44</f>
        <v>85246</v>
      </c>
      <c r="F46" s="1001" t="str">
        <f t="shared" si="25"/>
        <v>SS400-05</v>
      </c>
      <c r="G46" s="1172">
        <v>19.7</v>
      </c>
      <c r="H46" s="985">
        <v>23500</v>
      </c>
      <c r="I46" s="1173">
        <v>16.5</v>
      </c>
      <c r="J46" s="985">
        <v>20600</v>
      </c>
      <c r="K46" s="1173">
        <v>11.5</v>
      </c>
      <c r="L46" s="985">
        <v>14600</v>
      </c>
      <c r="M46" s="1174">
        <f t="shared" si="28"/>
        <v>47.7</v>
      </c>
      <c r="N46" s="984">
        <f t="shared" si="29"/>
        <v>58700</v>
      </c>
      <c r="O46" s="986">
        <f t="shared" si="30"/>
        <v>162.74238227146813</v>
      </c>
      <c r="P46" s="987">
        <f t="shared" si="31"/>
        <v>142.65927977839334</v>
      </c>
      <c r="Q46" s="987">
        <f t="shared" si="32"/>
        <v>101.10803324099723</v>
      </c>
      <c r="R46" s="988">
        <f t="shared" si="33"/>
        <v>406.50969529085864</v>
      </c>
      <c r="S46" s="989">
        <v>144.4</v>
      </c>
      <c r="T46" s="990">
        <v>0</v>
      </c>
      <c r="U46" s="991">
        <v>4</v>
      </c>
      <c r="V46" s="991">
        <v>351</v>
      </c>
      <c r="W46" s="992">
        <f t="shared" si="34"/>
        <v>355</v>
      </c>
      <c r="X46" s="993">
        <f t="shared" si="35"/>
        <v>2.4584487534626036</v>
      </c>
      <c r="Y46" s="990">
        <v>1655</v>
      </c>
      <c r="Z46" s="991">
        <v>1382</v>
      </c>
      <c r="AA46" s="991">
        <v>968</v>
      </c>
      <c r="AB46" s="992">
        <f t="shared" si="36"/>
        <v>4005</v>
      </c>
      <c r="AC46" s="993">
        <f t="shared" si="37"/>
        <v>27.735457063711909</v>
      </c>
      <c r="AD46" s="994">
        <f t="shared" si="38"/>
        <v>4360</v>
      </c>
      <c r="AE46" s="995">
        <f t="shared" si="39"/>
        <v>30.193905817174514</v>
      </c>
      <c r="AF46" s="996">
        <v>83</v>
      </c>
      <c r="AG46" s="997">
        <v>62</v>
      </c>
      <c r="AH46" s="997">
        <v>8</v>
      </c>
      <c r="AI46" s="998">
        <f t="shared" si="26"/>
        <v>153</v>
      </c>
      <c r="AJ46" s="993">
        <f t="shared" si="27"/>
        <v>1.0595567867036011</v>
      </c>
    </row>
    <row r="47" spans="1:36" ht="16.5" customHeight="1">
      <c r="A47" s="999">
        <f>'09월 조업일지'!A45</f>
        <v>46267</v>
      </c>
      <c r="B47" s="1099">
        <f>'09월 조업일지'!B45</f>
        <v>46266</v>
      </c>
      <c r="C47" s="1000" t="str">
        <f>'09월 화학성분'!D45</f>
        <v>D</v>
      </c>
      <c r="D47" s="1000" t="str">
        <f>'09월 화학성분'!E45</f>
        <v>A</v>
      </c>
      <c r="E47" s="1000">
        <f>'09월 화학성분'!C45</f>
        <v>85247</v>
      </c>
      <c r="F47" s="1001" t="str">
        <f t="shared" si="25"/>
        <v>SS400-05</v>
      </c>
      <c r="G47" s="1172">
        <v>18.7</v>
      </c>
      <c r="H47" s="985">
        <v>22300</v>
      </c>
      <c r="I47" s="1173">
        <v>17</v>
      </c>
      <c r="J47" s="985">
        <v>21100</v>
      </c>
      <c r="K47" s="1173">
        <v>8.4</v>
      </c>
      <c r="L47" s="985">
        <v>10800</v>
      </c>
      <c r="M47" s="1174">
        <f t="shared" si="28"/>
        <v>44.1</v>
      </c>
      <c r="N47" s="984">
        <f t="shared" si="29"/>
        <v>54200</v>
      </c>
      <c r="O47" s="986">
        <f t="shared" si="30"/>
        <v>155.18441196938068</v>
      </c>
      <c r="P47" s="987">
        <f t="shared" si="31"/>
        <v>146.83368128044538</v>
      </c>
      <c r="Q47" s="987">
        <f t="shared" si="32"/>
        <v>75.156576200417547</v>
      </c>
      <c r="R47" s="988">
        <f t="shared" si="33"/>
        <v>377.17466945024358</v>
      </c>
      <c r="S47" s="989">
        <v>143.69999999999999</v>
      </c>
      <c r="T47" s="990">
        <v>0</v>
      </c>
      <c r="U47" s="991">
        <v>32</v>
      </c>
      <c r="V47" s="991">
        <v>294</v>
      </c>
      <c r="W47" s="992">
        <f t="shared" si="34"/>
        <v>326</v>
      </c>
      <c r="X47" s="993">
        <f t="shared" si="35"/>
        <v>2.2686151704940851</v>
      </c>
      <c r="Y47" s="990">
        <v>1505</v>
      </c>
      <c r="Z47" s="991">
        <v>1497</v>
      </c>
      <c r="AA47" s="991">
        <v>729</v>
      </c>
      <c r="AB47" s="992">
        <f t="shared" si="36"/>
        <v>3731</v>
      </c>
      <c r="AC47" s="993">
        <f t="shared" si="37"/>
        <v>25.96381350034795</v>
      </c>
      <c r="AD47" s="994">
        <f t="shared" si="38"/>
        <v>4057</v>
      </c>
      <c r="AE47" s="995">
        <f t="shared" si="39"/>
        <v>28.232428670842033</v>
      </c>
      <c r="AF47" s="996">
        <v>77</v>
      </c>
      <c r="AG47" s="997">
        <v>71</v>
      </c>
      <c r="AH47" s="997">
        <v>6</v>
      </c>
      <c r="AI47" s="998">
        <f t="shared" si="26"/>
        <v>154</v>
      </c>
      <c r="AJ47" s="993">
        <f t="shared" si="27"/>
        <v>1.071677105080028</v>
      </c>
    </row>
    <row r="48" spans="1:36" ht="16.5" customHeight="1">
      <c r="A48" s="999">
        <f>'09월 조업일지'!A46</f>
        <v>46267</v>
      </c>
      <c r="B48" s="1099">
        <f>'09월 조업일지'!B46</f>
        <v>46267</v>
      </c>
      <c r="C48" s="1000" t="str">
        <f>'09월 화학성분'!D46</f>
        <v>A</v>
      </c>
      <c r="D48" s="1000" t="str">
        <f>'09월 화학성분'!E46</f>
        <v>B</v>
      </c>
      <c r="E48" s="1000">
        <f>'09월 화학성분'!C46</f>
        <v>85248</v>
      </c>
      <c r="F48" s="1001" t="str">
        <f t="shared" si="25"/>
        <v>SS400-05</v>
      </c>
      <c r="G48" s="1172">
        <v>18.5</v>
      </c>
      <c r="H48" s="985">
        <v>22100</v>
      </c>
      <c r="I48" s="1173">
        <v>16.399999999999999</v>
      </c>
      <c r="J48" s="985">
        <v>20400</v>
      </c>
      <c r="K48" s="1173">
        <v>11.2</v>
      </c>
      <c r="L48" s="985">
        <v>14200</v>
      </c>
      <c r="M48" s="1174">
        <f t="shared" si="28"/>
        <v>46.099999999999994</v>
      </c>
      <c r="N48" s="984">
        <f t="shared" si="29"/>
        <v>56700</v>
      </c>
      <c r="O48" s="986">
        <f t="shared" si="30"/>
        <v>157.29537366548044</v>
      </c>
      <c r="P48" s="987">
        <f t="shared" si="31"/>
        <v>145.19572953736656</v>
      </c>
      <c r="Q48" s="987">
        <f t="shared" si="32"/>
        <v>101.067615658363</v>
      </c>
      <c r="R48" s="988">
        <f t="shared" si="33"/>
        <v>403.55871886120997</v>
      </c>
      <c r="S48" s="989">
        <v>140.5</v>
      </c>
      <c r="T48" s="990">
        <v>0</v>
      </c>
      <c r="U48" s="991">
        <v>78</v>
      </c>
      <c r="V48" s="991">
        <v>289</v>
      </c>
      <c r="W48" s="992">
        <f t="shared" si="34"/>
        <v>367</v>
      </c>
      <c r="X48" s="993">
        <f t="shared" si="35"/>
        <v>2.6120996441281137</v>
      </c>
      <c r="Y48" s="990">
        <v>1500</v>
      </c>
      <c r="Z48" s="991">
        <v>1377</v>
      </c>
      <c r="AA48" s="991">
        <v>840</v>
      </c>
      <c r="AB48" s="992">
        <f t="shared" si="36"/>
        <v>3717</v>
      </c>
      <c r="AC48" s="993">
        <f t="shared" si="37"/>
        <v>26.455516014234874</v>
      </c>
      <c r="AD48" s="994">
        <f t="shared" si="38"/>
        <v>4084</v>
      </c>
      <c r="AE48" s="995">
        <f t="shared" si="39"/>
        <v>29.067615658362989</v>
      </c>
      <c r="AF48" s="996">
        <v>79</v>
      </c>
      <c r="AG48" s="997">
        <v>64</v>
      </c>
      <c r="AH48" s="997">
        <v>7</v>
      </c>
      <c r="AI48" s="998">
        <f t="shared" si="26"/>
        <v>150</v>
      </c>
      <c r="AJ48" s="993">
        <f t="shared" si="27"/>
        <v>1.0676156583629892</v>
      </c>
    </row>
    <row r="49" spans="1:36" ht="16.5" customHeight="1">
      <c r="A49" s="999">
        <f>'09월 조업일지'!A47</f>
        <v>46267</v>
      </c>
      <c r="B49" s="1099">
        <f>'09월 조업일지'!B47</f>
        <v>46267</v>
      </c>
      <c r="C49" s="1000" t="str">
        <f>'09월 화학성분'!D47</f>
        <v>A</v>
      </c>
      <c r="D49" s="1000" t="str">
        <f>'09월 화학성분'!E47</f>
        <v>A</v>
      </c>
      <c r="E49" s="1000">
        <f>'09월 화학성분'!C47</f>
        <v>85249</v>
      </c>
      <c r="F49" s="1001" t="str">
        <f t="shared" si="25"/>
        <v>SS400-05</v>
      </c>
      <c r="G49" s="1172">
        <v>20</v>
      </c>
      <c r="H49" s="985">
        <v>24500</v>
      </c>
      <c r="I49" s="1173">
        <v>17.3</v>
      </c>
      <c r="J49" s="985">
        <v>21300</v>
      </c>
      <c r="K49" s="1173">
        <v>8</v>
      </c>
      <c r="L49" s="985">
        <v>10100</v>
      </c>
      <c r="M49" s="1174">
        <f t="shared" si="28"/>
        <v>45.3</v>
      </c>
      <c r="N49" s="984">
        <f t="shared" si="29"/>
        <v>55900</v>
      </c>
      <c r="O49" s="986">
        <f t="shared" si="30"/>
        <v>174.12935323383087</v>
      </c>
      <c r="P49" s="987">
        <f t="shared" si="31"/>
        <v>151.3859275053305</v>
      </c>
      <c r="Q49" s="987">
        <f t="shared" si="32"/>
        <v>71.783937455579249</v>
      </c>
      <c r="R49" s="988">
        <f t="shared" si="33"/>
        <v>397.2992181947406</v>
      </c>
      <c r="S49" s="989">
        <v>140.69999999999999</v>
      </c>
      <c r="T49" s="990">
        <v>0</v>
      </c>
      <c r="U49" s="991">
        <v>308</v>
      </c>
      <c r="V49" s="991">
        <v>69</v>
      </c>
      <c r="W49" s="992">
        <f t="shared" si="34"/>
        <v>377</v>
      </c>
      <c r="X49" s="993">
        <f t="shared" si="35"/>
        <v>2.6794598436389485</v>
      </c>
      <c r="Y49" s="990">
        <v>1671</v>
      </c>
      <c r="Z49" s="991">
        <v>1512</v>
      </c>
      <c r="AA49" s="991">
        <v>518</v>
      </c>
      <c r="AB49" s="992">
        <f t="shared" si="36"/>
        <v>3701</v>
      </c>
      <c r="AC49" s="993">
        <f t="shared" si="37"/>
        <v>26.304193319118696</v>
      </c>
      <c r="AD49" s="994">
        <f t="shared" si="38"/>
        <v>4078</v>
      </c>
      <c r="AE49" s="995">
        <f t="shared" si="39"/>
        <v>28.983653162757644</v>
      </c>
      <c r="AF49" s="996">
        <v>80</v>
      </c>
      <c r="AG49" s="997">
        <v>71</v>
      </c>
      <c r="AH49" s="997">
        <v>4</v>
      </c>
      <c r="AI49" s="998">
        <f t="shared" si="26"/>
        <v>155</v>
      </c>
      <c r="AJ49" s="993">
        <f t="shared" si="27"/>
        <v>1.1016346837242361</v>
      </c>
    </row>
    <row r="50" spans="1:36" ht="16.5" customHeight="1">
      <c r="A50" s="999">
        <f>'09월 조업일지'!A48</f>
        <v>46267</v>
      </c>
      <c r="B50" s="1099">
        <f>'09월 조업일지'!B48</f>
        <v>46267</v>
      </c>
      <c r="C50" s="1000" t="str">
        <f>'09월 화학성분'!D48</f>
        <v>A</v>
      </c>
      <c r="D50" s="1000" t="str">
        <f>'09월 화학성분'!E48</f>
        <v>B</v>
      </c>
      <c r="E50" s="1000">
        <f>'09월 화학성분'!C48</f>
        <v>85250</v>
      </c>
      <c r="F50" s="1001" t="str">
        <f t="shared" si="25"/>
        <v>SS400-05</v>
      </c>
      <c r="G50" s="1172">
        <v>19.600000000000001</v>
      </c>
      <c r="H50" s="985">
        <v>22900</v>
      </c>
      <c r="I50" s="1173">
        <v>16.399999999999999</v>
      </c>
      <c r="J50" s="985">
        <v>20200</v>
      </c>
      <c r="K50" s="1173">
        <v>9.9</v>
      </c>
      <c r="L50" s="985">
        <v>12600</v>
      </c>
      <c r="M50" s="1174">
        <f t="shared" si="28"/>
        <v>45.9</v>
      </c>
      <c r="N50" s="984">
        <f t="shared" si="29"/>
        <v>55700</v>
      </c>
      <c r="O50" s="986">
        <f t="shared" si="30"/>
        <v>159.3597773138483</v>
      </c>
      <c r="P50" s="987">
        <f t="shared" si="31"/>
        <v>140.57063326374393</v>
      </c>
      <c r="Q50" s="987">
        <f t="shared" si="32"/>
        <v>87.682672233820469</v>
      </c>
      <c r="R50" s="988">
        <f t="shared" si="33"/>
        <v>387.61308281141271</v>
      </c>
      <c r="S50" s="989">
        <v>143.69999999999999</v>
      </c>
      <c r="T50" s="990">
        <v>0</v>
      </c>
      <c r="U50" s="991">
        <v>128</v>
      </c>
      <c r="V50" s="991">
        <v>244</v>
      </c>
      <c r="W50" s="992">
        <f t="shared" si="34"/>
        <v>372</v>
      </c>
      <c r="X50" s="993">
        <f t="shared" si="35"/>
        <v>2.5887265135699375</v>
      </c>
      <c r="Y50" s="990">
        <v>1624</v>
      </c>
      <c r="Z50" s="991">
        <v>1357</v>
      </c>
      <c r="AA50" s="991">
        <v>716</v>
      </c>
      <c r="AB50" s="992">
        <f t="shared" si="36"/>
        <v>3697</v>
      </c>
      <c r="AC50" s="993">
        <f t="shared" si="37"/>
        <v>25.727209464161451</v>
      </c>
      <c r="AD50" s="994">
        <f t="shared" si="38"/>
        <v>4069</v>
      </c>
      <c r="AE50" s="995">
        <f t="shared" si="39"/>
        <v>28.315935977731389</v>
      </c>
      <c r="AF50" s="996">
        <v>83</v>
      </c>
      <c r="AG50" s="997">
        <v>61</v>
      </c>
      <c r="AH50" s="997">
        <v>6</v>
      </c>
      <c r="AI50" s="998">
        <f t="shared" si="26"/>
        <v>150</v>
      </c>
      <c r="AJ50" s="993">
        <f t="shared" si="27"/>
        <v>1.0438413361169103</v>
      </c>
    </row>
    <row r="51" spans="1:36" ht="16.5" customHeight="1">
      <c r="A51" s="999">
        <f>'09월 조업일지'!A49</f>
        <v>46267</v>
      </c>
      <c r="B51" s="1099">
        <f>'09월 조업일지'!B49</f>
        <v>46267</v>
      </c>
      <c r="C51" s="1000" t="str">
        <f>'09월 화학성분'!D49</f>
        <v>A</v>
      </c>
      <c r="D51" s="1000" t="str">
        <f>'09월 화학성분'!E49</f>
        <v>A</v>
      </c>
      <c r="E51" s="1000">
        <f>'09월 화학성분'!C49</f>
        <v>85251</v>
      </c>
      <c r="F51" s="1001" t="str">
        <f t="shared" si="25"/>
        <v>SS400-05</v>
      </c>
      <c r="G51" s="1172">
        <v>18.399999999999999</v>
      </c>
      <c r="H51" s="985">
        <v>23400</v>
      </c>
      <c r="I51" s="1173">
        <v>17.100000000000001</v>
      </c>
      <c r="J51" s="985">
        <v>21300</v>
      </c>
      <c r="K51" s="1173">
        <v>6.9</v>
      </c>
      <c r="L51" s="985">
        <v>8800</v>
      </c>
      <c r="M51" s="1174">
        <f t="shared" si="28"/>
        <v>42.4</v>
      </c>
      <c r="N51" s="984">
        <f t="shared" si="29"/>
        <v>53500</v>
      </c>
      <c r="O51" s="986">
        <f t="shared" si="30"/>
        <v>163.98037841625791</v>
      </c>
      <c r="P51" s="987">
        <f t="shared" si="31"/>
        <v>149.26419060967066</v>
      </c>
      <c r="Q51" s="987">
        <f t="shared" si="32"/>
        <v>61.667834618079894</v>
      </c>
      <c r="R51" s="988">
        <f t="shared" si="33"/>
        <v>374.91240364400846</v>
      </c>
      <c r="S51" s="989">
        <v>142.69999999999999</v>
      </c>
      <c r="T51" s="990">
        <v>0</v>
      </c>
      <c r="U51" s="991">
        <v>199</v>
      </c>
      <c r="V51" s="991">
        <v>156</v>
      </c>
      <c r="W51" s="992">
        <f t="shared" si="34"/>
        <v>355</v>
      </c>
      <c r="X51" s="993">
        <f t="shared" si="35"/>
        <v>2.4877365101611777</v>
      </c>
      <c r="Y51" s="990">
        <v>1549</v>
      </c>
      <c r="Z51" s="991">
        <v>1439</v>
      </c>
      <c r="AA51" s="991">
        <v>548</v>
      </c>
      <c r="AB51" s="992">
        <f t="shared" si="36"/>
        <v>3536</v>
      </c>
      <c r="AC51" s="993">
        <f t="shared" si="37"/>
        <v>24.779257182901194</v>
      </c>
      <c r="AD51" s="994">
        <f t="shared" si="38"/>
        <v>3891</v>
      </c>
      <c r="AE51" s="995">
        <f t="shared" si="39"/>
        <v>27.266993693062371</v>
      </c>
      <c r="AF51" s="996">
        <v>75</v>
      </c>
      <c r="AG51" s="997">
        <v>63</v>
      </c>
      <c r="AH51" s="997">
        <v>5</v>
      </c>
      <c r="AI51" s="998">
        <f t="shared" si="26"/>
        <v>143</v>
      </c>
      <c r="AJ51" s="993">
        <f t="shared" si="27"/>
        <v>1.0021023125437982</v>
      </c>
    </row>
    <row r="52" spans="1:36" ht="16.5" customHeight="1">
      <c r="A52" s="999">
        <f>'09월 조업일지'!A50</f>
        <v>46267</v>
      </c>
      <c r="B52" s="1099">
        <f>'09월 조업일지'!B50</f>
        <v>46267</v>
      </c>
      <c r="C52" s="1000" t="str">
        <f>'09월 화학성분'!D50</f>
        <v>A</v>
      </c>
      <c r="D52" s="1000" t="str">
        <f>'09월 화학성분'!E50</f>
        <v>B</v>
      </c>
      <c r="E52" s="1000">
        <f>'09월 화학성분'!C50</f>
        <v>85252</v>
      </c>
      <c r="F52" s="1001" t="str">
        <f t="shared" si="25"/>
        <v>SS400-05</v>
      </c>
      <c r="G52" s="1172">
        <v>19</v>
      </c>
      <c r="H52" s="985">
        <v>22900</v>
      </c>
      <c r="I52" s="1173">
        <v>16.7</v>
      </c>
      <c r="J52" s="985">
        <v>20500</v>
      </c>
      <c r="K52" s="1173">
        <v>10</v>
      </c>
      <c r="L52" s="985">
        <v>12900</v>
      </c>
      <c r="M52" s="1174">
        <f t="shared" si="28"/>
        <v>45.7</v>
      </c>
      <c r="N52" s="984">
        <f t="shared" si="29"/>
        <v>56300</v>
      </c>
      <c r="O52" s="986">
        <f t="shared" si="30"/>
        <v>160.92761770906534</v>
      </c>
      <c r="P52" s="987">
        <f t="shared" si="31"/>
        <v>144.06184118060435</v>
      </c>
      <c r="Q52" s="987">
        <f t="shared" si="32"/>
        <v>90.653548840477853</v>
      </c>
      <c r="R52" s="988">
        <f t="shared" si="33"/>
        <v>395.64300773014753</v>
      </c>
      <c r="S52" s="989">
        <v>142.30000000000001</v>
      </c>
      <c r="T52" s="990">
        <v>0</v>
      </c>
      <c r="U52" s="991">
        <v>146</v>
      </c>
      <c r="V52" s="991">
        <v>220</v>
      </c>
      <c r="W52" s="992">
        <f t="shared" si="34"/>
        <v>366</v>
      </c>
      <c r="X52" s="993">
        <f t="shared" si="35"/>
        <v>2.572030920590302</v>
      </c>
      <c r="Y52" s="990">
        <v>1577</v>
      </c>
      <c r="Z52" s="991">
        <v>1390</v>
      </c>
      <c r="AA52" s="991">
        <v>662</v>
      </c>
      <c r="AB52" s="992">
        <f t="shared" si="36"/>
        <v>3629</v>
      </c>
      <c r="AC52" s="993">
        <f t="shared" si="37"/>
        <v>25.5024595924104</v>
      </c>
      <c r="AD52" s="994">
        <f t="shared" si="38"/>
        <v>3995</v>
      </c>
      <c r="AE52" s="995">
        <f t="shared" si="39"/>
        <v>28.074490513000701</v>
      </c>
      <c r="AF52" s="996">
        <v>81</v>
      </c>
      <c r="AG52" s="997">
        <v>62</v>
      </c>
      <c r="AH52" s="997">
        <v>6</v>
      </c>
      <c r="AI52" s="998">
        <f t="shared" si="26"/>
        <v>149</v>
      </c>
      <c r="AJ52" s="993">
        <f t="shared" si="27"/>
        <v>1.0470836261419536</v>
      </c>
    </row>
    <row r="53" spans="1:36" ht="16.5" customHeight="1">
      <c r="A53" s="999">
        <f>'09월 조업일지'!A51</f>
        <v>46267</v>
      </c>
      <c r="B53" s="1099">
        <f>'09월 조업일지'!B51</f>
        <v>46267</v>
      </c>
      <c r="C53" s="1000" t="str">
        <f>'09월 화학성분'!D51</f>
        <v>A</v>
      </c>
      <c r="D53" s="1000" t="str">
        <f>'09월 화학성분'!E51</f>
        <v>A</v>
      </c>
      <c r="E53" s="1000">
        <f>'09월 화학성분'!C51</f>
        <v>85253</v>
      </c>
      <c r="F53" s="1001" t="str">
        <f t="shared" si="25"/>
        <v>SS400-05</v>
      </c>
      <c r="G53" s="1172">
        <v>18.8</v>
      </c>
      <c r="H53" s="985">
        <v>22600</v>
      </c>
      <c r="I53" s="1173">
        <v>16.3</v>
      </c>
      <c r="J53" s="985">
        <v>20800</v>
      </c>
      <c r="K53" s="1173">
        <v>8.6999999999999993</v>
      </c>
      <c r="L53" s="985">
        <v>11200</v>
      </c>
      <c r="M53" s="1174">
        <f t="shared" si="28"/>
        <v>43.8</v>
      </c>
      <c r="N53" s="984">
        <f t="shared" si="29"/>
        <v>54600</v>
      </c>
      <c r="O53" s="986">
        <f t="shared" si="30"/>
        <v>157.05350938151494</v>
      </c>
      <c r="P53" s="987">
        <f t="shared" si="31"/>
        <v>144.54482279360667</v>
      </c>
      <c r="Q53" s="987">
        <f t="shared" si="32"/>
        <v>77.831827658095904</v>
      </c>
      <c r="R53" s="988">
        <f t="shared" si="33"/>
        <v>379.43015983321754</v>
      </c>
      <c r="S53" s="989">
        <v>143.9</v>
      </c>
      <c r="T53" s="990">
        <v>0</v>
      </c>
      <c r="U53" s="991">
        <v>141</v>
      </c>
      <c r="V53" s="991">
        <v>254</v>
      </c>
      <c r="W53" s="992">
        <f t="shared" si="34"/>
        <v>395</v>
      </c>
      <c r="X53" s="993">
        <f t="shared" si="35"/>
        <v>2.7449617790132037</v>
      </c>
      <c r="Y53" s="990">
        <v>1484</v>
      </c>
      <c r="Z53" s="991">
        <v>1367</v>
      </c>
      <c r="AA53" s="991">
        <v>719</v>
      </c>
      <c r="AB53" s="992">
        <f t="shared" si="36"/>
        <v>3570</v>
      </c>
      <c r="AC53" s="993">
        <f t="shared" si="37"/>
        <v>24.808895066018067</v>
      </c>
      <c r="AD53" s="994">
        <f t="shared" si="38"/>
        <v>3965</v>
      </c>
      <c r="AE53" s="995">
        <f t="shared" si="39"/>
        <v>27.55385684503127</v>
      </c>
      <c r="AF53" s="996">
        <v>76</v>
      </c>
      <c r="AG53" s="997">
        <v>60</v>
      </c>
      <c r="AH53" s="997">
        <v>7</v>
      </c>
      <c r="AI53" s="998">
        <f t="shared" si="26"/>
        <v>143</v>
      </c>
      <c r="AJ53" s="993">
        <f t="shared" si="27"/>
        <v>0.99374565670604587</v>
      </c>
    </row>
    <row r="54" spans="1:36" ht="16.5" customHeight="1">
      <c r="A54" s="999">
        <f>'09월 조업일지'!A52</f>
        <v>46267</v>
      </c>
      <c r="B54" s="1099">
        <f>'09월 조업일지'!B52</f>
        <v>46267</v>
      </c>
      <c r="C54" s="1000" t="str">
        <f>'09월 화학성분'!D52</f>
        <v>A</v>
      </c>
      <c r="D54" s="1000" t="str">
        <f>'09월 화학성분'!E52</f>
        <v>B</v>
      </c>
      <c r="E54" s="1000">
        <f>'09월 화학성분'!C52</f>
        <v>85254</v>
      </c>
      <c r="F54" s="1001" t="str">
        <f t="shared" si="25"/>
        <v>SS400-05</v>
      </c>
      <c r="G54" s="1172">
        <v>19.7</v>
      </c>
      <c r="H54" s="985">
        <v>22900</v>
      </c>
      <c r="I54" s="1173">
        <v>16.2</v>
      </c>
      <c r="J54" s="985">
        <v>20300</v>
      </c>
      <c r="K54" s="1173">
        <v>9.9</v>
      </c>
      <c r="L54" s="985">
        <v>12800</v>
      </c>
      <c r="M54" s="1174">
        <f t="shared" si="28"/>
        <v>45.8</v>
      </c>
      <c r="N54" s="984">
        <f t="shared" si="29"/>
        <v>56000</v>
      </c>
      <c r="O54" s="986">
        <f t="shared" si="30"/>
        <v>159.02777777777777</v>
      </c>
      <c r="P54" s="987">
        <f t="shared" si="31"/>
        <v>140.97222222222223</v>
      </c>
      <c r="Q54" s="987">
        <f t="shared" si="32"/>
        <v>88.888888888888886</v>
      </c>
      <c r="R54" s="988">
        <f t="shared" si="33"/>
        <v>388.88888888888891</v>
      </c>
      <c r="S54" s="989">
        <v>144</v>
      </c>
      <c r="T54" s="990">
        <v>0</v>
      </c>
      <c r="U54" s="991">
        <v>106</v>
      </c>
      <c r="V54" s="991">
        <v>265</v>
      </c>
      <c r="W54" s="992">
        <f t="shared" si="34"/>
        <v>371</v>
      </c>
      <c r="X54" s="993">
        <f t="shared" si="35"/>
        <v>2.5763888888888888</v>
      </c>
      <c r="Y54" s="990">
        <v>1574</v>
      </c>
      <c r="Z54" s="991">
        <v>1353</v>
      </c>
      <c r="AA54" s="991">
        <v>732</v>
      </c>
      <c r="AB54" s="992">
        <f t="shared" si="36"/>
        <v>3659</v>
      </c>
      <c r="AC54" s="993">
        <f t="shared" si="37"/>
        <v>25.409722222222221</v>
      </c>
      <c r="AD54" s="994">
        <f t="shared" si="38"/>
        <v>4030</v>
      </c>
      <c r="AE54" s="995">
        <f t="shared" si="39"/>
        <v>27.986111111111111</v>
      </c>
      <c r="AF54" s="996">
        <v>84</v>
      </c>
      <c r="AG54" s="997">
        <v>62</v>
      </c>
      <c r="AH54" s="997">
        <v>7</v>
      </c>
      <c r="AI54" s="998">
        <f t="shared" si="26"/>
        <v>153</v>
      </c>
      <c r="AJ54" s="993">
        <f t="shared" si="27"/>
        <v>1.0625</v>
      </c>
    </row>
    <row r="55" spans="1:36" ht="16.5" customHeight="1">
      <c r="A55" s="999">
        <f>'09월 조업일지'!A53</f>
        <v>46267</v>
      </c>
      <c r="B55" s="1099">
        <f>'09월 조업일지'!B53</f>
        <v>46267</v>
      </c>
      <c r="C55" s="1000" t="str">
        <f>'09월 화학성분'!D53</f>
        <v>A</v>
      </c>
      <c r="D55" s="1000" t="str">
        <f>'09월 화학성분'!E53</f>
        <v>A</v>
      </c>
      <c r="E55" s="1000">
        <f>'09월 화학성분'!C53</f>
        <v>85255</v>
      </c>
      <c r="F55" s="1001" t="str">
        <f t="shared" si="25"/>
        <v>SS400-05</v>
      </c>
      <c r="G55" s="1172">
        <v>18.399999999999999</v>
      </c>
      <c r="H55" s="985">
        <v>22700</v>
      </c>
      <c r="I55" s="1173">
        <v>16.899999999999999</v>
      </c>
      <c r="J55" s="985">
        <v>21100</v>
      </c>
      <c r="K55" s="1173">
        <v>6.4</v>
      </c>
      <c r="L55" s="985">
        <v>8300</v>
      </c>
      <c r="M55" s="1174">
        <f t="shared" si="28"/>
        <v>41.699999999999996</v>
      </c>
      <c r="N55" s="984">
        <f t="shared" si="29"/>
        <v>52100</v>
      </c>
      <c r="O55" s="986">
        <f t="shared" si="30"/>
        <v>157.85813630041724</v>
      </c>
      <c r="P55" s="987">
        <f t="shared" si="31"/>
        <v>146.73157162726008</v>
      </c>
      <c r="Q55" s="987">
        <f t="shared" si="32"/>
        <v>57.719054242002777</v>
      </c>
      <c r="R55" s="988">
        <f t="shared" si="33"/>
        <v>362.30876216968005</v>
      </c>
      <c r="S55" s="989">
        <v>143.80000000000001</v>
      </c>
      <c r="T55" s="990">
        <v>0</v>
      </c>
      <c r="U55" s="991">
        <v>206</v>
      </c>
      <c r="V55" s="991">
        <v>71</v>
      </c>
      <c r="W55" s="992">
        <f t="shared" si="34"/>
        <v>277</v>
      </c>
      <c r="X55" s="993">
        <f t="shared" si="35"/>
        <v>1.9262865090403336</v>
      </c>
      <c r="Y55" s="990">
        <v>1496</v>
      </c>
      <c r="Z55" s="991">
        <v>1415</v>
      </c>
      <c r="AA55" s="991">
        <v>518</v>
      </c>
      <c r="AB55" s="992">
        <f t="shared" si="36"/>
        <v>3429</v>
      </c>
      <c r="AC55" s="993">
        <f t="shared" si="37"/>
        <v>23.845618915159942</v>
      </c>
      <c r="AD55" s="994">
        <f t="shared" si="38"/>
        <v>3706</v>
      </c>
      <c r="AE55" s="995">
        <f t="shared" si="39"/>
        <v>25.771905424200277</v>
      </c>
      <c r="AF55" s="996">
        <v>76</v>
      </c>
      <c r="AG55" s="997">
        <v>63</v>
      </c>
      <c r="AH55" s="997">
        <v>4</v>
      </c>
      <c r="AI55" s="998">
        <f t="shared" si="26"/>
        <v>143</v>
      </c>
      <c r="AJ55" s="993">
        <f t="shared" si="27"/>
        <v>0.99443671766342134</v>
      </c>
    </row>
    <row r="56" spans="1:36" ht="16.5" customHeight="1">
      <c r="A56" s="999">
        <f>'09월 조업일지'!A54</f>
        <v>46267</v>
      </c>
      <c r="B56" s="1099">
        <f>'09월 조업일지'!B54</f>
        <v>46267</v>
      </c>
      <c r="C56" s="1000" t="str">
        <f>'09월 화학성분'!D54</f>
        <v>A</v>
      </c>
      <c r="D56" s="1000" t="str">
        <f>'09월 화학성분'!E54</f>
        <v>B</v>
      </c>
      <c r="E56" s="1000">
        <f>'09월 화학성분'!C54</f>
        <v>85256</v>
      </c>
      <c r="F56" s="1001" t="str">
        <f t="shared" si="25"/>
        <v>SS400-05</v>
      </c>
      <c r="G56" s="1172">
        <v>19</v>
      </c>
      <c r="H56" s="985">
        <v>22600</v>
      </c>
      <c r="I56" s="1173">
        <v>16</v>
      </c>
      <c r="J56" s="985">
        <v>20300</v>
      </c>
      <c r="K56" s="1173">
        <v>9.3000000000000007</v>
      </c>
      <c r="L56" s="985">
        <v>12000</v>
      </c>
      <c r="M56" s="1174">
        <f t="shared" si="28"/>
        <v>44.3</v>
      </c>
      <c r="N56" s="984">
        <f t="shared" si="29"/>
        <v>54900</v>
      </c>
      <c r="O56" s="986">
        <f t="shared" si="30"/>
        <v>158.15255423372989</v>
      </c>
      <c r="P56" s="987">
        <f t="shared" si="31"/>
        <v>142.05738278516444</v>
      </c>
      <c r="Q56" s="987">
        <f t="shared" si="32"/>
        <v>83.974807557732674</v>
      </c>
      <c r="R56" s="988">
        <f t="shared" si="33"/>
        <v>384.184744576627</v>
      </c>
      <c r="S56" s="989">
        <v>142.9</v>
      </c>
      <c r="T56" s="990">
        <v>0</v>
      </c>
      <c r="U56" s="991">
        <v>101</v>
      </c>
      <c r="V56" s="991">
        <v>290</v>
      </c>
      <c r="W56" s="992">
        <f t="shared" si="34"/>
        <v>391</v>
      </c>
      <c r="X56" s="993">
        <f t="shared" si="35"/>
        <v>2.7361791462561231</v>
      </c>
      <c r="Y56" s="990">
        <v>1556</v>
      </c>
      <c r="Z56" s="991">
        <v>1344</v>
      </c>
      <c r="AA56" s="991">
        <v>789</v>
      </c>
      <c r="AB56" s="992">
        <f t="shared" si="36"/>
        <v>3689</v>
      </c>
      <c r="AC56" s="993">
        <f t="shared" si="37"/>
        <v>25.815255423372989</v>
      </c>
      <c r="AD56" s="994">
        <f t="shared" si="38"/>
        <v>4080</v>
      </c>
      <c r="AE56" s="995">
        <f t="shared" si="39"/>
        <v>28.551434569629109</v>
      </c>
      <c r="AF56" s="996">
        <v>82</v>
      </c>
      <c r="AG56" s="997">
        <v>60</v>
      </c>
      <c r="AH56" s="997">
        <v>8</v>
      </c>
      <c r="AI56" s="998">
        <f t="shared" si="26"/>
        <v>150</v>
      </c>
      <c r="AJ56" s="993">
        <f t="shared" si="27"/>
        <v>1.0496850944716585</v>
      </c>
    </row>
    <row r="57" spans="1:36" ht="16.5" customHeight="1">
      <c r="A57" s="999">
        <f>'09월 조업일지'!A55</f>
        <v>46267</v>
      </c>
      <c r="B57" s="1099">
        <f>'09월 조업일지'!B55</f>
        <v>46267</v>
      </c>
      <c r="C57" s="1000" t="str">
        <f>'09월 화학성분'!D55</f>
        <v>A</v>
      </c>
      <c r="D57" s="1000" t="str">
        <f>'09월 화학성분'!E55</f>
        <v>A</v>
      </c>
      <c r="E57" s="1000">
        <f>'09월 화학성분'!C55</f>
        <v>85257</v>
      </c>
      <c r="F57" s="1001" t="str">
        <f t="shared" si="25"/>
        <v>SS400-05</v>
      </c>
      <c r="G57" s="1172">
        <v>20.100000000000001</v>
      </c>
      <c r="H57" s="985">
        <v>23800</v>
      </c>
      <c r="I57" s="1173">
        <v>17</v>
      </c>
      <c r="J57" s="985">
        <v>20800</v>
      </c>
      <c r="K57" s="1173">
        <v>10</v>
      </c>
      <c r="L57" s="985">
        <v>12600</v>
      </c>
      <c r="M57" s="1174">
        <f t="shared" si="28"/>
        <v>47.1</v>
      </c>
      <c r="N57" s="984">
        <f t="shared" si="29"/>
        <v>57200</v>
      </c>
      <c r="O57" s="986">
        <f t="shared" si="30"/>
        <v>165.96931659693166</v>
      </c>
      <c r="P57" s="987">
        <f t="shared" si="31"/>
        <v>145.04881450488145</v>
      </c>
      <c r="Q57" s="987">
        <f t="shared" si="32"/>
        <v>87.86610878661088</v>
      </c>
      <c r="R57" s="988">
        <f t="shared" si="33"/>
        <v>398.88423988842396</v>
      </c>
      <c r="S57" s="989">
        <v>143.4</v>
      </c>
      <c r="T57" s="990">
        <v>0</v>
      </c>
      <c r="U57" s="991">
        <v>157</v>
      </c>
      <c r="V57" s="991">
        <v>218</v>
      </c>
      <c r="W57" s="992">
        <f t="shared" si="34"/>
        <v>375</v>
      </c>
      <c r="X57" s="993">
        <f t="shared" si="35"/>
        <v>2.6150627615062763</v>
      </c>
      <c r="Y57" s="990">
        <v>1666</v>
      </c>
      <c r="Z57" s="991">
        <v>1410</v>
      </c>
      <c r="AA57" s="991">
        <v>723</v>
      </c>
      <c r="AB57" s="992">
        <f t="shared" si="36"/>
        <v>3799</v>
      </c>
      <c r="AC57" s="993">
        <f t="shared" si="37"/>
        <v>26.492329149232916</v>
      </c>
      <c r="AD57" s="994">
        <f t="shared" si="38"/>
        <v>4174</v>
      </c>
      <c r="AE57" s="995">
        <f t="shared" si="39"/>
        <v>29.107391910739189</v>
      </c>
      <c r="AF57" s="996">
        <v>82</v>
      </c>
      <c r="AG57" s="997">
        <v>65</v>
      </c>
      <c r="AH57" s="997">
        <v>7</v>
      </c>
      <c r="AI57" s="998">
        <f t="shared" si="26"/>
        <v>154</v>
      </c>
      <c r="AJ57" s="993">
        <f t="shared" si="27"/>
        <v>1.0739191073919108</v>
      </c>
    </row>
    <row r="58" spans="1:36" ht="16.5" customHeight="1">
      <c r="A58" s="999">
        <f>'09월 조업일지'!A56</f>
        <v>46267</v>
      </c>
      <c r="B58" s="1099">
        <f>'09월 조업일지'!B56</f>
        <v>46267</v>
      </c>
      <c r="C58" s="1000" t="str">
        <f>'09월 화학성분'!D56</f>
        <v>C</v>
      </c>
      <c r="D58" s="1000" t="str">
        <f>'09월 화학성분'!E56</f>
        <v>B</v>
      </c>
      <c r="E58" s="1000">
        <f>'09월 화학성분'!C56</f>
        <v>85258</v>
      </c>
      <c r="F58" s="1001" t="str">
        <f t="shared" si="25"/>
        <v>SS400-05</v>
      </c>
      <c r="G58" s="1172">
        <v>19.899999999999999</v>
      </c>
      <c r="H58" s="985">
        <v>24300</v>
      </c>
      <c r="I58" s="1173">
        <v>17</v>
      </c>
      <c r="J58" s="985">
        <v>20400</v>
      </c>
      <c r="K58" s="1173">
        <v>13.4</v>
      </c>
      <c r="L58" s="985">
        <v>17100</v>
      </c>
      <c r="M58" s="1174">
        <f t="shared" si="28"/>
        <v>50.3</v>
      </c>
      <c r="N58" s="984">
        <f t="shared" si="29"/>
        <v>61800</v>
      </c>
      <c r="O58" s="986">
        <f t="shared" si="30"/>
        <v>170.8860759493671</v>
      </c>
      <c r="P58" s="987">
        <f t="shared" si="31"/>
        <v>143.45991561181435</v>
      </c>
      <c r="Q58" s="987">
        <f t="shared" si="32"/>
        <v>120.25316455696203</v>
      </c>
      <c r="R58" s="988">
        <f t="shared" si="33"/>
        <v>434.59915611814347</v>
      </c>
      <c r="S58" s="989">
        <v>142.19999999999999</v>
      </c>
      <c r="T58" s="990">
        <v>0</v>
      </c>
      <c r="U58" s="991">
        <v>208</v>
      </c>
      <c r="V58" s="991">
        <v>230</v>
      </c>
      <c r="W58" s="992">
        <f t="shared" si="34"/>
        <v>438</v>
      </c>
      <c r="X58" s="993">
        <f t="shared" si="35"/>
        <v>3.0801687763713081</v>
      </c>
      <c r="Y58" s="990">
        <v>1667</v>
      </c>
      <c r="Z58" s="991">
        <v>1205</v>
      </c>
      <c r="AA58" s="991">
        <v>1045</v>
      </c>
      <c r="AB58" s="992">
        <f t="shared" si="36"/>
        <v>3917</v>
      </c>
      <c r="AC58" s="993">
        <f t="shared" si="37"/>
        <v>27.545710267229257</v>
      </c>
      <c r="AD58" s="994">
        <f t="shared" si="38"/>
        <v>4355</v>
      </c>
      <c r="AE58" s="995">
        <f t="shared" si="39"/>
        <v>30.625879043600566</v>
      </c>
      <c r="AF58" s="996">
        <v>82</v>
      </c>
      <c r="AG58" s="997">
        <v>59</v>
      </c>
      <c r="AH58" s="997">
        <v>21</v>
      </c>
      <c r="AI58" s="998">
        <f t="shared" si="26"/>
        <v>162</v>
      </c>
      <c r="AJ58" s="993">
        <f t="shared" si="27"/>
        <v>1.139240506329114</v>
      </c>
    </row>
    <row r="59" spans="1:36" ht="16.5" customHeight="1">
      <c r="A59" s="999">
        <f>'09월 조업일지'!A57</f>
        <v>46267</v>
      </c>
      <c r="B59" s="1099">
        <f>'09월 조업일지'!B57</f>
        <v>46267</v>
      </c>
      <c r="C59" s="1000" t="str">
        <f>'09월 화학성분'!D57</f>
        <v>C</v>
      </c>
      <c r="D59" s="1000" t="str">
        <f>'09월 화학성분'!E57</f>
        <v>A</v>
      </c>
      <c r="E59" s="1000">
        <f>'09월 화학성분'!C57</f>
        <v>85259</v>
      </c>
      <c r="F59" s="1001" t="str">
        <f t="shared" si="25"/>
        <v>SS400-05</v>
      </c>
      <c r="G59" s="1172">
        <v>19.8</v>
      </c>
      <c r="H59" s="985">
        <v>24200</v>
      </c>
      <c r="I59" s="1173">
        <v>17</v>
      </c>
      <c r="J59" s="985">
        <v>20800</v>
      </c>
      <c r="K59" s="1173">
        <v>7.6</v>
      </c>
      <c r="L59" s="985">
        <v>9600</v>
      </c>
      <c r="M59" s="1174">
        <f t="shared" si="28"/>
        <v>44.4</v>
      </c>
      <c r="N59" s="984">
        <f t="shared" si="29"/>
        <v>54600</v>
      </c>
      <c r="O59" s="986">
        <f t="shared" si="30"/>
        <v>167.59002770083103</v>
      </c>
      <c r="P59" s="987">
        <f t="shared" si="31"/>
        <v>144.04432132963987</v>
      </c>
      <c r="Q59" s="987">
        <f t="shared" si="32"/>
        <v>66.481994459833786</v>
      </c>
      <c r="R59" s="988">
        <f t="shared" si="33"/>
        <v>378.1163434903047</v>
      </c>
      <c r="S59" s="989">
        <v>144.4</v>
      </c>
      <c r="T59" s="990">
        <v>0</v>
      </c>
      <c r="U59" s="991">
        <v>151</v>
      </c>
      <c r="V59" s="991">
        <v>184</v>
      </c>
      <c r="W59" s="992">
        <f t="shared" si="34"/>
        <v>335</v>
      </c>
      <c r="X59" s="993">
        <f t="shared" si="35"/>
        <v>2.3199445983379499</v>
      </c>
      <c r="Y59" s="990">
        <v>1633</v>
      </c>
      <c r="Z59" s="991">
        <v>1433</v>
      </c>
      <c r="AA59" s="991">
        <v>801</v>
      </c>
      <c r="AB59" s="992">
        <f t="shared" si="36"/>
        <v>3867</v>
      </c>
      <c r="AC59" s="993">
        <f t="shared" si="37"/>
        <v>26.779778393351801</v>
      </c>
      <c r="AD59" s="994">
        <f t="shared" si="38"/>
        <v>4202</v>
      </c>
      <c r="AE59" s="995">
        <f t="shared" si="39"/>
        <v>29.099722991689749</v>
      </c>
      <c r="AF59" s="996">
        <v>78</v>
      </c>
      <c r="AG59" s="997">
        <v>65</v>
      </c>
      <c r="AH59" s="997">
        <v>25</v>
      </c>
      <c r="AI59" s="998">
        <f t="shared" si="26"/>
        <v>168</v>
      </c>
      <c r="AJ59" s="993">
        <f t="shared" si="27"/>
        <v>1.1634349030470914</v>
      </c>
    </row>
    <row r="60" spans="1:36" ht="16.5" customHeight="1">
      <c r="A60" s="999">
        <f>'09월 조업일지'!A58</f>
        <v>46267</v>
      </c>
      <c r="B60" s="1099">
        <f>'09월 조업일지'!B58</f>
        <v>46267</v>
      </c>
      <c r="C60" s="1000" t="str">
        <f>'09월 화학성분'!D58</f>
        <v>C</v>
      </c>
      <c r="D60" s="1000" t="str">
        <f>'09월 화학성분'!E58</f>
        <v>B</v>
      </c>
      <c r="E60" s="1000">
        <f>'09월 화학성분'!C58</f>
        <v>85260</v>
      </c>
      <c r="F60" s="1001" t="str">
        <f t="shared" si="25"/>
        <v>SS400-05</v>
      </c>
      <c r="G60" s="1172">
        <v>18.600000000000001</v>
      </c>
      <c r="H60" s="985">
        <v>22700</v>
      </c>
      <c r="I60" s="1173">
        <v>16.8</v>
      </c>
      <c r="J60" s="985">
        <v>20800</v>
      </c>
      <c r="K60" s="1173">
        <v>12.8</v>
      </c>
      <c r="L60" s="985">
        <v>16000</v>
      </c>
      <c r="M60" s="1174">
        <f t="shared" si="28"/>
        <v>48.2</v>
      </c>
      <c r="N60" s="984">
        <f t="shared" si="29"/>
        <v>59500</v>
      </c>
      <c r="O60" s="986">
        <f t="shared" si="30"/>
        <v>157.96798886569243</v>
      </c>
      <c r="P60" s="987">
        <f t="shared" si="31"/>
        <v>144.74599860821155</v>
      </c>
      <c r="Q60" s="987">
        <f t="shared" si="32"/>
        <v>111.34307585247043</v>
      </c>
      <c r="R60" s="988">
        <f t="shared" si="33"/>
        <v>414.05706332637442</v>
      </c>
      <c r="S60" s="989">
        <v>143.69999999999999</v>
      </c>
      <c r="T60" s="990">
        <v>0</v>
      </c>
      <c r="U60" s="991">
        <v>67</v>
      </c>
      <c r="V60" s="991">
        <v>480</v>
      </c>
      <c r="W60" s="992">
        <f t="shared" si="34"/>
        <v>547</v>
      </c>
      <c r="X60" s="993">
        <f t="shared" si="35"/>
        <v>3.8065414057063331</v>
      </c>
      <c r="Y60" s="990">
        <v>1394</v>
      </c>
      <c r="Z60" s="991">
        <v>1189</v>
      </c>
      <c r="AA60" s="991">
        <v>1173</v>
      </c>
      <c r="AB60" s="992">
        <f t="shared" si="36"/>
        <v>3756</v>
      </c>
      <c r="AC60" s="993">
        <f t="shared" si="37"/>
        <v>26.137787056367433</v>
      </c>
      <c r="AD60" s="994">
        <f t="shared" si="38"/>
        <v>4303</v>
      </c>
      <c r="AE60" s="995">
        <f t="shared" si="39"/>
        <v>29.944328462073766</v>
      </c>
      <c r="AF60" s="996">
        <v>69</v>
      </c>
      <c r="AG60" s="997">
        <v>59</v>
      </c>
      <c r="AH60" s="997">
        <v>49</v>
      </c>
      <c r="AI60" s="998">
        <f t="shared" si="26"/>
        <v>177</v>
      </c>
      <c r="AJ60" s="993">
        <f t="shared" si="27"/>
        <v>1.2317327766179542</v>
      </c>
    </row>
    <row r="61" spans="1:36" ht="16.5" customHeight="1">
      <c r="A61" s="999">
        <f>'09월 조업일지'!A59</f>
        <v>46267</v>
      </c>
      <c r="B61" s="1099">
        <f>'09월 조업일지'!B59</f>
        <v>46267</v>
      </c>
      <c r="C61" s="1000" t="str">
        <f>'09월 화학성분'!D59</f>
        <v>C</v>
      </c>
      <c r="D61" s="1000" t="str">
        <f>'09월 화학성분'!E59</f>
        <v>A</v>
      </c>
      <c r="E61" s="1000">
        <f>'09월 화학성분'!C59</f>
        <v>85261</v>
      </c>
      <c r="F61" s="1001" t="str">
        <f t="shared" si="25"/>
        <v>SS400-05</v>
      </c>
      <c r="G61" s="1172">
        <v>19.899999999999999</v>
      </c>
      <c r="H61" s="985">
        <v>24100</v>
      </c>
      <c r="I61" s="1173">
        <v>17.600000000000001</v>
      </c>
      <c r="J61" s="985">
        <v>21000</v>
      </c>
      <c r="K61" s="1173">
        <v>7.4</v>
      </c>
      <c r="L61" s="985">
        <v>9400</v>
      </c>
      <c r="M61" s="1174">
        <f t="shared" si="28"/>
        <v>44.9</v>
      </c>
      <c r="N61" s="984">
        <f t="shared" si="29"/>
        <v>54500</v>
      </c>
      <c r="O61" s="986">
        <f t="shared" si="30"/>
        <v>167.59388038942976</v>
      </c>
      <c r="P61" s="987">
        <f t="shared" si="31"/>
        <v>146.03616133518776</v>
      </c>
      <c r="Q61" s="987">
        <f t="shared" si="32"/>
        <v>65.368567454798324</v>
      </c>
      <c r="R61" s="988">
        <f t="shared" si="33"/>
        <v>378.99860917941584</v>
      </c>
      <c r="S61" s="989">
        <v>143.80000000000001</v>
      </c>
      <c r="T61" s="990">
        <v>0</v>
      </c>
      <c r="U61" s="991">
        <v>79</v>
      </c>
      <c r="V61" s="991">
        <v>252</v>
      </c>
      <c r="W61" s="992">
        <f t="shared" si="34"/>
        <v>331</v>
      </c>
      <c r="X61" s="993">
        <f t="shared" si="35"/>
        <v>2.3018080667593876</v>
      </c>
      <c r="Y61" s="990">
        <v>1663</v>
      </c>
      <c r="Z61" s="991">
        <v>1498</v>
      </c>
      <c r="AA61" s="991">
        <v>657</v>
      </c>
      <c r="AB61" s="992">
        <f t="shared" si="36"/>
        <v>3818</v>
      </c>
      <c r="AC61" s="993">
        <f t="shared" si="37"/>
        <v>26.550764951321277</v>
      </c>
      <c r="AD61" s="994">
        <f t="shared" si="38"/>
        <v>4149</v>
      </c>
      <c r="AE61" s="995">
        <f t="shared" si="39"/>
        <v>28.852573018080665</v>
      </c>
      <c r="AF61" s="996">
        <v>81</v>
      </c>
      <c r="AG61" s="997">
        <v>74</v>
      </c>
      <c r="AH61" s="997">
        <v>6</v>
      </c>
      <c r="AI61" s="998">
        <f t="shared" si="26"/>
        <v>161</v>
      </c>
      <c r="AJ61" s="993">
        <f t="shared" si="27"/>
        <v>1.1196105702364394</v>
      </c>
    </row>
    <row r="62" spans="1:36" ht="16.5" customHeight="1">
      <c r="A62" s="999">
        <f>'09월 조업일지'!A60</f>
        <v>46267</v>
      </c>
      <c r="B62" s="1099">
        <f>'09월 조업일지'!B60</f>
        <v>46267</v>
      </c>
      <c r="C62" s="1000" t="str">
        <f>'09월 화학성분'!D60</f>
        <v>C</v>
      </c>
      <c r="D62" s="1232" t="str">
        <f>'09월 화학성분'!E60</f>
        <v>A</v>
      </c>
      <c r="E62" s="1000">
        <f>'09월 화학성분'!C60</f>
        <v>85262</v>
      </c>
      <c r="F62" s="1001" t="str">
        <f t="shared" si="25"/>
        <v>SS400-05</v>
      </c>
      <c r="G62" s="1172">
        <v>20.2</v>
      </c>
      <c r="H62" s="985">
        <v>23900</v>
      </c>
      <c r="I62" s="1173">
        <v>17.100000000000001</v>
      </c>
      <c r="J62" s="985">
        <v>20900</v>
      </c>
      <c r="K62" s="1173">
        <v>7.6</v>
      </c>
      <c r="L62" s="985">
        <v>9600</v>
      </c>
      <c r="M62" s="1174">
        <f t="shared" si="28"/>
        <v>44.9</v>
      </c>
      <c r="N62" s="984">
        <f t="shared" si="29"/>
        <v>54400</v>
      </c>
      <c r="O62" s="986">
        <f t="shared" si="30"/>
        <v>168.42847075405214</v>
      </c>
      <c r="P62" s="987">
        <f t="shared" si="31"/>
        <v>147.28682170542635</v>
      </c>
      <c r="Q62" s="987">
        <f t="shared" si="32"/>
        <v>67.653276955602536</v>
      </c>
      <c r="R62" s="988">
        <f t="shared" si="33"/>
        <v>383.36856941508108</v>
      </c>
      <c r="S62" s="989">
        <v>141.9</v>
      </c>
      <c r="T62" s="990">
        <v>0</v>
      </c>
      <c r="U62" s="991">
        <v>82</v>
      </c>
      <c r="V62" s="991">
        <v>258</v>
      </c>
      <c r="W62" s="992">
        <f t="shared" si="34"/>
        <v>340</v>
      </c>
      <c r="X62" s="993">
        <f t="shared" si="35"/>
        <v>2.3960535588442564</v>
      </c>
      <c r="Y62" s="990">
        <v>1685</v>
      </c>
      <c r="Z62" s="991">
        <v>1417</v>
      </c>
      <c r="AA62" s="991">
        <v>655</v>
      </c>
      <c r="AB62" s="992">
        <f t="shared" si="36"/>
        <v>3757</v>
      </c>
      <c r="AC62" s="993">
        <f t="shared" si="37"/>
        <v>26.476391825229033</v>
      </c>
      <c r="AD62" s="994">
        <f t="shared" si="38"/>
        <v>4097</v>
      </c>
      <c r="AE62" s="995">
        <f t="shared" si="39"/>
        <v>28.872445384073291</v>
      </c>
      <c r="AF62" s="996">
        <v>80</v>
      </c>
      <c r="AG62" s="997">
        <v>64</v>
      </c>
      <c r="AH62" s="997">
        <v>6</v>
      </c>
      <c r="AI62" s="998">
        <f t="shared" si="26"/>
        <v>150</v>
      </c>
      <c r="AJ62" s="993">
        <f t="shared" si="27"/>
        <v>1.0570824524312896</v>
      </c>
    </row>
    <row r="63" spans="1:36" ht="16.5" customHeight="1">
      <c r="A63" s="999">
        <f>'09월 조업일지'!A61</f>
        <v>46267</v>
      </c>
      <c r="B63" s="1099">
        <f>'09월 조업일지'!B61</f>
        <v>46267</v>
      </c>
      <c r="C63" s="1000" t="str">
        <f>'09월 화학성분'!D61</f>
        <v>C</v>
      </c>
      <c r="D63" s="1000" t="str">
        <f>'09월 화학성분'!E61</f>
        <v>B</v>
      </c>
      <c r="E63" s="1000">
        <f>'09월 화학성분'!C61</f>
        <v>85263</v>
      </c>
      <c r="F63" s="1001" t="str">
        <f t="shared" si="25"/>
        <v>SS400-05</v>
      </c>
      <c r="G63" s="1172">
        <v>20.100000000000001</v>
      </c>
      <c r="H63" s="985">
        <v>24200</v>
      </c>
      <c r="I63" s="1173">
        <v>16.5</v>
      </c>
      <c r="J63" s="985">
        <v>20400</v>
      </c>
      <c r="K63" s="1173">
        <v>12.6</v>
      </c>
      <c r="L63" s="985">
        <v>15400</v>
      </c>
      <c r="M63" s="1174">
        <f t="shared" si="28"/>
        <v>49.2</v>
      </c>
      <c r="N63" s="984">
        <f t="shared" si="29"/>
        <v>60000</v>
      </c>
      <c r="O63" s="986">
        <f t="shared" si="30"/>
        <v>168.17234190410005</v>
      </c>
      <c r="P63" s="987">
        <f t="shared" si="31"/>
        <v>141.76511466296037</v>
      </c>
      <c r="Q63" s="987">
        <f t="shared" si="32"/>
        <v>107.01876302988185</v>
      </c>
      <c r="R63" s="988">
        <f t="shared" si="33"/>
        <v>416.95621959694222</v>
      </c>
      <c r="S63" s="989">
        <v>143.9</v>
      </c>
      <c r="T63" s="990">
        <v>0</v>
      </c>
      <c r="U63" s="991">
        <v>96</v>
      </c>
      <c r="V63" s="991">
        <v>300</v>
      </c>
      <c r="W63" s="992">
        <f t="shared" si="34"/>
        <v>396</v>
      </c>
      <c r="X63" s="993">
        <f t="shared" si="35"/>
        <v>2.7519110493398191</v>
      </c>
      <c r="Y63" s="990">
        <v>1463</v>
      </c>
      <c r="Z63" s="991">
        <v>1200</v>
      </c>
      <c r="AA63" s="991">
        <v>1106</v>
      </c>
      <c r="AB63" s="992">
        <f t="shared" si="36"/>
        <v>3769</v>
      </c>
      <c r="AC63" s="993">
        <f t="shared" si="37"/>
        <v>26.191799861014591</v>
      </c>
      <c r="AD63" s="994">
        <f t="shared" si="38"/>
        <v>4165</v>
      </c>
      <c r="AE63" s="995">
        <f t="shared" si="39"/>
        <v>28.943710910354412</v>
      </c>
      <c r="AF63" s="996">
        <v>73</v>
      </c>
      <c r="AG63" s="997">
        <v>58</v>
      </c>
      <c r="AH63" s="997">
        <v>12</v>
      </c>
      <c r="AI63" s="998">
        <f t="shared" si="26"/>
        <v>143</v>
      </c>
      <c r="AJ63" s="993">
        <f t="shared" si="27"/>
        <v>0.99374565670604587</v>
      </c>
    </row>
    <row r="64" spans="1:36" ht="16.5" customHeight="1">
      <c r="A64" s="999">
        <f>'09월 조업일지'!A62</f>
        <v>46267</v>
      </c>
      <c r="B64" s="1099">
        <f>'09월 조업일지'!B62</f>
        <v>46267</v>
      </c>
      <c r="C64" s="1000" t="str">
        <f>'09월 화학성분'!D62</f>
        <v>C</v>
      </c>
      <c r="D64" s="1000" t="str">
        <f>'09월 화학성분'!E62</f>
        <v>A</v>
      </c>
      <c r="E64" s="1000">
        <f>'09월 화학성분'!C62</f>
        <v>85264</v>
      </c>
      <c r="F64" s="1001" t="str">
        <f t="shared" si="25"/>
        <v>SS400-05</v>
      </c>
      <c r="G64" s="1172">
        <v>20.399999999999999</v>
      </c>
      <c r="H64" s="985">
        <v>23300</v>
      </c>
      <c r="I64" s="1173">
        <v>17.2</v>
      </c>
      <c r="J64" s="985">
        <v>20700</v>
      </c>
      <c r="K64" s="1173">
        <v>9.6999999999999993</v>
      </c>
      <c r="L64" s="985">
        <v>11100</v>
      </c>
      <c r="M64" s="1174">
        <f t="shared" si="28"/>
        <v>47.3</v>
      </c>
      <c r="N64" s="984">
        <f t="shared" si="29"/>
        <v>55100</v>
      </c>
      <c r="O64" s="986">
        <f t="shared" si="30"/>
        <v>162.82320055904961</v>
      </c>
      <c r="P64" s="987">
        <f t="shared" si="31"/>
        <v>144.65408805031447</v>
      </c>
      <c r="Q64" s="987">
        <f t="shared" si="32"/>
        <v>77.568134171907758</v>
      </c>
      <c r="R64" s="988">
        <f t="shared" si="33"/>
        <v>385.0454227812719</v>
      </c>
      <c r="S64" s="989">
        <v>143.1</v>
      </c>
      <c r="T64" s="990">
        <v>0</v>
      </c>
      <c r="U64" s="991">
        <v>88</v>
      </c>
      <c r="V64" s="991">
        <v>278</v>
      </c>
      <c r="W64" s="992">
        <f t="shared" si="34"/>
        <v>366</v>
      </c>
      <c r="X64" s="993">
        <f t="shared" si="35"/>
        <v>2.5576519916142559</v>
      </c>
      <c r="Y64" s="990">
        <v>1657</v>
      </c>
      <c r="Z64" s="991">
        <v>1419</v>
      </c>
      <c r="AA64" s="991">
        <v>821</v>
      </c>
      <c r="AB64" s="992">
        <f t="shared" si="36"/>
        <v>3897</v>
      </c>
      <c r="AC64" s="993">
        <f t="shared" si="37"/>
        <v>27.232704402515726</v>
      </c>
      <c r="AD64" s="994">
        <f t="shared" si="38"/>
        <v>4263</v>
      </c>
      <c r="AE64" s="995">
        <f t="shared" si="39"/>
        <v>29.790356394129979</v>
      </c>
      <c r="AF64" s="996">
        <v>81</v>
      </c>
      <c r="AG64" s="997">
        <v>64</v>
      </c>
      <c r="AH64" s="997">
        <v>7</v>
      </c>
      <c r="AI64" s="998">
        <f t="shared" si="26"/>
        <v>152</v>
      </c>
      <c r="AJ64" s="993">
        <f t="shared" si="27"/>
        <v>1.0621942697414395</v>
      </c>
    </row>
    <row r="65" spans="1:38" ht="16.5" customHeight="1">
      <c r="A65" s="999">
        <f>'09월 조업일지'!A63</f>
        <v>46267</v>
      </c>
      <c r="B65" s="1099">
        <f>'09월 조업일지'!B63</f>
        <v>46267</v>
      </c>
      <c r="C65" s="1000" t="str">
        <f>'09월 화학성분'!D63</f>
        <v>C</v>
      </c>
      <c r="D65" s="1000" t="str">
        <f>'09월 화학성분'!E63</f>
        <v>B</v>
      </c>
      <c r="E65" s="1000">
        <f>'09월 화학성분'!C63</f>
        <v>85265</v>
      </c>
      <c r="F65" s="1001" t="str">
        <f t="shared" si="25"/>
        <v>SS400-05</v>
      </c>
      <c r="G65" s="1172">
        <v>19.5</v>
      </c>
      <c r="H65" s="985">
        <v>22700</v>
      </c>
      <c r="I65" s="1173">
        <v>17</v>
      </c>
      <c r="J65" s="985">
        <v>20300</v>
      </c>
      <c r="K65" s="1173">
        <v>9.8000000000000007</v>
      </c>
      <c r="L65" s="985">
        <v>12400</v>
      </c>
      <c r="M65" s="1174">
        <f t="shared" si="28"/>
        <v>46.3</v>
      </c>
      <c r="N65" s="984">
        <f t="shared" si="29"/>
        <v>55400</v>
      </c>
      <c r="O65" s="986">
        <f t="shared" si="30"/>
        <v>157.7484364141765</v>
      </c>
      <c r="P65" s="987">
        <f t="shared" si="31"/>
        <v>141.07018763029882</v>
      </c>
      <c r="Q65" s="987">
        <f t="shared" si="32"/>
        <v>86.170952050034742</v>
      </c>
      <c r="R65" s="988">
        <f t="shared" si="33"/>
        <v>384.98957609451008</v>
      </c>
      <c r="S65" s="989">
        <v>143.9</v>
      </c>
      <c r="T65" s="990">
        <v>0</v>
      </c>
      <c r="U65" s="991">
        <v>0</v>
      </c>
      <c r="V65" s="991">
        <v>338</v>
      </c>
      <c r="W65" s="992">
        <f t="shared" si="34"/>
        <v>338</v>
      </c>
      <c r="X65" s="993">
        <f t="shared" si="35"/>
        <v>2.3488533703961085</v>
      </c>
      <c r="Y65" s="990">
        <v>1496</v>
      </c>
      <c r="Z65" s="991">
        <v>1192</v>
      </c>
      <c r="AA65" s="991">
        <v>783</v>
      </c>
      <c r="AB65" s="992">
        <f t="shared" si="36"/>
        <v>3471</v>
      </c>
      <c r="AC65" s="993">
        <f t="shared" si="37"/>
        <v>24.120917303683111</v>
      </c>
      <c r="AD65" s="994">
        <f t="shared" si="38"/>
        <v>3809</v>
      </c>
      <c r="AE65" s="995">
        <f t="shared" si="39"/>
        <v>26.469770674079221</v>
      </c>
      <c r="AF65" s="996">
        <v>75</v>
      </c>
      <c r="AG65" s="997">
        <v>58</v>
      </c>
      <c r="AH65" s="997">
        <v>10</v>
      </c>
      <c r="AI65" s="998">
        <f t="shared" si="26"/>
        <v>143</v>
      </c>
      <c r="AJ65" s="993">
        <f t="shared" si="27"/>
        <v>0.99374565670604587</v>
      </c>
    </row>
    <row r="66" spans="1:38" ht="16.5" customHeight="1">
      <c r="A66" s="999">
        <f>'09월 조업일지'!A64</f>
        <v>46267</v>
      </c>
      <c r="B66" s="1099">
        <f>'09월 조업일지'!B64</f>
        <v>46267</v>
      </c>
      <c r="C66" s="1000" t="str">
        <f>'09월 화학성분'!D64</f>
        <v>C</v>
      </c>
      <c r="D66" s="1000" t="str">
        <f>'09월 화학성분'!E64</f>
        <v>A</v>
      </c>
      <c r="E66" s="1000">
        <f>'09월 화학성분'!C64</f>
        <v>85266</v>
      </c>
      <c r="F66" s="1001" t="str">
        <f t="shared" si="25"/>
        <v>SS400-05</v>
      </c>
      <c r="G66" s="1172">
        <v>20.7</v>
      </c>
      <c r="H66" s="985">
        <v>24900</v>
      </c>
      <c r="I66" s="1173">
        <v>17</v>
      </c>
      <c r="J66" s="985">
        <v>20500</v>
      </c>
      <c r="K66" s="1173">
        <v>10.1</v>
      </c>
      <c r="L66" s="985">
        <v>12900</v>
      </c>
      <c r="M66" s="1174">
        <f t="shared" si="28"/>
        <v>47.800000000000004</v>
      </c>
      <c r="N66" s="984">
        <f t="shared" si="29"/>
        <v>58300</v>
      </c>
      <c r="O66" s="986">
        <f t="shared" si="30"/>
        <v>172.4376731301939</v>
      </c>
      <c r="P66" s="987">
        <f t="shared" si="31"/>
        <v>141.96675900277009</v>
      </c>
      <c r="Q66" s="987">
        <f t="shared" si="32"/>
        <v>89.335180055401665</v>
      </c>
      <c r="R66" s="988">
        <f t="shared" si="33"/>
        <v>403.73961218836564</v>
      </c>
      <c r="S66" s="989">
        <v>144.4</v>
      </c>
      <c r="T66" s="990">
        <v>0</v>
      </c>
      <c r="U66" s="991">
        <v>121</v>
      </c>
      <c r="V66" s="991">
        <v>221</v>
      </c>
      <c r="W66" s="992">
        <f t="shared" si="34"/>
        <v>342</v>
      </c>
      <c r="X66" s="993">
        <f t="shared" si="35"/>
        <v>2.3684210526315788</v>
      </c>
      <c r="Y66" s="990">
        <v>1362</v>
      </c>
      <c r="Z66" s="991">
        <v>1092</v>
      </c>
      <c r="AA66" s="991">
        <v>534</v>
      </c>
      <c r="AB66" s="992">
        <f t="shared" si="36"/>
        <v>2988</v>
      </c>
      <c r="AC66" s="993">
        <f t="shared" si="37"/>
        <v>20.692520775623269</v>
      </c>
      <c r="AD66" s="994">
        <f t="shared" si="38"/>
        <v>3330</v>
      </c>
      <c r="AE66" s="995">
        <f t="shared" si="39"/>
        <v>23.060941828254848</v>
      </c>
      <c r="AF66" s="996">
        <v>72</v>
      </c>
      <c r="AG66" s="997">
        <v>53</v>
      </c>
      <c r="AH66" s="997">
        <v>3</v>
      </c>
      <c r="AI66" s="998">
        <f t="shared" si="26"/>
        <v>128</v>
      </c>
      <c r="AJ66" s="993">
        <f t="shared" si="27"/>
        <v>0.88642659279778391</v>
      </c>
    </row>
    <row r="67" spans="1:38" ht="16.5" customHeight="1">
      <c r="A67" s="999">
        <f>'09월 조업일지'!A65</f>
        <v>46267</v>
      </c>
      <c r="B67" s="1099">
        <f>'09월 조업일지'!B65</f>
        <v>46267</v>
      </c>
      <c r="C67" s="1000" t="str">
        <f>'09월 화학성분'!D65</f>
        <v>C</v>
      </c>
      <c r="D67" s="1000" t="str">
        <f>'09월 화학성분'!E65</f>
        <v>B</v>
      </c>
      <c r="E67" s="1000">
        <f>'09월 화학성분'!C65</f>
        <v>85267</v>
      </c>
      <c r="F67" s="1001" t="str">
        <f t="shared" si="25"/>
        <v>SS400-05</v>
      </c>
      <c r="G67" s="1172">
        <v>19</v>
      </c>
      <c r="H67" s="985">
        <v>22300</v>
      </c>
      <c r="I67" s="1173">
        <v>16.399999999999999</v>
      </c>
      <c r="J67" s="985">
        <v>20600</v>
      </c>
      <c r="K67" s="1173">
        <v>8.5</v>
      </c>
      <c r="L67" s="985">
        <v>10500</v>
      </c>
      <c r="M67" s="1174">
        <f t="shared" si="28"/>
        <v>43.9</v>
      </c>
      <c r="N67" s="984">
        <f t="shared" si="29"/>
        <v>53400</v>
      </c>
      <c r="O67" s="986">
        <f t="shared" si="30"/>
        <v>154.21853388658369</v>
      </c>
      <c r="P67" s="987">
        <f t="shared" si="31"/>
        <v>142.46196403872753</v>
      </c>
      <c r="Q67" s="987">
        <f t="shared" si="32"/>
        <v>72.614107883817425</v>
      </c>
      <c r="R67" s="988">
        <f t="shared" si="33"/>
        <v>369.29460580912865</v>
      </c>
      <c r="S67" s="989">
        <v>144.6</v>
      </c>
      <c r="T67" s="990">
        <v>0</v>
      </c>
      <c r="U67" s="991">
        <v>44</v>
      </c>
      <c r="V67" s="991">
        <v>266</v>
      </c>
      <c r="W67" s="992">
        <f t="shared" si="34"/>
        <v>310</v>
      </c>
      <c r="X67" s="993">
        <f t="shared" si="35"/>
        <v>2.1438450899031811</v>
      </c>
      <c r="Y67" s="990">
        <v>1588</v>
      </c>
      <c r="Z67" s="991">
        <v>1336</v>
      </c>
      <c r="AA67" s="991">
        <v>821</v>
      </c>
      <c r="AB67" s="992">
        <f t="shared" si="36"/>
        <v>3745</v>
      </c>
      <c r="AC67" s="993">
        <f t="shared" si="37"/>
        <v>25.899031811894883</v>
      </c>
      <c r="AD67" s="994">
        <f t="shared" si="38"/>
        <v>4055</v>
      </c>
      <c r="AE67" s="995">
        <f t="shared" si="39"/>
        <v>28.042876901798063</v>
      </c>
      <c r="AF67" s="996">
        <v>80</v>
      </c>
      <c r="AG67" s="997">
        <v>62</v>
      </c>
      <c r="AH67" s="997">
        <v>8</v>
      </c>
      <c r="AI67" s="998">
        <f t="shared" si="26"/>
        <v>150</v>
      </c>
      <c r="AJ67" s="993">
        <f t="shared" si="27"/>
        <v>1.0373443983402491</v>
      </c>
    </row>
    <row r="68" spans="1:38" ht="16.5" customHeight="1">
      <c r="A68" s="999">
        <f>'09월 조업일지'!A66</f>
        <v>46267</v>
      </c>
      <c r="B68" s="1099">
        <f>'09월 조업일지'!B66</f>
        <v>46267</v>
      </c>
      <c r="C68" s="1000" t="str">
        <f>'09월 화학성분'!D66</f>
        <v>D</v>
      </c>
      <c r="D68" s="1000" t="str">
        <f>'09월 화학성분'!E66</f>
        <v>A</v>
      </c>
      <c r="E68" s="1000">
        <f>'09월 화학성분'!C66</f>
        <v>85268</v>
      </c>
      <c r="F68" s="1001" t="str">
        <f t="shared" si="25"/>
        <v>SS400-05</v>
      </c>
      <c r="G68" s="1172">
        <v>19.5</v>
      </c>
      <c r="H68" s="985">
        <v>23500</v>
      </c>
      <c r="I68" s="1173">
        <v>17</v>
      </c>
      <c r="J68" s="985">
        <v>20500</v>
      </c>
      <c r="K68" s="1173">
        <v>9.6999999999999993</v>
      </c>
      <c r="L68" s="985">
        <v>12200</v>
      </c>
      <c r="M68" s="1174">
        <f t="shared" si="28"/>
        <v>46.2</v>
      </c>
      <c r="N68" s="984">
        <f t="shared" si="29"/>
        <v>56200</v>
      </c>
      <c r="O68" s="986">
        <f t="shared" si="30"/>
        <v>162.74238227146813</v>
      </c>
      <c r="P68" s="987">
        <f t="shared" si="31"/>
        <v>141.96675900277009</v>
      </c>
      <c r="Q68" s="987">
        <f t="shared" si="32"/>
        <v>84.48753462603878</v>
      </c>
      <c r="R68" s="988">
        <f t="shared" si="33"/>
        <v>389.196675900277</v>
      </c>
      <c r="S68" s="989">
        <v>144.4</v>
      </c>
      <c r="T68" s="990">
        <v>0</v>
      </c>
      <c r="U68" s="991">
        <v>87</v>
      </c>
      <c r="V68" s="991">
        <v>243</v>
      </c>
      <c r="W68" s="992">
        <f t="shared" si="34"/>
        <v>330</v>
      </c>
      <c r="X68" s="993">
        <f t="shared" si="35"/>
        <v>2.2853185595567864</v>
      </c>
      <c r="Y68" s="990">
        <v>1596</v>
      </c>
      <c r="Z68" s="991">
        <v>1385</v>
      </c>
      <c r="AA68" s="991">
        <v>811</v>
      </c>
      <c r="AB68" s="992">
        <f t="shared" si="36"/>
        <v>3792</v>
      </c>
      <c r="AC68" s="993">
        <f t="shared" si="37"/>
        <v>26.260387811634349</v>
      </c>
      <c r="AD68" s="994">
        <f t="shared" si="38"/>
        <v>4122</v>
      </c>
      <c r="AE68" s="995">
        <f t="shared" si="39"/>
        <v>28.545706371191134</v>
      </c>
      <c r="AF68" s="996">
        <v>79</v>
      </c>
      <c r="AG68" s="997">
        <v>63</v>
      </c>
      <c r="AH68" s="997">
        <v>7</v>
      </c>
      <c r="AI68" s="998">
        <f t="shared" si="26"/>
        <v>149</v>
      </c>
      <c r="AJ68" s="993">
        <f t="shared" si="27"/>
        <v>1.0318559556786704</v>
      </c>
    </row>
    <row r="69" spans="1:38" ht="16.5" customHeight="1">
      <c r="A69" s="999">
        <f>'09월 조업일지'!A67</f>
        <v>46267</v>
      </c>
      <c r="B69" s="1099">
        <f>'09월 조업일지'!B67</f>
        <v>46267</v>
      </c>
      <c r="C69" s="1000" t="str">
        <f>'09월 화학성분'!D67</f>
        <v>D</v>
      </c>
      <c r="D69" s="1000" t="str">
        <f>'09월 화학성분'!E67</f>
        <v>B</v>
      </c>
      <c r="E69" s="1000">
        <f>'09월 화학성분'!C67</f>
        <v>85269</v>
      </c>
      <c r="F69" s="1001" t="str">
        <f t="shared" si="25"/>
        <v>SS400-05</v>
      </c>
      <c r="G69" s="1172">
        <v>18.7</v>
      </c>
      <c r="H69" s="985">
        <v>22400</v>
      </c>
      <c r="I69" s="1173">
        <v>16</v>
      </c>
      <c r="J69" s="985">
        <v>20000</v>
      </c>
      <c r="K69" s="1173">
        <v>8.9</v>
      </c>
      <c r="L69" s="985">
        <v>11500</v>
      </c>
      <c r="M69" s="1174">
        <f t="shared" si="28"/>
        <v>43.6</v>
      </c>
      <c r="N69" s="984">
        <f t="shared" si="29"/>
        <v>53900</v>
      </c>
      <c r="O69" s="986">
        <f t="shared" si="30"/>
        <v>154.48275862068965</v>
      </c>
      <c r="P69" s="987">
        <f t="shared" si="31"/>
        <v>137.93103448275863</v>
      </c>
      <c r="Q69" s="987">
        <f t="shared" si="32"/>
        <v>79.310344827586206</v>
      </c>
      <c r="R69" s="988">
        <f t="shared" si="33"/>
        <v>371.72413793103448</v>
      </c>
      <c r="S69" s="989">
        <v>145</v>
      </c>
      <c r="T69" s="990">
        <v>0</v>
      </c>
      <c r="U69" s="991">
        <v>0</v>
      </c>
      <c r="V69" s="991">
        <v>340</v>
      </c>
      <c r="W69" s="992">
        <f t="shared" si="34"/>
        <v>340</v>
      </c>
      <c r="X69" s="993">
        <f t="shared" si="35"/>
        <v>2.3448275862068964</v>
      </c>
      <c r="Y69" s="990">
        <v>1513</v>
      </c>
      <c r="Z69" s="991">
        <v>1336</v>
      </c>
      <c r="AA69" s="991">
        <v>790</v>
      </c>
      <c r="AB69" s="992">
        <f t="shared" si="36"/>
        <v>3639</v>
      </c>
      <c r="AC69" s="993">
        <f t="shared" si="37"/>
        <v>25.096551724137932</v>
      </c>
      <c r="AD69" s="994">
        <f t="shared" si="38"/>
        <v>3979</v>
      </c>
      <c r="AE69" s="995">
        <f t="shared" si="39"/>
        <v>27.441379310344828</v>
      </c>
      <c r="AF69" s="996">
        <v>79</v>
      </c>
      <c r="AG69" s="997">
        <v>64</v>
      </c>
      <c r="AH69" s="997">
        <v>7</v>
      </c>
      <c r="AI69" s="998">
        <f t="shared" si="26"/>
        <v>150</v>
      </c>
      <c r="AJ69" s="993">
        <f t="shared" si="27"/>
        <v>1.0344827586206897</v>
      </c>
    </row>
    <row r="70" spans="1:38" ht="16.5" customHeight="1">
      <c r="A70" s="999">
        <f>'09월 조업일지'!A68</f>
        <v>46267</v>
      </c>
      <c r="B70" s="1099">
        <f>'09월 조업일지'!B68</f>
        <v>46267</v>
      </c>
      <c r="C70" s="1000" t="str">
        <f>'09월 화학성분'!D68</f>
        <v>D</v>
      </c>
      <c r="D70" s="1000" t="str">
        <f>'09월 화학성분'!E68</f>
        <v>A</v>
      </c>
      <c r="E70" s="1000">
        <f>'09월 화학성분'!C68</f>
        <v>85270</v>
      </c>
      <c r="F70" s="1001" t="str">
        <f t="shared" si="25"/>
        <v>SS400-05</v>
      </c>
      <c r="G70" s="1172">
        <v>19.600000000000001</v>
      </c>
      <c r="H70" s="985">
        <v>22300</v>
      </c>
      <c r="I70" s="1173">
        <v>16.8</v>
      </c>
      <c r="J70" s="985">
        <v>20600</v>
      </c>
      <c r="K70" s="1173">
        <v>8.6999999999999993</v>
      </c>
      <c r="L70" s="985">
        <v>11100</v>
      </c>
      <c r="M70" s="1174">
        <f t="shared" si="28"/>
        <v>45.100000000000009</v>
      </c>
      <c r="N70" s="984">
        <f t="shared" si="29"/>
        <v>54000</v>
      </c>
      <c r="O70" s="986">
        <f t="shared" si="30"/>
        <v>153.68711233631979</v>
      </c>
      <c r="P70" s="987">
        <f t="shared" si="31"/>
        <v>141.9710544452102</v>
      </c>
      <c r="Q70" s="987">
        <f t="shared" si="32"/>
        <v>76.498966230186085</v>
      </c>
      <c r="R70" s="988">
        <f t="shared" si="33"/>
        <v>372.15713301171604</v>
      </c>
      <c r="S70" s="989">
        <v>145.1</v>
      </c>
      <c r="T70" s="990">
        <v>0</v>
      </c>
      <c r="U70" s="991">
        <v>0</v>
      </c>
      <c r="V70" s="991">
        <v>343</v>
      </c>
      <c r="W70" s="992">
        <f t="shared" si="34"/>
        <v>343</v>
      </c>
      <c r="X70" s="993">
        <f t="shared" si="35"/>
        <v>2.3638869745003448</v>
      </c>
      <c r="Y70" s="990">
        <v>1592</v>
      </c>
      <c r="Z70" s="991">
        <v>1395</v>
      </c>
      <c r="AA70" s="991">
        <v>738</v>
      </c>
      <c r="AB70" s="992">
        <f t="shared" si="36"/>
        <v>3725</v>
      </c>
      <c r="AC70" s="993">
        <f t="shared" si="37"/>
        <v>25.671950379048933</v>
      </c>
      <c r="AD70" s="994">
        <f t="shared" si="38"/>
        <v>4068</v>
      </c>
      <c r="AE70" s="995">
        <f t="shared" si="39"/>
        <v>28.035837353549276</v>
      </c>
      <c r="AF70" s="996">
        <v>81</v>
      </c>
      <c r="AG70" s="997">
        <v>64</v>
      </c>
      <c r="AH70" s="997">
        <v>7</v>
      </c>
      <c r="AI70" s="998">
        <f t="shared" si="26"/>
        <v>152</v>
      </c>
      <c r="AJ70" s="993">
        <f t="shared" si="27"/>
        <v>1.0475534114403859</v>
      </c>
    </row>
    <row r="71" spans="1:38" ht="16.5" customHeight="1">
      <c r="A71" s="999">
        <f>'09월 조업일지'!A69</f>
        <v>46267</v>
      </c>
      <c r="B71" s="1099">
        <f>'09월 조업일지'!B69</f>
        <v>46267</v>
      </c>
      <c r="C71" s="1000" t="str">
        <f>'09월 화학성분'!D69</f>
        <v>D</v>
      </c>
      <c r="D71" s="1000" t="str">
        <f>'09월 화학성분'!E69</f>
        <v>B</v>
      </c>
      <c r="E71" s="1000">
        <f>'09월 화학성분'!C69</f>
        <v>85271</v>
      </c>
      <c r="F71" s="1001" t="str">
        <f t="shared" si="25"/>
        <v>SS400-05</v>
      </c>
      <c r="G71" s="1172">
        <v>19.5</v>
      </c>
      <c r="H71" s="985">
        <v>22700</v>
      </c>
      <c r="I71" s="1173">
        <v>16.7</v>
      </c>
      <c r="J71" s="985">
        <v>20600</v>
      </c>
      <c r="K71" s="1173">
        <v>8.8000000000000007</v>
      </c>
      <c r="L71" s="985">
        <v>11200</v>
      </c>
      <c r="M71" s="1174">
        <f t="shared" si="28"/>
        <v>45</v>
      </c>
      <c r="N71" s="984">
        <f t="shared" si="29"/>
        <v>54500</v>
      </c>
      <c r="O71" s="986">
        <f t="shared" si="30"/>
        <v>156.55172413793105</v>
      </c>
      <c r="P71" s="987">
        <f t="shared" si="31"/>
        <v>142.06896551724137</v>
      </c>
      <c r="Q71" s="987">
        <f t="shared" si="32"/>
        <v>77.241379310344826</v>
      </c>
      <c r="R71" s="988">
        <f t="shared" si="33"/>
        <v>375.86206896551727</v>
      </c>
      <c r="S71" s="989">
        <v>145</v>
      </c>
      <c r="T71" s="990">
        <v>0</v>
      </c>
      <c r="U71" s="991">
        <v>12</v>
      </c>
      <c r="V71" s="991">
        <v>313</v>
      </c>
      <c r="W71" s="992">
        <f t="shared" si="34"/>
        <v>325</v>
      </c>
      <c r="X71" s="993">
        <f t="shared" si="35"/>
        <v>2.2413793103448274</v>
      </c>
      <c r="Y71" s="990">
        <v>1576</v>
      </c>
      <c r="Z71" s="991">
        <v>1402</v>
      </c>
      <c r="AA71" s="991">
        <v>707</v>
      </c>
      <c r="AB71" s="992">
        <f t="shared" si="36"/>
        <v>3685</v>
      </c>
      <c r="AC71" s="993">
        <f t="shared" si="37"/>
        <v>25.413793103448278</v>
      </c>
      <c r="AD71" s="994">
        <f t="shared" si="38"/>
        <v>4010</v>
      </c>
      <c r="AE71" s="995">
        <f t="shared" si="39"/>
        <v>27.655172413793103</v>
      </c>
      <c r="AF71" s="996">
        <v>84</v>
      </c>
      <c r="AG71" s="997">
        <v>63</v>
      </c>
      <c r="AH71" s="997">
        <v>6</v>
      </c>
      <c r="AI71" s="998">
        <f t="shared" si="26"/>
        <v>153</v>
      </c>
      <c r="AJ71" s="993">
        <f t="shared" si="27"/>
        <v>1.0551724137931036</v>
      </c>
    </row>
    <row r="72" spans="1:38" ht="16.5" customHeight="1">
      <c r="A72" s="999">
        <f>'09월 조업일지'!A70</f>
        <v>46267</v>
      </c>
      <c r="B72" s="1099">
        <f>'09월 조업일지'!B70</f>
        <v>46267</v>
      </c>
      <c r="C72" s="1000" t="str">
        <f>'09월 화학성분'!D70</f>
        <v>D</v>
      </c>
      <c r="D72" s="1000" t="str">
        <f>'09월 화학성분'!E70</f>
        <v>A</v>
      </c>
      <c r="E72" s="1000">
        <f>'09월 화학성분'!C70</f>
        <v>85272</v>
      </c>
      <c r="F72" s="1001" t="str">
        <f t="shared" si="25"/>
        <v>SS400-05</v>
      </c>
      <c r="G72" s="1172">
        <v>18.7</v>
      </c>
      <c r="H72" s="985">
        <v>23200</v>
      </c>
      <c r="I72" s="1173">
        <v>16.7</v>
      </c>
      <c r="J72" s="985">
        <v>20800</v>
      </c>
      <c r="K72" s="1173">
        <v>8.9</v>
      </c>
      <c r="L72" s="985">
        <v>11300</v>
      </c>
      <c r="M72" s="1174">
        <f t="shared" si="28"/>
        <v>44.3</v>
      </c>
      <c r="N72" s="984">
        <f t="shared" si="29"/>
        <v>55300</v>
      </c>
      <c r="O72" s="986">
        <f t="shared" si="30"/>
        <v>162.12438853948288</v>
      </c>
      <c r="P72" s="987">
        <f t="shared" si="31"/>
        <v>145.3529000698812</v>
      </c>
      <c r="Q72" s="987">
        <f t="shared" si="32"/>
        <v>78.965758211041233</v>
      </c>
      <c r="R72" s="988">
        <f t="shared" si="33"/>
        <v>386.44304682040536</v>
      </c>
      <c r="S72" s="989">
        <v>143.1</v>
      </c>
      <c r="T72" s="990">
        <v>0</v>
      </c>
      <c r="U72" s="991">
        <v>1</v>
      </c>
      <c r="V72" s="991">
        <v>340</v>
      </c>
      <c r="W72" s="992">
        <f t="shared" si="34"/>
        <v>341</v>
      </c>
      <c r="X72" s="993">
        <f t="shared" si="35"/>
        <v>2.3829489867225719</v>
      </c>
      <c r="Y72" s="990">
        <v>1556</v>
      </c>
      <c r="Z72" s="991">
        <v>1412</v>
      </c>
      <c r="AA72" s="991">
        <v>673</v>
      </c>
      <c r="AB72" s="992">
        <f t="shared" si="36"/>
        <v>3641</v>
      </c>
      <c r="AC72" s="993">
        <f t="shared" si="37"/>
        <v>25.443745632424879</v>
      </c>
      <c r="AD72" s="994">
        <f t="shared" si="38"/>
        <v>3982</v>
      </c>
      <c r="AE72" s="995">
        <f t="shared" si="39"/>
        <v>27.82669461914745</v>
      </c>
      <c r="AF72" s="996">
        <v>79</v>
      </c>
      <c r="AG72" s="997">
        <v>62</v>
      </c>
      <c r="AH72" s="997">
        <v>5</v>
      </c>
      <c r="AI72" s="998">
        <f t="shared" si="26"/>
        <v>146</v>
      </c>
      <c r="AJ72" s="993">
        <f t="shared" si="27"/>
        <v>1.0202655485674355</v>
      </c>
    </row>
    <row r="73" spans="1:38" ht="16.5" customHeight="1">
      <c r="A73" s="999">
        <f>'09월 조업일지'!A71</f>
        <v>46267</v>
      </c>
      <c r="B73" s="1099">
        <f>'09월 조업일지'!B71</f>
        <v>46267</v>
      </c>
      <c r="C73" s="1000" t="str">
        <f>'09월 화학성분'!D71</f>
        <v>D</v>
      </c>
      <c r="D73" s="1000" t="str">
        <f>'09월 화학성분'!E71</f>
        <v>B</v>
      </c>
      <c r="E73" s="1000">
        <f>'09월 화학성분'!C71</f>
        <v>85273</v>
      </c>
      <c r="F73" s="1001" t="str">
        <f t="shared" si="25"/>
        <v>SS400-05</v>
      </c>
      <c r="G73" s="1172">
        <v>18.600000000000001</v>
      </c>
      <c r="H73" s="985">
        <v>22300</v>
      </c>
      <c r="I73" s="1173">
        <v>16.399999999999999</v>
      </c>
      <c r="J73" s="985">
        <v>20300</v>
      </c>
      <c r="K73" s="1173">
        <v>9.1999999999999993</v>
      </c>
      <c r="L73" s="985">
        <v>11800</v>
      </c>
      <c r="M73" s="1174">
        <f t="shared" si="28"/>
        <v>44.2</v>
      </c>
      <c r="N73" s="984">
        <f t="shared" si="29"/>
        <v>54400</v>
      </c>
      <c r="O73" s="986">
        <f t="shared" si="30"/>
        <v>154.96872828353023</v>
      </c>
      <c r="P73" s="987">
        <f t="shared" si="31"/>
        <v>141.07018763029882</v>
      </c>
      <c r="Q73" s="987">
        <f t="shared" si="32"/>
        <v>82.001389854065323</v>
      </c>
      <c r="R73" s="988">
        <f t="shared" si="33"/>
        <v>378.04030576789438</v>
      </c>
      <c r="S73" s="989">
        <v>143.9</v>
      </c>
      <c r="T73" s="990">
        <v>0</v>
      </c>
      <c r="U73" s="991">
        <v>4</v>
      </c>
      <c r="V73" s="991">
        <v>340</v>
      </c>
      <c r="W73" s="992">
        <f t="shared" si="34"/>
        <v>344</v>
      </c>
      <c r="X73" s="993">
        <f t="shared" si="35"/>
        <v>2.3905489923558028</v>
      </c>
      <c r="Y73" s="990">
        <v>1518</v>
      </c>
      <c r="Z73" s="991">
        <v>1360</v>
      </c>
      <c r="AA73" s="991">
        <v>810</v>
      </c>
      <c r="AB73" s="992">
        <f t="shared" si="36"/>
        <v>3688</v>
      </c>
      <c r="AC73" s="993">
        <f t="shared" si="37"/>
        <v>25.628908964558722</v>
      </c>
      <c r="AD73" s="994">
        <f t="shared" si="38"/>
        <v>4032</v>
      </c>
      <c r="AE73" s="995">
        <f t="shared" si="39"/>
        <v>28.019457956914522</v>
      </c>
      <c r="AF73" s="996">
        <v>82</v>
      </c>
      <c r="AG73" s="997">
        <v>63</v>
      </c>
      <c r="AH73" s="997">
        <v>7</v>
      </c>
      <c r="AI73" s="998">
        <f t="shared" si="26"/>
        <v>152</v>
      </c>
      <c r="AJ73" s="993">
        <f t="shared" si="27"/>
        <v>1.0562890896455872</v>
      </c>
    </row>
    <row r="74" spans="1:38" ht="16.5" customHeight="1">
      <c r="A74" s="999">
        <f>'09월 조업일지'!A72</f>
        <v>46267</v>
      </c>
      <c r="B74" s="1099">
        <f>'09월 조업일지'!B72</f>
        <v>46267</v>
      </c>
      <c r="C74" s="1000" t="str">
        <f>'09월 화학성분'!D72</f>
        <v>D</v>
      </c>
      <c r="D74" s="1000" t="str">
        <f>'09월 화학성분'!E72</f>
        <v>A</v>
      </c>
      <c r="E74" s="1000">
        <f>'09월 화학성분'!C72</f>
        <v>85274</v>
      </c>
      <c r="F74" s="1001" t="str">
        <f t="shared" si="25"/>
        <v>SS400-05</v>
      </c>
      <c r="G74" s="1172">
        <v>19.2</v>
      </c>
      <c r="H74" s="985">
        <v>23700</v>
      </c>
      <c r="I74" s="1173">
        <v>16.899999999999999</v>
      </c>
      <c r="J74" s="985">
        <v>20900</v>
      </c>
      <c r="K74" s="1173">
        <v>7.6</v>
      </c>
      <c r="L74" s="985">
        <v>9600</v>
      </c>
      <c r="M74" s="1174">
        <f t="shared" si="28"/>
        <v>43.699999999999996</v>
      </c>
      <c r="N74" s="984">
        <f t="shared" si="29"/>
        <v>54200</v>
      </c>
      <c r="O74" s="986">
        <f t="shared" si="30"/>
        <v>165.73426573426573</v>
      </c>
      <c r="P74" s="987">
        <f t="shared" si="31"/>
        <v>146.15384615384616</v>
      </c>
      <c r="Q74" s="987">
        <f t="shared" si="32"/>
        <v>67.132867132867133</v>
      </c>
      <c r="R74" s="988">
        <f t="shared" si="33"/>
        <v>379.02097902097904</v>
      </c>
      <c r="S74" s="989">
        <v>143</v>
      </c>
      <c r="T74" s="990">
        <v>0</v>
      </c>
      <c r="U74" s="991">
        <v>99</v>
      </c>
      <c r="V74" s="991">
        <v>233</v>
      </c>
      <c r="W74" s="992">
        <f t="shared" si="34"/>
        <v>332</v>
      </c>
      <c r="X74" s="993">
        <f t="shared" si="35"/>
        <v>2.3216783216783217</v>
      </c>
      <c r="Y74" s="990">
        <v>1620</v>
      </c>
      <c r="Z74" s="991">
        <v>1417</v>
      </c>
      <c r="AA74" s="991">
        <v>683</v>
      </c>
      <c r="AB74" s="992">
        <f t="shared" si="36"/>
        <v>3720</v>
      </c>
      <c r="AC74" s="993">
        <f t="shared" si="37"/>
        <v>26.013986013986013</v>
      </c>
      <c r="AD74" s="994">
        <f t="shared" si="38"/>
        <v>4052</v>
      </c>
      <c r="AE74" s="995">
        <f t="shared" si="39"/>
        <v>28.335664335664337</v>
      </c>
      <c r="AF74" s="996">
        <v>79</v>
      </c>
      <c r="AG74" s="997">
        <v>62</v>
      </c>
      <c r="AH74" s="997">
        <v>5</v>
      </c>
      <c r="AI74" s="998">
        <f t="shared" si="26"/>
        <v>146</v>
      </c>
      <c r="AJ74" s="993">
        <f t="shared" si="27"/>
        <v>1.020979020979021</v>
      </c>
    </row>
    <row r="75" spans="1:38" ht="16.5" customHeight="1">
      <c r="A75" s="999">
        <f>'09월 조업일지'!A73</f>
        <v>46268</v>
      </c>
      <c r="B75" s="1099">
        <f>'09월 조업일지'!B73</f>
        <v>46267</v>
      </c>
      <c r="C75" s="1000" t="str">
        <f>'09월 화학성분'!D73</f>
        <v>D</v>
      </c>
      <c r="D75" s="1000" t="str">
        <f>'09월 화학성분'!E73</f>
        <v>B</v>
      </c>
      <c r="E75" s="1000">
        <f>'09월 화학성분'!C73</f>
        <v>85275</v>
      </c>
      <c r="F75" s="1001" t="str">
        <f t="shared" si="25"/>
        <v>SS400-05</v>
      </c>
      <c r="G75" s="1172">
        <v>18.2</v>
      </c>
      <c r="H75" s="985">
        <v>22300</v>
      </c>
      <c r="I75" s="1173">
        <v>16.3</v>
      </c>
      <c r="J75" s="985">
        <v>20400</v>
      </c>
      <c r="K75" s="1173">
        <v>9.3000000000000007</v>
      </c>
      <c r="L75" s="985">
        <v>11900</v>
      </c>
      <c r="M75" s="1174">
        <f t="shared" si="28"/>
        <v>43.8</v>
      </c>
      <c r="N75" s="984">
        <f t="shared" si="29"/>
        <v>54600</v>
      </c>
      <c r="O75" s="986">
        <f t="shared" si="30"/>
        <v>155.83508036338225</v>
      </c>
      <c r="P75" s="987">
        <f t="shared" si="31"/>
        <v>142.55765199161425</v>
      </c>
      <c r="Q75" s="987">
        <f t="shared" si="32"/>
        <v>83.158630328441646</v>
      </c>
      <c r="R75" s="988">
        <f t="shared" si="33"/>
        <v>381.55136268343813</v>
      </c>
      <c r="S75" s="989">
        <v>143.1</v>
      </c>
      <c r="T75" s="990">
        <v>0</v>
      </c>
      <c r="U75" s="991">
        <v>0</v>
      </c>
      <c r="V75" s="991">
        <v>322</v>
      </c>
      <c r="W75" s="992">
        <f t="shared" si="34"/>
        <v>322</v>
      </c>
      <c r="X75" s="993">
        <f t="shared" si="35"/>
        <v>2.250174703004892</v>
      </c>
      <c r="Y75" s="990">
        <v>1462</v>
      </c>
      <c r="Z75" s="991">
        <v>1382</v>
      </c>
      <c r="AA75" s="991">
        <v>796</v>
      </c>
      <c r="AB75" s="992">
        <f t="shared" si="36"/>
        <v>3640</v>
      </c>
      <c r="AC75" s="993">
        <f t="shared" si="37"/>
        <v>25.43675751222921</v>
      </c>
      <c r="AD75" s="994">
        <f t="shared" si="38"/>
        <v>3962</v>
      </c>
      <c r="AE75" s="995">
        <f t="shared" si="39"/>
        <v>27.686932215234105</v>
      </c>
      <c r="AF75" s="996">
        <v>78</v>
      </c>
      <c r="AG75" s="997">
        <v>64</v>
      </c>
      <c r="AH75" s="997">
        <v>7</v>
      </c>
      <c r="AI75" s="998">
        <f t="shared" si="26"/>
        <v>149</v>
      </c>
      <c r="AJ75" s="993">
        <f t="shared" si="27"/>
        <v>1.0412299091544375</v>
      </c>
    </row>
    <row r="76" spans="1:38" ht="16.5" customHeight="1">
      <c r="A76" s="999">
        <f>'09월 조업일지'!A74</f>
        <v>46268</v>
      </c>
      <c r="B76" s="1099">
        <f>'09월 조업일지'!B74</f>
        <v>46267</v>
      </c>
      <c r="C76" s="1000" t="str">
        <f>'09월 화학성분'!D74</f>
        <v>D</v>
      </c>
      <c r="D76" s="1000" t="str">
        <f>'09월 화학성분'!E74</f>
        <v>A</v>
      </c>
      <c r="E76" s="1000">
        <f>'09월 화학성분'!C74</f>
        <v>85276</v>
      </c>
      <c r="F76" s="1001" t="str">
        <f t="shared" si="25"/>
        <v>SS400-05</v>
      </c>
      <c r="G76" s="1172">
        <v>18.2</v>
      </c>
      <c r="H76" s="985">
        <v>22400</v>
      </c>
      <c r="I76" s="1173">
        <v>16.600000000000001</v>
      </c>
      <c r="J76" s="985">
        <v>20900</v>
      </c>
      <c r="K76" s="1173">
        <v>12.4</v>
      </c>
      <c r="L76" s="985">
        <v>14900</v>
      </c>
      <c r="M76" s="1174">
        <f t="shared" si="28"/>
        <v>47.199999999999996</v>
      </c>
      <c r="N76" s="984">
        <f t="shared" si="29"/>
        <v>58200</v>
      </c>
      <c r="O76" s="986">
        <f t="shared" si="30"/>
        <v>156.09756097560975</v>
      </c>
      <c r="P76" s="987">
        <f t="shared" si="31"/>
        <v>145.64459930313589</v>
      </c>
      <c r="Q76" s="987">
        <f t="shared" si="32"/>
        <v>103.83275261324042</v>
      </c>
      <c r="R76" s="988">
        <f t="shared" si="33"/>
        <v>405.57491289198606</v>
      </c>
      <c r="S76" s="989">
        <v>143.5</v>
      </c>
      <c r="T76" s="990">
        <v>0</v>
      </c>
      <c r="U76" s="991">
        <v>0</v>
      </c>
      <c r="V76" s="991">
        <v>0</v>
      </c>
      <c r="W76" s="992">
        <v>0</v>
      </c>
      <c r="X76" s="993">
        <v>0</v>
      </c>
      <c r="Y76" s="990">
        <v>1487</v>
      </c>
      <c r="Z76" s="991">
        <v>1414</v>
      </c>
      <c r="AA76" s="991">
        <v>831</v>
      </c>
      <c r="AB76" s="992">
        <f t="shared" si="36"/>
        <v>3732</v>
      </c>
      <c r="AC76" s="993">
        <f t="shared" si="37"/>
        <v>26.006968641114984</v>
      </c>
      <c r="AD76" s="994">
        <f t="shared" si="38"/>
        <v>3732</v>
      </c>
      <c r="AE76" s="995">
        <f t="shared" si="39"/>
        <v>26.006968641114984</v>
      </c>
      <c r="AF76" s="996">
        <v>77</v>
      </c>
      <c r="AG76" s="997">
        <v>64</v>
      </c>
      <c r="AH76" s="997">
        <v>7</v>
      </c>
      <c r="AI76" s="998">
        <f t="shared" si="26"/>
        <v>148</v>
      </c>
      <c r="AJ76" s="993">
        <f t="shared" si="27"/>
        <v>1.0313588850174216</v>
      </c>
    </row>
    <row r="77" spans="1:38" ht="16.5" customHeight="1">
      <c r="A77" s="999">
        <f>'09월 조업일지'!A75</f>
        <v>46268</v>
      </c>
      <c r="B77" s="1099">
        <f>'09월 조업일지'!B75</f>
        <v>46267</v>
      </c>
      <c r="C77" s="1000" t="str">
        <f>'09월 화학성분'!D75</f>
        <v>D</v>
      </c>
      <c r="D77" s="1000" t="str">
        <f>'09월 화학성분'!E75</f>
        <v>B</v>
      </c>
      <c r="E77" s="1000">
        <f>'09월 화학성분'!C75</f>
        <v>85277</v>
      </c>
      <c r="F77" s="1001" t="str">
        <f t="shared" si="25"/>
        <v>SS400-05</v>
      </c>
      <c r="G77" s="1172">
        <v>19.2</v>
      </c>
      <c r="H77" s="985">
        <v>23300</v>
      </c>
      <c r="I77" s="1173">
        <v>16.3</v>
      </c>
      <c r="J77" s="985">
        <v>20500</v>
      </c>
      <c r="K77" s="1173">
        <v>9</v>
      </c>
      <c r="L77" s="985">
        <v>11500</v>
      </c>
      <c r="M77" s="1174">
        <f t="shared" si="28"/>
        <v>44.5</v>
      </c>
      <c r="N77" s="984">
        <f t="shared" si="29"/>
        <v>55300</v>
      </c>
      <c r="O77" s="986">
        <f t="shared" si="30"/>
        <v>163.27960756832516</v>
      </c>
      <c r="P77" s="987">
        <f t="shared" si="31"/>
        <v>143.65802382620885</v>
      </c>
      <c r="Q77" s="987">
        <f t="shared" si="32"/>
        <v>80.588647512263492</v>
      </c>
      <c r="R77" s="988">
        <f t="shared" si="33"/>
        <v>387.52627890679753</v>
      </c>
      <c r="S77" s="989">
        <v>142.69999999999999</v>
      </c>
      <c r="T77" s="990">
        <v>0</v>
      </c>
      <c r="U77" s="991">
        <v>13</v>
      </c>
      <c r="V77" s="991">
        <v>333</v>
      </c>
      <c r="W77" s="992">
        <f t="shared" si="34"/>
        <v>346</v>
      </c>
      <c r="X77" s="993">
        <f t="shared" si="35"/>
        <v>2.4246671338472323</v>
      </c>
      <c r="Y77" s="990">
        <v>1615</v>
      </c>
      <c r="Z77" s="991">
        <v>1370</v>
      </c>
      <c r="AA77" s="991">
        <v>775</v>
      </c>
      <c r="AB77" s="992">
        <f t="shared" si="36"/>
        <v>3760</v>
      </c>
      <c r="AC77" s="993">
        <f t="shared" si="37"/>
        <v>26.348983882270499</v>
      </c>
      <c r="AD77" s="994">
        <f t="shared" si="38"/>
        <v>4106</v>
      </c>
      <c r="AE77" s="995">
        <f t="shared" si="39"/>
        <v>28.773651016117732</v>
      </c>
      <c r="AF77" s="996">
        <v>81</v>
      </c>
      <c r="AG77" s="997">
        <v>62</v>
      </c>
      <c r="AH77" s="997">
        <v>7</v>
      </c>
      <c r="AI77" s="998">
        <f t="shared" si="26"/>
        <v>150</v>
      </c>
      <c r="AJ77" s="993">
        <f t="shared" si="27"/>
        <v>1.051156271899089</v>
      </c>
      <c r="AL77" s="564" t="s">
        <v>438</v>
      </c>
    </row>
    <row r="78" spans="1:38" ht="16.5" customHeight="1">
      <c r="A78" s="999">
        <f>'09월 조업일지'!A76</f>
        <v>46268</v>
      </c>
      <c r="B78" s="1099">
        <f>'09월 조업일지'!B76</f>
        <v>46267</v>
      </c>
      <c r="C78" s="1000" t="str">
        <f>'09월 화학성분'!D76</f>
        <v>D</v>
      </c>
      <c r="D78" s="1000" t="str">
        <f>'09월 화학성분'!E76</f>
        <v>A</v>
      </c>
      <c r="E78" s="1000">
        <f>'09월 화학성분'!C76</f>
        <v>85278</v>
      </c>
      <c r="F78" s="1001" t="str">
        <f t="shared" si="25"/>
        <v>SS400-05</v>
      </c>
      <c r="G78" s="1172">
        <v>18.8</v>
      </c>
      <c r="H78" s="985">
        <v>22700</v>
      </c>
      <c r="I78" s="1173">
        <v>16.600000000000001</v>
      </c>
      <c r="J78" s="985">
        <v>20900</v>
      </c>
      <c r="K78" s="1173">
        <v>7.5</v>
      </c>
      <c r="L78" s="985">
        <v>9500</v>
      </c>
      <c r="M78" s="1174">
        <f t="shared" si="28"/>
        <v>42.900000000000006</v>
      </c>
      <c r="N78" s="984">
        <f t="shared" si="29"/>
        <v>53100</v>
      </c>
      <c r="O78" s="986">
        <f t="shared" si="30"/>
        <v>157.96798886569243</v>
      </c>
      <c r="P78" s="987">
        <f t="shared" si="31"/>
        <v>145.44189283228951</v>
      </c>
      <c r="Q78" s="987">
        <f t="shared" si="32"/>
        <v>66.109951287404314</v>
      </c>
      <c r="R78" s="988">
        <f t="shared" si="33"/>
        <v>369.5198329853863</v>
      </c>
      <c r="S78" s="989">
        <v>143.69999999999999</v>
      </c>
      <c r="T78" s="990">
        <v>0</v>
      </c>
      <c r="U78" s="991">
        <v>0</v>
      </c>
      <c r="V78" s="991">
        <v>336</v>
      </c>
      <c r="W78" s="992">
        <f t="shared" si="34"/>
        <v>336</v>
      </c>
      <c r="X78" s="993">
        <f t="shared" si="35"/>
        <v>2.3382045929018793</v>
      </c>
      <c r="Y78" s="990">
        <v>1568</v>
      </c>
      <c r="Z78" s="991">
        <v>1409</v>
      </c>
      <c r="AA78" s="991">
        <v>779</v>
      </c>
      <c r="AB78" s="992">
        <f t="shared" si="36"/>
        <v>3756</v>
      </c>
      <c r="AC78" s="993">
        <f t="shared" si="37"/>
        <v>26.137787056367433</v>
      </c>
      <c r="AD78" s="994">
        <f t="shared" si="38"/>
        <v>4092</v>
      </c>
      <c r="AE78" s="995">
        <f t="shared" si="39"/>
        <v>28.475991649269314</v>
      </c>
      <c r="AF78" s="996">
        <v>80</v>
      </c>
      <c r="AG78" s="997">
        <v>60</v>
      </c>
      <c r="AH78" s="997">
        <v>7</v>
      </c>
      <c r="AI78" s="998">
        <f t="shared" si="26"/>
        <v>147</v>
      </c>
      <c r="AJ78" s="993">
        <f t="shared" si="27"/>
        <v>1.0229645093945721</v>
      </c>
    </row>
    <row r="79" spans="1:38" ht="16.5" customHeight="1">
      <c r="A79" s="999">
        <f>'09월 조업일지'!A77</f>
        <v>46268</v>
      </c>
      <c r="B79" s="1099">
        <f>'09월 조업일지'!B77</f>
        <v>46268</v>
      </c>
      <c r="C79" s="1000" t="str">
        <f>'09월 화학성분'!D77</f>
        <v>B</v>
      </c>
      <c r="D79" s="1000" t="str">
        <f>'09월 화학성분'!E77</f>
        <v>B</v>
      </c>
      <c r="E79" s="1000">
        <f>'09월 화학성분'!C77</f>
        <v>85279</v>
      </c>
      <c r="F79" s="1001" t="str">
        <f t="shared" si="25"/>
        <v>SS400-05</v>
      </c>
      <c r="G79" s="1172">
        <v>18</v>
      </c>
      <c r="H79" s="985">
        <v>21900</v>
      </c>
      <c r="I79" s="1173">
        <v>16.600000000000001</v>
      </c>
      <c r="J79" s="985">
        <v>20300</v>
      </c>
      <c r="K79" s="1173">
        <v>11</v>
      </c>
      <c r="L79" s="985">
        <v>13900</v>
      </c>
      <c r="M79" s="1174">
        <f t="shared" si="28"/>
        <v>45.6</v>
      </c>
      <c r="N79" s="984">
        <f t="shared" si="29"/>
        <v>56100</v>
      </c>
      <c r="O79" s="986">
        <f t="shared" si="30"/>
        <v>153.68421052631578</v>
      </c>
      <c r="P79" s="987">
        <f t="shared" si="31"/>
        <v>142.45614035087721</v>
      </c>
      <c r="Q79" s="987">
        <f t="shared" si="32"/>
        <v>97.543859649122808</v>
      </c>
      <c r="R79" s="988">
        <f t="shared" si="33"/>
        <v>393.68421052631578</v>
      </c>
      <c r="S79" s="989">
        <v>142.5</v>
      </c>
      <c r="T79" s="990">
        <v>0</v>
      </c>
      <c r="U79" s="991">
        <v>0</v>
      </c>
      <c r="V79" s="991">
        <v>372</v>
      </c>
      <c r="W79" s="992">
        <f t="shared" si="34"/>
        <v>372</v>
      </c>
      <c r="X79" s="993">
        <f t="shared" si="35"/>
        <v>2.6105263157894738</v>
      </c>
      <c r="Y79" s="990">
        <v>1471</v>
      </c>
      <c r="Z79" s="991">
        <v>1375</v>
      </c>
      <c r="AA79" s="991">
        <v>989</v>
      </c>
      <c r="AB79" s="992">
        <f t="shared" si="36"/>
        <v>3835</v>
      </c>
      <c r="AC79" s="993">
        <f t="shared" si="37"/>
        <v>26.912280701754387</v>
      </c>
      <c r="AD79" s="994">
        <f t="shared" si="38"/>
        <v>4207</v>
      </c>
      <c r="AE79" s="995">
        <f t="shared" si="39"/>
        <v>29.522807017543858</v>
      </c>
      <c r="AF79" s="996">
        <v>78</v>
      </c>
      <c r="AG79" s="997">
        <v>65</v>
      </c>
      <c r="AH79" s="997">
        <v>9</v>
      </c>
      <c r="AI79" s="998">
        <f t="shared" si="26"/>
        <v>152</v>
      </c>
      <c r="AJ79" s="993">
        <f t="shared" si="27"/>
        <v>1.0666666666666667</v>
      </c>
    </row>
    <row r="80" spans="1:38" ht="16.5" customHeight="1">
      <c r="A80" s="999">
        <f>'09월 조업일지'!A78</f>
        <v>46268</v>
      </c>
      <c r="B80" s="1099">
        <f>'09월 조업일지'!B78</f>
        <v>46268</v>
      </c>
      <c r="C80" s="1000" t="str">
        <f>'09월 화학성분'!D78</f>
        <v>B</v>
      </c>
      <c r="D80" s="1000" t="str">
        <f>'09월 화학성분'!E78</f>
        <v>A</v>
      </c>
      <c r="E80" s="1000">
        <f>'09월 화학성분'!C78</f>
        <v>85280</v>
      </c>
      <c r="F80" s="1001" t="str">
        <f t="shared" ref="F80:F141" si="40">IF(G80="","",F79)</f>
        <v>SS400-05</v>
      </c>
      <c r="G80" s="1172">
        <v>18.7</v>
      </c>
      <c r="H80" s="985">
        <v>23400</v>
      </c>
      <c r="I80" s="1173">
        <v>16.5</v>
      </c>
      <c r="J80" s="985">
        <v>20800</v>
      </c>
      <c r="K80" s="1173">
        <v>8.5</v>
      </c>
      <c r="L80" s="985">
        <v>10700</v>
      </c>
      <c r="M80" s="1174">
        <f t="shared" ref="M80:M143" si="41">IF(ISBLANK(G80),"",SUM(G80,I80,K80))</f>
        <v>43.7</v>
      </c>
      <c r="N80" s="984">
        <f t="shared" ref="N80:N143" si="42">IF(ISBLANK(H80),"",SUM(H80,J80,L80))</f>
        <v>54900</v>
      </c>
      <c r="O80" s="986">
        <f t="shared" ref="O80:O143" si="43">IF(ISBLANK(H80),"",H80/S80)</f>
        <v>161.60220994475137</v>
      </c>
      <c r="P80" s="987">
        <f t="shared" ref="P80:P143" si="44">IF(ISBLANK(J80),"",+J80/S80)</f>
        <v>143.64640883977899</v>
      </c>
      <c r="Q80" s="987">
        <f t="shared" ref="Q80:Q143" si="45">IF(ISBLANK(L80),"",L80/S80)</f>
        <v>73.895027624309392</v>
      </c>
      <c r="R80" s="988">
        <f t="shared" ref="R80:R143" si="46">IF(ISBLANK(L80),"",SUM(O80:Q80))</f>
        <v>379.14364640883969</v>
      </c>
      <c r="S80" s="989">
        <v>144.80000000000001</v>
      </c>
      <c r="T80" s="990">
        <v>0</v>
      </c>
      <c r="U80" s="991">
        <v>0</v>
      </c>
      <c r="V80" s="991">
        <v>382</v>
      </c>
      <c r="W80" s="992">
        <f t="shared" ref="W80:W143" si="47">IF(SUM(T80:V80)=0,"",SUM(T80:V80))</f>
        <v>382</v>
      </c>
      <c r="X80" s="993">
        <f t="shared" ref="X80:X143" si="48">IF(W80="","",W80/S80)</f>
        <v>2.6381215469613259</v>
      </c>
      <c r="Y80" s="990">
        <v>1564</v>
      </c>
      <c r="Z80" s="991">
        <v>1398</v>
      </c>
      <c r="AA80" s="991">
        <v>669</v>
      </c>
      <c r="AB80" s="992">
        <f t="shared" ref="AB80:AB143" si="49">IF(SUM(Y80:AA80)=0,"",SUM(Y80:AA80))</f>
        <v>3631</v>
      </c>
      <c r="AC80" s="993">
        <f t="shared" ref="AC80:AC143" si="50">IF(AB80="","",AB80/S80)</f>
        <v>25.075966850828728</v>
      </c>
      <c r="AD80" s="994">
        <f t="shared" ref="AD80:AD143" si="51">IF(SUM(W80,AB80)=0,"",SUM(W80,AB80))</f>
        <v>4013</v>
      </c>
      <c r="AE80" s="995">
        <f t="shared" ref="AE80:AE143" si="52">IF(AD80="","",AD80/S80)</f>
        <v>27.714088397790054</v>
      </c>
      <c r="AF80" s="996">
        <v>79</v>
      </c>
      <c r="AG80" s="997">
        <v>60</v>
      </c>
      <c r="AH80" s="997">
        <v>5</v>
      </c>
      <c r="AI80" s="998">
        <f t="shared" ref="AI80:AI143" si="53">IF(SUM(AF80:AH80)=0,"",SUM(AF80:AH80))</f>
        <v>144</v>
      </c>
      <c r="AJ80" s="993">
        <f t="shared" ref="AJ80:AJ143" si="54">IF(AI80="","",AI80/S80)</f>
        <v>0.99447513812154686</v>
      </c>
    </row>
    <row r="81" spans="1:36" ht="16.5" customHeight="1">
      <c r="A81" s="999">
        <f>'09월 조업일지'!A79</f>
        <v>46268</v>
      </c>
      <c r="B81" s="1099">
        <f>'09월 조업일지'!B79</f>
        <v>46268</v>
      </c>
      <c r="C81" s="1000" t="str">
        <f>'09월 화학성분'!D79</f>
        <v>B</v>
      </c>
      <c r="D81" s="1000" t="str">
        <f>'09월 화학성분'!E79</f>
        <v>B</v>
      </c>
      <c r="E81" s="1000">
        <f>'09월 화학성분'!C79</f>
        <v>85281</v>
      </c>
      <c r="F81" s="1001" t="str">
        <f t="shared" si="40"/>
        <v>SS400-05</v>
      </c>
      <c r="G81" s="1172">
        <v>18.7</v>
      </c>
      <c r="H81" s="985">
        <v>22500</v>
      </c>
      <c r="I81" s="1173">
        <v>16.600000000000001</v>
      </c>
      <c r="J81" s="985">
        <v>20500</v>
      </c>
      <c r="K81" s="1173">
        <v>9.8000000000000007</v>
      </c>
      <c r="L81" s="985">
        <v>12500</v>
      </c>
      <c r="M81" s="1174">
        <f t="shared" si="41"/>
        <v>45.099999999999994</v>
      </c>
      <c r="N81" s="984">
        <f t="shared" si="42"/>
        <v>55500</v>
      </c>
      <c r="O81" s="986">
        <f t="shared" si="43"/>
        <v>159.12305516265911</v>
      </c>
      <c r="P81" s="987">
        <f t="shared" si="44"/>
        <v>144.97878359264496</v>
      </c>
      <c r="Q81" s="987">
        <f t="shared" si="45"/>
        <v>88.401697312588396</v>
      </c>
      <c r="R81" s="988">
        <f t="shared" si="46"/>
        <v>392.50353606789247</v>
      </c>
      <c r="S81" s="989">
        <v>141.4</v>
      </c>
      <c r="T81" s="990">
        <v>0</v>
      </c>
      <c r="U81" s="991">
        <v>0</v>
      </c>
      <c r="V81" s="991">
        <v>283</v>
      </c>
      <c r="W81" s="992">
        <f t="shared" si="47"/>
        <v>283</v>
      </c>
      <c r="X81" s="993">
        <f t="shared" si="48"/>
        <v>2.0014144271570014</v>
      </c>
      <c r="Y81" s="990">
        <v>1544</v>
      </c>
      <c r="Z81" s="991">
        <v>1384</v>
      </c>
      <c r="AA81" s="991">
        <v>990</v>
      </c>
      <c r="AB81" s="992">
        <f t="shared" si="49"/>
        <v>3918</v>
      </c>
      <c r="AC81" s="993">
        <f t="shared" si="50"/>
        <v>27.708628005657708</v>
      </c>
      <c r="AD81" s="994">
        <f t="shared" si="51"/>
        <v>4201</v>
      </c>
      <c r="AE81" s="995">
        <f t="shared" si="52"/>
        <v>29.71004243281471</v>
      </c>
      <c r="AF81" s="996">
        <v>83</v>
      </c>
      <c r="AG81" s="997">
        <v>61</v>
      </c>
      <c r="AH81" s="997">
        <v>9</v>
      </c>
      <c r="AI81" s="998">
        <f t="shared" si="53"/>
        <v>153</v>
      </c>
      <c r="AJ81" s="993">
        <f t="shared" si="54"/>
        <v>1.082036775106082</v>
      </c>
    </row>
    <row r="82" spans="1:36" ht="16.5" customHeight="1">
      <c r="A82" s="999">
        <f>'09월 조업일지'!A80</f>
        <v>46268</v>
      </c>
      <c r="B82" s="1099">
        <f>'09월 조업일지'!B80</f>
        <v>46268</v>
      </c>
      <c r="C82" s="1000" t="str">
        <f>'09월 화학성분'!D80</f>
        <v>B</v>
      </c>
      <c r="D82" s="1000" t="str">
        <f>'09월 화학성분'!E80</f>
        <v>A</v>
      </c>
      <c r="E82" s="1000">
        <f>'09월 화학성분'!C80</f>
        <v>85282</v>
      </c>
      <c r="F82" s="1001" t="str">
        <f t="shared" si="40"/>
        <v>SS400-05</v>
      </c>
      <c r="G82" s="1172">
        <v>17.7</v>
      </c>
      <c r="H82" s="985">
        <v>21900</v>
      </c>
      <c r="I82" s="1173">
        <v>16.8</v>
      </c>
      <c r="J82" s="985">
        <v>21100</v>
      </c>
      <c r="K82" s="1173">
        <v>13</v>
      </c>
      <c r="L82" s="985">
        <v>16500</v>
      </c>
      <c r="M82" s="1174">
        <f t="shared" si="41"/>
        <v>47.5</v>
      </c>
      <c r="N82" s="984">
        <f t="shared" si="42"/>
        <v>59500</v>
      </c>
      <c r="O82" s="986">
        <f t="shared" si="43"/>
        <v>152.82623866015351</v>
      </c>
      <c r="P82" s="987">
        <f t="shared" si="44"/>
        <v>147.24354501046753</v>
      </c>
      <c r="Q82" s="987">
        <f t="shared" si="45"/>
        <v>115.1430565247732</v>
      </c>
      <c r="R82" s="988">
        <f t="shared" si="46"/>
        <v>415.21284019539428</v>
      </c>
      <c r="S82" s="989">
        <v>143.30000000000001</v>
      </c>
      <c r="T82" s="990">
        <v>0</v>
      </c>
      <c r="U82" s="991">
        <v>0</v>
      </c>
      <c r="V82" s="991">
        <v>357</v>
      </c>
      <c r="W82" s="992">
        <f t="shared" si="47"/>
        <v>357</v>
      </c>
      <c r="X82" s="993">
        <f t="shared" si="48"/>
        <v>2.4912770411723653</v>
      </c>
      <c r="Y82" s="990">
        <v>1420</v>
      </c>
      <c r="Z82" s="991">
        <v>1422</v>
      </c>
      <c r="AA82" s="991">
        <v>1001</v>
      </c>
      <c r="AB82" s="992">
        <f t="shared" si="49"/>
        <v>3843</v>
      </c>
      <c r="AC82" s="993">
        <f t="shared" si="50"/>
        <v>26.817864619678993</v>
      </c>
      <c r="AD82" s="994">
        <f t="shared" si="51"/>
        <v>4200</v>
      </c>
      <c r="AE82" s="995">
        <f t="shared" si="52"/>
        <v>29.30914166085136</v>
      </c>
      <c r="AF82" s="996">
        <v>76</v>
      </c>
      <c r="AG82" s="997">
        <v>62</v>
      </c>
      <c r="AH82" s="997">
        <v>9</v>
      </c>
      <c r="AI82" s="998">
        <f t="shared" si="53"/>
        <v>147</v>
      </c>
      <c r="AJ82" s="993">
        <f t="shared" si="54"/>
        <v>1.0258199581297975</v>
      </c>
    </row>
    <row r="83" spans="1:36" ht="16.5" customHeight="1">
      <c r="A83" s="999">
        <f>'09월 조업일지'!A81</f>
        <v>46268</v>
      </c>
      <c r="B83" s="1099">
        <f>'09월 조업일지'!B81</f>
        <v>46268</v>
      </c>
      <c r="C83" s="1000" t="str">
        <f>'09월 화학성분'!D81</f>
        <v>B</v>
      </c>
      <c r="D83" s="1000" t="str">
        <f>'09월 화학성분'!E81</f>
        <v>B</v>
      </c>
      <c r="E83" s="1000">
        <f>'09월 화학성분'!C81</f>
        <v>85283</v>
      </c>
      <c r="F83" s="1001" t="str">
        <f t="shared" si="40"/>
        <v>SS400-05</v>
      </c>
      <c r="G83" s="1172">
        <v>19.600000000000001</v>
      </c>
      <c r="H83" s="985">
        <v>22900</v>
      </c>
      <c r="I83" s="1173">
        <v>16.600000000000001</v>
      </c>
      <c r="J83" s="985">
        <v>20300</v>
      </c>
      <c r="K83" s="1173">
        <v>13.2</v>
      </c>
      <c r="L83" s="985">
        <v>16600</v>
      </c>
      <c r="M83" s="1174">
        <f t="shared" si="41"/>
        <v>49.400000000000006</v>
      </c>
      <c r="N83" s="984">
        <f t="shared" si="42"/>
        <v>59800</v>
      </c>
      <c r="O83" s="986">
        <f t="shared" si="43"/>
        <v>158.6971586971587</v>
      </c>
      <c r="P83" s="987">
        <f t="shared" si="44"/>
        <v>140.67914067914066</v>
      </c>
      <c r="Q83" s="987">
        <f t="shared" si="45"/>
        <v>115.03811503811502</v>
      </c>
      <c r="R83" s="988">
        <f t="shared" si="46"/>
        <v>414.41441441441441</v>
      </c>
      <c r="S83" s="989">
        <v>144.30000000000001</v>
      </c>
      <c r="T83" s="990">
        <v>0</v>
      </c>
      <c r="U83" s="991">
        <v>0</v>
      </c>
      <c r="V83" s="991">
        <v>469</v>
      </c>
      <c r="W83" s="992">
        <f t="shared" si="47"/>
        <v>469</v>
      </c>
      <c r="X83" s="993">
        <f t="shared" si="48"/>
        <v>3.2501732501732499</v>
      </c>
      <c r="Y83" s="990">
        <v>1620</v>
      </c>
      <c r="Z83" s="991">
        <v>1408</v>
      </c>
      <c r="AA83" s="991">
        <v>1251</v>
      </c>
      <c r="AB83" s="992">
        <f t="shared" si="49"/>
        <v>4279</v>
      </c>
      <c r="AC83" s="993">
        <f t="shared" si="50"/>
        <v>29.653499653499651</v>
      </c>
      <c r="AD83" s="994">
        <f t="shared" si="51"/>
        <v>4748</v>
      </c>
      <c r="AE83" s="995">
        <f t="shared" si="52"/>
        <v>32.903672903672899</v>
      </c>
      <c r="AF83" s="996">
        <v>83</v>
      </c>
      <c r="AG83" s="997">
        <v>65</v>
      </c>
      <c r="AH83" s="997">
        <v>12</v>
      </c>
      <c r="AI83" s="998">
        <f t="shared" si="53"/>
        <v>160</v>
      </c>
      <c r="AJ83" s="993">
        <f t="shared" si="54"/>
        <v>1.1088011088011087</v>
      </c>
    </row>
    <row r="84" spans="1:36" ht="16.5" customHeight="1">
      <c r="A84" s="999">
        <f>'09월 조업일지'!A82</f>
        <v>46268</v>
      </c>
      <c r="B84" s="1099">
        <f>'09월 조업일지'!B82</f>
        <v>46268</v>
      </c>
      <c r="C84" s="1000" t="str">
        <f>'09월 화학성분'!D82</f>
        <v>B</v>
      </c>
      <c r="D84" s="1000" t="str">
        <f>'09월 화학성분'!E82</f>
        <v>A</v>
      </c>
      <c r="E84" s="1000">
        <f>'09월 화학성분'!C82</f>
        <v>85284</v>
      </c>
      <c r="F84" s="1001" t="str">
        <f t="shared" si="40"/>
        <v>SS400-05</v>
      </c>
      <c r="G84" s="1172">
        <v>19.899999999999999</v>
      </c>
      <c r="H84" s="985">
        <v>23900</v>
      </c>
      <c r="I84" s="1173">
        <v>17</v>
      </c>
      <c r="J84" s="985">
        <v>21200</v>
      </c>
      <c r="K84" s="1173">
        <v>8.1999999999999993</v>
      </c>
      <c r="L84" s="985">
        <v>10500</v>
      </c>
      <c r="M84" s="1174">
        <f t="shared" si="41"/>
        <v>45.099999999999994</v>
      </c>
      <c r="N84" s="984">
        <f t="shared" si="42"/>
        <v>55600</v>
      </c>
      <c r="O84" s="986">
        <f t="shared" si="43"/>
        <v>168.30985915492957</v>
      </c>
      <c r="P84" s="987">
        <f t="shared" si="44"/>
        <v>149.29577464788733</v>
      </c>
      <c r="Q84" s="987">
        <f t="shared" si="45"/>
        <v>73.943661971830991</v>
      </c>
      <c r="R84" s="988">
        <f t="shared" si="46"/>
        <v>391.54929577464787</v>
      </c>
      <c r="S84" s="989">
        <v>142</v>
      </c>
      <c r="T84" s="990">
        <v>0</v>
      </c>
      <c r="U84" s="991">
        <v>25</v>
      </c>
      <c r="V84" s="991">
        <v>398</v>
      </c>
      <c r="W84" s="992">
        <f t="shared" si="47"/>
        <v>423</v>
      </c>
      <c r="X84" s="993">
        <f t="shared" si="48"/>
        <v>2.9788732394366195</v>
      </c>
      <c r="Y84" s="990">
        <v>1659</v>
      </c>
      <c r="Z84" s="991">
        <v>1415</v>
      </c>
      <c r="AA84" s="991">
        <v>577</v>
      </c>
      <c r="AB84" s="992">
        <f t="shared" si="49"/>
        <v>3651</v>
      </c>
      <c r="AC84" s="993">
        <f t="shared" si="50"/>
        <v>25.711267605633804</v>
      </c>
      <c r="AD84" s="994">
        <f t="shared" si="51"/>
        <v>4074</v>
      </c>
      <c r="AE84" s="995">
        <f t="shared" si="52"/>
        <v>28.690140845070424</v>
      </c>
      <c r="AF84" s="996">
        <v>81</v>
      </c>
      <c r="AG84" s="997">
        <v>64</v>
      </c>
      <c r="AH84" s="997">
        <v>5</v>
      </c>
      <c r="AI84" s="998">
        <f t="shared" si="53"/>
        <v>150</v>
      </c>
      <c r="AJ84" s="993">
        <f t="shared" si="54"/>
        <v>1.056338028169014</v>
      </c>
    </row>
    <row r="85" spans="1:36" ht="16.5" customHeight="1">
      <c r="A85" s="999">
        <f>'09월 조업일지'!A83</f>
        <v>46268</v>
      </c>
      <c r="B85" s="1099">
        <f>'09월 조업일지'!B83</f>
        <v>46268</v>
      </c>
      <c r="C85" s="1000" t="str">
        <f>'09월 화학성분'!D83</f>
        <v>B</v>
      </c>
      <c r="D85" s="1000" t="str">
        <f>'09월 화학성분'!E83</f>
        <v>B</v>
      </c>
      <c r="E85" s="1000">
        <f>'09월 화학성분'!C83</f>
        <v>85285</v>
      </c>
      <c r="F85" s="1001" t="str">
        <f t="shared" si="40"/>
        <v>SS400-05</v>
      </c>
      <c r="G85" s="1172">
        <v>20.3</v>
      </c>
      <c r="H85" s="985">
        <v>22400</v>
      </c>
      <c r="I85" s="1173">
        <v>16.7</v>
      </c>
      <c r="J85" s="985">
        <v>20300</v>
      </c>
      <c r="K85" s="1173">
        <v>9.8000000000000007</v>
      </c>
      <c r="L85" s="985">
        <v>12600</v>
      </c>
      <c r="M85" s="1174">
        <f t="shared" si="41"/>
        <v>46.8</v>
      </c>
      <c r="N85" s="984">
        <f t="shared" si="42"/>
        <v>55300</v>
      </c>
      <c r="O85" s="986">
        <f t="shared" si="43"/>
        <v>156.31542219120723</v>
      </c>
      <c r="P85" s="987">
        <f t="shared" si="44"/>
        <v>141.66085136078158</v>
      </c>
      <c r="Q85" s="987">
        <f t="shared" si="45"/>
        <v>87.927424982554072</v>
      </c>
      <c r="R85" s="988">
        <f t="shared" si="46"/>
        <v>385.90369853454285</v>
      </c>
      <c r="S85" s="989">
        <v>143.30000000000001</v>
      </c>
      <c r="T85" s="990">
        <v>0</v>
      </c>
      <c r="U85" s="991">
        <v>0</v>
      </c>
      <c r="V85" s="991">
        <v>334</v>
      </c>
      <c r="W85" s="992">
        <f t="shared" si="47"/>
        <v>334</v>
      </c>
      <c r="X85" s="993">
        <f t="shared" si="48"/>
        <v>2.3307745987438939</v>
      </c>
      <c r="Y85" s="990">
        <v>1723</v>
      </c>
      <c r="Z85" s="991">
        <v>1402</v>
      </c>
      <c r="AA85" s="991">
        <v>852</v>
      </c>
      <c r="AB85" s="992">
        <f t="shared" si="49"/>
        <v>3977</v>
      </c>
      <c r="AC85" s="993">
        <f t="shared" si="50"/>
        <v>27.752965806001395</v>
      </c>
      <c r="AD85" s="994">
        <f t="shared" si="51"/>
        <v>4311</v>
      </c>
      <c r="AE85" s="995">
        <f t="shared" si="52"/>
        <v>30.083740404745289</v>
      </c>
      <c r="AF85" s="996">
        <v>83</v>
      </c>
      <c r="AG85" s="997">
        <v>64</v>
      </c>
      <c r="AH85" s="997">
        <v>7</v>
      </c>
      <c r="AI85" s="998">
        <f t="shared" si="53"/>
        <v>154</v>
      </c>
      <c r="AJ85" s="993">
        <f t="shared" si="54"/>
        <v>1.0746685275645498</v>
      </c>
    </row>
    <row r="86" spans="1:36" ht="16.5" customHeight="1">
      <c r="A86" s="999">
        <f>'09월 조업일지'!A84</f>
        <v>46268</v>
      </c>
      <c r="B86" s="1099">
        <f>'09월 조업일지'!B84</f>
        <v>46268</v>
      </c>
      <c r="C86" s="1000" t="str">
        <f>'09월 화학성분'!D84</f>
        <v>B</v>
      </c>
      <c r="D86" s="1000" t="str">
        <f>'09월 화학성분'!E84</f>
        <v>A</v>
      </c>
      <c r="E86" s="1000">
        <f>'09월 화학성분'!C84</f>
        <v>85286</v>
      </c>
      <c r="F86" s="1001" t="str">
        <f t="shared" si="40"/>
        <v>SS400-05</v>
      </c>
      <c r="G86" s="1172">
        <v>19.3</v>
      </c>
      <c r="H86" s="985">
        <v>23100</v>
      </c>
      <c r="I86" s="1173">
        <v>17</v>
      </c>
      <c r="J86" s="985">
        <v>21100</v>
      </c>
      <c r="K86" s="1173">
        <v>7.4</v>
      </c>
      <c r="L86" s="985">
        <v>9600</v>
      </c>
      <c r="M86" s="1174">
        <f t="shared" si="41"/>
        <v>43.699999999999996</v>
      </c>
      <c r="N86" s="984">
        <f t="shared" si="42"/>
        <v>53800</v>
      </c>
      <c r="O86" s="986">
        <f t="shared" si="43"/>
        <v>161.08786610878661</v>
      </c>
      <c r="P86" s="987">
        <f t="shared" si="44"/>
        <v>147.14086471408646</v>
      </c>
      <c r="Q86" s="987">
        <f t="shared" si="45"/>
        <v>66.945606694560666</v>
      </c>
      <c r="R86" s="988">
        <f t="shared" si="46"/>
        <v>375.17433751743374</v>
      </c>
      <c r="S86" s="989">
        <v>143.4</v>
      </c>
      <c r="T86" s="990">
        <v>0</v>
      </c>
      <c r="U86" s="991">
        <v>100</v>
      </c>
      <c r="V86" s="991">
        <v>248</v>
      </c>
      <c r="W86" s="992">
        <f t="shared" si="47"/>
        <v>348</v>
      </c>
      <c r="X86" s="993">
        <f t="shared" si="48"/>
        <v>2.4267782426778242</v>
      </c>
      <c r="Y86" s="990">
        <v>1585</v>
      </c>
      <c r="Z86" s="991">
        <v>1424</v>
      </c>
      <c r="AA86" s="991">
        <v>575</v>
      </c>
      <c r="AB86" s="992">
        <f t="shared" si="49"/>
        <v>3584</v>
      </c>
      <c r="AC86" s="993">
        <f t="shared" si="50"/>
        <v>24.993026499302648</v>
      </c>
      <c r="AD86" s="994">
        <f t="shared" si="51"/>
        <v>3932</v>
      </c>
      <c r="AE86" s="995">
        <f t="shared" si="52"/>
        <v>27.419804741980474</v>
      </c>
      <c r="AF86" s="996">
        <v>79</v>
      </c>
      <c r="AG86" s="997">
        <v>64</v>
      </c>
      <c r="AH86" s="997">
        <v>8</v>
      </c>
      <c r="AI86" s="998">
        <f t="shared" si="53"/>
        <v>151</v>
      </c>
      <c r="AJ86" s="993">
        <f t="shared" si="54"/>
        <v>1.0529986052998606</v>
      </c>
    </row>
    <row r="87" spans="1:36" ht="16.5" customHeight="1">
      <c r="A87" s="999">
        <f>'09월 조업일지'!A85</f>
        <v>46268</v>
      </c>
      <c r="B87" s="1099">
        <f>'09월 조업일지'!B85</f>
        <v>46268</v>
      </c>
      <c r="C87" s="1000" t="str">
        <f>'09월 화학성분'!D85</f>
        <v>B</v>
      </c>
      <c r="D87" s="1000" t="str">
        <f>'09월 화학성분'!E85</f>
        <v>B</v>
      </c>
      <c r="E87" s="1000">
        <f>'09월 화학성분'!C85</f>
        <v>85287</v>
      </c>
      <c r="F87" s="1001" t="str">
        <f t="shared" si="40"/>
        <v>SS400-05</v>
      </c>
      <c r="G87" s="1172">
        <v>18</v>
      </c>
      <c r="H87" s="985">
        <v>22100</v>
      </c>
      <c r="I87" s="1173">
        <v>17.2</v>
      </c>
      <c r="J87" s="985">
        <v>20400</v>
      </c>
      <c r="K87" s="1173">
        <v>8.9</v>
      </c>
      <c r="L87" s="985">
        <v>11400</v>
      </c>
      <c r="M87" s="1174">
        <f t="shared" si="41"/>
        <v>44.1</v>
      </c>
      <c r="N87" s="984">
        <f t="shared" si="42"/>
        <v>53900</v>
      </c>
      <c r="O87" s="986">
        <f t="shared" si="43"/>
        <v>156.07344632768363</v>
      </c>
      <c r="P87" s="987">
        <f t="shared" si="44"/>
        <v>144.06779661016949</v>
      </c>
      <c r="Q87" s="987">
        <f t="shared" si="45"/>
        <v>80.508474576271183</v>
      </c>
      <c r="R87" s="988">
        <f t="shared" si="46"/>
        <v>380.64971751412429</v>
      </c>
      <c r="S87" s="989">
        <v>141.6</v>
      </c>
      <c r="T87" s="990">
        <v>0</v>
      </c>
      <c r="U87" s="991">
        <v>0</v>
      </c>
      <c r="V87" s="991">
        <v>260</v>
      </c>
      <c r="W87" s="992">
        <f t="shared" si="47"/>
        <v>260</v>
      </c>
      <c r="X87" s="993">
        <f t="shared" si="48"/>
        <v>1.8361581920903955</v>
      </c>
      <c r="Y87" s="990">
        <v>1494</v>
      </c>
      <c r="Z87" s="991">
        <v>1468</v>
      </c>
      <c r="AA87" s="991">
        <v>851</v>
      </c>
      <c r="AB87" s="992">
        <f t="shared" si="49"/>
        <v>3813</v>
      </c>
      <c r="AC87" s="993">
        <f t="shared" si="50"/>
        <v>26.927966101694917</v>
      </c>
      <c r="AD87" s="994">
        <f t="shared" si="51"/>
        <v>4073</v>
      </c>
      <c r="AE87" s="995">
        <f t="shared" si="52"/>
        <v>28.764124293785311</v>
      </c>
      <c r="AF87" s="996">
        <v>77</v>
      </c>
      <c r="AG87" s="997">
        <v>65</v>
      </c>
      <c r="AH87" s="997">
        <v>7</v>
      </c>
      <c r="AI87" s="998">
        <f t="shared" si="53"/>
        <v>149</v>
      </c>
      <c r="AJ87" s="993">
        <f t="shared" si="54"/>
        <v>1.0522598870056497</v>
      </c>
    </row>
    <row r="88" spans="1:36" ht="16.5" customHeight="1">
      <c r="A88" s="999">
        <f>'09월 조업일지'!A86</f>
        <v>46268</v>
      </c>
      <c r="B88" s="1099">
        <f>'09월 조업일지'!B86</f>
        <v>46268</v>
      </c>
      <c r="C88" s="1000" t="str">
        <f>'09월 화학성분'!D86</f>
        <v>B</v>
      </c>
      <c r="D88" s="1000" t="str">
        <f>'09월 화학성분'!E86</f>
        <v>A</v>
      </c>
      <c r="E88" s="1000">
        <f>'09월 화학성분'!C86</f>
        <v>85288</v>
      </c>
      <c r="F88" s="1001" t="str">
        <f t="shared" si="40"/>
        <v>SS400-05</v>
      </c>
      <c r="G88" s="1172">
        <v>21.2</v>
      </c>
      <c r="H88" s="985">
        <v>25200</v>
      </c>
      <c r="I88" s="1173">
        <v>16.3</v>
      </c>
      <c r="J88" s="985">
        <v>20900</v>
      </c>
      <c r="K88" s="1173">
        <v>9.5</v>
      </c>
      <c r="L88" s="985">
        <v>12000</v>
      </c>
      <c r="M88" s="1174">
        <f t="shared" si="41"/>
        <v>47</v>
      </c>
      <c r="N88" s="984">
        <f t="shared" si="42"/>
        <v>58100</v>
      </c>
      <c r="O88" s="986">
        <f t="shared" si="43"/>
        <v>176.34709587123862</v>
      </c>
      <c r="P88" s="987">
        <f t="shared" si="44"/>
        <v>146.25612316305109</v>
      </c>
      <c r="Q88" s="987">
        <f t="shared" si="45"/>
        <v>83.974807557732674</v>
      </c>
      <c r="R88" s="988">
        <f t="shared" si="46"/>
        <v>406.57802659202241</v>
      </c>
      <c r="S88" s="989">
        <v>142.9</v>
      </c>
      <c r="T88" s="990">
        <v>0</v>
      </c>
      <c r="U88" s="991">
        <v>0</v>
      </c>
      <c r="V88" s="991">
        <v>341</v>
      </c>
      <c r="W88" s="992">
        <f t="shared" si="47"/>
        <v>341</v>
      </c>
      <c r="X88" s="993">
        <f t="shared" si="48"/>
        <v>2.3862841147655702</v>
      </c>
      <c r="Y88" s="990">
        <v>1402</v>
      </c>
      <c r="Z88" s="991">
        <v>1058</v>
      </c>
      <c r="AA88" s="991">
        <v>555</v>
      </c>
      <c r="AB88" s="992">
        <f t="shared" si="49"/>
        <v>3015</v>
      </c>
      <c r="AC88" s="993">
        <f t="shared" si="50"/>
        <v>21.098670398880333</v>
      </c>
      <c r="AD88" s="994">
        <f t="shared" si="51"/>
        <v>3356</v>
      </c>
      <c r="AE88" s="995">
        <f t="shared" si="52"/>
        <v>23.484954513645906</v>
      </c>
      <c r="AF88" s="996">
        <v>71</v>
      </c>
      <c r="AG88" s="997">
        <v>51</v>
      </c>
      <c r="AH88" s="997">
        <v>4</v>
      </c>
      <c r="AI88" s="998">
        <f t="shared" si="53"/>
        <v>126</v>
      </c>
      <c r="AJ88" s="993">
        <f t="shared" si="54"/>
        <v>0.88173547935619312</v>
      </c>
    </row>
    <row r="89" spans="1:36" ht="16.5" customHeight="1">
      <c r="A89" s="999">
        <f>'09월 조업일지'!A87</f>
        <v>46268</v>
      </c>
      <c r="B89" s="1099">
        <f>'09월 조업일지'!B87</f>
        <v>46268</v>
      </c>
      <c r="C89" s="1000" t="str">
        <f>'09월 화학성분'!D87</f>
        <v>C</v>
      </c>
      <c r="D89" s="1000" t="str">
        <f>'09월 화학성분'!E87</f>
        <v>B</v>
      </c>
      <c r="E89" s="1000">
        <f>'09월 화학성분'!C87</f>
        <v>85289</v>
      </c>
      <c r="F89" s="1001" t="str">
        <f t="shared" si="40"/>
        <v>SS400-05</v>
      </c>
      <c r="G89" s="1172">
        <v>19.3</v>
      </c>
      <c r="H89" s="985">
        <v>22700</v>
      </c>
      <c r="I89" s="1173">
        <v>16.7</v>
      </c>
      <c r="J89" s="985">
        <v>20300</v>
      </c>
      <c r="K89" s="1173">
        <v>10.1</v>
      </c>
      <c r="L89" s="985">
        <v>13200</v>
      </c>
      <c r="M89" s="1174">
        <f t="shared" si="41"/>
        <v>46.1</v>
      </c>
      <c r="N89" s="984">
        <f t="shared" si="42"/>
        <v>56200</v>
      </c>
      <c r="O89" s="986">
        <f t="shared" si="43"/>
        <v>156.55172413793105</v>
      </c>
      <c r="P89" s="987">
        <f t="shared" si="44"/>
        <v>140</v>
      </c>
      <c r="Q89" s="987">
        <f t="shared" si="45"/>
        <v>91.034482758620683</v>
      </c>
      <c r="R89" s="988">
        <f t="shared" si="46"/>
        <v>387.58620689655174</v>
      </c>
      <c r="S89" s="989">
        <v>145</v>
      </c>
      <c r="T89" s="990">
        <v>0</v>
      </c>
      <c r="U89" s="991">
        <v>118</v>
      </c>
      <c r="V89" s="991">
        <v>231</v>
      </c>
      <c r="W89" s="992">
        <f t="shared" si="47"/>
        <v>349</v>
      </c>
      <c r="X89" s="993">
        <f t="shared" si="48"/>
        <v>2.4068965517241381</v>
      </c>
      <c r="Y89" s="990">
        <v>1727</v>
      </c>
      <c r="Z89" s="991">
        <v>1352</v>
      </c>
      <c r="AA89" s="991">
        <v>767</v>
      </c>
      <c r="AB89" s="992">
        <f t="shared" si="49"/>
        <v>3846</v>
      </c>
      <c r="AC89" s="993">
        <f t="shared" si="50"/>
        <v>26.524137931034481</v>
      </c>
      <c r="AD89" s="994">
        <f t="shared" si="51"/>
        <v>4195</v>
      </c>
      <c r="AE89" s="995">
        <f t="shared" si="52"/>
        <v>28.931034482758619</v>
      </c>
      <c r="AF89" s="996">
        <v>80</v>
      </c>
      <c r="AG89" s="997">
        <v>64</v>
      </c>
      <c r="AH89" s="997">
        <v>7</v>
      </c>
      <c r="AI89" s="998">
        <f t="shared" si="53"/>
        <v>151</v>
      </c>
      <c r="AJ89" s="993">
        <f t="shared" si="54"/>
        <v>1.0413793103448277</v>
      </c>
    </row>
    <row r="90" spans="1:36" ht="16.5" customHeight="1">
      <c r="A90" s="999">
        <f>'09월 조업일지'!A88</f>
        <v>46268</v>
      </c>
      <c r="B90" s="1099">
        <f>'09월 조업일지'!B88</f>
        <v>46268</v>
      </c>
      <c r="C90" s="1000" t="str">
        <f>'09월 화학성분'!D88</f>
        <v>C</v>
      </c>
      <c r="D90" s="1000" t="str">
        <f>'09월 화학성분'!E88</f>
        <v>A</v>
      </c>
      <c r="E90" s="1000">
        <f>'09월 화학성분'!C88</f>
        <v>85290</v>
      </c>
      <c r="F90" s="1001" t="str">
        <f t="shared" si="40"/>
        <v>SS400-05</v>
      </c>
      <c r="G90" s="1172">
        <v>21.2</v>
      </c>
      <c r="H90" s="985">
        <v>24300</v>
      </c>
      <c r="I90" s="1173">
        <v>17.3</v>
      </c>
      <c r="J90" s="985">
        <v>21100</v>
      </c>
      <c r="K90" s="1173">
        <v>8.9</v>
      </c>
      <c r="L90" s="985">
        <v>11400</v>
      </c>
      <c r="M90" s="1174">
        <f t="shared" si="41"/>
        <v>47.4</v>
      </c>
      <c r="N90" s="984">
        <f t="shared" si="42"/>
        <v>56800</v>
      </c>
      <c r="O90" s="986">
        <f t="shared" si="43"/>
        <v>168.75</v>
      </c>
      <c r="P90" s="987">
        <f t="shared" si="44"/>
        <v>146.52777777777777</v>
      </c>
      <c r="Q90" s="987">
        <f t="shared" si="45"/>
        <v>79.166666666666671</v>
      </c>
      <c r="R90" s="988">
        <f t="shared" si="46"/>
        <v>394.44444444444446</v>
      </c>
      <c r="S90" s="989">
        <v>144</v>
      </c>
      <c r="T90" s="990">
        <v>0</v>
      </c>
      <c r="U90" s="991">
        <v>125</v>
      </c>
      <c r="V90" s="991">
        <v>279</v>
      </c>
      <c r="W90" s="992">
        <f t="shared" si="47"/>
        <v>404</v>
      </c>
      <c r="X90" s="993">
        <f t="shared" si="48"/>
        <v>2.8055555555555554</v>
      </c>
      <c r="Y90" s="990">
        <v>1720</v>
      </c>
      <c r="Z90" s="991">
        <v>1437</v>
      </c>
      <c r="AA90" s="991">
        <v>688</v>
      </c>
      <c r="AB90" s="992">
        <f t="shared" si="49"/>
        <v>3845</v>
      </c>
      <c r="AC90" s="993">
        <f t="shared" si="50"/>
        <v>26.701388888888889</v>
      </c>
      <c r="AD90" s="994">
        <f t="shared" si="51"/>
        <v>4249</v>
      </c>
      <c r="AE90" s="995">
        <f t="shared" si="52"/>
        <v>29.506944444444443</v>
      </c>
      <c r="AF90" s="996">
        <v>80</v>
      </c>
      <c r="AG90" s="997">
        <v>61</v>
      </c>
      <c r="AH90" s="997">
        <v>11</v>
      </c>
      <c r="AI90" s="998">
        <f t="shared" si="53"/>
        <v>152</v>
      </c>
      <c r="AJ90" s="993">
        <f t="shared" si="54"/>
        <v>1.0555555555555556</v>
      </c>
    </row>
    <row r="91" spans="1:36" ht="16.5" customHeight="1">
      <c r="A91" s="999">
        <f>'09월 조업일지'!A89</f>
        <v>46268</v>
      </c>
      <c r="B91" s="1099">
        <f>'09월 조업일지'!B89</f>
        <v>46268</v>
      </c>
      <c r="C91" s="1000" t="str">
        <f>'09월 화학성분'!D89</f>
        <v>C</v>
      </c>
      <c r="D91" s="1000" t="str">
        <f>'09월 화학성분'!E89</f>
        <v>B</v>
      </c>
      <c r="E91" s="1000">
        <f>'09월 화학성분'!C89</f>
        <v>85291</v>
      </c>
      <c r="F91" s="1001" t="str">
        <f t="shared" si="40"/>
        <v>SS400-05</v>
      </c>
      <c r="G91" s="1172">
        <v>18.2</v>
      </c>
      <c r="H91" s="985">
        <v>22400</v>
      </c>
      <c r="I91" s="1173">
        <v>16.2</v>
      </c>
      <c r="J91" s="985">
        <v>20300</v>
      </c>
      <c r="K91" s="1173">
        <v>11.6</v>
      </c>
      <c r="L91" s="985">
        <v>14600</v>
      </c>
      <c r="M91" s="1174">
        <f t="shared" si="41"/>
        <v>46</v>
      </c>
      <c r="N91" s="984">
        <f t="shared" si="42"/>
        <v>57300</v>
      </c>
      <c r="O91" s="986">
        <f t="shared" si="43"/>
        <v>157.41391426563598</v>
      </c>
      <c r="P91" s="987">
        <f t="shared" si="44"/>
        <v>142.65635980323259</v>
      </c>
      <c r="Q91" s="987">
        <f t="shared" si="45"/>
        <v>102.60014054813773</v>
      </c>
      <c r="R91" s="988">
        <f t="shared" si="46"/>
        <v>402.67041461700632</v>
      </c>
      <c r="S91" s="989">
        <v>142.30000000000001</v>
      </c>
      <c r="T91" s="990">
        <v>0</v>
      </c>
      <c r="U91" s="991">
        <v>0</v>
      </c>
      <c r="V91" s="991">
        <v>300</v>
      </c>
      <c r="W91" s="992">
        <f t="shared" si="47"/>
        <v>300</v>
      </c>
      <c r="X91" s="993">
        <f t="shared" si="48"/>
        <v>2.1082220660576247</v>
      </c>
      <c r="Y91" s="990">
        <v>1497</v>
      </c>
      <c r="Z91" s="991">
        <v>1435</v>
      </c>
      <c r="AA91" s="991">
        <v>1054</v>
      </c>
      <c r="AB91" s="992">
        <f t="shared" si="49"/>
        <v>3986</v>
      </c>
      <c r="AC91" s="993">
        <f t="shared" si="50"/>
        <v>28.011243851018971</v>
      </c>
      <c r="AD91" s="994">
        <f t="shared" si="51"/>
        <v>4286</v>
      </c>
      <c r="AE91" s="995">
        <f t="shared" si="52"/>
        <v>30.119465917076596</v>
      </c>
      <c r="AF91" s="996">
        <v>78</v>
      </c>
      <c r="AG91" s="997">
        <v>66</v>
      </c>
      <c r="AH91" s="997">
        <v>15</v>
      </c>
      <c r="AI91" s="998">
        <f t="shared" si="53"/>
        <v>159</v>
      </c>
      <c r="AJ91" s="993">
        <f t="shared" si="54"/>
        <v>1.1173576950105411</v>
      </c>
    </row>
    <row r="92" spans="1:36" ht="16.5" customHeight="1">
      <c r="A92" s="999">
        <f>'09월 조업일지'!A90</f>
        <v>46268</v>
      </c>
      <c r="B92" s="1099">
        <f>'09월 조업일지'!B90</f>
        <v>46268</v>
      </c>
      <c r="C92" s="1000" t="str">
        <f>'09월 화학성분'!D90</f>
        <v>C</v>
      </c>
      <c r="D92" s="1000" t="str">
        <f>'09월 화학성분'!E90</f>
        <v>A</v>
      </c>
      <c r="E92" s="1000">
        <f>'09월 화학성분'!C90</f>
        <v>85292</v>
      </c>
      <c r="F92" s="1001" t="str">
        <f t="shared" si="40"/>
        <v>SS400-05</v>
      </c>
      <c r="G92" s="1172">
        <v>19.899999999999999</v>
      </c>
      <c r="H92" s="985">
        <v>24700</v>
      </c>
      <c r="I92" s="1173">
        <v>17.3</v>
      </c>
      <c r="J92" s="985">
        <v>21000</v>
      </c>
      <c r="K92" s="1173">
        <v>7.1</v>
      </c>
      <c r="L92" s="985">
        <v>9000</v>
      </c>
      <c r="M92" s="1174">
        <f t="shared" si="41"/>
        <v>44.300000000000004</v>
      </c>
      <c r="N92" s="984">
        <f t="shared" si="42"/>
        <v>54700</v>
      </c>
      <c r="O92" s="986">
        <f t="shared" si="43"/>
        <v>170.11019283746558</v>
      </c>
      <c r="P92" s="987">
        <f t="shared" si="44"/>
        <v>144.62809917355372</v>
      </c>
      <c r="Q92" s="987">
        <f t="shared" si="45"/>
        <v>61.983471074380169</v>
      </c>
      <c r="R92" s="988">
        <f t="shared" si="46"/>
        <v>376.72176308539952</v>
      </c>
      <c r="S92" s="989">
        <v>145.19999999999999</v>
      </c>
      <c r="T92" s="990">
        <v>0</v>
      </c>
      <c r="U92" s="991">
        <v>184</v>
      </c>
      <c r="V92" s="991">
        <v>151</v>
      </c>
      <c r="W92" s="992">
        <f t="shared" si="47"/>
        <v>335</v>
      </c>
      <c r="X92" s="993">
        <f t="shared" si="48"/>
        <v>2.3071625344352618</v>
      </c>
      <c r="Y92" s="990">
        <v>1679</v>
      </c>
      <c r="Z92" s="991">
        <v>1437</v>
      </c>
      <c r="AA92" s="991">
        <v>578</v>
      </c>
      <c r="AB92" s="992">
        <f t="shared" si="49"/>
        <v>3694</v>
      </c>
      <c r="AC92" s="993">
        <f t="shared" si="50"/>
        <v>25.44077134986226</v>
      </c>
      <c r="AD92" s="994">
        <f t="shared" si="51"/>
        <v>4029</v>
      </c>
      <c r="AE92" s="995">
        <f t="shared" si="52"/>
        <v>27.747933884297524</v>
      </c>
      <c r="AF92" s="996">
        <v>78</v>
      </c>
      <c r="AG92" s="997">
        <v>63</v>
      </c>
      <c r="AH92" s="997">
        <v>5</v>
      </c>
      <c r="AI92" s="998">
        <f t="shared" si="53"/>
        <v>146</v>
      </c>
      <c r="AJ92" s="993">
        <f t="shared" si="54"/>
        <v>1.0055096418732783</v>
      </c>
    </row>
    <row r="93" spans="1:36" ht="16.5" customHeight="1">
      <c r="A93" s="999">
        <f>'09월 조업일지'!A91</f>
        <v>46268</v>
      </c>
      <c r="B93" s="1099">
        <f>'09월 조업일지'!B91</f>
        <v>46268</v>
      </c>
      <c r="C93" s="1000" t="str">
        <f>'09월 화학성분'!D91</f>
        <v>C</v>
      </c>
      <c r="D93" s="1000" t="str">
        <f>'09월 화학성분'!E91</f>
        <v>B</v>
      </c>
      <c r="E93" s="1000">
        <f>'09월 화학성분'!C91</f>
        <v>85293</v>
      </c>
      <c r="F93" s="1001" t="str">
        <f t="shared" si="40"/>
        <v>SS400-05</v>
      </c>
      <c r="G93" s="1172">
        <v>18.899999999999999</v>
      </c>
      <c r="H93" s="985">
        <v>22600</v>
      </c>
      <c r="I93" s="1173">
        <v>16.7</v>
      </c>
      <c r="J93" s="985">
        <v>20400</v>
      </c>
      <c r="K93" s="1173">
        <v>13</v>
      </c>
      <c r="L93" s="985">
        <v>16100</v>
      </c>
      <c r="M93" s="1174">
        <f t="shared" si="41"/>
        <v>48.599999999999994</v>
      </c>
      <c r="N93" s="984">
        <f t="shared" si="42"/>
        <v>59100</v>
      </c>
      <c r="O93" s="986">
        <f t="shared" si="43"/>
        <v>160.96866096866097</v>
      </c>
      <c r="P93" s="987">
        <f t="shared" si="44"/>
        <v>145.29914529914529</v>
      </c>
      <c r="Q93" s="987">
        <f t="shared" si="45"/>
        <v>114.67236467236467</v>
      </c>
      <c r="R93" s="988">
        <f t="shared" si="46"/>
        <v>420.9401709401709</v>
      </c>
      <c r="S93" s="989">
        <v>140.4</v>
      </c>
      <c r="T93" s="990">
        <v>0</v>
      </c>
      <c r="U93" s="991">
        <v>56</v>
      </c>
      <c r="V93" s="991">
        <v>306</v>
      </c>
      <c r="W93" s="992">
        <f t="shared" si="47"/>
        <v>362</v>
      </c>
      <c r="X93" s="993">
        <f t="shared" si="48"/>
        <v>2.5783475783475782</v>
      </c>
      <c r="Y93" s="990">
        <v>1575</v>
      </c>
      <c r="Z93" s="991">
        <v>1397</v>
      </c>
      <c r="AA93" s="991">
        <v>1034</v>
      </c>
      <c r="AB93" s="992">
        <f t="shared" si="49"/>
        <v>4006</v>
      </c>
      <c r="AC93" s="993">
        <f t="shared" si="50"/>
        <v>28.532763532763532</v>
      </c>
      <c r="AD93" s="994">
        <f t="shared" si="51"/>
        <v>4368</v>
      </c>
      <c r="AE93" s="995">
        <f t="shared" si="52"/>
        <v>31.111111111111111</v>
      </c>
      <c r="AF93" s="996">
        <v>82</v>
      </c>
      <c r="AG93" s="997">
        <v>64</v>
      </c>
      <c r="AH93" s="997">
        <v>16</v>
      </c>
      <c r="AI93" s="998">
        <f t="shared" si="53"/>
        <v>162</v>
      </c>
      <c r="AJ93" s="993">
        <f t="shared" si="54"/>
        <v>1.1538461538461537</v>
      </c>
    </row>
    <row r="94" spans="1:36" ht="16.5" customHeight="1">
      <c r="A94" s="999">
        <f>'09월 조업일지'!A92</f>
        <v>46268</v>
      </c>
      <c r="B94" s="1099">
        <f>'09월 조업일지'!B92</f>
        <v>46268</v>
      </c>
      <c r="C94" s="1000" t="str">
        <f>'09월 화학성분'!D92</f>
        <v>C</v>
      </c>
      <c r="D94" s="1000" t="str">
        <f>'09월 화학성분'!E92</f>
        <v>A</v>
      </c>
      <c r="E94" s="1000">
        <f>'09월 화학성분'!C92</f>
        <v>85294</v>
      </c>
      <c r="F94" s="1001" t="str">
        <f t="shared" si="40"/>
        <v>SS400-05</v>
      </c>
      <c r="G94" s="1172">
        <v>18.899999999999999</v>
      </c>
      <c r="H94" s="985">
        <v>22500</v>
      </c>
      <c r="I94" s="1173">
        <v>17.399999999999999</v>
      </c>
      <c r="J94" s="985">
        <v>20900</v>
      </c>
      <c r="K94" s="1173">
        <v>9</v>
      </c>
      <c r="L94" s="985">
        <v>11400</v>
      </c>
      <c r="M94" s="1174">
        <f t="shared" si="41"/>
        <v>45.3</v>
      </c>
      <c r="N94" s="984">
        <f t="shared" si="42"/>
        <v>54800</v>
      </c>
      <c r="O94" s="986">
        <f t="shared" si="43"/>
        <v>157.23270440251574</v>
      </c>
      <c r="P94" s="987">
        <f t="shared" si="44"/>
        <v>146.05171208944793</v>
      </c>
      <c r="Q94" s="987">
        <f t="shared" si="45"/>
        <v>79.664570230607964</v>
      </c>
      <c r="R94" s="988">
        <f t="shared" si="46"/>
        <v>382.94898672257165</v>
      </c>
      <c r="S94" s="989">
        <v>143.1</v>
      </c>
      <c r="T94" s="990">
        <v>0</v>
      </c>
      <c r="U94" s="991">
        <v>55</v>
      </c>
      <c r="V94" s="991">
        <v>280</v>
      </c>
      <c r="W94" s="992">
        <f t="shared" si="47"/>
        <v>335</v>
      </c>
      <c r="X94" s="993">
        <f t="shared" si="48"/>
        <v>2.3410202655485675</v>
      </c>
      <c r="Y94" s="990">
        <v>1538</v>
      </c>
      <c r="Z94" s="991">
        <v>1450</v>
      </c>
      <c r="AA94" s="991">
        <v>691</v>
      </c>
      <c r="AB94" s="992">
        <f t="shared" si="49"/>
        <v>3679</v>
      </c>
      <c r="AC94" s="993">
        <f t="shared" si="50"/>
        <v>25.709294199860238</v>
      </c>
      <c r="AD94" s="994">
        <f t="shared" si="51"/>
        <v>4014</v>
      </c>
      <c r="AE94" s="995">
        <f t="shared" si="52"/>
        <v>28.050314465408807</v>
      </c>
      <c r="AF94" s="996">
        <v>80</v>
      </c>
      <c r="AG94" s="997">
        <v>62</v>
      </c>
      <c r="AH94" s="997">
        <v>7</v>
      </c>
      <c r="AI94" s="998">
        <f t="shared" si="53"/>
        <v>149</v>
      </c>
      <c r="AJ94" s="993">
        <f t="shared" si="54"/>
        <v>1.0412299091544375</v>
      </c>
    </row>
    <row r="95" spans="1:36" ht="16.5" customHeight="1">
      <c r="A95" s="999">
        <f>'09월 조업일지'!A93</f>
        <v>46268</v>
      </c>
      <c r="B95" s="1099">
        <f>'09월 조업일지'!B93</f>
        <v>46268</v>
      </c>
      <c r="C95" s="1000" t="str">
        <f>'09월 화학성분'!D93</f>
        <v>C</v>
      </c>
      <c r="D95" s="1000" t="str">
        <f>'09월 화학성분'!E93</f>
        <v>B</v>
      </c>
      <c r="E95" s="1000">
        <f>'09월 화학성분'!C93</f>
        <v>85295</v>
      </c>
      <c r="F95" s="1001" t="str">
        <f t="shared" si="40"/>
        <v>SS400-05</v>
      </c>
      <c r="G95" s="1172">
        <v>18.3</v>
      </c>
      <c r="H95" s="985">
        <v>22400</v>
      </c>
      <c r="I95" s="1173">
        <v>17</v>
      </c>
      <c r="J95" s="985">
        <v>20400</v>
      </c>
      <c r="K95" s="1173">
        <v>9.6</v>
      </c>
      <c r="L95" s="985">
        <v>12400</v>
      </c>
      <c r="M95" s="1174">
        <f t="shared" si="41"/>
        <v>44.9</v>
      </c>
      <c r="N95" s="984">
        <f t="shared" si="42"/>
        <v>55200</v>
      </c>
      <c r="O95" s="986">
        <f t="shared" si="43"/>
        <v>167.2890216579537</v>
      </c>
      <c r="P95" s="987">
        <f t="shared" si="44"/>
        <v>152.35250186706497</v>
      </c>
      <c r="Q95" s="987">
        <f t="shared" si="45"/>
        <v>92.606422703510077</v>
      </c>
      <c r="R95" s="988">
        <f t="shared" si="46"/>
        <v>412.24794622852875</v>
      </c>
      <c r="S95" s="989">
        <v>133.9</v>
      </c>
      <c r="T95" s="990">
        <v>0</v>
      </c>
      <c r="U95" s="991">
        <v>62</v>
      </c>
      <c r="V95" s="991">
        <v>288</v>
      </c>
      <c r="W95" s="992">
        <f t="shared" si="47"/>
        <v>350</v>
      </c>
      <c r="X95" s="993">
        <f t="shared" si="48"/>
        <v>2.6138909634055265</v>
      </c>
      <c r="Y95" s="990">
        <v>1525</v>
      </c>
      <c r="Z95" s="991">
        <v>1418</v>
      </c>
      <c r="AA95" s="991">
        <v>812</v>
      </c>
      <c r="AB95" s="992">
        <f t="shared" si="49"/>
        <v>3755</v>
      </c>
      <c r="AC95" s="993">
        <f t="shared" si="50"/>
        <v>28.043315907393577</v>
      </c>
      <c r="AD95" s="994">
        <f t="shared" si="51"/>
        <v>4105</v>
      </c>
      <c r="AE95" s="995">
        <f t="shared" si="52"/>
        <v>30.657206870799101</v>
      </c>
      <c r="AF95" s="996">
        <v>78</v>
      </c>
      <c r="AG95" s="997">
        <v>66</v>
      </c>
      <c r="AH95" s="997">
        <v>7</v>
      </c>
      <c r="AI95" s="998">
        <f t="shared" si="53"/>
        <v>151</v>
      </c>
      <c r="AJ95" s="993">
        <f t="shared" si="54"/>
        <v>1.1277072442120986</v>
      </c>
    </row>
    <row r="96" spans="1:36" ht="16.5" customHeight="1">
      <c r="A96" s="999">
        <f>'09월 조업일지'!A94</f>
        <v>46268</v>
      </c>
      <c r="B96" s="1099">
        <f>'09월 조업일지'!B94</f>
        <v>46268</v>
      </c>
      <c r="C96" s="1000" t="str">
        <f>'09월 화학성분'!D94</f>
        <v>C</v>
      </c>
      <c r="D96" s="1000" t="str">
        <f>'09월 화학성분'!E94</f>
        <v>A</v>
      </c>
      <c r="E96" s="1000">
        <f>'09월 화학성분'!C94</f>
        <v>85296</v>
      </c>
      <c r="F96" s="1001" t="str">
        <f t="shared" si="40"/>
        <v>SS400-05</v>
      </c>
      <c r="G96" s="1172">
        <v>20.100000000000001</v>
      </c>
      <c r="H96" s="985">
        <v>24800</v>
      </c>
      <c r="I96" s="1173">
        <v>17.399999999999999</v>
      </c>
      <c r="J96" s="985">
        <v>21100</v>
      </c>
      <c r="K96" s="1173">
        <v>9.9</v>
      </c>
      <c r="L96" s="985">
        <v>12300</v>
      </c>
      <c r="M96" s="1174">
        <f t="shared" si="41"/>
        <v>47.4</v>
      </c>
      <c r="N96" s="984">
        <f t="shared" si="42"/>
        <v>58200</v>
      </c>
      <c r="O96" s="986">
        <f t="shared" si="43"/>
        <v>174.40225035161745</v>
      </c>
      <c r="P96" s="987">
        <f t="shared" si="44"/>
        <v>148.38255977496485</v>
      </c>
      <c r="Q96" s="987">
        <f t="shared" si="45"/>
        <v>86.497890295358658</v>
      </c>
      <c r="R96" s="988">
        <f t="shared" si="46"/>
        <v>409.282700421941</v>
      </c>
      <c r="S96" s="989">
        <v>142.19999999999999</v>
      </c>
      <c r="T96" s="990">
        <v>0</v>
      </c>
      <c r="U96" s="991">
        <v>128</v>
      </c>
      <c r="V96" s="991">
        <v>246</v>
      </c>
      <c r="W96" s="992">
        <f t="shared" si="47"/>
        <v>374</v>
      </c>
      <c r="X96" s="993">
        <f t="shared" si="48"/>
        <v>2.6300984528832632</v>
      </c>
      <c r="Y96" s="990">
        <v>1674</v>
      </c>
      <c r="Z96" s="991">
        <v>1456</v>
      </c>
      <c r="AA96" s="991">
        <v>539</v>
      </c>
      <c r="AB96" s="992">
        <f t="shared" si="49"/>
        <v>3669</v>
      </c>
      <c r="AC96" s="993">
        <f t="shared" si="50"/>
        <v>25.801687763713083</v>
      </c>
      <c r="AD96" s="994">
        <f t="shared" si="51"/>
        <v>4043</v>
      </c>
      <c r="AE96" s="995">
        <f t="shared" si="52"/>
        <v>28.431786216596347</v>
      </c>
      <c r="AF96" s="996">
        <v>78</v>
      </c>
      <c r="AG96" s="997">
        <v>64</v>
      </c>
      <c r="AH96" s="997">
        <v>4</v>
      </c>
      <c r="AI96" s="998">
        <f t="shared" si="53"/>
        <v>146</v>
      </c>
      <c r="AJ96" s="993">
        <f t="shared" si="54"/>
        <v>1.0267229254571029</v>
      </c>
    </row>
    <row r="97" spans="1:36" ht="16.5" customHeight="1">
      <c r="A97" s="999">
        <f>'09월 조업일지'!A95</f>
        <v>46268</v>
      </c>
      <c r="B97" s="1099">
        <f>'09월 조업일지'!B95</f>
        <v>46268</v>
      </c>
      <c r="C97" s="1000" t="str">
        <f>'09월 화학성분'!D95</f>
        <v>C</v>
      </c>
      <c r="D97" s="1000" t="str">
        <f>'09월 화학성분'!E95</f>
        <v>B</v>
      </c>
      <c r="E97" s="1000">
        <f>'09월 화학성분'!C95</f>
        <v>85297</v>
      </c>
      <c r="F97" s="1001" t="str">
        <f t="shared" si="40"/>
        <v>SS400-05</v>
      </c>
      <c r="G97" s="1172">
        <v>19.3</v>
      </c>
      <c r="H97" s="985">
        <v>24100</v>
      </c>
      <c r="I97" s="1173">
        <v>17.3</v>
      </c>
      <c r="J97" s="985">
        <v>20400</v>
      </c>
      <c r="K97" s="1173">
        <v>11.3</v>
      </c>
      <c r="L97" s="985">
        <v>14300</v>
      </c>
      <c r="M97" s="1174">
        <f t="shared" si="41"/>
        <v>47.900000000000006</v>
      </c>
      <c r="N97" s="984">
        <f t="shared" si="42"/>
        <v>58800</v>
      </c>
      <c r="O97" s="986">
        <f t="shared" si="43"/>
        <v>168.29608938547489</v>
      </c>
      <c r="P97" s="987">
        <f t="shared" si="44"/>
        <v>142.45810055865923</v>
      </c>
      <c r="Q97" s="987">
        <f t="shared" si="45"/>
        <v>99.860335195530737</v>
      </c>
      <c r="R97" s="988">
        <f t="shared" si="46"/>
        <v>410.61452513966486</v>
      </c>
      <c r="S97" s="989">
        <v>143.19999999999999</v>
      </c>
      <c r="T97" s="990">
        <v>0</v>
      </c>
      <c r="U97" s="991">
        <v>73</v>
      </c>
      <c r="V97" s="991">
        <v>295</v>
      </c>
      <c r="W97" s="992">
        <f t="shared" si="47"/>
        <v>368</v>
      </c>
      <c r="X97" s="993">
        <f t="shared" si="48"/>
        <v>2.569832402234637</v>
      </c>
      <c r="Y97" s="990">
        <v>1635</v>
      </c>
      <c r="Z97" s="991">
        <v>1458</v>
      </c>
      <c r="AA97" s="991">
        <v>1017</v>
      </c>
      <c r="AB97" s="992">
        <f t="shared" si="49"/>
        <v>4110</v>
      </c>
      <c r="AC97" s="993">
        <f t="shared" si="50"/>
        <v>28.701117318435756</v>
      </c>
      <c r="AD97" s="994">
        <f t="shared" si="51"/>
        <v>4478</v>
      </c>
      <c r="AE97" s="995">
        <f t="shared" si="52"/>
        <v>31.270949720670394</v>
      </c>
      <c r="AF97" s="996">
        <v>80</v>
      </c>
      <c r="AG97" s="997">
        <v>62</v>
      </c>
      <c r="AH97" s="997">
        <v>17</v>
      </c>
      <c r="AI97" s="998">
        <f t="shared" si="53"/>
        <v>159</v>
      </c>
      <c r="AJ97" s="993">
        <f t="shared" si="54"/>
        <v>1.1103351955307263</v>
      </c>
    </row>
    <row r="98" spans="1:36" ht="16.5" customHeight="1">
      <c r="A98" s="999">
        <f>'09월 조업일지'!A96</f>
        <v>46268</v>
      </c>
      <c r="B98" s="1099">
        <f>'09월 조업일지'!B96</f>
        <v>46268</v>
      </c>
      <c r="C98" s="1000" t="str">
        <f>'09월 화학성분'!D96</f>
        <v>C</v>
      </c>
      <c r="D98" s="1000" t="str">
        <f>'09월 화학성분'!E96</f>
        <v>A</v>
      </c>
      <c r="E98" s="1000">
        <f>'09월 화학성분'!C96</f>
        <v>85298</v>
      </c>
      <c r="F98" s="1001" t="str">
        <f t="shared" si="40"/>
        <v>SS400-05</v>
      </c>
      <c r="G98" s="1172">
        <v>19.399999999999999</v>
      </c>
      <c r="H98" s="985">
        <v>24000</v>
      </c>
      <c r="I98" s="1173">
        <v>17.3</v>
      </c>
      <c r="J98" s="985">
        <v>21200</v>
      </c>
      <c r="K98" s="1173">
        <v>7.8</v>
      </c>
      <c r="L98" s="985">
        <v>9900</v>
      </c>
      <c r="M98" s="1174">
        <f t="shared" si="41"/>
        <v>44.5</v>
      </c>
      <c r="N98" s="984">
        <f t="shared" si="42"/>
        <v>55100</v>
      </c>
      <c r="O98" s="986">
        <f t="shared" si="43"/>
        <v>169.49152542372883</v>
      </c>
      <c r="P98" s="987">
        <f t="shared" si="44"/>
        <v>149.71751412429379</v>
      </c>
      <c r="Q98" s="987">
        <f t="shared" si="45"/>
        <v>69.915254237288138</v>
      </c>
      <c r="R98" s="988">
        <f t="shared" si="46"/>
        <v>389.12429378531073</v>
      </c>
      <c r="S98" s="989">
        <v>141.6</v>
      </c>
      <c r="T98" s="990">
        <v>0</v>
      </c>
      <c r="U98" s="991">
        <v>148</v>
      </c>
      <c r="V98" s="991">
        <v>195</v>
      </c>
      <c r="W98" s="992">
        <f t="shared" si="47"/>
        <v>343</v>
      </c>
      <c r="X98" s="993">
        <f t="shared" si="48"/>
        <v>2.4223163841807911</v>
      </c>
      <c r="Y98" s="990">
        <v>1610</v>
      </c>
      <c r="Z98" s="991">
        <v>1442</v>
      </c>
      <c r="AA98" s="991">
        <v>586</v>
      </c>
      <c r="AB98" s="992">
        <f t="shared" si="49"/>
        <v>3638</v>
      </c>
      <c r="AC98" s="993">
        <f t="shared" si="50"/>
        <v>25.692090395480228</v>
      </c>
      <c r="AD98" s="994">
        <f t="shared" si="51"/>
        <v>3981</v>
      </c>
      <c r="AE98" s="995">
        <f t="shared" si="52"/>
        <v>28.114406779661017</v>
      </c>
      <c r="AF98" s="996">
        <v>79</v>
      </c>
      <c r="AG98" s="997">
        <v>63</v>
      </c>
      <c r="AH98" s="997">
        <v>5</v>
      </c>
      <c r="AI98" s="998">
        <f t="shared" si="53"/>
        <v>147</v>
      </c>
      <c r="AJ98" s="993">
        <f t="shared" si="54"/>
        <v>1.0381355932203391</v>
      </c>
    </row>
    <row r="99" spans="1:36" ht="16.5" customHeight="1">
      <c r="A99" s="999">
        <f>'09월 조업일지'!A97</f>
        <v>46268</v>
      </c>
      <c r="B99" s="1099">
        <f>'09월 조업일지'!B97</f>
        <v>46268</v>
      </c>
      <c r="C99" s="1000" t="str">
        <f>'09월 화학성분'!D97</f>
        <v>D</v>
      </c>
      <c r="D99" s="1000" t="str">
        <f>'09월 화학성분'!E97</f>
        <v>B</v>
      </c>
      <c r="E99" s="1000">
        <f>'09월 화학성분'!C97</f>
        <v>85299</v>
      </c>
      <c r="F99" s="1001" t="str">
        <f t="shared" si="40"/>
        <v>SS400-05</v>
      </c>
      <c r="G99" s="1172">
        <v>18.399999999999999</v>
      </c>
      <c r="H99" s="985">
        <v>22400</v>
      </c>
      <c r="I99" s="1173">
        <v>16.2</v>
      </c>
      <c r="J99" s="985">
        <v>20400</v>
      </c>
      <c r="K99" s="1173">
        <v>9.1999999999999993</v>
      </c>
      <c r="L99" s="985">
        <v>11600</v>
      </c>
      <c r="M99" s="1174">
        <f t="shared" si="41"/>
        <v>43.8</v>
      </c>
      <c r="N99" s="984">
        <f t="shared" si="42"/>
        <v>54400</v>
      </c>
      <c r="O99" s="986">
        <f t="shared" si="43"/>
        <v>156.64335664335664</v>
      </c>
      <c r="P99" s="987">
        <f t="shared" si="44"/>
        <v>142.65734265734267</v>
      </c>
      <c r="Q99" s="987">
        <f t="shared" si="45"/>
        <v>81.11888111888112</v>
      </c>
      <c r="R99" s="988">
        <f t="shared" si="46"/>
        <v>380.41958041958043</v>
      </c>
      <c r="S99" s="989">
        <v>143</v>
      </c>
      <c r="T99" s="990">
        <v>0</v>
      </c>
      <c r="U99" s="991">
        <v>0</v>
      </c>
      <c r="V99" s="991">
        <v>324</v>
      </c>
      <c r="W99" s="992">
        <f t="shared" si="47"/>
        <v>324</v>
      </c>
      <c r="X99" s="993">
        <f t="shared" si="48"/>
        <v>2.2657342657342658</v>
      </c>
      <c r="Y99" s="990">
        <v>1490</v>
      </c>
      <c r="Z99" s="991">
        <v>1367</v>
      </c>
      <c r="AA99" s="991">
        <v>782</v>
      </c>
      <c r="AB99" s="992">
        <f t="shared" si="49"/>
        <v>3639</v>
      </c>
      <c r="AC99" s="993">
        <f t="shared" si="50"/>
        <v>25.447552447552447</v>
      </c>
      <c r="AD99" s="994">
        <f t="shared" si="51"/>
        <v>3963</v>
      </c>
      <c r="AE99" s="995">
        <f t="shared" si="52"/>
        <v>27.713286713286713</v>
      </c>
      <c r="AF99" s="996">
        <v>78</v>
      </c>
      <c r="AG99" s="997">
        <v>62</v>
      </c>
      <c r="AH99" s="997">
        <v>6</v>
      </c>
      <c r="AI99" s="998">
        <f t="shared" si="53"/>
        <v>146</v>
      </c>
      <c r="AJ99" s="993">
        <f t="shared" si="54"/>
        <v>1.020979020979021</v>
      </c>
    </row>
    <row r="100" spans="1:36" ht="16.5" customHeight="1">
      <c r="A100" s="999">
        <f>'09월 조업일지'!A98</f>
        <v>46268</v>
      </c>
      <c r="B100" s="1099">
        <f>'09월 조업일지'!B98</f>
        <v>46268</v>
      </c>
      <c r="C100" s="1000" t="str">
        <f>'09월 화학성분'!D98</f>
        <v>D</v>
      </c>
      <c r="D100" s="1000" t="str">
        <f>'09월 화학성분'!E98</f>
        <v>A</v>
      </c>
      <c r="E100" s="1000">
        <f>'09월 화학성분'!C98</f>
        <v>85300</v>
      </c>
      <c r="F100" s="1001" t="str">
        <f t="shared" si="40"/>
        <v>SS400-05</v>
      </c>
      <c r="G100" s="1172">
        <v>18.399999999999999</v>
      </c>
      <c r="H100" s="985">
        <v>22900</v>
      </c>
      <c r="I100" s="1173">
        <v>17.100000000000001</v>
      </c>
      <c r="J100" s="985">
        <v>21000</v>
      </c>
      <c r="K100" s="1173">
        <v>8.4</v>
      </c>
      <c r="L100" s="985">
        <v>10700</v>
      </c>
      <c r="M100" s="1174">
        <f t="shared" si="41"/>
        <v>43.9</v>
      </c>
      <c r="N100" s="984">
        <f t="shared" si="42"/>
        <v>54600</v>
      </c>
      <c r="O100" s="986">
        <f t="shared" si="43"/>
        <v>159.91620111731845</v>
      </c>
      <c r="P100" s="987">
        <f t="shared" si="44"/>
        <v>146.64804469273744</v>
      </c>
      <c r="Q100" s="987">
        <f t="shared" si="45"/>
        <v>74.720670391061461</v>
      </c>
      <c r="R100" s="988">
        <f t="shared" si="46"/>
        <v>381.28491620111737</v>
      </c>
      <c r="S100" s="989">
        <v>143.19999999999999</v>
      </c>
      <c r="T100" s="990">
        <v>0</v>
      </c>
      <c r="U100" s="991">
        <v>71</v>
      </c>
      <c r="V100" s="991">
        <v>260</v>
      </c>
      <c r="W100" s="992">
        <f t="shared" si="47"/>
        <v>331</v>
      </c>
      <c r="X100" s="993">
        <f t="shared" si="48"/>
        <v>2.3114525139664805</v>
      </c>
      <c r="Y100" s="990">
        <v>1525</v>
      </c>
      <c r="Z100" s="991">
        <v>1436</v>
      </c>
      <c r="AA100" s="991">
        <v>674</v>
      </c>
      <c r="AB100" s="992">
        <f t="shared" si="49"/>
        <v>3635</v>
      </c>
      <c r="AC100" s="993">
        <f t="shared" si="50"/>
        <v>25.384078212290504</v>
      </c>
      <c r="AD100" s="994">
        <f t="shared" si="51"/>
        <v>3966</v>
      </c>
      <c r="AE100" s="995">
        <f t="shared" si="52"/>
        <v>27.695530726256987</v>
      </c>
      <c r="AF100" s="996">
        <v>76</v>
      </c>
      <c r="AG100" s="997">
        <v>64</v>
      </c>
      <c r="AH100" s="997">
        <v>5</v>
      </c>
      <c r="AI100" s="998">
        <f t="shared" si="53"/>
        <v>145</v>
      </c>
      <c r="AJ100" s="993">
        <f t="shared" si="54"/>
        <v>1.0125698324022347</v>
      </c>
    </row>
    <row r="101" spans="1:36" ht="16.5" customHeight="1">
      <c r="A101" s="999">
        <f>'09월 조업일지'!A99</f>
        <v>46268</v>
      </c>
      <c r="B101" s="1099">
        <f>'09월 조업일지'!B99</f>
        <v>46268</v>
      </c>
      <c r="C101" s="1000" t="str">
        <f>'09월 화학성분'!D99</f>
        <v>D</v>
      </c>
      <c r="D101" s="1000" t="str">
        <f>'09월 화학성분'!E99</f>
        <v>B</v>
      </c>
      <c r="E101" s="1000">
        <f>'09월 화학성분'!C99</f>
        <v>85301</v>
      </c>
      <c r="F101" s="1001" t="str">
        <f t="shared" si="40"/>
        <v>SS400-05</v>
      </c>
      <c r="G101" s="1172">
        <v>18.899999999999999</v>
      </c>
      <c r="H101" s="985">
        <v>22500</v>
      </c>
      <c r="I101" s="1173">
        <v>16.2</v>
      </c>
      <c r="J101" s="985">
        <v>20300</v>
      </c>
      <c r="K101" s="1173">
        <v>9.6</v>
      </c>
      <c r="L101" s="985">
        <v>12300</v>
      </c>
      <c r="M101" s="1174">
        <f t="shared" si="41"/>
        <v>44.699999999999996</v>
      </c>
      <c r="N101" s="984">
        <f t="shared" si="42"/>
        <v>55100</v>
      </c>
      <c r="O101" s="986">
        <f t="shared" si="43"/>
        <v>158.56236786469344</v>
      </c>
      <c r="P101" s="987">
        <f t="shared" si="44"/>
        <v>143.0584918957012</v>
      </c>
      <c r="Q101" s="987">
        <f t="shared" si="45"/>
        <v>86.680761099365753</v>
      </c>
      <c r="R101" s="988">
        <f t="shared" si="46"/>
        <v>388.30162085976042</v>
      </c>
      <c r="S101" s="989">
        <v>141.9</v>
      </c>
      <c r="T101" s="990">
        <v>0</v>
      </c>
      <c r="U101" s="991">
        <v>0</v>
      </c>
      <c r="V101" s="991">
        <v>338</v>
      </c>
      <c r="W101" s="992">
        <f t="shared" si="47"/>
        <v>338</v>
      </c>
      <c r="X101" s="993">
        <f t="shared" si="48"/>
        <v>2.3819591261451727</v>
      </c>
      <c r="Y101" s="990">
        <v>1561</v>
      </c>
      <c r="Z101" s="991">
        <v>1399</v>
      </c>
      <c r="AA101" s="991">
        <v>762</v>
      </c>
      <c r="AB101" s="992">
        <f t="shared" si="49"/>
        <v>3722</v>
      </c>
      <c r="AC101" s="993">
        <f t="shared" si="50"/>
        <v>26.229739252995067</v>
      </c>
      <c r="AD101" s="994">
        <f t="shared" si="51"/>
        <v>4060</v>
      </c>
      <c r="AE101" s="995">
        <f t="shared" si="52"/>
        <v>28.61169837914024</v>
      </c>
      <c r="AF101" s="996">
        <v>83</v>
      </c>
      <c r="AG101" s="997">
        <v>62</v>
      </c>
      <c r="AH101" s="997">
        <v>7</v>
      </c>
      <c r="AI101" s="998">
        <f t="shared" si="53"/>
        <v>152</v>
      </c>
      <c r="AJ101" s="993">
        <f t="shared" si="54"/>
        <v>1.0711768851303736</v>
      </c>
    </row>
    <row r="102" spans="1:36" ht="16.5" customHeight="1">
      <c r="A102" s="999">
        <f>'09월 조업일지'!A100</f>
        <v>46268</v>
      </c>
      <c r="B102" s="1099">
        <f>'09월 조업일지'!B100</f>
        <v>46268</v>
      </c>
      <c r="C102" s="1000" t="str">
        <f>'09월 화학성분'!D100</f>
        <v>D</v>
      </c>
      <c r="D102" s="1000" t="str">
        <f>'09월 화학성분'!E100</f>
        <v>A</v>
      </c>
      <c r="E102" s="1000">
        <f>'09월 화학성분'!C100</f>
        <v>85302</v>
      </c>
      <c r="F102" s="1001" t="str">
        <f t="shared" si="40"/>
        <v>SS400-05</v>
      </c>
      <c r="G102" s="1172">
        <v>18.600000000000001</v>
      </c>
      <c r="H102" s="985">
        <v>22800</v>
      </c>
      <c r="I102" s="1173">
        <v>17.2</v>
      </c>
      <c r="J102" s="985">
        <v>21300</v>
      </c>
      <c r="K102" s="1173">
        <v>7</v>
      </c>
      <c r="L102" s="985">
        <v>9000</v>
      </c>
      <c r="M102" s="1174">
        <f t="shared" si="41"/>
        <v>42.8</v>
      </c>
      <c r="N102" s="984">
        <f t="shared" si="42"/>
        <v>53100</v>
      </c>
      <c r="O102" s="986">
        <f t="shared" si="43"/>
        <v>161.13074204946997</v>
      </c>
      <c r="P102" s="987">
        <f t="shared" si="44"/>
        <v>150.53003533568904</v>
      </c>
      <c r="Q102" s="987">
        <f t="shared" si="45"/>
        <v>63.60424028268551</v>
      </c>
      <c r="R102" s="988">
        <f t="shared" si="46"/>
        <v>375.26501766784452</v>
      </c>
      <c r="S102" s="989">
        <v>141.5</v>
      </c>
      <c r="T102" s="990">
        <v>0</v>
      </c>
      <c r="U102" s="991">
        <v>99</v>
      </c>
      <c r="V102" s="991">
        <v>229</v>
      </c>
      <c r="W102" s="992">
        <f t="shared" si="47"/>
        <v>328</v>
      </c>
      <c r="X102" s="993">
        <f t="shared" si="48"/>
        <v>2.3180212014134276</v>
      </c>
      <c r="Y102" s="990">
        <v>1532</v>
      </c>
      <c r="Z102" s="991">
        <v>1459</v>
      </c>
      <c r="AA102" s="991">
        <v>598</v>
      </c>
      <c r="AB102" s="992">
        <f t="shared" si="49"/>
        <v>3589</v>
      </c>
      <c r="AC102" s="993">
        <f t="shared" si="50"/>
        <v>25.363957597173144</v>
      </c>
      <c r="AD102" s="994">
        <f t="shared" si="51"/>
        <v>3917</v>
      </c>
      <c r="AE102" s="995">
        <f t="shared" si="52"/>
        <v>27.681978798586574</v>
      </c>
      <c r="AF102" s="996">
        <v>79</v>
      </c>
      <c r="AG102" s="997">
        <v>63</v>
      </c>
      <c r="AH102" s="997">
        <v>5</v>
      </c>
      <c r="AI102" s="998">
        <f t="shared" si="53"/>
        <v>147</v>
      </c>
      <c r="AJ102" s="993">
        <f t="shared" si="54"/>
        <v>1.0388692579505301</v>
      </c>
    </row>
    <row r="103" spans="1:36" ht="16.5" customHeight="1">
      <c r="A103" s="999">
        <f>'09월 조업일지'!A101</f>
        <v>46268</v>
      </c>
      <c r="B103" s="1099">
        <f>'09월 조업일지'!B101</f>
        <v>46268</v>
      </c>
      <c r="C103" s="1000" t="str">
        <f>'09월 화학성분'!D101</f>
        <v>D</v>
      </c>
      <c r="D103" s="1000" t="str">
        <f>'09월 화학성분'!E101</f>
        <v>B</v>
      </c>
      <c r="E103" s="1000">
        <f>'09월 화학성분'!C101</f>
        <v>85303</v>
      </c>
      <c r="F103" s="1001" t="str">
        <f t="shared" si="40"/>
        <v>SS400-05</v>
      </c>
      <c r="G103" s="1172">
        <v>18.899999999999999</v>
      </c>
      <c r="H103" s="985">
        <v>22900</v>
      </c>
      <c r="I103" s="1173">
        <v>16.3</v>
      </c>
      <c r="J103" s="985">
        <v>20300</v>
      </c>
      <c r="K103" s="1173">
        <v>9.1999999999999993</v>
      </c>
      <c r="L103" s="985">
        <v>11900</v>
      </c>
      <c r="M103" s="1174">
        <f t="shared" si="41"/>
        <v>44.400000000000006</v>
      </c>
      <c r="N103" s="984">
        <f t="shared" si="42"/>
        <v>55100</v>
      </c>
      <c r="O103" s="986">
        <f t="shared" si="43"/>
        <v>160.7017543859649</v>
      </c>
      <c r="P103" s="987">
        <f t="shared" si="44"/>
        <v>142.45614035087721</v>
      </c>
      <c r="Q103" s="987">
        <f t="shared" si="45"/>
        <v>83.508771929824562</v>
      </c>
      <c r="R103" s="988">
        <f t="shared" si="46"/>
        <v>386.66666666666663</v>
      </c>
      <c r="S103" s="989">
        <v>142.5</v>
      </c>
      <c r="T103" s="990">
        <v>0</v>
      </c>
      <c r="U103" s="991">
        <v>53</v>
      </c>
      <c r="V103" s="991">
        <v>290</v>
      </c>
      <c r="W103" s="992">
        <f t="shared" si="47"/>
        <v>343</v>
      </c>
      <c r="X103" s="993">
        <f t="shared" si="48"/>
        <v>2.4070175438596491</v>
      </c>
      <c r="Y103" s="990">
        <v>1586</v>
      </c>
      <c r="Z103" s="991">
        <v>1381</v>
      </c>
      <c r="AA103" s="991">
        <v>725</v>
      </c>
      <c r="AB103" s="992">
        <f t="shared" si="49"/>
        <v>3692</v>
      </c>
      <c r="AC103" s="993">
        <f t="shared" si="50"/>
        <v>25.90877192982456</v>
      </c>
      <c r="AD103" s="994">
        <f t="shared" si="51"/>
        <v>4035</v>
      </c>
      <c r="AE103" s="995">
        <f t="shared" si="52"/>
        <v>28.315789473684209</v>
      </c>
      <c r="AF103" s="996">
        <v>83</v>
      </c>
      <c r="AG103" s="997">
        <v>61</v>
      </c>
      <c r="AH103" s="997">
        <v>5</v>
      </c>
      <c r="AI103" s="998">
        <f t="shared" si="53"/>
        <v>149</v>
      </c>
      <c r="AJ103" s="993">
        <f t="shared" si="54"/>
        <v>1.0456140350877192</v>
      </c>
    </row>
    <row r="104" spans="1:36" ht="16.5" customHeight="1">
      <c r="A104" s="999">
        <f>'09월 조업일지'!A102</f>
        <v>46268</v>
      </c>
      <c r="B104" s="1099">
        <f>'09월 조업일지'!B102</f>
        <v>46268</v>
      </c>
      <c r="C104" s="1000" t="str">
        <f>'09월 화학성분'!D102</f>
        <v>D</v>
      </c>
      <c r="D104" s="1000" t="str">
        <f>'09월 화학성분'!E102</f>
        <v>A</v>
      </c>
      <c r="E104" s="1000">
        <f>'09월 화학성분'!C102</f>
        <v>85304</v>
      </c>
      <c r="F104" s="1001" t="str">
        <f t="shared" si="40"/>
        <v>SS400-05</v>
      </c>
      <c r="G104" s="1172">
        <v>18.8</v>
      </c>
      <c r="H104" s="985">
        <v>23100</v>
      </c>
      <c r="I104" s="1173">
        <v>16.8</v>
      </c>
      <c r="J104" s="985">
        <v>21100</v>
      </c>
      <c r="K104" s="1173">
        <v>6.6</v>
      </c>
      <c r="L104" s="985">
        <v>8400</v>
      </c>
      <c r="M104" s="1174">
        <f t="shared" si="41"/>
        <v>42.2</v>
      </c>
      <c r="N104" s="984">
        <f t="shared" si="42"/>
        <v>52600</v>
      </c>
      <c r="O104" s="986">
        <f t="shared" si="43"/>
        <v>158.76288659793815</v>
      </c>
      <c r="P104" s="987">
        <f t="shared" si="44"/>
        <v>145.01718213058419</v>
      </c>
      <c r="Q104" s="987">
        <f t="shared" si="45"/>
        <v>57.731958762886599</v>
      </c>
      <c r="R104" s="988">
        <f t="shared" si="46"/>
        <v>361.51202749140896</v>
      </c>
      <c r="S104" s="989">
        <v>145.5</v>
      </c>
      <c r="T104" s="990">
        <v>0</v>
      </c>
      <c r="U104" s="991">
        <v>87</v>
      </c>
      <c r="V104" s="991">
        <v>236</v>
      </c>
      <c r="W104" s="992">
        <f t="shared" si="47"/>
        <v>323</v>
      </c>
      <c r="X104" s="993">
        <f t="shared" si="48"/>
        <v>2.2199312714776633</v>
      </c>
      <c r="Y104" s="990">
        <v>1540</v>
      </c>
      <c r="Z104" s="991">
        <v>1418</v>
      </c>
      <c r="AA104" s="991">
        <v>550</v>
      </c>
      <c r="AB104" s="992">
        <f t="shared" si="49"/>
        <v>3508</v>
      </c>
      <c r="AC104" s="993">
        <f t="shared" si="50"/>
        <v>24.109965635738831</v>
      </c>
      <c r="AD104" s="994">
        <f t="shared" si="51"/>
        <v>3831</v>
      </c>
      <c r="AE104" s="995">
        <f t="shared" si="52"/>
        <v>26.329896907216494</v>
      </c>
      <c r="AF104" s="996">
        <v>80</v>
      </c>
      <c r="AG104" s="997">
        <v>61</v>
      </c>
      <c r="AH104" s="997">
        <v>5</v>
      </c>
      <c r="AI104" s="998">
        <f t="shared" si="53"/>
        <v>146</v>
      </c>
      <c r="AJ104" s="993">
        <f t="shared" si="54"/>
        <v>1.0034364261168385</v>
      </c>
    </row>
    <row r="105" spans="1:36" ht="16.5" customHeight="1">
      <c r="A105" s="999">
        <f>'09월 조업일지'!A103</f>
        <v>46269</v>
      </c>
      <c r="B105" s="1099">
        <f>'09월 조업일지'!B103</f>
        <v>46268</v>
      </c>
      <c r="C105" s="1000" t="str">
        <f>'09월 화학성분'!D103</f>
        <v>D</v>
      </c>
      <c r="D105" s="1000" t="str">
        <f>'09월 화학성분'!E103</f>
        <v>B</v>
      </c>
      <c r="E105" s="1000">
        <f>'09월 화학성분'!C103</f>
        <v>85305</v>
      </c>
      <c r="F105" s="1001" t="str">
        <f t="shared" si="40"/>
        <v>SS400-05</v>
      </c>
      <c r="G105" s="1172">
        <v>18.600000000000001</v>
      </c>
      <c r="H105" s="985">
        <v>22800</v>
      </c>
      <c r="I105" s="1173">
        <v>16.2</v>
      </c>
      <c r="J105" s="985">
        <v>20300</v>
      </c>
      <c r="K105" s="1173">
        <v>9.5</v>
      </c>
      <c r="L105" s="985">
        <v>12200</v>
      </c>
      <c r="M105" s="1174">
        <f t="shared" si="41"/>
        <v>44.3</v>
      </c>
      <c r="N105" s="984">
        <f t="shared" si="42"/>
        <v>55300</v>
      </c>
      <c r="O105" s="986">
        <f t="shared" si="43"/>
        <v>160</v>
      </c>
      <c r="P105" s="987">
        <f t="shared" si="44"/>
        <v>142.45614035087721</v>
      </c>
      <c r="Q105" s="987">
        <f t="shared" si="45"/>
        <v>85.614035087719301</v>
      </c>
      <c r="R105" s="988">
        <f t="shared" si="46"/>
        <v>388.07017543859649</v>
      </c>
      <c r="S105" s="989">
        <v>142.5</v>
      </c>
      <c r="T105" s="990">
        <v>0</v>
      </c>
      <c r="U105" s="991">
        <v>11</v>
      </c>
      <c r="V105" s="991">
        <v>329</v>
      </c>
      <c r="W105" s="992">
        <f t="shared" si="47"/>
        <v>340</v>
      </c>
      <c r="X105" s="993">
        <f t="shared" si="48"/>
        <v>2.3859649122807016</v>
      </c>
      <c r="Y105" s="990">
        <v>1538</v>
      </c>
      <c r="Z105" s="991">
        <v>1363</v>
      </c>
      <c r="AA105" s="991">
        <v>765</v>
      </c>
      <c r="AB105" s="992">
        <f t="shared" si="49"/>
        <v>3666</v>
      </c>
      <c r="AC105" s="993">
        <f t="shared" si="50"/>
        <v>25.726315789473684</v>
      </c>
      <c r="AD105" s="994">
        <f t="shared" si="51"/>
        <v>4006</v>
      </c>
      <c r="AE105" s="995">
        <f t="shared" si="52"/>
        <v>28.112280701754386</v>
      </c>
      <c r="AF105" s="996">
        <v>79</v>
      </c>
      <c r="AG105" s="997">
        <v>63</v>
      </c>
      <c r="AH105" s="997">
        <v>7</v>
      </c>
      <c r="AI105" s="998">
        <f t="shared" si="53"/>
        <v>149</v>
      </c>
      <c r="AJ105" s="993">
        <f t="shared" si="54"/>
        <v>1.0456140350877192</v>
      </c>
    </row>
    <row r="106" spans="1:36" ht="16.5" customHeight="1">
      <c r="A106" s="999">
        <f>'09월 조업일지'!A104</f>
        <v>46269</v>
      </c>
      <c r="B106" s="1099">
        <f>'09월 조업일지'!B104</f>
        <v>46268</v>
      </c>
      <c r="C106" s="1000" t="str">
        <f>'09월 화학성분'!D104</f>
        <v>D</v>
      </c>
      <c r="D106" s="1000" t="str">
        <f>'09월 화학성분'!E104</f>
        <v>A</v>
      </c>
      <c r="E106" s="1000">
        <f>'09월 화학성분'!C104</f>
        <v>85306</v>
      </c>
      <c r="F106" s="1001" t="str">
        <f t="shared" si="40"/>
        <v>SS400-05</v>
      </c>
      <c r="G106" s="1172">
        <v>18.899999999999999</v>
      </c>
      <c r="H106" s="985">
        <v>23400</v>
      </c>
      <c r="I106" s="1173">
        <v>16.8</v>
      </c>
      <c r="J106" s="985">
        <v>21300</v>
      </c>
      <c r="K106" s="1173">
        <v>9.1999999999999993</v>
      </c>
      <c r="L106" s="985">
        <v>11700</v>
      </c>
      <c r="M106" s="1174">
        <f t="shared" si="41"/>
        <v>44.900000000000006</v>
      </c>
      <c r="N106" s="984">
        <f t="shared" si="42"/>
        <v>56400</v>
      </c>
      <c r="O106" s="986">
        <f t="shared" si="43"/>
        <v>163.52201257861637</v>
      </c>
      <c r="P106" s="987">
        <f t="shared" si="44"/>
        <v>148.84696016771488</v>
      </c>
      <c r="Q106" s="987">
        <f t="shared" si="45"/>
        <v>81.761006289308185</v>
      </c>
      <c r="R106" s="988">
        <f t="shared" si="46"/>
        <v>394.12997903563939</v>
      </c>
      <c r="S106" s="989">
        <v>143.1</v>
      </c>
      <c r="T106" s="990">
        <v>0</v>
      </c>
      <c r="U106" s="991">
        <v>0</v>
      </c>
      <c r="V106" s="991">
        <v>352</v>
      </c>
      <c r="W106" s="992">
        <f t="shared" si="47"/>
        <v>352</v>
      </c>
      <c r="X106" s="993">
        <f t="shared" si="48"/>
        <v>2.4598183088749126</v>
      </c>
      <c r="Y106" s="990">
        <v>1242</v>
      </c>
      <c r="Z106" s="991">
        <v>1426</v>
      </c>
      <c r="AA106" s="991">
        <v>698</v>
      </c>
      <c r="AB106" s="992">
        <f t="shared" si="49"/>
        <v>3366</v>
      </c>
      <c r="AC106" s="993">
        <f t="shared" si="50"/>
        <v>23.522012578616351</v>
      </c>
      <c r="AD106" s="994">
        <f t="shared" si="51"/>
        <v>3718</v>
      </c>
      <c r="AE106" s="995">
        <f t="shared" si="52"/>
        <v>25.981830887491267</v>
      </c>
      <c r="AF106" s="996">
        <v>70</v>
      </c>
      <c r="AG106" s="997">
        <v>61</v>
      </c>
      <c r="AH106" s="997">
        <v>7</v>
      </c>
      <c r="AI106" s="998">
        <f t="shared" si="53"/>
        <v>138</v>
      </c>
      <c r="AJ106" s="993">
        <f t="shared" si="54"/>
        <v>0.96436058700209648</v>
      </c>
    </row>
    <row r="107" spans="1:36" ht="16.5" customHeight="1">
      <c r="A107" s="999">
        <f>'09월 조업일지'!A105</f>
        <v>46269</v>
      </c>
      <c r="B107" s="1099">
        <f>'09월 조업일지'!B105</f>
        <v>46268</v>
      </c>
      <c r="C107" s="1000" t="str">
        <f>'09월 화학성분'!D105</f>
        <v>D</v>
      </c>
      <c r="D107" s="1000" t="str">
        <f>'09월 화학성분'!E105</f>
        <v>B</v>
      </c>
      <c r="E107" s="1000">
        <f>'09월 화학성분'!C105</f>
        <v>85307</v>
      </c>
      <c r="F107" s="1001" t="str">
        <f t="shared" si="40"/>
        <v>SS400-05</v>
      </c>
      <c r="G107" s="1172">
        <v>18.600000000000001</v>
      </c>
      <c r="H107" s="985">
        <v>22500</v>
      </c>
      <c r="I107" s="1173">
        <v>16.399999999999999</v>
      </c>
      <c r="J107" s="985">
        <v>20300</v>
      </c>
      <c r="K107" s="1173">
        <v>8.9</v>
      </c>
      <c r="L107" s="985">
        <v>11400</v>
      </c>
      <c r="M107" s="1174">
        <f t="shared" si="41"/>
        <v>43.9</v>
      </c>
      <c r="N107" s="984">
        <f t="shared" si="42"/>
        <v>54200</v>
      </c>
      <c r="O107" s="986">
        <f t="shared" si="43"/>
        <v>157.78401122019636</v>
      </c>
      <c r="P107" s="987">
        <f t="shared" si="44"/>
        <v>142.35624123422161</v>
      </c>
      <c r="Q107" s="987">
        <f t="shared" si="45"/>
        <v>79.943899018232827</v>
      </c>
      <c r="R107" s="988">
        <f t="shared" si="46"/>
        <v>380.08415147265077</v>
      </c>
      <c r="S107" s="989">
        <v>142.6</v>
      </c>
      <c r="T107" s="990">
        <v>0</v>
      </c>
      <c r="U107" s="991">
        <v>0</v>
      </c>
      <c r="V107" s="991">
        <v>345</v>
      </c>
      <c r="W107" s="992">
        <f t="shared" si="47"/>
        <v>345</v>
      </c>
      <c r="X107" s="993">
        <f t="shared" si="48"/>
        <v>2.4193548387096775</v>
      </c>
      <c r="Y107" s="990">
        <v>1532</v>
      </c>
      <c r="Z107" s="991">
        <v>1389</v>
      </c>
      <c r="AA107" s="991">
        <v>774</v>
      </c>
      <c r="AB107" s="992">
        <f t="shared" si="49"/>
        <v>3695</v>
      </c>
      <c r="AC107" s="993">
        <f t="shared" si="50"/>
        <v>25.911640953716692</v>
      </c>
      <c r="AD107" s="994">
        <f t="shared" si="51"/>
        <v>4040</v>
      </c>
      <c r="AE107" s="995">
        <f t="shared" si="52"/>
        <v>28.330995792426368</v>
      </c>
      <c r="AF107" s="996">
        <v>82</v>
      </c>
      <c r="AG107" s="997">
        <v>62</v>
      </c>
      <c r="AH107" s="997">
        <v>6</v>
      </c>
      <c r="AI107" s="998">
        <f t="shared" si="53"/>
        <v>150</v>
      </c>
      <c r="AJ107" s="993">
        <f t="shared" si="54"/>
        <v>1.0518934081346425</v>
      </c>
    </row>
    <row r="108" spans="1:36" ht="16.5" customHeight="1">
      <c r="A108" s="999">
        <f>'09월 조업일지'!A106</f>
        <v>46269</v>
      </c>
      <c r="B108" s="1099">
        <f>'09월 조업일지'!B106</f>
        <v>46268</v>
      </c>
      <c r="C108" s="1000" t="str">
        <f>'09월 화학성분'!D106</f>
        <v>D</v>
      </c>
      <c r="D108" s="1000" t="str">
        <f>'09월 화학성분'!E106</f>
        <v>A</v>
      </c>
      <c r="E108" s="1000">
        <f>'09월 화학성분'!C106</f>
        <v>85308</v>
      </c>
      <c r="F108" s="1001" t="str">
        <f t="shared" si="40"/>
        <v>SS400-05</v>
      </c>
      <c r="G108" s="1172">
        <v>17.899999999999999</v>
      </c>
      <c r="H108" s="985">
        <v>22700</v>
      </c>
      <c r="I108" s="1173">
        <v>17.100000000000001</v>
      </c>
      <c r="J108" s="985">
        <v>21400</v>
      </c>
      <c r="K108" s="1173">
        <v>9.8000000000000007</v>
      </c>
      <c r="L108" s="985">
        <v>11600</v>
      </c>
      <c r="M108" s="1174">
        <f t="shared" si="41"/>
        <v>44.8</v>
      </c>
      <c r="N108" s="984">
        <f t="shared" si="42"/>
        <v>55700</v>
      </c>
      <c r="O108" s="986">
        <f t="shared" si="43"/>
        <v>155.69272976680384</v>
      </c>
      <c r="P108" s="987">
        <f t="shared" si="44"/>
        <v>146.77640603566527</v>
      </c>
      <c r="Q108" s="987">
        <f t="shared" si="45"/>
        <v>79.561042524005487</v>
      </c>
      <c r="R108" s="988">
        <f t="shared" si="46"/>
        <v>382.03017832647458</v>
      </c>
      <c r="S108" s="989">
        <v>145.80000000000001</v>
      </c>
      <c r="T108" s="990">
        <v>0</v>
      </c>
      <c r="U108" s="991">
        <v>44</v>
      </c>
      <c r="V108" s="991">
        <v>299</v>
      </c>
      <c r="W108" s="992">
        <f t="shared" si="47"/>
        <v>343</v>
      </c>
      <c r="X108" s="993">
        <f t="shared" si="48"/>
        <v>2.3525377229080933</v>
      </c>
      <c r="Y108" s="990">
        <v>1481</v>
      </c>
      <c r="Z108" s="991">
        <v>1437</v>
      </c>
      <c r="AA108" s="991">
        <v>703</v>
      </c>
      <c r="AB108" s="992">
        <f t="shared" si="49"/>
        <v>3621</v>
      </c>
      <c r="AC108" s="993">
        <f t="shared" si="50"/>
        <v>24.835390946502056</v>
      </c>
      <c r="AD108" s="994">
        <f t="shared" si="51"/>
        <v>3964</v>
      </c>
      <c r="AE108" s="995">
        <f t="shared" si="52"/>
        <v>27.187928669410148</v>
      </c>
      <c r="AF108" s="996">
        <v>74</v>
      </c>
      <c r="AG108" s="997">
        <v>63</v>
      </c>
      <c r="AH108" s="997">
        <v>5</v>
      </c>
      <c r="AI108" s="998">
        <f t="shared" si="53"/>
        <v>142</v>
      </c>
      <c r="AJ108" s="993">
        <f t="shared" si="54"/>
        <v>0.97393689986282572</v>
      </c>
    </row>
    <row r="109" spans="1:36" ht="16.5" customHeight="1">
      <c r="A109" s="999">
        <f>'09월 조업일지'!A107</f>
        <v>46269</v>
      </c>
      <c r="B109" s="1099">
        <f>'09월 조업일지'!B107</f>
        <v>46269</v>
      </c>
      <c r="C109" s="1000" t="str">
        <f>'09월 화학성분'!D107</f>
        <v>B</v>
      </c>
      <c r="D109" s="1000" t="str">
        <f>'09월 화학성분'!E107</f>
        <v>B</v>
      </c>
      <c r="E109" s="1000">
        <f>'09월 화학성분'!C107</f>
        <v>85309</v>
      </c>
      <c r="F109" s="1001" t="str">
        <f t="shared" si="40"/>
        <v>SS400-05</v>
      </c>
      <c r="G109" s="1172">
        <v>19.100000000000001</v>
      </c>
      <c r="H109" s="985">
        <v>23000</v>
      </c>
      <c r="I109" s="1173">
        <v>16.600000000000001</v>
      </c>
      <c r="J109" s="985">
        <v>20400</v>
      </c>
      <c r="K109" s="1173">
        <v>16.2</v>
      </c>
      <c r="L109" s="985">
        <v>19800</v>
      </c>
      <c r="M109" s="1174">
        <f t="shared" si="41"/>
        <v>51.900000000000006</v>
      </c>
      <c r="N109" s="984">
        <f t="shared" si="42"/>
        <v>63200</v>
      </c>
      <c r="O109" s="986">
        <f t="shared" si="43"/>
        <v>160.16713091922006</v>
      </c>
      <c r="P109" s="987">
        <f t="shared" si="44"/>
        <v>142.06128133704735</v>
      </c>
      <c r="Q109" s="987">
        <f t="shared" si="45"/>
        <v>137.88300835654596</v>
      </c>
      <c r="R109" s="988">
        <f t="shared" si="46"/>
        <v>440.11142061281339</v>
      </c>
      <c r="S109" s="989">
        <v>143.6</v>
      </c>
      <c r="T109" s="990">
        <v>0</v>
      </c>
      <c r="U109" s="991">
        <v>21</v>
      </c>
      <c r="V109" s="991">
        <v>342</v>
      </c>
      <c r="W109" s="992">
        <f t="shared" si="47"/>
        <v>363</v>
      </c>
      <c r="X109" s="993">
        <f t="shared" si="48"/>
        <v>2.5278551532033426</v>
      </c>
      <c r="Y109" s="990">
        <v>1600</v>
      </c>
      <c r="Z109" s="991">
        <v>1402</v>
      </c>
      <c r="AA109" s="991">
        <v>1138</v>
      </c>
      <c r="AB109" s="992">
        <f t="shared" si="49"/>
        <v>4140</v>
      </c>
      <c r="AC109" s="993">
        <f t="shared" si="50"/>
        <v>28.83008356545961</v>
      </c>
      <c r="AD109" s="994">
        <f t="shared" si="51"/>
        <v>4503</v>
      </c>
      <c r="AE109" s="995">
        <f t="shared" si="52"/>
        <v>31.357938718662954</v>
      </c>
      <c r="AF109" s="996">
        <v>83</v>
      </c>
      <c r="AG109" s="997">
        <v>61</v>
      </c>
      <c r="AH109" s="997">
        <v>11</v>
      </c>
      <c r="AI109" s="998">
        <f t="shared" si="53"/>
        <v>155</v>
      </c>
      <c r="AJ109" s="993">
        <f t="shared" si="54"/>
        <v>1.0793871866295266</v>
      </c>
    </row>
    <row r="110" spans="1:36" ht="16.5" customHeight="1">
      <c r="A110" s="999">
        <f>'09월 조업일지'!A108</f>
        <v>46269</v>
      </c>
      <c r="B110" s="1099">
        <f>'09월 조업일지'!B108</f>
        <v>46269</v>
      </c>
      <c r="C110" s="1000" t="str">
        <f>'09월 화학성분'!D108</f>
        <v>B</v>
      </c>
      <c r="D110" s="1000" t="str">
        <f>'09월 화학성분'!E108</f>
        <v>A</v>
      </c>
      <c r="E110" s="1000">
        <f>'09월 화학성분'!C108</f>
        <v>85310</v>
      </c>
      <c r="F110" s="1001" t="str">
        <f t="shared" si="40"/>
        <v>SS400-05</v>
      </c>
      <c r="G110" s="1172">
        <v>23.2</v>
      </c>
      <c r="H110" s="985">
        <v>28700</v>
      </c>
      <c r="I110" s="1173">
        <v>0</v>
      </c>
      <c r="J110" s="985">
        <v>0</v>
      </c>
      <c r="K110" s="1173">
        <v>7.9</v>
      </c>
      <c r="L110" s="985">
        <v>16000</v>
      </c>
      <c r="M110" s="1174">
        <f t="shared" si="41"/>
        <v>31.1</v>
      </c>
      <c r="N110" s="984">
        <f t="shared" si="42"/>
        <v>44700</v>
      </c>
      <c r="O110" s="986">
        <f t="shared" si="43"/>
        <v>249.34839270199828</v>
      </c>
      <c r="P110" s="987">
        <f t="shared" si="44"/>
        <v>0</v>
      </c>
      <c r="Q110" s="987">
        <f t="shared" si="45"/>
        <v>139.00955690703736</v>
      </c>
      <c r="R110" s="988">
        <f t="shared" si="46"/>
        <v>388.35794960903564</v>
      </c>
      <c r="S110" s="989">
        <v>115.1</v>
      </c>
      <c r="T110" s="990">
        <v>0</v>
      </c>
      <c r="U110" s="991">
        <v>0</v>
      </c>
      <c r="V110" s="991">
        <v>270</v>
      </c>
      <c r="W110" s="992">
        <f t="shared" si="47"/>
        <v>270</v>
      </c>
      <c r="X110" s="993">
        <f t="shared" si="48"/>
        <v>2.3457862728062557</v>
      </c>
      <c r="Y110" s="990">
        <v>1958</v>
      </c>
      <c r="Z110" s="991">
        <v>0</v>
      </c>
      <c r="AA110" s="991">
        <v>1288</v>
      </c>
      <c r="AB110" s="992">
        <f t="shared" si="49"/>
        <v>3246</v>
      </c>
      <c r="AC110" s="993">
        <f t="shared" si="50"/>
        <v>28.201563857515204</v>
      </c>
      <c r="AD110" s="994">
        <f t="shared" si="51"/>
        <v>3516</v>
      </c>
      <c r="AE110" s="995">
        <f t="shared" si="52"/>
        <v>30.547350130321462</v>
      </c>
      <c r="AF110" s="996">
        <v>86</v>
      </c>
      <c r="AG110" s="997">
        <v>0</v>
      </c>
      <c r="AH110" s="997">
        <v>8</v>
      </c>
      <c r="AI110" s="998">
        <f t="shared" si="53"/>
        <v>94</v>
      </c>
      <c r="AJ110" s="993">
        <f t="shared" si="54"/>
        <v>0.81668114682884452</v>
      </c>
    </row>
    <row r="111" spans="1:36" ht="16.5" customHeight="1">
      <c r="A111" s="999">
        <f>'09월 조업일지'!A109</f>
        <v>46269</v>
      </c>
      <c r="B111" s="1099">
        <f>'09월 조업일지'!B109</f>
        <v>46269</v>
      </c>
      <c r="C111" s="1000" t="str">
        <f>'09월 화학성분'!D109</f>
        <v>B</v>
      </c>
      <c r="D111" s="1000" t="str">
        <f>'09월 화학성분'!E109</f>
        <v>B</v>
      </c>
      <c r="E111" s="1000">
        <f>'09월 화학성분'!C109</f>
        <v>85311</v>
      </c>
      <c r="F111" s="1001" t="str">
        <f t="shared" si="40"/>
        <v>SS400-05</v>
      </c>
      <c r="G111" s="1172">
        <v>22.3</v>
      </c>
      <c r="H111" s="985">
        <v>26900</v>
      </c>
      <c r="I111" s="1173">
        <v>0</v>
      </c>
      <c r="J111" s="985">
        <v>0</v>
      </c>
      <c r="K111" s="1173">
        <v>8.1999999999999993</v>
      </c>
      <c r="L111" s="985">
        <v>19900</v>
      </c>
      <c r="M111" s="1174">
        <f t="shared" si="41"/>
        <v>30.5</v>
      </c>
      <c r="N111" s="984">
        <f t="shared" si="42"/>
        <v>46800</v>
      </c>
      <c r="O111" s="986">
        <f t="shared" si="43"/>
        <v>232.29706390328153</v>
      </c>
      <c r="P111" s="987">
        <f t="shared" si="44"/>
        <v>0</v>
      </c>
      <c r="Q111" s="987">
        <f t="shared" si="45"/>
        <v>171.84801381692574</v>
      </c>
      <c r="R111" s="988">
        <f t="shared" si="46"/>
        <v>404.14507772020727</v>
      </c>
      <c r="S111" s="989">
        <v>115.8</v>
      </c>
      <c r="T111" s="990">
        <v>0</v>
      </c>
      <c r="U111" s="991">
        <v>0</v>
      </c>
      <c r="V111" s="991">
        <v>439</v>
      </c>
      <c r="W111" s="992">
        <f t="shared" si="47"/>
        <v>439</v>
      </c>
      <c r="X111" s="993">
        <f t="shared" si="48"/>
        <v>3.7910189982728846</v>
      </c>
      <c r="Y111" s="990">
        <v>1911</v>
      </c>
      <c r="Z111" s="991">
        <v>0</v>
      </c>
      <c r="AA111" s="991">
        <v>1422</v>
      </c>
      <c r="AB111" s="992">
        <f t="shared" si="49"/>
        <v>3333</v>
      </c>
      <c r="AC111" s="993">
        <f t="shared" si="50"/>
        <v>28.782383419689118</v>
      </c>
      <c r="AD111" s="994">
        <f t="shared" si="51"/>
        <v>3772</v>
      </c>
      <c r="AE111" s="995">
        <f t="shared" si="52"/>
        <v>32.573402417962001</v>
      </c>
      <c r="AF111" s="996">
        <v>86</v>
      </c>
      <c r="AG111" s="997">
        <v>0</v>
      </c>
      <c r="AH111" s="997">
        <v>12</v>
      </c>
      <c r="AI111" s="998">
        <f t="shared" si="53"/>
        <v>98</v>
      </c>
      <c r="AJ111" s="993">
        <f t="shared" si="54"/>
        <v>0.84628670120898097</v>
      </c>
    </row>
    <row r="112" spans="1:36" ht="16.5" customHeight="1">
      <c r="A112" s="999">
        <f>'09월 조업일지'!A110</f>
        <v>46269</v>
      </c>
      <c r="B112" s="1099">
        <f>'09월 조업일지'!B110</f>
        <v>46269</v>
      </c>
      <c r="C112" s="1000" t="str">
        <f>'09월 화학성분'!D110</f>
        <v>C</v>
      </c>
      <c r="D112" s="1000" t="str">
        <f>'09월 화학성분'!E110</f>
        <v>B</v>
      </c>
      <c r="E112" s="1000">
        <f>'09월 화학성분'!C110</f>
        <v>85312</v>
      </c>
      <c r="F112" s="1104" t="s">
        <v>622</v>
      </c>
      <c r="G112" s="1172">
        <v>23</v>
      </c>
      <c r="H112" s="985">
        <v>26100</v>
      </c>
      <c r="I112" s="1173">
        <v>17.2</v>
      </c>
      <c r="J112" s="985">
        <v>20900</v>
      </c>
      <c r="K112" s="1173">
        <v>9.6</v>
      </c>
      <c r="L112" s="985">
        <v>12100</v>
      </c>
      <c r="M112" s="1174">
        <f t="shared" si="41"/>
        <v>49.800000000000004</v>
      </c>
      <c r="N112" s="984">
        <f t="shared" si="42"/>
        <v>59100</v>
      </c>
      <c r="O112" s="986">
        <f t="shared" si="43"/>
        <v>199.23664122137404</v>
      </c>
      <c r="P112" s="987">
        <f t="shared" si="44"/>
        <v>159.54198473282443</v>
      </c>
      <c r="Q112" s="987">
        <f t="shared" si="45"/>
        <v>92.36641221374046</v>
      </c>
      <c r="R112" s="988">
        <f t="shared" si="46"/>
        <v>451.14503816793888</v>
      </c>
      <c r="S112" s="989">
        <v>131</v>
      </c>
      <c r="T112" s="990">
        <v>0</v>
      </c>
      <c r="U112" s="991">
        <v>245</v>
      </c>
      <c r="V112" s="991">
        <v>244</v>
      </c>
      <c r="W112" s="992">
        <f t="shared" si="47"/>
        <v>489</v>
      </c>
      <c r="X112" s="993">
        <f t="shared" si="48"/>
        <v>3.7328244274809159</v>
      </c>
      <c r="Y112" s="990">
        <v>1732</v>
      </c>
      <c r="Z112" s="991">
        <v>1403</v>
      </c>
      <c r="AA112" s="991">
        <v>1152</v>
      </c>
      <c r="AB112" s="992">
        <f t="shared" si="49"/>
        <v>4287</v>
      </c>
      <c r="AC112" s="993">
        <f t="shared" si="50"/>
        <v>32.725190839694655</v>
      </c>
      <c r="AD112" s="994">
        <f t="shared" si="51"/>
        <v>4776</v>
      </c>
      <c r="AE112" s="995">
        <f t="shared" si="52"/>
        <v>36.458015267175576</v>
      </c>
      <c r="AF112" s="996">
        <v>97</v>
      </c>
      <c r="AG112" s="997">
        <v>64</v>
      </c>
      <c r="AH112" s="997">
        <v>11</v>
      </c>
      <c r="AI112" s="998">
        <f t="shared" si="53"/>
        <v>172</v>
      </c>
      <c r="AJ112" s="993">
        <f t="shared" si="54"/>
        <v>1.3129770992366412</v>
      </c>
    </row>
    <row r="113" spans="1:36" ht="16.5" customHeight="1">
      <c r="A113" s="999">
        <f>'09월 조업일지'!A111</f>
        <v>46269</v>
      </c>
      <c r="B113" s="1099">
        <f>'09월 조업일지'!B111</f>
        <v>46269</v>
      </c>
      <c r="C113" s="1000" t="str">
        <f>'09월 화학성분'!D111</f>
        <v>C</v>
      </c>
      <c r="D113" s="1232" t="str">
        <f>'09월 화학성분'!E111</f>
        <v>B</v>
      </c>
      <c r="E113" s="1000">
        <f>'09월 화학성분'!C111</f>
        <v>85313</v>
      </c>
      <c r="F113" s="1001" t="str">
        <f t="shared" si="40"/>
        <v>SS400-04</v>
      </c>
      <c r="G113" s="1172">
        <v>20.100000000000001</v>
      </c>
      <c r="H113" s="985">
        <v>24200</v>
      </c>
      <c r="I113" s="1173">
        <v>16.399999999999999</v>
      </c>
      <c r="J113" s="985">
        <v>20100</v>
      </c>
      <c r="K113" s="1173">
        <v>11.2</v>
      </c>
      <c r="L113" s="985">
        <v>14200</v>
      </c>
      <c r="M113" s="1174">
        <f t="shared" si="41"/>
        <v>47.7</v>
      </c>
      <c r="N113" s="984">
        <f t="shared" si="42"/>
        <v>58500</v>
      </c>
      <c r="O113" s="986">
        <f t="shared" si="43"/>
        <v>170.66290550070519</v>
      </c>
      <c r="P113" s="987">
        <f t="shared" si="44"/>
        <v>141.74894217207333</v>
      </c>
      <c r="Q113" s="987">
        <f t="shared" si="45"/>
        <v>100.14104372355429</v>
      </c>
      <c r="R113" s="988">
        <f t="shared" si="46"/>
        <v>412.55289139633283</v>
      </c>
      <c r="S113" s="989">
        <v>141.80000000000001</v>
      </c>
      <c r="T113" s="990">
        <v>0</v>
      </c>
      <c r="U113" s="991">
        <v>74</v>
      </c>
      <c r="V113" s="991">
        <v>315</v>
      </c>
      <c r="W113" s="992">
        <f t="shared" si="47"/>
        <v>389</v>
      </c>
      <c r="X113" s="993">
        <f t="shared" si="48"/>
        <v>2.7433004231311706</v>
      </c>
      <c r="Y113" s="990">
        <v>1681</v>
      </c>
      <c r="Z113" s="991">
        <v>1358</v>
      </c>
      <c r="AA113" s="991">
        <v>1115</v>
      </c>
      <c r="AB113" s="992">
        <f t="shared" si="49"/>
        <v>4154</v>
      </c>
      <c r="AC113" s="993">
        <f t="shared" si="50"/>
        <v>29.294781382228489</v>
      </c>
      <c r="AD113" s="994">
        <f t="shared" si="51"/>
        <v>4543</v>
      </c>
      <c r="AE113" s="995">
        <f t="shared" si="52"/>
        <v>32.03808180535966</v>
      </c>
      <c r="AF113" s="996">
        <v>82</v>
      </c>
      <c r="AG113" s="997">
        <v>63</v>
      </c>
      <c r="AH113" s="997">
        <v>10</v>
      </c>
      <c r="AI113" s="998">
        <f t="shared" si="53"/>
        <v>155</v>
      </c>
      <c r="AJ113" s="993">
        <f t="shared" si="54"/>
        <v>1.0930888575458391</v>
      </c>
    </row>
    <row r="114" spans="1:36" ht="16.5" customHeight="1">
      <c r="A114" s="999">
        <f>'09월 조업일지'!A112</f>
        <v>46269</v>
      </c>
      <c r="B114" s="1099">
        <f>'09월 조업일지'!B112</f>
        <v>46269</v>
      </c>
      <c r="C114" s="1000" t="str">
        <f>'09월 화학성분'!D112</f>
        <v>C</v>
      </c>
      <c r="D114" s="1000" t="str">
        <f>'09월 화학성분'!E112</f>
        <v>A</v>
      </c>
      <c r="E114" s="1000">
        <f>'09월 화학성분'!C112</f>
        <v>85314</v>
      </c>
      <c r="F114" s="1001" t="str">
        <f t="shared" si="40"/>
        <v>SS400-04</v>
      </c>
      <c r="G114" s="1172">
        <v>28.5</v>
      </c>
      <c r="H114" s="985">
        <v>28400</v>
      </c>
      <c r="I114" s="1173">
        <v>17.399999999999999</v>
      </c>
      <c r="J114" s="985">
        <v>22200</v>
      </c>
      <c r="K114" s="1173">
        <v>4.7</v>
      </c>
      <c r="L114" s="985">
        <v>5800</v>
      </c>
      <c r="M114" s="1174">
        <f t="shared" si="41"/>
        <v>50.6</v>
      </c>
      <c r="N114" s="984">
        <f t="shared" si="42"/>
        <v>56400</v>
      </c>
      <c r="O114" s="986">
        <f t="shared" si="43"/>
        <v>216.79389312977099</v>
      </c>
      <c r="P114" s="987">
        <f t="shared" si="44"/>
        <v>169.46564885496184</v>
      </c>
      <c r="Q114" s="987">
        <f t="shared" si="45"/>
        <v>44.274809160305345</v>
      </c>
      <c r="R114" s="988">
        <f t="shared" si="46"/>
        <v>430.53435114503816</v>
      </c>
      <c r="S114" s="989">
        <v>131</v>
      </c>
      <c r="T114" s="990">
        <v>0</v>
      </c>
      <c r="U114" s="991">
        <v>262</v>
      </c>
      <c r="V114" s="991">
        <v>148</v>
      </c>
      <c r="W114" s="992">
        <f t="shared" si="47"/>
        <v>410</v>
      </c>
      <c r="X114" s="993">
        <f t="shared" si="48"/>
        <v>3.1297709923664123</v>
      </c>
      <c r="Y114" s="990">
        <v>1764</v>
      </c>
      <c r="Z114" s="991">
        <v>1582</v>
      </c>
      <c r="AA114" s="991">
        <v>511</v>
      </c>
      <c r="AB114" s="992">
        <f t="shared" si="49"/>
        <v>3857</v>
      </c>
      <c r="AC114" s="993">
        <f t="shared" si="50"/>
        <v>29.442748091603054</v>
      </c>
      <c r="AD114" s="994">
        <f t="shared" si="51"/>
        <v>4267</v>
      </c>
      <c r="AE114" s="995">
        <f t="shared" si="52"/>
        <v>32.572519083969468</v>
      </c>
      <c r="AF114" s="996">
        <v>85</v>
      </c>
      <c r="AG114" s="997">
        <v>61</v>
      </c>
      <c r="AH114" s="997">
        <v>4</v>
      </c>
      <c r="AI114" s="998">
        <f t="shared" si="53"/>
        <v>150</v>
      </c>
      <c r="AJ114" s="993">
        <f t="shared" si="54"/>
        <v>1.1450381679389312</v>
      </c>
    </row>
    <row r="115" spans="1:36" ht="16.5" customHeight="1">
      <c r="A115" s="999">
        <f>'09월 조업일지'!A113</f>
        <v>46269</v>
      </c>
      <c r="B115" s="1099">
        <f>'09월 조업일지'!B113</f>
        <v>46269</v>
      </c>
      <c r="C115" s="1000" t="str">
        <f>'09월 화학성분'!D113</f>
        <v>C</v>
      </c>
      <c r="D115" s="1000" t="str">
        <f>'09월 화학성분'!E113</f>
        <v>B</v>
      </c>
      <c r="E115" s="1000">
        <f>'09월 화학성분'!C113</f>
        <v>85315</v>
      </c>
      <c r="F115" s="1001" t="str">
        <f t="shared" si="40"/>
        <v>SS400-04</v>
      </c>
      <c r="G115" s="1172">
        <v>18.899999999999999</v>
      </c>
      <c r="H115" s="985">
        <v>22500</v>
      </c>
      <c r="I115" s="1173">
        <v>16.7</v>
      </c>
      <c r="J115" s="985">
        <v>20600</v>
      </c>
      <c r="K115" s="1173">
        <v>12</v>
      </c>
      <c r="L115" s="985">
        <v>14900</v>
      </c>
      <c r="M115" s="1174">
        <f t="shared" si="41"/>
        <v>47.599999999999994</v>
      </c>
      <c r="N115" s="984">
        <f t="shared" si="42"/>
        <v>58000</v>
      </c>
      <c r="O115" s="986">
        <f t="shared" si="43"/>
        <v>159.46137491141036</v>
      </c>
      <c r="P115" s="987">
        <f t="shared" si="44"/>
        <v>145.99574769666904</v>
      </c>
      <c r="Q115" s="987">
        <f t="shared" si="45"/>
        <v>105.59886605244508</v>
      </c>
      <c r="R115" s="988">
        <f t="shared" si="46"/>
        <v>411.05598866052452</v>
      </c>
      <c r="S115" s="989">
        <v>141.1</v>
      </c>
      <c r="T115" s="990">
        <v>0</v>
      </c>
      <c r="U115" s="991">
        <v>60</v>
      </c>
      <c r="V115" s="991">
        <v>280</v>
      </c>
      <c r="W115" s="992">
        <f t="shared" si="47"/>
        <v>340</v>
      </c>
      <c r="X115" s="993">
        <f t="shared" si="48"/>
        <v>2.4096385542168677</v>
      </c>
      <c r="Y115" s="990">
        <v>1538</v>
      </c>
      <c r="Z115" s="991">
        <v>1711</v>
      </c>
      <c r="AA115" s="991">
        <v>1174</v>
      </c>
      <c r="AB115" s="992">
        <f t="shared" si="49"/>
        <v>4423</v>
      </c>
      <c r="AC115" s="993">
        <f t="shared" si="50"/>
        <v>31.346562721474132</v>
      </c>
      <c r="AD115" s="994">
        <f t="shared" si="51"/>
        <v>4763</v>
      </c>
      <c r="AE115" s="995">
        <f t="shared" si="52"/>
        <v>33.756201275690998</v>
      </c>
      <c r="AF115" s="996">
        <v>83</v>
      </c>
      <c r="AG115" s="997">
        <v>61</v>
      </c>
      <c r="AH115" s="997">
        <v>16</v>
      </c>
      <c r="AI115" s="998">
        <f t="shared" si="53"/>
        <v>160</v>
      </c>
      <c r="AJ115" s="993">
        <f t="shared" si="54"/>
        <v>1.1339475549255846</v>
      </c>
    </row>
    <row r="116" spans="1:36" ht="16.5" customHeight="1">
      <c r="A116" s="999">
        <f>'09월 조업일지'!A114</f>
        <v>46269</v>
      </c>
      <c r="B116" s="1099">
        <f>'09월 조업일지'!B114</f>
        <v>46269</v>
      </c>
      <c r="C116" s="1000" t="str">
        <f>'09월 화학성분'!D114</f>
        <v>C</v>
      </c>
      <c r="D116" s="1000" t="str">
        <f>'09월 화학성분'!E114</f>
        <v>A</v>
      </c>
      <c r="E116" s="1000">
        <f>'09월 화학성분'!C114</f>
        <v>85316</v>
      </c>
      <c r="F116" s="1104" t="s">
        <v>626</v>
      </c>
      <c r="G116" s="1172">
        <v>20.100000000000001</v>
      </c>
      <c r="H116" s="985">
        <v>24700</v>
      </c>
      <c r="I116" s="1173">
        <v>18.7</v>
      </c>
      <c r="J116" s="985">
        <v>21500</v>
      </c>
      <c r="K116" s="1173">
        <v>7.7</v>
      </c>
      <c r="L116" s="985">
        <v>9700</v>
      </c>
      <c r="M116" s="1174">
        <f t="shared" si="41"/>
        <v>46.5</v>
      </c>
      <c r="N116" s="984">
        <f t="shared" si="42"/>
        <v>55900</v>
      </c>
      <c r="O116" s="986">
        <f t="shared" si="43"/>
        <v>175.67567567567568</v>
      </c>
      <c r="P116" s="987">
        <f t="shared" si="44"/>
        <v>152.91607396870555</v>
      </c>
      <c r="Q116" s="987">
        <f t="shared" si="45"/>
        <v>68.990042674253203</v>
      </c>
      <c r="R116" s="988">
        <f t="shared" si="46"/>
        <v>397.58179231863448</v>
      </c>
      <c r="S116" s="989">
        <v>140.6</v>
      </c>
      <c r="T116" s="990">
        <v>0</v>
      </c>
      <c r="U116" s="991">
        <v>242</v>
      </c>
      <c r="V116" s="991">
        <v>109</v>
      </c>
      <c r="W116" s="992">
        <f t="shared" si="47"/>
        <v>351</v>
      </c>
      <c r="X116" s="993">
        <f t="shared" si="48"/>
        <v>2.4964438122332862</v>
      </c>
      <c r="Y116" s="990">
        <v>1675</v>
      </c>
      <c r="Z116" s="991">
        <v>1594</v>
      </c>
      <c r="AA116" s="991">
        <v>544</v>
      </c>
      <c r="AB116" s="992">
        <f t="shared" si="49"/>
        <v>3813</v>
      </c>
      <c r="AC116" s="993">
        <f t="shared" si="50"/>
        <v>27.119487908961595</v>
      </c>
      <c r="AD116" s="994">
        <f t="shared" si="51"/>
        <v>4164</v>
      </c>
      <c r="AE116" s="995">
        <f t="shared" si="52"/>
        <v>29.61593172119488</v>
      </c>
      <c r="AF116" s="996">
        <v>78</v>
      </c>
      <c r="AG116" s="997">
        <v>65</v>
      </c>
      <c r="AH116" s="997">
        <v>4</v>
      </c>
      <c r="AI116" s="998">
        <f t="shared" si="53"/>
        <v>147</v>
      </c>
      <c r="AJ116" s="993">
        <f t="shared" si="54"/>
        <v>1.0455192034139402</v>
      </c>
    </row>
    <row r="117" spans="1:36" ht="16.5" customHeight="1">
      <c r="A117" s="999">
        <f>'09월 조업일지'!A115</f>
        <v>46269</v>
      </c>
      <c r="B117" s="1099">
        <f>'09월 조업일지'!B115</f>
        <v>46269</v>
      </c>
      <c r="C117" s="1000" t="str">
        <f>'09월 화학성분'!D115</f>
        <v>A</v>
      </c>
      <c r="D117" s="1000" t="str">
        <f>'09월 화학성분'!E115</f>
        <v>B</v>
      </c>
      <c r="E117" s="1000">
        <f>'09월 화학성분'!C115</f>
        <v>85317</v>
      </c>
      <c r="F117" s="1001" t="str">
        <f t="shared" si="40"/>
        <v>S355JO-01</v>
      </c>
      <c r="G117" s="1172">
        <v>19.8</v>
      </c>
      <c r="H117" s="985">
        <v>2260</v>
      </c>
      <c r="I117" s="1173">
        <v>16.7</v>
      </c>
      <c r="J117" s="985">
        <v>20400</v>
      </c>
      <c r="K117" s="1173">
        <v>11</v>
      </c>
      <c r="L117" s="985">
        <v>14000</v>
      </c>
      <c r="M117" s="1174">
        <f t="shared" si="41"/>
        <v>47.5</v>
      </c>
      <c r="N117" s="984">
        <f t="shared" si="42"/>
        <v>36660</v>
      </c>
      <c r="O117" s="986">
        <f t="shared" si="43"/>
        <v>15.543328748280604</v>
      </c>
      <c r="P117" s="987">
        <f t="shared" si="44"/>
        <v>140.30261348005502</v>
      </c>
      <c r="Q117" s="987">
        <f t="shared" si="45"/>
        <v>96.286107290233829</v>
      </c>
      <c r="R117" s="988">
        <f t="shared" si="46"/>
        <v>252.13204951856943</v>
      </c>
      <c r="S117" s="989">
        <v>145.4</v>
      </c>
      <c r="T117" s="990">
        <v>0</v>
      </c>
      <c r="U117" s="991">
        <v>98</v>
      </c>
      <c r="V117" s="991">
        <v>276</v>
      </c>
      <c r="W117" s="992">
        <f t="shared" si="47"/>
        <v>374</v>
      </c>
      <c r="X117" s="993">
        <f t="shared" si="48"/>
        <v>2.5722145804676755</v>
      </c>
      <c r="Y117" s="990">
        <v>1568</v>
      </c>
      <c r="Z117" s="991">
        <v>1378</v>
      </c>
      <c r="AA117" s="991">
        <v>773</v>
      </c>
      <c r="AB117" s="992">
        <f t="shared" si="49"/>
        <v>3719</v>
      </c>
      <c r="AC117" s="993">
        <f t="shared" si="50"/>
        <v>25.5777166437414</v>
      </c>
      <c r="AD117" s="994">
        <f t="shared" si="51"/>
        <v>4093</v>
      </c>
      <c r="AE117" s="995">
        <f t="shared" si="52"/>
        <v>28.149931224209077</v>
      </c>
      <c r="AF117" s="996">
        <v>84</v>
      </c>
      <c r="AG117" s="997">
        <v>63</v>
      </c>
      <c r="AH117" s="997">
        <v>7</v>
      </c>
      <c r="AI117" s="998">
        <f t="shared" si="53"/>
        <v>154</v>
      </c>
      <c r="AJ117" s="993">
        <f t="shared" si="54"/>
        <v>1.0591471801925723</v>
      </c>
    </row>
    <row r="118" spans="1:36" ht="16.5" customHeight="1">
      <c r="A118" s="999">
        <f>'09월 조업일지'!A116</f>
        <v>46269</v>
      </c>
      <c r="B118" s="1099">
        <f>'09월 조업일지'!B116</f>
        <v>46269</v>
      </c>
      <c r="C118" s="1000" t="str">
        <f>'09월 화학성분'!D116</f>
        <v>A</v>
      </c>
      <c r="D118" s="1000" t="str">
        <f>'09월 화학성분'!E116</f>
        <v>A</v>
      </c>
      <c r="E118" s="1000">
        <f>'09월 화학성분'!C116</f>
        <v>85318</v>
      </c>
      <c r="F118" s="1001" t="str">
        <f t="shared" si="40"/>
        <v>S355JO-01</v>
      </c>
      <c r="G118" s="1172">
        <v>18.7</v>
      </c>
      <c r="H118" s="985">
        <v>22900</v>
      </c>
      <c r="I118" s="1173">
        <v>17.7</v>
      </c>
      <c r="J118" s="985">
        <v>21200</v>
      </c>
      <c r="K118" s="1173">
        <v>7</v>
      </c>
      <c r="L118" s="985">
        <v>9000</v>
      </c>
      <c r="M118" s="1174">
        <f t="shared" si="41"/>
        <v>43.4</v>
      </c>
      <c r="N118" s="984">
        <f t="shared" si="42"/>
        <v>53100</v>
      </c>
      <c r="O118" s="986">
        <f t="shared" si="43"/>
        <v>158.36791147994469</v>
      </c>
      <c r="P118" s="987">
        <f t="shared" si="44"/>
        <v>146.61134163208854</v>
      </c>
      <c r="Q118" s="987">
        <f t="shared" si="45"/>
        <v>62.240663900414937</v>
      </c>
      <c r="R118" s="988">
        <f t="shared" si="46"/>
        <v>367.21991701244815</v>
      </c>
      <c r="S118" s="989">
        <v>144.6</v>
      </c>
      <c r="T118" s="990">
        <v>0</v>
      </c>
      <c r="U118" s="991">
        <v>171</v>
      </c>
      <c r="V118" s="991">
        <v>188</v>
      </c>
      <c r="W118" s="992">
        <f t="shared" si="47"/>
        <v>359</v>
      </c>
      <c r="X118" s="993">
        <f t="shared" si="48"/>
        <v>2.4827109266943292</v>
      </c>
      <c r="Y118" s="990">
        <v>1556</v>
      </c>
      <c r="Z118" s="991">
        <v>1474</v>
      </c>
      <c r="AA118" s="991">
        <v>701</v>
      </c>
      <c r="AB118" s="992">
        <f t="shared" si="49"/>
        <v>3731</v>
      </c>
      <c r="AC118" s="993">
        <f t="shared" si="50"/>
        <v>25.802213001383127</v>
      </c>
      <c r="AD118" s="994">
        <f t="shared" si="51"/>
        <v>4090</v>
      </c>
      <c r="AE118" s="995">
        <f t="shared" si="52"/>
        <v>28.284923928077458</v>
      </c>
      <c r="AF118" s="996">
        <v>76</v>
      </c>
      <c r="AG118" s="997">
        <v>67</v>
      </c>
      <c r="AH118" s="997">
        <v>7</v>
      </c>
      <c r="AI118" s="998">
        <f t="shared" si="53"/>
        <v>150</v>
      </c>
      <c r="AJ118" s="993">
        <f t="shared" si="54"/>
        <v>1.0373443983402491</v>
      </c>
    </row>
    <row r="119" spans="1:36" ht="16.5" customHeight="1">
      <c r="A119" s="999">
        <f>'09월 조업일지'!A117</f>
        <v>46269</v>
      </c>
      <c r="B119" s="1099">
        <f>'09월 조업일지'!B117</f>
        <v>46269</v>
      </c>
      <c r="C119" s="1000" t="str">
        <f>'09월 화학성분'!D117</f>
        <v>A</v>
      </c>
      <c r="D119" s="1000" t="str">
        <f>'09월 화학성분'!E117</f>
        <v>B</v>
      </c>
      <c r="E119" s="1000">
        <f>'09월 화학성분'!C117</f>
        <v>85319</v>
      </c>
      <c r="F119" s="1001" t="str">
        <f t="shared" si="40"/>
        <v>S355JO-01</v>
      </c>
      <c r="G119" s="1172">
        <v>19.7</v>
      </c>
      <c r="H119" s="985">
        <v>24200</v>
      </c>
      <c r="I119" s="1173">
        <v>16.600000000000001</v>
      </c>
      <c r="J119" s="985">
        <v>20600</v>
      </c>
      <c r="K119" s="1173">
        <v>7.7</v>
      </c>
      <c r="L119" s="985">
        <v>9900</v>
      </c>
      <c r="M119" s="1174">
        <f t="shared" si="41"/>
        <v>44</v>
      </c>
      <c r="N119" s="984">
        <f t="shared" si="42"/>
        <v>54700</v>
      </c>
      <c r="O119" s="986">
        <f t="shared" si="43"/>
        <v>161.1185086551265</v>
      </c>
      <c r="P119" s="987">
        <f t="shared" si="44"/>
        <v>137.15046604527299</v>
      </c>
      <c r="Q119" s="987">
        <f t="shared" si="45"/>
        <v>65.912117177097215</v>
      </c>
      <c r="R119" s="988">
        <f t="shared" si="46"/>
        <v>364.18109187749673</v>
      </c>
      <c r="S119" s="989">
        <v>150.19999999999999</v>
      </c>
      <c r="T119" s="990">
        <v>0</v>
      </c>
      <c r="U119" s="991">
        <v>191</v>
      </c>
      <c r="V119" s="991">
        <v>177</v>
      </c>
      <c r="W119" s="992">
        <f t="shared" si="47"/>
        <v>368</v>
      </c>
      <c r="X119" s="993">
        <f t="shared" si="48"/>
        <v>2.4500665778961386</v>
      </c>
      <c r="Y119" s="990">
        <v>1661</v>
      </c>
      <c r="Z119" s="991">
        <v>1395</v>
      </c>
      <c r="AA119" s="991">
        <v>642</v>
      </c>
      <c r="AB119" s="992">
        <f t="shared" si="49"/>
        <v>3698</v>
      </c>
      <c r="AC119" s="993">
        <f t="shared" si="50"/>
        <v>24.620505992010653</v>
      </c>
      <c r="AD119" s="994">
        <f t="shared" si="51"/>
        <v>4066</v>
      </c>
      <c r="AE119" s="995">
        <f t="shared" si="52"/>
        <v>27.070572569906794</v>
      </c>
      <c r="AF119" s="996">
        <v>80</v>
      </c>
      <c r="AG119" s="997">
        <v>65</v>
      </c>
      <c r="AH119" s="997">
        <v>6</v>
      </c>
      <c r="AI119" s="998">
        <f t="shared" si="53"/>
        <v>151</v>
      </c>
      <c r="AJ119" s="993">
        <f t="shared" si="54"/>
        <v>1.0053262316910787</v>
      </c>
    </row>
    <row r="120" spans="1:36" ht="16.5" customHeight="1">
      <c r="A120" s="999">
        <f>'09월 조업일지'!A118</f>
        <v>46269</v>
      </c>
      <c r="B120" s="1099">
        <f>'09월 조업일지'!B118</f>
        <v>46269</v>
      </c>
      <c r="C120" s="1000" t="str">
        <f>'09월 화학성분'!D118</f>
        <v>A</v>
      </c>
      <c r="D120" s="1000" t="str">
        <f>'09월 화학성분'!E118</f>
        <v>A</v>
      </c>
      <c r="E120" s="1000">
        <f>'09월 화학성분'!C118</f>
        <v>85320</v>
      </c>
      <c r="F120" s="1001" t="str">
        <f t="shared" si="40"/>
        <v>S355JO-01</v>
      </c>
      <c r="G120" s="1172">
        <v>19</v>
      </c>
      <c r="H120" s="985">
        <v>22900</v>
      </c>
      <c r="I120" s="1173">
        <v>17.2</v>
      </c>
      <c r="J120" s="985">
        <v>21700</v>
      </c>
      <c r="K120" s="1173">
        <v>7.6</v>
      </c>
      <c r="L120" s="985">
        <v>9700</v>
      </c>
      <c r="M120" s="1174">
        <f t="shared" si="41"/>
        <v>43.800000000000004</v>
      </c>
      <c r="N120" s="984">
        <f t="shared" si="42"/>
        <v>54300</v>
      </c>
      <c r="O120" s="986">
        <f t="shared" si="43"/>
        <v>157.1722717913521</v>
      </c>
      <c r="P120" s="987">
        <f t="shared" si="44"/>
        <v>148.93617021276597</v>
      </c>
      <c r="Q120" s="987">
        <f t="shared" si="45"/>
        <v>66.575154426904604</v>
      </c>
      <c r="R120" s="988">
        <f t="shared" si="46"/>
        <v>372.68359643102264</v>
      </c>
      <c r="S120" s="989">
        <v>145.69999999999999</v>
      </c>
      <c r="T120" s="990">
        <v>0</v>
      </c>
      <c r="U120" s="991">
        <v>179</v>
      </c>
      <c r="V120" s="991">
        <v>189</v>
      </c>
      <c r="W120" s="992">
        <f t="shared" si="47"/>
        <v>368</v>
      </c>
      <c r="X120" s="993">
        <f t="shared" si="48"/>
        <v>2.525737817433082</v>
      </c>
      <c r="Y120" s="990">
        <v>1569</v>
      </c>
      <c r="Z120" s="991">
        <v>1456</v>
      </c>
      <c r="AA120" s="991">
        <v>605</v>
      </c>
      <c r="AB120" s="992">
        <f t="shared" si="49"/>
        <v>3630</v>
      </c>
      <c r="AC120" s="993">
        <f t="shared" si="50"/>
        <v>24.914207275223063</v>
      </c>
      <c r="AD120" s="994">
        <f t="shared" si="51"/>
        <v>3998</v>
      </c>
      <c r="AE120" s="995">
        <f t="shared" si="52"/>
        <v>27.439945092656146</v>
      </c>
      <c r="AF120" s="996">
        <v>79</v>
      </c>
      <c r="AG120" s="997">
        <v>60</v>
      </c>
      <c r="AH120" s="997">
        <v>5</v>
      </c>
      <c r="AI120" s="998">
        <f t="shared" si="53"/>
        <v>144</v>
      </c>
      <c r="AJ120" s="993">
        <f t="shared" si="54"/>
        <v>0.98833218943033641</v>
      </c>
    </row>
    <row r="121" spans="1:36" ht="16.5" customHeight="1">
      <c r="A121" s="999">
        <f>'09월 조업일지'!A119</f>
        <v>46269</v>
      </c>
      <c r="B121" s="1099">
        <f>'09월 조업일지'!B119</f>
        <v>46269</v>
      </c>
      <c r="C121" s="1000" t="str">
        <f>'09월 화학성분'!D119</f>
        <v>A</v>
      </c>
      <c r="D121" s="1000" t="str">
        <f>'09월 화학성분'!E119</f>
        <v>B</v>
      </c>
      <c r="E121" s="1000">
        <f>'09월 화학성분'!C119</f>
        <v>85321</v>
      </c>
      <c r="F121" s="1001" t="str">
        <f t="shared" si="40"/>
        <v>S355JO-01</v>
      </c>
      <c r="G121" s="1172">
        <v>18.8</v>
      </c>
      <c r="H121" s="985">
        <v>22900</v>
      </c>
      <c r="I121" s="1173">
        <v>16.899999999999999</v>
      </c>
      <c r="J121" s="985">
        <v>20600</v>
      </c>
      <c r="K121" s="1173">
        <v>10.5</v>
      </c>
      <c r="L121" s="985">
        <v>13400</v>
      </c>
      <c r="M121" s="1174">
        <f t="shared" si="41"/>
        <v>46.2</v>
      </c>
      <c r="N121" s="984">
        <f t="shared" si="42"/>
        <v>56900</v>
      </c>
      <c r="O121" s="986">
        <f t="shared" si="43"/>
        <v>152.66666666666666</v>
      </c>
      <c r="P121" s="987">
        <f t="shared" si="44"/>
        <v>137.33333333333334</v>
      </c>
      <c r="Q121" s="987">
        <f t="shared" si="45"/>
        <v>89.333333333333329</v>
      </c>
      <c r="R121" s="988">
        <f t="shared" si="46"/>
        <v>379.33333333333331</v>
      </c>
      <c r="S121" s="989">
        <v>150</v>
      </c>
      <c r="T121" s="990">
        <v>0</v>
      </c>
      <c r="U121" s="991">
        <v>110</v>
      </c>
      <c r="V121" s="991">
        <v>337</v>
      </c>
      <c r="W121" s="992">
        <f t="shared" si="47"/>
        <v>447</v>
      </c>
      <c r="X121" s="993">
        <f t="shared" si="48"/>
        <v>2.98</v>
      </c>
      <c r="Y121" s="990">
        <v>1532</v>
      </c>
      <c r="Z121" s="991">
        <v>1391</v>
      </c>
      <c r="AA121" s="991">
        <v>719</v>
      </c>
      <c r="AB121" s="992">
        <f t="shared" si="49"/>
        <v>3642</v>
      </c>
      <c r="AC121" s="993">
        <f t="shared" si="50"/>
        <v>24.28</v>
      </c>
      <c r="AD121" s="994">
        <f t="shared" si="51"/>
        <v>4089</v>
      </c>
      <c r="AE121" s="995">
        <f t="shared" si="52"/>
        <v>27.26</v>
      </c>
      <c r="AF121" s="996">
        <v>80</v>
      </c>
      <c r="AG121" s="997">
        <v>65</v>
      </c>
      <c r="AH121" s="997">
        <v>5</v>
      </c>
      <c r="AI121" s="998">
        <f t="shared" si="53"/>
        <v>150</v>
      </c>
      <c r="AJ121" s="993">
        <f t="shared" si="54"/>
        <v>1</v>
      </c>
    </row>
    <row r="122" spans="1:36" ht="16.5" customHeight="1">
      <c r="A122" s="999">
        <f>'09월 조업일지'!A120</f>
        <v>46269</v>
      </c>
      <c r="B122" s="1099">
        <f>'09월 조업일지'!B120</f>
        <v>46269</v>
      </c>
      <c r="C122" s="1000" t="str">
        <f>'09월 화학성분'!D120</f>
        <v>A</v>
      </c>
      <c r="D122" s="1000" t="str">
        <f>'09월 화학성분'!E120</f>
        <v>A</v>
      </c>
      <c r="E122" s="1000">
        <f>'09월 화학성분'!C120</f>
        <v>85322</v>
      </c>
      <c r="F122" s="1001" t="str">
        <f t="shared" si="40"/>
        <v>S355JO-01</v>
      </c>
      <c r="G122" s="1172">
        <v>19.5</v>
      </c>
      <c r="H122" s="985">
        <v>24300</v>
      </c>
      <c r="I122" s="1173">
        <v>17.100000000000001</v>
      </c>
      <c r="J122" s="985">
        <v>21300</v>
      </c>
      <c r="K122" s="1173">
        <v>5.3</v>
      </c>
      <c r="L122" s="985">
        <v>6800</v>
      </c>
      <c r="M122" s="1174">
        <f t="shared" si="41"/>
        <v>41.9</v>
      </c>
      <c r="N122" s="984">
        <f t="shared" si="42"/>
        <v>52400</v>
      </c>
      <c r="O122" s="986">
        <f t="shared" si="43"/>
        <v>163.96761133603241</v>
      </c>
      <c r="P122" s="987">
        <f t="shared" si="44"/>
        <v>143.7246963562753</v>
      </c>
      <c r="Q122" s="987">
        <f t="shared" si="45"/>
        <v>45.883940620782731</v>
      </c>
      <c r="R122" s="988">
        <f t="shared" si="46"/>
        <v>353.57624831309045</v>
      </c>
      <c r="S122" s="989">
        <v>148.19999999999999</v>
      </c>
      <c r="T122" s="990">
        <v>0</v>
      </c>
      <c r="U122" s="991">
        <v>249</v>
      </c>
      <c r="V122" s="991">
        <v>108</v>
      </c>
      <c r="W122" s="992">
        <f t="shared" si="47"/>
        <v>357</v>
      </c>
      <c r="X122" s="993">
        <f t="shared" si="48"/>
        <v>2.4089068825910931</v>
      </c>
      <c r="Y122" s="990">
        <v>1628</v>
      </c>
      <c r="Z122" s="991">
        <v>1427</v>
      </c>
      <c r="AA122" s="991">
        <v>398</v>
      </c>
      <c r="AB122" s="992">
        <f t="shared" si="49"/>
        <v>3453</v>
      </c>
      <c r="AC122" s="993">
        <f t="shared" si="50"/>
        <v>23.299595141700408</v>
      </c>
      <c r="AD122" s="994">
        <f t="shared" si="51"/>
        <v>3810</v>
      </c>
      <c r="AE122" s="995">
        <f t="shared" si="52"/>
        <v>25.708502024291501</v>
      </c>
      <c r="AF122" s="996">
        <v>78</v>
      </c>
      <c r="AG122" s="997">
        <v>63</v>
      </c>
      <c r="AH122" s="997">
        <v>3</v>
      </c>
      <c r="AI122" s="998">
        <f t="shared" si="53"/>
        <v>144</v>
      </c>
      <c r="AJ122" s="993">
        <f t="shared" si="54"/>
        <v>0.97165991902834015</v>
      </c>
    </row>
    <row r="123" spans="1:36" ht="16.5" customHeight="1">
      <c r="A123" s="999">
        <f>'09월 조업일지'!A121</f>
        <v>46269</v>
      </c>
      <c r="B123" s="1099">
        <f>'09월 조업일지'!B121</f>
        <v>46269</v>
      </c>
      <c r="C123" s="1000" t="str">
        <f>'09월 화학성분'!D121</f>
        <v>A</v>
      </c>
      <c r="D123" s="1000" t="str">
        <f>'09월 화학성분'!E121</f>
        <v>B</v>
      </c>
      <c r="E123" s="1000">
        <f>'09월 화학성분'!C121</f>
        <v>85323</v>
      </c>
      <c r="F123" s="1001" t="str">
        <f t="shared" si="40"/>
        <v>S355JO-01</v>
      </c>
      <c r="G123" s="1172">
        <v>18.7</v>
      </c>
      <c r="H123" s="985">
        <v>23000</v>
      </c>
      <c r="I123" s="1173">
        <v>16.5</v>
      </c>
      <c r="J123" s="985">
        <v>20500</v>
      </c>
      <c r="K123" s="1173">
        <v>9.8000000000000007</v>
      </c>
      <c r="L123" s="985">
        <v>12500</v>
      </c>
      <c r="M123" s="1174">
        <f t="shared" si="41"/>
        <v>45</v>
      </c>
      <c r="N123" s="984">
        <f t="shared" si="42"/>
        <v>56000</v>
      </c>
      <c r="O123" s="986">
        <f t="shared" si="43"/>
        <v>152.51989389920422</v>
      </c>
      <c r="P123" s="987">
        <f t="shared" si="44"/>
        <v>135.9416445623342</v>
      </c>
      <c r="Q123" s="987">
        <f t="shared" si="45"/>
        <v>82.891246684350122</v>
      </c>
      <c r="R123" s="988">
        <f t="shared" si="46"/>
        <v>371.35278514588856</v>
      </c>
      <c r="S123" s="989">
        <v>150.80000000000001</v>
      </c>
      <c r="T123" s="990">
        <v>0</v>
      </c>
      <c r="U123" s="991">
        <v>136</v>
      </c>
      <c r="V123" s="991">
        <v>232</v>
      </c>
      <c r="W123" s="992">
        <f t="shared" si="47"/>
        <v>368</v>
      </c>
      <c r="X123" s="993">
        <f t="shared" si="48"/>
        <v>2.4403183023872677</v>
      </c>
      <c r="Y123" s="990">
        <v>1552</v>
      </c>
      <c r="Z123" s="991">
        <v>1375</v>
      </c>
      <c r="AA123" s="991">
        <v>705</v>
      </c>
      <c r="AB123" s="992">
        <f t="shared" si="49"/>
        <v>3632</v>
      </c>
      <c r="AC123" s="993">
        <f t="shared" si="50"/>
        <v>24.084880636604773</v>
      </c>
      <c r="AD123" s="994">
        <f t="shared" si="51"/>
        <v>4000</v>
      </c>
      <c r="AE123" s="995">
        <f t="shared" si="52"/>
        <v>26.525198938992041</v>
      </c>
      <c r="AF123" s="996">
        <v>79</v>
      </c>
      <c r="AG123" s="997">
        <v>65</v>
      </c>
      <c r="AH123" s="997">
        <v>5</v>
      </c>
      <c r="AI123" s="998">
        <f t="shared" si="53"/>
        <v>149</v>
      </c>
      <c r="AJ123" s="993">
        <f t="shared" si="54"/>
        <v>0.98806366047745353</v>
      </c>
    </row>
    <row r="124" spans="1:36" ht="16.5" customHeight="1">
      <c r="A124" s="999">
        <f>'09월 조업일지'!A122</f>
        <v>46270</v>
      </c>
      <c r="B124" s="1099">
        <f>'09월 조업일지'!B122</f>
        <v>46269</v>
      </c>
      <c r="C124" s="1000" t="str">
        <f>'09월 화학성분'!D122</f>
        <v>A</v>
      </c>
      <c r="D124" s="1000" t="str">
        <f>'09월 화학성분'!E122</f>
        <v>A</v>
      </c>
      <c r="E124" s="1000">
        <f>'09월 화학성분'!C122</f>
        <v>85324</v>
      </c>
      <c r="F124" s="1001" t="str">
        <f t="shared" si="40"/>
        <v>S355JO-01</v>
      </c>
      <c r="G124" s="1172">
        <v>18</v>
      </c>
      <c r="H124" s="985">
        <v>22800</v>
      </c>
      <c r="I124" s="1173">
        <v>17.100000000000001</v>
      </c>
      <c r="J124" s="985">
        <v>21400</v>
      </c>
      <c r="K124" s="1173">
        <v>6.6</v>
      </c>
      <c r="L124" s="985">
        <v>8500</v>
      </c>
      <c r="M124" s="1174">
        <f t="shared" si="41"/>
        <v>41.7</v>
      </c>
      <c r="N124" s="984">
        <f t="shared" si="42"/>
        <v>52700</v>
      </c>
      <c r="O124" s="986">
        <f t="shared" si="43"/>
        <v>156.5934065934066</v>
      </c>
      <c r="P124" s="987">
        <f t="shared" si="44"/>
        <v>146.97802197802199</v>
      </c>
      <c r="Q124" s="987">
        <f t="shared" si="45"/>
        <v>58.379120879120883</v>
      </c>
      <c r="R124" s="988">
        <f t="shared" si="46"/>
        <v>361.95054945054943</v>
      </c>
      <c r="S124" s="989">
        <v>145.6</v>
      </c>
      <c r="T124" s="990">
        <v>0</v>
      </c>
      <c r="U124" s="991">
        <v>174</v>
      </c>
      <c r="V124" s="991">
        <v>187</v>
      </c>
      <c r="W124" s="992">
        <f t="shared" si="47"/>
        <v>361</v>
      </c>
      <c r="X124" s="993">
        <f t="shared" si="48"/>
        <v>2.4793956043956045</v>
      </c>
      <c r="Y124" s="990">
        <v>1455</v>
      </c>
      <c r="Z124" s="991">
        <v>1432</v>
      </c>
      <c r="AA124" s="991">
        <v>515</v>
      </c>
      <c r="AB124" s="992">
        <f t="shared" si="49"/>
        <v>3402</v>
      </c>
      <c r="AC124" s="993">
        <f t="shared" si="50"/>
        <v>23.365384615384617</v>
      </c>
      <c r="AD124" s="994">
        <f t="shared" si="51"/>
        <v>3763</v>
      </c>
      <c r="AE124" s="995">
        <f t="shared" si="52"/>
        <v>25.844780219780223</v>
      </c>
      <c r="AF124" s="996">
        <v>72</v>
      </c>
      <c r="AG124" s="997">
        <v>64</v>
      </c>
      <c r="AH124" s="997">
        <v>4</v>
      </c>
      <c r="AI124" s="998">
        <f t="shared" si="53"/>
        <v>140</v>
      </c>
      <c r="AJ124" s="993">
        <f t="shared" si="54"/>
        <v>0.96153846153846156</v>
      </c>
    </row>
    <row r="125" spans="1:36" ht="16.5" customHeight="1">
      <c r="A125" s="999">
        <f>'09월 조업일지'!A123</f>
        <v>46270</v>
      </c>
      <c r="B125" s="1099">
        <f>'09월 조업일지'!B123</f>
        <v>46269</v>
      </c>
      <c r="C125" s="1000" t="str">
        <f>'09월 화학성분'!D123</f>
        <v>A</v>
      </c>
      <c r="D125" s="1000" t="str">
        <f>'09월 화학성분'!E123</f>
        <v>B</v>
      </c>
      <c r="E125" s="1000">
        <f>'09월 화학성분'!C123</f>
        <v>85325</v>
      </c>
      <c r="F125" s="1104" t="s">
        <v>634</v>
      </c>
      <c r="G125" s="1172">
        <v>18.7</v>
      </c>
      <c r="H125" s="985">
        <v>22900</v>
      </c>
      <c r="I125" s="1173">
        <v>16.5</v>
      </c>
      <c r="J125" s="985">
        <v>20500</v>
      </c>
      <c r="K125" s="1173">
        <v>9.9</v>
      </c>
      <c r="L125" s="985">
        <v>12800</v>
      </c>
      <c r="M125" s="1174">
        <f t="shared" si="41"/>
        <v>45.1</v>
      </c>
      <c r="N125" s="984">
        <f t="shared" si="42"/>
        <v>56200</v>
      </c>
      <c r="O125" s="986">
        <f t="shared" si="43"/>
        <v>154.10497981157471</v>
      </c>
      <c r="P125" s="987">
        <f t="shared" si="44"/>
        <v>137.95423956931359</v>
      </c>
      <c r="Q125" s="987">
        <f t="shared" si="45"/>
        <v>86.137281292059228</v>
      </c>
      <c r="R125" s="988">
        <f t="shared" si="46"/>
        <v>378.19650067294754</v>
      </c>
      <c r="S125" s="989">
        <v>148.6</v>
      </c>
      <c r="T125" s="990">
        <v>0</v>
      </c>
      <c r="U125" s="991">
        <v>126</v>
      </c>
      <c r="V125" s="991">
        <v>241</v>
      </c>
      <c r="W125" s="992">
        <f t="shared" si="47"/>
        <v>367</v>
      </c>
      <c r="X125" s="993">
        <f t="shared" si="48"/>
        <v>2.4697173620457606</v>
      </c>
      <c r="Y125" s="990">
        <v>1567</v>
      </c>
      <c r="Z125" s="991">
        <v>1384</v>
      </c>
      <c r="AA125" s="991">
        <v>732</v>
      </c>
      <c r="AB125" s="992">
        <f t="shared" si="49"/>
        <v>3683</v>
      </c>
      <c r="AC125" s="993">
        <f t="shared" si="50"/>
        <v>24.784656796769852</v>
      </c>
      <c r="AD125" s="994">
        <f t="shared" si="51"/>
        <v>4050</v>
      </c>
      <c r="AE125" s="995">
        <f t="shared" si="52"/>
        <v>27.254374158815612</v>
      </c>
      <c r="AF125" s="996">
        <v>78</v>
      </c>
      <c r="AG125" s="997">
        <v>65</v>
      </c>
      <c r="AH125" s="997">
        <v>6</v>
      </c>
      <c r="AI125" s="998">
        <f t="shared" si="53"/>
        <v>149</v>
      </c>
      <c r="AJ125" s="993">
        <f t="shared" si="54"/>
        <v>1.0026917900403769</v>
      </c>
    </row>
    <row r="126" spans="1:36" ht="16.5" customHeight="1">
      <c r="A126" s="999">
        <f>'09월 조업일지'!A124</f>
        <v>46270</v>
      </c>
      <c r="B126" s="1099">
        <f>'09월 조업일지'!B124</f>
        <v>46269</v>
      </c>
      <c r="C126" s="1000" t="str">
        <f>'09월 화학성분'!D124</f>
        <v>A</v>
      </c>
      <c r="D126" s="1000" t="str">
        <f>'09월 화학성분'!E124</f>
        <v>A</v>
      </c>
      <c r="E126" s="1000">
        <f>'09월 화학성분'!C124</f>
        <v>85326</v>
      </c>
      <c r="F126" s="1001" t="str">
        <f t="shared" si="40"/>
        <v>A572-50-01</v>
      </c>
      <c r="G126" s="1172">
        <v>19.399999999999999</v>
      </c>
      <c r="H126" s="985">
        <v>24300</v>
      </c>
      <c r="I126" s="1173">
        <v>17.3</v>
      </c>
      <c r="J126" s="985">
        <v>21500</v>
      </c>
      <c r="K126" s="1173">
        <v>7.2</v>
      </c>
      <c r="L126" s="985">
        <v>8700</v>
      </c>
      <c r="M126" s="1174">
        <f t="shared" si="41"/>
        <v>43.900000000000006</v>
      </c>
      <c r="N126" s="984">
        <f t="shared" si="42"/>
        <v>54500</v>
      </c>
      <c r="O126" s="986">
        <f t="shared" si="43"/>
        <v>163.08724832214764</v>
      </c>
      <c r="P126" s="987">
        <f t="shared" si="44"/>
        <v>144.29530201342283</v>
      </c>
      <c r="Q126" s="987">
        <f t="shared" si="45"/>
        <v>58.38926174496644</v>
      </c>
      <c r="R126" s="988">
        <f t="shared" si="46"/>
        <v>365.77181208053696</v>
      </c>
      <c r="S126" s="989">
        <v>149</v>
      </c>
      <c r="T126" s="990">
        <v>0</v>
      </c>
      <c r="U126" s="991">
        <v>297</v>
      </c>
      <c r="V126" s="991">
        <v>47</v>
      </c>
      <c r="W126" s="992">
        <f t="shared" si="47"/>
        <v>344</v>
      </c>
      <c r="X126" s="993">
        <f t="shared" si="48"/>
        <v>2.3087248322147653</v>
      </c>
      <c r="Y126" s="990">
        <v>1624</v>
      </c>
      <c r="Z126" s="991">
        <v>1464</v>
      </c>
      <c r="AA126" s="991">
        <v>538</v>
      </c>
      <c r="AB126" s="992">
        <f t="shared" si="49"/>
        <v>3626</v>
      </c>
      <c r="AC126" s="993">
        <f t="shared" si="50"/>
        <v>24.335570469798657</v>
      </c>
      <c r="AD126" s="994">
        <f t="shared" si="51"/>
        <v>3970</v>
      </c>
      <c r="AE126" s="995">
        <f t="shared" si="52"/>
        <v>26.644295302013422</v>
      </c>
      <c r="AF126" s="996">
        <v>78</v>
      </c>
      <c r="AG126" s="997">
        <v>63</v>
      </c>
      <c r="AH126" s="997">
        <v>4</v>
      </c>
      <c r="AI126" s="998">
        <f t="shared" si="53"/>
        <v>145</v>
      </c>
      <c r="AJ126" s="993">
        <f t="shared" si="54"/>
        <v>0.97315436241610742</v>
      </c>
    </row>
    <row r="127" spans="1:36" ht="16.5" customHeight="1">
      <c r="A127" s="999">
        <f>'09월 조업일지'!A125</f>
        <v>46270</v>
      </c>
      <c r="B127" s="1099">
        <f>'09월 조업일지'!B125</f>
        <v>46269</v>
      </c>
      <c r="C127" s="1000" t="str">
        <f>'09월 화학성분'!D125</f>
        <v>A</v>
      </c>
      <c r="D127" s="1000" t="str">
        <f>'09월 화학성분'!E125</f>
        <v>B</v>
      </c>
      <c r="E127" s="1000">
        <f>'09월 화학성분'!C125</f>
        <v>85327</v>
      </c>
      <c r="F127" s="1001" t="str">
        <f t="shared" si="40"/>
        <v>A572-50-01</v>
      </c>
      <c r="G127" s="1172">
        <v>19.100000000000001</v>
      </c>
      <c r="H127" s="985">
        <v>22900</v>
      </c>
      <c r="I127" s="1173">
        <v>16.3</v>
      </c>
      <c r="J127" s="985">
        <v>20500</v>
      </c>
      <c r="K127" s="1173">
        <v>11</v>
      </c>
      <c r="L127" s="985">
        <v>14200</v>
      </c>
      <c r="M127" s="1174">
        <f t="shared" si="41"/>
        <v>46.400000000000006</v>
      </c>
      <c r="N127" s="984">
        <f t="shared" si="42"/>
        <v>57600</v>
      </c>
      <c r="O127" s="986">
        <f t="shared" si="43"/>
        <v>157.1722717913521</v>
      </c>
      <c r="P127" s="987">
        <f t="shared" si="44"/>
        <v>140.70006863417984</v>
      </c>
      <c r="Q127" s="987">
        <f t="shared" si="45"/>
        <v>97.460535346602612</v>
      </c>
      <c r="R127" s="988">
        <f t="shared" si="46"/>
        <v>395.33287577213457</v>
      </c>
      <c r="S127" s="989">
        <v>145.69999999999999</v>
      </c>
      <c r="T127" s="990">
        <v>0</v>
      </c>
      <c r="U127" s="991">
        <v>123</v>
      </c>
      <c r="V127" s="991">
        <v>232</v>
      </c>
      <c r="W127" s="992">
        <f t="shared" si="47"/>
        <v>355</v>
      </c>
      <c r="X127" s="993">
        <f t="shared" si="48"/>
        <v>2.4365133836650652</v>
      </c>
      <c r="Y127" s="990">
        <v>1542</v>
      </c>
      <c r="Z127" s="991">
        <v>1366</v>
      </c>
      <c r="AA127" s="991">
        <v>737</v>
      </c>
      <c r="AB127" s="992">
        <f t="shared" si="49"/>
        <v>3645</v>
      </c>
      <c r="AC127" s="993">
        <f t="shared" si="50"/>
        <v>25.017158544955389</v>
      </c>
      <c r="AD127" s="994">
        <f t="shared" si="51"/>
        <v>4000</v>
      </c>
      <c r="AE127" s="995">
        <f t="shared" si="52"/>
        <v>27.453671928620455</v>
      </c>
      <c r="AF127" s="996">
        <v>79</v>
      </c>
      <c r="AG127" s="997">
        <v>63</v>
      </c>
      <c r="AH127" s="997">
        <v>6</v>
      </c>
      <c r="AI127" s="998">
        <f t="shared" si="53"/>
        <v>148</v>
      </c>
      <c r="AJ127" s="993">
        <f t="shared" si="54"/>
        <v>1.0157858613589568</v>
      </c>
    </row>
    <row r="128" spans="1:36" ht="16.5" customHeight="1">
      <c r="A128" s="999">
        <f>'09월 조업일지'!A126</f>
        <v>46270</v>
      </c>
      <c r="B128" s="1099">
        <f>'09월 조업일지'!B126</f>
        <v>46270</v>
      </c>
      <c r="C128" s="1000" t="str">
        <f>'09월 화학성분'!D126</f>
        <v>B</v>
      </c>
      <c r="D128" s="1000" t="str">
        <f>'09월 화학성분'!E126</f>
        <v>A</v>
      </c>
      <c r="E128" s="1000">
        <f>'09월 화학성분'!C126</f>
        <v>85328</v>
      </c>
      <c r="F128" s="1001" t="str">
        <f t="shared" si="40"/>
        <v>A572-50-01</v>
      </c>
      <c r="G128" s="1172">
        <v>19.8</v>
      </c>
      <c r="H128" s="985">
        <v>25100</v>
      </c>
      <c r="I128" s="1173">
        <v>16.899999999999999</v>
      </c>
      <c r="J128" s="985">
        <v>21300</v>
      </c>
      <c r="K128" s="1173">
        <v>7.5</v>
      </c>
      <c r="L128" s="985">
        <v>9600</v>
      </c>
      <c r="M128" s="1174">
        <f t="shared" si="41"/>
        <v>44.2</v>
      </c>
      <c r="N128" s="984">
        <f t="shared" si="42"/>
        <v>56000</v>
      </c>
      <c r="O128" s="986">
        <f t="shared" si="43"/>
        <v>172.9841488628532</v>
      </c>
      <c r="P128" s="987">
        <f t="shared" si="44"/>
        <v>146.79531357684357</v>
      </c>
      <c r="Q128" s="987">
        <f t="shared" si="45"/>
        <v>66.161268090971745</v>
      </c>
      <c r="R128" s="988">
        <f t="shared" si="46"/>
        <v>385.94073053066853</v>
      </c>
      <c r="S128" s="989">
        <v>145.1</v>
      </c>
      <c r="T128" s="990">
        <v>0</v>
      </c>
      <c r="U128" s="991">
        <v>235</v>
      </c>
      <c r="V128" s="991">
        <v>126</v>
      </c>
      <c r="W128" s="992">
        <f t="shared" si="47"/>
        <v>361</v>
      </c>
      <c r="X128" s="993">
        <f t="shared" si="48"/>
        <v>2.4879393521709168</v>
      </c>
      <c r="Y128" s="990">
        <v>1678</v>
      </c>
      <c r="Z128" s="991">
        <v>1406</v>
      </c>
      <c r="AA128" s="991">
        <v>461</v>
      </c>
      <c r="AB128" s="992">
        <f t="shared" si="49"/>
        <v>3545</v>
      </c>
      <c r="AC128" s="993">
        <f t="shared" si="50"/>
        <v>24.431426602343212</v>
      </c>
      <c r="AD128" s="994">
        <f t="shared" si="51"/>
        <v>3906</v>
      </c>
      <c r="AE128" s="995">
        <f t="shared" si="52"/>
        <v>26.919365954514131</v>
      </c>
      <c r="AF128" s="996">
        <v>77</v>
      </c>
      <c r="AG128" s="997">
        <v>64</v>
      </c>
      <c r="AH128" s="997">
        <v>3</v>
      </c>
      <c r="AI128" s="998">
        <f t="shared" si="53"/>
        <v>144</v>
      </c>
      <c r="AJ128" s="993">
        <f t="shared" si="54"/>
        <v>0.99241902136457616</v>
      </c>
    </row>
    <row r="129" spans="1:36" ht="16.5" customHeight="1">
      <c r="A129" s="999">
        <f>'09월 조업일지'!A127</f>
        <v>46270</v>
      </c>
      <c r="B129" s="1099">
        <f>'09월 조업일지'!B127</f>
        <v>46270</v>
      </c>
      <c r="C129" s="1000" t="str">
        <f>'09월 화학성분'!D127</f>
        <v>B</v>
      </c>
      <c r="D129" s="1000" t="str">
        <f>'09월 화학성분'!E127</f>
        <v>B</v>
      </c>
      <c r="E129" s="1000">
        <f>'09월 화학성분'!C127</f>
        <v>85329</v>
      </c>
      <c r="F129" s="1001" t="str">
        <f t="shared" si="40"/>
        <v>A572-50-01</v>
      </c>
      <c r="G129" s="1172">
        <v>18.8</v>
      </c>
      <c r="H129" s="985">
        <v>22800</v>
      </c>
      <c r="I129" s="1173">
        <v>17.2</v>
      </c>
      <c r="J129" s="985">
        <v>20700</v>
      </c>
      <c r="K129" s="1173">
        <v>10.3</v>
      </c>
      <c r="L129" s="985">
        <v>13300</v>
      </c>
      <c r="M129" s="1174">
        <f t="shared" si="41"/>
        <v>46.3</v>
      </c>
      <c r="N129" s="984">
        <f t="shared" si="42"/>
        <v>56800</v>
      </c>
      <c r="O129" s="986">
        <f t="shared" si="43"/>
        <v>156.05749486652979</v>
      </c>
      <c r="P129" s="987">
        <f t="shared" si="44"/>
        <v>141.68377823408625</v>
      </c>
      <c r="Q129" s="987">
        <f t="shared" si="45"/>
        <v>91.03353867214237</v>
      </c>
      <c r="R129" s="988">
        <f t="shared" si="46"/>
        <v>388.77481177275837</v>
      </c>
      <c r="S129" s="989">
        <v>146.1</v>
      </c>
      <c r="T129" s="990">
        <v>0</v>
      </c>
      <c r="U129" s="991">
        <v>0</v>
      </c>
      <c r="V129" s="991">
        <v>289</v>
      </c>
      <c r="W129" s="992">
        <f t="shared" si="47"/>
        <v>289</v>
      </c>
      <c r="X129" s="993">
        <f t="shared" si="48"/>
        <v>1.9780971937029432</v>
      </c>
      <c r="Y129" s="990">
        <v>1536</v>
      </c>
      <c r="Z129" s="991">
        <v>1443</v>
      </c>
      <c r="AA129" s="991">
        <v>879</v>
      </c>
      <c r="AB129" s="992">
        <f t="shared" si="49"/>
        <v>3858</v>
      </c>
      <c r="AC129" s="993">
        <f t="shared" si="50"/>
        <v>26.406570841889117</v>
      </c>
      <c r="AD129" s="994">
        <f t="shared" si="51"/>
        <v>4147</v>
      </c>
      <c r="AE129" s="995">
        <f t="shared" si="52"/>
        <v>28.38466803559206</v>
      </c>
      <c r="AF129" s="996">
        <v>80</v>
      </c>
      <c r="AG129" s="997">
        <v>66</v>
      </c>
      <c r="AH129" s="997">
        <v>8</v>
      </c>
      <c r="AI129" s="998">
        <f t="shared" si="53"/>
        <v>154</v>
      </c>
      <c r="AJ129" s="993">
        <f t="shared" si="54"/>
        <v>1.054072553045859</v>
      </c>
    </row>
    <row r="130" spans="1:36" ht="16.5" customHeight="1">
      <c r="A130" s="999">
        <f>'09월 조업일지'!A128</f>
        <v>46270</v>
      </c>
      <c r="B130" s="1099">
        <f>'09월 조업일지'!B128</f>
        <v>46270</v>
      </c>
      <c r="C130" s="1000" t="str">
        <f>'09월 화학성분'!D128</f>
        <v>B</v>
      </c>
      <c r="D130" s="1000" t="str">
        <f>'09월 화학성분'!E128</f>
        <v>A</v>
      </c>
      <c r="E130" s="1000">
        <f>'09월 화학성분'!C128</f>
        <v>85330</v>
      </c>
      <c r="F130" s="1001" t="str">
        <f t="shared" si="40"/>
        <v>A572-50-01</v>
      </c>
      <c r="G130" s="1172">
        <v>19.8</v>
      </c>
      <c r="H130" s="985">
        <v>24500</v>
      </c>
      <c r="I130" s="1173">
        <v>17.2</v>
      </c>
      <c r="J130" s="985">
        <v>21100</v>
      </c>
      <c r="K130" s="1173">
        <v>5.9</v>
      </c>
      <c r="L130" s="985">
        <v>7400</v>
      </c>
      <c r="M130" s="1174">
        <f t="shared" si="41"/>
        <v>42.9</v>
      </c>
      <c r="N130" s="984">
        <f t="shared" si="42"/>
        <v>53000</v>
      </c>
      <c r="O130" s="986">
        <f t="shared" si="43"/>
        <v>168.03840877914951</v>
      </c>
      <c r="P130" s="987">
        <f t="shared" si="44"/>
        <v>144.71879286694102</v>
      </c>
      <c r="Q130" s="987">
        <f t="shared" si="45"/>
        <v>50.754458161865564</v>
      </c>
      <c r="R130" s="988">
        <f t="shared" si="46"/>
        <v>363.51165980795605</v>
      </c>
      <c r="S130" s="989">
        <v>145.80000000000001</v>
      </c>
      <c r="T130" s="990">
        <v>0</v>
      </c>
      <c r="U130" s="991">
        <v>0</v>
      </c>
      <c r="V130" s="991">
        <v>292</v>
      </c>
      <c r="W130" s="992">
        <f t="shared" si="47"/>
        <v>292</v>
      </c>
      <c r="X130" s="993">
        <f t="shared" si="48"/>
        <v>2.0027434842249656</v>
      </c>
      <c r="Y130" s="990">
        <v>1666</v>
      </c>
      <c r="Z130" s="991">
        <v>1450</v>
      </c>
      <c r="AA130" s="991">
        <v>563</v>
      </c>
      <c r="AB130" s="992">
        <f t="shared" si="49"/>
        <v>3679</v>
      </c>
      <c r="AC130" s="993">
        <f t="shared" si="50"/>
        <v>25.233196159122084</v>
      </c>
      <c r="AD130" s="994">
        <f t="shared" si="51"/>
        <v>3971</v>
      </c>
      <c r="AE130" s="995">
        <f t="shared" si="52"/>
        <v>27.235939643347049</v>
      </c>
      <c r="AF130" s="996">
        <v>79</v>
      </c>
      <c r="AG130" s="997">
        <v>62</v>
      </c>
      <c r="AH130" s="997">
        <v>5</v>
      </c>
      <c r="AI130" s="998">
        <f t="shared" si="53"/>
        <v>146</v>
      </c>
      <c r="AJ130" s="993">
        <f t="shared" si="54"/>
        <v>1.0013717421124828</v>
      </c>
    </row>
    <row r="131" spans="1:36" ht="16.5" customHeight="1">
      <c r="A131" s="999">
        <f>'09월 조업일지'!A129</f>
        <v>46270</v>
      </c>
      <c r="B131" s="1099">
        <f>'09월 조업일지'!B129</f>
        <v>46270</v>
      </c>
      <c r="C131" s="1000" t="str">
        <f>'09월 화학성분'!D129</f>
        <v>B</v>
      </c>
      <c r="D131" s="1000" t="str">
        <f>'09월 화학성분'!E129</f>
        <v>B</v>
      </c>
      <c r="E131" s="1000">
        <f>'09월 화학성분'!C129</f>
        <v>85331</v>
      </c>
      <c r="F131" s="1001" t="str">
        <f t="shared" si="40"/>
        <v>A572-50-01</v>
      </c>
      <c r="G131" s="1172">
        <v>19</v>
      </c>
      <c r="H131" s="985">
        <v>22800</v>
      </c>
      <c r="I131" s="1173">
        <v>16.5</v>
      </c>
      <c r="J131" s="985">
        <v>20300</v>
      </c>
      <c r="K131" s="1173">
        <v>10.8</v>
      </c>
      <c r="L131" s="985">
        <v>13700</v>
      </c>
      <c r="M131" s="1174">
        <f t="shared" si="41"/>
        <v>46.3</v>
      </c>
      <c r="N131" s="984">
        <f t="shared" si="42"/>
        <v>56800</v>
      </c>
      <c r="O131" s="986">
        <f t="shared" si="43"/>
        <v>159.32914046121593</v>
      </c>
      <c r="P131" s="987">
        <f t="shared" si="44"/>
        <v>141.85883997204752</v>
      </c>
      <c r="Q131" s="987">
        <f t="shared" si="45"/>
        <v>95.737246680642912</v>
      </c>
      <c r="R131" s="988">
        <f t="shared" si="46"/>
        <v>396.92522711390632</v>
      </c>
      <c r="S131" s="989">
        <v>143.1</v>
      </c>
      <c r="T131" s="990">
        <v>0</v>
      </c>
      <c r="U131" s="991">
        <v>0</v>
      </c>
      <c r="V131" s="991">
        <v>427</v>
      </c>
      <c r="W131" s="992">
        <f t="shared" si="47"/>
        <v>427</v>
      </c>
      <c r="X131" s="993">
        <f t="shared" si="48"/>
        <v>2.983927323549965</v>
      </c>
      <c r="Y131" s="990">
        <v>1625</v>
      </c>
      <c r="Z131" s="991">
        <v>1350</v>
      </c>
      <c r="AA131" s="991">
        <v>1002</v>
      </c>
      <c r="AB131" s="992">
        <f t="shared" si="49"/>
        <v>3977</v>
      </c>
      <c r="AC131" s="993">
        <f t="shared" si="50"/>
        <v>27.791754018169115</v>
      </c>
      <c r="AD131" s="994">
        <f t="shared" si="51"/>
        <v>4404</v>
      </c>
      <c r="AE131" s="995">
        <f t="shared" si="52"/>
        <v>30.775681341719078</v>
      </c>
      <c r="AF131" s="996">
        <v>81</v>
      </c>
      <c r="AG131" s="997">
        <v>63</v>
      </c>
      <c r="AH131" s="997">
        <v>9</v>
      </c>
      <c r="AI131" s="998">
        <f t="shared" si="53"/>
        <v>153</v>
      </c>
      <c r="AJ131" s="993">
        <f t="shared" si="54"/>
        <v>1.0691823899371069</v>
      </c>
    </row>
    <row r="132" spans="1:36" ht="16.5" customHeight="1">
      <c r="A132" s="999">
        <f>'09월 조업일지'!A130</f>
        <v>46270</v>
      </c>
      <c r="B132" s="1099">
        <f>'09월 조업일지'!B130</f>
        <v>46270</v>
      </c>
      <c r="C132" s="1000" t="str">
        <f>'09월 화학성분'!D130</f>
        <v>B</v>
      </c>
      <c r="D132" s="1000" t="str">
        <f>'09월 화학성분'!E130</f>
        <v>A</v>
      </c>
      <c r="E132" s="1000">
        <f>'09월 화학성분'!C130</f>
        <v>85332</v>
      </c>
      <c r="F132" s="1001" t="str">
        <f t="shared" si="40"/>
        <v>A572-50-01</v>
      </c>
      <c r="G132" s="1172">
        <v>19.5</v>
      </c>
      <c r="H132" s="985">
        <v>23800</v>
      </c>
      <c r="I132" s="1173">
        <v>17.3</v>
      </c>
      <c r="J132" s="985">
        <v>21600</v>
      </c>
      <c r="K132" s="1173">
        <v>6</v>
      </c>
      <c r="L132" s="985">
        <v>7600</v>
      </c>
      <c r="M132" s="1174">
        <f t="shared" si="41"/>
        <v>42.8</v>
      </c>
      <c r="N132" s="984">
        <f t="shared" si="42"/>
        <v>53000</v>
      </c>
      <c r="O132" s="986">
        <f t="shared" si="43"/>
        <v>163.12542837559971</v>
      </c>
      <c r="P132" s="987">
        <f t="shared" si="44"/>
        <v>148.04660726525017</v>
      </c>
      <c r="Q132" s="987">
        <f t="shared" si="45"/>
        <v>52.090472926662095</v>
      </c>
      <c r="R132" s="988">
        <f t="shared" si="46"/>
        <v>363.26250856751199</v>
      </c>
      <c r="S132" s="989">
        <v>145.9</v>
      </c>
      <c r="T132" s="990">
        <v>0</v>
      </c>
      <c r="U132" s="991">
        <v>48</v>
      </c>
      <c r="V132" s="991">
        <v>292</v>
      </c>
      <c r="W132" s="992">
        <f t="shared" si="47"/>
        <v>340</v>
      </c>
      <c r="X132" s="993">
        <f t="shared" si="48"/>
        <v>2.3303632625085675</v>
      </c>
      <c r="Y132" s="990">
        <v>1607</v>
      </c>
      <c r="Z132" s="991">
        <v>1474</v>
      </c>
      <c r="AA132" s="991">
        <v>417</v>
      </c>
      <c r="AB132" s="992">
        <f t="shared" si="49"/>
        <v>3498</v>
      </c>
      <c r="AC132" s="993">
        <f t="shared" si="50"/>
        <v>23.97532556545579</v>
      </c>
      <c r="AD132" s="994">
        <f t="shared" si="51"/>
        <v>3838</v>
      </c>
      <c r="AE132" s="995">
        <f t="shared" si="52"/>
        <v>26.305688827964357</v>
      </c>
      <c r="AF132" s="996">
        <v>80</v>
      </c>
      <c r="AG132" s="997">
        <v>63</v>
      </c>
      <c r="AH132" s="997">
        <v>4</v>
      </c>
      <c r="AI132" s="998">
        <f t="shared" si="53"/>
        <v>147</v>
      </c>
      <c r="AJ132" s="993">
        <f t="shared" si="54"/>
        <v>1.0075394105551747</v>
      </c>
    </row>
    <row r="133" spans="1:36" ht="16.5" customHeight="1">
      <c r="A133" s="999">
        <f>'09월 조업일지'!A131</f>
        <v>46270</v>
      </c>
      <c r="B133" s="1099">
        <f>'09월 조업일지'!B131</f>
        <v>46270</v>
      </c>
      <c r="C133" s="1000" t="str">
        <f>'09월 화학성분'!D131</f>
        <v>B</v>
      </c>
      <c r="D133" s="1000" t="str">
        <f>'09월 화학성분'!E131</f>
        <v>B</v>
      </c>
      <c r="E133" s="1000">
        <f>'09월 화학성분'!C131</f>
        <v>85333</v>
      </c>
      <c r="F133" s="1001" t="str">
        <f t="shared" si="40"/>
        <v>A572-50-01</v>
      </c>
      <c r="G133" s="1172">
        <v>19.5</v>
      </c>
      <c r="H133" s="985">
        <v>24300</v>
      </c>
      <c r="I133" s="1173">
        <v>17.7</v>
      </c>
      <c r="J133" s="985">
        <v>20700</v>
      </c>
      <c r="K133" s="1173">
        <v>9.8000000000000007</v>
      </c>
      <c r="L133" s="985">
        <v>12300</v>
      </c>
      <c r="M133" s="1174">
        <f t="shared" si="41"/>
        <v>47</v>
      </c>
      <c r="N133" s="984">
        <f t="shared" si="42"/>
        <v>57300</v>
      </c>
      <c r="O133" s="986">
        <f t="shared" si="43"/>
        <v>168.63289382373353</v>
      </c>
      <c r="P133" s="987">
        <f t="shared" si="44"/>
        <v>143.65024288688412</v>
      </c>
      <c r="Q133" s="987">
        <f t="shared" si="45"/>
        <v>85.357390700902158</v>
      </c>
      <c r="R133" s="988">
        <f t="shared" si="46"/>
        <v>397.64052741151983</v>
      </c>
      <c r="S133" s="989">
        <v>144.1</v>
      </c>
      <c r="T133" s="990">
        <v>0</v>
      </c>
      <c r="U133" s="991">
        <v>0</v>
      </c>
      <c r="V133" s="991">
        <v>434</v>
      </c>
      <c r="W133" s="992">
        <f t="shared" si="47"/>
        <v>434</v>
      </c>
      <c r="X133" s="993">
        <f t="shared" si="48"/>
        <v>3.0117973629424011</v>
      </c>
      <c r="Y133" s="990">
        <v>1655</v>
      </c>
      <c r="Z133" s="991">
        <v>1454</v>
      </c>
      <c r="AA133" s="991">
        <v>913</v>
      </c>
      <c r="AB133" s="992">
        <f t="shared" si="49"/>
        <v>4022</v>
      </c>
      <c r="AC133" s="993">
        <f t="shared" si="50"/>
        <v>27.911172796668982</v>
      </c>
      <c r="AD133" s="994">
        <f t="shared" si="51"/>
        <v>4456</v>
      </c>
      <c r="AE133" s="995">
        <f t="shared" si="52"/>
        <v>30.922970159611381</v>
      </c>
      <c r="AF133" s="996">
        <v>80</v>
      </c>
      <c r="AG133" s="997">
        <v>67</v>
      </c>
      <c r="AH133" s="997">
        <v>13</v>
      </c>
      <c r="AI133" s="998">
        <f t="shared" si="53"/>
        <v>160</v>
      </c>
      <c r="AJ133" s="993">
        <f t="shared" si="54"/>
        <v>1.1103400416377516</v>
      </c>
    </row>
    <row r="134" spans="1:36" ht="16.5" customHeight="1">
      <c r="A134" s="999">
        <f>'09월 조업일지'!A132</f>
        <v>46270</v>
      </c>
      <c r="B134" s="1099">
        <f>'09월 조업일지'!B132</f>
        <v>46270</v>
      </c>
      <c r="C134" s="1000" t="str">
        <f>'09월 화학성분'!D132</f>
        <v>B</v>
      </c>
      <c r="D134" s="1000" t="str">
        <f>'09월 화학성분'!E132</f>
        <v>A</v>
      </c>
      <c r="E134" s="1000">
        <f>'09월 화학성분'!C132</f>
        <v>85334</v>
      </c>
      <c r="F134" s="1001" t="str">
        <f t="shared" si="40"/>
        <v>A572-50-01</v>
      </c>
      <c r="G134" s="1172">
        <v>19.100000000000001</v>
      </c>
      <c r="H134" s="985">
        <v>24000</v>
      </c>
      <c r="I134" s="1173">
        <v>17.899999999999999</v>
      </c>
      <c r="J134" s="985">
        <v>21200</v>
      </c>
      <c r="K134" s="1173">
        <v>10.7</v>
      </c>
      <c r="L134" s="985">
        <v>12900</v>
      </c>
      <c r="M134" s="1174">
        <f t="shared" si="41"/>
        <v>47.7</v>
      </c>
      <c r="N134" s="984">
        <f t="shared" si="42"/>
        <v>58100</v>
      </c>
      <c r="O134" s="986">
        <f t="shared" si="43"/>
        <v>163.48773841961852</v>
      </c>
      <c r="P134" s="987">
        <f t="shared" si="44"/>
        <v>144.41416893732969</v>
      </c>
      <c r="Q134" s="987">
        <f t="shared" si="45"/>
        <v>87.874659400544957</v>
      </c>
      <c r="R134" s="988">
        <f t="shared" si="46"/>
        <v>395.77656675749313</v>
      </c>
      <c r="S134" s="989">
        <v>146.80000000000001</v>
      </c>
      <c r="T134" s="990">
        <v>0</v>
      </c>
      <c r="U134" s="991">
        <v>0</v>
      </c>
      <c r="V134" s="991">
        <v>290</v>
      </c>
      <c r="W134" s="992">
        <f t="shared" si="47"/>
        <v>290</v>
      </c>
      <c r="X134" s="993">
        <f t="shared" si="48"/>
        <v>1.975476839237057</v>
      </c>
      <c r="Y134" s="990">
        <v>1598</v>
      </c>
      <c r="Z134" s="991">
        <v>1503</v>
      </c>
      <c r="AA134" s="991">
        <v>690</v>
      </c>
      <c r="AB134" s="992">
        <f t="shared" si="49"/>
        <v>3791</v>
      </c>
      <c r="AC134" s="993">
        <f t="shared" si="50"/>
        <v>25.824250681198908</v>
      </c>
      <c r="AD134" s="994">
        <f t="shared" si="51"/>
        <v>4081</v>
      </c>
      <c r="AE134" s="995">
        <f t="shared" si="52"/>
        <v>27.799727520435965</v>
      </c>
      <c r="AF134" s="996">
        <v>79</v>
      </c>
      <c r="AG134" s="997">
        <v>62</v>
      </c>
      <c r="AH134" s="997">
        <v>19</v>
      </c>
      <c r="AI134" s="998">
        <f t="shared" si="53"/>
        <v>160</v>
      </c>
      <c r="AJ134" s="993">
        <f t="shared" si="54"/>
        <v>1.0899182561307901</v>
      </c>
    </row>
    <row r="135" spans="1:36" ht="16.5" customHeight="1">
      <c r="A135" s="999">
        <f>'09월 조업일지'!A133</f>
        <v>46270</v>
      </c>
      <c r="B135" s="1099">
        <f>'09월 조업일지'!B133</f>
        <v>46270</v>
      </c>
      <c r="C135" s="1000" t="str">
        <f>'09월 화학성분'!D133</f>
        <v>B</v>
      </c>
      <c r="D135" s="1000" t="str">
        <f>'09월 화학성분'!E133</f>
        <v>B</v>
      </c>
      <c r="E135" s="1000">
        <f>'09월 화학성분'!C133</f>
        <v>85335</v>
      </c>
      <c r="F135" s="1001" t="str">
        <f t="shared" si="40"/>
        <v>A572-50-01</v>
      </c>
      <c r="G135" s="1172">
        <v>20</v>
      </c>
      <c r="H135" s="985">
        <v>22900</v>
      </c>
      <c r="I135" s="1173">
        <v>17.100000000000001</v>
      </c>
      <c r="J135" s="985">
        <v>20600</v>
      </c>
      <c r="K135" s="1173">
        <v>9.3000000000000007</v>
      </c>
      <c r="L135" s="985">
        <v>10100</v>
      </c>
      <c r="M135" s="1174">
        <f t="shared" si="41"/>
        <v>46.400000000000006</v>
      </c>
      <c r="N135" s="984">
        <f t="shared" si="42"/>
        <v>53600</v>
      </c>
      <c r="O135" s="986">
        <f t="shared" si="43"/>
        <v>158.6971586971587</v>
      </c>
      <c r="P135" s="987">
        <f t="shared" si="44"/>
        <v>142.75814275814275</v>
      </c>
      <c r="Q135" s="987">
        <f t="shared" si="45"/>
        <v>69.993069993069994</v>
      </c>
      <c r="R135" s="988">
        <f t="shared" si="46"/>
        <v>371.4483714483714</v>
      </c>
      <c r="S135" s="989">
        <v>144.30000000000001</v>
      </c>
      <c r="T135" s="990">
        <v>0</v>
      </c>
      <c r="U135" s="991">
        <v>86</v>
      </c>
      <c r="V135" s="991">
        <v>414</v>
      </c>
      <c r="W135" s="992">
        <f t="shared" si="47"/>
        <v>500</v>
      </c>
      <c r="X135" s="993">
        <f t="shared" si="48"/>
        <v>3.4650034650034649</v>
      </c>
      <c r="Y135" s="990">
        <v>1711</v>
      </c>
      <c r="Z135" s="991">
        <v>1400</v>
      </c>
      <c r="AA135" s="991">
        <v>982</v>
      </c>
      <c r="AB135" s="992">
        <f t="shared" si="49"/>
        <v>4093</v>
      </c>
      <c r="AC135" s="993">
        <f t="shared" si="50"/>
        <v>28.364518364518361</v>
      </c>
      <c r="AD135" s="994">
        <f t="shared" si="51"/>
        <v>4593</v>
      </c>
      <c r="AE135" s="995">
        <f t="shared" si="52"/>
        <v>31.829521829521827</v>
      </c>
      <c r="AF135" s="996">
        <v>83</v>
      </c>
      <c r="AG135" s="997">
        <v>67</v>
      </c>
      <c r="AH135" s="997">
        <v>31</v>
      </c>
      <c r="AI135" s="998">
        <f t="shared" si="53"/>
        <v>181</v>
      </c>
      <c r="AJ135" s="993">
        <f t="shared" si="54"/>
        <v>1.2543312543312541</v>
      </c>
    </row>
    <row r="136" spans="1:36" ht="16.5" customHeight="1">
      <c r="A136" s="999">
        <f>'09월 조업일지'!A134</f>
        <v>46270</v>
      </c>
      <c r="B136" s="1099">
        <f>'09월 조업일지'!B134</f>
        <v>46270</v>
      </c>
      <c r="C136" s="1000" t="str">
        <f>'09월 화학성분'!D134</f>
        <v>B</v>
      </c>
      <c r="D136" s="1000" t="str">
        <f>'09월 화학성분'!E134</f>
        <v>A</v>
      </c>
      <c r="E136" s="1000">
        <f>'09월 화학성분'!C134</f>
        <v>85336</v>
      </c>
      <c r="F136" s="1001" t="str">
        <f t="shared" si="40"/>
        <v>A572-50-01</v>
      </c>
      <c r="G136" s="1172">
        <v>19.899999999999999</v>
      </c>
      <c r="H136" s="985">
        <v>24200</v>
      </c>
      <c r="I136" s="1173">
        <v>17.3</v>
      </c>
      <c r="J136" s="985">
        <v>21200</v>
      </c>
      <c r="K136" s="1173">
        <v>7.1</v>
      </c>
      <c r="L136" s="985">
        <v>8900</v>
      </c>
      <c r="M136" s="1174">
        <f t="shared" si="41"/>
        <v>44.300000000000004</v>
      </c>
      <c r="N136" s="984">
        <f t="shared" si="42"/>
        <v>54300</v>
      </c>
      <c r="O136" s="986">
        <f t="shared" si="43"/>
        <v>171.50956768249469</v>
      </c>
      <c r="P136" s="987">
        <f t="shared" si="44"/>
        <v>150.24805102763997</v>
      </c>
      <c r="Q136" s="987">
        <f t="shared" si="45"/>
        <v>63.075832742735649</v>
      </c>
      <c r="R136" s="988">
        <f t="shared" si="46"/>
        <v>384.83345145287035</v>
      </c>
      <c r="S136" s="989">
        <v>141.1</v>
      </c>
      <c r="T136" s="990">
        <v>0</v>
      </c>
      <c r="U136" s="991">
        <v>219</v>
      </c>
      <c r="V136" s="991">
        <v>243</v>
      </c>
      <c r="W136" s="992">
        <f t="shared" si="47"/>
        <v>462</v>
      </c>
      <c r="X136" s="993">
        <f t="shared" si="48"/>
        <v>3.274273564847626</v>
      </c>
      <c r="Y136" s="990">
        <v>1661</v>
      </c>
      <c r="Z136" s="991">
        <v>1449</v>
      </c>
      <c r="AA136" s="991">
        <v>594</v>
      </c>
      <c r="AB136" s="992">
        <f t="shared" si="49"/>
        <v>3704</v>
      </c>
      <c r="AC136" s="993">
        <f t="shared" si="50"/>
        <v>26.250885896527286</v>
      </c>
      <c r="AD136" s="994">
        <f t="shared" si="51"/>
        <v>4166</v>
      </c>
      <c r="AE136" s="995">
        <f t="shared" si="52"/>
        <v>29.525159461374912</v>
      </c>
      <c r="AF136" s="996">
        <v>80</v>
      </c>
      <c r="AG136" s="997">
        <v>64</v>
      </c>
      <c r="AH136" s="997">
        <v>16</v>
      </c>
      <c r="AI136" s="998">
        <f t="shared" si="53"/>
        <v>160</v>
      </c>
      <c r="AJ136" s="993">
        <f t="shared" si="54"/>
        <v>1.1339475549255846</v>
      </c>
    </row>
    <row r="137" spans="1:36" ht="16.5" customHeight="1">
      <c r="A137" s="999">
        <f>'09월 조업일지'!A135</f>
        <v>46270</v>
      </c>
      <c r="B137" s="1099">
        <f>'09월 조업일지'!B135</f>
        <v>46270</v>
      </c>
      <c r="C137" s="1000" t="str">
        <f>'09월 화학성분'!D135</f>
        <v>B</v>
      </c>
      <c r="D137" s="1000" t="str">
        <f>'09월 화학성분'!E135</f>
        <v>B</v>
      </c>
      <c r="E137" s="1000">
        <f>'09월 화학성분'!C135</f>
        <v>85337</v>
      </c>
      <c r="F137" s="1001" t="str">
        <f t="shared" si="40"/>
        <v>A572-50-01</v>
      </c>
      <c r="G137" s="1172">
        <v>18.7</v>
      </c>
      <c r="H137" s="985">
        <v>22800</v>
      </c>
      <c r="I137" s="1173">
        <v>17.3</v>
      </c>
      <c r="J137" s="985">
        <v>20300</v>
      </c>
      <c r="K137" s="1173">
        <v>12</v>
      </c>
      <c r="L137" s="985">
        <v>14200</v>
      </c>
      <c r="M137" s="1174">
        <f t="shared" si="41"/>
        <v>48</v>
      </c>
      <c r="N137" s="984">
        <f t="shared" si="42"/>
        <v>57300</v>
      </c>
      <c r="O137" s="986">
        <f t="shared" si="43"/>
        <v>159.32914046121593</v>
      </c>
      <c r="P137" s="987">
        <f t="shared" si="44"/>
        <v>141.85883997204752</v>
      </c>
      <c r="Q137" s="987">
        <f t="shared" si="45"/>
        <v>99.231306778476593</v>
      </c>
      <c r="R137" s="988">
        <f t="shared" si="46"/>
        <v>400.41928721174003</v>
      </c>
      <c r="S137" s="989">
        <v>143.1</v>
      </c>
      <c r="T137" s="990">
        <v>0</v>
      </c>
      <c r="U137" s="991">
        <v>0</v>
      </c>
      <c r="V137" s="991">
        <v>285</v>
      </c>
      <c r="W137" s="992">
        <f t="shared" si="47"/>
        <v>285</v>
      </c>
      <c r="X137" s="993">
        <f t="shared" si="48"/>
        <v>1.9916142557651992</v>
      </c>
      <c r="Y137" s="990">
        <v>1565</v>
      </c>
      <c r="Z137" s="991">
        <v>1392</v>
      </c>
      <c r="AA137" s="991">
        <v>1126</v>
      </c>
      <c r="AB137" s="992">
        <f t="shared" si="49"/>
        <v>4083</v>
      </c>
      <c r="AC137" s="993">
        <f t="shared" si="50"/>
        <v>28.532494758909856</v>
      </c>
      <c r="AD137" s="994">
        <f t="shared" si="51"/>
        <v>4368</v>
      </c>
      <c r="AE137" s="995">
        <f t="shared" si="52"/>
        <v>30.524109014675055</v>
      </c>
      <c r="AF137" s="996">
        <v>79</v>
      </c>
      <c r="AG137" s="997">
        <v>67</v>
      </c>
      <c r="AH137" s="997">
        <v>34</v>
      </c>
      <c r="AI137" s="998">
        <f t="shared" si="53"/>
        <v>180</v>
      </c>
      <c r="AJ137" s="993">
        <f t="shared" si="54"/>
        <v>1.2578616352201257</v>
      </c>
    </row>
    <row r="138" spans="1:36" ht="16.5" customHeight="1">
      <c r="A138" s="999">
        <f>'09월 조업일지'!A136</f>
        <v>46270</v>
      </c>
      <c r="B138" s="1099">
        <f>'09월 조업일지'!B136</f>
        <v>46270</v>
      </c>
      <c r="C138" s="1000" t="str">
        <f>'09월 화학성분'!D136</f>
        <v>C</v>
      </c>
      <c r="D138" s="1000" t="str">
        <f>'09월 화학성분'!E136</f>
        <v>A</v>
      </c>
      <c r="E138" s="1000">
        <f>'09월 화학성분'!C136</f>
        <v>85338</v>
      </c>
      <c r="F138" s="1001" t="str">
        <f t="shared" si="40"/>
        <v>A572-50-01</v>
      </c>
      <c r="G138" s="1172">
        <v>18.2</v>
      </c>
      <c r="H138" s="985">
        <v>23000</v>
      </c>
      <c r="I138" s="1173">
        <v>17.100000000000001</v>
      </c>
      <c r="J138" s="985">
        <v>21100</v>
      </c>
      <c r="K138" s="1173">
        <v>9.9</v>
      </c>
      <c r="L138" s="985">
        <v>11700</v>
      </c>
      <c r="M138" s="1174">
        <f t="shared" si="41"/>
        <v>45.199999999999996</v>
      </c>
      <c r="N138" s="984">
        <f t="shared" si="42"/>
        <v>55800</v>
      </c>
      <c r="O138" s="986">
        <f t="shared" si="43"/>
        <v>161.17729502452698</v>
      </c>
      <c r="P138" s="987">
        <f t="shared" si="44"/>
        <v>147.8626489138052</v>
      </c>
      <c r="Q138" s="987">
        <f t="shared" si="45"/>
        <v>81.990189208128953</v>
      </c>
      <c r="R138" s="988">
        <f t="shared" si="46"/>
        <v>391.03013314646114</v>
      </c>
      <c r="S138" s="989">
        <v>142.69999999999999</v>
      </c>
      <c r="T138" s="990">
        <v>0</v>
      </c>
      <c r="U138" s="991">
        <v>116</v>
      </c>
      <c r="V138" s="991">
        <v>232</v>
      </c>
      <c r="W138" s="992">
        <f t="shared" si="47"/>
        <v>348</v>
      </c>
      <c r="X138" s="993">
        <f t="shared" si="48"/>
        <v>2.4386825508058867</v>
      </c>
      <c r="Y138" s="990">
        <v>1527</v>
      </c>
      <c r="Z138" s="991">
        <v>1429</v>
      </c>
      <c r="AA138" s="991">
        <v>851</v>
      </c>
      <c r="AB138" s="992">
        <f t="shared" si="49"/>
        <v>3807</v>
      </c>
      <c r="AC138" s="993">
        <f t="shared" si="50"/>
        <v>26.678346180798879</v>
      </c>
      <c r="AD138" s="994">
        <f t="shared" si="51"/>
        <v>4155</v>
      </c>
      <c r="AE138" s="995">
        <f t="shared" si="52"/>
        <v>29.117028731604769</v>
      </c>
      <c r="AF138" s="996">
        <v>76</v>
      </c>
      <c r="AG138" s="997">
        <v>62</v>
      </c>
      <c r="AH138" s="997">
        <v>7</v>
      </c>
      <c r="AI138" s="998">
        <f t="shared" si="53"/>
        <v>145</v>
      </c>
      <c r="AJ138" s="993">
        <f t="shared" si="54"/>
        <v>1.0161177295024528</v>
      </c>
    </row>
    <row r="139" spans="1:36" ht="16.5" customHeight="1">
      <c r="A139" s="999">
        <f>'09월 조업일지'!A137</f>
        <v>46270</v>
      </c>
      <c r="B139" s="1099">
        <f>'09월 조업일지'!B137</f>
        <v>46270</v>
      </c>
      <c r="C139" s="1000" t="str">
        <f>'09월 화학성분'!D137</f>
        <v>C</v>
      </c>
      <c r="D139" s="1000" t="str">
        <f>'09월 화학성분'!E137</f>
        <v>B</v>
      </c>
      <c r="E139" s="1000">
        <f>'09월 화학성분'!C137</f>
        <v>85339</v>
      </c>
      <c r="F139" s="1001" t="str">
        <f t="shared" si="40"/>
        <v>A572-50-01</v>
      </c>
      <c r="G139" s="1172">
        <v>18.600000000000001</v>
      </c>
      <c r="H139" s="985">
        <v>22900</v>
      </c>
      <c r="I139" s="1173">
        <v>16</v>
      </c>
      <c r="J139" s="985">
        <v>20200</v>
      </c>
      <c r="K139" s="1173">
        <v>10.8</v>
      </c>
      <c r="L139" s="985">
        <v>13100</v>
      </c>
      <c r="M139" s="1174">
        <f t="shared" si="41"/>
        <v>45.400000000000006</v>
      </c>
      <c r="N139" s="984">
        <f t="shared" si="42"/>
        <v>56200</v>
      </c>
      <c r="O139" s="986">
        <f t="shared" si="43"/>
        <v>159.24895688456189</v>
      </c>
      <c r="P139" s="987">
        <f t="shared" si="44"/>
        <v>140.47287899860916</v>
      </c>
      <c r="Q139" s="987">
        <f t="shared" si="45"/>
        <v>91.098748261474256</v>
      </c>
      <c r="R139" s="988">
        <f t="shared" si="46"/>
        <v>390.8205841446453</v>
      </c>
      <c r="S139" s="989">
        <v>143.80000000000001</v>
      </c>
      <c r="T139" s="990">
        <v>0</v>
      </c>
      <c r="U139" s="991">
        <v>0</v>
      </c>
      <c r="V139" s="991">
        <v>317</v>
      </c>
      <c r="W139" s="992">
        <f t="shared" si="47"/>
        <v>317</v>
      </c>
      <c r="X139" s="993">
        <f t="shared" si="48"/>
        <v>2.2044506258692627</v>
      </c>
      <c r="Y139" s="990">
        <v>1588</v>
      </c>
      <c r="Z139" s="991">
        <v>1326</v>
      </c>
      <c r="AA139" s="991">
        <v>1141</v>
      </c>
      <c r="AB139" s="992">
        <f t="shared" si="49"/>
        <v>4055</v>
      </c>
      <c r="AC139" s="993">
        <f t="shared" si="50"/>
        <v>28.198887343532682</v>
      </c>
      <c r="AD139" s="994">
        <f t="shared" si="51"/>
        <v>4372</v>
      </c>
      <c r="AE139" s="995">
        <f t="shared" si="52"/>
        <v>30.403337969401946</v>
      </c>
      <c r="AF139" s="996">
        <v>77</v>
      </c>
      <c r="AG139" s="997">
        <v>65</v>
      </c>
      <c r="AH139" s="997">
        <v>35</v>
      </c>
      <c r="AI139" s="998">
        <f t="shared" si="53"/>
        <v>177</v>
      </c>
      <c r="AJ139" s="993">
        <f t="shared" si="54"/>
        <v>1.230876216968011</v>
      </c>
    </row>
    <row r="140" spans="1:36" ht="16.5" customHeight="1">
      <c r="A140" s="999">
        <f>'09월 조업일지'!A138</f>
        <v>46270</v>
      </c>
      <c r="B140" s="1099">
        <f>'09월 조업일지'!B138</f>
        <v>46270</v>
      </c>
      <c r="C140" s="1000" t="str">
        <f>'09월 화학성분'!D138</f>
        <v>C</v>
      </c>
      <c r="D140" s="1000" t="str">
        <f>'09월 화학성분'!E138</f>
        <v>A</v>
      </c>
      <c r="E140" s="1000">
        <f>'09월 화학성분'!C138</f>
        <v>85340</v>
      </c>
      <c r="F140" s="1001" t="str">
        <f t="shared" si="40"/>
        <v>A572-50-01</v>
      </c>
      <c r="G140" s="1172">
        <v>19.7</v>
      </c>
      <c r="H140" s="985">
        <v>24200</v>
      </c>
      <c r="I140" s="1173">
        <v>18.2</v>
      </c>
      <c r="J140" s="985">
        <v>21500</v>
      </c>
      <c r="K140" s="1173">
        <v>8.1</v>
      </c>
      <c r="L140" s="985">
        <v>10200</v>
      </c>
      <c r="M140" s="1174">
        <f t="shared" si="41"/>
        <v>46</v>
      </c>
      <c r="N140" s="984">
        <f t="shared" si="42"/>
        <v>55900</v>
      </c>
      <c r="O140" s="986">
        <f t="shared" si="43"/>
        <v>166.55196145905023</v>
      </c>
      <c r="P140" s="987">
        <f t="shared" si="44"/>
        <v>147.96971782518926</v>
      </c>
      <c r="Q140" s="987">
        <f t="shared" si="45"/>
        <v>70.199587061252572</v>
      </c>
      <c r="R140" s="988">
        <f t="shared" si="46"/>
        <v>384.72126634549204</v>
      </c>
      <c r="S140" s="989">
        <v>145.30000000000001</v>
      </c>
      <c r="T140" s="990">
        <v>0</v>
      </c>
      <c r="U140" s="991">
        <v>76</v>
      </c>
      <c r="V140" s="991">
        <v>340</v>
      </c>
      <c r="W140" s="992">
        <f t="shared" si="47"/>
        <v>416</v>
      </c>
      <c r="X140" s="993">
        <f t="shared" si="48"/>
        <v>2.8630419821059876</v>
      </c>
      <c r="Y140" s="990">
        <v>1620</v>
      </c>
      <c r="Z140" s="991">
        <v>1500</v>
      </c>
      <c r="AA140" s="991">
        <v>648</v>
      </c>
      <c r="AB140" s="992">
        <f t="shared" si="49"/>
        <v>3768</v>
      </c>
      <c r="AC140" s="993">
        <f t="shared" si="50"/>
        <v>25.93255333792154</v>
      </c>
      <c r="AD140" s="994">
        <f t="shared" si="51"/>
        <v>4184</v>
      </c>
      <c r="AE140" s="995">
        <f t="shared" si="52"/>
        <v>28.795595320027527</v>
      </c>
      <c r="AF140" s="996">
        <v>78</v>
      </c>
      <c r="AG140" s="997">
        <v>64</v>
      </c>
      <c r="AH140" s="997">
        <v>5</v>
      </c>
      <c r="AI140" s="998">
        <f t="shared" si="53"/>
        <v>147</v>
      </c>
      <c r="AJ140" s="993">
        <f t="shared" si="54"/>
        <v>1.0116999311768753</v>
      </c>
    </row>
    <row r="141" spans="1:36" ht="16.5" customHeight="1">
      <c r="A141" s="999">
        <f>'09월 조업일지'!A139</f>
        <v>46270</v>
      </c>
      <c r="B141" s="1099">
        <f>'09월 조업일지'!B139</f>
        <v>46270</v>
      </c>
      <c r="C141" s="1000" t="str">
        <f>'09월 화학성분'!D139</f>
        <v>C</v>
      </c>
      <c r="D141" s="1000" t="str">
        <f>'09월 화학성분'!E139</f>
        <v>B</v>
      </c>
      <c r="E141" s="1000">
        <f>'09월 화학성분'!C139</f>
        <v>85341</v>
      </c>
      <c r="F141" s="1001" t="str">
        <f t="shared" si="40"/>
        <v>A572-50-01</v>
      </c>
      <c r="G141" s="1172">
        <v>19.100000000000001</v>
      </c>
      <c r="H141" s="985">
        <v>22900</v>
      </c>
      <c r="I141" s="1173">
        <v>16.3</v>
      </c>
      <c r="J141" s="985">
        <v>20200</v>
      </c>
      <c r="K141" s="1173">
        <v>10.4</v>
      </c>
      <c r="L141" s="985">
        <v>13500</v>
      </c>
      <c r="M141" s="1174">
        <f t="shared" si="41"/>
        <v>45.800000000000004</v>
      </c>
      <c r="N141" s="984">
        <f t="shared" si="42"/>
        <v>56600</v>
      </c>
      <c r="O141" s="986">
        <f t="shared" si="43"/>
        <v>157.2802197802198</v>
      </c>
      <c r="P141" s="987">
        <f t="shared" si="44"/>
        <v>138.73626373626374</v>
      </c>
      <c r="Q141" s="987">
        <f t="shared" si="45"/>
        <v>92.719780219780219</v>
      </c>
      <c r="R141" s="988">
        <f t="shared" si="46"/>
        <v>388.73626373626371</v>
      </c>
      <c r="S141" s="989">
        <v>145.6</v>
      </c>
      <c r="T141" s="990">
        <v>0</v>
      </c>
      <c r="U141" s="991">
        <v>17</v>
      </c>
      <c r="V141" s="991">
        <v>303</v>
      </c>
      <c r="W141" s="992">
        <f t="shared" si="47"/>
        <v>320</v>
      </c>
      <c r="X141" s="993">
        <f t="shared" si="48"/>
        <v>2.197802197802198</v>
      </c>
      <c r="Y141" s="990">
        <v>1593</v>
      </c>
      <c r="Z141" s="991">
        <v>1322</v>
      </c>
      <c r="AA141" s="991">
        <v>933</v>
      </c>
      <c r="AB141" s="992">
        <f t="shared" si="49"/>
        <v>3848</v>
      </c>
      <c r="AC141" s="993">
        <f t="shared" si="50"/>
        <v>26.428571428571431</v>
      </c>
      <c r="AD141" s="994">
        <f t="shared" si="51"/>
        <v>4168</v>
      </c>
      <c r="AE141" s="995">
        <f t="shared" si="52"/>
        <v>28.626373626373628</v>
      </c>
      <c r="AF141" s="996">
        <v>78</v>
      </c>
      <c r="AG141" s="997">
        <v>63</v>
      </c>
      <c r="AH141" s="997">
        <v>28</v>
      </c>
      <c r="AI141" s="998">
        <f t="shared" si="53"/>
        <v>169</v>
      </c>
      <c r="AJ141" s="993">
        <f t="shared" si="54"/>
        <v>1.1607142857142858</v>
      </c>
    </row>
    <row r="142" spans="1:36" ht="16.5" customHeight="1">
      <c r="A142" s="999">
        <f>'09월 조업일지'!A140</f>
        <v>46270</v>
      </c>
      <c r="B142" s="1099">
        <f>'09월 조업일지'!B140</f>
        <v>46270</v>
      </c>
      <c r="C142" s="1000" t="str">
        <f>'09월 화학성분'!D140</f>
        <v>C</v>
      </c>
      <c r="D142" s="1000" t="str">
        <f>'09월 화학성분'!E140</f>
        <v>A</v>
      </c>
      <c r="E142" s="1000">
        <f>'09월 화학성분'!C140</f>
        <v>85342</v>
      </c>
      <c r="F142" s="1104" t="s">
        <v>638</v>
      </c>
      <c r="G142" s="1172">
        <v>18.8</v>
      </c>
      <c r="H142" s="985">
        <v>23600</v>
      </c>
      <c r="I142" s="1173">
        <v>17.399999999999999</v>
      </c>
      <c r="J142" s="985">
        <v>21500</v>
      </c>
      <c r="K142" s="1173">
        <v>10.4</v>
      </c>
      <c r="L142" s="985">
        <v>13200</v>
      </c>
      <c r="M142" s="1174">
        <f t="shared" si="41"/>
        <v>46.6</v>
      </c>
      <c r="N142" s="984">
        <f t="shared" si="42"/>
        <v>58300</v>
      </c>
      <c r="O142" s="986">
        <f t="shared" si="43"/>
        <v>164.34540389972145</v>
      </c>
      <c r="P142" s="987">
        <f t="shared" si="44"/>
        <v>149.72144846796658</v>
      </c>
      <c r="Q142" s="987">
        <f t="shared" si="45"/>
        <v>91.922005571030638</v>
      </c>
      <c r="R142" s="988">
        <f t="shared" si="46"/>
        <v>405.9888579387187</v>
      </c>
      <c r="S142" s="989">
        <v>143.6</v>
      </c>
      <c r="T142" s="990">
        <v>0</v>
      </c>
      <c r="U142" s="991">
        <v>181</v>
      </c>
      <c r="V142" s="991">
        <v>290</v>
      </c>
      <c r="W142" s="992">
        <f t="shared" si="47"/>
        <v>471</v>
      </c>
      <c r="X142" s="993">
        <f t="shared" si="48"/>
        <v>3.2799442896935935</v>
      </c>
      <c r="Y142" s="990">
        <v>1576</v>
      </c>
      <c r="Z142" s="991">
        <v>1468</v>
      </c>
      <c r="AA142" s="991">
        <v>708</v>
      </c>
      <c r="AB142" s="992">
        <f t="shared" si="49"/>
        <v>3752</v>
      </c>
      <c r="AC142" s="993">
        <f t="shared" si="50"/>
        <v>26.128133704735376</v>
      </c>
      <c r="AD142" s="994">
        <f t="shared" si="51"/>
        <v>4223</v>
      </c>
      <c r="AE142" s="995">
        <f t="shared" si="52"/>
        <v>29.408077994428972</v>
      </c>
      <c r="AF142" s="996">
        <v>74</v>
      </c>
      <c r="AG142" s="997">
        <v>64</v>
      </c>
      <c r="AH142" s="997">
        <v>6</v>
      </c>
      <c r="AI142" s="998">
        <f t="shared" si="53"/>
        <v>144</v>
      </c>
      <c r="AJ142" s="993">
        <f t="shared" si="54"/>
        <v>1.0027855153203342</v>
      </c>
    </row>
    <row r="143" spans="1:36" ht="16.5" customHeight="1">
      <c r="A143" s="999">
        <f>'09월 조업일지'!A141</f>
        <v>46270</v>
      </c>
      <c r="B143" s="1099">
        <f>'09월 조업일지'!B141</f>
        <v>46270</v>
      </c>
      <c r="C143" s="1000" t="str">
        <f>'09월 화학성분'!D141</f>
        <v>C</v>
      </c>
      <c r="D143" s="1000" t="str">
        <f>'09월 화학성분'!E141</f>
        <v>B</v>
      </c>
      <c r="E143" s="1000">
        <f>'09월 화학성분'!C141</f>
        <v>85343</v>
      </c>
      <c r="F143" s="1104" t="s">
        <v>640</v>
      </c>
      <c r="G143" s="1172">
        <v>18.2</v>
      </c>
      <c r="H143" s="985">
        <v>22900</v>
      </c>
      <c r="I143" s="1173">
        <v>16.399999999999999</v>
      </c>
      <c r="J143" s="985">
        <v>20400</v>
      </c>
      <c r="K143" s="1173">
        <v>16.600000000000001</v>
      </c>
      <c r="L143" s="985">
        <v>19600</v>
      </c>
      <c r="M143" s="1174">
        <f t="shared" si="41"/>
        <v>51.199999999999996</v>
      </c>
      <c r="N143" s="984">
        <f t="shared" si="42"/>
        <v>62900</v>
      </c>
      <c r="O143" s="986">
        <f t="shared" si="43"/>
        <v>158.91741845940319</v>
      </c>
      <c r="P143" s="987">
        <f t="shared" si="44"/>
        <v>141.56835530881332</v>
      </c>
      <c r="Q143" s="987">
        <f t="shared" si="45"/>
        <v>136.01665510062458</v>
      </c>
      <c r="R143" s="988">
        <f t="shared" si="46"/>
        <v>436.50242886884109</v>
      </c>
      <c r="S143" s="989">
        <v>144.1</v>
      </c>
      <c r="T143" s="990">
        <v>0</v>
      </c>
      <c r="U143" s="991">
        <v>66</v>
      </c>
      <c r="V143" s="991">
        <v>300</v>
      </c>
      <c r="W143" s="992">
        <f t="shared" si="47"/>
        <v>366</v>
      </c>
      <c r="X143" s="993">
        <f t="shared" si="48"/>
        <v>2.539902845246357</v>
      </c>
      <c r="Y143" s="990">
        <v>1513</v>
      </c>
      <c r="Z143" s="991">
        <v>1360</v>
      </c>
      <c r="AA143" s="991">
        <v>1523</v>
      </c>
      <c r="AB143" s="992">
        <f t="shared" si="49"/>
        <v>4396</v>
      </c>
      <c r="AC143" s="993">
        <f t="shared" si="50"/>
        <v>30.506592643997227</v>
      </c>
      <c r="AD143" s="994">
        <f t="shared" si="51"/>
        <v>4762</v>
      </c>
      <c r="AE143" s="995">
        <f t="shared" si="52"/>
        <v>33.046495489243583</v>
      </c>
      <c r="AF143" s="996">
        <v>76</v>
      </c>
      <c r="AG143" s="997">
        <v>65</v>
      </c>
      <c r="AH143" s="997">
        <v>49</v>
      </c>
      <c r="AI143" s="998">
        <f t="shared" si="53"/>
        <v>190</v>
      </c>
      <c r="AJ143" s="993">
        <f t="shared" si="54"/>
        <v>1.31852879944483</v>
      </c>
    </row>
    <row r="144" spans="1:36" ht="16.5" customHeight="1">
      <c r="A144" s="999">
        <f>'09월 조업일지'!A142</f>
        <v>46270</v>
      </c>
      <c r="B144" s="1099">
        <f>'09월 조업일지'!B142</f>
        <v>46270</v>
      </c>
      <c r="C144" s="1000" t="str">
        <f>'09월 화학성분'!D142</f>
        <v>C</v>
      </c>
      <c r="D144" s="1000" t="str">
        <f>'09월 화학성분'!E142</f>
        <v>A</v>
      </c>
      <c r="E144" s="1000">
        <f>'09월 화학성분'!C142</f>
        <v>85344</v>
      </c>
      <c r="F144" s="1001" t="str">
        <f t="shared" ref="F144:F207" si="55">IF(G144="","",F143)</f>
        <v>SHN275(BB)</v>
      </c>
      <c r="G144" s="1172">
        <v>19.899999999999999</v>
      </c>
      <c r="H144" s="985">
        <v>24300</v>
      </c>
      <c r="I144" s="1173">
        <v>17.399999999999999</v>
      </c>
      <c r="J144" s="985">
        <v>21600</v>
      </c>
      <c r="K144" s="1173">
        <v>6.7</v>
      </c>
      <c r="L144" s="985">
        <v>8500</v>
      </c>
      <c r="M144" s="1174">
        <f t="shared" ref="M144:M207" si="56">IF(ISBLANK(G144),"",SUM(G144,I144,K144))</f>
        <v>44</v>
      </c>
      <c r="N144" s="984">
        <f t="shared" ref="N144:N207" si="57">IF(ISBLANK(H144),"",SUM(H144,J144,L144))</f>
        <v>54400</v>
      </c>
      <c r="O144" s="986">
        <f t="shared" ref="O144:O207" si="58">IF(ISBLANK(H144),"",H144/S144)</f>
        <v>169.811320754717</v>
      </c>
      <c r="P144" s="987">
        <f t="shared" ref="P144:P207" si="59">IF(ISBLANK(J144),"",+J144/S144)</f>
        <v>150.9433962264151</v>
      </c>
      <c r="Q144" s="987">
        <f t="shared" ref="Q144:Q207" si="60">IF(ISBLANK(L144),"",L144/S144)</f>
        <v>59.399021663172611</v>
      </c>
      <c r="R144" s="988">
        <f t="shared" ref="R144:R207" si="61">IF(ISBLANK(L144),"",SUM(O144:Q144))</f>
        <v>380.15373864430472</v>
      </c>
      <c r="S144" s="989">
        <v>143.1</v>
      </c>
      <c r="T144" s="990">
        <v>0</v>
      </c>
      <c r="U144" s="991">
        <v>204</v>
      </c>
      <c r="V144" s="991">
        <v>126</v>
      </c>
      <c r="W144" s="992">
        <f t="shared" ref="W144:W207" si="62">IF(SUM(T144:V144)=0,"",SUM(T144:V144))</f>
        <v>330</v>
      </c>
      <c r="X144" s="993">
        <f t="shared" ref="X144:X207" si="63">IF(W144="","",W144/S144)</f>
        <v>2.3060796645702308</v>
      </c>
      <c r="Y144" s="990">
        <v>1640</v>
      </c>
      <c r="Z144" s="991">
        <v>1459</v>
      </c>
      <c r="AA144" s="991">
        <v>416</v>
      </c>
      <c r="AB144" s="992">
        <f t="shared" ref="AB144:AB207" si="64">IF(SUM(Y144:AA144)=0,"",SUM(Y144:AA144))</f>
        <v>3515</v>
      </c>
      <c r="AC144" s="993">
        <f t="shared" ref="AC144:AC207" si="65">IF(AB144="","",AB144/S144)</f>
        <v>24.56324248777079</v>
      </c>
      <c r="AD144" s="994">
        <f t="shared" ref="AD144:AD207" si="66">IF(SUM(W144,AB144)=0,"",SUM(W144,AB144))</f>
        <v>3845</v>
      </c>
      <c r="AE144" s="995">
        <f t="shared" ref="AE144:AE207" si="67">IF(AD144="","",AD144/S144)</f>
        <v>26.86932215234102</v>
      </c>
      <c r="AF144" s="996">
        <v>79</v>
      </c>
      <c r="AG144" s="997">
        <v>63</v>
      </c>
      <c r="AH144" s="997">
        <v>3</v>
      </c>
      <c r="AI144" s="998">
        <f t="shared" ref="AI144:AI207" si="68">IF(SUM(AF144:AH144)=0,"",SUM(AF144:AH144))</f>
        <v>145</v>
      </c>
      <c r="AJ144" s="993">
        <f t="shared" ref="AJ144:AJ207" si="69">IF(AI144="","",AI144/S144)</f>
        <v>1.013277428371768</v>
      </c>
    </row>
    <row r="145" spans="1:36" ht="16.5" customHeight="1">
      <c r="A145" s="999">
        <f>'09월 조업일지'!A143</f>
        <v>46270</v>
      </c>
      <c r="B145" s="1099">
        <f>'09월 조업일지'!B143</f>
        <v>46270</v>
      </c>
      <c r="C145" s="1000" t="str">
        <f>'09월 화학성분'!D143</f>
        <v>C</v>
      </c>
      <c r="D145" s="1000" t="str">
        <f>'09월 화학성분'!E143</f>
        <v>B</v>
      </c>
      <c r="E145" s="1000">
        <f>'09월 화학성분'!C143</f>
        <v>85345</v>
      </c>
      <c r="F145" s="1001" t="str">
        <f t="shared" si="55"/>
        <v>SHN275(BB)</v>
      </c>
      <c r="G145" s="1172">
        <v>20.3</v>
      </c>
      <c r="H145" s="985">
        <v>23900</v>
      </c>
      <c r="I145" s="1173">
        <v>16.899999999999999</v>
      </c>
      <c r="J145" s="985">
        <v>20600</v>
      </c>
      <c r="K145" s="1173">
        <v>9.6</v>
      </c>
      <c r="L145" s="985">
        <v>12100</v>
      </c>
      <c r="M145" s="1174">
        <f t="shared" si="56"/>
        <v>46.800000000000004</v>
      </c>
      <c r="N145" s="984">
        <f t="shared" si="57"/>
        <v>56600</v>
      </c>
      <c r="O145" s="986">
        <f t="shared" si="58"/>
        <v>164.48726772195457</v>
      </c>
      <c r="P145" s="987">
        <f t="shared" si="59"/>
        <v>141.77563661390226</v>
      </c>
      <c r="Q145" s="987">
        <f t="shared" si="60"/>
        <v>83.275980729525116</v>
      </c>
      <c r="R145" s="988">
        <f t="shared" si="61"/>
        <v>389.53888506538192</v>
      </c>
      <c r="S145" s="989">
        <v>145.30000000000001</v>
      </c>
      <c r="T145" s="990">
        <v>0</v>
      </c>
      <c r="U145" s="991">
        <v>87</v>
      </c>
      <c r="V145" s="991">
        <v>261</v>
      </c>
      <c r="W145" s="992">
        <f t="shared" si="62"/>
        <v>348</v>
      </c>
      <c r="X145" s="993">
        <f t="shared" si="63"/>
        <v>2.3950447350309703</v>
      </c>
      <c r="Y145" s="990">
        <v>1730</v>
      </c>
      <c r="Z145" s="991">
        <v>1392</v>
      </c>
      <c r="AA145" s="991">
        <v>835</v>
      </c>
      <c r="AB145" s="992">
        <f t="shared" si="64"/>
        <v>3957</v>
      </c>
      <c r="AC145" s="993">
        <f t="shared" si="65"/>
        <v>27.233310392291809</v>
      </c>
      <c r="AD145" s="994">
        <f t="shared" si="66"/>
        <v>4305</v>
      </c>
      <c r="AE145" s="995">
        <f t="shared" si="67"/>
        <v>29.628355127322777</v>
      </c>
      <c r="AF145" s="996">
        <v>84</v>
      </c>
      <c r="AG145" s="997">
        <v>66</v>
      </c>
      <c r="AH145" s="997">
        <v>22</v>
      </c>
      <c r="AI145" s="998">
        <f t="shared" si="68"/>
        <v>172</v>
      </c>
      <c r="AJ145" s="993">
        <f t="shared" si="69"/>
        <v>1.183757742601514</v>
      </c>
    </row>
    <row r="146" spans="1:36" ht="16.5" customHeight="1">
      <c r="A146" s="999">
        <f>'09월 조업일지'!A144</f>
        <v>46270</v>
      </c>
      <c r="B146" s="1099">
        <f>'09월 조업일지'!B144</f>
        <v>46270</v>
      </c>
      <c r="C146" s="1000" t="str">
        <f>'09월 화학성분'!D144</f>
        <v>C</v>
      </c>
      <c r="D146" s="1000" t="str">
        <f>'09월 화학성분'!E144</f>
        <v>A</v>
      </c>
      <c r="E146" s="1000">
        <f>'09월 화학성분'!C144</f>
        <v>85346</v>
      </c>
      <c r="F146" s="1001" t="str">
        <f t="shared" si="55"/>
        <v>SHN275(BB)</v>
      </c>
      <c r="G146" s="1172">
        <v>19.3</v>
      </c>
      <c r="H146" s="985">
        <v>23800</v>
      </c>
      <c r="I146" s="1173">
        <v>17.399999999999999</v>
      </c>
      <c r="J146" s="985">
        <v>21400</v>
      </c>
      <c r="K146" s="1173">
        <v>9</v>
      </c>
      <c r="L146" s="985">
        <v>11500</v>
      </c>
      <c r="M146" s="1174">
        <f t="shared" si="56"/>
        <v>45.7</v>
      </c>
      <c r="N146" s="984">
        <f t="shared" si="57"/>
        <v>56700</v>
      </c>
      <c r="O146" s="986">
        <f t="shared" si="58"/>
        <v>165.96931659693166</v>
      </c>
      <c r="P146" s="987">
        <f t="shared" si="59"/>
        <v>149.23291492329147</v>
      </c>
      <c r="Q146" s="987">
        <f t="shared" si="60"/>
        <v>80.195258019525795</v>
      </c>
      <c r="R146" s="988">
        <f t="shared" si="61"/>
        <v>395.3974895397489</v>
      </c>
      <c r="S146" s="989">
        <v>143.4</v>
      </c>
      <c r="T146" s="990">
        <v>0</v>
      </c>
      <c r="U146" s="991">
        <v>178</v>
      </c>
      <c r="V146" s="991">
        <v>182</v>
      </c>
      <c r="W146" s="992">
        <f t="shared" si="62"/>
        <v>360</v>
      </c>
      <c r="X146" s="993">
        <f t="shared" si="63"/>
        <v>2.510460251046025</v>
      </c>
      <c r="Y146" s="990">
        <v>1619</v>
      </c>
      <c r="Z146" s="991">
        <v>1454</v>
      </c>
      <c r="AA146" s="991">
        <v>498</v>
      </c>
      <c r="AB146" s="992">
        <f t="shared" si="64"/>
        <v>3571</v>
      </c>
      <c r="AC146" s="993">
        <f t="shared" si="65"/>
        <v>24.902370990237099</v>
      </c>
      <c r="AD146" s="994">
        <f t="shared" si="66"/>
        <v>3931</v>
      </c>
      <c r="AE146" s="995">
        <f t="shared" si="67"/>
        <v>27.412831241283122</v>
      </c>
      <c r="AF146" s="996">
        <v>78</v>
      </c>
      <c r="AG146" s="997">
        <v>64</v>
      </c>
      <c r="AH146" s="997">
        <v>3</v>
      </c>
      <c r="AI146" s="998">
        <f t="shared" si="68"/>
        <v>145</v>
      </c>
      <c r="AJ146" s="993">
        <f t="shared" si="69"/>
        <v>1.0111576011157601</v>
      </c>
    </row>
    <row r="147" spans="1:36" ht="16.5" customHeight="1">
      <c r="A147" s="999">
        <f>'09월 조업일지'!A145</f>
        <v>46270</v>
      </c>
      <c r="B147" s="1099">
        <f>'09월 조업일지'!B145</f>
        <v>46270</v>
      </c>
      <c r="C147" s="1000" t="str">
        <f>'09월 화학성분'!D145</f>
        <v>C</v>
      </c>
      <c r="D147" s="1000" t="str">
        <f>'09월 화학성분'!E145</f>
        <v>B</v>
      </c>
      <c r="E147" s="1000">
        <f>'09월 화학성분'!C145</f>
        <v>85347</v>
      </c>
      <c r="F147" s="1001" t="str">
        <f t="shared" si="55"/>
        <v>SHN275(BB)</v>
      </c>
      <c r="G147" s="1172">
        <v>18.600000000000001</v>
      </c>
      <c r="H147" s="985">
        <v>22400</v>
      </c>
      <c r="I147" s="1173">
        <v>16.600000000000001</v>
      </c>
      <c r="J147" s="985">
        <v>20600</v>
      </c>
      <c r="K147" s="1173">
        <v>9.5</v>
      </c>
      <c r="L147" s="985">
        <v>12300</v>
      </c>
      <c r="M147" s="1174">
        <f t="shared" si="56"/>
        <v>44.7</v>
      </c>
      <c r="N147" s="984">
        <f t="shared" si="57"/>
        <v>55300</v>
      </c>
      <c r="O147" s="986">
        <f t="shared" si="58"/>
        <v>158.64022662889519</v>
      </c>
      <c r="P147" s="987">
        <f t="shared" si="59"/>
        <v>145.89235127478756</v>
      </c>
      <c r="Q147" s="987">
        <f t="shared" si="60"/>
        <v>87.110481586402273</v>
      </c>
      <c r="R147" s="988">
        <f t="shared" si="61"/>
        <v>391.64305949008502</v>
      </c>
      <c r="S147" s="989">
        <v>141.19999999999999</v>
      </c>
      <c r="T147" s="990">
        <v>0</v>
      </c>
      <c r="U147" s="991">
        <v>53</v>
      </c>
      <c r="V147" s="991">
        <v>286</v>
      </c>
      <c r="W147" s="992">
        <f t="shared" si="62"/>
        <v>339</v>
      </c>
      <c r="X147" s="993">
        <f t="shared" si="63"/>
        <v>2.4008498583569406</v>
      </c>
      <c r="Y147" s="990">
        <v>1574</v>
      </c>
      <c r="Z147" s="991">
        <v>1386</v>
      </c>
      <c r="AA147" s="991">
        <v>1056</v>
      </c>
      <c r="AB147" s="992">
        <f t="shared" si="64"/>
        <v>4016</v>
      </c>
      <c r="AC147" s="993">
        <f t="shared" si="65"/>
        <v>28.441926345609069</v>
      </c>
      <c r="AD147" s="994">
        <f t="shared" si="66"/>
        <v>4355</v>
      </c>
      <c r="AE147" s="995">
        <f t="shared" si="67"/>
        <v>30.842776203966007</v>
      </c>
      <c r="AF147" s="996">
        <v>83</v>
      </c>
      <c r="AG147" s="997">
        <v>61</v>
      </c>
      <c r="AH147" s="997">
        <v>33</v>
      </c>
      <c r="AI147" s="998">
        <f t="shared" si="68"/>
        <v>177</v>
      </c>
      <c r="AJ147" s="993">
        <f t="shared" si="69"/>
        <v>1.2535410764872523</v>
      </c>
    </row>
    <row r="148" spans="1:36" ht="16.5" customHeight="1">
      <c r="A148" s="999">
        <f>'09월 조업일지'!A146</f>
        <v>46270</v>
      </c>
      <c r="B148" s="1099">
        <f>'09월 조업일지'!B146</f>
        <v>46270</v>
      </c>
      <c r="C148" s="1000" t="str">
        <f>'09월 화학성분'!D146</f>
        <v>A</v>
      </c>
      <c r="D148" s="1000" t="str">
        <f>'09월 화학성분'!E146</f>
        <v>A</v>
      </c>
      <c r="E148" s="1000">
        <f>'09월 화학성분'!C146</f>
        <v>85348</v>
      </c>
      <c r="F148" s="1001" t="str">
        <f t="shared" si="55"/>
        <v>SHN275(BB)</v>
      </c>
      <c r="G148" s="1172">
        <v>20.3</v>
      </c>
      <c r="H148" s="985">
        <v>25800</v>
      </c>
      <c r="I148" s="1173">
        <v>17.600000000000001</v>
      </c>
      <c r="J148" s="985">
        <v>21200</v>
      </c>
      <c r="K148" s="1173">
        <v>6.3</v>
      </c>
      <c r="L148" s="985">
        <v>8100</v>
      </c>
      <c r="M148" s="1174">
        <f t="shared" si="56"/>
        <v>44.2</v>
      </c>
      <c r="N148" s="984">
        <f t="shared" si="57"/>
        <v>55100</v>
      </c>
      <c r="O148" s="986">
        <f t="shared" si="58"/>
        <v>179.29117442668519</v>
      </c>
      <c r="P148" s="987">
        <f t="shared" si="59"/>
        <v>147.32453092425294</v>
      </c>
      <c r="Q148" s="987">
        <f t="shared" si="60"/>
        <v>56.289089645587211</v>
      </c>
      <c r="R148" s="988">
        <f t="shared" si="61"/>
        <v>382.90479499652531</v>
      </c>
      <c r="S148" s="989">
        <v>143.9</v>
      </c>
      <c r="T148" s="990">
        <v>0</v>
      </c>
      <c r="U148" s="991">
        <v>308</v>
      </c>
      <c r="V148" s="991">
        <v>87</v>
      </c>
      <c r="W148" s="992">
        <f t="shared" si="62"/>
        <v>395</v>
      </c>
      <c r="X148" s="993">
        <f t="shared" si="63"/>
        <v>2.7449617790132037</v>
      </c>
      <c r="Y148" s="990">
        <v>1723</v>
      </c>
      <c r="Z148" s="991">
        <v>1453</v>
      </c>
      <c r="AA148" s="991">
        <v>288</v>
      </c>
      <c r="AB148" s="992">
        <f t="shared" si="64"/>
        <v>3464</v>
      </c>
      <c r="AC148" s="993">
        <f t="shared" si="65"/>
        <v>24.072272411396803</v>
      </c>
      <c r="AD148" s="994">
        <f t="shared" si="66"/>
        <v>3859</v>
      </c>
      <c r="AE148" s="995">
        <f t="shared" si="67"/>
        <v>26.817234190410005</v>
      </c>
      <c r="AF148" s="996">
        <v>79</v>
      </c>
      <c r="AG148" s="997">
        <v>65</v>
      </c>
      <c r="AH148" s="997">
        <v>3</v>
      </c>
      <c r="AI148" s="998">
        <f t="shared" si="68"/>
        <v>147</v>
      </c>
      <c r="AJ148" s="993">
        <f t="shared" si="69"/>
        <v>1.0215427380125086</v>
      </c>
    </row>
    <row r="149" spans="1:36" ht="16.5" customHeight="1">
      <c r="A149" s="999">
        <f>'09월 조업일지'!A147</f>
        <v>46270</v>
      </c>
      <c r="B149" s="1099">
        <f>'09월 조업일지'!B147</f>
        <v>46270</v>
      </c>
      <c r="C149" s="1000" t="str">
        <f>'09월 화학성분'!D147</f>
        <v>A</v>
      </c>
      <c r="D149" s="1000" t="str">
        <f>'09월 화학성분'!E147</f>
        <v>B</v>
      </c>
      <c r="E149" s="1000">
        <f>'09월 화학성분'!C147</f>
        <v>85349</v>
      </c>
      <c r="F149" s="1001" t="str">
        <f t="shared" si="55"/>
        <v>SHN275(BB)</v>
      </c>
      <c r="G149" s="1172">
        <v>18.399999999999999</v>
      </c>
      <c r="H149" s="985">
        <v>22800</v>
      </c>
      <c r="I149" s="1173">
        <v>16.8</v>
      </c>
      <c r="J149" s="985">
        <v>20500</v>
      </c>
      <c r="K149" s="1173">
        <v>10.6</v>
      </c>
      <c r="L149" s="985">
        <v>13600</v>
      </c>
      <c r="M149" s="1174">
        <f t="shared" si="56"/>
        <v>45.800000000000004</v>
      </c>
      <c r="N149" s="984">
        <f t="shared" si="57"/>
        <v>56900</v>
      </c>
      <c r="O149" s="986">
        <f t="shared" si="58"/>
        <v>157.34989648033127</v>
      </c>
      <c r="P149" s="987">
        <f t="shared" si="59"/>
        <v>141.47688060731539</v>
      </c>
      <c r="Q149" s="987">
        <f t="shared" si="60"/>
        <v>93.857832988267774</v>
      </c>
      <c r="R149" s="988">
        <f t="shared" si="61"/>
        <v>392.68461007591441</v>
      </c>
      <c r="S149" s="989">
        <v>144.9</v>
      </c>
      <c r="T149" s="990">
        <v>0</v>
      </c>
      <c r="U149" s="991">
        <v>119</v>
      </c>
      <c r="V149" s="991">
        <v>259</v>
      </c>
      <c r="W149" s="992">
        <f t="shared" si="62"/>
        <v>378</v>
      </c>
      <c r="X149" s="993">
        <f t="shared" si="63"/>
        <v>2.6086956521739131</v>
      </c>
      <c r="Y149" s="990">
        <v>1545</v>
      </c>
      <c r="Z149" s="991">
        <v>1388</v>
      </c>
      <c r="AA149" s="991">
        <v>806</v>
      </c>
      <c r="AB149" s="992">
        <f t="shared" si="64"/>
        <v>3739</v>
      </c>
      <c r="AC149" s="993">
        <f t="shared" si="65"/>
        <v>25.804002760524497</v>
      </c>
      <c r="AD149" s="994">
        <f t="shared" si="66"/>
        <v>4117</v>
      </c>
      <c r="AE149" s="995">
        <f t="shared" si="67"/>
        <v>28.412698412698411</v>
      </c>
      <c r="AF149" s="996">
        <v>76</v>
      </c>
      <c r="AG149" s="997">
        <v>67</v>
      </c>
      <c r="AH149" s="997">
        <v>24</v>
      </c>
      <c r="AI149" s="998">
        <f t="shared" si="68"/>
        <v>167</v>
      </c>
      <c r="AJ149" s="993">
        <f t="shared" si="69"/>
        <v>1.1525189786059351</v>
      </c>
    </row>
    <row r="150" spans="1:36" ht="16.5" customHeight="1">
      <c r="A150" s="999">
        <f>'09월 조업일지'!A148</f>
        <v>46270</v>
      </c>
      <c r="B150" s="1099">
        <f>'09월 조업일지'!B148</f>
        <v>46270</v>
      </c>
      <c r="C150" s="1000" t="str">
        <f>'09월 화학성분'!D148</f>
        <v>A</v>
      </c>
      <c r="D150" s="1000" t="str">
        <f>'09월 화학성분'!E148</f>
        <v>A</v>
      </c>
      <c r="E150" s="1000">
        <f>'09월 화학성분'!C148</f>
        <v>85350</v>
      </c>
      <c r="F150" s="1001" t="str">
        <f t="shared" si="55"/>
        <v>SHN275(BB)</v>
      </c>
      <c r="G150" s="1172">
        <v>18</v>
      </c>
      <c r="H150" s="985">
        <v>22800</v>
      </c>
      <c r="I150" s="1173">
        <v>17</v>
      </c>
      <c r="J150" s="985">
        <v>21500</v>
      </c>
      <c r="K150" s="1173">
        <v>6.4</v>
      </c>
      <c r="L150" s="985">
        <v>8200</v>
      </c>
      <c r="M150" s="1174">
        <f t="shared" si="56"/>
        <v>41.4</v>
      </c>
      <c r="N150" s="984">
        <f t="shared" si="57"/>
        <v>52500</v>
      </c>
      <c r="O150" s="986">
        <f t="shared" si="58"/>
        <v>159.77575332866155</v>
      </c>
      <c r="P150" s="987">
        <f t="shared" si="59"/>
        <v>150.6657323055361</v>
      </c>
      <c r="Q150" s="987">
        <f t="shared" si="60"/>
        <v>57.463209530483539</v>
      </c>
      <c r="R150" s="988">
        <f t="shared" si="61"/>
        <v>367.90469516468119</v>
      </c>
      <c r="S150" s="989">
        <v>142.69999999999999</v>
      </c>
      <c r="T150" s="990">
        <v>0</v>
      </c>
      <c r="U150" s="991">
        <v>174</v>
      </c>
      <c r="V150" s="991">
        <v>182</v>
      </c>
      <c r="W150" s="992">
        <f t="shared" si="62"/>
        <v>356</v>
      </c>
      <c r="X150" s="993">
        <f t="shared" si="63"/>
        <v>2.4947442186405047</v>
      </c>
      <c r="Y150" s="990">
        <v>1465</v>
      </c>
      <c r="Z150" s="991">
        <v>1427</v>
      </c>
      <c r="AA150" s="991">
        <v>498</v>
      </c>
      <c r="AB150" s="992">
        <f t="shared" si="64"/>
        <v>3390</v>
      </c>
      <c r="AC150" s="993">
        <f t="shared" si="65"/>
        <v>23.756131744919415</v>
      </c>
      <c r="AD150" s="994">
        <f t="shared" si="66"/>
        <v>3746</v>
      </c>
      <c r="AE150" s="995">
        <f t="shared" si="67"/>
        <v>26.250875963559917</v>
      </c>
      <c r="AF150" s="996">
        <v>74</v>
      </c>
      <c r="AG150" s="997">
        <v>61</v>
      </c>
      <c r="AH150" s="997">
        <v>4</v>
      </c>
      <c r="AI150" s="998">
        <f t="shared" si="68"/>
        <v>139</v>
      </c>
      <c r="AJ150" s="993">
        <f t="shared" si="69"/>
        <v>0.97407147862648924</v>
      </c>
    </row>
    <row r="151" spans="1:36" ht="16.5" customHeight="1">
      <c r="A151" s="999">
        <f>'09월 조업일지'!A149</f>
        <v>46270</v>
      </c>
      <c r="B151" s="1099">
        <f>'09월 조업일지'!B149</f>
        <v>46270</v>
      </c>
      <c r="C151" s="1000" t="str">
        <f>'09월 화학성분'!D149</f>
        <v>A</v>
      </c>
      <c r="D151" s="1000" t="str">
        <f>'09월 화학성분'!E149</f>
        <v>B</v>
      </c>
      <c r="E151" s="1000">
        <f>'09월 화학성분'!C149</f>
        <v>85351</v>
      </c>
      <c r="F151" s="1001" t="str">
        <f t="shared" si="55"/>
        <v>SHN275(BB)</v>
      </c>
      <c r="G151" s="1172">
        <v>18.8</v>
      </c>
      <c r="H151" s="985">
        <v>23200</v>
      </c>
      <c r="I151" s="1173">
        <v>16.3</v>
      </c>
      <c r="J151" s="985">
        <v>20500</v>
      </c>
      <c r="K151" s="1173">
        <v>9.6999999999999993</v>
      </c>
      <c r="L151" s="985">
        <v>12600</v>
      </c>
      <c r="M151" s="1174">
        <f t="shared" si="56"/>
        <v>44.8</v>
      </c>
      <c r="N151" s="984">
        <f t="shared" si="57"/>
        <v>56300</v>
      </c>
      <c r="O151" s="986">
        <f t="shared" si="58"/>
        <v>159.66964900206469</v>
      </c>
      <c r="P151" s="987">
        <f t="shared" si="59"/>
        <v>141.08740536820372</v>
      </c>
      <c r="Q151" s="987">
        <f t="shared" si="60"/>
        <v>86.717136958017889</v>
      </c>
      <c r="R151" s="988">
        <f t="shared" si="61"/>
        <v>387.47419132828628</v>
      </c>
      <c r="S151" s="989">
        <v>145.30000000000001</v>
      </c>
      <c r="T151" s="990">
        <v>0</v>
      </c>
      <c r="U151" s="991">
        <v>157</v>
      </c>
      <c r="V151" s="991">
        <v>222</v>
      </c>
      <c r="W151" s="992">
        <f t="shared" si="62"/>
        <v>379</v>
      </c>
      <c r="X151" s="993">
        <f t="shared" si="63"/>
        <v>2.6083964211975221</v>
      </c>
      <c r="Y151" s="990">
        <v>1556</v>
      </c>
      <c r="Z151" s="991">
        <v>1357</v>
      </c>
      <c r="AA151" s="991">
        <v>683</v>
      </c>
      <c r="AB151" s="992">
        <f t="shared" si="64"/>
        <v>3596</v>
      </c>
      <c r="AC151" s="993">
        <f t="shared" si="65"/>
        <v>24.748795595320026</v>
      </c>
      <c r="AD151" s="994">
        <f t="shared" si="66"/>
        <v>3975</v>
      </c>
      <c r="AE151" s="995">
        <f t="shared" si="67"/>
        <v>27.357192016517548</v>
      </c>
      <c r="AF151" s="996">
        <v>77</v>
      </c>
      <c r="AG151" s="997">
        <v>64</v>
      </c>
      <c r="AH151" s="997">
        <v>6</v>
      </c>
      <c r="AI151" s="998">
        <f t="shared" si="68"/>
        <v>147</v>
      </c>
      <c r="AJ151" s="993">
        <f t="shared" si="69"/>
        <v>1.0116999311768753</v>
      </c>
    </row>
    <row r="152" spans="1:36" ht="16.5" customHeight="1">
      <c r="A152" s="999">
        <f>'09월 조업일지'!A150</f>
        <v>46270</v>
      </c>
      <c r="B152" s="1099">
        <f>'09월 조업일지'!B150</f>
        <v>46270</v>
      </c>
      <c r="C152" s="1000" t="str">
        <f>'09월 화학성분'!D150</f>
        <v>A</v>
      </c>
      <c r="D152" s="1000" t="str">
        <f>'09월 화학성분'!E150</f>
        <v>A</v>
      </c>
      <c r="E152" s="1000">
        <f>'09월 화학성분'!C150</f>
        <v>85352</v>
      </c>
      <c r="F152" s="1001" t="str">
        <f t="shared" si="55"/>
        <v>SHN275(BB)</v>
      </c>
      <c r="G152" s="1172">
        <v>18</v>
      </c>
      <c r="H152" s="985">
        <v>22900</v>
      </c>
      <c r="I152" s="1173">
        <v>17.100000000000001</v>
      </c>
      <c r="J152" s="985">
        <v>21500</v>
      </c>
      <c r="K152" s="1173">
        <v>9.1</v>
      </c>
      <c r="L152" s="985">
        <v>11600</v>
      </c>
      <c r="M152" s="1174">
        <f t="shared" si="56"/>
        <v>44.2</v>
      </c>
      <c r="N152" s="984">
        <f t="shared" si="57"/>
        <v>56000</v>
      </c>
      <c r="O152" s="986">
        <f t="shared" si="58"/>
        <v>166.54545454545453</v>
      </c>
      <c r="P152" s="987">
        <f t="shared" si="59"/>
        <v>156.36363636363637</v>
      </c>
      <c r="Q152" s="987">
        <f t="shared" si="60"/>
        <v>84.36363636363636</v>
      </c>
      <c r="R152" s="988">
        <f t="shared" si="61"/>
        <v>407.27272727272725</v>
      </c>
      <c r="S152" s="989">
        <v>137.5</v>
      </c>
      <c r="T152" s="990">
        <v>0</v>
      </c>
      <c r="U152" s="991">
        <v>193</v>
      </c>
      <c r="V152" s="991">
        <v>180</v>
      </c>
      <c r="W152" s="992">
        <f t="shared" si="62"/>
        <v>373</v>
      </c>
      <c r="X152" s="993">
        <f t="shared" si="63"/>
        <v>2.7127272727272729</v>
      </c>
      <c r="Y152" s="990">
        <v>1460</v>
      </c>
      <c r="Z152" s="991">
        <v>1448</v>
      </c>
      <c r="AA152" s="991">
        <v>571</v>
      </c>
      <c r="AB152" s="992">
        <f t="shared" si="64"/>
        <v>3479</v>
      </c>
      <c r="AC152" s="993">
        <f t="shared" si="65"/>
        <v>25.301818181818181</v>
      </c>
      <c r="AD152" s="994">
        <f t="shared" si="66"/>
        <v>3852</v>
      </c>
      <c r="AE152" s="995">
        <f t="shared" si="67"/>
        <v>28.014545454545456</v>
      </c>
      <c r="AF152" s="996">
        <v>74</v>
      </c>
      <c r="AG152" s="997">
        <v>62</v>
      </c>
      <c r="AH152" s="997">
        <v>4</v>
      </c>
      <c r="AI152" s="998">
        <f t="shared" si="68"/>
        <v>140</v>
      </c>
      <c r="AJ152" s="993">
        <f t="shared" si="69"/>
        <v>1.0181818181818181</v>
      </c>
    </row>
    <row r="153" spans="1:36" ht="16.5" customHeight="1">
      <c r="A153" s="999">
        <f>'09월 조업일지'!A151</f>
        <v>46270</v>
      </c>
      <c r="B153" s="1099">
        <f>'09월 조업일지'!B151</f>
        <v>46270</v>
      </c>
      <c r="C153" s="1000" t="str">
        <f>'09월 화학성분'!D151</f>
        <v>A</v>
      </c>
      <c r="D153" s="1000" t="str">
        <f>'09월 화학성분'!E151</f>
        <v>B</v>
      </c>
      <c r="E153" s="1000">
        <f>'09월 화학성분'!C151</f>
        <v>85353</v>
      </c>
      <c r="F153" s="1104" t="s">
        <v>648</v>
      </c>
      <c r="G153" s="1172">
        <v>18.5</v>
      </c>
      <c r="H153" s="985">
        <v>22800</v>
      </c>
      <c r="I153" s="1173">
        <v>16.399999999999999</v>
      </c>
      <c r="J153" s="985">
        <v>20400</v>
      </c>
      <c r="K153" s="1173">
        <v>9.6999999999999993</v>
      </c>
      <c r="L153" s="985">
        <v>12600</v>
      </c>
      <c r="M153" s="1174">
        <f t="shared" si="56"/>
        <v>44.599999999999994</v>
      </c>
      <c r="N153" s="984">
        <f t="shared" si="57"/>
        <v>55800</v>
      </c>
      <c r="O153" s="986">
        <f t="shared" si="58"/>
        <v>159.44055944055944</v>
      </c>
      <c r="P153" s="987">
        <f t="shared" si="59"/>
        <v>142.65734265734267</v>
      </c>
      <c r="Q153" s="987">
        <f t="shared" si="60"/>
        <v>88.111888111888106</v>
      </c>
      <c r="R153" s="988">
        <f t="shared" si="61"/>
        <v>390.20979020979019</v>
      </c>
      <c r="S153" s="989">
        <v>143</v>
      </c>
      <c r="T153" s="990">
        <v>0</v>
      </c>
      <c r="U153" s="991">
        <v>122</v>
      </c>
      <c r="V153" s="991">
        <v>252</v>
      </c>
      <c r="W153" s="992">
        <f t="shared" si="62"/>
        <v>374</v>
      </c>
      <c r="X153" s="993">
        <f t="shared" si="63"/>
        <v>2.6153846153846154</v>
      </c>
      <c r="Y153" s="990">
        <v>1517</v>
      </c>
      <c r="Z153" s="991">
        <v>1366</v>
      </c>
      <c r="AA153" s="991">
        <v>819</v>
      </c>
      <c r="AB153" s="992">
        <f t="shared" si="64"/>
        <v>3702</v>
      </c>
      <c r="AC153" s="993">
        <f t="shared" si="65"/>
        <v>25.888111888111887</v>
      </c>
      <c r="AD153" s="994">
        <f t="shared" si="66"/>
        <v>4076</v>
      </c>
      <c r="AE153" s="995">
        <f t="shared" si="67"/>
        <v>28.503496503496503</v>
      </c>
      <c r="AF153" s="996">
        <v>76</v>
      </c>
      <c r="AG153" s="997">
        <v>66</v>
      </c>
      <c r="AH153" s="997">
        <v>8</v>
      </c>
      <c r="AI153" s="998">
        <f t="shared" si="68"/>
        <v>150</v>
      </c>
      <c r="AJ153" s="993">
        <f t="shared" si="69"/>
        <v>1.048951048951049</v>
      </c>
    </row>
    <row r="154" spans="1:36" ht="16.5" customHeight="1">
      <c r="A154" s="999">
        <f>'09월 조업일지'!A152</f>
        <v>46270</v>
      </c>
      <c r="B154" s="1099">
        <f>'09월 조업일지'!B152</f>
        <v>46270</v>
      </c>
      <c r="C154" s="1000" t="str">
        <f>'09월 화학성분'!D152</f>
        <v>A</v>
      </c>
      <c r="D154" s="1000" t="str">
        <f>'09월 화학성분'!E152</f>
        <v>A</v>
      </c>
      <c r="E154" s="1000">
        <f>'09월 화학성분'!C152</f>
        <v>85354</v>
      </c>
      <c r="F154" s="1001" t="str">
        <f t="shared" si="55"/>
        <v>SS400-02</v>
      </c>
      <c r="G154" s="1172">
        <v>18.5</v>
      </c>
      <c r="H154" s="985">
        <v>24000</v>
      </c>
      <c r="I154" s="1173">
        <v>17.3</v>
      </c>
      <c r="J154" s="985">
        <v>21400</v>
      </c>
      <c r="K154" s="1173">
        <v>9.8000000000000007</v>
      </c>
      <c r="L154" s="985">
        <v>12600</v>
      </c>
      <c r="M154" s="1174">
        <f t="shared" si="56"/>
        <v>45.599999999999994</v>
      </c>
      <c r="N154" s="984">
        <f t="shared" si="57"/>
        <v>58000</v>
      </c>
      <c r="O154" s="986">
        <f t="shared" si="58"/>
        <v>169.25246826516218</v>
      </c>
      <c r="P154" s="987">
        <f t="shared" si="59"/>
        <v>150.91678420310296</v>
      </c>
      <c r="Q154" s="987">
        <f t="shared" si="60"/>
        <v>88.857545839210147</v>
      </c>
      <c r="R154" s="988">
        <f t="shared" si="61"/>
        <v>409.0267983074753</v>
      </c>
      <c r="S154" s="989">
        <v>141.80000000000001</v>
      </c>
      <c r="T154" s="990">
        <v>0</v>
      </c>
      <c r="U154" s="991">
        <v>253</v>
      </c>
      <c r="V154" s="991">
        <v>178</v>
      </c>
      <c r="W154" s="992">
        <f t="shared" si="62"/>
        <v>431</v>
      </c>
      <c r="X154" s="993">
        <f t="shared" si="63"/>
        <v>3.0394922425952045</v>
      </c>
      <c r="Y154" s="990">
        <v>1542</v>
      </c>
      <c r="Z154" s="991">
        <v>1440</v>
      </c>
      <c r="AA154" s="991">
        <v>737</v>
      </c>
      <c r="AB154" s="992">
        <f t="shared" si="64"/>
        <v>3719</v>
      </c>
      <c r="AC154" s="993">
        <f t="shared" si="65"/>
        <v>26.227080394922424</v>
      </c>
      <c r="AD154" s="994">
        <f t="shared" si="66"/>
        <v>4150</v>
      </c>
      <c r="AE154" s="995">
        <f t="shared" si="67"/>
        <v>29.26657263751763</v>
      </c>
      <c r="AF154" s="996">
        <v>73</v>
      </c>
      <c r="AG154" s="997">
        <v>63</v>
      </c>
      <c r="AH154" s="997">
        <v>8</v>
      </c>
      <c r="AI154" s="998">
        <f t="shared" si="68"/>
        <v>144</v>
      </c>
      <c r="AJ154" s="993">
        <f t="shared" si="69"/>
        <v>1.0155148095909732</v>
      </c>
    </row>
    <row r="155" spans="1:36" ht="16.5" customHeight="1">
      <c r="A155" s="999">
        <f>'09월 조업일지'!A153</f>
        <v>46271</v>
      </c>
      <c r="B155" s="1099">
        <f>'09월 조업일지'!B153</f>
        <v>46270</v>
      </c>
      <c r="C155" s="1000" t="str">
        <f>'09월 화학성분'!D153</f>
        <v>A</v>
      </c>
      <c r="D155" s="1000" t="str">
        <f>'09월 화학성분'!E153</f>
        <v>B</v>
      </c>
      <c r="E155" s="1000">
        <f>'09월 화학성분'!C153</f>
        <v>85355</v>
      </c>
      <c r="F155" s="1001" t="str">
        <f t="shared" si="55"/>
        <v>SS400-02</v>
      </c>
      <c r="G155" s="1172">
        <v>19.8</v>
      </c>
      <c r="H155" s="985">
        <v>23300</v>
      </c>
      <c r="I155" s="1173">
        <v>16.2</v>
      </c>
      <c r="J155" s="985">
        <v>20300</v>
      </c>
      <c r="K155" s="1173">
        <v>9.1</v>
      </c>
      <c r="L155" s="985">
        <v>11800</v>
      </c>
      <c r="M155" s="1174">
        <f t="shared" si="56"/>
        <v>45.1</v>
      </c>
      <c r="N155" s="984">
        <f t="shared" si="57"/>
        <v>55400</v>
      </c>
      <c r="O155" s="986">
        <f t="shared" si="58"/>
        <v>163.62359550561797</v>
      </c>
      <c r="P155" s="987">
        <f t="shared" si="59"/>
        <v>142.5561797752809</v>
      </c>
      <c r="Q155" s="987">
        <f t="shared" si="60"/>
        <v>82.865168539325836</v>
      </c>
      <c r="R155" s="988">
        <f t="shared" si="61"/>
        <v>389.04494382022472</v>
      </c>
      <c r="S155" s="989">
        <v>142.4</v>
      </c>
      <c r="T155" s="990">
        <v>0</v>
      </c>
      <c r="U155" s="991">
        <v>144</v>
      </c>
      <c r="V155" s="991">
        <v>237</v>
      </c>
      <c r="W155" s="992">
        <f t="shared" si="62"/>
        <v>381</v>
      </c>
      <c r="X155" s="993">
        <f t="shared" si="63"/>
        <v>2.6755617977528088</v>
      </c>
      <c r="Y155" s="990">
        <v>1631</v>
      </c>
      <c r="Z155" s="991">
        <v>1340</v>
      </c>
      <c r="AA155" s="991">
        <v>657</v>
      </c>
      <c r="AB155" s="992">
        <f t="shared" si="64"/>
        <v>3628</v>
      </c>
      <c r="AC155" s="993">
        <f t="shared" si="65"/>
        <v>25.477528089887638</v>
      </c>
      <c r="AD155" s="994">
        <f t="shared" si="66"/>
        <v>4009</v>
      </c>
      <c r="AE155" s="995">
        <f t="shared" si="67"/>
        <v>28.153089887640448</v>
      </c>
      <c r="AF155" s="996">
        <v>83</v>
      </c>
      <c r="AG155" s="997">
        <v>62</v>
      </c>
      <c r="AH155" s="997">
        <v>5</v>
      </c>
      <c r="AI155" s="998">
        <f t="shared" si="68"/>
        <v>150</v>
      </c>
      <c r="AJ155" s="993">
        <f t="shared" si="69"/>
        <v>1.0533707865168538</v>
      </c>
    </row>
    <row r="156" spans="1:36" ht="16.5" customHeight="1">
      <c r="A156" s="999">
        <f>'09월 조업일지'!A154</f>
        <v>46271</v>
      </c>
      <c r="B156" s="1099">
        <f>'09월 조업일지'!B154</f>
        <v>46270</v>
      </c>
      <c r="C156" s="1000" t="str">
        <f>'09월 화학성분'!D154</f>
        <v>A</v>
      </c>
      <c r="D156" s="1000" t="str">
        <f>'09월 화학성분'!E154</f>
        <v>A</v>
      </c>
      <c r="E156" s="1000">
        <f>'09월 화학성분'!C154</f>
        <v>85356</v>
      </c>
      <c r="F156" s="1001" t="str">
        <f t="shared" si="55"/>
        <v>SS400-02</v>
      </c>
      <c r="G156" s="1172">
        <v>19.100000000000001</v>
      </c>
      <c r="H156" s="985">
        <v>24400</v>
      </c>
      <c r="I156" s="1173">
        <v>16.7</v>
      </c>
      <c r="J156" s="985">
        <v>21100</v>
      </c>
      <c r="K156" s="1173">
        <v>7.8</v>
      </c>
      <c r="L156" s="985">
        <v>10000</v>
      </c>
      <c r="M156" s="1174">
        <f t="shared" si="56"/>
        <v>43.599999999999994</v>
      </c>
      <c r="N156" s="984">
        <f t="shared" si="57"/>
        <v>55500</v>
      </c>
      <c r="O156" s="986">
        <f t="shared" si="58"/>
        <v>170.0348432055749</v>
      </c>
      <c r="P156" s="987">
        <f t="shared" si="59"/>
        <v>147.03832752613241</v>
      </c>
      <c r="Q156" s="987">
        <f t="shared" si="60"/>
        <v>69.686411149825787</v>
      </c>
      <c r="R156" s="988">
        <f t="shared" si="61"/>
        <v>386.75958188153311</v>
      </c>
      <c r="S156" s="989">
        <v>143.5</v>
      </c>
      <c r="T156" s="990">
        <v>0</v>
      </c>
      <c r="U156" s="991">
        <v>226</v>
      </c>
      <c r="V156" s="991">
        <v>140</v>
      </c>
      <c r="W156" s="992">
        <f t="shared" si="62"/>
        <v>366</v>
      </c>
      <c r="X156" s="993">
        <f t="shared" si="63"/>
        <v>2.5505226480836236</v>
      </c>
      <c r="Y156" s="990">
        <v>1595</v>
      </c>
      <c r="Z156" s="991">
        <v>1387</v>
      </c>
      <c r="AA156" s="991">
        <v>492</v>
      </c>
      <c r="AB156" s="992">
        <f t="shared" si="64"/>
        <v>3474</v>
      </c>
      <c r="AC156" s="993">
        <f t="shared" si="65"/>
        <v>24.209059233449477</v>
      </c>
      <c r="AD156" s="994">
        <f t="shared" si="66"/>
        <v>3840</v>
      </c>
      <c r="AE156" s="995">
        <f t="shared" si="67"/>
        <v>26.759581881533101</v>
      </c>
      <c r="AF156" s="996">
        <v>78</v>
      </c>
      <c r="AG156" s="997">
        <v>60</v>
      </c>
      <c r="AH156" s="997">
        <v>4</v>
      </c>
      <c r="AI156" s="998">
        <f t="shared" si="68"/>
        <v>142</v>
      </c>
      <c r="AJ156" s="993">
        <f t="shared" si="69"/>
        <v>0.98954703832752611</v>
      </c>
    </row>
    <row r="157" spans="1:36" ht="16.5" customHeight="1">
      <c r="A157" s="999">
        <f>'09월 조업일지'!A155</f>
        <v>46271</v>
      </c>
      <c r="B157" s="1099">
        <f>'09월 조업일지'!B155</f>
        <v>46270</v>
      </c>
      <c r="C157" s="1000" t="str">
        <f>'09월 화학성분'!D155</f>
        <v>A</v>
      </c>
      <c r="D157" s="1000" t="str">
        <f>'09월 화학성분'!E155</f>
        <v>B</v>
      </c>
      <c r="E157" s="1000">
        <f>'09월 화학성분'!C155</f>
        <v>85357</v>
      </c>
      <c r="F157" s="1001" t="str">
        <f t="shared" si="55"/>
        <v>SS400-02</v>
      </c>
      <c r="G157" s="1172">
        <v>19.7</v>
      </c>
      <c r="H157" s="985">
        <v>24100</v>
      </c>
      <c r="I157" s="1173">
        <v>16.3</v>
      </c>
      <c r="J157" s="985">
        <v>20400</v>
      </c>
      <c r="K157" s="1173">
        <v>8.6999999999999993</v>
      </c>
      <c r="L157" s="985">
        <v>11100</v>
      </c>
      <c r="M157" s="1174">
        <f t="shared" si="56"/>
        <v>44.7</v>
      </c>
      <c r="N157" s="984">
        <f t="shared" si="57"/>
        <v>55600</v>
      </c>
      <c r="O157" s="986">
        <f t="shared" si="58"/>
        <v>167.59388038942976</v>
      </c>
      <c r="P157" s="987">
        <f t="shared" si="59"/>
        <v>141.86369958275381</v>
      </c>
      <c r="Q157" s="987">
        <f t="shared" si="60"/>
        <v>77.190542420027811</v>
      </c>
      <c r="R157" s="988">
        <f t="shared" si="61"/>
        <v>386.64812239221135</v>
      </c>
      <c r="S157" s="989">
        <v>143.80000000000001</v>
      </c>
      <c r="T157" s="990">
        <v>0</v>
      </c>
      <c r="U157" s="991">
        <v>173</v>
      </c>
      <c r="V157" s="991">
        <v>183</v>
      </c>
      <c r="W157" s="992">
        <f t="shared" si="62"/>
        <v>356</v>
      </c>
      <c r="X157" s="993">
        <f t="shared" si="63"/>
        <v>2.4756606397774683</v>
      </c>
      <c r="Y157" s="990">
        <v>1679</v>
      </c>
      <c r="Z157" s="991">
        <v>1349</v>
      </c>
      <c r="AA157" s="991">
        <v>696</v>
      </c>
      <c r="AB157" s="992">
        <f t="shared" si="64"/>
        <v>3724</v>
      </c>
      <c r="AC157" s="993">
        <f t="shared" si="65"/>
        <v>25.897079276773294</v>
      </c>
      <c r="AD157" s="994">
        <f t="shared" si="66"/>
        <v>4080</v>
      </c>
      <c r="AE157" s="995">
        <f t="shared" si="67"/>
        <v>28.372739916550763</v>
      </c>
      <c r="AF157" s="996">
        <v>79</v>
      </c>
      <c r="AG157" s="997">
        <v>66</v>
      </c>
      <c r="AH157" s="997">
        <v>6</v>
      </c>
      <c r="AI157" s="998">
        <f t="shared" si="68"/>
        <v>151</v>
      </c>
      <c r="AJ157" s="993">
        <f t="shared" si="69"/>
        <v>1.0500695410292071</v>
      </c>
    </row>
    <row r="158" spans="1:36" ht="16.5" customHeight="1">
      <c r="A158" s="999">
        <f>'09월 조업일지'!A156</f>
        <v>46271</v>
      </c>
      <c r="B158" s="1099">
        <f>'09월 조업일지'!B156</f>
        <v>46270</v>
      </c>
      <c r="C158" s="1000" t="str">
        <f>'09월 화학성분'!D156</f>
        <v>A</v>
      </c>
      <c r="D158" s="1000" t="str">
        <f>'09월 화학성분'!E156</f>
        <v>A</v>
      </c>
      <c r="E158" s="1000">
        <f>'09월 화학성분'!C156</f>
        <v>85358</v>
      </c>
      <c r="F158" s="1001" t="str">
        <f t="shared" si="55"/>
        <v>SS400-02</v>
      </c>
      <c r="G158" s="1172">
        <v>18.100000000000001</v>
      </c>
      <c r="H158" s="985">
        <v>22800</v>
      </c>
      <c r="I158" s="1173">
        <v>16.8</v>
      </c>
      <c r="J158" s="985">
        <v>21500</v>
      </c>
      <c r="K158" s="1173">
        <v>8.4</v>
      </c>
      <c r="L158" s="985">
        <v>10600</v>
      </c>
      <c r="M158" s="1174">
        <f t="shared" si="56"/>
        <v>43.300000000000004</v>
      </c>
      <c r="N158" s="984">
        <f t="shared" si="57"/>
        <v>54900</v>
      </c>
      <c r="O158" s="986">
        <f t="shared" si="58"/>
        <v>158.88501742160278</v>
      </c>
      <c r="P158" s="987">
        <f t="shared" si="59"/>
        <v>149.82578397212544</v>
      </c>
      <c r="Q158" s="987">
        <f t="shared" si="60"/>
        <v>73.867595818815332</v>
      </c>
      <c r="R158" s="988">
        <f t="shared" si="61"/>
        <v>382.57839721254356</v>
      </c>
      <c r="S158" s="989">
        <v>143.5</v>
      </c>
      <c r="T158" s="990">
        <v>0</v>
      </c>
      <c r="U158" s="991">
        <v>174</v>
      </c>
      <c r="V158" s="991">
        <v>149</v>
      </c>
      <c r="W158" s="992">
        <f t="shared" si="62"/>
        <v>323</v>
      </c>
      <c r="X158" s="993">
        <f t="shared" si="63"/>
        <v>2.250871080139373</v>
      </c>
      <c r="Y158" s="990">
        <v>1472</v>
      </c>
      <c r="Z158" s="991">
        <v>1423</v>
      </c>
      <c r="AA158" s="991">
        <v>639</v>
      </c>
      <c r="AB158" s="992">
        <f t="shared" si="64"/>
        <v>3534</v>
      </c>
      <c r="AC158" s="993">
        <f t="shared" si="65"/>
        <v>24.627177700348433</v>
      </c>
      <c r="AD158" s="994">
        <f t="shared" si="66"/>
        <v>3857</v>
      </c>
      <c r="AE158" s="995">
        <f t="shared" si="67"/>
        <v>26.878048780487806</v>
      </c>
      <c r="AF158" s="996">
        <v>75</v>
      </c>
      <c r="AG158" s="997">
        <v>62</v>
      </c>
      <c r="AH158" s="997">
        <v>5</v>
      </c>
      <c r="AI158" s="998">
        <f t="shared" si="68"/>
        <v>142</v>
      </c>
      <c r="AJ158" s="993">
        <f t="shared" si="69"/>
        <v>0.98954703832752611</v>
      </c>
    </row>
    <row r="159" spans="1:36" ht="16.5" customHeight="1">
      <c r="A159" s="999">
        <f>'09월 조업일지'!A157</f>
        <v>46271</v>
      </c>
      <c r="B159" s="1099">
        <f>'09월 조업일지'!B157</f>
        <v>46271</v>
      </c>
      <c r="C159" s="1000" t="str">
        <f>'09월 화학성분'!D157</f>
        <v>B</v>
      </c>
      <c r="D159" s="1000" t="str">
        <f>'09월 화학성분'!E157</f>
        <v>B</v>
      </c>
      <c r="E159" s="1000">
        <f>'09월 화학성분'!C157</f>
        <v>85359</v>
      </c>
      <c r="F159" s="1001" t="str">
        <f t="shared" si="55"/>
        <v>SS400-02</v>
      </c>
      <c r="G159" s="1172">
        <v>18.8</v>
      </c>
      <c r="H159" s="985">
        <v>22600</v>
      </c>
      <c r="I159" s="1173">
        <v>16.399999999999999</v>
      </c>
      <c r="J159" s="985">
        <v>20500</v>
      </c>
      <c r="K159" s="1173">
        <v>8.8000000000000007</v>
      </c>
      <c r="L159" s="985">
        <v>11400</v>
      </c>
      <c r="M159" s="1174">
        <f t="shared" si="56"/>
        <v>44</v>
      </c>
      <c r="N159" s="984">
        <f t="shared" si="57"/>
        <v>54500</v>
      </c>
      <c r="O159" s="986">
        <f t="shared" si="58"/>
        <v>156.6181566181566</v>
      </c>
      <c r="P159" s="987">
        <f t="shared" si="59"/>
        <v>142.06514206514206</v>
      </c>
      <c r="Q159" s="987">
        <f t="shared" si="60"/>
        <v>79.002079002079</v>
      </c>
      <c r="R159" s="988">
        <f t="shared" si="61"/>
        <v>377.6853776853776</v>
      </c>
      <c r="S159" s="989">
        <v>144.30000000000001</v>
      </c>
      <c r="T159" s="990">
        <v>0</v>
      </c>
      <c r="U159" s="991">
        <v>0</v>
      </c>
      <c r="V159" s="991">
        <v>356</v>
      </c>
      <c r="W159" s="992">
        <f t="shared" si="62"/>
        <v>356</v>
      </c>
      <c r="X159" s="993">
        <f t="shared" si="63"/>
        <v>2.4670824670824669</v>
      </c>
      <c r="Y159" s="990">
        <v>1567</v>
      </c>
      <c r="Z159" s="991">
        <v>1377</v>
      </c>
      <c r="AA159" s="991">
        <v>896</v>
      </c>
      <c r="AB159" s="992">
        <f t="shared" si="64"/>
        <v>3840</v>
      </c>
      <c r="AC159" s="993">
        <f t="shared" si="65"/>
        <v>26.611226611226609</v>
      </c>
      <c r="AD159" s="994">
        <f t="shared" si="66"/>
        <v>4196</v>
      </c>
      <c r="AE159" s="995">
        <f t="shared" si="67"/>
        <v>29.078309078309076</v>
      </c>
      <c r="AF159" s="996">
        <v>83</v>
      </c>
      <c r="AG159" s="997">
        <v>60</v>
      </c>
      <c r="AH159" s="997">
        <v>8</v>
      </c>
      <c r="AI159" s="998">
        <f t="shared" si="68"/>
        <v>151</v>
      </c>
      <c r="AJ159" s="993">
        <f t="shared" si="69"/>
        <v>1.0464310464310465</v>
      </c>
    </row>
    <row r="160" spans="1:36" ht="16.5" customHeight="1">
      <c r="A160" s="999">
        <f>'09월 조업일지'!A158</f>
        <v>46271</v>
      </c>
      <c r="B160" s="1099">
        <f>'09월 조업일지'!B158</f>
        <v>46271</v>
      </c>
      <c r="C160" s="1000" t="str">
        <f>'09월 화학성분'!D158</f>
        <v>B</v>
      </c>
      <c r="D160" s="1000" t="str">
        <f>'09월 화학성분'!E158</f>
        <v>A</v>
      </c>
      <c r="E160" s="1000">
        <f>'09월 화학성분'!C158</f>
        <v>85360</v>
      </c>
      <c r="F160" s="1001" t="str">
        <f t="shared" si="55"/>
        <v>SS400-02</v>
      </c>
      <c r="G160" s="1172">
        <v>18.899999999999999</v>
      </c>
      <c r="H160" s="985">
        <v>23300</v>
      </c>
      <c r="I160" s="1173">
        <v>16.899999999999999</v>
      </c>
      <c r="J160" s="985">
        <v>21600</v>
      </c>
      <c r="K160" s="1173">
        <v>7.1</v>
      </c>
      <c r="L160" s="985">
        <v>9300</v>
      </c>
      <c r="M160" s="1174">
        <f t="shared" si="56"/>
        <v>42.9</v>
      </c>
      <c r="N160" s="984">
        <f t="shared" si="57"/>
        <v>54200</v>
      </c>
      <c r="O160" s="986">
        <f t="shared" si="58"/>
        <v>165.36550745209368</v>
      </c>
      <c r="P160" s="987">
        <f t="shared" si="59"/>
        <v>153.30021291696238</v>
      </c>
      <c r="Q160" s="987">
        <f t="shared" si="60"/>
        <v>66.004258339247684</v>
      </c>
      <c r="R160" s="988">
        <f t="shared" si="61"/>
        <v>384.6699787083038</v>
      </c>
      <c r="S160" s="989">
        <v>140.9</v>
      </c>
      <c r="T160" s="990">
        <v>0</v>
      </c>
      <c r="U160" s="991">
        <v>89</v>
      </c>
      <c r="V160" s="991">
        <v>249</v>
      </c>
      <c r="W160" s="992">
        <f t="shared" si="62"/>
        <v>338</v>
      </c>
      <c r="X160" s="993">
        <f t="shared" si="63"/>
        <v>2.3988644428672816</v>
      </c>
      <c r="Y160" s="990">
        <v>1564</v>
      </c>
      <c r="Z160" s="991">
        <v>1444</v>
      </c>
      <c r="AA160" s="991">
        <v>641</v>
      </c>
      <c r="AB160" s="992">
        <f t="shared" si="64"/>
        <v>3649</v>
      </c>
      <c r="AC160" s="993">
        <f t="shared" si="65"/>
        <v>25.897799858055357</v>
      </c>
      <c r="AD160" s="994">
        <f t="shared" si="66"/>
        <v>3987</v>
      </c>
      <c r="AE160" s="995">
        <f t="shared" si="67"/>
        <v>28.29666430092264</v>
      </c>
      <c r="AF160" s="996">
        <v>78</v>
      </c>
      <c r="AG160" s="997">
        <v>59</v>
      </c>
      <c r="AH160" s="997">
        <v>6</v>
      </c>
      <c r="AI160" s="998">
        <f t="shared" si="68"/>
        <v>143</v>
      </c>
      <c r="AJ160" s="993">
        <f t="shared" si="69"/>
        <v>1.0149041873669269</v>
      </c>
    </row>
    <row r="161" spans="1:36" ht="16.5" customHeight="1">
      <c r="A161" s="999">
        <f>'09월 조업일지'!A159</f>
        <v>46271</v>
      </c>
      <c r="B161" s="1099">
        <f>'09월 조업일지'!B159</f>
        <v>46271</v>
      </c>
      <c r="C161" s="1000" t="str">
        <f>'09월 화학성분'!D159</f>
        <v>B</v>
      </c>
      <c r="D161" s="1000" t="str">
        <f>'09월 화학성분'!E159</f>
        <v>B</v>
      </c>
      <c r="E161" s="1000">
        <f>'09월 화학성분'!C159</f>
        <v>85361</v>
      </c>
      <c r="F161" s="1001" t="str">
        <f t="shared" si="55"/>
        <v>SS400-02</v>
      </c>
      <c r="G161" s="1172">
        <v>18.7</v>
      </c>
      <c r="H161" s="985">
        <v>23000</v>
      </c>
      <c r="I161" s="1173">
        <v>16.5</v>
      </c>
      <c r="J161" s="985">
        <v>20400</v>
      </c>
      <c r="K161" s="1173">
        <v>9.3000000000000007</v>
      </c>
      <c r="L161" s="985">
        <v>12000</v>
      </c>
      <c r="M161" s="1174">
        <f t="shared" si="56"/>
        <v>44.5</v>
      </c>
      <c r="N161" s="984">
        <f t="shared" si="57"/>
        <v>55400</v>
      </c>
      <c r="O161" s="986">
        <f t="shared" si="58"/>
        <v>161.06442577030811</v>
      </c>
      <c r="P161" s="987">
        <f t="shared" si="59"/>
        <v>142.85714285714283</v>
      </c>
      <c r="Q161" s="987">
        <f t="shared" si="60"/>
        <v>84.033613445378151</v>
      </c>
      <c r="R161" s="988">
        <f t="shared" si="61"/>
        <v>387.95518207282907</v>
      </c>
      <c r="S161" s="989">
        <v>142.80000000000001</v>
      </c>
      <c r="T161" s="990">
        <v>0</v>
      </c>
      <c r="U161" s="991">
        <v>0</v>
      </c>
      <c r="V161" s="991">
        <v>277</v>
      </c>
      <c r="W161" s="992">
        <f t="shared" si="62"/>
        <v>277</v>
      </c>
      <c r="X161" s="993">
        <f t="shared" si="63"/>
        <v>1.9397759103641454</v>
      </c>
      <c r="Y161" s="990">
        <v>1559</v>
      </c>
      <c r="Z161" s="991">
        <v>1352</v>
      </c>
      <c r="AA161" s="991">
        <v>744</v>
      </c>
      <c r="AB161" s="992">
        <f t="shared" si="64"/>
        <v>3655</v>
      </c>
      <c r="AC161" s="993">
        <f t="shared" si="65"/>
        <v>25.595238095238095</v>
      </c>
      <c r="AD161" s="994">
        <f t="shared" si="66"/>
        <v>3932</v>
      </c>
      <c r="AE161" s="995">
        <f t="shared" si="67"/>
        <v>27.535014005602239</v>
      </c>
      <c r="AF161" s="996">
        <v>79</v>
      </c>
      <c r="AG161" s="997">
        <v>64</v>
      </c>
      <c r="AH161" s="997">
        <v>7</v>
      </c>
      <c r="AI161" s="998">
        <f t="shared" si="68"/>
        <v>150</v>
      </c>
      <c r="AJ161" s="993">
        <f t="shared" si="69"/>
        <v>1.0504201680672267</v>
      </c>
    </row>
    <row r="162" spans="1:36" ht="16.5" customHeight="1">
      <c r="A162" s="999">
        <f>'09월 조업일지'!A160</f>
        <v>46271</v>
      </c>
      <c r="B162" s="1099">
        <f>'09월 조업일지'!B160</f>
        <v>46271</v>
      </c>
      <c r="C162" s="1000" t="str">
        <f>'09월 화학성분'!D160</f>
        <v>B</v>
      </c>
      <c r="D162" s="1000" t="str">
        <f>'09월 화학성분'!E160</f>
        <v>A</v>
      </c>
      <c r="E162" s="1000">
        <f>'09월 화학성분'!C160</f>
        <v>85362</v>
      </c>
      <c r="F162" s="1001" t="str">
        <f t="shared" si="55"/>
        <v>SS400-02</v>
      </c>
      <c r="G162" s="1172">
        <v>17.899999999999999</v>
      </c>
      <c r="H162" s="985">
        <v>22600</v>
      </c>
      <c r="I162" s="1173">
        <v>17.399999999999999</v>
      </c>
      <c r="J162" s="985">
        <v>21700</v>
      </c>
      <c r="K162" s="1173">
        <v>8.6</v>
      </c>
      <c r="L162" s="985">
        <v>10800</v>
      </c>
      <c r="M162" s="1174">
        <f t="shared" si="56"/>
        <v>43.9</v>
      </c>
      <c r="N162" s="984">
        <f t="shared" si="57"/>
        <v>55100</v>
      </c>
      <c r="O162" s="986">
        <f t="shared" si="58"/>
        <v>157.16272600834492</v>
      </c>
      <c r="P162" s="987">
        <f t="shared" si="59"/>
        <v>150.904033379694</v>
      </c>
      <c r="Q162" s="987">
        <f t="shared" si="60"/>
        <v>75.104311543810837</v>
      </c>
      <c r="R162" s="988">
        <f t="shared" si="61"/>
        <v>383.17107093184973</v>
      </c>
      <c r="S162" s="989">
        <v>143.80000000000001</v>
      </c>
      <c r="T162" s="990">
        <v>0</v>
      </c>
      <c r="U162" s="991">
        <v>0</v>
      </c>
      <c r="V162" s="991">
        <v>232</v>
      </c>
      <c r="W162" s="992">
        <f t="shared" si="62"/>
        <v>232</v>
      </c>
      <c r="X162" s="993">
        <f t="shared" si="63"/>
        <v>1.6133518776077884</v>
      </c>
      <c r="Y162" s="990">
        <v>1486</v>
      </c>
      <c r="Z162" s="991">
        <v>1476</v>
      </c>
      <c r="AA162" s="991">
        <v>728</v>
      </c>
      <c r="AB162" s="992">
        <f t="shared" si="64"/>
        <v>3690</v>
      </c>
      <c r="AC162" s="993">
        <f t="shared" si="65"/>
        <v>25.660639777468706</v>
      </c>
      <c r="AD162" s="994">
        <f t="shared" si="66"/>
        <v>3922</v>
      </c>
      <c r="AE162" s="995">
        <f t="shared" si="67"/>
        <v>27.273991655076493</v>
      </c>
      <c r="AF162" s="996">
        <v>74</v>
      </c>
      <c r="AG162" s="997">
        <v>62</v>
      </c>
      <c r="AH162" s="997">
        <v>8</v>
      </c>
      <c r="AI162" s="998">
        <f t="shared" si="68"/>
        <v>144</v>
      </c>
      <c r="AJ162" s="993">
        <f t="shared" si="69"/>
        <v>1.0013908205841446</v>
      </c>
    </row>
    <row r="163" spans="1:36" ht="16.5" customHeight="1">
      <c r="A163" s="999">
        <f>'09월 조업일지'!A161</f>
        <v>46271</v>
      </c>
      <c r="B163" s="1099">
        <f>'09월 조업일지'!B161</f>
        <v>46271</v>
      </c>
      <c r="C163" s="1000" t="str">
        <f>'09월 화학성분'!D161</f>
        <v>B</v>
      </c>
      <c r="D163" s="1000" t="str">
        <f>'09월 화학성분'!E161</f>
        <v>B</v>
      </c>
      <c r="E163" s="1000">
        <f>'09월 화학성분'!C161</f>
        <v>85363</v>
      </c>
      <c r="F163" s="1104" t="s">
        <v>622</v>
      </c>
      <c r="G163" s="1172">
        <v>20</v>
      </c>
      <c r="H163" s="985">
        <v>22600</v>
      </c>
      <c r="I163" s="1173">
        <v>16.8</v>
      </c>
      <c r="J163" s="985">
        <v>20500</v>
      </c>
      <c r="K163" s="1173">
        <v>8.3000000000000007</v>
      </c>
      <c r="L163" s="985">
        <v>10600</v>
      </c>
      <c r="M163" s="1174">
        <f t="shared" si="56"/>
        <v>45.099999999999994</v>
      </c>
      <c r="N163" s="984">
        <f t="shared" si="57"/>
        <v>53700</v>
      </c>
      <c r="O163" s="986">
        <f t="shared" si="58"/>
        <v>156.72676837725382</v>
      </c>
      <c r="P163" s="987">
        <f t="shared" si="59"/>
        <v>142.16366158113732</v>
      </c>
      <c r="Q163" s="987">
        <f t="shared" si="60"/>
        <v>73.509015256588071</v>
      </c>
      <c r="R163" s="988">
        <f t="shared" si="61"/>
        <v>372.39944521497921</v>
      </c>
      <c r="S163" s="989">
        <v>144.19999999999999</v>
      </c>
      <c r="T163" s="990">
        <v>0</v>
      </c>
      <c r="U163" s="991">
        <v>0</v>
      </c>
      <c r="V163" s="991">
        <v>291</v>
      </c>
      <c r="W163" s="992">
        <f t="shared" si="62"/>
        <v>291</v>
      </c>
      <c r="X163" s="993">
        <f t="shared" si="63"/>
        <v>2.0180305131761442</v>
      </c>
      <c r="Y163" s="990">
        <v>1696</v>
      </c>
      <c r="Z163" s="991">
        <v>1379</v>
      </c>
      <c r="AA163" s="991">
        <v>842</v>
      </c>
      <c r="AB163" s="992">
        <f t="shared" si="64"/>
        <v>3917</v>
      </c>
      <c r="AC163" s="993">
        <f t="shared" si="65"/>
        <v>27.163661581137312</v>
      </c>
      <c r="AD163" s="994">
        <f t="shared" si="66"/>
        <v>4208</v>
      </c>
      <c r="AE163" s="995">
        <f t="shared" si="67"/>
        <v>29.181692094313455</v>
      </c>
      <c r="AF163" s="996">
        <v>84</v>
      </c>
      <c r="AG163" s="997">
        <v>67</v>
      </c>
      <c r="AH163" s="997">
        <v>7</v>
      </c>
      <c r="AI163" s="998">
        <f t="shared" si="68"/>
        <v>158</v>
      </c>
      <c r="AJ163" s="993">
        <f t="shared" si="69"/>
        <v>1.0957004160887658</v>
      </c>
    </row>
    <row r="164" spans="1:36" ht="16.5" customHeight="1">
      <c r="A164" s="999">
        <f>'09월 조업일지'!A162</f>
        <v>46271</v>
      </c>
      <c r="B164" s="1099">
        <f>'09월 조업일지'!B162</f>
        <v>46271</v>
      </c>
      <c r="C164" s="1000" t="str">
        <f>'09월 화학성분'!D162</f>
        <v>B</v>
      </c>
      <c r="D164" s="1000" t="str">
        <f>'09월 화학성분'!E162</f>
        <v>A</v>
      </c>
      <c r="E164" s="1000">
        <f>'09월 화학성분'!C162</f>
        <v>85364</v>
      </c>
      <c r="F164" s="1001" t="str">
        <f t="shared" si="55"/>
        <v>SS400-04</v>
      </c>
      <c r="G164" s="1172">
        <v>19.8</v>
      </c>
      <c r="H164" s="985">
        <v>24500</v>
      </c>
      <c r="I164" s="1173">
        <v>17.399999999999999</v>
      </c>
      <c r="J164" s="985">
        <v>21600</v>
      </c>
      <c r="K164" s="1173">
        <v>7.6</v>
      </c>
      <c r="L164" s="985">
        <v>9600</v>
      </c>
      <c r="M164" s="1174">
        <f t="shared" si="56"/>
        <v>44.800000000000004</v>
      </c>
      <c r="N164" s="984">
        <f t="shared" si="57"/>
        <v>55700</v>
      </c>
      <c r="O164" s="986">
        <f t="shared" si="58"/>
        <v>168.15374056280029</v>
      </c>
      <c r="P164" s="987">
        <f t="shared" si="59"/>
        <v>148.24982841455045</v>
      </c>
      <c r="Q164" s="987">
        <f t="shared" si="60"/>
        <v>65.888812628689095</v>
      </c>
      <c r="R164" s="988">
        <f t="shared" si="61"/>
        <v>382.29238160603984</v>
      </c>
      <c r="S164" s="989">
        <v>145.69999999999999</v>
      </c>
      <c r="T164" s="990">
        <v>0</v>
      </c>
      <c r="U164" s="991">
        <v>87</v>
      </c>
      <c r="V164" s="991">
        <v>229</v>
      </c>
      <c r="W164" s="992">
        <f t="shared" si="62"/>
        <v>316</v>
      </c>
      <c r="X164" s="993">
        <f t="shared" si="63"/>
        <v>2.1688400823610161</v>
      </c>
      <c r="Y164" s="990">
        <v>1659</v>
      </c>
      <c r="Z164" s="991">
        <v>1463</v>
      </c>
      <c r="AA164" s="991">
        <v>473</v>
      </c>
      <c r="AB164" s="992">
        <f t="shared" si="64"/>
        <v>3595</v>
      </c>
      <c r="AC164" s="993">
        <f t="shared" si="65"/>
        <v>24.673987645847635</v>
      </c>
      <c r="AD164" s="994">
        <f t="shared" si="66"/>
        <v>3911</v>
      </c>
      <c r="AE164" s="995">
        <f t="shared" si="67"/>
        <v>26.84282772820865</v>
      </c>
      <c r="AF164" s="996">
        <v>78</v>
      </c>
      <c r="AG164" s="997">
        <v>65</v>
      </c>
      <c r="AH164" s="997">
        <v>3</v>
      </c>
      <c r="AI164" s="998">
        <f t="shared" si="68"/>
        <v>146</v>
      </c>
      <c r="AJ164" s="993">
        <f t="shared" si="69"/>
        <v>1.0020590253946466</v>
      </c>
    </row>
    <row r="165" spans="1:36" ht="16.5" customHeight="1">
      <c r="A165" s="999">
        <f>'09월 조업일지'!A163</f>
        <v>46271</v>
      </c>
      <c r="B165" s="1099">
        <f>'09월 조업일지'!B163</f>
        <v>46271</v>
      </c>
      <c r="C165" s="1000" t="str">
        <f>'09월 화학성분'!D163</f>
        <v>B</v>
      </c>
      <c r="D165" s="1000" t="str">
        <f>'09월 화학성분'!E163</f>
        <v>B</v>
      </c>
      <c r="E165" s="1000">
        <f>'09월 화학성분'!C163</f>
        <v>85365</v>
      </c>
      <c r="F165" s="1104" t="s">
        <v>654</v>
      </c>
      <c r="G165" s="1172">
        <v>22.5</v>
      </c>
      <c r="H165" s="985">
        <v>27000</v>
      </c>
      <c r="I165" s="1173">
        <v>16.899999999999999</v>
      </c>
      <c r="J165" s="985">
        <v>20700</v>
      </c>
      <c r="K165" s="1173">
        <v>9.1</v>
      </c>
      <c r="L165" s="985">
        <v>11400</v>
      </c>
      <c r="M165" s="1174">
        <f t="shared" si="56"/>
        <v>48.5</v>
      </c>
      <c r="N165" s="984">
        <f t="shared" si="57"/>
        <v>59100</v>
      </c>
      <c r="O165" s="986">
        <f t="shared" si="58"/>
        <v>188.15331010452962</v>
      </c>
      <c r="P165" s="987">
        <f t="shared" si="59"/>
        <v>144.25087108013938</v>
      </c>
      <c r="Q165" s="987">
        <f t="shared" si="60"/>
        <v>79.442508710801391</v>
      </c>
      <c r="R165" s="988">
        <f t="shared" si="61"/>
        <v>411.84668989547043</v>
      </c>
      <c r="S165" s="989">
        <v>143.5</v>
      </c>
      <c r="T165" s="990">
        <v>0</v>
      </c>
      <c r="U165" s="991">
        <v>317</v>
      </c>
      <c r="V165" s="991">
        <v>65</v>
      </c>
      <c r="W165" s="992">
        <f t="shared" si="62"/>
        <v>382</v>
      </c>
      <c r="X165" s="993">
        <f t="shared" si="63"/>
        <v>2.6620209059233448</v>
      </c>
      <c r="Y165" s="990">
        <v>1918</v>
      </c>
      <c r="Z165" s="991">
        <v>1387</v>
      </c>
      <c r="AA165" s="991">
        <v>541</v>
      </c>
      <c r="AB165" s="992">
        <f t="shared" si="64"/>
        <v>3846</v>
      </c>
      <c r="AC165" s="993">
        <f t="shared" si="65"/>
        <v>26.801393728222997</v>
      </c>
      <c r="AD165" s="994">
        <f t="shared" si="66"/>
        <v>4228</v>
      </c>
      <c r="AE165" s="995">
        <f t="shared" si="67"/>
        <v>29.463414634146343</v>
      </c>
      <c r="AF165" s="996">
        <v>87</v>
      </c>
      <c r="AG165" s="997">
        <v>64</v>
      </c>
      <c r="AH165" s="997">
        <v>5</v>
      </c>
      <c r="AI165" s="998">
        <f t="shared" si="68"/>
        <v>156</v>
      </c>
      <c r="AJ165" s="993">
        <f t="shared" si="69"/>
        <v>1.0871080139372822</v>
      </c>
    </row>
    <row r="166" spans="1:36" ht="16.5" customHeight="1">
      <c r="A166" s="999">
        <f>'09월 조업일지'!A164</f>
        <v>46271</v>
      </c>
      <c r="B166" s="1099">
        <f>'09월 조업일지'!B164</f>
        <v>46271</v>
      </c>
      <c r="C166" s="1000" t="str">
        <f>'09월 화학성분'!D164</f>
        <v>B</v>
      </c>
      <c r="D166" s="1000" t="str">
        <f>'09월 화학성분'!E164</f>
        <v>A</v>
      </c>
      <c r="E166" s="1000">
        <f>'09월 화학성분'!C164</f>
        <v>85366</v>
      </c>
      <c r="F166" s="1001" t="str">
        <f t="shared" si="55"/>
        <v>A572-50-01</v>
      </c>
      <c r="G166" s="1172">
        <v>17.899999999999999</v>
      </c>
      <c r="H166" s="985">
        <v>22100</v>
      </c>
      <c r="I166" s="1173">
        <v>17.7</v>
      </c>
      <c r="J166" s="985">
        <v>21800</v>
      </c>
      <c r="K166" s="1173">
        <v>9.1999999999999993</v>
      </c>
      <c r="L166" s="985">
        <v>11600</v>
      </c>
      <c r="M166" s="1174">
        <f t="shared" si="56"/>
        <v>44.8</v>
      </c>
      <c r="N166" s="984">
        <f t="shared" si="57"/>
        <v>55500</v>
      </c>
      <c r="O166" s="986">
        <f t="shared" si="58"/>
        <v>153.6856745479833</v>
      </c>
      <c r="P166" s="987">
        <f t="shared" si="59"/>
        <v>151.59944367176632</v>
      </c>
      <c r="Q166" s="987">
        <f t="shared" si="60"/>
        <v>80.667593880389418</v>
      </c>
      <c r="R166" s="988">
        <f t="shared" si="61"/>
        <v>385.95271210013902</v>
      </c>
      <c r="S166" s="989">
        <v>143.80000000000001</v>
      </c>
      <c r="T166" s="990">
        <v>0</v>
      </c>
      <c r="U166" s="991">
        <v>84</v>
      </c>
      <c r="V166" s="991">
        <v>295</v>
      </c>
      <c r="W166" s="992">
        <f t="shared" si="62"/>
        <v>379</v>
      </c>
      <c r="X166" s="993">
        <f t="shared" si="63"/>
        <v>2.6356050069541026</v>
      </c>
      <c r="Y166" s="990">
        <v>1456</v>
      </c>
      <c r="Z166" s="991">
        <v>1490</v>
      </c>
      <c r="AA166" s="991">
        <v>643</v>
      </c>
      <c r="AB166" s="992">
        <f t="shared" si="64"/>
        <v>3589</v>
      </c>
      <c r="AC166" s="993">
        <f t="shared" si="65"/>
        <v>24.958275382475659</v>
      </c>
      <c r="AD166" s="994">
        <f t="shared" si="66"/>
        <v>3968</v>
      </c>
      <c r="AE166" s="995">
        <f t="shared" si="67"/>
        <v>27.59388038942976</v>
      </c>
      <c r="AF166" s="996">
        <v>75</v>
      </c>
      <c r="AG166" s="997">
        <v>65</v>
      </c>
      <c r="AH166" s="997">
        <v>5</v>
      </c>
      <c r="AI166" s="998">
        <f t="shared" si="68"/>
        <v>145</v>
      </c>
      <c r="AJ166" s="993">
        <f t="shared" si="69"/>
        <v>1.0083449235048678</v>
      </c>
    </row>
    <row r="167" spans="1:36" ht="16.5" customHeight="1">
      <c r="A167" s="999">
        <f>'09월 조업일지'!A165</f>
        <v>46271</v>
      </c>
      <c r="B167" s="1099">
        <f>'09월 조업일지'!B165</f>
        <v>46271</v>
      </c>
      <c r="C167" s="1000" t="str">
        <f>'09월 화학성분'!D165</f>
        <v>B</v>
      </c>
      <c r="D167" s="1000" t="str">
        <f>'09월 화학성분'!E165</f>
        <v>B</v>
      </c>
      <c r="E167" s="1000">
        <f>'09월 화학성분'!C165</f>
        <v>85367</v>
      </c>
      <c r="F167" s="1001" t="str">
        <f t="shared" si="55"/>
        <v>A572-50-01</v>
      </c>
      <c r="G167" s="1172">
        <v>19.399999999999999</v>
      </c>
      <c r="H167" s="985">
        <v>24000</v>
      </c>
      <c r="I167" s="1173">
        <v>16.100000000000001</v>
      </c>
      <c r="J167" s="985">
        <v>20300</v>
      </c>
      <c r="K167" s="1173">
        <v>9.1999999999999993</v>
      </c>
      <c r="L167" s="985">
        <v>11700</v>
      </c>
      <c r="M167" s="1174">
        <f t="shared" si="56"/>
        <v>44.7</v>
      </c>
      <c r="N167" s="984">
        <f t="shared" si="57"/>
        <v>56000</v>
      </c>
      <c r="O167" s="986">
        <f t="shared" si="58"/>
        <v>167.13091922005572</v>
      </c>
      <c r="P167" s="987">
        <f t="shared" si="59"/>
        <v>141.3649025069638</v>
      </c>
      <c r="Q167" s="987">
        <f t="shared" si="60"/>
        <v>81.476323119777163</v>
      </c>
      <c r="R167" s="988">
        <f t="shared" si="61"/>
        <v>389.97214484679671</v>
      </c>
      <c r="S167" s="989">
        <v>143.6</v>
      </c>
      <c r="T167" s="990">
        <v>0</v>
      </c>
      <c r="U167" s="991">
        <v>5</v>
      </c>
      <c r="V167" s="991">
        <v>351</v>
      </c>
      <c r="W167" s="992">
        <f t="shared" si="62"/>
        <v>356</v>
      </c>
      <c r="X167" s="993">
        <f t="shared" si="63"/>
        <v>2.4791086350974934</v>
      </c>
      <c r="Y167" s="990">
        <v>1633</v>
      </c>
      <c r="Z167" s="991">
        <v>1322</v>
      </c>
      <c r="AA167" s="991">
        <v>746</v>
      </c>
      <c r="AB167" s="992">
        <f t="shared" si="64"/>
        <v>3701</v>
      </c>
      <c r="AC167" s="993">
        <f t="shared" si="65"/>
        <v>25.772980501392759</v>
      </c>
      <c r="AD167" s="994">
        <f t="shared" si="66"/>
        <v>4057</v>
      </c>
      <c r="AE167" s="995">
        <f t="shared" si="67"/>
        <v>28.252089136490252</v>
      </c>
      <c r="AF167" s="996">
        <v>80</v>
      </c>
      <c r="AG167" s="997">
        <v>64</v>
      </c>
      <c r="AH167" s="997">
        <v>7</v>
      </c>
      <c r="AI167" s="998">
        <f t="shared" si="68"/>
        <v>151</v>
      </c>
      <c r="AJ167" s="993">
        <f t="shared" si="69"/>
        <v>1.051532033426184</v>
      </c>
    </row>
    <row r="168" spans="1:36" ht="16.5" customHeight="1">
      <c r="A168" s="999">
        <f>'09월 조업일지'!A166</f>
        <v>46271</v>
      </c>
      <c r="B168" s="1099">
        <f>'09월 조업일지'!B166</f>
        <v>46271</v>
      </c>
      <c r="C168" s="1000" t="str">
        <f>'09월 화학성분'!D166</f>
        <v>B</v>
      </c>
      <c r="D168" s="1000" t="str">
        <f>'09월 화학성분'!E166</f>
        <v>A</v>
      </c>
      <c r="E168" s="1000">
        <f>'09월 화학성분'!C166</f>
        <v>85368</v>
      </c>
      <c r="F168" s="1001" t="str">
        <f t="shared" si="55"/>
        <v>A572-50-01</v>
      </c>
      <c r="G168" s="1172">
        <v>20.5</v>
      </c>
      <c r="H168" s="985">
        <v>25400</v>
      </c>
      <c r="I168" s="1173">
        <v>18</v>
      </c>
      <c r="J168" s="985">
        <v>21500</v>
      </c>
      <c r="K168" s="1173">
        <v>7.1</v>
      </c>
      <c r="L168" s="985">
        <v>9000</v>
      </c>
      <c r="M168" s="1174">
        <f t="shared" si="56"/>
        <v>45.6</v>
      </c>
      <c r="N168" s="984">
        <f t="shared" si="57"/>
        <v>55900</v>
      </c>
      <c r="O168" s="986">
        <f t="shared" si="58"/>
        <v>176.88022284122565</v>
      </c>
      <c r="P168" s="987">
        <f t="shared" si="59"/>
        <v>149.72144846796658</v>
      </c>
      <c r="Q168" s="987">
        <f t="shared" si="60"/>
        <v>62.674094707520894</v>
      </c>
      <c r="R168" s="988">
        <f t="shared" si="61"/>
        <v>389.27576601671313</v>
      </c>
      <c r="S168" s="989">
        <v>143.6</v>
      </c>
      <c r="T168" s="990">
        <v>0</v>
      </c>
      <c r="U168" s="991">
        <v>99</v>
      </c>
      <c r="V168" s="991">
        <v>306</v>
      </c>
      <c r="W168" s="992">
        <f t="shared" si="62"/>
        <v>405</v>
      </c>
      <c r="X168" s="993">
        <f t="shared" si="63"/>
        <v>2.8203342618384402</v>
      </c>
      <c r="Y168" s="990">
        <v>1748</v>
      </c>
      <c r="Z168" s="991">
        <v>1467</v>
      </c>
      <c r="AA168" s="991">
        <v>517</v>
      </c>
      <c r="AB168" s="992">
        <f t="shared" si="64"/>
        <v>3732</v>
      </c>
      <c r="AC168" s="993">
        <f t="shared" si="65"/>
        <v>25.988857938718663</v>
      </c>
      <c r="AD168" s="994">
        <f t="shared" si="66"/>
        <v>4137</v>
      </c>
      <c r="AE168" s="995">
        <f t="shared" si="67"/>
        <v>28.809192200557103</v>
      </c>
      <c r="AF168" s="996">
        <v>81</v>
      </c>
      <c r="AG168" s="997">
        <v>66</v>
      </c>
      <c r="AH168" s="997">
        <v>4</v>
      </c>
      <c r="AI168" s="998">
        <f t="shared" si="68"/>
        <v>151</v>
      </c>
      <c r="AJ168" s="993">
        <f t="shared" si="69"/>
        <v>1.051532033426184</v>
      </c>
    </row>
    <row r="169" spans="1:36" ht="16.5" customHeight="1">
      <c r="A169" s="999">
        <f>'09월 조업일지'!A167</f>
        <v>46271</v>
      </c>
      <c r="B169" s="1099">
        <f>'09월 조업일지'!B167</f>
        <v>46271</v>
      </c>
      <c r="C169" s="1000" t="str">
        <f>'09월 화학성분'!D167</f>
        <v>D</v>
      </c>
      <c r="D169" s="1000" t="str">
        <f>'09월 화학성분'!E167</f>
        <v>B</v>
      </c>
      <c r="E169" s="1000">
        <f>'09월 화학성분'!C167</f>
        <v>85369</v>
      </c>
      <c r="F169" s="1001" t="str">
        <f t="shared" si="55"/>
        <v>A572-50-01</v>
      </c>
      <c r="G169" s="1172">
        <v>19.100000000000001</v>
      </c>
      <c r="H169" s="985">
        <v>22400</v>
      </c>
      <c r="I169" s="1173">
        <v>16.600000000000001</v>
      </c>
      <c r="J169" s="985">
        <v>20600</v>
      </c>
      <c r="K169" s="1173">
        <v>9.9</v>
      </c>
      <c r="L169" s="985">
        <v>12700</v>
      </c>
      <c r="M169" s="1174">
        <f t="shared" si="56"/>
        <v>45.6</v>
      </c>
      <c r="N169" s="984">
        <f t="shared" si="57"/>
        <v>55700</v>
      </c>
      <c r="O169" s="986">
        <f t="shared" si="58"/>
        <v>154.16379903647623</v>
      </c>
      <c r="P169" s="987">
        <f t="shared" si="59"/>
        <v>141.77563661390226</v>
      </c>
      <c r="Q169" s="987">
        <f t="shared" si="60"/>
        <v>87.405368203716435</v>
      </c>
      <c r="R169" s="988">
        <f t="shared" si="61"/>
        <v>383.34480385409495</v>
      </c>
      <c r="S169" s="989">
        <v>145.30000000000001</v>
      </c>
      <c r="T169" s="990">
        <v>0</v>
      </c>
      <c r="U169" s="991">
        <v>0</v>
      </c>
      <c r="V169" s="991">
        <v>341</v>
      </c>
      <c r="W169" s="992">
        <f t="shared" si="62"/>
        <v>341</v>
      </c>
      <c r="X169" s="993">
        <f t="shared" si="63"/>
        <v>2.3468685478320714</v>
      </c>
      <c r="Y169" s="990">
        <v>1587</v>
      </c>
      <c r="Z169" s="991">
        <v>1102</v>
      </c>
      <c r="AA169" s="991">
        <v>619</v>
      </c>
      <c r="AB169" s="992">
        <f t="shared" si="64"/>
        <v>3308</v>
      </c>
      <c r="AC169" s="993">
        <f t="shared" si="65"/>
        <v>22.766689607708187</v>
      </c>
      <c r="AD169" s="994">
        <f t="shared" si="66"/>
        <v>3649</v>
      </c>
      <c r="AE169" s="995">
        <f t="shared" si="67"/>
        <v>25.113558155540261</v>
      </c>
      <c r="AF169" s="996">
        <v>83</v>
      </c>
      <c r="AG169" s="997">
        <v>53</v>
      </c>
      <c r="AH169" s="997">
        <v>5</v>
      </c>
      <c r="AI169" s="998">
        <f t="shared" si="68"/>
        <v>141</v>
      </c>
      <c r="AJ169" s="993">
        <f t="shared" si="69"/>
        <v>0.97040605643496203</v>
      </c>
    </row>
    <row r="170" spans="1:36" ht="16.5" customHeight="1">
      <c r="A170" s="999">
        <f>'09월 조업일지'!A168</f>
        <v>46271</v>
      </c>
      <c r="B170" s="1099">
        <f>'09월 조업일지'!B168</f>
        <v>46271</v>
      </c>
      <c r="C170" s="1000" t="str">
        <f>'09월 화학성분'!D168</f>
        <v>D</v>
      </c>
      <c r="D170" s="1000" t="str">
        <f>'09월 화학성분'!E168</f>
        <v>A</v>
      </c>
      <c r="E170" s="1000">
        <f>'09월 화학성분'!C168</f>
        <v>85370</v>
      </c>
      <c r="F170" s="1001" t="str">
        <f t="shared" si="55"/>
        <v>A572-50-01</v>
      </c>
      <c r="G170" s="1172">
        <v>18.899999999999999</v>
      </c>
      <c r="H170" s="985">
        <v>22800</v>
      </c>
      <c r="I170" s="1173">
        <v>18.100000000000001</v>
      </c>
      <c r="J170" s="985">
        <v>21800</v>
      </c>
      <c r="K170" s="1173">
        <v>6.9</v>
      </c>
      <c r="L170" s="985">
        <v>8700</v>
      </c>
      <c r="M170" s="1174">
        <f t="shared" si="56"/>
        <v>43.9</v>
      </c>
      <c r="N170" s="984">
        <f t="shared" si="57"/>
        <v>53300</v>
      </c>
      <c r="O170" s="986">
        <f t="shared" si="58"/>
        <v>160.22487702037947</v>
      </c>
      <c r="P170" s="987">
        <f t="shared" si="59"/>
        <v>153.19747013352071</v>
      </c>
      <c r="Q170" s="987">
        <f t="shared" si="60"/>
        <v>61.138439915671114</v>
      </c>
      <c r="R170" s="988">
        <f t="shared" si="61"/>
        <v>374.56078706957135</v>
      </c>
      <c r="S170" s="989">
        <v>142.30000000000001</v>
      </c>
      <c r="T170" s="990">
        <v>0</v>
      </c>
      <c r="U170" s="991">
        <v>66</v>
      </c>
      <c r="V170" s="991">
        <v>278</v>
      </c>
      <c r="W170" s="992">
        <f t="shared" si="62"/>
        <v>344</v>
      </c>
      <c r="X170" s="993">
        <f t="shared" si="63"/>
        <v>2.4174279690794096</v>
      </c>
      <c r="Y170" s="990">
        <v>1550</v>
      </c>
      <c r="Z170" s="991">
        <v>1509</v>
      </c>
      <c r="AA170" s="991">
        <v>657</v>
      </c>
      <c r="AB170" s="992">
        <f t="shared" si="64"/>
        <v>3716</v>
      </c>
      <c r="AC170" s="993">
        <f t="shared" si="65"/>
        <v>26.113843991567109</v>
      </c>
      <c r="AD170" s="994">
        <f t="shared" si="66"/>
        <v>4060</v>
      </c>
      <c r="AE170" s="995">
        <f t="shared" si="67"/>
        <v>28.531271960646521</v>
      </c>
      <c r="AF170" s="996">
        <v>80</v>
      </c>
      <c r="AG170" s="997">
        <v>65</v>
      </c>
      <c r="AH170" s="997">
        <v>6</v>
      </c>
      <c r="AI170" s="998">
        <f t="shared" si="68"/>
        <v>151</v>
      </c>
      <c r="AJ170" s="993">
        <f t="shared" si="69"/>
        <v>1.0611384399156711</v>
      </c>
    </row>
    <row r="171" spans="1:36" ht="16.5" customHeight="1">
      <c r="A171" s="999">
        <f>'09월 조업일지'!A169</f>
        <v>46271</v>
      </c>
      <c r="B171" s="1099">
        <f>'09월 조업일지'!B169</f>
        <v>46271</v>
      </c>
      <c r="C171" s="1000" t="str">
        <f>'09월 화학성분'!D169</f>
        <v>D</v>
      </c>
      <c r="D171" s="1000" t="str">
        <f>'09월 화학성분'!E169</f>
        <v>B</v>
      </c>
      <c r="E171" s="1000">
        <f>'09월 화학성분'!C169</f>
        <v>85371</v>
      </c>
      <c r="F171" s="1001" t="str">
        <f t="shared" si="55"/>
        <v>A572-50-01</v>
      </c>
      <c r="G171" s="1172">
        <v>19.100000000000001</v>
      </c>
      <c r="H171" s="985">
        <v>22600</v>
      </c>
      <c r="I171" s="1173">
        <v>16.600000000000001</v>
      </c>
      <c r="J171" s="985">
        <v>20300</v>
      </c>
      <c r="K171" s="1173">
        <v>11.7</v>
      </c>
      <c r="L171" s="985">
        <v>14900</v>
      </c>
      <c r="M171" s="1174">
        <f t="shared" si="56"/>
        <v>47.400000000000006</v>
      </c>
      <c r="N171" s="984">
        <f t="shared" si="57"/>
        <v>57800</v>
      </c>
      <c r="O171" s="986">
        <f t="shared" si="58"/>
        <v>156.18521078092607</v>
      </c>
      <c r="P171" s="987">
        <f t="shared" si="59"/>
        <v>140.29025570145129</v>
      </c>
      <c r="Q171" s="987">
        <f t="shared" si="60"/>
        <v>102.97166551485833</v>
      </c>
      <c r="R171" s="988">
        <f t="shared" si="61"/>
        <v>399.44713199723566</v>
      </c>
      <c r="S171" s="989">
        <v>144.69999999999999</v>
      </c>
      <c r="T171" s="990">
        <v>0</v>
      </c>
      <c r="U171" s="991">
        <v>0</v>
      </c>
      <c r="V171" s="991">
        <v>353</v>
      </c>
      <c r="W171" s="992">
        <f t="shared" si="62"/>
        <v>353</v>
      </c>
      <c r="X171" s="993">
        <f t="shared" si="63"/>
        <v>2.4395300621976506</v>
      </c>
      <c r="Y171" s="990">
        <v>1607</v>
      </c>
      <c r="Z171" s="991">
        <v>1037</v>
      </c>
      <c r="AA171" s="991">
        <v>578</v>
      </c>
      <c r="AB171" s="992">
        <f t="shared" si="64"/>
        <v>3222</v>
      </c>
      <c r="AC171" s="993">
        <f t="shared" si="65"/>
        <v>22.266758811333794</v>
      </c>
      <c r="AD171" s="994">
        <f t="shared" si="66"/>
        <v>3575</v>
      </c>
      <c r="AE171" s="995">
        <f t="shared" si="67"/>
        <v>24.706288873531445</v>
      </c>
      <c r="AF171" s="996">
        <v>84</v>
      </c>
      <c r="AG171" s="997">
        <v>56</v>
      </c>
      <c r="AH171" s="997">
        <v>3</v>
      </c>
      <c r="AI171" s="998">
        <f t="shared" si="68"/>
        <v>143</v>
      </c>
      <c r="AJ171" s="993">
        <f t="shared" si="69"/>
        <v>0.98825155494125783</v>
      </c>
    </row>
    <row r="172" spans="1:36" ht="16.5" customHeight="1">
      <c r="A172" s="999">
        <f>'09월 조업일지'!A170</f>
        <v>46271</v>
      </c>
      <c r="B172" s="1099">
        <f>'09월 조업일지'!B170</f>
        <v>46271</v>
      </c>
      <c r="C172" s="1000" t="str">
        <f>'09월 화학성분'!D170</f>
        <v>D</v>
      </c>
      <c r="D172" s="1000" t="str">
        <f>'09월 화학성분'!E170</f>
        <v>A</v>
      </c>
      <c r="E172" s="1000">
        <f>'09월 화학성분'!C170</f>
        <v>85372</v>
      </c>
      <c r="F172" s="1001" t="str">
        <f t="shared" si="55"/>
        <v>A572-50-01</v>
      </c>
      <c r="G172" s="1172">
        <v>18.5</v>
      </c>
      <c r="H172" s="985">
        <v>23100</v>
      </c>
      <c r="I172" s="1173">
        <v>17.100000000000001</v>
      </c>
      <c r="J172" s="985">
        <v>21700</v>
      </c>
      <c r="K172" s="1173">
        <v>6.8</v>
      </c>
      <c r="L172" s="985">
        <v>8800</v>
      </c>
      <c r="M172" s="1174">
        <f t="shared" si="56"/>
        <v>42.4</v>
      </c>
      <c r="N172" s="984">
        <f t="shared" si="57"/>
        <v>53600</v>
      </c>
      <c r="O172" s="986">
        <f t="shared" si="58"/>
        <v>161.87806587245973</v>
      </c>
      <c r="P172" s="987">
        <f t="shared" si="59"/>
        <v>152.06727400140156</v>
      </c>
      <c r="Q172" s="987">
        <f t="shared" si="60"/>
        <v>61.667834618079894</v>
      </c>
      <c r="R172" s="988">
        <f t="shared" si="61"/>
        <v>375.61317449194115</v>
      </c>
      <c r="S172" s="989">
        <v>142.69999999999999</v>
      </c>
      <c r="T172" s="990">
        <v>0</v>
      </c>
      <c r="U172" s="991">
        <v>120</v>
      </c>
      <c r="V172" s="991">
        <v>208</v>
      </c>
      <c r="W172" s="992">
        <f t="shared" si="62"/>
        <v>328</v>
      </c>
      <c r="X172" s="993">
        <f t="shared" si="63"/>
        <v>2.2985283812193416</v>
      </c>
      <c r="Y172" s="990">
        <v>1536</v>
      </c>
      <c r="Z172" s="991">
        <v>1459</v>
      </c>
      <c r="AA172" s="991">
        <v>625</v>
      </c>
      <c r="AB172" s="992">
        <f t="shared" si="64"/>
        <v>3620</v>
      </c>
      <c r="AC172" s="993">
        <f t="shared" si="65"/>
        <v>25.367904695164682</v>
      </c>
      <c r="AD172" s="994">
        <f t="shared" si="66"/>
        <v>3948</v>
      </c>
      <c r="AE172" s="995">
        <f t="shared" si="67"/>
        <v>27.666433076384024</v>
      </c>
      <c r="AF172" s="996">
        <v>77</v>
      </c>
      <c r="AG172" s="997">
        <v>62</v>
      </c>
      <c r="AH172" s="997">
        <v>5</v>
      </c>
      <c r="AI172" s="998">
        <f t="shared" si="68"/>
        <v>144</v>
      </c>
      <c r="AJ172" s="993">
        <f t="shared" si="69"/>
        <v>1.0091100210231254</v>
      </c>
    </row>
    <row r="173" spans="1:36" ht="16.5" customHeight="1">
      <c r="A173" s="999">
        <f>'09월 조업일지'!A171</f>
        <v>46271</v>
      </c>
      <c r="B173" s="1099">
        <f>'09월 조업일지'!B171</f>
        <v>46271</v>
      </c>
      <c r="C173" s="1000" t="str">
        <f>'09월 화학성분'!D171</f>
        <v>D</v>
      </c>
      <c r="D173" s="1000" t="str">
        <f>'09월 화학성분'!E171</f>
        <v>B</v>
      </c>
      <c r="E173" s="1000">
        <f>'09월 화학성분'!C171</f>
        <v>85373</v>
      </c>
      <c r="F173" s="1001" t="str">
        <f t="shared" si="55"/>
        <v>A572-50-01</v>
      </c>
      <c r="G173" s="1172">
        <v>18.899999999999999</v>
      </c>
      <c r="H173" s="985">
        <v>22800</v>
      </c>
      <c r="I173" s="1173">
        <v>16</v>
      </c>
      <c r="J173" s="985">
        <v>20000</v>
      </c>
      <c r="K173" s="1173">
        <v>7.9</v>
      </c>
      <c r="L173" s="985">
        <v>10500</v>
      </c>
      <c r="M173" s="1174">
        <f t="shared" si="56"/>
        <v>42.8</v>
      </c>
      <c r="N173" s="984">
        <f t="shared" si="57"/>
        <v>53300</v>
      </c>
      <c r="O173" s="986">
        <f t="shared" si="58"/>
        <v>158.99581589958157</v>
      </c>
      <c r="P173" s="987">
        <f t="shared" si="59"/>
        <v>139.47001394700138</v>
      </c>
      <c r="Q173" s="987">
        <f t="shared" si="60"/>
        <v>73.221757322175733</v>
      </c>
      <c r="R173" s="988">
        <f t="shared" si="61"/>
        <v>371.68758716875868</v>
      </c>
      <c r="S173" s="989">
        <v>143.4</v>
      </c>
      <c r="T173" s="990">
        <v>0</v>
      </c>
      <c r="U173" s="991">
        <v>0</v>
      </c>
      <c r="V173" s="991">
        <v>353</v>
      </c>
      <c r="W173" s="992">
        <f t="shared" si="62"/>
        <v>353</v>
      </c>
      <c r="X173" s="993">
        <f t="shared" si="63"/>
        <v>2.4616457461645744</v>
      </c>
      <c r="Y173" s="990">
        <v>1571</v>
      </c>
      <c r="Z173" s="991">
        <v>1338</v>
      </c>
      <c r="AA173" s="991">
        <v>795</v>
      </c>
      <c r="AB173" s="992">
        <f t="shared" si="64"/>
        <v>3704</v>
      </c>
      <c r="AC173" s="993">
        <f t="shared" si="65"/>
        <v>25.829846582984658</v>
      </c>
      <c r="AD173" s="994">
        <f t="shared" si="66"/>
        <v>4057</v>
      </c>
      <c r="AE173" s="995">
        <f t="shared" si="67"/>
        <v>28.291492329149232</v>
      </c>
      <c r="AF173" s="996">
        <v>83</v>
      </c>
      <c r="AG173" s="997">
        <v>62</v>
      </c>
      <c r="AH173" s="997">
        <v>7</v>
      </c>
      <c r="AI173" s="998">
        <f t="shared" si="68"/>
        <v>152</v>
      </c>
      <c r="AJ173" s="993">
        <f t="shared" si="69"/>
        <v>1.0599721059972105</v>
      </c>
    </row>
    <row r="174" spans="1:36" ht="16.5" customHeight="1">
      <c r="A174" s="999">
        <f>'09월 조업일지'!A172</f>
        <v>46271</v>
      </c>
      <c r="B174" s="1099">
        <f>'09월 조업일지'!B172</f>
        <v>46271</v>
      </c>
      <c r="C174" s="1000" t="str">
        <f>'09월 화학성분'!D172</f>
        <v>D</v>
      </c>
      <c r="D174" s="1000" t="str">
        <f>'09월 화학성분'!E172</f>
        <v>A</v>
      </c>
      <c r="E174" s="1000">
        <f>'09월 화학성분'!C172</f>
        <v>85374</v>
      </c>
      <c r="F174" s="1001" t="str">
        <f t="shared" si="55"/>
        <v>A572-50-01</v>
      </c>
      <c r="G174" s="1172">
        <v>19.399999999999999</v>
      </c>
      <c r="H174" s="985">
        <v>23900</v>
      </c>
      <c r="I174" s="1173">
        <v>17</v>
      </c>
      <c r="J174" s="985">
        <v>20800</v>
      </c>
      <c r="K174" s="1173">
        <v>7.3</v>
      </c>
      <c r="L174" s="985">
        <v>8900</v>
      </c>
      <c r="M174" s="1174">
        <f t="shared" si="56"/>
        <v>43.699999999999996</v>
      </c>
      <c r="N174" s="984">
        <f t="shared" si="57"/>
        <v>53600</v>
      </c>
      <c r="O174" s="986">
        <f t="shared" si="58"/>
        <v>167.48423265592152</v>
      </c>
      <c r="P174" s="987">
        <f t="shared" si="59"/>
        <v>145.76033637000702</v>
      </c>
      <c r="Q174" s="987">
        <f t="shared" si="60"/>
        <v>62.368605466012617</v>
      </c>
      <c r="R174" s="988">
        <f t="shared" si="61"/>
        <v>375.61317449194115</v>
      </c>
      <c r="S174" s="989">
        <v>142.69999999999999</v>
      </c>
      <c r="T174" s="990">
        <v>0</v>
      </c>
      <c r="U174" s="991">
        <v>0</v>
      </c>
      <c r="V174" s="991">
        <v>302</v>
      </c>
      <c r="W174" s="992">
        <f t="shared" si="62"/>
        <v>302</v>
      </c>
      <c r="X174" s="993">
        <f t="shared" si="63"/>
        <v>2.1163279607568328</v>
      </c>
      <c r="Y174" s="990">
        <v>1608</v>
      </c>
      <c r="Z174" s="991">
        <v>1392</v>
      </c>
      <c r="AA174" s="991">
        <v>576</v>
      </c>
      <c r="AB174" s="992">
        <f t="shared" si="64"/>
        <v>3576</v>
      </c>
      <c r="AC174" s="993">
        <f t="shared" si="65"/>
        <v>25.059565522074283</v>
      </c>
      <c r="AD174" s="994">
        <f t="shared" si="66"/>
        <v>3878</v>
      </c>
      <c r="AE174" s="995">
        <f t="shared" si="67"/>
        <v>27.175893482831118</v>
      </c>
      <c r="AF174" s="996">
        <v>78</v>
      </c>
      <c r="AG174" s="997">
        <v>65</v>
      </c>
      <c r="AH174" s="997">
        <v>4</v>
      </c>
      <c r="AI174" s="998">
        <f t="shared" si="68"/>
        <v>147</v>
      </c>
      <c r="AJ174" s="993">
        <f t="shared" si="69"/>
        <v>1.0301331464611072</v>
      </c>
    </row>
    <row r="175" spans="1:36" ht="16.5" customHeight="1">
      <c r="A175" s="999">
        <f>'09월 조업일지'!A173</f>
        <v>46271</v>
      </c>
      <c r="B175" s="1099">
        <f>'09월 조업일지'!B173</f>
        <v>46271</v>
      </c>
      <c r="C175" s="1000" t="str">
        <f>'09월 화학성분'!D173</f>
        <v>D</v>
      </c>
      <c r="D175" s="1000" t="str">
        <f>'09월 화학성분'!E173</f>
        <v>B</v>
      </c>
      <c r="E175" s="1000">
        <f>'09월 화학성분'!C173</f>
        <v>85375</v>
      </c>
      <c r="F175" s="1001" t="str">
        <f t="shared" si="55"/>
        <v>A572-50-01</v>
      </c>
      <c r="G175" s="1172">
        <v>18.600000000000001</v>
      </c>
      <c r="H175" s="985">
        <v>22700</v>
      </c>
      <c r="I175" s="1173">
        <v>16.399999999999999</v>
      </c>
      <c r="J175" s="985">
        <v>20300</v>
      </c>
      <c r="K175" s="1173">
        <v>9.3000000000000007</v>
      </c>
      <c r="L175" s="985">
        <v>12000</v>
      </c>
      <c r="M175" s="1174">
        <f t="shared" si="56"/>
        <v>44.3</v>
      </c>
      <c r="N175" s="984">
        <f t="shared" si="57"/>
        <v>55000</v>
      </c>
      <c r="O175" s="986">
        <f t="shared" si="58"/>
        <v>158.40893230983949</v>
      </c>
      <c r="P175" s="987">
        <f t="shared" si="59"/>
        <v>141.66085136078158</v>
      </c>
      <c r="Q175" s="987">
        <f t="shared" si="60"/>
        <v>83.740404745289595</v>
      </c>
      <c r="R175" s="988">
        <f t="shared" si="61"/>
        <v>383.81018841591066</v>
      </c>
      <c r="S175" s="989">
        <v>143.30000000000001</v>
      </c>
      <c r="T175" s="990">
        <v>0</v>
      </c>
      <c r="U175" s="991">
        <v>0</v>
      </c>
      <c r="V175" s="991">
        <v>337</v>
      </c>
      <c r="W175" s="992">
        <f t="shared" si="62"/>
        <v>337</v>
      </c>
      <c r="X175" s="993">
        <f t="shared" si="63"/>
        <v>2.3517096999302161</v>
      </c>
      <c r="Y175" s="990">
        <v>1547</v>
      </c>
      <c r="Z175" s="991">
        <v>1385</v>
      </c>
      <c r="AA175" s="991">
        <v>828</v>
      </c>
      <c r="AB175" s="992">
        <f t="shared" si="64"/>
        <v>3760</v>
      </c>
      <c r="AC175" s="993">
        <f t="shared" si="65"/>
        <v>26.238660153524073</v>
      </c>
      <c r="AD175" s="994">
        <f t="shared" si="66"/>
        <v>4097</v>
      </c>
      <c r="AE175" s="995">
        <f t="shared" si="67"/>
        <v>28.590369853454291</v>
      </c>
      <c r="AF175" s="996">
        <v>79</v>
      </c>
      <c r="AG175" s="997">
        <v>65</v>
      </c>
      <c r="AH175" s="997">
        <v>7</v>
      </c>
      <c r="AI175" s="998">
        <f t="shared" si="68"/>
        <v>151</v>
      </c>
      <c r="AJ175" s="993">
        <f t="shared" si="69"/>
        <v>1.0537334263782274</v>
      </c>
    </row>
    <row r="176" spans="1:36" ht="16.5" customHeight="1">
      <c r="A176" s="999">
        <f>'09월 조업일지'!A174</f>
        <v>46271</v>
      </c>
      <c r="B176" s="1099">
        <f>'09월 조업일지'!B174</f>
        <v>46271</v>
      </c>
      <c r="C176" s="1000" t="str">
        <f>'09월 화학성분'!D174</f>
        <v>D</v>
      </c>
      <c r="D176" s="1000" t="str">
        <f>'09월 화학성분'!E174</f>
        <v>A</v>
      </c>
      <c r="E176" s="1000">
        <f>'09월 화학성분'!C174</f>
        <v>85376</v>
      </c>
      <c r="F176" s="1001" t="str">
        <f t="shared" si="55"/>
        <v>A572-50-01</v>
      </c>
      <c r="G176" s="1172">
        <v>18.2</v>
      </c>
      <c r="H176" s="985">
        <v>22500</v>
      </c>
      <c r="I176" s="1173">
        <v>18.2</v>
      </c>
      <c r="J176" s="985">
        <v>22100</v>
      </c>
      <c r="K176" s="1173">
        <v>8.6</v>
      </c>
      <c r="L176" s="985">
        <v>11000</v>
      </c>
      <c r="M176" s="1174">
        <f t="shared" si="56"/>
        <v>45</v>
      </c>
      <c r="N176" s="984">
        <f t="shared" si="57"/>
        <v>55600</v>
      </c>
      <c r="O176" s="986">
        <f t="shared" si="58"/>
        <v>154.85203028217481</v>
      </c>
      <c r="P176" s="987">
        <f t="shared" si="59"/>
        <v>152.09910529938057</v>
      </c>
      <c r="Q176" s="987">
        <f t="shared" si="60"/>
        <v>75.705437026841011</v>
      </c>
      <c r="R176" s="988">
        <f t="shared" si="61"/>
        <v>382.6565726083964</v>
      </c>
      <c r="S176" s="989">
        <v>145.30000000000001</v>
      </c>
      <c r="T176" s="990">
        <v>0</v>
      </c>
      <c r="U176" s="991">
        <v>98</v>
      </c>
      <c r="V176" s="991">
        <v>221</v>
      </c>
      <c r="W176" s="992">
        <f t="shared" si="62"/>
        <v>319</v>
      </c>
      <c r="X176" s="993">
        <f t="shared" si="63"/>
        <v>2.1954576737783893</v>
      </c>
      <c r="Y176" s="990">
        <v>1511</v>
      </c>
      <c r="Z176" s="991">
        <v>1398</v>
      </c>
      <c r="AA176" s="991">
        <v>710</v>
      </c>
      <c r="AB176" s="992">
        <f t="shared" si="64"/>
        <v>3619</v>
      </c>
      <c r="AC176" s="993">
        <f t="shared" si="65"/>
        <v>24.907088781830694</v>
      </c>
      <c r="AD176" s="994">
        <f t="shared" si="66"/>
        <v>3938</v>
      </c>
      <c r="AE176" s="995">
        <f t="shared" si="67"/>
        <v>27.102546455609083</v>
      </c>
      <c r="AF176" s="996">
        <v>75</v>
      </c>
      <c r="AG176" s="997">
        <v>62</v>
      </c>
      <c r="AH176" s="997">
        <v>5</v>
      </c>
      <c r="AI176" s="998">
        <f t="shared" si="68"/>
        <v>142</v>
      </c>
      <c r="AJ176" s="993">
        <f t="shared" si="69"/>
        <v>0.97728836889194759</v>
      </c>
    </row>
    <row r="177" spans="1:36" ht="16.5" customHeight="1">
      <c r="A177" s="999">
        <f>'09월 조업일지'!A175</f>
        <v>46271</v>
      </c>
      <c r="B177" s="1099">
        <f>'09월 조업일지'!B175</f>
        <v>46271</v>
      </c>
      <c r="C177" s="1000" t="str">
        <f>'09월 화학성분'!D175</f>
        <v>D</v>
      </c>
      <c r="D177" s="1000" t="str">
        <f>'09월 화학성분'!E175</f>
        <v>B</v>
      </c>
      <c r="E177" s="1000">
        <f>'09월 화학성분'!C175</f>
        <v>85377</v>
      </c>
      <c r="F177" s="1104" t="s">
        <v>663</v>
      </c>
      <c r="G177" s="1172">
        <v>18.8</v>
      </c>
      <c r="H177" s="985">
        <v>23200</v>
      </c>
      <c r="I177" s="1173">
        <v>17</v>
      </c>
      <c r="J177" s="985">
        <v>20600</v>
      </c>
      <c r="K177" s="1173">
        <v>11.3</v>
      </c>
      <c r="L177" s="985">
        <v>14300</v>
      </c>
      <c r="M177" s="1174">
        <f t="shared" si="56"/>
        <v>47.099999999999994</v>
      </c>
      <c r="N177" s="984">
        <f t="shared" si="57"/>
        <v>58100</v>
      </c>
      <c r="O177" s="986">
        <f t="shared" si="58"/>
        <v>159.01302261823167</v>
      </c>
      <c r="P177" s="987">
        <f t="shared" si="59"/>
        <v>141.19259766963674</v>
      </c>
      <c r="Q177" s="987">
        <f t="shared" si="60"/>
        <v>98.012337217272105</v>
      </c>
      <c r="R177" s="988">
        <f t="shared" si="61"/>
        <v>398.21795750514053</v>
      </c>
      <c r="S177" s="989">
        <v>145.9</v>
      </c>
      <c r="T177" s="990">
        <v>0</v>
      </c>
      <c r="U177" s="991">
        <v>13</v>
      </c>
      <c r="V177" s="991">
        <v>340</v>
      </c>
      <c r="W177" s="992">
        <f t="shared" si="62"/>
        <v>353</v>
      </c>
      <c r="X177" s="993">
        <f t="shared" si="63"/>
        <v>2.4194653872515421</v>
      </c>
      <c r="Y177" s="990">
        <v>1556</v>
      </c>
      <c r="Z177" s="991">
        <v>1451</v>
      </c>
      <c r="AA177" s="991">
        <v>751</v>
      </c>
      <c r="AB177" s="992">
        <f t="shared" si="64"/>
        <v>3758</v>
      </c>
      <c r="AC177" s="993">
        <f t="shared" si="65"/>
        <v>25.757368060315283</v>
      </c>
      <c r="AD177" s="994">
        <f t="shared" si="66"/>
        <v>4111</v>
      </c>
      <c r="AE177" s="995">
        <f t="shared" si="67"/>
        <v>28.176833447566825</v>
      </c>
      <c r="AF177" s="996">
        <v>81</v>
      </c>
      <c r="AG177" s="997">
        <v>66</v>
      </c>
      <c r="AH177" s="997">
        <v>6</v>
      </c>
      <c r="AI177" s="998">
        <f t="shared" si="68"/>
        <v>153</v>
      </c>
      <c r="AJ177" s="993">
        <f t="shared" si="69"/>
        <v>1.0486634681288554</v>
      </c>
    </row>
    <row r="178" spans="1:36" ht="16.5" customHeight="1">
      <c r="A178" s="999">
        <f>'09월 조업일지'!A176</f>
        <v>46271</v>
      </c>
      <c r="B178" s="1099">
        <f>'09월 조업일지'!B176</f>
        <v>46271</v>
      </c>
      <c r="C178" s="1000" t="str">
        <f>'09월 화학성분'!D176</f>
        <v>D</v>
      </c>
      <c r="D178" s="1000" t="str">
        <f>'09월 화학성분'!E176</f>
        <v>A</v>
      </c>
      <c r="E178" s="1000">
        <f>'09월 화학성분'!C176</f>
        <v>85378</v>
      </c>
      <c r="F178" s="1001" t="str">
        <f t="shared" si="55"/>
        <v>SS400-02</v>
      </c>
      <c r="G178" s="1172">
        <v>18.600000000000001</v>
      </c>
      <c r="H178" s="985">
        <v>23500</v>
      </c>
      <c r="I178" s="1173">
        <v>17.8</v>
      </c>
      <c r="J178" s="985">
        <v>21900</v>
      </c>
      <c r="K178" s="1173">
        <v>9.1999999999999993</v>
      </c>
      <c r="L178" s="985">
        <v>11600</v>
      </c>
      <c r="M178" s="1174">
        <f t="shared" si="56"/>
        <v>45.600000000000009</v>
      </c>
      <c r="N178" s="984">
        <f t="shared" si="57"/>
        <v>57000</v>
      </c>
      <c r="O178" s="986">
        <f t="shared" si="58"/>
        <v>161.95727084769126</v>
      </c>
      <c r="P178" s="987">
        <f t="shared" si="59"/>
        <v>150.93039283252929</v>
      </c>
      <c r="Q178" s="987">
        <f t="shared" si="60"/>
        <v>79.944865609924193</v>
      </c>
      <c r="R178" s="988">
        <f t="shared" si="61"/>
        <v>392.83252929014475</v>
      </c>
      <c r="S178" s="989">
        <v>145.1</v>
      </c>
      <c r="T178" s="990">
        <v>0</v>
      </c>
      <c r="U178" s="991">
        <v>80</v>
      </c>
      <c r="V178" s="991">
        <v>282</v>
      </c>
      <c r="W178" s="992">
        <f t="shared" si="62"/>
        <v>362</v>
      </c>
      <c r="X178" s="993">
        <f t="shared" si="63"/>
        <v>2.4948311509303931</v>
      </c>
      <c r="Y178" s="990">
        <v>1554</v>
      </c>
      <c r="Z178" s="991">
        <v>1497</v>
      </c>
      <c r="AA178" s="991">
        <v>703</v>
      </c>
      <c r="AB178" s="992">
        <f t="shared" si="64"/>
        <v>3754</v>
      </c>
      <c r="AC178" s="993">
        <f t="shared" si="65"/>
        <v>25.871812543073744</v>
      </c>
      <c r="AD178" s="994">
        <f t="shared" si="66"/>
        <v>4116</v>
      </c>
      <c r="AE178" s="995">
        <f t="shared" si="67"/>
        <v>28.366643694004136</v>
      </c>
      <c r="AF178" s="996">
        <v>78</v>
      </c>
      <c r="AG178" s="997">
        <v>63</v>
      </c>
      <c r="AH178" s="997">
        <v>5</v>
      </c>
      <c r="AI178" s="998">
        <f t="shared" si="68"/>
        <v>146</v>
      </c>
      <c r="AJ178" s="993">
        <f t="shared" si="69"/>
        <v>1.0062026188835287</v>
      </c>
    </row>
    <row r="179" spans="1:36" ht="16.5" customHeight="1">
      <c r="A179" s="999">
        <f>'09월 조업일지'!A177</f>
        <v>46271</v>
      </c>
      <c r="B179" s="1099">
        <f>'09월 조업일지'!B177</f>
        <v>46271</v>
      </c>
      <c r="C179" s="1000" t="str">
        <f>'09월 화학성분'!D177</f>
        <v>A</v>
      </c>
      <c r="D179" s="1000" t="str">
        <f>'09월 화학성분'!E177</f>
        <v>B</v>
      </c>
      <c r="E179" s="1000">
        <f>'09월 화학성분'!C177</f>
        <v>85379</v>
      </c>
      <c r="F179" s="1001" t="str">
        <f t="shared" si="55"/>
        <v>SS400-02</v>
      </c>
      <c r="G179" s="1172">
        <v>18.600000000000001</v>
      </c>
      <c r="H179" s="985">
        <v>23000</v>
      </c>
      <c r="I179" s="1173">
        <v>16.7</v>
      </c>
      <c r="J179" s="985">
        <v>20700</v>
      </c>
      <c r="K179" s="1173">
        <v>9.4</v>
      </c>
      <c r="L179" s="985">
        <v>12100</v>
      </c>
      <c r="M179" s="1174">
        <f t="shared" si="56"/>
        <v>44.699999999999996</v>
      </c>
      <c r="N179" s="984">
        <f t="shared" si="57"/>
        <v>55800</v>
      </c>
      <c r="O179" s="986">
        <f t="shared" si="58"/>
        <v>158.40220385674931</v>
      </c>
      <c r="P179" s="987">
        <f t="shared" si="59"/>
        <v>142.5619834710744</v>
      </c>
      <c r="Q179" s="987">
        <f t="shared" si="60"/>
        <v>83.333333333333343</v>
      </c>
      <c r="R179" s="988">
        <f t="shared" si="61"/>
        <v>384.29752066115702</v>
      </c>
      <c r="S179" s="989">
        <v>145.19999999999999</v>
      </c>
      <c r="T179" s="990">
        <v>0</v>
      </c>
      <c r="U179" s="991">
        <v>42</v>
      </c>
      <c r="V179" s="991">
        <v>323</v>
      </c>
      <c r="W179" s="992">
        <f t="shared" si="62"/>
        <v>365</v>
      </c>
      <c r="X179" s="993">
        <f t="shared" si="63"/>
        <v>2.5137741046831956</v>
      </c>
      <c r="Y179" s="990">
        <v>1571</v>
      </c>
      <c r="Z179" s="991">
        <v>1394</v>
      </c>
      <c r="AA179" s="991">
        <v>715</v>
      </c>
      <c r="AB179" s="992">
        <f t="shared" si="64"/>
        <v>3680</v>
      </c>
      <c r="AC179" s="993">
        <f t="shared" si="65"/>
        <v>25.344352617079892</v>
      </c>
      <c r="AD179" s="994">
        <f t="shared" si="66"/>
        <v>4045</v>
      </c>
      <c r="AE179" s="995">
        <f t="shared" si="67"/>
        <v>27.858126721763089</v>
      </c>
      <c r="AF179" s="996">
        <v>77</v>
      </c>
      <c r="AG179" s="997">
        <v>66</v>
      </c>
      <c r="AH179" s="997">
        <v>5</v>
      </c>
      <c r="AI179" s="998">
        <f t="shared" si="68"/>
        <v>148</v>
      </c>
      <c r="AJ179" s="993">
        <f t="shared" si="69"/>
        <v>1.0192837465564739</v>
      </c>
    </row>
    <row r="180" spans="1:36" ht="16.5" customHeight="1">
      <c r="A180" s="999">
        <f>'09월 조업일지'!A178</f>
        <v>46271</v>
      </c>
      <c r="B180" s="1099">
        <f>'09월 조업일지'!B178</f>
        <v>46271</v>
      </c>
      <c r="C180" s="1000" t="str">
        <f>'09월 화학성분'!D178</f>
        <v>A</v>
      </c>
      <c r="D180" s="1000" t="str">
        <f>'09월 화학성분'!E178</f>
        <v>A</v>
      </c>
      <c r="E180" s="1000">
        <f>'09월 화학성분'!C178</f>
        <v>85380</v>
      </c>
      <c r="F180" s="1104" t="s">
        <v>668</v>
      </c>
      <c r="G180" s="1172">
        <v>18.5</v>
      </c>
      <c r="H180" s="985">
        <v>22900</v>
      </c>
      <c r="I180" s="1173">
        <v>18</v>
      </c>
      <c r="J180" s="985">
        <v>21800</v>
      </c>
      <c r="K180" s="1173">
        <v>15</v>
      </c>
      <c r="L180" s="985">
        <v>17000</v>
      </c>
      <c r="M180" s="1174">
        <f t="shared" si="56"/>
        <v>51.5</v>
      </c>
      <c r="N180" s="984">
        <f t="shared" si="57"/>
        <v>61700</v>
      </c>
      <c r="O180" s="986">
        <f t="shared" si="58"/>
        <v>169.00369003690037</v>
      </c>
      <c r="P180" s="987">
        <f t="shared" si="59"/>
        <v>160.88560885608857</v>
      </c>
      <c r="Q180" s="987">
        <f t="shared" si="60"/>
        <v>125.46125461254613</v>
      </c>
      <c r="R180" s="988">
        <f t="shared" si="61"/>
        <v>455.350553505535</v>
      </c>
      <c r="S180" s="989">
        <v>135.5</v>
      </c>
      <c r="T180" s="990">
        <v>0</v>
      </c>
      <c r="U180" s="991">
        <v>334</v>
      </c>
      <c r="V180" s="991">
        <v>44</v>
      </c>
      <c r="W180" s="992">
        <f t="shared" si="62"/>
        <v>378</v>
      </c>
      <c r="X180" s="993">
        <f t="shared" si="63"/>
        <v>2.7896678966789668</v>
      </c>
      <c r="Y180" s="990">
        <v>1525</v>
      </c>
      <c r="Z180" s="991">
        <v>1536</v>
      </c>
      <c r="AA180" s="991">
        <v>1607</v>
      </c>
      <c r="AB180" s="992">
        <f t="shared" si="64"/>
        <v>4668</v>
      </c>
      <c r="AC180" s="993">
        <f t="shared" si="65"/>
        <v>34.450184501845015</v>
      </c>
      <c r="AD180" s="994">
        <f t="shared" si="66"/>
        <v>5046</v>
      </c>
      <c r="AE180" s="995">
        <f t="shared" si="67"/>
        <v>37.239852398523986</v>
      </c>
      <c r="AF180" s="996">
        <v>78</v>
      </c>
      <c r="AG180" s="997">
        <v>62</v>
      </c>
      <c r="AH180" s="997">
        <v>15</v>
      </c>
      <c r="AI180" s="998">
        <f t="shared" si="68"/>
        <v>155</v>
      </c>
      <c r="AJ180" s="993">
        <f t="shared" si="69"/>
        <v>1.1439114391143912</v>
      </c>
    </row>
    <row r="181" spans="1:36" ht="16.5" customHeight="1">
      <c r="A181" s="999">
        <f>'09월 조업일지'!A179</f>
        <v>46271</v>
      </c>
      <c r="B181" s="1099">
        <f>'09월 조업일지'!B179</f>
        <v>46271</v>
      </c>
      <c r="C181" s="1000" t="str">
        <f>'09월 화학성분'!D179</f>
        <v>A</v>
      </c>
      <c r="D181" s="1000" t="str">
        <f>'09월 화학성분'!E179</f>
        <v>B</v>
      </c>
      <c r="E181" s="1000">
        <f>'09월 화학성분'!C179</f>
        <v>85381</v>
      </c>
      <c r="F181" s="1001" t="str">
        <f t="shared" si="55"/>
        <v>SHN275(BB)</v>
      </c>
      <c r="G181" s="1172">
        <v>20.8</v>
      </c>
      <c r="H181" s="985">
        <v>25100</v>
      </c>
      <c r="I181" s="1173">
        <v>16.100000000000001</v>
      </c>
      <c r="J181" s="985">
        <v>20400</v>
      </c>
      <c r="K181" s="1173">
        <v>12.6</v>
      </c>
      <c r="L181" s="985">
        <v>15600</v>
      </c>
      <c r="M181" s="1174">
        <f t="shared" ref="M181" si="70">IF(ISBLANK(G181),"",SUM(G181,I181,K181))</f>
        <v>49.500000000000007</v>
      </c>
      <c r="N181" s="984">
        <f t="shared" ref="N181" si="71">IF(ISBLANK(H181),"",SUM(H181,J181,L181))</f>
        <v>61100</v>
      </c>
      <c r="O181" s="986">
        <f t="shared" ref="O181" si="72">IF(ISBLANK(H181),"",H181/S181)</f>
        <v>176.51195499296767</v>
      </c>
      <c r="P181" s="987">
        <f t="shared" ref="P181" si="73">IF(ISBLANK(J181),"",+J181/S181)</f>
        <v>143.45991561181435</v>
      </c>
      <c r="Q181" s="987">
        <f t="shared" ref="Q181" si="74">IF(ISBLANK(L181),"",L181/S181)</f>
        <v>109.70464135021098</v>
      </c>
      <c r="R181" s="988">
        <f t="shared" ref="R181" si="75">IF(ISBLANK(L181),"",SUM(O181:Q181))</f>
        <v>429.67651195499298</v>
      </c>
      <c r="S181" s="989">
        <v>142.19999999999999</v>
      </c>
      <c r="T181" s="990">
        <v>0</v>
      </c>
      <c r="U181" s="991">
        <v>227</v>
      </c>
      <c r="V181" s="991">
        <v>247</v>
      </c>
      <c r="W181" s="992">
        <f t="shared" ref="W181" si="76">IF(SUM(T181:V181)=0,"",SUM(T181:V181))</f>
        <v>474</v>
      </c>
      <c r="X181" s="993">
        <f t="shared" ref="X181" si="77">IF(W181="","",W181/S181)</f>
        <v>3.3333333333333335</v>
      </c>
      <c r="Y181" s="990">
        <v>1742</v>
      </c>
      <c r="Z181" s="991">
        <v>1325</v>
      </c>
      <c r="AA181" s="991">
        <v>781</v>
      </c>
      <c r="AB181" s="992">
        <f t="shared" ref="AB181" si="78">IF(SUM(Y181:AA181)=0,"",SUM(Y181:AA181))</f>
        <v>3848</v>
      </c>
      <c r="AC181" s="993">
        <f t="shared" ref="AC181" si="79">IF(AB181="","",AB181/S181)</f>
        <v>27.060478199718709</v>
      </c>
      <c r="AD181" s="994">
        <f t="shared" ref="AD181" si="80">IF(SUM(W181,AB181)=0,"",SUM(W181,AB181))</f>
        <v>4322</v>
      </c>
      <c r="AE181" s="995">
        <f t="shared" ref="AE181" si="81">IF(AD181="","",AD181/S181)</f>
        <v>30.393811533052041</v>
      </c>
      <c r="AF181" s="996">
        <v>83</v>
      </c>
      <c r="AG181" s="997">
        <v>63</v>
      </c>
      <c r="AH181" s="997">
        <v>6</v>
      </c>
      <c r="AI181" s="998">
        <f t="shared" si="68"/>
        <v>152</v>
      </c>
      <c r="AJ181" s="993">
        <f t="shared" si="69"/>
        <v>1.068917018284107</v>
      </c>
    </row>
    <row r="182" spans="1:36" ht="16.5" customHeight="1">
      <c r="A182" s="999">
        <f>'09월 조업일지'!A180</f>
        <v>46271</v>
      </c>
      <c r="B182" s="1099">
        <f>'09월 조업일지'!B180</f>
        <v>46271</v>
      </c>
      <c r="C182" s="1000" t="str">
        <f>'09월 화학성분'!D180</f>
        <v>A</v>
      </c>
      <c r="D182" s="1232" t="str">
        <f>'09월 화학성분'!E180</f>
        <v>B</v>
      </c>
      <c r="E182" s="1000">
        <f>'09월 화학성분'!C180</f>
        <v>85382</v>
      </c>
      <c r="F182" s="1104" t="s">
        <v>670</v>
      </c>
      <c r="G182" s="1172">
        <v>19.899999999999999</v>
      </c>
      <c r="H182" s="985">
        <v>24000</v>
      </c>
      <c r="I182" s="1173">
        <v>16.5</v>
      </c>
      <c r="J182" s="985">
        <v>20400</v>
      </c>
      <c r="K182" s="1173">
        <v>10.1</v>
      </c>
      <c r="L182" s="985">
        <v>12900</v>
      </c>
      <c r="M182" s="1174">
        <f t="shared" si="56"/>
        <v>46.5</v>
      </c>
      <c r="N182" s="984">
        <f t="shared" si="57"/>
        <v>57300</v>
      </c>
      <c r="O182" s="986">
        <f t="shared" si="58"/>
        <v>165.74585635359114</v>
      </c>
      <c r="P182" s="987">
        <f t="shared" si="59"/>
        <v>140.88397790055248</v>
      </c>
      <c r="Q182" s="987">
        <f t="shared" si="60"/>
        <v>89.08839779005524</v>
      </c>
      <c r="R182" s="988">
        <f t="shared" si="61"/>
        <v>395.71823204419883</v>
      </c>
      <c r="S182" s="989">
        <v>144.80000000000001</v>
      </c>
      <c r="T182" s="990">
        <v>0</v>
      </c>
      <c r="U182" s="991">
        <v>172</v>
      </c>
      <c r="V182" s="991">
        <v>179</v>
      </c>
      <c r="W182" s="992">
        <f t="shared" si="62"/>
        <v>351</v>
      </c>
      <c r="X182" s="993">
        <f t="shared" si="63"/>
        <v>2.4240331491712706</v>
      </c>
      <c r="Y182" s="990">
        <v>1662</v>
      </c>
      <c r="Z182" s="991">
        <v>1380</v>
      </c>
      <c r="AA182" s="991">
        <v>674</v>
      </c>
      <c r="AB182" s="992">
        <f t="shared" si="64"/>
        <v>3716</v>
      </c>
      <c r="AC182" s="993">
        <f t="shared" si="65"/>
        <v>25.662983425414364</v>
      </c>
      <c r="AD182" s="994">
        <f t="shared" si="66"/>
        <v>4067</v>
      </c>
      <c r="AE182" s="995">
        <f t="shared" si="67"/>
        <v>28.087016574585633</v>
      </c>
      <c r="AF182" s="996">
        <v>80</v>
      </c>
      <c r="AG182" s="997">
        <v>66</v>
      </c>
      <c r="AH182" s="997">
        <v>6</v>
      </c>
      <c r="AI182" s="998">
        <f t="shared" si="68"/>
        <v>152</v>
      </c>
      <c r="AJ182" s="993">
        <f t="shared" si="69"/>
        <v>1.0497237569060773</v>
      </c>
    </row>
    <row r="183" spans="1:36" ht="16.5" customHeight="1">
      <c r="A183" s="999">
        <f>'09월 조업일지'!A181</f>
        <v>46271</v>
      </c>
      <c r="B183" s="1099">
        <f>'09월 조업일지'!B181</f>
        <v>46271</v>
      </c>
      <c r="C183" s="1000" t="str">
        <f>'09월 화학성분'!D181</f>
        <v>A</v>
      </c>
      <c r="D183" s="1232" t="str">
        <f>'09월 화학성분'!E181</f>
        <v>B</v>
      </c>
      <c r="E183" s="1000">
        <f>'09월 화학성분'!C181</f>
        <v>85383</v>
      </c>
      <c r="F183" s="1001" t="str">
        <f t="shared" si="55"/>
        <v>SS400-02</v>
      </c>
      <c r="G183" s="1172">
        <v>18.899999999999999</v>
      </c>
      <c r="H183" s="985">
        <v>23700</v>
      </c>
      <c r="I183" s="1173">
        <v>16.100000000000001</v>
      </c>
      <c r="J183" s="985">
        <v>20300</v>
      </c>
      <c r="K183" s="1173">
        <v>11.1</v>
      </c>
      <c r="L183" s="985">
        <v>13600</v>
      </c>
      <c r="M183" s="1174">
        <f t="shared" si="56"/>
        <v>46.1</v>
      </c>
      <c r="N183" s="984">
        <f t="shared" si="57"/>
        <v>57600</v>
      </c>
      <c r="O183" s="986">
        <f t="shared" si="58"/>
        <v>164.12742382271466</v>
      </c>
      <c r="P183" s="987">
        <f t="shared" si="59"/>
        <v>140.58171745152353</v>
      </c>
      <c r="Q183" s="987">
        <f t="shared" si="60"/>
        <v>94.182825484764535</v>
      </c>
      <c r="R183" s="988">
        <f t="shared" si="61"/>
        <v>398.89196675900268</v>
      </c>
      <c r="S183" s="989">
        <v>144.4</v>
      </c>
      <c r="T183" s="990">
        <v>0</v>
      </c>
      <c r="U183" s="991">
        <v>145</v>
      </c>
      <c r="V183" s="991">
        <v>53</v>
      </c>
      <c r="W183" s="992">
        <f t="shared" si="62"/>
        <v>198</v>
      </c>
      <c r="X183" s="993">
        <f t="shared" si="63"/>
        <v>1.371191135734072</v>
      </c>
      <c r="Y183" s="990">
        <v>1609</v>
      </c>
      <c r="Z183" s="991">
        <v>1343</v>
      </c>
      <c r="AA183" s="991">
        <v>949</v>
      </c>
      <c r="AB183" s="992">
        <f t="shared" si="64"/>
        <v>3901</v>
      </c>
      <c r="AC183" s="993">
        <f t="shared" si="65"/>
        <v>27.01523545706371</v>
      </c>
      <c r="AD183" s="994">
        <f t="shared" si="66"/>
        <v>4099</v>
      </c>
      <c r="AE183" s="995">
        <f t="shared" si="67"/>
        <v>28.386426592797783</v>
      </c>
      <c r="AF183" s="996">
        <v>80</v>
      </c>
      <c r="AG183" s="997">
        <v>64</v>
      </c>
      <c r="AH183" s="997">
        <v>9</v>
      </c>
      <c r="AI183" s="998">
        <f t="shared" si="68"/>
        <v>153</v>
      </c>
      <c r="AJ183" s="993">
        <f t="shared" si="69"/>
        <v>1.0595567867036011</v>
      </c>
    </row>
    <row r="184" spans="1:36" ht="16.5" customHeight="1">
      <c r="A184" s="999">
        <f>'09월 조업일지'!A182</f>
        <v>46272</v>
      </c>
      <c r="B184" s="1099">
        <f>'09월 조업일지'!B182</f>
        <v>46271</v>
      </c>
      <c r="C184" s="1000" t="str">
        <f>'09월 화학성분'!D182</f>
        <v>A</v>
      </c>
      <c r="D184" s="1232" t="str">
        <f>'09월 화학성분'!E182</f>
        <v>B</v>
      </c>
      <c r="E184" s="1000">
        <f>'09월 화학성분'!C182</f>
        <v>85384</v>
      </c>
      <c r="F184" s="1001" t="str">
        <f t="shared" si="55"/>
        <v>SS400-02</v>
      </c>
      <c r="G184" s="1172">
        <v>20.5</v>
      </c>
      <c r="H184" s="985">
        <v>23800</v>
      </c>
      <c r="I184" s="1173">
        <v>16.2</v>
      </c>
      <c r="J184" s="985">
        <v>20600</v>
      </c>
      <c r="K184" s="1173">
        <v>8.9</v>
      </c>
      <c r="L184" s="985">
        <v>11300</v>
      </c>
      <c r="M184" s="1174">
        <f t="shared" si="56"/>
        <v>45.6</v>
      </c>
      <c r="N184" s="984">
        <f t="shared" si="57"/>
        <v>55700</v>
      </c>
      <c r="O184" s="986">
        <f t="shared" si="58"/>
        <v>165.50764951321278</v>
      </c>
      <c r="P184" s="987">
        <f t="shared" si="59"/>
        <v>143.25452016689846</v>
      </c>
      <c r="Q184" s="987">
        <f t="shared" si="60"/>
        <v>78.581363004172459</v>
      </c>
      <c r="R184" s="988">
        <f t="shared" si="61"/>
        <v>387.34353268428367</v>
      </c>
      <c r="S184" s="989">
        <v>143.80000000000001</v>
      </c>
      <c r="T184" s="990">
        <v>0</v>
      </c>
      <c r="U184" s="991">
        <v>87</v>
      </c>
      <c r="V184" s="991">
        <v>225</v>
      </c>
      <c r="W184" s="992">
        <f t="shared" si="62"/>
        <v>312</v>
      </c>
      <c r="X184" s="993">
        <f t="shared" si="63"/>
        <v>2.1696801112656465</v>
      </c>
      <c r="Y184" s="990">
        <v>1726</v>
      </c>
      <c r="Z184" s="991">
        <v>1358</v>
      </c>
      <c r="AA184" s="991">
        <v>778</v>
      </c>
      <c r="AB184" s="992">
        <f t="shared" si="64"/>
        <v>3862</v>
      </c>
      <c r="AC184" s="993">
        <f t="shared" si="65"/>
        <v>26.856745479833098</v>
      </c>
      <c r="AD184" s="994">
        <f t="shared" si="66"/>
        <v>4174</v>
      </c>
      <c r="AE184" s="995">
        <f t="shared" si="67"/>
        <v>29.026425591098747</v>
      </c>
      <c r="AF184" s="996">
        <v>85</v>
      </c>
      <c r="AG184" s="997">
        <v>63</v>
      </c>
      <c r="AH184" s="997">
        <v>7</v>
      </c>
      <c r="AI184" s="998">
        <f t="shared" si="68"/>
        <v>155</v>
      </c>
      <c r="AJ184" s="993">
        <f t="shared" si="69"/>
        <v>1.0778859527121001</v>
      </c>
    </row>
    <row r="185" spans="1:36" ht="16.5" customHeight="1">
      <c r="A185" s="999">
        <f>'09월 조업일지'!A183</f>
        <v>46272</v>
      </c>
      <c r="B185" s="1099">
        <f>'09월 조업일지'!B183</f>
        <v>46271</v>
      </c>
      <c r="C185" s="1000" t="str">
        <f>'09월 화학성분'!D183</f>
        <v>A</v>
      </c>
      <c r="D185" s="1000" t="str">
        <f>'09월 화학성분'!E183</f>
        <v>A</v>
      </c>
      <c r="E185" s="1000">
        <f>'09월 화학성분'!C183</f>
        <v>85385</v>
      </c>
      <c r="F185" s="1001" t="str">
        <f t="shared" si="55"/>
        <v>SS400-02</v>
      </c>
      <c r="G185" s="1172">
        <v>20.7</v>
      </c>
      <c r="H185" s="985">
        <v>24900</v>
      </c>
      <c r="I185" s="1173">
        <v>17.2</v>
      </c>
      <c r="J185" s="985">
        <v>21700</v>
      </c>
      <c r="K185" s="1173">
        <v>7.8</v>
      </c>
      <c r="L185" s="985">
        <v>9900</v>
      </c>
      <c r="M185" s="1174">
        <f t="shared" si="56"/>
        <v>45.699999999999996</v>
      </c>
      <c r="N185" s="984">
        <f t="shared" si="57"/>
        <v>56500</v>
      </c>
      <c r="O185" s="986">
        <f t="shared" si="58"/>
        <v>171.72413793103448</v>
      </c>
      <c r="P185" s="987">
        <f t="shared" si="59"/>
        <v>149.65517241379311</v>
      </c>
      <c r="Q185" s="987">
        <f t="shared" si="60"/>
        <v>68.275862068965523</v>
      </c>
      <c r="R185" s="988">
        <f t="shared" si="61"/>
        <v>389.65517241379308</v>
      </c>
      <c r="S185" s="989">
        <v>145</v>
      </c>
      <c r="T185" s="990">
        <v>0</v>
      </c>
      <c r="U185" s="991">
        <v>308</v>
      </c>
      <c r="V185" s="991">
        <v>195</v>
      </c>
      <c r="W185" s="992">
        <f t="shared" si="62"/>
        <v>503</v>
      </c>
      <c r="X185" s="993">
        <f t="shared" si="63"/>
        <v>3.4689655172413794</v>
      </c>
      <c r="Y185" s="990">
        <v>1572</v>
      </c>
      <c r="Z185" s="991">
        <v>1494</v>
      </c>
      <c r="AA185" s="991">
        <v>595</v>
      </c>
      <c r="AB185" s="992">
        <f t="shared" si="64"/>
        <v>3661</v>
      </c>
      <c r="AC185" s="993">
        <f t="shared" si="65"/>
        <v>25.248275862068965</v>
      </c>
      <c r="AD185" s="994">
        <f t="shared" si="66"/>
        <v>4164</v>
      </c>
      <c r="AE185" s="995">
        <f t="shared" si="67"/>
        <v>28.717241379310344</v>
      </c>
      <c r="AF185" s="996">
        <v>64</v>
      </c>
      <c r="AG185" s="997">
        <v>63</v>
      </c>
      <c r="AH185" s="997">
        <v>5</v>
      </c>
      <c r="AI185" s="998">
        <f t="shared" si="68"/>
        <v>132</v>
      </c>
      <c r="AJ185" s="993">
        <f t="shared" si="69"/>
        <v>0.91034482758620694</v>
      </c>
    </row>
    <row r="186" spans="1:36" ht="16.5" customHeight="1">
      <c r="A186" s="999">
        <f>'09월 조업일지'!A184</f>
        <v>46272</v>
      </c>
      <c r="B186" s="1099">
        <f>'09월 조업일지'!B184</f>
        <v>46271</v>
      </c>
      <c r="C186" s="1000" t="str">
        <f>'09월 화학성분'!D184</f>
        <v>A</v>
      </c>
      <c r="D186" s="1000" t="str">
        <f>'09월 화학성분'!E184</f>
        <v>B</v>
      </c>
      <c r="E186" s="1000">
        <f>'09월 화학성분'!C184</f>
        <v>85386</v>
      </c>
      <c r="F186" s="1104" t="s">
        <v>672</v>
      </c>
      <c r="G186" s="1172">
        <v>18.899999999999999</v>
      </c>
      <c r="H186" s="985">
        <v>23100</v>
      </c>
      <c r="I186" s="1173">
        <v>16.399999999999999</v>
      </c>
      <c r="J186" s="985">
        <v>20400</v>
      </c>
      <c r="K186" s="1173">
        <v>9.3000000000000007</v>
      </c>
      <c r="L186" s="985">
        <v>12000</v>
      </c>
      <c r="M186" s="1174">
        <f t="shared" si="56"/>
        <v>44.599999999999994</v>
      </c>
      <c r="N186" s="984">
        <f t="shared" si="57"/>
        <v>55500</v>
      </c>
      <c r="O186" s="986">
        <f t="shared" si="58"/>
        <v>160.52814454482279</v>
      </c>
      <c r="P186" s="987">
        <f t="shared" si="59"/>
        <v>141.76511466296037</v>
      </c>
      <c r="Q186" s="987">
        <f t="shared" si="60"/>
        <v>83.391243919388458</v>
      </c>
      <c r="R186" s="988">
        <f t="shared" si="61"/>
        <v>385.68450312717164</v>
      </c>
      <c r="S186" s="989">
        <v>143.9</v>
      </c>
      <c r="T186" s="990">
        <v>0</v>
      </c>
      <c r="U186" s="991">
        <v>117</v>
      </c>
      <c r="V186" s="991">
        <v>146</v>
      </c>
      <c r="W186" s="992">
        <f t="shared" si="62"/>
        <v>263</v>
      </c>
      <c r="X186" s="993">
        <f t="shared" si="63"/>
        <v>1.8276580958999304</v>
      </c>
      <c r="Y186" s="990">
        <v>1572</v>
      </c>
      <c r="Z186" s="991">
        <v>1355</v>
      </c>
      <c r="AA186" s="991">
        <v>826</v>
      </c>
      <c r="AB186" s="992">
        <f t="shared" si="64"/>
        <v>3753</v>
      </c>
      <c r="AC186" s="993">
        <f t="shared" si="65"/>
        <v>26.080611535788741</v>
      </c>
      <c r="AD186" s="994">
        <f t="shared" si="66"/>
        <v>4016</v>
      </c>
      <c r="AE186" s="995">
        <f t="shared" si="67"/>
        <v>27.908269631688672</v>
      </c>
      <c r="AF186" s="996">
        <v>81</v>
      </c>
      <c r="AG186" s="997">
        <v>64</v>
      </c>
      <c r="AH186" s="997">
        <v>7</v>
      </c>
      <c r="AI186" s="998">
        <f t="shared" si="68"/>
        <v>152</v>
      </c>
      <c r="AJ186" s="993">
        <f t="shared" si="69"/>
        <v>1.0562890896455872</v>
      </c>
    </row>
    <row r="187" spans="1:36" ht="16.5" customHeight="1">
      <c r="A187" s="999">
        <f>'09월 조업일지'!A185</f>
        <v>46272</v>
      </c>
      <c r="B187" s="1099">
        <f>'09월 조업일지'!B185</f>
        <v>46271</v>
      </c>
      <c r="C187" s="1000" t="str">
        <f>'09월 화학성분'!D185</f>
        <v>A</v>
      </c>
      <c r="D187" s="1000" t="str">
        <f>'09월 화학성분'!E185</f>
        <v>A</v>
      </c>
      <c r="E187" s="1000">
        <f>'09월 화학성분'!C185</f>
        <v>85387</v>
      </c>
      <c r="F187" s="1001" t="str">
        <f t="shared" si="55"/>
        <v>SHN275(BB)</v>
      </c>
      <c r="G187" s="1172">
        <v>19.2</v>
      </c>
      <c r="H187" s="985">
        <v>24000</v>
      </c>
      <c r="I187" s="1173">
        <v>16.8</v>
      </c>
      <c r="J187" s="985">
        <v>21600</v>
      </c>
      <c r="K187" s="1173">
        <v>8.9</v>
      </c>
      <c r="L187" s="985">
        <v>11300</v>
      </c>
      <c r="M187" s="1174">
        <f t="shared" si="56"/>
        <v>44.9</v>
      </c>
      <c r="N187" s="984">
        <f t="shared" si="57"/>
        <v>56900</v>
      </c>
      <c r="O187" s="986">
        <f t="shared" si="58"/>
        <v>167.01461377870564</v>
      </c>
      <c r="P187" s="987">
        <f t="shared" si="59"/>
        <v>150.31315240083509</v>
      </c>
      <c r="Q187" s="987">
        <f t="shared" si="60"/>
        <v>78.636047320807251</v>
      </c>
      <c r="R187" s="988">
        <f t="shared" si="61"/>
        <v>395.96381350034801</v>
      </c>
      <c r="S187" s="989">
        <v>143.69999999999999</v>
      </c>
      <c r="T187" s="990">
        <v>0</v>
      </c>
      <c r="U187" s="991">
        <v>272</v>
      </c>
      <c r="V187" s="991">
        <v>27</v>
      </c>
      <c r="W187" s="992">
        <f t="shared" si="62"/>
        <v>299</v>
      </c>
      <c r="X187" s="993">
        <f t="shared" si="63"/>
        <v>2.080723729993041</v>
      </c>
      <c r="Y187" s="990">
        <v>1623</v>
      </c>
      <c r="Z187" s="991">
        <v>1430</v>
      </c>
      <c r="AA187" s="991">
        <v>475</v>
      </c>
      <c r="AB187" s="992">
        <f t="shared" si="64"/>
        <v>3528</v>
      </c>
      <c r="AC187" s="993">
        <f t="shared" si="65"/>
        <v>24.551148225469731</v>
      </c>
      <c r="AD187" s="994">
        <f t="shared" si="66"/>
        <v>3827</v>
      </c>
      <c r="AE187" s="995">
        <f t="shared" si="67"/>
        <v>26.631871955462771</v>
      </c>
      <c r="AF187" s="996">
        <v>76</v>
      </c>
      <c r="AG187" s="997">
        <v>61</v>
      </c>
      <c r="AH187" s="997">
        <v>4</v>
      </c>
      <c r="AI187" s="998">
        <f t="shared" si="68"/>
        <v>141</v>
      </c>
      <c r="AJ187" s="993">
        <f t="shared" si="69"/>
        <v>0.98121085594989566</v>
      </c>
    </row>
    <row r="188" spans="1:36" ht="16.5" customHeight="1">
      <c r="A188" s="999">
        <f>'09월 조업일지'!A186</f>
        <v>46272</v>
      </c>
      <c r="B188" s="1099">
        <f>'09월 조업일지'!B186</f>
        <v>46272</v>
      </c>
      <c r="C188" s="1000" t="str">
        <f>'09월 화학성분'!D186</f>
        <v>B</v>
      </c>
      <c r="D188" s="1000" t="str">
        <f>'09월 화학성분'!E186</f>
        <v>B</v>
      </c>
      <c r="E188" s="1000">
        <f>'09월 화학성분'!C186</f>
        <v>85388</v>
      </c>
      <c r="F188" s="1001" t="str">
        <f t="shared" si="55"/>
        <v>SHN275(BB)</v>
      </c>
      <c r="G188" s="1172">
        <v>19.7</v>
      </c>
      <c r="H188" s="985">
        <v>23500</v>
      </c>
      <c r="I188" s="1173">
        <v>16.2</v>
      </c>
      <c r="J188" s="985">
        <v>20300</v>
      </c>
      <c r="K188" s="1173">
        <v>9.6999999999999993</v>
      </c>
      <c r="L188" s="985">
        <v>12400</v>
      </c>
      <c r="M188" s="1174">
        <f t="shared" si="56"/>
        <v>45.599999999999994</v>
      </c>
      <c r="N188" s="984">
        <f t="shared" si="57"/>
        <v>56200</v>
      </c>
      <c r="O188" s="986">
        <f t="shared" si="58"/>
        <v>165.60958421423538</v>
      </c>
      <c r="P188" s="987">
        <f t="shared" si="59"/>
        <v>143.0584918957012</v>
      </c>
      <c r="Q188" s="987">
        <f t="shared" si="60"/>
        <v>87.385482734319936</v>
      </c>
      <c r="R188" s="988">
        <f t="shared" si="61"/>
        <v>396.05355884425649</v>
      </c>
      <c r="S188" s="989">
        <v>141.9</v>
      </c>
      <c r="T188" s="990">
        <v>0</v>
      </c>
      <c r="U188" s="991">
        <v>0</v>
      </c>
      <c r="V188" s="991">
        <v>289</v>
      </c>
      <c r="W188" s="992">
        <f t="shared" si="62"/>
        <v>289</v>
      </c>
      <c r="X188" s="993">
        <f t="shared" si="63"/>
        <v>2.0366455250176179</v>
      </c>
      <c r="Y188" s="990">
        <v>1664</v>
      </c>
      <c r="Z188" s="991">
        <v>1334</v>
      </c>
      <c r="AA188" s="991">
        <v>850</v>
      </c>
      <c r="AB188" s="992">
        <f t="shared" si="64"/>
        <v>3848</v>
      </c>
      <c r="AC188" s="993">
        <f t="shared" si="65"/>
        <v>27.117688513037351</v>
      </c>
      <c r="AD188" s="994">
        <f t="shared" si="66"/>
        <v>4137</v>
      </c>
      <c r="AE188" s="995">
        <f t="shared" si="67"/>
        <v>29.154334038054966</v>
      </c>
      <c r="AF188" s="996">
        <v>81</v>
      </c>
      <c r="AG188" s="997">
        <v>66</v>
      </c>
      <c r="AH188" s="997">
        <v>6</v>
      </c>
      <c r="AI188" s="998">
        <f t="shared" si="68"/>
        <v>153</v>
      </c>
      <c r="AJ188" s="993">
        <f t="shared" si="69"/>
        <v>1.0782241014799154</v>
      </c>
    </row>
    <row r="189" spans="1:36" ht="16.5" customHeight="1">
      <c r="A189" s="999">
        <f>'09월 조업일지'!A187</f>
        <v>46272</v>
      </c>
      <c r="B189" s="1099">
        <f>'09월 조업일지'!B187</f>
        <v>46272</v>
      </c>
      <c r="C189" s="1000" t="str">
        <f>'09월 화학성분'!D187</f>
        <v>B</v>
      </c>
      <c r="D189" s="1000" t="str">
        <f>'09월 화학성분'!E187</f>
        <v>A</v>
      </c>
      <c r="E189" s="1000">
        <f>'09월 화학성분'!C187</f>
        <v>85389</v>
      </c>
      <c r="F189" s="1001" t="str">
        <f t="shared" si="55"/>
        <v>SHN275(BB)</v>
      </c>
      <c r="G189" s="1172">
        <v>18.899999999999999</v>
      </c>
      <c r="H189" s="985">
        <v>23500</v>
      </c>
      <c r="I189" s="1173">
        <v>17.2</v>
      </c>
      <c r="J189" s="985">
        <v>21700</v>
      </c>
      <c r="K189" s="1173">
        <v>7.6</v>
      </c>
      <c r="L189" s="985">
        <v>9700</v>
      </c>
      <c r="M189" s="1174">
        <f t="shared" si="56"/>
        <v>43.699999999999996</v>
      </c>
      <c r="N189" s="984">
        <f t="shared" si="57"/>
        <v>54900</v>
      </c>
      <c r="O189" s="986">
        <f t="shared" si="58"/>
        <v>162.4049758120249</v>
      </c>
      <c r="P189" s="987">
        <f t="shared" si="59"/>
        <v>149.96544574982724</v>
      </c>
      <c r="Q189" s="987">
        <f t="shared" si="60"/>
        <v>67.035245335176228</v>
      </c>
      <c r="R189" s="988">
        <f t="shared" si="61"/>
        <v>379.40566689702837</v>
      </c>
      <c r="S189" s="989">
        <v>144.69999999999999</v>
      </c>
      <c r="T189" s="990">
        <v>0</v>
      </c>
      <c r="U189" s="991">
        <v>9</v>
      </c>
      <c r="V189" s="991">
        <v>270</v>
      </c>
      <c r="W189" s="992">
        <f t="shared" si="62"/>
        <v>279</v>
      </c>
      <c r="X189" s="993">
        <f t="shared" si="63"/>
        <v>1.928127159640636</v>
      </c>
      <c r="Y189" s="990">
        <v>1566</v>
      </c>
      <c r="Z189" s="991">
        <v>1464</v>
      </c>
      <c r="AA189" s="991">
        <v>626</v>
      </c>
      <c r="AB189" s="992">
        <f t="shared" si="64"/>
        <v>3656</v>
      </c>
      <c r="AC189" s="993">
        <f t="shared" si="65"/>
        <v>25.266067726330341</v>
      </c>
      <c r="AD189" s="994">
        <f t="shared" si="66"/>
        <v>3935</v>
      </c>
      <c r="AE189" s="995">
        <f t="shared" si="67"/>
        <v>27.194194885970976</v>
      </c>
      <c r="AF189" s="996">
        <v>78</v>
      </c>
      <c r="AG189" s="997">
        <v>60</v>
      </c>
      <c r="AH189" s="997">
        <v>6</v>
      </c>
      <c r="AI189" s="998">
        <f t="shared" si="68"/>
        <v>144</v>
      </c>
      <c r="AJ189" s="993">
        <f t="shared" si="69"/>
        <v>0.9951624049758121</v>
      </c>
    </row>
    <row r="190" spans="1:36" ht="16.5" customHeight="1">
      <c r="A190" s="999">
        <f>'09월 조업일지'!A188</f>
        <v>46272</v>
      </c>
      <c r="B190" s="1099">
        <f>'09월 조업일지'!B188</f>
        <v>46272</v>
      </c>
      <c r="C190" s="1000" t="str">
        <f>'09월 화학성분'!D188</f>
        <v>B</v>
      </c>
      <c r="D190" s="1000" t="str">
        <f>'09월 화학성분'!E188</f>
        <v>B</v>
      </c>
      <c r="E190" s="1000">
        <f>'09월 화학성분'!C188</f>
        <v>85390</v>
      </c>
      <c r="F190" s="1104" t="s">
        <v>681</v>
      </c>
      <c r="G190" s="1172">
        <v>18.7</v>
      </c>
      <c r="H190" s="985">
        <v>22500</v>
      </c>
      <c r="I190" s="1173">
        <v>16.2</v>
      </c>
      <c r="J190" s="985">
        <v>20300</v>
      </c>
      <c r="K190" s="1173">
        <v>10.3</v>
      </c>
      <c r="L190" s="985">
        <v>13300</v>
      </c>
      <c r="M190" s="1174">
        <f t="shared" si="56"/>
        <v>45.2</v>
      </c>
      <c r="N190" s="984">
        <f t="shared" si="57"/>
        <v>56100</v>
      </c>
      <c r="O190" s="986">
        <f t="shared" si="58"/>
        <v>159.2356687898089</v>
      </c>
      <c r="P190" s="987">
        <f t="shared" si="59"/>
        <v>143.66595895258314</v>
      </c>
      <c r="Q190" s="987">
        <f t="shared" si="60"/>
        <v>94.125973106864819</v>
      </c>
      <c r="R190" s="988">
        <f t="shared" si="61"/>
        <v>397.02760084925688</v>
      </c>
      <c r="S190" s="989">
        <v>141.30000000000001</v>
      </c>
      <c r="T190" s="990">
        <v>0</v>
      </c>
      <c r="U190" s="991">
        <v>0</v>
      </c>
      <c r="V190" s="991">
        <v>468</v>
      </c>
      <c r="W190" s="992">
        <f t="shared" si="62"/>
        <v>468</v>
      </c>
      <c r="X190" s="993">
        <f t="shared" si="63"/>
        <v>3.3121019108280252</v>
      </c>
      <c r="Y190" s="990">
        <v>1561</v>
      </c>
      <c r="Z190" s="991">
        <v>1348</v>
      </c>
      <c r="AA190" s="991">
        <v>876</v>
      </c>
      <c r="AB190" s="992">
        <f t="shared" si="64"/>
        <v>3785</v>
      </c>
      <c r="AC190" s="993">
        <f t="shared" si="65"/>
        <v>26.786978060863408</v>
      </c>
      <c r="AD190" s="994">
        <f t="shared" si="66"/>
        <v>4253</v>
      </c>
      <c r="AE190" s="995">
        <f t="shared" si="67"/>
        <v>30.099079971691435</v>
      </c>
      <c r="AF190" s="996">
        <v>82</v>
      </c>
      <c r="AG190" s="997">
        <v>63</v>
      </c>
      <c r="AH190" s="997">
        <v>7</v>
      </c>
      <c r="AI190" s="998">
        <f t="shared" si="68"/>
        <v>152</v>
      </c>
      <c r="AJ190" s="993">
        <f t="shared" si="69"/>
        <v>1.0757254069355979</v>
      </c>
    </row>
    <row r="191" spans="1:36" ht="16.5" customHeight="1">
      <c r="A191" s="999">
        <f>'09월 조업일지'!A189</f>
        <v>46272</v>
      </c>
      <c r="B191" s="1099">
        <f>'09월 조업일지'!B189</f>
        <v>46272</v>
      </c>
      <c r="C191" s="1000" t="str">
        <f>'09월 화학성분'!D189</f>
        <v>B</v>
      </c>
      <c r="D191" s="1000" t="str">
        <f>'09월 화학성분'!E189</f>
        <v>A</v>
      </c>
      <c r="E191" s="1000">
        <f>'09월 화학성분'!C189</f>
        <v>85391</v>
      </c>
      <c r="F191" s="1001" t="str">
        <f t="shared" si="55"/>
        <v>S355JO-03</v>
      </c>
      <c r="G191" s="1172">
        <v>18.399999999999999</v>
      </c>
      <c r="H191" s="985">
        <v>23100</v>
      </c>
      <c r="I191" s="1173">
        <v>17.600000000000001</v>
      </c>
      <c r="J191" s="985">
        <v>21600</v>
      </c>
      <c r="K191" s="1173">
        <v>9.6</v>
      </c>
      <c r="L191" s="985">
        <v>11700</v>
      </c>
      <c r="M191" s="1174">
        <f t="shared" si="56"/>
        <v>45.6</v>
      </c>
      <c r="N191" s="984">
        <f t="shared" si="57"/>
        <v>56400</v>
      </c>
      <c r="O191" s="986">
        <f t="shared" si="58"/>
        <v>159.20055134390077</v>
      </c>
      <c r="P191" s="987">
        <f t="shared" si="59"/>
        <v>148.86285320468642</v>
      </c>
      <c r="Q191" s="987">
        <f t="shared" si="60"/>
        <v>80.634045485871809</v>
      </c>
      <c r="R191" s="988">
        <f t="shared" si="61"/>
        <v>388.697450034459</v>
      </c>
      <c r="S191" s="989">
        <v>145.1</v>
      </c>
      <c r="T191" s="990">
        <v>0</v>
      </c>
      <c r="U191" s="991">
        <v>0</v>
      </c>
      <c r="V191" s="991">
        <v>270</v>
      </c>
      <c r="W191" s="992">
        <f t="shared" si="62"/>
        <v>270</v>
      </c>
      <c r="X191" s="993">
        <f t="shared" si="63"/>
        <v>1.8607856650585803</v>
      </c>
      <c r="Y191" s="990">
        <v>1511</v>
      </c>
      <c r="Z191" s="991">
        <v>1471</v>
      </c>
      <c r="AA191" s="991">
        <v>928</v>
      </c>
      <c r="AB191" s="992">
        <f t="shared" si="64"/>
        <v>3910</v>
      </c>
      <c r="AC191" s="993">
        <f t="shared" si="65"/>
        <v>26.946933149552034</v>
      </c>
      <c r="AD191" s="994">
        <f t="shared" si="66"/>
        <v>4180</v>
      </c>
      <c r="AE191" s="995">
        <f t="shared" si="67"/>
        <v>28.807718814610613</v>
      </c>
      <c r="AF191" s="996">
        <v>74</v>
      </c>
      <c r="AG191" s="997">
        <v>63</v>
      </c>
      <c r="AH191" s="997">
        <v>8</v>
      </c>
      <c r="AI191" s="998">
        <f t="shared" si="68"/>
        <v>145</v>
      </c>
      <c r="AJ191" s="993">
        <f t="shared" si="69"/>
        <v>0.99931082012405237</v>
      </c>
    </row>
    <row r="192" spans="1:36" ht="16.5" customHeight="1">
      <c r="A192" s="999">
        <f>'09월 조업일지'!A190</f>
        <v>46272</v>
      </c>
      <c r="B192" s="1099">
        <f>'09월 조업일지'!B190</f>
        <v>46272</v>
      </c>
      <c r="C192" s="1000" t="str">
        <f>'09월 화학성분'!D190</f>
        <v>B</v>
      </c>
      <c r="D192" s="1000" t="str">
        <f>'09월 화학성분'!E190</f>
        <v>B</v>
      </c>
      <c r="E192" s="1000">
        <f>'09월 화학성분'!C190</f>
        <v>85392</v>
      </c>
      <c r="F192" s="1001" t="str">
        <f t="shared" si="55"/>
        <v>S355JO-03</v>
      </c>
      <c r="G192" s="1172">
        <v>18.899999999999999</v>
      </c>
      <c r="H192" s="985">
        <v>23100</v>
      </c>
      <c r="I192" s="1173">
        <v>16</v>
      </c>
      <c r="J192" s="985">
        <v>20500</v>
      </c>
      <c r="K192" s="1173">
        <v>11.4</v>
      </c>
      <c r="L192" s="985">
        <v>14500</v>
      </c>
      <c r="M192" s="1174">
        <f t="shared" si="56"/>
        <v>46.3</v>
      </c>
      <c r="N192" s="984">
        <f t="shared" si="57"/>
        <v>58100</v>
      </c>
      <c r="O192" s="986">
        <f t="shared" si="58"/>
        <v>161.31284916201119</v>
      </c>
      <c r="P192" s="987">
        <f t="shared" si="59"/>
        <v>143.15642458100561</v>
      </c>
      <c r="Q192" s="987">
        <f t="shared" si="60"/>
        <v>101.25698324022348</v>
      </c>
      <c r="R192" s="988">
        <f t="shared" si="61"/>
        <v>405.72625698324026</v>
      </c>
      <c r="S192" s="989">
        <v>143.19999999999999</v>
      </c>
      <c r="T192" s="990">
        <v>0</v>
      </c>
      <c r="U192" s="991">
        <v>0</v>
      </c>
      <c r="V192" s="991">
        <v>256</v>
      </c>
      <c r="W192" s="992">
        <f t="shared" si="62"/>
        <v>256</v>
      </c>
      <c r="X192" s="993">
        <f t="shared" si="63"/>
        <v>1.787709497206704</v>
      </c>
      <c r="Y192" s="990">
        <v>1578</v>
      </c>
      <c r="Z192" s="991">
        <v>1342</v>
      </c>
      <c r="AA192" s="991">
        <v>863</v>
      </c>
      <c r="AB192" s="992">
        <f t="shared" si="64"/>
        <v>3783</v>
      </c>
      <c r="AC192" s="993">
        <f t="shared" si="65"/>
        <v>26.41759776536313</v>
      </c>
      <c r="AD192" s="994">
        <f t="shared" si="66"/>
        <v>4039</v>
      </c>
      <c r="AE192" s="995">
        <f t="shared" si="67"/>
        <v>28.205307262569836</v>
      </c>
      <c r="AF192" s="996">
        <v>78</v>
      </c>
      <c r="AG192" s="997">
        <v>62</v>
      </c>
      <c r="AH192" s="997">
        <v>8</v>
      </c>
      <c r="AI192" s="998">
        <f t="shared" si="68"/>
        <v>148</v>
      </c>
      <c r="AJ192" s="993">
        <f t="shared" si="69"/>
        <v>1.0335195530726258</v>
      </c>
    </row>
    <row r="193" spans="1:36" ht="16.5" customHeight="1">
      <c r="A193" s="999">
        <f>'09월 조업일지'!A191</f>
        <v>46272</v>
      </c>
      <c r="B193" s="1099">
        <f>'09월 조업일지'!B191</f>
        <v>46272</v>
      </c>
      <c r="C193" s="1000" t="str">
        <f>'09월 화학성분'!D191</f>
        <v>B</v>
      </c>
      <c r="D193" s="1000" t="str">
        <f>'09월 화학성분'!E191</f>
        <v>A</v>
      </c>
      <c r="E193" s="1000">
        <f>'09월 화학성분'!C191</f>
        <v>85393</v>
      </c>
      <c r="F193" s="1001" t="str">
        <f t="shared" si="55"/>
        <v>S355JO-03</v>
      </c>
      <c r="G193" s="1172">
        <v>19.5</v>
      </c>
      <c r="H193" s="985">
        <v>25400</v>
      </c>
      <c r="I193" s="1173">
        <v>17.600000000000001</v>
      </c>
      <c r="J193" s="985">
        <v>21800</v>
      </c>
      <c r="K193" s="1173">
        <v>9.8000000000000007</v>
      </c>
      <c r="L193" s="985">
        <v>12300</v>
      </c>
      <c r="M193" s="1174">
        <f t="shared" si="56"/>
        <v>46.900000000000006</v>
      </c>
      <c r="N193" s="984">
        <f t="shared" si="57"/>
        <v>59500</v>
      </c>
      <c r="O193" s="986">
        <f t="shared" si="58"/>
        <v>177.37430167597768</v>
      </c>
      <c r="P193" s="987">
        <f t="shared" si="59"/>
        <v>152.2346368715084</v>
      </c>
      <c r="Q193" s="987">
        <f t="shared" si="60"/>
        <v>85.89385474860336</v>
      </c>
      <c r="R193" s="988">
        <f t="shared" si="61"/>
        <v>415.50279329608946</v>
      </c>
      <c r="S193" s="989">
        <v>143.19999999999999</v>
      </c>
      <c r="T193" s="990">
        <v>0</v>
      </c>
      <c r="U193" s="991">
        <v>144</v>
      </c>
      <c r="V193" s="991">
        <v>186</v>
      </c>
      <c r="W193" s="992">
        <f t="shared" si="62"/>
        <v>330</v>
      </c>
      <c r="X193" s="993">
        <f t="shared" si="63"/>
        <v>2.3044692737430168</v>
      </c>
      <c r="Y193" s="990">
        <v>1646</v>
      </c>
      <c r="Z193" s="991">
        <v>1501</v>
      </c>
      <c r="AA193" s="991">
        <v>428</v>
      </c>
      <c r="AB193" s="992">
        <f t="shared" si="64"/>
        <v>3575</v>
      </c>
      <c r="AC193" s="993">
        <f t="shared" si="65"/>
        <v>24.965083798882684</v>
      </c>
      <c r="AD193" s="994">
        <f t="shared" si="66"/>
        <v>3905</v>
      </c>
      <c r="AE193" s="995">
        <f t="shared" si="67"/>
        <v>27.269553072625701</v>
      </c>
      <c r="AF193" s="996">
        <v>76</v>
      </c>
      <c r="AG193" s="997">
        <v>64</v>
      </c>
      <c r="AH193" s="997">
        <v>3</v>
      </c>
      <c r="AI193" s="998">
        <f t="shared" si="68"/>
        <v>143</v>
      </c>
      <c r="AJ193" s="993">
        <f t="shared" si="69"/>
        <v>0.99860335195530736</v>
      </c>
    </row>
    <row r="194" spans="1:36" ht="16.5" customHeight="1">
      <c r="A194" s="999">
        <f>'09월 조업일지'!A192</f>
        <v>46272</v>
      </c>
      <c r="B194" s="1099">
        <f>'09월 조업일지'!B192</f>
        <v>46272</v>
      </c>
      <c r="C194" s="1000" t="str">
        <f>'09월 화학성분'!D192</f>
        <v>B</v>
      </c>
      <c r="D194" s="1000" t="str">
        <f>'09월 화학성분'!E192</f>
        <v>B</v>
      </c>
      <c r="E194" s="1000">
        <f>'09월 화학성분'!C192</f>
        <v>85394</v>
      </c>
      <c r="F194" s="1001" t="str">
        <f t="shared" si="55"/>
        <v>S355JO-03</v>
      </c>
      <c r="G194" s="1172">
        <v>20.2</v>
      </c>
      <c r="H194" s="985">
        <v>24400</v>
      </c>
      <c r="I194" s="1173">
        <v>16.7</v>
      </c>
      <c r="J194" s="985">
        <v>20500</v>
      </c>
      <c r="K194" s="1173">
        <v>12</v>
      </c>
      <c r="L194" s="985">
        <v>15500</v>
      </c>
      <c r="M194" s="1174">
        <f t="shared" si="56"/>
        <v>48.9</v>
      </c>
      <c r="N194" s="984">
        <f t="shared" si="57"/>
        <v>60400</v>
      </c>
      <c r="O194" s="986">
        <f t="shared" si="58"/>
        <v>171.83098591549296</v>
      </c>
      <c r="P194" s="987">
        <f t="shared" si="59"/>
        <v>144.36619718309859</v>
      </c>
      <c r="Q194" s="987">
        <f t="shared" si="60"/>
        <v>109.15492957746478</v>
      </c>
      <c r="R194" s="988">
        <f t="shared" si="61"/>
        <v>425.35211267605632</v>
      </c>
      <c r="S194" s="989">
        <v>142</v>
      </c>
      <c r="T194" s="990">
        <v>0</v>
      </c>
      <c r="U194" s="991">
        <v>6</v>
      </c>
      <c r="V194" s="991">
        <v>289</v>
      </c>
      <c r="W194" s="992">
        <f t="shared" si="62"/>
        <v>295</v>
      </c>
      <c r="X194" s="993">
        <f t="shared" si="63"/>
        <v>2.0774647887323945</v>
      </c>
      <c r="Y194" s="990">
        <v>1686</v>
      </c>
      <c r="Z194" s="991">
        <v>1385</v>
      </c>
      <c r="AA194" s="991">
        <v>950</v>
      </c>
      <c r="AB194" s="992">
        <f t="shared" si="64"/>
        <v>4021</v>
      </c>
      <c r="AC194" s="993">
        <f t="shared" si="65"/>
        <v>28.316901408450704</v>
      </c>
      <c r="AD194" s="994">
        <f t="shared" si="66"/>
        <v>4316</v>
      </c>
      <c r="AE194" s="995">
        <f t="shared" si="67"/>
        <v>30.3943661971831</v>
      </c>
      <c r="AF194" s="996">
        <v>84</v>
      </c>
      <c r="AG194" s="997">
        <v>63</v>
      </c>
      <c r="AH194" s="997">
        <v>9</v>
      </c>
      <c r="AI194" s="998">
        <f t="shared" si="68"/>
        <v>156</v>
      </c>
      <c r="AJ194" s="993">
        <f t="shared" si="69"/>
        <v>1.0985915492957747</v>
      </c>
    </row>
    <row r="195" spans="1:36" ht="16.5" customHeight="1">
      <c r="A195" s="999">
        <f>'09월 조업일지'!A193</f>
        <v>46272</v>
      </c>
      <c r="B195" s="1099">
        <f>'09월 조업일지'!B193</f>
        <v>46272</v>
      </c>
      <c r="C195" s="1000" t="str">
        <f>'09월 화학성분'!D193</f>
        <v>B</v>
      </c>
      <c r="D195" s="1000" t="str">
        <f>'09월 화학성분'!E193</f>
        <v>A</v>
      </c>
      <c r="E195" s="1000">
        <f>'09월 화학성분'!C193</f>
        <v>85395</v>
      </c>
      <c r="F195" s="1001" t="str">
        <f t="shared" si="55"/>
        <v>S355JO-03</v>
      </c>
      <c r="G195" s="1172">
        <v>18.8</v>
      </c>
      <c r="H195" s="985">
        <v>23500</v>
      </c>
      <c r="I195" s="1173">
        <v>17.600000000000001</v>
      </c>
      <c r="J195" s="985">
        <v>22000</v>
      </c>
      <c r="K195" s="1173">
        <v>7.2</v>
      </c>
      <c r="L195" s="985">
        <v>9100</v>
      </c>
      <c r="M195" s="1174">
        <f t="shared" si="56"/>
        <v>43.600000000000009</v>
      </c>
      <c r="N195" s="984">
        <f t="shared" si="57"/>
        <v>54600</v>
      </c>
      <c r="O195" s="986">
        <f t="shared" si="58"/>
        <v>164.10614525139667</v>
      </c>
      <c r="P195" s="987">
        <f t="shared" si="59"/>
        <v>153.63128491620114</v>
      </c>
      <c r="Q195" s="987">
        <f t="shared" si="60"/>
        <v>63.547486033519561</v>
      </c>
      <c r="R195" s="988">
        <f t="shared" si="61"/>
        <v>381.28491620111743</v>
      </c>
      <c r="S195" s="989">
        <v>143.19999999999999</v>
      </c>
      <c r="T195" s="990">
        <v>0</v>
      </c>
      <c r="U195" s="991">
        <v>215</v>
      </c>
      <c r="V195" s="991">
        <v>122</v>
      </c>
      <c r="W195" s="992">
        <f t="shared" si="62"/>
        <v>337</v>
      </c>
      <c r="X195" s="993">
        <f t="shared" si="63"/>
        <v>2.3533519553072626</v>
      </c>
      <c r="Y195" s="990">
        <v>1580</v>
      </c>
      <c r="Z195" s="991">
        <v>1495</v>
      </c>
      <c r="AA195" s="991">
        <v>310</v>
      </c>
      <c r="AB195" s="992">
        <f t="shared" si="64"/>
        <v>3385</v>
      </c>
      <c r="AC195" s="993">
        <f t="shared" si="65"/>
        <v>23.638268156424584</v>
      </c>
      <c r="AD195" s="994">
        <f t="shared" si="66"/>
        <v>3722</v>
      </c>
      <c r="AE195" s="995">
        <f t="shared" si="67"/>
        <v>25.991620111731844</v>
      </c>
      <c r="AF195" s="996">
        <v>78</v>
      </c>
      <c r="AG195" s="997">
        <v>63</v>
      </c>
      <c r="AH195" s="997">
        <v>1</v>
      </c>
      <c r="AI195" s="998">
        <f t="shared" si="68"/>
        <v>142</v>
      </c>
      <c r="AJ195" s="993">
        <f t="shared" si="69"/>
        <v>0.99162011173184361</v>
      </c>
    </row>
    <row r="196" spans="1:36" ht="16.5" customHeight="1">
      <c r="A196" s="999">
        <f>'09월 조업일지'!A194</f>
        <v>46272</v>
      </c>
      <c r="B196" s="1099">
        <f>'09월 조업일지'!B194</f>
        <v>46272</v>
      </c>
      <c r="C196" s="1000" t="str">
        <f>'09월 화학성분'!D194</f>
        <v>B</v>
      </c>
      <c r="D196" s="1000" t="str">
        <f>'09월 화학성분'!E194</f>
        <v>B</v>
      </c>
      <c r="E196" s="1000">
        <f>'09월 화학성분'!C194</f>
        <v>85396</v>
      </c>
      <c r="F196" s="1001" t="str">
        <f t="shared" si="55"/>
        <v>S355JO-03</v>
      </c>
      <c r="G196" s="1172">
        <v>21.3</v>
      </c>
      <c r="H196" s="985">
        <v>24600</v>
      </c>
      <c r="I196" s="1173">
        <v>17.600000000000001</v>
      </c>
      <c r="J196" s="985">
        <v>20500</v>
      </c>
      <c r="K196" s="1173">
        <v>13.9</v>
      </c>
      <c r="L196" s="985">
        <v>18700</v>
      </c>
      <c r="M196" s="1174">
        <f t="shared" si="56"/>
        <v>52.800000000000004</v>
      </c>
      <c r="N196" s="984">
        <f t="shared" si="57"/>
        <v>63800</v>
      </c>
      <c r="O196" s="986">
        <f t="shared" si="58"/>
        <v>170.47817047817045</v>
      </c>
      <c r="P196" s="987">
        <f t="shared" si="59"/>
        <v>142.06514206514206</v>
      </c>
      <c r="Q196" s="987">
        <f t="shared" si="60"/>
        <v>129.59112959112957</v>
      </c>
      <c r="R196" s="988">
        <f t="shared" si="61"/>
        <v>442.13444213444205</v>
      </c>
      <c r="S196" s="989">
        <v>144.30000000000001</v>
      </c>
      <c r="T196" s="990">
        <v>0</v>
      </c>
      <c r="U196" s="991">
        <v>0</v>
      </c>
      <c r="V196" s="991">
        <v>285</v>
      </c>
      <c r="W196" s="992">
        <f t="shared" si="62"/>
        <v>285</v>
      </c>
      <c r="X196" s="993">
        <f t="shared" si="63"/>
        <v>1.9750519750519748</v>
      </c>
      <c r="Y196" s="990">
        <v>1825</v>
      </c>
      <c r="Z196" s="991">
        <v>1417</v>
      </c>
      <c r="AA196" s="991">
        <v>727</v>
      </c>
      <c r="AB196" s="992">
        <f t="shared" si="64"/>
        <v>3969</v>
      </c>
      <c r="AC196" s="993">
        <f t="shared" si="65"/>
        <v>27.505197505197504</v>
      </c>
      <c r="AD196" s="994">
        <f t="shared" si="66"/>
        <v>4254</v>
      </c>
      <c r="AE196" s="995">
        <f t="shared" si="67"/>
        <v>29.480249480249476</v>
      </c>
      <c r="AF196" s="996">
        <v>86</v>
      </c>
      <c r="AG196" s="997">
        <v>69</v>
      </c>
      <c r="AH196" s="997">
        <v>7</v>
      </c>
      <c r="AI196" s="998">
        <f t="shared" si="68"/>
        <v>162</v>
      </c>
      <c r="AJ196" s="993">
        <f t="shared" si="69"/>
        <v>1.1226611226611225</v>
      </c>
    </row>
    <row r="197" spans="1:36" ht="16.5" customHeight="1">
      <c r="A197" s="999">
        <f>'09월 조업일지'!A195</f>
        <v>46272</v>
      </c>
      <c r="B197" s="1099">
        <f>'09월 조업일지'!B195</f>
        <v>46272</v>
      </c>
      <c r="C197" s="1000" t="str">
        <f>'09월 화학성분'!D195</f>
        <v>B</v>
      </c>
      <c r="D197" s="1000" t="str">
        <f>'09월 화학성분'!E195</f>
        <v>A</v>
      </c>
      <c r="E197" s="1000">
        <f>'09월 화학성분'!C195</f>
        <v>85397</v>
      </c>
      <c r="F197" s="1001" t="str">
        <f t="shared" si="55"/>
        <v>S355JO-03</v>
      </c>
      <c r="G197" s="1172">
        <v>18.600000000000001</v>
      </c>
      <c r="H197" s="985">
        <v>22700</v>
      </c>
      <c r="I197" s="1173">
        <v>17.600000000000001</v>
      </c>
      <c r="J197" s="985">
        <v>22000</v>
      </c>
      <c r="K197" s="1173">
        <v>9.9</v>
      </c>
      <c r="L197" s="985">
        <v>12500</v>
      </c>
      <c r="M197" s="1174">
        <f t="shared" si="56"/>
        <v>46.1</v>
      </c>
      <c r="N197" s="984">
        <f t="shared" si="57"/>
        <v>57200</v>
      </c>
      <c r="O197" s="986">
        <f t="shared" si="58"/>
        <v>158.74125874125875</v>
      </c>
      <c r="P197" s="987">
        <f t="shared" si="59"/>
        <v>153.84615384615384</v>
      </c>
      <c r="Q197" s="987">
        <f t="shared" si="60"/>
        <v>87.412587412587413</v>
      </c>
      <c r="R197" s="988">
        <f t="shared" si="61"/>
        <v>400</v>
      </c>
      <c r="S197" s="989">
        <v>143</v>
      </c>
      <c r="T197" s="990">
        <v>0</v>
      </c>
      <c r="U197" s="991">
        <v>19</v>
      </c>
      <c r="V197" s="991">
        <v>269</v>
      </c>
      <c r="W197" s="992">
        <f t="shared" si="62"/>
        <v>288</v>
      </c>
      <c r="X197" s="993">
        <f t="shared" si="63"/>
        <v>2.0139860139860142</v>
      </c>
      <c r="Y197" s="990">
        <v>1525</v>
      </c>
      <c r="Z197" s="991">
        <v>1486</v>
      </c>
      <c r="AA197" s="991">
        <v>691</v>
      </c>
      <c r="AB197" s="992">
        <f t="shared" si="64"/>
        <v>3702</v>
      </c>
      <c r="AC197" s="993">
        <f t="shared" si="65"/>
        <v>25.888111888111887</v>
      </c>
      <c r="AD197" s="994">
        <f t="shared" si="66"/>
        <v>3990</v>
      </c>
      <c r="AE197" s="995">
        <f t="shared" si="67"/>
        <v>27.902097902097903</v>
      </c>
      <c r="AF197" s="996">
        <v>79</v>
      </c>
      <c r="AG197" s="997">
        <v>61</v>
      </c>
      <c r="AH197" s="997">
        <v>6</v>
      </c>
      <c r="AI197" s="998">
        <f t="shared" si="68"/>
        <v>146</v>
      </c>
      <c r="AJ197" s="993">
        <f t="shared" si="69"/>
        <v>1.020979020979021</v>
      </c>
    </row>
    <row r="198" spans="1:36" ht="16.5" customHeight="1">
      <c r="A198" s="999">
        <f>'09월 조업일지'!A196</f>
        <v>46272</v>
      </c>
      <c r="B198" s="1099">
        <f>'09월 조업일지'!B196</f>
        <v>46272</v>
      </c>
      <c r="C198" s="1000" t="str">
        <f>'09월 화학성분'!D196</f>
        <v>D</v>
      </c>
      <c r="D198" s="1000" t="str">
        <f>'09월 화학성분'!E196</f>
        <v>B</v>
      </c>
      <c r="E198" s="1000">
        <f>'09월 화학성분'!C196</f>
        <v>85398</v>
      </c>
      <c r="F198" s="1001" t="str">
        <f t="shared" si="55"/>
        <v>S355JO-03</v>
      </c>
      <c r="G198" s="1172">
        <v>18.7</v>
      </c>
      <c r="H198" s="985">
        <v>22600</v>
      </c>
      <c r="I198" s="1173">
        <v>16.5</v>
      </c>
      <c r="J198" s="985">
        <v>20400</v>
      </c>
      <c r="K198" s="1173">
        <v>8.6999999999999993</v>
      </c>
      <c r="L198" s="985">
        <v>11300</v>
      </c>
      <c r="M198" s="1174">
        <f t="shared" si="56"/>
        <v>43.900000000000006</v>
      </c>
      <c r="N198" s="984">
        <f t="shared" si="57"/>
        <v>54300</v>
      </c>
      <c r="O198" s="986">
        <f t="shared" si="58"/>
        <v>157.16272600834492</v>
      </c>
      <c r="P198" s="987">
        <f t="shared" si="59"/>
        <v>141.86369958275381</v>
      </c>
      <c r="Q198" s="987">
        <f t="shared" si="60"/>
        <v>78.581363004172459</v>
      </c>
      <c r="R198" s="988">
        <f t="shared" si="61"/>
        <v>377.60778859527113</v>
      </c>
      <c r="S198" s="989">
        <v>143.80000000000001</v>
      </c>
      <c r="T198" s="990">
        <v>0</v>
      </c>
      <c r="U198" s="991">
        <v>0</v>
      </c>
      <c r="V198" s="991">
        <v>326</v>
      </c>
      <c r="W198" s="992">
        <f t="shared" si="62"/>
        <v>326</v>
      </c>
      <c r="X198" s="993">
        <f t="shared" si="63"/>
        <v>2.2670375521557715</v>
      </c>
      <c r="Y198" s="990">
        <v>1617</v>
      </c>
      <c r="Z198" s="991">
        <v>1382</v>
      </c>
      <c r="AA198" s="991">
        <v>716</v>
      </c>
      <c r="AB198" s="992">
        <f t="shared" si="64"/>
        <v>3715</v>
      </c>
      <c r="AC198" s="993">
        <f t="shared" si="65"/>
        <v>25.834492350486784</v>
      </c>
      <c r="AD198" s="994">
        <f t="shared" si="66"/>
        <v>4041</v>
      </c>
      <c r="AE198" s="995">
        <f t="shared" si="67"/>
        <v>28.101529902642557</v>
      </c>
      <c r="AF198" s="996">
        <v>82</v>
      </c>
      <c r="AG198" s="997">
        <v>63</v>
      </c>
      <c r="AH198" s="997">
        <v>7</v>
      </c>
      <c r="AI198" s="998">
        <f t="shared" si="68"/>
        <v>152</v>
      </c>
      <c r="AJ198" s="993">
        <f t="shared" si="69"/>
        <v>1.0570236439499303</v>
      </c>
    </row>
    <row r="199" spans="1:36" ht="16.5" customHeight="1">
      <c r="A199" s="999">
        <f>'09월 조업일지'!A197</f>
        <v>46272</v>
      </c>
      <c r="B199" s="1099">
        <f>'09월 조업일지'!B197</f>
        <v>46272</v>
      </c>
      <c r="C199" s="1000" t="str">
        <f>'09월 화학성분'!D197</f>
        <v>D</v>
      </c>
      <c r="D199" s="1000" t="str">
        <f>'09월 화학성분'!E197</f>
        <v>A</v>
      </c>
      <c r="E199" s="1000">
        <f>'09월 화학성분'!C197</f>
        <v>85399</v>
      </c>
      <c r="F199" s="1001" t="str">
        <f t="shared" si="55"/>
        <v>S355JO-03</v>
      </c>
      <c r="G199" s="1172">
        <v>18</v>
      </c>
      <c r="H199" s="985">
        <v>22300</v>
      </c>
      <c r="I199" s="1173">
        <v>17.600000000000001</v>
      </c>
      <c r="J199" s="985">
        <v>22000</v>
      </c>
      <c r="K199" s="1173">
        <v>8.5</v>
      </c>
      <c r="L199" s="985">
        <v>10900</v>
      </c>
      <c r="M199" s="1174">
        <f t="shared" si="56"/>
        <v>44.1</v>
      </c>
      <c r="N199" s="984">
        <f t="shared" si="57"/>
        <v>55200</v>
      </c>
      <c r="O199" s="986">
        <f t="shared" si="58"/>
        <v>157.37473535638674</v>
      </c>
      <c r="P199" s="987">
        <f t="shared" si="59"/>
        <v>155.257586450247</v>
      </c>
      <c r="Q199" s="987">
        <f t="shared" si="60"/>
        <v>76.923076923076934</v>
      </c>
      <c r="R199" s="988">
        <f t="shared" si="61"/>
        <v>389.55539872971065</v>
      </c>
      <c r="S199" s="989">
        <v>141.69999999999999</v>
      </c>
      <c r="T199" s="990">
        <v>0</v>
      </c>
      <c r="U199" s="991">
        <v>114</v>
      </c>
      <c r="V199" s="991">
        <v>221</v>
      </c>
      <c r="W199" s="992">
        <f t="shared" si="62"/>
        <v>335</v>
      </c>
      <c r="X199" s="993">
        <f t="shared" si="63"/>
        <v>2.3641496118560341</v>
      </c>
      <c r="Y199" s="990">
        <v>1484</v>
      </c>
      <c r="Z199" s="991">
        <v>1502</v>
      </c>
      <c r="AA199" s="991">
        <v>655</v>
      </c>
      <c r="AB199" s="992">
        <f t="shared" si="64"/>
        <v>3641</v>
      </c>
      <c r="AC199" s="993">
        <f t="shared" si="65"/>
        <v>25.695130557515881</v>
      </c>
      <c r="AD199" s="994">
        <f t="shared" si="66"/>
        <v>3976</v>
      </c>
      <c r="AE199" s="995">
        <f t="shared" si="67"/>
        <v>28.059280169371913</v>
      </c>
      <c r="AF199" s="996">
        <v>75</v>
      </c>
      <c r="AG199" s="997">
        <v>64</v>
      </c>
      <c r="AH199" s="997">
        <v>5</v>
      </c>
      <c r="AI199" s="998">
        <f t="shared" si="68"/>
        <v>144</v>
      </c>
      <c r="AJ199" s="993">
        <f t="shared" si="69"/>
        <v>1.0162314749470713</v>
      </c>
    </row>
    <row r="200" spans="1:36" ht="16.5" customHeight="1">
      <c r="A200" s="999">
        <f>'09월 조업일지'!A198</f>
        <v>46272</v>
      </c>
      <c r="B200" s="1099">
        <f>'09월 조업일지'!B198</f>
        <v>46272</v>
      </c>
      <c r="C200" s="1000" t="str">
        <f>'09월 화학성분'!D198</f>
        <v>D</v>
      </c>
      <c r="D200" s="1000" t="str">
        <f>'09월 화학성분'!E198</f>
        <v>B</v>
      </c>
      <c r="E200" s="1000">
        <f>'09월 화학성분'!C198</f>
        <v>85400</v>
      </c>
      <c r="F200" s="1001" t="str">
        <f t="shared" si="55"/>
        <v>S355JO-03</v>
      </c>
      <c r="G200" s="1172">
        <v>18.7</v>
      </c>
      <c r="H200" s="985">
        <v>22300</v>
      </c>
      <c r="I200" s="1173">
        <v>16.2</v>
      </c>
      <c r="J200" s="985">
        <v>20300</v>
      </c>
      <c r="K200" s="1173">
        <v>9</v>
      </c>
      <c r="L200" s="985">
        <v>11500</v>
      </c>
      <c r="M200" s="1174">
        <f t="shared" si="56"/>
        <v>43.9</v>
      </c>
      <c r="N200" s="984">
        <f t="shared" si="57"/>
        <v>54100</v>
      </c>
      <c r="O200" s="986">
        <f t="shared" si="58"/>
        <v>156.38148667601683</v>
      </c>
      <c r="P200" s="987">
        <f t="shared" si="59"/>
        <v>142.35624123422161</v>
      </c>
      <c r="Q200" s="987">
        <f t="shared" si="60"/>
        <v>80.645161290322591</v>
      </c>
      <c r="R200" s="988">
        <f t="shared" si="61"/>
        <v>379.38288920056107</v>
      </c>
      <c r="S200" s="989">
        <v>142.6</v>
      </c>
      <c r="T200" s="990">
        <v>0</v>
      </c>
      <c r="U200" s="991">
        <v>0</v>
      </c>
      <c r="V200" s="991">
        <v>327</v>
      </c>
      <c r="W200" s="992">
        <f t="shared" si="62"/>
        <v>327</v>
      </c>
      <c r="X200" s="993">
        <f t="shared" si="63"/>
        <v>2.2931276297335206</v>
      </c>
      <c r="Y200" s="990">
        <v>1521</v>
      </c>
      <c r="Z200" s="991">
        <v>1340</v>
      </c>
      <c r="AA200" s="991">
        <v>781</v>
      </c>
      <c r="AB200" s="992">
        <f t="shared" si="64"/>
        <v>3642</v>
      </c>
      <c r="AC200" s="993">
        <f t="shared" si="65"/>
        <v>25.539971949509116</v>
      </c>
      <c r="AD200" s="994">
        <f t="shared" si="66"/>
        <v>3969</v>
      </c>
      <c r="AE200" s="995">
        <f t="shared" si="67"/>
        <v>27.833099579242639</v>
      </c>
      <c r="AF200" s="996">
        <v>82</v>
      </c>
      <c r="AG200" s="997">
        <v>61</v>
      </c>
      <c r="AH200" s="997">
        <v>7</v>
      </c>
      <c r="AI200" s="998">
        <f t="shared" si="68"/>
        <v>150</v>
      </c>
      <c r="AJ200" s="993">
        <f t="shared" si="69"/>
        <v>1.0518934081346425</v>
      </c>
    </row>
    <row r="201" spans="1:36" ht="16.5" customHeight="1">
      <c r="A201" s="999">
        <f>'09월 조업일지'!A199</f>
        <v>46272</v>
      </c>
      <c r="B201" s="1099">
        <f>'09월 조업일지'!B199</f>
        <v>46272</v>
      </c>
      <c r="C201" s="1000" t="str">
        <f>'09월 화학성분'!D199</f>
        <v>D</v>
      </c>
      <c r="D201" s="1000" t="str">
        <f>'09월 화학성분'!E199</f>
        <v>A</v>
      </c>
      <c r="E201" s="1000">
        <f>'09월 화학성분'!C199</f>
        <v>85401</v>
      </c>
      <c r="F201" s="1001" t="str">
        <f t="shared" si="55"/>
        <v>S355JO-03</v>
      </c>
      <c r="G201" s="1172">
        <v>18.100000000000001</v>
      </c>
      <c r="H201" s="985">
        <v>22700</v>
      </c>
      <c r="I201" s="1173">
        <v>18.100000000000001</v>
      </c>
      <c r="J201" s="985">
        <v>21900</v>
      </c>
      <c r="K201" s="1173">
        <v>12.3</v>
      </c>
      <c r="L201" s="985">
        <v>15200</v>
      </c>
      <c r="M201" s="1174">
        <f t="shared" si="56"/>
        <v>48.5</v>
      </c>
      <c r="N201" s="984">
        <f t="shared" si="57"/>
        <v>59800</v>
      </c>
      <c r="O201" s="986">
        <f t="shared" si="58"/>
        <v>160.31073446327684</v>
      </c>
      <c r="P201" s="987">
        <f t="shared" si="59"/>
        <v>154.66101694915255</v>
      </c>
      <c r="Q201" s="987">
        <f t="shared" si="60"/>
        <v>107.34463276836159</v>
      </c>
      <c r="R201" s="988">
        <f t="shared" si="61"/>
        <v>422.31638418079098</v>
      </c>
      <c r="S201" s="989">
        <v>141.6</v>
      </c>
      <c r="T201" s="990">
        <v>0</v>
      </c>
      <c r="U201" s="991">
        <v>273</v>
      </c>
      <c r="V201" s="991">
        <v>95</v>
      </c>
      <c r="W201" s="992">
        <f t="shared" si="62"/>
        <v>368</v>
      </c>
      <c r="X201" s="993">
        <f t="shared" si="63"/>
        <v>2.5988700564971752</v>
      </c>
      <c r="Y201" s="990">
        <v>1491</v>
      </c>
      <c r="Z201" s="991">
        <v>1508</v>
      </c>
      <c r="AA201" s="991">
        <v>688</v>
      </c>
      <c r="AB201" s="992">
        <f t="shared" si="64"/>
        <v>3687</v>
      </c>
      <c r="AC201" s="993">
        <f t="shared" si="65"/>
        <v>26.038135593220339</v>
      </c>
      <c r="AD201" s="994">
        <f t="shared" si="66"/>
        <v>4055</v>
      </c>
      <c r="AE201" s="995">
        <f t="shared" si="67"/>
        <v>28.637005649717516</v>
      </c>
      <c r="AF201" s="996">
        <v>75</v>
      </c>
      <c r="AG201" s="997">
        <v>64</v>
      </c>
      <c r="AH201" s="997">
        <v>4</v>
      </c>
      <c r="AI201" s="998">
        <f t="shared" si="68"/>
        <v>143</v>
      </c>
      <c r="AJ201" s="993">
        <f t="shared" si="69"/>
        <v>1.0098870056497176</v>
      </c>
    </row>
    <row r="202" spans="1:36" ht="16.5" customHeight="1">
      <c r="A202" s="999">
        <f>'09월 조업일지'!A200</f>
        <v>46272</v>
      </c>
      <c r="B202" s="1099">
        <f>'09월 조업일지'!B200</f>
        <v>46272</v>
      </c>
      <c r="C202" s="1000" t="str">
        <f>'09월 화학성분'!D200</f>
        <v>D</v>
      </c>
      <c r="D202" s="1000" t="str">
        <f>'09월 화학성분'!E200</f>
        <v>B</v>
      </c>
      <c r="E202" s="1000">
        <f>'09월 화학성분'!C200</f>
        <v>85402</v>
      </c>
      <c r="F202" s="1001" t="str">
        <f t="shared" si="55"/>
        <v>S355JO-03</v>
      </c>
      <c r="G202" s="1172">
        <v>18.600000000000001</v>
      </c>
      <c r="H202" s="985">
        <v>22300</v>
      </c>
      <c r="I202" s="1173">
        <v>16.8</v>
      </c>
      <c r="J202" s="985">
        <v>20700</v>
      </c>
      <c r="K202" s="1173">
        <v>9.4</v>
      </c>
      <c r="L202" s="985">
        <v>12000</v>
      </c>
      <c r="M202" s="1174">
        <f t="shared" si="56"/>
        <v>44.800000000000004</v>
      </c>
      <c r="N202" s="984">
        <f t="shared" si="57"/>
        <v>55000</v>
      </c>
      <c r="O202" s="986">
        <f t="shared" si="58"/>
        <v>155.07649513212795</v>
      </c>
      <c r="P202" s="987">
        <f t="shared" si="59"/>
        <v>143.94993045897078</v>
      </c>
      <c r="Q202" s="987">
        <f t="shared" si="60"/>
        <v>83.449235048678716</v>
      </c>
      <c r="R202" s="988">
        <f t="shared" si="61"/>
        <v>382.4756606397774</v>
      </c>
      <c r="S202" s="989">
        <v>143.80000000000001</v>
      </c>
      <c r="T202" s="990">
        <v>0</v>
      </c>
      <c r="U202" s="991">
        <v>13</v>
      </c>
      <c r="V202" s="991">
        <v>334</v>
      </c>
      <c r="W202" s="992">
        <f t="shared" si="62"/>
        <v>347</v>
      </c>
      <c r="X202" s="993">
        <f t="shared" si="63"/>
        <v>2.4130737134909594</v>
      </c>
      <c r="Y202" s="990">
        <v>1529</v>
      </c>
      <c r="Z202" s="991">
        <v>1397</v>
      </c>
      <c r="AA202" s="991">
        <v>802</v>
      </c>
      <c r="AB202" s="992">
        <f t="shared" si="64"/>
        <v>3728</v>
      </c>
      <c r="AC202" s="993">
        <f t="shared" si="65"/>
        <v>25.924895688456186</v>
      </c>
      <c r="AD202" s="994">
        <f t="shared" si="66"/>
        <v>4075</v>
      </c>
      <c r="AE202" s="995">
        <f t="shared" si="67"/>
        <v>28.337969401947145</v>
      </c>
      <c r="AF202" s="996">
        <v>81</v>
      </c>
      <c r="AG202" s="997">
        <v>62</v>
      </c>
      <c r="AH202" s="997">
        <v>6</v>
      </c>
      <c r="AI202" s="998">
        <f t="shared" si="68"/>
        <v>149</v>
      </c>
      <c r="AJ202" s="993">
        <f t="shared" si="69"/>
        <v>1.0361613351877608</v>
      </c>
    </row>
    <row r="203" spans="1:36" ht="16.5" customHeight="1">
      <c r="A203" s="999">
        <f>'09월 조업일지'!A201</f>
        <v>46272</v>
      </c>
      <c r="B203" s="1099">
        <f>'09월 조업일지'!B201</f>
        <v>46272</v>
      </c>
      <c r="C203" s="1000" t="str">
        <f>'09월 화학성분'!D201</f>
        <v>D</v>
      </c>
      <c r="D203" s="1000" t="str">
        <f>'09월 화학성분'!E201</f>
        <v>A</v>
      </c>
      <c r="E203" s="1000">
        <f>'09월 화학성분'!C201</f>
        <v>85403</v>
      </c>
      <c r="F203" s="1001" t="str">
        <f t="shared" si="55"/>
        <v>S355JO-03</v>
      </c>
      <c r="G203" s="1172">
        <v>17.3</v>
      </c>
      <c r="H203" s="985">
        <v>22500</v>
      </c>
      <c r="I203" s="1173">
        <v>17.5</v>
      </c>
      <c r="J203" s="985">
        <v>22100</v>
      </c>
      <c r="K203" s="1173">
        <v>9</v>
      </c>
      <c r="L203" s="985">
        <v>11500</v>
      </c>
      <c r="M203" s="1174">
        <f t="shared" si="56"/>
        <v>43.8</v>
      </c>
      <c r="N203" s="984">
        <f t="shared" si="57"/>
        <v>56100</v>
      </c>
      <c r="O203" s="986">
        <f t="shared" si="58"/>
        <v>158.22784810126583</v>
      </c>
      <c r="P203" s="987">
        <f t="shared" si="59"/>
        <v>155.41490857946556</v>
      </c>
      <c r="Q203" s="987">
        <f t="shared" si="60"/>
        <v>80.872011251758096</v>
      </c>
      <c r="R203" s="988">
        <f t="shared" si="61"/>
        <v>394.51476793248946</v>
      </c>
      <c r="S203" s="989">
        <v>142.19999999999999</v>
      </c>
      <c r="T203" s="990">
        <v>0</v>
      </c>
      <c r="U203" s="991">
        <v>0</v>
      </c>
      <c r="V203" s="991">
        <v>315</v>
      </c>
      <c r="W203" s="992">
        <f t="shared" si="62"/>
        <v>315</v>
      </c>
      <c r="X203" s="993">
        <f t="shared" si="63"/>
        <v>2.2151898734177218</v>
      </c>
      <c r="Y203" s="990">
        <v>1440</v>
      </c>
      <c r="Z203" s="991">
        <v>1491</v>
      </c>
      <c r="AA203" s="991">
        <v>562</v>
      </c>
      <c r="AB203" s="992">
        <f t="shared" si="64"/>
        <v>3493</v>
      </c>
      <c r="AC203" s="993">
        <f t="shared" si="65"/>
        <v>24.563994374120959</v>
      </c>
      <c r="AD203" s="994">
        <f t="shared" si="66"/>
        <v>3808</v>
      </c>
      <c r="AE203" s="995">
        <f t="shared" si="67"/>
        <v>26.77918424753868</v>
      </c>
      <c r="AF203" s="996">
        <v>72</v>
      </c>
      <c r="AG203" s="997">
        <v>61</v>
      </c>
      <c r="AH203" s="997">
        <v>3</v>
      </c>
      <c r="AI203" s="998">
        <f t="shared" si="68"/>
        <v>136</v>
      </c>
      <c r="AJ203" s="993">
        <f t="shared" si="69"/>
        <v>0.95639943741209577</v>
      </c>
    </row>
    <row r="204" spans="1:36" ht="16.5" customHeight="1">
      <c r="A204" s="999">
        <f>'09월 조업일지'!A202</f>
        <v>46272</v>
      </c>
      <c r="B204" s="1099">
        <f>'09월 조업일지'!B202</f>
        <v>46272</v>
      </c>
      <c r="C204" s="1000" t="str">
        <f>'09월 화학성분'!D202</f>
        <v>D</v>
      </c>
      <c r="D204" s="1000" t="str">
        <f>'09월 화학성분'!E202</f>
        <v>B</v>
      </c>
      <c r="E204" s="1000">
        <f>'09월 화학성분'!C202</f>
        <v>85404</v>
      </c>
      <c r="F204" s="1001" t="str">
        <f t="shared" si="55"/>
        <v>S355JO-03</v>
      </c>
      <c r="G204" s="1172">
        <v>18.8</v>
      </c>
      <c r="H204" s="985">
        <v>22900</v>
      </c>
      <c r="I204" s="1173">
        <v>16.5</v>
      </c>
      <c r="J204" s="985">
        <v>20500</v>
      </c>
      <c r="K204" s="1173">
        <v>8.8000000000000007</v>
      </c>
      <c r="L204" s="985">
        <v>11400</v>
      </c>
      <c r="M204" s="1174">
        <f t="shared" si="56"/>
        <v>44.099999999999994</v>
      </c>
      <c r="N204" s="984">
        <f t="shared" si="57"/>
        <v>54800</v>
      </c>
      <c r="O204" s="986">
        <f t="shared" si="58"/>
        <v>158.6971586971587</v>
      </c>
      <c r="P204" s="987">
        <f t="shared" si="59"/>
        <v>142.06514206514206</v>
      </c>
      <c r="Q204" s="987">
        <f t="shared" si="60"/>
        <v>79.002079002079</v>
      </c>
      <c r="R204" s="988">
        <f t="shared" si="61"/>
        <v>379.76437976437978</v>
      </c>
      <c r="S204" s="989">
        <v>144.30000000000001</v>
      </c>
      <c r="T204" s="990">
        <v>0</v>
      </c>
      <c r="U204" s="991">
        <v>11</v>
      </c>
      <c r="V204" s="991">
        <v>326</v>
      </c>
      <c r="W204" s="992">
        <f t="shared" si="62"/>
        <v>337</v>
      </c>
      <c r="X204" s="993">
        <f t="shared" si="63"/>
        <v>2.3354123354123351</v>
      </c>
      <c r="Y204" s="990">
        <v>1549</v>
      </c>
      <c r="Z204" s="991">
        <v>1379</v>
      </c>
      <c r="AA204" s="991">
        <v>673</v>
      </c>
      <c r="AB204" s="992">
        <f t="shared" si="64"/>
        <v>3601</v>
      </c>
      <c r="AC204" s="993">
        <f t="shared" si="65"/>
        <v>24.954954954954953</v>
      </c>
      <c r="AD204" s="994">
        <f t="shared" si="66"/>
        <v>3938</v>
      </c>
      <c r="AE204" s="995">
        <f t="shared" si="67"/>
        <v>27.290367290367289</v>
      </c>
      <c r="AF204" s="996">
        <v>79</v>
      </c>
      <c r="AG204" s="997">
        <v>62</v>
      </c>
      <c r="AH204" s="997">
        <v>5</v>
      </c>
      <c r="AI204" s="998">
        <f t="shared" si="68"/>
        <v>146</v>
      </c>
      <c r="AJ204" s="993">
        <f t="shared" si="69"/>
        <v>1.0117810117810118</v>
      </c>
    </row>
    <row r="205" spans="1:36" ht="16.5" customHeight="1">
      <c r="A205" s="999">
        <f>'09월 조업일지'!A203</f>
        <v>46272</v>
      </c>
      <c r="B205" s="1099">
        <f>'09월 조업일지'!B203</f>
        <v>46272</v>
      </c>
      <c r="C205" s="1000" t="str">
        <f>'09월 화학성분'!D203</f>
        <v>D</v>
      </c>
      <c r="D205" s="1000" t="str">
        <f>'09월 화학성분'!E203</f>
        <v>A</v>
      </c>
      <c r="E205" s="1000">
        <f>'09월 화학성분'!C203</f>
        <v>85405</v>
      </c>
      <c r="F205" s="1001" t="str">
        <f t="shared" si="55"/>
        <v>S355JO-03</v>
      </c>
      <c r="G205" s="1172">
        <v>17.899999999999999</v>
      </c>
      <c r="H205" s="985">
        <v>22300</v>
      </c>
      <c r="I205" s="1173">
        <v>16.100000000000001</v>
      </c>
      <c r="J205" s="985">
        <v>20500</v>
      </c>
      <c r="K205" s="1173">
        <v>12.2</v>
      </c>
      <c r="L205" s="985">
        <v>15200</v>
      </c>
      <c r="M205" s="1174">
        <f t="shared" si="56"/>
        <v>46.2</v>
      </c>
      <c r="N205" s="984">
        <f t="shared" si="57"/>
        <v>58000</v>
      </c>
      <c r="O205" s="986">
        <f t="shared" si="58"/>
        <v>156.27189908899791</v>
      </c>
      <c r="P205" s="987">
        <f t="shared" si="59"/>
        <v>143.65802382620885</v>
      </c>
      <c r="Q205" s="987">
        <f t="shared" si="60"/>
        <v>106.51716888577435</v>
      </c>
      <c r="R205" s="988">
        <f t="shared" si="61"/>
        <v>406.44709180098113</v>
      </c>
      <c r="S205" s="989">
        <v>142.69999999999999</v>
      </c>
      <c r="T205" s="990">
        <v>0</v>
      </c>
      <c r="U205" s="991">
        <v>45</v>
      </c>
      <c r="V205" s="991">
        <v>312</v>
      </c>
      <c r="W205" s="992">
        <f t="shared" si="62"/>
        <v>357</v>
      </c>
      <c r="X205" s="993">
        <f t="shared" si="63"/>
        <v>2.5017519271198321</v>
      </c>
      <c r="Y205" s="990">
        <v>1435</v>
      </c>
      <c r="Z205" s="991">
        <v>1351</v>
      </c>
      <c r="AA205" s="991">
        <v>690</v>
      </c>
      <c r="AB205" s="992">
        <f t="shared" si="64"/>
        <v>3476</v>
      </c>
      <c r="AC205" s="993">
        <f t="shared" si="65"/>
        <v>24.358794674141556</v>
      </c>
      <c r="AD205" s="994">
        <f t="shared" si="66"/>
        <v>3833</v>
      </c>
      <c r="AE205" s="995">
        <f t="shared" si="67"/>
        <v>26.86054660126139</v>
      </c>
      <c r="AF205" s="996">
        <v>74</v>
      </c>
      <c r="AG205" s="997">
        <v>58</v>
      </c>
      <c r="AH205" s="997">
        <v>5</v>
      </c>
      <c r="AI205" s="998">
        <f t="shared" si="68"/>
        <v>137</v>
      </c>
      <c r="AJ205" s="993">
        <f t="shared" si="69"/>
        <v>0.96005606166783475</v>
      </c>
    </row>
    <row r="206" spans="1:36" ht="16.5" customHeight="1">
      <c r="A206" s="999">
        <f>'09월 조업일지'!A204</f>
        <v>46272</v>
      </c>
      <c r="B206" s="1099">
        <f>'09월 조업일지'!B204</f>
        <v>46272</v>
      </c>
      <c r="C206" s="1000" t="str">
        <f>'09월 화학성분'!D204</f>
        <v>D</v>
      </c>
      <c r="D206" s="1000" t="str">
        <f>'09월 화학성분'!E204</f>
        <v>B</v>
      </c>
      <c r="E206" s="1000">
        <f>'09월 화학성분'!C204</f>
        <v>85406</v>
      </c>
      <c r="F206" s="1001" t="str">
        <f t="shared" si="55"/>
        <v>S355JO-03</v>
      </c>
      <c r="G206" s="1172">
        <v>19.7</v>
      </c>
      <c r="H206" s="985">
        <v>23300</v>
      </c>
      <c r="I206" s="1173">
        <v>16.5</v>
      </c>
      <c r="J206" s="985">
        <v>20600</v>
      </c>
      <c r="K206" s="1173">
        <v>9.8000000000000007</v>
      </c>
      <c r="L206" s="985">
        <v>12100</v>
      </c>
      <c r="M206" s="1174">
        <f t="shared" si="56"/>
        <v>46</v>
      </c>
      <c r="N206" s="984">
        <f t="shared" si="57"/>
        <v>56000</v>
      </c>
      <c r="O206" s="986">
        <f t="shared" si="58"/>
        <v>162.25626740947075</v>
      </c>
      <c r="P206" s="987">
        <f t="shared" si="59"/>
        <v>143.4540389972145</v>
      </c>
      <c r="Q206" s="987">
        <f t="shared" si="60"/>
        <v>84.261838440111418</v>
      </c>
      <c r="R206" s="988">
        <f t="shared" si="61"/>
        <v>389.97214484679671</v>
      </c>
      <c r="S206" s="989">
        <v>143.6</v>
      </c>
      <c r="T206" s="990">
        <v>0</v>
      </c>
      <c r="U206" s="991">
        <v>0</v>
      </c>
      <c r="V206" s="991">
        <v>356</v>
      </c>
      <c r="W206" s="992">
        <f t="shared" si="62"/>
        <v>356</v>
      </c>
      <c r="X206" s="993">
        <f t="shared" si="63"/>
        <v>2.4791086350974934</v>
      </c>
      <c r="Y206" s="990">
        <v>1593</v>
      </c>
      <c r="Z206" s="991">
        <v>1394</v>
      </c>
      <c r="AA206" s="991">
        <v>835</v>
      </c>
      <c r="AB206" s="992">
        <f t="shared" si="64"/>
        <v>3822</v>
      </c>
      <c r="AC206" s="993">
        <f t="shared" si="65"/>
        <v>26.615598885793872</v>
      </c>
      <c r="AD206" s="994">
        <f t="shared" si="66"/>
        <v>4178</v>
      </c>
      <c r="AE206" s="995">
        <f t="shared" si="67"/>
        <v>29.094707520891365</v>
      </c>
      <c r="AF206" s="996">
        <v>82</v>
      </c>
      <c r="AG206" s="997">
        <v>63</v>
      </c>
      <c r="AH206" s="997">
        <v>7</v>
      </c>
      <c r="AI206" s="998">
        <f t="shared" si="68"/>
        <v>152</v>
      </c>
      <c r="AJ206" s="993">
        <f t="shared" si="69"/>
        <v>1.0584958217270195</v>
      </c>
    </row>
    <row r="207" spans="1:36" ht="16.5" customHeight="1">
      <c r="A207" s="999">
        <f>'09월 조업일지'!A205</f>
        <v>46272</v>
      </c>
      <c r="B207" s="1099">
        <f>'09월 조업일지'!B205</f>
        <v>46272</v>
      </c>
      <c r="C207" s="1000" t="str">
        <f>'09월 화학성분'!D205</f>
        <v>D</v>
      </c>
      <c r="D207" s="1000" t="str">
        <f>'09월 화학성분'!E205</f>
        <v>A</v>
      </c>
      <c r="E207" s="1000">
        <f>'09월 화학성분'!C205</f>
        <v>85407</v>
      </c>
      <c r="F207" s="1001" t="str">
        <f t="shared" si="55"/>
        <v>S355JO-03</v>
      </c>
      <c r="G207" s="1172">
        <v>17.7</v>
      </c>
      <c r="H207" s="985">
        <v>23100</v>
      </c>
      <c r="I207" s="1173">
        <v>16.2</v>
      </c>
      <c r="J207" s="985">
        <v>20400</v>
      </c>
      <c r="K207" s="1173">
        <v>16.600000000000001</v>
      </c>
      <c r="L207" s="985">
        <v>20400</v>
      </c>
      <c r="M207" s="1174">
        <f t="shared" si="56"/>
        <v>50.5</v>
      </c>
      <c r="N207" s="984">
        <f t="shared" si="57"/>
        <v>63900</v>
      </c>
      <c r="O207" s="986">
        <f t="shared" si="58"/>
        <v>162.7906976744186</v>
      </c>
      <c r="P207" s="987">
        <f t="shared" si="59"/>
        <v>143.76321353065538</v>
      </c>
      <c r="Q207" s="987">
        <f t="shared" si="60"/>
        <v>143.76321353065538</v>
      </c>
      <c r="R207" s="988">
        <f t="shared" si="61"/>
        <v>450.31712473572935</v>
      </c>
      <c r="S207" s="989">
        <v>141.9</v>
      </c>
      <c r="T207" s="990">
        <v>0</v>
      </c>
      <c r="U207" s="991">
        <v>3</v>
      </c>
      <c r="V207" s="991">
        <v>387</v>
      </c>
      <c r="W207" s="992">
        <f t="shared" si="62"/>
        <v>390</v>
      </c>
      <c r="X207" s="993">
        <f t="shared" si="63"/>
        <v>2.7484143763213531</v>
      </c>
      <c r="Y207" s="990">
        <v>1457</v>
      </c>
      <c r="Z207" s="991">
        <v>1187</v>
      </c>
      <c r="AA207" s="991">
        <v>1022</v>
      </c>
      <c r="AB207" s="992">
        <f t="shared" si="64"/>
        <v>3666</v>
      </c>
      <c r="AC207" s="993">
        <f t="shared" si="65"/>
        <v>25.835095137420719</v>
      </c>
      <c r="AD207" s="994">
        <f t="shared" si="66"/>
        <v>4056</v>
      </c>
      <c r="AE207" s="995">
        <f t="shared" si="67"/>
        <v>28.583509513742072</v>
      </c>
      <c r="AF207" s="996">
        <v>72</v>
      </c>
      <c r="AG207" s="997">
        <v>54</v>
      </c>
      <c r="AH207" s="997">
        <v>8</v>
      </c>
      <c r="AI207" s="998">
        <f t="shared" si="68"/>
        <v>134</v>
      </c>
      <c r="AJ207" s="993">
        <f t="shared" si="69"/>
        <v>0.94432699083861871</v>
      </c>
    </row>
    <row r="208" spans="1:36" ht="16.5" customHeight="1">
      <c r="A208" s="999">
        <f>'09월 조업일지'!A206</f>
        <v>46272</v>
      </c>
      <c r="B208" s="1099">
        <f>'09월 조업일지'!B206</f>
        <v>46272</v>
      </c>
      <c r="C208" s="1000" t="str">
        <f>'09월 화학성분'!D206</f>
        <v>D</v>
      </c>
      <c r="D208" s="1000" t="str">
        <f>'09월 화학성분'!E206</f>
        <v>B</v>
      </c>
      <c r="E208" s="1000">
        <f>'09월 화학성분'!C206</f>
        <v>85408</v>
      </c>
      <c r="F208" s="1001" t="str">
        <f t="shared" ref="F208:F271" si="82">IF(G208="","",F207)</f>
        <v>S355JO-03</v>
      </c>
      <c r="G208" s="1172">
        <v>18.3</v>
      </c>
      <c r="H208" s="985">
        <v>22500</v>
      </c>
      <c r="I208" s="1173">
        <v>16.8</v>
      </c>
      <c r="J208" s="985">
        <v>20400</v>
      </c>
      <c r="K208" s="1173">
        <v>12.1</v>
      </c>
      <c r="L208" s="985">
        <v>15600</v>
      </c>
      <c r="M208" s="1174">
        <f t="shared" ref="M208:M271" si="83">IF(ISBLANK(G208),"",SUM(G208,I208,K208))</f>
        <v>47.2</v>
      </c>
      <c r="N208" s="984">
        <f t="shared" ref="N208:N271" si="84">IF(ISBLANK(H208),"",SUM(H208,J208,L208))</f>
        <v>58500</v>
      </c>
      <c r="O208" s="986">
        <f t="shared" ref="O208:O271" si="85">IF(ISBLANK(H208),"",H208/S208)</f>
        <v>158.11665495432183</v>
      </c>
      <c r="P208" s="987">
        <f t="shared" ref="P208:P271" si="86">IF(ISBLANK(J208),"",+J208/S208)</f>
        <v>143.35910049191847</v>
      </c>
      <c r="Q208" s="987">
        <f t="shared" ref="Q208:Q271" si="87">IF(ISBLANK(L208),"",L208/S208)</f>
        <v>109.62754743499647</v>
      </c>
      <c r="R208" s="988">
        <f t="shared" ref="R208:R271" si="88">IF(ISBLANK(L208),"",SUM(O208:Q208))</f>
        <v>411.1033028812368</v>
      </c>
      <c r="S208" s="989">
        <v>142.30000000000001</v>
      </c>
      <c r="T208" s="990">
        <v>0</v>
      </c>
      <c r="U208" s="991">
        <v>0</v>
      </c>
      <c r="V208" s="991">
        <v>337</v>
      </c>
      <c r="W208" s="992">
        <f t="shared" ref="W208:W271" si="89">IF(SUM(T208:V208)=0,"",SUM(T208:V208))</f>
        <v>337</v>
      </c>
      <c r="X208" s="993">
        <f t="shared" ref="X208:X271" si="90">IF(W208="","",W208/S208)</f>
        <v>2.3682361208713982</v>
      </c>
      <c r="Y208" s="990">
        <v>1521</v>
      </c>
      <c r="Z208" s="991">
        <v>1402</v>
      </c>
      <c r="AA208" s="991">
        <v>765</v>
      </c>
      <c r="AB208" s="992">
        <f t="shared" ref="AB208:AB271" si="91">IF(SUM(Y208:AA208)=0,"",SUM(Y208:AA208))</f>
        <v>3688</v>
      </c>
      <c r="AC208" s="993">
        <f t="shared" ref="AC208:AC271" si="92">IF(AB208="","",AB208/S208)</f>
        <v>25.917076598735065</v>
      </c>
      <c r="AD208" s="994">
        <f t="shared" ref="AD208:AD271" si="93">IF(SUM(W208,AB208)=0,"",SUM(W208,AB208))</f>
        <v>4025</v>
      </c>
      <c r="AE208" s="995">
        <f t="shared" ref="AE208:AE271" si="94">IF(AD208="","",AD208/S208)</f>
        <v>28.285312719606463</v>
      </c>
      <c r="AF208" s="996">
        <v>76</v>
      </c>
      <c r="AG208" s="997">
        <v>65</v>
      </c>
      <c r="AH208" s="997">
        <v>6</v>
      </c>
      <c r="AI208" s="998">
        <f t="shared" ref="AI208:AI271" si="95">IF(SUM(AF208:AH208)=0,"",SUM(AF208:AH208))</f>
        <v>147</v>
      </c>
      <c r="AJ208" s="993">
        <f t="shared" ref="AJ208:AJ271" si="96">IF(AI208="","",AI208/S208)</f>
        <v>1.0330288123682361</v>
      </c>
    </row>
    <row r="209" spans="1:36" ht="16.5" customHeight="1">
      <c r="A209" s="999">
        <f>'09월 조업일지'!A207</f>
        <v>46272</v>
      </c>
      <c r="B209" s="1099">
        <f>'09월 조업일지'!B207</f>
        <v>46272</v>
      </c>
      <c r="C209" s="1000" t="str">
        <f>'09월 화학성분'!D207</f>
        <v>A</v>
      </c>
      <c r="D209" s="1000" t="str">
        <f>'09월 화학성분'!E207</f>
        <v>A</v>
      </c>
      <c r="E209" s="1000">
        <f>'09월 화학성분'!C207</f>
        <v>85409</v>
      </c>
      <c r="F209" s="1001" t="str">
        <f t="shared" si="82"/>
        <v>S355JO-03</v>
      </c>
      <c r="G209" s="1172">
        <v>18.7</v>
      </c>
      <c r="H209" s="985">
        <v>23100</v>
      </c>
      <c r="I209" s="1173">
        <v>16.2</v>
      </c>
      <c r="J209" s="985">
        <v>20300</v>
      </c>
      <c r="K209" s="1173">
        <v>11.4</v>
      </c>
      <c r="L209" s="985">
        <v>14600</v>
      </c>
      <c r="M209" s="1174">
        <f t="shared" si="83"/>
        <v>46.3</v>
      </c>
      <c r="N209" s="984">
        <f t="shared" si="84"/>
        <v>58000</v>
      </c>
      <c r="O209" s="986">
        <f t="shared" si="85"/>
        <v>162.10526315789474</v>
      </c>
      <c r="P209" s="987">
        <f t="shared" si="86"/>
        <v>142.45614035087721</v>
      </c>
      <c r="Q209" s="987">
        <f t="shared" si="87"/>
        <v>102.45614035087719</v>
      </c>
      <c r="R209" s="988">
        <f t="shared" si="88"/>
        <v>407.01754385964915</v>
      </c>
      <c r="S209" s="989">
        <v>142.5</v>
      </c>
      <c r="T209" s="990">
        <v>0</v>
      </c>
      <c r="U209" s="991">
        <v>147</v>
      </c>
      <c r="V209" s="991">
        <v>237</v>
      </c>
      <c r="W209" s="992">
        <f t="shared" si="89"/>
        <v>384</v>
      </c>
      <c r="X209" s="993">
        <f t="shared" si="90"/>
        <v>2.6947368421052631</v>
      </c>
      <c r="Y209" s="990">
        <v>1563</v>
      </c>
      <c r="Z209" s="991">
        <v>1333</v>
      </c>
      <c r="AA209" s="991">
        <v>695</v>
      </c>
      <c r="AB209" s="992">
        <f t="shared" si="91"/>
        <v>3591</v>
      </c>
      <c r="AC209" s="993">
        <f t="shared" si="92"/>
        <v>25.2</v>
      </c>
      <c r="AD209" s="994">
        <f t="shared" si="93"/>
        <v>3975</v>
      </c>
      <c r="AE209" s="995">
        <f t="shared" si="94"/>
        <v>27.894736842105264</v>
      </c>
      <c r="AF209" s="996">
        <v>78</v>
      </c>
      <c r="AG209" s="997">
        <v>58</v>
      </c>
      <c r="AH209" s="997">
        <v>5</v>
      </c>
      <c r="AI209" s="998">
        <f t="shared" si="95"/>
        <v>141</v>
      </c>
      <c r="AJ209" s="993">
        <f t="shared" si="96"/>
        <v>0.98947368421052628</v>
      </c>
    </row>
    <row r="210" spans="1:36" ht="16.5" customHeight="1">
      <c r="A210" s="999">
        <f>'09월 조업일지'!A208</f>
        <v>46272</v>
      </c>
      <c r="B210" s="1099">
        <f>'09월 조업일지'!B208</f>
        <v>46272</v>
      </c>
      <c r="C210" s="1000" t="str">
        <f>'09월 화학성분'!D208</f>
        <v>A</v>
      </c>
      <c r="D210" s="1000" t="str">
        <f>'09월 화학성분'!E208</f>
        <v>B</v>
      </c>
      <c r="E210" s="1000">
        <f>'09월 화학성분'!C208</f>
        <v>85410</v>
      </c>
      <c r="F210" s="1001" t="str">
        <f t="shared" si="82"/>
        <v>S355JO-03</v>
      </c>
      <c r="G210" s="1172">
        <v>19.2</v>
      </c>
      <c r="H210" s="985">
        <v>22900</v>
      </c>
      <c r="I210" s="1173">
        <v>16.600000000000001</v>
      </c>
      <c r="J210" s="985">
        <v>20500</v>
      </c>
      <c r="K210" s="1173">
        <v>14.6</v>
      </c>
      <c r="L210" s="985">
        <v>18800</v>
      </c>
      <c r="M210" s="1174">
        <f t="shared" si="83"/>
        <v>50.4</v>
      </c>
      <c r="N210" s="984">
        <f t="shared" si="84"/>
        <v>62200</v>
      </c>
      <c r="O210" s="986">
        <f t="shared" si="85"/>
        <v>159.58188153310104</v>
      </c>
      <c r="P210" s="987">
        <f t="shared" si="86"/>
        <v>142.85714285714286</v>
      </c>
      <c r="Q210" s="987">
        <f t="shared" si="87"/>
        <v>131.01045296167248</v>
      </c>
      <c r="R210" s="988">
        <f t="shared" si="88"/>
        <v>433.44947735191636</v>
      </c>
      <c r="S210" s="989">
        <v>143.5</v>
      </c>
      <c r="T210" s="990">
        <v>0</v>
      </c>
      <c r="U210" s="991">
        <v>146</v>
      </c>
      <c r="V210" s="991">
        <v>246</v>
      </c>
      <c r="W210" s="992">
        <f t="shared" si="89"/>
        <v>392</v>
      </c>
      <c r="X210" s="993">
        <f t="shared" si="90"/>
        <v>2.7317073170731709</v>
      </c>
      <c r="Y210" s="990">
        <v>1553</v>
      </c>
      <c r="Z210" s="991">
        <v>1380</v>
      </c>
      <c r="AA210" s="991">
        <v>1103</v>
      </c>
      <c r="AB210" s="992">
        <f t="shared" si="91"/>
        <v>4036</v>
      </c>
      <c r="AC210" s="993">
        <f t="shared" si="92"/>
        <v>28.125435540069688</v>
      </c>
      <c r="AD210" s="994">
        <f t="shared" si="93"/>
        <v>4428</v>
      </c>
      <c r="AE210" s="995">
        <f t="shared" si="94"/>
        <v>30.857142857142858</v>
      </c>
      <c r="AF210" s="996">
        <v>82</v>
      </c>
      <c r="AG210" s="997">
        <v>61</v>
      </c>
      <c r="AH210" s="997">
        <v>12</v>
      </c>
      <c r="AI210" s="998">
        <f t="shared" si="95"/>
        <v>155</v>
      </c>
      <c r="AJ210" s="993">
        <f t="shared" si="96"/>
        <v>1.0801393728222997</v>
      </c>
    </row>
    <row r="211" spans="1:36" ht="16.5" customHeight="1">
      <c r="A211" s="999">
        <f>'09월 조업일지'!A209</f>
        <v>46272</v>
      </c>
      <c r="B211" s="1099">
        <f>'09월 조업일지'!B209</f>
        <v>46272</v>
      </c>
      <c r="C211" s="1000" t="str">
        <f>'09월 화학성분'!D209</f>
        <v>A</v>
      </c>
      <c r="D211" s="1232" t="str">
        <f>'09월 화학성분'!E209</f>
        <v>B</v>
      </c>
      <c r="E211" s="1000">
        <f>'09월 화학성분'!C209</f>
        <v>85411</v>
      </c>
      <c r="F211" s="1001" t="str">
        <f t="shared" si="82"/>
        <v>S355JO-03</v>
      </c>
      <c r="G211" s="1172">
        <v>19.600000000000001</v>
      </c>
      <c r="H211" s="985">
        <v>23600</v>
      </c>
      <c r="I211" s="1173">
        <v>15.9</v>
      </c>
      <c r="J211" s="985">
        <v>20600</v>
      </c>
      <c r="K211" s="1173">
        <v>8.5</v>
      </c>
      <c r="L211" s="985">
        <v>11000</v>
      </c>
      <c r="M211" s="1174">
        <f t="shared" si="83"/>
        <v>44</v>
      </c>
      <c r="N211" s="984">
        <f t="shared" si="84"/>
        <v>55200</v>
      </c>
      <c r="O211" s="986">
        <f t="shared" si="85"/>
        <v>166.08022519352571</v>
      </c>
      <c r="P211" s="987">
        <f t="shared" si="86"/>
        <v>144.96833216045039</v>
      </c>
      <c r="Q211" s="987">
        <f t="shared" si="87"/>
        <v>77.410274454609436</v>
      </c>
      <c r="R211" s="988">
        <f t="shared" si="88"/>
        <v>388.4588318085855</v>
      </c>
      <c r="S211" s="989">
        <v>142.1</v>
      </c>
      <c r="T211" s="990">
        <v>0</v>
      </c>
      <c r="U211" s="991">
        <v>151</v>
      </c>
      <c r="V211" s="991">
        <v>487</v>
      </c>
      <c r="W211" s="992">
        <f t="shared" si="89"/>
        <v>638</v>
      </c>
      <c r="X211" s="993">
        <f t="shared" si="90"/>
        <v>4.4897959183673475</v>
      </c>
      <c r="Y211" s="990">
        <v>1668</v>
      </c>
      <c r="Z211" s="991">
        <v>1337</v>
      </c>
      <c r="AA211" s="991">
        <v>1080</v>
      </c>
      <c r="AB211" s="992">
        <f t="shared" si="91"/>
        <v>4085</v>
      </c>
      <c r="AC211" s="993">
        <f t="shared" si="92"/>
        <v>28.747361013370867</v>
      </c>
      <c r="AD211" s="994">
        <f t="shared" si="93"/>
        <v>4723</v>
      </c>
      <c r="AE211" s="995">
        <f t="shared" si="94"/>
        <v>33.237156931738213</v>
      </c>
      <c r="AF211" s="996">
        <v>82</v>
      </c>
      <c r="AG211" s="997">
        <v>61</v>
      </c>
      <c r="AH211" s="997">
        <v>12</v>
      </c>
      <c r="AI211" s="998">
        <f t="shared" si="95"/>
        <v>155</v>
      </c>
      <c r="AJ211" s="993">
        <f t="shared" si="96"/>
        <v>1.0907811400422238</v>
      </c>
    </row>
    <row r="212" spans="1:36" ht="16.5" customHeight="1">
      <c r="A212" s="999">
        <f>'09월 조업일지'!A210</f>
        <v>46272</v>
      </c>
      <c r="B212" s="1099">
        <f>'09월 조업일지'!B210</f>
        <v>46272</v>
      </c>
      <c r="C212" s="1000" t="str">
        <f>'09월 화학성분'!D210</f>
        <v>A</v>
      </c>
      <c r="D212" s="1000" t="str">
        <f>'09월 화학성분'!E210</f>
        <v>A</v>
      </c>
      <c r="E212" s="1000">
        <f>'09월 화학성분'!C210</f>
        <v>85412</v>
      </c>
      <c r="F212" s="1104" t="s">
        <v>646</v>
      </c>
      <c r="G212" s="1172">
        <v>19.7</v>
      </c>
      <c r="H212" s="985">
        <v>24500</v>
      </c>
      <c r="I212" s="1173">
        <v>16.5</v>
      </c>
      <c r="J212" s="985">
        <v>20500</v>
      </c>
      <c r="K212" s="1173">
        <v>10.1</v>
      </c>
      <c r="L212" s="985">
        <v>12800</v>
      </c>
      <c r="M212" s="1174">
        <f t="shared" si="83"/>
        <v>46.300000000000004</v>
      </c>
      <c r="N212" s="984">
        <f t="shared" si="84"/>
        <v>57800</v>
      </c>
      <c r="O212" s="986">
        <f t="shared" si="85"/>
        <v>170.25712300208477</v>
      </c>
      <c r="P212" s="987">
        <f t="shared" si="86"/>
        <v>142.46004169562195</v>
      </c>
      <c r="Q212" s="987">
        <f t="shared" si="87"/>
        <v>88.950660180681027</v>
      </c>
      <c r="R212" s="988">
        <f t="shared" si="88"/>
        <v>401.66782487838776</v>
      </c>
      <c r="S212" s="989">
        <v>143.9</v>
      </c>
      <c r="T212" s="990">
        <v>0</v>
      </c>
      <c r="U212" s="991">
        <v>196</v>
      </c>
      <c r="V212" s="991">
        <v>184</v>
      </c>
      <c r="W212" s="992">
        <f t="shared" si="89"/>
        <v>380</v>
      </c>
      <c r="X212" s="993">
        <f t="shared" si="90"/>
        <v>2.6407227241139681</v>
      </c>
      <c r="Y212" s="990">
        <v>1631</v>
      </c>
      <c r="Z212" s="991">
        <v>1367</v>
      </c>
      <c r="AA212" s="991">
        <v>534</v>
      </c>
      <c r="AB212" s="992">
        <f t="shared" si="91"/>
        <v>3532</v>
      </c>
      <c r="AC212" s="993">
        <f t="shared" si="92"/>
        <v>24.54482279360667</v>
      </c>
      <c r="AD212" s="994">
        <f t="shared" si="93"/>
        <v>3912</v>
      </c>
      <c r="AE212" s="995">
        <f t="shared" si="94"/>
        <v>27.185545517720637</v>
      </c>
      <c r="AF212" s="996">
        <v>77</v>
      </c>
      <c r="AG212" s="997">
        <v>62</v>
      </c>
      <c r="AH212" s="997">
        <v>4</v>
      </c>
      <c r="AI212" s="998">
        <f t="shared" si="95"/>
        <v>143</v>
      </c>
      <c r="AJ212" s="993">
        <f t="shared" si="96"/>
        <v>0.99374565670604587</v>
      </c>
    </row>
    <row r="213" spans="1:36" ht="16.5" customHeight="1">
      <c r="A213" s="999">
        <f>'09월 조업일지'!A211</f>
        <v>46272</v>
      </c>
      <c r="B213" s="1099">
        <f>'09월 조업일지'!B211</f>
        <v>46272</v>
      </c>
      <c r="C213" s="1000" t="str">
        <f>'09월 화학성분'!D211</f>
        <v>A</v>
      </c>
      <c r="D213" s="1000" t="str">
        <f>'09월 화학성분'!E211</f>
        <v>B</v>
      </c>
      <c r="E213" s="1000">
        <f>'09월 화학성분'!C211</f>
        <v>85413</v>
      </c>
      <c r="F213" s="1104" t="s">
        <v>632</v>
      </c>
      <c r="G213" s="1172">
        <v>19.8</v>
      </c>
      <c r="H213" s="985">
        <v>24300</v>
      </c>
      <c r="I213" s="1173">
        <v>16.399999999999999</v>
      </c>
      <c r="J213" s="985">
        <v>20600</v>
      </c>
      <c r="K213" s="1173">
        <v>9.6</v>
      </c>
      <c r="L213" s="985">
        <v>12200</v>
      </c>
      <c r="M213" s="1174">
        <f t="shared" si="83"/>
        <v>45.800000000000004</v>
      </c>
      <c r="N213" s="984">
        <f t="shared" si="84"/>
        <v>57100</v>
      </c>
      <c r="O213" s="986">
        <f t="shared" si="85"/>
        <v>169.69273743016763</v>
      </c>
      <c r="P213" s="987">
        <f t="shared" si="86"/>
        <v>143.85474860335196</v>
      </c>
      <c r="Q213" s="987">
        <f t="shared" si="87"/>
        <v>85.19553072625699</v>
      </c>
      <c r="R213" s="988">
        <f t="shared" si="88"/>
        <v>398.74301675977659</v>
      </c>
      <c r="S213" s="989">
        <v>143.19999999999999</v>
      </c>
      <c r="T213" s="990">
        <v>0</v>
      </c>
      <c r="U213" s="991">
        <v>192</v>
      </c>
      <c r="V213" s="991">
        <v>120</v>
      </c>
      <c r="W213" s="992">
        <f t="shared" si="89"/>
        <v>312</v>
      </c>
      <c r="X213" s="993">
        <f t="shared" si="90"/>
        <v>2.1787709497206706</v>
      </c>
      <c r="Y213" s="990">
        <v>1675</v>
      </c>
      <c r="Z213" s="991">
        <v>1360</v>
      </c>
      <c r="AA213" s="991">
        <v>852</v>
      </c>
      <c r="AB213" s="992">
        <f t="shared" si="91"/>
        <v>3887</v>
      </c>
      <c r="AC213" s="993">
        <f t="shared" si="92"/>
        <v>27.143854748603353</v>
      </c>
      <c r="AD213" s="994">
        <f t="shared" si="93"/>
        <v>4199</v>
      </c>
      <c r="AE213" s="995">
        <f t="shared" si="94"/>
        <v>29.322625698324025</v>
      </c>
      <c r="AF213" s="996">
        <v>77</v>
      </c>
      <c r="AG213" s="997">
        <v>65</v>
      </c>
      <c r="AH213" s="997">
        <v>8</v>
      </c>
      <c r="AI213" s="998">
        <f t="shared" si="95"/>
        <v>150</v>
      </c>
      <c r="AJ213" s="993">
        <f t="shared" si="96"/>
        <v>1.0474860335195531</v>
      </c>
    </row>
    <row r="214" spans="1:36" ht="16.5" customHeight="1">
      <c r="A214" s="999">
        <f>'09월 조업일지'!A212</f>
        <v>46272</v>
      </c>
      <c r="B214" s="1099">
        <f>'09월 조업일지'!B212</f>
        <v>46272</v>
      </c>
      <c r="C214" s="1000" t="str">
        <f>'09월 화학성분'!D212</f>
        <v>A</v>
      </c>
      <c r="D214" s="1000" t="str">
        <f>'09월 화학성분'!E212</f>
        <v>A</v>
      </c>
      <c r="E214" s="1000">
        <f>'09월 화학성분'!C212</f>
        <v>85414</v>
      </c>
      <c r="F214" s="1104" t="s">
        <v>696</v>
      </c>
      <c r="G214" s="1172">
        <v>19.2</v>
      </c>
      <c r="H214" s="985">
        <v>23100</v>
      </c>
      <c r="I214" s="1173">
        <v>16.600000000000001</v>
      </c>
      <c r="J214" s="985">
        <v>20300</v>
      </c>
      <c r="K214" s="1173">
        <v>9.4</v>
      </c>
      <c r="L214" s="985">
        <v>11900</v>
      </c>
      <c r="M214" s="1174">
        <f t="shared" si="83"/>
        <v>45.199999999999996</v>
      </c>
      <c r="N214" s="984">
        <f t="shared" si="84"/>
        <v>55300</v>
      </c>
      <c r="O214" s="986">
        <f t="shared" si="85"/>
        <v>159.86159169550174</v>
      </c>
      <c r="P214" s="987">
        <f t="shared" si="86"/>
        <v>140.48442906574394</v>
      </c>
      <c r="Q214" s="987">
        <f t="shared" si="87"/>
        <v>82.352941176470594</v>
      </c>
      <c r="R214" s="988">
        <f t="shared" si="88"/>
        <v>382.69896193771626</v>
      </c>
      <c r="S214" s="989">
        <v>144.5</v>
      </c>
      <c r="T214" s="990">
        <v>0</v>
      </c>
      <c r="U214" s="991">
        <v>126</v>
      </c>
      <c r="V214" s="991">
        <v>254</v>
      </c>
      <c r="W214" s="992">
        <f t="shared" si="89"/>
        <v>380</v>
      </c>
      <c r="X214" s="993">
        <f t="shared" si="90"/>
        <v>2.6297577854671279</v>
      </c>
      <c r="Y214" s="990">
        <v>1576</v>
      </c>
      <c r="Z214" s="991">
        <v>1394</v>
      </c>
      <c r="AA214" s="991">
        <v>642</v>
      </c>
      <c r="AB214" s="992">
        <f t="shared" si="91"/>
        <v>3612</v>
      </c>
      <c r="AC214" s="993">
        <f t="shared" si="92"/>
        <v>24.996539792387544</v>
      </c>
      <c r="AD214" s="994">
        <f t="shared" si="93"/>
        <v>3992</v>
      </c>
      <c r="AE214" s="995">
        <f t="shared" si="94"/>
        <v>27.626297577854672</v>
      </c>
      <c r="AF214" s="996">
        <v>79</v>
      </c>
      <c r="AG214" s="997">
        <v>60</v>
      </c>
      <c r="AH214" s="997">
        <v>5</v>
      </c>
      <c r="AI214" s="998">
        <f t="shared" si="95"/>
        <v>144</v>
      </c>
      <c r="AJ214" s="993">
        <f t="shared" si="96"/>
        <v>0.9965397923875432</v>
      </c>
    </row>
    <row r="215" spans="1:36" ht="16.5" customHeight="1">
      <c r="A215" s="999">
        <f>'09월 조업일지'!A213</f>
        <v>46273</v>
      </c>
      <c r="B215" s="1099">
        <f>'09월 조업일지'!B213</f>
        <v>46272</v>
      </c>
      <c r="C215" s="1000" t="str">
        <f>'09월 화학성분'!D213</f>
        <v>A</v>
      </c>
      <c r="D215" s="1000" t="str">
        <f>'09월 화학성분'!E213</f>
        <v>B</v>
      </c>
      <c r="E215" s="1000">
        <f>'09월 화학성분'!C213</f>
        <v>85415</v>
      </c>
      <c r="F215" s="1104" t="s">
        <v>632</v>
      </c>
      <c r="G215" s="1172">
        <v>19.100000000000001</v>
      </c>
      <c r="H215" s="985">
        <v>23000</v>
      </c>
      <c r="I215" s="1173">
        <v>16.399999999999999</v>
      </c>
      <c r="J215" s="985">
        <v>20500</v>
      </c>
      <c r="K215" s="1173">
        <v>10.1</v>
      </c>
      <c r="L215" s="985">
        <v>12800</v>
      </c>
      <c r="M215" s="1174">
        <f t="shared" si="83"/>
        <v>45.6</v>
      </c>
      <c r="N215" s="984">
        <f t="shared" si="84"/>
        <v>56300</v>
      </c>
      <c r="O215" s="986">
        <f t="shared" si="85"/>
        <v>160.05567153792626</v>
      </c>
      <c r="P215" s="987">
        <f t="shared" si="86"/>
        <v>142.65831593597775</v>
      </c>
      <c r="Q215" s="987">
        <f t="shared" si="87"/>
        <v>89.074460681976348</v>
      </c>
      <c r="R215" s="988">
        <f t="shared" si="88"/>
        <v>391.78844815588036</v>
      </c>
      <c r="S215" s="989">
        <v>143.69999999999999</v>
      </c>
      <c r="T215" s="990">
        <v>0</v>
      </c>
      <c r="U215" s="991">
        <v>106</v>
      </c>
      <c r="V215" s="991">
        <v>161</v>
      </c>
      <c r="W215" s="992">
        <f t="shared" si="89"/>
        <v>267</v>
      </c>
      <c r="X215" s="993">
        <f t="shared" si="90"/>
        <v>1.8580375782881005</v>
      </c>
      <c r="Y215" s="990">
        <v>1574</v>
      </c>
      <c r="Z215" s="991">
        <v>1357</v>
      </c>
      <c r="AA215" s="991">
        <v>745</v>
      </c>
      <c r="AB215" s="992">
        <f t="shared" si="91"/>
        <v>3676</v>
      </c>
      <c r="AC215" s="993">
        <f t="shared" si="92"/>
        <v>25.581071677105083</v>
      </c>
      <c r="AD215" s="994">
        <f t="shared" si="93"/>
        <v>3943</v>
      </c>
      <c r="AE215" s="995">
        <f t="shared" si="94"/>
        <v>27.439109255393184</v>
      </c>
      <c r="AF215" s="996">
        <v>81</v>
      </c>
      <c r="AG215" s="997">
        <v>61</v>
      </c>
      <c r="AH215" s="997">
        <v>7</v>
      </c>
      <c r="AI215" s="998">
        <f t="shared" si="95"/>
        <v>149</v>
      </c>
      <c r="AJ215" s="993">
        <f t="shared" si="96"/>
        <v>1.0368823938761309</v>
      </c>
    </row>
    <row r="216" spans="1:36" ht="16.5" customHeight="1">
      <c r="A216" s="999">
        <f>'09월 조업일지'!A214</f>
        <v>46273</v>
      </c>
      <c r="B216" s="1099">
        <f>'09월 조업일지'!B214</f>
        <v>46272</v>
      </c>
      <c r="C216" s="1000" t="str">
        <f>'09월 화학성분'!D214</f>
        <v>A</v>
      </c>
      <c r="D216" s="1000" t="str">
        <f>'09월 화학성분'!E214</f>
        <v>A</v>
      </c>
      <c r="E216" s="1000">
        <f>'09월 화학성분'!C214</f>
        <v>85416</v>
      </c>
      <c r="F216" s="1001" t="str">
        <f t="shared" si="82"/>
        <v>A572-50-01</v>
      </c>
      <c r="G216" s="1172">
        <v>17.899999999999999</v>
      </c>
      <c r="H216" s="985">
        <v>23600</v>
      </c>
      <c r="I216" s="1173">
        <v>16</v>
      </c>
      <c r="J216" s="985">
        <v>20400</v>
      </c>
      <c r="K216" s="1173">
        <v>11.8</v>
      </c>
      <c r="L216" s="985">
        <v>14500</v>
      </c>
      <c r="M216" s="1174">
        <f t="shared" si="83"/>
        <v>45.7</v>
      </c>
      <c r="N216" s="984">
        <f t="shared" si="84"/>
        <v>58500</v>
      </c>
      <c r="O216" s="986">
        <f t="shared" si="85"/>
        <v>162.64645072363888</v>
      </c>
      <c r="P216" s="987">
        <f t="shared" si="86"/>
        <v>140.59269469331497</v>
      </c>
      <c r="Q216" s="987">
        <f t="shared" si="87"/>
        <v>99.931082012405241</v>
      </c>
      <c r="R216" s="988">
        <f t="shared" si="88"/>
        <v>403.1702274293591</v>
      </c>
      <c r="S216" s="989">
        <v>145.1</v>
      </c>
      <c r="T216" s="990">
        <v>0</v>
      </c>
      <c r="U216" s="991">
        <v>157</v>
      </c>
      <c r="V216" s="991">
        <v>211</v>
      </c>
      <c r="W216" s="992">
        <f t="shared" si="89"/>
        <v>368</v>
      </c>
      <c r="X216" s="993">
        <f t="shared" si="90"/>
        <v>2.5361819434872501</v>
      </c>
      <c r="Y216" s="990">
        <v>1520</v>
      </c>
      <c r="Z216" s="991">
        <v>1306</v>
      </c>
      <c r="AA216" s="991">
        <v>810</v>
      </c>
      <c r="AB216" s="992">
        <f t="shared" si="91"/>
        <v>3636</v>
      </c>
      <c r="AC216" s="993">
        <f t="shared" si="92"/>
        <v>25.058580289455548</v>
      </c>
      <c r="AD216" s="994">
        <f t="shared" si="93"/>
        <v>4004</v>
      </c>
      <c r="AE216" s="995">
        <f t="shared" si="94"/>
        <v>27.594762232942799</v>
      </c>
      <c r="AF216" s="996">
        <v>72</v>
      </c>
      <c r="AG216" s="997">
        <v>61</v>
      </c>
      <c r="AH216" s="997">
        <v>6</v>
      </c>
      <c r="AI216" s="998">
        <f t="shared" si="95"/>
        <v>139</v>
      </c>
      <c r="AJ216" s="993">
        <f t="shared" si="96"/>
        <v>0.95796002756719512</v>
      </c>
    </row>
    <row r="217" spans="1:36" ht="16.5" customHeight="1">
      <c r="A217" s="999">
        <f>'09월 조업일지'!A215</f>
        <v>46273</v>
      </c>
      <c r="B217" s="1099">
        <f>'09월 조업일지'!B215</f>
        <v>46272</v>
      </c>
      <c r="C217" s="1000" t="str">
        <f>'09월 화학성분'!D215</f>
        <v>A</v>
      </c>
      <c r="D217" s="1000" t="str">
        <f>'09월 화학성분'!E215</f>
        <v>B</v>
      </c>
      <c r="E217" s="1000">
        <f>'09월 화학성분'!C215</f>
        <v>85417</v>
      </c>
      <c r="F217" s="1001" t="str">
        <f t="shared" si="82"/>
        <v>A572-50-01</v>
      </c>
      <c r="G217" s="1172">
        <v>19.8</v>
      </c>
      <c r="H217" s="985">
        <v>23200</v>
      </c>
      <c r="I217" s="1173">
        <v>16.3</v>
      </c>
      <c r="J217" s="985">
        <v>20500</v>
      </c>
      <c r="K217" s="1173">
        <v>8.1</v>
      </c>
      <c r="L217" s="985">
        <v>10400</v>
      </c>
      <c r="M217" s="1174">
        <f t="shared" si="83"/>
        <v>44.2</v>
      </c>
      <c r="N217" s="984">
        <f t="shared" si="84"/>
        <v>54100</v>
      </c>
      <c r="O217" s="986">
        <f t="shared" si="85"/>
        <v>163.26530612244898</v>
      </c>
      <c r="P217" s="987">
        <f t="shared" si="86"/>
        <v>144.26460239268121</v>
      </c>
      <c r="Q217" s="987">
        <f t="shared" si="87"/>
        <v>73.187895847994369</v>
      </c>
      <c r="R217" s="988">
        <f t="shared" si="88"/>
        <v>380.71780436312451</v>
      </c>
      <c r="S217" s="989">
        <v>142.1</v>
      </c>
      <c r="T217" s="990">
        <v>0</v>
      </c>
      <c r="U217" s="991">
        <v>74</v>
      </c>
      <c r="V217" s="991">
        <v>269</v>
      </c>
      <c r="W217" s="992">
        <f t="shared" si="89"/>
        <v>343</v>
      </c>
      <c r="X217" s="993">
        <f t="shared" si="90"/>
        <v>2.4137931034482758</v>
      </c>
      <c r="Y217" s="990">
        <v>1471</v>
      </c>
      <c r="Z217" s="991">
        <v>1351</v>
      </c>
      <c r="AA217" s="991">
        <v>804</v>
      </c>
      <c r="AB217" s="992">
        <f t="shared" si="91"/>
        <v>3626</v>
      </c>
      <c r="AC217" s="993">
        <f t="shared" si="92"/>
        <v>25.517241379310345</v>
      </c>
      <c r="AD217" s="994">
        <f t="shared" si="93"/>
        <v>3969</v>
      </c>
      <c r="AE217" s="995">
        <f t="shared" si="94"/>
        <v>27.931034482758623</v>
      </c>
      <c r="AF217" s="996">
        <v>75</v>
      </c>
      <c r="AG217" s="997">
        <v>62</v>
      </c>
      <c r="AH217" s="997">
        <v>7</v>
      </c>
      <c r="AI217" s="998">
        <f t="shared" si="95"/>
        <v>144</v>
      </c>
      <c r="AJ217" s="993">
        <f t="shared" si="96"/>
        <v>1.0133708655876144</v>
      </c>
    </row>
    <row r="218" spans="1:36" ht="16.5" customHeight="1">
      <c r="A218" s="999">
        <f>'09월 조업일지'!A216</f>
        <v>46273</v>
      </c>
      <c r="B218" s="1099">
        <f>'09월 조업일지'!B216</f>
        <v>46272</v>
      </c>
      <c r="C218" s="1000" t="str">
        <f>'09월 화학성분'!D216</f>
        <v>A</v>
      </c>
      <c r="D218" s="1000" t="str">
        <f>'09월 화학성분'!E216</f>
        <v>A</v>
      </c>
      <c r="E218" s="1000">
        <f>'09월 화학성분'!C216</f>
        <v>85418</v>
      </c>
      <c r="F218" s="1001" t="str">
        <f t="shared" si="82"/>
        <v>A572-50-01</v>
      </c>
      <c r="G218" s="1172">
        <v>18.7</v>
      </c>
      <c r="H218" s="985">
        <v>23100</v>
      </c>
      <c r="I218" s="1173">
        <v>16.100000000000001</v>
      </c>
      <c r="J218" s="985">
        <v>20500</v>
      </c>
      <c r="K218" s="1173">
        <v>9.6</v>
      </c>
      <c r="L218" s="985">
        <v>12300</v>
      </c>
      <c r="M218" s="1174">
        <f t="shared" si="83"/>
        <v>44.4</v>
      </c>
      <c r="N218" s="984">
        <f t="shared" si="84"/>
        <v>55900</v>
      </c>
      <c r="O218" s="986">
        <f t="shared" si="85"/>
        <v>160.52814454482279</v>
      </c>
      <c r="P218" s="987">
        <f t="shared" si="86"/>
        <v>142.46004169562195</v>
      </c>
      <c r="Q218" s="987">
        <f t="shared" si="87"/>
        <v>85.476025017373175</v>
      </c>
      <c r="R218" s="988">
        <f t="shared" si="88"/>
        <v>388.46421125781791</v>
      </c>
      <c r="S218" s="989">
        <v>143.9</v>
      </c>
      <c r="T218" s="990">
        <v>0</v>
      </c>
      <c r="U218" s="991">
        <v>167</v>
      </c>
      <c r="V218" s="991">
        <v>208</v>
      </c>
      <c r="W218" s="992">
        <f t="shared" si="89"/>
        <v>375</v>
      </c>
      <c r="X218" s="993">
        <f t="shared" si="90"/>
        <v>2.6059763724808893</v>
      </c>
      <c r="Y218" s="990">
        <v>1540</v>
      </c>
      <c r="Z218" s="991">
        <v>1331</v>
      </c>
      <c r="AA218" s="991">
        <v>580</v>
      </c>
      <c r="AB218" s="992">
        <f t="shared" si="91"/>
        <v>3451</v>
      </c>
      <c r="AC218" s="993">
        <f t="shared" si="92"/>
        <v>23.981931897150798</v>
      </c>
      <c r="AD218" s="994">
        <f t="shared" si="93"/>
        <v>3826</v>
      </c>
      <c r="AE218" s="995">
        <f t="shared" si="94"/>
        <v>26.587908269631686</v>
      </c>
      <c r="AF218" s="996">
        <v>77</v>
      </c>
      <c r="AG218" s="997">
        <v>59</v>
      </c>
      <c r="AH218" s="997">
        <v>4</v>
      </c>
      <c r="AI218" s="998">
        <f t="shared" si="95"/>
        <v>140</v>
      </c>
      <c r="AJ218" s="993">
        <f t="shared" si="96"/>
        <v>0.97289784572619875</v>
      </c>
    </row>
    <row r="219" spans="1:36" ht="16.5" customHeight="1">
      <c r="A219" s="999">
        <f>'09월 조업일지'!A217</f>
        <v>46273</v>
      </c>
      <c r="B219" s="1099">
        <f>'09월 조업일지'!B217</f>
        <v>46273</v>
      </c>
      <c r="C219" s="1000" t="str">
        <f>'09월 화학성분'!D217</f>
        <v>C</v>
      </c>
      <c r="D219" s="1000" t="str">
        <f>'09월 화학성분'!E217</f>
        <v>B</v>
      </c>
      <c r="E219" s="1000">
        <f>'09월 화학성분'!C217</f>
        <v>85419</v>
      </c>
      <c r="F219" s="1001" t="str">
        <f t="shared" si="82"/>
        <v>A572-50-01</v>
      </c>
      <c r="G219" s="1172">
        <v>19.100000000000001</v>
      </c>
      <c r="H219" s="985">
        <v>22700</v>
      </c>
      <c r="I219" s="1173">
        <v>16.600000000000001</v>
      </c>
      <c r="J219" s="985">
        <v>20700</v>
      </c>
      <c r="K219" s="1173">
        <v>8.6</v>
      </c>
      <c r="L219" s="985">
        <v>11000</v>
      </c>
      <c r="M219" s="1174">
        <f t="shared" si="83"/>
        <v>44.300000000000004</v>
      </c>
      <c r="N219" s="984">
        <f t="shared" si="84"/>
        <v>54400</v>
      </c>
      <c r="O219" s="986">
        <f t="shared" si="85"/>
        <v>160.31073446327684</v>
      </c>
      <c r="P219" s="987">
        <f t="shared" si="86"/>
        <v>146.18644067796612</v>
      </c>
      <c r="Q219" s="987">
        <f t="shared" si="87"/>
        <v>77.683615819209038</v>
      </c>
      <c r="R219" s="988">
        <f t="shared" si="88"/>
        <v>384.18079096045199</v>
      </c>
      <c r="S219" s="989">
        <v>141.6</v>
      </c>
      <c r="T219" s="990">
        <v>0</v>
      </c>
      <c r="U219" s="991">
        <v>64</v>
      </c>
      <c r="V219" s="991">
        <v>250</v>
      </c>
      <c r="W219" s="992">
        <f t="shared" si="89"/>
        <v>314</v>
      </c>
      <c r="X219" s="993">
        <f t="shared" si="90"/>
        <v>2.2175141242937855</v>
      </c>
      <c r="Y219" s="990">
        <v>1572</v>
      </c>
      <c r="Z219" s="991">
        <v>1370</v>
      </c>
      <c r="AA219" s="991">
        <v>731</v>
      </c>
      <c r="AB219" s="992">
        <f t="shared" si="91"/>
        <v>3673</v>
      </c>
      <c r="AC219" s="993">
        <f t="shared" si="92"/>
        <v>25.939265536723166</v>
      </c>
      <c r="AD219" s="994">
        <f t="shared" si="93"/>
        <v>3987</v>
      </c>
      <c r="AE219" s="995">
        <f t="shared" si="94"/>
        <v>28.156779661016952</v>
      </c>
      <c r="AF219" s="996">
        <v>82</v>
      </c>
      <c r="AG219" s="997">
        <v>62</v>
      </c>
      <c r="AH219" s="997">
        <v>7</v>
      </c>
      <c r="AI219" s="998">
        <f t="shared" si="95"/>
        <v>151</v>
      </c>
      <c r="AJ219" s="993">
        <f t="shared" si="96"/>
        <v>1.0663841807909604</v>
      </c>
    </row>
    <row r="220" spans="1:36" ht="16.5" customHeight="1">
      <c r="A220" s="999">
        <f>'09월 조업일지'!A218</f>
        <v>46273</v>
      </c>
      <c r="B220" s="1099">
        <f>'09월 조업일지'!B218</f>
        <v>46273</v>
      </c>
      <c r="C220" s="1000" t="str">
        <f>'09월 화학성분'!D218</f>
        <v>C</v>
      </c>
      <c r="D220" s="1000" t="str">
        <f>'09월 화학성분'!E218</f>
        <v>A</v>
      </c>
      <c r="E220" s="1000">
        <f>'09월 화학성분'!C218</f>
        <v>85420</v>
      </c>
      <c r="F220" s="1001" t="str">
        <f t="shared" si="82"/>
        <v>A572-50-01</v>
      </c>
      <c r="G220" s="1172">
        <v>18.100000000000001</v>
      </c>
      <c r="H220" s="985">
        <v>22700</v>
      </c>
      <c r="I220" s="1173">
        <v>16.600000000000001</v>
      </c>
      <c r="J220" s="985">
        <v>20600</v>
      </c>
      <c r="K220" s="1173">
        <v>8.9</v>
      </c>
      <c r="L220" s="985">
        <v>11300</v>
      </c>
      <c r="M220" s="1174">
        <f t="shared" si="83"/>
        <v>43.6</v>
      </c>
      <c r="N220" s="984">
        <f t="shared" si="84"/>
        <v>54600</v>
      </c>
      <c r="O220" s="986">
        <f t="shared" si="85"/>
        <v>158.29846582984658</v>
      </c>
      <c r="P220" s="987">
        <f t="shared" si="86"/>
        <v>143.65411436541143</v>
      </c>
      <c r="Q220" s="987">
        <f t="shared" si="87"/>
        <v>78.800557880055791</v>
      </c>
      <c r="R220" s="988">
        <f t="shared" si="88"/>
        <v>380.75313807531381</v>
      </c>
      <c r="S220" s="989">
        <v>143.4</v>
      </c>
      <c r="T220" s="990">
        <v>0</v>
      </c>
      <c r="U220" s="991">
        <v>67</v>
      </c>
      <c r="V220" s="991">
        <v>262</v>
      </c>
      <c r="W220" s="992">
        <f t="shared" si="89"/>
        <v>329</v>
      </c>
      <c r="X220" s="993">
        <f t="shared" si="90"/>
        <v>2.2942817294281728</v>
      </c>
      <c r="Y220" s="990">
        <v>1491</v>
      </c>
      <c r="Z220" s="991">
        <v>1361</v>
      </c>
      <c r="AA220" s="991">
        <v>775</v>
      </c>
      <c r="AB220" s="992">
        <f t="shared" si="91"/>
        <v>3627</v>
      </c>
      <c r="AC220" s="993">
        <f t="shared" si="92"/>
        <v>25.292887029288703</v>
      </c>
      <c r="AD220" s="994">
        <f t="shared" si="93"/>
        <v>3956</v>
      </c>
      <c r="AE220" s="995">
        <f t="shared" si="94"/>
        <v>27.587168758716874</v>
      </c>
      <c r="AF220" s="996">
        <v>73</v>
      </c>
      <c r="AG220" s="997">
        <v>60</v>
      </c>
      <c r="AH220" s="997">
        <v>7</v>
      </c>
      <c r="AI220" s="998">
        <f t="shared" si="95"/>
        <v>140</v>
      </c>
      <c r="AJ220" s="993">
        <f t="shared" si="96"/>
        <v>0.97629009762900976</v>
      </c>
    </row>
    <row r="221" spans="1:36" ht="16.5" customHeight="1">
      <c r="A221" s="999">
        <f>'09월 조업일지'!A219</f>
        <v>46273</v>
      </c>
      <c r="B221" s="1099">
        <f>'09월 조업일지'!B219</f>
        <v>46273</v>
      </c>
      <c r="C221" s="1000" t="str">
        <f>'09월 화학성분'!D219</f>
        <v>C</v>
      </c>
      <c r="D221" s="1000" t="str">
        <f>'09월 화학성분'!E219</f>
        <v>B</v>
      </c>
      <c r="E221" s="1000">
        <f>'09월 화학성분'!C219</f>
        <v>85421</v>
      </c>
      <c r="F221" s="1104" t="s">
        <v>638</v>
      </c>
      <c r="G221" s="1172">
        <v>19.600000000000001</v>
      </c>
      <c r="H221" s="985">
        <v>23000</v>
      </c>
      <c r="I221" s="1173">
        <v>16.600000000000001</v>
      </c>
      <c r="J221" s="985">
        <v>20500</v>
      </c>
      <c r="K221" s="1173">
        <v>9.1</v>
      </c>
      <c r="L221" s="985">
        <v>11800</v>
      </c>
      <c r="M221" s="1174">
        <f t="shared" si="83"/>
        <v>45.300000000000004</v>
      </c>
      <c r="N221" s="984">
        <f t="shared" si="84"/>
        <v>55300</v>
      </c>
      <c r="O221" s="986">
        <f t="shared" si="85"/>
        <v>158.62068965517241</v>
      </c>
      <c r="P221" s="987">
        <f t="shared" si="86"/>
        <v>141.37931034482759</v>
      </c>
      <c r="Q221" s="987">
        <f t="shared" si="87"/>
        <v>81.379310344827587</v>
      </c>
      <c r="R221" s="988">
        <f t="shared" si="88"/>
        <v>381.37931034482756</v>
      </c>
      <c r="S221" s="989">
        <v>145</v>
      </c>
      <c r="T221" s="990">
        <v>0</v>
      </c>
      <c r="U221" s="991">
        <v>28</v>
      </c>
      <c r="V221" s="991">
        <v>285</v>
      </c>
      <c r="W221" s="992">
        <f t="shared" si="89"/>
        <v>313</v>
      </c>
      <c r="X221" s="993">
        <f t="shared" si="90"/>
        <v>2.1586206896551725</v>
      </c>
      <c r="Y221" s="990">
        <v>1589</v>
      </c>
      <c r="Z221" s="991">
        <v>1373</v>
      </c>
      <c r="AA221" s="991">
        <v>819</v>
      </c>
      <c r="AB221" s="992">
        <f t="shared" si="91"/>
        <v>3781</v>
      </c>
      <c r="AC221" s="993">
        <f t="shared" si="92"/>
        <v>26.075862068965517</v>
      </c>
      <c r="AD221" s="994">
        <f t="shared" si="93"/>
        <v>4094</v>
      </c>
      <c r="AE221" s="995">
        <f t="shared" si="94"/>
        <v>28.23448275862069</v>
      </c>
      <c r="AF221" s="996">
        <v>81</v>
      </c>
      <c r="AG221" s="997">
        <v>61</v>
      </c>
      <c r="AH221" s="997">
        <v>7</v>
      </c>
      <c r="AI221" s="998">
        <f t="shared" si="95"/>
        <v>149</v>
      </c>
      <c r="AJ221" s="993">
        <f t="shared" si="96"/>
        <v>1.0275862068965518</v>
      </c>
    </row>
    <row r="222" spans="1:36" ht="16.5" customHeight="1">
      <c r="A222" s="999">
        <f>'09월 조업일지'!A220</f>
        <v>46273</v>
      </c>
      <c r="B222" s="1099">
        <f>'09월 조업일지'!B220</f>
        <v>46273</v>
      </c>
      <c r="C222" s="1000" t="str">
        <f>'09월 화학성분'!D220</f>
        <v>C</v>
      </c>
      <c r="D222" s="1000" t="str">
        <f>'09월 화학성분'!E220</f>
        <v>A</v>
      </c>
      <c r="E222" s="1000">
        <f>'09월 화학성분'!C220</f>
        <v>85422</v>
      </c>
      <c r="F222" s="1001" t="str">
        <f t="shared" si="82"/>
        <v>S355JO-01</v>
      </c>
      <c r="G222" s="1172">
        <v>18.8</v>
      </c>
      <c r="H222" s="985">
        <v>22800</v>
      </c>
      <c r="I222" s="1173">
        <v>16.3</v>
      </c>
      <c r="J222" s="985">
        <v>20200</v>
      </c>
      <c r="K222" s="1173">
        <v>9.3000000000000007</v>
      </c>
      <c r="L222" s="985">
        <v>11600</v>
      </c>
      <c r="M222" s="1174">
        <f t="shared" si="83"/>
        <v>44.400000000000006</v>
      </c>
      <c r="N222" s="984">
        <f t="shared" si="84"/>
        <v>54600</v>
      </c>
      <c r="O222" s="986">
        <f t="shared" si="85"/>
        <v>157.02479338842977</v>
      </c>
      <c r="P222" s="987">
        <f t="shared" si="86"/>
        <v>139.11845730027548</v>
      </c>
      <c r="Q222" s="987">
        <f t="shared" si="87"/>
        <v>79.889807162534439</v>
      </c>
      <c r="R222" s="988">
        <f t="shared" si="88"/>
        <v>376.03305785123973</v>
      </c>
      <c r="S222" s="989">
        <v>145.19999999999999</v>
      </c>
      <c r="T222" s="990">
        <v>0</v>
      </c>
      <c r="U222" s="991">
        <v>61</v>
      </c>
      <c r="V222" s="991">
        <v>283</v>
      </c>
      <c r="W222" s="992">
        <f t="shared" si="89"/>
        <v>344</v>
      </c>
      <c r="X222" s="993">
        <f t="shared" si="90"/>
        <v>2.3691460055096423</v>
      </c>
      <c r="Y222" s="990">
        <v>1555</v>
      </c>
      <c r="Z222" s="991">
        <v>1334</v>
      </c>
      <c r="AA222" s="991">
        <v>830</v>
      </c>
      <c r="AB222" s="992">
        <f t="shared" si="91"/>
        <v>3719</v>
      </c>
      <c r="AC222" s="993">
        <f t="shared" si="92"/>
        <v>25.612947658402206</v>
      </c>
      <c r="AD222" s="994">
        <f t="shared" si="93"/>
        <v>4063</v>
      </c>
      <c r="AE222" s="995">
        <f t="shared" si="94"/>
        <v>27.982093663911847</v>
      </c>
      <c r="AF222" s="996">
        <v>76</v>
      </c>
      <c r="AG222" s="997">
        <v>60</v>
      </c>
      <c r="AH222" s="997">
        <v>8</v>
      </c>
      <c r="AI222" s="998">
        <f t="shared" si="95"/>
        <v>144</v>
      </c>
      <c r="AJ222" s="993">
        <f t="shared" si="96"/>
        <v>0.99173553719008267</v>
      </c>
    </row>
    <row r="223" spans="1:36" ht="16.5" customHeight="1">
      <c r="A223" s="999">
        <f>'09월 조업일지'!A221</f>
        <v>46273</v>
      </c>
      <c r="B223" s="1099">
        <f>'09월 조업일지'!B221</f>
        <v>46273</v>
      </c>
      <c r="C223" s="1000" t="str">
        <f>'09월 화학성분'!D221</f>
        <v>C</v>
      </c>
      <c r="D223" s="1000" t="str">
        <f>'09월 화학성분'!E221</f>
        <v>B</v>
      </c>
      <c r="E223" s="1000">
        <f>'09월 화학성분'!C221</f>
        <v>85423</v>
      </c>
      <c r="F223" s="1001" t="str">
        <f t="shared" si="82"/>
        <v>S355JO-01</v>
      </c>
      <c r="G223" s="1172">
        <v>19.399999999999999</v>
      </c>
      <c r="H223" s="985">
        <v>23300</v>
      </c>
      <c r="I223" s="1173">
        <v>16.399999999999999</v>
      </c>
      <c r="J223" s="985">
        <v>20400</v>
      </c>
      <c r="K223" s="1173">
        <v>11.2</v>
      </c>
      <c r="L223" s="985">
        <v>14300</v>
      </c>
      <c r="M223" s="1174">
        <f t="shared" si="83"/>
        <v>47</v>
      </c>
      <c r="N223" s="984">
        <f t="shared" si="84"/>
        <v>58000</v>
      </c>
      <c r="O223" s="986">
        <f t="shared" si="85"/>
        <v>163.96903589021815</v>
      </c>
      <c r="P223" s="987">
        <f t="shared" si="86"/>
        <v>143.56087262491204</v>
      </c>
      <c r="Q223" s="987">
        <f t="shared" si="87"/>
        <v>100.63335679099227</v>
      </c>
      <c r="R223" s="988">
        <f t="shared" si="88"/>
        <v>408.16326530612241</v>
      </c>
      <c r="S223" s="989">
        <v>142.1</v>
      </c>
      <c r="T223" s="990">
        <v>0</v>
      </c>
      <c r="U223" s="991">
        <v>115</v>
      </c>
      <c r="V223" s="991">
        <v>202</v>
      </c>
      <c r="W223" s="992">
        <f t="shared" si="89"/>
        <v>317</v>
      </c>
      <c r="X223" s="993">
        <f t="shared" si="90"/>
        <v>2.2308233638282902</v>
      </c>
      <c r="Y223" s="990">
        <v>1677</v>
      </c>
      <c r="Z223" s="991">
        <v>1331</v>
      </c>
      <c r="AA223" s="991">
        <v>1095</v>
      </c>
      <c r="AB223" s="992">
        <f t="shared" si="91"/>
        <v>4103</v>
      </c>
      <c r="AC223" s="993">
        <f t="shared" si="92"/>
        <v>28.874032371569317</v>
      </c>
      <c r="AD223" s="994">
        <f t="shared" si="93"/>
        <v>4420</v>
      </c>
      <c r="AE223" s="995">
        <f t="shared" si="94"/>
        <v>31.10485573539761</v>
      </c>
      <c r="AF223" s="996">
        <v>82</v>
      </c>
      <c r="AG223" s="997">
        <v>62</v>
      </c>
      <c r="AH223" s="997">
        <v>20</v>
      </c>
      <c r="AI223" s="998">
        <f t="shared" si="95"/>
        <v>164</v>
      </c>
      <c r="AJ223" s="993">
        <f t="shared" si="96"/>
        <v>1.1541168191414497</v>
      </c>
    </row>
    <row r="224" spans="1:36" ht="16.5" customHeight="1">
      <c r="A224" s="999">
        <f>'09월 조업일지'!A222</f>
        <v>46273</v>
      </c>
      <c r="B224" s="1099">
        <f>'09월 조업일지'!B222</f>
        <v>46273</v>
      </c>
      <c r="C224" s="1000" t="str">
        <f>'09월 화학성분'!D222</f>
        <v>C</v>
      </c>
      <c r="D224" s="1000" t="str">
        <f>'09월 화학성분'!E222</f>
        <v>A</v>
      </c>
      <c r="E224" s="1000">
        <f>'09월 화학성분'!C222</f>
        <v>85424</v>
      </c>
      <c r="F224" s="1001" t="str">
        <f t="shared" si="82"/>
        <v>S355JO-01</v>
      </c>
      <c r="G224" s="1172">
        <v>18</v>
      </c>
      <c r="H224" s="985">
        <v>22900</v>
      </c>
      <c r="I224" s="1173">
        <v>17.100000000000001</v>
      </c>
      <c r="J224" s="985">
        <v>20200</v>
      </c>
      <c r="K224" s="1173">
        <v>14.3</v>
      </c>
      <c r="L224" s="985">
        <v>17500</v>
      </c>
      <c r="M224" s="1174">
        <f t="shared" si="83"/>
        <v>49.400000000000006</v>
      </c>
      <c r="N224" s="984">
        <f t="shared" si="84"/>
        <v>60600</v>
      </c>
      <c r="O224" s="986">
        <f t="shared" si="85"/>
        <v>155.67641060503061</v>
      </c>
      <c r="P224" s="987">
        <f t="shared" si="86"/>
        <v>137.32154996600951</v>
      </c>
      <c r="Q224" s="987">
        <f t="shared" si="87"/>
        <v>118.96668932698844</v>
      </c>
      <c r="R224" s="988">
        <f t="shared" si="88"/>
        <v>411.9646498980286</v>
      </c>
      <c r="S224" s="989">
        <v>147.1</v>
      </c>
      <c r="T224" s="990">
        <v>0</v>
      </c>
      <c r="U224" s="991">
        <v>171</v>
      </c>
      <c r="V224" s="991">
        <v>201</v>
      </c>
      <c r="W224" s="992">
        <f t="shared" si="89"/>
        <v>372</v>
      </c>
      <c r="X224" s="993">
        <f t="shared" si="90"/>
        <v>2.5288919102651257</v>
      </c>
      <c r="Y224" s="990">
        <v>1720</v>
      </c>
      <c r="Z224" s="991">
        <v>1335</v>
      </c>
      <c r="AA224" s="991">
        <v>798</v>
      </c>
      <c r="AB224" s="992">
        <f t="shared" si="91"/>
        <v>3853</v>
      </c>
      <c r="AC224" s="993">
        <f t="shared" si="92"/>
        <v>26.193065941536371</v>
      </c>
      <c r="AD224" s="994">
        <f t="shared" si="93"/>
        <v>4225</v>
      </c>
      <c r="AE224" s="995">
        <f t="shared" si="94"/>
        <v>28.721957851801498</v>
      </c>
      <c r="AF224" s="996">
        <v>81</v>
      </c>
      <c r="AG224" s="997">
        <v>60</v>
      </c>
      <c r="AH224" s="997">
        <v>5</v>
      </c>
      <c r="AI224" s="998">
        <f t="shared" si="95"/>
        <v>146</v>
      </c>
      <c r="AJ224" s="993">
        <f t="shared" si="96"/>
        <v>0.99252209381373224</v>
      </c>
    </row>
    <row r="225" spans="1:36" ht="16.5" customHeight="1">
      <c r="A225" s="999">
        <f>'09월 조업일지'!A223</f>
        <v>46273</v>
      </c>
      <c r="B225" s="1099">
        <f>'09월 조업일지'!B223</f>
        <v>46273</v>
      </c>
      <c r="C225" s="1000" t="str">
        <f>'09월 화학성분'!D223</f>
        <v>C</v>
      </c>
      <c r="D225" s="1000" t="str">
        <f>'09월 화학성분'!E223</f>
        <v>B</v>
      </c>
      <c r="E225" s="1000">
        <f>'09월 화학성분'!C223</f>
        <v>85425</v>
      </c>
      <c r="F225" s="1001" t="str">
        <f t="shared" si="82"/>
        <v>S355JO-01</v>
      </c>
      <c r="G225" s="1172">
        <v>22.1</v>
      </c>
      <c r="H225" s="985">
        <v>25100</v>
      </c>
      <c r="I225" s="1173">
        <v>16.899999999999999</v>
      </c>
      <c r="J225" s="985">
        <v>20500</v>
      </c>
      <c r="K225" s="1173">
        <v>9</v>
      </c>
      <c r="L225" s="985">
        <v>11600</v>
      </c>
      <c r="M225" s="1174">
        <f t="shared" si="83"/>
        <v>48</v>
      </c>
      <c r="N225" s="984">
        <f t="shared" si="84"/>
        <v>57200</v>
      </c>
      <c r="O225" s="986">
        <f t="shared" si="85"/>
        <v>174.54798331015297</v>
      </c>
      <c r="P225" s="987">
        <f t="shared" si="86"/>
        <v>142.55910987482613</v>
      </c>
      <c r="Q225" s="987">
        <f t="shared" si="87"/>
        <v>80.667593880389418</v>
      </c>
      <c r="R225" s="988">
        <f t="shared" si="88"/>
        <v>397.77468706536854</v>
      </c>
      <c r="S225" s="989">
        <v>143.80000000000001</v>
      </c>
      <c r="T225" s="990">
        <v>0</v>
      </c>
      <c r="U225" s="991">
        <v>142</v>
      </c>
      <c r="V225" s="991">
        <v>283</v>
      </c>
      <c r="W225" s="992">
        <f t="shared" si="89"/>
        <v>425</v>
      </c>
      <c r="X225" s="993">
        <f t="shared" si="90"/>
        <v>2.9554937413073712</v>
      </c>
      <c r="Y225" s="990">
        <v>1831</v>
      </c>
      <c r="Z225" s="991">
        <v>1397</v>
      </c>
      <c r="AA225" s="991">
        <v>723</v>
      </c>
      <c r="AB225" s="992">
        <f t="shared" si="91"/>
        <v>3951</v>
      </c>
      <c r="AC225" s="993">
        <f t="shared" si="92"/>
        <v>27.475660639777466</v>
      </c>
      <c r="AD225" s="994">
        <f t="shared" si="93"/>
        <v>4376</v>
      </c>
      <c r="AE225" s="995">
        <f t="shared" si="94"/>
        <v>30.431154381084838</v>
      </c>
      <c r="AF225" s="996">
        <v>88</v>
      </c>
      <c r="AG225" s="997">
        <v>65</v>
      </c>
      <c r="AH225" s="997">
        <v>6</v>
      </c>
      <c r="AI225" s="998">
        <f t="shared" si="95"/>
        <v>159</v>
      </c>
      <c r="AJ225" s="993">
        <f t="shared" si="96"/>
        <v>1.105702364394993</v>
      </c>
    </row>
    <row r="226" spans="1:36" ht="16.5" customHeight="1">
      <c r="A226" s="999">
        <f>'09월 조업일지'!A224</f>
        <v>46273</v>
      </c>
      <c r="B226" s="1099">
        <f>'09월 조업일지'!B224</f>
        <v>46273</v>
      </c>
      <c r="C226" s="1000" t="str">
        <f>'09월 화학성분'!D224</f>
        <v>C</v>
      </c>
      <c r="D226" s="1232" t="str">
        <f>'09월 화학성분'!E224</f>
        <v>B</v>
      </c>
      <c r="E226" s="1000">
        <f>'09월 화학성분'!C224</f>
        <v>85426</v>
      </c>
      <c r="F226" s="1104" t="s">
        <v>711</v>
      </c>
      <c r="G226" s="1172">
        <v>18.8</v>
      </c>
      <c r="H226" s="985">
        <v>23200</v>
      </c>
      <c r="I226" s="1173">
        <v>17.399999999999999</v>
      </c>
      <c r="J226" s="985">
        <v>20800</v>
      </c>
      <c r="K226" s="1173">
        <v>14.7</v>
      </c>
      <c r="L226" s="985">
        <v>18600</v>
      </c>
      <c r="M226" s="1174">
        <f t="shared" si="83"/>
        <v>50.900000000000006</v>
      </c>
      <c r="N226" s="984">
        <f t="shared" si="84"/>
        <v>62600</v>
      </c>
      <c r="O226" s="986">
        <f t="shared" si="85"/>
        <v>158.03814713896458</v>
      </c>
      <c r="P226" s="987">
        <f t="shared" si="86"/>
        <v>141.6893732970027</v>
      </c>
      <c r="Q226" s="987">
        <f t="shared" si="87"/>
        <v>126.70299727520435</v>
      </c>
      <c r="R226" s="988">
        <f t="shared" si="88"/>
        <v>426.43051771117166</v>
      </c>
      <c r="S226" s="989">
        <v>146.80000000000001</v>
      </c>
      <c r="T226" s="990">
        <v>0</v>
      </c>
      <c r="U226" s="991">
        <v>0</v>
      </c>
      <c r="V226" s="991">
        <v>552</v>
      </c>
      <c r="W226" s="992">
        <f t="shared" si="89"/>
        <v>552</v>
      </c>
      <c r="X226" s="993">
        <f t="shared" si="90"/>
        <v>3.7602179836512257</v>
      </c>
      <c r="Y226" s="990">
        <v>1601</v>
      </c>
      <c r="Z226" s="991">
        <v>1483</v>
      </c>
      <c r="AA226" s="991">
        <v>856</v>
      </c>
      <c r="AB226" s="992">
        <f t="shared" si="91"/>
        <v>3940</v>
      </c>
      <c r="AC226" s="993">
        <f t="shared" si="92"/>
        <v>26.839237057220707</v>
      </c>
      <c r="AD226" s="994">
        <f t="shared" si="93"/>
        <v>4492</v>
      </c>
      <c r="AE226" s="995">
        <f t="shared" si="94"/>
        <v>30.599455040871931</v>
      </c>
      <c r="AF226" s="996">
        <v>79</v>
      </c>
      <c r="AG226" s="997">
        <v>63</v>
      </c>
      <c r="AH226" s="997">
        <v>1</v>
      </c>
      <c r="AI226" s="998">
        <f t="shared" si="95"/>
        <v>143</v>
      </c>
      <c r="AJ226" s="993">
        <f t="shared" si="96"/>
        <v>0.97411444141689363</v>
      </c>
    </row>
    <row r="227" spans="1:36" ht="16.5" customHeight="1">
      <c r="A227" s="999">
        <f>'09월 조업일지'!A225</f>
        <v>46273</v>
      </c>
      <c r="B227" s="1099">
        <f>'09월 조업일지'!B225</f>
        <v>46273</v>
      </c>
      <c r="C227" s="1000" t="str">
        <f>'09월 화학성분'!D225</f>
        <v>D</v>
      </c>
      <c r="D227" s="1000" t="str">
        <f>'09월 화학성분'!E225</f>
        <v>A</v>
      </c>
      <c r="E227" s="1000">
        <f>'09월 화학성분'!C225</f>
        <v>85427</v>
      </c>
      <c r="F227" s="1001" t="str">
        <f t="shared" si="82"/>
        <v>A572-50-03</v>
      </c>
      <c r="G227" s="1172">
        <v>20.9</v>
      </c>
      <c r="H227" s="985">
        <v>24400</v>
      </c>
      <c r="I227" s="1173">
        <v>17.899999999999999</v>
      </c>
      <c r="J227" s="985">
        <v>20200</v>
      </c>
      <c r="K227" s="1173">
        <v>11.4</v>
      </c>
      <c r="L227" s="985">
        <v>14300</v>
      </c>
      <c r="M227" s="1174">
        <f t="shared" si="83"/>
        <v>50.199999999999996</v>
      </c>
      <c r="N227" s="984">
        <f t="shared" si="84"/>
        <v>58900</v>
      </c>
      <c r="O227" s="986">
        <f t="shared" si="85"/>
        <v>166.89466484268127</v>
      </c>
      <c r="P227" s="987">
        <f t="shared" si="86"/>
        <v>138.16689466484269</v>
      </c>
      <c r="Q227" s="987">
        <f t="shared" si="87"/>
        <v>97.811217510259922</v>
      </c>
      <c r="R227" s="988">
        <f t="shared" si="88"/>
        <v>402.87277701778385</v>
      </c>
      <c r="S227" s="989">
        <v>146.19999999999999</v>
      </c>
      <c r="T227" s="990">
        <v>0</v>
      </c>
      <c r="U227" s="991">
        <v>21</v>
      </c>
      <c r="V227" s="991">
        <v>337</v>
      </c>
      <c r="W227" s="992">
        <f t="shared" si="89"/>
        <v>358</v>
      </c>
      <c r="X227" s="993">
        <f t="shared" si="90"/>
        <v>2.4487004103967172</v>
      </c>
      <c r="Y227" s="990">
        <v>1521</v>
      </c>
      <c r="Z227" s="991">
        <v>1414</v>
      </c>
      <c r="AA227" s="991">
        <v>827</v>
      </c>
      <c r="AB227" s="992">
        <f t="shared" si="91"/>
        <v>3762</v>
      </c>
      <c r="AC227" s="993">
        <f t="shared" si="92"/>
        <v>25.731874145006842</v>
      </c>
      <c r="AD227" s="994">
        <f t="shared" si="93"/>
        <v>4120</v>
      </c>
      <c r="AE227" s="995">
        <f t="shared" si="94"/>
        <v>28.18057455540356</v>
      </c>
      <c r="AF227" s="996">
        <v>58</v>
      </c>
      <c r="AG227" s="997">
        <v>67</v>
      </c>
      <c r="AH227" s="997">
        <v>7</v>
      </c>
      <c r="AI227" s="998">
        <f t="shared" si="95"/>
        <v>132</v>
      </c>
      <c r="AJ227" s="993">
        <f t="shared" si="96"/>
        <v>0.9028727770177839</v>
      </c>
    </row>
    <row r="228" spans="1:36" ht="16.5" customHeight="1">
      <c r="A228" s="999">
        <f>'09월 조업일지'!A226</f>
        <v>46273</v>
      </c>
      <c r="B228" s="1099">
        <f>'09월 조업일지'!B226</f>
        <v>46273</v>
      </c>
      <c r="C228" s="1000" t="str">
        <f>'09월 화학성분'!D226</f>
        <v>D</v>
      </c>
      <c r="D228" s="1000" t="str">
        <f>'09월 화학성분'!E226</f>
        <v>A</v>
      </c>
      <c r="E228" s="1000">
        <f>'09월 화학성분'!C226</f>
        <v>85428</v>
      </c>
      <c r="F228" s="1001" t="str">
        <f t="shared" si="82"/>
        <v>A572-50-03</v>
      </c>
      <c r="G228" s="1172">
        <v>17.899999999999999</v>
      </c>
      <c r="H228" s="985">
        <v>22900</v>
      </c>
      <c r="I228" s="1173">
        <v>16</v>
      </c>
      <c r="J228" s="985">
        <v>20400</v>
      </c>
      <c r="K228" s="1173">
        <v>11.2</v>
      </c>
      <c r="L228" s="985">
        <v>14200</v>
      </c>
      <c r="M228" s="1174">
        <f t="shared" si="83"/>
        <v>45.099999999999994</v>
      </c>
      <c r="N228" s="984">
        <f t="shared" si="84"/>
        <v>57500</v>
      </c>
      <c r="O228" s="986">
        <f t="shared" si="85"/>
        <v>155.57065217391306</v>
      </c>
      <c r="P228" s="987">
        <f t="shared" si="86"/>
        <v>138.58695652173915</v>
      </c>
      <c r="Q228" s="987">
        <f t="shared" si="87"/>
        <v>96.467391304347828</v>
      </c>
      <c r="R228" s="988">
        <f t="shared" si="88"/>
        <v>390.62500000000006</v>
      </c>
      <c r="S228" s="989">
        <v>147.19999999999999</v>
      </c>
      <c r="T228" s="990">
        <v>0</v>
      </c>
      <c r="U228" s="991">
        <v>15</v>
      </c>
      <c r="V228" s="991">
        <v>318</v>
      </c>
      <c r="W228" s="992">
        <f t="shared" si="89"/>
        <v>333</v>
      </c>
      <c r="X228" s="993">
        <f t="shared" si="90"/>
        <v>2.2622282608695654</v>
      </c>
      <c r="Y228" s="990">
        <v>1501</v>
      </c>
      <c r="Z228" s="991">
        <v>1337</v>
      </c>
      <c r="AA228" s="991">
        <v>817</v>
      </c>
      <c r="AB228" s="992">
        <f t="shared" si="91"/>
        <v>3655</v>
      </c>
      <c r="AC228" s="993">
        <f t="shared" si="92"/>
        <v>24.830163043478262</v>
      </c>
      <c r="AD228" s="994">
        <f t="shared" si="93"/>
        <v>3988</v>
      </c>
      <c r="AE228" s="995">
        <f t="shared" si="94"/>
        <v>27.092391304347828</v>
      </c>
      <c r="AF228" s="996">
        <v>75</v>
      </c>
      <c r="AG228" s="997">
        <v>61</v>
      </c>
      <c r="AH228" s="997">
        <v>7</v>
      </c>
      <c r="AI228" s="998">
        <f t="shared" si="95"/>
        <v>143</v>
      </c>
      <c r="AJ228" s="993">
        <f t="shared" si="96"/>
        <v>0.97146739130434789</v>
      </c>
    </row>
    <row r="229" spans="1:36" ht="16.5" customHeight="1">
      <c r="A229" s="999">
        <f>'09월 조업일지'!A227</f>
        <v>46273</v>
      </c>
      <c r="B229" s="1099">
        <f>'09월 조업일지'!B227</f>
        <v>46273</v>
      </c>
      <c r="C229" s="1000" t="str">
        <f>'09월 화학성분'!D227</f>
        <v>D</v>
      </c>
      <c r="D229" s="1000" t="str">
        <f>'09월 화학성분'!E227</f>
        <v>A</v>
      </c>
      <c r="E229" s="1000">
        <f>'09월 화학성분'!C227</f>
        <v>85429</v>
      </c>
      <c r="F229" s="1001" t="str">
        <f t="shared" si="82"/>
        <v>A572-50-03</v>
      </c>
      <c r="G229" s="1172">
        <v>18.3</v>
      </c>
      <c r="H229" s="985">
        <v>22800</v>
      </c>
      <c r="I229" s="1173">
        <v>16.100000000000001</v>
      </c>
      <c r="J229" s="985">
        <v>20400</v>
      </c>
      <c r="K229" s="1173">
        <v>9.5</v>
      </c>
      <c r="L229" s="985">
        <v>12100</v>
      </c>
      <c r="M229" s="1174">
        <f t="shared" si="83"/>
        <v>43.900000000000006</v>
      </c>
      <c r="N229" s="984">
        <f t="shared" si="84"/>
        <v>55300</v>
      </c>
      <c r="O229" s="986">
        <f t="shared" si="85"/>
        <v>158.11373092926493</v>
      </c>
      <c r="P229" s="987">
        <f t="shared" si="86"/>
        <v>141.47018030513178</v>
      </c>
      <c r="Q229" s="987">
        <f t="shared" si="87"/>
        <v>83.91123439667129</v>
      </c>
      <c r="R229" s="988">
        <f t="shared" si="88"/>
        <v>383.495145631068</v>
      </c>
      <c r="S229" s="989">
        <v>144.19999999999999</v>
      </c>
      <c r="T229" s="990">
        <v>0</v>
      </c>
      <c r="U229" s="991">
        <v>46</v>
      </c>
      <c r="V229" s="991">
        <v>292</v>
      </c>
      <c r="W229" s="992">
        <f t="shared" si="89"/>
        <v>338</v>
      </c>
      <c r="X229" s="993">
        <f t="shared" si="90"/>
        <v>2.343966712898752</v>
      </c>
      <c r="Y229" s="990">
        <v>1542</v>
      </c>
      <c r="Z229" s="991">
        <v>1344</v>
      </c>
      <c r="AA229" s="991">
        <v>800</v>
      </c>
      <c r="AB229" s="992">
        <f t="shared" si="91"/>
        <v>3686</v>
      </c>
      <c r="AC229" s="993">
        <f t="shared" si="92"/>
        <v>25.561719833564496</v>
      </c>
      <c r="AD229" s="994">
        <f t="shared" si="93"/>
        <v>4024</v>
      </c>
      <c r="AE229" s="995">
        <f t="shared" si="94"/>
        <v>27.905686546463247</v>
      </c>
      <c r="AF229" s="996">
        <v>77</v>
      </c>
      <c r="AG229" s="997">
        <v>63</v>
      </c>
      <c r="AH229" s="997">
        <v>7</v>
      </c>
      <c r="AI229" s="998">
        <f t="shared" si="95"/>
        <v>147</v>
      </c>
      <c r="AJ229" s="993">
        <f t="shared" si="96"/>
        <v>1.0194174757281553</v>
      </c>
    </row>
    <row r="230" spans="1:36" ht="16.5" customHeight="1">
      <c r="A230" s="999">
        <f>'09월 조업일지'!A228</f>
        <v>46273</v>
      </c>
      <c r="B230" s="1099">
        <f>'09월 조업일지'!B228</f>
        <v>46273</v>
      </c>
      <c r="C230" s="1000" t="str">
        <f>'09월 화학성분'!D228</f>
        <v>D</v>
      </c>
      <c r="D230" s="1000" t="str">
        <f>'09월 화학성분'!E228</f>
        <v>A</v>
      </c>
      <c r="E230" s="1000">
        <f>'09월 화학성분'!C228</f>
        <v>85430</v>
      </c>
      <c r="F230" s="1104" t="s">
        <v>717</v>
      </c>
      <c r="G230" s="1172">
        <v>17.899999999999999</v>
      </c>
      <c r="H230" s="985">
        <v>22900</v>
      </c>
      <c r="I230" s="1173">
        <v>16.5</v>
      </c>
      <c r="J230" s="985">
        <v>20400</v>
      </c>
      <c r="K230" s="1173">
        <v>9.1999999999999993</v>
      </c>
      <c r="L230" s="985">
        <v>11700</v>
      </c>
      <c r="M230" s="1174">
        <f t="shared" si="83"/>
        <v>43.599999999999994</v>
      </c>
      <c r="N230" s="984">
        <f t="shared" si="84"/>
        <v>55000</v>
      </c>
      <c r="O230" s="986">
        <f t="shared" si="85"/>
        <v>159.02777777777777</v>
      </c>
      <c r="P230" s="987">
        <f t="shared" si="86"/>
        <v>141.66666666666666</v>
      </c>
      <c r="Q230" s="987">
        <f t="shared" si="87"/>
        <v>81.25</v>
      </c>
      <c r="R230" s="988">
        <f t="shared" si="88"/>
        <v>381.94444444444446</v>
      </c>
      <c r="S230" s="989">
        <v>144</v>
      </c>
      <c r="T230" s="990">
        <v>0</v>
      </c>
      <c r="U230" s="991">
        <v>0</v>
      </c>
      <c r="V230" s="991">
        <v>329</v>
      </c>
      <c r="W230" s="992">
        <f t="shared" si="89"/>
        <v>329</v>
      </c>
      <c r="X230" s="993">
        <f t="shared" si="90"/>
        <v>2.2847222222222223</v>
      </c>
      <c r="Y230" s="990">
        <v>1512</v>
      </c>
      <c r="Z230" s="991">
        <v>1358</v>
      </c>
      <c r="AA230" s="991">
        <v>794</v>
      </c>
      <c r="AB230" s="992">
        <f t="shared" si="91"/>
        <v>3664</v>
      </c>
      <c r="AC230" s="993">
        <f t="shared" si="92"/>
        <v>25.444444444444443</v>
      </c>
      <c r="AD230" s="994">
        <f t="shared" si="93"/>
        <v>3993</v>
      </c>
      <c r="AE230" s="995">
        <f t="shared" si="94"/>
        <v>27.729166666666668</v>
      </c>
      <c r="AF230" s="996">
        <v>74</v>
      </c>
      <c r="AG230" s="997">
        <v>65</v>
      </c>
      <c r="AH230" s="997">
        <v>6</v>
      </c>
      <c r="AI230" s="998">
        <f t="shared" si="95"/>
        <v>145</v>
      </c>
      <c r="AJ230" s="993">
        <f t="shared" si="96"/>
        <v>1.0069444444444444</v>
      </c>
    </row>
    <row r="231" spans="1:36" ht="16.5" customHeight="1">
      <c r="A231" s="999">
        <f>'09월 조업일지'!A229</f>
        <v>46273</v>
      </c>
      <c r="B231" s="1099">
        <f>'09월 조업일지'!B229</f>
        <v>46273</v>
      </c>
      <c r="C231" s="1000" t="str">
        <f>'09월 화학성분'!D229</f>
        <v>D</v>
      </c>
      <c r="D231" s="1000" t="str">
        <f>'09월 화학성분'!E229</f>
        <v>B</v>
      </c>
      <c r="E231" s="1000">
        <f>'09월 화학성분'!C229</f>
        <v>85431</v>
      </c>
      <c r="F231" s="1001" t="str">
        <f t="shared" si="82"/>
        <v>A272-50-01</v>
      </c>
      <c r="G231" s="1172">
        <v>19.600000000000001</v>
      </c>
      <c r="H231" s="985">
        <v>23600</v>
      </c>
      <c r="I231" s="1173">
        <v>17.5</v>
      </c>
      <c r="J231" s="985">
        <v>20900</v>
      </c>
      <c r="K231" s="1173">
        <v>13.3</v>
      </c>
      <c r="L231" s="985">
        <v>16500</v>
      </c>
      <c r="M231" s="1174">
        <f t="shared" si="83"/>
        <v>50.400000000000006</v>
      </c>
      <c r="N231" s="984">
        <f t="shared" si="84"/>
        <v>61000</v>
      </c>
      <c r="O231" s="986">
        <f t="shared" si="85"/>
        <v>159.35178933153276</v>
      </c>
      <c r="P231" s="987">
        <f t="shared" si="86"/>
        <v>141.12086428089128</v>
      </c>
      <c r="Q231" s="987">
        <f t="shared" si="87"/>
        <v>111.41120864280892</v>
      </c>
      <c r="R231" s="988">
        <f t="shared" si="88"/>
        <v>411.88386225523294</v>
      </c>
      <c r="S231" s="989">
        <v>148.1</v>
      </c>
      <c r="T231" s="990">
        <v>0</v>
      </c>
      <c r="U231" s="991">
        <v>0</v>
      </c>
      <c r="V231" s="991">
        <v>336</v>
      </c>
      <c r="W231" s="992">
        <f t="shared" si="89"/>
        <v>336</v>
      </c>
      <c r="X231" s="993">
        <f t="shared" si="90"/>
        <v>2.2687373396353814</v>
      </c>
      <c r="Y231" s="990">
        <v>1310</v>
      </c>
      <c r="Z231" s="991">
        <v>1533</v>
      </c>
      <c r="AA231" s="991">
        <v>930</v>
      </c>
      <c r="AB231" s="992">
        <f t="shared" si="91"/>
        <v>3773</v>
      </c>
      <c r="AC231" s="993">
        <f t="shared" si="92"/>
        <v>25.476029709655638</v>
      </c>
      <c r="AD231" s="994">
        <f t="shared" si="93"/>
        <v>4109</v>
      </c>
      <c r="AE231" s="995">
        <f t="shared" si="94"/>
        <v>27.744767049291021</v>
      </c>
      <c r="AF231" s="996">
        <v>61</v>
      </c>
      <c r="AG231" s="997">
        <v>67</v>
      </c>
      <c r="AH231" s="997">
        <v>7</v>
      </c>
      <c r="AI231" s="998">
        <f t="shared" si="95"/>
        <v>135</v>
      </c>
      <c r="AJ231" s="993">
        <f t="shared" si="96"/>
        <v>0.911546252532073</v>
      </c>
    </row>
    <row r="232" spans="1:36" ht="16.5" customHeight="1">
      <c r="A232" s="999">
        <f>'09월 조업일지'!A230</f>
        <v>46273</v>
      </c>
      <c r="B232" s="1099">
        <f>'09월 조업일지'!B230</f>
        <v>46273</v>
      </c>
      <c r="C232" s="1000" t="str">
        <f>'09월 화학성분'!D230</f>
        <v>D</v>
      </c>
      <c r="D232" s="1000" t="str">
        <f>'09월 화학성분'!E230</f>
        <v>A</v>
      </c>
      <c r="E232" s="1000">
        <f>'09월 화학성분'!C230</f>
        <v>85432</v>
      </c>
      <c r="F232" s="1001" t="str">
        <f t="shared" si="82"/>
        <v>A272-50-01</v>
      </c>
      <c r="G232" s="1172">
        <v>18</v>
      </c>
      <c r="H232" s="985">
        <v>23200</v>
      </c>
      <c r="I232" s="1173">
        <v>16.600000000000001</v>
      </c>
      <c r="J232" s="985">
        <v>20200</v>
      </c>
      <c r="K232" s="1173">
        <v>9.6</v>
      </c>
      <c r="L232" s="985">
        <v>12100</v>
      </c>
      <c r="M232" s="1174">
        <f t="shared" si="83"/>
        <v>44.2</v>
      </c>
      <c r="N232" s="984">
        <f t="shared" si="84"/>
        <v>55500</v>
      </c>
      <c r="O232" s="986">
        <f t="shared" si="85"/>
        <v>158.68673050615595</v>
      </c>
      <c r="P232" s="987">
        <f t="shared" si="86"/>
        <v>138.16689466484269</v>
      </c>
      <c r="Q232" s="987">
        <f t="shared" si="87"/>
        <v>82.763337893296864</v>
      </c>
      <c r="R232" s="988">
        <f t="shared" si="88"/>
        <v>379.61696306429548</v>
      </c>
      <c r="S232" s="989">
        <v>146.19999999999999</v>
      </c>
      <c r="T232" s="990">
        <v>0</v>
      </c>
      <c r="U232" s="991">
        <v>0</v>
      </c>
      <c r="V232" s="991">
        <v>342</v>
      </c>
      <c r="W232" s="992">
        <f t="shared" si="89"/>
        <v>342</v>
      </c>
      <c r="X232" s="993">
        <f t="shared" si="90"/>
        <v>2.3392612859097128</v>
      </c>
      <c r="Y232" s="990">
        <v>1498</v>
      </c>
      <c r="Z232" s="991">
        <v>1371</v>
      </c>
      <c r="AA232" s="991">
        <v>797</v>
      </c>
      <c r="AB232" s="992">
        <f t="shared" si="91"/>
        <v>3666</v>
      </c>
      <c r="AC232" s="993">
        <f t="shared" si="92"/>
        <v>25.075239398084818</v>
      </c>
      <c r="AD232" s="994">
        <f t="shared" si="93"/>
        <v>4008</v>
      </c>
      <c r="AE232" s="995">
        <f t="shared" si="94"/>
        <v>27.414500683994529</v>
      </c>
      <c r="AF232" s="996">
        <v>74</v>
      </c>
      <c r="AG232" s="997">
        <v>63</v>
      </c>
      <c r="AH232" s="997">
        <v>5</v>
      </c>
      <c r="AI232" s="998">
        <f t="shared" si="95"/>
        <v>142</v>
      </c>
      <c r="AJ232" s="993">
        <f t="shared" si="96"/>
        <v>0.97127222982216155</v>
      </c>
    </row>
    <row r="233" spans="1:36" ht="16.5" customHeight="1">
      <c r="A233" s="999">
        <f>'09월 조업일지'!A231</f>
        <v>46273</v>
      </c>
      <c r="B233" s="1099">
        <f>'09월 조업일지'!B231</f>
        <v>46273</v>
      </c>
      <c r="C233" s="1000" t="str">
        <f>'09월 화학성분'!D231</f>
        <v>D</v>
      </c>
      <c r="D233" s="1000" t="str">
        <f>'09월 화학성분'!E231</f>
        <v>B</v>
      </c>
      <c r="E233" s="1000">
        <f>'09월 화학성분'!C231</f>
        <v>85433</v>
      </c>
      <c r="F233" s="1001" t="str">
        <f t="shared" si="82"/>
        <v>A272-50-01</v>
      </c>
      <c r="G233" s="1172">
        <v>17.8</v>
      </c>
      <c r="H233" s="985">
        <v>22700</v>
      </c>
      <c r="I233" s="1173">
        <v>16.8</v>
      </c>
      <c r="J233" s="985">
        <v>20600</v>
      </c>
      <c r="K233" s="1173">
        <v>10.9</v>
      </c>
      <c r="L233" s="985">
        <v>13900</v>
      </c>
      <c r="M233" s="1174">
        <f t="shared" si="83"/>
        <v>45.5</v>
      </c>
      <c r="N233" s="984">
        <f t="shared" si="84"/>
        <v>57200</v>
      </c>
      <c r="O233" s="986">
        <f t="shared" si="85"/>
        <v>153.79403794037941</v>
      </c>
      <c r="P233" s="987">
        <f t="shared" si="86"/>
        <v>139.56639566395665</v>
      </c>
      <c r="Q233" s="987">
        <f t="shared" si="87"/>
        <v>94.173441734417352</v>
      </c>
      <c r="R233" s="988">
        <f t="shared" si="88"/>
        <v>387.53387533875343</v>
      </c>
      <c r="S233" s="989">
        <v>147.6</v>
      </c>
      <c r="T233" s="990">
        <v>0</v>
      </c>
      <c r="U233" s="991">
        <v>27</v>
      </c>
      <c r="V233" s="991">
        <v>311</v>
      </c>
      <c r="W233" s="992">
        <f t="shared" si="89"/>
        <v>338</v>
      </c>
      <c r="X233" s="993">
        <f t="shared" si="90"/>
        <v>2.2899728997289972</v>
      </c>
      <c r="Y233" s="990">
        <v>1456</v>
      </c>
      <c r="Z233" s="991">
        <v>1431</v>
      </c>
      <c r="AA233" s="991">
        <v>775</v>
      </c>
      <c r="AB233" s="992">
        <f t="shared" si="91"/>
        <v>3662</v>
      </c>
      <c r="AC233" s="993">
        <f t="shared" si="92"/>
        <v>24.810298102981029</v>
      </c>
      <c r="AD233" s="994">
        <f t="shared" si="93"/>
        <v>4000</v>
      </c>
      <c r="AE233" s="995">
        <f t="shared" si="94"/>
        <v>27.100271002710027</v>
      </c>
      <c r="AF233" s="996">
        <v>76</v>
      </c>
      <c r="AG233" s="997">
        <v>67</v>
      </c>
      <c r="AH233" s="997">
        <v>5</v>
      </c>
      <c r="AI233" s="998">
        <f t="shared" si="95"/>
        <v>148</v>
      </c>
      <c r="AJ233" s="993">
        <f t="shared" si="96"/>
        <v>1.0027100271002711</v>
      </c>
    </row>
    <row r="234" spans="1:36" ht="16.5" customHeight="1">
      <c r="A234" s="999">
        <f>'09월 조업일지'!A232</f>
        <v>46273</v>
      </c>
      <c r="B234" s="1099">
        <f>'09월 조업일지'!B232</f>
        <v>46273</v>
      </c>
      <c r="C234" s="1000" t="str">
        <f>'09월 화학성분'!D232</f>
        <v>D</v>
      </c>
      <c r="D234" s="1000" t="str">
        <f>'09월 화학성분'!E232</f>
        <v>A</v>
      </c>
      <c r="E234" s="1000">
        <f>'09월 화학성분'!C232</f>
        <v>85434</v>
      </c>
      <c r="F234" s="1001" t="str">
        <f t="shared" si="82"/>
        <v>A272-50-01</v>
      </c>
      <c r="G234" s="1172">
        <v>18.2</v>
      </c>
      <c r="H234" s="985">
        <v>23200</v>
      </c>
      <c r="I234" s="1173">
        <v>16</v>
      </c>
      <c r="J234" s="985">
        <v>20400</v>
      </c>
      <c r="K234" s="1173">
        <v>11.3</v>
      </c>
      <c r="L234" s="985">
        <v>14300</v>
      </c>
      <c r="M234" s="1174">
        <f t="shared" si="83"/>
        <v>45.5</v>
      </c>
      <c r="N234" s="984">
        <f t="shared" si="84"/>
        <v>57900</v>
      </c>
      <c r="O234" s="986">
        <f t="shared" si="85"/>
        <v>159.01302261823167</v>
      </c>
      <c r="P234" s="987">
        <f t="shared" si="86"/>
        <v>139.82179575051404</v>
      </c>
      <c r="Q234" s="987">
        <f t="shared" si="87"/>
        <v>98.012337217272105</v>
      </c>
      <c r="R234" s="988">
        <f t="shared" si="88"/>
        <v>396.84715558601778</v>
      </c>
      <c r="S234" s="989">
        <v>145.9</v>
      </c>
      <c r="T234" s="990">
        <v>0</v>
      </c>
      <c r="U234" s="991">
        <v>0</v>
      </c>
      <c r="V234" s="991">
        <v>343</v>
      </c>
      <c r="W234" s="992">
        <f t="shared" si="89"/>
        <v>343</v>
      </c>
      <c r="X234" s="993">
        <f t="shared" si="90"/>
        <v>2.3509252912954075</v>
      </c>
      <c r="Y234" s="990">
        <v>1511</v>
      </c>
      <c r="Z234" s="991">
        <v>1355</v>
      </c>
      <c r="AA234" s="991">
        <v>798</v>
      </c>
      <c r="AB234" s="992">
        <f t="shared" si="91"/>
        <v>3664</v>
      </c>
      <c r="AC234" s="993">
        <f t="shared" si="92"/>
        <v>25.11309115832762</v>
      </c>
      <c r="AD234" s="994">
        <f t="shared" si="93"/>
        <v>4007</v>
      </c>
      <c r="AE234" s="995">
        <f t="shared" si="94"/>
        <v>27.464016449623028</v>
      </c>
      <c r="AF234" s="996">
        <v>75</v>
      </c>
      <c r="AG234" s="997">
        <v>61</v>
      </c>
      <c r="AH234" s="997">
        <v>6</v>
      </c>
      <c r="AI234" s="998">
        <f t="shared" si="95"/>
        <v>142</v>
      </c>
      <c r="AJ234" s="993">
        <f t="shared" si="96"/>
        <v>0.97326936257710761</v>
      </c>
    </row>
    <row r="235" spans="1:36" ht="16.5" customHeight="1">
      <c r="A235" s="999">
        <f>'09월 조업일지'!A233</f>
        <v>46273</v>
      </c>
      <c r="B235" s="1099">
        <f>'09월 조업일지'!B233</f>
        <v>46273</v>
      </c>
      <c r="C235" s="1000" t="str">
        <f>'09월 화학성분'!D233</f>
        <v>D</v>
      </c>
      <c r="D235" s="1000" t="str">
        <f>'09월 화학성분'!E233</f>
        <v>B</v>
      </c>
      <c r="E235" s="1000">
        <f>'09월 화학성분'!C233</f>
        <v>85435</v>
      </c>
      <c r="F235" s="1001" t="str">
        <f t="shared" si="82"/>
        <v>A272-50-01</v>
      </c>
      <c r="G235" s="1172">
        <v>19</v>
      </c>
      <c r="H235" s="985">
        <v>23600</v>
      </c>
      <c r="I235" s="1173">
        <v>16.600000000000001</v>
      </c>
      <c r="J235" s="985">
        <v>20300</v>
      </c>
      <c r="K235" s="1173">
        <v>14</v>
      </c>
      <c r="L235" s="985">
        <v>17800</v>
      </c>
      <c r="M235" s="1174">
        <f t="shared" si="83"/>
        <v>49.6</v>
      </c>
      <c r="N235" s="984">
        <f t="shared" si="84"/>
        <v>61700</v>
      </c>
      <c r="O235" s="986">
        <f t="shared" si="85"/>
        <v>161.64383561643837</v>
      </c>
      <c r="P235" s="987">
        <f t="shared" si="86"/>
        <v>139.04109589041096</v>
      </c>
      <c r="Q235" s="987">
        <f t="shared" si="87"/>
        <v>121.91780821917808</v>
      </c>
      <c r="R235" s="988">
        <f t="shared" si="88"/>
        <v>422.60273972602744</v>
      </c>
      <c r="S235" s="989">
        <v>146</v>
      </c>
      <c r="T235" s="990">
        <v>0</v>
      </c>
      <c r="U235" s="991">
        <v>0</v>
      </c>
      <c r="V235" s="991">
        <v>346</v>
      </c>
      <c r="W235" s="992">
        <f t="shared" si="89"/>
        <v>346</v>
      </c>
      <c r="X235" s="993">
        <f t="shared" si="90"/>
        <v>2.3698630136986303</v>
      </c>
      <c r="Y235" s="990">
        <v>1588</v>
      </c>
      <c r="Z235" s="991">
        <v>1356</v>
      </c>
      <c r="AA235" s="991">
        <v>955</v>
      </c>
      <c r="AB235" s="992">
        <f t="shared" si="91"/>
        <v>3899</v>
      </c>
      <c r="AC235" s="993">
        <f t="shared" si="92"/>
        <v>26.705479452054796</v>
      </c>
      <c r="AD235" s="994">
        <f t="shared" si="93"/>
        <v>4245</v>
      </c>
      <c r="AE235" s="995">
        <f t="shared" si="94"/>
        <v>29.075342465753426</v>
      </c>
      <c r="AF235" s="996">
        <v>80</v>
      </c>
      <c r="AG235" s="997">
        <v>64</v>
      </c>
      <c r="AH235" s="997">
        <v>9</v>
      </c>
      <c r="AI235" s="998">
        <f t="shared" si="95"/>
        <v>153</v>
      </c>
      <c r="AJ235" s="993">
        <f t="shared" si="96"/>
        <v>1.047945205479452</v>
      </c>
    </row>
    <row r="236" spans="1:36" ht="16.5" customHeight="1">
      <c r="A236" s="999">
        <f>'09월 조업일지'!A234</f>
        <v>46273</v>
      </c>
      <c r="B236" s="1099">
        <f>'09월 조업일지'!B234</f>
        <v>46273</v>
      </c>
      <c r="C236" s="1000" t="str">
        <f>'09월 화학성분'!D234</f>
        <v>A</v>
      </c>
      <c r="D236" s="1000" t="str">
        <f>'09월 화학성분'!E234</f>
        <v>A</v>
      </c>
      <c r="E236" s="1000">
        <f>'09월 화학성분'!C234</f>
        <v>85436</v>
      </c>
      <c r="F236" s="1001" t="str">
        <f t="shared" si="82"/>
        <v>A272-50-01</v>
      </c>
      <c r="G236" s="1172">
        <v>17.600000000000001</v>
      </c>
      <c r="H236" s="985">
        <v>22600</v>
      </c>
      <c r="I236" s="1173">
        <v>16.399999999999999</v>
      </c>
      <c r="J236" s="985">
        <v>20100</v>
      </c>
      <c r="K236" s="1173">
        <v>10.3</v>
      </c>
      <c r="L236" s="985">
        <v>13100</v>
      </c>
      <c r="M236" s="1174">
        <f t="shared" si="83"/>
        <v>44.3</v>
      </c>
      <c r="N236" s="984">
        <f t="shared" si="84"/>
        <v>55800</v>
      </c>
      <c r="O236" s="986">
        <f t="shared" si="85"/>
        <v>155.9696342305038</v>
      </c>
      <c r="P236" s="987">
        <f t="shared" si="86"/>
        <v>138.71635610766046</v>
      </c>
      <c r="Q236" s="987">
        <f t="shared" si="87"/>
        <v>90.407177363699105</v>
      </c>
      <c r="R236" s="988">
        <f t="shared" si="88"/>
        <v>385.09316770186342</v>
      </c>
      <c r="S236" s="989">
        <v>144.9</v>
      </c>
      <c r="T236" s="990">
        <v>0</v>
      </c>
      <c r="U236" s="991">
        <v>58</v>
      </c>
      <c r="V236" s="991">
        <v>311</v>
      </c>
      <c r="W236" s="992">
        <f t="shared" si="89"/>
        <v>369</v>
      </c>
      <c r="X236" s="993">
        <f t="shared" si="90"/>
        <v>2.5465838509316767</v>
      </c>
      <c r="Y236" s="990">
        <v>1429</v>
      </c>
      <c r="Z236" s="991">
        <v>1341</v>
      </c>
      <c r="AA236" s="991">
        <v>708</v>
      </c>
      <c r="AB236" s="992">
        <f t="shared" si="91"/>
        <v>3478</v>
      </c>
      <c r="AC236" s="993">
        <f t="shared" si="92"/>
        <v>24.002760524499653</v>
      </c>
      <c r="AD236" s="994">
        <f t="shared" si="93"/>
        <v>3847</v>
      </c>
      <c r="AE236" s="995">
        <f t="shared" si="94"/>
        <v>26.549344375431332</v>
      </c>
      <c r="AF236" s="996">
        <v>73</v>
      </c>
      <c r="AG236" s="997">
        <v>63</v>
      </c>
      <c r="AH236" s="997">
        <v>6</v>
      </c>
      <c r="AI236" s="998">
        <f t="shared" si="95"/>
        <v>142</v>
      </c>
      <c r="AJ236" s="993">
        <f t="shared" si="96"/>
        <v>0.9799861973775017</v>
      </c>
    </row>
    <row r="237" spans="1:36" ht="16.5" customHeight="1">
      <c r="A237" s="999">
        <f>'09월 조업일지'!A235</f>
        <v>46273</v>
      </c>
      <c r="B237" s="1099">
        <f>'09월 조업일지'!B235</f>
        <v>46273</v>
      </c>
      <c r="C237" s="1000" t="str">
        <f>'09월 화학성분'!D235</f>
        <v>A</v>
      </c>
      <c r="D237" s="1000" t="str">
        <f>'09월 화학성분'!E235</f>
        <v>B</v>
      </c>
      <c r="E237" s="1000">
        <f>'09월 화학성분'!C235</f>
        <v>85437</v>
      </c>
      <c r="F237" s="1001" t="str">
        <f t="shared" si="82"/>
        <v>A272-50-01</v>
      </c>
      <c r="G237" s="1172">
        <v>18.8</v>
      </c>
      <c r="H237" s="985">
        <v>22900</v>
      </c>
      <c r="I237" s="1173">
        <v>16.399999999999999</v>
      </c>
      <c r="J237" s="985">
        <v>20500</v>
      </c>
      <c r="K237" s="1173">
        <v>10.4</v>
      </c>
      <c r="L237" s="985">
        <v>13200</v>
      </c>
      <c r="M237" s="1174">
        <f t="shared" si="83"/>
        <v>45.6</v>
      </c>
      <c r="N237" s="984">
        <f t="shared" si="84"/>
        <v>56600</v>
      </c>
      <c r="O237" s="986">
        <f t="shared" si="85"/>
        <v>157.60495526496902</v>
      </c>
      <c r="P237" s="987">
        <f t="shared" si="86"/>
        <v>141.08740536820372</v>
      </c>
      <c r="Q237" s="987">
        <f t="shared" si="87"/>
        <v>90.846524432209222</v>
      </c>
      <c r="R237" s="988">
        <f t="shared" si="88"/>
        <v>389.53888506538192</v>
      </c>
      <c r="S237" s="989">
        <v>145.30000000000001</v>
      </c>
      <c r="T237" s="990">
        <v>0</v>
      </c>
      <c r="U237" s="991">
        <v>139</v>
      </c>
      <c r="V237" s="991">
        <v>268</v>
      </c>
      <c r="W237" s="992">
        <f t="shared" si="89"/>
        <v>407</v>
      </c>
      <c r="X237" s="993">
        <f t="shared" si="90"/>
        <v>2.8011011699931174</v>
      </c>
      <c r="Y237" s="990">
        <v>1521</v>
      </c>
      <c r="Z237" s="991">
        <v>1374</v>
      </c>
      <c r="AA237" s="991">
        <v>792</v>
      </c>
      <c r="AB237" s="992">
        <f t="shared" si="91"/>
        <v>3687</v>
      </c>
      <c r="AC237" s="993">
        <f t="shared" si="92"/>
        <v>25.375086028905709</v>
      </c>
      <c r="AD237" s="994">
        <f t="shared" si="93"/>
        <v>4094</v>
      </c>
      <c r="AE237" s="995">
        <f t="shared" si="94"/>
        <v>28.176187198898827</v>
      </c>
      <c r="AF237" s="996">
        <v>79</v>
      </c>
      <c r="AG237" s="997">
        <v>64</v>
      </c>
      <c r="AH237" s="997">
        <v>7</v>
      </c>
      <c r="AI237" s="998">
        <f t="shared" si="95"/>
        <v>150</v>
      </c>
      <c r="AJ237" s="993">
        <f t="shared" si="96"/>
        <v>1.0323468685478321</v>
      </c>
    </row>
    <row r="238" spans="1:36" ht="16.5" customHeight="1">
      <c r="A238" s="999">
        <f>'09월 조업일지'!A236</f>
        <v>46273</v>
      </c>
      <c r="B238" s="1099">
        <f>'09월 조업일지'!B236</f>
        <v>46273</v>
      </c>
      <c r="C238" s="1000" t="str">
        <f>'09월 화학성분'!D236</f>
        <v>A</v>
      </c>
      <c r="D238" s="1000" t="str">
        <f>'09월 화학성분'!E236</f>
        <v>A</v>
      </c>
      <c r="E238" s="1000">
        <f>'09월 화학성분'!C236</f>
        <v>85438</v>
      </c>
      <c r="F238" s="1001" t="str">
        <f t="shared" si="82"/>
        <v>A272-50-01</v>
      </c>
      <c r="G238" s="1172">
        <v>19.3</v>
      </c>
      <c r="H238" s="985">
        <v>24300</v>
      </c>
      <c r="I238" s="1173">
        <v>16.3</v>
      </c>
      <c r="J238" s="985">
        <v>20500</v>
      </c>
      <c r="K238" s="1173">
        <v>9</v>
      </c>
      <c r="L238" s="985">
        <v>11500</v>
      </c>
      <c r="M238" s="1174">
        <f t="shared" si="83"/>
        <v>44.6</v>
      </c>
      <c r="N238" s="984">
        <f t="shared" si="84"/>
        <v>56300</v>
      </c>
      <c r="O238" s="986">
        <f t="shared" si="85"/>
        <v>168.04979253112035</v>
      </c>
      <c r="P238" s="987">
        <f t="shared" si="86"/>
        <v>141.77040110650069</v>
      </c>
      <c r="Q238" s="987">
        <f t="shared" si="87"/>
        <v>79.529737206085755</v>
      </c>
      <c r="R238" s="988">
        <f t="shared" si="88"/>
        <v>389.34993084370683</v>
      </c>
      <c r="S238" s="989">
        <v>144.6</v>
      </c>
      <c r="T238" s="990">
        <v>0</v>
      </c>
      <c r="U238" s="991">
        <v>171</v>
      </c>
      <c r="V238" s="991">
        <v>234</v>
      </c>
      <c r="W238" s="992">
        <f t="shared" si="89"/>
        <v>405</v>
      </c>
      <c r="X238" s="993">
        <f t="shared" si="90"/>
        <v>2.8008298755186725</v>
      </c>
      <c r="Y238" s="990">
        <v>1627</v>
      </c>
      <c r="Z238" s="991">
        <v>1356</v>
      </c>
      <c r="AA238" s="991">
        <v>546</v>
      </c>
      <c r="AB238" s="992">
        <f t="shared" si="91"/>
        <v>3529</v>
      </c>
      <c r="AC238" s="993">
        <f t="shared" si="92"/>
        <v>24.405255878284926</v>
      </c>
      <c r="AD238" s="994">
        <f t="shared" si="93"/>
        <v>3934</v>
      </c>
      <c r="AE238" s="995">
        <f t="shared" si="94"/>
        <v>27.206085753803599</v>
      </c>
      <c r="AF238" s="996">
        <v>78</v>
      </c>
      <c r="AG238" s="997">
        <v>61</v>
      </c>
      <c r="AH238" s="997">
        <v>5</v>
      </c>
      <c r="AI238" s="998">
        <f t="shared" si="95"/>
        <v>144</v>
      </c>
      <c r="AJ238" s="993">
        <f t="shared" si="96"/>
        <v>0.99585062240663902</v>
      </c>
    </row>
    <row r="239" spans="1:36" ht="16.5" customHeight="1">
      <c r="A239" s="999">
        <f>'09월 조업일지'!A237</f>
        <v>46273</v>
      </c>
      <c r="B239" s="1099">
        <f>'09월 조업일지'!B237</f>
        <v>46273</v>
      </c>
      <c r="C239" s="1000" t="str">
        <f>'09월 화학성분'!D237</f>
        <v>A</v>
      </c>
      <c r="D239" s="1000" t="str">
        <f>'09월 화학성분'!E237</f>
        <v>B</v>
      </c>
      <c r="E239" s="1000">
        <f>'09월 화학성분'!C237</f>
        <v>85439</v>
      </c>
      <c r="F239" s="1104" t="s">
        <v>638</v>
      </c>
      <c r="G239" s="1172">
        <v>20.2</v>
      </c>
      <c r="H239" s="985">
        <v>23200</v>
      </c>
      <c r="I239" s="1173">
        <v>15.9</v>
      </c>
      <c r="J239" s="985">
        <v>20300</v>
      </c>
      <c r="K239" s="1173">
        <v>9</v>
      </c>
      <c r="L239" s="985">
        <v>11500</v>
      </c>
      <c r="M239" s="1174">
        <f t="shared" si="83"/>
        <v>45.1</v>
      </c>
      <c r="N239" s="984">
        <f t="shared" si="84"/>
        <v>55000</v>
      </c>
      <c r="O239" s="986">
        <f t="shared" si="85"/>
        <v>160.44260027662517</v>
      </c>
      <c r="P239" s="987">
        <f t="shared" si="86"/>
        <v>140.38727524204702</v>
      </c>
      <c r="Q239" s="987">
        <f t="shared" si="87"/>
        <v>79.529737206085755</v>
      </c>
      <c r="R239" s="988">
        <f t="shared" si="88"/>
        <v>380.35961272475799</v>
      </c>
      <c r="S239" s="989">
        <v>144.6</v>
      </c>
      <c r="T239" s="990">
        <v>0</v>
      </c>
      <c r="U239" s="991">
        <v>134</v>
      </c>
      <c r="V239" s="991">
        <v>227</v>
      </c>
      <c r="W239" s="992">
        <f t="shared" si="89"/>
        <v>361</v>
      </c>
      <c r="X239" s="993">
        <f t="shared" si="90"/>
        <v>2.4965421853388658</v>
      </c>
      <c r="Y239" s="990">
        <v>1668</v>
      </c>
      <c r="Z239" s="991">
        <v>1346</v>
      </c>
      <c r="AA239" s="991">
        <v>903</v>
      </c>
      <c r="AB239" s="992">
        <f t="shared" si="91"/>
        <v>3917</v>
      </c>
      <c r="AC239" s="993">
        <f t="shared" si="92"/>
        <v>27.088520055325034</v>
      </c>
      <c r="AD239" s="994">
        <f t="shared" si="93"/>
        <v>4278</v>
      </c>
      <c r="AE239" s="995">
        <f t="shared" si="94"/>
        <v>29.585062240663902</v>
      </c>
      <c r="AF239" s="996">
        <v>84</v>
      </c>
      <c r="AG239" s="997">
        <v>63</v>
      </c>
      <c r="AH239" s="997">
        <v>8</v>
      </c>
      <c r="AI239" s="998">
        <f t="shared" si="95"/>
        <v>155</v>
      </c>
      <c r="AJ239" s="993">
        <f t="shared" si="96"/>
        <v>1.0719225449515906</v>
      </c>
    </row>
    <row r="240" spans="1:36" ht="16.5" customHeight="1">
      <c r="A240" s="999">
        <f>'09월 조업일지'!A238</f>
        <v>46273</v>
      </c>
      <c r="B240" s="1099">
        <f>'09월 조업일지'!B238</f>
        <v>46273</v>
      </c>
      <c r="C240" s="1000" t="str">
        <f>'09월 화학성분'!D238</f>
        <v>A</v>
      </c>
      <c r="D240" s="1000" t="str">
        <f>'09월 화학성분'!E238</f>
        <v>A</v>
      </c>
      <c r="E240" s="1000">
        <f>'09월 화학성분'!C238</f>
        <v>85440</v>
      </c>
      <c r="F240" s="1001" t="str">
        <f t="shared" si="82"/>
        <v>S355JO-01</v>
      </c>
      <c r="G240" s="1172">
        <v>17.899999999999999</v>
      </c>
      <c r="H240" s="985">
        <v>23100</v>
      </c>
      <c r="I240" s="1173">
        <v>15.8</v>
      </c>
      <c r="J240" s="985">
        <v>20300</v>
      </c>
      <c r="K240" s="1173">
        <v>11.5</v>
      </c>
      <c r="L240" s="985">
        <v>14600</v>
      </c>
      <c r="M240" s="1174">
        <f t="shared" si="83"/>
        <v>45.2</v>
      </c>
      <c r="N240" s="984">
        <f t="shared" si="84"/>
        <v>58000</v>
      </c>
      <c r="O240" s="986">
        <f t="shared" si="85"/>
        <v>160.75156576200419</v>
      </c>
      <c r="P240" s="987">
        <f t="shared" si="86"/>
        <v>141.26652748782186</v>
      </c>
      <c r="Q240" s="987">
        <f t="shared" si="87"/>
        <v>101.60055671537927</v>
      </c>
      <c r="R240" s="988">
        <f t="shared" si="88"/>
        <v>403.61864996520535</v>
      </c>
      <c r="S240" s="989">
        <v>143.69999999999999</v>
      </c>
      <c r="T240" s="990">
        <v>0</v>
      </c>
      <c r="U240" s="991">
        <v>96</v>
      </c>
      <c r="V240" s="991">
        <v>281</v>
      </c>
      <c r="W240" s="992">
        <f t="shared" si="89"/>
        <v>377</v>
      </c>
      <c r="X240" s="993">
        <f t="shared" si="90"/>
        <v>2.6235212247738344</v>
      </c>
      <c r="Y240" s="990">
        <v>1452</v>
      </c>
      <c r="Z240" s="991">
        <v>1310</v>
      </c>
      <c r="AA240" s="991">
        <v>778</v>
      </c>
      <c r="AB240" s="992">
        <f t="shared" si="91"/>
        <v>3540</v>
      </c>
      <c r="AC240" s="993">
        <f t="shared" si="92"/>
        <v>24.634655532359083</v>
      </c>
      <c r="AD240" s="994">
        <f t="shared" si="93"/>
        <v>3917</v>
      </c>
      <c r="AE240" s="995">
        <f t="shared" si="94"/>
        <v>27.258176757132919</v>
      </c>
      <c r="AF240" s="996">
        <v>73</v>
      </c>
      <c r="AG240" s="997">
        <v>61</v>
      </c>
      <c r="AH240" s="997">
        <v>7</v>
      </c>
      <c r="AI240" s="998">
        <f t="shared" si="95"/>
        <v>141</v>
      </c>
      <c r="AJ240" s="993">
        <f t="shared" si="96"/>
        <v>0.98121085594989566</v>
      </c>
    </row>
    <row r="241" spans="1:36" ht="16.5" customHeight="1">
      <c r="A241" s="999">
        <f>'09월 조업일지'!A239</f>
        <v>46273</v>
      </c>
      <c r="B241" s="1099">
        <f>'09월 조업일지'!B239</f>
        <v>46273</v>
      </c>
      <c r="C241" s="1000" t="str">
        <f>'09월 화학성분'!D239</f>
        <v>A</v>
      </c>
      <c r="D241" s="1000" t="str">
        <f>'09월 화학성분'!E239</f>
        <v>B</v>
      </c>
      <c r="E241" s="1000">
        <f>'09월 화학성분'!C239</f>
        <v>85441</v>
      </c>
      <c r="F241" s="1001" t="str">
        <f t="shared" si="82"/>
        <v>S355JO-01</v>
      </c>
      <c r="G241" s="1172">
        <v>18.8</v>
      </c>
      <c r="H241" s="985">
        <v>23100</v>
      </c>
      <c r="I241" s="1173">
        <v>17.899999999999999</v>
      </c>
      <c r="J241" s="985">
        <v>20800</v>
      </c>
      <c r="K241" s="1173">
        <v>9.4</v>
      </c>
      <c r="L241" s="985">
        <v>11900</v>
      </c>
      <c r="M241" s="1174">
        <f t="shared" si="83"/>
        <v>46.1</v>
      </c>
      <c r="N241" s="984">
        <f t="shared" si="84"/>
        <v>55800</v>
      </c>
      <c r="O241" s="986">
        <f t="shared" si="85"/>
        <v>157.14285714285714</v>
      </c>
      <c r="P241" s="987">
        <f t="shared" si="86"/>
        <v>141.49659863945578</v>
      </c>
      <c r="Q241" s="987">
        <f t="shared" si="87"/>
        <v>80.952380952380949</v>
      </c>
      <c r="R241" s="988">
        <f t="shared" si="88"/>
        <v>379.59183673469386</v>
      </c>
      <c r="S241" s="989">
        <v>147</v>
      </c>
      <c r="T241" s="990">
        <v>0</v>
      </c>
      <c r="U241" s="991">
        <v>124</v>
      </c>
      <c r="V241" s="991">
        <v>145</v>
      </c>
      <c r="W241" s="992">
        <f t="shared" si="89"/>
        <v>269</v>
      </c>
      <c r="X241" s="993">
        <f t="shared" si="90"/>
        <v>1.8299319727891157</v>
      </c>
      <c r="Y241" s="990">
        <v>1549</v>
      </c>
      <c r="Z241" s="991">
        <v>1489</v>
      </c>
      <c r="AA241" s="991">
        <v>829</v>
      </c>
      <c r="AB241" s="992">
        <f t="shared" si="91"/>
        <v>3867</v>
      </c>
      <c r="AC241" s="993">
        <f t="shared" si="92"/>
        <v>26.306122448979593</v>
      </c>
      <c r="AD241" s="994">
        <f t="shared" si="93"/>
        <v>4136</v>
      </c>
      <c r="AE241" s="995">
        <f t="shared" si="94"/>
        <v>28.136054421768709</v>
      </c>
      <c r="AF241" s="996">
        <v>81</v>
      </c>
      <c r="AG241" s="997">
        <v>68</v>
      </c>
      <c r="AH241" s="997">
        <v>8</v>
      </c>
      <c r="AI241" s="998">
        <f t="shared" si="95"/>
        <v>157</v>
      </c>
      <c r="AJ241" s="993">
        <f t="shared" si="96"/>
        <v>1.0680272108843538</v>
      </c>
    </row>
    <row r="242" spans="1:36" ht="16.5" customHeight="1">
      <c r="A242" s="999">
        <f>'09월 조업일지'!A240</f>
        <v>46273</v>
      </c>
      <c r="B242" s="1099">
        <f>'09월 조업일지'!B240</f>
        <v>46273</v>
      </c>
      <c r="C242" s="1000" t="str">
        <f>'09월 화학성분'!D240</f>
        <v>A</v>
      </c>
      <c r="D242" s="1000" t="str">
        <f>'09월 화학성분'!E240</f>
        <v>A</v>
      </c>
      <c r="E242" s="1000">
        <f>'09월 화학성분'!C240</f>
        <v>85442</v>
      </c>
      <c r="F242" s="1001" t="str">
        <f t="shared" si="82"/>
        <v>S355JO-01</v>
      </c>
      <c r="G242" s="1172">
        <v>18.8</v>
      </c>
      <c r="H242" s="985">
        <v>23100</v>
      </c>
      <c r="I242" s="1173">
        <v>16</v>
      </c>
      <c r="J242" s="985">
        <v>20600</v>
      </c>
      <c r="K242" s="1173">
        <v>7.6</v>
      </c>
      <c r="L242" s="985">
        <v>9700</v>
      </c>
      <c r="M242" s="1174">
        <f t="shared" si="83"/>
        <v>42.4</v>
      </c>
      <c r="N242" s="984">
        <f t="shared" si="84"/>
        <v>53400</v>
      </c>
      <c r="O242" s="986">
        <f t="shared" si="85"/>
        <v>154.72203616878767</v>
      </c>
      <c r="P242" s="987">
        <f t="shared" si="86"/>
        <v>137.97722705961152</v>
      </c>
      <c r="Q242" s="987">
        <f t="shared" si="87"/>
        <v>64.969859343603474</v>
      </c>
      <c r="R242" s="988">
        <f t="shared" si="88"/>
        <v>357.66912257200272</v>
      </c>
      <c r="S242" s="989">
        <v>149.30000000000001</v>
      </c>
      <c r="T242" s="990">
        <v>0</v>
      </c>
      <c r="U242" s="991">
        <v>157</v>
      </c>
      <c r="V242" s="991">
        <v>202</v>
      </c>
      <c r="W242" s="992">
        <f t="shared" si="89"/>
        <v>359</v>
      </c>
      <c r="X242" s="993">
        <f t="shared" si="90"/>
        <v>2.4045545880776955</v>
      </c>
      <c r="Y242" s="990">
        <v>1582</v>
      </c>
      <c r="Z242" s="991">
        <v>1341</v>
      </c>
      <c r="AA242" s="991">
        <v>543</v>
      </c>
      <c r="AB242" s="992">
        <f t="shared" si="91"/>
        <v>3466</v>
      </c>
      <c r="AC242" s="993">
        <f t="shared" si="92"/>
        <v>23.215003348961819</v>
      </c>
      <c r="AD242" s="994">
        <f t="shared" si="93"/>
        <v>3825</v>
      </c>
      <c r="AE242" s="995">
        <f t="shared" si="94"/>
        <v>25.619557937039517</v>
      </c>
      <c r="AF242" s="996">
        <v>79</v>
      </c>
      <c r="AG242" s="997">
        <v>60</v>
      </c>
      <c r="AH242" s="997">
        <v>4</v>
      </c>
      <c r="AI242" s="998">
        <f t="shared" si="95"/>
        <v>143</v>
      </c>
      <c r="AJ242" s="993">
        <f t="shared" si="96"/>
        <v>0.95780308104487599</v>
      </c>
    </row>
    <row r="243" spans="1:36" ht="16.5" customHeight="1">
      <c r="A243" s="999">
        <f>'09월 조업일지'!A241</f>
        <v>46274</v>
      </c>
      <c r="B243" s="1099">
        <f>'09월 조업일지'!B241</f>
        <v>46273</v>
      </c>
      <c r="C243" s="1000" t="str">
        <f>'09월 화학성분'!D241</f>
        <v>A</v>
      </c>
      <c r="D243" s="1000" t="str">
        <f>'09월 화학성분'!E241</f>
        <v>B</v>
      </c>
      <c r="E243" s="1000">
        <f>'09월 화학성분'!C241</f>
        <v>85443</v>
      </c>
      <c r="F243" s="1001" t="str">
        <f t="shared" si="82"/>
        <v>S355JO-01</v>
      </c>
      <c r="G243" s="1172">
        <v>18.600000000000001</v>
      </c>
      <c r="H243" s="985">
        <v>22900</v>
      </c>
      <c r="I243" s="1173">
        <v>16.5</v>
      </c>
      <c r="J243" s="985">
        <v>20600</v>
      </c>
      <c r="K243" s="1173">
        <v>9.1</v>
      </c>
      <c r="L243" s="985">
        <v>11700</v>
      </c>
      <c r="M243" s="1174">
        <f t="shared" si="83"/>
        <v>44.2</v>
      </c>
      <c r="N243" s="984">
        <f t="shared" si="84"/>
        <v>55200</v>
      </c>
      <c r="O243" s="986">
        <f t="shared" si="85"/>
        <v>154.31266846361186</v>
      </c>
      <c r="P243" s="987">
        <f t="shared" si="86"/>
        <v>138.81401617250674</v>
      </c>
      <c r="Q243" s="987">
        <f t="shared" si="87"/>
        <v>78.840970350404305</v>
      </c>
      <c r="R243" s="988">
        <f t="shared" si="88"/>
        <v>371.96765498652292</v>
      </c>
      <c r="S243" s="989">
        <v>148.4</v>
      </c>
      <c r="T243" s="990">
        <v>0</v>
      </c>
      <c r="U243" s="991">
        <v>137</v>
      </c>
      <c r="V243" s="991">
        <v>228</v>
      </c>
      <c r="W243" s="992">
        <f t="shared" si="89"/>
        <v>365</v>
      </c>
      <c r="X243" s="993">
        <f t="shared" si="90"/>
        <v>2.4595687331536387</v>
      </c>
      <c r="Y243" s="990">
        <v>1532</v>
      </c>
      <c r="Z243" s="991">
        <v>1377</v>
      </c>
      <c r="AA243" s="991">
        <v>771</v>
      </c>
      <c r="AB243" s="992">
        <f t="shared" si="91"/>
        <v>3680</v>
      </c>
      <c r="AC243" s="993">
        <f t="shared" si="92"/>
        <v>24.797843665768195</v>
      </c>
      <c r="AD243" s="994">
        <f t="shared" si="93"/>
        <v>4045</v>
      </c>
      <c r="AE243" s="995">
        <f t="shared" si="94"/>
        <v>27.257412398921833</v>
      </c>
      <c r="AF243" s="996">
        <v>79</v>
      </c>
      <c r="AG243" s="997">
        <v>65</v>
      </c>
      <c r="AH243" s="997">
        <v>7</v>
      </c>
      <c r="AI243" s="998">
        <f t="shared" si="95"/>
        <v>151</v>
      </c>
      <c r="AJ243" s="993">
        <f t="shared" si="96"/>
        <v>1.0175202156334231</v>
      </c>
    </row>
    <row r="244" spans="1:36" ht="16.5" customHeight="1">
      <c r="A244" s="999">
        <f>'09월 조업일지'!A242</f>
        <v>46274</v>
      </c>
      <c r="B244" s="1099">
        <f>'09월 조업일지'!B242</f>
        <v>46273</v>
      </c>
      <c r="C244" s="1000" t="str">
        <f>'09월 화학성분'!D242</f>
        <v>A</v>
      </c>
      <c r="D244" s="1000" t="str">
        <f>'09월 화학성분'!E242</f>
        <v>A</v>
      </c>
      <c r="E244" s="1000">
        <f>'09월 화학성분'!C242</f>
        <v>85444</v>
      </c>
      <c r="F244" s="1001" t="str">
        <f t="shared" si="82"/>
        <v>S355JO-01</v>
      </c>
      <c r="G244" s="1172">
        <v>18.5</v>
      </c>
      <c r="H244" s="985">
        <v>22900</v>
      </c>
      <c r="I244" s="1173">
        <v>15.8</v>
      </c>
      <c r="J244" s="985">
        <v>20400</v>
      </c>
      <c r="K244" s="1173">
        <v>8.5</v>
      </c>
      <c r="L244" s="985">
        <v>11000</v>
      </c>
      <c r="M244" s="1174">
        <f t="shared" si="83"/>
        <v>42.8</v>
      </c>
      <c r="N244" s="984">
        <f t="shared" si="84"/>
        <v>54300</v>
      </c>
      <c r="O244" s="986">
        <f t="shared" si="85"/>
        <v>152.1594684385382</v>
      </c>
      <c r="P244" s="987">
        <f t="shared" si="86"/>
        <v>135.54817275747507</v>
      </c>
      <c r="Q244" s="987">
        <f t="shared" si="87"/>
        <v>73.089700996677735</v>
      </c>
      <c r="R244" s="988">
        <f t="shared" si="88"/>
        <v>360.79734219269096</v>
      </c>
      <c r="S244" s="989">
        <v>150.5</v>
      </c>
      <c r="T244" s="990">
        <v>0</v>
      </c>
      <c r="U244" s="991">
        <v>135</v>
      </c>
      <c r="V244" s="991">
        <v>222</v>
      </c>
      <c r="W244" s="992">
        <f t="shared" si="89"/>
        <v>357</v>
      </c>
      <c r="X244" s="993">
        <f t="shared" si="90"/>
        <v>2.3720930232558142</v>
      </c>
      <c r="Y244" s="990">
        <v>1518</v>
      </c>
      <c r="Z244" s="991">
        <v>1311</v>
      </c>
      <c r="AA244" s="991">
        <v>586</v>
      </c>
      <c r="AB244" s="992">
        <f t="shared" si="91"/>
        <v>3415</v>
      </c>
      <c r="AC244" s="993">
        <f t="shared" si="92"/>
        <v>22.691029900332225</v>
      </c>
      <c r="AD244" s="994">
        <f t="shared" si="93"/>
        <v>3772</v>
      </c>
      <c r="AE244" s="995">
        <f t="shared" si="94"/>
        <v>25.06312292358804</v>
      </c>
      <c r="AF244" s="996">
        <v>76</v>
      </c>
      <c r="AG244" s="997">
        <v>62</v>
      </c>
      <c r="AH244" s="997">
        <v>4</v>
      </c>
      <c r="AI244" s="998">
        <f t="shared" si="95"/>
        <v>142</v>
      </c>
      <c r="AJ244" s="993">
        <f t="shared" si="96"/>
        <v>0.94352159468438535</v>
      </c>
    </row>
    <row r="245" spans="1:36" ht="16.5" customHeight="1">
      <c r="A245" s="999">
        <f>'09월 조업일지'!A243</f>
        <v>46274</v>
      </c>
      <c r="B245" s="1099">
        <f>'09월 조업일지'!B243</f>
        <v>46273</v>
      </c>
      <c r="C245" s="1000" t="str">
        <f>'09월 화학성분'!D243</f>
        <v>A</v>
      </c>
      <c r="D245" s="1000" t="str">
        <f>'09월 화학성분'!E243</f>
        <v>B</v>
      </c>
      <c r="E245" s="1000">
        <f>'09월 화학성분'!C243</f>
        <v>85445</v>
      </c>
      <c r="F245" s="1001" t="str">
        <f t="shared" si="82"/>
        <v>S355JO-01</v>
      </c>
      <c r="G245" s="1172">
        <v>19.100000000000001</v>
      </c>
      <c r="H245" s="985">
        <v>23200</v>
      </c>
      <c r="I245" s="1173">
        <v>16.2</v>
      </c>
      <c r="J245" s="985">
        <v>20500</v>
      </c>
      <c r="K245" s="1173">
        <v>9.4</v>
      </c>
      <c r="L245" s="985">
        <v>12000</v>
      </c>
      <c r="M245" s="1174">
        <f t="shared" si="83"/>
        <v>44.699999999999996</v>
      </c>
      <c r="N245" s="984">
        <f t="shared" si="84"/>
        <v>55700</v>
      </c>
      <c r="O245" s="986">
        <f t="shared" si="85"/>
        <v>155.39182853315472</v>
      </c>
      <c r="P245" s="987">
        <f t="shared" si="86"/>
        <v>137.30743469524447</v>
      </c>
      <c r="Q245" s="987">
        <f t="shared" si="87"/>
        <v>80.375083724045538</v>
      </c>
      <c r="R245" s="988">
        <f t="shared" si="88"/>
        <v>373.07434695244478</v>
      </c>
      <c r="S245" s="989">
        <v>149.30000000000001</v>
      </c>
      <c r="T245" s="990">
        <v>0</v>
      </c>
      <c r="U245" s="991">
        <v>155</v>
      </c>
      <c r="V245" s="991">
        <v>226</v>
      </c>
      <c r="W245" s="992">
        <f t="shared" si="89"/>
        <v>381</v>
      </c>
      <c r="X245" s="993">
        <f t="shared" si="90"/>
        <v>2.5519089082384459</v>
      </c>
      <c r="Y245" s="990">
        <v>1557</v>
      </c>
      <c r="Z245" s="991">
        <v>1346</v>
      </c>
      <c r="AA245" s="991">
        <v>795</v>
      </c>
      <c r="AB245" s="992">
        <f t="shared" si="91"/>
        <v>3698</v>
      </c>
      <c r="AC245" s="993">
        <f t="shared" si="92"/>
        <v>24.768921634293367</v>
      </c>
      <c r="AD245" s="994">
        <f t="shared" si="93"/>
        <v>4079</v>
      </c>
      <c r="AE245" s="995">
        <f t="shared" si="94"/>
        <v>27.320830542531812</v>
      </c>
      <c r="AF245" s="996">
        <v>82</v>
      </c>
      <c r="AG245" s="997">
        <v>61</v>
      </c>
      <c r="AH245" s="997">
        <v>8</v>
      </c>
      <c r="AI245" s="998">
        <f t="shared" si="95"/>
        <v>151</v>
      </c>
      <c r="AJ245" s="993">
        <f t="shared" si="96"/>
        <v>1.0113864701942397</v>
      </c>
    </row>
    <row r="246" spans="1:36" ht="16.5" customHeight="1">
      <c r="A246" s="999">
        <f>'09월 조업일지'!A244</f>
        <v>46274</v>
      </c>
      <c r="B246" s="1099">
        <f>'09월 조업일지'!B244</f>
        <v>46273</v>
      </c>
      <c r="C246" s="1000" t="str">
        <f>'09월 화학성분'!D244</f>
        <v>A</v>
      </c>
      <c r="D246" s="1000" t="str">
        <f>'09월 화학성분'!E244</f>
        <v>A</v>
      </c>
      <c r="E246" s="1000">
        <f>'09월 화학성분'!C244</f>
        <v>85446</v>
      </c>
      <c r="F246" s="1001" t="str">
        <f t="shared" si="82"/>
        <v>S355JO-01</v>
      </c>
      <c r="G246" s="1172">
        <v>17.899999999999999</v>
      </c>
      <c r="H246" s="985">
        <v>23100</v>
      </c>
      <c r="I246" s="1173">
        <v>16.3</v>
      </c>
      <c r="J246" s="985">
        <v>20400</v>
      </c>
      <c r="K246" s="1173">
        <v>8</v>
      </c>
      <c r="L246" s="985">
        <v>10400</v>
      </c>
      <c r="M246" s="1174">
        <f t="shared" si="83"/>
        <v>42.2</v>
      </c>
      <c r="N246" s="984">
        <f t="shared" si="84"/>
        <v>53900</v>
      </c>
      <c r="O246" s="986">
        <f t="shared" si="85"/>
        <v>159.75103734439836</v>
      </c>
      <c r="P246" s="987">
        <f t="shared" si="86"/>
        <v>141.07883817427387</v>
      </c>
      <c r="Q246" s="987">
        <f t="shared" si="87"/>
        <v>71.922544951590595</v>
      </c>
      <c r="R246" s="988">
        <f t="shared" si="88"/>
        <v>372.75242047026279</v>
      </c>
      <c r="S246" s="989">
        <v>144.6</v>
      </c>
      <c r="T246" s="990">
        <v>0</v>
      </c>
      <c r="U246" s="991">
        <v>133</v>
      </c>
      <c r="V246" s="991">
        <v>238</v>
      </c>
      <c r="W246" s="992">
        <f t="shared" si="89"/>
        <v>371</v>
      </c>
      <c r="X246" s="993">
        <f t="shared" si="90"/>
        <v>2.5656984785615493</v>
      </c>
      <c r="Y246" s="990">
        <v>1462</v>
      </c>
      <c r="Z246" s="991">
        <v>1342</v>
      </c>
      <c r="AA246" s="991">
        <v>746</v>
      </c>
      <c r="AB246" s="992">
        <f t="shared" si="91"/>
        <v>3550</v>
      </c>
      <c r="AC246" s="993">
        <f t="shared" si="92"/>
        <v>24.55048409405256</v>
      </c>
      <c r="AD246" s="994">
        <f t="shared" si="93"/>
        <v>3921</v>
      </c>
      <c r="AE246" s="995">
        <f t="shared" si="94"/>
        <v>27.116182572614107</v>
      </c>
      <c r="AF246" s="996">
        <v>73</v>
      </c>
      <c r="AG246" s="997">
        <v>63</v>
      </c>
      <c r="AH246" s="997">
        <v>6</v>
      </c>
      <c r="AI246" s="998">
        <f t="shared" si="95"/>
        <v>142</v>
      </c>
      <c r="AJ246" s="993">
        <f t="shared" si="96"/>
        <v>0.98201936376210242</v>
      </c>
    </row>
    <row r="247" spans="1:36" ht="16.5" customHeight="1">
      <c r="A247" s="999">
        <f>'09월 조업일지'!A245</f>
        <v>46274</v>
      </c>
      <c r="B247" s="1099">
        <f>'09월 조업일지'!B245</f>
        <v>46274</v>
      </c>
      <c r="C247" s="1000" t="str">
        <f>'09월 화학성분'!D245</f>
        <v>C</v>
      </c>
      <c r="D247" s="1000" t="str">
        <f>'09월 화학성분'!E245</f>
        <v>B</v>
      </c>
      <c r="E247" s="1000">
        <f>'09월 화학성분'!C245</f>
        <v>85447</v>
      </c>
      <c r="F247" s="1001" t="str">
        <f t="shared" si="82"/>
        <v>S355JO-01</v>
      </c>
      <c r="G247" s="1172">
        <v>18.5</v>
      </c>
      <c r="H247" s="985">
        <v>23000</v>
      </c>
      <c r="I247" s="1173">
        <v>16.3</v>
      </c>
      <c r="J247" s="985">
        <v>20500</v>
      </c>
      <c r="K247" s="1173">
        <v>10.5</v>
      </c>
      <c r="L247" s="985">
        <v>13400</v>
      </c>
      <c r="M247" s="1174">
        <f t="shared" si="83"/>
        <v>45.3</v>
      </c>
      <c r="N247" s="984">
        <f t="shared" si="84"/>
        <v>56900</v>
      </c>
      <c r="O247" s="986">
        <f t="shared" si="85"/>
        <v>158.62068965517241</v>
      </c>
      <c r="P247" s="987">
        <f t="shared" si="86"/>
        <v>141.37931034482759</v>
      </c>
      <c r="Q247" s="987">
        <f t="shared" si="87"/>
        <v>92.41379310344827</v>
      </c>
      <c r="R247" s="988">
        <f t="shared" si="88"/>
        <v>392.41379310344826</v>
      </c>
      <c r="S247" s="989">
        <v>145</v>
      </c>
      <c r="T247" s="990">
        <v>0</v>
      </c>
      <c r="U247" s="991">
        <v>60</v>
      </c>
      <c r="V247" s="991">
        <v>260</v>
      </c>
      <c r="W247" s="992">
        <f t="shared" si="89"/>
        <v>320</v>
      </c>
      <c r="X247" s="993">
        <f t="shared" si="90"/>
        <v>2.2068965517241379</v>
      </c>
      <c r="Y247" s="990">
        <v>1484</v>
      </c>
      <c r="Z247" s="991">
        <v>1350</v>
      </c>
      <c r="AA247" s="991">
        <v>768</v>
      </c>
      <c r="AB247" s="992">
        <f t="shared" si="91"/>
        <v>3602</v>
      </c>
      <c r="AC247" s="993">
        <f t="shared" si="92"/>
        <v>24.841379310344827</v>
      </c>
      <c r="AD247" s="994">
        <f t="shared" si="93"/>
        <v>3922</v>
      </c>
      <c r="AE247" s="995">
        <f t="shared" si="94"/>
        <v>27.048275862068966</v>
      </c>
      <c r="AF247" s="996">
        <v>78</v>
      </c>
      <c r="AG247" s="997">
        <v>63</v>
      </c>
      <c r="AH247" s="997">
        <v>6</v>
      </c>
      <c r="AI247" s="998">
        <f t="shared" si="95"/>
        <v>147</v>
      </c>
      <c r="AJ247" s="993">
        <f t="shared" si="96"/>
        <v>1.0137931034482759</v>
      </c>
    </row>
    <row r="248" spans="1:36" ht="16.5" customHeight="1">
      <c r="A248" s="999">
        <f>'09월 조업일지'!A246</f>
        <v>46274</v>
      </c>
      <c r="B248" s="1099">
        <f>'09월 조업일지'!B246</f>
        <v>46274</v>
      </c>
      <c r="C248" s="1000" t="str">
        <f>'09월 화학성분'!D246</f>
        <v>C</v>
      </c>
      <c r="D248" s="1000" t="str">
        <f>'09월 화학성분'!E246</f>
        <v>A</v>
      </c>
      <c r="E248" s="1000">
        <f>'09월 화학성분'!C246</f>
        <v>85448</v>
      </c>
      <c r="F248" s="1001" t="str">
        <f t="shared" si="82"/>
        <v>S355JO-01</v>
      </c>
      <c r="G248" s="1172">
        <v>18.100000000000001</v>
      </c>
      <c r="H248" s="985">
        <v>22900</v>
      </c>
      <c r="I248" s="1173">
        <v>16.399999999999999</v>
      </c>
      <c r="J248" s="985">
        <v>20100</v>
      </c>
      <c r="K248" s="1173">
        <v>9</v>
      </c>
      <c r="L248" s="985">
        <v>11700</v>
      </c>
      <c r="M248" s="1174">
        <f t="shared" si="83"/>
        <v>43.5</v>
      </c>
      <c r="N248" s="984">
        <f t="shared" si="84"/>
        <v>54700</v>
      </c>
      <c r="O248" s="986">
        <f t="shared" si="85"/>
        <v>157.82219159200551</v>
      </c>
      <c r="P248" s="987">
        <f t="shared" si="86"/>
        <v>138.52515506547209</v>
      </c>
      <c r="Q248" s="987">
        <f t="shared" si="87"/>
        <v>80.634045485871809</v>
      </c>
      <c r="R248" s="988">
        <f t="shared" si="88"/>
        <v>376.98139214334941</v>
      </c>
      <c r="S248" s="989">
        <v>145.1</v>
      </c>
      <c r="T248" s="990">
        <v>0</v>
      </c>
      <c r="U248" s="991">
        <v>55</v>
      </c>
      <c r="V248" s="991">
        <v>280</v>
      </c>
      <c r="W248" s="992">
        <f t="shared" si="89"/>
        <v>335</v>
      </c>
      <c r="X248" s="993">
        <f t="shared" si="90"/>
        <v>2.3087525844245347</v>
      </c>
      <c r="Y248" s="990">
        <v>1480</v>
      </c>
      <c r="Z248" s="991">
        <v>1338</v>
      </c>
      <c r="AA248" s="991">
        <v>801</v>
      </c>
      <c r="AB248" s="992">
        <f t="shared" si="91"/>
        <v>3619</v>
      </c>
      <c r="AC248" s="993">
        <f t="shared" si="92"/>
        <v>24.941419710544452</v>
      </c>
      <c r="AD248" s="994">
        <f t="shared" si="93"/>
        <v>3954</v>
      </c>
      <c r="AE248" s="995">
        <f t="shared" si="94"/>
        <v>27.250172294968987</v>
      </c>
      <c r="AF248" s="996">
        <v>73</v>
      </c>
      <c r="AG248" s="997">
        <v>65</v>
      </c>
      <c r="AH248" s="997">
        <v>7</v>
      </c>
      <c r="AI248" s="998">
        <f t="shared" si="95"/>
        <v>145</v>
      </c>
      <c r="AJ248" s="993">
        <f t="shared" si="96"/>
        <v>0.99931082012405237</v>
      </c>
    </row>
    <row r="249" spans="1:36" ht="16.5" customHeight="1">
      <c r="A249" s="999">
        <f>'09월 조업일지'!A247</f>
        <v>46274</v>
      </c>
      <c r="B249" s="1099">
        <f>'09월 조업일지'!B247</f>
        <v>46274</v>
      </c>
      <c r="C249" s="1000" t="str">
        <f>'09월 화학성분'!D247</f>
        <v>C</v>
      </c>
      <c r="D249" s="1000" t="str">
        <f>'09월 화학성분'!E247</f>
        <v>B</v>
      </c>
      <c r="E249" s="1000">
        <f>'09월 화학성분'!C247</f>
        <v>85449</v>
      </c>
      <c r="F249" s="1001" t="str">
        <f t="shared" si="82"/>
        <v>S355JO-01</v>
      </c>
      <c r="G249" s="1172">
        <v>19.7</v>
      </c>
      <c r="H249" s="985">
        <v>23200</v>
      </c>
      <c r="I249" s="1173">
        <v>16.8</v>
      </c>
      <c r="J249" s="985">
        <v>20600</v>
      </c>
      <c r="K249" s="1173">
        <v>9.6</v>
      </c>
      <c r="L249" s="985">
        <v>12200</v>
      </c>
      <c r="M249" s="1174">
        <f t="shared" si="83"/>
        <v>46.1</v>
      </c>
      <c r="N249" s="984">
        <f t="shared" si="84"/>
        <v>56000</v>
      </c>
      <c r="O249" s="986">
        <f t="shared" si="85"/>
        <v>159.23129718599864</v>
      </c>
      <c r="P249" s="987">
        <f t="shared" si="86"/>
        <v>141.38641043239534</v>
      </c>
      <c r="Q249" s="987">
        <f t="shared" si="87"/>
        <v>83.733699382292386</v>
      </c>
      <c r="R249" s="988">
        <f t="shared" si="88"/>
        <v>384.35140700068638</v>
      </c>
      <c r="S249" s="989">
        <v>145.69999999999999</v>
      </c>
      <c r="T249" s="990">
        <v>0</v>
      </c>
      <c r="U249" s="991">
        <v>94</v>
      </c>
      <c r="V249" s="991">
        <v>233</v>
      </c>
      <c r="W249" s="992">
        <f t="shared" si="89"/>
        <v>327</v>
      </c>
      <c r="X249" s="993">
        <f t="shared" si="90"/>
        <v>2.2443376801647221</v>
      </c>
      <c r="Y249" s="990">
        <v>1641</v>
      </c>
      <c r="Z249" s="991">
        <v>1426</v>
      </c>
      <c r="AA249" s="991">
        <v>801</v>
      </c>
      <c r="AB249" s="992">
        <f t="shared" si="91"/>
        <v>3868</v>
      </c>
      <c r="AC249" s="993">
        <f t="shared" si="92"/>
        <v>26.547700754975981</v>
      </c>
      <c r="AD249" s="994">
        <f t="shared" si="93"/>
        <v>4195</v>
      </c>
      <c r="AE249" s="995">
        <f t="shared" si="94"/>
        <v>28.792038435140704</v>
      </c>
      <c r="AF249" s="996">
        <v>83</v>
      </c>
      <c r="AG249" s="997">
        <v>64</v>
      </c>
      <c r="AH249" s="997">
        <v>6</v>
      </c>
      <c r="AI249" s="998">
        <f t="shared" si="95"/>
        <v>153</v>
      </c>
      <c r="AJ249" s="993">
        <f t="shared" si="96"/>
        <v>1.0501029512697324</v>
      </c>
    </row>
    <row r="250" spans="1:36" ht="16.5" customHeight="1">
      <c r="A250" s="999">
        <f>'09월 조업일지'!A248</f>
        <v>46274</v>
      </c>
      <c r="B250" s="1099">
        <f>'09월 조업일지'!B248</f>
        <v>46274</v>
      </c>
      <c r="C250" s="1000" t="str">
        <f>'09월 화학성분'!D248</f>
        <v>C</v>
      </c>
      <c r="D250" s="1000" t="str">
        <f>'09월 화학성분'!E248</f>
        <v>A</v>
      </c>
      <c r="E250" s="1000">
        <f>'09월 화학성분'!C248</f>
        <v>85450</v>
      </c>
      <c r="F250" s="1001" t="str">
        <f t="shared" si="82"/>
        <v>S355JO-01</v>
      </c>
      <c r="G250" s="1172">
        <v>18.399999999999999</v>
      </c>
      <c r="H250" s="985">
        <v>23100</v>
      </c>
      <c r="I250" s="1173">
        <v>17</v>
      </c>
      <c r="J250" s="985">
        <v>20400</v>
      </c>
      <c r="K250" s="1173">
        <v>7.1</v>
      </c>
      <c r="L250" s="985">
        <v>9100</v>
      </c>
      <c r="M250" s="1174">
        <f t="shared" si="83"/>
        <v>42.5</v>
      </c>
      <c r="N250" s="984">
        <f t="shared" si="84"/>
        <v>52600</v>
      </c>
      <c r="O250" s="986">
        <f t="shared" si="85"/>
        <v>164.0625</v>
      </c>
      <c r="P250" s="987">
        <f t="shared" si="86"/>
        <v>144.88636363636363</v>
      </c>
      <c r="Q250" s="987">
        <f t="shared" si="87"/>
        <v>64.630681818181813</v>
      </c>
      <c r="R250" s="988">
        <f t="shared" si="88"/>
        <v>373.57954545454544</v>
      </c>
      <c r="S250" s="989">
        <v>140.80000000000001</v>
      </c>
      <c r="T250" s="990">
        <v>0</v>
      </c>
      <c r="U250" s="991">
        <v>58</v>
      </c>
      <c r="V250" s="991">
        <v>274</v>
      </c>
      <c r="W250" s="992">
        <f t="shared" si="89"/>
        <v>332</v>
      </c>
      <c r="X250" s="993">
        <f t="shared" si="90"/>
        <v>2.3579545454545454</v>
      </c>
      <c r="Y250" s="990">
        <v>1505</v>
      </c>
      <c r="Z250" s="991">
        <v>1364</v>
      </c>
      <c r="AA250" s="991">
        <v>746</v>
      </c>
      <c r="AB250" s="992">
        <f t="shared" si="91"/>
        <v>3615</v>
      </c>
      <c r="AC250" s="993">
        <f t="shared" si="92"/>
        <v>25.674715909090907</v>
      </c>
      <c r="AD250" s="994">
        <f t="shared" si="93"/>
        <v>3947</v>
      </c>
      <c r="AE250" s="995">
        <f t="shared" si="94"/>
        <v>28.032670454545453</v>
      </c>
      <c r="AF250" s="996">
        <v>74</v>
      </c>
      <c r="AG250" s="997">
        <v>63</v>
      </c>
      <c r="AH250" s="997">
        <v>5</v>
      </c>
      <c r="AI250" s="998">
        <f t="shared" si="95"/>
        <v>142</v>
      </c>
      <c r="AJ250" s="993">
        <f t="shared" si="96"/>
        <v>1.0085227272727273</v>
      </c>
    </row>
    <row r="251" spans="1:36" ht="16.5" customHeight="1">
      <c r="A251" s="999">
        <f>'09월 조업일지'!A249</f>
        <v>46274</v>
      </c>
      <c r="B251" s="1099">
        <f>'09월 조업일지'!B249</f>
        <v>46274</v>
      </c>
      <c r="C251" s="1000" t="str">
        <f>'09월 화학성분'!D249</f>
        <v>C</v>
      </c>
      <c r="D251" s="1000" t="str">
        <f>'09월 화학성분'!E249</f>
        <v>B</v>
      </c>
      <c r="E251" s="1000">
        <f>'09월 화학성분'!C249</f>
        <v>85451</v>
      </c>
      <c r="F251" s="1001" t="str">
        <f t="shared" si="82"/>
        <v>S355JO-01</v>
      </c>
      <c r="G251" s="1172">
        <v>19.100000000000001</v>
      </c>
      <c r="H251" s="985">
        <v>23200</v>
      </c>
      <c r="I251" s="1173">
        <v>16.600000000000001</v>
      </c>
      <c r="J251" s="985">
        <v>20300</v>
      </c>
      <c r="K251" s="1173">
        <v>12.7</v>
      </c>
      <c r="L251" s="985">
        <v>15900</v>
      </c>
      <c r="M251" s="1174">
        <f t="shared" si="83"/>
        <v>48.400000000000006</v>
      </c>
      <c r="N251" s="984">
        <f t="shared" si="84"/>
        <v>59400</v>
      </c>
      <c r="O251" s="986">
        <f t="shared" si="85"/>
        <v>158.79534565366188</v>
      </c>
      <c r="P251" s="987">
        <f t="shared" si="86"/>
        <v>138.94592744695416</v>
      </c>
      <c r="Q251" s="987">
        <f t="shared" si="87"/>
        <v>108.82956878850104</v>
      </c>
      <c r="R251" s="988">
        <f t="shared" si="88"/>
        <v>406.57084188911705</v>
      </c>
      <c r="S251" s="989">
        <v>146.1</v>
      </c>
      <c r="T251" s="990">
        <v>0</v>
      </c>
      <c r="U251" s="991">
        <v>28</v>
      </c>
      <c r="V251" s="991">
        <v>296</v>
      </c>
      <c r="W251" s="992">
        <f t="shared" si="89"/>
        <v>324</v>
      </c>
      <c r="X251" s="993">
        <f t="shared" si="90"/>
        <v>2.2176591375770021</v>
      </c>
      <c r="Y251" s="990">
        <v>1555</v>
      </c>
      <c r="Z251" s="991">
        <v>1369</v>
      </c>
      <c r="AA251" s="991">
        <v>938</v>
      </c>
      <c r="AB251" s="992">
        <f t="shared" si="91"/>
        <v>3862</v>
      </c>
      <c r="AC251" s="993">
        <f t="shared" si="92"/>
        <v>26.433949349760439</v>
      </c>
      <c r="AD251" s="994">
        <f t="shared" si="93"/>
        <v>4186</v>
      </c>
      <c r="AE251" s="995">
        <f t="shared" si="94"/>
        <v>28.651608487337441</v>
      </c>
      <c r="AF251" s="996">
        <v>81</v>
      </c>
      <c r="AG251" s="997">
        <v>64</v>
      </c>
      <c r="AH251" s="997">
        <v>12</v>
      </c>
      <c r="AI251" s="998">
        <f t="shared" si="95"/>
        <v>157</v>
      </c>
      <c r="AJ251" s="993">
        <f t="shared" si="96"/>
        <v>1.0746064339493497</v>
      </c>
    </row>
    <row r="252" spans="1:36" ht="16.5" customHeight="1">
      <c r="A252" s="999">
        <f>'09월 조업일지'!A250</f>
        <v>46274</v>
      </c>
      <c r="B252" s="1099">
        <f>'09월 조업일지'!B250</f>
        <v>46274</v>
      </c>
      <c r="C252" s="1000" t="str">
        <f>'09월 화학성분'!D250</f>
        <v>C</v>
      </c>
      <c r="D252" s="1000" t="str">
        <f>'09월 화학성분'!E250</f>
        <v>A</v>
      </c>
      <c r="E252" s="1000">
        <f>'09월 화학성분'!C250</f>
        <v>85452</v>
      </c>
      <c r="F252" s="1104" t="s">
        <v>668</v>
      </c>
      <c r="G252" s="1172">
        <v>18.8</v>
      </c>
      <c r="H252" s="985">
        <v>23400</v>
      </c>
      <c r="I252" s="1173">
        <v>16.8</v>
      </c>
      <c r="J252" s="985">
        <v>20400</v>
      </c>
      <c r="K252" s="1173">
        <v>7.2</v>
      </c>
      <c r="L252" s="985">
        <v>9200</v>
      </c>
      <c r="M252" s="1174">
        <f t="shared" si="83"/>
        <v>42.800000000000004</v>
      </c>
      <c r="N252" s="984">
        <f t="shared" si="84"/>
        <v>53000</v>
      </c>
      <c r="O252" s="986">
        <f t="shared" si="85"/>
        <v>160.97963676389651</v>
      </c>
      <c r="P252" s="987">
        <f t="shared" si="86"/>
        <v>140.34122179416619</v>
      </c>
      <c r="Q252" s="987">
        <f t="shared" si="87"/>
        <v>63.291139240506325</v>
      </c>
      <c r="R252" s="988">
        <f t="shared" si="88"/>
        <v>364.61199779856901</v>
      </c>
      <c r="S252" s="989">
        <v>145.36000000000001</v>
      </c>
      <c r="T252" s="990">
        <v>0</v>
      </c>
      <c r="U252" s="991">
        <v>89</v>
      </c>
      <c r="V252" s="991">
        <v>248</v>
      </c>
      <c r="W252" s="992">
        <f t="shared" si="89"/>
        <v>337</v>
      </c>
      <c r="X252" s="993">
        <f t="shared" si="90"/>
        <v>2.318381948266373</v>
      </c>
      <c r="Y252" s="990">
        <v>1583</v>
      </c>
      <c r="Z252" s="991">
        <v>1354</v>
      </c>
      <c r="AA252" s="991">
        <v>705</v>
      </c>
      <c r="AB252" s="992">
        <f t="shared" si="91"/>
        <v>3642</v>
      </c>
      <c r="AC252" s="993">
        <f t="shared" si="92"/>
        <v>25.055035773252612</v>
      </c>
      <c r="AD252" s="994">
        <f t="shared" si="93"/>
        <v>3979</v>
      </c>
      <c r="AE252" s="995">
        <f t="shared" si="94"/>
        <v>27.373417721518983</v>
      </c>
      <c r="AF252" s="996">
        <v>78</v>
      </c>
      <c r="AG252" s="997">
        <v>63</v>
      </c>
      <c r="AH252" s="997">
        <v>6</v>
      </c>
      <c r="AI252" s="998">
        <f t="shared" si="95"/>
        <v>147</v>
      </c>
      <c r="AJ252" s="993">
        <f t="shared" si="96"/>
        <v>1.0112823335167858</v>
      </c>
    </row>
    <row r="253" spans="1:36" ht="16.5" customHeight="1">
      <c r="A253" s="999">
        <f>'09월 조업일지'!A251</f>
        <v>46274</v>
      </c>
      <c r="B253" s="1099">
        <f>'09월 조업일지'!B251</f>
        <v>46274</v>
      </c>
      <c r="C253" s="1000" t="str">
        <f>'09월 화학성분'!D251</f>
        <v>C</v>
      </c>
      <c r="D253" s="1000" t="str">
        <f>'09월 화학성분'!E251</f>
        <v>B</v>
      </c>
      <c r="E253" s="1000">
        <f>'09월 화학성분'!C251</f>
        <v>85453</v>
      </c>
      <c r="F253" s="1001" t="str">
        <f t="shared" si="82"/>
        <v>SHN275(BB)</v>
      </c>
      <c r="G253" s="1172">
        <v>19.8</v>
      </c>
      <c r="H253" s="985">
        <v>24400</v>
      </c>
      <c r="I253" s="1173">
        <v>16.5</v>
      </c>
      <c r="J253" s="985">
        <v>20500</v>
      </c>
      <c r="K253" s="1173">
        <v>9.6999999999999993</v>
      </c>
      <c r="L253" s="985">
        <v>12400</v>
      </c>
      <c r="M253" s="1174">
        <f t="shared" si="83"/>
        <v>46</v>
      </c>
      <c r="N253" s="984">
        <f t="shared" si="84"/>
        <v>57300</v>
      </c>
      <c r="O253" s="986">
        <f t="shared" si="85"/>
        <v>167.12328767123287</v>
      </c>
      <c r="P253" s="987">
        <f t="shared" si="86"/>
        <v>140.41095890410958</v>
      </c>
      <c r="Q253" s="987">
        <f t="shared" si="87"/>
        <v>84.93150684931507</v>
      </c>
      <c r="R253" s="988">
        <f t="shared" si="88"/>
        <v>392.46575342465746</v>
      </c>
      <c r="S253" s="989">
        <v>146</v>
      </c>
      <c r="T253" s="990">
        <v>0</v>
      </c>
      <c r="U253" s="991">
        <v>106</v>
      </c>
      <c r="V253" s="991">
        <v>256</v>
      </c>
      <c r="W253" s="992">
        <f t="shared" si="89"/>
        <v>362</v>
      </c>
      <c r="X253" s="993">
        <f t="shared" si="90"/>
        <v>2.4794520547945207</v>
      </c>
      <c r="Y253" s="990">
        <v>1702</v>
      </c>
      <c r="Z253" s="991">
        <v>1373</v>
      </c>
      <c r="AA253" s="991">
        <v>757</v>
      </c>
      <c r="AB253" s="992">
        <f t="shared" si="91"/>
        <v>3832</v>
      </c>
      <c r="AC253" s="993">
        <f t="shared" si="92"/>
        <v>26.246575342465754</v>
      </c>
      <c r="AD253" s="994">
        <f t="shared" si="93"/>
        <v>4194</v>
      </c>
      <c r="AE253" s="995">
        <f t="shared" si="94"/>
        <v>28.726027397260275</v>
      </c>
      <c r="AF253" s="996">
        <v>83</v>
      </c>
      <c r="AG253" s="997">
        <v>63</v>
      </c>
      <c r="AH253" s="997">
        <v>6</v>
      </c>
      <c r="AI253" s="998">
        <f t="shared" si="95"/>
        <v>152</v>
      </c>
      <c r="AJ253" s="993">
        <f t="shared" si="96"/>
        <v>1.0410958904109588</v>
      </c>
    </row>
    <row r="254" spans="1:36" ht="16.5" customHeight="1">
      <c r="A254" s="999">
        <f>'09월 조업일지'!A252</f>
        <v>46274</v>
      </c>
      <c r="B254" s="1099">
        <f>'09월 조업일지'!B252</f>
        <v>46274</v>
      </c>
      <c r="C254" s="1000" t="str">
        <f>'09월 화학성분'!D252</f>
        <v>C</v>
      </c>
      <c r="D254" s="1000" t="str">
        <f>'09월 화학성분'!E252</f>
        <v>A</v>
      </c>
      <c r="E254" s="1000">
        <f>'09월 화학성분'!C252</f>
        <v>85454</v>
      </c>
      <c r="F254" s="1001" t="str">
        <f t="shared" si="82"/>
        <v>SHN275(BB)</v>
      </c>
      <c r="G254" s="1172">
        <v>17.600000000000001</v>
      </c>
      <c r="H254" s="985">
        <v>22600</v>
      </c>
      <c r="I254" s="1173">
        <v>15.9</v>
      </c>
      <c r="J254" s="985">
        <v>20400</v>
      </c>
      <c r="K254" s="1173">
        <v>12.4</v>
      </c>
      <c r="L254" s="985">
        <v>15800</v>
      </c>
      <c r="M254" s="1174">
        <f t="shared" si="83"/>
        <v>45.9</v>
      </c>
      <c r="N254" s="984">
        <f t="shared" si="84"/>
        <v>58800</v>
      </c>
      <c r="O254" s="986">
        <f t="shared" si="85"/>
        <v>156.8355308813324</v>
      </c>
      <c r="P254" s="987">
        <f t="shared" si="86"/>
        <v>141.56835530881332</v>
      </c>
      <c r="Q254" s="987">
        <f t="shared" si="87"/>
        <v>109.64607911172797</v>
      </c>
      <c r="R254" s="988">
        <f t="shared" si="88"/>
        <v>408.04996530187373</v>
      </c>
      <c r="S254" s="989">
        <v>144.1</v>
      </c>
      <c r="T254" s="990">
        <v>0</v>
      </c>
      <c r="U254" s="991">
        <v>0</v>
      </c>
      <c r="V254" s="991">
        <v>361</v>
      </c>
      <c r="W254" s="992">
        <f t="shared" si="89"/>
        <v>361</v>
      </c>
      <c r="X254" s="993">
        <f t="shared" si="90"/>
        <v>2.5052047189451772</v>
      </c>
      <c r="Y254" s="990">
        <v>1435</v>
      </c>
      <c r="Z254" s="991">
        <v>1321</v>
      </c>
      <c r="AA254" s="991">
        <v>1108</v>
      </c>
      <c r="AB254" s="992">
        <f t="shared" si="91"/>
        <v>3864</v>
      </c>
      <c r="AC254" s="993">
        <f t="shared" si="92"/>
        <v>26.814712005551701</v>
      </c>
      <c r="AD254" s="994">
        <f t="shared" si="93"/>
        <v>4225</v>
      </c>
      <c r="AE254" s="995">
        <f t="shared" si="94"/>
        <v>29.319916724496878</v>
      </c>
      <c r="AF254" s="996">
        <v>73</v>
      </c>
      <c r="AG254" s="997">
        <v>61</v>
      </c>
      <c r="AH254" s="997">
        <v>9</v>
      </c>
      <c r="AI254" s="998">
        <f t="shared" si="95"/>
        <v>143</v>
      </c>
      <c r="AJ254" s="993">
        <f t="shared" si="96"/>
        <v>0.99236641221374045</v>
      </c>
    </row>
    <row r="255" spans="1:36" ht="16.5" customHeight="1">
      <c r="A255" s="999">
        <f>'09월 조업일지'!A253</f>
        <v>46274</v>
      </c>
      <c r="B255" s="1099">
        <f>'09월 조업일지'!B253</f>
        <v>46274</v>
      </c>
      <c r="C255" s="1000" t="str">
        <f>'09월 화학성분'!D253</f>
        <v>C</v>
      </c>
      <c r="D255" s="1000" t="str">
        <f>'09월 화학성분'!E253</f>
        <v>B</v>
      </c>
      <c r="E255" s="1000">
        <f>'09월 화학성분'!C253</f>
        <v>85455</v>
      </c>
      <c r="F255" s="1104" t="s">
        <v>735</v>
      </c>
      <c r="G255" s="1172">
        <v>19.3</v>
      </c>
      <c r="H255" s="985">
        <v>23300</v>
      </c>
      <c r="I255" s="1173">
        <v>16.3</v>
      </c>
      <c r="J255" s="985">
        <v>20600</v>
      </c>
      <c r="K255" s="1173">
        <v>9.6</v>
      </c>
      <c r="L255" s="985">
        <v>12300</v>
      </c>
      <c r="M255" s="1174">
        <f t="shared" si="83"/>
        <v>45.2</v>
      </c>
      <c r="N255" s="984">
        <f t="shared" si="84"/>
        <v>56200</v>
      </c>
      <c r="O255" s="986">
        <f t="shared" si="85"/>
        <v>160.578911095796</v>
      </c>
      <c r="P255" s="987">
        <f t="shared" si="86"/>
        <v>141.9710544452102</v>
      </c>
      <c r="Q255" s="987">
        <f t="shared" si="87"/>
        <v>84.769124741557548</v>
      </c>
      <c r="R255" s="988">
        <f t="shared" si="88"/>
        <v>387.31909028256376</v>
      </c>
      <c r="S255" s="989">
        <v>145.1</v>
      </c>
      <c r="T255" s="990">
        <v>0</v>
      </c>
      <c r="U255" s="991">
        <v>54</v>
      </c>
      <c r="V255" s="991">
        <v>271</v>
      </c>
      <c r="W255" s="992">
        <f t="shared" si="89"/>
        <v>325</v>
      </c>
      <c r="X255" s="993">
        <f t="shared" si="90"/>
        <v>2.2398345968297728</v>
      </c>
      <c r="Y255" s="990">
        <v>1611</v>
      </c>
      <c r="Z255" s="991">
        <v>1375</v>
      </c>
      <c r="AA255" s="991">
        <v>782</v>
      </c>
      <c r="AB255" s="992">
        <f t="shared" si="91"/>
        <v>3768</v>
      </c>
      <c r="AC255" s="993">
        <f t="shared" si="92"/>
        <v>25.96829772570641</v>
      </c>
      <c r="AD255" s="994">
        <f t="shared" si="93"/>
        <v>4093</v>
      </c>
      <c r="AE255" s="995">
        <f t="shared" si="94"/>
        <v>28.208132322536184</v>
      </c>
      <c r="AF255" s="996">
        <v>82</v>
      </c>
      <c r="AG255" s="997">
        <v>60</v>
      </c>
      <c r="AH255" s="997">
        <v>7</v>
      </c>
      <c r="AI255" s="998">
        <f t="shared" si="95"/>
        <v>149</v>
      </c>
      <c r="AJ255" s="993">
        <f t="shared" si="96"/>
        <v>1.0268780151619572</v>
      </c>
    </row>
    <row r="256" spans="1:36" ht="16.5" customHeight="1">
      <c r="A256" s="999">
        <f>'09월 조업일지'!A254</f>
        <v>46274</v>
      </c>
      <c r="B256" s="1099">
        <f>'09월 조업일지'!B254</f>
        <v>46274</v>
      </c>
      <c r="C256" s="1000" t="str">
        <f>'09월 화학성분'!D254</f>
        <v>C</v>
      </c>
      <c r="D256" s="1000" t="str">
        <f>'09월 화학성분'!E254</f>
        <v>A</v>
      </c>
      <c r="E256" s="1000">
        <f>'09월 화학성분'!C254</f>
        <v>85456</v>
      </c>
      <c r="F256" s="1001" t="str">
        <f t="shared" si="82"/>
        <v>SHP275W</v>
      </c>
      <c r="G256" s="1172">
        <v>18.7</v>
      </c>
      <c r="H256" s="985">
        <v>22800</v>
      </c>
      <c r="I256" s="1173">
        <v>16.5</v>
      </c>
      <c r="J256" s="985">
        <v>20400</v>
      </c>
      <c r="K256" s="1173">
        <v>12.2</v>
      </c>
      <c r="L256" s="985">
        <v>15100</v>
      </c>
      <c r="M256" s="1174">
        <f t="shared" si="83"/>
        <v>47.400000000000006</v>
      </c>
      <c r="N256" s="984">
        <f t="shared" si="84"/>
        <v>58300</v>
      </c>
      <c r="O256" s="986">
        <f t="shared" si="85"/>
        <v>158.66388308977037</v>
      </c>
      <c r="P256" s="987">
        <f t="shared" si="86"/>
        <v>141.96242171189979</v>
      </c>
      <c r="Q256" s="987">
        <f t="shared" si="87"/>
        <v>105.08002783576897</v>
      </c>
      <c r="R256" s="988">
        <f t="shared" si="88"/>
        <v>405.70633263743912</v>
      </c>
      <c r="S256" s="989">
        <v>143.69999999999999</v>
      </c>
      <c r="T256" s="990">
        <v>0</v>
      </c>
      <c r="U256" s="991">
        <v>82</v>
      </c>
      <c r="V256" s="991">
        <v>287</v>
      </c>
      <c r="W256" s="992">
        <f t="shared" si="89"/>
        <v>369</v>
      </c>
      <c r="X256" s="993">
        <f t="shared" si="90"/>
        <v>2.5678496868475995</v>
      </c>
      <c r="Y256" s="990">
        <v>1513</v>
      </c>
      <c r="Z256" s="991">
        <v>1350</v>
      </c>
      <c r="AA256" s="991">
        <v>1084</v>
      </c>
      <c r="AB256" s="992">
        <f t="shared" si="91"/>
        <v>3947</v>
      </c>
      <c r="AC256" s="993">
        <f t="shared" si="92"/>
        <v>27.466945024356299</v>
      </c>
      <c r="AD256" s="994">
        <f t="shared" si="93"/>
        <v>4316</v>
      </c>
      <c r="AE256" s="995">
        <f t="shared" si="94"/>
        <v>30.034794711203901</v>
      </c>
      <c r="AF256" s="996">
        <v>79</v>
      </c>
      <c r="AG256" s="997">
        <v>60</v>
      </c>
      <c r="AH256" s="997">
        <v>10</v>
      </c>
      <c r="AI256" s="998">
        <f t="shared" si="95"/>
        <v>149</v>
      </c>
      <c r="AJ256" s="993">
        <f t="shared" si="96"/>
        <v>1.0368823938761309</v>
      </c>
    </row>
    <row r="257" spans="1:36" ht="16.5" customHeight="1">
      <c r="A257" s="999">
        <f>'09월 조업일지'!A255</f>
        <v>46274</v>
      </c>
      <c r="B257" s="1099">
        <f>'09월 조업일지'!B255</f>
        <v>46274</v>
      </c>
      <c r="C257" s="1000" t="str">
        <f>'09월 화학성분'!D255</f>
        <v>D</v>
      </c>
      <c r="D257" s="1000" t="str">
        <f>'09월 화학성분'!E255</f>
        <v>B</v>
      </c>
      <c r="E257" s="1000">
        <f>'09월 화학성분'!C255</f>
        <v>85457</v>
      </c>
      <c r="F257" s="1001" t="str">
        <f t="shared" si="82"/>
        <v>SHP275W</v>
      </c>
      <c r="G257" s="1172">
        <v>20.5</v>
      </c>
      <c r="H257" s="985">
        <v>23800</v>
      </c>
      <c r="I257" s="1173">
        <v>16.8</v>
      </c>
      <c r="J257" s="985">
        <v>20500</v>
      </c>
      <c r="K257" s="1173">
        <v>7.9</v>
      </c>
      <c r="L257" s="985">
        <v>10000</v>
      </c>
      <c r="M257" s="1174">
        <f t="shared" si="83"/>
        <v>45.199999999999996</v>
      </c>
      <c r="N257" s="984">
        <f t="shared" si="84"/>
        <v>54300</v>
      </c>
      <c r="O257" s="986">
        <f t="shared" si="85"/>
        <v>162.12534059945503</v>
      </c>
      <c r="P257" s="987">
        <f t="shared" si="86"/>
        <v>139.64577656675749</v>
      </c>
      <c r="Q257" s="987">
        <f t="shared" si="87"/>
        <v>68.119891008174378</v>
      </c>
      <c r="R257" s="988">
        <f t="shared" si="88"/>
        <v>369.89100817438691</v>
      </c>
      <c r="S257" s="989">
        <v>146.80000000000001</v>
      </c>
      <c r="T257" s="990">
        <v>0</v>
      </c>
      <c r="U257" s="991">
        <v>53</v>
      </c>
      <c r="V257" s="991">
        <v>289</v>
      </c>
      <c r="W257" s="992">
        <f t="shared" si="89"/>
        <v>342</v>
      </c>
      <c r="X257" s="993">
        <f t="shared" si="90"/>
        <v>2.3297002724795637</v>
      </c>
      <c r="Y257" s="990">
        <v>1695</v>
      </c>
      <c r="Z257" s="991">
        <v>1373</v>
      </c>
      <c r="AA257" s="991">
        <v>737</v>
      </c>
      <c r="AB257" s="992">
        <f t="shared" si="91"/>
        <v>3805</v>
      </c>
      <c r="AC257" s="993">
        <f t="shared" si="92"/>
        <v>25.919618528610354</v>
      </c>
      <c r="AD257" s="994">
        <f t="shared" si="93"/>
        <v>4147</v>
      </c>
      <c r="AE257" s="995">
        <f t="shared" si="94"/>
        <v>28.249318801089917</v>
      </c>
      <c r="AF257" s="996">
        <v>84</v>
      </c>
      <c r="AG257" s="997">
        <v>64</v>
      </c>
      <c r="AH257" s="997">
        <v>6</v>
      </c>
      <c r="AI257" s="998">
        <f t="shared" si="95"/>
        <v>154</v>
      </c>
      <c r="AJ257" s="993">
        <f t="shared" si="96"/>
        <v>1.0490463215258854</v>
      </c>
    </row>
    <row r="258" spans="1:36" ht="16.5" customHeight="1">
      <c r="A258" s="999">
        <f>'09월 조업일지'!A256</f>
        <v>46274</v>
      </c>
      <c r="B258" s="1099">
        <f>'09월 조업일지'!B256</f>
        <v>46274</v>
      </c>
      <c r="C258" s="1000" t="str">
        <f>'09월 화학성분'!D256</f>
        <v>D</v>
      </c>
      <c r="D258" s="1000" t="str">
        <f>'09월 화학성분'!E256</f>
        <v>A</v>
      </c>
      <c r="E258" s="1000">
        <f>'09월 화학성분'!C256</f>
        <v>85458</v>
      </c>
      <c r="F258" s="1001" t="str">
        <f t="shared" si="82"/>
        <v>SHP275W</v>
      </c>
      <c r="G258" s="1172">
        <v>17.7</v>
      </c>
      <c r="H258" s="985">
        <v>22500</v>
      </c>
      <c r="I258" s="1173">
        <v>16.3</v>
      </c>
      <c r="J258" s="985">
        <v>20400</v>
      </c>
      <c r="K258" s="1173">
        <v>10</v>
      </c>
      <c r="L258" s="985">
        <v>13000</v>
      </c>
      <c r="M258" s="1174">
        <f t="shared" si="83"/>
        <v>44</v>
      </c>
      <c r="N258" s="984">
        <f t="shared" si="84"/>
        <v>55900</v>
      </c>
      <c r="O258" s="986">
        <f t="shared" si="85"/>
        <v>157.23270440251574</v>
      </c>
      <c r="P258" s="987">
        <f t="shared" si="86"/>
        <v>142.55765199161425</v>
      </c>
      <c r="Q258" s="987">
        <f t="shared" si="87"/>
        <v>90.845562543675754</v>
      </c>
      <c r="R258" s="988">
        <f t="shared" si="88"/>
        <v>390.63591893780574</v>
      </c>
      <c r="S258" s="989">
        <v>143.1</v>
      </c>
      <c r="T258" s="990">
        <v>0</v>
      </c>
      <c r="U258" s="991">
        <v>0</v>
      </c>
      <c r="V258" s="991">
        <v>346</v>
      </c>
      <c r="W258" s="992">
        <f t="shared" si="89"/>
        <v>346</v>
      </c>
      <c r="X258" s="993">
        <f t="shared" si="90"/>
        <v>2.4178895877009086</v>
      </c>
      <c r="Y258" s="990">
        <v>1425</v>
      </c>
      <c r="Z258" s="991">
        <v>1366</v>
      </c>
      <c r="AA258" s="991">
        <v>729</v>
      </c>
      <c r="AB258" s="992">
        <f t="shared" si="91"/>
        <v>3520</v>
      </c>
      <c r="AC258" s="993">
        <f t="shared" si="92"/>
        <v>24.598183088749128</v>
      </c>
      <c r="AD258" s="994">
        <f t="shared" si="93"/>
        <v>3866</v>
      </c>
      <c r="AE258" s="995">
        <f t="shared" si="94"/>
        <v>27.016072676450037</v>
      </c>
      <c r="AF258" s="996">
        <v>74</v>
      </c>
      <c r="AG258" s="997">
        <v>62</v>
      </c>
      <c r="AH258" s="997">
        <v>5</v>
      </c>
      <c r="AI258" s="998">
        <f t="shared" si="95"/>
        <v>141</v>
      </c>
      <c r="AJ258" s="993">
        <f t="shared" si="96"/>
        <v>0.98532494758909861</v>
      </c>
    </row>
    <row r="259" spans="1:36" ht="16.5" customHeight="1">
      <c r="A259" s="999">
        <f>'09월 조업일지'!A257</f>
        <v>46274</v>
      </c>
      <c r="B259" s="1099">
        <f>'09월 조업일지'!B257</f>
        <v>46274</v>
      </c>
      <c r="C259" s="1000" t="str">
        <f>'09월 화학성분'!D257</f>
        <v>D</v>
      </c>
      <c r="D259" s="1000" t="str">
        <f>'09월 화학성분'!E257</f>
        <v>B</v>
      </c>
      <c r="E259" s="1000">
        <f>'09월 화학성분'!C257</f>
        <v>85459</v>
      </c>
      <c r="F259" s="1104" t="s">
        <v>664</v>
      </c>
      <c r="G259" s="1172">
        <v>17.600000000000001</v>
      </c>
      <c r="H259" s="985">
        <v>22300</v>
      </c>
      <c r="I259" s="1173">
        <v>16.8</v>
      </c>
      <c r="J259" s="985">
        <v>20400</v>
      </c>
      <c r="K259" s="1173">
        <v>9.3000000000000007</v>
      </c>
      <c r="L259" s="985">
        <v>11900</v>
      </c>
      <c r="M259" s="1174">
        <f t="shared" si="83"/>
        <v>43.7</v>
      </c>
      <c r="N259" s="984">
        <f t="shared" si="84"/>
        <v>54600</v>
      </c>
      <c r="O259" s="986">
        <f t="shared" si="85"/>
        <v>153.37001375515817</v>
      </c>
      <c r="P259" s="987">
        <f t="shared" si="86"/>
        <v>140.30261348005502</v>
      </c>
      <c r="Q259" s="987">
        <f t="shared" si="87"/>
        <v>81.843191196698754</v>
      </c>
      <c r="R259" s="988">
        <f t="shared" si="88"/>
        <v>375.51581843191195</v>
      </c>
      <c r="S259" s="989">
        <v>145.4</v>
      </c>
      <c r="T259" s="990">
        <v>0</v>
      </c>
      <c r="U259" s="991">
        <v>0</v>
      </c>
      <c r="V259" s="991">
        <v>345</v>
      </c>
      <c r="W259" s="992">
        <f t="shared" si="89"/>
        <v>345</v>
      </c>
      <c r="X259" s="993">
        <f t="shared" si="90"/>
        <v>2.3727647867950479</v>
      </c>
      <c r="Y259" s="990">
        <v>1449</v>
      </c>
      <c r="Z259" s="991">
        <v>1410</v>
      </c>
      <c r="AA259" s="991">
        <v>877</v>
      </c>
      <c r="AB259" s="992">
        <f t="shared" si="91"/>
        <v>3736</v>
      </c>
      <c r="AC259" s="993">
        <f t="shared" si="92"/>
        <v>25.694635488308116</v>
      </c>
      <c r="AD259" s="994">
        <f t="shared" si="93"/>
        <v>4081</v>
      </c>
      <c r="AE259" s="995">
        <f t="shared" si="94"/>
        <v>28.067400275103161</v>
      </c>
      <c r="AF259" s="996">
        <v>78</v>
      </c>
      <c r="AG259" s="997">
        <v>66</v>
      </c>
      <c r="AH259" s="997">
        <v>8</v>
      </c>
      <c r="AI259" s="998">
        <f t="shared" si="95"/>
        <v>152</v>
      </c>
      <c r="AJ259" s="993">
        <f t="shared" si="96"/>
        <v>1.0453920220082531</v>
      </c>
    </row>
    <row r="260" spans="1:36" ht="16.5" customHeight="1">
      <c r="A260" s="999">
        <f>'09월 조업일지'!A258</f>
        <v>46274</v>
      </c>
      <c r="B260" s="1099">
        <f>'09월 조업일지'!B258</f>
        <v>46274</v>
      </c>
      <c r="C260" s="1000" t="str">
        <f>'09월 화학성분'!D258</f>
        <v>D</v>
      </c>
      <c r="D260" s="1000" t="str">
        <f>'09월 화학성분'!E258</f>
        <v>A</v>
      </c>
      <c r="E260" s="1000">
        <f>'09월 화학성분'!C258</f>
        <v>85460</v>
      </c>
      <c r="F260" s="1104" t="s">
        <v>654</v>
      </c>
      <c r="G260" s="1172">
        <v>17.100000000000001</v>
      </c>
      <c r="H260" s="985">
        <v>22400</v>
      </c>
      <c r="I260" s="1173">
        <v>15.8</v>
      </c>
      <c r="J260" s="985">
        <v>20800</v>
      </c>
      <c r="K260" s="1173">
        <v>9</v>
      </c>
      <c r="L260" s="985">
        <v>11500</v>
      </c>
      <c r="M260" s="1174">
        <f t="shared" si="83"/>
        <v>41.900000000000006</v>
      </c>
      <c r="N260" s="984">
        <f t="shared" si="84"/>
        <v>54700</v>
      </c>
      <c r="O260" s="986">
        <f t="shared" si="85"/>
        <v>154.69613259668506</v>
      </c>
      <c r="P260" s="987">
        <f t="shared" si="86"/>
        <v>143.64640883977899</v>
      </c>
      <c r="Q260" s="987">
        <f t="shared" si="87"/>
        <v>79.41988950276243</v>
      </c>
      <c r="R260" s="988">
        <f t="shared" si="88"/>
        <v>377.76243093922648</v>
      </c>
      <c r="S260" s="989">
        <v>144.80000000000001</v>
      </c>
      <c r="T260" s="990">
        <v>0</v>
      </c>
      <c r="U260" s="991">
        <v>10</v>
      </c>
      <c r="V260" s="991">
        <v>314</v>
      </c>
      <c r="W260" s="992">
        <f t="shared" si="89"/>
        <v>324</v>
      </c>
      <c r="X260" s="993">
        <f t="shared" si="90"/>
        <v>2.2375690607734806</v>
      </c>
      <c r="Y260" s="990">
        <v>1434</v>
      </c>
      <c r="Z260" s="991">
        <v>1346</v>
      </c>
      <c r="AA260" s="991">
        <v>814</v>
      </c>
      <c r="AB260" s="992">
        <f t="shared" si="91"/>
        <v>3594</v>
      </c>
      <c r="AC260" s="993">
        <f t="shared" si="92"/>
        <v>24.820441988950275</v>
      </c>
      <c r="AD260" s="994">
        <f t="shared" si="93"/>
        <v>3918</v>
      </c>
      <c r="AE260" s="995">
        <f t="shared" si="94"/>
        <v>27.058011049723756</v>
      </c>
      <c r="AF260" s="996">
        <v>74</v>
      </c>
      <c r="AG260" s="997">
        <v>58</v>
      </c>
      <c r="AH260" s="997">
        <v>7</v>
      </c>
      <c r="AI260" s="998">
        <f t="shared" si="95"/>
        <v>139</v>
      </c>
      <c r="AJ260" s="993">
        <f t="shared" si="96"/>
        <v>0.95994475138121538</v>
      </c>
    </row>
    <row r="261" spans="1:36" ht="16.5" customHeight="1">
      <c r="A261" s="999">
        <f>'09월 조업일지'!A259</f>
        <v>46274</v>
      </c>
      <c r="B261" s="1099">
        <f>'09월 조업일지'!B259</f>
        <v>46274</v>
      </c>
      <c r="C261" s="1000" t="str">
        <f>'09월 화학성분'!D259</f>
        <v>D</v>
      </c>
      <c r="D261" s="1000" t="str">
        <f>'09월 화학성분'!E259</f>
        <v>B</v>
      </c>
      <c r="E261" s="1000">
        <f>'09월 화학성분'!C259</f>
        <v>85461</v>
      </c>
      <c r="F261" s="1104" t="s">
        <v>743</v>
      </c>
      <c r="G261" s="1172">
        <v>19.7</v>
      </c>
      <c r="H261" s="985">
        <v>23100</v>
      </c>
      <c r="I261" s="1173">
        <v>16.5</v>
      </c>
      <c r="J261" s="985">
        <v>20400</v>
      </c>
      <c r="K261" s="1173">
        <v>10.3</v>
      </c>
      <c r="L261" s="985">
        <v>13100</v>
      </c>
      <c r="M261" s="1174">
        <f t="shared" si="83"/>
        <v>46.5</v>
      </c>
      <c r="N261" s="984">
        <f t="shared" si="84"/>
        <v>56600</v>
      </c>
      <c r="O261" s="986">
        <f t="shared" si="85"/>
        <v>158.98141775636611</v>
      </c>
      <c r="P261" s="987">
        <f t="shared" si="86"/>
        <v>140.39917412250514</v>
      </c>
      <c r="Q261" s="987">
        <f t="shared" si="87"/>
        <v>90.158293186510662</v>
      </c>
      <c r="R261" s="988">
        <f t="shared" si="88"/>
        <v>389.53888506538192</v>
      </c>
      <c r="S261" s="989">
        <v>145.30000000000001</v>
      </c>
      <c r="T261" s="990">
        <v>0</v>
      </c>
      <c r="U261" s="991">
        <v>0</v>
      </c>
      <c r="V261" s="991">
        <v>308</v>
      </c>
      <c r="W261" s="992">
        <f t="shared" si="89"/>
        <v>308</v>
      </c>
      <c r="X261" s="993">
        <f t="shared" si="90"/>
        <v>2.1197522367515482</v>
      </c>
      <c r="Y261" s="990">
        <v>1611</v>
      </c>
      <c r="Z261" s="991">
        <v>1373</v>
      </c>
      <c r="AA261" s="991">
        <v>903</v>
      </c>
      <c r="AB261" s="992">
        <f t="shared" si="91"/>
        <v>3887</v>
      </c>
      <c r="AC261" s="993">
        <f t="shared" si="92"/>
        <v>26.751548520302819</v>
      </c>
      <c r="AD261" s="994">
        <f t="shared" si="93"/>
        <v>4195</v>
      </c>
      <c r="AE261" s="995">
        <f t="shared" si="94"/>
        <v>28.871300757054367</v>
      </c>
      <c r="AF261" s="996">
        <v>86</v>
      </c>
      <c r="AG261" s="997">
        <v>63</v>
      </c>
      <c r="AH261" s="997">
        <v>10</v>
      </c>
      <c r="AI261" s="998">
        <f t="shared" si="95"/>
        <v>159</v>
      </c>
      <c r="AJ261" s="993">
        <f t="shared" si="96"/>
        <v>1.0942876806607018</v>
      </c>
    </row>
    <row r="262" spans="1:36" ht="16.5" customHeight="1">
      <c r="A262" s="999">
        <f>'09월 조업일지'!A260</f>
        <v>46274</v>
      </c>
      <c r="B262" s="1099">
        <f>'09월 조업일지'!B260</f>
        <v>46274</v>
      </c>
      <c r="C262" s="1000" t="str">
        <f>'09월 화학성분'!D260</f>
        <v>D</v>
      </c>
      <c r="D262" s="1000" t="str">
        <f>'09월 화학성분'!E260</f>
        <v>A</v>
      </c>
      <c r="E262" s="1000">
        <f>'09월 화학성분'!C260</f>
        <v>85462</v>
      </c>
      <c r="F262" s="1001" t="str">
        <f t="shared" si="82"/>
        <v>SHP355W</v>
      </c>
      <c r="G262" s="1172">
        <v>18.600000000000001</v>
      </c>
      <c r="H262" s="985">
        <v>23400</v>
      </c>
      <c r="I262" s="1173">
        <v>15.9</v>
      </c>
      <c r="J262" s="985">
        <v>20400</v>
      </c>
      <c r="K262" s="1173">
        <v>8.1</v>
      </c>
      <c r="L262" s="985">
        <v>10400</v>
      </c>
      <c r="M262" s="1174">
        <f t="shared" si="83"/>
        <v>42.6</v>
      </c>
      <c r="N262" s="984">
        <f t="shared" si="84"/>
        <v>54200</v>
      </c>
      <c r="O262" s="986">
        <f t="shared" si="85"/>
        <v>160.05471956224352</v>
      </c>
      <c r="P262" s="987">
        <f t="shared" si="86"/>
        <v>139.53488372093025</v>
      </c>
      <c r="Q262" s="987">
        <f t="shared" si="87"/>
        <v>71.135430916552679</v>
      </c>
      <c r="R262" s="988">
        <f t="shared" si="88"/>
        <v>370.72503419972645</v>
      </c>
      <c r="S262" s="989">
        <v>146.19999999999999</v>
      </c>
      <c r="T262" s="990">
        <v>0</v>
      </c>
      <c r="U262" s="991">
        <v>65</v>
      </c>
      <c r="V262" s="991">
        <v>281</v>
      </c>
      <c r="W262" s="992">
        <f t="shared" si="89"/>
        <v>346</v>
      </c>
      <c r="X262" s="993">
        <f t="shared" si="90"/>
        <v>2.3666210670314638</v>
      </c>
      <c r="Y262" s="990">
        <v>1527</v>
      </c>
      <c r="Z262" s="991">
        <v>1326</v>
      </c>
      <c r="AA262" s="991">
        <v>650</v>
      </c>
      <c r="AB262" s="992">
        <f t="shared" si="91"/>
        <v>3503</v>
      </c>
      <c r="AC262" s="993">
        <f t="shared" si="92"/>
        <v>23.960328317373463</v>
      </c>
      <c r="AD262" s="994">
        <f t="shared" si="93"/>
        <v>3849</v>
      </c>
      <c r="AE262" s="995">
        <f t="shared" si="94"/>
        <v>26.326949384404926</v>
      </c>
      <c r="AF262" s="996">
        <v>79</v>
      </c>
      <c r="AG262" s="997">
        <v>60</v>
      </c>
      <c r="AH262" s="997">
        <v>5</v>
      </c>
      <c r="AI262" s="998">
        <f t="shared" si="95"/>
        <v>144</v>
      </c>
      <c r="AJ262" s="993">
        <f t="shared" si="96"/>
        <v>0.98495212038303703</v>
      </c>
    </row>
    <row r="263" spans="1:36" ht="16.5" customHeight="1">
      <c r="A263" s="999">
        <f>'09월 조업일지'!A261</f>
        <v>46274</v>
      </c>
      <c r="B263" s="1099">
        <f>'09월 조업일지'!B261</f>
        <v>46274</v>
      </c>
      <c r="C263" s="1000" t="str">
        <f>'09월 화학성분'!D261</f>
        <v>D</v>
      </c>
      <c r="D263" s="1000" t="str">
        <f>'09월 화학성분'!E261</f>
        <v>B</v>
      </c>
      <c r="E263" s="1000">
        <f>'09월 화학성분'!C261</f>
        <v>85463</v>
      </c>
      <c r="F263" s="1001" t="str">
        <f t="shared" si="82"/>
        <v>SHP355W</v>
      </c>
      <c r="G263" s="1172">
        <v>18.3</v>
      </c>
      <c r="H263" s="985">
        <v>22500</v>
      </c>
      <c r="I263" s="1173">
        <v>16.8</v>
      </c>
      <c r="J263" s="985">
        <v>20600</v>
      </c>
      <c r="K263" s="1173">
        <v>11.6</v>
      </c>
      <c r="L263" s="985">
        <v>12900</v>
      </c>
      <c r="M263" s="1174">
        <f t="shared" si="83"/>
        <v>46.7</v>
      </c>
      <c r="N263" s="984">
        <f t="shared" si="84"/>
        <v>56000</v>
      </c>
      <c r="O263" s="986">
        <f t="shared" si="85"/>
        <v>154.21521590130226</v>
      </c>
      <c r="P263" s="987">
        <f t="shared" si="86"/>
        <v>141.19259766963674</v>
      </c>
      <c r="Q263" s="987">
        <f t="shared" si="87"/>
        <v>88.416723783413289</v>
      </c>
      <c r="R263" s="988">
        <f t="shared" si="88"/>
        <v>383.82453735435229</v>
      </c>
      <c r="S263" s="989">
        <v>145.9</v>
      </c>
      <c r="T263" s="990">
        <v>0</v>
      </c>
      <c r="U263" s="991">
        <v>0</v>
      </c>
      <c r="V263" s="991">
        <v>345</v>
      </c>
      <c r="W263" s="992">
        <f t="shared" si="89"/>
        <v>345</v>
      </c>
      <c r="X263" s="993">
        <f t="shared" si="90"/>
        <v>2.3646333104866346</v>
      </c>
      <c r="Y263" s="990">
        <v>1516</v>
      </c>
      <c r="Z263" s="991">
        <v>1424</v>
      </c>
      <c r="AA263" s="991">
        <v>898</v>
      </c>
      <c r="AB263" s="992">
        <f t="shared" si="91"/>
        <v>3838</v>
      </c>
      <c r="AC263" s="993">
        <f t="shared" si="92"/>
        <v>26.305688827964357</v>
      </c>
      <c r="AD263" s="994">
        <f t="shared" si="93"/>
        <v>4183</v>
      </c>
      <c r="AE263" s="995">
        <f t="shared" si="94"/>
        <v>28.670322138450992</v>
      </c>
      <c r="AF263" s="996">
        <v>78</v>
      </c>
      <c r="AG263" s="997">
        <v>66</v>
      </c>
      <c r="AH263" s="997">
        <v>7</v>
      </c>
      <c r="AI263" s="998">
        <f t="shared" si="95"/>
        <v>151</v>
      </c>
      <c r="AJ263" s="993">
        <f t="shared" si="96"/>
        <v>1.0349554489376285</v>
      </c>
    </row>
    <row r="264" spans="1:36" ht="16.5" customHeight="1">
      <c r="A264" s="999">
        <f>'09월 조업일지'!A262</f>
        <v>46274</v>
      </c>
      <c r="B264" s="1099">
        <f>'09월 조업일지'!B262</f>
        <v>46274</v>
      </c>
      <c r="C264" s="1000" t="str">
        <f>'09월 화학성분'!D262</f>
        <v>D</v>
      </c>
      <c r="D264" s="1000" t="str">
        <f>'09월 화학성분'!E262</f>
        <v>A</v>
      </c>
      <c r="E264" s="1000">
        <f>'09월 화학성분'!C262</f>
        <v>85464</v>
      </c>
      <c r="F264" s="1001" t="str">
        <f t="shared" si="82"/>
        <v>SHP355W</v>
      </c>
      <c r="G264" s="1172">
        <v>19.7</v>
      </c>
      <c r="H264" s="985">
        <v>23300</v>
      </c>
      <c r="I264" s="1173">
        <v>16.2</v>
      </c>
      <c r="J264" s="985">
        <v>20600</v>
      </c>
      <c r="K264" s="1173">
        <v>8.3000000000000007</v>
      </c>
      <c r="L264" s="985">
        <v>9000</v>
      </c>
      <c r="M264" s="1174">
        <f t="shared" si="83"/>
        <v>44.2</v>
      </c>
      <c r="N264" s="984">
        <f t="shared" si="84"/>
        <v>52900</v>
      </c>
      <c r="O264" s="986">
        <f t="shared" si="85"/>
        <v>161.46916146916146</v>
      </c>
      <c r="P264" s="987">
        <f t="shared" si="86"/>
        <v>142.75814275814275</v>
      </c>
      <c r="Q264" s="987">
        <f t="shared" si="87"/>
        <v>62.370062370062364</v>
      </c>
      <c r="R264" s="988">
        <f t="shared" si="88"/>
        <v>366.5973665973666</v>
      </c>
      <c r="S264" s="989">
        <v>144.30000000000001</v>
      </c>
      <c r="T264" s="990">
        <v>0</v>
      </c>
      <c r="U264" s="991">
        <v>44</v>
      </c>
      <c r="V264" s="991">
        <v>313</v>
      </c>
      <c r="W264" s="992">
        <f t="shared" si="89"/>
        <v>357</v>
      </c>
      <c r="X264" s="993">
        <f t="shared" si="90"/>
        <v>2.4740124740124738</v>
      </c>
      <c r="Y264" s="990">
        <v>1484</v>
      </c>
      <c r="Z264" s="991">
        <v>1349</v>
      </c>
      <c r="AA264" s="991">
        <v>773</v>
      </c>
      <c r="AB264" s="992">
        <f t="shared" si="91"/>
        <v>3606</v>
      </c>
      <c r="AC264" s="993">
        <f t="shared" si="92"/>
        <v>24.989604989604988</v>
      </c>
      <c r="AD264" s="994">
        <f t="shared" si="93"/>
        <v>3963</v>
      </c>
      <c r="AE264" s="995">
        <f t="shared" si="94"/>
        <v>27.46361746361746</v>
      </c>
      <c r="AF264" s="996">
        <v>73</v>
      </c>
      <c r="AG264" s="997">
        <v>62</v>
      </c>
      <c r="AH264" s="997">
        <v>6</v>
      </c>
      <c r="AI264" s="998">
        <f t="shared" si="95"/>
        <v>141</v>
      </c>
      <c r="AJ264" s="993">
        <f t="shared" si="96"/>
        <v>0.97713097713097707</v>
      </c>
    </row>
    <row r="265" spans="1:36" ht="16.5" customHeight="1">
      <c r="A265" s="999">
        <f>'09월 조업일지'!A263</f>
        <v>46274</v>
      </c>
      <c r="B265" s="1099">
        <f>'09월 조업일지'!B263</f>
        <v>46274</v>
      </c>
      <c r="C265" s="1000" t="str">
        <f>'09월 화학성분'!D263</f>
        <v>D</v>
      </c>
      <c r="D265" s="1000" t="str">
        <f>'09월 화학성분'!E263</f>
        <v>B</v>
      </c>
      <c r="E265" s="1000">
        <f>'09월 화학성분'!C263</f>
        <v>85465</v>
      </c>
      <c r="F265" s="1001" t="str">
        <f t="shared" si="82"/>
        <v>SHP355W</v>
      </c>
      <c r="G265" s="1172">
        <v>18.399999999999999</v>
      </c>
      <c r="H265" s="985">
        <v>23400</v>
      </c>
      <c r="I265" s="1173">
        <v>16.8</v>
      </c>
      <c r="J265" s="985">
        <v>20600</v>
      </c>
      <c r="K265" s="1173">
        <v>12.1</v>
      </c>
      <c r="L265" s="985">
        <v>15100</v>
      </c>
      <c r="M265" s="1174">
        <f t="shared" si="83"/>
        <v>47.300000000000004</v>
      </c>
      <c r="N265" s="984">
        <f t="shared" si="84"/>
        <v>59100</v>
      </c>
      <c r="O265" s="986">
        <f t="shared" si="85"/>
        <v>163.40782122905028</v>
      </c>
      <c r="P265" s="987">
        <f t="shared" si="86"/>
        <v>143.85474860335196</v>
      </c>
      <c r="Q265" s="987">
        <f t="shared" si="87"/>
        <v>105.44692737430168</v>
      </c>
      <c r="R265" s="988">
        <f t="shared" si="88"/>
        <v>412.70949720670399</v>
      </c>
      <c r="S265" s="989">
        <v>143.19999999999999</v>
      </c>
      <c r="T265" s="990">
        <v>0</v>
      </c>
      <c r="U265" s="991">
        <v>0</v>
      </c>
      <c r="V265" s="991">
        <v>347</v>
      </c>
      <c r="W265" s="992">
        <f t="shared" si="89"/>
        <v>347</v>
      </c>
      <c r="X265" s="993">
        <f t="shared" si="90"/>
        <v>2.4231843575418996</v>
      </c>
      <c r="Y265" s="990">
        <v>1525</v>
      </c>
      <c r="Z265" s="991">
        <v>1431</v>
      </c>
      <c r="AA265" s="991">
        <v>838</v>
      </c>
      <c r="AB265" s="992">
        <f t="shared" si="91"/>
        <v>3794</v>
      </c>
      <c r="AC265" s="993">
        <f t="shared" si="92"/>
        <v>26.494413407821231</v>
      </c>
      <c r="AD265" s="994">
        <f t="shared" si="93"/>
        <v>4141</v>
      </c>
      <c r="AE265" s="995">
        <f t="shared" si="94"/>
        <v>28.91759776536313</v>
      </c>
      <c r="AF265" s="996">
        <v>77</v>
      </c>
      <c r="AG265" s="997">
        <v>67</v>
      </c>
      <c r="AH265" s="997">
        <v>7</v>
      </c>
      <c r="AI265" s="998">
        <f t="shared" si="95"/>
        <v>151</v>
      </c>
      <c r="AJ265" s="993">
        <f t="shared" si="96"/>
        <v>1.0544692737430168</v>
      </c>
    </row>
    <row r="266" spans="1:36" ht="16.5" customHeight="1">
      <c r="A266" s="999">
        <f>'09월 조업일지'!A264</f>
        <v>46274</v>
      </c>
      <c r="B266" s="1099">
        <f>'09월 조업일지'!B264</f>
        <v>46274</v>
      </c>
      <c r="C266" s="1000" t="str">
        <f>'09월 화학성분'!D264</f>
        <v>D</v>
      </c>
      <c r="D266" s="1000" t="str">
        <f>'09월 화학성분'!E264</f>
        <v>A</v>
      </c>
      <c r="E266" s="1000">
        <f>'09월 화학성분'!C264</f>
        <v>85466</v>
      </c>
      <c r="F266" s="1001" t="str">
        <f t="shared" si="82"/>
        <v>SHP355W</v>
      </c>
      <c r="G266" s="1172">
        <v>17.8</v>
      </c>
      <c r="H266" s="985">
        <v>23100</v>
      </c>
      <c r="I266" s="1173">
        <v>17.100000000000001</v>
      </c>
      <c r="J266" s="985">
        <v>20500</v>
      </c>
      <c r="K266" s="1173">
        <v>7.9</v>
      </c>
      <c r="L266" s="985">
        <v>10200</v>
      </c>
      <c r="M266" s="1174">
        <f t="shared" si="83"/>
        <v>42.800000000000004</v>
      </c>
      <c r="N266" s="984">
        <f t="shared" si="84"/>
        <v>53800</v>
      </c>
      <c r="O266" s="986">
        <f t="shared" si="85"/>
        <v>160.52814454482279</v>
      </c>
      <c r="P266" s="987">
        <f t="shared" si="86"/>
        <v>142.46004169562195</v>
      </c>
      <c r="Q266" s="987">
        <f t="shared" si="87"/>
        <v>70.882557331480186</v>
      </c>
      <c r="R266" s="988">
        <f t="shared" si="88"/>
        <v>373.87074357192495</v>
      </c>
      <c r="S266" s="989">
        <v>143.9</v>
      </c>
      <c r="T266" s="990">
        <v>0</v>
      </c>
      <c r="U266" s="991">
        <v>0</v>
      </c>
      <c r="V266" s="991">
        <v>354</v>
      </c>
      <c r="W266" s="992">
        <f t="shared" si="89"/>
        <v>354</v>
      </c>
      <c r="X266" s="993">
        <f t="shared" si="90"/>
        <v>2.4600416956219595</v>
      </c>
      <c r="Y266" s="990">
        <v>1467</v>
      </c>
      <c r="Z266" s="991">
        <v>1460</v>
      </c>
      <c r="AA266" s="991">
        <v>723</v>
      </c>
      <c r="AB266" s="992">
        <f t="shared" si="91"/>
        <v>3650</v>
      </c>
      <c r="AC266" s="993">
        <f t="shared" si="92"/>
        <v>25.364836692147325</v>
      </c>
      <c r="AD266" s="994">
        <f t="shared" si="93"/>
        <v>4004</v>
      </c>
      <c r="AE266" s="995">
        <f t="shared" si="94"/>
        <v>27.824878387769282</v>
      </c>
      <c r="AF266" s="996">
        <v>74</v>
      </c>
      <c r="AG266" s="997">
        <v>62</v>
      </c>
      <c r="AH266" s="997">
        <v>7</v>
      </c>
      <c r="AI266" s="998">
        <f t="shared" si="95"/>
        <v>143</v>
      </c>
      <c r="AJ266" s="993">
        <f t="shared" si="96"/>
        <v>0.99374565670604587</v>
      </c>
    </row>
    <row r="267" spans="1:36" ht="16.5" customHeight="1">
      <c r="A267" s="999">
        <f>'09월 조업일지'!A265</f>
        <v>46274</v>
      </c>
      <c r="B267" s="1099">
        <f>'09월 조업일지'!B265</f>
        <v>46274</v>
      </c>
      <c r="C267" s="1000" t="str">
        <f>'09월 화학성분'!D265</f>
        <v>D</v>
      </c>
      <c r="D267" s="1000" t="str">
        <f>'09월 화학성분'!E265</f>
        <v>B</v>
      </c>
      <c r="E267" s="1000">
        <f>'09월 화학성분'!C265</f>
        <v>85467</v>
      </c>
      <c r="F267" s="1001" t="str">
        <f t="shared" si="82"/>
        <v>SHP355W</v>
      </c>
      <c r="G267" s="1172">
        <v>19.600000000000001</v>
      </c>
      <c r="H267" s="985">
        <v>22400</v>
      </c>
      <c r="I267" s="1173">
        <v>16.8</v>
      </c>
      <c r="J267" s="985">
        <v>20500</v>
      </c>
      <c r="K267" s="1173">
        <v>11.3</v>
      </c>
      <c r="L267" s="985">
        <v>14600</v>
      </c>
      <c r="M267" s="1174">
        <f t="shared" si="83"/>
        <v>47.7</v>
      </c>
      <c r="N267" s="984">
        <f t="shared" si="84"/>
        <v>57500</v>
      </c>
      <c r="O267" s="986">
        <f t="shared" si="85"/>
        <v>154.16379903647623</v>
      </c>
      <c r="P267" s="987">
        <f t="shared" si="86"/>
        <v>141.08740536820372</v>
      </c>
      <c r="Q267" s="987">
        <f t="shared" si="87"/>
        <v>100.48176187198898</v>
      </c>
      <c r="R267" s="988">
        <f t="shared" si="88"/>
        <v>395.73296627666889</v>
      </c>
      <c r="S267" s="989">
        <v>145.30000000000001</v>
      </c>
      <c r="T267" s="990">
        <v>0</v>
      </c>
      <c r="U267" s="991">
        <v>0</v>
      </c>
      <c r="V267" s="991">
        <v>333</v>
      </c>
      <c r="W267" s="992">
        <f t="shared" si="89"/>
        <v>333</v>
      </c>
      <c r="X267" s="993">
        <f t="shared" si="90"/>
        <v>2.2918100481761869</v>
      </c>
      <c r="Y267" s="990">
        <v>1544</v>
      </c>
      <c r="Z267" s="991">
        <v>1421</v>
      </c>
      <c r="AA267" s="991">
        <v>845</v>
      </c>
      <c r="AB267" s="992">
        <f t="shared" si="91"/>
        <v>3810</v>
      </c>
      <c r="AC267" s="993">
        <f t="shared" si="92"/>
        <v>26.221610461114931</v>
      </c>
      <c r="AD267" s="994">
        <f t="shared" si="93"/>
        <v>4143</v>
      </c>
      <c r="AE267" s="995">
        <f t="shared" si="94"/>
        <v>28.513420509291119</v>
      </c>
      <c r="AF267" s="996">
        <v>86</v>
      </c>
      <c r="AG267" s="997">
        <v>66</v>
      </c>
      <c r="AH267" s="997">
        <v>8</v>
      </c>
      <c r="AI267" s="998">
        <f t="shared" si="95"/>
        <v>160</v>
      </c>
      <c r="AJ267" s="993">
        <f t="shared" si="96"/>
        <v>1.1011699931176875</v>
      </c>
    </row>
    <row r="268" spans="1:36" ht="16.5" customHeight="1">
      <c r="A268" s="999">
        <f>'09월 조업일지'!A266</f>
        <v>46274</v>
      </c>
      <c r="B268" s="1099">
        <f>'09월 조업일지'!B266</f>
        <v>46274</v>
      </c>
      <c r="C268" s="1000" t="str">
        <f>'09월 화학성분'!D266</f>
        <v>B</v>
      </c>
      <c r="D268" s="1000" t="str">
        <f>'09월 화학성분'!E266</f>
        <v>A</v>
      </c>
      <c r="E268" s="1000">
        <f>'09월 화학성분'!C266</f>
        <v>85468</v>
      </c>
      <c r="F268" s="1001" t="str">
        <f t="shared" si="82"/>
        <v>SHP355W</v>
      </c>
      <c r="G268" s="1172">
        <v>19</v>
      </c>
      <c r="H268" s="985">
        <v>23000</v>
      </c>
      <c r="I268" s="1173">
        <v>16.600000000000001</v>
      </c>
      <c r="J268" s="985">
        <v>20500</v>
      </c>
      <c r="K268" s="1173">
        <v>11.3</v>
      </c>
      <c r="L268" s="985">
        <v>13900</v>
      </c>
      <c r="M268" s="1174">
        <f t="shared" si="83"/>
        <v>46.900000000000006</v>
      </c>
      <c r="N268" s="984">
        <f t="shared" si="84"/>
        <v>57400</v>
      </c>
      <c r="O268" s="986">
        <f t="shared" si="85"/>
        <v>159.05947441217151</v>
      </c>
      <c r="P268" s="987">
        <f t="shared" si="86"/>
        <v>141.77040110650069</v>
      </c>
      <c r="Q268" s="987">
        <f t="shared" si="87"/>
        <v>96.127247579529737</v>
      </c>
      <c r="R268" s="988">
        <f t="shared" si="88"/>
        <v>396.95712309820198</v>
      </c>
      <c r="S268" s="989">
        <v>144.6</v>
      </c>
      <c r="T268" s="990">
        <v>0</v>
      </c>
      <c r="U268" s="991">
        <v>0</v>
      </c>
      <c r="V268" s="991">
        <v>300</v>
      </c>
      <c r="W268" s="992">
        <f t="shared" si="89"/>
        <v>300</v>
      </c>
      <c r="X268" s="993">
        <f t="shared" si="90"/>
        <v>2.0746887966804981</v>
      </c>
      <c r="Y268" s="990">
        <v>1585</v>
      </c>
      <c r="Z268" s="991">
        <v>1358</v>
      </c>
      <c r="AA268" s="991">
        <v>679</v>
      </c>
      <c r="AB268" s="992">
        <f t="shared" si="91"/>
        <v>3622</v>
      </c>
      <c r="AC268" s="993">
        <f t="shared" si="92"/>
        <v>25.048409405255878</v>
      </c>
      <c r="AD268" s="994">
        <f t="shared" si="93"/>
        <v>3922</v>
      </c>
      <c r="AE268" s="995">
        <f t="shared" si="94"/>
        <v>27.123098201936376</v>
      </c>
      <c r="AF268" s="996">
        <v>81</v>
      </c>
      <c r="AG268" s="997">
        <v>63</v>
      </c>
      <c r="AH268" s="997">
        <v>5</v>
      </c>
      <c r="AI268" s="998">
        <f t="shared" si="95"/>
        <v>149</v>
      </c>
      <c r="AJ268" s="993">
        <f t="shared" si="96"/>
        <v>1.0304287690179808</v>
      </c>
    </row>
    <row r="269" spans="1:36" ht="16.5" customHeight="1">
      <c r="A269" s="999">
        <f>'09월 조업일지'!A267</f>
        <v>46274</v>
      </c>
      <c r="B269" s="1099">
        <f>'09월 조업일지'!B267</f>
        <v>46274</v>
      </c>
      <c r="C269" s="1000" t="str">
        <f>'09월 화학성분'!D267</f>
        <v>B</v>
      </c>
      <c r="D269" s="1000" t="str">
        <f>'09월 화학성분'!E267</f>
        <v>B</v>
      </c>
      <c r="E269" s="1000">
        <f>'09월 화학성분'!C267</f>
        <v>85469</v>
      </c>
      <c r="F269" s="1001" t="str">
        <f t="shared" si="82"/>
        <v>SHP355W</v>
      </c>
      <c r="G269" s="1172">
        <v>18.5</v>
      </c>
      <c r="H269" s="985">
        <v>22700</v>
      </c>
      <c r="I269" s="1173">
        <v>16.7</v>
      </c>
      <c r="J269" s="985">
        <v>20400</v>
      </c>
      <c r="K269" s="1173">
        <v>15.6</v>
      </c>
      <c r="L269" s="985">
        <v>20000</v>
      </c>
      <c r="M269" s="1174">
        <f t="shared" si="83"/>
        <v>50.800000000000004</v>
      </c>
      <c r="N269" s="984">
        <f t="shared" si="84"/>
        <v>63100</v>
      </c>
      <c r="O269" s="986">
        <f t="shared" si="85"/>
        <v>158.29846582984658</v>
      </c>
      <c r="P269" s="987">
        <f t="shared" si="86"/>
        <v>142.25941422594141</v>
      </c>
      <c r="Q269" s="987">
        <f t="shared" si="87"/>
        <v>139.47001394700138</v>
      </c>
      <c r="R269" s="988">
        <f t="shared" si="88"/>
        <v>440.02789400278937</v>
      </c>
      <c r="S269" s="989">
        <v>143.4</v>
      </c>
      <c r="T269" s="990">
        <v>0</v>
      </c>
      <c r="U269" s="991">
        <v>0</v>
      </c>
      <c r="V269" s="991">
        <v>280</v>
      </c>
      <c r="W269" s="992">
        <f t="shared" si="89"/>
        <v>280</v>
      </c>
      <c r="X269" s="993">
        <f t="shared" si="90"/>
        <v>1.9525801952580195</v>
      </c>
      <c r="Y269" s="990">
        <v>1526</v>
      </c>
      <c r="Z269" s="991">
        <v>1377</v>
      </c>
      <c r="AA269" s="991">
        <v>926</v>
      </c>
      <c r="AB269" s="992">
        <f t="shared" si="91"/>
        <v>3829</v>
      </c>
      <c r="AC269" s="993">
        <f t="shared" si="92"/>
        <v>26.701534170153415</v>
      </c>
      <c r="AD269" s="994">
        <f t="shared" si="93"/>
        <v>4109</v>
      </c>
      <c r="AE269" s="995">
        <f t="shared" si="94"/>
        <v>28.654114365411434</v>
      </c>
      <c r="AF269" s="996">
        <v>79</v>
      </c>
      <c r="AG269" s="997">
        <v>66</v>
      </c>
      <c r="AH269" s="997">
        <v>7</v>
      </c>
      <c r="AI269" s="998">
        <f t="shared" si="95"/>
        <v>152</v>
      </c>
      <c r="AJ269" s="993">
        <f t="shared" si="96"/>
        <v>1.0599721059972105</v>
      </c>
    </row>
    <row r="270" spans="1:36" ht="16.5" customHeight="1">
      <c r="A270" s="999">
        <f>'09월 조업일지'!A268</f>
        <v>46274</v>
      </c>
      <c r="B270" s="1099">
        <f>'09월 조업일지'!B268</f>
        <v>46274</v>
      </c>
      <c r="C270" s="1000" t="str">
        <f>'09월 화학성분'!D268</f>
        <v>B</v>
      </c>
      <c r="D270" s="1000" t="str">
        <f>'09월 화학성분'!E268</f>
        <v>A</v>
      </c>
      <c r="E270" s="1000">
        <f>'09월 화학성분'!C268</f>
        <v>85470</v>
      </c>
      <c r="F270" s="1001" t="str">
        <f t="shared" si="82"/>
        <v>SHP355W</v>
      </c>
      <c r="G270" s="1172">
        <v>19</v>
      </c>
      <c r="H270" s="985">
        <v>24300</v>
      </c>
      <c r="I270" s="1173">
        <v>16.5</v>
      </c>
      <c r="J270" s="985">
        <v>20200</v>
      </c>
      <c r="K270" s="1173">
        <v>10.8</v>
      </c>
      <c r="L270" s="985">
        <v>13600</v>
      </c>
      <c r="M270" s="1174">
        <f t="shared" si="83"/>
        <v>46.3</v>
      </c>
      <c r="N270" s="984">
        <f t="shared" si="84"/>
        <v>58100</v>
      </c>
      <c r="O270" s="986">
        <f t="shared" si="85"/>
        <v>168.75</v>
      </c>
      <c r="P270" s="987">
        <f t="shared" si="86"/>
        <v>140.27777777777777</v>
      </c>
      <c r="Q270" s="987">
        <f t="shared" si="87"/>
        <v>94.444444444444443</v>
      </c>
      <c r="R270" s="988">
        <f t="shared" si="88"/>
        <v>403.47222222222223</v>
      </c>
      <c r="S270" s="989">
        <v>144</v>
      </c>
      <c r="T270" s="990">
        <v>0</v>
      </c>
      <c r="U270" s="991">
        <v>0</v>
      </c>
      <c r="V270" s="991">
        <v>284</v>
      </c>
      <c r="W270" s="992">
        <f t="shared" si="89"/>
        <v>284</v>
      </c>
      <c r="X270" s="993">
        <f t="shared" si="90"/>
        <v>1.9722222222222223</v>
      </c>
      <c r="Y270" s="990">
        <v>1599</v>
      </c>
      <c r="Z270" s="991">
        <v>1326</v>
      </c>
      <c r="AA270" s="991">
        <v>725</v>
      </c>
      <c r="AB270" s="992">
        <f t="shared" si="91"/>
        <v>3650</v>
      </c>
      <c r="AC270" s="993">
        <f t="shared" si="92"/>
        <v>25.347222222222221</v>
      </c>
      <c r="AD270" s="994">
        <f t="shared" si="93"/>
        <v>3934</v>
      </c>
      <c r="AE270" s="995">
        <f t="shared" si="94"/>
        <v>27.319444444444443</v>
      </c>
      <c r="AF270" s="996">
        <v>77</v>
      </c>
      <c r="AG270" s="997">
        <v>60</v>
      </c>
      <c r="AH270" s="997">
        <v>7</v>
      </c>
      <c r="AI270" s="998">
        <f t="shared" si="95"/>
        <v>144</v>
      </c>
      <c r="AJ270" s="993">
        <f t="shared" si="96"/>
        <v>1</v>
      </c>
    </row>
    <row r="271" spans="1:36" ht="16.5" customHeight="1">
      <c r="A271" s="999">
        <f>'09월 조업일지'!A269</f>
        <v>46274</v>
      </c>
      <c r="B271" s="1099">
        <f>'09월 조업일지'!B269</f>
        <v>46274</v>
      </c>
      <c r="C271" s="1000" t="str">
        <f>'09월 화학성분'!D269</f>
        <v>B</v>
      </c>
      <c r="D271" s="1000" t="str">
        <f>'09월 화학성분'!E269</f>
        <v>B</v>
      </c>
      <c r="E271" s="1000">
        <f>'09월 화학성분'!C269</f>
        <v>85471</v>
      </c>
      <c r="F271" s="1001" t="str">
        <f t="shared" si="82"/>
        <v>SHP355W</v>
      </c>
      <c r="G271" s="1172">
        <v>18.3</v>
      </c>
      <c r="H271" s="985">
        <v>22600</v>
      </c>
      <c r="I271" s="1173">
        <v>16.899999999999999</v>
      </c>
      <c r="J271" s="985">
        <v>20500</v>
      </c>
      <c r="K271" s="1173">
        <v>14.5</v>
      </c>
      <c r="L271" s="985">
        <v>18600</v>
      </c>
      <c r="M271" s="1174">
        <f t="shared" si="83"/>
        <v>49.7</v>
      </c>
      <c r="N271" s="984">
        <f t="shared" si="84"/>
        <v>61700</v>
      </c>
      <c r="O271" s="986">
        <f t="shared" si="85"/>
        <v>162.47304097771388</v>
      </c>
      <c r="P271" s="987">
        <f t="shared" si="86"/>
        <v>147.37598849748383</v>
      </c>
      <c r="Q271" s="987">
        <f t="shared" si="87"/>
        <v>133.71675053918045</v>
      </c>
      <c r="R271" s="988">
        <f t="shared" si="88"/>
        <v>443.56578001437816</v>
      </c>
      <c r="S271" s="989">
        <v>139.1</v>
      </c>
      <c r="T271" s="990">
        <v>0</v>
      </c>
      <c r="U271" s="991">
        <v>0</v>
      </c>
      <c r="V271" s="991">
        <v>311</v>
      </c>
      <c r="W271" s="992">
        <f t="shared" si="89"/>
        <v>311</v>
      </c>
      <c r="X271" s="993">
        <f t="shared" si="90"/>
        <v>2.2358015815959744</v>
      </c>
      <c r="Y271" s="990">
        <v>1503</v>
      </c>
      <c r="Z271" s="991">
        <v>1410</v>
      </c>
      <c r="AA271" s="991">
        <v>1123</v>
      </c>
      <c r="AB271" s="992">
        <f t="shared" si="91"/>
        <v>4036</v>
      </c>
      <c r="AC271" s="993">
        <f t="shared" si="92"/>
        <v>29.015097052480233</v>
      </c>
      <c r="AD271" s="994">
        <f t="shared" si="93"/>
        <v>4347</v>
      </c>
      <c r="AE271" s="995">
        <f t="shared" si="94"/>
        <v>31.250898634076204</v>
      </c>
      <c r="AF271" s="996">
        <v>79</v>
      </c>
      <c r="AG271" s="997">
        <v>68</v>
      </c>
      <c r="AH271" s="997">
        <v>11</v>
      </c>
      <c r="AI271" s="998">
        <f t="shared" si="95"/>
        <v>158</v>
      </c>
      <c r="AJ271" s="993">
        <f t="shared" si="96"/>
        <v>1.1358734723220705</v>
      </c>
    </row>
    <row r="272" spans="1:36" ht="16.5" customHeight="1">
      <c r="A272" s="999">
        <f>'09월 조업일지'!A270</f>
        <v>46274</v>
      </c>
      <c r="B272" s="1099">
        <f>'09월 조업일지'!B270</f>
        <v>46274</v>
      </c>
      <c r="C272" s="1000" t="str">
        <f>'09월 화학성분'!D270</f>
        <v>B</v>
      </c>
      <c r="D272" s="1000" t="str">
        <f>'09월 화학성분'!E270</f>
        <v>A</v>
      </c>
      <c r="E272" s="1000">
        <f>'09월 화학성분'!C270</f>
        <v>85472</v>
      </c>
      <c r="F272" s="1001" t="str">
        <f t="shared" ref="F272:F332" si="97">IF(G272="","",F271)</f>
        <v>SHP355W</v>
      </c>
      <c r="G272" s="1172">
        <v>17.899999999999999</v>
      </c>
      <c r="H272" s="985">
        <v>22800</v>
      </c>
      <c r="I272" s="1173">
        <v>15.7</v>
      </c>
      <c r="J272" s="985">
        <v>20100</v>
      </c>
      <c r="K272" s="1173">
        <v>11.3</v>
      </c>
      <c r="L272" s="985">
        <v>14400</v>
      </c>
      <c r="M272" s="1174">
        <f t="shared" ref="M272:M335" si="98">IF(ISBLANK(G272),"",SUM(G272,I272,K272))</f>
        <v>44.899999999999991</v>
      </c>
      <c r="N272" s="984">
        <f t="shared" ref="N272:N335" si="99">IF(ISBLANK(H272),"",SUM(H272,J272,L272))</f>
        <v>57300</v>
      </c>
      <c r="O272" s="986">
        <f t="shared" ref="O272:O335" si="100">IF(ISBLANK(H272),"",H272/S272)</f>
        <v>158.2234559333796</v>
      </c>
      <c r="P272" s="987">
        <f t="shared" ref="P272:P335" si="101">IF(ISBLANK(J272),"",+J272/S272)</f>
        <v>139.48646773074253</v>
      </c>
      <c r="Q272" s="987">
        <f t="shared" ref="Q272:Q335" si="102">IF(ISBLANK(L272),"",L272/S272)</f>
        <v>99.93060374739764</v>
      </c>
      <c r="R272" s="988">
        <f t="shared" ref="R272:R335" si="103">IF(ISBLANK(L272),"",SUM(O272:Q272))</f>
        <v>397.64052741151977</v>
      </c>
      <c r="S272" s="989">
        <v>144.1</v>
      </c>
      <c r="T272" s="990">
        <v>0</v>
      </c>
      <c r="U272" s="991">
        <v>0</v>
      </c>
      <c r="V272" s="991">
        <v>286</v>
      </c>
      <c r="W272" s="992">
        <f t="shared" ref="W272:W335" si="104">IF(SUM(T272:V272)=0,"",SUM(T272:V272))</f>
        <v>286</v>
      </c>
      <c r="X272" s="993">
        <f t="shared" ref="X272:X335" si="105">IF(W272="","",W272/S272)</f>
        <v>1.9847328244274809</v>
      </c>
      <c r="Y272" s="990">
        <v>1508</v>
      </c>
      <c r="Z272" s="991">
        <v>1281</v>
      </c>
      <c r="AA272" s="991">
        <v>833</v>
      </c>
      <c r="AB272" s="992">
        <f t="shared" ref="AB272:AB335" si="106">IF(SUM(Y272:AA272)=0,"",SUM(Y272:AA272))</f>
        <v>3622</v>
      </c>
      <c r="AC272" s="993">
        <f t="shared" ref="AC272:AC335" si="107">IF(AB272="","",AB272/S272)</f>
        <v>25.135322692574601</v>
      </c>
      <c r="AD272" s="994">
        <f t="shared" ref="AD272:AD335" si="108">IF(SUM(W272,AB272)=0,"",SUM(W272,AB272))</f>
        <v>3908</v>
      </c>
      <c r="AE272" s="995">
        <f t="shared" ref="AE272:AE335" si="109">IF(AD272="","",AD272/S272)</f>
        <v>27.120055517002083</v>
      </c>
      <c r="AF272" s="996">
        <v>76</v>
      </c>
      <c r="AG272" s="997">
        <v>60</v>
      </c>
      <c r="AH272" s="997">
        <v>6</v>
      </c>
      <c r="AI272" s="998">
        <f t="shared" ref="AI272:AI335" si="110">IF(SUM(AF272:AH272)=0,"",SUM(AF272:AH272))</f>
        <v>142</v>
      </c>
      <c r="AJ272" s="993">
        <f t="shared" ref="AJ272:AJ335" si="111">IF(AI272="","",AI272/S272)</f>
        <v>0.9854267869535045</v>
      </c>
    </row>
    <row r="273" spans="1:36" ht="16.5" customHeight="1">
      <c r="A273" s="999">
        <f>'09월 조업일지'!A271</f>
        <v>46274</v>
      </c>
      <c r="B273" s="1099">
        <f>'09월 조업일지'!B271</f>
        <v>46274</v>
      </c>
      <c r="C273" s="1000" t="str">
        <f>'09월 화학성분'!D271</f>
        <v>B</v>
      </c>
      <c r="D273" s="1000" t="str">
        <f>'09월 화학성분'!E271</f>
        <v>B</v>
      </c>
      <c r="E273" s="1000">
        <f>'09월 화학성분'!C271</f>
        <v>85473</v>
      </c>
      <c r="F273" s="1001" t="str">
        <f t="shared" si="97"/>
        <v>SHP355W</v>
      </c>
      <c r="G273" s="1172">
        <v>18.5</v>
      </c>
      <c r="H273" s="985">
        <v>23200</v>
      </c>
      <c r="I273" s="1173">
        <v>16.2</v>
      </c>
      <c r="J273" s="985">
        <v>20500</v>
      </c>
      <c r="K273" s="1173">
        <v>9.5</v>
      </c>
      <c r="L273" s="985">
        <v>12000</v>
      </c>
      <c r="M273" s="1174">
        <f t="shared" si="98"/>
        <v>44.2</v>
      </c>
      <c r="N273" s="984">
        <f t="shared" si="99"/>
        <v>55700</v>
      </c>
      <c r="O273" s="986">
        <f t="shared" si="100"/>
        <v>164.07355021216406</v>
      </c>
      <c r="P273" s="987">
        <f t="shared" si="101"/>
        <v>144.97878359264496</v>
      </c>
      <c r="Q273" s="987">
        <f t="shared" si="102"/>
        <v>84.865629420084858</v>
      </c>
      <c r="R273" s="988">
        <f t="shared" si="103"/>
        <v>393.91796322489387</v>
      </c>
      <c r="S273" s="989">
        <v>141.4</v>
      </c>
      <c r="T273" s="990">
        <v>0</v>
      </c>
      <c r="U273" s="991">
        <v>51</v>
      </c>
      <c r="V273" s="991">
        <v>362</v>
      </c>
      <c r="W273" s="992">
        <f t="shared" si="104"/>
        <v>413</v>
      </c>
      <c r="X273" s="993">
        <f t="shared" si="105"/>
        <v>2.9207920792079207</v>
      </c>
      <c r="Y273" s="990">
        <v>1548</v>
      </c>
      <c r="Z273" s="991">
        <v>1358</v>
      </c>
      <c r="AA273" s="991">
        <v>741</v>
      </c>
      <c r="AB273" s="992">
        <f t="shared" si="106"/>
        <v>3647</v>
      </c>
      <c r="AC273" s="993">
        <f t="shared" si="107"/>
        <v>25.792079207920793</v>
      </c>
      <c r="AD273" s="994">
        <f t="shared" si="108"/>
        <v>4060</v>
      </c>
      <c r="AE273" s="995">
        <f t="shared" si="109"/>
        <v>28.71287128712871</v>
      </c>
      <c r="AF273" s="996">
        <v>78</v>
      </c>
      <c r="AG273" s="997">
        <v>65</v>
      </c>
      <c r="AH273" s="997">
        <v>5</v>
      </c>
      <c r="AI273" s="998">
        <f t="shared" si="110"/>
        <v>148</v>
      </c>
      <c r="AJ273" s="993">
        <f t="shared" si="111"/>
        <v>1.0466760961810466</v>
      </c>
    </row>
    <row r="274" spans="1:36" ht="16.5" customHeight="1">
      <c r="A274" s="999">
        <f>'09월 조업일지'!A272</f>
        <v>46275</v>
      </c>
      <c r="B274" s="1099">
        <f>'09월 조업일지'!B272</f>
        <v>46274</v>
      </c>
      <c r="C274" s="1000" t="str">
        <f>'09월 화학성분'!D272</f>
        <v>B</v>
      </c>
      <c r="D274" s="1000" t="str">
        <f>'09월 화학성분'!E272</f>
        <v>A</v>
      </c>
      <c r="E274" s="1000">
        <f>'09월 화학성분'!C272</f>
        <v>85474</v>
      </c>
      <c r="F274" s="1001" t="str">
        <f t="shared" si="97"/>
        <v>SHP355W</v>
      </c>
      <c r="G274" s="1172">
        <v>17.2</v>
      </c>
      <c r="H274" s="985">
        <v>22200</v>
      </c>
      <c r="I274" s="1173">
        <v>15.8</v>
      </c>
      <c r="J274" s="985">
        <v>20300</v>
      </c>
      <c r="K274" s="1173">
        <v>10.8</v>
      </c>
      <c r="L274" s="985">
        <v>13800</v>
      </c>
      <c r="M274" s="1174">
        <f t="shared" si="98"/>
        <v>43.8</v>
      </c>
      <c r="N274" s="984">
        <f t="shared" si="99"/>
        <v>56300</v>
      </c>
      <c r="O274" s="986">
        <f t="shared" si="100"/>
        <v>153.42087076710436</v>
      </c>
      <c r="P274" s="987">
        <f t="shared" si="101"/>
        <v>140.29025570145129</v>
      </c>
      <c r="Q274" s="987">
        <f t="shared" si="102"/>
        <v>95.369730476848659</v>
      </c>
      <c r="R274" s="988">
        <f t="shared" si="103"/>
        <v>389.08085694540432</v>
      </c>
      <c r="S274" s="989">
        <v>144.69999999999999</v>
      </c>
      <c r="T274" s="990">
        <v>0</v>
      </c>
      <c r="U274" s="991">
        <v>23</v>
      </c>
      <c r="V274" s="991">
        <v>320</v>
      </c>
      <c r="W274" s="992">
        <f t="shared" si="104"/>
        <v>343</v>
      </c>
      <c r="X274" s="993">
        <f t="shared" si="105"/>
        <v>2.3704215618521078</v>
      </c>
      <c r="Y274" s="990">
        <v>1416</v>
      </c>
      <c r="Z274" s="991">
        <v>1314</v>
      </c>
      <c r="AA274" s="991">
        <v>709</v>
      </c>
      <c r="AB274" s="992">
        <f t="shared" si="106"/>
        <v>3439</v>
      </c>
      <c r="AC274" s="993">
        <f t="shared" si="107"/>
        <v>23.766413268832068</v>
      </c>
      <c r="AD274" s="994">
        <f t="shared" si="108"/>
        <v>3782</v>
      </c>
      <c r="AE274" s="995">
        <f t="shared" si="109"/>
        <v>26.136834830684176</v>
      </c>
      <c r="AF274" s="996">
        <v>73</v>
      </c>
      <c r="AG274" s="997">
        <v>60</v>
      </c>
      <c r="AH274" s="997">
        <v>7</v>
      </c>
      <c r="AI274" s="998">
        <f t="shared" si="110"/>
        <v>140</v>
      </c>
      <c r="AJ274" s="993">
        <f t="shared" si="111"/>
        <v>0.96751900483759512</v>
      </c>
    </row>
    <row r="275" spans="1:36" ht="16.5" customHeight="1">
      <c r="A275" s="999">
        <f>'09월 조업일지'!A273</f>
        <v>46275</v>
      </c>
      <c r="B275" s="1099">
        <f>'09월 조업일지'!B273</f>
        <v>46274</v>
      </c>
      <c r="C275" s="1000" t="str">
        <f>'09월 화학성분'!D273</f>
        <v>B</v>
      </c>
      <c r="D275" s="1000" t="str">
        <f>'09월 화학성분'!E273</f>
        <v>B</v>
      </c>
      <c r="E275" s="1000">
        <f>'09월 화학성분'!C273</f>
        <v>85475</v>
      </c>
      <c r="F275" s="1104" t="s">
        <v>626</v>
      </c>
      <c r="G275" s="1172">
        <v>19.2</v>
      </c>
      <c r="H275" s="985">
        <v>23100</v>
      </c>
      <c r="I275" s="1173">
        <v>17.2</v>
      </c>
      <c r="J275" s="985">
        <v>20400</v>
      </c>
      <c r="K275" s="1173">
        <v>12.5</v>
      </c>
      <c r="L275" s="985">
        <v>15800</v>
      </c>
      <c r="M275" s="1174">
        <f t="shared" si="98"/>
        <v>48.9</v>
      </c>
      <c r="N275" s="984">
        <f t="shared" si="99"/>
        <v>59300</v>
      </c>
      <c r="O275" s="986">
        <f t="shared" si="100"/>
        <v>161.87806587245973</v>
      </c>
      <c r="P275" s="987">
        <f t="shared" si="101"/>
        <v>142.9572529782761</v>
      </c>
      <c r="Q275" s="987">
        <f t="shared" si="102"/>
        <v>110.72179397337072</v>
      </c>
      <c r="R275" s="988">
        <f t="shared" si="103"/>
        <v>415.55711282410653</v>
      </c>
      <c r="S275" s="989">
        <v>142.69999999999999</v>
      </c>
      <c r="T275" s="990">
        <v>0</v>
      </c>
      <c r="U275" s="991">
        <v>0</v>
      </c>
      <c r="V275" s="991">
        <v>259</v>
      </c>
      <c r="W275" s="992">
        <f t="shared" si="104"/>
        <v>259</v>
      </c>
      <c r="X275" s="993">
        <f t="shared" si="105"/>
        <v>1.8149964961457605</v>
      </c>
      <c r="Y275" s="990">
        <v>1606</v>
      </c>
      <c r="Z275" s="991">
        <v>1402</v>
      </c>
      <c r="AA275" s="991">
        <v>865</v>
      </c>
      <c r="AB275" s="992">
        <f t="shared" si="106"/>
        <v>3873</v>
      </c>
      <c r="AC275" s="993">
        <f t="shared" si="107"/>
        <v>27.14085494043448</v>
      </c>
      <c r="AD275" s="994">
        <f t="shared" si="108"/>
        <v>4132</v>
      </c>
      <c r="AE275" s="995">
        <f t="shared" si="109"/>
        <v>28.95585143658024</v>
      </c>
      <c r="AF275" s="996">
        <v>83</v>
      </c>
      <c r="AG275" s="997">
        <v>66</v>
      </c>
      <c r="AH275" s="997">
        <v>8</v>
      </c>
      <c r="AI275" s="998">
        <f t="shared" si="110"/>
        <v>157</v>
      </c>
      <c r="AJ275" s="993">
        <f t="shared" si="111"/>
        <v>1.10021023125438</v>
      </c>
    </row>
    <row r="276" spans="1:36" ht="16.5" customHeight="1">
      <c r="A276" s="999">
        <f>'09월 조업일지'!A274</f>
        <v>46275</v>
      </c>
      <c r="B276" s="1099">
        <f>'09월 조업일지'!B274</f>
        <v>46274</v>
      </c>
      <c r="C276" s="1000" t="str">
        <f>'09월 화학성분'!D274</f>
        <v>B</v>
      </c>
      <c r="D276" s="1000" t="str">
        <f>'09월 화학성분'!E274</f>
        <v>A</v>
      </c>
      <c r="E276" s="1000">
        <f>'09월 화학성분'!C274</f>
        <v>85476</v>
      </c>
      <c r="F276" s="1001" t="str">
        <f t="shared" si="97"/>
        <v>S355JO-01</v>
      </c>
      <c r="G276" s="1172">
        <v>18.8</v>
      </c>
      <c r="H276" s="985">
        <v>23900</v>
      </c>
      <c r="I276" s="1173">
        <v>16.399999999999999</v>
      </c>
      <c r="J276" s="985">
        <v>20400</v>
      </c>
      <c r="K276" s="1173">
        <v>10</v>
      </c>
      <c r="L276" s="985">
        <v>12700</v>
      </c>
      <c r="M276" s="1174">
        <f t="shared" si="98"/>
        <v>45.2</v>
      </c>
      <c r="N276" s="984">
        <f t="shared" si="99"/>
        <v>57000</v>
      </c>
      <c r="O276" s="986">
        <f t="shared" si="100"/>
        <v>165.51246537396122</v>
      </c>
      <c r="P276" s="987">
        <f t="shared" si="101"/>
        <v>141.27423822714681</v>
      </c>
      <c r="Q276" s="987">
        <f t="shared" si="102"/>
        <v>87.95013850415512</v>
      </c>
      <c r="R276" s="988">
        <f t="shared" si="103"/>
        <v>394.73684210526312</v>
      </c>
      <c r="S276" s="989">
        <v>144.4</v>
      </c>
      <c r="T276" s="990">
        <v>0</v>
      </c>
      <c r="U276" s="991">
        <v>0</v>
      </c>
      <c r="V276" s="991">
        <v>324</v>
      </c>
      <c r="W276" s="992">
        <f t="shared" si="104"/>
        <v>324</v>
      </c>
      <c r="X276" s="993">
        <f t="shared" si="105"/>
        <v>2.2437673130193905</v>
      </c>
      <c r="Y276" s="990">
        <v>1555</v>
      </c>
      <c r="Z276" s="991">
        <v>1348</v>
      </c>
      <c r="AA276" s="991">
        <v>750</v>
      </c>
      <c r="AB276" s="992">
        <f t="shared" si="106"/>
        <v>3653</v>
      </c>
      <c r="AC276" s="993">
        <f t="shared" si="107"/>
        <v>25.297783933518005</v>
      </c>
      <c r="AD276" s="994">
        <f t="shared" si="108"/>
        <v>3977</v>
      </c>
      <c r="AE276" s="995">
        <f t="shared" si="109"/>
        <v>27.541551246537395</v>
      </c>
      <c r="AF276" s="996">
        <v>78</v>
      </c>
      <c r="AG276" s="997">
        <v>60</v>
      </c>
      <c r="AH276" s="997">
        <v>7</v>
      </c>
      <c r="AI276" s="998">
        <f t="shared" si="110"/>
        <v>145</v>
      </c>
      <c r="AJ276" s="993">
        <f t="shared" si="111"/>
        <v>1.0041551246537397</v>
      </c>
    </row>
    <row r="277" spans="1:36" ht="16.5" customHeight="1">
      <c r="A277" s="999">
        <f>'09월 조업일지'!A275</f>
        <v>46275</v>
      </c>
      <c r="B277" s="1099">
        <f>'09월 조업일지'!B275</f>
        <v>46275</v>
      </c>
      <c r="C277" s="1000" t="str">
        <f>'09월 화학성분'!D275</f>
        <v>C</v>
      </c>
      <c r="D277" s="1000" t="str">
        <f>'09월 화학성분'!E275</f>
        <v>B</v>
      </c>
      <c r="E277" s="1000">
        <f>'09월 화학성분'!C275</f>
        <v>85477</v>
      </c>
      <c r="F277" s="1001" t="str">
        <f t="shared" si="97"/>
        <v>S355JO-01</v>
      </c>
      <c r="G277" s="1172">
        <v>19.100000000000001</v>
      </c>
      <c r="H277" s="985">
        <v>22900</v>
      </c>
      <c r="I277" s="1173">
        <v>16.600000000000001</v>
      </c>
      <c r="J277" s="985">
        <v>20500</v>
      </c>
      <c r="K277" s="1173">
        <v>10.6</v>
      </c>
      <c r="L277" s="985">
        <v>13500</v>
      </c>
      <c r="M277" s="1174">
        <f t="shared" si="98"/>
        <v>46.300000000000004</v>
      </c>
      <c r="N277" s="984">
        <f t="shared" si="99"/>
        <v>56900</v>
      </c>
      <c r="O277" s="986">
        <f t="shared" si="100"/>
        <v>157.60495526496902</v>
      </c>
      <c r="P277" s="987">
        <f t="shared" si="101"/>
        <v>141.08740536820372</v>
      </c>
      <c r="Q277" s="987">
        <f t="shared" si="102"/>
        <v>92.911218169304874</v>
      </c>
      <c r="R277" s="988">
        <f t="shared" si="103"/>
        <v>391.60357880247761</v>
      </c>
      <c r="S277" s="989">
        <v>145.30000000000001</v>
      </c>
      <c r="T277" s="990">
        <v>0</v>
      </c>
      <c r="U277" s="991">
        <v>0</v>
      </c>
      <c r="V277" s="991">
        <v>308</v>
      </c>
      <c r="W277" s="992">
        <f t="shared" si="104"/>
        <v>308</v>
      </c>
      <c r="X277" s="993">
        <f t="shared" si="105"/>
        <v>2.1197522367515482</v>
      </c>
      <c r="Y277" s="990">
        <v>1665</v>
      </c>
      <c r="Z277" s="991">
        <v>1405</v>
      </c>
      <c r="AA277" s="991">
        <v>978</v>
      </c>
      <c r="AB277" s="992">
        <f t="shared" si="106"/>
        <v>4048</v>
      </c>
      <c r="AC277" s="993">
        <f t="shared" si="107"/>
        <v>27.859600825877493</v>
      </c>
      <c r="AD277" s="994">
        <f t="shared" si="108"/>
        <v>4356</v>
      </c>
      <c r="AE277" s="995">
        <f t="shared" si="109"/>
        <v>29.979353062629041</v>
      </c>
      <c r="AF277" s="996">
        <v>84</v>
      </c>
      <c r="AG277" s="997">
        <v>65</v>
      </c>
      <c r="AH277" s="997">
        <v>9</v>
      </c>
      <c r="AI277" s="998">
        <f t="shared" si="110"/>
        <v>158</v>
      </c>
      <c r="AJ277" s="993">
        <f t="shared" si="111"/>
        <v>1.0874053682037164</v>
      </c>
    </row>
    <row r="278" spans="1:36" ht="16.5" customHeight="1">
      <c r="A278" s="999">
        <f>'09월 조업일지'!A276</f>
        <v>46275</v>
      </c>
      <c r="B278" s="1099">
        <f>'09월 조업일지'!B276</f>
        <v>46275</v>
      </c>
      <c r="C278" s="1000" t="str">
        <f>'09월 화학성분'!D276</f>
        <v>C</v>
      </c>
      <c r="D278" s="1000" t="str">
        <f>'09월 화학성분'!E276</f>
        <v>A</v>
      </c>
      <c r="E278" s="1000">
        <f>'09월 화학성분'!C276</f>
        <v>85478</v>
      </c>
      <c r="F278" s="1104" t="s">
        <v>756</v>
      </c>
      <c r="G278" s="1172">
        <v>18.399999999999999</v>
      </c>
      <c r="H278" s="985">
        <v>23100</v>
      </c>
      <c r="I278" s="1173">
        <v>17.2</v>
      </c>
      <c r="J278" s="985">
        <v>20600</v>
      </c>
      <c r="K278" s="1173">
        <v>14</v>
      </c>
      <c r="L278" s="985">
        <v>17500</v>
      </c>
      <c r="M278" s="1174">
        <f t="shared" si="98"/>
        <v>49.599999999999994</v>
      </c>
      <c r="N278" s="984">
        <f t="shared" si="99"/>
        <v>61200</v>
      </c>
      <c r="O278" s="986">
        <f t="shared" si="100"/>
        <v>159.86159169550174</v>
      </c>
      <c r="P278" s="987">
        <f t="shared" si="101"/>
        <v>142.56055363321801</v>
      </c>
      <c r="Q278" s="987">
        <f t="shared" si="102"/>
        <v>121.10726643598616</v>
      </c>
      <c r="R278" s="988">
        <f t="shared" si="103"/>
        <v>423.52941176470591</v>
      </c>
      <c r="S278" s="989">
        <v>144.5</v>
      </c>
      <c r="T278" s="990">
        <v>0</v>
      </c>
      <c r="U278" s="991">
        <v>70</v>
      </c>
      <c r="V278" s="991">
        <v>297</v>
      </c>
      <c r="W278" s="992">
        <f t="shared" si="104"/>
        <v>367</v>
      </c>
      <c r="X278" s="993">
        <f t="shared" si="105"/>
        <v>2.5397923875432524</v>
      </c>
      <c r="Y278" s="990">
        <v>1533</v>
      </c>
      <c r="Z278" s="991">
        <v>1396</v>
      </c>
      <c r="AA278" s="991">
        <v>1212</v>
      </c>
      <c r="AB278" s="992">
        <f t="shared" si="106"/>
        <v>4141</v>
      </c>
      <c r="AC278" s="993">
        <f t="shared" si="107"/>
        <v>28.657439446366784</v>
      </c>
      <c r="AD278" s="994">
        <f t="shared" si="108"/>
        <v>4508</v>
      </c>
      <c r="AE278" s="995">
        <f t="shared" si="109"/>
        <v>31.197231833910035</v>
      </c>
      <c r="AF278" s="996">
        <v>75</v>
      </c>
      <c r="AG278" s="997">
        <v>64</v>
      </c>
      <c r="AH278" s="997">
        <v>24</v>
      </c>
      <c r="AI278" s="998">
        <f t="shared" si="110"/>
        <v>163</v>
      </c>
      <c r="AJ278" s="993">
        <f t="shared" si="111"/>
        <v>1.1280276816608996</v>
      </c>
    </row>
    <row r="279" spans="1:36" ht="16.5" customHeight="1">
      <c r="A279" s="999">
        <f>'09월 조업일지'!A277</f>
        <v>46275</v>
      </c>
      <c r="B279" s="1099">
        <f>'09월 조업일지'!B277</f>
        <v>46275</v>
      </c>
      <c r="C279" s="1000" t="str">
        <f>'09월 화학성분'!D277</f>
        <v>C</v>
      </c>
      <c r="D279" s="1000" t="str">
        <f>'09월 화학성분'!E277</f>
        <v>B</v>
      </c>
      <c r="E279" s="1000">
        <f>'09월 화학성분'!C277</f>
        <v>85479</v>
      </c>
      <c r="F279" s="1104" t="s">
        <v>758</v>
      </c>
      <c r="G279" s="1172">
        <v>21.9</v>
      </c>
      <c r="H279" s="985">
        <v>27200</v>
      </c>
      <c r="I279" s="1173">
        <v>0</v>
      </c>
      <c r="J279" s="985">
        <v>0</v>
      </c>
      <c r="K279" s="1173">
        <v>8.1</v>
      </c>
      <c r="L279" s="985">
        <v>19200</v>
      </c>
      <c r="M279" s="1174">
        <f t="shared" si="98"/>
        <v>30</v>
      </c>
      <c r="N279" s="984">
        <f t="shared" si="99"/>
        <v>46400</v>
      </c>
      <c r="O279" s="986">
        <f t="shared" si="100"/>
        <v>212.00311769290724</v>
      </c>
      <c r="P279" s="987">
        <f t="shared" si="101"/>
        <v>0</v>
      </c>
      <c r="Q279" s="987">
        <f t="shared" si="102"/>
        <v>149.64925954793452</v>
      </c>
      <c r="R279" s="988">
        <f t="shared" si="103"/>
        <v>361.65237724084176</v>
      </c>
      <c r="S279" s="989">
        <v>128.30000000000001</v>
      </c>
      <c r="T279" s="990">
        <v>22</v>
      </c>
      <c r="U279" s="991">
        <v>0</v>
      </c>
      <c r="V279" s="991">
        <v>436</v>
      </c>
      <c r="W279" s="992">
        <f t="shared" si="104"/>
        <v>458</v>
      </c>
      <c r="X279" s="993">
        <f t="shared" si="105"/>
        <v>3.5697583787996878</v>
      </c>
      <c r="Y279" s="990">
        <v>1877</v>
      </c>
      <c r="Z279" s="991">
        <v>0</v>
      </c>
      <c r="AA279" s="991">
        <v>1426</v>
      </c>
      <c r="AB279" s="992">
        <f t="shared" si="106"/>
        <v>3303</v>
      </c>
      <c r="AC279" s="993">
        <f t="shared" si="107"/>
        <v>25.74434918160561</v>
      </c>
      <c r="AD279" s="994">
        <f t="shared" si="108"/>
        <v>3761</v>
      </c>
      <c r="AE279" s="995">
        <f t="shared" si="109"/>
        <v>29.314107560405297</v>
      </c>
      <c r="AF279" s="996">
        <v>85</v>
      </c>
      <c r="AG279" s="997">
        <v>0</v>
      </c>
      <c r="AH279" s="997">
        <v>18</v>
      </c>
      <c r="AI279" s="998">
        <f t="shared" si="110"/>
        <v>103</v>
      </c>
      <c r="AJ279" s="993">
        <f t="shared" si="111"/>
        <v>0.8028059236165237</v>
      </c>
    </row>
    <row r="280" spans="1:36" ht="16.5" customHeight="1">
      <c r="A280" s="999">
        <f>'09월 조업일지'!A278</f>
        <v>46275</v>
      </c>
      <c r="B280" s="1099">
        <f>'09월 조업일지'!B278</f>
        <v>46275</v>
      </c>
      <c r="C280" s="1000" t="str">
        <f>'09월 화학성분'!D278</f>
        <v>C</v>
      </c>
      <c r="D280" s="1000" t="str">
        <f>'09월 화학성분'!E278</f>
        <v>A</v>
      </c>
      <c r="E280" s="1000">
        <f>'09월 화학성분'!C278</f>
        <v>85480</v>
      </c>
      <c r="F280" s="1104" t="s">
        <v>756</v>
      </c>
      <c r="G280" s="1172">
        <v>18</v>
      </c>
      <c r="H280" s="985">
        <v>22500</v>
      </c>
      <c r="I280" s="1173">
        <v>16.2</v>
      </c>
      <c r="J280" s="985">
        <v>20500</v>
      </c>
      <c r="K280" s="1173">
        <v>12.6</v>
      </c>
      <c r="L280" s="985">
        <v>15600</v>
      </c>
      <c r="M280" s="1174">
        <f t="shared" si="98"/>
        <v>46.800000000000004</v>
      </c>
      <c r="N280" s="984">
        <f t="shared" si="99"/>
        <v>58600</v>
      </c>
      <c r="O280" s="986">
        <f t="shared" si="100"/>
        <v>155.27950310559007</v>
      </c>
      <c r="P280" s="987">
        <f t="shared" si="101"/>
        <v>141.47688060731539</v>
      </c>
      <c r="Q280" s="987">
        <f t="shared" si="102"/>
        <v>107.66045548654243</v>
      </c>
      <c r="R280" s="988">
        <f t="shared" si="103"/>
        <v>404.41683919944791</v>
      </c>
      <c r="S280" s="989">
        <v>144.9</v>
      </c>
      <c r="T280" s="990">
        <v>0</v>
      </c>
      <c r="U280" s="991">
        <v>40</v>
      </c>
      <c r="V280" s="991">
        <v>311</v>
      </c>
      <c r="W280" s="992">
        <f t="shared" si="104"/>
        <v>351</v>
      </c>
      <c r="X280" s="993">
        <f t="shared" si="105"/>
        <v>2.4223602484472049</v>
      </c>
      <c r="Y280" s="990">
        <v>1476</v>
      </c>
      <c r="Z280" s="991">
        <v>1336</v>
      </c>
      <c r="AA280" s="991">
        <v>1071</v>
      </c>
      <c r="AB280" s="992">
        <f t="shared" si="106"/>
        <v>3883</v>
      </c>
      <c r="AC280" s="993">
        <f t="shared" si="107"/>
        <v>26.797791580400276</v>
      </c>
      <c r="AD280" s="994">
        <f t="shared" si="108"/>
        <v>4234</v>
      </c>
      <c r="AE280" s="995">
        <f t="shared" si="109"/>
        <v>29.220151828847481</v>
      </c>
      <c r="AF280" s="996">
        <v>76</v>
      </c>
      <c r="AG280" s="997">
        <v>60</v>
      </c>
      <c r="AH280" s="997">
        <v>8</v>
      </c>
      <c r="AI280" s="998">
        <f t="shared" si="110"/>
        <v>144</v>
      </c>
      <c r="AJ280" s="993">
        <f t="shared" si="111"/>
        <v>0.99378881987577639</v>
      </c>
    </row>
    <row r="281" spans="1:36" ht="16.5" customHeight="1">
      <c r="A281" s="999">
        <f>'09월 조업일지'!A279</f>
        <v>46275</v>
      </c>
      <c r="B281" s="1099">
        <f>'09월 조업일지'!B279</f>
        <v>46275</v>
      </c>
      <c r="C281" s="1000" t="str">
        <f>'09월 화학성분'!D279</f>
        <v>C</v>
      </c>
      <c r="D281" s="1232" t="str">
        <f>'09월 화학성분'!E279</f>
        <v>A</v>
      </c>
      <c r="E281" s="1000">
        <f>'09월 화학성분'!C279</f>
        <v>85481</v>
      </c>
      <c r="F281" s="1104" t="s">
        <v>758</v>
      </c>
      <c r="G281" s="1172">
        <v>21</v>
      </c>
      <c r="H281" s="985">
        <v>26600</v>
      </c>
      <c r="I281" s="1173">
        <v>0</v>
      </c>
      <c r="J281" s="985">
        <v>0</v>
      </c>
      <c r="K281" s="1173">
        <v>8.1</v>
      </c>
      <c r="L281" s="985">
        <v>15600</v>
      </c>
      <c r="M281" s="1174">
        <f t="shared" si="98"/>
        <v>29.1</v>
      </c>
      <c r="N281" s="984">
        <f t="shared" si="99"/>
        <v>42200</v>
      </c>
      <c r="O281" s="986">
        <f t="shared" si="100"/>
        <v>217.14285714285714</v>
      </c>
      <c r="P281" s="987">
        <f t="shared" si="101"/>
        <v>0</v>
      </c>
      <c r="Q281" s="987">
        <f t="shared" si="102"/>
        <v>127.34693877551021</v>
      </c>
      <c r="R281" s="988">
        <f t="shared" si="103"/>
        <v>344.48979591836735</v>
      </c>
      <c r="S281" s="989">
        <v>122.5</v>
      </c>
      <c r="T281" s="990">
        <v>74</v>
      </c>
      <c r="U281" s="991">
        <v>0</v>
      </c>
      <c r="V281" s="991">
        <v>436</v>
      </c>
      <c r="W281" s="992">
        <f t="shared" si="104"/>
        <v>510</v>
      </c>
      <c r="X281" s="993">
        <f t="shared" si="105"/>
        <v>4.1632653061224492</v>
      </c>
      <c r="Y281" s="990">
        <v>1770</v>
      </c>
      <c r="Z281" s="991">
        <v>0</v>
      </c>
      <c r="AA281" s="991">
        <v>1156</v>
      </c>
      <c r="AB281" s="992">
        <f t="shared" si="106"/>
        <v>2926</v>
      </c>
      <c r="AC281" s="993">
        <f t="shared" si="107"/>
        <v>23.885714285714286</v>
      </c>
      <c r="AD281" s="994">
        <f t="shared" si="108"/>
        <v>3436</v>
      </c>
      <c r="AE281" s="995">
        <f t="shared" si="109"/>
        <v>28.048979591836734</v>
      </c>
      <c r="AF281" s="996">
        <v>80</v>
      </c>
      <c r="AG281" s="997">
        <v>0</v>
      </c>
      <c r="AH281" s="997">
        <v>7</v>
      </c>
      <c r="AI281" s="998">
        <f t="shared" si="110"/>
        <v>87</v>
      </c>
      <c r="AJ281" s="993">
        <f t="shared" si="111"/>
        <v>0.71020408163265303</v>
      </c>
    </row>
    <row r="282" spans="1:36" ht="16.5" customHeight="1">
      <c r="A282" s="999">
        <f>'09월 조업일지'!A280</f>
        <v>46275</v>
      </c>
      <c r="B282" s="1099">
        <f>'09월 조업일지'!B280</f>
        <v>46275</v>
      </c>
      <c r="C282" s="1000" t="str">
        <f>'09월 화학성분'!D280</f>
        <v>D</v>
      </c>
      <c r="D282" s="1000" t="str">
        <f>'09월 화학성분'!E280</f>
        <v>A</v>
      </c>
      <c r="E282" s="1000">
        <f>'09월 화학성분'!C280</f>
        <v>85482</v>
      </c>
      <c r="F282" s="1104" t="s">
        <v>648</v>
      </c>
      <c r="G282" s="1172">
        <v>23.9</v>
      </c>
      <c r="H282" s="985">
        <v>26300</v>
      </c>
      <c r="I282" s="1173">
        <v>16.8</v>
      </c>
      <c r="J282" s="985">
        <v>20600</v>
      </c>
      <c r="K282" s="1173">
        <v>11</v>
      </c>
      <c r="L282" s="985">
        <v>14700</v>
      </c>
      <c r="M282" s="1174">
        <f t="shared" si="98"/>
        <v>51.7</v>
      </c>
      <c r="N282" s="984">
        <f t="shared" si="99"/>
        <v>61600</v>
      </c>
      <c r="O282" s="986">
        <f t="shared" si="100"/>
        <v>196.56203288490283</v>
      </c>
      <c r="P282" s="987">
        <f t="shared" si="101"/>
        <v>153.96113602391628</v>
      </c>
      <c r="Q282" s="987">
        <f t="shared" si="102"/>
        <v>109.86547085201792</v>
      </c>
      <c r="R282" s="988">
        <f t="shared" si="103"/>
        <v>460.38863976083701</v>
      </c>
      <c r="S282" s="989">
        <v>133.80000000000001</v>
      </c>
      <c r="T282" s="990">
        <v>0</v>
      </c>
      <c r="U282" s="991">
        <v>0</v>
      </c>
      <c r="V282" s="991">
        <v>332</v>
      </c>
      <c r="W282" s="992">
        <f t="shared" si="104"/>
        <v>332</v>
      </c>
      <c r="X282" s="993">
        <f t="shared" si="105"/>
        <v>2.4813153961136023</v>
      </c>
      <c r="Y282" s="990">
        <v>1901</v>
      </c>
      <c r="Z282" s="991">
        <v>1369</v>
      </c>
      <c r="AA282" s="991">
        <v>748</v>
      </c>
      <c r="AB282" s="992">
        <f t="shared" si="106"/>
        <v>4018</v>
      </c>
      <c r="AC282" s="993">
        <f t="shared" si="107"/>
        <v>30.029895366218234</v>
      </c>
      <c r="AD282" s="994">
        <f t="shared" si="108"/>
        <v>4350</v>
      </c>
      <c r="AE282" s="995">
        <f t="shared" si="109"/>
        <v>32.511210762331835</v>
      </c>
      <c r="AF282" s="996">
        <v>143</v>
      </c>
      <c r="AG282" s="997">
        <v>66</v>
      </c>
      <c r="AH282" s="997">
        <v>7</v>
      </c>
      <c r="AI282" s="998">
        <f t="shared" si="110"/>
        <v>216</v>
      </c>
      <c r="AJ282" s="993">
        <f t="shared" si="111"/>
        <v>1.6143497757847531</v>
      </c>
    </row>
    <row r="283" spans="1:36" ht="16.5" customHeight="1">
      <c r="A283" s="999">
        <f>'09월 조업일지'!A281</f>
        <v>46275</v>
      </c>
      <c r="B283" s="1099">
        <f>'09월 조업일지'!B281</f>
        <v>46275</v>
      </c>
      <c r="C283" s="1000" t="str">
        <f>'09월 화학성분'!D281</f>
        <v>D</v>
      </c>
      <c r="D283" s="1000" t="str">
        <f>'09월 화학성분'!E281</f>
        <v>A</v>
      </c>
      <c r="E283" s="1000">
        <f>'09월 화학성분'!C281</f>
        <v>85483</v>
      </c>
      <c r="F283" s="1001" t="str">
        <f t="shared" si="97"/>
        <v>SS400-02</v>
      </c>
      <c r="G283" s="1172">
        <v>19.8</v>
      </c>
      <c r="H283" s="985">
        <v>23300</v>
      </c>
      <c r="I283" s="1173">
        <v>16.8</v>
      </c>
      <c r="J283" s="985">
        <v>20700</v>
      </c>
      <c r="K283" s="1173">
        <v>7.9</v>
      </c>
      <c r="L283" s="985">
        <v>10000</v>
      </c>
      <c r="M283" s="1174">
        <f t="shared" si="98"/>
        <v>44.5</v>
      </c>
      <c r="N283" s="984">
        <f t="shared" si="99"/>
        <v>54000</v>
      </c>
      <c r="O283" s="986">
        <f t="shared" si="100"/>
        <v>167.14490674318506</v>
      </c>
      <c r="P283" s="987">
        <f t="shared" si="101"/>
        <v>148.49354375896701</v>
      </c>
      <c r="Q283" s="987">
        <f t="shared" si="102"/>
        <v>71.736011477761835</v>
      </c>
      <c r="R283" s="988">
        <f t="shared" si="103"/>
        <v>387.37446197991392</v>
      </c>
      <c r="S283" s="989">
        <v>139.4</v>
      </c>
      <c r="T283" s="990">
        <v>0</v>
      </c>
      <c r="U283" s="991">
        <v>49</v>
      </c>
      <c r="V283" s="991">
        <v>295</v>
      </c>
      <c r="W283" s="992">
        <f t="shared" si="104"/>
        <v>344</v>
      </c>
      <c r="X283" s="993">
        <f t="shared" si="105"/>
        <v>2.4677187948350072</v>
      </c>
      <c r="Y283" s="990">
        <v>1625</v>
      </c>
      <c r="Z283" s="991">
        <v>1398</v>
      </c>
      <c r="AA283" s="991">
        <v>629</v>
      </c>
      <c r="AB283" s="992">
        <f t="shared" si="106"/>
        <v>3652</v>
      </c>
      <c r="AC283" s="993">
        <f t="shared" si="107"/>
        <v>26.19799139167862</v>
      </c>
      <c r="AD283" s="994">
        <f t="shared" si="108"/>
        <v>3996</v>
      </c>
      <c r="AE283" s="995">
        <f t="shared" si="109"/>
        <v>28.665710186513628</v>
      </c>
      <c r="AF283" s="996">
        <v>84</v>
      </c>
      <c r="AG283" s="997">
        <v>63</v>
      </c>
      <c r="AH283" s="997">
        <v>5</v>
      </c>
      <c r="AI283" s="998">
        <f t="shared" si="110"/>
        <v>152</v>
      </c>
      <c r="AJ283" s="993">
        <f t="shared" si="111"/>
        <v>1.0903873744619799</v>
      </c>
    </row>
    <row r="284" spans="1:36" ht="16.5" customHeight="1">
      <c r="A284" s="999">
        <f>'09월 조업일지'!A282</f>
        <v>46275</v>
      </c>
      <c r="B284" s="1099">
        <f>'09월 조업일지'!B282</f>
        <v>46275</v>
      </c>
      <c r="C284" s="1000" t="str">
        <f>'09월 화학성분'!D282</f>
        <v>D</v>
      </c>
      <c r="D284" s="1000" t="str">
        <f>'09월 화학성분'!E282</f>
        <v>A</v>
      </c>
      <c r="E284" s="1000">
        <f>'09월 화학성분'!C282</f>
        <v>85484</v>
      </c>
      <c r="F284" s="1001" t="str">
        <f t="shared" si="97"/>
        <v>SS400-02</v>
      </c>
      <c r="G284" s="1172">
        <v>18.3</v>
      </c>
      <c r="H284" s="985">
        <v>22300</v>
      </c>
      <c r="I284" s="1173">
        <v>17.7</v>
      </c>
      <c r="J284" s="985">
        <v>20700</v>
      </c>
      <c r="K284" s="1173">
        <v>8.4</v>
      </c>
      <c r="L284" s="985">
        <v>10500</v>
      </c>
      <c r="M284" s="1174">
        <f t="shared" si="98"/>
        <v>44.4</v>
      </c>
      <c r="N284" s="984">
        <f t="shared" si="99"/>
        <v>53500</v>
      </c>
      <c r="O284" s="986">
        <f t="shared" si="100"/>
        <v>153.79310344827587</v>
      </c>
      <c r="P284" s="987">
        <f t="shared" si="101"/>
        <v>142.75862068965517</v>
      </c>
      <c r="Q284" s="987">
        <f t="shared" si="102"/>
        <v>72.41379310344827</v>
      </c>
      <c r="R284" s="988">
        <f t="shared" si="103"/>
        <v>368.9655172413793</v>
      </c>
      <c r="S284" s="989">
        <v>145</v>
      </c>
      <c r="T284" s="990">
        <v>0</v>
      </c>
      <c r="U284" s="991">
        <v>130</v>
      </c>
      <c r="V284" s="991">
        <v>209</v>
      </c>
      <c r="W284" s="992">
        <f t="shared" si="104"/>
        <v>339</v>
      </c>
      <c r="X284" s="993">
        <f t="shared" si="105"/>
        <v>2.3379310344827586</v>
      </c>
      <c r="Y284" s="990">
        <v>1513</v>
      </c>
      <c r="Z284" s="991">
        <v>1417</v>
      </c>
      <c r="AA284" s="991">
        <v>723</v>
      </c>
      <c r="AB284" s="992">
        <f t="shared" si="106"/>
        <v>3653</v>
      </c>
      <c r="AC284" s="993">
        <f t="shared" si="107"/>
        <v>25.193103448275863</v>
      </c>
      <c r="AD284" s="994">
        <f t="shared" si="108"/>
        <v>3992</v>
      </c>
      <c r="AE284" s="995">
        <f t="shared" si="109"/>
        <v>27.531034482758621</v>
      </c>
      <c r="AF284" s="996">
        <v>80</v>
      </c>
      <c r="AG284" s="997">
        <v>66</v>
      </c>
      <c r="AH284" s="997">
        <v>5</v>
      </c>
      <c r="AI284" s="998">
        <f t="shared" si="110"/>
        <v>151</v>
      </c>
      <c r="AJ284" s="993">
        <f t="shared" si="111"/>
        <v>1.0413793103448277</v>
      </c>
    </row>
    <row r="285" spans="1:36" ht="16.5" customHeight="1">
      <c r="A285" s="999">
        <f>'09월 조업일지'!A283</f>
        <v>46275</v>
      </c>
      <c r="B285" s="1099">
        <f>'09월 조업일지'!B283</f>
        <v>46275</v>
      </c>
      <c r="C285" s="1000" t="str">
        <f>'09월 화학성분'!D283</f>
        <v>D</v>
      </c>
      <c r="D285" s="1000" t="str">
        <f>'09월 화학성분'!E283</f>
        <v>B</v>
      </c>
      <c r="E285" s="1000">
        <f>'09월 화학성분'!C283</f>
        <v>85485</v>
      </c>
      <c r="F285" s="1001" t="str">
        <f t="shared" si="97"/>
        <v>SS400-02</v>
      </c>
      <c r="G285" s="1172">
        <v>24.1</v>
      </c>
      <c r="H285" s="985">
        <v>26000</v>
      </c>
      <c r="I285" s="1173">
        <v>16.7</v>
      </c>
      <c r="J285" s="985">
        <v>20300</v>
      </c>
      <c r="K285" s="1173">
        <v>10</v>
      </c>
      <c r="L285" s="985">
        <v>12400</v>
      </c>
      <c r="M285" s="1174">
        <f t="shared" si="98"/>
        <v>50.8</v>
      </c>
      <c r="N285" s="984">
        <f t="shared" si="99"/>
        <v>58700</v>
      </c>
      <c r="O285" s="986">
        <f t="shared" si="100"/>
        <v>194.31988041853512</v>
      </c>
      <c r="P285" s="987">
        <f t="shared" si="101"/>
        <v>151.71898355754857</v>
      </c>
      <c r="Q285" s="987">
        <f t="shared" si="102"/>
        <v>92.675635276532134</v>
      </c>
      <c r="R285" s="988">
        <f t="shared" si="103"/>
        <v>438.71449925261584</v>
      </c>
      <c r="S285" s="989">
        <v>133.80000000000001</v>
      </c>
      <c r="T285" s="990">
        <v>0</v>
      </c>
      <c r="U285" s="991">
        <v>20</v>
      </c>
      <c r="V285" s="991">
        <v>338</v>
      </c>
      <c r="W285" s="992">
        <f t="shared" si="104"/>
        <v>358</v>
      </c>
      <c r="X285" s="993">
        <f t="shared" si="105"/>
        <v>2.6756352765321374</v>
      </c>
      <c r="Y285" s="990">
        <v>1723</v>
      </c>
      <c r="Z285" s="991">
        <v>1377</v>
      </c>
      <c r="AA285" s="991">
        <v>685</v>
      </c>
      <c r="AB285" s="992">
        <f t="shared" si="106"/>
        <v>3785</v>
      </c>
      <c r="AC285" s="993">
        <f t="shared" si="107"/>
        <v>28.288490284005977</v>
      </c>
      <c r="AD285" s="994">
        <f t="shared" si="108"/>
        <v>4143</v>
      </c>
      <c r="AE285" s="995">
        <f t="shared" si="109"/>
        <v>30.964125560538115</v>
      </c>
      <c r="AF285" s="996">
        <v>106</v>
      </c>
      <c r="AG285" s="997">
        <v>66</v>
      </c>
      <c r="AH285" s="997">
        <v>6</v>
      </c>
      <c r="AI285" s="998">
        <f t="shared" si="110"/>
        <v>178</v>
      </c>
      <c r="AJ285" s="993">
        <f t="shared" si="111"/>
        <v>1.3303437967115097</v>
      </c>
    </row>
    <row r="286" spans="1:36" ht="16.5" customHeight="1">
      <c r="A286" s="999">
        <f>'09월 조업일지'!A284</f>
        <v>46275</v>
      </c>
      <c r="B286" s="1099">
        <f>'09월 조업일지'!B284</f>
        <v>46275</v>
      </c>
      <c r="C286" s="1000" t="str">
        <f>'09월 화학성분'!D284</f>
        <v>D</v>
      </c>
      <c r="D286" s="1000" t="str">
        <f>'09월 화학성분'!E284</f>
        <v>A</v>
      </c>
      <c r="E286" s="1000">
        <f>'09월 화학성분'!C284</f>
        <v>85486</v>
      </c>
      <c r="F286" s="1104" t="s">
        <v>668</v>
      </c>
      <c r="G286" s="1172">
        <v>19.5</v>
      </c>
      <c r="H286" s="985">
        <v>22600</v>
      </c>
      <c r="I286" s="1173">
        <v>17.8</v>
      </c>
      <c r="J286" s="985">
        <v>21000</v>
      </c>
      <c r="K286" s="1173">
        <v>9.1</v>
      </c>
      <c r="L286" s="985">
        <v>11300</v>
      </c>
      <c r="M286" s="1174">
        <f t="shared" si="98"/>
        <v>46.4</v>
      </c>
      <c r="N286" s="984">
        <f t="shared" si="99"/>
        <v>54900</v>
      </c>
      <c r="O286" s="986">
        <f t="shared" si="100"/>
        <v>156.40138408304497</v>
      </c>
      <c r="P286" s="987">
        <f t="shared" si="101"/>
        <v>145.32871972318338</v>
      </c>
      <c r="Q286" s="987">
        <f t="shared" si="102"/>
        <v>78.200692041522487</v>
      </c>
      <c r="R286" s="988">
        <f t="shared" si="103"/>
        <v>379.93079584775086</v>
      </c>
      <c r="S286" s="989">
        <v>144.5</v>
      </c>
      <c r="T286" s="990">
        <v>0</v>
      </c>
      <c r="U286" s="991"/>
      <c r="V286" s="991">
        <v>328</v>
      </c>
      <c r="W286" s="992">
        <f t="shared" si="104"/>
        <v>328</v>
      </c>
      <c r="X286" s="993">
        <f t="shared" si="105"/>
        <v>2.2698961937716264</v>
      </c>
      <c r="Y286" s="990">
        <v>1618</v>
      </c>
      <c r="Z286" s="991">
        <v>1494</v>
      </c>
      <c r="AA286" s="991">
        <v>727</v>
      </c>
      <c r="AB286" s="992">
        <f t="shared" si="106"/>
        <v>3839</v>
      </c>
      <c r="AC286" s="993">
        <f t="shared" si="107"/>
        <v>26.567474048442907</v>
      </c>
      <c r="AD286" s="994">
        <f t="shared" si="108"/>
        <v>4167</v>
      </c>
      <c r="AE286" s="995">
        <f t="shared" si="109"/>
        <v>28.837370242214533</v>
      </c>
      <c r="AF286" s="996">
        <v>85</v>
      </c>
      <c r="AG286" s="997">
        <v>67</v>
      </c>
      <c r="AH286" s="997">
        <v>5</v>
      </c>
      <c r="AI286" s="998">
        <f t="shared" si="110"/>
        <v>157</v>
      </c>
      <c r="AJ286" s="993">
        <f t="shared" si="111"/>
        <v>1.0865051903114187</v>
      </c>
    </row>
    <row r="287" spans="1:36" ht="16.5" customHeight="1">
      <c r="A287" s="999">
        <f>'09월 조업일지'!A285</f>
        <v>46275</v>
      </c>
      <c r="B287" s="1099">
        <f>'09월 조업일지'!B285</f>
        <v>46275</v>
      </c>
      <c r="C287" s="1000" t="str">
        <f>'09월 화학성분'!D285</f>
        <v>B</v>
      </c>
      <c r="D287" s="1000" t="str">
        <f>'09월 화학성분'!E285</f>
        <v>B</v>
      </c>
      <c r="E287" s="1000">
        <f>'09월 화학성분'!C285</f>
        <v>85487</v>
      </c>
      <c r="F287" s="1001" t="str">
        <f t="shared" si="97"/>
        <v>SHN275(BB)</v>
      </c>
      <c r="G287" s="1172">
        <v>21.3</v>
      </c>
      <c r="H287" s="985">
        <v>22200</v>
      </c>
      <c r="I287" s="1173">
        <v>16.8</v>
      </c>
      <c r="J287" s="985">
        <v>20400</v>
      </c>
      <c r="K287" s="1173">
        <v>10.1</v>
      </c>
      <c r="L287" s="985">
        <v>12800</v>
      </c>
      <c r="M287" s="1174">
        <f t="shared" si="98"/>
        <v>48.2</v>
      </c>
      <c r="N287" s="984">
        <f t="shared" si="99"/>
        <v>55400</v>
      </c>
      <c r="O287" s="986">
        <f t="shared" si="100"/>
        <v>153.73961218836564</v>
      </c>
      <c r="P287" s="987">
        <f t="shared" si="101"/>
        <v>141.27423822714681</v>
      </c>
      <c r="Q287" s="987">
        <f t="shared" si="102"/>
        <v>88.642659279778385</v>
      </c>
      <c r="R287" s="988">
        <f t="shared" si="103"/>
        <v>383.65650969529088</v>
      </c>
      <c r="S287" s="989">
        <v>144.4</v>
      </c>
      <c r="T287" s="990">
        <v>0</v>
      </c>
      <c r="U287" s="991">
        <v>0</v>
      </c>
      <c r="V287" s="991">
        <v>301</v>
      </c>
      <c r="W287" s="992">
        <f t="shared" si="104"/>
        <v>301</v>
      </c>
      <c r="X287" s="993">
        <f t="shared" si="105"/>
        <v>2.0844875346260388</v>
      </c>
      <c r="Y287" s="990">
        <v>1755</v>
      </c>
      <c r="Z287" s="991">
        <v>1389</v>
      </c>
      <c r="AA287" s="991">
        <v>826</v>
      </c>
      <c r="AB287" s="992">
        <f t="shared" si="106"/>
        <v>3970</v>
      </c>
      <c r="AC287" s="993">
        <f t="shared" si="107"/>
        <v>27.493074792243767</v>
      </c>
      <c r="AD287" s="994">
        <f t="shared" si="108"/>
        <v>4271</v>
      </c>
      <c r="AE287" s="995">
        <f t="shared" si="109"/>
        <v>29.577562326869806</v>
      </c>
      <c r="AF287" s="996">
        <v>95</v>
      </c>
      <c r="AG287" s="997">
        <v>64</v>
      </c>
      <c r="AH287" s="997">
        <v>8</v>
      </c>
      <c r="AI287" s="998">
        <f t="shared" si="110"/>
        <v>167</v>
      </c>
      <c r="AJ287" s="993">
        <f t="shared" si="111"/>
        <v>1.1565096952908587</v>
      </c>
    </row>
    <row r="288" spans="1:36" ht="16.5" customHeight="1">
      <c r="A288" s="999">
        <f>'09월 조업일지'!A286</f>
        <v>46275</v>
      </c>
      <c r="B288" s="1099">
        <f>'09월 조업일지'!B286</f>
        <v>46275</v>
      </c>
      <c r="C288" s="1000" t="str">
        <f>'09월 화학성분'!D286</f>
        <v>B</v>
      </c>
      <c r="D288" s="1000" t="str">
        <f>'09월 화학성분'!E286</f>
        <v>A</v>
      </c>
      <c r="E288" s="1000">
        <f>'09월 화학성분'!C286</f>
        <v>85488</v>
      </c>
      <c r="F288" s="1001" t="str">
        <f t="shared" si="97"/>
        <v>SHN275(BB)</v>
      </c>
      <c r="G288" s="1172">
        <v>19.3</v>
      </c>
      <c r="H288" s="985">
        <v>23200</v>
      </c>
      <c r="I288" s="1173">
        <v>16.7</v>
      </c>
      <c r="J288" s="985">
        <v>20500</v>
      </c>
      <c r="K288" s="1173">
        <v>9.1999999999999993</v>
      </c>
      <c r="L288" s="985">
        <v>11500</v>
      </c>
      <c r="M288" s="1174">
        <f t="shared" si="98"/>
        <v>45.2</v>
      </c>
      <c r="N288" s="984">
        <f t="shared" si="99"/>
        <v>55200</v>
      </c>
      <c r="O288" s="986">
        <f t="shared" si="100"/>
        <v>157.71583956492182</v>
      </c>
      <c r="P288" s="987">
        <f t="shared" si="101"/>
        <v>139.36097892590075</v>
      </c>
      <c r="Q288" s="987">
        <f t="shared" si="102"/>
        <v>78.178110129163841</v>
      </c>
      <c r="R288" s="988">
        <f t="shared" si="103"/>
        <v>375.2549286199864</v>
      </c>
      <c r="S288" s="989">
        <v>147.1</v>
      </c>
      <c r="T288" s="990">
        <v>0</v>
      </c>
      <c r="U288" s="991">
        <v>0</v>
      </c>
      <c r="V288" s="991">
        <v>283</v>
      </c>
      <c r="W288" s="992">
        <f t="shared" si="104"/>
        <v>283</v>
      </c>
      <c r="X288" s="993">
        <f t="shared" si="105"/>
        <v>1.9238613188307274</v>
      </c>
      <c r="Y288" s="990">
        <v>1585</v>
      </c>
      <c r="Z288" s="991">
        <v>1390</v>
      </c>
      <c r="AA288" s="991">
        <v>649</v>
      </c>
      <c r="AB288" s="992">
        <f t="shared" si="106"/>
        <v>3624</v>
      </c>
      <c r="AC288" s="993">
        <f t="shared" si="107"/>
        <v>24.636301835486066</v>
      </c>
      <c r="AD288" s="994">
        <f t="shared" si="108"/>
        <v>3907</v>
      </c>
      <c r="AE288" s="995">
        <f t="shared" si="109"/>
        <v>26.560163154316793</v>
      </c>
      <c r="AF288" s="996">
        <v>81</v>
      </c>
      <c r="AG288" s="997">
        <v>64</v>
      </c>
      <c r="AH288" s="997">
        <v>5</v>
      </c>
      <c r="AI288" s="998">
        <f t="shared" si="110"/>
        <v>150</v>
      </c>
      <c r="AJ288" s="993">
        <f t="shared" si="111"/>
        <v>1.0197144799456153</v>
      </c>
    </row>
    <row r="289" spans="1:36" ht="16.5" customHeight="1">
      <c r="A289" s="999">
        <f>'09월 조업일지'!A287</f>
        <v>46275</v>
      </c>
      <c r="B289" s="1099">
        <f>'09월 조업일지'!B287</f>
        <v>46275</v>
      </c>
      <c r="C289" s="1000" t="str">
        <f>'09월 화학성분'!D287</f>
        <v>B</v>
      </c>
      <c r="D289" s="1000" t="str">
        <f>'09월 화학성분'!E287</f>
        <v>B</v>
      </c>
      <c r="E289" s="1000">
        <f>'09월 화학성분'!C287</f>
        <v>85489</v>
      </c>
      <c r="F289" s="1001" t="str">
        <f t="shared" si="97"/>
        <v>SHN275(BB)</v>
      </c>
      <c r="G289" s="1172">
        <v>20</v>
      </c>
      <c r="H289" s="985">
        <v>24000</v>
      </c>
      <c r="I289" s="1173">
        <v>17.100000000000001</v>
      </c>
      <c r="J289" s="985">
        <v>20500</v>
      </c>
      <c r="K289" s="1173">
        <v>9.1999999999999993</v>
      </c>
      <c r="L289" s="985">
        <v>11800</v>
      </c>
      <c r="M289" s="1174">
        <f t="shared" si="98"/>
        <v>46.3</v>
      </c>
      <c r="N289" s="984">
        <f t="shared" si="99"/>
        <v>56300</v>
      </c>
      <c r="O289" s="986">
        <f t="shared" si="100"/>
        <v>164.94845360824743</v>
      </c>
      <c r="P289" s="987">
        <f t="shared" si="101"/>
        <v>140.89347079037802</v>
      </c>
      <c r="Q289" s="987">
        <f t="shared" si="102"/>
        <v>81.099656357388312</v>
      </c>
      <c r="R289" s="988">
        <f t="shared" si="103"/>
        <v>386.94158075601376</v>
      </c>
      <c r="S289" s="989">
        <v>145.5</v>
      </c>
      <c r="T289" s="990">
        <v>0</v>
      </c>
      <c r="U289" s="991">
        <v>0</v>
      </c>
      <c r="V289" s="991">
        <v>348</v>
      </c>
      <c r="W289" s="992">
        <f t="shared" si="104"/>
        <v>348</v>
      </c>
      <c r="X289" s="993">
        <f t="shared" si="105"/>
        <v>2.3917525773195876</v>
      </c>
      <c r="Y289" s="990">
        <v>1695</v>
      </c>
      <c r="Z289" s="991">
        <v>1409</v>
      </c>
      <c r="AA289" s="991">
        <v>745</v>
      </c>
      <c r="AB289" s="992">
        <f t="shared" si="106"/>
        <v>3849</v>
      </c>
      <c r="AC289" s="993">
        <f t="shared" si="107"/>
        <v>26.453608247422679</v>
      </c>
      <c r="AD289" s="994">
        <f t="shared" si="108"/>
        <v>4197</v>
      </c>
      <c r="AE289" s="995">
        <f t="shared" si="109"/>
        <v>28.845360824742269</v>
      </c>
      <c r="AF289" s="996">
        <v>83</v>
      </c>
      <c r="AG289" s="997">
        <v>68</v>
      </c>
      <c r="AH289" s="997">
        <v>7</v>
      </c>
      <c r="AI289" s="998">
        <f t="shared" si="110"/>
        <v>158</v>
      </c>
      <c r="AJ289" s="993">
        <f t="shared" si="111"/>
        <v>1.0859106529209621</v>
      </c>
    </row>
    <row r="290" spans="1:36" ht="16.5" customHeight="1">
      <c r="A290" s="999">
        <f>'09월 조업일지'!A288</f>
        <v>46275</v>
      </c>
      <c r="B290" s="1099">
        <f>'09월 조업일지'!B288</f>
        <v>46275</v>
      </c>
      <c r="C290" s="1000" t="str">
        <f>'09월 화학성분'!D288</f>
        <v>B</v>
      </c>
      <c r="D290" s="1000" t="str">
        <f>'09월 화학성분'!E288</f>
        <v>A</v>
      </c>
      <c r="E290" s="1000">
        <f>'09월 화학성분'!C288</f>
        <v>85490</v>
      </c>
      <c r="F290" s="1001" t="str">
        <f t="shared" si="97"/>
        <v>SHN275(BB)</v>
      </c>
      <c r="G290" s="1172">
        <v>19.899999999999999</v>
      </c>
      <c r="H290" s="985">
        <v>22800</v>
      </c>
      <c r="I290" s="1173">
        <v>18.3</v>
      </c>
      <c r="J290" s="985">
        <v>20800</v>
      </c>
      <c r="K290" s="1173">
        <v>9.4</v>
      </c>
      <c r="L290" s="985">
        <v>11000</v>
      </c>
      <c r="M290" s="1174">
        <f t="shared" si="98"/>
        <v>47.6</v>
      </c>
      <c r="N290" s="984">
        <f t="shared" si="99"/>
        <v>54600</v>
      </c>
      <c r="O290" s="986">
        <f t="shared" si="100"/>
        <v>154.36696005416385</v>
      </c>
      <c r="P290" s="987">
        <f t="shared" si="101"/>
        <v>140.82599864590387</v>
      </c>
      <c r="Q290" s="987">
        <f t="shared" si="102"/>
        <v>74.475287745429938</v>
      </c>
      <c r="R290" s="988">
        <f t="shared" si="103"/>
        <v>369.66824644549763</v>
      </c>
      <c r="S290" s="989">
        <v>147.69999999999999</v>
      </c>
      <c r="T290" s="990">
        <v>0</v>
      </c>
      <c r="U290" s="991">
        <v>0</v>
      </c>
      <c r="V290" s="991">
        <v>457</v>
      </c>
      <c r="W290" s="992">
        <f t="shared" si="104"/>
        <v>457</v>
      </c>
      <c r="X290" s="993">
        <f t="shared" si="105"/>
        <v>3.094109681787407</v>
      </c>
      <c r="Y290" s="990">
        <v>1644</v>
      </c>
      <c r="Z290" s="991">
        <v>1540</v>
      </c>
      <c r="AA290" s="991">
        <v>900</v>
      </c>
      <c r="AB290" s="992">
        <f t="shared" si="106"/>
        <v>4084</v>
      </c>
      <c r="AC290" s="993">
        <f t="shared" si="107"/>
        <v>27.650643195666895</v>
      </c>
      <c r="AD290" s="994">
        <f t="shared" si="108"/>
        <v>4541</v>
      </c>
      <c r="AE290" s="995">
        <f t="shared" si="109"/>
        <v>30.744752877454303</v>
      </c>
      <c r="AF290" s="996">
        <v>84</v>
      </c>
      <c r="AG290" s="997">
        <v>66</v>
      </c>
      <c r="AH290" s="997">
        <v>7</v>
      </c>
      <c r="AI290" s="998">
        <f t="shared" si="110"/>
        <v>157</v>
      </c>
      <c r="AJ290" s="993">
        <f t="shared" si="111"/>
        <v>1.0629654705484091</v>
      </c>
    </row>
    <row r="291" spans="1:36" ht="16.5" customHeight="1">
      <c r="A291" s="999">
        <f>'09월 조업일지'!A289</f>
        <v>46275</v>
      </c>
      <c r="B291" s="1099">
        <f>'09월 조업일지'!B289</f>
        <v>46275</v>
      </c>
      <c r="C291" s="1000" t="str">
        <f>'09월 화학성분'!D289</f>
        <v>B</v>
      </c>
      <c r="D291" s="1000" t="str">
        <f>'09월 화학성분'!E289</f>
        <v>B</v>
      </c>
      <c r="E291" s="1000">
        <f>'09월 화학성분'!C289</f>
        <v>85491</v>
      </c>
      <c r="F291" s="1001" t="str">
        <f t="shared" si="97"/>
        <v>SHN275(BB)</v>
      </c>
      <c r="G291" s="1172">
        <v>18.7</v>
      </c>
      <c r="H291" s="985">
        <v>22800</v>
      </c>
      <c r="I291" s="1173">
        <v>16.2</v>
      </c>
      <c r="J291" s="985">
        <v>20200</v>
      </c>
      <c r="K291" s="1173">
        <v>10.3</v>
      </c>
      <c r="L291" s="985">
        <v>13100</v>
      </c>
      <c r="M291" s="1174">
        <f t="shared" si="98"/>
        <v>45.2</v>
      </c>
      <c r="N291" s="984">
        <f t="shared" si="99"/>
        <v>56100</v>
      </c>
      <c r="O291" s="986">
        <f t="shared" ref="O291" si="112">IF(ISBLANK(H291),"",H291/S291)</f>
        <v>158.11373092926493</v>
      </c>
      <c r="P291" s="987">
        <f t="shared" ref="P291" si="113">IF(ISBLANK(J291),"",+J291/S291)</f>
        <v>140.08321775312066</v>
      </c>
      <c r="Q291" s="987">
        <f t="shared" ref="Q291" si="114">IF(ISBLANK(L291),"",L291/S291)</f>
        <v>90.846047156726769</v>
      </c>
      <c r="R291" s="988">
        <f t="shared" si="103"/>
        <v>389.04299583911234</v>
      </c>
      <c r="S291" s="989">
        <v>144.19999999999999</v>
      </c>
      <c r="T291" s="990">
        <v>0</v>
      </c>
      <c r="U291" s="991">
        <v>0</v>
      </c>
      <c r="V291" s="991">
        <v>383</v>
      </c>
      <c r="W291" s="992">
        <f t="shared" si="104"/>
        <v>383</v>
      </c>
      <c r="X291" s="993">
        <f t="shared" si="105"/>
        <v>2.6560332871012484</v>
      </c>
      <c r="Y291" s="990">
        <v>1541</v>
      </c>
      <c r="Z291" s="991">
        <v>1327</v>
      </c>
      <c r="AA291" s="991">
        <v>823</v>
      </c>
      <c r="AB291" s="992">
        <f t="shared" si="106"/>
        <v>3691</v>
      </c>
      <c r="AC291" s="993">
        <f t="shared" si="107"/>
        <v>25.596393897364774</v>
      </c>
      <c r="AD291" s="994">
        <f t="shared" si="108"/>
        <v>4074</v>
      </c>
      <c r="AE291" s="995">
        <f t="shared" si="109"/>
        <v>28.252427184466022</v>
      </c>
      <c r="AF291" s="996">
        <v>78</v>
      </c>
      <c r="AG291" s="997">
        <v>64</v>
      </c>
      <c r="AH291" s="997">
        <v>8</v>
      </c>
      <c r="AI291" s="998">
        <f t="shared" si="110"/>
        <v>150</v>
      </c>
      <c r="AJ291" s="993">
        <f t="shared" si="111"/>
        <v>1.0402219140083218</v>
      </c>
    </row>
    <row r="292" spans="1:36" ht="16.5" customHeight="1">
      <c r="A292" s="999">
        <f>'09월 조업일지'!A290</f>
        <v>46275</v>
      </c>
      <c r="B292" s="1099">
        <f>'09월 조업일지'!B290</f>
        <v>46275</v>
      </c>
      <c r="C292" s="1000" t="str">
        <f>'09월 화학성분'!D290</f>
        <v>B</v>
      </c>
      <c r="D292" s="1000" t="str">
        <f>'09월 화학성분'!E290</f>
        <v>A</v>
      </c>
      <c r="E292" s="1000">
        <f>'09월 화학성분'!C290</f>
        <v>85492</v>
      </c>
      <c r="F292" s="1001" t="str">
        <f t="shared" si="97"/>
        <v>SHN275(BB)</v>
      </c>
      <c r="G292" s="1172">
        <v>20</v>
      </c>
      <c r="H292" s="985">
        <v>24600</v>
      </c>
      <c r="I292" s="1173">
        <v>17.3</v>
      </c>
      <c r="J292" s="985">
        <v>20600</v>
      </c>
      <c r="K292" s="1173">
        <v>7.5</v>
      </c>
      <c r="L292" s="985">
        <v>9300</v>
      </c>
      <c r="M292" s="1174">
        <f t="shared" si="98"/>
        <v>44.8</v>
      </c>
      <c r="N292" s="984">
        <f t="shared" si="99"/>
        <v>54500</v>
      </c>
      <c r="O292" s="986">
        <f t="shared" si="100"/>
        <v>168.37782340862424</v>
      </c>
      <c r="P292" s="987">
        <f t="shared" si="101"/>
        <v>140.99931553730323</v>
      </c>
      <c r="Q292" s="987">
        <f t="shared" si="102"/>
        <v>63.655030800821358</v>
      </c>
      <c r="R292" s="988">
        <f t="shared" si="103"/>
        <v>373.03216974674882</v>
      </c>
      <c r="S292" s="989">
        <v>146.1</v>
      </c>
      <c r="T292" s="990">
        <v>0</v>
      </c>
      <c r="U292" s="991">
        <v>122</v>
      </c>
      <c r="V292" s="991">
        <v>239</v>
      </c>
      <c r="W292" s="992">
        <f t="shared" si="104"/>
        <v>361</v>
      </c>
      <c r="X292" s="993">
        <f t="shared" si="105"/>
        <v>2.4709103353867214</v>
      </c>
      <c r="Y292" s="990">
        <v>1718</v>
      </c>
      <c r="Z292" s="991">
        <v>1407</v>
      </c>
      <c r="AA292" s="991">
        <v>611</v>
      </c>
      <c r="AB292" s="992">
        <f t="shared" si="106"/>
        <v>3736</v>
      </c>
      <c r="AC292" s="993">
        <f t="shared" si="107"/>
        <v>25.571526351813826</v>
      </c>
      <c r="AD292" s="994">
        <f t="shared" si="108"/>
        <v>4097</v>
      </c>
      <c r="AE292" s="995">
        <f t="shared" si="109"/>
        <v>28.042436687200549</v>
      </c>
      <c r="AF292" s="996">
        <v>80</v>
      </c>
      <c r="AG292" s="997">
        <v>67</v>
      </c>
      <c r="AH292" s="997">
        <v>5</v>
      </c>
      <c r="AI292" s="998">
        <f t="shared" si="110"/>
        <v>152</v>
      </c>
      <c r="AJ292" s="993">
        <f t="shared" si="111"/>
        <v>1.0403832991101984</v>
      </c>
    </row>
    <row r="293" spans="1:36" ht="16.5" customHeight="1">
      <c r="A293" s="999">
        <f>'09월 조업일지'!A291</f>
        <v>46276</v>
      </c>
      <c r="B293" s="1099">
        <f>'09월 조업일지'!B291</f>
        <v>46275</v>
      </c>
      <c r="C293" s="1000" t="str">
        <f>'09월 화학성분'!D291</f>
        <v>B</v>
      </c>
      <c r="D293" s="1000" t="str">
        <f>'09월 화학성분'!E291</f>
        <v>B</v>
      </c>
      <c r="E293" s="1000">
        <f>'09월 화학성분'!C291</f>
        <v>85493</v>
      </c>
      <c r="F293" s="1001" t="str">
        <f t="shared" si="97"/>
        <v>SHN275(BB)</v>
      </c>
      <c r="G293" s="1172">
        <v>18.7</v>
      </c>
      <c r="H293" s="985">
        <v>22400</v>
      </c>
      <c r="I293" s="1173">
        <v>16.5</v>
      </c>
      <c r="J293" s="985">
        <v>20400</v>
      </c>
      <c r="K293" s="1173">
        <v>10.3</v>
      </c>
      <c r="L293" s="985">
        <v>12900</v>
      </c>
      <c r="M293" s="1174">
        <f t="shared" si="98"/>
        <v>45.5</v>
      </c>
      <c r="N293" s="984">
        <f t="shared" si="99"/>
        <v>55700</v>
      </c>
      <c r="O293" s="986">
        <f t="shared" si="100"/>
        <v>155.23215523215521</v>
      </c>
      <c r="P293" s="987">
        <f t="shared" si="101"/>
        <v>141.37214137214136</v>
      </c>
      <c r="Q293" s="987">
        <f t="shared" si="102"/>
        <v>89.397089397089388</v>
      </c>
      <c r="R293" s="988">
        <f t="shared" si="103"/>
        <v>386.00138600138598</v>
      </c>
      <c r="S293" s="989">
        <v>144.30000000000001</v>
      </c>
      <c r="T293" s="990">
        <v>0</v>
      </c>
      <c r="U293" s="991">
        <v>17</v>
      </c>
      <c r="V293" s="991">
        <v>133</v>
      </c>
      <c r="W293" s="992">
        <f t="shared" si="104"/>
        <v>150</v>
      </c>
      <c r="X293" s="993">
        <f t="shared" si="105"/>
        <v>1.0395010395010393</v>
      </c>
      <c r="Y293" s="990">
        <v>1567</v>
      </c>
      <c r="Z293" s="991">
        <v>1370</v>
      </c>
      <c r="AA293" s="991">
        <v>803</v>
      </c>
      <c r="AB293" s="992">
        <f t="shared" si="106"/>
        <v>3740</v>
      </c>
      <c r="AC293" s="993">
        <f t="shared" si="107"/>
        <v>25.918225918225914</v>
      </c>
      <c r="AD293" s="994">
        <f t="shared" si="108"/>
        <v>3890</v>
      </c>
      <c r="AE293" s="995">
        <f t="shared" si="109"/>
        <v>26.957726957726955</v>
      </c>
      <c r="AF293" s="996">
        <v>83</v>
      </c>
      <c r="AG293" s="997">
        <v>63</v>
      </c>
      <c r="AH293" s="997">
        <v>7</v>
      </c>
      <c r="AI293" s="998">
        <f t="shared" si="110"/>
        <v>153</v>
      </c>
      <c r="AJ293" s="993">
        <f t="shared" si="111"/>
        <v>1.0602910602910602</v>
      </c>
    </row>
    <row r="294" spans="1:36" ht="16.5" customHeight="1">
      <c r="A294" s="999">
        <f>'09월 조업일지'!A292</f>
        <v>46276</v>
      </c>
      <c r="B294" s="1099">
        <f>'09월 조업일지'!B292</f>
        <v>46275</v>
      </c>
      <c r="C294" s="1000" t="str">
        <f>'09월 화학성분'!D292</f>
        <v>B</v>
      </c>
      <c r="D294" s="1000" t="str">
        <f>'09월 화학성분'!E292</f>
        <v>A</v>
      </c>
      <c r="E294" s="1000">
        <f>'09월 화학성분'!C292</f>
        <v>85494</v>
      </c>
      <c r="F294" s="1001" t="str">
        <f t="shared" si="97"/>
        <v>SHN275(BB)</v>
      </c>
      <c r="G294" s="1172">
        <v>19.2</v>
      </c>
      <c r="H294" s="985">
        <v>23100</v>
      </c>
      <c r="I294" s="1173">
        <v>17.2</v>
      </c>
      <c r="J294" s="985">
        <v>20700</v>
      </c>
      <c r="K294" s="1173">
        <v>9.4</v>
      </c>
      <c r="L294" s="985">
        <v>11700</v>
      </c>
      <c r="M294" s="1174">
        <f t="shared" si="98"/>
        <v>45.8</v>
      </c>
      <c r="N294" s="984">
        <f t="shared" si="99"/>
        <v>55500</v>
      </c>
      <c r="O294" s="986">
        <f t="shared" si="100"/>
        <v>157.67918088737201</v>
      </c>
      <c r="P294" s="987">
        <f t="shared" si="101"/>
        <v>141.29692832764505</v>
      </c>
      <c r="Q294" s="987">
        <f t="shared" si="102"/>
        <v>79.863481228668945</v>
      </c>
      <c r="R294" s="988">
        <f t="shared" si="103"/>
        <v>378.83959044368601</v>
      </c>
      <c r="S294" s="989">
        <v>146.5</v>
      </c>
      <c r="T294" s="990">
        <v>0</v>
      </c>
      <c r="U294" s="991">
        <v>0</v>
      </c>
      <c r="V294" s="991">
        <v>304</v>
      </c>
      <c r="W294" s="992">
        <f t="shared" si="104"/>
        <v>304</v>
      </c>
      <c r="X294" s="993">
        <f t="shared" si="105"/>
        <v>2.0750853242320817</v>
      </c>
      <c r="Y294" s="990">
        <v>1593</v>
      </c>
      <c r="Z294" s="991">
        <v>1423</v>
      </c>
      <c r="AA294" s="991">
        <v>1001</v>
      </c>
      <c r="AB294" s="992">
        <f t="shared" si="106"/>
        <v>4017</v>
      </c>
      <c r="AC294" s="993">
        <f t="shared" si="107"/>
        <v>27.419795221843003</v>
      </c>
      <c r="AD294" s="994">
        <f t="shared" si="108"/>
        <v>4321</v>
      </c>
      <c r="AE294" s="995">
        <f t="shared" si="109"/>
        <v>29.494880546075084</v>
      </c>
      <c r="AF294" s="996">
        <v>82</v>
      </c>
      <c r="AG294" s="997">
        <v>65</v>
      </c>
      <c r="AH294" s="997">
        <v>9</v>
      </c>
      <c r="AI294" s="998">
        <f t="shared" si="110"/>
        <v>156</v>
      </c>
      <c r="AJ294" s="993">
        <f t="shared" si="111"/>
        <v>1.0648464163822526</v>
      </c>
    </row>
    <row r="295" spans="1:36" ht="16.5" customHeight="1">
      <c r="A295" s="999">
        <f>'09월 조업일지'!A293</f>
        <v>46276</v>
      </c>
      <c r="B295" s="1099">
        <f>'09월 조업일지'!B293</f>
        <v>46275</v>
      </c>
      <c r="C295" s="1000" t="str">
        <f>'09월 화학성분'!D293</f>
        <v>B</v>
      </c>
      <c r="D295" s="1000" t="str">
        <f>'09월 화학성분'!E293</f>
        <v>B</v>
      </c>
      <c r="E295" s="1000">
        <f>'09월 화학성분'!C293</f>
        <v>85495</v>
      </c>
      <c r="F295" s="1001" t="str">
        <f t="shared" si="97"/>
        <v>SHN275(BB)</v>
      </c>
      <c r="G295" s="1172">
        <v>19.3</v>
      </c>
      <c r="H295" s="985">
        <v>22000</v>
      </c>
      <c r="I295" s="1173">
        <v>17.5</v>
      </c>
      <c r="J295" s="985">
        <v>20300</v>
      </c>
      <c r="K295" s="1173">
        <v>9.3000000000000007</v>
      </c>
      <c r="L295" s="985">
        <v>11900</v>
      </c>
      <c r="M295" s="1174">
        <f t="shared" si="98"/>
        <v>46.099999999999994</v>
      </c>
      <c r="N295" s="984">
        <f t="shared" si="99"/>
        <v>54200</v>
      </c>
      <c r="O295" s="986">
        <f t="shared" si="100"/>
        <v>151.93370165745856</v>
      </c>
      <c r="P295" s="987">
        <f t="shared" si="101"/>
        <v>140.19337016574585</v>
      </c>
      <c r="Q295" s="987">
        <f t="shared" si="102"/>
        <v>82.182320441988949</v>
      </c>
      <c r="R295" s="988">
        <f t="shared" si="103"/>
        <v>374.30939226519337</v>
      </c>
      <c r="S295" s="989">
        <v>144.80000000000001</v>
      </c>
      <c r="T295" s="990">
        <v>0</v>
      </c>
      <c r="U295" s="991">
        <v>0</v>
      </c>
      <c r="V295" s="991">
        <v>432</v>
      </c>
      <c r="W295" s="992">
        <f t="shared" si="104"/>
        <v>432</v>
      </c>
      <c r="X295" s="993">
        <f t="shared" si="105"/>
        <v>2.9834254143646408</v>
      </c>
      <c r="Y295" s="990">
        <v>1601</v>
      </c>
      <c r="Z295" s="991">
        <v>1454</v>
      </c>
      <c r="AA295" s="991">
        <v>855</v>
      </c>
      <c r="AB295" s="992">
        <f t="shared" si="106"/>
        <v>3910</v>
      </c>
      <c r="AC295" s="993">
        <f t="shared" si="107"/>
        <v>27.002762430939224</v>
      </c>
      <c r="AD295" s="994">
        <f t="shared" si="108"/>
        <v>4342</v>
      </c>
      <c r="AE295" s="995">
        <f t="shared" si="109"/>
        <v>29.986187845303863</v>
      </c>
      <c r="AF295" s="996">
        <v>86</v>
      </c>
      <c r="AG295" s="997">
        <v>67</v>
      </c>
      <c r="AH295" s="997">
        <v>7</v>
      </c>
      <c r="AI295" s="998">
        <f t="shared" si="110"/>
        <v>160</v>
      </c>
      <c r="AJ295" s="993">
        <f t="shared" si="111"/>
        <v>1.1049723756906076</v>
      </c>
    </row>
    <row r="296" spans="1:36" ht="16.5" customHeight="1">
      <c r="A296" s="999">
        <f>'09월 조업일지'!A294</f>
        <v>46276</v>
      </c>
      <c r="B296" s="1099">
        <f>'09월 조업일지'!B294</f>
        <v>46275</v>
      </c>
      <c r="C296" s="1000" t="str">
        <f>'09월 화학성분'!D294</f>
        <v>B</v>
      </c>
      <c r="D296" s="1000" t="str">
        <f>'09월 화학성분'!E294</f>
        <v>A</v>
      </c>
      <c r="E296" s="1000">
        <f>'09월 화학성분'!C294</f>
        <v>85496</v>
      </c>
      <c r="F296" s="1001" t="str">
        <f t="shared" si="97"/>
        <v>SHN275(BB)</v>
      </c>
      <c r="G296" s="1172">
        <v>19.2</v>
      </c>
      <c r="H296" s="985">
        <v>22800</v>
      </c>
      <c r="I296" s="1173">
        <v>17</v>
      </c>
      <c r="J296" s="985">
        <v>21000</v>
      </c>
      <c r="K296" s="1173">
        <v>6.4</v>
      </c>
      <c r="L296" s="985">
        <v>8100</v>
      </c>
      <c r="M296" s="1174">
        <f t="shared" si="98"/>
        <v>42.6</v>
      </c>
      <c r="N296" s="984">
        <f t="shared" si="99"/>
        <v>51900</v>
      </c>
      <c r="O296" s="986">
        <f t="shared" si="100"/>
        <v>155.2076242341729</v>
      </c>
      <c r="P296" s="987">
        <f t="shared" si="101"/>
        <v>142.95439074200135</v>
      </c>
      <c r="Q296" s="987">
        <f t="shared" si="102"/>
        <v>55.13955071477195</v>
      </c>
      <c r="R296" s="988">
        <f t="shared" si="103"/>
        <v>353.30156569094618</v>
      </c>
      <c r="S296" s="989">
        <v>146.9</v>
      </c>
      <c r="T296" s="990">
        <v>0</v>
      </c>
      <c r="U296" s="991">
        <v>0</v>
      </c>
      <c r="V296" s="991">
        <v>285</v>
      </c>
      <c r="W296" s="992">
        <f t="shared" si="104"/>
        <v>285</v>
      </c>
      <c r="X296" s="993">
        <f t="shared" si="105"/>
        <v>1.9400953029271613</v>
      </c>
      <c r="Y296" s="990">
        <v>1554</v>
      </c>
      <c r="Z296" s="991">
        <v>1423</v>
      </c>
      <c r="AA296" s="991">
        <v>611</v>
      </c>
      <c r="AB296" s="992">
        <f t="shared" si="106"/>
        <v>3588</v>
      </c>
      <c r="AC296" s="993">
        <f t="shared" si="107"/>
        <v>24.424778761061948</v>
      </c>
      <c r="AD296" s="994">
        <f t="shared" si="108"/>
        <v>3873</v>
      </c>
      <c r="AE296" s="995">
        <f t="shared" si="109"/>
        <v>26.364874063989106</v>
      </c>
      <c r="AF296" s="996">
        <v>83</v>
      </c>
      <c r="AG296" s="997">
        <v>63</v>
      </c>
      <c r="AH296" s="997">
        <v>5</v>
      </c>
      <c r="AI296" s="998">
        <f t="shared" si="110"/>
        <v>151</v>
      </c>
      <c r="AJ296" s="993">
        <f t="shared" si="111"/>
        <v>1.0279101429543906</v>
      </c>
    </row>
    <row r="297" spans="1:36" ht="16.5" customHeight="1">
      <c r="A297" s="999">
        <f>'09월 조업일지'!A295</f>
        <v>46276</v>
      </c>
      <c r="B297" s="1099">
        <f>'09월 조업일지'!B295</f>
        <v>46276</v>
      </c>
      <c r="C297" s="1000" t="str">
        <f>'09월 화학성분'!D295</f>
        <v>C</v>
      </c>
      <c r="D297" s="1000" t="str">
        <f>'09월 화학성분'!E295</f>
        <v>B</v>
      </c>
      <c r="E297" s="1000">
        <f>'09월 화학성분'!C295</f>
        <v>85497</v>
      </c>
      <c r="F297" s="1001" t="str">
        <f t="shared" si="97"/>
        <v>SHN275(BB)</v>
      </c>
      <c r="G297" s="1172">
        <v>18.5</v>
      </c>
      <c r="H297" s="985">
        <v>22600</v>
      </c>
      <c r="I297" s="1173">
        <v>16.8</v>
      </c>
      <c r="J297" s="985">
        <v>20400</v>
      </c>
      <c r="K297" s="1173">
        <v>10.3</v>
      </c>
      <c r="L297" s="985">
        <v>13100</v>
      </c>
      <c r="M297" s="1174">
        <f t="shared" si="98"/>
        <v>45.599999999999994</v>
      </c>
      <c r="N297" s="984">
        <f t="shared" si="99"/>
        <v>56100</v>
      </c>
      <c r="O297" s="986">
        <f t="shared" si="100"/>
        <v>157.71109560362873</v>
      </c>
      <c r="P297" s="987">
        <f t="shared" si="101"/>
        <v>142.3586880669923</v>
      </c>
      <c r="Q297" s="987">
        <f t="shared" si="102"/>
        <v>91.416608513607812</v>
      </c>
      <c r="R297" s="988">
        <f t="shared" si="103"/>
        <v>391.48639218422886</v>
      </c>
      <c r="S297" s="989">
        <v>143.30000000000001</v>
      </c>
      <c r="T297" s="990">
        <v>0</v>
      </c>
      <c r="U297" s="991">
        <v>53</v>
      </c>
      <c r="V297" s="991">
        <v>279</v>
      </c>
      <c r="W297" s="992">
        <f t="shared" si="104"/>
        <v>332</v>
      </c>
      <c r="X297" s="993">
        <f t="shared" si="105"/>
        <v>2.3168178646196789</v>
      </c>
      <c r="Y297" s="990">
        <v>1551</v>
      </c>
      <c r="Z297" s="991">
        <v>1367</v>
      </c>
      <c r="AA297" s="991">
        <v>801</v>
      </c>
      <c r="AB297" s="992">
        <f t="shared" si="106"/>
        <v>3719</v>
      </c>
      <c r="AC297" s="993">
        <f t="shared" si="107"/>
        <v>25.952547103977668</v>
      </c>
      <c r="AD297" s="994">
        <f t="shared" si="108"/>
        <v>4051</v>
      </c>
      <c r="AE297" s="995">
        <f t="shared" si="109"/>
        <v>28.269364968597348</v>
      </c>
      <c r="AF297" s="996">
        <v>81</v>
      </c>
      <c r="AG297" s="997">
        <v>64</v>
      </c>
      <c r="AH297" s="997">
        <v>7</v>
      </c>
      <c r="AI297" s="998">
        <f t="shared" si="110"/>
        <v>152</v>
      </c>
      <c r="AJ297" s="993">
        <f t="shared" si="111"/>
        <v>1.0607117934403349</v>
      </c>
    </row>
    <row r="298" spans="1:36" ht="16.5" customHeight="1">
      <c r="A298" s="999">
        <f>'09월 조업일지'!A296</f>
        <v>46276</v>
      </c>
      <c r="B298" s="1099">
        <f>'09월 조업일지'!B296</f>
        <v>46276</v>
      </c>
      <c r="C298" s="1000" t="str">
        <f>'09월 화학성분'!D296</f>
        <v>C</v>
      </c>
      <c r="D298" s="1000" t="str">
        <f>'09월 화학성분'!E296</f>
        <v>A</v>
      </c>
      <c r="E298" s="1000">
        <f>'09월 화학성분'!C296</f>
        <v>85498</v>
      </c>
      <c r="F298" s="1001" t="str">
        <f t="shared" si="97"/>
        <v>SHN275(BB)</v>
      </c>
      <c r="G298" s="1172">
        <v>19.100000000000001</v>
      </c>
      <c r="H298" s="985">
        <v>22700</v>
      </c>
      <c r="I298" s="1173">
        <v>17.5</v>
      </c>
      <c r="J298" s="985">
        <v>20600</v>
      </c>
      <c r="K298" s="1173">
        <v>7.6</v>
      </c>
      <c r="L298" s="985">
        <v>9600</v>
      </c>
      <c r="M298" s="1174">
        <f t="shared" si="98"/>
        <v>44.2</v>
      </c>
      <c r="N298" s="984">
        <f t="shared" si="99"/>
        <v>52900</v>
      </c>
      <c r="O298" s="986">
        <f t="shared" si="100"/>
        <v>156.87629578438148</v>
      </c>
      <c r="P298" s="987">
        <f t="shared" si="101"/>
        <v>142.36351071181755</v>
      </c>
      <c r="Q298" s="987">
        <f t="shared" si="102"/>
        <v>66.344160331720801</v>
      </c>
      <c r="R298" s="988">
        <f t="shared" si="103"/>
        <v>365.58396682791982</v>
      </c>
      <c r="S298" s="989">
        <v>144.69999999999999</v>
      </c>
      <c r="T298" s="990">
        <v>0</v>
      </c>
      <c r="U298" s="991">
        <v>98</v>
      </c>
      <c r="V298" s="991">
        <v>261</v>
      </c>
      <c r="W298" s="992">
        <f t="shared" si="104"/>
        <v>359</v>
      </c>
      <c r="X298" s="993">
        <f t="shared" si="105"/>
        <v>2.4809951624049762</v>
      </c>
      <c r="Y298" s="990">
        <v>1558</v>
      </c>
      <c r="Z298" s="991">
        <v>1231</v>
      </c>
      <c r="AA298" s="991">
        <v>473</v>
      </c>
      <c r="AB298" s="992">
        <f t="shared" si="106"/>
        <v>3262</v>
      </c>
      <c r="AC298" s="993">
        <f t="shared" si="107"/>
        <v>22.543192812715965</v>
      </c>
      <c r="AD298" s="994">
        <f t="shared" si="108"/>
        <v>3621</v>
      </c>
      <c r="AE298" s="995">
        <f t="shared" si="109"/>
        <v>25.024187975120942</v>
      </c>
      <c r="AF298" s="996">
        <v>80</v>
      </c>
      <c r="AG298" s="997">
        <v>58</v>
      </c>
      <c r="AH298" s="997">
        <v>3</v>
      </c>
      <c r="AI298" s="998">
        <f t="shared" si="110"/>
        <v>141</v>
      </c>
      <c r="AJ298" s="993">
        <f t="shared" si="111"/>
        <v>0.97442985487214939</v>
      </c>
    </row>
    <row r="299" spans="1:36" ht="16.5" customHeight="1">
      <c r="A299" s="999">
        <f>'09월 조업일지'!A297</f>
        <v>46276</v>
      </c>
      <c r="B299" s="1099">
        <f>'09월 조업일지'!B297</f>
        <v>46276</v>
      </c>
      <c r="C299" s="1000" t="str">
        <f>'09월 화학성분'!D297</f>
        <v>C</v>
      </c>
      <c r="D299" s="1000" t="str">
        <f>'09월 화학성분'!E297</f>
        <v>B</v>
      </c>
      <c r="E299" s="1000">
        <f>'09월 화학성분'!C297</f>
        <v>85499</v>
      </c>
      <c r="F299" s="1001" t="str">
        <f t="shared" si="97"/>
        <v>SHN275(BB)</v>
      </c>
      <c r="G299" s="1172">
        <v>20.3</v>
      </c>
      <c r="H299" s="985">
        <v>24000</v>
      </c>
      <c r="I299" s="1173">
        <v>16.600000000000001</v>
      </c>
      <c r="J299" s="985">
        <v>20400</v>
      </c>
      <c r="K299" s="1173">
        <v>7.3</v>
      </c>
      <c r="L299" s="985">
        <v>9400</v>
      </c>
      <c r="M299" s="1174">
        <f t="shared" si="98"/>
        <v>44.2</v>
      </c>
      <c r="N299" s="984">
        <f t="shared" si="99"/>
        <v>53800</v>
      </c>
      <c r="O299" s="986">
        <f t="shared" si="100"/>
        <v>167.01461377870564</v>
      </c>
      <c r="P299" s="987">
        <f t="shared" si="101"/>
        <v>141.96242171189979</v>
      </c>
      <c r="Q299" s="987">
        <f t="shared" si="102"/>
        <v>65.414057063326382</v>
      </c>
      <c r="R299" s="988">
        <f t="shared" si="103"/>
        <v>374.3910925539318</v>
      </c>
      <c r="S299" s="989">
        <v>143.69999999999999</v>
      </c>
      <c r="T299" s="990">
        <v>0</v>
      </c>
      <c r="U299" s="991">
        <v>132</v>
      </c>
      <c r="V299" s="991">
        <v>332</v>
      </c>
      <c r="W299" s="992">
        <f t="shared" si="104"/>
        <v>464</v>
      </c>
      <c r="X299" s="993">
        <f t="shared" si="105"/>
        <v>3.2289491997216424</v>
      </c>
      <c r="Y299" s="990">
        <v>1693</v>
      </c>
      <c r="Z299" s="991">
        <v>1349</v>
      </c>
      <c r="AA299" s="991">
        <v>919</v>
      </c>
      <c r="AB299" s="992">
        <f t="shared" si="106"/>
        <v>3961</v>
      </c>
      <c r="AC299" s="993">
        <f t="shared" si="107"/>
        <v>27.564370215727212</v>
      </c>
      <c r="AD299" s="994">
        <f t="shared" si="108"/>
        <v>4425</v>
      </c>
      <c r="AE299" s="995">
        <f t="shared" si="109"/>
        <v>30.793319415448853</v>
      </c>
      <c r="AF299" s="996">
        <v>83</v>
      </c>
      <c r="AG299" s="997">
        <v>65</v>
      </c>
      <c r="AH299" s="997">
        <v>9</v>
      </c>
      <c r="AI299" s="998">
        <f t="shared" si="110"/>
        <v>157</v>
      </c>
      <c r="AJ299" s="993">
        <f t="shared" si="111"/>
        <v>1.092553931802366</v>
      </c>
    </row>
    <row r="300" spans="1:36" ht="16.5" customHeight="1">
      <c r="A300" s="999">
        <f>'09월 조업일지'!A298</f>
        <v>46276</v>
      </c>
      <c r="B300" s="1099">
        <f>'09월 조업일지'!B298</f>
        <v>46276</v>
      </c>
      <c r="C300" s="1000" t="str">
        <f>'09월 화학성분'!D298</f>
        <v>C</v>
      </c>
      <c r="D300" s="1000" t="str">
        <f>'09월 화학성분'!E298</f>
        <v>A</v>
      </c>
      <c r="E300" s="1000">
        <f>'09월 화학성분'!C298</f>
        <v>85500</v>
      </c>
      <c r="F300" s="1001" t="str">
        <f t="shared" si="97"/>
        <v>SHN275(BB)</v>
      </c>
      <c r="G300" s="1172">
        <v>20.3</v>
      </c>
      <c r="H300" s="985">
        <v>23000</v>
      </c>
      <c r="I300" s="1173">
        <v>16.8</v>
      </c>
      <c r="J300" s="985">
        <v>20700</v>
      </c>
      <c r="K300" s="1173">
        <v>11.8</v>
      </c>
      <c r="L300" s="985">
        <v>14200</v>
      </c>
      <c r="M300" s="1174">
        <f t="shared" si="98"/>
        <v>48.900000000000006</v>
      </c>
      <c r="N300" s="984">
        <f t="shared" si="99"/>
        <v>57900</v>
      </c>
      <c r="O300" s="986">
        <f t="shared" si="100"/>
        <v>158.73015873015873</v>
      </c>
      <c r="P300" s="987">
        <f t="shared" si="101"/>
        <v>142.85714285714286</v>
      </c>
      <c r="Q300" s="987">
        <f t="shared" si="102"/>
        <v>97.998619737750175</v>
      </c>
      <c r="R300" s="988">
        <f t="shared" si="103"/>
        <v>399.58592132505174</v>
      </c>
      <c r="S300" s="989">
        <v>144.9</v>
      </c>
      <c r="T300" s="990">
        <v>0</v>
      </c>
      <c r="U300" s="991">
        <v>107</v>
      </c>
      <c r="V300" s="991">
        <v>239</v>
      </c>
      <c r="W300" s="992">
        <f t="shared" si="104"/>
        <v>346</v>
      </c>
      <c r="X300" s="993">
        <f t="shared" si="105"/>
        <v>2.3878536922015181</v>
      </c>
      <c r="Y300" s="990">
        <v>1649</v>
      </c>
      <c r="Z300" s="991">
        <v>1377</v>
      </c>
      <c r="AA300" s="991">
        <v>907</v>
      </c>
      <c r="AB300" s="992">
        <f t="shared" si="106"/>
        <v>3933</v>
      </c>
      <c r="AC300" s="993">
        <f t="shared" si="107"/>
        <v>27.142857142857142</v>
      </c>
      <c r="AD300" s="994">
        <f t="shared" si="108"/>
        <v>4279</v>
      </c>
      <c r="AE300" s="995">
        <f t="shared" si="109"/>
        <v>29.53071083505866</v>
      </c>
      <c r="AF300" s="996">
        <v>80</v>
      </c>
      <c r="AG300" s="997">
        <v>64</v>
      </c>
      <c r="AH300" s="997">
        <v>8</v>
      </c>
      <c r="AI300" s="998">
        <f t="shared" si="110"/>
        <v>152</v>
      </c>
      <c r="AJ300" s="993">
        <f t="shared" si="111"/>
        <v>1.048999309868875</v>
      </c>
    </row>
    <row r="301" spans="1:36" ht="16.5" customHeight="1">
      <c r="A301" s="999">
        <f>'09월 조업일지'!A299</f>
        <v>46276</v>
      </c>
      <c r="B301" s="1099">
        <f>'09월 조업일지'!B299</f>
        <v>46276</v>
      </c>
      <c r="C301" s="1000" t="str">
        <f>'09월 화학성분'!D299</f>
        <v>C</v>
      </c>
      <c r="D301" s="1000" t="str">
        <f>'09월 화학성분'!E299</f>
        <v>B</v>
      </c>
      <c r="E301" s="1000">
        <f>'09월 화학성분'!C299</f>
        <v>85501</v>
      </c>
      <c r="F301" s="1001" t="str">
        <f t="shared" si="97"/>
        <v>SHN275(BB)</v>
      </c>
      <c r="G301" s="1172">
        <v>19.399999999999999</v>
      </c>
      <c r="H301" s="985">
        <v>22600</v>
      </c>
      <c r="I301" s="1173">
        <v>16.7</v>
      </c>
      <c r="J301" s="985">
        <v>20100</v>
      </c>
      <c r="K301" s="1173">
        <v>9</v>
      </c>
      <c r="L301" s="985">
        <v>11600</v>
      </c>
      <c r="M301" s="1174">
        <f t="shared" si="98"/>
        <v>45.099999999999994</v>
      </c>
      <c r="N301" s="984">
        <f t="shared" si="99"/>
        <v>54300</v>
      </c>
      <c r="O301" s="986">
        <f t="shared" si="100"/>
        <v>153.84615384615384</v>
      </c>
      <c r="P301" s="987">
        <f t="shared" si="101"/>
        <v>136.82777399591558</v>
      </c>
      <c r="Q301" s="987">
        <f t="shared" si="102"/>
        <v>78.965282505105506</v>
      </c>
      <c r="R301" s="988">
        <f t="shared" si="103"/>
        <v>369.63921034717492</v>
      </c>
      <c r="S301" s="989">
        <v>146.9</v>
      </c>
      <c r="T301" s="990">
        <v>0</v>
      </c>
      <c r="U301" s="991">
        <v>34</v>
      </c>
      <c r="V301" s="991">
        <v>297</v>
      </c>
      <c r="W301" s="992">
        <f t="shared" si="104"/>
        <v>331</v>
      </c>
      <c r="X301" s="993">
        <f t="shared" si="105"/>
        <v>2.2532334921715451</v>
      </c>
      <c r="Y301" s="990">
        <v>1579</v>
      </c>
      <c r="Z301" s="991">
        <v>1363</v>
      </c>
      <c r="AA301" s="991">
        <v>880</v>
      </c>
      <c r="AB301" s="992">
        <f t="shared" si="106"/>
        <v>3822</v>
      </c>
      <c r="AC301" s="993">
        <f t="shared" si="107"/>
        <v>26.017699115044248</v>
      </c>
      <c r="AD301" s="994">
        <f t="shared" si="108"/>
        <v>4153</v>
      </c>
      <c r="AE301" s="995">
        <f t="shared" si="109"/>
        <v>28.270932607215791</v>
      </c>
      <c r="AF301" s="996">
        <v>82</v>
      </c>
      <c r="AG301" s="997">
        <v>66</v>
      </c>
      <c r="AH301" s="997">
        <v>9</v>
      </c>
      <c r="AI301" s="998">
        <f t="shared" si="110"/>
        <v>157</v>
      </c>
      <c r="AJ301" s="993">
        <f t="shared" si="111"/>
        <v>1.0687542545949624</v>
      </c>
    </row>
    <row r="302" spans="1:36" ht="16.5" customHeight="1">
      <c r="A302" s="999">
        <f>'09월 조업일지'!A300</f>
        <v>46276</v>
      </c>
      <c r="B302" s="1099">
        <f>'09월 조업일지'!B300</f>
        <v>46276</v>
      </c>
      <c r="C302" s="1000" t="str">
        <f>'09월 화학성분'!D300</f>
        <v>C</v>
      </c>
      <c r="D302" s="1000" t="str">
        <f>'09월 화학성분'!E300</f>
        <v>A</v>
      </c>
      <c r="E302" s="1000">
        <f>'09월 화학성분'!C300</f>
        <v>85502</v>
      </c>
      <c r="F302" s="1001" t="str">
        <f t="shared" si="97"/>
        <v>SHN275(BB)</v>
      </c>
      <c r="G302" s="1172">
        <v>19.8</v>
      </c>
      <c r="H302" s="985">
        <v>22700</v>
      </c>
      <c r="I302" s="1173">
        <v>17.7</v>
      </c>
      <c r="J302" s="985">
        <v>20700</v>
      </c>
      <c r="K302" s="1173">
        <v>8.6</v>
      </c>
      <c r="L302" s="985">
        <v>10600</v>
      </c>
      <c r="M302" s="1174">
        <f t="shared" si="98"/>
        <v>46.1</v>
      </c>
      <c r="N302" s="984">
        <f t="shared" si="99"/>
        <v>54000</v>
      </c>
      <c r="O302" s="986">
        <f t="shared" si="100"/>
        <v>155.16062884483935</v>
      </c>
      <c r="P302" s="987">
        <f t="shared" si="101"/>
        <v>141.49008885850989</v>
      </c>
      <c r="Q302" s="987">
        <f t="shared" si="102"/>
        <v>72.453861927546129</v>
      </c>
      <c r="R302" s="988">
        <f t="shared" si="103"/>
        <v>369.10457963089539</v>
      </c>
      <c r="S302" s="989">
        <v>146.30000000000001</v>
      </c>
      <c r="T302" s="990">
        <v>0</v>
      </c>
      <c r="U302" s="991">
        <v>74</v>
      </c>
      <c r="V302" s="991">
        <v>282</v>
      </c>
      <c r="W302" s="992">
        <f t="shared" si="104"/>
        <v>356</v>
      </c>
      <c r="X302" s="993">
        <f t="shared" si="105"/>
        <v>2.4333561175666438</v>
      </c>
      <c r="Y302" s="990">
        <v>1599</v>
      </c>
      <c r="Z302" s="991">
        <v>1454</v>
      </c>
      <c r="AA302" s="991">
        <v>674</v>
      </c>
      <c r="AB302" s="992">
        <f t="shared" si="106"/>
        <v>3727</v>
      </c>
      <c r="AC302" s="993">
        <f t="shared" si="107"/>
        <v>25.475051264524947</v>
      </c>
      <c r="AD302" s="994">
        <f t="shared" si="108"/>
        <v>4083</v>
      </c>
      <c r="AE302" s="995">
        <f t="shared" si="109"/>
        <v>27.908407382091589</v>
      </c>
      <c r="AF302" s="996">
        <v>85</v>
      </c>
      <c r="AG302" s="997">
        <v>67</v>
      </c>
      <c r="AH302" s="997">
        <v>5</v>
      </c>
      <c r="AI302" s="998">
        <f t="shared" si="110"/>
        <v>157</v>
      </c>
      <c r="AJ302" s="993">
        <f t="shared" si="111"/>
        <v>1.0731373889268625</v>
      </c>
    </row>
    <row r="303" spans="1:36" ht="16.5" customHeight="1">
      <c r="A303" s="999">
        <f>'09월 조업일지'!A301</f>
        <v>46276</v>
      </c>
      <c r="B303" s="1099">
        <f>'09월 조업일지'!B301</f>
        <v>46276</v>
      </c>
      <c r="C303" s="1000" t="str">
        <f>'09월 화학성분'!D301</f>
        <v>C</v>
      </c>
      <c r="D303" s="1000" t="str">
        <f>'09월 화학성분'!E301</f>
        <v>B</v>
      </c>
      <c r="E303" s="1000">
        <f>'09월 화학성분'!C301</f>
        <v>85503</v>
      </c>
      <c r="F303" s="1104" t="s">
        <v>648</v>
      </c>
      <c r="G303" s="1172">
        <v>19</v>
      </c>
      <c r="H303" s="985">
        <v>22500</v>
      </c>
      <c r="I303" s="1173">
        <v>16.899999999999999</v>
      </c>
      <c r="J303" s="985">
        <v>20700</v>
      </c>
      <c r="K303" s="1173">
        <v>13.4</v>
      </c>
      <c r="L303" s="985">
        <v>17000</v>
      </c>
      <c r="M303" s="1174">
        <f t="shared" si="98"/>
        <v>49.3</v>
      </c>
      <c r="N303" s="984">
        <f t="shared" si="99"/>
        <v>60200</v>
      </c>
      <c r="O303" s="986">
        <f t="shared" si="100"/>
        <v>154.42690459849007</v>
      </c>
      <c r="P303" s="987">
        <f t="shared" si="101"/>
        <v>142.07275223061086</v>
      </c>
      <c r="Q303" s="987">
        <f t="shared" si="102"/>
        <v>116.67810569663693</v>
      </c>
      <c r="R303" s="988">
        <f t="shared" si="103"/>
        <v>413.17776252573782</v>
      </c>
      <c r="S303" s="989">
        <v>145.69999999999999</v>
      </c>
      <c r="T303" s="990">
        <v>0</v>
      </c>
      <c r="U303" s="991">
        <v>62</v>
      </c>
      <c r="V303" s="991">
        <v>429</v>
      </c>
      <c r="W303" s="992">
        <f t="shared" si="104"/>
        <v>491</v>
      </c>
      <c r="X303" s="993">
        <f t="shared" si="105"/>
        <v>3.3699382292381608</v>
      </c>
      <c r="Y303" s="990">
        <v>1558</v>
      </c>
      <c r="Z303" s="991">
        <v>1408</v>
      </c>
      <c r="AA303" s="991">
        <v>1233</v>
      </c>
      <c r="AB303" s="992">
        <f t="shared" si="106"/>
        <v>4199</v>
      </c>
      <c r="AC303" s="993">
        <f t="shared" si="107"/>
        <v>28.819492107069323</v>
      </c>
      <c r="AD303" s="994">
        <f t="shared" si="108"/>
        <v>4690</v>
      </c>
      <c r="AE303" s="995">
        <f t="shared" si="109"/>
        <v>32.189430336307481</v>
      </c>
      <c r="AF303" s="996">
        <v>83</v>
      </c>
      <c r="AG303" s="997">
        <v>63</v>
      </c>
      <c r="AH303" s="997">
        <v>12</v>
      </c>
      <c r="AI303" s="998">
        <f t="shared" si="110"/>
        <v>158</v>
      </c>
      <c r="AJ303" s="993">
        <f t="shared" si="111"/>
        <v>1.0844200411805081</v>
      </c>
    </row>
    <row r="304" spans="1:36" ht="16.5" customHeight="1">
      <c r="A304" s="999">
        <f>'09월 조업일지'!A302</f>
        <v>46276</v>
      </c>
      <c r="B304" s="1099">
        <f>'09월 조업일지'!B302</f>
        <v>46276</v>
      </c>
      <c r="C304" s="1000" t="str">
        <f>'09월 화학성분'!D302</f>
        <v>C</v>
      </c>
      <c r="D304" s="1000" t="str">
        <f>'09월 화학성분'!E302</f>
        <v>A</v>
      </c>
      <c r="E304" s="1000">
        <f>'09월 화학성분'!C302</f>
        <v>85504</v>
      </c>
      <c r="F304" s="1001" t="str">
        <f t="shared" si="97"/>
        <v>SS400-02</v>
      </c>
      <c r="G304" s="1172">
        <v>20.9</v>
      </c>
      <c r="H304" s="985">
        <v>23400</v>
      </c>
      <c r="I304" s="1173">
        <v>17.399999999999999</v>
      </c>
      <c r="J304" s="985">
        <v>20500</v>
      </c>
      <c r="K304" s="1173">
        <v>8</v>
      </c>
      <c r="L304" s="985">
        <v>10200</v>
      </c>
      <c r="M304" s="1174">
        <f t="shared" si="98"/>
        <v>46.3</v>
      </c>
      <c r="N304" s="984">
        <f t="shared" si="99"/>
        <v>54100</v>
      </c>
      <c r="O304" s="986">
        <f t="shared" si="100"/>
        <v>159.72696245733789</v>
      </c>
      <c r="P304" s="987">
        <f t="shared" si="101"/>
        <v>139.93174061433447</v>
      </c>
      <c r="Q304" s="987">
        <f t="shared" si="102"/>
        <v>69.624573378839585</v>
      </c>
      <c r="R304" s="988">
        <f t="shared" si="103"/>
        <v>369.28327645051195</v>
      </c>
      <c r="S304" s="989">
        <v>146.5</v>
      </c>
      <c r="T304" s="990">
        <v>0</v>
      </c>
      <c r="U304" s="991">
        <v>100</v>
      </c>
      <c r="V304" s="991">
        <v>239</v>
      </c>
      <c r="W304" s="992">
        <f t="shared" si="104"/>
        <v>339</v>
      </c>
      <c r="X304" s="993">
        <f t="shared" si="105"/>
        <v>2.3139931740614332</v>
      </c>
      <c r="Y304" s="990">
        <v>1727</v>
      </c>
      <c r="Z304" s="991">
        <v>1419</v>
      </c>
      <c r="AA304" s="991">
        <v>615</v>
      </c>
      <c r="AB304" s="992">
        <f t="shared" si="106"/>
        <v>3761</v>
      </c>
      <c r="AC304" s="993">
        <f t="shared" si="107"/>
        <v>25.672354948805459</v>
      </c>
      <c r="AD304" s="994">
        <f t="shared" si="108"/>
        <v>4100</v>
      </c>
      <c r="AE304" s="995">
        <f t="shared" si="109"/>
        <v>27.986348122866893</v>
      </c>
      <c r="AF304" s="996">
        <v>88</v>
      </c>
      <c r="AG304" s="997">
        <v>65</v>
      </c>
      <c r="AH304" s="997">
        <v>5</v>
      </c>
      <c r="AI304" s="998">
        <f t="shared" si="110"/>
        <v>158</v>
      </c>
      <c r="AJ304" s="993">
        <f t="shared" si="111"/>
        <v>1.0784982935153584</v>
      </c>
    </row>
    <row r="305" spans="1:36" ht="16.5" customHeight="1">
      <c r="A305" s="999">
        <f>'09월 조업일지'!A303</f>
        <v>46276</v>
      </c>
      <c r="B305" s="1099">
        <f>'09월 조업일지'!B303</f>
        <v>46276</v>
      </c>
      <c r="C305" s="1000" t="str">
        <f>'09월 화학성분'!D303</f>
        <v>C</v>
      </c>
      <c r="D305" s="1000" t="str">
        <f>'09월 화학성분'!E303</f>
        <v>B</v>
      </c>
      <c r="E305" s="1000">
        <f>'09월 화학성분'!C303</f>
        <v>85505</v>
      </c>
      <c r="F305" s="1001" t="str">
        <f t="shared" si="97"/>
        <v>SS400-02</v>
      </c>
      <c r="G305" s="1172">
        <v>18.899999999999999</v>
      </c>
      <c r="H305" s="985">
        <v>22800</v>
      </c>
      <c r="I305" s="1173">
        <v>16.600000000000001</v>
      </c>
      <c r="J305" s="985">
        <v>20400</v>
      </c>
      <c r="K305" s="1173">
        <v>8.6</v>
      </c>
      <c r="L305" s="985">
        <v>11000</v>
      </c>
      <c r="M305" s="1174">
        <f t="shared" si="98"/>
        <v>44.1</v>
      </c>
      <c r="N305" s="984">
        <f t="shared" si="99"/>
        <v>54200</v>
      </c>
      <c r="O305" s="986">
        <f t="shared" si="100"/>
        <v>156.48592999313661</v>
      </c>
      <c r="P305" s="987">
        <f t="shared" si="101"/>
        <v>140.01372683596432</v>
      </c>
      <c r="Q305" s="987">
        <f t="shared" si="102"/>
        <v>75.497597803706256</v>
      </c>
      <c r="R305" s="988">
        <f t="shared" si="103"/>
        <v>371.99725463280714</v>
      </c>
      <c r="S305" s="989">
        <v>145.69999999999999</v>
      </c>
      <c r="T305" s="990">
        <v>0</v>
      </c>
      <c r="U305" s="991">
        <v>47</v>
      </c>
      <c r="V305" s="991">
        <v>292</v>
      </c>
      <c r="W305" s="992">
        <f t="shared" si="104"/>
        <v>339</v>
      </c>
      <c r="X305" s="993">
        <f t="shared" si="105"/>
        <v>2.3266986959505838</v>
      </c>
      <c r="Y305" s="990">
        <v>1565</v>
      </c>
      <c r="Z305" s="991">
        <v>1360</v>
      </c>
      <c r="AA305" s="991">
        <v>868</v>
      </c>
      <c r="AB305" s="992">
        <f t="shared" si="106"/>
        <v>3793</v>
      </c>
      <c r="AC305" s="993">
        <f t="shared" si="107"/>
        <v>26.032944406314346</v>
      </c>
      <c r="AD305" s="994">
        <f t="shared" si="108"/>
        <v>4132</v>
      </c>
      <c r="AE305" s="995">
        <f t="shared" si="109"/>
        <v>28.359643102264929</v>
      </c>
      <c r="AF305" s="996">
        <v>82</v>
      </c>
      <c r="AG305" s="997">
        <v>62</v>
      </c>
      <c r="AH305" s="997">
        <v>7</v>
      </c>
      <c r="AI305" s="998">
        <f t="shared" si="110"/>
        <v>151</v>
      </c>
      <c r="AJ305" s="993">
        <f t="shared" si="111"/>
        <v>1.0363761153054223</v>
      </c>
    </row>
    <row r="306" spans="1:36" ht="16.5" customHeight="1">
      <c r="A306" s="999">
        <f>'09월 조업일지'!A304</f>
        <v>46276</v>
      </c>
      <c r="B306" s="1099">
        <f>'09월 조업일지'!B304</f>
        <v>46276</v>
      </c>
      <c r="C306" s="1000" t="str">
        <f>'09월 화학성분'!D304</f>
        <v>C</v>
      </c>
      <c r="D306" s="1000" t="str">
        <f>'09월 화학성분'!E304</f>
        <v>A</v>
      </c>
      <c r="E306" s="1000">
        <f>'09월 화학성분'!C304</f>
        <v>85506</v>
      </c>
      <c r="F306" s="1001" t="str">
        <f t="shared" si="97"/>
        <v>SS400-02</v>
      </c>
      <c r="G306" s="1172">
        <v>20.9</v>
      </c>
      <c r="H306" s="985">
        <v>24300</v>
      </c>
      <c r="I306" s="1173">
        <v>17.399999999999999</v>
      </c>
      <c r="J306" s="985">
        <v>20800</v>
      </c>
      <c r="K306" s="1173">
        <v>7.1</v>
      </c>
      <c r="L306" s="985">
        <v>9200</v>
      </c>
      <c r="M306" s="1174">
        <f t="shared" si="98"/>
        <v>45.4</v>
      </c>
      <c r="N306" s="984">
        <f t="shared" si="99"/>
        <v>54300</v>
      </c>
      <c r="O306" s="986">
        <f t="shared" si="100"/>
        <v>166.55243317340643</v>
      </c>
      <c r="P306" s="987">
        <f t="shared" si="101"/>
        <v>142.56339958875941</v>
      </c>
      <c r="Q306" s="987">
        <f t="shared" si="102"/>
        <v>63.056888279643587</v>
      </c>
      <c r="R306" s="988">
        <f t="shared" si="103"/>
        <v>372.17272104180944</v>
      </c>
      <c r="S306" s="989">
        <v>145.9</v>
      </c>
      <c r="T306" s="990">
        <v>0</v>
      </c>
      <c r="U306" s="991">
        <v>92</v>
      </c>
      <c r="V306" s="991">
        <v>244</v>
      </c>
      <c r="W306" s="992">
        <f t="shared" si="104"/>
        <v>336</v>
      </c>
      <c r="X306" s="993">
        <f t="shared" si="105"/>
        <v>2.3029472241261137</v>
      </c>
      <c r="Y306" s="990">
        <v>1742</v>
      </c>
      <c r="Z306" s="991">
        <v>1424</v>
      </c>
      <c r="AA306" s="991">
        <v>648</v>
      </c>
      <c r="AB306" s="992">
        <f t="shared" si="106"/>
        <v>3814</v>
      </c>
      <c r="AC306" s="993">
        <f t="shared" si="107"/>
        <v>26.141192597669637</v>
      </c>
      <c r="AD306" s="994">
        <f t="shared" si="108"/>
        <v>4150</v>
      </c>
      <c r="AE306" s="995">
        <f t="shared" si="109"/>
        <v>28.444139821795748</v>
      </c>
      <c r="AF306" s="996">
        <v>84</v>
      </c>
      <c r="AG306" s="997">
        <v>65</v>
      </c>
      <c r="AH306" s="997">
        <v>5</v>
      </c>
      <c r="AI306" s="998">
        <f t="shared" si="110"/>
        <v>154</v>
      </c>
      <c r="AJ306" s="993">
        <f t="shared" si="111"/>
        <v>1.0555174777244687</v>
      </c>
    </row>
    <row r="307" spans="1:36" ht="16.5" customHeight="1">
      <c r="A307" s="999">
        <f>'09월 조업일지'!A305</f>
        <v>46276</v>
      </c>
      <c r="B307" s="1099">
        <f>'09월 조업일지'!B305</f>
        <v>46276</v>
      </c>
      <c r="C307" s="1000" t="str">
        <f>'09월 화학성분'!D305</f>
        <v>A</v>
      </c>
      <c r="D307" s="1000" t="str">
        <f>'09월 화학성분'!E305</f>
        <v>B</v>
      </c>
      <c r="E307" s="1000">
        <f>'09월 화학성분'!C305</f>
        <v>85507</v>
      </c>
      <c r="F307" s="1001" t="str">
        <f t="shared" si="97"/>
        <v>SS400-02</v>
      </c>
      <c r="G307" s="1172">
        <v>20.9</v>
      </c>
      <c r="H307" s="985">
        <v>24200</v>
      </c>
      <c r="I307" s="1173">
        <v>16.7</v>
      </c>
      <c r="J307" s="985">
        <v>20700</v>
      </c>
      <c r="K307" s="1173">
        <v>10</v>
      </c>
      <c r="L307" s="985">
        <v>12700</v>
      </c>
      <c r="M307" s="1174">
        <f t="shared" si="98"/>
        <v>47.599999999999994</v>
      </c>
      <c r="N307" s="984">
        <f t="shared" si="99"/>
        <v>57600</v>
      </c>
      <c r="O307" s="986">
        <f t="shared" si="100"/>
        <v>163.29284750337382</v>
      </c>
      <c r="P307" s="987">
        <f t="shared" si="101"/>
        <v>139.67611336032391</v>
      </c>
      <c r="Q307" s="987">
        <f t="shared" si="102"/>
        <v>85.695006747638331</v>
      </c>
      <c r="R307" s="988">
        <f t="shared" si="103"/>
        <v>388.66396761133603</v>
      </c>
      <c r="S307" s="989">
        <v>148.19999999999999</v>
      </c>
      <c r="T307" s="990">
        <v>0</v>
      </c>
      <c r="U307" s="991">
        <v>174</v>
      </c>
      <c r="V307" s="991">
        <v>334</v>
      </c>
      <c r="W307" s="992">
        <f t="shared" si="104"/>
        <v>508</v>
      </c>
      <c r="X307" s="993">
        <f t="shared" si="105"/>
        <v>3.4278002699055334</v>
      </c>
      <c r="Y307" s="990">
        <v>1771</v>
      </c>
      <c r="Z307" s="991">
        <v>1404</v>
      </c>
      <c r="AA307" s="991">
        <v>808</v>
      </c>
      <c r="AB307" s="992">
        <f t="shared" si="106"/>
        <v>3983</v>
      </c>
      <c r="AC307" s="993">
        <f t="shared" si="107"/>
        <v>26.875843454790825</v>
      </c>
      <c r="AD307" s="994">
        <f t="shared" si="108"/>
        <v>4491</v>
      </c>
      <c r="AE307" s="995">
        <f t="shared" si="109"/>
        <v>30.303643724696357</v>
      </c>
      <c r="AF307" s="996">
        <v>88</v>
      </c>
      <c r="AG307" s="997">
        <v>65</v>
      </c>
      <c r="AH307" s="997">
        <v>7</v>
      </c>
      <c r="AI307" s="998">
        <f t="shared" si="110"/>
        <v>160</v>
      </c>
      <c r="AJ307" s="993">
        <f t="shared" si="111"/>
        <v>1.0796221322537112</v>
      </c>
    </row>
    <row r="308" spans="1:36" ht="16.5" customHeight="1">
      <c r="A308" s="999">
        <f>'09월 조업일지'!A306</f>
        <v>46276</v>
      </c>
      <c r="B308" s="1099">
        <f>'09월 조업일지'!B306</f>
        <v>46276</v>
      </c>
      <c r="C308" s="1000" t="str">
        <f>'09월 화학성분'!D306</f>
        <v>A</v>
      </c>
      <c r="D308" s="1000" t="str">
        <f>'09월 화학성분'!E306</f>
        <v>A</v>
      </c>
      <c r="E308" s="1000">
        <f>'09월 화학성분'!C306</f>
        <v>85508</v>
      </c>
      <c r="F308" s="1001" t="str">
        <f t="shared" si="97"/>
        <v>SS400-02</v>
      </c>
      <c r="G308" s="1172">
        <v>18.7</v>
      </c>
      <c r="H308" s="985">
        <v>22700</v>
      </c>
      <c r="I308" s="1173">
        <v>16.600000000000001</v>
      </c>
      <c r="J308" s="985">
        <v>20700</v>
      </c>
      <c r="K308" s="1173">
        <v>10.1</v>
      </c>
      <c r="L308" s="985">
        <v>12400</v>
      </c>
      <c r="M308" s="1174">
        <f t="shared" si="98"/>
        <v>45.4</v>
      </c>
      <c r="N308" s="984">
        <f t="shared" si="99"/>
        <v>55800</v>
      </c>
      <c r="O308" s="986">
        <f t="shared" si="100"/>
        <v>155.9065934065934</v>
      </c>
      <c r="P308" s="987">
        <f t="shared" si="101"/>
        <v>142.17032967032966</v>
      </c>
      <c r="Q308" s="987">
        <f t="shared" si="102"/>
        <v>85.164835164835168</v>
      </c>
      <c r="R308" s="988">
        <f t="shared" si="103"/>
        <v>383.24175824175825</v>
      </c>
      <c r="S308" s="989">
        <v>145.6</v>
      </c>
      <c r="T308" s="990">
        <v>0</v>
      </c>
      <c r="U308" s="991">
        <v>117</v>
      </c>
      <c r="V308" s="991">
        <v>254</v>
      </c>
      <c r="W308" s="992">
        <f t="shared" si="104"/>
        <v>371</v>
      </c>
      <c r="X308" s="993">
        <f t="shared" si="105"/>
        <v>2.5480769230769234</v>
      </c>
      <c r="Y308" s="990">
        <v>1603</v>
      </c>
      <c r="Z308" s="991">
        <v>1368</v>
      </c>
      <c r="AA308" s="991">
        <v>719</v>
      </c>
      <c r="AB308" s="992">
        <f t="shared" si="106"/>
        <v>3690</v>
      </c>
      <c r="AC308" s="993">
        <f t="shared" si="107"/>
        <v>25.343406593406595</v>
      </c>
      <c r="AD308" s="994">
        <f t="shared" si="108"/>
        <v>4061</v>
      </c>
      <c r="AE308" s="995">
        <f t="shared" si="109"/>
        <v>27.891483516483518</v>
      </c>
      <c r="AF308" s="996">
        <v>81</v>
      </c>
      <c r="AG308" s="997">
        <v>64</v>
      </c>
      <c r="AH308" s="997">
        <v>6</v>
      </c>
      <c r="AI308" s="998">
        <f t="shared" si="110"/>
        <v>151</v>
      </c>
      <c r="AJ308" s="993">
        <f t="shared" si="111"/>
        <v>1.0370879120879122</v>
      </c>
    </row>
    <row r="309" spans="1:36" ht="16.5" customHeight="1">
      <c r="A309" s="999">
        <f>'09월 조업일지'!A307</f>
        <v>46276</v>
      </c>
      <c r="B309" s="1099">
        <f>'09월 조업일지'!B307</f>
        <v>46276</v>
      </c>
      <c r="C309" s="1000" t="str">
        <f>'09월 화학성분'!D307</f>
        <v>A</v>
      </c>
      <c r="D309" s="1000" t="str">
        <f>'09월 화학성분'!E307</f>
        <v>B</v>
      </c>
      <c r="E309" s="1000">
        <f>'09월 화학성분'!C307</f>
        <v>85509</v>
      </c>
      <c r="F309" s="1001" t="str">
        <f t="shared" si="97"/>
        <v>SS400-02</v>
      </c>
      <c r="G309" s="1172">
        <v>18.600000000000001</v>
      </c>
      <c r="H309" s="985">
        <v>22800</v>
      </c>
      <c r="I309" s="1173">
        <v>16.8</v>
      </c>
      <c r="J309" s="985">
        <v>20500</v>
      </c>
      <c r="K309" s="1173">
        <v>10.9</v>
      </c>
      <c r="L309" s="985">
        <v>13500</v>
      </c>
      <c r="M309" s="1174">
        <f t="shared" si="98"/>
        <v>46.300000000000004</v>
      </c>
      <c r="N309" s="984">
        <f t="shared" si="99"/>
        <v>56800</v>
      </c>
      <c r="O309" s="986">
        <f t="shared" si="100"/>
        <v>155.52523874488404</v>
      </c>
      <c r="P309" s="987">
        <f t="shared" si="101"/>
        <v>139.83628922237381</v>
      </c>
      <c r="Q309" s="987">
        <f t="shared" si="102"/>
        <v>92.087312414733972</v>
      </c>
      <c r="R309" s="988">
        <f t="shared" si="103"/>
        <v>387.44884038199183</v>
      </c>
      <c r="S309" s="989">
        <v>146.6</v>
      </c>
      <c r="T309" s="990">
        <v>0</v>
      </c>
      <c r="U309" s="991">
        <v>122</v>
      </c>
      <c r="V309" s="991">
        <v>246</v>
      </c>
      <c r="W309" s="992">
        <f t="shared" si="104"/>
        <v>368</v>
      </c>
      <c r="X309" s="993">
        <f t="shared" si="105"/>
        <v>2.510231923601637</v>
      </c>
      <c r="Y309" s="990">
        <v>1527</v>
      </c>
      <c r="Z309" s="991">
        <v>1390</v>
      </c>
      <c r="AA309" s="991">
        <v>839</v>
      </c>
      <c r="AB309" s="992">
        <f t="shared" si="106"/>
        <v>3756</v>
      </c>
      <c r="AC309" s="993">
        <f t="shared" si="107"/>
        <v>25.620736698499318</v>
      </c>
      <c r="AD309" s="994">
        <f t="shared" si="108"/>
        <v>4124</v>
      </c>
      <c r="AE309" s="995">
        <f t="shared" si="109"/>
        <v>28.130968622100955</v>
      </c>
      <c r="AF309" s="996">
        <v>82</v>
      </c>
      <c r="AG309" s="997">
        <v>64</v>
      </c>
      <c r="AH309" s="997">
        <v>7</v>
      </c>
      <c r="AI309" s="998">
        <f t="shared" si="110"/>
        <v>153</v>
      </c>
      <c r="AJ309" s="993">
        <f t="shared" si="111"/>
        <v>1.0436562073669851</v>
      </c>
    </row>
    <row r="310" spans="1:36" ht="16.5" customHeight="1">
      <c r="A310" s="999">
        <f>'09월 조업일지'!A308</f>
        <v>46276</v>
      </c>
      <c r="B310" s="1099">
        <f>'09월 조업일지'!B308</f>
        <v>46276</v>
      </c>
      <c r="C310" s="1000" t="str">
        <f>'09월 화학성분'!D308</f>
        <v>A</v>
      </c>
      <c r="D310" s="1000" t="str">
        <f>'09월 화학성분'!E308</f>
        <v>A</v>
      </c>
      <c r="E310" s="1000">
        <f>'09월 화학성분'!C308</f>
        <v>85510</v>
      </c>
      <c r="F310" s="1001" t="str">
        <f t="shared" si="97"/>
        <v>SS400-02</v>
      </c>
      <c r="G310" s="1172">
        <v>19.100000000000001</v>
      </c>
      <c r="H310" s="985">
        <v>22900</v>
      </c>
      <c r="I310" s="1173">
        <v>17.2</v>
      </c>
      <c r="J310" s="985">
        <v>20900</v>
      </c>
      <c r="K310" s="1173">
        <v>9</v>
      </c>
      <c r="L310" s="985">
        <v>11400</v>
      </c>
      <c r="M310" s="1174">
        <f t="shared" si="98"/>
        <v>45.3</v>
      </c>
      <c r="N310" s="984">
        <f t="shared" si="99"/>
        <v>55200</v>
      </c>
      <c r="O310" s="986">
        <f t="shared" si="100"/>
        <v>154.72972972972974</v>
      </c>
      <c r="P310" s="987">
        <f t="shared" si="101"/>
        <v>141.21621621621622</v>
      </c>
      <c r="Q310" s="987">
        <f t="shared" si="102"/>
        <v>77.027027027027032</v>
      </c>
      <c r="R310" s="988">
        <f t="shared" si="103"/>
        <v>372.97297297297297</v>
      </c>
      <c r="S310" s="989">
        <v>148</v>
      </c>
      <c r="T310" s="990">
        <v>0</v>
      </c>
      <c r="U310" s="991">
        <v>213</v>
      </c>
      <c r="V310" s="991">
        <v>196</v>
      </c>
      <c r="W310" s="992">
        <f t="shared" si="104"/>
        <v>409</v>
      </c>
      <c r="X310" s="993">
        <f t="shared" si="105"/>
        <v>2.7635135135135136</v>
      </c>
      <c r="Y310" s="990">
        <v>1538</v>
      </c>
      <c r="Z310" s="991">
        <v>1431</v>
      </c>
      <c r="AA310" s="991">
        <v>694</v>
      </c>
      <c r="AB310" s="992">
        <f t="shared" si="106"/>
        <v>3663</v>
      </c>
      <c r="AC310" s="993">
        <f t="shared" si="107"/>
        <v>24.75</v>
      </c>
      <c r="AD310" s="994">
        <f t="shared" si="108"/>
        <v>4072</v>
      </c>
      <c r="AE310" s="995">
        <f t="shared" si="109"/>
        <v>27.513513513513512</v>
      </c>
      <c r="AF310" s="996">
        <v>81</v>
      </c>
      <c r="AG310" s="997">
        <v>64</v>
      </c>
      <c r="AH310" s="997">
        <v>6</v>
      </c>
      <c r="AI310" s="998">
        <f t="shared" si="110"/>
        <v>151</v>
      </c>
      <c r="AJ310" s="993">
        <f t="shared" si="111"/>
        <v>1.0202702702702702</v>
      </c>
    </row>
    <row r="311" spans="1:36" ht="16.5" customHeight="1">
      <c r="A311" s="999">
        <f>'09월 조업일지'!A309</f>
        <v>46276</v>
      </c>
      <c r="B311" s="1099">
        <f>'09월 조업일지'!B309</f>
        <v>46276</v>
      </c>
      <c r="C311" s="1000" t="str">
        <f>'09월 화학성분'!D309</f>
        <v>A</v>
      </c>
      <c r="D311" s="1000" t="str">
        <f>'09월 화학성분'!E309</f>
        <v>B</v>
      </c>
      <c r="E311" s="1000">
        <f>'09월 화학성분'!C309</f>
        <v>85511</v>
      </c>
      <c r="F311" s="1001" t="str">
        <f t="shared" si="97"/>
        <v>SS400-02</v>
      </c>
      <c r="G311" s="1172">
        <v>19.3</v>
      </c>
      <c r="H311" s="985">
        <v>22700</v>
      </c>
      <c r="I311" s="1173">
        <v>16.5</v>
      </c>
      <c r="J311" s="985">
        <v>20600</v>
      </c>
      <c r="K311" s="1173">
        <v>10.9</v>
      </c>
      <c r="L311" s="985">
        <v>13500</v>
      </c>
      <c r="M311" s="1174">
        <f t="shared" si="98"/>
        <v>46.699999999999996</v>
      </c>
      <c r="N311" s="984">
        <f t="shared" si="99"/>
        <v>56800</v>
      </c>
      <c r="O311" s="986">
        <f t="shared" si="100"/>
        <v>153.68991198375085</v>
      </c>
      <c r="P311" s="987">
        <f t="shared" si="101"/>
        <v>139.47190250507788</v>
      </c>
      <c r="Q311" s="987">
        <f t="shared" si="102"/>
        <v>91.40148950575491</v>
      </c>
      <c r="R311" s="988">
        <f t="shared" si="103"/>
        <v>384.56330399458363</v>
      </c>
      <c r="S311" s="989">
        <v>147.69999999999999</v>
      </c>
      <c r="T311" s="990">
        <v>0</v>
      </c>
      <c r="U311" s="991">
        <v>191</v>
      </c>
      <c r="V311" s="991">
        <v>123</v>
      </c>
      <c r="W311" s="992">
        <f t="shared" si="104"/>
        <v>314</v>
      </c>
      <c r="X311" s="993">
        <f t="shared" si="105"/>
        <v>2.1259309410968181</v>
      </c>
      <c r="Y311" s="990">
        <v>1574</v>
      </c>
      <c r="Z311" s="991">
        <v>1388</v>
      </c>
      <c r="AA311" s="991">
        <v>951</v>
      </c>
      <c r="AB311" s="992">
        <f t="shared" si="106"/>
        <v>3913</v>
      </c>
      <c r="AC311" s="993">
        <f t="shared" si="107"/>
        <v>26.492890995260666</v>
      </c>
      <c r="AD311" s="994">
        <f t="shared" si="108"/>
        <v>4227</v>
      </c>
      <c r="AE311" s="995">
        <f t="shared" si="109"/>
        <v>28.618821936357485</v>
      </c>
      <c r="AF311" s="996">
        <v>84</v>
      </c>
      <c r="AG311" s="997">
        <v>61</v>
      </c>
      <c r="AH311" s="997">
        <v>9</v>
      </c>
      <c r="AI311" s="998">
        <f t="shared" si="110"/>
        <v>154</v>
      </c>
      <c r="AJ311" s="993">
        <f t="shared" si="111"/>
        <v>1.0426540284360191</v>
      </c>
    </row>
    <row r="312" spans="1:36" ht="16.5" customHeight="1">
      <c r="A312" s="999">
        <f>'09월 조업일지'!A310</f>
        <v>46276</v>
      </c>
      <c r="B312" s="1099">
        <f>'09월 조업일지'!B310</f>
        <v>46276</v>
      </c>
      <c r="C312" s="1000" t="str">
        <f>'09월 화학성분'!D310</f>
        <v>A</v>
      </c>
      <c r="D312" s="1000" t="str">
        <f>'09월 화학성분'!E310</f>
        <v>A</v>
      </c>
      <c r="E312" s="1000">
        <f>'09월 화학성분'!C310</f>
        <v>85512</v>
      </c>
      <c r="F312" s="1001" t="str">
        <f t="shared" si="97"/>
        <v>SS400-02</v>
      </c>
      <c r="G312" s="1172">
        <v>19.8</v>
      </c>
      <c r="H312" s="985">
        <v>23100</v>
      </c>
      <c r="I312" s="1173">
        <v>17.399999999999999</v>
      </c>
      <c r="J312" s="985">
        <v>21100</v>
      </c>
      <c r="K312" s="1173">
        <v>8.9</v>
      </c>
      <c r="L312" s="985">
        <v>11200</v>
      </c>
      <c r="M312" s="1174">
        <f t="shared" si="98"/>
        <v>46.1</v>
      </c>
      <c r="N312" s="984">
        <f t="shared" si="99"/>
        <v>55400</v>
      </c>
      <c r="O312" s="986">
        <f t="shared" si="100"/>
        <v>159.97229916897507</v>
      </c>
      <c r="P312" s="987">
        <f t="shared" si="101"/>
        <v>146.12188365650968</v>
      </c>
      <c r="Q312" s="987">
        <f t="shared" si="102"/>
        <v>77.562326869806085</v>
      </c>
      <c r="R312" s="988">
        <f t="shared" si="103"/>
        <v>383.65650969529082</v>
      </c>
      <c r="S312" s="989">
        <v>144.4</v>
      </c>
      <c r="T312" s="990">
        <v>0</v>
      </c>
      <c r="U312" s="991">
        <v>162</v>
      </c>
      <c r="V312" s="991">
        <v>210</v>
      </c>
      <c r="W312" s="992">
        <f t="shared" si="104"/>
        <v>372</v>
      </c>
      <c r="X312" s="993">
        <f t="shared" si="105"/>
        <v>2.5761772853185594</v>
      </c>
      <c r="Y312" s="990">
        <v>1603</v>
      </c>
      <c r="Z312" s="991">
        <v>1466</v>
      </c>
      <c r="AA312" s="991">
        <v>646</v>
      </c>
      <c r="AB312" s="992">
        <f t="shared" si="106"/>
        <v>3715</v>
      </c>
      <c r="AC312" s="993">
        <f t="shared" si="107"/>
        <v>25.727146814404431</v>
      </c>
      <c r="AD312" s="994">
        <f t="shared" si="108"/>
        <v>4087</v>
      </c>
      <c r="AE312" s="995">
        <f t="shared" si="109"/>
        <v>28.303324099722989</v>
      </c>
      <c r="AF312" s="996">
        <v>84</v>
      </c>
      <c r="AG312" s="997">
        <v>64</v>
      </c>
      <c r="AH312" s="997">
        <v>6</v>
      </c>
      <c r="AI312" s="998">
        <f t="shared" si="110"/>
        <v>154</v>
      </c>
      <c r="AJ312" s="993">
        <f t="shared" si="111"/>
        <v>1.0664819944598338</v>
      </c>
    </row>
    <row r="313" spans="1:36" ht="16.5" customHeight="1">
      <c r="A313" s="999">
        <f>'09월 조업일지'!A311</f>
        <v>46276</v>
      </c>
      <c r="B313" s="1099">
        <f>'09월 조업일지'!B311</f>
        <v>46276</v>
      </c>
      <c r="C313" s="1000" t="str">
        <f>'09월 화학성분'!D311</f>
        <v>A</v>
      </c>
      <c r="D313" s="1000" t="str">
        <f>'09월 화학성분'!E311</f>
        <v>B</v>
      </c>
      <c r="E313" s="1000">
        <f>'09월 화학성분'!C311</f>
        <v>85513</v>
      </c>
      <c r="F313" s="1001" t="str">
        <f t="shared" si="97"/>
        <v>SS400-02</v>
      </c>
      <c r="G313" s="1172">
        <v>19.100000000000001</v>
      </c>
      <c r="H313" s="985">
        <v>22400</v>
      </c>
      <c r="I313" s="1173">
        <v>16.3</v>
      </c>
      <c r="J313" s="985">
        <v>20600</v>
      </c>
      <c r="K313" s="1173">
        <v>11.5</v>
      </c>
      <c r="L313" s="985">
        <v>15000</v>
      </c>
      <c r="M313" s="1174">
        <f t="shared" si="98"/>
        <v>46.900000000000006</v>
      </c>
      <c r="N313" s="984">
        <f t="shared" si="99"/>
        <v>58000</v>
      </c>
      <c r="O313" s="986">
        <f t="shared" si="100"/>
        <v>153.63511659807955</v>
      </c>
      <c r="P313" s="987">
        <f t="shared" si="101"/>
        <v>141.28943758573388</v>
      </c>
      <c r="Q313" s="987">
        <f t="shared" si="102"/>
        <v>102.88065843621398</v>
      </c>
      <c r="R313" s="988">
        <f t="shared" si="103"/>
        <v>397.80521262002742</v>
      </c>
      <c r="S313" s="989">
        <v>145.80000000000001</v>
      </c>
      <c r="T313" s="990">
        <v>0</v>
      </c>
      <c r="U313" s="991">
        <v>120</v>
      </c>
      <c r="V313" s="991">
        <v>258</v>
      </c>
      <c r="W313" s="992">
        <f t="shared" si="104"/>
        <v>378</v>
      </c>
      <c r="X313" s="993">
        <f t="shared" si="105"/>
        <v>2.5925925925925926</v>
      </c>
      <c r="Y313" s="990">
        <v>1564</v>
      </c>
      <c r="Z313" s="991">
        <v>1367</v>
      </c>
      <c r="AA313" s="991">
        <v>833</v>
      </c>
      <c r="AB313" s="992">
        <f t="shared" si="106"/>
        <v>3764</v>
      </c>
      <c r="AC313" s="993">
        <f t="shared" si="107"/>
        <v>25.816186556927295</v>
      </c>
      <c r="AD313" s="994">
        <f t="shared" si="108"/>
        <v>4142</v>
      </c>
      <c r="AE313" s="995">
        <f t="shared" si="109"/>
        <v>28.408779149519887</v>
      </c>
      <c r="AF313" s="996">
        <v>86</v>
      </c>
      <c r="AG313" s="997">
        <v>60</v>
      </c>
      <c r="AH313" s="997">
        <v>7</v>
      </c>
      <c r="AI313" s="998">
        <f t="shared" si="110"/>
        <v>153</v>
      </c>
      <c r="AJ313" s="993">
        <f t="shared" si="111"/>
        <v>1.0493827160493827</v>
      </c>
    </row>
    <row r="314" spans="1:36" ht="16.5" customHeight="1">
      <c r="A314" s="999">
        <f>'09월 조업일지'!A312</f>
        <v>46276</v>
      </c>
      <c r="B314" s="1099">
        <f>'09월 조업일지'!B312</f>
        <v>46276</v>
      </c>
      <c r="C314" s="1000" t="str">
        <f>'09월 화학성분'!D312</f>
        <v>A</v>
      </c>
      <c r="D314" s="1000" t="str">
        <f>'09월 화학성분'!E312</f>
        <v>A</v>
      </c>
      <c r="E314" s="1000">
        <f>'09월 화학성분'!C312</f>
        <v>85514</v>
      </c>
      <c r="F314" s="1001" t="str">
        <f t="shared" si="97"/>
        <v>SS400-02</v>
      </c>
      <c r="G314" s="1172">
        <v>20.7</v>
      </c>
      <c r="H314" s="985">
        <v>23800</v>
      </c>
      <c r="I314" s="1173">
        <v>16.899999999999999</v>
      </c>
      <c r="J314" s="985">
        <v>20500</v>
      </c>
      <c r="K314" s="1173">
        <v>11.4</v>
      </c>
      <c r="L314" s="985">
        <v>14500</v>
      </c>
      <c r="M314" s="1174">
        <f t="shared" si="98"/>
        <v>48.999999999999993</v>
      </c>
      <c r="N314" s="984">
        <f t="shared" si="99"/>
        <v>58800</v>
      </c>
      <c r="O314" s="986">
        <f t="shared" si="100"/>
        <v>160.16150740242261</v>
      </c>
      <c r="P314" s="987">
        <f t="shared" si="101"/>
        <v>137.95423956931359</v>
      </c>
      <c r="Q314" s="987">
        <f t="shared" si="102"/>
        <v>97.577388963660837</v>
      </c>
      <c r="R314" s="988">
        <f t="shared" si="103"/>
        <v>395.69313593539704</v>
      </c>
      <c r="S314" s="989">
        <v>148.6</v>
      </c>
      <c r="T314" s="990">
        <v>0</v>
      </c>
      <c r="U314" s="991">
        <v>173</v>
      </c>
      <c r="V314" s="991">
        <v>209</v>
      </c>
      <c r="W314" s="992">
        <f t="shared" si="104"/>
        <v>382</v>
      </c>
      <c r="X314" s="993">
        <f t="shared" si="105"/>
        <v>2.5706594885598926</v>
      </c>
      <c r="Y314" s="990">
        <v>1690</v>
      </c>
      <c r="Z314" s="991">
        <v>1391</v>
      </c>
      <c r="AA314" s="991">
        <v>642</v>
      </c>
      <c r="AB314" s="992">
        <f t="shared" si="106"/>
        <v>3723</v>
      </c>
      <c r="AC314" s="993">
        <f t="shared" si="107"/>
        <v>25.053835800807537</v>
      </c>
      <c r="AD314" s="994">
        <f t="shared" si="108"/>
        <v>4105</v>
      </c>
      <c r="AE314" s="995">
        <f t="shared" si="109"/>
        <v>27.624495289367431</v>
      </c>
      <c r="AF314" s="996">
        <v>80</v>
      </c>
      <c r="AG314" s="997">
        <v>65</v>
      </c>
      <c r="AH314" s="997">
        <v>5</v>
      </c>
      <c r="AI314" s="998">
        <f t="shared" si="110"/>
        <v>150</v>
      </c>
      <c r="AJ314" s="993">
        <f t="shared" si="111"/>
        <v>1.009421265141319</v>
      </c>
    </row>
    <row r="315" spans="1:36" ht="16.5" customHeight="1">
      <c r="A315" s="999">
        <f>'09월 조업일지'!A313</f>
        <v>46276</v>
      </c>
      <c r="B315" s="1099">
        <f>'09월 조업일지'!B313</f>
        <v>46276</v>
      </c>
      <c r="C315" s="1000" t="str">
        <f>'09월 화학성분'!D313</f>
        <v>A</v>
      </c>
      <c r="D315" s="1000" t="str">
        <f>'09월 화학성분'!E313</f>
        <v>B</v>
      </c>
      <c r="E315" s="1000">
        <f>'09월 화학성분'!C313</f>
        <v>85515</v>
      </c>
      <c r="F315" s="1104" t="s">
        <v>739</v>
      </c>
      <c r="G315" s="1172">
        <v>18.5</v>
      </c>
      <c r="H315" s="985">
        <v>22800</v>
      </c>
      <c r="I315" s="1173">
        <v>16.8</v>
      </c>
      <c r="J315" s="985">
        <v>20500</v>
      </c>
      <c r="K315" s="1173">
        <v>12.5</v>
      </c>
      <c r="L315" s="985">
        <v>15900</v>
      </c>
      <c r="M315" s="1174">
        <f t="shared" si="98"/>
        <v>47.8</v>
      </c>
      <c r="N315" s="984">
        <f t="shared" si="99"/>
        <v>59200</v>
      </c>
      <c r="O315" s="986">
        <f t="shared" si="100"/>
        <v>157.78546712802768</v>
      </c>
      <c r="P315" s="987">
        <f t="shared" si="101"/>
        <v>141.86851211072664</v>
      </c>
      <c r="Q315" s="987">
        <f t="shared" si="102"/>
        <v>110.03460207612457</v>
      </c>
      <c r="R315" s="988">
        <f t="shared" si="103"/>
        <v>409.68858131487889</v>
      </c>
      <c r="S315" s="989">
        <v>144.5</v>
      </c>
      <c r="T315" s="990">
        <v>0</v>
      </c>
      <c r="U315" s="991">
        <v>122</v>
      </c>
      <c r="V315" s="991">
        <v>265</v>
      </c>
      <c r="W315" s="992">
        <f t="shared" si="104"/>
        <v>387</v>
      </c>
      <c r="X315" s="993">
        <f t="shared" si="105"/>
        <v>2.6782006920415227</v>
      </c>
      <c r="Y315" s="990">
        <v>1563</v>
      </c>
      <c r="Z315" s="991">
        <v>1373</v>
      </c>
      <c r="AA315" s="991">
        <v>964</v>
      </c>
      <c r="AB315" s="992">
        <f t="shared" si="106"/>
        <v>3900</v>
      </c>
      <c r="AC315" s="993">
        <f t="shared" si="107"/>
        <v>26.989619377162629</v>
      </c>
      <c r="AD315" s="994">
        <f t="shared" si="108"/>
        <v>4287</v>
      </c>
      <c r="AE315" s="995">
        <f t="shared" si="109"/>
        <v>29.667820069204151</v>
      </c>
      <c r="AF315" s="996">
        <v>80</v>
      </c>
      <c r="AG315" s="997">
        <v>66</v>
      </c>
      <c r="AH315" s="997">
        <v>9</v>
      </c>
      <c r="AI315" s="998">
        <f t="shared" si="110"/>
        <v>155</v>
      </c>
      <c r="AJ315" s="993">
        <f t="shared" si="111"/>
        <v>1.0726643598615917</v>
      </c>
    </row>
    <row r="316" spans="1:36" ht="16.5" customHeight="1">
      <c r="A316" s="999">
        <f>'09월 조업일지'!A314</f>
        <v>46276</v>
      </c>
      <c r="B316" s="1099">
        <f>'09월 조업일지'!B314</f>
        <v>46276</v>
      </c>
      <c r="C316" s="1000" t="str">
        <f>'09월 화학성분'!D314</f>
        <v>A</v>
      </c>
      <c r="D316" s="1000" t="str">
        <f>'09월 화학성분'!E314</f>
        <v>A</v>
      </c>
      <c r="E316" s="1000">
        <f>'09월 화학성분'!C314</f>
        <v>85516</v>
      </c>
      <c r="F316" s="1001" t="str">
        <f t="shared" si="97"/>
        <v>SHP355W</v>
      </c>
      <c r="G316" s="1172">
        <v>19.5</v>
      </c>
      <c r="H316" s="985">
        <v>24400</v>
      </c>
      <c r="I316" s="1173">
        <v>17.399999999999999</v>
      </c>
      <c r="J316" s="985">
        <v>20600</v>
      </c>
      <c r="K316" s="1173">
        <v>9.1</v>
      </c>
      <c r="L316" s="985">
        <v>11400</v>
      </c>
      <c r="M316" s="1174">
        <f t="shared" si="98"/>
        <v>46</v>
      </c>
      <c r="N316" s="984">
        <f t="shared" si="99"/>
        <v>56400</v>
      </c>
      <c r="O316" s="986">
        <f t="shared" si="100"/>
        <v>166.32583503749149</v>
      </c>
      <c r="P316" s="987">
        <f t="shared" si="101"/>
        <v>140.42263122017724</v>
      </c>
      <c r="Q316" s="987">
        <f t="shared" si="102"/>
        <v>77.709611451942749</v>
      </c>
      <c r="R316" s="988">
        <f t="shared" si="103"/>
        <v>384.45807770961147</v>
      </c>
      <c r="S316" s="989">
        <v>146.69999999999999</v>
      </c>
      <c r="T316" s="990">
        <v>0</v>
      </c>
      <c r="U316" s="991">
        <v>272</v>
      </c>
      <c r="V316" s="991">
        <v>132</v>
      </c>
      <c r="W316" s="992">
        <f t="shared" si="104"/>
        <v>404</v>
      </c>
      <c r="X316" s="993">
        <f t="shared" si="105"/>
        <v>2.7539195637355149</v>
      </c>
      <c r="Y316" s="990">
        <v>1615</v>
      </c>
      <c r="Z316" s="991">
        <v>1491</v>
      </c>
      <c r="AA316" s="991">
        <v>550</v>
      </c>
      <c r="AB316" s="992">
        <f t="shared" si="106"/>
        <v>3656</v>
      </c>
      <c r="AC316" s="993">
        <f t="shared" si="107"/>
        <v>24.921608725289708</v>
      </c>
      <c r="AD316" s="994">
        <f t="shared" si="108"/>
        <v>4060</v>
      </c>
      <c r="AE316" s="995">
        <f t="shared" si="109"/>
        <v>27.675528289025223</v>
      </c>
      <c r="AF316" s="996">
        <v>80</v>
      </c>
      <c r="AG316" s="997">
        <v>64</v>
      </c>
      <c r="AH316" s="997">
        <v>4</v>
      </c>
      <c r="AI316" s="998">
        <f t="shared" si="110"/>
        <v>148</v>
      </c>
      <c r="AJ316" s="993">
        <f t="shared" si="111"/>
        <v>1.0088616223585549</v>
      </c>
    </row>
    <row r="317" spans="1:36" ht="16.5" customHeight="1">
      <c r="A317" s="999">
        <f>'09월 조업일지'!A315</f>
        <v>46276</v>
      </c>
      <c r="B317" s="1099">
        <f>'09월 조업일지'!B315</f>
        <v>46276</v>
      </c>
      <c r="C317" s="1000" t="str">
        <f>'09월 화학성분'!D315</f>
        <v>B</v>
      </c>
      <c r="D317" s="1000" t="str">
        <f>'09월 화학성분'!E315</f>
        <v>B</v>
      </c>
      <c r="E317" s="1000">
        <f>'09월 화학성분'!C315</f>
        <v>85517</v>
      </c>
      <c r="F317" s="1104" t="s">
        <v>779</v>
      </c>
      <c r="G317" s="1172">
        <v>19.5</v>
      </c>
      <c r="H317" s="985">
        <v>23500</v>
      </c>
      <c r="I317" s="1173">
        <v>17.100000000000001</v>
      </c>
      <c r="J317" s="985">
        <v>20500</v>
      </c>
      <c r="K317" s="1173">
        <v>14.2</v>
      </c>
      <c r="L317" s="985">
        <v>17800</v>
      </c>
      <c r="M317" s="1174">
        <f t="shared" si="98"/>
        <v>50.8</v>
      </c>
      <c r="N317" s="984">
        <f t="shared" si="99"/>
        <v>61800</v>
      </c>
      <c r="O317" s="986">
        <f t="shared" si="100"/>
        <v>165.14406184118059</v>
      </c>
      <c r="P317" s="987">
        <f t="shared" si="101"/>
        <v>144.06184118060435</v>
      </c>
      <c r="Q317" s="987">
        <f t="shared" si="102"/>
        <v>125.08784258608573</v>
      </c>
      <c r="R317" s="988">
        <f t="shared" si="103"/>
        <v>434.29374560787068</v>
      </c>
      <c r="S317" s="989">
        <v>142.30000000000001</v>
      </c>
      <c r="T317" s="990">
        <v>0</v>
      </c>
      <c r="U317" s="991">
        <v>0</v>
      </c>
      <c r="V317" s="991">
        <v>380</v>
      </c>
      <c r="W317" s="992">
        <f t="shared" si="104"/>
        <v>380</v>
      </c>
      <c r="X317" s="993">
        <f t="shared" si="105"/>
        <v>2.6704146170063243</v>
      </c>
      <c r="Y317" s="990">
        <v>1647</v>
      </c>
      <c r="Z317" s="991">
        <v>1418</v>
      </c>
      <c r="AA317" s="991">
        <v>1024</v>
      </c>
      <c r="AB317" s="992">
        <f t="shared" si="106"/>
        <v>4089</v>
      </c>
      <c r="AC317" s="993">
        <f t="shared" si="107"/>
        <v>28.735066760365424</v>
      </c>
      <c r="AD317" s="994">
        <f t="shared" si="108"/>
        <v>4469</v>
      </c>
      <c r="AE317" s="995">
        <f t="shared" si="109"/>
        <v>31.405481377371746</v>
      </c>
      <c r="AF317" s="996">
        <v>82</v>
      </c>
      <c r="AG317" s="997">
        <v>69</v>
      </c>
      <c r="AH317" s="997">
        <v>9</v>
      </c>
      <c r="AI317" s="998">
        <f t="shared" si="110"/>
        <v>160</v>
      </c>
      <c r="AJ317" s="993">
        <f t="shared" si="111"/>
        <v>1.1243851018973998</v>
      </c>
    </row>
    <row r="318" spans="1:36" ht="16.5" customHeight="1">
      <c r="A318" s="999">
        <f>'09월 조업일지'!A316</f>
        <v>46276</v>
      </c>
      <c r="B318" s="1099">
        <f>'09월 조업일지'!B316</f>
        <v>46276</v>
      </c>
      <c r="C318" s="1000" t="str">
        <f>'09월 화학성분'!D316</f>
        <v>B</v>
      </c>
      <c r="D318" s="1000" t="str">
        <f>'09월 화학성분'!E316</f>
        <v>A</v>
      </c>
      <c r="E318" s="1000">
        <f>'09월 화학성분'!C316</f>
        <v>85518</v>
      </c>
      <c r="F318" s="1001" t="str">
        <f t="shared" si="97"/>
        <v>S355JO-01</v>
      </c>
      <c r="G318" s="1172">
        <v>18.8</v>
      </c>
      <c r="H318" s="985">
        <v>22900</v>
      </c>
      <c r="I318" s="1173">
        <v>16.7</v>
      </c>
      <c r="J318" s="985">
        <v>20600</v>
      </c>
      <c r="K318" s="1173">
        <v>9.1999999999999993</v>
      </c>
      <c r="L318" s="985">
        <v>11700</v>
      </c>
      <c r="M318" s="1174">
        <f t="shared" si="98"/>
        <v>44.7</v>
      </c>
      <c r="N318" s="984">
        <f t="shared" si="99"/>
        <v>55200</v>
      </c>
      <c r="O318" s="986">
        <f t="shared" si="100"/>
        <v>156.63474692202465</v>
      </c>
      <c r="P318" s="987">
        <f t="shared" si="101"/>
        <v>140.90287277701779</v>
      </c>
      <c r="Q318" s="987">
        <f t="shared" si="102"/>
        <v>80.02735978112176</v>
      </c>
      <c r="R318" s="988">
        <f t="shared" si="103"/>
        <v>377.5649794801642</v>
      </c>
      <c r="S318" s="989">
        <v>146.19999999999999</v>
      </c>
      <c r="T318" s="990">
        <v>0</v>
      </c>
      <c r="U318" s="991">
        <v>0</v>
      </c>
      <c r="V318" s="991">
        <v>303</v>
      </c>
      <c r="W318" s="992">
        <f t="shared" si="104"/>
        <v>303</v>
      </c>
      <c r="X318" s="993">
        <f t="shared" si="105"/>
        <v>2.0725034199726404</v>
      </c>
      <c r="Y318" s="990">
        <v>1526</v>
      </c>
      <c r="Z318" s="991">
        <v>1445</v>
      </c>
      <c r="AA318" s="991">
        <v>891</v>
      </c>
      <c r="AB318" s="992">
        <f t="shared" si="106"/>
        <v>3862</v>
      </c>
      <c r="AC318" s="993">
        <f t="shared" si="107"/>
        <v>26.415868673050618</v>
      </c>
      <c r="AD318" s="994">
        <f t="shared" si="108"/>
        <v>4165</v>
      </c>
      <c r="AE318" s="995">
        <f t="shared" si="109"/>
        <v>28.488372093023258</v>
      </c>
      <c r="AF318" s="996">
        <v>79</v>
      </c>
      <c r="AG318" s="997">
        <v>72</v>
      </c>
      <c r="AH318" s="997">
        <v>29</v>
      </c>
      <c r="AI318" s="998">
        <f t="shared" si="110"/>
        <v>180</v>
      </c>
      <c r="AJ318" s="993">
        <f t="shared" si="111"/>
        <v>1.2311901504787963</v>
      </c>
    </row>
    <row r="319" spans="1:36" ht="16.5" customHeight="1">
      <c r="A319" s="999">
        <f>'09월 조업일지'!A317</f>
        <v>46276</v>
      </c>
      <c r="B319" s="1099">
        <f>'09월 조업일지'!B317</f>
        <v>46276</v>
      </c>
      <c r="C319" s="1000" t="str">
        <f>'09월 화학성분'!D317</f>
        <v>B</v>
      </c>
      <c r="D319" s="1000" t="str">
        <f>'09월 화학성분'!E317</f>
        <v>B</v>
      </c>
      <c r="E319" s="1000">
        <f>'09월 화학성분'!C317</f>
        <v>85519</v>
      </c>
      <c r="F319" s="1001" t="str">
        <f t="shared" si="97"/>
        <v>S355JO-01</v>
      </c>
      <c r="G319" s="1172">
        <v>18.7</v>
      </c>
      <c r="H319" s="985">
        <v>22500</v>
      </c>
      <c r="I319" s="1173">
        <v>16.7</v>
      </c>
      <c r="J319" s="985">
        <v>20300</v>
      </c>
      <c r="K319" s="1173">
        <v>12.6</v>
      </c>
      <c r="L319" s="985">
        <v>16100</v>
      </c>
      <c r="M319" s="1174">
        <f t="shared" si="98"/>
        <v>48</v>
      </c>
      <c r="N319" s="984">
        <f t="shared" si="99"/>
        <v>58900</v>
      </c>
      <c r="O319" s="986">
        <f t="shared" si="100"/>
        <v>160.14234875444839</v>
      </c>
      <c r="P319" s="987">
        <f t="shared" si="101"/>
        <v>144.48398576512454</v>
      </c>
      <c r="Q319" s="987">
        <f t="shared" si="102"/>
        <v>114.59074733096085</v>
      </c>
      <c r="R319" s="988">
        <f t="shared" si="103"/>
        <v>419.21708185053376</v>
      </c>
      <c r="S319" s="989">
        <v>140.5</v>
      </c>
      <c r="T319" s="990">
        <v>0</v>
      </c>
      <c r="U319" s="991">
        <v>0</v>
      </c>
      <c r="V319" s="991">
        <v>440</v>
      </c>
      <c r="W319" s="992">
        <f t="shared" si="104"/>
        <v>440</v>
      </c>
      <c r="X319" s="993">
        <f t="shared" si="105"/>
        <v>3.1316725978647688</v>
      </c>
      <c r="Y319" s="990">
        <v>1546</v>
      </c>
      <c r="Z319" s="991">
        <v>1420</v>
      </c>
      <c r="AA319" s="991">
        <v>1169</v>
      </c>
      <c r="AB319" s="992">
        <f t="shared" si="106"/>
        <v>4135</v>
      </c>
      <c r="AC319" s="993">
        <f t="shared" si="107"/>
        <v>29.430604982206404</v>
      </c>
      <c r="AD319" s="994">
        <f t="shared" si="108"/>
        <v>4575</v>
      </c>
      <c r="AE319" s="995">
        <f t="shared" si="109"/>
        <v>32.562277580071175</v>
      </c>
      <c r="AF319" s="996">
        <v>81</v>
      </c>
      <c r="AG319" s="997">
        <v>77</v>
      </c>
      <c r="AH319" s="997">
        <v>30</v>
      </c>
      <c r="AI319" s="998">
        <f t="shared" si="110"/>
        <v>188</v>
      </c>
      <c r="AJ319" s="993">
        <f t="shared" si="111"/>
        <v>1.3380782918149465</v>
      </c>
    </row>
    <row r="320" spans="1:36" ht="16.5" customHeight="1">
      <c r="A320" s="999">
        <f>'09월 조업일지'!A318</f>
        <v>46276</v>
      </c>
      <c r="B320" s="1099">
        <f>'09월 조업일지'!B318</f>
        <v>46276</v>
      </c>
      <c r="C320" s="1000" t="str">
        <f>'09월 화학성분'!D318</f>
        <v>B</v>
      </c>
      <c r="D320" s="1000" t="str">
        <f>'09월 화학성분'!E318</f>
        <v>A</v>
      </c>
      <c r="E320" s="1000">
        <f>'09월 화학성분'!C318</f>
        <v>85520</v>
      </c>
      <c r="F320" s="1001" t="str">
        <f t="shared" si="97"/>
        <v>S355JO-01</v>
      </c>
      <c r="G320" s="1172">
        <v>19.399999999999999</v>
      </c>
      <c r="H320" s="985">
        <v>22900</v>
      </c>
      <c r="I320" s="1173">
        <v>16.8</v>
      </c>
      <c r="J320" s="985">
        <v>20800</v>
      </c>
      <c r="K320" s="1173">
        <v>7.7</v>
      </c>
      <c r="L320" s="985">
        <v>9800</v>
      </c>
      <c r="M320" s="1174">
        <f t="shared" si="98"/>
        <v>43.900000000000006</v>
      </c>
      <c r="N320" s="984">
        <f t="shared" si="99"/>
        <v>53500</v>
      </c>
      <c r="O320" s="986">
        <f t="shared" si="100"/>
        <v>156.31399317406144</v>
      </c>
      <c r="P320" s="987">
        <f t="shared" si="101"/>
        <v>141.97952218430035</v>
      </c>
      <c r="Q320" s="987">
        <f t="shared" si="102"/>
        <v>66.894197952218434</v>
      </c>
      <c r="R320" s="988">
        <f t="shared" si="103"/>
        <v>365.18771331058019</v>
      </c>
      <c r="S320" s="989">
        <v>146.5</v>
      </c>
      <c r="T320" s="990">
        <v>0</v>
      </c>
      <c r="U320" s="991">
        <v>0</v>
      </c>
      <c r="V320" s="991">
        <v>356</v>
      </c>
      <c r="W320" s="992">
        <f t="shared" si="104"/>
        <v>356</v>
      </c>
      <c r="X320" s="993">
        <f t="shared" si="105"/>
        <v>2.4300341296928329</v>
      </c>
      <c r="Y320" s="990">
        <v>1589</v>
      </c>
      <c r="Z320" s="991">
        <v>1453</v>
      </c>
      <c r="AA320" s="991">
        <v>606</v>
      </c>
      <c r="AB320" s="992">
        <f t="shared" si="106"/>
        <v>3648</v>
      </c>
      <c r="AC320" s="993">
        <f t="shared" si="107"/>
        <v>24.901023890784984</v>
      </c>
      <c r="AD320" s="994">
        <f t="shared" si="108"/>
        <v>4004</v>
      </c>
      <c r="AE320" s="995">
        <f t="shared" si="109"/>
        <v>27.331058020477816</v>
      </c>
      <c r="AF320" s="996">
        <v>83</v>
      </c>
      <c r="AG320" s="997">
        <v>72</v>
      </c>
      <c r="AH320" s="997">
        <v>20</v>
      </c>
      <c r="AI320" s="998">
        <f t="shared" si="110"/>
        <v>175</v>
      </c>
      <c r="AJ320" s="993">
        <f t="shared" si="111"/>
        <v>1.1945392491467577</v>
      </c>
    </row>
    <row r="321" spans="1:36" ht="16.5" customHeight="1">
      <c r="A321" s="999">
        <f>'09월 조업일지'!A319</f>
        <v>46276</v>
      </c>
      <c r="B321" s="1099">
        <f>'09월 조업일지'!B319</f>
        <v>46276</v>
      </c>
      <c r="C321" s="1000" t="str">
        <f>'09월 화학성분'!D319</f>
        <v>B</v>
      </c>
      <c r="D321" s="1000" t="str">
        <f>'09월 화학성분'!E319</f>
        <v>B</v>
      </c>
      <c r="E321" s="1000">
        <f>'09월 화학성분'!C319</f>
        <v>85521</v>
      </c>
      <c r="F321" s="1001" t="str">
        <f t="shared" si="97"/>
        <v>S355JO-01</v>
      </c>
      <c r="G321" s="1172">
        <v>20</v>
      </c>
      <c r="H321" s="985">
        <v>24500</v>
      </c>
      <c r="I321" s="1173">
        <v>17.100000000000001</v>
      </c>
      <c r="J321" s="985">
        <v>20500</v>
      </c>
      <c r="K321" s="1173">
        <v>9.8000000000000007</v>
      </c>
      <c r="L321" s="985">
        <v>12400</v>
      </c>
      <c r="M321" s="1174">
        <f t="shared" si="98"/>
        <v>46.900000000000006</v>
      </c>
      <c r="N321" s="984">
        <f t="shared" si="99"/>
        <v>57400</v>
      </c>
      <c r="O321" s="986">
        <f t="shared" si="100"/>
        <v>172.29254571026723</v>
      </c>
      <c r="P321" s="987">
        <f t="shared" si="101"/>
        <v>144.16315049226444</v>
      </c>
      <c r="Q321" s="987">
        <f t="shared" si="102"/>
        <v>87.201125175808727</v>
      </c>
      <c r="R321" s="988">
        <f t="shared" si="103"/>
        <v>403.6568213783404</v>
      </c>
      <c r="S321" s="989">
        <v>142.19999999999999</v>
      </c>
      <c r="T321" s="990">
        <v>0</v>
      </c>
      <c r="U321" s="991">
        <v>0</v>
      </c>
      <c r="V321" s="991">
        <v>294</v>
      </c>
      <c r="W321" s="992">
        <f t="shared" si="104"/>
        <v>294</v>
      </c>
      <c r="X321" s="993">
        <f t="shared" si="105"/>
        <v>2.0675105485232068</v>
      </c>
      <c r="Y321" s="990">
        <v>1682</v>
      </c>
      <c r="Z321" s="991">
        <v>1484</v>
      </c>
      <c r="AA321" s="991">
        <v>796</v>
      </c>
      <c r="AB321" s="992">
        <f t="shared" si="106"/>
        <v>3962</v>
      </c>
      <c r="AC321" s="993">
        <f t="shared" si="107"/>
        <v>27.862165963431789</v>
      </c>
      <c r="AD321" s="994">
        <f t="shared" si="108"/>
        <v>4256</v>
      </c>
      <c r="AE321" s="995">
        <f t="shared" si="109"/>
        <v>29.929676511954995</v>
      </c>
      <c r="AF321" s="996">
        <v>82</v>
      </c>
      <c r="AG321" s="997">
        <v>79</v>
      </c>
      <c r="AH321" s="997">
        <v>22</v>
      </c>
      <c r="AI321" s="998">
        <f t="shared" si="110"/>
        <v>183</v>
      </c>
      <c r="AJ321" s="993">
        <f t="shared" si="111"/>
        <v>1.2869198312236287</v>
      </c>
    </row>
    <row r="322" spans="1:36" ht="16.5" customHeight="1">
      <c r="A322" s="999">
        <f>'09월 조업일지'!A320</f>
        <v>46276</v>
      </c>
      <c r="B322" s="1099">
        <f>'09월 조업일지'!B320</f>
        <v>46276</v>
      </c>
      <c r="C322" s="1000" t="str">
        <f>'09월 화학성분'!D320</f>
        <v>B</v>
      </c>
      <c r="D322" s="1000" t="str">
        <f>'09월 화학성분'!E320</f>
        <v>A</v>
      </c>
      <c r="E322" s="1000">
        <f>'09월 화학성분'!C320</f>
        <v>85522</v>
      </c>
      <c r="F322" s="1001" t="str">
        <f t="shared" si="97"/>
        <v>S355JO-01</v>
      </c>
      <c r="G322" s="1172">
        <v>19</v>
      </c>
      <c r="H322" s="985">
        <v>23000</v>
      </c>
      <c r="I322" s="1173">
        <v>17.5</v>
      </c>
      <c r="J322" s="985">
        <v>20800</v>
      </c>
      <c r="K322" s="1173">
        <v>7.4</v>
      </c>
      <c r="L322" s="985">
        <v>9300</v>
      </c>
      <c r="M322" s="1174">
        <f t="shared" si="98"/>
        <v>43.9</v>
      </c>
      <c r="N322" s="984">
        <f t="shared" si="99"/>
        <v>53100</v>
      </c>
      <c r="O322" s="986">
        <f t="shared" si="100"/>
        <v>156.99658703071671</v>
      </c>
      <c r="P322" s="987">
        <f t="shared" si="101"/>
        <v>141.97952218430035</v>
      </c>
      <c r="Q322" s="987">
        <f t="shared" si="102"/>
        <v>63.481228668941981</v>
      </c>
      <c r="R322" s="988">
        <f t="shared" si="103"/>
        <v>362.45733788395904</v>
      </c>
      <c r="S322" s="989">
        <v>146.5</v>
      </c>
      <c r="T322" s="990">
        <v>0</v>
      </c>
      <c r="U322" s="991">
        <v>0</v>
      </c>
      <c r="V322" s="991">
        <v>298</v>
      </c>
      <c r="W322" s="992">
        <f t="shared" si="104"/>
        <v>298</v>
      </c>
      <c r="X322" s="993">
        <f t="shared" si="105"/>
        <v>2.0341296928327646</v>
      </c>
      <c r="Y322" s="990">
        <v>1568</v>
      </c>
      <c r="Z322" s="991">
        <v>1421</v>
      </c>
      <c r="AA322" s="991">
        <v>845</v>
      </c>
      <c r="AB322" s="992">
        <f t="shared" si="106"/>
        <v>3834</v>
      </c>
      <c r="AC322" s="993">
        <f t="shared" si="107"/>
        <v>26.170648464163822</v>
      </c>
      <c r="AD322" s="994">
        <f t="shared" si="108"/>
        <v>4132</v>
      </c>
      <c r="AE322" s="995">
        <f t="shared" si="109"/>
        <v>28.204778156996586</v>
      </c>
      <c r="AF322" s="996">
        <v>81</v>
      </c>
      <c r="AG322" s="997">
        <v>72</v>
      </c>
      <c r="AH322" s="997">
        <v>28</v>
      </c>
      <c r="AI322" s="998">
        <f t="shared" si="110"/>
        <v>181</v>
      </c>
      <c r="AJ322" s="993">
        <f t="shared" si="111"/>
        <v>1.235494880546075</v>
      </c>
    </row>
    <row r="323" spans="1:36" ht="16.5" customHeight="1">
      <c r="A323" s="999">
        <f>'09월 조업일지'!A321</f>
        <v>46277</v>
      </c>
      <c r="B323" s="1099">
        <f>'09월 조업일지'!B321</f>
        <v>46276</v>
      </c>
      <c r="C323" s="1000" t="str">
        <f>'09월 화학성분'!D321</f>
        <v>B</v>
      </c>
      <c r="D323" s="1000" t="str">
        <f>'09월 화학성분'!E321</f>
        <v>B</v>
      </c>
      <c r="E323" s="1000">
        <f>'09월 화학성분'!C321</f>
        <v>85523</v>
      </c>
      <c r="F323" s="1001" t="str">
        <f t="shared" si="97"/>
        <v>S355JO-01</v>
      </c>
      <c r="G323" s="1172">
        <v>19.600000000000001</v>
      </c>
      <c r="H323" s="985">
        <v>22700</v>
      </c>
      <c r="I323" s="1173">
        <v>16.7</v>
      </c>
      <c r="J323" s="985">
        <v>20500</v>
      </c>
      <c r="K323" s="1173">
        <v>10.3</v>
      </c>
      <c r="L323" s="985">
        <v>13100</v>
      </c>
      <c r="M323" s="1174">
        <f t="shared" si="98"/>
        <v>46.599999999999994</v>
      </c>
      <c r="N323" s="984">
        <f t="shared" si="99"/>
        <v>56300</v>
      </c>
      <c r="O323" s="986">
        <f t="shared" si="100"/>
        <v>154.73755964553513</v>
      </c>
      <c r="P323" s="987">
        <f t="shared" si="101"/>
        <v>139.74096796182687</v>
      </c>
      <c r="Q323" s="987">
        <f t="shared" si="102"/>
        <v>89.297886843899121</v>
      </c>
      <c r="R323" s="988">
        <f t="shared" si="103"/>
        <v>383.77641445126113</v>
      </c>
      <c r="S323" s="989">
        <v>146.69999999999999</v>
      </c>
      <c r="T323" s="990">
        <v>0</v>
      </c>
      <c r="U323" s="991">
        <v>6</v>
      </c>
      <c r="V323" s="991">
        <v>330</v>
      </c>
      <c r="W323" s="992">
        <f t="shared" si="104"/>
        <v>336</v>
      </c>
      <c r="X323" s="993">
        <f t="shared" si="105"/>
        <v>2.2903885480572601</v>
      </c>
      <c r="Y323" s="990">
        <v>1584</v>
      </c>
      <c r="Z323" s="991">
        <v>1424</v>
      </c>
      <c r="AA323" s="991">
        <v>1012</v>
      </c>
      <c r="AB323" s="992">
        <f t="shared" si="106"/>
        <v>4020</v>
      </c>
      <c r="AC323" s="993">
        <f t="shared" si="107"/>
        <v>27.402862985685072</v>
      </c>
      <c r="AD323" s="994">
        <f t="shared" si="108"/>
        <v>4356</v>
      </c>
      <c r="AE323" s="995">
        <f t="shared" si="109"/>
        <v>29.693251533742334</v>
      </c>
      <c r="AF323" s="996">
        <v>84</v>
      </c>
      <c r="AG323" s="997">
        <v>74</v>
      </c>
      <c r="AH323" s="997">
        <v>32</v>
      </c>
      <c r="AI323" s="998">
        <f t="shared" si="110"/>
        <v>190</v>
      </c>
      <c r="AJ323" s="993">
        <f t="shared" si="111"/>
        <v>1.2951601908657124</v>
      </c>
    </row>
    <row r="324" spans="1:36" ht="16.5" customHeight="1">
      <c r="A324" s="999">
        <f>'09월 조업일지'!A322</f>
        <v>46277</v>
      </c>
      <c r="B324" s="1099">
        <f>'09월 조업일지'!B322</f>
        <v>46276</v>
      </c>
      <c r="C324" s="1000" t="str">
        <f>'09월 화학성분'!D322</f>
        <v>B</v>
      </c>
      <c r="D324" s="1000" t="str">
        <f>'09월 화학성분'!E322</f>
        <v>A</v>
      </c>
      <c r="E324" s="1000">
        <f>'09월 화학성분'!C322</f>
        <v>85524</v>
      </c>
      <c r="F324" s="1001" t="str">
        <f t="shared" si="97"/>
        <v>S355JO-01</v>
      </c>
      <c r="G324" s="1172">
        <v>18.899999999999999</v>
      </c>
      <c r="H324" s="985">
        <v>22800</v>
      </c>
      <c r="I324" s="1173">
        <v>17.2</v>
      </c>
      <c r="J324" s="985">
        <v>20700</v>
      </c>
      <c r="K324" s="1173">
        <v>6.1</v>
      </c>
      <c r="L324" s="985">
        <v>7800</v>
      </c>
      <c r="M324" s="1174">
        <f t="shared" si="98"/>
        <v>42.199999999999996</v>
      </c>
      <c r="N324" s="984">
        <f t="shared" si="99"/>
        <v>51300</v>
      </c>
      <c r="O324" s="986">
        <f t="shared" si="100"/>
        <v>155.4192229038855</v>
      </c>
      <c r="P324" s="987">
        <f t="shared" si="101"/>
        <v>141.10429447852761</v>
      </c>
      <c r="Q324" s="987">
        <f t="shared" si="102"/>
        <v>53.169734151329244</v>
      </c>
      <c r="R324" s="988">
        <f t="shared" si="103"/>
        <v>349.69325153374234</v>
      </c>
      <c r="S324" s="989">
        <v>146.69999999999999</v>
      </c>
      <c r="T324" s="990">
        <v>0</v>
      </c>
      <c r="U324" s="991">
        <v>49</v>
      </c>
      <c r="V324" s="991">
        <v>333</v>
      </c>
      <c r="W324" s="992">
        <f t="shared" si="104"/>
        <v>382</v>
      </c>
      <c r="X324" s="993">
        <f t="shared" si="105"/>
        <v>2.6039536468984323</v>
      </c>
      <c r="Y324" s="990">
        <v>1557</v>
      </c>
      <c r="Z324" s="991">
        <v>1475</v>
      </c>
      <c r="AA324" s="991">
        <v>706</v>
      </c>
      <c r="AB324" s="992">
        <f t="shared" si="106"/>
        <v>3738</v>
      </c>
      <c r="AC324" s="993">
        <f t="shared" si="107"/>
        <v>25.480572597137016</v>
      </c>
      <c r="AD324" s="994">
        <f t="shared" si="108"/>
        <v>4120</v>
      </c>
      <c r="AE324" s="995">
        <f t="shared" si="109"/>
        <v>28.084526244035448</v>
      </c>
      <c r="AF324" s="996">
        <v>80</v>
      </c>
      <c r="AG324" s="997">
        <v>77</v>
      </c>
      <c r="AH324" s="997">
        <v>22</v>
      </c>
      <c r="AI324" s="998">
        <f t="shared" si="110"/>
        <v>179</v>
      </c>
      <c r="AJ324" s="993">
        <f t="shared" si="111"/>
        <v>1.2201772324471711</v>
      </c>
    </row>
    <row r="325" spans="1:36" ht="16.5" customHeight="1">
      <c r="A325" s="999">
        <f>'09월 조업일지'!A323</f>
        <v>46277</v>
      </c>
      <c r="B325" s="1099">
        <f>'09월 조업일지'!B323</f>
        <v>46276</v>
      </c>
      <c r="C325" s="1000" t="str">
        <f>'09월 화학성분'!D323</f>
        <v>B</v>
      </c>
      <c r="D325" s="1000" t="str">
        <f>'09월 화학성분'!E323</f>
        <v>B</v>
      </c>
      <c r="E325" s="1000">
        <f>'09월 화학성분'!C323</f>
        <v>85525</v>
      </c>
      <c r="F325" s="1001" t="str">
        <f t="shared" si="97"/>
        <v>S355JO-01</v>
      </c>
      <c r="G325" s="1172">
        <v>18.5</v>
      </c>
      <c r="H325" s="985">
        <v>22800</v>
      </c>
      <c r="I325" s="1173">
        <v>16.7</v>
      </c>
      <c r="J325" s="985">
        <v>20500</v>
      </c>
      <c r="K325" s="1173">
        <v>9.6</v>
      </c>
      <c r="L325" s="985">
        <v>12400</v>
      </c>
      <c r="M325" s="1174">
        <f t="shared" si="98"/>
        <v>44.800000000000004</v>
      </c>
      <c r="N325" s="984">
        <f t="shared" si="99"/>
        <v>55700</v>
      </c>
      <c r="O325" s="986">
        <f t="shared" si="100"/>
        <v>161.3588110403397</v>
      </c>
      <c r="P325" s="987">
        <f t="shared" si="101"/>
        <v>145.08138711960368</v>
      </c>
      <c r="Q325" s="987">
        <f t="shared" si="102"/>
        <v>87.756546355272462</v>
      </c>
      <c r="R325" s="988">
        <f t="shared" si="103"/>
        <v>394.19674451521587</v>
      </c>
      <c r="S325" s="989">
        <v>141.30000000000001</v>
      </c>
      <c r="T325" s="990">
        <v>0</v>
      </c>
      <c r="U325" s="991">
        <v>0</v>
      </c>
      <c r="V325" s="991">
        <v>290</v>
      </c>
      <c r="W325" s="992">
        <f t="shared" si="104"/>
        <v>290</v>
      </c>
      <c r="X325" s="993">
        <f t="shared" si="105"/>
        <v>2.0523708421797591</v>
      </c>
      <c r="Y325" s="990">
        <v>1551</v>
      </c>
      <c r="Z325" s="991">
        <v>1425</v>
      </c>
      <c r="AA325" s="991">
        <v>913</v>
      </c>
      <c r="AB325" s="992">
        <f t="shared" si="106"/>
        <v>3889</v>
      </c>
      <c r="AC325" s="993">
        <f t="shared" si="107"/>
        <v>27.523000707714083</v>
      </c>
      <c r="AD325" s="994">
        <f t="shared" si="108"/>
        <v>4179</v>
      </c>
      <c r="AE325" s="995">
        <f t="shared" si="109"/>
        <v>29.575371549893841</v>
      </c>
      <c r="AF325" s="996">
        <v>81</v>
      </c>
      <c r="AG325" s="997">
        <v>74</v>
      </c>
      <c r="AH325" s="997">
        <v>29</v>
      </c>
      <c r="AI325" s="998">
        <f t="shared" si="110"/>
        <v>184</v>
      </c>
      <c r="AJ325" s="993">
        <f t="shared" si="111"/>
        <v>1.3021939136588816</v>
      </c>
    </row>
    <row r="326" spans="1:36" ht="16.5" customHeight="1">
      <c r="A326" s="999">
        <f>'09월 조업일지'!A324</f>
        <v>46277</v>
      </c>
      <c r="B326" s="1099">
        <f>'09월 조업일지'!B324</f>
        <v>46276</v>
      </c>
      <c r="C326" s="1000" t="str">
        <f>'09월 화학성분'!D324</f>
        <v>B</v>
      </c>
      <c r="D326" s="1000" t="str">
        <f>'09월 화학성분'!E324</f>
        <v>A</v>
      </c>
      <c r="E326" s="1000">
        <f>'09월 화학성분'!C324</f>
        <v>85526</v>
      </c>
      <c r="F326" s="1001" t="str">
        <f t="shared" si="97"/>
        <v>S355JO-01</v>
      </c>
      <c r="G326" s="1172">
        <v>19.5</v>
      </c>
      <c r="H326" s="985">
        <v>24000</v>
      </c>
      <c r="I326" s="1173">
        <v>16.899999999999999</v>
      </c>
      <c r="J326" s="985">
        <v>20700</v>
      </c>
      <c r="K326" s="1173">
        <v>7.5</v>
      </c>
      <c r="L326" s="985">
        <v>9600</v>
      </c>
      <c r="M326" s="1174">
        <f t="shared" si="98"/>
        <v>43.9</v>
      </c>
      <c r="N326" s="984">
        <f t="shared" si="99"/>
        <v>54300</v>
      </c>
      <c r="O326" s="986">
        <f t="shared" si="100"/>
        <v>164.27104722792609</v>
      </c>
      <c r="P326" s="987">
        <f t="shared" si="101"/>
        <v>141.68377823408625</v>
      </c>
      <c r="Q326" s="987">
        <f t="shared" si="102"/>
        <v>65.708418891170439</v>
      </c>
      <c r="R326" s="988">
        <f t="shared" si="103"/>
        <v>371.66324435318273</v>
      </c>
      <c r="S326" s="989">
        <v>146.1</v>
      </c>
      <c r="T326" s="990">
        <v>0</v>
      </c>
      <c r="U326" s="991">
        <v>3</v>
      </c>
      <c r="V326" s="991">
        <v>353</v>
      </c>
      <c r="W326" s="992">
        <f t="shared" si="104"/>
        <v>356</v>
      </c>
      <c r="X326" s="993">
        <f t="shared" si="105"/>
        <v>2.4366872005475702</v>
      </c>
      <c r="Y326" s="990">
        <v>1614</v>
      </c>
      <c r="Z326" s="991">
        <v>1478</v>
      </c>
      <c r="AA326" s="991">
        <v>612</v>
      </c>
      <c r="AB326" s="992">
        <f t="shared" si="106"/>
        <v>3704</v>
      </c>
      <c r="AC326" s="993">
        <f t="shared" si="107"/>
        <v>25.352498288843258</v>
      </c>
      <c r="AD326" s="994">
        <f t="shared" si="108"/>
        <v>4060</v>
      </c>
      <c r="AE326" s="995">
        <f t="shared" si="109"/>
        <v>27.789185489390828</v>
      </c>
      <c r="AF326" s="996">
        <v>81</v>
      </c>
      <c r="AG326" s="997">
        <v>73</v>
      </c>
      <c r="AH326" s="997">
        <v>19</v>
      </c>
      <c r="AI326" s="998">
        <f t="shared" si="110"/>
        <v>173</v>
      </c>
      <c r="AJ326" s="993">
        <f t="shared" si="111"/>
        <v>1.1841204654346338</v>
      </c>
    </row>
    <row r="327" spans="1:36" ht="16.5" customHeight="1">
      <c r="A327" s="999">
        <f>'09월 조업일지'!A325</f>
        <v>46277</v>
      </c>
      <c r="B327" s="1099">
        <f>'09월 조업일지'!B325</f>
        <v>46277</v>
      </c>
      <c r="C327" s="1000" t="str">
        <f>'09월 화학성분'!D325</f>
        <v>C</v>
      </c>
      <c r="D327" s="1000" t="str">
        <f>'09월 화학성분'!E325</f>
        <v>B</v>
      </c>
      <c r="E327" s="1000">
        <f>'09월 화학성분'!C325</f>
        <v>85527</v>
      </c>
      <c r="F327" s="1001" t="str">
        <f t="shared" si="97"/>
        <v>S355JO-01</v>
      </c>
      <c r="G327" s="1172">
        <v>19.3</v>
      </c>
      <c r="H327" s="985">
        <v>23800</v>
      </c>
      <c r="I327" s="1173">
        <v>16.899999999999999</v>
      </c>
      <c r="J327" s="985">
        <v>20600</v>
      </c>
      <c r="K327" s="1173">
        <v>8.3000000000000007</v>
      </c>
      <c r="L327" s="985">
        <v>10800</v>
      </c>
      <c r="M327" s="1174">
        <f t="shared" si="98"/>
        <v>44.5</v>
      </c>
      <c r="N327" s="984">
        <f t="shared" si="99"/>
        <v>55200</v>
      </c>
      <c r="O327" s="986">
        <f t="shared" si="100"/>
        <v>167.84203102961916</v>
      </c>
      <c r="P327" s="987">
        <f t="shared" si="101"/>
        <v>145.27503526093088</v>
      </c>
      <c r="Q327" s="987">
        <f t="shared" si="102"/>
        <v>76.163610719322989</v>
      </c>
      <c r="R327" s="988">
        <f t="shared" si="103"/>
        <v>389.28067700987305</v>
      </c>
      <c r="S327" s="989">
        <v>141.80000000000001</v>
      </c>
      <c r="T327" s="990">
        <v>0</v>
      </c>
      <c r="U327" s="991">
        <v>26</v>
      </c>
      <c r="V327" s="991">
        <v>291</v>
      </c>
      <c r="W327" s="992">
        <f t="shared" si="104"/>
        <v>317</v>
      </c>
      <c r="X327" s="993">
        <f t="shared" si="105"/>
        <v>2.2355430183356839</v>
      </c>
      <c r="Y327" s="990">
        <v>1598</v>
      </c>
      <c r="Z327" s="991">
        <v>1457</v>
      </c>
      <c r="AA327" s="991">
        <v>842</v>
      </c>
      <c r="AB327" s="992">
        <f t="shared" si="106"/>
        <v>3897</v>
      </c>
      <c r="AC327" s="993">
        <f t="shared" si="107"/>
        <v>27.482369534555708</v>
      </c>
      <c r="AD327" s="994">
        <f t="shared" si="108"/>
        <v>4214</v>
      </c>
      <c r="AE327" s="995">
        <f t="shared" si="109"/>
        <v>29.717912552891395</v>
      </c>
      <c r="AF327" s="996">
        <v>80</v>
      </c>
      <c r="AG327" s="997">
        <v>75</v>
      </c>
      <c r="AH327" s="997">
        <v>33</v>
      </c>
      <c r="AI327" s="998">
        <f t="shared" si="110"/>
        <v>188</v>
      </c>
      <c r="AJ327" s="993">
        <f t="shared" si="111"/>
        <v>1.3258110014104372</v>
      </c>
    </row>
    <row r="328" spans="1:36" ht="16.5" customHeight="1">
      <c r="A328" s="999">
        <f>'09월 조업일지'!A326</f>
        <v>46277</v>
      </c>
      <c r="B328" s="1099">
        <f>'09월 조업일지'!B326</f>
        <v>46277</v>
      </c>
      <c r="C328" s="1000" t="str">
        <f>'09월 화학성분'!D326</f>
        <v>C</v>
      </c>
      <c r="D328" s="1000" t="str">
        <f>'09월 화학성분'!E326</f>
        <v>A</v>
      </c>
      <c r="E328" s="1000">
        <f>'09월 화학성분'!C326</f>
        <v>85528</v>
      </c>
      <c r="F328" s="1001" t="str">
        <f t="shared" si="97"/>
        <v>S355JO-01</v>
      </c>
      <c r="G328" s="1172">
        <v>19.600000000000001</v>
      </c>
      <c r="H328" s="985">
        <v>22900</v>
      </c>
      <c r="I328" s="1173">
        <v>17.3</v>
      </c>
      <c r="J328" s="985">
        <v>21000</v>
      </c>
      <c r="K328" s="1173">
        <v>7.8</v>
      </c>
      <c r="L328" s="985">
        <v>9900</v>
      </c>
      <c r="M328" s="1174">
        <f t="shared" si="98"/>
        <v>44.7</v>
      </c>
      <c r="N328" s="984">
        <f t="shared" si="99"/>
        <v>53800</v>
      </c>
      <c r="O328" s="986">
        <f t="shared" si="100"/>
        <v>160.02795248078269</v>
      </c>
      <c r="P328" s="987">
        <f t="shared" si="101"/>
        <v>146.75052410901469</v>
      </c>
      <c r="Q328" s="987">
        <f t="shared" si="102"/>
        <v>69.182389937106919</v>
      </c>
      <c r="R328" s="988">
        <f t="shared" si="103"/>
        <v>375.96086652690428</v>
      </c>
      <c r="S328" s="989">
        <v>143.1</v>
      </c>
      <c r="T328" s="990">
        <v>0</v>
      </c>
      <c r="U328" s="991">
        <v>34</v>
      </c>
      <c r="V328" s="991">
        <v>289</v>
      </c>
      <c r="W328" s="992">
        <f t="shared" si="104"/>
        <v>323</v>
      </c>
      <c r="X328" s="993">
        <f t="shared" si="105"/>
        <v>2.2571628232005589</v>
      </c>
      <c r="Y328" s="990">
        <v>1589</v>
      </c>
      <c r="Z328" s="991">
        <v>1491</v>
      </c>
      <c r="AA328" s="991">
        <v>830</v>
      </c>
      <c r="AB328" s="992">
        <f t="shared" si="106"/>
        <v>3910</v>
      </c>
      <c r="AC328" s="993">
        <f t="shared" si="107"/>
        <v>27.323549965059399</v>
      </c>
      <c r="AD328" s="994">
        <f t="shared" si="108"/>
        <v>4233</v>
      </c>
      <c r="AE328" s="995">
        <f t="shared" si="109"/>
        <v>29.580712788259959</v>
      </c>
      <c r="AF328" s="996">
        <v>83</v>
      </c>
      <c r="AG328" s="997">
        <v>74</v>
      </c>
      <c r="AH328" s="997">
        <v>27</v>
      </c>
      <c r="AI328" s="998">
        <f t="shared" si="110"/>
        <v>184</v>
      </c>
      <c r="AJ328" s="993">
        <f t="shared" si="111"/>
        <v>1.2858141160027954</v>
      </c>
    </row>
    <row r="329" spans="1:36" ht="16.5" customHeight="1">
      <c r="A329" s="999">
        <f>'09월 조업일지'!A327</f>
        <v>46277</v>
      </c>
      <c r="B329" s="1099">
        <f>'09월 조업일지'!B327</f>
        <v>46277</v>
      </c>
      <c r="C329" s="1000" t="str">
        <f>'09월 화학성분'!D327</f>
        <v>C</v>
      </c>
      <c r="D329" s="1000" t="str">
        <f>'09월 화학성분'!E327</f>
        <v>B</v>
      </c>
      <c r="E329" s="1000">
        <f>'09월 화학성분'!C327</f>
        <v>85529</v>
      </c>
      <c r="F329" s="1001" t="str">
        <f t="shared" si="97"/>
        <v>S355JO-01</v>
      </c>
      <c r="G329" s="1172">
        <v>18.8</v>
      </c>
      <c r="H329" s="985">
        <v>22600</v>
      </c>
      <c r="I329" s="1173">
        <v>16.8</v>
      </c>
      <c r="J329" s="985">
        <v>20700</v>
      </c>
      <c r="K329" s="1173">
        <v>8.3000000000000007</v>
      </c>
      <c r="L329" s="985">
        <v>10800</v>
      </c>
      <c r="M329" s="1174">
        <f t="shared" si="98"/>
        <v>43.900000000000006</v>
      </c>
      <c r="N329" s="984">
        <f t="shared" si="99"/>
        <v>54100</v>
      </c>
      <c r="O329" s="986">
        <f t="shared" si="100"/>
        <v>155.86206896551724</v>
      </c>
      <c r="P329" s="987">
        <f t="shared" si="101"/>
        <v>142.75862068965517</v>
      </c>
      <c r="Q329" s="987">
        <f t="shared" si="102"/>
        <v>74.482758620689651</v>
      </c>
      <c r="R329" s="988">
        <f t="shared" si="103"/>
        <v>373.10344827586209</v>
      </c>
      <c r="S329" s="989">
        <v>145</v>
      </c>
      <c r="T329" s="990">
        <v>0</v>
      </c>
      <c r="U329" s="991">
        <v>7</v>
      </c>
      <c r="V329" s="991">
        <v>322</v>
      </c>
      <c r="W329" s="992">
        <f t="shared" si="104"/>
        <v>329</v>
      </c>
      <c r="X329" s="993">
        <f t="shared" si="105"/>
        <v>2.2689655172413792</v>
      </c>
      <c r="Y329" s="990">
        <v>1581</v>
      </c>
      <c r="Z329" s="991">
        <v>1437</v>
      </c>
      <c r="AA329" s="991">
        <v>938</v>
      </c>
      <c r="AB329" s="992">
        <f t="shared" si="106"/>
        <v>3956</v>
      </c>
      <c r="AC329" s="993">
        <f t="shared" si="107"/>
        <v>27.282758620689656</v>
      </c>
      <c r="AD329" s="994">
        <f t="shared" si="108"/>
        <v>4285</v>
      </c>
      <c r="AE329" s="995">
        <f t="shared" si="109"/>
        <v>29.551724137931036</v>
      </c>
      <c r="AF329" s="996">
        <v>80</v>
      </c>
      <c r="AG329" s="997">
        <v>75</v>
      </c>
      <c r="AH329" s="997">
        <v>30</v>
      </c>
      <c r="AI329" s="998">
        <f t="shared" si="110"/>
        <v>185</v>
      </c>
      <c r="AJ329" s="993">
        <f t="shared" si="111"/>
        <v>1.2758620689655173</v>
      </c>
    </row>
    <row r="330" spans="1:36" ht="16.5" customHeight="1">
      <c r="A330" s="999">
        <f>'09월 조업일지'!A328</f>
        <v>46277</v>
      </c>
      <c r="B330" s="1099">
        <f>'09월 조업일지'!B328</f>
        <v>46277</v>
      </c>
      <c r="C330" s="1000" t="str">
        <f>'09월 화학성분'!D328</f>
        <v>C</v>
      </c>
      <c r="D330" s="1000" t="str">
        <f>'09월 화학성분'!E328</f>
        <v>A</v>
      </c>
      <c r="E330" s="1000">
        <f>'09월 화학성분'!C328</f>
        <v>85530</v>
      </c>
      <c r="F330" s="1001" t="str">
        <f t="shared" si="97"/>
        <v>S355JO-01</v>
      </c>
      <c r="G330" s="1172">
        <v>19.399999999999999</v>
      </c>
      <c r="H330" s="985">
        <v>23000</v>
      </c>
      <c r="I330" s="1173">
        <v>17</v>
      </c>
      <c r="J330" s="985">
        <v>20800</v>
      </c>
      <c r="K330" s="1173">
        <v>8.1999999999999993</v>
      </c>
      <c r="L330" s="985">
        <v>10500</v>
      </c>
      <c r="M330" s="1174">
        <f t="shared" si="98"/>
        <v>44.599999999999994</v>
      </c>
      <c r="N330" s="984">
        <f t="shared" si="99"/>
        <v>54300</v>
      </c>
      <c r="O330" s="986">
        <f t="shared" si="100"/>
        <v>159.50069348127602</v>
      </c>
      <c r="P330" s="987">
        <f t="shared" si="101"/>
        <v>144.24410540915397</v>
      </c>
      <c r="Q330" s="987">
        <f t="shared" si="102"/>
        <v>72.815533980582529</v>
      </c>
      <c r="R330" s="988">
        <f t="shared" si="103"/>
        <v>376.56033287101252</v>
      </c>
      <c r="S330" s="989">
        <v>144.19999999999999</v>
      </c>
      <c r="T330" s="990">
        <v>0</v>
      </c>
      <c r="U330" s="991">
        <v>40</v>
      </c>
      <c r="V330" s="991">
        <v>294</v>
      </c>
      <c r="W330" s="992">
        <f t="shared" si="104"/>
        <v>334</v>
      </c>
      <c r="X330" s="993">
        <f t="shared" si="105"/>
        <v>2.3162274618585301</v>
      </c>
      <c r="Y330" s="990">
        <v>1591</v>
      </c>
      <c r="Z330" s="991">
        <v>1451</v>
      </c>
      <c r="AA330" s="991">
        <v>935</v>
      </c>
      <c r="AB330" s="992">
        <f t="shared" si="106"/>
        <v>3977</v>
      </c>
      <c r="AC330" s="993">
        <f t="shared" si="107"/>
        <v>27.579750346740639</v>
      </c>
      <c r="AD330" s="994">
        <f t="shared" si="108"/>
        <v>4311</v>
      </c>
      <c r="AE330" s="995">
        <f t="shared" si="109"/>
        <v>29.89597780859917</v>
      </c>
      <c r="AF330" s="996">
        <v>80</v>
      </c>
      <c r="AG330" s="997">
        <v>73</v>
      </c>
      <c r="AH330" s="997">
        <v>31</v>
      </c>
      <c r="AI330" s="998">
        <f t="shared" si="110"/>
        <v>184</v>
      </c>
      <c r="AJ330" s="993">
        <f t="shared" si="111"/>
        <v>1.2760055478502081</v>
      </c>
    </row>
    <row r="331" spans="1:36" ht="16.5" customHeight="1">
      <c r="A331" s="999">
        <f>'09월 조업일지'!A329</f>
        <v>46277</v>
      </c>
      <c r="B331" s="1099">
        <f>'09월 조업일지'!B329</f>
        <v>46277</v>
      </c>
      <c r="C331" s="1000" t="str">
        <f>'09월 화학성분'!D329</f>
        <v>C</v>
      </c>
      <c r="D331" s="1000" t="str">
        <f>'09월 화학성분'!E329</f>
        <v>B</v>
      </c>
      <c r="E331" s="1000">
        <f>'09월 화학성분'!C329</f>
        <v>85531</v>
      </c>
      <c r="F331" s="1001" t="str">
        <f t="shared" si="97"/>
        <v>S355JO-01</v>
      </c>
      <c r="G331" s="1172">
        <v>19.399999999999999</v>
      </c>
      <c r="H331" s="985">
        <v>22500</v>
      </c>
      <c r="I331" s="1173">
        <v>16.600000000000001</v>
      </c>
      <c r="J331" s="985">
        <v>20700</v>
      </c>
      <c r="K331" s="1173">
        <v>11.9</v>
      </c>
      <c r="L331" s="985">
        <v>15200</v>
      </c>
      <c r="M331" s="1174">
        <f t="shared" si="98"/>
        <v>47.9</v>
      </c>
      <c r="N331" s="984">
        <f t="shared" si="99"/>
        <v>58400</v>
      </c>
      <c r="O331" s="986">
        <f t="shared" si="100"/>
        <v>157.56302521008402</v>
      </c>
      <c r="P331" s="987">
        <f t="shared" si="101"/>
        <v>144.9579831932773</v>
      </c>
      <c r="Q331" s="987">
        <f t="shared" si="102"/>
        <v>106.44257703081232</v>
      </c>
      <c r="R331" s="988">
        <f t="shared" si="103"/>
        <v>408.96358543417364</v>
      </c>
      <c r="S331" s="989">
        <v>142.80000000000001</v>
      </c>
      <c r="T331" s="990">
        <v>0</v>
      </c>
      <c r="U331" s="991">
        <v>0</v>
      </c>
      <c r="V331" s="991">
        <v>399</v>
      </c>
      <c r="W331" s="992">
        <f t="shared" si="104"/>
        <v>399</v>
      </c>
      <c r="X331" s="993">
        <f t="shared" si="105"/>
        <v>2.7941176470588234</v>
      </c>
      <c r="Y331" s="990">
        <v>1597</v>
      </c>
      <c r="Z331" s="991">
        <v>1417</v>
      </c>
      <c r="AA331" s="991">
        <v>1403</v>
      </c>
      <c r="AB331" s="992">
        <f t="shared" si="106"/>
        <v>4417</v>
      </c>
      <c r="AC331" s="993">
        <f t="shared" si="107"/>
        <v>30.931372549019606</v>
      </c>
      <c r="AD331" s="994">
        <f t="shared" si="108"/>
        <v>4816</v>
      </c>
      <c r="AE331" s="995">
        <f t="shared" si="109"/>
        <v>33.725490196078425</v>
      </c>
      <c r="AF331" s="996">
        <v>86</v>
      </c>
      <c r="AG331" s="997">
        <v>72</v>
      </c>
      <c r="AH331" s="997">
        <v>41</v>
      </c>
      <c r="AI331" s="998">
        <f t="shared" si="110"/>
        <v>199</v>
      </c>
      <c r="AJ331" s="993">
        <f t="shared" si="111"/>
        <v>1.3935574229691876</v>
      </c>
    </row>
    <row r="332" spans="1:36" ht="16.5" customHeight="1">
      <c r="A332" s="999">
        <f>'09월 조업일지'!A330</f>
        <v>46277</v>
      </c>
      <c r="B332" s="1099">
        <f>'09월 조업일지'!B330</f>
        <v>46277</v>
      </c>
      <c r="C332" s="1000" t="str">
        <f>'09월 화학성분'!D330</f>
        <v>C</v>
      </c>
      <c r="D332" s="1000" t="str">
        <f>'09월 화학성분'!E330</f>
        <v>A</v>
      </c>
      <c r="E332" s="1000">
        <f>'09월 화학성분'!C330</f>
        <v>85532</v>
      </c>
      <c r="F332" s="1001" t="str">
        <f t="shared" si="97"/>
        <v>S355JO-01</v>
      </c>
      <c r="G332" s="1172">
        <v>20.3</v>
      </c>
      <c r="H332" s="985">
        <v>23200</v>
      </c>
      <c r="I332" s="1173">
        <v>19.600000000000001</v>
      </c>
      <c r="J332" s="985">
        <v>20900</v>
      </c>
      <c r="K332" s="1173">
        <v>6.9</v>
      </c>
      <c r="L332" s="985">
        <v>8800</v>
      </c>
      <c r="M332" s="1174">
        <f t="shared" si="98"/>
        <v>46.800000000000004</v>
      </c>
      <c r="N332" s="984">
        <f t="shared" si="99"/>
        <v>52900</v>
      </c>
      <c r="O332" s="986">
        <f t="shared" si="100"/>
        <v>160.2209944751381</v>
      </c>
      <c r="P332" s="987">
        <f t="shared" si="101"/>
        <v>144.33701657458562</v>
      </c>
      <c r="Q332" s="987">
        <f t="shared" si="102"/>
        <v>60.773480662983424</v>
      </c>
      <c r="R332" s="988">
        <f t="shared" si="103"/>
        <v>365.33149171270719</v>
      </c>
      <c r="S332" s="989">
        <v>144.80000000000001</v>
      </c>
      <c r="T332" s="990">
        <v>0</v>
      </c>
      <c r="U332" s="991">
        <v>0</v>
      </c>
      <c r="V332" s="991">
        <v>326</v>
      </c>
      <c r="W332" s="992">
        <f t="shared" si="104"/>
        <v>326</v>
      </c>
      <c r="X332" s="993">
        <f t="shared" si="105"/>
        <v>2.2513812154696131</v>
      </c>
      <c r="Y332" s="990">
        <v>1658</v>
      </c>
      <c r="Z332" s="991">
        <v>1597</v>
      </c>
      <c r="AA332" s="991">
        <v>739</v>
      </c>
      <c r="AB332" s="992">
        <f t="shared" si="106"/>
        <v>3994</v>
      </c>
      <c r="AC332" s="993">
        <f t="shared" si="107"/>
        <v>27.582872928176794</v>
      </c>
      <c r="AD332" s="994">
        <f t="shared" si="108"/>
        <v>4320</v>
      </c>
      <c r="AE332" s="995">
        <f t="shared" si="109"/>
        <v>29.834254143646408</v>
      </c>
      <c r="AF332" s="996">
        <v>84</v>
      </c>
      <c r="AG332" s="997">
        <v>82</v>
      </c>
      <c r="AH332" s="997">
        <v>25</v>
      </c>
      <c r="AI332" s="998">
        <f t="shared" si="110"/>
        <v>191</v>
      </c>
      <c r="AJ332" s="993">
        <f t="shared" si="111"/>
        <v>1.319060773480663</v>
      </c>
    </row>
    <row r="333" spans="1:36" ht="16.5" customHeight="1">
      <c r="A333" s="999">
        <f>'09월 조업일지'!A331</f>
        <v>46277</v>
      </c>
      <c r="B333" s="1099">
        <f>'09월 조업일지'!B331</f>
        <v>46277</v>
      </c>
      <c r="C333" s="1000" t="str">
        <f>'09월 화학성분'!D331</f>
        <v>C</v>
      </c>
      <c r="D333" s="1000" t="str">
        <f>'09월 화학성분'!E331</f>
        <v>B</v>
      </c>
      <c r="E333" s="1000">
        <f>'09월 화학성분'!C331</f>
        <v>85533</v>
      </c>
      <c r="F333" s="1104" t="s">
        <v>786</v>
      </c>
      <c r="G333" s="1172">
        <v>19.3</v>
      </c>
      <c r="H333" s="985">
        <v>22700</v>
      </c>
      <c r="I333" s="1173">
        <v>16.899999999999999</v>
      </c>
      <c r="J333" s="985">
        <v>20600</v>
      </c>
      <c r="K333" s="1173">
        <v>8</v>
      </c>
      <c r="L333" s="985">
        <v>10400</v>
      </c>
      <c r="M333" s="1174">
        <f t="shared" si="98"/>
        <v>44.2</v>
      </c>
      <c r="N333" s="984">
        <f t="shared" si="99"/>
        <v>53700</v>
      </c>
      <c r="O333" s="986">
        <f t="shared" si="100"/>
        <v>156.76795580110496</v>
      </c>
      <c r="P333" s="987">
        <f t="shared" si="101"/>
        <v>142.26519337016575</v>
      </c>
      <c r="Q333" s="987">
        <f t="shared" si="102"/>
        <v>71.823204419889493</v>
      </c>
      <c r="R333" s="988">
        <f t="shared" si="103"/>
        <v>370.8563535911602</v>
      </c>
      <c r="S333" s="989">
        <v>144.80000000000001</v>
      </c>
      <c r="T333" s="990">
        <v>0</v>
      </c>
      <c r="U333" s="991">
        <v>5</v>
      </c>
      <c r="V333" s="991">
        <v>311</v>
      </c>
      <c r="W333" s="992">
        <f t="shared" si="104"/>
        <v>316</v>
      </c>
      <c r="X333" s="993">
        <f t="shared" si="105"/>
        <v>2.1823204419889501</v>
      </c>
      <c r="Y333" s="990">
        <v>1582</v>
      </c>
      <c r="Z333" s="991">
        <v>1432</v>
      </c>
      <c r="AA333" s="991">
        <v>912</v>
      </c>
      <c r="AB333" s="992">
        <f t="shared" si="106"/>
        <v>3926</v>
      </c>
      <c r="AC333" s="993">
        <f t="shared" si="107"/>
        <v>27.113259668508285</v>
      </c>
      <c r="AD333" s="994">
        <f t="shared" si="108"/>
        <v>4242</v>
      </c>
      <c r="AE333" s="995">
        <f t="shared" si="109"/>
        <v>29.295580110497234</v>
      </c>
      <c r="AF333" s="996">
        <v>81</v>
      </c>
      <c r="AG333" s="997">
        <v>76</v>
      </c>
      <c r="AH333" s="997">
        <v>29</v>
      </c>
      <c r="AI333" s="998">
        <f t="shared" si="110"/>
        <v>186</v>
      </c>
      <c r="AJ333" s="993">
        <f t="shared" si="111"/>
        <v>1.2845303867403315</v>
      </c>
    </row>
    <row r="334" spans="1:36" ht="16.5" customHeight="1">
      <c r="A334" s="999">
        <f>'09월 조업일지'!A332</f>
        <v>46277</v>
      </c>
      <c r="B334" s="1099">
        <f>'09월 조업일지'!B332</f>
        <v>46277</v>
      </c>
      <c r="C334" s="1000" t="str">
        <f>'09월 화학성분'!D332</f>
        <v>C</v>
      </c>
      <c r="D334" s="1000" t="str">
        <f>'09월 화학성분'!E332</f>
        <v>A</v>
      </c>
      <c r="E334" s="1000">
        <f>'09월 화학성분'!C332</f>
        <v>85534</v>
      </c>
      <c r="F334" s="1104" t="s">
        <v>654</v>
      </c>
      <c r="G334" s="1172">
        <v>20.5</v>
      </c>
      <c r="H334" s="985">
        <v>23000</v>
      </c>
      <c r="I334" s="1173">
        <v>18.100000000000001</v>
      </c>
      <c r="J334" s="985">
        <v>20800</v>
      </c>
      <c r="K334" s="1173">
        <v>7</v>
      </c>
      <c r="L334" s="985">
        <v>8400</v>
      </c>
      <c r="M334" s="1174">
        <f t="shared" si="98"/>
        <v>45.6</v>
      </c>
      <c r="N334" s="984">
        <f t="shared" si="99"/>
        <v>52200</v>
      </c>
      <c r="O334" s="986">
        <f t="shared" si="100"/>
        <v>158.73015873015873</v>
      </c>
      <c r="P334" s="987">
        <f t="shared" si="101"/>
        <v>143.54727398205659</v>
      </c>
      <c r="Q334" s="987">
        <f t="shared" si="102"/>
        <v>57.971014492753618</v>
      </c>
      <c r="R334" s="988">
        <f t="shared" si="103"/>
        <v>360.24844720496895</v>
      </c>
      <c r="S334" s="989">
        <v>144.9</v>
      </c>
      <c r="T334" s="990">
        <v>0</v>
      </c>
      <c r="U334" s="991">
        <v>96</v>
      </c>
      <c r="V334" s="991">
        <v>243</v>
      </c>
      <c r="W334" s="992">
        <f t="shared" si="104"/>
        <v>339</v>
      </c>
      <c r="X334" s="993">
        <f t="shared" si="105"/>
        <v>2.339544513457557</v>
      </c>
      <c r="Y334" s="990">
        <v>1682</v>
      </c>
      <c r="Z334" s="991">
        <v>1525</v>
      </c>
      <c r="AA334" s="991">
        <v>792</v>
      </c>
      <c r="AB334" s="992">
        <f t="shared" si="106"/>
        <v>3999</v>
      </c>
      <c r="AC334" s="993">
        <f t="shared" si="107"/>
        <v>27.598343685300208</v>
      </c>
      <c r="AD334" s="994">
        <f t="shared" si="108"/>
        <v>4338</v>
      </c>
      <c r="AE334" s="995">
        <f t="shared" si="109"/>
        <v>29.937888198757761</v>
      </c>
      <c r="AF334" s="996">
        <v>86</v>
      </c>
      <c r="AG334" s="997">
        <v>78</v>
      </c>
      <c r="AH334" s="997">
        <v>26</v>
      </c>
      <c r="AI334" s="998">
        <f t="shared" si="110"/>
        <v>190</v>
      </c>
      <c r="AJ334" s="993">
        <f t="shared" si="111"/>
        <v>1.3112491373360937</v>
      </c>
    </row>
    <row r="335" spans="1:36" ht="16.5" customHeight="1">
      <c r="A335" s="999">
        <f>'09월 조업일지'!A333</f>
        <v>46277</v>
      </c>
      <c r="B335" s="1099">
        <f>'09월 조업일지'!B333</f>
        <v>46277</v>
      </c>
      <c r="C335" s="1000" t="str">
        <f>'09월 화학성분'!D333</f>
        <v>C</v>
      </c>
      <c r="D335" s="1000" t="str">
        <f>'09월 화학성분'!E333</f>
        <v>B</v>
      </c>
      <c r="E335" s="1000">
        <f>'09월 화학성분'!C333</f>
        <v>85535</v>
      </c>
      <c r="F335" s="1104" t="s">
        <v>790</v>
      </c>
      <c r="G335" s="1172">
        <v>19.7</v>
      </c>
      <c r="H335" s="985">
        <v>22800</v>
      </c>
      <c r="I335" s="1173">
        <v>16.7</v>
      </c>
      <c r="J335" s="985">
        <v>20600</v>
      </c>
      <c r="K335" s="1173">
        <v>9.1</v>
      </c>
      <c r="L335" s="985">
        <v>11500</v>
      </c>
      <c r="M335" s="1174">
        <f t="shared" si="98"/>
        <v>45.5</v>
      </c>
      <c r="N335" s="984">
        <f t="shared" si="99"/>
        <v>54900</v>
      </c>
      <c r="O335" s="986">
        <f t="shared" si="100"/>
        <v>160.67653276955602</v>
      </c>
      <c r="P335" s="987">
        <f t="shared" si="101"/>
        <v>145.17265680056377</v>
      </c>
      <c r="Q335" s="987">
        <f t="shared" si="102"/>
        <v>81.042988019732206</v>
      </c>
      <c r="R335" s="988">
        <f t="shared" si="103"/>
        <v>386.892177589852</v>
      </c>
      <c r="S335" s="989">
        <v>141.9</v>
      </c>
      <c r="T335" s="990">
        <v>0</v>
      </c>
      <c r="U335" s="991">
        <v>1</v>
      </c>
      <c r="V335" s="991">
        <v>342</v>
      </c>
      <c r="W335" s="992">
        <f t="shared" si="104"/>
        <v>343</v>
      </c>
      <c r="X335" s="993">
        <f t="shared" si="105"/>
        <v>2.417195207892882</v>
      </c>
      <c r="Y335" s="990">
        <v>1650</v>
      </c>
      <c r="Z335" s="991">
        <v>1434</v>
      </c>
      <c r="AA335" s="991">
        <v>1021</v>
      </c>
      <c r="AB335" s="992">
        <f t="shared" si="106"/>
        <v>4105</v>
      </c>
      <c r="AC335" s="993">
        <f t="shared" si="107"/>
        <v>28.928823114869626</v>
      </c>
      <c r="AD335" s="994">
        <f t="shared" si="108"/>
        <v>4448</v>
      </c>
      <c r="AE335" s="995">
        <f t="shared" si="109"/>
        <v>31.346018322762507</v>
      </c>
      <c r="AF335" s="996">
        <v>85</v>
      </c>
      <c r="AG335" s="997">
        <v>74</v>
      </c>
      <c r="AH335" s="997">
        <v>36</v>
      </c>
      <c r="AI335" s="998">
        <f t="shared" si="110"/>
        <v>195</v>
      </c>
      <c r="AJ335" s="993">
        <f t="shared" si="111"/>
        <v>1.3742071881606766</v>
      </c>
    </row>
    <row r="336" spans="1:36" ht="16.5" customHeight="1">
      <c r="A336" s="999">
        <f>'09월 조업일지'!A334</f>
        <v>46277</v>
      </c>
      <c r="B336" s="1099">
        <f>'09월 조업일지'!B334</f>
        <v>46277</v>
      </c>
      <c r="C336" s="1000" t="str">
        <f>'09월 화학성분'!D334</f>
        <v>C</v>
      </c>
      <c r="D336" s="1000" t="str">
        <f>'09월 화학성분'!E334</f>
        <v>A</v>
      </c>
      <c r="E336" s="1000">
        <f>'09월 화학성분'!C334</f>
        <v>85536</v>
      </c>
      <c r="F336" s="1001" t="str">
        <f t="shared" ref="F336:F399" si="115">IF(G336="","",F335)</f>
        <v>A572-50-03</v>
      </c>
      <c r="G336" s="1172">
        <v>20.100000000000001</v>
      </c>
      <c r="H336" s="985">
        <v>23200</v>
      </c>
      <c r="I336" s="1173">
        <v>17.399999999999999</v>
      </c>
      <c r="J336" s="985">
        <v>20800</v>
      </c>
      <c r="K336" s="1173">
        <v>8.6999999999999993</v>
      </c>
      <c r="L336" s="985">
        <v>10900</v>
      </c>
      <c r="M336" s="1174">
        <f t="shared" ref="M336:M399" si="116">IF(ISBLANK(G336),"",SUM(G336,I336,K336))</f>
        <v>46.2</v>
      </c>
      <c r="N336" s="984">
        <f t="shared" ref="N336:N399" si="117">IF(ISBLANK(H336),"",SUM(H336,J336,L336))</f>
        <v>54900</v>
      </c>
      <c r="O336" s="986">
        <f t="shared" ref="O336:O399" si="118">IF(ISBLANK(H336),"",H336/S336)</f>
        <v>158.79534565366188</v>
      </c>
      <c r="P336" s="987">
        <f t="shared" ref="P336:P399" si="119">IF(ISBLANK(J336),"",+J336/S336)</f>
        <v>142.36824093086926</v>
      </c>
      <c r="Q336" s="987">
        <f t="shared" ref="Q336:Q399" si="120">IF(ISBLANK(L336),"",L336/S336)</f>
        <v>74.606433949349764</v>
      </c>
      <c r="R336" s="988">
        <f t="shared" ref="R336:R399" si="121">IF(ISBLANK(L336),"",SUM(O336:Q336))</f>
        <v>375.77002053388088</v>
      </c>
      <c r="S336" s="989">
        <v>146.1</v>
      </c>
      <c r="T336" s="990">
        <v>0</v>
      </c>
      <c r="U336" s="991">
        <v>17</v>
      </c>
      <c r="V336" s="991">
        <v>352</v>
      </c>
      <c r="W336" s="992">
        <f t="shared" ref="W336:W399" si="122">IF(SUM(T336:V336)=0,"",SUM(T336:V336))</f>
        <v>369</v>
      </c>
      <c r="X336" s="993">
        <f t="shared" ref="X336:X399" si="123">IF(W336="","",W336/S336)</f>
        <v>2.5256673511293637</v>
      </c>
      <c r="Y336" s="990">
        <v>1668</v>
      </c>
      <c r="Z336" s="991">
        <v>1490</v>
      </c>
      <c r="AA336" s="991">
        <v>844</v>
      </c>
      <c r="AB336" s="992">
        <f t="shared" ref="AB336:AB399" si="124">IF(SUM(Y336:AA336)=0,"",SUM(Y336:AA336))</f>
        <v>4002</v>
      </c>
      <c r="AC336" s="993">
        <f t="shared" ref="AC336:AC399" si="125">IF(AB336="","",AB336/S336)</f>
        <v>27.392197125256676</v>
      </c>
      <c r="AD336" s="994">
        <f t="shared" ref="AD336:AD399" si="126">IF(SUM(W336,AB336)=0,"",SUM(W336,AB336))</f>
        <v>4371</v>
      </c>
      <c r="AE336" s="995">
        <f t="shared" ref="AE336:AE399" si="127">IF(AD336="","",AD336/S336)</f>
        <v>29.91786447638604</v>
      </c>
      <c r="AF336" s="996">
        <v>81</v>
      </c>
      <c r="AG336" s="997">
        <v>76</v>
      </c>
      <c r="AH336" s="997">
        <v>26</v>
      </c>
      <c r="AI336" s="998">
        <f t="shared" ref="AI336:AI399" si="128">IF(SUM(AF336:AH336)=0,"",SUM(AF336:AH336))</f>
        <v>183</v>
      </c>
      <c r="AJ336" s="993">
        <f t="shared" ref="AJ336:AJ399" si="129">IF(AI336="","",AI336/S336)</f>
        <v>1.2525667351129364</v>
      </c>
    </row>
    <row r="337" spans="1:36" ht="16.5" customHeight="1">
      <c r="A337" s="999">
        <f>'09월 조업일지'!A335</f>
        <v>46277</v>
      </c>
      <c r="B337" s="1099">
        <f>'09월 조업일지'!B335</f>
        <v>46277</v>
      </c>
      <c r="C337" s="1000" t="str">
        <f>'09월 화학성분'!D335</f>
        <v>C</v>
      </c>
      <c r="D337" s="1000" t="str">
        <f>'09월 화학성분'!E335</f>
        <v>B</v>
      </c>
      <c r="E337" s="1000">
        <f>'09월 화학성분'!C335</f>
        <v>85537</v>
      </c>
      <c r="F337" s="1001" t="str">
        <f t="shared" si="115"/>
        <v>A572-50-03</v>
      </c>
      <c r="G337" s="1172">
        <v>19.2</v>
      </c>
      <c r="H337" s="985">
        <v>23300</v>
      </c>
      <c r="I337" s="1173">
        <v>16.8</v>
      </c>
      <c r="J337" s="985">
        <v>20600</v>
      </c>
      <c r="K337" s="1173">
        <v>7.5</v>
      </c>
      <c r="L337" s="985">
        <v>9500</v>
      </c>
      <c r="M337" s="1174">
        <f t="shared" si="116"/>
        <v>43.5</v>
      </c>
      <c r="N337" s="984">
        <f t="shared" si="117"/>
        <v>53400</v>
      </c>
      <c r="O337" s="986">
        <f t="shared" si="118"/>
        <v>161.24567474048442</v>
      </c>
      <c r="P337" s="987">
        <f t="shared" si="119"/>
        <v>142.56055363321801</v>
      </c>
      <c r="Q337" s="987">
        <f t="shared" si="120"/>
        <v>65.743944636678194</v>
      </c>
      <c r="R337" s="988">
        <f t="shared" si="121"/>
        <v>369.5501730103806</v>
      </c>
      <c r="S337" s="989">
        <v>144.5</v>
      </c>
      <c r="T337" s="990">
        <v>0</v>
      </c>
      <c r="U337" s="991">
        <v>31</v>
      </c>
      <c r="V337" s="991">
        <v>292</v>
      </c>
      <c r="W337" s="992">
        <f t="shared" si="122"/>
        <v>323</v>
      </c>
      <c r="X337" s="993">
        <f t="shared" si="123"/>
        <v>2.2352941176470589</v>
      </c>
      <c r="Y337" s="990">
        <v>1577</v>
      </c>
      <c r="Z337" s="991">
        <v>1431</v>
      </c>
      <c r="AA337" s="991">
        <v>800</v>
      </c>
      <c r="AB337" s="992">
        <f t="shared" si="124"/>
        <v>3808</v>
      </c>
      <c r="AC337" s="993">
        <f t="shared" si="125"/>
        <v>26.352941176470587</v>
      </c>
      <c r="AD337" s="994">
        <f t="shared" si="126"/>
        <v>4131</v>
      </c>
      <c r="AE337" s="995">
        <f t="shared" si="127"/>
        <v>28.588235294117649</v>
      </c>
      <c r="AF337" s="996">
        <v>82</v>
      </c>
      <c r="AG337" s="997">
        <v>73</v>
      </c>
      <c r="AH337" s="997">
        <v>27</v>
      </c>
      <c r="AI337" s="998">
        <f t="shared" si="128"/>
        <v>182</v>
      </c>
      <c r="AJ337" s="993">
        <f t="shared" si="129"/>
        <v>1.259515570934256</v>
      </c>
    </row>
    <row r="338" spans="1:36" ht="16.5" customHeight="1">
      <c r="A338" s="999">
        <f>'09월 조업일지'!A336</f>
        <v>46277</v>
      </c>
      <c r="B338" s="1099">
        <f>'09월 조업일지'!B336</f>
        <v>46277</v>
      </c>
      <c r="C338" s="1000" t="str">
        <f>'09월 화학성분'!D336</f>
        <v>A</v>
      </c>
      <c r="D338" s="1000" t="str">
        <f>'09월 화학성분'!E336</f>
        <v>A</v>
      </c>
      <c r="E338" s="1000">
        <f>'09월 화학성분'!C336</f>
        <v>85538</v>
      </c>
      <c r="F338" s="1001" t="str">
        <f t="shared" si="115"/>
        <v>A572-50-03</v>
      </c>
      <c r="G338" s="1172">
        <v>18.600000000000001</v>
      </c>
      <c r="H338" s="985">
        <v>21000</v>
      </c>
      <c r="I338" s="1173">
        <v>17.3</v>
      </c>
      <c r="J338" s="985">
        <v>20500</v>
      </c>
      <c r="K338" s="1173">
        <v>16.3</v>
      </c>
      <c r="L338" s="985">
        <v>20200</v>
      </c>
      <c r="M338" s="1174">
        <f t="shared" si="116"/>
        <v>52.2</v>
      </c>
      <c r="N338" s="984">
        <f t="shared" si="117"/>
        <v>61700</v>
      </c>
      <c r="O338" s="986">
        <f t="shared" si="118"/>
        <v>142.46947082767977</v>
      </c>
      <c r="P338" s="987">
        <f t="shared" si="119"/>
        <v>139.07734056987789</v>
      </c>
      <c r="Q338" s="987">
        <f t="shared" si="120"/>
        <v>137.04206241519674</v>
      </c>
      <c r="R338" s="988">
        <f t="shared" si="121"/>
        <v>418.5888738127544</v>
      </c>
      <c r="S338" s="989">
        <v>147.4</v>
      </c>
      <c r="T338" s="990">
        <v>0</v>
      </c>
      <c r="U338" s="991">
        <v>287</v>
      </c>
      <c r="V338" s="991">
        <v>70</v>
      </c>
      <c r="W338" s="992">
        <f t="shared" si="122"/>
        <v>357</v>
      </c>
      <c r="X338" s="993">
        <f t="shared" si="123"/>
        <v>2.4219810040705561</v>
      </c>
      <c r="Y338" s="990">
        <v>1539</v>
      </c>
      <c r="Z338" s="991">
        <v>1437</v>
      </c>
      <c r="AA338" s="991">
        <v>1061</v>
      </c>
      <c r="AB338" s="992">
        <f t="shared" si="124"/>
        <v>4037</v>
      </c>
      <c r="AC338" s="993">
        <f t="shared" si="125"/>
        <v>27.388059701492537</v>
      </c>
      <c r="AD338" s="994">
        <f t="shared" si="126"/>
        <v>4394</v>
      </c>
      <c r="AE338" s="995">
        <f t="shared" si="127"/>
        <v>29.810040705563093</v>
      </c>
      <c r="AF338" s="996">
        <v>86</v>
      </c>
      <c r="AG338" s="997">
        <v>74</v>
      </c>
      <c r="AH338" s="997">
        <v>21</v>
      </c>
      <c r="AI338" s="998">
        <f t="shared" si="128"/>
        <v>181</v>
      </c>
      <c r="AJ338" s="993">
        <f t="shared" si="129"/>
        <v>1.2279511533242875</v>
      </c>
    </row>
    <row r="339" spans="1:36" ht="16.5" customHeight="1">
      <c r="A339" s="999">
        <f>'09월 조업일지'!A337</f>
        <v>46277</v>
      </c>
      <c r="B339" s="1099">
        <f>'09월 조업일지'!B337</f>
        <v>46277</v>
      </c>
      <c r="C339" s="1000" t="str">
        <f>'09월 화학성분'!D337</f>
        <v>A</v>
      </c>
      <c r="D339" s="1000" t="str">
        <f>'09월 화학성분'!E337</f>
        <v>B</v>
      </c>
      <c r="E339" s="1000">
        <f>'09월 화학성분'!C337</f>
        <v>85539</v>
      </c>
      <c r="F339" s="1001" t="str">
        <f t="shared" si="115"/>
        <v>A572-50-03</v>
      </c>
      <c r="G339" s="1172">
        <v>18.7</v>
      </c>
      <c r="H339" s="985">
        <v>22400</v>
      </c>
      <c r="I339" s="1173">
        <v>16.3</v>
      </c>
      <c r="J339" s="985">
        <v>20400</v>
      </c>
      <c r="K339" s="1173">
        <v>11.3</v>
      </c>
      <c r="L339" s="985">
        <v>14500</v>
      </c>
      <c r="M339" s="1174">
        <f t="shared" si="116"/>
        <v>46.3</v>
      </c>
      <c r="N339" s="984">
        <f t="shared" si="117"/>
        <v>57300</v>
      </c>
      <c r="O339" s="986">
        <f t="shared" si="118"/>
        <v>154.3762922122674</v>
      </c>
      <c r="P339" s="987">
        <f t="shared" si="119"/>
        <v>140.59269469331497</v>
      </c>
      <c r="Q339" s="987">
        <f t="shared" si="120"/>
        <v>99.931082012405241</v>
      </c>
      <c r="R339" s="988">
        <f t="shared" si="121"/>
        <v>394.9000689179876</v>
      </c>
      <c r="S339" s="989">
        <v>145.1</v>
      </c>
      <c r="T339" s="990">
        <v>0</v>
      </c>
      <c r="U339" s="991">
        <v>82</v>
      </c>
      <c r="V339" s="991">
        <v>401</v>
      </c>
      <c r="W339" s="992">
        <f t="shared" si="122"/>
        <v>483</v>
      </c>
      <c r="X339" s="993">
        <f t="shared" si="123"/>
        <v>3.3287388008270158</v>
      </c>
      <c r="Y339" s="990">
        <v>1531</v>
      </c>
      <c r="Z339" s="991">
        <v>1359</v>
      </c>
      <c r="AA339" s="991">
        <v>1039</v>
      </c>
      <c r="AB339" s="992">
        <f t="shared" si="124"/>
        <v>3929</v>
      </c>
      <c r="AC339" s="993">
        <f t="shared" si="125"/>
        <v>27.077877325982083</v>
      </c>
      <c r="AD339" s="994">
        <f t="shared" si="126"/>
        <v>4412</v>
      </c>
      <c r="AE339" s="995">
        <f t="shared" si="127"/>
        <v>30.406616126809098</v>
      </c>
      <c r="AF339" s="996">
        <v>80</v>
      </c>
      <c r="AG339" s="997">
        <v>64</v>
      </c>
      <c r="AH339" s="997">
        <v>10</v>
      </c>
      <c r="AI339" s="998">
        <f t="shared" si="128"/>
        <v>154</v>
      </c>
      <c r="AJ339" s="993">
        <f t="shared" si="129"/>
        <v>1.0613370089593384</v>
      </c>
    </row>
    <row r="340" spans="1:36" ht="16.5" customHeight="1">
      <c r="A340" s="999">
        <f>'09월 조업일지'!A338</f>
        <v>46277</v>
      </c>
      <c r="B340" s="1099">
        <f>'09월 조업일지'!B338</f>
        <v>46277</v>
      </c>
      <c r="C340" s="1000" t="str">
        <f>'09월 화학성분'!D338</f>
        <v>A</v>
      </c>
      <c r="D340" s="1000" t="str">
        <f>'09월 화학성분'!E338</f>
        <v>A</v>
      </c>
      <c r="E340" s="1000">
        <f>'09월 화학성분'!C338</f>
        <v>85540</v>
      </c>
      <c r="F340" s="1001" t="str">
        <f t="shared" si="115"/>
        <v>A572-50-03</v>
      </c>
      <c r="G340" s="1172">
        <v>19.7</v>
      </c>
      <c r="H340" s="985">
        <v>23200</v>
      </c>
      <c r="I340" s="1173">
        <v>17.2</v>
      </c>
      <c r="J340" s="985">
        <v>21000</v>
      </c>
      <c r="K340" s="1173">
        <v>9.5</v>
      </c>
      <c r="L340" s="985">
        <v>11900</v>
      </c>
      <c r="M340" s="1174">
        <f t="shared" si="116"/>
        <v>46.4</v>
      </c>
      <c r="N340" s="984">
        <f t="shared" si="117"/>
        <v>56100</v>
      </c>
      <c r="O340" s="986">
        <f t="shared" si="118"/>
        <v>159.12208504801097</v>
      </c>
      <c r="P340" s="987">
        <f t="shared" si="119"/>
        <v>144.03292181069958</v>
      </c>
      <c r="Q340" s="987">
        <f t="shared" si="120"/>
        <v>81.61865569272976</v>
      </c>
      <c r="R340" s="988">
        <f t="shared" si="121"/>
        <v>384.77366255144028</v>
      </c>
      <c r="S340" s="989">
        <v>145.80000000000001</v>
      </c>
      <c r="T340" s="990">
        <v>0</v>
      </c>
      <c r="U340" s="991">
        <v>144</v>
      </c>
      <c r="V340" s="991">
        <v>201</v>
      </c>
      <c r="W340" s="992">
        <f t="shared" si="122"/>
        <v>345</v>
      </c>
      <c r="X340" s="993">
        <f t="shared" si="123"/>
        <v>2.3662551440329218</v>
      </c>
      <c r="Y340" s="990">
        <v>1621</v>
      </c>
      <c r="Z340" s="991">
        <v>1424</v>
      </c>
      <c r="AA340" s="991">
        <v>690</v>
      </c>
      <c r="AB340" s="992">
        <f t="shared" si="124"/>
        <v>3735</v>
      </c>
      <c r="AC340" s="993">
        <f t="shared" si="125"/>
        <v>25.617283950617281</v>
      </c>
      <c r="AD340" s="994">
        <f t="shared" si="126"/>
        <v>4080</v>
      </c>
      <c r="AE340" s="995">
        <f t="shared" si="127"/>
        <v>27.983539094650205</v>
      </c>
      <c r="AF340" s="996">
        <v>82</v>
      </c>
      <c r="AG340" s="997">
        <v>65</v>
      </c>
      <c r="AH340" s="997">
        <v>6</v>
      </c>
      <c r="AI340" s="998">
        <f t="shared" si="128"/>
        <v>153</v>
      </c>
      <c r="AJ340" s="993">
        <f t="shared" si="129"/>
        <v>1.0493827160493827</v>
      </c>
    </row>
    <row r="341" spans="1:36" ht="16.5" customHeight="1">
      <c r="A341" s="999">
        <f>'09월 조업일지'!A339</f>
        <v>46277</v>
      </c>
      <c r="B341" s="1099">
        <f>'09월 조업일지'!B339</f>
        <v>46277</v>
      </c>
      <c r="C341" s="1000" t="str">
        <f>'09월 화학성분'!D339</f>
        <v>A</v>
      </c>
      <c r="D341" s="1000" t="str">
        <f>'09월 화학성분'!E339</f>
        <v>B</v>
      </c>
      <c r="E341" s="1000">
        <f>'09월 화학성분'!C339</f>
        <v>85541</v>
      </c>
      <c r="F341" s="1001" t="str">
        <f t="shared" si="115"/>
        <v>A572-50-03</v>
      </c>
      <c r="G341" s="1172">
        <v>18.899999999999999</v>
      </c>
      <c r="H341" s="985">
        <v>22900</v>
      </c>
      <c r="I341" s="1173">
        <v>16.5</v>
      </c>
      <c r="J341" s="985">
        <v>20600</v>
      </c>
      <c r="K341" s="1173">
        <v>9.6999999999999993</v>
      </c>
      <c r="L341" s="985">
        <v>12500</v>
      </c>
      <c r="M341" s="1174">
        <f t="shared" si="116"/>
        <v>45.099999999999994</v>
      </c>
      <c r="N341" s="984">
        <f t="shared" si="117"/>
        <v>56000</v>
      </c>
      <c r="O341" s="986">
        <f t="shared" si="118"/>
        <v>154.83434753211628</v>
      </c>
      <c r="P341" s="987">
        <f t="shared" si="119"/>
        <v>139.28329952670722</v>
      </c>
      <c r="Q341" s="987">
        <f t="shared" si="120"/>
        <v>84.51656524678836</v>
      </c>
      <c r="R341" s="988">
        <f t="shared" si="121"/>
        <v>378.63421230561187</v>
      </c>
      <c r="S341" s="989">
        <v>147.9</v>
      </c>
      <c r="T341" s="990">
        <v>0</v>
      </c>
      <c r="U341" s="991">
        <v>148</v>
      </c>
      <c r="V341" s="991">
        <v>252</v>
      </c>
      <c r="W341" s="992">
        <f t="shared" si="122"/>
        <v>400</v>
      </c>
      <c r="X341" s="993">
        <f t="shared" si="123"/>
        <v>2.7045300878972278</v>
      </c>
      <c r="Y341" s="990">
        <v>1563</v>
      </c>
      <c r="Z341" s="991">
        <v>1375</v>
      </c>
      <c r="AA341" s="991">
        <v>781</v>
      </c>
      <c r="AB341" s="992">
        <f t="shared" si="124"/>
        <v>3719</v>
      </c>
      <c r="AC341" s="993">
        <f t="shared" si="125"/>
        <v>25.145368492224474</v>
      </c>
      <c r="AD341" s="994">
        <f t="shared" si="126"/>
        <v>4119</v>
      </c>
      <c r="AE341" s="995">
        <f t="shared" si="127"/>
        <v>27.849898580121703</v>
      </c>
      <c r="AF341" s="996">
        <v>79</v>
      </c>
      <c r="AG341" s="997">
        <v>64</v>
      </c>
      <c r="AH341" s="997">
        <v>7</v>
      </c>
      <c r="AI341" s="998">
        <f t="shared" si="128"/>
        <v>150</v>
      </c>
      <c r="AJ341" s="993">
        <f t="shared" si="129"/>
        <v>1.0141987829614605</v>
      </c>
    </row>
    <row r="342" spans="1:36" ht="16.5" customHeight="1">
      <c r="A342" s="999">
        <f>'09월 조업일지'!A340</f>
        <v>46277</v>
      </c>
      <c r="B342" s="1099">
        <f>'09월 조업일지'!B340</f>
        <v>46277</v>
      </c>
      <c r="C342" s="1000" t="str">
        <f>'09월 화학성분'!D340</f>
        <v>A</v>
      </c>
      <c r="D342" s="1000" t="str">
        <f>'09월 화학성분'!E340</f>
        <v>A</v>
      </c>
      <c r="E342" s="1000">
        <f>'09월 화학성분'!C340</f>
        <v>85542</v>
      </c>
      <c r="F342" s="1001" t="str">
        <f t="shared" si="115"/>
        <v>A572-50-03</v>
      </c>
      <c r="G342" s="1172">
        <v>19.399999999999999</v>
      </c>
      <c r="H342" s="985">
        <v>24200</v>
      </c>
      <c r="I342" s="1173">
        <v>16.5</v>
      </c>
      <c r="J342" s="985">
        <v>20700</v>
      </c>
      <c r="K342" s="1173">
        <v>7.7</v>
      </c>
      <c r="L342" s="985">
        <v>9900</v>
      </c>
      <c r="M342" s="1174">
        <f t="shared" si="116"/>
        <v>43.6</v>
      </c>
      <c r="N342" s="984">
        <f t="shared" si="117"/>
        <v>54800</v>
      </c>
      <c r="O342" s="986">
        <f t="shared" si="118"/>
        <v>163.95663956639567</v>
      </c>
      <c r="P342" s="987">
        <f t="shared" si="119"/>
        <v>140.2439024390244</v>
      </c>
      <c r="Q342" s="987">
        <f t="shared" si="120"/>
        <v>67.073170731707322</v>
      </c>
      <c r="R342" s="988">
        <f t="shared" si="121"/>
        <v>371.27371273712737</v>
      </c>
      <c r="S342" s="989">
        <v>147.6</v>
      </c>
      <c r="T342" s="990">
        <v>0</v>
      </c>
      <c r="U342" s="991">
        <v>223</v>
      </c>
      <c r="V342" s="991">
        <v>121</v>
      </c>
      <c r="W342" s="992">
        <f t="shared" si="122"/>
        <v>344</v>
      </c>
      <c r="X342" s="993">
        <f t="shared" si="123"/>
        <v>2.3306233062330626</v>
      </c>
      <c r="Y342" s="990">
        <v>1624</v>
      </c>
      <c r="Z342" s="991">
        <v>1365</v>
      </c>
      <c r="AA342" s="991">
        <v>573</v>
      </c>
      <c r="AB342" s="992">
        <f t="shared" si="124"/>
        <v>3562</v>
      </c>
      <c r="AC342" s="993">
        <f t="shared" si="125"/>
        <v>24.132791327913282</v>
      </c>
      <c r="AD342" s="994">
        <f t="shared" si="126"/>
        <v>3906</v>
      </c>
      <c r="AE342" s="995">
        <f t="shared" si="127"/>
        <v>26.463414634146343</v>
      </c>
      <c r="AF342" s="996">
        <v>81</v>
      </c>
      <c r="AG342" s="997">
        <v>63</v>
      </c>
      <c r="AH342" s="997">
        <v>5</v>
      </c>
      <c r="AI342" s="998">
        <f t="shared" si="128"/>
        <v>149</v>
      </c>
      <c r="AJ342" s="993">
        <f t="shared" si="129"/>
        <v>1.0094850948509486</v>
      </c>
    </row>
    <row r="343" spans="1:36" ht="16.5" customHeight="1">
      <c r="A343" s="999">
        <f>'09월 조업일지'!A341</f>
        <v>46277</v>
      </c>
      <c r="B343" s="1099">
        <f>'09월 조업일지'!B341</f>
        <v>46277</v>
      </c>
      <c r="C343" s="1000" t="str">
        <f>'09월 화학성분'!D341</f>
        <v>A</v>
      </c>
      <c r="D343" s="1000" t="str">
        <f>'09월 화학성분'!E341</f>
        <v>B</v>
      </c>
      <c r="E343" s="1000">
        <f>'09월 화학성분'!C341</f>
        <v>85543</v>
      </c>
      <c r="F343" s="1001" t="str">
        <f t="shared" si="115"/>
        <v>A572-50-03</v>
      </c>
      <c r="G343" s="1172">
        <v>20.6</v>
      </c>
      <c r="H343" s="985">
        <v>24300</v>
      </c>
      <c r="I343" s="1173">
        <v>16.8</v>
      </c>
      <c r="J343" s="985">
        <v>20400</v>
      </c>
      <c r="K343" s="1173">
        <v>8.8000000000000007</v>
      </c>
      <c r="L343" s="985">
        <v>11200</v>
      </c>
      <c r="M343" s="1174">
        <f t="shared" si="116"/>
        <v>46.2</v>
      </c>
      <c r="N343" s="984">
        <f t="shared" si="117"/>
        <v>55900</v>
      </c>
      <c r="O343" s="986">
        <f t="shared" si="118"/>
        <v>167.47070985527222</v>
      </c>
      <c r="P343" s="987">
        <f t="shared" si="119"/>
        <v>140.59269469331497</v>
      </c>
      <c r="Q343" s="987">
        <f t="shared" si="120"/>
        <v>77.188146106133701</v>
      </c>
      <c r="R343" s="988">
        <f t="shared" si="121"/>
        <v>385.25155065472086</v>
      </c>
      <c r="S343" s="989">
        <v>145.1</v>
      </c>
      <c r="T343" s="990">
        <v>0</v>
      </c>
      <c r="U343" s="991">
        <v>190</v>
      </c>
      <c r="V343" s="991">
        <v>117</v>
      </c>
      <c r="W343" s="992">
        <f t="shared" si="122"/>
        <v>307</v>
      </c>
      <c r="X343" s="993">
        <f t="shared" si="123"/>
        <v>2.1157822191592008</v>
      </c>
      <c r="Y343" s="990">
        <v>1736</v>
      </c>
      <c r="Z343" s="991">
        <v>1386</v>
      </c>
      <c r="AA343" s="991">
        <v>812</v>
      </c>
      <c r="AB343" s="992">
        <f t="shared" si="124"/>
        <v>3934</v>
      </c>
      <c r="AC343" s="993">
        <f t="shared" si="125"/>
        <v>27.112336319779462</v>
      </c>
      <c r="AD343" s="994">
        <f t="shared" si="126"/>
        <v>4241</v>
      </c>
      <c r="AE343" s="995">
        <f t="shared" si="127"/>
        <v>29.228118538938663</v>
      </c>
      <c r="AF343" s="996">
        <v>84</v>
      </c>
      <c r="AG343" s="997">
        <v>67</v>
      </c>
      <c r="AH343" s="997">
        <v>7</v>
      </c>
      <c r="AI343" s="998">
        <f t="shared" si="128"/>
        <v>158</v>
      </c>
      <c r="AJ343" s="993">
        <f t="shared" si="129"/>
        <v>1.0889042039972434</v>
      </c>
    </row>
    <row r="344" spans="1:36" ht="16.5" customHeight="1">
      <c r="A344" s="999">
        <f>'09월 조업일지'!A342</f>
        <v>46277</v>
      </c>
      <c r="B344" s="1099">
        <f>'09월 조업일지'!B342</f>
        <v>46277</v>
      </c>
      <c r="C344" s="1000" t="str">
        <f>'09월 화학성분'!D342</f>
        <v>A</v>
      </c>
      <c r="D344" s="1000" t="str">
        <f>'09월 화학성분'!E342</f>
        <v>A</v>
      </c>
      <c r="E344" s="1000">
        <f>'09월 화학성분'!C342</f>
        <v>85544</v>
      </c>
      <c r="F344" s="1001" t="str">
        <f t="shared" si="115"/>
        <v>A572-50-03</v>
      </c>
      <c r="G344" s="1172">
        <v>20</v>
      </c>
      <c r="H344" s="985">
        <v>23500</v>
      </c>
      <c r="I344" s="1173">
        <v>16.7</v>
      </c>
      <c r="J344" s="985">
        <v>20600</v>
      </c>
      <c r="K344" s="1173">
        <v>7.6</v>
      </c>
      <c r="L344" s="985">
        <v>9600</v>
      </c>
      <c r="M344" s="1174">
        <f t="shared" si="116"/>
        <v>44.300000000000004</v>
      </c>
      <c r="N344" s="984">
        <f t="shared" si="117"/>
        <v>53700</v>
      </c>
      <c r="O344" s="986">
        <f t="shared" si="118"/>
        <v>159.97277059223961</v>
      </c>
      <c r="P344" s="987">
        <f t="shared" si="119"/>
        <v>140.23144996596324</v>
      </c>
      <c r="Q344" s="987">
        <f t="shared" si="120"/>
        <v>65.350578624914903</v>
      </c>
      <c r="R344" s="988">
        <f t="shared" si="121"/>
        <v>365.55479918311778</v>
      </c>
      <c r="S344" s="989">
        <v>146.9</v>
      </c>
      <c r="T344" s="990">
        <v>0</v>
      </c>
      <c r="U344" s="991">
        <v>189</v>
      </c>
      <c r="V344" s="991">
        <v>157</v>
      </c>
      <c r="W344" s="992">
        <f t="shared" si="122"/>
        <v>346</v>
      </c>
      <c r="X344" s="993">
        <f t="shared" si="123"/>
        <v>2.3553437712729748</v>
      </c>
      <c r="Y344" s="990">
        <v>1662</v>
      </c>
      <c r="Z344" s="991">
        <v>1377</v>
      </c>
      <c r="AA344" s="991">
        <v>656</v>
      </c>
      <c r="AB344" s="992">
        <f t="shared" si="124"/>
        <v>3695</v>
      </c>
      <c r="AC344" s="993">
        <f t="shared" si="125"/>
        <v>25.153165418652144</v>
      </c>
      <c r="AD344" s="994">
        <f t="shared" si="126"/>
        <v>4041</v>
      </c>
      <c r="AE344" s="995">
        <f t="shared" si="127"/>
        <v>27.508509189925118</v>
      </c>
      <c r="AF344" s="996">
        <v>85</v>
      </c>
      <c r="AG344" s="997">
        <v>64</v>
      </c>
      <c r="AH344" s="997">
        <v>6</v>
      </c>
      <c r="AI344" s="998">
        <f t="shared" si="128"/>
        <v>155</v>
      </c>
      <c r="AJ344" s="993">
        <f t="shared" si="129"/>
        <v>1.0551395507147718</v>
      </c>
    </row>
    <row r="345" spans="1:36" ht="16.5" customHeight="1">
      <c r="A345" s="999">
        <f>'09월 조업일지'!A343</f>
        <v>46277</v>
      </c>
      <c r="B345" s="1099">
        <f>'09월 조업일지'!B343</f>
        <v>46277</v>
      </c>
      <c r="C345" s="1000" t="str">
        <f>'09월 화학성분'!D343</f>
        <v>A</v>
      </c>
      <c r="D345" s="1000" t="str">
        <f>'09월 화학성분'!E343</f>
        <v>B</v>
      </c>
      <c r="E345" s="1000">
        <f>'09월 화학성분'!C343</f>
        <v>85545</v>
      </c>
      <c r="F345" s="1104" t="s">
        <v>638</v>
      </c>
      <c r="G345" s="1172">
        <v>20.100000000000001</v>
      </c>
      <c r="H345" s="985">
        <v>23700</v>
      </c>
      <c r="I345" s="1173">
        <v>16.5</v>
      </c>
      <c r="J345" s="985">
        <v>20700</v>
      </c>
      <c r="K345" s="1173">
        <v>12</v>
      </c>
      <c r="L345" s="985">
        <v>13700</v>
      </c>
      <c r="M345" s="1174">
        <f t="shared" si="116"/>
        <v>48.6</v>
      </c>
      <c r="N345" s="984">
        <f t="shared" si="117"/>
        <v>58100</v>
      </c>
      <c r="O345" s="986">
        <f t="shared" si="118"/>
        <v>165.50279329608941</v>
      </c>
      <c r="P345" s="987">
        <f t="shared" si="119"/>
        <v>144.55307262569835</v>
      </c>
      <c r="Q345" s="987">
        <f t="shared" si="120"/>
        <v>95.67039106145252</v>
      </c>
      <c r="R345" s="988">
        <f t="shared" si="121"/>
        <v>405.72625698324026</v>
      </c>
      <c r="S345" s="989">
        <v>143.19999999999999</v>
      </c>
      <c r="T345" s="990">
        <v>0</v>
      </c>
      <c r="U345" s="991">
        <v>187</v>
      </c>
      <c r="V345" s="991">
        <v>186</v>
      </c>
      <c r="W345" s="992">
        <f t="shared" si="122"/>
        <v>373</v>
      </c>
      <c r="X345" s="993">
        <f t="shared" si="123"/>
        <v>2.6047486033519553</v>
      </c>
      <c r="Y345" s="990">
        <v>1507</v>
      </c>
      <c r="Z345" s="991">
        <v>1373</v>
      </c>
      <c r="AA345" s="991">
        <v>986</v>
      </c>
      <c r="AB345" s="992">
        <f t="shared" si="124"/>
        <v>3866</v>
      </c>
      <c r="AC345" s="993">
        <f t="shared" si="125"/>
        <v>26.997206703910617</v>
      </c>
      <c r="AD345" s="994">
        <f t="shared" si="126"/>
        <v>4239</v>
      </c>
      <c r="AE345" s="995">
        <f t="shared" si="127"/>
        <v>29.601955307262571</v>
      </c>
      <c r="AF345" s="996">
        <v>61</v>
      </c>
      <c r="AG345" s="997">
        <v>65</v>
      </c>
      <c r="AH345" s="997">
        <v>9</v>
      </c>
      <c r="AI345" s="998">
        <f t="shared" si="128"/>
        <v>135</v>
      </c>
      <c r="AJ345" s="993">
        <f t="shared" si="129"/>
        <v>0.94273743016759781</v>
      </c>
    </row>
    <row r="346" spans="1:36" ht="16.5" customHeight="1">
      <c r="A346" s="999">
        <f>'09월 조업일지'!A344</f>
        <v>46277</v>
      </c>
      <c r="B346" s="1099">
        <f>'09월 조업일지'!B344</f>
        <v>46277</v>
      </c>
      <c r="C346" s="1000" t="str">
        <f>'09월 화학성분'!D344</f>
        <v>A</v>
      </c>
      <c r="D346" s="1000" t="str">
        <f>'09월 화학성분'!E344</f>
        <v>A</v>
      </c>
      <c r="E346" s="1000">
        <f>'09월 화학성분'!C344</f>
        <v>85546</v>
      </c>
      <c r="F346" s="1001" t="str">
        <f t="shared" si="115"/>
        <v>S355JO-01</v>
      </c>
      <c r="G346" s="1172">
        <v>19.399999999999999</v>
      </c>
      <c r="H346" s="985">
        <v>23100</v>
      </c>
      <c r="I346" s="1173">
        <v>16.899999999999999</v>
      </c>
      <c r="J346" s="985">
        <v>20700</v>
      </c>
      <c r="K346" s="1173">
        <v>9.6</v>
      </c>
      <c r="L346" s="985">
        <v>12200</v>
      </c>
      <c r="M346" s="1174">
        <f t="shared" si="116"/>
        <v>45.9</v>
      </c>
      <c r="N346" s="984">
        <f t="shared" si="117"/>
        <v>56000</v>
      </c>
      <c r="O346" s="986">
        <f t="shared" si="118"/>
        <v>159.53038674033147</v>
      </c>
      <c r="P346" s="987">
        <f t="shared" si="119"/>
        <v>142.95580110497235</v>
      </c>
      <c r="Q346" s="987">
        <f t="shared" si="120"/>
        <v>84.254143646408835</v>
      </c>
      <c r="R346" s="988">
        <f t="shared" si="121"/>
        <v>386.7403314917126</v>
      </c>
      <c r="S346" s="989">
        <v>144.80000000000001</v>
      </c>
      <c r="T346" s="990">
        <v>0</v>
      </c>
      <c r="U346" s="991">
        <v>152</v>
      </c>
      <c r="V346" s="991">
        <v>217</v>
      </c>
      <c r="W346" s="992">
        <f t="shared" si="122"/>
        <v>369</v>
      </c>
      <c r="X346" s="993">
        <f t="shared" si="123"/>
        <v>2.548342541436464</v>
      </c>
      <c r="Y346" s="990">
        <v>1601</v>
      </c>
      <c r="Z346" s="991">
        <v>1420</v>
      </c>
      <c r="AA346" s="991">
        <v>706</v>
      </c>
      <c r="AB346" s="992">
        <f t="shared" si="124"/>
        <v>3727</v>
      </c>
      <c r="AC346" s="993">
        <f t="shared" si="125"/>
        <v>25.738950276243092</v>
      </c>
      <c r="AD346" s="994">
        <f t="shared" si="126"/>
        <v>4096</v>
      </c>
      <c r="AE346" s="995">
        <f t="shared" si="127"/>
        <v>28.287292817679557</v>
      </c>
      <c r="AF346" s="996">
        <v>83</v>
      </c>
      <c r="AG346" s="997">
        <v>64</v>
      </c>
      <c r="AH346" s="997">
        <v>5</v>
      </c>
      <c r="AI346" s="998">
        <f t="shared" si="128"/>
        <v>152</v>
      </c>
      <c r="AJ346" s="993">
        <f t="shared" si="129"/>
        <v>1.0497237569060773</v>
      </c>
    </row>
    <row r="347" spans="1:36" ht="16.5" customHeight="1">
      <c r="A347" s="999">
        <f>'09월 조업일지'!A345</f>
        <v>46277</v>
      </c>
      <c r="B347" s="1099">
        <f>'09월 조업일지'!B345</f>
        <v>46277</v>
      </c>
      <c r="C347" s="1000" t="str">
        <f>'09월 화학성분'!D345</f>
        <v>A</v>
      </c>
      <c r="D347" s="1000" t="str">
        <f>'09월 화학성분'!E345</f>
        <v>B</v>
      </c>
      <c r="E347" s="1000">
        <f>'09월 화학성분'!C345</f>
        <v>85547</v>
      </c>
      <c r="F347" s="1001" t="str">
        <f t="shared" si="115"/>
        <v>S355JO-01</v>
      </c>
      <c r="G347" s="1172">
        <v>19.3</v>
      </c>
      <c r="H347" s="985">
        <v>23000</v>
      </c>
      <c r="I347" s="1173">
        <v>16.8</v>
      </c>
      <c r="J347" s="985">
        <v>20500</v>
      </c>
      <c r="K347" s="1173">
        <v>9.6</v>
      </c>
      <c r="L347" s="985">
        <v>12500</v>
      </c>
      <c r="M347" s="1174">
        <f t="shared" si="116"/>
        <v>45.7</v>
      </c>
      <c r="N347" s="984">
        <f t="shared" si="117"/>
        <v>56000</v>
      </c>
      <c r="O347" s="986">
        <f t="shared" si="118"/>
        <v>159.61138098542679</v>
      </c>
      <c r="P347" s="987">
        <f t="shared" si="119"/>
        <v>142.26231783483692</v>
      </c>
      <c r="Q347" s="987">
        <f t="shared" si="120"/>
        <v>86.745315752949338</v>
      </c>
      <c r="R347" s="988">
        <f t="shared" si="121"/>
        <v>388.61901457321306</v>
      </c>
      <c r="S347" s="989">
        <v>144.1</v>
      </c>
      <c r="T347" s="990">
        <v>0</v>
      </c>
      <c r="U347" s="991">
        <v>140</v>
      </c>
      <c r="V347" s="991">
        <v>207</v>
      </c>
      <c r="W347" s="992">
        <f t="shared" si="122"/>
        <v>347</v>
      </c>
      <c r="X347" s="993">
        <f t="shared" si="123"/>
        <v>2.4080499653018737</v>
      </c>
      <c r="Y347" s="990">
        <v>1626</v>
      </c>
      <c r="Z347" s="991">
        <v>1378</v>
      </c>
      <c r="AA347" s="991">
        <v>859</v>
      </c>
      <c r="AB347" s="992">
        <f t="shared" si="124"/>
        <v>3863</v>
      </c>
      <c r="AC347" s="993">
        <f t="shared" si="125"/>
        <v>26.807772380291464</v>
      </c>
      <c r="AD347" s="994">
        <f t="shared" si="126"/>
        <v>4210</v>
      </c>
      <c r="AE347" s="995">
        <f t="shared" si="127"/>
        <v>29.215822345593338</v>
      </c>
      <c r="AF347" s="996">
        <v>83</v>
      </c>
      <c r="AG347" s="997">
        <v>66</v>
      </c>
      <c r="AH347" s="997">
        <v>9</v>
      </c>
      <c r="AI347" s="998">
        <f t="shared" si="128"/>
        <v>158</v>
      </c>
      <c r="AJ347" s="993">
        <f t="shared" si="129"/>
        <v>1.0964607911172797</v>
      </c>
    </row>
    <row r="348" spans="1:36" ht="16.5" customHeight="1">
      <c r="A348" s="999">
        <f>'09월 조업일지'!A346</f>
        <v>46277</v>
      </c>
      <c r="B348" s="1099">
        <f>'09월 조업일지'!B346</f>
        <v>46277</v>
      </c>
      <c r="C348" s="1000" t="str">
        <f>'09월 화학성분'!D346</f>
        <v>B</v>
      </c>
      <c r="D348" s="1000" t="str">
        <f>'09월 화학성분'!E346</f>
        <v>A</v>
      </c>
      <c r="E348" s="1000">
        <f>'09월 화학성분'!C346</f>
        <v>85548</v>
      </c>
      <c r="F348" s="1001" t="str">
        <f t="shared" si="115"/>
        <v>S355JO-01</v>
      </c>
      <c r="G348" s="1172">
        <v>19.100000000000001</v>
      </c>
      <c r="H348" s="985">
        <v>22900</v>
      </c>
      <c r="I348" s="1173">
        <v>17.100000000000001</v>
      </c>
      <c r="J348" s="985">
        <v>20900</v>
      </c>
      <c r="K348" s="1173">
        <v>9.8000000000000007</v>
      </c>
      <c r="L348" s="985">
        <v>12500</v>
      </c>
      <c r="M348" s="1174">
        <f t="shared" si="116"/>
        <v>46</v>
      </c>
      <c r="N348" s="984">
        <f t="shared" si="117"/>
        <v>56300</v>
      </c>
      <c r="O348" s="986">
        <f t="shared" si="118"/>
        <v>155.57065217391306</v>
      </c>
      <c r="P348" s="987">
        <f t="shared" si="119"/>
        <v>141.98369565217394</v>
      </c>
      <c r="Q348" s="987">
        <f t="shared" si="120"/>
        <v>84.918478260869577</v>
      </c>
      <c r="R348" s="988">
        <f t="shared" si="121"/>
        <v>382.47282608695656</v>
      </c>
      <c r="S348" s="989">
        <v>147.19999999999999</v>
      </c>
      <c r="T348" s="990">
        <v>0</v>
      </c>
      <c r="U348" s="991">
        <v>96</v>
      </c>
      <c r="V348" s="991">
        <v>219</v>
      </c>
      <c r="W348" s="992">
        <f t="shared" si="122"/>
        <v>315</v>
      </c>
      <c r="X348" s="993">
        <f t="shared" si="123"/>
        <v>2.1399456521739131</v>
      </c>
      <c r="Y348" s="990">
        <v>1547</v>
      </c>
      <c r="Z348" s="991">
        <v>1425</v>
      </c>
      <c r="AA348" s="991">
        <v>802</v>
      </c>
      <c r="AB348" s="992">
        <f t="shared" si="124"/>
        <v>3774</v>
      </c>
      <c r="AC348" s="993">
        <f t="shared" si="125"/>
        <v>25.638586956521742</v>
      </c>
      <c r="AD348" s="994">
        <f t="shared" si="126"/>
        <v>4089</v>
      </c>
      <c r="AE348" s="995">
        <f t="shared" si="127"/>
        <v>27.778532608695656</v>
      </c>
      <c r="AF348" s="996">
        <v>81</v>
      </c>
      <c r="AG348" s="997">
        <v>66</v>
      </c>
      <c r="AH348" s="997">
        <v>7</v>
      </c>
      <c r="AI348" s="998">
        <f t="shared" si="128"/>
        <v>154</v>
      </c>
      <c r="AJ348" s="993">
        <f t="shared" si="129"/>
        <v>1.0461956521739131</v>
      </c>
    </row>
    <row r="349" spans="1:36" ht="16.5" customHeight="1">
      <c r="A349" s="999">
        <f>'09월 조업일지'!A347</f>
        <v>46277</v>
      </c>
      <c r="B349" s="1099">
        <f>'09월 조업일지'!B347</f>
        <v>46277</v>
      </c>
      <c r="C349" s="1000" t="str">
        <f>'09월 화학성분'!D347</f>
        <v>B</v>
      </c>
      <c r="D349" s="1000" t="str">
        <f>'09월 화학성분'!E347</f>
        <v>B</v>
      </c>
      <c r="E349" s="1000">
        <f>'09월 화학성분'!C347</f>
        <v>85549</v>
      </c>
      <c r="F349" s="1001" t="str">
        <f t="shared" si="115"/>
        <v>S355JO-01</v>
      </c>
      <c r="G349" s="1172">
        <v>19.2</v>
      </c>
      <c r="H349" s="985">
        <v>23000</v>
      </c>
      <c r="I349" s="1173">
        <v>16.399999999999999</v>
      </c>
      <c r="J349" s="985">
        <v>20300</v>
      </c>
      <c r="K349" s="1173">
        <v>9.4</v>
      </c>
      <c r="L349" s="985">
        <v>11900</v>
      </c>
      <c r="M349" s="1174">
        <f t="shared" si="116"/>
        <v>44.999999999999993</v>
      </c>
      <c r="N349" s="984">
        <f t="shared" si="117"/>
        <v>55200</v>
      </c>
      <c r="O349" s="986">
        <f t="shared" si="118"/>
        <v>161.85784658691063</v>
      </c>
      <c r="P349" s="987">
        <f t="shared" si="119"/>
        <v>142.85714285714286</v>
      </c>
      <c r="Q349" s="987">
        <f t="shared" si="120"/>
        <v>83.743842364532028</v>
      </c>
      <c r="R349" s="988">
        <f t="shared" si="121"/>
        <v>388.4588318085855</v>
      </c>
      <c r="S349" s="989">
        <v>142.1</v>
      </c>
      <c r="T349" s="990">
        <v>0</v>
      </c>
      <c r="U349" s="991">
        <v>0</v>
      </c>
      <c r="V349" s="991">
        <v>415</v>
      </c>
      <c r="W349" s="992">
        <f t="shared" si="122"/>
        <v>415</v>
      </c>
      <c r="X349" s="993">
        <f t="shared" si="123"/>
        <v>2.9204785362420833</v>
      </c>
      <c r="Y349" s="990">
        <v>1608</v>
      </c>
      <c r="Z349" s="991">
        <v>1355</v>
      </c>
      <c r="AA349" s="991">
        <v>832</v>
      </c>
      <c r="AB349" s="992">
        <f t="shared" si="124"/>
        <v>3795</v>
      </c>
      <c r="AC349" s="993">
        <f t="shared" si="125"/>
        <v>26.706544686840253</v>
      </c>
      <c r="AD349" s="994">
        <f t="shared" si="126"/>
        <v>4210</v>
      </c>
      <c r="AE349" s="995">
        <f t="shared" si="127"/>
        <v>29.627023223082336</v>
      </c>
      <c r="AF349" s="996">
        <v>84</v>
      </c>
      <c r="AG349" s="997">
        <v>64</v>
      </c>
      <c r="AH349" s="997">
        <v>7</v>
      </c>
      <c r="AI349" s="998">
        <f t="shared" si="128"/>
        <v>155</v>
      </c>
      <c r="AJ349" s="993">
        <f t="shared" si="129"/>
        <v>1.0907811400422238</v>
      </c>
    </row>
    <row r="350" spans="1:36" ht="16.5" customHeight="1">
      <c r="A350" s="999">
        <f>'09월 조업일지'!A348</f>
        <v>46277</v>
      </c>
      <c r="B350" s="1099">
        <f>'09월 조업일지'!B348</f>
        <v>46277</v>
      </c>
      <c r="C350" s="1000" t="str">
        <f>'09월 화학성분'!D348</f>
        <v>B</v>
      </c>
      <c r="D350" s="1000" t="str">
        <f>'09월 화학성분'!E348</f>
        <v>A</v>
      </c>
      <c r="E350" s="1000">
        <f>'09월 화학성분'!C348</f>
        <v>85550</v>
      </c>
      <c r="F350" s="1001" t="str">
        <f t="shared" si="115"/>
        <v>S355JO-01</v>
      </c>
      <c r="G350" s="1172">
        <v>19.2</v>
      </c>
      <c r="H350" s="985">
        <v>22900</v>
      </c>
      <c r="I350" s="1173">
        <v>16.600000000000001</v>
      </c>
      <c r="J350" s="985">
        <v>20600</v>
      </c>
      <c r="K350" s="1173">
        <v>10</v>
      </c>
      <c r="L350" s="985">
        <v>12600</v>
      </c>
      <c r="M350" s="1174">
        <f t="shared" si="116"/>
        <v>45.8</v>
      </c>
      <c r="N350" s="984">
        <f t="shared" si="117"/>
        <v>56100</v>
      </c>
      <c r="O350" s="986">
        <f t="shared" si="118"/>
        <v>154.31266846361186</v>
      </c>
      <c r="P350" s="987">
        <f t="shared" si="119"/>
        <v>138.81401617250674</v>
      </c>
      <c r="Q350" s="987">
        <f t="shared" si="120"/>
        <v>84.905660377358487</v>
      </c>
      <c r="R350" s="988">
        <f t="shared" si="121"/>
        <v>378.03234501347708</v>
      </c>
      <c r="S350" s="989">
        <v>148.4</v>
      </c>
      <c r="T350" s="990">
        <v>0</v>
      </c>
      <c r="U350" s="991">
        <v>0</v>
      </c>
      <c r="V350" s="991">
        <v>329</v>
      </c>
      <c r="W350" s="992">
        <f t="shared" si="122"/>
        <v>329</v>
      </c>
      <c r="X350" s="993">
        <f t="shared" si="123"/>
        <v>2.2169811320754715</v>
      </c>
      <c r="Y350" s="990">
        <v>1574</v>
      </c>
      <c r="Z350" s="991">
        <v>1368</v>
      </c>
      <c r="AA350" s="991">
        <v>724</v>
      </c>
      <c r="AB350" s="992">
        <f t="shared" si="124"/>
        <v>3666</v>
      </c>
      <c r="AC350" s="993">
        <f t="shared" si="125"/>
        <v>24.703504043126685</v>
      </c>
      <c r="AD350" s="994">
        <f t="shared" si="126"/>
        <v>3995</v>
      </c>
      <c r="AE350" s="995">
        <f t="shared" si="127"/>
        <v>26.920485175202156</v>
      </c>
      <c r="AF350" s="996">
        <v>83</v>
      </c>
      <c r="AG350" s="997">
        <v>64</v>
      </c>
      <c r="AH350" s="997">
        <v>5</v>
      </c>
      <c r="AI350" s="998">
        <f t="shared" si="128"/>
        <v>152</v>
      </c>
      <c r="AJ350" s="993">
        <f t="shared" si="129"/>
        <v>1.0242587601078166</v>
      </c>
    </row>
    <row r="351" spans="1:36" ht="16.5" customHeight="1">
      <c r="A351" s="999">
        <f>'09월 조업일지'!A349</f>
        <v>46277</v>
      </c>
      <c r="B351" s="1099">
        <f>'09월 조업일지'!B349</f>
        <v>46277</v>
      </c>
      <c r="C351" s="1000" t="str">
        <f>'09월 화학성분'!D349</f>
        <v>B</v>
      </c>
      <c r="D351" s="1000" t="str">
        <f>'09월 화학성분'!E349</f>
        <v>B</v>
      </c>
      <c r="E351" s="1000">
        <f>'09월 화학성분'!C349</f>
        <v>85551</v>
      </c>
      <c r="F351" s="1001" t="str">
        <f t="shared" si="115"/>
        <v>S355JO-01</v>
      </c>
      <c r="G351" s="1172">
        <v>21.4</v>
      </c>
      <c r="H351" s="985">
        <v>22900</v>
      </c>
      <c r="I351" s="1173">
        <v>16.8</v>
      </c>
      <c r="J351" s="985">
        <v>20600</v>
      </c>
      <c r="K351" s="1173">
        <v>8.9</v>
      </c>
      <c r="L351" s="985">
        <v>11500</v>
      </c>
      <c r="M351" s="1174">
        <f t="shared" si="116"/>
        <v>47.1</v>
      </c>
      <c r="N351" s="984">
        <f t="shared" si="117"/>
        <v>55000</v>
      </c>
      <c r="O351" s="986">
        <f t="shared" si="118"/>
        <v>159.24895688456189</v>
      </c>
      <c r="P351" s="987">
        <f t="shared" si="119"/>
        <v>143.25452016689846</v>
      </c>
      <c r="Q351" s="987">
        <f t="shared" si="120"/>
        <v>79.972183588317094</v>
      </c>
      <c r="R351" s="988">
        <f t="shared" si="121"/>
        <v>382.4756606397774</v>
      </c>
      <c r="S351" s="989">
        <v>143.80000000000001</v>
      </c>
      <c r="T351" s="990">
        <v>0</v>
      </c>
      <c r="U351" s="991">
        <v>0</v>
      </c>
      <c r="V351" s="991">
        <v>348</v>
      </c>
      <c r="W351" s="992">
        <f t="shared" si="122"/>
        <v>348</v>
      </c>
      <c r="X351" s="993">
        <f t="shared" si="123"/>
        <v>2.4200278164116829</v>
      </c>
      <c r="Y351" s="990">
        <v>1840</v>
      </c>
      <c r="Z351" s="991">
        <v>1435</v>
      </c>
      <c r="AA351" s="991">
        <v>753</v>
      </c>
      <c r="AB351" s="992">
        <f t="shared" si="124"/>
        <v>4028</v>
      </c>
      <c r="AC351" s="993">
        <f t="shared" si="125"/>
        <v>28.011126564673155</v>
      </c>
      <c r="AD351" s="994">
        <f t="shared" si="126"/>
        <v>4376</v>
      </c>
      <c r="AE351" s="995">
        <f t="shared" si="127"/>
        <v>30.431154381084838</v>
      </c>
      <c r="AF351" s="996">
        <v>93</v>
      </c>
      <c r="AG351" s="997">
        <v>77</v>
      </c>
      <c r="AH351" s="997">
        <v>6</v>
      </c>
      <c r="AI351" s="998">
        <f t="shared" si="128"/>
        <v>176</v>
      </c>
      <c r="AJ351" s="993">
        <f t="shared" si="129"/>
        <v>1.2239221140472878</v>
      </c>
    </row>
    <row r="352" spans="1:36" ht="16.5" customHeight="1">
      <c r="A352" s="999">
        <f>'09월 조업일지'!A350</f>
        <v>46277</v>
      </c>
      <c r="B352" s="1099">
        <f>'09월 조업일지'!B350</f>
        <v>46277</v>
      </c>
      <c r="C352" s="1000" t="str">
        <f>'09월 화학성분'!D350</f>
        <v>B</v>
      </c>
      <c r="D352" s="1000" t="str">
        <f>'09월 화학성분'!E350</f>
        <v>A</v>
      </c>
      <c r="E352" s="1000">
        <f>'09월 화학성분'!C350</f>
        <v>85552</v>
      </c>
      <c r="F352" s="1001" t="str">
        <f t="shared" si="115"/>
        <v>S355JO-01</v>
      </c>
      <c r="G352" s="1172">
        <v>19.2</v>
      </c>
      <c r="H352" s="985">
        <v>22900</v>
      </c>
      <c r="I352" s="1173">
        <v>16.7</v>
      </c>
      <c r="J352" s="985">
        <v>20700</v>
      </c>
      <c r="K352" s="1173">
        <v>10.1</v>
      </c>
      <c r="L352" s="985">
        <v>12800</v>
      </c>
      <c r="M352" s="1174">
        <f t="shared" si="116"/>
        <v>46</v>
      </c>
      <c r="N352" s="984">
        <f t="shared" si="117"/>
        <v>56400</v>
      </c>
      <c r="O352" s="986">
        <f t="shared" si="118"/>
        <v>155.04400812457686</v>
      </c>
      <c r="P352" s="987">
        <f t="shared" si="119"/>
        <v>140.14895057549086</v>
      </c>
      <c r="Q352" s="987">
        <f t="shared" si="120"/>
        <v>86.662153012863925</v>
      </c>
      <c r="R352" s="988">
        <f t="shared" si="121"/>
        <v>381.85511171293166</v>
      </c>
      <c r="S352" s="989">
        <v>147.69999999999999</v>
      </c>
      <c r="T352" s="990">
        <v>0</v>
      </c>
      <c r="U352" s="991">
        <v>0</v>
      </c>
      <c r="V352" s="991">
        <v>361</v>
      </c>
      <c r="W352" s="992">
        <f t="shared" si="122"/>
        <v>361</v>
      </c>
      <c r="X352" s="993">
        <f t="shared" si="123"/>
        <v>2.4441435341909279</v>
      </c>
      <c r="Y352" s="990">
        <v>1557</v>
      </c>
      <c r="Z352" s="991">
        <v>1390</v>
      </c>
      <c r="AA352" s="991">
        <v>670</v>
      </c>
      <c r="AB352" s="992">
        <f t="shared" si="124"/>
        <v>3617</v>
      </c>
      <c r="AC352" s="993">
        <f t="shared" si="125"/>
        <v>24.488828706838188</v>
      </c>
      <c r="AD352" s="994">
        <f t="shared" si="126"/>
        <v>3978</v>
      </c>
      <c r="AE352" s="995">
        <f t="shared" si="127"/>
        <v>26.932972241029116</v>
      </c>
      <c r="AF352" s="996">
        <v>85</v>
      </c>
      <c r="AG352" s="997">
        <v>63</v>
      </c>
      <c r="AH352" s="997">
        <v>5</v>
      </c>
      <c r="AI352" s="998">
        <f t="shared" si="128"/>
        <v>153</v>
      </c>
      <c r="AJ352" s="993">
        <f t="shared" si="129"/>
        <v>1.0358835477318891</v>
      </c>
    </row>
    <row r="353" spans="1:36" ht="16.5" customHeight="1">
      <c r="A353" s="999">
        <f>'09월 조업일지'!A351</f>
        <v>46277</v>
      </c>
      <c r="B353" s="1099">
        <f>'09월 조업일지'!B351</f>
        <v>46277</v>
      </c>
      <c r="C353" s="1000" t="str">
        <f>'09월 화학성분'!D351</f>
        <v>B</v>
      </c>
      <c r="D353" s="1000" t="str">
        <f>'09월 화학성분'!E351</f>
        <v>B</v>
      </c>
      <c r="E353" s="1000">
        <f>'09월 화학성분'!C351</f>
        <v>85553</v>
      </c>
      <c r="F353" s="1001" t="str">
        <f t="shared" si="115"/>
        <v>S355JO-01</v>
      </c>
      <c r="G353" s="1172">
        <v>20.2</v>
      </c>
      <c r="H353" s="985">
        <v>24200</v>
      </c>
      <c r="I353" s="1173">
        <v>16.600000000000001</v>
      </c>
      <c r="J353" s="985">
        <v>20600</v>
      </c>
      <c r="K353" s="1173">
        <v>8.8000000000000007</v>
      </c>
      <c r="L353" s="985">
        <v>11300</v>
      </c>
      <c r="M353" s="1174">
        <f t="shared" si="116"/>
        <v>45.599999999999994</v>
      </c>
      <c r="N353" s="984">
        <f t="shared" si="117"/>
        <v>56100</v>
      </c>
      <c r="O353" s="986">
        <f t="shared" si="118"/>
        <v>167.3582295988935</v>
      </c>
      <c r="P353" s="987">
        <f t="shared" si="119"/>
        <v>142.46196403872753</v>
      </c>
      <c r="Q353" s="987">
        <f t="shared" si="120"/>
        <v>78.146611341632095</v>
      </c>
      <c r="R353" s="988">
        <f t="shared" si="121"/>
        <v>387.96680497925314</v>
      </c>
      <c r="S353" s="989">
        <v>144.6</v>
      </c>
      <c r="T353" s="990">
        <v>0</v>
      </c>
      <c r="U353" s="991">
        <v>0</v>
      </c>
      <c r="V353" s="991">
        <v>345</v>
      </c>
      <c r="W353" s="992">
        <f t="shared" si="122"/>
        <v>345</v>
      </c>
      <c r="X353" s="993">
        <f t="shared" si="123"/>
        <v>2.3858921161825726</v>
      </c>
      <c r="Y353" s="990">
        <v>1665</v>
      </c>
      <c r="Z353" s="991">
        <v>1448</v>
      </c>
      <c r="AA353" s="991">
        <v>674</v>
      </c>
      <c r="AB353" s="992">
        <f t="shared" si="124"/>
        <v>3787</v>
      </c>
      <c r="AC353" s="993">
        <f t="shared" si="125"/>
        <v>26.189488243430151</v>
      </c>
      <c r="AD353" s="994">
        <f t="shared" si="126"/>
        <v>4132</v>
      </c>
      <c r="AE353" s="995">
        <f t="shared" si="127"/>
        <v>28.575380359612726</v>
      </c>
      <c r="AF353" s="996">
        <v>88</v>
      </c>
      <c r="AG353" s="997">
        <v>75</v>
      </c>
      <c r="AH353" s="997">
        <v>5</v>
      </c>
      <c r="AI353" s="998">
        <f t="shared" si="128"/>
        <v>168</v>
      </c>
      <c r="AJ353" s="993">
        <f t="shared" si="129"/>
        <v>1.1618257261410789</v>
      </c>
    </row>
    <row r="354" spans="1:36" ht="16.5" customHeight="1">
      <c r="A354" s="999">
        <f>'09월 조업일지'!A352</f>
        <v>46278</v>
      </c>
      <c r="B354" s="1099">
        <f>'09월 조업일지'!B352</f>
        <v>46277</v>
      </c>
      <c r="C354" s="1000" t="str">
        <f>'09월 화학성분'!D352</f>
        <v>B</v>
      </c>
      <c r="D354" s="1000" t="str">
        <f>'09월 화학성분'!E352</f>
        <v>A</v>
      </c>
      <c r="E354" s="1000">
        <f>'09월 화학성분'!C352</f>
        <v>85554</v>
      </c>
      <c r="F354" s="1001" t="str">
        <f t="shared" si="115"/>
        <v>S355JO-01</v>
      </c>
      <c r="G354" s="1172">
        <v>19</v>
      </c>
      <c r="H354" s="985">
        <v>22800</v>
      </c>
      <c r="I354" s="1173">
        <v>17</v>
      </c>
      <c r="J354" s="985">
        <v>20600</v>
      </c>
      <c r="K354" s="1173">
        <v>9.1999999999999993</v>
      </c>
      <c r="L354" s="985">
        <v>11800</v>
      </c>
      <c r="M354" s="1174">
        <f t="shared" si="116"/>
        <v>45.2</v>
      </c>
      <c r="N354" s="984">
        <f t="shared" si="117"/>
        <v>55200</v>
      </c>
      <c r="O354" s="986">
        <f t="shared" si="118"/>
        <v>158.44336344683808</v>
      </c>
      <c r="P354" s="987">
        <f t="shared" si="119"/>
        <v>143.15496872828354</v>
      </c>
      <c r="Q354" s="987">
        <f t="shared" si="120"/>
        <v>82.001389854065323</v>
      </c>
      <c r="R354" s="988">
        <f t="shared" si="121"/>
        <v>383.59972202918698</v>
      </c>
      <c r="S354" s="989">
        <v>143.9</v>
      </c>
      <c r="T354" s="990">
        <v>0</v>
      </c>
      <c r="U354" s="991">
        <v>20</v>
      </c>
      <c r="V354" s="991">
        <v>583</v>
      </c>
      <c r="W354" s="992">
        <f t="shared" si="122"/>
        <v>603</v>
      </c>
      <c r="X354" s="993">
        <f t="shared" si="123"/>
        <v>4.1904100069492705</v>
      </c>
      <c r="Y354" s="990">
        <v>1562</v>
      </c>
      <c r="Z354" s="991">
        <v>1405</v>
      </c>
      <c r="AA354" s="991">
        <v>705</v>
      </c>
      <c r="AB354" s="992">
        <f t="shared" si="124"/>
        <v>3672</v>
      </c>
      <c r="AC354" s="993">
        <f t="shared" si="125"/>
        <v>25.517720639332868</v>
      </c>
      <c r="AD354" s="994">
        <f t="shared" si="126"/>
        <v>4275</v>
      </c>
      <c r="AE354" s="995">
        <f t="shared" si="127"/>
        <v>29.70813064628214</v>
      </c>
      <c r="AF354" s="996">
        <v>82</v>
      </c>
      <c r="AG354" s="997">
        <v>66</v>
      </c>
      <c r="AH354" s="997">
        <v>5</v>
      </c>
      <c r="AI354" s="998">
        <f t="shared" si="128"/>
        <v>153</v>
      </c>
      <c r="AJ354" s="993">
        <f t="shared" si="129"/>
        <v>1.0632383599722028</v>
      </c>
    </row>
    <row r="355" spans="1:36" ht="16.5" customHeight="1">
      <c r="A355" s="999">
        <f>'09월 조업일지'!A353</f>
        <v>46278</v>
      </c>
      <c r="B355" s="1099">
        <f>'09월 조업일지'!B353</f>
        <v>46277</v>
      </c>
      <c r="C355" s="1000" t="str">
        <f>'09월 화학성분'!D353</f>
        <v>B</v>
      </c>
      <c r="D355" s="1000" t="str">
        <f>'09월 화학성분'!E353</f>
        <v>B</v>
      </c>
      <c r="E355" s="1000">
        <f>'09월 화학성분'!C353</f>
        <v>85555</v>
      </c>
      <c r="F355" s="1001" t="str">
        <f t="shared" si="115"/>
        <v>S355JO-01</v>
      </c>
      <c r="G355" s="1172">
        <v>18.8</v>
      </c>
      <c r="H355" s="985">
        <v>22500</v>
      </c>
      <c r="I355" s="1173">
        <v>16.3</v>
      </c>
      <c r="J355" s="985">
        <v>20400</v>
      </c>
      <c r="K355" s="1173">
        <v>10.8</v>
      </c>
      <c r="L355" s="985">
        <v>13900</v>
      </c>
      <c r="M355" s="1174">
        <f t="shared" si="116"/>
        <v>45.900000000000006</v>
      </c>
      <c r="N355" s="984">
        <f t="shared" si="117"/>
        <v>56800</v>
      </c>
      <c r="O355" s="986">
        <f t="shared" si="118"/>
        <v>155.60165975103735</v>
      </c>
      <c r="P355" s="987">
        <f t="shared" si="119"/>
        <v>141.07883817427387</v>
      </c>
      <c r="Q355" s="987">
        <f t="shared" si="120"/>
        <v>96.127247579529737</v>
      </c>
      <c r="R355" s="988">
        <f t="shared" si="121"/>
        <v>392.80774550484097</v>
      </c>
      <c r="S355" s="989">
        <v>144.6</v>
      </c>
      <c r="T355" s="990">
        <v>0</v>
      </c>
      <c r="U355" s="991">
        <v>0</v>
      </c>
      <c r="V355" s="991">
        <v>533</v>
      </c>
      <c r="W355" s="992">
        <f t="shared" si="122"/>
        <v>533</v>
      </c>
      <c r="X355" s="993">
        <f t="shared" si="123"/>
        <v>3.6860304287690182</v>
      </c>
      <c r="Y355" s="990">
        <v>1536</v>
      </c>
      <c r="Z355" s="991">
        <v>1436</v>
      </c>
      <c r="AA355" s="991">
        <v>996</v>
      </c>
      <c r="AB355" s="992">
        <f t="shared" si="124"/>
        <v>3968</v>
      </c>
      <c r="AC355" s="993">
        <f t="shared" si="125"/>
        <v>27.441217150760721</v>
      </c>
      <c r="AD355" s="994">
        <f t="shared" si="126"/>
        <v>4501</v>
      </c>
      <c r="AE355" s="995">
        <f t="shared" si="127"/>
        <v>31.127247579529737</v>
      </c>
      <c r="AF355" s="996">
        <v>87</v>
      </c>
      <c r="AG355" s="997">
        <v>74</v>
      </c>
      <c r="AH355" s="997">
        <v>9</v>
      </c>
      <c r="AI355" s="998">
        <f t="shared" si="128"/>
        <v>170</v>
      </c>
      <c r="AJ355" s="993">
        <f t="shared" si="129"/>
        <v>1.1756569847856155</v>
      </c>
    </row>
    <row r="356" spans="1:36" ht="16.5" customHeight="1">
      <c r="A356" s="999">
        <f>'09월 조업일지'!A354</f>
        <v>46278</v>
      </c>
      <c r="B356" s="1099">
        <f>'09월 조업일지'!B354</f>
        <v>46277</v>
      </c>
      <c r="C356" s="1000" t="str">
        <f>'09월 화학성분'!D354</f>
        <v>B</v>
      </c>
      <c r="D356" s="1000" t="str">
        <f>'09월 화학성분'!E354</f>
        <v>A</v>
      </c>
      <c r="E356" s="1000">
        <f>'09월 화학성분'!C354</f>
        <v>85556</v>
      </c>
      <c r="F356" s="1001" t="str">
        <f t="shared" si="115"/>
        <v>S355JO-01</v>
      </c>
      <c r="G356" s="1172">
        <v>20.2</v>
      </c>
      <c r="H356" s="985">
        <v>24600</v>
      </c>
      <c r="I356" s="1173">
        <v>17.100000000000001</v>
      </c>
      <c r="J356" s="985">
        <v>20700</v>
      </c>
      <c r="K356" s="1173">
        <v>10.9</v>
      </c>
      <c r="L356" s="985">
        <v>13600</v>
      </c>
      <c r="M356" s="1174">
        <f t="shared" si="116"/>
        <v>48.199999999999996</v>
      </c>
      <c r="N356" s="984">
        <f t="shared" si="117"/>
        <v>58900</v>
      </c>
      <c r="O356" s="986">
        <f t="shared" si="118"/>
        <v>169.65517241379311</v>
      </c>
      <c r="P356" s="987">
        <f t="shared" si="119"/>
        <v>142.75862068965517</v>
      </c>
      <c r="Q356" s="987">
        <f t="shared" si="120"/>
        <v>93.793103448275858</v>
      </c>
      <c r="R356" s="988">
        <f t="shared" si="121"/>
        <v>406.20689655172413</v>
      </c>
      <c r="S356" s="989">
        <v>145</v>
      </c>
      <c r="T356" s="990">
        <v>0</v>
      </c>
      <c r="U356" s="991">
        <v>129</v>
      </c>
      <c r="V356" s="991">
        <v>228</v>
      </c>
      <c r="W356" s="992">
        <f t="shared" si="122"/>
        <v>357</v>
      </c>
      <c r="X356" s="993">
        <f t="shared" si="123"/>
        <v>2.4620689655172412</v>
      </c>
      <c r="Y356" s="990">
        <v>1726</v>
      </c>
      <c r="Z356" s="991">
        <v>1384</v>
      </c>
      <c r="AA356" s="991">
        <v>657</v>
      </c>
      <c r="AB356" s="992">
        <f t="shared" si="124"/>
        <v>3767</v>
      </c>
      <c r="AC356" s="993">
        <f t="shared" si="125"/>
        <v>25.979310344827585</v>
      </c>
      <c r="AD356" s="994">
        <f t="shared" si="126"/>
        <v>4124</v>
      </c>
      <c r="AE356" s="995">
        <f t="shared" si="127"/>
        <v>28.441379310344828</v>
      </c>
      <c r="AF356" s="996">
        <v>85</v>
      </c>
      <c r="AG356" s="997">
        <v>65</v>
      </c>
      <c r="AH356" s="997">
        <v>6</v>
      </c>
      <c r="AI356" s="998">
        <f t="shared" si="128"/>
        <v>156</v>
      </c>
      <c r="AJ356" s="993">
        <f t="shared" si="129"/>
        <v>1.0758620689655172</v>
      </c>
    </row>
    <row r="357" spans="1:36" ht="16.5" customHeight="1">
      <c r="A357" s="999">
        <f>'09월 조업일지'!A355</f>
        <v>46278</v>
      </c>
      <c r="B357" s="1099">
        <f>'09월 조업일지'!B355</f>
        <v>46277</v>
      </c>
      <c r="C357" s="1000" t="str">
        <f>'09월 화학성분'!D355</f>
        <v>B</v>
      </c>
      <c r="D357" s="1000" t="str">
        <f>'09월 화학성분'!E355</f>
        <v>B</v>
      </c>
      <c r="E357" s="1000">
        <f>'09월 화학성분'!C355</f>
        <v>85557</v>
      </c>
      <c r="F357" s="1001" t="str">
        <f t="shared" si="115"/>
        <v>S355JO-01</v>
      </c>
      <c r="G357" s="1172">
        <v>19.100000000000001</v>
      </c>
      <c r="H357" s="985">
        <v>23200</v>
      </c>
      <c r="I357" s="1173">
        <v>16.600000000000001</v>
      </c>
      <c r="J357" s="985">
        <v>20500</v>
      </c>
      <c r="K357" s="1173">
        <v>10.6</v>
      </c>
      <c r="L357" s="985">
        <v>13500</v>
      </c>
      <c r="M357" s="1174">
        <f t="shared" si="116"/>
        <v>46.300000000000004</v>
      </c>
      <c r="N357" s="984">
        <f t="shared" si="117"/>
        <v>57200</v>
      </c>
      <c r="O357" s="986">
        <f t="shared" si="118"/>
        <v>158.57826384142172</v>
      </c>
      <c r="P357" s="987">
        <f t="shared" si="119"/>
        <v>140.12303485987695</v>
      </c>
      <c r="Q357" s="987">
        <f t="shared" si="120"/>
        <v>92.276144907723847</v>
      </c>
      <c r="R357" s="988">
        <f t="shared" si="121"/>
        <v>390.97744360902254</v>
      </c>
      <c r="S357" s="989">
        <v>146.30000000000001</v>
      </c>
      <c r="T357" s="990">
        <v>0</v>
      </c>
      <c r="U357" s="991">
        <v>0</v>
      </c>
      <c r="V357" s="991">
        <v>274</v>
      </c>
      <c r="W357" s="992">
        <f t="shared" si="122"/>
        <v>274</v>
      </c>
      <c r="X357" s="993">
        <f t="shared" si="123"/>
        <v>1.8728639781271359</v>
      </c>
      <c r="Y357" s="990">
        <v>1618</v>
      </c>
      <c r="Z357" s="991">
        <v>1438</v>
      </c>
      <c r="AA357" s="991">
        <v>695</v>
      </c>
      <c r="AB357" s="992">
        <f t="shared" si="124"/>
        <v>3751</v>
      </c>
      <c r="AC357" s="993">
        <f t="shared" si="125"/>
        <v>25.6390977443609</v>
      </c>
      <c r="AD357" s="994">
        <f t="shared" si="126"/>
        <v>4025</v>
      </c>
      <c r="AE357" s="995">
        <f t="shared" si="127"/>
        <v>27.511961722488035</v>
      </c>
      <c r="AF357" s="996">
        <v>83</v>
      </c>
      <c r="AG357" s="997">
        <v>76</v>
      </c>
      <c r="AH357" s="997">
        <v>5</v>
      </c>
      <c r="AI357" s="998">
        <f t="shared" si="128"/>
        <v>164</v>
      </c>
      <c r="AJ357" s="993">
        <f t="shared" si="129"/>
        <v>1.1209842788790156</v>
      </c>
    </row>
    <row r="358" spans="1:36" ht="16.5" customHeight="1">
      <c r="A358" s="999">
        <f>'09월 조업일지'!A356</f>
        <v>46278</v>
      </c>
      <c r="B358" s="1099">
        <f>'09월 조업일지'!B356</f>
        <v>46278</v>
      </c>
      <c r="C358" s="1000" t="str">
        <f>'09월 화학성분'!D356</f>
        <v>D</v>
      </c>
      <c r="D358" s="1000" t="str">
        <f>'09월 화학성분'!E356</f>
        <v>A</v>
      </c>
      <c r="E358" s="1000">
        <f>'09월 화학성분'!C356</f>
        <v>85558</v>
      </c>
      <c r="F358" s="1238" t="s">
        <v>711</v>
      </c>
      <c r="G358" s="1172">
        <v>18.7</v>
      </c>
      <c r="H358" s="985">
        <v>22600</v>
      </c>
      <c r="I358" s="1173">
        <v>17</v>
      </c>
      <c r="J358" s="985">
        <v>20700</v>
      </c>
      <c r="K358" s="1173">
        <v>9.1</v>
      </c>
      <c r="L358" s="985">
        <v>11600</v>
      </c>
      <c r="M358" s="1174">
        <f t="shared" si="116"/>
        <v>44.800000000000004</v>
      </c>
      <c r="N358" s="984">
        <f t="shared" si="117"/>
        <v>54900</v>
      </c>
      <c r="O358" s="986">
        <f t="shared" si="118"/>
        <v>156.40138408304497</v>
      </c>
      <c r="P358" s="987">
        <f t="shared" si="119"/>
        <v>143.25259515570934</v>
      </c>
      <c r="Q358" s="987">
        <f t="shared" si="120"/>
        <v>80.27681660899654</v>
      </c>
      <c r="R358" s="988">
        <f t="shared" si="121"/>
        <v>379.93079584775091</v>
      </c>
      <c r="S358" s="989">
        <v>144.5</v>
      </c>
      <c r="T358" s="990">
        <v>0</v>
      </c>
      <c r="U358" s="991">
        <v>19</v>
      </c>
      <c r="V358" s="991">
        <v>315</v>
      </c>
      <c r="W358" s="992">
        <f t="shared" si="122"/>
        <v>334</v>
      </c>
      <c r="X358" s="993">
        <f t="shared" si="123"/>
        <v>2.3114186851211072</v>
      </c>
      <c r="Y358" s="990">
        <v>1516</v>
      </c>
      <c r="Z358" s="991">
        <v>1400</v>
      </c>
      <c r="AA358" s="991">
        <v>763</v>
      </c>
      <c r="AB358" s="992">
        <f t="shared" si="124"/>
        <v>3679</v>
      </c>
      <c r="AC358" s="993">
        <f t="shared" si="125"/>
        <v>25.460207612456749</v>
      </c>
      <c r="AD358" s="994">
        <f t="shared" si="126"/>
        <v>4013</v>
      </c>
      <c r="AE358" s="995">
        <f t="shared" si="127"/>
        <v>27.771626297577853</v>
      </c>
      <c r="AF358" s="996">
        <v>83</v>
      </c>
      <c r="AG358" s="997">
        <v>65</v>
      </c>
      <c r="AH358" s="997">
        <v>5</v>
      </c>
      <c r="AI358" s="998">
        <f t="shared" si="128"/>
        <v>153</v>
      </c>
      <c r="AJ358" s="993">
        <f t="shared" si="129"/>
        <v>1.0588235294117647</v>
      </c>
    </row>
    <row r="359" spans="1:36" ht="16.5" customHeight="1">
      <c r="A359" s="999">
        <f>'09월 조업일지'!A357</f>
        <v>46278</v>
      </c>
      <c r="B359" s="1099">
        <f>'09월 조업일지'!B357</f>
        <v>46278</v>
      </c>
      <c r="C359" s="1000" t="str">
        <f>'09월 화학성분'!D357</f>
        <v>D</v>
      </c>
      <c r="D359" s="1000" t="str">
        <f>'09월 화학성분'!E357</f>
        <v>B</v>
      </c>
      <c r="E359" s="1000">
        <f>'09월 화학성분'!C357</f>
        <v>85559</v>
      </c>
      <c r="F359" s="1001" t="str">
        <f t="shared" si="115"/>
        <v>A572-50-03</v>
      </c>
      <c r="G359" s="1172">
        <v>18.899999999999999</v>
      </c>
      <c r="H359" s="985">
        <v>22500</v>
      </c>
      <c r="I359" s="1173">
        <v>16.2</v>
      </c>
      <c r="J359" s="985">
        <v>20500</v>
      </c>
      <c r="K359" s="1173">
        <v>9</v>
      </c>
      <c r="L359" s="985">
        <v>11600</v>
      </c>
      <c r="M359" s="1174">
        <f t="shared" si="116"/>
        <v>44.099999999999994</v>
      </c>
      <c r="N359" s="984">
        <f t="shared" si="117"/>
        <v>54600</v>
      </c>
      <c r="O359" s="986">
        <f t="shared" si="118"/>
        <v>156.03328710124828</v>
      </c>
      <c r="P359" s="987">
        <f t="shared" si="119"/>
        <v>142.16366158113732</v>
      </c>
      <c r="Q359" s="987">
        <f t="shared" si="120"/>
        <v>80.44382801664355</v>
      </c>
      <c r="R359" s="988">
        <f t="shared" si="121"/>
        <v>378.64077669902917</v>
      </c>
      <c r="S359" s="989">
        <v>144.19999999999999</v>
      </c>
      <c r="T359" s="990">
        <v>0</v>
      </c>
      <c r="U359" s="991">
        <v>0</v>
      </c>
      <c r="V359" s="991">
        <v>334</v>
      </c>
      <c r="W359" s="992">
        <f t="shared" si="122"/>
        <v>334</v>
      </c>
      <c r="X359" s="993">
        <f t="shared" si="123"/>
        <v>2.3162274618585301</v>
      </c>
      <c r="Y359" s="990">
        <v>1550</v>
      </c>
      <c r="Z359" s="991">
        <v>1449</v>
      </c>
      <c r="AA359" s="991">
        <v>855</v>
      </c>
      <c r="AB359" s="992">
        <f t="shared" si="124"/>
        <v>3854</v>
      </c>
      <c r="AC359" s="993">
        <f t="shared" si="125"/>
        <v>26.726768377253816</v>
      </c>
      <c r="AD359" s="994">
        <f t="shared" si="126"/>
        <v>4188</v>
      </c>
      <c r="AE359" s="995">
        <f t="shared" si="127"/>
        <v>29.042995839112347</v>
      </c>
      <c r="AF359" s="996">
        <v>83</v>
      </c>
      <c r="AG359" s="997">
        <v>75</v>
      </c>
      <c r="AH359" s="997">
        <v>7</v>
      </c>
      <c r="AI359" s="998">
        <f t="shared" si="128"/>
        <v>165</v>
      </c>
      <c r="AJ359" s="993">
        <f t="shared" si="129"/>
        <v>1.1442441054091541</v>
      </c>
    </row>
    <row r="360" spans="1:36" ht="16.5" customHeight="1">
      <c r="A360" s="999">
        <f>'09월 조업일지'!A358</f>
        <v>46278</v>
      </c>
      <c r="B360" s="1099">
        <f>'09월 조업일지'!B358</f>
        <v>46278</v>
      </c>
      <c r="C360" s="1000" t="str">
        <f>'09월 화학성분'!D358</f>
        <v>D</v>
      </c>
      <c r="D360" s="1000" t="str">
        <f>'09월 화학성분'!E358</f>
        <v>A</v>
      </c>
      <c r="E360" s="1000">
        <f>'09월 화학성분'!C358</f>
        <v>85560</v>
      </c>
      <c r="F360" s="1001" t="str">
        <f t="shared" si="115"/>
        <v>A572-50-03</v>
      </c>
      <c r="G360" s="1172">
        <v>18.8</v>
      </c>
      <c r="H360" s="985">
        <v>22600</v>
      </c>
      <c r="I360" s="1173">
        <v>16.399999999999999</v>
      </c>
      <c r="J360" s="985">
        <v>20600</v>
      </c>
      <c r="K360" s="1173">
        <v>8.9</v>
      </c>
      <c r="L360" s="985">
        <v>11400</v>
      </c>
      <c r="M360" s="1174">
        <f t="shared" si="116"/>
        <v>44.1</v>
      </c>
      <c r="N360" s="984">
        <f t="shared" si="117"/>
        <v>54600</v>
      </c>
      <c r="O360" s="986">
        <f t="shared" si="118"/>
        <v>157.38161559888579</v>
      </c>
      <c r="P360" s="987">
        <f t="shared" si="119"/>
        <v>143.4540389972145</v>
      </c>
      <c r="Q360" s="987">
        <f t="shared" si="120"/>
        <v>79.387186629526468</v>
      </c>
      <c r="R360" s="988">
        <f t="shared" si="121"/>
        <v>380.22284122562678</v>
      </c>
      <c r="S360" s="989">
        <v>143.6</v>
      </c>
      <c r="T360" s="990">
        <v>0</v>
      </c>
      <c r="U360" s="991">
        <v>28</v>
      </c>
      <c r="V360" s="991">
        <v>308</v>
      </c>
      <c r="W360" s="992">
        <f t="shared" si="122"/>
        <v>336</v>
      </c>
      <c r="X360" s="993">
        <f t="shared" si="123"/>
        <v>2.3398328690807801</v>
      </c>
      <c r="Y360" s="990">
        <v>1537</v>
      </c>
      <c r="Z360" s="991">
        <v>1389</v>
      </c>
      <c r="AA360" s="991">
        <v>763</v>
      </c>
      <c r="AB360" s="992">
        <f t="shared" si="124"/>
        <v>3689</v>
      </c>
      <c r="AC360" s="993">
        <f t="shared" si="125"/>
        <v>25.68941504178273</v>
      </c>
      <c r="AD360" s="994">
        <f t="shared" si="126"/>
        <v>4025</v>
      </c>
      <c r="AE360" s="995">
        <f t="shared" si="127"/>
        <v>28.029247910863511</v>
      </c>
      <c r="AF360" s="996">
        <v>81</v>
      </c>
      <c r="AG360" s="997">
        <v>65</v>
      </c>
      <c r="AH360" s="997">
        <v>5</v>
      </c>
      <c r="AI360" s="998">
        <f t="shared" si="128"/>
        <v>151</v>
      </c>
      <c r="AJ360" s="993">
        <f t="shared" si="129"/>
        <v>1.051532033426184</v>
      </c>
    </row>
    <row r="361" spans="1:36" ht="16.5" customHeight="1">
      <c r="A361" s="999">
        <f>'09월 조업일지'!A359</f>
        <v>46278</v>
      </c>
      <c r="B361" s="1099">
        <f>'09월 조업일지'!B359</f>
        <v>46278</v>
      </c>
      <c r="C361" s="1000" t="str">
        <f>'09월 화학성분'!D359</f>
        <v>D</v>
      </c>
      <c r="D361" s="1000" t="str">
        <f>'09월 화학성분'!E359</f>
        <v>B</v>
      </c>
      <c r="E361" s="1000">
        <f>'09월 화학성분'!C359</f>
        <v>85561</v>
      </c>
      <c r="F361" s="1001" t="str">
        <f t="shared" si="115"/>
        <v>A572-50-03</v>
      </c>
      <c r="G361" s="1172">
        <v>18.600000000000001</v>
      </c>
      <c r="H361" s="985">
        <v>22500</v>
      </c>
      <c r="I361" s="1173">
        <v>16</v>
      </c>
      <c r="J361" s="985">
        <v>20300</v>
      </c>
      <c r="K361" s="1173">
        <v>8.1</v>
      </c>
      <c r="L361" s="985">
        <v>10300</v>
      </c>
      <c r="M361" s="1174">
        <f t="shared" si="116"/>
        <v>42.7</v>
      </c>
      <c r="N361" s="984">
        <f t="shared" si="117"/>
        <v>53100</v>
      </c>
      <c r="O361" s="986">
        <f t="shared" si="118"/>
        <v>153.89876880984954</v>
      </c>
      <c r="P361" s="987">
        <f t="shared" si="119"/>
        <v>138.85088919288646</v>
      </c>
      <c r="Q361" s="987">
        <f t="shared" si="120"/>
        <v>70.451436388508895</v>
      </c>
      <c r="R361" s="988">
        <f t="shared" si="121"/>
        <v>363.20109439124491</v>
      </c>
      <c r="S361" s="989">
        <v>146.19999999999999</v>
      </c>
      <c r="T361" s="990">
        <v>0</v>
      </c>
      <c r="U361" s="991">
        <v>0</v>
      </c>
      <c r="V361" s="991">
        <v>345</v>
      </c>
      <c r="W361" s="992">
        <f t="shared" si="122"/>
        <v>345</v>
      </c>
      <c r="X361" s="993">
        <f t="shared" si="123"/>
        <v>2.3597811217510261</v>
      </c>
      <c r="Y361" s="990">
        <v>1529</v>
      </c>
      <c r="Z361" s="991">
        <v>1416</v>
      </c>
      <c r="AA361" s="991">
        <v>793</v>
      </c>
      <c r="AB361" s="992">
        <f t="shared" si="124"/>
        <v>3738</v>
      </c>
      <c r="AC361" s="993">
        <f t="shared" si="125"/>
        <v>25.567715458276336</v>
      </c>
      <c r="AD361" s="994">
        <f t="shared" si="126"/>
        <v>4083</v>
      </c>
      <c r="AE361" s="995">
        <f t="shared" si="127"/>
        <v>27.927496580027363</v>
      </c>
      <c r="AF361" s="996">
        <v>80</v>
      </c>
      <c r="AG361" s="997">
        <v>78</v>
      </c>
      <c r="AH361" s="997">
        <v>7</v>
      </c>
      <c r="AI361" s="998">
        <f t="shared" si="128"/>
        <v>165</v>
      </c>
      <c r="AJ361" s="993">
        <f t="shared" si="129"/>
        <v>1.12859097127223</v>
      </c>
    </row>
    <row r="362" spans="1:36" ht="16.5" customHeight="1">
      <c r="A362" s="999">
        <f>'09월 조업일지'!A360</f>
        <v>46278</v>
      </c>
      <c r="B362" s="1099">
        <f>'09월 조업일지'!B360</f>
        <v>46278</v>
      </c>
      <c r="C362" s="1000" t="str">
        <f>'09월 화학성분'!D360</f>
        <v>D</v>
      </c>
      <c r="D362" s="1000" t="str">
        <f>'09월 화학성분'!E360</f>
        <v>A</v>
      </c>
      <c r="E362" s="1000">
        <f>'09월 화학성분'!C360</f>
        <v>85562</v>
      </c>
      <c r="F362" s="1001" t="str">
        <f t="shared" si="115"/>
        <v>A572-50-03</v>
      </c>
      <c r="G362" s="1172">
        <v>18.8</v>
      </c>
      <c r="H362" s="985">
        <v>22800</v>
      </c>
      <c r="I362" s="1173">
        <v>16.600000000000001</v>
      </c>
      <c r="J362" s="985">
        <v>20600</v>
      </c>
      <c r="K362" s="1173">
        <v>9.3000000000000007</v>
      </c>
      <c r="L362" s="985">
        <v>11800</v>
      </c>
      <c r="M362" s="1174">
        <f t="shared" si="116"/>
        <v>44.7</v>
      </c>
      <c r="N362" s="984">
        <f t="shared" si="117"/>
        <v>55200</v>
      </c>
      <c r="O362" s="986">
        <f t="shared" si="118"/>
        <v>157.02479338842977</v>
      </c>
      <c r="P362" s="987">
        <f t="shared" si="119"/>
        <v>141.87327823691462</v>
      </c>
      <c r="Q362" s="987">
        <f t="shared" si="120"/>
        <v>81.267217630854006</v>
      </c>
      <c r="R362" s="988">
        <f t="shared" si="121"/>
        <v>380.16528925619843</v>
      </c>
      <c r="S362" s="989">
        <v>145.19999999999999</v>
      </c>
      <c r="T362" s="990">
        <v>0</v>
      </c>
      <c r="U362" s="991">
        <v>17</v>
      </c>
      <c r="V362" s="991">
        <v>309</v>
      </c>
      <c r="W362" s="992">
        <f t="shared" si="122"/>
        <v>326</v>
      </c>
      <c r="X362" s="993">
        <f t="shared" si="123"/>
        <v>2.2451790633608817</v>
      </c>
      <c r="Y362" s="990">
        <v>1573</v>
      </c>
      <c r="Z362" s="991">
        <v>1372</v>
      </c>
      <c r="AA362" s="991">
        <v>672</v>
      </c>
      <c r="AB362" s="992">
        <f t="shared" si="124"/>
        <v>3617</v>
      </c>
      <c r="AC362" s="993">
        <f t="shared" si="125"/>
        <v>24.910468319559232</v>
      </c>
      <c r="AD362" s="994">
        <f t="shared" si="126"/>
        <v>3943</v>
      </c>
      <c r="AE362" s="995">
        <f t="shared" si="127"/>
        <v>27.155647382920112</v>
      </c>
      <c r="AF362" s="996">
        <v>81</v>
      </c>
      <c r="AG362" s="997">
        <v>64</v>
      </c>
      <c r="AH362" s="997">
        <v>5</v>
      </c>
      <c r="AI362" s="998">
        <f t="shared" si="128"/>
        <v>150</v>
      </c>
      <c r="AJ362" s="993">
        <f t="shared" si="129"/>
        <v>1.0330578512396695</v>
      </c>
    </row>
    <row r="363" spans="1:36" ht="16.5" customHeight="1">
      <c r="A363" s="999">
        <f>'09월 조업일지'!A361</f>
        <v>46278</v>
      </c>
      <c r="B363" s="1099">
        <f>'09월 조업일지'!B361</f>
        <v>46278</v>
      </c>
      <c r="C363" s="1000" t="str">
        <f>'09월 화학성분'!D361</f>
        <v>D</v>
      </c>
      <c r="D363" s="1000" t="str">
        <f>'09월 화학성분'!E361</f>
        <v>B</v>
      </c>
      <c r="E363" s="1000">
        <f>'09월 화학성분'!C361</f>
        <v>85563</v>
      </c>
      <c r="F363" s="1001" t="str">
        <f t="shared" si="115"/>
        <v>A572-50-03</v>
      </c>
      <c r="G363" s="1172">
        <v>19.399999999999999</v>
      </c>
      <c r="H363" s="985">
        <v>22400</v>
      </c>
      <c r="I363" s="1173">
        <v>16.2</v>
      </c>
      <c r="J363" s="985">
        <v>20400</v>
      </c>
      <c r="K363" s="1173">
        <v>9.9</v>
      </c>
      <c r="L363" s="985">
        <v>12700</v>
      </c>
      <c r="M363" s="1174">
        <f t="shared" si="116"/>
        <v>45.499999999999993</v>
      </c>
      <c r="N363" s="984">
        <f t="shared" si="117"/>
        <v>55500</v>
      </c>
      <c r="O363" s="986">
        <f t="shared" si="118"/>
        <v>152.79672578444749</v>
      </c>
      <c r="P363" s="987">
        <f t="shared" si="119"/>
        <v>139.15416098226467</v>
      </c>
      <c r="Q363" s="987">
        <f t="shared" si="120"/>
        <v>86.630286493860851</v>
      </c>
      <c r="R363" s="988">
        <f t="shared" si="121"/>
        <v>378.58117326057305</v>
      </c>
      <c r="S363" s="989">
        <v>146.6</v>
      </c>
      <c r="T363" s="990">
        <v>0</v>
      </c>
      <c r="U363" s="991">
        <v>6</v>
      </c>
      <c r="V363" s="991">
        <v>352</v>
      </c>
      <c r="W363" s="992">
        <f t="shared" si="122"/>
        <v>358</v>
      </c>
      <c r="X363" s="993">
        <f t="shared" si="123"/>
        <v>2.4420190995907229</v>
      </c>
      <c r="Y363" s="990">
        <v>1600</v>
      </c>
      <c r="Z363" s="991">
        <v>1419</v>
      </c>
      <c r="AA363" s="991">
        <v>969</v>
      </c>
      <c r="AB363" s="992">
        <f t="shared" si="124"/>
        <v>3988</v>
      </c>
      <c r="AC363" s="993">
        <f t="shared" si="125"/>
        <v>27.203274215552526</v>
      </c>
      <c r="AD363" s="994">
        <f t="shared" si="126"/>
        <v>4346</v>
      </c>
      <c r="AE363" s="995">
        <f t="shared" si="127"/>
        <v>29.645293315143249</v>
      </c>
      <c r="AF363" s="996">
        <v>87</v>
      </c>
      <c r="AG363" s="997">
        <v>74</v>
      </c>
      <c r="AH363" s="997">
        <v>9</v>
      </c>
      <c r="AI363" s="998">
        <f t="shared" si="128"/>
        <v>170</v>
      </c>
      <c r="AJ363" s="993">
        <f t="shared" si="129"/>
        <v>1.159618008185539</v>
      </c>
    </row>
    <row r="364" spans="1:36" ht="16.5" customHeight="1">
      <c r="A364" s="999">
        <f>'09월 조업일지'!A362</f>
        <v>46278</v>
      </c>
      <c r="B364" s="1099">
        <f>'09월 조업일지'!B362</f>
        <v>46278</v>
      </c>
      <c r="C364" s="1000" t="str">
        <f>'09월 화학성분'!D362</f>
        <v>D</v>
      </c>
      <c r="D364" s="1000" t="str">
        <f>'09월 화학성분'!E362</f>
        <v>A</v>
      </c>
      <c r="E364" s="1000">
        <f>'09월 화학성분'!C362</f>
        <v>85564</v>
      </c>
      <c r="F364" s="1001" t="str">
        <f t="shared" si="115"/>
        <v>A572-50-03</v>
      </c>
      <c r="G364" s="1172">
        <v>19.100000000000001</v>
      </c>
      <c r="H364" s="985">
        <v>22300</v>
      </c>
      <c r="I364" s="1173">
        <v>16.8</v>
      </c>
      <c r="J364" s="985">
        <v>20700</v>
      </c>
      <c r="K364" s="1173">
        <v>7.8</v>
      </c>
      <c r="L364" s="985">
        <v>10000</v>
      </c>
      <c r="M364" s="1174">
        <f t="shared" si="116"/>
        <v>43.7</v>
      </c>
      <c r="N364" s="984">
        <f t="shared" si="117"/>
        <v>53000</v>
      </c>
      <c r="O364" s="986">
        <f t="shared" si="118"/>
        <v>154.21853388658369</v>
      </c>
      <c r="P364" s="987">
        <f t="shared" si="119"/>
        <v>143.15352697095437</v>
      </c>
      <c r="Q364" s="987">
        <f t="shared" si="120"/>
        <v>69.15629322268326</v>
      </c>
      <c r="R364" s="988">
        <f t="shared" si="121"/>
        <v>366.52835408022128</v>
      </c>
      <c r="S364" s="989">
        <v>144.6</v>
      </c>
      <c r="T364" s="990">
        <v>0</v>
      </c>
      <c r="U364" s="991">
        <v>19</v>
      </c>
      <c r="V364" s="991">
        <v>307</v>
      </c>
      <c r="W364" s="992">
        <f t="shared" si="122"/>
        <v>326</v>
      </c>
      <c r="X364" s="993">
        <f t="shared" si="123"/>
        <v>2.2544951590594744</v>
      </c>
      <c r="Y364" s="990">
        <v>1583</v>
      </c>
      <c r="Z364" s="991">
        <v>1402</v>
      </c>
      <c r="AA364" s="991">
        <v>738</v>
      </c>
      <c r="AB364" s="992">
        <f t="shared" si="124"/>
        <v>3723</v>
      </c>
      <c r="AC364" s="993">
        <f t="shared" si="125"/>
        <v>25.74688796680498</v>
      </c>
      <c r="AD364" s="994">
        <f t="shared" si="126"/>
        <v>4049</v>
      </c>
      <c r="AE364" s="995">
        <f t="shared" si="127"/>
        <v>28.001383125864454</v>
      </c>
      <c r="AF364" s="996">
        <v>85</v>
      </c>
      <c r="AG364" s="997">
        <v>66</v>
      </c>
      <c r="AH364" s="997">
        <v>7</v>
      </c>
      <c r="AI364" s="998">
        <f t="shared" si="128"/>
        <v>158</v>
      </c>
      <c r="AJ364" s="993">
        <f t="shared" si="129"/>
        <v>1.0926694329183957</v>
      </c>
    </row>
    <row r="365" spans="1:36" ht="16.5" customHeight="1">
      <c r="A365" s="999">
        <f>'09월 조업일지'!A363</f>
        <v>46278</v>
      </c>
      <c r="B365" s="1099">
        <f>'09월 조업일지'!B363</f>
        <v>46278</v>
      </c>
      <c r="C365" s="1000" t="str">
        <f>'09월 화학성분'!D363</f>
        <v>D</v>
      </c>
      <c r="D365" s="1000" t="str">
        <f>'09월 화학성분'!E363</f>
        <v>B</v>
      </c>
      <c r="E365" s="1000">
        <f>'09월 화학성분'!C363</f>
        <v>85565</v>
      </c>
      <c r="F365" s="1001" t="str">
        <f t="shared" si="115"/>
        <v>A572-50-03</v>
      </c>
      <c r="G365" s="1172">
        <v>18.5</v>
      </c>
      <c r="H365" s="985">
        <v>22300</v>
      </c>
      <c r="I365" s="1173">
        <v>16.3</v>
      </c>
      <c r="J365" s="985">
        <v>20400</v>
      </c>
      <c r="K365" s="1173">
        <v>8.6</v>
      </c>
      <c r="L365" s="985">
        <v>10900</v>
      </c>
      <c r="M365" s="1174">
        <f t="shared" si="116"/>
        <v>43.4</v>
      </c>
      <c r="N365" s="984">
        <f t="shared" si="117"/>
        <v>53600</v>
      </c>
      <c r="O365" s="986">
        <f t="shared" si="118"/>
        <v>152.63518138261466</v>
      </c>
      <c r="P365" s="987">
        <f t="shared" si="119"/>
        <v>139.63039014373717</v>
      </c>
      <c r="Q365" s="987">
        <f t="shared" si="120"/>
        <v>74.606433949349764</v>
      </c>
      <c r="R365" s="988">
        <f t="shared" si="121"/>
        <v>366.8720054757016</v>
      </c>
      <c r="S365" s="989">
        <v>146.1</v>
      </c>
      <c r="T365" s="990">
        <v>0</v>
      </c>
      <c r="U365" s="991">
        <v>0</v>
      </c>
      <c r="V365" s="991">
        <v>317</v>
      </c>
      <c r="W365" s="992">
        <f t="shared" si="122"/>
        <v>317</v>
      </c>
      <c r="X365" s="993">
        <f t="shared" si="123"/>
        <v>2.1697467488021904</v>
      </c>
      <c r="Y365" s="990">
        <v>1543</v>
      </c>
      <c r="Z365" s="991">
        <v>1420</v>
      </c>
      <c r="AA365" s="991">
        <v>820</v>
      </c>
      <c r="AB365" s="992">
        <f t="shared" si="124"/>
        <v>3783</v>
      </c>
      <c r="AC365" s="993">
        <f t="shared" si="125"/>
        <v>25.893223819301848</v>
      </c>
      <c r="AD365" s="994">
        <f t="shared" si="126"/>
        <v>4100</v>
      </c>
      <c r="AE365" s="995">
        <f t="shared" si="127"/>
        <v>28.062970568104038</v>
      </c>
      <c r="AF365" s="996">
        <v>81</v>
      </c>
      <c r="AG365" s="997">
        <v>77</v>
      </c>
      <c r="AH365" s="997">
        <v>7</v>
      </c>
      <c r="AI365" s="998">
        <f t="shared" si="128"/>
        <v>165</v>
      </c>
      <c r="AJ365" s="993">
        <f t="shared" si="129"/>
        <v>1.1293634496919918</v>
      </c>
    </row>
    <row r="366" spans="1:36" ht="16.5" customHeight="1">
      <c r="A366" s="999">
        <f>'09월 조업일지'!A364</f>
        <v>46278</v>
      </c>
      <c r="B366" s="1099">
        <f>'09월 조업일지'!B364</f>
        <v>46278</v>
      </c>
      <c r="C366" s="1000" t="str">
        <f>'09월 화학성분'!D364</f>
        <v>D</v>
      </c>
      <c r="D366" s="1000" t="str">
        <f>'09월 화학성분'!E364</f>
        <v>A</v>
      </c>
      <c r="E366" s="1000">
        <f>'09월 화학성분'!C364</f>
        <v>85566</v>
      </c>
      <c r="F366" s="1001" t="str">
        <f t="shared" si="115"/>
        <v>A572-50-03</v>
      </c>
      <c r="G366" s="1172">
        <v>19.399999999999999</v>
      </c>
      <c r="H366" s="985">
        <v>22900</v>
      </c>
      <c r="I366" s="1173">
        <v>17</v>
      </c>
      <c r="J366" s="985">
        <v>20600</v>
      </c>
      <c r="K366" s="1173">
        <v>8.8000000000000007</v>
      </c>
      <c r="L366" s="985">
        <v>11100</v>
      </c>
      <c r="M366" s="1174">
        <f t="shared" si="116"/>
        <v>45.2</v>
      </c>
      <c r="N366" s="984">
        <f t="shared" si="117"/>
        <v>54600</v>
      </c>
      <c r="O366" s="986">
        <f t="shared" si="118"/>
        <v>156.63474692202465</v>
      </c>
      <c r="P366" s="987">
        <f t="shared" si="119"/>
        <v>140.90287277701779</v>
      </c>
      <c r="Q366" s="987">
        <f t="shared" si="120"/>
        <v>75.923392612859104</v>
      </c>
      <c r="R366" s="988">
        <f t="shared" si="121"/>
        <v>373.46101231190158</v>
      </c>
      <c r="S366" s="989">
        <v>146.19999999999999</v>
      </c>
      <c r="T366" s="990">
        <v>0</v>
      </c>
      <c r="U366" s="991">
        <v>0</v>
      </c>
      <c r="V366" s="991">
        <v>309</v>
      </c>
      <c r="W366" s="992">
        <f t="shared" si="122"/>
        <v>309</v>
      </c>
      <c r="X366" s="993">
        <f t="shared" si="123"/>
        <v>2.1135430916552669</v>
      </c>
      <c r="Y366" s="990">
        <v>1609</v>
      </c>
      <c r="Z366" s="991">
        <v>1387</v>
      </c>
      <c r="AA366" s="991">
        <v>730</v>
      </c>
      <c r="AB366" s="992">
        <f t="shared" si="124"/>
        <v>3726</v>
      </c>
      <c r="AC366" s="993">
        <f t="shared" si="125"/>
        <v>25.485636114911081</v>
      </c>
      <c r="AD366" s="994">
        <f t="shared" si="126"/>
        <v>4035</v>
      </c>
      <c r="AE366" s="995">
        <f t="shared" si="127"/>
        <v>27.599179206566351</v>
      </c>
      <c r="AF366" s="996">
        <v>85</v>
      </c>
      <c r="AG366" s="997">
        <v>66</v>
      </c>
      <c r="AH366" s="997">
        <v>6</v>
      </c>
      <c r="AI366" s="998">
        <f t="shared" si="128"/>
        <v>157</v>
      </c>
      <c r="AJ366" s="993">
        <f t="shared" si="129"/>
        <v>1.0738714090287278</v>
      </c>
    </row>
    <row r="367" spans="1:36" ht="16.5" customHeight="1">
      <c r="A367" s="999">
        <f>'09월 조업일지'!A365</f>
        <v>46278</v>
      </c>
      <c r="B367" s="1099">
        <f>'09월 조업일지'!B365</f>
        <v>46278</v>
      </c>
      <c r="C367" s="1000" t="str">
        <f>'09월 화학성분'!D365</f>
        <v>D</v>
      </c>
      <c r="D367" s="1000" t="str">
        <f>'09월 화학성분'!E365</f>
        <v>B</v>
      </c>
      <c r="E367" s="1000">
        <f>'09월 화학성분'!C365</f>
        <v>85567</v>
      </c>
      <c r="F367" s="1001" t="str">
        <f t="shared" si="115"/>
        <v>A572-50-03</v>
      </c>
      <c r="G367" s="1172">
        <v>19.5</v>
      </c>
      <c r="H367" s="985">
        <v>23400</v>
      </c>
      <c r="I367" s="1173">
        <v>16.399999999999999</v>
      </c>
      <c r="J367" s="985">
        <v>20200</v>
      </c>
      <c r="K367" s="1173">
        <v>10.199999999999999</v>
      </c>
      <c r="L367" s="985">
        <v>12900</v>
      </c>
      <c r="M367" s="1174">
        <f t="shared" si="116"/>
        <v>46.099999999999994</v>
      </c>
      <c r="N367" s="984">
        <f t="shared" si="117"/>
        <v>56500</v>
      </c>
      <c r="O367" s="986">
        <f t="shared" si="118"/>
        <v>159.29203539823007</v>
      </c>
      <c r="P367" s="987">
        <f t="shared" si="119"/>
        <v>137.50850918992512</v>
      </c>
      <c r="Q367" s="987">
        <f t="shared" si="120"/>
        <v>87.814840027229408</v>
      </c>
      <c r="R367" s="988">
        <f t="shared" si="121"/>
        <v>384.61538461538458</v>
      </c>
      <c r="S367" s="989">
        <v>146.9</v>
      </c>
      <c r="T367" s="990">
        <v>0</v>
      </c>
      <c r="U367" s="991">
        <v>0</v>
      </c>
      <c r="V367" s="991">
        <v>353</v>
      </c>
      <c r="W367" s="992">
        <f t="shared" si="122"/>
        <v>353</v>
      </c>
      <c r="X367" s="993">
        <f t="shared" si="123"/>
        <v>2.4029952348536416</v>
      </c>
      <c r="Y367" s="990">
        <v>1629</v>
      </c>
      <c r="Z367" s="991">
        <v>1425</v>
      </c>
      <c r="AA367" s="991">
        <v>866</v>
      </c>
      <c r="AB367" s="992">
        <f t="shared" si="124"/>
        <v>3920</v>
      </c>
      <c r="AC367" s="993">
        <f t="shared" si="125"/>
        <v>26.684819605173587</v>
      </c>
      <c r="AD367" s="994">
        <f t="shared" si="126"/>
        <v>4273</v>
      </c>
      <c r="AE367" s="995">
        <f t="shared" si="127"/>
        <v>29.087814840027228</v>
      </c>
      <c r="AF367" s="996">
        <v>84</v>
      </c>
      <c r="AG367" s="997">
        <v>74</v>
      </c>
      <c r="AH367" s="997">
        <v>8</v>
      </c>
      <c r="AI367" s="998">
        <f t="shared" si="128"/>
        <v>166</v>
      </c>
      <c r="AJ367" s="993">
        <f t="shared" si="129"/>
        <v>1.1300204220558203</v>
      </c>
    </row>
    <row r="368" spans="1:36" ht="16.5" customHeight="1">
      <c r="A368" s="999">
        <f>'09월 조업일지'!A366</f>
        <v>46278</v>
      </c>
      <c r="B368" s="1099">
        <f>'09월 조업일지'!B366</f>
        <v>46278</v>
      </c>
      <c r="C368" s="1000" t="str">
        <f>'09월 화학성분'!D366</f>
        <v>A</v>
      </c>
      <c r="D368" s="1000" t="str">
        <f>'09월 화학성분'!E366</f>
        <v>A</v>
      </c>
      <c r="E368" s="1000">
        <f>'09월 화학성분'!C366</f>
        <v>85568</v>
      </c>
      <c r="F368" s="1001" t="str">
        <f t="shared" si="115"/>
        <v>A572-50-03</v>
      </c>
      <c r="G368" s="1172">
        <v>19.899999999999999</v>
      </c>
      <c r="H368" s="985">
        <v>23400</v>
      </c>
      <c r="I368" s="1173">
        <v>16.899999999999999</v>
      </c>
      <c r="J368" s="985">
        <v>20700</v>
      </c>
      <c r="K368" s="1173">
        <v>11.3</v>
      </c>
      <c r="L368" s="985">
        <v>14200</v>
      </c>
      <c r="M368" s="1174">
        <f t="shared" si="116"/>
        <v>48.099999999999994</v>
      </c>
      <c r="N368" s="984">
        <f t="shared" si="117"/>
        <v>58300</v>
      </c>
      <c r="O368" s="986">
        <f t="shared" si="118"/>
        <v>159.61800818553888</v>
      </c>
      <c r="P368" s="987">
        <f t="shared" si="119"/>
        <v>141.20054570259208</v>
      </c>
      <c r="Q368" s="987">
        <f t="shared" si="120"/>
        <v>96.862210095497957</v>
      </c>
      <c r="R368" s="988">
        <f t="shared" si="121"/>
        <v>397.68076398362894</v>
      </c>
      <c r="S368" s="989">
        <v>146.6</v>
      </c>
      <c r="T368" s="990">
        <v>0</v>
      </c>
      <c r="U368" s="991">
        <v>100</v>
      </c>
      <c r="V368" s="991">
        <v>237</v>
      </c>
      <c r="W368" s="992">
        <f t="shared" si="122"/>
        <v>337</v>
      </c>
      <c r="X368" s="993">
        <f t="shared" si="123"/>
        <v>2.2987721691678038</v>
      </c>
      <c r="Y368" s="990">
        <v>1652</v>
      </c>
      <c r="Z368" s="991">
        <v>1396</v>
      </c>
      <c r="AA368" s="991">
        <v>777</v>
      </c>
      <c r="AB368" s="992">
        <f t="shared" si="124"/>
        <v>3825</v>
      </c>
      <c r="AC368" s="993">
        <f t="shared" si="125"/>
        <v>26.091405184174626</v>
      </c>
      <c r="AD368" s="994">
        <f t="shared" si="126"/>
        <v>4162</v>
      </c>
      <c r="AE368" s="995">
        <f t="shared" si="127"/>
        <v>28.39017735334243</v>
      </c>
      <c r="AF368" s="996">
        <v>85</v>
      </c>
      <c r="AG368" s="997">
        <v>65</v>
      </c>
      <c r="AH368" s="997">
        <v>7</v>
      </c>
      <c r="AI368" s="998">
        <f t="shared" si="128"/>
        <v>157</v>
      </c>
      <c r="AJ368" s="993">
        <f t="shared" si="129"/>
        <v>1.0709413369713507</v>
      </c>
    </row>
    <row r="369" spans="1:36" ht="16.5" customHeight="1">
      <c r="A369" s="999">
        <f>'09월 조업일지'!A367</f>
        <v>46278</v>
      </c>
      <c r="B369" s="1099">
        <f>'09월 조업일지'!B367</f>
        <v>46278</v>
      </c>
      <c r="C369" s="1000" t="str">
        <f>'09월 화학성분'!D367</f>
        <v>A</v>
      </c>
      <c r="D369" s="1000" t="str">
        <f>'09월 화학성분'!E367</f>
        <v>B</v>
      </c>
      <c r="E369" s="1000">
        <f>'09월 화학성분'!C367</f>
        <v>85569</v>
      </c>
      <c r="F369" s="1104" t="s">
        <v>639</v>
      </c>
      <c r="G369" s="1172">
        <v>18.3</v>
      </c>
      <c r="H369" s="985">
        <v>22600</v>
      </c>
      <c r="I369" s="1173">
        <v>16.399999999999999</v>
      </c>
      <c r="J369" s="985">
        <v>20500</v>
      </c>
      <c r="K369" s="1173">
        <v>9.3000000000000007</v>
      </c>
      <c r="L369" s="985">
        <v>12100</v>
      </c>
      <c r="M369" s="1174">
        <f t="shared" si="116"/>
        <v>44</v>
      </c>
      <c r="N369" s="984">
        <f t="shared" si="117"/>
        <v>55200</v>
      </c>
      <c r="O369" s="986">
        <f t="shared" si="118"/>
        <v>157.2720946416145</v>
      </c>
      <c r="P369" s="987">
        <f t="shared" si="119"/>
        <v>142.65831593597775</v>
      </c>
      <c r="Q369" s="987">
        <f t="shared" si="120"/>
        <v>84.203201113430765</v>
      </c>
      <c r="R369" s="988">
        <f t="shared" si="121"/>
        <v>384.13361169102302</v>
      </c>
      <c r="S369" s="989">
        <v>143.69999999999999</v>
      </c>
      <c r="T369" s="990">
        <v>0</v>
      </c>
      <c r="U369" s="991">
        <v>103</v>
      </c>
      <c r="V369" s="991">
        <v>266</v>
      </c>
      <c r="W369" s="992">
        <f t="shared" si="122"/>
        <v>369</v>
      </c>
      <c r="X369" s="993">
        <f t="shared" si="123"/>
        <v>2.5678496868475995</v>
      </c>
      <c r="Y369" s="990">
        <v>1525</v>
      </c>
      <c r="Z369" s="991">
        <v>1412</v>
      </c>
      <c r="AA369" s="991">
        <v>847</v>
      </c>
      <c r="AB369" s="992">
        <f t="shared" si="124"/>
        <v>3784</v>
      </c>
      <c r="AC369" s="993">
        <f t="shared" si="125"/>
        <v>26.332637439109259</v>
      </c>
      <c r="AD369" s="994">
        <f t="shared" si="126"/>
        <v>4153</v>
      </c>
      <c r="AE369" s="995">
        <f t="shared" si="127"/>
        <v>28.900487125956857</v>
      </c>
      <c r="AF369" s="996">
        <v>80</v>
      </c>
      <c r="AG369" s="997">
        <v>76</v>
      </c>
      <c r="AH369" s="997">
        <v>8</v>
      </c>
      <c r="AI369" s="998">
        <f t="shared" si="128"/>
        <v>164</v>
      </c>
      <c r="AJ369" s="993">
        <f t="shared" si="129"/>
        <v>1.141266527487822</v>
      </c>
    </row>
    <row r="370" spans="1:36" ht="16.5" customHeight="1">
      <c r="A370" s="999">
        <f>'09월 조업일지'!A368</f>
        <v>46278</v>
      </c>
      <c r="B370" s="1099">
        <f>'09월 조업일지'!B368</f>
        <v>46278</v>
      </c>
      <c r="C370" s="1000" t="str">
        <f>'09월 화학성분'!D368</f>
        <v>A</v>
      </c>
      <c r="D370" s="1000" t="str">
        <f>'09월 화학성분'!E368</f>
        <v>A</v>
      </c>
      <c r="E370" s="1000">
        <f>'09월 화학성분'!C368</f>
        <v>85570</v>
      </c>
      <c r="F370" s="1001" t="str">
        <f t="shared" si="115"/>
        <v>SHN275(BB)</v>
      </c>
      <c r="G370" s="1172">
        <v>18.899999999999999</v>
      </c>
      <c r="H370" s="985">
        <v>22700</v>
      </c>
      <c r="I370" s="1173">
        <v>16.7</v>
      </c>
      <c r="J370" s="985">
        <v>20500</v>
      </c>
      <c r="K370" s="1173">
        <v>8.8000000000000007</v>
      </c>
      <c r="L370" s="985">
        <v>11100</v>
      </c>
      <c r="M370" s="1174">
        <f t="shared" si="116"/>
        <v>44.399999999999991</v>
      </c>
      <c r="N370" s="984">
        <f t="shared" si="117"/>
        <v>54300</v>
      </c>
      <c r="O370" s="986">
        <f t="shared" si="118"/>
        <v>156.12104539202201</v>
      </c>
      <c r="P370" s="987">
        <f t="shared" si="119"/>
        <v>140.99037138927096</v>
      </c>
      <c r="Q370" s="987">
        <f t="shared" si="120"/>
        <v>76.341127922971111</v>
      </c>
      <c r="R370" s="988">
        <f t="shared" si="121"/>
        <v>373.45254470426408</v>
      </c>
      <c r="S370" s="989">
        <v>145.4</v>
      </c>
      <c r="T370" s="990">
        <v>0</v>
      </c>
      <c r="U370" s="991">
        <v>115</v>
      </c>
      <c r="V370" s="991">
        <v>250</v>
      </c>
      <c r="W370" s="992">
        <f t="shared" si="122"/>
        <v>365</v>
      </c>
      <c r="X370" s="993">
        <f t="shared" si="123"/>
        <v>2.510316368638239</v>
      </c>
      <c r="Y370" s="990">
        <v>1534</v>
      </c>
      <c r="Z370" s="991">
        <v>1379</v>
      </c>
      <c r="AA370" s="991">
        <v>673</v>
      </c>
      <c r="AB370" s="992">
        <f t="shared" si="124"/>
        <v>3586</v>
      </c>
      <c r="AC370" s="993">
        <f t="shared" si="125"/>
        <v>24.662998624484182</v>
      </c>
      <c r="AD370" s="994">
        <f t="shared" si="126"/>
        <v>3951</v>
      </c>
      <c r="AE370" s="995">
        <f t="shared" si="127"/>
        <v>27.173314993122421</v>
      </c>
      <c r="AF370" s="996">
        <v>82</v>
      </c>
      <c r="AG370" s="997">
        <v>64</v>
      </c>
      <c r="AH370" s="997">
        <v>5</v>
      </c>
      <c r="AI370" s="998">
        <f t="shared" si="128"/>
        <v>151</v>
      </c>
      <c r="AJ370" s="993">
        <f t="shared" si="129"/>
        <v>1.0385144429160935</v>
      </c>
    </row>
    <row r="371" spans="1:36" ht="16.5" customHeight="1">
      <c r="A371" s="999">
        <f>'09월 조업일지'!A369</f>
        <v>46278</v>
      </c>
      <c r="B371" s="1099">
        <f>'09월 조업일지'!B369</f>
        <v>46278</v>
      </c>
      <c r="C371" s="1000" t="str">
        <f>'09월 화학성분'!D369</f>
        <v>A</v>
      </c>
      <c r="D371" s="1000" t="str">
        <f>'09월 화학성분'!E369</f>
        <v>B</v>
      </c>
      <c r="E371" s="1000">
        <f>'09월 화학성분'!C369</f>
        <v>85571</v>
      </c>
      <c r="F371" s="1001" t="str">
        <f t="shared" si="115"/>
        <v>SHN275(BB)</v>
      </c>
      <c r="G371" s="1172">
        <v>19.600000000000001</v>
      </c>
      <c r="H371" s="985">
        <v>22900</v>
      </c>
      <c r="I371" s="1173">
        <v>16.8</v>
      </c>
      <c r="J371" s="985">
        <v>20500</v>
      </c>
      <c r="K371" s="1173">
        <v>10.6</v>
      </c>
      <c r="L371" s="985">
        <v>13500</v>
      </c>
      <c r="M371" s="1174">
        <f t="shared" si="116"/>
        <v>47.000000000000007</v>
      </c>
      <c r="N371" s="984">
        <f t="shared" si="117"/>
        <v>56900</v>
      </c>
      <c r="O371" s="986">
        <f t="shared" si="118"/>
        <v>161.3812544045102</v>
      </c>
      <c r="P371" s="987">
        <f t="shared" si="119"/>
        <v>144.46793516560959</v>
      </c>
      <c r="Q371" s="987">
        <f t="shared" si="120"/>
        <v>95.13742071881606</v>
      </c>
      <c r="R371" s="988">
        <f t="shared" si="121"/>
        <v>400.98661028893582</v>
      </c>
      <c r="S371" s="989">
        <v>141.9</v>
      </c>
      <c r="T371" s="990">
        <v>0</v>
      </c>
      <c r="U371" s="991">
        <v>117</v>
      </c>
      <c r="V371" s="991">
        <v>247</v>
      </c>
      <c r="W371" s="992">
        <f t="shared" si="122"/>
        <v>364</v>
      </c>
      <c r="X371" s="993">
        <f t="shared" si="123"/>
        <v>2.5651867512332629</v>
      </c>
      <c r="Y371" s="990">
        <v>1622</v>
      </c>
      <c r="Z371" s="991">
        <v>1390</v>
      </c>
      <c r="AA371" s="991">
        <v>1011</v>
      </c>
      <c r="AB371" s="992">
        <f t="shared" si="124"/>
        <v>4023</v>
      </c>
      <c r="AC371" s="993">
        <f t="shared" si="125"/>
        <v>28.350951374207188</v>
      </c>
      <c r="AD371" s="994">
        <f t="shared" si="126"/>
        <v>4387</v>
      </c>
      <c r="AE371" s="995">
        <f t="shared" si="127"/>
        <v>30.916138125440451</v>
      </c>
      <c r="AF371" s="996">
        <v>86</v>
      </c>
      <c r="AG371" s="997">
        <v>64</v>
      </c>
      <c r="AH371" s="997">
        <v>10</v>
      </c>
      <c r="AI371" s="998">
        <f t="shared" si="128"/>
        <v>160</v>
      </c>
      <c r="AJ371" s="993">
        <f t="shared" si="129"/>
        <v>1.1275546159267089</v>
      </c>
    </row>
    <row r="372" spans="1:36" ht="16.5" customHeight="1">
      <c r="A372" s="999">
        <f>'09월 조업일지'!A370</f>
        <v>46278</v>
      </c>
      <c r="B372" s="1099">
        <f>'09월 조업일지'!B370</f>
        <v>46278</v>
      </c>
      <c r="C372" s="1000" t="str">
        <f>'09월 화학성분'!D370</f>
        <v>A</v>
      </c>
      <c r="D372" s="1000" t="str">
        <f>'09월 화학성분'!E370</f>
        <v>A</v>
      </c>
      <c r="E372" s="1000">
        <f>'09월 화학성분'!C370</f>
        <v>85572</v>
      </c>
      <c r="F372" s="1001" t="str">
        <f t="shared" si="115"/>
        <v>SHN275(BB)</v>
      </c>
      <c r="G372" s="1172">
        <v>20.5</v>
      </c>
      <c r="H372" s="985">
        <v>24700</v>
      </c>
      <c r="I372" s="1173">
        <v>17</v>
      </c>
      <c r="J372" s="985">
        <v>20800</v>
      </c>
      <c r="K372" s="1173">
        <v>8.9</v>
      </c>
      <c r="L372" s="985">
        <v>11300</v>
      </c>
      <c r="M372" s="1174">
        <f t="shared" si="116"/>
        <v>46.4</v>
      </c>
      <c r="N372" s="984">
        <f t="shared" si="117"/>
        <v>56800</v>
      </c>
      <c r="O372" s="986">
        <f t="shared" si="118"/>
        <v>172.96918767507</v>
      </c>
      <c r="P372" s="987">
        <f t="shared" si="119"/>
        <v>145.65826330532212</v>
      </c>
      <c r="Q372" s="987">
        <f t="shared" si="120"/>
        <v>79.131652661064422</v>
      </c>
      <c r="R372" s="988">
        <f t="shared" si="121"/>
        <v>397.75910364145659</v>
      </c>
      <c r="S372" s="989">
        <v>142.80000000000001</v>
      </c>
      <c r="T372" s="990">
        <v>0</v>
      </c>
      <c r="U372" s="991">
        <v>233</v>
      </c>
      <c r="V372" s="991">
        <v>131</v>
      </c>
      <c r="W372" s="992">
        <f t="shared" si="122"/>
        <v>364</v>
      </c>
      <c r="X372" s="993">
        <f t="shared" si="123"/>
        <v>2.5490196078431371</v>
      </c>
      <c r="Y372" s="990">
        <v>1731</v>
      </c>
      <c r="Z372" s="991">
        <v>1390</v>
      </c>
      <c r="AA372" s="991">
        <v>567</v>
      </c>
      <c r="AB372" s="992">
        <f t="shared" si="124"/>
        <v>3688</v>
      </c>
      <c r="AC372" s="993">
        <f t="shared" si="125"/>
        <v>25.826330532212882</v>
      </c>
      <c r="AD372" s="994">
        <f t="shared" si="126"/>
        <v>4052</v>
      </c>
      <c r="AE372" s="995">
        <f t="shared" si="127"/>
        <v>28.375350140056021</v>
      </c>
      <c r="AF372" s="996">
        <v>85</v>
      </c>
      <c r="AG372" s="997">
        <v>66</v>
      </c>
      <c r="AH372" s="997">
        <v>4</v>
      </c>
      <c r="AI372" s="998">
        <f t="shared" si="128"/>
        <v>155</v>
      </c>
      <c r="AJ372" s="993">
        <f t="shared" si="129"/>
        <v>1.0854341736694677</v>
      </c>
    </row>
    <row r="373" spans="1:36" ht="16.5" customHeight="1">
      <c r="A373" s="999">
        <f>'09월 조업일지'!A371</f>
        <v>46278</v>
      </c>
      <c r="B373" s="1099">
        <f>'09월 조업일지'!B371</f>
        <v>46278</v>
      </c>
      <c r="C373" s="1000" t="str">
        <f>'09월 화학성분'!D371</f>
        <v>A</v>
      </c>
      <c r="D373" s="1000" t="str">
        <f>'09월 화학성분'!E371</f>
        <v>B</v>
      </c>
      <c r="E373" s="1000">
        <f>'09월 화학성분'!C371</f>
        <v>85573</v>
      </c>
      <c r="F373" s="1001" t="str">
        <f t="shared" si="115"/>
        <v>SHN275(BB)</v>
      </c>
      <c r="G373" s="1172">
        <v>19</v>
      </c>
      <c r="H373" s="985">
        <v>22800</v>
      </c>
      <c r="I373" s="1173">
        <v>16.2</v>
      </c>
      <c r="J373" s="985">
        <v>20600</v>
      </c>
      <c r="K373" s="1173">
        <v>9</v>
      </c>
      <c r="L373" s="985">
        <v>11500</v>
      </c>
      <c r="M373" s="1174">
        <f t="shared" si="116"/>
        <v>44.2</v>
      </c>
      <c r="N373" s="984">
        <f t="shared" si="117"/>
        <v>54900</v>
      </c>
      <c r="O373" s="986">
        <f t="shared" si="118"/>
        <v>156.37860082304525</v>
      </c>
      <c r="P373" s="987">
        <f t="shared" si="119"/>
        <v>141.28943758573388</v>
      </c>
      <c r="Q373" s="987">
        <f t="shared" si="120"/>
        <v>78.875171467764048</v>
      </c>
      <c r="R373" s="988">
        <f t="shared" si="121"/>
        <v>376.54320987654319</v>
      </c>
      <c r="S373" s="989">
        <v>145.80000000000001</v>
      </c>
      <c r="T373" s="990">
        <v>0</v>
      </c>
      <c r="U373" s="991">
        <v>189</v>
      </c>
      <c r="V373" s="991">
        <v>203</v>
      </c>
      <c r="W373" s="992">
        <f t="shared" si="122"/>
        <v>392</v>
      </c>
      <c r="X373" s="993">
        <f t="shared" si="123"/>
        <v>2.6886145404663919</v>
      </c>
      <c r="Y373" s="990">
        <v>1553</v>
      </c>
      <c r="Z373" s="991">
        <v>1349</v>
      </c>
      <c r="AA373" s="991">
        <v>803</v>
      </c>
      <c r="AB373" s="992">
        <f t="shared" si="124"/>
        <v>3705</v>
      </c>
      <c r="AC373" s="993">
        <f t="shared" si="125"/>
        <v>25.411522633744855</v>
      </c>
      <c r="AD373" s="994">
        <f t="shared" si="126"/>
        <v>4097</v>
      </c>
      <c r="AE373" s="995">
        <f t="shared" si="127"/>
        <v>28.100137174211245</v>
      </c>
      <c r="AF373" s="996">
        <v>85</v>
      </c>
      <c r="AG373" s="997">
        <v>63</v>
      </c>
      <c r="AH373" s="997">
        <v>7</v>
      </c>
      <c r="AI373" s="998">
        <f t="shared" si="128"/>
        <v>155</v>
      </c>
      <c r="AJ373" s="993">
        <f t="shared" si="129"/>
        <v>1.0631001371742113</v>
      </c>
    </row>
    <row r="374" spans="1:36" ht="16.5" customHeight="1">
      <c r="A374" s="999">
        <f>'09월 조업일지'!A372</f>
        <v>46278</v>
      </c>
      <c r="B374" s="1099">
        <f>'09월 조업일지'!B372</f>
        <v>46278</v>
      </c>
      <c r="C374" s="1000" t="str">
        <f>'09월 화학성분'!D372</f>
        <v>A</v>
      </c>
      <c r="D374" s="1000" t="str">
        <f>'09월 화학성분'!E372</f>
        <v>A</v>
      </c>
      <c r="E374" s="1000">
        <f>'09월 화학성분'!C372</f>
        <v>85574</v>
      </c>
      <c r="F374" s="1001" t="str">
        <f t="shared" si="115"/>
        <v>SHN275(BB)</v>
      </c>
      <c r="G374" s="1172">
        <v>19.100000000000001</v>
      </c>
      <c r="H374" s="985">
        <v>23100</v>
      </c>
      <c r="I374" s="1173">
        <v>16.5</v>
      </c>
      <c r="J374" s="985">
        <v>20600</v>
      </c>
      <c r="K374" s="1173">
        <v>7.5</v>
      </c>
      <c r="L374" s="985">
        <v>9500</v>
      </c>
      <c r="M374" s="1174">
        <f t="shared" si="116"/>
        <v>43.1</v>
      </c>
      <c r="N374" s="984">
        <f t="shared" si="117"/>
        <v>53200</v>
      </c>
      <c r="O374" s="986">
        <f t="shared" si="118"/>
        <v>159.75103734439836</v>
      </c>
      <c r="P374" s="987">
        <f t="shared" si="119"/>
        <v>142.46196403872753</v>
      </c>
      <c r="Q374" s="987">
        <f t="shared" si="120"/>
        <v>65.698478561549109</v>
      </c>
      <c r="R374" s="988">
        <f t="shared" si="121"/>
        <v>367.91147994467497</v>
      </c>
      <c r="S374" s="989">
        <v>144.6</v>
      </c>
      <c r="T374" s="990">
        <v>0</v>
      </c>
      <c r="U374" s="991">
        <v>159</v>
      </c>
      <c r="V374" s="991">
        <v>206</v>
      </c>
      <c r="W374" s="992">
        <f t="shared" si="122"/>
        <v>365</v>
      </c>
      <c r="X374" s="993">
        <f t="shared" si="123"/>
        <v>2.5242047026279391</v>
      </c>
      <c r="Y374" s="990">
        <v>1582</v>
      </c>
      <c r="Z374" s="991">
        <v>1371</v>
      </c>
      <c r="AA374" s="991">
        <v>591</v>
      </c>
      <c r="AB374" s="992">
        <f t="shared" si="124"/>
        <v>3544</v>
      </c>
      <c r="AC374" s="993">
        <f t="shared" si="125"/>
        <v>24.508990318118951</v>
      </c>
      <c r="AD374" s="994">
        <f t="shared" si="126"/>
        <v>3909</v>
      </c>
      <c r="AE374" s="995">
        <f t="shared" si="127"/>
        <v>27.033195020746888</v>
      </c>
      <c r="AF374" s="996">
        <v>82</v>
      </c>
      <c r="AG374" s="997">
        <v>64</v>
      </c>
      <c r="AH374" s="997">
        <v>5</v>
      </c>
      <c r="AI374" s="998">
        <f t="shared" si="128"/>
        <v>151</v>
      </c>
      <c r="AJ374" s="993">
        <f t="shared" si="129"/>
        <v>1.0442600276625174</v>
      </c>
    </row>
    <row r="375" spans="1:36" ht="16.5" customHeight="1">
      <c r="A375" s="999">
        <f>'09월 조업일지'!A373</f>
        <v>46278</v>
      </c>
      <c r="B375" s="1099">
        <f>'09월 조업일지'!B373</f>
        <v>46278</v>
      </c>
      <c r="C375" s="1000" t="str">
        <f>'09월 화학성분'!D373</f>
        <v>A</v>
      </c>
      <c r="D375" s="1000" t="str">
        <f>'09월 화학성분'!E373</f>
        <v>B</v>
      </c>
      <c r="E375" s="1000">
        <f>'09월 화학성분'!C373</f>
        <v>85575</v>
      </c>
      <c r="F375" s="1001" t="str">
        <f t="shared" si="115"/>
        <v>SHN275(BB)</v>
      </c>
      <c r="G375" s="1172">
        <v>18.5</v>
      </c>
      <c r="H375" s="985">
        <v>22600</v>
      </c>
      <c r="I375" s="1173">
        <v>16.399999999999999</v>
      </c>
      <c r="J375" s="985">
        <v>20500</v>
      </c>
      <c r="K375" s="1173">
        <v>8.6</v>
      </c>
      <c r="L375" s="985">
        <v>11000</v>
      </c>
      <c r="M375" s="1174">
        <f t="shared" si="116"/>
        <v>43.5</v>
      </c>
      <c r="N375" s="984">
        <f t="shared" si="117"/>
        <v>54100</v>
      </c>
      <c r="O375" s="986">
        <f t="shared" si="118"/>
        <v>159.60451977401129</v>
      </c>
      <c r="P375" s="987">
        <f t="shared" si="119"/>
        <v>144.77401129943505</v>
      </c>
      <c r="Q375" s="987">
        <f t="shared" si="120"/>
        <v>77.683615819209038</v>
      </c>
      <c r="R375" s="988">
        <f t="shared" si="121"/>
        <v>382.06214689265533</v>
      </c>
      <c r="S375" s="989">
        <v>141.6</v>
      </c>
      <c r="T375" s="990">
        <v>0</v>
      </c>
      <c r="U375" s="991">
        <v>89</v>
      </c>
      <c r="V375" s="991">
        <v>277</v>
      </c>
      <c r="W375" s="992">
        <f t="shared" si="122"/>
        <v>366</v>
      </c>
      <c r="X375" s="993">
        <f t="shared" si="123"/>
        <v>2.5847457627118646</v>
      </c>
      <c r="Y375" s="990">
        <v>1525</v>
      </c>
      <c r="Z375" s="991">
        <v>1366</v>
      </c>
      <c r="AA375" s="991">
        <v>789</v>
      </c>
      <c r="AB375" s="992">
        <f t="shared" si="124"/>
        <v>3680</v>
      </c>
      <c r="AC375" s="993">
        <f t="shared" si="125"/>
        <v>25.988700564971751</v>
      </c>
      <c r="AD375" s="994">
        <f t="shared" si="126"/>
        <v>4046</v>
      </c>
      <c r="AE375" s="995">
        <f t="shared" si="127"/>
        <v>28.573446327683616</v>
      </c>
      <c r="AF375" s="996">
        <v>81</v>
      </c>
      <c r="AG375" s="997">
        <v>67</v>
      </c>
      <c r="AH375" s="997">
        <v>7</v>
      </c>
      <c r="AI375" s="998">
        <f t="shared" si="128"/>
        <v>155</v>
      </c>
      <c r="AJ375" s="993">
        <f t="shared" si="129"/>
        <v>1.094632768361582</v>
      </c>
    </row>
    <row r="376" spans="1:36" ht="16.5" customHeight="1">
      <c r="A376" s="999">
        <f>'09월 조업일지'!A374</f>
        <v>46278</v>
      </c>
      <c r="B376" s="1099">
        <f>'09월 조업일지'!B374</f>
        <v>46278</v>
      </c>
      <c r="C376" s="1000" t="str">
        <f>'09월 화학성분'!D374</f>
        <v>A</v>
      </c>
      <c r="D376" s="1000" t="str">
        <f>'09월 화학성분'!E374</f>
        <v>A</v>
      </c>
      <c r="E376" s="1000">
        <f>'09월 화학성분'!C374</f>
        <v>85576</v>
      </c>
      <c r="F376" s="1001" t="str">
        <f t="shared" si="115"/>
        <v>SHN275(BB)</v>
      </c>
      <c r="G376" s="1172">
        <v>19.8</v>
      </c>
      <c r="H376" s="985">
        <v>23300</v>
      </c>
      <c r="I376" s="1173">
        <v>16.5</v>
      </c>
      <c r="J376" s="985">
        <v>20400</v>
      </c>
      <c r="K376" s="1173">
        <v>7.9</v>
      </c>
      <c r="L376" s="985">
        <v>10200</v>
      </c>
      <c r="M376" s="1174">
        <f t="shared" si="116"/>
        <v>44.199999999999996</v>
      </c>
      <c r="N376" s="984">
        <f t="shared" si="117"/>
        <v>53900</v>
      </c>
      <c r="O376" s="986">
        <f t="shared" si="118"/>
        <v>163.16526610644257</v>
      </c>
      <c r="P376" s="987">
        <f t="shared" si="119"/>
        <v>142.85714285714283</v>
      </c>
      <c r="Q376" s="987">
        <f t="shared" si="120"/>
        <v>71.428571428571416</v>
      </c>
      <c r="R376" s="988">
        <f t="shared" si="121"/>
        <v>377.45098039215679</v>
      </c>
      <c r="S376" s="989">
        <v>142.80000000000001</v>
      </c>
      <c r="T376" s="990">
        <v>0</v>
      </c>
      <c r="U376" s="991">
        <v>165</v>
      </c>
      <c r="V376" s="991">
        <v>199</v>
      </c>
      <c r="W376" s="992">
        <f t="shared" si="122"/>
        <v>364</v>
      </c>
      <c r="X376" s="993">
        <f t="shared" si="123"/>
        <v>2.5490196078431371</v>
      </c>
      <c r="Y376" s="990">
        <v>1600</v>
      </c>
      <c r="Z376" s="991">
        <v>1362</v>
      </c>
      <c r="AA376" s="991">
        <v>744</v>
      </c>
      <c r="AB376" s="992">
        <f t="shared" si="124"/>
        <v>3706</v>
      </c>
      <c r="AC376" s="993">
        <f t="shared" si="125"/>
        <v>25.952380952380949</v>
      </c>
      <c r="AD376" s="994">
        <f t="shared" si="126"/>
        <v>4070</v>
      </c>
      <c r="AE376" s="995">
        <f t="shared" si="127"/>
        <v>28.501400560224088</v>
      </c>
      <c r="AF376" s="996">
        <v>85</v>
      </c>
      <c r="AG376" s="997">
        <v>65</v>
      </c>
      <c r="AH376" s="997">
        <v>6</v>
      </c>
      <c r="AI376" s="998">
        <f t="shared" si="128"/>
        <v>156</v>
      </c>
      <c r="AJ376" s="993">
        <f t="shared" si="129"/>
        <v>1.0924369747899159</v>
      </c>
    </row>
    <row r="377" spans="1:36" ht="16.5" customHeight="1">
      <c r="A377" s="999">
        <f>'09월 조업일지'!A375</f>
        <v>46278</v>
      </c>
      <c r="B377" s="1099">
        <f>'09월 조업일지'!B375</f>
        <v>46278</v>
      </c>
      <c r="C377" s="1000" t="str">
        <f>'09월 화학성분'!D375</f>
        <v>A</v>
      </c>
      <c r="D377" s="1000" t="str">
        <f>'09월 화학성분'!E375</f>
        <v>B</v>
      </c>
      <c r="E377" s="1000">
        <f>'09월 화학성분'!C375</f>
        <v>85577</v>
      </c>
      <c r="F377" s="1001" t="str">
        <f t="shared" si="115"/>
        <v>SHN275(BB)</v>
      </c>
      <c r="G377" s="1172">
        <v>20.6</v>
      </c>
      <c r="H377" s="985">
        <v>24400</v>
      </c>
      <c r="I377" s="1173">
        <v>16.399999999999999</v>
      </c>
      <c r="J377" s="985">
        <v>20800</v>
      </c>
      <c r="K377" s="1173">
        <v>7.8</v>
      </c>
      <c r="L377" s="985">
        <v>10000</v>
      </c>
      <c r="M377" s="1174">
        <f t="shared" si="116"/>
        <v>44.8</v>
      </c>
      <c r="N377" s="984">
        <f t="shared" si="117"/>
        <v>55200</v>
      </c>
      <c r="O377" s="986">
        <f t="shared" si="118"/>
        <v>168.50828729281767</v>
      </c>
      <c r="P377" s="987">
        <f t="shared" si="119"/>
        <v>143.64640883977899</v>
      </c>
      <c r="Q377" s="987">
        <f t="shared" si="120"/>
        <v>69.060773480662974</v>
      </c>
      <c r="R377" s="988">
        <f t="shared" si="121"/>
        <v>381.21546961325964</v>
      </c>
      <c r="S377" s="989">
        <v>144.80000000000001</v>
      </c>
      <c r="T377" s="990">
        <v>0</v>
      </c>
      <c r="U377" s="991">
        <v>244</v>
      </c>
      <c r="V377" s="991">
        <v>109</v>
      </c>
      <c r="W377" s="992">
        <f t="shared" si="122"/>
        <v>353</v>
      </c>
      <c r="X377" s="993">
        <f t="shared" si="123"/>
        <v>2.4378453038674031</v>
      </c>
      <c r="Y377" s="990">
        <v>1752</v>
      </c>
      <c r="Z377" s="991">
        <v>1378</v>
      </c>
      <c r="AA377" s="991">
        <v>812</v>
      </c>
      <c r="AB377" s="992">
        <f t="shared" si="124"/>
        <v>3942</v>
      </c>
      <c r="AC377" s="993">
        <f t="shared" si="125"/>
        <v>27.223756906077345</v>
      </c>
      <c r="AD377" s="994">
        <f t="shared" si="126"/>
        <v>4295</v>
      </c>
      <c r="AE377" s="995">
        <f t="shared" si="127"/>
        <v>29.66160220994475</v>
      </c>
      <c r="AF377" s="996">
        <v>88</v>
      </c>
      <c r="AG377" s="997">
        <v>63</v>
      </c>
      <c r="AH377" s="997">
        <v>7</v>
      </c>
      <c r="AI377" s="998">
        <f t="shared" si="128"/>
        <v>158</v>
      </c>
      <c r="AJ377" s="993">
        <f t="shared" si="129"/>
        <v>1.0911602209944751</v>
      </c>
    </row>
    <row r="378" spans="1:36" ht="16.5" customHeight="1">
      <c r="A378" s="999">
        <f>'09월 조업일지'!A376</f>
        <v>46278</v>
      </c>
      <c r="B378" s="1099">
        <f>'09월 조업일지'!B376</f>
        <v>46278</v>
      </c>
      <c r="C378" s="1000" t="str">
        <f>'09월 화학성분'!D376</f>
        <v>A</v>
      </c>
      <c r="D378" s="1000" t="str">
        <f>'09월 화학성분'!E376</f>
        <v>A</v>
      </c>
      <c r="E378" s="1000">
        <f>'09월 화학성분'!C376</f>
        <v>85578</v>
      </c>
      <c r="F378" s="1001" t="str">
        <f t="shared" si="115"/>
        <v>SHN275(BB)</v>
      </c>
      <c r="G378" s="1172">
        <v>19.7</v>
      </c>
      <c r="H378" s="985">
        <v>23100</v>
      </c>
      <c r="I378" s="1173">
        <v>17</v>
      </c>
      <c r="J378" s="985">
        <v>21000</v>
      </c>
      <c r="K378" s="1173">
        <v>7.9</v>
      </c>
      <c r="L378" s="985">
        <v>10000</v>
      </c>
      <c r="M378" s="1174">
        <f t="shared" si="116"/>
        <v>44.6</v>
      </c>
      <c r="N378" s="984">
        <f t="shared" si="117"/>
        <v>54100</v>
      </c>
      <c r="O378" s="986">
        <f t="shared" si="118"/>
        <v>160.97560975609755</v>
      </c>
      <c r="P378" s="987">
        <f t="shared" si="119"/>
        <v>146.34146341463415</v>
      </c>
      <c r="Q378" s="987">
        <f t="shared" si="120"/>
        <v>69.686411149825787</v>
      </c>
      <c r="R378" s="988">
        <f t="shared" si="121"/>
        <v>377.0034843205575</v>
      </c>
      <c r="S378" s="989">
        <v>143.5</v>
      </c>
      <c r="T378" s="990">
        <v>0</v>
      </c>
      <c r="U378" s="991">
        <v>187</v>
      </c>
      <c r="V378" s="991">
        <v>180</v>
      </c>
      <c r="W378" s="992">
        <f t="shared" si="122"/>
        <v>367</v>
      </c>
      <c r="X378" s="993">
        <f t="shared" si="123"/>
        <v>2.5574912891986061</v>
      </c>
      <c r="Y378" s="990">
        <v>1605</v>
      </c>
      <c r="Z378" s="991">
        <v>1416</v>
      </c>
      <c r="AA378" s="991">
        <v>615</v>
      </c>
      <c r="AB378" s="992">
        <f t="shared" si="124"/>
        <v>3636</v>
      </c>
      <c r="AC378" s="993">
        <f t="shared" si="125"/>
        <v>25.337979094076655</v>
      </c>
      <c r="AD378" s="994">
        <f t="shared" si="126"/>
        <v>4003</v>
      </c>
      <c r="AE378" s="995">
        <f t="shared" si="127"/>
        <v>27.89547038327526</v>
      </c>
      <c r="AF378" s="996">
        <v>84</v>
      </c>
      <c r="AG378" s="997">
        <v>65</v>
      </c>
      <c r="AH378" s="997">
        <v>5</v>
      </c>
      <c r="AI378" s="998">
        <f t="shared" si="128"/>
        <v>154</v>
      </c>
      <c r="AJ378" s="993">
        <f t="shared" si="129"/>
        <v>1.0731707317073171</v>
      </c>
    </row>
    <row r="379" spans="1:36" ht="16.5" customHeight="1">
      <c r="A379" s="999">
        <f>'09월 조업일지'!A377</f>
        <v>46278</v>
      </c>
      <c r="B379" s="1099">
        <f>'09월 조업일지'!B377</f>
        <v>46278</v>
      </c>
      <c r="C379" s="1000" t="str">
        <f>'09월 화학성분'!D377</f>
        <v>B</v>
      </c>
      <c r="D379" s="1000" t="str">
        <f>'09월 화학성분'!E377</f>
        <v>B</v>
      </c>
      <c r="E379" s="1000">
        <f>'09월 화학성분'!C377</f>
        <v>85579</v>
      </c>
      <c r="F379" s="1001" t="str">
        <f t="shared" si="115"/>
        <v>SHN275(BB)</v>
      </c>
      <c r="G379" s="1172">
        <v>19.399999999999999</v>
      </c>
      <c r="H379" s="985">
        <v>22500</v>
      </c>
      <c r="I379" s="1173">
        <v>16.3</v>
      </c>
      <c r="J379" s="985">
        <v>20600</v>
      </c>
      <c r="K379" s="1173">
        <v>10.6</v>
      </c>
      <c r="L379" s="985">
        <v>13600</v>
      </c>
      <c r="M379" s="1174">
        <f t="shared" si="116"/>
        <v>46.300000000000004</v>
      </c>
      <c r="N379" s="984">
        <f t="shared" si="117"/>
        <v>56700</v>
      </c>
      <c r="O379" s="986">
        <f t="shared" si="118"/>
        <v>158.00561797752809</v>
      </c>
      <c r="P379" s="987">
        <f t="shared" si="119"/>
        <v>144.6629213483146</v>
      </c>
      <c r="Q379" s="987">
        <f t="shared" si="120"/>
        <v>95.50561797752809</v>
      </c>
      <c r="R379" s="988">
        <f t="shared" si="121"/>
        <v>398.17415730337075</v>
      </c>
      <c r="S379" s="989">
        <v>142.4</v>
      </c>
      <c r="T379" s="990">
        <v>0</v>
      </c>
      <c r="U379" s="991">
        <v>0</v>
      </c>
      <c r="V379" s="991">
        <v>501</v>
      </c>
      <c r="W379" s="992">
        <f t="shared" si="122"/>
        <v>501</v>
      </c>
      <c r="X379" s="993">
        <f t="shared" si="123"/>
        <v>3.518258426966292</v>
      </c>
      <c r="Y379" s="990">
        <v>1622</v>
      </c>
      <c r="Z379" s="991">
        <v>1330</v>
      </c>
      <c r="AA379" s="991">
        <v>1032</v>
      </c>
      <c r="AB379" s="992">
        <f t="shared" si="124"/>
        <v>3984</v>
      </c>
      <c r="AC379" s="993">
        <f t="shared" si="125"/>
        <v>27.977528089887638</v>
      </c>
      <c r="AD379" s="994">
        <f t="shared" si="126"/>
        <v>4485</v>
      </c>
      <c r="AE379" s="995">
        <f t="shared" si="127"/>
        <v>31.495786516853933</v>
      </c>
      <c r="AF379" s="996">
        <v>86</v>
      </c>
      <c r="AG379" s="997">
        <v>63</v>
      </c>
      <c r="AH379" s="997">
        <v>12</v>
      </c>
      <c r="AI379" s="998">
        <f t="shared" si="128"/>
        <v>161</v>
      </c>
      <c r="AJ379" s="993">
        <f t="shared" si="129"/>
        <v>1.1306179775280898</v>
      </c>
    </row>
    <row r="380" spans="1:36" ht="16.5" customHeight="1">
      <c r="A380" s="999">
        <f>'09월 조업일지'!A378</f>
        <v>46278</v>
      </c>
      <c r="B380" s="1099">
        <f>'09월 조업일지'!B378</f>
        <v>46278</v>
      </c>
      <c r="C380" s="1000" t="str">
        <f>'09월 화학성분'!D378</f>
        <v>B</v>
      </c>
      <c r="D380" s="1000" t="str">
        <f>'09월 화학성분'!E378</f>
        <v>A</v>
      </c>
      <c r="E380" s="1000">
        <f>'09월 화학성분'!C378</f>
        <v>85580</v>
      </c>
      <c r="F380" s="1001" t="str">
        <f t="shared" si="115"/>
        <v>SHN275(BB)</v>
      </c>
      <c r="G380" s="1172">
        <v>19</v>
      </c>
      <c r="H380" s="985">
        <v>23000</v>
      </c>
      <c r="I380" s="1173">
        <v>16.5</v>
      </c>
      <c r="J380" s="985">
        <v>20600</v>
      </c>
      <c r="K380" s="1173">
        <v>8.1</v>
      </c>
      <c r="L380" s="985">
        <v>10400</v>
      </c>
      <c r="M380" s="1174">
        <f t="shared" si="116"/>
        <v>43.6</v>
      </c>
      <c r="N380" s="984">
        <f t="shared" si="117"/>
        <v>54000</v>
      </c>
      <c r="O380" s="986">
        <f t="shared" si="118"/>
        <v>156.35622025832768</v>
      </c>
      <c r="P380" s="987">
        <f t="shared" si="119"/>
        <v>140.04078857919782</v>
      </c>
      <c r="Q380" s="987">
        <f t="shared" si="120"/>
        <v>70.700203942895996</v>
      </c>
      <c r="R380" s="988">
        <f t="shared" si="121"/>
        <v>367.0972127804215</v>
      </c>
      <c r="S380" s="989">
        <v>147.1</v>
      </c>
      <c r="T380" s="990">
        <v>0</v>
      </c>
      <c r="U380" s="991">
        <v>0</v>
      </c>
      <c r="V380" s="991">
        <v>372</v>
      </c>
      <c r="W380" s="992">
        <f t="shared" si="122"/>
        <v>372</v>
      </c>
      <c r="X380" s="993">
        <f t="shared" si="123"/>
        <v>2.5288919102651257</v>
      </c>
      <c r="Y380" s="990">
        <v>1556</v>
      </c>
      <c r="Z380" s="991">
        <v>1363</v>
      </c>
      <c r="AA380" s="991">
        <v>800</v>
      </c>
      <c r="AB380" s="992">
        <f t="shared" si="124"/>
        <v>3719</v>
      </c>
      <c r="AC380" s="993">
        <f t="shared" si="125"/>
        <v>25.282121006118288</v>
      </c>
      <c r="AD380" s="994">
        <f t="shared" si="126"/>
        <v>4091</v>
      </c>
      <c r="AE380" s="995">
        <f t="shared" si="127"/>
        <v>27.811012916383415</v>
      </c>
      <c r="AF380" s="996">
        <v>82</v>
      </c>
      <c r="AG380" s="997">
        <v>64</v>
      </c>
      <c r="AH380" s="997">
        <v>7</v>
      </c>
      <c r="AI380" s="998">
        <f t="shared" si="128"/>
        <v>153</v>
      </c>
      <c r="AJ380" s="993">
        <f t="shared" si="129"/>
        <v>1.0401087695445275</v>
      </c>
    </row>
    <row r="381" spans="1:36" ht="16.5" customHeight="1">
      <c r="A381" s="999">
        <f>'09월 조업일지'!A379</f>
        <v>46278</v>
      </c>
      <c r="B381" s="1099">
        <f>'09월 조업일지'!B379</f>
        <v>46278</v>
      </c>
      <c r="C381" s="1000" t="str">
        <f>'09월 화학성분'!D379</f>
        <v>B</v>
      </c>
      <c r="D381" s="1000" t="str">
        <f>'09월 화학성분'!E379</f>
        <v>B</v>
      </c>
      <c r="E381" s="1000">
        <f>'09월 화학성분'!C379</f>
        <v>85581</v>
      </c>
      <c r="F381" s="1001" t="str">
        <f t="shared" si="115"/>
        <v>SHN275(BB)</v>
      </c>
      <c r="G381" s="1172">
        <v>19</v>
      </c>
      <c r="H381" s="985">
        <v>22500</v>
      </c>
      <c r="I381" s="1173">
        <v>16.899999999999999</v>
      </c>
      <c r="J381" s="985">
        <v>20600</v>
      </c>
      <c r="K381" s="1173">
        <v>11.6</v>
      </c>
      <c r="L381" s="985">
        <v>14800</v>
      </c>
      <c r="M381" s="1174">
        <f t="shared" si="116"/>
        <v>47.5</v>
      </c>
      <c r="N381" s="984">
        <f t="shared" si="117"/>
        <v>57900</v>
      </c>
      <c r="O381" s="986">
        <f t="shared" si="118"/>
        <v>156.14156835530881</v>
      </c>
      <c r="P381" s="987">
        <f t="shared" si="119"/>
        <v>142.95628036086052</v>
      </c>
      <c r="Q381" s="987">
        <f t="shared" si="120"/>
        <v>102.70645385149203</v>
      </c>
      <c r="R381" s="988">
        <f t="shared" si="121"/>
        <v>401.80430256766135</v>
      </c>
      <c r="S381" s="989">
        <v>144.1</v>
      </c>
      <c r="T381" s="990">
        <v>0</v>
      </c>
      <c r="U381" s="991">
        <v>0</v>
      </c>
      <c r="V381" s="991">
        <v>609</v>
      </c>
      <c r="W381" s="992">
        <f t="shared" si="122"/>
        <v>609</v>
      </c>
      <c r="X381" s="993">
        <f t="shared" si="123"/>
        <v>4.2262317834836924</v>
      </c>
      <c r="Y381" s="990">
        <v>1560</v>
      </c>
      <c r="Z381" s="991">
        <v>1387</v>
      </c>
      <c r="AA381" s="991">
        <v>1121</v>
      </c>
      <c r="AB381" s="992">
        <f t="shared" si="124"/>
        <v>4068</v>
      </c>
      <c r="AC381" s="993">
        <f t="shared" si="125"/>
        <v>28.230395558639835</v>
      </c>
      <c r="AD381" s="994">
        <f t="shared" si="126"/>
        <v>4677</v>
      </c>
      <c r="AE381" s="995">
        <f t="shared" si="127"/>
        <v>32.456627342123525</v>
      </c>
      <c r="AF381" s="996">
        <v>86</v>
      </c>
      <c r="AG381" s="997">
        <v>65</v>
      </c>
      <c r="AH381" s="997">
        <v>12</v>
      </c>
      <c r="AI381" s="998">
        <f t="shared" si="128"/>
        <v>163</v>
      </c>
      <c r="AJ381" s="993">
        <f t="shared" si="129"/>
        <v>1.1311589174184595</v>
      </c>
    </row>
    <row r="382" spans="1:36" ht="16.5" customHeight="1">
      <c r="A382" s="999">
        <f>'09월 조업일지'!A380</f>
        <v>46278</v>
      </c>
      <c r="B382" s="1099">
        <f>'09월 조업일지'!B380</f>
        <v>46278</v>
      </c>
      <c r="C382" s="1000" t="str">
        <f>'09월 화학성분'!D380</f>
        <v>B</v>
      </c>
      <c r="D382" s="1000" t="str">
        <f>'09월 화학성분'!E380</f>
        <v>A</v>
      </c>
      <c r="E382" s="1000">
        <f>'09월 화학성분'!C380</f>
        <v>85582</v>
      </c>
      <c r="F382" s="1001" t="str">
        <f t="shared" si="115"/>
        <v>SHN275(BB)</v>
      </c>
      <c r="G382" s="1172">
        <v>19.399999999999999</v>
      </c>
      <c r="H382" s="985">
        <v>23000</v>
      </c>
      <c r="I382" s="1173">
        <v>16.899999999999999</v>
      </c>
      <c r="J382" s="985">
        <v>20800</v>
      </c>
      <c r="K382" s="1173">
        <v>9.3000000000000007</v>
      </c>
      <c r="L382" s="985">
        <v>11700</v>
      </c>
      <c r="M382" s="1174">
        <f t="shared" si="116"/>
        <v>45.599999999999994</v>
      </c>
      <c r="N382" s="984">
        <f t="shared" si="117"/>
        <v>55500</v>
      </c>
      <c r="O382" s="986">
        <f t="shared" si="118"/>
        <v>157.53424657534248</v>
      </c>
      <c r="P382" s="987">
        <f t="shared" si="119"/>
        <v>142.46575342465752</v>
      </c>
      <c r="Q382" s="987">
        <f t="shared" si="120"/>
        <v>80.136986301369859</v>
      </c>
      <c r="R382" s="988">
        <f t="shared" si="121"/>
        <v>380.13698630136986</v>
      </c>
      <c r="S382" s="989">
        <v>146</v>
      </c>
      <c r="T382" s="990">
        <v>0</v>
      </c>
      <c r="U382" s="991">
        <v>5</v>
      </c>
      <c r="V382" s="991">
        <v>307</v>
      </c>
      <c r="W382" s="992">
        <f t="shared" si="122"/>
        <v>312</v>
      </c>
      <c r="X382" s="993">
        <f t="shared" si="123"/>
        <v>2.1369863013698631</v>
      </c>
      <c r="Y382" s="990">
        <v>1593</v>
      </c>
      <c r="Z382" s="991">
        <v>1397</v>
      </c>
      <c r="AA382" s="991">
        <v>718</v>
      </c>
      <c r="AB382" s="992">
        <f t="shared" si="124"/>
        <v>3708</v>
      </c>
      <c r="AC382" s="993">
        <f t="shared" si="125"/>
        <v>25.397260273972602</v>
      </c>
      <c r="AD382" s="994">
        <f t="shared" si="126"/>
        <v>4020</v>
      </c>
      <c r="AE382" s="995">
        <f t="shared" si="127"/>
        <v>27.534246575342465</v>
      </c>
      <c r="AF382" s="996">
        <v>83</v>
      </c>
      <c r="AG382" s="997">
        <v>65</v>
      </c>
      <c r="AH382" s="997">
        <v>6</v>
      </c>
      <c r="AI382" s="998">
        <f t="shared" si="128"/>
        <v>154</v>
      </c>
      <c r="AJ382" s="993">
        <f t="shared" si="129"/>
        <v>1.0547945205479452</v>
      </c>
    </row>
    <row r="383" spans="1:36" ht="16.5" customHeight="1">
      <c r="A383" s="999">
        <f>'09월 조업일지'!A381</f>
        <v>46278</v>
      </c>
      <c r="B383" s="1099">
        <f>'09월 조업일지'!B381</f>
        <v>46278</v>
      </c>
      <c r="C383" s="1000" t="str">
        <f>'09월 화학성분'!D381</f>
        <v>B</v>
      </c>
      <c r="D383" s="1000" t="str">
        <f>'09월 화학성분'!E381</f>
        <v>B</v>
      </c>
      <c r="E383" s="1000">
        <f>'09월 화학성분'!C381</f>
        <v>85583</v>
      </c>
      <c r="F383" s="1001" t="str">
        <f t="shared" si="115"/>
        <v>SHN275(BB)</v>
      </c>
      <c r="G383" s="1172">
        <v>18.3</v>
      </c>
      <c r="H383" s="985">
        <v>22700</v>
      </c>
      <c r="I383" s="1173">
        <v>16.600000000000001</v>
      </c>
      <c r="J383" s="985">
        <v>20300</v>
      </c>
      <c r="K383" s="1173">
        <v>8.4</v>
      </c>
      <c r="L383" s="985">
        <v>10800</v>
      </c>
      <c r="M383" s="1174">
        <f t="shared" si="116"/>
        <v>43.300000000000004</v>
      </c>
      <c r="N383" s="984">
        <f t="shared" si="117"/>
        <v>53800</v>
      </c>
      <c r="O383" s="986">
        <f t="shared" si="118"/>
        <v>162.37482117310441</v>
      </c>
      <c r="P383" s="987">
        <f t="shared" si="119"/>
        <v>145.2074391988555</v>
      </c>
      <c r="Q383" s="987">
        <f t="shared" si="120"/>
        <v>77.253218884120159</v>
      </c>
      <c r="R383" s="988">
        <f t="shared" si="121"/>
        <v>384.83547925608008</v>
      </c>
      <c r="S383" s="989">
        <v>139.80000000000001</v>
      </c>
      <c r="T383" s="990">
        <v>0</v>
      </c>
      <c r="U383" s="991">
        <v>0</v>
      </c>
      <c r="V383" s="991">
        <v>437</v>
      </c>
      <c r="W383" s="992">
        <f t="shared" si="122"/>
        <v>437</v>
      </c>
      <c r="X383" s="993">
        <f t="shared" si="123"/>
        <v>3.125894134477825</v>
      </c>
      <c r="Y383" s="990">
        <v>1535</v>
      </c>
      <c r="Z383" s="991">
        <v>1378</v>
      </c>
      <c r="AA383" s="991">
        <v>928</v>
      </c>
      <c r="AB383" s="992">
        <f t="shared" si="124"/>
        <v>3841</v>
      </c>
      <c r="AC383" s="993">
        <f t="shared" si="125"/>
        <v>27.474964234620884</v>
      </c>
      <c r="AD383" s="994">
        <f t="shared" si="126"/>
        <v>4278</v>
      </c>
      <c r="AE383" s="995">
        <f t="shared" si="127"/>
        <v>30.600858369098709</v>
      </c>
      <c r="AF383" s="996">
        <v>82</v>
      </c>
      <c r="AG383" s="997">
        <v>67</v>
      </c>
      <c r="AH383" s="997">
        <v>8</v>
      </c>
      <c r="AI383" s="998">
        <f t="shared" si="128"/>
        <v>157</v>
      </c>
      <c r="AJ383" s="993">
        <f t="shared" si="129"/>
        <v>1.1230329041487839</v>
      </c>
    </row>
    <row r="384" spans="1:36" ht="16.5" customHeight="1">
      <c r="A384" s="999">
        <f>'09월 조업일지'!A382</f>
        <v>46278</v>
      </c>
      <c r="B384" s="1099">
        <f>'09월 조업일지'!B382</f>
        <v>46278</v>
      </c>
      <c r="C384" s="1000" t="str">
        <f>'09월 화학성분'!D382</f>
        <v>B</v>
      </c>
      <c r="D384" s="1000" t="str">
        <f>'09월 화학성분'!E382</f>
        <v>A</v>
      </c>
      <c r="E384" s="1000">
        <f>'09월 화학성분'!C382</f>
        <v>85584</v>
      </c>
      <c r="F384" s="1001" t="str">
        <f t="shared" si="115"/>
        <v>SHN275(BB)</v>
      </c>
      <c r="G384" s="1172">
        <v>19.100000000000001</v>
      </c>
      <c r="H384" s="985">
        <v>22900</v>
      </c>
      <c r="I384" s="1173">
        <v>16.600000000000001</v>
      </c>
      <c r="J384" s="985">
        <v>20600</v>
      </c>
      <c r="K384" s="1173">
        <v>9.1</v>
      </c>
      <c r="L384" s="985">
        <v>11700</v>
      </c>
      <c r="M384" s="1174">
        <f t="shared" si="116"/>
        <v>44.800000000000004</v>
      </c>
      <c r="N384" s="984">
        <f t="shared" si="117"/>
        <v>55200</v>
      </c>
      <c r="O384" s="986">
        <f t="shared" si="118"/>
        <v>154.72972972972974</v>
      </c>
      <c r="P384" s="987">
        <f t="shared" si="119"/>
        <v>139.18918918918919</v>
      </c>
      <c r="Q384" s="987">
        <f t="shared" si="120"/>
        <v>79.054054054054049</v>
      </c>
      <c r="R384" s="988">
        <f t="shared" si="121"/>
        <v>372.97297297297303</v>
      </c>
      <c r="S384" s="989">
        <v>148</v>
      </c>
      <c r="T384" s="990">
        <v>0</v>
      </c>
      <c r="U384" s="991">
        <v>0</v>
      </c>
      <c r="V384" s="991">
        <v>313</v>
      </c>
      <c r="W384" s="992">
        <f t="shared" si="122"/>
        <v>313</v>
      </c>
      <c r="X384" s="993">
        <f t="shared" si="123"/>
        <v>2.1148648648648649</v>
      </c>
      <c r="Y384" s="990">
        <v>1555</v>
      </c>
      <c r="Z384" s="991">
        <v>1368</v>
      </c>
      <c r="AA384" s="991">
        <v>908</v>
      </c>
      <c r="AB384" s="992">
        <f t="shared" si="124"/>
        <v>3831</v>
      </c>
      <c r="AC384" s="993">
        <f t="shared" si="125"/>
        <v>25.885135135135137</v>
      </c>
      <c r="AD384" s="994">
        <f t="shared" si="126"/>
        <v>4144</v>
      </c>
      <c r="AE384" s="995">
        <f t="shared" si="127"/>
        <v>28</v>
      </c>
      <c r="AF384" s="996">
        <v>82</v>
      </c>
      <c r="AG384" s="997">
        <v>64</v>
      </c>
      <c r="AH384" s="997">
        <v>8</v>
      </c>
      <c r="AI384" s="998">
        <f t="shared" si="128"/>
        <v>154</v>
      </c>
      <c r="AJ384" s="993">
        <f t="shared" si="129"/>
        <v>1.0405405405405406</v>
      </c>
    </row>
    <row r="385" spans="1:36" ht="16.5" customHeight="1">
      <c r="A385" s="999">
        <f>'09월 조업일지'!A383</f>
        <v>46279</v>
      </c>
      <c r="B385" s="1099">
        <f>'09월 조업일지'!B383</f>
        <v>46278</v>
      </c>
      <c r="C385" s="1000" t="str">
        <f>'09월 화학성분'!D383</f>
        <v>B</v>
      </c>
      <c r="D385" s="1000" t="str">
        <f>'09월 화학성분'!E383</f>
        <v>B</v>
      </c>
      <c r="E385" s="1000">
        <f>'09월 화학성분'!C383</f>
        <v>85585</v>
      </c>
      <c r="F385" s="1104" t="s">
        <v>819</v>
      </c>
      <c r="G385" s="1172">
        <v>19.5</v>
      </c>
      <c r="H385" s="985">
        <v>22900</v>
      </c>
      <c r="I385" s="1173">
        <v>16.899999999999999</v>
      </c>
      <c r="J385" s="985">
        <v>20700</v>
      </c>
      <c r="K385" s="1173">
        <v>8.9</v>
      </c>
      <c r="L385" s="985">
        <v>11600</v>
      </c>
      <c r="M385" s="1174">
        <f t="shared" si="116"/>
        <v>45.3</v>
      </c>
      <c r="N385" s="984">
        <f t="shared" si="117"/>
        <v>55200</v>
      </c>
      <c r="O385" s="986">
        <f t="shared" si="118"/>
        <v>158.25846579129234</v>
      </c>
      <c r="P385" s="987">
        <f t="shared" si="119"/>
        <v>143.054595715273</v>
      </c>
      <c r="Q385" s="987">
        <f t="shared" si="120"/>
        <v>80.165860400829303</v>
      </c>
      <c r="R385" s="988">
        <f t="shared" si="121"/>
        <v>381.47892190739458</v>
      </c>
      <c r="S385" s="989">
        <v>144.69999999999999</v>
      </c>
      <c r="T385" s="990">
        <v>0</v>
      </c>
      <c r="U385" s="991">
        <v>18</v>
      </c>
      <c r="V385" s="991">
        <v>320</v>
      </c>
      <c r="W385" s="992">
        <f t="shared" si="122"/>
        <v>338</v>
      </c>
      <c r="X385" s="993">
        <f t="shared" si="123"/>
        <v>2.3358673116793369</v>
      </c>
      <c r="Y385" s="990">
        <v>1590</v>
      </c>
      <c r="Z385" s="991">
        <v>1396</v>
      </c>
      <c r="AA385" s="991">
        <v>803</v>
      </c>
      <c r="AB385" s="992">
        <f t="shared" si="124"/>
        <v>3789</v>
      </c>
      <c r="AC385" s="993">
        <f t="shared" si="125"/>
        <v>26.185210780926056</v>
      </c>
      <c r="AD385" s="994">
        <f t="shared" si="126"/>
        <v>4127</v>
      </c>
      <c r="AE385" s="995">
        <f t="shared" si="127"/>
        <v>28.521078092605393</v>
      </c>
      <c r="AF385" s="996">
        <v>87</v>
      </c>
      <c r="AG385" s="997">
        <v>63</v>
      </c>
      <c r="AH385" s="997">
        <v>7</v>
      </c>
      <c r="AI385" s="998">
        <f t="shared" si="128"/>
        <v>157</v>
      </c>
      <c r="AJ385" s="993">
        <f t="shared" si="129"/>
        <v>1.0850034554250174</v>
      </c>
    </row>
    <row r="386" spans="1:36" ht="16.5" customHeight="1">
      <c r="A386" s="999">
        <f>'09월 조업일지'!A384</f>
        <v>46279</v>
      </c>
      <c r="B386" s="1099">
        <f>'09월 조업일지'!B384</f>
        <v>46278</v>
      </c>
      <c r="C386" s="1000" t="str">
        <f>'09월 화학성분'!D384</f>
        <v>B</v>
      </c>
      <c r="D386" s="1000" t="str">
        <f>'09월 화학성분'!E384</f>
        <v>A</v>
      </c>
      <c r="E386" s="1000">
        <f>'09월 화학성분'!C384</f>
        <v>85586</v>
      </c>
      <c r="F386" s="1001" t="str">
        <f t="shared" si="115"/>
        <v>SS400(ToMok)</v>
      </c>
      <c r="G386" s="1172">
        <v>19.5</v>
      </c>
      <c r="H386" s="985">
        <v>23900</v>
      </c>
      <c r="I386" s="1173">
        <v>16.3</v>
      </c>
      <c r="J386" s="985">
        <v>20500</v>
      </c>
      <c r="K386" s="1173">
        <v>10.4</v>
      </c>
      <c r="L386" s="985">
        <v>13200</v>
      </c>
      <c r="M386" s="1174">
        <f t="shared" si="116"/>
        <v>46.199999999999996</v>
      </c>
      <c r="N386" s="984">
        <f t="shared" si="117"/>
        <v>57600</v>
      </c>
      <c r="O386" s="986">
        <f t="shared" si="118"/>
        <v>165.85704371963914</v>
      </c>
      <c r="P386" s="987">
        <f t="shared" si="119"/>
        <v>142.26231783483692</v>
      </c>
      <c r="Q386" s="987">
        <f t="shared" si="120"/>
        <v>91.603053435114504</v>
      </c>
      <c r="R386" s="988">
        <f t="shared" si="121"/>
        <v>399.72241498959056</v>
      </c>
      <c r="S386" s="989">
        <v>144.1</v>
      </c>
      <c r="T386" s="990">
        <v>0</v>
      </c>
      <c r="U386" s="991">
        <v>31</v>
      </c>
      <c r="V386" s="991">
        <v>304</v>
      </c>
      <c r="W386" s="992">
        <f t="shared" si="122"/>
        <v>335</v>
      </c>
      <c r="X386" s="993">
        <f t="shared" si="123"/>
        <v>2.3247744621790423</v>
      </c>
      <c r="Y386" s="990">
        <v>1614</v>
      </c>
      <c r="Z386" s="991">
        <v>1368</v>
      </c>
      <c r="AA386" s="991">
        <v>627</v>
      </c>
      <c r="AB386" s="992">
        <f t="shared" si="124"/>
        <v>3609</v>
      </c>
      <c r="AC386" s="993">
        <f t="shared" si="125"/>
        <v>25.045107564191536</v>
      </c>
      <c r="AD386" s="994">
        <f t="shared" si="126"/>
        <v>3944</v>
      </c>
      <c r="AE386" s="995">
        <f t="shared" si="127"/>
        <v>27.369882026370576</v>
      </c>
      <c r="AF386" s="996">
        <v>82</v>
      </c>
      <c r="AG386" s="997">
        <v>64</v>
      </c>
      <c r="AH386" s="997">
        <v>5</v>
      </c>
      <c r="AI386" s="998">
        <f t="shared" si="128"/>
        <v>151</v>
      </c>
      <c r="AJ386" s="993">
        <f t="shared" si="129"/>
        <v>1.0478834142956281</v>
      </c>
    </row>
    <row r="387" spans="1:36" ht="16.5" customHeight="1">
      <c r="A387" s="999">
        <f>'09월 조업일지'!A385</f>
        <v>46279</v>
      </c>
      <c r="B387" s="1099">
        <f>'09월 조업일지'!B385</f>
        <v>46278</v>
      </c>
      <c r="C387" s="1000" t="str">
        <f>'09월 화학성분'!D385</f>
        <v>B</v>
      </c>
      <c r="D387" s="1000" t="str">
        <f>'09월 화학성분'!E385</f>
        <v>B</v>
      </c>
      <c r="E387" s="1000">
        <f>'09월 화학성분'!C385</f>
        <v>85587</v>
      </c>
      <c r="F387" s="1001" t="str">
        <f t="shared" si="115"/>
        <v>SS400(ToMok)</v>
      </c>
      <c r="G387" s="1172">
        <v>20.5</v>
      </c>
      <c r="H387" s="985">
        <v>24200</v>
      </c>
      <c r="I387" s="1173">
        <v>16.600000000000001</v>
      </c>
      <c r="J387" s="985">
        <v>20700</v>
      </c>
      <c r="K387" s="1173">
        <v>8.9</v>
      </c>
      <c r="L387" s="985">
        <v>11400</v>
      </c>
      <c r="M387" s="1174">
        <f t="shared" si="116"/>
        <v>46</v>
      </c>
      <c r="N387" s="984">
        <f t="shared" si="117"/>
        <v>56300</v>
      </c>
      <c r="O387" s="986">
        <f t="shared" si="118"/>
        <v>171.50956768249469</v>
      </c>
      <c r="P387" s="987">
        <f t="shared" si="119"/>
        <v>146.70446491849754</v>
      </c>
      <c r="Q387" s="987">
        <f t="shared" si="120"/>
        <v>80.793763288447906</v>
      </c>
      <c r="R387" s="988">
        <f t="shared" si="121"/>
        <v>399.00779588944016</v>
      </c>
      <c r="S387" s="989">
        <v>141.1</v>
      </c>
      <c r="T387" s="990">
        <v>0</v>
      </c>
      <c r="U387" s="991">
        <v>0</v>
      </c>
      <c r="V387" s="991">
        <v>366</v>
      </c>
      <c r="W387" s="992">
        <f t="shared" si="122"/>
        <v>366</v>
      </c>
      <c r="X387" s="993">
        <f t="shared" si="123"/>
        <v>2.5939050318922749</v>
      </c>
      <c r="Y387" s="990">
        <v>1749</v>
      </c>
      <c r="Z387" s="991">
        <v>1411</v>
      </c>
      <c r="AA387" s="991">
        <v>869</v>
      </c>
      <c r="AB387" s="992">
        <f t="shared" si="124"/>
        <v>4029</v>
      </c>
      <c r="AC387" s="993">
        <f t="shared" si="125"/>
        <v>28.554216867469879</v>
      </c>
      <c r="AD387" s="994">
        <f t="shared" si="126"/>
        <v>4395</v>
      </c>
      <c r="AE387" s="995">
        <f t="shared" si="127"/>
        <v>31.148121899362156</v>
      </c>
      <c r="AF387" s="996">
        <v>88</v>
      </c>
      <c r="AG387" s="997">
        <v>65</v>
      </c>
      <c r="AH387" s="997">
        <v>8</v>
      </c>
      <c r="AI387" s="998">
        <f t="shared" si="128"/>
        <v>161</v>
      </c>
      <c r="AJ387" s="993">
        <f t="shared" si="129"/>
        <v>1.1410347271438697</v>
      </c>
    </row>
    <row r="388" spans="1:36" ht="16.5" customHeight="1">
      <c r="A388" s="999">
        <f>'09월 조업일지'!A386</f>
        <v>46279</v>
      </c>
      <c r="B388" s="1099">
        <f>'09월 조업일지'!B386</f>
        <v>46278</v>
      </c>
      <c r="C388" s="1000" t="str">
        <f>'09월 화학성분'!D386</f>
        <v>B</v>
      </c>
      <c r="D388" s="1000" t="str">
        <f>'09월 화학성분'!E386</f>
        <v>A</v>
      </c>
      <c r="E388" s="1000">
        <f>'09월 화학성분'!C386</f>
        <v>85588</v>
      </c>
      <c r="F388" s="1001" t="str">
        <f t="shared" si="115"/>
        <v>SS400(ToMok)</v>
      </c>
      <c r="G388" s="1172">
        <v>19.3</v>
      </c>
      <c r="H388" s="985">
        <v>22900</v>
      </c>
      <c r="I388" s="1173">
        <v>16.899999999999999</v>
      </c>
      <c r="J388" s="985">
        <v>20700</v>
      </c>
      <c r="K388" s="1173">
        <v>8.6999999999999993</v>
      </c>
      <c r="L388" s="985">
        <v>11100</v>
      </c>
      <c r="M388" s="1174">
        <f t="shared" si="116"/>
        <v>44.900000000000006</v>
      </c>
      <c r="N388" s="984">
        <f t="shared" si="117"/>
        <v>54700</v>
      </c>
      <c r="O388" s="986">
        <f t="shared" si="118"/>
        <v>160.36414565826328</v>
      </c>
      <c r="P388" s="987">
        <f t="shared" si="119"/>
        <v>144.9579831932773</v>
      </c>
      <c r="Q388" s="987">
        <f t="shared" si="120"/>
        <v>77.731092436974777</v>
      </c>
      <c r="R388" s="988">
        <f t="shared" si="121"/>
        <v>383.05322128851537</v>
      </c>
      <c r="S388" s="989">
        <v>142.80000000000001</v>
      </c>
      <c r="T388" s="990">
        <v>0</v>
      </c>
      <c r="U388" s="991">
        <v>0</v>
      </c>
      <c r="V388" s="991">
        <v>318</v>
      </c>
      <c r="W388" s="992">
        <f t="shared" si="122"/>
        <v>318</v>
      </c>
      <c r="X388" s="993">
        <f t="shared" si="123"/>
        <v>2.2268907563025206</v>
      </c>
      <c r="Y388" s="990">
        <v>1594</v>
      </c>
      <c r="Z388" s="991">
        <v>1401</v>
      </c>
      <c r="AA388" s="991">
        <v>666</v>
      </c>
      <c r="AB388" s="992">
        <f t="shared" si="124"/>
        <v>3661</v>
      </c>
      <c r="AC388" s="993">
        <f t="shared" si="125"/>
        <v>25.637254901960784</v>
      </c>
      <c r="AD388" s="994">
        <f t="shared" si="126"/>
        <v>3979</v>
      </c>
      <c r="AE388" s="995">
        <f t="shared" si="127"/>
        <v>27.864145658263304</v>
      </c>
      <c r="AF388" s="996">
        <v>84</v>
      </c>
      <c r="AG388" s="997">
        <v>64</v>
      </c>
      <c r="AH388" s="997">
        <v>5</v>
      </c>
      <c r="AI388" s="998">
        <f t="shared" si="128"/>
        <v>153</v>
      </c>
      <c r="AJ388" s="993">
        <f t="shared" si="129"/>
        <v>1.0714285714285714</v>
      </c>
    </row>
    <row r="389" spans="1:36" ht="16.5" customHeight="1">
      <c r="A389" s="999">
        <f>'09월 조업일지'!A387</f>
        <v>46279</v>
      </c>
      <c r="B389" s="1099">
        <f>'09월 조업일지'!B387</f>
        <v>46279</v>
      </c>
      <c r="C389" s="1000" t="str">
        <f>'09월 화학성분'!D387</f>
        <v>D</v>
      </c>
      <c r="D389" s="1000" t="str">
        <f>'09월 화학성분'!E387</f>
        <v>B</v>
      </c>
      <c r="E389" s="1000">
        <f>'09월 화학성분'!C387</f>
        <v>85589</v>
      </c>
      <c r="F389" s="1001" t="str">
        <f t="shared" si="115"/>
        <v>SS400(ToMok)</v>
      </c>
      <c r="G389" s="1172">
        <v>19.2</v>
      </c>
      <c r="H389" s="985">
        <v>22500</v>
      </c>
      <c r="I389" s="1173">
        <v>16.8</v>
      </c>
      <c r="J389" s="985">
        <v>20600</v>
      </c>
      <c r="K389" s="1173">
        <v>10</v>
      </c>
      <c r="L389" s="985">
        <v>12600</v>
      </c>
      <c r="M389" s="1174">
        <f t="shared" si="116"/>
        <v>46</v>
      </c>
      <c r="N389" s="984">
        <f t="shared" si="117"/>
        <v>55700</v>
      </c>
      <c r="O389" s="986">
        <f t="shared" si="118"/>
        <v>154.32098765432099</v>
      </c>
      <c r="P389" s="987">
        <f t="shared" si="119"/>
        <v>141.28943758573388</v>
      </c>
      <c r="Q389" s="987">
        <f t="shared" si="120"/>
        <v>86.419753086419746</v>
      </c>
      <c r="R389" s="988">
        <f t="shared" si="121"/>
        <v>382.03017832647458</v>
      </c>
      <c r="S389" s="989">
        <v>145.80000000000001</v>
      </c>
      <c r="T389" s="990">
        <v>0</v>
      </c>
      <c r="U389" s="991">
        <v>0</v>
      </c>
      <c r="V389" s="991">
        <v>340</v>
      </c>
      <c r="W389" s="992">
        <f t="shared" si="122"/>
        <v>340</v>
      </c>
      <c r="X389" s="993">
        <f t="shared" si="123"/>
        <v>2.3319615912208502</v>
      </c>
      <c r="Y389" s="990">
        <v>1588</v>
      </c>
      <c r="Z389" s="991">
        <v>1380</v>
      </c>
      <c r="AA389" s="991">
        <v>844</v>
      </c>
      <c r="AB389" s="992">
        <f t="shared" si="124"/>
        <v>3812</v>
      </c>
      <c r="AC389" s="993">
        <f t="shared" si="125"/>
        <v>26.145404663923181</v>
      </c>
      <c r="AD389" s="994">
        <f t="shared" si="126"/>
        <v>4152</v>
      </c>
      <c r="AE389" s="995">
        <f t="shared" si="127"/>
        <v>28.47736625514403</v>
      </c>
      <c r="AF389" s="996">
        <v>87</v>
      </c>
      <c r="AG389" s="997">
        <v>66</v>
      </c>
      <c r="AH389" s="997">
        <v>8</v>
      </c>
      <c r="AI389" s="998">
        <f t="shared" si="128"/>
        <v>161</v>
      </c>
      <c r="AJ389" s="993">
        <f t="shared" si="129"/>
        <v>1.1042524005486967</v>
      </c>
    </row>
    <row r="390" spans="1:36" ht="16.5" customHeight="1">
      <c r="A390" s="999">
        <f>'09월 조업일지'!A388</f>
        <v>46279</v>
      </c>
      <c r="B390" s="1099">
        <f>'09월 조업일지'!B388</f>
        <v>46279</v>
      </c>
      <c r="C390" s="1000" t="str">
        <f>'09월 화학성분'!D388</f>
        <v>D</v>
      </c>
      <c r="D390" s="1000" t="str">
        <f>'09월 화학성분'!E388</f>
        <v>A</v>
      </c>
      <c r="E390" s="1000">
        <f>'09월 화학성분'!C388</f>
        <v>85590</v>
      </c>
      <c r="F390" s="1001" t="str">
        <f t="shared" si="115"/>
        <v>SS400(ToMok)</v>
      </c>
      <c r="G390" s="1172">
        <v>19.100000000000001</v>
      </c>
      <c r="H390" s="985">
        <v>22500</v>
      </c>
      <c r="I390" s="1173">
        <v>16.600000000000001</v>
      </c>
      <c r="J390" s="985">
        <v>20700</v>
      </c>
      <c r="K390" s="1173">
        <v>8.9</v>
      </c>
      <c r="L390" s="985">
        <v>11400</v>
      </c>
      <c r="M390" s="1174">
        <f t="shared" si="116"/>
        <v>44.6</v>
      </c>
      <c r="N390" s="984">
        <f t="shared" si="117"/>
        <v>54600</v>
      </c>
      <c r="O390" s="986">
        <f t="shared" si="118"/>
        <v>156.35858234885336</v>
      </c>
      <c r="P390" s="987">
        <f t="shared" si="119"/>
        <v>143.84989576094509</v>
      </c>
      <c r="Q390" s="987">
        <f t="shared" si="120"/>
        <v>79.221681723419039</v>
      </c>
      <c r="R390" s="988">
        <f t="shared" si="121"/>
        <v>379.43015983321743</v>
      </c>
      <c r="S390" s="989">
        <v>143.9</v>
      </c>
      <c r="T390" s="990">
        <v>0</v>
      </c>
      <c r="U390" s="991">
        <v>1</v>
      </c>
      <c r="V390" s="991">
        <v>342</v>
      </c>
      <c r="W390" s="992">
        <f t="shared" si="122"/>
        <v>343</v>
      </c>
      <c r="X390" s="993">
        <f t="shared" si="123"/>
        <v>2.3835997220291869</v>
      </c>
      <c r="Y390" s="990">
        <v>1565</v>
      </c>
      <c r="Z390" s="991">
        <v>1388</v>
      </c>
      <c r="AA390" s="991">
        <v>719</v>
      </c>
      <c r="AB390" s="992">
        <f t="shared" si="124"/>
        <v>3672</v>
      </c>
      <c r="AC390" s="993">
        <f t="shared" si="125"/>
        <v>25.517720639332868</v>
      </c>
      <c r="AD390" s="994">
        <f t="shared" si="126"/>
        <v>4015</v>
      </c>
      <c r="AE390" s="995">
        <f t="shared" si="127"/>
        <v>27.901320361362057</v>
      </c>
      <c r="AF390" s="996">
        <v>82</v>
      </c>
      <c r="AG390" s="997">
        <v>64</v>
      </c>
      <c r="AH390" s="997">
        <v>6</v>
      </c>
      <c r="AI390" s="998">
        <f t="shared" si="128"/>
        <v>152</v>
      </c>
      <c r="AJ390" s="993">
        <f t="shared" si="129"/>
        <v>1.0562890896455872</v>
      </c>
    </row>
    <row r="391" spans="1:36" ht="16.5" customHeight="1">
      <c r="A391" s="999">
        <f>'09월 조업일지'!A389</f>
        <v>46279</v>
      </c>
      <c r="B391" s="1099">
        <f>'09월 조업일지'!B389</f>
        <v>46279</v>
      </c>
      <c r="C391" s="1000" t="str">
        <f>'09월 화학성분'!D389</f>
        <v>D</v>
      </c>
      <c r="D391" s="1000" t="str">
        <f>'09월 화학성분'!E389</f>
        <v>B</v>
      </c>
      <c r="E391" s="1000">
        <f>'09월 화학성분'!C389</f>
        <v>85591</v>
      </c>
      <c r="F391" s="1104" t="s">
        <v>756</v>
      </c>
      <c r="G391" s="1172">
        <v>18</v>
      </c>
      <c r="H391" s="985">
        <v>22500</v>
      </c>
      <c r="I391" s="1173">
        <v>16.2</v>
      </c>
      <c r="J391" s="985">
        <v>20500</v>
      </c>
      <c r="K391" s="1173">
        <v>8.5</v>
      </c>
      <c r="L391" s="985">
        <v>11000</v>
      </c>
      <c r="M391" s="1174">
        <f t="shared" si="116"/>
        <v>42.7</v>
      </c>
      <c r="N391" s="984">
        <f t="shared" si="117"/>
        <v>54000</v>
      </c>
      <c r="O391" s="986">
        <f t="shared" si="118"/>
        <v>157.78401122019636</v>
      </c>
      <c r="P391" s="987">
        <f t="shared" si="119"/>
        <v>143.75876577840114</v>
      </c>
      <c r="Q391" s="987">
        <f t="shared" si="120"/>
        <v>77.138849929873771</v>
      </c>
      <c r="R391" s="988">
        <f t="shared" si="121"/>
        <v>378.68162692847125</v>
      </c>
      <c r="S391" s="989">
        <v>142.6</v>
      </c>
      <c r="T391" s="990">
        <v>0</v>
      </c>
      <c r="U391" s="991">
        <v>0</v>
      </c>
      <c r="V391" s="991">
        <v>332</v>
      </c>
      <c r="W391" s="992">
        <f t="shared" si="122"/>
        <v>332</v>
      </c>
      <c r="X391" s="993">
        <f t="shared" si="123"/>
        <v>2.3281907433380087</v>
      </c>
      <c r="Y391" s="990">
        <v>1461</v>
      </c>
      <c r="Z391" s="991">
        <v>1357</v>
      </c>
      <c r="AA391" s="991">
        <v>855</v>
      </c>
      <c r="AB391" s="992">
        <f t="shared" si="124"/>
        <v>3673</v>
      </c>
      <c r="AC391" s="993">
        <f t="shared" si="125"/>
        <v>25.757363253856944</v>
      </c>
      <c r="AD391" s="994">
        <f t="shared" si="126"/>
        <v>4005</v>
      </c>
      <c r="AE391" s="995">
        <f t="shared" si="127"/>
        <v>28.085553997194953</v>
      </c>
      <c r="AF391" s="996">
        <v>80</v>
      </c>
      <c r="AG391" s="997">
        <v>66</v>
      </c>
      <c r="AH391" s="997">
        <v>8</v>
      </c>
      <c r="AI391" s="998">
        <f t="shared" si="128"/>
        <v>154</v>
      </c>
      <c r="AJ391" s="993">
        <f t="shared" si="129"/>
        <v>1.0799438990182328</v>
      </c>
    </row>
    <row r="392" spans="1:36" ht="16.5" customHeight="1">
      <c r="A392" s="999">
        <f>'09월 조업일지'!A390</f>
        <v>46279</v>
      </c>
      <c r="B392" s="1099">
        <f>'09월 조업일지'!B390</f>
        <v>46279</v>
      </c>
      <c r="C392" s="1000" t="str">
        <f>'09월 화학성분'!D390</f>
        <v>D</v>
      </c>
      <c r="D392" s="1000" t="str">
        <f>'09월 화학성분'!E390</f>
        <v>A</v>
      </c>
      <c r="E392" s="1000">
        <f>'09월 화학성분'!C390</f>
        <v>85592</v>
      </c>
      <c r="F392" s="1001" t="str">
        <f t="shared" si="115"/>
        <v>SHP275W</v>
      </c>
      <c r="G392" s="1172">
        <v>18.899999999999999</v>
      </c>
      <c r="H392" s="985">
        <v>22500</v>
      </c>
      <c r="I392" s="1173">
        <v>16.399999999999999</v>
      </c>
      <c r="J392" s="985">
        <v>20600</v>
      </c>
      <c r="K392" s="1173">
        <v>8.4</v>
      </c>
      <c r="L392" s="985">
        <v>11400</v>
      </c>
      <c r="M392" s="1174">
        <f t="shared" si="116"/>
        <v>43.699999999999996</v>
      </c>
      <c r="N392" s="984">
        <f t="shared" si="117"/>
        <v>54500</v>
      </c>
      <c r="O392" s="986">
        <f t="shared" si="118"/>
        <v>153.47885402455663</v>
      </c>
      <c r="P392" s="987">
        <f t="shared" si="119"/>
        <v>140.51841746248294</v>
      </c>
      <c r="Q392" s="987">
        <f t="shared" si="120"/>
        <v>77.762619372442018</v>
      </c>
      <c r="R392" s="988">
        <f t="shared" si="121"/>
        <v>371.75989085948163</v>
      </c>
      <c r="S392" s="989">
        <v>146.6</v>
      </c>
      <c r="T392" s="990">
        <v>0</v>
      </c>
      <c r="U392" s="991">
        <v>25</v>
      </c>
      <c r="V392" s="991">
        <v>308</v>
      </c>
      <c r="W392" s="992">
        <f t="shared" si="122"/>
        <v>333</v>
      </c>
      <c r="X392" s="993">
        <f t="shared" si="123"/>
        <v>2.2714870395634379</v>
      </c>
      <c r="Y392" s="990">
        <v>1547</v>
      </c>
      <c r="Z392" s="991">
        <v>1373</v>
      </c>
      <c r="AA392" s="991">
        <v>770</v>
      </c>
      <c r="AB392" s="992">
        <f t="shared" si="124"/>
        <v>3690</v>
      </c>
      <c r="AC392" s="993">
        <f t="shared" si="125"/>
        <v>25.170532060027288</v>
      </c>
      <c r="AD392" s="994">
        <f t="shared" si="126"/>
        <v>4023</v>
      </c>
      <c r="AE392" s="995">
        <f t="shared" si="127"/>
        <v>27.442019099590723</v>
      </c>
      <c r="AF392" s="996">
        <v>85</v>
      </c>
      <c r="AG392" s="997">
        <v>63</v>
      </c>
      <c r="AH392" s="997">
        <v>7</v>
      </c>
      <c r="AI392" s="998">
        <f t="shared" si="128"/>
        <v>155</v>
      </c>
      <c r="AJ392" s="993">
        <f t="shared" si="129"/>
        <v>1.0572987721691678</v>
      </c>
    </row>
    <row r="393" spans="1:36" ht="16.5" customHeight="1">
      <c r="A393" s="999">
        <f>'09월 조업일지'!A391</f>
        <v>46279</v>
      </c>
      <c r="B393" s="1099">
        <f>'09월 조업일지'!B391</f>
        <v>46279</v>
      </c>
      <c r="C393" s="1000" t="str">
        <f>'09월 화학성분'!D391</f>
        <v>D</v>
      </c>
      <c r="D393" s="1000" t="str">
        <f>'09월 화학성분'!E391</f>
        <v>B</v>
      </c>
      <c r="E393" s="1000">
        <f>'09월 화학성분'!C391</f>
        <v>85593</v>
      </c>
      <c r="F393" s="1001" t="str">
        <f t="shared" si="115"/>
        <v>SHP275W</v>
      </c>
      <c r="G393" s="1172">
        <v>18.399999999999999</v>
      </c>
      <c r="H393" s="985">
        <v>22500</v>
      </c>
      <c r="I393" s="1173">
        <v>15.9</v>
      </c>
      <c r="J393" s="985">
        <v>20500</v>
      </c>
      <c r="K393" s="1173">
        <v>8.9</v>
      </c>
      <c r="L393" s="985">
        <v>11600</v>
      </c>
      <c r="M393" s="1174">
        <f t="shared" si="116"/>
        <v>43.199999999999996</v>
      </c>
      <c r="N393" s="984">
        <f t="shared" si="117"/>
        <v>54600</v>
      </c>
      <c r="O393" s="986">
        <f t="shared" si="118"/>
        <v>155.17241379310346</v>
      </c>
      <c r="P393" s="987">
        <f t="shared" si="119"/>
        <v>141.37931034482759</v>
      </c>
      <c r="Q393" s="987">
        <f t="shared" si="120"/>
        <v>80</v>
      </c>
      <c r="R393" s="988">
        <f t="shared" si="121"/>
        <v>376.55172413793105</v>
      </c>
      <c r="S393" s="989">
        <v>145</v>
      </c>
      <c r="T393" s="990">
        <v>0</v>
      </c>
      <c r="U393" s="991">
        <v>0</v>
      </c>
      <c r="V393" s="991">
        <v>338</v>
      </c>
      <c r="W393" s="992">
        <f t="shared" si="122"/>
        <v>338</v>
      </c>
      <c r="X393" s="993">
        <f t="shared" si="123"/>
        <v>2.3310344827586209</v>
      </c>
      <c r="Y393" s="990">
        <v>1490</v>
      </c>
      <c r="Z393" s="991">
        <v>1351</v>
      </c>
      <c r="AA393" s="991">
        <v>803</v>
      </c>
      <c r="AB393" s="992">
        <f t="shared" si="124"/>
        <v>3644</v>
      </c>
      <c r="AC393" s="993">
        <f t="shared" si="125"/>
        <v>25.131034482758622</v>
      </c>
      <c r="AD393" s="994">
        <f t="shared" si="126"/>
        <v>3982</v>
      </c>
      <c r="AE393" s="995">
        <f t="shared" si="127"/>
        <v>27.46206896551724</v>
      </c>
      <c r="AF393" s="996">
        <v>80</v>
      </c>
      <c r="AG393" s="997">
        <v>66</v>
      </c>
      <c r="AH393" s="997">
        <v>8</v>
      </c>
      <c r="AI393" s="998">
        <f t="shared" si="128"/>
        <v>154</v>
      </c>
      <c r="AJ393" s="993">
        <f t="shared" si="129"/>
        <v>1.0620689655172413</v>
      </c>
    </row>
    <row r="394" spans="1:36" ht="16.5" customHeight="1">
      <c r="A394" s="999">
        <f>'09월 조업일지'!A392</f>
        <v>46279</v>
      </c>
      <c r="B394" s="1099">
        <f>'09월 조업일지'!B392</f>
        <v>46279</v>
      </c>
      <c r="C394" s="1000" t="str">
        <f>'09월 화학성분'!D392</f>
        <v>D</v>
      </c>
      <c r="D394" s="1000" t="str">
        <f>'09월 화학성분'!E392</f>
        <v>A</v>
      </c>
      <c r="E394" s="1000">
        <f>'09월 화학성분'!C392</f>
        <v>85594</v>
      </c>
      <c r="F394" s="1001" t="str">
        <f t="shared" si="115"/>
        <v>SHP275W</v>
      </c>
      <c r="G394" s="1172">
        <v>19.600000000000001</v>
      </c>
      <c r="H394" s="985">
        <v>23300</v>
      </c>
      <c r="I394" s="1173">
        <v>17</v>
      </c>
      <c r="J394" s="985">
        <v>20900</v>
      </c>
      <c r="K394" s="1173">
        <v>8.6</v>
      </c>
      <c r="L394" s="985">
        <v>10800</v>
      </c>
      <c r="M394" s="1174">
        <f t="shared" si="116"/>
        <v>45.2</v>
      </c>
      <c r="N394" s="984">
        <f t="shared" si="117"/>
        <v>55000</v>
      </c>
      <c r="O394" s="986">
        <f t="shared" si="118"/>
        <v>165.48295454545453</v>
      </c>
      <c r="P394" s="987">
        <f t="shared" si="119"/>
        <v>148.4375</v>
      </c>
      <c r="Q394" s="987">
        <f t="shared" si="120"/>
        <v>76.704545454545453</v>
      </c>
      <c r="R394" s="988">
        <f t="shared" si="121"/>
        <v>390.62499999999994</v>
      </c>
      <c r="S394" s="989">
        <v>140.80000000000001</v>
      </c>
      <c r="T394" s="990">
        <v>0</v>
      </c>
      <c r="U394" s="991">
        <v>46</v>
      </c>
      <c r="V394" s="991">
        <v>303</v>
      </c>
      <c r="W394" s="992">
        <f t="shared" si="122"/>
        <v>349</v>
      </c>
      <c r="X394" s="993">
        <f t="shared" si="123"/>
        <v>2.4786931818181817</v>
      </c>
      <c r="Y394" s="990">
        <v>1623</v>
      </c>
      <c r="Z394" s="991">
        <v>1419</v>
      </c>
      <c r="AA394" s="991">
        <v>747</v>
      </c>
      <c r="AB394" s="992">
        <f t="shared" si="124"/>
        <v>3789</v>
      </c>
      <c r="AC394" s="993">
        <f t="shared" si="125"/>
        <v>26.91051136363636</v>
      </c>
      <c r="AD394" s="994">
        <f t="shared" si="126"/>
        <v>4138</v>
      </c>
      <c r="AE394" s="995">
        <f t="shared" si="127"/>
        <v>29.389204545454543</v>
      </c>
      <c r="AF394" s="996">
        <v>83</v>
      </c>
      <c r="AG394" s="997">
        <v>66</v>
      </c>
      <c r="AH394" s="997">
        <v>6</v>
      </c>
      <c r="AI394" s="998">
        <f t="shared" si="128"/>
        <v>155</v>
      </c>
      <c r="AJ394" s="993">
        <f t="shared" si="129"/>
        <v>1.1008522727272727</v>
      </c>
    </row>
    <row r="395" spans="1:36" ht="16.5" customHeight="1">
      <c r="A395" s="999">
        <f>'09월 조업일지'!A393</f>
        <v>46279</v>
      </c>
      <c r="B395" s="1099">
        <f>'09월 조업일지'!B393</f>
        <v>46279</v>
      </c>
      <c r="C395" s="1000" t="str">
        <f>'09월 화학성분'!D393</f>
        <v>D</v>
      </c>
      <c r="D395" s="1000" t="str">
        <f>'09월 화학성분'!E393</f>
        <v>B</v>
      </c>
      <c r="E395" s="1000">
        <f>'09월 화학성분'!C393</f>
        <v>85595</v>
      </c>
      <c r="F395" s="1001" t="str">
        <f t="shared" si="115"/>
        <v>SHP275W</v>
      </c>
      <c r="G395" s="1172">
        <v>18.8</v>
      </c>
      <c r="H395" s="985">
        <v>22500</v>
      </c>
      <c r="I395" s="1173">
        <v>16.2</v>
      </c>
      <c r="J395" s="985">
        <v>20500</v>
      </c>
      <c r="K395" s="1173">
        <v>12.7</v>
      </c>
      <c r="L395" s="985">
        <v>15700</v>
      </c>
      <c r="M395" s="1174">
        <f t="shared" si="116"/>
        <v>47.7</v>
      </c>
      <c r="N395" s="984">
        <f t="shared" si="117"/>
        <v>58700</v>
      </c>
      <c r="O395" s="986">
        <f t="shared" si="118"/>
        <v>157.67344078486337</v>
      </c>
      <c r="P395" s="987">
        <f t="shared" si="119"/>
        <v>143.65802382620885</v>
      </c>
      <c r="Q395" s="987">
        <f t="shared" si="120"/>
        <v>110.02102312543799</v>
      </c>
      <c r="R395" s="988">
        <f t="shared" si="121"/>
        <v>411.35248773651017</v>
      </c>
      <c r="S395" s="989">
        <v>142.69999999999999</v>
      </c>
      <c r="T395" s="990">
        <v>0</v>
      </c>
      <c r="U395" s="991">
        <v>0</v>
      </c>
      <c r="V395" s="991">
        <v>340</v>
      </c>
      <c r="W395" s="992">
        <f t="shared" si="122"/>
        <v>340</v>
      </c>
      <c r="X395" s="993">
        <f t="shared" si="123"/>
        <v>2.3826208829712687</v>
      </c>
      <c r="Y395" s="990">
        <v>1552</v>
      </c>
      <c r="Z395" s="991">
        <v>1356</v>
      </c>
      <c r="AA395" s="991">
        <v>811</v>
      </c>
      <c r="AB395" s="992">
        <f t="shared" si="124"/>
        <v>3719</v>
      </c>
      <c r="AC395" s="993">
        <f t="shared" si="125"/>
        <v>26.061667834618081</v>
      </c>
      <c r="AD395" s="994">
        <f t="shared" si="126"/>
        <v>4059</v>
      </c>
      <c r="AE395" s="995">
        <f t="shared" si="127"/>
        <v>28.444288717589352</v>
      </c>
      <c r="AF395" s="996">
        <v>83</v>
      </c>
      <c r="AG395" s="997">
        <v>65</v>
      </c>
      <c r="AH395" s="997">
        <v>7</v>
      </c>
      <c r="AI395" s="998">
        <f t="shared" si="128"/>
        <v>155</v>
      </c>
      <c r="AJ395" s="993">
        <f t="shared" si="129"/>
        <v>1.0861948142957254</v>
      </c>
    </row>
    <row r="396" spans="1:36" ht="16.5" customHeight="1">
      <c r="A396" s="999">
        <f>'09월 조업일지'!A394</f>
        <v>46279</v>
      </c>
      <c r="B396" s="1099">
        <f>'09월 조업일지'!B394</f>
        <v>46279</v>
      </c>
      <c r="C396" s="1000" t="str">
        <f>'09월 화학성분'!D394</f>
        <v>D</v>
      </c>
      <c r="D396" s="1000" t="str">
        <f>'09월 화학성분'!E394</f>
        <v>A</v>
      </c>
      <c r="E396" s="1000">
        <f>'09월 화학성분'!C394</f>
        <v>85596</v>
      </c>
      <c r="F396" s="1001" t="str">
        <f t="shared" si="115"/>
        <v>SHP275W</v>
      </c>
      <c r="G396" s="1172">
        <v>19</v>
      </c>
      <c r="H396" s="985">
        <v>22600</v>
      </c>
      <c r="I396" s="1173">
        <v>16.899999999999999</v>
      </c>
      <c r="J396" s="985">
        <v>20800</v>
      </c>
      <c r="K396" s="1173">
        <v>9.1999999999999993</v>
      </c>
      <c r="L396" s="985">
        <v>11700</v>
      </c>
      <c r="M396" s="1174">
        <f t="shared" si="116"/>
        <v>45.099999999999994</v>
      </c>
      <c r="N396" s="984">
        <f t="shared" si="117"/>
        <v>55100</v>
      </c>
      <c r="O396" s="986">
        <f t="shared" si="118"/>
        <v>158.93108298171592</v>
      </c>
      <c r="P396" s="987">
        <f t="shared" si="119"/>
        <v>146.27285513361463</v>
      </c>
      <c r="Q396" s="987">
        <f t="shared" si="120"/>
        <v>82.278481012658233</v>
      </c>
      <c r="R396" s="988">
        <f t="shared" si="121"/>
        <v>387.48241912798875</v>
      </c>
      <c r="S396" s="989">
        <v>142.19999999999999</v>
      </c>
      <c r="T396" s="990">
        <v>0</v>
      </c>
      <c r="U396" s="991">
        <v>0</v>
      </c>
      <c r="V396" s="991">
        <v>332</v>
      </c>
      <c r="W396" s="992">
        <f t="shared" si="122"/>
        <v>332</v>
      </c>
      <c r="X396" s="993">
        <f t="shared" si="123"/>
        <v>2.3347398030942337</v>
      </c>
      <c r="Y396" s="990">
        <v>1557</v>
      </c>
      <c r="Z396" s="991">
        <v>1422</v>
      </c>
      <c r="AA396" s="991">
        <v>735</v>
      </c>
      <c r="AB396" s="992">
        <f t="shared" si="124"/>
        <v>3714</v>
      </c>
      <c r="AC396" s="993">
        <f t="shared" si="125"/>
        <v>26.118143459915615</v>
      </c>
      <c r="AD396" s="994">
        <f t="shared" si="126"/>
        <v>4046</v>
      </c>
      <c r="AE396" s="995">
        <f t="shared" si="127"/>
        <v>28.452883263009848</v>
      </c>
      <c r="AF396" s="996">
        <v>82</v>
      </c>
      <c r="AG396" s="997">
        <v>65</v>
      </c>
      <c r="AH396" s="997">
        <v>6</v>
      </c>
      <c r="AI396" s="998">
        <f t="shared" si="128"/>
        <v>153</v>
      </c>
      <c r="AJ396" s="993">
        <f t="shared" si="129"/>
        <v>1.0759493670886078</v>
      </c>
    </row>
    <row r="397" spans="1:36" ht="16.5" customHeight="1">
      <c r="A397" s="999">
        <f>'09월 조업일지'!A395</f>
        <v>46279</v>
      </c>
      <c r="B397" s="1099">
        <f>'09월 조업일지'!B395</f>
        <v>46279</v>
      </c>
      <c r="C397" s="1000" t="str">
        <f>'09월 화학성분'!D395</f>
        <v>D</v>
      </c>
      <c r="D397" s="1000" t="str">
        <f>'09월 화학성분'!E395</f>
        <v>B</v>
      </c>
      <c r="E397" s="1000">
        <f>'09월 화학성분'!C395</f>
        <v>85597</v>
      </c>
      <c r="F397" s="1001" t="str">
        <f t="shared" si="115"/>
        <v>SHP275W</v>
      </c>
      <c r="G397" s="1172">
        <v>18.600000000000001</v>
      </c>
      <c r="H397" s="985">
        <v>22800</v>
      </c>
      <c r="I397" s="1173">
        <v>16.3</v>
      </c>
      <c r="J397" s="985">
        <v>20500</v>
      </c>
      <c r="K397" s="1173">
        <v>10.5</v>
      </c>
      <c r="L397" s="985">
        <v>13400</v>
      </c>
      <c r="M397" s="1174">
        <f t="shared" si="116"/>
        <v>45.400000000000006</v>
      </c>
      <c r="N397" s="984">
        <f t="shared" si="117"/>
        <v>56700</v>
      </c>
      <c r="O397" s="986">
        <f t="shared" si="118"/>
        <v>158.2234559333796</v>
      </c>
      <c r="P397" s="987">
        <f t="shared" si="119"/>
        <v>142.26231783483692</v>
      </c>
      <c r="Q397" s="987">
        <f t="shared" si="120"/>
        <v>92.990978487161698</v>
      </c>
      <c r="R397" s="988">
        <f t="shared" si="121"/>
        <v>393.47675225537819</v>
      </c>
      <c r="S397" s="989">
        <v>144.1</v>
      </c>
      <c r="T397" s="990">
        <v>0</v>
      </c>
      <c r="U397" s="991">
        <v>0</v>
      </c>
      <c r="V397" s="991">
        <v>345</v>
      </c>
      <c r="W397" s="992">
        <f t="shared" si="122"/>
        <v>345</v>
      </c>
      <c r="X397" s="993">
        <f t="shared" si="123"/>
        <v>2.394170714781402</v>
      </c>
      <c r="Y397" s="990">
        <v>1525</v>
      </c>
      <c r="Z397" s="991">
        <v>1363</v>
      </c>
      <c r="AA397" s="991">
        <v>793</v>
      </c>
      <c r="AB397" s="992">
        <f t="shared" si="124"/>
        <v>3681</v>
      </c>
      <c r="AC397" s="993">
        <f t="shared" si="125"/>
        <v>25.544760582928522</v>
      </c>
      <c r="AD397" s="994">
        <f t="shared" si="126"/>
        <v>4026</v>
      </c>
      <c r="AE397" s="995">
        <f t="shared" si="127"/>
        <v>27.938931297709924</v>
      </c>
      <c r="AF397" s="996">
        <v>81</v>
      </c>
      <c r="AG397" s="997">
        <v>66</v>
      </c>
      <c r="AH397" s="997">
        <v>7</v>
      </c>
      <c r="AI397" s="998">
        <f t="shared" si="128"/>
        <v>154</v>
      </c>
      <c r="AJ397" s="993">
        <f t="shared" si="129"/>
        <v>1.0687022900763359</v>
      </c>
    </row>
    <row r="398" spans="1:36" ht="16.5" customHeight="1">
      <c r="A398" s="999">
        <f>'09월 조업일지'!A396</f>
        <v>46279</v>
      </c>
      <c r="B398" s="1099">
        <f>'09월 조업일지'!B396</f>
        <v>46279</v>
      </c>
      <c r="C398" s="1000" t="str">
        <f>'09월 화학성분'!D396</f>
        <v>D</v>
      </c>
      <c r="D398" s="1000" t="str">
        <f>'09월 화학성분'!E396</f>
        <v>A</v>
      </c>
      <c r="E398" s="1000">
        <f>'09월 화학성분'!C396</f>
        <v>85598</v>
      </c>
      <c r="F398" s="1001" t="str">
        <f t="shared" si="115"/>
        <v>SHP275W</v>
      </c>
      <c r="G398" s="1172">
        <v>18.8</v>
      </c>
      <c r="H398" s="985">
        <v>23100</v>
      </c>
      <c r="I398" s="1173">
        <v>16.8</v>
      </c>
      <c r="J398" s="985">
        <v>20300</v>
      </c>
      <c r="K398" s="1173">
        <v>10</v>
      </c>
      <c r="L398" s="985">
        <v>12600</v>
      </c>
      <c r="M398" s="1174">
        <f t="shared" si="116"/>
        <v>45.6</v>
      </c>
      <c r="N398" s="984">
        <f t="shared" si="117"/>
        <v>56000</v>
      </c>
      <c r="O398" s="986">
        <f t="shared" si="118"/>
        <v>163.94606103619589</v>
      </c>
      <c r="P398" s="987">
        <f t="shared" si="119"/>
        <v>144.07381121362667</v>
      </c>
      <c r="Q398" s="987">
        <f t="shared" si="120"/>
        <v>89.425124201561388</v>
      </c>
      <c r="R398" s="988">
        <f t="shared" si="121"/>
        <v>397.44499645138399</v>
      </c>
      <c r="S398" s="989">
        <v>140.9</v>
      </c>
      <c r="T398" s="990">
        <v>0</v>
      </c>
      <c r="U398" s="991">
        <v>36</v>
      </c>
      <c r="V398" s="991">
        <v>301</v>
      </c>
      <c r="W398" s="992">
        <f t="shared" si="122"/>
        <v>337</v>
      </c>
      <c r="X398" s="993">
        <f t="shared" si="123"/>
        <v>2.3917672107877928</v>
      </c>
      <c r="Y398" s="990">
        <v>1437</v>
      </c>
      <c r="Z398" s="991">
        <v>1372</v>
      </c>
      <c r="AA398" s="991">
        <v>743</v>
      </c>
      <c r="AB398" s="992">
        <f t="shared" si="124"/>
        <v>3552</v>
      </c>
      <c r="AC398" s="993">
        <f t="shared" si="125"/>
        <v>25.209368346344924</v>
      </c>
      <c r="AD398" s="994">
        <f t="shared" si="126"/>
        <v>3889</v>
      </c>
      <c r="AE398" s="995">
        <f t="shared" si="127"/>
        <v>27.601135557132718</v>
      </c>
      <c r="AF398" s="996">
        <v>82</v>
      </c>
      <c r="AG398" s="997">
        <v>65</v>
      </c>
      <c r="AH398" s="997">
        <v>6</v>
      </c>
      <c r="AI398" s="998">
        <f t="shared" si="128"/>
        <v>153</v>
      </c>
      <c r="AJ398" s="993">
        <f t="shared" si="129"/>
        <v>1.0858765081618169</v>
      </c>
    </row>
    <row r="399" spans="1:36" ht="16.5" customHeight="1">
      <c r="A399" s="999">
        <f>'09월 조업일지'!A397</f>
        <v>46279</v>
      </c>
      <c r="B399" s="1099">
        <f>'09월 조업일지'!B397</f>
        <v>46279</v>
      </c>
      <c r="C399" s="1000" t="str">
        <f>'09월 화학성분'!D397</f>
        <v>A</v>
      </c>
      <c r="D399" s="1000" t="str">
        <f>'09월 화학성분'!E397</f>
        <v>B</v>
      </c>
      <c r="E399" s="1000">
        <f>'09월 화학성분'!C397</f>
        <v>85599</v>
      </c>
      <c r="F399" s="1001" t="str">
        <f t="shared" si="115"/>
        <v>SHP275W</v>
      </c>
      <c r="G399" s="1172">
        <v>20.2</v>
      </c>
      <c r="H399" s="985">
        <v>23500</v>
      </c>
      <c r="I399" s="1173">
        <v>16.399999999999999</v>
      </c>
      <c r="J399" s="985">
        <v>20600</v>
      </c>
      <c r="K399" s="1173">
        <v>12.3</v>
      </c>
      <c r="L399" s="985">
        <v>15700</v>
      </c>
      <c r="M399" s="1174">
        <f t="shared" si="116"/>
        <v>48.899999999999991</v>
      </c>
      <c r="N399" s="984">
        <f t="shared" si="117"/>
        <v>59800</v>
      </c>
      <c r="O399" s="986">
        <f t="shared" si="118"/>
        <v>167.37891737891738</v>
      </c>
      <c r="P399" s="987">
        <f t="shared" si="119"/>
        <v>146.72364672364671</v>
      </c>
      <c r="Q399" s="987">
        <f t="shared" si="120"/>
        <v>111.82336182336182</v>
      </c>
      <c r="R399" s="988">
        <f t="shared" si="121"/>
        <v>425.92592592592592</v>
      </c>
      <c r="S399" s="989">
        <v>140.4</v>
      </c>
      <c r="T399" s="990">
        <v>0</v>
      </c>
      <c r="U399" s="991">
        <v>0</v>
      </c>
      <c r="V399" s="991">
        <v>361</v>
      </c>
      <c r="W399" s="992">
        <f t="shared" si="122"/>
        <v>361</v>
      </c>
      <c r="X399" s="993">
        <f t="shared" si="123"/>
        <v>2.5712250712250713</v>
      </c>
      <c r="Y399" s="990">
        <v>1677</v>
      </c>
      <c r="Z399" s="991">
        <v>1379</v>
      </c>
      <c r="AA399" s="991">
        <v>989</v>
      </c>
      <c r="AB399" s="992">
        <f t="shared" si="124"/>
        <v>4045</v>
      </c>
      <c r="AC399" s="993">
        <f t="shared" si="125"/>
        <v>28.810541310541311</v>
      </c>
      <c r="AD399" s="994">
        <f t="shared" si="126"/>
        <v>4406</v>
      </c>
      <c r="AE399" s="995">
        <f t="shared" si="127"/>
        <v>31.381766381766379</v>
      </c>
      <c r="AF399" s="996">
        <v>87</v>
      </c>
      <c r="AG399" s="997">
        <v>64</v>
      </c>
      <c r="AH399" s="997">
        <v>9</v>
      </c>
      <c r="AI399" s="998">
        <f t="shared" si="128"/>
        <v>160</v>
      </c>
      <c r="AJ399" s="993">
        <f t="shared" si="129"/>
        <v>1.1396011396011396</v>
      </c>
    </row>
    <row r="400" spans="1:36" ht="16.5" customHeight="1">
      <c r="A400" s="999">
        <f>'09월 조업일지'!A398</f>
        <v>46279</v>
      </c>
      <c r="B400" s="1099">
        <f>'09월 조업일지'!B398</f>
        <v>46279</v>
      </c>
      <c r="C400" s="1000" t="str">
        <f>'09월 화학성분'!D398</f>
        <v>A</v>
      </c>
      <c r="D400" s="1000" t="str">
        <f>'09월 화학성분'!E398</f>
        <v>A</v>
      </c>
      <c r="E400" s="1000">
        <f>'09월 화학성분'!C398</f>
        <v>85600</v>
      </c>
      <c r="F400" s="1001" t="str">
        <f t="shared" ref="F400:F463" si="130">IF(G400="","",F399)</f>
        <v>SHP275W</v>
      </c>
      <c r="G400" s="1172">
        <v>19</v>
      </c>
      <c r="H400" s="985">
        <v>22900</v>
      </c>
      <c r="I400" s="1173">
        <v>17.100000000000001</v>
      </c>
      <c r="J400" s="985">
        <v>20800</v>
      </c>
      <c r="K400" s="1173">
        <v>8.3000000000000007</v>
      </c>
      <c r="L400" s="985">
        <v>10600</v>
      </c>
      <c r="M400" s="1174">
        <f t="shared" ref="M400:M463" si="131">IF(ISBLANK(G400),"",SUM(G400,I400,K400))</f>
        <v>44.400000000000006</v>
      </c>
      <c r="N400" s="984">
        <f t="shared" ref="N400:N463" si="132">IF(ISBLANK(H400),"",SUM(H400,J400,L400))</f>
        <v>54300</v>
      </c>
      <c r="O400" s="986">
        <f t="shared" ref="O400:O463" si="133">IF(ISBLANK(H400),"",H400/S400)</f>
        <v>161.26760563380282</v>
      </c>
      <c r="P400" s="987">
        <f t="shared" ref="P400:P463" si="134">IF(ISBLANK(J400),"",+J400/S400)</f>
        <v>146.47887323943661</v>
      </c>
      <c r="Q400" s="987">
        <f t="shared" ref="Q400:Q463" si="135">IF(ISBLANK(L400),"",L400/S400)</f>
        <v>74.647887323943664</v>
      </c>
      <c r="R400" s="988">
        <f t="shared" ref="R400:R463" si="136">IF(ISBLANK(L400),"",SUM(O400:Q400))</f>
        <v>382.3943661971831</v>
      </c>
      <c r="S400" s="989">
        <v>142</v>
      </c>
      <c r="T400" s="990">
        <v>0</v>
      </c>
      <c r="U400" s="991">
        <v>152</v>
      </c>
      <c r="V400" s="991">
        <v>211</v>
      </c>
      <c r="W400" s="992">
        <f t="shared" ref="W400:W463" si="137">IF(SUM(T400:V400)=0,"",SUM(T400:V400))</f>
        <v>363</v>
      </c>
      <c r="X400" s="993">
        <f t="shared" ref="X400:X463" si="138">IF(W400="","",W400/S400)</f>
        <v>2.556338028169014</v>
      </c>
      <c r="Y400" s="990">
        <v>1564</v>
      </c>
      <c r="Z400" s="991">
        <v>1418</v>
      </c>
      <c r="AA400" s="991">
        <v>630</v>
      </c>
      <c r="AB400" s="992">
        <f t="shared" ref="AB400:AB463" si="139">IF(SUM(Y400:AA400)=0,"",SUM(Y400:AA400))</f>
        <v>3612</v>
      </c>
      <c r="AC400" s="993">
        <f t="shared" ref="AC400:AC463" si="140">IF(AB400="","",AB400/S400)</f>
        <v>25.43661971830986</v>
      </c>
      <c r="AD400" s="994">
        <f t="shared" ref="AD400:AD463" si="141">IF(SUM(W400,AB400)=0,"",SUM(W400,AB400))</f>
        <v>3975</v>
      </c>
      <c r="AE400" s="995">
        <f t="shared" ref="AE400:AE463" si="142">IF(AD400="","",AD400/S400)</f>
        <v>27.992957746478872</v>
      </c>
      <c r="AF400" s="996">
        <v>82</v>
      </c>
      <c r="AG400" s="997">
        <v>66</v>
      </c>
      <c r="AH400" s="997">
        <v>6</v>
      </c>
      <c r="AI400" s="998">
        <f t="shared" ref="AI400:AI463" si="143">IF(SUM(AF400:AH400)=0,"",SUM(AF400:AH400))</f>
        <v>154</v>
      </c>
      <c r="AJ400" s="993">
        <f t="shared" ref="AJ400:AJ463" si="144">IF(AI400="","",AI400/S400)</f>
        <v>1.0845070422535212</v>
      </c>
    </row>
    <row r="401" spans="1:36" ht="16.5" customHeight="1">
      <c r="A401" s="999">
        <f>'09월 조업일지'!A399</f>
        <v>46279</v>
      </c>
      <c r="B401" s="1099">
        <f>'09월 조업일지'!B399</f>
        <v>46279</v>
      </c>
      <c r="C401" s="1000" t="str">
        <f>'09월 화학성분'!D399</f>
        <v>A</v>
      </c>
      <c r="D401" s="1000" t="str">
        <f>'09월 화학성분'!E399</f>
        <v>B</v>
      </c>
      <c r="E401" s="1000">
        <f>'09월 화학성분'!C399</f>
        <v>85601</v>
      </c>
      <c r="F401" s="1001" t="str">
        <f t="shared" si="130"/>
        <v>SHP275W</v>
      </c>
      <c r="G401" s="1172">
        <v>19.100000000000001</v>
      </c>
      <c r="H401" s="985">
        <v>22500</v>
      </c>
      <c r="I401" s="1173">
        <v>16.399999999999999</v>
      </c>
      <c r="J401" s="985">
        <v>20600</v>
      </c>
      <c r="K401" s="1173">
        <v>9.1999999999999993</v>
      </c>
      <c r="L401" s="985">
        <v>11900</v>
      </c>
      <c r="M401" s="1174">
        <f t="shared" si="131"/>
        <v>44.7</v>
      </c>
      <c r="N401" s="984">
        <f t="shared" si="132"/>
        <v>55000</v>
      </c>
      <c r="O401" s="986">
        <f t="shared" si="133"/>
        <v>157.89473684210526</v>
      </c>
      <c r="P401" s="987">
        <f t="shared" si="134"/>
        <v>144.56140350877192</v>
      </c>
      <c r="Q401" s="987">
        <f t="shared" si="135"/>
        <v>83.508771929824562</v>
      </c>
      <c r="R401" s="988">
        <f t="shared" si="136"/>
        <v>385.9649122807017</v>
      </c>
      <c r="S401" s="989">
        <v>142.5</v>
      </c>
      <c r="T401" s="990">
        <v>0</v>
      </c>
      <c r="U401" s="991">
        <v>109</v>
      </c>
      <c r="V401" s="991">
        <v>253</v>
      </c>
      <c r="W401" s="992">
        <f t="shared" si="137"/>
        <v>362</v>
      </c>
      <c r="X401" s="993">
        <f t="shared" si="138"/>
        <v>2.5403508771929824</v>
      </c>
      <c r="Y401" s="990">
        <v>1559</v>
      </c>
      <c r="Z401" s="991">
        <v>1362</v>
      </c>
      <c r="AA401" s="991">
        <v>790</v>
      </c>
      <c r="AB401" s="992">
        <f t="shared" si="139"/>
        <v>3711</v>
      </c>
      <c r="AC401" s="993">
        <f t="shared" si="140"/>
        <v>26.042105263157893</v>
      </c>
      <c r="AD401" s="994">
        <f t="shared" si="141"/>
        <v>4073</v>
      </c>
      <c r="AE401" s="995">
        <f t="shared" si="142"/>
        <v>28.582456140350878</v>
      </c>
      <c r="AF401" s="996">
        <v>85</v>
      </c>
      <c r="AG401" s="997">
        <v>63</v>
      </c>
      <c r="AH401" s="997">
        <v>7</v>
      </c>
      <c r="AI401" s="998">
        <f t="shared" si="143"/>
        <v>155</v>
      </c>
      <c r="AJ401" s="993">
        <f t="shared" si="144"/>
        <v>1.0877192982456141</v>
      </c>
    </row>
    <row r="402" spans="1:36" ht="16.5" customHeight="1">
      <c r="A402" s="999">
        <f>'09월 조업일지'!A400</f>
        <v>46279</v>
      </c>
      <c r="B402" s="1099">
        <f>'09월 조업일지'!B400</f>
        <v>46279</v>
      </c>
      <c r="C402" s="1000" t="str">
        <f>'09월 화학성분'!D400</f>
        <v>A</v>
      </c>
      <c r="D402" s="1000" t="str">
        <f>'09월 화학성분'!E400</f>
        <v>A</v>
      </c>
      <c r="E402" s="1000">
        <f>'09월 화학성분'!C400</f>
        <v>85602</v>
      </c>
      <c r="F402" s="1001" t="str">
        <f t="shared" si="130"/>
        <v>SHP275W</v>
      </c>
      <c r="G402" s="1172">
        <v>20.8</v>
      </c>
      <c r="H402" s="985">
        <v>24800</v>
      </c>
      <c r="I402" s="1173">
        <v>17.5</v>
      </c>
      <c r="J402" s="985">
        <v>20500</v>
      </c>
      <c r="K402" s="1173">
        <v>15.9</v>
      </c>
      <c r="L402" s="985">
        <v>19300</v>
      </c>
      <c r="M402" s="1174">
        <f t="shared" si="131"/>
        <v>54.199999999999996</v>
      </c>
      <c r="N402" s="984">
        <f t="shared" si="132"/>
        <v>64600</v>
      </c>
      <c r="O402" s="986">
        <f t="shared" si="133"/>
        <v>171.50760719225451</v>
      </c>
      <c r="P402" s="987">
        <f t="shared" si="134"/>
        <v>141.77040110650069</v>
      </c>
      <c r="Q402" s="987">
        <f t="shared" si="135"/>
        <v>133.47164591977869</v>
      </c>
      <c r="R402" s="988">
        <f t="shared" si="136"/>
        <v>446.74965421853392</v>
      </c>
      <c r="S402" s="989">
        <v>144.6</v>
      </c>
      <c r="T402" s="990">
        <v>0</v>
      </c>
      <c r="U402" s="991">
        <v>254</v>
      </c>
      <c r="V402" s="991">
        <v>76</v>
      </c>
      <c r="W402" s="992">
        <f t="shared" si="137"/>
        <v>330</v>
      </c>
      <c r="X402" s="993">
        <f t="shared" si="138"/>
        <v>2.2821576763485476</v>
      </c>
      <c r="Y402" s="990">
        <v>1728</v>
      </c>
      <c r="Z402" s="991">
        <v>1431</v>
      </c>
      <c r="AA402" s="991">
        <v>905</v>
      </c>
      <c r="AB402" s="992">
        <f t="shared" si="139"/>
        <v>4064</v>
      </c>
      <c r="AC402" s="993">
        <f t="shared" si="140"/>
        <v>28.105117565698478</v>
      </c>
      <c r="AD402" s="994">
        <f t="shared" si="141"/>
        <v>4394</v>
      </c>
      <c r="AE402" s="995">
        <f t="shared" si="142"/>
        <v>30.387275242047028</v>
      </c>
      <c r="AF402" s="996">
        <v>88</v>
      </c>
      <c r="AG402" s="997">
        <v>67</v>
      </c>
      <c r="AH402" s="997">
        <v>6</v>
      </c>
      <c r="AI402" s="998">
        <f t="shared" si="143"/>
        <v>161</v>
      </c>
      <c r="AJ402" s="993">
        <f t="shared" si="144"/>
        <v>1.1134163208852006</v>
      </c>
    </row>
    <row r="403" spans="1:36" ht="16.5" customHeight="1">
      <c r="A403" s="999">
        <f>'09월 조업일지'!A401</f>
        <v>46279</v>
      </c>
      <c r="B403" s="1099">
        <f>'09월 조업일지'!B401</f>
        <v>46279</v>
      </c>
      <c r="C403" s="1000" t="str">
        <f>'09월 화학성분'!D401</f>
        <v>A</v>
      </c>
      <c r="D403" s="1000" t="str">
        <f>'09월 화학성분'!E401</f>
        <v>B</v>
      </c>
      <c r="E403" s="1000">
        <f>'09월 화학성분'!C401</f>
        <v>85603</v>
      </c>
      <c r="F403" s="1001" t="str">
        <f t="shared" si="130"/>
        <v>SHP275W</v>
      </c>
      <c r="G403" s="1172">
        <v>19.899999999999999</v>
      </c>
      <c r="H403" s="985">
        <v>22700</v>
      </c>
      <c r="I403" s="1173">
        <v>16.3</v>
      </c>
      <c r="J403" s="985">
        <v>20600</v>
      </c>
      <c r="K403" s="1173">
        <v>9.5</v>
      </c>
      <c r="L403" s="985">
        <v>11600</v>
      </c>
      <c r="M403" s="1174">
        <f t="shared" si="131"/>
        <v>45.7</v>
      </c>
      <c r="N403" s="984">
        <f t="shared" si="132"/>
        <v>54900</v>
      </c>
      <c r="O403" s="986">
        <f t="shared" si="133"/>
        <v>160.53748231966054</v>
      </c>
      <c r="P403" s="987">
        <f t="shared" si="134"/>
        <v>145.68599717114569</v>
      </c>
      <c r="Q403" s="987">
        <f t="shared" si="135"/>
        <v>82.036775106082032</v>
      </c>
      <c r="R403" s="988">
        <f t="shared" si="136"/>
        <v>388.26025459688822</v>
      </c>
      <c r="S403" s="989">
        <v>141.4</v>
      </c>
      <c r="T403" s="990">
        <v>0</v>
      </c>
      <c r="U403" s="991">
        <v>133</v>
      </c>
      <c r="V403" s="991">
        <v>242</v>
      </c>
      <c r="W403" s="992">
        <f t="shared" si="137"/>
        <v>375</v>
      </c>
      <c r="X403" s="993">
        <f t="shared" si="138"/>
        <v>2.6520509193776518</v>
      </c>
      <c r="Y403" s="990">
        <v>1597</v>
      </c>
      <c r="Z403" s="991">
        <v>1360</v>
      </c>
      <c r="AA403" s="991">
        <v>871</v>
      </c>
      <c r="AB403" s="992">
        <f t="shared" si="139"/>
        <v>3828</v>
      </c>
      <c r="AC403" s="993">
        <f t="shared" si="140"/>
        <v>27.07213578500707</v>
      </c>
      <c r="AD403" s="994">
        <f t="shared" si="141"/>
        <v>4203</v>
      </c>
      <c r="AE403" s="995">
        <f t="shared" si="142"/>
        <v>29.724186704384724</v>
      </c>
      <c r="AF403" s="996">
        <v>87</v>
      </c>
      <c r="AG403" s="997">
        <v>62</v>
      </c>
      <c r="AH403" s="997">
        <v>8</v>
      </c>
      <c r="AI403" s="998">
        <f t="shared" si="143"/>
        <v>157</v>
      </c>
      <c r="AJ403" s="993">
        <f t="shared" si="144"/>
        <v>1.1103253182461104</v>
      </c>
    </row>
    <row r="404" spans="1:36" ht="16.5" customHeight="1">
      <c r="A404" s="999">
        <f>'09월 조업일지'!A402</f>
        <v>46279</v>
      </c>
      <c r="B404" s="1099">
        <f>'09월 조업일지'!B402</f>
        <v>46279</v>
      </c>
      <c r="C404" s="1000" t="str">
        <f>'09월 화학성분'!D402</f>
        <v>A</v>
      </c>
      <c r="D404" s="1000" t="str">
        <f>'09월 화학성분'!E402</f>
        <v>A</v>
      </c>
      <c r="E404" s="1000">
        <f>'09월 화학성분'!C402</f>
        <v>85604</v>
      </c>
      <c r="F404" s="1001" t="str">
        <f t="shared" si="130"/>
        <v>SHP275W</v>
      </c>
      <c r="G404" s="1172">
        <v>19.899999999999999</v>
      </c>
      <c r="H404" s="985">
        <v>23200</v>
      </c>
      <c r="I404" s="1173">
        <v>17.5</v>
      </c>
      <c r="J404" s="985">
        <v>20600</v>
      </c>
      <c r="K404" s="1173">
        <v>9.1</v>
      </c>
      <c r="L404" s="985">
        <v>11500</v>
      </c>
      <c r="M404" s="1174">
        <f t="shared" si="131"/>
        <v>46.5</v>
      </c>
      <c r="N404" s="984">
        <f t="shared" si="132"/>
        <v>55300</v>
      </c>
      <c r="O404" s="986">
        <f t="shared" si="133"/>
        <v>160</v>
      </c>
      <c r="P404" s="987">
        <f t="shared" si="134"/>
        <v>142.06896551724137</v>
      </c>
      <c r="Q404" s="987">
        <f t="shared" si="135"/>
        <v>79.310344827586206</v>
      </c>
      <c r="R404" s="988">
        <f t="shared" si="136"/>
        <v>381.37931034482762</v>
      </c>
      <c r="S404" s="989">
        <v>145</v>
      </c>
      <c r="T404" s="990">
        <v>0</v>
      </c>
      <c r="U404" s="991">
        <v>241</v>
      </c>
      <c r="V404" s="991">
        <v>34</v>
      </c>
      <c r="W404" s="992">
        <f t="shared" si="137"/>
        <v>275</v>
      </c>
      <c r="X404" s="993">
        <f t="shared" si="138"/>
        <v>1.896551724137931</v>
      </c>
      <c r="Y404" s="990">
        <v>1648</v>
      </c>
      <c r="Z404" s="991">
        <v>1467</v>
      </c>
      <c r="AA404" s="991">
        <v>542</v>
      </c>
      <c r="AB404" s="992">
        <f t="shared" si="139"/>
        <v>3657</v>
      </c>
      <c r="AC404" s="993">
        <f t="shared" si="140"/>
        <v>25.220689655172414</v>
      </c>
      <c r="AD404" s="994">
        <f t="shared" si="141"/>
        <v>3932</v>
      </c>
      <c r="AE404" s="995">
        <f t="shared" si="142"/>
        <v>27.117241379310343</v>
      </c>
      <c r="AF404" s="996">
        <v>86</v>
      </c>
      <c r="AG404" s="997">
        <v>67</v>
      </c>
      <c r="AH404" s="997">
        <v>4</v>
      </c>
      <c r="AI404" s="998">
        <f t="shared" si="143"/>
        <v>157</v>
      </c>
      <c r="AJ404" s="993">
        <f t="shared" si="144"/>
        <v>1.0827586206896551</v>
      </c>
    </row>
    <row r="405" spans="1:36" ht="16.5" customHeight="1">
      <c r="A405" s="999">
        <f>'09월 조업일지'!A403</f>
        <v>46279</v>
      </c>
      <c r="B405" s="1099">
        <f>'09월 조업일지'!B403</f>
        <v>46279</v>
      </c>
      <c r="C405" s="1000" t="str">
        <f>'09월 화학성분'!D403</f>
        <v>A</v>
      </c>
      <c r="D405" s="1000" t="str">
        <f>'09월 화학성분'!E403</f>
        <v>B</v>
      </c>
      <c r="E405" s="1000">
        <f>'09월 화학성분'!C403</f>
        <v>85605</v>
      </c>
      <c r="F405" s="1001" t="str">
        <f t="shared" si="130"/>
        <v>SHP275W</v>
      </c>
      <c r="G405" s="1172">
        <v>19.8</v>
      </c>
      <c r="H405" s="985">
        <v>22700</v>
      </c>
      <c r="I405" s="1173">
        <v>16.8</v>
      </c>
      <c r="J405" s="985">
        <v>20600</v>
      </c>
      <c r="K405" s="1173">
        <v>9.1999999999999993</v>
      </c>
      <c r="L405" s="985">
        <v>11800</v>
      </c>
      <c r="M405" s="1174">
        <f t="shared" si="131"/>
        <v>45.8</v>
      </c>
      <c r="N405" s="984">
        <f t="shared" si="132"/>
        <v>55100</v>
      </c>
      <c r="O405" s="986">
        <f t="shared" si="133"/>
        <v>159.2982456140351</v>
      </c>
      <c r="P405" s="987">
        <f t="shared" si="134"/>
        <v>144.56140350877192</v>
      </c>
      <c r="Q405" s="987">
        <f t="shared" si="135"/>
        <v>82.807017543859644</v>
      </c>
      <c r="R405" s="988">
        <f t="shared" si="136"/>
        <v>386.66666666666663</v>
      </c>
      <c r="S405" s="989">
        <v>142.5</v>
      </c>
      <c r="T405" s="990">
        <v>0</v>
      </c>
      <c r="U405" s="991">
        <v>164</v>
      </c>
      <c r="V405" s="991">
        <v>209</v>
      </c>
      <c r="W405" s="992">
        <f t="shared" si="137"/>
        <v>373</v>
      </c>
      <c r="X405" s="993">
        <f t="shared" si="138"/>
        <v>2.617543859649123</v>
      </c>
      <c r="Y405" s="990">
        <v>1629</v>
      </c>
      <c r="Z405" s="991">
        <v>1420</v>
      </c>
      <c r="AA405" s="991">
        <v>787</v>
      </c>
      <c r="AB405" s="992">
        <f t="shared" si="139"/>
        <v>3836</v>
      </c>
      <c r="AC405" s="993">
        <f t="shared" si="140"/>
        <v>26.919298245614034</v>
      </c>
      <c r="AD405" s="994">
        <f t="shared" si="141"/>
        <v>4209</v>
      </c>
      <c r="AE405" s="995">
        <f t="shared" si="142"/>
        <v>29.536842105263158</v>
      </c>
      <c r="AF405" s="996">
        <v>89</v>
      </c>
      <c r="AG405" s="997">
        <v>65</v>
      </c>
      <c r="AH405" s="997">
        <v>8</v>
      </c>
      <c r="AI405" s="998">
        <f t="shared" si="143"/>
        <v>162</v>
      </c>
      <c r="AJ405" s="993">
        <f t="shared" si="144"/>
        <v>1.1368421052631579</v>
      </c>
    </row>
    <row r="406" spans="1:36" ht="16.5" customHeight="1">
      <c r="A406" s="999">
        <f>'09월 조업일지'!A404</f>
        <v>46279</v>
      </c>
      <c r="B406" s="1099">
        <f>'09월 조업일지'!B404</f>
        <v>46279</v>
      </c>
      <c r="C406" s="1000" t="str">
        <f>'09월 화학성분'!D404</f>
        <v>A</v>
      </c>
      <c r="D406" s="1000" t="str">
        <f>'09월 화학성분'!E404</f>
        <v>A</v>
      </c>
      <c r="E406" s="1000">
        <f>'09월 화학성분'!C404</f>
        <v>85606</v>
      </c>
      <c r="F406" s="1001" t="str">
        <f t="shared" si="130"/>
        <v>SHP275W</v>
      </c>
      <c r="G406" s="1172">
        <v>19.7</v>
      </c>
      <c r="H406" s="985">
        <v>23800</v>
      </c>
      <c r="I406" s="1173">
        <v>16.600000000000001</v>
      </c>
      <c r="J406" s="985">
        <v>20600</v>
      </c>
      <c r="K406" s="1173">
        <v>11.5</v>
      </c>
      <c r="L406" s="985">
        <v>14400</v>
      </c>
      <c r="M406" s="1174">
        <f t="shared" si="131"/>
        <v>47.8</v>
      </c>
      <c r="N406" s="984">
        <f t="shared" si="132"/>
        <v>58800</v>
      </c>
      <c r="O406" s="986">
        <f t="shared" si="133"/>
        <v>164.47823082239117</v>
      </c>
      <c r="P406" s="987">
        <f t="shared" si="134"/>
        <v>142.36351071181755</v>
      </c>
      <c r="Q406" s="987">
        <f t="shared" si="135"/>
        <v>99.516240497581208</v>
      </c>
      <c r="R406" s="988">
        <f t="shared" si="136"/>
        <v>406.3579820317899</v>
      </c>
      <c r="S406" s="989">
        <v>144.69999999999999</v>
      </c>
      <c r="T406" s="990">
        <v>0</v>
      </c>
      <c r="U406" s="991">
        <v>210</v>
      </c>
      <c r="V406" s="991">
        <v>170</v>
      </c>
      <c r="W406" s="992">
        <f t="shared" si="137"/>
        <v>380</v>
      </c>
      <c r="X406" s="993">
        <f t="shared" si="138"/>
        <v>2.6261230131306155</v>
      </c>
      <c r="Y406" s="990">
        <v>1643</v>
      </c>
      <c r="Z406" s="991">
        <v>1377</v>
      </c>
      <c r="AA406" s="991">
        <v>735</v>
      </c>
      <c r="AB406" s="992">
        <f t="shared" si="139"/>
        <v>3755</v>
      </c>
      <c r="AC406" s="993">
        <f t="shared" si="140"/>
        <v>25.950241879751211</v>
      </c>
      <c r="AD406" s="994">
        <f t="shared" si="141"/>
        <v>4135</v>
      </c>
      <c r="AE406" s="995">
        <f t="shared" si="142"/>
        <v>28.576364892881827</v>
      </c>
      <c r="AF406" s="996">
        <v>82</v>
      </c>
      <c r="AG406" s="997">
        <v>66</v>
      </c>
      <c r="AH406" s="997">
        <v>6</v>
      </c>
      <c r="AI406" s="998">
        <f t="shared" si="143"/>
        <v>154</v>
      </c>
      <c r="AJ406" s="993">
        <f t="shared" si="144"/>
        <v>1.0642709053213546</v>
      </c>
    </row>
    <row r="407" spans="1:36" ht="16.5" customHeight="1">
      <c r="A407" s="999">
        <f>'09월 조업일지'!A405</f>
        <v>46279</v>
      </c>
      <c r="B407" s="1099">
        <f>'09월 조업일지'!B405</f>
        <v>46279</v>
      </c>
      <c r="C407" s="1000" t="str">
        <f>'09월 화학성분'!D405</f>
        <v>A</v>
      </c>
      <c r="D407" s="1000" t="str">
        <f>'09월 화학성분'!E405</f>
        <v>B</v>
      </c>
      <c r="E407" s="1000">
        <f>'09월 화학성분'!C405</f>
        <v>85607</v>
      </c>
      <c r="F407" s="1001" t="str">
        <f t="shared" si="130"/>
        <v>SHP275W</v>
      </c>
      <c r="G407" s="1172">
        <v>19</v>
      </c>
      <c r="H407" s="985">
        <v>23000</v>
      </c>
      <c r="I407" s="1173">
        <v>16.5</v>
      </c>
      <c r="J407" s="985">
        <v>20400</v>
      </c>
      <c r="K407" s="1173">
        <v>9.4</v>
      </c>
      <c r="L407" s="985">
        <v>12000</v>
      </c>
      <c r="M407" s="1174">
        <f t="shared" si="131"/>
        <v>44.9</v>
      </c>
      <c r="N407" s="984">
        <f t="shared" si="132"/>
        <v>55400</v>
      </c>
      <c r="O407" s="986">
        <f t="shared" si="133"/>
        <v>161.40350877192984</v>
      </c>
      <c r="P407" s="987">
        <f t="shared" si="134"/>
        <v>143.15789473684211</v>
      </c>
      <c r="Q407" s="987">
        <f t="shared" si="135"/>
        <v>84.21052631578948</v>
      </c>
      <c r="R407" s="988">
        <f t="shared" si="136"/>
        <v>388.77192982456143</v>
      </c>
      <c r="S407" s="989">
        <v>142.5</v>
      </c>
      <c r="T407" s="990">
        <v>0</v>
      </c>
      <c r="U407" s="991">
        <v>148</v>
      </c>
      <c r="V407" s="991">
        <v>227</v>
      </c>
      <c r="W407" s="992">
        <f t="shared" si="137"/>
        <v>375</v>
      </c>
      <c r="X407" s="993">
        <f t="shared" si="138"/>
        <v>2.6315789473684212</v>
      </c>
      <c r="Y407" s="990">
        <v>1590</v>
      </c>
      <c r="Z407" s="991">
        <v>1360</v>
      </c>
      <c r="AA407" s="991">
        <v>767</v>
      </c>
      <c r="AB407" s="992">
        <f t="shared" si="139"/>
        <v>3717</v>
      </c>
      <c r="AC407" s="993">
        <f t="shared" si="140"/>
        <v>26.08421052631579</v>
      </c>
      <c r="AD407" s="994">
        <f t="shared" si="141"/>
        <v>4092</v>
      </c>
      <c r="AE407" s="995">
        <f t="shared" si="142"/>
        <v>28.715789473684211</v>
      </c>
      <c r="AF407" s="996">
        <v>85</v>
      </c>
      <c r="AG407" s="997">
        <v>64</v>
      </c>
      <c r="AH407" s="997">
        <v>7</v>
      </c>
      <c r="AI407" s="998">
        <f t="shared" si="143"/>
        <v>156</v>
      </c>
      <c r="AJ407" s="993">
        <f t="shared" si="144"/>
        <v>1.0947368421052632</v>
      </c>
    </row>
    <row r="408" spans="1:36" ht="16.5" customHeight="1">
      <c r="A408" s="999">
        <f>'09월 조업일지'!A406</f>
        <v>46279</v>
      </c>
      <c r="B408" s="1099">
        <f>'09월 조업일지'!B406</f>
        <v>46279</v>
      </c>
      <c r="C408" s="1000" t="str">
        <f>'09월 화학성분'!D406</f>
        <v>A</v>
      </c>
      <c r="D408" s="1000" t="str">
        <f>'09월 화학성분'!E406</f>
        <v>A</v>
      </c>
      <c r="E408" s="1000">
        <f>'09월 화학성분'!C406</f>
        <v>85608</v>
      </c>
      <c r="F408" s="1001" t="str">
        <f t="shared" si="130"/>
        <v>SHP275W</v>
      </c>
      <c r="G408" s="1172">
        <v>19.100000000000001</v>
      </c>
      <c r="H408" s="985">
        <v>22800</v>
      </c>
      <c r="I408" s="1173">
        <v>17</v>
      </c>
      <c r="J408" s="985">
        <v>20700</v>
      </c>
      <c r="K408" s="1173">
        <v>7.9</v>
      </c>
      <c r="L408" s="985">
        <v>10000</v>
      </c>
      <c r="M408" s="1174">
        <f t="shared" si="131"/>
        <v>44</v>
      </c>
      <c r="N408" s="984">
        <f t="shared" si="132"/>
        <v>53500</v>
      </c>
      <c r="O408" s="986">
        <f t="shared" si="133"/>
        <v>156.16438356164383</v>
      </c>
      <c r="P408" s="987">
        <f t="shared" si="134"/>
        <v>141.78082191780823</v>
      </c>
      <c r="Q408" s="987">
        <f t="shared" si="135"/>
        <v>68.493150684931507</v>
      </c>
      <c r="R408" s="988">
        <f t="shared" si="136"/>
        <v>366.43835616438355</v>
      </c>
      <c r="S408" s="989">
        <v>146</v>
      </c>
      <c r="T408" s="990">
        <v>0</v>
      </c>
      <c r="U408" s="991">
        <v>117</v>
      </c>
      <c r="V408" s="991">
        <v>217</v>
      </c>
      <c r="W408" s="992">
        <f t="shared" si="137"/>
        <v>334</v>
      </c>
      <c r="X408" s="993">
        <f t="shared" si="138"/>
        <v>2.2876712328767121</v>
      </c>
      <c r="Y408" s="990">
        <v>1544</v>
      </c>
      <c r="Z408" s="991">
        <v>1394</v>
      </c>
      <c r="AA408" s="991">
        <v>604</v>
      </c>
      <c r="AB408" s="992">
        <f t="shared" si="139"/>
        <v>3542</v>
      </c>
      <c r="AC408" s="993">
        <f t="shared" si="140"/>
        <v>24.260273972602739</v>
      </c>
      <c r="AD408" s="994">
        <f t="shared" si="141"/>
        <v>3876</v>
      </c>
      <c r="AE408" s="995">
        <f t="shared" si="142"/>
        <v>26.547945205479451</v>
      </c>
      <c r="AF408" s="996">
        <v>83</v>
      </c>
      <c r="AG408" s="997">
        <v>64</v>
      </c>
      <c r="AH408" s="997">
        <v>5</v>
      </c>
      <c r="AI408" s="998">
        <f t="shared" si="143"/>
        <v>152</v>
      </c>
      <c r="AJ408" s="993">
        <f t="shared" si="144"/>
        <v>1.0410958904109588</v>
      </c>
    </row>
    <row r="409" spans="1:36" ht="16.5" customHeight="1">
      <c r="A409" s="999">
        <f>'09월 조업일지'!A407</f>
        <v>46279</v>
      </c>
      <c r="B409" s="1099">
        <f>'09월 조업일지'!B407</f>
        <v>46279</v>
      </c>
      <c r="C409" s="1000" t="str">
        <f>'09월 화학성분'!D407</f>
        <v>A</v>
      </c>
      <c r="D409" s="1000" t="str">
        <f>'09월 화학성분'!E407</f>
        <v>B</v>
      </c>
      <c r="E409" s="1000">
        <f>'09월 화학성분'!C407</f>
        <v>85609</v>
      </c>
      <c r="F409" s="1001" t="str">
        <f t="shared" si="130"/>
        <v>SHP275W</v>
      </c>
      <c r="G409" s="1172">
        <v>20</v>
      </c>
      <c r="H409" s="985">
        <v>24300</v>
      </c>
      <c r="I409" s="1173">
        <v>16.3</v>
      </c>
      <c r="J409" s="985">
        <v>20500</v>
      </c>
      <c r="K409" s="1173">
        <v>9.1</v>
      </c>
      <c r="L409" s="985">
        <v>11600</v>
      </c>
      <c r="M409" s="1174">
        <f t="shared" si="131"/>
        <v>45.4</v>
      </c>
      <c r="N409" s="984">
        <f t="shared" si="132"/>
        <v>56400</v>
      </c>
      <c r="O409" s="986">
        <f t="shared" si="133"/>
        <v>169.10229645093946</v>
      </c>
      <c r="P409" s="987">
        <f t="shared" si="134"/>
        <v>142.65831593597775</v>
      </c>
      <c r="Q409" s="987">
        <f t="shared" si="135"/>
        <v>80.723729993041061</v>
      </c>
      <c r="R409" s="988">
        <f t="shared" si="136"/>
        <v>392.48434237995826</v>
      </c>
      <c r="S409" s="989">
        <v>143.69999999999999</v>
      </c>
      <c r="T409" s="990">
        <v>0</v>
      </c>
      <c r="U409" s="991">
        <v>203</v>
      </c>
      <c r="V409" s="991">
        <v>184</v>
      </c>
      <c r="W409" s="992">
        <f t="shared" si="137"/>
        <v>387</v>
      </c>
      <c r="X409" s="993">
        <f t="shared" si="138"/>
        <v>2.6931106471816286</v>
      </c>
      <c r="Y409" s="990">
        <v>1669</v>
      </c>
      <c r="Z409" s="991">
        <v>1365</v>
      </c>
      <c r="AA409" s="991">
        <v>758</v>
      </c>
      <c r="AB409" s="992">
        <f t="shared" si="139"/>
        <v>3792</v>
      </c>
      <c r="AC409" s="993">
        <f t="shared" si="140"/>
        <v>26.388308977035493</v>
      </c>
      <c r="AD409" s="994">
        <f t="shared" si="141"/>
        <v>4179</v>
      </c>
      <c r="AE409" s="995">
        <f t="shared" si="142"/>
        <v>29.081419624217123</v>
      </c>
      <c r="AF409" s="996">
        <v>84</v>
      </c>
      <c r="AG409" s="997">
        <v>67</v>
      </c>
      <c r="AH409" s="997">
        <v>8</v>
      </c>
      <c r="AI409" s="998">
        <f t="shared" si="143"/>
        <v>159</v>
      </c>
      <c r="AJ409" s="993">
        <f t="shared" si="144"/>
        <v>1.1064718162839249</v>
      </c>
    </row>
    <row r="410" spans="1:36" ht="16.5" customHeight="1">
      <c r="A410" s="999">
        <f>'09월 조업일지'!A408</f>
        <v>46279</v>
      </c>
      <c r="B410" s="1099">
        <f>'09월 조업일지'!B408</f>
        <v>46279</v>
      </c>
      <c r="C410" s="1000" t="str">
        <f>'09월 화학성분'!D408</f>
        <v>C</v>
      </c>
      <c r="D410" s="1000" t="str">
        <f>'09월 화학성분'!E408</f>
        <v>A</v>
      </c>
      <c r="E410" s="1000">
        <f>'09월 화학성분'!C408</f>
        <v>85610</v>
      </c>
      <c r="F410" s="1001" t="str">
        <f t="shared" si="130"/>
        <v>SHP275W</v>
      </c>
      <c r="G410" s="1172">
        <v>19.899999999999999</v>
      </c>
      <c r="H410" s="985">
        <v>24200</v>
      </c>
      <c r="I410" s="1173">
        <v>17.5</v>
      </c>
      <c r="J410" s="985">
        <v>21000</v>
      </c>
      <c r="K410" s="1173">
        <v>7.9</v>
      </c>
      <c r="L410" s="985">
        <v>10000</v>
      </c>
      <c r="M410" s="1174">
        <f t="shared" si="131"/>
        <v>45.3</v>
      </c>
      <c r="N410" s="984">
        <f t="shared" si="132"/>
        <v>55200</v>
      </c>
      <c r="O410" s="986">
        <f t="shared" si="133"/>
        <v>166.32302405498282</v>
      </c>
      <c r="P410" s="987">
        <f t="shared" si="134"/>
        <v>144.32989690721649</v>
      </c>
      <c r="Q410" s="987">
        <f t="shared" si="135"/>
        <v>68.728522336769757</v>
      </c>
      <c r="R410" s="988">
        <f t="shared" si="136"/>
        <v>379.38144329896909</v>
      </c>
      <c r="S410" s="989">
        <v>145.5</v>
      </c>
      <c r="T410" s="990">
        <v>0</v>
      </c>
      <c r="U410" s="991">
        <v>73</v>
      </c>
      <c r="V410" s="991">
        <v>276</v>
      </c>
      <c r="W410" s="992">
        <f t="shared" si="137"/>
        <v>349</v>
      </c>
      <c r="X410" s="993">
        <f t="shared" si="138"/>
        <v>2.3986254295532645</v>
      </c>
      <c r="Y410" s="990">
        <v>1638</v>
      </c>
      <c r="Z410" s="991">
        <v>1442</v>
      </c>
      <c r="AA410" s="991">
        <v>547</v>
      </c>
      <c r="AB410" s="992">
        <f t="shared" si="139"/>
        <v>3627</v>
      </c>
      <c r="AC410" s="993">
        <f t="shared" si="140"/>
        <v>24.927835051546392</v>
      </c>
      <c r="AD410" s="994">
        <f t="shared" si="141"/>
        <v>3976</v>
      </c>
      <c r="AE410" s="995">
        <f t="shared" si="142"/>
        <v>27.326460481099655</v>
      </c>
      <c r="AF410" s="996">
        <v>82</v>
      </c>
      <c r="AG410" s="997">
        <v>67</v>
      </c>
      <c r="AH410" s="997">
        <v>5</v>
      </c>
      <c r="AI410" s="998">
        <f t="shared" si="143"/>
        <v>154</v>
      </c>
      <c r="AJ410" s="993">
        <f t="shared" si="144"/>
        <v>1.0584192439862543</v>
      </c>
    </row>
    <row r="411" spans="1:36" ht="16.5" customHeight="1">
      <c r="A411" s="999">
        <f>'09월 조업일지'!A409</f>
        <v>46279</v>
      </c>
      <c r="B411" s="1099">
        <f>'09월 조업일지'!B409</f>
        <v>46279</v>
      </c>
      <c r="C411" s="1000" t="str">
        <f>'09월 화학성분'!D409</f>
        <v>C</v>
      </c>
      <c r="D411" s="1000" t="str">
        <f>'09월 화학성분'!E409</f>
        <v>B</v>
      </c>
      <c r="E411" s="1000">
        <f>'09월 화학성분'!C409</f>
        <v>85611</v>
      </c>
      <c r="F411" s="1001" t="str">
        <f t="shared" si="130"/>
        <v>SHP275W</v>
      </c>
      <c r="G411" s="1172">
        <v>19.2</v>
      </c>
      <c r="H411" s="985">
        <v>22300</v>
      </c>
      <c r="I411" s="1173">
        <v>16.8</v>
      </c>
      <c r="J411" s="985">
        <v>20800</v>
      </c>
      <c r="K411" s="1173">
        <v>9.6999999999999993</v>
      </c>
      <c r="L411" s="985">
        <v>12600</v>
      </c>
      <c r="M411" s="1174">
        <f t="shared" si="131"/>
        <v>45.7</v>
      </c>
      <c r="N411" s="984">
        <f t="shared" si="132"/>
        <v>55700</v>
      </c>
      <c r="O411" s="986">
        <f t="shared" si="133"/>
        <v>155.72625698324023</v>
      </c>
      <c r="P411" s="987">
        <f t="shared" si="134"/>
        <v>145.2513966480447</v>
      </c>
      <c r="Q411" s="987">
        <f t="shared" si="135"/>
        <v>87.988826815642469</v>
      </c>
      <c r="R411" s="988">
        <f t="shared" si="136"/>
        <v>388.96648044692745</v>
      </c>
      <c r="S411" s="989">
        <v>143.19999999999999</v>
      </c>
      <c r="T411" s="990">
        <v>0</v>
      </c>
      <c r="U411" s="991">
        <v>0</v>
      </c>
      <c r="V411" s="991">
        <v>312</v>
      </c>
      <c r="W411" s="992">
        <f t="shared" si="137"/>
        <v>312</v>
      </c>
      <c r="X411" s="993">
        <f t="shared" si="138"/>
        <v>2.1787709497206706</v>
      </c>
      <c r="Y411" s="990">
        <v>1575</v>
      </c>
      <c r="Z411" s="991">
        <v>1399</v>
      </c>
      <c r="AA411" s="991">
        <v>784</v>
      </c>
      <c r="AB411" s="992">
        <f t="shared" si="139"/>
        <v>3758</v>
      </c>
      <c r="AC411" s="993">
        <f t="shared" si="140"/>
        <v>26.243016759776538</v>
      </c>
      <c r="AD411" s="994">
        <f t="shared" si="141"/>
        <v>4070</v>
      </c>
      <c r="AE411" s="995">
        <f t="shared" si="142"/>
        <v>28.42178770949721</v>
      </c>
      <c r="AF411" s="996">
        <v>87</v>
      </c>
      <c r="AG411" s="997">
        <v>62</v>
      </c>
      <c r="AH411" s="997">
        <v>7</v>
      </c>
      <c r="AI411" s="998">
        <f t="shared" si="143"/>
        <v>156</v>
      </c>
      <c r="AJ411" s="993">
        <f t="shared" si="144"/>
        <v>1.0893854748603353</v>
      </c>
    </row>
    <row r="412" spans="1:36" ht="16.5" customHeight="1">
      <c r="A412" s="999">
        <f>'09월 조업일지'!A410</f>
        <v>46279</v>
      </c>
      <c r="B412" s="1099">
        <f>'09월 조업일지'!B410</f>
        <v>46279</v>
      </c>
      <c r="C412" s="1000" t="str">
        <f>'09월 화학성분'!D410</f>
        <v>C</v>
      </c>
      <c r="D412" s="1000" t="str">
        <f>'09월 화학성분'!E410</f>
        <v>A</v>
      </c>
      <c r="E412" s="1000">
        <f>'09월 화학성분'!C410</f>
        <v>85612</v>
      </c>
      <c r="F412" s="1001" t="str">
        <f t="shared" si="130"/>
        <v>SHP275W</v>
      </c>
      <c r="G412" s="1172">
        <v>19.2</v>
      </c>
      <c r="H412" s="985">
        <v>22900</v>
      </c>
      <c r="I412" s="1173">
        <v>17.3</v>
      </c>
      <c r="J412" s="985">
        <v>20700</v>
      </c>
      <c r="K412" s="1173">
        <v>9.6</v>
      </c>
      <c r="L412" s="985">
        <v>12000</v>
      </c>
      <c r="M412" s="1174">
        <f t="shared" si="131"/>
        <v>46.1</v>
      </c>
      <c r="N412" s="984">
        <f t="shared" si="132"/>
        <v>55600</v>
      </c>
      <c r="O412" s="986">
        <f t="shared" si="133"/>
        <v>158.25846579129234</v>
      </c>
      <c r="P412" s="987">
        <f t="shared" si="134"/>
        <v>143.054595715273</v>
      </c>
      <c r="Q412" s="987">
        <f t="shared" si="135"/>
        <v>82.930200414651011</v>
      </c>
      <c r="R412" s="988">
        <f t="shared" si="136"/>
        <v>384.24326192121634</v>
      </c>
      <c r="S412" s="989">
        <v>144.69999999999999</v>
      </c>
      <c r="T412" s="990">
        <v>0</v>
      </c>
      <c r="U412" s="991">
        <v>28</v>
      </c>
      <c r="V412" s="991">
        <v>300</v>
      </c>
      <c r="W412" s="992">
        <f t="shared" si="137"/>
        <v>328</v>
      </c>
      <c r="X412" s="993">
        <f t="shared" si="138"/>
        <v>2.2667588113337942</v>
      </c>
      <c r="Y412" s="990">
        <v>1590</v>
      </c>
      <c r="Z412" s="991">
        <v>1415</v>
      </c>
      <c r="AA412" s="991">
        <v>660</v>
      </c>
      <c r="AB412" s="992">
        <f t="shared" si="139"/>
        <v>3665</v>
      </c>
      <c r="AC412" s="993">
        <f t="shared" si="140"/>
        <v>25.32826537664133</v>
      </c>
      <c r="AD412" s="994">
        <f t="shared" si="141"/>
        <v>3993</v>
      </c>
      <c r="AE412" s="995">
        <f t="shared" si="142"/>
        <v>27.595024187975124</v>
      </c>
      <c r="AF412" s="996">
        <v>82</v>
      </c>
      <c r="AG412" s="997">
        <v>66</v>
      </c>
      <c r="AH412" s="997">
        <v>5</v>
      </c>
      <c r="AI412" s="998">
        <f t="shared" si="143"/>
        <v>153</v>
      </c>
      <c r="AJ412" s="993">
        <f t="shared" si="144"/>
        <v>1.0573600552868003</v>
      </c>
    </row>
    <row r="413" spans="1:36" ht="16.5" customHeight="1">
      <c r="A413" s="999">
        <f>'09월 조업일지'!A411</f>
        <v>46279</v>
      </c>
      <c r="B413" s="1099">
        <f>'09월 조업일지'!B411</f>
        <v>46279</v>
      </c>
      <c r="C413" s="1000" t="str">
        <f>'09월 화학성분'!D411</f>
        <v>C</v>
      </c>
      <c r="D413" s="1000" t="str">
        <f>'09월 화학성분'!E411</f>
        <v>B</v>
      </c>
      <c r="E413" s="1000">
        <f>'09월 화학성분'!C411</f>
        <v>85613</v>
      </c>
      <c r="F413" s="1001" t="str">
        <f t="shared" si="130"/>
        <v>SHP275W</v>
      </c>
      <c r="G413" s="1172">
        <v>19.399999999999999</v>
      </c>
      <c r="H413" s="985">
        <v>22500</v>
      </c>
      <c r="I413" s="1173">
        <v>16.3</v>
      </c>
      <c r="J413" s="985">
        <v>20400</v>
      </c>
      <c r="K413" s="1173">
        <v>10.199999999999999</v>
      </c>
      <c r="L413" s="985">
        <v>13100</v>
      </c>
      <c r="M413" s="1174">
        <f t="shared" si="131"/>
        <v>45.900000000000006</v>
      </c>
      <c r="N413" s="984">
        <f t="shared" si="132"/>
        <v>56000</v>
      </c>
      <c r="O413" s="986">
        <f t="shared" si="133"/>
        <v>158.89830508474577</v>
      </c>
      <c r="P413" s="987">
        <f t="shared" si="134"/>
        <v>144.06779661016949</v>
      </c>
      <c r="Q413" s="987">
        <f t="shared" si="135"/>
        <v>92.514124293785315</v>
      </c>
      <c r="R413" s="988">
        <f t="shared" si="136"/>
        <v>395.48022598870057</v>
      </c>
      <c r="S413" s="989">
        <v>141.6</v>
      </c>
      <c r="T413" s="990">
        <v>0</v>
      </c>
      <c r="U413" s="991">
        <v>0</v>
      </c>
      <c r="V413" s="991">
        <v>306</v>
      </c>
      <c r="W413" s="992">
        <f t="shared" si="137"/>
        <v>306</v>
      </c>
      <c r="X413" s="993">
        <f t="shared" si="138"/>
        <v>2.1610169491525424</v>
      </c>
      <c r="Y413" s="990">
        <v>1591</v>
      </c>
      <c r="Z413" s="991">
        <v>1352</v>
      </c>
      <c r="AA413" s="991">
        <v>853</v>
      </c>
      <c r="AB413" s="992">
        <f t="shared" si="139"/>
        <v>3796</v>
      </c>
      <c r="AC413" s="993">
        <f t="shared" si="140"/>
        <v>26.807909604519775</v>
      </c>
      <c r="AD413" s="994">
        <f t="shared" si="141"/>
        <v>4102</v>
      </c>
      <c r="AE413" s="995">
        <f t="shared" si="142"/>
        <v>28.968926553672318</v>
      </c>
      <c r="AF413" s="996">
        <v>81</v>
      </c>
      <c r="AG413" s="997">
        <v>67</v>
      </c>
      <c r="AH413" s="997">
        <v>7</v>
      </c>
      <c r="AI413" s="998">
        <f t="shared" si="143"/>
        <v>155</v>
      </c>
      <c r="AJ413" s="993">
        <f t="shared" si="144"/>
        <v>1.094632768361582</v>
      </c>
    </row>
    <row r="414" spans="1:36" ht="16.5" customHeight="1">
      <c r="A414" s="999">
        <f>'09월 조업일지'!A412</f>
        <v>46279</v>
      </c>
      <c r="B414" s="1099">
        <f>'09월 조업일지'!B412</f>
        <v>46279</v>
      </c>
      <c r="C414" s="1000" t="str">
        <f>'09월 화학성분'!D412</f>
        <v>C</v>
      </c>
      <c r="D414" s="1000" t="str">
        <f>'09월 화학성분'!E412</f>
        <v>A</v>
      </c>
      <c r="E414" s="1000">
        <f>'09월 화학성분'!C412</f>
        <v>85614</v>
      </c>
      <c r="F414" s="1001" t="str">
        <f t="shared" si="130"/>
        <v>SHP275W</v>
      </c>
      <c r="G414" s="1172">
        <v>20.5</v>
      </c>
      <c r="H414" s="985">
        <v>23200</v>
      </c>
      <c r="I414" s="1173">
        <v>17.899999999999999</v>
      </c>
      <c r="J414" s="985">
        <v>20900</v>
      </c>
      <c r="K414" s="1173">
        <v>8.3000000000000007</v>
      </c>
      <c r="L414" s="985">
        <v>10500</v>
      </c>
      <c r="M414" s="1174">
        <f t="shared" si="131"/>
        <v>46.7</v>
      </c>
      <c r="N414" s="984">
        <f t="shared" si="132"/>
        <v>54600</v>
      </c>
      <c r="O414" s="986">
        <f t="shared" si="133"/>
        <v>156.8627450980392</v>
      </c>
      <c r="P414" s="987">
        <f t="shared" si="134"/>
        <v>141.31169709263014</v>
      </c>
      <c r="Q414" s="987">
        <f t="shared" si="135"/>
        <v>70.993914807302232</v>
      </c>
      <c r="R414" s="988">
        <f t="shared" si="136"/>
        <v>369.16835699797156</v>
      </c>
      <c r="S414" s="989">
        <v>147.9</v>
      </c>
      <c r="T414" s="990">
        <v>0</v>
      </c>
      <c r="U414" s="991">
        <v>59</v>
      </c>
      <c r="V414" s="991">
        <v>273</v>
      </c>
      <c r="W414" s="992">
        <f t="shared" si="137"/>
        <v>332</v>
      </c>
      <c r="X414" s="993">
        <f t="shared" si="138"/>
        <v>2.2447599729546992</v>
      </c>
      <c r="Y414" s="990">
        <v>1710</v>
      </c>
      <c r="Z414" s="991">
        <v>1447</v>
      </c>
      <c r="AA414" s="991">
        <v>608</v>
      </c>
      <c r="AB414" s="992">
        <f t="shared" si="139"/>
        <v>3765</v>
      </c>
      <c r="AC414" s="993">
        <f t="shared" si="140"/>
        <v>25.456389452332655</v>
      </c>
      <c r="AD414" s="994">
        <f t="shared" si="141"/>
        <v>4097</v>
      </c>
      <c r="AE414" s="995">
        <f t="shared" si="142"/>
        <v>27.701149425287355</v>
      </c>
      <c r="AF414" s="996">
        <v>86</v>
      </c>
      <c r="AG414" s="997">
        <v>69</v>
      </c>
      <c r="AH414" s="997">
        <v>5</v>
      </c>
      <c r="AI414" s="998">
        <f t="shared" si="143"/>
        <v>160</v>
      </c>
      <c r="AJ414" s="993">
        <f t="shared" si="144"/>
        <v>1.0818120351588911</v>
      </c>
    </row>
    <row r="415" spans="1:36" ht="16.5" customHeight="1">
      <c r="A415" s="999">
        <f>'09월 조업일지'!A413</f>
        <v>46280</v>
      </c>
      <c r="B415" s="1099">
        <f>'09월 조업일지'!B413</f>
        <v>46279</v>
      </c>
      <c r="C415" s="1000" t="str">
        <f>'09월 화학성분'!D413</f>
        <v>C</v>
      </c>
      <c r="D415" s="1000" t="str">
        <f>'09월 화학성분'!E413</f>
        <v>B</v>
      </c>
      <c r="E415" s="1000">
        <f>'09월 화학성분'!C413</f>
        <v>85615</v>
      </c>
      <c r="F415" s="1001" t="str">
        <f t="shared" si="130"/>
        <v>SHP275W</v>
      </c>
      <c r="G415" s="1172">
        <v>18.8</v>
      </c>
      <c r="H415" s="985">
        <v>22500</v>
      </c>
      <c r="I415" s="1173">
        <v>16.7</v>
      </c>
      <c r="J415" s="985">
        <v>20400</v>
      </c>
      <c r="K415" s="1173">
        <v>13.8</v>
      </c>
      <c r="L415" s="985">
        <v>16700</v>
      </c>
      <c r="M415" s="1174">
        <f t="shared" si="131"/>
        <v>49.3</v>
      </c>
      <c r="N415" s="984">
        <f t="shared" si="132"/>
        <v>59600</v>
      </c>
      <c r="O415" s="986">
        <f t="shared" si="133"/>
        <v>161.05941302791697</v>
      </c>
      <c r="P415" s="987">
        <f t="shared" si="134"/>
        <v>146.02720114531138</v>
      </c>
      <c r="Q415" s="987">
        <f t="shared" si="135"/>
        <v>119.54187544738727</v>
      </c>
      <c r="R415" s="988">
        <f t="shared" si="136"/>
        <v>426.6284896206156</v>
      </c>
      <c r="S415" s="989">
        <v>139.69999999999999</v>
      </c>
      <c r="T415" s="990">
        <v>0</v>
      </c>
      <c r="U415" s="991">
        <v>0</v>
      </c>
      <c r="V415" s="991">
        <v>379</v>
      </c>
      <c r="W415" s="992">
        <f t="shared" si="137"/>
        <v>379</v>
      </c>
      <c r="X415" s="993">
        <f t="shared" si="138"/>
        <v>2.7129563350035792</v>
      </c>
      <c r="Y415" s="990">
        <v>1565</v>
      </c>
      <c r="Z415" s="991">
        <v>1385</v>
      </c>
      <c r="AA415" s="991">
        <v>1405</v>
      </c>
      <c r="AB415" s="992">
        <f t="shared" si="139"/>
        <v>4355</v>
      </c>
      <c r="AC415" s="993">
        <f t="shared" si="140"/>
        <v>31.173944166070154</v>
      </c>
      <c r="AD415" s="994">
        <f t="shared" si="141"/>
        <v>4734</v>
      </c>
      <c r="AE415" s="995">
        <f t="shared" si="142"/>
        <v>33.886900501073733</v>
      </c>
      <c r="AF415" s="996">
        <v>82</v>
      </c>
      <c r="AG415" s="997">
        <v>67</v>
      </c>
      <c r="AH415" s="997">
        <v>18</v>
      </c>
      <c r="AI415" s="998">
        <f t="shared" si="143"/>
        <v>167</v>
      </c>
      <c r="AJ415" s="993">
        <f t="shared" si="144"/>
        <v>1.1954187544738726</v>
      </c>
    </row>
    <row r="416" spans="1:36" ht="16.5" customHeight="1">
      <c r="A416" s="999">
        <f>'09월 조업일지'!A414</f>
        <v>46280</v>
      </c>
      <c r="B416" s="1099">
        <f>'09월 조업일지'!B414</f>
        <v>46279</v>
      </c>
      <c r="C416" s="1000" t="str">
        <f>'09월 화학성분'!D414</f>
        <v>C</v>
      </c>
      <c r="D416" s="1000" t="str">
        <f>'09월 화학성분'!E414</f>
        <v>A</v>
      </c>
      <c r="E416" s="1000">
        <f>'09월 화학성분'!C414</f>
        <v>85616</v>
      </c>
      <c r="F416" s="1104" t="s">
        <v>819</v>
      </c>
      <c r="G416" s="1172">
        <v>20.6</v>
      </c>
      <c r="H416" s="985">
        <v>24100</v>
      </c>
      <c r="I416" s="1173">
        <v>17.600000000000001</v>
      </c>
      <c r="J416" s="985">
        <v>20800</v>
      </c>
      <c r="K416" s="1173">
        <v>8.9</v>
      </c>
      <c r="L416" s="985">
        <v>11300</v>
      </c>
      <c r="M416" s="1174">
        <f t="shared" si="131"/>
        <v>47.1</v>
      </c>
      <c r="N416" s="984">
        <f t="shared" si="132"/>
        <v>56200</v>
      </c>
      <c r="O416" s="986">
        <f t="shared" si="133"/>
        <v>170.43847241867044</v>
      </c>
      <c r="P416" s="987">
        <f t="shared" si="134"/>
        <v>147.10042432814708</v>
      </c>
      <c r="Q416" s="987">
        <f t="shared" si="135"/>
        <v>79.915134370579906</v>
      </c>
      <c r="R416" s="988">
        <f t="shared" si="136"/>
        <v>397.45403111739739</v>
      </c>
      <c r="S416" s="989">
        <v>141.4</v>
      </c>
      <c r="T416" s="990">
        <v>0</v>
      </c>
      <c r="U416" s="991">
        <v>95</v>
      </c>
      <c r="V416" s="991">
        <v>292</v>
      </c>
      <c r="W416" s="992">
        <f t="shared" si="137"/>
        <v>387</v>
      </c>
      <c r="X416" s="993">
        <f t="shared" si="138"/>
        <v>2.7369165487977369</v>
      </c>
      <c r="Y416" s="990">
        <v>1702</v>
      </c>
      <c r="Z416" s="991">
        <v>1430</v>
      </c>
      <c r="AA416" s="991">
        <v>564</v>
      </c>
      <c r="AB416" s="992">
        <f t="shared" si="139"/>
        <v>3696</v>
      </c>
      <c r="AC416" s="993">
        <f t="shared" si="140"/>
        <v>26.138613861386137</v>
      </c>
      <c r="AD416" s="994">
        <f t="shared" si="141"/>
        <v>4083</v>
      </c>
      <c r="AE416" s="995">
        <f t="shared" si="142"/>
        <v>28.875530410183874</v>
      </c>
      <c r="AF416" s="996">
        <v>84</v>
      </c>
      <c r="AG416" s="997">
        <v>66</v>
      </c>
      <c r="AH416" s="997">
        <v>4</v>
      </c>
      <c r="AI416" s="998">
        <f t="shared" si="143"/>
        <v>154</v>
      </c>
      <c r="AJ416" s="993">
        <f t="shared" si="144"/>
        <v>1.089108910891089</v>
      </c>
    </row>
    <row r="417" spans="1:36" ht="16.5" customHeight="1">
      <c r="A417" s="999">
        <f>'09월 조업일지'!A415</f>
        <v>46280</v>
      </c>
      <c r="B417" s="1099">
        <f>'09월 조업일지'!B415</f>
        <v>46279</v>
      </c>
      <c r="C417" s="1000" t="str">
        <f>'09월 화학성분'!D415</f>
        <v>C</v>
      </c>
      <c r="D417" s="1000" t="str">
        <f>'09월 화학성분'!E415</f>
        <v>B</v>
      </c>
      <c r="E417" s="1000">
        <f>'09월 화학성분'!C415</f>
        <v>85617</v>
      </c>
      <c r="F417" s="1001" t="str">
        <f t="shared" si="130"/>
        <v>SS400(ToMok)</v>
      </c>
      <c r="G417" s="1172">
        <v>19.399999999999999</v>
      </c>
      <c r="H417" s="985">
        <v>23800</v>
      </c>
      <c r="I417" s="1173">
        <v>0</v>
      </c>
      <c r="J417" s="985">
        <v>0</v>
      </c>
      <c r="K417" s="1173">
        <v>9.3000000000000007</v>
      </c>
      <c r="L417" s="985">
        <v>23300</v>
      </c>
      <c r="M417" s="1174">
        <f t="shared" si="131"/>
        <v>28.7</v>
      </c>
      <c r="N417" s="984">
        <f t="shared" si="132"/>
        <v>47100</v>
      </c>
      <c r="O417" s="986">
        <f t="shared" si="133"/>
        <v>206.06060606060606</v>
      </c>
      <c r="P417" s="987">
        <f t="shared" si="134"/>
        <v>0</v>
      </c>
      <c r="Q417" s="987">
        <f t="shared" si="135"/>
        <v>201.73160173160173</v>
      </c>
      <c r="R417" s="988">
        <f t="shared" si="136"/>
        <v>407.79220779220782</v>
      </c>
      <c r="S417" s="989">
        <v>115.5</v>
      </c>
      <c r="T417" s="990">
        <v>0</v>
      </c>
      <c r="U417" s="991">
        <v>0</v>
      </c>
      <c r="V417" s="991">
        <v>350</v>
      </c>
      <c r="W417" s="992">
        <f t="shared" si="137"/>
        <v>350</v>
      </c>
      <c r="X417" s="993">
        <f t="shared" si="138"/>
        <v>3.0303030303030303</v>
      </c>
      <c r="Y417" s="990">
        <v>1605</v>
      </c>
      <c r="Z417" s="991">
        <v>0</v>
      </c>
      <c r="AA417" s="991">
        <v>1688</v>
      </c>
      <c r="AB417" s="992">
        <f t="shared" si="139"/>
        <v>3293</v>
      </c>
      <c r="AC417" s="993">
        <f t="shared" si="140"/>
        <v>28.510822510822511</v>
      </c>
      <c r="AD417" s="994">
        <f t="shared" si="141"/>
        <v>3643</v>
      </c>
      <c r="AE417" s="995">
        <f t="shared" si="142"/>
        <v>31.541125541125542</v>
      </c>
      <c r="AF417" s="996">
        <v>84</v>
      </c>
      <c r="AG417" s="997">
        <v>0</v>
      </c>
      <c r="AH417" s="997">
        <v>13</v>
      </c>
      <c r="AI417" s="998">
        <f t="shared" si="143"/>
        <v>97</v>
      </c>
      <c r="AJ417" s="993">
        <f t="shared" si="144"/>
        <v>0.83982683982683981</v>
      </c>
    </row>
    <row r="418" spans="1:36" ht="16.5" customHeight="1">
      <c r="A418" s="999">
        <f>'09월 조업일지'!A416</f>
        <v>46280</v>
      </c>
      <c r="B418" s="1099">
        <f>'09월 조업일지'!B416</f>
        <v>46279</v>
      </c>
      <c r="C418" s="1000" t="str">
        <f>'09월 화학성분'!D416</f>
        <v>C</v>
      </c>
      <c r="D418" s="1000" t="str">
        <f>'09월 화학성분'!E416</f>
        <v>A</v>
      </c>
      <c r="E418" s="1000">
        <f>'09월 화학성분'!C416</f>
        <v>85618</v>
      </c>
      <c r="F418" s="1001" t="str">
        <f t="shared" si="130"/>
        <v>SS400(ToMok)</v>
      </c>
      <c r="G418" s="1172">
        <v>23.4</v>
      </c>
      <c r="H418" s="985">
        <v>26700</v>
      </c>
      <c r="I418" s="1173">
        <v>0</v>
      </c>
      <c r="J418" s="985">
        <v>0</v>
      </c>
      <c r="K418" s="1173">
        <v>8</v>
      </c>
      <c r="L418" s="985">
        <v>15300</v>
      </c>
      <c r="M418" s="1174">
        <f t="shared" si="131"/>
        <v>31.4</v>
      </c>
      <c r="N418" s="984">
        <f t="shared" si="132"/>
        <v>42000</v>
      </c>
      <c r="O418" s="986">
        <f t="shared" si="133"/>
        <v>216.01941747572818</v>
      </c>
      <c r="P418" s="987">
        <f t="shared" si="134"/>
        <v>0</v>
      </c>
      <c r="Q418" s="987">
        <f t="shared" si="135"/>
        <v>123.78640776699029</v>
      </c>
      <c r="R418" s="988">
        <f t="shared" si="136"/>
        <v>339.80582524271847</v>
      </c>
      <c r="S418" s="989">
        <v>123.6</v>
      </c>
      <c r="T418" s="990">
        <v>0</v>
      </c>
      <c r="U418" s="991">
        <v>0</v>
      </c>
      <c r="V418" s="991">
        <v>358</v>
      </c>
      <c r="W418" s="992">
        <f t="shared" si="137"/>
        <v>358</v>
      </c>
      <c r="X418" s="993">
        <f t="shared" si="138"/>
        <v>2.8964401294498385</v>
      </c>
      <c r="Y418" s="990">
        <v>1935</v>
      </c>
      <c r="Z418" s="991">
        <v>0</v>
      </c>
      <c r="AA418" s="991">
        <v>1234</v>
      </c>
      <c r="AB418" s="992">
        <f t="shared" si="139"/>
        <v>3169</v>
      </c>
      <c r="AC418" s="993">
        <f t="shared" si="140"/>
        <v>25.639158576051781</v>
      </c>
      <c r="AD418" s="994">
        <f t="shared" si="141"/>
        <v>3527</v>
      </c>
      <c r="AE418" s="995">
        <f t="shared" si="142"/>
        <v>28.53559870550162</v>
      </c>
      <c r="AF418" s="996">
        <v>93</v>
      </c>
      <c r="AG418" s="997">
        <v>0</v>
      </c>
      <c r="AH418" s="997">
        <v>9</v>
      </c>
      <c r="AI418" s="998">
        <f t="shared" si="143"/>
        <v>102</v>
      </c>
      <c r="AJ418" s="993">
        <f t="shared" si="144"/>
        <v>0.82524271844660202</v>
      </c>
    </row>
    <row r="419" spans="1:36" ht="16.5" customHeight="1">
      <c r="A419" s="999">
        <f>'09월 조업일지'!A417</f>
        <v>46280</v>
      </c>
      <c r="B419" s="1099">
        <f>'09월 조업일지'!B417</f>
        <v>46280</v>
      </c>
      <c r="C419" s="1000" t="str">
        <f>'09월 화학성분'!D417</f>
        <v>C</v>
      </c>
      <c r="D419" s="1000" t="str">
        <f>'09월 화학성분'!E417</f>
        <v>B</v>
      </c>
      <c r="E419" s="1000">
        <f>'09월 화학성분'!C417</f>
        <v>85619</v>
      </c>
      <c r="F419" s="1104" t="s">
        <v>844</v>
      </c>
      <c r="G419" s="1172">
        <v>24.4</v>
      </c>
      <c r="H419" s="985">
        <v>26900</v>
      </c>
      <c r="I419" s="1173">
        <v>16.899999999999999</v>
      </c>
      <c r="J419" s="985">
        <v>20400</v>
      </c>
      <c r="K419" s="1173">
        <v>11.9</v>
      </c>
      <c r="L419" s="985">
        <v>14600</v>
      </c>
      <c r="M419" s="1174">
        <f t="shared" si="131"/>
        <v>53.199999999999996</v>
      </c>
      <c r="N419" s="984">
        <f t="shared" si="132"/>
        <v>61900</v>
      </c>
      <c r="O419" s="986">
        <f t="shared" si="133"/>
        <v>204.25208807896738</v>
      </c>
      <c r="P419" s="987">
        <f t="shared" si="134"/>
        <v>154.89749430523921</v>
      </c>
      <c r="Q419" s="987">
        <f t="shared" si="135"/>
        <v>110.85801063022021</v>
      </c>
      <c r="R419" s="988">
        <f t="shared" si="136"/>
        <v>470.00759301442679</v>
      </c>
      <c r="S419" s="989">
        <v>131.69999999999999</v>
      </c>
      <c r="T419" s="990">
        <v>0</v>
      </c>
      <c r="U419" s="991">
        <v>80</v>
      </c>
      <c r="V419" s="991">
        <v>295</v>
      </c>
      <c r="W419" s="992">
        <f t="shared" si="137"/>
        <v>375</v>
      </c>
      <c r="X419" s="993">
        <f t="shared" si="138"/>
        <v>2.8473804100227791</v>
      </c>
      <c r="Y419" s="990">
        <v>1810</v>
      </c>
      <c r="Z419" s="991">
        <v>1354</v>
      </c>
      <c r="AA419" s="991">
        <v>830</v>
      </c>
      <c r="AB419" s="992">
        <f t="shared" si="139"/>
        <v>3994</v>
      </c>
      <c r="AC419" s="993">
        <f t="shared" si="140"/>
        <v>30.326499620349281</v>
      </c>
      <c r="AD419" s="994">
        <f t="shared" si="141"/>
        <v>4369</v>
      </c>
      <c r="AE419" s="995">
        <f t="shared" si="142"/>
        <v>33.173880030372061</v>
      </c>
      <c r="AF419" s="996">
        <v>91</v>
      </c>
      <c r="AG419" s="997">
        <v>66</v>
      </c>
      <c r="AH419" s="997">
        <v>7</v>
      </c>
      <c r="AI419" s="998">
        <f t="shared" si="143"/>
        <v>164</v>
      </c>
      <c r="AJ419" s="993">
        <f t="shared" si="144"/>
        <v>1.2452543659832955</v>
      </c>
    </row>
    <row r="420" spans="1:36" ht="16.5" customHeight="1">
      <c r="A420" s="999">
        <f>'09월 조업일지'!A418</f>
        <v>46280</v>
      </c>
      <c r="B420" s="1099">
        <f>'09월 조업일지'!B418</f>
        <v>46280</v>
      </c>
      <c r="C420" s="1000" t="str">
        <f>'09월 화학성분'!D418</f>
        <v>C</v>
      </c>
      <c r="D420" s="1232" t="str">
        <f>'09월 화학성분'!E418</f>
        <v>B</v>
      </c>
      <c r="E420" s="1000">
        <f>'09월 화학성분'!C418</f>
        <v>85620</v>
      </c>
      <c r="F420" s="1001" t="str">
        <f t="shared" si="130"/>
        <v>AS500N(QTB.C10)</v>
      </c>
      <c r="G420" s="1172">
        <v>19.100000000000001</v>
      </c>
      <c r="H420" s="985">
        <v>24000</v>
      </c>
      <c r="I420" s="1173">
        <v>16.899999999999999</v>
      </c>
      <c r="J420" s="985">
        <v>20600</v>
      </c>
      <c r="K420" s="1173">
        <v>14</v>
      </c>
      <c r="L420" s="985">
        <v>17500</v>
      </c>
      <c r="M420" s="1174">
        <f t="shared" si="131"/>
        <v>50</v>
      </c>
      <c r="N420" s="984">
        <f t="shared" si="132"/>
        <v>62100</v>
      </c>
      <c r="O420" s="986">
        <f t="shared" si="133"/>
        <v>171.06200997861723</v>
      </c>
      <c r="P420" s="987">
        <f t="shared" si="134"/>
        <v>146.82822523164646</v>
      </c>
      <c r="Q420" s="987">
        <f t="shared" si="135"/>
        <v>124.7327156094084</v>
      </c>
      <c r="R420" s="988">
        <f t="shared" si="136"/>
        <v>442.62295081967204</v>
      </c>
      <c r="S420" s="989">
        <v>140.30000000000001</v>
      </c>
      <c r="T420" s="990">
        <v>0</v>
      </c>
      <c r="U420" s="991">
        <v>22</v>
      </c>
      <c r="V420" s="991">
        <v>525</v>
      </c>
      <c r="W420" s="992">
        <f t="shared" si="137"/>
        <v>547</v>
      </c>
      <c r="X420" s="993">
        <f t="shared" si="138"/>
        <v>3.8987883107626513</v>
      </c>
      <c r="Y420" s="990">
        <v>1620</v>
      </c>
      <c r="Z420" s="991">
        <v>1397</v>
      </c>
      <c r="AA420" s="991">
        <v>1281</v>
      </c>
      <c r="AB420" s="992">
        <f t="shared" si="139"/>
        <v>4298</v>
      </c>
      <c r="AC420" s="993">
        <f t="shared" si="140"/>
        <v>30.634354953670702</v>
      </c>
      <c r="AD420" s="994">
        <f t="shared" si="141"/>
        <v>4845</v>
      </c>
      <c r="AE420" s="995">
        <f t="shared" si="142"/>
        <v>34.533143264433356</v>
      </c>
      <c r="AF420" s="996">
        <v>81</v>
      </c>
      <c r="AG420" s="997">
        <v>66</v>
      </c>
      <c r="AH420" s="997">
        <v>25</v>
      </c>
      <c r="AI420" s="998">
        <f t="shared" si="143"/>
        <v>172</v>
      </c>
      <c r="AJ420" s="993">
        <f t="shared" si="144"/>
        <v>1.2259444048467569</v>
      </c>
    </row>
    <row r="421" spans="1:36" ht="16.5" customHeight="1">
      <c r="A421" s="999">
        <f>'09월 조업일지'!A419</f>
        <v>46280</v>
      </c>
      <c r="B421" s="1099">
        <f>'09월 조업일지'!B419</f>
        <v>46280</v>
      </c>
      <c r="C421" s="1000" t="str">
        <f>'09월 화학성분'!D419</f>
        <v>C</v>
      </c>
      <c r="D421" s="1232" t="str">
        <f>'09월 화학성분'!E419</f>
        <v>B</v>
      </c>
      <c r="E421" s="1000">
        <f>'09월 화학성분'!C419</f>
        <v>85621</v>
      </c>
      <c r="F421" s="1001" t="str">
        <f t="shared" si="130"/>
        <v>AS500N(QTB.C10)</v>
      </c>
      <c r="G421" s="1172">
        <v>19.899999999999999</v>
      </c>
      <c r="H421" s="985">
        <v>24200</v>
      </c>
      <c r="I421" s="1173">
        <v>16.7</v>
      </c>
      <c r="J421" s="985">
        <v>20500</v>
      </c>
      <c r="K421" s="1173">
        <v>13.6</v>
      </c>
      <c r="L421" s="985">
        <v>17300</v>
      </c>
      <c r="M421" s="1174">
        <f t="shared" si="131"/>
        <v>50.199999999999996</v>
      </c>
      <c r="N421" s="984">
        <f t="shared" si="132"/>
        <v>62000</v>
      </c>
      <c r="O421" s="986">
        <f t="shared" si="133"/>
        <v>171.26680820948334</v>
      </c>
      <c r="P421" s="987">
        <f t="shared" si="134"/>
        <v>145.08138711960368</v>
      </c>
      <c r="Q421" s="987">
        <f t="shared" si="135"/>
        <v>122.43453644727529</v>
      </c>
      <c r="R421" s="988">
        <f t="shared" si="136"/>
        <v>438.78273177636231</v>
      </c>
      <c r="S421" s="989">
        <v>141.30000000000001</v>
      </c>
      <c r="T421" s="990">
        <v>0</v>
      </c>
      <c r="U421" s="991">
        <v>48</v>
      </c>
      <c r="V421" s="991">
        <v>256</v>
      </c>
      <c r="W421" s="992">
        <f t="shared" si="137"/>
        <v>304</v>
      </c>
      <c r="X421" s="993">
        <f t="shared" si="138"/>
        <v>2.1514508138711959</v>
      </c>
      <c r="Y421" s="990">
        <v>1699</v>
      </c>
      <c r="Z421" s="991">
        <v>1370</v>
      </c>
      <c r="AA421" s="991">
        <v>1558</v>
      </c>
      <c r="AB421" s="992">
        <f t="shared" si="139"/>
        <v>4627</v>
      </c>
      <c r="AC421" s="993">
        <f t="shared" si="140"/>
        <v>32.745930644019815</v>
      </c>
      <c r="AD421" s="994">
        <f t="shared" si="141"/>
        <v>4931</v>
      </c>
      <c r="AE421" s="995">
        <f t="shared" si="142"/>
        <v>34.897381457891008</v>
      </c>
      <c r="AF421" s="996">
        <v>85</v>
      </c>
      <c r="AG421" s="997">
        <v>67</v>
      </c>
      <c r="AH421" s="997">
        <v>15</v>
      </c>
      <c r="AI421" s="998">
        <f t="shared" si="143"/>
        <v>167</v>
      </c>
      <c r="AJ421" s="993">
        <f t="shared" si="144"/>
        <v>1.1818825194621372</v>
      </c>
    </row>
    <row r="422" spans="1:36" ht="16.5" customHeight="1">
      <c r="A422" s="999">
        <f>'09월 조업일지'!A420</f>
        <v>46281</v>
      </c>
      <c r="B422" s="1099">
        <f>'09월 조업일지'!B420</f>
        <v>46280</v>
      </c>
      <c r="C422" s="1000" t="str">
        <f>'09월 화학성분'!D420</f>
        <v>C</v>
      </c>
      <c r="D422" s="1232" t="str">
        <f>'09월 화학성분'!E420</f>
        <v>B</v>
      </c>
      <c r="E422" s="1000">
        <f>'09월 화학성분'!C420</f>
        <v>85622</v>
      </c>
      <c r="F422" s="1001" t="str">
        <f t="shared" si="130"/>
        <v>AS500N(QTB.C10)</v>
      </c>
      <c r="G422" s="1172">
        <v>21.2</v>
      </c>
      <c r="H422" s="985">
        <v>25500</v>
      </c>
      <c r="I422" s="1173">
        <v>16.8</v>
      </c>
      <c r="J422" s="985">
        <v>20500</v>
      </c>
      <c r="K422" s="1173">
        <v>10.5</v>
      </c>
      <c r="L422" s="985">
        <v>13400</v>
      </c>
      <c r="M422" s="1174">
        <f t="shared" si="131"/>
        <v>48.5</v>
      </c>
      <c r="N422" s="984">
        <f t="shared" si="132"/>
        <v>59400</v>
      </c>
      <c r="O422" s="986">
        <f t="shared" si="133"/>
        <v>176.10497237569061</v>
      </c>
      <c r="P422" s="987">
        <f t="shared" si="134"/>
        <v>141.57458563535911</v>
      </c>
      <c r="Q422" s="987">
        <f t="shared" si="135"/>
        <v>92.541436464088392</v>
      </c>
      <c r="R422" s="988">
        <f t="shared" si="136"/>
        <v>410.22099447513813</v>
      </c>
      <c r="S422" s="989">
        <v>144.80000000000001</v>
      </c>
      <c r="T422" s="990">
        <v>0</v>
      </c>
      <c r="U422" s="991">
        <v>138</v>
      </c>
      <c r="V422" s="991">
        <v>188</v>
      </c>
      <c r="W422" s="992">
        <f t="shared" si="137"/>
        <v>326</v>
      </c>
      <c r="X422" s="993">
        <f t="shared" si="138"/>
        <v>2.2513812154696131</v>
      </c>
      <c r="Y422" s="990">
        <v>1787</v>
      </c>
      <c r="Z422" s="991">
        <v>1373</v>
      </c>
      <c r="AA422" s="991">
        <v>1153</v>
      </c>
      <c r="AB422" s="992">
        <f t="shared" si="139"/>
        <v>4313</v>
      </c>
      <c r="AC422" s="993">
        <f t="shared" si="140"/>
        <v>29.785911602209943</v>
      </c>
      <c r="AD422" s="994">
        <f t="shared" si="141"/>
        <v>4639</v>
      </c>
      <c r="AE422" s="995">
        <f t="shared" si="142"/>
        <v>32.037292817679557</v>
      </c>
      <c r="AF422" s="996">
        <v>87</v>
      </c>
      <c r="AG422" s="997">
        <v>63</v>
      </c>
      <c r="AH422" s="997">
        <v>11</v>
      </c>
      <c r="AI422" s="998">
        <f t="shared" si="143"/>
        <v>161</v>
      </c>
      <c r="AJ422" s="993">
        <f t="shared" si="144"/>
        <v>1.1118784530386741</v>
      </c>
    </row>
    <row r="423" spans="1:36" ht="16.5" customHeight="1">
      <c r="A423" s="999">
        <f>'09월 조업일지'!A421</f>
        <v>46281</v>
      </c>
      <c r="B423" s="1099">
        <f>'09월 조업일지'!B421</f>
        <v>46280</v>
      </c>
      <c r="C423" s="1000" t="str">
        <f>'09월 화학성분'!D421</f>
        <v>C</v>
      </c>
      <c r="D423" s="1232" t="str">
        <f>'09월 화학성분'!E421</f>
        <v>B</v>
      </c>
      <c r="E423" s="1000">
        <f>'09월 화학성분'!C421</f>
        <v>85623</v>
      </c>
      <c r="F423" s="1001" t="str">
        <f t="shared" si="130"/>
        <v>AS500N(QTB.C10)</v>
      </c>
      <c r="G423" s="1172">
        <v>20.100000000000001</v>
      </c>
      <c r="H423" s="985">
        <v>24200</v>
      </c>
      <c r="I423" s="1173">
        <v>16.8</v>
      </c>
      <c r="J423" s="985">
        <v>20300</v>
      </c>
      <c r="K423" s="1173">
        <v>9.3000000000000007</v>
      </c>
      <c r="L423" s="985">
        <v>11900</v>
      </c>
      <c r="M423" s="1174">
        <f t="shared" si="131"/>
        <v>46.2</v>
      </c>
      <c r="N423" s="984">
        <f t="shared" si="132"/>
        <v>56400</v>
      </c>
      <c r="O423" s="986">
        <f t="shared" si="133"/>
        <v>166.20879120879121</v>
      </c>
      <c r="P423" s="987">
        <f t="shared" si="134"/>
        <v>139.42307692307693</v>
      </c>
      <c r="Q423" s="987">
        <f t="shared" si="135"/>
        <v>81.730769230769241</v>
      </c>
      <c r="R423" s="988">
        <f t="shared" si="136"/>
        <v>387.36263736263737</v>
      </c>
      <c r="S423" s="989">
        <v>145.6</v>
      </c>
      <c r="T423" s="990">
        <v>0</v>
      </c>
      <c r="U423" s="991">
        <v>30</v>
      </c>
      <c r="V423" s="991">
        <v>275</v>
      </c>
      <c r="W423" s="992">
        <f t="shared" si="137"/>
        <v>305</v>
      </c>
      <c r="X423" s="993">
        <f t="shared" si="138"/>
        <v>2.0947802197802199</v>
      </c>
      <c r="Y423" s="990">
        <v>1716</v>
      </c>
      <c r="Z423" s="991">
        <v>1367</v>
      </c>
      <c r="AA423" s="991">
        <v>903</v>
      </c>
      <c r="AB423" s="992">
        <f t="shared" si="139"/>
        <v>3986</v>
      </c>
      <c r="AC423" s="993">
        <f t="shared" si="140"/>
        <v>27.376373626373628</v>
      </c>
      <c r="AD423" s="994">
        <f t="shared" si="141"/>
        <v>4291</v>
      </c>
      <c r="AE423" s="995">
        <f t="shared" si="142"/>
        <v>29.471153846153847</v>
      </c>
      <c r="AF423" s="996">
        <v>83</v>
      </c>
      <c r="AG423" s="997">
        <v>67</v>
      </c>
      <c r="AH423" s="997">
        <v>7</v>
      </c>
      <c r="AI423" s="998">
        <f t="shared" si="143"/>
        <v>157</v>
      </c>
      <c r="AJ423" s="993">
        <f t="shared" si="144"/>
        <v>1.0782967032967032</v>
      </c>
    </row>
    <row r="424" spans="1:36" ht="16.5" customHeight="1">
      <c r="A424" s="999">
        <f>'09월 조업일지'!A422</f>
        <v>46281</v>
      </c>
      <c r="B424" s="1099">
        <f>'09월 조업일지'!B422</f>
        <v>46281</v>
      </c>
      <c r="C424" s="1000" t="str">
        <f>'09월 화학성분'!D422</f>
        <v>D</v>
      </c>
      <c r="D424" s="1232" t="str">
        <f>'09월 화학성분'!E422</f>
        <v>B</v>
      </c>
      <c r="E424" s="1000">
        <f>'09월 화학성분'!C422</f>
        <v>85624</v>
      </c>
      <c r="F424" s="1001" t="str">
        <f t="shared" si="130"/>
        <v>AS500N(QTB.C10)</v>
      </c>
      <c r="G424" s="1172">
        <v>19.8</v>
      </c>
      <c r="H424" s="985">
        <v>24200</v>
      </c>
      <c r="I424" s="1173">
        <v>17.3</v>
      </c>
      <c r="J424" s="985">
        <v>20500</v>
      </c>
      <c r="K424" s="1173">
        <v>10.3</v>
      </c>
      <c r="L424" s="985">
        <v>12900</v>
      </c>
      <c r="M424" s="1174">
        <f t="shared" si="131"/>
        <v>47.400000000000006</v>
      </c>
      <c r="N424" s="984">
        <f t="shared" si="132"/>
        <v>57600</v>
      </c>
      <c r="O424" s="986">
        <f t="shared" si="133"/>
        <v>167.82246879334258</v>
      </c>
      <c r="P424" s="987">
        <f t="shared" si="134"/>
        <v>142.16366158113732</v>
      </c>
      <c r="Q424" s="987">
        <f t="shared" si="135"/>
        <v>89.459084604715684</v>
      </c>
      <c r="R424" s="988">
        <f t="shared" si="136"/>
        <v>399.44521497919561</v>
      </c>
      <c r="S424" s="989">
        <v>144.19999999999999</v>
      </c>
      <c r="T424" s="990">
        <v>0</v>
      </c>
      <c r="U424" s="991">
        <v>78</v>
      </c>
      <c r="V424" s="991">
        <v>259</v>
      </c>
      <c r="W424" s="992">
        <f t="shared" si="137"/>
        <v>337</v>
      </c>
      <c r="X424" s="993">
        <f t="shared" si="138"/>
        <v>2.3370319001386965</v>
      </c>
      <c r="Y424" s="990">
        <v>1659</v>
      </c>
      <c r="Z424" s="991">
        <v>1394</v>
      </c>
      <c r="AA424" s="991">
        <v>701</v>
      </c>
      <c r="AB424" s="992">
        <f t="shared" si="139"/>
        <v>3754</v>
      </c>
      <c r="AC424" s="993">
        <f t="shared" si="140"/>
        <v>26.03328710124827</v>
      </c>
      <c r="AD424" s="994">
        <f t="shared" si="141"/>
        <v>4091</v>
      </c>
      <c r="AE424" s="995">
        <f t="shared" si="142"/>
        <v>28.370319001386964</v>
      </c>
      <c r="AF424" s="996">
        <v>82</v>
      </c>
      <c r="AG424" s="997">
        <v>66</v>
      </c>
      <c r="AH424" s="997">
        <v>6</v>
      </c>
      <c r="AI424" s="998">
        <f t="shared" si="143"/>
        <v>154</v>
      </c>
      <c r="AJ424" s="993">
        <f t="shared" si="144"/>
        <v>1.0679611650485439</v>
      </c>
    </row>
    <row r="425" spans="1:36" ht="16.5" customHeight="1">
      <c r="A425" s="999">
        <f>'09월 조업일지'!A423</f>
        <v>46281</v>
      </c>
      <c r="B425" s="1099">
        <f>'09월 조업일지'!B423</f>
        <v>46281</v>
      </c>
      <c r="C425" s="1000" t="str">
        <f>'09월 화학성분'!D423</f>
        <v>D</v>
      </c>
      <c r="D425" s="1232" t="str">
        <f>'09월 화학성분'!E423</f>
        <v>B</v>
      </c>
      <c r="E425" s="1000">
        <f>'09월 화학성분'!C423</f>
        <v>85625</v>
      </c>
      <c r="F425" s="1001" t="str">
        <f t="shared" si="130"/>
        <v>AS500N(QTB.C10)</v>
      </c>
      <c r="G425" s="1172">
        <v>19.7</v>
      </c>
      <c r="H425" s="985">
        <v>23300</v>
      </c>
      <c r="I425" s="1173">
        <v>16.7</v>
      </c>
      <c r="J425" s="985">
        <v>20700</v>
      </c>
      <c r="K425" s="1173">
        <v>11</v>
      </c>
      <c r="L425" s="985">
        <v>13800</v>
      </c>
      <c r="M425" s="1174">
        <f t="shared" si="131"/>
        <v>47.4</v>
      </c>
      <c r="N425" s="984">
        <f t="shared" si="132"/>
        <v>57800</v>
      </c>
      <c r="O425" s="986">
        <f t="shared" si="133"/>
        <v>159.91763898421416</v>
      </c>
      <c r="P425" s="987">
        <f t="shared" si="134"/>
        <v>142.07275223061086</v>
      </c>
      <c r="Q425" s="987">
        <f t="shared" si="135"/>
        <v>94.715168153740564</v>
      </c>
      <c r="R425" s="988">
        <f t="shared" si="136"/>
        <v>396.70555936856556</v>
      </c>
      <c r="S425" s="989">
        <v>145.69999999999999</v>
      </c>
      <c r="T425" s="990">
        <v>0</v>
      </c>
      <c r="U425" s="991">
        <v>0</v>
      </c>
      <c r="V425" s="991">
        <v>343</v>
      </c>
      <c r="W425" s="992">
        <f t="shared" si="137"/>
        <v>343</v>
      </c>
      <c r="X425" s="993">
        <f t="shared" si="138"/>
        <v>2.354152367879204</v>
      </c>
      <c r="Y425" s="990">
        <v>1595</v>
      </c>
      <c r="Z425" s="991">
        <v>1349</v>
      </c>
      <c r="AA425" s="991">
        <v>821</v>
      </c>
      <c r="AB425" s="992">
        <f t="shared" si="139"/>
        <v>3765</v>
      </c>
      <c r="AC425" s="993">
        <f t="shared" si="140"/>
        <v>25.840768702814003</v>
      </c>
      <c r="AD425" s="994">
        <f t="shared" si="141"/>
        <v>4108</v>
      </c>
      <c r="AE425" s="995">
        <f t="shared" si="142"/>
        <v>28.194921070693209</v>
      </c>
      <c r="AF425" s="996">
        <v>81</v>
      </c>
      <c r="AG425" s="997">
        <v>56</v>
      </c>
      <c r="AH425" s="997">
        <v>3</v>
      </c>
      <c r="AI425" s="998">
        <f t="shared" si="143"/>
        <v>140</v>
      </c>
      <c r="AJ425" s="993">
        <f t="shared" si="144"/>
        <v>0.96087851750171593</v>
      </c>
    </row>
    <row r="426" spans="1:36" ht="16.5" customHeight="1">
      <c r="A426" s="999">
        <f>'09월 조업일지'!A424</f>
        <v>46281</v>
      </c>
      <c r="B426" s="1099">
        <f>'09월 조업일지'!B424</f>
        <v>46281</v>
      </c>
      <c r="C426" s="1000" t="str">
        <f>'09월 화학성분'!D424</f>
        <v>D</v>
      </c>
      <c r="D426" s="1232" t="str">
        <f>'09월 화학성분'!E424</f>
        <v>B</v>
      </c>
      <c r="E426" s="1000">
        <f>'09월 화학성분'!C424</f>
        <v>85626</v>
      </c>
      <c r="F426" s="1001" t="str">
        <f t="shared" si="130"/>
        <v>AS500N(QTB.C10)</v>
      </c>
      <c r="G426" s="1172">
        <v>18.899999999999999</v>
      </c>
      <c r="H426" s="985">
        <v>22800</v>
      </c>
      <c r="I426" s="1173">
        <v>16.399999999999999</v>
      </c>
      <c r="J426" s="985">
        <v>20400</v>
      </c>
      <c r="K426" s="1173">
        <v>10.8</v>
      </c>
      <c r="L426" s="985">
        <v>13500</v>
      </c>
      <c r="M426" s="1174">
        <f t="shared" si="131"/>
        <v>46.099999999999994</v>
      </c>
      <c r="N426" s="984">
        <f t="shared" si="132"/>
        <v>56700</v>
      </c>
      <c r="O426" s="986">
        <f t="shared" si="133"/>
        <v>156.05749486652979</v>
      </c>
      <c r="P426" s="987">
        <f t="shared" si="134"/>
        <v>139.63039014373717</v>
      </c>
      <c r="Q426" s="987">
        <f t="shared" si="135"/>
        <v>92.402464065708429</v>
      </c>
      <c r="R426" s="988">
        <f t="shared" si="136"/>
        <v>388.09034907597544</v>
      </c>
      <c r="S426" s="989">
        <v>146.1</v>
      </c>
      <c r="T426" s="990">
        <v>0</v>
      </c>
      <c r="U426" s="991">
        <v>0</v>
      </c>
      <c r="V426" s="991">
        <v>354</v>
      </c>
      <c r="W426" s="992">
        <f t="shared" si="137"/>
        <v>354</v>
      </c>
      <c r="X426" s="993">
        <f t="shared" si="138"/>
        <v>2.4229979466119098</v>
      </c>
      <c r="Y426" s="990">
        <v>1655</v>
      </c>
      <c r="Z426" s="991">
        <v>1363</v>
      </c>
      <c r="AA426" s="991">
        <v>859</v>
      </c>
      <c r="AB426" s="992">
        <f t="shared" si="139"/>
        <v>3877</v>
      </c>
      <c r="AC426" s="993">
        <f t="shared" si="140"/>
        <v>26.536618754277892</v>
      </c>
      <c r="AD426" s="994">
        <f t="shared" si="141"/>
        <v>4231</v>
      </c>
      <c r="AE426" s="995">
        <f t="shared" si="142"/>
        <v>28.959616700889804</v>
      </c>
      <c r="AF426" s="996">
        <v>74</v>
      </c>
      <c r="AG426" s="997">
        <v>56</v>
      </c>
      <c r="AH426" s="997">
        <v>5</v>
      </c>
      <c r="AI426" s="998">
        <f t="shared" si="143"/>
        <v>135</v>
      </c>
      <c r="AJ426" s="993">
        <f t="shared" si="144"/>
        <v>0.92402464065708423</v>
      </c>
    </row>
    <row r="427" spans="1:36" ht="16.5" customHeight="1">
      <c r="A427" s="999">
        <f>'09월 조업일지'!A425</f>
        <v>46281</v>
      </c>
      <c r="B427" s="1099">
        <f>'09월 조업일지'!B425</f>
        <v>46281</v>
      </c>
      <c r="C427" s="1000" t="str">
        <f>'09월 화학성분'!D425</f>
        <v>D</v>
      </c>
      <c r="D427" s="1000" t="str">
        <f>'09월 화학성분'!E425</f>
        <v>B</v>
      </c>
      <c r="E427" s="1000">
        <f>'09월 화학성분'!C425</f>
        <v>85627</v>
      </c>
      <c r="F427" s="1001" t="str">
        <f t="shared" si="130"/>
        <v>AS500N(QTB.C10)</v>
      </c>
      <c r="G427" s="1172">
        <v>19.100000000000001</v>
      </c>
      <c r="H427" s="985">
        <v>22600</v>
      </c>
      <c r="I427" s="1173">
        <v>17.2</v>
      </c>
      <c r="J427" s="985">
        <v>20600</v>
      </c>
      <c r="K427" s="1173">
        <v>10.199999999999999</v>
      </c>
      <c r="L427" s="985">
        <v>12900</v>
      </c>
      <c r="M427" s="1174">
        <f t="shared" si="131"/>
        <v>46.5</v>
      </c>
      <c r="N427" s="984">
        <f t="shared" si="132"/>
        <v>56100</v>
      </c>
      <c r="O427" s="986">
        <f t="shared" si="133"/>
        <v>152.80594996619337</v>
      </c>
      <c r="P427" s="987">
        <f t="shared" si="134"/>
        <v>139.28329952670722</v>
      </c>
      <c r="Q427" s="987">
        <f t="shared" si="135"/>
        <v>87.2210953346856</v>
      </c>
      <c r="R427" s="988">
        <f t="shared" si="136"/>
        <v>379.31034482758616</v>
      </c>
      <c r="S427" s="989">
        <v>147.9</v>
      </c>
      <c r="T427" s="990">
        <v>0</v>
      </c>
      <c r="U427" s="991">
        <v>0</v>
      </c>
      <c r="V427" s="991">
        <v>349</v>
      </c>
      <c r="W427" s="992">
        <f t="shared" si="137"/>
        <v>349</v>
      </c>
      <c r="X427" s="993">
        <f t="shared" si="138"/>
        <v>2.359702501690331</v>
      </c>
      <c r="Y427" s="990">
        <v>1628</v>
      </c>
      <c r="Z427" s="991">
        <v>1444</v>
      </c>
      <c r="AA427" s="991">
        <v>957</v>
      </c>
      <c r="AB427" s="992">
        <f t="shared" si="139"/>
        <v>4029</v>
      </c>
      <c r="AC427" s="993">
        <f t="shared" si="140"/>
        <v>27.241379310344826</v>
      </c>
      <c r="AD427" s="994">
        <f t="shared" si="141"/>
        <v>4378</v>
      </c>
      <c r="AE427" s="995">
        <f t="shared" si="142"/>
        <v>29.601081812035158</v>
      </c>
      <c r="AF427" s="996">
        <v>77</v>
      </c>
      <c r="AG427" s="997">
        <v>57</v>
      </c>
      <c r="AH427" s="997">
        <v>4</v>
      </c>
      <c r="AI427" s="998">
        <f t="shared" si="143"/>
        <v>138</v>
      </c>
      <c r="AJ427" s="993">
        <f t="shared" si="144"/>
        <v>0.93306288032454354</v>
      </c>
    </row>
    <row r="428" spans="1:36" ht="16.5" customHeight="1">
      <c r="A428" s="999">
        <f>'09월 조업일지'!A426</f>
        <v>46281</v>
      </c>
      <c r="B428" s="1099">
        <f>'09월 조업일지'!B426</f>
        <v>46281</v>
      </c>
      <c r="C428" s="1000" t="str">
        <f>'09월 화학성분'!D426</f>
        <v>D</v>
      </c>
      <c r="D428" s="1000" t="str">
        <f>'09월 화학성분'!E426</f>
        <v>B</v>
      </c>
      <c r="E428" s="1000">
        <f>'09월 화학성분'!C426</f>
        <v>85628</v>
      </c>
      <c r="F428" s="1001" t="str">
        <f t="shared" si="130"/>
        <v>AS500N(QTB.C10)</v>
      </c>
      <c r="G428" s="1172">
        <v>19.100000000000001</v>
      </c>
      <c r="H428" s="985">
        <v>23300</v>
      </c>
      <c r="I428" s="1173">
        <v>16.3</v>
      </c>
      <c r="J428" s="985">
        <v>20500</v>
      </c>
      <c r="K428" s="1173">
        <v>10.7</v>
      </c>
      <c r="L428" s="985">
        <v>13500</v>
      </c>
      <c r="M428" s="1174">
        <f t="shared" si="131"/>
        <v>46.100000000000009</v>
      </c>
      <c r="N428" s="984">
        <f t="shared" si="132"/>
        <v>57300</v>
      </c>
      <c r="O428" s="986">
        <f t="shared" si="133"/>
        <v>162.70949720670393</v>
      </c>
      <c r="P428" s="987">
        <f t="shared" si="134"/>
        <v>143.15642458100561</v>
      </c>
      <c r="Q428" s="987">
        <f t="shared" si="135"/>
        <v>94.273743016759781</v>
      </c>
      <c r="R428" s="988">
        <f t="shared" si="136"/>
        <v>400.13966480446936</v>
      </c>
      <c r="S428" s="989">
        <v>143.19999999999999</v>
      </c>
      <c r="T428" s="990">
        <v>0</v>
      </c>
      <c r="U428" s="991">
        <v>0</v>
      </c>
      <c r="V428" s="991">
        <v>360</v>
      </c>
      <c r="W428" s="992">
        <f t="shared" si="137"/>
        <v>360</v>
      </c>
      <c r="X428" s="993">
        <f t="shared" si="138"/>
        <v>2.5139664804469275</v>
      </c>
      <c r="Y428" s="990">
        <v>1479</v>
      </c>
      <c r="Z428" s="991">
        <v>1317</v>
      </c>
      <c r="AA428" s="991">
        <v>836</v>
      </c>
      <c r="AB428" s="992">
        <f t="shared" si="139"/>
        <v>3632</v>
      </c>
      <c r="AC428" s="993">
        <f t="shared" si="140"/>
        <v>25.363128491620113</v>
      </c>
      <c r="AD428" s="994">
        <f t="shared" si="141"/>
        <v>3992</v>
      </c>
      <c r="AE428" s="995">
        <f t="shared" si="142"/>
        <v>27.877094972067042</v>
      </c>
      <c r="AF428" s="996">
        <v>74</v>
      </c>
      <c r="AG428" s="997">
        <v>55</v>
      </c>
      <c r="AH428" s="997">
        <v>4</v>
      </c>
      <c r="AI428" s="998">
        <f t="shared" si="143"/>
        <v>133</v>
      </c>
      <c r="AJ428" s="993">
        <f t="shared" si="144"/>
        <v>0.92877094972067042</v>
      </c>
    </row>
    <row r="429" spans="1:36" ht="16.5" customHeight="1">
      <c r="A429" s="999">
        <f>'09월 조업일지'!A427</f>
        <v>46281</v>
      </c>
      <c r="B429" s="1099">
        <f>'09월 조업일지'!B427</f>
        <v>46281</v>
      </c>
      <c r="C429" s="1000" t="str">
        <f>'09월 화학성분'!D427</f>
        <v>D</v>
      </c>
      <c r="D429" s="1000" t="str">
        <f>'09월 화학성분'!E427</f>
        <v>B</v>
      </c>
      <c r="E429" s="1000">
        <f>'09월 화학성분'!C427</f>
        <v>85629</v>
      </c>
      <c r="F429" s="1001" t="str">
        <f t="shared" si="130"/>
        <v>AS500N(QTB.C10)</v>
      </c>
      <c r="G429" s="1172">
        <v>18.399999999999999</v>
      </c>
      <c r="H429" s="985">
        <v>22800</v>
      </c>
      <c r="I429" s="1173">
        <v>17</v>
      </c>
      <c r="J429" s="985">
        <v>20900</v>
      </c>
      <c r="K429" s="1173">
        <v>9.6</v>
      </c>
      <c r="L429" s="985">
        <v>12200</v>
      </c>
      <c r="M429" s="1174">
        <f t="shared" si="131"/>
        <v>45</v>
      </c>
      <c r="N429" s="984">
        <f t="shared" si="132"/>
        <v>55900</v>
      </c>
      <c r="O429" s="986">
        <f t="shared" si="133"/>
        <v>159.44055944055944</v>
      </c>
      <c r="P429" s="987">
        <f t="shared" si="134"/>
        <v>146.15384615384616</v>
      </c>
      <c r="Q429" s="987">
        <f t="shared" si="135"/>
        <v>85.31468531468532</v>
      </c>
      <c r="R429" s="988">
        <f t="shared" si="136"/>
        <v>390.90909090909093</v>
      </c>
      <c r="S429" s="989">
        <v>143</v>
      </c>
      <c r="T429" s="990">
        <v>0</v>
      </c>
      <c r="U429" s="991">
        <v>0</v>
      </c>
      <c r="V429" s="991">
        <v>344</v>
      </c>
      <c r="W429" s="992">
        <f t="shared" si="137"/>
        <v>344</v>
      </c>
      <c r="X429" s="993">
        <f t="shared" si="138"/>
        <v>2.4055944055944054</v>
      </c>
      <c r="Y429" s="990">
        <v>1222</v>
      </c>
      <c r="Z429" s="991">
        <v>1183</v>
      </c>
      <c r="AA429" s="991">
        <v>724</v>
      </c>
      <c r="AB429" s="992">
        <f t="shared" si="139"/>
        <v>3129</v>
      </c>
      <c r="AC429" s="993">
        <f t="shared" si="140"/>
        <v>21.88111888111888</v>
      </c>
      <c r="AD429" s="994">
        <f t="shared" si="141"/>
        <v>3473</v>
      </c>
      <c r="AE429" s="995">
        <f t="shared" si="142"/>
        <v>24.286713286713287</v>
      </c>
      <c r="AF429" s="996">
        <v>71</v>
      </c>
      <c r="AG429" s="997">
        <v>57</v>
      </c>
      <c r="AH429" s="997">
        <v>5</v>
      </c>
      <c r="AI429" s="998">
        <f t="shared" si="143"/>
        <v>133</v>
      </c>
      <c r="AJ429" s="993">
        <f t="shared" si="144"/>
        <v>0.93006993006993011</v>
      </c>
    </row>
    <row r="430" spans="1:36" ht="16.5" customHeight="1">
      <c r="A430" s="999">
        <f>'09월 조업일지'!A428</f>
        <v>46281</v>
      </c>
      <c r="B430" s="1099">
        <f>'09월 조업일지'!B428</f>
        <v>46281</v>
      </c>
      <c r="C430" s="1000" t="str">
        <f>'09월 화학성분'!D428</f>
        <v>D</v>
      </c>
      <c r="D430" s="1000" t="str">
        <f>'09월 화학성분'!E428</f>
        <v>B</v>
      </c>
      <c r="E430" s="1000">
        <f>'09월 화학성분'!C428</f>
        <v>85630</v>
      </c>
      <c r="F430" s="1001" t="str">
        <f t="shared" si="130"/>
        <v>AS500N(QTB.C10)</v>
      </c>
      <c r="G430" s="1172">
        <v>18.399999999999999</v>
      </c>
      <c r="H430" s="985">
        <v>23100</v>
      </c>
      <c r="I430" s="1173">
        <v>16.7</v>
      </c>
      <c r="J430" s="985">
        <v>20400</v>
      </c>
      <c r="K430" s="1173">
        <v>11.5</v>
      </c>
      <c r="L430" s="985">
        <v>14600</v>
      </c>
      <c r="M430" s="1174">
        <f t="shared" si="131"/>
        <v>46.599999999999994</v>
      </c>
      <c r="N430" s="984">
        <f t="shared" si="132"/>
        <v>58100</v>
      </c>
      <c r="O430" s="986">
        <f t="shared" si="133"/>
        <v>160.52814454482279</v>
      </c>
      <c r="P430" s="987">
        <f t="shared" si="134"/>
        <v>141.76511466296037</v>
      </c>
      <c r="Q430" s="987">
        <f t="shared" si="135"/>
        <v>101.4593467685893</v>
      </c>
      <c r="R430" s="988">
        <f t="shared" si="136"/>
        <v>403.75260597637248</v>
      </c>
      <c r="S430" s="989">
        <v>143.9</v>
      </c>
      <c r="T430" s="990">
        <v>0</v>
      </c>
      <c r="U430" s="991">
        <v>7</v>
      </c>
      <c r="V430" s="991">
        <v>339</v>
      </c>
      <c r="W430" s="992">
        <f t="shared" si="137"/>
        <v>346</v>
      </c>
      <c r="X430" s="993">
        <f t="shared" si="138"/>
        <v>2.404447533009034</v>
      </c>
      <c r="Y430" s="990">
        <v>1512</v>
      </c>
      <c r="Z430" s="991">
        <v>1391</v>
      </c>
      <c r="AA430" s="991">
        <v>837</v>
      </c>
      <c r="AB430" s="992">
        <f t="shared" si="139"/>
        <v>3740</v>
      </c>
      <c r="AC430" s="993">
        <f t="shared" si="140"/>
        <v>25.990271021542735</v>
      </c>
      <c r="AD430" s="994">
        <f t="shared" si="141"/>
        <v>4086</v>
      </c>
      <c r="AE430" s="995">
        <f t="shared" si="142"/>
        <v>28.394718554551773</v>
      </c>
      <c r="AF430" s="996">
        <v>69</v>
      </c>
      <c r="AG430" s="997">
        <v>59</v>
      </c>
      <c r="AH430" s="997">
        <v>4</v>
      </c>
      <c r="AI430" s="998">
        <f t="shared" si="143"/>
        <v>132</v>
      </c>
      <c r="AJ430" s="993">
        <f t="shared" si="144"/>
        <v>0.91730368311327304</v>
      </c>
    </row>
    <row r="431" spans="1:36" ht="16.5" customHeight="1">
      <c r="A431" s="999">
        <f>'09월 조업일지'!A429</f>
        <v>46281</v>
      </c>
      <c r="B431" s="1099">
        <f>'09월 조업일지'!B429</f>
        <v>46281</v>
      </c>
      <c r="C431" s="1000" t="str">
        <f>'09월 화학성분'!D429</f>
        <v>B</v>
      </c>
      <c r="D431" s="1000" t="str">
        <f>'09월 화학성분'!E429</f>
        <v>B</v>
      </c>
      <c r="E431" s="1000">
        <f>'09월 화학성분'!C429</f>
        <v>85631</v>
      </c>
      <c r="F431" s="1001" t="str">
        <f t="shared" si="130"/>
        <v>AS500N(QTB.C10)</v>
      </c>
      <c r="G431" s="1172">
        <v>18.600000000000001</v>
      </c>
      <c r="H431" s="985">
        <v>22900</v>
      </c>
      <c r="I431" s="1173">
        <v>16.3</v>
      </c>
      <c r="J431" s="985">
        <v>20300</v>
      </c>
      <c r="K431" s="1173">
        <v>15.1</v>
      </c>
      <c r="L431" s="985">
        <v>18600</v>
      </c>
      <c r="M431" s="1174">
        <f t="shared" si="131"/>
        <v>50.000000000000007</v>
      </c>
      <c r="N431" s="984">
        <f t="shared" si="132"/>
        <v>61800</v>
      </c>
      <c r="O431" s="986">
        <f t="shared" si="133"/>
        <v>159.47075208913651</v>
      </c>
      <c r="P431" s="987">
        <f t="shared" si="134"/>
        <v>141.3649025069638</v>
      </c>
      <c r="Q431" s="987">
        <f t="shared" si="135"/>
        <v>129.52646239554318</v>
      </c>
      <c r="R431" s="988">
        <f t="shared" si="136"/>
        <v>430.36211699164346</v>
      </c>
      <c r="S431" s="989">
        <v>143.6</v>
      </c>
      <c r="T431" s="990">
        <v>0</v>
      </c>
      <c r="U431" s="991">
        <v>0</v>
      </c>
      <c r="V431" s="991">
        <v>349</v>
      </c>
      <c r="W431" s="992">
        <f t="shared" si="137"/>
        <v>349</v>
      </c>
      <c r="X431" s="993">
        <f t="shared" si="138"/>
        <v>2.4303621169916436</v>
      </c>
      <c r="Y431" s="990">
        <v>1512</v>
      </c>
      <c r="Z431" s="991">
        <v>1344</v>
      </c>
      <c r="AA431" s="991">
        <v>1132</v>
      </c>
      <c r="AB431" s="992">
        <f t="shared" si="139"/>
        <v>3988</v>
      </c>
      <c r="AC431" s="993">
        <f t="shared" si="140"/>
        <v>27.771587743732592</v>
      </c>
      <c r="AD431" s="994">
        <f t="shared" si="141"/>
        <v>4337</v>
      </c>
      <c r="AE431" s="995">
        <f t="shared" si="142"/>
        <v>30.201949860724234</v>
      </c>
      <c r="AF431" s="996">
        <v>73</v>
      </c>
      <c r="AG431" s="997">
        <v>54</v>
      </c>
      <c r="AH431" s="997">
        <v>5</v>
      </c>
      <c r="AI431" s="998">
        <f t="shared" si="143"/>
        <v>132</v>
      </c>
      <c r="AJ431" s="993">
        <f t="shared" si="144"/>
        <v>0.91922005571030641</v>
      </c>
    </row>
    <row r="432" spans="1:36" ht="16.5" customHeight="1">
      <c r="A432" s="999">
        <f>'09월 조업일지'!A430</f>
        <v>46281</v>
      </c>
      <c r="B432" s="1099">
        <f>'09월 조업일지'!B430</f>
        <v>46281</v>
      </c>
      <c r="C432" s="1000" t="str">
        <f>'09월 화학성분'!D430</f>
        <v>B</v>
      </c>
      <c r="D432" s="1000" t="str">
        <f>'09월 화학성분'!E430</f>
        <v>B</v>
      </c>
      <c r="E432" s="1000">
        <f>'09월 화학성분'!C430</f>
        <v>85632</v>
      </c>
      <c r="F432" s="1001" t="str">
        <f t="shared" si="130"/>
        <v>AS500N(QTB.C10)</v>
      </c>
      <c r="G432" s="1172">
        <v>18.3</v>
      </c>
      <c r="H432" s="985">
        <v>22600</v>
      </c>
      <c r="I432" s="1173">
        <v>16.5</v>
      </c>
      <c r="J432" s="985">
        <v>20300</v>
      </c>
      <c r="K432" s="1173">
        <v>15.9</v>
      </c>
      <c r="L432" s="985">
        <v>20200</v>
      </c>
      <c r="M432" s="1174">
        <f t="shared" si="131"/>
        <v>50.699999999999996</v>
      </c>
      <c r="N432" s="984">
        <f t="shared" si="132"/>
        <v>63100</v>
      </c>
      <c r="O432" s="986">
        <f t="shared" si="133"/>
        <v>157.71109560362873</v>
      </c>
      <c r="P432" s="987">
        <f t="shared" si="134"/>
        <v>141.66085136078158</v>
      </c>
      <c r="Q432" s="987">
        <f t="shared" si="135"/>
        <v>140.96301465457083</v>
      </c>
      <c r="R432" s="988">
        <f t="shared" si="136"/>
        <v>440.33496161898114</v>
      </c>
      <c r="S432" s="989">
        <v>143.30000000000001</v>
      </c>
      <c r="T432" s="990">
        <v>0</v>
      </c>
      <c r="U432" s="991">
        <v>0</v>
      </c>
      <c r="V432" s="991">
        <v>295</v>
      </c>
      <c r="W432" s="992">
        <f t="shared" si="137"/>
        <v>295</v>
      </c>
      <c r="X432" s="993">
        <f t="shared" si="138"/>
        <v>2.0586182833217026</v>
      </c>
      <c r="Y432" s="990">
        <v>1517</v>
      </c>
      <c r="Z432" s="991">
        <v>1351</v>
      </c>
      <c r="AA432" s="991">
        <v>1430</v>
      </c>
      <c r="AB432" s="992">
        <f t="shared" si="139"/>
        <v>4298</v>
      </c>
      <c r="AC432" s="993">
        <f t="shared" si="140"/>
        <v>29.993021632937889</v>
      </c>
      <c r="AD432" s="994">
        <f t="shared" si="141"/>
        <v>4593</v>
      </c>
      <c r="AE432" s="995">
        <f t="shared" si="142"/>
        <v>32.051639916259596</v>
      </c>
      <c r="AF432" s="996">
        <v>72</v>
      </c>
      <c r="AG432" s="997">
        <v>56</v>
      </c>
      <c r="AH432" s="997">
        <v>9</v>
      </c>
      <c r="AI432" s="998">
        <f t="shared" si="143"/>
        <v>137</v>
      </c>
      <c r="AJ432" s="993">
        <f t="shared" si="144"/>
        <v>0.95603628750872294</v>
      </c>
    </row>
    <row r="433" spans="1:36" ht="16.5" customHeight="1">
      <c r="A433" s="999">
        <f>'09월 조업일지'!A431</f>
        <v>46281</v>
      </c>
      <c r="B433" s="1099">
        <f>'09월 조업일지'!B431</f>
        <v>46281</v>
      </c>
      <c r="C433" s="1000" t="str">
        <f>'09월 화학성분'!D431</f>
        <v>B</v>
      </c>
      <c r="D433" s="1000" t="str">
        <f>'09월 화학성분'!E431</f>
        <v>B</v>
      </c>
      <c r="E433" s="1000">
        <f>'09월 화학성분'!C431</f>
        <v>85633</v>
      </c>
      <c r="F433" s="1001" t="str">
        <f t="shared" si="130"/>
        <v>AS500N(QTB.C10)</v>
      </c>
      <c r="G433" s="1172">
        <v>19.8</v>
      </c>
      <c r="H433" s="985">
        <v>23900</v>
      </c>
      <c r="I433" s="1173">
        <v>16.5</v>
      </c>
      <c r="J433" s="985">
        <v>20400</v>
      </c>
      <c r="K433" s="1173">
        <v>11.1</v>
      </c>
      <c r="L433" s="985">
        <v>14100</v>
      </c>
      <c r="M433" s="1174">
        <f t="shared" si="131"/>
        <v>47.4</v>
      </c>
      <c r="N433" s="984">
        <f t="shared" si="132"/>
        <v>58400</v>
      </c>
      <c r="O433" s="986">
        <f t="shared" si="133"/>
        <v>164.71399035148175</v>
      </c>
      <c r="P433" s="987">
        <f t="shared" si="134"/>
        <v>140.59269469331497</v>
      </c>
      <c r="Q433" s="987">
        <f t="shared" si="135"/>
        <v>97.174362508614749</v>
      </c>
      <c r="R433" s="988">
        <f t="shared" si="136"/>
        <v>402.48104755341149</v>
      </c>
      <c r="S433" s="989">
        <v>145.1</v>
      </c>
      <c r="T433" s="990">
        <v>0</v>
      </c>
      <c r="U433" s="991">
        <v>66</v>
      </c>
      <c r="V433" s="991">
        <v>321</v>
      </c>
      <c r="W433" s="992">
        <f t="shared" si="137"/>
        <v>387</v>
      </c>
      <c r="X433" s="993">
        <f t="shared" si="138"/>
        <v>2.6671261199172984</v>
      </c>
      <c r="Y433" s="990">
        <v>1675</v>
      </c>
      <c r="Z433" s="991">
        <v>1373</v>
      </c>
      <c r="AA433" s="991">
        <v>1142</v>
      </c>
      <c r="AB433" s="992">
        <f t="shared" si="139"/>
        <v>4190</v>
      </c>
      <c r="AC433" s="993">
        <f t="shared" si="140"/>
        <v>28.876636802205375</v>
      </c>
      <c r="AD433" s="994">
        <f t="shared" si="141"/>
        <v>4577</v>
      </c>
      <c r="AE433" s="995">
        <f t="shared" si="142"/>
        <v>31.543762922122674</v>
      </c>
      <c r="AF433" s="996">
        <v>74</v>
      </c>
      <c r="AG433" s="997">
        <v>58</v>
      </c>
      <c r="AH433" s="997">
        <v>5</v>
      </c>
      <c r="AI433" s="998">
        <f t="shared" si="143"/>
        <v>137</v>
      </c>
      <c r="AJ433" s="993">
        <f t="shared" si="144"/>
        <v>0.94417643004824259</v>
      </c>
    </row>
    <row r="434" spans="1:36" ht="16.5" customHeight="1">
      <c r="A434" s="999">
        <f>'09월 조업일지'!A432</f>
        <v>46281</v>
      </c>
      <c r="B434" s="1099">
        <f>'09월 조업일지'!B432</f>
        <v>46281</v>
      </c>
      <c r="C434" s="1000" t="str">
        <f>'09월 화학성분'!D432</f>
        <v>B</v>
      </c>
      <c r="D434" s="1000" t="str">
        <f>'09월 화학성분'!E432</f>
        <v>B</v>
      </c>
      <c r="E434" s="1000">
        <f>'09월 화학성분'!C432</f>
        <v>85634</v>
      </c>
      <c r="F434" s="1001" t="str">
        <f t="shared" si="130"/>
        <v>AS500N(QTB.C10)</v>
      </c>
      <c r="G434" s="1172">
        <v>19</v>
      </c>
      <c r="H434" s="985">
        <v>22600</v>
      </c>
      <c r="I434" s="1173">
        <v>16.600000000000001</v>
      </c>
      <c r="J434" s="985">
        <v>20600</v>
      </c>
      <c r="K434" s="1173">
        <v>12.7</v>
      </c>
      <c r="L434" s="985">
        <v>16100</v>
      </c>
      <c r="M434" s="1174">
        <f t="shared" si="131"/>
        <v>48.3</v>
      </c>
      <c r="N434" s="984">
        <f t="shared" si="132"/>
        <v>59300</v>
      </c>
      <c r="O434" s="986">
        <f t="shared" si="133"/>
        <v>156.40138408304497</v>
      </c>
      <c r="P434" s="987">
        <f t="shared" si="134"/>
        <v>142.56055363321801</v>
      </c>
      <c r="Q434" s="987">
        <f t="shared" si="135"/>
        <v>111.41868512110727</v>
      </c>
      <c r="R434" s="988">
        <f t="shared" si="136"/>
        <v>410.38062283737025</v>
      </c>
      <c r="S434" s="989">
        <v>144.5</v>
      </c>
      <c r="T434" s="990">
        <v>0</v>
      </c>
      <c r="U434" s="991">
        <v>0</v>
      </c>
      <c r="V434" s="991">
        <v>323</v>
      </c>
      <c r="W434" s="992">
        <f t="shared" si="137"/>
        <v>323</v>
      </c>
      <c r="X434" s="993">
        <f t="shared" si="138"/>
        <v>2.2352941176470589</v>
      </c>
      <c r="Y434" s="990">
        <v>1451</v>
      </c>
      <c r="Z434" s="991">
        <v>1127</v>
      </c>
      <c r="AA434" s="991">
        <v>1018</v>
      </c>
      <c r="AB434" s="992">
        <f t="shared" si="139"/>
        <v>3596</v>
      </c>
      <c r="AC434" s="993">
        <f t="shared" si="140"/>
        <v>24.885813148788927</v>
      </c>
      <c r="AD434" s="994">
        <f t="shared" si="141"/>
        <v>3919</v>
      </c>
      <c r="AE434" s="995">
        <f t="shared" si="142"/>
        <v>27.121107266435985</v>
      </c>
      <c r="AF434" s="996">
        <v>82</v>
      </c>
      <c r="AG434" s="997">
        <v>54</v>
      </c>
      <c r="AH434" s="997">
        <v>7</v>
      </c>
      <c r="AI434" s="998">
        <f t="shared" si="143"/>
        <v>143</v>
      </c>
      <c r="AJ434" s="993">
        <f t="shared" si="144"/>
        <v>0.98961937716262971</v>
      </c>
    </row>
    <row r="435" spans="1:36" ht="16.5" customHeight="1">
      <c r="A435" s="999">
        <f>'09월 조업일지'!A433</f>
        <v>46281</v>
      </c>
      <c r="B435" s="1099">
        <f>'09월 조업일지'!B433</f>
        <v>46281</v>
      </c>
      <c r="C435" s="1000" t="str">
        <f>'09월 화학성분'!D433</f>
        <v>B</v>
      </c>
      <c r="D435" s="1000" t="str">
        <f>'09월 화학성분'!E433</f>
        <v>A</v>
      </c>
      <c r="E435" s="1000">
        <f>'09월 화학성분'!C433</f>
        <v>85635</v>
      </c>
      <c r="F435" s="1001" t="str">
        <f t="shared" si="130"/>
        <v>AS500N(QTB.C10)</v>
      </c>
      <c r="G435" s="1172">
        <v>26.1</v>
      </c>
      <c r="H435" s="985">
        <v>28300</v>
      </c>
      <c r="I435" s="1173">
        <v>17.5</v>
      </c>
      <c r="J435" s="985">
        <v>20600</v>
      </c>
      <c r="K435" s="1173">
        <v>9.4</v>
      </c>
      <c r="L435" s="985">
        <v>11600</v>
      </c>
      <c r="M435" s="1174">
        <f t="shared" si="131"/>
        <v>53</v>
      </c>
      <c r="N435" s="984">
        <f t="shared" si="132"/>
        <v>60500</v>
      </c>
      <c r="O435" s="986">
        <f t="shared" si="133"/>
        <v>212.14392803598199</v>
      </c>
      <c r="P435" s="987">
        <f t="shared" si="134"/>
        <v>154.42278860569715</v>
      </c>
      <c r="Q435" s="987">
        <f t="shared" si="135"/>
        <v>86.956521739130437</v>
      </c>
      <c r="R435" s="988">
        <f t="shared" si="136"/>
        <v>453.52323838080957</v>
      </c>
      <c r="S435" s="989">
        <v>133.4</v>
      </c>
      <c r="T435" s="990">
        <v>0</v>
      </c>
      <c r="U435" s="991">
        <v>331</v>
      </c>
      <c r="V435" s="991">
        <v>49</v>
      </c>
      <c r="W435" s="992">
        <f t="shared" si="137"/>
        <v>380</v>
      </c>
      <c r="X435" s="993">
        <f t="shared" si="138"/>
        <v>2.8485757121439281</v>
      </c>
      <c r="Y435" s="990">
        <v>1771</v>
      </c>
      <c r="Z435" s="991">
        <v>1793</v>
      </c>
      <c r="AA435" s="991">
        <v>466</v>
      </c>
      <c r="AB435" s="992">
        <f t="shared" si="139"/>
        <v>4030</v>
      </c>
      <c r="AC435" s="993">
        <f t="shared" si="140"/>
        <v>30.209895052473762</v>
      </c>
      <c r="AD435" s="994">
        <f t="shared" si="141"/>
        <v>4410</v>
      </c>
      <c r="AE435" s="995">
        <f t="shared" si="142"/>
        <v>33.058470764617688</v>
      </c>
      <c r="AF435" s="996">
        <v>79</v>
      </c>
      <c r="AG435" s="997">
        <v>66</v>
      </c>
      <c r="AH435" s="997">
        <v>4</v>
      </c>
      <c r="AI435" s="998">
        <f t="shared" si="143"/>
        <v>149</v>
      </c>
      <c r="AJ435" s="993">
        <f t="shared" si="144"/>
        <v>1.1169415292353824</v>
      </c>
    </row>
    <row r="436" spans="1:36" ht="16.5" customHeight="1">
      <c r="A436" s="999">
        <f>'09월 조업일지'!A434</f>
        <v>46281</v>
      </c>
      <c r="B436" s="1099">
        <f>'09월 조업일지'!B434</f>
        <v>46281</v>
      </c>
      <c r="C436" s="1000" t="str">
        <f>'09월 화학성분'!D434</f>
        <v>B</v>
      </c>
      <c r="D436" s="1000" t="str">
        <f>'09월 화학성분'!E434</f>
        <v>B</v>
      </c>
      <c r="E436" s="1000">
        <f>'09월 화학성분'!C434</f>
        <v>85636</v>
      </c>
      <c r="F436" s="1001" t="str">
        <f t="shared" si="130"/>
        <v>AS500N(QTB.C10)</v>
      </c>
      <c r="G436" s="1172">
        <v>18.600000000000001</v>
      </c>
      <c r="H436" s="985">
        <v>22400</v>
      </c>
      <c r="I436" s="1173">
        <v>16.399999999999999</v>
      </c>
      <c r="J436" s="985">
        <v>20400</v>
      </c>
      <c r="K436" s="1173">
        <v>14.7</v>
      </c>
      <c r="L436" s="985">
        <v>18000</v>
      </c>
      <c r="M436" s="1174">
        <f t="shared" si="131"/>
        <v>49.7</v>
      </c>
      <c r="N436" s="984">
        <f t="shared" si="132"/>
        <v>60800</v>
      </c>
      <c r="O436" s="986">
        <f t="shared" si="133"/>
        <v>156.31542219120723</v>
      </c>
      <c r="P436" s="987">
        <f t="shared" si="134"/>
        <v>142.3586880669923</v>
      </c>
      <c r="Q436" s="987">
        <f t="shared" si="135"/>
        <v>125.61060711793439</v>
      </c>
      <c r="R436" s="988">
        <f t="shared" si="136"/>
        <v>424.28471737613393</v>
      </c>
      <c r="S436" s="989">
        <v>143.30000000000001</v>
      </c>
      <c r="T436" s="990">
        <v>0</v>
      </c>
      <c r="U436" s="991">
        <v>0</v>
      </c>
      <c r="V436" s="991">
        <v>339</v>
      </c>
      <c r="W436" s="992">
        <f t="shared" si="137"/>
        <v>339</v>
      </c>
      <c r="X436" s="993">
        <f t="shared" si="138"/>
        <v>2.3656664340544311</v>
      </c>
      <c r="Y436" s="990">
        <v>1542</v>
      </c>
      <c r="Z436" s="991">
        <v>1163</v>
      </c>
      <c r="AA436" s="991">
        <v>1440</v>
      </c>
      <c r="AB436" s="992">
        <f t="shared" si="139"/>
        <v>4145</v>
      </c>
      <c r="AC436" s="993">
        <f t="shared" si="140"/>
        <v>28.925331472435449</v>
      </c>
      <c r="AD436" s="994">
        <f t="shared" si="141"/>
        <v>4484</v>
      </c>
      <c r="AE436" s="995">
        <f t="shared" si="142"/>
        <v>31.290997906489878</v>
      </c>
      <c r="AF436" s="996">
        <v>84</v>
      </c>
      <c r="AG436" s="997">
        <v>57</v>
      </c>
      <c r="AH436" s="997">
        <v>12</v>
      </c>
      <c r="AI436" s="998">
        <f t="shared" si="143"/>
        <v>153</v>
      </c>
      <c r="AJ436" s="993">
        <f t="shared" si="144"/>
        <v>1.0676901605024423</v>
      </c>
    </row>
    <row r="437" spans="1:36" ht="16.5" customHeight="1">
      <c r="A437" s="999">
        <f>'09월 조업일지'!A435</f>
        <v>46281</v>
      </c>
      <c r="B437" s="1099">
        <f>'09월 조업일지'!B435</f>
        <v>46281</v>
      </c>
      <c r="C437" s="1000" t="str">
        <f>'09월 화학성분'!D435</f>
        <v>B</v>
      </c>
      <c r="D437" s="1000" t="str">
        <f>'09월 화학성분'!E435</f>
        <v>A</v>
      </c>
      <c r="E437" s="1000">
        <f>'09월 화학성분'!C435</f>
        <v>85637</v>
      </c>
      <c r="F437" s="1001" t="str">
        <f t="shared" si="130"/>
        <v>AS500N(QTB.C10)</v>
      </c>
      <c r="G437" s="1172">
        <v>19.899999999999999</v>
      </c>
      <c r="H437" s="985">
        <v>23200</v>
      </c>
      <c r="I437" s="1173">
        <v>17.8</v>
      </c>
      <c r="J437" s="985">
        <v>20800</v>
      </c>
      <c r="K437" s="1173">
        <v>8.8000000000000007</v>
      </c>
      <c r="L437" s="985">
        <v>10900</v>
      </c>
      <c r="M437" s="1174">
        <f t="shared" si="131"/>
        <v>46.5</v>
      </c>
      <c r="N437" s="984">
        <f t="shared" si="132"/>
        <v>54900</v>
      </c>
      <c r="O437" s="986">
        <f t="shared" si="133"/>
        <v>159.66964900206469</v>
      </c>
      <c r="P437" s="987">
        <f t="shared" si="134"/>
        <v>143.15209910529936</v>
      </c>
      <c r="Q437" s="987">
        <f t="shared" si="135"/>
        <v>75.017205781142465</v>
      </c>
      <c r="R437" s="988">
        <f t="shared" si="136"/>
        <v>377.83895388850652</v>
      </c>
      <c r="S437" s="989">
        <v>145.30000000000001</v>
      </c>
      <c r="T437" s="990">
        <v>0</v>
      </c>
      <c r="U437" s="991">
        <v>23</v>
      </c>
      <c r="V437" s="991">
        <v>314</v>
      </c>
      <c r="W437" s="992">
        <f t="shared" si="137"/>
        <v>337</v>
      </c>
      <c r="X437" s="993">
        <f t="shared" si="138"/>
        <v>2.3193392980041292</v>
      </c>
      <c r="Y437" s="990">
        <v>1630</v>
      </c>
      <c r="Z437" s="991">
        <v>1437</v>
      </c>
      <c r="AA437" s="991">
        <v>844</v>
      </c>
      <c r="AB437" s="992">
        <f t="shared" si="139"/>
        <v>3911</v>
      </c>
      <c r="AC437" s="993">
        <f t="shared" si="140"/>
        <v>26.916724019270472</v>
      </c>
      <c r="AD437" s="994">
        <f t="shared" si="141"/>
        <v>4248</v>
      </c>
      <c r="AE437" s="995">
        <f t="shared" si="142"/>
        <v>29.236063317274603</v>
      </c>
      <c r="AF437" s="996">
        <v>86</v>
      </c>
      <c r="AG437" s="997">
        <v>67</v>
      </c>
      <c r="AH437" s="997">
        <v>7</v>
      </c>
      <c r="AI437" s="998">
        <f t="shared" si="143"/>
        <v>160</v>
      </c>
      <c r="AJ437" s="993">
        <f t="shared" si="144"/>
        <v>1.1011699931176875</v>
      </c>
    </row>
    <row r="438" spans="1:36" ht="16.5" customHeight="1">
      <c r="A438" s="999">
        <f>'09월 조업일지'!A436</f>
        <v>46281</v>
      </c>
      <c r="B438" s="1099">
        <f>'09월 조업일지'!B436</f>
        <v>46281</v>
      </c>
      <c r="C438" s="1000" t="str">
        <f>'09월 화학성분'!D436</f>
        <v>B</v>
      </c>
      <c r="D438" s="1000" t="str">
        <f>'09월 화학성분'!E436</f>
        <v>B</v>
      </c>
      <c r="E438" s="1000">
        <f>'09월 화학성분'!C436</f>
        <v>85638</v>
      </c>
      <c r="F438" s="1104" t="s">
        <v>853</v>
      </c>
      <c r="G438" s="1172">
        <v>18.8</v>
      </c>
      <c r="H438" s="985">
        <v>23600</v>
      </c>
      <c r="I438" s="1173">
        <v>16.3</v>
      </c>
      <c r="J438" s="985">
        <v>20500</v>
      </c>
      <c r="K438" s="1173">
        <v>11.7</v>
      </c>
      <c r="L438" s="985">
        <v>14800</v>
      </c>
      <c r="M438" s="1174">
        <f t="shared" si="131"/>
        <v>46.8</v>
      </c>
      <c r="N438" s="984">
        <f t="shared" si="132"/>
        <v>58900</v>
      </c>
      <c r="O438" s="986">
        <f t="shared" si="133"/>
        <v>163.88888888888889</v>
      </c>
      <c r="P438" s="987">
        <f t="shared" si="134"/>
        <v>142.36111111111111</v>
      </c>
      <c r="Q438" s="987">
        <f t="shared" si="135"/>
        <v>102.77777777777777</v>
      </c>
      <c r="R438" s="988">
        <f t="shared" si="136"/>
        <v>409.02777777777777</v>
      </c>
      <c r="S438" s="989">
        <v>144</v>
      </c>
      <c r="T438" s="990">
        <v>0</v>
      </c>
      <c r="U438" s="991">
        <v>73</v>
      </c>
      <c r="V438" s="991">
        <v>355</v>
      </c>
      <c r="W438" s="992">
        <f t="shared" si="137"/>
        <v>428</v>
      </c>
      <c r="X438" s="993">
        <f t="shared" si="138"/>
        <v>2.9722222222222223</v>
      </c>
      <c r="Y438" s="990">
        <v>1565</v>
      </c>
      <c r="Z438" s="991">
        <v>1342</v>
      </c>
      <c r="AA438" s="991">
        <v>1270</v>
      </c>
      <c r="AB438" s="992">
        <f t="shared" si="139"/>
        <v>4177</v>
      </c>
      <c r="AC438" s="993">
        <f t="shared" si="140"/>
        <v>29.006944444444443</v>
      </c>
      <c r="AD438" s="994">
        <f t="shared" si="141"/>
        <v>4605</v>
      </c>
      <c r="AE438" s="995">
        <f t="shared" si="142"/>
        <v>31.979166666666668</v>
      </c>
      <c r="AF438" s="996">
        <v>81</v>
      </c>
      <c r="AG438" s="997">
        <v>66</v>
      </c>
      <c r="AH438" s="997">
        <v>12</v>
      </c>
      <c r="AI438" s="998">
        <f t="shared" si="143"/>
        <v>159</v>
      </c>
      <c r="AJ438" s="993">
        <f t="shared" si="144"/>
        <v>1.1041666666666667</v>
      </c>
    </row>
    <row r="439" spans="1:36" ht="16.5" customHeight="1">
      <c r="A439" s="999">
        <f>'09월 조업일지'!A437</f>
        <v>46281</v>
      </c>
      <c r="B439" s="1099">
        <f>'09월 조업일지'!B437</f>
        <v>46281</v>
      </c>
      <c r="C439" s="1000" t="str">
        <f>'09월 화학성분'!D437</f>
        <v>B</v>
      </c>
      <c r="D439" s="1000" t="str">
        <f>'09월 화학성분'!E437</f>
        <v>A</v>
      </c>
      <c r="E439" s="1000">
        <f>'09월 화학성분'!C437</f>
        <v>85639</v>
      </c>
      <c r="F439" s="1001" t="str">
        <f t="shared" si="130"/>
        <v>SS275[CS공장]</v>
      </c>
      <c r="G439" s="1172">
        <v>20.6</v>
      </c>
      <c r="H439" s="985">
        <v>23600</v>
      </c>
      <c r="I439" s="1173">
        <v>17.3</v>
      </c>
      <c r="J439" s="985">
        <v>20900</v>
      </c>
      <c r="K439" s="1173">
        <v>7.9</v>
      </c>
      <c r="L439" s="985">
        <v>9900</v>
      </c>
      <c r="M439" s="1174">
        <f t="shared" si="131"/>
        <v>45.800000000000004</v>
      </c>
      <c r="N439" s="984">
        <f t="shared" si="132"/>
        <v>54400</v>
      </c>
      <c r="O439" s="986">
        <f t="shared" si="133"/>
        <v>163.54816354816353</v>
      </c>
      <c r="P439" s="987">
        <f t="shared" si="134"/>
        <v>144.83714483714482</v>
      </c>
      <c r="Q439" s="987">
        <f t="shared" si="135"/>
        <v>68.607068607068598</v>
      </c>
      <c r="R439" s="988">
        <f t="shared" si="136"/>
        <v>376.99237699237693</v>
      </c>
      <c r="S439" s="989">
        <v>144.30000000000001</v>
      </c>
      <c r="T439" s="990">
        <v>0</v>
      </c>
      <c r="U439" s="991">
        <v>89</v>
      </c>
      <c r="V439" s="991">
        <v>247</v>
      </c>
      <c r="W439" s="992">
        <f t="shared" si="137"/>
        <v>336</v>
      </c>
      <c r="X439" s="993">
        <f t="shared" si="138"/>
        <v>2.3284823284823282</v>
      </c>
      <c r="Y439" s="990">
        <v>1703</v>
      </c>
      <c r="Z439" s="991">
        <v>1427</v>
      </c>
      <c r="AA439" s="991">
        <v>664</v>
      </c>
      <c r="AB439" s="992">
        <f t="shared" si="139"/>
        <v>3794</v>
      </c>
      <c r="AC439" s="993">
        <f t="shared" si="140"/>
        <v>26.292446292446289</v>
      </c>
      <c r="AD439" s="994">
        <f t="shared" si="141"/>
        <v>4130</v>
      </c>
      <c r="AE439" s="995">
        <f t="shared" si="142"/>
        <v>28.62092862092862</v>
      </c>
      <c r="AF439" s="996">
        <v>86</v>
      </c>
      <c r="AG439" s="997">
        <v>66</v>
      </c>
      <c r="AH439" s="997">
        <v>5</v>
      </c>
      <c r="AI439" s="998">
        <f t="shared" si="143"/>
        <v>157</v>
      </c>
      <c r="AJ439" s="993">
        <f t="shared" si="144"/>
        <v>1.088011088011088</v>
      </c>
    </row>
    <row r="440" spans="1:36" ht="16.5" customHeight="1">
      <c r="A440" s="999">
        <f>'09월 조업일지'!A438</f>
        <v>46281</v>
      </c>
      <c r="B440" s="1099">
        <f>'09월 조업일지'!B438</f>
        <v>46281</v>
      </c>
      <c r="C440" s="1000" t="str">
        <f>'09월 화학성분'!D438</f>
        <v>C</v>
      </c>
      <c r="D440" s="1000" t="str">
        <f>'09월 화학성분'!E438</f>
        <v>B</v>
      </c>
      <c r="E440" s="1000">
        <f>'09월 화학성분'!C438</f>
        <v>85640</v>
      </c>
      <c r="F440" s="1001" t="str">
        <f t="shared" si="130"/>
        <v>SS275[CS공장]</v>
      </c>
      <c r="G440" s="1172">
        <v>18.7</v>
      </c>
      <c r="H440" s="985">
        <v>22500</v>
      </c>
      <c r="I440" s="1173">
        <v>16.399999999999999</v>
      </c>
      <c r="J440" s="985">
        <v>20600</v>
      </c>
      <c r="K440" s="1173">
        <v>13.2</v>
      </c>
      <c r="L440" s="985">
        <v>16800</v>
      </c>
      <c r="M440" s="1174">
        <f t="shared" si="131"/>
        <v>48.3</v>
      </c>
      <c r="N440" s="984">
        <f t="shared" si="132"/>
        <v>59900</v>
      </c>
      <c r="O440" s="986">
        <f t="shared" si="133"/>
        <v>156.46731571627259</v>
      </c>
      <c r="P440" s="987">
        <f t="shared" si="134"/>
        <v>143.25452016689846</v>
      </c>
      <c r="Q440" s="987">
        <f t="shared" si="135"/>
        <v>116.8289290681502</v>
      </c>
      <c r="R440" s="988">
        <f t="shared" si="136"/>
        <v>416.55076495132124</v>
      </c>
      <c r="S440" s="989">
        <v>143.80000000000001</v>
      </c>
      <c r="T440" s="990">
        <v>0</v>
      </c>
      <c r="U440" s="991">
        <v>106</v>
      </c>
      <c r="V440" s="991">
        <v>300</v>
      </c>
      <c r="W440" s="992">
        <f t="shared" si="137"/>
        <v>406</v>
      </c>
      <c r="X440" s="993">
        <f t="shared" si="138"/>
        <v>2.8233657858136296</v>
      </c>
      <c r="Y440" s="990">
        <v>1534</v>
      </c>
      <c r="Z440" s="991">
        <v>1754</v>
      </c>
      <c r="AA440" s="991">
        <v>1296</v>
      </c>
      <c r="AB440" s="992">
        <f t="shared" si="139"/>
        <v>4584</v>
      </c>
      <c r="AC440" s="993">
        <f t="shared" si="140"/>
        <v>31.87760778859527</v>
      </c>
      <c r="AD440" s="994">
        <f t="shared" si="141"/>
        <v>4990</v>
      </c>
      <c r="AE440" s="995">
        <f t="shared" si="142"/>
        <v>34.700973574408899</v>
      </c>
      <c r="AF440" s="996">
        <v>82</v>
      </c>
      <c r="AG440" s="997">
        <v>66</v>
      </c>
      <c r="AH440" s="997">
        <v>22</v>
      </c>
      <c r="AI440" s="998">
        <f t="shared" si="143"/>
        <v>170</v>
      </c>
      <c r="AJ440" s="993">
        <f t="shared" si="144"/>
        <v>1.1821974965229485</v>
      </c>
    </row>
    <row r="441" spans="1:36" ht="16.5" customHeight="1">
      <c r="A441" s="999">
        <f>'09월 조업일지'!A439</f>
        <v>46281</v>
      </c>
      <c r="B441" s="1099">
        <f>'09월 조업일지'!B439</f>
        <v>46281</v>
      </c>
      <c r="C441" s="1000" t="str">
        <f>'09월 화학성분'!D439</f>
        <v>C</v>
      </c>
      <c r="D441" s="1000" t="str">
        <f>'09월 화학성분'!E439</f>
        <v>A</v>
      </c>
      <c r="E441" s="1000">
        <f>'09월 화학성분'!C439</f>
        <v>85641</v>
      </c>
      <c r="F441" s="1001" t="str">
        <f t="shared" si="130"/>
        <v>SS275[CS공장]</v>
      </c>
      <c r="G441" s="1172">
        <v>19.2</v>
      </c>
      <c r="H441" s="985">
        <v>22400</v>
      </c>
      <c r="I441" s="1173">
        <v>17</v>
      </c>
      <c r="J441" s="985">
        <v>20500</v>
      </c>
      <c r="K441" s="1173">
        <v>7.9</v>
      </c>
      <c r="L441" s="985">
        <v>10000</v>
      </c>
      <c r="M441" s="1174">
        <f t="shared" si="131"/>
        <v>44.1</v>
      </c>
      <c r="N441" s="984">
        <f t="shared" si="132"/>
        <v>52900</v>
      </c>
      <c r="O441" s="986">
        <f t="shared" si="133"/>
        <v>157.41391426563598</v>
      </c>
      <c r="P441" s="987">
        <f t="shared" si="134"/>
        <v>144.06184118060435</v>
      </c>
      <c r="Q441" s="987">
        <f t="shared" si="135"/>
        <v>70.274068868587491</v>
      </c>
      <c r="R441" s="988">
        <f t="shared" si="136"/>
        <v>371.74982431482783</v>
      </c>
      <c r="S441" s="989">
        <v>142.30000000000001</v>
      </c>
      <c r="T441" s="990">
        <v>0</v>
      </c>
      <c r="U441" s="991">
        <v>56</v>
      </c>
      <c r="V441" s="991">
        <v>290</v>
      </c>
      <c r="W441" s="992">
        <f t="shared" si="137"/>
        <v>346</v>
      </c>
      <c r="X441" s="993">
        <f t="shared" si="138"/>
        <v>2.4314827828531271</v>
      </c>
      <c r="Y441" s="990">
        <v>1557</v>
      </c>
      <c r="Z441" s="991">
        <v>1881</v>
      </c>
      <c r="AA441" s="991">
        <v>776</v>
      </c>
      <c r="AB441" s="992">
        <f t="shared" si="139"/>
        <v>4214</v>
      </c>
      <c r="AC441" s="993">
        <f t="shared" si="140"/>
        <v>29.613492621222765</v>
      </c>
      <c r="AD441" s="994">
        <f t="shared" si="141"/>
        <v>4560</v>
      </c>
      <c r="AE441" s="995">
        <f t="shared" si="142"/>
        <v>32.044975404075892</v>
      </c>
      <c r="AF441" s="996">
        <v>84</v>
      </c>
      <c r="AG441" s="997">
        <v>65</v>
      </c>
      <c r="AH441" s="997">
        <v>6</v>
      </c>
      <c r="AI441" s="998">
        <f t="shared" si="143"/>
        <v>155</v>
      </c>
      <c r="AJ441" s="993">
        <f t="shared" si="144"/>
        <v>1.089248067463106</v>
      </c>
    </row>
    <row r="442" spans="1:36" ht="16.5" customHeight="1">
      <c r="A442" s="999">
        <f>'09월 조업일지'!A440</f>
        <v>46281</v>
      </c>
      <c r="B442" s="1099">
        <f>'09월 조업일지'!B440</f>
        <v>46281</v>
      </c>
      <c r="C442" s="1000" t="str">
        <f>'09월 화학성분'!D440</f>
        <v>C</v>
      </c>
      <c r="D442" s="1000" t="str">
        <f>'09월 화학성분'!E440</f>
        <v>B</v>
      </c>
      <c r="E442" s="1000">
        <f>'09월 화학성분'!C440</f>
        <v>85642</v>
      </c>
      <c r="F442" s="1001" t="str">
        <f t="shared" si="130"/>
        <v>SS275[CS공장]</v>
      </c>
      <c r="G442" s="1172">
        <v>18.7</v>
      </c>
      <c r="H442" s="985">
        <v>22800</v>
      </c>
      <c r="I442" s="1173">
        <v>16.5</v>
      </c>
      <c r="J442" s="985">
        <v>20600</v>
      </c>
      <c r="K442" s="1173">
        <v>13.3</v>
      </c>
      <c r="L442" s="985">
        <v>16800</v>
      </c>
      <c r="M442" s="1174">
        <f t="shared" si="131"/>
        <v>48.5</v>
      </c>
      <c r="N442" s="984">
        <f t="shared" si="132"/>
        <v>60200</v>
      </c>
      <c r="O442" s="986">
        <f t="shared" si="133"/>
        <v>159.77575332866155</v>
      </c>
      <c r="P442" s="987">
        <f t="shared" si="134"/>
        <v>144.35879467414156</v>
      </c>
      <c r="Q442" s="987">
        <f t="shared" si="135"/>
        <v>117.72950245269797</v>
      </c>
      <c r="R442" s="988">
        <f t="shared" si="136"/>
        <v>421.86405045550111</v>
      </c>
      <c r="S442" s="989">
        <v>142.69999999999999</v>
      </c>
      <c r="T442" s="990">
        <v>0</v>
      </c>
      <c r="U442" s="991">
        <v>77</v>
      </c>
      <c r="V442" s="991">
        <v>898</v>
      </c>
      <c r="W442" s="992">
        <f t="shared" si="137"/>
        <v>975</v>
      </c>
      <c r="X442" s="993">
        <f t="shared" si="138"/>
        <v>6.8325157673440788</v>
      </c>
      <c r="Y442" s="990">
        <v>1533</v>
      </c>
      <c r="Z442" s="991">
        <v>1356</v>
      </c>
      <c r="AA442" s="991">
        <v>2290</v>
      </c>
      <c r="AB442" s="992">
        <f t="shared" si="139"/>
        <v>5179</v>
      </c>
      <c r="AC442" s="993">
        <f t="shared" si="140"/>
        <v>36.292922214435883</v>
      </c>
      <c r="AD442" s="994">
        <f t="shared" si="141"/>
        <v>6154</v>
      </c>
      <c r="AE442" s="995">
        <f t="shared" si="142"/>
        <v>43.12543798177996</v>
      </c>
      <c r="AF442" s="996">
        <v>81</v>
      </c>
      <c r="AG442" s="997">
        <v>66</v>
      </c>
      <c r="AH442" s="997">
        <v>29</v>
      </c>
      <c r="AI442" s="998">
        <f t="shared" si="143"/>
        <v>176</v>
      </c>
      <c r="AJ442" s="993">
        <f t="shared" si="144"/>
        <v>1.233356692361598</v>
      </c>
    </row>
    <row r="443" spans="1:36" ht="16.5" customHeight="1">
      <c r="A443" s="999">
        <f>'09월 조업일지'!A441</f>
        <v>46281</v>
      </c>
      <c r="B443" s="1099">
        <f>'09월 조업일지'!B441</f>
        <v>46281</v>
      </c>
      <c r="C443" s="1000" t="str">
        <f>'09월 화학성분'!D441</f>
        <v>C</v>
      </c>
      <c r="D443" s="1000" t="str">
        <f>'09월 화학성분'!E441</f>
        <v>A</v>
      </c>
      <c r="E443" s="1000">
        <f>'09월 화학성분'!C441</f>
        <v>85643</v>
      </c>
      <c r="F443" s="1001" t="str">
        <f t="shared" si="130"/>
        <v>SS275[CS공장]</v>
      </c>
      <c r="G443" s="1172">
        <v>20.5</v>
      </c>
      <c r="H443" s="985">
        <v>24200</v>
      </c>
      <c r="I443" s="1173">
        <v>17.100000000000001</v>
      </c>
      <c r="J443" s="985">
        <v>20700</v>
      </c>
      <c r="K443" s="1173">
        <v>10.5</v>
      </c>
      <c r="L443" s="985">
        <v>12700</v>
      </c>
      <c r="M443" s="1174">
        <f t="shared" si="131"/>
        <v>48.1</v>
      </c>
      <c r="N443" s="984">
        <f t="shared" si="132"/>
        <v>57600</v>
      </c>
      <c r="O443" s="986">
        <f t="shared" si="133"/>
        <v>170.78334509527173</v>
      </c>
      <c r="P443" s="987">
        <f t="shared" si="134"/>
        <v>146.08327452364151</v>
      </c>
      <c r="Q443" s="987">
        <f t="shared" si="135"/>
        <v>89.625970359915314</v>
      </c>
      <c r="R443" s="988">
        <f t="shared" si="136"/>
        <v>406.49258997882851</v>
      </c>
      <c r="S443" s="989">
        <v>141.69999999999999</v>
      </c>
      <c r="T443" s="990">
        <v>0</v>
      </c>
      <c r="U443" s="991">
        <v>156</v>
      </c>
      <c r="V443" s="991">
        <v>265</v>
      </c>
      <c r="W443" s="992">
        <f t="shared" si="137"/>
        <v>421</v>
      </c>
      <c r="X443" s="993">
        <f t="shared" si="138"/>
        <v>2.9710656316160904</v>
      </c>
      <c r="Y443" s="990">
        <v>1733</v>
      </c>
      <c r="Z443" s="991">
        <v>1395</v>
      </c>
      <c r="AA443" s="991">
        <v>1093</v>
      </c>
      <c r="AB443" s="992">
        <f t="shared" si="139"/>
        <v>4221</v>
      </c>
      <c r="AC443" s="993">
        <f t="shared" si="140"/>
        <v>29.788285109386027</v>
      </c>
      <c r="AD443" s="994">
        <f t="shared" si="141"/>
        <v>4642</v>
      </c>
      <c r="AE443" s="995">
        <f t="shared" si="142"/>
        <v>32.759350741002123</v>
      </c>
      <c r="AF443" s="996">
        <v>85</v>
      </c>
      <c r="AG443" s="997">
        <v>66</v>
      </c>
      <c r="AH443" s="997">
        <v>12</v>
      </c>
      <c r="AI443" s="998">
        <f t="shared" si="143"/>
        <v>163</v>
      </c>
      <c r="AJ443" s="993">
        <f t="shared" si="144"/>
        <v>1.1503175723359211</v>
      </c>
    </row>
    <row r="444" spans="1:36" ht="16.5" customHeight="1">
      <c r="A444" s="999">
        <f>'09월 조업일지'!A442</f>
        <v>46281</v>
      </c>
      <c r="B444" s="1099">
        <f>'09월 조업일지'!B442</f>
        <v>46281</v>
      </c>
      <c r="C444" s="1000" t="str">
        <f>'09월 화학성분'!D442</f>
        <v>C</v>
      </c>
      <c r="D444" s="1000" t="str">
        <f>'09월 화학성분'!E442</f>
        <v>B</v>
      </c>
      <c r="E444" s="1000">
        <f>'09월 화학성분'!C442</f>
        <v>85644</v>
      </c>
      <c r="F444" s="1001" t="str">
        <f t="shared" si="130"/>
        <v>SS275[CS공장]</v>
      </c>
      <c r="G444" s="1172">
        <v>20.7</v>
      </c>
      <c r="H444" s="985">
        <v>24500</v>
      </c>
      <c r="I444" s="1173">
        <v>16.600000000000001</v>
      </c>
      <c r="J444" s="985">
        <v>20500</v>
      </c>
      <c r="K444" s="1173">
        <v>10</v>
      </c>
      <c r="L444" s="985">
        <v>12800</v>
      </c>
      <c r="M444" s="1174">
        <f t="shared" si="131"/>
        <v>47.3</v>
      </c>
      <c r="N444" s="984">
        <f t="shared" si="132"/>
        <v>57800</v>
      </c>
      <c r="O444" s="986">
        <f t="shared" si="133"/>
        <v>169.31582584657914</v>
      </c>
      <c r="P444" s="987">
        <f t="shared" si="134"/>
        <v>141.67242570836214</v>
      </c>
      <c r="Q444" s="987">
        <f t="shared" si="135"/>
        <v>88.458880442294415</v>
      </c>
      <c r="R444" s="988">
        <f t="shared" si="136"/>
        <v>399.44713199723566</v>
      </c>
      <c r="S444" s="989">
        <v>144.69999999999999</v>
      </c>
      <c r="T444" s="990">
        <v>0</v>
      </c>
      <c r="U444" s="991">
        <v>111</v>
      </c>
      <c r="V444" s="991">
        <v>268</v>
      </c>
      <c r="W444" s="992">
        <f t="shared" si="137"/>
        <v>379</v>
      </c>
      <c r="X444" s="993">
        <f t="shared" si="138"/>
        <v>2.6192121630960612</v>
      </c>
      <c r="Y444" s="990">
        <v>1760</v>
      </c>
      <c r="Z444" s="991">
        <v>1353</v>
      </c>
      <c r="AA444" s="991">
        <v>1148</v>
      </c>
      <c r="AB444" s="992">
        <f t="shared" si="139"/>
        <v>4261</v>
      </c>
      <c r="AC444" s="993">
        <f t="shared" si="140"/>
        <v>29.447131997235662</v>
      </c>
      <c r="AD444" s="994">
        <f t="shared" si="141"/>
        <v>4640</v>
      </c>
      <c r="AE444" s="995">
        <f t="shared" si="142"/>
        <v>32.066344160331724</v>
      </c>
      <c r="AF444" s="996">
        <v>90</v>
      </c>
      <c r="AG444" s="997">
        <v>64</v>
      </c>
      <c r="AH444" s="997">
        <v>11</v>
      </c>
      <c r="AI444" s="998">
        <f t="shared" si="143"/>
        <v>165</v>
      </c>
      <c r="AJ444" s="993">
        <f t="shared" si="144"/>
        <v>1.1402902557014514</v>
      </c>
    </row>
    <row r="445" spans="1:36" ht="16.5" customHeight="1">
      <c r="A445" s="999">
        <f>'09월 조업일지'!A443</f>
        <v>46281</v>
      </c>
      <c r="B445" s="1099">
        <f>'09월 조업일지'!B443</f>
        <v>46281</v>
      </c>
      <c r="C445" s="1000" t="str">
        <f>'09월 화학성분'!D443</f>
        <v>C</v>
      </c>
      <c r="D445" s="1000" t="str">
        <f>'09월 화학성분'!E443</f>
        <v>A</v>
      </c>
      <c r="E445" s="1000">
        <f>'09월 화학성분'!C443</f>
        <v>85645</v>
      </c>
      <c r="F445" s="1001" t="str">
        <f t="shared" si="130"/>
        <v>SS275[CS공장]</v>
      </c>
      <c r="G445" s="1172">
        <v>19.2</v>
      </c>
      <c r="H445" s="985">
        <v>22600</v>
      </c>
      <c r="I445" s="1173">
        <v>17</v>
      </c>
      <c r="J445" s="985">
        <v>20600</v>
      </c>
      <c r="K445" s="1173">
        <v>7.6</v>
      </c>
      <c r="L445" s="985">
        <v>9800</v>
      </c>
      <c r="M445" s="1174">
        <f t="shared" si="131"/>
        <v>43.800000000000004</v>
      </c>
      <c r="N445" s="984">
        <f t="shared" si="132"/>
        <v>53000</v>
      </c>
      <c r="O445" s="986">
        <f t="shared" si="133"/>
        <v>156.18521078092607</v>
      </c>
      <c r="P445" s="987">
        <f t="shared" si="134"/>
        <v>142.36351071181755</v>
      </c>
      <c r="Q445" s="987">
        <f t="shared" si="135"/>
        <v>67.726330338631655</v>
      </c>
      <c r="R445" s="988">
        <f t="shared" si="136"/>
        <v>366.27505183137532</v>
      </c>
      <c r="S445" s="989">
        <v>144.69999999999999</v>
      </c>
      <c r="T445" s="990">
        <v>0</v>
      </c>
      <c r="U445" s="991">
        <v>65</v>
      </c>
      <c r="V445" s="991">
        <v>284</v>
      </c>
      <c r="W445" s="992">
        <f t="shared" si="137"/>
        <v>349</v>
      </c>
      <c r="X445" s="993">
        <f t="shared" si="138"/>
        <v>2.4118866620594335</v>
      </c>
      <c r="Y445" s="990">
        <v>1627</v>
      </c>
      <c r="Z445" s="991">
        <v>1378</v>
      </c>
      <c r="AA445" s="991">
        <v>604</v>
      </c>
      <c r="AB445" s="992">
        <f t="shared" si="139"/>
        <v>3609</v>
      </c>
      <c r="AC445" s="993">
        <f t="shared" si="140"/>
        <v>24.94125777470629</v>
      </c>
      <c r="AD445" s="994">
        <f t="shared" si="141"/>
        <v>3958</v>
      </c>
      <c r="AE445" s="995">
        <f t="shared" si="142"/>
        <v>27.353144436765724</v>
      </c>
      <c r="AF445" s="996">
        <v>85</v>
      </c>
      <c r="AG445" s="997">
        <v>65</v>
      </c>
      <c r="AH445" s="997">
        <v>5</v>
      </c>
      <c r="AI445" s="998">
        <f t="shared" si="143"/>
        <v>155</v>
      </c>
      <c r="AJ445" s="993">
        <f t="shared" si="144"/>
        <v>1.0711817553559089</v>
      </c>
    </row>
    <row r="446" spans="1:36" ht="16.5" customHeight="1">
      <c r="A446" s="999">
        <f>'09월 조업일지'!A444</f>
        <v>46282</v>
      </c>
      <c r="B446" s="1099">
        <f>'09월 조업일지'!B444</f>
        <v>46281</v>
      </c>
      <c r="C446" s="1000" t="str">
        <f>'09월 화학성분'!D444</f>
        <v>C</v>
      </c>
      <c r="D446" s="1000" t="str">
        <f>'09월 화학성분'!E444</f>
        <v>B</v>
      </c>
      <c r="E446" s="1000">
        <f>'09월 화학성분'!C444</f>
        <v>85646</v>
      </c>
      <c r="F446" s="1001" t="str">
        <f t="shared" si="130"/>
        <v>SS275[CS공장]</v>
      </c>
      <c r="G446" s="1172">
        <v>19.2</v>
      </c>
      <c r="H446" s="985">
        <v>22700</v>
      </c>
      <c r="I446" s="1173">
        <v>16.600000000000001</v>
      </c>
      <c r="J446" s="985">
        <v>20500</v>
      </c>
      <c r="K446" s="1173">
        <v>10.7</v>
      </c>
      <c r="L446" s="985">
        <v>13100</v>
      </c>
      <c r="M446" s="1174">
        <f t="shared" si="131"/>
        <v>46.5</v>
      </c>
      <c r="N446" s="984">
        <f t="shared" si="132"/>
        <v>56300</v>
      </c>
      <c r="O446" s="986">
        <f t="shared" si="133"/>
        <v>158.29846582984658</v>
      </c>
      <c r="P446" s="987">
        <f t="shared" si="134"/>
        <v>142.95676429567644</v>
      </c>
      <c r="Q446" s="987">
        <f t="shared" si="135"/>
        <v>91.352859135285911</v>
      </c>
      <c r="R446" s="988">
        <f t="shared" si="136"/>
        <v>392.60808926080892</v>
      </c>
      <c r="S446" s="989">
        <v>143.4</v>
      </c>
      <c r="T446" s="990">
        <v>0</v>
      </c>
      <c r="U446" s="991">
        <v>65</v>
      </c>
      <c r="V446" s="991">
        <v>290</v>
      </c>
      <c r="W446" s="992">
        <f t="shared" si="137"/>
        <v>355</v>
      </c>
      <c r="X446" s="993">
        <f t="shared" si="138"/>
        <v>2.4755927475592747</v>
      </c>
      <c r="Y446" s="990">
        <v>1568</v>
      </c>
      <c r="Z446" s="991">
        <v>1365</v>
      </c>
      <c r="AA446" s="991">
        <v>1081</v>
      </c>
      <c r="AB446" s="992">
        <f t="shared" si="139"/>
        <v>4014</v>
      </c>
      <c r="AC446" s="993">
        <f t="shared" si="140"/>
        <v>27.99163179916318</v>
      </c>
      <c r="AD446" s="994">
        <f t="shared" si="141"/>
        <v>4369</v>
      </c>
      <c r="AE446" s="995">
        <f t="shared" si="142"/>
        <v>30.467224546722452</v>
      </c>
      <c r="AF446" s="996">
        <v>80</v>
      </c>
      <c r="AG446" s="997">
        <v>68</v>
      </c>
      <c r="AH446" s="997">
        <v>10</v>
      </c>
      <c r="AI446" s="998">
        <f t="shared" si="143"/>
        <v>158</v>
      </c>
      <c r="AJ446" s="993">
        <f t="shared" si="144"/>
        <v>1.1018131101813109</v>
      </c>
    </row>
    <row r="447" spans="1:36" ht="16.5" customHeight="1">
      <c r="A447" s="999">
        <f>'09월 조업일지'!A445</f>
        <v>46282</v>
      </c>
      <c r="B447" s="1099">
        <f>'09월 조업일지'!B445</f>
        <v>46281</v>
      </c>
      <c r="C447" s="1000" t="str">
        <f>'09월 화학성분'!D445</f>
        <v>C</v>
      </c>
      <c r="D447" s="1000" t="str">
        <f>'09월 화학성분'!E445</f>
        <v>A</v>
      </c>
      <c r="E447" s="1000">
        <f>'09월 화학성분'!C445</f>
        <v>85647</v>
      </c>
      <c r="F447" s="1001" t="str">
        <f t="shared" si="130"/>
        <v>SS275[CS공장]</v>
      </c>
      <c r="G447" s="1172">
        <v>19.7</v>
      </c>
      <c r="H447" s="985">
        <v>22700</v>
      </c>
      <c r="I447" s="1173">
        <v>17</v>
      </c>
      <c r="J447" s="985">
        <v>20600</v>
      </c>
      <c r="K447" s="1173">
        <v>8</v>
      </c>
      <c r="L447" s="985">
        <v>10200</v>
      </c>
      <c r="M447" s="1174">
        <f t="shared" si="131"/>
        <v>44.7</v>
      </c>
      <c r="N447" s="984">
        <f t="shared" si="132"/>
        <v>53500</v>
      </c>
      <c r="O447" s="986">
        <f t="shared" si="133"/>
        <v>159.2982456140351</v>
      </c>
      <c r="P447" s="987">
        <f t="shared" si="134"/>
        <v>144.56140350877192</v>
      </c>
      <c r="Q447" s="987">
        <f t="shared" si="135"/>
        <v>71.578947368421055</v>
      </c>
      <c r="R447" s="988">
        <f t="shared" si="136"/>
        <v>375.43859649122805</v>
      </c>
      <c r="S447" s="989">
        <v>142.5</v>
      </c>
      <c r="T447" s="990">
        <v>0</v>
      </c>
      <c r="U447" s="991">
        <v>40</v>
      </c>
      <c r="V447" s="991">
        <v>312</v>
      </c>
      <c r="W447" s="992">
        <f t="shared" si="137"/>
        <v>352</v>
      </c>
      <c r="X447" s="993">
        <f t="shared" si="138"/>
        <v>2.4701754385964914</v>
      </c>
      <c r="Y447" s="990">
        <v>1637</v>
      </c>
      <c r="Z447" s="991">
        <v>1374</v>
      </c>
      <c r="AA447" s="991">
        <v>602</v>
      </c>
      <c r="AB447" s="992">
        <f t="shared" si="139"/>
        <v>3613</v>
      </c>
      <c r="AC447" s="993">
        <f t="shared" si="140"/>
        <v>25.354385964912282</v>
      </c>
      <c r="AD447" s="994">
        <f t="shared" si="141"/>
        <v>3965</v>
      </c>
      <c r="AE447" s="995">
        <f t="shared" si="142"/>
        <v>27.82456140350877</v>
      </c>
      <c r="AF447" s="996">
        <v>85</v>
      </c>
      <c r="AG447" s="997">
        <v>64</v>
      </c>
      <c r="AH447" s="997">
        <v>6</v>
      </c>
      <c r="AI447" s="998">
        <f t="shared" si="143"/>
        <v>155</v>
      </c>
      <c r="AJ447" s="993">
        <f t="shared" si="144"/>
        <v>1.0877192982456141</v>
      </c>
    </row>
    <row r="448" spans="1:36" ht="16.5" customHeight="1">
      <c r="A448" s="999">
        <f>'09월 조업일지'!A446</f>
        <v>46282</v>
      </c>
      <c r="B448" s="1099">
        <f>'09월 조업일지'!B446</f>
        <v>46281</v>
      </c>
      <c r="C448" s="1000" t="str">
        <f>'09월 화학성분'!D446</f>
        <v>C</v>
      </c>
      <c r="D448" s="1000" t="str">
        <f>'09월 화학성분'!E446</f>
        <v>B</v>
      </c>
      <c r="E448" s="1000">
        <f>'09월 화학성분'!C446</f>
        <v>85648</v>
      </c>
      <c r="F448" s="1001" t="str">
        <f t="shared" si="130"/>
        <v>SS275[CS공장]</v>
      </c>
      <c r="G448" s="1172">
        <v>18.600000000000001</v>
      </c>
      <c r="H448" s="985">
        <v>22500</v>
      </c>
      <c r="I448" s="1173">
        <v>16.2</v>
      </c>
      <c r="J448" s="985">
        <v>20600</v>
      </c>
      <c r="K448" s="1173">
        <v>11.7</v>
      </c>
      <c r="L448" s="985">
        <v>15100</v>
      </c>
      <c r="M448" s="1174">
        <f t="shared" si="131"/>
        <v>46.5</v>
      </c>
      <c r="N448" s="984">
        <f t="shared" si="132"/>
        <v>58200</v>
      </c>
      <c r="O448" s="986">
        <f t="shared" si="133"/>
        <v>157.01325889741798</v>
      </c>
      <c r="P448" s="987">
        <f t="shared" si="134"/>
        <v>143.7543614794138</v>
      </c>
      <c r="Q448" s="987">
        <f t="shared" si="135"/>
        <v>105.37334263782274</v>
      </c>
      <c r="R448" s="988">
        <f t="shared" si="136"/>
        <v>406.14096301465457</v>
      </c>
      <c r="S448" s="989">
        <v>143.30000000000001</v>
      </c>
      <c r="T448" s="990">
        <v>0</v>
      </c>
      <c r="U448" s="991">
        <v>66</v>
      </c>
      <c r="V448" s="991">
        <v>362</v>
      </c>
      <c r="W448" s="992">
        <f t="shared" si="137"/>
        <v>428</v>
      </c>
      <c r="X448" s="993">
        <f t="shared" si="138"/>
        <v>2.9867411025819957</v>
      </c>
      <c r="Y448" s="990">
        <v>1520</v>
      </c>
      <c r="Z448" s="991">
        <v>1355</v>
      </c>
      <c r="AA448" s="991">
        <v>1090</v>
      </c>
      <c r="AB448" s="992">
        <f t="shared" si="139"/>
        <v>3965</v>
      </c>
      <c r="AC448" s="993">
        <f t="shared" si="140"/>
        <v>27.669225401256103</v>
      </c>
      <c r="AD448" s="994">
        <f t="shared" si="141"/>
        <v>4393</v>
      </c>
      <c r="AE448" s="995">
        <f t="shared" si="142"/>
        <v>30.655966503838098</v>
      </c>
      <c r="AF448" s="996">
        <v>81</v>
      </c>
      <c r="AG448" s="997">
        <v>64</v>
      </c>
      <c r="AH448" s="997">
        <v>10</v>
      </c>
      <c r="AI448" s="998">
        <f t="shared" si="143"/>
        <v>155</v>
      </c>
      <c r="AJ448" s="993">
        <f t="shared" si="144"/>
        <v>1.0816468946266573</v>
      </c>
    </row>
    <row r="449" spans="1:36" ht="16.5" customHeight="1">
      <c r="A449" s="999">
        <f>'09월 조업일지'!A447</f>
        <v>46282</v>
      </c>
      <c r="B449" s="1099">
        <f>'09월 조업일지'!B447</f>
        <v>46281</v>
      </c>
      <c r="C449" s="1000" t="str">
        <f>'09월 화학성분'!D447</f>
        <v>C</v>
      </c>
      <c r="D449" s="1000" t="str">
        <f>'09월 화학성분'!E447</f>
        <v>A</v>
      </c>
      <c r="E449" s="1000">
        <f>'09월 화학성분'!C447</f>
        <v>85649</v>
      </c>
      <c r="F449" s="1001" t="str">
        <f t="shared" si="130"/>
        <v>SS275[CS공장]</v>
      </c>
      <c r="G449" s="1172">
        <v>20.100000000000001</v>
      </c>
      <c r="H449" s="985">
        <v>23200</v>
      </c>
      <c r="I449" s="1173">
        <v>17.100000000000001</v>
      </c>
      <c r="J449" s="985">
        <v>21000</v>
      </c>
      <c r="K449" s="1173">
        <v>5.9</v>
      </c>
      <c r="L449" s="985">
        <v>7500</v>
      </c>
      <c r="M449" s="1174">
        <f t="shared" si="131"/>
        <v>43.1</v>
      </c>
      <c r="N449" s="984">
        <f t="shared" si="132"/>
        <v>51700</v>
      </c>
      <c r="O449" s="986">
        <f t="shared" si="133"/>
        <v>161.44745998608212</v>
      </c>
      <c r="P449" s="987">
        <f t="shared" si="134"/>
        <v>146.13778705636744</v>
      </c>
      <c r="Q449" s="987">
        <f t="shared" si="135"/>
        <v>52.192066805845513</v>
      </c>
      <c r="R449" s="988">
        <f t="shared" si="136"/>
        <v>359.77731384829508</v>
      </c>
      <c r="S449" s="989">
        <v>143.69999999999999</v>
      </c>
      <c r="T449" s="990">
        <v>0</v>
      </c>
      <c r="U449" s="991">
        <v>67</v>
      </c>
      <c r="V449" s="991">
        <v>278</v>
      </c>
      <c r="W449" s="992">
        <f t="shared" si="137"/>
        <v>345</v>
      </c>
      <c r="X449" s="993">
        <f t="shared" si="138"/>
        <v>2.4008350730688939</v>
      </c>
      <c r="Y449" s="990">
        <v>1636</v>
      </c>
      <c r="Z449" s="991">
        <v>1410</v>
      </c>
      <c r="AA449" s="991">
        <v>524</v>
      </c>
      <c r="AB449" s="992">
        <f t="shared" si="139"/>
        <v>3570</v>
      </c>
      <c r="AC449" s="993">
        <f t="shared" si="140"/>
        <v>24.843423799582464</v>
      </c>
      <c r="AD449" s="994">
        <f t="shared" si="141"/>
        <v>3915</v>
      </c>
      <c r="AE449" s="995">
        <f t="shared" si="142"/>
        <v>27.244258872651358</v>
      </c>
      <c r="AF449" s="996">
        <v>86</v>
      </c>
      <c r="AG449" s="997">
        <v>63</v>
      </c>
      <c r="AH449" s="997">
        <v>5</v>
      </c>
      <c r="AI449" s="998">
        <f t="shared" si="143"/>
        <v>154</v>
      </c>
      <c r="AJ449" s="993">
        <f t="shared" si="144"/>
        <v>1.071677105080028</v>
      </c>
    </row>
    <row r="450" spans="1:36" ht="16.5" customHeight="1">
      <c r="A450" s="999">
        <f>'09월 조업일지'!A448</f>
        <v>46282</v>
      </c>
      <c r="B450" s="1099">
        <f>'09월 조업일지'!B448</f>
        <v>46282</v>
      </c>
      <c r="C450" s="1000" t="str">
        <f>'09월 화학성분'!D448</f>
        <v>D</v>
      </c>
      <c r="D450" s="1000" t="str">
        <f>'09월 화학성분'!E448</f>
        <v>B</v>
      </c>
      <c r="E450" s="1000">
        <f>'09월 화학성분'!C448</f>
        <v>85650</v>
      </c>
      <c r="F450" s="1001" t="str">
        <f t="shared" si="130"/>
        <v>SS275[CS공장]</v>
      </c>
      <c r="G450" s="1172">
        <v>19.600000000000001</v>
      </c>
      <c r="H450" s="985">
        <v>22600</v>
      </c>
      <c r="I450" s="1173">
        <v>16.100000000000001</v>
      </c>
      <c r="J450" s="985">
        <v>20600</v>
      </c>
      <c r="K450" s="1173">
        <v>9.8000000000000007</v>
      </c>
      <c r="L450" s="985">
        <v>12600</v>
      </c>
      <c r="M450" s="1174">
        <f t="shared" si="131"/>
        <v>45.5</v>
      </c>
      <c r="N450" s="984">
        <f t="shared" si="132"/>
        <v>55800</v>
      </c>
      <c r="O450" s="986">
        <f t="shared" si="133"/>
        <v>156.72676837725382</v>
      </c>
      <c r="P450" s="987">
        <f t="shared" si="134"/>
        <v>142.85714285714286</v>
      </c>
      <c r="Q450" s="987">
        <f t="shared" si="135"/>
        <v>87.378640776699029</v>
      </c>
      <c r="R450" s="988">
        <f t="shared" si="136"/>
        <v>386.96255201109568</v>
      </c>
      <c r="S450" s="989">
        <v>144.19999999999999</v>
      </c>
      <c r="T450" s="990">
        <v>0</v>
      </c>
      <c r="U450" s="991">
        <v>0</v>
      </c>
      <c r="V450" s="991">
        <v>361</v>
      </c>
      <c r="W450" s="992">
        <f t="shared" si="137"/>
        <v>361</v>
      </c>
      <c r="X450" s="993">
        <f t="shared" si="138"/>
        <v>2.503467406380028</v>
      </c>
      <c r="Y450" s="990">
        <v>1671</v>
      </c>
      <c r="Z450" s="991">
        <v>1322</v>
      </c>
      <c r="AA450" s="991">
        <v>1014</v>
      </c>
      <c r="AB450" s="992">
        <f t="shared" si="139"/>
        <v>4007</v>
      </c>
      <c r="AC450" s="993">
        <f t="shared" si="140"/>
        <v>27.787794729542306</v>
      </c>
      <c r="AD450" s="994">
        <f t="shared" si="141"/>
        <v>4368</v>
      </c>
      <c r="AE450" s="995">
        <f t="shared" si="142"/>
        <v>30.291262135922331</v>
      </c>
      <c r="AF450" s="996">
        <v>85</v>
      </c>
      <c r="AG450" s="997">
        <v>62</v>
      </c>
      <c r="AH450" s="997">
        <v>9</v>
      </c>
      <c r="AI450" s="998">
        <f t="shared" si="143"/>
        <v>156</v>
      </c>
      <c r="AJ450" s="993">
        <f t="shared" si="144"/>
        <v>1.0818307905686548</v>
      </c>
    </row>
    <row r="451" spans="1:36" ht="16.5" customHeight="1">
      <c r="A451" s="999">
        <f>'09월 조업일지'!A449</f>
        <v>46282</v>
      </c>
      <c r="B451" s="1099">
        <f>'09월 조업일지'!B449</f>
        <v>46282</v>
      </c>
      <c r="C451" s="1000" t="str">
        <f>'09월 화학성분'!D449</f>
        <v>D</v>
      </c>
      <c r="D451" s="1000" t="str">
        <f>'09월 화학성분'!E449</f>
        <v>A</v>
      </c>
      <c r="E451" s="1000">
        <f>'09월 화학성분'!C449</f>
        <v>85651</v>
      </c>
      <c r="F451" s="1001" t="str">
        <f t="shared" si="130"/>
        <v>SS275[CS공장]</v>
      </c>
      <c r="G451" s="1172">
        <v>19.5</v>
      </c>
      <c r="H451" s="985">
        <v>22700</v>
      </c>
      <c r="I451" s="1173">
        <v>17.899999999999999</v>
      </c>
      <c r="J451" s="985">
        <v>20900</v>
      </c>
      <c r="K451" s="1173">
        <v>7.9</v>
      </c>
      <c r="L451" s="985">
        <v>9800</v>
      </c>
      <c r="M451" s="1174">
        <f t="shared" si="131"/>
        <v>45.3</v>
      </c>
      <c r="N451" s="984">
        <f t="shared" si="132"/>
        <v>53400</v>
      </c>
      <c r="O451" s="986">
        <f t="shared" si="133"/>
        <v>156.65976535541753</v>
      </c>
      <c r="P451" s="987">
        <f t="shared" si="134"/>
        <v>144.23740510697033</v>
      </c>
      <c r="Q451" s="987">
        <f t="shared" si="135"/>
        <v>67.632850241545896</v>
      </c>
      <c r="R451" s="988">
        <f t="shared" si="136"/>
        <v>368.53002070393376</v>
      </c>
      <c r="S451" s="989">
        <v>144.9</v>
      </c>
      <c r="T451" s="990">
        <v>0</v>
      </c>
      <c r="U451" s="991">
        <v>1</v>
      </c>
      <c r="V451" s="991">
        <v>344</v>
      </c>
      <c r="W451" s="992">
        <f t="shared" si="137"/>
        <v>345</v>
      </c>
      <c r="X451" s="993">
        <f t="shared" si="138"/>
        <v>2.3809523809523809</v>
      </c>
      <c r="Y451" s="990">
        <v>1602</v>
      </c>
      <c r="Z451" s="991">
        <v>1441</v>
      </c>
      <c r="AA451" s="991">
        <v>800</v>
      </c>
      <c r="AB451" s="992">
        <f t="shared" si="139"/>
        <v>3843</v>
      </c>
      <c r="AC451" s="993">
        <f t="shared" si="140"/>
        <v>26.521739130434781</v>
      </c>
      <c r="AD451" s="994">
        <f t="shared" si="141"/>
        <v>4188</v>
      </c>
      <c r="AE451" s="995">
        <f t="shared" si="142"/>
        <v>28.902691511387161</v>
      </c>
      <c r="AF451" s="996">
        <v>84</v>
      </c>
      <c r="AG451" s="997">
        <v>67</v>
      </c>
      <c r="AH451" s="997">
        <v>6</v>
      </c>
      <c r="AI451" s="998">
        <f t="shared" si="143"/>
        <v>157</v>
      </c>
      <c r="AJ451" s="993">
        <f t="shared" si="144"/>
        <v>1.0835058661145618</v>
      </c>
    </row>
    <row r="452" spans="1:36" ht="16.5" customHeight="1">
      <c r="A452" s="999">
        <f>'09월 조업일지'!A450</f>
        <v>46282</v>
      </c>
      <c r="B452" s="1099">
        <f>'09월 조업일지'!B450</f>
        <v>46282</v>
      </c>
      <c r="C452" s="1000" t="str">
        <f>'09월 화학성분'!D450</f>
        <v>D</v>
      </c>
      <c r="D452" s="1000" t="str">
        <f>'09월 화학성분'!E450</f>
        <v>B</v>
      </c>
      <c r="E452" s="1000">
        <f>'09월 화학성분'!C450</f>
        <v>85652</v>
      </c>
      <c r="F452" s="1001" t="str">
        <f t="shared" si="130"/>
        <v>SS275[CS공장]</v>
      </c>
      <c r="G452" s="1172">
        <v>18.7</v>
      </c>
      <c r="H452" s="985">
        <v>22500</v>
      </c>
      <c r="I452" s="1173">
        <v>15.9</v>
      </c>
      <c r="J452" s="985">
        <v>20400</v>
      </c>
      <c r="K452" s="1173">
        <v>9.6999999999999993</v>
      </c>
      <c r="L452" s="985">
        <v>12700</v>
      </c>
      <c r="M452" s="1174">
        <f t="shared" si="131"/>
        <v>44.3</v>
      </c>
      <c r="N452" s="984">
        <f t="shared" si="132"/>
        <v>55600</v>
      </c>
      <c r="O452" s="986">
        <f t="shared" si="133"/>
        <v>157.12290502793297</v>
      </c>
      <c r="P452" s="987">
        <f t="shared" si="134"/>
        <v>142.45810055865923</v>
      </c>
      <c r="Q452" s="987">
        <f t="shared" si="135"/>
        <v>88.687150837988838</v>
      </c>
      <c r="R452" s="988">
        <f t="shared" si="136"/>
        <v>388.26815642458104</v>
      </c>
      <c r="S452" s="989">
        <v>143.19999999999999</v>
      </c>
      <c r="T452" s="990">
        <v>0</v>
      </c>
      <c r="U452" s="991">
        <v>0</v>
      </c>
      <c r="V452" s="991">
        <v>347</v>
      </c>
      <c r="W452" s="992">
        <f t="shared" si="137"/>
        <v>347</v>
      </c>
      <c r="X452" s="993">
        <f t="shared" si="138"/>
        <v>2.4231843575418996</v>
      </c>
      <c r="Y452" s="990">
        <v>1557</v>
      </c>
      <c r="Z452" s="991">
        <v>1324</v>
      </c>
      <c r="AA452" s="991">
        <v>898</v>
      </c>
      <c r="AB452" s="992">
        <f t="shared" si="139"/>
        <v>3779</v>
      </c>
      <c r="AC452" s="993">
        <f t="shared" si="140"/>
        <v>26.389664804469277</v>
      </c>
      <c r="AD452" s="994">
        <f t="shared" si="141"/>
        <v>4126</v>
      </c>
      <c r="AE452" s="995">
        <f t="shared" si="142"/>
        <v>28.812849162011176</v>
      </c>
      <c r="AF452" s="996">
        <v>85</v>
      </c>
      <c r="AG452" s="997">
        <v>63</v>
      </c>
      <c r="AH452" s="997">
        <v>7</v>
      </c>
      <c r="AI452" s="998">
        <f t="shared" si="143"/>
        <v>155</v>
      </c>
      <c r="AJ452" s="993">
        <f t="shared" si="144"/>
        <v>1.0824022346368716</v>
      </c>
    </row>
    <row r="453" spans="1:36" ht="16.5" customHeight="1">
      <c r="A453" s="999">
        <f>'09월 조업일지'!A451</f>
        <v>46282</v>
      </c>
      <c r="B453" s="1099">
        <f>'09월 조업일지'!B451</f>
        <v>46282</v>
      </c>
      <c r="C453" s="1000" t="str">
        <f>'09월 화학성분'!D451</f>
        <v>D</v>
      </c>
      <c r="D453" s="1000" t="str">
        <f>'09월 화학성분'!E451</f>
        <v>A</v>
      </c>
      <c r="E453" s="1000">
        <f>'09월 화학성분'!C451</f>
        <v>85653</v>
      </c>
      <c r="F453" s="1001" t="str">
        <f t="shared" si="130"/>
        <v>SS275[CS공장]</v>
      </c>
      <c r="G453" s="1172">
        <v>18.399999999999999</v>
      </c>
      <c r="H453" s="985">
        <v>22500</v>
      </c>
      <c r="I453" s="1173">
        <v>16.899999999999999</v>
      </c>
      <c r="J453" s="985">
        <v>20700</v>
      </c>
      <c r="K453" s="1173">
        <v>8.3000000000000007</v>
      </c>
      <c r="L453" s="985">
        <v>10600</v>
      </c>
      <c r="M453" s="1174">
        <f t="shared" si="131"/>
        <v>43.599999999999994</v>
      </c>
      <c r="N453" s="984">
        <f t="shared" si="132"/>
        <v>53800</v>
      </c>
      <c r="O453" s="986">
        <f t="shared" si="133"/>
        <v>156.14156835530881</v>
      </c>
      <c r="P453" s="987">
        <f t="shared" si="134"/>
        <v>143.65024288688412</v>
      </c>
      <c r="Q453" s="987">
        <f t="shared" si="135"/>
        <v>73.56002775850105</v>
      </c>
      <c r="R453" s="988">
        <f t="shared" si="136"/>
        <v>373.35183900069399</v>
      </c>
      <c r="S453" s="989">
        <v>144.1</v>
      </c>
      <c r="T453" s="990">
        <v>0</v>
      </c>
      <c r="U453" s="991">
        <v>0</v>
      </c>
      <c r="V453" s="991">
        <v>323</v>
      </c>
      <c r="W453" s="992">
        <f t="shared" si="137"/>
        <v>323</v>
      </c>
      <c r="X453" s="993">
        <f t="shared" si="138"/>
        <v>2.2414989590562109</v>
      </c>
      <c r="Y453" s="990">
        <v>1523</v>
      </c>
      <c r="Z453" s="991">
        <v>1401</v>
      </c>
      <c r="AA453" s="991">
        <v>703</v>
      </c>
      <c r="AB453" s="992">
        <f t="shared" si="139"/>
        <v>3627</v>
      </c>
      <c r="AC453" s="993">
        <f t="shared" si="140"/>
        <v>25.170020818875781</v>
      </c>
      <c r="AD453" s="994">
        <f t="shared" si="141"/>
        <v>3950</v>
      </c>
      <c r="AE453" s="995">
        <f t="shared" si="142"/>
        <v>27.411519777931993</v>
      </c>
      <c r="AF453" s="996">
        <v>80</v>
      </c>
      <c r="AG453" s="997">
        <v>66</v>
      </c>
      <c r="AH453" s="997">
        <v>5</v>
      </c>
      <c r="AI453" s="998">
        <f t="shared" si="143"/>
        <v>151</v>
      </c>
      <c r="AJ453" s="993">
        <f t="shared" si="144"/>
        <v>1.0478834142956281</v>
      </c>
    </row>
    <row r="454" spans="1:36" ht="16.5" customHeight="1">
      <c r="A454" s="999">
        <f>'09월 조업일지'!A452</f>
        <v>46282</v>
      </c>
      <c r="B454" s="1099">
        <f>'09월 조업일지'!B452</f>
        <v>46282</v>
      </c>
      <c r="C454" s="1000" t="str">
        <f>'09월 화학성분'!D452</f>
        <v>D</v>
      </c>
      <c r="D454" s="1000" t="str">
        <f>'09월 화학성분'!E452</f>
        <v>B</v>
      </c>
      <c r="E454" s="1000">
        <f>'09월 화학성분'!C452</f>
        <v>85654</v>
      </c>
      <c r="F454" s="1001" t="str">
        <f t="shared" si="130"/>
        <v>SS275[CS공장]</v>
      </c>
      <c r="G454" s="1172">
        <v>19.600000000000001</v>
      </c>
      <c r="H454" s="985">
        <v>23300</v>
      </c>
      <c r="I454" s="1173">
        <v>16.2</v>
      </c>
      <c r="J454" s="985">
        <v>20400</v>
      </c>
      <c r="K454" s="1173">
        <v>9.5</v>
      </c>
      <c r="L454" s="985">
        <v>12200</v>
      </c>
      <c r="M454" s="1174">
        <f t="shared" si="131"/>
        <v>45.3</v>
      </c>
      <c r="N454" s="984">
        <f t="shared" si="132"/>
        <v>55900</v>
      </c>
      <c r="O454" s="986">
        <f t="shared" si="133"/>
        <v>164.66431095406361</v>
      </c>
      <c r="P454" s="987">
        <f t="shared" si="134"/>
        <v>144.1696113074205</v>
      </c>
      <c r="Q454" s="987">
        <f t="shared" si="135"/>
        <v>86.219081272084807</v>
      </c>
      <c r="R454" s="988">
        <f t="shared" si="136"/>
        <v>395.05300353356887</v>
      </c>
      <c r="S454" s="989">
        <v>141.5</v>
      </c>
      <c r="T454" s="990">
        <v>0</v>
      </c>
      <c r="U454" s="991">
        <v>0</v>
      </c>
      <c r="V454" s="991">
        <v>344</v>
      </c>
      <c r="W454" s="992">
        <f t="shared" si="137"/>
        <v>344</v>
      </c>
      <c r="X454" s="993">
        <f t="shared" si="138"/>
        <v>2.431095406360424</v>
      </c>
      <c r="Y454" s="990">
        <v>1636</v>
      </c>
      <c r="Z454" s="991">
        <v>1358</v>
      </c>
      <c r="AA454" s="991">
        <v>726</v>
      </c>
      <c r="AB454" s="992">
        <f t="shared" si="139"/>
        <v>3720</v>
      </c>
      <c r="AC454" s="993">
        <f t="shared" si="140"/>
        <v>26.289752650176677</v>
      </c>
      <c r="AD454" s="994">
        <f t="shared" si="141"/>
        <v>4064</v>
      </c>
      <c r="AE454" s="995">
        <f t="shared" si="142"/>
        <v>28.720848056537104</v>
      </c>
      <c r="AF454" s="996">
        <v>85</v>
      </c>
      <c r="AG454" s="997">
        <v>65</v>
      </c>
      <c r="AH454" s="997">
        <v>6</v>
      </c>
      <c r="AI454" s="998">
        <f t="shared" si="143"/>
        <v>156</v>
      </c>
      <c r="AJ454" s="993">
        <f t="shared" si="144"/>
        <v>1.1024734982332156</v>
      </c>
    </row>
    <row r="455" spans="1:36" ht="16.5" customHeight="1">
      <c r="A455" s="999">
        <f>'09월 조업일지'!A453</f>
        <v>46282</v>
      </c>
      <c r="B455" s="1099">
        <f>'09월 조업일지'!B453</f>
        <v>46282</v>
      </c>
      <c r="C455" s="1000" t="str">
        <f>'09월 화학성분'!D453</f>
        <v>D</v>
      </c>
      <c r="D455" s="1000" t="str">
        <f>'09월 화학성분'!E453</f>
        <v>A</v>
      </c>
      <c r="E455" s="1000">
        <f>'09월 화학성분'!C453</f>
        <v>85655</v>
      </c>
      <c r="F455" s="1001" t="str">
        <f t="shared" si="130"/>
        <v>SS275[CS공장]</v>
      </c>
      <c r="G455" s="1172">
        <v>18.8</v>
      </c>
      <c r="H455" s="985">
        <v>23100</v>
      </c>
      <c r="I455" s="1173">
        <v>17.399999999999999</v>
      </c>
      <c r="J455" s="985">
        <v>20900</v>
      </c>
      <c r="K455" s="1173">
        <v>9.1</v>
      </c>
      <c r="L455" s="985">
        <v>11600</v>
      </c>
      <c r="M455" s="1174">
        <f t="shared" si="131"/>
        <v>45.300000000000004</v>
      </c>
      <c r="N455" s="984">
        <f t="shared" si="132"/>
        <v>55600</v>
      </c>
      <c r="O455" s="986">
        <f t="shared" si="133"/>
        <v>161.31284916201119</v>
      </c>
      <c r="P455" s="987">
        <f t="shared" si="134"/>
        <v>145.94972067039106</v>
      </c>
      <c r="Q455" s="987">
        <f t="shared" si="135"/>
        <v>81.005586592178773</v>
      </c>
      <c r="R455" s="988">
        <f t="shared" si="136"/>
        <v>388.26815642458104</v>
      </c>
      <c r="S455" s="989">
        <v>143.19999999999999</v>
      </c>
      <c r="T455" s="990">
        <v>0</v>
      </c>
      <c r="U455" s="991">
        <v>0</v>
      </c>
      <c r="V455" s="991">
        <v>341</v>
      </c>
      <c r="W455" s="992">
        <f t="shared" si="137"/>
        <v>341</v>
      </c>
      <c r="X455" s="993">
        <f t="shared" si="138"/>
        <v>2.3812849162011176</v>
      </c>
      <c r="Y455" s="990">
        <v>1553</v>
      </c>
      <c r="Z455" s="991">
        <v>1443</v>
      </c>
      <c r="AA455" s="991">
        <v>703</v>
      </c>
      <c r="AB455" s="992">
        <f t="shared" si="139"/>
        <v>3699</v>
      </c>
      <c r="AC455" s="993">
        <f t="shared" si="140"/>
        <v>25.83100558659218</v>
      </c>
      <c r="AD455" s="994">
        <f t="shared" si="141"/>
        <v>4040</v>
      </c>
      <c r="AE455" s="995">
        <f t="shared" si="142"/>
        <v>28.212290502793298</v>
      </c>
      <c r="AF455" s="996">
        <v>82</v>
      </c>
      <c r="AG455" s="997">
        <v>66</v>
      </c>
      <c r="AH455" s="997">
        <v>6</v>
      </c>
      <c r="AI455" s="998">
        <f t="shared" si="143"/>
        <v>154</v>
      </c>
      <c r="AJ455" s="993">
        <f t="shared" si="144"/>
        <v>1.0754189944134078</v>
      </c>
    </row>
    <row r="456" spans="1:36" s="600" customFormat="1" ht="16.5" customHeight="1">
      <c r="A456" s="999">
        <f>'09월 조업일지'!A454</f>
        <v>46282</v>
      </c>
      <c r="B456" s="1099">
        <f>'09월 조업일지'!B454</f>
        <v>46282</v>
      </c>
      <c r="C456" s="1000" t="str">
        <f>'09월 화학성분'!D454</f>
        <v>D</v>
      </c>
      <c r="D456" s="1000" t="str">
        <f>'09월 화학성분'!E454</f>
        <v>B</v>
      </c>
      <c r="E456" s="1000">
        <f>'09월 화학성분'!C454</f>
        <v>85656</v>
      </c>
      <c r="F456" s="1001" t="str">
        <f t="shared" si="130"/>
        <v>SS275[CS공장]</v>
      </c>
      <c r="G456" s="1172">
        <v>18.399999999999999</v>
      </c>
      <c r="H456" s="985">
        <v>22300</v>
      </c>
      <c r="I456" s="1173">
        <v>16.100000000000001</v>
      </c>
      <c r="J456" s="985">
        <v>20300</v>
      </c>
      <c r="K456" s="1173">
        <v>8.9</v>
      </c>
      <c r="L456" s="985">
        <v>11500</v>
      </c>
      <c r="M456" s="1174">
        <f t="shared" si="131"/>
        <v>43.4</v>
      </c>
      <c r="N456" s="984">
        <f t="shared" si="132"/>
        <v>54100</v>
      </c>
      <c r="O456" s="986">
        <f t="shared" si="133"/>
        <v>158.04394046775337</v>
      </c>
      <c r="P456" s="987">
        <f t="shared" si="134"/>
        <v>143.86959603118356</v>
      </c>
      <c r="Q456" s="987">
        <f t="shared" si="135"/>
        <v>81.502480510276399</v>
      </c>
      <c r="R456" s="988">
        <f t="shared" si="136"/>
        <v>383.41601700921331</v>
      </c>
      <c r="S456" s="989">
        <v>141.1</v>
      </c>
      <c r="T456" s="990">
        <v>0</v>
      </c>
      <c r="U456" s="991">
        <v>0</v>
      </c>
      <c r="V456" s="991">
        <v>333</v>
      </c>
      <c r="W456" s="992">
        <f t="shared" si="137"/>
        <v>333</v>
      </c>
      <c r="X456" s="993">
        <f t="shared" si="138"/>
        <v>2.3600283486888731</v>
      </c>
      <c r="Y456" s="990">
        <v>1491</v>
      </c>
      <c r="Z456" s="991">
        <v>1341</v>
      </c>
      <c r="AA456" s="991">
        <v>863</v>
      </c>
      <c r="AB456" s="992">
        <f t="shared" si="139"/>
        <v>3695</v>
      </c>
      <c r="AC456" s="993">
        <f t="shared" si="140"/>
        <v>26.187101346562724</v>
      </c>
      <c r="AD456" s="994">
        <f t="shared" si="141"/>
        <v>4028</v>
      </c>
      <c r="AE456" s="995">
        <f t="shared" si="142"/>
        <v>28.547129695251595</v>
      </c>
      <c r="AF456" s="996">
        <v>81</v>
      </c>
      <c r="AG456" s="997">
        <v>66</v>
      </c>
      <c r="AH456" s="997">
        <v>7</v>
      </c>
      <c r="AI456" s="998">
        <f t="shared" si="143"/>
        <v>154</v>
      </c>
      <c r="AJ456" s="993">
        <f t="shared" si="144"/>
        <v>1.0914245216158753</v>
      </c>
    </row>
    <row r="457" spans="1:36" ht="16.5" customHeight="1">
      <c r="A457" s="999">
        <f>'09월 조업일지'!A455</f>
        <v>46282</v>
      </c>
      <c r="B457" s="1099">
        <f>'09월 조업일지'!B455</f>
        <v>46282</v>
      </c>
      <c r="C457" s="1000" t="str">
        <f>'09월 화학성분'!D455</f>
        <v>D</v>
      </c>
      <c r="D457" s="1000" t="str">
        <f>'09월 화학성분'!E455</f>
        <v>A</v>
      </c>
      <c r="E457" s="1000">
        <f>'09월 화학성분'!C455</f>
        <v>85657</v>
      </c>
      <c r="F457" s="1001" t="str">
        <f t="shared" si="130"/>
        <v>SS275[CS공장]</v>
      </c>
      <c r="G457" s="1172">
        <v>18.899999999999999</v>
      </c>
      <c r="H457" s="985">
        <v>22400</v>
      </c>
      <c r="I457" s="1173">
        <v>16.899999999999999</v>
      </c>
      <c r="J457" s="985">
        <v>20700</v>
      </c>
      <c r="K457" s="1173">
        <v>8.9</v>
      </c>
      <c r="L457" s="985">
        <v>10900</v>
      </c>
      <c r="M457" s="1174">
        <f t="shared" si="131"/>
        <v>44.699999999999996</v>
      </c>
      <c r="N457" s="984">
        <f t="shared" si="132"/>
        <v>54000</v>
      </c>
      <c r="O457" s="986">
        <f t="shared" si="133"/>
        <v>156.97266993693063</v>
      </c>
      <c r="P457" s="987">
        <f t="shared" si="134"/>
        <v>145.05956552207428</v>
      </c>
      <c r="Q457" s="987">
        <f t="shared" si="135"/>
        <v>76.384022424667137</v>
      </c>
      <c r="R457" s="988">
        <f t="shared" si="136"/>
        <v>378.41625788367207</v>
      </c>
      <c r="S457" s="989">
        <v>142.69999999999999</v>
      </c>
      <c r="T457" s="990">
        <v>0</v>
      </c>
      <c r="U457" s="991">
        <v>0</v>
      </c>
      <c r="V457" s="991">
        <v>329</v>
      </c>
      <c r="W457" s="992">
        <f t="shared" si="137"/>
        <v>329</v>
      </c>
      <c r="X457" s="993">
        <f t="shared" si="138"/>
        <v>2.3055360896986685</v>
      </c>
      <c r="Y457" s="990">
        <v>1554</v>
      </c>
      <c r="Z457" s="991">
        <v>1412</v>
      </c>
      <c r="AA457" s="991">
        <v>777</v>
      </c>
      <c r="AB457" s="992">
        <f t="shared" si="139"/>
        <v>3743</v>
      </c>
      <c r="AC457" s="993">
        <f t="shared" si="140"/>
        <v>26.229852838121936</v>
      </c>
      <c r="AD457" s="994">
        <f t="shared" si="141"/>
        <v>4072</v>
      </c>
      <c r="AE457" s="995">
        <f t="shared" si="142"/>
        <v>28.535388927820605</v>
      </c>
      <c r="AF457" s="996">
        <v>84</v>
      </c>
      <c r="AG457" s="997">
        <v>65</v>
      </c>
      <c r="AH457" s="997">
        <v>7</v>
      </c>
      <c r="AI457" s="998">
        <f t="shared" si="143"/>
        <v>156</v>
      </c>
      <c r="AJ457" s="993">
        <f t="shared" si="144"/>
        <v>1.0932025227750526</v>
      </c>
    </row>
    <row r="458" spans="1:36" ht="16.5" customHeight="1">
      <c r="A458" s="999">
        <f>'09월 조업일지'!A456</f>
        <v>46282</v>
      </c>
      <c r="B458" s="1099">
        <f>'09월 조업일지'!B456</f>
        <v>46282</v>
      </c>
      <c r="C458" s="1000" t="str">
        <f>'09월 화학성분'!D456</f>
        <v>D</v>
      </c>
      <c r="D458" s="1000" t="str">
        <f>'09월 화학성분'!E456</f>
        <v>B</v>
      </c>
      <c r="E458" s="1000">
        <f>'09월 화학성분'!C456</f>
        <v>85658</v>
      </c>
      <c r="F458" s="1001" t="str">
        <f t="shared" si="130"/>
        <v>SS275[CS공장]</v>
      </c>
      <c r="G458" s="1172">
        <v>18.7</v>
      </c>
      <c r="H458" s="985">
        <v>22500</v>
      </c>
      <c r="I458" s="1173">
        <v>16.600000000000001</v>
      </c>
      <c r="J458" s="985">
        <v>20400</v>
      </c>
      <c r="K458" s="1173">
        <v>10.9</v>
      </c>
      <c r="L458" s="985">
        <v>13800</v>
      </c>
      <c r="M458" s="1174">
        <f t="shared" si="131"/>
        <v>46.199999999999996</v>
      </c>
      <c r="N458" s="984">
        <f t="shared" si="132"/>
        <v>56700</v>
      </c>
      <c r="O458" s="986">
        <f t="shared" si="133"/>
        <v>156.35858234885336</v>
      </c>
      <c r="P458" s="987">
        <f t="shared" si="134"/>
        <v>141.76511466296037</v>
      </c>
      <c r="Q458" s="987">
        <f t="shared" si="135"/>
        <v>95.89993050729673</v>
      </c>
      <c r="R458" s="988">
        <f t="shared" si="136"/>
        <v>394.02362751911051</v>
      </c>
      <c r="S458" s="989">
        <v>143.9</v>
      </c>
      <c r="T458" s="990">
        <v>0</v>
      </c>
      <c r="U458" s="991">
        <v>0</v>
      </c>
      <c r="V458" s="991">
        <v>357</v>
      </c>
      <c r="W458" s="992">
        <f t="shared" si="137"/>
        <v>357</v>
      </c>
      <c r="X458" s="993">
        <f t="shared" si="138"/>
        <v>2.4808895066018066</v>
      </c>
      <c r="Y458" s="990">
        <v>1539</v>
      </c>
      <c r="Z458" s="991">
        <v>1376</v>
      </c>
      <c r="AA458" s="991">
        <v>868</v>
      </c>
      <c r="AB458" s="992">
        <f t="shared" si="139"/>
        <v>3783</v>
      </c>
      <c r="AC458" s="993">
        <f t="shared" si="140"/>
        <v>26.289089645587211</v>
      </c>
      <c r="AD458" s="994">
        <f t="shared" si="141"/>
        <v>4140</v>
      </c>
      <c r="AE458" s="995">
        <f t="shared" si="142"/>
        <v>28.76997915218902</v>
      </c>
      <c r="AF458" s="996">
        <v>82</v>
      </c>
      <c r="AG458" s="997">
        <v>65</v>
      </c>
      <c r="AH458" s="997">
        <v>7</v>
      </c>
      <c r="AI458" s="998">
        <f t="shared" si="143"/>
        <v>154</v>
      </c>
      <c r="AJ458" s="993">
        <f t="shared" si="144"/>
        <v>1.0701876302988185</v>
      </c>
    </row>
    <row r="459" spans="1:36" ht="16.5" customHeight="1">
      <c r="A459" s="999">
        <f>'09월 조업일지'!A457</f>
        <v>46282</v>
      </c>
      <c r="B459" s="1099">
        <f>'09월 조업일지'!B457</f>
        <v>46282</v>
      </c>
      <c r="C459" s="1000" t="str">
        <f>'09월 화학성분'!D457</f>
        <v>D</v>
      </c>
      <c r="D459" s="1000" t="str">
        <f>'09월 화학성분'!E457</f>
        <v>A</v>
      </c>
      <c r="E459" s="1000">
        <f>'09월 화학성분'!C457</f>
        <v>85659</v>
      </c>
      <c r="F459" s="1001" t="str">
        <f t="shared" si="130"/>
        <v>SS275[CS공장]</v>
      </c>
      <c r="G459" s="1172">
        <v>20.2</v>
      </c>
      <c r="H459" s="985">
        <v>24200</v>
      </c>
      <c r="I459" s="1173">
        <v>17.600000000000001</v>
      </c>
      <c r="J459" s="985">
        <v>20800</v>
      </c>
      <c r="K459" s="1173">
        <v>7.5</v>
      </c>
      <c r="L459" s="985">
        <v>9500</v>
      </c>
      <c r="M459" s="1174">
        <f t="shared" si="131"/>
        <v>45.3</v>
      </c>
      <c r="N459" s="984">
        <f t="shared" si="132"/>
        <v>54500</v>
      </c>
      <c r="O459" s="986">
        <f t="shared" si="133"/>
        <v>169.58654519971969</v>
      </c>
      <c r="P459" s="987">
        <f t="shared" si="134"/>
        <v>145.76033637000702</v>
      </c>
      <c r="Q459" s="987">
        <f t="shared" si="135"/>
        <v>66.57323055360898</v>
      </c>
      <c r="R459" s="988">
        <f t="shared" si="136"/>
        <v>381.92011212333574</v>
      </c>
      <c r="S459" s="989">
        <v>142.69999999999999</v>
      </c>
      <c r="T459" s="990">
        <v>0</v>
      </c>
      <c r="U459" s="991">
        <v>0</v>
      </c>
      <c r="V459" s="991">
        <v>298</v>
      </c>
      <c r="W459" s="992">
        <f t="shared" si="137"/>
        <v>298</v>
      </c>
      <c r="X459" s="993">
        <f t="shared" si="138"/>
        <v>2.0882971268395236</v>
      </c>
      <c r="Y459" s="990">
        <v>1678</v>
      </c>
      <c r="Z459" s="991">
        <v>1458</v>
      </c>
      <c r="AA459" s="991">
        <v>640</v>
      </c>
      <c r="AB459" s="992">
        <f t="shared" si="139"/>
        <v>3776</v>
      </c>
      <c r="AC459" s="993">
        <f t="shared" si="140"/>
        <v>26.461107217939738</v>
      </c>
      <c r="AD459" s="994">
        <f t="shared" si="141"/>
        <v>4074</v>
      </c>
      <c r="AE459" s="995">
        <f t="shared" si="142"/>
        <v>28.549404344779258</v>
      </c>
      <c r="AF459" s="996">
        <v>85</v>
      </c>
      <c r="AG459" s="997">
        <v>69</v>
      </c>
      <c r="AH459" s="997">
        <v>5</v>
      </c>
      <c r="AI459" s="998">
        <f t="shared" si="143"/>
        <v>159</v>
      </c>
      <c r="AJ459" s="993">
        <f t="shared" si="144"/>
        <v>1.1142256482130344</v>
      </c>
    </row>
    <row r="460" spans="1:36" ht="16.5" customHeight="1">
      <c r="A460" s="999">
        <f>'09월 조업일지'!A458</f>
        <v>46282</v>
      </c>
      <c r="B460" s="1099">
        <f>'09월 조업일지'!B458</f>
        <v>46282</v>
      </c>
      <c r="C460" s="1000" t="str">
        <f>'09월 화학성분'!D458</f>
        <v>B</v>
      </c>
      <c r="D460" s="1000" t="str">
        <f>'09월 화학성분'!E458</f>
        <v>B</v>
      </c>
      <c r="E460" s="1000">
        <f>'09월 화학성분'!C458</f>
        <v>85660</v>
      </c>
      <c r="F460" s="1001" t="str">
        <f t="shared" si="130"/>
        <v>SS275[CS공장]</v>
      </c>
      <c r="G460" s="1172">
        <v>18.3</v>
      </c>
      <c r="H460" s="985">
        <v>22300</v>
      </c>
      <c r="I460" s="1173">
        <v>16.3</v>
      </c>
      <c r="J460" s="985">
        <v>20400</v>
      </c>
      <c r="K460" s="1173">
        <v>12.8</v>
      </c>
      <c r="L460" s="985">
        <v>15900</v>
      </c>
      <c r="M460" s="1174">
        <f t="shared" si="131"/>
        <v>47.400000000000006</v>
      </c>
      <c r="N460" s="984">
        <f t="shared" si="132"/>
        <v>58600</v>
      </c>
      <c r="O460" s="986">
        <f t="shared" si="133"/>
        <v>153.37001375515817</v>
      </c>
      <c r="P460" s="987">
        <f t="shared" si="134"/>
        <v>140.30261348005502</v>
      </c>
      <c r="Q460" s="987">
        <f t="shared" si="135"/>
        <v>109.353507565337</v>
      </c>
      <c r="R460" s="988">
        <f t="shared" si="136"/>
        <v>403.02613480055021</v>
      </c>
      <c r="S460" s="989">
        <v>145.4</v>
      </c>
      <c r="T460" s="990">
        <v>0</v>
      </c>
      <c r="U460" s="991">
        <v>0</v>
      </c>
      <c r="V460" s="991">
        <v>557</v>
      </c>
      <c r="W460" s="992">
        <f t="shared" si="137"/>
        <v>557</v>
      </c>
      <c r="X460" s="993">
        <f t="shared" si="138"/>
        <v>3.8308115543328745</v>
      </c>
      <c r="Y460" s="990">
        <v>1455</v>
      </c>
      <c r="Z460" s="991">
        <v>1367</v>
      </c>
      <c r="AA460" s="991">
        <v>1572</v>
      </c>
      <c r="AB460" s="992">
        <f t="shared" si="139"/>
        <v>4394</v>
      </c>
      <c r="AC460" s="993">
        <f t="shared" si="140"/>
        <v>30.220082530949103</v>
      </c>
      <c r="AD460" s="994">
        <f t="shared" si="141"/>
        <v>4951</v>
      </c>
      <c r="AE460" s="995">
        <f t="shared" si="142"/>
        <v>34.050894085281982</v>
      </c>
      <c r="AF460" s="996">
        <v>78</v>
      </c>
      <c r="AG460" s="997">
        <v>67</v>
      </c>
      <c r="AH460" s="997">
        <v>15</v>
      </c>
      <c r="AI460" s="998">
        <f t="shared" si="143"/>
        <v>160</v>
      </c>
      <c r="AJ460" s="993">
        <f t="shared" si="144"/>
        <v>1.1004126547455295</v>
      </c>
    </row>
    <row r="461" spans="1:36" ht="16.5" customHeight="1">
      <c r="A461" s="999">
        <f>'09월 조업일지'!A459</f>
        <v>46282</v>
      </c>
      <c r="B461" s="1099">
        <f>'09월 조업일지'!B459</f>
        <v>46282</v>
      </c>
      <c r="C461" s="1000" t="str">
        <f>'09월 화학성분'!D459</f>
        <v>B</v>
      </c>
      <c r="D461" s="1000" t="str">
        <f>'09월 화학성분'!E459</f>
        <v>A</v>
      </c>
      <c r="E461" s="1000">
        <f>'09월 화학성분'!C459</f>
        <v>85661</v>
      </c>
      <c r="F461" s="1001" t="str">
        <f t="shared" si="130"/>
        <v>SS275[CS공장]</v>
      </c>
      <c r="G461" s="1172">
        <v>19.899999999999999</v>
      </c>
      <c r="H461" s="985">
        <v>23800</v>
      </c>
      <c r="I461" s="1173">
        <v>17.5</v>
      </c>
      <c r="J461" s="985">
        <v>21300</v>
      </c>
      <c r="K461" s="1173">
        <v>8.1</v>
      </c>
      <c r="L461" s="985">
        <v>10300</v>
      </c>
      <c r="M461" s="1174">
        <f t="shared" si="131"/>
        <v>45.5</v>
      </c>
      <c r="N461" s="984">
        <f t="shared" si="132"/>
        <v>55400</v>
      </c>
      <c r="O461" s="986">
        <f t="shared" si="133"/>
        <v>161.9047619047619</v>
      </c>
      <c r="P461" s="987">
        <f t="shared" si="134"/>
        <v>144.89795918367346</v>
      </c>
      <c r="Q461" s="987">
        <f t="shared" si="135"/>
        <v>70.068027210884352</v>
      </c>
      <c r="R461" s="988">
        <f t="shared" si="136"/>
        <v>376.8707482993197</v>
      </c>
      <c r="S461" s="989">
        <v>147</v>
      </c>
      <c r="T461" s="990">
        <v>0</v>
      </c>
      <c r="U461" s="991">
        <v>100</v>
      </c>
      <c r="V461" s="991">
        <v>220</v>
      </c>
      <c r="W461" s="992">
        <f t="shared" si="137"/>
        <v>320</v>
      </c>
      <c r="X461" s="993">
        <f t="shared" si="138"/>
        <v>2.1768707482993199</v>
      </c>
      <c r="Y461" s="990">
        <v>1664</v>
      </c>
      <c r="Z461" s="991">
        <v>1412</v>
      </c>
      <c r="AA461" s="991">
        <v>715</v>
      </c>
      <c r="AB461" s="992">
        <f t="shared" si="139"/>
        <v>3791</v>
      </c>
      <c r="AC461" s="993">
        <f t="shared" si="140"/>
        <v>25.789115646258505</v>
      </c>
      <c r="AD461" s="994">
        <f t="shared" si="141"/>
        <v>4111</v>
      </c>
      <c r="AE461" s="995">
        <f t="shared" si="142"/>
        <v>27.965986394557824</v>
      </c>
      <c r="AF461" s="996">
        <v>84</v>
      </c>
      <c r="AG461" s="997">
        <v>67</v>
      </c>
      <c r="AH461" s="997">
        <v>6</v>
      </c>
      <c r="AI461" s="998">
        <f t="shared" si="143"/>
        <v>157</v>
      </c>
      <c r="AJ461" s="993">
        <f t="shared" si="144"/>
        <v>1.0680272108843538</v>
      </c>
    </row>
    <row r="462" spans="1:36" ht="16.5" customHeight="1">
      <c r="A462" s="999">
        <f>'09월 조업일지'!A460</f>
        <v>46282</v>
      </c>
      <c r="B462" s="1099">
        <f>'09월 조업일지'!B460</f>
        <v>46282</v>
      </c>
      <c r="C462" s="1000" t="str">
        <f>'09월 화학성분'!D460</f>
        <v>B</v>
      </c>
      <c r="D462" s="1000" t="str">
        <f>'09월 화학성분'!E460</f>
        <v>B</v>
      </c>
      <c r="E462" s="1000">
        <f>'09월 화학성분'!C460</f>
        <v>85662</v>
      </c>
      <c r="F462" s="1001" t="str">
        <f t="shared" si="130"/>
        <v>SS275[CS공장]</v>
      </c>
      <c r="G462" s="1172">
        <v>18.8</v>
      </c>
      <c r="H462" s="985">
        <v>23100</v>
      </c>
      <c r="I462" s="1173">
        <v>16.7</v>
      </c>
      <c r="J462" s="985">
        <v>20500</v>
      </c>
      <c r="K462" s="1173">
        <v>11.7</v>
      </c>
      <c r="L462" s="985">
        <v>14500</v>
      </c>
      <c r="M462" s="1174">
        <f t="shared" si="131"/>
        <v>47.2</v>
      </c>
      <c r="N462" s="984">
        <f t="shared" si="132"/>
        <v>58100</v>
      </c>
      <c r="O462" s="986">
        <f t="shared" si="133"/>
        <v>157.67918088737201</v>
      </c>
      <c r="P462" s="987">
        <f t="shared" si="134"/>
        <v>139.93174061433447</v>
      </c>
      <c r="Q462" s="987">
        <f t="shared" si="135"/>
        <v>98.976109215017061</v>
      </c>
      <c r="R462" s="988">
        <f t="shared" si="136"/>
        <v>396.58703071672352</v>
      </c>
      <c r="S462" s="989">
        <v>146.5</v>
      </c>
      <c r="T462" s="990">
        <v>0</v>
      </c>
      <c r="U462" s="991">
        <v>41</v>
      </c>
      <c r="V462" s="991">
        <v>316</v>
      </c>
      <c r="W462" s="992">
        <f t="shared" si="137"/>
        <v>357</v>
      </c>
      <c r="X462" s="993">
        <f t="shared" si="138"/>
        <v>2.4368600682593855</v>
      </c>
      <c r="Y462" s="990">
        <v>1534</v>
      </c>
      <c r="Z462" s="991">
        <v>1367</v>
      </c>
      <c r="AA462" s="991">
        <v>1007</v>
      </c>
      <c r="AB462" s="992">
        <f t="shared" si="139"/>
        <v>3908</v>
      </c>
      <c r="AC462" s="993">
        <f t="shared" si="140"/>
        <v>26.675767918088738</v>
      </c>
      <c r="AD462" s="994">
        <f t="shared" si="141"/>
        <v>4265</v>
      </c>
      <c r="AE462" s="995">
        <f t="shared" si="142"/>
        <v>29.112627986348123</v>
      </c>
      <c r="AF462" s="996">
        <v>79</v>
      </c>
      <c r="AG462" s="997">
        <v>67</v>
      </c>
      <c r="AH462" s="997">
        <v>9</v>
      </c>
      <c r="AI462" s="998">
        <f t="shared" si="143"/>
        <v>155</v>
      </c>
      <c r="AJ462" s="993">
        <f t="shared" si="144"/>
        <v>1.0580204778156996</v>
      </c>
    </row>
    <row r="463" spans="1:36" ht="16.5" customHeight="1">
      <c r="A463" s="999">
        <f>'09월 조업일지'!A461</f>
        <v>46282</v>
      </c>
      <c r="B463" s="1099">
        <f>'09월 조업일지'!B461</f>
        <v>46282</v>
      </c>
      <c r="C463" s="1000" t="str">
        <f>'09월 화학성분'!D461</f>
        <v>B</v>
      </c>
      <c r="D463" s="1000" t="str">
        <f>'09월 화학성분'!E461</f>
        <v>A</v>
      </c>
      <c r="E463" s="1000">
        <f>'09월 화학성분'!C461</f>
        <v>85663</v>
      </c>
      <c r="F463" s="1001" t="str">
        <f t="shared" si="130"/>
        <v>SS275[CS공장]</v>
      </c>
      <c r="G463" s="1172">
        <v>18.899999999999999</v>
      </c>
      <c r="H463" s="985">
        <v>22700</v>
      </c>
      <c r="I463" s="1173">
        <v>16.600000000000001</v>
      </c>
      <c r="J463" s="985">
        <v>20600</v>
      </c>
      <c r="K463" s="1173">
        <v>8.6</v>
      </c>
      <c r="L463" s="985">
        <v>11000</v>
      </c>
      <c r="M463" s="1174">
        <f t="shared" si="131"/>
        <v>44.1</v>
      </c>
      <c r="N463" s="984">
        <f t="shared" si="132"/>
        <v>54300</v>
      </c>
      <c r="O463" s="986">
        <f t="shared" si="133"/>
        <v>155.05464480874318</v>
      </c>
      <c r="P463" s="987">
        <f t="shared" si="134"/>
        <v>140.71038251366119</v>
      </c>
      <c r="Q463" s="987">
        <f t="shared" si="135"/>
        <v>75.136612021857914</v>
      </c>
      <c r="R463" s="988">
        <f t="shared" si="136"/>
        <v>370.90163934426226</v>
      </c>
      <c r="S463" s="989">
        <v>146.4</v>
      </c>
      <c r="T463" s="990">
        <v>0</v>
      </c>
      <c r="U463" s="991">
        <v>17</v>
      </c>
      <c r="V463" s="991">
        <v>334</v>
      </c>
      <c r="W463" s="992">
        <f t="shared" si="137"/>
        <v>351</v>
      </c>
      <c r="X463" s="993">
        <f t="shared" si="138"/>
        <v>2.3975409836065573</v>
      </c>
      <c r="Y463" s="990">
        <v>1561</v>
      </c>
      <c r="Z463" s="991">
        <v>1375</v>
      </c>
      <c r="AA463" s="991">
        <v>871</v>
      </c>
      <c r="AB463" s="992">
        <f t="shared" si="139"/>
        <v>3807</v>
      </c>
      <c r="AC463" s="993">
        <f t="shared" si="140"/>
        <v>26.004098360655735</v>
      </c>
      <c r="AD463" s="994">
        <f t="shared" si="141"/>
        <v>4158</v>
      </c>
      <c r="AE463" s="995">
        <f t="shared" si="142"/>
        <v>28.401639344262293</v>
      </c>
      <c r="AF463" s="996">
        <v>82</v>
      </c>
      <c r="AG463" s="997">
        <v>63</v>
      </c>
      <c r="AH463" s="997">
        <v>8</v>
      </c>
      <c r="AI463" s="998">
        <f t="shared" si="143"/>
        <v>153</v>
      </c>
      <c r="AJ463" s="993">
        <f t="shared" si="144"/>
        <v>1.0450819672131146</v>
      </c>
    </row>
    <row r="464" spans="1:36" ht="16.5" customHeight="1">
      <c r="A464" s="999">
        <f>'09월 조업일지'!A462</f>
        <v>46282</v>
      </c>
      <c r="B464" s="1099">
        <f>'09월 조업일지'!B462</f>
        <v>46282</v>
      </c>
      <c r="C464" s="1000" t="str">
        <f>'09월 화학성분'!D462</f>
        <v>B</v>
      </c>
      <c r="D464" s="1000" t="str">
        <f>'09월 화학성분'!E462</f>
        <v>B</v>
      </c>
      <c r="E464" s="1000">
        <f>'09월 화학성분'!C462</f>
        <v>85664</v>
      </c>
      <c r="F464" s="1001" t="str">
        <f t="shared" ref="F464:F527" si="145">IF(G464="","",F463)</f>
        <v>SS275[CS공장]</v>
      </c>
      <c r="G464" s="1172">
        <v>20.3</v>
      </c>
      <c r="H464" s="985">
        <v>24000</v>
      </c>
      <c r="I464" s="1173">
        <v>16.5</v>
      </c>
      <c r="J464" s="985">
        <v>20400</v>
      </c>
      <c r="K464" s="1173">
        <v>10.4</v>
      </c>
      <c r="L464" s="985">
        <v>13100</v>
      </c>
      <c r="M464" s="1174">
        <f t="shared" ref="M464:M527" si="146">IF(ISBLANK(G464),"",SUM(G464,I464,K464))</f>
        <v>47.199999999999996</v>
      </c>
      <c r="N464" s="984">
        <f t="shared" ref="N464:N527" si="147">IF(ISBLANK(H464),"",SUM(H464,J464,L464))</f>
        <v>57500</v>
      </c>
      <c r="O464" s="986">
        <f t="shared" ref="O464:O527" si="148">IF(ISBLANK(H464),"",H464/S464)</f>
        <v>165.97510373443984</v>
      </c>
      <c r="P464" s="987">
        <f t="shared" ref="P464:P527" si="149">IF(ISBLANK(J464),"",+J464/S464)</f>
        <v>141.07883817427387</v>
      </c>
      <c r="Q464" s="987">
        <f t="shared" ref="Q464:Q527" si="150">IF(ISBLANK(L464),"",L464/S464)</f>
        <v>90.594744121715081</v>
      </c>
      <c r="R464" s="988">
        <f t="shared" ref="R464:R527" si="151">IF(ISBLANK(L464),"",SUM(O464:Q464))</f>
        <v>397.64868603042873</v>
      </c>
      <c r="S464" s="989">
        <v>144.6</v>
      </c>
      <c r="T464" s="990">
        <v>0</v>
      </c>
      <c r="U464" s="991">
        <v>0</v>
      </c>
      <c r="V464" s="991">
        <v>361</v>
      </c>
      <c r="W464" s="992">
        <f t="shared" ref="W464:W527" si="152">IF(SUM(T464:V464)=0,"",SUM(T464:V464))</f>
        <v>361</v>
      </c>
      <c r="X464" s="993">
        <f t="shared" ref="X464:X527" si="153">IF(W464="","",W464/S464)</f>
        <v>2.4965421853388658</v>
      </c>
      <c r="Y464" s="990">
        <v>1660</v>
      </c>
      <c r="Z464" s="991">
        <v>1372</v>
      </c>
      <c r="AA464" s="991">
        <v>940</v>
      </c>
      <c r="AB464" s="992">
        <f t="shared" ref="AB464:AB527" si="154">IF(SUM(Y464:AA464)=0,"",SUM(Y464:AA464))</f>
        <v>3972</v>
      </c>
      <c r="AC464" s="993">
        <f t="shared" ref="AC464:AC527" si="155">IF(AB464="","",AB464/S464)</f>
        <v>27.468879668049794</v>
      </c>
      <c r="AD464" s="994">
        <f t="shared" ref="AD464:AD527" si="156">IF(SUM(W464,AB464)=0,"",SUM(W464,AB464))</f>
        <v>4333</v>
      </c>
      <c r="AE464" s="995">
        <f t="shared" ref="AE464:AE527" si="157">IF(AD464="","",AD464/S464)</f>
        <v>29.965421853388658</v>
      </c>
      <c r="AF464" s="996">
        <v>86</v>
      </c>
      <c r="AG464" s="997">
        <v>64</v>
      </c>
      <c r="AH464" s="997">
        <v>9</v>
      </c>
      <c r="AI464" s="998">
        <f t="shared" ref="AI464:AI527" si="158">IF(SUM(AF464:AH464)=0,"",SUM(AF464:AH464))</f>
        <v>159</v>
      </c>
      <c r="AJ464" s="993">
        <f t="shared" ref="AJ464:AJ527" si="159">IF(AI464="","",AI464/S464)</f>
        <v>1.099585062240664</v>
      </c>
    </row>
    <row r="465" spans="1:36" ht="16.5" customHeight="1">
      <c r="A465" s="999">
        <f>'09월 조업일지'!A463</f>
        <v>46282</v>
      </c>
      <c r="B465" s="1099">
        <f>'09월 조업일지'!B463</f>
        <v>46282</v>
      </c>
      <c r="C465" s="1000" t="str">
        <f>'09월 화학성분'!D463</f>
        <v>B</v>
      </c>
      <c r="D465" s="1000" t="str">
        <f>'09월 화학성분'!E463</f>
        <v>A</v>
      </c>
      <c r="E465" s="1000">
        <f>'09월 화학성분'!C463</f>
        <v>85665</v>
      </c>
      <c r="F465" s="1001" t="str">
        <f t="shared" si="145"/>
        <v>SS275[CS공장]</v>
      </c>
      <c r="G465" s="1172">
        <v>19.399999999999999</v>
      </c>
      <c r="H465" s="985">
        <v>22900</v>
      </c>
      <c r="I465" s="1173">
        <v>17.5</v>
      </c>
      <c r="J465" s="985">
        <v>20900</v>
      </c>
      <c r="K465" s="1173">
        <v>7.9</v>
      </c>
      <c r="L465" s="985">
        <v>10000</v>
      </c>
      <c r="M465" s="1174">
        <f t="shared" si="146"/>
        <v>44.8</v>
      </c>
      <c r="N465" s="984">
        <f t="shared" si="147"/>
        <v>53800</v>
      </c>
      <c r="O465" s="986">
        <f t="shared" si="148"/>
        <v>156.63474692202465</v>
      </c>
      <c r="P465" s="987">
        <f t="shared" si="149"/>
        <v>142.95485636114913</v>
      </c>
      <c r="Q465" s="987">
        <f t="shared" si="150"/>
        <v>68.399452804377574</v>
      </c>
      <c r="R465" s="988">
        <f t="shared" si="151"/>
        <v>367.98905608755138</v>
      </c>
      <c r="S465" s="989">
        <v>146.19999999999999</v>
      </c>
      <c r="T465" s="990">
        <v>0</v>
      </c>
      <c r="U465" s="991">
        <v>60</v>
      </c>
      <c r="V465" s="991">
        <v>273</v>
      </c>
      <c r="W465" s="992">
        <f t="shared" si="152"/>
        <v>333</v>
      </c>
      <c r="X465" s="993">
        <f t="shared" si="153"/>
        <v>2.2777017783857731</v>
      </c>
      <c r="Y465" s="990">
        <v>1579</v>
      </c>
      <c r="Z465" s="991">
        <v>1444</v>
      </c>
      <c r="AA465" s="991">
        <v>662</v>
      </c>
      <c r="AB465" s="992">
        <f t="shared" si="154"/>
        <v>3685</v>
      </c>
      <c r="AC465" s="993">
        <f t="shared" si="155"/>
        <v>25.205198358413135</v>
      </c>
      <c r="AD465" s="994">
        <f t="shared" si="156"/>
        <v>4018</v>
      </c>
      <c r="AE465" s="995">
        <f t="shared" si="157"/>
        <v>27.482900136798907</v>
      </c>
      <c r="AF465" s="996">
        <v>83</v>
      </c>
      <c r="AG465" s="997">
        <v>67</v>
      </c>
      <c r="AH465" s="997">
        <v>5</v>
      </c>
      <c r="AI465" s="998">
        <f t="shared" si="158"/>
        <v>155</v>
      </c>
      <c r="AJ465" s="993">
        <f t="shared" si="159"/>
        <v>1.0601915184678523</v>
      </c>
    </row>
    <row r="466" spans="1:36" ht="16.5" customHeight="1">
      <c r="A466" s="999">
        <f>'09월 조업일지'!A464</f>
        <v>46282</v>
      </c>
      <c r="B466" s="1099">
        <f>'09월 조업일지'!B464</f>
        <v>46282</v>
      </c>
      <c r="C466" s="1000" t="str">
        <f>'09월 화학성분'!D464</f>
        <v>B</v>
      </c>
      <c r="D466" s="1000" t="str">
        <f>'09월 화학성분'!E464</f>
        <v>B</v>
      </c>
      <c r="E466" s="1000">
        <f>'09월 화학성분'!C464</f>
        <v>85666</v>
      </c>
      <c r="F466" s="1001" t="str">
        <f t="shared" si="145"/>
        <v>SS275[CS공장]</v>
      </c>
      <c r="G466" s="1172">
        <v>18.8</v>
      </c>
      <c r="H466" s="985">
        <v>22900</v>
      </c>
      <c r="I466" s="1173">
        <v>18</v>
      </c>
      <c r="J466" s="985">
        <v>20700</v>
      </c>
      <c r="K466" s="1173">
        <v>8.3000000000000007</v>
      </c>
      <c r="L466" s="985">
        <v>10500</v>
      </c>
      <c r="M466" s="1174">
        <f t="shared" si="146"/>
        <v>45.099999999999994</v>
      </c>
      <c r="N466" s="984">
        <f t="shared" si="147"/>
        <v>54100</v>
      </c>
      <c r="O466" s="986">
        <f t="shared" si="148"/>
        <v>160.81460674157302</v>
      </c>
      <c r="P466" s="987">
        <f t="shared" si="149"/>
        <v>145.36516853932585</v>
      </c>
      <c r="Q466" s="987">
        <f t="shared" si="150"/>
        <v>73.735955056179776</v>
      </c>
      <c r="R466" s="988">
        <f t="shared" si="151"/>
        <v>379.91573033707863</v>
      </c>
      <c r="S466" s="989">
        <v>142.4</v>
      </c>
      <c r="T466" s="990">
        <v>0</v>
      </c>
      <c r="U466" s="991">
        <v>1</v>
      </c>
      <c r="V466" s="991">
        <v>326</v>
      </c>
      <c r="W466" s="992">
        <f t="shared" si="152"/>
        <v>327</v>
      </c>
      <c r="X466" s="993">
        <f t="shared" si="153"/>
        <v>2.2963483146067416</v>
      </c>
      <c r="Y466" s="990">
        <v>1560</v>
      </c>
      <c r="Z466" s="991">
        <v>1505</v>
      </c>
      <c r="AA466" s="991">
        <v>786</v>
      </c>
      <c r="AB466" s="992">
        <f t="shared" si="154"/>
        <v>3851</v>
      </c>
      <c r="AC466" s="993">
        <f t="shared" si="155"/>
        <v>27.043539325842694</v>
      </c>
      <c r="AD466" s="994">
        <f t="shared" si="156"/>
        <v>4178</v>
      </c>
      <c r="AE466" s="995">
        <f t="shared" si="157"/>
        <v>29.339887640449437</v>
      </c>
      <c r="AF466" s="996">
        <v>80</v>
      </c>
      <c r="AG466" s="997">
        <v>69</v>
      </c>
      <c r="AH466" s="997">
        <v>7</v>
      </c>
      <c r="AI466" s="998">
        <f t="shared" si="158"/>
        <v>156</v>
      </c>
      <c r="AJ466" s="993">
        <f t="shared" si="159"/>
        <v>1.095505617977528</v>
      </c>
    </row>
    <row r="467" spans="1:36" ht="16.5" customHeight="1">
      <c r="A467" s="999">
        <f>'09월 조업일지'!A465</f>
        <v>46282</v>
      </c>
      <c r="B467" s="1099">
        <f>'09월 조업일지'!B465</f>
        <v>46282</v>
      </c>
      <c r="C467" s="1000" t="str">
        <f>'09월 화학성분'!D465</f>
        <v>B</v>
      </c>
      <c r="D467" s="1000" t="str">
        <f>'09월 화학성분'!E465</f>
        <v>A</v>
      </c>
      <c r="E467" s="1000">
        <f>'09월 화학성분'!C465</f>
        <v>85667</v>
      </c>
      <c r="F467" s="1001" t="str">
        <f t="shared" si="145"/>
        <v>SS275[CS공장]</v>
      </c>
      <c r="G467" s="1172">
        <v>19.8</v>
      </c>
      <c r="H467" s="985">
        <v>24600</v>
      </c>
      <c r="I467" s="1173">
        <v>17.100000000000001</v>
      </c>
      <c r="J467" s="985">
        <v>20600</v>
      </c>
      <c r="K467" s="1173">
        <v>8.8000000000000007</v>
      </c>
      <c r="L467" s="985">
        <v>10800</v>
      </c>
      <c r="M467" s="1174">
        <f t="shared" si="146"/>
        <v>45.7</v>
      </c>
      <c r="N467" s="984">
        <f t="shared" si="147"/>
        <v>56000</v>
      </c>
      <c r="O467" s="986">
        <f t="shared" si="148"/>
        <v>168.84008236101579</v>
      </c>
      <c r="P467" s="987">
        <f t="shared" si="149"/>
        <v>141.38641043239534</v>
      </c>
      <c r="Q467" s="987">
        <f t="shared" si="150"/>
        <v>74.124914207275225</v>
      </c>
      <c r="R467" s="988">
        <f t="shared" si="151"/>
        <v>384.35140700068632</v>
      </c>
      <c r="S467" s="989">
        <v>145.69999999999999</v>
      </c>
      <c r="T467" s="990">
        <v>0</v>
      </c>
      <c r="U467" s="991">
        <v>109</v>
      </c>
      <c r="V467" s="991">
        <v>284</v>
      </c>
      <c r="W467" s="992">
        <f t="shared" si="152"/>
        <v>393</v>
      </c>
      <c r="X467" s="993">
        <f t="shared" si="153"/>
        <v>2.6973232669869596</v>
      </c>
      <c r="Y467" s="990">
        <v>1643</v>
      </c>
      <c r="Z467" s="991">
        <v>1405</v>
      </c>
      <c r="AA467" s="991">
        <v>760</v>
      </c>
      <c r="AB467" s="992">
        <f t="shared" si="154"/>
        <v>3808</v>
      </c>
      <c r="AC467" s="993">
        <f t="shared" si="155"/>
        <v>26.135895676046673</v>
      </c>
      <c r="AD467" s="994">
        <f t="shared" si="156"/>
        <v>4201</v>
      </c>
      <c r="AE467" s="995">
        <f t="shared" si="157"/>
        <v>28.833218943033632</v>
      </c>
      <c r="AF467" s="996">
        <v>80</v>
      </c>
      <c r="AG467" s="997">
        <v>67</v>
      </c>
      <c r="AH467" s="997">
        <v>8</v>
      </c>
      <c r="AI467" s="998">
        <f t="shared" si="158"/>
        <v>155</v>
      </c>
      <c r="AJ467" s="993">
        <f t="shared" si="159"/>
        <v>1.0638297872340425</v>
      </c>
    </row>
    <row r="468" spans="1:36" ht="16.5" customHeight="1">
      <c r="A468" s="999">
        <f>'09월 조업일지'!A466</f>
        <v>46282</v>
      </c>
      <c r="B468" s="1099">
        <f>'09월 조업일지'!B466</f>
        <v>46282</v>
      </c>
      <c r="C468" s="1000" t="str">
        <f>'09월 화학성분'!D466</f>
        <v>B</v>
      </c>
      <c r="D468" s="1232" t="str">
        <f>'09월 화학성분'!E466</f>
        <v>A</v>
      </c>
      <c r="E468" s="1000">
        <f>'09월 화학성분'!C466</f>
        <v>85668</v>
      </c>
      <c r="F468" s="1001" t="str">
        <f t="shared" si="145"/>
        <v>SS275[CS공장]</v>
      </c>
      <c r="G468" s="1172">
        <v>20.9</v>
      </c>
      <c r="H468" s="985">
        <v>24000</v>
      </c>
      <c r="I468" s="1173">
        <v>17</v>
      </c>
      <c r="J468" s="985">
        <v>20800</v>
      </c>
      <c r="K468" s="1173">
        <v>14.5</v>
      </c>
      <c r="L468" s="985">
        <v>17400</v>
      </c>
      <c r="M468" s="1174">
        <f t="shared" si="146"/>
        <v>52.4</v>
      </c>
      <c r="N468" s="984">
        <f t="shared" si="147"/>
        <v>62200</v>
      </c>
      <c r="O468" s="986">
        <f t="shared" si="148"/>
        <v>165.06189821182943</v>
      </c>
      <c r="P468" s="987">
        <f t="shared" si="149"/>
        <v>143.05364511691883</v>
      </c>
      <c r="Q468" s="987">
        <f t="shared" si="150"/>
        <v>119.66987620357634</v>
      </c>
      <c r="R468" s="988">
        <f t="shared" si="151"/>
        <v>427.78541953232457</v>
      </c>
      <c r="S468" s="989">
        <v>145.4</v>
      </c>
      <c r="T468" s="990">
        <v>0</v>
      </c>
      <c r="U468" s="991">
        <v>110</v>
      </c>
      <c r="V468" s="991">
        <v>188</v>
      </c>
      <c r="W468" s="992">
        <f t="shared" si="152"/>
        <v>298</v>
      </c>
      <c r="X468" s="993">
        <f t="shared" si="153"/>
        <v>2.0495185694635487</v>
      </c>
      <c r="Y468" s="990">
        <v>1753</v>
      </c>
      <c r="Z468" s="991">
        <v>1403</v>
      </c>
      <c r="AA468" s="991">
        <v>1473</v>
      </c>
      <c r="AB468" s="992">
        <f t="shared" si="154"/>
        <v>4629</v>
      </c>
      <c r="AC468" s="993">
        <f t="shared" si="155"/>
        <v>31.836313617606603</v>
      </c>
      <c r="AD468" s="994">
        <f t="shared" si="156"/>
        <v>4927</v>
      </c>
      <c r="AE468" s="995">
        <f t="shared" si="157"/>
        <v>33.88583218707015</v>
      </c>
      <c r="AF468" s="996">
        <v>86</v>
      </c>
      <c r="AG468" s="997">
        <v>63</v>
      </c>
      <c r="AH468" s="997">
        <v>9</v>
      </c>
      <c r="AI468" s="998">
        <f t="shared" si="158"/>
        <v>158</v>
      </c>
      <c r="AJ468" s="993">
        <f t="shared" si="159"/>
        <v>1.0866574965612104</v>
      </c>
    </row>
    <row r="469" spans="1:36" ht="16.5" customHeight="1">
      <c r="A469" s="999">
        <f>'09월 조업일지'!A467</f>
        <v>46282</v>
      </c>
      <c r="B469" s="1099">
        <f>'09월 조업일지'!B467</f>
        <v>46282</v>
      </c>
      <c r="C469" s="1000" t="str">
        <f>'09월 화학성분'!D467</f>
        <v>C</v>
      </c>
      <c r="D469" s="1232" t="str">
        <f>'09월 화학성분'!E467</f>
        <v>A</v>
      </c>
      <c r="E469" s="1000">
        <f>'09월 화학성분'!C467</f>
        <v>85669</v>
      </c>
      <c r="F469" s="1104" t="s">
        <v>876</v>
      </c>
      <c r="G469" s="1172">
        <v>20.100000000000001</v>
      </c>
      <c r="H469" s="985">
        <v>23800</v>
      </c>
      <c r="I469" s="1173">
        <v>16.8</v>
      </c>
      <c r="J469" s="985">
        <v>20800</v>
      </c>
      <c r="K469" s="1173">
        <v>6.9</v>
      </c>
      <c r="L469" s="985">
        <v>8800</v>
      </c>
      <c r="M469" s="1174">
        <f t="shared" si="146"/>
        <v>43.800000000000004</v>
      </c>
      <c r="N469" s="984">
        <f t="shared" si="147"/>
        <v>53400</v>
      </c>
      <c r="O469" s="986">
        <f t="shared" si="148"/>
        <v>304.3478260869565</v>
      </c>
      <c r="P469" s="987">
        <f t="shared" si="149"/>
        <v>265.98465473145779</v>
      </c>
      <c r="Q469" s="987">
        <f t="shared" si="150"/>
        <v>112.53196930946291</v>
      </c>
      <c r="R469" s="988">
        <f t="shared" si="151"/>
        <v>682.86445012787726</v>
      </c>
      <c r="S469" s="989">
        <v>78.2</v>
      </c>
      <c r="T469" s="990">
        <v>0</v>
      </c>
      <c r="U469" s="991">
        <v>139</v>
      </c>
      <c r="V469" s="991">
        <v>220</v>
      </c>
      <c r="W469" s="992">
        <f t="shared" si="152"/>
        <v>359</v>
      </c>
      <c r="X469" s="993">
        <f t="shared" si="153"/>
        <v>4.5907928388746804</v>
      </c>
      <c r="Y469" s="990">
        <v>1723</v>
      </c>
      <c r="Z469" s="991">
        <v>1382</v>
      </c>
      <c r="AA469" s="991">
        <v>703</v>
      </c>
      <c r="AB469" s="992">
        <f t="shared" si="154"/>
        <v>3808</v>
      </c>
      <c r="AC469" s="993">
        <f t="shared" si="155"/>
        <v>48.695652173913039</v>
      </c>
      <c r="AD469" s="994">
        <f t="shared" si="156"/>
        <v>4167</v>
      </c>
      <c r="AE469" s="995">
        <f t="shared" si="157"/>
        <v>53.286445012787723</v>
      </c>
      <c r="AF469" s="996">
        <v>83</v>
      </c>
      <c r="AG469" s="997">
        <v>63</v>
      </c>
      <c r="AH469" s="997">
        <v>6</v>
      </c>
      <c r="AI469" s="998">
        <f t="shared" si="158"/>
        <v>152</v>
      </c>
      <c r="AJ469" s="993">
        <f t="shared" si="159"/>
        <v>1.9437340153452685</v>
      </c>
    </row>
    <row r="470" spans="1:36" ht="16.5" customHeight="1">
      <c r="A470" s="999">
        <f>'09월 조업일지'!A468</f>
        <v>46282</v>
      </c>
      <c r="B470" s="1099">
        <f>'09월 조업일지'!B468</f>
        <v>46282</v>
      </c>
      <c r="C470" s="1000" t="str">
        <f>'09월 화학성분'!D468</f>
        <v>C</v>
      </c>
      <c r="D470" s="1232" t="str">
        <f>'09월 화학성분'!E468</f>
        <v>A</v>
      </c>
      <c r="E470" s="1000">
        <f>'09월 화학성분'!C468</f>
        <v>85670</v>
      </c>
      <c r="F470" s="1001" t="str">
        <f t="shared" si="145"/>
        <v>DKOIL</v>
      </c>
      <c r="G470" s="1172">
        <v>19.399999999999999</v>
      </c>
      <c r="H470" s="985">
        <v>22700</v>
      </c>
      <c r="I470" s="1173">
        <v>17.600000000000001</v>
      </c>
      <c r="J470" s="985">
        <v>20900</v>
      </c>
      <c r="K470" s="1173">
        <v>2.1</v>
      </c>
      <c r="L470" s="985">
        <v>2700</v>
      </c>
      <c r="M470" s="1174">
        <f t="shared" si="146"/>
        <v>39.1</v>
      </c>
      <c r="N470" s="984">
        <f t="shared" si="147"/>
        <v>46300</v>
      </c>
      <c r="O470" s="986">
        <f t="shared" si="148"/>
        <v>159.7466572836031</v>
      </c>
      <c r="P470" s="987">
        <f t="shared" si="149"/>
        <v>147.07952146375791</v>
      </c>
      <c r="Q470" s="987">
        <f t="shared" si="150"/>
        <v>19.000703729767771</v>
      </c>
      <c r="R470" s="988">
        <f t="shared" si="151"/>
        <v>325.82688247712883</v>
      </c>
      <c r="S470" s="989">
        <v>142.1</v>
      </c>
      <c r="T470" s="990">
        <v>0</v>
      </c>
      <c r="U470" s="991">
        <v>212</v>
      </c>
      <c r="V470" s="991">
        <v>107</v>
      </c>
      <c r="W470" s="992">
        <f t="shared" si="152"/>
        <v>319</v>
      </c>
      <c r="X470" s="993">
        <f t="shared" si="153"/>
        <v>2.2448979591836737</v>
      </c>
      <c r="Y470" s="990">
        <v>1599</v>
      </c>
      <c r="Z470" s="991">
        <v>1430</v>
      </c>
      <c r="AA470" s="991">
        <v>216</v>
      </c>
      <c r="AB470" s="992">
        <f t="shared" si="154"/>
        <v>3245</v>
      </c>
      <c r="AC470" s="993">
        <f t="shared" si="155"/>
        <v>22.836030964109781</v>
      </c>
      <c r="AD470" s="994">
        <f t="shared" si="156"/>
        <v>3564</v>
      </c>
      <c r="AE470" s="995">
        <f t="shared" si="157"/>
        <v>25.080928923293456</v>
      </c>
      <c r="AF470" s="996">
        <v>83</v>
      </c>
      <c r="AG470" s="997">
        <v>64</v>
      </c>
      <c r="AH470" s="997">
        <v>1</v>
      </c>
      <c r="AI470" s="998">
        <f t="shared" si="158"/>
        <v>148</v>
      </c>
      <c r="AJ470" s="993">
        <f t="shared" si="159"/>
        <v>1.0415200562983815</v>
      </c>
    </row>
    <row r="471" spans="1:36" ht="16.5" customHeight="1">
      <c r="A471" s="999">
        <f>'09월 조업일지'!A469</f>
        <v>46282</v>
      </c>
      <c r="B471" s="1099">
        <f>'09월 조업일지'!B469</f>
        <v>46282</v>
      </c>
      <c r="C471" s="1000" t="str">
        <f>'09월 화학성분'!D469</f>
        <v>C</v>
      </c>
      <c r="D471" s="1232" t="str">
        <f>'09월 화학성분'!E469</f>
        <v>A</v>
      </c>
      <c r="E471" s="1000">
        <f>'09월 화학성분'!C469</f>
        <v>85671</v>
      </c>
      <c r="F471" s="1001" t="str">
        <f t="shared" si="145"/>
        <v>DKOIL</v>
      </c>
      <c r="G471" s="1172">
        <v>19.7</v>
      </c>
      <c r="H471" s="985">
        <v>23500</v>
      </c>
      <c r="I471" s="1173">
        <v>18.100000000000001</v>
      </c>
      <c r="J471" s="985">
        <v>20800</v>
      </c>
      <c r="K471" s="1173">
        <v>8.6</v>
      </c>
      <c r="L471" s="985">
        <v>10700</v>
      </c>
      <c r="M471" s="1174">
        <f t="shared" si="146"/>
        <v>46.4</v>
      </c>
      <c r="N471" s="984">
        <f t="shared" si="147"/>
        <v>55000</v>
      </c>
      <c r="O471" s="986">
        <f t="shared" si="148"/>
        <v>159.64673913043478</v>
      </c>
      <c r="P471" s="987">
        <f t="shared" si="149"/>
        <v>141.30434782608697</v>
      </c>
      <c r="Q471" s="987">
        <f t="shared" si="150"/>
        <v>72.690217391304358</v>
      </c>
      <c r="R471" s="988">
        <f t="shared" si="151"/>
        <v>373.64130434782612</v>
      </c>
      <c r="S471" s="989">
        <v>147.19999999999999</v>
      </c>
      <c r="T471" s="990">
        <v>0</v>
      </c>
      <c r="U471" s="991">
        <v>133</v>
      </c>
      <c r="V471" s="991">
        <v>184</v>
      </c>
      <c r="W471" s="992">
        <f t="shared" si="152"/>
        <v>317</v>
      </c>
      <c r="X471" s="993">
        <f t="shared" si="153"/>
        <v>2.1535326086956523</v>
      </c>
      <c r="Y471" s="990">
        <v>1641</v>
      </c>
      <c r="Z471" s="991">
        <v>1491</v>
      </c>
      <c r="AA471" s="991">
        <v>922</v>
      </c>
      <c r="AB471" s="992">
        <f t="shared" si="154"/>
        <v>4054</v>
      </c>
      <c r="AC471" s="993">
        <f t="shared" si="155"/>
        <v>27.540760869565219</v>
      </c>
      <c r="AD471" s="994">
        <f t="shared" si="156"/>
        <v>4371</v>
      </c>
      <c r="AE471" s="995">
        <f t="shared" si="157"/>
        <v>29.694293478260871</v>
      </c>
      <c r="AF471" s="996">
        <v>83</v>
      </c>
      <c r="AG471" s="997">
        <v>70</v>
      </c>
      <c r="AH471" s="997">
        <v>18</v>
      </c>
      <c r="AI471" s="998">
        <f t="shared" si="158"/>
        <v>171</v>
      </c>
      <c r="AJ471" s="993">
        <f t="shared" si="159"/>
        <v>1.1616847826086958</v>
      </c>
    </row>
    <row r="472" spans="1:36" ht="16.5" customHeight="1">
      <c r="A472" s="999">
        <f>'09월 조업일지'!A470</f>
        <v>46283</v>
      </c>
      <c r="B472" s="1099">
        <f>'09월 조업일지'!B470</f>
        <v>46282</v>
      </c>
      <c r="C472" s="1000" t="str">
        <f>'09월 화학성분'!D470</f>
        <v>C</v>
      </c>
      <c r="D472" s="1232" t="str">
        <f>'09월 화학성분'!E470</f>
        <v>A</v>
      </c>
      <c r="E472" s="1000">
        <f>'09월 화학성분'!C470</f>
        <v>85672</v>
      </c>
      <c r="F472" s="1001" t="str">
        <f t="shared" si="145"/>
        <v>DKOIL</v>
      </c>
      <c r="G472" s="1172">
        <v>18.899999999999999</v>
      </c>
      <c r="H472" s="985">
        <v>23200</v>
      </c>
      <c r="I472" s="1173">
        <v>17.5</v>
      </c>
      <c r="J472" s="985">
        <v>21100</v>
      </c>
      <c r="K472" s="1173">
        <v>9</v>
      </c>
      <c r="L472" s="985">
        <v>11200</v>
      </c>
      <c r="M472" s="1174">
        <f t="shared" si="146"/>
        <v>45.4</v>
      </c>
      <c r="N472" s="984">
        <f t="shared" si="147"/>
        <v>55500</v>
      </c>
      <c r="O472" s="986">
        <f t="shared" si="148"/>
        <v>158.145875937287</v>
      </c>
      <c r="P472" s="987">
        <f t="shared" si="149"/>
        <v>143.83094751192911</v>
      </c>
      <c r="Q472" s="987">
        <f t="shared" si="150"/>
        <v>76.346284935241997</v>
      </c>
      <c r="R472" s="988">
        <f t="shared" si="151"/>
        <v>378.32310838445812</v>
      </c>
      <c r="S472" s="989">
        <v>146.69999999999999</v>
      </c>
      <c r="T472" s="990">
        <v>0</v>
      </c>
      <c r="U472" s="991">
        <v>105</v>
      </c>
      <c r="V472" s="991">
        <v>223</v>
      </c>
      <c r="W472" s="992">
        <f t="shared" si="152"/>
        <v>328</v>
      </c>
      <c r="X472" s="993">
        <f t="shared" si="153"/>
        <v>2.2358554873892298</v>
      </c>
      <c r="Y472" s="990">
        <v>1578</v>
      </c>
      <c r="Z472" s="991">
        <v>1439</v>
      </c>
      <c r="AA472" s="991">
        <v>548</v>
      </c>
      <c r="AB472" s="992">
        <f t="shared" si="154"/>
        <v>3565</v>
      </c>
      <c r="AC472" s="993">
        <f t="shared" si="155"/>
        <v>24.301295160190868</v>
      </c>
      <c r="AD472" s="994">
        <f t="shared" si="156"/>
        <v>3893</v>
      </c>
      <c r="AE472" s="995">
        <f t="shared" si="157"/>
        <v>26.537150647580098</v>
      </c>
      <c r="AF472" s="996">
        <v>80</v>
      </c>
      <c r="AG472" s="997">
        <v>66</v>
      </c>
      <c r="AH472" s="997">
        <v>5</v>
      </c>
      <c r="AI472" s="998">
        <f t="shared" si="158"/>
        <v>151</v>
      </c>
      <c r="AJ472" s="993">
        <f t="shared" si="159"/>
        <v>1.0293115201090661</v>
      </c>
    </row>
    <row r="473" spans="1:36" ht="16.5" customHeight="1">
      <c r="A473" s="999">
        <f>'09월 조업일지'!A471</f>
        <v>46283</v>
      </c>
      <c r="B473" s="1099">
        <f>'09월 조업일지'!B471</f>
        <v>46282</v>
      </c>
      <c r="C473" s="1000" t="str">
        <f>'09월 화학성분'!D471</f>
        <v>C</v>
      </c>
      <c r="D473" s="1232" t="str">
        <f>'09월 화학성분'!E471</f>
        <v>A</v>
      </c>
      <c r="E473" s="1000">
        <f>'09월 화학성분'!C471</f>
        <v>85673</v>
      </c>
      <c r="F473" s="1001" t="str">
        <f t="shared" si="145"/>
        <v>DKOIL</v>
      </c>
      <c r="G473" s="1172">
        <v>18</v>
      </c>
      <c r="H473" s="985">
        <v>21800</v>
      </c>
      <c r="I473" s="1173">
        <v>16.7</v>
      </c>
      <c r="J473" s="985">
        <v>20700</v>
      </c>
      <c r="K473" s="1173">
        <v>9</v>
      </c>
      <c r="L473" s="985">
        <v>11400</v>
      </c>
      <c r="M473" s="1174">
        <f t="shared" si="146"/>
        <v>43.7</v>
      </c>
      <c r="N473" s="984">
        <f t="shared" si="147"/>
        <v>53900</v>
      </c>
      <c r="O473" s="986">
        <f t="shared" si="148"/>
        <v>146.99932569116655</v>
      </c>
      <c r="P473" s="987">
        <f t="shared" si="149"/>
        <v>139.58192852326366</v>
      </c>
      <c r="Q473" s="987">
        <f t="shared" si="150"/>
        <v>76.871207012811865</v>
      </c>
      <c r="R473" s="988">
        <f t="shared" si="151"/>
        <v>363.45246122724205</v>
      </c>
      <c r="S473" s="989">
        <v>148.30000000000001</v>
      </c>
      <c r="T473" s="990">
        <v>0</v>
      </c>
      <c r="U473" s="991">
        <v>18</v>
      </c>
      <c r="V473" s="991">
        <v>324</v>
      </c>
      <c r="W473" s="992">
        <f t="shared" si="152"/>
        <v>342</v>
      </c>
      <c r="X473" s="993">
        <f t="shared" si="153"/>
        <v>2.3061362103843557</v>
      </c>
      <c r="Y473" s="990">
        <v>1474</v>
      </c>
      <c r="Z473" s="991">
        <v>1390</v>
      </c>
      <c r="AA473" s="991">
        <v>940</v>
      </c>
      <c r="AB473" s="992">
        <f t="shared" si="154"/>
        <v>3804</v>
      </c>
      <c r="AC473" s="993">
        <f t="shared" si="155"/>
        <v>25.650708024275115</v>
      </c>
      <c r="AD473" s="994">
        <f t="shared" si="156"/>
        <v>4146</v>
      </c>
      <c r="AE473" s="995">
        <f t="shared" si="157"/>
        <v>27.956844234659471</v>
      </c>
      <c r="AF473" s="996">
        <v>80</v>
      </c>
      <c r="AG473" s="997">
        <v>63</v>
      </c>
      <c r="AH473" s="997">
        <v>9</v>
      </c>
      <c r="AI473" s="998">
        <f t="shared" si="158"/>
        <v>152</v>
      </c>
      <c r="AJ473" s="993">
        <f t="shared" si="159"/>
        <v>1.0249494268374915</v>
      </c>
    </row>
    <row r="474" spans="1:36" ht="16.5" customHeight="1">
      <c r="A474" s="999">
        <f>'09월 조업일지'!A472</f>
        <v>46283</v>
      </c>
      <c r="B474" s="1099">
        <f>'09월 조업일지'!B472</f>
        <v>46283</v>
      </c>
      <c r="C474" s="1000" t="str">
        <f>'09월 화학성분'!D472</f>
        <v>A</v>
      </c>
      <c r="D474" s="1232" t="str">
        <f>'09월 화학성분'!E472</f>
        <v>A</v>
      </c>
      <c r="E474" s="1000">
        <f>'09월 화학성분'!C472</f>
        <v>85674</v>
      </c>
      <c r="F474" s="1001" t="str">
        <f t="shared" si="145"/>
        <v>DKOIL</v>
      </c>
      <c r="G474" s="1172">
        <v>19.100000000000001</v>
      </c>
      <c r="H474" s="985">
        <v>23400</v>
      </c>
      <c r="I474" s="1173">
        <v>17.2</v>
      </c>
      <c r="J474" s="985">
        <v>20500</v>
      </c>
      <c r="K474" s="1173">
        <v>9.6</v>
      </c>
      <c r="L474" s="985">
        <v>12200</v>
      </c>
      <c r="M474" s="1174">
        <f t="shared" si="146"/>
        <v>45.9</v>
      </c>
      <c r="N474" s="984">
        <f t="shared" si="147"/>
        <v>56100</v>
      </c>
      <c r="O474" s="986">
        <f t="shared" si="148"/>
        <v>160.49382716049382</v>
      </c>
      <c r="P474" s="987">
        <f t="shared" si="149"/>
        <v>140.60356652949244</v>
      </c>
      <c r="Q474" s="987">
        <f t="shared" si="150"/>
        <v>83.676268861454034</v>
      </c>
      <c r="R474" s="988">
        <f t="shared" si="151"/>
        <v>384.77366255144028</v>
      </c>
      <c r="S474" s="989">
        <v>145.80000000000001</v>
      </c>
      <c r="T474" s="990">
        <v>0</v>
      </c>
      <c r="U474" s="991">
        <v>142</v>
      </c>
      <c r="V474" s="991">
        <v>194</v>
      </c>
      <c r="W474" s="992">
        <f t="shared" si="152"/>
        <v>336</v>
      </c>
      <c r="X474" s="993">
        <f t="shared" si="153"/>
        <v>2.3045267489711931</v>
      </c>
      <c r="Y474" s="990">
        <v>1586</v>
      </c>
      <c r="Z474" s="991">
        <v>1386</v>
      </c>
      <c r="AA474" s="991">
        <v>587</v>
      </c>
      <c r="AB474" s="992">
        <f t="shared" si="154"/>
        <v>3559</v>
      </c>
      <c r="AC474" s="993">
        <f t="shared" si="155"/>
        <v>24.41015089163237</v>
      </c>
      <c r="AD474" s="994">
        <f t="shared" si="156"/>
        <v>3895</v>
      </c>
      <c r="AE474" s="995">
        <f t="shared" si="157"/>
        <v>26.714677640603565</v>
      </c>
      <c r="AF474" s="996">
        <v>80</v>
      </c>
      <c r="AG474" s="997">
        <v>62</v>
      </c>
      <c r="AH474" s="997">
        <v>4</v>
      </c>
      <c r="AI474" s="998">
        <f t="shared" si="158"/>
        <v>146</v>
      </c>
      <c r="AJ474" s="993">
        <f t="shared" si="159"/>
        <v>1.0013717421124828</v>
      </c>
    </row>
    <row r="475" spans="1:36" ht="16.5" customHeight="1">
      <c r="A475" s="999">
        <f>'09월 조업일지'!A473</f>
        <v>46283</v>
      </c>
      <c r="B475" s="1099">
        <f>'09월 조업일지'!B473</f>
        <v>46283</v>
      </c>
      <c r="C475" s="1000" t="str">
        <f>'09월 화학성분'!D473</f>
        <v>A</v>
      </c>
      <c r="D475" s="1232" t="str">
        <f>'09월 화학성분'!E473</f>
        <v>A</v>
      </c>
      <c r="E475" s="1000">
        <f>'09월 화학성분'!C473</f>
        <v>85675</v>
      </c>
      <c r="F475" s="1001" t="str">
        <f t="shared" si="145"/>
        <v>DKOIL</v>
      </c>
      <c r="G475" s="1172">
        <v>21.3</v>
      </c>
      <c r="H475" s="985">
        <v>24900</v>
      </c>
      <c r="I475" s="1173">
        <v>17.100000000000001</v>
      </c>
      <c r="J475" s="985">
        <v>20700</v>
      </c>
      <c r="K475" s="1173">
        <v>10.3</v>
      </c>
      <c r="L475" s="985">
        <v>13100</v>
      </c>
      <c r="M475" s="1174">
        <f t="shared" si="146"/>
        <v>48.7</v>
      </c>
      <c r="N475" s="984">
        <f t="shared" si="147"/>
        <v>58700</v>
      </c>
      <c r="O475" s="986">
        <f t="shared" si="148"/>
        <v>175.10548523206754</v>
      </c>
      <c r="P475" s="987">
        <f t="shared" si="149"/>
        <v>145.56962025316457</v>
      </c>
      <c r="Q475" s="987">
        <f t="shared" si="150"/>
        <v>92.123769338959221</v>
      </c>
      <c r="R475" s="988">
        <f t="shared" si="151"/>
        <v>412.79887482419133</v>
      </c>
      <c r="S475" s="989">
        <v>142.19999999999999</v>
      </c>
      <c r="T475" s="990">
        <v>0</v>
      </c>
      <c r="U475" s="991">
        <v>239</v>
      </c>
      <c r="V475" s="991">
        <v>132</v>
      </c>
      <c r="W475" s="992">
        <f t="shared" si="152"/>
        <v>371</v>
      </c>
      <c r="X475" s="993">
        <f t="shared" si="153"/>
        <v>2.6090014064697611</v>
      </c>
      <c r="Y475" s="990">
        <v>1795</v>
      </c>
      <c r="Z475" s="991">
        <v>1421</v>
      </c>
      <c r="AA475" s="991">
        <v>782</v>
      </c>
      <c r="AB475" s="992">
        <f t="shared" si="154"/>
        <v>3998</v>
      </c>
      <c r="AC475" s="993">
        <f t="shared" si="155"/>
        <v>28.115330520393815</v>
      </c>
      <c r="AD475" s="994">
        <f t="shared" si="156"/>
        <v>4369</v>
      </c>
      <c r="AE475" s="995">
        <f t="shared" si="157"/>
        <v>30.724331926863574</v>
      </c>
      <c r="AF475" s="996">
        <v>87</v>
      </c>
      <c r="AG475" s="997">
        <v>66</v>
      </c>
      <c r="AH475" s="997">
        <v>6</v>
      </c>
      <c r="AI475" s="998">
        <f t="shared" si="158"/>
        <v>159</v>
      </c>
      <c r="AJ475" s="993">
        <f t="shared" si="159"/>
        <v>1.1181434599156119</v>
      </c>
    </row>
    <row r="476" spans="1:36" ht="16.5" customHeight="1">
      <c r="A476" s="999">
        <f>'09월 조업일지'!A474</f>
        <v>46283</v>
      </c>
      <c r="B476" s="1099">
        <f>'09월 조업일지'!B474</f>
        <v>46283</v>
      </c>
      <c r="C476" s="1000" t="str">
        <f>'09월 화학성분'!D474</f>
        <v>A</v>
      </c>
      <c r="D476" s="1232" t="str">
        <f>'09월 화학성분'!E474</f>
        <v>A</v>
      </c>
      <c r="E476" s="1000">
        <f>'09월 화학성분'!C474</f>
        <v>85676</v>
      </c>
      <c r="F476" s="1001" t="str">
        <f t="shared" si="145"/>
        <v>DKOIL</v>
      </c>
      <c r="G476" s="1172">
        <v>19.5</v>
      </c>
      <c r="H476" s="985">
        <v>23600</v>
      </c>
      <c r="I476" s="1173">
        <v>16.899999999999999</v>
      </c>
      <c r="J476" s="985">
        <v>20700</v>
      </c>
      <c r="K476" s="1173">
        <v>9.6999999999999993</v>
      </c>
      <c r="L476" s="985">
        <v>12400</v>
      </c>
      <c r="M476" s="1174">
        <f t="shared" si="146"/>
        <v>46.099999999999994</v>
      </c>
      <c r="N476" s="984">
        <f t="shared" si="147"/>
        <v>56700</v>
      </c>
      <c r="O476" s="986">
        <f t="shared" si="148"/>
        <v>162.98342541436463</v>
      </c>
      <c r="P476" s="987">
        <f t="shared" si="149"/>
        <v>142.95580110497235</v>
      </c>
      <c r="Q476" s="987">
        <f t="shared" si="150"/>
        <v>85.635359116022087</v>
      </c>
      <c r="R476" s="988">
        <f t="shared" si="151"/>
        <v>391.57458563535909</v>
      </c>
      <c r="S476" s="989">
        <v>144.80000000000001</v>
      </c>
      <c r="T476" s="990">
        <v>0</v>
      </c>
      <c r="U476" s="991">
        <v>160</v>
      </c>
      <c r="V476" s="991">
        <v>213</v>
      </c>
      <c r="W476" s="992">
        <f t="shared" si="152"/>
        <v>373</v>
      </c>
      <c r="X476" s="993">
        <f t="shared" si="153"/>
        <v>2.575966850828729</v>
      </c>
      <c r="Y476" s="990">
        <v>1636</v>
      </c>
      <c r="Z476" s="991">
        <v>1381</v>
      </c>
      <c r="AA476" s="991">
        <v>680</v>
      </c>
      <c r="AB476" s="992">
        <f t="shared" si="154"/>
        <v>3697</v>
      </c>
      <c r="AC476" s="993">
        <f t="shared" si="155"/>
        <v>25.531767955801104</v>
      </c>
      <c r="AD476" s="994">
        <f t="shared" si="156"/>
        <v>4070</v>
      </c>
      <c r="AE476" s="995">
        <f t="shared" si="157"/>
        <v>28.107734806629832</v>
      </c>
      <c r="AF476" s="996">
        <v>81</v>
      </c>
      <c r="AG476" s="997">
        <v>63</v>
      </c>
      <c r="AH476" s="997">
        <v>5</v>
      </c>
      <c r="AI476" s="998">
        <f t="shared" si="158"/>
        <v>149</v>
      </c>
      <c r="AJ476" s="993">
        <f t="shared" si="159"/>
        <v>1.0290055248618784</v>
      </c>
    </row>
    <row r="477" spans="1:36" ht="16.5" customHeight="1">
      <c r="A477" s="999">
        <f>'09월 조업일지'!A475</f>
        <v>46283</v>
      </c>
      <c r="B477" s="1099">
        <f>'09월 조업일지'!B475</f>
        <v>46283</v>
      </c>
      <c r="C477" s="1000" t="str">
        <f>'09월 화학성분'!D475</f>
        <v>A</v>
      </c>
      <c r="D477" s="1232" t="str">
        <f>'09월 화학성분'!E475</f>
        <v>A</v>
      </c>
      <c r="E477" s="1000">
        <f>'09월 화학성분'!C475</f>
        <v>85677</v>
      </c>
      <c r="F477" s="1001" t="str">
        <f t="shared" si="145"/>
        <v>DKOIL</v>
      </c>
      <c r="G477" s="1172">
        <v>19.2</v>
      </c>
      <c r="H477" s="985">
        <v>23400</v>
      </c>
      <c r="I477" s="1173">
        <v>16.5</v>
      </c>
      <c r="J477" s="985">
        <v>20700</v>
      </c>
      <c r="K477" s="1173">
        <v>9.9</v>
      </c>
      <c r="L477" s="985">
        <v>12600</v>
      </c>
      <c r="M477" s="1174">
        <f t="shared" si="146"/>
        <v>45.6</v>
      </c>
      <c r="N477" s="984">
        <f t="shared" si="147"/>
        <v>56700</v>
      </c>
      <c r="O477" s="986">
        <f t="shared" si="148"/>
        <v>159.94531784005466</v>
      </c>
      <c r="P477" s="987">
        <f t="shared" si="149"/>
        <v>141.49008885850989</v>
      </c>
      <c r="Q477" s="987">
        <f t="shared" si="150"/>
        <v>86.124401913875587</v>
      </c>
      <c r="R477" s="988">
        <f t="shared" si="151"/>
        <v>387.55980861244012</v>
      </c>
      <c r="S477" s="989">
        <v>146.30000000000001</v>
      </c>
      <c r="T477" s="990">
        <v>0</v>
      </c>
      <c r="U477" s="991">
        <v>125</v>
      </c>
      <c r="V477" s="991">
        <v>271</v>
      </c>
      <c r="W477" s="992">
        <f t="shared" si="152"/>
        <v>396</v>
      </c>
      <c r="X477" s="993">
        <f t="shared" si="153"/>
        <v>2.7067669172932329</v>
      </c>
      <c r="Y477" s="990">
        <v>1588</v>
      </c>
      <c r="Z477" s="991">
        <v>1363</v>
      </c>
      <c r="AA477" s="991">
        <v>747</v>
      </c>
      <c r="AB477" s="992">
        <f t="shared" si="154"/>
        <v>3698</v>
      </c>
      <c r="AC477" s="993">
        <f t="shared" si="155"/>
        <v>25.276828434723171</v>
      </c>
      <c r="AD477" s="994">
        <f t="shared" si="156"/>
        <v>4094</v>
      </c>
      <c r="AE477" s="995">
        <f t="shared" si="157"/>
        <v>27.983595352016401</v>
      </c>
      <c r="AF477" s="996">
        <v>82</v>
      </c>
      <c r="AG477" s="997">
        <v>62</v>
      </c>
      <c r="AH477" s="997">
        <v>5</v>
      </c>
      <c r="AI477" s="998">
        <f t="shared" si="158"/>
        <v>149</v>
      </c>
      <c r="AJ477" s="993">
        <f t="shared" si="159"/>
        <v>1.0184552289815447</v>
      </c>
    </row>
    <row r="478" spans="1:36" ht="16.5" customHeight="1">
      <c r="A478" s="999">
        <f>'09월 조업일지'!A476</f>
        <v>46283</v>
      </c>
      <c r="B478" s="1099">
        <f>'09월 조업일지'!B476</f>
        <v>46283</v>
      </c>
      <c r="C478" s="1000" t="str">
        <f>'09월 화학성분'!D476</f>
        <v>A</v>
      </c>
      <c r="D478" s="1232" t="str">
        <f>'09월 화학성분'!E476</f>
        <v>A</v>
      </c>
      <c r="E478" s="1000">
        <f>'09월 화학성분'!C476</f>
        <v>85678</v>
      </c>
      <c r="F478" s="1001" t="str">
        <f t="shared" si="145"/>
        <v>DKOIL</v>
      </c>
      <c r="G478" s="1172">
        <v>19.3</v>
      </c>
      <c r="H478" s="985">
        <v>23500</v>
      </c>
      <c r="I478" s="1173">
        <v>16.8</v>
      </c>
      <c r="J478" s="985">
        <v>20800</v>
      </c>
      <c r="K478" s="1173">
        <v>9.1</v>
      </c>
      <c r="L478" s="985">
        <v>11500</v>
      </c>
      <c r="M478" s="1174">
        <f t="shared" si="146"/>
        <v>45.2</v>
      </c>
      <c r="N478" s="984">
        <f t="shared" si="147"/>
        <v>55800</v>
      </c>
      <c r="O478" s="986">
        <f t="shared" si="148"/>
        <v>166.54854712969527</v>
      </c>
      <c r="P478" s="987">
        <f t="shared" si="149"/>
        <v>147.41318214032603</v>
      </c>
      <c r="Q478" s="987">
        <f t="shared" si="150"/>
        <v>81.502480510276399</v>
      </c>
      <c r="R478" s="988">
        <f t="shared" si="151"/>
        <v>395.46420978029767</v>
      </c>
      <c r="S478" s="989">
        <v>141.1</v>
      </c>
      <c r="T478" s="990">
        <v>0</v>
      </c>
      <c r="U478" s="991">
        <v>199</v>
      </c>
      <c r="V478" s="991">
        <v>104</v>
      </c>
      <c r="W478" s="992">
        <f t="shared" si="152"/>
        <v>303</v>
      </c>
      <c r="X478" s="993">
        <f t="shared" si="153"/>
        <v>2.1474131821403262</v>
      </c>
      <c r="Y478" s="990">
        <v>1597</v>
      </c>
      <c r="Z478" s="991">
        <v>1396</v>
      </c>
      <c r="AA478" s="991">
        <v>833</v>
      </c>
      <c r="AB478" s="992">
        <f t="shared" si="154"/>
        <v>3826</v>
      </c>
      <c r="AC478" s="993">
        <f t="shared" si="155"/>
        <v>27.115520907158047</v>
      </c>
      <c r="AD478" s="994">
        <f t="shared" si="156"/>
        <v>4129</v>
      </c>
      <c r="AE478" s="995">
        <f t="shared" si="157"/>
        <v>29.262934089298373</v>
      </c>
      <c r="AF478" s="996">
        <v>82</v>
      </c>
      <c r="AG478" s="997">
        <v>64</v>
      </c>
      <c r="AH478" s="997">
        <v>6</v>
      </c>
      <c r="AI478" s="998">
        <f t="shared" si="158"/>
        <v>152</v>
      </c>
      <c r="AJ478" s="993">
        <f t="shared" si="159"/>
        <v>1.0772501771793055</v>
      </c>
    </row>
    <row r="479" spans="1:36" ht="16.5" customHeight="1">
      <c r="A479" s="999">
        <f>'09월 조업일지'!A477</f>
        <v>46283</v>
      </c>
      <c r="B479" s="1099">
        <f>'09월 조업일지'!B477</f>
        <v>46283</v>
      </c>
      <c r="C479" s="1000" t="str">
        <f>'09월 화학성분'!D477</f>
        <v>A</v>
      </c>
      <c r="D479" s="1232" t="str">
        <f>'09월 화학성분'!E477</f>
        <v>A</v>
      </c>
      <c r="E479" s="1000">
        <f>'09월 화학성분'!C477</f>
        <v>85679</v>
      </c>
      <c r="F479" s="1001" t="str">
        <f t="shared" si="145"/>
        <v>DKOIL</v>
      </c>
      <c r="G479" s="1172">
        <v>19.600000000000001</v>
      </c>
      <c r="H479" s="985">
        <v>23500</v>
      </c>
      <c r="I479" s="1173">
        <v>16.8</v>
      </c>
      <c r="J479" s="985">
        <v>20800</v>
      </c>
      <c r="K479" s="1173">
        <v>10.9</v>
      </c>
      <c r="L479" s="985">
        <v>13700</v>
      </c>
      <c r="M479" s="1174">
        <f t="shared" si="146"/>
        <v>47.300000000000004</v>
      </c>
      <c r="N479" s="984">
        <f t="shared" si="147"/>
        <v>58000</v>
      </c>
      <c r="O479" s="986">
        <f t="shared" si="148"/>
        <v>160.30013642564802</v>
      </c>
      <c r="P479" s="987">
        <f t="shared" si="149"/>
        <v>141.88267394270125</v>
      </c>
      <c r="Q479" s="987">
        <f t="shared" si="150"/>
        <v>93.45156889495226</v>
      </c>
      <c r="R479" s="988">
        <f t="shared" si="151"/>
        <v>395.63437926330153</v>
      </c>
      <c r="S479" s="989">
        <v>146.6</v>
      </c>
      <c r="T479" s="990">
        <v>0</v>
      </c>
      <c r="U479" s="991">
        <v>131</v>
      </c>
      <c r="V479" s="991">
        <v>233</v>
      </c>
      <c r="W479" s="992">
        <f t="shared" si="152"/>
        <v>364</v>
      </c>
      <c r="X479" s="993">
        <f t="shared" si="153"/>
        <v>2.4829467939972716</v>
      </c>
      <c r="Y479" s="990">
        <v>1610</v>
      </c>
      <c r="Z479" s="991">
        <v>1381</v>
      </c>
      <c r="AA479" s="991">
        <v>877</v>
      </c>
      <c r="AB479" s="992">
        <f t="shared" si="154"/>
        <v>3868</v>
      </c>
      <c r="AC479" s="993">
        <f t="shared" si="155"/>
        <v>26.384720327421558</v>
      </c>
      <c r="AD479" s="994">
        <f t="shared" si="156"/>
        <v>4232</v>
      </c>
      <c r="AE479" s="995">
        <f t="shared" si="157"/>
        <v>28.86766712141883</v>
      </c>
      <c r="AF479" s="996">
        <v>82</v>
      </c>
      <c r="AG479" s="997">
        <v>65</v>
      </c>
      <c r="AH479" s="997">
        <v>7</v>
      </c>
      <c r="AI479" s="998">
        <f t="shared" si="158"/>
        <v>154</v>
      </c>
      <c r="AJ479" s="993">
        <f t="shared" si="159"/>
        <v>1.0504774897680764</v>
      </c>
    </row>
    <row r="480" spans="1:36" ht="16.5" customHeight="1">
      <c r="A480" s="999">
        <f>'09월 조업일지'!A478</f>
        <v>46283</v>
      </c>
      <c r="B480" s="1099">
        <f>'09월 조업일지'!B478</f>
        <v>46283</v>
      </c>
      <c r="C480" s="1000" t="str">
        <f>'09월 화학성분'!D478</f>
        <v>A</v>
      </c>
      <c r="D480" s="1232" t="str">
        <f>'09월 화학성분'!E478</f>
        <v>A</v>
      </c>
      <c r="E480" s="1000">
        <f>'09월 화학성분'!C478</f>
        <v>85680</v>
      </c>
      <c r="F480" s="1001" t="str">
        <f t="shared" si="145"/>
        <v>DKOIL</v>
      </c>
      <c r="G480" s="1172">
        <v>19</v>
      </c>
      <c r="H480" s="985">
        <v>23100</v>
      </c>
      <c r="I480" s="1173">
        <v>16.3</v>
      </c>
      <c r="J480" s="985">
        <v>20400</v>
      </c>
      <c r="K480" s="1173">
        <v>9.1</v>
      </c>
      <c r="L480" s="985">
        <v>11600</v>
      </c>
      <c r="M480" s="1174">
        <f t="shared" si="146"/>
        <v>44.4</v>
      </c>
      <c r="N480" s="984">
        <f t="shared" si="147"/>
        <v>55100</v>
      </c>
      <c r="O480" s="986">
        <f t="shared" si="148"/>
        <v>158.21917808219177</v>
      </c>
      <c r="P480" s="987">
        <f t="shared" si="149"/>
        <v>139.72602739726028</v>
      </c>
      <c r="Q480" s="987">
        <f t="shared" si="150"/>
        <v>79.452054794520549</v>
      </c>
      <c r="R480" s="988">
        <f t="shared" si="151"/>
        <v>377.39726027397262</v>
      </c>
      <c r="S480" s="989">
        <v>146</v>
      </c>
      <c r="T480" s="990">
        <v>0</v>
      </c>
      <c r="U480" s="991">
        <v>95</v>
      </c>
      <c r="V480" s="991">
        <v>278</v>
      </c>
      <c r="W480" s="992">
        <f t="shared" si="152"/>
        <v>373</v>
      </c>
      <c r="X480" s="993">
        <f t="shared" si="153"/>
        <v>2.5547945205479454</v>
      </c>
      <c r="Y480" s="990">
        <v>1544</v>
      </c>
      <c r="Z480" s="991">
        <v>1348</v>
      </c>
      <c r="AA480" s="991">
        <v>787</v>
      </c>
      <c r="AB480" s="992">
        <f t="shared" si="154"/>
        <v>3679</v>
      </c>
      <c r="AC480" s="993">
        <f t="shared" si="155"/>
        <v>25.198630136986303</v>
      </c>
      <c r="AD480" s="994">
        <f t="shared" si="156"/>
        <v>4052</v>
      </c>
      <c r="AE480" s="995">
        <f t="shared" si="157"/>
        <v>27.753424657534246</v>
      </c>
      <c r="AF480" s="996">
        <v>82</v>
      </c>
      <c r="AG480" s="997">
        <v>62</v>
      </c>
      <c r="AH480" s="997">
        <v>6</v>
      </c>
      <c r="AI480" s="998">
        <f t="shared" si="158"/>
        <v>150</v>
      </c>
      <c r="AJ480" s="993">
        <f t="shared" si="159"/>
        <v>1.0273972602739727</v>
      </c>
    </row>
    <row r="481" spans="1:36" ht="16.5" customHeight="1">
      <c r="A481" s="999">
        <f>'09월 조업일지'!A479</f>
        <v>46283</v>
      </c>
      <c r="B481" s="1099">
        <f>'09월 조업일지'!B479</f>
        <v>46283</v>
      </c>
      <c r="C481" s="1000" t="str">
        <f>'09월 화학성분'!D479</f>
        <v>B</v>
      </c>
      <c r="D481" s="1232" t="str">
        <f>'09월 화학성분'!E479</f>
        <v>A</v>
      </c>
      <c r="E481" s="1000">
        <f>'09월 화학성분'!C479</f>
        <v>85681</v>
      </c>
      <c r="F481" s="1001" t="str">
        <f t="shared" si="145"/>
        <v>DKOIL</v>
      </c>
      <c r="G481" s="1172">
        <v>18.899999999999999</v>
      </c>
      <c r="H481" s="985">
        <v>23300</v>
      </c>
      <c r="I481" s="1173">
        <v>16.7</v>
      </c>
      <c r="J481" s="985">
        <v>20700</v>
      </c>
      <c r="K481" s="1173">
        <v>13.7</v>
      </c>
      <c r="L481" s="985">
        <v>17200</v>
      </c>
      <c r="M481" s="1174">
        <f t="shared" si="146"/>
        <v>49.3</v>
      </c>
      <c r="N481" s="984">
        <f t="shared" si="147"/>
        <v>61200</v>
      </c>
      <c r="O481" s="986">
        <f t="shared" si="148"/>
        <v>158.71934604904632</v>
      </c>
      <c r="P481" s="987">
        <f t="shared" si="149"/>
        <v>141.00817438692096</v>
      </c>
      <c r="Q481" s="987">
        <f t="shared" si="150"/>
        <v>117.16621253405994</v>
      </c>
      <c r="R481" s="988">
        <f t="shared" si="151"/>
        <v>416.8937329700272</v>
      </c>
      <c r="S481" s="989">
        <v>146.80000000000001</v>
      </c>
      <c r="T481" s="990">
        <v>0</v>
      </c>
      <c r="U481" s="991">
        <v>15</v>
      </c>
      <c r="V481" s="991">
        <v>299</v>
      </c>
      <c r="W481" s="992">
        <f t="shared" si="152"/>
        <v>314</v>
      </c>
      <c r="X481" s="993">
        <f t="shared" si="153"/>
        <v>2.1389645776566755</v>
      </c>
      <c r="Y481" s="990">
        <v>1547</v>
      </c>
      <c r="Z481" s="991">
        <v>1387</v>
      </c>
      <c r="AA481" s="991">
        <v>1110</v>
      </c>
      <c r="AB481" s="992">
        <f t="shared" si="154"/>
        <v>4044</v>
      </c>
      <c r="AC481" s="993">
        <f t="shared" si="155"/>
        <v>27.547683923705719</v>
      </c>
      <c r="AD481" s="994">
        <f t="shared" si="156"/>
        <v>4358</v>
      </c>
      <c r="AE481" s="995">
        <f t="shared" si="157"/>
        <v>29.686648501362395</v>
      </c>
      <c r="AF481" s="996">
        <v>80</v>
      </c>
      <c r="AG481" s="997">
        <v>64</v>
      </c>
      <c r="AH481" s="997">
        <v>10</v>
      </c>
      <c r="AI481" s="998">
        <f t="shared" si="158"/>
        <v>154</v>
      </c>
      <c r="AJ481" s="993">
        <f t="shared" si="159"/>
        <v>1.0490463215258854</v>
      </c>
    </row>
    <row r="482" spans="1:36" ht="16.5" customHeight="1">
      <c r="A482" s="999">
        <f>'09월 조업일지'!A480</f>
        <v>46283</v>
      </c>
      <c r="B482" s="1099">
        <f>'09월 조업일지'!B480</f>
        <v>46283</v>
      </c>
      <c r="C482" s="1000" t="str">
        <f>'09월 화학성분'!D480</f>
        <v>B</v>
      </c>
      <c r="D482" s="1232" t="str">
        <f>'09월 화학성분'!E480</f>
        <v>A</v>
      </c>
      <c r="E482" s="1000">
        <f>'09월 화학성분'!C480</f>
        <v>85682</v>
      </c>
      <c r="F482" s="1001" t="str">
        <f t="shared" si="145"/>
        <v>DKOIL</v>
      </c>
      <c r="G482" s="1172">
        <v>19.7</v>
      </c>
      <c r="H482" s="985">
        <v>23600</v>
      </c>
      <c r="I482" s="1173">
        <v>16.8</v>
      </c>
      <c r="J482" s="985">
        <v>20900</v>
      </c>
      <c r="K482" s="1173">
        <v>11.5</v>
      </c>
      <c r="L482" s="985">
        <v>14600</v>
      </c>
      <c r="M482" s="1174">
        <f t="shared" si="146"/>
        <v>48</v>
      </c>
      <c r="N482" s="984">
        <f t="shared" si="147"/>
        <v>59100</v>
      </c>
      <c r="O482" s="986">
        <f t="shared" si="148"/>
        <v>167.25726435152376</v>
      </c>
      <c r="P482" s="987">
        <f t="shared" si="149"/>
        <v>148.12189936215449</v>
      </c>
      <c r="Q482" s="987">
        <f t="shared" si="150"/>
        <v>103.47271438695961</v>
      </c>
      <c r="R482" s="988">
        <f t="shared" si="151"/>
        <v>418.85187810063792</v>
      </c>
      <c r="S482" s="989">
        <v>141.1</v>
      </c>
      <c r="T482" s="990">
        <v>0</v>
      </c>
      <c r="U482" s="991">
        <v>82</v>
      </c>
      <c r="V482" s="991">
        <v>232</v>
      </c>
      <c r="W482" s="992">
        <f t="shared" si="152"/>
        <v>314</v>
      </c>
      <c r="X482" s="993">
        <f t="shared" si="153"/>
        <v>2.22537207654146</v>
      </c>
      <c r="Y482" s="990">
        <v>1622</v>
      </c>
      <c r="Z482" s="991">
        <v>1392</v>
      </c>
      <c r="AA482" s="991">
        <v>995</v>
      </c>
      <c r="AB482" s="992">
        <f t="shared" si="154"/>
        <v>4009</v>
      </c>
      <c r="AC482" s="993">
        <f t="shared" si="155"/>
        <v>28.412473423104181</v>
      </c>
      <c r="AD482" s="994">
        <f t="shared" si="156"/>
        <v>4323</v>
      </c>
      <c r="AE482" s="995">
        <f t="shared" si="157"/>
        <v>30.637845499645643</v>
      </c>
      <c r="AF482" s="996">
        <v>82</v>
      </c>
      <c r="AG482" s="997">
        <v>65</v>
      </c>
      <c r="AH482" s="997">
        <v>9</v>
      </c>
      <c r="AI482" s="998">
        <f t="shared" si="158"/>
        <v>156</v>
      </c>
      <c r="AJ482" s="993">
        <f t="shared" si="159"/>
        <v>1.1055988660524452</v>
      </c>
    </row>
    <row r="483" spans="1:36" ht="16.5" customHeight="1">
      <c r="A483" s="999">
        <f>'09월 조업일지'!A481</f>
        <v>46283</v>
      </c>
      <c r="B483" s="1099">
        <f>'09월 조업일지'!B481</f>
        <v>46283</v>
      </c>
      <c r="C483" s="1000" t="str">
        <f>'09월 화학성분'!D481</f>
        <v>B</v>
      </c>
      <c r="D483" s="1232" t="str">
        <f>'09월 화학성분'!E481</f>
        <v>A</v>
      </c>
      <c r="E483" s="1000">
        <f>'09월 화학성분'!C481</f>
        <v>85683</v>
      </c>
      <c r="F483" s="1001" t="str">
        <f t="shared" si="145"/>
        <v>DKOIL</v>
      </c>
      <c r="G483" s="1172">
        <v>21</v>
      </c>
      <c r="H483" s="985">
        <v>25000</v>
      </c>
      <c r="I483" s="1173">
        <v>16.600000000000001</v>
      </c>
      <c r="J483" s="985">
        <v>20800</v>
      </c>
      <c r="K483" s="1173">
        <v>9.8000000000000007</v>
      </c>
      <c r="L483" s="985">
        <v>12300</v>
      </c>
      <c r="M483" s="1174">
        <f t="shared" si="146"/>
        <v>47.400000000000006</v>
      </c>
      <c r="N483" s="984">
        <f t="shared" si="147"/>
        <v>58100</v>
      </c>
      <c r="O483" s="986">
        <f t="shared" si="148"/>
        <v>170.88174982911823</v>
      </c>
      <c r="P483" s="987">
        <f t="shared" si="149"/>
        <v>142.17361585782638</v>
      </c>
      <c r="Q483" s="987">
        <f t="shared" si="150"/>
        <v>84.073820915926177</v>
      </c>
      <c r="R483" s="988">
        <f t="shared" si="151"/>
        <v>397.12918660287073</v>
      </c>
      <c r="S483" s="989">
        <v>146.30000000000001</v>
      </c>
      <c r="T483" s="990">
        <v>0</v>
      </c>
      <c r="U483" s="991">
        <v>98</v>
      </c>
      <c r="V483" s="991">
        <v>350</v>
      </c>
      <c r="W483" s="992">
        <f t="shared" si="152"/>
        <v>448</v>
      </c>
      <c r="X483" s="993">
        <f t="shared" si="153"/>
        <v>3.0622009569377986</v>
      </c>
      <c r="Y483" s="990">
        <v>1734</v>
      </c>
      <c r="Z483" s="991">
        <v>1387</v>
      </c>
      <c r="AA483" s="991">
        <v>686</v>
      </c>
      <c r="AB483" s="992">
        <f t="shared" si="154"/>
        <v>3807</v>
      </c>
      <c r="AC483" s="993">
        <f t="shared" si="155"/>
        <v>26.021872863978125</v>
      </c>
      <c r="AD483" s="994">
        <f t="shared" si="156"/>
        <v>4255</v>
      </c>
      <c r="AE483" s="995">
        <f t="shared" si="157"/>
        <v>29.084073820915926</v>
      </c>
      <c r="AF483" s="996">
        <v>85</v>
      </c>
      <c r="AG483" s="997">
        <v>62</v>
      </c>
      <c r="AH483" s="997">
        <v>6</v>
      </c>
      <c r="AI483" s="998">
        <f t="shared" si="158"/>
        <v>153</v>
      </c>
      <c r="AJ483" s="993">
        <f t="shared" si="159"/>
        <v>1.0457963089542035</v>
      </c>
    </row>
    <row r="484" spans="1:36" ht="16.5" customHeight="1">
      <c r="A484" s="999">
        <f>'09월 조업일지'!A482</f>
        <v>46283</v>
      </c>
      <c r="B484" s="1099">
        <f>'09월 조업일지'!B482</f>
        <v>46283</v>
      </c>
      <c r="C484" s="1000" t="str">
        <f>'09월 화학성분'!D482</f>
        <v>B</v>
      </c>
      <c r="D484" s="1000" t="str">
        <f>'09월 화학성분'!E482</f>
        <v>A</v>
      </c>
      <c r="E484" s="1000">
        <f>'09월 화학성분'!C482</f>
        <v>85684</v>
      </c>
      <c r="F484" s="1001" t="str">
        <f t="shared" si="145"/>
        <v>DKOIL</v>
      </c>
      <c r="G484" s="1172">
        <v>21.5</v>
      </c>
      <c r="H484" s="985">
        <v>25800</v>
      </c>
      <c r="I484" s="1173">
        <v>16.3</v>
      </c>
      <c r="J484" s="985">
        <v>20300</v>
      </c>
      <c r="K484" s="1173">
        <v>8.8000000000000007</v>
      </c>
      <c r="L484" s="985">
        <v>11200</v>
      </c>
      <c r="M484" s="1174">
        <f t="shared" si="146"/>
        <v>46.599999999999994</v>
      </c>
      <c r="N484" s="984">
        <f t="shared" si="147"/>
        <v>57300</v>
      </c>
      <c r="O484" s="986">
        <f t="shared" si="148"/>
        <v>174.79674796747969</v>
      </c>
      <c r="P484" s="987">
        <f t="shared" si="149"/>
        <v>137.5338753387534</v>
      </c>
      <c r="Q484" s="987">
        <f t="shared" si="150"/>
        <v>75.88075880758808</v>
      </c>
      <c r="R484" s="988">
        <f t="shared" si="151"/>
        <v>388.21138211382117</v>
      </c>
      <c r="S484" s="989">
        <v>147.6</v>
      </c>
      <c r="T484" s="990">
        <v>0</v>
      </c>
      <c r="U484" s="991">
        <v>149</v>
      </c>
      <c r="V484" s="991">
        <v>166</v>
      </c>
      <c r="W484" s="992">
        <f t="shared" si="152"/>
        <v>315</v>
      </c>
      <c r="X484" s="993">
        <f t="shared" si="153"/>
        <v>2.1341463414634148</v>
      </c>
      <c r="Y484" s="990">
        <v>1796</v>
      </c>
      <c r="Z484" s="991">
        <v>1354</v>
      </c>
      <c r="AA484" s="991">
        <v>738</v>
      </c>
      <c r="AB484" s="992">
        <f t="shared" si="154"/>
        <v>3888</v>
      </c>
      <c r="AC484" s="993">
        <f t="shared" si="155"/>
        <v>26.341463414634148</v>
      </c>
      <c r="AD484" s="994">
        <f t="shared" si="156"/>
        <v>4203</v>
      </c>
      <c r="AE484" s="995">
        <f t="shared" si="157"/>
        <v>28.475609756097562</v>
      </c>
      <c r="AF484" s="996">
        <v>85</v>
      </c>
      <c r="AG484" s="997">
        <v>62</v>
      </c>
      <c r="AH484" s="997">
        <v>6</v>
      </c>
      <c r="AI484" s="998">
        <f t="shared" si="158"/>
        <v>153</v>
      </c>
      <c r="AJ484" s="993">
        <f t="shared" si="159"/>
        <v>1.0365853658536586</v>
      </c>
    </row>
    <row r="485" spans="1:36" ht="16.5" customHeight="1">
      <c r="A485" s="999">
        <f>'09월 조업일지'!A483</f>
        <v>46283</v>
      </c>
      <c r="B485" s="1099">
        <f>'09월 조업일지'!B483</f>
        <v>46283</v>
      </c>
      <c r="C485" s="1000" t="str">
        <f>'09월 화학성분'!D483</f>
        <v>B</v>
      </c>
      <c r="D485" s="1000" t="str">
        <f>'09월 화학성분'!E483</f>
        <v>A</v>
      </c>
      <c r="E485" s="1000">
        <f>'09월 화학성분'!C483</f>
        <v>85685</v>
      </c>
      <c r="F485" s="1001" t="str">
        <f t="shared" si="145"/>
        <v>DKOIL</v>
      </c>
      <c r="G485" s="1172">
        <v>18.600000000000001</v>
      </c>
      <c r="H485" s="985">
        <v>23100</v>
      </c>
      <c r="I485" s="1173">
        <v>16.8</v>
      </c>
      <c r="J485" s="985">
        <v>20700</v>
      </c>
      <c r="K485" s="1173">
        <v>10.6</v>
      </c>
      <c r="L485" s="985">
        <v>13500</v>
      </c>
      <c r="M485" s="1174">
        <f t="shared" si="146"/>
        <v>46.000000000000007</v>
      </c>
      <c r="N485" s="984">
        <f t="shared" si="147"/>
        <v>57300</v>
      </c>
      <c r="O485" s="986">
        <f t="shared" si="148"/>
        <v>158.54495538778312</v>
      </c>
      <c r="P485" s="987">
        <f t="shared" si="149"/>
        <v>142.07275223061086</v>
      </c>
      <c r="Q485" s="987">
        <f t="shared" si="150"/>
        <v>92.656142759094038</v>
      </c>
      <c r="R485" s="988">
        <f t="shared" si="151"/>
        <v>393.27385037748803</v>
      </c>
      <c r="S485" s="989">
        <v>145.69999999999999</v>
      </c>
      <c r="T485" s="990">
        <v>0</v>
      </c>
      <c r="U485" s="991">
        <v>6</v>
      </c>
      <c r="V485" s="991">
        <v>307</v>
      </c>
      <c r="W485" s="992">
        <f t="shared" si="152"/>
        <v>313</v>
      </c>
      <c r="X485" s="993">
        <f t="shared" si="153"/>
        <v>2.1482498284145506</v>
      </c>
      <c r="Y485" s="990">
        <v>1516</v>
      </c>
      <c r="Z485" s="991">
        <v>1375</v>
      </c>
      <c r="AA485" s="991">
        <v>858</v>
      </c>
      <c r="AB485" s="992">
        <f t="shared" si="154"/>
        <v>3749</v>
      </c>
      <c r="AC485" s="993">
        <f t="shared" si="155"/>
        <v>25.73095401509952</v>
      </c>
      <c r="AD485" s="994">
        <f t="shared" si="156"/>
        <v>4062</v>
      </c>
      <c r="AE485" s="995">
        <f t="shared" si="157"/>
        <v>27.879203843514073</v>
      </c>
      <c r="AF485" s="996">
        <v>79</v>
      </c>
      <c r="AG485" s="997">
        <v>63</v>
      </c>
      <c r="AH485" s="997">
        <v>7</v>
      </c>
      <c r="AI485" s="998">
        <f t="shared" si="158"/>
        <v>149</v>
      </c>
      <c r="AJ485" s="993">
        <f t="shared" si="159"/>
        <v>1.0226492793411119</v>
      </c>
    </row>
    <row r="486" spans="1:36" ht="16.5" customHeight="1">
      <c r="A486" s="999">
        <f>'09월 조업일지'!A484</f>
        <v>46283</v>
      </c>
      <c r="B486" s="1099">
        <f>'09월 조업일지'!B484</f>
        <v>46283</v>
      </c>
      <c r="C486" s="1000" t="str">
        <f>'09월 화학성분'!D484</f>
        <v>B</v>
      </c>
      <c r="D486" s="1000" t="str">
        <f>'09월 화학성분'!E484</f>
        <v>A</v>
      </c>
      <c r="E486" s="1000">
        <f>'09월 화학성분'!C484</f>
        <v>85686</v>
      </c>
      <c r="F486" s="1001" t="str">
        <f t="shared" si="145"/>
        <v>DKOIL</v>
      </c>
      <c r="G486" s="1172">
        <v>20</v>
      </c>
      <c r="H486" s="985">
        <v>23100</v>
      </c>
      <c r="I486" s="1173">
        <v>16.8</v>
      </c>
      <c r="J486" s="985">
        <v>20500</v>
      </c>
      <c r="K486" s="1173">
        <v>10.6</v>
      </c>
      <c r="L486" s="985">
        <v>13400</v>
      </c>
      <c r="M486" s="1174">
        <f t="shared" si="146"/>
        <v>47.4</v>
      </c>
      <c r="N486" s="984">
        <f t="shared" si="147"/>
        <v>57000</v>
      </c>
      <c r="O486" s="986">
        <f t="shared" si="148"/>
        <v>153.59042553191489</v>
      </c>
      <c r="P486" s="987">
        <f t="shared" si="149"/>
        <v>136.30319148936169</v>
      </c>
      <c r="Q486" s="987">
        <f t="shared" si="150"/>
        <v>89.095744680851055</v>
      </c>
      <c r="R486" s="988">
        <f t="shared" si="151"/>
        <v>378.98936170212761</v>
      </c>
      <c r="S486" s="989">
        <v>150.4</v>
      </c>
      <c r="T486" s="990">
        <v>0</v>
      </c>
      <c r="U486" s="991">
        <v>0</v>
      </c>
      <c r="V486" s="991">
        <v>328</v>
      </c>
      <c r="W486" s="992">
        <f t="shared" si="152"/>
        <v>328</v>
      </c>
      <c r="X486" s="993">
        <f t="shared" si="153"/>
        <v>2.1808510638297873</v>
      </c>
      <c r="Y486" s="990">
        <v>1621</v>
      </c>
      <c r="Z486" s="991">
        <v>1386</v>
      </c>
      <c r="AA486" s="991">
        <v>1058</v>
      </c>
      <c r="AB486" s="992">
        <f t="shared" si="154"/>
        <v>4065</v>
      </c>
      <c r="AC486" s="993">
        <f t="shared" si="155"/>
        <v>27.027925531914892</v>
      </c>
      <c r="AD486" s="994">
        <f t="shared" si="156"/>
        <v>4393</v>
      </c>
      <c r="AE486" s="995">
        <f t="shared" si="157"/>
        <v>29.208776595744681</v>
      </c>
      <c r="AF486" s="996">
        <v>82</v>
      </c>
      <c r="AG486" s="997">
        <v>65</v>
      </c>
      <c r="AH486" s="997">
        <v>9</v>
      </c>
      <c r="AI486" s="998">
        <f t="shared" si="158"/>
        <v>156</v>
      </c>
      <c r="AJ486" s="993">
        <f t="shared" si="159"/>
        <v>1.0372340425531914</v>
      </c>
    </row>
    <row r="487" spans="1:36" ht="16.5" customHeight="1">
      <c r="A487" s="999">
        <f>'09월 조업일지'!A485</f>
        <v>46283</v>
      </c>
      <c r="B487" s="1099">
        <f>'09월 조업일지'!B485</f>
        <v>46283</v>
      </c>
      <c r="C487" s="1000" t="str">
        <f>'09월 화학성분'!D485</f>
        <v>B</v>
      </c>
      <c r="D487" s="1000" t="str">
        <f>'09월 화학성분'!E485</f>
        <v>A</v>
      </c>
      <c r="E487" s="1000">
        <f>'09월 화학성분'!C485</f>
        <v>85687</v>
      </c>
      <c r="F487" s="1001" t="str">
        <f t="shared" si="145"/>
        <v>DKOIL</v>
      </c>
      <c r="G487" s="1172">
        <v>21.1</v>
      </c>
      <c r="H487" s="985">
        <v>24900</v>
      </c>
      <c r="I487" s="1173">
        <v>16.600000000000001</v>
      </c>
      <c r="J487" s="985">
        <v>20400</v>
      </c>
      <c r="K487" s="1173">
        <v>11</v>
      </c>
      <c r="L487" s="985">
        <v>13700</v>
      </c>
      <c r="M487" s="1174">
        <f t="shared" si="146"/>
        <v>48.7</v>
      </c>
      <c r="N487" s="984">
        <f t="shared" si="147"/>
        <v>59000</v>
      </c>
      <c r="O487" s="986">
        <f t="shared" si="148"/>
        <v>174.73684210526315</v>
      </c>
      <c r="P487" s="987">
        <f t="shared" si="149"/>
        <v>143.15789473684211</v>
      </c>
      <c r="Q487" s="987">
        <f t="shared" si="150"/>
        <v>96.140350877192986</v>
      </c>
      <c r="R487" s="988">
        <f t="shared" si="151"/>
        <v>414.03508771929825</v>
      </c>
      <c r="S487" s="989">
        <v>142.5</v>
      </c>
      <c r="T487" s="990">
        <v>0</v>
      </c>
      <c r="U487" s="991">
        <v>92</v>
      </c>
      <c r="V487" s="991">
        <v>236</v>
      </c>
      <c r="W487" s="992">
        <f t="shared" si="152"/>
        <v>328</v>
      </c>
      <c r="X487" s="993">
        <f t="shared" si="153"/>
        <v>2.3017543859649123</v>
      </c>
      <c r="Y487" s="990">
        <v>1781</v>
      </c>
      <c r="Z487" s="991">
        <v>1365</v>
      </c>
      <c r="AA487" s="991">
        <v>1145</v>
      </c>
      <c r="AB487" s="992">
        <f t="shared" si="154"/>
        <v>4291</v>
      </c>
      <c r="AC487" s="993">
        <f t="shared" si="155"/>
        <v>30.112280701754386</v>
      </c>
      <c r="AD487" s="994">
        <f t="shared" si="156"/>
        <v>4619</v>
      </c>
      <c r="AE487" s="995">
        <f t="shared" si="157"/>
        <v>32.414035087719299</v>
      </c>
      <c r="AF487" s="996">
        <v>86</v>
      </c>
      <c r="AG487" s="997">
        <v>63</v>
      </c>
      <c r="AH487" s="997">
        <v>10</v>
      </c>
      <c r="AI487" s="998">
        <f t="shared" si="158"/>
        <v>159</v>
      </c>
      <c r="AJ487" s="993">
        <f t="shared" si="159"/>
        <v>1.1157894736842104</v>
      </c>
    </row>
    <row r="488" spans="1:36" ht="16.5" customHeight="1">
      <c r="A488" s="999">
        <f>'09월 조업일지'!A486</f>
        <v>46283</v>
      </c>
      <c r="B488" s="1099">
        <f>'09월 조업일지'!B486</f>
        <v>46283</v>
      </c>
      <c r="C488" s="1000" t="str">
        <f>'09월 화학성분'!D486</f>
        <v>C</v>
      </c>
      <c r="D488" s="1000" t="str">
        <f>'09월 화학성분'!E486</f>
        <v>A</v>
      </c>
      <c r="E488" s="1000">
        <f>'09월 화학성분'!C486</f>
        <v>85688</v>
      </c>
      <c r="F488" s="1001" t="str">
        <f t="shared" si="145"/>
        <v>DKOIL</v>
      </c>
      <c r="G488" s="1172">
        <v>19.100000000000001</v>
      </c>
      <c r="H488" s="985">
        <v>23300</v>
      </c>
      <c r="I488" s="1173">
        <v>17.7</v>
      </c>
      <c r="J488" s="985">
        <v>20700</v>
      </c>
      <c r="K488" s="1173">
        <v>10.4</v>
      </c>
      <c r="L488" s="985">
        <v>12400</v>
      </c>
      <c r="M488" s="1174">
        <f t="shared" si="146"/>
        <v>47.199999999999996</v>
      </c>
      <c r="N488" s="984">
        <f t="shared" si="147"/>
        <v>56400</v>
      </c>
      <c r="O488" s="986">
        <f t="shared" si="148"/>
        <v>162.36933797909407</v>
      </c>
      <c r="P488" s="987">
        <f t="shared" si="149"/>
        <v>144.25087108013938</v>
      </c>
      <c r="Q488" s="987">
        <f t="shared" si="150"/>
        <v>86.411149825783966</v>
      </c>
      <c r="R488" s="988">
        <f t="shared" si="151"/>
        <v>393.03135888501743</v>
      </c>
      <c r="S488" s="989">
        <v>143.5</v>
      </c>
      <c r="T488" s="990">
        <v>0</v>
      </c>
      <c r="U488" s="991">
        <v>203</v>
      </c>
      <c r="V488" s="991">
        <v>334</v>
      </c>
      <c r="W488" s="992">
        <f t="shared" si="152"/>
        <v>537</v>
      </c>
      <c r="X488" s="993">
        <f t="shared" si="153"/>
        <v>3.7421602787456445</v>
      </c>
      <c r="Y488" s="990">
        <v>1583</v>
      </c>
      <c r="Z488" s="991">
        <v>1606</v>
      </c>
      <c r="AA488" s="991">
        <v>885</v>
      </c>
      <c r="AB488" s="992">
        <f t="shared" si="154"/>
        <v>4074</v>
      </c>
      <c r="AC488" s="993">
        <f t="shared" si="155"/>
        <v>28.390243902439025</v>
      </c>
      <c r="AD488" s="994">
        <f t="shared" si="156"/>
        <v>4611</v>
      </c>
      <c r="AE488" s="995">
        <f t="shared" si="157"/>
        <v>32.132404181184668</v>
      </c>
      <c r="AF488" s="996">
        <v>80</v>
      </c>
      <c r="AG488" s="997">
        <v>67</v>
      </c>
      <c r="AH488" s="997">
        <v>9</v>
      </c>
      <c r="AI488" s="998">
        <f t="shared" si="158"/>
        <v>156</v>
      </c>
      <c r="AJ488" s="993">
        <f t="shared" si="159"/>
        <v>1.0871080139372822</v>
      </c>
    </row>
    <row r="489" spans="1:36" ht="16.5" customHeight="1">
      <c r="A489" s="999">
        <f>'09월 조업일지'!A487</f>
        <v>46283</v>
      </c>
      <c r="B489" s="1099">
        <f>'09월 조업일지'!B487</f>
        <v>46283</v>
      </c>
      <c r="C489" s="1000" t="str">
        <f>'09월 화학성분'!D487</f>
        <v>C</v>
      </c>
      <c r="D489" s="1000" t="str">
        <f>'09월 화학성분'!E487</f>
        <v>B</v>
      </c>
      <c r="E489" s="1000">
        <f>'09월 화학성분'!C487</f>
        <v>85689</v>
      </c>
      <c r="F489" s="1001" t="str">
        <f t="shared" si="145"/>
        <v>DKOIL</v>
      </c>
      <c r="G489" s="1172">
        <v>27.9</v>
      </c>
      <c r="H489" s="985">
        <v>45200</v>
      </c>
      <c r="I489" s="1173">
        <v>17.3</v>
      </c>
      <c r="J489" s="985">
        <v>20600</v>
      </c>
      <c r="K489" s="1173">
        <v>7.9</v>
      </c>
      <c r="L489" s="985">
        <v>20600</v>
      </c>
      <c r="M489" s="1174">
        <f t="shared" si="146"/>
        <v>53.1</v>
      </c>
      <c r="N489" s="984">
        <f t="shared" si="147"/>
        <v>86400</v>
      </c>
      <c r="O489" s="986">
        <f t="shared" si="148"/>
        <v>349.84520123839013</v>
      </c>
      <c r="P489" s="987">
        <f t="shared" si="149"/>
        <v>159.44272445820434</v>
      </c>
      <c r="Q489" s="987">
        <f t="shared" si="150"/>
        <v>159.44272445820434</v>
      </c>
      <c r="R489" s="988">
        <f t="shared" si="151"/>
        <v>668.73065015479881</v>
      </c>
      <c r="S489" s="989">
        <v>129.19999999999999</v>
      </c>
      <c r="T489" s="990">
        <v>0</v>
      </c>
      <c r="U489" s="991">
        <v>278</v>
      </c>
      <c r="V489" s="991">
        <v>0</v>
      </c>
      <c r="W489" s="992">
        <f t="shared" si="152"/>
        <v>278</v>
      </c>
      <c r="X489" s="993">
        <f t="shared" si="153"/>
        <v>2.151702786377709</v>
      </c>
      <c r="Y489" s="990">
        <v>1439</v>
      </c>
      <c r="Z489" s="991">
        <v>1826</v>
      </c>
      <c r="AA489" s="991">
        <v>436</v>
      </c>
      <c r="AB489" s="992">
        <f t="shared" si="154"/>
        <v>3701</v>
      </c>
      <c r="AC489" s="993">
        <f t="shared" si="155"/>
        <v>28.645510835913313</v>
      </c>
      <c r="AD489" s="994">
        <f t="shared" si="156"/>
        <v>3979</v>
      </c>
      <c r="AE489" s="995">
        <f t="shared" si="157"/>
        <v>30.797213622291025</v>
      </c>
      <c r="AF489" s="996">
        <v>39</v>
      </c>
      <c r="AG489" s="997">
        <v>64</v>
      </c>
      <c r="AH489" s="997">
        <v>4</v>
      </c>
      <c r="AI489" s="998">
        <f t="shared" si="158"/>
        <v>107</v>
      </c>
      <c r="AJ489" s="993">
        <f t="shared" si="159"/>
        <v>0.82817337461300322</v>
      </c>
    </row>
    <row r="490" spans="1:36" ht="16.5" customHeight="1">
      <c r="A490" s="999">
        <f>'09월 조업일지'!A488</f>
        <v>46283</v>
      </c>
      <c r="B490" s="1099">
        <f>'09월 조업일지'!B488</f>
        <v>46283</v>
      </c>
      <c r="C490" s="1000" t="str">
        <f>'09월 화학성분'!D488</f>
        <v>C</v>
      </c>
      <c r="D490" s="1000" t="str">
        <f>'09월 화학성분'!E488</f>
        <v>A</v>
      </c>
      <c r="E490" s="1000">
        <f>'09월 화학성분'!C488</f>
        <v>85690</v>
      </c>
      <c r="F490" s="1001" t="str">
        <f t="shared" si="145"/>
        <v>DKOIL</v>
      </c>
      <c r="G490" s="1172">
        <v>19.399999999999999</v>
      </c>
      <c r="H490" s="985">
        <v>23700</v>
      </c>
      <c r="I490" s="1173">
        <v>16.8</v>
      </c>
      <c r="J490" s="985">
        <v>21000</v>
      </c>
      <c r="K490" s="1173">
        <v>9.9</v>
      </c>
      <c r="L490" s="985">
        <v>12600</v>
      </c>
      <c r="M490" s="1174">
        <f t="shared" si="146"/>
        <v>46.1</v>
      </c>
      <c r="N490" s="984">
        <f t="shared" si="147"/>
        <v>57300</v>
      </c>
      <c r="O490" s="986">
        <f t="shared" si="148"/>
        <v>168.56330014224753</v>
      </c>
      <c r="P490" s="987">
        <f t="shared" si="149"/>
        <v>149.35988620199146</v>
      </c>
      <c r="Q490" s="987">
        <f t="shared" si="150"/>
        <v>89.615931721194883</v>
      </c>
      <c r="R490" s="988">
        <f t="shared" si="151"/>
        <v>407.53911806543385</v>
      </c>
      <c r="S490" s="989">
        <v>140.6</v>
      </c>
      <c r="T490" s="990">
        <v>0</v>
      </c>
      <c r="U490" s="991">
        <v>123</v>
      </c>
      <c r="V490" s="991">
        <v>231</v>
      </c>
      <c r="W490" s="992">
        <f t="shared" si="152"/>
        <v>354</v>
      </c>
      <c r="X490" s="993">
        <f t="shared" si="153"/>
        <v>2.5177809388335706</v>
      </c>
      <c r="Y490" s="990">
        <v>1633</v>
      </c>
      <c r="Z490" s="991">
        <v>1418</v>
      </c>
      <c r="AA490" s="991">
        <v>770</v>
      </c>
      <c r="AB490" s="992">
        <f t="shared" si="154"/>
        <v>3821</v>
      </c>
      <c r="AC490" s="993">
        <f t="shared" si="155"/>
        <v>27.17638691322902</v>
      </c>
      <c r="AD490" s="994">
        <f t="shared" si="156"/>
        <v>4175</v>
      </c>
      <c r="AE490" s="995">
        <f t="shared" si="157"/>
        <v>29.694167852062591</v>
      </c>
      <c r="AF490" s="996">
        <v>83</v>
      </c>
      <c r="AG490" s="997">
        <v>62</v>
      </c>
      <c r="AH490" s="997">
        <v>7</v>
      </c>
      <c r="AI490" s="998">
        <f t="shared" si="158"/>
        <v>152</v>
      </c>
      <c r="AJ490" s="993">
        <f t="shared" si="159"/>
        <v>1.0810810810810811</v>
      </c>
    </row>
    <row r="491" spans="1:36" ht="16.5" customHeight="1">
      <c r="A491" s="999">
        <f>'09월 조업일지'!A489</f>
        <v>46283</v>
      </c>
      <c r="B491" s="1099">
        <f>'09월 조업일지'!B489</f>
        <v>46283</v>
      </c>
      <c r="C491" s="1000" t="str">
        <f>'09월 화학성분'!D489</f>
        <v>C</v>
      </c>
      <c r="D491" s="1000" t="str">
        <f>'09월 화학성분'!E489</f>
        <v>B</v>
      </c>
      <c r="E491" s="1000">
        <f>'09월 화학성분'!C489</f>
        <v>85691</v>
      </c>
      <c r="F491" s="1001" t="str">
        <f t="shared" si="145"/>
        <v>DKOIL</v>
      </c>
      <c r="G491" s="1172">
        <v>19.100000000000001</v>
      </c>
      <c r="H491" s="985">
        <v>23000</v>
      </c>
      <c r="I491" s="1173">
        <v>17.2</v>
      </c>
      <c r="J491" s="985">
        <v>20700</v>
      </c>
      <c r="K491" s="1173">
        <v>8.8000000000000007</v>
      </c>
      <c r="L491" s="985">
        <v>11200</v>
      </c>
      <c r="M491" s="1174">
        <f t="shared" si="146"/>
        <v>45.099999999999994</v>
      </c>
      <c r="N491" s="984">
        <f t="shared" si="147"/>
        <v>54900</v>
      </c>
      <c r="O491" s="986">
        <f t="shared" si="148"/>
        <v>157.64222069910898</v>
      </c>
      <c r="P491" s="987">
        <f t="shared" si="149"/>
        <v>141.87799862919809</v>
      </c>
      <c r="Q491" s="987">
        <f t="shared" si="150"/>
        <v>76.764907470870455</v>
      </c>
      <c r="R491" s="988">
        <f t="shared" si="151"/>
        <v>376.28512679917753</v>
      </c>
      <c r="S491" s="989">
        <v>145.9</v>
      </c>
      <c r="T491" s="990">
        <v>0</v>
      </c>
      <c r="U491" s="991">
        <v>75</v>
      </c>
      <c r="V491" s="991">
        <v>253</v>
      </c>
      <c r="W491" s="992">
        <f t="shared" si="152"/>
        <v>328</v>
      </c>
      <c r="X491" s="993">
        <f t="shared" si="153"/>
        <v>2.2481151473612062</v>
      </c>
      <c r="Y491" s="990">
        <v>1576</v>
      </c>
      <c r="Z491" s="991">
        <v>1430</v>
      </c>
      <c r="AA491" s="991">
        <v>849</v>
      </c>
      <c r="AB491" s="992">
        <f t="shared" si="154"/>
        <v>3855</v>
      </c>
      <c r="AC491" s="993">
        <f t="shared" si="155"/>
        <v>26.422206991089787</v>
      </c>
      <c r="AD491" s="994">
        <f t="shared" si="156"/>
        <v>4183</v>
      </c>
      <c r="AE491" s="995">
        <f t="shared" si="157"/>
        <v>28.670322138450992</v>
      </c>
      <c r="AF491" s="996">
        <v>83</v>
      </c>
      <c r="AG491" s="997">
        <v>64</v>
      </c>
      <c r="AH491" s="997">
        <v>9</v>
      </c>
      <c r="AI491" s="998">
        <f t="shared" si="158"/>
        <v>156</v>
      </c>
      <c r="AJ491" s="993">
        <f t="shared" si="159"/>
        <v>1.0692254969156956</v>
      </c>
    </row>
    <row r="492" spans="1:36" ht="16.5" customHeight="1">
      <c r="A492" s="999">
        <f>'09월 조업일지'!A490</f>
        <v>46283</v>
      </c>
      <c r="B492" s="1099">
        <f>'09월 조업일지'!B490</f>
        <v>46283</v>
      </c>
      <c r="C492" s="1000" t="str">
        <f>'09월 화학성분'!D490</f>
        <v>C</v>
      </c>
      <c r="D492" s="1000" t="str">
        <f>'09월 화학성분'!E490</f>
        <v>A</v>
      </c>
      <c r="E492" s="1000">
        <f>'09월 화학성분'!C490</f>
        <v>85692</v>
      </c>
      <c r="F492" s="1001" t="str">
        <f t="shared" si="145"/>
        <v>DKOIL</v>
      </c>
      <c r="G492" s="1172">
        <v>19.3</v>
      </c>
      <c r="H492" s="985">
        <v>23400</v>
      </c>
      <c r="I492" s="1173">
        <v>18.100000000000001</v>
      </c>
      <c r="J492" s="985">
        <v>20900</v>
      </c>
      <c r="K492" s="1173">
        <v>8.3000000000000007</v>
      </c>
      <c r="L492" s="985">
        <v>10500</v>
      </c>
      <c r="M492" s="1174">
        <f t="shared" si="146"/>
        <v>45.7</v>
      </c>
      <c r="N492" s="984">
        <f t="shared" si="147"/>
        <v>54800</v>
      </c>
      <c r="O492" s="986">
        <f t="shared" si="148"/>
        <v>165.1376146788991</v>
      </c>
      <c r="P492" s="987">
        <f t="shared" si="149"/>
        <v>147.49470712773467</v>
      </c>
      <c r="Q492" s="987">
        <f t="shared" si="150"/>
        <v>74.100211714890619</v>
      </c>
      <c r="R492" s="988">
        <f t="shared" si="151"/>
        <v>386.73253352152437</v>
      </c>
      <c r="S492" s="989">
        <v>141.69999999999999</v>
      </c>
      <c r="T492" s="990">
        <v>0</v>
      </c>
      <c r="U492" s="991">
        <v>108</v>
      </c>
      <c r="V492" s="991">
        <v>246</v>
      </c>
      <c r="W492" s="992">
        <f t="shared" si="152"/>
        <v>354</v>
      </c>
      <c r="X492" s="993">
        <f t="shared" si="153"/>
        <v>2.4982357092448839</v>
      </c>
      <c r="Y492" s="990">
        <v>1597</v>
      </c>
      <c r="Z492" s="991">
        <v>1476</v>
      </c>
      <c r="AA492" s="991">
        <v>620</v>
      </c>
      <c r="AB492" s="992">
        <f t="shared" si="154"/>
        <v>3693</v>
      </c>
      <c r="AC492" s="993">
        <f t="shared" si="155"/>
        <v>26.062103034580101</v>
      </c>
      <c r="AD492" s="994">
        <f t="shared" si="156"/>
        <v>4047</v>
      </c>
      <c r="AE492" s="995">
        <f t="shared" si="157"/>
        <v>28.560338743824985</v>
      </c>
      <c r="AF492" s="996">
        <v>81</v>
      </c>
      <c r="AG492" s="997">
        <v>69</v>
      </c>
      <c r="AH492" s="997">
        <v>5</v>
      </c>
      <c r="AI492" s="998">
        <f t="shared" si="158"/>
        <v>155</v>
      </c>
      <c r="AJ492" s="993">
        <f t="shared" si="159"/>
        <v>1.0938602681721949</v>
      </c>
    </row>
    <row r="493" spans="1:36" ht="16.5" customHeight="1">
      <c r="A493" s="999">
        <f>'09월 조업일지'!A491</f>
        <v>46283</v>
      </c>
      <c r="B493" s="1099">
        <f>'09월 조업일지'!B491</f>
        <v>46283</v>
      </c>
      <c r="C493" s="1000" t="str">
        <f>'09월 화학성분'!D491</f>
        <v>C</v>
      </c>
      <c r="D493" s="1000" t="str">
        <f>'09월 화학성분'!E491</f>
        <v>B</v>
      </c>
      <c r="E493" s="1000">
        <f>'09월 화학성분'!C491</f>
        <v>85693</v>
      </c>
      <c r="F493" s="1001" t="str">
        <f t="shared" si="145"/>
        <v>DKOIL</v>
      </c>
      <c r="G493" s="1172">
        <v>20.399999999999999</v>
      </c>
      <c r="H493" s="985">
        <v>23800</v>
      </c>
      <c r="I493" s="1173">
        <v>16.7</v>
      </c>
      <c r="J493" s="985">
        <v>20500</v>
      </c>
      <c r="K493" s="1173">
        <v>10.1</v>
      </c>
      <c r="L493" s="985">
        <v>12900</v>
      </c>
      <c r="M493" s="1174">
        <f t="shared" si="146"/>
        <v>47.199999999999996</v>
      </c>
      <c r="N493" s="984">
        <f t="shared" si="147"/>
        <v>57200</v>
      </c>
      <c r="O493" s="986">
        <f t="shared" si="148"/>
        <v>163.57388316151201</v>
      </c>
      <c r="P493" s="987">
        <f t="shared" si="149"/>
        <v>140.89347079037802</v>
      </c>
      <c r="Q493" s="987">
        <f t="shared" si="150"/>
        <v>88.659793814432987</v>
      </c>
      <c r="R493" s="988">
        <f t="shared" si="151"/>
        <v>393.12714776632299</v>
      </c>
      <c r="S493" s="989">
        <v>145.5</v>
      </c>
      <c r="T493" s="990">
        <v>0</v>
      </c>
      <c r="U493" s="991">
        <v>80</v>
      </c>
      <c r="V493" s="991">
        <v>234</v>
      </c>
      <c r="W493" s="992">
        <f t="shared" si="152"/>
        <v>314</v>
      </c>
      <c r="X493" s="993">
        <f t="shared" si="153"/>
        <v>2.1580756013745703</v>
      </c>
      <c r="Y493" s="990">
        <v>1700</v>
      </c>
      <c r="Z493" s="991">
        <v>1449</v>
      </c>
      <c r="AA493" s="991">
        <v>887</v>
      </c>
      <c r="AB493" s="992">
        <f t="shared" si="154"/>
        <v>4036</v>
      </c>
      <c r="AC493" s="993">
        <f t="shared" si="155"/>
        <v>27.738831615120276</v>
      </c>
      <c r="AD493" s="994">
        <f t="shared" si="156"/>
        <v>4350</v>
      </c>
      <c r="AE493" s="995">
        <f t="shared" si="157"/>
        <v>29.896907216494846</v>
      </c>
      <c r="AF493" s="996">
        <v>86</v>
      </c>
      <c r="AG493" s="997">
        <v>64</v>
      </c>
      <c r="AH493" s="997">
        <v>7</v>
      </c>
      <c r="AI493" s="998">
        <f t="shared" si="158"/>
        <v>157</v>
      </c>
      <c r="AJ493" s="993">
        <f t="shared" si="159"/>
        <v>1.0790378006872852</v>
      </c>
    </row>
    <row r="494" spans="1:36" ht="16.5" customHeight="1">
      <c r="A494" s="999">
        <f>'09월 조업일지'!A492</f>
        <v>46284</v>
      </c>
      <c r="B494" s="1099">
        <f>'09월 조업일지'!B492</f>
        <v>46283</v>
      </c>
      <c r="C494" s="1000" t="str">
        <f>'09월 화학성분'!D492</f>
        <v>C</v>
      </c>
      <c r="D494" s="1000" t="str">
        <f>'09월 화학성분'!E492</f>
        <v>A</v>
      </c>
      <c r="E494" s="1000">
        <f>'09월 화학성분'!C492</f>
        <v>85694</v>
      </c>
      <c r="F494" s="1001" t="str">
        <f t="shared" si="145"/>
        <v>DKOIL</v>
      </c>
      <c r="G494" s="1172">
        <v>20.3</v>
      </c>
      <c r="H494" s="985">
        <v>24200</v>
      </c>
      <c r="I494" s="1173">
        <v>18</v>
      </c>
      <c r="J494" s="985">
        <v>20900</v>
      </c>
      <c r="K494" s="1173">
        <v>9.1</v>
      </c>
      <c r="L494" s="985">
        <v>11000</v>
      </c>
      <c r="M494" s="1174">
        <f t="shared" si="146"/>
        <v>47.4</v>
      </c>
      <c r="N494" s="984">
        <f t="shared" si="147"/>
        <v>56100</v>
      </c>
      <c r="O494" s="986">
        <f t="shared" si="148"/>
        <v>171.875</v>
      </c>
      <c r="P494" s="987">
        <f t="shared" si="149"/>
        <v>148.4375</v>
      </c>
      <c r="Q494" s="987">
        <f t="shared" si="150"/>
        <v>78.125</v>
      </c>
      <c r="R494" s="988">
        <f t="shared" si="151"/>
        <v>398.4375</v>
      </c>
      <c r="S494" s="989">
        <v>140.80000000000001</v>
      </c>
      <c r="T494" s="990">
        <v>0</v>
      </c>
      <c r="U494" s="991">
        <v>151</v>
      </c>
      <c r="V494" s="991">
        <v>243</v>
      </c>
      <c r="W494" s="992">
        <f t="shared" si="152"/>
        <v>394</v>
      </c>
      <c r="X494" s="993">
        <f t="shared" si="153"/>
        <v>2.7982954545454541</v>
      </c>
      <c r="Y494" s="990">
        <v>1685</v>
      </c>
      <c r="Z494" s="991">
        <v>1457</v>
      </c>
      <c r="AA494" s="991">
        <v>684</v>
      </c>
      <c r="AB494" s="992">
        <f t="shared" si="154"/>
        <v>3826</v>
      </c>
      <c r="AC494" s="993">
        <f t="shared" si="155"/>
        <v>27.173295454545453</v>
      </c>
      <c r="AD494" s="994">
        <f t="shared" si="156"/>
        <v>4220</v>
      </c>
      <c r="AE494" s="995">
        <f t="shared" si="157"/>
        <v>29.971590909090907</v>
      </c>
      <c r="AF494" s="996">
        <v>83</v>
      </c>
      <c r="AG494" s="997">
        <v>65</v>
      </c>
      <c r="AH494" s="997">
        <v>5</v>
      </c>
      <c r="AI494" s="998">
        <f t="shared" si="158"/>
        <v>153</v>
      </c>
      <c r="AJ494" s="993">
        <f t="shared" si="159"/>
        <v>1.0866477272727273</v>
      </c>
    </row>
    <row r="495" spans="1:36" ht="16.5" customHeight="1">
      <c r="A495" s="999">
        <f>'09월 조업일지'!A493</f>
        <v>46284</v>
      </c>
      <c r="B495" s="1099">
        <f>'09월 조업일지'!B493</f>
        <v>46283</v>
      </c>
      <c r="C495" s="1000" t="str">
        <f>'09월 화학성분'!D493</f>
        <v>C</v>
      </c>
      <c r="D495" s="1000" t="str">
        <f>'09월 화학성분'!E493</f>
        <v>B</v>
      </c>
      <c r="E495" s="1000">
        <f>'09월 화학성분'!C493</f>
        <v>85695</v>
      </c>
      <c r="F495" s="1001" t="str">
        <f t="shared" si="145"/>
        <v>DKOIL</v>
      </c>
      <c r="G495" s="1172">
        <v>19.399999999999999</v>
      </c>
      <c r="H495" s="985">
        <v>23200</v>
      </c>
      <c r="I495" s="1173">
        <v>16.8</v>
      </c>
      <c r="J495" s="985">
        <v>20800</v>
      </c>
      <c r="K495" s="1173">
        <v>8.6</v>
      </c>
      <c r="L495" s="985">
        <v>10900</v>
      </c>
      <c r="M495" s="1174">
        <f t="shared" si="146"/>
        <v>44.800000000000004</v>
      </c>
      <c r="N495" s="984">
        <f t="shared" si="147"/>
        <v>54900</v>
      </c>
      <c r="O495" s="986">
        <f t="shared" si="148"/>
        <v>158.36177474402731</v>
      </c>
      <c r="P495" s="987">
        <f t="shared" si="149"/>
        <v>141.97952218430035</v>
      </c>
      <c r="Q495" s="987">
        <f t="shared" si="150"/>
        <v>74.402730375426614</v>
      </c>
      <c r="R495" s="988">
        <f t="shared" si="151"/>
        <v>374.74402730375425</v>
      </c>
      <c r="S495" s="989">
        <v>146.5</v>
      </c>
      <c r="T495" s="990">
        <v>0</v>
      </c>
      <c r="U495" s="991">
        <v>129</v>
      </c>
      <c r="V495" s="991">
        <v>198</v>
      </c>
      <c r="W495" s="992">
        <f t="shared" si="152"/>
        <v>327</v>
      </c>
      <c r="X495" s="993">
        <f t="shared" si="153"/>
        <v>2.2320819112627985</v>
      </c>
      <c r="Y495" s="990">
        <v>1561</v>
      </c>
      <c r="Z495" s="991">
        <v>1398</v>
      </c>
      <c r="AA495" s="991">
        <v>971</v>
      </c>
      <c r="AB495" s="992">
        <f t="shared" si="154"/>
        <v>3930</v>
      </c>
      <c r="AC495" s="993">
        <f t="shared" si="155"/>
        <v>26.8259385665529</v>
      </c>
      <c r="AD495" s="994">
        <f t="shared" si="156"/>
        <v>4257</v>
      </c>
      <c r="AE495" s="995">
        <f t="shared" si="157"/>
        <v>29.058020477815699</v>
      </c>
      <c r="AF495" s="996">
        <v>79</v>
      </c>
      <c r="AG495" s="997">
        <v>65</v>
      </c>
      <c r="AH495" s="997">
        <v>9</v>
      </c>
      <c r="AI495" s="998">
        <f t="shared" si="158"/>
        <v>153</v>
      </c>
      <c r="AJ495" s="993">
        <f t="shared" si="159"/>
        <v>1.0443686006825939</v>
      </c>
    </row>
    <row r="496" spans="1:36" ht="16.5" customHeight="1">
      <c r="A496" s="999">
        <f>'09월 조업일지'!A494</f>
        <v>46284</v>
      </c>
      <c r="B496" s="1099">
        <f>'09월 조업일지'!B494</f>
        <v>46283</v>
      </c>
      <c r="C496" s="1000" t="str">
        <f>'09월 화학성분'!D494</f>
        <v>C</v>
      </c>
      <c r="D496" s="1000" t="str">
        <f>'09월 화학성분'!E494</f>
        <v>A</v>
      </c>
      <c r="E496" s="1000">
        <f>'09월 화학성분'!C494</f>
        <v>85696</v>
      </c>
      <c r="F496" s="1001" t="str">
        <f t="shared" si="145"/>
        <v>DKOIL</v>
      </c>
      <c r="G496" s="1172">
        <v>19.8</v>
      </c>
      <c r="H496" s="985">
        <v>23500</v>
      </c>
      <c r="I496" s="1173">
        <v>17.8</v>
      </c>
      <c r="J496" s="985">
        <v>20800</v>
      </c>
      <c r="K496" s="1173">
        <v>7.7</v>
      </c>
      <c r="L496" s="985">
        <v>9800</v>
      </c>
      <c r="M496" s="1174">
        <f t="shared" si="146"/>
        <v>45.300000000000004</v>
      </c>
      <c r="N496" s="984">
        <f t="shared" si="147"/>
        <v>54100</v>
      </c>
      <c r="O496" s="986">
        <f t="shared" si="148"/>
        <v>163.19444444444446</v>
      </c>
      <c r="P496" s="987">
        <f t="shared" si="149"/>
        <v>144.44444444444446</v>
      </c>
      <c r="Q496" s="987">
        <f t="shared" si="150"/>
        <v>68.055555555555557</v>
      </c>
      <c r="R496" s="988">
        <f t="shared" si="151"/>
        <v>375.69444444444446</v>
      </c>
      <c r="S496" s="989">
        <v>144</v>
      </c>
      <c r="T496" s="990">
        <v>0</v>
      </c>
      <c r="U496" s="991">
        <v>144</v>
      </c>
      <c r="V496" s="991">
        <v>194</v>
      </c>
      <c r="W496" s="992">
        <f t="shared" si="152"/>
        <v>338</v>
      </c>
      <c r="X496" s="993">
        <f t="shared" si="153"/>
        <v>2.3472222222222223</v>
      </c>
      <c r="Y496" s="990">
        <v>1648</v>
      </c>
      <c r="Z496" s="991">
        <v>1451</v>
      </c>
      <c r="AA496" s="991">
        <v>716</v>
      </c>
      <c r="AB496" s="992">
        <f t="shared" si="154"/>
        <v>3815</v>
      </c>
      <c r="AC496" s="993">
        <f t="shared" si="155"/>
        <v>26.493055555555557</v>
      </c>
      <c r="AD496" s="994">
        <f t="shared" si="156"/>
        <v>4153</v>
      </c>
      <c r="AE496" s="995">
        <f t="shared" si="157"/>
        <v>28.840277777777779</v>
      </c>
      <c r="AF496" s="996">
        <v>83</v>
      </c>
      <c r="AG496" s="997">
        <v>67</v>
      </c>
      <c r="AH496" s="997">
        <v>5</v>
      </c>
      <c r="AI496" s="998">
        <f t="shared" si="158"/>
        <v>155</v>
      </c>
      <c r="AJ496" s="993">
        <f t="shared" si="159"/>
        <v>1.0763888888888888</v>
      </c>
    </row>
    <row r="497" spans="1:36" ht="16.5" customHeight="1">
      <c r="A497" s="999">
        <f>'09월 조업일지'!A495</f>
        <v>46284</v>
      </c>
      <c r="B497" s="1099">
        <f>'09월 조업일지'!B495</f>
        <v>46283</v>
      </c>
      <c r="C497" s="1000" t="str">
        <f>'09월 화학성분'!D495</f>
        <v>C</v>
      </c>
      <c r="D497" s="1000" t="str">
        <f>'09월 화학성분'!E495</f>
        <v>B</v>
      </c>
      <c r="E497" s="1000">
        <f>'09월 화학성분'!C495</f>
        <v>85697</v>
      </c>
      <c r="F497" s="1104" t="s">
        <v>892</v>
      </c>
      <c r="G497" s="1172">
        <v>19.600000000000001</v>
      </c>
      <c r="H497" s="985">
        <v>23100</v>
      </c>
      <c r="I497" s="1173">
        <v>17.100000000000001</v>
      </c>
      <c r="J497" s="985">
        <v>20600</v>
      </c>
      <c r="K497" s="1173">
        <v>8.8000000000000007</v>
      </c>
      <c r="L497" s="985">
        <v>11200</v>
      </c>
      <c r="M497" s="1174">
        <f t="shared" si="146"/>
        <v>45.5</v>
      </c>
      <c r="N497" s="984">
        <f t="shared" si="147"/>
        <v>54900</v>
      </c>
      <c r="O497" s="986">
        <f t="shared" si="148"/>
        <v>157.35694822888283</v>
      </c>
      <c r="P497" s="987">
        <f t="shared" si="149"/>
        <v>140.32697547683924</v>
      </c>
      <c r="Q497" s="987">
        <f t="shared" si="150"/>
        <v>76.294277929155314</v>
      </c>
      <c r="R497" s="988">
        <f t="shared" si="151"/>
        <v>373.97820163487739</v>
      </c>
      <c r="S497" s="989">
        <v>146.80000000000001</v>
      </c>
      <c r="T497" s="990">
        <v>0</v>
      </c>
      <c r="U497" s="991">
        <v>103</v>
      </c>
      <c r="V497" s="991">
        <v>218</v>
      </c>
      <c r="W497" s="992">
        <f t="shared" si="152"/>
        <v>321</v>
      </c>
      <c r="X497" s="993">
        <f t="shared" si="153"/>
        <v>2.1866485013623977</v>
      </c>
      <c r="Y497" s="990">
        <v>1660</v>
      </c>
      <c r="Z497" s="991">
        <v>1385</v>
      </c>
      <c r="AA497" s="991">
        <v>664</v>
      </c>
      <c r="AB497" s="992">
        <f t="shared" si="154"/>
        <v>3709</v>
      </c>
      <c r="AC497" s="993">
        <f t="shared" si="155"/>
        <v>25.265667574931879</v>
      </c>
      <c r="AD497" s="994">
        <f t="shared" si="156"/>
        <v>4030</v>
      </c>
      <c r="AE497" s="995">
        <f t="shared" si="157"/>
        <v>27.452316076294277</v>
      </c>
      <c r="AF497" s="996">
        <v>85</v>
      </c>
      <c r="AG497" s="997">
        <v>62</v>
      </c>
      <c r="AH497" s="997">
        <v>6</v>
      </c>
      <c r="AI497" s="998">
        <f t="shared" si="158"/>
        <v>153</v>
      </c>
      <c r="AJ497" s="993">
        <f t="shared" si="159"/>
        <v>1.042234332425068</v>
      </c>
    </row>
    <row r="498" spans="1:36" ht="16.5" customHeight="1">
      <c r="A498" s="999">
        <f>'09월 조업일지'!A496</f>
        <v>46284</v>
      </c>
      <c r="B498" s="1099">
        <f>'09월 조업일지'!B496</f>
        <v>46284</v>
      </c>
      <c r="C498" s="1000" t="str">
        <f>'09월 화학성분'!D496</f>
        <v>A</v>
      </c>
      <c r="D498" s="1000" t="str">
        <f>'09월 화학성분'!E496</f>
        <v>A</v>
      </c>
      <c r="E498" s="1000">
        <f>'09월 화학성분'!C496</f>
        <v>85698</v>
      </c>
      <c r="F498" s="1001" t="str">
        <f t="shared" si="145"/>
        <v>SS540</v>
      </c>
      <c r="G498" s="1172">
        <v>20.8</v>
      </c>
      <c r="H498" s="985">
        <v>23300</v>
      </c>
      <c r="I498" s="1173">
        <v>17.100000000000001</v>
      </c>
      <c r="J498" s="985">
        <v>20800</v>
      </c>
      <c r="K498" s="1173">
        <v>8.6999999999999993</v>
      </c>
      <c r="L498" s="985">
        <v>11000</v>
      </c>
      <c r="M498" s="1174">
        <f t="shared" si="146"/>
        <v>46.600000000000009</v>
      </c>
      <c r="N498" s="984">
        <f t="shared" si="147"/>
        <v>55100</v>
      </c>
      <c r="O498" s="986">
        <f t="shared" si="148"/>
        <v>163.50877192982455</v>
      </c>
      <c r="P498" s="987">
        <f t="shared" si="149"/>
        <v>145.96491228070175</v>
      </c>
      <c r="Q498" s="987">
        <f t="shared" si="150"/>
        <v>77.192982456140356</v>
      </c>
      <c r="R498" s="988">
        <f t="shared" si="151"/>
        <v>386.66666666666663</v>
      </c>
      <c r="S498" s="989">
        <v>142.5</v>
      </c>
      <c r="T498" s="990">
        <v>0</v>
      </c>
      <c r="U498" s="991">
        <v>119</v>
      </c>
      <c r="V498" s="991">
        <v>250</v>
      </c>
      <c r="W498" s="992">
        <f t="shared" si="152"/>
        <v>369</v>
      </c>
      <c r="X498" s="993">
        <f t="shared" si="153"/>
        <v>2.5894736842105264</v>
      </c>
      <c r="Y498" s="990">
        <v>1850</v>
      </c>
      <c r="Z498" s="991">
        <v>1408</v>
      </c>
      <c r="AA498" s="991">
        <v>663</v>
      </c>
      <c r="AB498" s="992">
        <f t="shared" si="154"/>
        <v>3921</v>
      </c>
      <c r="AC498" s="993">
        <f t="shared" si="155"/>
        <v>27.515789473684212</v>
      </c>
      <c r="AD498" s="994">
        <f t="shared" si="156"/>
        <v>4290</v>
      </c>
      <c r="AE498" s="995">
        <f t="shared" si="157"/>
        <v>30.105263157894736</v>
      </c>
      <c r="AF498" s="996">
        <v>88</v>
      </c>
      <c r="AG498" s="997">
        <v>64</v>
      </c>
      <c r="AH498" s="997">
        <v>5</v>
      </c>
      <c r="AI498" s="998">
        <f t="shared" si="158"/>
        <v>157</v>
      </c>
      <c r="AJ498" s="993">
        <f t="shared" si="159"/>
        <v>1.1017543859649124</v>
      </c>
    </row>
    <row r="499" spans="1:36" ht="16.5" customHeight="1">
      <c r="A499" s="999">
        <f>'09월 조업일지'!A497</f>
        <v>46284</v>
      </c>
      <c r="B499" s="1099">
        <f>'09월 조업일지'!B497</f>
        <v>46284</v>
      </c>
      <c r="C499" s="1000" t="str">
        <f>'09월 화학성분'!D497</f>
        <v>A</v>
      </c>
      <c r="D499" s="1000" t="str">
        <f>'09월 화학성분'!E497</f>
        <v>B</v>
      </c>
      <c r="E499" s="1000">
        <f>'09월 화학성분'!C497</f>
        <v>85699</v>
      </c>
      <c r="F499" s="1001" t="str">
        <f t="shared" si="145"/>
        <v>SS540</v>
      </c>
      <c r="G499" s="1172">
        <v>18.899999999999999</v>
      </c>
      <c r="H499" s="985">
        <v>23200</v>
      </c>
      <c r="I499" s="1173">
        <v>16.600000000000001</v>
      </c>
      <c r="J499" s="985">
        <v>20400</v>
      </c>
      <c r="K499" s="1173">
        <v>9.6999999999999993</v>
      </c>
      <c r="L499" s="985">
        <v>12600</v>
      </c>
      <c r="M499" s="1174">
        <f t="shared" si="146"/>
        <v>45.2</v>
      </c>
      <c r="N499" s="984">
        <f t="shared" si="147"/>
        <v>56200</v>
      </c>
      <c r="O499" s="986">
        <f t="shared" si="148"/>
        <v>159.01302261823167</v>
      </c>
      <c r="P499" s="987">
        <f t="shared" si="149"/>
        <v>139.82179575051404</v>
      </c>
      <c r="Q499" s="987">
        <f t="shared" si="150"/>
        <v>86.36052090472927</v>
      </c>
      <c r="R499" s="988">
        <f t="shared" si="151"/>
        <v>385.19533927347493</v>
      </c>
      <c r="S499" s="989">
        <v>145.9</v>
      </c>
      <c r="T499" s="990">
        <v>0</v>
      </c>
      <c r="U499" s="991">
        <v>106</v>
      </c>
      <c r="V499" s="991">
        <v>261</v>
      </c>
      <c r="W499" s="992">
        <f t="shared" si="152"/>
        <v>367</v>
      </c>
      <c r="X499" s="993">
        <f t="shared" si="153"/>
        <v>2.5154215215901301</v>
      </c>
      <c r="Y499" s="990">
        <v>1562</v>
      </c>
      <c r="Z499" s="991">
        <v>1379</v>
      </c>
      <c r="AA499" s="991">
        <v>779</v>
      </c>
      <c r="AB499" s="992">
        <f t="shared" si="154"/>
        <v>3720</v>
      </c>
      <c r="AC499" s="993">
        <f t="shared" si="155"/>
        <v>25.496915695681974</v>
      </c>
      <c r="AD499" s="994">
        <f t="shared" si="156"/>
        <v>4087</v>
      </c>
      <c r="AE499" s="995">
        <f t="shared" si="157"/>
        <v>28.012337217272105</v>
      </c>
      <c r="AF499" s="996">
        <v>80</v>
      </c>
      <c r="AG499" s="997">
        <v>66</v>
      </c>
      <c r="AH499" s="997">
        <v>7</v>
      </c>
      <c r="AI499" s="998">
        <f t="shared" si="158"/>
        <v>153</v>
      </c>
      <c r="AJ499" s="993">
        <f t="shared" si="159"/>
        <v>1.0486634681288554</v>
      </c>
    </row>
    <row r="500" spans="1:36" ht="16.5" customHeight="1">
      <c r="A500" s="999">
        <f>'09월 조업일지'!A498</f>
        <v>46284</v>
      </c>
      <c r="B500" s="1099">
        <f>'09월 조업일지'!B498</f>
        <v>46284</v>
      </c>
      <c r="C500" s="1000" t="str">
        <f>'09월 화학성분'!D498</f>
        <v>A</v>
      </c>
      <c r="D500" s="1000" t="str">
        <f>'09월 화학성분'!E498</f>
        <v>A</v>
      </c>
      <c r="E500" s="1000">
        <f>'09월 화학성분'!C498</f>
        <v>85700</v>
      </c>
      <c r="F500" s="1001" t="str">
        <f t="shared" si="145"/>
        <v>SS540</v>
      </c>
      <c r="G500" s="1172">
        <v>20.2</v>
      </c>
      <c r="H500" s="985">
        <v>23600</v>
      </c>
      <c r="I500" s="1173">
        <v>16.899999999999999</v>
      </c>
      <c r="J500" s="985">
        <v>20600</v>
      </c>
      <c r="K500" s="1173">
        <v>10.8</v>
      </c>
      <c r="L500" s="985">
        <v>13600</v>
      </c>
      <c r="M500" s="1174">
        <f t="shared" si="146"/>
        <v>47.899999999999991</v>
      </c>
      <c r="N500" s="984">
        <f t="shared" si="147"/>
        <v>57800</v>
      </c>
      <c r="O500" s="986">
        <f t="shared" si="148"/>
        <v>163.6615811373093</v>
      </c>
      <c r="P500" s="987">
        <f t="shared" si="149"/>
        <v>142.85714285714286</v>
      </c>
      <c r="Q500" s="987">
        <f t="shared" si="150"/>
        <v>94.313453536754508</v>
      </c>
      <c r="R500" s="988">
        <f t="shared" si="151"/>
        <v>400.83217753120664</v>
      </c>
      <c r="S500" s="989">
        <v>144.19999999999999</v>
      </c>
      <c r="T500" s="990">
        <v>0</v>
      </c>
      <c r="U500" s="991">
        <v>127</v>
      </c>
      <c r="V500" s="991">
        <v>250</v>
      </c>
      <c r="W500" s="992">
        <f t="shared" si="152"/>
        <v>377</v>
      </c>
      <c r="X500" s="993">
        <f t="shared" si="153"/>
        <v>2.6144244105409156</v>
      </c>
      <c r="Y500" s="990">
        <v>1652</v>
      </c>
      <c r="Z500" s="991">
        <v>1385</v>
      </c>
      <c r="AA500" s="991">
        <v>821</v>
      </c>
      <c r="AB500" s="992">
        <f t="shared" si="154"/>
        <v>3858</v>
      </c>
      <c r="AC500" s="993">
        <f t="shared" si="155"/>
        <v>26.754507628294039</v>
      </c>
      <c r="AD500" s="994">
        <f t="shared" si="156"/>
        <v>4235</v>
      </c>
      <c r="AE500" s="995">
        <f t="shared" si="157"/>
        <v>29.368932038834952</v>
      </c>
      <c r="AF500" s="996">
        <v>85</v>
      </c>
      <c r="AG500" s="997">
        <v>63</v>
      </c>
      <c r="AH500" s="997">
        <v>7</v>
      </c>
      <c r="AI500" s="998">
        <f t="shared" si="158"/>
        <v>155</v>
      </c>
      <c r="AJ500" s="993">
        <f t="shared" si="159"/>
        <v>1.0748959778085994</v>
      </c>
    </row>
    <row r="501" spans="1:36" ht="16.5" customHeight="1">
      <c r="A501" s="999">
        <f>'09월 조업일지'!A499</f>
        <v>46284</v>
      </c>
      <c r="B501" s="1099">
        <f>'09월 조업일지'!B499</f>
        <v>46284</v>
      </c>
      <c r="C501" s="1000" t="str">
        <f>'09월 화학성분'!D499</f>
        <v>A</v>
      </c>
      <c r="D501" s="1000" t="str">
        <f>'09월 화학성분'!E499</f>
        <v>B</v>
      </c>
      <c r="E501" s="1000">
        <f>'09월 화학성분'!C499</f>
        <v>85701</v>
      </c>
      <c r="F501" s="1104" t="s">
        <v>895</v>
      </c>
      <c r="G501" s="1172">
        <v>18.899999999999999</v>
      </c>
      <c r="H501" s="985">
        <v>23600</v>
      </c>
      <c r="I501" s="1173">
        <v>16.399999999999999</v>
      </c>
      <c r="J501" s="985">
        <v>20700</v>
      </c>
      <c r="K501" s="1173">
        <v>12.7</v>
      </c>
      <c r="L501" s="985">
        <v>16300</v>
      </c>
      <c r="M501" s="1174">
        <f t="shared" si="146"/>
        <v>48</v>
      </c>
      <c r="N501" s="984">
        <f t="shared" si="147"/>
        <v>60600</v>
      </c>
      <c r="O501" s="986">
        <f t="shared" si="148"/>
        <v>159.78334461746786</v>
      </c>
      <c r="P501" s="987">
        <f t="shared" si="149"/>
        <v>140.14895057549086</v>
      </c>
      <c r="Q501" s="987">
        <f t="shared" si="150"/>
        <v>110.35883547731889</v>
      </c>
      <c r="R501" s="988">
        <f t="shared" si="151"/>
        <v>410.2911306702776</v>
      </c>
      <c r="S501" s="989">
        <v>147.69999999999999</v>
      </c>
      <c r="T501" s="990">
        <v>0</v>
      </c>
      <c r="U501" s="991">
        <v>117</v>
      </c>
      <c r="V501" s="991">
        <v>389</v>
      </c>
      <c r="W501" s="992">
        <f t="shared" si="152"/>
        <v>506</v>
      </c>
      <c r="X501" s="993">
        <f t="shared" si="153"/>
        <v>3.4258632362897767</v>
      </c>
      <c r="Y501" s="990">
        <v>1587</v>
      </c>
      <c r="Z501" s="991">
        <v>1353</v>
      </c>
      <c r="AA501" s="991">
        <v>1077</v>
      </c>
      <c r="AB501" s="992">
        <f t="shared" si="154"/>
        <v>4017</v>
      </c>
      <c r="AC501" s="993">
        <f t="shared" si="155"/>
        <v>27.197020988490184</v>
      </c>
      <c r="AD501" s="994">
        <f t="shared" si="156"/>
        <v>4523</v>
      </c>
      <c r="AE501" s="995">
        <f t="shared" si="157"/>
        <v>30.622884224779963</v>
      </c>
      <c r="AF501" s="996">
        <v>81</v>
      </c>
      <c r="AG501" s="997">
        <v>63</v>
      </c>
      <c r="AH501" s="997">
        <v>9</v>
      </c>
      <c r="AI501" s="998">
        <f t="shared" si="158"/>
        <v>153</v>
      </c>
      <c r="AJ501" s="993">
        <f t="shared" si="159"/>
        <v>1.0358835477318891</v>
      </c>
    </row>
    <row r="502" spans="1:36" ht="16.5" customHeight="1">
      <c r="A502" s="999">
        <f>'09월 조업일지'!A500</f>
        <v>46284</v>
      </c>
      <c r="B502" s="1099">
        <f>'09월 조업일지'!B500</f>
        <v>46284</v>
      </c>
      <c r="C502" s="1000" t="str">
        <f>'09월 화학성분'!D500</f>
        <v>A</v>
      </c>
      <c r="D502" s="1000" t="str">
        <f>'09월 화학성분'!E500</f>
        <v>A</v>
      </c>
      <c r="E502" s="1000">
        <f>'09월 화학성분'!C500</f>
        <v>85702</v>
      </c>
      <c r="F502" s="1001" t="str">
        <f t="shared" si="145"/>
        <v>AS500N(QTB,C10)</v>
      </c>
      <c r="G502" s="1172">
        <v>21.4</v>
      </c>
      <c r="H502" s="985">
        <v>24500</v>
      </c>
      <c r="I502" s="1173">
        <v>16.8</v>
      </c>
      <c r="J502" s="985">
        <v>20700</v>
      </c>
      <c r="K502" s="1173">
        <v>8.6999999999999993</v>
      </c>
      <c r="L502" s="985">
        <v>10500</v>
      </c>
      <c r="M502" s="1174">
        <f t="shared" si="146"/>
        <v>46.900000000000006</v>
      </c>
      <c r="N502" s="984">
        <f t="shared" si="147"/>
        <v>55700</v>
      </c>
      <c r="O502" s="986">
        <f t="shared" si="148"/>
        <v>171.44856543037088</v>
      </c>
      <c r="P502" s="987">
        <f t="shared" si="149"/>
        <v>144.85654303708887</v>
      </c>
      <c r="Q502" s="987">
        <f t="shared" si="150"/>
        <v>73.47795661301609</v>
      </c>
      <c r="R502" s="988">
        <f t="shared" si="151"/>
        <v>389.78306508047581</v>
      </c>
      <c r="S502" s="989">
        <v>142.9</v>
      </c>
      <c r="T502" s="990">
        <v>0</v>
      </c>
      <c r="U502" s="991">
        <v>144</v>
      </c>
      <c r="V502" s="991">
        <v>221</v>
      </c>
      <c r="W502" s="992">
        <f t="shared" si="152"/>
        <v>365</v>
      </c>
      <c r="X502" s="993">
        <f t="shared" si="153"/>
        <v>2.5542337298810356</v>
      </c>
      <c r="Y502" s="990">
        <v>1757</v>
      </c>
      <c r="Z502" s="991">
        <v>1388</v>
      </c>
      <c r="AA502" s="991">
        <v>668</v>
      </c>
      <c r="AB502" s="992">
        <f t="shared" si="154"/>
        <v>3813</v>
      </c>
      <c r="AC502" s="993">
        <f t="shared" si="155"/>
        <v>26.682995101469558</v>
      </c>
      <c r="AD502" s="994">
        <f t="shared" si="156"/>
        <v>4178</v>
      </c>
      <c r="AE502" s="995">
        <f t="shared" si="157"/>
        <v>29.237228831350592</v>
      </c>
      <c r="AF502" s="996">
        <v>87</v>
      </c>
      <c r="AG502" s="997">
        <v>67</v>
      </c>
      <c r="AH502" s="997">
        <v>5</v>
      </c>
      <c r="AI502" s="998">
        <f t="shared" si="158"/>
        <v>159</v>
      </c>
      <c r="AJ502" s="993">
        <f t="shared" si="159"/>
        <v>1.1126662001399579</v>
      </c>
    </row>
    <row r="503" spans="1:36" ht="16.5" customHeight="1">
      <c r="A503" s="999">
        <f>'09월 조업일지'!A501</f>
        <v>46284</v>
      </c>
      <c r="B503" s="1099">
        <f>'09월 조업일지'!B501</f>
        <v>46284</v>
      </c>
      <c r="C503" s="1000" t="str">
        <f>'09월 화학성분'!D501</f>
        <v>A</v>
      </c>
      <c r="D503" s="1000" t="str">
        <f>'09월 화학성분'!E501</f>
        <v>B</v>
      </c>
      <c r="E503" s="1000">
        <f>'09월 화학성분'!C501</f>
        <v>85703</v>
      </c>
      <c r="F503" s="1001" t="str">
        <f t="shared" si="145"/>
        <v>AS500N(QTB,C10)</v>
      </c>
      <c r="G503" s="1172">
        <v>18.399999999999999</v>
      </c>
      <c r="H503" s="985">
        <v>22700</v>
      </c>
      <c r="I503" s="1173">
        <v>16.8</v>
      </c>
      <c r="J503" s="985">
        <v>20300</v>
      </c>
      <c r="K503" s="1173">
        <v>12.6</v>
      </c>
      <c r="L503" s="985">
        <v>15500</v>
      </c>
      <c r="M503" s="1174">
        <f t="shared" si="146"/>
        <v>47.800000000000004</v>
      </c>
      <c r="N503" s="984">
        <f t="shared" si="147"/>
        <v>58500</v>
      </c>
      <c r="O503" s="986">
        <f t="shared" si="148"/>
        <v>157.7484364141765</v>
      </c>
      <c r="P503" s="987">
        <f t="shared" si="149"/>
        <v>141.07018763029882</v>
      </c>
      <c r="Q503" s="987">
        <f t="shared" si="150"/>
        <v>107.71369006254344</v>
      </c>
      <c r="R503" s="988">
        <f t="shared" si="151"/>
        <v>406.53231410701875</v>
      </c>
      <c r="S503" s="989">
        <v>143.9</v>
      </c>
      <c r="T503" s="990">
        <v>0</v>
      </c>
      <c r="U503" s="991">
        <v>53</v>
      </c>
      <c r="V503" s="991">
        <v>332</v>
      </c>
      <c r="W503" s="992">
        <f t="shared" si="152"/>
        <v>385</v>
      </c>
      <c r="X503" s="993">
        <f t="shared" si="153"/>
        <v>2.6754690757470465</v>
      </c>
      <c r="Y503" s="990">
        <v>1522</v>
      </c>
      <c r="Z503" s="991">
        <v>1366</v>
      </c>
      <c r="AA503" s="991">
        <v>973</v>
      </c>
      <c r="AB503" s="992">
        <f t="shared" si="154"/>
        <v>3861</v>
      </c>
      <c r="AC503" s="993">
        <f t="shared" si="155"/>
        <v>26.831132731063239</v>
      </c>
      <c r="AD503" s="994">
        <f t="shared" si="156"/>
        <v>4246</v>
      </c>
      <c r="AE503" s="995">
        <f t="shared" si="157"/>
        <v>29.506601806810284</v>
      </c>
      <c r="AF503" s="996">
        <v>78</v>
      </c>
      <c r="AG503" s="997">
        <v>68</v>
      </c>
      <c r="AH503" s="997">
        <v>7</v>
      </c>
      <c r="AI503" s="998">
        <f t="shared" si="158"/>
        <v>153</v>
      </c>
      <c r="AJ503" s="993">
        <f t="shared" si="159"/>
        <v>1.0632383599722028</v>
      </c>
    </row>
    <row r="504" spans="1:36" ht="16.5" customHeight="1">
      <c r="A504" s="999">
        <f>'09월 조업일지'!A502</f>
        <v>46284</v>
      </c>
      <c r="B504" s="1099">
        <f>'09월 조업일지'!B502</f>
        <v>46284</v>
      </c>
      <c r="C504" s="1000" t="str">
        <f>'09월 화학성분'!D502</f>
        <v>A</v>
      </c>
      <c r="D504" s="1000" t="str">
        <f>'09월 화학성분'!E502</f>
        <v>A</v>
      </c>
      <c r="E504" s="1000">
        <f>'09월 화학성분'!C502</f>
        <v>85704</v>
      </c>
      <c r="F504" s="1001" t="str">
        <f t="shared" si="145"/>
        <v>AS500N(QTB,C10)</v>
      </c>
      <c r="G504" s="1172">
        <v>19.100000000000001</v>
      </c>
      <c r="H504" s="985">
        <v>23000</v>
      </c>
      <c r="I504" s="1173">
        <v>17.3</v>
      </c>
      <c r="J504" s="985">
        <v>20600</v>
      </c>
      <c r="K504" s="1173">
        <v>9</v>
      </c>
      <c r="L504" s="985">
        <v>11400</v>
      </c>
      <c r="M504" s="1174">
        <f t="shared" si="146"/>
        <v>45.400000000000006</v>
      </c>
      <c r="N504" s="984">
        <f t="shared" si="147"/>
        <v>55000</v>
      </c>
      <c r="O504" s="986">
        <f t="shared" si="148"/>
        <v>159.50069348127602</v>
      </c>
      <c r="P504" s="987">
        <f t="shared" si="149"/>
        <v>142.85714285714286</v>
      </c>
      <c r="Q504" s="987">
        <f t="shared" si="150"/>
        <v>79.056865464632466</v>
      </c>
      <c r="R504" s="988">
        <f t="shared" si="151"/>
        <v>381.41470180305134</v>
      </c>
      <c r="S504" s="989">
        <v>144.19999999999999</v>
      </c>
      <c r="T504" s="990">
        <v>0</v>
      </c>
      <c r="U504" s="991">
        <v>132</v>
      </c>
      <c r="V504" s="991">
        <v>228</v>
      </c>
      <c r="W504" s="992">
        <f t="shared" si="152"/>
        <v>360</v>
      </c>
      <c r="X504" s="993">
        <f t="shared" si="153"/>
        <v>2.4965325936199725</v>
      </c>
      <c r="Y504" s="990">
        <v>1577</v>
      </c>
      <c r="Z504" s="991">
        <v>1462</v>
      </c>
      <c r="AA504" s="991">
        <v>717</v>
      </c>
      <c r="AB504" s="992">
        <f t="shared" si="154"/>
        <v>3756</v>
      </c>
      <c r="AC504" s="993">
        <f t="shared" si="155"/>
        <v>26.047156726768378</v>
      </c>
      <c r="AD504" s="994">
        <f t="shared" si="156"/>
        <v>4116</v>
      </c>
      <c r="AE504" s="995">
        <f t="shared" si="157"/>
        <v>28.543689320388353</v>
      </c>
      <c r="AF504" s="996">
        <v>83</v>
      </c>
      <c r="AG504" s="997">
        <v>64</v>
      </c>
      <c r="AH504" s="997">
        <v>6</v>
      </c>
      <c r="AI504" s="998">
        <f t="shared" si="158"/>
        <v>153</v>
      </c>
      <c r="AJ504" s="993">
        <f t="shared" si="159"/>
        <v>1.0610263522884882</v>
      </c>
    </row>
    <row r="505" spans="1:36" ht="16.5" customHeight="1">
      <c r="A505" s="999">
        <f>'09월 조업일지'!A503</f>
        <v>46284</v>
      </c>
      <c r="B505" s="1099">
        <f>'09월 조업일지'!B503</f>
        <v>46284</v>
      </c>
      <c r="C505" s="1000" t="str">
        <f>'09월 화학성분'!D503</f>
        <v>A</v>
      </c>
      <c r="D505" s="1000" t="str">
        <f>'09월 화학성분'!E503</f>
        <v>B</v>
      </c>
      <c r="E505" s="1000">
        <f>'09월 화학성분'!C503</f>
        <v>85705</v>
      </c>
      <c r="F505" s="1001" t="str">
        <f t="shared" si="145"/>
        <v>AS500N(QTB,C10)</v>
      </c>
      <c r="G505" s="1172">
        <v>21.2</v>
      </c>
      <c r="H505" s="985">
        <v>24400</v>
      </c>
      <c r="I505" s="1173">
        <v>16.7</v>
      </c>
      <c r="J505" s="985">
        <v>20600</v>
      </c>
      <c r="K505" s="1173">
        <v>14.2</v>
      </c>
      <c r="L505" s="985">
        <v>18200</v>
      </c>
      <c r="M505" s="1174">
        <f t="shared" si="146"/>
        <v>52.099999999999994</v>
      </c>
      <c r="N505" s="984">
        <f t="shared" si="147"/>
        <v>63200</v>
      </c>
      <c r="O505" s="986">
        <f t="shared" si="148"/>
        <v>167.00889801505818</v>
      </c>
      <c r="P505" s="987">
        <f t="shared" si="149"/>
        <v>140.99931553730323</v>
      </c>
      <c r="Q505" s="987">
        <f t="shared" si="150"/>
        <v>124.57221081451061</v>
      </c>
      <c r="R505" s="988">
        <f t="shared" si="151"/>
        <v>432.58042436687208</v>
      </c>
      <c r="S505" s="989">
        <v>146.1</v>
      </c>
      <c r="T505" s="990">
        <v>0</v>
      </c>
      <c r="U505" s="991">
        <v>264</v>
      </c>
      <c r="V505" s="991">
        <v>308</v>
      </c>
      <c r="W505" s="992">
        <f t="shared" si="152"/>
        <v>572</v>
      </c>
      <c r="X505" s="993">
        <f t="shared" si="153"/>
        <v>3.915126625598905</v>
      </c>
      <c r="Y505" s="990">
        <v>1757</v>
      </c>
      <c r="Z505" s="991">
        <v>1388</v>
      </c>
      <c r="AA505" s="991">
        <v>1093</v>
      </c>
      <c r="AB505" s="992">
        <f t="shared" si="154"/>
        <v>4238</v>
      </c>
      <c r="AC505" s="993">
        <f t="shared" si="155"/>
        <v>29.007529089664615</v>
      </c>
      <c r="AD505" s="994">
        <f t="shared" si="156"/>
        <v>4810</v>
      </c>
      <c r="AE505" s="995">
        <f t="shared" si="157"/>
        <v>32.922655715263517</v>
      </c>
      <c r="AF505" s="996">
        <v>89</v>
      </c>
      <c r="AG505" s="997">
        <v>65</v>
      </c>
      <c r="AH505" s="997">
        <v>10</v>
      </c>
      <c r="AI505" s="998">
        <f t="shared" si="158"/>
        <v>164</v>
      </c>
      <c r="AJ505" s="993">
        <f t="shared" si="159"/>
        <v>1.1225188227241616</v>
      </c>
    </row>
    <row r="506" spans="1:36" ht="16.5" customHeight="1">
      <c r="A506" s="999">
        <f>'09월 조업일지'!A504</f>
        <v>46284</v>
      </c>
      <c r="B506" s="1099">
        <f>'09월 조업일지'!B504</f>
        <v>46284</v>
      </c>
      <c r="C506" s="1000" t="str">
        <f>'09월 화학성분'!D504</f>
        <v>A</v>
      </c>
      <c r="D506" s="1000" t="str">
        <f>'09월 화학성분'!E504</f>
        <v>A</v>
      </c>
      <c r="E506" s="1000">
        <f>'09월 화학성분'!C504</f>
        <v>85706</v>
      </c>
      <c r="F506" s="1001" t="str">
        <f t="shared" si="145"/>
        <v>AS500N(QTB,C10)</v>
      </c>
      <c r="G506" s="1172">
        <v>19.2</v>
      </c>
      <c r="H506" s="985">
        <v>23200</v>
      </c>
      <c r="I506" s="1173">
        <v>16.7</v>
      </c>
      <c r="J506" s="985">
        <v>20600</v>
      </c>
      <c r="K506" s="1173">
        <v>9</v>
      </c>
      <c r="L506" s="985">
        <v>10200</v>
      </c>
      <c r="M506" s="1174">
        <f t="shared" si="146"/>
        <v>44.9</v>
      </c>
      <c r="N506" s="984">
        <f t="shared" si="147"/>
        <v>54000</v>
      </c>
      <c r="O506" s="986">
        <f t="shared" si="148"/>
        <v>162.57883672039245</v>
      </c>
      <c r="P506" s="987">
        <f t="shared" si="149"/>
        <v>144.35879467414156</v>
      </c>
      <c r="Q506" s="987">
        <f t="shared" si="150"/>
        <v>71.478626489138051</v>
      </c>
      <c r="R506" s="988">
        <f t="shared" si="151"/>
        <v>378.41625788367207</v>
      </c>
      <c r="S506" s="989">
        <v>142.69999999999999</v>
      </c>
      <c r="T506" s="990">
        <v>0</v>
      </c>
      <c r="U506" s="991">
        <v>107</v>
      </c>
      <c r="V506" s="991">
        <v>258</v>
      </c>
      <c r="W506" s="992">
        <f t="shared" si="152"/>
        <v>365</v>
      </c>
      <c r="X506" s="993">
        <f t="shared" si="153"/>
        <v>2.55781359495445</v>
      </c>
      <c r="Y506" s="990">
        <v>1577</v>
      </c>
      <c r="Z506" s="991">
        <v>1380</v>
      </c>
      <c r="AA506" s="991">
        <v>723</v>
      </c>
      <c r="AB506" s="992">
        <f t="shared" si="154"/>
        <v>3680</v>
      </c>
      <c r="AC506" s="993">
        <f t="shared" si="155"/>
        <v>25.78836720392432</v>
      </c>
      <c r="AD506" s="994">
        <f t="shared" si="156"/>
        <v>4045</v>
      </c>
      <c r="AE506" s="995">
        <f t="shared" si="157"/>
        <v>28.34618079887877</v>
      </c>
      <c r="AF506" s="996">
        <v>82</v>
      </c>
      <c r="AG506" s="997">
        <v>64</v>
      </c>
      <c r="AH506" s="997">
        <v>7</v>
      </c>
      <c r="AI506" s="998">
        <f t="shared" si="158"/>
        <v>153</v>
      </c>
      <c r="AJ506" s="993">
        <f t="shared" si="159"/>
        <v>1.0721793973370708</v>
      </c>
    </row>
    <row r="507" spans="1:36" ht="16.5" customHeight="1">
      <c r="A507" s="999">
        <f>'09월 조업일지'!A505</f>
        <v>46284</v>
      </c>
      <c r="B507" s="1099">
        <f>'09월 조업일지'!B505</f>
        <v>46284</v>
      </c>
      <c r="C507" s="1000" t="str">
        <f>'09월 화학성분'!D505</f>
        <v>A</v>
      </c>
      <c r="D507" s="1000" t="str">
        <f>'09월 화학성분'!E505</f>
        <v>B</v>
      </c>
      <c r="E507" s="1000">
        <f>'09월 화학성분'!C505</f>
        <v>85707</v>
      </c>
      <c r="F507" s="1104" t="s">
        <v>899</v>
      </c>
      <c r="G507" s="1172">
        <v>18.8</v>
      </c>
      <c r="H507" s="985">
        <v>22600</v>
      </c>
      <c r="I507" s="1173">
        <v>16.3</v>
      </c>
      <c r="J507" s="985">
        <v>20400</v>
      </c>
      <c r="K507" s="1173">
        <v>14.3</v>
      </c>
      <c r="L507" s="985">
        <v>16500</v>
      </c>
      <c r="M507" s="1174">
        <f t="shared" si="146"/>
        <v>49.400000000000006</v>
      </c>
      <c r="N507" s="984">
        <f t="shared" si="147"/>
        <v>59500</v>
      </c>
      <c r="O507" s="986">
        <f t="shared" si="148"/>
        <v>156.07734806629833</v>
      </c>
      <c r="P507" s="987">
        <f t="shared" si="149"/>
        <v>140.88397790055248</v>
      </c>
      <c r="Q507" s="987">
        <f t="shared" si="150"/>
        <v>113.95027624309391</v>
      </c>
      <c r="R507" s="988">
        <f t="shared" si="151"/>
        <v>410.91160220994476</v>
      </c>
      <c r="S507" s="989">
        <v>144.80000000000001</v>
      </c>
      <c r="T507" s="990">
        <v>0</v>
      </c>
      <c r="U507" s="991">
        <v>58</v>
      </c>
      <c r="V507" s="991">
        <v>325</v>
      </c>
      <c r="W507" s="992">
        <f t="shared" si="152"/>
        <v>383</v>
      </c>
      <c r="X507" s="993">
        <f t="shared" si="153"/>
        <v>2.645027624309392</v>
      </c>
      <c r="Y507" s="990">
        <v>1533</v>
      </c>
      <c r="Z507" s="991">
        <v>1351</v>
      </c>
      <c r="AA507" s="991">
        <v>1232</v>
      </c>
      <c r="AB507" s="992">
        <f t="shared" si="154"/>
        <v>4116</v>
      </c>
      <c r="AC507" s="993">
        <f t="shared" si="155"/>
        <v>28.425414364640883</v>
      </c>
      <c r="AD507" s="994">
        <f t="shared" si="156"/>
        <v>4499</v>
      </c>
      <c r="AE507" s="995">
        <f t="shared" si="157"/>
        <v>31.070441988950275</v>
      </c>
      <c r="AF507" s="996">
        <v>81</v>
      </c>
      <c r="AG507" s="997">
        <v>62</v>
      </c>
      <c r="AH507" s="997">
        <v>11</v>
      </c>
      <c r="AI507" s="998">
        <f t="shared" si="158"/>
        <v>154</v>
      </c>
      <c r="AJ507" s="993">
        <f t="shared" si="159"/>
        <v>1.0635359116022098</v>
      </c>
    </row>
    <row r="508" spans="1:36" ht="16.5" customHeight="1">
      <c r="A508" s="999">
        <f>'09월 조업일지'!A506</f>
        <v>46284</v>
      </c>
      <c r="B508" s="1099">
        <f>'09월 조업일지'!B506</f>
        <v>46284</v>
      </c>
      <c r="C508" s="1000" t="str">
        <f>'09월 화학성분'!D506</f>
        <v>B</v>
      </c>
      <c r="D508" s="1000" t="str">
        <f>'09월 화학성분'!E506</f>
        <v>A</v>
      </c>
      <c r="E508" s="1000">
        <f>'09월 화학성분'!C506</f>
        <v>85708</v>
      </c>
      <c r="F508" s="1001" t="str">
        <f t="shared" si="145"/>
        <v>SS275[CS공장]</v>
      </c>
      <c r="G508" s="1172">
        <v>19.600000000000001</v>
      </c>
      <c r="H508" s="985">
        <v>23000</v>
      </c>
      <c r="I508" s="1173">
        <v>16.8</v>
      </c>
      <c r="J508" s="985">
        <v>21000</v>
      </c>
      <c r="K508" s="1173">
        <v>9.6</v>
      </c>
      <c r="L508" s="985">
        <v>12200</v>
      </c>
      <c r="M508" s="1174">
        <f t="shared" si="146"/>
        <v>46.000000000000007</v>
      </c>
      <c r="N508" s="984">
        <f t="shared" si="147"/>
        <v>56200</v>
      </c>
      <c r="O508" s="986">
        <f t="shared" si="148"/>
        <v>157.21120984278878</v>
      </c>
      <c r="P508" s="987">
        <f t="shared" si="149"/>
        <v>143.54066985645932</v>
      </c>
      <c r="Q508" s="987">
        <f t="shared" si="150"/>
        <v>83.390293916609693</v>
      </c>
      <c r="R508" s="988">
        <f t="shared" si="151"/>
        <v>384.14217361585781</v>
      </c>
      <c r="S508" s="989">
        <v>146.30000000000001</v>
      </c>
      <c r="T508" s="990">
        <v>0</v>
      </c>
      <c r="U508" s="991">
        <v>46</v>
      </c>
      <c r="V508" s="991">
        <v>314</v>
      </c>
      <c r="W508" s="992">
        <f t="shared" si="152"/>
        <v>360</v>
      </c>
      <c r="X508" s="993">
        <f t="shared" si="153"/>
        <v>2.4606971975393028</v>
      </c>
      <c r="Y508" s="990">
        <v>1593</v>
      </c>
      <c r="Z508" s="991">
        <v>1410</v>
      </c>
      <c r="AA508" s="991">
        <v>754</v>
      </c>
      <c r="AB508" s="992">
        <f t="shared" si="154"/>
        <v>3757</v>
      </c>
      <c r="AC508" s="993">
        <f t="shared" si="155"/>
        <v>25.68010936431989</v>
      </c>
      <c r="AD508" s="994">
        <f t="shared" si="156"/>
        <v>4117</v>
      </c>
      <c r="AE508" s="995">
        <f t="shared" si="157"/>
        <v>28.14080656185919</v>
      </c>
      <c r="AF508" s="996">
        <v>83</v>
      </c>
      <c r="AG508" s="997">
        <v>64</v>
      </c>
      <c r="AH508" s="997">
        <v>6</v>
      </c>
      <c r="AI508" s="998">
        <f t="shared" si="158"/>
        <v>153</v>
      </c>
      <c r="AJ508" s="993">
        <f t="shared" si="159"/>
        <v>1.0457963089542035</v>
      </c>
    </row>
    <row r="509" spans="1:36" ht="16.5" customHeight="1">
      <c r="A509" s="999">
        <f>'09월 조업일지'!A507</f>
        <v>46284</v>
      </c>
      <c r="B509" s="1099">
        <f>'09월 조업일지'!B507</f>
        <v>46284</v>
      </c>
      <c r="C509" s="1000" t="str">
        <f>'09월 화학성분'!D507</f>
        <v>B</v>
      </c>
      <c r="D509" s="1000" t="str">
        <f>'09월 화학성분'!E507</f>
        <v>B</v>
      </c>
      <c r="E509" s="1000">
        <f>'09월 화학성분'!C507</f>
        <v>85709</v>
      </c>
      <c r="F509" s="1001" t="str">
        <f t="shared" si="145"/>
        <v>SS275[CS공장]</v>
      </c>
      <c r="G509" s="1172">
        <v>19.7</v>
      </c>
      <c r="H509" s="985">
        <v>22800</v>
      </c>
      <c r="I509" s="1173">
        <v>16.600000000000001</v>
      </c>
      <c r="J509" s="985">
        <v>20400</v>
      </c>
      <c r="K509" s="1173">
        <v>13.1</v>
      </c>
      <c r="L509" s="985">
        <v>16900</v>
      </c>
      <c r="M509" s="1174">
        <f t="shared" si="146"/>
        <v>49.4</v>
      </c>
      <c r="N509" s="984">
        <f t="shared" si="147"/>
        <v>60100</v>
      </c>
      <c r="O509" s="986">
        <f t="shared" si="148"/>
        <v>155.4192229038855</v>
      </c>
      <c r="P509" s="987">
        <f t="shared" si="149"/>
        <v>139.0593047034765</v>
      </c>
      <c r="Q509" s="987">
        <f t="shared" si="150"/>
        <v>115.20109066121337</v>
      </c>
      <c r="R509" s="988">
        <f t="shared" si="151"/>
        <v>409.67961826857538</v>
      </c>
      <c r="S509" s="989">
        <v>146.69999999999999</v>
      </c>
      <c r="T509" s="990">
        <v>0</v>
      </c>
      <c r="U509" s="991">
        <v>0</v>
      </c>
      <c r="V509" s="991">
        <v>379</v>
      </c>
      <c r="W509" s="992">
        <f t="shared" si="152"/>
        <v>379</v>
      </c>
      <c r="X509" s="993">
        <f t="shared" si="153"/>
        <v>2.5835037491479209</v>
      </c>
      <c r="Y509" s="990">
        <v>1572</v>
      </c>
      <c r="Z509" s="991">
        <v>1365</v>
      </c>
      <c r="AA509" s="991">
        <v>1228</v>
      </c>
      <c r="AB509" s="992">
        <f t="shared" si="154"/>
        <v>4165</v>
      </c>
      <c r="AC509" s="993">
        <f t="shared" si="155"/>
        <v>28.391274710293118</v>
      </c>
      <c r="AD509" s="994">
        <f t="shared" si="156"/>
        <v>4544</v>
      </c>
      <c r="AE509" s="995">
        <f t="shared" si="157"/>
        <v>30.974778459441037</v>
      </c>
      <c r="AF509" s="996">
        <v>82</v>
      </c>
      <c r="AG509" s="997">
        <v>64</v>
      </c>
      <c r="AH509" s="997">
        <v>12</v>
      </c>
      <c r="AI509" s="998">
        <f t="shared" si="158"/>
        <v>158</v>
      </c>
      <c r="AJ509" s="993">
        <f t="shared" si="159"/>
        <v>1.0770279481935925</v>
      </c>
    </row>
    <row r="510" spans="1:36" ht="16.5" customHeight="1">
      <c r="A510" s="999">
        <f>'09월 조업일지'!A508</f>
        <v>46284</v>
      </c>
      <c r="B510" s="1099">
        <f>'09월 조업일지'!B508</f>
        <v>46284</v>
      </c>
      <c r="C510" s="1000" t="str">
        <f>'09월 화학성분'!D508</f>
        <v>B</v>
      </c>
      <c r="D510" s="1000" t="str">
        <f>'09월 화학성분'!E508</f>
        <v>A</v>
      </c>
      <c r="E510" s="1000">
        <f>'09월 화학성분'!C508</f>
        <v>85710</v>
      </c>
      <c r="F510" s="1001" t="str">
        <f t="shared" si="145"/>
        <v>SS275[CS공장]</v>
      </c>
      <c r="G510" s="1172">
        <v>20</v>
      </c>
      <c r="H510" s="985">
        <v>23300</v>
      </c>
      <c r="I510" s="1173">
        <v>16.600000000000001</v>
      </c>
      <c r="J510" s="985">
        <v>20800</v>
      </c>
      <c r="K510" s="1173">
        <v>9</v>
      </c>
      <c r="L510" s="985">
        <v>11500</v>
      </c>
      <c r="M510" s="1174">
        <f t="shared" si="146"/>
        <v>45.6</v>
      </c>
      <c r="N510" s="984">
        <f t="shared" si="147"/>
        <v>55600</v>
      </c>
      <c r="O510" s="986">
        <f t="shared" si="148"/>
        <v>164.54802259887006</v>
      </c>
      <c r="P510" s="987">
        <f t="shared" si="149"/>
        <v>146.89265536723164</v>
      </c>
      <c r="Q510" s="987">
        <f t="shared" si="150"/>
        <v>81.21468926553672</v>
      </c>
      <c r="R510" s="988">
        <f t="shared" si="151"/>
        <v>392.65536723163842</v>
      </c>
      <c r="S510" s="989">
        <v>141.6</v>
      </c>
      <c r="T510" s="990">
        <v>0</v>
      </c>
      <c r="U510" s="991">
        <v>69</v>
      </c>
      <c r="V510" s="991">
        <v>275</v>
      </c>
      <c r="W510" s="992">
        <f t="shared" si="152"/>
        <v>344</v>
      </c>
      <c r="X510" s="993">
        <f t="shared" si="153"/>
        <v>2.4293785310734464</v>
      </c>
      <c r="Y510" s="990">
        <v>1620</v>
      </c>
      <c r="Z510" s="991">
        <v>1385</v>
      </c>
      <c r="AA510" s="991">
        <v>924</v>
      </c>
      <c r="AB510" s="992">
        <f t="shared" si="154"/>
        <v>3929</v>
      </c>
      <c r="AC510" s="993">
        <f t="shared" si="155"/>
        <v>27.747175141242938</v>
      </c>
      <c r="AD510" s="994">
        <f t="shared" si="156"/>
        <v>4273</v>
      </c>
      <c r="AE510" s="995">
        <f t="shared" si="157"/>
        <v>30.176553672316384</v>
      </c>
      <c r="AF510" s="996">
        <v>84</v>
      </c>
      <c r="AG510" s="997">
        <v>63</v>
      </c>
      <c r="AH510" s="997">
        <v>8</v>
      </c>
      <c r="AI510" s="998">
        <f t="shared" si="158"/>
        <v>155</v>
      </c>
      <c r="AJ510" s="993">
        <f t="shared" si="159"/>
        <v>1.094632768361582</v>
      </c>
    </row>
    <row r="511" spans="1:36" ht="16.5" customHeight="1">
      <c r="A511" s="999">
        <f>'09월 조업일지'!A509</f>
        <v>46284</v>
      </c>
      <c r="B511" s="1099">
        <f>'09월 조업일지'!B509</f>
        <v>46284</v>
      </c>
      <c r="C511" s="1000" t="str">
        <f>'09월 화학성분'!D509</f>
        <v>B</v>
      </c>
      <c r="D511" s="1000" t="str">
        <f>'09월 화학성분'!E509</f>
        <v>B</v>
      </c>
      <c r="E511" s="1000">
        <f>'09월 화학성분'!C509</f>
        <v>85711</v>
      </c>
      <c r="F511" s="1001" t="str">
        <f t="shared" si="145"/>
        <v>SS275[CS공장]</v>
      </c>
      <c r="G511" s="1172">
        <v>19.600000000000001</v>
      </c>
      <c r="H511" s="985">
        <v>24100</v>
      </c>
      <c r="I511" s="1173">
        <v>17</v>
      </c>
      <c r="J511" s="985">
        <v>20300</v>
      </c>
      <c r="K511" s="1173">
        <v>9.8000000000000007</v>
      </c>
      <c r="L511" s="985">
        <v>12700</v>
      </c>
      <c r="M511" s="1174">
        <f t="shared" si="146"/>
        <v>46.400000000000006</v>
      </c>
      <c r="N511" s="984">
        <f t="shared" si="147"/>
        <v>57100</v>
      </c>
      <c r="O511" s="986">
        <f t="shared" si="148"/>
        <v>164.39290586630287</v>
      </c>
      <c r="P511" s="987">
        <f t="shared" si="149"/>
        <v>138.47203274215553</v>
      </c>
      <c r="Q511" s="987">
        <f t="shared" si="150"/>
        <v>86.630286493860851</v>
      </c>
      <c r="R511" s="988">
        <f t="shared" si="151"/>
        <v>389.49522510231924</v>
      </c>
      <c r="S511" s="989">
        <v>146.6</v>
      </c>
      <c r="T511" s="990">
        <v>0</v>
      </c>
      <c r="U511" s="991">
        <v>47</v>
      </c>
      <c r="V511" s="991">
        <v>449</v>
      </c>
      <c r="W511" s="992">
        <f t="shared" si="152"/>
        <v>496</v>
      </c>
      <c r="X511" s="993">
        <f t="shared" si="153"/>
        <v>3.3833560709413373</v>
      </c>
      <c r="Y511" s="990">
        <v>1631</v>
      </c>
      <c r="Z511" s="991">
        <v>1407</v>
      </c>
      <c r="AA511" s="991">
        <v>1498</v>
      </c>
      <c r="AB511" s="992">
        <f t="shared" si="154"/>
        <v>4536</v>
      </c>
      <c r="AC511" s="993">
        <f t="shared" si="155"/>
        <v>30.941336971350616</v>
      </c>
      <c r="AD511" s="994">
        <f t="shared" si="156"/>
        <v>5032</v>
      </c>
      <c r="AE511" s="995">
        <f t="shared" si="157"/>
        <v>34.324693042291955</v>
      </c>
      <c r="AF511" s="996">
        <v>83</v>
      </c>
      <c r="AG511" s="997">
        <v>67</v>
      </c>
      <c r="AH511" s="997">
        <v>16</v>
      </c>
      <c r="AI511" s="998">
        <f t="shared" si="158"/>
        <v>166</v>
      </c>
      <c r="AJ511" s="993">
        <f t="shared" si="159"/>
        <v>1.1323328785811733</v>
      </c>
    </row>
    <row r="512" spans="1:36" ht="16.5" customHeight="1">
      <c r="A512" s="999">
        <f>'09월 조업일지'!A510</f>
        <v>46284</v>
      </c>
      <c r="B512" s="1099">
        <f>'09월 조업일지'!B510</f>
        <v>46284</v>
      </c>
      <c r="C512" s="1000" t="str">
        <f>'09월 화학성분'!D510</f>
        <v>B</v>
      </c>
      <c r="D512" s="1000" t="str">
        <f>'09월 화학성분'!E510</f>
        <v>A</v>
      </c>
      <c r="E512" s="1000">
        <f>'09월 화학성분'!C510</f>
        <v>85712</v>
      </c>
      <c r="F512" s="1001" t="str">
        <f t="shared" si="145"/>
        <v>SS275[CS공장]</v>
      </c>
      <c r="G512" s="1172">
        <v>20.399999999999999</v>
      </c>
      <c r="H512" s="985">
        <v>24400</v>
      </c>
      <c r="I512" s="1173">
        <v>17.100000000000001</v>
      </c>
      <c r="J512" s="985">
        <v>20900</v>
      </c>
      <c r="K512" s="1173">
        <v>9.3000000000000007</v>
      </c>
      <c r="L512" s="985">
        <v>11700</v>
      </c>
      <c r="M512" s="1174">
        <f t="shared" si="146"/>
        <v>46.8</v>
      </c>
      <c r="N512" s="984">
        <f t="shared" si="147"/>
        <v>57000</v>
      </c>
      <c r="O512" s="986">
        <f t="shared" si="148"/>
        <v>171.83098591549296</v>
      </c>
      <c r="P512" s="987">
        <f t="shared" si="149"/>
        <v>147.18309859154928</v>
      </c>
      <c r="Q512" s="987">
        <f t="shared" si="150"/>
        <v>82.394366197183103</v>
      </c>
      <c r="R512" s="988">
        <f t="shared" si="151"/>
        <v>401.40845070422534</v>
      </c>
      <c r="S512" s="989">
        <v>142</v>
      </c>
      <c r="T512" s="990">
        <v>0</v>
      </c>
      <c r="U512" s="991">
        <v>85</v>
      </c>
      <c r="V512" s="991">
        <v>293</v>
      </c>
      <c r="W512" s="992">
        <f t="shared" si="152"/>
        <v>378</v>
      </c>
      <c r="X512" s="993">
        <f t="shared" si="153"/>
        <v>2.6619718309859155</v>
      </c>
      <c r="Y512" s="990">
        <v>1678</v>
      </c>
      <c r="Z512" s="991">
        <v>1428</v>
      </c>
      <c r="AA512" s="991">
        <v>753</v>
      </c>
      <c r="AB512" s="992">
        <f t="shared" si="154"/>
        <v>3859</v>
      </c>
      <c r="AC512" s="993">
        <f t="shared" si="155"/>
        <v>27.176056338028168</v>
      </c>
      <c r="AD512" s="994">
        <f t="shared" si="156"/>
        <v>4237</v>
      </c>
      <c r="AE512" s="995">
        <f t="shared" si="157"/>
        <v>29.838028169014084</v>
      </c>
      <c r="AF512" s="996">
        <v>83</v>
      </c>
      <c r="AG512" s="997">
        <v>64</v>
      </c>
      <c r="AH512" s="997">
        <v>7</v>
      </c>
      <c r="AI512" s="998">
        <f t="shared" si="158"/>
        <v>154</v>
      </c>
      <c r="AJ512" s="993">
        <f t="shared" si="159"/>
        <v>1.0845070422535212</v>
      </c>
    </row>
    <row r="513" spans="1:36" ht="16.5" customHeight="1">
      <c r="A513" s="999">
        <f>'09월 조업일지'!A511</f>
        <v>46284</v>
      </c>
      <c r="B513" s="1099">
        <f>'09월 조업일지'!B511</f>
        <v>46284</v>
      </c>
      <c r="C513" s="1000" t="str">
        <f>'09월 화학성분'!D511</f>
        <v>B</v>
      </c>
      <c r="D513" s="1000" t="str">
        <f>'09월 화학성분'!E511</f>
        <v>B</v>
      </c>
      <c r="E513" s="1000">
        <f>'09월 화학성분'!C511</f>
        <v>85713</v>
      </c>
      <c r="F513" s="1001" t="str">
        <f t="shared" si="145"/>
        <v>SS275[CS공장]</v>
      </c>
      <c r="G513" s="1172">
        <v>19.5</v>
      </c>
      <c r="H513" s="985">
        <v>22900</v>
      </c>
      <c r="I513" s="1173">
        <v>17.100000000000001</v>
      </c>
      <c r="J513" s="985">
        <v>20500</v>
      </c>
      <c r="K513" s="1173">
        <v>9.3000000000000007</v>
      </c>
      <c r="L513" s="985">
        <v>11700</v>
      </c>
      <c r="M513" s="1174">
        <f t="shared" si="146"/>
        <v>45.900000000000006</v>
      </c>
      <c r="N513" s="984">
        <f t="shared" si="147"/>
        <v>55100</v>
      </c>
      <c r="O513" s="986">
        <f t="shared" si="148"/>
        <v>157.2802197802198</v>
      </c>
      <c r="P513" s="987">
        <f t="shared" si="149"/>
        <v>140.7967032967033</v>
      </c>
      <c r="Q513" s="987">
        <f t="shared" si="150"/>
        <v>80.357142857142861</v>
      </c>
      <c r="R513" s="988">
        <f t="shared" si="151"/>
        <v>378.43406593406598</v>
      </c>
      <c r="S513" s="989">
        <v>145.6</v>
      </c>
      <c r="T513" s="990">
        <v>0</v>
      </c>
      <c r="U513" s="991">
        <v>60</v>
      </c>
      <c r="V513" s="991">
        <v>323</v>
      </c>
      <c r="W513" s="992">
        <f t="shared" si="152"/>
        <v>383</v>
      </c>
      <c r="X513" s="993">
        <f t="shared" si="153"/>
        <v>2.6304945054945055</v>
      </c>
      <c r="Y513" s="990">
        <v>1621</v>
      </c>
      <c r="Z513" s="991">
        <v>1387</v>
      </c>
      <c r="AA513" s="991">
        <v>827</v>
      </c>
      <c r="AB513" s="992">
        <f t="shared" si="154"/>
        <v>3835</v>
      </c>
      <c r="AC513" s="993">
        <f t="shared" si="155"/>
        <v>26.339285714285715</v>
      </c>
      <c r="AD513" s="994">
        <f t="shared" si="156"/>
        <v>4218</v>
      </c>
      <c r="AE513" s="995">
        <f t="shared" si="157"/>
        <v>28.969780219780223</v>
      </c>
      <c r="AF513" s="996">
        <v>87</v>
      </c>
      <c r="AG513" s="997">
        <v>66</v>
      </c>
      <c r="AH513" s="997">
        <v>8</v>
      </c>
      <c r="AI513" s="998">
        <f t="shared" si="158"/>
        <v>161</v>
      </c>
      <c r="AJ513" s="993">
        <f t="shared" si="159"/>
        <v>1.1057692307692308</v>
      </c>
    </row>
    <row r="514" spans="1:36" ht="16.5" customHeight="1">
      <c r="A514" s="999">
        <f>'09월 조업일지'!A512</f>
        <v>46284</v>
      </c>
      <c r="B514" s="1099">
        <f>'09월 조업일지'!B512</f>
        <v>46284</v>
      </c>
      <c r="C514" s="1000" t="str">
        <f>'09월 화학성분'!D512</f>
        <v>B</v>
      </c>
      <c r="D514" s="1000" t="str">
        <f>'09월 화학성분'!E512</f>
        <v>A</v>
      </c>
      <c r="E514" s="1000">
        <f>'09월 화학성분'!C512</f>
        <v>85714</v>
      </c>
      <c r="F514" s="1001" t="str">
        <f t="shared" si="145"/>
        <v>SS275[CS공장]</v>
      </c>
      <c r="G514" s="1172">
        <v>19</v>
      </c>
      <c r="H514" s="985">
        <v>23000</v>
      </c>
      <c r="I514" s="1173">
        <v>16.899999999999999</v>
      </c>
      <c r="J514" s="985">
        <v>20600</v>
      </c>
      <c r="K514" s="1173">
        <v>10</v>
      </c>
      <c r="L514" s="985">
        <v>12600</v>
      </c>
      <c r="M514" s="1174">
        <f t="shared" si="146"/>
        <v>45.9</v>
      </c>
      <c r="N514" s="984">
        <f t="shared" si="147"/>
        <v>56200</v>
      </c>
      <c r="O514" s="986">
        <f t="shared" si="148"/>
        <v>162.77423920736021</v>
      </c>
      <c r="P514" s="987">
        <f t="shared" si="149"/>
        <v>145.78910120311394</v>
      </c>
      <c r="Q514" s="987">
        <f t="shared" si="150"/>
        <v>89.171974522292984</v>
      </c>
      <c r="R514" s="988">
        <f t="shared" si="151"/>
        <v>397.73531493276715</v>
      </c>
      <c r="S514" s="989">
        <v>141.30000000000001</v>
      </c>
      <c r="T514" s="990">
        <v>0</v>
      </c>
      <c r="U514" s="991">
        <v>21</v>
      </c>
      <c r="V514" s="991">
        <v>300</v>
      </c>
      <c r="W514" s="992">
        <f t="shared" si="152"/>
        <v>321</v>
      </c>
      <c r="X514" s="993">
        <f t="shared" si="153"/>
        <v>2.2717622080679405</v>
      </c>
      <c r="Y514" s="990">
        <v>1567</v>
      </c>
      <c r="Z514" s="991">
        <v>1426</v>
      </c>
      <c r="AA514" s="991">
        <v>842</v>
      </c>
      <c r="AB514" s="992">
        <f t="shared" si="154"/>
        <v>3835</v>
      </c>
      <c r="AC514" s="993">
        <f t="shared" si="155"/>
        <v>27.140835102618539</v>
      </c>
      <c r="AD514" s="994">
        <f t="shared" si="156"/>
        <v>4156</v>
      </c>
      <c r="AE514" s="995">
        <f t="shared" si="157"/>
        <v>29.412597310686479</v>
      </c>
      <c r="AF514" s="996">
        <v>81</v>
      </c>
      <c r="AG514" s="997">
        <v>64</v>
      </c>
      <c r="AH514" s="997">
        <v>7</v>
      </c>
      <c r="AI514" s="998">
        <f t="shared" si="158"/>
        <v>152</v>
      </c>
      <c r="AJ514" s="993">
        <f t="shared" si="159"/>
        <v>1.0757254069355979</v>
      </c>
    </row>
    <row r="515" spans="1:36" ht="16.5" customHeight="1">
      <c r="A515" s="999">
        <f>'09월 조업일지'!A513</f>
        <v>46284</v>
      </c>
      <c r="B515" s="1099">
        <f>'09월 조업일지'!B513</f>
        <v>46284</v>
      </c>
      <c r="C515" s="1000" t="str">
        <f>'09월 화학성분'!D513</f>
        <v>B</v>
      </c>
      <c r="D515" s="1000" t="str">
        <f>'09월 화학성분'!E513</f>
        <v>B</v>
      </c>
      <c r="E515" s="1000">
        <f>'09월 화학성분'!C513</f>
        <v>85715</v>
      </c>
      <c r="F515" s="1001" t="str">
        <f t="shared" si="145"/>
        <v>SS275[CS공장]</v>
      </c>
      <c r="G515" s="1172">
        <v>19.2</v>
      </c>
      <c r="H515" s="985">
        <v>22600</v>
      </c>
      <c r="I515" s="1173">
        <v>16.8</v>
      </c>
      <c r="J515" s="985">
        <v>20600</v>
      </c>
      <c r="K515" s="1173">
        <v>10.3</v>
      </c>
      <c r="L515" s="985">
        <v>12200</v>
      </c>
      <c r="M515" s="1174">
        <f t="shared" si="146"/>
        <v>46.3</v>
      </c>
      <c r="N515" s="984">
        <f t="shared" si="147"/>
        <v>55400</v>
      </c>
      <c r="O515" s="986">
        <f t="shared" si="148"/>
        <v>154.05589638718473</v>
      </c>
      <c r="P515" s="987">
        <f t="shared" si="149"/>
        <v>140.42263122017724</v>
      </c>
      <c r="Q515" s="987">
        <f t="shared" si="150"/>
        <v>83.162917518745743</v>
      </c>
      <c r="R515" s="988">
        <f t="shared" si="151"/>
        <v>377.64144512610773</v>
      </c>
      <c r="S515" s="989">
        <v>146.69999999999999</v>
      </c>
      <c r="T515" s="990">
        <v>0</v>
      </c>
      <c r="U515" s="991">
        <v>0</v>
      </c>
      <c r="V515" s="991">
        <v>294</v>
      </c>
      <c r="W515" s="992">
        <f t="shared" si="152"/>
        <v>294</v>
      </c>
      <c r="X515" s="993">
        <f t="shared" si="153"/>
        <v>2.0040899795501024</v>
      </c>
      <c r="Y515" s="990">
        <v>1557</v>
      </c>
      <c r="Z515" s="991">
        <v>1367</v>
      </c>
      <c r="AA515" s="991">
        <v>1077</v>
      </c>
      <c r="AB515" s="992">
        <f t="shared" si="154"/>
        <v>4001</v>
      </c>
      <c r="AC515" s="993">
        <f t="shared" si="155"/>
        <v>27.273346966598503</v>
      </c>
      <c r="AD515" s="994">
        <f t="shared" si="156"/>
        <v>4295</v>
      </c>
      <c r="AE515" s="995">
        <f t="shared" si="157"/>
        <v>29.277436946148605</v>
      </c>
      <c r="AF515" s="996">
        <v>82</v>
      </c>
      <c r="AG515" s="997">
        <v>65</v>
      </c>
      <c r="AH515" s="997">
        <v>11</v>
      </c>
      <c r="AI515" s="998">
        <f t="shared" si="158"/>
        <v>158</v>
      </c>
      <c r="AJ515" s="993">
        <f t="shared" si="159"/>
        <v>1.0770279481935925</v>
      </c>
    </row>
    <row r="516" spans="1:36" ht="16.5" customHeight="1">
      <c r="A516" s="999">
        <f>'09월 조업일지'!A514</f>
        <v>46284</v>
      </c>
      <c r="B516" s="1099">
        <f>'09월 조업일지'!B514</f>
        <v>46284</v>
      </c>
      <c r="C516" s="1000" t="str">
        <f>'09월 화학성분'!D514</f>
        <v>B</v>
      </c>
      <c r="D516" s="1000" t="str">
        <f>'09월 화학성분'!E514</f>
        <v>A</v>
      </c>
      <c r="E516" s="1000">
        <f>'09월 화학성분'!C514</f>
        <v>85716</v>
      </c>
      <c r="F516" s="1001" t="str">
        <f t="shared" si="145"/>
        <v>SS275[CS공장]</v>
      </c>
      <c r="G516" s="1172">
        <v>19.5</v>
      </c>
      <c r="H516" s="985">
        <v>23300</v>
      </c>
      <c r="I516" s="1173">
        <v>17</v>
      </c>
      <c r="J516" s="985">
        <v>20800</v>
      </c>
      <c r="K516" s="1173">
        <v>8.8000000000000007</v>
      </c>
      <c r="L516" s="985">
        <v>1100</v>
      </c>
      <c r="M516" s="1174">
        <f t="shared" si="146"/>
        <v>45.3</v>
      </c>
      <c r="N516" s="984">
        <f t="shared" si="147"/>
        <v>45200</v>
      </c>
      <c r="O516" s="986">
        <f t="shared" si="148"/>
        <v>160.578911095796</v>
      </c>
      <c r="P516" s="987">
        <f t="shared" si="149"/>
        <v>143.34941419710546</v>
      </c>
      <c r="Q516" s="987">
        <f t="shared" si="150"/>
        <v>7.580978635423846</v>
      </c>
      <c r="R516" s="988">
        <f t="shared" si="151"/>
        <v>311.50930392832532</v>
      </c>
      <c r="S516" s="989">
        <v>145.1</v>
      </c>
      <c r="T516" s="990">
        <v>0</v>
      </c>
      <c r="U516" s="991">
        <v>44</v>
      </c>
      <c r="V516" s="991">
        <v>276</v>
      </c>
      <c r="W516" s="992">
        <f t="shared" si="152"/>
        <v>320</v>
      </c>
      <c r="X516" s="993">
        <f t="shared" si="153"/>
        <v>2.2053756030323917</v>
      </c>
      <c r="Y516" s="990">
        <v>1583</v>
      </c>
      <c r="Z516" s="991">
        <v>1396</v>
      </c>
      <c r="AA516" s="991">
        <v>840</v>
      </c>
      <c r="AB516" s="992">
        <f t="shared" si="154"/>
        <v>3819</v>
      </c>
      <c r="AC516" s="993">
        <f t="shared" si="155"/>
        <v>26.319779462439698</v>
      </c>
      <c r="AD516" s="994">
        <f t="shared" si="156"/>
        <v>4139</v>
      </c>
      <c r="AE516" s="995">
        <f t="shared" si="157"/>
        <v>28.525155065472088</v>
      </c>
      <c r="AF516" s="996">
        <v>82</v>
      </c>
      <c r="AG516" s="997">
        <v>64</v>
      </c>
      <c r="AH516" s="997">
        <v>8</v>
      </c>
      <c r="AI516" s="998">
        <f t="shared" si="158"/>
        <v>154</v>
      </c>
      <c r="AJ516" s="993">
        <f t="shared" si="159"/>
        <v>1.0613370089593384</v>
      </c>
    </row>
    <row r="517" spans="1:36" ht="16.5" customHeight="1">
      <c r="A517" s="999">
        <f>'09월 조업일지'!A515</f>
        <v>46284</v>
      </c>
      <c r="B517" s="1099">
        <f>'09월 조업일지'!B515</f>
        <v>46284</v>
      </c>
      <c r="C517" s="1000" t="str">
        <f>'09월 화학성분'!D515</f>
        <v>B</v>
      </c>
      <c r="D517" s="1000" t="str">
        <f>'09월 화학성분'!E515</f>
        <v>B</v>
      </c>
      <c r="E517" s="1000">
        <f>'09월 화학성분'!C515</f>
        <v>85717</v>
      </c>
      <c r="F517" s="1104" t="s">
        <v>905</v>
      </c>
      <c r="G517" s="1172">
        <v>19.3</v>
      </c>
      <c r="H517" s="985">
        <v>23000</v>
      </c>
      <c r="I517" s="1173">
        <v>16.7</v>
      </c>
      <c r="J517" s="985">
        <v>20500</v>
      </c>
      <c r="K517" s="1173">
        <v>8.9</v>
      </c>
      <c r="L517" s="985">
        <v>11600</v>
      </c>
      <c r="M517" s="1174">
        <f t="shared" si="146"/>
        <v>44.9</v>
      </c>
      <c r="N517" s="984">
        <f t="shared" si="147"/>
        <v>55100</v>
      </c>
      <c r="O517" s="986">
        <f t="shared" si="148"/>
        <v>160.2787456445993</v>
      </c>
      <c r="P517" s="987">
        <f t="shared" si="149"/>
        <v>142.85714285714286</v>
      </c>
      <c r="Q517" s="987">
        <f t="shared" si="150"/>
        <v>80.836236933797906</v>
      </c>
      <c r="R517" s="988">
        <f t="shared" si="151"/>
        <v>383.97212543554008</v>
      </c>
      <c r="S517" s="989">
        <v>143.5</v>
      </c>
      <c r="T517" s="990">
        <v>0</v>
      </c>
      <c r="U517" s="991">
        <v>23</v>
      </c>
      <c r="V517" s="991">
        <v>348</v>
      </c>
      <c r="W517" s="992">
        <f t="shared" si="152"/>
        <v>371</v>
      </c>
      <c r="X517" s="993">
        <f t="shared" si="153"/>
        <v>2.5853658536585367</v>
      </c>
      <c r="Y517" s="990">
        <v>1593</v>
      </c>
      <c r="Z517" s="991">
        <v>1371</v>
      </c>
      <c r="AA517" s="991">
        <v>807</v>
      </c>
      <c r="AB517" s="992">
        <f t="shared" si="154"/>
        <v>3771</v>
      </c>
      <c r="AC517" s="993">
        <f t="shared" si="155"/>
        <v>26.278745644599304</v>
      </c>
      <c r="AD517" s="994">
        <f t="shared" si="156"/>
        <v>4142</v>
      </c>
      <c r="AE517" s="995">
        <f t="shared" si="157"/>
        <v>28.864111498257838</v>
      </c>
      <c r="AF517" s="996">
        <v>83</v>
      </c>
      <c r="AG517" s="997">
        <v>64</v>
      </c>
      <c r="AH517" s="997">
        <v>7</v>
      </c>
      <c r="AI517" s="998">
        <f t="shared" si="158"/>
        <v>154</v>
      </c>
      <c r="AJ517" s="993">
        <f t="shared" si="159"/>
        <v>1.0731707317073171</v>
      </c>
    </row>
    <row r="518" spans="1:36" ht="16.5" customHeight="1">
      <c r="A518" s="999">
        <f>'09월 조업일지'!A516</f>
        <v>46284</v>
      </c>
      <c r="B518" s="1099">
        <f>'09월 조업일지'!B516</f>
        <v>46284</v>
      </c>
      <c r="C518" s="1000" t="str">
        <f>'09월 화학성분'!D516</f>
        <v>D</v>
      </c>
      <c r="D518" s="1000" t="str">
        <f>'09월 화학성분'!E516</f>
        <v>A</v>
      </c>
      <c r="E518" s="1000">
        <f>'09월 화학성분'!C516</f>
        <v>85718</v>
      </c>
      <c r="F518" s="1001" t="str">
        <f t="shared" si="145"/>
        <v>DKOIL</v>
      </c>
      <c r="G518" s="1172">
        <v>19.3</v>
      </c>
      <c r="H518" s="985">
        <v>22600</v>
      </c>
      <c r="I518" s="1173">
        <v>16.7</v>
      </c>
      <c r="J518" s="985">
        <v>20900</v>
      </c>
      <c r="K518" s="1173">
        <v>8.1999999999999993</v>
      </c>
      <c r="L518" s="985">
        <v>10600</v>
      </c>
      <c r="M518" s="1174">
        <f t="shared" si="146"/>
        <v>44.2</v>
      </c>
      <c r="N518" s="984">
        <f t="shared" si="147"/>
        <v>54100</v>
      </c>
      <c r="O518" s="986">
        <f t="shared" si="148"/>
        <v>160.05665722379604</v>
      </c>
      <c r="P518" s="987">
        <f t="shared" si="149"/>
        <v>148.01699716713881</v>
      </c>
      <c r="Q518" s="987">
        <f t="shared" si="150"/>
        <v>75.070821529745047</v>
      </c>
      <c r="R518" s="988">
        <f t="shared" si="151"/>
        <v>383.14447592067989</v>
      </c>
      <c r="S518" s="989">
        <v>141.19999999999999</v>
      </c>
      <c r="T518" s="990">
        <v>0</v>
      </c>
      <c r="U518" s="991">
        <v>43</v>
      </c>
      <c r="V518" s="991">
        <v>296</v>
      </c>
      <c r="W518" s="992">
        <f t="shared" si="152"/>
        <v>339</v>
      </c>
      <c r="X518" s="993">
        <f t="shared" si="153"/>
        <v>2.4008498583569406</v>
      </c>
      <c r="Y518" s="990">
        <v>1537</v>
      </c>
      <c r="Z518" s="991">
        <v>1400</v>
      </c>
      <c r="AA518" s="991">
        <v>736</v>
      </c>
      <c r="AB518" s="992">
        <f t="shared" si="154"/>
        <v>3673</v>
      </c>
      <c r="AC518" s="993">
        <f t="shared" si="155"/>
        <v>26.012747875354108</v>
      </c>
      <c r="AD518" s="994">
        <f t="shared" si="156"/>
        <v>4012</v>
      </c>
      <c r="AE518" s="995">
        <f t="shared" si="157"/>
        <v>28.41359773371105</v>
      </c>
      <c r="AF518" s="996">
        <v>82</v>
      </c>
      <c r="AG518" s="997">
        <v>63</v>
      </c>
      <c r="AH518" s="997">
        <v>6</v>
      </c>
      <c r="AI518" s="998">
        <f t="shared" si="158"/>
        <v>151</v>
      </c>
      <c r="AJ518" s="993">
        <f t="shared" si="159"/>
        <v>1.0694050991501418</v>
      </c>
    </row>
    <row r="519" spans="1:36" ht="16.5" customHeight="1">
      <c r="A519" s="999">
        <f>'09월 조업일지'!A517</f>
        <v>46284</v>
      </c>
      <c r="B519" s="1099">
        <f>'09월 조업일지'!B517</f>
        <v>46284</v>
      </c>
      <c r="C519" s="1000" t="str">
        <f>'09월 화학성분'!D517</f>
        <v>D</v>
      </c>
      <c r="D519" s="1000" t="str">
        <f>'09월 화학성분'!E517</f>
        <v>B</v>
      </c>
      <c r="E519" s="1000">
        <f>'09월 화학성분'!C517</f>
        <v>85719</v>
      </c>
      <c r="F519" s="1001" t="str">
        <f t="shared" si="145"/>
        <v>DKOIL</v>
      </c>
      <c r="G519" s="1172">
        <v>18.7</v>
      </c>
      <c r="H519" s="985">
        <v>22400</v>
      </c>
      <c r="I519" s="1173">
        <v>16.899999999999999</v>
      </c>
      <c r="J519" s="985">
        <v>20700</v>
      </c>
      <c r="K519" s="1173">
        <v>9.1999999999999993</v>
      </c>
      <c r="L519" s="985">
        <v>11800</v>
      </c>
      <c r="M519" s="1174">
        <f t="shared" si="146"/>
        <v>44.8</v>
      </c>
      <c r="N519" s="984">
        <f t="shared" si="147"/>
        <v>54900</v>
      </c>
      <c r="O519" s="986">
        <f t="shared" si="148"/>
        <v>152.69256987048399</v>
      </c>
      <c r="P519" s="987">
        <f t="shared" si="149"/>
        <v>141.10429447852761</v>
      </c>
      <c r="Q519" s="987">
        <f t="shared" si="150"/>
        <v>80.436264485344253</v>
      </c>
      <c r="R519" s="988">
        <f t="shared" si="151"/>
        <v>374.23312883435585</v>
      </c>
      <c r="S519" s="989">
        <v>146.69999999999999</v>
      </c>
      <c r="T519" s="990">
        <v>0</v>
      </c>
      <c r="U519" s="991">
        <v>9</v>
      </c>
      <c r="V519" s="991">
        <v>333</v>
      </c>
      <c r="W519" s="992">
        <f t="shared" si="152"/>
        <v>342</v>
      </c>
      <c r="X519" s="993">
        <f t="shared" si="153"/>
        <v>2.3312883435582825</v>
      </c>
      <c r="Y519" s="990">
        <v>1514</v>
      </c>
      <c r="Z519" s="991">
        <v>1420</v>
      </c>
      <c r="AA519" s="991">
        <v>822</v>
      </c>
      <c r="AB519" s="992">
        <f t="shared" si="154"/>
        <v>3756</v>
      </c>
      <c r="AC519" s="993">
        <f t="shared" si="155"/>
        <v>25.603271983640084</v>
      </c>
      <c r="AD519" s="994">
        <f t="shared" si="156"/>
        <v>4098</v>
      </c>
      <c r="AE519" s="995">
        <f t="shared" si="157"/>
        <v>27.934560327198366</v>
      </c>
      <c r="AF519" s="996">
        <v>81</v>
      </c>
      <c r="AG519" s="997">
        <v>66</v>
      </c>
      <c r="AH519" s="997">
        <v>7</v>
      </c>
      <c r="AI519" s="998">
        <f t="shared" si="158"/>
        <v>154</v>
      </c>
      <c r="AJ519" s="993">
        <f t="shared" si="159"/>
        <v>1.0497614178595776</v>
      </c>
    </row>
    <row r="520" spans="1:36" ht="16.5" customHeight="1">
      <c r="A520" s="999">
        <f>'09월 조업일지'!A518</f>
        <v>46284</v>
      </c>
      <c r="B520" s="1099">
        <f>'09월 조업일지'!B518</f>
        <v>46284</v>
      </c>
      <c r="C520" s="1000" t="str">
        <f>'09월 화학성분'!D518</f>
        <v>D</v>
      </c>
      <c r="D520" s="1000" t="str">
        <f>'09월 화학성분'!E518</f>
        <v>A</v>
      </c>
      <c r="E520" s="1000">
        <f>'09월 화학성분'!C518</f>
        <v>85720</v>
      </c>
      <c r="F520" s="1001" t="str">
        <f t="shared" si="145"/>
        <v>DKOIL</v>
      </c>
      <c r="G520" s="1172">
        <v>19.399999999999999</v>
      </c>
      <c r="H520" s="985">
        <v>23200</v>
      </c>
      <c r="I520" s="1173">
        <v>17.3</v>
      </c>
      <c r="J520" s="985">
        <v>20900</v>
      </c>
      <c r="K520" s="1173">
        <v>8</v>
      </c>
      <c r="L520" s="985">
        <v>11300</v>
      </c>
      <c r="M520" s="1174">
        <f t="shared" si="146"/>
        <v>44.7</v>
      </c>
      <c r="N520" s="984">
        <f t="shared" si="147"/>
        <v>55400</v>
      </c>
      <c r="O520" s="986">
        <f t="shared" si="148"/>
        <v>161.89811584089321</v>
      </c>
      <c r="P520" s="987">
        <f t="shared" si="149"/>
        <v>145.84787159804605</v>
      </c>
      <c r="Q520" s="987">
        <f t="shared" si="150"/>
        <v>78.855547801814367</v>
      </c>
      <c r="R520" s="988">
        <f t="shared" si="151"/>
        <v>386.60153524075361</v>
      </c>
      <c r="S520" s="989">
        <v>143.30000000000001</v>
      </c>
      <c r="T520" s="990">
        <v>0</v>
      </c>
      <c r="U520" s="991">
        <v>55</v>
      </c>
      <c r="V520" s="991">
        <v>278</v>
      </c>
      <c r="W520" s="992">
        <f t="shared" si="152"/>
        <v>333</v>
      </c>
      <c r="X520" s="993">
        <f t="shared" si="153"/>
        <v>2.3237962316817864</v>
      </c>
      <c r="Y520" s="990">
        <v>1602</v>
      </c>
      <c r="Z520" s="991">
        <v>1448</v>
      </c>
      <c r="AA520" s="991">
        <v>746</v>
      </c>
      <c r="AB520" s="992">
        <f t="shared" si="154"/>
        <v>3796</v>
      </c>
      <c r="AC520" s="993">
        <f t="shared" si="155"/>
        <v>26.489881367759942</v>
      </c>
      <c r="AD520" s="994">
        <f t="shared" si="156"/>
        <v>4129</v>
      </c>
      <c r="AE520" s="995">
        <f t="shared" si="157"/>
        <v>28.813677599441728</v>
      </c>
      <c r="AF520" s="996">
        <v>83</v>
      </c>
      <c r="AG520" s="997">
        <v>66</v>
      </c>
      <c r="AH520" s="997">
        <v>6</v>
      </c>
      <c r="AI520" s="998">
        <f t="shared" si="158"/>
        <v>155</v>
      </c>
      <c r="AJ520" s="993">
        <f t="shared" si="159"/>
        <v>1.0816468946266573</v>
      </c>
    </row>
    <row r="521" spans="1:36" ht="16.5" customHeight="1">
      <c r="A521" s="999">
        <f>'09월 조업일지'!A519</f>
        <v>46284</v>
      </c>
      <c r="B521" s="1099">
        <f>'09월 조업일지'!B519</f>
        <v>46284</v>
      </c>
      <c r="C521" s="1000" t="str">
        <f>'09월 화학성분'!D519</f>
        <v>D</v>
      </c>
      <c r="D521" s="1000" t="str">
        <f>'09월 화학성분'!E519</f>
        <v>B</v>
      </c>
      <c r="E521" s="1000">
        <f>'09월 화학성분'!C519</f>
        <v>85721</v>
      </c>
      <c r="F521" s="1001" t="str">
        <f t="shared" si="145"/>
        <v>DKOIL</v>
      </c>
      <c r="G521" s="1172">
        <v>18.3</v>
      </c>
      <c r="H521" s="985">
        <v>22400</v>
      </c>
      <c r="I521" s="1173">
        <v>16.2</v>
      </c>
      <c r="J521" s="985">
        <v>20400</v>
      </c>
      <c r="K521" s="1173">
        <v>11.3</v>
      </c>
      <c r="L521" s="985">
        <v>14400</v>
      </c>
      <c r="M521" s="1174">
        <f t="shared" si="146"/>
        <v>45.8</v>
      </c>
      <c r="N521" s="984">
        <f t="shared" si="147"/>
        <v>57200</v>
      </c>
      <c r="O521" s="986">
        <f t="shared" si="148"/>
        <v>154.91009681881053</v>
      </c>
      <c r="P521" s="987">
        <f t="shared" si="149"/>
        <v>141.07883817427387</v>
      </c>
      <c r="Q521" s="987">
        <f t="shared" si="150"/>
        <v>99.585062240663902</v>
      </c>
      <c r="R521" s="988">
        <f t="shared" si="151"/>
        <v>395.57399723374829</v>
      </c>
      <c r="S521" s="989">
        <v>144.6</v>
      </c>
      <c r="T521" s="990">
        <v>0</v>
      </c>
      <c r="U521" s="991">
        <v>0</v>
      </c>
      <c r="V521" s="991">
        <v>336</v>
      </c>
      <c r="W521" s="992">
        <f t="shared" si="152"/>
        <v>336</v>
      </c>
      <c r="X521" s="993">
        <f t="shared" si="153"/>
        <v>2.3236514522821579</v>
      </c>
      <c r="Y521" s="990">
        <v>1509</v>
      </c>
      <c r="Z521" s="991">
        <v>1342</v>
      </c>
      <c r="AA521" s="991">
        <v>888</v>
      </c>
      <c r="AB521" s="992">
        <f t="shared" si="154"/>
        <v>3739</v>
      </c>
      <c r="AC521" s="993">
        <f t="shared" si="155"/>
        <v>25.857538035961273</v>
      </c>
      <c r="AD521" s="994">
        <f t="shared" si="156"/>
        <v>4075</v>
      </c>
      <c r="AE521" s="995">
        <f t="shared" si="157"/>
        <v>28.18118948824343</v>
      </c>
      <c r="AF521" s="996">
        <v>79</v>
      </c>
      <c r="AG521" s="997">
        <v>67</v>
      </c>
      <c r="AH521" s="997">
        <v>7</v>
      </c>
      <c r="AI521" s="998">
        <f t="shared" si="158"/>
        <v>153</v>
      </c>
      <c r="AJ521" s="993">
        <f t="shared" si="159"/>
        <v>1.058091286307054</v>
      </c>
    </row>
    <row r="522" spans="1:36" ht="16.5" customHeight="1">
      <c r="A522" s="999">
        <f>'09월 조업일지'!A520</f>
        <v>46284</v>
      </c>
      <c r="B522" s="1099">
        <f>'09월 조업일지'!B520</f>
        <v>46284</v>
      </c>
      <c r="C522" s="1000" t="str">
        <f>'09월 화학성분'!D520</f>
        <v>D</v>
      </c>
      <c r="D522" s="1000" t="str">
        <f>'09월 화학성분'!E520</f>
        <v>A</v>
      </c>
      <c r="E522" s="1000">
        <f>'09월 화학성분'!C520</f>
        <v>85722</v>
      </c>
      <c r="F522" s="1001" t="str">
        <f t="shared" si="145"/>
        <v>DKOIL</v>
      </c>
      <c r="G522" s="1172">
        <v>19.3</v>
      </c>
      <c r="H522" s="985">
        <v>23300</v>
      </c>
      <c r="I522" s="1173">
        <v>16.8</v>
      </c>
      <c r="J522" s="985">
        <v>20900</v>
      </c>
      <c r="K522" s="1173">
        <v>8.6999999999999993</v>
      </c>
      <c r="L522" s="985">
        <v>10800</v>
      </c>
      <c r="M522" s="1174">
        <f t="shared" si="146"/>
        <v>44.8</v>
      </c>
      <c r="N522" s="984">
        <f t="shared" si="147"/>
        <v>55000</v>
      </c>
      <c r="O522" s="986">
        <f t="shared" si="148"/>
        <v>163.50877192982455</v>
      </c>
      <c r="P522" s="987">
        <f t="shared" si="149"/>
        <v>146.66666666666666</v>
      </c>
      <c r="Q522" s="987">
        <f t="shared" si="150"/>
        <v>75.78947368421052</v>
      </c>
      <c r="R522" s="988">
        <f t="shared" si="151"/>
        <v>385.9649122807017</v>
      </c>
      <c r="S522" s="989">
        <v>142.5</v>
      </c>
      <c r="T522" s="990">
        <v>0</v>
      </c>
      <c r="U522" s="991">
        <v>69</v>
      </c>
      <c r="V522" s="991">
        <v>268</v>
      </c>
      <c r="W522" s="992">
        <f t="shared" si="152"/>
        <v>337</v>
      </c>
      <c r="X522" s="993">
        <f t="shared" si="153"/>
        <v>2.3649122807017542</v>
      </c>
      <c r="Y522" s="990">
        <v>1621</v>
      </c>
      <c r="Z522" s="991">
        <v>1412</v>
      </c>
      <c r="AA522" s="991">
        <v>826</v>
      </c>
      <c r="AB522" s="992">
        <f t="shared" si="154"/>
        <v>3859</v>
      </c>
      <c r="AC522" s="993">
        <f t="shared" si="155"/>
        <v>27.080701754385966</v>
      </c>
      <c r="AD522" s="994">
        <f t="shared" si="156"/>
        <v>4196</v>
      </c>
      <c r="AE522" s="995">
        <f t="shared" si="157"/>
        <v>29.445614035087718</v>
      </c>
      <c r="AF522" s="996">
        <v>82</v>
      </c>
      <c r="AG522" s="997">
        <v>64</v>
      </c>
      <c r="AH522" s="997">
        <v>8</v>
      </c>
      <c r="AI522" s="998">
        <f t="shared" si="158"/>
        <v>154</v>
      </c>
      <c r="AJ522" s="993">
        <f t="shared" si="159"/>
        <v>1.0807017543859649</v>
      </c>
    </row>
    <row r="523" spans="1:36" ht="16.5" customHeight="1">
      <c r="A523" s="999">
        <f>'09월 조업일지'!A521</f>
        <v>46284</v>
      </c>
      <c r="B523" s="1099">
        <f>'09월 조업일지'!B521</f>
        <v>46284</v>
      </c>
      <c r="C523" s="1000" t="str">
        <f>'09월 화학성분'!D521</f>
        <v>D</v>
      </c>
      <c r="D523" s="1000" t="str">
        <f>'09월 화학성분'!E521</f>
        <v>B</v>
      </c>
      <c r="E523" s="1000">
        <f>'09월 화학성분'!C521</f>
        <v>85723</v>
      </c>
      <c r="F523" s="1001" t="str">
        <f t="shared" si="145"/>
        <v>DKOIL</v>
      </c>
      <c r="G523" s="1172">
        <v>18.3</v>
      </c>
      <c r="H523" s="985">
        <v>22400</v>
      </c>
      <c r="I523" s="1173">
        <v>16.2</v>
      </c>
      <c r="J523" s="985">
        <v>20400</v>
      </c>
      <c r="K523" s="1173">
        <v>9.4</v>
      </c>
      <c r="L523" s="985">
        <v>12100</v>
      </c>
      <c r="M523" s="1174">
        <f t="shared" si="146"/>
        <v>43.9</v>
      </c>
      <c r="N523" s="984">
        <f t="shared" si="147"/>
        <v>54900</v>
      </c>
      <c r="O523" s="986">
        <f t="shared" si="148"/>
        <v>154.58937198067633</v>
      </c>
      <c r="P523" s="987">
        <f t="shared" si="149"/>
        <v>140.78674948240166</v>
      </c>
      <c r="Q523" s="987">
        <f t="shared" si="150"/>
        <v>83.505866114561769</v>
      </c>
      <c r="R523" s="988">
        <f t="shared" si="151"/>
        <v>378.88198757763973</v>
      </c>
      <c r="S523" s="989">
        <v>144.9</v>
      </c>
      <c r="T523" s="990">
        <v>0</v>
      </c>
      <c r="U523" s="991">
        <v>0</v>
      </c>
      <c r="V523" s="991">
        <v>341</v>
      </c>
      <c r="W523" s="992">
        <f t="shared" si="152"/>
        <v>341</v>
      </c>
      <c r="X523" s="993">
        <f t="shared" si="153"/>
        <v>2.3533471359558313</v>
      </c>
      <c r="Y523" s="990">
        <v>1503</v>
      </c>
      <c r="Z523" s="991">
        <v>1344</v>
      </c>
      <c r="AA523" s="991">
        <v>844</v>
      </c>
      <c r="AB523" s="992">
        <f t="shared" si="154"/>
        <v>3691</v>
      </c>
      <c r="AC523" s="993">
        <f t="shared" si="155"/>
        <v>25.472739820565906</v>
      </c>
      <c r="AD523" s="994">
        <f t="shared" si="156"/>
        <v>4032</v>
      </c>
      <c r="AE523" s="995">
        <f t="shared" si="157"/>
        <v>27.826086956521738</v>
      </c>
      <c r="AF523" s="996">
        <v>79</v>
      </c>
      <c r="AG523" s="997">
        <v>66</v>
      </c>
      <c r="AH523" s="997">
        <v>7</v>
      </c>
      <c r="AI523" s="998">
        <f t="shared" si="158"/>
        <v>152</v>
      </c>
      <c r="AJ523" s="993">
        <f t="shared" si="159"/>
        <v>1.048999309868875</v>
      </c>
    </row>
    <row r="524" spans="1:36" ht="16.5" customHeight="1">
      <c r="A524" s="999">
        <f>'09월 조업일지'!A522</f>
        <v>46285</v>
      </c>
      <c r="B524" s="1099">
        <f>'09월 조업일지'!B522</f>
        <v>46284</v>
      </c>
      <c r="C524" s="1000" t="str">
        <f>'09월 화학성분'!D522</f>
        <v>D</v>
      </c>
      <c r="D524" s="1000" t="str">
        <f>'09월 화학성분'!E522</f>
        <v>A</v>
      </c>
      <c r="E524" s="1000">
        <f>'09월 화학성분'!C522</f>
        <v>85724</v>
      </c>
      <c r="F524" s="1001" t="str">
        <f t="shared" si="145"/>
        <v>DKOIL</v>
      </c>
      <c r="G524" s="1172">
        <v>19.2</v>
      </c>
      <c r="H524" s="985">
        <v>22600</v>
      </c>
      <c r="I524" s="1173">
        <v>16.7</v>
      </c>
      <c r="J524" s="985">
        <v>20600</v>
      </c>
      <c r="K524" s="1173">
        <v>8.4</v>
      </c>
      <c r="L524" s="985">
        <v>10700</v>
      </c>
      <c r="M524" s="1174">
        <f t="shared" si="146"/>
        <v>44.3</v>
      </c>
      <c r="N524" s="984">
        <f t="shared" si="147"/>
        <v>53900</v>
      </c>
      <c r="O524" s="986">
        <f t="shared" si="148"/>
        <v>156.18521078092607</v>
      </c>
      <c r="P524" s="987">
        <f t="shared" si="149"/>
        <v>142.36351071181755</v>
      </c>
      <c r="Q524" s="987">
        <f t="shared" si="150"/>
        <v>73.946095369730486</v>
      </c>
      <c r="R524" s="988">
        <f t="shared" si="151"/>
        <v>372.49481686247412</v>
      </c>
      <c r="S524" s="989">
        <v>144.69999999999999</v>
      </c>
      <c r="T524" s="990">
        <v>0</v>
      </c>
      <c r="U524" s="991">
        <v>39</v>
      </c>
      <c r="V524" s="991">
        <v>297</v>
      </c>
      <c r="W524" s="992">
        <f t="shared" si="152"/>
        <v>336</v>
      </c>
      <c r="X524" s="993">
        <f t="shared" si="153"/>
        <v>2.3220456116102284</v>
      </c>
      <c r="Y524" s="990">
        <v>1562</v>
      </c>
      <c r="Z524" s="991">
        <v>1391</v>
      </c>
      <c r="AA524" s="991">
        <v>794</v>
      </c>
      <c r="AB524" s="992">
        <f t="shared" si="154"/>
        <v>3747</v>
      </c>
      <c r="AC524" s="993">
        <f t="shared" si="155"/>
        <v>25.894955079474776</v>
      </c>
      <c r="AD524" s="994">
        <f t="shared" si="156"/>
        <v>4083</v>
      </c>
      <c r="AE524" s="995">
        <f t="shared" si="157"/>
        <v>28.217000691085005</v>
      </c>
      <c r="AF524" s="996">
        <v>83</v>
      </c>
      <c r="AG524" s="997">
        <v>63</v>
      </c>
      <c r="AH524" s="997">
        <v>7</v>
      </c>
      <c r="AI524" s="998">
        <f t="shared" si="158"/>
        <v>153</v>
      </c>
      <c r="AJ524" s="993">
        <f t="shared" si="159"/>
        <v>1.0573600552868003</v>
      </c>
    </row>
    <row r="525" spans="1:36" ht="16.5" customHeight="1">
      <c r="A525" s="999">
        <f>'09월 조업일지'!A523</f>
        <v>46285</v>
      </c>
      <c r="B525" s="1099">
        <f>'09월 조업일지'!B523</f>
        <v>46284</v>
      </c>
      <c r="C525" s="1000" t="str">
        <f>'09월 화학성분'!D523</f>
        <v>D</v>
      </c>
      <c r="D525" s="1000" t="str">
        <f>'09월 화학성분'!E523</f>
        <v>B</v>
      </c>
      <c r="E525" s="1000">
        <f>'09월 화학성분'!C523</f>
        <v>85725</v>
      </c>
      <c r="F525" s="1001" t="str">
        <f t="shared" si="145"/>
        <v>DKOIL</v>
      </c>
      <c r="G525" s="1172">
        <v>18.600000000000001</v>
      </c>
      <c r="H525" s="985">
        <v>22700</v>
      </c>
      <c r="I525" s="1173">
        <v>16.399999999999999</v>
      </c>
      <c r="J525" s="985">
        <v>20600</v>
      </c>
      <c r="K525" s="1173">
        <v>9.1999999999999993</v>
      </c>
      <c r="L525" s="985">
        <v>11900</v>
      </c>
      <c r="M525" s="1174">
        <f t="shared" si="146"/>
        <v>44.2</v>
      </c>
      <c r="N525" s="984">
        <f t="shared" si="147"/>
        <v>55200</v>
      </c>
      <c r="O525" s="986">
        <f t="shared" si="148"/>
        <v>156.55172413793105</v>
      </c>
      <c r="P525" s="987">
        <f t="shared" si="149"/>
        <v>142.06896551724137</v>
      </c>
      <c r="Q525" s="987">
        <f t="shared" si="150"/>
        <v>82.068965517241381</v>
      </c>
      <c r="R525" s="988">
        <f t="shared" si="151"/>
        <v>380.68965517241384</v>
      </c>
      <c r="S525" s="989">
        <v>145</v>
      </c>
      <c r="T525" s="990">
        <v>0</v>
      </c>
      <c r="U525" s="991">
        <v>0</v>
      </c>
      <c r="V525" s="991">
        <v>340</v>
      </c>
      <c r="W525" s="992">
        <f t="shared" si="152"/>
        <v>340</v>
      </c>
      <c r="X525" s="993">
        <f t="shared" si="153"/>
        <v>2.3448275862068964</v>
      </c>
      <c r="Y525" s="990">
        <v>1515</v>
      </c>
      <c r="Z525" s="991">
        <v>1379</v>
      </c>
      <c r="AA525" s="991">
        <v>803</v>
      </c>
      <c r="AB525" s="992">
        <f t="shared" si="154"/>
        <v>3697</v>
      </c>
      <c r="AC525" s="993">
        <f t="shared" si="155"/>
        <v>25.49655172413793</v>
      </c>
      <c r="AD525" s="994">
        <f t="shared" si="156"/>
        <v>4037</v>
      </c>
      <c r="AE525" s="995">
        <f t="shared" si="157"/>
        <v>27.841379310344827</v>
      </c>
      <c r="AF525" s="996">
        <v>81</v>
      </c>
      <c r="AG525" s="997">
        <v>65</v>
      </c>
      <c r="AH525" s="997">
        <v>7</v>
      </c>
      <c r="AI525" s="998">
        <f t="shared" si="158"/>
        <v>153</v>
      </c>
      <c r="AJ525" s="993">
        <f t="shared" si="159"/>
        <v>1.0551724137931036</v>
      </c>
    </row>
    <row r="526" spans="1:36" ht="16.5" customHeight="1">
      <c r="A526" s="999">
        <f>'09월 조업일지'!A524</f>
        <v>46285</v>
      </c>
      <c r="B526" s="1099">
        <f>'09월 조업일지'!B524</f>
        <v>46284</v>
      </c>
      <c r="C526" s="1000" t="str">
        <f>'09월 화학성분'!D524</f>
        <v>D</v>
      </c>
      <c r="D526" s="1000" t="str">
        <f>'09월 화학성분'!E524</f>
        <v>A</v>
      </c>
      <c r="E526" s="1000">
        <f>'09월 화학성분'!C524</f>
        <v>85726</v>
      </c>
      <c r="F526" s="1001" t="str">
        <f t="shared" si="145"/>
        <v>DKOIL</v>
      </c>
      <c r="G526" s="1172">
        <v>19.8</v>
      </c>
      <c r="H526" s="985">
        <v>23300</v>
      </c>
      <c r="I526" s="1173">
        <v>16.899999999999999</v>
      </c>
      <c r="J526" s="985">
        <v>20800</v>
      </c>
      <c r="K526" s="1173">
        <v>8.8000000000000007</v>
      </c>
      <c r="L526" s="985">
        <v>11200</v>
      </c>
      <c r="M526" s="1174">
        <f t="shared" si="146"/>
        <v>45.5</v>
      </c>
      <c r="N526" s="984">
        <f t="shared" si="147"/>
        <v>55300</v>
      </c>
      <c r="O526" s="986">
        <f t="shared" si="148"/>
        <v>162.36933797909407</v>
      </c>
      <c r="P526" s="987">
        <f t="shared" si="149"/>
        <v>144.94773519163763</v>
      </c>
      <c r="Q526" s="987">
        <f t="shared" si="150"/>
        <v>78.048780487804876</v>
      </c>
      <c r="R526" s="988">
        <f t="shared" si="151"/>
        <v>385.36585365853659</v>
      </c>
      <c r="S526" s="989">
        <v>143.5</v>
      </c>
      <c r="T526" s="990">
        <v>0</v>
      </c>
      <c r="U526" s="991">
        <v>28</v>
      </c>
      <c r="V526" s="991">
        <v>318</v>
      </c>
      <c r="W526" s="992">
        <f t="shared" si="152"/>
        <v>346</v>
      </c>
      <c r="X526" s="993">
        <f t="shared" si="153"/>
        <v>2.4111498257839723</v>
      </c>
      <c r="Y526" s="990">
        <v>1634</v>
      </c>
      <c r="Z526" s="991">
        <v>1399</v>
      </c>
      <c r="AA526" s="991">
        <v>828</v>
      </c>
      <c r="AB526" s="992">
        <f t="shared" si="154"/>
        <v>3861</v>
      </c>
      <c r="AC526" s="993">
        <f t="shared" si="155"/>
        <v>26.905923344947734</v>
      </c>
      <c r="AD526" s="994">
        <f t="shared" si="156"/>
        <v>4207</v>
      </c>
      <c r="AE526" s="995">
        <f t="shared" si="157"/>
        <v>29.317073170731707</v>
      </c>
      <c r="AF526" s="996">
        <v>84</v>
      </c>
      <c r="AG526" s="997">
        <v>63</v>
      </c>
      <c r="AH526" s="997">
        <v>7</v>
      </c>
      <c r="AI526" s="998">
        <f t="shared" si="158"/>
        <v>154</v>
      </c>
      <c r="AJ526" s="993">
        <f t="shared" si="159"/>
        <v>1.0731707317073171</v>
      </c>
    </row>
    <row r="527" spans="1:36" ht="16.5" customHeight="1">
      <c r="A527" s="999">
        <f>'09월 조업일지'!A525</f>
        <v>46285</v>
      </c>
      <c r="B527" s="1099">
        <f>'09월 조업일지'!B525</f>
        <v>46284</v>
      </c>
      <c r="C527" s="1000" t="str">
        <f>'09월 화학성분'!D525</f>
        <v>D</v>
      </c>
      <c r="D527" s="1000" t="str">
        <f>'09월 화학성분'!E525</f>
        <v>B</v>
      </c>
      <c r="E527" s="1000">
        <f>'09월 화학성분'!C525</f>
        <v>85727</v>
      </c>
      <c r="F527" s="1001" t="str">
        <f t="shared" si="145"/>
        <v>DKOIL</v>
      </c>
      <c r="G527" s="1172">
        <v>19.3</v>
      </c>
      <c r="H527" s="985">
        <v>23100</v>
      </c>
      <c r="I527" s="1173">
        <v>16.899999999999999</v>
      </c>
      <c r="J527" s="985">
        <v>20500</v>
      </c>
      <c r="K527" s="1173">
        <v>8.9</v>
      </c>
      <c r="L527" s="985">
        <v>11500</v>
      </c>
      <c r="M527" s="1174">
        <f t="shared" si="146"/>
        <v>45.1</v>
      </c>
      <c r="N527" s="984">
        <f t="shared" si="147"/>
        <v>55100</v>
      </c>
      <c r="O527" s="986">
        <f t="shared" si="148"/>
        <v>162.21910112359549</v>
      </c>
      <c r="P527" s="987">
        <f t="shared" si="149"/>
        <v>143.96067415730337</v>
      </c>
      <c r="Q527" s="987">
        <f t="shared" si="150"/>
        <v>80.758426966292134</v>
      </c>
      <c r="R527" s="988">
        <f t="shared" si="151"/>
        <v>386.93820224719099</v>
      </c>
      <c r="S527" s="989">
        <v>142.4</v>
      </c>
      <c r="T527" s="990">
        <v>0</v>
      </c>
      <c r="U527" s="991">
        <v>0</v>
      </c>
      <c r="V527" s="991">
        <v>346</v>
      </c>
      <c r="W527" s="992">
        <f t="shared" si="152"/>
        <v>346</v>
      </c>
      <c r="X527" s="993">
        <f t="shared" si="153"/>
        <v>2.4297752808988764</v>
      </c>
      <c r="Y527" s="990">
        <v>1579</v>
      </c>
      <c r="Z527" s="991">
        <v>1400</v>
      </c>
      <c r="AA527" s="991">
        <v>890</v>
      </c>
      <c r="AB527" s="992">
        <f t="shared" si="154"/>
        <v>3869</v>
      </c>
      <c r="AC527" s="993">
        <f t="shared" si="155"/>
        <v>27.169943820224717</v>
      </c>
      <c r="AD527" s="994">
        <f t="shared" si="156"/>
        <v>4215</v>
      </c>
      <c r="AE527" s="995">
        <f t="shared" si="157"/>
        <v>29.599719101123593</v>
      </c>
      <c r="AF527" s="996">
        <v>85</v>
      </c>
      <c r="AG527" s="997">
        <v>64</v>
      </c>
      <c r="AH527" s="997">
        <v>8</v>
      </c>
      <c r="AI527" s="998">
        <f t="shared" si="158"/>
        <v>157</v>
      </c>
      <c r="AJ527" s="993">
        <f t="shared" si="159"/>
        <v>1.1025280898876404</v>
      </c>
    </row>
    <row r="528" spans="1:36" ht="16.5" customHeight="1">
      <c r="A528" s="999">
        <f>'09월 조업일지'!A526</f>
        <v>46285</v>
      </c>
      <c r="B528" s="1099">
        <f>'09월 조업일지'!B526</f>
        <v>46285</v>
      </c>
      <c r="C528" s="1000" t="str">
        <f>'09월 화학성분'!D526</f>
        <v>A</v>
      </c>
      <c r="D528" s="1000" t="str">
        <f>'09월 화학성분'!E526</f>
        <v>A</v>
      </c>
      <c r="E528" s="1000">
        <f>'09월 화학성분'!C526</f>
        <v>85728</v>
      </c>
      <c r="F528" s="1001" t="str">
        <f t="shared" ref="F528:F591" si="160">IF(G528="","",F527)</f>
        <v>DKOIL</v>
      </c>
      <c r="G528" s="1172">
        <v>18.8</v>
      </c>
      <c r="H528" s="985">
        <v>22200</v>
      </c>
      <c r="I528" s="1173">
        <v>16.7</v>
      </c>
      <c r="J528" s="985">
        <v>20600</v>
      </c>
      <c r="K528" s="1173">
        <v>8.6999999999999993</v>
      </c>
      <c r="L528" s="985">
        <v>11200</v>
      </c>
      <c r="M528" s="1174">
        <f t="shared" ref="M528:M591" si="161">IF(ISBLANK(G528),"",SUM(G528,I528,K528))</f>
        <v>44.2</v>
      </c>
      <c r="N528" s="984">
        <f t="shared" ref="N528:N591" si="162">IF(ISBLANK(H528),"",SUM(H528,J528,L528))</f>
        <v>54000</v>
      </c>
      <c r="O528" s="986">
        <f t="shared" ref="O528:O591" si="163">IF(ISBLANK(H528),"",H528/S528)</f>
        <v>154.59610027855155</v>
      </c>
      <c r="P528" s="987">
        <f t="shared" ref="P528:P591" si="164">IF(ISBLANK(J528),"",+J528/S528)</f>
        <v>143.4540389972145</v>
      </c>
      <c r="Q528" s="987">
        <f t="shared" ref="Q528:Q591" si="165">IF(ISBLANK(L528),"",L528/S528)</f>
        <v>77.994428969359333</v>
      </c>
      <c r="R528" s="988">
        <f t="shared" ref="R528:R591" si="166">IF(ISBLANK(L528),"",SUM(O528:Q528))</f>
        <v>376.04456824512533</v>
      </c>
      <c r="S528" s="989">
        <v>143.6</v>
      </c>
      <c r="T528" s="990">
        <v>0</v>
      </c>
      <c r="U528" s="991">
        <v>32</v>
      </c>
      <c r="V528" s="991">
        <v>340</v>
      </c>
      <c r="W528" s="992">
        <f t="shared" ref="W528:W591" si="167">IF(SUM(T528:V528)=0,"",SUM(T528:V528))</f>
        <v>372</v>
      </c>
      <c r="X528" s="993">
        <f t="shared" ref="X528:X591" si="168">IF(W528="","",W528/S528)</f>
        <v>2.5905292479108635</v>
      </c>
      <c r="Y528" s="990">
        <v>1507</v>
      </c>
      <c r="Z528" s="991">
        <v>1390</v>
      </c>
      <c r="AA528" s="991">
        <v>767</v>
      </c>
      <c r="AB528" s="992">
        <f t="shared" ref="AB528:AB591" si="169">IF(SUM(Y528:AA528)=0,"",SUM(Y528:AA528))</f>
        <v>3664</v>
      </c>
      <c r="AC528" s="993">
        <f t="shared" ref="AC528:AC591" si="170">IF(AB528="","",AB528/S528)</f>
        <v>25.51532033426184</v>
      </c>
      <c r="AD528" s="994">
        <f t="shared" ref="AD528:AD591" si="171">IF(SUM(W528,AB528)=0,"",SUM(W528,AB528))</f>
        <v>4036</v>
      </c>
      <c r="AE528" s="995">
        <f t="shared" ref="AE528:AE591" si="172">IF(AD528="","",AD528/S528)</f>
        <v>28.105849582172702</v>
      </c>
      <c r="AF528" s="996">
        <v>82</v>
      </c>
      <c r="AG528" s="997">
        <v>63</v>
      </c>
      <c r="AH528" s="997">
        <v>7</v>
      </c>
      <c r="AI528" s="998">
        <f t="shared" ref="AI528:AI591" si="173">IF(SUM(AF528:AH528)=0,"",SUM(AF528:AH528))</f>
        <v>152</v>
      </c>
      <c r="AJ528" s="993">
        <f t="shared" ref="AJ528:AJ591" si="174">IF(AI528="","",AI528/S528)</f>
        <v>1.0584958217270195</v>
      </c>
    </row>
    <row r="529" spans="1:36" ht="16.5" customHeight="1">
      <c r="A529" s="999">
        <f>'09월 조업일지'!A527</f>
        <v>46285</v>
      </c>
      <c r="B529" s="1099">
        <f>'09월 조업일지'!B527</f>
        <v>46285</v>
      </c>
      <c r="C529" s="1000" t="str">
        <f>'09월 화학성분'!D527</f>
        <v>A</v>
      </c>
      <c r="D529" s="1000" t="str">
        <f>'09월 화학성분'!E527</f>
        <v>B</v>
      </c>
      <c r="E529" s="1000">
        <f>'09월 화학성분'!C527</f>
        <v>85729</v>
      </c>
      <c r="F529" s="1001" t="str">
        <f t="shared" si="160"/>
        <v>DKOIL</v>
      </c>
      <c r="G529" s="1172">
        <v>19.3</v>
      </c>
      <c r="H529" s="985">
        <v>23100</v>
      </c>
      <c r="I529" s="1173">
        <v>16.5</v>
      </c>
      <c r="J529" s="985">
        <v>20200</v>
      </c>
      <c r="K529" s="1173">
        <v>9.9</v>
      </c>
      <c r="L529" s="985">
        <v>12800</v>
      </c>
      <c r="M529" s="1174">
        <f t="shared" si="161"/>
        <v>45.699999999999996</v>
      </c>
      <c r="N529" s="984">
        <f t="shared" si="162"/>
        <v>56100</v>
      </c>
      <c r="O529" s="986">
        <f t="shared" si="163"/>
        <v>160.30534351145039</v>
      </c>
      <c r="P529" s="987">
        <f t="shared" si="164"/>
        <v>140.18043025676613</v>
      </c>
      <c r="Q529" s="987">
        <f t="shared" si="165"/>
        <v>88.827203331020129</v>
      </c>
      <c r="R529" s="988">
        <f t="shared" si="166"/>
        <v>389.31297709923666</v>
      </c>
      <c r="S529" s="989">
        <v>144.1</v>
      </c>
      <c r="T529" s="990">
        <v>0</v>
      </c>
      <c r="U529" s="991">
        <v>62</v>
      </c>
      <c r="V529" s="991">
        <v>301</v>
      </c>
      <c r="W529" s="992">
        <f t="shared" si="167"/>
        <v>363</v>
      </c>
      <c r="X529" s="993">
        <f t="shared" si="168"/>
        <v>2.5190839694656488</v>
      </c>
      <c r="Y529" s="990">
        <v>1581</v>
      </c>
      <c r="Z529" s="991">
        <v>1363</v>
      </c>
      <c r="AA529" s="991">
        <v>800</v>
      </c>
      <c r="AB529" s="992">
        <f t="shared" si="169"/>
        <v>3744</v>
      </c>
      <c r="AC529" s="993">
        <f t="shared" si="170"/>
        <v>25.981956974323388</v>
      </c>
      <c r="AD529" s="994">
        <f t="shared" si="171"/>
        <v>4107</v>
      </c>
      <c r="AE529" s="995">
        <f t="shared" si="172"/>
        <v>28.501040943789036</v>
      </c>
      <c r="AF529" s="996">
        <v>85</v>
      </c>
      <c r="AG529" s="997">
        <v>62</v>
      </c>
      <c r="AH529" s="997">
        <v>7</v>
      </c>
      <c r="AI529" s="998">
        <f t="shared" si="173"/>
        <v>154</v>
      </c>
      <c r="AJ529" s="993">
        <f t="shared" si="174"/>
        <v>1.0687022900763359</v>
      </c>
    </row>
    <row r="530" spans="1:36" ht="16.5" customHeight="1">
      <c r="A530" s="999">
        <f>'09월 조업일지'!A528</f>
        <v>46285</v>
      </c>
      <c r="B530" s="1099">
        <f>'09월 조업일지'!B528</f>
        <v>46285</v>
      </c>
      <c r="C530" s="1000" t="str">
        <f>'09월 화학성분'!D528</f>
        <v>A</v>
      </c>
      <c r="D530" s="1000" t="str">
        <f>'09월 화학성분'!E528</f>
        <v>A</v>
      </c>
      <c r="E530" s="1000">
        <f>'09월 화학성분'!C528</f>
        <v>85730</v>
      </c>
      <c r="F530" s="1001" t="str">
        <f t="shared" si="160"/>
        <v>DKOIL</v>
      </c>
      <c r="G530" s="1172">
        <v>19.100000000000001</v>
      </c>
      <c r="H530" s="985">
        <v>23200</v>
      </c>
      <c r="I530" s="1173">
        <v>17</v>
      </c>
      <c r="J530" s="985">
        <v>20800</v>
      </c>
      <c r="K530" s="1173">
        <v>7.9</v>
      </c>
      <c r="L530" s="985">
        <v>10100</v>
      </c>
      <c r="M530" s="1174">
        <f t="shared" si="161"/>
        <v>44</v>
      </c>
      <c r="N530" s="984">
        <f t="shared" si="162"/>
        <v>54100</v>
      </c>
      <c r="O530" s="986">
        <f t="shared" si="163"/>
        <v>161.44745998608212</v>
      </c>
      <c r="P530" s="987">
        <f t="shared" si="164"/>
        <v>144.74599860821155</v>
      </c>
      <c r="Q530" s="987">
        <f t="shared" si="165"/>
        <v>70.285316631871964</v>
      </c>
      <c r="R530" s="988">
        <f t="shared" si="166"/>
        <v>376.47877522616568</v>
      </c>
      <c r="S530" s="989">
        <v>143.69999999999999</v>
      </c>
      <c r="T530" s="990">
        <v>0</v>
      </c>
      <c r="U530" s="991">
        <v>97</v>
      </c>
      <c r="V530" s="991">
        <v>263</v>
      </c>
      <c r="W530" s="992">
        <f t="shared" si="167"/>
        <v>360</v>
      </c>
      <c r="X530" s="993">
        <f t="shared" si="168"/>
        <v>2.505219206680585</v>
      </c>
      <c r="Y530" s="990">
        <v>1552</v>
      </c>
      <c r="Z530" s="991">
        <v>1409</v>
      </c>
      <c r="AA530" s="991">
        <v>686</v>
      </c>
      <c r="AB530" s="992">
        <f t="shared" si="169"/>
        <v>3647</v>
      </c>
      <c r="AC530" s="993">
        <f t="shared" si="170"/>
        <v>25.379262352122481</v>
      </c>
      <c r="AD530" s="994">
        <f t="shared" si="171"/>
        <v>4007</v>
      </c>
      <c r="AE530" s="995">
        <f t="shared" si="172"/>
        <v>27.884481558803063</v>
      </c>
      <c r="AF530" s="996">
        <v>81</v>
      </c>
      <c r="AG530" s="997">
        <v>65</v>
      </c>
      <c r="AH530" s="997">
        <v>7</v>
      </c>
      <c r="AI530" s="998">
        <f t="shared" si="173"/>
        <v>153</v>
      </c>
      <c r="AJ530" s="993">
        <f t="shared" si="174"/>
        <v>1.0647181628392486</v>
      </c>
    </row>
    <row r="531" spans="1:36" ht="16.5" customHeight="1">
      <c r="A531" s="999">
        <f>'09월 조업일지'!A529</f>
        <v>46285</v>
      </c>
      <c r="B531" s="1099">
        <f>'09월 조업일지'!B529</f>
        <v>46285</v>
      </c>
      <c r="C531" s="1000" t="str">
        <f>'09월 화학성분'!D529</f>
        <v>A</v>
      </c>
      <c r="D531" s="1000" t="str">
        <f>'09월 화학성분'!E529</f>
        <v>B</v>
      </c>
      <c r="E531" s="1000">
        <f>'09월 화학성분'!C529</f>
        <v>85731</v>
      </c>
      <c r="F531" s="1001" t="str">
        <f t="shared" si="160"/>
        <v>DKOIL</v>
      </c>
      <c r="G531" s="1172">
        <v>19.399999999999999</v>
      </c>
      <c r="H531" s="985">
        <v>23200</v>
      </c>
      <c r="I531" s="1173">
        <v>16.399999999999999</v>
      </c>
      <c r="J531" s="985">
        <v>20400</v>
      </c>
      <c r="K531" s="1173">
        <v>9.9</v>
      </c>
      <c r="L531" s="985">
        <v>12700</v>
      </c>
      <c r="M531" s="1174">
        <f t="shared" si="161"/>
        <v>45.699999999999996</v>
      </c>
      <c r="N531" s="984">
        <f t="shared" si="162"/>
        <v>56300</v>
      </c>
      <c r="O531" s="986">
        <f t="shared" si="163"/>
        <v>161.78521617852161</v>
      </c>
      <c r="P531" s="987">
        <f t="shared" si="164"/>
        <v>142.25941422594141</v>
      </c>
      <c r="Q531" s="987">
        <f t="shared" si="165"/>
        <v>88.563458856345889</v>
      </c>
      <c r="R531" s="988">
        <f t="shared" si="166"/>
        <v>392.60808926080892</v>
      </c>
      <c r="S531" s="989">
        <v>143.4</v>
      </c>
      <c r="T531" s="990">
        <v>0</v>
      </c>
      <c r="U531" s="991">
        <v>71</v>
      </c>
      <c r="V531" s="991">
        <v>298</v>
      </c>
      <c r="W531" s="992">
        <f t="shared" si="167"/>
        <v>369</v>
      </c>
      <c r="X531" s="993">
        <f t="shared" si="168"/>
        <v>2.5732217573221758</v>
      </c>
      <c r="Y531" s="990">
        <v>1571</v>
      </c>
      <c r="Z531" s="991">
        <v>1344</v>
      </c>
      <c r="AA531" s="991">
        <v>932</v>
      </c>
      <c r="AB531" s="992">
        <f t="shared" si="169"/>
        <v>3847</v>
      </c>
      <c r="AC531" s="993">
        <f t="shared" si="170"/>
        <v>26.827057182705719</v>
      </c>
      <c r="AD531" s="994">
        <f t="shared" si="171"/>
        <v>4216</v>
      </c>
      <c r="AE531" s="995">
        <f t="shared" si="172"/>
        <v>29.400278940027892</v>
      </c>
      <c r="AF531" s="996">
        <v>81</v>
      </c>
      <c r="AG531" s="997">
        <v>64</v>
      </c>
      <c r="AH531" s="997">
        <v>8</v>
      </c>
      <c r="AI531" s="998">
        <f t="shared" si="173"/>
        <v>153</v>
      </c>
      <c r="AJ531" s="993">
        <f t="shared" si="174"/>
        <v>1.0669456066945606</v>
      </c>
    </row>
    <row r="532" spans="1:36" ht="16.5" customHeight="1">
      <c r="A532" s="999">
        <f>'09월 조업일지'!A530</f>
        <v>46285</v>
      </c>
      <c r="B532" s="1099">
        <f>'09월 조업일지'!B530</f>
        <v>46285</v>
      </c>
      <c r="C532" s="1000" t="str">
        <f>'09월 화학성분'!D530</f>
        <v>A</v>
      </c>
      <c r="D532" s="1000" t="str">
        <f>'09월 화학성분'!E530</f>
        <v>A</v>
      </c>
      <c r="E532" s="1000">
        <f>'09월 화학성분'!C530</f>
        <v>85732</v>
      </c>
      <c r="F532" s="1001" t="str">
        <f t="shared" si="160"/>
        <v>DKOIL</v>
      </c>
      <c r="G532" s="1172">
        <v>19.399999999999999</v>
      </c>
      <c r="H532" s="985">
        <v>23500</v>
      </c>
      <c r="I532" s="1173">
        <v>16.7</v>
      </c>
      <c r="J532" s="985">
        <v>20600</v>
      </c>
      <c r="K532" s="1173">
        <v>7.3</v>
      </c>
      <c r="L532" s="985">
        <v>9400</v>
      </c>
      <c r="M532" s="1174">
        <f t="shared" si="161"/>
        <v>43.399999999999991</v>
      </c>
      <c r="N532" s="984">
        <f t="shared" si="162"/>
        <v>53500</v>
      </c>
      <c r="O532" s="986">
        <f t="shared" si="163"/>
        <v>164.33566433566435</v>
      </c>
      <c r="P532" s="987">
        <f t="shared" si="164"/>
        <v>144.05594405594405</v>
      </c>
      <c r="Q532" s="987">
        <f t="shared" si="165"/>
        <v>65.734265734265733</v>
      </c>
      <c r="R532" s="988">
        <f t="shared" si="166"/>
        <v>374.12587412587413</v>
      </c>
      <c r="S532" s="989">
        <v>143</v>
      </c>
      <c r="T532" s="990">
        <v>0</v>
      </c>
      <c r="U532" s="991">
        <v>82</v>
      </c>
      <c r="V532" s="991">
        <v>268</v>
      </c>
      <c r="W532" s="992">
        <f t="shared" si="167"/>
        <v>350</v>
      </c>
      <c r="X532" s="993">
        <f t="shared" si="168"/>
        <v>2.4475524475524475</v>
      </c>
      <c r="Y532" s="990">
        <v>1594</v>
      </c>
      <c r="Z532" s="991">
        <v>1375</v>
      </c>
      <c r="AA532" s="991">
        <v>619</v>
      </c>
      <c r="AB532" s="992">
        <f t="shared" si="169"/>
        <v>3588</v>
      </c>
      <c r="AC532" s="993">
        <f t="shared" si="170"/>
        <v>25.09090909090909</v>
      </c>
      <c r="AD532" s="994">
        <f t="shared" si="171"/>
        <v>3938</v>
      </c>
      <c r="AE532" s="995">
        <f t="shared" si="172"/>
        <v>27.53846153846154</v>
      </c>
      <c r="AF532" s="996">
        <v>81</v>
      </c>
      <c r="AG532" s="997">
        <v>65</v>
      </c>
      <c r="AH532" s="997">
        <v>5</v>
      </c>
      <c r="AI532" s="998">
        <f t="shared" si="173"/>
        <v>151</v>
      </c>
      <c r="AJ532" s="993">
        <f t="shared" si="174"/>
        <v>1.055944055944056</v>
      </c>
    </row>
    <row r="533" spans="1:36" ht="16.5" customHeight="1">
      <c r="A533" s="999">
        <f>'09월 조업일지'!A531</f>
        <v>46285</v>
      </c>
      <c r="B533" s="1099">
        <f>'09월 조업일지'!B531</f>
        <v>46285</v>
      </c>
      <c r="C533" s="1000" t="str">
        <f>'09월 화학성분'!D531</f>
        <v>A</v>
      </c>
      <c r="D533" s="1000" t="str">
        <f>'09월 화학성분'!E531</f>
        <v>B</v>
      </c>
      <c r="E533" s="1000">
        <f>'09월 화학성분'!C531</f>
        <v>85733</v>
      </c>
      <c r="F533" s="1001" t="str">
        <f t="shared" si="160"/>
        <v>DKOIL</v>
      </c>
      <c r="G533" s="1172">
        <v>19.100000000000001</v>
      </c>
      <c r="H533" s="985">
        <v>23300</v>
      </c>
      <c r="I533" s="1173">
        <v>16.399999999999999</v>
      </c>
      <c r="J533" s="985">
        <v>20500</v>
      </c>
      <c r="K533" s="1173">
        <v>9.6</v>
      </c>
      <c r="L533" s="985">
        <v>12300</v>
      </c>
      <c r="M533" s="1174">
        <f t="shared" si="161"/>
        <v>45.1</v>
      </c>
      <c r="N533" s="984">
        <f t="shared" si="162"/>
        <v>56100</v>
      </c>
      <c r="O533" s="986">
        <f t="shared" si="163"/>
        <v>163.27960756832516</v>
      </c>
      <c r="P533" s="987">
        <f t="shared" si="164"/>
        <v>143.65802382620885</v>
      </c>
      <c r="Q533" s="987">
        <f t="shared" si="165"/>
        <v>86.194814295725308</v>
      </c>
      <c r="R533" s="988">
        <f t="shared" si="166"/>
        <v>393.13244569025937</v>
      </c>
      <c r="S533" s="989">
        <v>142.69999999999999</v>
      </c>
      <c r="T533" s="990">
        <v>0</v>
      </c>
      <c r="U533" s="991">
        <v>65</v>
      </c>
      <c r="V533" s="991">
        <v>280</v>
      </c>
      <c r="W533" s="992">
        <f t="shared" si="167"/>
        <v>345</v>
      </c>
      <c r="X533" s="993">
        <f t="shared" si="168"/>
        <v>2.4176594253679049</v>
      </c>
      <c r="Y533" s="990">
        <v>1567</v>
      </c>
      <c r="Z533" s="991">
        <v>1325</v>
      </c>
      <c r="AA533" s="991">
        <v>915</v>
      </c>
      <c r="AB533" s="992">
        <f t="shared" si="169"/>
        <v>3807</v>
      </c>
      <c r="AC533" s="993">
        <f t="shared" si="170"/>
        <v>26.678346180798879</v>
      </c>
      <c r="AD533" s="994">
        <f t="shared" si="171"/>
        <v>4152</v>
      </c>
      <c r="AE533" s="995">
        <f t="shared" si="172"/>
        <v>29.096005606166784</v>
      </c>
      <c r="AF533" s="996">
        <v>82</v>
      </c>
      <c r="AG533" s="997">
        <v>61</v>
      </c>
      <c r="AH533" s="997">
        <v>7</v>
      </c>
      <c r="AI533" s="998">
        <f t="shared" si="173"/>
        <v>150</v>
      </c>
      <c r="AJ533" s="993">
        <f t="shared" si="174"/>
        <v>1.051156271899089</v>
      </c>
    </row>
    <row r="534" spans="1:36" ht="16.5" customHeight="1">
      <c r="A534" s="999">
        <f>'09월 조업일지'!A532</f>
        <v>46285</v>
      </c>
      <c r="B534" s="1099">
        <f>'09월 조업일지'!B532</f>
        <v>46285</v>
      </c>
      <c r="C534" s="1000" t="str">
        <f>'09월 화학성분'!D532</f>
        <v>A</v>
      </c>
      <c r="D534" s="1000" t="str">
        <f>'09월 화학성분'!E532</f>
        <v>A</v>
      </c>
      <c r="E534" s="1000">
        <f>'09월 화학성분'!C532</f>
        <v>85734</v>
      </c>
      <c r="F534" s="1001" t="str">
        <f t="shared" si="160"/>
        <v>DKOIL</v>
      </c>
      <c r="G534" s="1172">
        <v>19.5</v>
      </c>
      <c r="H534" s="985">
        <v>23600</v>
      </c>
      <c r="I534" s="1173">
        <v>17</v>
      </c>
      <c r="J534" s="985">
        <v>21000</v>
      </c>
      <c r="K534" s="1173">
        <v>7.6</v>
      </c>
      <c r="L534" s="985">
        <v>9600</v>
      </c>
      <c r="M534" s="1174">
        <f t="shared" si="161"/>
        <v>44.1</v>
      </c>
      <c r="N534" s="984">
        <f t="shared" si="162"/>
        <v>54200</v>
      </c>
      <c r="O534" s="986">
        <f t="shared" si="163"/>
        <v>164.11682892906813</v>
      </c>
      <c r="P534" s="987">
        <f t="shared" si="164"/>
        <v>146.03616133518776</v>
      </c>
      <c r="Q534" s="987">
        <f t="shared" si="165"/>
        <v>66.759388038942973</v>
      </c>
      <c r="R534" s="988">
        <f t="shared" si="166"/>
        <v>376.91237830319886</v>
      </c>
      <c r="S534" s="989">
        <v>143.80000000000001</v>
      </c>
      <c r="T534" s="990">
        <v>0</v>
      </c>
      <c r="U534" s="991">
        <v>128</v>
      </c>
      <c r="V534" s="991">
        <v>217</v>
      </c>
      <c r="W534" s="992">
        <f t="shared" si="167"/>
        <v>345</v>
      </c>
      <c r="X534" s="993">
        <f t="shared" si="168"/>
        <v>2.3991655076495131</v>
      </c>
      <c r="Y534" s="990">
        <v>1613</v>
      </c>
      <c r="Z534" s="991">
        <v>1419</v>
      </c>
      <c r="AA534" s="991">
        <v>605</v>
      </c>
      <c r="AB534" s="992">
        <f t="shared" si="169"/>
        <v>3637</v>
      </c>
      <c r="AC534" s="993">
        <f t="shared" si="170"/>
        <v>25.292072322670375</v>
      </c>
      <c r="AD534" s="994">
        <f t="shared" si="171"/>
        <v>3982</v>
      </c>
      <c r="AE534" s="995">
        <f t="shared" si="172"/>
        <v>27.691237830319885</v>
      </c>
      <c r="AF534" s="996">
        <v>80</v>
      </c>
      <c r="AG534" s="997">
        <v>67</v>
      </c>
      <c r="AH534" s="997">
        <v>4</v>
      </c>
      <c r="AI534" s="998">
        <f t="shared" si="173"/>
        <v>151</v>
      </c>
      <c r="AJ534" s="993">
        <f t="shared" si="174"/>
        <v>1.0500695410292071</v>
      </c>
    </row>
    <row r="535" spans="1:36" ht="16.5" customHeight="1">
      <c r="A535" s="999">
        <f>'09월 조업일지'!A533</f>
        <v>46285</v>
      </c>
      <c r="B535" s="1099">
        <f>'09월 조업일지'!B533</f>
        <v>46285</v>
      </c>
      <c r="C535" s="1000" t="str">
        <f>'09월 화학성분'!D533</f>
        <v>A</v>
      </c>
      <c r="D535" s="1000" t="str">
        <f>'09월 화학성분'!E533</f>
        <v>B</v>
      </c>
      <c r="E535" s="1000">
        <f>'09월 화학성분'!C533</f>
        <v>85735</v>
      </c>
      <c r="F535" s="1001" t="str">
        <f t="shared" si="160"/>
        <v>DKOIL</v>
      </c>
      <c r="G535" s="1172">
        <v>20.100000000000001</v>
      </c>
      <c r="H535" s="985">
        <v>23900</v>
      </c>
      <c r="I535" s="1173">
        <v>16.600000000000001</v>
      </c>
      <c r="J535" s="985">
        <v>20300</v>
      </c>
      <c r="K535" s="1173">
        <v>9.4</v>
      </c>
      <c r="L535" s="985">
        <v>11900</v>
      </c>
      <c r="M535" s="1174">
        <f t="shared" si="161"/>
        <v>46.1</v>
      </c>
      <c r="N535" s="984">
        <f t="shared" si="162"/>
        <v>56100</v>
      </c>
      <c r="O535" s="986">
        <f t="shared" si="163"/>
        <v>166.89944134078215</v>
      </c>
      <c r="P535" s="987">
        <f t="shared" si="164"/>
        <v>141.75977653631287</v>
      </c>
      <c r="Q535" s="987">
        <f t="shared" si="165"/>
        <v>83.100558659217882</v>
      </c>
      <c r="R535" s="988">
        <f t="shared" si="166"/>
        <v>391.75977653631287</v>
      </c>
      <c r="S535" s="989">
        <v>143.19999999999999</v>
      </c>
      <c r="T535" s="990">
        <v>0</v>
      </c>
      <c r="U535" s="991">
        <v>253</v>
      </c>
      <c r="V535" s="991">
        <v>268</v>
      </c>
      <c r="W535" s="992">
        <f t="shared" si="167"/>
        <v>521</v>
      </c>
      <c r="X535" s="993">
        <f t="shared" si="168"/>
        <v>3.6382681564245813</v>
      </c>
      <c r="Y535" s="990">
        <v>1669</v>
      </c>
      <c r="Z535" s="991">
        <v>1363</v>
      </c>
      <c r="AA535" s="991">
        <v>1177</v>
      </c>
      <c r="AB535" s="992">
        <f t="shared" si="169"/>
        <v>4209</v>
      </c>
      <c r="AC535" s="993">
        <f t="shared" si="170"/>
        <v>29.392458100558663</v>
      </c>
      <c r="AD535" s="994">
        <f t="shared" si="171"/>
        <v>4730</v>
      </c>
      <c r="AE535" s="995">
        <f t="shared" si="172"/>
        <v>33.030726256983243</v>
      </c>
      <c r="AF535" s="996">
        <v>83</v>
      </c>
      <c r="AG535" s="997">
        <v>66</v>
      </c>
      <c r="AH535" s="997">
        <v>12</v>
      </c>
      <c r="AI535" s="998">
        <f t="shared" si="173"/>
        <v>161</v>
      </c>
      <c r="AJ535" s="993">
        <f t="shared" si="174"/>
        <v>1.1243016759776536</v>
      </c>
    </row>
    <row r="536" spans="1:36" ht="16.5" customHeight="1">
      <c r="A536" s="999">
        <f>'09월 조업일지'!A534</f>
        <v>46285</v>
      </c>
      <c r="B536" s="1099">
        <f>'09월 조업일지'!B534</f>
        <v>46285</v>
      </c>
      <c r="C536" s="1000" t="str">
        <f>'09월 화학성분'!D534</f>
        <v>A</v>
      </c>
      <c r="D536" s="1000" t="str">
        <f>'09월 화학성분'!E534</f>
        <v>A</v>
      </c>
      <c r="E536" s="1000">
        <f>'09월 화학성분'!C534</f>
        <v>85736</v>
      </c>
      <c r="F536" s="1001" t="str">
        <f t="shared" si="160"/>
        <v>DKOIL</v>
      </c>
      <c r="G536" s="1172">
        <v>19.7</v>
      </c>
      <c r="H536" s="985">
        <v>23400</v>
      </c>
      <c r="I536" s="1173">
        <v>16.600000000000001</v>
      </c>
      <c r="J536" s="985">
        <v>20800</v>
      </c>
      <c r="K536" s="1173">
        <v>6.4</v>
      </c>
      <c r="L536" s="985">
        <v>8200</v>
      </c>
      <c r="M536" s="1174">
        <f t="shared" si="161"/>
        <v>42.699999999999996</v>
      </c>
      <c r="N536" s="984">
        <f t="shared" si="162"/>
        <v>52400</v>
      </c>
      <c r="O536" s="986">
        <f t="shared" si="163"/>
        <v>162.61292564280751</v>
      </c>
      <c r="P536" s="987">
        <f t="shared" si="164"/>
        <v>144.54482279360667</v>
      </c>
      <c r="Q536" s="987">
        <f t="shared" si="165"/>
        <v>56.984016678248778</v>
      </c>
      <c r="R536" s="988">
        <f t="shared" si="166"/>
        <v>364.14176511466297</v>
      </c>
      <c r="S536" s="989">
        <v>143.9</v>
      </c>
      <c r="T536" s="990">
        <v>0</v>
      </c>
      <c r="U536" s="991">
        <v>109</v>
      </c>
      <c r="V536" s="991">
        <v>307</v>
      </c>
      <c r="W536" s="992">
        <f t="shared" si="167"/>
        <v>416</v>
      </c>
      <c r="X536" s="993">
        <f t="shared" si="168"/>
        <v>2.8908964558721335</v>
      </c>
      <c r="Y536" s="990">
        <v>1625</v>
      </c>
      <c r="Z536" s="991">
        <v>1370</v>
      </c>
      <c r="AA536" s="991">
        <v>582</v>
      </c>
      <c r="AB536" s="992">
        <f t="shared" si="169"/>
        <v>3577</v>
      </c>
      <c r="AC536" s="993">
        <f t="shared" si="170"/>
        <v>24.857539958304375</v>
      </c>
      <c r="AD536" s="994">
        <f t="shared" si="171"/>
        <v>3993</v>
      </c>
      <c r="AE536" s="995">
        <f t="shared" si="172"/>
        <v>27.74843641417651</v>
      </c>
      <c r="AF536" s="996">
        <v>81</v>
      </c>
      <c r="AG536" s="997">
        <v>63</v>
      </c>
      <c r="AH536" s="997">
        <v>5</v>
      </c>
      <c r="AI536" s="998">
        <f t="shared" si="173"/>
        <v>149</v>
      </c>
      <c r="AJ536" s="993">
        <f t="shared" si="174"/>
        <v>1.0354412786657401</v>
      </c>
    </row>
    <row r="537" spans="1:36" ht="16.5" customHeight="1">
      <c r="A537" s="999">
        <f>'09월 조업일지'!A535</f>
        <v>46285</v>
      </c>
      <c r="B537" s="1099">
        <f>'09월 조업일지'!B535</f>
        <v>46285</v>
      </c>
      <c r="C537" s="1000" t="str">
        <f>'09월 화학성분'!D535</f>
        <v>A</v>
      </c>
      <c r="D537" s="1000" t="str">
        <f>'09월 화학성분'!E535</f>
        <v>B</v>
      </c>
      <c r="E537" s="1000">
        <f>'09월 화학성분'!C535</f>
        <v>85737</v>
      </c>
      <c r="F537" s="1001" t="str">
        <f t="shared" si="160"/>
        <v>DKOIL</v>
      </c>
      <c r="G537" s="1172">
        <v>20.2</v>
      </c>
      <c r="H537" s="985">
        <v>24100</v>
      </c>
      <c r="I537" s="1173">
        <v>16.7</v>
      </c>
      <c r="J537" s="985">
        <v>20600</v>
      </c>
      <c r="K537" s="1173">
        <v>8.6</v>
      </c>
      <c r="L537" s="985">
        <v>10800</v>
      </c>
      <c r="M537" s="1174">
        <f t="shared" si="161"/>
        <v>45.5</v>
      </c>
      <c r="N537" s="984">
        <f t="shared" si="162"/>
        <v>55500</v>
      </c>
      <c r="O537" s="986">
        <f t="shared" si="163"/>
        <v>167.7105080027836</v>
      </c>
      <c r="P537" s="987">
        <f t="shared" si="164"/>
        <v>143.35421016005569</v>
      </c>
      <c r="Q537" s="987">
        <f t="shared" si="165"/>
        <v>75.156576200417547</v>
      </c>
      <c r="R537" s="988">
        <f t="shared" si="166"/>
        <v>386.22129436325685</v>
      </c>
      <c r="S537" s="989">
        <v>143.69999999999999</v>
      </c>
      <c r="T537" s="990">
        <v>0</v>
      </c>
      <c r="U537" s="991">
        <v>135</v>
      </c>
      <c r="V537" s="991">
        <v>170</v>
      </c>
      <c r="W537" s="992">
        <f t="shared" si="167"/>
        <v>305</v>
      </c>
      <c r="X537" s="993">
        <f t="shared" si="168"/>
        <v>2.1224773834377175</v>
      </c>
      <c r="Y537" s="990">
        <v>1626</v>
      </c>
      <c r="Z537" s="991">
        <v>1383</v>
      </c>
      <c r="AA537" s="991">
        <v>721</v>
      </c>
      <c r="AB537" s="992">
        <f t="shared" si="169"/>
        <v>3730</v>
      </c>
      <c r="AC537" s="993">
        <f t="shared" si="170"/>
        <v>25.956854558107171</v>
      </c>
      <c r="AD537" s="994">
        <f t="shared" si="171"/>
        <v>4035</v>
      </c>
      <c r="AE537" s="995">
        <f t="shared" si="172"/>
        <v>28.079331941544886</v>
      </c>
      <c r="AF537" s="996">
        <v>83</v>
      </c>
      <c r="AG537" s="997">
        <v>66</v>
      </c>
      <c r="AH537" s="997">
        <v>6</v>
      </c>
      <c r="AI537" s="998">
        <f t="shared" si="173"/>
        <v>155</v>
      </c>
      <c r="AJ537" s="993">
        <f t="shared" si="174"/>
        <v>1.0786360473208074</v>
      </c>
    </row>
    <row r="538" spans="1:36" ht="16.5" customHeight="1">
      <c r="A538" s="999">
        <f>'09월 조업일지'!A536</f>
        <v>46285</v>
      </c>
      <c r="B538" s="1099">
        <f>'09월 조업일지'!B536</f>
        <v>46285</v>
      </c>
      <c r="C538" s="1000" t="str">
        <f>'09월 화학성분'!D536</f>
        <v>A</v>
      </c>
      <c r="D538" s="1000" t="str">
        <f>'09월 화학성분'!E536</f>
        <v>A</v>
      </c>
      <c r="E538" s="1000">
        <f>'09월 화학성분'!C536</f>
        <v>85738</v>
      </c>
      <c r="F538" s="1001" t="str">
        <f t="shared" si="160"/>
        <v>DKOIL</v>
      </c>
      <c r="G538" s="1172">
        <v>20.5</v>
      </c>
      <c r="H538" s="985">
        <v>24200</v>
      </c>
      <c r="I538" s="1173">
        <v>16.7</v>
      </c>
      <c r="J538" s="985">
        <v>20700</v>
      </c>
      <c r="K538" s="1173">
        <v>8.5</v>
      </c>
      <c r="L538" s="985">
        <v>10900</v>
      </c>
      <c r="M538" s="1174">
        <f t="shared" si="161"/>
        <v>45.7</v>
      </c>
      <c r="N538" s="984">
        <f t="shared" si="162"/>
        <v>55800</v>
      </c>
      <c r="O538" s="986">
        <f t="shared" si="163"/>
        <v>168.87648290300069</v>
      </c>
      <c r="P538" s="987">
        <f t="shared" si="164"/>
        <v>144.45219818562455</v>
      </c>
      <c r="Q538" s="987">
        <f t="shared" si="165"/>
        <v>76.064200976971378</v>
      </c>
      <c r="R538" s="988">
        <f t="shared" si="166"/>
        <v>389.39288206559661</v>
      </c>
      <c r="S538" s="989">
        <v>143.30000000000001</v>
      </c>
      <c r="T538" s="990">
        <v>0</v>
      </c>
      <c r="U538" s="991">
        <v>149</v>
      </c>
      <c r="V538" s="991">
        <v>212</v>
      </c>
      <c r="W538" s="992">
        <f t="shared" si="167"/>
        <v>361</v>
      </c>
      <c r="X538" s="993">
        <f t="shared" si="168"/>
        <v>2.5191905094207954</v>
      </c>
      <c r="Y538" s="990">
        <v>1698</v>
      </c>
      <c r="Z538" s="991">
        <v>1382</v>
      </c>
      <c r="AA538" s="991">
        <v>640</v>
      </c>
      <c r="AB538" s="992">
        <f t="shared" si="169"/>
        <v>3720</v>
      </c>
      <c r="AC538" s="993">
        <f t="shared" si="170"/>
        <v>25.959525471039775</v>
      </c>
      <c r="AD538" s="994">
        <f t="shared" si="171"/>
        <v>4081</v>
      </c>
      <c r="AE538" s="995">
        <f t="shared" si="172"/>
        <v>28.478715980460571</v>
      </c>
      <c r="AF538" s="996">
        <v>85</v>
      </c>
      <c r="AG538" s="997">
        <v>63</v>
      </c>
      <c r="AH538" s="997">
        <v>5</v>
      </c>
      <c r="AI538" s="998">
        <f t="shared" si="173"/>
        <v>153</v>
      </c>
      <c r="AJ538" s="993">
        <f t="shared" si="174"/>
        <v>1.0676901605024423</v>
      </c>
    </row>
    <row r="539" spans="1:36" ht="16.5" customHeight="1">
      <c r="A539" s="999">
        <f>'09월 조업일지'!A537</f>
        <v>46285</v>
      </c>
      <c r="B539" s="1099">
        <f>'09월 조업일지'!B537</f>
        <v>46285</v>
      </c>
      <c r="C539" s="1000" t="str">
        <f>'09월 화학성분'!D537</f>
        <v>B</v>
      </c>
      <c r="D539" s="1000" t="str">
        <f>'09월 화학성분'!E537</f>
        <v>B</v>
      </c>
      <c r="E539" s="1000">
        <f>'09월 화학성분'!C537</f>
        <v>85739</v>
      </c>
      <c r="F539" s="1001" t="str">
        <f t="shared" si="160"/>
        <v>DKOIL</v>
      </c>
      <c r="G539" s="1172">
        <v>20.3</v>
      </c>
      <c r="H539" s="985">
        <v>24300</v>
      </c>
      <c r="I539" s="1173">
        <v>16.3</v>
      </c>
      <c r="J539" s="985">
        <v>20500</v>
      </c>
      <c r="K539" s="1173">
        <v>8.6</v>
      </c>
      <c r="L539" s="985">
        <v>11000</v>
      </c>
      <c r="M539" s="1174">
        <f t="shared" si="161"/>
        <v>45.2</v>
      </c>
      <c r="N539" s="984">
        <f t="shared" si="162"/>
        <v>55800</v>
      </c>
      <c r="O539" s="986">
        <f t="shared" si="163"/>
        <v>169.45606694560669</v>
      </c>
      <c r="P539" s="987">
        <f t="shared" si="164"/>
        <v>142.95676429567644</v>
      </c>
      <c r="Q539" s="987">
        <f t="shared" si="165"/>
        <v>76.708507670850764</v>
      </c>
      <c r="R539" s="988">
        <f t="shared" si="166"/>
        <v>389.12133891213387</v>
      </c>
      <c r="S539" s="989">
        <v>143.4</v>
      </c>
      <c r="T539" s="990">
        <v>0</v>
      </c>
      <c r="U539" s="991">
        <v>83</v>
      </c>
      <c r="V539" s="991">
        <v>219</v>
      </c>
      <c r="W539" s="992">
        <f t="shared" si="167"/>
        <v>302</v>
      </c>
      <c r="X539" s="993">
        <f t="shared" si="168"/>
        <v>2.1059972105997211</v>
      </c>
      <c r="Y539" s="990">
        <v>1702</v>
      </c>
      <c r="Z539" s="991">
        <v>1439</v>
      </c>
      <c r="AA539" s="991">
        <v>821</v>
      </c>
      <c r="AB539" s="992">
        <f t="shared" si="169"/>
        <v>3962</v>
      </c>
      <c r="AC539" s="993">
        <f t="shared" si="170"/>
        <v>27.629009762900974</v>
      </c>
      <c r="AD539" s="994">
        <f t="shared" si="171"/>
        <v>4264</v>
      </c>
      <c r="AE539" s="995">
        <f t="shared" si="172"/>
        <v>29.735006973500695</v>
      </c>
      <c r="AF539" s="996">
        <v>83</v>
      </c>
      <c r="AG539" s="997">
        <v>63</v>
      </c>
      <c r="AH539" s="997">
        <v>8</v>
      </c>
      <c r="AI539" s="998">
        <f t="shared" si="173"/>
        <v>154</v>
      </c>
      <c r="AJ539" s="993">
        <f t="shared" si="174"/>
        <v>1.0739191073919108</v>
      </c>
    </row>
    <row r="540" spans="1:36" ht="16.5" customHeight="1">
      <c r="A540" s="999">
        <f>'09월 조업일지'!A538</f>
        <v>46285</v>
      </c>
      <c r="B540" s="1099">
        <f>'09월 조업일지'!B538</f>
        <v>46285</v>
      </c>
      <c r="C540" s="1000" t="str">
        <f>'09월 화학성분'!D538</f>
        <v>B</v>
      </c>
      <c r="D540" s="1000" t="str">
        <f>'09월 화학성분'!E538</f>
        <v>A</v>
      </c>
      <c r="E540" s="1000">
        <f>'09월 화학성분'!C538</f>
        <v>85740</v>
      </c>
      <c r="F540" s="1001" t="str">
        <f t="shared" si="160"/>
        <v>DKOIL</v>
      </c>
      <c r="G540" s="1172">
        <v>19.5</v>
      </c>
      <c r="H540" s="985">
        <v>23400</v>
      </c>
      <c r="I540" s="1173">
        <v>16.600000000000001</v>
      </c>
      <c r="J540" s="985">
        <v>20900</v>
      </c>
      <c r="K540" s="1173">
        <v>12.7</v>
      </c>
      <c r="L540" s="985">
        <v>15700</v>
      </c>
      <c r="M540" s="1174">
        <f t="shared" si="161"/>
        <v>48.8</v>
      </c>
      <c r="N540" s="984">
        <f t="shared" si="162"/>
        <v>60000</v>
      </c>
      <c r="O540" s="986">
        <f t="shared" si="163"/>
        <v>160.93535075653369</v>
      </c>
      <c r="P540" s="987">
        <f t="shared" si="164"/>
        <v>143.7414030261348</v>
      </c>
      <c r="Q540" s="987">
        <f t="shared" si="165"/>
        <v>107.97799174690509</v>
      </c>
      <c r="R540" s="988">
        <f t="shared" si="166"/>
        <v>412.65474552957357</v>
      </c>
      <c r="S540" s="989">
        <v>145.4</v>
      </c>
      <c r="T540" s="990">
        <v>0</v>
      </c>
      <c r="U540" s="991">
        <v>83</v>
      </c>
      <c r="V540" s="991">
        <v>208</v>
      </c>
      <c r="W540" s="992">
        <f t="shared" si="167"/>
        <v>291</v>
      </c>
      <c r="X540" s="993">
        <f t="shared" si="168"/>
        <v>2.0013755158184319</v>
      </c>
      <c r="Y540" s="990">
        <v>1628</v>
      </c>
      <c r="Z540" s="991">
        <v>1375</v>
      </c>
      <c r="AA540" s="991">
        <v>1307</v>
      </c>
      <c r="AB540" s="992">
        <f t="shared" si="169"/>
        <v>4310</v>
      </c>
      <c r="AC540" s="993">
        <f t="shared" si="170"/>
        <v>29.642365887207703</v>
      </c>
      <c r="AD540" s="994">
        <f t="shared" si="171"/>
        <v>4601</v>
      </c>
      <c r="AE540" s="995">
        <f t="shared" si="172"/>
        <v>31.643741403026134</v>
      </c>
      <c r="AF540" s="996">
        <v>81</v>
      </c>
      <c r="AG540" s="997">
        <v>66</v>
      </c>
      <c r="AH540" s="997">
        <v>11</v>
      </c>
      <c r="AI540" s="998">
        <f t="shared" si="173"/>
        <v>158</v>
      </c>
      <c r="AJ540" s="993">
        <f t="shared" si="174"/>
        <v>1.0866574965612104</v>
      </c>
    </row>
    <row r="541" spans="1:36" ht="16.5" customHeight="1">
      <c r="A541" s="999">
        <f>'09월 조업일지'!A539</f>
        <v>46285</v>
      </c>
      <c r="B541" s="1099">
        <f>'09월 조업일지'!B539</f>
        <v>46285</v>
      </c>
      <c r="C541" s="1000" t="str">
        <f>'09월 화학성분'!D539</f>
        <v>B</v>
      </c>
      <c r="D541" s="1000" t="str">
        <f>'09월 화학성분'!E539</f>
        <v>B</v>
      </c>
      <c r="E541" s="1000">
        <f>'09월 화학성분'!C539</f>
        <v>85741</v>
      </c>
      <c r="F541" s="1001" t="str">
        <f t="shared" si="160"/>
        <v>DKOIL</v>
      </c>
      <c r="G541" s="1172">
        <v>19.2</v>
      </c>
      <c r="H541" s="985">
        <v>23400</v>
      </c>
      <c r="I541" s="1173">
        <v>16.399999999999999</v>
      </c>
      <c r="J541" s="985">
        <v>20400</v>
      </c>
      <c r="K541" s="1173">
        <v>9.1</v>
      </c>
      <c r="L541" s="985">
        <v>11600</v>
      </c>
      <c r="M541" s="1174">
        <f t="shared" si="161"/>
        <v>44.699999999999996</v>
      </c>
      <c r="N541" s="984">
        <f t="shared" si="162"/>
        <v>55400</v>
      </c>
      <c r="O541" s="986">
        <f t="shared" si="163"/>
        <v>164.32584269662919</v>
      </c>
      <c r="P541" s="987">
        <f t="shared" si="164"/>
        <v>143.25842696629212</v>
      </c>
      <c r="Q541" s="987">
        <f t="shared" si="165"/>
        <v>81.460674157303373</v>
      </c>
      <c r="R541" s="988">
        <f t="shared" si="166"/>
        <v>389.04494382022472</v>
      </c>
      <c r="S541" s="989">
        <v>142.4</v>
      </c>
      <c r="T541" s="990">
        <v>0</v>
      </c>
      <c r="U541" s="991">
        <v>54</v>
      </c>
      <c r="V541" s="991">
        <v>219</v>
      </c>
      <c r="W541" s="992">
        <f t="shared" si="167"/>
        <v>273</v>
      </c>
      <c r="X541" s="993">
        <f t="shared" si="168"/>
        <v>1.917134831460674</v>
      </c>
      <c r="Y541" s="990">
        <v>1555</v>
      </c>
      <c r="Z541" s="991">
        <v>1344</v>
      </c>
      <c r="AA541" s="991">
        <v>933</v>
      </c>
      <c r="AB541" s="992">
        <f t="shared" si="169"/>
        <v>3832</v>
      </c>
      <c r="AC541" s="993">
        <f t="shared" si="170"/>
        <v>26.91011235955056</v>
      </c>
      <c r="AD541" s="994">
        <f t="shared" si="171"/>
        <v>4105</v>
      </c>
      <c r="AE541" s="995">
        <f t="shared" si="172"/>
        <v>28.827247191011235</v>
      </c>
      <c r="AF541" s="996">
        <v>81</v>
      </c>
      <c r="AG541" s="997">
        <v>62</v>
      </c>
      <c r="AH541" s="997">
        <v>9</v>
      </c>
      <c r="AI541" s="998">
        <f t="shared" si="173"/>
        <v>152</v>
      </c>
      <c r="AJ541" s="993">
        <f t="shared" si="174"/>
        <v>1.0674157303370786</v>
      </c>
    </row>
    <row r="542" spans="1:36" ht="16.5" customHeight="1">
      <c r="A542" s="999">
        <f>'09월 조업일지'!A540</f>
        <v>46285</v>
      </c>
      <c r="B542" s="1099">
        <f>'09월 조업일지'!B540</f>
        <v>46285</v>
      </c>
      <c r="C542" s="1000" t="str">
        <f>'09월 화학성분'!D540</f>
        <v>B</v>
      </c>
      <c r="D542" s="1000" t="str">
        <f>'09월 화학성분'!E540</f>
        <v>A</v>
      </c>
      <c r="E542" s="1000">
        <f>'09월 화학성분'!C540</f>
        <v>85742</v>
      </c>
      <c r="F542" s="1001" t="str">
        <f t="shared" si="160"/>
        <v>DKOIL</v>
      </c>
      <c r="G542" s="1172">
        <v>20</v>
      </c>
      <c r="H542" s="985">
        <v>23700</v>
      </c>
      <c r="I542" s="1173">
        <v>16.8</v>
      </c>
      <c r="J542" s="985">
        <v>20600</v>
      </c>
      <c r="K542" s="1173">
        <v>8.9</v>
      </c>
      <c r="L542" s="985">
        <v>11400</v>
      </c>
      <c r="M542" s="1174">
        <f t="shared" si="161"/>
        <v>45.699999999999996</v>
      </c>
      <c r="N542" s="984">
        <f t="shared" si="162"/>
        <v>55700</v>
      </c>
      <c r="O542" s="986">
        <f t="shared" si="163"/>
        <v>166.66666666666669</v>
      </c>
      <c r="P542" s="987">
        <f t="shared" si="164"/>
        <v>144.86638537271449</v>
      </c>
      <c r="Q542" s="987">
        <f t="shared" si="165"/>
        <v>80.168776371308027</v>
      </c>
      <c r="R542" s="988">
        <f t="shared" si="166"/>
        <v>391.70182841068919</v>
      </c>
      <c r="S542" s="989">
        <v>142.19999999999999</v>
      </c>
      <c r="T542" s="990">
        <v>0</v>
      </c>
      <c r="U542" s="991">
        <v>74</v>
      </c>
      <c r="V542" s="991">
        <v>237</v>
      </c>
      <c r="W542" s="992">
        <f t="shared" si="167"/>
        <v>311</v>
      </c>
      <c r="X542" s="993">
        <f t="shared" si="168"/>
        <v>2.1870604781997187</v>
      </c>
      <c r="Y542" s="990">
        <v>1652</v>
      </c>
      <c r="Z542" s="991">
        <v>1374</v>
      </c>
      <c r="AA542" s="991">
        <v>851</v>
      </c>
      <c r="AB542" s="992">
        <f t="shared" si="169"/>
        <v>3877</v>
      </c>
      <c r="AC542" s="993">
        <f t="shared" si="170"/>
        <v>27.264416315049228</v>
      </c>
      <c r="AD542" s="994">
        <f t="shared" si="171"/>
        <v>4188</v>
      </c>
      <c r="AE542" s="995">
        <f t="shared" si="172"/>
        <v>29.451476793248947</v>
      </c>
      <c r="AF542" s="996">
        <v>81</v>
      </c>
      <c r="AG542" s="997">
        <v>64</v>
      </c>
      <c r="AH542" s="997">
        <v>8</v>
      </c>
      <c r="AI542" s="998">
        <f t="shared" si="173"/>
        <v>153</v>
      </c>
      <c r="AJ542" s="993">
        <f t="shared" si="174"/>
        <v>1.0759493670886078</v>
      </c>
    </row>
    <row r="543" spans="1:36" ht="16.5" customHeight="1">
      <c r="A543" s="999">
        <f>'09월 조업일지'!A541</f>
        <v>46285</v>
      </c>
      <c r="B543" s="1099">
        <f>'09월 조업일지'!B541</f>
        <v>46285</v>
      </c>
      <c r="C543" s="1000" t="str">
        <f>'09월 화학성분'!D541</f>
        <v>B</v>
      </c>
      <c r="D543" s="1000" t="str">
        <f>'09월 화학성분'!E541</f>
        <v>B</v>
      </c>
      <c r="E543" s="1000">
        <f>'09월 화학성분'!C541</f>
        <v>85743</v>
      </c>
      <c r="F543" s="1001" t="str">
        <f t="shared" si="160"/>
        <v>DKOIL</v>
      </c>
      <c r="G543" s="1172">
        <v>20.5</v>
      </c>
      <c r="H543" s="985">
        <v>24400</v>
      </c>
      <c r="I543" s="1173">
        <v>16.7</v>
      </c>
      <c r="J543" s="985">
        <v>20700</v>
      </c>
      <c r="K543" s="1173">
        <v>8.9</v>
      </c>
      <c r="L543" s="985">
        <v>11200</v>
      </c>
      <c r="M543" s="1174">
        <f t="shared" si="161"/>
        <v>46.1</v>
      </c>
      <c r="N543" s="984">
        <f t="shared" si="162"/>
        <v>56300</v>
      </c>
      <c r="O543" s="986">
        <f t="shared" si="163"/>
        <v>168.27586206896552</v>
      </c>
      <c r="P543" s="987">
        <f t="shared" si="164"/>
        <v>142.75862068965517</v>
      </c>
      <c r="Q543" s="987">
        <f t="shared" si="165"/>
        <v>77.241379310344826</v>
      </c>
      <c r="R543" s="988">
        <f t="shared" si="166"/>
        <v>388.27586206896552</v>
      </c>
      <c r="S543" s="989">
        <v>145</v>
      </c>
      <c r="T543" s="990">
        <v>0</v>
      </c>
      <c r="U543" s="991">
        <v>127</v>
      </c>
      <c r="V543" s="991">
        <v>270</v>
      </c>
      <c r="W543" s="992">
        <f t="shared" si="167"/>
        <v>397</v>
      </c>
      <c r="X543" s="993">
        <f t="shared" si="168"/>
        <v>2.7379310344827585</v>
      </c>
      <c r="Y543" s="990">
        <v>1724</v>
      </c>
      <c r="Z543" s="991">
        <v>1388</v>
      </c>
      <c r="AA543" s="991">
        <v>813</v>
      </c>
      <c r="AB543" s="992">
        <f t="shared" si="169"/>
        <v>3925</v>
      </c>
      <c r="AC543" s="993">
        <f t="shared" si="170"/>
        <v>27.068965517241381</v>
      </c>
      <c r="AD543" s="994">
        <f t="shared" si="171"/>
        <v>4322</v>
      </c>
      <c r="AE543" s="995">
        <f t="shared" si="172"/>
        <v>29.806896551724137</v>
      </c>
      <c r="AF543" s="996">
        <v>84</v>
      </c>
      <c r="AG543" s="997">
        <v>66</v>
      </c>
      <c r="AH543" s="997">
        <v>7</v>
      </c>
      <c r="AI543" s="998">
        <f t="shared" si="173"/>
        <v>157</v>
      </c>
      <c r="AJ543" s="993">
        <f t="shared" si="174"/>
        <v>1.0827586206896551</v>
      </c>
    </row>
    <row r="544" spans="1:36" ht="16.5" customHeight="1">
      <c r="A544" s="999">
        <f>'09월 조업일지'!A542</f>
        <v>46285</v>
      </c>
      <c r="B544" s="1099">
        <f>'09월 조업일지'!B542</f>
        <v>46285</v>
      </c>
      <c r="C544" s="1000" t="str">
        <f>'09월 화학성분'!D542</f>
        <v>B</v>
      </c>
      <c r="D544" s="1000" t="str">
        <f>'09월 화학성분'!E542</f>
        <v>A</v>
      </c>
      <c r="E544" s="1000">
        <f>'09월 화학성분'!C542</f>
        <v>85744</v>
      </c>
      <c r="F544" s="1001" t="str">
        <f t="shared" si="160"/>
        <v>DKOIL</v>
      </c>
      <c r="G544" s="1172">
        <v>19.399999999999999</v>
      </c>
      <c r="H544" s="985">
        <v>23100</v>
      </c>
      <c r="I544" s="1173">
        <v>16.8</v>
      </c>
      <c r="J544" s="985">
        <v>20600</v>
      </c>
      <c r="K544" s="1173">
        <v>8.9</v>
      </c>
      <c r="L544" s="985">
        <v>11400</v>
      </c>
      <c r="M544" s="1174">
        <f t="shared" si="161"/>
        <v>45.1</v>
      </c>
      <c r="N544" s="984">
        <f t="shared" si="162"/>
        <v>55100</v>
      </c>
      <c r="O544" s="986">
        <f t="shared" si="163"/>
        <v>161.99158485273492</v>
      </c>
      <c r="P544" s="987">
        <f t="shared" si="164"/>
        <v>144.46002805049088</v>
      </c>
      <c r="Q544" s="987">
        <f t="shared" si="165"/>
        <v>79.943899018232827</v>
      </c>
      <c r="R544" s="988">
        <f t="shared" si="166"/>
        <v>386.39551192145859</v>
      </c>
      <c r="S544" s="989">
        <v>142.6</v>
      </c>
      <c r="T544" s="990">
        <v>0</v>
      </c>
      <c r="U544" s="991">
        <v>36</v>
      </c>
      <c r="V544" s="991">
        <v>309</v>
      </c>
      <c r="W544" s="992">
        <f t="shared" si="167"/>
        <v>345</v>
      </c>
      <c r="X544" s="993">
        <f t="shared" si="168"/>
        <v>2.4193548387096775</v>
      </c>
      <c r="Y544" s="990">
        <v>1560</v>
      </c>
      <c r="Z544" s="991">
        <v>1390</v>
      </c>
      <c r="AA544" s="991">
        <v>709</v>
      </c>
      <c r="AB544" s="992">
        <f t="shared" si="169"/>
        <v>3659</v>
      </c>
      <c r="AC544" s="993">
        <f t="shared" si="170"/>
        <v>25.659186535764377</v>
      </c>
      <c r="AD544" s="994">
        <f t="shared" si="171"/>
        <v>4004</v>
      </c>
      <c r="AE544" s="995">
        <f t="shared" si="172"/>
        <v>28.078541374474053</v>
      </c>
      <c r="AF544" s="996">
        <v>81</v>
      </c>
      <c r="AG544" s="997">
        <v>65</v>
      </c>
      <c r="AH544" s="997">
        <v>6</v>
      </c>
      <c r="AI544" s="998">
        <f t="shared" si="173"/>
        <v>152</v>
      </c>
      <c r="AJ544" s="993">
        <f t="shared" si="174"/>
        <v>1.0659186535764376</v>
      </c>
    </row>
    <row r="545" spans="1:36" ht="16.5" customHeight="1">
      <c r="A545" s="999">
        <f>'09월 조업일지'!A543</f>
        <v>46285</v>
      </c>
      <c r="B545" s="1099">
        <f>'09월 조업일지'!B543</f>
        <v>46285</v>
      </c>
      <c r="C545" s="1000" t="str">
        <f>'09월 화학성분'!D543</f>
        <v>B</v>
      </c>
      <c r="D545" s="1000" t="str">
        <f>'09월 화학성분'!E543</f>
        <v>B</v>
      </c>
      <c r="E545" s="1000">
        <f>'09월 화학성분'!C543</f>
        <v>85745</v>
      </c>
      <c r="F545" s="1001" t="str">
        <f t="shared" si="160"/>
        <v>DKOIL</v>
      </c>
      <c r="G545" s="1172">
        <v>19.100000000000001</v>
      </c>
      <c r="H545" s="985">
        <v>23200</v>
      </c>
      <c r="I545" s="1173">
        <v>16.5</v>
      </c>
      <c r="J545" s="985">
        <v>20300</v>
      </c>
      <c r="K545" s="1173">
        <v>8.6</v>
      </c>
      <c r="L545" s="985">
        <v>11200</v>
      </c>
      <c r="M545" s="1174">
        <f t="shared" si="161"/>
        <v>44.2</v>
      </c>
      <c r="N545" s="984">
        <f t="shared" si="162"/>
        <v>54700</v>
      </c>
      <c r="O545" s="986">
        <f t="shared" si="163"/>
        <v>163.84180790960454</v>
      </c>
      <c r="P545" s="987">
        <f t="shared" si="164"/>
        <v>143.36158192090397</v>
      </c>
      <c r="Q545" s="987">
        <f t="shared" si="165"/>
        <v>79.096045197740111</v>
      </c>
      <c r="R545" s="988">
        <f t="shared" si="166"/>
        <v>386.29943502824864</v>
      </c>
      <c r="S545" s="989">
        <v>141.6</v>
      </c>
      <c r="T545" s="990">
        <v>0</v>
      </c>
      <c r="U545" s="991">
        <v>21</v>
      </c>
      <c r="V545" s="991">
        <v>301</v>
      </c>
      <c r="W545" s="992">
        <f t="shared" si="167"/>
        <v>322</v>
      </c>
      <c r="X545" s="993">
        <f t="shared" si="168"/>
        <v>2.2740112994350286</v>
      </c>
      <c r="Y545" s="990">
        <v>1609</v>
      </c>
      <c r="Z545" s="991">
        <v>1332</v>
      </c>
      <c r="AA545" s="991">
        <v>925</v>
      </c>
      <c r="AB545" s="992">
        <f t="shared" si="169"/>
        <v>3866</v>
      </c>
      <c r="AC545" s="993">
        <f t="shared" si="170"/>
        <v>27.302259887005651</v>
      </c>
      <c r="AD545" s="994">
        <f t="shared" si="171"/>
        <v>4188</v>
      </c>
      <c r="AE545" s="995">
        <f t="shared" si="172"/>
        <v>29.576271186440678</v>
      </c>
      <c r="AF545" s="996">
        <v>82</v>
      </c>
      <c r="AG545" s="997">
        <v>64</v>
      </c>
      <c r="AH545" s="997">
        <v>9</v>
      </c>
      <c r="AI545" s="998">
        <f t="shared" si="173"/>
        <v>155</v>
      </c>
      <c r="AJ545" s="993">
        <f t="shared" si="174"/>
        <v>1.094632768361582</v>
      </c>
    </row>
    <row r="546" spans="1:36" ht="16.5" customHeight="1">
      <c r="A546" s="999">
        <f>'09월 조업일지'!A544</f>
        <v>46285</v>
      </c>
      <c r="B546" s="1099">
        <f>'09월 조업일지'!B544</f>
        <v>46285</v>
      </c>
      <c r="C546" s="1000" t="str">
        <f>'09월 화학성분'!D544</f>
        <v>B</v>
      </c>
      <c r="D546" s="1000" t="str">
        <f>'09월 화학성분'!E544</f>
        <v>A</v>
      </c>
      <c r="E546" s="1000">
        <f>'09월 화학성분'!C544</f>
        <v>85746</v>
      </c>
      <c r="F546" s="1001" t="str">
        <f t="shared" si="160"/>
        <v>DKOIL</v>
      </c>
      <c r="G546" s="1172">
        <v>19.600000000000001</v>
      </c>
      <c r="H546" s="985">
        <v>24300</v>
      </c>
      <c r="I546" s="1173">
        <v>17.100000000000001</v>
      </c>
      <c r="J546" s="985">
        <v>20600</v>
      </c>
      <c r="K546" s="1173">
        <v>10.4</v>
      </c>
      <c r="L546" s="985">
        <v>13100</v>
      </c>
      <c r="M546" s="1174">
        <f t="shared" si="161"/>
        <v>47.1</v>
      </c>
      <c r="N546" s="984">
        <f t="shared" si="162"/>
        <v>58000</v>
      </c>
      <c r="O546" s="986">
        <f t="shared" si="163"/>
        <v>171.61016949152543</v>
      </c>
      <c r="P546" s="987">
        <f t="shared" si="164"/>
        <v>145.48022598870057</v>
      </c>
      <c r="Q546" s="987">
        <f t="shared" si="165"/>
        <v>92.514124293785315</v>
      </c>
      <c r="R546" s="988">
        <f t="shared" si="166"/>
        <v>409.60451977401129</v>
      </c>
      <c r="S546" s="989">
        <v>141.6</v>
      </c>
      <c r="T546" s="990">
        <v>0</v>
      </c>
      <c r="U546" s="991">
        <v>65</v>
      </c>
      <c r="V546" s="991">
        <v>334</v>
      </c>
      <c r="W546" s="992">
        <f t="shared" si="167"/>
        <v>399</v>
      </c>
      <c r="X546" s="993">
        <f t="shared" si="168"/>
        <v>2.8177966101694918</v>
      </c>
      <c r="Y546" s="990">
        <v>1604</v>
      </c>
      <c r="Z546" s="991">
        <v>1435</v>
      </c>
      <c r="AA546" s="991">
        <v>974</v>
      </c>
      <c r="AB546" s="992">
        <f t="shared" si="169"/>
        <v>4013</v>
      </c>
      <c r="AC546" s="993">
        <f t="shared" si="170"/>
        <v>28.34039548022599</v>
      </c>
      <c r="AD546" s="994">
        <f t="shared" si="171"/>
        <v>4412</v>
      </c>
      <c r="AE546" s="995">
        <f t="shared" si="172"/>
        <v>31.158192090395481</v>
      </c>
      <c r="AF546" s="996">
        <v>80</v>
      </c>
      <c r="AG546" s="997">
        <v>64</v>
      </c>
      <c r="AH546" s="997">
        <v>8</v>
      </c>
      <c r="AI546" s="998">
        <f t="shared" si="173"/>
        <v>152</v>
      </c>
      <c r="AJ546" s="993">
        <f t="shared" si="174"/>
        <v>1.0734463276836159</v>
      </c>
    </row>
    <row r="547" spans="1:36" ht="16.5" customHeight="1">
      <c r="A547" s="999">
        <f>'09월 조업일지'!A545</f>
        <v>46285</v>
      </c>
      <c r="B547" s="1099">
        <f>'09월 조업일지'!B545</f>
        <v>46285</v>
      </c>
      <c r="C547" s="1000" t="str">
        <f>'09월 화학성분'!D545</f>
        <v>B</v>
      </c>
      <c r="D547" s="1000" t="str">
        <f>'09월 화학성분'!E545</f>
        <v>B</v>
      </c>
      <c r="E547" s="1000">
        <f>'09월 화학성분'!C545</f>
        <v>85747</v>
      </c>
      <c r="F547" s="1001" t="str">
        <f t="shared" si="160"/>
        <v>DKOIL</v>
      </c>
      <c r="G547" s="1172">
        <v>19.8</v>
      </c>
      <c r="H547" s="985">
        <v>23200</v>
      </c>
      <c r="I547" s="1173">
        <v>16.600000000000001</v>
      </c>
      <c r="J547" s="985">
        <v>20500</v>
      </c>
      <c r="K547" s="1173">
        <v>9.1</v>
      </c>
      <c r="L547" s="985">
        <v>11600</v>
      </c>
      <c r="M547" s="1174">
        <f t="shared" si="161"/>
        <v>45.500000000000007</v>
      </c>
      <c r="N547" s="984">
        <f t="shared" si="162"/>
        <v>55300</v>
      </c>
      <c r="O547" s="986">
        <f t="shared" si="163"/>
        <v>162.12438853948288</v>
      </c>
      <c r="P547" s="987">
        <f t="shared" si="164"/>
        <v>143.25646401118101</v>
      </c>
      <c r="Q547" s="987">
        <f t="shared" si="165"/>
        <v>81.06219426974144</v>
      </c>
      <c r="R547" s="988">
        <f t="shared" si="166"/>
        <v>386.44304682040536</v>
      </c>
      <c r="S547" s="989">
        <v>143.1</v>
      </c>
      <c r="T547" s="990">
        <v>0</v>
      </c>
      <c r="U547" s="991">
        <v>53</v>
      </c>
      <c r="V547" s="991">
        <v>282</v>
      </c>
      <c r="W547" s="992">
        <f t="shared" si="167"/>
        <v>335</v>
      </c>
      <c r="X547" s="993">
        <f t="shared" si="168"/>
        <v>2.3410202655485675</v>
      </c>
      <c r="Y547" s="990">
        <v>1624</v>
      </c>
      <c r="Z547" s="991">
        <v>1358</v>
      </c>
      <c r="AA547" s="991">
        <v>894</v>
      </c>
      <c r="AB547" s="992">
        <f t="shared" si="169"/>
        <v>3876</v>
      </c>
      <c r="AC547" s="993">
        <f t="shared" si="170"/>
        <v>27.085953878406709</v>
      </c>
      <c r="AD547" s="994">
        <f t="shared" si="171"/>
        <v>4211</v>
      </c>
      <c r="AE547" s="995">
        <f t="shared" si="172"/>
        <v>29.426974143955277</v>
      </c>
      <c r="AF547" s="996">
        <v>82</v>
      </c>
      <c r="AG547" s="997">
        <v>64</v>
      </c>
      <c r="AH547" s="997">
        <v>9</v>
      </c>
      <c r="AI547" s="998">
        <f t="shared" si="173"/>
        <v>155</v>
      </c>
      <c r="AJ547" s="993">
        <f t="shared" si="174"/>
        <v>1.0831586303284417</v>
      </c>
    </row>
    <row r="548" spans="1:36" ht="16.5" customHeight="1">
      <c r="A548" s="999">
        <f>'09월 조업일지'!A546</f>
        <v>46285</v>
      </c>
      <c r="B548" s="1099">
        <f>'09월 조업일지'!B546</f>
        <v>46285</v>
      </c>
      <c r="C548" s="1000" t="str">
        <f>'09월 화학성분'!D546</f>
        <v>B</v>
      </c>
      <c r="D548" s="1000" t="str">
        <f>'09월 화학성분'!E546</f>
        <v>A</v>
      </c>
      <c r="E548" s="1000">
        <f>'09월 화학성분'!C546</f>
        <v>85748</v>
      </c>
      <c r="F548" s="1001" t="str">
        <f t="shared" si="160"/>
        <v>DKOIL</v>
      </c>
      <c r="G548" s="1172">
        <v>19.2</v>
      </c>
      <c r="H548" s="985">
        <v>23300</v>
      </c>
      <c r="I548" s="1173">
        <v>16.899999999999999</v>
      </c>
      <c r="J548" s="985">
        <v>20700</v>
      </c>
      <c r="K548" s="1173">
        <v>8.5</v>
      </c>
      <c r="L548" s="985">
        <v>10700</v>
      </c>
      <c r="M548" s="1174">
        <f t="shared" si="161"/>
        <v>44.599999999999994</v>
      </c>
      <c r="N548" s="984">
        <f t="shared" si="162"/>
        <v>54700</v>
      </c>
      <c r="O548" s="986">
        <f t="shared" si="163"/>
        <v>164.78076379066476</v>
      </c>
      <c r="P548" s="987">
        <f t="shared" si="164"/>
        <v>146.39321074964639</v>
      </c>
      <c r="Q548" s="987">
        <f t="shared" si="165"/>
        <v>75.671852899575669</v>
      </c>
      <c r="R548" s="988">
        <f t="shared" si="166"/>
        <v>386.84582743988688</v>
      </c>
      <c r="S548" s="989">
        <v>141.4</v>
      </c>
      <c r="T548" s="990">
        <v>0</v>
      </c>
      <c r="U548" s="991">
        <v>9</v>
      </c>
      <c r="V548" s="991">
        <v>331</v>
      </c>
      <c r="W548" s="992">
        <f t="shared" si="167"/>
        <v>340</v>
      </c>
      <c r="X548" s="993">
        <f t="shared" si="168"/>
        <v>2.4045261669024045</v>
      </c>
      <c r="Y548" s="990">
        <v>1580</v>
      </c>
      <c r="Z548" s="991">
        <v>1398</v>
      </c>
      <c r="AA548" s="991">
        <v>792</v>
      </c>
      <c r="AB548" s="992">
        <f t="shared" si="169"/>
        <v>3770</v>
      </c>
      <c r="AC548" s="993">
        <f t="shared" si="170"/>
        <v>26.661951909476659</v>
      </c>
      <c r="AD548" s="994">
        <f t="shared" si="171"/>
        <v>4110</v>
      </c>
      <c r="AE548" s="995">
        <f t="shared" si="172"/>
        <v>29.066478076379067</v>
      </c>
      <c r="AF548" s="996">
        <v>81</v>
      </c>
      <c r="AG548" s="997">
        <v>63</v>
      </c>
      <c r="AH548" s="997">
        <v>7</v>
      </c>
      <c r="AI548" s="998">
        <f t="shared" si="173"/>
        <v>151</v>
      </c>
      <c r="AJ548" s="993">
        <f t="shared" si="174"/>
        <v>1.0678925035360678</v>
      </c>
    </row>
    <row r="549" spans="1:36" ht="16.5" customHeight="1">
      <c r="A549" s="999">
        <f>'09월 조업일지'!A547</f>
        <v>46285</v>
      </c>
      <c r="B549" s="1099">
        <f>'09월 조업일지'!B547</f>
        <v>46285</v>
      </c>
      <c r="C549" s="1000" t="str">
        <f>'09월 화학성분'!D547</f>
        <v>D</v>
      </c>
      <c r="D549" s="1000" t="str">
        <f>'09월 화학성분'!E547</f>
        <v>B</v>
      </c>
      <c r="E549" s="1000">
        <f>'09월 화학성분'!C547</f>
        <v>85749</v>
      </c>
      <c r="F549" s="1001" t="str">
        <f t="shared" si="160"/>
        <v>DKOIL</v>
      </c>
      <c r="G549" s="1172">
        <v>19.2</v>
      </c>
      <c r="H549" s="985">
        <v>22400</v>
      </c>
      <c r="I549" s="1173">
        <v>16.399999999999999</v>
      </c>
      <c r="J549" s="985">
        <v>20500</v>
      </c>
      <c r="K549" s="1173">
        <v>9.1999999999999993</v>
      </c>
      <c r="L549" s="985">
        <v>11700</v>
      </c>
      <c r="M549" s="1174">
        <f t="shared" si="161"/>
        <v>44.8</v>
      </c>
      <c r="N549" s="984">
        <f t="shared" si="162"/>
        <v>54600</v>
      </c>
      <c r="O549" s="986">
        <f t="shared" si="163"/>
        <v>155.44760582928524</v>
      </c>
      <c r="P549" s="987">
        <f t="shared" si="164"/>
        <v>142.26231783483692</v>
      </c>
      <c r="Q549" s="987">
        <f t="shared" si="165"/>
        <v>81.19361554476059</v>
      </c>
      <c r="R549" s="988">
        <f t="shared" si="166"/>
        <v>378.90353920888271</v>
      </c>
      <c r="S549" s="989">
        <v>144.1</v>
      </c>
      <c r="T549" s="990">
        <v>0</v>
      </c>
      <c r="U549" s="991">
        <v>0</v>
      </c>
      <c r="V549" s="991">
        <v>341</v>
      </c>
      <c r="W549" s="992">
        <f t="shared" si="167"/>
        <v>341</v>
      </c>
      <c r="X549" s="993">
        <f t="shared" si="168"/>
        <v>2.3664122137404582</v>
      </c>
      <c r="Y549" s="990">
        <v>1559</v>
      </c>
      <c r="Z549" s="991">
        <v>1364</v>
      </c>
      <c r="AA549" s="991">
        <v>826</v>
      </c>
      <c r="AB549" s="992">
        <f t="shared" si="169"/>
        <v>3749</v>
      </c>
      <c r="AC549" s="993">
        <f t="shared" si="170"/>
        <v>26.016655100624568</v>
      </c>
      <c r="AD549" s="994">
        <f t="shared" si="171"/>
        <v>4090</v>
      </c>
      <c r="AE549" s="995">
        <f t="shared" si="172"/>
        <v>28.383067314365025</v>
      </c>
      <c r="AF549" s="996">
        <v>84</v>
      </c>
      <c r="AG549" s="997">
        <v>62</v>
      </c>
      <c r="AH549" s="997">
        <v>7</v>
      </c>
      <c r="AI549" s="998">
        <f t="shared" si="173"/>
        <v>153</v>
      </c>
      <c r="AJ549" s="993">
        <f t="shared" si="174"/>
        <v>1.0617626648161</v>
      </c>
    </row>
    <row r="550" spans="1:36" ht="16.5" customHeight="1">
      <c r="A550" s="999">
        <f>'09월 조업일지'!A548</f>
        <v>46285</v>
      </c>
      <c r="B550" s="1099">
        <f>'09월 조업일지'!B548</f>
        <v>46285</v>
      </c>
      <c r="C550" s="1000" t="str">
        <f>'09월 화학성분'!D548</f>
        <v>D</v>
      </c>
      <c r="D550" s="1000" t="str">
        <f>'09월 화학성분'!E548</f>
        <v>A</v>
      </c>
      <c r="E550" s="1000">
        <f>'09월 화학성분'!C548</f>
        <v>85750</v>
      </c>
      <c r="F550" s="1001" t="str">
        <f t="shared" si="160"/>
        <v>DKOIL</v>
      </c>
      <c r="G550" s="1172">
        <v>19.100000000000001</v>
      </c>
      <c r="H550" s="985">
        <v>22600</v>
      </c>
      <c r="I550" s="1173">
        <v>16.5</v>
      </c>
      <c r="J550" s="985">
        <v>20600</v>
      </c>
      <c r="K550" s="1173">
        <v>8.9</v>
      </c>
      <c r="L550" s="985">
        <v>11300</v>
      </c>
      <c r="M550" s="1174">
        <f t="shared" si="161"/>
        <v>44.5</v>
      </c>
      <c r="N550" s="984">
        <f t="shared" si="162"/>
        <v>54500</v>
      </c>
      <c r="O550" s="986">
        <f t="shared" si="163"/>
        <v>157.05350938151494</v>
      </c>
      <c r="P550" s="987">
        <f t="shared" si="164"/>
        <v>143.15496872828354</v>
      </c>
      <c r="Q550" s="987">
        <f t="shared" si="165"/>
        <v>78.526754690757471</v>
      </c>
      <c r="R550" s="988">
        <f t="shared" si="166"/>
        <v>378.73523280055593</v>
      </c>
      <c r="S550" s="989">
        <v>143.9</v>
      </c>
      <c r="T550" s="990">
        <v>0</v>
      </c>
      <c r="U550" s="991">
        <v>0</v>
      </c>
      <c r="V550" s="991">
        <v>337</v>
      </c>
      <c r="W550" s="992">
        <f t="shared" si="167"/>
        <v>337</v>
      </c>
      <c r="X550" s="993">
        <f t="shared" si="168"/>
        <v>2.3419041000694927</v>
      </c>
      <c r="Y550" s="990">
        <v>1570</v>
      </c>
      <c r="Z550" s="991">
        <v>1386</v>
      </c>
      <c r="AA550" s="991">
        <v>785</v>
      </c>
      <c r="AB550" s="992">
        <f t="shared" si="169"/>
        <v>3741</v>
      </c>
      <c r="AC550" s="993">
        <f t="shared" si="170"/>
        <v>25.997220291869354</v>
      </c>
      <c r="AD550" s="994">
        <f t="shared" si="171"/>
        <v>4078</v>
      </c>
      <c r="AE550" s="995">
        <f t="shared" si="172"/>
        <v>28.339124391938846</v>
      </c>
      <c r="AF550" s="996">
        <v>81</v>
      </c>
      <c r="AG550" s="997">
        <v>61</v>
      </c>
      <c r="AH550" s="997">
        <v>7</v>
      </c>
      <c r="AI550" s="998">
        <f t="shared" si="173"/>
        <v>149</v>
      </c>
      <c r="AJ550" s="993">
        <f t="shared" si="174"/>
        <v>1.0354412786657401</v>
      </c>
    </row>
    <row r="551" spans="1:36" ht="16.5" customHeight="1">
      <c r="A551" s="999">
        <f>'09월 조업일지'!A549</f>
        <v>46285</v>
      </c>
      <c r="B551" s="1099">
        <f>'09월 조업일지'!B549</f>
        <v>46285</v>
      </c>
      <c r="C551" s="1000" t="str">
        <f>'09월 화학성분'!D549</f>
        <v>D</v>
      </c>
      <c r="D551" s="1000" t="str">
        <f>'09월 화학성분'!E549</f>
        <v>B</v>
      </c>
      <c r="E551" s="1000">
        <f>'09월 화학성분'!C549</f>
        <v>85751</v>
      </c>
      <c r="F551" s="1001" t="str">
        <f t="shared" si="160"/>
        <v>DKOIL</v>
      </c>
      <c r="G551" s="1172">
        <v>18.600000000000001</v>
      </c>
      <c r="H551" s="985">
        <v>22500</v>
      </c>
      <c r="I551" s="1173">
        <v>16.3</v>
      </c>
      <c r="J551" s="985">
        <v>20500</v>
      </c>
      <c r="K551" s="1173">
        <v>8.9</v>
      </c>
      <c r="L551" s="985">
        <v>11400</v>
      </c>
      <c r="M551" s="1174">
        <f t="shared" si="161"/>
        <v>43.800000000000004</v>
      </c>
      <c r="N551" s="984">
        <f t="shared" si="162"/>
        <v>54400</v>
      </c>
      <c r="O551" s="986">
        <f t="shared" si="163"/>
        <v>157.01325889741798</v>
      </c>
      <c r="P551" s="987">
        <f t="shared" si="164"/>
        <v>143.05652477320305</v>
      </c>
      <c r="Q551" s="987">
        <f t="shared" si="165"/>
        <v>79.553384508025118</v>
      </c>
      <c r="R551" s="988">
        <f t="shared" si="166"/>
        <v>379.62316817864621</v>
      </c>
      <c r="S551" s="989">
        <v>143.30000000000001</v>
      </c>
      <c r="T551" s="990">
        <v>0</v>
      </c>
      <c r="U551" s="991">
        <v>2</v>
      </c>
      <c r="V551" s="991">
        <v>329</v>
      </c>
      <c r="W551" s="992">
        <f t="shared" si="167"/>
        <v>331</v>
      </c>
      <c r="X551" s="993">
        <f t="shared" si="168"/>
        <v>2.3098394975575713</v>
      </c>
      <c r="Y551" s="990">
        <v>1511</v>
      </c>
      <c r="Z551" s="991">
        <v>1376</v>
      </c>
      <c r="AA551" s="991">
        <v>769</v>
      </c>
      <c r="AB551" s="992">
        <f t="shared" si="169"/>
        <v>3656</v>
      </c>
      <c r="AC551" s="993">
        <f t="shared" si="170"/>
        <v>25.512909979064897</v>
      </c>
      <c r="AD551" s="994">
        <f t="shared" si="171"/>
        <v>3987</v>
      </c>
      <c r="AE551" s="995">
        <f t="shared" si="172"/>
        <v>27.822749476622469</v>
      </c>
      <c r="AF551" s="996">
        <v>79</v>
      </c>
      <c r="AG551" s="997">
        <v>65</v>
      </c>
      <c r="AH551" s="997">
        <v>7</v>
      </c>
      <c r="AI551" s="998">
        <f t="shared" si="173"/>
        <v>151</v>
      </c>
      <c r="AJ551" s="993">
        <f t="shared" si="174"/>
        <v>1.0537334263782274</v>
      </c>
    </row>
    <row r="552" spans="1:36" ht="16.5" customHeight="1">
      <c r="A552" s="999">
        <f>'09월 조업일지'!A550</f>
        <v>46285</v>
      </c>
      <c r="B552" s="1099">
        <f>'09월 조업일지'!B550</f>
        <v>46285</v>
      </c>
      <c r="C552" s="1000" t="str">
        <f>'09월 화학성분'!D550</f>
        <v>D</v>
      </c>
      <c r="D552" s="1000" t="str">
        <f>'09월 화학성분'!E550</f>
        <v>A</v>
      </c>
      <c r="E552" s="1000">
        <f>'09월 화학성분'!C550</f>
        <v>85752</v>
      </c>
      <c r="F552" s="1001" t="str">
        <f t="shared" si="160"/>
        <v>DKOIL</v>
      </c>
      <c r="G552" s="1172">
        <v>19.3</v>
      </c>
      <c r="H552" s="985">
        <v>23200</v>
      </c>
      <c r="I552" s="1173">
        <v>16.5</v>
      </c>
      <c r="J552" s="985">
        <v>20700</v>
      </c>
      <c r="K552" s="1173">
        <v>7.9</v>
      </c>
      <c r="L552" s="985">
        <v>20700</v>
      </c>
      <c r="M552" s="1174">
        <f t="shared" si="161"/>
        <v>43.699999999999996</v>
      </c>
      <c r="N552" s="984">
        <f t="shared" si="162"/>
        <v>64600</v>
      </c>
      <c r="O552" s="986">
        <f t="shared" si="163"/>
        <v>163.26530612244898</v>
      </c>
      <c r="P552" s="987">
        <f t="shared" si="164"/>
        <v>145.67206192821956</v>
      </c>
      <c r="Q552" s="987">
        <f t="shared" si="165"/>
        <v>145.67206192821956</v>
      </c>
      <c r="R552" s="988">
        <f t="shared" si="166"/>
        <v>454.6094299788881</v>
      </c>
      <c r="S552" s="989">
        <v>142.1</v>
      </c>
      <c r="T552" s="990">
        <v>0</v>
      </c>
      <c r="U552" s="991">
        <v>45</v>
      </c>
      <c r="V552" s="991">
        <v>296</v>
      </c>
      <c r="W552" s="992">
        <f t="shared" si="167"/>
        <v>341</v>
      </c>
      <c r="X552" s="993">
        <f t="shared" si="168"/>
        <v>2.3997185080928922</v>
      </c>
      <c r="Y552" s="990">
        <v>1626</v>
      </c>
      <c r="Z552" s="991">
        <v>1383</v>
      </c>
      <c r="AA552" s="991">
        <v>659</v>
      </c>
      <c r="AB552" s="992">
        <f t="shared" si="169"/>
        <v>3668</v>
      </c>
      <c r="AC552" s="993">
        <f t="shared" si="170"/>
        <v>25.812807881773399</v>
      </c>
      <c r="AD552" s="994">
        <f t="shared" si="171"/>
        <v>4009</v>
      </c>
      <c r="AE552" s="995">
        <f t="shared" si="172"/>
        <v>28.212526389866291</v>
      </c>
      <c r="AF552" s="996">
        <v>81</v>
      </c>
      <c r="AG552" s="997">
        <v>64</v>
      </c>
      <c r="AH552" s="997">
        <v>5</v>
      </c>
      <c r="AI552" s="998">
        <f t="shared" si="173"/>
        <v>150</v>
      </c>
      <c r="AJ552" s="993">
        <f t="shared" si="174"/>
        <v>1.0555946516537651</v>
      </c>
    </row>
    <row r="553" spans="1:36" ht="16.5" customHeight="1">
      <c r="A553" s="999">
        <f>'09월 조업일지'!A551</f>
        <v>46285</v>
      </c>
      <c r="B553" s="1099">
        <f>'09월 조업일지'!B551</f>
        <v>46285</v>
      </c>
      <c r="C553" s="1000" t="str">
        <f>'09월 화학성분'!D551</f>
        <v>D</v>
      </c>
      <c r="D553" s="1000" t="str">
        <f>'09월 화학성분'!E551</f>
        <v>B</v>
      </c>
      <c r="E553" s="1000">
        <f>'09월 화학성분'!C551</f>
        <v>85753</v>
      </c>
      <c r="F553" s="1001" t="str">
        <f t="shared" si="160"/>
        <v>DKOIL</v>
      </c>
      <c r="G553" s="1172">
        <v>18.899999999999999</v>
      </c>
      <c r="H553" s="985">
        <v>22900</v>
      </c>
      <c r="I553" s="1173">
        <v>16.5</v>
      </c>
      <c r="J553" s="985">
        <v>20500</v>
      </c>
      <c r="K553" s="1173">
        <v>9.6999999999999993</v>
      </c>
      <c r="L553" s="985">
        <v>12300</v>
      </c>
      <c r="M553" s="1174">
        <f t="shared" si="161"/>
        <v>45.099999999999994</v>
      </c>
      <c r="N553" s="984">
        <f t="shared" si="162"/>
        <v>55700</v>
      </c>
      <c r="O553" s="986">
        <f t="shared" si="163"/>
        <v>159.47075208913651</v>
      </c>
      <c r="P553" s="987">
        <f t="shared" si="164"/>
        <v>142.75766016713092</v>
      </c>
      <c r="Q553" s="987">
        <f t="shared" si="165"/>
        <v>85.654596100278553</v>
      </c>
      <c r="R553" s="988">
        <f t="shared" si="166"/>
        <v>387.88300835654604</v>
      </c>
      <c r="S553" s="989">
        <v>143.6</v>
      </c>
      <c r="T553" s="990">
        <v>0</v>
      </c>
      <c r="U553" s="991">
        <v>0</v>
      </c>
      <c r="V553" s="991">
        <v>334</v>
      </c>
      <c r="W553" s="992">
        <f t="shared" si="167"/>
        <v>334</v>
      </c>
      <c r="X553" s="993">
        <f t="shared" si="168"/>
        <v>2.3259052924791086</v>
      </c>
      <c r="Y553" s="990">
        <v>1535</v>
      </c>
      <c r="Z553" s="991">
        <v>1383</v>
      </c>
      <c r="AA553" s="991">
        <v>768</v>
      </c>
      <c r="AB553" s="992">
        <f t="shared" si="169"/>
        <v>3686</v>
      </c>
      <c r="AC553" s="993">
        <f t="shared" si="170"/>
        <v>25.668523676880223</v>
      </c>
      <c r="AD553" s="994">
        <f t="shared" si="171"/>
        <v>4020</v>
      </c>
      <c r="AE553" s="995">
        <f t="shared" si="172"/>
        <v>27.994428969359333</v>
      </c>
      <c r="AF553" s="996">
        <v>81</v>
      </c>
      <c r="AG553" s="997">
        <v>65</v>
      </c>
      <c r="AH553" s="997">
        <v>7</v>
      </c>
      <c r="AI553" s="998">
        <f t="shared" si="173"/>
        <v>153</v>
      </c>
      <c r="AJ553" s="993">
        <f t="shared" si="174"/>
        <v>1.0654596100278553</v>
      </c>
    </row>
    <row r="554" spans="1:36" ht="16.5" customHeight="1">
      <c r="A554" s="999">
        <f>'09월 조업일지'!A552</f>
        <v>46285</v>
      </c>
      <c r="B554" s="1099">
        <f>'09월 조업일지'!B552</f>
        <v>46285</v>
      </c>
      <c r="C554" s="1000" t="str">
        <f>'09월 화학성분'!D552</f>
        <v>D</v>
      </c>
      <c r="D554" s="1000" t="str">
        <f>'09월 화학성분'!E552</f>
        <v>A</v>
      </c>
      <c r="E554" s="1000">
        <f>'09월 화학성분'!C552</f>
        <v>85754</v>
      </c>
      <c r="F554" s="1001" t="str">
        <f t="shared" si="160"/>
        <v>DKOIL</v>
      </c>
      <c r="G554" s="1172">
        <v>18.5</v>
      </c>
      <c r="H554" s="985">
        <v>22400</v>
      </c>
      <c r="I554" s="1173">
        <v>16.399999999999999</v>
      </c>
      <c r="J554" s="985">
        <v>20500</v>
      </c>
      <c r="K554" s="1173">
        <v>9</v>
      </c>
      <c r="L554" s="985">
        <v>11400</v>
      </c>
      <c r="M554" s="1174">
        <f t="shared" si="161"/>
        <v>43.9</v>
      </c>
      <c r="N554" s="984">
        <f t="shared" si="162"/>
        <v>54300</v>
      </c>
      <c r="O554" s="986">
        <f t="shared" si="163"/>
        <v>156.8627450980392</v>
      </c>
      <c r="P554" s="987">
        <f t="shared" si="164"/>
        <v>143.55742296918766</v>
      </c>
      <c r="Q554" s="987">
        <f t="shared" si="165"/>
        <v>79.831932773109244</v>
      </c>
      <c r="R554" s="988">
        <f t="shared" si="166"/>
        <v>380.25210084033614</v>
      </c>
      <c r="S554" s="989">
        <v>142.80000000000001</v>
      </c>
      <c r="T554" s="990">
        <v>0</v>
      </c>
      <c r="U554" s="991">
        <v>10</v>
      </c>
      <c r="V554" s="991">
        <v>321</v>
      </c>
      <c r="W554" s="992">
        <f t="shared" si="167"/>
        <v>331</v>
      </c>
      <c r="X554" s="993">
        <f t="shared" si="168"/>
        <v>2.3179271708683471</v>
      </c>
      <c r="Y554" s="990">
        <v>1525</v>
      </c>
      <c r="Z554" s="991">
        <v>1367</v>
      </c>
      <c r="AA554" s="991">
        <v>751</v>
      </c>
      <c r="AB554" s="992">
        <f t="shared" si="169"/>
        <v>3643</v>
      </c>
      <c r="AC554" s="993">
        <f t="shared" si="170"/>
        <v>25.511204481792713</v>
      </c>
      <c r="AD554" s="994">
        <f t="shared" si="171"/>
        <v>3974</v>
      </c>
      <c r="AE554" s="995">
        <f t="shared" si="172"/>
        <v>27.829131652661061</v>
      </c>
      <c r="AF554" s="996">
        <v>79</v>
      </c>
      <c r="AG554" s="997">
        <v>61</v>
      </c>
      <c r="AH554" s="997">
        <v>7</v>
      </c>
      <c r="AI554" s="998">
        <f t="shared" si="173"/>
        <v>147</v>
      </c>
      <c r="AJ554" s="993">
        <f t="shared" si="174"/>
        <v>1.0294117647058822</v>
      </c>
    </row>
    <row r="555" spans="1:36" ht="16.5" customHeight="1">
      <c r="A555" s="999">
        <f>'09월 조업일지'!A553</f>
        <v>46286</v>
      </c>
      <c r="B555" s="1099">
        <f>'09월 조업일지'!B553</f>
        <v>46285</v>
      </c>
      <c r="C555" s="1000" t="str">
        <f>'09월 화학성분'!D553</f>
        <v>D</v>
      </c>
      <c r="D555" s="1000" t="str">
        <f>'09월 화학성분'!E553</f>
        <v>B</v>
      </c>
      <c r="E555" s="1000">
        <f>'09월 화학성분'!C553</f>
        <v>85755</v>
      </c>
      <c r="F555" s="1001" t="str">
        <f t="shared" si="160"/>
        <v>DKOIL</v>
      </c>
      <c r="G555" s="1172">
        <v>18.5</v>
      </c>
      <c r="H555" s="985">
        <v>22300</v>
      </c>
      <c r="I555" s="1173">
        <v>16.600000000000001</v>
      </c>
      <c r="J555" s="985">
        <v>20700</v>
      </c>
      <c r="K555" s="1173">
        <v>9.6999999999999993</v>
      </c>
      <c r="L555" s="985">
        <v>12400</v>
      </c>
      <c r="M555" s="1174">
        <f t="shared" si="161"/>
        <v>44.8</v>
      </c>
      <c r="N555" s="984">
        <f t="shared" si="162"/>
        <v>55400</v>
      </c>
      <c r="O555" s="986">
        <f t="shared" si="163"/>
        <v>156.8213783403657</v>
      </c>
      <c r="P555" s="987">
        <f t="shared" si="164"/>
        <v>145.56962025316457</v>
      </c>
      <c r="Q555" s="987">
        <f t="shared" si="165"/>
        <v>87.201125175808727</v>
      </c>
      <c r="R555" s="988">
        <f t="shared" si="166"/>
        <v>389.59212376933903</v>
      </c>
      <c r="S555" s="989">
        <v>142.19999999999999</v>
      </c>
      <c r="T555" s="990">
        <v>0</v>
      </c>
      <c r="U555" s="991">
        <v>0</v>
      </c>
      <c r="V555" s="991">
        <v>329</v>
      </c>
      <c r="W555" s="992">
        <f t="shared" si="167"/>
        <v>329</v>
      </c>
      <c r="X555" s="993">
        <f t="shared" si="168"/>
        <v>2.3136427566807316</v>
      </c>
      <c r="Y555" s="990">
        <v>1509</v>
      </c>
      <c r="Z555" s="991">
        <v>1386</v>
      </c>
      <c r="AA555" s="991">
        <v>777</v>
      </c>
      <c r="AB555" s="992">
        <f t="shared" si="169"/>
        <v>3672</v>
      </c>
      <c r="AC555" s="993">
        <f t="shared" si="170"/>
        <v>25.822784810126585</v>
      </c>
      <c r="AD555" s="994">
        <f t="shared" si="171"/>
        <v>4001</v>
      </c>
      <c r="AE555" s="995">
        <f t="shared" si="172"/>
        <v>28.136427566807317</v>
      </c>
      <c r="AF555" s="996">
        <v>79</v>
      </c>
      <c r="AG555" s="997">
        <v>67</v>
      </c>
      <c r="AH555" s="997">
        <v>7</v>
      </c>
      <c r="AI555" s="998">
        <f t="shared" si="173"/>
        <v>153</v>
      </c>
      <c r="AJ555" s="993">
        <f t="shared" si="174"/>
        <v>1.0759493670886078</v>
      </c>
    </row>
    <row r="556" spans="1:36" ht="16.5" customHeight="1">
      <c r="A556" s="999">
        <f>'09월 조업일지'!A554</f>
        <v>46286</v>
      </c>
      <c r="B556" s="1099">
        <f>'09월 조업일지'!B554</f>
        <v>46285</v>
      </c>
      <c r="C556" s="1000" t="str">
        <f>'09월 화학성분'!D554</f>
        <v>D</v>
      </c>
      <c r="D556" s="1000" t="str">
        <f>'09월 화학성분'!E554</f>
        <v>A</v>
      </c>
      <c r="E556" s="1000">
        <f>'09월 화학성분'!C554</f>
        <v>85756</v>
      </c>
      <c r="F556" s="1001" t="str">
        <f t="shared" si="160"/>
        <v>DKOIL</v>
      </c>
      <c r="G556" s="1172">
        <v>18.2</v>
      </c>
      <c r="H556" s="985">
        <v>22400</v>
      </c>
      <c r="I556" s="1173">
        <v>17.2</v>
      </c>
      <c r="J556" s="985">
        <v>20900</v>
      </c>
      <c r="K556" s="1173">
        <v>9.1</v>
      </c>
      <c r="L556" s="985">
        <v>11800</v>
      </c>
      <c r="M556" s="1174">
        <f t="shared" si="161"/>
        <v>44.5</v>
      </c>
      <c r="N556" s="984">
        <f t="shared" si="162"/>
        <v>55100</v>
      </c>
      <c r="O556" s="986">
        <f t="shared" si="163"/>
        <v>156.53389238294901</v>
      </c>
      <c r="P556" s="987">
        <f t="shared" si="164"/>
        <v>146.05171208944793</v>
      </c>
      <c r="Q556" s="987">
        <f t="shared" si="165"/>
        <v>82.459818308874915</v>
      </c>
      <c r="R556" s="988">
        <f t="shared" si="166"/>
        <v>385.04542278127184</v>
      </c>
      <c r="S556" s="989">
        <v>143.1</v>
      </c>
      <c r="T556" s="990">
        <v>0</v>
      </c>
      <c r="U556" s="991">
        <v>13</v>
      </c>
      <c r="V556" s="991">
        <v>317</v>
      </c>
      <c r="W556" s="992">
        <f t="shared" si="167"/>
        <v>330</v>
      </c>
      <c r="X556" s="993">
        <f t="shared" si="168"/>
        <v>2.3060796645702308</v>
      </c>
      <c r="Y556" s="990">
        <v>1501</v>
      </c>
      <c r="Z556" s="991">
        <v>1426</v>
      </c>
      <c r="AA556" s="991">
        <v>782</v>
      </c>
      <c r="AB556" s="992">
        <f t="shared" si="169"/>
        <v>3709</v>
      </c>
      <c r="AC556" s="993">
        <f t="shared" si="170"/>
        <v>25.918937805730259</v>
      </c>
      <c r="AD556" s="994">
        <f t="shared" si="171"/>
        <v>4039</v>
      </c>
      <c r="AE556" s="995">
        <f t="shared" si="172"/>
        <v>28.225017470300489</v>
      </c>
      <c r="AF556" s="996">
        <v>78</v>
      </c>
      <c r="AG556" s="997">
        <v>64</v>
      </c>
      <c r="AH556" s="997">
        <v>6</v>
      </c>
      <c r="AI556" s="998">
        <f t="shared" si="173"/>
        <v>148</v>
      </c>
      <c r="AJ556" s="993">
        <f t="shared" si="174"/>
        <v>1.0342417889587701</v>
      </c>
    </row>
    <row r="557" spans="1:36" ht="16.5" customHeight="1">
      <c r="A557" s="999">
        <f>'09월 조업일지'!A555</f>
        <v>46286</v>
      </c>
      <c r="B557" s="1099">
        <f>'09월 조업일지'!B555</f>
        <v>46285</v>
      </c>
      <c r="C557" s="1000" t="str">
        <f>'09월 화학성분'!D555</f>
        <v>D</v>
      </c>
      <c r="D557" s="1000" t="str">
        <f>'09월 화학성분'!E555</f>
        <v>B</v>
      </c>
      <c r="E557" s="1000">
        <f>'09월 화학성분'!C555</f>
        <v>85757</v>
      </c>
      <c r="F557" s="1001" t="str">
        <f t="shared" si="160"/>
        <v>DKOIL</v>
      </c>
      <c r="G557" s="1172">
        <v>18.5</v>
      </c>
      <c r="H557" s="985">
        <v>22500</v>
      </c>
      <c r="I557" s="1173">
        <v>16.899999999999999</v>
      </c>
      <c r="J557" s="985">
        <v>20400</v>
      </c>
      <c r="K557" s="1173">
        <v>9</v>
      </c>
      <c r="L557" s="985">
        <v>11600</v>
      </c>
      <c r="M557" s="1174">
        <f t="shared" si="161"/>
        <v>44.4</v>
      </c>
      <c r="N557" s="984">
        <f t="shared" si="162"/>
        <v>54500</v>
      </c>
      <c r="O557" s="986">
        <f t="shared" si="163"/>
        <v>157.01325889741798</v>
      </c>
      <c r="P557" s="987">
        <f t="shared" si="164"/>
        <v>142.3586880669923</v>
      </c>
      <c r="Q557" s="987">
        <f t="shared" si="165"/>
        <v>80.949057920446606</v>
      </c>
      <c r="R557" s="988">
        <f t="shared" si="166"/>
        <v>380.3210048848569</v>
      </c>
      <c r="S557" s="989">
        <v>143.30000000000001</v>
      </c>
      <c r="T557" s="990">
        <v>0</v>
      </c>
      <c r="U557" s="991">
        <v>0</v>
      </c>
      <c r="V557" s="991">
        <v>332</v>
      </c>
      <c r="W557" s="992">
        <f t="shared" si="167"/>
        <v>332</v>
      </c>
      <c r="X557" s="993">
        <f t="shared" si="168"/>
        <v>2.3168178646196789</v>
      </c>
      <c r="Y557" s="990">
        <v>1526</v>
      </c>
      <c r="Z557" s="991">
        <v>1395</v>
      </c>
      <c r="AA557" s="991">
        <v>804</v>
      </c>
      <c r="AB557" s="992">
        <f t="shared" si="169"/>
        <v>3725</v>
      </c>
      <c r="AC557" s="993">
        <f t="shared" si="170"/>
        <v>25.994417306350311</v>
      </c>
      <c r="AD557" s="994">
        <f t="shared" si="171"/>
        <v>4057</v>
      </c>
      <c r="AE557" s="995">
        <f t="shared" si="172"/>
        <v>28.31123517096999</v>
      </c>
      <c r="AF557" s="996">
        <v>79</v>
      </c>
      <c r="AG557" s="997">
        <v>67</v>
      </c>
      <c r="AH557" s="997">
        <v>7</v>
      </c>
      <c r="AI557" s="998">
        <f t="shared" si="173"/>
        <v>153</v>
      </c>
      <c r="AJ557" s="993">
        <f t="shared" si="174"/>
        <v>1.0676901605024423</v>
      </c>
    </row>
    <row r="558" spans="1:36" ht="16.5" customHeight="1">
      <c r="A558" s="999">
        <f>'09월 조업일지'!A556</f>
        <v>46286</v>
      </c>
      <c r="B558" s="1099">
        <f>'09월 조업일지'!B556</f>
        <v>46285</v>
      </c>
      <c r="C558" s="1000" t="str">
        <f>'09월 화학성분'!D556</f>
        <v>D</v>
      </c>
      <c r="D558" s="1000" t="str">
        <f>'09월 화학성분'!E556</f>
        <v>A</v>
      </c>
      <c r="E558" s="1000">
        <f>'09월 화학성분'!C556</f>
        <v>85758</v>
      </c>
      <c r="F558" s="1001" t="str">
        <f t="shared" si="160"/>
        <v>DKOIL</v>
      </c>
      <c r="G558" s="1172">
        <v>19.2</v>
      </c>
      <c r="H558" s="985">
        <v>23300</v>
      </c>
      <c r="I558" s="1173">
        <v>17.3</v>
      </c>
      <c r="J558" s="985">
        <v>20900</v>
      </c>
      <c r="K558" s="1173">
        <v>9.1</v>
      </c>
      <c r="L558" s="985">
        <v>11400</v>
      </c>
      <c r="M558" s="1174">
        <f t="shared" si="161"/>
        <v>45.6</v>
      </c>
      <c r="N558" s="984">
        <f t="shared" si="162"/>
        <v>55600</v>
      </c>
      <c r="O558" s="986">
        <f t="shared" si="163"/>
        <v>162.70949720670393</v>
      </c>
      <c r="P558" s="987">
        <f t="shared" si="164"/>
        <v>145.94972067039106</v>
      </c>
      <c r="Q558" s="987">
        <f t="shared" si="165"/>
        <v>79.608938547486034</v>
      </c>
      <c r="R558" s="988">
        <f t="shared" si="166"/>
        <v>388.26815642458104</v>
      </c>
      <c r="S558" s="989">
        <v>143.19999999999999</v>
      </c>
      <c r="T558" s="990">
        <v>0</v>
      </c>
      <c r="U558" s="991">
        <v>5</v>
      </c>
      <c r="V558" s="991">
        <v>336</v>
      </c>
      <c r="W558" s="992">
        <f t="shared" si="167"/>
        <v>341</v>
      </c>
      <c r="X558" s="993">
        <f t="shared" si="168"/>
        <v>2.3812849162011176</v>
      </c>
      <c r="Y558" s="990">
        <v>1583</v>
      </c>
      <c r="Z558" s="991">
        <v>1443</v>
      </c>
      <c r="AA558" s="991">
        <v>790</v>
      </c>
      <c r="AB558" s="992">
        <f t="shared" si="169"/>
        <v>3816</v>
      </c>
      <c r="AC558" s="993">
        <f t="shared" si="170"/>
        <v>26.648044692737432</v>
      </c>
      <c r="AD558" s="994">
        <f t="shared" si="171"/>
        <v>4157</v>
      </c>
      <c r="AE558" s="995">
        <f t="shared" si="172"/>
        <v>29.02932960893855</v>
      </c>
      <c r="AF558" s="996">
        <v>81</v>
      </c>
      <c r="AG558" s="997">
        <v>64</v>
      </c>
      <c r="AH558" s="997">
        <v>7</v>
      </c>
      <c r="AI558" s="998">
        <f t="shared" si="173"/>
        <v>152</v>
      </c>
      <c r="AJ558" s="993">
        <f t="shared" si="174"/>
        <v>1.0614525139664805</v>
      </c>
    </row>
    <row r="559" spans="1:36" ht="16.5" customHeight="1">
      <c r="A559" s="999">
        <f>'09월 조업일지'!A557</f>
        <v>46286</v>
      </c>
      <c r="B559" s="1099">
        <f>'09월 조업일지'!B557</f>
        <v>46286</v>
      </c>
      <c r="C559" s="1000" t="str">
        <f>'09월 화학성분'!D557</f>
        <v>A</v>
      </c>
      <c r="D559" s="1000" t="str">
        <f>'09월 화학성분'!E557</f>
        <v>B</v>
      </c>
      <c r="E559" s="1000">
        <f>'09월 화학성분'!C557</f>
        <v>85759</v>
      </c>
      <c r="F559" s="1001" t="str">
        <f t="shared" si="160"/>
        <v>DKOIL</v>
      </c>
      <c r="G559" s="1172">
        <v>18.7</v>
      </c>
      <c r="H559" s="985">
        <v>22100</v>
      </c>
      <c r="I559" s="1173">
        <v>16.5</v>
      </c>
      <c r="J559" s="985">
        <v>20500</v>
      </c>
      <c r="K559" s="1173">
        <v>9.9</v>
      </c>
      <c r="L559" s="985">
        <v>12800</v>
      </c>
      <c r="M559" s="1174">
        <f t="shared" si="161"/>
        <v>45.1</v>
      </c>
      <c r="N559" s="984">
        <f t="shared" si="162"/>
        <v>55400</v>
      </c>
      <c r="O559" s="986">
        <f t="shared" si="163"/>
        <v>155.41490857946556</v>
      </c>
      <c r="P559" s="987">
        <f t="shared" si="164"/>
        <v>144.16315049226444</v>
      </c>
      <c r="Q559" s="987">
        <f t="shared" si="165"/>
        <v>90.014064697609015</v>
      </c>
      <c r="R559" s="988">
        <f t="shared" si="166"/>
        <v>389.59212376933897</v>
      </c>
      <c r="S559" s="989">
        <v>142.19999999999999</v>
      </c>
      <c r="T559" s="990">
        <v>0</v>
      </c>
      <c r="U559" s="991">
        <v>14</v>
      </c>
      <c r="V559" s="991">
        <v>355</v>
      </c>
      <c r="W559" s="992">
        <f t="shared" si="167"/>
        <v>369</v>
      </c>
      <c r="X559" s="993">
        <f t="shared" si="168"/>
        <v>2.5949367088607596</v>
      </c>
      <c r="Y559" s="990">
        <v>1522</v>
      </c>
      <c r="Z559" s="991">
        <v>1359</v>
      </c>
      <c r="AA559" s="991">
        <v>891</v>
      </c>
      <c r="AB559" s="992">
        <f t="shared" si="169"/>
        <v>3772</v>
      </c>
      <c r="AC559" s="993">
        <f t="shared" si="170"/>
        <v>26.526019690576653</v>
      </c>
      <c r="AD559" s="994">
        <f t="shared" si="171"/>
        <v>4141</v>
      </c>
      <c r="AE559" s="995">
        <f t="shared" si="172"/>
        <v>29.120956399437414</v>
      </c>
      <c r="AF559" s="996">
        <v>83</v>
      </c>
      <c r="AG559" s="997">
        <v>63</v>
      </c>
      <c r="AH559" s="997">
        <v>7</v>
      </c>
      <c r="AI559" s="998">
        <f t="shared" si="173"/>
        <v>153</v>
      </c>
      <c r="AJ559" s="993">
        <f t="shared" si="174"/>
        <v>1.0759493670886078</v>
      </c>
    </row>
    <row r="560" spans="1:36" ht="16.5" customHeight="1">
      <c r="A560" s="999">
        <f>'09월 조업일지'!A558</f>
        <v>46286</v>
      </c>
      <c r="B560" s="1099">
        <f>'09월 조업일지'!B558</f>
        <v>46286</v>
      </c>
      <c r="C560" s="1000" t="str">
        <f>'09월 화학성분'!D558</f>
        <v>A</v>
      </c>
      <c r="D560" s="1000" t="str">
        <f>'09월 화학성분'!E558</f>
        <v>A</v>
      </c>
      <c r="E560" s="1000">
        <f>'09월 화학성분'!C558</f>
        <v>85760</v>
      </c>
      <c r="F560" s="1001" t="str">
        <f t="shared" si="160"/>
        <v>DKOIL</v>
      </c>
      <c r="G560" s="1172">
        <v>20.399999999999999</v>
      </c>
      <c r="H560" s="985">
        <v>23300</v>
      </c>
      <c r="I560" s="1173">
        <v>17.100000000000001</v>
      </c>
      <c r="J560" s="985">
        <v>20900</v>
      </c>
      <c r="K560" s="1173">
        <v>7.5</v>
      </c>
      <c r="L560" s="985">
        <v>9600</v>
      </c>
      <c r="M560" s="1174">
        <f t="shared" si="161"/>
        <v>45</v>
      </c>
      <c r="N560" s="984">
        <f t="shared" si="162"/>
        <v>53800</v>
      </c>
      <c r="O560" s="986">
        <f t="shared" si="163"/>
        <v>166.66666666666666</v>
      </c>
      <c r="P560" s="987">
        <f t="shared" si="164"/>
        <v>149.49928469241772</v>
      </c>
      <c r="Q560" s="987">
        <f t="shared" si="165"/>
        <v>68.669527896995703</v>
      </c>
      <c r="R560" s="988">
        <f t="shared" si="166"/>
        <v>384.83547925608008</v>
      </c>
      <c r="S560" s="989">
        <v>139.80000000000001</v>
      </c>
      <c r="T560" s="990">
        <v>0</v>
      </c>
      <c r="U560" s="991">
        <v>118</v>
      </c>
      <c r="V560" s="991">
        <v>239</v>
      </c>
      <c r="W560" s="992">
        <f t="shared" si="167"/>
        <v>357</v>
      </c>
      <c r="X560" s="993">
        <f t="shared" si="168"/>
        <v>2.5536480686695278</v>
      </c>
      <c r="Y560" s="990">
        <v>1668</v>
      </c>
      <c r="Z560" s="991">
        <v>1409</v>
      </c>
      <c r="AA560" s="991">
        <v>580</v>
      </c>
      <c r="AB560" s="992">
        <f t="shared" si="169"/>
        <v>3657</v>
      </c>
      <c r="AC560" s="993">
        <f t="shared" si="170"/>
        <v>26.158798283261799</v>
      </c>
      <c r="AD560" s="994">
        <f t="shared" si="171"/>
        <v>4014</v>
      </c>
      <c r="AE560" s="995">
        <f t="shared" si="172"/>
        <v>28.712446351931327</v>
      </c>
      <c r="AF560" s="996">
        <v>84</v>
      </c>
      <c r="AG560" s="997">
        <v>64</v>
      </c>
      <c r="AH560" s="997">
        <v>5</v>
      </c>
      <c r="AI560" s="998">
        <f t="shared" si="173"/>
        <v>153</v>
      </c>
      <c r="AJ560" s="993">
        <f t="shared" si="174"/>
        <v>1.094420600858369</v>
      </c>
    </row>
    <row r="561" spans="1:36" ht="16.5" customHeight="1">
      <c r="A561" s="999">
        <f>'09월 조업일지'!A559</f>
        <v>46286</v>
      </c>
      <c r="B561" s="1099">
        <f>'09월 조업일지'!B559</f>
        <v>46286</v>
      </c>
      <c r="C561" s="1000" t="str">
        <f>'09월 화학성분'!D559</f>
        <v>A</v>
      </c>
      <c r="D561" s="1000" t="str">
        <f>'09월 화학성분'!E559</f>
        <v>B</v>
      </c>
      <c r="E561" s="1000">
        <f>'09월 화학성분'!C559</f>
        <v>85761</v>
      </c>
      <c r="F561" s="1001" t="str">
        <f t="shared" si="160"/>
        <v>DKOIL</v>
      </c>
      <c r="G561" s="1172">
        <v>19.2</v>
      </c>
      <c r="H561" s="985">
        <v>23100</v>
      </c>
      <c r="I561" s="1173">
        <v>16.600000000000001</v>
      </c>
      <c r="J561" s="985">
        <v>20600</v>
      </c>
      <c r="K561" s="1173">
        <v>9.9</v>
      </c>
      <c r="L561" s="985">
        <v>12600</v>
      </c>
      <c r="M561" s="1174">
        <f t="shared" si="161"/>
        <v>45.699999999999996</v>
      </c>
      <c r="N561" s="984">
        <f t="shared" si="162"/>
        <v>56300</v>
      </c>
      <c r="O561" s="986">
        <f t="shared" si="163"/>
        <v>159.86159169550174</v>
      </c>
      <c r="P561" s="987">
        <f t="shared" si="164"/>
        <v>142.56055363321801</v>
      </c>
      <c r="Q561" s="987">
        <f t="shared" si="165"/>
        <v>87.197231833910038</v>
      </c>
      <c r="R561" s="988">
        <f t="shared" si="166"/>
        <v>389.6193771626298</v>
      </c>
      <c r="S561" s="989">
        <v>144.5</v>
      </c>
      <c r="T561" s="990">
        <v>0</v>
      </c>
      <c r="U561" s="991">
        <v>90</v>
      </c>
      <c r="V561" s="991">
        <v>289</v>
      </c>
      <c r="W561" s="992">
        <f t="shared" si="167"/>
        <v>379</v>
      </c>
      <c r="X561" s="993">
        <f t="shared" si="168"/>
        <v>2.6228373702422147</v>
      </c>
      <c r="Y561" s="990">
        <v>1559</v>
      </c>
      <c r="Z561" s="991">
        <v>1374</v>
      </c>
      <c r="AA561" s="991">
        <v>753</v>
      </c>
      <c r="AB561" s="992">
        <f t="shared" si="169"/>
        <v>3686</v>
      </c>
      <c r="AC561" s="993">
        <f t="shared" si="170"/>
        <v>25.508650519031143</v>
      </c>
      <c r="AD561" s="994">
        <f t="shared" si="171"/>
        <v>4065</v>
      </c>
      <c r="AE561" s="995">
        <f t="shared" si="172"/>
        <v>28.131487889273355</v>
      </c>
      <c r="AF561" s="996">
        <v>82</v>
      </c>
      <c r="AG561" s="997">
        <v>64</v>
      </c>
      <c r="AH561" s="997">
        <v>7</v>
      </c>
      <c r="AI561" s="998">
        <f t="shared" si="173"/>
        <v>153</v>
      </c>
      <c r="AJ561" s="993">
        <f t="shared" si="174"/>
        <v>1.0588235294117647</v>
      </c>
    </row>
    <row r="562" spans="1:36" ht="16.5" customHeight="1">
      <c r="A562" s="999">
        <f>'09월 조업일지'!A560</f>
        <v>46286</v>
      </c>
      <c r="B562" s="1099">
        <f>'09월 조업일지'!B560</f>
        <v>46286</v>
      </c>
      <c r="C562" s="1000" t="str">
        <f>'09월 화학성분'!D560</f>
        <v>A</v>
      </c>
      <c r="D562" s="1000" t="str">
        <f>'09월 화학성분'!E560</f>
        <v>A</v>
      </c>
      <c r="E562" s="1000">
        <f>'09월 화학성분'!C560</f>
        <v>85762</v>
      </c>
      <c r="F562" s="1001" t="str">
        <f t="shared" si="160"/>
        <v>DKOIL</v>
      </c>
      <c r="G562" s="1172">
        <v>20</v>
      </c>
      <c r="H562" s="985">
        <v>24200</v>
      </c>
      <c r="I562" s="1173">
        <v>16.7</v>
      </c>
      <c r="J562" s="985">
        <v>20900</v>
      </c>
      <c r="K562" s="1173">
        <v>8.3000000000000007</v>
      </c>
      <c r="L562" s="985">
        <v>10500</v>
      </c>
      <c r="M562" s="1174">
        <f t="shared" si="161"/>
        <v>45</v>
      </c>
      <c r="N562" s="984">
        <f t="shared" si="162"/>
        <v>55600</v>
      </c>
      <c r="O562" s="986">
        <f t="shared" si="163"/>
        <v>166.7815299793246</v>
      </c>
      <c r="P562" s="987">
        <f t="shared" si="164"/>
        <v>144.03859407305308</v>
      </c>
      <c r="Q562" s="987">
        <f t="shared" si="165"/>
        <v>72.363886974500346</v>
      </c>
      <c r="R562" s="988">
        <f t="shared" si="166"/>
        <v>383.18401102687801</v>
      </c>
      <c r="S562" s="989">
        <v>145.1</v>
      </c>
      <c r="T562" s="990">
        <v>0</v>
      </c>
      <c r="U562" s="991">
        <v>137</v>
      </c>
      <c r="V562" s="991">
        <v>251</v>
      </c>
      <c r="W562" s="992">
        <f t="shared" si="167"/>
        <v>388</v>
      </c>
      <c r="X562" s="993">
        <f t="shared" si="168"/>
        <v>2.6740179186767747</v>
      </c>
      <c r="Y562" s="990">
        <v>1667</v>
      </c>
      <c r="Z562" s="991">
        <v>1399</v>
      </c>
      <c r="AA562" s="991">
        <v>550</v>
      </c>
      <c r="AB562" s="992">
        <f t="shared" si="169"/>
        <v>3616</v>
      </c>
      <c r="AC562" s="993">
        <f t="shared" si="170"/>
        <v>24.920744314266024</v>
      </c>
      <c r="AD562" s="994">
        <f t="shared" si="171"/>
        <v>4004</v>
      </c>
      <c r="AE562" s="995">
        <f t="shared" si="172"/>
        <v>27.594762232942799</v>
      </c>
      <c r="AF562" s="996">
        <v>82</v>
      </c>
      <c r="AG562" s="997">
        <v>64</v>
      </c>
      <c r="AH562" s="997">
        <v>4</v>
      </c>
      <c r="AI562" s="998">
        <f t="shared" si="173"/>
        <v>150</v>
      </c>
      <c r="AJ562" s="993">
        <f t="shared" si="174"/>
        <v>1.0337698139214335</v>
      </c>
    </row>
    <row r="563" spans="1:36" ht="16.5" customHeight="1">
      <c r="A563" s="999">
        <f>'09월 조업일지'!A561</f>
        <v>46286</v>
      </c>
      <c r="B563" s="1099">
        <f>'09월 조업일지'!B561</f>
        <v>46286</v>
      </c>
      <c r="C563" s="1000" t="str">
        <f>'09월 화학성분'!D561</f>
        <v>A</v>
      </c>
      <c r="D563" s="1000" t="str">
        <f>'09월 화학성분'!E561</f>
        <v>B</v>
      </c>
      <c r="E563" s="1000">
        <f>'09월 화학성분'!C561</f>
        <v>85763</v>
      </c>
      <c r="F563" s="1001" t="str">
        <f t="shared" si="160"/>
        <v>DKOIL</v>
      </c>
      <c r="G563" s="1172">
        <v>19</v>
      </c>
      <c r="H563" s="985">
        <v>23200</v>
      </c>
      <c r="I563" s="1173">
        <v>16.7</v>
      </c>
      <c r="J563" s="985">
        <v>20500</v>
      </c>
      <c r="K563" s="1173">
        <v>11.1</v>
      </c>
      <c r="L563" s="985">
        <v>14200</v>
      </c>
      <c r="M563" s="1174">
        <f t="shared" si="161"/>
        <v>46.800000000000004</v>
      </c>
      <c r="N563" s="984">
        <f t="shared" si="162"/>
        <v>57900</v>
      </c>
      <c r="O563" s="986">
        <f t="shared" si="163"/>
        <v>163.49541930937278</v>
      </c>
      <c r="P563" s="987">
        <f t="shared" si="164"/>
        <v>144.46793516560959</v>
      </c>
      <c r="Q563" s="987">
        <f t="shared" si="165"/>
        <v>100.07047216349541</v>
      </c>
      <c r="R563" s="988">
        <f t="shared" si="166"/>
        <v>408.03382663847776</v>
      </c>
      <c r="S563" s="989">
        <v>141.9</v>
      </c>
      <c r="T563" s="990">
        <v>0</v>
      </c>
      <c r="U563" s="991">
        <v>81</v>
      </c>
      <c r="V563" s="991">
        <v>306</v>
      </c>
      <c r="W563" s="992">
        <f t="shared" si="167"/>
        <v>387</v>
      </c>
      <c r="X563" s="993">
        <f t="shared" si="168"/>
        <v>2.7272727272727271</v>
      </c>
      <c r="Y563" s="990">
        <v>1543</v>
      </c>
      <c r="Z563" s="991">
        <v>1402</v>
      </c>
      <c r="AA563" s="991">
        <v>809</v>
      </c>
      <c r="AB563" s="992">
        <f t="shared" si="169"/>
        <v>3754</v>
      </c>
      <c r="AC563" s="993">
        <f t="shared" si="170"/>
        <v>26.455250176180407</v>
      </c>
      <c r="AD563" s="994">
        <f t="shared" si="171"/>
        <v>4141</v>
      </c>
      <c r="AE563" s="995">
        <f t="shared" si="172"/>
        <v>29.182522903453133</v>
      </c>
      <c r="AF563" s="996">
        <v>80</v>
      </c>
      <c r="AG563" s="997">
        <v>66</v>
      </c>
      <c r="AH563" s="997">
        <v>7</v>
      </c>
      <c r="AI563" s="998">
        <f t="shared" si="173"/>
        <v>153</v>
      </c>
      <c r="AJ563" s="993">
        <f t="shared" si="174"/>
        <v>1.0782241014799154</v>
      </c>
    </row>
    <row r="564" spans="1:36" ht="16.5" customHeight="1">
      <c r="A564" s="999">
        <f>'09월 조업일지'!A562</f>
        <v>46286</v>
      </c>
      <c r="B564" s="1099">
        <f>'09월 조업일지'!B562</f>
        <v>46286</v>
      </c>
      <c r="C564" s="1000" t="str">
        <f>'09월 화학성분'!D562</f>
        <v>A</v>
      </c>
      <c r="D564" s="1000" t="str">
        <f>'09월 화학성분'!E562</f>
        <v>A</v>
      </c>
      <c r="E564" s="1000">
        <f>'09월 화학성분'!C562</f>
        <v>85764</v>
      </c>
      <c r="F564" s="1001" t="str">
        <f t="shared" si="160"/>
        <v>DKOIL</v>
      </c>
      <c r="G564" s="1172">
        <v>20</v>
      </c>
      <c r="H564" s="985">
        <v>23700</v>
      </c>
      <c r="I564" s="1173">
        <v>16.7</v>
      </c>
      <c r="J564" s="985">
        <v>20600</v>
      </c>
      <c r="K564" s="1173">
        <v>8.5</v>
      </c>
      <c r="L564" s="985">
        <v>10800</v>
      </c>
      <c r="M564" s="1174">
        <f t="shared" si="161"/>
        <v>45.2</v>
      </c>
      <c r="N564" s="984">
        <f t="shared" si="162"/>
        <v>55100</v>
      </c>
      <c r="O564" s="986">
        <f t="shared" si="163"/>
        <v>164.92693110647184</v>
      </c>
      <c r="P564" s="987">
        <f t="shared" si="164"/>
        <v>143.35421016005569</v>
      </c>
      <c r="Q564" s="987">
        <f t="shared" si="165"/>
        <v>75.156576200417547</v>
      </c>
      <c r="R564" s="988">
        <f t="shared" si="166"/>
        <v>383.43771746694506</v>
      </c>
      <c r="S564" s="989">
        <v>143.69999999999999</v>
      </c>
      <c r="T564" s="990">
        <v>0</v>
      </c>
      <c r="U564" s="991">
        <v>110</v>
      </c>
      <c r="V564" s="991">
        <v>267</v>
      </c>
      <c r="W564" s="992">
        <f t="shared" si="167"/>
        <v>377</v>
      </c>
      <c r="X564" s="993">
        <f t="shared" si="168"/>
        <v>2.6235212247738344</v>
      </c>
      <c r="Y564" s="990">
        <v>1631</v>
      </c>
      <c r="Z564" s="991">
        <v>1389</v>
      </c>
      <c r="AA564" s="991">
        <v>603</v>
      </c>
      <c r="AB564" s="992">
        <f t="shared" si="169"/>
        <v>3623</v>
      </c>
      <c r="AC564" s="993">
        <f t="shared" si="170"/>
        <v>25.212247738343773</v>
      </c>
      <c r="AD564" s="994">
        <f t="shared" si="171"/>
        <v>4000</v>
      </c>
      <c r="AE564" s="995">
        <f t="shared" si="172"/>
        <v>27.835768963117609</v>
      </c>
      <c r="AF564" s="996">
        <v>81</v>
      </c>
      <c r="AG564" s="997">
        <v>65</v>
      </c>
      <c r="AH564" s="997">
        <v>4</v>
      </c>
      <c r="AI564" s="998">
        <f t="shared" si="173"/>
        <v>150</v>
      </c>
      <c r="AJ564" s="993">
        <f t="shared" si="174"/>
        <v>1.0438413361169103</v>
      </c>
    </row>
    <row r="565" spans="1:36" ht="16.5" customHeight="1">
      <c r="A565" s="999">
        <f>'09월 조업일지'!A563</f>
        <v>46286</v>
      </c>
      <c r="B565" s="1099">
        <f>'09월 조업일지'!B563</f>
        <v>46286</v>
      </c>
      <c r="C565" s="1000" t="str">
        <f>'09월 화학성분'!D563</f>
        <v>A</v>
      </c>
      <c r="D565" s="1000" t="str">
        <f>'09월 화학성분'!E563</f>
        <v>B</v>
      </c>
      <c r="E565" s="1000">
        <f>'09월 화학성분'!C563</f>
        <v>85765</v>
      </c>
      <c r="F565" s="1001" t="str">
        <f t="shared" si="160"/>
        <v>DKOIL</v>
      </c>
      <c r="G565" s="1172">
        <v>19.2</v>
      </c>
      <c r="H565" s="985">
        <v>23300</v>
      </c>
      <c r="I565" s="1173">
        <v>16.600000000000001</v>
      </c>
      <c r="J565" s="985">
        <v>20400</v>
      </c>
      <c r="K565" s="1173">
        <v>11.9</v>
      </c>
      <c r="L565" s="985">
        <v>14200</v>
      </c>
      <c r="M565" s="1174">
        <f t="shared" si="161"/>
        <v>47.699999999999996</v>
      </c>
      <c r="N565" s="984">
        <f t="shared" si="162"/>
        <v>57900</v>
      </c>
      <c r="O565" s="986">
        <f t="shared" si="163"/>
        <v>165.60056858564323</v>
      </c>
      <c r="P565" s="987">
        <f t="shared" si="164"/>
        <v>144.98933901918977</v>
      </c>
      <c r="Q565" s="987">
        <f t="shared" si="165"/>
        <v>100.92395167022033</v>
      </c>
      <c r="R565" s="988">
        <f t="shared" si="166"/>
        <v>411.51385927505333</v>
      </c>
      <c r="S565" s="989">
        <v>140.69999999999999</v>
      </c>
      <c r="T565" s="990">
        <v>0</v>
      </c>
      <c r="U565" s="991">
        <v>67</v>
      </c>
      <c r="V565" s="991">
        <v>292</v>
      </c>
      <c r="W565" s="992">
        <f t="shared" si="167"/>
        <v>359</v>
      </c>
      <c r="X565" s="993">
        <f t="shared" si="168"/>
        <v>2.5515280739161339</v>
      </c>
      <c r="Y565" s="990">
        <v>1560</v>
      </c>
      <c r="Z565" s="991">
        <v>1367</v>
      </c>
      <c r="AA565" s="991">
        <v>984</v>
      </c>
      <c r="AB565" s="992">
        <f t="shared" si="169"/>
        <v>3911</v>
      </c>
      <c r="AC565" s="993">
        <f t="shared" si="170"/>
        <v>27.79673063255153</v>
      </c>
      <c r="AD565" s="994">
        <f t="shared" si="171"/>
        <v>4270</v>
      </c>
      <c r="AE565" s="995">
        <f t="shared" si="172"/>
        <v>30.348258706467664</v>
      </c>
      <c r="AF565" s="996">
        <v>82</v>
      </c>
      <c r="AG565" s="997">
        <v>63</v>
      </c>
      <c r="AH565" s="997">
        <v>8</v>
      </c>
      <c r="AI565" s="998">
        <f t="shared" si="173"/>
        <v>153</v>
      </c>
      <c r="AJ565" s="993">
        <f t="shared" si="174"/>
        <v>1.0874200426439233</v>
      </c>
    </row>
    <row r="566" spans="1:36" ht="16.5" customHeight="1">
      <c r="A566" s="999">
        <f>'09월 조업일지'!A564</f>
        <v>46286</v>
      </c>
      <c r="B566" s="1099">
        <f>'09월 조업일지'!B564</f>
        <v>46286</v>
      </c>
      <c r="C566" s="1000" t="str">
        <f>'09월 화학성분'!D564</f>
        <v>A</v>
      </c>
      <c r="D566" s="1000" t="str">
        <f>'09월 화학성분'!E564</f>
        <v>A</v>
      </c>
      <c r="E566" s="1000">
        <f>'09월 화학성분'!C564</f>
        <v>85766</v>
      </c>
      <c r="F566" s="1001" t="str">
        <f t="shared" si="160"/>
        <v>DKOIL</v>
      </c>
      <c r="G566" s="1172">
        <v>19.399999999999999</v>
      </c>
      <c r="H566" s="985">
        <v>23400</v>
      </c>
      <c r="I566" s="1173">
        <v>16.899999999999999</v>
      </c>
      <c r="J566" s="985">
        <v>20800</v>
      </c>
      <c r="K566" s="1173">
        <v>8.9</v>
      </c>
      <c r="L566" s="985">
        <v>11500</v>
      </c>
      <c r="M566" s="1174">
        <f t="shared" si="161"/>
        <v>45.199999999999996</v>
      </c>
      <c r="N566" s="984">
        <f t="shared" si="162"/>
        <v>55700</v>
      </c>
      <c r="O566" s="986">
        <f t="shared" si="163"/>
        <v>166.19318181818181</v>
      </c>
      <c r="P566" s="987">
        <f t="shared" si="164"/>
        <v>147.72727272727272</v>
      </c>
      <c r="Q566" s="987">
        <f t="shared" si="165"/>
        <v>81.67613636363636</v>
      </c>
      <c r="R566" s="988">
        <f t="shared" si="166"/>
        <v>395.59659090909088</v>
      </c>
      <c r="S566" s="989">
        <v>140.80000000000001</v>
      </c>
      <c r="T566" s="990">
        <v>0</v>
      </c>
      <c r="U566" s="991">
        <v>203</v>
      </c>
      <c r="V566" s="991">
        <v>86</v>
      </c>
      <c r="W566" s="992">
        <f t="shared" si="167"/>
        <v>289</v>
      </c>
      <c r="X566" s="993">
        <f t="shared" si="168"/>
        <v>2.0525568181818179</v>
      </c>
      <c r="Y566" s="990">
        <v>1610</v>
      </c>
      <c r="Z566" s="991">
        <v>1427</v>
      </c>
      <c r="AA566" s="991">
        <v>623</v>
      </c>
      <c r="AB566" s="992">
        <f t="shared" si="169"/>
        <v>3660</v>
      </c>
      <c r="AC566" s="993">
        <f t="shared" si="170"/>
        <v>25.99431818181818</v>
      </c>
      <c r="AD566" s="994">
        <f t="shared" si="171"/>
        <v>3949</v>
      </c>
      <c r="AE566" s="995">
        <f t="shared" si="172"/>
        <v>28.046874999999996</v>
      </c>
      <c r="AF566" s="996">
        <v>81</v>
      </c>
      <c r="AG566" s="997">
        <v>64</v>
      </c>
      <c r="AH566" s="997">
        <v>5</v>
      </c>
      <c r="AI566" s="998">
        <f t="shared" si="173"/>
        <v>150</v>
      </c>
      <c r="AJ566" s="993">
        <f t="shared" si="174"/>
        <v>1.0653409090909089</v>
      </c>
    </row>
    <row r="567" spans="1:36" ht="16.5" customHeight="1">
      <c r="A567" s="999">
        <f>'09월 조업일지'!A565</f>
        <v>46286</v>
      </c>
      <c r="B567" s="1099">
        <f>'09월 조업일지'!B565</f>
        <v>46286</v>
      </c>
      <c r="C567" s="1000" t="str">
        <f>'09월 화학성분'!D565</f>
        <v>A</v>
      </c>
      <c r="D567" s="1000" t="str">
        <f>'09월 화학성분'!E565</f>
        <v>B</v>
      </c>
      <c r="E567" s="1000">
        <f>'09월 화학성분'!C565</f>
        <v>85767</v>
      </c>
      <c r="F567" s="1001" t="str">
        <f t="shared" si="160"/>
        <v>DKOIL</v>
      </c>
      <c r="G567" s="1172">
        <v>19.2</v>
      </c>
      <c r="H567" s="985">
        <v>23500</v>
      </c>
      <c r="I567" s="1173">
        <v>16.7</v>
      </c>
      <c r="J567" s="985">
        <v>20800</v>
      </c>
      <c r="K567" s="1173">
        <v>11</v>
      </c>
      <c r="L567" s="985">
        <v>14000</v>
      </c>
      <c r="M567" s="1174">
        <f t="shared" si="161"/>
        <v>46.9</v>
      </c>
      <c r="N567" s="984">
        <f t="shared" si="162"/>
        <v>58300</v>
      </c>
      <c r="O567" s="986">
        <f t="shared" si="163"/>
        <v>164.33566433566435</v>
      </c>
      <c r="P567" s="987">
        <f t="shared" si="164"/>
        <v>145.45454545454547</v>
      </c>
      <c r="Q567" s="987">
        <f t="shared" si="165"/>
        <v>97.902097902097907</v>
      </c>
      <c r="R567" s="988">
        <f t="shared" si="166"/>
        <v>407.69230769230774</v>
      </c>
      <c r="S567" s="989">
        <v>143</v>
      </c>
      <c r="T567" s="990">
        <v>0</v>
      </c>
      <c r="U567" s="991">
        <v>115</v>
      </c>
      <c r="V567" s="991">
        <v>248</v>
      </c>
      <c r="W567" s="992">
        <f t="shared" si="167"/>
        <v>363</v>
      </c>
      <c r="X567" s="993">
        <f t="shared" si="168"/>
        <v>2.5384615384615383</v>
      </c>
      <c r="Y567" s="990">
        <v>1590</v>
      </c>
      <c r="Z567" s="991">
        <v>1384</v>
      </c>
      <c r="AA567" s="991">
        <v>777</v>
      </c>
      <c r="AB567" s="992">
        <f t="shared" si="169"/>
        <v>3751</v>
      </c>
      <c r="AC567" s="993">
        <f t="shared" si="170"/>
        <v>26.23076923076923</v>
      </c>
      <c r="AD567" s="994">
        <f t="shared" si="171"/>
        <v>4114</v>
      </c>
      <c r="AE567" s="995">
        <f t="shared" si="172"/>
        <v>28.76923076923077</v>
      </c>
      <c r="AF567" s="996">
        <v>80</v>
      </c>
      <c r="AG567" s="997">
        <v>63</v>
      </c>
      <c r="AH567" s="997">
        <v>5</v>
      </c>
      <c r="AI567" s="998">
        <f t="shared" si="173"/>
        <v>148</v>
      </c>
      <c r="AJ567" s="993">
        <f t="shared" si="174"/>
        <v>1.034965034965035</v>
      </c>
    </row>
    <row r="568" spans="1:36" ht="16.5" customHeight="1">
      <c r="A568" s="999">
        <f>'09월 조업일지'!A566</f>
        <v>46286</v>
      </c>
      <c r="B568" s="1099">
        <f>'09월 조업일지'!B566</f>
        <v>46286</v>
      </c>
      <c r="C568" s="1000" t="str">
        <f>'09월 화학성분'!D566</f>
        <v>A</v>
      </c>
      <c r="D568" s="1000" t="str">
        <f>'09월 화학성분'!E566</f>
        <v>A</v>
      </c>
      <c r="E568" s="1000">
        <f>'09월 화학성분'!C566</f>
        <v>85768</v>
      </c>
      <c r="F568" s="1001" t="str">
        <f t="shared" si="160"/>
        <v>DKOIL</v>
      </c>
      <c r="G568" s="1172">
        <v>19.2</v>
      </c>
      <c r="H568" s="985">
        <v>23400</v>
      </c>
      <c r="I568" s="1173">
        <v>17.399999999999999</v>
      </c>
      <c r="J568" s="985">
        <v>21100</v>
      </c>
      <c r="K568" s="1173">
        <v>10.5</v>
      </c>
      <c r="L568" s="985">
        <v>13200</v>
      </c>
      <c r="M568" s="1174">
        <f t="shared" si="161"/>
        <v>47.099999999999994</v>
      </c>
      <c r="N568" s="984">
        <f t="shared" si="162"/>
        <v>57700</v>
      </c>
      <c r="O568" s="986">
        <f t="shared" si="163"/>
        <v>161.93771626297578</v>
      </c>
      <c r="P568" s="987">
        <f t="shared" si="164"/>
        <v>146.02076124567475</v>
      </c>
      <c r="Q568" s="987">
        <f t="shared" si="165"/>
        <v>91.349480968858131</v>
      </c>
      <c r="R568" s="988">
        <f t="shared" si="166"/>
        <v>399.30795847750863</v>
      </c>
      <c r="S568" s="989">
        <v>144.5</v>
      </c>
      <c r="T568" s="990">
        <v>0</v>
      </c>
      <c r="U568" s="991">
        <v>103</v>
      </c>
      <c r="V568" s="991">
        <v>276</v>
      </c>
      <c r="W568" s="992">
        <f t="shared" si="167"/>
        <v>379</v>
      </c>
      <c r="X568" s="993">
        <f t="shared" si="168"/>
        <v>2.6228373702422147</v>
      </c>
      <c r="Y568" s="990">
        <v>1569</v>
      </c>
      <c r="Z568" s="991">
        <v>1431</v>
      </c>
      <c r="AA568" s="991">
        <v>685</v>
      </c>
      <c r="AB568" s="992">
        <f t="shared" si="169"/>
        <v>3685</v>
      </c>
      <c r="AC568" s="993">
        <f t="shared" si="170"/>
        <v>25.501730103806228</v>
      </c>
      <c r="AD568" s="994">
        <f t="shared" si="171"/>
        <v>4064</v>
      </c>
      <c r="AE568" s="995">
        <f t="shared" si="172"/>
        <v>28.124567474048444</v>
      </c>
      <c r="AF568" s="996">
        <v>80</v>
      </c>
      <c r="AG568" s="997">
        <v>65</v>
      </c>
      <c r="AH568" s="997">
        <v>5</v>
      </c>
      <c r="AI568" s="998">
        <f t="shared" si="173"/>
        <v>150</v>
      </c>
      <c r="AJ568" s="993">
        <f t="shared" si="174"/>
        <v>1.0380622837370241</v>
      </c>
    </row>
    <row r="569" spans="1:36" ht="16.5" customHeight="1">
      <c r="A569" s="999">
        <f>'09월 조업일지'!A567</f>
        <v>46286</v>
      </c>
      <c r="B569" s="1099">
        <f>'09월 조업일지'!B567</f>
        <v>46286</v>
      </c>
      <c r="C569" s="1000" t="str">
        <f>'09월 화학성분'!D567</f>
        <v>A</v>
      </c>
      <c r="D569" s="1000" t="str">
        <f>'09월 화학성분'!E567</f>
        <v>B</v>
      </c>
      <c r="E569" s="1000">
        <f>'09월 화학성분'!C567</f>
        <v>85769</v>
      </c>
      <c r="F569" s="1001" t="str">
        <f t="shared" si="160"/>
        <v>DKOIL</v>
      </c>
      <c r="G569" s="1172">
        <v>20.399999999999999</v>
      </c>
      <c r="H569" s="985">
        <v>24200</v>
      </c>
      <c r="I569" s="1173">
        <v>17</v>
      </c>
      <c r="J569" s="985">
        <v>20700</v>
      </c>
      <c r="K569" s="1173">
        <v>10.9</v>
      </c>
      <c r="L569" s="985">
        <v>13900</v>
      </c>
      <c r="M569" s="1174">
        <f t="shared" si="161"/>
        <v>48.3</v>
      </c>
      <c r="N569" s="984">
        <f t="shared" si="162"/>
        <v>58800</v>
      </c>
      <c r="O569" s="986">
        <f t="shared" si="163"/>
        <v>170.66290550070519</v>
      </c>
      <c r="P569" s="987">
        <f t="shared" si="164"/>
        <v>145.9802538787024</v>
      </c>
      <c r="Q569" s="987">
        <f t="shared" si="165"/>
        <v>98.025387870239769</v>
      </c>
      <c r="R569" s="988">
        <f t="shared" si="166"/>
        <v>414.66854724964742</v>
      </c>
      <c r="S569" s="989">
        <v>141.80000000000001</v>
      </c>
      <c r="T569" s="990">
        <v>0</v>
      </c>
      <c r="U569" s="991">
        <v>121</v>
      </c>
      <c r="V569" s="991">
        <v>223</v>
      </c>
      <c r="W569" s="992">
        <f t="shared" si="167"/>
        <v>344</v>
      </c>
      <c r="X569" s="993">
        <f t="shared" si="168"/>
        <v>2.4259520451339913</v>
      </c>
      <c r="Y569" s="990">
        <v>1706</v>
      </c>
      <c r="Z569" s="991">
        <v>1396</v>
      </c>
      <c r="AA569" s="991">
        <v>794</v>
      </c>
      <c r="AB569" s="992">
        <f t="shared" si="169"/>
        <v>3896</v>
      </c>
      <c r="AC569" s="993">
        <f t="shared" si="170"/>
        <v>27.475317348377995</v>
      </c>
      <c r="AD569" s="994">
        <f t="shared" si="171"/>
        <v>4240</v>
      </c>
      <c r="AE569" s="995">
        <f t="shared" si="172"/>
        <v>29.901269393511985</v>
      </c>
      <c r="AF569" s="996">
        <v>85</v>
      </c>
      <c r="AG569" s="997">
        <v>62</v>
      </c>
      <c r="AH569" s="997">
        <v>8</v>
      </c>
      <c r="AI569" s="998">
        <f t="shared" si="173"/>
        <v>155</v>
      </c>
      <c r="AJ569" s="993">
        <f t="shared" si="174"/>
        <v>1.0930888575458391</v>
      </c>
    </row>
    <row r="570" spans="1:36" ht="16.5" customHeight="1">
      <c r="A570" s="999">
        <f>'09월 조업일지'!A568</f>
        <v>46286</v>
      </c>
      <c r="B570" s="1099">
        <f>'09월 조업일지'!B568</f>
        <v>46286</v>
      </c>
      <c r="C570" s="1000" t="str">
        <f>'09월 화학성분'!D568</f>
        <v>C</v>
      </c>
      <c r="D570" s="1000" t="str">
        <f>'09월 화학성분'!E568</f>
        <v>A</v>
      </c>
      <c r="E570" s="1000">
        <f>'09월 화학성분'!C568</f>
        <v>85770</v>
      </c>
      <c r="F570" s="1001" t="str">
        <f t="shared" si="160"/>
        <v>DKOIL</v>
      </c>
      <c r="G570" s="1172">
        <v>19.600000000000001</v>
      </c>
      <c r="H570" s="985">
        <v>23300</v>
      </c>
      <c r="I570" s="1173">
        <v>17.5</v>
      </c>
      <c r="J570" s="985">
        <v>20800</v>
      </c>
      <c r="K570" s="1173">
        <v>9.4</v>
      </c>
      <c r="L570" s="985">
        <v>11900</v>
      </c>
      <c r="M570" s="1174">
        <f t="shared" si="161"/>
        <v>46.5</v>
      </c>
      <c r="N570" s="984">
        <f t="shared" si="162"/>
        <v>56000</v>
      </c>
      <c r="O570" s="986">
        <f t="shared" si="163"/>
        <v>166.07270135424091</v>
      </c>
      <c r="P570" s="987">
        <f t="shared" si="164"/>
        <v>148.25374198146827</v>
      </c>
      <c r="Q570" s="987">
        <f t="shared" si="165"/>
        <v>84.818246614397708</v>
      </c>
      <c r="R570" s="988">
        <f t="shared" si="166"/>
        <v>399.14468995010691</v>
      </c>
      <c r="S570" s="989">
        <v>140.30000000000001</v>
      </c>
      <c r="T570" s="990">
        <v>0</v>
      </c>
      <c r="U570" s="991">
        <v>125</v>
      </c>
      <c r="V570" s="991">
        <v>224</v>
      </c>
      <c r="W570" s="992">
        <f t="shared" si="167"/>
        <v>349</v>
      </c>
      <c r="X570" s="993">
        <f t="shared" si="168"/>
        <v>2.4875267284390588</v>
      </c>
      <c r="Y570" s="990">
        <v>1576</v>
      </c>
      <c r="Z570" s="991">
        <v>1443</v>
      </c>
      <c r="AA570" s="991">
        <v>749</v>
      </c>
      <c r="AB570" s="992">
        <f t="shared" si="169"/>
        <v>3768</v>
      </c>
      <c r="AC570" s="993">
        <f t="shared" si="170"/>
        <v>26.856735566642907</v>
      </c>
      <c r="AD570" s="994">
        <f t="shared" si="171"/>
        <v>4117</v>
      </c>
      <c r="AE570" s="995">
        <f t="shared" si="172"/>
        <v>29.344262295081965</v>
      </c>
      <c r="AF570" s="996">
        <v>81</v>
      </c>
      <c r="AG570" s="997">
        <v>65</v>
      </c>
      <c r="AH570" s="997">
        <v>7</v>
      </c>
      <c r="AI570" s="998">
        <f t="shared" si="173"/>
        <v>153</v>
      </c>
      <c r="AJ570" s="993">
        <f t="shared" si="174"/>
        <v>1.090520313613685</v>
      </c>
    </row>
    <row r="571" spans="1:36" ht="16.5" customHeight="1">
      <c r="A571" s="999">
        <f>'09월 조업일지'!A569</f>
        <v>46286</v>
      </c>
      <c r="B571" s="1099">
        <f>'09월 조업일지'!B569</f>
        <v>46286</v>
      </c>
      <c r="C571" s="1000" t="str">
        <f>'09월 화학성분'!D569</f>
        <v>C</v>
      </c>
      <c r="D571" s="1000" t="str">
        <f>'09월 화학성분'!E569</f>
        <v>B</v>
      </c>
      <c r="E571" s="1000">
        <f>'09월 화학성분'!C569</f>
        <v>85771</v>
      </c>
      <c r="F571" s="1001" t="str">
        <f t="shared" si="160"/>
        <v>DKOIL</v>
      </c>
      <c r="G571" s="1172">
        <v>19.5</v>
      </c>
      <c r="H571" s="985">
        <v>23300</v>
      </c>
      <c r="I571" s="1173">
        <v>16.7</v>
      </c>
      <c r="J571" s="985">
        <v>20500</v>
      </c>
      <c r="K571" s="1173">
        <v>9.4</v>
      </c>
      <c r="L571" s="985">
        <v>11900</v>
      </c>
      <c r="M571" s="1174">
        <f t="shared" si="161"/>
        <v>45.6</v>
      </c>
      <c r="N571" s="984">
        <f t="shared" si="162"/>
        <v>55700</v>
      </c>
      <c r="O571" s="986">
        <f t="shared" si="163"/>
        <v>163.0510846745976</v>
      </c>
      <c r="P571" s="987">
        <f t="shared" si="164"/>
        <v>143.45696291112665</v>
      </c>
      <c r="Q571" s="987">
        <f t="shared" si="165"/>
        <v>83.275017494751566</v>
      </c>
      <c r="R571" s="988">
        <f t="shared" si="166"/>
        <v>389.78306508047586</v>
      </c>
      <c r="S571" s="989">
        <v>142.9</v>
      </c>
      <c r="T571" s="990">
        <v>0</v>
      </c>
      <c r="U571" s="991">
        <v>81</v>
      </c>
      <c r="V571" s="991">
        <v>265</v>
      </c>
      <c r="W571" s="992">
        <f t="shared" si="167"/>
        <v>346</v>
      </c>
      <c r="X571" s="993">
        <f t="shared" si="168"/>
        <v>2.4212736179146255</v>
      </c>
      <c r="Y571" s="990">
        <v>1606</v>
      </c>
      <c r="Z571" s="991">
        <v>1366</v>
      </c>
      <c r="AA571" s="991">
        <v>888</v>
      </c>
      <c r="AB571" s="992">
        <f t="shared" si="169"/>
        <v>3860</v>
      </c>
      <c r="AC571" s="993">
        <f t="shared" si="170"/>
        <v>27.011896431070678</v>
      </c>
      <c r="AD571" s="994">
        <f t="shared" si="171"/>
        <v>4206</v>
      </c>
      <c r="AE571" s="995">
        <f t="shared" si="172"/>
        <v>29.433170048985303</v>
      </c>
      <c r="AF571" s="996">
        <v>82</v>
      </c>
      <c r="AG571" s="997">
        <v>61</v>
      </c>
      <c r="AH571" s="997">
        <v>9</v>
      </c>
      <c r="AI571" s="998">
        <f t="shared" si="173"/>
        <v>152</v>
      </c>
      <c r="AJ571" s="993">
        <f t="shared" si="174"/>
        <v>1.0636808957312807</v>
      </c>
    </row>
    <row r="572" spans="1:36" ht="16.5" customHeight="1">
      <c r="A572" s="999">
        <f>'09월 조업일지'!A570</f>
        <v>46286</v>
      </c>
      <c r="B572" s="1099">
        <f>'09월 조업일지'!B570</f>
        <v>46286</v>
      </c>
      <c r="C572" s="1000" t="str">
        <f>'09월 화학성분'!D570</f>
        <v>C</v>
      </c>
      <c r="D572" s="1000" t="str">
        <f>'09월 화학성분'!E570</f>
        <v>A</v>
      </c>
      <c r="E572" s="1000">
        <f>'09월 화학성분'!C570</f>
        <v>85772</v>
      </c>
      <c r="F572" s="1001" t="str">
        <f t="shared" si="160"/>
        <v>DKOIL</v>
      </c>
      <c r="G572" s="1172">
        <v>20</v>
      </c>
      <c r="H572" s="985">
        <v>23500</v>
      </c>
      <c r="I572" s="1173">
        <v>18.600000000000001</v>
      </c>
      <c r="J572" s="985">
        <v>20700</v>
      </c>
      <c r="K572" s="1173">
        <v>11.1</v>
      </c>
      <c r="L572" s="985">
        <v>14000</v>
      </c>
      <c r="M572" s="1174">
        <f t="shared" si="161"/>
        <v>49.7</v>
      </c>
      <c r="N572" s="984">
        <f t="shared" si="162"/>
        <v>58200</v>
      </c>
      <c r="O572" s="986">
        <f t="shared" si="163"/>
        <v>162.1808143547274</v>
      </c>
      <c r="P572" s="987">
        <f t="shared" si="164"/>
        <v>142.85714285714286</v>
      </c>
      <c r="Q572" s="987">
        <f t="shared" si="165"/>
        <v>96.618357487922708</v>
      </c>
      <c r="R572" s="988">
        <f t="shared" si="166"/>
        <v>401.65631469979297</v>
      </c>
      <c r="S572" s="989">
        <v>144.9</v>
      </c>
      <c r="T572" s="990">
        <v>0</v>
      </c>
      <c r="U572" s="991">
        <v>145</v>
      </c>
      <c r="V572" s="991">
        <v>214</v>
      </c>
      <c r="W572" s="992">
        <f t="shared" si="167"/>
        <v>359</v>
      </c>
      <c r="X572" s="993">
        <f t="shared" si="168"/>
        <v>2.4775707384403036</v>
      </c>
      <c r="Y572" s="990">
        <v>1705</v>
      </c>
      <c r="Z572" s="991">
        <v>1494</v>
      </c>
      <c r="AA572" s="991">
        <v>741</v>
      </c>
      <c r="AB572" s="992">
        <f t="shared" si="169"/>
        <v>3940</v>
      </c>
      <c r="AC572" s="993">
        <f t="shared" si="170"/>
        <v>27.191166321601102</v>
      </c>
      <c r="AD572" s="994">
        <f t="shared" si="171"/>
        <v>4299</v>
      </c>
      <c r="AE572" s="995">
        <f t="shared" si="172"/>
        <v>29.668737060041408</v>
      </c>
      <c r="AF572" s="996">
        <v>83</v>
      </c>
      <c r="AG572" s="997">
        <v>66</v>
      </c>
      <c r="AH572" s="997">
        <v>6</v>
      </c>
      <c r="AI572" s="998">
        <f t="shared" si="173"/>
        <v>155</v>
      </c>
      <c r="AJ572" s="993">
        <f t="shared" si="174"/>
        <v>1.069703243616287</v>
      </c>
    </row>
    <row r="573" spans="1:36" ht="16.5" customHeight="1">
      <c r="A573" s="999">
        <f>'09월 조업일지'!A571</f>
        <v>46286</v>
      </c>
      <c r="B573" s="1099">
        <f>'09월 조업일지'!B571</f>
        <v>46286</v>
      </c>
      <c r="C573" s="1000" t="str">
        <f>'09월 화학성분'!D571</f>
        <v>C</v>
      </c>
      <c r="D573" s="1000" t="str">
        <f>'09월 화학성분'!E571</f>
        <v>B</v>
      </c>
      <c r="E573" s="1000">
        <f>'09월 화학성분'!C571</f>
        <v>85773</v>
      </c>
      <c r="F573" s="1001" t="str">
        <f t="shared" si="160"/>
        <v>DKOIL</v>
      </c>
      <c r="G573" s="1172">
        <v>20.8</v>
      </c>
      <c r="H573" s="985">
        <v>22700</v>
      </c>
      <c r="I573" s="1173">
        <v>16.600000000000001</v>
      </c>
      <c r="J573" s="985">
        <v>20500</v>
      </c>
      <c r="K573" s="1173">
        <v>10.5</v>
      </c>
      <c r="L573" s="985">
        <v>13400</v>
      </c>
      <c r="M573" s="1174">
        <f t="shared" si="161"/>
        <v>47.900000000000006</v>
      </c>
      <c r="N573" s="984">
        <f t="shared" si="162"/>
        <v>56600</v>
      </c>
      <c r="O573" s="986">
        <f t="shared" si="163"/>
        <v>160.08462623413257</v>
      </c>
      <c r="P573" s="987">
        <f t="shared" si="164"/>
        <v>144.56981664315936</v>
      </c>
      <c r="Q573" s="987">
        <f t="shared" si="165"/>
        <v>94.499294781382218</v>
      </c>
      <c r="R573" s="988">
        <f t="shared" si="166"/>
        <v>399.15373765867412</v>
      </c>
      <c r="S573" s="989">
        <v>141.80000000000001</v>
      </c>
      <c r="T573" s="990">
        <v>0</v>
      </c>
      <c r="U573" s="991">
        <v>74</v>
      </c>
      <c r="V573" s="991">
        <v>278</v>
      </c>
      <c r="W573" s="992">
        <f t="shared" si="167"/>
        <v>352</v>
      </c>
      <c r="X573" s="993">
        <f t="shared" si="168"/>
        <v>2.482369534555712</v>
      </c>
      <c r="Y573" s="990">
        <v>1655</v>
      </c>
      <c r="Z573" s="991">
        <v>1362</v>
      </c>
      <c r="AA573" s="991">
        <v>940</v>
      </c>
      <c r="AB573" s="992">
        <f t="shared" si="169"/>
        <v>3957</v>
      </c>
      <c r="AC573" s="993">
        <f t="shared" si="170"/>
        <v>27.905500705218614</v>
      </c>
      <c r="AD573" s="994">
        <f t="shared" si="171"/>
        <v>4309</v>
      </c>
      <c r="AE573" s="995">
        <f t="shared" si="172"/>
        <v>30.387870239774326</v>
      </c>
      <c r="AF573" s="996">
        <v>82</v>
      </c>
      <c r="AG573" s="997">
        <v>63</v>
      </c>
      <c r="AH573" s="997">
        <v>9</v>
      </c>
      <c r="AI573" s="998">
        <f t="shared" si="173"/>
        <v>154</v>
      </c>
      <c r="AJ573" s="993">
        <f t="shared" si="174"/>
        <v>1.086036671368124</v>
      </c>
    </row>
    <row r="574" spans="1:36" ht="16.5" customHeight="1">
      <c r="A574" s="999">
        <f>'09월 조업일지'!A572</f>
        <v>46286</v>
      </c>
      <c r="B574" s="1099">
        <f>'09월 조업일지'!B572</f>
        <v>46286</v>
      </c>
      <c r="C574" s="1000" t="str">
        <f>'09월 화학성분'!D572</f>
        <v>C</v>
      </c>
      <c r="D574" s="1000" t="str">
        <f>'09월 화학성분'!E572</f>
        <v>A</v>
      </c>
      <c r="E574" s="1000">
        <f>'09월 화학성분'!C572</f>
        <v>85774</v>
      </c>
      <c r="F574" s="1001" t="str">
        <f t="shared" si="160"/>
        <v>DKOIL</v>
      </c>
      <c r="G574" s="1172">
        <v>19.899999999999999</v>
      </c>
      <c r="H574" s="985">
        <v>23500</v>
      </c>
      <c r="I574" s="1173">
        <v>17.399999999999999</v>
      </c>
      <c r="J574" s="985">
        <v>20800</v>
      </c>
      <c r="K574" s="1173">
        <v>11</v>
      </c>
      <c r="L574" s="985">
        <v>13900</v>
      </c>
      <c r="M574" s="1174">
        <f t="shared" si="161"/>
        <v>48.3</v>
      </c>
      <c r="N574" s="984">
        <f t="shared" si="162"/>
        <v>58200</v>
      </c>
      <c r="O574" s="986">
        <f t="shared" si="163"/>
        <v>160.08174386920979</v>
      </c>
      <c r="P574" s="987">
        <f t="shared" si="164"/>
        <v>141.6893732970027</v>
      </c>
      <c r="Q574" s="987">
        <f t="shared" si="165"/>
        <v>94.686648501362384</v>
      </c>
      <c r="R574" s="988">
        <f t="shared" si="166"/>
        <v>396.4577656675749</v>
      </c>
      <c r="S574" s="989">
        <v>146.80000000000001</v>
      </c>
      <c r="T574" s="990">
        <v>0</v>
      </c>
      <c r="U574" s="991">
        <v>156</v>
      </c>
      <c r="V574" s="991">
        <v>200</v>
      </c>
      <c r="W574" s="992">
        <f t="shared" si="167"/>
        <v>356</v>
      </c>
      <c r="X574" s="993">
        <f t="shared" si="168"/>
        <v>2.4250681198910078</v>
      </c>
      <c r="Y574" s="990">
        <v>1663</v>
      </c>
      <c r="Z574" s="991">
        <v>1430</v>
      </c>
      <c r="AA574" s="991">
        <v>870</v>
      </c>
      <c r="AB574" s="992">
        <f t="shared" si="169"/>
        <v>3963</v>
      </c>
      <c r="AC574" s="993">
        <f t="shared" si="170"/>
        <v>26.995912806539508</v>
      </c>
      <c r="AD574" s="994">
        <f t="shared" si="171"/>
        <v>4319</v>
      </c>
      <c r="AE574" s="995">
        <f t="shared" si="172"/>
        <v>29.420980926430516</v>
      </c>
      <c r="AF574" s="996">
        <v>81</v>
      </c>
      <c r="AG574" s="997">
        <v>64</v>
      </c>
      <c r="AH574" s="997">
        <v>7</v>
      </c>
      <c r="AI574" s="998">
        <f t="shared" si="173"/>
        <v>152</v>
      </c>
      <c r="AJ574" s="993">
        <f t="shared" si="174"/>
        <v>1.0354223433242506</v>
      </c>
    </row>
    <row r="575" spans="1:36" ht="16.5" customHeight="1">
      <c r="A575" s="999">
        <f>'09월 조업일지'!A573</f>
        <v>46286</v>
      </c>
      <c r="B575" s="1099">
        <f>'09월 조업일지'!B573</f>
        <v>46286</v>
      </c>
      <c r="C575" s="1000" t="str">
        <f>'09월 화학성분'!D573</f>
        <v>C</v>
      </c>
      <c r="D575" s="1000" t="str">
        <f>'09월 화학성분'!E573</f>
        <v>B</v>
      </c>
      <c r="E575" s="1000">
        <f>'09월 화학성분'!C573</f>
        <v>85775</v>
      </c>
      <c r="F575" s="1001" t="str">
        <f t="shared" si="160"/>
        <v>DKOIL</v>
      </c>
      <c r="G575" s="1172">
        <v>21.1</v>
      </c>
      <c r="H575" s="985">
        <v>24300</v>
      </c>
      <c r="I575" s="1173">
        <v>16.2</v>
      </c>
      <c r="J575" s="985">
        <v>20700</v>
      </c>
      <c r="K575" s="1173">
        <v>13.3</v>
      </c>
      <c r="L575" s="985">
        <v>17000</v>
      </c>
      <c r="M575" s="1174">
        <f t="shared" si="161"/>
        <v>50.599999999999994</v>
      </c>
      <c r="N575" s="984">
        <f t="shared" si="162"/>
        <v>62000</v>
      </c>
      <c r="O575" s="986">
        <f t="shared" si="163"/>
        <v>174.94600431965441</v>
      </c>
      <c r="P575" s="987">
        <f t="shared" si="164"/>
        <v>149.02807775377968</v>
      </c>
      <c r="Q575" s="987">
        <f t="shared" si="165"/>
        <v>122.39020878329733</v>
      </c>
      <c r="R575" s="988">
        <f t="shared" si="166"/>
        <v>446.36429085673143</v>
      </c>
      <c r="S575" s="989">
        <v>138.9</v>
      </c>
      <c r="T575" s="990">
        <v>0</v>
      </c>
      <c r="U575" s="991">
        <v>95</v>
      </c>
      <c r="V575" s="991">
        <v>247</v>
      </c>
      <c r="W575" s="992">
        <f t="shared" si="167"/>
        <v>342</v>
      </c>
      <c r="X575" s="993">
        <f t="shared" si="168"/>
        <v>2.4622030237580992</v>
      </c>
      <c r="Y575" s="990">
        <v>1708</v>
      </c>
      <c r="Z575" s="991">
        <v>1346</v>
      </c>
      <c r="AA575" s="991">
        <v>1113</v>
      </c>
      <c r="AB575" s="992">
        <f t="shared" si="169"/>
        <v>4167</v>
      </c>
      <c r="AC575" s="993">
        <f t="shared" si="170"/>
        <v>30</v>
      </c>
      <c r="AD575" s="994">
        <f t="shared" si="171"/>
        <v>4509</v>
      </c>
      <c r="AE575" s="995">
        <f t="shared" si="172"/>
        <v>32.4622030237581</v>
      </c>
      <c r="AF575" s="996">
        <v>83</v>
      </c>
      <c r="AG575" s="997">
        <v>62</v>
      </c>
      <c r="AH575" s="997">
        <v>10</v>
      </c>
      <c r="AI575" s="998">
        <f t="shared" si="173"/>
        <v>155</v>
      </c>
      <c r="AJ575" s="993">
        <f t="shared" si="174"/>
        <v>1.1159107271418287</v>
      </c>
    </row>
    <row r="576" spans="1:36" ht="16.5" customHeight="1">
      <c r="A576" s="999">
        <f>'09월 조업일지'!A574</f>
        <v>46286</v>
      </c>
      <c r="B576" s="1099">
        <f>'09월 조업일지'!B574</f>
        <v>46286</v>
      </c>
      <c r="C576" s="1000" t="str">
        <f>'09월 화학성분'!D574</f>
        <v>C</v>
      </c>
      <c r="D576" s="1000" t="str">
        <f>'09월 화학성분'!E574</f>
        <v>A</v>
      </c>
      <c r="E576" s="1000">
        <f>'09월 화학성분'!C574</f>
        <v>85776</v>
      </c>
      <c r="F576" s="1001" t="str">
        <f t="shared" si="160"/>
        <v>DKOIL</v>
      </c>
      <c r="G576" s="1172">
        <v>20.3</v>
      </c>
      <c r="H576" s="985">
        <v>24400</v>
      </c>
      <c r="I576" s="1173">
        <v>18.5</v>
      </c>
      <c r="J576" s="985">
        <v>20800</v>
      </c>
      <c r="K576" s="1173">
        <v>10.4</v>
      </c>
      <c r="L576" s="985">
        <v>12600</v>
      </c>
      <c r="M576" s="1174">
        <f t="shared" si="161"/>
        <v>49.199999999999996</v>
      </c>
      <c r="N576" s="984">
        <f t="shared" si="162"/>
        <v>57800</v>
      </c>
      <c r="O576" s="986">
        <f t="shared" si="163"/>
        <v>166.09938733832539</v>
      </c>
      <c r="P576" s="987">
        <f t="shared" si="164"/>
        <v>141.59292035398229</v>
      </c>
      <c r="Q576" s="987">
        <f t="shared" si="165"/>
        <v>85.772634445200808</v>
      </c>
      <c r="R576" s="988">
        <f t="shared" si="166"/>
        <v>393.4649421375085</v>
      </c>
      <c r="S576" s="989">
        <v>146.9</v>
      </c>
      <c r="T576" s="990">
        <v>0</v>
      </c>
      <c r="U576" s="991">
        <v>155</v>
      </c>
      <c r="V576" s="991">
        <v>199</v>
      </c>
      <c r="W576" s="992">
        <f t="shared" si="167"/>
        <v>354</v>
      </c>
      <c r="X576" s="993">
        <f t="shared" si="168"/>
        <v>2.4098025867937372</v>
      </c>
      <c r="Y576" s="990">
        <v>1686</v>
      </c>
      <c r="Z576" s="991">
        <v>1503</v>
      </c>
      <c r="AA576" s="991">
        <v>1137</v>
      </c>
      <c r="AB576" s="992">
        <f t="shared" si="169"/>
        <v>4326</v>
      </c>
      <c r="AC576" s="993">
        <f t="shared" si="170"/>
        <v>29.448604492852279</v>
      </c>
      <c r="AD576" s="994">
        <f t="shared" si="171"/>
        <v>4680</v>
      </c>
      <c r="AE576" s="995">
        <f t="shared" si="172"/>
        <v>31.858407079646017</v>
      </c>
      <c r="AF576" s="996">
        <v>82</v>
      </c>
      <c r="AG576" s="997">
        <v>66</v>
      </c>
      <c r="AH576" s="997">
        <v>10</v>
      </c>
      <c r="AI576" s="998">
        <f t="shared" si="173"/>
        <v>158</v>
      </c>
      <c r="AJ576" s="993">
        <f t="shared" si="174"/>
        <v>1.0755616065350577</v>
      </c>
    </row>
    <row r="577" spans="1:38" ht="16.5" customHeight="1">
      <c r="A577" s="999">
        <f>'09월 조업일지'!A575</f>
        <v>46286</v>
      </c>
      <c r="B577" s="1099">
        <f>'09월 조업일지'!B575</f>
        <v>46286</v>
      </c>
      <c r="C577" s="1000" t="str">
        <f>'09월 화학성분'!D575</f>
        <v>C</v>
      </c>
      <c r="D577" s="1000" t="str">
        <f>'09월 화학성분'!E575</f>
        <v>B</v>
      </c>
      <c r="E577" s="1000">
        <f>'09월 화학성분'!C575</f>
        <v>85777</v>
      </c>
      <c r="F577" s="1001" t="str">
        <f t="shared" si="160"/>
        <v>DKOIL</v>
      </c>
      <c r="G577" s="1172">
        <v>19.7</v>
      </c>
      <c r="H577" s="985">
        <v>23000</v>
      </c>
      <c r="I577" s="1173">
        <v>16.8</v>
      </c>
      <c r="J577" s="985">
        <v>20500</v>
      </c>
      <c r="K577" s="1173">
        <v>10.4</v>
      </c>
      <c r="L577" s="985">
        <v>12600</v>
      </c>
      <c r="M577" s="1174">
        <f t="shared" si="161"/>
        <v>46.9</v>
      </c>
      <c r="N577" s="984">
        <f t="shared" si="162"/>
        <v>56100</v>
      </c>
      <c r="O577" s="986">
        <f t="shared" si="163"/>
        <v>158.83977900552486</v>
      </c>
      <c r="P577" s="987">
        <f t="shared" si="164"/>
        <v>141.57458563535911</v>
      </c>
      <c r="Q577" s="987">
        <f t="shared" si="165"/>
        <v>87.016574585635354</v>
      </c>
      <c r="R577" s="988">
        <f t="shared" si="166"/>
        <v>387.43093922651929</v>
      </c>
      <c r="S577" s="989">
        <v>144.80000000000001</v>
      </c>
      <c r="T577" s="990">
        <v>0</v>
      </c>
      <c r="U577" s="991">
        <v>84</v>
      </c>
      <c r="V577" s="991">
        <v>410</v>
      </c>
      <c r="W577" s="992">
        <f t="shared" si="167"/>
        <v>494</v>
      </c>
      <c r="X577" s="993">
        <f t="shared" si="168"/>
        <v>3.4116022099447512</v>
      </c>
      <c r="Y577" s="990">
        <v>1626</v>
      </c>
      <c r="Z577" s="991">
        <v>1412</v>
      </c>
      <c r="AA577" s="991">
        <v>1251</v>
      </c>
      <c r="AB577" s="992">
        <f t="shared" si="169"/>
        <v>4289</v>
      </c>
      <c r="AC577" s="993">
        <f t="shared" si="170"/>
        <v>29.620165745856351</v>
      </c>
      <c r="AD577" s="994">
        <f t="shared" si="171"/>
        <v>4783</v>
      </c>
      <c r="AE577" s="995">
        <f t="shared" si="172"/>
        <v>33.031767955801101</v>
      </c>
      <c r="AF577" s="996">
        <v>82</v>
      </c>
      <c r="AG577" s="997">
        <v>65</v>
      </c>
      <c r="AH577" s="997">
        <v>14</v>
      </c>
      <c r="AI577" s="998">
        <f t="shared" si="173"/>
        <v>161</v>
      </c>
      <c r="AJ577" s="993">
        <f t="shared" si="174"/>
        <v>1.1118784530386741</v>
      </c>
    </row>
    <row r="578" spans="1:38" ht="16.5" customHeight="1">
      <c r="A578" s="999">
        <f>'09월 조업일지'!A576</f>
        <v>46286</v>
      </c>
      <c r="B578" s="1099">
        <f>'09월 조업일지'!B576</f>
        <v>46286</v>
      </c>
      <c r="C578" s="1000" t="str">
        <f>'09월 화학성분'!D576</f>
        <v>C</v>
      </c>
      <c r="D578" s="1000" t="str">
        <f>'09월 화학성분'!E576</f>
        <v>A</v>
      </c>
      <c r="E578" s="1000">
        <f>'09월 화학성분'!C576</f>
        <v>85778</v>
      </c>
      <c r="F578" s="1001" t="str">
        <f t="shared" si="160"/>
        <v>DKOIL</v>
      </c>
      <c r="G578" s="1172">
        <v>19.5</v>
      </c>
      <c r="H578" s="985">
        <v>23400</v>
      </c>
      <c r="I578" s="1173">
        <v>17</v>
      </c>
      <c r="J578" s="985">
        <v>20600</v>
      </c>
      <c r="K578" s="1173">
        <v>8.6999999999999993</v>
      </c>
      <c r="L578" s="985">
        <v>11000</v>
      </c>
      <c r="M578" s="1174">
        <f t="shared" si="161"/>
        <v>45.2</v>
      </c>
      <c r="N578" s="984">
        <f t="shared" si="162"/>
        <v>55000</v>
      </c>
      <c r="O578" s="986">
        <f t="shared" si="163"/>
        <v>162.27461858529821</v>
      </c>
      <c r="P578" s="987">
        <f t="shared" si="164"/>
        <v>142.85714285714286</v>
      </c>
      <c r="Q578" s="987">
        <f t="shared" si="165"/>
        <v>76.282940360610269</v>
      </c>
      <c r="R578" s="988">
        <f t="shared" si="166"/>
        <v>381.41470180305134</v>
      </c>
      <c r="S578" s="989">
        <v>144.19999999999999</v>
      </c>
      <c r="T578" s="990">
        <v>0</v>
      </c>
      <c r="U578" s="991">
        <v>109</v>
      </c>
      <c r="V578" s="991">
        <v>241</v>
      </c>
      <c r="W578" s="992">
        <f t="shared" si="167"/>
        <v>350</v>
      </c>
      <c r="X578" s="993">
        <f t="shared" si="168"/>
        <v>2.4271844660194177</v>
      </c>
      <c r="Y578" s="990">
        <v>1602</v>
      </c>
      <c r="Z578" s="991">
        <v>1376</v>
      </c>
      <c r="AA578" s="991">
        <v>809</v>
      </c>
      <c r="AB578" s="992">
        <f t="shared" si="169"/>
        <v>3787</v>
      </c>
      <c r="AC578" s="993">
        <f t="shared" si="170"/>
        <v>26.262135922330099</v>
      </c>
      <c r="AD578" s="994">
        <f t="shared" si="171"/>
        <v>4137</v>
      </c>
      <c r="AE578" s="995">
        <f t="shared" si="172"/>
        <v>28.689320388349518</v>
      </c>
      <c r="AF578" s="996">
        <v>80</v>
      </c>
      <c r="AG578" s="997">
        <v>64</v>
      </c>
      <c r="AH578" s="997">
        <v>7</v>
      </c>
      <c r="AI578" s="998">
        <f t="shared" si="173"/>
        <v>151</v>
      </c>
      <c r="AJ578" s="993">
        <f t="shared" si="174"/>
        <v>1.0471567267683772</v>
      </c>
    </row>
    <row r="579" spans="1:38" ht="16.5" customHeight="1">
      <c r="A579" s="999">
        <f>'09월 조업일지'!A577</f>
        <v>46286</v>
      </c>
      <c r="B579" s="1099">
        <f>'09월 조업일지'!B577</f>
        <v>46286</v>
      </c>
      <c r="C579" s="1000" t="str">
        <f>'09월 화학성분'!D577</f>
        <v>D</v>
      </c>
      <c r="D579" s="1000" t="str">
        <f>'09월 화학성분'!E577</f>
        <v>B</v>
      </c>
      <c r="E579" s="1000">
        <f>'09월 화학성분'!C577</f>
        <v>85779</v>
      </c>
      <c r="F579" s="1001" t="str">
        <f t="shared" si="160"/>
        <v>DKOIL</v>
      </c>
      <c r="G579" s="1172">
        <v>19.5</v>
      </c>
      <c r="H579" s="985">
        <v>23100</v>
      </c>
      <c r="I579" s="1173">
        <v>16.5</v>
      </c>
      <c r="J579" s="985">
        <v>20600</v>
      </c>
      <c r="K579" s="1173">
        <v>9.1</v>
      </c>
      <c r="L579" s="985">
        <v>11600</v>
      </c>
      <c r="M579" s="1174">
        <f t="shared" si="161"/>
        <v>45.1</v>
      </c>
      <c r="N579" s="984">
        <f t="shared" si="162"/>
        <v>55300</v>
      </c>
      <c r="O579" s="986">
        <f t="shared" si="163"/>
        <v>159.09090909090909</v>
      </c>
      <c r="P579" s="987">
        <f t="shared" si="164"/>
        <v>141.87327823691462</v>
      </c>
      <c r="Q579" s="987">
        <f t="shared" si="165"/>
        <v>79.889807162534439</v>
      </c>
      <c r="R579" s="988">
        <f t="shared" si="166"/>
        <v>380.85399449035816</v>
      </c>
      <c r="S579" s="989">
        <v>145.19999999999999</v>
      </c>
      <c r="T579" s="990">
        <v>0</v>
      </c>
      <c r="U579" s="991">
        <v>0</v>
      </c>
      <c r="V579" s="991">
        <v>345</v>
      </c>
      <c r="W579" s="992">
        <f t="shared" si="167"/>
        <v>345</v>
      </c>
      <c r="X579" s="993">
        <f t="shared" si="168"/>
        <v>2.3760330578512399</v>
      </c>
      <c r="Y579" s="990">
        <v>1626</v>
      </c>
      <c r="Z579" s="991">
        <v>1401</v>
      </c>
      <c r="AA579" s="991">
        <v>792</v>
      </c>
      <c r="AB579" s="992">
        <f t="shared" si="169"/>
        <v>3819</v>
      </c>
      <c r="AC579" s="993">
        <f t="shared" si="170"/>
        <v>26.301652892561986</v>
      </c>
      <c r="AD579" s="994">
        <f t="shared" si="171"/>
        <v>4164</v>
      </c>
      <c r="AE579" s="995">
        <f t="shared" si="172"/>
        <v>28.677685950413224</v>
      </c>
      <c r="AF579" s="996">
        <v>83</v>
      </c>
      <c r="AG579" s="997">
        <v>63</v>
      </c>
      <c r="AH579" s="997">
        <v>7</v>
      </c>
      <c r="AI579" s="998">
        <f t="shared" si="173"/>
        <v>153</v>
      </c>
      <c r="AJ579" s="993">
        <f t="shared" si="174"/>
        <v>1.053719008264463</v>
      </c>
    </row>
    <row r="580" spans="1:38" ht="16.5" customHeight="1">
      <c r="A580" s="999">
        <f>'09월 조업일지'!A578</f>
        <v>46286</v>
      </c>
      <c r="B580" s="1099">
        <f>'09월 조업일지'!B578</f>
        <v>46286</v>
      </c>
      <c r="C580" s="1000" t="str">
        <f>'09월 화학성분'!D578</f>
        <v>D</v>
      </c>
      <c r="D580" s="1000" t="str">
        <f>'09월 화학성분'!E578</f>
        <v>A</v>
      </c>
      <c r="E580" s="1000">
        <f>'09월 화학성분'!C578</f>
        <v>85780</v>
      </c>
      <c r="F580" s="1001" t="str">
        <f t="shared" si="160"/>
        <v>DKOIL</v>
      </c>
      <c r="G580" s="1172">
        <v>19.399999999999999</v>
      </c>
      <c r="H580" s="985">
        <v>22300</v>
      </c>
      <c r="I580" s="1173">
        <v>17.3</v>
      </c>
      <c r="J580" s="985">
        <v>20800</v>
      </c>
      <c r="K580" s="1173">
        <v>8.5</v>
      </c>
      <c r="L580" s="985">
        <v>11200</v>
      </c>
      <c r="M580" s="1174">
        <f t="shared" si="161"/>
        <v>45.2</v>
      </c>
      <c r="N580" s="984">
        <f t="shared" si="162"/>
        <v>54300</v>
      </c>
      <c r="O580" s="986">
        <f t="shared" si="163"/>
        <v>154.53915453915454</v>
      </c>
      <c r="P580" s="987">
        <f t="shared" si="164"/>
        <v>144.14414414414412</v>
      </c>
      <c r="Q580" s="987">
        <f t="shared" si="165"/>
        <v>77.616077616077604</v>
      </c>
      <c r="R580" s="988">
        <f t="shared" si="166"/>
        <v>376.29937629937626</v>
      </c>
      <c r="S580" s="989">
        <v>144.30000000000001</v>
      </c>
      <c r="T580" s="990">
        <v>0</v>
      </c>
      <c r="U580" s="991">
        <v>26</v>
      </c>
      <c r="V580" s="991">
        <v>327</v>
      </c>
      <c r="W580" s="992">
        <f t="shared" si="167"/>
        <v>353</v>
      </c>
      <c r="X580" s="993">
        <f t="shared" si="168"/>
        <v>2.4462924462924462</v>
      </c>
      <c r="Y580" s="990">
        <v>1572</v>
      </c>
      <c r="Z580" s="991">
        <v>1416</v>
      </c>
      <c r="AA580" s="991">
        <v>703</v>
      </c>
      <c r="AB580" s="992">
        <f t="shared" si="169"/>
        <v>3691</v>
      </c>
      <c r="AC580" s="993">
        <f t="shared" si="170"/>
        <v>25.578655578655578</v>
      </c>
      <c r="AD580" s="994">
        <f t="shared" si="171"/>
        <v>4044</v>
      </c>
      <c r="AE580" s="995">
        <f t="shared" si="172"/>
        <v>28.024948024948024</v>
      </c>
      <c r="AF580" s="996">
        <v>83</v>
      </c>
      <c r="AG580" s="997">
        <v>65</v>
      </c>
      <c r="AH580" s="997">
        <v>6</v>
      </c>
      <c r="AI580" s="998">
        <f t="shared" si="173"/>
        <v>154</v>
      </c>
      <c r="AJ580" s="993">
        <f t="shared" si="174"/>
        <v>1.0672210672210671</v>
      </c>
    </row>
    <row r="581" spans="1:38" ht="16.5" customHeight="1">
      <c r="A581" s="999">
        <f>'09월 조업일지'!A579</f>
        <v>46286</v>
      </c>
      <c r="B581" s="1099">
        <f>'09월 조업일지'!B579</f>
        <v>46286</v>
      </c>
      <c r="C581" s="1000" t="str">
        <f>'09월 화학성분'!D579</f>
        <v>D</v>
      </c>
      <c r="D581" s="1000" t="str">
        <f>'09월 화학성분'!E579</f>
        <v>B</v>
      </c>
      <c r="E581" s="1000">
        <f>'09월 화학성분'!C579</f>
        <v>85781</v>
      </c>
      <c r="F581" s="1001" t="str">
        <f t="shared" si="160"/>
        <v>DKOIL</v>
      </c>
      <c r="G581" s="1172">
        <v>18.8</v>
      </c>
      <c r="H581" s="985">
        <v>22400</v>
      </c>
      <c r="I581" s="1173">
        <v>16.399999999999999</v>
      </c>
      <c r="J581" s="985">
        <v>20700</v>
      </c>
      <c r="K581" s="1173">
        <v>8.4</v>
      </c>
      <c r="L581" s="985">
        <v>10900</v>
      </c>
      <c r="M581" s="1174">
        <f t="shared" si="161"/>
        <v>43.6</v>
      </c>
      <c r="N581" s="984">
        <f t="shared" si="162"/>
        <v>54000</v>
      </c>
      <c r="O581" s="986">
        <f t="shared" si="163"/>
        <v>158.41584158415841</v>
      </c>
      <c r="P581" s="987">
        <f t="shared" si="164"/>
        <v>146.39321074964639</v>
      </c>
      <c r="Q581" s="987">
        <f t="shared" si="165"/>
        <v>77.086280056577081</v>
      </c>
      <c r="R581" s="988">
        <f t="shared" si="166"/>
        <v>381.8953323903819</v>
      </c>
      <c r="S581" s="989">
        <v>141.4</v>
      </c>
      <c r="T581" s="990">
        <v>0</v>
      </c>
      <c r="U581" s="991">
        <v>0</v>
      </c>
      <c r="V581" s="991">
        <v>339</v>
      </c>
      <c r="W581" s="992">
        <f t="shared" si="167"/>
        <v>339</v>
      </c>
      <c r="X581" s="993">
        <f t="shared" si="168"/>
        <v>2.3974540311173973</v>
      </c>
      <c r="Y581" s="990">
        <v>1525</v>
      </c>
      <c r="Z581" s="991">
        <v>1374</v>
      </c>
      <c r="AA581" s="991">
        <v>765</v>
      </c>
      <c r="AB581" s="992">
        <f t="shared" si="169"/>
        <v>3664</v>
      </c>
      <c r="AC581" s="993">
        <f t="shared" si="170"/>
        <v>25.91230551626591</v>
      </c>
      <c r="AD581" s="994">
        <f t="shared" si="171"/>
        <v>4003</v>
      </c>
      <c r="AE581" s="995">
        <f t="shared" si="172"/>
        <v>28.309759547383308</v>
      </c>
      <c r="AF581" s="996">
        <v>81</v>
      </c>
      <c r="AG581" s="997">
        <v>64</v>
      </c>
      <c r="AH581" s="997">
        <v>7</v>
      </c>
      <c r="AI581" s="998">
        <f t="shared" si="173"/>
        <v>152</v>
      </c>
      <c r="AJ581" s="993">
        <f t="shared" si="174"/>
        <v>1.074964639321075</v>
      </c>
    </row>
    <row r="582" spans="1:38" ht="16.5" customHeight="1">
      <c r="A582" s="999">
        <f>'09월 조업일지'!A580</f>
        <v>46286</v>
      </c>
      <c r="B582" s="1099">
        <f>'09월 조업일지'!B580</f>
        <v>46286</v>
      </c>
      <c r="C582" s="1000" t="str">
        <f>'09월 화학성분'!D580</f>
        <v>D</v>
      </c>
      <c r="D582" s="1000" t="str">
        <f>'09월 화학성분'!E580</f>
        <v>A</v>
      </c>
      <c r="E582" s="1000">
        <f>'09월 화학성분'!C580</f>
        <v>85782</v>
      </c>
      <c r="F582" s="1001" t="str">
        <f t="shared" si="160"/>
        <v>DKOIL</v>
      </c>
      <c r="G582" s="1172">
        <v>18.3</v>
      </c>
      <c r="H582" s="985">
        <v>22300</v>
      </c>
      <c r="I582" s="1173">
        <v>16.8</v>
      </c>
      <c r="J582" s="985">
        <v>20800</v>
      </c>
      <c r="K582" s="1173">
        <v>7.4</v>
      </c>
      <c r="L582" s="985">
        <v>9600</v>
      </c>
      <c r="M582" s="1174">
        <f t="shared" si="161"/>
        <v>42.5</v>
      </c>
      <c r="N582" s="984">
        <f t="shared" si="162"/>
        <v>52700</v>
      </c>
      <c r="O582" s="986">
        <f t="shared" si="163"/>
        <v>156.7111735769501</v>
      </c>
      <c r="P582" s="987">
        <f t="shared" si="164"/>
        <v>146.17006324666198</v>
      </c>
      <c r="Q582" s="987">
        <f t="shared" si="165"/>
        <v>67.463106113843992</v>
      </c>
      <c r="R582" s="988">
        <f t="shared" si="166"/>
        <v>370.34434293745608</v>
      </c>
      <c r="S582" s="989">
        <v>142.30000000000001</v>
      </c>
      <c r="T582" s="990">
        <v>0</v>
      </c>
      <c r="U582" s="991">
        <v>0</v>
      </c>
      <c r="V582" s="991">
        <v>323</v>
      </c>
      <c r="W582" s="992">
        <f t="shared" si="167"/>
        <v>323</v>
      </c>
      <c r="X582" s="993">
        <f t="shared" si="168"/>
        <v>2.2698524244553759</v>
      </c>
      <c r="Y582" s="990">
        <v>1504</v>
      </c>
      <c r="Z582" s="991">
        <v>1398</v>
      </c>
      <c r="AA582" s="991">
        <v>692</v>
      </c>
      <c r="AB582" s="992">
        <f t="shared" si="169"/>
        <v>3594</v>
      </c>
      <c r="AC582" s="993">
        <f t="shared" si="170"/>
        <v>25.256500351370342</v>
      </c>
      <c r="AD582" s="994">
        <f t="shared" si="171"/>
        <v>3917</v>
      </c>
      <c r="AE582" s="995">
        <f t="shared" si="172"/>
        <v>27.526352775825718</v>
      </c>
      <c r="AF582" s="996">
        <v>80</v>
      </c>
      <c r="AG582" s="997">
        <v>63</v>
      </c>
      <c r="AH582" s="997">
        <v>5</v>
      </c>
      <c r="AI582" s="998">
        <f t="shared" si="173"/>
        <v>148</v>
      </c>
      <c r="AJ582" s="993">
        <f t="shared" si="174"/>
        <v>1.0400562192550948</v>
      </c>
    </row>
    <row r="583" spans="1:38" ht="16.5" customHeight="1">
      <c r="A583" s="999">
        <f>'09월 조업일지'!A581</f>
        <v>46286</v>
      </c>
      <c r="B583" s="1099">
        <f>'09월 조업일지'!B581</f>
        <v>46286</v>
      </c>
      <c r="C583" s="1000" t="str">
        <f>'09월 화학성분'!D581</f>
        <v>D</v>
      </c>
      <c r="D583" s="1000" t="str">
        <f>'09월 화학성분'!E581</f>
        <v>B</v>
      </c>
      <c r="E583" s="1000">
        <f>'09월 화학성분'!C581</f>
        <v>85783</v>
      </c>
      <c r="F583" s="1001" t="str">
        <f t="shared" si="160"/>
        <v>DKOIL</v>
      </c>
      <c r="G583" s="1172">
        <v>19.3</v>
      </c>
      <c r="H583" s="985">
        <v>22900</v>
      </c>
      <c r="I583" s="1173">
        <v>16.399999999999999</v>
      </c>
      <c r="J583" s="985">
        <v>20300</v>
      </c>
      <c r="K583" s="1173">
        <v>10</v>
      </c>
      <c r="L583" s="985">
        <v>12600</v>
      </c>
      <c r="M583" s="1174">
        <f t="shared" si="161"/>
        <v>45.7</v>
      </c>
      <c r="N583" s="984">
        <f t="shared" si="162"/>
        <v>55800</v>
      </c>
      <c r="O583" s="986">
        <f t="shared" si="163"/>
        <v>160.47652417659427</v>
      </c>
      <c r="P583" s="987">
        <f t="shared" si="164"/>
        <v>142.25648213034339</v>
      </c>
      <c r="Q583" s="987">
        <f t="shared" si="165"/>
        <v>88.297126839523486</v>
      </c>
      <c r="R583" s="988">
        <f t="shared" si="166"/>
        <v>391.03013314646114</v>
      </c>
      <c r="S583" s="989">
        <v>142.69999999999999</v>
      </c>
      <c r="T583" s="990">
        <v>0</v>
      </c>
      <c r="U583" s="991">
        <v>0</v>
      </c>
      <c r="V583" s="991">
        <v>332</v>
      </c>
      <c r="W583" s="992">
        <f t="shared" si="167"/>
        <v>332</v>
      </c>
      <c r="X583" s="993">
        <f t="shared" si="168"/>
        <v>2.3265592151366503</v>
      </c>
      <c r="Y583" s="990">
        <v>1591</v>
      </c>
      <c r="Z583" s="991">
        <v>1379</v>
      </c>
      <c r="AA583" s="991">
        <v>750</v>
      </c>
      <c r="AB583" s="992">
        <f t="shared" si="169"/>
        <v>3720</v>
      </c>
      <c r="AC583" s="993">
        <f t="shared" si="170"/>
        <v>26.06867554309741</v>
      </c>
      <c r="AD583" s="994">
        <f t="shared" si="171"/>
        <v>4052</v>
      </c>
      <c r="AE583" s="995">
        <f t="shared" si="172"/>
        <v>28.395234758234061</v>
      </c>
      <c r="AF583" s="996">
        <v>83</v>
      </c>
      <c r="AG583" s="997">
        <v>62</v>
      </c>
      <c r="AH583" s="997">
        <v>7</v>
      </c>
      <c r="AI583" s="998">
        <f t="shared" si="173"/>
        <v>152</v>
      </c>
      <c r="AJ583" s="993">
        <f t="shared" si="174"/>
        <v>1.0651716888577436</v>
      </c>
    </row>
    <row r="584" spans="1:38" ht="16.5" customHeight="1">
      <c r="A584" s="999">
        <f>'09월 조업일지'!A582</f>
        <v>46286</v>
      </c>
      <c r="B584" s="1099">
        <f>'09월 조업일지'!B582</f>
        <v>46286</v>
      </c>
      <c r="C584" s="1000" t="str">
        <f>'09월 화학성분'!D582</f>
        <v>D</v>
      </c>
      <c r="D584" s="1000" t="str">
        <f>'09월 화학성분'!E582</f>
        <v>A</v>
      </c>
      <c r="E584" s="1000">
        <f>'09월 화학성분'!C582</f>
        <v>85784</v>
      </c>
      <c r="F584" s="1001" t="str">
        <f t="shared" si="160"/>
        <v>DKOIL</v>
      </c>
      <c r="G584" s="1172">
        <v>18.8</v>
      </c>
      <c r="H584" s="985">
        <v>22700</v>
      </c>
      <c r="I584" s="1173">
        <v>17.100000000000001</v>
      </c>
      <c r="J584" s="985">
        <v>20800</v>
      </c>
      <c r="K584" s="1173">
        <v>8.6999999999999993</v>
      </c>
      <c r="L584" s="985">
        <v>11100</v>
      </c>
      <c r="M584" s="1174">
        <f t="shared" si="161"/>
        <v>44.600000000000009</v>
      </c>
      <c r="N584" s="984">
        <f t="shared" si="162"/>
        <v>54600</v>
      </c>
      <c r="O584" s="986">
        <f t="shared" si="163"/>
        <v>158.18815331010452</v>
      </c>
      <c r="P584" s="987">
        <f t="shared" si="164"/>
        <v>144.94773519163763</v>
      </c>
      <c r="Q584" s="987">
        <f t="shared" si="165"/>
        <v>77.351916376306619</v>
      </c>
      <c r="R584" s="988">
        <f t="shared" si="166"/>
        <v>380.48780487804879</v>
      </c>
      <c r="S584" s="989">
        <v>143.5</v>
      </c>
      <c r="T584" s="990">
        <v>14</v>
      </c>
      <c r="U584" s="991">
        <v>53</v>
      </c>
      <c r="V584" s="991">
        <v>276</v>
      </c>
      <c r="W584" s="992">
        <f t="shared" si="167"/>
        <v>343</v>
      </c>
      <c r="X584" s="993">
        <f t="shared" si="168"/>
        <v>2.3902439024390243</v>
      </c>
      <c r="Y584" s="990">
        <v>1529</v>
      </c>
      <c r="Z584" s="991">
        <v>1450</v>
      </c>
      <c r="AA584" s="991">
        <v>710</v>
      </c>
      <c r="AB584" s="992">
        <f t="shared" si="169"/>
        <v>3689</v>
      </c>
      <c r="AC584" s="993">
        <f t="shared" si="170"/>
        <v>25.707317073170731</v>
      </c>
      <c r="AD584" s="994">
        <f t="shared" si="171"/>
        <v>4032</v>
      </c>
      <c r="AE584" s="995">
        <f t="shared" si="172"/>
        <v>28.097560975609756</v>
      </c>
      <c r="AF584" s="996">
        <v>80</v>
      </c>
      <c r="AG584" s="997">
        <v>65</v>
      </c>
      <c r="AH584" s="997">
        <v>6</v>
      </c>
      <c r="AI584" s="998">
        <f t="shared" si="173"/>
        <v>151</v>
      </c>
      <c r="AJ584" s="993">
        <f t="shared" si="174"/>
        <v>1.0522648083623694</v>
      </c>
      <c r="AL584" s="564">
        <v>21</v>
      </c>
    </row>
    <row r="585" spans="1:38" ht="16.5" customHeight="1">
      <c r="A585" s="999">
        <f>'09월 조업일지'!A583</f>
        <v>46286</v>
      </c>
      <c r="B585" s="1099">
        <f>'09월 조업일지'!B583</f>
        <v>46286</v>
      </c>
      <c r="C585" s="1000" t="str">
        <f>'09월 화학성분'!D583</f>
        <v>D</v>
      </c>
      <c r="D585" s="1000" t="str">
        <f>'09월 화학성분'!E583</f>
        <v>B</v>
      </c>
      <c r="E585" s="1000">
        <f>'09월 화학성분'!C583</f>
        <v>85785</v>
      </c>
      <c r="F585" s="1001" t="str">
        <f t="shared" si="160"/>
        <v>DKOIL</v>
      </c>
      <c r="G585" s="1172">
        <v>18.399999999999999</v>
      </c>
      <c r="H585" s="985">
        <v>22400</v>
      </c>
      <c r="I585" s="1173">
        <v>16.5</v>
      </c>
      <c r="J585" s="985">
        <v>20700</v>
      </c>
      <c r="K585" s="1173">
        <v>9.8000000000000007</v>
      </c>
      <c r="L585" s="985">
        <v>11800</v>
      </c>
      <c r="M585" s="1174">
        <f t="shared" si="161"/>
        <v>44.7</v>
      </c>
      <c r="N585" s="984">
        <f t="shared" si="162"/>
        <v>54900</v>
      </c>
      <c r="O585" s="986">
        <f t="shared" si="163"/>
        <v>156.20641562064156</v>
      </c>
      <c r="P585" s="987">
        <f t="shared" si="164"/>
        <v>144.35146443514643</v>
      </c>
      <c r="Q585" s="987">
        <f t="shared" si="165"/>
        <v>82.287308228730822</v>
      </c>
      <c r="R585" s="988">
        <f t="shared" si="166"/>
        <v>382.84518828451883</v>
      </c>
      <c r="S585" s="989">
        <v>143.4</v>
      </c>
      <c r="T585" s="990">
        <v>0</v>
      </c>
      <c r="U585" s="991">
        <v>0</v>
      </c>
      <c r="V585" s="991">
        <v>313</v>
      </c>
      <c r="W585" s="992">
        <f t="shared" si="167"/>
        <v>313</v>
      </c>
      <c r="X585" s="993">
        <f t="shared" si="168"/>
        <v>2.1827057182705718</v>
      </c>
      <c r="Y585" s="990">
        <v>1519</v>
      </c>
      <c r="Z585" s="991">
        <v>1385</v>
      </c>
      <c r="AA585" s="991">
        <v>889</v>
      </c>
      <c r="AB585" s="992">
        <f t="shared" si="169"/>
        <v>3793</v>
      </c>
      <c r="AC585" s="993">
        <f t="shared" si="170"/>
        <v>26.450488145048812</v>
      </c>
      <c r="AD585" s="994">
        <f t="shared" si="171"/>
        <v>4106</v>
      </c>
      <c r="AE585" s="995">
        <f t="shared" si="172"/>
        <v>28.633193863319384</v>
      </c>
      <c r="AF585" s="996">
        <v>80</v>
      </c>
      <c r="AG585" s="997">
        <v>65</v>
      </c>
      <c r="AH585" s="997">
        <v>7</v>
      </c>
      <c r="AI585" s="998">
        <f t="shared" si="173"/>
        <v>152</v>
      </c>
      <c r="AJ585" s="993">
        <f t="shared" si="174"/>
        <v>1.0599721059972105</v>
      </c>
    </row>
    <row r="586" spans="1:38" ht="16.5" customHeight="1">
      <c r="A586" s="999">
        <f>'09월 조업일지'!A584</f>
        <v>46287</v>
      </c>
      <c r="B586" s="1099">
        <f>'09월 조업일지'!B584</f>
        <v>46286</v>
      </c>
      <c r="C586" s="1000" t="str">
        <f>'09월 화학성분'!D584</f>
        <v>D</v>
      </c>
      <c r="D586" s="1000" t="str">
        <f>'09월 화학성분'!E584</f>
        <v>A</v>
      </c>
      <c r="E586" s="1000">
        <f>'09월 화학성분'!C584</f>
        <v>85786</v>
      </c>
      <c r="F586" s="1001" t="str">
        <f t="shared" si="160"/>
        <v>DKOIL</v>
      </c>
      <c r="G586" s="1172">
        <v>19.100000000000001</v>
      </c>
      <c r="H586" s="985">
        <v>22500</v>
      </c>
      <c r="I586" s="1173">
        <v>16.3</v>
      </c>
      <c r="J586" s="985">
        <v>20600</v>
      </c>
      <c r="K586" s="1173">
        <v>8.9</v>
      </c>
      <c r="L586" s="985">
        <v>11400</v>
      </c>
      <c r="M586" s="1174">
        <f t="shared" si="161"/>
        <v>44.300000000000004</v>
      </c>
      <c r="N586" s="984">
        <f t="shared" si="162"/>
        <v>54500</v>
      </c>
      <c r="O586" s="986">
        <f t="shared" si="163"/>
        <v>153.68852459016392</v>
      </c>
      <c r="P586" s="987">
        <f t="shared" si="164"/>
        <v>140.71038251366119</v>
      </c>
      <c r="Q586" s="987">
        <f t="shared" si="165"/>
        <v>77.868852459016395</v>
      </c>
      <c r="R586" s="988">
        <f t="shared" si="166"/>
        <v>372.26775956284149</v>
      </c>
      <c r="S586" s="989">
        <v>146.4</v>
      </c>
      <c r="T586" s="990">
        <v>0</v>
      </c>
      <c r="U586" s="991">
        <v>21</v>
      </c>
      <c r="V586" s="991">
        <v>327</v>
      </c>
      <c r="W586" s="992">
        <f t="shared" si="167"/>
        <v>348</v>
      </c>
      <c r="X586" s="993">
        <f t="shared" si="168"/>
        <v>2.3770491803278686</v>
      </c>
      <c r="Y586" s="990">
        <v>1553</v>
      </c>
      <c r="Z586" s="991">
        <v>1375</v>
      </c>
      <c r="AA586" s="991">
        <v>733</v>
      </c>
      <c r="AB586" s="992">
        <f t="shared" si="169"/>
        <v>3661</v>
      </c>
      <c r="AC586" s="993">
        <f t="shared" si="170"/>
        <v>25.006830601092894</v>
      </c>
      <c r="AD586" s="994">
        <f t="shared" si="171"/>
        <v>4009</v>
      </c>
      <c r="AE586" s="995">
        <f t="shared" si="172"/>
        <v>27.383879781420763</v>
      </c>
      <c r="AF586" s="996">
        <v>81</v>
      </c>
      <c r="AG586" s="997">
        <v>62</v>
      </c>
      <c r="AH586" s="997">
        <v>5</v>
      </c>
      <c r="AI586" s="998">
        <f t="shared" si="173"/>
        <v>148</v>
      </c>
      <c r="AJ586" s="993">
        <f t="shared" si="174"/>
        <v>1.0109289617486339</v>
      </c>
    </row>
    <row r="587" spans="1:38" ht="16.5" customHeight="1">
      <c r="A587" s="999">
        <f>'09월 조업일지'!A585</f>
        <v>46287</v>
      </c>
      <c r="B587" s="1099">
        <f>'09월 조업일지'!B585</f>
        <v>46286</v>
      </c>
      <c r="C587" s="1000" t="str">
        <f>'09월 화학성분'!D585</f>
        <v>D</v>
      </c>
      <c r="D587" s="1000" t="str">
        <f>'09월 화학성분'!E585</f>
        <v>B</v>
      </c>
      <c r="E587" s="1000">
        <f>'09월 화학성분'!C585</f>
        <v>85787</v>
      </c>
      <c r="F587" s="1001" t="str">
        <f t="shared" si="160"/>
        <v>DKOIL</v>
      </c>
      <c r="G587" s="1172">
        <v>18.600000000000001</v>
      </c>
      <c r="H587" s="985">
        <v>23200</v>
      </c>
      <c r="I587" s="1173">
        <v>16.399999999999999</v>
      </c>
      <c r="J587" s="985">
        <v>20500</v>
      </c>
      <c r="K587" s="1173">
        <v>11.6</v>
      </c>
      <c r="L587" s="985">
        <v>14700</v>
      </c>
      <c r="M587" s="1174">
        <f t="shared" si="161"/>
        <v>46.6</v>
      </c>
      <c r="N587" s="984">
        <f t="shared" si="162"/>
        <v>58400</v>
      </c>
      <c r="O587" s="986">
        <f t="shared" si="163"/>
        <v>161.67247386759581</v>
      </c>
      <c r="P587" s="987">
        <f t="shared" si="164"/>
        <v>142.85714285714286</v>
      </c>
      <c r="Q587" s="987">
        <f t="shared" si="165"/>
        <v>102.4390243902439</v>
      </c>
      <c r="R587" s="988">
        <f t="shared" si="166"/>
        <v>406.96864111498257</v>
      </c>
      <c r="S587" s="989">
        <v>143.5</v>
      </c>
      <c r="T587" s="990">
        <v>0</v>
      </c>
      <c r="U587" s="991">
        <v>6</v>
      </c>
      <c r="V587" s="991">
        <v>351</v>
      </c>
      <c r="W587" s="992">
        <f t="shared" si="167"/>
        <v>357</v>
      </c>
      <c r="X587" s="993">
        <f t="shared" si="168"/>
        <v>2.4878048780487805</v>
      </c>
      <c r="Y587" s="990">
        <v>1534</v>
      </c>
      <c r="Z587" s="991">
        <v>1385</v>
      </c>
      <c r="AA587" s="991">
        <v>827</v>
      </c>
      <c r="AB587" s="992">
        <f t="shared" si="169"/>
        <v>3746</v>
      </c>
      <c r="AC587" s="993">
        <f t="shared" si="170"/>
        <v>26.10452961672474</v>
      </c>
      <c r="AD587" s="994">
        <f t="shared" si="171"/>
        <v>4103</v>
      </c>
      <c r="AE587" s="995">
        <f t="shared" si="172"/>
        <v>28.592334494773517</v>
      </c>
      <c r="AF587" s="996">
        <v>79</v>
      </c>
      <c r="AG587" s="997">
        <v>64</v>
      </c>
      <c r="AH587" s="997">
        <v>7</v>
      </c>
      <c r="AI587" s="998">
        <f t="shared" si="173"/>
        <v>150</v>
      </c>
      <c r="AJ587" s="993">
        <f t="shared" si="174"/>
        <v>1.0452961672473868</v>
      </c>
    </row>
    <row r="588" spans="1:38" ht="16.5" customHeight="1">
      <c r="A588" s="999">
        <f>'09월 조업일지'!A586</f>
        <v>46287</v>
      </c>
      <c r="B588" s="1099">
        <f>'09월 조업일지'!B586</f>
        <v>46286</v>
      </c>
      <c r="C588" s="1000" t="str">
        <f>'09월 화학성분'!D586</f>
        <v>D</v>
      </c>
      <c r="D588" s="1000" t="str">
        <f>'09월 화학성분'!E586</f>
        <v>A</v>
      </c>
      <c r="E588" s="1000">
        <f>'09월 화학성분'!C586</f>
        <v>85788</v>
      </c>
      <c r="F588" s="1001" t="str">
        <f t="shared" si="160"/>
        <v>DKOIL</v>
      </c>
      <c r="G588" s="1172">
        <v>19.7</v>
      </c>
      <c r="H588" s="985">
        <v>24100</v>
      </c>
      <c r="I588" s="1173">
        <v>17.2</v>
      </c>
      <c r="J588" s="985">
        <v>20900</v>
      </c>
      <c r="K588" s="1173">
        <v>9</v>
      </c>
      <c r="L588" s="985">
        <v>11400</v>
      </c>
      <c r="M588" s="1174">
        <f t="shared" si="161"/>
        <v>45.9</v>
      </c>
      <c r="N588" s="984">
        <f t="shared" si="162"/>
        <v>56400</v>
      </c>
      <c r="O588" s="986">
        <f t="shared" si="163"/>
        <v>165.29492455418381</v>
      </c>
      <c r="P588" s="987">
        <f t="shared" si="164"/>
        <v>143.34705075445814</v>
      </c>
      <c r="Q588" s="987">
        <f t="shared" si="165"/>
        <v>78.189300411522623</v>
      </c>
      <c r="R588" s="988">
        <f t="shared" si="166"/>
        <v>386.83127572016451</v>
      </c>
      <c r="S588" s="989">
        <v>145.80000000000001</v>
      </c>
      <c r="T588" s="990">
        <v>0</v>
      </c>
      <c r="U588" s="991">
        <v>0</v>
      </c>
      <c r="V588" s="991">
        <v>335</v>
      </c>
      <c r="W588" s="992">
        <f t="shared" si="167"/>
        <v>335</v>
      </c>
      <c r="X588" s="993">
        <f t="shared" si="168"/>
        <v>2.2976680384087791</v>
      </c>
      <c r="Y588" s="990">
        <v>1622</v>
      </c>
      <c r="Z588" s="991">
        <v>1440</v>
      </c>
      <c r="AA588" s="991">
        <v>673</v>
      </c>
      <c r="AB588" s="992">
        <f t="shared" si="169"/>
        <v>3735</v>
      </c>
      <c r="AC588" s="993">
        <f t="shared" si="170"/>
        <v>25.617283950617281</v>
      </c>
      <c r="AD588" s="994">
        <f t="shared" si="171"/>
        <v>4070</v>
      </c>
      <c r="AE588" s="995">
        <f t="shared" si="172"/>
        <v>27.914951989026061</v>
      </c>
      <c r="AF588" s="996">
        <v>81</v>
      </c>
      <c r="AG588" s="997">
        <v>64</v>
      </c>
      <c r="AH588" s="997">
        <v>6</v>
      </c>
      <c r="AI588" s="998">
        <f t="shared" si="173"/>
        <v>151</v>
      </c>
      <c r="AJ588" s="993">
        <f t="shared" si="174"/>
        <v>1.0356652949245542</v>
      </c>
    </row>
    <row r="589" spans="1:38" ht="16.5" customHeight="1">
      <c r="A589" s="999">
        <f>'09월 조업일지'!A587</f>
        <v>46287</v>
      </c>
      <c r="B589" s="1099">
        <f>'09월 조업일지'!B587</f>
        <v>46286</v>
      </c>
      <c r="C589" s="1000" t="str">
        <f>'09월 화학성분'!D587</f>
        <v>D</v>
      </c>
      <c r="D589" s="1000" t="str">
        <f>'09월 화학성분'!E587</f>
        <v>B</v>
      </c>
      <c r="E589" s="1000">
        <f>'09월 화학성분'!C587</f>
        <v>85789</v>
      </c>
      <c r="F589" s="1001" t="str">
        <f t="shared" si="160"/>
        <v>DKOIL</v>
      </c>
      <c r="G589" s="1172">
        <v>19.2</v>
      </c>
      <c r="H589" s="985">
        <v>22300</v>
      </c>
      <c r="I589" s="1173">
        <v>16.399999999999999</v>
      </c>
      <c r="J589" s="985">
        <v>20400</v>
      </c>
      <c r="K589" s="1173">
        <v>8.8000000000000007</v>
      </c>
      <c r="L589" s="985">
        <v>11300</v>
      </c>
      <c r="M589" s="1174">
        <f t="shared" si="161"/>
        <v>44.399999999999991</v>
      </c>
      <c r="N589" s="984">
        <f t="shared" si="162"/>
        <v>54000</v>
      </c>
      <c r="O589" s="986">
        <f t="shared" si="163"/>
        <v>156.38148667601683</v>
      </c>
      <c r="P589" s="987">
        <f t="shared" si="164"/>
        <v>143.05750350631138</v>
      </c>
      <c r="Q589" s="987">
        <f t="shared" si="165"/>
        <v>79.242636746143063</v>
      </c>
      <c r="R589" s="988">
        <f t="shared" si="166"/>
        <v>378.68162692847125</v>
      </c>
      <c r="S589" s="989">
        <v>142.6</v>
      </c>
      <c r="T589" s="990">
        <v>0</v>
      </c>
      <c r="U589" s="991">
        <v>0</v>
      </c>
      <c r="V589" s="991">
        <v>342</v>
      </c>
      <c r="W589" s="992">
        <f t="shared" si="167"/>
        <v>342</v>
      </c>
      <c r="X589" s="993">
        <f t="shared" si="168"/>
        <v>2.3983169705469845</v>
      </c>
      <c r="Y589" s="990">
        <v>1574</v>
      </c>
      <c r="Z589" s="991">
        <v>1357</v>
      </c>
      <c r="AA589" s="991">
        <v>856</v>
      </c>
      <c r="AB589" s="992">
        <f t="shared" si="169"/>
        <v>3787</v>
      </c>
      <c r="AC589" s="993">
        <f t="shared" si="170"/>
        <v>26.556802244039272</v>
      </c>
      <c r="AD589" s="994">
        <f t="shared" si="171"/>
        <v>4129</v>
      </c>
      <c r="AE589" s="995">
        <f t="shared" si="172"/>
        <v>28.955119214586258</v>
      </c>
      <c r="AF589" s="996">
        <v>85</v>
      </c>
      <c r="AG589" s="997">
        <v>62</v>
      </c>
      <c r="AH589" s="997">
        <v>7</v>
      </c>
      <c r="AI589" s="998">
        <f t="shared" si="173"/>
        <v>154</v>
      </c>
      <c r="AJ589" s="993">
        <f t="shared" si="174"/>
        <v>1.0799438990182328</v>
      </c>
    </row>
    <row r="590" spans="1:38" ht="16.5" customHeight="1">
      <c r="A590" s="999">
        <f>'09월 조업일지'!A588</f>
        <v>46287</v>
      </c>
      <c r="B590" s="1099">
        <f>'09월 조업일지'!B588</f>
        <v>46287</v>
      </c>
      <c r="C590" s="1000" t="str">
        <f>'09월 화학성분'!D588</f>
        <v>A</v>
      </c>
      <c r="D590" s="1000" t="str">
        <f>'09월 화학성분'!E588</f>
        <v>A</v>
      </c>
      <c r="E590" s="1000">
        <f>'09월 화학성분'!C588</f>
        <v>85790</v>
      </c>
      <c r="F590" s="1001" t="str">
        <f t="shared" si="160"/>
        <v>DKOIL</v>
      </c>
      <c r="G590" s="1172">
        <v>19.3</v>
      </c>
      <c r="H590" s="985">
        <v>23400</v>
      </c>
      <c r="I590" s="1173">
        <v>16.600000000000001</v>
      </c>
      <c r="J590" s="985">
        <v>20700</v>
      </c>
      <c r="K590" s="1173">
        <v>10.6</v>
      </c>
      <c r="L590" s="985">
        <v>13400</v>
      </c>
      <c r="M590" s="1174">
        <f t="shared" si="161"/>
        <v>46.500000000000007</v>
      </c>
      <c r="N590" s="984">
        <f t="shared" si="162"/>
        <v>57500</v>
      </c>
      <c r="O590" s="986">
        <f t="shared" si="163"/>
        <v>166.7854597291518</v>
      </c>
      <c r="P590" s="987">
        <f t="shared" si="164"/>
        <v>147.54098360655738</v>
      </c>
      <c r="Q590" s="987">
        <f t="shared" si="165"/>
        <v>95.509622238061283</v>
      </c>
      <c r="R590" s="988">
        <f t="shared" si="166"/>
        <v>409.8360655737705</v>
      </c>
      <c r="S590" s="989">
        <v>140.30000000000001</v>
      </c>
      <c r="T590" s="990">
        <v>0</v>
      </c>
      <c r="U590" s="991">
        <v>75</v>
      </c>
      <c r="V590" s="991">
        <v>527</v>
      </c>
      <c r="W590" s="992">
        <f t="shared" si="167"/>
        <v>602</v>
      </c>
      <c r="X590" s="993">
        <f t="shared" si="168"/>
        <v>4.2908054169636491</v>
      </c>
      <c r="Y590" s="990">
        <v>1600</v>
      </c>
      <c r="Z590" s="991">
        <v>1395</v>
      </c>
      <c r="AA590" s="991">
        <v>1048</v>
      </c>
      <c r="AB590" s="992">
        <f t="shared" si="169"/>
        <v>4043</v>
      </c>
      <c r="AC590" s="993">
        <f t="shared" si="170"/>
        <v>28.816821097647896</v>
      </c>
      <c r="AD590" s="994">
        <f t="shared" si="171"/>
        <v>4645</v>
      </c>
      <c r="AE590" s="995">
        <f t="shared" si="172"/>
        <v>33.107626514611546</v>
      </c>
      <c r="AF590" s="996">
        <v>81</v>
      </c>
      <c r="AG590" s="997">
        <v>63</v>
      </c>
      <c r="AH590" s="997">
        <v>10</v>
      </c>
      <c r="AI590" s="998">
        <f t="shared" si="173"/>
        <v>154</v>
      </c>
      <c r="AJ590" s="993">
        <f t="shared" si="174"/>
        <v>1.0976478973627939</v>
      </c>
    </row>
    <row r="591" spans="1:38" ht="16.5" customHeight="1">
      <c r="A591" s="999">
        <f>'09월 조업일지'!A589</f>
        <v>46287</v>
      </c>
      <c r="B591" s="1099">
        <f>'09월 조업일지'!B589</f>
        <v>46287</v>
      </c>
      <c r="C591" s="1000" t="str">
        <f>'09월 화학성분'!D589</f>
        <v>A</v>
      </c>
      <c r="D591" s="1000" t="str">
        <f>'09월 화학성분'!E589</f>
        <v>B</v>
      </c>
      <c r="E591" s="1000">
        <f>'09월 화학성분'!C589</f>
        <v>85791</v>
      </c>
      <c r="F591" s="1001" t="str">
        <f t="shared" si="160"/>
        <v>DKOIL</v>
      </c>
      <c r="G591" s="1172">
        <v>20.3</v>
      </c>
      <c r="H591" s="985">
        <v>23100</v>
      </c>
      <c r="I591" s="1173">
        <v>16.3</v>
      </c>
      <c r="J591" s="985">
        <v>20400</v>
      </c>
      <c r="K591" s="1173">
        <v>9</v>
      </c>
      <c r="L591" s="985">
        <v>11600</v>
      </c>
      <c r="M591" s="1174">
        <f t="shared" si="161"/>
        <v>45.6</v>
      </c>
      <c r="N591" s="984">
        <f t="shared" si="162"/>
        <v>55100</v>
      </c>
      <c r="O591" s="986">
        <f t="shared" si="163"/>
        <v>167.27009413468502</v>
      </c>
      <c r="P591" s="987">
        <f t="shared" si="164"/>
        <v>147.71904417089067</v>
      </c>
      <c r="Q591" s="987">
        <f t="shared" si="165"/>
        <v>83.997103548153518</v>
      </c>
      <c r="R591" s="988">
        <f t="shared" si="166"/>
        <v>398.98624185372921</v>
      </c>
      <c r="S591" s="989">
        <v>138.1</v>
      </c>
      <c r="T591" s="990">
        <v>0</v>
      </c>
      <c r="U591" s="991">
        <v>92</v>
      </c>
      <c r="V591" s="991">
        <v>260</v>
      </c>
      <c r="W591" s="992">
        <f t="shared" si="167"/>
        <v>352</v>
      </c>
      <c r="X591" s="993">
        <f t="shared" si="168"/>
        <v>2.548877624909486</v>
      </c>
      <c r="Y591" s="990">
        <v>1630</v>
      </c>
      <c r="Z591" s="991">
        <v>1342</v>
      </c>
      <c r="AA591" s="991">
        <v>808</v>
      </c>
      <c r="AB591" s="992">
        <f t="shared" si="169"/>
        <v>3780</v>
      </c>
      <c r="AC591" s="993">
        <f t="shared" si="170"/>
        <v>27.371469949312093</v>
      </c>
      <c r="AD591" s="994">
        <f t="shared" si="171"/>
        <v>4132</v>
      </c>
      <c r="AE591" s="995">
        <f t="shared" si="172"/>
        <v>29.92034757422158</v>
      </c>
      <c r="AF591" s="996">
        <v>85</v>
      </c>
      <c r="AG591" s="997">
        <v>60</v>
      </c>
      <c r="AH591" s="997">
        <v>7</v>
      </c>
      <c r="AI591" s="998">
        <f t="shared" si="173"/>
        <v>152</v>
      </c>
      <c r="AJ591" s="993">
        <f t="shared" si="174"/>
        <v>1.1006517016654598</v>
      </c>
    </row>
    <row r="592" spans="1:38" ht="16.5" customHeight="1">
      <c r="A592" s="999">
        <f>'09월 조업일지'!A590</f>
        <v>46287</v>
      </c>
      <c r="B592" s="1099">
        <f>'09월 조업일지'!B590</f>
        <v>46287</v>
      </c>
      <c r="C592" s="1000" t="str">
        <f>'09월 화학성분'!D590</f>
        <v>A</v>
      </c>
      <c r="D592" s="1000" t="str">
        <f>'09월 화학성분'!E590</f>
        <v>A</v>
      </c>
      <c r="E592" s="1000">
        <f>'09월 화학성분'!C590</f>
        <v>85792</v>
      </c>
      <c r="F592" s="1001" t="str">
        <f t="shared" ref="F592:F655" si="175">IF(G592="","",F591)</f>
        <v>DKOIL</v>
      </c>
      <c r="G592" s="1172">
        <v>23</v>
      </c>
      <c r="H592" s="985">
        <v>27600</v>
      </c>
      <c r="I592" s="1173">
        <v>0</v>
      </c>
      <c r="J592" s="985">
        <v>0</v>
      </c>
      <c r="K592" s="1173">
        <v>8.1999999999999993</v>
      </c>
      <c r="L592" s="985">
        <v>15200</v>
      </c>
      <c r="M592" s="1174">
        <f t="shared" ref="M592:M655" si="176">IF(ISBLANK(G592),"",SUM(G592,I592,K592))</f>
        <v>31.2</v>
      </c>
      <c r="N592" s="984">
        <f t="shared" ref="N592:N655" si="177">IF(ISBLANK(H592),"",SUM(H592,J592,L592))</f>
        <v>42800</v>
      </c>
      <c r="O592" s="986">
        <f t="shared" ref="O592:O655" si="178">IF(ISBLANK(H592),"",H592/S592)</f>
        <v>190.21364576154377</v>
      </c>
      <c r="P592" s="987">
        <f t="shared" ref="P592:P655" si="179">IF(ISBLANK(J592),"",+J592/S592)</f>
        <v>0</v>
      </c>
      <c r="Q592" s="987">
        <f t="shared" ref="Q592:Q655" si="180">IF(ISBLANK(L592),"",L592/S592)</f>
        <v>104.7553411440386</v>
      </c>
      <c r="R592" s="988">
        <f t="shared" ref="R592:R655" si="181">IF(ISBLANK(L592),"",SUM(O592:Q592))</f>
        <v>294.96898690558237</v>
      </c>
      <c r="S592" s="989">
        <v>145.1</v>
      </c>
      <c r="T592" s="990">
        <v>0</v>
      </c>
      <c r="U592" s="991">
        <v>0</v>
      </c>
      <c r="V592" s="991">
        <v>326</v>
      </c>
      <c r="W592" s="992">
        <f t="shared" ref="W592:W655" si="182">IF(SUM(T592:V592)=0,"",SUM(T592:V592))</f>
        <v>326</v>
      </c>
      <c r="X592" s="993">
        <f t="shared" ref="X592:X655" si="183">IF(W592="","",W592/S592)</f>
        <v>2.2467263955892487</v>
      </c>
      <c r="Y592" s="990">
        <v>1927</v>
      </c>
      <c r="Z592" s="991">
        <v>0</v>
      </c>
      <c r="AA592" s="991">
        <v>1283</v>
      </c>
      <c r="AB592" s="992">
        <f t="shared" ref="AB592:AB655" si="184">IF(SUM(Y592:AA592)=0,"",SUM(Y592:AA592))</f>
        <v>3210</v>
      </c>
      <c r="AC592" s="993">
        <f t="shared" ref="AC592:AC655" si="185">IF(AB592="","",AB592/S592)</f>
        <v>22.122674017918676</v>
      </c>
      <c r="AD592" s="994">
        <f t="shared" ref="AD592:AD655" si="186">IF(SUM(W592,AB592)=0,"",SUM(W592,AB592))</f>
        <v>3536</v>
      </c>
      <c r="AE592" s="995">
        <f t="shared" ref="AE592:AE655" si="187">IF(AD592="","",AD592/S592)</f>
        <v>24.369400413507925</v>
      </c>
      <c r="AF592" s="996">
        <v>90</v>
      </c>
      <c r="AG592" s="997">
        <v>0</v>
      </c>
      <c r="AH592" s="997">
        <v>9</v>
      </c>
      <c r="AI592" s="998">
        <f t="shared" ref="AI592:AI655" si="188">IF(SUM(AF592:AH592)=0,"",SUM(AF592:AH592))</f>
        <v>99</v>
      </c>
      <c r="AJ592" s="993">
        <f t="shared" ref="AJ592:AJ655" si="189">IF(AI592="","",AI592/S592)</f>
        <v>0.6822880771881461</v>
      </c>
    </row>
    <row r="593" spans="1:36" ht="16.5" customHeight="1">
      <c r="A593" s="999">
        <f>'09월 조업일지'!A591</f>
        <v>46287</v>
      </c>
      <c r="B593" s="1099">
        <f>'09월 조업일지'!B591</f>
        <v>46287</v>
      </c>
      <c r="C593" s="1000" t="str">
        <f>'09월 화학성분'!D591</f>
        <v>A</v>
      </c>
      <c r="D593" s="1000" t="str">
        <f>'09월 화학성분'!E591</f>
        <v>B</v>
      </c>
      <c r="E593" s="1000">
        <f>'09월 화학성분'!C591</f>
        <v>85793</v>
      </c>
      <c r="F593" s="1001" t="str">
        <f t="shared" si="175"/>
        <v>DKOIL</v>
      </c>
      <c r="G593" s="1172">
        <v>22.7</v>
      </c>
      <c r="H593" s="985">
        <v>26800</v>
      </c>
      <c r="I593" s="1173">
        <v>0</v>
      </c>
      <c r="J593" s="985">
        <v>0</v>
      </c>
      <c r="K593" s="1173">
        <v>8.8000000000000007</v>
      </c>
      <c r="L593" s="985">
        <v>18800</v>
      </c>
      <c r="M593" s="1174">
        <f t="shared" si="176"/>
        <v>31.5</v>
      </c>
      <c r="N593" s="984">
        <f t="shared" si="177"/>
        <v>45600</v>
      </c>
      <c r="O593" s="986">
        <f t="shared" si="178"/>
        <v>227.89115646258506</v>
      </c>
      <c r="P593" s="987">
        <f t="shared" si="179"/>
        <v>0</v>
      </c>
      <c r="Q593" s="987">
        <f t="shared" si="180"/>
        <v>159.8639455782313</v>
      </c>
      <c r="R593" s="988">
        <f t="shared" si="181"/>
        <v>387.75510204081638</v>
      </c>
      <c r="S593" s="989">
        <v>117.6</v>
      </c>
      <c r="T593" s="990">
        <v>0</v>
      </c>
      <c r="U593" s="991">
        <v>0</v>
      </c>
      <c r="V593" s="991">
        <v>653</v>
      </c>
      <c r="W593" s="992">
        <f t="shared" si="182"/>
        <v>653</v>
      </c>
      <c r="X593" s="993">
        <f t="shared" si="183"/>
        <v>5.5527210884353746</v>
      </c>
      <c r="Y593" s="990">
        <v>1904</v>
      </c>
      <c r="Z593" s="991">
        <v>0</v>
      </c>
      <c r="AA593" s="991">
        <v>1517</v>
      </c>
      <c r="AB593" s="992">
        <f t="shared" si="184"/>
        <v>3421</v>
      </c>
      <c r="AC593" s="993">
        <f t="shared" si="185"/>
        <v>29.09013605442177</v>
      </c>
      <c r="AD593" s="994">
        <f t="shared" si="186"/>
        <v>4074</v>
      </c>
      <c r="AE593" s="995">
        <f t="shared" si="187"/>
        <v>34.642857142857146</v>
      </c>
      <c r="AF593" s="996">
        <v>90</v>
      </c>
      <c r="AG593" s="997">
        <v>0</v>
      </c>
      <c r="AH593" s="997">
        <v>11</v>
      </c>
      <c r="AI593" s="998">
        <f t="shared" si="188"/>
        <v>101</v>
      </c>
      <c r="AJ593" s="993">
        <f t="shared" si="189"/>
        <v>0.858843537414966</v>
      </c>
    </row>
    <row r="594" spans="1:36" ht="16.5" customHeight="1">
      <c r="A594" s="999">
        <f>'09월 조업일지'!A592</f>
        <v>46287</v>
      </c>
      <c r="B594" s="1099">
        <f>'09월 조업일지'!B592</f>
        <v>46287</v>
      </c>
      <c r="C594" s="1000" t="str">
        <f>'09월 화학성분'!D592</f>
        <v>C</v>
      </c>
      <c r="D594" s="1000" t="str">
        <f>'09월 화학성분'!E592</f>
        <v>B</v>
      </c>
      <c r="E594" s="1000">
        <f>'09월 화학성분'!C592</f>
        <v>85794</v>
      </c>
      <c r="F594" s="1104" t="s">
        <v>758</v>
      </c>
      <c r="G594" s="1172">
        <v>23.7</v>
      </c>
      <c r="H594" s="985">
        <v>26500</v>
      </c>
      <c r="I594" s="1173">
        <v>16.2</v>
      </c>
      <c r="J594" s="985">
        <v>20600</v>
      </c>
      <c r="K594" s="1173">
        <v>11.3</v>
      </c>
      <c r="L594" s="985">
        <v>13900</v>
      </c>
      <c r="M594" s="1174">
        <f t="shared" si="176"/>
        <v>51.2</v>
      </c>
      <c r="N594" s="984">
        <f t="shared" si="177"/>
        <v>61000</v>
      </c>
      <c r="O594" s="986">
        <f t="shared" si="178"/>
        <v>208.66141732283464</v>
      </c>
      <c r="P594" s="987">
        <f t="shared" si="179"/>
        <v>162.20472440944883</v>
      </c>
      <c r="Q594" s="987">
        <f t="shared" si="180"/>
        <v>109.44881889763779</v>
      </c>
      <c r="R594" s="988">
        <f t="shared" si="181"/>
        <v>480.3149606299213</v>
      </c>
      <c r="S594" s="989">
        <v>127</v>
      </c>
      <c r="T594" s="990">
        <v>0</v>
      </c>
      <c r="U594" s="991">
        <v>99</v>
      </c>
      <c r="V594" s="991">
        <v>424</v>
      </c>
      <c r="W594" s="992">
        <f t="shared" si="182"/>
        <v>523</v>
      </c>
      <c r="X594" s="993">
        <f t="shared" si="183"/>
        <v>4.1181102362204722</v>
      </c>
      <c r="Y594" s="990">
        <v>1684</v>
      </c>
      <c r="Z594" s="991">
        <v>1328</v>
      </c>
      <c r="AA594" s="991">
        <v>1061</v>
      </c>
      <c r="AB594" s="992">
        <f t="shared" si="184"/>
        <v>4073</v>
      </c>
      <c r="AC594" s="993">
        <f t="shared" si="185"/>
        <v>32.070866141732282</v>
      </c>
      <c r="AD594" s="994">
        <f t="shared" si="186"/>
        <v>4596</v>
      </c>
      <c r="AE594" s="995">
        <f t="shared" si="187"/>
        <v>36.188976377952756</v>
      </c>
      <c r="AF594" s="996">
        <v>82</v>
      </c>
      <c r="AG594" s="997">
        <v>61</v>
      </c>
      <c r="AH594" s="997">
        <v>10</v>
      </c>
      <c r="AI594" s="998">
        <f t="shared" si="188"/>
        <v>153</v>
      </c>
      <c r="AJ594" s="993">
        <f t="shared" si="189"/>
        <v>1.204724409448819</v>
      </c>
    </row>
    <row r="595" spans="1:36" ht="16.5" customHeight="1">
      <c r="A595" s="999">
        <f>'09월 조업일지'!A593</f>
        <v>46287</v>
      </c>
      <c r="B595" s="1099">
        <f>'09월 조업일지'!B593</f>
        <v>46287</v>
      </c>
      <c r="C595" s="1000" t="str">
        <f>'09월 화학성분'!D593</f>
        <v>C</v>
      </c>
      <c r="D595" s="1000" t="str">
        <f>'09월 화학성분'!E593</f>
        <v>A</v>
      </c>
      <c r="E595" s="1000">
        <f>'09월 화학성분'!C593</f>
        <v>85795</v>
      </c>
      <c r="F595" s="1001" t="str">
        <f t="shared" si="175"/>
        <v>SS400-01</v>
      </c>
      <c r="G595" s="1172">
        <v>26.5</v>
      </c>
      <c r="H595" s="985">
        <v>27000</v>
      </c>
      <c r="I595" s="1173">
        <v>17.600000000000001</v>
      </c>
      <c r="J595" s="985">
        <v>20500</v>
      </c>
      <c r="K595" s="1173">
        <v>10.7</v>
      </c>
      <c r="L595" s="985">
        <v>13200</v>
      </c>
      <c r="M595" s="1174">
        <f t="shared" si="176"/>
        <v>54.8</v>
      </c>
      <c r="N595" s="984">
        <f t="shared" si="177"/>
        <v>60700</v>
      </c>
      <c r="O595" s="986">
        <f t="shared" si="178"/>
        <v>212.09740769835037</v>
      </c>
      <c r="P595" s="987">
        <f t="shared" si="179"/>
        <v>161.03692065985859</v>
      </c>
      <c r="Q595" s="987">
        <f t="shared" si="180"/>
        <v>103.69206598586017</v>
      </c>
      <c r="R595" s="988">
        <f t="shared" si="181"/>
        <v>476.82639434406912</v>
      </c>
      <c r="S595" s="989">
        <v>127.3</v>
      </c>
      <c r="T595" s="990">
        <v>0</v>
      </c>
      <c r="U595" s="991">
        <v>345</v>
      </c>
      <c r="V595" s="991">
        <v>35</v>
      </c>
      <c r="W595" s="992">
        <f t="shared" si="182"/>
        <v>380</v>
      </c>
      <c r="X595" s="993">
        <f t="shared" si="183"/>
        <v>2.9850746268656718</v>
      </c>
      <c r="Y595" s="990">
        <v>1874</v>
      </c>
      <c r="Z595" s="991">
        <v>1431</v>
      </c>
      <c r="AA595" s="991">
        <v>689</v>
      </c>
      <c r="AB595" s="992">
        <f t="shared" si="184"/>
        <v>3994</v>
      </c>
      <c r="AC595" s="993">
        <f t="shared" si="185"/>
        <v>31.374705420267087</v>
      </c>
      <c r="AD595" s="994">
        <f t="shared" si="186"/>
        <v>4374</v>
      </c>
      <c r="AE595" s="995">
        <f t="shared" si="187"/>
        <v>34.359780047132759</v>
      </c>
      <c r="AF595" s="996">
        <v>93</v>
      </c>
      <c r="AG595" s="997">
        <v>65</v>
      </c>
      <c r="AH595" s="997">
        <v>6</v>
      </c>
      <c r="AI595" s="998">
        <f t="shared" si="188"/>
        <v>164</v>
      </c>
      <c r="AJ595" s="993">
        <f t="shared" si="189"/>
        <v>1.2882953652788689</v>
      </c>
    </row>
    <row r="596" spans="1:36" ht="16.5" customHeight="1">
      <c r="A596" s="999">
        <f>'09월 조업일지'!A594</f>
        <v>46287</v>
      </c>
      <c r="B596" s="1099">
        <f>'09월 조업일지'!B594</f>
        <v>46287</v>
      </c>
      <c r="C596" s="1000" t="str">
        <f>'09월 화학성분'!D594</f>
        <v>C</v>
      </c>
      <c r="D596" s="1000" t="str">
        <f>'09월 화학성분'!E594</f>
        <v>B</v>
      </c>
      <c r="E596" s="1000">
        <f>'09월 화학성분'!C594</f>
        <v>85796</v>
      </c>
      <c r="F596" s="1104" t="s">
        <v>943</v>
      </c>
      <c r="G596" s="1172">
        <v>20.6</v>
      </c>
      <c r="H596" s="985">
        <v>23200</v>
      </c>
      <c r="I596" s="1173">
        <v>18.100000000000001</v>
      </c>
      <c r="J596" s="985">
        <v>20600</v>
      </c>
      <c r="K596" s="1173">
        <v>13</v>
      </c>
      <c r="L596" s="985">
        <v>16400</v>
      </c>
      <c r="M596" s="1174">
        <f t="shared" si="176"/>
        <v>51.7</v>
      </c>
      <c r="N596" s="984">
        <f t="shared" si="177"/>
        <v>60200</v>
      </c>
      <c r="O596" s="986">
        <f t="shared" si="178"/>
        <v>169.46676406135865</v>
      </c>
      <c r="P596" s="987">
        <f t="shared" si="179"/>
        <v>150.47479912344775</v>
      </c>
      <c r="Q596" s="987">
        <f t="shared" si="180"/>
        <v>119.79547114682249</v>
      </c>
      <c r="R596" s="988">
        <f t="shared" si="181"/>
        <v>439.73703433162888</v>
      </c>
      <c r="S596" s="989">
        <v>136.9</v>
      </c>
      <c r="T596" s="990">
        <v>0</v>
      </c>
      <c r="U596" s="991">
        <v>127</v>
      </c>
      <c r="V596" s="991">
        <v>408</v>
      </c>
      <c r="W596" s="992">
        <f t="shared" si="182"/>
        <v>535</v>
      </c>
      <c r="X596" s="993">
        <f t="shared" si="183"/>
        <v>3.9079620160701238</v>
      </c>
      <c r="Y596" s="990">
        <v>1654</v>
      </c>
      <c r="Z596" s="991">
        <v>1533</v>
      </c>
      <c r="AA596" s="991">
        <v>1124</v>
      </c>
      <c r="AB596" s="992">
        <f t="shared" si="184"/>
        <v>4311</v>
      </c>
      <c r="AC596" s="993">
        <f t="shared" si="185"/>
        <v>31.490138787436084</v>
      </c>
      <c r="AD596" s="994">
        <f t="shared" si="186"/>
        <v>4846</v>
      </c>
      <c r="AE596" s="995">
        <f t="shared" si="187"/>
        <v>35.39810080350621</v>
      </c>
      <c r="AF596" s="996">
        <v>87</v>
      </c>
      <c r="AG596" s="997">
        <v>61</v>
      </c>
      <c r="AH596" s="997">
        <v>10</v>
      </c>
      <c r="AI596" s="998">
        <f t="shared" si="188"/>
        <v>158</v>
      </c>
      <c r="AJ596" s="993">
        <f t="shared" si="189"/>
        <v>1.154127100073046</v>
      </c>
    </row>
    <row r="597" spans="1:36" ht="16.5" customHeight="1">
      <c r="A597" s="999">
        <f>'09월 조업일지'!A595</f>
        <v>46287</v>
      </c>
      <c r="B597" s="1099">
        <f>'09월 조업일지'!B595</f>
        <v>46287</v>
      </c>
      <c r="C597" s="1000" t="str">
        <f>'09월 화학성분'!D595</f>
        <v>C</v>
      </c>
      <c r="D597" s="1000" t="str">
        <f>'09월 화학성분'!E595</f>
        <v>A</v>
      </c>
      <c r="E597" s="1000">
        <f>'09월 화학성분'!C595</f>
        <v>85797</v>
      </c>
      <c r="F597" s="1001" t="str">
        <f t="shared" si="175"/>
        <v>SY300</v>
      </c>
      <c r="G597" s="1172">
        <v>20.7</v>
      </c>
      <c r="H597" s="985">
        <v>24400</v>
      </c>
      <c r="I597" s="1173">
        <v>17.399999999999999</v>
      </c>
      <c r="J597" s="985">
        <v>20600</v>
      </c>
      <c r="K597" s="1173">
        <v>10.3</v>
      </c>
      <c r="L597" s="985">
        <v>12800</v>
      </c>
      <c r="M597" s="1174">
        <f t="shared" si="176"/>
        <v>48.399999999999991</v>
      </c>
      <c r="N597" s="984">
        <f t="shared" si="177"/>
        <v>57800</v>
      </c>
      <c r="O597" s="986">
        <f t="shared" si="178"/>
        <v>179.41176470588235</v>
      </c>
      <c r="P597" s="987">
        <f t="shared" si="179"/>
        <v>151.47058823529412</v>
      </c>
      <c r="Q597" s="987">
        <f t="shared" si="180"/>
        <v>94.117647058823536</v>
      </c>
      <c r="R597" s="988">
        <f t="shared" si="181"/>
        <v>425</v>
      </c>
      <c r="S597" s="989">
        <v>136</v>
      </c>
      <c r="T597" s="990">
        <v>0</v>
      </c>
      <c r="U597" s="991">
        <v>160</v>
      </c>
      <c r="V597" s="991">
        <v>325</v>
      </c>
      <c r="W597" s="992">
        <f t="shared" si="182"/>
        <v>485</v>
      </c>
      <c r="X597" s="993">
        <f t="shared" si="183"/>
        <v>3.5661764705882355</v>
      </c>
      <c r="Y597" s="990">
        <v>1738</v>
      </c>
      <c r="Z597" s="991">
        <v>1437</v>
      </c>
      <c r="AA597" s="991">
        <v>1048</v>
      </c>
      <c r="AB597" s="992">
        <f t="shared" si="184"/>
        <v>4223</v>
      </c>
      <c r="AC597" s="993">
        <f t="shared" si="185"/>
        <v>31.051470588235293</v>
      </c>
      <c r="AD597" s="994">
        <f t="shared" si="186"/>
        <v>4708</v>
      </c>
      <c r="AE597" s="995">
        <f t="shared" si="187"/>
        <v>34.617647058823529</v>
      </c>
      <c r="AF597" s="996">
        <v>85</v>
      </c>
      <c r="AG597" s="997">
        <v>65</v>
      </c>
      <c r="AH597" s="997">
        <v>10</v>
      </c>
      <c r="AI597" s="998">
        <f t="shared" si="188"/>
        <v>160</v>
      </c>
      <c r="AJ597" s="993">
        <f t="shared" si="189"/>
        <v>1.1764705882352942</v>
      </c>
    </row>
    <row r="598" spans="1:36" ht="16.5" customHeight="1">
      <c r="A598" s="999">
        <f>'09월 조업일지'!A596</f>
        <v>46287</v>
      </c>
      <c r="B598" s="1099">
        <f>'09월 조업일지'!B596</f>
        <v>46287</v>
      </c>
      <c r="C598" s="1000" t="str">
        <f>'09월 화학성분'!D596</f>
        <v>D</v>
      </c>
      <c r="D598" s="1000" t="str">
        <f>'09월 화학성분'!E596</f>
        <v>B</v>
      </c>
      <c r="E598" s="1000">
        <f>'09월 화학성분'!C596</f>
        <v>85798</v>
      </c>
      <c r="F598" s="1001" t="str">
        <f t="shared" si="175"/>
        <v>SY300</v>
      </c>
      <c r="G598" s="1172">
        <v>19.7</v>
      </c>
      <c r="H598" s="985">
        <v>22500</v>
      </c>
      <c r="I598" s="1173">
        <v>16.899999999999999</v>
      </c>
      <c r="J598" s="985">
        <v>20300</v>
      </c>
      <c r="K598" s="1173">
        <v>10.6</v>
      </c>
      <c r="L598" s="985">
        <v>13400</v>
      </c>
      <c r="M598" s="1174">
        <f t="shared" si="176"/>
        <v>47.199999999999996</v>
      </c>
      <c r="N598" s="984">
        <f t="shared" si="177"/>
        <v>56200</v>
      </c>
      <c r="O598" s="986">
        <f t="shared" si="178"/>
        <v>157.23270440251574</v>
      </c>
      <c r="P598" s="987">
        <f t="shared" si="179"/>
        <v>141.85883997204752</v>
      </c>
      <c r="Q598" s="987">
        <f t="shared" si="180"/>
        <v>93.640810621942705</v>
      </c>
      <c r="R598" s="988">
        <f t="shared" si="181"/>
        <v>392.73235499650593</v>
      </c>
      <c r="S598" s="989">
        <v>143.1</v>
      </c>
      <c r="T598" s="990">
        <v>0</v>
      </c>
      <c r="U598" s="991">
        <v>22</v>
      </c>
      <c r="V598" s="991">
        <v>317</v>
      </c>
      <c r="W598" s="992">
        <f t="shared" si="182"/>
        <v>339</v>
      </c>
      <c r="X598" s="993">
        <f t="shared" si="183"/>
        <v>2.3689727463312371</v>
      </c>
      <c r="Y598" s="990">
        <v>1638</v>
      </c>
      <c r="Z598" s="991">
        <v>1400</v>
      </c>
      <c r="AA598" s="991">
        <v>862</v>
      </c>
      <c r="AB598" s="992">
        <f t="shared" si="184"/>
        <v>3900</v>
      </c>
      <c r="AC598" s="993">
        <f t="shared" si="185"/>
        <v>27.253668763102727</v>
      </c>
      <c r="AD598" s="994">
        <f t="shared" si="186"/>
        <v>4239</v>
      </c>
      <c r="AE598" s="995">
        <f t="shared" si="187"/>
        <v>29.622641509433965</v>
      </c>
      <c r="AF598" s="996">
        <v>87</v>
      </c>
      <c r="AG598" s="997">
        <v>65</v>
      </c>
      <c r="AH598" s="997">
        <v>9</v>
      </c>
      <c r="AI598" s="998">
        <f t="shared" si="188"/>
        <v>161</v>
      </c>
      <c r="AJ598" s="993">
        <f t="shared" si="189"/>
        <v>1.125087351502446</v>
      </c>
    </row>
    <row r="599" spans="1:36" ht="16.5" customHeight="1">
      <c r="A599" s="999">
        <f>'09월 조업일지'!A597</f>
        <v>46287</v>
      </c>
      <c r="B599" s="1099">
        <f>'09월 조업일지'!B597</f>
        <v>46287</v>
      </c>
      <c r="C599" s="1000" t="str">
        <f>'09월 화학성분'!D597</f>
        <v>D</v>
      </c>
      <c r="D599" s="1000" t="str">
        <f>'09월 화학성분'!E597</f>
        <v>A</v>
      </c>
      <c r="E599" s="1000">
        <f>'09월 화학성분'!C597</f>
        <v>85799</v>
      </c>
      <c r="F599" s="1104" t="s">
        <v>945</v>
      </c>
      <c r="G599" s="1172">
        <v>19</v>
      </c>
      <c r="H599" s="985">
        <v>22300</v>
      </c>
      <c r="I599" s="1173">
        <v>16.600000000000001</v>
      </c>
      <c r="J599" s="985">
        <v>20600</v>
      </c>
      <c r="K599" s="1173">
        <v>8.6999999999999993</v>
      </c>
      <c r="L599" s="985">
        <v>11100</v>
      </c>
      <c r="M599" s="1174">
        <f t="shared" si="176"/>
        <v>44.3</v>
      </c>
      <c r="N599" s="984">
        <f t="shared" si="177"/>
        <v>54000</v>
      </c>
      <c r="O599" s="986">
        <f t="shared" si="178"/>
        <v>159.85663082437276</v>
      </c>
      <c r="P599" s="987">
        <f t="shared" si="179"/>
        <v>147.67025089605735</v>
      </c>
      <c r="Q599" s="987">
        <f t="shared" si="180"/>
        <v>79.569892473118273</v>
      </c>
      <c r="R599" s="988">
        <f t="shared" si="181"/>
        <v>387.09677419354836</v>
      </c>
      <c r="S599" s="989">
        <v>139.5</v>
      </c>
      <c r="T599" s="990">
        <v>0</v>
      </c>
      <c r="U599" s="991">
        <v>16</v>
      </c>
      <c r="V599" s="991">
        <v>350</v>
      </c>
      <c r="W599" s="992">
        <f t="shared" si="182"/>
        <v>366</v>
      </c>
      <c r="X599" s="993">
        <f t="shared" si="183"/>
        <v>2.6236559139784945</v>
      </c>
      <c r="Y599" s="990">
        <v>1546</v>
      </c>
      <c r="Z599" s="991">
        <v>1391</v>
      </c>
      <c r="AA599" s="991">
        <v>797</v>
      </c>
      <c r="AB599" s="992">
        <f t="shared" si="184"/>
        <v>3734</v>
      </c>
      <c r="AC599" s="993">
        <f t="shared" si="185"/>
        <v>26.767025089605735</v>
      </c>
      <c r="AD599" s="994">
        <f t="shared" si="186"/>
        <v>4100</v>
      </c>
      <c r="AE599" s="995">
        <f t="shared" si="187"/>
        <v>29.390681003584231</v>
      </c>
      <c r="AF599" s="996">
        <v>84</v>
      </c>
      <c r="AG599" s="997">
        <v>65</v>
      </c>
      <c r="AH599" s="997">
        <v>7</v>
      </c>
      <c r="AI599" s="998">
        <f t="shared" si="188"/>
        <v>156</v>
      </c>
      <c r="AJ599" s="993">
        <f t="shared" si="189"/>
        <v>1.118279569892473</v>
      </c>
    </row>
    <row r="600" spans="1:36" ht="16.5" customHeight="1">
      <c r="A600" s="999">
        <f>'09월 조업일지'!A598</f>
        <v>46287</v>
      </c>
      <c r="B600" s="1099">
        <f>'09월 조업일지'!B598</f>
        <v>46287</v>
      </c>
      <c r="C600" s="1000" t="str">
        <f>'09월 화학성분'!D598</f>
        <v>D</v>
      </c>
      <c r="D600" s="1000" t="str">
        <f>'09월 화학성분'!E598</f>
        <v>B</v>
      </c>
      <c r="E600" s="1000">
        <f>'09월 화학성분'!C598</f>
        <v>85800</v>
      </c>
      <c r="F600" s="1001" t="str">
        <f t="shared" si="175"/>
        <v>SY400</v>
      </c>
      <c r="G600" s="1172">
        <v>18.8</v>
      </c>
      <c r="H600" s="985">
        <v>22300</v>
      </c>
      <c r="I600" s="1173">
        <v>16.600000000000001</v>
      </c>
      <c r="J600" s="985">
        <v>20500</v>
      </c>
      <c r="K600" s="1173">
        <v>11.4</v>
      </c>
      <c r="L600" s="985">
        <v>14400</v>
      </c>
      <c r="M600" s="1174">
        <f t="shared" si="176"/>
        <v>46.800000000000004</v>
      </c>
      <c r="N600" s="984">
        <f t="shared" si="177"/>
        <v>57200</v>
      </c>
      <c r="O600" s="986">
        <f t="shared" si="178"/>
        <v>153.37001375515817</v>
      </c>
      <c r="P600" s="987">
        <f t="shared" si="179"/>
        <v>140.99037138927096</v>
      </c>
      <c r="Q600" s="987">
        <f t="shared" si="180"/>
        <v>99.037138927097658</v>
      </c>
      <c r="R600" s="988">
        <f t="shared" si="181"/>
        <v>393.39752407152679</v>
      </c>
      <c r="S600" s="989">
        <v>145.4</v>
      </c>
      <c r="T600" s="990">
        <v>0</v>
      </c>
      <c r="U600" s="991">
        <v>0</v>
      </c>
      <c r="V600" s="991">
        <v>339</v>
      </c>
      <c r="W600" s="992">
        <f t="shared" si="182"/>
        <v>339</v>
      </c>
      <c r="X600" s="993">
        <f t="shared" si="183"/>
        <v>2.3314993122420908</v>
      </c>
      <c r="Y600" s="990">
        <v>1518</v>
      </c>
      <c r="Z600" s="991">
        <v>1383</v>
      </c>
      <c r="AA600" s="991">
        <v>1073</v>
      </c>
      <c r="AB600" s="992">
        <f t="shared" si="184"/>
        <v>3974</v>
      </c>
      <c r="AC600" s="993">
        <f t="shared" si="185"/>
        <v>27.331499312242091</v>
      </c>
      <c r="AD600" s="994">
        <f t="shared" si="186"/>
        <v>4313</v>
      </c>
      <c r="AE600" s="995">
        <f t="shared" si="187"/>
        <v>29.662998624484182</v>
      </c>
      <c r="AF600" s="996">
        <v>85</v>
      </c>
      <c r="AG600" s="997">
        <v>63</v>
      </c>
      <c r="AH600" s="997">
        <v>9</v>
      </c>
      <c r="AI600" s="998">
        <f t="shared" si="188"/>
        <v>157</v>
      </c>
      <c r="AJ600" s="993">
        <f t="shared" si="189"/>
        <v>1.0797799174690508</v>
      </c>
    </row>
    <row r="601" spans="1:36" ht="16.5" customHeight="1">
      <c r="A601" s="999">
        <f>'09월 조업일지'!A599</f>
        <v>46287</v>
      </c>
      <c r="B601" s="1099">
        <f>'09월 조업일지'!B599</f>
        <v>46287</v>
      </c>
      <c r="C601" s="1000" t="str">
        <f>'09월 화학성분'!D599</f>
        <v>D</v>
      </c>
      <c r="D601" s="1000" t="str">
        <f>'09월 화학성분'!E599</f>
        <v>A</v>
      </c>
      <c r="E601" s="1000">
        <f>'09월 화학성분'!C599</f>
        <v>85801</v>
      </c>
      <c r="F601" s="1001" t="str">
        <f t="shared" si="175"/>
        <v>SY400</v>
      </c>
      <c r="G601" s="1172">
        <v>18.899999999999999</v>
      </c>
      <c r="H601" s="985">
        <v>22500</v>
      </c>
      <c r="I601" s="1173">
        <v>17.100000000000001</v>
      </c>
      <c r="J601" s="985">
        <v>20700</v>
      </c>
      <c r="K601" s="1173">
        <v>8.8000000000000007</v>
      </c>
      <c r="L601" s="985">
        <v>11100</v>
      </c>
      <c r="M601" s="1174">
        <f t="shared" si="176"/>
        <v>44.8</v>
      </c>
      <c r="N601" s="984">
        <f t="shared" si="177"/>
        <v>54300</v>
      </c>
      <c r="O601" s="986">
        <f t="shared" si="178"/>
        <v>159.2356687898089</v>
      </c>
      <c r="P601" s="987">
        <f t="shared" si="179"/>
        <v>146.49681528662418</v>
      </c>
      <c r="Q601" s="987">
        <f t="shared" si="180"/>
        <v>78.556263269639061</v>
      </c>
      <c r="R601" s="988">
        <f t="shared" si="181"/>
        <v>384.28874734607211</v>
      </c>
      <c r="S601" s="989">
        <v>141.30000000000001</v>
      </c>
      <c r="T601" s="990">
        <v>0</v>
      </c>
      <c r="U601" s="991">
        <v>46</v>
      </c>
      <c r="V601" s="991">
        <v>285</v>
      </c>
      <c r="W601" s="992">
        <f t="shared" si="182"/>
        <v>331</v>
      </c>
      <c r="X601" s="993">
        <f t="shared" si="183"/>
        <v>2.3425336164189665</v>
      </c>
      <c r="Y601" s="990">
        <v>1536</v>
      </c>
      <c r="Z601" s="991">
        <v>1428</v>
      </c>
      <c r="AA601" s="991">
        <v>806</v>
      </c>
      <c r="AB601" s="992">
        <f t="shared" si="184"/>
        <v>3770</v>
      </c>
      <c r="AC601" s="993">
        <f t="shared" si="185"/>
        <v>26.680820948336869</v>
      </c>
      <c r="AD601" s="994">
        <f t="shared" si="186"/>
        <v>4101</v>
      </c>
      <c r="AE601" s="995">
        <f t="shared" si="187"/>
        <v>29.023354564755838</v>
      </c>
      <c r="AF601" s="996">
        <v>83</v>
      </c>
      <c r="AG601" s="997">
        <v>65</v>
      </c>
      <c r="AH601" s="997">
        <v>7</v>
      </c>
      <c r="AI601" s="998">
        <f t="shared" si="188"/>
        <v>155</v>
      </c>
      <c r="AJ601" s="993">
        <f t="shared" si="189"/>
        <v>1.0969568294409058</v>
      </c>
    </row>
    <row r="602" spans="1:36" ht="16.5" customHeight="1">
      <c r="A602" s="999">
        <f>'09월 조업일지'!A600</f>
        <v>46287</v>
      </c>
      <c r="B602" s="1099">
        <f>'09월 조업일지'!B600</f>
        <v>46287</v>
      </c>
      <c r="C602" s="1000" t="str">
        <f>'09월 화학성분'!D600</f>
        <v>D</v>
      </c>
      <c r="D602" s="1000" t="str">
        <f>'09월 화학성분'!E600</f>
        <v>B</v>
      </c>
      <c r="E602" s="1000">
        <f>'09월 화학성분'!C600</f>
        <v>85802</v>
      </c>
      <c r="F602" s="1104" t="s">
        <v>947</v>
      </c>
      <c r="G602" s="1172">
        <v>19.399999999999999</v>
      </c>
      <c r="H602" s="985">
        <v>22500</v>
      </c>
      <c r="I602" s="1173">
        <v>16.600000000000001</v>
      </c>
      <c r="J602" s="985">
        <v>20400</v>
      </c>
      <c r="K602" s="1173">
        <v>11.3</v>
      </c>
      <c r="L602" s="985">
        <v>12800</v>
      </c>
      <c r="M602" s="1174">
        <f t="shared" si="176"/>
        <v>47.3</v>
      </c>
      <c r="N602" s="984">
        <f t="shared" si="177"/>
        <v>55700</v>
      </c>
      <c r="O602" s="986">
        <f t="shared" si="178"/>
        <v>154.74552957359009</v>
      </c>
      <c r="P602" s="987">
        <f t="shared" si="179"/>
        <v>140.30261348005502</v>
      </c>
      <c r="Q602" s="987">
        <f t="shared" si="180"/>
        <v>88.033012379642358</v>
      </c>
      <c r="R602" s="988">
        <f t="shared" si="181"/>
        <v>383.08115543328745</v>
      </c>
      <c r="S602" s="989">
        <v>145.4</v>
      </c>
      <c r="T602" s="990">
        <v>0</v>
      </c>
      <c r="U602" s="991">
        <v>0</v>
      </c>
      <c r="V602" s="991">
        <v>349</v>
      </c>
      <c r="W602" s="992">
        <f t="shared" si="182"/>
        <v>349</v>
      </c>
      <c r="X602" s="993">
        <f t="shared" si="183"/>
        <v>2.4002751031636862</v>
      </c>
      <c r="Y602" s="990">
        <v>1589</v>
      </c>
      <c r="Z602" s="991">
        <v>1369</v>
      </c>
      <c r="AA602" s="991">
        <v>887</v>
      </c>
      <c r="AB602" s="992">
        <f t="shared" si="184"/>
        <v>3845</v>
      </c>
      <c r="AC602" s="993">
        <f t="shared" si="185"/>
        <v>26.444291609353506</v>
      </c>
      <c r="AD602" s="994">
        <f t="shared" si="186"/>
        <v>4194</v>
      </c>
      <c r="AE602" s="995">
        <f t="shared" si="187"/>
        <v>28.844566712517192</v>
      </c>
      <c r="AF602" s="996">
        <v>85</v>
      </c>
      <c r="AG602" s="997">
        <v>63</v>
      </c>
      <c r="AH602" s="997">
        <v>8</v>
      </c>
      <c r="AI602" s="998">
        <f t="shared" si="188"/>
        <v>156</v>
      </c>
      <c r="AJ602" s="993">
        <f t="shared" si="189"/>
        <v>1.0729023383768912</v>
      </c>
    </row>
    <row r="603" spans="1:36" ht="16.5" customHeight="1">
      <c r="A603" s="999">
        <f>'09월 조업일지'!A601</f>
        <v>46287</v>
      </c>
      <c r="B603" s="1099">
        <f>'09월 조업일지'!B601</f>
        <v>46287</v>
      </c>
      <c r="C603" s="1000" t="str">
        <f>'09월 화학성분'!D601</f>
        <v>D</v>
      </c>
      <c r="D603" s="1000" t="str">
        <f>'09월 화학성분'!E601</f>
        <v>A</v>
      </c>
      <c r="E603" s="1000">
        <f>'09월 화학성분'!C601</f>
        <v>85803</v>
      </c>
      <c r="F603" s="1001" t="str">
        <f t="shared" si="175"/>
        <v>SHP355W</v>
      </c>
      <c r="G603" s="1172">
        <v>19</v>
      </c>
      <c r="H603" s="985">
        <v>22800</v>
      </c>
      <c r="I603" s="1173">
        <v>17.2</v>
      </c>
      <c r="J603" s="985">
        <v>20800</v>
      </c>
      <c r="K603" s="1173">
        <v>10.7</v>
      </c>
      <c r="L603" s="985">
        <v>13400</v>
      </c>
      <c r="M603" s="1174">
        <f t="shared" si="176"/>
        <v>46.900000000000006</v>
      </c>
      <c r="N603" s="984">
        <f t="shared" si="177"/>
        <v>57000</v>
      </c>
      <c r="O603" s="986">
        <f t="shared" si="178"/>
        <v>159.44055944055944</v>
      </c>
      <c r="P603" s="987">
        <f t="shared" si="179"/>
        <v>145.45454545454547</v>
      </c>
      <c r="Q603" s="987">
        <f t="shared" si="180"/>
        <v>93.706293706293707</v>
      </c>
      <c r="R603" s="988">
        <f t="shared" si="181"/>
        <v>398.60139860139861</v>
      </c>
      <c r="S603" s="989">
        <v>143</v>
      </c>
      <c r="T603" s="990">
        <v>0</v>
      </c>
      <c r="U603" s="991">
        <v>46</v>
      </c>
      <c r="V603" s="991">
        <v>299</v>
      </c>
      <c r="W603" s="992">
        <f t="shared" si="182"/>
        <v>345</v>
      </c>
      <c r="X603" s="993">
        <f t="shared" si="183"/>
        <v>2.4125874125874125</v>
      </c>
      <c r="Y603" s="990">
        <v>1589</v>
      </c>
      <c r="Z603" s="991">
        <v>1424</v>
      </c>
      <c r="AA603" s="991">
        <v>962</v>
      </c>
      <c r="AB603" s="992">
        <f t="shared" si="184"/>
        <v>3975</v>
      </c>
      <c r="AC603" s="993">
        <f t="shared" si="185"/>
        <v>27.797202797202797</v>
      </c>
      <c r="AD603" s="994">
        <f t="shared" si="186"/>
        <v>4320</v>
      </c>
      <c r="AE603" s="995">
        <f t="shared" si="187"/>
        <v>30.20979020979021</v>
      </c>
      <c r="AF603" s="996">
        <v>83</v>
      </c>
      <c r="AG603" s="997">
        <v>63</v>
      </c>
      <c r="AH603" s="997">
        <v>9</v>
      </c>
      <c r="AI603" s="998">
        <f t="shared" si="188"/>
        <v>155</v>
      </c>
      <c r="AJ603" s="993">
        <f t="shared" si="189"/>
        <v>1.083916083916084</v>
      </c>
    </row>
    <row r="604" spans="1:36" ht="16.5" customHeight="1">
      <c r="A604" s="999">
        <f>'09월 조업일지'!A602</f>
        <v>46288</v>
      </c>
      <c r="B604" s="1099">
        <f>'09월 조업일지'!B602</f>
        <v>46287</v>
      </c>
      <c r="C604" s="1000" t="str">
        <f>'09월 화학성분'!D602</f>
        <v>D</v>
      </c>
      <c r="D604" s="1000" t="str">
        <f>'09월 화학성분'!E602</f>
        <v>B</v>
      </c>
      <c r="E604" s="1000">
        <f>'09월 화학성분'!C602</f>
        <v>85804</v>
      </c>
      <c r="F604" s="1001" t="str">
        <f t="shared" si="175"/>
        <v>SHP355W</v>
      </c>
      <c r="G604" s="1172">
        <v>19</v>
      </c>
      <c r="H604" s="985">
        <v>23100</v>
      </c>
      <c r="I604" s="1173">
        <v>16.3</v>
      </c>
      <c r="J604" s="985">
        <v>20400</v>
      </c>
      <c r="K604" s="1173">
        <v>9.1999999999999993</v>
      </c>
      <c r="L604" s="985">
        <v>11400</v>
      </c>
      <c r="M604" s="1174">
        <f t="shared" si="176"/>
        <v>44.5</v>
      </c>
      <c r="N604" s="984">
        <f t="shared" si="177"/>
        <v>54900</v>
      </c>
      <c r="O604" s="986">
        <f t="shared" si="178"/>
        <v>159.31034482758622</v>
      </c>
      <c r="P604" s="987">
        <f t="shared" si="179"/>
        <v>140.68965517241378</v>
      </c>
      <c r="Q604" s="987">
        <f t="shared" si="180"/>
        <v>78.620689655172413</v>
      </c>
      <c r="R604" s="988">
        <f t="shared" si="181"/>
        <v>378.62068965517244</v>
      </c>
      <c r="S604" s="989">
        <v>145</v>
      </c>
      <c r="T604" s="990">
        <v>0</v>
      </c>
      <c r="U604" s="991">
        <v>0</v>
      </c>
      <c r="V604" s="991">
        <v>347</v>
      </c>
      <c r="W604" s="992">
        <f t="shared" si="182"/>
        <v>347</v>
      </c>
      <c r="X604" s="993">
        <f t="shared" si="183"/>
        <v>2.3931034482758622</v>
      </c>
      <c r="Y604" s="990">
        <v>1570</v>
      </c>
      <c r="Z604" s="991">
        <v>1376</v>
      </c>
      <c r="AA604" s="991">
        <v>923</v>
      </c>
      <c r="AB604" s="992">
        <f t="shared" si="184"/>
        <v>3869</v>
      </c>
      <c r="AC604" s="993">
        <f t="shared" si="185"/>
        <v>26.682758620689654</v>
      </c>
      <c r="AD604" s="994">
        <f t="shared" si="186"/>
        <v>4216</v>
      </c>
      <c r="AE604" s="995">
        <f t="shared" si="187"/>
        <v>29.075862068965517</v>
      </c>
      <c r="AF604" s="996">
        <v>84</v>
      </c>
      <c r="AG604" s="997">
        <v>61</v>
      </c>
      <c r="AH604" s="997">
        <v>9</v>
      </c>
      <c r="AI604" s="998">
        <f t="shared" si="188"/>
        <v>154</v>
      </c>
      <c r="AJ604" s="993">
        <f t="shared" si="189"/>
        <v>1.0620689655172413</v>
      </c>
    </row>
    <row r="605" spans="1:36" ht="16.5" customHeight="1">
      <c r="A605" s="999">
        <f>'09월 조업일지'!A603</f>
        <v>46288</v>
      </c>
      <c r="B605" s="1099">
        <f>'09월 조업일지'!B603</f>
        <v>46287</v>
      </c>
      <c r="C605" s="1000" t="str">
        <f>'09월 화학성분'!D603</f>
        <v>D</v>
      </c>
      <c r="D605" s="1000" t="str">
        <f>'09월 화학성분'!E603</f>
        <v>A</v>
      </c>
      <c r="E605" s="1000">
        <f>'09월 화학성분'!C603</f>
        <v>85805</v>
      </c>
      <c r="F605" s="1001" t="str">
        <f t="shared" si="175"/>
        <v>SHP355W</v>
      </c>
      <c r="G605" s="1172">
        <v>19.3</v>
      </c>
      <c r="H605" s="985">
        <v>22300</v>
      </c>
      <c r="I605" s="1173">
        <v>18.100000000000001</v>
      </c>
      <c r="J605" s="985">
        <v>20900</v>
      </c>
      <c r="K605" s="1173">
        <v>9.9</v>
      </c>
      <c r="L605" s="985">
        <v>12600</v>
      </c>
      <c r="M605" s="1174">
        <f t="shared" si="176"/>
        <v>47.300000000000004</v>
      </c>
      <c r="N605" s="984">
        <f t="shared" si="177"/>
        <v>55800</v>
      </c>
      <c r="O605" s="986">
        <f t="shared" si="178"/>
        <v>156.05318404478655</v>
      </c>
      <c r="P605" s="987">
        <f t="shared" si="179"/>
        <v>146.25612316305109</v>
      </c>
      <c r="Q605" s="987">
        <f t="shared" si="180"/>
        <v>88.173547935619311</v>
      </c>
      <c r="R605" s="988">
        <f t="shared" si="181"/>
        <v>390.4828551434569</v>
      </c>
      <c r="S605" s="989">
        <v>142.9</v>
      </c>
      <c r="T605" s="990">
        <v>0</v>
      </c>
      <c r="U605" s="991">
        <v>48</v>
      </c>
      <c r="V605" s="991">
        <v>293</v>
      </c>
      <c r="W605" s="992">
        <f t="shared" si="182"/>
        <v>341</v>
      </c>
      <c r="X605" s="993">
        <f t="shared" si="183"/>
        <v>2.3862841147655702</v>
      </c>
      <c r="Y605" s="990">
        <v>1564</v>
      </c>
      <c r="Z605" s="991">
        <v>1470</v>
      </c>
      <c r="AA605" s="991">
        <v>832</v>
      </c>
      <c r="AB605" s="992">
        <f t="shared" si="184"/>
        <v>3866</v>
      </c>
      <c r="AC605" s="993">
        <f t="shared" si="185"/>
        <v>27.053883834849543</v>
      </c>
      <c r="AD605" s="994">
        <f t="shared" si="186"/>
        <v>4207</v>
      </c>
      <c r="AE605" s="995">
        <f t="shared" si="187"/>
        <v>29.440167949615113</v>
      </c>
      <c r="AF605" s="996">
        <v>85</v>
      </c>
      <c r="AG605" s="997">
        <v>71</v>
      </c>
      <c r="AH605" s="997">
        <v>7</v>
      </c>
      <c r="AI605" s="998">
        <f t="shared" si="188"/>
        <v>163</v>
      </c>
      <c r="AJ605" s="993">
        <f t="shared" si="189"/>
        <v>1.1406578026592022</v>
      </c>
    </row>
    <row r="606" spans="1:36" ht="16.5" customHeight="1">
      <c r="A606" s="999">
        <f>'09월 조업일지'!A604</f>
        <v>46288</v>
      </c>
      <c r="B606" s="1099">
        <f>'09월 조업일지'!B604</f>
        <v>46287</v>
      </c>
      <c r="C606" s="1000" t="str">
        <f>'09월 화학성분'!D604</f>
        <v>D</v>
      </c>
      <c r="D606" s="1000" t="str">
        <f>'09월 화학성분'!E604</f>
        <v>B</v>
      </c>
      <c r="E606" s="1000">
        <f>'09월 화학성분'!C604</f>
        <v>85806</v>
      </c>
      <c r="F606" s="1001" t="str">
        <f t="shared" si="175"/>
        <v>SHP355W</v>
      </c>
      <c r="G606" s="1172">
        <v>19</v>
      </c>
      <c r="H606" s="985">
        <v>23200</v>
      </c>
      <c r="I606" s="1173">
        <v>16.7</v>
      </c>
      <c r="J606" s="985">
        <v>20500</v>
      </c>
      <c r="K606" s="1173">
        <v>10.199999999999999</v>
      </c>
      <c r="L606" s="985">
        <v>12700</v>
      </c>
      <c r="M606" s="1174">
        <f t="shared" si="176"/>
        <v>45.900000000000006</v>
      </c>
      <c r="N606" s="984">
        <f t="shared" si="177"/>
        <v>56400</v>
      </c>
      <c r="O606" s="986">
        <f t="shared" si="178"/>
        <v>158.145875937287</v>
      </c>
      <c r="P606" s="987">
        <f t="shared" si="179"/>
        <v>139.74096796182687</v>
      </c>
      <c r="Q606" s="987">
        <f t="shared" si="180"/>
        <v>86.571233810497617</v>
      </c>
      <c r="R606" s="988">
        <f t="shared" si="181"/>
        <v>384.45807770961147</v>
      </c>
      <c r="S606" s="989">
        <v>146.69999999999999</v>
      </c>
      <c r="T606" s="990">
        <v>0</v>
      </c>
      <c r="U606" s="991">
        <v>5</v>
      </c>
      <c r="V606" s="991">
        <v>344</v>
      </c>
      <c r="W606" s="992">
        <f t="shared" si="182"/>
        <v>349</v>
      </c>
      <c r="X606" s="993">
        <f t="shared" si="183"/>
        <v>2.3790047716428084</v>
      </c>
      <c r="Y606" s="990">
        <v>1574</v>
      </c>
      <c r="Z606" s="991">
        <v>1380</v>
      </c>
      <c r="AA606" s="991">
        <v>832</v>
      </c>
      <c r="AB606" s="992">
        <f t="shared" si="184"/>
        <v>3786</v>
      </c>
      <c r="AC606" s="993">
        <f t="shared" si="185"/>
        <v>25.807770961145195</v>
      </c>
      <c r="AD606" s="994">
        <f t="shared" si="186"/>
        <v>4135</v>
      </c>
      <c r="AE606" s="995">
        <f t="shared" si="187"/>
        <v>28.186775732788004</v>
      </c>
      <c r="AF606" s="996">
        <v>84</v>
      </c>
      <c r="AG606" s="997">
        <v>62</v>
      </c>
      <c r="AH606" s="997">
        <v>7</v>
      </c>
      <c r="AI606" s="998">
        <f t="shared" si="188"/>
        <v>153</v>
      </c>
      <c r="AJ606" s="993">
        <f t="shared" si="189"/>
        <v>1.0429447852760736</v>
      </c>
    </row>
    <row r="607" spans="1:36" ht="16.5" customHeight="1">
      <c r="A607" s="999">
        <f>'09월 조업일지'!A605</f>
        <v>46288</v>
      </c>
      <c r="B607" s="1099">
        <f>'09월 조업일지'!B605</f>
        <v>46287</v>
      </c>
      <c r="C607" s="1000" t="str">
        <f>'09월 화학성분'!D605</f>
        <v>D</v>
      </c>
      <c r="D607" s="1000" t="str">
        <f>'09월 화학성분'!E605</f>
        <v>A</v>
      </c>
      <c r="E607" s="1000">
        <f>'09월 화학성분'!C605</f>
        <v>85807</v>
      </c>
      <c r="F607" s="1104" t="s">
        <v>953</v>
      </c>
      <c r="G607" s="1172">
        <v>19.2</v>
      </c>
      <c r="H607" s="985">
        <v>23300</v>
      </c>
      <c r="I607" s="1173">
        <v>16.600000000000001</v>
      </c>
      <c r="J607" s="985">
        <v>20500</v>
      </c>
      <c r="K607" s="1173">
        <v>8.6999999999999993</v>
      </c>
      <c r="L607" s="985">
        <v>11000</v>
      </c>
      <c r="M607" s="1174">
        <f t="shared" si="176"/>
        <v>44.5</v>
      </c>
      <c r="N607" s="984">
        <f t="shared" si="177"/>
        <v>54800</v>
      </c>
      <c r="O607" s="986">
        <f t="shared" si="178"/>
        <v>164.54802259887006</v>
      </c>
      <c r="P607" s="987">
        <f t="shared" si="179"/>
        <v>144.77401129943505</v>
      </c>
      <c r="Q607" s="987">
        <f t="shared" si="180"/>
        <v>77.683615819209038</v>
      </c>
      <c r="R607" s="988">
        <f t="shared" si="181"/>
        <v>387.00564971751413</v>
      </c>
      <c r="S607" s="989">
        <v>141.6</v>
      </c>
      <c r="T607" s="990">
        <v>0</v>
      </c>
      <c r="U607" s="991">
        <v>35</v>
      </c>
      <c r="V607" s="991">
        <v>317</v>
      </c>
      <c r="W607" s="992">
        <f t="shared" si="182"/>
        <v>352</v>
      </c>
      <c r="X607" s="993">
        <f t="shared" si="183"/>
        <v>2.4858757062146895</v>
      </c>
      <c r="Y607" s="990">
        <v>1583</v>
      </c>
      <c r="Z607" s="991">
        <v>1385</v>
      </c>
      <c r="AA607" s="991">
        <v>749</v>
      </c>
      <c r="AB607" s="992">
        <f t="shared" si="184"/>
        <v>3717</v>
      </c>
      <c r="AC607" s="993">
        <f t="shared" si="185"/>
        <v>26.25</v>
      </c>
      <c r="AD607" s="994">
        <f t="shared" si="186"/>
        <v>4069</v>
      </c>
      <c r="AE607" s="995">
        <f t="shared" si="187"/>
        <v>28.735875706214692</v>
      </c>
      <c r="AF607" s="996">
        <v>83</v>
      </c>
      <c r="AG607" s="997">
        <v>63</v>
      </c>
      <c r="AH607" s="997">
        <v>7</v>
      </c>
      <c r="AI607" s="998">
        <f t="shared" si="188"/>
        <v>153</v>
      </c>
      <c r="AJ607" s="993">
        <f t="shared" si="189"/>
        <v>1.0805084745762712</v>
      </c>
    </row>
    <row r="608" spans="1:36" ht="16.5" customHeight="1">
      <c r="A608" s="999">
        <f>'09월 조업일지'!A606</f>
        <v>46288</v>
      </c>
      <c r="B608" s="1099">
        <f>'09월 조업일지'!B606</f>
        <v>46288</v>
      </c>
      <c r="C608" s="1000" t="str">
        <f>'09월 화학성분'!D606</f>
        <v>B</v>
      </c>
      <c r="D608" s="1000" t="str">
        <f>'09월 화학성분'!E606</f>
        <v>B</v>
      </c>
      <c r="E608" s="1000">
        <f>'09월 화학성분'!C606</f>
        <v>85808</v>
      </c>
      <c r="F608" s="1001" t="str">
        <f t="shared" si="175"/>
        <v>S355JO-01</v>
      </c>
      <c r="G608" s="1172">
        <v>19.100000000000001</v>
      </c>
      <c r="H608" s="985">
        <v>22700</v>
      </c>
      <c r="I608" s="1173">
        <v>16.5</v>
      </c>
      <c r="J608" s="985">
        <v>20400</v>
      </c>
      <c r="K608" s="1173">
        <v>9.6</v>
      </c>
      <c r="L608" s="985">
        <v>12200</v>
      </c>
      <c r="M608" s="1174">
        <f t="shared" si="176"/>
        <v>45.2</v>
      </c>
      <c r="N608" s="984">
        <f t="shared" si="177"/>
        <v>55300</v>
      </c>
      <c r="O608" s="986">
        <f t="shared" si="178"/>
        <v>155.58601782042496</v>
      </c>
      <c r="P608" s="987">
        <f t="shared" si="179"/>
        <v>139.82179575051404</v>
      </c>
      <c r="Q608" s="987">
        <f t="shared" si="180"/>
        <v>83.618917066483888</v>
      </c>
      <c r="R608" s="988">
        <f t="shared" si="181"/>
        <v>379.02673063742287</v>
      </c>
      <c r="S608" s="989">
        <v>145.9</v>
      </c>
      <c r="T608" s="990">
        <v>0</v>
      </c>
      <c r="U608" s="991">
        <v>0</v>
      </c>
      <c r="V608" s="991">
        <v>359</v>
      </c>
      <c r="W608" s="992">
        <f t="shared" si="182"/>
        <v>359</v>
      </c>
      <c r="X608" s="993">
        <f t="shared" si="183"/>
        <v>2.4605894448252226</v>
      </c>
      <c r="Y608" s="990">
        <v>1550</v>
      </c>
      <c r="Z608" s="991">
        <v>1371</v>
      </c>
      <c r="AA608" s="991">
        <v>929</v>
      </c>
      <c r="AB608" s="992">
        <f t="shared" si="184"/>
        <v>3850</v>
      </c>
      <c r="AC608" s="993">
        <f t="shared" si="185"/>
        <v>26.387936943111718</v>
      </c>
      <c r="AD608" s="994">
        <f t="shared" si="186"/>
        <v>4209</v>
      </c>
      <c r="AE608" s="995">
        <f t="shared" si="187"/>
        <v>28.848526387936943</v>
      </c>
      <c r="AF608" s="996">
        <v>83</v>
      </c>
      <c r="AG608" s="997">
        <v>64</v>
      </c>
      <c r="AH608" s="997">
        <v>9</v>
      </c>
      <c r="AI608" s="998">
        <f t="shared" si="188"/>
        <v>156</v>
      </c>
      <c r="AJ608" s="993">
        <f t="shared" si="189"/>
        <v>1.0692254969156956</v>
      </c>
    </row>
    <row r="609" spans="1:36" ht="16.5" customHeight="1">
      <c r="A609" s="999">
        <f>'09월 조업일지'!A607</f>
        <v>46288</v>
      </c>
      <c r="B609" s="1099">
        <f>'09월 조업일지'!B607</f>
        <v>46288</v>
      </c>
      <c r="C609" s="1000" t="str">
        <f>'09월 화학성분'!D607</f>
        <v>B</v>
      </c>
      <c r="D609" s="1000" t="str">
        <f>'09월 화학성분'!E607</f>
        <v>A</v>
      </c>
      <c r="E609" s="1000">
        <f>'09월 화학성분'!C607</f>
        <v>85809</v>
      </c>
      <c r="F609" s="1001" t="str">
        <f t="shared" si="175"/>
        <v>S355JO-01</v>
      </c>
      <c r="G609" s="1172">
        <v>19.399999999999999</v>
      </c>
      <c r="H609" s="985">
        <v>22800</v>
      </c>
      <c r="I609" s="1173">
        <v>17.2</v>
      </c>
      <c r="J609" s="985">
        <v>21000</v>
      </c>
      <c r="K609" s="1173">
        <v>8.8000000000000007</v>
      </c>
      <c r="L609" s="985">
        <v>11100</v>
      </c>
      <c r="M609" s="1174">
        <f t="shared" si="176"/>
        <v>45.399999999999991</v>
      </c>
      <c r="N609" s="984">
        <f t="shared" si="177"/>
        <v>54900</v>
      </c>
      <c r="O609" s="986">
        <f t="shared" si="178"/>
        <v>156.91672401927048</v>
      </c>
      <c r="P609" s="987">
        <f t="shared" si="179"/>
        <v>144.52856159669648</v>
      </c>
      <c r="Q609" s="987">
        <f t="shared" si="180"/>
        <v>76.393668272539571</v>
      </c>
      <c r="R609" s="988">
        <f t="shared" si="181"/>
        <v>377.83895388850652</v>
      </c>
      <c r="S609" s="989">
        <v>145.30000000000001</v>
      </c>
      <c r="T609" s="990">
        <v>0</v>
      </c>
      <c r="U609" s="991">
        <v>0</v>
      </c>
      <c r="V609" s="991">
        <v>321</v>
      </c>
      <c r="W609" s="992">
        <f t="shared" si="182"/>
        <v>321</v>
      </c>
      <c r="X609" s="993">
        <f t="shared" si="183"/>
        <v>2.2092222986923606</v>
      </c>
      <c r="Y609" s="990">
        <v>1621</v>
      </c>
      <c r="Z609" s="991">
        <v>1421</v>
      </c>
      <c r="AA609" s="991">
        <v>882</v>
      </c>
      <c r="AB609" s="992">
        <f t="shared" si="184"/>
        <v>3924</v>
      </c>
      <c r="AC609" s="993">
        <f t="shared" si="185"/>
        <v>27.006194081211284</v>
      </c>
      <c r="AD609" s="994">
        <f t="shared" si="186"/>
        <v>4245</v>
      </c>
      <c r="AE609" s="995">
        <f t="shared" si="187"/>
        <v>29.215416379903644</v>
      </c>
      <c r="AF609" s="996">
        <v>82</v>
      </c>
      <c r="AG609" s="997">
        <v>63</v>
      </c>
      <c r="AH609" s="997">
        <v>7</v>
      </c>
      <c r="AI609" s="998">
        <f t="shared" si="188"/>
        <v>152</v>
      </c>
      <c r="AJ609" s="993">
        <f t="shared" si="189"/>
        <v>1.046111493461803</v>
      </c>
    </row>
    <row r="610" spans="1:36" ht="16.5" customHeight="1">
      <c r="A610" s="999">
        <f>'09월 조업일지'!A608</f>
        <v>46288</v>
      </c>
      <c r="B610" s="1099">
        <f>'09월 조업일지'!B608</f>
        <v>46288</v>
      </c>
      <c r="C610" s="1000" t="str">
        <f>'09월 화학성분'!D608</f>
        <v>B</v>
      </c>
      <c r="D610" s="1000" t="str">
        <f>'09월 화학성분'!E608</f>
        <v>B</v>
      </c>
      <c r="E610" s="1000">
        <f>'09월 화학성분'!C608</f>
        <v>85810</v>
      </c>
      <c r="F610" s="1104" t="s">
        <v>786</v>
      </c>
      <c r="G610" s="1172">
        <v>19.100000000000001</v>
      </c>
      <c r="H610" s="985">
        <v>22600</v>
      </c>
      <c r="I610" s="1173">
        <v>17.2</v>
      </c>
      <c r="J610" s="985">
        <v>20700</v>
      </c>
      <c r="K610" s="1173">
        <v>9.1</v>
      </c>
      <c r="L610" s="985">
        <v>11600</v>
      </c>
      <c r="M610" s="1174">
        <f t="shared" si="176"/>
        <v>45.4</v>
      </c>
      <c r="N610" s="984">
        <f t="shared" si="177"/>
        <v>54900</v>
      </c>
      <c r="O610" s="986">
        <f t="shared" si="178"/>
        <v>153.32428765264586</v>
      </c>
      <c r="P610" s="987">
        <f t="shared" si="179"/>
        <v>140.43419267299865</v>
      </c>
      <c r="Q610" s="987">
        <f t="shared" si="180"/>
        <v>78.697421981004069</v>
      </c>
      <c r="R610" s="988">
        <f t="shared" si="181"/>
        <v>372.45590230664862</v>
      </c>
      <c r="S610" s="989">
        <v>147.4</v>
      </c>
      <c r="T610" s="990">
        <v>0</v>
      </c>
      <c r="U610" s="991">
        <v>23</v>
      </c>
      <c r="V610" s="991">
        <v>304</v>
      </c>
      <c r="W610" s="992">
        <f t="shared" si="182"/>
        <v>327</v>
      </c>
      <c r="X610" s="993">
        <f t="shared" si="183"/>
        <v>2.2184531886024423</v>
      </c>
      <c r="Y610" s="990">
        <v>1581</v>
      </c>
      <c r="Z610" s="991">
        <v>1440</v>
      </c>
      <c r="AA610" s="991">
        <v>791</v>
      </c>
      <c r="AB610" s="992">
        <f t="shared" si="184"/>
        <v>3812</v>
      </c>
      <c r="AC610" s="993">
        <f t="shared" si="185"/>
        <v>25.861601085481681</v>
      </c>
      <c r="AD610" s="994">
        <f t="shared" si="186"/>
        <v>4139</v>
      </c>
      <c r="AE610" s="995">
        <f t="shared" si="187"/>
        <v>28.080054274084123</v>
      </c>
      <c r="AF610" s="996">
        <v>86</v>
      </c>
      <c r="AG610" s="997">
        <v>61</v>
      </c>
      <c r="AH610" s="997">
        <v>8</v>
      </c>
      <c r="AI610" s="998">
        <f t="shared" si="188"/>
        <v>155</v>
      </c>
      <c r="AJ610" s="993">
        <f t="shared" si="189"/>
        <v>1.0515603799185889</v>
      </c>
    </row>
    <row r="611" spans="1:36" ht="16.5" customHeight="1">
      <c r="A611" s="999">
        <f>'09월 조업일지'!A609</f>
        <v>46288</v>
      </c>
      <c r="B611" s="1099">
        <f>'09월 조업일지'!B609</f>
        <v>46288</v>
      </c>
      <c r="C611" s="1000" t="str">
        <f>'09월 화학성분'!D609</f>
        <v>B</v>
      </c>
      <c r="D611" s="1000" t="str">
        <f>'09월 화학성분'!E609</f>
        <v>A</v>
      </c>
      <c r="E611" s="1000">
        <f>'09월 화학성분'!C609</f>
        <v>85811</v>
      </c>
      <c r="F611" s="1001" t="str">
        <f t="shared" si="175"/>
        <v>SS400-01</v>
      </c>
      <c r="G611" s="1172">
        <v>19</v>
      </c>
      <c r="H611" s="985">
        <v>23000</v>
      </c>
      <c r="I611" s="1173">
        <v>17.3</v>
      </c>
      <c r="J611" s="985">
        <v>20700</v>
      </c>
      <c r="K611" s="1173">
        <v>9</v>
      </c>
      <c r="L611" s="985">
        <v>11300</v>
      </c>
      <c r="M611" s="1174">
        <f t="shared" si="176"/>
        <v>45.3</v>
      </c>
      <c r="N611" s="984">
        <f t="shared" si="177"/>
        <v>55000</v>
      </c>
      <c r="O611" s="986">
        <f t="shared" si="178"/>
        <v>157.10382513661202</v>
      </c>
      <c r="P611" s="987">
        <f t="shared" si="179"/>
        <v>141.3934426229508</v>
      </c>
      <c r="Q611" s="987">
        <f t="shared" si="180"/>
        <v>77.185792349726768</v>
      </c>
      <c r="R611" s="988">
        <f t="shared" si="181"/>
        <v>375.68306010928961</v>
      </c>
      <c r="S611" s="989">
        <v>146.4</v>
      </c>
      <c r="T611" s="990">
        <v>0</v>
      </c>
      <c r="U611" s="991">
        <v>79</v>
      </c>
      <c r="V611" s="991">
        <v>257</v>
      </c>
      <c r="W611" s="992">
        <f t="shared" si="182"/>
        <v>336</v>
      </c>
      <c r="X611" s="993">
        <f t="shared" si="183"/>
        <v>2.2950819672131146</v>
      </c>
      <c r="Y611" s="990">
        <v>1549</v>
      </c>
      <c r="Z611" s="991">
        <v>1389</v>
      </c>
      <c r="AA611" s="991">
        <v>882</v>
      </c>
      <c r="AB611" s="992">
        <f t="shared" si="184"/>
        <v>3820</v>
      </c>
      <c r="AC611" s="993">
        <f t="shared" si="185"/>
        <v>26.092896174863387</v>
      </c>
      <c r="AD611" s="994">
        <f t="shared" si="186"/>
        <v>4156</v>
      </c>
      <c r="AE611" s="995">
        <f t="shared" si="187"/>
        <v>28.387978142076502</v>
      </c>
      <c r="AF611" s="996">
        <v>79</v>
      </c>
      <c r="AG611" s="997">
        <v>66</v>
      </c>
      <c r="AH611" s="997">
        <v>7</v>
      </c>
      <c r="AI611" s="998">
        <f t="shared" si="188"/>
        <v>152</v>
      </c>
      <c r="AJ611" s="993">
        <f t="shared" si="189"/>
        <v>1.0382513661202186</v>
      </c>
    </row>
    <row r="612" spans="1:36" ht="16.5" customHeight="1">
      <c r="A612" s="999">
        <f>'09월 조업일지'!A610</f>
        <v>46288</v>
      </c>
      <c r="B612" s="1099">
        <f>'09월 조업일지'!B610</f>
        <v>46288</v>
      </c>
      <c r="C612" s="1000" t="str">
        <f>'09월 화학성분'!D610</f>
        <v>B</v>
      </c>
      <c r="D612" s="1000" t="str">
        <f>'09월 화학성분'!E610</f>
        <v>B</v>
      </c>
      <c r="E612" s="1000">
        <f>'09월 화학성분'!C610</f>
        <v>85812</v>
      </c>
      <c r="F612" s="1001" t="str">
        <f t="shared" si="175"/>
        <v>SS400-01</v>
      </c>
      <c r="G612" s="1172">
        <v>18.5</v>
      </c>
      <c r="H612" s="985">
        <v>22300</v>
      </c>
      <c r="I612" s="1173">
        <v>16.8</v>
      </c>
      <c r="J612" s="985">
        <v>20500</v>
      </c>
      <c r="K612" s="1173">
        <v>9.6</v>
      </c>
      <c r="L612" s="985">
        <v>12400</v>
      </c>
      <c r="M612" s="1174">
        <f t="shared" si="176"/>
        <v>44.9</v>
      </c>
      <c r="N612" s="984">
        <f t="shared" si="177"/>
        <v>55200</v>
      </c>
      <c r="O612" s="986">
        <f t="shared" si="178"/>
        <v>150.98171970209887</v>
      </c>
      <c r="P612" s="987">
        <f t="shared" si="179"/>
        <v>138.79485443466487</v>
      </c>
      <c r="Q612" s="987">
        <f t="shared" si="180"/>
        <v>83.953960731211922</v>
      </c>
      <c r="R612" s="988">
        <f t="shared" si="181"/>
        <v>373.73053486797568</v>
      </c>
      <c r="S612" s="989">
        <v>147.69999999999999</v>
      </c>
      <c r="T612" s="990">
        <v>0</v>
      </c>
      <c r="U612" s="991">
        <v>4</v>
      </c>
      <c r="V612" s="991">
        <v>333</v>
      </c>
      <c r="W612" s="992">
        <f t="shared" si="182"/>
        <v>337</v>
      </c>
      <c r="X612" s="993">
        <f t="shared" si="183"/>
        <v>2.2816519972918079</v>
      </c>
      <c r="Y612" s="990">
        <v>1471</v>
      </c>
      <c r="Z612" s="991">
        <v>1395</v>
      </c>
      <c r="AA612" s="991">
        <v>762</v>
      </c>
      <c r="AB612" s="992">
        <f t="shared" si="184"/>
        <v>3628</v>
      </c>
      <c r="AC612" s="993">
        <f t="shared" si="185"/>
        <v>24.563303994583617</v>
      </c>
      <c r="AD612" s="994">
        <f t="shared" si="186"/>
        <v>3965</v>
      </c>
      <c r="AE612" s="995">
        <f t="shared" si="187"/>
        <v>26.844955991875427</v>
      </c>
      <c r="AF612" s="996">
        <v>78</v>
      </c>
      <c r="AG612" s="997">
        <v>67</v>
      </c>
      <c r="AH612" s="997">
        <v>6</v>
      </c>
      <c r="AI612" s="998">
        <f t="shared" si="188"/>
        <v>151</v>
      </c>
      <c r="AJ612" s="993">
        <f t="shared" si="189"/>
        <v>1.0223425863236291</v>
      </c>
    </row>
    <row r="613" spans="1:36" ht="16.5" customHeight="1">
      <c r="A613" s="999">
        <f>'09월 조업일지'!A611</f>
        <v>46288</v>
      </c>
      <c r="B613" s="1099">
        <f>'09월 조업일지'!B611</f>
        <v>46288</v>
      </c>
      <c r="C613" s="1000" t="str">
        <f>'09월 화학성분'!D611</f>
        <v>B</v>
      </c>
      <c r="D613" s="1000" t="str">
        <f>'09월 화학성분'!E611</f>
        <v>A</v>
      </c>
      <c r="E613" s="1000">
        <f>'09월 화학성분'!C611</f>
        <v>85813</v>
      </c>
      <c r="F613" s="1001" t="str">
        <f t="shared" si="175"/>
        <v>SS400-01</v>
      </c>
      <c r="G613" s="1172">
        <v>19.899999999999999</v>
      </c>
      <c r="H613" s="985">
        <v>23300</v>
      </c>
      <c r="I613" s="1173">
        <v>17</v>
      </c>
      <c r="J613" s="985">
        <v>20600</v>
      </c>
      <c r="K613" s="1173">
        <v>7.9</v>
      </c>
      <c r="L613" s="985">
        <v>10100</v>
      </c>
      <c r="M613" s="1174">
        <f t="shared" si="176"/>
        <v>44.8</v>
      </c>
      <c r="N613" s="984">
        <f t="shared" si="177"/>
        <v>54000</v>
      </c>
      <c r="O613" s="986">
        <f t="shared" si="178"/>
        <v>159.37072503419975</v>
      </c>
      <c r="P613" s="987">
        <f t="shared" si="179"/>
        <v>140.90287277701779</v>
      </c>
      <c r="Q613" s="987">
        <f t="shared" si="180"/>
        <v>69.083447332421343</v>
      </c>
      <c r="R613" s="988">
        <f t="shared" si="181"/>
        <v>369.35704514363886</v>
      </c>
      <c r="S613" s="989">
        <v>146.19999999999999</v>
      </c>
      <c r="T613" s="990">
        <v>0</v>
      </c>
      <c r="U613" s="991">
        <v>66</v>
      </c>
      <c r="V613" s="991">
        <v>248</v>
      </c>
      <c r="W613" s="992">
        <f t="shared" si="182"/>
        <v>314</v>
      </c>
      <c r="X613" s="993">
        <f t="shared" si="183"/>
        <v>2.1477428180574556</v>
      </c>
      <c r="Y613" s="990">
        <v>1615</v>
      </c>
      <c r="Z613" s="991">
        <v>1379</v>
      </c>
      <c r="AA613" s="991">
        <v>829</v>
      </c>
      <c r="AB613" s="992">
        <f t="shared" si="184"/>
        <v>3823</v>
      </c>
      <c r="AC613" s="993">
        <f t="shared" si="185"/>
        <v>26.149110807113544</v>
      </c>
      <c r="AD613" s="994">
        <f t="shared" si="186"/>
        <v>4137</v>
      </c>
      <c r="AE613" s="995">
        <f t="shared" si="187"/>
        <v>28.296853625171</v>
      </c>
      <c r="AF613" s="996">
        <v>83</v>
      </c>
      <c r="AG613" s="997">
        <v>65</v>
      </c>
      <c r="AH613" s="997">
        <v>8</v>
      </c>
      <c r="AI613" s="998">
        <f t="shared" si="188"/>
        <v>156</v>
      </c>
      <c r="AJ613" s="993">
        <f t="shared" si="189"/>
        <v>1.0670314637482901</v>
      </c>
    </row>
    <row r="614" spans="1:36" ht="16.5" customHeight="1">
      <c r="A614" s="999">
        <f>'09월 조업일지'!A612</f>
        <v>46288</v>
      </c>
      <c r="B614" s="1099">
        <f>'09월 조업일지'!B612</f>
        <v>46288</v>
      </c>
      <c r="C614" s="1000" t="str">
        <f>'09월 화학성분'!D612</f>
        <v>B</v>
      </c>
      <c r="D614" s="1000" t="str">
        <f>'09월 화학성분'!E612</f>
        <v>B</v>
      </c>
      <c r="E614" s="1000">
        <f>'09월 화학성분'!C612</f>
        <v>85814</v>
      </c>
      <c r="F614" s="1001" t="str">
        <f t="shared" si="175"/>
        <v>SS400-01</v>
      </c>
      <c r="G614" s="1172">
        <v>18.8</v>
      </c>
      <c r="H614" s="985">
        <v>22900</v>
      </c>
      <c r="I614" s="1173">
        <v>16.3</v>
      </c>
      <c r="J614" s="985">
        <v>20300</v>
      </c>
      <c r="K614" s="1173">
        <v>10</v>
      </c>
      <c r="L614" s="985">
        <v>12700</v>
      </c>
      <c r="M614" s="1174">
        <f t="shared" si="176"/>
        <v>45.1</v>
      </c>
      <c r="N614" s="984">
        <f t="shared" si="177"/>
        <v>55900</v>
      </c>
      <c r="O614" s="986">
        <f t="shared" si="178"/>
        <v>156.31399317406144</v>
      </c>
      <c r="P614" s="987">
        <f t="shared" si="179"/>
        <v>138.5665529010239</v>
      </c>
      <c r="Q614" s="987">
        <f t="shared" si="180"/>
        <v>86.689419795221838</v>
      </c>
      <c r="R614" s="988">
        <f t="shared" si="181"/>
        <v>381.56996587030721</v>
      </c>
      <c r="S614" s="989">
        <v>146.5</v>
      </c>
      <c r="T614" s="990">
        <v>0</v>
      </c>
      <c r="U614" s="991">
        <v>140</v>
      </c>
      <c r="V614" s="991">
        <v>244</v>
      </c>
      <c r="W614" s="992">
        <f t="shared" si="182"/>
        <v>384</v>
      </c>
      <c r="X614" s="993">
        <f t="shared" si="183"/>
        <v>2.6211604095563139</v>
      </c>
      <c r="Y614" s="990">
        <v>1539</v>
      </c>
      <c r="Z614" s="991">
        <v>1336</v>
      </c>
      <c r="AA614" s="991">
        <v>780</v>
      </c>
      <c r="AB614" s="992">
        <f t="shared" si="184"/>
        <v>3655</v>
      </c>
      <c r="AC614" s="993">
        <f t="shared" si="185"/>
        <v>24.948805460750854</v>
      </c>
      <c r="AD614" s="994">
        <f t="shared" si="186"/>
        <v>4039</v>
      </c>
      <c r="AE614" s="995">
        <f t="shared" si="187"/>
        <v>27.569965870307168</v>
      </c>
      <c r="AF614" s="996">
        <v>80</v>
      </c>
      <c r="AG614" s="997">
        <v>62</v>
      </c>
      <c r="AH614" s="997">
        <v>8</v>
      </c>
      <c r="AI614" s="998">
        <f t="shared" si="188"/>
        <v>150</v>
      </c>
      <c r="AJ614" s="993">
        <f t="shared" si="189"/>
        <v>1.0238907849829351</v>
      </c>
    </row>
    <row r="615" spans="1:36" ht="16.5" customHeight="1">
      <c r="A615" s="999">
        <f>'09월 조업일지'!A613</f>
        <v>46288</v>
      </c>
      <c r="B615" s="1099">
        <f>'09월 조업일지'!B613</f>
        <v>46288</v>
      </c>
      <c r="C615" s="1000" t="str">
        <f>'09월 화학성분'!D613</f>
        <v>B</v>
      </c>
      <c r="D615" s="1000" t="str">
        <f>'09월 화학성분'!E613</f>
        <v>A</v>
      </c>
      <c r="E615" s="1000">
        <f>'09월 화학성분'!C613</f>
        <v>85815</v>
      </c>
      <c r="F615" s="1001" t="str">
        <f t="shared" si="175"/>
        <v>SS400-01</v>
      </c>
      <c r="G615" s="1172">
        <v>19.3</v>
      </c>
      <c r="H615" s="985">
        <v>22800</v>
      </c>
      <c r="I615" s="1173">
        <v>16.899999999999999</v>
      </c>
      <c r="J615" s="985">
        <v>20800</v>
      </c>
      <c r="K615" s="1173">
        <v>11.1</v>
      </c>
      <c r="L615" s="985">
        <v>14200</v>
      </c>
      <c r="M615" s="1174">
        <f t="shared" si="176"/>
        <v>47.300000000000004</v>
      </c>
      <c r="N615" s="984">
        <f t="shared" si="177"/>
        <v>57800</v>
      </c>
      <c r="O615" s="986">
        <f t="shared" si="178"/>
        <v>155.73770491803279</v>
      </c>
      <c r="P615" s="987">
        <f t="shared" si="179"/>
        <v>142.07650273224044</v>
      </c>
      <c r="Q615" s="987">
        <f t="shared" si="180"/>
        <v>96.994535519125677</v>
      </c>
      <c r="R615" s="988">
        <f t="shared" si="181"/>
        <v>394.80874316939895</v>
      </c>
      <c r="S615" s="989">
        <v>146.4</v>
      </c>
      <c r="T615" s="990">
        <v>0</v>
      </c>
      <c r="U615" s="991">
        <v>47</v>
      </c>
      <c r="V615" s="991">
        <v>578</v>
      </c>
      <c r="W615" s="992">
        <f t="shared" si="182"/>
        <v>625</v>
      </c>
      <c r="X615" s="993">
        <f t="shared" si="183"/>
        <v>4.2691256830601088</v>
      </c>
      <c r="Y615" s="990">
        <v>1569</v>
      </c>
      <c r="Z615" s="991">
        <v>1408</v>
      </c>
      <c r="AA615" s="991">
        <v>1519</v>
      </c>
      <c r="AB615" s="992">
        <f t="shared" si="184"/>
        <v>4496</v>
      </c>
      <c r="AC615" s="993">
        <f t="shared" si="185"/>
        <v>30.710382513661202</v>
      </c>
      <c r="AD615" s="994">
        <f t="shared" si="186"/>
        <v>5121</v>
      </c>
      <c r="AE615" s="995">
        <f t="shared" si="187"/>
        <v>34.979508196721312</v>
      </c>
      <c r="AF615" s="996">
        <v>80</v>
      </c>
      <c r="AG615" s="997">
        <v>63</v>
      </c>
      <c r="AH615" s="997">
        <v>27</v>
      </c>
      <c r="AI615" s="998">
        <f t="shared" si="188"/>
        <v>170</v>
      </c>
      <c r="AJ615" s="993">
        <f t="shared" si="189"/>
        <v>1.1612021857923496</v>
      </c>
    </row>
    <row r="616" spans="1:36" ht="16.5" customHeight="1">
      <c r="A616" s="999">
        <f>'09월 조업일지'!A614</f>
        <v>46288</v>
      </c>
      <c r="B616" s="1099">
        <f>'09월 조업일지'!B614</f>
        <v>46288</v>
      </c>
      <c r="C616" s="1000" t="str">
        <f>'09월 화학성분'!D614</f>
        <v>B</v>
      </c>
      <c r="D616" s="1000" t="str">
        <f>'09월 화학성분'!E614</f>
        <v>B</v>
      </c>
      <c r="E616" s="1000">
        <f>'09월 화학성분'!C614</f>
        <v>85816</v>
      </c>
      <c r="F616" s="1001" t="str">
        <f t="shared" si="175"/>
        <v>SS400-01</v>
      </c>
      <c r="G616" s="1172">
        <v>19.399999999999999</v>
      </c>
      <c r="H616" s="985">
        <v>24000</v>
      </c>
      <c r="I616" s="1173">
        <v>17</v>
      </c>
      <c r="J616" s="985">
        <v>20800</v>
      </c>
      <c r="K616" s="1173">
        <v>8.9</v>
      </c>
      <c r="L616" s="985">
        <v>11400</v>
      </c>
      <c r="M616" s="1174">
        <f t="shared" si="176"/>
        <v>45.3</v>
      </c>
      <c r="N616" s="984">
        <f t="shared" si="177"/>
        <v>56200</v>
      </c>
      <c r="O616" s="986">
        <f t="shared" si="178"/>
        <v>163.71077762619373</v>
      </c>
      <c r="P616" s="987">
        <f t="shared" si="179"/>
        <v>141.88267394270125</v>
      </c>
      <c r="Q616" s="987">
        <f t="shared" si="180"/>
        <v>77.762619372442018</v>
      </c>
      <c r="R616" s="988">
        <f t="shared" si="181"/>
        <v>383.35607094133701</v>
      </c>
      <c r="S616" s="989">
        <v>146.6</v>
      </c>
      <c r="T616" s="990">
        <v>0</v>
      </c>
      <c r="U616" s="991">
        <v>92</v>
      </c>
      <c r="V616" s="991">
        <v>320</v>
      </c>
      <c r="W616" s="992">
        <f t="shared" si="182"/>
        <v>412</v>
      </c>
      <c r="X616" s="993">
        <f t="shared" si="183"/>
        <v>2.8103683492496589</v>
      </c>
      <c r="Y616" s="990">
        <v>1613</v>
      </c>
      <c r="Z616" s="991">
        <v>1393</v>
      </c>
      <c r="AA616" s="991">
        <v>942</v>
      </c>
      <c r="AB616" s="992">
        <f t="shared" si="184"/>
        <v>3948</v>
      </c>
      <c r="AC616" s="993">
        <f t="shared" si="185"/>
        <v>26.930422919508867</v>
      </c>
      <c r="AD616" s="994">
        <f t="shared" si="186"/>
        <v>4360</v>
      </c>
      <c r="AE616" s="995">
        <f t="shared" si="187"/>
        <v>29.740791268758528</v>
      </c>
      <c r="AF616" s="996">
        <v>82</v>
      </c>
      <c r="AG616" s="997">
        <v>64</v>
      </c>
      <c r="AH616" s="997">
        <v>8</v>
      </c>
      <c r="AI616" s="998">
        <f t="shared" si="188"/>
        <v>154</v>
      </c>
      <c r="AJ616" s="993">
        <f t="shared" si="189"/>
        <v>1.0504774897680764</v>
      </c>
    </row>
    <row r="617" spans="1:36" ht="16.5" customHeight="1">
      <c r="A617" s="999">
        <f>'09월 조업일지'!A615</f>
        <v>46288</v>
      </c>
      <c r="B617" s="1099">
        <f>'09월 조업일지'!B615</f>
        <v>46288</v>
      </c>
      <c r="C617" s="1000" t="str">
        <f>'09월 화학성분'!D615</f>
        <v>B</v>
      </c>
      <c r="D617" s="1000" t="str">
        <f>'09월 화학성분'!E615</f>
        <v>A</v>
      </c>
      <c r="E617" s="1000">
        <f>'09월 화학성분'!C615</f>
        <v>85817</v>
      </c>
      <c r="F617" s="1001" t="str">
        <f t="shared" si="175"/>
        <v>SS400-01</v>
      </c>
      <c r="G617" s="1172">
        <v>20.9</v>
      </c>
      <c r="H617" s="985">
        <v>25200</v>
      </c>
      <c r="I617" s="1173">
        <v>16.7</v>
      </c>
      <c r="J617" s="985">
        <v>20500</v>
      </c>
      <c r="K617" s="1173">
        <v>7.7</v>
      </c>
      <c r="L617" s="985">
        <v>9700</v>
      </c>
      <c r="M617" s="1174">
        <f t="shared" si="176"/>
        <v>45.3</v>
      </c>
      <c r="N617" s="984">
        <f t="shared" si="177"/>
        <v>55400</v>
      </c>
      <c r="O617" s="986">
        <f t="shared" si="178"/>
        <v>177.46478873239437</v>
      </c>
      <c r="P617" s="987">
        <f t="shared" si="179"/>
        <v>144.36619718309859</v>
      </c>
      <c r="Q617" s="987">
        <f t="shared" si="180"/>
        <v>68.309859154929583</v>
      </c>
      <c r="R617" s="988">
        <f t="shared" si="181"/>
        <v>390.14084507042259</v>
      </c>
      <c r="S617" s="989">
        <v>142</v>
      </c>
      <c r="T617" s="990">
        <v>0</v>
      </c>
      <c r="U617" s="991">
        <v>100</v>
      </c>
      <c r="V617" s="991">
        <v>470</v>
      </c>
      <c r="W617" s="992">
        <f t="shared" si="182"/>
        <v>570</v>
      </c>
      <c r="X617" s="993">
        <f t="shared" si="183"/>
        <v>4.0140845070422539</v>
      </c>
      <c r="Y617" s="990">
        <v>1736</v>
      </c>
      <c r="Z617" s="991">
        <v>1379</v>
      </c>
      <c r="AA617" s="991">
        <v>812</v>
      </c>
      <c r="AB617" s="992">
        <f t="shared" si="184"/>
        <v>3927</v>
      </c>
      <c r="AC617" s="993">
        <f t="shared" si="185"/>
        <v>27.654929577464788</v>
      </c>
      <c r="AD617" s="994">
        <f t="shared" si="186"/>
        <v>4497</v>
      </c>
      <c r="AE617" s="995">
        <f t="shared" si="187"/>
        <v>31.669014084507044</v>
      </c>
      <c r="AF617" s="996">
        <v>82</v>
      </c>
      <c r="AG617" s="997">
        <v>64</v>
      </c>
      <c r="AH617" s="997">
        <v>7</v>
      </c>
      <c r="AI617" s="998">
        <f t="shared" si="188"/>
        <v>153</v>
      </c>
      <c r="AJ617" s="993">
        <f t="shared" si="189"/>
        <v>1.0774647887323943</v>
      </c>
    </row>
    <row r="618" spans="1:36" ht="16.5" customHeight="1">
      <c r="A618" s="999">
        <f>'09월 조업일지'!A616</f>
        <v>46288</v>
      </c>
      <c r="B618" s="1099">
        <f>'09월 조업일지'!B616</f>
        <v>46288</v>
      </c>
      <c r="C618" s="1000" t="str">
        <f>'09월 화학성분'!D616</f>
        <v>C</v>
      </c>
      <c r="D618" s="1000" t="str">
        <f>'09월 화학성분'!E616</f>
        <v>B</v>
      </c>
      <c r="E618" s="1000">
        <f>'09월 화학성분'!C616</f>
        <v>85818</v>
      </c>
      <c r="F618" s="1001" t="str">
        <f t="shared" si="175"/>
        <v>SS400-01</v>
      </c>
      <c r="G618" s="1172">
        <v>18.7</v>
      </c>
      <c r="H618" s="985">
        <v>22700</v>
      </c>
      <c r="I618" s="1173">
        <v>17</v>
      </c>
      <c r="J618" s="985">
        <v>20400</v>
      </c>
      <c r="K618" s="1173">
        <v>10</v>
      </c>
      <c r="L618" s="985">
        <v>12600</v>
      </c>
      <c r="M618" s="1174">
        <f t="shared" si="176"/>
        <v>45.7</v>
      </c>
      <c r="N618" s="984">
        <f t="shared" si="177"/>
        <v>55700</v>
      </c>
      <c r="O618" s="986">
        <f t="shared" si="178"/>
        <v>158.07799442896936</v>
      </c>
      <c r="P618" s="987">
        <f t="shared" si="179"/>
        <v>142.06128133704735</v>
      </c>
      <c r="Q618" s="987">
        <f t="shared" si="180"/>
        <v>87.743732590529248</v>
      </c>
      <c r="R618" s="988">
        <f t="shared" si="181"/>
        <v>387.88300835654593</v>
      </c>
      <c r="S618" s="989">
        <v>143.6</v>
      </c>
      <c r="T618" s="990">
        <v>0</v>
      </c>
      <c r="U618" s="991">
        <v>66</v>
      </c>
      <c r="V618" s="991">
        <v>563</v>
      </c>
      <c r="W618" s="992">
        <f t="shared" si="182"/>
        <v>629</v>
      </c>
      <c r="X618" s="993">
        <f t="shared" si="183"/>
        <v>4.3802228412256268</v>
      </c>
      <c r="Y618" s="990">
        <v>1539</v>
      </c>
      <c r="Z618" s="991">
        <v>1376</v>
      </c>
      <c r="AA618" s="991">
        <v>1541</v>
      </c>
      <c r="AB618" s="992">
        <f t="shared" si="184"/>
        <v>4456</v>
      </c>
      <c r="AC618" s="993">
        <f t="shared" si="185"/>
        <v>31.030640668523677</v>
      </c>
      <c r="AD618" s="994">
        <f t="shared" si="186"/>
        <v>5085</v>
      </c>
      <c r="AE618" s="995">
        <f t="shared" si="187"/>
        <v>35.410863509749305</v>
      </c>
      <c r="AF618" s="996">
        <v>80</v>
      </c>
      <c r="AG618" s="997">
        <v>66</v>
      </c>
      <c r="AH618" s="997">
        <v>18</v>
      </c>
      <c r="AI618" s="998">
        <f t="shared" si="188"/>
        <v>164</v>
      </c>
      <c r="AJ618" s="993">
        <f t="shared" si="189"/>
        <v>1.1420612813370474</v>
      </c>
    </row>
    <row r="619" spans="1:36" ht="16.5" customHeight="1">
      <c r="A619" s="999">
        <f>'09월 조업일지'!A617</f>
        <v>46288</v>
      </c>
      <c r="B619" s="1099">
        <f>'09월 조업일지'!B617</f>
        <v>46288</v>
      </c>
      <c r="C619" s="1000" t="str">
        <f>'09월 화학성분'!D617</f>
        <v>C</v>
      </c>
      <c r="D619" s="1000" t="str">
        <f>'09월 화학성분'!E617</f>
        <v>A</v>
      </c>
      <c r="E619" s="1000">
        <f>'09월 화학성분'!C617</f>
        <v>85819</v>
      </c>
      <c r="F619" s="1001" t="str">
        <f t="shared" si="175"/>
        <v>SS400-01</v>
      </c>
      <c r="G619" s="1172">
        <v>20.9</v>
      </c>
      <c r="H619" s="985">
        <v>23700</v>
      </c>
      <c r="I619" s="1173">
        <v>17.5</v>
      </c>
      <c r="J619" s="985">
        <v>20900</v>
      </c>
      <c r="K619" s="1173">
        <v>8</v>
      </c>
      <c r="L619" s="985">
        <v>10200</v>
      </c>
      <c r="M619" s="1174">
        <f t="shared" si="176"/>
        <v>46.4</v>
      </c>
      <c r="N619" s="984">
        <f t="shared" si="177"/>
        <v>54800</v>
      </c>
      <c r="O619" s="986">
        <f t="shared" si="178"/>
        <v>165.04178272980502</v>
      </c>
      <c r="P619" s="987">
        <f t="shared" si="179"/>
        <v>145.54317548746519</v>
      </c>
      <c r="Q619" s="987">
        <f t="shared" si="180"/>
        <v>71.030640668523674</v>
      </c>
      <c r="R619" s="988">
        <f t="shared" si="181"/>
        <v>381.61559888579393</v>
      </c>
      <c r="S619" s="989">
        <v>143.6</v>
      </c>
      <c r="T619" s="990">
        <v>0</v>
      </c>
      <c r="U619" s="991">
        <v>153</v>
      </c>
      <c r="V619" s="991">
        <v>195</v>
      </c>
      <c r="W619" s="992">
        <f t="shared" si="182"/>
        <v>348</v>
      </c>
      <c r="X619" s="993">
        <f t="shared" si="183"/>
        <v>2.4233983286908081</v>
      </c>
      <c r="Y619" s="990">
        <v>1718</v>
      </c>
      <c r="Z619" s="991">
        <v>1448</v>
      </c>
      <c r="AA619" s="991">
        <v>779</v>
      </c>
      <c r="AB619" s="992">
        <f t="shared" si="184"/>
        <v>3945</v>
      </c>
      <c r="AC619" s="993">
        <f t="shared" si="185"/>
        <v>27.47214484679666</v>
      </c>
      <c r="AD619" s="994">
        <f t="shared" si="186"/>
        <v>4293</v>
      </c>
      <c r="AE619" s="995">
        <f t="shared" si="187"/>
        <v>29.895543175487468</v>
      </c>
      <c r="AF619" s="996">
        <v>87</v>
      </c>
      <c r="AG619" s="997">
        <v>66</v>
      </c>
      <c r="AH619" s="997">
        <v>7</v>
      </c>
      <c r="AI619" s="998">
        <f t="shared" si="188"/>
        <v>160</v>
      </c>
      <c r="AJ619" s="993">
        <f t="shared" si="189"/>
        <v>1.1142061281337048</v>
      </c>
    </row>
    <row r="620" spans="1:36" ht="16.5" customHeight="1">
      <c r="A620" s="999">
        <f>'09월 조업일지'!A618</f>
        <v>46288</v>
      </c>
      <c r="B620" s="1099">
        <f>'09월 조업일지'!B618</f>
        <v>46288</v>
      </c>
      <c r="C620" s="1000" t="str">
        <f>'09월 화학성분'!D618</f>
        <v>C</v>
      </c>
      <c r="D620" s="1000" t="str">
        <f>'09월 화학성분'!E618</f>
        <v>B</v>
      </c>
      <c r="E620" s="1000">
        <f>'09월 화학성분'!C618</f>
        <v>85820</v>
      </c>
      <c r="F620" s="1001" t="str">
        <f t="shared" si="175"/>
        <v>SS400-01</v>
      </c>
      <c r="G620" s="1172">
        <v>19.2</v>
      </c>
      <c r="H620" s="985">
        <v>22700</v>
      </c>
      <c r="I620" s="1173">
        <v>16.600000000000001</v>
      </c>
      <c r="J620" s="985">
        <v>20400</v>
      </c>
      <c r="K620" s="1173">
        <v>11.7</v>
      </c>
      <c r="L620" s="985">
        <v>15000</v>
      </c>
      <c r="M620" s="1174">
        <f t="shared" si="176"/>
        <v>47.5</v>
      </c>
      <c r="N620" s="984">
        <f t="shared" si="177"/>
        <v>58100</v>
      </c>
      <c r="O620" s="986">
        <f t="shared" si="178"/>
        <v>157.7484364141765</v>
      </c>
      <c r="P620" s="987">
        <f t="shared" si="179"/>
        <v>141.76511466296037</v>
      </c>
      <c r="Q620" s="987">
        <f t="shared" si="180"/>
        <v>104.23905489923558</v>
      </c>
      <c r="R620" s="988">
        <f t="shared" si="181"/>
        <v>403.75260597637248</v>
      </c>
      <c r="S620" s="989">
        <v>143.9</v>
      </c>
      <c r="T620" s="990">
        <v>0</v>
      </c>
      <c r="U620" s="991">
        <v>74</v>
      </c>
      <c r="V620" s="991">
        <v>270</v>
      </c>
      <c r="W620" s="992">
        <f t="shared" si="182"/>
        <v>344</v>
      </c>
      <c r="X620" s="993">
        <f t="shared" si="183"/>
        <v>2.3905489923558028</v>
      </c>
      <c r="Y620" s="990">
        <v>1607</v>
      </c>
      <c r="Z620" s="991">
        <v>1379</v>
      </c>
      <c r="AA620" s="991">
        <v>1298</v>
      </c>
      <c r="AB620" s="992">
        <f t="shared" si="184"/>
        <v>4284</v>
      </c>
      <c r="AC620" s="993">
        <f t="shared" si="185"/>
        <v>29.770674079221681</v>
      </c>
      <c r="AD620" s="994">
        <f t="shared" si="186"/>
        <v>4628</v>
      </c>
      <c r="AE620" s="995">
        <f t="shared" si="187"/>
        <v>32.161223071577481</v>
      </c>
      <c r="AF620" s="996">
        <v>81</v>
      </c>
      <c r="AG620" s="997">
        <v>65</v>
      </c>
      <c r="AH620" s="997">
        <v>13</v>
      </c>
      <c r="AI620" s="998">
        <f t="shared" si="188"/>
        <v>159</v>
      </c>
      <c r="AJ620" s="993">
        <f t="shared" si="189"/>
        <v>1.1049339819318971</v>
      </c>
    </row>
    <row r="621" spans="1:36" ht="16.5" customHeight="1">
      <c r="A621" s="999">
        <f>'09월 조업일지'!A619</f>
        <v>46288</v>
      </c>
      <c r="B621" s="1099">
        <f>'09월 조업일지'!B619</f>
        <v>46288</v>
      </c>
      <c r="C621" s="1000" t="str">
        <f>'09월 화학성분'!D619</f>
        <v>C</v>
      </c>
      <c r="D621" s="1000" t="str">
        <f>'09월 화학성분'!E619</f>
        <v>A</v>
      </c>
      <c r="E621" s="1000">
        <f>'09월 화학성분'!C619</f>
        <v>85821</v>
      </c>
      <c r="F621" s="1001" t="str">
        <f t="shared" si="175"/>
        <v>SS400-01</v>
      </c>
      <c r="G621" s="1172">
        <v>19.100000000000001</v>
      </c>
      <c r="H621" s="985">
        <v>22600</v>
      </c>
      <c r="I621" s="1173">
        <v>18</v>
      </c>
      <c r="J621" s="985">
        <v>20800</v>
      </c>
      <c r="K621" s="1173">
        <v>8.1</v>
      </c>
      <c r="L621" s="985">
        <v>10500</v>
      </c>
      <c r="M621" s="1174">
        <f t="shared" si="176"/>
        <v>45.2</v>
      </c>
      <c r="N621" s="984">
        <f t="shared" si="177"/>
        <v>53900</v>
      </c>
      <c r="O621" s="986">
        <f t="shared" si="178"/>
        <v>159.04292751583392</v>
      </c>
      <c r="P621" s="987">
        <f t="shared" si="179"/>
        <v>146.37579169598874</v>
      </c>
      <c r="Q621" s="987">
        <f t="shared" si="180"/>
        <v>73.891625615763544</v>
      </c>
      <c r="R621" s="988">
        <f t="shared" si="181"/>
        <v>379.31034482758622</v>
      </c>
      <c r="S621" s="989">
        <v>142.1</v>
      </c>
      <c r="T621" s="990">
        <v>0</v>
      </c>
      <c r="U621" s="991">
        <v>85</v>
      </c>
      <c r="V621" s="991">
        <v>262</v>
      </c>
      <c r="W621" s="992">
        <f t="shared" si="182"/>
        <v>347</v>
      </c>
      <c r="X621" s="993">
        <f t="shared" si="183"/>
        <v>2.441942294159043</v>
      </c>
      <c r="Y621" s="990">
        <v>1576</v>
      </c>
      <c r="Z621" s="991">
        <v>1448</v>
      </c>
      <c r="AA621" s="991">
        <v>799</v>
      </c>
      <c r="AB621" s="992">
        <f t="shared" si="184"/>
        <v>3823</v>
      </c>
      <c r="AC621" s="993">
        <f t="shared" si="185"/>
        <v>26.903589021815623</v>
      </c>
      <c r="AD621" s="994">
        <f t="shared" si="186"/>
        <v>4170</v>
      </c>
      <c r="AE621" s="995">
        <f t="shared" si="187"/>
        <v>29.345531315974668</v>
      </c>
      <c r="AF621" s="996">
        <v>73</v>
      </c>
      <c r="AG621" s="997">
        <v>68</v>
      </c>
      <c r="AH621" s="997">
        <v>8</v>
      </c>
      <c r="AI621" s="998">
        <f t="shared" si="188"/>
        <v>149</v>
      </c>
      <c r="AJ621" s="993">
        <f t="shared" si="189"/>
        <v>1.0485573539760733</v>
      </c>
    </row>
    <row r="622" spans="1:36" ht="16.5" customHeight="1">
      <c r="A622" s="999">
        <f>'09월 조업일지'!A620</f>
        <v>46288</v>
      </c>
      <c r="B622" s="1099">
        <f>'09월 조업일지'!B620</f>
        <v>46288</v>
      </c>
      <c r="C622" s="1000" t="str">
        <f>'09월 화학성분'!D620</f>
        <v>C</v>
      </c>
      <c r="D622" s="1000" t="str">
        <f>'09월 화학성분'!E620</f>
        <v>B</v>
      </c>
      <c r="E622" s="1000">
        <f>'09월 화학성분'!C620</f>
        <v>85822</v>
      </c>
      <c r="F622" s="1001" t="str">
        <f t="shared" si="175"/>
        <v>SS400-01</v>
      </c>
      <c r="G622" s="1172">
        <v>18.8</v>
      </c>
      <c r="H622" s="985">
        <v>22700</v>
      </c>
      <c r="I622" s="1173">
        <v>16.8</v>
      </c>
      <c r="J622" s="985">
        <v>20500</v>
      </c>
      <c r="K622" s="1173">
        <v>11.2</v>
      </c>
      <c r="L622" s="985">
        <v>14300</v>
      </c>
      <c r="M622" s="1174">
        <f t="shared" si="176"/>
        <v>46.8</v>
      </c>
      <c r="N622" s="984">
        <f t="shared" si="177"/>
        <v>57500</v>
      </c>
      <c r="O622" s="986">
        <f t="shared" si="178"/>
        <v>158.29846582984658</v>
      </c>
      <c r="P622" s="987">
        <f t="shared" si="179"/>
        <v>142.95676429567644</v>
      </c>
      <c r="Q622" s="987">
        <f t="shared" si="180"/>
        <v>99.721059972105991</v>
      </c>
      <c r="R622" s="988">
        <f t="shared" si="181"/>
        <v>400.97629009762898</v>
      </c>
      <c r="S622" s="989">
        <v>143.4</v>
      </c>
      <c r="T622" s="990">
        <v>0</v>
      </c>
      <c r="U622" s="991">
        <v>78</v>
      </c>
      <c r="V622" s="991">
        <v>269</v>
      </c>
      <c r="W622" s="992">
        <f t="shared" si="182"/>
        <v>347</v>
      </c>
      <c r="X622" s="993">
        <f t="shared" si="183"/>
        <v>2.419804741980474</v>
      </c>
      <c r="Y622" s="990">
        <v>1539</v>
      </c>
      <c r="Z622" s="991">
        <v>1396</v>
      </c>
      <c r="AA622" s="991">
        <v>1215</v>
      </c>
      <c r="AB622" s="992">
        <f t="shared" si="184"/>
        <v>4150</v>
      </c>
      <c r="AC622" s="993">
        <f t="shared" si="185"/>
        <v>28.940027894002789</v>
      </c>
      <c r="AD622" s="994">
        <f t="shared" si="186"/>
        <v>4497</v>
      </c>
      <c r="AE622" s="995">
        <f t="shared" si="187"/>
        <v>31.359832635983263</v>
      </c>
      <c r="AF622" s="996">
        <v>79</v>
      </c>
      <c r="AG622" s="997">
        <v>67</v>
      </c>
      <c r="AH622" s="997">
        <v>11</v>
      </c>
      <c r="AI622" s="998">
        <f t="shared" si="188"/>
        <v>157</v>
      </c>
      <c r="AJ622" s="993">
        <f t="shared" si="189"/>
        <v>1.094839609483961</v>
      </c>
    </row>
    <row r="623" spans="1:36" ht="16.5" customHeight="1">
      <c r="A623" s="999">
        <f>'09월 조업일지'!A621</f>
        <v>46288</v>
      </c>
      <c r="B623" s="1099">
        <f>'09월 조업일지'!B621</f>
        <v>46288</v>
      </c>
      <c r="C623" s="1000" t="str">
        <f>'09월 화학성분'!D621</f>
        <v>C</v>
      </c>
      <c r="D623" s="1000" t="str">
        <f>'09월 화학성분'!E621</f>
        <v>A</v>
      </c>
      <c r="E623" s="1000">
        <f>'09월 화학성분'!C621</f>
        <v>85823</v>
      </c>
      <c r="F623" s="1001" t="str">
        <f t="shared" si="175"/>
        <v>SS400-01</v>
      </c>
      <c r="G623" s="1172">
        <v>19.899999999999999</v>
      </c>
      <c r="H623" s="985">
        <v>23000</v>
      </c>
      <c r="I623" s="1173">
        <v>17.399999999999999</v>
      </c>
      <c r="J623" s="985">
        <v>20900</v>
      </c>
      <c r="K623" s="1173">
        <v>8.9</v>
      </c>
      <c r="L623" s="985">
        <v>10800</v>
      </c>
      <c r="M623" s="1174">
        <f t="shared" si="176"/>
        <v>46.199999999999996</v>
      </c>
      <c r="N623" s="984">
        <f t="shared" si="177"/>
        <v>54700</v>
      </c>
      <c r="O623" s="986">
        <f t="shared" si="178"/>
        <v>160.95171448565429</v>
      </c>
      <c r="P623" s="987">
        <f t="shared" si="179"/>
        <v>146.25612316305109</v>
      </c>
      <c r="Q623" s="987">
        <f t="shared" si="180"/>
        <v>75.577326801959416</v>
      </c>
      <c r="R623" s="988">
        <f t="shared" si="181"/>
        <v>382.78516445066481</v>
      </c>
      <c r="S623" s="989">
        <v>142.9</v>
      </c>
      <c r="T623" s="990">
        <v>0</v>
      </c>
      <c r="U623" s="991">
        <v>110</v>
      </c>
      <c r="V623" s="991">
        <v>236</v>
      </c>
      <c r="W623" s="992">
        <f t="shared" si="182"/>
        <v>346</v>
      </c>
      <c r="X623" s="993">
        <f t="shared" si="183"/>
        <v>2.4212736179146255</v>
      </c>
      <c r="Y623" s="990">
        <v>1643</v>
      </c>
      <c r="Z623" s="991">
        <v>1422</v>
      </c>
      <c r="AA623" s="991">
        <v>818</v>
      </c>
      <c r="AB623" s="992">
        <f t="shared" si="184"/>
        <v>3883</v>
      </c>
      <c r="AC623" s="993">
        <f t="shared" si="185"/>
        <v>27.172848145556333</v>
      </c>
      <c r="AD623" s="994">
        <f t="shared" si="186"/>
        <v>4229</v>
      </c>
      <c r="AE623" s="995">
        <f t="shared" si="187"/>
        <v>29.594121763470959</v>
      </c>
      <c r="AF623" s="996">
        <v>83</v>
      </c>
      <c r="AG623" s="997">
        <v>67</v>
      </c>
      <c r="AH623" s="997">
        <v>7</v>
      </c>
      <c r="AI623" s="998">
        <f t="shared" si="188"/>
        <v>157</v>
      </c>
      <c r="AJ623" s="993">
        <f t="shared" si="189"/>
        <v>1.0986703988803359</v>
      </c>
    </row>
    <row r="624" spans="1:36" ht="16.5" customHeight="1">
      <c r="A624" s="999">
        <f>'09월 조업일지'!A622</f>
        <v>46288</v>
      </c>
      <c r="B624" s="1099">
        <f>'09월 조업일지'!B622</f>
        <v>46288</v>
      </c>
      <c r="C624" s="1000" t="str">
        <f>'09월 화학성분'!D622</f>
        <v>C</v>
      </c>
      <c r="D624" s="1000" t="str">
        <f>'09월 화학성분'!E622</f>
        <v>B</v>
      </c>
      <c r="E624" s="1000">
        <f>'09월 화학성분'!C622</f>
        <v>85824</v>
      </c>
      <c r="F624" s="1001" t="str">
        <f t="shared" si="175"/>
        <v>SS400-01</v>
      </c>
      <c r="G624" s="1172">
        <v>19.2</v>
      </c>
      <c r="H624" s="985">
        <v>22900</v>
      </c>
      <c r="I624" s="1173">
        <v>16.7</v>
      </c>
      <c r="J624" s="985">
        <v>20200</v>
      </c>
      <c r="K624" s="1173">
        <v>14.6</v>
      </c>
      <c r="L624" s="985">
        <v>16100</v>
      </c>
      <c r="M624" s="1174">
        <f t="shared" si="176"/>
        <v>50.5</v>
      </c>
      <c r="N624" s="984">
        <f t="shared" si="177"/>
        <v>59200</v>
      </c>
      <c r="O624" s="986">
        <f t="shared" si="178"/>
        <v>159.6931659693166</v>
      </c>
      <c r="P624" s="987">
        <f t="shared" si="179"/>
        <v>140.86471408647139</v>
      </c>
      <c r="Q624" s="987">
        <f t="shared" si="180"/>
        <v>112.27336122733612</v>
      </c>
      <c r="R624" s="988">
        <f t="shared" si="181"/>
        <v>412.83124128312414</v>
      </c>
      <c r="S624" s="989">
        <v>143.4</v>
      </c>
      <c r="T624" s="990">
        <v>0</v>
      </c>
      <c r="U624" s="991">
        <v>86</v>
      </c>
      <c r="V624" s="991">
        <v>248</v>
      </c>
      <c r="W624" s="992">
        <f t="shared" si="182"/>
        <v>334</v>
      </c>
      <c r="X624" s="993">
        <f t="shared" si="183"/>
        <v>2.329149232914923</v>
      </c>
      <c r="Y624" s="990">
        <v>1566</v>
      </c>
      <c r="Z624" s="991">
        <v>1367</v>
      </c>
      <c r="AA624" s="991">
        <v>1355</v>
      </c>
      <c r="AB624" s="992">
        <f t="shared" si="184"/>
        <v>4288</v>
      </c>
      <c r="AC624" s="993">
        <f t="shared" si="185"/>
        <v>29.902370990237099</v>
      </c>
      <c r="AD624" s="994">
        <f t="shared" si="186"/>
        <v>4622</v>
      </c>
      <c r="AE624" s="995">
        <f t="shared" si="187"/>
        <v>32.231520223152025</v>
      </c>
      <c r="AF624" s="996">
        <v>80</v>
      </c>
      <c r="AG624" s="997">
        <v>62</v>
      </c>
      <c r="AH624" s="997">
        <v>13</v>
      </c>
      <c r="AI624" s="998">
        <f t="shared" si="188"/>
        <v>155</v>
      </c>
      <c r="AJ624" s="993">
        <f t="shared" si="189"/>
        <v>1.0808926080892607</v>
      </c>
    </row>
    <row r="625" spans="1:36" ht="16.5" customHeight="1">
      <c r="A625" s="999">
        <f>'09월 조업일지'!A623</f>
        <v>46288</v>
      </c>
      <c r="B625" s="1099">
        <f>'09월 조업일지'!B623</f>
        <v>46288</v>
      </c>
      <c r="C625" s="1000" t="str">
        <f>'09월 화학성분'!D623</f>
        <v>C</v>
      </c>
      <c r="D625" s="1000" t="str">
        <f>'09월 화학성분'!E623</f>
        <v>A</v>
      </c>
      <c r="E625" s="1000">
        <f>'09월 화학성분'!C623</f>
        <v>85825</v>
      </c>
      <c r="F625" s="1001" t="str">
        <f t="shared" si="175"/>
        <v>SS400-01</v>
      </c>
      <c r="G625" s="1172">
        <v>19.2</v>
      </c>
      <c r="H625" s="985">
        <v>23100</v>
      </c>
      <c r="I625" s="1173">
        <v>17.899999999999999</v>
      </c>
      <c r="J625" s="985">
        <v>20600</v>
      </c>
      <c r="K625" s="1173">
        <v>10</v>
      </c>
      <c r="L625" s="985">
        <v>12700</v>
      </c>
      <c r="M625" s="1174">
        <f t="shared" si="176"/>
        <v>47.099999999999994</v>
      </c>
      <c r="N625" s="984">
        <f t="shared" si="177"/>
        <v>56400</v>
      </c>
      <c r="O625" s="986">
        <f t="shared" si="178"/>
        <v>159.64063579820319</v>
      </c>
      <c r="P625" s="987">
        <f t="shared" si="179"/>
        <v>142.36351071181755</v>
      </c>
      <c r="Q625" s="987">
        <f t="shared" si="180"/>
        <v>87.767795438838988</v>
      </c>
      <c r="R625" s="988">
        <f t="shared" si="181"/>
        <v>389.77194194885976</v>
      </c>
      <c r="S625" s="989">
        <v>144.69999999999999</v>
      </c>
      <c r="T625" s="990">
        <v>0</v>
      </c>
      <c r="U625" s="991">
        <v>131</v>
      </c>
      <c r="V625" s="991">
        <v>214</v>
      </c>
      <c r="W625" s="992">
        <f t="shared" si="182"/>
        <v>345</v>
      </c>
      <c r="X625" s="993">
        <f t="shared" si="183"/>
        <v>2.3842432619212164</v>
      </c>
      <c r="Y625" s="990">
        <v>1558</v>
      </c>
      <c r="Z625" s="991">
        <v>1429</v>
      </c>
      <c r="AA625" s="991">
        <v>727</v>
      </c>
      <c r="AB625" s="992">
        <f t="shared" si="184"/>
        <v>3714</v>
      </c>
      <c r="AC625" s="993">
        <f t="shared" si="185"/>
        <v>25.666897028334485</v>
      </c>
      <c r="AD625" s="994">
        <f t="shared" si="186"/>
        <v>4059</v>
      </c>
      <c r="AE625" s="995">
        <f t="shared" si="187"/>
        <v>28.051140290255702</v>
      </c>
      <c r="AF625" s="996">
        <v>78</v>
      </c>
      <c r="AG625" s="997">
        <v>69</v>
      </c>
      <c r="AH625" s="997">
        <v>7</v>
      </c>
      <c r="AI625" s="998">
        <f t="shared" si="188"/>
        <v>154</v>
      </c>
      <c r="AJ625" s="993">
        <f t="shared" si="189"/>
        <v>1.0642709053213546</v>
      </c>
    </row>
    <row r="626" spans="1:36" ht="16.5" customHeight="1">
      <c r="A626" s="999">
        <f>'09월 조업일지'!A624</f>
        <v>46288</v>
      </c>
      <c r="B626" s="1099">
        <f>'09월 조업일지'!B624</f>
        <v>46288</v>
      </c>
      <c r="C626" s="1000" t="str">
        <f>'09월 화학성분'!D624</f>
        <v>C</v>
      </c>
      <c r="D626" s="1000" t="str">
        <f>'09월 화학성분'!E624</f>
        <v>B</v>
      </c>
      <c r="E626" s="1000">
        <f>'09월 화학성분'!C624</f>
        <v>85826</v>
      </c>
      <c r="F626" s="1001" t="str">
        <f t="shared" si="175"/>
        <v>SS400-01</v>
      </c>
      <c r="G626" s="1172">
        <v>20.3</v>
      </c>
      <c r="H626" s="985">
        <v>24500</v>
      </c>
      <c r="I626" s="1173">
        <v>16.5</v>
      </c>
      <c r="J626" s="985">
        <v>20300</v>
      </c>
      <c r="K626" s="1173">
        <v>11.4</v>
      </c>
      <c r="L626" s="985">
        <v>14600</v>
      </c>
      <c r="M626" s="1174">
        <f t="shared" si="176"/>
        <v>48.199999999999996</v>
      </c>
      <c r="N626" s="984">
        <f t="shared" si="177"/>
        <v>59400</v>
      </c>
      <c r="O626" s="986">
        <f t="shared" si="178"/>
        <v>170.37552155771905</v>
      </c>
      <c r="P626" s="987">
        <f t="shared" si="179"/>
        <v>141.16828929068149</v>
      </c>
      <c r="Q626" s="987">
        <f t="shared" si="180"/>
        <v>101.52990264255911</v>
      </c>
      <c r="R626" s="988">
        <f t="shared" si="181"/>
        <v>413.07371349095968</v>
      </c>
      <c r="S626" s="989">
        <v>143.80000000000001</v>
      </c>
      <c r="T626" s="990">
        <v>0</v>
      </c>
      <c r="U626" s="991">
        <v>70</v>
      </c>
      <c r="V626" s="991">
        <v>269</v>
      </c>
      <c r="W626" s="992">
        <f t="shared" si="182"/>
        <v>339</v>
      </c>
      <c r="X626" s="993">
        <f t="shared" si="183"/>
        <v>2.3574408901251735</v>
      </c>
      <c r="Y626" s="990">
        <v>1690</v>
      </c>
      <c r="Z626" s="991">
        <v>1365</v>
      </c>
      <c r="AA626" s="991">
        <v>1243</v>
      </c>
      <c r="AB626" s="992">
        <f t="shared" si="184"/>
        <v>4298</v>
      </c>
      <c r="AC626" s="993">
        <f t="shared" si="185"/>
        <v>29.888734353268426</v>
      </c>
      <c r="AD626" s="994">
        <f t="shared" si="186"/>
        <v>4637</v>
      </c>
      <c r="AE626" s="995">
        <f t="shared" si="187"/>
        <v>32.246175243393601</v>
      </c>
      <c r="AF626" s="996">
        <v>84</v>
      </c>
      <c r="AG626" s="997">
        <v>65</v>
      </c>
      <c r="AH626" s="997">
        <v>11</v>
      </c>
      <c r="AI626" s="998">
        <f t="shared" si="188"/>
        <v>160</v>
      </c>
      <c r="AJ626" s="993">
        <f t="shared" si="189"/>
        <v>1.1126564673157162</v>
      </c>
    </row>
    <row r="627" spans="1:36" ht="16.5" customHeight="1">
      <c r="A627" s="999">
        <f>'09월 조업일지'!A625</f>
        <v>46288</v>
      </c>
      <c r="B627" s="1099">
        <f>'09월 조업일지'!B625</f>
        <v>46288</v>
      </c>
      <c r="C627" s="1000" t="str">
        <f>'09월 화학성분'!D625</f>
        <v>C</v>
      </c>
      <c r="D627" s="1000" t="str">
        <f>'09월 화학성분'!E625</f>
        <v>A</v>
      </c>
      <c r="E627" s="1000">
        <f>'09월 화학성분'!C625</f>
        <v>85827</v>
      </c>
      <c r="F627" s="1001" t="str">
        <f t="shared" si="175"/>
        <v>SS400-01</v>
      </c>
      <c r="G627" s="1172">
        <v>20.399999999999999</v>
      </c>
      <c r="H627" s="985">
        <v>24400</v>
      </c>
      <c r="I627" s="1173">
        <v>17.2</v>
      </c>
      <c r="J627" s="985">
        <v>20700</v>
      </c>
      <c r="K627" s="1173">
        <v>9.3000000000000007</v>
      </c>
      <c r="L627" s="985">
        <v>11800</v>
      </c>
      <c r="M627" s="1174">
        <f t="shared" si="176"/>
        <v>46.899999999999991</v>
      </c>
      <c r="N627" s="984">
        <f t="shared" si="177"/>
        <v>56900</v>
      </c>
      <c r="O627" s="986">
        <f t="shared" si="178"/>
        <v>170.74877536738978</v>
      </c>
      <c r="P627" s="987">
        <f t="shared" si="179"/>
        <v>144.85654303708887</v>
      </c>
      <c r="Q627" s="987">
        <f t="shared" si="180"/>
        <v>82.575227431770472</v>
      </c>
      <c r="R627" s="988">
        <f t="shared" si="181"/>
        <v>398.18054583624917</v>
      </c>
      <c r="S627" s="989">
        <v>142.9</v>
      </c>
      <c r="T627" s="990">
        <v>0</v>
      </c>
      <c r="U627" s="991">
        <v>148</v>
      </c>
      <c r="V627" s="991">
        <v>205</v>
      </c>
      <c r="W627" s="992">
        <f t="shared" si="182"/>
        <v>353</v>
      </c>
      <c r="X627" s="993">
        <f t="shared" si="183"/>
        <v>2.4702589223233029</v>
      </c>
      <c r="Y627" s="990">
        <v>1697</v>
      </c>
      <c r="Z627" s="991">
        <v>1404</v>
      </c>
      <c r="AA627" s="991">
        <v>735</v>
      </c>
      <c r="AB627" s="992">
        <f t="shared" si="184"/>
        <v>3836</v>
      </c>
      <c r="AC627" s="993">
        <f t="shared" si="185"/>
        <v>26.843946815955213</v>
      </c>
      <c r="AD627" s="994">
        <f t="shared" si="186"/>
        <v>4189</v>
      </c>
      <c r="AE627" s="995">
        <f t="shared" si="187"/>
        <v>29.314205738278517</v>
      </c>
      <c r="AF627" s="996">
        <v>83</v>
      </c>
      <c r="AG627" s="997">
        <v>65</v>
      </c>
      <c r="AH627" s="997">
        <v>6</v>
      </c>
      <c r="AI627" s="998">
        <f t="shared" si="188"/>
        <v>154</v>
      </c>
      <c r="AJ627" s="993">
        <f t="shared" si="189"/>
        <v>1.0776766969909026</v>
      </c>
    </row>
    <row r="628" spans="1:36" ht="16.5" customHeight="1">
      <c r="A628" s="999">
        <f>'09월 조업일지'!A626</f>
        <v>46288</v>
      </c>
      <c r="B628" s="1099">
        <f>'09월 조업일지'!B626</f>
        <v>46288</v>
      </c>
      <c r="C628" s="1000" t="str">
        <f>'09월 화학성분'!D626</f>
        <v>D</v>
      </c>
      <c r="D628" s="1000" t="str">
        <f>'09월 화학성분'!E626</f>
        <v>B</v>
      </c>
      <c r="E628" s="1000">
        <f>'09월 화학성분'!C626</f>
        <v>85828</v>
      </c>
      <c r="F628" s="1001" t="str">
        <f t="shared" si="175"/>
        <v>SS400-01</v>
      </c>
      <c r="G628" s="1172">
        <v>18.600000000000001</v>
      </c>
      <c r="H628" s="985">
        <v>23000</v>
      </c>
      <c r="I628" s="1173">
        <v>16.5</v>
      </c>
      <c r="J628" s="985">
        <v>20600</v>
      </c>
      <c r="K628" s="1173">
        <v>9.1</v>
      </c>
      <c r="L628" s="985">
        <v>11700</v>
      </c>
      <c r="M628" s="1174">
        <f t="shared" si="176"/>
        <v>44.2</v>
      </c>
      <c r="N628" s="984">
        <f t="shared" si="177"/>
        <v>55300</v>
      </c>
      <c r="O628" s="986">
        <f t="shared" si="178"/>
        <v>160.83916083916083</v>
      </c>
      <c r="P628" s="987">
        <f t="shared" si="179"/>
        <v>144.05594405594405</v>
      </c>
      <c r="Q628" s="987">
        <f t="shared" si="180"/>
        <v>81.818181818181813</v>
      </c>
      <c r="R628" s="988">
        <f t="shared" si="181"/>
        <v>386.71328671328666</v>
      </c>
      <c r="S628" s="989">
        <v>143</v>
      </c>
      <c r="T628" s="990">
        <v>0</v>
      </c>
      <c r="U628" s="991">
        <v>43</v>
      </c>
      <c r="V628" s="991">
        <v>298</v>
      </c>
      <c r="W628" s="992">
        <f t="shared" si="182"/>
        <v>341</v>
      </c>
      <c r="X628" s="993">
        <f t="shared" si="183"/>
        <v>2.3846153846153846</v>
      </c>
      <c r="Y628" s="990">
        <v>1554</v>
      </c>
      <c r="Z628" s="991">
        <v>1376</v>
      </c>
      <c r="AA628" s="991">
        <v>755</v>
      </c>
      <c r="AB628" s="992">
        <f t="shared" si="184"/>
        <v>3685</v>
      </c>
      <c r="AC628" s="993">
        <f t="shared" si="185"/>
        <v>25.76923076923077</v>
      </c>
      <c r="AD628" s="994">
        <f t="shared" si="186"/>
        <v>4026</v>
      </c>
      <c r="AE628" s="995">
        <f t="shared" si="187"/>
        <v>28.153846153846153</v>
      </c>
      <c r="AF628" s="996">
        <v>80</v>
      </c>
      <c r="AG628" s="997">
        <v>66</v>
      </c>
      <c r="AH628" s="997">
        <v>7</v>
      </c>
      <c r="AI628" s="998">
        <f t="shared" si="188"/>
        <v>153</v>
      </c>
      <c r="AJ628" s="993">
        <f t="shared" si="189"/>
        <v>1.06993006993007</v>
      </c>
    </row>
    <row r="629" spans="1:36" ht="16.5" customHeight="1">
      <c r="A629" s="999">
        <f>'09월 조업일지'!A627</f>
        <v>46288</v>
      </c>
      <c r="B629" s="1099">
        <f>'09월 조업일지'!B627</f>
        <v>46288</v>
      </c>
      <c r="C629" s="1000" t="str">
        <f>'09월 화학성분'!D627</f>
        <v>D</v>
      </c>
      <c r="D629" s="1000" t="str">
        <f>'09월 화학성분'!E627</f>
        <v>A</v>
      </c>
      <c r="E629" s="1000">
        <f>'09월 화학성분'!C627</f>
        <v>85829</v>
      </c>
      <c r="F629" s="1104" t="s">
        <v>638</v>
      </c>
      <c r="G629" s="1172">
        <v>19.399999999999999</v>
      </c>
      <c r="H629" s="985">
        <v>22500</v>
      </c>
      <c r="I629" s="1173">
        <v>16.399999999999999</v>
      </c>
      <c r="J629" s="985">
        <v>20600</v>
      </c>
      <c r="K629" s="1173">
        <v>8.6</v>
      </c>
      <c r="L629" s="985">
        <v>11000</v>
      </c>
      <c r="M629" s="1174">
        <f t="shared" si="176"/>
        <v>44.4</v>
      </c>
      <c r="N629" s="984">
        <f t="shared" si="177"/>
        <v>54100</v>
      </c>
      <c r="O629" s="986">
        <f t="shared" si="178"/>
        <v>159.80113636363635</v>
      </c>
      <c r="P629" s="987">
        <f t="shared" si="179"/>
        <v>146.30681818181816</v>
      </c>
      <c r="Q629" s="987">
        <f t="shared" si="180"/>
        <v>78.125</v>
      </c>
      <c r="R629" s="988">
        <f t="shared" si="181"/>
        <v>384.2329545454545</v>
      </c>
      <c r="S629" s="989">
        <v>140.80000000000001</v>
      </c>
      <c r="T629" s="990">
        <v>0</v>
      </c>
      <c r="U629" s="991">
        <v>10</v>
      </c>
      <c r="V629" s="991">
        <v>329</v>
      </c>
      <c r="W629" s="992">
        <f t="shared" si="182"/>
        <v>339</v>
      </c>
      <c r="X629" s="993">
        <f t="shared" si="183"/>
        <v>2.4076704545454541</v>
      </c>
      <c r="Y629" s="990">
        <v>1595</v>
      </c>
      <c r="Z629" s="991">
        <v>1372</v>
      </c>
      <c r="AA629" s="991">
        <v>839</v>
      </c>
      <c r="AB629" s="992">
        <f t="shared" si="184"/>
        <v>3806</v>
      </c>
      <c r="AC629" s="993">
        <f t="shared" si="185"/>
        <v>27.031249999999996</v>
      </c>
      <c r="AD629" s="994">
        <f t="shared" si="186"/>
        <v>4145</v>
      </c>
      <c r="AE629" s="995">
        <f t="shared" si="187"/>
        <v>29.438920454545453</v>
      </c>
      <c r="AF629" s="996">
        <v>84</v>
      </c>
      <c r="AG629" s="997">
        <v>63</v>
      </c>
      <c r="AH629" s="997">
        <v>6</v>
      </c>
      <c r="AI629" s="998">
        <f t="shared" si="188"/>
        <v>153</v>
      </c>
      <c r="AJ629" s="993">
        <f t="shared" si="189"/>
        <v>1.0866477272727273</v>
      </c>
    </row>
    <row r="630" spans="1:36" ht="16.5" customHeight="1">
      <c r="A630" s="999">
        <f>'09월 조업일지'!A628</f>
        <v>46288</v>
      </c>
      <c r="B630" s="1099">
        <f>'09월 조업일지'!B628</f>
        <v>46288</v>
      </c>
      <c r="C630" s="1000" t="str">
        <f>'09월 화학성분'!D628</f>
        <v>D</v>
      </c>
      <c r="D630" s="1000" t="str">
        <f>'09월 화학성분'!E628</f>
        <v>B</v>
      </c>
      <c r="E630" s="1000">
        <f>'09월 화학성분'!C628</f>
        <v>85830</v>
      </c>
      <c r="F630" s="1001" t="str">
        <f t="shared" si="175"/>
        <v>S355JO-01</v>
      </c>
      <c r="G630" s="1172">
        <v>19.399999999999999</v>
      </c>
      <c r="H630" s="985">
        <v>22900</v>
      </c>
      <c r="I630" s="1173">
        <v>16.8</v>
      </c>
      <c r="J630" s="985">
        <v>20400</v>
      </c>
      <c r="K630" s="1173">
        <v>9.5</v>
      </c>
      <c r="L630" s="985">
        <v>12300</v>
      </c>
      <c r="M630" s="1174">
        <f t="shared" si="176"/>
        <v>45.7</v>
      </c>
      <c r="N630" s="984">
        <f t="shared" si="177"/>
        <v>55600</v>
      </c>
      <c r="O630" s="986">
        <f t="shared" si="178"/>
        <v>161.26760563380282</v>
      </c>
      <c r="P630" s="987">
        <f t="shared" si="179"/>
        <v>143.66197183098592</v>
      </c>
      <c r="Q630" s="987">
        <f t="shared" si="180"/>
        <v>86.619718309859152</v>
      </c>
      <c r="R630" s="988">
        <f t="shared" si="181"/>
        <v>391.54929577464787</v>
      </c>
      <c r="S630" s="989">
        <v>142</v>
      </c>
      <c r="T630" s="990">
        <v>0</v>
      </c>
      <c r="U630" s="991">
        <v>0</v>
      </c>
      <c r="V630" s="991">
        <v>330</v>
      </c>
      <c r="W630" s="992">
        <f t="shared" si="182"/>
        <v>330</v>
      </c>
      <c r="X630" s="993">
        <f t="shared" si="183"/>
        <v>2.323943661971831</v>
      </c>
      <c r="Y630" s="990">
        <v>1587</v>
      </c>
      <c r="Z630" s="991">
        <v>1388</v>
      </c>
      <c r="AA630" s="991">
        <v>810</v>
      </c>
      <c r="AB630" s="992">
        <f t="shared" si="184"/>
        <v>3785</v>
      </c>
      <c r="AC630" s="993">
        <f t="shared" si="185"/>
        <v>26.654929577464788</v>
      </c>
      <c r="AD630" s="994">
        <f t="shared" si="186"/>
        <v>4115</v>
      </c>
      <c r="AE630" s="995">
        <f t="shared" si="187"/>
        <v>28.97887323943662</v>
      </c>
      <c r="AF630" s="996">
        <v>85</v>
      </c>
      <c r="AG630" s="997">
        <v>64</v>
      </c>
      <c r="AH630" s="997">
        <v>8</v>
      </c>
      <c r="AI630" s="998">
        <f t="shared" si="188"/>
        <v>157</v>
      </c>
      <c r="AJ630" s="993">
        <f t="shared" si="189"/>
        <v>1.1056338028169015</v>
      </c>
    </row>
    <row r="631" spans="1:36" ht="16.5" customHeight="1">
      <c r="A631" s="999">
        <f>'09월 조업일지'!A629</f>
        <v>46288</v>
      </c>
      <c r="B631" s="1099">
        <f>'09월 조업일지'!B629</f>
        <v>46288</v>
      </c>
      <c r="C631" s="1000" t="str">
        <f>'09월 화학성분'!D629</f>
        <v>D</v>
      </c>
      <c r="D631" s="1000" t="str">
        <f>'09월 화학성분'!E629</f>
        <v>A</v>
      </c>
      <c r="E631" s="1000">
        <f>'09월 화학성분'!C629</f>
        <v>85831</v>
      </c>
      <c r="F631" s="1001" t="str">
        <f t="shared" si="175"/>
        <v>S355JO-01</v>
      </c>
      <c r="G631" s="1172">
        <v>18.899999999999999</v>
      </c>
      <c r="H631" s="985">
        <v>22600</v>
      </c>
      <c r="I631" s="1173">
        <v>16.8</v>
      </c>
      <c r="J631" s="985">
        <v>20700</v>
      </c>
      <c r="K631" s="1173">
        <v>10</v>
      </c>
      <c r="L631" s="985">
        <v>12600</v>
      </c>
      <c r="M631" s="1174">
        <f t="shared" si="176"/>
        <v>45.7</v>
      </c>
      <c r="N631" s="984">
        <f t="shared" si="177"/>
        <v>55900</v>
      </c>
      <c r="O631" s="986">
        <f t="shared" si="178"/>
        <v>158.26330532212884</v>
      </c>
      <c r="P631" s="987">
        <f t="shared" si="179"/>
        <v>144.9579831932773</v>
      </c>
      <c r="Q631" s="987">
        <f t="shared" si="180"/>
        <v>88.235294117647058</v>
      </c>
      <c r="R631" s="988">
        <f t="shared" si="181"/>
        <v>391.45658263305324</v>
      </c>
      <c r="S631" s="989">
        <v>142.80000000000001</v>
      </c>
      <c r="T631" s="990">
        <v>0</v>
      </c>
      <c r="U631" s="991">
        <v>17</v>
      </c>
      <c r="V631" s="991">
        <v>322</v>
      </c>
      <c r="W631" s="992">
        <f t="shared" si="182"/>
        <v>339</v>
      </c>
      <c r="X631" s="993">
        <f t="shared" si="183"/>
        <v>2.3739495798319328</v>
      </c>
      <c r="Y631" s="990">
        <v>1536</v>
      </c>
      <c r="Z631" s="991">
        <v>1406</v>
      </c>
      <c r="AA631" s="991">
        <v>951</v>
      </c>
      <c r="AB631" s="992">
        <f t="shared" si="184"/>
        <v>3893</v>
      </c>
      <c r="AC631" s="993">
        <f t="shared" si="185"/>
        <v>27.261904761904759</v>
      </c>
      <c r="AD631" s="994">
        <f t="shared" si="186"/>
        <v>4232</v>
      </c>
      <c r="AE631" s="995">
        <f t="shared" si="187"/>
        <v>29.635854341736692</v>
      </c>
      <c r="AF631" s="996">
        <v>82</v>
      </c>
      <c r="AG631" s="997">
        <v>64</v>
      </c>
      <c r="AH631" s="997">
        <v>9</v>
      </c>
      <c r="AI631" s="998">
        <f t="shared" si="188"/>
        <v>155</v>
      </c>
      <c r="AJ631" s="993">
        <f t="shared" si="189"/>
        <v>1.0854341736694677</v>
      </c>
    </row>
    <row r="632" spans="1:36" ht="16.5" customHeight="1">
      <c r="A632" s="999">
        <f>'09월 조업일지'!A630</f>
        <v>46288</v>
      </c>
      <c r="B632" s="1099">
        <f>'09월 조업일지'!B630</f>
        <v>46288</v>
      </c>
      <c r="C632" s="1000" t="str">
        <f>'09월 화학성분'!D630</f>
        <v>D</v>
      </c>
      <c r="D632" s="1000" t="str">
        <f>'09월 화학성분'!E630</f>
        <v>B</v>
      </c>
      <c r="E632" s="1000">
        <f>'09월 화학성분'!C630</f>
        <v>85832</v>
      </c>
      <c r="F632" s="1001" t="str">
        <f t="shared" si="175"/>
        <v>S355JO-01</v>
      </c>
      <c r="G632" s="1172">
        <v>18.899999999999999</v>
      </c>
      <c r="H632" s="985">
        <v>22500</v>
      </c>
      <c r="I632" s="1173">
        <v>16.5</v>
      </c>
      <c r="J632" s="985">
        <v>20500</v>
      </c>
      <c r="K632" s="1173">
        <v>10.7</v>
      </c>
      <c r="L632" s="985">
        <v>13600</v>
      </c>
      <c r="M632" s="1174">
        <f t="shared" si="176"/>
        <v>46.099999999999994</v>
      </c>
      <c r="N632" s="984">
        <f t="shared" si="177"/>
        <v>56600</v>
      </c>
      <c r="O632" s="986">
        <f t="shared" si="178"/>
        <v>156.14156835530881</v>
      </c>
      <c r="P632" s="987">
        <f t="shared" si="179"/>
        <v>142.26231783483692</v>
      </c>
      <c r="Q632" s="987">
        <f t="shared" si="180"/>
        <v>94.378903539208892</v>
      </c>
      <c r="R632" s="988">
        <f t="shared" si="181"/>
        <v>392.78278972935459</v>
      </c>
      <c r="S632" s="989">
        <v>144.1</v>
      </c>
      <c r="T632" s="990">
        <v>0</v>
      </c>
      <c r="U632" s="991">
        <v>10</v>
      </c>
      <c r="V632" s="991">
        <v>332</v>
      </c>
      <c r="W632" s="992">
        <f t="shared" si="182"/>
        <v>342</v>
      </c>
      <c r="X632" s="993">
        <f t="shared" si="183"/>
        <v>2.3733518390006942</v>
      </c>
      <c r="Y632" s="990">
        <v>1560</v>
      </c>
      <c r="Z632" s="991">
        <v>1384</v>
      </c>
      <c r="AA632" s="991">
        <v>937</v>
      </c>
      <c r="AB632" s="992">
        <f t="shared" si="184"/>
        <v>3881</v>
      </c>
      <c r="AC632" s="993">
        <f t="shared" si="185"/>
        <v>26.932685634975712</v>
      </c>
      <c r="AD632" s="994">
        <f t="shared" si="186"/>
        <v>4223</v>
      </c>
      <c r="AE632" s="995">
        <f t="shared" si="187"/>
        <v>29.306037473976406</v>
      </c>
      <c r="AF632" s="996">
        <v>83</v>
      </c>
      <c r="AG632" s="997">
        <v>64</v>
      </c>
      <c r="AH632" s="997">
        <v>9</v>
      </c>
      <c r="AI632" s="998">
        <f t="shared" si="188"/>
        <v>156</v>
      </c>
      <c r="AJ632" s="993">
        <f t="shared" si="189"/>
        <v>1.0825815405968078</v>
      </c>
    </row>
    <row r="633" spans="1:36" ht="16.5" customHeight="1">
      <c r="A633" s="999">
        <f>'09월 조업일지'!A631</f>
        <v>46288</v>
      </c>
      <c r="B633" s="1099">
        <f>'09월 조업일지'!B631</f>
        <v>46288</v>
      </c>
      <c r="C633" s="1000" t="str">
        <f>'09월 화학성분'!D631</f>
        <v>D</v>
      </c>
      <c r="D633" s="1000" t="str">
        <f>'09월 화학성분'!E631</f>
        <v>A</v>
      </c>
      <c r="E633" s="1000">
        <f>'09월 화학성분'!C631</f>
        <v>85833</v>
      </c>
      <c r="F633" s="1001" t="str">
        <f t="shared" si="175"/>
        <v>S355JO-01</v>
      </c>
      <c r="G633" s="1172">
        <v>18.600000000000001</v>
      </c>
      <c r="H633" s="985">
        <v>22500</v>
      </c>
      <c r="I633" s="1173">
        <v>16.600000000000001</v>
      </c>
      <c r="J633" s="985">
        <v>20600</v>
      </c>
      <c r="K633" s="1173">
        <v>9.8000000000000007</v>
      </c>
      <c r="L633" s="985">
        <v>11700</v>
      </c>
      <c r="M633" s="1174">
        <f t="shared" si="176"/>
        <v>45</v>
      </c>
      <c r="N633" s="984">
        <f t="shared" si="177"/>
        <v>54800</v>
      </c>
      <c r="O633" s="986">
        <f t="shared" si="178"/>
        <v>157.23270440251574</v>
      </c>
      <c r="P633" s="987">
        <f t="shared" si="179"/>
        <v>143.95527603074774</v>
      </c>
      <c r="Q633" s="987">
        <f t="shared" si="180"/>
        <v>81.761006289308185</v>
      </c>
      <c r="R633" s="988">
        <f t="shared" si="181"/>
        <v>382.94898672257165</v>
      </c>
      <c r="S633" s="989">
        <v>143.1</v>
      </c>
      <c r="T633" s="990">
        <v>0</v>
      </c>
      <c r="U633" s="991">
        <v>6</v>
      </c>
      <c r="V633" s="991">
        <v>310</v>
      </c>
      <c r="W633" s="992">
        <f t="shared" si="182"/>
        <v>316</v>
      </c>
      <c r="X633" s="993">
        <f t="shared" si="183"/>
        <v>2.2082459818308875</v>
      </c>
      <c r="Y633" s="990">
        <v>1529</v>
      </c>
      <c r="Z633" s="991">
        <v>1388</v>
      </c>
      <c r="AA633" s="991">
        <v>930</v>
      </c>
      <c r="AB633" s="992">
        <f t="shared" si="184"/>
        <v>3847</v>
      </c>
      <c r="AC633" s="993">
        <f t="shared" si="185"/>
        <v>26.883298392732357</v>
      </c>
      <c r="AD633" s="994">
        <f t="shared" si="186"/>
        <v>4163</v>
      </c>
      <c r="AE633" s="995">
        <f t="shared" si="187"/>
        <v>29.091544374563245</v>
      </c>
      <c r="AF633" s="996">
        <v>79</v>
      </c>
      <c r="AG633" s="997">
        <v>65</v>
      </c>
      <c r="AH633" s="997">
        <v>15</v>
      </c>
      <c r="AI633" s="998">
        <f t="shared" si="188"/>
        <v>159</v>
      </c>
      <c r="AJ633" s="993">
        <f t="shared" si="189"/>
        <v>1.1111111111111112</v>
      </c>
    </row>
    <row r="634" spans="1:36" ht="16.5" customHeight="1">
      <c r="A634" s="999">
        <f>'09월 조업일지'!A632</f>
        <v>46289</v>
      </c>
      <c r="B634" s="1099">
        <f>'09월 조업일지'!B632</f>
        <v>46288</v>
      </c>
      <c r="C634" s="1000" t="str">
        <f>'09월 화학성분'!D632</f>
        <v>D</v>
      </c>
      <c r="D634" s="1000" t="str">
        <f>'09월 화학성분'!E632</f>
        <v>B</v>
      </c>
      <c r="E634" s="1000">
        <f>'09월 화학성분'!C632</f>
        <v>85834</v>
      </c>
      <c r="F634" s="1001" t="str">
        <f t="shared" si="175"/>
        <v>S355JO-01</v>
      </c>
      <c r="G634" s="1172">
        <v>19</v>
      </c>
      <c r="H634" s="985">
        <v>22300</v>
      </c>
      <c r="I634" s="1173">
        <v>16.600000000000001</v>
      </c>
      <c r="J634" s="985">
        <v>20500</v>
      </c>
      <c r="K634" s="1173">
        <v>10.8</v>
      </c>
      <c r="L634" s="985">
        <v>14000</v>
      </c>
      <c r="M634" s="1174">
        <f t="shared" si="176"/>
        <v>46.400000000000006</v>
      </c>
      <c r="N634" s="984">
        <f t="shared" si="177"/>
        <v>56800</v>
      </c>
      <c r="O634" s="986">
        <f t="shared" si="178"/>
        <v>155.07649513212795</v>
      </c>
      <c r="P634" s="987">
        <f t="shared" si="179"/>
        <v>142.55910987482613</v>
      </c>
      <c r="Q634" s="987">
        <f t="shared" si="180"/>
        <v>97.357440890125162</v>
      </c>
      <c r="R634" s="988">
        <f t="shared" si="181"/>
        <v>394.99304589707924</v>
      </c>
      <c r="S634" s="989">
        <v>143.80000000000001</v>
      </c>
      <c r="T634" s="990">
        <v>0</v>
      </c>
      <c r="U634" s="991">
        <v>37</v>
      </c>
      <c r="V634" s="991">
        <v>296</v>
      </c>
      <c r="W634" s="992">
        <f t="shared" si="182"/>
        <v>333</v>
      </c>
      <c r="X634" s="993">
        <f t="shared" si="183"/>
        <v>2.3157162726008345</v>
      </c>
      <c r="Y634" s="990">
        <v>1523</v>
      </c>
      <c r="Z634" s="991">
        <v>1372</v>
      </c>
      <c r="AA634" s="991">
        <v>883</v>
      </c>
      <c r="AB634" s="992">
        <f t="shared" si="184"/>
        <v>3778</v>
      </c>
      <c r="AC634" s="993">
        <f t="shared" si="185"/>
        <v>26.272600834492348</v>
      </c>
      <c r="AD634" s="994">
        <f t="shared" si="186"/>
        <v>4111</v>
      </c>
      <c r="AE634" s="995">
        <f t="shared" si="187"/>
        <v>28.588317107093182</v>
      </c>
      <c r="AF634" s="996">
        <v>81</v>
      </c>
      <c r="AG634" s="997">
        <v>66</v>
      </c>
      <c r="AH634" s="997">
        <v>7</v>
      </c>
      <c r="AI634" s="998">
        <f t="shared" si="188"/>
        <v>154</v>
      </c>
      <c r="AJ634" s="993">
        <f t="shared" si="189"/>
        <v>1.0709318497913769</v>
      </c>
    </row>
    <row r="635" spans="1:36" ht="16.5" customHeight="1">
      <c r="A635" s="999">
        <f>'09월 조업일지'!A633</f>
        <v>46289</v>
      </c>
      <c r="B635" s="1099">
        <f>'09월 조업일지'!B633</f>
        <v>46288</v>
      </c>
      <c r="C635" s="1000" t="str">
        <f>'09월 화학성분'!D633</f>
        <v>D</v>
      </c>
      <c r="D635" s="1000" t="str">
        <f>'09월 화학성분'!E633</f>
        <v>A</v>
      </c>
      <c r="E635" s="1000">
        <f>'09월 화학성분'!C633</f>
        <v>85835</v>
      </c>
      <c r="F635" s="1001" t="str">
        <f t="shared" si="175"/>
        <v>S355JO-01</v>
      </c>
      <c r="G635" s="1172">
        <v>18.5</v>
      </c>
      <c r="H635" s="985">
        <v>23100</v>
      </c>
      <c r="I635" s="1173">
        <v>16.8</v>
      </c>
      <c r="J635" s="985">
        <v>20900</v>
      </c>
      <c r="K635" s="1173">
        <v>6.6</v>
      </c>
      <c r="L635" s="985">
        <v>9400</v>
      </c>
      <c r="M635" s="1174">
        <f t="shared" si="176"/>
        <v>41.9</v>
      </c>
      <c r="N635" s="984">
        <f t="shared" si="177"/>
        <v>53400</v>
      </c>
      <c r="O635" s="986">
        <f t="shared" si="178"/>
        <v>161.42557651991615</v>
      </c>
      <c r="P635" s="987">
        <f t="shared" si="179"/>
        <v>146.05171208944793</v>
      </c>
      <c r="Q635" s="987">
        <f t="shared" si="180"/>
        <v>65.688329839273237</v>
      </c>
      <c r="R635" s="988">
        <f t="shared" si="181"/>
        <v>373.16561844863736</v>
      </c>
      <c r="S635" s="989">
        <v>143.1</v>
      </c>
      <c r="T635" s="990">
        <v>0</v>
      </c>
      <c r="U635" s="991">
        <v>80</v>
      </c>
      <c r="V635" s="991">
        <v>263</v>
      </c>
      <c r="W635" s="992">
        <f t="shared" si="182"/>
        <v>343</v>
      </c>
      <c r="X635" s="993">
        <f t="shared" si="183"/>
        <v>2.3969252271139063</v>
      </c>
      <c r="Y635" s="990">
        <v>1522</v>
      </c>
      <c r="Z635" s="991">
        <v>1399</v>
      </c>
      <c r="AA635" s="991">
        <v>653</v>
      </c>
      <c r="AB635" s="992">
        <f t="shared" si="184"/>
        <v>3574</v>
      </c>
      <c r="AC635" s="993">
        <f t="shared" si="185"/>
        <v>24.975541579315166</v>
      </c>
      <c r="AD635" s="994">
        <f t="shared" si="186"/>
        <v>3917</v>
      </c>
      <c r="AE635" s="995">
        <f t="shared" si="187"/>
        <v>27.37246680642907</v>
      </c>
      <c r="AF635" s="996">
        <v>78</v>
      </c>
      <c r="AG635" s="997">
        <v>66</v>
      </c>
      <c r="AH635" s="997">
        <v>6</v>
      </c>
      <c r="AI635" s="998">
        <f t="shared" si="188"/>
        <v>150</v>
      </c>
      <c r="AJ635" s="993">
        <f t="shared" si="189"/>
        <v>1.0482180293501049</v>
      </c>
    </row>
    <row r="636" spans="1:36" ht="16.5" customHeight="1">
      <c r="A636" s="999">
        <f>'09월 조업일지'!A634</f>
        <v>46289</v>
      </c>
      <c r="B636" s="1099">
        <f>'09월 조업일지'!B634</f>
        <v>46288</v>
      </c>
      <c r="C636" s="1000" t="str">
        <f>'09월 화학성분'!D634</f>
        <v>D</v>
      </c>
      <c r="D636" s="1000" t="str">
        <f>'09월 화학성분'!E634</f>
        <v>B</v>
      </c>
      <c r="E636" s="1000">
        <f>'09월 화학성분'!C634</f>
        <v>85836</v>
      </c>
      <c r="F636" s="1001" t="str">
        <f t="shared" si="175"/>
        <v>S355JO-01</v>
      </c>
      <c r="G636" s="1172">
        <v>20</v>
      </c>
      <c r="H636" s="985">
        <v>23200</v>
      </c>
      <c r="I636" s="1173">
        <v>16.399999999999999</v>
      </c>
      <c r="J636" s="985">
        <v>20400</v>
      </c>
      <c r="K636" s="1173">
        <v>9.1999999999999993</v>
      </c>
      <c r="L636" s="985">
        <v>11900</v>
      </c>
      <c r="M636" s="1174">
        <f t="shared" si="176"/>
        <v>45.599999999999994</v>
      </c>
      <c r="N636" s="984">
        <f t="shared" si="177"/>
        <v>55500</v>
      </c>
      <c r="O636" s="986">
        <f t="shared" si="178"/>
        <v>161.44745998608212</v>
      </c>
      <c r="P636" s="987">
        <f t="shared" si="179"/>
        <v>141.96242171189979</v>
      </c>
      <c r="Q636" s="987">
        <f t="shared" si="180"/>
        <v>82.811412665274887</v>
      </c>
      <c r="R636" s="988">
        <f t="shared" si="181"/>
        <v>386.22129436325679</v>
      </c>
      <c r="S636" s="989">
        <v>143.69999999999999</v>
      </c>
      <c r="T636" s="990">
        <v>0</v>
      </c>
      <c r="U636" s="991">
        <v>0</v>
      </c>
      <c r="V636" s="991">
        <v>356</v>
      </c>
      <c r="W636" s="992">
        <f t="shared" si="182"/>
        <v>356</v>
      </c>
      <c r="X636" s="993">
        <f t="shared" si="183"/>
        <v>2.4773834377174673</v>
      </c>
      <c r="Y636" s="990">
        <v>1651</v>
      </c>
      <c r="Z636" s="991">
        <v>1367</v>
      </c>
      <c r="AA636" s="991">
        <v>851</v>
      </c>
      <c r="AB636" s="992">
        <f t="shared" si="184"/>
        <v>3869</v>
      </c>
      <c r="AC636" s="993">
        <f t="shared" si="185"/>
        <v>26.924147529575507</v>
      </c>
      <c r="AD636" s="994">
        <f t="shared" si="186"/>
        <v>4225</v>
      </c>
      <c r="AE636" s="995">
        <f t="shared" si="187"/>
        <v>29.401530967292974</v>
      </c>
      <c r="AF636" s="996">
        <v>85</v>
      </c>
      <c r="AG636" s="997">
        <v>63</v>
      </c>
      <c r="AH636" s="997">
        <v>8</v>
      </c>
      <c r="AI636" s="998">
        <f t="shared" si="188"/>
        <v>156</v>
      </c>
      <c r="AJ636" s="993">
        <f t="shared" si="189"/>
        <v>1.0855949895615866</v>
      </c>
    </row>
    <row r="637" spans="1:36" ht="16.5" customHeight="1">
      <c r="A637" s="999">
        <f>'09월 조업일지'!A635</f>
        <v>46289</v>
      </c>
      <c r="B637" s="1099">
        <f>'09월 조업일지'!B635</f>
        <v>46288</v>
      </c>
      <c r="C637" s="1000" t="str">
        <f>'09월 화학성분'!D635</f>
        <v>D</v>
      </c>
      <c r="D637" s="1000" t="str">
        <f>'09월 화학성분'!E635</f>
        <v>A</v>
      </c>
      <c r="E637" s="1000">
        <f>'09월 화학성분'!C635</f>
        <v>85837</v>
      </c>
      <c r="F637" s="1001" t="str">
        <f t="shared" si="175"/>
        <v>S355JO-01</v>
      </c>
      <c r="G637" s="1172">
        <v>19</v>
      </c>
      <c r="H637" s="985">
        <v>23200</v>
      </c>
      <c r="I637" s="1173">
        <v>17</v>
      </c>
      <c r="J637" s="985">
        <v>20600</v>
      </c>
      <c r="K637" s="1173">
        <v>9.4</v>
      </c>
      <c r="L637" s="985">
        <v>12000</v>
      </c>
      <c r="M637" s="1174">
        <f t="shared" si="176"/>
        <v>45.4</v>
      </c>
      <c r="N637" s="984">
        <f t="shared" si="177"/>
        <v>55800</v>
      </c>
      <c r="O637" s="986">
        <f t="shared" si="178"/>
        <v>161.78521617852161</v>
      </c>
      <c r="P637" s="987">
        <f t="shared" si="179"/>
        <v>143.65411436541143</v>
      </c>
      <c r="Q637" s="987">
        <f t="shared" si="180"/>
        <v>83.68200836820084</v>
      </c>
      <c r="R637" s="988">
        <f t="shared" si="181"/>
        <v>389.12133891213387</v>
      </c>
      <c r="S637" s="989">
        <v>143.4</v>
      </c>
      <c r="T637" s="990">
        <v>0</v>
      </c>
      <c r="U637" s="991">
        <v>34</v>
      </c>
      <c r="V637" s="991">
        <v>315</v>
      </c>
      <c r="W637" s="992">
        <f t="shared" si="182"/>
        <v>349</v>
      </c>
      <c r="X637" s="993">
        <f t="shared" si="183"/>
        <v>2.4337517433751743</v>
      </c>
      <c r="Y637" s="990">
        <v>1583</v>
      </c>
      <c r="Z637" s="991">
        <v>1391</v>
      </c>
      <c r="AA637" s="991">
        <v>683</v>
      </c>
      <c r="AB637" s="992">
        <f t="shared" si="184"/>
        <v>3657</v>
      </c>
      <c r="AC637" s="993">
        <f t="shared" si="185"/>
        <v>25.502092050209203</v>
      </c>
      <c r="AD637" s="994">
        <f t="shared" si="186"/>
        <v>4006</v>
      </c>
      <c r="AE637" s="995">
        <f t="shared" si="187"/>
        <v>27.935843793584379</v>
      </c>
      <c r="AF637" s="996">
        <v>82</v>
      </c>
      <c r="AG637" s="997">
        <v>63</v>
      </c>
      <c r="AH637" s="997">
        <v>6</v>
      </c>
      <c r="AI637" s="998">
        <f t="shared" si="188"/>
        <v>151</v>
      </c>
      <c r="AJ637" s="993">
        <f t="shared" si="189"/>
        <v>1.0529986052998606</v>
      </c>
    </row>
    <row r="638" spans="1:36" ht="16.5" customHeight="1">
      <c r="A638" s="999">
        <f>'09월 조업일지'!A636</f>
        <v>46289</v>
      </c>
      <c r="B638" s="1099">
        <f>'09월 조업일지'!B636</f>
        <v>46289</v>
      </c>
      <c r="C638" s="1000" t="str">
        <f>'09월 화학성분'!D636</f>
        <v>B</v>
      </c>
      <c r="D638" s="1000" t="str">
        <f>'09월 화학성분'!E636</f>
        <v>B</v>
      </c>
      <c r="E638" s="1000">
        <f>'09월 화학성분'!C636</f>
        <v>85838</v>
      </c>
      <c r="F638" s="1001" t="str">
        <f t="shared" si="175"/>
        <v>S355JO-01</v>
      </c>
      <c r="G638" s="1172">
        <v>18.100000000000001</v>
      </c>
      <c r="H638" s="985">
        <v>22600</v>
      </c>
      <c r="I638" s="1173">
        <v>16.7</v>
      </c>
      <c r="J638" s="985">
        <v>20700</v>
      </c>
      <c r="K638" s="1173">
        <v>9.6999999999999993</v>
      </c>
      <c r="L638" s="985">
        <v>12500</v>
      </c>
      <c r="M638" s="1174">
        <f t="shared" si="176"/>
        <v>44.5</v>
      </c>
      <c r="N638" s="984">
        <f t="shared" si="177"/>
        <v>55800</v>
      </c>
      <c r="O638" s="986">
        <f t="shared" si="178"/>
        <v>155.75465196416266</v>
      </c>
      <c r="P638" s="987">
        <f t="shared" si="179"/>
        <v>142.66023432115782</v>
      </c>
      <c r="Q638" s="987">
        <f t="shared" si="180"/>
        <v>86.147484493452794</v>
      </c>
      <c r="R638" s="988">
        <f t="shared" si="181"/>
        <v>384.56237077877324</v>
      </c>
      <c r="S638" s="989">
        <v>145.1</v>
      </c>
      <c r="T638" s="990">
        <v>0</v>
      </c>
      <c r="U638" s="991">
        <v>1</v>
      </c>
      <c r="V638" s="991">
        <v>344</v>
      </c>
      <c r="W638" s="992">
        <f t="shared" si="182"/>
        <v>345</v>
      </c>
      <c r="X638" s="993">
        <f t="shared" si="183"/>
        <v>2.377670572019297</v>
      </c>
      <c r="Y638" s="990">
        <v>1490</v>
      </c>
      <c r="Z638" s="991">
        <v>1390</v>
      </c>
      <c r="AA638" s="991">
        <v>1077</v>
      </c>
      <c r="AB638" s="992">
        <f t="shared" si="184"/>
        <v>3957</v>
      </c>
      <c r="AC638" s="993">
        <f t="shared" si="185"/>
        <v>27.270847691247418</v>
      </c>
      <c r="AD638" s="994">
        <f t="shared" si="186"/>
        <v>4302</v>
      </c>
      <c r="AE638" s="995">
        <f t="shared" si="187"/>
        <v>29.648518263266713</v>
      </c>
      <c r="AF638" s="996">
        <v>79</v>
      </c>
      <c r="AG638" s="997">
        <v>65</v>
      </c>
      <c r="AH638" s="997">
        <v>9</v>
      </c>
      <c r="AI638" s="998">
        <f t="shared" si="188"/>
        <v>153</v>
      </c>
      <c r="AJ638" s="993">
        <f t="shared" si="189"/>
        <v>1.0544452101998623</v>
      </c>
    </row>
    <row r="639" spans="1:36" ht="16.5" customHeight="1">
      <c r="A639" s="999">
        <f>'09월 조업일지'!A637</f>
        <v>46289</v>
      </c>
      <c r="B639" s="1099">
        <f>'09월 조업일지'!B637</f>
        <v>46289</v>
      </c>
      <c r="C639" s="1000" t="str">
        <f>'09월 화학성분'!D637</f>
        <v>B</v>
      </c>
      <c r="D639" s="1000" t="str">
        <f>'09월 화학성분'!E637</f>
        <v>A</v>
      </c>
      <c r="E639" s="1000">
        <f>'09월 화학성분'!C637</f>
        <v>85839</v>
      </c>
      <c r="F639" s="1001" t="str">
        <f t="shared" si="175"/>
        <v>S355JO-01</v>
      </c>
      <c r="G639" s="1172">
        <v>19</v>
      </c>
      <c r="H639" s="985">
        <v>22900</v>
      </c>
      <c r="I639" s="1173">
        <v>16.600000000000001</v>
      </c>
      <c r="J639" s="985">
        <v>20700</v>
      </c>
      <c r="K639" s="1173">
        <v>6.8</v>
      </c>
      <c r="L639" s="985">
        <v>8800</v>
      </c>
      <c r="M639" s="1174">
        <f t="shared" si="176"/>
        <v>42.4</v>
      </c>
      <c r="N639" s="984">
        <f t="shared" si="177"/>
        <v>52400</v>
      </c>
      <c r="O639" s="986">
        <f t="shared" si="178"/>
        <v>158.47750865051904</v>
      </c>
      <c r="P639" s="987">
        <f t="shared" si="179"/>
        <v>143.25259515570934</v>
      </c>
      <c r="Q639" s="987">
        <f t="shared" si="180"/>
        <v>60.899653979238757</v>
      </c>
      <c r="R639" s="988">
        <f t="shared" si="181"/>
        <v>362.62975778546712</v>
      </c>
      <c r="S639" s="989">
        <v>144.5</v>
      </c>
      <c r="T639" s="990">
        <v>0</v>
      </c>
      <c r="U639" s="991">
        <v>0</v>
      </c>
      <c r="V639" s="991">
        <v>366</v>
      </c>
      <c r="W639" s="992">
        <f t="shared" si="182"/>
        <v>366</v>
      </c>
      <c r="X639" s="993">
        <f t="shared" si="183"/>
        <v>2.5328719723183393</v>
      </c>
      <c r="Y639" s="990">
        <v>1551</v>
      </c>
      <c r="Z639" s="991">
        <v>1403</v>
      </c>
      <c r="AA639" s="991">
        <v>756</v>
      </c>
      <c r="AB639" s="992">
        <f t="shared" si="184"/>
        <v>3710</v>
      </c>
      <c r="AC639" s="993">
        <f t="shared" si="185"/>
        <v>25.674740484429066</v>
      </c>
      <c r="AD639" s="994">
        <f t="shared" si="186"/>
        <v>4076</v>
      </c>
      <c r="AE639" s="995">
        <f t="shared" si="187"/>
        <v>28.207612456747405</v>
      </c>
      <c r="AF639" s="996">
        <v>82</v>
      </c>
      <c r="AG639" s="997">
        <v>63</v>
      </c>
      <c r="AH639" s="997">
        <v>26</v>
      </c>
      <c r="AI639" s="998">
        <f t="shared" si="188"/>
        <v>171</v>
      </c>
      <c r="AJ639" s="993">
        <f t="shared" si="189"/>
        <v>1.1833910034602075</v>
      </c>
    </row>
    <row r="640" spans="1:36" ht="16.5" customHeight="1">
      <c r="A640" s="999">
        <f>'09월 조업일지'!A638</f>
        <v>46289</v>
      </c>
      <c r="B640" s="1099">
        <f>'09월 조업일지'!B638</f>
        <v>46289</v>
      </c>
      <c r="C640" s="1000" t="str">
        <f>'09월 화학성분'!D638</f>
        <v>B</v>
      </c>
      <c r="D640" s="1000" t="str">
        <f>'09월 화학성분'!E638</f>
        <v>B</v>
      </c>
      <c r="E640" s="1000">
        <f>'09월 화학성분'!C638</f>
        <v>85840</v>
      </c>
      <c r="F640" s="1001" t="str">
        <f t="shared" si="175"/>
        <v>S355JO-01</v>
      </c>
      <c r="G640" s="1172">
        <v>19.2</v>
      </c>
      <c r="H640" s="985">
        <v>22900</v>
      </c>
      <c r="I640" s="1173">
        <v>16.5</v>
      </c>
      <c r="J640" s="985">
        <v>20500</v>
      </c>
      <c r="K640" s="1173">
        <v>9.8000000000000007</v>
      </c>
      <c r="L640" s="985">
        <v>12600</v>
      </c>
      <c r="M640" s="1174">
        <f t="shared" si="176"/>
        <v>45.5</v>
      </c>
      <c r="N640" s="984">
        <f t="shared" si="177"/>
        <v>56000</v>
      </c>
      <c r="O640" s="986">
        <f t="shared" si="178"/>
        <v>157.60495526496902</v>
      </c>
      <c r="P640" s="987">
        <f t="shared" si="179"/>
        <v>141.08740536820372</v>
      </c>
      <c r="Q640" s="987">
        <f t="shared" si="180"/>
        <v>86.717136958017889</v>
      </c>
      <c r="R640" s="988">
        <f t="shared" si="181"/>
        <v>385.40949759119059</v>
      </c>
      <c r="S640" s="989">
        <v>145.30000000000001</v>
      </c>
      <c r="T640" s="990">
        <v>0</v>
      </c>
      <c r="U640" s="991">
        <v>0</v>
      </c>
      <c r="V640" s="991">
        <v>359</v>
      </c>
      <c r="W640" s="992">
        <f t="shared" si="182"/>
        <v>359</v>
      </c>
      <c r="X640" s="993">
        <f t="shared" si="183"/>
        <v>2.4707501720578113</v>
      </c>
      <c r="Y640" s="990">
        <v>1581</v>
      </c>
      <c r="Z640" s="991">
        <v>1355</v>
      </c>
      <c r="AA640" s="991">
        <v>925</v>
      </c>
      <c r="AB640" s="992">
        <f t="shared" si="184"/>
        <v>3861</v>
      </c>
      <c r="AC640" s="993">
        <f t="shared" si="185"/>
        <v>26.572608396421195</v>
      </c>
      <c r="AD640" s="994">
        <f t="shared" si="186"/>
        <v>4220</v>
      </c>
      <c r="AE640" s="995">
        <f t="shared" si="187"/>
        <v>29.043358568479007</v>
      </c>
      <c r="AF640" s="996">
        <v>81</v>
      </c>
      <c r="AG640" s="997">
        <v>64</v>
      </c>
      <c r="AH640" s="997">
        <v>8</v>
      </c>
      <c r="AI640" s="998">
        <f t="shared" si="188"/>
        <v>153</v>
      </c>
      <c r="AJ640" s="993">
        <f t="shared" si="189"/>
        <v>1.0529938059187887</v>
      </c>
    </row>
    <row r="641" spans="1:36" ht="16.5" customHeight="1">
      <c r="A641" s="999">
        <f>'09월 조업일지'!A639</f>
        <v>46289</v>
      </c>
      <c r="B641" s="1099">
        <f>'09월 조업일지'!B639</f>
        <v>46289</v>
      </c>
      <c r="C641" s="1000" t="str">
        <f>'09월 화학성분'!D639</f>
        <v>B</v>
      </c>
      <c r="D641" s="1000" t="str">
        <f>'09월 화학성분'!E639</f>
        <v>A</v>
      </c>
      <c r="E641" s="1000">
        <f>'09월 화학성분'!C639</f>
        <v>85841</v>
      </c>
      <c r="F641" s="1001" t="str">
        <f t="shared" si="175"/>
        <v>S355JO-01</v>
      </c>
      <c r="G641" s="1172">
        <v>19.3</v>
      </c>
      <c r="H641" s="985">
        <v>23200</v>
      </c>
      <c r="I641" s="1173">
        <v>16.8</v>
      </c>
      <c r="J641" s="985">
        <v>20600</v>
      </c>
      <c r="K641" s="1173">
        <v>7.6</v>
      </c>
      <c r="L641" s="985">
        <v>9700</v>
      </c>
      <c r="M641" s="1174">
        <f t="shared" si="176"/>
        <v>43.7</v>
      </c>
      <c r="N641" s="984">
        <f t="shared" si="177"/>
        <v>53500</v>
      </c>
      <c r="O641" s="986">
        <f t="shared" si="178"/>
        <v>159.88973121984839</v>
      </c>
      <c r="P641" s="987">
        <f t="shared" si="179"/>
        <v>141.9710544452102</v>
      </c>
      <c r="Q641" s="987">
        <f t="shared" si="180"/>
        <v>66.850447966919376</v>
      </c>
      <c r="R641" s="988">
        <f t="shared" si="181"/>
        <v>368.71123363197796</v>
      </c>
      <c r="S641" s="989">
        <v>145.1</v>
      </c>
      <c r="T641" s="990">
        <v>0</v>
      </c>
      <c r="U641" s="991">
        <v>6</v>
      </c>
      <c r="V641" s="991">
        <v>345</v>
      </c>
      <c r="W641" s="992">
        <f t="shared" si="182"/>
        <v>351</v>
      </c>
      <c r="X641" s="993">
        <f t="shared" si="183"/>
        <v>2.4190213645761545</v>
      </c>
      <c r="Y641" s="990">
        <v>1561</v>
      </c>
      <c r="Z641" s="991">
        <v>1443</v>
      </c>
      <c r="AA641" s="991">
        <v>869</v>
      </c>
      <c r="AB641" s="992">
        <f t="shared" si="184"/>
        <v>3873</v>
      </c>
      <c r="AC641" s="993">
        <f t="shared" si="185"/>
        <v>26.691936595451413</v>
      </c>
      <c r="AD641" s="994">
        <f t="shared" si="186"/>
        <v>4224</v>
      </c>
      <c r="AE641" s="995">
        <f t="shared" si="187"/>
        <v>29.110957960027569</v>
      </c>
      <c r="AF641" s="996">
        <v>82</v>
      </c>
      <c r="AG641" s="997">
        <v>73</v>
      </c>
      <c r="AH641" s="997">
        <v>28</v>
      </c>
      <c r="AI641" s="998">
        <f t="shared" si="188"/>
        <v>183</v>
      </c>
      <c r="AJ641" s="993">
        <f t="shared" si="189"/>
        <v>1.261199172984149</v>
      </c>
    </row>
    <row r="642" spans="1:36" ht="16.5" customHeight="1">
      <c r="A642" s="999">
        <f>'09월 조업일지'!A640</f>
        <v>46289</v>
      </c>
      <c r="B642" s="1099">
        <f>'09월 조업일지'!B640</f>
        <v>46289</v>
      </c>
      <c r="C642" s="1000" t="str">
        <f>'09월 화학성분'!D640</f>
        <v>B</v>
      </c>
      <c r="D642" s="1000" t="str">
        <f>'09월 화학성분'!E640</f>
        <v>B</v>
      </c>
      <c r="E642" s="1000">
        <f>'09월 화학성분'!C640</f>
        <v>85842</v>
      </c>
      <c r="F642" s="1001" t="str">
        <f t="shared" si="175"/>
        <v>S355JO-01</v>
      </c>
      <c r="G642" s="1172">
        <v>19.8</v>
      </c>
      <c r="H642" s="985">
        <v>23900</v>
      </c>
      <c r="I642" s="1173">
        <v>16.600000000000001</v>
      </c>
      <c r="J642" s="985">
        <v>20500</v>
      </c>
      <c r="K642" s="1173">
        <v>9.4</v>
      </c>
      <c r="L642" s="985">
        <v>12100</v>
      </c>
      <c r="M642" s="1174">
        <f t="shared" si="176"/>
        <v>45.800000000000004</v>
      </c>
      <c r="N642" s="984">
        <f t="shared" si="177"/>
        <v>56500</v>
      </c>
      <c r="O642" s="986">
        <f t="shared" si="178"/>
        <v>164.60055096418733</v>
      </c>
      <c r="P642" s="987">
        <f t="shared" si="179"/>
        <v>141.18457300275483</v>
      </c>
      <c r="Q642" s="987">
        <f t="shared" si="180"/>
        <v>83.333333333333343</v>
      </c>
      <c r="R642" s="988">
        <f t="shared" si="181"/>
        <v>389.11845730027551</v>
      </c>
      <c r="S642" s="989">
        <v>145.19999999999999</v>
      </c>
      <c r="T642" s="990">
        <v>0</v>
      </c>
      <c r="U642" s="991">
        <v>36</v>
      </c>
      <c r="V642" s="991">
        <v>308</v>
      </c>
      <c r="W642" s="992">
        <f t="shared" si="182"/>
        <v>344</v>
      </c>
      <c r="X642" s="993">
        <f t="shared" si="183"/>
        <v>2.3691460055096423</v>
      </c>
      <c r="Y642" s="990">
        <v>1812</v>
      </c>
      <c r="Z642" s="991">
        <v>1365</v>
      </c>
      <c r="AA642" s="991">
        <v>768</v>
      </c>
      <c r="AB642" s="992">
        <f t="shared" si="184"/>
        <v>3945</v>
      </c>
      <c r="AC642" s="993">
        <f t="shared" si="185"/>
        <v>27.169421487603309</v>
      </c>
      <c r="AD642" s="994">
        <f t="shared" si="186"/>
        <v>4289</v>
      </c>
      <c r="AE642" s="995">
        <f t="shared" si="187"/>
        <v>29.53856749311295</v>
      </c>
      <c r="AF642" s="996">
        <v>84</v>
      </c>
      <c r="AG642" s="997">
        <v>64</v>
      </c>
      <c r="AH642" s="997">
        <v>7</v>
      </c>
      <c r="AI642" s="998">
        <f t="shared" si="188"/>
        <v>155</v>
      </c>
      <c r="AJ642" s="993">
        <f t="shared" si="189"/>
        <v>1.0674931129476586</v>
      </c>
    </row>
    <row r="643" spans="1:36" ht="16.5" customHeight="1">
      <c r="A643" s="999">
        <f>'09월 조업일지'!A641</f>
        <v>46289</v>
      </c>
      <c r="B643" s="1099">
        <f>'09월 조업일지'!B641</f>
        <v>46289</v>
      </c>
      <c r="C643" s="1000" t="str">
        <f>'09월 화학성분'!D641</f>
        <v>B</v>
      </c>
      <c r="D643" s="1000" t="str">
        <f>'09월 화학성분'!E641</f>
        <v>A</v>
      </c>
      <c r="E643" s="1000">
        <f>'09월 화학성분'!C641</f>
        <v>85843</v>
      </c>
      <c r="F643" s="1001" t="str">
        <f t="shared" si="175"/>
        <v>S355JO-01</v>
      </c>
      <c r="G643" s="1172">
        <v>19.899999999999999</v>
      </c>
      <c r="H643" s="985">
        <v>24700</v>
      </c>
      <c r="I643" s="1173">
        <v>16.899999999999999</v>
      </c>
      <c r="J643" s="985">
        <v>20700</v>
      </c>
      <c r="K643" s="1173">
        <v>7.1</v>
      </c>
      <c r="L643" s="985">
        <v>9000</v>
      </c>
      <c r="M643" s="1174">
        <f t="shared" si="176"/>
        <v>43.9</v>
      </c>
      <c r="N643" s="984">
        <f t="shared" si="177"/>
        <v>54400</v>
      </c>
      <c r="O643" s="986">
        <f t="shared" si="178"/>
        <v>170.46238785369221</v>
      </c>
      <c r="P643" s="987">
        <f t="shared" si="179"/>
        <v>142.85714285714286</v>
      </c>
      <c r="Q643" s="987">
        <f t="shared" si="180"/>
        <v>62.11180124223602</v>
      </c>
      <c r="R643" s="988">
        <f t="shared" si="181"/>
        <v>375.43133195307109</v>
      </c>
      <c r="S643" s="989">
        <v>144.9</v>
      </c>
      <c r="T643" s="990">
        <v>0</v>
      </c>
      <c r="U643" s="991">
        <v>101</v>
      </c>
      <c r="V643" s="991">
        <v>328</v>
      </c>
      <c r="W643" s="992">
        <f t="shared" si="182"/>
        <v>429</v>
      </c>
      <c r="X643" s="993">
        <f t="shared" si="183"/>
        <v>2.9606625258799171</v>
      </c>
      <c r="Y643" s="990">
        <v>1646</v>
      </c>
      <c r="Z643" s="991">
        <v>1396</v>
      </c>
      <c r="AA643" s="991">
        <v>762</v>
      </c>
      <c r="AB643" s="992">
        <f t="shared" si="184"/>
        <v>3804</v>
      </c>
      <c r="AC643" s="993">
        <f t="shared" si="185"/>
        <v>26.252587991718425</v>
      </c>
      <c r="AD643" s="994">
        <f t="shared" si="186"/>
        <v>4233</v>
      </c>
      <c r="AE643" s="995">
        <f t="shared" si="187"/>
        <v>29.213250517598343</v>
      </c>
      <c r="AF643" s="996">
        <v>83</v>
      </c>
      <c r="AG643" s="997">
        <v>64</v>
      </c>
      <c r="AH643" s="997">
        <v>24</v>
      </c>
      <c r="AI643" s="998">
        <f t="shared" si="188"/>
        <v>171</v>
      </c>
      <c r="AJ643" s="993">
        <f t="shared" si="189"/>
        <v>1.1801242236024845</v>
      </c>
    </row>
    <row r="644" spans="1:36" ht="16.5" customHeight="1">
      <c r="A644" s="999">
        <f>'09월 조업일지'!A642</f>
        <v>46289</v>
      </c>
      <c r="B644" s="1099">
        <f>'09월 조업일지'!B642</f>
        <v>46289</v>
      </c>
      <c r="C644" s="1000" t="str">
        <f>'09월 화학성분'!D642</f>
        <v>B</v>
      </c>
      <c r="D644" s="1000" t="str">
        <f>'09월 화학성분'!E642</f>
        <v>B</v>
      </c>
      <c r="E644" s="1000">
        <f>'09월 화학성분'!C642</f>
        <v>85844</v>
      </c>
      <c r="F644" s="1001" t="str">
        <f t="shared" si="175"/>
        <v>S355JO-01</v>
      </c>
      <c r="G644" s="1172">
        <v>18.899999999999999</v>
      </c>
      <c r="H644" s="985">
        <v>22700</v>
      </c>
      <c r="I644" s="1173">
        <v>16.8</v>
      </c>
      <c r="J644" s="985">
        <v>20500</v>
      </c>
      <c r="K644" s="1173">
        <v>9.1</v>
      </c>
      <c r="L644" s="985">
        <v>11800</v>
      </c>
      <c r="M644" s="1174">
        <f t="shared" si="176"/>
        <v>44.800000000000004</v>
      </c>
      <c r="N644" s="984">
        <f t="shared" si="177"/>
        <v>55000</v>
      </c>
      <c r="O644" s="986">
        <f t="shared" si="178"/>
        <v>157.20221606648198</v>
      </c>
      <c r="P644" s="987">
        <f t="shared" si="179"/>
        <v>141.96675900277009</v>
      </c>
      <c r="Q644" s="987">
        <f t="shared" si="180"/>
        <v>81.717451523545705</v>
      </c>
      <c r="R644" s="988">
        <f t="shared" si="181"/>
        <v>380.88642659279776</v>
      </c>
      <c r="S644" s="989">
        <v>144.4</v>
      </c>
      <c r="T644" s="990">
        <v>0</v>
      </c>
      <c r="U644" s="991">
        <v>16</v>
      </c>
      <c r="V644" s="991">
        <v>319</v>
      </c>
      <c r="W644" s="992">
        <f t="shared" si="182"/>
        <v>335</v>
      </c>
      <c r="X644" s="993">
        <f t="shared" si="183"/>
        <v>2.3199445983379499</v>
      </c>
      <c r="Y644" s="990">
        <v>1536</v>
      </c>
      <c r="Z644" s="991">
        <v>1353</v>
      </c>
      <c r="AA644" s="991">
        <v>951</v>
      </c>
      <c r="AB644" s="992">
        <f t="shared" si="184"/>
        <v>3840</v>
      </c>
      <c r="AC644" s="993">
        <f t="shared" si="185"/>
        <v>26.592797783933516</v>
      </c>
      <c r="AD644" s="994">
        <f t="shared" si="186"/>
        <v>4175</v>
      </c>
      <c r="AE644" s="995">
        <f t="shared" si="187"/>
        <v>28.912742382271468</v>
      </c>
      <c r="AF644" s="996">
        <v>82</v>
      </c>
      <c r="AG644" s="997">
        <v>65</v>
      </c>
      <c r="AH644" s="997">
        <v>9</v>
      </c>
      <c r="AI644" s="998">
        <f t="shared" si="188"/>
        <v>156</v>
      </c>
      <c r="AJ644" s="993">
        <f t="shared" si="189"/>
        <v>1.0803324099722991</v>
      </c>
    </row>
    <row r="645" spans="1:36" ht="16.5" customHeight="1">
      <c r="A645" s="999">
        <f>'09월 조업일지'!A643</f>
        <v>46289</v>
      </c>
      <c r="B645" s="1099">
        <f>'09월 조업일지'!B643</f>
        <v>46289</v>
      </c>
      <c r="C645" s="1000" t="str">
        <f>'09월 화학성분'!D643</f>
        <v>B</v>
      </c>
      <c r="D645" s="1000" t="str">
        <f>'09월 화학성분'!E643</f>
        <v>A</v>
      </c>
      <c r="E645" s="1000">
        <f>'09월 화학성분'!C643</f>
        <v>85845</v>
      </c>
      <c r="F645" s="1104" t="s">
        <v>786</v>
      </c>
      <c r="G645" s="1172">
        <v>19.600000000000001</v>
      </c>
      <c r="H645" s="985">
        <v>24000</v>
      </c>
      <c r="I645" s="1173">
        <v>17</v>
      </c>
      <c r="J645" s="985">
        <v>20600</v>
      </c>
      <c r="K645" s="1173">
        <v>9.4</v>
      </c>
      <c r="L645" s="985">
        <v>11800</v>
      </c>
      <c r="M645" s="1174">
        <f t="shared" si="176"/>
        <v>46</v>
      </c>
      <c r="N645" s="984">
        <f t="shared" si="177"/>
        <v>56400</v>
      </c>
      <c r="O645" s="986">
        <f t="shared" si="178"/>
        <v>164.49623029472241</v>
      </c>
      <c r="P645" s="987">
        <f t="shared" si="179"/>
        <v>141.19259766963674</v>
      </c>
      <c r="Q645" s="987">
        <f t="shared" si="180"/>
        <v>80.877313228238521</v>
      </c>
      <c r="R645" s="988">
        <f t="shared" si="181"/>
        <v>386.56614119259763</v>
      </c>
      <c r="S645" s="989">
        <v>145.9</v>
      </c>
      <c r="T645" s="990">
        <v>0</v>
      </c>
      <c r="U645" s="991">
        <v>56</v>
      </c>
      <c r="V645" s="991">
        <v>320</v>
      </c>
      <c r="W645" s="992">
        <f t="shared" si="182"/>
        <v>376</v>
      </c>
      <c r="X645" s="993">
        <f t="shared" si="183"/>
        <v>2.577107607950651</v>
      </c>
      <c r="Y645" s="990">
        <v>1656</v>
      </c>
      <c r="Z645" s="991">
        <v>1514</v>
      </c>
      <c r="AA645" s="991">
        <v>624</v>
      </c>
      <c r="AB645" s="992">
        <f t="shared" si="184"/>
        <v>3794</v>
      </c>
      <c r="AC645" s="993">
        <f t="shared" si="185"/>
        <v>26.004112405757368</v>
      </c>
      <c r="AD645" s="994">
        <f t="shared" si="186"/>
        <v>4170</v>
      </c>
      <c r="AE645" s="995">
        <f t="shared" si="187"/>
        <v>28.58122001370802</v>
      </c>
      <c r="AF645" s="996">
        <v>83</v>
      </c>
      <c r="AG645" s="997">
        <v>65</v>
      </c>
      <c r="AH645" s="997">
        <v>19</v>
      </c>
      <c r="AI645" s="998">
        <f t="shared" si="188"/>
        <v>167</v>
      </c>
      <c r="AJ645" s="993">
        <f t="shared" si="189"/>
        <v>1.1446196024674433</v>
      </c>
    </row>
    <row r="646" spans="1:36" ht="16.5" customHeight="1">
      <c r="A646" s="999">
        <f>'09월 조업일지'!A644</f>
        <v>46289</v>
      </c>
      <c r="B646" s="1099">
        <f>'09월 조업일지'!B644</f>
        <v>46289</v>
      </c>
      <c r="C646" s="1000" t="str">
        <f>'09월 화학성분'!D644</f>
        <v>B</v>
      </c>
      <c r="D646" s="1000" t="str">
        <f>'09월 화학성분'!E644</f>
        <v>B</v>
      </c>
      <c r="E646" s="1000">
        <f>'09월 화학성분'!C644</f>
        <v>85846</v>
      </c>
      <c r="F646" s="1104" t="s">
        <v>966</v>
      </c>
      <c r="G646" s="1172">
        <v>19.600000000000001</v>
      </c>
      <c r="H646" s="985">
        <v>22800</v>
      </c>
      <c r="I646" s="1173">
        <v>16.2</v>
      </c>
      <c r="J646" s="985">
        <v>20500</v>
      </c>
      <c r="K646" s="1173">
        <v>9.5</v>
      </c>
      <c r="L646" s="985">
        <v>12300</v>
      </c>
      <c r="M646" s="1174">
        <f t="shared" si="176"/>
        <v>45.3</v>
      </c>
      <c r="N646" s="984">
        <f t="shared" si="177"/>
        <v>55600</v>
      </c>
      <c r="O646" s="986">
        <f t="shared" si="178"/>
        <v>158.88501742160278</v>
      </c>
      <c r="P646" s="987">
        <f t="shared" si="179"/>
        <v>142.85714285714286</v>
      </c>
      <c r="Q646" s="987">
        <f t="shared" si="180"/>
        <v>85.714285714285708</v>
      </c>
      <c r="R646" s="988">
        <f t="shared" si="181"/>
        <v>387.45644599303137</v>
      </c>
      <c r="S646" s="989">
        <v>143.5</v>
      </c>
      <c r="T646" s="990">
        <v>0</v>
      </c>
      <c r="U646" s="991">
        <v>42</v>
      </c>
      <c r="V646" s="991">
        <v>315</v>
      </c>
      <c r="W646" s="992">
        <f t="shared" si="182"/>
        <v>357</v>
      </c>
      <c r="X646" s="993">
        <f t="shared" si="183"/>
        <v>2.4878048780487805</v>
      </c>
      <c r="Y646" s="990">
        <v>1615</v>
      </c>
      <c r="Z646" s="991">
        <v>1459</v>
      </c>
      <c r="AA646" s="991">
        <v>844</v>
      </c>
      <c r="AB646" s="992">
        <f t="shared" si="184"/>
        <v>3918</v>
      </c>
      <c r="AC646" s="993">
        <f t="shared" si="185"/>
        <v>27.303135888501743</v>
      </c>
      <c r="AD646" s="994">
        <f t="shared" si="186"/>
        <v>4275</v>
      </c>
      <c r="AE646" s="995">
        <f t="shared" si="187"/>
        <v>29.790940766550523</v>
      </c>
      <c r="AF646" s="996">
        <v>83</v>
      </c>
      <c r="AG646" s="997">
        <v>63</v>
      </c>
      <c r="AH646" s="997">
        <v>7</v>
      </c>
      <c r="AI646" s="998">
        <f t="shared" si="188"/>
        <v>153</v>
      </c>
      <c r="AJ646" s="993">
        <f t="shared" si="189"/>
        <v>1.0662020905923344</v>
      </c>
    </row>
    <row r="647" spans="1:36" ht="16.5" customHeight="1">
      <c r="A647" s="999">
        <f>'09월 조업일지'!A645</f>
        <v>46289</v>
      </c>
      <c r="B647" s="1099">
        <f>'09월 조업일지'!B645</f>
        <v>46289</v>
      </c>
      <c r="C647" s="1000" t="str">
        <f>'09월 화학성분'!D645</f>
        <v>B</v>
      </c>
      <c r="D647" s="1000" t="str">
        <f>'09월 화학성분'!E645</f>
        <v>A</v>
      </c>
      <c r="E647" s="1000">
        <f>'09월 화학성분'!C645</f>
        <v>85847</v>
      </c>
      <c r="F647" s="1001" t="str">
        <f t="shared" si="175"/>
        <v>SY300</v>
      </c>
      <c r="G647" s="1172">
        <v>19.899999999999999</v>
      </c>
      <c r="H647" s="985">
        <v>23200</v>
      </c>
      <c r="I647" s="1173">
        <v>16.899999999999999</v>
      </c>
      <c r="J647" s="985">
        <v>20800</v>
      </c>
      <c r="K647" s="1173">
        <v>9.8000000000000007</v>
      </c>
      <c r="L647" s="985">
        <v>11900</v>
      </c>
      <c r="M647" s="1174">
        <f t="shared" si="176"/>
        <v>46.599999999999994</v>
      </c>
      <c r="N647" s="984">
        <f t="shared" si="177"/>
        <v>55900</v>
      </c>
      <c r="O647" s="986">
        <f t="shared" si="178"/>
        <v>160.2209944751381</v>
      </c>
      <c r="P647" s="987">
        <f t="shared" si="179"/>
        <v>143.64640883977899</v>
      </c>
      <c r="Q647" s="987">
        <f t="shared" si="180"/>
        <v>82.182320441988949</v>
      </c>
      <c r="R647" s="988">
        <f t="shared" si="181"/>
        <v>386.04972375690602</v>
      </c>
      <c r="S647" s="989">
        <v>144.80000000000001</v>
      </c>
      <c r="T647" s="990">
        <v>0</v>
      </c>
      <c r="U647" s="991">
        <v>58</v>
      </c>
      <c r="V647" s="991">
        <v>333</v>
      </c>
      <c r="W647" s="992">
        <f t="shared" si="182"/>
        <v>391</v>
      </c>
      <c r="X647" s="993">
        <f t="shared" si="183"/>
        <v>2.7002762430939224</v>
      </c>
      <c r="Y647" s="990">
        <v>1590</v>
      </c>
      <c r="Z647" s="991">
        <v>1396</v>
      </c>
      <c r="AA647" s="991">
        <v>1122</v>
      </c>
      <c r="AB647" s="992">
        <f t="shared" si="184"/>
        <v>4108</v>
      </c>
      <c r="AC647" s="993">
        <f t="shared" si="185"/>
        <v>28.370165745856351</v>
      </c>
      <c r="AD647" s="994">
        <f t="shared" si="186"/>
        <v>4499</v>
      </c>
      <c r="AE647" s="995">
        <f t="shared" si="187"/>
        <v>31.070441988950275</v>
      </c>
      <c r="AF647" s="996">
        <v>83</v>
      </c>
      <c r="AG647" s="997">
        <v>63</v>
      </c>
      <c r="AH647" s="997">
        <v>27</v>
      </c>
      <c r="AI647" s="998">
        <f t="shared" si="188"/>
        <v>173</v>
      </c>
      <c r="AJ647" s="993">
        <f t="shared" si="189"/>
        <v>1.1947513812154695</v>
      </c>
    </row>
    <row r="648" spans="1:36" ht="16.5" customHeight="1">
      <c r="A648" s="999">
        <f>'09월 조업일지'!A646</f>
        <v>46289</v>
      </c>
      <c r="B648" s="1099">
        <f>'09월 조업일지'!B646</f>
        <v>46289</v>
      </c>
      <c r="C648" s="1000" t="str">
        <f>'09월 화학성분'!D646</f>
        <v>C</v>
      </c>
      <c r="D648" s="1000" t="str">
        <f>'09월 화학성분'!E646</f>
        <v>B</v>
      </c>
      <c r="E648" s="1000">
        <f>'09월 화학성분'!C646</f>
        <v>85848</v>
      </c>
      <c r="F648" s="1104" t="s">
        <v>638</v>
      </c>
      <c r="G648" s="1172">
        <v>19</v>
      </c>
      <c r="H648" s="985">
        <v>23400</v>
      </c>
      <c r="I648" s="1173">
        <v>16.5</v>
      </c>
      <c r="J648" s="985">
        <v>20500</v>
      </c>
      <c r="K648" s="1173">
        <v>14.6</v>
      </c>
      <c r="L648" s="985">
        <v>18500</v>
      </c>
      <c r="M648" s="1174">
        <f t="shared" si="176"/>
        <v>50.1</v>
      </c>
      <c r="N648" s="984">
        <f t="shared" si="177"/>
        <v>62400</v>
      </c>
      <c r="O648" s="986">
        <f t="shared" si="178"/>
        <v>163.75087473757873</v>
      </c>
      <c r="P648" s="987">
        <f t="shared" si="179"/>
        <v>143.45696291112665</v>
      </c>
      <c r="Q648" s="987">
        <f t="shared" si="180"/>
        <v>129.46116165150454</v>
      </c>
      <c r="R648" s="988">
        <f t="shared" si="181"/>
        <v>436.66899930020992</v>
      </c>
      <c r="S648" s="989">
        <v>142.9</v>
      </c>
      <c r="T648" s="990">
        <v>0</v>
      </c>
      <c r="U648" s="991">
        <v>14</v>
      </c>
      <c r="V648" s="991">
        <v>320</v>
      </c>
      <c r="W648" s="992">
        <f t="shared" si="182"/>
        <v>334</v>
      </c>
      <c r="X648" s="993">
        <f t="shared" si="183"/>
        <v>2.3372988103568928</v>
      </c>
      <c r="Y648" s="990">
        <v>1574</v>
      </c>
      <c r="Z648" s="991">
        <v>1365</v>
      </c>
      <c r="AA648" s="991">
        <v>1401</v>
      </c>
      <c r="AB648" s="992">
        <f t="shared" si="184"/>
        <v>4340</v>
      </c>
      <c r="AC648" s="993">
        <f t="shared" si="185"/>
        <v>30.370888733379985</v>
      </c>
      <c r="AD648" s="994">
        <f t="shared" si="186"/>
        <v>4674</v>
      </c>
      <c r="AE648" s="995">
        <f t="shared" si="187"/>
        <v>32.708187543736877</v>
      </c>
      <c r="AF648" s="996">
        <v>81</v>
      </c>
      <c r="AG648" s="997">
        <v>63</v>
      </c>
      <c r="AH648" s="997">
        <v>13</v>
      </c>
      <c r="AI648" s="998">
        <f t="shared" si="188"/>
        <v>157</v>
      </c>
      <c r="AJ648" s="993">
        <f t="shared" si="189"/>
        <v>1.0986703988803359</v>
      </c>
    </row>
    <row r="649" spans="1:36" ht="16.5" customHeight="1">
      <c r="A649" s="999">
        <f>'09월 조업일지'!A647</f>
        <v>46289</v>
      </c>
      <c r="B649" s="1099">
        <f>'09월 조업일지'!B647</f>
        <v>46289</v>
      </c>
      <c r="C649" s="1000" t="str">
        <f>'09월 화학성분'!D647</f>
        <v>C</v>
      </c>
      <c r="D649" s="1000" t="str">
        <f>'09월 화학성분'!E647</f>
        <v>A</v>
      </c>
      <c r="E649" s="1000">
        <f>'09월 화학성분'!C647</f>
        <v>85849</v>
      </c>
      <c r="F649" s="1001" t="str">
        <f t="shared" si="175"/>
        <v>S355JO-01</v>
      </c>
      <c r="G649" s="1172">
        <v>18.399999999999999</v>
      </c>
      <c r="H649" s="985">
        <v>22900</v>
      </c>
      <c r="I649" s="1173">
        <v>16.899999999999999</v>
      </c>
      <c r="J649" s="985">
        <v>20800</v>
      </c>
      <c r="K649" s="1173">
        <v>7.9</v>
      </c>
      <c r="L649" s="985">
        <v>10200</v>
      </c>
      <c r="M649" s="1174">
        <f t="shared" si="176"/>
        <v>43.199999999999996</v>
      </c>
      <c r="N649" s="984">
        <f t="shared" si="177"/>
        <v>53900</v>
      </c>
      <c r="O649" s="986">
        <f t="shared" si="178"/>
        <v>158.47750865051904</v>
      </c>
      <c r="P649" s="987">
        <f t="shared" si="179"/>
        <v>143.94463667820068</v>
      </c>
      <c r="Q649" s="987">
        <f t="shared" si="180"/>
        <v>70.588235294117652</v>
      </c>
      <c r="R649" s="988">
        <f t="shared" si="181"/>
        <v>373.01038062283737</v>
      </c>
      <c r="S649" s="989">
        <v>144.5</v>
      </c>
      <c r="T649" s="990">
        <v>0</v>
      </c>
      <c r="U649" s="991">
        <v>79</v>
      </c>
      <c r="V649" s="991">
        <v>254</v>
      </c>
      <c r="W649" s="992">
        <f t="shared" si="182"/>
        <v>333</v>
      </c>
      <c r="X649" s="993">
        <f t="shared" si="183"/>
        <v>2.3044982698961936</v>
      </c>
      <c r="Y649" s="990">
        <v>1499</v>
      </c>
      <c r="Z649" s="991">
        <v>1476</v>
      </c>
      <c r="AA649" s="991">
        <v>762</v>
      </c>
      <c r="AB649" s="992">
        <f t="shared" si="184"/>
        <v>3737</v>
      </c>
      <c r="AC649" s="993">
        <f t="shared" si="185"/>
        <v>25.86159169550173</v>
      </c>
      <c r="AD649" s="994">
        <f t="shared" si="186"/>
        <v>4070</v>
      </c>
      <c r="AE649" s="995">
        <f t="shared" si="187"/>
        <v>28.166089965397923</v>
      </c>
      <c r="AF649" s="996">
        <v>80</v>
      </c>
      <c r="AG649" s="997">
        <v>66</v>
      </c>
      <c r="AH649" s="997">
        <v>22</v>
      </c>
      <c r="AI649" s="998">
        <f t="shared" si="188"/>
        <v>168</v>
      </c>
      <c r="AJ649" s="993">
        <f t="shared" si="189"/>
        <v>1.1626297577854672</v>
      </c>
    </row>
    <row r="650" spans="1:36" ht="16.5" customHeight="1">
      <c r="A650" s="999">
        <f>'09월 조업일지'!A648</f>
        <v>46289</v>
      </c>
      <c r="B650" s="1099">
        <f>'09월 조업일지'!B648</f>
        <v>46289</v>
      </c>
      <c r="C650" s="1000" t="str">
        <f>'09월 화학성분'!D648</f>
        <v>C</v>
      </c>
      <c r="D650" s="1000" t="str">
        <f>'09월 화학성분'!E648</f>
        <v>B</v>
      </c>
      <c r="E650" s="1000">
        <f>'09월 화학성분'!C648</f>
        <v>85850</v>
      </c>
      <c r="F650" s="1001" t="str">
        <f t="shared" si="175"/>
        <v>S355JO-01</v>
      </c>
      <c r="G650" s="1172">
        <v>19.600000000000001</v>
      </c>
      <c r="H650" s="985">
        <v>22500</v>
      </c>
      <c r="I650" s="1173">
        <v>16.5</v>
      </c>
      <c r="J650" s="985">
        <v>20300</v>
      </c>
      <c r="K650" s="1173">
        <v>9.4</v>
      </c>
      <c r="L650" s="985">
        <v>12000</v>
      </c>
      <c r="M650" s="1174">
        <f t="shared" si="176"/>
        <v>45.5</v>
      </c>
      <c r="N650" s="984">
        <f t="shared" si="177"/>
        <v>54800</v>
      </c>
      <c r="O650" s="986">
        <f t="shared" si="178"/>
        <v>155.27950310559007</v>
      </c>
      <c r="P650" s="987">
        <f t="shared" si="179"/>
        <v>140.09661835748793</v>
      </c>
      <c r="Q650" s="987">
        <f t="shared" si="180"/>
        <v>82.815734989648035</v>
      </c>
      <c r="R650" s="988">
        <f t="shared" si="181"/>
        <v>378.19185645272603</v>
      </c>
      <c r="S650" s="989">
        <v>144.9</v>
      </c>
      <c r="T650" s="990">
        <v>0</v>
      </c>
      <c r="U650" s="991">
        <v>49</v>
      </c>
      <c r="V650" s="991">
        <v>267</v>
      </c>
      <c r="W650" s="992">
        <f t="shared" si="182"/>
        <v>316</v>
      </c>
      <c r="X650" s="993">
        <f t="shared" si="183"/>
        <v>2.1808143547273979</v>
      </c>
      <c r="Y650" s="990">
        <v>1595</v>
      </c>
      <c r="Z650" s="991">
        <v>1367</v>
      </c>
      <c r="AA650" s="991">
        <v>824</v>
      </c>
      <c r="AB650" s="992">
        <f t="shared" si="184"/>
        <v>3786</v>
      </c>
      <c r="AC650" s="993">
        <f t="shared" si="185"/>
        <v>26.128364389233955</v>
      </c>
      <c r="AD650" s="994">
        <f t="shared" si="186"/>
        <v>4102</v>
      </c>
      <c r="AE650" s="995">
        <f t="shared" si="187"/>
        <v>28.30917874396135</v>
      </c>
      <c r="AF650" s="996">
        <v>84</v>
      </c>
      <c r="AG650" s="997">
        <v>63</v>
      </c>
      <c r="AH650" s="997">
        <v>7</v>
      </c>
      <c r="AI650" s="998">
        <f t="shared" si="188"/>
        <v>154</v>
      </c>
      <c r="AJ650" s="993">
        <f t="shared" si="189"/>
        <v>1.0628019323671498</v>
      </c>
    </row>
    <row r="651" spans="1:36" ht="16.5" customHeight="1">
      <c r="A651" s="999">
        <f>'09월 조업일지'!A649</f>
        <v>46289</v>
      </c>
      <c r="B651" s="1099">
        <f>'09월 조업일지'!B649</f>
        <v>46289</v>
      </c>
      <c r="C651" s="1000" t="str">
        <f>'09월 화학성분'!D649</f>
        <v>C</v>
      </c>
      <c r="D651" s="1000" t="str">
        <f>'09월 화학성분'!E649</f>
        <v>A</v>
      </c>
      <c r="E651" s="1000">
        <f>'09월 화학성분'!C649</f>
        <v>85851</v>
      </c>
      <c r="F651" s="1001" t="str">
        <f t="shared" si="175"/>
        <v>S355JO-01</v>
      </c>
      <c r="G651" s="1172">
        <v>19.399999999999999</v>
      </c>
      <c r="H651" s="985">
        <v>23000</v>
      </c>
      <c r="I651" s="1173">
        <v>16.7</v>
      </c>
      <c r="J651" s="985">
        <v>20600</v>
      </c>
      <c r="K651" s="1173">
        <v>9.5</v>
      </c>
      <c r="L651" s="985">
        <v>12200</v>
      </c>
      <c r="M651" s="1174">
        <f t="shared" si="176"/>
        <v>45.599999999999994</v>
      </c>
      <c r="N651" s="984">
        <f t="shared" si="177"/>
        <v>55800</v>
      </c>
      <c r="O651" s="986">
        <f t="shared" si="178"/>
        <v>159.05947441217151</v>
      </c>
      <c r="P651" s="987">
        <f t="shared" si="179"/>
        <v>142.46196403872753</v>
      </c>
      <c r="Q651" s="987">
        <f t="shared" si="180"/>
        <v>84.370677731673581</v>
      </c>
      <c r="R651" s="988">
        <f t="shared" si="181"/>
        <v>385.89211618257264</v>
      </c>
      <c r="S651" s="989">
        <v>144.6</v>
      </c>
      <c r="T651" s="990">
        <v>0</v>
      </c>
      <c r="U651" s="991">
        <v>88</v>
      </c>
      <c r="V651" s="991">
        <v>254</v>
      </c>
      <c r="W651" s="992">
        <f t="shared" si="182"/>
        <v>342</v>
      </c>
      <c r="X651" s="993">
        <f t="shared" si="183"/>
        <v>2.3651452282157677</v>
      </c>
      <c r="Y651" s="990">
        <v>1616</v>
      </c>
      <c r="Z651" s="991">
        <v>1379</v>
      </c>
      <c r="AA651" s="991">
        <v>863</v>
      </c>
      <c r="AB651" s="992">
        <f t="shared" si="184"/>
        <v>3858</v>
      </c>
      <c r="AC651" s="993">
        <f t="shared" si="185"/>
        <v>26.680497925311204</v>
      </c>
      <c r="AD651" s="994">
        <f t="shared" si="186"/>
        <v>4200</v>
      </c>
      <c r="AE651" s="995">
        <f t="shared" si="187"/>
        <v>29.045643153526971</v>
      </c>
      <c r="AF651" s="996">
        <v>83</v>
      </c>
      <c r="AG651" s="997">
        <v>64</v>
      </c>
      <c r="AH651" s="997">
        <v>28</v>
      </c>
      <c r="AI651" s="998">
        <f t="shared" si="188"/>
        <v>175</v>
      </c>
      <c r="AJ651" s="993">
        <f t="shared" si="189"/>
        <v>1.2102351313969573</v>
      </c>
    </row>
    <row r="652" spans="1:36" ht="16.5" customHeight="1">
      <c r="A652" s="999">
        <f>'09월 조업일지'!A650</f>
        <v>46289</v>
      </c>
      <c r="B652" s="1099">
        <f>'09월 조업일지'!B650</f>
        <v>46289</v>
      </c>
      <c r="C652" s="1000" t="str">
        <f>'09월 화학성분'!D650</f>
        <v>C</v>
      </c>
      <c r="D652" s="1000" t="str">
        <f>'09월 화학성분'!E650</f>
        <v>B</v>
      </c>
      <c r="E652" s="1000">
        <f>'09월 화학성분'!C650</f>
        <v>85852</v>
      </c>
      <c r="F652" s="1001" t="str">
        <f t="shared" si="175"/>
        <v>S355JO-01</v>
      </c>
      <c r="G652" s="1172">
        <v>19.8</v>
      </c>
      <c r="H652" s="985">
        <v>22800</v>
      </c>
      <c r="I652" s="1173">
        <v>16.600000000000001</v>
      </c>
      <c r="J652" s="985">
        <v>20600</v>
      </c>
      <c r="K652" s="1173">
        <v>8.1</v>
      </c>
      <c r="L652" s="985">
        <v>10500</v>
      </c>
      <c r="M652" s="1174">
        <f t="shared" si="176"/>
        <v>44.500000000000007</v>
      </c>
      <c r="N652" s="984">
        <f t="shared" si="177"/>
        <v>53900</v>
      </c>
      <c r="O652" s="986">
        <f t="shared" si="178"/>
        <v>156.48592999313661</v>
      </c>
      <c r="P652" s="987">
        <f t="shared" si="179"/>
        <v>141.38641043239534</v>
      </c>
      <c r="Q652" s="987">
        <f t="shared" si="180"/>
        <v>72.0658888126287</v>
      </c>
      <c r="R652" s="988">
        <f t="shared" si="181"/>
        <v>369.93822923816066</v>
      </c>
      <c r="S652" s="989">
        <v>145.69999999999999</v>
      </c>
      <c r="T652" s="990">
        <v>0</v>
      </c>
      <c r="U652" s="991">
        <v>39</v>
      </c>
      <c r="V652" s="991">
        <v>291</v>
      </c>
      <c r="W652" s="992">
        <f t="shared" si="182"/>
        <v>330</v>
      </c>
      <c r="X652" s="993">
        <f t="shared" si="183"/>
        <v>2.2649279341111876</v>
      </c>
      <c r="Y652" s="990">
        <v>1620</v>
      </c>
      <c r="Z652" s="991">
        <v>1385</v>
      </c>
      <c r="AA652" s="991">
        <v>804</v>
      </c>
      <c r="AB652" s="992">
        <f t="shared" si="184"/>
        <v>3809</v>
      </c>
      <c r="AC652" s="993">
        <f t="shared" si="185"/>
        <v>26.142759094028829</v>
      </c>
      <c r="AD652" s="994">
        <f t="shared" si="186"/>
        <v>4139</v>
      </c>
      <c r="AE652" s="995">
        <f t="shared" si="187"/>
        <v>28.407687028140018</v>
      </c>
      <c r="AF652" s="996">
        <v>84</v>
      </c>
      <c r="AG652" s="997">
        <v>63</v>
      </c>
      <c r="AH652" s="997">
        <v>7</v>
      </c>
      <c r="AI652" s="998">
        <f t="shared" si="188"/>
        <v>154</v>
      </c>
      <c r="AJ652" s="993">
        <f t="shared" si="189"/>
        <v>1.0569663692518876</v>
      </c>
    </row>
    <row r="653" spans="1:36" ht="16.5" customHeight="1">
      <c r="A653" s="999">
        <f>'09월 조업일지'!A651</f>
        <v>46289</v>
      </c>
      <c r="B653" s="1099">
        <f>'09월 조업일지'!B651</f>
        <v>46289</v>
      </c>
      <c r="C653" s="1000" t="str">
        <f>'09월 화학성분'!D651</f>
        <v>C</v>
      </c>
      <c r="D653" s="1000" t="str">
        <f>'09월 화학성분'!E651</f>
        <v>A</v>
      </c>
      <c r="E653" s="1000">
        <f>'09월 화학성분'!C651</f>
        <v>85853</v>
      </c>
      <c r="F653" s="1001" t="str">
        <f t="shared" si="175"/>
        <v>S355JO-01</v>
      </c>
      <c r="G653" s="1172">
        <v>18.5</v>
      </c>
      <c r="H653" s="985">
        <v>21300</v>
      </c>
      <c r="I653" s="1173">
        <v>17.399999999999999</v>
      </c>
      <c r="J653" s="985">
        <v>21000</v>
      </c>
      <c r="K653" s="1173">
        <v>15.2</v>
      </c>
      <c r="L653" s="985">
        <v>18400</v>
      </c>
      <c r="M653" s="1174">
        <f t="shared" si="176"/>
        <v>51.099999999999994</v>
      </c>
      <c r="N653" s="984">
        <f t="shared" si="177"/>
        <v>60700</v>
      </c>
      <c r="O653" s="986">
        <f t="shared" si="178"/>
        <v>147.09944751381215</v>
      </c>
      <c r="P653" s="987">
        <f t="shared" si="179"/>
        <v>145.02762430939225</v>
      </c>
      <c r="Q653" s="987">
        <f t="shared" si="180"/>
        <v>127.07182320441989</v>
      </c>
      <c r="R653" s="988">
        <f t="shared" si="181"/>
        <v>419.1988950276243</v>
      </c>
      <c r="S653" s="989">
        <v>144.80000000000001</v>
      </c>
      <c r="T653" s="990">
        <v>0</v>
      </c>
      <c r="U653" s="991">
        <v>57</v>
      </c>
      <c r="V653" s="991">
        <v>358</v>
      </c>
      <c r="W653" s="992">
        <f t="shared" si="182"/>
        <v>415</v>
      </c>
      <c r="X653" s="993">
        <f t="shared" si="183"/>
        <v>2.8660220994475134</v>
      </c>
      <c r="Y653" s="990">
        <v>1469</v>
      </c>
      <c r="Z653" s="991">
        <v>1461</v>
      </c>
      <c r="AA653" s="991">
        <v>1429</v>
      </c>
      <c r="AB653" s="992">
        <f t="shared" si="184"/>
        <v>4359</v>
      </c>
      <c r="AC653" s="993">
        <f t="shared" si="185"/>
        <v>30.103591160220994</v>
      </c>
      <c r="AD653" s="994">
        <f t="shared" si="186"/>
        <v>4774</v>
      </c>
      <c r="AE653" s="995">
        <f t="shared" si="187"/>
        <v>32.969613259668506</v>
      </c>
      <c r="AF653" s="996">
        <v>83</v>
      </c>
      <c r="AG653" s="997">
        <v>66</v>
      </c>
      <c r="AH653" s="997">
        <v>36</v>
      </c>
      <c r="AI653" s="998">
        <f t="shared" si="188"/>
        <v>185</v>
      </c>
      <c r="AJ653" s="993">
        <f t="shared" si="189"/>
        <v>1.277624309392265</v>
      </c>
    </row>
    <row r="654" spans="1:36" ht="16.5" customHeight="1">
      <c r="A654" s="999">
        <f>'09월 조업일지'!A652</f>
        <v>46289</v>
      </c>
      <c r="B654" s="1099">
        <f>'09월 조업일지'!B652</f>
        <v>46289</v>
      </c>
      <c r="C654" s="1000" t="str">
        <f>'09월 화학성분'!D652</f>
        <v>C</v>
      </c>
      <c r="D654" s="1000" t="str">
        <f>'09월 화학성분'!E652</f>
        <v>B</v>
      </c>
      <c r="E654" s="1000">
        <f>'09월 화학성분'!C652</f>
        <v>85854</v>
      </c>
      <c r="F654" s="1001" t="str">
        <f t="shared" si="175"/>
        <v>S355JO-01</v>
      </c>
      <c r="G654" s="1172">
        <v>18.899999999999999</v>
      </c>
      <c r="H654" s="985">
        <v>22800</v>
      </c>
      <c r="I654" s="1173">
        <v>16.5</v>
      </c>
      <c r="J654" s="985">
        <v>20400</v>
      </c>
      <c r="K654" s="1173">
        <v>8.6</v>
      </c>
      <c r="L654" s="985">
        <v>10900</v>
      </c>
      <c r="M654" s="1174">
        <f t="shared" si="176"/>
        <v>44</v>
      </c>
      <c r="N654" s="984">
        <f t="shared" si="177"/>
        <v>54100</v>
      </c>
      <c r="O654" s="986">
        <f t="shared" si="178"/>
        <v>158.99581589958157</v>
      </c>
      <c r="P654" s="987">
        <f t="shared" si="179"/>
        <v>142.25941422594141</v>
      </c>
      <c r="Q654" s="987">
        <f t="shared" si="180"/>
        <v>76.011157601115755</v>
      </c>
      <c r="R654" s="988">
        <f t="shared" si="181"/>
        <v>377.26638772663875</v>
      </c>
      <c r="S654" s="989">
        <v>143.4</v>
      </c>
      <c r="T654" s="990">
        <v>0</v>
      </c>
      <c r="U654" s="991">
        <v>71</v>
      </c>
      <c r="V654" s="991">
        <v>347</v>
      </c>
      <c r="W654" s="992">
        <f t="shared" si="182"/>
        <v>418</v>
      </c>
      <c r="X654" s="993">
        <f t="shared" si="183"/>
        <v>2.9149232914923289</v>
      </c>
      <c r="Y654" s="990">
        <v>1530</v>
      </c>
      <c r="Z654" s="991">
        <v>1364</v>
      </c>
      <c r="AA654" s="991">
        <v>756</v>
      </c>
      <c r="AB654" s="992">
        <f t="shared" si="184"/>
        <v>3650</v>
      </c>
      <c r="AC654" s="993">
        <f t="shared" si="185"/>
        <v>25.453277545327754</v>
      </c>
      <c r="AD654" s="994">
        <f t="shared" si="186"/>
        <v>4068</v>
      </c>
      <c r="AE654" s="995">
        <f t="shared" si="187"/>
        <v>28.368200836820083</v>
      </c>
      <c r="AF654" s="996">
        <v>80</v>
      </c>
      <c r="AG654" s="997">
        <v>65</v>
      </c>
      <c r="AH654" s="997">
        <v>6</v>
      </c>
      <c r="AI654" s="998">
        <f t="shared" si="188"/>
        <v>151</v>
      </c>
      <c r="AJ654" s="993">
        <f t="shared" si="189"/>
        <v>1.0529986052998606</v>
      </c>
    </row>
    <row r="655" spans="1:36" ht="16.5" customHeight="1">
      <c r="A655" s="999">
        <f>'09월 조업일지'!A653</f>
        <v>46289</v>
      </c>
      <c r="B655" s="1099">
        <f>'09월 조업일지'!B653</f>
        <v>46289</v>
      </c>
      <c r="C655" s="1000" t="str">
        <f>'09월 화학성분'!D653</f>
        <v>C</v>
      </c>
      <c r="D655" s="1000" t="str">
        <f>'09월 화학성분'!E653</f>
        <v>A</v>
      </c>
      <c r="E655" s="1000">
        <f>'09월 화학성분'!C653</f>
        <v>85855</v>
      </c>
      <c r="F655" s="1001" t="str">
        <f t="shared" si="175"/>
        <v>S355JO-01</v>
      </c>
      <c r="G655" s="1172">
        <v>20.100000000000001</v>
      </c>
      <c r="H655" s="985">
        <v>24000</v>
      </c>
      <c r="I655" s="1173">
        <v>17.7</v>
      </c>
      <c r="J655" s="985">
        <v>20900</v>
      </c>
      <c r="K655" s="1173">
        <v>9.4</v>
      </c>
      <c r="L655" s="985">
        <v>11800</v>
      </c>
      <c r="M655" s="1174">
        <f t="shared" si="176"/>
        <v>47.199999999999996</v>
      </c>
      <c r="N655" s="984">
        <f t="shared" si="177"/>
        <v>56700</v>
      </c>
      <c r="O655" s="986">
        <f t="shared" si="178"/>
        <v>167.83216783216784</v>
      </c>
      <c r="P655" s="987">
        <f t="shared" si="179"/>
        <v>146.15384615384616</v>
      </c>
      <c r="Q655" s="987">
        <f t="shared" si="180"/>
        <v>82.51748251748252</v>
      </c>
      <c r="R655" s="988">
        <f t="shared" si="181"/>
        <v>396.50349650349648</v>
      </c>
      <c r="S655" s="989">
        <v>143</v>
      </c>
      <c r="T655" s="990">
        <v>0</v>
      </c>
      <c r="U655" s="991">
        <v>74</v>
      </c>
      <c r="V655" s="991">
        <v>286</v>
      </c>
      <c r="W655" s="992">
        <f t="shared" si="182"/>
        <v>360</v>
      </c>
      <c r="X655" s="993">
        <f t="shared" si="183"/>
        <v>2.5174825174825175</v>
      </c>
      <c r="Y655" s="990">
        <v>1664</v>
      </c>
      <c r="Z655" s="991">
        <v>1436</v>
      </c>
      <c r="AA655" s="991">
        <v>717</v>
      </c>
      <c r="AB655" s="992">
        <f t="shared" si="184"/>
        <v>3817</v>
      </c>
      <c r="AC655" s="993">
        <f t="shared" si="185"/>
        <v>26.692307692307693</v>
      </c>
      <c r="AD655" s="994">
        <f t="shared" si="186"/>
        <v>4177</v>
      </c>
      <c r="AE655" s="995">
        <f t="shared" si="187"/>
        <v>29.20979020979021</v>
      </c>
      <c r="AF655" s="996">
        <v>83</v>
      </c>
      <c r="AG655" s="997">
        <v>66</v>
      </c>
      <c r="AH655" s="997">
        <v>21</v>
      </c>
      <c r="AI655" s="998">
        <f t="shared" si="188"/>
        <v>170</v>
      </c>
      <c r="AJ655" s="993">
        <f t="shared" si="189"/>
        <v>1.1888111888111887</v>
      </c>
    </row>
    <row r="656" spans="1:36" ht="16.5" customHeight="1">
      <c r="A656" s="999">
        <f>'09월 조업일지'!A654</f>
        <v>46289</v>
      </c>
      <c r="B656" s="1099">
        <f>'09월 조업일지'!B654</f>
        <v>46289</v>
      </c>
      <c r="C656" s="1000" t="str">
        <f>'09월 화학성분'!D654</f>
        <v>C</v>
      </c>
      <c r="D656" s="1000" t="str">
        <f>'09월 화학성분'!E654</f>
        <v>B</v>
      </c>
      <c r="E656" s="1000">
        <f>'09월 화학성분'!C654</f>
        <v>85856</v>
      </c>
      <c r="F656" s="1001" t="str">
        <f t="shared" ref="F656:F718" si="190">IF(G656="","",F655)</f>
        <v>S355JO-01</v>
      </c>
      <c r="G656" s="1172">
        <v>18.899999999999999</v>
      </c>
      <c r="H656" s="985">
        <v>22600</v>
      </c>
      <c r="I656" s="1173">
        <v>16.399999999999999</v>
      </c>
      <c r="J656" s="985">
        <v>20300</v>
      </c>
      <c r="K656" s="1173">
        <v>10.7</v>
      </c>
      <c r="L656" s="985">
        <v>13800</v>
      </c>
      <c r="M656" s="1174">
        <f t="shared" ref="M656:M719" si="191">IF(ISBLANK(G656),"",SUM(G656,I656,K656))</f>
        <v>46</v>
      </c>
      <c r="N656" s="984">
        <f t="shared" ref="N656:N719" si="192">IF(ISBLANK(H656),"",SUM(H656,J656,L656))</f>
        <v>56700</v>
      </c>
      <c r="O656" s="986">
        <f t="shared" ref="O656:O719" si="193">IF(ISBLANK(H656),"",H656/S656)</f>
        <v>156.50969529085873</v>
      </c>
      <c r="P656" s="987">
        <f t="shared" ref="P656:P719" si="194">IF(ISBLANK(J656),"",+J656/S656)</f>
        <v>140.58171745152353</v>
      </c>
      <c r="Q656" s="987">
        <f t="shared" ref="Q656:Q719" si="195">IF(ISBLANK(L656),"",L656/S656)</f>
        <v>95.56786703601108</v>
      </c>
      <c r="R656" s="988">
        <f t="shared" ref="R656:R719" si="196">IF(ISBLANK(L656),"",SUM(O656:Q656))</f>
        <v>392.65927977839334</v>
      </c>
      <c r="S656" s="989">
        <v>144.4</v>
      </c>
      <c r="T656" s="990">
        <v>0</v>
      </c>
      <c r="U656" s="991">
        <v>48</v>
      </c>
      <c r="V656" s="991">
        <v>285</v>
      </c>
      <c r="W656" s="992">
        <f t="shared" ref="W656:W719" si="197">IF(SUM(T656:V656)=0,"",SUM(T656:V656))</f>
        <v>333</v>
      </c>
      <c r="X656" s="993">
        <f t="shared" ref="X656:X719" si="198">IF(W656="","",W656/S656)</f>
        <v>2.3060941828254848</v>
      </c>
      <c r="Y656" s="990">
        <v>1544</v>
      </c>
      <c r="Z656" s="991">
        <v>1334</v>
      </c>
      <c r="AA656" s="991">
        <v>932</v>
      </c>
      <c r="AB656" s="992">
        <f t="shared" ref="AB656:AB719" si="199">IF(SUM(Y656:AA656)=0,"",SUM(Y656:AA656))</f>
        <v>3810</v>
      </c>
      <c r="AC656" s="993">
        <f t="shared" ref="AC656:AC719" si="200">IF(AB656="","",AB656/S656)</f>
        <v>26.385041551246537</v>
      </c>
      <c r="AD656" s="994">
        <f t="shared" ref="AD656:AD719" si="201">IF(SUM(W656,AB656)=0,"",SUM(W656,AB656))</f>
        <v>4143</v>
      </c>
      <c r="AE656" s="995">
        <f t="shared" ref="AE656:AE719" si="202">IF(AD656="","",AD656/S656)</f>
        <v>28.69113573407202</v>
      </c>
      <c r="AF656" s="996">
        <v>80</v>
      </c>
      <c r="AG656" s="997">
        <v>64</v>
      </c>
      <c r="AH656" s="997">
        <v>8</v>
      </c>
      <c r="AI656" s="998">
        <f t="shared" ref="AI656:AI719" si="203">IF(SUM(AF656:AH656)=0,"",SUM(AF656:AH656))</f>
        <v>152</v>
      </c>
      <c r="AJ656" s="993">
        <f t="shared" ref="AJ656:AJ719" si="204">IF(AI656="","",AI656/S656)</f>
        <v>1.0526315789473684</v>
      </c>
    </row>
    <row r="657" spans="1:38" ht="16.5" customHeight="1">
      <c r="A657" s="999">
        <f>'09월 조업일지'!A655</f>
        <v>46289</v>
      </c>
      <c r="B657" s="1099">
        <f>'09월 조업일지'!B655</f>
        <v>46289</v>
      </c>
      <c r="C657" s="1000" t="str">
        <f>'09월 화학성분'!D655</f>
        <v>C</v>
      </c>
      <c r="D657" s="1000" t="str">
        <f>'09월 화학성분'!E655</f>
        <v>A</v>
      </c>
      <c r="E657" s="1000">
        <f>'09월 화학성분'!C655</f>
        <v>85857</v>
      </c>
      <c r="F657" s="1001" t="str">
        <f t="shared" si="190"/>
        <v>S355JO-01</v>
      </c>
      <c r="G657" s="1172">
        <v>19.399999999999999</v>
      </c>
      <c r="H657" s="985">
        <v>23000</v>
      </c>
      <c r="I657" s="1173">
        <v>17.600000000000001</v>
      </c>
      <c r="J657" s="985">
        <v>20900</v>
      </c>
      <c r="K657" s="1173">
        <v>7.6</v>
      </c>
      <c r="L657" s="985">
        <v>9800</v>
      </c>
      <c r="M657" s="1174">
        <f t="shared" si="191"/>
        <v>44.6</v>
      </c>
      <c r="N657" s="984">
        <f t="shared" si="192"/>
        <v>53700</v>
      </c>
      <c r="O657" s="986">
        <f t="shared" si="193"/>
        <v>161.29032258064518</v>
      </c>
      <c r="P657" s="987">
        <f t="shared" si="194"/>
        <v>146.56381486676017</v>
      </c>
      <c r="Q657" s="987">
        <f t="shared" si="195"/>
        <v>68.723702664796633</v>
      </c>
      <c r="R657" s="988">
        <f t="shared" si="196"/>
        <v>376.57784011220201</v>
      </c>
      <c r="S657" s="989">
        <v>142.6</v>
      </c>
      <c r="T657" s="990">
        <v>0</v>
      </c>
      <c r="U657" s="991">
        <v>133</v>
      </c>
      <c r="V657" s="991">
        <v>193</v>
      </c>
      <c r="W657" s="992">
        <f t="shared" si="197"/>
        <v>326</v>
      </c>
      <c r="X657" s="993">
        <f t="shared" si="198"/>
        <v>2.2861150070126226</v>
      </c>
      <c r="Y657" s="990">
        <v>1597</v>
      </c>
      <c r="Z657" s="991">
        <v>1432</v>
      </c>
      <c r="AA657" s="991">
        <v>678</v>
      </c>
      <c r="AB657" s="992">
        <f t="shared" si="199"/>
        <v>3707</v>
      </c>
      <c r="AC657" s="993">
        <f t="shared" si="200"/>
        <v>25.995792426367462</v>
      </c>
      <c r="AD657" s="994">
        <f t="shared" si="201"/>
        <v>4033</v>
      </c>
      <c r="AE657" s="995">
        <f t="shared" si="202"/>
        <v>28.281907433380084</v>
      </c>
      <c r="AF657" s="996">
        <v>83</v>
      </c>
      <c r="AG657" s="997">
        <v>65</v>
      </c>
      <c r="AH657" s="997">
        <v>21</v>
      </c>
      <c r="AI657" s="998">
        <f t="shared" si="203"/>
        <v>169</v>
      </c>
      <c r="AJ657" s="993">
        <f t="shared" si="204"/>
        <v>1.1851332398316972</v>
      </c>
    </row>
    <row r="658" spans="1:38" ht="16.5" customHeight="1">
      <c r="A658" s="999">
        <f>'09월 조업일지'!A656</f>
        <v>46289</v>
      </c>
      <c r="B658" s="1099">
        <f>'09월 조업일지'!B656</f>
        <v>46289</v>
      </c>
      <c r="C658" s="1000" t="str">
        <f>'09월 화학성분'!D656</f>
        <v>A</v>
      </c>
      <c r="D658" s="1000" t="str">
        <f>'09월 화학성분'!E656</f>
        <v>B</v>
      </c>
      <c r="E658" s="1000">
        <f>'09월 화학성분'!C656</f>
        <v>85858</v>
      </c>
      <c r="F658" s="1001" t="str">
        <f t="shared" si="190"/>
        <v>S355JO-01</v>
      </c>
      <c r="G658" s="1172">
        <v>19.7</v>
      </c>
      <c r="H658" s="985">
        <v>24200</v>
      </c>
      <c r="I658" s="1173">
        <v>17.2</v>
      </c>
      <c r="J658" s="985">
        <v>20800</v>
      </c>
      <c r="K658" s="1173">
        <v>9.6</v>
      </c>
      <c r="L658" s="985">
        <v>12100</v>
      </c>
      <c r="M658" s="1174">
        <f t="shared" si="191"/>
        <v>46.5</v>
      </c>
      <c r="N658" s="984">
        <f t="shared" si="192"/>
        <v>57100</v>
      </c>
      <c r="O658" s="986">
        <f t="shared" si="193"/>
        <v>165.30054644808743</v>
      </c>
      <c r="P658" s="987">
        <f t="shared" si="194"/>
        <v>142.07650273224044</v>
      </c>
      <c r="Q658" s="987">
        <f t="shared" si="195"/>
        <v>82.650273224043715</v>
      </c>
      <c r="R658" s="988">
        <f t="shared" si="196"/>
        <v>390.02732240437155</v>
      </c>
      <c r="S658" s="989">
        <v>146.4</v>
      </c>
      <c r="T658" s="990">
        <v>0</v>
      </c>
      <c r="U658" s="991">
        <v>94</v>
      </c>
      <c r="V658" s="991">
        <v>291</v>
      </c>
      <c r="W658" s="992">
        <f t="shared" si="197"/>
        <v>385</v>
      </c>
      <c r="X658" s="993">
        <f t="shared" si="198"/>
        <v>2.6297814207650272</v>
      </c>
      <c r="Y658" s="990">
        <v>1631</v>
      </c>
      <c r="Z658" s="991">
        <v>1400</v>
      </c>
      <c r="AA658" s="991">
        <v>731</v>
      </c>
      <c r="AB658" s="992">
        <f t="shared" si="199"/>
        <v>3762</v>
      </c>
      <c r="AC658" s="993">
        <f t="shared" si="200"/>
        <v>25.696721311475407</v>
      </c>
      <c r="AD658" s="994">
        <f t="shared" si="201"/>
        <v>4147</v>
      </c>
      <c r="AE658" s="995">
        <f t="shared" si="202"/>
        <v>28.326502732240435</v>
      </c>
      <c r="AF658" s="996">
        <v>83</v>
      </c>
      <c r="AG658" s="997">
        <v>65</v>
      </c>
      <c r="AH658" s="997">
        <v>6</v>
      </c>
      <c r="AI658" s="998">
        <f t="shared" si="203"/>
        <v>154</v>
      </c>
      <c r="AJ658" s="993">
        <f t="shared" si="204"/>
        <v>1.0519125683060109</v>
      </c>
    </row>
    <row r="659" spans="1:38" ht="16.5" customHeight="1">
      <c r="A659" s="999">
        <f>'09월 조업일지'!A657</f>
        <v>46289</v>
      </c>
      <c r="B659" s="1099">
        <f>'09월 조업일지'!B657</f>
        <v>46289</v>
      </c>
      <c r="C659" s="1000" t="str">
        <f>'09월 화학성분'!D657</f>
        <v>A</v>
      </c>
      <c r="D659" s="1000" t="str">
        <f>'09월 화학성분'!E657</f>
        <v>A</v>
      </c>
      <c r="E659" s="1000">
        <f>'09월 화학성분'!C657</f>
        <v>85859</v>
      </c>
      <c r="F659" s="1001" t="str">
        <f t="shared" si="190"/>
        <v>S355JO-01</v>
      </c>
      <c r="G659" s="1172">
        <v>19.2</v>
      </c>
      <c r="H659" s="985">
        <v>22800</v>
      </c>
      <c r="I659" s="1173">
        <v>17.3</v>
      </c>
      <c r="J659" s="985">
        <v>20600</v>
      </c>
      <c r="K659" s="1173">
        <v>13.9</v>
      </c>
      <c r="L659" s="985">
        <v>17100</v>
      </c>
      <c r="M659" s="1174">
        <f t="shared" si="191"/>
        <v>50.4</v>
      </c>
      <c r="N659" s="984">
        <f t="shared" si="192"/>
        <v>60500</v>
      </c>
      <c r="O659" s="986">
        <f t="shared" si="193"/>
        <v>154.68113975576662</v>
      </c>
      <c r="P659" s="987">
        <f t="shared" si="194"/>
        <v>139.75576662143826</v>
      </c>
      <c r="Q659" s="987">
        <f t="shared" si="195"/>
        <v>116.01085481682496</v>
      </c>
      <c r="R659" s="988">
        <f t="shared" si="196"/>
        <v>410.44776119402985</v>
      </c>
      <c r="S659" s="989">
        <v>147.4</v>
      </c>
      <c r="T659" s="990">
        <v>0</v>
      </c>
      <c r="U659" s="991">
        <v>67</v>
      </c>
      <c r="V659" s="991">
        <v>316</v>
      </c>
      <c r="W659" s="992">
        <f t="shared" si="197"/>
        <v>383</v>
      </c>
      <c r="X659" s="993">
        <f t="shared" si="198"/>
        <v>2.5983717774762551</v>
      </c>
      <c r="Y659" s="990">
        <v>1588</v>
      </c>
      <c r="Z659" s="991">
        <v>1415</v>
      </c>
      <c r="AA659" s="991">
        <v>843</v>
      </c>
      <c r="AB659" s="992">
        <f t="shared" si="199"/>
        <v>3846</v>
      </c>
      <c r="AC659" s="993">
        <f t="shared" si="200"/>
        <v>26.092265943012212</v>
      </c>
      <c r="AD659" s="994">
        <f t="shared" si="201"/>
        <v>4229</v>
      </c>
      <c r="AE659" s="995">
        <f t="shared" si="202"/>
        <v>28.690637720488464</v>
      </c>
      <c r="AF659" s="996">
        <v>83</v>
      </c>
      <c r="AG659" s="997">
        <v>63</v>
      </c>
      <c r="AH659" s="997">
        <v>25</v>
      </c>
      <c r="AI659" s="998">
        <f t="shared" si="203"/>
        <v>171</v>
      </c>
      <c r="AJ659" s="993">
        <f t="shared" si="204"/>
        <v>1.1601085481682496</v>
      </c>
    </row>
    <row r="660" spans="1:38" ht="16.5" customHeight="1">
      <c r="A660" s="999">
        <f>'09월 조업일지'!A658</f>
        <v>46289</v>
      </c>
      <c r="B660" s="1099">
        <f>'09월 조업일지'!B658</f>
        <v>46289</v>
      </c>
      <c r="C660" s="1000" t="str">
        <f>'09월 화학성분'!D658</f>
        <v>A</v>
      </c>
      <c r="D660" s="1000" t="str">
        <f>'09월 화학성분'!E658</f>
        <v>B</v>
      </c>
      <c r="E660" s="1000">
        <f>'09월 화학성분'!C658</f>
        <v>85860</v>
      </c>
      <c r="F660" s="1001" t="str">
        <f t="shared" si="190"/>
        <v>S355JO-01</v>
      </c>
      <c r="G660" s="1172">
        <v>20.5</v>
      </c>
      <c r="H660" s="985">
        <v>23900</v>
      </c>
      <c r="I660" s="1173">
        <v>16.8</v>
      </c>
      <c r="J660" s="985">
        <v>20600</v>
      </c>
      <c r="K660" s="1173">
        <v>11.5</v>
      </c>
      <c r="L660" s="985">
        <v>14700</v>
      </c>
      <c r="M660" s="1174">
        <f t="shared" si="191"/>
        <v>48.8</v>
      </c>
      <c r="N660" s="984">
        <f t="shared" si="192"/>
        <v>59200</v>
      </c>
      <c r="O660" s="986">
        <f t="shared" si="193"/>
        <v>165.51246537396122</v>
      </c>
      <c r="P660" s="987">
        <f t="shared" si="194"/>
        <v>142.65927977839334</v>
      </c>
      <c r="Q660" s="987">
        <f t="shared" si="195"/>
        <v>101.8005540166205</v>
      </c>
      <c r="R660" s="988">
        <f t="shared" si="196"/>
        <v>409.97229916897504</v>
      </c>
      <c r="S660" s="989">
        <v>144.4</v>
      </c>
      <c r="T660" s="990">
        <v>0</v>
      </c>
      <c r="U660" s="991">
        <v>103</v>
      </c>
      <c r="V660" s="991">
        <v>543</v>
      </c>
      <c r="W660" s="992">
        <f t="shared" si="197"/>
        <v>646</v>
      </c>
      <c r="X660" s="993">
        <f t="shared" si="198"/>
        <v>4.4736842105263159</v>
      </c>
      <c r="Y660" s="990">
        <v>1683</v>
      </c>
      <c r="Z660" s="991">
        <v>1377</v>
      </c>
      <c r="AA660" s="991">
        <v>961</v>
      </c>
      <c r="AB660" s="992">
        <f t="shared" si="199"/>
        <v>4021</v>
      </c>
      <c r="AC660" s="993">
        <f t="shared" si="200"/>
        <v>27.846260387811633</v>
      </c>
      <c r="AD660" s="994">
        <f t="shared" si="201"/>
        <v>4667</v>
      </c>
      <c r="AE660" s="995">
        <f t="shared" si="202"/>
        <v>32.319944598337948</v>
      </c>
      <c r="AF660" s="996">
        <v>87</v>
      </c>
      <c r="AG660" s="997">
        <v>66</v>
      </c>
      <c r="AH660" s="997">
        <v>8</v>
      </c>
      <c r="AI660" s="998">
        <f t="shared" si="203"/>
        <v>161</v>
      </c>
      <c r="AJ660" s="993">
        <f t="shared" si="204"/>
        <v>1.1149584487534625</v>
      </c>
    </row>
    <row r="661" spans="1:38" ht="16.5" customHeight="1">
      <c r="A661" s="999">
        <f>'09월 조업일지'!A659</f>
        <v>46289</v>
      </c>
      <c r="B661" s="1099">
        <f>'09월 조업일지'!B659</f>
        <v>46289</v>
      </c>
      <c r="C661" s="1000" t="str">
        <f>'09월 화학성분'!D659</f>
        <v>A</v>
      </c>
      <c r="D661" s="1000" t="str">
        <f>'09월 화학성분'!E659</f>
        <v>A</v>
      </c>
      <c r="E661" s="1000">
        <f>'09월 화학성분'!C659</f>
        <v>85861</v>
      </c>
      <c r="F661" s="1001" t="str">
        <f t="shared" si="190"/>
        <v>S355JO-01</v>
      </c>
      <c r="G661" s="1172">
        <v>19.3</v>
      </c>
      <c r="H661" s="985">
        <v>23800</v>
      </c>
      <c r="I661" s="1173">
        <v>16.8</v>
      </c>
      <c r="J661" s="985">
        <v>20800</v>
      </c>
      <c r="K661" s="1173">
        <v>7.7</v>
      </c>
      <c r="L661" s="985">
        <v>9900</v>
      </c>
      <c r="M661" s="1174">
        <f t="shared" si="191"/>
        <v>43.800000000000004</v>
      </c>
      <c r="N661" s="984">
        <f t="shared" si="192"/>
        <v>54500</v>
      </c>
      <c r="O661" s="986">
        <f t="shared" si="193"/>
        <v>166.43356643356643</v>
      </c>
      <c r="P661" s="987">
        <f t="shared" si="194"/>
        <v>145.45454545454547</v>
      </c>
      <c r="Q661" s="987">
        <f t="shared" si="195"/>
        <v>69.230769230769226</v>
      </c>
      <c r="R661" s="988">
        <f t="shared" si="196"/>
        <v>381.11888111888112</v>
      </c>
      <c r="S661" s="989">
        <v>143</v>
      </c>
      <c r="T661" s="990">
        <v>0</v>
      </c>
      <c r="U661" s="991">
        <v>114</v>
      </c>
      <c r="V661" s="991">
        <v>228</v>
      </c>
      <c r="W661" s="992">
        <f t="shared" si="197"/>
        <v>342</v>
      </c>
      <c r="X661" s="993">
        <f t="shared" si="198"/>
        <v>2.3916083916083917</v>
      </c>
      <c r="Y661" s="990">
        <v>1598</v>
      </c>
      <c r="Z661" s="991">
        <v>1391</v>
      </c>
      <c r="AA661" s="991">
        <v>708</v>
      </c>
      <c r="AB661" s="992">
        <f t="shared" si="199"/>
        <v>3697</v>
      </c>
      <c r="AC661" s="993">
        <f t="shared" si="200"/>
        <v>25.853146853146853</v>
      </c>
      <c r="AD661" s="994">
        <f t="shared" si="201"/>
        <v>4039</v>
      </c>
      <c r="AE661" s="995">
        <f t="shared" si="202"/>
        <v>28.244755244755243</v>
      </c>
      <c r="AF661" s="996">
        <v>83</v>
      </c>
      <c r="AG661" s="997">
        <v>63</v>
      </c>
      <c r="AH661" s="997">
        <v>7</v>
      </c>
      <c r="AI661" s="998">
        <f t="shared" si="203"/>
        <v>153</v>
      </c>
      <c r="AJ661" s="993">
        <f t="shared" si="204"/>
        <v>1.06993006993007</v>
      </c>
    </row>
    <row r="662" spans="1:38" ht="16.5" customHeight="1">
      <c r="A662" s="999">
        <f>'09월 조업일지'!A660</f>
        <v>46289</v>
      </c>
      <c r="B662" s="1099">
        <f>'09월 조업일지'!B660</f>
        <v>46289</v>
      </c>
      <c r="C662" s="1000" t="str">
        <f>'09월 화학성분'!D660</f>
        <v>A</v>
      </c>
      <c r="D662" s="1000" t="str">
        <f>'09월 화학성분'!E660</f>
        <v>B</v>
      </c>
      <c r="E662" s="1000">
        <f>'09월 화학성분'!C660</f>
        <v>85862</v>
      </c>
      <c r="F662" s="1001" t="str">
        <f t="shared" si="190"/>
        <v>S355JO-01</v>
      </c>
      <c r="G662" s="1172">
        <v>19.2</v>
      </c>
      <c r="H662" s="985">
        <v>22400</v>
      </c>
      <c r="I662" s="1173">
        <v>16.3</v>
      </c>
      <c r="J662" s="985">
        <v>20200</v>
      </c>
      <c r="K662" s="1173">
        <v>10.1</v>
      </c>
      <c r="L662" s="985">
        <v>12900</v>
      </c>
      <c r="M662" s="1174">
        <f t="shared" si="191"/>
        <v>45.6</v>
      </c>
      <c r="N662" s="984">
        <f t="shared" si="192"/>
        <v>55500</v>
      </c>
      <c r="O662" s="986">
        <f t="shared" si="193"/>
        <v>155.01730103806227</v>
      </c>
      <c r="P662" s="987">
        <f t="shared" si="194"/>
        <v>139.7923875432526</v>
      </c>
      <c r="Q662" s="987">
        <f t="shared" si="195"/>
        <v>89.273356401384078</v>
      </c>
      <c r="R662" s="988">
        <f t="shared" si="196"/>
        <v>384.08304498269894</v>
      </c>
      <c r="S662" s="989">
        <v>144.5</v>
      </c>
      <c r="T662" s="990">
        <v>0</v>
      </c>
      <c r="U662" s="991">
        <v>15</v>
      </c>
      <c r="V662" s="991">
        <v>333</v>
      </c>
      <c r="W662" s="992">
        <f t="shared" si="197"/>
        <v>348</v>
      </c>
      <c r="X662" s="993">
        <f t="shared" si="198"/>
        <v>2.4083044982698962</v>
      </c>
      <c r="Y662" s="990">
        <v>1556</v>
      </c>
      <c r="Z662" s="991">
        <v>1348</v>
      </c>
      <c r="AA662" s="991">
        <v>904</v>
      </c>
      <c r="AB662" s="992">
        <f t="shared" si="199"/>
        <v>3808</v>
      </c>
      <c r="AC662" s="993">
        <f t="shared" si="200"/>
        <v>26.352941176470587</v>
      </c>
      <c r="AD662" s="994">
        <f t="shared" si="201"/>
        <v>4156</v>
      </c>
      <c r="AE662" s="995">
        <f t="shared" si="202"/>
        <v>28.761245674740483</v>
      </c>
      <c r="AF662" s="996">
        <v>86</v>
      </c>
      <c r="AG662" s="997">
        <v>63</v>
      </c>
      <c r="AH662" s="997">
        <v>8</v>
      </c>
      <c r="AI662" s="998">
        <f t="shared" si="203"/>
        <v>157</v>
      </c>
      <c r="AJ662" s="993">
        <f t="shared" si="204"/>
        <v>1.0865051903114187</v>
      </c>
    </row>
    <row r="663" spans="1:38" ht="16.5" customHeight="1">
      <c r="A663" s="999">
        <f>'09월 조업일지'!A661</f>
        <v>46289</v>
      </c>
      <c r="B663" s="1099">
        <f>'09월 조업일지'!B661</f>
        <v>46289</v>
      </c>
      <c r="C663" s="1000" t="str">
        <f>'09월 화학성분'!D661</f>
        <v>A</v>
      </c>
      <c r="D663" s="1000" t="str">
        <f>'09월 화학성분'!E661</f>
        <v>A</v>
      </c>
      <c r="E663" s="1000">
        <f>'09월 화학성분'!C661</f>
        <v>85863</v>
      </c>
      <c r="F663" s="1001" t="str">
        <f t="shared" si="190"/>
        <v>S355JO-01</v>
      </c>
      <c r="G663" s="1172">
        <v>19.399999999999999</v>
      </c>
      <c r="H663" s="985">
        <v>22700</v>
      </c>
      <c r="I663" s="1173">
        <v>17</v>
      </c>
      <c r="J663" s="985">
        <v>20800</v>
      </c>
      <c r="K663" s="1173">
        <v>9.1</v>
      </c>
      <c r="L663" s="985">
        <v>11700</v>
      </c>
      <c r="M663" s="1174">
        <f t="shared" si="191"/>
        <v>45.5</v>
      </c>
      <c r="N663" s="984">
        <f t="shared" si="192"/>
        <v>55200</v>
      </c>
      <c r="O663" s="986">
        <f t="shared" si="193"/>
        <v>158.74125874125875</v>
      </c>
      <c r="P663" s="987">
        <f t="shared" si="194"/>
        <v>145.45454545454547</v>
      </c>
      <c r="Q663" s="987">
        <f t="shared" si="195"/>
        <v>81.818181818181813</v>
      </c>
      <c r="R663" s="988">
        <f t="shared" si="196"/>
        <v>386.01398601398603</v>
      </c>
      <c r="S663" s="989">
        <v>143</v>
      </c>
      <c r="T663" s="990">
        <v>0</v>
      </c>
      <c r="U663" s="991">
        <v>63</v>
      </c>
      <c r="V663" s="991">
        <v>293</v>
      </c>
      <c r="W663" s="992">
        <f t="shared" si="197"/>
        <v>356</v>
      </c>
      <c r="X663" s="993">
        <f t="shared" si="198"/>
        <v>2.4895104895104896</v>
      </c>
      <c r="Y663" s="990">
        <v>1632</v>
      </c>
      <c r="Z663" s="991">
        <v>1410</v>
      </c>
      <c r="AA663" s="991">
        <v>727</v>
      </c>
      <c r="AB663" s="992">
        <f t="shared" si="199"/>
        <v>3769</v>
      </c>
      <c r="AC663" s="993">
        <f t="shared" si="200"/>
        <v>26.356643356643357</v>
      </c>
      <c r="AD663" s="994">
        <f t="shared" si="201"/>
        <v>4125</v>
      </c>
      <c r="AE663" s="995">
        <f t="shared" si="202"/>
        <v>28.846153846153847</v>
      </c>
      <c r="AF663" s="996">
        <v>85</v>
      </c>
      <c r="AG663" s="997">
        <v>64</v>
      </c>
      <c r="AH663" s="997">
        <v>8</v>
      </c>
      <c r="AI663" s="998">
        <f t="shared" si="203"/>
        <v>157</v>
      </c>
      <c r="AJ663" s="993">
        <f t="shared" si="204"/>
        <v>1.0979020979020979</v>
      </c>
    </row>
    <row r="664" spans="1:38" ht="16.5" customHeight="1">
      <c r="A664" s="999">
        <f>'09월 조업일지'!A662</f>
        <v>46290</v>
      </c>
      <c r="B664" s="1099">
        <f>'09월 조업일지'!B662</f>
        <v>46289</v>
      </c>
      <c r="C664" s="1000" t="str">
        <f>'09월 화학성분'!D662</f>
        <v>A</v>
      </c>
      <c r="D664" s="1000" t="str">
        <f>'09월 화학성분'!E662</f>
        <v>B</v>
      </c>
      <c r="E664" s="1000">
        <f>'09월 화학성분'!C662</f>
        <v>85864</v>
      </c>
      <c r="F664" s="1001" t="str">
        <f t="shared" si="190"/>
        <v>S355JO-01</v>
      </c>
      <c r="G664" s="1172">
        <v>18.899999999999999</v>
      </c>
      <c r="H664" s="985">
        <v>22900</v>
      </c>
      <c r="I664" s="1173">
        <v>16.600000000000001</v>
      </c>
      <c r="J664" s="985">
        <v>20700</v>
      </c>
      <c r="K664" s="1173">
        <v>11.2</v>
      </c>
      <c r="L664" s="985">
        <v>14200</v>
      </c>
      <c r="M664" s="1174">
        <f t="shared" si="191"/>
        <v>46.7</v>
      </c>
      <c r="N664" s="984">
        <f t="shared" si="192"/>
        <v>57800</v>
      </c>
      <c r="O664" s="986">
        <f t="shared" si="193"/>
        <v>156.84931506849315</v>
      </c>
      <c r="P664" s="987">
        <f t="shared" si="194"/>
        <v>141.78082191780823</v>
      </c>
      <c r="Q664" s="987">
        <f t="shared" si="195"/>
        <v>97.260273972602747</v>
      </c>
      <c r="R664" s="988">
        <f t="shared" si="196"/>
        <v>395.89041095890417</v>
      </c>
      <c r="S664" s="989">
        <v>146</v>
      </c>
      <c r="T664" s="990">
        <v>0</v>
      </c>
      <c r="U664" s="991">
        <v>71</v>
      </c>
      <c r="V664" s="991">
        <v>375</v>
      </c>
      <c r="W664" s="992">
        <f t="shared" si="197"/>
        <v>446</v>
      </c>
      <c r="X664" s="993">
        <f t="shared" si="198"/>
        <v>3.0547945205479454</v>
      </c>
      <c r="Y664" s="990">
        <v>1551</v>
      </c>
      <c r="Z664" s="991">
        <v>1377</v>
      </c>
      <c r="AA664" s="991">
        <v>915</v>
      </c>
      <c r="AB664" s="992">
        <f t="shared" si="199"/>
        <v>3843</v>
      </c>
      <c r="AC664" s="993">
        <f t="shared" si="200"/>
        <v>26.32191780821918</v>
      </c>
      <c r="AD664" s="994">
        <f t="shared" si="201"/>
        <v>4289</v>
      </c>
      <c r="AE664" s="995">
        <f t="shared" si="202"/>
        <v>29.376712328767123</v>
      </c>
      <c r="AF664" s="996">
        <v>81</v>
      </c>
      <c r="AG664" s="997">
        <v>64</v>
      </c>
      <c r="AH664" s="997">
        <v>7</v>
      </c>
      <c r="AI664" s="998">
        <f t="shared" si="203"/>
        <v>152</v>
      </c>
      <c r="AJ664" s="993">
        <f t="shared" si="204"/>
        <v>1.0410958904109588</v>
      </c>
    </row>
    <row r="665" spans="1:38" ht="16.5" customHeight="1">
      <c r="A665" s="999">
        <f>'09월 조업일지'!A663</f>
        <v>46290</v>
      </c>
      <c r="B665" s="1099">
        <f>'09월 조업일지'!B663</f>
        <v>46289</v>
      </c>
      <c r="C665" s="1000" t="str">
        <f>'09월 화학성분'!D663</f>
        <v>A</v>
      </c>
      <c r="D665" s="1000" t="str">
        <f>'09월 화학성분'!E663</f>
        <v>A</v>
      </c>
      <c r="E665" s="1000">
        <f>'09월 화학성분'!C663</f>
        <v>85865</v>
      </c>
      <c r="F665" s="1104" t="s">
        <v>819</v>
      </c>
      <c r="G665" s="1172">
        <v>18.899999999999999</v>
      </c>
      <c r="H665" s="985">
        <v>22900</v>
      </c>
      <c r="I665" s="1173">
        <v>16.600000000000001</v>
      </c>
      <c r="J665" s="985">
        <v>20600</v>
      </c>
      <c r="K665" s="1173">
        <v>10.4</v>
      </c>
      <c r="L665" s="985">
        <v>13200</v>
      </c>
      <c r="M665" s="1174">
        <f t="shared" si="191"/>
        <v>45.9</v>
      </c>
      <c r="N665" s="984">
        <f t="shared" si="192"/>
        <v>56700</v>
      </c>
      <c r="O665" s="986">
        <f t="shared" si="193"/>
        <v>159.80460572226099</v>
      </c>
      <c r="P665" s="987">
        <f t="shared" si="194"/>
        <v>143.7543614794138</v>
      </c>
      <c r="Q665" s="987">
        <f t="shared" si="195"/>
        <v>92.114445219818549</v>
      </c>
      <c r="R665" s="988">
        <f t="shared" si="196"/>
        <v>395.67341242149337</v>
      </c>
      <c r="S665" s="989">
        <v>143.30000000000001</v>
      </c>
      <c r="T665" s="990">
        <v>0</v>
      </c>
      <c r="U665" s="991">
        <v>87</v>
      </c>
      <c r="V665" s="991">
        <v>281</v>
      </c>
      <c r="W665" s="992">
        <f t="shared" si="197"/>
        <v>368</v>
      </c>
      <c r="X665" s="993">
        <f t="shared" si="198"/>
        <v>2.5680390788555476</v>
      </c>
      <c r="Y665" s="990">
        <v>1569</v>
      </c>
      <c r="Z665" s="991">
        <v>1361</v>
      </c>
      <c r="AA665" s="991">
        <v>723</v>
      </c>
      <c r="AB665" s="992">
        <f t="shared" si="199"/>
        <v>3653</v>
      </c>
      <c r="AC665" s="993">
        <f t="shared" si="200"/>
        <v>25.491974877878576</v>
      </c>
      <c r="AD665" s="994">
        <f t="shared" si="201"/>
        <v>4021</v>
      </c>
      <c r="AE665" s="995">
        <f t="shared" si="202"/>
        <v>28.060013956734121</v>
      </c>
      <c r="AF665" s="996">
        <v>82</v>
      </c>
      <c r="AG665" s="997">
        <v>62</v>
      </c>
      <c r="AH665" s="997">
        <v>6</v>
      </c>
      <c r="AI665" s="998">
        <f t="shared" si="203"/>
        <v>150</v>
      </c>
      <c r="AJ665" s="993">
        <f t="shared" si="204"/>
        <v>1.0467550593161199</v>
      </c>
    </row>
    <row r="666" spans="1:38" ht="16.5" customHeight="1">
      <c r="A666" s="999">
        <f>'09월 조업일지'!A664</f>
        <v>46290</v>
      </c>
      <c r="B666" s="1099">
        <f>'09월 조업일지'!B664</f>
        <v>46289</v>
      </c>
      <c r="C666" s="1000" t="str">
        <f>'09월 화학성분'!D664</f>
        <v>A</v>
      </c>
      <c r="D666" s="1000" t="str">
        <f>'09월 화학성분'!E664</f>
        <v>B</v>
      </c>
      <c r="E666" s="1000">
        <f>'09월 화학성분'!C664</f>
        <v>85866</v>
      </c>
      <c r="F666" s="1001" t="str">
        <f t="shared" si="190"/>
        <v>SS400(ToMok)</v>
      </c>
      <c r="G666" s="1172">
        <v>19.8</v>
      </c>
      <c r="H666" s="985">
        <v>23700</v>
      </c>
      <c r="I666" s="1173">
        <v>16</v>
      </c>
      <c r="J666" s="985">
        <v>20400</v>
      </c>
      <c r="K666" s="1173">
        <v>12.8</v>
      </c>
      <c r="L666" s="985">
        <v>16300</v>
      </c>
      <c r="M666" s="1174">
        <f t="shared" si="191"/>
        <v>48.599999999999994</v>
      </c>
      <c r="N666" s="984">
        <f t="shared" si="192"/>
        <v>60400</v>
      </c>
      <c r="O666" s="986">
        <f t="shared" si="193"/>
        <v>165.04178272980502</v>
      </c>
      <c r="P666" s="987">
        <f t="shared" si="194"/>
        <v>142.06128133704735</v>
      </c>
      <c r="Q666" s="987">
        <f t="shared" si="195"/>
        <v>113.50974930362118</v>
      </c>
      <c r="R666" s="988">
        <f t="shared" si="196"/>
        <v>420.61281337047353</v>
      </c>
      <c r="S666" s="989">
        <v>143.6</v>
      </c>
      <c r="T666" s="990">
        <v>0</v>
      </c>
      <c r="U666" s="991">
        <v>115</v>
      </c>
      <c r="V666" s="991">
        <v>405</v>
      </c>
      <c r="W666" s="992">
        <f t="shared" si="197"/>
        <v>520</v>
      </c>
      <c r="X666" s="993">
        <f t="shared" si="198"/>
        <v>3.6211699164345403</v>
      </c>
      <c r="Y666" s="990">
        <v>1674</v>
      </c>
      <c r="Z666" s="991">
        <v>1331</v>
      </c>
      <c r="AA666" s="991">
        <v>1120</v>
      </c>
      <c r="AB666" s="992">
        <f t="shared" si="199"/>
        <v>4125</v>
      </c>
      <c r="AC666" s="993">
        <f t="shared" si="200"/>
        <v>28.725626740947078</v>
      </c>
      <c r="AD666" s="994">
        <f t="shared" si="201"/>
        <v>4645</v>
      </c>
      <c r="AE666" s="995">
        <f t="shared" si="202"/>
        <v>32.346796657381617</v>
      </c>
      <c r="AF666" s="996">
        <v>82</v>
      </c>
      <c r="AG666" s="997">
        <v>62</v>
      </c>
      <c r="AH666" s="997">
        <v>10</v>
      </c>
      <c r="AI666" s="998">
        <f t="shared" si="203"/>
        <v>154</v>
      </c>
      <c r="AJ666" s="993">
        <f t="shared" si="204"/>
        <v>1.0724233983286908</v>
      </c>
    </row>
    <row r="667" spans="1:38" ht="16.5" customHeight="1">
      <c r="A667" s="999">
        <f>'09월 조업일지'!A665</f>
        <v>46290</v>
      </c>
      <c r="B667" s="1099">
        <f>'09월 조업일지'!B665</f>
        <v>46289</v>
      </c>
      <c r="C667" s="1000" t="str">
        <f>'09월 화학성분'!D665</f>
        <v>A</v>
      </c>
      <c r="D667" s="1000" t="str">
        <f>'09월 화학성분'!E665</f>
        <v>A</v>
      </c>
      <c r="E667" s="1000">
        <f>'09월 화학성분'!C665</f>
        <v>85867</v>
      </c>
      <c r="F667" s="1001" t="str">
        <f t="shared" si="190"/>
        <v>SS400(ToMok)</v>
      </c>
      <c r="G667" s="1172">
        <v>20.2</v>
      </c>
      <c r="H667" s="985">
        <v>24200</v>
      </c>
      <c r="I667" s="1173">
        <v>17</v>
      </c>
      <c r="J667" s="985">
        <v>20800</v>
      </c>
      <c r="K667" s="1173">
        <v>9.1</v>
      </c>
      <c r="L667" s="985">
        <v>11800</v>
      </c>
      <c r="M667" s="1174">
        <f t="shared" si="191"/>
        <v>46.300000000000004</v>
      </c>
      <c r="N667" s="984">
        <f t="shared" si="192"/>
        <v>56800</v>
      </c>
      <c r="O667" s="986">
        <f t="shared" si="193"/>
        <v>168.75871687587167</v>
      </c>
      <c r="P667" s="987">
        <f t="shared" si="194"/>
        <v>145.04881450488145</v>
      </c>
      <c r="Q667" s="987">
        <f t="shared" si="195"/>
        <v>82.287308228730822</v>
      </c>
      <c r="R667" s="988">
        <f t="shared" si="196"/>
        <v>396.09483960948393</v>
      </c>
      <c r="S667" s="989">
        <v>143.4</v>
      </c>
      <c r="T667" s="990">
        <v>0</v>
      </c>
      <c r="U667" s="991">
        <v>165</v>
      </c>
      <c r="V667" s="991">
        <v>178</v>
      </c>
      <c r="W667" s="992">
        <f t="shared" si="197"/>
        <v>343</v>
      </c>
      <c r="X667" s="993">
        <f t="shared" si="198"/>
        <v>2.3919107391910739</v>
      </c>
      <c r="Y667" s="990">
        <v>1704</v>
      </c>
      <c r="Z667" s="991">
        <v>1409</v>
      </c>
      <c r="AA667" s="991">
        <v>656</v>
      </c>
      <c r="AB667" s="992">
        <f t="shared" si="199"/>
        <v>3769</v>
      </c>
      <c r="AC667" s="993">
        <f t="shared" si="200"/>
        <v>26.283124128312412</v>
      </c>
      <c r="AD667" s="994">
        <f t="shared" si="201"/>
        <v>4112</v>
      </c>
      <c r="AE667" s="995">
        <f t="shared" si="202"/>
        <v>28.675034867503484</v>
      </c>
      <c r="AF667" s="996">
        <v>83</v>
      </c>
      <c r="AG667" s="997">
        <v>65</v>
      </c>
      <c r="AH667" s="997">
        <v>5</v>
      </c>
      <c r="AI667" s="998">
        <f t="shared" si="203"/>
        <v>153</v>
      </c>
      <c r="AJ667" s="993">
        <f t="shared" si="204"/>
        <v>1.0669456066945606</v>
      </c>
      <c r="AL667" s="564">
        <v>20</v>
      </c>
    </row>
    <row r="668" spans="1:38" ht="16.5" customHeight="1">
      <c r="A668" s="999">
        <f>'09월 조업일지'!A666</f>
        <v>46290</v>
      </c>
      <c r="B668" s="1099">
        <f>'09월 조업일지'!B666</f>
        <v>46290</v>
      </c>
      <c r="C668" s="1000" t="str">
        <f>'09월 화학성분'!D666</f>
        <v>B</v>
      </c>
      <c r="D668" s="1000" t="str">
        <f>'09월 화학성분'!E666</f>
        <v>B</v>
      </c>
      <c r="E668" s="1000">
        <f>'09월 화학성분'!C666</f>
        <v>85868</v>
      </c>
      <c r="F668" s="1104" t="s">
        <v>756</v>
      </c>
      <c r="G668" s="1172">
        <v>20.3</v>
      </c>
      <c r="H668" s="985">
        <v>24300</v>
      </c>
      <c r="I668" s="1173">
        <v>16.399999999999999</v>
      </c>
      <c r="J668" s="985">
        <v>20500</v>
      </c>
      <c r="K668" s="1173">
        <v>10.199999999999999</v>
      </c>
      <c r="L668" s="985">
        <v>13000</v>
      </c>
      <c r="M668" s="1174">
        <f t="shared" si="191"/>
        <v>46.900000000000006</v>
      </c>
      <c r="N668" s="984">
        <f t="shared" si="192"/>
        <v>57800</v>
      </c>
      <c r="O668" s="986">
        <f t="shared" si="193"/>
        <v>168.39916839916839</v>
      </c>
      <c r="P668" s="987">
        <f t="shared" si="194"/>
        <v>142.06514206514206</v>
      </c>
      <c r="Q668" s="987">
        <f t="shared" si="195"/>
        <v>90.090090090090087</v>
      </c>
      <c r="R668" s="988">
        <f t="shared" si="196"/>
        <v>400.5544005544005</v>
      </c>
      <c r="S668" s="989">
        <v>144.30000000000001</v>
      </c>
      <c r="T668" s="990">
        <v>0</v>
      </c>
      <c r="U668" s="991">
        <v>111</v>
      </c>
      <c r="V668" s="991">
        <v>246</v>
      </c>
      <c r="W668" s="992">
        <f t="shared" si="197"/>
        <v>357</v>
      </c>
      <c r="X668" s="993">
        <f t="shared" si="198"/>
        <v>2.4740124740124738</v>
      </c>
      <c r="Y668" s="990">
        <v>1698</v>
      </c>
      <c r="Z668" s="991">
        <v>1380</v>
      </c>
      <c r="AA668" s="991">
        <v>1045</v>
      </c>
      <c r="AB668" s="992">
        <f t="shared" si="199"/>
        <v>4123</v>
      </c>
      <c r="AC668" s="993">
        <f t="shared" si="200"/>
        <v>28.57241857241857</v>
      </c>
      <c r="AD668" s="994">
        <f t="shared" si="201"/>
        <v>4480</v>
      </c>
      <c r="AE668" s="995">
        <f t="shared" si="202"/>
        <v>31.046431046431042</v>
      </c>
      <c r="AF668" s="996">
        <v>85</v>
      </c>
      <c r="AG668" s="997">
        <v>62</v>
      </c>
      <c r="AH668" s="997">
        <v>10</v>
      </c>
      <c r="AI668" s="998">
        <f t="shared" si="203"/>
        <v>157</v>
      </c>
      <c r="AJ668" s="993">
        <f t="shared" si="204"/>
        <v>1.088011088011088</v>
      </c>
    </row>
    <row r="669" spans="1:38" ht="16.5" customHeight="1">
      <c r="A669" s="999">
        <f>'09월 조업일지'!A667</f>
        <v>46290</v>
      </c>
      <c r="B669" s="1099">
        <f>'09월 조업일지'!B667</f>
        <v>46290</v>
      </c>
      <c r="C669" s="1000" t="str">
        <f>'09월 화학성분'!D667</f>
        <v>B</v>
      </c>
      <c r="D669" s="1000" t="str">
        <f>'09월 화학성분'!E667</f>
        <v>A</v>
      </c>
      <c r="E669" s="1000">
        <f>'09월 화학성분'!C667</f>
        <v>85869</v>
      </c>
      <c r="F669" s="1001" t="str">
        <f t="shared" si="190"/>
        <v>SHP275W</v>
      </c>
      <c r="G669" s="1172">
        <v>18.7</v>
      </c>
      <c r="H669" s="985">
        <v>22600</v>
      </c>
      <c r="I669" s="1173">
        <v>16.8</v>
      </c>
      <c r="J669" s="985">
        <v>20700</v>
      </c>
      <c r="K669" s="1173">
        <v>8.5</v>
      </c>
      <c r="L669" s="985">
        <v>10800</v>
      </c>
      <c r="M669" s="1174">
        <f t="shared" si="191"/>
        <v>44</v>
      </c>
      <c r="N669" s="984">
        <f t="shared" si="192"/>
        <v>54100</v>
      </c>
      <c r="O669" s="986">
        <f t="shared" si="193"/>
        <v>158.15255423372989</v>
      </c>
      <c r="P669" s="987">
        <f t="shared" si="194"/>
        <v>144.85654303708887</v>
      </c>
      <c r="Q669" s="987">
        <f t="shared" si="195"/>
        <v>75.577326801959416</v>
      </c>
      <c r="R669" s="988">
        <f t="shared" si="196"/>
        <v>378.58642407277819</v>
      </c>
      <c r="S669" s="989">
        <v>142.9</v>
      </c>
      <c r="T669" s="990">
        <v>0</v>
      </c>
      <c r="U669" s="991">
        <v>47</v>
      </c>
      <c r="V669" s="991">
        <v>306</v>
      </c>
      <c r="W669" s="992">
        <f t="shared" si="197"/>
        <v>353</v>
      </c>
      <c r="X669" s="993">
        <f t="shared" si="198"/>
        <v>2.4702589223233029</v>
      </c>
      <c r="Y669" s="990">
        <v>1523</v>
      </c>
      <c r="Z669" s="991">
        <v>1387</v>
      </c>
      <c r="AA669" s="991">
        <v>808</v>
      </c>
      <c r="AB669" s="992">
        <f t="shared" si="199"/>
        <v>3718</v>
      </c>
      <c r="AC669" s="993">
        <f t="shared" si="200"/>
        <v>26.018194541637509</v>
      </c>
      <c r="AD669" s="994">
        <f t="shared" si="201"/>
        <v>4071</v>
      </c>
      <c r="AE669" s="995">
        <f t="shared" si="202"/>
        <v>28.488453463960809</v>
      </c>
      <c r="AF669" s="996">
        <v>80</v>
      </c>
      <c r="AG669" s="997">
        <v>64</v>
      </c>
      <c r="AH669" s="997">
        <v>7</v>
      </c>
      <c r="AI669" s="998">
        <f t="shared" si="203"/>
        <v>151</v>
      </c>
      <c r="AJ669" s="993">
        <f t="shared" si="204"/>
        <v>1.0566829951014696</v>
      </c>
    </row>
    <row r="670" spans="1:38" ht="16.5" customHeight="1">
      <c r="A670" s="999">
        <f>'09월 조업일지'!A668</f>
        <v>46290</v>
      </c>
      <c r="B670" s="1099">
        <f>'09월 조업일지'!B668</f>
        <v>46290</v>
      </c>
      <c r="C670" s="1000" t="str">
        <f>'09월 화학성분'!D668</f>
        <v>B</v>
      </c>
      <c r="D670" s="1000" t="str">
        <f>'09월 화학성분'!E668</f>
        <v>B</v>
      </c>
      <c r="E670" s="1000">
        <f>'09월 화학성분'!C668</f>
        <v>85870</v>
      </c>
      <c r="F670" s="1001" t="str">
        <f t="shared" si="190"/>
        <v>SHP275W</v>
      </c>
      <c r="G670" s="1172">
        <v>18.8</v>
      </c>
      <c r="H670" s="985">
        <v>22900</v>
      </c>
      <c r="I670" s="1173">
        <v>16.100000000000001</v>
      </c>
      <c r="J670" s="985">
        <v>20300</v>
      </c>
      <c r="K670" s="1173">
        <v>9.6999999999999993</v>
      </c>
      <c r="L670" s="985">
        <v>12400</v>
      </c>
      <c r="M670" s="1174">
        <f t="shared" si="191"/>
        <v>44.600000000000009</v>
      </c>
      <c r="N670" s="984">
        <f t="shared" si="192"/>
        <v>55600</v>
      </c>
      <c r="O670" s="986">
        <f t="shared" si="193"/>
        <v>160.7017543859649</v>
      </c>
      <c r="P670" s="987">
        <f t="shared" si="194"/>
        <v>142.45614035087721</v>
      </c>
      <c r="Q670" s="987">
        <f t="shared" si="195"/>
        <v>87.017543859649123</v>
      </c>
      <c r="R670" s="988">
        <f t="shared" si="196"/>
        <v>390.17543859649118</v>
      </c>
      <c r="S670" s="989">
        <v>142.5</v>
      </c>
      <c r="T670" s="990">
        <v>0</v>
      </c>
      <c r="U670" s="991">
        <v>32</v>
      </c>
      <c r="V670" s="991">
        <v>309</v>
      </c>
      <c r="W670" s="992">
        <f t="shared" si="197"/>
        <v>341</v>
      </c>
      <c r="X670" s="993">
        <f t="shared" si="198"/>
        <v>2.3929824561403508</v>
      </c>
      <c r="Y670" s="990">
        <v>1576</v>
      </c>
      <c r="Z670" s="991">
        <v>1324</v>
      </c>
      <c r="AA670" s="991">
        <v>954</v>
      </c>
      <c r="AB670" s="992">
        <f t="shared" si="199"/>
        <v>3854</v>
      </c>
      <c r="AC670" s="993">
        <f t="shared" si="200"/>
        <v>27.04561403508772</v>
      </c>
      <c r="AD670" s="994">
        <f t="shared" si="201"/>
        <v>4195</v>
      </c>
      <c r="AE670" s="995">
        <f t="shared" si="202"/>
        <v>29.438596491228068</v>
      </c>
      <c r="AF670" s="996">
        <v>81</v>
      </c>
      <c r="AG670" s="997">
        <v>64</v>
      </c>
      <c r="AH670" s="997">
        <v>9</v>
      </c>
      <c r="AI670" s="998">
        <f t="shared" si="203"/>
        <v>154</v>
      </c>
      <c r="AJ670" s="993">
        <f t="shared" si="204"/>
        <v>1.0807017543859649</v>
      </c>
    </row>
    <row r="671" spans="1:38" ht="16.5" customHeight="1">
      <c r="A671" s="999">
        <f>'09월 조업일지'!A669</f>
        <v>46290</v>
      </c>
      <c r="B671" s="1099">
        <f>'09월 조업일지'!B669</f>
        <v>46290</v>
      </c>
      <c r="C671" s="1000" t="str">
        <f>'09월 화학성분'!D669</f>
        <v>B</v>
      </c>
      <c r="D671" s="1000" t="str">
        <f>'09월 화학성분'!E669</f>
        <v>A</v>
      </c>
      <c r="E671" s="1000">
        <f>'09월 화학성분'!C669</f>
        <v>85871</v>
      </c>
      <c r="F671" s="1001" t="str">
        <f t="shared" si="190"/>
        <v>SHP275W</v>
      </c>
      <c r="G671" s="1172">
        <v>18.5</v>
      </c>
      <c r="H671" s="985">
        <v>23000</v>
      </c>
      <c r="I671" s="1173">
        <v>16.8</v>
      </c>
      <c r="J671" s="985">
        <v>20800</v>
      </c>
      <c r="K671" s="1173">
        <v>8.8000000000000007</v>
      </c>
      <c r="L671" s="985">
        <v>11100</v>
      </c>
      <c r="M671" s="1174">
        <f t="shared" si="191"/>
        <v>44.099999999999994</v>
      </c>
      <c r="N671" s="984">
        <f t="shared" si="192"/>
        <v>54900</v>
      </c>
      <c r="O671" s="986">
        <f t="shared" si="193"/>
        <v>158.51137146795315</v>
      </c>
      <c r="P671" s="987">
        <f t="shared" si="194"/>
        <v>143.34941419710546</v>
      </c>
      <c r="Q671" s="987">
        <f t="shared" si="195"/>
        <v>76.498966230186085</v>
      </c>
      <c r="R671" s="988">
        <f t="shared" si="196"/>
        <v>378.3597518952447</v>
      </c>
      <c r="S671" s="989">
        <v>145.1</v>
      </c>
      <c r="T671" s="990">
        <v>0</v>
      </c>
      <c r="U671" s="991">
        <v>77</v>
      </c>
      <c r="V671" s="991">
        <v>279</v>
      </c>
      <c r="W671" s="992">
        <f t="shared" si="197"/>
        <v>356</v>
      </c>
      <c r="X671" s="993">
        <f t="shared" si="198"/>
        <v>2.4534803583735356</v>
      </c>
      <c r="Y671" s="990">
        <v>1509</v>
      </c>
      <c r="Z671" s="991">
        <v>1438</v>
      </c>
      <c r="AA671" s="991">
        <v>956</v>
      </c>
      <c r="AB671" s="992">
        <f t="shared" si="199"/>
        <v>3903</v>
      </c>
      <c r="AC671" s="993">
        <f t="shared" si="200"/>
        <v>26.8986905582357</v>
      </c>
      <c r="AD671" s="994">
        <f t="shared" si="201"/>
        <v>4259</v>
      </c>
      <c r="AE671" s="995">
        <f t="shared" si="202"/>
        <v>29.352170916609236</v>
      </c>
      <c r="AF671" s="996">
        <v>78</v>
      </c>
      <c r="AG671" s="997">
        <v>72</v>
      </c>
      <c r="AH671" s="997">
        <v>31</v>
      </c>
      <c r="AI671" s="998">
        <f t="shared" si="203"/>
        <v>181</v>
      </c>
      <c r="AJ671" s="993">
        <f t="shared" si="204"/>
        <v>1.2474155754651965</v>
      </c>
    </row>
    <row r="672" spans="1:38" s="601" customFormat="1" ht="16.5" customHeight="1">
      <c r="A672" s="999">
        <f>'09월 조업일지'!A670</f>
        <v>46290</v>
      </c>
      <c r="B672" s="1099">
        <f>'09월 조업일지'!B670</f>
        <v>46290</v>
      </c>
      <c r="C672" s="1000" t="str">
        <f>'09월 화학성분'!D670</f>
        <v>B</v>
      </c>
      <c r="D672" s="1000" t="str">
        <f>'09월 화학성분'!E670</f>
        <v>B</v>
      </c>
      <c r="E672" s="1000">
        <f>'09월 화학성분'!C670</f>
        <v>85872</v>
      </c>
      <c r="F672" s="1001" t="str">
        <f t="shared" si="190"/>
        <v>SHP275W</v>
      </c>
      <c r="G672" s="1172">
        <v>19.399999999999999</v>
      </c>
      <c r="H672" s="985">
        <v>22900</v>
      </c>
      <c r="I672" s="1173">
        <v>16.600000000000001</v>
      </c>
      <c r="J672" s="985">
        <v>20600</v>
      </c>
      <c r="K672" s="1173">
        <v>10.9</v>
      </c>
      <c r="L672" s="985">
        <v>13800</v>
      </c>
      <c r="M672" s="1174">
        <f t="shared" si="191"/>
        <v>46.9</v>
      </c>
      <c r="N672" s="984">
        <f t="shared" si="192"/>
        <v>57300</v>
      </c>
      <c r="O672" s="986">
        <f t="shared" si="193"/>
        <v>162.18130311614732</v>
      </c>
      <c r="P672" s="987">
        <f t="shared" si="194"/>
        <v>145.89235127478756</v>
      </c>
      <c r="Q672" s="987">
        <f t="shared" si="195"/>
        <v>97.733711048158654</v>
      </c>
      <c r="R672" s="988">
        <f t="shared" si="196"/>
        <v>405.80736543909347</v>
      </c>
      <c r="S672" s="989">
        <v>141.19999999999999</v>
      </c>
      <c r="T672" s="990">
        <v>0</v>
      </c>
      <c r="U672" s="991">
        <v>0</v>
      </c>
      <c r="V672" s="991">
        <v>433</v>
      </c>
      <c r="W672" s="992">
        <f t="shared" si="197"/>
        <v>433</v>
      </c>
      <c r="X672" s="993">
        <f t="shared" si="198"/>
        <v>3.0665722379603402</v>
      </c>
      <c r="Y672" s="990">
        <v>1588</v>
      </c>
      <c r="Z672" s="991">
        <v>1350</v>
      </c>
      <c r="AA672" s="991">
        <v>1010</v>
      </c>
      <c r="AB672" s="992">
        <f t="shared" si="199"/>
        <v>3948</v>
      </c>
      <c r="AC672" s="993">
        <f t="shared" si="200"/>
        <v>27.960339943342778</v>
      </c>
      <c r="AD672" s="994">
        <f t="shared" si="201"/>
        <v>4381</v>
      </c>
      <c r="AE672" s="995">
        <f t="shared" si="202"/>
        <v>31.026912181303118</v>
      </c>
      <c r="AF672" s="996">
        <v>83</v>
      </c>
      <c r="AG672" s="997">
        <v>63</v>
      </c>
      <c r="AH672" s="997">
        <v>9</v>
      </c>
      <c r="AI672" s="998">
        <f t="shared" si="203"/>
        <v>155</v>
      </c>
      <c r="AJ672" s="993">
        <f t="shared" si="204"/>
        <v>1.0977337110481586</v>
      </c>
    </row>
    <row r="673" spans="1:36" s="601" customFormat="1" ht="16.5" customHeight="1">
      <c r="A673" s="999">
        <f>'09월 조업일지'!A671</f>
        <v>46290</v>
      </c>
      <c r="B673" s="1099">
        <f>'09월 조업일지'!B671</f>
        <v>46290</v>
      </c>
      <c r="C673" s="1000" t="str">
        <f>'09월 화학성분'!D671</f>
        <v>B</v>
      </c>
      <c r="D673" s="1000" t="str">
        <f>'09월 화학성분'!E671</f>
        <v>A</v>
      </c>
      <c r="E673" s="1000">
        <f>'09월 화학성분'!C671</f>
        <v>85873</v>
      </c>
      <c r="F673" s="1001" t="str">
        <f t="shared" si="190"/>
        <v>SHP275W</v>
      </c>
      <c r="G673" s="1172">
        <v>20.6</v>
      </c>
      <c r="H673" s="985">
        <v>24700</v>
      </c>
      <c r="I673" s="1173">
        <v>16.899999999999999</v>
      </c>
      <c r="J673" s="985">
        <v>20600</v>
      </c>
      <c r="K673" s="1173">
        <v>8.5</v>
      </c>
      <c r="L673" s="985">
        <v>10800</v>
      </c>
      <c r="M673" s="1174">
        <f t="shared" si="191"/>
        <v>46</v>
      </c>
      <c r="N673" s="984">
        <f t="shared" si="192"/>
        <v>56100</v>
      </c>
      <c r="O673" s="986">
        <f t="shared" si="193"/>
        <v>170.34482758620689</v>
      </c>
      <c r="P673" s="987">
        <f t="shared" si="194"/>
        <v>142.06896551724137</v>
      </c>
      <c r="Q673" s="987">
        <f t="shared" si="195"/>
        <v>74.482758620689651</v>
      </c>
      <c r="R673" s="988">
        <f t="shared" si="196"/>
        <v>386.89655172413791</v>
      </c>
      <c r="S673" s="989">
        <v>145</v>
      </c>
      <c r="T673" s="990">
        <v>0</v>
      </c>
      <c r="U673" s="991">
        <v>61</v>
      </c>
      <c r="V673" s="991">
        <v>290</v>
      </c>
      <c r="W673" s="992">
        <f t="shared" si="197"/>
        <v>351</v>
      </c>
      <c r="X673" s="993">
        <f t="shared" si="198"/>
        <v>2.420689655172414</v>
      </c>
      <c r="Y673" s="990">
        <v>1716</v>
      </c>
      <c r="Z673" s="991">
        <v>1159</v>
      </c>
      <c r="AA673" s="991">
        <v>704</v>
      </c>
      <c r="AB673" s="992">
        <f t="shared" si="199"/>
        <v>3579</v>
      </c>
      <c r="AC673" s="993">
        <f t="shared" si="200"/>
        <v>24.682758620689654</v>
      </c>
      <c r="AD673" s="994">
        <f t="shared" si="201"/>
        <v>3930</v>
      </c>
      <c r="AE673" s="995">
        <f t="shared" si="202"/>
        <v>27.103448275862068</v>
      </c>
      <c r="AF673" s="996">
        <v>82</v>
      </c>
      <c r="AG673" s="997">
        <v>66</v>
      </c>
      <c r="AH673" s="997">
        <v>26</v>
      </c>
      <c r="AI673" s="998">
        <f t="shared" si="203"/>
        <v>174</v>
      </c>
      <c r="AJ673" s="993">
        <f t="shared" si="204"/>
        <v>1.2</v>
      </c>
    </row>
    <row r="674" spans="1:36" s="601" customFormat="1" ht="16.5" customHeight="1">
      <c r="A674" s="999">
        <f>'09월 조업일지'!A672</f>
        <v>46290</v>
      </c>
      <c r="B674" s="1099">
        <f>'09월 조업일지'!B672</f>
        <v>46290</v>
      </c>
      <c r="C674" s="1000" t="str">
        <f>'09월 화학성분'!D672</f>
        <v>B</v>
      </c>
      <c r="D674" s="1000" t="str">
        <f>'09월 화학성분'!E672</f>
        <v>B</v>
      </c>
      <c r="E674" s="1000">
        <f>'09월 화학성분'!C672</f>
        <v>85874</v>
      </c>
      <c r="F674" s="1001" t="str">
        <f t="shared" si="190"/>
        <v>SHP275W</v>
      </c>
      <c r="G674" s="1172">
        <v>19</v>
      </c>
      <c r="H674" s="985">
        <v>23100</v>
      </c>
      <c r="I674" s="1173">
        <v>17</v>
      </c>
      <c r="J674" s="985">
        <v>20500</v>
      </c>
      <c r="K674" s="1173">
        <v>9.6</v>
      </c>
      <c r="L674" s="985">
        <v>12300</v>
      </c>
      <c r="M674" s="1174">
        <f t="shared" si="191"/>
        <v>45.6</v>
      </c>
      <c r="N674" s="984">
        <f t="shared" si="192"/>
        <v>55900</v>
      </c>
      <c r="O674" s="986">
        <f t="shared" si="193"/>
        <v>163.82978723404256</v>
      </c>
      <c r="P674" s="987">
        <f t="shared" si="194"/>
        <v>145.39007092198582</v>
      </c>
      <c r="Q674" s="987">
        <f t="shared" si="195"/>
        <v>87.234042553191486</v>
      </c>
      <c r="R674" s="988">
        <f t="shared" si="196"/>
        <v>396.45390070921991</v>
      </c>
      <c r="S674" s="989">
        <v>141</v>
      </c>
      <c r="T674" s="990">
        <v>0</v>
      </c>
      <c r="U674" s="991">
        <v>41</v>
      </c>
      <c r="V674" s="991">
        <v>317</v>
      </c>
      <c r="W674" s="992">
        <f t="shared" si="197"/>
        <v>358</v>
      </c>
      <c r="X674" s="993">
        <f t="shared" si="198"/>
        <v>2.5390070921985815</v>
      </c>
      <c r="Y674" s="990">
        <v>1561</v>
      </c>
      <c r="Z674" s="991">
        <v>1387</v>
      </c>
      <c r="AA674" s="991">
        <v>941</v>
      </c>
      <c r="AB674" s="992">
        <f t="shared" si="199"/>
        <v>3889</v>
      </c>
      <c r="AC674" s="993">
        <f t="shared" si="200"/>
        <v>27.581560283687942</v>
      </c>
      <c r="AD674" s="994">
        <f t="shared" si="201"/>
        <v>4247</v>
      </c>
      <c r="AE674" s="995">
        <f t="shared" si="202"/>
        <v>30.120567375886523</v>
      </c>
      <c r="AF674" s="996">
        <v>80</v>
      </c>
      <c r="AG674" s="997">
        <v>66</v>
      </c>
      <c r="AH674" s="997">
        <v>9</v>
      </c>
      <c r="AI674" s="998">
        <f t="shared" si="203"/>
        <v>155</v>
      </c>
      <c r="AJ674" s="993">
        <f t="shared" si="204"/>
        <v>1.0992907801418439</v>
      </c>
    </row>
    <row r="675" spans="1:36" s="601" customFormat="1" ht="16.5" customHeight="1">
      <c r="A675" s="999">
        <f>'09월 조업일지'!A673</f>
        <v>46290</v>
      </c>
      <c r="B675" s="1099">
        <f>'09월 조업일지'!B673</f>
        <v>46290</v>
      </c>
      <c r="C675" s="1000" t="str">
        <f>'09월 화학성분'!D673</f>
        <v>B</v>
      </c>
      <c r="D675" s="1000" t="str">
        <f>'09월 화학성분'!E673</f>
        <v>A</v>
      </c>
      <c r="E675" s="1000">
        <f>'09월 화학성분'!C673</f>
        <v>85875</v>
      </c>
      <c r="F675" s="1001" t="str">
        <f t="shared" si="190"/>
        <v>SHP275W</v>
      </c>
      <c r="G675" s="1172">
        <v>19.100000000000001</v>
      </c>
      <c r="H675" s="985">
        <v>23000</v>
      </c>
      <c r="I675" s="1173">
        <v>16.899999999999999</v>
      </c>
      <c r="J675" s="985">
        <v>20800</v>
      </c>
      <c r="K675" s="1173">
        <v>16.899999999999999</v>
      </c>
      <c r="L675" s="985">
        <v>20800</v>
      </c>
      <c r="M675" s="1174">
        <f t="shared" si="191"/>
        <v>52.9</v>
      </c>
      <c r="N675" s="984">
        <f t="shared" si="192"/>
        <v>64600</v>
      </c>
      <c r="O675" s="986">
        <f t="shared" si="193"/>
        <v>157.7503429355281</v>
      </c>
      <c r="P675" s="987">
        <f t="shared" si="194"/>
        <v>142.66117969821673</v>
      </c>
      <c r="Q675" s="987">
        <f t="shared" si="195"/>
        <v>142.66117969821673</v>
      </c>
      <c r="R675" s="988">
        <f t="shared" si="196"/>
        <v>443.07270233196152</v>
      </c>
      <c r="S675" s="989">
        <v>145.80000000000001</v>
      </c>
      <c r="T675" s="990">
        <v>0</v>
      </c>
      <c r="U675" s="991">
        <v>91</v>
      </c>
      <c r="V675" s="991">
        <v>314</v>
      </c>
      <c r="W675" s="992">
        <f t="shared" si="197"/>
        <v>405</v>
      </c>
      <c r="X675" s="993">
        <f t="shared" si="198"/>
        <v>2.7777777777777777</v>
      </c>
      <c r="Y675" s="990">
        <v>1225</v>
      </c>
      <c r="Z675" s="991">
        <v>1159</v>
      </c>
      <c r="AA675" s="991">
        <v>582</v>
      </c>
      <c r="AB675" s="992">
        <f t="shared" si="199"/>
        <v>2966</v>
      </c>
      <c r="AC675" s="993">
        <f t="shared" si="200"/>
        <v>20.342935528120712</v>
      </c>
      <c r="AD675" s="994">
        <f t="shared" si="201"/>
        <v>3371</v>
      </c>
      <c r="AE675" s="995">
        <f t="shared" si="202"/>
        <v>23.120713305898491</v>
      </c>
      <c r="AF675" s="996">
        <v>71</v>
      </c>
      <c r="AG675" s="997">
        <v>63</v>
      </c>
      <c r="AH675" s="997">
        <v>21</v>
      </c>
      <c r="AI675" s="998">
        <f t="shared" si="203"/>
        <v>155</v>
      </c>
      <c r="AJ675" s="993">
        <f t="shared" si="204"/>
        <v>1.0631001371742113</v>
      </c>
    </row>
    <row r="676" spans="1:36" s="601" customFormat="1" ht="16.5" customHeight="1">
      <c r="A676" s="999">
        <f>'09월 조업일지'!A674</f>
        <v>46290</v>
      </c>
      <c r="B676" s="1099">
        <f>'09월 조업일지'!B674</f>
        <v>46290</v>
      </c>
      <c r="C676" s="1000" t="str">
        <f>'09월 화학성분'!D674</f>
        <v>B</v>
      </c>
      <c r="D676" s="1000" t="str">
        <f>'09월 화학성분'!E674</f>
        <v>B</v>
      </c>
      <c r="E676" s="1000">
        <f>'09월 화학성분'!C674</f>
        <v>85876</v>
      </c>
      <c r="F676" s="1001" t="str">
        <f t="shared" si="190"/>
        <v>SHP275W</v>
      </c>
      <c r="G676" s="1172">
        <v>18.899999999999999</v>
      </c>
      <c r="H676" s="985">
        <v>22600</v>
      </c>
      <c r="I676" s="1173">
        <v>16.399999999999999</v>
      </c>
      <c r="J676" s="985">
        <v>20600</v>
      </c>
      <c r="K676" s="1173">
        <v>8.8000000000000007</v>
      </c>
      <c r="L676" s="985">
        <v>11500</v>
      </c>
      <c r="M676" s="1174">
        <f t="shared" si="191"/>
        <v>44.099999999999994</v>
      </c>
      <c r="N676" s="984">
        <f t="shared" si="192"/>
        <v>54700</v>
      </c>
      <c r="O676" s="986">
        <f t="shared" si="193"/>
        <v>161.42857142857142</v>
      </c>
      <c r="P676" s="987">
        <f t="shared" si="194"/>
        <v>147.14285714285714</v>
      </c>
      <c r="Q676" s="987">
        <f t="shared" si="195"/>
        <v>82.142857142857139</v>
      </c>
      <c r="R676" s="988">
        <f t="shared" si="196"/>
        <v>390.71428571428567</v>
      </c>
      <c r="S676" s="989">
        <v>140</v>
      </c>
      <c r="T676" s="990">
        <v>0</v>
      </c>
      <c r="U676" s="991">
        <v>0</v>
      </c>
      <c r="V676" s="991">
        <v>391</v>
      </c>
      <c r="W676" s="992">
        <f t="shared" si="197"/>
        <v>391</v>
      </c>
      <c r="X676" s="993">
        <f t="shared" si="198"/>
        <v>2.7928571428571427</v>
      </c>
      <c r="Y676" s="990">
        <v>1508</v>
      </c>
      <c r="Z676" s="991">
        <v>1376</v>
      </c>
      <c r="AA676" s="991">
        <v>879</v>
      </c>
      <c r="AB676" s="992">
        <f t="shared" si="199"/>
        <v>3763</v>
      </c>
      <c r="AC676" s="993">
        <f t="shared" si="200"/>
        <v>26.87857142857143</v>
      </c>
      <c r="AD676" s="994">
        <f t="shared" si="201"/>
        <v>4154</v>
      </c>
      <c r="AE676" s="995">
        <f t="shared" si="202"/>
        <v>29.671428571428571</v>
      </c>
      <c r="AF676" s="996">
        <v>80</v>
      </c>
      <c r="AG676" s="997">
        <v>66</v>
      </c>
      <c r="AH676" s="997">
        <v>7</v>
      </c>
      <c r="AI676" s="998">
        <f t="shared" si="203"/>
        <v>153</v>
      </c>
      <c r="AJ676" s="993">
        <f t="shared" si="204"/>
        <v>1.0928571428571427</v>
      </c>
    </row>
    <row r="677" spans="1:36" s="601" customFormat="1" ht="16.5" customHeight="1">
      <c r="A677" s="999">
        <f>'09월 조업일지'!A675</f>
        <v>46290</v>
      </c>
      <c r="B677" s="1099">
        <f>'09월 조업일지'!B675</f>
        <v>46290</v>
      </c>
      <c r="C677" s="1000" t="str">
        <f>'09월 화학성분'!D675</f>
        <v>B</v>
      </c>
      <c r="D677" s="1000" t="str">
        <f>'09월 화학성분'!E675</f>
        <v>A</v>
      </c>
      <c r="E677" s="1000">
        <f>'09월 화학성분'!C675</f>
        <v>85877</v>
      </c>
      <c r="F677" s="1001" t="str">
        <f t="shared" si="190"/>
        <v>SHP275W</v>
      </c>
      <c r="G677" s="1172">
        <v>18.899999999999999</v>
      </c>
      <c r="H677" s="985">
        <v>22900</v>
      </c>
      <c r="I677" s="1173">
        <v>16.7</v>
      </c>
      <c r="J677" s="985">
        <v>21000</v>
      </c>
      <c r="K677" s="1173">
        <v>8.6999999999999993</v>
      </c>
      <c r="L677" s="985">
        <v>10900</v>
      </c>
      <c r="M677" s="1174">
        <f t="shared" si="191"/>
        <v>44.3</v>
      </c>
      <c r="N677" s="984">
        <f t="shared" si="192"/>
        <v>54800</v>
      </c>
      <c r="O677" s="986">
        <f t="shared" si="193"/>
        <v>162.87339971550497</v>
      </c>
      <c r="P677" s="987">
        <f t="shared" si="194"/>
        <v>149.35988620199146</v>
      </c>
      <c r="Q677" s="987">
        <f t="shared" si="195"/>
        <v>77.524893314367006</v>
      </c>
      <c r="R677" s="988">
        <f t="shared" si="196"/>
        <v>389.75817923186344</v>
      </c>
      <c r="S677" s="989">
        <v>140.6</v>
      </c>
      <c r="T677" s="990">
        <v>0</v>
      </c>
      <c r="U677" s="991">
        <v>30</v>
      </c>
      <c r="V677" s="991">
        <v>315</v>
      </c>
      <c r="W677" s="992">
        <f t="shared" si="197"/>
        <v>345</v>
      </c>
      <c r="X677" s="993">
        <f t="shared" si="198"/>
        <v>2.4537695590327169</v>
      </c>
      <c r="Y677" s="990">
        <v>1536</v>
      </c>
      <c r="Z677" s="991">
        <v>1456</v>
      </c>
      <c r="AA677" s="991">
        <v>1031</v>
      </c>
      <c r="AB677" s="992">
        <f t="shared" si="199"/>
        <v>4023</v>
      </c>
      <c r="AC677" s="993">
        <f t="shared" si="200"/>
        <v>28.613086770981511</v>
      </c>
      <c r="AD677" s="994">
        <f t="shared" si="201"/>
        <v>4368</v>
      </c>
      <c r="AE677" s="995">
        <f t="shared" si="202"/>
        <v>31.066856330014225</v>
      </c>
      <c r="AF677" s="996">
        <v>80</v>
      </c>
      <c r="AG677" s="997">
        <v>71</v>
      </c>
      <c r="AH677" s="997">
        <v>33</v>
      </c>
      <c r="AI677" s="998">
        <f t="shared" si="203"/>
        <v>184</v>
      </c>
      <c r="AJ677" s="993">
        <f t="shared" si="204"/>
        <v>1.3086770981507825</v>
      </c>
    </row>
    <row r="678" spans="1:36" s="601" customFormat="1" ht="16.5" customHeight="1">
      <c r="A678" s="999">
        <f>'09월 조업일지'!A676</f>
        <v>46290</v>
      </c>
      <c r="B678" s="1099">
        <f>'09월 조업일지'!B676</f>
        <v>46290</v>
      </c>
      <c r="C678" s="1000" t="str">
        <f>'09월 화학성분'!D676</f>
        <v>B</v>
      </c>
      <c r="D678" s="1000" t="str">
        <f>'09월 화학성분'!E676</f>
        <v>B</v>
      </c>
      <c r="E678" s="1000">
        <f>'09월 화학성분'!C676</f>
        <v>85878</v>
      </c>
      <c r="F678" s="1001" t="str">
        <f t="shared" si="190"/>
        <v>SHP275W</v>
      </c>
      <c r="G678" s="1172">
        <v>20.7</v>
      </c>
      <c r="H678" s="985">
        <v>24200</v>
      </c>
      <c r="I678" s="1173">
        <v>16.2</v>
      </c>
      <c r="J678" s="985">
        <v>20600</v>
      </c>
      <c r="K678" s="1173">
        <v>9.6999999999999993</v>
      </c>
      <c r="L678" s="985">
        <v>12400</v>
      </c>
      <c r="M678" s="1174">
        <f t="shared" si="191"/>
        <v>46.599999999999994</v>
      </c>
      <c r="N678" s="984">
        <f t="shared" si="192"/>
        <v>57200</v>
      </c>
      <c r="O678" s="986">
        <f t="shared" si="193"/>
        <v>168.52367688022284</v>
      </c>
      <c r="P678" s="987">
        <f t="shared" si="194"/>
        <v>143.4540389972145</v>
      </c>
      <c r="Q678" s="987">
        <f t="shared" si="195"/>
        <v>86.350974930362113</v>
      </c>
      <c r="R678" s="988">
        <f t="shared" si="196"/>
        <v>398.32869080779943</v>
      </c>
      <c r="S678" s="989">
        <v>143.6</v>
      </c>
      <c r="T678" s="990">
        <v>0</v>
      </c>
      <c r="U678" s="991">
        <v>64</v>
      </c>
      <c r="V678" s="991">
        <v>559</v>
      </c>
      <c r="W678" s="992">
        <f t="shared" si="197"/>
        <v>623</v>
      </c>
      <c r="X678" s="993">
        <f t="shared" si="198"/>
        <v>4.3384401114206126</v>
      </c>
      <c r="Y678" s="990">
        <v>1701</v>
      </c>
      <c r="Z678" s="991">
        <v>1344</v>
      </c>
      <c r="AA678" s="991">
        <v>885</v>
      </c>
      <c r="AB678" s="992">
        <f t="shared" si="199"/>
        <v>3930</v>
      </c>
      <c r="AC678" s="993">
        <f t="shared" si="200"/>
        <v>27.367688022284124</v>
      </c>
      <c r="AD678" s="994">
        <f t="shared" si="201"/>
        <v>4553</v>
      </c>
      <c r="AE678" s="995">
        <f t="shared" si="202"/>
        <v>31.706128133704738</v>
      </c>
      <c r="AF678" s="996">
        <v>87</v>
      </c>
      <c r="AG678" s="997">
        <v>62</v>
      </c>
      <c r="AH678" s="997">
        <v>7</v>
      </c>
      <c r="AI678" s="998">
        <f t="shared" si="203"/>
        <v>156</v>
      </c>
      <c r="AJ678" s="993">
        <f t="shared" si="204"/>
        <v>1.0863509749303621</v>
      </c>
    </row>
    <row r="679" spans="1:36" s="601" customFormat="1" ht="16.5" customHeight="1">
      <c r="A679" s="999">
        <f>'09월 조업일지'!A677</f>
        <v>46290</v>
      </c>
      <c r="B679" s="1099">
        <f>'09월 조업일지'!B677</f>
        <v>46290</v>
      </c>
      <c r="C679" s="1000" t="str">
        <f>'09월 화학성분'!D677</f>
        <v>C</v>
      </c>
      <c r="D679" s="1000" t="str">
        <f>'09월 화학성분'!E677</f>
        <v>A</v>
      </c>
      <c r="E679" s="1000">
        <f>'09월 화학성분'!C677</f>
        <v>85879</v>
      </c>
      <c r="F679" s="1001" t="str">
        <f t="shared" si="190"/>
        <v>SHP275W</v>
      </c>
      <c r="G679" s="1172">
        <v>20</v>
      </c>
      <c r="H679" s="985">
        <v>23100</v>
      </c>
      <c r="I679" s="1173">
        <v>17.3</v>
      </c>
      <c r="J679" s="985">
        <v>20800</v>
      </c>
      <c r="K679" s="1173">
        <v>11.9</v>
      </c>
      <c r="L679" s="985">
        <v>14900</v>
      </c>
      <c r="M679" s="1174">
        <f t="shared" si="191"/>
        <v>49.199999999999996</v>
      </c>
      <c r="N679" s="984">
        <f t="shared" si="192"/>
        <v>58800</v>
      </c>
      <c r="O679" s="986">
        <f t="shared" si="193"/>
        <v>160.75156576200419</v>
      </c>
      <c r="P679" s="987">
        <f t="shared" si="194"/>
        <v>144.74599860821155</v>
      </c>
      <c r="Q679" s="987">
        <f t="shared" si="195"/>
        <v>103.68823938761309</v>
      </c>
      <c r="R679" s="988">
        <f t="shared" si="196"/>
        <v>409.18580375782881</v>
      </c>
      <c r="S679" s="989">
        <v>143.69999999999999</v>
      </c>
      <c r="T679" s="990">
        <v>0</v>
      </c>
      <c r="U679" s="991">
        <v>143</v>
      </c>
      <c r="V679" s="991">
        <v>216</v>
      </c>
      <c r="W679" s="992">
        <f t="shared" si="197"/>
        <v>359</v>
      </c>
      <c r="X679" s="993">
        <f t="shared" si="198"/>
        <v>2.4982602644398053</v>
      </c>
      <c r="Y679" s="990">
        <v>1619</v>
      </c>
      <c r="Z679" s="991">
        <v>1497</v>
      </c>
      <c r="AA679" s="991">
        <v>843</v>
      </c>
      <c r="AB679" s="992">
        <f t="shared" si="199"/>
        <v>3959</v>
      </c>
      <c r="AC679" s="993">
        <f t="shared" si="200"/>
        <v>27.550452331245651</v>
      </c>
      <c r="AD679" s="994">
        <f t="shared" si="201"/>
        <v>4318</v>
      </c>
      <c r="AE679" s="995">
        <f t="shared" si="202"/>
        <v>30.048712595685458</v>
      </c>
      <c r="AF679" s="996">
        <v>84</v>
      </c>
      <c r="AG679" s="997">
        <v>75</v>
      </c>
      <c r="AH679" s="997">
        <v>27</v>
      </c>
      <c r="AI679" s="998">
        <f t="shared" si="203"/>
        <v>186</v>
      </c>
      <c r="AJ679" s="993">
        <f t="shared" si="204"/>
        <v>1.2943632567849688</v>
      </c>
    </row>
    <row r="680" spans="1:36" s="601" customFormat="1" ht="16.5" customHeight="1">
      <c r="A680" s="999">
        <f>'09월 조업일지'!A678</f>
        <v>46290</v>
      </c>
      <c r="B680" s="1099">
        <f>'09월 조업일지'!B678</f>
        <v>46290</v>
      </c>
      <c r="C680" s="1000" t="str">
        <f>'09월 화학성분'!D678</f>
        <v>C</v>
      </c>
      <c r="D680" s="1000" t="str">
        <f>'09월 화학성분'!E678</f>
        <v>B</v>
      </c>
      <c r="E680" s="1000">
        <f>'09월 화학성분'!C678</f>
        <v>85880</v>
      </c>
      <c r="F680" s="1001" t="str">
        <f t="shared" si="190"/>
        <v>SHP275W</v>
      </c>
      <c r="G680" s="1172">
        <v>20.100000000000001</v>
      </c>
      <c r="H680" s="985">
        <v>22700</v>
      </c>
      <c r="I680" s="1173">
        <v>16.600000000000001</v>
      </c>
      <c r="J680" s="985">
        <v>20400</v>
      </c>
      <c r="K680" s="1173">
        <v>11.2</v>
      </c>
      <c r="L680" s="985">
        <v>14300</v>
      </c>
      <c r="M680" s="1174">
        <f t="shared" si="191"/>
        <v>47.900000000000006</v>
      </c>
      <c r="N680" s="984">
        <f t="shared" si="192"/>
        <v>57400</v>
      </c>
      <c r="O680" s="986">
        <f t="shared" si="193"/>
        <v>160.08462623413257</v>
      </c>
      <c r="P680" s="987">
        <f t="shared" si="194"/>
        <v>143.86459802538786</v>
      </c>
      <c r="Q680" s="987">
        <f t="shared" si="195"/>
        <v>100.8462623413258</v>
      </c>
      <c r="R680" s="988">
        <f t="shared" si="196"/>
        <v>404.79548660084617</v>
      </c>
      <c r="S680" s="989">
        <v>141.80000000000001</v>
      </c>
      <c r="T680" s="990">
        <v>0</v>
      </c>
      <c r="U680" s="991">
        <v>87</v>
      </c>
      <c r="V680" s="991">
        <v>240</v>
      </c>
      <c r="W680" s="992">
        <f t="shared" si="197"/>
        <v>327</v>
      </c>
      <c r="X680" s="993">
        <f t="shared" si="198"/>
        <v>2.3060648801128347</v>
      </c>
      <c r="Y680" s="990">
        <v>1626</v>
      </c>
      <c r="Z680" s="991">
        <v>1368</v>
      </c>
      <c r="AA680" s="991">
        <v>942</v>
      </c>
      <c r="AB680" s="992">
        <f t="shared" si="199"/>
        <v>3936</v>
      </c>
      <c r="AC680" s="993">
        <f t="shared" si="200"/>
        <v>27.7574047954866</v>
      </c>
      <c r="AD680" s="994">
        <f t="shared" si="201"/>
        <v>4263</v>
      </c>
      <c r="AE680" s="995">
        <f t="shared" si="202"/>
        <v>30.063469675599432</v>
      </c>
      <c r="AF680" s="996">
        <v>86</v>
      </c>
      <c r="AG680" s="997">
        <v>64</v>
      </c>
      <c r="AH680" s="997">
        <v>8</v>
      </c>
      <c r="AI680" s="998">
        <f t="shared" si="203"/>
        <v>158</v>
      </c>
      <c r="AJ680" s="993">
        <f t="shared" si="204"/>
        <v>1.1142454160789843</v>
      </c>
    </row>
    <row r="681" spans="1:36" s="601" customFormat="1" ht="16.5" customHeight="1">
      <c r="A681" s="999">
        <f>'09월 조업일지'!A679</f>
        <v>46290</v>
      </c>
      <c r="B681" s="1099">
        <f>'09월 조업일지'!B679</f>
        <v>46290</v>
      </c>
      <c r="C681" s="1000" t="str">
        <f>'09월 화학성분'!D679</f>
        <v>C</v>
      </c>
      <c r="D681" s="1000" t="str">
        <f>'09월 화학성분'!E679</f>
        <v>A</v>
      </c>
      <c r="E681" s="1000">
        <f>'09월 화학성분'!C679</f>
        <v>85881</v>
      </c>
      <c r="F681" s="1001" t="str">
        <f t="shared" si="190"/>
        <v>SHP275W</v>
      </c>
      <c r="G681" s="1172">
        <v>19.3</v>
      </c>
      <c r="H681" s="985">
        <v>23100</v>
      </c>
      <c r="I681" s="1173">
        <v>17.3</v>
      </c>
      <c r="J681" s="985">
        <v>20700</v>
      </c>
      <c r="K681" s="1173">
        <v>8.5</v>
      </c>
      <c r="L681" s="985">
        <v>10600</v>
      </c>
      <c r="M681" s="1174">
        <f t="shared" si="191"/>
        <v>45.1</v>
      </c>
      <c r="N681" s="984">
        <f t="shared" si="192"/>
        <v>54400</v>
      </c>
      <c r="O681" s="986">
        <f t="shared" si="193"/>
        <v>159.53038674033147</v>
      </c>
      <c r="P681" s="987">
        <f t="shared" si="194"/>
        <v>142.95580110497235</v>
      </c>
      <c r="Q681" s="987">
        <f t="shared" si="195"/>
        <v>73.204419889502759</v>
      </c>
      <c r="R681" s="988">
        <f t="shared" si="196"/>
        <v>375.69060773480658</v>
      </c>
      <c r="S681" s="989">
        <v>144.80000000000001</v>
      </c>
      <c r="T681" s="990">
        <v>0</v>
      </c>
      <c r="U681" s="991">
        <v>84</v>
      </c>
      <c r="V681" s="991">
        <v>362</v>
      </c>
      <c r="W681" s="992">
        <f t="shared" si="197"/>
        <v>446</v>
      </c>
      <c r="X681" s="993">
        <f t="shared" si="198"/>
        <v>3.0801104972375688</v>
      </c>
      <c r="Y681" s="990">
        <v>1585</v>
      </c>
      <c r="Z681" s="991">
        <v>1481</v>
      </c>
      <c r="AA681" s="991">
        <v>1065</v>
      </c>
      <c r="AB681" s="992">
        <f t="shared" si="199"/>
        <v>4131</v>
      </c>
      <c r="AC681" s="993">
        <f t="shared" si="200"/>
        <v>28.529005524861876</v>
      </c>
      <c r="AD681" s="994">
        <f t="shared" si="201"/>
        <v>4577</v>
      </c>
      <c r="AE681" s="995">
        <f t="shared" si="202"/>
        <v>31.609116022099446</v>
      </c>
      <c r="AF681" s="996">
        <v>80</v>
      </c>
      <c r="AG681" s="997">
        <v>74</v>
      </c>
      <c r="AH681" s="997">
        <v>31</v>
      </c>
      <c r="AI681" s="998">
        <f t="shared" si="203"/>
        <v>185</v>
      </c>
      <c r="AJ681" s="993">
        <f t="shared" si="204"/>
        <v>1.277624309392265</v>
      </c>
    </row>
    <row r="682" spans="1:36" s="601" customFormat="1" ht="16.5" customHeight="1">
      <c r="A682" s="999">
        <f>'09월 조업일지'!A680</f>
        <v>46290</v>
      </c>
      <c r="B682" s="1099">
        <f>'09월 조업일지'!B680</f>
        <v>46290</v>
      </c>
      <c r="C682" s="1000" t="str">
        <f>'09월 화학성분'!D680</f>
        <v>C</v>
      </c>
      <c r="D682" s="1000" t="str">
        <f>'09월 화학성분'!E680</f>
        <v>B</v>
      </c>
      <c r="E682" s="1000">
        <f>'09월 화학성분'!C680</f>
        <v>85882</v>
      </c>
      <c r="F682" s="1001" t="str">
        <f t="shared" si="190"/>
        <v>SHP275W</v>
      </c>
      <c r="G682" s="1172">
        <v>20.2</v>
      </c>
      <c r="H682" s="985">
        <v>22800</v>
      </c>
      <c r="I682" s="1173">
        <v>16.899999999999999</v>
      </c>
      <c r="J682" s="985">
        <v>20600</v>
      </c>
      <c r="K682" s="1173">
        <v>11.4</v>
      </c>
      <c r="L682" s="985">
        <v>14500</v>
      </c>
      <c r="M682" s="1174">
        <f t="shared" si="191"/>
        <v>48.499999999999993</v>
      </c>
      <c r="N682" s="984">
        <f t="shared" si="192"/>
        <v>57900</v>
      </c>
      <c r="O682" s="986">
        <f t="shared" si="193"/>
        <v>158.99581589958157</v>
      </c>
      <c r="P682" s="987">
        <f t="shared" si="194"/>
        <v>143.65411436541143</v>
      </c>
      <c r="Q682" s="987">
        <f t="shared" si="195"/>
        <v>101.11576011157601</v>
      </c>
      <c r="R682" s="988">
        <f t="shared" si="196"/>
        <v>403.76569037656907</v>
      </c>
      <c r="S682" s="989">
        <v>143.4</v>
      </c>
      <c r="T682" s="990">
        <v>0</v>
      </c>
      <c r="U682" s="991">
        <v>103</v>
      </c>
      <c r="V682" s="991">
        <v>261</v>
      </c>
      <c r="W682" s="992">
        <f t="shared" si="197"/>
        <v>364</v>
      </c>
      <c r="X682" s="993">
        <f t="shared" si="198"/>
        <v>2.5383542538354251</v>
      </c>
      <c r="Y682" s="990">
        <v>1675</v>
      </c>
      <c r="Z682" s="991">
        <v>1393</v>
      </c>
      <c r="AA682" s="991">
        <v>1172</v>
      </c>
      <c r="AB682" s="992">
        <f t="shared" si="199"/>
        <v>4240</v>
      </c>
      <c r="AC682" s="993">
        <f t="shared" si="200"/>
        <v>29.567642956764296</v>
      </c>
      <c r="AD682" s="994">
        <f t="shared" si="201"/>
        <v>4604</v>
      </c>
      <c r="AE682" s="995">
        <f t="shared" si="202"/>
        <v>32.105997210599718</v>
      </c>
      <c r="AF682" s="996">
        <v>83</v>
      </c>
      <c r="AG682" s="997">
        <v>65</v>
      </c>
      <c r="AH682" s="997">
        <v>11</v>
      </c>
      <c r="AI682" s="998">
        <f t="shared" si="203"/>
        <v>159</v>
      </c>
      <c r="AJ682" s="993">
        <f t="shared" si="204"/>
        <v>1.108786610878661</v>
      </c>
    </row>
    <row r="683" spans="1:36" s="601" customFormat="1" ht="16.5" customHeight="1">
      <c r="A683" s="999">
        <f>'09월 조업일지'!A681</f>
        <v>46290</v>
      </c>
      <c r="B683" s="1099">
        <f>'09월 조업일지'!B681</f>
        <v>46290</v>
      </c>
      <c r="C683" s="1000" t="str">
        <f>'09월 화학성분'!D681</f>
        <v>C</v>
      </c>
      <c r="D683" s="1000" t="str">
        <f>'09월 화학성분'!E681</f>
        <v>A</v>
      </c>
      <c r="E683" s="1000">
        <f>'09월 화학성분'!C681</f>
        <v>85883</v>
      </c>
      <c r="F683" s="1001" t="str">
        <f t="shared" si="190"/>
        <v>SHP275W</v>
      </c>
      <c r="G683" s="1172">
        <v>19.2</v>
      </c>
      <c r="H683" s="985">
        <v>22900</v>
      </c>
      <c r="I683" s="1173">
        <v>17.3</v>
      </c>
      <c r="J683" s="985">
        <v>20500</v>
      </c>
      <c r="K683" s="1173">
        <v>12.7</v>
      </c>
      <c r="L683" s="985">
        <v>15900</v>
      </c>
      <c r="M683" s="1174">
        <f t="shared" si="191"/>
        <v>49.2</v>
      </c>
      <c r="N683" s="984">
        <f t="shared" si="192"/>
        <v>59300</v>
      </c>
      <c r="O683" s="986">
        <f t="shared" si="193"/>
        <v>154.83434753211628</v>
      </c>
      <c r="P683" s="987">
        <f t="shared" si="194"/>
        <v>138.60716700473293</v>
      </c>
      <c r="Q683" s="987">
        <f t="shared" si="195"/>
        <v>107.5050709939148</v>
      </c>
      <c r="R683" s="988">
        <f t="shared" si="196"/>
        <v>400.94658553076403</v>
      </c>
      <c r="S683" s="989">
        <v>147.9</v>
      </c>
      <c r="T683" s="990">
        <v>0</v>
      </c>
      <c r="U683" s="991">
        <v>157</v>
      </c>
      <c r="V683" s="991">
        <v>233</v>
      </c>
      <c r="W683" s="992">
        <f t="shared" si="197"/>
        <v>390</v>
      </c>
      <c r="X683" s="993">
        <f t="shared" si="198"/>
        <v>2.6369168356997972</v>
      </c>
      <c r="Y683" s="990">
        <v>1563</v>
      </c>
      <c r="Z683" s="991">
        <v>1455</v>
      </c>
      <c r="AA683" s="991">
        <v>1124</v>
      </c>
      <c r="AB683" s="992">
        <f t="shared" si="199"/>
        <v>4142</v>
      </c>
      <c r="AC683" s="993">
        <f t="shared" si="200"/>
        <v>28.005409060175793</v>
      </c>
      <c r="AD683" s="994">
        <f t="shared" si="201"/>
        <v>4532</v>
      </c>
      <c r="AE683" s="995">
        <f t="shared" si="202"/>
        <v>30.64232589587559</v>
      </c>
      <c r="AF683" s="996">
        <v>81</v>
      </c>
      <c r="AG683" s="997">
        <v>73</v>
      </c>
      <c r="AH683" s="997">
        <v>35</v>
      </c>
      <c r="AI683" s="998">
        <f t="shared" si="203"/>
        <v>189</v>
      </c>
      <c r="AJ683" s="993">
        <f t="shared" si="204"/>
        <v>1.2778904665314401</v>
      </c>
    </row>
    <row r="684" spans="1:36" s="601" customFormat="1" ht="16.5" customHeight="1">
      <c r="A684" s="999">
        <f>'09월 조업일지'!A682</f>
        <v>46290</v>
      </c>
      <c r="B684" s="1099">
        <f>'09월 조업일지'!B682</f>
        <v>46290</v>
      </c>
      <c r="C684" s="1000" t="str">
        <f>'09월 화학성분'!D682</f>
        <v>C</v>
      </c>
      <c r="D684" s="1000" t="str">
        <f>'09월 화학성분'!E682</f>
        <v>B</v>
      </c>
      <c r="E684" s="1000">
        <f>'09월 화학성분'!C682</f>
        <v>85884</v>
      </c>
      <c r="F684" s="1001" t="str">
        <f t="shared" si="190"/>
        <v>SHP275W</v>
      </c>
      <c r="G684" s="1172">
        <v>20</v>
      </c>
      <c r="H684" s="985">
        <v>23000</v>
      </c>
      <c r="I684" s="1173">
        <v>16.8</v>
      </c>
      <c r="J684" s="985">
        <v>20600</v>
      </c>
      <c r="K684" s="1173">
        <v>12.9</v>
      </c>
      <c r="L684" s="985">
        <v>15700</v>
      </c>
      <c r="M684" s="1174">
        <f t="shared" si="191"/>
        <v>49.699999999999996</v>
      </c>
      <c r="N684" s="984">
        <f t="shared" si="192"/>
        <v>59300</v>
      </c>
      <c r="O684" s="986">
        <f t="shared" si="193"/>
        <v>160.61452513966481</v>
      </c>
      <c r="P684" s="987">
        <f t="shared" si="194"/>
        <v>143.85474860335196</v>
      </c>
      <c r="Q684" s="987">
        <f t="shared" si="195"/>
        <v>109.6368715083799</v>
      </c>
      <c r="R684" s="988">
        <f t="shared" si="196"/>
        <v>414.10614525139664</v>
      </c>
      <c r="S684" s="989">
        <v>143.19999999999999</v>
      </c>
      <c r="T684" s="990">
        <v>0</v>
      </c>
      <c r="U684" s="991">
        <v>97</v>
      </c>
      <c r="V684" s="991">
        <v>233</v>
      </c>
      <c r="W684" s="992">
        <f t="shared" si="197"/>
        <v>330</v>
      </c>
      <c r="X684" s="993">
        <f t="shared" si="198"/>
        <v>2.3044692737430168</v>
      </c>
      <c r="Y684" s="990">
        <v>1645</v>
      </c>
      <c r="Z684" s="991">
        <v>1384</v>
      </c>
      <c r="AA684" s="991">
        <v>1142</v>
      </c>
      <c r="AB684" s="992">
        <f t="shared" si="199"/>
        <v>4171</v>
      </c>
      <c r="AC684" s="993">
        <f t="shared" si="200"/>
        <v>29.127094972067042</v>
      </c>
      <c r="AD684" s="994">
        <f t="shared" si="201"/>
        <v>4501</v>
      </c>
      <c r="AE684" s="995">
        <f t="shared" si="202"/>
        <v>31.431564245810058</v>
      </c>
      <c r="AF684" s="996">
        <v>85</v>
      </c>
      <c r="AG684" s="997">
        <v>62</v>
      </c>
      <c r="AH684" s="997">
        <v>12</v>
      </c>
      <c r="AI684" s="998">
        <f t="shared" si="203"/>
        <v>159</v>
      </c>
      <c r="AJ684" s="993">
        <f t="shared" si="204"/>
        <v>1.1103351955307263</v>
      </c>
    </row>
    <row r="685" spans="1:36" ht="16.5" customHeight="1">
      <c r="A685" s="999">
        <f>'09월 조업일지'!A683</f>
        <v>46290</v>
      </c>
      <c r="B685" s="1099">
        <f>'09월 조업일지'!B683</f>
        <v>46290</v>
      </c>
      <c r="C685" s="1000" t="str">
        <f>'09월 화학성분'!D683</f>
        <v>C</v>
      </c>
      <c r="D685" s="1000" t="str">
        <f>'09월 화학성분'!E683</f>
        <v>A</v>
      </c>
      <c r="E685" s="1000">
        <f>'09월 화학성분'!C683</f>
        <v>85885</v>
      </c>
      <c r="F685" s="1001" t="str">
        <f t="shared" si="190"/>
        <v>SHP275W</v>
      </c>
      <c r="G685" s="1172">
        <v>21.9</v>
      </c>
      <c r="H685" s="985">
        <v>24600</v>
      </c>
      <c r="I685" s="1173">
        <v>17.2</v>
      </c>
      <c r="J685" s="985">
        <v>20600</v>
      </c>
      <c r="K685" s="1173">
        <v>8.1</v>
      </c>
      <c r="L685" s="985">
        <v>10300</v>
      </c>
      <c r="M685" s="1174">
        <f t="shared" si="191"/>
        <v>47.199999999999996</v>
      </c>
      <c r="N685" s="984">
        <f t="shared" si="192"/>
        <v>55500</v>
      </c>
      <c r="O685" s="986">
        <f t="shared" si="193"/>
        <v>171.54811715481171</v>
      </c>
      <c r="P685" s="987">
        <f t="shared" si="194"/>
        <v>143.65411436541143</v>
      </c>
      <c r="Q685" s="987">
        <f t="shared" si="195"/>
        <v>71.827057182705715</v>
      </c>
      <c r="R685" s="988">
        <f t="shared" si="196"/>
        <v>387.02928870292885</v>
      </c>
      <c r="S685" s="989">
        <v>143.4</v>
      </c>
      <c r="T685" s="990">
        <v>0</v>
      </c>
      <c r="U685" s="991">
        <v>167</v>
      </c>
      <c r="V685" s="991">
        <v>198</v>
      </c>
      <c r="W685" s="992">
        <f t="shared" si="197"/>
        <v>365</v>
      </c>
      <c r="X685" s="993">
        <f t="shared" si="198"/>
        <v>2.5453277545327753</v>
      </c>
      <c r="Y685" s="990">
        <v>1783</v>
      </c>
      <c r="Z685" s="991">
        <v>1469</v>
      </c>
      <c r="AA685" s="991">
        <v>846</v>
      </c>
      <c r="AB685" s="992">
        <f t="shared" si="199"/>
        <v>4098</v>
      </c>
      <c r="AC685" s="993">
        <f t="shared" si="200"/>
        <v>28.577405857740583</v>
      </c>
      <c r="AD685" s="994">
        <f t="shared" si="201"/>
        <v>4463</v>
      </c>
      <c r="AE685" s="995">
        <f t="shared" si="202"/>
        <v>31.122733612273361</v>
      </c>
      <c r="AF685" s="996">
        <v>88</v>
      </c>
      <c r="AG685" s="997">
        <v>73</v>
      </c>
      <c r="AH685" s="997">
        <v>27</v>
      </c>
      <c r="AI685" s="998">
        <f t="shared" si="203"/>
        <v>188</v>
      </c>
      <c r="AJ685" s="993">
        <f t="shared" si="204"/>
        <v>1.311018131101813</v>
      </c>
    </row>
    <row r="686" spans="1:36" ht="16.5" customHeight="1">
      <c r="A686" s="999">
        <f>'09월 조업일지'!A684</f>
        <v>46290</v>
      </c>
      <c r="B686" s="1099">
        <f>'09월 조업일지'!B684</f>
        <v>46290</v>
      </c>
      <c r="C686" s="1000" t="str">
        <f>'09월 화학성분'!D684</f>
        <v>C</v>
      </c>
      <c r="D686" s="1000" t="str">
        <f>'09월 화학성분'!E684</f>
        <v>B</v>
      </c>
      <c r="E686" s="1000">
        <f>'09월 화학성분'!C684</f>
        <v>85886</v>
      </c>
      <c r="F686" s="1001" t="str">
        <f t="shared" si="190"/>
        <v>SHP275W</v>
      </c>
      <c r="G686" s="1172">
        <v>18.8</v>
      </c>
      <c r="H686" s="985">
        <v>22700</v>
      </c>
      <c r="I686" s="1173">
        <v>16.600000000000001</v>
      </c>
      <c r="J686" s="985">
        <v>20300</v>
      </c>
      <c r="K686" s="1173">
        <v>9.9</v>
      </c>
      <c r="L686" s="985">
        <v>12800</v>
      </c>
      <c r="M686" s="1174">
        <f t="shared" si="191"/>
        <v>45.300000000000004</v>
      </c>
      <c r="N686" s="984">
        <f t="shared" si="192"/>
        <v>55800</v>
      </c>
      <c r="O686" s="986">
        <f t="shared" si="193"/>
        <v>156.01374570446737</v>
      </c>
      <c r="P686" s="987">
        <f t="shared" si="194"/>
        <v>139.5189003436426</v>
      </c>
      <c r="Q686" s="987">
        <f t="shared" si="195"/>
        <v>87.972508591065292</v>
      </c>
      <c r="R686" s="988">
        <f t="shared" si="196"/>
        <v>383.50515463917532</v>
      </c>
      <c r="S686" s="989">
        <v>145.5</v>
      </c>
      <c r="T686" s="990">
        <v>0</v>
      </c>
      <c r="U686" s="991">
        <v>71</v>
      </c>
      <c r="V686" s="991">
        <v>255</v>
      </c>
      <c r="W686" s="992">
        <f t="shared" si="197"/>
        <v>326</v>
      </c>
      <c r="X686" s="993">
        <f t="shared" si="198"/>
        <v>2.2405498281786942</v>
      </c>
      <c r="Y686" s="990">
        <v>1555</v>
      </c>
      <c r="Z686" s="991">
        <v>1340</v>
      </c>
      <c r="AA686" s="991">
        <v>825</v>
      </c>
      <c r="AB686" s="992">
        <f t="shared" si="199"/>
        <v>3720</v>
      </c>
      <c r="AC686" s="993">
        <f t="shared" si="200"/>
        <v>25.567010309278352</v>
      </c>
      <c r="AD686" s="994">
        <f t="shared" si="201"/>
        <v>4046</v>
      </c>
      <c r="AE686" s="995">
        <f t="shared" si="202"/>
        <v>27.807560137457045</v>
      </c>
      <c r="AF686" s="996">
        <v>80</v>
      </c>
      <c r="AG686" s="997">
        <v>64</v>
      </c>
      <c r="AH686" s="997">
        <v>7</v>
      </c>
      <c r="AI686" s="998">
        <f t="shared" si="203"/>
        <v>151</v>
      </c>
      <c r="AJ686" s="993">
        <f t="shared" si="204"/>
        <v>1.0378006872852235</v>
      </c>
    </row>
    <row r="687" spans="1:36" ht="16.5" customHeight="1">
      <c r="A687" s="999">
        <f>'09월 조업일지'!A685</f>
        <v>46290</v>
      </c>
      <c r="B687" s="1099">
        <f>'09월 조업일지'!B685</f>
        <v>46290</v>
      </c>
      <c r="C687" s="1000" t="str">
        <f>'09월 화학성분'!D685</f>
        <v>C</v>
      </c>
      <c r="D687" s="1000" t="str">
        <f>'09월 화학성분'!E685</f>
        <v>A</v>
      </c>
      <c r="E687" s="1000">
        <f>'09월 화학성분'!C685</f>
        <v>85887</v>
      </c>
      <c r="F687" s="1001" t="str">
        <f t="shared" si="190"/>
        <v>SHP275W</v>
      </c>
      <c r="G687" s="1172">
        <v>19.7</v>
      </c>
      <c r="H687" s="985">
        <v>23100</v>
      </c>
      <c r="I687" s="1173">
        <v>17.600000000000001</v>
      </c>
      <c r="J687" s="985">
        <v>21000</v>
      </c>
      <c r="K687" s="1173">
        <v>8.8000000000000007</v>
      </c>
      <c r="L687" s="985">
        <v>11300</v>
      </c>
      <c r="M687" s="1174">
        <f t="shared" si="191"/>
        <v>46.099999999999994</v>
      </c>
      <c r="N687" s="984">
        <f t="shared" si="192"/>
        <v>55400</v>
      </c>
      <c r="O687" s="986">
        <f t="shared" si="193"/>
        <v>159.97229916897507</v>
      </c>
      <c r="P687" s="987">
        <f t="shared" si="194"/>
        <v>145.42936288088643</v>
      </c>
      <c r="Q687" s="987">
        <f t="shared" si="195"/>
        <v>78.254847645429365</v>
      </c>
      <c r="R687" s="988">
        <f t="shared" si="196"/>
        <v>383.65650969529088</v>
      </c>
      <c r="S687" s="989">
        <v>144.4</v>
      </c>
      <c r="T687" s="990">
        <v>0</v>
      </c>
      <c r="U687" s="991">
        <v>115</v>
      </c>
      <c r="V687" s="991">
        <v>236</v>
      </c>
      <c r="W687" s="992">
        <f t="shared" si="197"/>
        <v>351</v>
      </c>
      <c r="X687" s="993">
        <f t="shared" si="198"/>
        <v>2.4307479224376731</v>
      </c>
      <c r="Y687" s="990">
        <v>1634</v>
      </c>
      <c r="Z687" s="991">
        <v>1496</v>
      </c>
      <c r="AA687" s="991">
        <v>921</v>
      </c>
      <c r="AB687" s="992">
        <f t="shared" si="199"/>
        <v>4051</v>
      </c>
      <c r="AC687" s="993">
        <f t="shared" si="200"/>
        <v>28.054016620498615</v>
      </c>
      <c r="AD687" s="994">
        <f t="shared" si="201"/>
        <v>4402</v>
      </c>
      <c r="AE687" s="995">
        <f t="shared" si="202"/>
        <v>30.484764542936286</v>
      </c>
      <c r="AF687" s="996">
        <v>82</v>
      </c>
      <c r="AG687" s="997">
        <v>75</v>
      </c>
      <c r="AH687" s="997">
        <v>29</v>
      </c>
      <c r="AI687" s="998">
        <f t="shared" si="203"/>
        <v>186</v>
      </c>
      <c r="AJ687" s="993">
        <f t="shared" si="204"/>
        <v>1.2880886426592797</v>
      </c>
    </row>
    <row r="688" spans="1:36" ht="16.5" customHeight="1">
      <c r="A688" s="999">
        <f>'09월 조업일지'!A686</f>
        <v>46290</v>
      </c>
      <c r="B688" s="1099">
        <f>'09월 조업일지'!B686</f>
        <v>46290</v>
      </c>
      <c r="C688" s="1000" t="str">
        <f>'09월 화학성분'!D686</f>
        <v>A</v>
      </c>
      <c r="D688" s="1000" t="str">
        <f>'09월 화학성분'!E686</f>
        <v>B</v>
      </c>
      <c r="E688" s="1000">
        <f>'09월 화학성분'!C686</f>
        <v>85888</v>
      </c>
      <c r="F688" s="1001" t="str">
        <f t="shared" si="190"/>
        <v>SHP275W</v>
      </c>
      <c r="G688" s="1172">
        <v>19.7</v>
      </c>
      <c r="H688" s="985">
        <v>23900</v>
      </c>
      <c r="I688" s="1173">
        <v>16.7</v>
      </c>
      <c r="J688" s="985">
        <v>20500</v>
      </c>
      <c r="K688" s="1173">
        <v>10.9</v>
      </c>
      <c r="L688" s="985">
        <v>13900</v>
      </c>
      <c r="M688" s="1174">
        <f t="shared" si="191"/>
        <v>47.3</v>
      </c>
      <c r="N688" s="984">
        <f t="shared" si="192"/>
        <v>58300</v>
      </c>
      <c r="O688" s="986">
        <f t="shared" si="193"/>
        <v>164.71399035148175</v>
      </c>
      <c r="P688" s="987">
        <f t="shared" si="194"/>
        <v>141.28187456926258</v>
      </c>
      <c r="Q688" s="987">
        <f t="shared" si="195"/>
        <v>95.796002756719503</v>
      </c>
      <c r="R688" s="988">
        <f t="shared" si="196"/>
        <v>401.79186767746387</v>
      </c>
      <c r="S688" s="989">
        <v>145.1</v>
      </c>
      <c r="T688" s="990">
        <v>0</v>
      </c>
      <c r="U688" s="991">
        <v>53</v>
      </c>
      <c r="V688" s="991">
        <v>329</v>
      </c>
      <c r="W688" s="992">
        <f t="shared" si="197"/>
        <v>382</v>
      </c>
      <c r="X688" s="993">
        <f t="shared" si="198"/>
        <v>2.6326671261199173</v>
      </c>
      <c r="Y688" s="990">
        <v>1639</v>
      </c>
      <c r="Z688" s="991">
        <v>1430</v>
      </c>
      <c r="AA688" s="991">
        <v>886</v>
      </c>
      <c r="AB688" s="992">
        <f t="shared" si="199"/>
        <v>3955</v>
      </c>
      <c r="AC688" s="993">
        <f t="shared" si="200"/>
        <v>27.257064093728463</v>
      </c>
      <c r="AD688" s="994">
        <f t="shared" si="201"/>
        <v>4337</v>
      </c>
      <c r="AE688" s="995">
        <f t="shared" si="202"/>
        <v>29.889731219848382</v>
      </c>
      <c r="AF688" s="996">
        <v>82</v>
      </c>
      <c r="AG688" s="997">
        <v>66</v>
      </c>
      <c r="AH688" s="997">
        <v>8</v>
      </c>
      <c r="AI688" s="998">
        <f t="shared" si="203"/>
        <v>156</v>
      </c>
      <c r="AJ688" s="993">
        <f t="shared" si="204"/>
        <v>1.0751206064782908</v>
      </c>
    </row>
    <row r="689" spans="1:36" ht="16.5" customHeight="1">
      <c r="A689" s="999">
        <f>'09월 조업일지'!A687</f>
        <v>46290</v>
      </c>
      <c r="B689" s="1099">
        <f>'09월 조업일지'!B687</f>
        <v>46290</v>
      </c>
      <c r="C689" s="1000" t="str">
        <f>'09월 화학성분'!D687</f>
        <v>A</v>
      </c>
      <c r="D689" s="1000" t="str">
        <f>'09월 화학성분'!E687</f>
        <v>A</v>
      </c>
      <c r="E689" s="1000">
        <f>'09월 화학성분'!C687</f>
        <v>85889</v>
      </c>
      <c r="F689" s="1104" t="s">
        <v>990</v>
      </c>
      <c r="G689" s="1172">
        <v>18.600000000000001</v>
      </c>
      <c r="H689" s="985">
        <v>22700</v>
      </c>
      <c r="I689" s="1173">
        <v>17</v>
      </c>
      <c r="J689" s="985">
        <v>20800</v>
      </c>
      <c r="K689" s="1173">
        <v>9.9</v>
      </c>
      <c r="L689" s="985">
        <v>12700</v>
      </c>
      <c r="M689" s="1174">
        <f t="shared" si="191"/>
        <v>45.5</v>
      </c>
      <c r="N689" s="984">
        <f t="shared" si="192"/>
        <v>56200</v>
      </c>
      <c r="O689" s="986">
        <f t="shared" si="193"/>
        <v>156.98478561549101</v>
      </c>
      <c r="P689" s="987">
        <f t="shared" si="194"/>
        <v>143.84508990318119</v>
      </c>
      <c r="Q689" s="987">
        <f t="shared" si="195"/>
        <v>87.828492392807746</v>
      </c>
      <c r="R689" s="988">
        <f t="shared" si="196"/>
        <v>388.65836791147996</v>
      </c>
      <c r="S689" s="989">
        <v>144.6</v>
      </c>
      <c r="T689" s="990">
        <v>0</v>
      </c>
      <c r="U689" s="991">
        <v>76</v>
      </c>
      <c r="V689" s="991">
        <v>296</v>
      </c>
      <c r="W689" s="992">
        <f t="shared" si="197"/>
        <v>372</v>
      </c>
      <c r="X689" s="993">
        <f t="shared" si="198"/>
        <v>2.5726141078838176</v>
      </c>
      <c r="Y689" s="990">
        <v>1588</v>
      </c>
      <c r="Z689" s="991">
        <v>1369</v>
      </c>
      <c r="AA689" s="991">
        <v>763</v>
      </c>
      <c r="AB689" s="992">
        <f t="shared" si="199"/>
        <v>3720</v>
      </c>
      <c r="AC689" s="993">
        <f t="shared" si="200"/>
        <v>25.726141078838175</v>
      </c>
      <c r="AD689" s="994">
        <f t="shared" si="201"/>
        <v>4092</v>
      </c>
      <c r="AE689" s="995">
        <f t="shared" si="202"/>
        <v>28.298755186721994</v>
      </c>
      <c r="AF689" s="996">
        <v>78</v>
      </c>
      <c r="AG689" s="997">
        <v>64</v>
      </c>
      <c r="AH689" s="997">
        <v>7</v>
      </c>
      <c r="AI689" s="998">
        <f t="shared" si="203"/>
        <v>149</v>
      </c>
      <c r="AJ689" s="993">
        <f t="shared" si="204"/>
        <v>1.0304287690179808</v>
      </c>
    </row>
    <row r="690" spans="1:36" ht="16.5" customHeight="1">
      <c r="A690" s="999">
        <f>'09월 조업일지'!A688</f>
        <v>46290</v>
      </c>
      <c r="B690" s="1099">
        <f>'09월 조업일지'!B688</f>
        <v>46290</v>
      </c>
      <c r="C690" s="1000" t="str">
        <f>'09월 화학성분'!D688</f>
        <v>A</v>
      </c>
      <c r="D690" s="1000" t="str">
        <f>'09월 화학성분'!E688</f>
        <v>B</v>
      </c>
      <c r="E690" s="1000">
        <f>'09월 화학성분'!C688</f>
        <v>85890</v>
      </c>
      <c r="F690" s="1001" t="str">
        <f t="shared" si="190"/>
        <v>SHN275(BB)</v>
      </c>
      <c r="G690" s="1172">
        <v>18.8</v>
      </c>
      <c r="H690" s="985">
        <v>22400</v>
      </c>
      <c r="I690" s="1173">
        <v>16.5</v>
      </c>
      <c r="J690" s="985">
        <v>20600</v>
      </c>
      <c r="K690" s="1173">
        <v>10.199999999999999</v>
      </c>
      <c r="L690" s="985">
        <v>13000</v>
      </c>
      <c r="M690" s="1174">
        <f t="shared" si="191"/>
        <v>45.5</v>
      </c>
      <c r="N690" s="984">
        <f t="shared" si="192"/>
        <v>56000</v>
      </c>
      <c r="O690" s="986">
        <f t="shared" si="193"/>
        <v>154.80304077401522</v>
      </c>
      <c r="P690" s="987">
        <f t="shared" si="194"/>
        <v>142.36351071181755</v>
      </c>
      <c r="Q690" s="987">
        <f t="shared" si="195"/>
        <v>89.841050449205255</v>
      </c>
      <c r="R690" s="988">
        <f t="shared" si="196"/>
        <v>387.007601935038</v>
      </c>
      <c r="S690" s="989">
        <v>144.69999999999999</v>
      </c>
      <c r="T690" s="990">
        <v>0</v>
      </c>
      <c r="U690" s="991">
        <v>62</v>
      </c>
      <c r="V690" s="991">
        <v>307</v>
      </c>
      <c r="W690" s="992">
        <f t="shared" si="197"/>
        <v>369</v>
      </c>
      <c r="X690" s="993">
        <f t="shared" si="198"/>
        <v>2.5501036627505185</v>
      </c>
      <c r="Y690" s="990">
        <v>1563</v>
      </c>
      <c r="Z690" s="991">
        <v>1365</v>
      </c>
      <c r="AA690" s="991">
        <v>863</v>
      </c>
      <c r="AB690" s="992">
        <f t="shared" si="199"/>
        <v>3791</v>
      </c>
      <c r="AC690" s="993">
        <f t="shared" si="200"/>
        <v>26.199032480995164</v>
      </c>
      <c r="AD690" s="994">
        <f t="shared" si="201"/>
        <v>4160</v>
      </c>
      <c r="AE690" s="995">
        <f t="shared" si="202"/>
        <v>28.749136143745684</v>
      </c>
      <c r="AF690" s="996">
        <v>83</v>
      </c>
      <c r="AG690" s="997">
        <v>63</v>
      </c>
      <c r="AH690" s="997">
        <v>7</v>
      </c>
      <c r="AI690" s="998">
        <f t="shared" si="203"/>
        <v>153</v>
      </c>
      <c r="AJ690" s="993">
        <f t="shared" si="204"/>
        <v>1.0573600552868003</v>
      </c>
    </row>
    <row r="691" spans="1:36" ht="16.5" customHeight="1">
      <c r="A691" s="999">
        <f>'09월 조업일지'!A689</f>
        <v>46290</v>
      </c>
      <c r="B691" s="1099">
        <f>'09월 조업일지'!B689</f>
        <v>46290</v>
      </c>
      <c r="C691" s="1000" t="str">
        <f>'09월 화학성분'!D689</f>
        <v>A</v>
      </c>
      <c r="D691" s="1000" t="str">
        <f>'09월 화학성분'!E689</f>
        <v>A</v>
      </c>
      <c r="E691" s="1000">
        <f>'09월 화학성분'!C689</f>
        <v>85891</v>
      </c>
      <c r="F691" s="1001" t="str">
        <f t="shared" si="190"/>
        <v>SHN275(BB)</v>
      </c>
      <c r="G691" s="1172">
        <v>19.2</v>
      </c>
      <c r="H691" s="985">
        <v>23100</v>
      </c>
      <c r="I691" s="1173">
        <v>16.7</v>
      </c>
      <c r="J691" s="985">
        <v>20700</v>
      </c>
      <c r="K691" s="1173">
        <v>8.1999999999999993</v>
      </c>
      <c r="L691" s="985">
        <v>10400</v>
      </c>
      <c r="M691" s="1174">
        <f t="shared" si="191"/>
        <v>44.099999999999994</v>
      </c>
      <c r="N691" s="984">
        <f t="shared" si="192"/>
        <v>54200</v>
      </c>
      <c r="O691" s="986">
        <f t="shared" si="193"/>
        <v>160.41666666666666</v>
      </c>
      <c r="P691" s="987">
        <f t="shared" si="194"/>
        <v>143.75</v>
      </c>
      <c r="Q691" s="987">
        <f t="shared" si="195"/>
        <v>72.222222222222229</v>
      </c>
      <c r="R691" s="988">
        <f t="shared" si="196"/>
        <v>376.38888888888886</v>
      </c>
      <c r="S691" s="989">
        <v>144</v>
      </c>
      <c r="T691" s="990">
        <v>0</v>
      </c>
      <c r="U691" s="991">
        <v>95</v>
      </c>
      <c r="V691" s="991">
        <v>264</v>
      </c>
      <c r="W691" s="992">
        <f t="shared" si="197"/>
        <v>359</v>
      </c>
      <c r="X691" s="993">
        <f t="shared" si="198"/>
        <v>2.4930555555555554</v>
      </c>
      <c r="Y691" s="990">
        <v>1584</v>
      </c>
      <c r="Z691" s="991">
        <v>1387</v>
      </c>
      <c r="AA691" s="991">
        <v>695</v>
      </c>
      <c r="AB691" s="992">
        <f t="shared" si="199"/>
        <v>3666</v>
      </c>
      <c r="AC691" s="993">
        <f t="shared" si="200"/>
        <v>25.458333333333332</v>
      </c>
      <c r="AD691" s="994">
        <f t="shared" si="201"/>
        <v>4025</v>
      </c>
      <c r="AE691" s="995">
        <f t="shared" si="202"/>
        <v>27.951388888888889</v>
      </c>
      <c r="AF691" s="996">
        <v>80</v>
      </c>
      <c r="AG691" s="997">
        <v>63</v>
      </c>
      <c r="AH691" s="997">
        <v>6</v>
      </c>
      <c r="AI691" s="998">
        <f t="shared" si="203"/>
        <v>149</v>
      </c>
      <c r="AJ691" s="993">
        <f t="shared" si="204"/>
        <v>1.0347222222222223</v>
      </c>
    </row>
    <row r="692" spans="1:36" ht="16.5" customHeight="1">
      <c r="A692" s="999">
        <f>'09월 조업일지'!A690</f>
        <v>46290</v>
      </c>
      <c r="B692" s="1099">
        <f>'09월 조업일지'!B690</f>
        <v>46290</v>
      </c>
      <c r="C692" s="1000" t="str">
        <f>'09월 화학성분'!D690</f>
        <v>A</v>
      </c>
      <c r="D692" s="1000" t="str">
        <f>'09월 화학성분'!E690</f>
        <v>B</v>
      </c>
      <c r="E692" s="1000">
        <f>'09월 화학성분'!C690</f>
        <v>85892</v>
      </c>
      <c r="F692" s="1104" t="s">
        <v>993</v>
      </c>
      <c r="G692" s="1172">
        <v>18.399999999999999</v>
      </c>
      <c r="H692" s="985">
        <v>22500</v>
      </c>
      <c r="I692" s="1173">
        <v>16.600000000000001</v>
      </c>
      <c r="J692" s="985">
        <v>20700</v>
      </c>
      <c r="K692" s="1173">
        <v>10.3</v>
      </c>
      <c r="L692" s="985">
        <v>13300</v>
      </c>
      <c r="M692" s="1174">
        <f t="shared" si="191"/>
        <v>45.3</v>
      </c>
      <c r="N692" s="984">
        <f t="shared" si="192"/>
        <v>56500</v>
      </c>
      <c r="O692" s="986">
        <f t="shared" si="193"/>
        <v>157.12290502793297</v>
      </c>
      <c r="P692" s="987">
        <f t="shared" si="194"/>
        <v>144.55307262569835</v>
      </c>
      <c r="Q692" s="987">
        <f t="shared" si="195"/>
        <v>92.877094972067042</v>
      </c>
      <c r="R692" s="988">
        <f t="shared" si="196"/>
        <v>394.55307262569835</v>
      </c>
      <c r="S692" s="989">
        <v>143.19999999999999</v>
      </c>
      <c r="T692" s="990">
        <v>0</v>
      </c>
      <c r="U692" s="991">
        <v>55</v>
      </c>
      <c r="V692" s="991">
        <v>310</v>
      </c>
      <c r="W692" s="992">
        <f t="shared" si="197"/>
        <v>365</v>
      </c>
      <c r="X692" s="993">
        <f t="shared" si="198"/>
        <v>2.5488826815642458</v>
      </c>
      <c r="Y692" s="990">
        <v>1511</v>
      </c>
      <c r="Z692" s="991">
        <v>1383</v>
      </c>
      <c r="AA692" s="991">
        <v>844</v>
      </c>
      <c r="AB692" s="992">
        <f t="shared" si="199"/>
        <v>3738</v>
      </c>
      <c r="AC692" s="993">
        <f t="shared" si="200"/>
        <v>26.103351955307264</v>
      </c>
      <c r="AD692" s="994">
        <f t="shared" si="201"/>
        <v>4103</v>
      </c>
      <c r="AE692" s="995">
        <f t="shared" si="202"/>
        <v>28.652234636871512</v>
      </c>
      <c r="AF692" s="996">
        <v>78</v>
      </c>
      <c r="AG692" s="997">
        <v>66</v>
      </c>
      <c r="AH692" s="997">
        <v>7</v>
      </c>
      <c r="AI692" s="998">
        <f t="shared" si="203"/>
        <v>151</v>
      </c>
      <c r="AJ692" s="993">
        <f t="shared" si="204"/>
        <v>1.0544692737430168</v>
      </c>
    </row>
    <row r="693" spans="1:36" ht="16.5" customHeight="1">
      <c r="A693" s="999">
        <f>'09월 조업일지'!A691</f>
        <v>46290</v>
      </c>
      <c r="B693" s="1099">
        <f>'09월 조업일지'!B691</f>
        <v>46290</v>
      </c>
      <c r="C693" s="1000" t="str">
        <f>'09월 화학성분'!D691</f>
        <v>A</v>
      </c>
      <c r="D693" s="1000" t="str">
        <f>'09월 화학성분'!E691</f>
        <v>A</v>
      </c>
      <c r="E693" s="1000">
        <f>'09월 화학성분'!C691</f>
        <v>85893</v>
      </c>
      <c r="F693" s="1001" t="str">
        <f t="shared" si="190"/>
        <v>SS400(ToMok)</v>
      </c>
      <c r="G693" s="1172">
        <v>19.399999999999999</v>
      </c>
      <c r="H693" s="985">
        <v>22800</v>
      </c>
      <c r="I693" s="1173">
        <v>16.7</v>
      </c>
      <c r="J693" s="985">
        <v>20500</v>
      </c>
      <c r="K693" s="1173">
        <v>8.6</v>
      </c>
      <c r="L693" s="985">
        <v>11000</v>
      </c>
      <c r="M693" s="1174">
        <f t="shared" si="191"/>
        <v>44.699999999999996</v>
      </c>
      <c r="N693" s="984">
        <f t="shared" si="192"/>
        <v>54300</v>
      </c>
      <c r="O693" s="986">
        <f t="shared" si="193"/>
        <v>159.32914046121593</v>
      </c>
      <c r="P693" s="987">
        <f t="shared" si="194"/>
        <v>143.25646401118101</v>
      </c>
      <c r="Q693" s="987">
        <f t="shared" si="195"/>
        <v>76.869322152341027</v>
      </c>
      <c r="R693" s="988">
        <f t="shared" si="196"/>
        <v>379.45492662473794</v>
      </c>
      <c r="S693" s="989">
        <v>143.1</v>
      </c>
      <c r="T693" s="990">
        <v>0</v>
      </c>
      <c r="U693" s="991">
        <v>9</v>
      </c>
      <c r="V693" s="991">
        <v>332</v>
      </c>
      <c r="W693" s="992">
        <f t="shared" si="197"/>
        <v>341</v>
      </c>
      <c r="X693" s="993">
        <f t="shared" si="198"/>
        <v>2.3829489867225719</v>
      </c>
      <c r="Y693" s="990">
        <v>1578</v>
      </c>
      <c r="Z693" s="991">
        <v>1360</v>
      </c>
      <c r="AA693" s="991">
        <v>734</v>
      </c>
      <c r="AB693" s="992">
        <f t="shared" si="199"/>
        <v>3672</v>
      </c>
      <c r="AC693" s="993">
        <f t="shared" si="200"/>
        <v>25.660377358490567</v>
      </c>
      <c r="AD693" s="994">
        <f t="shared" si="201"/>
        <v>4013</v>
      </c>
      <c r="AE693" s="995">
        <f t="shared" si="202"/>
        <v>28.043326345213138</v>
      </c>
      <c r="AF693" s="996">
        <v>81</v>
      </c>
      <c r="AG693" s="997">
        <v>61</v>
      </c>
      <c r="AH693" s="997">
        <v>7</v>
      </c>
      <c r="AI693" s="998">
        <f t="shared" si="203"/>
        <v>149</v>
      </c>
      <c r="AJ693" s="993">
        <f t="shared" si="204"/>
        <v>1.0412299091544375</v>
      </c>
    </row>
    <row r="694" spans="1:36" ht="16.5" customHeight="1">
      <c r="A694" s="999">
        <f>'09월 조업일지'!A692</f>
        <v>46290</v>
      </c>
      <c r="B694" s="1099">
        <f>'09월 조업일지'!B692</f>
        <v>46290</v>
      </c>
      <c r="C694" s="1000" t="str">
        <f>'09월 화학성분'!D692</f>
        <v>A</v>
      </c>
      <c r="D694" s="1000" t="str">
        <f>'09월 화학성분'!E692</f>
        <v>B</v>
      </c>
      <c r="E694" s="1000">
        <f>'09월 화학성분'!C692</f>
        <v>85894</v>
      </c>
      <c r="F694" s="1001" t="str">
        <f t="shared" si="190"/>
        <v>SS400(ToMok)</v>
      </c>
      <c r="G694" s="1172">
        <v>18.3</v>
      </c>
      <c r="H694" s="985">
        <v>22700</v>
      </c>
      <c r="I694" s="1173">
        <v>16.7</v>
      </c>
      <c r="J694" s="985">
        <v>20800</v>
      </c>
      <c r="K694" s="1173">
        <v>10.199999999999999</v>
      </c>
      <c r="L694" s="985">
        <v>13200</v>
      </c>
      <c r="M694" s="1174">
        <f t="shared" si="191"/>
        <v>45.2</v>
      </c>
      <c r="N694" s="984">
        <f t="shared" si="192"/>
        <v>56700</v>
      </c>
      <c r="O694" s="986">
        <f t="shared" si="193"/>
        <v>157.96798886569243</v>
      </c>
      <c r="P694" s="987">
        <f t="shared" si="194"/>
        <v>144.74599860821155</v>
      </c>
      <c r="Q694" s="987">
        <f t="shared" si="195"/>
        <v>91.858037578288105</v>
      </c>
      <c r="R694" s="988">
        <f t="shared" si="196"/>
        <v>394.57202505219209</v>
      </c>
      <c r="S694" s="989">
        <v>143.69999999999999</v>
      </c>
      <c r="T694" s="990">
        <v>0</v>
      </c>
      <c r="U694" s="991">
        <v>74</v>
      </c>
      <c r="V694" s="991">
        <v>416</v>
      </c>
      <c r="W694" s="992">
        <f t="shared" si="197"/>
        <v>490</v>
      </c>
      <c r="X694" s="993">
        <f t="shared" si="198"/>
        <v>3.4098816979819069</v>
      </c>
      <c r="Y694" s="990">
        <v>1522</v>
      </c>
      <c r="Z694" s="991">
        <v>1385</v>
      </c>
      <c r="AA694" s="991">
        <v>943</v>
      </c>
      <c r="AB694" s="992">
        <f t="shared" si="199"/>
        <v>3850</v>
      </c>
      <c r="AC694" s="993">
        <f t="shared" si="200"/>
        <v>26.7919276270007</v>
      </c>
      <c r="AD694" s="994">
        <f t="shared" si="201"/>
        <v>4340</v>
      </c>
      <c r="AE694" s="995">
        <f t="shared" si="202"/>
        <v>30.201809324982605</v>
      </c>
      <c r="AF694" s="996">
        <v>78</v>
      </c>
      <c r="AG694" s="997">
        <v>64</v>
      </c>
      <c r="AH694" s="997">
        <v>8</v>
      </c>
      <c r="AI694" s="998">
        <f t="shared" si="203"/>
        <v>150</v>
      </c>
      <c r="AJ694" s="993">
        <f t="shared" si="204"/>
        <v>1.0438413361169103</v>
      </c>
    </row>
    <row r="695" spans="1:36" ht="16.5" customHeight="1">
      <c r="A695" s="999">
        <f>'09월 조업일지'!A693</f>
        <v>46291</v>
      </c>
      <c r="B695" s="1099">
        <f>'09월 조업일지'!B693</f>
        <v>46290</v>
      </c>
      <c r="C695" s="1000" t="str">
        <f>'09월 화학성분'!D693</f>
        <v>A</v>
      </c>
      <c r="D695" s="1000" t="str">
        <f>'09월 화학성분'!E693</f>
        <v>A</v>
      </c>
      <c r="E695" s="1000">
        <f>'09월 화학성분'!C693</f>
        <v>85895</v>
      </c>
      <c r="F695" s="1104" t="s">
        <v>786</v>
      </c>
      <c r="G695" s="1172">
        <v>19.899999999999999</v>
      </c>
      <c r="H695" s="985">
        <v>24600</v>
      </c>
      <c r="I695" s="1173">
        <v>17.100000000000001</v>
      </c>
      <c r="J695" s="985">
        <v>20800</v>
      </c>
      <c r="K695" s="1173">
        <v>9.6</v>
      </c>
      <c r="L695" s="985">
        <v>12200</v>
      </c>
      <c r="M695" s="1174">
        <f t="shared" si="191"/>
        <v>46.6</v>
      </c>
      <c r="N695" s="984">
        <f t="shared" si="192"/>
        <v>57600</v>
      </c>
      <c r="O695" s="986">
        <f t="shared" si="193"/>
        <v>171.30919220055711</v>
      </c>
      <c r="P695" s="987">
        <f t="shared" si="194"/>
        <v>144.84679665738162</v>
      </c>
      <c r="Q695" s="987">
        <f t="shared" si="195"/>
        <v>84.958217270194993</v>
      </c>
      <c r="R695" s="988">
        <f t="shared" si="196"/>
        <v>401.11420612813373</v>
      </c>
      <c r="S695" s="989">
        <v>143.6</v>
      </c>
      <c r="T695" s="990">
        <v>0</v>
      </c>
      <c r="U695" s="991">
        <v>185</v>
      </c>
      <c r="V695" s="991">
        <v>183</v>
      </c>
      <c r="W695" s="992">
        <f t="shared" si="197"/>
        <v>368</v>
      </c>
      <c r="X695" s="993">
        <f t="shared" si="198"/>
        <v>2.5626740947075208</v>
      </c>
      <c r="Y695" s="990">
        <v>1650</v>
      </c>
      <c r="Z695" s="991">
        <v>1420</v>
      </c>
      <c r="AA695" s="991">
        <v>793</v>
      </c>
      <c r="AB695" s="992">
        <f t="shared" si="199"/>
        <v>3863</v>
      </c>
      <c r="AC695" s="993">
        <f t="shared" si="200"/>
        <v>26.901114206128135</v>
      </c>
      <c r="AD695" s="994">
        <f t="shared" si="201"/>
        <v>4231</v>
      </c>
      <c r="AE695" s="995">
        <f t="shared" si="202"/>
        <v>29.463788300835656</v>
      </c>
      <c r="AF695" s="996">
        <v>81</v>
      </c>
      <c r="AG695" s="997">
        <v>64</v>
      </c>
      <c r="AH695" s="997">
        <v>8</v>
      </c>
      <c r="AI695" s="998">
        <f t="shared" si="203"/>
        <v>153</v>
      </c>
      <c r="AJ695" s="993">
        <f t="shared" si="204"/>
        <v>1.0654596100278553</v>
      </c>
    </row>
    <row r="696" spans="1:36" ht="16.5" customHeight="1">
      <c r="A696" s="999">
        <f>'09월 조업일지'!A694</f>
        <v>46291</v>
      </c>
      <c r="B696" s="1099">
        <f>'09월 조업일지'!B694</f>
        <v>46290</v>
      </c>
      <c r="C696" s="1000" t="str">
        <f>'09월 화학성분'!D694</f>
        <v>A</v>
      </c>
      <c r="D696" s="1000" t="str">
        <f>'09월 화학성분'!E694</f>
        <v>B</v>
      </c>
      <c r="E696" s="1000">
        <f>'09월 화학성분'!C694</f>
        <v>85896</v>
      </c>
      <c r="F696" s="1104" t="s">
        <v>943</v>
      </c>
      <c r="G696" s="1172">
        <v>19.5</v>
      </c>
      <c r="H696" s="985">
        <v>22700</v>
      </c>
      <c r="I696" s="1173">
        <v>16.399999999999999</v>
      </c>
      <c r="J696" s="985">
        <v>20600</v>
      </c>
      <c r="K696" s="1173">
        <v>10.3</v>
      </c>
      <c r="L696" s="985">
        <v>13300</v>
      </c>
      <c r="M696" s="1174">
        <f t="shared" si="191"/>
        <v>46.2</v>
      </c>
      <c r="N696" s="984">
        <f t="shared" si="192"/>
        <v>56600</v>
      </c>
      <c r="O696" s="986">
        <f t="shared" si="193"/>
        <v>153.58592692828145</v>
      </c>
      <c r="P696" s="987">
        <f t="shared" si="194"/>
        <v>139.37753721244925</v>
      </c>
      <c r="Q696" s="987">
        <f t="shared" si="195"/>
        <v>89.986468200270636</v>
      </c>
      <c r="R696" s="988">
        <f t="shared" si="196"/>
        <v>382.94993234100133</v>
      </c>
      <c r="S696" s="989">
        <v>147.80000000000001</v>
      </c>
      <c r="T696" s="990">
        <v>0</v>
      </c>
      <c r="U696" s="991">
        <v>50</v>
      </c>
      <c r="V696" s="991">
        <v>521</v>
      </c>
      <c r="W696" s="992">
        <f t="shared" si="197"/>
        <v>571</v>
      </c>
      <c r="X696" s="993">
        <f t="shared" si="198"/>
        <v>3.8633288227334233</v>
      </c>
      <c r="Y696" s="990">
        <v>1588</v>
      </c>
      <c r="Z696" s="991">
        <v>1358</v>
      </c>
      <c r="AA696" s="991">
        <v>1129</v>
      </c>
      <c r="AB696" s="992">
        <f t="shared" si="199"/>
        <v>4075</v>
      </c>
      <c r="AC696" s="993">
        <f t="shared" si="200"/>
        <v>27.571041948579158</v>
      </c>
      <c r="AD696" s="994">
        <f t="shared" si="201"/>
        <v>4646</v>
      </c>
      <c r="AE696" s="995">
        <f t="shared" si="202"/>
        <v>31.434370771312583</v>
      </c>
      <c r="AF696" s="996">
        <v>84</v>
      </c>
      <c r="AG696" s="997">
        <v>62</v>
      </c>
      <c r="AH696" s="997">
        <v>12</v>
      </c>
      <c r="AI696" s="998">
        <f t="shared" si="203"/>
        <v>158</v>
      </c>
      <c r="AJ696" s="993">
        <f t="shared" si="204"/>
        <v>1.0690121786197564</v>
      </c>
    </row>
    <row r="697" spans="1:36" ht="16.5" customHeight="1">
      <c r="A697" s="999">
        <f>'09월 조업일지'!A695</f>
        <v>46291</v>
      </c>
      <c r="B697" s="1099">
        <f>'09월 조업일지'!B695</f>
        <v>46290</v>
      </c>
      <c r="C697" s="1000" t="str">
        <f>'09월 화학성분'!D695</f>
        <v>A</v>
      </c>
      <c r="D697" s="1000" t="str">
        <f>'09월 화학성분'!E695</f>
        <v>A</v>
      </c>
      <c r="E697" s="1000">
        <f>'09월 화학성분'!C695</f>
        <v>85897</v>
      </c>
      <c r="F697" s="1001" t="str">
        <f t="shared" si="190"/>
        <v>SY300</v>
      </c>
      <c r="G697" s="1172">
        <v>19.899999999999999</v>
      </c>
      <c r="H697" s="985">
        <v>24400</v>
      </c>
      <c r="I697" s="1173">
        <v>16.899999999999999</v>
      </c>
      <c r="J697" s="985">
        <v>20900</v>
      </c>
      <c r="K697" s="1173">
        <v>8.1</v>
      </c>
      <c r="L697" s="985">
        <v>10400</v>
      </c>
      <c r="M697" s="1174">
        <f t="shared" si="191"/>
        <v>44.9</v>
      </c>
      <c r="N697" s="984">
        <f t="shared" si="192"/>
        <v>55700</v>
      </c>
      <c r="O697" s="986">
        <f t="shared" si="193"/>
        <v>170.74877536738978</v>
      </c>
      <c r="P697" s="987">
        <f t="shared" si="194"/>
        <v>146.25612316305109</v>
      </c>
      <c r="Q697" s="987">
        <f t="shared" si="195"/>
        <v>72.778166550034982</v>
      </c>
      <c r="R697" s="988">
        <f t="shared" si="196"/>
        <v>389.78306508047586</v>
      </c>
      <c r="S697" s="989">
        <v>142.9</v>
      </c>
      <c r="T697" s="990">
        <v>0</v>
      </c>
      <c r="U697" s="991">
        <v>164</v>
      </c>
      <c r="V697" s="991">
        <v>589</v>
      </c>
      <c r="W697" s="992">
        <f t="shared" si="197"/>
        <v>753</v>
      </c>
      <c r="X697" s="993">
        <f t="shared" si="198"/>
        <v>5.2694191742477257</v>
      </c>
      <c r="Y697" s="990">
        <v>1640</v>
      </c>
      <c r="Z697" s="991">
        <v>1401</v>
      </c>
      <c r="AA697" s="991">
        <v>623</v>
      </c>
      <c r="AB697" s="992">
        <f t="shared" si="199"/>
        <v>3664</v>
      </c>
      <c r="AC697" s="993">
        <f t="shared" si="200"/>
        <v>25.640307907627712</v>
      </c>
      <c r="AD697" s="994">
        <f t="shared" si="201"/>
        <v>4417</v>
      </c>
      <c r="AE697" s="995">
        <f t="shared" si="202"/>
        <v>30.909727081875435</v>
      </c>
      <c r="AF697" s="996">
        <v>82</v>
      </c>
      <c r="AG697" s="997">
        <v>63</v>
      </c>
      <c r="AH697" s="997">
        <v>5</v>
      </c>
      <c r="AI697" s="998">
        <f t="shared" si="203"/>
        <v>150</v>
      </c>
      <c r="AJ697" s="993">
        <f t="shared" si="204"/>
        <v>1.0496850944716585</v>
      </c>
    </row>
    <row r="698" spans="1:36" ht="16.5" customHeight="1">
      <c r="A698" s="999">
        <f>'09월 조업일지'!A696</f>
        <v>46291</v>
      </c>
      <c r="B698" s="1099">
        <f>'09월 조업일지'!B696</f>
        <v>46290</v>
      </c>
      <c r="C698" s="1000" t="str">
        <f>'09월 화학성분'!D696</f>
        <v>A</v>
      </c>
      <c r="D698" s="1000" t="str">
        <f>'09월 화학성분'!E696</f>
        <v>B</v>
      </c>
      <c r="E698" s="1000">
        <f>'09월 화학성분'!C696</f>
        <v>85898</v>
      </c>
      <c r="F698" s="1104" t="s">
        <v>638</v>
      </c>
      <c r="G698" s="1172">
        <v>20.6</v>
      </c>
      <c r="H698" s="985">
        <v>24100</v>
      </c>
      <c r="I698" s="1173">
        <v>16.2</v>
      </c>
      <c r="J698" s="985">
        <v>20400</v>
      </c>
      <c r="K698" s="1173">
        <v>10.3</v>
      </c>
      <c r="L698" s="985">
        <v>13400</v>
      </c>
      <c r="M698" s="1174">
        <f t="shared" si="191"/>
        <v>47.099999999999994</v>
      </c>
      <c r="N698" s="984">
        <f t="shared" si="192"/>
        <v>57900</v>
      </c>
      <c r="O698" s="986">
        <f t="shared" si="193"/>
        <v>168.29608938547489</v>
      </c>
      <c r="P698" s="987">
        <f t="shared" si="194"/>
        <v>142.45810055865923</v>
      </c>
      <c r="Q698" s="987">
        <f t="shared" si="195"/>
        <v>93.575418994413411</v>
      </c>
      <c r="R698" s="988">
        <f t="shared" si="196"/>
        <v>404.32960893854749</v>
      </c>
      <c r="S698" s="989">
        <v>143.19999999999999</v>
      </c>
      <c r="T698" s="990">
        <v>0</v>
      </c>
      <c r="U698" s="991">
        <v>102</v>
      </c>
      <c r="V698" s="991">
        <v>272</v>
      </c>
      <c r="W698" s="992">
        <f t="shared" si="197"/>
        <v>374</v>
      </c>
      <c r="X698" s="993">
        <f t="shared" si="198"/>
        <v>2.6117318435754191</v>
      </c>
      <c r="Y698" s="990">
        <v>1710</v>
      </c>
      <c r="Z698" s="991">
        <v>1356</v>
      </c>
      <c r="AA698" s="991">
        <v>737</v>
      </c>
      <c r="AB698" s="992">
        <f t="shared" si="199"/>
        <v>3803</v>
      </c>
      <c r="AC698" s="993">
        <f t="shared" si="200"/>
        <v>26.557262569832403</v>
      </c>
      <c r="AD698" s="994">
        <f t="shared" si="201"/>
        <v>4177</v>
      </c>
      <c r="AE698" s="995">
        <f t="shared" si="202"/>
        <v>29.168994413407823</v>
      </c>
      <c r="AF698" s="996">
        <v>87</v>
      </c>
      <c r="AG698" s="997">
        <v>63</v>
      </c>
      <c r="AH698" s="997">
        <v>5</v>
      </c>
      <c r="AI698" s="998">
        <f t="shared" si="203"/>
        <v>155</v>
      </c>
      <c r="AJ698" s="993">
        <f t="shared" si="204"/>
        <v>1.0824022346368716</v>
      </c>
    </row>
    <row r="699" spans="1:36" ht="16.5" customHeight="1">
      <c r="A699" s="999">
        <f>'09월 조업일지'!A697</f>
        <v>46291</v>
      </c>
      <c r="B699" s="1099">
        <f>'09월 조업일지'!B697</f>
        <v>46291</v>
      </c>
      <c r="C699" s="1000" t="str">
        <f>'09월 화학성분'!D697</f>
        <v>B</v>
      </c>
      <c r="D699" s="1000" t="str">
        <f>'09월 화학성분'!E697</f>
        <v>A</v>
      </c>
      <c r="E699" s="1000">
        <f>'09월 화학성분'!C697</f>
        <v>85899</v>
      </c>
      <c r="F699" s="1001" t="str">
        <f t="shared" si="190"/>
        <v>S355JO-01</v>
      </c>
      <c r="G699" s="1172">
        <v>20</v>
      </c>
      <c r="H699" s="985">
        <v>24500</v>
      </c>
      <c r="I699" s="1173">
        <v>16.5</v>
      </c>
      <c r="J699" s="985">
        <v>20500</v>
      </c>
      <c r="K699" s="1173">
        <v>9.1999999999999993</v>
      </c>
      <c r="L699" s="985">
        <v>11700</v>
      </c>
      <c r="M699" s="1174">
        <f t="shared" si="191"/>
        <v>45.7</v>
      </c>
      <c r="N699" s="984">
        <f t="shared" si="192"/>
        <v>56700</v>
      </c>
      <c r="O699" s="986">
        <f t="shared" si="193"/>
        <v>172.90049400141146</v>
      </c>
      <c r="P699" s="987">
        <f t="shared" si="194"/>
        <v>144.67184191954834</v>
      </c>
      <c r="Q699" s="987">
        <f t="shared" si="195"/>
        <v>82.568807339449549</v>
      </c>
      <c r="R699" s="988">
        <f t="shared" si="196"/>
        <v>400.14114326040936</v>
      </c>
      <c r="S699" s="989">
        <v>141.69999999999999</v>
      </c>
      <c r="T699" s="990">
        <v>0</v>
      </c>
      <c r="U699" s="991">
        <v>106</v>
      </c>
      <c r="V699" s="991">
        <v>323</v>
      </c>
      <c r="W699" s="992">
        <f t="shared" si="197"/>
        <v>429</v>
      </c>
      <c r="X699" s="993">
        <f t="shared" si="198"/>
        <v>3.0275229357798166</v>
      </c>
      <c r="Y699" s="990">
        <v>1297</v>
      </c>
      <c r="Z699" s="991">
        <v>1068</v>
      </c>
      <c r="AA699" s="991">
        <v>612</v>
      </c>
      <c r="AB699" s="992">
        <f t="shared" si="199"/>
        <v>2977</v>
      </c>
      <c r="AC699" s="993">
        <f t="shared" si="200"/>
        <v>21.009174311926607</v>
      </c>
      <c r="AD699" s="994">
        <f t="shared" si="201"/>
        <v>3406</v>
      </c>
      <c r="AE699" s="995">
        <f t="shared" si="202"/>
        <v>24.036697247706424</v>
      </c>
      <c r="AF699" s="996">
        <v>70</v>
      </c>
      <c r="AG699" s="997">
        <v>54</v>
      </c>
      <c r="AH699" s="997">
        <v>5</v>
      </c>
      <c r="AI699" s="998">
        <f t="shared" si="203"/>
        <v>129</v>
      </c>
      <c r="AJ699" s="993">
        <f t="shared" si="204"/>
        <v>0.91037402964008474</v>
      </c>
    </row>
    <row r="700" spans="1:36" ht="16.5" customHeight="1">
      <c r="A700" s="999">
        <f>'09월 조업일지'!A698</f>
        <v>46291</v>
      </c>
      <c r="B700" s="1099">
        <f>'09월 조업일지'!B698</f>
        <v>46291</v>
      </c>
      <c r="C700" s="1000" t="str">
        <f>'09월 화학성분'!D698</f>
        <v>B</v>
      </c>
      <c r="D700" s="1000" t="str">
        <f>'09월 화학성분'!E698</f>
        <v>B</v>
      </c>
      <c r="E700" s="1000">
        <f>'09월 화학성분'!C698</f>
        <v>85900</v>
      </c>
      <c r="F700" s="1001" t="str">
        <f t="shared" si="190"/>
        <v>S355JO-01</v>
      </c>
      <c r="G700" s="1172">
        <v>18.5</v>
      </c>
      <c r="H700" s="985">
        <v>22400</v>
      </c>
      <c r="I700" s="1173">
        <v>16.3</v>
      </c>
      <c r="J700" s="985">
        <v>20600</v>
      </c>
      <c r="K700" s="1173">
        <v>9.3000000000000007</v>
      </c>
      <c r="L700" s="985">
        <v>12100</v>
      </c>
      <c r="M700" s="1174">
        <f t="shared" si="191"/>
        <v>44.099999999999994</v>
      </c>
      <c r="N700" s="984">
        <f t="shared" si="192"/>
        <v>55100</v>
      </c>
      <c r="O700" s="986">
        <f t="shared" si="193"/>
        <v>157.96897038081804</v>
      </c>
      <c r="P700" s="987">
        <f t="shared" si="194"/>
        <v>145.27503526093088</v>
      </c>
      <c r="Q700" s="987">
        <f t="shared" si="195"/>
        <v>85.331452750352597</v>
      </c>
      <c r="R700" s="988">
        <f t="shared" si="196"/>
        <v>388.5754583921015</v>
      </c>
      <c r="S700" s="989">
        <v>141.80000000000001</v>
      </c>
      <c r="T700" s="990">
        <v>0</v>
      </c>
      <c r="U700" s="991">
        <v>0</v>
      </c>
      <c r="V700" s="991">
        <v>338</v>
      </c>
      <c r="W700" s="992">
        <f t="shared" si="197"/>
        <v>338</v>
      </c>
      <c r="X700" s="993">
        <f t="shared" si="198"/>
        <v>2.3836389280677008</v>
      </c>
      <c r="Y700" s="990">
        <v>1516</v>
      </c>
      <c r="Z700" s="991">
        <v>1359</v>
      </c>
      <c r="AA700" s="991">
        <v>958</v>
      </c>
      <c r="AB700" s="992">
        <f t="shared" si="199"/>
        <v>3833</v>
      </c>
      <c r="AC700" s="993">
        <f t="shared" si="200"/>
        <v>27.031029619181943</v>
      </c>
      <c r="AD700" s="994">
        <f t="shared" si="201"/>
        <v>4171</v>
      </c>
      <c r="AE700" s="995">
        <f t="shared" si="202"/>
        <v>29.414668547249644</v>
      </c>
      <c r="AF700" s="996">
        <v>78</v>
      </c>
      <c r="AG700" s="997">
        <v>62</v>
      </c>
      <c r="AH700" s="997">
        <v>9</v>
      </c>
      <c r="AI700" s="998">
        <f t="shared" si="203"/>
        <v>149</v>
      </c>
      <c r="AJ700" s="993">
        <f t="shared" si="204"/>
        <v>1.0507757404795486</v>
      </c>
    </row>
    <row r="701" spans="1:36" ht="16.5" customHeight="1">
      <c r="A701" s="999">
        <f>'09월 조업일지'!A699</f>
        <v>46291</v>
      </c>
      <c r="B701" s="1099">
        <f>'09월 조업일지'!B699</f>
        <v>46291</v>
      </c>
      <c r="C701" s="1000" t="str">
        <f>'09월 화학성분'!D699</f>
        <v>B</v>
      </c>
      <c r="D701" s="1000" t="str">
        <f>'09월 화학성분'!E699</f>
        <v>B</v>
      </c>
      <c r="E701" s="1000">
        <f>'09월 화학성분'!C699</f>
        <v>85901</v>
      </c>
      <c r="F701" s="1001" t="str">
        <f t="shared" si="190"/>
        <v>S355JO-01</v>
      </c>
      <c r="G701" s="1172">
        <v>18.600000000000001</v>
      </c>
      <c r="H701" s="985">
        <v>22800</v>
      </c>
      <c r="I701" s="1173">
        <v>16.100000000000001</v>
      </c>
      <c r="J701" s="985">
        <v>20300</v>
      </c>
      <c r="K701" s="1173">
        <v>11.7</v>
      </c>
      <c r="L701" s="985">
        <v>14800</v>
      </c>
      <c r="M701" s="1174">
        <f t="shared" si="191"/>
        <v>46.400000000000006</v>
      </c>
      <c r="N701" s="984">
        <f t="shared" si="192"/>
        <v>57900</v>
      </c>
      <c r="O701" s="986">
        <f t="shared" si="193"/>
        <v>158.99581589958157</v>
      </c>
      <c r="P701" s="987">
        <f t="shared" si="194"/>
        <v>141.56206415620642</v>
      </c>
      <c r="Q701" s="987">
        <f t="shared" si="195"/>
        <v>103.20781032078102</v>
      </c>
      <c r="R701" s="988">
        <f t="shared" si="196"/>
        <v>403.76569037656907</v>
      </c>
      <c r="S701" s="989">
        <v>143.4</v>
      </c>
      <c r="T701" s="990">
        <v>0</v>
      </c>
      <c r="U701" s="991">
        <v>4</v>
      </c>
      <c r="V701" s="991">
        <v>301</v>
      </c>
      <c r="W701" s="992">
        <f t="shared" si="197"/>
        <v>305</v>
      </c>
      <c r="X701" s="993">
        <f t="shared" si="198"/>
        <v>2.1269177126917711</v>
      </c>
      <c r="Y701" s="990">
        <v>1521</v>
      </c>
      <c r="Z701" s="991">
        <v>1319</v>
      </c>
      <c r="AA701" s="991">
        <v>986</v>
      </c>
      <c r="AB701" s="992">
        <f t="shared" si="199"/>
        <v>3826</v>
      </c>
      <c r="AC701" s="993">
        <f t="shared" si="200"/>
        <v>26.680613668061365</v>
      </c>
      <c r="AD701" s="994">
        <f t="shared" si="201"/>
        <v>4131</v>
      </c>
      <c r="AE701" s="995">
        <f t="shared" si="202"/>
        <v>28.807531380753137</v>
      </c>
      <c r="AF701" s="996">
        <v>80</v>
      </c>
      <c r="AG701" s="997">
        <v>62</v>
      </c>
      <c r="AH701" s="997">
        <v>8</v>
      </c>
      <c r="AI701" s="998">
        <f t="shared" si="203"/>
        <v>150</v>
      </c>
      <c r="AJ701" s="993">
        <f t="shared" si="204"/>
        <v>1.0460251046025104</v>
      </c>
    </row>
    <row r="702" spans="1:36" ht="16.5" customHeight="1">
      <c r="A702" s="999">
        <f>'09월 조업일지'!A700</f>
        <v>46291</v>
      </c>
      <c r="B702" s="1099">
        <f>'09월 조업일지'!B700</f>
        <v>46291</v>
      </c>
      <c r="C702" s="1000" t="str">
        <f>'09월 화학성분'!D700</f>
        <v>B</v>
      </c>
      <c r="D702" s="1000" t="str">
        <f>'09월 화학성분'!E700</f>
        <v>A</v>
      </c>
      <c r="E702" s="1000">
        <f>'09월 화학성분'!C700</f>
        <v>85902</v>
      </c>
      <c r="F702" s="1001" t="str">
        <f t="shared" si="190"/>
        <v>S355JO-01</v>
      </c>
      <c r="G702" s="1172">
        <v>21</v>
      </c>
      <c r="H702" s="985">
        <v>24900</v>
      </c>
      <c r="I702" s="1173">
        <v>16.8</v>
      </c>
      <c r="J702" s="985">
        <v>20600</v>
      </c>
      <c r="K702" s="1173">
        <v>6.6</v>
      </c>
      <c r="L702" s="985">
        <v>8300</v>
      </c>
      <c r="M702" s="1174">
        <f t="shared" si="191"/>
        <v>44.4</v>
      </c>
      <c r="N702" s="984">
        <f t="shared" si="192"/>
        <v>53800</v>
      </c>
      <c r="O702" s="986">
        <f t="shared" si="193"/>
        <v>173.76133984647592</v>
      </c>
      <c r="P702" s="987">
        <f t="shared" si="194"/>
        <v>143.7543614794138</v>
      </c>
      <c r="Q702" s="987">
        <f t="shared" si="195"/>
        <v>57.920446615491969</v>
      </c>
      <c r="R702" s="988">
        <f t="shared" si="196"/>
        <v>375.43614794138171</v>
      </c>
      <c r="S702" s="989">
        <v>143.30000000000001</v>
      </c>
      <c r="T702" s="990">
        <v>0</v>
      </c>
      <c r="U702" s="991">
        <v>106</v>
      </c>
      <c r="V702" s="991">
        <v>251</v>
      </c>
      <c r="W702" s="992">
        <f t="shared" si="197"/>
        <v>357</v>
      </c>
      <c r="X702" s="993">
        <f t="shared" si="198"/>
        <v>2.4912770411723653</v>
      </c>
      <c r="Y702" s="990">
        <v>1741</v>
      </c>
      <c r="Z702" s="991">
        <v>1377</v>
      </c>
      <c r="AA702" s="991">
        <v>606</v>
      </c>
      <c r="AB702" s="992">
        <f t="shared" si="199"/>
        <v>3724</v>
      </c>
      <c r="AC702" s="993">
        <f t="shared" si="200"/>
        <v>25.987438939288204</v>
      </c>
      <c r="AD702" s="994">
        <f t="shared" si="201"/>
        <v>4081</v>
      </c>
      <c r="AE702" s="995">
        <f t="shared" si="202"/>
        <v>28.478715980460571</v>
      </c>
      <c r="AF702" s="996">
        <v>83</v>
      </c>
      <c r="AG702" s="997">
        <v>63</v>
      </c>
      <c r="AH702" s="997">
        <v>6</v>
      </c>
      <c r="AI702" s="998">
        <f t="shared" si="203"/>
        <v>152</v>
      </c>
      <c r="AJ702" s="993">
        <f t="shared" si="204"/>
        <v>1.0607117934403349</v>
      </c>
    </row>
    <row r="703" spans="1:36" ht="16.5" customHeight="1">
      <c r="A703" s="999">
        <f>'09월 조업일지'!A701</f>
        <v>46291</v>
      </c>
      <c r="B703" s="1099">
        <f>'09월 조업일지'!B701</f>
        <v>46291</v>
      </c>
      <c r="C703" s="1000" t="str">
        <f>'09월 화학성분'!D701</f>
        <v>B</v>
      </c>
      <c r="D703" s="1000" t="str">
        <f>'09월 화학성분'!E701</f>
        <v>B</v>
      </c>
      <c r="E703" s="1000">
        <f>'09월 화학성분'!C701</f>
        <v>85903</v>
      </c>
      <c r="F703" s="1001" t="str">
        <f t="shared" si="190"/>
        <v>S355JO-01</v>
      </c>
      <c r="G703" s="1172">
        <v>19.2</v>
      </c>
      <c r="H703" s="985">
        <v>22900</v>
      </c>
      <c r="I703" s="1173">
        <v>16.100000000000001</v>
      </c>
      <c r="J703" s="985">
        <v>20400</v>
      </c>
      <c r="K703" s="1173">
        <v>10</v>
      </c>
      <c r="L703" s="985">
        <v>12800</v>
      </c>
      <c r="M703" s="1174">
        <f t="shared" si="191"/>
        <v>45.3</v>
      </c>
      <c r="N703" s="984">
        <f t="shared" si="192"/>
        <v>56100</v>
      </c>
      <c r="O703" s="986">
        <f t="shared" si="193"/>
        <v>160.02795248078269</v>
      </c>
      <c r="P703" s="987">
        <f t="shared" si="194"/>
        <v>142.55765199161425</v>
      </c>
      <c r="Q703" s="987">
        <f t="shared" si="195"/>
        <v>89.447938504542279</v>
      </c>
      <c r="R703" s="988">
        <f t="shared" si="196"/>
        <v>392.0335429769392</v>
      </c>
      <c r="S703" s="989">
        <v>143.1</v>
      </c>
      <c r="T703" s="990">
        <v>0</v>
      </c>
      <c r="U703" s="991">
        <v>6</v>
      </c>
      <c r="V703" s="991">
        <v>342</v>
      </c>
      <c r="W703" s="992">
        <f t="shared" si="197"/>
        <v>348</v>
      </c>
      <c r="X703" s="993">
        <f t="shared" si="198"/>
        <v>2.4318658280922434</v>
      </c>
      <c r="Y703" s="990">
        <v>1555</v>
      </c>
      <c r="Z703" s="991">
        <v>1325</v>
      </c>
      <c r="AA703" s="991">
        <v>923</v>
      </c>
      <c r="AB703" s="992">
        <f t="shared" si="199"/>
        <v>3803</v>
      </c>
      <c r="AC703" s="993">
        <f t="shared" si="200"/>
        <v>26.575821104122991</v>
      </c>
      <c r="AD703" s="994">
        <f t="shared" si="201"/>
        <v>4151</v>
      </c>
      <c r="AE703" s="995">
        <f t="shared" si="202"/>
        <v>29.007686932215236</v>
      </c>
      <c r="AF703" s="996">
        <v>82</v>
      </c>
      <c r="AG703" s="997">
        <v>61</v>
      </c>
      <c r="AH703" s="997">
        <v>7</v>
      </c>
      <c r="AI703" s="998">
        <f t="shared" si="203"/>
        <v>150</v>
      </c>
      <c r="AJ703" s="993">
        <f t="shared" si="204"/>
        <v>1.0482180293501049</v>
      </c>
    </row>
    <row r="704" spans="1:36" ht="16.5" customHeight="1">
      <c r="A704" s="999">
        <f>'09월 조업일지'!A702</f>
        <v>46291</v>
      </c>
      <c r="B704" s="1099">
        <f>'09월 조업일지'!B702</f>
        <v>46291</v>
      </c>
      <c r="C704" s="1000" t="str">
        <f>'09월 화학성분'!D702</f>
        <v>B</v>
      </c>
      <c r="D704" s="1000" t="str">
        <f>'09월 화학성분'!E702</f>
        <v>A</v>
      </c>
      <c r="E704" s="1000">
        <f>'09월 화학성분'!C702</f>
        <v>85904</v>
      </c>
      <c r="F704" s="1001" t="str">
        <f t="shared" si="190"/>
        <v>S355JO-01</v>
      </c>
      <c r="G704" s="1172">
        <v>19.100000000000001</v>
      </c>
      <c r="H704" s="985">
        <v>23000</v>
      </c>
      <c r="I704" s="1173">
        <v>17</v>
      </c>
      <c r="J704" s="985">
        <v>20900</v>
      </c>
      <c r="K704" s="1173">
        <v>9.8000000000000007</v>
      </c>
      <c r="L704" s="985">
        <v>12400</v>
      </c>
      <c r="M704" s="1174">
        <f t="shared" si="191"/>
        <v>45.900000000000006</v>
      </c>
      <c r="N704" s="984">
        <f t="shared" si="192"/>
        <v>56300</v>
      </c>
      <c r="O704" s="986">
        <f t="shared" si="193"/>
        <v>162.20028208744711</v>
      </c>
      <c r="P704" s="987">
        <f t="shared" si="194"/>
        <v>147.39069111424541</v>
      </c>
      <c r="Q704" s="987">
        <f t="shared" si="195"/>
        <v>87.447108603667132</v>
      </c>
      <c r="R704" s="988">
        <f t="shared" si="196"/>
        <v>397.03808180535964</v>
      </c>
      <c r="S704" s="989">
        <v>141.80000000000001</v>
      </c>
      <c r="T704" s="990">
        <v>0</v>
      </c>
      <c r="U704" s="991">
        <v>60</v>
      </c>
      <c r="V704" s="991">
        <v>302</v>
      </c>
      <c r="W704" s="992">
        <f t="shared" si="197"/>
        <v>362</v>
      </c>
      <c r="X704" s="993">
        <f t="shared" si="198"/>
        <v>2.5528913963328628</v>
      </c>
      <c r="Y704" s="990">
        <v>1553</v>
      </c>
      <c r="Z704" s="991">
        <v>1418</v>
      </c>
      <c r="AA704" s="991">
        <v>769</v>
      </c>
      <c r="AB704" s="992">
        <f t="shared" si="199"/>
        <v>3740</v>
      </c>
      <c r="AC704" s="993">
        <f t="shared" si="200"/>
        <v>26.375176304654442</v>
      </c>
      <c r="AD704" s="994">
        <f t="shared" si="201"/>
        <v>4102</v>
      </c>
      <c r="AE704" s="995">
        <f t="shared" si="202"/>
        <v>28.928067700987302</v>
      </c>
      <c r="AF704" s="996">
        <v>80</v>
      </c>
      <c r="AG704" s="997">
        <v>63</v>
      </c>
      <c r="AH704" s="997">
        <v>7</v>
      </c>
      <c r="AI704" s="998">
        <f t="shared" si="203"/>
        <v>150</v>
      </c>
      <c r="AJ704" s="993">
        <f t="shared" si="204"/>
        <v>1.0578279266572637</v>
      </c>
    </row>
    <row r="705" spans="1:36" ht="16.5" customHeight="1">
      <c r="A705" s="999">
        <f>'09월 조업일지'!A703</f>
        <v>46291</v>
      </c>
      <c r="B705" s="1099">
        <f>'09월 조업일지'!B703</f>
        <v>46291</v>
      </c>
      <c r="C705" s="1000" t="str">
        <f>'09월 화학성분'!D703</f>
        <v>B</v>
      </c>
      <c r="D705" s="1000" t="str">
        <f>'09월 화학성분'!E703</f>
        <v>B</v>
      </c>
      <c r="E705" s="1000">
        <f>'09월 화학성분'!C703</f>
        <v>85905</v>
      </c>
      <c r="F705" s="1001" t="str">
        <f t="shared" si="190"/>
        <v>S355JO-01</v>
      </c>
      <c r="G705" s="1172">
        <v>19.3</v>
      </c>
      <c r="H705" s="985">
        <v>22600</v>
      </c>
      <c r="I705" s="1173">
        <v>16.8</v>
      </c>
      <c r="J705" s="985">
        <v>20600</v>
      </c>
      <c r="K705" s="1173">
        <v>11</v>
      </c>
      <c r="L705" s="985">
        <v>13800</v>
      </c>
      <c r="M705" s="1174">
        <f t="shared" si="191"/>
        <v>47.1</v>
      </c>
      <c r="N705" s="984">
        <f t="shared" si="192"/>
        <v>57000</v>
      </c>
      <c r="O705" s="986">
        <f t="shared" si="193"/>
        <v>157.16272600834492</v>
      </c>
      <c r="P705" s="987">
        <f t="shared" si="194"/>
        <v>143.25452016689846</v>
      </c>
      <c r="Q705" s="987">
        <f t="shared" si="195"/>
        <v>95.966620305980527</v>
      </c>
      <c r="R705" s="988">
        <f t="shared" si="196"/>
        <v>396.38386648122389</v>
      </c>
      <c r="S705" s="989">
        <v>143.80000000000001</v>
      </c>
      <c r="T705" s="990">
        <v>0</v>
      </c>
      <c r="U705" s="991">
        <v>0</v>
      </c>
      <c r="V705" s="991">
        <v>334</v>
      </c>
      <c r="W705" s="992">
        <f t="shared" si="197"/>
        <v>334</v>
      </c>
      <c r="X705" s="993">
        <f t="shared" si="198"/>
        <v>2.3226703755215574</v>
      </c>
      <c r="Y705" s="990">
        <v>1551</v>
      </c>
      <c r="Z705" s="991">
        <v>1384</v>
      </c>
      <c r="AA705" s="991">
        <v>915</v>
      </c>
      <c r="AB705" s="992">
        <f t="shared" si="199"/>
        <v>3850</v>
      </c>
      <c r="AC705" s="993">
        <f t="shared" si="200"/>
        <v>26.773296244784422</v>
      </c>
      <c r="AD705" s="994">
        <f t="shared" si="201"/>
        <v>4184</v>
      </c>
      <c r="AE705" s="995">
        <f t="shared" si="202"/>
        <v>29.09596662030598</v>
      </c>
      <c r="AF705" s="996">
        <v>83</v>
      </c>
      <c r="AG705" s="997">
        <v>63</v>
      </c>
      <c r="AH705" s="997">
        <v>9</v>
      </c>
      <c r="AI705" s="998">
        <f t="shared" si="203"/>
        <v>155</v>
      </c>
      <c r="AJ705" s="993">
        <f t="shared" si="204"/>
        <v>1.0778859527121001</v>
      </c>
    </row>
    <row r="706" spans="1:36" ht="16.5" customHeight="1">
      <c r="A706" s="999">
        <f>'09월 조업일지'!A704</f>
        <v>46291</v>
      </c>
      <c r="B706" s="1099">
        <f>'09월 조업일지'!B704</f>
        <v>46291</v>
      </c>
      <c r="C706" s="1000" t="str">
        <f>'09월 화학성분'!D704</f>
        <v>B</v>
      </c>
      <c r="D706" s="1000" t="str">
        <f>'09월 화학성분'!E704</f>
        <v>A</v>
      </c>
      <c r="E706" s="1000">
        <f>'09월 화학성분'!C704</f>
        <v>85906</v>
      </c>
      <c r="F706" s="1001" t="str">
        <f t="shared" si="190"/>
        <v>S355JO-01</v>
      </c>
      <c r="G706" s="1172">
        <v>19</v>
      </c>
      <c r="H706" s="985">
        <v>22500</v>
      </c>
      <c r="I706" s="1173">
        <v>16.8</v>
      </c>
      <c r="J706" s="985">
        <v>20700</v>
      </c>
      <c r="K706" s="1173">
        <v>8.6</v>
      </c>
      <c r="L706" s="985">
        <v>10800</v>
      </c>
      <c r="M706" s="1174">
        <f t="shared" si="191"/>
        <v>44.4</v>
      </c>
      <c r="N706" s="984">
        <f t="shared" si="192"/>
        <v>54000</v>
      </c>
      <c r="O706" s="986">
        <f t="shared" si="193"/>
        <v>158.22784810126583</v>
      </c>
      <c r="P706" s="987">
        <f t="shared" si="194"/>
        <v>145.56962025316457</v>
      </c>
      <c r="Q706" s="987">
        <f t="shared" si="195"/>
        <v>75.949367088607602</v>
      </c>
      <c r="R706" s="988">
        <f t="shared" si="196"/>
        <v>379.74683544303798</v>
      </c>
      <c r="S706" s="989">
        <v>142.19999999999999</v>
      </c>
      <c r="T706" s="990">
        <v>0</v>
      </c>
      <c r="U706" s="991">
        <v>29</v>
      </c>
      <c r="V706" s="991">
        <v>447</v>
      </c>
      <c r="W706" s="992">
        <f t="shared" si="197"/>
        <v>476</v>
      </c>
      <c r="X706" s="993">
        <f t="shared" si="198"/>
        <v>3.347398030942335</v>
      </c>
      <c r="Y706" s="990">
        <v>1553</v>
      </c>
      <c r="Z706" s="991">
        <v>1392</v>
      </c>
      <c r="AA706" s="991">
        <v>619</v>
      </c>
      <c r="AB706" s="992">
        <f t="shared" si="199"/>
        <v>3564</v>
      </c>
      <c r="AC706" s="993">
        <f t="shared" si="200"/>
        <v>25.063291139240508</v>
      </c>
      <c r="AD706" s="994">
        <f t="shared" si="201"/>
        <v>4040</v>
      </c>
      <c r="AE706" s="995">
        <f t="shared" si="202"/>
        <v>28.410689170182842</v>
      </c>
      <c r="AF706" s="996">
        <v>81</v>
      </c>
      <c r="AG706" s="997">
        <v>63</v>
      </c>
      <c r="AH706" s="997">
        <v>6</v>
      </c>
      <c r="AI706" s="998">
        <f t="shared" si="203"/>
        <v>150</v>
      </c>
      <c r="AJ706" s="993">
        <f t="shared" si="204"/>
        <v>1.0548523206751055</v>
      </c>
    </row>
    <row r="707" spans="1:36" ht="16.5" customHeight="1">
      <c r="A707" s="999">
        <f>'09월 조업일지'!A705</f>
        <v>46291</v>
      </c>
      <c r="B707" s="1099">
        <f>'09월 조업일지'!B705</f>
        <v>46291</v>
      </c>
      <c r="C707" s="1000" t="str">
        <f>'09월 화학성분'!D705</f>
        <v>B</v>
      </c>
      <c r="D707" s="1000" t="str">
        <f>'09월 화학성분'!E705</f>
        <v>B</v>
      </c>
      <c r="E707" s="1000">
        <f>'09월 화학성분'!C705</f>
        <v>85907</v>
      </c>
      <c r="F707" s="1001" t="str">
        <f t="shared" si="190"/>
        <v>S355JO-01</v>
      </c>
      <c r="G707" s="1172">
        <v>19.899999999999999</v>
      </c>
      <c r="H707" s="985">
        <v>24600</v>
      </c>
      <c r="I707" s="1173">
        <v>16.600000000000001</v>
      </c>
      <c r="J707" s="985">
        <v>20500</v>
      </c>
      <c r="K707" s="1173">
        <v>10.199999999999999</v>
      </c>
      <c r="L707" s="985">
        <v>13000</v>
      </c>
      <c r="M707" s="1174">
        <f t="shared" si="191"/>
        <v>46.7</v>
      </c>
      <c r="N707" s="984">
        <f t="shared" si="192"/>
        <v>58100</v>
      </c>
      <c r="O707" s="986">
        <f t="shared" si="193"/>
        <v>172.38962859145062</v>
      </c>
      <c r="P707" s="987">
        <f t="shared" si="194"/>
        <v>143.65802382620885</v>
      </c>
      <c r="Q707" s="987">
        <f t="shared" si="195"/>
        <v>91.100210231254394</v>
      </c>
      <c r="R707" s="988">
        <f t="shared" si="196"/>
        <v>407.14786264891387</v>
      </c>
      <c r="S707" s="989">
        <v>142.69999999999999</v>
      </c>
      <c r="T707" s="990">
        <v>0</v>
      </c>
      <c r="U707" s="991">
        <v>66</v>
      </c>
      <c r="V707" s="991">
        <v>307</v>
      </c>
      <c r="W707" s="992">
        <f t="shared" si="197"/>
        <v>373</v>
      </c>
      <c r="X707" s="993">
        <f t="shared" si="198"/>
        <v>2.613875262789068</v>
      </c>
      <c r="Y707" s="990">
        <v>1653</v>
      </c>
      <c r="Z707" s="991">
        <v>1349</v>
      </c>
      <c r="AA707" s="991">
        <v>859</v>
      </c>
      <c r="AB707" s="992">
        <f t="shared" si="199"/>
        <v>3861</v>
      </c>
      <c r="AC707" s="993">
        <f t="shared" si="200"/>
        <v>27.056762438682554</v>
      </c>
      <c r="AD707" s="994">
        <f t="shared" si="201"/>
        <v>4234</v>
      </c>
      <c r="AE707" s="995">
        <f t="shared" si="202"/>
        <v>29.67063770147162</v>
      </c>
      <c r="AF707" s="996">
        <v>82</v>
      </c>
      <c r="AG707" s="997">
        <v>64</v>
      </c>
      <c r="AH707" s="997">
        <v>8</v>
      </c>
      <c r="AI707" s="998">
        <f t="shared" si="203"/>
        <v>154</v>
      </c>
      <c r="AJ707" s="993">
        <f t="shared" si="204"/>
        <v>1.0791871058163982</v>
      </c>
    </row>
    <row r="708" spans="1:36" ht="16.5" customHeight="1">
      <c r="A708" s="999">
        <f>'09월 조업일지'!A706</f>
        <v>46291</v>
      </c>
      <c r="B708" s="1099">
        <f>'09월 조업일지'!B706</f>
        <v>46291</v>
      </c>
      <c r="C708" s="1000" t="str">
        <f>'09월 화학성분'!D706</f>
        <v>B</v>
      </c>
      <c r="D708" s="1000" t="str">
        <f>'09월 화학성분'!E706</f>
        <v>A</v>
      </c>
      <c r="E708" s="1000">
        <f>'09월 화학성분'!C706</f>
        <v>85908</v>
      </c>
      <c r="F708" s="1001" t="str">
        <f t="shared" si="190"/>
        <v>S355JO-01</v>
      </c>
      <c r="G708" s="1172">
        <v>19.8</v>
      </c>
      <c r="H708" s="985">
        <v>23900</v>
      </c>
      <c r="I708" s="1173">
        <v>17.3</v>
      </c>
      <c r="J708" s="985">
        <v>20600</v>
      </c>
      <c r="K708" s="1173">
        <v>8.9</v>
      </c>
      <c r="L708" s="985">
        <v>11100</v>
      </c>
      <c r="M708" s="1174">
        <f t="shared" si="191"/>
        <v>46</v>
      </c>
      <c r="N708" s="984">
        <f t="shared" si="192"/>
        <v>55600</v>
      </c>
      <c r="O708" s="986">
        <f t="shared" si="193"/>
        <v>167.83707865168537</v>
      </c>
      <c r="P708" s="987">
        <f t="shared" si="194"/>
        <v>144.6629213483146</v>
      </c>
      <c r="Q708" s="987">
        <f t="shared" si="195"/>
        <v>77.949438202247194</v>
      </c>
      <c r="R708" s="988">
        <f t="shared" si="196"/>
        <v>390.44943820224717</v>
      </c>
      <c r="S708" s="989">
        <v>142.4</v>
      </c>
      <c r="T708" s="990">
        <v>0</v>
      </c>
      <c r="U708" s="991">
        <v>62</v>
      </c>
      <c r="V708" s="991">
        <v>308</v>
      </c>
      <c r="W708" s="992">
        <f t="shared" si="197"/>
        <v>370</v>
      </c>
      <c r="X708" s="993">
        <f t="shared" si="198"/>
        <v>2.5983146067415728</v>
      </c>
      <c r="Y708" s="990">
        <v>1677</v>
      </c>
      <c r="Z708" s="991">
        <v>1394</v>
      </c>
      <c r="AA708" s="991">
        <v>672</v>
      </c>
      <c r="AB708" s="992">
        <f t="shared" si="199"/>
        <v>3743</v>
      </c>
      <c r="AC708" s="993">
        <f t="shared" si="200"/>
        <v>26.28511235955056</v>
      </c>
      <c r="AD708" s="994">
        <f t="shared" si="201"/>
        <v>4113</v>
      </c>
      <c r="AE708" s="995">
        <f t="shared" si="202"/>
        <v>28.883426966292134</v>
      </c>
      <c r="AF708" s="996">
        <v>82</v>
      </c>
      <c r="AG708" s="997">
        <v>64</v>
      </c>
      <c r="AH708" s="997">
        <v>6</v>
      </c>
      <c r="AI708" s="998">
        <f t="shared" si="203"/>
        <v>152</v>
      </c>
      <c r="AJ708" s="993">
        <f t="shared" si="204"/>
        <v>1.0674157303370786</v>
      </c>
    </row>
    <row r="709" spans="1:36" ht="16.5" customHeight="1">
      <c r="A709" s="999">
        <f>'09월 조업일지'!A707</f>
        <v>46291</v>
      </c>
      <c r="B709" s="1099">
        <f>'09월 조업일지'!B707</f>
        <v>46291</v>
      </c>
      <c r="C709" s="1000" t="str">
        <f>'09월 화학성분'!D707</f>
        <v>D</v>
      </c>
      <c r="D709" s="1000" t="str">
        <f>'09월 화학성분'!E707</f>
        <v>B</v>
      </c>
      <c r="E709" s="1000">
        <f>'09월 화학성분'!C707</f>
        <v>85909</v>
      </c>
      <c r="F709" s="1001" t="str">
        <f t="shared" si="190"/>
        <v>S355JO-01</v>
      </c>
      <c r="G709" s="1172">
        <v>18.7</v>
      </c>
      <c r="H709" s="985">
        <v>22500</v>
      </c>
      <c r="I709" s="1173">
        <v>16.7</v>
      </c>
      <c r="J709" s="985">
        <v>20700</v>
      </c>
      <c r="K709" s="1173">
        <v>13.2</v>
      </c>
      <c r="L709" s="985">
        <v>16200</v>
      </c>
      <c r="M709" s="1174">
        <f t="shared" si="191"/>
        <v>48.599999999999994</v>
      </c>
      <c r="N709" s="984">
        <f t="shared" si="192"/>
        <v>59400</v>
      </c>
      <c r="O709" s="986">
        <f t="shared" si="193"/>
        <v>154.85203028217481</v>
      </c>
      <c r="P709" s="987">
        <f t="shared" si="194"/>
        <v>142.46386785960081</v>
      </c>
      <c r="Q709" s="987">
        <f t="shared" si="195"/>
        <v>111.49346180316586</v>
      </c>
      <c r="R709" s="988">
        <f t="shared" si="196"/>
        <v>408.80935994494149</v>
      </c>
      <c r="S709" s="989">
        <v>145.30000000000001</v>
      </c>
      <c r="T709" s="990">
        <v>0</v>
      </c>
      <c r="U709" s="991">
        <v>0</v>
      </c>
      <c r="V709" s="991">
        <v>330</v>
      </c>
      <c r="W709" s="992">
        <f t="shared" si="197"/>
        <v>330</v>
      </c>
      <c r="X709" s="993">
        <f t="shared" si="198"/>
        <v>2.2711631108052304</v>
      </c>
      <c r="Y709" s="990">
        <v>1510</v>
      </c>
      <c r="Z709" s="991">
        <v>1390</v>
      </c>
      <c r="AA709" s="991">
        <v>917</v>
      </c>
      <c r="AB709" s="992">
        <f t="shared" si="199"/>
        <v>3817</v>
      </c>
      <c r="AC709" s="993">
        <f t="shared" si="200"/>
        <v>26.269786648313833</v>
      </c>
      <c r="AD709" s="994">
        <f t="shared" si="201"/>
        <v>4147</v>
      </c>
      <c r="AE709" s="995">
        <f t="shared" si="202"/>
        <v>28.540949759119062</v>
      </c>
      <c r="AF709" s="996">
        <v>78</v>
      </c>
      <c r="AG709" s="997">
        <v>66</v>
      </c>
      <c r="AH709" s="997">
        <v>7</v>
      </c>
      <c r="AI709" s="998">
        <f t="shared" si="203"/>
        <v>151</v>
      </c>
      <c r="AJ709" s="993">
        <f t="shared" si="204"/>
        <v>1.0392291810048175</v>
      </c>
    </row>
    <row r="710" spans="1:36" ht="16.5" customHeight="1">
      <c r="A710" s="999">
        <f>'09월 조업일지'!A708</f>
        <v>46291</v>
      </c>
      <c r="B710" s="1099">
        <f>'09월 조업일지'!B708</f>
        <v>46291</v>
      </c>
      <c r="C710" s="1000" t="str">
        <f>'09월 화학성분'!D708</f>
        <v>D</v>
      </c>
      <c r="D710" s="1000" t="str">
        <f>'09월 화학성분'!E708</f>
        <v>A</v>
      </c>
      <c r="E710" s="1000">
        <f>'09월 화학성분'!C708</f>
        <v>85910</v>
      </c>
      <c r="F710" s="1001" t="str">
        <f t="shared" si="190"/>
        <v>S355JO-01</v>
      </c>
      <c r="G710" s="1172">
        <v>19</v>
      </c>
      <c r="H710" s="985">
        <v>22500</v>
      </c>
      <c r="I710" s="1173">
        <v>16.8</v>
      </c>
      <c r="J710" s="985">
        <v>20800</v>
      </c>
      <c r="K710" s="1173">
        <v>9.1999999999999993</v>
      </c>
      <c r="L710" s="985">
        <v>11700</v>
      </c>
      <c r="M710" s="1174">
        <f t="shared" si="191"/>
        <v>45</v>
      </c>
      <c r="N710" s="984">
        <f t="shared" si="192"/>
        <v>55000</v>
      </c>
      <c r="O710" s="986">
        <f t="shared" si="193"/>
        <v>164.23357664233578</v>
      </c>
      <c r="P710" s="987">
        <f t="shared" si="194"/>
        <v>151.82481751824818</v>
      </c>
      <c r="Q710" s="987">
        <f t="shared" si="195"/>
        <v>85.401459854014604</v>
      </c>
      <c r="R710" s="988">
        <f t="shared" si="196"/>
        <v>401.45985401459853</v>
      </c>
      <c r="S710" s="989">
        <v>137</v>
      </c>
      <c r="T710" s="990">
        <v>0</v>
      </c>
      <c r="U710" s="991">
        <v>20</v>
      </c>
      <c r="V710" s="991">
        <v>307</v>
      </c>
      <c r="W710" s="992">
        <f t="shared" si="197"/>
        <v>327</v>
      </c>
      <c r="X710" s="993">
        <f t="shared" si="198"/>
        <v>2.386861313868613</v>
      </c>
      <c r="Y710" s="990">
        <v>1493</v>
      </c>
      <c r="Z710" s="991">
        <v>1411</v>
      </c>
      <c r="AA710" s="991">
        <v>810</v>
      </c>
      <c r="AB710" s="992">
        <f t="shared" si="199"/>
        <v>3714</v>
      </c>
      <c r="AC710" s="993">
        <f t="shared" si="200"/>
        <v>27.10948905109489</v>
      </c>
      <c r="AD710" s="994">
        <f t="shared" si="201"/>
        <v>4041</v>
      </c>
      <c r="AE710" s="995">
        <f t="shared" si="202"/>
        <v>29.496350364963504</v>
      </c>
      <c r="AF710" s="996">
        <v>79</v>
      </c>
      <c r="AG710" s="997">
        <v>64</v>
      </c>
      <c r="AH710" s="997">
        <v>7</v>
      </c>
      <c r="AI710" s="998">
        <f t="shared" si="203"/>
        <v>150</v>
      </c>
      <c r="AJ710" s="993">
        <f t="shared" si="204"/>
        <v>1.0948905109489051</v>
      </c>
    </row>
    <row r="711" spans="1:36" ht="16.5" customHeight="1">
      <c r="A711" s="999">
        <f>'09월 조업일지'!A709</f>
        <v>46291</v>
      </c>
      <c r="B711" s="1099">
        <f>'09월 조업일지'!B709</f>
        <v>46291</v>
      </c>
      <c r="C711" s="1000" t="str">
        <f>'09월 화학성분'!D709</f>
        <v>D</v>
      </c>
      <c r="D711" s="1000" t="str">
        <f>'09월 화학성분'!E709</f>
        <v>B</v>
      </c>
      <c r="E711" s="1000">
        <f>'09월 화학성분'!C709</f>
        <v>85911</v>
      </c>
      <c r="F711" s="1104" t="s">
        <v>943</v>
      </c>
      <c r="G711" s="1172">
        <v>18.5</v>
      </c>
      <c r="H711" s="985">
        <v>22500</v>
      </c>
      <c r="I711" s="1173">
        <v>16.399999999999999</v>
      </c>
      <c r="J711" s="985">
        <v>20400</v>
      </c>
      <c r="K711" s="1173">
        <v>8.8000000000000007</v>
      </c>
      <c r="L711" s="985">
        <v>11300</v>
      </c>
      <c r="M711" s="1174">
        <f t="shared" si="191"/>
        <v>43.7</v>
      </c>
      <c r="N711" s="984">
        <f t="shared" si="192"/>
        <v>54200</v>
      </c>
      <c r="O711" s="986">
        <f t="shared" si="193"/>
        <v>154.00410677618069</v>
      </c>
      <c r="P711" s="987">
        <f t="shared" si="194"/>
        <v>139.63039014373717</v>
      </c>
      <c r="Q711" s="987">
        <f t="shared" si="195"/>
        <v>77.344284736481868</v>
      </c>
      <c r="R711" s="988">
        <f t="shared" si="196"/>
        <v>370.97878165639975</v>
      </c>
      <c r="S711" s="989">
        <v>146.1</v>
      </c>
      <c r="T711" s="990">
        <v>0</v>
      </c>
      <c r="U711" s="991">
        <v>4</v>
      </c>
      <c r="V711" s="991">
        <v>333</v>
      </c>
      <c r="W711" s="992">
        <f t="shared" si="197"/>
        <v>337</v>
      </c>
      <c r="X711" s="993">
        <f t="shared" si="198"/>
        <v>2.3066392881587956</v>
      </c>
      <c r="Y711" s="990">
        <v>1525</v>
      </c>
      <c r="Z711" s="991">
        <v>1369</v>
      </c>
      <c r="AA711" s="991">
        <v>860</v>
      </c>
      <c r="AB711" s="992">
        <f t="shared" si="199"/>
        <v>3754</v>
      </c>
      <c r="AC711" s="993">
        <f t="shared" si="200"/>
        <v>25.694729637234772</v>
      </c>
      <c r="AD711" s="994">
        <f t="shared" si="201"/>
        <v>4091</v>
      </c>
      <c r="AE711" s="995">
        <f t="shared" si="202"/>
        <v>28.001368925393567</v>
      </c>
      <c r="AF711" s="996">
        <v>81</v>
      </c>
      <c r="AG711" s="997">
        <v>63</v>
      </c>
      <c r="AH711" s="997">
        <v>7</v>
      </c>
      <c r="AI711" s="998">
        <f t="shared" si="203"/>
        <v>151</v>
      </c>
      <c r="AJ711" s="993">
        <f t="shared" si="204"/>
        <v>1.0335386721423683</v>
      </c>
    </row>
    <row r="712" spans="1:36" ht="16.5" customHeight="1">
      <c r="A712" s="999">
        <f>'09월 조업일지'!A710</f>
        <v>46291</v>
      </c>
      <c r="B712" s="1099">
        <f>'09월 조업일지'!B710</f>
        <v>46291</v>
      </c>
      <c r="C712" s="1000" t="str">
        <f>'09월 화학성분'!D710</f>
        <v>D</v>
      </c>
      <c r="D712" s="1000" t="str">
        <f>'09월 화학성분'!E710</f>
        <v>A</v>
      </c>
      <c r="E712" s="1000">
        <f>'09월 화학성분'!C710</f>
        <v>85912</v>
      </c>
      <c r="F712" s="1001" t="str">
        <f t="shared" si="190"/>
        <v>SY300</v>
      </c>
      <c r="G712" s="1172">
        <v>18.2</v>
      </c>
      <c r="H712" s="985">
        <v>22300</v>
      </c>
      <c r="I712" s="1173">
        <v>17</v>
      </c>
      <c r="J712" s="985">
        <v>20900</v>
      </c>
      <c r="K712" s="1173">
        <v>10.3</v>
      </c>
      <c r="L712" s="985">
        <v>12900</v>
      </c>
      <c r="M712" s="1174">
        <f t="shared" si="191"/>
        <v>45.5</v>
      </c>
      <c r="N712" s="984">
        <f t="shared" si="192"/>
        <v>56100</v>
      </c>
      <c r="O712" s="986">
        <f t="shared" si="193"/>
        <v>154.53915453915454</v>
      </c>
      <c r="P712" s="987">
        <f t="shared" si="194"/>
        <v>144.83714483714482</v>
      </c>
      <c r="Q712" s="987">
        <f t="shared" si="195"/>
        <v>89.397089397089388</v>
      </c>
      <c r="R712" s="988">
        <f t="shared" si="196"/>
        <v>388.77338877338877</v>
      </c>
      <c r="S712" s="989">
        <v>144.30000000000001</v>
      </c>
      <c r="T712" s="990">
        <v>0</v>
      </c>
      <c r="U712" s="991">
        <v>20</v>
      </c>
      <c r="V712" s="991">
        <v>332</v>
      </c>
      <c r="W712" s="992">
        <f t="shared" si="197"/>
        <v>352</v>
      </c>
      <c r="X712" s="993">
        <f t="shared" si="198"/>
        <v>2.4393624393624393</v>
      </c>
      <c r="Y712" s="990">
        <v>1477</v>
      </c>
      <c r="Z712" s="991">
        <v>1426</v>
      </c>
      <c r="AA712" s="991">
        <v>842</v>
      </c>
      <c r="AB712" s="992">
        <f t="shared" si="199"/>
        <v>3745</v>
      </c>
      <c r="AC712" s="993">
        <f t="shared" si="200"/>
        <v>25.952875952875949</v>
      </c>
      <c r="AD712" s="994">
        <f t="shared" si="201"/>
        <v>4097</v>
      </c>
      <c r="AE712" s="995">
        <f t="shared" si="202"/>
        <v>28.39223839223839</v>
      </c>
      <c r="AF712" s="996">
        <v>78</v>
      </c>
      <c r="AG712" s="997">
        <v>64</v>
      </c>
      <c r="AH712" s="997">
        <v>8</v>
      </c>
      <c r="AI712" s="998">
        <f t="shared" si="203"/>
        <v>150</v>
      </c>
      <c r="AJ712" s="993">
        <f t="shared" si="204"/>
        <v>1.0395010395010393</v>
      </c>
    </row>
    <row r="713" spans="1:36" ht="16.5" customHeight="1">
      <c r="A713" s="999">
        <f>'09월 조업일지'!A711</f>
        <v>46291</v>
      </c>
      <c r="B713" s="1099">
        <f>'09월 조업일지'!B711</f>
        <v>46291</v>
      </c>
      <c r="C713" s="1000" t="str">
        <f>'09월 화학성분'!D711</f>
        <v>D</v>
      </c>
      <c r="D713" s="1000" t="str">
        <f>'09월 화학성분'!E711</f>
        <v>B</v>
      </c>
      <c r="E713" s="1000">
        <f>'09월 화학성분'!C711</f>
        <v>85913</v>
      </c>
      <c r="F713" s="1104" t="s">
        <v>990</v>
      </c>
      <c r="G713" s="1172">
        <v>19.100000000000001</v>
      </c>
      <c r="H713" s="985">
        <v>22400</v>
      </c>
      <c r="I713" s="1173">
        <v>16.8</v>
      </c>
      <c r="J713" s="985">
        <v>20600</v>
      </c>
      <c r="K713" s="1173">
        <v>9.6999999999999993</v>
      </c>
      <c r="L713" s="985">
        <v>12400</v>
      </c>
      <c r="M713" s="1174">
        <f t="shared" si="191"/>
        <v>45.600000000000009</v>
      </c>
      <c r="N713" s="984">
        <f t="shared" si="192"/>
        <v>55400</v>
      </c>
      <c r="O713" s="986">
        <f t="shared" si="193"/>
        <v>155.44760582928524</v>
      </c>
      <c r="P713" s="987">
        <f t="shared" si="194"/>
        <v>142.95628036086052</v>
      </c>
      <c r="Q713" s="987">
        <f t="shared" si="195"/>
        <v>86.051353226925755</v>
      </c>
      <c r="R713" s="988">
        <f t="shared" si="196"/>
        <v>384.45523941707148</v>
      </c>
      <c r="S713" s="989">
        <v>144.1</v>
      </c>
      <c r="T713" s="990">
        <v>0</v>
      </c>
      <c r="U713" s="991">
        <v>27</v>
      </c>
      <c r="V713" s="991">
        <v>318</v>
      </c>
      <c r="W713" s="992">
        <f t="shared" si="197"/>
        <v>345</v>
      </c>
      <c r="X713" s="993">
        <f t="shared" si="198"/>
        <v>2.394170714781402</v>
      </c>
      <c r="Y713" s="990">
        <v>1585</v>
      </c>
      <c r="Z713" s="991">
        <v>1399</v>
      </c>
      <c r="AA713" s="991">
        <v>869</v>
      </c>
      <c r="AB713" s="992">
        <f t="shared" si="199"/>
        <v>3853</v>
      </c>
      <c r="AC713" s="993">
        <f t="shared" si="200"/>
        <v>26.738376127689104</v>
      </c>
      <c r="AD713" s="994">
        <f t="shared" si="201"/>
        <v>4198</v>
      </c>
      <c r="AE713" s="995">
        <f t="shared" si="202"/>
        <v>29.132546842470507</v>
      </c>
      <c r="AF713" s="996">
        <v>83</v>
      </c>
      <c r="AG713" s="997">
        <v>64</v>
      </c>
      <c r="AH713" s="997">
        <v>9</v>
      </c>
      <c r="AI713" s="998">
        <f t="shared" si="203"/>
        <v>156</v>
      </c>
      <c r="AJ713" s="993">
        <f t="shared" si="204"/>
        <v>1.0825815405968078</v>
      </c>
    </row>
    <row r="714" spans="1:36" ht="16.5" customHeight="1">
      <c r="A714" s="999">
        <f>'09월 조업일지'!A712</f>
        <v>46291</v>
      </c>
      <c r="B714" s="1099">
        <f>'09월 조업일지'!B712</f>
        <v>46291</v>
      </c>
      <c r="C714" s="1000" t="str">
        <f>'09월 화학성분'!D712</f>
        <v>D</v>
      </c>
      <c r="D714" s="1000" t="str">
        <f>'09월 화학성분'!E712</f>
        <v>A</v>
      </c>
      <c r="E714" s="1000">
        <f>'09월 화학성분'!C712</f>
        <v>85914</v>
      </c>
      <c r="F714" s="1001" t="str">
        <f t="shared" si="190"/>
        <v>SHN275(BB)</v>
      </c>
      <c r="G714" s="1172">
        <v>18.5</v>
      </c>
      <c r="H714" s="985">
        <v>22400</v>
      </c>
      <c r="I714" s="1173">
        <v>17.5</v>
      </c>
      <c r="J714" s="985">
        <v>21000</v>
      </c>
      <c r="K714" s="1173">
        <v>9.1999999999999993</v>
      </c>
      <c r="L714" s="985">
        <v>11600</v>
      </c>
      <c r="M714" s="1174">
        <f t="shared" si="191"/>
        <v>45.2</v>
      </c>
      <c r="N714" s="984">
        <f t="shared" si="192"/>
        <v>55000</v>
      </c>
      <c r="O714" s="986">
        <f t="shared" si="193"/>
        <v>158.64022662889519</v>
      </c>
      <c r="P714" s="987">
        <f t="shared" si="194"/>
        <v>148.72521246458925</v>
      </c>
      <c r="Q714" s="987">
        <f t="shared" si="195"/>
        <v>82.1529745042493</v>
      </c>
      <c r="R714" s="988">
        <f t="shared" si="196"/>
        <v>389.51841359773374</v>
      </c>
      <c r="S714" s="989">
        <v>141.19999999999999</v>
      </c>
      <c r="T714" s="990">
        <v>0</v>
      </c>
      <c r="U714" s="991">
        <v>0</v>
      </c>
      <c r="V714" s="991">
        <v>330</v>
      </c>
      <c r="W714" s="992">
        <f t="shared" si="197"/>
        <v>330</v>
      </c>
      <c r="X714" s="993">
        <f t="shared" si="198"/>
        <v>2.3371104815864023</v>
      </c>
      <c r="Y714" s="990">
        <v>1514</v>
      </c>
      <c r="Z714" s="991">
        <v>1437</v>
      </c>
      <c r="AA714" s="991">
        <v>803</v>
      </c>
      <c r="AB714" s="992">
        <f t="shared" si="199"/>
        <v>3754</v>
      </c>
      <c r="AC714" s="993">
        <f t="shared" si="200"/>
        <v>26.586402266288953</v>
      </c>
      <c r="AD714" s="994">
        <f t="shared" si="201"/>
        <v>4084</v>
      </c>
      <c r="AE714" s="995">
        <f t="shared" si="202"/>
        <v>28.923512747875357</v>
      </c>
      <c r="AF714" s="996">
        <v>80</v>
      </c>
      <c r="AG714" s="997">
        <v>64</v>
      </c>
      <c r="AH714" s="997">
        <v>8</v>
      </c>
      <c r="AI714" s="998">
        <f t="shared" si="203"/>
        <v>152</v>
      </c>
      <c r="AJ714" s="993">
        <f t="shared" si="204"/>
        <v>1.076487252124646</v>
      </c>
    </row>
    <row r="715" spans="1:36" ht="16.5" customHeight="1">
      <c r="A715" s="999">
        <f>'09월 조업일지'!A713</f>
        <v>46291</v>
      </c>
      <c r="B715" s="1099">
        <f>'09월 조업일지'!B713</f>
        <v>46291</v>
      </c>
      <c r="C715" s="1000" t="str">
        <f>'09월 화학성분'!D713</f>
        <v>D</v>
      </c>
      <c r="D715" s="1000" t="str">
        <f>'09월 화학성분'!E713</f>
        <v>B</v>
      </c>
      <c r="E715" s="1000">
        <f>'09월 화학성분'!C713</f>
        <v>85915</v>
      </c>
      <c r="F715" s="1001" t="str">
        <f t="shared" si="190"/>
        <v>SHN275(BB)</v>
      </c>
      <c r="G715" s="1172">
        <v>20.3</v>
      </c>
      <c r="H715" s="985">
        <v>23900</v>
      </c>
      <c r="I715" s="1173">
        <v>16.5</v>
      </c>
      <c r="J715" s="985">
        <v>20500</v>
      </c>
      <c r="K715" s="1173">
        <v>11.5</v>
      </c>
      <c r="L715" s="985">
        <v>14500</v>
      </c>
      <c r="M715" s="1174">
        <f t="shared" si="191"/>
        <v>48.3</v>
      </c>
      <c r="N715" s="984">
        <f t="shared" si="192"/>
        <v>58900</v>
      </c>
      <c r="O715" s="986">
        <f t="shared" si="193"/>
        <v>166.66666666666666</v>
      </c>
      <c r="P715" s="987">
        <f t="shared" si="194"/>
        <v>142.95676429567644</v>
      </c>
      <c r="Q715" s="987">
        <f t="shared" si="195"/>
        <v>101.11576011157601</v>
      </c>
      <c r="R715" s="988">
        <f t="shared" si="196"/>
        <v>410.73919107391907</v>
      </c>
      <c r="S715" s="989">
        <v>143.4</v>
      </c>
      <c r="T715" s="990">
        <v>0</v>
      </c>
      <c r="U715" s="991">
        <v>0</v>
      </c>
      <c r="V715" s="991">
        <v>352</v>
      </c>
      <c r="W715" s="992">
        <f t="shared" si="197"/>
        <v>352</v>
      </c>
      <c r="X715" s="993">
        <f t="shared" si="198"/>
        <v>2.4546722454672243</v>
      </c>
      <c r="Y715" s="990">
        <v>1661</v>
      </c>
      <c r="Z715" s="991">
        <v>1370</v>
      </c>
      <c r="AA715" s="991">
        <v>964</v>
      </c>
      <c r="AB715" s="992">
        <f t="shared" si="199"/>
        <v>3995</v>
      </c>
      <c r="AC715" s="993">
        <f t="shared" si="200"/>
        <v>27.859135285913528</v>
      </c>
      <c r="AD715" s="994">
        <f t="shared" si="201"/>
        <v>4347</v>
      </c>
      <c r="AE715" s="995">
        <f t="shared" si="202"/>
        <v>30.313807531380753</v>
      </c>
      <c r="AF715" s="996">
        <v>86</v>
      </c>
      <c r="AG715" s="997">
        <v>64</v>
      </c>
      <c r="AH715" s="997">
        <v>8</v>
      </c>
      <c r="AI715" s="998">
        <f t="shared" si="203"/>
        <v>158</v>
      </c>
      <c r="AJ715" s="993">
        <f t="shared" si="204"/>
        <v>1.1018131101813109</v>
      </c>
    </row>
    <row r="716" spans="1:36" ht="16.5" customHeight="1">
      <c r="A716" s="999">
        <f>'09월 조업일지'!A714</f>
        <v>46291</v>
      </c>
      <c r="B716" s="1099">
        <f>'09월 조업일지'!B714</f>
        <v>46291</v>
      </c>
      <c r="C716" s="1000" t="str">
        <f>'09월 화학성분'!D714</f>
        <v>D</v>
      </c>
      <c r="D716" s="1000" t="str">
        <f>'09월 화학성분'!E714</f>
        <v>A</v>
      </c>
      <c r="E716" s="1000">
        <f>'09월 화학성분'!C714</f>
        <v>85916</v>
      </c>
      <c r="F716" s="1001" t="str">
        <f t="shared" si="190"/>
        <v>SHN275(BB)</v>
      </c>
      <c r="G716" s="1172">
        <v>19.5</v>
      </c>
      <c r="H716" s="985">
        <v>23300</v>
      </c>
      <c r="I716" s="1173">
        <v>16.8</v>
      </c>
      <c r="J716" s="985">
        <v>20700</v>
      </c>
      <c r="K716" s="1173">
        <v>13.1</v>
      </c>
      <c r="L716" s="985">
        <v>16500</v>
      </c>
      <c r="M716" s="1174">
        <f t="shared" si="191"/>
        <v>49.4</v>
      </c>
      <c r="N716" s="984">
        <f t="shared" si="192"/>
        <v>60500</v>
      </c>
      <c r="O716" s="986">
        <f t="shared" si="193"/>
        <v>161.13416320885202</v>
      </c>
      <c r="P716" s="987">
        <f t="shared" si="194"/>
        <v>143.15352697095437</v>
      </c>
      <c r="Q716" s="987">
        <f t="shared" si="195"/>
        <v>114.10788381742739</v>
      </c>
      <c r="R716" s="988">
        <f t="shared" si="196"/>
        <v>418.39557399723378</v>
      </c>
      <c r="S716" s="989">
        <v>144.6</v>
      </c>
      <c r="T716" s="990">
        <v>0</v>
      </c>
      <c r="U716" s="991">
        <v>10</v>
      </c>
      <c r="V716" s="991">
        <v>343</v>
      </c>
      <c r="W716" s="992">
        <f t="shared" si="197"/>
        <v>353</v>
      </c>
      <c r="X716" s="993">
        <f t="shared" si="198"/>
        <v>2.4412171507607194</v>
      </c>
      <c r="Y716" s="990">
        <v>1608</v>
      </c>
      <c r="Z716" s="991">
        <v>1421</v>
      </c>
      <c r="AA716" s="991">
        <v>850</v>
      </c>
      <c r="AB716" s="992">
        <f t="shared" si="199"/>
        <v>3879</v>
      </c>
      <c r="AC716" s="993">
        <f t="shared" si="200"/>
        <v>26.825726141078839</v>
      </c>
      <c r="AD716" s="994">
        <f t="shared" si="201"/>
        <v>4232</v>
      </c>
      <c r="AE716" s="995">
        <f t="shared" si="202"/>
        <v>29.26694329183956</v>
      </c>
      <c r="AF716" s="996">
        <v>82</v>
      </c>
      <c r="AG716" s="997">
        <v>65</v>
      </c>
      <c r="AH716" s="997">
        <v>7</v>
      </c>
      <c r="AI716" s="998">
        <f t="shared" si="203"/>
        <v>154</v>
      </c>
      <c r="AJ716" s="993">
        <f t="shared" si="204"/>
        <v>1.0650069156293223</v>
      </c>
    </row>
    <row r="717" spans="1:36" ht="16.5" customHeight="1">
      <c r="A717" s="999">
        <f>'09월 조업일지'!A715</f>
        <v>46291</v>
      </c>
      <c r="B717" s="1099">
        <f>'09월 조업일지'!B715</f>
        <v>46291</v>
      </c>
      <c r="C717" s="1000" t="str">
        <f>'09월 화학성분'!D715</f>
        <v>D</v>
      </c>
      <c r="D717" s="1000" t="str">
        <f>'09월 화학성분'!E715</f>
        <v>B</v>
      </c>
      <c r="E717" s="1000">
        <f>'09월 화학성분'!C715</f>
        <v>85917</v>
      </c>
      <c r="F717" s="1001" t="str">
        <f t="shared" si="190"/>
        <v>SHN275(BB)</v>
      </c>
      <c r="G717" s="1172">
        <v>18.899999999999999</v>
      </c>
      <c r="H717" s="985">
        <v>22400</v>
      </c>
      <c r="I717" s="1173">
        <v>16.100000000000001</v>
      </c>
      <c r="J717" s="985">
        <v>20100</v>
      </c>
      <c r="K717" s="1173">
        <v>9.6</v>
      </c>
      <c r="L717" s="985">
        <v>12500</v>
      </c>
      <c r="M717" s="1174">
        <f t="shared" si="191"/>
        <v>44.6</v>
      </c>
      <c r="N717" s="984">
        <f t="shared" si="192"/>
        <v>55000</v>
      </c>
      <c r="O717" s="986">
        <f t="shared" si="193"/>
        <v>156.31542219120723</v>
      </c>
      <c r="P717" s="987">
        <f t="shared" si="194"/>
        <v>140.26517794836008</v>
      </c>
      <c r="Q717" s="987">
        <f t="shared" si="195"/>
        <v>87.229588276343335</v>
      </c>
      <c r="R717" s="988">
        <f t="shared" si="196"/>
        <v>383.81018841591066</v>
      </c>
      <c r="S717" s="989">
        <v>143.30000000000001</v>
      </c>
      <c r="T717" s="990">
        <v>0</v>
      </c>
      <c r="U717" s="991">
        <v>0</v>
      </c>
      <c r="V717" s="991">
        <v>335</v>
      </c>
      <c r="W717" s="992">
        <f t="shared" si="197"/>
        <v>335</v>
      </c>
      <c r="X717" s="993">
        <f t="shared" si="198"/>
        <v>2.337752965806001</v>
      </c>
      <c r="Y717" s="990">
        <v>1527</v>
      </c>
      <c r="Z717" s="991">
        <v>1338</v>
      </c>
      <c r="AA717" s="991">
        <v>887</v>
      </c>
      <c r="AB717" s="992">
        <f t="shared" si="199"/>
        <v>3752</v>
      </c>
      <c r="AC717" s="993">
        <f t="shared" si="200"/>
        <v>26.182833217027213</v>
      </c>
      <c r="AD717" s="994">
        <f t="shared" si="201"/>
        <v>4087</v>
      </c>
      <c r="AE717" s="995">
        <f t="shared" si="202"/>
        <v>28.520586182833213</v>
      </c>
      <c r="AF717" s="996">
        <v>83</v>
      </c>
      <c r="AG717" s="997">
        <v>62</v>
      </c>
      <c r="AH717" s="997">
        <v>7</v>
      </c>
      <c r="AI717" s="998">
        <f t="shared" si="203"/>
        <v>152</v>
      </c>
      <c r="AJ717" s="993">
        <f t="shared" si="204"/>
        <v>1.0607117934403349</v>
      </c>
    </row>
    <row r="718" spans="1:36" ht="16.5" customHeight="1">
      <c r="A718" s="999">
        <f>'09월 조업일지'!A716</f>
        <v>46291</v>
      </c>
      <c r="B718" s="1099">
        <f>'09월 조업일지'!B716</f>
        <v>46291</v>
      </c>
      <c r="C718" s="1000" t="str">
        <f>'09월 화학성분'!D716</f>
        <v>D</v>
      </c>
      <c r="D718" s="1000" t="str">
        <f>'09월 화학성분'!E716</f>
        <v>A</v>
      </c>
      <c r="E718" s="1000">
        <f>'09월 화학성분'!C716</f>
        <v>85918</v>
      </c>
      <c r="F718" s="1001" t="str">
        <f t="shared" si="190"/>
        <v>SHN275(BB)</v>
      </c>
      <c r="G718" s="1172">
        <v>19.2</v>
      </c>
      <c r="H718" s="985">
        <v>22600</v>
      </c>
      <c r="I718" s="1173">
        <v>17</v>
      </c>
      <c r="J718" s="985">
        <v>20700</v>
      </c>
      <c r="K718" s="1173">
        <v>9.8000000000000007</v>
      </c>
      <c r="L718" s="985">
        <v>12300</v>
      </c>
      <c r="M718" s="1174">
        <f t="shared" si="191"/>
        <v>46</v>
      </c>
      <c r="N718" s="984">
        <f t="shared" si="192"/>
        <v>55600</v>
      </c>
      <c r="O718" s="986">
        <f t="shared" si="193"/>
        <v>159.94338287331917</v>
      </c>
      <c r="P718" s="987">
        <f t="shared" si="194"/>
        <v>146.49681528662418</v>
      </c>
      <c r="Q718" s="987">
        <f t="shared" si="195"/>
        <v>87.048832271762194</v>
      </c>
      <c r="R718" s="988">
        <f t="shared" si="196"/>
        <v>393.48903043170554</v>
      </c>
      <c r="S718" s="989">
        <v>141.30000000000001</v>
      </c>
      <c r="T718" s="990">
        <v>0</v>
      </c>
      <c r="U718" s="991">
        <v>18</v>
      </c>
      <c r="V718" s="991">
        <v>315</v>
      </c>
      <c r="W718" s="992">
        <f t="shared" si="197"/>
        <v>333</v>
      </c>
      <c r="X718" s="993">
        <f t="shared" si="198"/>
        <v>2.3566878980891719</v>
      </c>
      <c r="Y718" s="990">
        <v>1583</v>
      </c>
      <c r="Z718" s="991">
        <v>1411</v>
      </c>
      <c r="AA718" s="991">
        <v>808</v>
      </c>
      <c r="AB718" s="992">
        <f t="shared" si="199"/>
        <v>3802</v>
      </c>
      <c r="AC718" s="993">
        <f t="shared" si="200"/>
        <v>26.907289455060152</v>
      </c>
      <c r="AD718" s="994">
        <f t="shared" si="201"/>
        <v>4135</v>
      </c>
      <c r="AE718" s="995">
        <f t="shared" si="202"/>
        <v>29.263977353149325</v>
      </c>
      <c r="AF718" s="996">
        <v>81</v>
      </c>
      <c r="AG718" s="997">
        <v>63</v>
      </c>
      <c r="AH718" s="997">
        <v>8</v>
      </c>
      <c r="AI718" s="998">
        <f t="shared" si="203"/>
        <v>152</v>
      </c>
      <c r="AJ718" s="993">
        <f t="shared" si="204"/>
        <v>1.0757254069355979</v>
      </c>
    </row>
    <row r="719" spans="1:36" ht="16.5" customHeight="1">
      <c r="A719" s="999">
        <f>'09월 조업일지'!A717</f>
        <v>46291</v>
      </c>
      <c r="B719" s="1099">
        <f>'09월 조업일지'!B717</f>
        <v>46291</v>
      </c>
      <c r="C719" s="1000" t="str">
        <f>'09월 화학성분'!D717</f>
        <v>A</v>
      </c>
      <c r="D719" s="1000" t="str">
        <f>'09월 화학성분'!E717</f>
        <v>B</v>
      </c>
      <c r="E719" s="1000">
        <f>'09월 화학성분'!C717</f>
        <v>85919</v>
      </c>
      <c r="F719" s="1104" t="s">
        <v>664</v>
      </c>
      <c r="G719" s="1172">
        <v>19.899999999999999</v>
      </c>
      <c r="H719" s="985">
        <v>23800</v>
      </c>
      <c r="I719" s="1173">
        <v>16.5</v>
      </c>
      <c r="J719" s="985">
        <v>20600</v>
      </c>
      <c r="K719" s="1173">
        <v>12.3</v>
      </c>
      <c r="L719" s="985">
        <v>15800</v>
      </c>
      <c r="M719" s="1174">
        <f t="shared" si="191"/>
        <v>48.7</v>
      </c>
      <c r="N719" s="984">
        <f t="shared" si="192"/>
        <v>60200</v>
      </c>
      <c r="O719" s="986">
        <f t="shared" si="193"/>
        <v>166.90042075736326</v>
      </c>
      <c r="P719" s="987">
        <f t="shared" si="194"/>
        <v>144.46002805049088</v>
      </c>
      <c r="Q719" s="987">
        <f t="shared" si="195"/>
        <v>110.79943899018234</v>
      </c>
      <c r="R719" s="988">
        <f t="shared" si="196"/>
        <v>422.15988779803649</v>
      </c>
      <c r="S719" s="989">
        <v>142.6</v>
      </c>
      <c r="T719" s="990">
        <v>0</v>
      </c>
      <c r="U719" s="991">
        <v>134</v>
      </c>
      <c r="V719" s="991">
        <v>234</v>
      </c>
      <c r="W719" s="992">
        <f t="shared" si="197"/>
        <v>368</v>
      </c>
      <c r="X719" s="993">
        <f t="shared" si="198"/>
        <v>2.5806451612903225</v>
      </c>
      <c r="Y719" s="990">
        <v>1660</v>
      </c>
      <c r="Z719" s="991">
        <v>1369</v>
      </c>
      <c r="AA719" s="991">
        <v>918</v>
      </c>
      <c r="AB719" s="992">
        <f t="shared" si="199"/>
        <v>3947</v>
      </c>
      <c r="AC719" s="993">
        <f t="shared" si="200"/>
        <v>27.678821879382891</v>
      </c>
      <c r="AD719" s="994">
        <f t="shared" si="201"/>
        <v>4315</v>
      </c>
      <c r="AE719" s="995">
        <f t="shared" si="202"/>
        <v>30.259467040673211</v>
      </c>
      <c r="AF719" s="996">
        <v>84</v>
      </c>
      <c r="AG719" s="997">
        <v>64</v>
      </c>
      <c r="AH719" s="997">
        <v>8</v>
      </c>
      <c r="AI719" s="998">
        <f t="shared" si="203"/>
        <v>156</v>
      </c>
      <c r="AJ719" s="993">
        <f t="shared" si="204"/>
        <v>1.0939691444600281</v>
      </c>
    </row>
    <row r="720" spans="1:36" ht="16.5" customHeight="1">
      <c r="A720" s="999">
        <f>'09월 조업일지'!A718</f>
        <v>46291</v>
      </c>
      <c r="B720" s="1099">
        <f>'09월 조업일지'!B718</f>
        <v>46291</v>
      </c>
      <c r="C720" s="1000" t="str">
        <f>'09월 화학성분'!D718</f>
        <v>A</v>
      </c>
      <c r="D720" s="1000" t="str">
        <f>'09월 화학성분'!E718</f>
        <v>A</v>
      </c>
      <c r="E720" s="1000">
        <f>'09월 화학성분'!C718</f>
        <v>85920</v>
      </c>
      <c r="F720" s="1001" t="str">
        <f t="shared" ref="F720:F783" si="205">IF(G720="","",F719)</f>
        <v>SS400-02</v>
      </c>
      <c r="G720" s="1172">
        <v>19.7</v>
      </c>
      <c r="H720" s="985">
        <v>23300</v>
      </c>
      <c r="I720" s="1173">
        <v>17.3</v>
      </c>
      <c r="J720" s="985">
        <v>20800</v>
      </c>
      <c r="K720" s="1173">
        <v>9.4</v>
      </c>
      <c r="L720" s="985">
        <v>12100</v>
      </c>
      <c r="M720" s="1174">
        <f t="shared" ref="M720:M783" si="206">IF(ISBLANK(G720),"",SUM(G720,I720,K720))</f>
        <v>46.4</v>
      </c>
      <c r="N720" s="984">
        <f t="shared" ref="N720:N783" si="207">IF(ISBLANK(H720),"",SUM(H720,J720,L720))</f>
        <v>56200</v>
      </c>
      <c r="O720" s="986">
        <f t="shared" ref="O720:O783" si="208">IF(ISBLANK(H720),"",H720/S720)</f>
        <v>162.48256624825663</v>
      </c>
      <c r="P720" s="987">
        <f t="shared" ref="P720:P783" si="209">IF(ISBLANK(J720),"",+J720/S720)</f>
        <v>145.04881450488145</v>
      </c>
      <c r="Q720" s="987">
        <f t="shared" ref="Q720:Q783" si="210">IF(ISBLANK(L720),"",L720/S720)</f>
        <v>84.379358437935835</v>
      </c>
      <c r="R720" s="988">
        <f t="shared" ref="R720:R783" si="211">IF(ISBLANK(L720),"",SUM(O720:Q720))</f>
        <v>391.9107391910739</v>
      </c>
      <c r="S720" s="989">
        <v>143.4</v>
      </c>
      <c r="T720" s="990">
        <v>0</v>
      </c>
      <c r="U720" s="991">
        <v>118</v>
      </c>
      <c r="V720" s="991">
        <v>249</v>
      </c>
      <c r="W720" s="992">
        <f t="shared" ref="W720:W783" si="212">IF(SUM(T720:V720)=0,"",SUM(T720:V720))</f>
        <v>367</v>
      </c>
      <c r="X720" s="993">
        <f t="shared" ref="X720:X783" si="213">IF(W720="","",W720/S720)</f>
        <v>2.5592747559274756</v>
      </c>
      <c r="Y720" s="990">
        <v>1633</v>
      </c>
      <c r="Z720" s="991">
        <v>1422</v>
      </c>
      <c r="AA720" s="991">
        <v>683</v>
      </c>
      <c r="AB720" s="992">
        <f t="shared" ref="AB720:AB783" si="214">IF(SUM(Y720:AA720)=0,"",SUM(Y720:AA720))</f>
        <v>3738</v>
      </c>
      <c r="AC720" s="993">
        <f t="shared" ref="AC720:AC783" si="215">IF(AB720="","",AB720/S720)</f>
        <v>26.06694560669456</v>
      </c>
      <c r="AD720" s="994">
        <f t="shared" ref="AD720:AD783" si="216">IF(SUM(W720,AB720)=0,"",SUM(W720,AB720))</f>
        <v>4105</v>
      </c>
      <c r="AE720" s="995">
        <f t="shared" ref="AE720:AE783" si="217">IF(AD720="","",AD720/S720)</f>
        <v>28.626220362622036</v>
      </c>
      <c r="AF720" s="996">
        <v>85</v>
      </c>
      <c r="AG720" s="997">
        <v>58</v>
      </c>
      <c r="AH720" s="997">
        <v>4</v>
      </c>
      <c r="AI720" s="998">
        <f t="shared" ref="AI720:AI783" si="218">IF(SUM(AF720:AH720)=0,"",SUM(AF720:AH720))</f>
        <v>147</v>
      </c>
      <c r="AJ720" s="993">
        <f t="shared" ref="AJ720:AJ783" si="219">IF(AI720="","",AI720/S720)</f>
        <v>1.0251046025104602</v>
      </c>
    </row>
    <row r="721" spans="1:36" ht="16.5" customHeight="1">
      <c r="A721" s="999">
        <f>'09월 조업일지'!A719</f>
        <v>46291</v>
      </c>
      <c r="B721" s="1099">
        <f>'09월 조업일지'!B719</f>
        <v>46291</v>
      </c>
      <c r="C721" s="1000" t="str">
        <f>'09월 화학성분'!D719</f>
        <v>A</v>
      </c>
      <c r="D721" s="1000" t="str">
        <f>'09월 화학성분'!E719</f>
        <v>B</v>
      </c>
      <c r="E721" s="1000">
        <f>'09월 화학성분'!C719</f>
        <v>85921</v>
      </c>
      <c r="F721" s="1001" t="str">
        <f t="shared" si="205"/>
        <v>SS400-02</v>
      </c>
      <c r="G721" s="1172">
        <v>19.8</v>
      </c>
      <c r="H721" s="985">
        <v>22700</v>
      </c>
      <c r="I721" s="1173">
        <v>16.100000000000001</v>
      </c>
      <c r="J721" s="985">
        <v>20500</v>
      </c>
      <c r="K721" s="1173">
        <v>10.4</v>
      </c>
      <c r="L721" s="985">
        <v>13400</v>
      </c>
      <c r="M721" s="1174">
        <f t="shared" si="206"/>
        <v>46.300000000000004</v>
      </c>
      <c r="N721" s="984">
        <f t="shared" si="207"/>
        <v>56600</v>
      </c>
      <c r="O721" s="986">
        <f t="shared" si="208"/>
        <v>158.18815331010452</v>
      </c>
      <c r="P721" s="987">
        <f t="shared" si="209"/>
        <v>142.85714285714286</v>
      </c>
      <c r="Q721" s="987">
        <f t="shared" si="210"/>
        <v>93.379790940766554</v>
      </c>
      <c r="R721" s="988">
        <f t="shared" si="211"/>
        <v>394.42508710801394</v>
      </c>
      <c r="S721" s="989">
        <v>143.5</v>
      </c>
      <c r="T721" s="990">
        <v>0</v>
      </c>
      <c r="U721" s="991">
        <v>66</v>
      </c>
      <c r="V721" s="991">
        <v>304</v>
      </c>
      <c r="W721" s="992">
        <f t="shared" si="212"/>
        <v>370</v>
      </c>
      <c r="X721" s="993">
        <f t="shared" si="213"/>
        <v>2.5783972125435541</v>
      </c>
      <c r="Y721" s="990">
        <v>1605</v>
      </c>
      <c r="Z721" s="991">
        <v>1344</v>
      </c>
      <c r="AA721" s="991">
        <v>865</v>
      </c>
      <c r="AB721" s="992">
        <f t="shared" si="214"/>
        <v>3814</v>
      </c>
      <c r="AC721" s="993">
        <f t="shared" si="215"/>
        <v>26.578397212543553</v>
      </c>
      <c r="AD721" s="994">
        <f t="shared" si="216"/>
        <v>4184</v>
      </c>
      <c r="AE721" s="995">
        <f t="shared" si="217"/>
        <v>29.156794425087107</v>
      </c>
      <c r="AF721" s="996">
        <v>89</v>
      </c>
      <c r="AG721" s="997">
        <v>61</v>
      </c>
      <c r="AH721" s="997">
        <v>8</v>
      </c>
      <c r="AI721" s="998">
        <f t="shared" si="218"/>
        <v>158</v>
      </c>
      <c r="AJ721" s="993">
        <f t="shared" si="219"/>
        <v>1.1010452961672474</v>
      </c>
    </row>
    <row r="722" spans="1:36" ht="16.5" customHeight="1">
      <c r="A722" s="999">
        <f>'09월 조업일지'!A720</f>
        <v>46291</v>
      </c>
      <c r="B722" s="1099">
        <f>'09월 조업일지'!B720</f>
        <v>46291</v>
      </c>
      <c r="C722" s="1000" t="str">
        <f>'09월 화학성분'!D720</f>
        <v>A</v>
      </c>
      <c r="D722" s="1000" t="str">
        <f>'09월 화학성분'!E720</f>
        <v>A</v>
      </c>
      <c r="E722" s="1000">
        <f>'09월 화학성분'!C720</f>
        <v>85922</v>
      </c>
      <c r="F722" s="1001" t="str">
        <f t="shared" si="205"/>
        <v>SS400-02</v>
      </c>
      <c r="G722" s="1172">
        <v>19.600000000000001</v>
      </c>
      <c r="H722" s="985">
        <v>22900</v>
      </c>
      <c r="I722" s="1173">
        <v>17.100000000000001</v>
      </c>
      <c r="J722" s="985">
        <v>21000</v>
      </c>
      <c r="K722" s="1173">
        <v>9.5</v>
      </c>
      <c r="L722" s="985">
        <v>12200</v>
      </c>
      <c r="M722" s="1174">
        <f t="shared" si="206"/>
        <v>46.2</v>
      </c>
      <c r="N722" s="984">
        <f t="shared" si="207"/>
        <v>56100</v>
      </c>
      <c r="O722" s="986">
        <f t="shared" si="208"/>
        <v>158.47750865051904</v>
      </c>
      <c r="P722" s="987">
        <f t="shared" si="209"/>
        <v>145.32871972318338</v>
      </c>
      <c r="Q722" s="987">
        <f t="shared" si="210"/>
        <v>84.429065743944633</v>
      </c>
      <c r="R722" s="988">
        <f t="shared" si="211"/>
        <v>388.23529411764707</v>
      </c>
      <c r="S722" s="989">
        <v>144.5</v>
      </c>
      <c r="T722" s="990">
        <v>0</v>
      </c>
      <c r="U722" s="991">
        <v>109</v>
      </c>
      <c r="V722" s="991">
        <v>255</v>
      </c>
      <c r="W722" s="992">
        <f t="shared" si="212"/>
        <v>364</v>
      </c>
      <c r="X722" s="993">
        <f t="shared" si="213"/>
        <v>2.5190311418685121</v>
      </c>
      <c r="Y722" s="990">
        <v>1585</v>
      </c>
      <c r="Z722" s="991">
        <v>1418</v>
      </c>
      <c r="AA722" s="991">
        <v>696</v>
      </c>
      <c r="AB722" s="992">
        <f t="shared" si="214"/>
        <v>3699</v>
      </c>
      <c r="AC722" s="993">
        <f t="shared" si="215"/>
        <v>25.598615916955016</v>
      </c>
      <c r="AD722" s="994">
        <f t="shared" si="216"/>
        <v>4063</v>
      </c>
      <c r="AE722" s="995">
        <f t="shared" si="217"/>
        <v>28.117647058823529</v>
      </c>
      <c r="AF722" s="996">
        <v>76</v>
      </c>
      <c r="AG722" s="997">
        <v>57</v>
      </c>
      <c r="AH722" s="997">
        <v>4</v>
      </c>
      <c r="AI722" s="998">
        <f t="shared" si="218"/>
        <v>137</v>
      </c>
      <c r="AJ722" s="993">
        <f t="shared" si="219"/>
        <v>0.94809688581314877</v>
      </c>
    </row>
    <row r="723" spans="1:36" ht="16.5" customHeight="1">
      <c r="A723" s="999">
        <f>'09월 조업일지'!A721</f>
        <v>46291</v>
      </c>
      <c r="B723" s="1099">
        <f>'09월 조업일지'!B721</f>
        <v>46291</v>
      </c>
      <c r="C723" s="1000" t="str">
        <f>'09월 화학성분'!D721</f>
        <v>A</v>
      </c>
      <c r="D723" s="1000" t="str">
        <f>'09월 화학성분'!E721</f>
        <v>B</v>
      </c>
      <c r="E723" s="1000">
        <f>'09월 화학성분'!C721</f>
        <v>85923</v>
      </c>
      <c r="F723" s="1001" t="str">
        <f t="shared" si="205"/>
        <v>SS400-02</v>
      </c>
      <c r="G723" s="1172">
        <v>18.899999999999999</v>
      </c>
      <c r="H723" s="985">
        <v>22900</v>
      </c>
      <c r="I723" s="1173">
        <v>16.3</v>
      </c>
      <c r="J723" s="985">
        <v>20600</v>
      </c>
      <c r="K723" s="1173">
        <v>10.199999999999999</v>
      </c>
      <c r="L723" s="985">
        <v>13200</v>
      </c>
      <c r="M723" s="1174">
        <f t="shared" si="206"/>
        <v>45.400000000000006</v>
      </c>
      <c r="N723" s="984">
        <f t="shared" si="207"/>
        <v>56700</v>
      </c>
      <c r="O723" s="986">
        <f t="shared" si="208"/>
        <v>163.33808844507848</v>
      </c>
      <c r="P723" s="987">
        <f t="shared" si="209"/>
        <v>146.93295292439373</v>
      </c>
      <c r="Q723" s="987">
        <f t="shared" si="210"/>
        <v>94.151212553495014</v>
      </c>
      <c r="R723" s="988">
        <f t="shared" si="211"/>
        <v>404.42225392296723</v>
      </c>
      <c r="S723" s="989">
        <v>140.19999999999999</v>
      </c>
      <c r="T723" s="990">
        <v>0</v>
      </c>
      <c r="U723" s="991">
        <v>73</v>
      </c>
      <c r="V723" s="991">
        <v>294</v>
      </c>
      <c r="W723" s="992">
        <f t="shared" si="212"/>
        <v>367</v>
      </c>
      <c r="X723" s="993">
        <f t="shared" si="213"/>
        <v>2.6176890156918691</v>
      </c>
      <c r="Y723" s="990">
        <v>1511</v>
      </c>
      <c r="Z723" s="991">
        <v>1347</v>
      </c>
      <c r="AA723" s="991">
        <v>834</v>
      </c>
      <c r="AB723" s="992">
        <f t="shared" si="214"/>
        <v>3692</v>
      </c>
      <c r="AC723" s="993">
        <f t="shared" si="215"/>
        <v>26.33380884450785</v>
      </c>
      <c r="AD723" s="994">
        <f t="shared" si="216"/>
        <v>4059</v>
      </c>
      <c r="AE723" s="995">
        <f t="shared" si="217"/>
        <v>28.951497860199716</v>
      </c>
      <c r="AF723" s="996">
        <v>79</v>
      </c>
      <c r="AG723" s="997">
        <v>65</v>
      </c>
      <c r="AH723" s="997">
        <v>8</v>
      </c>
      <c r="AI723" s="998">
        <f t="shared" si="218"/>
        <v>152</v>
      </c>
      <c r="AJ723" s="993">
        <f t="shared" si="219"/>
        <v>1.0841654778887304</v>
      </c>
    </row>
    <row r="724" spans="1:36" ht="16.5" customHeight="1">
      <c r="A724" s="999">
        <f>'09월 조업일지'!A722</f>
        <v>46291</v>
      </c>
      <c r="B724" s="1099">
        <f>'09월 조업일지'!B722</f>
        <v>46291</v>
      </c>
      <c r="C724" s="1000" t="str">
        <f>'09월 화학성분'!D722</f>
        <v>A</v>
      </c>
      <c r="D724" s="1000" t="str">
        <f>'09월 화학성분'!E722</f>
        <v>A</v>
      </c>
      <c r="E724" s="1000">
        <f>'09월 화학성분'!C722</f>
        <v>85924</v>
      </c>
      <c r="F724" s="1001" t="str">
        <f t="shared" si="205"/>
        <v>SS400-02</v>
      </c>
      <c r="G724" s="1172">
        <v>20.3</v>
      </c>
      <c r="H724" s="985">
        <v>24700</v>
      </c>
      <c r="I724" s="1173">
        <v>16.899999999999999</v>
      </c>
      <c r="J724" s="985">
        <v>20900</v>
      </c>
      <c r="K724" s="1173">
        <v>9.4</v>
      </c>
      <c r="L724" s="985">
        <v>11900</v>
      </c>
      <c r="M724" s="1174">
        <f t="shared" si="206"/>
        <v>46.6</v>
      </c>
      <c r="N724" s="984">
        <f t="shared" si="207"/>
        <v>57500</v>
      </c>
      <c r="O724" s="986">
        <f t="shared" si="208"/>
        <v>171.17117117117115</v>
      </c>
      <c r="P724" s="987">
        <f t="shared" si="209"/>
        <v>144.83714483714482</v>
      </c>
      <c r="Q724" s="987">
        <f t="shared" si="210"/>
        <v>82.467082467082463</v>
      </c>
      <c r="R724" s="988">
        <f t="shared" si="211"/>
        <v>398.47539847539849</v>
      </c>
      <c r="S724" s="989">
        <v>144.30000000000001</v>
      </c>
      <c r="T724" s="990">
        <v>0</v>
      </c>
      <c r="U724" s="991">
        <v>174</v>
      </c>
      <c r="V724" s="991">
        <v>192</v>
      </c>
      <c r="W724" s="992">
        <f t="shared" si="212"/>
        <v>366</v>
      </c>
      <c r="X724" s="993">
        <f t="shared" si="213"/>
        <v>2.5363825363825363</v>
      </c>
      <c r="Y724" s="990">
        <v>1685</v>
      </c>
      <c r="Z724" s="991">
        <v>1403</v>
      </c>
      <c r="AA724" s="991">
        <v>573</v>
      </c>
      <c r="AB724" s="992">
        <f t="shared" si="214"/>
        <v>3661</v>
      </c>
      <c r="AC724" s="993">
        <f t="shared" si="215"/>
        <v>25.370755370755369</v>
      </c>
      <c r="AD724" s="994">
        <f t="shared" si="216"/>
        <v>4027</v>
      </c>
      <c r="AE724" s="995">
        <f t="shared" si="217"/>
        <v>27.907137907137905</v>
      </c>
      <c r="AF724" s="996">
        <v>76</v>
      </c>
      <c r="AG724" s="997">
        <v>51</v>
      </c>
      <c r="AH724" s="997">
        <v>5</v>
      </c>
      <c r="AI724" s="998">
        <f t="shared" si="218"/>
        <v>132</v>
      </c>
      <c r="AJ724" s="993">
        <f t="shared" si="219"/>
        <v>0.9147609147609147</v>
      </c>
    </row>
    <row r="725" spans="1:36" ht="16.5" customHeight="1">
      <c r="A725" s="999">
        <f>'09월 조업일지'!A723</f>
        <v>46292</v>
      </c>
      <c r="B725" s="1099">
        <f>'09월 조업일지'!B723</f>
        <v>46291</v>
      </c>
      <c r="C725" s="1000" t="str">
        <f>'09월 화학성분'!D723</f>
        <v>A</v>
      </c>
      <c r="D725" s="1000" t="str">
        <f>'09월 화학성분'!E723</f>
        <v>B</v>
      </c>
      <c r="E725" s="1000">
        <f>'09월 화학성분'!C723</f>
        <v>85925</v>
      </c>
      <c r="F725" s="1001" t="str">
        <f t="shared" si="205"/>
        <v>SS400-02</v>
      </c>
      <c r="G725" s="1172">
        <v>18.7</v>
      </c>
      <c r="H725" s="985">
        <v>22800</v>
      </c>
      <c r="I725" s="1173">
        <v>16.2</v>
      </c>
      <c r="J725" s="985">
        <v>20800</v>
      </c>
      <c r="K725" s="1173">
        <v>9.5</v>
      </c>
      <c r="L725" s="985">
        <v>12200</v>
      </c>
      <c r="M725" s="1174">
        <f t="shared" si="206"/>
        <v>44.4</v>
      </c>
      <c r="N725" s="984">
        <f t="shared" si="207"/>
        <v>55800</v>
      </c>
      <c r="O725" s="986">
        <f t="shared" si="208"/>
        <v>161.01694915254237</v>
      </c>
      <c r="P725" s="987">
        <f t="shared" si="209"/>
        <v>146.89265536723164</v>
      </c>
      <c r="Q725" s="987">
        <f t="shared" si="210"/>
        <v>86.158192090395488</v>
      </c>
      <c r="R725" s="988">
        <f t="shared" si="211"/>
        <v>394.06779661016947</v>
      </c>
      <c r="S725" s="989">
        <v>141.6</v>
      </c>
      <c r="T725" s="990">
        <v>0</v>
      </c>
      <c r="U725" s="991">
        <v>89</v>
      </c>
      <c r="V725" s="991">
        <v>206</v>
      </c>
      <c r="W725" s="992">
        <f t="shared" si="212"/>
        <v>295</v>
      </c>
      <c r="X725" s="993">
        <f t="shared" si="213"/>
        <v>2.0833333333333335</v>
      </c>
      <c r="Y725" s="990">
        <v>1540</v>
      </c>
      <c r="Z725" s="991">
        <v>1339</v>
      </c>
      <c r="AA725" s="991">
        <v>825</v>
      </c>
      <c r="AB725" s="992">
        <f t="shared" si="214"/>
        <v>3704</v>
      </c>
      <c r="AC725" s="993">
        <f t="shared" si="215"/>
        <v>26.158192090395481</v>
      </c>
      <c r="AD725" s="994">
        <f t="shared" si="216"/>
        <v>3999</v>
      </c>
      <c r="AE725" s="995">
        <f t="shared" si="217"/>
        <v>28.241525423728813</v>
      </c>
      <c r="AF725" s="996">
        <v>81</v>
      </c>
      <c r="AG725" s="997">
        <v>63</v>
      </c>
      <c r="AH725" s="997">
        <v>8</v>
      </c>
      <c r="AI725" s="998">
        <f t="shared" si="218"/>
        <v>152</v>
      </c>
      <c r="AJ725" s="993">
        <f t="shared" si="219"/>
        <v>1.0734463276836159</v>
      </c>
    </row>
    <row r="726" spans="1:36" ht="16.5" customHeight="1">
      <c r="A726" s="999">
        <f>'09월 조업일지'!A724</f>
        <v>46292</v>
      </c>
      <c r="B726" s="1099">
        <f>'09월 조업일지'!B724</f>
        <v>46291</v>
      </c>
      <c r="C726" s="1000" t="str">
        <f>'09월 화학성분'!D724</f>
        <v>A</v>
      </c>
      <c r="D726" s="1000" t="str">
        <f>'09월 화학성분'!E724</f>
        <v>A</v>
      </c>
      <c r="E726" s="1000">
        <f>'09월 화학성분'!C724</f>
        <v>85926</v>
      </c>
      <c r="F726" s="1001" t="str">
        <f t="shared" si="205"/>
        <v>SS400-02</v>
      </c>
      <c r="G726" s="1172">
        <v>18.8</v>
      </c>
      <c r="H726" s="985">
        <v>22900</v>
      </c>
      <c r="I726" s="1173">
        <v>16.399999999999999</v>
      </c>
      <c r="J726" s="985">
        <v>20600</v>
      </c>
      <c r="K726" s="1173">
        <v>9.9</v>
      </c>
      <c r="L726" s="985">
        <v>12600</v>
      </c>
      <c r="M726" s="1174">
        <f t="shared" si="206"/>
        <v>45.1</v>
      </c>
      <c r="N726" s="984">
        <f t="shared" si="207"/>
        <v>56100</v>
      </c>
      <c r="O726" s="986">
        <f t="shared" si="208"/>
        <v>159.02777777777777</v>
      </c>
      <c r="P726" s="987">
        <f t="shared" si="209"/>
        <v>143.05555555555554</v>
      </c>
      <c r="Q726" s="987">
        <f t="shared" si="210"/>
        <v>87.5</v>
      </c>
      <c r="R726" s="988">
        <f t="shared" si="211"/>
        <v>389.58333333333331</v>
      </c>
      <c r="S726" s="989">
        <v>144</v>
      </c>
      <c r="T726" s="990">
        <v>0</v>
      </c>
      <c r="U726" s="991">
        <v>88</v>
      </c>
      <c r="V726" s="991">
        <v>302</v>
      </c>
      <c r="W726" s="992">
        <f t="shared" si="212"/>
        <v>390</v>
      </c>
      <c r="X726" s="993">
        <f t="shared" si="213"/>
        <v>2.7083333333333335</v>
      </c>
      <c r="Y726" s="990">
        <v>1537</v>
      </c>
      <c r="Z726" s="991">
        <v>1351</v>
      </c>
      <c r="AA726" s="991">
        <v>764</v>
      </c>
      <c r="AB726" s="992">
        <f t="shared" si="214"/>
        <v>3652</v>
      </c>
      <c r="AC726" s="993">
        <f t="shared" si="215"/>
        <v>25.361111111111111</v>
      </c>
      <c r="AD726" s="994">
        <f t="shared" si="216"/>
        <v>4042</v>
      </c>
      <c r="AE726" s="995">
        <f t="shared" si="217"/>
        <v>28.069444444444443</v>
      </c>
      <c r="AF726" s="996">
        <v>73</v>
      </c>
      <c r="AG726" s="997">
        <v>55</v>
      </c>
      <c r="AH726" s="997">
        <v>5</v>
      </c>
      <c r="AI726" s="998">
        <f t="shared" si="218"/>
        <v>133</v>
      </c>
      <c r="AJ726" s="993">
        <f t="shared" si="219"/>
        <v>0.92361111111111116</v>
      </c>
    </row>
    <row r="727" spans="1:36" ht="16.5" customHeight="1">
      <c r="A727" s="999">
        <f>'09월 조업일지'!A725</f>
        <v>46292</v>
      </c>
      <c r="B727" s="1099">
        <f>'09월 조업일지'!B725</f>
        <v>46291</v>
      </c>
      <c r="C727" s="1000" t="str">
        <f>'09월 화학성분'!D725</f>
        <v>A</v>
      </c>
      <c r="D727" s="1000" t="str">
        <f>'09월 화학성분'!E725</f>
        <v>B</v>
      </c>
      <c r="E727" s="1000">
        <f>'09월 화학성분'!C725</f>
        <v>85927</v>
      </c>
      <c r="F727" s="1104" t="s">
        <v>1012</v>
      </c>
      <c r="G727" s="1172">
        <v>19.899999999999999</v>
      </c>
      <c r="H727" s="985">
        <v>22600</v>
      </c>
      <c r="I727" s="1173">
        <v>16.3</v>
      </c>
      <c r="J727" s="985">
        <v>20500</v>
      </c>
      <c r="K727" s="1173">
        <v>12.2</v>
      </c>
      <c r="L727" s="985">
        <v>15700</v>
      </c>
      <c r="M727" s="1174">
        <f t="shared" si="206"/>
        <v>48.400000000000006</v>
      </c>
      <c r="N727" s="984">
        <f t="shared" si="207"/>
        <v>58800</v>
      </c>
      <c r="O727" s="986">
        <f t="shared" si="208"/>
        <v>157.2720946416145</v>
      </c>
      <c r="P727" s="987">
        <f t="shared" si="209"/>
        <v>142.65831593597775</v>
      </c>
      <c r="Q727" s="987">
        <f t="shared" si="210"/>
        <v>109.25539318023661</v>
      </c>
      <c r="R727" s="988">
        <f t="shared" si="211"/>
        <v>409.18580375782892</v>
      </c>
      <c r="S727" s="989">
        <v>143.69999999999999</v>
      </c>
      <c r="T727" s="990">
        <v>0</v>
      </c>
      <c r="U727" s="991">
        <v>32</v>
      </c>
      <c r="V727" s="991">
        <v>442</v>
      </c>
      <c r="W727" s="992">
        <f t="shared" si="212"/>
        <v>474</v>
      </c>
      <c r="X727" s="993">
        <f t="shared" si="213"/>
        <v>3.2985386221294366</v>
      </c>
      <c r="Y727" s="990">
        <v>1662</v>
      </c>
      <c r="Z727" s="991">
        <v>1346</v>
      </c>
      <c r="AA727" s="991">
        <v>1167</v>
      </c>
      <c r="AB727" s="992">
        <f t="shared" si="214"/>
        <v>4175</v>
      </c>
      <c r="AC727" s="993">
        <f t="shared" si="215"/>
        <v>29.053583855254004</v>
      </c>
      <c r="AD727" s="994">
        <f t="shared" si="216"/>
        <v>4649</v>
      </c>
      <c r="AE727" s="995">
        <f t="shared" si="217"/>
        <v>32.352122477383439</v>
      </c>
      <c r="AF727" s="996">
        <v>86</v>
      </c>
      <c r="AG727" s="997">
        <v>62</v>
      </c>
      <c r="AH727" s="997">
        <v>12</v>
      </c>
      <c r="AI727" s="998">
        <f t="shared" si="218"/>
        <v>160</v>
      </c>
      <c r="AJ727" s="993">
        <f t="shared" si="219"/>
        <v>1.1134307585247043</v>
      </c>
    </row>
    <row r="728" spans="1:36" ht="16.5" customHeight="1">
      <c r="A728" s="999">
        <f>'09월 조업일지'!A726</f>
        <v>46292</v>
      </c>
      <c r="B728" s="1099">
        <f>'09월 조업일지'!B726</f>
        <v>46291</v>
      </c>
      <c r="C728" s="1000" t="str">
        <f>'09월 화학성분'!D726</f>
        <v>A</v>
      </c>
      <c r="D728" s="1000" t="str">
        <f>'09월 화학성분'!E726</f>
        <v>A</v>
      </c>
      <c r="E728" s="1000">
        <f>'09월 화학성분'!C726</f>
        <v>85928</v>
      </c>
      <c r="F728" s="1001" t="str">
        <f t="shared" si="205"/>
        <v>SY300</v>
      </c>
      <c r="G728" s="1172">
        <v>20.7</v>
      </c>
      <c r="H728" s="985">
        <v>24600</v>
      </c>
      <c r="I728" s="1173">
        <v>16.899999999999999</v>
      </c>
      <c r="J728" s="985">
        <v>20800</v>
      </c>
      <c r="K728" s="1173">
        <v>13.2</v>
      </c>
      <c r="L728" s="985">
        <v>16200</v>
      </c>
      <c r="M728" s="1174">
        <f t="shared" si="206"/>
        <v>50.8</v>
      </c>
      <c r="N728" s="984">
        <f t="shared" si="207"/>
        <v>61600</v>
      </c>
      <c r="O728" s="986">
        <f t="shared" si="208"/>
        <v>173.85159010600708</v>
      </c>
      <c r="P728" s="987">
        <f t="shared" si="209"/>
        <v>146.9964664310954</v>
      </c>
      <c r="Q728" s="987">
        <f t="shared" si="210"/>
        <v>114.48763250883393</v>
      </c>
      <c r="R728" s="988">
        <f t="shared" si="211"/>
        <v>435.33568904593642</v>
      </c>
      <c r="S728" s="989">
        <v>141.5</v>
      </c>
      <c r="T728" s="990">
        <v>0</v>
      </c>
      <c r="U728" s="991">
        <v>192</v>
      </c>
      <c r="V728" s="991">
        <v>178</v>
      </c>
      <c r="W728" s="992">
        <f t="shared" si="212"/>
        <v>370</v>
      </c>
      <c r="X728" s="993">
        <f t="shared" si="213"/>
        <v>2.6148409893992932</v>
      </c>
      <c r="Y728" s="990">
        <v>1738</v>
      </c>
      <c r="Z728" s="991">
        <v>1396</v>
      </c>
      <c r="AA728" s="991">
        <v>793</v>
      </c>
      <c r="AB728" s="992">
        <f t="shared" si="214"/>
        <v>3927</v>
      </c>
      <c r="AC728" s="993">
        <f t="shared" si="215"/>
        <v>27.752650176678443</v>
      </c>
      <c r="AD728" s="994">
        <f t="shared" si="216"/>
        <v>4297</v>
      </c>
      <c r="AE728" s="995">
        <f t="shared" si="217"/>
        <v>30.367491166077738</v>
      </c>
      <c r="AF728" s="996">
        <v>76</v>
      </c>
      <c r="AG728" s="997">
        <v>56</v>
      </c>
      <c r="AH728" s="997">
        <v>3</v>
      </c>
      <c r="AI728" s="998">
        <f t="shared" si="218"/>
        <v>135</v>
      </c>
      <c r="AJ728" s="993">
        <f t="shared" si="219"/>
        <v>0.95406360424028269</v>
      </c>
    </row>
    <row r="729" spans="1:36" ht="16.5" customHeight="1">
      <c r="A729" s="999">
        <f>'09월 조업일지'!A727</f>
        <v>46292</v>
      </c>
      <c r="B729" s="1099">
        <f>'09월 조업일지'!B727</f>
        <v>46292</v>
      </c>
      <c r="C729" s="1000" t="str">
        <f>'09월 화학성분'!D727</f>
        <v>B</v>
      </c>
      <c r="D729" s="1000" t="str">
        <f>'09월 화학성분'!E727</f>
        <v>B</v>
      </c>
      <c r="E729" s="1000">
        <f>'09월 화학성분'!C727</f>
        <v>85929</v>
      </c>
      <c r="F729" s="1001" t="str">
        <f t="shared" si="205"/>
        <v>SY300</v>
      </c>
      <c r="G729" s="1172">
        <v>20.2</v>
      </c>
      <c r="H729" s="985">
        <v>24600</v>
      </c>
      <c r="I729" s="1173">
        <v>16.3</v>
      </c>
      <c r="J729" s="985">
        <v>20600</v>
      </c>
      <c r="K729" s="1173">
        <v>9.3000000000000007</v>
      </c>
      <c r="L729" s="985">
        <v>11900</v>
      </c>
      <c r="M729" s="1174">
        <f t="shared" si="206"/>
        <v>45.8</v>
      </c>
      <c r="N729" s="984">
        <f t="shared" si="207"/>
        <v>57100</v>
      </c>
      <c r="O729" s="986">
        <f t="shared" si="208"/>
        <v>171.30919220055711</v>
      </c>
      <c r="P729" s="987">
        <f t="shared" si="209"/>
        <v>143.4540389972145</v>
      </c>
      <c r="Q729" s="987">
        <f t="shared" si="210"/>
        <v>82.869080779944298</v>
      </c>
      <c r="R729" s="988">
        <f t="shared" si="211"/>
        <v>397.63231197771586</v>
      </c>
      <c r="S729" s="989">
        <v>143.6</v>
      </c>
      <c r="T729" s="990">
        <v>0</v>
      </c>
      <c r="U729" s="991">
        <v>54</v>
      </c>
      <c r="V729" s="991">
        <v>496</v>
      </c>
      <c r="W729" s="992">
        <f t="shared" si="212"/>
        <v>550</v>
      </c>
      <c r="X729" s="993">
        <f t="shared" si="213"/>
        <v>3.8300835654596104</v>
      </c>
      <c r="Y729" s="990">
        <v>1674</v>
      </c>
      <c r="Z729" s="991">
        <v>1362</v>
      </c>
      <c r="AA729" s="991">
        <v>916</v>
      </c>
      <c r="AB729" s="992">
        <f t="shared" si="214"/>
        <v>3952</v>
      </c>
      <c r="AC729" s="993">
        <f t="shared" si="215"/>
        <v>27.520891364902507</v>
      </c>
      <c r="AD729" s="994">
        <f t="shared" si="216"/>
        <v>4502</v>
      </c>
      <c r="AE729" s="995">
        <f t="shared" si="217"/>
        <v>31.350974930362117</v>
      </c>
      <c r="AF729" s="996">
        <v>81</v>
      </c>
      <c r="AG729" s="997">
        <v>66</v>
      </c>
      <c r="AH729" s="997">
        <v>8</v>
      </c>
      <c r="AI729" s="998">
        <f t="shared" si="218"/>
        <v>155</v>
      </c>
      <c r="AJ729" s="993">
        <f t="shared" si="219"/>
        <v>1.0793871866295266</v>
      </c>
    </row>
    <row r="730" spans="1:36" ht="16.5" customHeight="1">
      <c r="A730" s="999">
        <f>'09월 조업일지'!A728</f>
        <v>46292</v>
      </c>
      <c r="B730" s="1099">
        <f>'09월 조업일지'!B728</f>
        <v>46292</v>
      </c>
      <c r="C730" s="1000" t="str">
        <f>'09월 화학성분'!D728</f>
        <v>B</v>
      </c>
      <c r="D730" s="1000" t="str">
        <f>'09월 화학성분'!E728</f>
        <v>A</v>
      </c>
      <c r="E730" s="1000">
        <f>'09월 화학성분'!C728</f>
        <v>85930</v>
      </c>
      <c r="F730" s="1001" t="str">
        <f t="shared" si="205"/>
        <v>SY300</v>
      </c>
      <c r="G730" s="1172">
        <v>20.100000000000001</v>
      </c>
      <c r="H730" s="985">
        <v>23400</v>
      </c>
      <c r="I730" s="1173">
        <v>17.2</v>
      </c>
      <c r="J730" s="985">
        <v>20800</v>
      </c>
      <c r="K730" s="1173">
        <v>10.4</v>
      </c>
      <c r="L730" s="985">
        <v>12900</v>
      </c>
      <c r="M730" s="1174">
        <f t="shared" si="206"/>
        <v>47.699999999999996</v>
      </c>
      <c r="N730" s="984">
        <f t="shared" si="207"/>
        <v>57100</v>
      </c>
      <c r="O730" s="986">
        <f t="shared" si="208"/>
        <v>162.95264623955433</v>
      </c>
      <c r="P730" s="987">
        <f t="shared" si="209"/>
        <v>144.84679665738162</v>
      </c>
      <c r="Q730" s="987">
        <f t="shared" si="210"/>
        <v>89.832869080779943</v>
      </c>
      <c r="R730" s="988">
        <f t="shared" si="211"/>
        <v>397.63231197771586</v>
      </c>
      <c r="S730" s="989">
        <v>143.6</v>
      </c>
      <c r="T730" s="990">
        <v>0</v>
      </c>
      <c r="U730" s="991">
        <v>66</v>
      </c>
      <c r="V730" s="991">
        <v>292</v>
      </c>
      <c r="W730" s="992">
        <f t="shared" si="212"/>
        <v>358</v>
      </c>
      <c r="X730" s="993">
        <f t="shared" si="213"/>
        <v>2.4930362116991645</v>
      </c>
      <c r="Y730" s="990">
        <v>1659</v>
      </c>
      <c r="Z730" s="991">
        <v>1412</v>
      </c>
      <c r="AA730" s="991">
        <v>823</v>
      </c>
      <c r="AB730" s="992">
        <f t="shared" si="214"/>
        <v>3894</v>
      </c>
      <c r="AC730" s="993">
        <f t="shared" si="215"/>
        <v>27.116991643454039</v>
      </c>
      <c r="AD730" s="994">
        <f t="shared" si="216"/>
        <v>4252</v>
      </c>
      <c r="AE730" s="995">
        <f t="shared" si="217"/>
        <v>29.610027855153206</v>
      </c>
      <c r="AF730" s="996">
        <v>75</v>
      </c>
      <c r="AG730" s="997">
        <v>58</v>
      </c>
      <c r="AH730" s="997">
        <v>3</v>
      </c>
      <c r="AI730" s="998">
        <f t="shared" si="218"/>
        <v>136</v>
      </c>
      <c r="AJ730" s="993">
        <f t="shared" si="219"/>
        <v>0.94707520891364905</v>
      </c>
    </row>
    <row r="731" spans="1:36" ht="16.5" customHeight="1">
      <c r="A731" s="999">
        <f>'09월 조업일지'!A729</f>
        <v>46292</v>
      </c>
      <c r="B731" s="1099">
        <f>'09월 조업일지'!B729</f>
        <v>46292</v>
      </c>
      <c r="C731" s="1000" t="str">
        <f>'09월 화학성분'!D729</f>
        <v>B</v>
      </c>
      <c r="D731" s="1000" t="str">
        <f>'09월 화학성분'!E729</f>
        <v>B</v>
      </c>
      <c r="E731" s="1000">
        <f>'09월 화학성분'!C729</f>
        <v>85931</v>
      </c>
      <c r="F731" s="1001" t="str">
        <f t="shared" si="205"/>
        <v>SY300</v>
      </c>
      <c r="G731" s="1172">
        <v>18.899999999999999</v>
      </c>
      <c r="H731" s="985">
        <v>22800</v>
      </c>
      <c r="I731" s="1173">
        <v>16.8</v>
      </c>
      <c r="J731" s="985">
        <v>20800</v>
      </c>
      <c r="K731" s="1173">
        <v>7.7</v>
      </c>
      <c r="L731" s="985">
        <v>9900</v>
      </c>
      <c r="M731" s="1174">
        <f t="shared" si="206"/>
        <v>43.400000000000006</v>
      </c>
      <c r="N731" s="984">
        <f t="shared" si="207"/>
        <v>53500</v>
      </c>
      <c r="O731" s="986">
        <f t="shared" si="208"/>
        <v>162.74089935760173</v>
      </c>
      <c r="P731" s="987">
        <f t="shared" si="209"/>
        <v>148.46538187009278</v>
      </c>
      <c r="Q731" s="987">
        <f t="shared" si="210"/>
        <v>70.663811563169162</v>
      </c>
      <c r="R731" s="988">
        <f t="shared" si="211"/>
        <v>381.87009279086362</v>
      </c>
      <c r="S731" s="989">
        <v>140.1</v>
      </c>
      <c r="T731" s="990">
        <v>0</v>
      </c>
      <c r="U731" s="991">
        <v>32</v>
      </c>
      <c r="V731" s="991">
        <v>373</v>
      </c>
      <c r="W731" s="992">
        <f t="shared" si="212"/>
        <v>405</v>
      </c>
      <c r="X731" s="993">
        <f t="shared" si="213"/>
        <v>2.8907922912205568</v>
      </c>
      <c r="Y731" s="990">
        <v>1531</v>
      </c>
      <c r="Z731" s="991">
        <v>1373</v>
      </c>
      <c r="AA731" s="991">
        <v>833</v>
      </c>
      <c r="AB731" s="992">
        <f t="shared" si="214"/>
        <v>3737</v>
      </c>
      <c r="AC731" s="993">
        <f t="shared" si="215"/>
        <v>26.673804425410424</v>
      </c>
      <c r="AD731" s="994">
        <f t="shared" si="216"/>
        <v>4142</v>
      </c>
      <c r="AE731" s="995">
        <f t="shared" si="217"/>
        <v>29.56459671663098</v>
      </c>
      <c r="AF731" s="996">
        <v>84</v>
      </c>
      <c r="AG731" s="997">
        <v>63</v>
      </c>
      <c r="AH731" s="997">
        <v>7</v>
      </c>
      <c r="AI731" s="998">
        <f t="shared" si="218"/>
        <v>154</v>
      </c>
      <c r="AJ731" s="993">
        <f t="shared" si="219"/>
        <v>1.099214846538187</v>
      </c>
    </row>
    <row r="732" spans="1:36" ht="16.5" customHeight="1">
      <c r="A732" s="999">
        <f>'09월 조업일지'!A730</f>
        <v>46292</v>
      </c>
      <c r="B732" s="1099">
        <f>'09월 조업일지'!B730</f>
        <v>46292</v>
      </c>
      <c r="C732" s="1000" t="str">
        <f>'09월 화학성분'!D730</f>
        <v>B</v>
      </c>
      <c r="D732" s="1000" t="str">
        <f>'09월 화학성분'!E730</f>
        <v>A</v>
      </c>
      <c r="E732" s="1000">
        <f>'09월 화학성분'!C730</f>
        <v>85932</v>
      </c>
      <c r="F732" s="1001" t="str">
        <f t="shared" si="205"/>
        <v>SY300</v>
      </c>
      <c r="G732" s="1172">
        <v>19.2</v>
      </c>
      <c r="H732" s="985">
        <v>22700</v>
      </c>
      <c r="I732" s="1173">
        <v>16.899999999999999</v>
      </c>
      <c r="J732" s="985">
        <v>20800</v>
      </c>
      <c r="K732" s="1173">
        <v>7.7</v>
      </c>
      <c r="L732" s="985">
        <v>9900</v>
      </c>
      <c r="M732" s="1174">
        <f t="shared" si="206"/>
        <v>43.8</v>
      </c>
      <c r="N732" s="984">
        <f t="shared" si="207"/>
        <v>53400</v>
      </c>
      <c r="O732" s="986">
        <f t="shared" si="208"/>
        <v>156.76795580110496</v>
      </c>
      <c r="P732" s="987">
        <f t="shared" si="209"/>
        <v>143.64640883977899</v>
      </c>
      <c r="Q732" s="987">
        <f t="shared" si="210"/>
        <v>68.370165745856355</v>
      </c>
      <c r="R732" s="988">
        <f t="shared" si="211"/>
        <v>368.7845303867403</v>
      </c>
      <c r="S732" s="989">
        <v>144.80000000000001</v>
      </c>
      <c r="T732" s="990">
        <v>0</v>
      </c>
      <c r="U732" s="991">
        <v>5</v>
      </c>
      <c r="V732" s="991">
        <v>378</v>
      </c>
      <c r="W732" s="992">
        <f t="shared" si="212"/>
        <v>383</v>
      </c>
      <c r="X732" s="993">
        <f t="shared" si="213"/>
        <v>2.645027624309392</v>
      </c>
      <c r="Y732" s="990">
        <v>1557</v>
      </c>
      <c r="Z732" s="991">
        <v>1391</v>
      </c>
      <c r="AA732" s="991">
        <v>762</v>
      </c>
      <c r="AB732" s="992">
        <f t="shared" si="214"/>
        <v>3710</v>
      </c>
      <c r="AC732" s="993">
        <f t="shared" si="215"/>
        <v>25.621546961325965</v>
      </c>
      <c r="AD732" s="994">
        <f t="shared" si="216"/>
        <v>4093</v>
      </c>
      <c r="AE732" s="995">
        <f t="shared" si="217"/>
        <v>28.266574585635357</v>
      </c>
      <c r="AF732" s="996">
        <v>74</v>
      </c>
      <c r="AG732" s="997">
        <v>57</v>
      </c>
      <c r="AH732" s="997">
        <v>5</v>
      </c>
      <c r="AI732" s="998">
        <f t="shared" si="218"/>
        <v>136</v>
      </c>
      <c r="AJ732" s="993">
        <f t="shared" si="219"/>
        <v>0.93922651933701651</v>
      </c>
    </row>
    <row r="733" spans="1:36" ht="16.5" customHeight="1">
      <c r="A733" s="999">
        <f>'09월 조업일지'!A731</f>
        <v>46292</v>
      </c>
      <c r="B733" s="1099">
        <f>'09월 조업일지'!B731</f>
        <v>46292</v>
      </c>
      <c r="C733" s="1000" t="str">
        <f>'09월 화학성분'!D731</f>
        <v>B</v>
      </c>
      <c r="D733" s="1000" t="str">
        <f>'09월 화학성분'!E731</f>
        <v>B</v>
      </c>
      <c r="E733" s="1000">
        <f>'09월 화학성분'!C731</f>
        <v>85933</v>
      </c>
      <c r="F733" s="1104" t="s">
        <v>756</v>
      </c>
      <c r="G733" s="1172">
        <v>18.899999999999999</v>
      </c>
      <c r="H733" s="985">
        <v>22400</v>
      </c>
      <c r="I733" s="1173">
        <v>16.8</v>
      </c>
      <c r="J733" s="985">
        <v>20500</v>
      </c>
      <c r="K733" s="1173">
        <v>11.1</v>
      </c>
      <c r="L733" s="985">
        <v>14400</v>
      </c>
      <c r="M733" s="1174">
        <f t="shared" si="206"/>
        <v>46.800000000000004</v>
      </c>
      <c r="N733" s="984">
        <f t="shared" si="207"/>
        <v>57300</v>
      </c>
      <c r="O733" s="986">
        <f t="shared" si="208"/>
        <v>153.42465753424656</v>
      </c>
      <c r="P733" s="987">
        <f t="shared" si="209"/>
        <v>140.41095890410958</v>
      </c>
      <c r="Q733" s="987">
        <f t="shared" si="210"/>
        <v>98.630136986301366</v>
      </c>
      <c r="R733" s="988">
        <f t="shared" si="211"/>
        <v>392.46575342465752</v>
      </c>
      <c r="S733" s="989">
        <v>146</v>
      </c>
      <c r="T733" s="990">
        <v>0</v>
      </c>
      <c r="U733" s="991">
        <v>0</v>
      </c>
      <c r="V733" s="991">
        <v>394</v>
      </c>
      <c r="W733" s="992">
        <f t="shared" si="212"/>
        <v>394</v>
      </c>
      <c r="X733" s="993">
        <f t="shared" si="213"/>
        <v>2.6986301369863015</v>
      </c>
      <c r="Y733" s="990">
        <v>1523</v>
      </c>
      <c r="Z733" s="991">
        <v>1372</v>
      </c>
      <c r="AA733" s="991">
        <v>956</v>
      </c>
      <c r="AB733" s="992">
        <f t="shared" si="214"/>
        <v>3851</v>
      </c>
      <c r="AC733" s="993">
        <f t="shared" si="215"/>
        <v>26.376712328767123</v>
      </c>
      <c r="AD733" s="994">
        <f t="shared" si="216"/>
        <v>4245</v>
      </c>
      <c r="AE733" s="995">
        <f t="shared" si="217"/>
        <v>29.075342465753426</v>
      </c>
      <c r="AF733" s="996">
        <v>82</v>
      </c>
      <c r="AG733" s="997">
        <v>63</v>
      </c>
      <c r="AH733" s="997">
        <v>7</v>
      </c>
      <c r="AI733" s="998">
        <f t="shared" si="218"/>
        <v>152</v>
      </c>
      <c r="AJ733" s="993">
        <f t="shared" si="219"/>
        <v>1.0410958904109588</v>
      </c>
    </row>
    <row r="734" spans="1:36" ht="16.5" customHeight="1">
      <c r="A734" s="999">
        <f>'09월 조업일지'!A732</f>
        <v>46292</v>
      </c>
      <c r="B734" s="1099">
        <f>'09월 조업일지'!B732</f>
        <v>46292</v>
      </c>
      <c r="C734" s="1000" t="str">
        <f>'09월 화학성분'!D732</f>
        <v>B</v>
      </c>
      <c r="D734" s="1000" t="str">
        <f>'09월 화학성분'!E732</f>
        <v>A</v>
      </c>
      <c r="E734" s="1000">
        <f>'09월 화학성분'!C732</f>
        <v>85934</v>
      </c>
      <c r="F734" s="1001" t="str">
        <f t="shared" si="205"/>
        <v>SHP275W</v>
      </c>
      <c r="G734" s="1172">
        <v>19.2</v>
      </c>
      <c r="H734" s="985">
        <v>23100</v>
      </c>
      <c r="I734" s="1173">
        <v>16.899999999999999</v>
      </c>
      <c r="J734" s="985">
        <v>20600</v>
      </c>
      <c r="K734" s="1173">
        <v>8.6</v>
      </c>
      <c r="L734" s="985">
        <v>11100</v>
      </c>
      <c r="M734" s="1174">
        <f t="shared" si="206"/>
        <v>44.699999999999996</v>
      </c>
      <c r="N734" s="984">
        <f t="shared" si="207"/>
        <v>54800</v>
      </c>
      <c r="O734" s="986">
        <f t="shared" si="208"/>
        <v>161.76470588235293</v>
      </c>
      <c r="P734" s="987">
        <f t="shared" si="209"/>
        <v>144.25770308123248</v>
      </c>
      <c r="Q734" s="987">
        <f t="shared" si="210"/>
        <v>77.731092436974777</v>
      </c>
      <c r="R734" s="988">
        <f t="shared" si="211"/>
        <v>383.7535014005602</v>
      </c>
      <c r="S734" s="989">
        <v>142.80000000000001</v>
      </c>
      <c r="T734" s="990">
        <v>0</v>
      </c>
      <c r="U734" s="991">
        <v>37</v>
      </c>
      <c r="V734" s="991">
        <v>291</v>
      </c>
      <c r="W734" s="992">
        <f t="shared" si="212"/>
        <v>328</v>
      </c>
      <c r="X734" s="993">
        <f t="shared" si="213"/>
        <v>2.2969187675070026</v>
      </c>
      <c r="Y734" s="990">
        <v>1576</v>
      </c>
      <c r="Z734" s="991">
        <v>1388</v>
      </c>
      <c r="AA734" s="991">
        <v>866</v>
      </c>
      <c r="AB734" s="992">
        <f t="shared" si="214"/>
        <v>3830</v>
      </c>
      <c r="AC734" s="993">
        <f t="shared" si="215"/>
        <v>26.820728291316524</v>
      </c>
      <c r="AD734" s="994">
        <f t="shared" si="216"/>
        <v>4158</v>
      </c>
      <c r="AE734" s="995">
        <f t="shared" si="217"/>
        <v>29.117647058823525</v>
      </c>
      <c r="AF734" s="996">
        <v>73</v>
      </c>
      <c r="AG734" s="997">
        <v>55</v>
      </c>
      <c r="AH734" s="997">
        <v>3</v>
      </c>
      <c r="AI734" s="998">
        <f t="shared" si="218"/>
        <v>131</v>
      </c>
      <c r="AJ734" s="993">
        <f t="shared" si="219"/>
        <v>0.91736694677871145</v>
      </c>
    </row>
    <row r="735" spans="1:36" ht="16.5" customHeight="1">
      <c r="A735" s="999">
        <f>'09월 조업일지'!A733</f>
        <v>46292</v>
      </c>
      <c r="B735" s="1099">
        <f>'09월 조업일지'!B733</f>
        <v>46292</v>
      </c>
      <c r="C735" s="1000" t="str">
        <f>'09월 화학성분'!D733</f>
        <v>B</v>
      </c>
      <c r="D735" s="1000" t="str">
        <f>'09월 화학성분'!E733</f>
        <v>B</v>
      </c>
      <c r="E735" s="1000">
        <f>'09월 화학성분'!C733</f>
        <v>85935</v>
      </c>
      <c r="F735" s="1104" t="s">
        <v>1017</v>
      </c>
      <c r="G735" s="1172">
        <v>19.2</v>
      </c>
      <c r="H735" s="985">
        <v>22600</v>
      </c>
      <c r="I735" s="1173">
        <v>16.8</v>
      </c>
      <c r="J735" s="985">
        <v>20500</v>
      </c>
      <c r="K735" s="1173">
        <v>9.6</v>
      </c>
      <c r="L735" s="985">
        <v>12500</v>
      </c>
      <c r="M735" s="1174">
        <f t="shared" si="206"/>
        <v>45.6</v>
      </c>
      <c r="N735" s="984">
        <f t="shared" si="207"/>
        <v>55600</v>
      </c>
      <c r="O735" s="986">
        <f t="shared" si="208"/>
        <v>165.20467836257308</v>
      </c>
      <c r="P735" s="987">
        <f t="shared" si="209"/>
        <v>149.85380116959064</v>
      </c>
      <c r="Q735" s="987">
        <f t="shared" si="210"/>
        <v>91.37426900584795</v>
      </c>
      <c r="R735" s="988">
        <f t="shared" si="211"/>
        <v>406.43274853801165</v>
      </c>
      <c r="S735" s="989">
        <v>136.80000000000001</v>
      </c>
      <c r="T735" s="990">
        <v>0</v>
      </c>
      <c r="U735" s="991">
        <v>0</v>
      </c>
      <c r="V735" s="991">
        <v>360</v>
      </c>
      <c r="W735" s="992">
        <f t="shared" si="212"/>
        <v>360</v>
      </c>
      <c r="X735" s="993">
        <f t="shared" si="213"/>
        <v>2.6315789473684208</v>
      </c>
      <c r="Y735" s="990">
        <v>1547</v>
      </c>
      <c r="Z735" s="991">
        <v>1370</v>
      </c>
      <c r="AA735" s="991">
        <v>890</v>
      </c>
      <c r="AB735" s="992">
        <f t="shared" si="214"/>
        <v>3807</v>
      </c>
      <c r="AC735" s="993">
        <f t="shared" si="215"/>
        <v>27.828947368421051</v>
      </c>
      <c r="AD735" s="994">
        <f t="shared" si="216"/>
        <v>4167</v>
      </c>
      <c r="AE735" s="995">
        <f t="shared" si="217"/>
        <v>30.460526315789473</v>
      </c>
      <c r="AF735" s="996">
        <v>83</v>
      </c>
      <c r="AG735" s="997">
        <v>62</v>
      </c>
      <c r="AH735" s="997">
        <v>7</v>
      </c>
      <c r="AI735" s="998">
        <f t="shared" si="218"/>
        <v>152</v>
      </c>
      <c r="AJ735" s="993">
        <f t="shared" si="219"/>
        <v>1.1111111111111109</v>
      </c>
    </row>
    <row r="736" spans="1:36" ht="16.5" customHeight="1">
      <c r="A736" s="999">
        <f>'09월 조업일지'!A734</f>
        <v>46292</v>
      </c>
      <c r="B736" s="1099">
        <f>'09월 조업일지'!B734</f>
        <v>46292</v>
      </c>
      <c r="C736" s="1000" t="str">
        <f>'09월 화학성분'!D734</f>
        <v>B</v>
      </c>
      <c r="D736" s="1000" t="str">
        <f>'09월 화학성분'!E734</f>
        <v>A</v>
      </c>
      <c r="E736" s="1000">
        <f>'09월 화학성분'!C734</f>
        <v>85936</v>
      </c>
      <c r="F736" s="1001" t="str">
        <f t="shared" si="205"/>
        <v>SHP275(BB)</v>
      </c>
      <c r="G736" s="1172">
        <v>18.3</v>
      </c>
      <c r="H736" s="985">
        <v>21900</v>
      </c>
      <c r="I736" s="1173">
        <v>17</v>
      </c>
      <c r="J736" s="985">
        <v>21000</v>
      </c>
      <c r="K736" s="1173">
        <v>9.1999999999999993</v>
      </c>
      <c r="L736" s="985">
        <v>11600</v>
      </c>
      <c r="M736" s="1174">
        <f t="shared" si="206"/>
        <v>44.5</v>
      </c>
      <c r="N736" s="984">
        <f t="shared" si="207"/>
        <v>54500</v>
      </c>
      <c r="O736" s="986">
        <f t="shared" si="208"/>
        <v>154.22535211267606</v>
      </c>
      <c r="P736" s="987">
        <f t="shared" si="209"/>
        <v>147.88732394366198</v>
      </c>
      <c r="Q736" s="987">
        <f t="shared" si="210"/>
        <v>81.690140845070417</v>
      </c>
      <c r="R736" s="988">
        <f t="shared" si="211"/>
        <v>383.80281690140845</v>
      </c>
      <c r="S736" s="989">
        <v>142</v>
      </c>
      <c r="T736" s="990">
        <v>0</v>
      </c>
      <c r="U736" s="991">
        <v>98</v>
      </c>
      <c r="V736" s="991">
        <v>278</v>
      </c>
      <c r="W736" s="992">
        <f t="shared" si="212"/>
        <v>376</v>
      </c>
      <c r="X736" s="993">
        <f t="shared" si="213"/>
        <v>2.647887323943662</v>
      </c>
      <c r="Y736" s="990">
        <v>1465</v>
      </c>
      <c r="Z736" s="991">
        <v>1416</v>
      </c>
      <c r="AA736" s="991">
        <v>808</v>
      </c>
      <c r="AB736" s="992">
        <f t="shared" si="214"/>
        <v>3689</v>
      </c>
      <c r="AC736" s="993">
        <f t="shared" si="215"/>
        <v>25.97887323943662</v>
      </c>
      <c r="AD736" s="994">
        <f t="shared" si="216"/>
        <v>4065</v>
      </c>
      <c r="AE736" s="995">
        <f t="shared" si="217"/>
        <v>28.62676056338028</v>
      </c>
      <c r="AF736" s="996">
        <v>72</v>
      </c>
      <c r="AG736" s="997">
        <v>55</v>
      </c>
      <c r="AH736" s="997">
        <v>4</v>
      </c>
      <c r="AI736" s="998">
        <f t="shared" si="218"/>
        <v>131</v>
      </c>
      <c r="AJ736" s="993">
        <f t="shared" si="219"/>
        <v>0.92253521126760563</v>
      </c>
    </row>
    <row r="737" spans="1:36" ht="16.5" customHeight="1">
      <c r="A737" s="999">
        <f>'09월 조업일지'!A735</f>
        <v>46292</v>
      </c>
      <c r="B737" s="1099">
        <f>'09월 조업일지'!B735</f>
        <v>46292</v>
      </c>
      <c r="C737" s="1000" t="str">
        <f>'09월 화학성분'!D735</f>
        <v>B</v>
      </c>
      <c r="D737" s="1000" t="str">
        <f>'09월 화학성분'!E735</f>
        <v>B</v>
      </c>
      <c r="E737" s="1000">
        <f>'09월 화학성분'!C735</f>
        <v>85937</v>
      </c>
      <c r="F737" s="1001" t="str">
        <f t="shared" si="205"/>
        <v>SHP275(BB)</v>
      </c>
      <c r="G737" s="1172">
        <v>19.3</v>
      </c>
      <c r="H737" s="985">
        <v>24000</v>
      </c>
      <c r="I737" s="1173">
        <v>16.600000000000001</v>
      </c>
      <c r="J737" s="985">
        <v>20400</v>
      </c>
      <c r="K737" s="1173">
        <v>12.5</v>
      </c>
      <c r="L737" s="985">
        <v>15800</v>
      </c>
      <c r="M737" s="1174">
        <f t="shared" si="206"/>
        <v>48.400000000000006</v>
      </c>
      <c r="N737" s="984">
        <f t="shared" si="207"/>
        <v>60200</v>
      </c>
      <c r="O737" s="986">
        <f t="shared" si="208"/>
        <v>171.91977077363899</v>
      </c>
      <c r="P737" s="987">
        <f t="shared" si="209"/>
        <v>146.13180515759313</v>
      </c>
      <c r="Q737" s="987">
        <f t="shared" si="210"/>
        <v>113.18051575931233</v>
      </c>
      <c r="R737" s="988">
        <f t="shared" si="211"/>
        <v>431.23209169054451</v>
      </c>
      <c r="S737" s="989">
        <v>139.6</v>
      </c>
      <c r="T737" s="990">
        <v>0</v>
      </c>
      <c r="U737" s="991">
        <v>71</v>
      </c>
      <c r="V737" s="991">
        <v>356</v>
      </c>
      <c r="W737" s="992">
        <f t="shared" si="212"/>
        <v>427</v>
      </c>
      <c r="X737" s="993">
        <f t="shared" si="213"/>
        <v>3.0587392550143266</v>
      </c>
      <c r="Y737" s="990">
        <v>1604</v>
      </c>
      <c r="Z737" s="991">
        <v>1366</v>
      </c>
      <c r="AA737" s="991">
        <v>1390</v>
      </c>
      <c r="AB737" s="992">
        <f t="shared" si="214"/>
        <v>4360</v>
      </c>
      <c r="AC737" s="993">
        <f t="shared" si="215"/>
        <v>31.232091690544415</v>
      </c>
      <c r="AD737" s="994">
        <f t="shared" si="216"/>
        <v>4787</v>
      </c>
      <c r="AE737" s="995">
        <f t="shared" si="217"/>
        <v>34.290830945558739</v>
      </c>
      <c r="AF737" s="996">
        <v>81</v>
      </c>
      <c r="AG737" s="997">
        <v>62</v>
      </c>
      <c r="AH737" s="997">
        <v>14</v>
      </c>
      <c r="AI737" s="998">
        <f t="shared" si="218"/>
        <v>157</v>
      </c>
      <c r="AJ737" s="993">
        <f t="shared" si="219"/>
        <v>1.1246418338108883</v>
      </c>
    </row>
    <row r="738" spans="1:36" ht="16.5" customHeight="1">
      <c r="A738" s="999">
        <f>'09월 조업일지'!A736</f>
        <v>46292</v>
      </c>
      <c r="B738" s="1099">
        <f>'09월 조업일지'!B736</f>
        <v>46292</v>
      </c>
      <c r="C738" s="1000" t="str">
        <f>'09월 화학성분'!D736</f>
        <v>B</v>
      </c>
      <c r="D738" s="1000" t="str">
        <f>'09월 화학성분'!E736</f>
        <v>A</v>
      </c>
      <c r="E738" s="1000">
        <f>'09월 화학성분'!C736</f>
        <v>85938</v>
      </c>
      <c r="F738" s="1001" t="str">
        <f t="shared" si="205"/>
        <v>SHP275(BB)</v>
      </c>
      <c r="G738" s="1172">
        <v>20.9</v>
      </c>
      <c r="H738" s="985">
        <v>24600</v>
      </c>
      <c r="I738" s="1173">
        <v>17.7</v>
      </c>
      <c r="J738" s="985">
        <v>21000</v>
      </c>
      <c r="K738" s="1173">
        <v>9.4</v>
      </c>
      <c r="L738" s="985">
        <v>11900</v>
      </c>
      <c r="M738" s="1174">
        <f t="shared" si="206"/>
        <v>47.999999999999993</v>
      </c>
      <c r="N738" s="984">
        <f t="shared" si="207"/>
        <v>57500</v>
      </c>
      <c r="O738" s="986">
        <f t="shared" si="208"/>
        <v>172.63157894736841</v>
      </c>
      <c r="P738" s="987">
        <f t="shared" si="209"/>
        <v>147.36842105263159</v>
      </c>
      <c r="Q738" s="987">
        <f t="shared" si="210"/>
        <v>83.508771929824562</v>
      </c>
      <c r="R738" s="988">
        <f t="shared" si="211"/>
        <v>403.50877192982455</v>
      </c>
      <c r="S738" s="989">
        <v>142.5</v>
      </c>
      <c r="T738" s="990">
        <v>0</v>
      </c>
      <c r="U738" s="991">
        <v>157</v>
      </c>
      <c r="V738" s="991">
        <v>194</v>
      </c>
      <c r="W738" s="992">
        <f t="shared" si="212"/>
        <v>351</v>
      </c>
      <c r="X738" s="993">
        <f t="shared" si="213"/>
        <v>2.4631578947368422</v>
      </c>
      <c r="Y738" s="990">
        <v>1754</v>
      </c>
      <c r="Z738" s="991">
        <v>1437</v>
      </c>
      <c r="AA738" s="991">
        <v>634</v>
      </c>
      <c r="AB738" s="992">
        <f t="shared" si="214"/>
        <v>3825</v>
      </c>
      <c r="AC738" s="993">
        <f t="shared" si="215"/>
        <v>26.842105263157894</v>
      </c>
      <c r="AD738" s="994">
        <f t="shared" si="216"/>
        <v>4176</v>
      </c>
      <c r="AE738" s="995">
        <f t="shared" si="217"/>
        <v>29.305263157894736</v>
      </c>
      <c r="AF738" s="996">
        <v>75</v>
      </c>
      <c r="AG738" s="997">
        <v>59</v>
      </c>
      <c r="AH738" s="997">
        <v>3</v>
      </c>
      <c r="AI738" s="998">
        <f t="shared" si="218"/>
        <v>137</v>
      </c>
      <c r="AJ738" s="993">
        <f t="shared" si="219"/>
        <v>0.96140350877192982</v>
      </c>
    </row>
    <row r="739" spans="1:36" ht="16.5" customHeight="1">
      <c r="A739" s="999">
        <f>'09월 조업일지'!A737</f>
        <v>46292</v>
      </c>
      <c r="B739" s="1099">
        <f>'09월 조업일지'!B737</f>
        <v>46292</v>
      </c>
      <c r="C739" s="1000" t="str">
        <f>'09월 화학성분'!D737</f>
        <v>D</v>
      </c>
      <c r="D739" s="1000" t="str">
        <f>'09월 화학성분'!E737</f>
        <v>B</v>
      </c>
      <c r="E739" s="1000">
        <f>'09월 화학성분'!C737</f>
        <v>85939</v>
      </c>
      <c r="F739" s="1104" t="s">
        <v>786</v>
      </c>
      <c r="G739" s="1172">
        <v>19</v>
      </c>
      <c r="H739" s="985">
        <v>22700</v>
      </c>
      <c r="I739" s="1173">
        <v>16.5</v>
      </c>
      <c r="J739" s="985">
        <v>20600</v>
      </c>
      <c r="K739" s="1173">
        <v>10</v>
      </c>
      <c r="L739" s="985">
        <v>12500</v>
      </c>
      <c r="M739" s="1174">
        <f t="shared" si="206"/>
        <v>45.5</v>
      </c>
      <c r="N739" s="984">
        <f t="shared" si="207"/>
        <v>55800</v>
      </c>
      <c r="O739" s="986">
        <f t="shared" si="208"/>
        <v>156.76795580110496</v>
      </c>
      <c r="P739" s="987">
        <f t="shared" si="209"/>
        <v>142.26519337016575</v>
      </c>
      <c r="Q739" s="987">
        <f t="shared" si="210"/>
        <v>86.325966850828721</v>
      </c>
      <c r="R739" s="988">
        <f t="shared" si="211"/>
        <v>385.35911602209939</v>
      </c>
      <c r="S739" s="989">
        <v>144.80000000000001</v>
      </c>
      <c r="T739" s="990">
        <v>0</v>
      </c>
      <c r="U739" s="991">
        <v>0</v>
      </c>
      <c r="V739" s="991">
        <v>345</v>
      </c>
      <c r="W739" s="992">
        <f t="shared" si="212"/>
        <v>345</v>
      </c>
      <c r="X739" s="993">
        <f t="shared" si="213"/>
        <v>2.3825966850828726</v>
      </c>
      <c r="Y739" s="990">
        <v>1533</v>
      </c>
      <c r="Z739" s="991">
        <v>1371</v>
      </c>
      <c r="AA739" s="991">
        <v>829</v>
      </c>
      <c r="AB739" s="992">
        <f t="shared" si="214"/>
        <v>3733</v>
      </c>
      <c r="AC739" s="993">
        <f t="shared" si="215"/>
        <v>25.78038674033149</v>
      </c>
      <c r="AD739" s="994">
        <f t="shared" si="216"/>
        <v>4078</v>
      </c>
      <c r="AE739" s="995">
        <f t="shared" si="217"/>
        <v>28.162983425414364</v>
      </c>
      <c r="AF739" s="996">
        <v>83</v>
      </c>
      <c r="AG739" s="997">
        <v>62</v>
      </c>
      <c r="AH739" s="997">
        <v>7</v>
      </c>
      <c r="AI739" s="998">
        <f t="shared" si="218"/>
        <v>152</v>
      </c>
      <c r="AJ739" s="993">
        <f t="shared" si="219"/>
        <v>1.0497237569060773</v>
      </c>
    </row>
    <row r="740" spans="1:36" ht="16.5" customHeight="1">
      <c r="A740" s="999">
        <f>'09월 조업일지'!A738</f>
        <v>46292</v>
      </c>
      <c r="B740" s="1099">
        <f>'09월 조업일지'!B738</f>
        <v>46292</v>
      </c>
      <c r="C740" s="1000" t="str">
        <f>'09월 화학성분'!D738</f>
        <v>D</v>
      </c>
      <c r="D740" s="1000" t="str">
        <f>'09월 화학성분'!E738</f>
        <v>A</v>
      </c>
      <c r="E740" s="1000">
        <f>'09월 화학성분'!C738</f>
        <v>85940</v>
      </c>
      <c r="F740" s="1001" t="str">
        <f t="shared" si="205"/>
        <v>SS400-01</v>
      </c>
      <c r="G740" s="1172">
        <v>18.8</v>
      </c>
      <c r="H740" s="985">
        <v>22400</v>
      </c>
      <c r="I740" s="1173">
        <v>16.899999999999999</v>
      </c>
      <c r="J740" s="985">
        <v>20800</v>
      </c>
      <c r="K740" s="1173">
        <v>11.3</v>
      </c>
      <c r="L740" s="985">
        <v>14200</v>
      </c>
      <c r="M740" s="1174">
        <f t="shared" si="206"/>
        <v>47</v>
      </c>
      <c r="N740" s="984">
        <f t="shared" si="207"/>
        <v>57400</v>
      </c>
      <c r="O740" s="986">
        <f t="shared" si="208"/>
        <v>155.12465373961217</v>
      </c>
      <c r="P740" s="987">
        <f t="shared" si="209"/>
        <v>144.04432132963987</v>
      </c>
      <c r="Q740" s="987">
        <f t="shared" si="210"/>
        <v>98.337950138504155</v>
      </c>
      <c r="R740" s="988">
        <f t="shared" si="211"/>
        <v>397.50692520775618</v>
      </c>
      <c r="S740" s="989">
        <v>144.4</v>
      </c>
      <c r="T740" s="990">
        <v>0</v>
      </c>
      <c r="U740" s="991">
        <v>39</v>
      </c>
      <c r="V740" s="991">
        <v>303</v>
      </c>
      <c r="W740" s="992">
        <f t="shared" si="212"/>
        <v>342</v>
      </c>
      <c r="X740" s="993">
        <f t="shared" si="213"/>
        <v>2.3684210526315788</v>
      </c>
      <c r="Y740" s="990">
        <v>1515</v>
      </c>
      <c r="Z740" s="991">
        <v>1410</v>
      </c>
      <c r="AA740" s="991">
        <v>807</v>
      </c>
      <c r="AB740" s="992">
        <f t="shared" si="214"/>
        <v>3732</v>
      </c>
      <c r="AC740" s="993">
        <f t="shared" si="215"/>
        <v>25.844875346260388</v>
      </c>
      <c r="AD740" s="994">
        <f t="shared" si="216"/>
        <v>4074</v>
      </c>
      <c r="AE740" s="995">
        <f t="shared" si="217"/>
        <v>28.213296398891966</v>
      </c>
      <c r="AF740" s="996">
        <v>73</v>
      </c>
      <c r="AG740" s="997">
        <v>55</v>
      </c>
      <c r="AH740" s="997">
        <v>3</v>
      </c>
      <c r="AI740" s="998">
        <f t="shared" si="218"/>
        <v>131</v>
      </c>
      <c r="AJ740" s="993">
        <f t="shared" si="219"/>
        <v>0.90720221606648199</v>
      </c>
    </row>
    <row r="741" spans="1:36" ht="16.5" customHeight="1">
      <c r="A741" s="999">
        <f>'09월 조업일지'!A739</f>
        <v>46292</v>
      </c>
      <c r="B741" s="1099">
        <f>'09월 조업일지'!B739</f>
        <v>46292</v>
      </c>
      <c r="C741" s="1000" t="str">
        <f>'09월 화학성분'!D739</f>
        <v>D</v>
      </c>
      <c r="D741" s="1000" t="str">
        <f>'09월 화학성분'!E739</f>
        <v>B</v>
      </c>
      <c r="E741" s="1000">
        <f>'09월 화학성분'!C739</f>
        <v>85941</v>
      </c>
      <c r="F741" s="1001" t="str">
        <f t="shared" si="205"/>
        <v>SS400-01</v>
      </c>
      <c r="G741" s="1172">
        <v>18</v>
      </c>
      <c r="H741" s="985">
        <v>22300</v>
      </c>
      <c r="I741" s="1173">
        <v>16.5</v>
      </c>
      <c r="J741" s="985">
        <v>20500</v>
      </c>
      <c r="K741" s="1173">
        <v>13.2</v>
      </c>
      <c r="L741" s="985">
        <v>16400</v>
      </c>
      <c r="M741" s="1174">
        <f t="shared" si="206"/>
        <v>47.7</v>
      </c>
      <c r="N741" s="984">
        <f t="shared" si="207"/>
        <v>59200</v>
      </c>
      <c r="O741" s="986">
        <f t="shared" si="208"/>
        <v>152.53077975376198</v>
      </c>
      <c r="P741" s="987">
        <f t="shared" si="209"/>
        <v>140.21887824897402</v>
      </c>
      <c r="Q741" s="987">
        <f t="shared" si="210"/>
        <v>112.17510259917921</v>
      </c>
      <c r="R741" s="988">
        <f t="shared" si="211"/>
        <v>404.92476060191518</v>
      </c>
      <c r="S741" s="989">
        <v>146.19999999999999</v>
      </c>
      <c r="T741" s="990">
        <v>0</v>
      </c>
      <c r="U741" s="991">
        <v>0</v>
      </c>
      <c r="V741" s="991">
        <v>370</v>
      </c>
      <c r="W741" s="992">
        <f t="shared" si="212"/>
        <v>370</v>
      </c>
      <c r="X741" s="993">
        <f t="shared" si="213"/>
        <v>2.5307797537619701</v>
      </c>
      <c r="Y741" s="990">
        <v>1481</v>
      </c>
      <c r="Z741" s="991">
        <v>1370</v>
      </c>
      <c r="AA741" s="991">
        <v>917</v>
      </c>
      <c r="AB741" s="992">
        <f t="shared" si="214"/>
        <v>3768</v>
      </c>
      <c r="AC741" s="993">
        <f t="shared" si="215"/>
        <v>25.772913816689467</v>
      </c>
      <c r="AD741" s="994">
        <f t="shared" si="216"/>
        <v>4138</v>
      </c>
      <c r="AE741" s="995">
        <f t="shared" si="217"/>
        <v>28.30369357045144</v>
      </c>
      <c r="AF741" s="996">
        <v>78</v>
      </c>
      <c r="AG741" s="997">
        <v>65</v>
      </c>
      <c r="AH741" s="997">
        <v>8</v>
      </c>
      <c r="AI741" s="998">
        <f t="shared" si="218"/>
        <v>151</v>
      </c>
      <c r="AJ741" s="993">
        <f t="shared" si="219"/>
        <v>1.0328317373461013</v>
      </c>
    </row>
    <row r="742" spans="1:36" ht="16.5" customHeight="1">
      <c r="A742" s="999">
        <f>'09월 조업일지'!A740</f>
        <v>46292</v>
      </c>
      <c r="B742" s="1099">
        <f>'09월 조업일지'!B740</f>
        <v>46292</v>
      </c>
      <c r="C742" s="1000" t="str">
        <f>'09월 화학성분'!D740</f>
        <v>D</v>
      </c>
      <c r="D742" s="1000" t="str">
        <f>'09월 화학성분'!E740</f>
        <v>A</v>
      </c>
      <c r="E742" s="1000">
        <f>'09월 화학성분'!C740</f>
        <v>85942</v>
      </c>
      <c r="F742" s="1001" t="str">
        <f t="shared" si="205"/>
        <v>SS400-01</v>
      </c>
      <c r="G742" s="1172">
        <v>18.399999999999999</v>
      </c>
      <c r="H742" s="985">
        <v>22300</v>
      </c>
      <c r="I742" s="1173">
        <v>17.600000000000001</v>
      </c>
      <c r="J742" s="985">
        <v>20700</v>
      </c>
      <c r="K742" s="1173">
        <v>9.6999999999999993</v>
      </c>
      <c r="L742" s="985">
        <v>12200</v>
      </c>
      <c r="M742" s="1174">
        <f t="shared" si="206"/>
        <v>45.7</v>
      </c>
      <c r="N742" s="984">
        <f t="shared" si="207"/>
        <v>55200</v>
      </c>
      <c r="O742" s="986">
        <f t="shared" si="208"/>
        <v>155.07649513212795</v>
      </c>
      <c r="P742" s="987">
        <f t="shared" si="209"/>
        <v>143.94993045897078</v>
      </c>
      <c r="Q742" s="987">
        <f t="shared" si="210"/>
        <v>84.840055632823365</v>
      </c>
      <c r="R742" s="988">
        <f t="shared" si="211"/>
        <v>383.86648122392205</v>
      </c>
      <c r="S742" s="989">
        <v>143.80000000000001</v>
      </c>
      <c r="T742" s="990">
        <v>0</v>
      </c>
      <c r="U742" s="991">
        <v>38</v>
      </c>
      <c r="V742" s="991">
        <v>302</v>
      </c>
      <c r="W742" s="992">
        <f t="shared" si="212"/>
        <v>340</v>
      </c>
      <c r="X742" s="993">
        <f t="shared" si="213"/>
        <v>2.364394993045897</v>
      </c>
      <c r="Y742" s="990">
        <v>1504</v>
      </c>
      <c r="Z742" s="991">
        <v>1428</v>
      </c>
      <c r="AA742" s="991">
        <v>748</v>
      </c>
      <c r="AB742" s="992">
        <f t="shared" si="214"/>
        <v>3680</v>
      </c>
      <c r="AC742" s="993">
        <f t="shared" si="215"/>
        <v>25.591098748261473</v>
      </c>
      <c r="AD742" s="994">
        <f t="shared" si="216"/>
        <v>4020</v>
      </c>
      <c r="AE742" s="995">
        <f t="shared" si="217"/>
        <v>27.955493741307368</v>
      </c>
      <c r="AF742" s="996">
        <v>71</v>
      </c>
      <c r="AG742" s="997">
        <v>60</v>
      </c>
      <c r="AH742" s="997">
        <v>4</v>
      </c>
      <c r="AI742" s="998">
        <f t="shared" si="218"/>
        <v>135</v>
      </c>
      <c r="AJ742" s="993">
        <f t="shared" si="219"/>
        <v>0.93880389429763555</v>
      </c>
    </row>
    <row r="743" spans="1:36" ht="16.5" customHeight="1">
      <c r="A743" s="999">
        <f>'09월 조업일지'!A741</f>
        <v>46292</v>
      </c>
      <c r="B743" s="1099">
        <f>'09월 조업일지'!B741</f>
        <v>46292</v>
      </c>
      <c r="C743" s="1000" t="str">
        <f>'09월 화학성분'!D741</f>
        <v>D</v>
      </c>
      <c r="D743" s="1000" t="str">
        <f>'09월 화학성분'!E741</f>
        <v>B</v>
      </c>
      <c r="E743" s="1000">
        <f>'09월 화학성분'!C741</f>
        <v>85943</v>
      </c>
      <c r="F743" s="1001" t="str">
        <f t="shared" si="205"/>
        <v>SS400-01</v>
      </c>
      <c r="G743" s="1172">
        <v>18.399999999999999</v>
      </c>
      <c r="H743" s="985">
        <v>22300</v>
      </c>
      <c r="I743" s="1173">
        <v>16.5</v>
      </c>
      <c r="J743" s="985">
        <v>20600</v>
      </c>
      <c r="K743" s="1173">
        <v>8.6999999999999993</v>
      </c>
      <c r="L743" s="985">
        <v>11100</v>
      </c>
      <c r="M743" s="1174">
        <f t="shared" si="206"/>
        <v>43.599999999999994</v>
      </c>
      <c r="N743" s="984">
        <f t="shared" si="207"/>
        <v>54000</v>
      </c>
      <c r="O743" s="986">
        <f t="shared" si="208"/>
        <v>154.32525951557093</v>
      </c>
      <c r="P743" s="987">
        <f t="shared" si="209"/>
        <v>142.56055363321801</v>
      </c>
      <c r="Q743" s="987">
        <f t="shared" si="210"/>
        <v>76.816608996539799</v>
      </c>
      <c r="R743" s="988">
        <f t="shared" si="211"/>
        <v>373.70242214532874</v>
      </c>
      <c r="S743" s="989">
        <v>144.5</v>
      </c>
      <c r="T743" s="990">
        <v>0</v>
      </c>
      <c r="U743" s="991">
        <v>0</v>
      </c>
      <c r="V743" s="991">
        <v>378</v>
      </c>
      <c r="W743" s="992">
        <f t="shared" si="212"/>
        <v>378</v>
      </c>
      <c r="X743" s="993">
        <f t="shared" si="213"/>
        <v>2.6159169550173011</v>
      </c>
      <c r="Y743" s="990">
        <v>1514</v>
      </c>
      <c r="Z743" s="991">
        <v>1388</v>
      </c>
      <c r="AA743" s="991">
        <v>834</v>
      </c>
      <c r="AB743" s="992">
        <f t="shared" si="214"/>
        <v>3736</v>
      </c>
      <c r="AC743" s="993">
        <f t="shared" si="215"/>
        <v>25.854671280276818</v>
      </c>
      <c r="AD743" s="994">
        <f t="shared" si="216"/>
        <v>4114</v>
      </c>
      <c r="AE743" s="995">
        <f t="shared" si="217"/>
        <v>28.470588235294116</v>
      </c>
      <c r="AF743" s="996">
        <v>78</v>
      </c>
      <c r="AG743" s="997">
        <v>66</v>
      </c>
      <c r="AH743" s="997">
        <v>7</v>
      </c>
      <c r="AI743" s="998">
        <f t="shared" si="218"/>
        <v>151</v>
      </c>
      <c r="AJ743" s="993">
        <f t="shared" si="219"/>
        <v>1.0449826989619377</v>
      </c>
    </row>
    <row r="744" spans="1:36" ht="16.5" customHeight="1">
      <c r="A744" s="999">
        <f>'09월 조업일지'!A742</f>
        <v>46292</v>
      </c>
      <c r="B744" s="1099">
        <f>'09월 조업일지'!B742</f>
        <v>46292</v>
      </c>
      <c r="C744" s="1000" t="str">
        <f>'09월 화학성분'!D742</f>
        <v>D</v>
      </c>
      <c r="D744" s="1000" t="str">
        <f>'09월 화학성분'!E742</f>
        <v>A</v>
      </c>
      <c r="E744" s="1000">
        <f>'09월 화학성분'!C742</f>
        <v>85944</v>
      </c>
      <c r="F744" s="1001" t="str">
        <f t="shared" si="205"/>
        <v>SS400-01</v>
      </c>
      <c r="G744" s="1172">
        <v>19.600000000000001</v>
      </c>
      <c r="H744" s="985">
        <v>23300</v>
      </c>
      <c r="I744" s="1173">
        <v>18.2</v>
      </c>
      <c r="J744" s="985">
        <v>21100</v>
      </c>
      <c r="K744" s="1173">
        <v>9.3000000000000007</v>
      </c>
      <c r="L744" s="985">
        <v>11700</v>
      </c>
      <c r="M744" s="1174">
        <f t="shared" si="206"/>
        <v>47.099999999999994</v>
      </c>
      <c r="N744" s="984">
        <f t="shared" si="207"/>
        <v>56100</v>
      </c>
      <c r="O744" s="986">
        <f t="shared" si="208"/>
        <v>159.58904109589042</v>
      </c>
      <c r="P744" s="987">
        <f t="shared" si="209"/>
        <v>144.52054794520549</v>
      </c>
      <c r="Q744" s="987">
        <f t="shared" si="210"/>
        <v>80.136986301369859</v>
      </c>
      <c r="R744" s="988">
        <f t="shared" si="211"/>
        <v>384.24657534246575</v>
      </c>
      <c r="S744" s="989">
        <v>146</v>
      </c>
      <c r="T744" s="990">
        <v>0</v>
      </c>
      <c r="U744" s="991">
        <v>0</v>
      </c>
      <c r="V744" s="991">
        <v>337</v>
      </c>
      <c r="W744" s="992">
        <f t="shared" si="212"/>
        <v>337</v>
      </c>
      <c r="X744" s="993">
        <f t="shared" si="213"/>
        <v>2.3082191780821919</v>
      </c>
      <c r="Y744" s="990">
        <v>1611</v>
      </c>
      <c r="Z744" s="991">
        <v>1383</v>
      </c>
      <c r="AA744" s="991">
        <v>692</v>
      </c>
      <c r="AB744" s="992">
        <f t="shared" si="214"/>
        <v>3686</v>
      </c>
      <c r="AC744" s="993">
        <f t="shared" si="215"/>
        <v>25.246575342465754</v>
      </c>
      <c r="AD744" s="994">
        <f t="shared" si="216"/>
        <v>4023</v>
      </c>
      <c r="AE744" s="995">
        <f t="shared" si="217"/>
        <v>27.554794520547944</v>
      </c>
      <c r="AF744" s="996">
        <v>74</v>
      </c>
      <c r="AG744" s="997">
        <v>51</v>
      </c>
      <c r="AH744" s="997">
        <v>3</v>
      </c>
      <c r="AI744" s="998">
        <f t="shared" si="218"/>
        <v>128</v>
      </c>
      <c r="AJ744" s="993">
        <f t="shared" si="219"/>
        <v>0.87671232876712324</v>
      </c>
    </row>
    <row r="745" spans="1:36" ht="16.5" customHeight="1">
      <c r="A745" s="999">
        <f>'09월 조업일지'!A743</f>
        <v>46292</v>
      </c>
      <c r="B745" s="1099">
        <f>'09월 조업일지'!B743</f>
        <v>46292</v>
      </c>
      <c r="C745" s="1000" t="str">
        <f>'09월 화학성분'!D743</f>
        <v>D</v>
      </c>
      <c r="D745" s="1000" t="str">
        <f>'09월 화학성분'!E743</f>
        <v>B</v>
      </c>
      <c r="E745" s="1000">
        <f>'09월 화학성분'!C743</f>
        <v>85945</v>
      </c>
      <c r="F745" s="1001" t="str">
        <f t="shared" si="205"/>
        <v>SS400-01</v>
      </c>
      <c r="G745" s="1172">
        <v>19.3</v>
      </c>
      <c r="H745" s="985">
        <v>22300</v>
      </c>
      <c r="I745" s="1173">
        <v>16.7</v>
      </c>
      <c r="J745" s="985">
        <v>20500</v>
      </c>
      <c r="K745" s="1173">
        <v>12.9</v>
      </c>
      <c r="L745" s="985">
        <v>16200</v>
      </c>
      <c r="M745" s="1174">
        <f t="shared" si="206"/>
        <v>48.9</v>
      </c>
      <c r="N745" s="984">
        <f t="shared" si="207"/>
        <v>59000</v>
      </c>
      <c r="O745" s="986">
        <f t="shared" si="208"/>
        <v>150.87956698240865</v>
      </c>
      <c r="P745" s="987">
        <f t="shared" si="209"/>
        <v>138.70094722598105</v>
      </c>
      <c r="Q745" s="987">
        <f t="shared" si="210"/>
        <v>109.60757780784843</v>
      </c>
      <c r="R745" s="988">
        <f t="shared" si="211"/>
        <v>399.1880920162381</v>
      </c>
      <c r="S745" s="989">
        <v>147.80000000000001</v>
      </c>
      <c r="T745" s="990">
        <v>0</v>
      </c>
      <c r="U745" s="991">
        <v>0</v>
      </c>
      <c r="V745" s="991">
        <v>330</v>
      </c>
      <c r="W745" s="992">
        <f t="shared" si="212"/>
        <v>330</v>
      </c>
      <c r="X745" s="993">
        <f t="shared" si="213"/>
        <v>2.2327469553450605</v>
      </c>
      <c r="Y745" s="990">
        <v>1515</v>
      </c>
      <c r="Z745" s="991">
        <v>1398</v>
      </c>
      <c r="AA745" s="991">
        <v>1019</v>
      </c>
      <c r="AB745" s="992">
        <f t="shared" si="214"/>
        <v>3932</v>
      </c>
      <c r="AC745" s="993">
        <f t="shared" si="215"/>
        <v>26.603518267929633</v>
      </c>
      <c r="AD745" s="994">
        <f t="shared" si="216"/>
        <v>4262</v>
      </c>
      <c r="AE745" s="995">
        <f t="shared" si="217"/>
        <v>28.836265223274694</v>
      </c>
      <c r="AF745" s="996">
        <v>84</v>
      </c>
      <c r="AG745" s="997">
        <v>64</v>
      </c>
      <c r="AH745" s="997">
        <v>9</v>
      </c>
      <c r="AI745" s="998">
        <f t="shared" si="218"/>
        <v>157</v>
      </c>
      <c r="AJ745" s="993">
        <f t="shared" si="219"/>
        <v>1.0622462787550744</v>
      </c>
    </row>
    <row r="746" spans="1:36" ht="16.5" customHeight="1">
      <c r="A746" s="999">
        <f>'09월 조업일지'!A744</f>
        <v>46292</v>
      </c>
      <c r="B746" s="1099">
        <f>'09월 조업일지'!B744</f>
        <v>46292</v>
      </c>
      <c r="C746" s="1000" t="str">
        <f>'09월 화학성분'!D744</f>
        <v>D</v>
      </c>
      <c r="D746" s="1000" t="str">
        <f>'09월 화학성분'!E744</f>
        <v>A</v>
      </c>
      <c r="E746" s="1000">
        <f>'09월 화학성분'!C744</f>
        <v>85946</v>
      </c>
      <c r="F746" s="1001" t="str">
        <f t="shared" si="205"/>
        <v>SS400-01</v>
      </c>
      <c r="G746" s="1172">
        <v>19.3</v>
      </c>
      <c r="H746" s="985">
        <v>23300</v>
      </c>
      <c r="I746" s="1173">
        <v>16.7</v>
      </c>
      <c r="J746" s="985">
        <v>20800</v>
      </c>
      <c r="K746" s="1173">
        <v>10.4</v>
      </c>
      <c r="L746" s="985">
        <v>13100</v>
      </c>
      <c r="M746" s="1174">
        <f t="shared" si="206"/>
        <v>46.4</v>
      </c>
      <c r="N746" s="984">
        <f t="shared" si="207"/>
        <v>57200</v>
      </c>
      <c r="O746" s="986">
        <f t="shared" si="208"/>
        <v>162.59595254710396</v>
      </c>
      <c r="P746" s="987">
        <f t="shared" si="209"/>
        <v>145.1500348918353</v>
      </c>
      <c r="Q746" s="987">
        <f t="shared" si="210"/>
        <v>91.416608513607812</v>
      </c>
      <c r="R746" s="988">
        <f t="shared" si="211"/>
        <v>399.16259595254706</v>
      </c>
      <c r="S746" s="989">
        <v>143.30000000000001</v>
      </c>
      <c r="T746" s="990">
        <v>0</v>
      </c>
      <c r="U746" s="991">
        <v>23</v>
      </c>
      <c r="V746" s="991">
        <v>321</v>
      </c>
      <c r="W746" s="992">
        <f t="shared" si="212"/>
        <v>344</v>
      </c>
      <c r="X746" s="993">
        <f t="shared" si="213"/>
        <v>2.4005582693649683</v>
      </c>
      <c r="Y746" s="990">
        <v>1603</v>
      </c>
      <c r="Z746" s="991">
        <v>1407</v>
      </c>
      <c r="AA746" s="991">
        <v>755</v>
      </c>
      <c r="AB746" s="992">
        <f t="shared" si="214"/>
        <v>3765</v>
      </c>
      <c r="AC746" s="993">
        <f t="shared" si="215"/>
        <v>26.273551988834612</v>
      </c>
      <c r="AD746" s="994">
        <f t="shared" si="216"/>
        <v>4109</v>
      </c>
      <c r="AE746" s="995">
        <f t="shared" si="217"/>
        <v>28.67411025819958</v>
      </c>
      <c r="AF746" s="996">
        <v>74</v>
      </c>
      <c r="AG746" s="997">
        <v>54</v>
      </c>
      <c r="AH746" s="997">
        <v>4</v>
      </c>
      <c r="AI746" s="998">
        <f t="shared" si="218"/>
        <v>132</v>
      </c>
      <c r="AJ746" s="993">
        <f t="shared" si="219"/>
        <v>0.92114445219818553</v>
      </c>
    </row>
    <row r="747" spans="1:36" ht="16.5" customHeight="1">
      <c r="A747" s="999">
        <f>'09월 조업일지'!A745</f>
        <v>46292</v>
      </c>
      <c r="B747" s="1099">
        <f>'09월 조업일지'!B745</f>
        <v>46292</v>
      </c>
      <c r="C747" s="1000" t="str">
        <f>'09월 화학성분'!D745</f>
        <v>D</v>
      </c>
      <c r="D747" s="1000" t="str">
        <f>'09월 화학성분'!E745</f>
        <v>B</v>
      </c>
      <c r="E747" s="1000">
        <f>'09월 화학성분'!C745</f>
        <v>85947</v>
      </c>
      <c r="F747" s="1001" t="str">
        <f t="shared" si="205"/>
        <v>SS400-01</v>
      </c>
      <c r="G747" s="1172">
        <v>18.600000000000001</v>
      </c>
      <c r="H747" s="985">
        <v>23300</v>
      </c>
      <c r="I747" s="1173">
        <v>17.399999999999999</v>
      </c>
      <c r="J747" s="985">
        <v>20600</v>
      </c>
      <c r="K747" s="1173">
        <v>14.2</v>
      </c>
      <c r="L747" s="985">
        <v>17800</v>
      </c>
      <c r="M747" s="1174">
        <f t="shared" si="206"/>
        <v>50.2</v>
      </c>
      <c r="N747" s="984">
        <f t="shared" si="207"/>
        <v>61700</v>
      </c>
      <c r="O747" s="986">
        <f t="shared" si="208"/>
        <v>162.93706293706293</v>
      </c>
      <c r="P747" s="987">
        <f t="shared" si="209"/>
        <v>144.05594405594405</v>
      </c>
      <c r="Q747" s="987">
        <f t="shared" si="210"/>
        <v>124.47552447552448</v>
      </c>
      <c r="R747" s="988">
        <f t="shared" si="211"/>
        <v>431.46853146853147</v>
      </c>
      <c r="S747" s="989">
        <v>143</v>
      </c>
      <c r="T747" s="990">
        <v>0</v>
      </c>
      <c r="U747" s="991">
        <v>2</v>
      </c>
      <c r="V747" s="991">
        <v>356</v>
      </c>
      <c r="W747" s="992">
        <f t="shared" si="212"/>
        <v>358</v>
      </c>
      <c r="X747" s="993">
        <f t="shared" si="213"/>
        <v>2.5034965034965033</v>
      </c>
      <c r="Y747" s="990">
        <v>1539</v>
      </c>
      <c r="Z747" s="991">
        <v>1419</v>
      </c>
      <c r="AA747" s="991">
        <v>1120</v>
      </c>
      <c r="AB747" s="992">
        <f t="shared" si="214"/>
        <v>4078</v>
      </c>
      <c r="AC747" s="993">
        <f t="shared" si="215"/>
        <v>28.517482517482517</v>
      </c>
      <c r="AD747" s="994">
        <f t="shared" si="216"/>
        <v>4436</v>
      </c>
      <c r="AE747" s="995">
        <f t="shared" si="217"/>
        <v>31.02097902097902</v>
      </c>
      <c r="AF747" s="996">
        <v>79</v>
      </c>
      <c r="AG747" s="997">
        <v>66</v>
      </c>
      <c r="AH747" s="997">
        <v>11</v>
      </c>
      <c r="AI747" s="998">
        <f t="shared" si="218"/>
        <v>156</v>
      </c>
      <c r="AJ747" s="993">
        <f t="shared" si="219"/>
        <v>1.0909090909090908</v>
      </c>
    </row>
    <row r="748" spans="1:36" ht="16.5" customHeight="1">
      <c r="A748" s="999">
        <f>'09월 조업일지'!A746</f>
        <v>46292</v>
      </c>
      <c r="B748" s="1099">
        <f>'09월 조업일지'!B746</f>
        <v>46292</v>
      </c>
      <c r="C748" s="1000" t="str">
        <f>'09월 화학성분'!D746</f>
        <v>D</v>
      </c>
      <c r="D748" s="1000" t="str">
        <f>'09월 화학성분'!E746</f>
        <v>A</v>
      </c>
      <c r="E748" s="1000">
        <f>'09월 화학성분'!C746</f>
        <v>85948</v>
      </c>
      <c r="F748" s="1001" t="str">
        <f t="shared" si="205"/>
        <v>SS400-01</v>
      </c>
      <c r="G748" s="1172">
        <v>18.5</v>
      </c>
      <c r="H748" s="985">
        <v>22400</v>
      </c>
      <c r="I748" s="1173">
        <v>17.100000000000001</v>
      </c>
      <c r="J748" s="985">
        <v>21100</v>
      </c>
      <c r="K748" s="1173">
        <v>10.7</v>
      </c>
      <c r="L748" s="985">
        <v>13500</v>
      </c>
      <c r="M748" s="1174">
        <f t="shared" si="206"/>
        <v>46.3</v>
      </c>
      <c r="N748" s="984">
        <f t="shared" si="207"/>
        <v>57000</v>
      </c>
      <c r="O748" s="986">
        <f t="shared" si="208"/>
        <v>154.69613259668506</v>
      </c>
      <c r="P748" s="987">
        <f t="shared" si="209"/>
        <v>145.71823204419888</v>
      </c>
      <c r="Q748" s="987">
        <f t="shared" si="210"/>
        <v>93.232044198895025</v>
      </c>
      <c r="R748" s="988">
        <f t="shared" si="211"/>
        <v>393.64640883977899</v>
      </c>
      <c r="S748" s="989">
        <v>144.80000000000001</v>
      </c>
      <c r="T748" s="990">
        <v>0</v>
      </c>
      <c r="U748" s="991">
        <v>53</v>
      </c>
      <c r="V748" s="991">
        <v>287</v>
      </c>
      <c r="W748" s="992">
        <f t="shared" si="212"/>
        <v>340</v>
      </c>
      <c r="X748" s="993">
        <f t="shared" si="213"/>
        <v>2.3480662983425411</v>
      </c>
      <c r="Y748" s="990">
        <v>1515</v>
      </c>
      <c r="Z748" s="991">
        <v>1438</v>
      </c>
      <c r="AA748" s="991">
        <v>974</v>
      </c>
      <c r="AB748" s="992">
        <f t="shared" si="214"/>
        <v>3927</v>
      </c>
      <c r="AC748" s="993">
        <f t="shared" si="215"/>
        <v>27.120165745856351</v>
      </c>
      <c r="AD748" s="994">
        <f t="shared" si="216"/>
        <v>4267</v>
      </c>
      <c r="AE748" s="995">
        <f t="shared" si="217"/>
        <v>29.468232044198892</v>
      </c>
      <c r="AF748" s="996">
        <v>73</v>
      </c>
      <c r="AG748" s="997">
        <v>55</v>
      </c>
      <c r="AH748" s="997">
        <v>4</v>
      </c>
      <c r="AI748" s="998">
        <f t="shared" si="218"/>
        <v>132</v>
      </c>
      <c r="AJ748" s="993">
        <f t="shared" si="219"/>
        <v>0.91160220994475127</v>
      </c>
    </row>
    <row r="749" spans="1:36" ht="16.5" customHeight="1">
      <c r="A749" s="999">
        <f>'09월 조업일지'!A747</f>
        <v>46292</v>
      </c>
      <c r="B749" s="1099">
        <f>'09월 조업일지'!B747</f>
        <v>46292</v>
      </c>
      <c r="C749" s="1000" t="str">
        <f>'09월 화학성분'!D747</f>
        <v>A</v>
      </c>
      <c r="D749" s="1000" t="str">
        <f>'09월 화학성분'!E747</f>
        <v>B</v>
      </c>
      <c r="E749" s="1000">
        <f>'09월 화학성분'!C747</f>
        <v>85949</v>
      </c>
      <c r="F749" s="1001" t="str">
        <f t="shared" si="205"/>
        <v>SS400-01</v>
      </c>
      <c r="G749" s="1172">
        <v>18.100000000000001</v>
      </c>
      <c r="H749" s="985">
        <v>21000</v>
      </c>
      <c r="I749" s="1173">
        <v>16.3</v>
      </c>
      <c r="J749" s="985">
        <v>20400</v>
      </c>
      <c r="K749" s="1173">
        <v>12.8</v>
      </c>
      <c r="L749" s="985">
        <v>16400</v>
      </c>
      <c r="M749" s="1174">
        <f t="shared" si="206"/>
        <v>47.2</v>
      </c>
      <c r="N749" s="984">
        <f t="shared" si="207"/>
        <v>57800</v>
      </c>
      <c r="O749" s="986">
        <f t="shared" si="208"/>
        <v>146.75052410901469</v>
      </c>
      <c r="P749" s="987">
        <f t="shared" si="209"/>
        <v>142.55765199161425</v>
      </c>
      <c r="Q749" s="987">
        <f t="shared" si="210"/>
        <v>114.6051712089448</v>
      </c>
      <c r="R749" s="988">
        <f t="shared" si="211"/>
        <v>403.91334730957374</v>
      </c>
      <c r="S749" s="989">
        <v>143.1</v>
      </c>
      <c r="T749" s="990">
        <v>0</v>
      </c>
      <c r="U749" s="991">
        <v>0</v>
      </c>
      <c r="V749" s="991">
        <v>376</v>
      </c>
      <c r="W749" s="992">
        <f t="shared" si="212"/>
        <v>376</v>
      </c>
      <c r="X749" s="993">
        <f t="shared" si="213"/>
        <v>2.6275331935709296</v>
      </c>
      <c r="Y749" s="990">
        <v>1448</v>
      </c>
      <c r="Z749" s="991">
        <v>1350</v>
      </c>
      <c r="AA749" s="991">
        <v>1068</v>
      </c>
      <c r="AB749" s="992">
        <f t="shared" si="214"/>
        <v>3866</v>
      </c>
      <c r="AC749" s="993">
        <f t="shared" si="215"/>
        <v>27.016072676450037</v>
      </c>
      <c r="AD749" s="994">
        <f t="shared" si="216"/>
        <v>4242</v>
      </c>
      <c r="AE749" s="995">
        <f t="shared" si="217"/>
        <v>29.643605870020966</v>
      </c>
      <c r="AF749" s="996">
        <v>82</v>
      </c>
      <c r="AG749" s="997">
        <v>64</v>
      </c>
      <c r="AH749" s="997">
        <v>10</v>
      </c>
      <c r="AI749" s="998">
        <f t="shared" si="218"/>
        <v>156</v>
      </c>
      <c r="AJ749" s="993">
        <f t="shared" si="219"/>
        <v>1.0901467505241091</v>
      </c>
    </row>
    <row r="750" spans="1:36" ht="16.5" customHeight="1">
      <c r="A750" s="999">
        <f>'09월 조업일지'!A748</f>
        <v>46292</v>
      </c>
      <c r="B750" s="1099">
        <f>'09월 조업일지'!B748</f>
        <v>46292</v>
      </c>
      <c r="C750" s="1000" t="str">
        <f>'09월 화학성분'!D748</f>
        <v>A</v>
      </c>
      <c r="D750" s="1000" t="str">
        <f>'09월 화학성분'!E748</f>
        <v>A</v>
      </c>
      <c r="E750" s="1000">
        <f>'09월 화학성분'!C748</f>
        <v>85950</v>
      </c>
      <c r="F750" s="1001" t="str">
        <f t="shared" si="205"/>
        <v>SS400-01</v>
      </c>
      <c r="G750" s="1172">
        <v>19.7</v>
      </c>
      <c r="H750" s="985">
        <v>23500</v>
      </c>
      <c r="I750" s="1173">
        <v>17.5</v>
      </c>
      <c r="J750" s="985">
        <v>21100</v>
      </c>
      <c r="K750" s="1173">
        <v>8.8000000000000007</v>
      </c>
      <c r="L750" s="985">
        <v>11300</v>
      </c>
      <c r="M750" s="1174">
        <f t="shared" si="206"/>
        <v>46</v>
      </c>
      <c r="N750" s="984">
        <f t="shared" si="207"/>
        <v>55900</v>
      </c>
      <c r="O750" s="986">
        <f t="shared" si="208"/>
        <v>164.45066480055982</v>
      </c>
      <c r="P750" s="987">
        <f t="shared" si="209"/>
        <v>147.6557032890133</v>
      </c>
      <c r="Q750" s="987">
        <f t="shared" si="210"/>
        <v>79.076277116864944</v>
      </c>
      <c r="R750" s="988">
        <f t="shared" si="211"/>
        <v>391.18264520643811</v>
      </c>
      <c r="S750" s="989">
        <v>142.9</v>
      </c>
      <c r="T750" s="990">
        <v>0</v>
      </c>
      <c r="U750" s="991">
        <v>149</v>
      </c>
      <c r="V750" s="991">
        <v>221</v>
      </c>
      <c r="W750" s="992">
        <f t="shared" si="212"/>
        <v>370</v>
      </c>
      <c r="X750" s="993">
        <f t="shared" si="213"/>
        <v>2.5892232330300908</v>
      </c>
      <c r="Y750" s="990">
        <v>1638</v>
      </c>
      <c r="Z750" s="991">
        <v>1436</v>
      </c>
      <c r="AA750" s="991">
        <v>652</v>
      </c>
      <c r="AB750" s="992">
        <f t="shared" si="214"/>
        <v>3726</v>
      </c>
      <c r="AC750" s="993">
        <f t="shared" si="215"/>
        <v>26.074177746675996</v>
      </c>
      <c r="AD750" s="994">
        <f t="shared" si="216"/>
        <v>4096</v>
      </c>
      <c r="AE750" s="995">
        <f t="shared" si="217"/>
        <v>28.663400979706086</v>
      </c>
      <c r="AF750" s="996">
        <v>74</v>
      </c>
      <c r="AG750" s="997">
        <v>59</v>
      </c>
      <c r="AH750" s="997">
        <v>2</v>
      </c>
      <c r="AI750" s="998">
        <f t="shared" si="218"/>
        <v>135</v>
      </c>
      <c r="AJ750" s="993">
        <f t="shared" si="219"/>
        <v>0.94471658502449263</v>
      </c>
    </row>
    <row r="751" spans="1:36" ht="16.5" customHeight="1">
      <c r="A751" s="999">
        <f>'09월 조업일지'!A749</f>
        <v>46292</v>
      </c>
      <c r="B751" s="1099">
        <f>'09월 조업일지'!B749</f>
        <v>46292</v>
      </c>
      <c r="C751" s="1000" t="str">
        <f>'09월 화학성분'!D749</f>
        <v>A</v>
      </c>
      <c r="D751" s="1000" t="str">
        <f>'09월 화학성분'!E749</f>
        <v>B</v>
      </c>
      <c r="E751" s="1000">
        <f>'09월 화학성분'!C749</f>
        <v>85951</v>
      </c>
      <c r="F751" s="1001" t="str">
        <f t="shared" si="205"/>
        <v>SS400-01</v>
      </c>
      <c r="G751" s="1172">
        <v>19.399999999999999</v>
      </c>
      <c r="H751" s="985">
        <v>22900</v>
      </c>
      <c r="I751" s="1173">
        <v>16.399999999999999</v>
      </c>
      <c r="J751" s="985">
        <v>20300</v>
      </c>
      <c r="K751" s="1173">
        <v>11.7</v>
      </c>
      <c r="L751" s="985">
        <v>15200</v>
      </c>
      <c r="M751" s="1174">
        <f t="shared" si="206"/>
        <v>47.5</v>
      </c>
      <c r="N751" s="984">
        <f t="shared" si="207"/>
        <v>58400</v>
      </c>
      <c r="O751" s="986">
        <f t="shared" si="208"/>
        <v>162.75764036958068</v>
      </c>
      <c r="P751" s="987">
        <f t="shared" si="209"/>
        <v>144.27860696517413</v>
      </c>
      <c r="Q751" s="987">
        <f t="shared" si="210"/>
        <v>108.0312722103767</v>
      </c>
      <c r="R751" s="988">
        <f t="shared" si="211"/>
        <v>415.06751954513152</v>
      </c>
      <c r="S751" s="989">
        <v>140.69999999999999</v>
      </c>
      <c r="T751" s="990">
        <v>0</v>
      </c>
      <c r="U751" s="991">
        <v>72</v>
      </c>
      <c r="V751" s="991">
        <v>293</v>
      </c>
      <c r="W751" s="992">
        <f t="shared" si="212"/>
        <v>365</v>
      </c>
      <c r="X751" s="993">
        <f t="shared" si="213"/>
        <v>2.5941719971570718</v>
      </c>
      <c r="Y751" s="990">
        <v>1577</v>
      </c>
      <c r="Z751" s="991">
        <v>1360</v>
      </c>
      <c r="AA751" s="991">
        <v>886</v>
      </c>
      <c r="AB751" s="992">
        <f t="shared" si="214"/>
        <v>3823</v>
      </c>
      <c r="AC751" s="993">
        <f t="shared" si="215"/>
        <v>27.171286425017769</v>
      </c>
      <c r="AD751" s="994">
        <f t="shared" si="216"/>
        <v>4188</v>
      </c>
      <c r="AE751" s="995">
        <f t="shared" si="217"/>
        <v>29.765458422174842</v>
      </c>
      <c r="AF751" s="996">
        <v>84</v>
      </c>
      <c r="AG751" s="997">
        <v>64</v>
      </c>
      <c r="AH751" s="997">
        <v>7</v>
      </c>
      <c r="AI751" s="998">
        <f t="shared" si="218"/>
        <v>155</v>
      </c>
      <c r="AJ751" s="993">
        <f t="shared" si="219"/>
        <v>1.1016346837242361</v>
      </c>
    </row>
    <row r="752" spans="1:36" ht="16.5" customHeight="1">
      <c r="A752" s="999">
        <f>'09월 조업일지'!A750</f>
        <v>46292</v>
      </c>
      <c r="B752" s="1099">
        <f>'09월 조업일지'!B750</f>
        <v>46292</v>
      </c>
      <c r="C752" s="1000" t="str">
        <f>'09월 화학성분'!D750</f>
        <v>A</v>
      </c>
      <c r="D752" s="1000" t="str">
        <f>'09월 화학성분'!E750</f>
        <v>A</v>
      </c>
      <c r="E752" s="1000">
        <f>'09월 화학성분'!C750</f>
        <v>85952</v>
      </c>
      <c r="F752" s="1001" t="str">
        <f t="shared" si="205"/>
        <v>SS400-01</v>
      </c>
      <c r="G752" s="1172">
        <v>19.5</v>
      </c>
      <c r="H752" s="985">
        <v>23400</v>
      </c>
      <c r="I752" s="1173">
        <v>17.2</v>
      </c>
      <c r="J752" s="985">
        <v>21000</v>
      </c>
      <c r="K752" s="1173">
        <v>10.1</v>
      </c>
      <c r="L752" s="985">
        <v>12700</v>
      </c>
      <c r="M752" s="1174">
        <f t="shared" si="206"/>
        <v>46.800000000000004</v>
      </c>
      <c r="N752" s="984">
        <f t="shared" si="207"/>
        <v>57100</v>
      </c>
      <c r="O752" s="986">
        <f t="shared" si="208"/>
        <v>166.90442225392297</v>
      </c>
      <c r="P752" s="987">
        <f t="shared" si="209"/>
        <v>149.78601997146933</v>
      </c>
      <c r="Q752" s="987">
        <f t="shared" si="210"/>
        <v>90.58487874465051</v>
      </c>
      <c r="R752" s="988">
        <f t="shared" si="211"/>
        <v>407.2753209700428</v>
      </c>
      <c r="S752" s="989">
        <v>140.19999999999999</v>
      </c>
      <c r="T752" s="990">
        <v>0</v>
      </c>
      <c r="U752" s="991">
        <v>130</v>
      </c>
      <c r="V752" s="991">
        <v>272</v>
      </c>
      <c r="W752" s="992">
        <f t="shared" si="212"/>
        <v>402</v>
      </c>
      <c r="X752" s="993">
        <f t="shared" si="213"/>
        <v>2.8673323823109844</v>
      </c>
      <c r="Y752" s="990">
        <v>1606</v>
      </c>
      <c r="Z752" s="991">
        <v>1416</v>
      </c>
      <c r="AA752" s="991">
        <v>693</v>
      </c>
      <c r="AB752" s="992">
        <f t="shared" si="214"/>
        <v>3715</v>
      </c>
      <c r="AC752" s="993">
        <f t="shared" si="215"/>
        <v>26.497860199714694</v>
      </c>
      <c r="AD752" s="994">
        <f t="shared" si="216"/>
        <v>4117</v>
      </c>
      <c r="AE752" s="995">
        <f t="shared" si="217"/>
        <v>29.365192582025681</v>
      </c>
      <c r="AF752" s="996">
        <v>74</v>
      </c>
      <c r="AG752" s="997">
        <v>55</v>
      </c>
      <c r="AH752" s="997">
        <v>3</v>
      </c>
      <c r="AI752" s="998">
        <f t="shared" si="218"/>
        <v>132</v>
      </c>
      <c r="AJ752" s="993">
        <f t="shared" si="219"/>
        <v>0.94151212553495012</v>
      </c>
    </row>
    <row r="753" spans="1:36" ht="16.5" customHeight="1">
      <c r="A753" s="999">
        <f>'09월 조업일지'!A751</f>
        <v>46292</v>
      </c>
      <c r="B753" s="1099">
        <f>'09월 조업일지'!B751</f>
        <v>46292</v>
      </c>
      <c r="C753" s="1000" t="str">
        <f>'09월 화학성분'!D751</f>
        <v>A</v>
      </c>
      <c r="D753" s="1000" t="str">
        <f>'09월 화학성분'!E751</f>
        <v>B</v>
      </c>
      <c r="E753" s="1000">
        <f>'09월 화학성분'!C751</f>
        <v>85953</v>
      </c>
      <c r="F753" s="1001" t="str">
        <f t="shared" si="205"/>
        <v>SS400-01</v>
      </c>
      <c r="G753" s="1172">
        <v>19.7</v>
      </c>
      <c r="H753" s="985">
        <v>23400</v>
      </c>
      <c r="I753" s="1173">
        <v>16.7</v>
      </c>
      <c r="J753" s="985">
        <v>20600</v>
      </c>
      <c r="K753" s="1173">
        <v>9.1999999999999993</v>
      </c>
      <c r="L753" s="985">
        <v>11900</v>
      </c>
      <c r="M753" s="1174">
        <f t="shared" si="206"/>
        <v>45.599999999999994</v>
      </c>
      <c r="N753" s="984">
        <f t="shared" si="207"/>
        <v>55900</v>
      </c>
      <c r="O753" s="986">
        <f t="shared" si="208"/>
        <v>164.21052631578948</v>
      </c>
      <c r="P753" s="987">
        <f t="shared" si="209"/>
        <v>144.56140350877192</v>
      </c>
      <c r="Q753" s="987">
        <f t="shared" si="210"/>
        <v>83.508771929824562</v>
      </c>
      <c r="R753" s="988">
        <f t="shared" si="211"/>
        <v>392.28070175438597</v>
      </c>
      <c r="S753" s="989">
        <v>142.5</v>
      </c>
      <c r="T753" s="990">
        <v>0</v>
      </c>
      <c r="U753" s="991">
        <v>111</v>
      </c>
      <c r="V753" s="991">
        <v>398</v>
      </c>
      <c r="W753" s="992">
        <f t="shared" si="212"/>
        <v>509</v>
      </c>
      <c r="X753" s="993">
        <f t="shared" si="213"/>
        <v>3.5719298245614035</v>
      </c>
      <c r="Y753" s="990">
        <v>1619</v>
      </c>
      <c r="Z753" s="991">
        <v>1391</v>
      </c>
      <c r="AA753" s="991">
        <v>1121</v>
      </c>
      <c r="AB753" s="992">
        <f t="shared" si="214"/>
        <v>4131</v>
      </c>
      <c r="AC753" s="993">
        <f t="shared" si="215"/>
        <v>28.989473684210527</v>
      </c>
      <c r="AD753" s="994">
        <f t="shared" si="216"/>
        <v>4640</v>
      </c>
      <c r="AE753" s="995">
        <f t="shared" si="217"/>
        <v>32.561403508771932</v>
      </c>
      <c r="AF753" s="996">
        <v>81</v>
      </c>
      <c r="AG753" s="997">
        <v>65</v>
      </c>
      <c r="AH753" s="997">
        <v>12</v>
      </c>
      <c r="AI753" s="998">
        <f t="shared" si="218"/>
        <v>158</v>
      </c>
      <c r="AJ753" s="993">
        <f t="shared" si="219"/>
        <v>1.1087719298245613</v>
      </c>
    </row>
    <row r="754" spans="1:36" ht="16.5" customHeight="1">
      <c r="A754" s="999">
        <f>'09월 조업일지'!A752</f>
        <v>46292</v>
      </c>
      <c r="B754" s="1099">
        <f>'09월 조업일지'!B752</f>
        <v>46292</v>
      </c>
      <c r="C754" s="1000" t="str">
        <f>'09월 화학성분'!D752</f>
        <v>A</v>
      </c>
      <c r="D754" s="1000" t="str">
        <f>'09월 화학성분'!E752</f>
        <v>A</v>
      </c>
      <c r="E754" s="1000">
        <f>'09월 화학성분'!C752</f>
        <v>85954</v>
      </c>
      <c r="F754" s="1001" t="str">
        <f t="shared" si="205"/>
        <v>SS400-01</v>
      </c>
      <c r="G754" s="1172">
        <v>19.899999999999999</v>
      </c>
      <c r="H754" s="985">
        <v>24600</v>
      </c>
      <c r="I754" s="1173">
        <v>16.3</v>
      </c>
      <c r="J754" s="985">
        <v>20400</v>
      </c>
      <c r="K754" s="1173">
        <v>9.1999999999999993</v>
      </c>
      <c r="L754" s="985">
        <v>11900</v>
      </c>
      <c r="M754" s="1174">
        <f t="shared" si="206"/>
        <v>45.400000000000006</v>
      </c>
      <c r="N754" s="984">
        <f t="shared" si="207"/>
        <v>56900</v>
      </c>
      <c r="O754" s="986">
        <f t="shared" si="208"/>
        <v>172.38962859145062</v>
      </c>
      <c r="P754" s="987">
        <f t="shared" si="209"/>
        <v>142.9572529782761</v>
      </c>
      <c r="Q754" s="987">
        <f t="shared" si="210"/>
        <v>83.3917309039944</v>
      </c>
      <c r="R754" s="988">
        <f t="shared" si="211"/>
        <v>398.73861247372116</v>
      </c>
      <c r="S754" s="989">
        <v>142.69999999999999</v>
      </c>
      <c r="T754" s="990">
        <v>0</v>
      </c>
      <c r="U754" s="991">
        <v>137</v>
      </c>
      <c r="V754" s="991">
        <v>221</v>
      </c>
      <c r="W754" s="992">
        <f t="shared" si="212"/>
        <v>358</v>
      </c>
      <c r="X754" s="993">
        <f t="shared" si="213"/>
        <v>2.5087596355991595</v>
      </c>
      <c r="Y754" s="990">
        <v>1689</v>
      </c>
      <c r="Z754" s="991">
        <v>1315</v>
      </c>
      <c r="AA754" s="991">
        <v>660</v>
      </c>
      <c r="AB754" s="992">
        <f t="shared" si="214"/>
        <v>3664</v>
      </c>
      <c r="AC754" s="993">
        <f t="shared" si="215"/>
        <v>25.676243868255082</v>
      </c>
      <c r="AD754" s="994">
        <f t="shared" si="216"/>
        <v>4022</v>
      </c>
      <c r="AE754" s="995">
        <f t="shared" si="217"/>
        <v>28.18500350385424</v>
      </c>
      <c r="AF754" s="996">
        <v>72</v>
      </c>
      <c r="AG754" s="997">
        <v>54</v>
      </c>
      <c r="AH754" s="997">
        <v>4</v>
      </c>
      <c r="AI754" s="998">
        <f t="shared" si="218"/>
        <v>130</v>
      </c>
      <c r="AJ754" s="993">
        <f t="shared" si="219"/>
        <v>0.91100210231254386</v>
      </c>
    </row>
    <row r="755" spans="1:36" ht="16.5" customHeight="1">
      <c r="A755" s="999">
        <f>'09월 조업일지'!A753</f>
        <v>46293</v>
      </c>
      <c r="B755" s="1099">
        <f>'09월 조업일지'!B753</f>
        <v>46292</v>
      </c>
      <c r="C755" s="1000" t="str">
        <f>'09월 화학성분'!D753</f>
        <v>A</v>
      </c>
      <c r="D755" s="1000" t="str">
        <f>'09월 화학성분'!E753</f>
        <v>B</v>
      </c>
      <c r="E755" s="1000">
        <f>'09월 화학성분'!C753</f>
        <v>85955</v>
      </c>
      <c r="F755" s="1001" t="s">
        <v>1026</v>
      </c>
      <c r="G755" s="1172">
        <v>19.600000000000001</v>
      </c>
      <c r="H755" s="985">
        <v>22600</v>
      </c>
      <c r="I755" s="1173">
        <v>16.3</v>
      </c>
      <c r="J755" s="985">
        <v>20600</v>
      </c>
      <c r="K755" s="1173">
        <v>11.9</v>
      </c>
      <c r="L755" s="985">
        <v>15300</v>
      </c>
      <c r="M755" s="1174">
        <f t="shared" si="206"/>
        <v>47.800000000000004</v>
      </c>
      <c r="N755" s="984">
        <f t="shared" si="207"/>
        <v>58500</v>
      </c>
      <c r="O755" s="986">
        <f t="shared" si="208"/>
        <v>156.07734806629833</v>
      </c>
      <c r="P755" s="987">
        <f t="shared" si="209"/>
        <v>142.26519337016575</v>
      </c>
      <c r="Q755" s="987">
        <f t="shared" si="210"/>
        <v>105.66298342541435</v>
      </c>
      <c r="R755" s="988">
        <f t="shared" si="211"/>
        <v>404.00552486187848</v>
      </c>
      <c r="S755" s="989">
        <v>144.80000000000001</v>
      </c>
      <c r="T755" s="990">
        <v>0</v>
      </c>
      <c r="U755" s="991">
        <v>71</v>
      </c>
      <c r="V755" s="991">
        <v>331</v>
      </c>
      <c r="W755" s="992">
        <f t="shared" si="212"/>
        <v>402</v>
      </c>
      <c r="X755" s="993">
        <f t="shared" si="213"/>
        <v>2.7762430939226519</v>
      </c>
      <c r="Y755" s="990">
        <v>1608</v>
      </c>
      <c r="Z755" s="991">
        <v>1345</v>
      </c>
      <c r="AA755" s="991">
        <v>1010</v>
      </c>
      <c r="AB755" s="992">
        <f t="shared" si="214"/>
        <v>3963</v>
      </c>
      <c r="AC755" s="993">
        <f t="shared" si="215"/>
        <v>27.368784530386737</v>
      </c>
      <c r="AD755" s="994">
        <f t="shared" si="216"/>
        <v>4365</v>
      </c>
      <c r="AE755" s="995">
        <f t="shared" si="217"/>
        <v>30.145027624309389</v>
      </c>
      <c r="AF755" s="996">
        <v>84</v>
      </c>
      <c r="AG755" s="997">
        <v>62</v>
      </c>
      <c r="AH755" s="997">
        <v>9</v>
      </c>
      <c r="AI755" s="998">
        <f t="shared" si="218"/>
        <v>155</v>
      </c>
      <c r="AJ755" s="993">
        <f t="shared" si="219"/>
        <v>1.0704419889502761</v>
      </c>
    </row>
    <row r="756" spans="1:36" ht="16.5" customHeight="1">
      <c r="A756" s="999">
        <f>'09월 조업일지'!A754</f>
        <v>46293</v>
      </c>
      <c r="B756" s="1099">
        <f>'09월 조업일지'!B754</f>
        <v>46292</v>
      </c>
      <c r="C756" s="1000" t="str">
        <f>'09월 화학성분'!D754</f>
        <v>A</v>
      </c>
      <c r="D756" s="1000" t="str">
        <f>'09월 화학성분'!E754</f>
        <v>A</v>
      </c>
      <c r="E756" s="1000">
        <f>'09월 화학성분'!C754</f>
        <v>85956</v>
      </c>
      <c r="F756" s="1001" t="str">
        <f t="shared" si="205"/>
        <v>SHN275(BB)</v>
      </c>
      <c r="G756" s="1172">
        <v>19.100000000000001</v>
      </c>
      <c r="H756" s="985">
        <v>22900</v>
      </c>
      <c r="I756" s="1173">
        <v>16.8</v>
      </c>
      <c r="J756" s="985">
        <v>20700</v>
      </c>
      <c r="K756" s="1173">
        <v>9.3000000000000007</v>
      </c>
      <c r="L756" s="985">
        <v>12000</v>
      </c>
      <c r="M756" s="1174">
        <f t="shared" si="206"/>
        <v>45.2</v>
      </c>
      <c r="N756" s="984">
        <f t="shared" si="207"/>
        <v>55600</v>
      </c>
      <c r="O756" s="986">
        <f t="shared" si="208"/>
        <v>159.02777777777777</v>
      </c>
      <c r="P756" s="987">
        <f t="shared" si="209"/>
        <v>143.75</v>
      </c>
      <c r="Q756" s="987">
        <f t="shared" si="210"/>
        <v>83.333333333333329</v>
      </c>
      <c r="R756" s="988">
        <f t="shared" si="211"/>
        <v>386.11111111111109</v>
      </c>
      <c r="S756" s="989">
        <v>144</v>
      </c>
      <c r="T756" s="990">
        <v>0</v>
      </c>
      <c r="U756" s="991">
        <v>97</v>
      </c>
      <c r="V756" s="991">
        <v>301</v>
      </c>
      <c r="W756" s="992">
        <f t="shared" si="212"/>
        <v>398</v>
      </c>
      <c r="X756" s="993">
        <f t="shared" si="213"/>
        <v>2.7638888888888888</v>
      </c>
      <c r="Y756" s="990">
        <v>1558</v>
      </c>
      <c r="Z756" s="991">
        <v>1391</v>
      </c>
      <c r="AA756" s="991">
        <v>726</v>
      </c>
      <c r="AB756" s="992">
        <f t="shared" si="214"/>
        <v>3675</v>
      </c>
      <c r="AC756" s="993">
        <f t="shared" si="215"/>
        <v>25.520833333333332</v>
      </c>
      <c r="AD756" s="994">
        <f t="shared" si="216"/>
        <v>4073</v>
      </c>
      <c r="AE756" s="995">
        <f t="shared" si="217"/>
        <v>28.284722222222221</v>
      </c>
      <c r="AF756" s="996">
        <v>74</v>
      </c>
      <c r="AG756" s="997">
        <v>53</v>
      </c>
      <c r="AH756" s="997">
        <v>4</v>
      </c>
      <c r="AI756" s="998">
        <f t="shared" si="218"/>
        <v>131</v>
      </c>
      <c r="AJ756" s="993">
        <f t="shared" si="219"/>
        <v>0.90972222222222221</v>
      </c>
    </row>
    <row r="757" spans="1:36" ht="16.5" customHeight="1">
      <c r="A757" s="999">
        <f>'09월 조업일지'!A755</f>
        <v>46293</v>
      </c>
      <c r="B757" s="1099">
        <f>'09월 조업일지'!B755</f>
        <v>46292</v>
      </c>
      <c r="C757" s="1000" t="str">
        <f>'09월 화학성분'!D755</f>
        <v>A</v>
      </c>
      <c r="D757" s="1000" t="str">
        <f>'09월 화학성분'!E755</f>
        <v>B</v>
      </c>
      <c r="E757" s="1000">
        <f>'09월 화학성분'!C755</f>
        <v>85957</v>
      </c>
      <c r="F757" s="1001" t="str">
        <f t="shared" si="205"/>
        <v>SHN275(BB)</v>
      </c>
      <c r="G757" s="1172">
        <v>20.3</v>
      </c>
      <c r="H757" s="985">
        <v>24500</v>
      </c>
      <c r="I757" s="1173">
        <v>16.3</v>
      </c>
      <c r="J757" s="985">
        <v>20500</v>
      </c>
      <c r="K757" s="1173">
        <v>9.6</v>
      </c>
      <c r="L757" s="985">
        <v>12400</v>
      </c>
      <c r="M757" s="1174">
        <f t="shared" si="206"/>
        <v>46.2</v>
      </c>
      <c r="N757" s="984">
        <f t="shared" si="207"/>
        <v>57400</v>
      </c>
      <c r="O757" s="986">
        <f t="shared" si="208"/>
        <v>170.96999302163292</v>
      </c>
      <c r="P757" s="987">
        <f t="shared" si="209"/>
        <v>143.05652477320305</v>
      </c>
      <c r="Q757" s="987">
        <f t="shared" si="210"/>
        <v>86.531751570132585</v>
      </c>
      <c r="R757" s="988">
        <f t="shared" si="211"/>
        <v>400.55826936496857</v>
      </c>
      <c r="S757" s="989">
        <v>143.30000000000001</v>
      </c>
      <c r="T757" s="990">
        <v>0</v>
      </c>
      <c r="U757" s="991">
        <v>149</v>
      </c>
      <c r="V757" s="991">
        <v>218</v>
      </c>
      <c r="W757" s="992">
        <f t="shared" si="212"/>
        <v>367</v>
      </c>
      <c r="X757" s="993">
        <f t="shared" si="213"/>
        <v>2.5610607117934401</v>
      </c>
      <c r="Y757" s="990">
        <v>1713</v>
      </c>
      <c r="Z757" s="991">
        <v>1334</v>
      </c>
      <c r="AA757" s="991">
        <v>886</v>
      </c>
      <c r="AB757" s="992">
        <f t="shared" si="214"/>
        <v>3933</v>
      </c>
      <c r="AC757" s="993">
        <f t="shared" si="215"/>
        <v>27.445917655268666</v>
      </c>
      <c r="AD757" s="994">
        <f t="shared" si="216"/>
        <v>4300</v>
      </c>
      <c r="AE757" s="995">
        <f t="shared" si="217"/>
        <v>30.006978367062104</v>
      </c>
      <c r="AF757" s="996">
        <v>82</v>
      </c>
      <c r="AG757" s="997">
        <v>65</v>
      </c>
      <c r="AH757" s="997">
        <v>8</v>
      </c>
      <c r="AI757" s="998">
        <f t="shared" si="218"/>
        <v>155</v>
      </c>
      <c r="AJ757" s="993">
        <f t="shared" si="219"/>
        <v>1.0816468946266573</v>
      </c>
    </row>
    <row r="758" spans="1:36" ht="16.5" customHeight="1">
      <c r="A758" s="999">
        <f>'09월 조업일지'!A756</f>
        <v>46293</v>
      </c>
      <c r="B758" s="1099">
        <f>'09월 조업일지'!B756</f>
        <v>46292</v>
      </c>
      <c r="C758" s="1000" t="str">
        <f>'09월 화학성분'!D756</f>
        <v>A</v>
      </c>
      <c r="D758" s="1000" t="str">
        <f>'09월 화학성분'!E756</f>
        <v>A</v>
      </c>
      <c r="E758" s="1000">
        <f>'09월 화학성분'!C756</f>
        <v>85958</v>
      </c>
      <c r="F758" s="1001" t="str">
        <f t="shared" si="205"/>
        <v>SHN275(BB)</v>
      </c>
      <c r="G758" s="1172">
        <v>19.2</v>
      </c>
      <c r="H758" s="985">
        <v>23100</v>
      </c>
      <c r="I758" s="1173">
        <v>16.399999999999999</v>
      </c>
      <c r="J758" s="985">
        <v>20500</v>
      </c>
      <c r="K758" s="1173">
        <v>9.1999999999999993</v>
      </c>
      <c r="L758" s="985">
        <v>11800</v>
      </c>
      <c r="M758" s="1174">
        <f t="shared" si="206"/>
        <v>44.8</v>
      </c>
      <c r="N758" s="984">
        <f t="shared" si="207"/>
        <v>55400</v>
      </c>
      <c r="O758" s="986">
        <f t="shared" si="208"/>
        <v>163.36633663366337</v>
      </c>
      <c r="P758" s="987">
        <f t="shared" si="209"/>
        <v>144.97878359264496</v>
      </c>
      <c r="Q758" s="987">
        <f t="shared" si="210"/>
        <v>83.451202263083445</v>
      </c>
      <c r="R758" s="988">
        <f t="shared" si="211"/>
        <v>391.79632248939174</v>
      </c>
      <c r="S758" s="989">
        <v>141.4</v>
      </c>
      <c r="T758" s="990">
        <v>0</v>
      </c>
      <c r="U758" s="991">
        <v>32</v>
      </c>
      <c r="V758" s="991">
        <v>310</v>
      </c>
      <c r="W758" s="992">
        <f t="shared" si="212"/>
        <v>342</v>
      </c>
      <c r="X758" s="993">
        <f t="shared" si="213"/>
        <v>2.4186704384724185</v>
      </c>
      <c r="Y758" s="990">
        <v>1582</v>
      </c>
      <c r="Z758" s="991">
        <v>1355</v>
      </c>
      <c r="AA758" s="991">
        <v>778</v>
      </c>
      <c r="AB758" s="992">
        <f t="shared" si="214"/>
        <v>3715</v>
      </c>
      <c r="AC758" s="993">
        <f t="shared" si="215"/>
        <v>26.272984441301272</v>
      </c>
      <c r="AD758" s="994">
        <f t="shared" si="216"/>
        <v>4057</v>
      </c>
      <c r="AE758" s="995">
        <f t="shared" si="217"/>
        <v>28.69165487977369</v>
      </c>
      <c r="AF758" s="996">
        <v>72</v>
      </c>
      <c r="AG758" s="997">
        <v>54</v>
      </c>
      <c r="AH758" s="997">
        <v>4</v>
      </c>
      <c r="AI758" s="998">
        <f t="shared" si="218"/>
        <v>130</v>
      </c>
      <c r="AJ758" s="993">
        <f t="shared" si="219"/>
        <v>0.91937765205091937</v>
      </c>
    </row>
    <row r="759" spans="1:36" ht="16.5" customHeight="1">
      <c r="A759" s="999">
        <f>'09월 조업일지'!A757</f>
        <v>46293</v>
      </c>
      <c r="B759" s="1099">
        <f>'09월 조업일지'!B757</f>
        <v>46293</v>
      </c>
      <c r="C759" s="1000" t="str">
        <f>'09월 화학성분'!D757</f>
        <v>C</v>
      </c>
      <c r="D759" s="1000" t="str">
        <f>'09월 화학성분'!E757</f>
        <v>B</v>
      </c>
      <c r="E759" s="1000">
        <f>'09월 화학성분'!C757</f>
        <v>85959</v>
      </c>
      <c r="F759" s="1001" t="str">
        <f t="shared" si="205"/>
        <v>SHN275(BB)</v>
      </c>
      <c r="G759" s="1172">
        <v>19.3</v>
      </c>
      <c r="H759" s="985">
        <v>22400</v>
      </c>
      <c r="I759" s="1173">
        <v>16.399999999999999</v>
      </c>
      <c r="J759" s="985">
        <v>20400</v>
      </c>
      <c r="K759" s="1173">
        <v>16.100000000000001</v>
      </c>
      <c r="L759" s="985">
        <v>20400</v>
      </c>
      <c r="M759" s="1174">
        <f t="shared" si="206"/>
        <v>51.800000000000004</v>
      </c>
      <c r="N759" s="984">
        <f t="shared" si="207"/>
        <v>63200</v>
      </c>
      <c r="O759" s="986">
        <f t="shared" si="208"/>
        <v>155.44760582928524</v>
      </c>
      <c r="P759" s="987">
        <f t="shared" si="209"/>
        <v>141.56835530881332</v>
      </c>
      <c r="Q759" s="987">
        <f t="shared" si="210"/>
        <v>141.56835530881332</v>
      </c>
      <c r="R759" s="988">
        <f t="shared" si="211"/>
        <v>438.58431644691188</v>
      </c>
      <c r="S759" s="989">
        <v>144.1</v>
      </c>
      <c r="T759" s="990">
        <v>0</v>
      </c>
      <c r="U759" s="991">
        <v>0</v>
      </c>
      <c r="V759" s="991">
        <v>329</v>
      </c>
      <c r="W759" s="992">
        <f t="shared" si="212"/>
        <v>329</v>
      </c>
      <c r="X759" s="993">
        <f t="shared" si="213"/>
        <v>2.2831367106176268</v>
      </c>
      <c r="Y759" s="990">
        <v>1570</v>
      </c>
      <c r="Z759" s="991">
        <v>1370</v>
      </c>
      <c r="AA759" s="991">
        <v>1313</v>
      </c>
      <c r="AB759" s="992">
        <f t="shared" si="214"/>
        <v>4253</v>
      </c>
      <c r="AC759" s="993">
        <f t="shared" si="215"/>
        <v>29.514226231783486</v>
      </c>
      <c r="AD759" s="994">
        <f t="shared" si="216"/>
        <v>4582</v>
      </c>
      <c r="AE759" s="995">
        <f t="shared" si="217"/>
        <v>31.797362942401111</v>
      </c>
      <c r="AF759" s="996">
        <v>84</v>
      </c>
      <c r="AG759" s="997">
        <v>61</v>
      </c>
      <c r="AH759" s="997">
        <v>14</v>
      </c>
      <c r="AI759" s="998">
        <f t="shared" si="218"/>
        <v>159</v>
      </c>
      <c r="AJ759" s="993">
        <f t="shared" si="219"/>
        <v>1.1034004163775157</v>
      </c>
    </row>
    <row r="760" spans="1:36" ht="16.5" customHeight="1">
      <c r="A760" s="999">
        <f>'09월 조업일지'!A758</f>
        <v>46293</v>
      </c>
      <c r="B760" s="1099">
        <f>'09월 조업일지'!B758</f>
        <v>46293</v>
      </c>
      <c r="C760" s="1000" t="str">
        <f>'09월 화학성분'!D758</f>
        <v>C</v>
      </c>
      <c r="D760" s="1000" t="str">
        <f>'09월 화학성분'!E758</f>
        <v>A</v>
      </c>
      <c r="E760" s="1000">
        <f>'09월 화학성분'!C758</f>
        <v>85960</v>
      </c>
      <c r="F760" s="1001" t="str">
        <f t="shared" si="205"/>
        <v>SHN275(BB)</v>
      </c>
      <c r="G760" s="1172">
        <v>19.399999999999999</v>
      </c>
      <c r="H760" s="985">
        <v>22900</v>
      </c>
      <c r="I760" s="1173">
        <v>17.399999999999999</v>
      </c>
      <c r="J760" s="985">
        <v>20900</v>
      </c>
      <c r="K760" s="1173">
        <v>10.9</v>
      </c>
      <c r="L760" s="985">
        <v>13800</v>
      </c>
      <c r="M760" s="1174">
        <f t="shared" si="206"/>
        <v>47.699999999999996</v>
      </c>
      <c r="N760" s="984">
        <f t="shared" si="207"/>
        <v>57600</v>
      </c>
      <c r="O760" s="986">
        <f t="shared" si="208"/>
        <v>161.3812544045102</v>
      </c>
      <c r="P760" s="987">
        <f t="shared" si="209"/>
        <v>147.28682170542635</v>
      </c>
      <c r="Q760" s="987">
        <f t="shared" si="210"/>
        <v>97.251585623678636</v>
      </c>
      <c r="R760" s="988">
        <f t="shared" si="211"/>
        <v>405.91966173361521</v>
      </c>
      <c r="S760" s="989">
        <v>141.9</v>
      </c>
      <c r="T760" s="990">
        <v>0</v>
      </c>
      <c r="U760" s="991">
        <v>95</v>
      </c>
      <c r="V760" s="991">
        <v>236</v>
      </c>
      <c r="W760" s="992">
        <f t="shared" si="212"/>
        <v>331</v>
      </c>
      <c r="X760" s="993">
        <f t="shared" si="213"/>
        <v>2.3326286116983792</v>
      </c>
      <c r="Y760" s="990">
        <v>1578</v>
      </c>
      <c r="Z760" s="991">
        <v>1403</v>
      </c>
      <c r="AA760" s="991">
        <v>1068</v>
      </c>
      <c r="AB760" s="992">
        <f t="shared" si="214"/>
        <v>4049</v>
      </c>
      <c r="AC760" s="993">
        <f t="shared" si="215"/>
        <v>28.534178999295278</v>
      </c>
      <c r="AD760" s="994">
        <f t="shared" si="216"/>
        <v>4380</v>
      </c>
      <c r="AE760" s="995">
        <f t="shared" si="217"/>
        <v>30.866807610993657</v>
      </c>
      <c r="AF760" s="996">
        <v>74</v>
      </c>
      <c r="AG760" s="997">
        <v>57</v>
      </c>
      <c r="AH760" s="997">
        <v>6</v>
      </c>
      <c r="AI760" s="998">
        <f t="shared" si="218"/>
        <v>137</v>
      </c>
      <c r="AJ760" s="993">
        <f t="shared" si="219"/>
        <v>0.96546863988724452</v>
      </c>
    </row>
    <row r="761" spans="1:36" ht="16.5" customHeight="1">
      <c r="A761" s="999">
        <f>'09월 조업일지'!A759</f>
        <v>46293</v>
      </c>
      <c r="B761" s="1099">
        <f>'09월 조업일지'!B759</f>
        <v>46293</v>
      </c>
      <c r="C761" s="1000" t="str">
        <f>'09월 화학성분'!D759</f>
        <v>C</v>
      </c>
      <c r="D761" s="1000" t="str">
        <f>'09월 화학성분'!E759</f>
        <v>B</v>
      </c>
      <c r="E761" s="1000">
        <f>'09월 화학성분'!C759</f>
        <v>85961</v>
      </c>
      <c r="F761" s="1104" t="s">
        <v>758</v>
      </c>
      <c r="G761" s="1172">
        <v>19.2</v>
      </c>
      <c r="H761" s="985">
        <v>22700</v>
      </c>
      <c r="I761" s="1173">
        <v>16.600000000000001</v>
      </c>
      <c r="J761" s="985">
        <v>20400</v>
      </c>
      <c r="K761" s="1173">
        <v>10.7</v>
      </c>
      <c r="L761" s="985">
        <v>13800</v>
      </c>
      <c r="M761" s="1174">
        <f t="shared" si="206"/>
        <v>46.5</v>
      </c>
      <c r="N761" s="984">
        <f t="shared" si="207"/>
        <v>56900</v>
      </c>
      <c r="O761" s="986">
        <f t="shared" si="208"/>
        <v>155.79958819492109</v>
      </c>
      <c r="P761" s="987">
        <f t="shared" si="209"/>
        <v>140.01372683596432</v>
      </c>
      <c r="Q761" s="987">
        <f t="shared" si="210"/>
        <v>94.715168153740564</v>
      </c>
      <c r="R761" s="988">
        <f t="shared" si="211"/>
        <v>390.528483184626</v>
      </c>
      <c r="S761" s="989">
        <v>145.69999999999999</v>
      </c>
      <c r="T761" s="990">
        <v>0</v>
      </c>
      <c r="U761" s="991">
        <v>28</v>
      </c>
      <c r="V761" s="991">
        <v>303</v>
      </c>
      <c r="W761" s="992">
        <f t="shared" si="212"/>
        <v>331</v>
      </c>
      <c r="X761" s="993">
        <f t="shared" si="213"/>
        <v>2.2717913520933428</v>
      </c>
      <c r="Y761" s="990">
        <v>1574</v>
      </c>
      <c r="Z761" s="991">
        <v>1357</v>
      </c>
      <c r="AA761" s="991">
        <v>889</v>
      </c>
      <c r="AB761" s="992">
        <f t="shared" si="214"/>
        <v>3820</v>
      </c>
      <c r="AC761" s="993">
        <f t="shared" si="215"/>
        <v>26.218256691832536</v>
      </c>
      <c r="AD761" s="994">
        <f t="shared" si="216"/>
        <v>4151</v>
      </c>
      <c r="AE761" s="995">
        <f t="shared" si="217"/>
        <v>28.490048043925878</v>
      </c>
      <c r="AF761" s="996">
        <v>82</v>
      </c>
      <c r="AG761" s="997">
        <v>63</v>
      </c>
      <c r="AH761" s="997">
        <v>7</v>
      </c>
      <c r="AI761" s="998">
        <f t="shared" si="218"/>
        <v>152</v>
      </c>
      <c r="AJ761" s="993">
        <f t="shared" si="219"/>
        <v>1.0432395332875772</v>
      </c>
    </row>
    <row r="762" spans="1:36" ht="16.5" customHeight="1">
      <c r="A762" s="999">
        <f>'09월 조업일지'!A760</f>
        <v>46293</v>
      </c>
      <c r="B762" s="1099">
        <f>'09월 조업일지'!B760</f>
        <v>46293</v>
      </c>
      <c r="C762" s="1000" t="str">
        <f>'09월 화학성분'!D760</f>
        <v>C</v>
      </c>
      <c r="D762" s="1000" t="str">
        <f>'09월 화학성분'!E760</f>
        <v>A</v>
      </c>
      <c r="E762" s="1000">
        <f>'09월 화학성분'!C760</f>
        <v>85962</v>
      </c>
      <c r="F762" s="1001" t="str">
        <f t="shared" si="205"/>
        <v>SS400-01</v>
      </c>
      <c r="G762" s="1172">
        <v>23.1</v>
      </c>
      <c r="H762" s="985">
        <v>27300</v>
      </c>
      <c r="I762" s="1173">
        <v>0</v>
      </c>
      <c r="J762" s="985">
        <v>0</v>
      </c>
      <c r="K762" s="1173">
        <v>8.3000000000000007</v>
      </c>
      <c r="L762" s="985">
        <v>17700</v>
      </c>
      <c r="M762" s="1174">
        <f t="shared" si="206"/>
        <v>31.400000000000002</v>
      </c>
      <c r="N762" s="984">
        <f t="shared" si="207"/>
        <v>45000</v>
      </c>
      <c r="O762" s="986">
        <f t="shared" si="208"/>
        <v>230.76923076923077</v>
      </c>
      <c r="P762" s="987">
        <f t="shared" si="209"/>
        <v>0</v>
      </c>
      <c r="Q762" s="987">
        <f t="shared" si="210"/>
        <v>149.6196111580727</v>
      </c>
      <c r="R762" s="988">
        <f t="shared" si="211"/>
        <v>380.38884192730347</v>
      </c>
      <c r="S762" s="989">
        <v>118.3</v>
      </c>
      <c r="T762" s="990">
        <v>45</v>
      </c>
      <c r="U762" s="991">
        <v>0</v>
      </c>
      <c r="V762" s="991">
        <v>347</v>
      </c>
      <c r="W762" s="992">
        <f t="shared" si="212"/>
        <v>392</v>
      </c>
      <c r="X762" s="993">
        <f t="shared" si="213"/>
        <v>3.3136094674556213</v>
      </c>
      <c r="Y762" s="990">
        <v>1953</v>
      </c>
      <c r="Z762" s="991">
        <v>0</v>
      </c>
      <c r="AA762" s="991">
        <v>1127</v>
      </c>
      <c r="AB762" s="992">
        <f t="shared" si="214"/>
        <v>3080</v>
      </c>
      <c r="AC762" s="993">
        <f t="shared" si="215"/>
        <v>26.035502958579883</v>
      </c>
      <c r="AD762" s="994">
        <f t="shared" si="216"/>
        <v>3472</v>
      </c>
      <c r="AE762" s="995">
        <f t="shared" si="217"/>
        <v>29.349112426035504</v>
      </c>
      <c r="AF762" s="996">
        <v>79</v>
      </c>
      <c r="AG762" s="997">
        <v>0</v>
      </c>
      <c r="AH762" s="997">
        <v>3</v>
      </c>
      <c r="AI762" s="998">
        <f t="shared" si="218"/>
        <v>82</v>
      </c>
      <c r="AJ762" s="993">
        <f t="shared" si="219"/>
        <v>0.69315300084530851</v>
      </c>
    </row>
    <row r="763" spans="1:36" ht="16.5" customHeight="1">
      <c r="A763" s="999">
        <f>'09월 조업일지'!A761</f>
        <v>46293</v>
      </c>
      <c r="B763" s="1099">
        <f>'09월 조업일지'!B761</f>
        <v>46293</v>
      </c>
      <c r="C763" s="1000" t="str">
        <f>'09월 화학성분'!D761</f>
        <v>C</v>
      </c>
      <c r="D763" s="1000" t="str">
        <f>'09월 화학성분'!E761</f>
        <v>B</v>
      </c>
      <c r="E763" s="1000">
        <f>'09월 화학성분'!C761</f>
        <v>85963</v>
      </c>
      <c r="F763" s="1001" t="str">
        <f t="shared" si="205"/>
        <v>SS400-01</v>
      </c>
      <c r="G763" s="1172">
        <v>22.3</v>
      </c>
      <c r="H763" s="985">
        <v>26800</v>
      </c>
      <c r="I763" s="1173">
        <v>0</v>
      </c>
      <c r="J763" s="985">
        <v>0</v>
      </c>
      <c r="K763" s="1173">
        <v>9.8000000000000007</v>
      </c>
      <c r="L763" s="985">
        <v>25600</v>
      </c>
      <c r="M763" s="1174">
        <f t="shared" si="206"/>
        <v>32.1</v>
      </c>
      <c r="N763" s="984">
        <f t="shared" si="207"/>
        <v>52400</v>
      </c>
      <c r="O763" s="986">
        <f t="shared" si="208"/>
        <v>227.89115646258506</v>
      </c>
      <c r="P763" s="987">
        <f t="shared" si="209"/>
        <v>0</v>
      </c>
      <c r="Q763" s="987">
        <f t="shared" si="210"/>
        <v>217.68707482993199</v>
      </c>
      <c r="R763" s="988">
        <f t="shared" si="211"/>
        <v>445.57823129251705</v>
      </c>
      <c r="S763" s="989">
        <v>117.6</v>
      </c>
      <c r="T763" s="990">
        <v>174</v>
      </c>
      <c r="U763" s="991">
        <v>0</v>
      </c>
      <c r="V763" s="991">
        <v>198</v>
      </c>
      <c r="W763" s="992">
        <f t="shared" si="212"/>
        <v>372</v>
      </c>
      <c r="X763" s="993">
        <f t="shared" si="213"/>
        <v>3.1632653061224492</v>
      </c>
      <c r="Y763" s="990">
        <v>1911</v>
      </c>
      <c r="Z763" s="991">
        <v>0</v>
      </c>
      <c r="AA763" s="991">
        <v>1857</v>
      </c>
      <c r="AB763" s="992">
        <f t="shared" si="214"/>
        <v>3768</v>
      </c>
      <c r="AC763" s="993">
        <f t="shared" si="215"/>
        <v>32.040816326530617</v>
      </c>
      <c r="AD763" s="994">
        <f t="shared" si="216"/>
        <v>4140</v>
      </c>
      <c r="AE763" s="995">
        <f t="shared" si="217"/>
        <v>35.204081632653065</v>
      </c>
      <c r="AF763" s="996">
        <v>84</v>
      </c>
      <c r="AG763" s="997">
        <v>0</v>
      </c>
      <c r="AH763" s="997">
        <v>24</v>
      </c>
      <c r="AI763" s="998">
        <f t="shared" si="218"/>
        <v>108</v>
      </c>
      <c r="AJ763" s="993">
        <f t="shared" si="219"/>
        <v>0.91836734693877553</v>
      </c>
    </row>
    <row r="764" spans="1:36" ht="16.5" customHeight="1">
      <c r="A764" s="999">
        <f>'09월 조업일지'!A762</f>
        <v>46293</v>
      </c>
      <c r="B764" s="1099">
        <f>'09월 조업일지'!B762</f>
        <v>46293</v>
      </c>
      <c r="C764" s="1000" t="str">
        <f>'09월 화학성분'!D762</f>
        <v>D</v>
      </c>
      <c r="D764" s="1000" t="str">
        <f>'09월 화학성분'!E762</f>
        <v>A</v>
      </c>
      <c r="E764" s="1000">
        <f>'09월 화학성분'!C762</f>
        <v>85964</v>
      </c>
      <c r="F764" s="1104" t="s">
        <v>541</v>
      </c>
      <c r="G764" s="1172">
        <v>23.5</v>
      </c>
      <c r="H764" s="985">
        <v>26500</v>
      </c>
      <c r="I764" s="1173">
        <v>17.7</v>
      </c>
      <c r="J764" s="985">
        <v>21200</v>
      </c>
      <c r="K764" s="1173">
        <v>10.1</v>
      </c>
      <c r="L764" s="985">
        <v>12500</v>
      </c>
      <c r="M764" s="1174">
        <f t="shared" si="206"/>
        <v>51.300000000000004</v>
      </c>
      <c r="N764" s="984">
        <f t="shared" si="207"/>
        <v>60200</v>
      </c>
      <c r="O764" s="986">
        <f t="shared" si="208"/>
        <v>198.50187265917603</v>
      </c>
      <c r="P764" s="987">
        <f t="shared" si="209"/>
        <v>158.80149812734084</v>
      </c>
      <c r="Q764" s="987">
        <f t="shared" si="210"/>
        <v>93.632958801498134</v>
      </c>
      <c r="R764" s="988">
        <f t="shared" si="211"/>
        <v>450.93632958801504</v>
      </c>
      <c r="S764" s="989">
        <v>133.5</v>
      </c>
      <c r="T764" s="990">
        <v>0</v>
      </c>
      <c r="U764" s="991">
        <v>0</v>
      </c>
      <c r="V764" s="991">
        <v>351</v>
      </c>
      <c r="W764" s="992">
        <f t="shared" si="212"/>
        <v>351</v>
      </c>
      <c r="X764" s="993">
        <f t="shared" si="213"/>
        <v>2.6292134831460676</v>
      </c>
      <c r="Y764" s="990">
        <v>1420</v>
      </c>
      <c r="Z764" s="991">
        <v>1475</v>
      </c>
      <c r="AA764" s="991">
        <v>786</v>
      </c>
      <c r="AB764" s="992">
        <f t="shared" si="214"/>
        <v>3681</v>
      </c>
      <c r="AC764" s="993">
        <f t="shared" si="215"/>
        <v>27.573033707865168</v>
      </c>
      <c r="AD764" s="994">
        <f t="shared" si="216"/>
        <v>4032</v>
      </c>
      <c r="AE764" s="995">
        <f t="shared" si="217"/>
        <v>30.202247191011235</v>
      </c>
      <c r="AF764" s="996">
        <v>78</v>
      </c>
      <c r="AG764" s="997">
        <v>60</v>
      </c>
      <c r="AH764" s="997">
        <v>4</v>
      </c>
      <c r="AI764" s="998">
        <f t="shared" si="218"/>
        <v>142</v>
      </c>
      <c r="AJ764" s="993">
        <f t="shared" si="219"/>
        <v>1.0636704119850187</v>
      </c>
    </row>
    <row r="765" spans="1:36" ht="16.5" customHeight="1">
      <c r="A765" s="999">
        <f>'09월 조업일지'!A763</f>
        <v>46293</v>
      </c>
      <c r="B765" s="1099">
        <f>'09월 조업일지'!B763</f>
        <v>46293</v>
      </c>
      <c r="C765" s="1000" t="str">
        <f>'09월 화학성분'!D763</f>
        <v>D</v>
      </c>
      <c r="D765" s="1000" t="str">
        <f>'09월 화학성분'!E763</f>
        <v>A</v>
      </c>
      <c r="E765" s="1000">
        <f>'09월 화학성분'!C763</f>
        <v>85965</v>
      </c>
      <c r="F765" s="1001" t="str">
        <f t="shared" si="205"/>
        <v>SS400-05</v>
      </c>
      <c r="G765" s="1172">
        <v>19.100000000000001</v>
      </c>
      <c r="H765" s="985">
        <v>23200</v>
      </c>
      <c r="I765" s="1173">
        <v>17.399999999999999</v>
      </c>
      <c r="J765" s="985">
        <v>21100</v>
      </c>
      <c r="K765" s="1173">
        <v>8.6999999999999993</v>
      </c>
      <c r="L765" s="985">
        <v>10900</v>
      </c>
      <c r="M765" s="1174">
        <f t="shared" si="206"/>
        <v>45.2</v>
      </c>
      <c r="N765" s="984">
        <f t="shared" si="207"/>
        <v>55200</v>
      </c>
      <c r="O765" s="986">
        <f t="shared" si="208"/>
        <v>169.71470373079737</v>
      </c>
      <c r="P765" s="987">
        <f t="shared" si="209"/>
        <v>154.35259692757865</v>
      </c>
      <c r="Q765" s="987">
        <f t="shared" si="210"/>
        <v>79.73664959765911</v>
      </c>
      <c r="R765" s="988">
        <f t="shared" si="211"/>
        <v>403.80395025603508</v>
      </c>
      <c r="S765" s="989">
        <v>136.69999999999999</v>
      </c>
      <c r="T765" s="990">
        <v>0</v>
      </c>
      <c r="U765" s="991">
        <v>91</v>
      </c>
      <c r="V765" s="991">
        <v>252</v>
      </c>
      <c r="W765" s="992">
        <f t="shared" si="212"/>
        <v>343</v>
      </c>
      <c r="X765" s="993">
        <f t="shared" si="213"/>
        <v>2.5091441111923922</v>
      </c>
      <c r="Y765" s="990">
        <v>1682</v>
      </c>
      <c r="Z765" s="991">
        <v>1431</v>
      </c>
      <c r="AA765" s="991">
        <v>663</v>
      </c>
      <c r="AB765" s="992">
        <f t="shared" si="214"/>
        <v>3776</v>
      </c>
      <c r="AC765" s="993">
        <f t="shared" si="215"/>
        <v>27.622531089978057</v>
      </c>
      <c r="AD765" s="994">
        <f t="shared" si="216"/>
        <v>4119</v>
      </c>
      <c r="AE765" s="995">
        <f t="shared" si="217"/>
        <v>30.131675201170449</v>
      </c>
      <c r="AF765" s="996">
        <v>74</v>
      </c>
      <c r="AG765" s="997">
        <v>57</v>
      </c>
      <c r="AH765" s="997">
        <v>4</v>
      </c>
      <c r="AI765" s="998">
        <f t="shared" si="218"/>
        <v>135</v>
      </c>
      <c r="AJ765" s="993">
        <f t="shared" si="219"/>
        <v>0.98756400877834682</v>
      </c>
    </row>
    <row r="766" spans="1:36" ht="16.5" customHeight="1">
      <c r="A766" s="999">
        <f>'09월 조업일지'!A764</f>
        <v>46293</v>
      </c>
      <c r="B766" s="1099">
        <f>'09월 조업일지'!B764</f>
        <v>46293</v>
      </c>
      <c r="C766" s="1000" t="str">
        <f>'09월 화학성분'!D764</f>
        <v>D</v>
      </c>
      <c r="D766" s="1000" t="str">
        <f>'09월 화학성분'!E764</f>
        <v>B</v>
      </c>
      <c r="E766" s="1000">
        <f>'09월 화학성분'!C764</f>
        <v>85966</v>
      </c>
      <c r="F766" s="1001" t="str">
        <f t="shared" si="205"/>
        <v>SS400-05</v>
      </c>
      <c r="G766" s="1172">
        <v>22.6</v>
      </c>
      <c r="H766" s="985">
        <v>25900</v>
      </c>
      <c r="I766" s="1173">
        <v>16.600000000000001</v>
      </c>
      <c r="J766" s="985">
        <v>20300</v>
      </c>
      <c r="K766" s="1173">
        <v>13.1</v>
      </c>
      <c r="L766" s="985">
        <v>16300</v>
      </c>
      <c r="M766" s="1174">
        <f t="shared" si="206"/>
        <v>52.300000000000004</v>
      </c>
      <c r="N766" s="984">
        <f t="shared" si="207"/>
        <v>62500</v>
      </c>
      <c r="O766" s="986">
        <f t="shared" si="208"/>
        <v>193.28358208955223</v>
      </c>
      <c r="P766" s="987">
        <f t="shared" si="209"/>
        <v>151.49253731343285</v>
      </c>
      <c r="Q766" s="987">
        <f t="shared" si="210"/>
        <v>121.64179104477611</v>
      </c>
      <c r="R766" s="988">
        <f t="shared" si="211"/>
        <v>466.41791044776119</v>
      </c>
      <c r="S766" s="989">
        <v>134</v>
      </c>
      <c r="T766" s="990">
        <v>0</v>
      </c>
      <c r="U766" s="991">
        <v>6</v>
      </c>
      <c r="V766" s="991">
        <v>353</v>
      </c>
      <c r="W766" s="992">
        <f t="shared" si="212"/>
        <v>359</v>
      </c>
      <c r="X766" s="993">
        <f t="shared" si="213"/>
        <v>2.6791044776119404</v>
      </c>
      <c r="Y766" s="990">
        <v>1422</v>
      </c>
      <c r="Z766" s="991">
        <v>1360</v>
      </c>
      <c r="AA766" s="991">
        <v>757</v>
      </c>
      <c r="AB766" s="992">
        <f t="shared" si="214"/>
        <v>3539</v>
      </c>
      <c r="AC766" s="993">
        <f t="shared" si="215"/>
        <v>26.410447761194028</v>
      </c>
      <c r="AD766" s="994">
        <f t="shared" si="216"/>
        <v>3898</v>
      </c>
      <c r="AE766" s="995">
        <f t="shared" si="217"/>
        <v>29.089552238805972</v>
      </c>
      <c r="AF766" s="996">
        <v>92</v>
      </c>
      <c r="AG766" s="997">
        <v>64</v>
      </c>
      <c r="AH766" s="997">
        <v>5</v>
      </c>
      <c r="AI766" s="998">
        <f t="shared" si="218"/>
        <v>161</v>
      </c>
      <c r="AJ766" s="993">
        <f t="shared" si="219"/>
        <v>1.2014925373134329</v>
      </c>
    </row>
    <row r="767" spans="1:36" ht="16.5" customHeight="1">
      <c r="A767" s="999">
        <f>'09월 조업일지'!A765</f>
        <v>46293</v>
      </c>
      <c r="B767" s="1099">
        <f>'09월 조업일지'!B765</f>
        <v>46293</v>
      </c>
      <c r="C767" s="1000" t="str">
        <f>'09월 화학성분'!D765</f>
        <v>D</v>
      </c>
      <c r="D767" s="1000" t="str">
        <f>'09월 화학성분'!E765</f>
        <v>A</v>
      </c>
      <c r="E767" s="1000">
        <f>'09월 화학성분'!C765</f>
        <v>85967</v>
      </c>
      <c r="F767" s="1104" t="s">
        <v>1036</v>
      </c>
      <c r="G767" s="1172">
        <v>19.100000000000001</v>
      </c>
      <c r="H767" s="985">
        <v>22400</v>
      </c>
      <c r="I767" s="1173">
        <v>17</v>
      </c>
      <c r="J767" s="985">
        <v>20800</v>
      </c>
      <c r="K767" s="1173">
        <v>10.1</v>
      </c>
      <c r="L767" s="985">
        <v>12900</v>
      </c>
      <c r="M767" s="1174">
        <f t="shared" si="206"/>
        <v>46.2</v>
      </c>
      <c r="N767" s="984">
        <f t="shared" si="207"/>
        <v>56100</v>
      </c>
      <c r="O767" s="986">
        <f t="shared" si="208"/>
        <v>155.55555555555554</v>
      </c>
      <c r="P767" s="987">
        <f t="shared" si="209"/>
        <v>144.44444444444446</v>
      </c>
      <c r="Q767" s="987">
        <f t="shared" si="210"/>
        <v>89.583333333333329</v>
      </c>
      <c r="R767" s="988">
        <f t="shared" si="211"/>
        <v>389.58333333333331</v>
      </c>
      <c r="S767" s="989">
        <v>144</v>
      </c>
      <c r="T767" s="990">
        <v>0</v>
      </c>
      <c r="U767" s="991">
        <v>19</v>
      </c>
      <c r="V767" s="991">
        <v>314</v>
      </c>
      <c r="W767" s="992">
        <f t="shared" si="212"/>
        <v>333</v>
      </c>
      <c r="X767" s="993">
        <f t="shared" si="213"/>
        <v>2.3125</v>
      </c>
      <c r="Y767" s="990">
        <v>1540</v>
      </c>
      <c r="Z767" s="991">
        <v>1417</v>
      </c>
      <c r="AA767" s="991">
        <v>755</v>
      </c>
      <c r="AB767" s="992">
        <f t="shared" si="214"/>
        <v>3712</v>
      </c>
      <c r="AC767" s="993">
        <f t="shared" si="215"/>
        <v>25.777777777777779</v>
      </c>
      <c r="AD767" s="994">
        <f t="shared" si="216"/>
        <v>4045</v>
      </c>
      <c r="AE767" s="995">
        <f t="shared" si="217"/>
        <v>28.090277777777779</v>
      </c>
      <c r="AF767" s="996">
        <v>75</v>
      </c>
      <c r="AG767" s="997">
        <v>57</v>
      </c>
      <c r="AH767" s="997">
        <v>3</v>
      </c>
      <c r="AI767" s="998">
        <f t="shared" si="218"/>
        <v>135</v>
      </c>
      <c r="AJ767" s="993">
        <f t="shared" si="219"/>
        <v>0.9375</v>
      </c>
    </row>
    <row r="768" spans="1:36" ht="16.5" customHeight="1">
      <c r="A768" s="999">
        <f>'09월 조업일지'!A766</f>
        <v>46293</v>
      </c>
      <c r="B768" s="1099">
        <f>'09월 조업일지'!B766</f>
        <v>46293</v>
      </c>
      <c r="C768" s="1000" t="str">
        <f>'09월 화학성분'!D766</f>
        <v>A</v>
      </c>
      <c r="D768" s="1000" t="str">
        <f>'09월 화학성분'!E766</f>
        <v>B</v>
      </c>
      <c r="E768" s="1000">
        <f>'09월 화학성분'!C766</f>
        <v>85968</v>
      </c>
      <c r="F768" s="1001" t="str">
        <f t="shared" si="205"/>
        <v>S355JO/JR(BL)</v>
      </c>
      <c r="G768" s="1172">
        <v>18.3</v>
      </c>
      <c r="H768" s="985">
        <v>22700</v>
      </c>
      <c r="I768" s="1173">
        <v>16.8</v>
      </c>
      <c r="J768" s="985">
        <v>20600</v>
      </c>
      <c r="K768" s="1173">
        <v>10.5</v>
      </c>
      <c r="L768" s="985">
        <v>13400</v>
      </c>
      <c r="M768" s="1174">
        <f t="shared" si="206"/>
        <v>45.6</v>
      </c>
      <c r="N768" s="984">
        <f t="shared" si="207"/>
        <v>56700</v>
      </c>
      <c r="O768" s="986">
        <f t="shared" si="208"/>
        <v>160.08462623413257</v>
      </c>
      <c r="P768" s="987">
        <f t="shared" si="209"/>
        <v>145.27503526093088</v>
      </c>
      <c r="Q768" s="987">
        <f t="shared" si="210"/>
        <v>94.499294781382218</v>
      </c>
      <c r="R768" s="988">
        <f t="shared" si="211"/>
        <v>399.85895627644567</v>
      </c>
      <c r="S768" s="989">
        <v>141.80000000000001</v>
      </c>
      <c r="T768" s="990">
        <v>0</v>
      </c>
      <c r="U768" s="991">
        <v>62</v>
      </c>
      <c r="V768" s="991">
        <v>321</v>
      </c>
      <c r="W768" s="992">
        <f t="shared" si="212"/>
        <v>383</v>
      </c>
      <c r="X768" s="993">
        <f t="shared" si="213"/>
        <v>2.7009873060648797</v>
      </c>
      <c r="Y768" s="990">
        <v>1487</v>
      </c>
      <c r="Z768" s="991">
        <v>1401</v>
      </c>
      <c r="AA768" s="991">
        <v>802</v>
      </c>
      <c r="AB768" s="992">
        <f t="shared" si="214"/>
        <v>3690</v>
      </c>
      <c r="AC768" s="993">
        <f t="shared" si="215"/>
        <v>26.022566995768685</v>
      </c>
      <c r="AD768" s="994">
        <f t="shared" si="216"/>
        <v>4073</v>
      </c>
      <c r="AE768" s="995">
        <f t="shared" si="217"/>
        <v>28.723554301833566</v>
      </c>
      <c r="AF768" s="996">
        <v>78</v>
      </c>
      <c r="AG768" s="997">
        <v>68</v>
      </c>
      <c r="AH768" s="997">
        <v>7</v>
      </c>
      <c r="AI768" s="998">
        <f t="shared" si="218"/>
        <v>153</v>
      </c>
      <c r="AJ768" s="993">
        <f t="shared" si="219"/>
        <v>1.0789844851904089</v>
      </c>
    </row>
    <row r="769" spans="1:36" ht="16.5" customHeight="1">
      <c r="A769" s="999">
        <f>'09월 조업일지'!A767</f>
        <v>46293</v>
      </c>
      <c r="B769" s="1099">
        <f>'09월 조업일지'!B767</f>
        <v>46293</v>
      </c>
      <c r="C769" s="1000" t="str">
        <f>'09월 화학성분'!D767</f>
        <v>A</v>
      </c>
      <c r="D769" s="1000" t="str">
        <f>'09월 화학성분'!E767</f>
        <v>A</v>
      </c>
      <c r="E769" s="1000">
        <f>'09월 화학성분'!C767</f>
        <v>85969</v>
      </c>
      <c r="F769" s="1001" t="str">
        <f t="shared" si="205"/>
        <v>S355JO/JR(BL)</v>
      </c>
      <c r="G769" s="1172">
        <v>19.3</v>
      </c>
      <c r="H769" s="985">
        <v>23000</v>
      </c>
      <c r="I769" s="1173">
        <v>17.5</v>
      </c>
      <c r="J769" s="985">
        <v>21000</v>
      </c>
      <c r="K769" s="1173">
        <v>11</v>
      </c>
      <c r="L769" s="985">
        <v>14000</v>
      </c>
      <c r="M769" s="1174">
        <f t="shared" si="206"/>
        <v>47.8</v>
      </c>
      <c r="N769" s="984">
        <f t="shared" si="207"/>
        <v>58000</v>
      </c>
      <c r="O769" s="986">
        <f t="shared" si="208"/>
        <v>156.56909462219195</v>
      </c>
      <c r="P769" s="987">
        <f t="shared" si="209"/>
        <v>142.95439074200135</v>
      </c>
      <c r="Q769" s="987">
        <f t="shared" si="210"/>
        <v>95.302927161334239</v>
      </c>
      <c r="R769" s="988">
        <f t="shared" si="211"/>
        <v>394.82641252552759</v>
      </c>
      <c r="S769" s="989">
        <v>146.9</v>
      </c>
      <c r="T769" s="990">
        <v>0</v>
      </c>
      <c r="U769" s="991">
        <v>125</v>
      </c>
      <c r="V769" s="991">
        <v>401</v>
      </c>
      <c r="W769" s="992">
        <f t="shared" si="212"/>
        <v>526</v>
      </c>
      <c r="X769" s="993">
        <f t="shared" si="213"/>
        <v>3.580667120490129</v>
      </c>
      <c r="Y769" s="990">
        <v>1605</v>
      </c>
      <c r="Z769" s="991">
        <v>1426</v>
      </c>
      <c r="AA769" s="991">
        <v>690</v>
      </c>
      <c r="AB769" s="992">
        <f t="shared" si="214"/>
        <v>3721</v>
      </c>
      <c r="AC769" s="993">
        <f t="shared" si="215"/>
        <v>25.330156569094623</v>
      </c>
      <c r="AD769" s="994">
        <f t="shared" si="216"/>
        <v>4247</v>
      </c>
      <c r="AE769" s="995">
        <f t="shared" si="217"/>
        <v>28.910823689584749</v>
      </c>
      <c r="AF769" s="996">
        <v>74</v>
      </c>
      <c r="AG769" s="997">
        <v>59</v>
      </c>
      <c r="AH769" s="997">
        <v>4</v>
      </c>
      <c r="AI769" s="998">
        <f t="shared" si="218"/>
        <v>137</v>
      </c>
      <c r="AJ769" s="993">
        <f t="shared" si="219"/>
        <v>0.9326072157930565</v>
      </c>
    </row>
    <row r="770" spans="1:36" ht="16.5" customHeight="1">
      <c r="A770" s="999">
        <f>'09월 조업일지'!A768</f>
        <v>46293</v>
      </c>
      <c r="B770" s="1099">
        <f>'09월 조업일지'!B768</f>
        <v>46293</v>
      </c>
      <c r="C770" s="1000" t="str">
        <f>'09월 화학성분'!D768</f>
        <v>A</v>
      </c>
      <c r="D770" s="1000" t="str">
        <f>'09월 화학성분'!E768</f>
        <v>B</v>
      </c>
      <c r="E770" s="1000">
        <f>'09월 화학성분'!C768</f>
        <v>85970</v>
      </c>
      <c r="F770" s="1001" t="str">
        <f t="shared" si="205"/>
        <v>S355JO/JR(BL)</v>
      </c>
      <c r="G770" s="1172">
        <v>18.5</v>
      </c>
      <c r="H770" s="985">
        <v>22600</v>
      </c>
      <c r="I770" s="1173">
        <v>16.5</v>
      </c>
      <c r="J770" s="985">
        <v>20500</v>
      </c>
      <c r="K770" s="1173">
        <v>11.3</v>
      </c>
      <c r="L770" s="985">
        <v>14300</v>
      </c>
      <c r="M770" s="1174">
        <f t="shared" si="206"/>
        <v>46.3</v>
      </c>
      <c r="N770" s="984">
        <f t="shared" si="207"/>
        <v>57400</v>
      </c>
      <c r="O770" s="986">
        <f t="shared" si="208"/>
        <v>149.56982131039047</v>
      </c>
      <c r="P770" s="987">
        <f t="shared" si="209"/>
        <v>135.67174056915951</v>
      </c>
      <c r="Q770" s="987">
        <f t="shared" si="210"/>
        <v>94.639311714096635</v>
      </c>
      <c r="R770" s="988">
        <f t="shared" si="211"/>
        <v>379.88087359364658</v>
      </c>
      <c r="S770" s="989">
        <v>151.1</v>
      </c>
      <c r="T770" s="990">
        <v>0</v>
      </c>
      <c r="U770" s="991">
        <v>0</v>
      </c>
      <c r="V770" s="991">
        <v>356</v>
      </c>
      <c r="W770" s="992">
        <f t="shared" si="212"/>
        <v>356</v>
      </c>
      <c r="X770" s="993">
        <f t="shared" si="213"/>
        <v>2.3560555923229649</v>
      </c>
      <c r="Y770" s="990">
        <v>1513</v>
      </c>
      <c r="Z770" s="991">
        <v>1374</v>
      </c>
      <c r="AA770" s="991">
        <v>837</v>
      </c>
      <c r="AB770" s="992">
        <f t="shared" si="214"/>
        <v>3724</v>
      </c>
      <c r="AC770" s="993">
        <f t="shared" si="215"/>
        <v>24.645929847782927</v>
      </c>
      <c r="AD770" s="994">
        <f t="shared" si="216"/>
        <v>4080</v>
      </c>
      <c r="AE770" s="995">
        <f t="shared" si="217"/>
        <v>27.001985440105891</v>
      </c>
      <c r="AF770" s="996">
        <v>80</v>
      </c>
      <c r="AG770" s="997">
        <v>66</v>
      </c>
      <c r="AH770" s="997">
        <v>7</v>
      </c>
      <c r="AI770" s="998">
        <f t="shared" si="218"/>
        <v>153</v>
      </c>
      <c r="AJ770" s="993">
        <f t="shared" si="219"/>
        <v>1.0125744540039709</v>
      </c>
    </row>
    <row r="771" spans="1:36" ht="16.5" customHeight="1">
      <c r="A771" s="999">
        <f>'09월 조업일지'!A769</f>
        <v>46293</v>
      </c>
      <c r="B771" s="1099">
        <f>'09월 조업일지'!B769</f>
        <v>46293</v>
      </c>
      <c r="C771" s="1000" t="str">
        <f>'09월 화학성분'!D769</f>
        <v>A</v>
      </c>
      <c r="D771" s="1000" t="str">
        <f>'09월 화학성분'!E769</f>
        <v>A</v>
      </c>
      <c r="E771" s="1000">
        <f>'09월 화학성분'!C769</f>
        <v>85971</v>
      </c>
      <c r="F771" s="1001" t="str">
        <f t="shared" si="205"/>
        <v>S355JO/JR(BL)</v>
      </c>
      <c r="G771" s="1172">
        <v>18.7</v>
      </c>
      <c r="H771" s="985">
        <v>22700</v>
      </c>
      <c r="I771" s="1173">
        <v>16.899999999999999</v>
      </c>
      <c r="J771" s="985">
        <v>20700</v>
      </c>
      <c r="K771" s="1173">
        <v>8.8000000000000007</v>
      </c>
      <c r="L771" s="985">
        <v>11200</v>
      </c>
      <c r="M771" s="1174">
        <f t="shared" si="206"/>
        <v>44.399999999999991</v>
      </c>
      <c r="N771" s="984">
        <f t="shared" si="207"/>
        <v>54600</v>
      </c>
      <c r="O771" s="986">
        <f t="shared" si="208"/>
        <v>155.69272976680384</v>
      </c>
      <c r="P771" s="987">
        <f t="shared" si="209"/>
        <v>141.97530864197529</v>
      </c>
      <c r="Q771" s="987">
        <f t="shared" si="210"/>
        <v>76.817558299039774</v>
      </c>
      <c r="R771" s="988">
        <f t="shared" si="211"/>
        <v>374.4855967078189</v>
      </c>
      <c r="S771" s="989">
        <v>145.80000000000001</v>
      </c>
      <c r="T771" s="990">
        <v>0</v>
      </c>
      <c r="U771" s="991">
        <v>85</v>
      </c>
      <c r="V771" s="991">
        <v>278</v>
      </c>
      <c r="W771" s="992">
        <f t="shared" si="212"/>
        <v>363</v>
      </c>
      <c r="X771" s="993">
        <f t="shared" si="213"/>
        <v>2.4897119341563783</v>
      </c>
      <c r="Y771" s="990">
        <v>1515</v>
      </c>
      <c r="Z771" s="991">
        <v>1404</v>
      </c>
      <c r="AA771" s="991">
        <v>728</v>
      </c>
      <c r="AB771" s="992">
        <f t="shared" si="214"/>
        <v>3647</v>
      </c>
      <c r="AC771" s="993">
        <f t="shared" si="215"/>
        <v>25.013717421124827</v>
      </c>
      <c r="AD771" s="994">
        <f t="shared" si="216"/>
        <v>4010</v>
      </c>
      <c r="AE771" s="995">
        <f t="shared" si="217"/>
        <v>27.503429355281206</v>
      </c>
      <c r="AF771" s="996">
        <v>71</v>
      </c>
      <c r="AG771" s="997">
        <v>59</v>
      </c>
      <c r="AH771" s="997">
        <v>3</v>
      </c>
      <c r="AI771" s="998">
        <f t="shared" si="218"/>
        <v>133</v>
      </c>
      <c r="AJ771" s="993">
        <f t="shared" si="219"/>
        <v>0.91220850480109728</v>
      </c>
    </row>
    <row r="772" spans="1:36" ht="16.5" customHeight="1">
      <c r="A772" s="999">
        <f>'09월 조업일지'!A770</f>
        <v>46293</v>
      </c>
      <c r="B772" s="1099">
        <f>'09월 조업일지'!B770</f>
        <v>46293</v>
      </c>
      <c r="C772" s="1000" t="str">
        <f>'09월 화학성분'!D770</f>
        <v>A</v>
      </c>
      <c r="D772" s="1000" t="str">
        <f>'09월 화학성분'!E770</f>
        <v>B</v>
      </c>
      <c r="E772" s="1000">
        <f>'09월 화학성분'!C770</f>
        <v>85972</v>
      </c>
      <c r="F772" s="1001" t="str">
        <f t="shared" si="205"/>
        <v>S355JO/JR(BL)</v>
      </c>
      <c r="G772" s="1172">
        <v>22.3</v>
      </c>
      <c r="H772" s="985">
        <v>24300</v>
      </c>
      <c r="I772" s="1173">
        <v>16.8</v>
      </c>
      <c r="J772" s="985">
        <v>20500</v>
      </c>
      <c r="K772" s="1173">
        <v>13.7</v>
      </c>
      <c r="L772" s="985">
        <v>17300</v>
      </c>
      <c r="M772" s="1174">
        <f t="shared" si="206"/>
        <v>52.8</v>
      </c>
      <c r="N772" s="984">
        <f t="shared" si="207"/>
        <v>62100</v>
      </c>
      <c r="O772" s="986">
        <f t="shared" si="208"/>
        <v>161.46179401993356</v>
      </c>
      <c r="P772" s="987">
        <f t="shared" si="209"/>
        <v>136.21262458471762</v>
      </c>
      <c r="Q772" s="987">
        <f t="shared" si="210"/>
        <v>114.95016611295681</v>
      </c>
      <c r="R772" s="988">
        <f t="shared" si="211"/>
        <v>412.624584717608</v>
      </c>
      <c r="S772" s="989">
        <v>150.5</v>
      </c>
      <c r="T772" s="990">
        <v>0</v>
      </c>
      <c r="U772" s="991">
        <v>159</v>
      </c>
      <c r="V772" s="991">
        <v>228</v>
      </c>
      <c r="W772" s="992">
        <f t="shared" si="212"/>
        <v>387</v>
      </c>
      <c r="X772" s="993">
        <f t="shared" si="213"/>
        <v>2.5714285714285716</v>
      </c>
      <c r="Y772" s="990">
        <v>1900</v>
      </c>
      <c r="Z772" s="991">
        <v>1399</v>
      </c>
      <c r="AA772" s="991">
        <v>896</v>
      </c>
      <c r="AB772" s="992">
        <f t="shared" si="214"/>
        <v>4195</v>
      </c>
      <c r="AC772" s="993">
        <f t="shared" si="215"/>
        <v>27.873754152823921</v>
      </c>
      <c r="AD772" s="994">
        <f t="shared" si="216"/>
        <v>4582</v>
      </c>
      <c r="AE772" s="995">
        <f t="shared" si="217"/>
        <v>30.44518272425249</v>
      </c>
      <c r="AF772" s="996">
        <v>93</v>
      </c>
      <c r="AG772" s="997">
        <v>66</v>
      </c>
      <c r="AH772" s="997">
        <v>7</v>
      </c>
      <c r="AI772" s="998">
        <f t="shared" si="218"/>
        <v>166</v>
      </c>
      <c r="AJ772" s="993">
        <f t="shared" si="219"/>
        <v>1.1029900332225913</v>
      </c>
    </row>
    <row r="773" spans="1:36" ht="16.5" customHeight="1">
      <c r="A773" s="999">
        <f>'09월 조업일지'!A771</f>
        <v>46293</v>
      </c>
      <c r="B773" s="1099">
        <f>'09월 조업일지'!B771</f>
        <v>46293</v>
      </c>
      <c r="C773" s="1000" t="str">
        <f>'09월 화학성분'!D771</f>
        <v>A</v>
      </c>
      <c r="D773" s="1000" t="str">
        <f>'09월 화학성분'!E771</f>
        <v>A</v>
      </c>
      <c r="E773" s="1000">
        <f>'09월 화학성분'!C771</f>
        <v>85973</v>
      </c>
      <c r="F773" s="1001" t="str">
        <f t="shared" si="205"/>
        <v>S355JO/JR(BL)</v>
      </c>
      <c r="G773" s="1172">
        <v>19.600000000000001</v>
      </c>
      <c r="H773" s="985">
        <v>23200</v>
      </c>
      <c r="I773" s="1173">
        <v>17.100000000000001</v>
      </c>
      <c r="J773" s="985">
        <v>20500</v>
      </c>
      <c r="K773" s="1173">
        <v>13.8</v>
      </c>
      <c r="L773" s="985">
        <v>17000</v>
      </c>
      <c r="M773" s="1174">
        <f t="shared" si="206"/>
        <v>50.5</v>
      </c>
      <c r="N773" s="984">
        <f t="shared" si="207"/>
        <v>60700</v>
      </c>
      <c r="O773" s="986">
        <f t="shared" si="208"/>
        <v>161.11111111111111</v>
      </c>
      <c r="P773" s="987">
        <f t="shared" si="209"/>
        <v>142.36111111111111</v>
      </c>
      <c r="Q773" s="987">
        <f t="shared" si="210"/>
        <v>118.05555555555556</v>
      </c>
      <c r="R773" s="988">
        <f t="shared" si="211"/>
        <v>421.52777777777777</v>
      </c>
      <c r="S773" s="989">
        <v>144</v>
      </c>
      <c r="T773" s="990">
        <v>0</v>
      </c>
      <c r="U773" s="991">
        <v>110</v>
      </c>
      <c r="V773" s="991">
        <v>271</v>
      </c>
      <c r="W773" s="992">
        <f t="shared" si="212"/>
        <v>381</v>
      </c>
      <c r="X773" s="993">
        <f t="shared" si="213"/>
        <v>2.6458333333333335</v>
      </c>
      <c r="Y773" s="990">
        <v>1639</v>
      </c>
      <c r="Z773" s="991">
        <v>1402</v>
      </c>
      <c r="AA773" s="991">
        <v>832</v>
      </c>
      <c r="AB773" s="992">
        <f t="shared" si="214"/>
        <v>3873</v>
      </c>
      <c r="AC773" s="993">
        <f t="shared" si="215"/>
        <v>26.895833333333332</v>
      </c>
      <c r="AD773" s="994">
        <f t="shared" si="216"/>
        <v>4254</v>
      </c>
      <c r="AE773" s="995">
        <f t="shared" si="217"/>
        <v>29.541666666666668</v>
      </c>
      <c r="AF773" s="996">
        <v>74</v>
      </c>
      <c r="AG773" s="997">
        <v>57</v>
      </c>
      <c r="AH773" s="997">
        <v>4</v>
      </c>
      <c r="AI773" s="998">
        <f t="shared" si="218"/>
        <v>135</v>
      </c>
      <c r="AJ773" s="993">
        <f t="shared" si="219"/>
        <v>0.9375</v>
      </c>
    </row>
    <row r="774" spans="1:36" ht="16.5" customHeight="1">
      <c r="A774" s="999">
        <f>'09월 조업일지'!A772</f>
        <v>46294</v>
      </c>
      <c r="B774" s="1099">
        <f>'09월 조업일지'!B772</f>
        <v>46293</v>
      </c>
      <c r="C774" s="1000" t="str">
        <f>'09월 화학성분'!D772</f>
        <v>A</v>
      </c>
      <c r="D774" s="1232" t="str">
        <f>'09월 화학성분'!E772</f>
        <v>A</v>
      </c>
      <c r="E774" s="1000">
        <f>'09월 화학성분'!C772</f>
        <v>85974</v>
      </c>
      <c r="F774" s="1001" t="str">
        <f t="shared" si="205"/>
        <v>S355JO/JR(BL)</v>
      </c>
      <c r="G774" s="1172">
        <v>20.5</v>
      </c>
      <c r="H774" s="985">
        <v>24100</v>
      </c>
      <c r="I774" s="1173">
        <v>17.100000000000001</v>
      </c>
      <c r="J774" s="985">
        <v>20900</v>
      </c>
      <c r="K774" s="1173">
        <v>13.5</v>
      </c>
      <c r="L774" s="985">
        <v>17100</v>
      </c>
      <c r="M774" s="1174">
        <f t="shared" si="206"/>
        <v>51.1</v>
      </c>
      <c r="N774" s="984">
        <f t="shared" si="207"/>
        <v>62100</v>
      </c>
      <c r="O774" s="986">
        <f t="shared" si="208"/>
        <v>169.00420757363256</v>
      </c>
      <c r="P774" s="987">
        <f t="shared" si="209"/>
        <v>146.56381486676017</v>
      </c>
      <c r="Q774" s="987">
        <f t="shared" si="210"/>
        <v>119.91584852734924</v>
      </c>
      <c r="R774" s="988">
        <f t="shared" si="211"/>
        <v>435.48387096774195</v>
      </c>
      <c r="S774" s="989">
        <v>142.6</v>
      </c>
      <c r="T774" s="990">
        <v>0</v>
      </c>
      <c r="U774" s="991">
        <v>191</v>
      </c>
      <c r="V774" s="991">
        <v>205</v>
      </c>
      <c r="W774" s="992">
        <f t="shared" si="212"/>
        <v>396</v>
      </c>
      <c r="X774" s="993">
        <f t="shared" si="213"/>
        <v>2.7769985974754561</v>
      </c>
      <c r="Y774" s="990">
        <v>1688</v>
      </c>
      <c r="Z774" s="991">
        <v>1409</v>
      </c>
      <c r="AA774" s="991">
        <v>904</v>
      </c>
      <c r="AB774" s="992">
        <f t="shared" si="214"/>
        <v>4001</v>
      </c>
      <c r="AC774" s="993">
        <f t="shared" si="215"/>
        <v>28.057503506311363</v>
      </c>
      <c r="AD774" s="994">
        <f t="shared" si="216"/>
        <v>4397</v>
      </c>
      <c r="AE774" s="995">
        <f t="shared" si="217"/>
        <v>30.834502103786818</v>
      </c>
      <c r="AF774" s="996">
        <v>76</v>
      </c>
      <c r="AG774" s="997">
        <v>58</v>
      </c>
      <c r="AH774" s="997">
        <v>5</v>
      </c>
      <c r="AI774" s="998">
        <f t="shared" si="218"/>
        <v>139</v>
      </c>
      <c r="AJ774" s="993">
        <f t="shared" si="219"/>
        <v>0.97475455820476864</v>
      </c>
    </row>
    <row r="775" spans="1:36" ht="16.5" customHeight="1">
      <c r="A775" s="999">
        <f>'09월 조업일지'!A773</f>
        <v>46294</v>
      </c>
      <c r="B775" s="1099">
        <f>'09월 조업일지'!B773</f>
        <v>46293</v>
      </c>
      <c r="C775" s="1000" t="str">
        <f>'09월 화학성분'!D773</f>
        <v>A</v>
      </c>
      <c r="D775" s="1000" t="str">
        <f>'09월 화학성분'!E773</f>
        <v>B</v>
      </c>
      <c r="E775" s="1000">
        <f>'09월 화학성분'!C773</f>
        <v>85975</v>
      </c>
      <c r="F775" s="1001" t="str">
        <f t="shared" si="205"/>
        <v>S355JO/JR(BL)</v>
      </c>
      <c r="G775" s="1172">
        <v>20.399999999999999</v>
      </c>
      <c r="H775" s="985">
        <v>24000</v>
      </c>
      <c r="I775" s="1173">
        <v>16.7</v>
      </c>
      <c r="J775" s="985">
        <v>20700</v>
      </c>
      <c r="K775" s="1173">
        <v>14</v>
      </c>
      <c r="L775" s="985">
        <v>17800</v>
      </c>
      <c r="M775" s="1174">
        <f t="shared" si="206"/>
        <v>51.099999999999994</v>
      </c>
      <c r="N775" s="984">
        <f t="shared" si="207"/>
        <v>62500</v>
      </c>
      <c r="O775" s="986">
        <f t="shared" si="208"/>
        <v>163.71077762619373</v>
      </c>
      <c r="P775" s="987">
        <f t="shared" si="209"/>
        <v>141.20054570259208</v>
      </c>
      <c r="Q775" s="987">
        <f t="shared" si="210"/>
        <v>121.41882673942702</v>
      </c>
      <c r="R775" s="988">
        <f t="shared" si="211"/>
        <v>426.33015006821279</v>
      </c>
      <c r="S775" s="989">
        <v>146.6</v>
      </c>
      <c r="T775" s="990">
        <v>0</v>
      </c>
      <c r="U775" s="991">
        <v>177</v>
      </c>
      <c r="V775" s="991">
        <v>215</v>
      </c>
      <c r="W775" s="992">
        <f t="shared" si="212"/>
        <v>392</v>
      </c>
      <c r="X775" s="993">
        <f t="shared" si="213"/>
        <v>2.6739427012278307</v>
      </c>
      <c r="Y775" s="990">
        <v>1726</v>
      </c>
      <c r="Z775" s="991">
        <v>1349</v>
      </c>
      <c r="AA775" s="991">
        <v>984</v>
      </c>
      <c r="AB775" s="992">
        <f t="shared" si="214"/>
        <v>4059</v>
      </c>
      <c r="AC775" s="993">
        <f t="shared" si="215"/>
        <v>27.687585266030016</v>
      </c>
      <c r="AD775" s="994">
        <f t="shared" si="216"/>
        <v>4451</v>
      </c>
      <c r="AE775" s="995">
        <f t="shared" si="217"/>
        <v>30.361527967257846</v>
      </c>
      <c r="AF775" s="996">
        <v>82</v>
      </c>
      <c r="AG775" s="997">
        <v>63</v>
      </c>
      <c r="AH775" s="997">
        <v>8</v>
      </c>
      <c r="AI775" s="998">
        <f t="shared" si="218"/>
        <v>153</v>
      </c>
      <c r="AJ775" s="993">
        <f t="shared" si="219"/>
        <v>1.0436562073669851</v>
      </c>
    </row>
    <row r="776" spans="1:36" ht="16.5" customHeight="1">
      <c r="A776" s="999">
        <f>'09월 조업일지'!A774</f>
        <v>46294</v>
      </c>
      <c r="B776" s="1099">
        <f>'09월 조업일지'!B774</f>
        <v>46293</v>
      </c>
      <c r="C776" s="1000" t="str">
        <f>'09월 화학성분'!D774</f>
        <v>A</v>
      </c>
      <c r="D776" s="1000" t="str">
        <f>'09월 화학성분'!E774</f>
        <v>A</v>
      </c>
      <c r="E776" s="1000">
        <f>'09월 화학성분'!C774</f>
        <v>85976</v>
      </c>
      <c r="F776" s="1104" t="s">
        <v>1039</v>
      </c>
      <c r="G776" s="1172">
        <v>20.7</v>
      </c>
      <c r="H776" s="985">
        <v>24600</v>
      </c>
      <c r="I776" s="1173">
        <v>16.8</v>
      </c>
      <c r="J776" s="985">
        <v>20600</v>
      </c>
      <c r="K776" s="1173">
        <v>12.7</v>
      </c>
      <c r="L776" s="985">
        <v>16200</v>
      </c>
      <c r="M776" s="1174">
        <f t="shared" si="206"/>
        <v>50.2</v>
      </c>
      <c r="N776" s="984">
        <f t="shared" si="207"/>
        <v>61400</v>
      </c>
      <c r="O776" s="986">
        <f t="shared" si="208"/>
        <v>170.83333333333334</v>
      </c>
      <c r="P776" s="987">
        <f t="shared" si="209"/>
        <v>143.05555555555554</v>
      </c>
      <c r="Q776" s="987">
        <f t="shared" si="210"/>
        <v>112.5</v>
      </c>
      <c r="R776" s="988">
        <f t="shared" si="211"/>
        <v>426.38888888888891</v>
      </c>
      <c r="S776" s="989">
        <v>144</v>
      </c>
      <c r="T776" s="990">
        <v>0</v>
      </c>
      <c r="U776" s="991">
        <v>172</v>
      </c>
      <c r="V776" s="991">
        <v>214</v>
      </c>
      <c r="W776" s="992">
        <f t="shared" si="212"/>
        <v>386</v>
      </c>
      <c r="X776" s="993">
        <f t="shared" si="213"/>
        <v>2.6805555555555554</v>
      </c>
      <c r="Y776" s="990">
        <v>1727</v>
      </c>
      <c r="Z776" s="991">
        <v>1388</v>
      </c>
      <c r="AA776" s="991">
        <v>882</v>
      </c>
      <c r="AB776" s="992">
        <f t="shared" si="214"/>
        <v>3997</v>
      </c>
      <c r="AC776" s="993">
        <f t="shared" si="215"/>
        <v>27.756944444444443</v>
      </c>
      <c r="AD776" s="994">
        <f t="shared" si="216"/>
        <v>4383</v>
      </c>
      <c r="AE776" s="995">
        <f t="shared" si="217"/>
        <v>30.4375</v>
      </c>
      <c r="AF776" s="996">
        <v>74</v>
      </c>
      <c r="AG776" s="997">
        <v>53</v>
      </c>
      <c r="AH776" s="997">
        <v>5</v>
      </c>
      <c r="AI776" s="998">
        <f t="shared" si="218"/>
        <v>132</v>
      </c>
      <c r="AJ776" s="993">
        <f t="shared" si="219"/>
        <v>0.91666666666666663</v>
      </c>
    </row>
    <row r="777" spans="1:36" ht="16.5" customHeight="1">
      <c r="A777" s="999">
        <f>'09월 조업일지'!A775</f>
        <v>46294</v>
      </c>
      <c r="B777" s="1099">
        <f>'09월 조업일지'!B775</f>
        <v>46294</v>
      </c>
      <c r="C777" s="1000" t="str">
        <f>'09월 화학성분'!D775</f>
        <v>C</v>
      </c>
      <c r="D777" s="1000" t="str">
        <f>'09월 화학성분'!E775</f>
        <v>B</v>
      </c>
      <c r="E777" s="1000">
        <f>'09월 화학성분'!C775</f>
        <v>85977</v>
      </c>
      <c r="F777" s="1001" t="str">
        <f t="shared" si="205"/>
        <v>SHN400(BL)</v>
      </c>
      <c r="G777" s="1172">
        <v>19.7</v>
      </c>
      <c r="H777" s="985">
        <v>23600</v>
      </c>
      <c r="I777" s="1173">
        <v>16.899999999999999</v>
      </c>
      <c r="J777" s="985">
        <v>20700</v>
      </c>
      <c r="K777" s="1173">
        <v>6.8</v>
      </c>
      <c r="L777" s="985">
        <v>8700</v>
      </c>
      <c r="M777" s="1174">
        <f t="shared" si="206"/>
        <v>43.399999999999991</v>
      </c>
      <c r="N777" s="984">
        <f t="shared" si="207"/>
        <v>53000</v>
      </c>
      <c r="O777" s="986">
        <f t="shared" si="208"/>
        <v>168.21097647897361</v>
      </c>
      <c r="P777" s="987">
        <f t="shared" si="209"/>
        <v>147.54098360655738</v>
      </c>
      <c r="Q777" s="987">
        <f t="shared" si="210"/>
        <v>62.009978617248748</v>
      </c>
      <c r="R777" s="988">
        <f t="shared" si="211"/>
        <v>377.76193870277973</v>
      </c>
      <c r="S777" s="989">
        <v>140.30000000000001</v>
      </c>
      <c r="T777" s="990">
        <v>0</v>
      </c>
      <c r="U777" s="991">
        <v>152</v>
      </c>
      <c r="V777" s="991">
        <v>166</v>
      </c>
      <c r="W777" s="992">
        <f t="shared" si="212"/>
        <v>318</v>
      </c>
      <c r="X777" s="993">
        <f t="shared" si="213"/>
        <v>2.2665716322166785</v>
      </c>
      <c r="Y777" s="990">
        <v>1649</v>
      </c>
      <c r="Z777" s="991">
        <v>1396</v>
      </c>
      <c r="AA777" s="991">
        <v>733</v>
      </c>
      <c r="AB777" s="992">
        <f t="shared" si="214"/>
        <v>3778</v>
      </c>
      <c r="AC777" s="993">
        <f t="shared" si="215"/>
        <v>26.928011404133997</v>
      </c>
      <c r="AD777" s="994">
        <f t="shared" si="216"/>
        <v>4096</v>
      </c>
      <c r="AE777" s="995">
        <f t="shared" si="217"/>
        <v>29.194583036350675</v>
      </c>
      <c r="AF777" s="996">
        <v>82</v>
      </c>
      <c r="AG777" s="997">
        <v>62</v>
      </c>
      <c r="AH777" s="997">
        <v>6</v>
      </c>
      <c r="AI777" s="998">
        <f t="shared" si="218"/>
        <v>150</v>
      </c>
      <c r="AJ777" s="993">
        <f t="shared" si="219"/>
        <v>1.0691375623663577</v>
      </c>
    </row>
    <row r="778" spans="1:36" ht="16.5" customHeight="1">
      <c r="A778" s="999">
        <f>'09월 조업일지'!A776</f>
        <v>46294</v>
      </c>
      <c r="B778" s="1099">
        <f>'09월 조업일지'!B776</f>
        <v>46294</v>
      </c>
      <c r="C778" s="1000" t="str">
        <f>'09월 화학성분'!D776</f>
        <v>C</v>
      </c>
      <c r="D778" s="1000" t="str">
        <f>'09월 화학성분'!E776</f>
        <v>A</v>
      </c>
      <c r="E778" s="1000">
        <f>'09월 화학성분'!C776</f>
        <v>85978</v>
      </c>
      <c r="F778" s="1001" t="str">
        <f t="shared" si="205"/>
        <v>SHN400(BL)</v>
      </c>
      <c r="G778" s="1172">
        <v>19.100000000000001</v>
      </c>
      <c r="H778" s="985">
        <v>22800</v>
      </c>
      <c r="I778" s="1173">
        <v>17.399999999999999</v>
      </c>
      <c r="J778" s="985">
        <v>20800</v>
      </c>
      <c r="K778" s="1173">
        <v>8.5</v>
      </c>
      <c r="L778" s="985">
        <v>10700</v>
      </c>
      <c r="M778" s="1174">
        <f t="shared" si="206"/>
        <v>45</v>
      </c>
      <c r="N778" s="984">
        <f t="shared" si="207"/>
        <v>54300</v>
      </c>
      <c r="O778" s="986">
        <f t="shared" si="208"/>
        <v>158.44336344683808</v>
      </c>
      <c r="P778" s="987">
        <f t="shared" si="209"/>
        <v>144.54482279360667</v>
      </c>
      <c r="Q778" s="987">
        <f t="shared" si="210"/>
        <v>74.357192494788038</v>
      </c>
      <c r="R778" s="988">
        <f t="shared" si="211"/>
        <v>377.34537873523277</v>
      </c>
      <c r="S778" s="989">
        <v>143.9</v>
      </c>
      <c r="T778" s="990">
        <v>0</v>
      </c>
      <c r="U778" s="991">
        <v>108</v>
      </c>
      <c r="V778" s="991">
        <v>289</v>
      </c>
      <c r="W778" s="992">
        <f t="shared" si="212"/>
        <v>397</v>
      </c>
      <c r="X778" s="993">
        <f t="shared" si="213"/>
        <v>2.758860319666435</v>
      </c>
      <c r="Y778" s="990">
        <v>1542</v>
      </c>
      <c r="Z778" s="991">
        <v>1432</v>
      </c>
      <c r="AA778" s="991">
        <v>860</v>
      </c>
      <c r="AB778" s="992">
        <f t="shared" si="214"/>
        <v>3834</v>
      </c>
      <c r="AC778" s="993">
        <f t="shared" si="215"/>
        <v>26.643502432244613</v>
      </c>
      <c r="AD778" s="994">
        <f t="shared" si="216"/>
        <v>4231</v>
      </c>
      <c r="AE778" s="995">
        <f t="shared" si="217"/>
        <v>29.402362751911049</v>
      </c>
      <c r="AF778" s="996">
        <v>70</v>
      </c>
      <c r="AG778" s="997">
        <v>55</v>
      </c>
      <c r="AH778" s="997">
        <v>5</v>
      </c>
      <c r="AI778" s="998">
        <f t="shared" si="218"/>
        <v>130</v>
      </c>
      <c r="AJ778" s="993">
        <f t="shared" si="219"/>
        <v>0.90340514246004167</v>
      </c>
    </row>
    <row r="779" spans="1:36" ht="16.5" customHeight="1">
      <c r="A779" s="999">
        <f>'09월 조업일지'!A777</f>
        <v>46294</v>
      </c>
      <c r="B779" s="1099">
        <f>'09월 조업일지'!B777</f>
        <v>46294</v>
      </c>
      <c r="C779" s="1000" t="str">
        <f>'09월 화학성분'!D777</f>
        <v>C</v>
      </c>
      <c r="D779" s="1000" t="str">
        <f>'09월 화학성분'!E777</f>
        <v>B</v>
      </c>
      <c r="E779" s="1000">
        <f>'09월 화학성분'!C777</f>
        <v>85979</v>
      </c>
      <c r="F779" s="1001" t="str">
        <f t="shared" si="205"/>
        <v>SHN400(BL)</v>
      </c>
      <c r="G779" s="1172">
        <v>18.3</v>
      </c>
      <c r="H779" s="985">
        <v>22500</v>
      </c>
      <c r="I779" s="1173">
        <v>16.5</v>
      </c>
      <c r="J779" s="985">
        <v>20400</v>
      </c>
      <c r="K779" s="1173">
        <v>12.1</v>
      </c>
      <c r="L779" s="985">
        <v>15300</v>
      </c>
      <c r="M779" s="1174">
        <f t="shared" si="206"/>
        <v>46.9</v>
      </c>
      <c r="N779" s="984">
        <f t="shared" si="207"/>
        <v>58200</v>
      </c>
      <c r="O779" s="986">
        <f t="shared" si="208"/>
        <v>153.26975476839235</v>
      </c>
      <c r="P779" s="987">
        <f t="shared" si="209"/>
        <v>138.96457765667574</v>
      </c>
      <c r="Q779" s="987">
        <f t="shared" si="210"/>
        <v>104.2234332425068</v>
      </c>
      <c r="R779" s="988">
        <f t="shared" si="211"/>
        <v>396.4577656675749</v>
      </c>
      <c r="S779" s="989">
        <v>146.80000000000001</v>
      </c>
      <c r="T779" s="990">
        <v>0</v>
      </c>
      <c r="U779" s="991">
        <v>60</v>
      </c>
      <c r="V779" s="991">
        <v>293</v>
      </c>
      <c r="W779" s="992">
        <f t="shared" si="212"/>
        <v>353</v>
      </c>
      <c r="X779" s="993">
        <f t="shared" si="213"/>
        <v>2.4046321525885559</v>
      </c>
      <c r="Y779" s="990">
        <v>1517</v>
      </c>
      <c r="Z779" s="991">
        <v>1342</v>
      </c>
      <c r="AA779" s="991">
        <v>785</v>
      </c>
      <c r="AB779" s="992">
        <f t="shared" si="214"/>
        <v>3644</v>
      </c>
      <c r="AC779" s="993">
        <f t="shared" si="215"/>
        <v>24.822888283378745</v>
      </c>
      <c r="AD779" s="994">
        <f t="shared" si="216"/>
        <v>3997</v>
      </c>
      <c r="AE779" s="995">
        <f t="shared" si="217"/>
        <v>27.2275204359673</v>
      </c>
      <c r="AF779" s="996">
        <v>76</v>
      </c>
      <c r="AG779" s="997">
        <v>61</v>
      </c>
      <c r="AH779" s="997">
        <v>7</v>
      </c>
      <c r="AI779" s="998">
        <f t="shared" si="218"/>
        <v>144</v>
      </c>
      <c r="AJ779" s="993">
        <f t="shared" si="219"/>
        <v>0.98092643051771111</v>
      </c>
    </row>
    <row r="780" spans="1:36" ht="16.5" customHeight="1">
      <c r="A780" s="999">
        <f>'09월 조업일지'!A778</f>
        <v>46294</v>
      </c>
      <c r="B780" s="1099">
        <f>'09월 조업일지'!B778</f>
        <v>46294</v>
      </c>
      <c r="C780" s="1000" t="str">
        <f>'09월 화학성분'!D778</f>
        <v>C</v>
      </c>
      <c r="D780" s="1000" t="str">
        <f>'09월 화학성분'!E778</f>
        <v>A</v>
      </c>
      <c r="E780" s="1000">
        <f>'09월 화학성분'!C778</f>
        <v>85980</v>
      </c>
      <c r="F780" s="1001" t="str">
        <f t="shared" si="205"/>
        <v>SHN400(BL)</v>
      </c>
      <c r="G780" s="1172">
        <v>20.399999999999999</v>
      </c>
      <c r="H780" s="985">
        <v>24500</v>
      </c>
      <c r="I780" s="1173">
        <v>17.7</v>
      </c>
      <c r="J780" s="985">
        <v>20900</v>
      </c>
      <c r="K780" s="1173">
        <v>8.1</v>
      </c>
      <c r="L780" s="985">
        <v>10300</v>
      </c>
      <c r="M780" s="1174">
        <f t="shared" si="206"/>
        <v>46.199999999999996</v>
      </c>
      <c r="N780" s="984">
        <f t="shared" si="207"/>
        <v>55700</v>
      </c>
      <c r="O780" s="986">
        <f t="shared" si="208"/>
        <v>170.85076708507671</v>
      </c>
      <c r="P780" s="987">
        <f t="shared" si="209"/>
        <v>145.74616457461644</v>
      </c>
      <c r="Q780" s="987">
        <f t="shared" si="210"/>
        <v>71.827057182705715</v>
      </c>
      <c r="R780" s="988">
        <f t="shared" si="211"/>
        <v>388.4239888423989</v>
      </c>
      <c r="S780" s="989">
        <v>143.4</v>
      </c>
      <c r="T780" s="990">
        <v>0</v>
      </c>
      <c r="U780" s="991">
        <v>197</v>
      </c>
      <c r="V780" s="991">
        <v>186</v>
      </c>
      <c r="W780" s="992">
        <f t="shared" si="212"/>
        <v>383</v>
      </c>
      <c r="X780" s="993">
        <f t="shared" si="213"/>
        <v>2.6708507670850765</v>
      </c>
      <c r="Y780" s="990">
        <v>1703</v>
      </c>
      <c r="Z780" s="991">
        <v>1451</v>
      </c>
      <c r="AA780" s="991">
        <v>675</v>
      </c>
      <c r="AB780" s="992">
        <f t="shared" si="214"/>
        <v>3829</v>
      </c>
      <c r="AC780" s="993">
        <f t="shared" si="215"/>
        <v>26.701534170153415</v>
      </c>
      <c r="AD780" s="994">
        <f t="shared" si="216"/>
        <v>4212</v>
      </c>
      <c r="AE780" s="995">
        <f t="shared" si="217"/>
        <v>29.372384937238493</v>
      </c>
      <c r="AF780" s="996">
        <v>72</v>
      </c>
      <c r="AG780" s="997">
        <v>59</v>
      </c>
      <c r="AH780" s="997">
        <v>3</v>
      </c>
      <c r="AI780" s="998">
        <f t="shared" si="218"/>
        <v>134</v>
      </c>
      <c r="AJ780" s="993">
        <f t="shared" si="219"/>
        <v>0.93444909344490934</v>
      </c>
    </row>
    <row r="781" spans="1:36" ht="16.5" customHeight="1">
      <c r="A781" s="999">
        <f>'09월 조업일지'!A779</f>
        <v>46294</v>
      </c>
      <c r="B781" s="1099">
        <f>'09월 조업일지'!B779</f>
        <v>46294</v>
      </c>
      <c r="C781" s="1000" t="str">
        <f>'09월 화학성분'!D779</f>
        <v>C</v>
      </c>
      <c r="D781" s="1000" t="str">
        <f>'09월 화학성분'!E779</f>
        <v>B</v>
      </c>
      <c r="E781" s="1000">
        <f>'09월 화학성분'!C779</f>
        <v>85981</v>
      </c>
      <c r="F781" s="1001" t="str">
        <f t="shared" si="205"/>
        <v>SHN400(BL)</v>
      </c>
      <c r="G781" s="1172">
        <v>19.3</v>
      </c>
      <c r="H781" s="985">
        <v>22800</v>
      </c>
      <c r="I781" s="1173">
        <v>16.5</v>
      </c>
      <c r="J781" s="985">
        <v>20300</v>
      </c>
      <c r="K781" s="1173">
        <v>12.4</v>
      </c>
      <c r="L781" s="985">
        <v>15800</v>
      </c>
      <c r="M781" s="1174">
        <f t="shared" si="206"/>
        <v>48.199999999999996</v>
      </c>
      <c r="N781" s="984">
        <f t="shared" si="207"/>
        <v>58900</v>
      </c>
      <c r="O781" s="986">
        <f t="shared" si="208"/>
        <v>157.24137931034483</v>
      </c>
      <c r="P781" s="987">
        <f t="shared" si="209"/>
        <v>140</v>
      </c>
      <c r="Q781" s="987">
        <f t="shared" si="210"/>
        <v>108.96551724137932</v>
      </c>
      <c r="R781" s="988">
        <f t="shared" si="211"/>
        <v>406.20689655172413</v>
      </c>
      <c r="S781" s="989">
        <v>145</v>
      </c>
      <c r="T781" s="990">
        <v>0</v>
      </c>
      <c r="U781" s="991">
        <v>55</v>
      </c>
      <c r="V781" s="991">
        <v>301</v>
      </c>
      <c r="W781" s="992">
        <f t="shared" si="212"/>
        <v>356</v>
      </c>
      <c r="X781" s="993">
        <f t="shared" si="213"/>
        <v>2.4551724137931035</v>
      </c>
      <c r="Y781" s="990">
        <v>1605</v>
      </c>
      <c r="Z781" s="991">
        <v>1337</v>
      </c>
      <c r="AA781" s="991">
        <v>953</v>
      </c>
      <c r="AB781" s="992">
        <f t="shared" si="214"/>
        <v>3895</v>
      </c>
      <c r="AC781" s="993">
        <f t="shared" si="215"/>
        <v>26.862068965517242</v>
      </c>
      <c r="AD781" s="994">
        <f t="shared" si="216"/>
        <v>4251</v>
      </c>
      <c r="AE781" s="995">
        <f t="shared" si="217"/>
        <v>29.317241379310346</v>
      </c>
      <c r="AF781" s="996">
        <v>81</v>
      </c>
      <c r="AG781" s="997">
        <v>64</v>
      </c>
      <c r="AH781" s="997">
        <v>9</v>
      </c>
      <c r="AI781" s="998">
        <f t="shared" si="218"/>
        <v>154</v>
      </c>
      <c r="AJ781" s="993">
        <f t="shared" si="219"/>
        <v>1.0620689655172413</v>
      </c>
    </row>
    <row r="782" spans="1:36" s="601" customFormat="1" ht="16.5" customHeight="1">
      <c r="A782" s="999">
        <f>'09월 조업일지'!A780</f>
        <v>46294</v>
      </c>
      <c r="B782" s="1099">
        <f>'09월 조업일지'!B780</f>
        <v>46294</v>
      </c>
      <c r="C782" s="1000" t="str">
        <f>'09월 화학성분'!D780</f>
        <v>C</v>
      </c>
      <c r="D782" s="1000" t="str">
        <f>'09월 화학성분'!E780</f>
        <v>A</v>
      </c>
      <c r="E782" s="1000">
        <f>'09월 화학성분'!C780</f>
        <v>85982</v>
      </c>
      <c r="F782" s="1001" t="str">
        <f t="shared" si="205"/>
        <v>SHN400(BL)</v>
      </c>
      <c r="G782" s="1172">
        <v>19.399999999999999</v>
      </c>
      <c r="H782" s="985">
        <v>23000</v>
      </c>
      <c r="I782" s="1173">
        <v>17.8</v>
      </c>
      <c r="J782" s="985">
        <v>21100</v>
      </c>
      <c r="K782" s="1173">
        <v>9.3000000000000007</v>
      </c>
      <c r="L782" s="985">
        <v>11200</v>
      </c>
      <c r="M782" s="1174">
        <f t="shared" si="206"/>
        <v>46.5</v>
      </c>
      <c r="N782" s="984">
        <f t="shared" si="207"/>
        <v>55300</v>
      </c>
      <c r="O782" s="986">
        <f t="shared" si="208"/>
        <v>160.95171448565429</v>
      </c>
      <c r="P782" s="987">
        <f t="shared" si="209"/>
        <v>147.6557032890133</v>
      </c>
      <c r="Q782" s="987">
        <f t="shared" si="210"/>
        <v>78.376487053883835</v>
      </c>
      <c r="R782" s="988">
        <f t="shared" si="211"/>
        <v>386.98390482855143</v>
      </c>
      <c r="S782" s="989">
        <v>142.9</v>
      </c>
      <c r="T782" s="990">
        <v>0</v>
      </c>
      <c r="U782" s="991">
        <v>112</v>
      </c>
      <c r="V782" s="991">
        <v>247</v>
      </c>
      <c r="W782" s="992">
        <f t="shared" si="212"/>
        <v>359</v>
      </c>
      <c r="X782" s="993">
        <f t="shared" si="213"/>
        <v>2.5122463261021695</v>
      </c>
      <c r="Y782" s="990">
        <v>1638</v>
      </c>
      <c r="Z782" s="991">
        <v>1473</v>
      </c>
      <c r="AA782" s="991">
        <v>806</v>
      </c>
      <c r="AB782" s="992">
        <f t="shared" si="214"/>
        <v>3917</v>
      </c>
      <c r="AC782" s="993">
        <f t="shared" si="215"/>
        <v>27.410776766969907</v>
      </c>
      <c r="AD782" s="994">
        <f t="shared" si="216"/>
        <v>4276</v>
      </c>
      <c r="AE782" s="995">
        <f t="shared" si="217"/>
        <v>29.923023093072079</v>
      </c>
      <c r="AF782" s="996">
        <v>80</v>
      </c>
      <c r="AG782" s="997">
        <v>59</v>
      </c>
      <c r="AH782" s="997">
        <v>6</v>
      </c>
      <c r="AI782" s="998">
        <f t="shared" si="218"/>
        <v>145</v>
      </c>
      <c r="AJ782" s="993">
        <f t="shared" si="219"/>
        <v>1.0146955913226032</v>
      </c>
    </row>
    <row r="783" spans="1:36" ht="16.5" customHeight="1">
      <c r="A783" s="999">
        <f>'09월 조업일지'!A781</f>
        <v>46294</v>
      </c>
      <c r="B783" s="1099">
        <f>'09월 조업일지'!B781</f>
        <v>46294</v>
      </c>
      <c r="C783" s="1000" t="str">
        <f>'09월 화학성분'!D781</f>
        <v>C</v>
      </c>
      <c r="D783" s="1000" t="str">
        <f>'09월 화학성분'!E781</f>
        <v>B</v>
      </c>
      <c r="E783" s="1000">
        <f>'09월 화학성분'!C781</f>
        <v>85983</v>
      </c>
      <c r="F783" s="1001" t="str">
        <f t="shared" si="205"/>
        <v>SHN400(BL)</v>
      </c>
      <c r="G783" s="1172">
        <v>20.7</v>
      </c>
      <c r="H783" s="985">
        <v>24400</v>
      </c>
      <c r="I783" s="1173">
        <v>16.899999999999999</v>
      </c>
      <c r="J783" s="985">
        <v>20400</v>
      </c>
      <c r="K783" s="1173">
        <v>10.1</v>
      </c>
      <c r="L783" s="985">
        <v>13100</v>
      </c>
      <c r="M783" s="1174">
        <f t="shared" si="206"/>
        <v>47.699999999999996</v>
      </c>
      <c r="N783" s="984">
        <f t="shared" si="207"/>
        <v>57900</v>
      </c>
      <c r="O783" s="986">
        <f t="shared" si="208"/>
        <v>168.85813148788927</v>
      </c>
      <c r="P783" s="987">
        <f t="shared" si="209"/>
        <v>141.1764705882353</v>
      </c>
      <c r="Q783" s="987">
        <f t="shared" si="210"/>
        <v>90.65743944636678</v>
      </c>
      <c r="R783" s="988">
        <f t="shared" si="211"/>
        <v>400.69204152249131</v>
      </c>
      <c r="S783" s="989">
        <v>144.5</v>
      </c>
      <c r="T783" s="990">
        <v>0</v>
      </c>
      <c r="U783" s="991">
        <v>91</v>
      </c>
      <c r="V783" s="991">
        <v>415</v>
      </c>
      <c r="W783" s="992">
        <f t="shared" si="212"/>
        <v>506</v>
      </c>
      <c r="X783" s="993">
        <f t="shared" si="213"/>
        <v>3.5017301038062283</v>
      </c>
      <c r="Y783" s="990">
        <v>1695</v>
      </c>
      <c r="Z783" s="991">
        <v>1468</v>
      </c>
      <c r="AA783" s="991">
        <v>1207</v>
      </c>
      <c r="AB783" s="992">
        <f t="shared" si="214"/>
        <v>4370</v>
      </c>
      <c r="AC783" s="993">
        <f t="shared" si="215"/>
        <v>30.242214532871973</v>
      </c>
      <c r="AD783" s="994">
        <f t="shared" si="216"/>
        <v>4876</v>
      </c>
      <c r="AE783" s="995">
        <f t="shared" si="217"/>
        <v>33.743944636678201</v>
      </c>
      <c r="AF783" s="996">
        <v>83</v>
      </c>
      <c r="AG783" s="997">
        <v>68</v>
      </c>
      <c r="AH783" s="997">
        <v>12</v>
      </c>
      <c r="AI783" s="998">
        <f t="shared" si="218"/>
        <v>163</v>
      </c>
      <c r="AJ783" s="993">
        <f t="shared" si="219"/>
        <v>1.1280276816608996</v>
      </c>
    </row>
    <row r="784" spans="1:36" ht="16.5" customHeight="1">
      <c r="A784" s="999">
        <f>'09월 조업일지'!A782</f>
        <v>46294</v>
      </c>
      <c r="B784" s="1099">
        <f>'09월 조업일지'!B782</f>
        <v>46294</v>
      </c>
      <c r="C784" s="1000" t="str">
        <f>'09월 화학성분'!D782</f>
        <v>C</v>
      </c>
      <c r="D784" s="1000" t="str">
        <f>'09월 화학성분'!E782</f>
        <v>A</v>
      </c>
      <c r="E784" s="1000">
        <f>'09월 화학성분'!C782</f>
        <v>85984</v>
      </c>
      <c r="F784" s="1001" t="str">
        <f t="shared" ref="F784:F847" si="220">IF(G784="","",F783)</f>
        <v>SHN400(BL)</v>
      </c>
      <c r="G784" s="1172">
        <v>18.8</v>
      </c>
      <c r="H784" s="985">
        <v>22800</v>
      </c>
      <c r="I784" s="1173">
        <v>17</v>
      </c>
      <c r="J784" s="985">
        <v>20700</v>
      </c>
      <c r="K784" s="1173">
        <v>13.3</v>
      </c>
      <c r="L784" s="985">
        <v>16500</v>
      </c>
      <c r="M784" s="1174">
        <f t="shared" ref="M784:M847" si="221">IF(ISBLANK(G784),"",SUM(G784,I784,K784))</f>
        <v>49.099999999999994</v>
      </c>
      <c r="N784" s="984">
        <f t="shared" ref="N784:N847" si="222">IF(ISBLANK(H784),"",SUM(H784,J784,L784))</f>
        <v>60000</v>
      </c>
      <c r="O784" s="986">
        <f t="shared" ref="O784:O847" si="223">IF(ISBLANK(H784),"",H784/S784)</f>
        <v>158.11373092926493</v>
      </c>
      <c r="P784" s="987">
        <f t="shared" ref="P784:P847" si="224">IF(ISBLANK(J784),"",+J784/S784)</f>
        <v>143.5506241331484</v>
      </c>
      <c r="Q784" s="987">
        <f t="shared" ref="Q784:Q847" si="225">IF(ISBLANK(L784),"",L784/S784)</f>
        <v>114.4244105409154</v>
      </c>
      <c r="R784" s="988">
        <f t="shared" ref="R784:R847" si="226">IF(ISBLANK(L784),"",SUM(O784:Q784))</f>
        <v>416.08876560332874</v>
      </c>
      <c r="S784" s="989">
        <v>144.19999999999999</v>
      </c>
      <c r="T784" s="990">
        <v>0</v>
      </c>
      <c r="U784" s="991">
        <v>91</v>
      </c>
      <c r="V784" s="991">
        <v>288</v>
      </c>
      <c r="W784" s="992">
        <f t="shared" ref="W784:W847" si="227">IF(SUM(T784:V784)=0,"",SUM(T784:V784))</f>
        <v>379</v>
      </c>
      <c r="X784" s="993">
        <f t="shared" ref="X784:X847" si="228">IF(W784="","",W784/S784)</f>
        <v>2.6282940360610265</v>
      </c>
      <c r="Y784" s="990">
        <v>1556</v>
      </c>
      <c r="Z784" s="991">
        <v>1400</v>
      </c>
      <c r="AA784" s="991">
        <v>937</v>
      </c>
      <c r="AB784" s="992">
        <f t="shared" ref="AB784:AB847" si="229">IF(SUM(Y784:AA784)=0,"",SUM(Y784:AA784))</f>
        <v>3893</v>
      </c>
      <c r="AC784" s="993">
        <f t="shared" ref="AC784:AC847" si="230">IF(AB784="","",AB784/S784)</f>
        <v>26.99722607489598</v>
      </c>
      <c r="AD784" s="994">
        <f t="shared" ref="AD784:AD847" si="231">IF(SUM(W784,AB784)=0,"",SUM(W784,AB784))</f>
        <v>4272</v>
      </c>
      <c r="AE784" s="995">
        <f t="shared" ref="AE784:AE847" si="232">IF(AD784="","",AD784/S784)</f>
        <v>29.625520110957005</v>
      </c>
      <c r="AF784" s="996">
        <v>82</v>
      </c>
      <c r="AG784" s="997">
        <v>61</v>
      </c>
      <c r="AH784" s="997">
        <v>9</v>
      </c>
      <c r="AI784" s="998">
        <f t="shared" ref="AI784:AI847" si="233">IF(SUM(AF784:AH784)=0,"",SUM(AF784:AH784))</f>
        <v>152</v>
      </c>
      <c r="AJ784" s="993">
        <f t="shared" ref="AJ784:AJ847" si="234">IF(AI784="","",AI784/S784)</f>
        <v>1.0540915395284327</v>
      </c>
    </row>
    <row r="785" spans="1:36" ht="16.5" customHeight="1">
      <c r="A785" s="999">
        <f>'09월 조업일지'!A783</f>
        <v>46294</v>
      </c>
      <c r="B785" s="1099">
        <f>'09월 조업일지'!B783</f>
        <v>46294</v>
      </c>
      <c r="C785" s="1000" t="str">
        <f>'09월 화학성분'!D783</f>
        <v>C</v>
      </c>
      <c r="D785" s="1000" t="str">
        <f>'09월 화학성분'!E783</f>
        <v>B</v>
      </c>
      <c r="E785" s="1000">
        <f>'09월 화학성분'!C783</f>
        <v>85985</v>
      </c>
      <c r="F785" s="1001" t="str">
        <f t="shared" si="220"/>
        <v>SHN400(BL)</v>
      </c>
      <c r="G785" s="1172">
        <v>19.2</v>
      </c>
      <c r="H785" s="985">
        <v>23000</v>
      </c>
      <c r="I785" s="1173">
        <v>17</v>
      </c>
      <c r="J785" s="985">
        <v>20800</v>
      </c>
      <c r="K785" s="1173">
        <v>17.3</v>
      </c>
      <c r="L785" s="985">
        <v>20600</v>
      </c>
      <c r="M785" s="1174">
        <f t="shared" si="221"/>
        <v>53.5</v>
      </c>
      <c r="N785" s="984">
        <f t="shared" si="222"/>
        <v>64400</v>
      </c>
      <c r="O785" s="986">
        <f t="shared" si="223"/>
        <v>160.2787456445993</v>
      </c>
      <c r="P785" s="987">
        <f t="shared" si="224"/>
        <v>144.94773519163763</v>
      </c>
      <c r="Q785" s="987">
        <f t="shared" si="225"/>
        <v>143.55400696864112</v>
      </c>
      <c r="R785" s="988">
        <f t="shared" si="226"/>
        <v>448.78048780487802</v>
      </c>
      <c r="S785" s="989">
        <v>143.5</v>
      </c>
      <c r="T785" s="990">
        <v>0</v>
      </c>
      <c r="U785" s="991">
        <v>83</v>
      </c>
      <c r="V785" s="991">
        <v>259</v>
      </c>
      <c r="W785" s="992">
        <f t="shared" si="227"/>
        <v>342</v>
      </c>
      <c r="X785" s="993">
        <f t="shared" si="228"/>
        <v>2.3832752613240418</v>
      </c>
      <c r="Y785" s="990">
        <v>1603</v>
      </c>
      <c r="Z785" s="991">
        <v>1414</v>
      </c>
      <c r="AA785" s="991">
        <v>1884</v>
      </c>
      <c r="AB785" s="992">
        <f t="shared" si="229"/>
        <v>4901</v>
      </c>
      <c r="AC785" s="993">
        <f t="shared" si="230"/>
        <v>34.153310104529616</v>
      </c>
      <c r="AD785" s="994">
        <f t="shared" si="231"/>
        <v>5243</v>
      </c>
      <c r="AE785" s="995">
        <f t="shared" si="232"/>
        <v>36.536585365853661</v>
      </c>
      <c r="AF785" s="996">
        <v>82</v>
      </c>
      <c r="AG785" s="997">
        <v>63</v>
      </c>
      <c r="AH785" s="997">
        <v>21</v>
      </c>
      <c r="AI785" s="998">
        <f t="shared" si="233"/>
        <v>166</v>
      </c>
      <c r="AJ785" s="993">
        <f t="shared" si="234"/>
        <v>1.1567944250871081</v>
      </c>
    </row>
    <row r="786" spans="1:36" ht="16.5" customHeight="1">
      <c r="A786" s="999">
        <f>'09월 조업일지'!A784</f>
        <v>46294</v>
      </c>
      <c r="B786" s="1099">
        <f>'09월 조업일지'!B784</f>
        <v>46294</v>
      </c>
      <c r="C786" s="1000" t="str">
        <f>'09월 화학성분'!D784</f>
        <v>D</v>
      </c>
      <c r="D786" s="1000" t="str">
        <f>'09월 화학성분'!E784</f>
        <v>A</v>
      </c>
      <c r="E786" s="1000">
        <f>'09월 화학성분'!C784</f>
        <v>85986</v>
      </c>
      <c r="F786" s="1001" t="str">
        <f t="shared" si="220"/>
        <v>SHN400(BL)</v>
      </c>
      <c r="G786" s="1172">
        <v>22.4</v>
      </c>
      <c r="H786" s="985">
        <v>25100</v>
      </c>
      <c r="I786" s="1173">
        <v>18.100000000000001</v>
      </c>
      <c r="J786" s="985">
        <v>21000</v>
      </c>
      <c r="K786" s="1173">
        <v>15.6</v>
      </c>
      <c r="L786" s="985">
        <v>19200</v>
      </c>
      <c r="M786" s="1174">
        <f t="shared" si="221"/>
        <v>56.1</v>
      </c>
      <c r="N786" s="984">
        <f t="shared" si="222"/>
        <v>65300</v>
      </c>
      <c r="O786" s="986">
        <f t="shared" si="223"/>
        <v>174.30555555555554</v>
      </c>
      <c r="P786" s="987">
        <f t="shared" si="224"/>
        <v>145.83333333333334</v>
      </c>
      <c r="Q786" s="987">
        <f t="shared" si="225"/>
        <v>133.33333333333334</v>
      </c>
      <c r="R786" s="988">
        <f t="shared" si="226"/>
        <v>453.47222222222229</v>
      </c>
      <c r="S786" s="989">
        <v>144</v>
      </c>
      <c r="T786" s="990">
        <v>0</v>
      </c>
      <c r="U786" s="991">
        <v>222</v>
      </c>
      <c r="V786" s="991">
        <v>146</v>
      </c>
      <c r="W786" s="992">
        <f t="shared" si="227"/>
        <v>368</v>
      </c>
      <c r="X786" s="993">
        <f t="shared" si="228"/>
        <v>2.5555555555555554</v>
      </c>
      <c r="Y786" s="990">
        <v>1812</v>
      </c>
      <c r="Z786" s="991">
        <v>1484</v>
      </c>
      <c r="AA786" s="991">
        <v>827</v>
      </c>
      <c r="AB786" s="992">
        <f t="shared" si="229"/>
        <v>4123</v>
      </c>
      <c r="AC786" s="993">
        <f t="shared" si="230"/>
        <v>28.631944444444443</v>
      </c>
      <c r="AD786" s="994">
        <f t="shared" si="231"/>
        <v>4491</v>
      </c>
      <c r="AE786" s="995">
        <f t="shared" si="232"/>
        <v>31.1875</v>
      </c>
      <c r="AF786" s="996">
        <v>88</v>
      </c>
      <c r="AG786" s="997">
        <v>69</v>
      </c>
      <c r="AH786" s="997">
        <v>7</v>
      </c>
      <c r="AI786" s="998">
        <f t="shared" si="233"/>
        <v>164</v>
      </c>
      <c r="AJ786" s="993">
        <f t="shared" si="234"/>
        <v>1.1388888888888888</v>
      </c>
    </row>
    <row r="787" spans="1:36" ht="16.5" customHeight="1">
      <c r="A787" s="999">
        <f>'09월 조업일지'!A785</f>
        <v>46294</v>
      </c>
      <c r="B787" s="1099">
        <f>'09월 조업일지'!B785</f>
        <v>46294</v>
      </c>
      <c r="C787" s="1000" t="str">
        <f>'09월 화학성분'!D785</f>
        <v>D</v>
      </c>
      <c r="D787" s="1000" t="str">
        <f>'09월 화학성분'!E785</f>
        <v>A</v>
      </c>
      <c r="E787" s="1000">
        <f>'09월 화학성분'!C785</f>
        <v>85987</v>
      </c>
      <c r="F787" s="1001" t="str">
        <f t="shared" si="220"/>
        <v>SHN400(BL)</v>
      </c>
      <c r="G787" s="1172">
        <v>18.600000000000001</v>
      </c>
      <c r="H787" s="985">
        <v>23000</v>
      </c>
      <c r="I787" s="1173">
        <v>16.7</v>
      </c>
      <c r="J787" s="985">
        <v>20800</v>
      </c>
      <c r="K787" s="1173">
        <v>13.6</v>
      </c>
      <c r="L787" s="985">
        <v>16900</v>
      </c>
      <c r="M787" s="1174">
        <f t="shared" si="221"/>
        <v>48.9</v>
      </c>
      <c r="N787" s="984">
        <f t="shared" si="222"/>
        <v>60700</v>
      </c>
      <c r="O787" s="986">
        <f t="shared" si="223"/>
        <v>159.39015939015937</v>
      </c>
      <c r="P787" s="987">
        <f t="shared" si="224"/>
        <v>144.14414414414412</v>
      </c>
      <c r="Q787" s="987">
        <f t="shared" si="225"/>
        <v>117.1171171171171</v>
      </c>
      <c r="R787" s="988">
        <f t="shared" si="226"/>
        <v>420.65142065142061</v>
      </c>
      <c r="S787" s="989">
        <v>144.30000000000001</v>
      </c>
      <c r="T787" s="990">
        <v>0</v>
      </c>
      <c r="U787" s="991">
        <v>24</v>
      </c>
      <c r="V787" s="991">
        <v>323</v>
      </c>
      <c r="W787" s="992">
        <f t="shared" si="227"/>
        <v>347</v>
      </c>
      <c r="X787" s="993">
        <f t="shared" si="228"/>
        <v>2.4047124047124044</v>
      </c>
      <c r="Y787" s="990">
        <v>1588</v>
      </c>
      <c r="Z787" s="991">
        <v>1372</v>
      </c>
      <c r="AA787" s="991">
        <v>1088</v>
      </c>
      <c r="AB787" s="992">
        <f t="shared" si="229"/>
        <v>4048</v>
      </c>
      <c r="AC787" s="993">
        <f t="shared" si="230"/>
        <v>28.05266805266805</v>
      </c>
      <c r="AD787" s="994">
        <f t="shared" si="231"/>
        <v>4395</v>
      </c>
      <c r="AE787" s="995">
        <f t="shared" si="232"/>
        <v>30.457380457380456</v>
      </c>
      <c r="AF787" s="996">
        <v>78</v>
      </c>
      <c r="AG787" s="997">
        <v>64</v>
      </c>
      <c r="AH787" s="997">
        <v>11</v>
      </c>
      <c r="AI787" s="998">
        <f t="shared" si="233"/>
        <v>153</v>
      </c>
      <c r="AJ787" s="993">
        <f t="shared" si="234"/>
        <v>1.0602910602910602</v>
      </c>
    </row>
    <row r="788" spans="1:36" ht="16.5" customHeight="1">
      <c r="A788" s="999">
        <f>'09월 조업일지'!A786</f>
        <v>46294</v>
      </c>
      <c r="B788" s="1099">
        <f>'09월 조업일지'!B786</f>
        <v>46294</v>
      </c>
      <c r="C788" s="1000" t="str">
        <f>'09월 화학성분'!D786</f>
        <v>D</v>
      </c>
      <c r="D788" s="1000" t="str">
        <f>'09월 화학성분'!E786</f>
        <v>A</v>
      </c>
      <c r="E788" s="1000">
        <f>'09월 화학성분'!C786</f>
        <v>85988</v>
      </c>
      <c r="F788" s="1001" t="str">
        <f t="shared" si="220"/>
        <v>SHN400(BL)</v>
      </c>
      <c r="G788" s="1172">
        <v>19.3</v>
      </c>
      <c r="H788" s="985">
        <v>23500</v>
      </c>
      <c r="I788" s="1173">
        <v>16.600000000000001</v>
      </c>
      <c r="J788" s="985">
        <v>20800</v>
      </c>
      <c r="K788" s="1173">
        <v>8.5</v>
      </c>
      <c r="L788" s="985">
        <v>10800</v>
      </c>
      <c r="M788" s="1174">
        <f t="shared" si="221"/>
        <v>44.400000000000006</v>
      </c>
      <c r="N788" s="984">
        <f t="shared" si="222"/>
        <v>55100</v>
      </c>
      <c r="O788" s="986">
        <f t="shared" si="223"/>
        <v>162.62975778546712</v>
      </c>
      <c r="P788" s="987">
        <f t="shared" si="224"/>
        <v>143.94463667820068</v>
      </c>
      <c r="Q788" s="987">
        <f t="shared" si="225"/>
        <v>74.740484429065745</v>
      </c>
      <c r="R788" s="988">
        <f t="shared" si="226"/>
        <v>381.31487889273353</v>
      </c>
      <c r="S788" s="989">
        <v>144.5</v>
      </c>
      <c r="T788" s="990">
        <v>0</v>
      </c>
      <c r="U788" s="991">
        <v>30</v>
      </c>
      <c r="V788" s="991">
        <v>312</v>
      </c>
      <c r="W788" s="992">
        <f t="shared" si="227"/>
        <v>342</v>
      </c>
      <c r="X788" s="993">
        <f t="shared" si="228"/>
        <v>2.3667820069204151</v>
      </c>
      <c r="Y788" s="990">
        <v>1590</v>
      </c>
      <c r="Z788" s="991">
        <v>1389</v>
      </c>
      <c r="AA788" s="991">
        <v>723</v>
      </c>
      <c r="AB788" s="992">
        <f t="shared" si="229"/>
        <v>3702</v>
      </c>
      <c r="AC788" s="993">
        <f t="shared" si="230"/>
        <v>25.619377162629757</v>
      </c>
      <c r="AD788" s="994">
        <f t="shared" si="231"/>
        <v>4044</v>
      </c>
      <c r="AE788" s="995">
        <f t="shared" si="232"/>
        <v>27.986159169550174</v>
      </c>
      <c r="AF788" s="996">
        <v>81</v>
      </c>
      <c r="AG788" s="997">
        <v>61</v>
      </c>
      <c r="AH788" s="997">
        <v>13</v>
      </c>
      <c r="AI788" s="998">
        <f t="shared" si="233"/>
        <v>155</v>
      </c>
      <c r="AJ788" s="993">
        <f t="shared" si="234"/>
        <v>1.0726643598615917</v>
      </c>
    </row>
    <row r="789" spans="1:36" ht="16.5" customHeight="1">
      <c r="A789" s="999">
        <f>'09월 조업일지'!A787</f>
        <v>46294</v>
      </c>
      <c r="B789" s="1099">
        <f>'09월 조업일지'!B787</f>
        <v>46294</v>
      </c>
      <c r="C789" s="1000" t="str">
        <f>'09월 화학성분'!D787</f>
        <v>D</v>
      </c>
      <c r="D789" s="1000" t="str">
        <f>'09월 화학성분'!E787</f>
        <v>B</v>
      </c>
      <c r="E789" s="1000">
        <f>'09월 화학성분'!C787</f>
        <v>85989</v>
      </c>
      <c r="F789" s="1001" t="str">
        <f t="shared" si="220"/>
        <v>SHN400(BL)</v>
      </c>
      <c r="G789" s="1172">
        <v>19.8</v>
      </c>
      <c r="H789" s="985">
        <v>23700</v>
      </c>
      <c r="I789" s="1173">
        <v>16.2</v>
      </c>
      <c r="J789" s="985">
        <v>20100</v>
      </c>
      <c r="K789" s="1173">
        <v>16.5</v>
      </c>
      <c r="L789" s="985">
        <v>20700</v>
      </c>
      <c r="M789" s="1174">
        <f t="shared" si="221"/>
        <v>52.5</v>
      </c>
      <c r="N789" s="984">
        <f t="shared" si="222"/>
        <v>64500</v>
      </c>
      <c r="O789" s="986">
        <f t="shared" si="223"/>
        <v>163.22314049586777</v>
      </c>
      <c r="P789" s="987">
        <f t="shared" si="224"/>
        <v>138.42975206611573</v>
      </c>
      <c r="Q789" s="987">
        <f t="shared" si="225"/>
        <v>142.5619834710744</v>
      </c>
      <c r="R789" s="988">
        <f t="shared" si="226"/>
        <v>444.21487603305786</v>
      </c>
      <c r="S789" s="989">
        <v>145.19999999999999</v>
      </c>
      <c r="T789" s="990">
        <v>0</v>
      </c>
      <c r="U789" s="991">
        <v>0</v>
      </c>
      <c r="V789" s="991">
        <v>320</v>
      </c>
      <c r="W789" s="992">
        <f t="shared" si="227"/>
        <v>320</v>
      </c>
      <c r="X789" s="993">
        <f t="shared" si="228"/>
        <v>2.2038567493112948</v>
      </c>
      <c r="Y789" s="990">
        <v>1428</v>
      </c>
      <c r="Z789" s="991">
        <v>1340</v>
      </c>
      <c r="AA789" s="991">
        <v>1188</v>
      </c>
      <c r="AB789" s="992">
        <f t="shared" si="229"/>
        <v>3956</v>
      </c>
      <c r="AC789" s="993">
        <f t="shared" si="230"/>
        <v>27.245179063360883</v>
      </c>
      <c r="AD789" s="994">
        <f t="shared" si="231"/>
        <v>4276</v>
      </c>
      <c r="AE789" s="995">
        <f t="shared" si="232"/>
        <v>29.449035812672179</v>
      </c>
      <c r="AF789" s="996">
        <v>61</v>
      </c>
      <c r="AG789" s="997">
        <v>64</v>
      </c>
      <c r="AH789" s="997">
        <v>11</v>
      </c>
      <c r="AI789" s="998">
        <f t="shared" si="233"/>
        <v>136</v>
      </c>
      <c r="AJ789" s="993">
        <f t="shared" si="234"/>
        <v>0.9366391184573003</v>
      </c>
    </row>
    <row r="790" spans="1:36" ht="16.5" customHeight="1">
      <c r="A790" s="999">
        <f>'09월 조업일지'!A788</f>
        <v>46294</v>
      </c>
      <c r="B790" s="1099">
        <f>'09월 조업일지'!B788</f>
        <v>46294</v>
      </c>
      <c r="C790" s="1000" t="str">
        <f>'09월 화학성분'!D788</f>
        <v>D</v>
      </c>
      <c r="D790" s="1000" t="str">
        <f>'09월 화학성분'!E788</f>
        <v>A</v>
      </c>
      <c r="E790" s="1000">
        <f>'09월 화학성분'!C788</f>
        <v>85990</v>
      </c>
      <c r="F790" s="1001" t="str">
        <f t="shared" si="220"/>
        <v>SHN400(BL)</v>
      </c>
      <c r="G790" s="1172">
        <v>18.5</v>
      </c>
      <c r="H790" s="985">
        <v>22200</v>
      </c>
      <c r="I790" s="1173">
        <v>17.600000000000001</v>
      </c>
      <c r="J790" s="985">
        <v>20700</v>
      </c>
      <c r="K790" s="1173">
        <v>9</v>
      </c>
      <c r="L790" s="985">
        <v>11200</v>
      </c>
      <c r="M790" s="1174">
        <f t="shared" si="221"/>
        <v>45.1</v>
      </c>
      <c r="N790" s="984">
        <f t="shared" si="222"/>
        <v>54100</v>
      </c>
      <c r="O790" s="986">
        <f t="shared" si="223"/>
        <v>153.84615384615384</v>
      </c>
      <c r="P790" s="987">
        <f t="shared" si="224"/>
        <v>143.45114345114345</v>
      </c>
      <c r="Q790" s="987">
        <f t="shared" si="225"/>
        <v>77.616077616077604</v>
      </c>
      <c r="R790" s="988">
        <f t="shared" si="226"/>
        <v>374.91337491337492</v>
      </c>
      <c r="S790" s="989">
        <v>144.30000000000001</v>
      </c>
      <c r="T790" s="990">
        <v>0</v>
      </c>
      <c r="U790" s="991">
        <v>0</v>
      </c>
      <c r="V790" s="991">
        <v>321</v>
      </c>
      <c r="W790" s="992">
        <f t="shared" si="227"/>
        <v>321</v>
      </c>
      <c r="X790" s="993">
        <f t="shared" si="228"/>
        <v>2.2245322245322243</v>
      </c>
      <c r="Y790" s="990">
        <v>1507</v>
      </c>
      <c r="Z790" s="991">
        <v>1482</v>
      </c>
      <c r="AA790" s="991">
        <v>807</v>
      </c>
      <c r="AB790" s="992">
        <f t="shared" si="229"/>
        <v>3796</v>
      </c>
      <c r="AC790" s="993">
        <f t="shared" si="230"/>
        <v>26.306306306306304</v>
      </c>
      <c r="AD790" s="994">
        <f t="shared" si="231"/>
        <v>4117</v>
      </c>
      <c r="AE790" s="995">
        <f t="shared" si="232"/>
        <v>28.53083853083853</v>
      </c>
      <c r="AF790" s="996">
        <v>79</v>
      </c>
      <c r="AG790" s="997">
        <v>67</v>
      </c>
      <c r="AH790" s="997">
        <v>8</v>
      </c>
      <c r="AI790" s="998">
        <f t="shared" si="233"/>
        <v>154</v>
      </c>
      <c r="AJ790" s="993">
        <f t="shared" si="234"/>
        <v>1.0672210672210671</v>
      </c>
    </row>
    <row r="791" spans="1:36" ht="16.5" customHeight="1">
      <c r="A791" s="999">
        <f>'09월 조업일지'!A789</f>
        <v>46294</v>
      </c>
      <c r="B791" s="1099">
        <f>'09월 조업일지'!B789</f>
        <v>46294</v>
      </c>
      <c r="C791" s="1000" t="str">
        <f>'09월 화학성분'!D789</f>
        <v>D</v>
      </c>
      <c r="D791" s="1000" t="str">
        <f>'09월 화학성분'!E789</f>
        <v>B</v>
      </c>
      <c r="E791" s="1000">
        <f>'09월 화학성분'!C789</f>
        <v>85991</v>
      </c>
      <c r="F791" s="1001" t="str">
        <f t="shared" si="220"/>
        <v>SHN400(BL)</v>
      </c>
      <c r="G791" s="1172">
        <v>18.5</v>
      </c>
      <c r="H791" s="985">
        <v>23000</v>
      </c>
      <c r="I791" s="1173">
        <v>16.600000000000001</v>
      </c>
      <c r="J791" s="985">
        <v>20400</v>
      </c>
      <c r="K791" s="1173">
        <v>10.1</v>
      </c>
      <c r="L791" s="985">
        <v>13000</v>
      </c>
      <c r="M791" s="1174">
        <f t="shared" si="221"/>
        <v>45.2</v>
      </c>
      <c r="N791" s="984">
        <f t="shared" si="222"/>
        <v>56400</v>
      </c>
      <c r="O791" s="986">
        <f t="shared" si="223"/>
        <v>156.88949522510234</v>
      </c>
      <c r="P791" s="987">
        <f t="shared" si="224"/>
        <v>139.15416098226467</v>
      </c>
      <c r="Q791" s="987">
        <f t="shared" si="225"/>
        <v>88.676671214188275</v>
      </c>
      <c r="R791" s="988">
        <f t="shared" si="226"/>
        <v>384.72032742155528</v>
      </c>
      <c r="S791" s="989">
        <v>146.6</v>
      </c>
      <c r="T791" s="990">
        <v>0</v>
      </c>
      <c r="U791" s="991">
        <v>0</v>
      </c>
      <c r="V791" s="991">
        <v>337</v>
      </c>
      <c r="W791" s="992">
        <f t="shared" si="227"/>
        <v>337</v>
      </c>
      <c r="X791" s="993">
        <f t="shared" si="228"/>
        <v>2.2987721691678038</v>
      </c>
      <c r="Y791" s="990">
        <v>1514</v>
      </c>
      <c r="Z791" s="991">
        <v>1366</v>
      </c>
      <c r="AA791" s="991">
        <v>814</v>
      </c>
      <c r="AB791" s="992">
        <f t="shared" si="229"/>
        <v>3694</v>
      </c>
      <c r="AC791" s="993">
        <f t="shared" si="230"/>
        <v>25.197817189631653</v>
      </c>
      <c r="AD791" s="994">
        <f t="shared" si="231"/>
        <v>4031</v>
      </c>
      <c r="AE791" s="995">
        <f t="shared" si="232"/>
        <v>27.496589358799454</v>
      </c>
      <c r="AF791" s="996">
        <v>78</v>
      </c>
      <c r="AG791" s="997">
        <v>65</v>
      </c>
      <c r="AH791" s="997">
        <v>7</v>
      </c>
      <c r="AI791" s="998">
        <f t="shared" si="233"/>
        <v>150</v>
      </c>
      <c r="AJ791" s="993">
        <f t="shared" si="234"/>
        <v>1.0231923601637107</v>
      </c>
    </row>
    <row r="792" spans="1:36" ht="16.5" customHeight="1">
      <c r="A792" s="999">
        <f>'09월 조업일지'!A790</f>
        <v>46294</v>
      </c>
      <c r="B792" s="1099">
        <f>'09월 조업일지'!B790</f>
        <v>46294</v>
      </c>
      <c r="C792" s="1000" t="str">
        <f>'09월 화학성분'!D790</f>
        <v>D</v>
      </c>
      <c r="D792" s="1000" t="str">
        <f>'09월 화학성분'!E790</f>
        <v>A</v>
      </c>
      <c r="E792" s="1000">
        <f>'09월 화학성분'!C790</f>
        <v>85992</v>
      </c>
      <c r="F792" s="1001" t="str">
        <f t="shared" si="220"/>
        <v>SHN400(BL)</v>
      </c>
      <c r="G792" s="1172">
        <v>19.3</v>
      </c>
      <c r="H792" s="985">
        <v>23100</v>
      </c>
      <c r="I792" s="1173">
        <v>17</v>
      </c>
      <c r="J792" s="985">
        <v>20800</v>
      </c>
      <c r="K792" s="1173">
        <v>9.9</v>
      </c>
      <c r="L792" s="985">
        <v>12600</v>
      </c>
      <c r="M792" s="1174">
        <f t="shared" si="221"/>
        <v>46.199999999999996</v>
      </c>
      <c r="N792" s="984">
        <f t="shared" si="222"/>
        <v>56500</v>
      </c>
      <c r="O792" s="986">
        <f t="shared" si="223"/>
        <v>161.42557651991615</v>
      </c>
      <c r="P792" s="987">
        <f t="shared" si="224"/>
        <v>145.3529000698812</v>
      </c>
      <c r="Q792" s="987">
        <f t="shared" si="225"/>
        <v>88.050314465408803</v>
      </c>
      <c r="R792" s="988">
        <f t="shared" si="226"/>
        <v>394.82879105520618</v>
      </c>
      <c r="S792" s="989">
        <v>143.1</v>
      </c>
      <c r="T792" s="990">
        <v>0</v>
      </c>
      <c r="U792" s="991">
        <v>28</v>
      </c>
      <c r="V792" s="991">
        <v>322</v>
      </c>
      <c r="W792" s="992">
        <f t="shared" si="227"/>
        <v>350</v>
      </c>
      <c r="X792" s="993">
        <f t="shared" si="228"/>
        <v>2.4458420684835782</v>
      </c>
      <c r="Y792" s="990">
        <v>1582</v>
      </c>
      <c r="Z792" s="991">
        <v>1422</v>
      </c>
      <c r="AA792" s="991">
        <v>781</v>
      </c>
      <c r="AB792" s="992">
        <f t="shared" si="229"/>
        <v>3785</v>
      </c>
      <c r="AC792" s="993">
        <f t="shared" si="230"/>
        <v>26.450034940600979</v>
      </c>
      <c r="AD792" s="994">
        <f t="shared" si="231"/>
        <v>4135</v>
      </c>
      <c r="AE792" s="995">
        <f t="shared" si="232"/>
        <v>28.895877009084558</v>
      </c>
      <c r="AF792" s="996">
        <v>81</v>
      </c>
      <c r="AG792" s="997">
        <v>66</v>
      </c>
      <c r="AH792" s="997">
        <v>6</v>
      </c>
      <c r="AI792" s="998">
        <f t="shared" si="233"/>
        <v>153</v>
      </c>
      <c r="AJ792" s="993">
        <f t="shared" si="234"/>
        <v>1.0691823899371069</v>
      </c>
    </row>
    <row r="793" spans="1:36" ht="16.5" customHeight="1">
      <c r="A793" s="999">
        <f>'09월 조업일지'!A791</f>
        <v>46294</v>
      </c>
      <c r="B793" s="1099">
        <f>'09월 조업일지'!B791</f>
        <v>46294</v>
      </c>
      <c r="C793" s="1000" t="str">
        <f>'09월 화학성분'!D791</f>
        <v>D</v>
      </c>
      <c r="D793" s="1000" t="str">
        <f>'09월 화학성분'!E791</f>
        <v>B</v>
      </c>
      <c r="E793" s="1000">
        <f>'09월 화학성분'!C791</f>
        <v>85993</v>
      </c>
      <c r="F793" s="1104" t="s">
        <v>1052</v>
      </c>
      <c r="G793" s="1172">
        <v>18.899999999999999</v>
      </c>
      <c r="H793" s="985">
        <v>22300</v>
      </c>
      <c r="I793" s="1173">
        <v>16.600000000000001</v>
      </c>
      <c r="J793" s="985">
        <v>20300</v>
      </c>
      <c r="K793" s="1173">
        <v>10.7</v>
      </c>
      <c r="L793" s="985">
        <v>13600</v>
      </c>
      <c r="M793" s="1174">
        <f t="shared" si="221"/>
        <v>46.2</v>
      </c>
      <c r="N793" s="984">
        <f t="shared" si="222"/>
        <v>56200</v>
      </c>
      <c r="O793" s="986">
        <f t="shared" si="223"/>
        <v>154.75364330326164</v>
      </c>
      <c r="P793" s="987">
        <f t="shared" si="224"/>
        <v>140.87439278278973</v>
      </c>
      <c r="Q793" s="987">
        <f t="shared" si="225"/>
        <v>94.378903539208892</v>
      </c>
      <c r="R793" s="988">
        <f t="shared" si="226"/>
        <v>390.0069396252602</v>
      </c>
      <c r="S793" s="989">
        <v>144.1</v>
      </c>
      <c r="T793" s="990">
        <v>0</v>
      </c>
      <c r="U793" s="991">
        <v>0</v>
      </c>
      <c r="V793" s="991">
        <v>330</v>
      </c>
      <c r="W793" s="992">
        <f t="shared" si="227"/>
        <v>330</v>
      </c>
      <c r="X793" s="993">
        <f t="shared" si="228"/>
        <v>2.2900763358778629</v>
      </c>
      <c r="Y793" s="990">
        <v>1510</v>
      </c>
      <c r="Z793" s="991">
        <v>1385</v>
      </c>
      <c r="AA793" s="991">
        <v>976</v>
      </c>
      <c r="AB793" s="992">
        <f t="shared" si="229"/>
        <v>3871</v>
      </c>
      <c r="AC793" s="993">
        <f t="shared" si="230"/>
        <v>26.863289382373353</v>
      </c>
      <c r="AD793" s="994">
        <f t="shared" si="231"/>
        <v>4201</v>
      </c>
      <c r="AE793" s="995">
        <f t="shared" si="232"/>
        <v>29.153365718251216</v>
      </c>
      <c r="AF793" s="996">
        <v>84</v>
      </c>
      <c r="AG793" s="997">
        <v>62</v>
      </c>
      <c r="AH793" s="997">
        <v>9</v>
      </c>
      <c r="AI793" s="998">
        <f t="shared" si="233"/>
        <v>155</v>
      </c>
      <c r="AJ793" s="993">
        <f t="shared" si="234"/>
        <v>1.0756419153365719</v>
      </c>
    </row>
    <row r="794" spans="1:36" ht="16.5" customHeight="1">
      <c r="A794" s="999">
        <f>'09월 조업일지'!A792</f>
        <v>46294</v>
      </c>
      <c r="B794" s="1099">
        <f>'09월 조업일지'!B792</f>
        <v>46294</v>
      </c>
      <c r="C794" s="1000" t="str">
        <f>'09월 화학성분'!D792</f>
        <v>D</v>
      </c>
      <c r="D794" s="1000" t="str">
        <f>'09월 화학성분'!E792</f>
        <v>A</v>
      </c>
      <c r="E794" s="1000">
        <f>'09월 화학성분'!C792</f>
        <v>85994</v>
      </c>
      <c r="F794" s="1001" t="str">
        <f t="shared" si="220"/>
        <v>SS400-05</v>
      </c>
      <c r="G794" s="1172">
        <v>18.8</v>
      </c>
      <c r="H794" s="985">
        <v>22600</v>
      </c>
      <c r="I794" s="1173">
        <v>17</v>
      </c>
      <c r="J794" s="985">
        <v>20700</v>
      </c>
      <c r="K794" s="1173">
        <v>8.8000000000000007</v>
      </c>
      <c r="L794" s="985">
        <v>11000</v>
      </c>
      <c r="M794" s="1174">
        <f t="shared" si="221"/>
        <v>44.599999999999994</v>
      </c>
      <c r="N794" s="984">
        <f t="shared" si="222"/>
        <v>54300</v>
      </c>
      <c r="O794" s="986">
        <f t="shared" si="223"/>
        <v>157.16272600834492</v>
      </c>
      <c r="P794" s="987">
        <f t="shared" si="224"/>
        <v>143.94993045897078</v>
      </c>
      <c r="Q794" s="987">
        <f t="shared" si="225"/>
        <v>76.495132127955486</v>
      </c>
      <c r="R794" s="988">
        <f t="shared" si="226"/>
        <v>377.60778859527113</v>
      </c>
      <c r="S794" s="989">
        <v>143.80000000000001</v>
      </c>
      <c r="T794" s="990">
        <v>0</v>
      </c>
      <c r="U794" s="991">
        <v>0</v>
      </c>
      <c r="V794" s="991">
        <v>327</v>
      </c>
      <c r="W794" s="992">
        <f t="shared" si="227"/>
        <v>327</v>
      </c>
      <c r="X794" s="993">
        <f t="shared" si="228"/>
        <v>2.2739916550764949</v>
      </c>
      <c r="Y794" s="990">
        <v>1549</v>
      </c>
      <c r="Z794" s="991">
        <v>1401</v>
      </c>
      <c r="AA794" s="991">
        <v>753</v>
      </c>
      <c r="AB794" s="992">
        <f t="shared" si="229"/>
        <v>3703</v>
      </c>
      <c r="AC794" s="993">
        <f t="shared" si="230"/>
        <v>25.751043115438108</v>
      </c>
      <c r="AD794" s="994">
        <f t="shared" si="231"/>
        <v>4030</v>
      </c>
      <c r="AE794" s="995">
        <f t="shared" si="232"/>
        <v>28.025034770514601</v>
      </c>
      <c r="AF794" s="996">
        <v>80</v>
      </c>
      <c r="AG794" s="997">
        <v>64</v>
      </c>
      <c r="AH794" s="997">
        <v>7</v>
      </c>
      <c r="AI794" s="998">
        <f t="shared" si="233"/>
        <v>151</v>
      </c>
      <c r="AJ794" s="993">
        <f t="shared" si="234"/>
        <v>1.0500695410292071</v>
      </c>
    </row>
    <row r="795" spans="1:36" ht="16.5" customHeight="1">
      <c r="A795" s="999">
        <f>'09월 조업일지'!A793</f>
        <v>46294</v>
      </c>
      <c r="B795" s="1099">
        <f>'09월 조업일지'!B793</f>
        <v>46294</v>
      </c>
      <c r="C795" s="1000" t="str">
        <f>'09월 화학성분'!D793</f>
        <v>D</v>
      </c>
      <c r="D795" s="1000" t="str">
        <f>'09월 화학성분'!E793</f>
        <v>B</v>
      </c>
      <c r="E795" s="1000">
        <f>'09월 화학성분'!C793</f>
        <v>85995</v>
      </c>
      <c r="F795" s="1001" t="str">
        <f t="shared" si="220"/>
        <v>SS400-05</v>
      </c>
      <c r="G795" s="1172">
        <v>18.7</v>
      </c>
      <c r="H795" s="985">
        <v>23000</v>
      </c>
      <c r="I795" s="1173">
        <v>16.5</v>
      </c>
      <c r="J795" s="985">
        <v>20300</v>
      </c>
      <c r="K795" s="1173">
        <v>12.8</v>
      </c>
      <c r="L795" s="985">
        <v>16000</v>
      </c>
      <c r="M795" s="1174">
        <f t="shared" si="221"/>
        <v>48</v>
      </c>
      <c r="N795" s="984">
        <f t="shared" si="222"/>
        <v>59300</v>
      </c>
      <c r="O795" s="986">
        <f t="shared" si="223"/>
        <v>155.61569688768606</v>
      </c>
      <c r="P795" s="987">
        <f t="shared" si="224"/>
        <v>137.34776725304465</v>
      </c>
      <c r="Q795" s="987">
        <f t="shared" si="225"/>
        <v>108.25439783491204</v>
      </c>
      <c r="R795" s="988">
        <f t="shared" si="226"/>
        <v>401.21786197564273</v>
      </c>
      <c r="S795" s="989">
        <v>147.80000000000001</v>
      </c>
      <c r="T795" s="990">
        <v>0</v>
      </c>
      <c r="U795" s="991">
        <v>0</v>
      </c>
      <c r="V795" s="991">
        <v>353</v>
      </c>
      <c r="W795" s="992">
        <f t="shared" si="227"/>
        <v>353</v>
      </c>
      <c r="X795" s="993">
        <f t="shared" si="228"/>
        <v>2.3883626522327468</v>
      </c>
      <c r="Y795" s="990">
        <v>1531</v>
      </c>
      <c r="Z795" s="991">
        <v>1373</v>
      </c>
      <c r="AA795" s="991">
        <v>1057</v>
      </c>
      <c r="AB795" s="992">
        <f t="shared" si="229"/>
        <v>3961</v>
      </c>
      <c r="AC795" s="993">
        <f t="shared" si="230"/>
        <v>26.799729364005412</v>
      </c>
      <c r="AD795" s="994">
        <f t="shared" si="231"/>
        <v>4314</v>
      </c>
      <c r="AE795" s="995">
        <f t="shared" si="232"/>
        <v>29.188092016238159</v>
      </c>
      <c r="AF795" s="996">
        <v>79</v>
      </c>
      <c r="AG795" s="997">
        <v>64</v>
      </c>
      <c r="AH795" s="997">
        <v>9</v>
      </c>
      <c r="AI795" s="998">
        <f t="shared" si="233"/>
        <v>152</v>
      </c>
      <c r="AJ795" s="993">
        <f t="shared" si="234"/>
        <v>1.0284167794316643</v>
      </c>
    </row>
    <row r="796" spans="1:36" ht="16.5" customHeight="1">
      <c r="A796" s="999">
        <f>'09월 조업일지'!A794</f>
        <v>46294</v>
      </c>
      <c r="B796" s="1099">
        <f>'09월 조업일지'!B794</f>
        <v>46294</v>
      </c>
      <c r="C796" s="1000" t="str">
        <f>'09월 화학성분'!D794</f>
        <v>B</v>
      </c>
      <c r="D796" s="1000" t="str">
        <f>'09월 화학성분'!E794</f>
        <v>A</v>
      </c>
      <c r="E796" s="1000">
        <f>'09월 화학성분'!C794</f>
        <v>85996</v>
      </c>
      <c r="F796" s="1001" t="str">
        <f t="shared" si="220"/>
        <v>SS400-05</v>
      </c>
      <c r="G796" s="1172">
        <v>19</v>
      </c>
      <c r="H796" s="985">
        <v>22800</v>
      </c>
      <c r="I796" s="1173">
        <v>17.100000000000001</v>
      </c>
      <c r="J796" s="985">
        <v>20600</v>
      </c>
      <c r="K796" s="1173">
        <v>8.8000000000000007</v>
      </c>
      <c r="L796" s="985">
        <v>11200</v>
      </c>
      <c r="M796" s="1174">
        <f t="shared" si="221"/>
        <v>44.900000000000006</v>
      </c>
      <c r="N796" s="984">
        <f t="shared" si="222"/>
        <v>54600</v>
      </c>
      <c r="O796" s="986">
        <f t="shared" si="223"/>
        <v>156.48592999313661</v>
      </c>
      <c r="P796" s="987">
        <f t="shared" si="224"/>
        <v>141.38641043239534</v>
      </c>
      <c r="Q796" s="987">
        <f t="shared" si="225"/>
        <v>76.870281400137273</v>
      </c>
      <c r="R796" s="988">
        <f t="shared" si="226"/>
        <v>374.74262182566923</v>
      </c>
      <c r="S796" s="989">
        <v>145.69999999999999</v>
      </c>
      <c r="T796" s="990">
        <v>0</v>
      </c>
      <c r="U796" s="991">
        <v>0</v>
      </c>
      <c r="V796" s="991">
        <v>370</v>
      </c>
      <c r="W796" s="992">
        <f t="shared" si="227"/>
        <v>370</v>
      </c>
      <c r="X796" s="993">
        <f t="shared" si="228"/>
        <v>2.5394646533973919</v>
      </c>
      <c r="Y796" s="990">
        <v>1602</v>
      </c>
      <c r="Z796" s="991">
        <v>1385</v>
      </c>
      <c r="AA796" s="991">
        <v>863</v>
      </c>
      <c r="AB796" s="992">
        <f t="shared" si="229"/>
        <v>3850</v>
      </c>
      <c r="AC796" s="993">
        <f t="shared" si="230"/>
        <v>26.424159231297189</v>
      </c>
      <c r="AD796" s="994">
        <f t="shared" si="231"/>
        <v>4220</v>
      </c>
      <c r="AE796" s="995">
        <f t="shared" si="232"/>
        <v>28.963623884694581</v>
      </c>
      <c r="AF796" s="996">
        <v>80</v>
      </c>
      <c r="AG796" s="997">
        <v>63</v>
      </c>
      <c r="AH796" s="997">
        <v>9</v>
      </c>
      <c r="AI796" s="998">
        <f t="shared" si="233"/>
        <v>152</v>
      </c>
      <c r="AJ796" s="993">
        <f t="shared" si="234"/>
        <v>1.0432395332875772</v>
      </c>
    </row>
    <row r="797" spans="1:36" ht="16.5" customHeight="1">
      <c r="A797" s="999">
        <f>'09월 조업일지'!A795</f>
        <v>46294</v>
      </c>
      <c r="B797" s="1099">
        <f>'09월 조업일지'!B795</f>
        <v>46294</v>
      </c>
      <c r="C797" s="1000" t="str">
        <f>'09월 화학성분'!D795</f>
        <v>B</v>
      </c>
      <c r="D797" s="1000" t="str">
        <f>'09월 화학성분'!E795</f>
        <v>B</v>
      </c>
      <c r="E797" s="1000">
        <f>'09월 화학성분'!C795</f>
        <v>85997</v>
      </c>
      <c r="F797" s="1001" t="str">
        <f t="shared" si="220"/>
        <v>SS400-05</v>
      </c>
      <c r="G797" s="1172">
        <v>18.3</v>
      </c>
      <c r="H797" s="985">
        <v>22500</v>
      </c>
      <c r="I797" s="1173">
        <v>16.899999999999999</v>
      </c>
      <c r="J797" s="985">
        <v>20600</v>
      </c>
      <c r="K797" s="1173">
        <v>9.5</v>
      </c>
      <c r="L797" s="985">
        <v>12200</v>
      </c>
      <c r="M797" s="1174">
        <f t="shared" si="221"/>
        <v>44.7</v>
      </c>
      <c r="N797" s="984">
        <f t="shared" si="222"/>
        <v>55300</v>
      </c>
      <c r="O797" s="986">
        <f t="shared" si="223"/>
        <v>154.85203028217481</v>
      </c>
      <c r="P797" s="987">
        <f t="shared" si="224"/>
        <v>141.77563661390226</v>
      </c>
      <c r="Q797" s="987">
        <f t="shared" si="225"/>
        <v>83.964211975223662</v>
      </c>
      <c r="R797" s="988">
        <f t="shared" si="226"/>
        <v>380.59187887130076</v>
      </c>
      <c r="S797" s="989">
        <v>145.30000000000001</v>
      </c>
      <c r="T797" s="990">
        <v>0</v>
      </c>
      <c r="U797" s="991">
        <v>0</v>
      </c>
      <c r="V797" s="991">
        <v>349</v>
      </c>
      <c r="W797" s="992">
        <f t="shared" si="227"/>
        <v>349</v>
      </c>
      <c r="X797" s="993">
        <f t="shared" si="228"/>
        <v>2.4019270474879559</v>
      </c>
      <c r="Y797" s="990">
        <v>1479</v>
      </c>
      <c r="Z797" s="991">
        <v>1392</v>
      </c>
      <c r="AA797" s="991">
        <v>855</v>
      </c>
      <c r="AB797" s="992">
        <f t="shared" si="229"/>
        <v>3726</v>
      </c>
      <c r="AC797" s="993">
        <f t="shared" si="230"/>
        <v>25.643496214728145</v>
      </c>
      <c r="AD797" s="994">
        <f t="shared" si="231"/>
        <v>4075</v>
      </c>
      <c r="AE797" s="995">
        <f t="shared" si="232"/>
        <v>28.045423262216101</v>
      </c>
      <c r="AF797" s="996">
        <v>78</v>
      </c>
      <c r="AG797" s="997">
        <v>64</v>
      </c>
      <c r="AH797" s="997">
        <v>7</v>
      </c>
      <c r="AI797" s="998">
        <f t="shared" si="233"/>
        <v>149</v>
      </c>
      <c r="AJ797" s="993">
        <f t="shared" si="234"/>
        <v>1.0254645560908464</v>
      </c>
    </row>
    <row r="798" spans="1:36" ht="16.5" customHeight="1">
      <c r="A798" s="999">
        <f>'09월 조업일지'!A796</f>
        <v>46294</v>
      </c>
      <c r="B798" s="1099">
        <f>'09월 조업일지'!B796</f>
        <v>46294</v>
      </c>
      <c r="C798" s="1000" t="str">
        <f>'09월 화학성분'!D796</f>
        <v>B</v>
      </c>
      <c r="D798" s="1000" t="str">
        <f>'09월 화학성분'!E796</f>
        <v>A</v>
      </c>
      <c r="E798" s="1000">
        <f>'09월 화학성분'!C796</f>
        <v>85998</v>
      </c>
      <c r="F798" s="1001" t="str">
        <f t="shared" si="220"/>
        <v>SS400-05</v>
      </c>
      <c r="G798" s="1172">
        <v>20</v>
      </c>
      <c r="H798" s="985">
        <v>24300</v>
      </c>
      <c r="I798" s="1173">
        <v>16.899999999999999</v>
      </c>
      <c r="J798" s="985">
        <v>20800</v>
      </c>
      <c r="K798" s="1173">
        <v>8.3000000000000007</v>
      </c>
      <c r="L798" s="985">
        <v>10500</v>
      </c>
      <c r="M798" s="1174">
        <f t="shared" si="221"/>
        <v>45.2</v>
      </c>
      <c r="N798" s="984">
        <f t="shared" si="222"/>
        <v>55600</v>
      </c>
      <c r="O798" s="986">
        <f t="shared" si="223"/>
        <v>167.47070985527222</v>
      </c>
      <c r="P798" s="987">
        <f t="shared" si="224"/>
        <v>143.34941419710546</v>
      </c>
      <c r="Q798" s="987">
        <f t="shared" si="225"/>
        <v>72.363886974500346</v>
      </c>
      <c r="R798" s="988">
        <f t="shared" si="226"/>
        <v>383.18401102687801</v>
      </c>
      <c r="S798" s="989">
        <v>145.1</v>
      </c>
      <c r="T798" s="990">
        <v>0</v>
      </c>
      <c r="U798" s="991">
        <v>125</v>
      </c>
      <c r="V798" s="991">
        <v>231</v>
      </c>
      <c r="W798" s="992">
        <f t="shared" si="227"/>
        <v>356</v>
      </c>
      <c r="X798" s="993">
        <f t="shared" si="228"/>
        <v>2.4534803583735356</v>
      </c>
      <c r="Y798" s="990">
        <v>1642</v>
      </c>
      <c r="Z798" s="991">
        <v>1401</v>
      </c>
      <c r="AA798" s="991">
        <v>654</v>
      </c>
      <c r="AB798" s="992">
        <f t="shared" si="229"/>
        <v>3697</v>
      </c>
      <c r="AC798" s="993">
        <f t="shared" si="230"/>
        <v>25.478980013783598</v>
      </c>
      <c r="AD798" s="994">
        <f t="shared" si="231"/>
        <v>4053</v>
      </c>
      <c r="AE798" s="995">
        <f t="shared" si="232"/>
        <v>27.932460372157134</v>
      </c>
      <c r="AF798" s="996">
        <v>81</v>
      </c>
      <c r="AG798" s="997">
        <v>62</v>
      </c>
      <c r="AH798" s="997">
        <v>6</v>
      </c>
      <c r="AI798" s="998">
        <f t="shared" si="233"/>
        <v>149</v>
      </c>
      <c r="AJ798" s="993">
        <f t="shared" si="234"/>
        <v>1.0268780151619572</v>
      </c>
    </row>
    <row r="799" spans="1:36" ht="16.5" customHeight="1">
      <c r="A799" s="999">
        <f>'09월 조업일지'!A797</f>
        <v>46294</v>
      </c>
      <c r="B799" s="1099">
        <f>'09월 조업일지'!B797</f>
        <v>46294</v>
      </c>
      <c r="C799" s="1000" t="str">
        <f>'09월 화학성분'!D797</f>
        <v>B</v>
      </c>
      <c r="D799" s="1000" t="str">
        <f>'09월 화학성분'!E797</f>
        <v>B</v>
      </c>
      <c r="E799" s="1000">
        <f>'09월 화학성분'!C797</f>
        <v>85999</v>
      </c>
      <c r="F799" s="1001" t="str">
        <f t="shared" si="220"/>
        <v>SS400-05</v>
      </c>
      <c r="G799" s="1172">
        <v>19.600000000000001</v>
      </c>
      <c r="H799" s="985">
        <v>22800</v>
      </c>
      <c r="I799" s="1173">
        <v>16.899999999999999</v>
      </c>
      <c r="J799" s="985">
        <v>20600</v>
      </c>
      <c r="K799" s="1173">
        <v>8.4</v>
      </c>
      <c r="L799" s="985">
        <v>11000</v>
      </c>
      <c r="M799" s="1174">
        <f t="shared" si="221"/>
        <v>44.9</v>
      </c>
      <c r="N799" s="984">
        <f t="shared" si="222"/>
        <v>54400</v>
      </c>
      <c r="O799" s="986">
        <f t="shared" si="223"/>
        <v>154.68113975576662</v>
      </c>
      <c r="P799" s="987">
        <f t="shared" si="224"/>
        <v>139.75576662143826</v>
      </c>
      <c r="Q799" s="987">
        <f t="shared" si="225"/>
        <v>74.626865671641795</v>
      </c>
      <c r="R799" s="988">
        <f t="shared" si="226"/>
        <v>369.06377204884666</v>
      </c>
      <c r="S799" s="989">
        <v>147.4</v>
      </c>
      <c r="T799" s="990">
        <v>0</v>
      </c>
      <c r="U799" s="991">
        <v>39</v>
      </c>
      <c r="V799" s="991">
        <v>268</v>
      </c>
      <c r="W799" s="992">
        <f t="shared" si="227"/>
        <v>307</v>
      </c>
      <c r="X799" s="993">
        <f t="shared" si="228"/>
        <v>2.0827679782903661</v>
      </c>
      <c r="Y799" s="990">
        <v>1574</v>
      </c>
      <c r="Z799" s="991">
        <v>1372</v>
      </c>
      <c r="AA799" s="991">
        <v>805</v>
      </c>
      <c r="AB799" s="992">
        <f t="shared" si="229"/>
        <v>3751</v>
      </c>
      <c r="AC799" s="993">
        <f t="shared" si="230"/>
        <v>25.447761194029848</v>
      </c>
      <c r="AD799" s="994">
        <f t="shared" si="231"/>
        <v>4058</v>
      </c>
      <c r="AE799" s="995">
        <f t="shared" si="232"/>
        <v>27.530529172320215</v>
      </c>
      <c r="AF799" s="996">
        <v>83</v>
      </c>
      <c r="AG799" s="997">
        <v>63</v>
      </c>
      <c r="AH799" s="997">
        <v>7</v>
      </c>
      <c r="AI799" s="998">
        <f t="shared" si="233"/>
        <v>153</v>
      </c>
      <c r="AJ799" s="993">
        <f t="shared" si="234"/>
        <v>1.0379918588873813</v>
      </c>
    </row>
    <row r="800" spans="1:36" ht="16.5" customHeight="1">
      <c r="A800" s="999">
        <f>'09월 조업일지'!A798</f>
        <v>46294</v>
      </c>
      <c r="B800" s="1099">
        <f>'09월 조업일지'!B798</f>
        <v>46294</v>
      </c>
      <c r="C800" s="1000" t="str">
        <f>'09월 화학성분'!D798</f>
        <v>B</v>
      </c>
      <c r="D800" s="1000" t="str">
        <f>'09월 화학성분'!E798</f>
        <v>A</v>
      </c>
      <c r="E800" s="1000">
        <f>'09월 화학성분'!C798</f>
        <v>86000</v>
      </c>
      <c r="F800" s="1001" t="str">
        <f t="shared" si="220"/>
        <v>SS400-05</v>
      </c>
      <c r="G800" s="1172">
        <v>19.100000000000001</v>
      </c>
      <c r="H800" s="985">
        <v>23000</v>
      </c>
      <c r="I800" s="1173">
        <v>17.100000000000001</v>
      </c>
      <c r="J800" s="985">
        <v>21000</v>
      </c>
      <c r="K800" s="1173">
        <v>7.9</v>
      </c>
      <c r="L800" s="985">
        <v>10100</v>
      </c>
      <c r="M800" s="1174">
        <f t="shared" si="221"/>
        <v>44.1</v>
      </c>
      <c r="N800" s="984">
        <f t="shared" si="222"/>
        <v>54100</v>
      </c>
      <c r="O800" s="986">
        <f t="shared" si="223"/>
        <v>158.29318651066757</v>
      </c>
      <c r="P800" s="987">
        <f t="shared" si="224"/>
        <v>144.52856159669648</v>
      </c>
      <c r="Q800" s="987">
        <f t="shared" si="225"/>
        <v>69.511355815554026</v>
      </c>
      <c r="R800" s="988">
        <f t="shared" si="226"/>
        <v>372.3331039229181</v>
      </c>
      <c r="S800" s="989">
        <v>145.30000000000001</v>
      </c>
      <c r="T800" s="990">
        <v>0</v>
      </c>
      <c r="U800" s="991">
        <v>21</v>
      </c>
      <c r="V800" s="991">
        <v>298</v>
      </c>
      <c r="W800" s="992">
        <f t="shared" si="227"/>
        <v>319</v>
      </c>
      <c r="X800" s="993">
        <f t="shared" si="228"/>
        <v>2.1954576737783893</v>
      </c>
      <c r="Y800" s="990">
        <v>1566</v>
      </c>
      <c r="Z800" s="991">
        <v>1422</v>
      </c>
      <c r="AA800" s="991">
        <v>747</v>
      </c>
      <c r="AB800" s="992">
        <f t="shared" si="229"/>
        <v>3735</v>
      </c>
      <c r="AC800" s="993">
        <f t="shared" si="230"/>
        <v>25.705437026841018</v>
      </c>
      <c r="AD800" s="994">
        <f t="shared" si="231"/>
        <v>4054</v>
      </c>
      <c r="AE800" s="995">
        <f t="shared" si="232"/>
        <v>27.900894700619407</v>
      </c>
      <c r="AF800" s="996">
        <v>80</v>
      </c>
      <c r="AG800" s="997">
        <v>62</v>
      </c>
      <c r="AH800" s="997">
        <v>7</v>
      </c>
      <c r="AI800" s="998">
        <f t="shared" si="233"/>
        <v>149</v>
      </c>
      <c r="AJ800" s="993">
        <f t="shared" si="234"/>
        <v>1.0254645560908464</v>
      </c>
    </row>
    <row r="801" spans="1:36" ht="16.5" customHeight="1">
      <c r="A801" s="999">
        <f>'09월 조업일지'!A799</f>
        <v>46294</v>
      </c>
      <c r="B801" s="1099">
        <f>'09월 조업일지'!B799</f>
        <v>46294</v>
      </c>
      <c r="C801" s="1000" t="str">
        <f>'09월 화학성분'!D799</f>
        <v>B</v>
      </c>
      <c r="D801" s="1000" t="str">
        <f>'09월 화학성분'!E799</f>
        <v>B</v>
      </c>
      <c r="E801" s="1000">
        <f>'09월 화학성분'!C799</f>
        <v>86001</v>
      </c>
      <c r="F801" s="1001" t="str">
        <f t="shared" si="220"/>
        <v>SS400-05</v>
      </c>
      <c r="G801" s="1172">
        <v>20</v>
      </c>
      <c r="H801" s="985">
        <v>24500</v>
      </c>
      <c r="I801" s="1173">
        <v>16.5</v>
      </c>
      <c r="J801" s="985">
        <v>20600</v>
      </c>
      <c r="K801" s="1173">
        <v>8.9</v>
      </c>
      <c r="L801" s="985">
        <v>11500</v>
      </c>
      <c r="M801" s="1174">
        <f t="shared" si="221"/>
        <v>45.4</v>
      </c>
      <c r="N801" s="984">
        <f t="shared" si="222"/>
        <v>56600</v>
      </c>
      <c r="O801" s="986">
        <f t="shared" si="223"/>
        <v>168.6166551961459</v>
      </c>
      <c r="P801" s="987">
        <f t="shared" si="224"/>
        <v>141.77563661390226</v>
      </c>
      <c r="Q801" s="987">
        <f t="shared" si="225"/>
        <v>79.146593255333784</v>
      </c>
      <c r="R801" s="988">
        <f t="shared" si="226"/>
        <v>389.53888506538192</v>
      </c>
      <c r="S801" s="989">
        <v>145.30000000000001</v>
      </c>
      <c r="T801" s="990">
        <v>0</v>
      </c>
      <c r="U801" s="991">
        <v>140</v>
      </c>
      <c r="V801" s="991">
        <v>176</v>
      </c>
      <c r="W801" s="992">
        <f t="shared" si="227"/>
        <v>316</v>
      </c>
      <c r="X801" s="993">
        <f t="shared" si="228"/>
        <v>2.1748107364074327</v>
      </c>
      <c r="Y801" s="990">
        <v>1646</v>
      </c>
      <c r="Z801" s="991">
        <v>1377</v>
      </c>
      <c r="AA801" s="991">
        <v>716</v>
      </c>
      <c r="AB801" s="992">
        <f t="shared" si="229"/>
        <v>3739</v>
      </c>
      <c r="AC801" s="993">
        <f t="shared" si="230"/>
        <v>25.732966276668957</v>
      </c>
      <c r="AD801" s="994">
        <f t="shared" si="231"/>
        <v>4055</v>
      </c>
      <c r="AE801" s="995">
        <f t="shared" si="232"/>
        <v>27.907777013076391</v>
      </c>
      <c r="AF801" s="996">
        <v>81</v>
      </c>
      <c r="AG801" s="997">
        <v>62</v>
      </c>
      <c r="AH801" s="997">
        <v>6</v>
      </c>
      <c r="AI801" s="998">
        <f t="shared" si="233"/>
        <v>149</v>
      </c>
      <c r="AJ801" s="993">
        <f t="shared" si="234"/>
        <v>1.0254645560908464</v>
      </c>
    </row>
    <row r="802" spans="1:36" ht="16.5" customHeight="1">
      <c r="A802" s="999">
        <f>'09월 조업일지'!A800</f>
        <v>46295</v>
      </c>
      <c r="B802" s="1099">
        <f>'09월 조업일지'!B800</f>
        <v>46294</v>
      </c>
      <c r="C802" s="1000" t="str">
        <f>'09월 화학성분'!D800</f>
        <v>B</v>
      </c>
      <c r="D802" s="1000" t="str">
        <f>'09월 화학성분'!E800</f>
        <v>A</v>
      </c>
      <c r="E802" s="1000">
        <f>'09월 화학성분'!C800</f>
        <v>86002</v>
      </c>
      <c r="F802" s="1001" t="str">
        <f t="shared" si="220"/>
        <v>SS400-05</v>
      </c>
      <c r="G802" s="1172">
        <v>19.600000000000001</v>
      </c>
      <c r="H802" s="985">
        <v>22900</v>
      </c>
      <c r="I802" s="1173">
        <v>16.899999999999999</v>
      </c>
      <c r="J802" s="985">
        <v>20900</v>
      </c>
      <c r="K802" s="1173">
        <v>9.1</v>
      </c>
      <c r="L802" s="985">
        <v>11600</v>
      </c>
      <c r="M802" s="1174">
        <f t="shared" si="221"/>
        <v>45.6</v>
      </c>
      <c r="N802" s="984">
        <f t="shared" si="222"/>
        <v>55400</v>
      </c>
      <c r="O802" s="986">
        <f t="shared" si="223"/>
        <v>157.1722717913521</v>
      </c>
      <c r="P802" s="987">
        <f t="shared" si="224"/>
        <v>143.44543582704188</v>
      </c>
      <c r="Q802" s="987">
        <f t="shared" si="225"/>
        <v>79.615648592999321</v>
      </c>
      <c r="R802" s="988">
        <f t="shared" si="226"/>
        <v>380.2333562113933</v>
      </c>
      <c r="S802" s="989">
        <v>145.69999999999999</v>
      </c>
      <c r="T802" s="990">
        <v>0</v>
      </c>
      <c r="U802" s="991">
        <v>108</v>
      </c>
      <c r="V802" s="991">
        <v>381</v>
      </c>
      <c r="W802" s="992">
        <f t="shared" si="227"/>
        <v>489</v>
      </c>
      <c r="X802" s="993">
        <f t="shared" si="228"/>
        <v>3.3562113932738504</v>
      </c>
      <c r="Y802" s="990">
        <v>1643</v>
      </c>
      <c r="Z802" s="991">
        <v>1400</v>
      </c>
      <c r="AA802" s="991">
        <v>553</v>
      </c>
      <c r="AB802" s="992">
        <f t="shared" si="229"/>
        <v>3596</v>
      </c>
      <c r="AC802" s="993">
        <f t="shared" si="230"/>
        <v>24.680851063829788</v>
      </c>
      <c r="AD802" s="994">
        <f t="shared" si="231"/>
        <v>4085</v>
      </c>
      <c r="AE802" s="995">
        <f t="shared" si="232"/>
        <v>28.037062457103641</v>
      </c>
      <c r="AF802" s="996">
        <v>81</v>
      </c>
      <c r="AG802" s="997">
        <v>62</v>
      </c>
      <c r="AH802" s="997">
        <v>4</v>
      </c>
      <c r="AI802" s="998">
        <f t="shared" si="233"/>
        <v>147</v>
      </c>
      <c r="AJ802" s="993">
        <f t="shared" si="234"/>
        <v>1.0089224433768018</v>
      </c>
    </row>
    <row r="803" spans="1:36" ht="16.5" customHeight="1">
      <c r="A803" s="999">
        <f>'09월 조업일지'!A801</f>
        <v>46295</v>
      </c>
      <c r="B803" s="1099">
        <f>'09월 조업일지'!B801</f>
        <v>46294</v>
      </c>
      <c r="C803" s="1000" t="str">
        <f>'09월 화학성분'!D801</f>
        <v>B</v>
      </c>
      <c r="D803" s="1000" t="str">
        <f>'09월 화학성분'!E801</f>
        <v>B</v>
      </c>
      <c r="E803" s="1000">
        <f>'09월 화학성분'!C801</f>
        <v>86003</v>
      </c>
      <c r="F803" s="1001" t="str">
        <f t="shared" si="220"/>
        <v>SS400-05</v>
      </c>
      <c r="G803" s="1172">
        <v>18.8</v>
      </c>
      <c r="H803" s="985">
        <v>22500</v>
      </c>
      <c r="I803" s="1173">
        <v>16.3</v>
      </c>
      <c r="J803" s="985">
        <v>20300</v>
      </c>
      <c r="K803" s="1173">
        <v>11.9</v>
      </c>
      <c r="L803" s="985">
        <v>15200</v>
      </c>
      <c r="M803" s="1174">
        <f t="shared" si="221"/>
        <v>47</v>
      </c>
      <c r="N803" s="984">
        <f t="shared" si="222"/>
        <v>58000</v>
      </c>
      <c r="O803" s="986">
        <f t="shared" si="223"/>
        <v>153.26975476839235</v>
      </c>
      <c r="P803" s="987">
        <f t="shared" si="224"/>
        <v>138.283378746594</v>
      </c>
      <c r="Q803" s="987">
        <f t="shared" si="225"/>
        <v>103.54223433242505</v>
      </c>
      <c r="R803" s="988">
        <f t="shared" si="226"/>
        <v>395.09536784741141</v>
      </c>
      <c r="S803" s="989">
        <v>146.80000000000001</v>
      </c>
      <c r="T803" s="990">
        <v>0</v>
      </c>
      <c r="U803" s="991">
        <v>0</v>
      </c>
      <c r="V803" s="991">
        <v>342</v>
      </c>
      <c r="W803" s="992">
        <f t="shared" si="227"/>
        <v>342</v>
      </c>
      <c r="X803" s="993">
        <f t="shared" si="228"/>
        <v>2.3297002724795637</v>
      </c>
      <c r="Y803" s="990">
        <v>1551</v>
      </c>
      <c r="Z803" s="991">
        <v>1349</v>
      </c>
      <c r="AA803" s="991">
        <v>887</v>
      </c>
      <c r="AB803" s="992">
        <f t="shared" si="229"/>
        <v>3787</v>
      </c>
      <c r="AC803" s="993">
        <f t="shared" si="230"/>
        <v>25.797002724795639</v>
      </c>
      <c r="AD803" s="994">
        <f t="shared" si="231"/>
        <v>4129</v>
      </c>
      <c r="AE803" s="995">
        <f t="shared" si="232"/>
        <v>28.126702997275203</v>
      </c>
      <c r="AF803" s="996">
        <v>80</v>
      </c>
      <c r="AG803" s="997">
        <v>64</v>
      </c>
      <c r="AH803" s="997">
        <v>7</v>
      </c>
      <c r="AI803" s="998">
        <f t="shared" si="233"/>
        <v>151</v>
      </c>
      <c r="AJ803" s="993">
        <f t="shared" si="234"/>
        <v>1.0286103542234331</v>
      </c>
    </row>
    <row r="804" spans="1:36" ht="16.5" customHeight="1">
      <c r="A804" s="999">
        <f>'09월 조업일지'!A802</f>
        <v>46295</v>
      </c>
      <c r="B804" s="1099">
        <f>'09월 조업일지'!B802</f>
        <v>46294</v>
      </c>
      <c r="C804" s="1000" t="str">
        <f>'09월 화학성분'!D802</f>
        <v>B</v>
      </c>
      <c r="D804" s="1000" t="str">
        <f>'09월 화학성분'!E802</f>
        <v>A</v>
      </c>
      <c r="E804" s="1000">
        <f>'09월 화학성분'!C802</f>
        <v>86004</v>
      </c>
      <c r="F804" s="1001" t="str">
        <f t="shared" si="220"/>
        <v>SS400-05</v>
      </c>
      <c r="G804" s="1172">
        <v>19.8</v>
      </c>
      <c r="H804" s="985">
        <v>24000</v>
      </c>
      <c r="I804" s="1173">
        <v>16.899999999999999</v>
      </c>
      <c r="J804" s="985">
        <v>20700</v>
      </c>
      <c r="K804" s="1173">
        <v>7.9</v>
      </c>
      <c r="L804" s="985">
        <v>10000</v>
      </c>
      <c r="M804" s="1174">
        <f t="shared" si="221"/>
        <v>44.6</v>
      </c>
      <c r="N804" s="984">
        <f t="shared" si="222"/>
        <v>54700</v>
      </c>
      <c r="O804" s="986">
        <f t="shared" si="223"/>
        <v>163.93442622950818</v>
      </c>
      <c r="P804" s="987">
        <f t="shared" si="224"/>
        <v>141.3934426229508</v>
      </c>
      <c r="Q804" s="987">
        <f t="shared" si="225"/>
        <v>68.30601092896174</v>
      </c>
      <c r="R804" s="988">
        <f t="shared" si="226"/>
        <v>373.63387978142077</v>
      </c>
      <c r="S804" s="989">
        <v>146.4</v>
      </c>
      <c r="T804" s="990">
        <v>0</v>
      </c>
      <c r="U804" s="991">
        <v>101</v>
      </c>
      <c r="V804" s="991">
        <v>246</v>
      </c>
      <c r="W804" s="992">
        <f t="shared" si="227"/>
        <v>347</v>
      </c>
      <c r="X804" s="993">
        <f t="shared" si="228"/>
        <v>2.3702185792349724</v>
      </c>
      <c r="Y804" s="990">
        <v>1680</v>
      </c>
      <c r="Z804" s="991">
        <v>1397</v>
      </c>
      <c r="AA804" s="991">
        <v>666</v>
      </c>
      <c r="AB804" s="992">
        <f t="shared" si="229"/>
        <v>3743</v>
      </c>
      <c r="AC804" s="993">
        <f t="shared" si="230"/>
        <v>25.56693989071038</v>
      </c>
      <c r="AD804" s="994">
        <f t="shared" si="231"/>
        <v>4090</v>
      </c>
      <c r="AE804" s="995">
        <f t="shared" si="232"/>
        <v>27.937158469945356</v>
      </c>
      <c r="AF804" s="996">
        <v>81</v>
      </c>
      <c r="AG804" s="997">
        <v>63</v>
      </c>
      <c r="AH804" s="997">
        <v>6</v>
      </c>
      <c r="AI804" s="998">
        <f t="shared" si="233"/>
        <v>150</v>
      </c>
      <c r="AJ804" s="993">
        <f t="shared" si="234"/>
        <v>1.0245901639344261</v>
      </c>
    </row>
    <row r="805" spans="1:36" ht="16.5" customHeight="1">
      <c r="A805" s="999">
        <f>'09월 조업일지'!A803</f>
        <v>46295</v>
      </c>
      <c r="B805" s="1099">
        <f>'09월 조업일지'!B803</f>
        <v>46294</v>
      </c>
      <c r="C805" s="1000" t="str">
        <f>'09월 화학성분'!D803</f>
        <v>B</v>
      </c>
      <c r="D805" s="1000" t="str">
        <f>'09월 화학성분'!E803</f>
        <v>B</v>
      </c>
      <c r="E805" s="1000">
        <f>'09월 화학성분'!C803</f>
        <v>86005</v>
      </c>
      <c r="F805" s="1001" t="str">
        <f t="shared" si="220"/>
        <v>SS400-05</v>
      </c>
      <c r="G805" s="1172">
        <v>18.8</v>
      </c>
      <c r="H805" s="985">
        <v>23000</v>
      </c>
      <c r="I805" s="1173">
        <v>16.399999999999999</v>
      </c>
      <c r="J805" s="985">
        <v>20500</v>
      </c>
      <c r="K805" s="1173">
        <v>9</v>
      </c>
      <c r="L805" s="985">
        <v>11500</v>
      </c>
      <c r="M805" s="1174">
        <f t="shared" si="221"/>
        <v>44.2</v>
      </c>
      <c r="N805" s="984">
        <f t="shared" si="222"/>
        <v>55000</v>
      </c>
      <c r="O805" s="986">
        <f t="shared" si="223"/>
        <v>158.94955079474778</v>
      </c>
      <c r="P805" s="987">
        <f t="shared" si="224"/>
        <v>141.67242570836214</v>
      </c>
      <c r="Q805" s="987">
        <f t="shared" si="225"/>
        <v>79.47477539737389</v>
      </c>
      <c r="R805" s="988">
        <f t="shared" si="226"/>
        <v>380.09675190048381</v>
      </c>
      <c r="S805" s="989">
        <v>144.69999999999999</v>
      </c>
      <c r="T805" s="990">
        <v>0</v>
      </c>
      <c r="U805" s="991">
        <v>2</v>
      </c>
      <c r="V805" s="991">
        <v>332</v>
      </c>
      <c r="W805" s="992">
        <f t="shared" si="227"/>
        <v>334</v>
      </c>
      <c r="X805" s="993">
        <f t="shared" si="228"/>
        <v>2.3082239115411198</v>
      </c>
      <c r="Y805" s="990">
        <v>1527</v>
      </c>
      <c r="Z805" s="991">
        <v>1350</v>
      </c>
      <c r="AA805" s="991">
        <v>800</v>
      </c>
      <c r="AB805" s="992">
        <f t="shared" si="229"/>
        <v>3677</v>
      </c>
      <c r="AC805" s="993">
        <f t="shared" si="230"/>
        <v>25.411195577055981</v>
      </c>
      <c r="AD805" s="994">
        <f t="shared" si="231"/>
        <v>4011</v>
      </c>
      <c r="AE805" s="995">
        <f t="shared" si="232"/>
        <v>27.719419488597101</v>
      </c>
      <c r="AF805" s="996">
        <v>79</v>
      </c>
      <c r="AG805" s="997">
        <v>63</v>
      </c>
      <c r="AH805" s="997">
        <v>7</v>
      </c>
      <c r="AI805" s="998">
        <f t="shared" si="233"/>
        <v>149</v>
      </c>
      <c r="AJ805" s="993">
        <f t="shared" si="234"/>
        <v>1.0297166551485835</v>
      </c>
    </row>
    <row r="806" spans="1:36" ht="16.5" customHeight="1">
      <c r="A806" s="999">
        <f>'09월 조업일지'!A804</f>
        <v>46295</v>
      </c>
      <c r="B806" s="1099">
        <f>'09월 조업일지'!B804</f>
        <v>46295</v>
      </c>
      <c r="C806" s="1000" t="str">
        <f>'09월 화학성분'!D804</f>
        <v>C</v>
      </c>
      <c r="D806" s="1000" t="str">
        <f>'09월 화학성분'!E804</f>
        <v>A</v>
      </c>
      <c r="E806" s="1000">
        <f>'09월 화학성분'!C804</f>
        <v>86006</v>
      </c>
      <c r="F806" s="1001" t="str">
        <f t="shared" si="220"/>
        <v>SS400-05</v>
      </c>
      <c r="G806" s="1172">
        <v>19.7</v>
      </c>
      <c r="H806" s="985">
        <v>23400</v>
      </c>
      <c r="I806" s="1173">
        <v>17.100000000000001</v>
      </c>
      <c r="J806" s="985">
        <v>20600</v>
      </c>
      <c r="K806" s="1173">
        <v>7.1</v>
      </c>
      <c r="L806" s="985">
        <v>9000</v>
      </c>
      <c r="M806" s="1174">
        <f t="shared" si="221"/>
        <v>43.9</v>
      </c>
      <c r="N806" s="984">
        <f t="shared" si="222"/>
        <v>53000</v>
      </c>
      <c r="O806" s="986">
        <f t="shared" si="223"/>
        <v>162.16216216216216</v>
      </c>
      <c r="P806" s="987">
        <f t="shared" si="224"/>
        <v>142.75814275814275</v>
      </c>
      <c r="Q806" s="987">
        <f t="shared" si="225"/>
        <v>62.370062370062364</v>
      </c>
      <c r="R806" s="988">
        <f t="shared" si="226"/>
        <v>367.29036729036733</v>
      </c>
      <c r="S806" s="989">
        <v>144.30000000000001</v>
      </c>
      <c r="T806" s="990">
        <v>0</v>
      </c>
      <c r="U806" s="991">
        <v>126</v>
      </c>
      <c r="V806" s="991">
        <v>202</v>
      </c>
      <c r="W806" s="992">
        <f t="shared" si="227"/>
        <v>328</v>
      </c>
      <c r="X806" s="993">
        <f t="shared" si="228"/>
        <v>2.273042273042273</v>
      </c>
      <c r="Y806" s="990">
        <v>1624</v>
      </c>
      <c r="Z806" s="991">
        <v>1408</v>
      </c>
      <c r="AA806" s="991">
        <v>576</v>
      </c>
      <c r="AB806" s="992">
        <f t="shared" si="229"/>
        <v>3608</v>
      </c>
      <c r="AC806" s="993">
        <f t="shared" si="230"/>
        <v>25.003465003465003</v>
      </c>
      <c r="AD806" s="994">
        <f t="shared" si="231"/>
        <v>3936</v>
      </c>
      <c r="AE806" s="995">
        <f t="shared" si="232"/>
        <v>27.276507276507274</v>
      </c>
      <c r="AF806" s="996">
        <v>81</v>
      </c>
      <c r="AG806" s="997">
        <v>63</v>
      </c>
      <c r="AH806" s="997">
        <v>5</v>
      </c>
      <c r="AI806" s="998">
        <f t="shared" si="233"/>
        <v>149</v>
      </c>
      <c r="AJ806" s="993">
        <f t="shared" si="234"/>
        <v>1.0325710325710324</v>
      </c>
    </row>
    <row r="807" spans="1:36" ht="16.5" customHeight="1">
      <c r="A807" s="999">
        <f>'09월 조업일지'!A805</f>
        <v>46295</v>
      </c>
      <c r="B807" s="1099">
        <f>'09월 조업일지'!B805</f>
        <v>46295</v>
      </c>
      <c r="C807" s="1000" t="str">
        <f>'09월 화학성분'!D805</f>
        <v>C</v>
      </c>
      <c r="D807" s="1000" t="str">
        <f>'09월 화학성분'!E805</f>
        <v>B</v>
      </c>
      <c r="E807" s="1000">
        <f>'09월 화학성분'!C805</f>
        <v>86007</v>
      </c>
      <c r="F807" s="1001" t="str">
        <f t="shared" si="220"/>
        <v>SS400-05</v>
      </c>
      <c r="G807" s="1172">
        <v>19.899999999999999</v>
      </c>
      <c r="H807" s="985">
        <v>23000</v>
      </c>
      <c r="I807" s="1173">
        <v>16.600000000000001</v>
      </c>
      <c r="J807" s="985">
        <v>20200</v>
      </c>
      <c r="K807" s="1173">
        <v>9.9</v>
      </c>
      <c r="L807" s="985">
        <v>12700</v>
      </c>
      <c r="M807" s="1174">
        <f t="shared" si="221"/>
        <v>46.4</v>
      </c>
      <c r="N807" s="984">
        <f t="shared" si="222"/>
        <v>55900</v>
      </c>
      <c r="O807" s="986">
        <f t="shared" si="223"/>
        <v>158.40220385674931</v>
      </c>
      <c r="P807" s="987">
        <f t="shared" si="224"/>
        <v>139.11845730027548</v>
      </c>
      <c r="Q807" s="987">
        <f t="shared" si="225"/>
        <v>87.465564738292017</v>
      </c>
      <c r="R807" s="988">
        <f t="shared" si="226"/>
        <v>384.98622589531681</v>
      </c>
      <c r="S807" s="989">
        <v>145.19999999999999</v>
      </c>
      <c r="T807" s="990">
        <v>0</v>
      </c>
      <c r="U807" s="991">
        <v>79</v>
      </c>
      <c r="V807" s="991">
        <v>251</v>
      </c>
      <c r="W807" s="992">
        <f t="shared" si="227"/>
        <v>330</v>
      </c>
      <c r="X807" s="993">
        <f t="shared" si="228"/>
        <v>2.2727272727272729</v>
      </c>
      <c r="Y807" s="990">
        <v>1650</v>
      </c>
      <c r="Z807" s="991">
        <v>1355</v>
      </c>
      <c r="AA807" s="991">
        <v>1020</v>
      </c>
      <c r="AB807" s="992">
        <f t="shared" si="229"/>
        <v>4025</v>
      </c>
      <c r="AC807" s="993">
        <f t="shared" si="230"/>
        <v>27.72038567493113</v>
      </c>
      <c r="AD807" s="994">
        <f t="shared" si="231"/>
        <v>4355</v>
      </c>
      <c r="AE807" s="995">
        <f t="shared" si="232"/>
        <v>29.993112947658403</v>
      </c>
      <c r="AF807" s="996">
        <v>83</v>
      </c>
      <c r="AG807" s="997">
        <v>64</v>
      </c>
      <c r="AH807" s="997">
        <v>10</v>
      </c>
      <c r="AI807" s="998">
        <f t="shared" si="233"/>
        <v>157</v>
      </c>
      <c r="AJ807" s="993">
        <f t="shared" si="234"/>
        <v>1.081267217630854</v>
      </c>
    </row>
    <row r="808" spans="1:36" ht="16.5" customHeight="1">
      <c r="A808" s="999">
        <f>'09월 조업일지'!A806</f>
        <v>46295</v>
      </c>
      <c r="B808" s="1099">
        <f>'09월 조업일지'!B806</f>
        <v>46295</v>
      </c>
      <c r="C808" s="1000" t="str">
        <f>'09월 화학성분'!D806</f>
        <v>C</v>
      </c>
      <c r="D808" s="1000" t="str">
        <f>'09월 화학성분'!E806</f>
        <v>A</v>
      </c>
      <c r="E808" s="1000">
        <f>'09월 화학성분'!C806</f>
        <v>86008</v>
      </c>
      <c r="F808" s="1001" t="str">
        <f t="shared" si="220"/>
        <v>SS400-05</v>
      </c>
      <c r="G808" s="1172">
        <v>19.3</v>
      </c>
      <c r="H808" s="985">
        <v>23000</v>
      </c>
      <c r="I808" s="1173">
        <v>16.899999999999999</v>
      </c>
      <c r="J808" s="985">
        <v>20700</v>
      </c>
      <c r="K808" s="1173">
        <v>11.5</v>
      </c>
      <c r="L808" s="985">
        <v>14400</v>
      </c>
      <c r="M808" s="1174">
        <f t="shared" si="221"/>
        <v>47.7</v>
      </c>
      <c r="N808" s="984">
        <f t="shared" si="222"/>
        <v>58100</v>
      </c>
      <c r="O808" s="986">
        <f t="shared" si="223"/>
        <v>160.50244242847174</v>
      </c>
      <c r="P808" s="987">
        <f t="shared" si="224"/>
        <v>144.45219818562455</v>
      </c>
      <c r="Q808" s="987">
        <f t="shared" si="225"/>
        <v>100.48848569434752</v>
      </c>
      <c r="R808" s="988">
        <f t="shared" si="226"/>
        <v>405.44312630844382</v>
      </c>
      <c r="S808" s="989">
        <v>143.30000000000001</v>
      </c>
      <c r="T808" s="990">
        <v>0</v>
      </c>
      <c r="U808" s="991">
        <v>58</v>
      </c>
      <c r="V808" s="991">
        <v>289</v>
      </c>
      <c r="W808" s="992">
        <f t="shared" si="227"/>
        <v>347</v>
      </c>
      <c r="X808" s="993">
        <f t="shared" si="228"/>
        <v>2.4214933705512909</v>
      </c>
      <c r="Y808" s="990">
        <v>1616</v>
      </c>
      <c r="Z808" s="991">
        <v>1378</v>
      </c>
      <c r="AA808" s="991">
        <v>817</v>
      </c>
      <c r="AB808" s="992">
        <f t="shared" si="229"/>
        <v>3811</v>
      </c>
      <c r="AC808" s="993">
        <f t="shared" si="230"/>
        <v>26.594556873691555</v>
      </c>
      <c r="AD808" s="994">
        <f t="shared" si="231"/>
        <v>4158</v>
      </c>
      <c r="AE808" s="995">
        <f t="shared" si="232"/>
        <v>29.016050244242845</v>
      </c>
      <c r="AF808" s="996">
        <v>81</v>
      </c>
      <c r="AG808" s="997">
        <v>62</v>
      </c>
      <c r="AH808" s="997">
        <v>7</v>
      </c>
      <c r="AI808" s="998">
        <f t="shared" si="233"/>
        <v>150</v>
      </c>
      <c r="AJ808" s="993">
        <f t="shared" si="234"/>
        <v>1.0467550593161199</v>
      </c>
    </row>
    <row r="809" spans="1:36" ht="16.5" customHeight="1">
      <c r="A809" s="999">
        <f>'09월 조업일지'!A807</f>
        <v>46295</v>
      </c>
      <c r="B809" s="1099">
        <f>'09월 조업일지'!B807</f>
        <v>46295</v>
      </c>
      <c r="C809" s="1000" t="str">
        <f>'09월 화학성분'!D807</f>
        <v>C</v>
      </c>
      <c r="D809" s="1000" t="str">
        <f>'09월 화학성분'!E807</f>
        <v>B</v>
      </c>
      <c r="E809" s="1000">
        <f>'09월 화학성분'!C807</f>
        <v>86009</v>
      </c>
      <c r="F809" s="1001" t="str">
        <f t="shared" si="220"/>
        <v>SS400-05</v>
      </c>
      <c r="G809" s="1172">
        <v>18.899999999999999</v>
      </c>
      <c r="H809" s="985">
        <v>22700</v>
      </c>
      <c r="I809" s="1173">
        <v>16.8</v>
      </c>
      <c r="J809" s="985">
        <v>20600</v>
      </c>
      <c r="K809" s="1173">
        <v>8.6999999999999993</v>
      </c>
      <c r="L809" s="985">
        <v>11000</v>
      </c>
      <c r="M809" s="1174">
        <f t="shared" si="221"/>
        <v>44.400000000000006</v>
      </c>
      <c r="N809" s="984">
        <f t="shared" si="222"/>
        <v>54300</v>
      </c>
      <c r="O809" s="986">
        <f t="shared" si="223"/>
        <v>156.44383184011028</v>
      </c>
      <c r="P809" s="987">
        <f t="shared" si="224"/>
        <v>141.9710544452102</v>
      </c>
      <c r="Q809" s="987">
        <f t="shared" si="225"/>
        <v>75.809786354238454</v>
      </c>
      <c r="R809" s="988">
        <f t="shared" si="226"/>
        <v>374.22467263955889</v>
      </c>
      <c r="S809" s="989">
        <v>145.1</v>
      </c>
      <c r="T809" s="990">
        <v>0</v>
      </c>
      <c r="U809" s="991">
        <v>57</v>
      </c>
      <c r="V809" s="991">
        <v>298</v>
      </c>
      <c r="W809" s="992">
        <f t="shared" si="227"/>
        <v>355</v>
      </c>
      <c r="X809" s="993">
        <f t="shared" si="228"/>
        <v>2.4465885596140593</v>
      </c>
      <c r="Y809" s="990">
        <v>1552</v>
      </c>
      <c r="Z809" s="991">
        <v>1400</v>
      </c>
      <c r="AA809" s="991">
        <v>776</v>
      </c>
      <c r="AB809" s="992">
        <f t="shared" si="229"/>
        <v>3728</v>
      </c>
      <c r="AC809" s="993">
        <f t="shared" si="230"/>
        <v>25.692625775327361</v>
      </c>
      <c r="AD809" s="994">
        <f t="shared" si="231"/>
        <v>4083</v>
      </c>
      <c r="AE809" s="995">
        <f t="shared" si="232"/>
        <v>28.139214334941421</v>
      </c>
      <c r="AF809" s="996">
        <v>79</v>
      </c>
      <c r="AG809" s="997">
        <v>65</v>
      </c>
      <c r="AH809" s="997">
        <v>7</v>
      </c>
      <c r="AI809" s="998">
        <f t="shared" si="233"/>
        <v>151</v>
      </c>
      <c r="AJ809" s="993">
        <f t="shared" si="234"/>
        <v>1.0406616126809098</v>
      </c>
    </row>
    <row r="810" spans="1:36" ht="16.5" customHeight="1">
      <c r="A810" s="999">
        <f>'09월 조업일지'!A808</f>
        <v>46295</v>
      </c>
      <c r="B810" s="1099">
        <f>'09월 조업일지'!B808</f>
        <v>46295</v>
      </c>
      <c r="C810" s="1000" t="str">
        <f>'09월 화학성분'!D808</f>
        <v>C</v>
      </c>
      <c r="D810" s="1000" t="str">
        <f>'09월 화학성분'!E808</f>
        <v>A</v>
      </c>
      <c r="E810" s="1000">
        <f>'09월 화학성분'!C808</f>
        <v>86010</v>
      </c>
      <c r="F810" s="1001" t="str">
        <f t="shared" si="220"/>
        <v>SS400-05</v>
      </c>
      <c r="G810" s="1172">
        <v>19.100000000000001</v>
      </c>
      <c r="H810" s="985">
        <v>22800</v>
      </c>
      <c r="I810" s="1173">
        <v>16.899999999999999</v>
      </c>
      <c r="J810" s="985">
        <v>20800</v>
      </c>
      <c r="K810" s="1173">
        <v>8.4</v>
      </c>
      <c r="L810" s="985">
        <v>10600</v>
      </c>
      <c r="M810" s="1174">
        <f t="shared" si="221"/>
        <v>44.4</v>
      </c>
      <c r="N810" s="984">
        <f t="shared" si="222"/>
        <v>54200</v>
      </c>
      <c r="O810" s="986">
        <f t="shared" si="223"/>
        <v>157.45856353591159</v>
      </c>
      <c r="P810" s="987">
        <f t="shared" si="224"/>
        <v>143.64640883977899</v>
      </c>
      <c r="Q810" s="987">
        <f t="shared" si="225"/>
        <v>73.204419889502759</v>
      </c>
      <c r="R810" s="988">
        <f t="shared" si="226"/>
        <v>374.30939226519331</v>
      </c>
      <c r="S810" s="989">
        <v>144.80000000000001</v>
      </c>
      <c r="T810" s="990">
        <v>0</v>
      </c>
      <c r="U810" s="991">
        <v>118</v>
      </c>
      <c r="V810" s="991">
        <v>219</v>
      </c>
      <c r="W810" s="992">
        <f t="shared" si="227"/>
        <v>337</v>
      </c>
      <c r="X810" s="993">
        <f t="shared" si="228"/>
        <v>2.3273480662983426</v>
      </c>
      <c r="Y810" s="990">
        <v>1577</v>
      </c>
      <c r="Z810" s="991">
        <v>1401</v>
      </c>
      <c r="AA810" s="991">
        <v>631</v>
      </c>
      <c r="AB810" s="992">
        <f t="shared" si="229"/>
        <v>3609</v>
      </c>
      <c r="AC810" s="993">
        <f t="shared" si="230"/>
        <v>24.924033149171269</v>
      </c>
      <c r="AD810" s="994">
        <f t="shared" si="231"/>
        <v>3946</v>
      </c>
      <c r="AE810" s="995">
        <f t="shared" si="232"/>
        <v>27.25138121546961</v>
      </c>
      <c r="AF810" s="996">
        <v>80</v>
      </c>
      <c r="AG810" s="997">
        <v>62</v>
      </c>
      <c r="AH810" s="997">
        <v>5</v>
      </c>
      <c r="AI810" s="998">
        <f t="shared" si="233"/>
        <v>147</v>
      </c>
      <c r="AJ810" s="993">
        <f t="shared" si="234"/>
        <v>1.0151933701657458</v>
      </c>
    </row>
    <row r="811" spans="1:36" ht="16.5" customHeight="1">
      <c r="A811" s="999">
        <f>'09월 조업일지'!A809</f>
        <v>46295</v>
      </c>
      <c r="B811" s="1099">
        <f>'09월 조업일지'!B809</f>
        <v>46295</v>
      </c>
      <c r="C811" s="1000" t="str">
        <f>'09월 화학성분'!D809</f>
        <v>C</v>
      </c>
      <c r="D811" s="1000" t="str">
        <f>'09월 화학성분'!E809</f>
        <v>B</v>
      </c>
      <c r="E811" s="1000">
        <f>'09월 화학성분'!C809</f>
        <v>86011</v>
      </c>
      <c r="F811" s="1001" t="str">
        <f t="shared" si="220"/>
        <v>SS400-05</v>
      </c>
      <c r="G811" s="1172">
        <v>18.7</v>
      </c>
      <c r="H811" s="985">
        <v>22700</v>
      </c>
      <c r="I811" s="1173">
        <v>16.8</v>
      </c>
      <c r="J811" s="985">
        <v>20300</v>
      </c>
      <c r="K811" s="1173">
        <v>10.4</v>
      </c>
      <c r="L811" s="985">
        <v>13400</v>
      </c>
      <c r="M811" s="1174">
        <f t="shared" si="221"/>
        <v>45.9</v>
      </c>
      <c r="N811" s="984">
        <f t="shared" si="222"/>
        <v>56400</v>
      </c>
      <c r="O811" s="986">
        <f t="shared" si="223"/>
        <v>156.33608815426999</v>
      </c>
      <c r="P811" s="987">
        <f t="shared" si="224"/>
        <v>139.80716253443526</v>
      </c>
      <c r="Q811" s="987">
        <f t="shared" si="225"/>
        <v>92.286501377410474</v>
      </c>
      <c r="R811" s="988">
        <f t="shared" si="226"/>
        <v>388.42975206611573</v>
      </c>
      <c r="S811" s="989">
        <v>145.19999999999999</v>
      </c>
      <c r="T811" s="990">
        <v>0</v>
      </c>
      <c r="U811" s="991">
        <v>69</v>
      </c>
      <c r="V811" s="991">
        <v>256</v>
      </c>
      <c r="W811" s="992">
        <f t="shared" si="227"/>
        <v>325</v>
      </c>
      <c r="X811" s="993">
        <f t="shared" si="228"/>
        <v>2.2382920110192841</v>
      </c>
      <c r="Y811" s="990">
        <v>1528</v>
      </c>
      <c r="Z811" s="991">
        <v>1401</v>
      </c>
      <c r="AA811" s="991">
        <v>881</v>
      </c>
      <c r="AB811" s="992">
        <f t="shared" si="229"/>
        <v>3810</v>
      </c>
      <c r="AC811" s="993">
        <f t="shared" si="230"/>
        <v>26.239669421487605</v>
      </c>
      <c r="AD811" s="994">
        <f t="shared" si="231"/>
        <v>4135</v>
      </c>
      <c r="AE811" s="995">
        <f t="shared" si="232"/>
        <v>28.477961432506888</v>
      </c>
      <c r="AF811" s="996">
        <v>78</v>
      </c>
      <c r="AG811" s="997">
        <v>66</v>
      </c>
      <c r="AH811" s="997">
        <v>7</v>
      </c>
      <c r="AI811" s="998">
        <f t="shared" si="233"/>
        <v>151</v>
      </c>
      <c r="AJ811" s="993">
        <f t="shared" si="234"/>
        <v>1.0399449035812673</v>
      </c>
    </row>
    <row r="812" spans="1:36" ht="16.5" customHeight="1">
      <c r="A812" s="999">
        <f>'09월 조업일지'!A810</f>
        <v>46295</v>
      </c>
      <c r="B812" s="1099">
        <f>'09월 조업일지'!B810</f>
        <v>46295</v>
      </c>
      <c r="C812" s="1000" t="str">
        <f>'09월 화학성분'!D810</f>
        <v>C</v>
      </c>
      <c r="D812" s="1000" t="str">
        <f>'09월 화학성분'!E810</f>
        <v>A</v>
      </c>
      <c r="E812" s="1000">
        <f>'09월 화학성분'!C810</f>
        <v>86012</v>
      </c>
      <c r="F812" s="1001" t="str">
        <f t="shared" si="220"/>
        <v>SS400-05</v>
      </c>
      <c r="G812" s="1172">
        <v>20.100000000000001</v>
      </c>
      <c r="H812" s="985">
        <v>24400</v>
      </c>
      <c r="I812" s="1173">
        <v>17.600000000000001</v>
      </c>
      <c r="J812" s="985">
        <v>21300</v>
      </c>
      <c r="K812" s="1173">
        <v>8.8000000000000007</v>
      </c>
      <c r="L812" s="985">
        <v>11000</v>
      </c>
      <c r="M812" s="1174">
        <f t="shared" si="221"/>
        <v>46.5</v>
      </c>
      <c r="N812" s="984">
        <f t="shared" si="222"/>
        <v>56700</v>
      </c>
      <c r="O812" s="986">
        <f t="shared" si="223"/>
        <v>167.46739876458477</v>
      </c>
      <c r="P812" s="987">
        <f t="shared" si="224"/>
        <v>146.19080301990391</v>
      </c>
      <c r="Q812" s="987">
        <f t="shared" si="225"/>
        <v>75.497597803706256</v>
      </c>
      <c r="R812" s="988">
        <f t="shared" si="226"/>
        <v>389.15579958819495</v>
      </c>
      <c r="S812" s="989">
        <v>145.69999999999999</v>
      </c>
      <c r="T812" s="990">
        <v>0</v>
      </c>
      <c r="U812" s="991">
        <v>153</v>
      </c>
      <c r="V812" s="991">
        <v>186</v>
      </c>
      <c r="W812" s="992">
        <f t="shared" si="227"/>
        <v>339</v>
      </c>
      <c r="X812" s="993">
        <f t="shared" si="228"/>
        <v>2.3266986959505838</v>
      </c>
      <c r="Y812" s="990">
        <v>1686</v>
      </c>
      <c r="Z812" s="991">
        <v>1460</v>
      </c>
      <c r="AA812" s="991">
        <v>566</v>
      </c>
      <c r="AB812" s="992">
        <f t="shared" si="229"/>
        <v>3712</v>
      </c>
      <c r="AC812" s="993">
        <f t="shared" si="230"/>
        <v>25.477007549759783</v>
      </c>
      <c r="AD812" s="994">
        <f t="shared" si="231"/>
        <v>4051</v>
      </c>
      <c r="AE812" s="995">
        <f t="shared" si="232"/>
        <v>27.803706245710366</v>
      </c>
      <c r="AF812" s="996">
        <v>81</v>
      </c>
      <c r="AG812" s="997">
        <v>64</v>
      </c>
      <c r="AH812" s="997">
        <v>5</v>
      </c>
      <c r="AI812" s="998">
        <f t="shared" si="233"/>
        <v>150</v>
      </c>
      <c r="AJ812" s="993">
        <f t="shared" si="234"/>
        <v>1.0295126973232671</v>
      </c>
    </row>
    <row r="813" spans="1:36" ht="16.5" customHeight="1">
      <c r="A813" s="999">
        <f>'09월 조업일지'!A811</f>
        <v>46295</v>
      </c>
      <c r="B813" s="1099">
        <f>'09월 조업일지'!B811</f>
        <v>46295</v>
      </c>
      <c r="C813" s="1000" t="str">
        <f>'09월 화학성분'!D811</f>
        <v>C</v>
      </c>
      <c r="D813" s="1000" t="str">
        <f>'09월 화학성분'!E811</f>
        <v>B</v>
      </c>
      <c r="E813" s="1000">
        <f>'09월 화학성분'!C811</f>
        <v>86013</v>
      </c>
      <c r="F813" s="1001" t="str">
        <f t="shared" si="220"/>
        <v>SS400-05</v>
      </c>
      <c r="G813" s="1172">
        <v>19.2</v>
      </c>
      <c r="H813" s="985">
        <v>22700</v>
      </c>
      <c r="I813" s="1173">
        <v>16.2</v>
      </c>
      <c r="J813" s="985">
        <v>20200</v>
      </c>
      <c r="K813" s="1173">
        <v>11.6</v>
      </c>
      <c r="L813" s="985">
        <v>14100</v>
      </c>
      <c r="M813" s="1174">
        <f t="shared" si="221"/>
        <v>47</v>
      </c>
      <c r="N813" s="984">
        <f t="shared" si="222"/>
        <v>57000</v>
      </c>
      <c r="O813" s="986">
        <f t="shared" si="223"/>
        <v>153.68991198375085</v>
      </c>
      <c r="P813" s="987">
        <f t="shared" si="224"/>
        <v>136.76371022342587</v>
      </c>
      <c r="Q813" s="987">
        <f t="shared" si="225"/>
        <v>95.463777928232915</v>
      </c>
      <c r="R813" s="988">
        <f t="shared" si="226"/>
        <v>385.91740013540965</v>
      </c>
      <c r="S813" s="989">
        <v>147.69999999999999</v>
      </c>
      <c r="T813" s="990">
        <v>0</v>
      </c>
      <c r="U813" s="991">
        <v>60</v>
      </c>
      <c r="V813" s="991">
        <v>309</v>
      </c>
      <c r="W813" s="992">
        <f t="shared" si="227"/>
        <v>369</v>
      </c>
      <c r="X813" s="993">
        <f t="shared" si="228"/>
        <v>2.4983073798239679</v>
      </c>
      <c r="Y813" s="990">
        <v>1563</v>
      </c>
      <c r="Z813" s="991">
        <v>1350</v>
      </c>
      <c r="AA813" s="991">
        <v>1240</v>
      </c>
      <c r="AB813" s="992">
        <f t="shared" si="229"/>
        <v>4153</v>
      </c>
      <c r="AC813" s="993">
        <f t="shared" si="230"/>
        <v>28.117806364251862</v>
      </c>
      <c r="AD813" s="994">
        <f t="shared" si="231"/>
        <v>4522</v>
      </c>
      <c r="AE813" s="995">
        <f t="shared" si="232"/>
        <v>30.616113744075832</v>
      </c>
      <c r="AF813" s="996">
        <v>81</v>
      </c>
      <c r="AG813" s="997">
        <v>63</v>
      </c>
      <c r="AH813" s="997">
        <v>12</v>
      </c>
      <c r="AI813" s="998">
        <f t="shared" si="233"/>
        <v>156</v>
      </c>
      <c r="AJ813" s="993">
        <f t="shared" si="234"/>
        <v>1.0561949898442791</v>
      </c>
    </row>
    <row r="814" spans="1:36" ht="16.5" customHeight="1">
      <c r="A814" s="999">
        <f>'09월 조업일지'!A812</f>
        <v>46295</v>
      </c>
      <c r="B814" s="1099">
        <f>'09월 조업일지'!B812</f>
        <v>46295</v>
      </c>
      <c r="C814" s="1000" t="str">
        <f>'09월 화학성분'!D812</f>
        <v>C</v>
      </c>
      <c r="D814" s="1000" t="str">
        <f>'09월 화학성분'!E812</f>
        <v>A</v>
      </c>
      <c r="E814" s="1000">
        <f>'09월 화학성분'!C812</f>
        <v>86014</v>
      </c>
      <c r="F814" s="1001" t="str">
        <f t="shared" si="220"/>
        <v>SS400-05</v>
      </c>
      <c r="G814" s="1172">
        <v>21</v>
      </c>
      <c r="H814" s="985">
        <v>24400</v>
      </c>
      <c r="I814" s="1173">
        <v>16.8</v>
      </c>
      <c r="J814" s="985">
        <v>20400</v>
      </c>
      <c r="K814" s="1173">
        <v>11.3</v>
      </c>
      <c r="L814" s="985">
        <v>14200</v>
      </c>
      <c r="M814" s="1174">
        <f t="shared" si="221"/>
        <v>49.099999999999994</v>
      </c>
      <c r="N814" s="984">
        <f t="shared" si="222"/>
        <v>59000</v>
      </c>
      <c r="O814" s="986">
        <f t="shared" si="223"/>
        <v>167.81292984869324</v>
      </c>
      <c r="P814" s="987">
        <f t="shared" si="224"/>
        <v>140.30261348005502</v>
      </c>
      <c r="Q814" s="987">
        <f t="shared" si="225"/>
        <v>97.661623108665751</v>
      </c>
      <c r="R814" s="988">
        <f t="shared" si="226"/>
        <v>405.777166437414</v>
      </c>
      <c r="S814" s="989">
        <v>145.4</v>
      </c>
      <c r="T814" s="990">
        <v>0</v>
      </c>
      <c r="U814" s="991">
        <v>190</v>
      </c>
      <c r="V814" s="991">
        <v>164</v>
      </c>
      <c r="W814" s="992">
        <f t="shared" si="227"/>
        <v>354</v>
      </c>
      <c r="X814" s="993">
        <f t="shared" si="228"/>
        <v>2.4346629986244839</v>
      </c>
      <c r="Y814" s="990">
        <v>1486</v>
      </c>
      <c r="Z814" s="991">
        <v>1390</v>
      </c>
      <c r="AA814" s="991">
        <v>963</v>
      </c>
      <c r="AB814" s="992">
        <f t="shared" si="229"/>
        <v>3839</v>
      </c>
      <c r="AC814" s="993">
        <f t="shared" si="230"/>
        <v>26.403026134800548</v>
      </c>
      <c r="AD814" s="994">
        <f t="shared" si="231"/>
        <v>4193</v>
      </c>
      <c r="AE814" s="995">
        <f t="shared" si="232"/>
        <v>28.837689133425034</v>
      </c>
      <c r="AF814" s="996">
        <v>73</v>
      </c>
      <c r="AG814" s="997">
        <v>64</v>
      </c>
      <c r="AH814" s="997">
        <v>9</v>
      </c>
      <c r="AI814" s="998">
        <f t="shared" si="233"/>
        <v>146</v>
      </c>
      <c r="AJ814" s="993">
        <f t="shared" si="234"/>
        <v>1.0041265474552956</v>
      </c>
    </row>
    <row r="815" spans="1:36" ht="16.5" customHeight="1">
      <c r="A815" s="999">
        <f>'09월 조업일지'!A813</f>
        <v>46295</v>
      </c>
      <c r="B815" s="1099">
        <f>'09월 조업일지'!B813</f>
        <v>46295</v>
      </c>
      <c r="C815" s="1000" t="str">
        <f>'09월 화학성분'!D813</f>
        <v>C</v>
      </c>
      <c r="D815" s="1000" t="str">
        <f>'09월 화학성분'!E813</f>
        <v>B</v>
      </c>
      <c r="E815" s="1000">
        <f>'09월 화학성분'!C813</f>
        <v>86015</v>
      </c>
      <c r="F815" s="1001" t="str">
        <f t="shared" si="220"/>
        <v>SS400-05</v>
      </c>
      <c r="G815" s="1172">
        <v>19.7</v>
      </c>
      <c r="H815" s="985">
        <v>24200</v>
      </c>
      <c r="I815" s="1173">
        <v>17</v>
      </c>
      <c r="J815" s="985">
        <v>20400</v>
      </c>
      <c r="K815" s="1173">
        <v>10.7</v>
      </c>
      <c r="L815" s="985">
        <v>12800</v>
      </c>
      <c r="M815" s="1174">
        <f t="shared" si="221"/>
        <v>47.400000000000006</v>
      </c>
      <c r="N815" s="984">
        <f t="shared" si="222"/>
        <v>57400</v>
      </c>
      <c r="O815" s="986">
        <f t="shared" si="223"/>
        <v>166.09471516815375</v>
      </c>
      <c r="P815" s="987">
        <f t="shared" si="224"/>
        <v>140.01372683596432</v>
      </c>
      <c r="Q815" s="987">
        <f t="shared" si="225"/>
        <v>87.851750171585451</v>
      </c>
      <c r="R815" s="988">
        <f t="shared" si="226"/>
        <v>393.96019217570347</v>
      </c>
      <c r="S815" s="989">
        <v>145.69999999999999</v>
      </c>
      <c r="T815" s="990">
        <v>0</v>
      </c>
      <c r="U815" s="991">
        <v>191</v>
      </c>
      <c r="V815" s="991">
        <v>301</v>
      </c>
      <c r="W815" s="992">
        <f t="shared" si="227"/>
        <v>492</v>
      </c>
      <c r="X815" s="993">
        <f t="shared" si="228"/>
        <v>3.3768016472203159</v>
      </c>
      <c r="Y815" s="990">
        <v>1670</v>
      </c>
      <c r="Z815" s="991">
        <v>1373</v>
      </c>
      <c r="AA815" s="991">
        <v>1011</v>
      </c>
      <c r="AB815" s="992">
        <f t="shared" si="229"/>
        <v>4054</v>
      </c>
      <c r="AC815" s="993">
        <f t="shared" si="230"/>
        <v>27.824296499656832</v>
      </c>
      <c r="AD815" s="994">
        <f t="shared" si="231"/>
        <v>4546</v>
      </c>
      <c r="AE815" s="995">
        <f t="shared" si="232"/>
        <v>31.201098146877147</v>
      </c>
      <c r="AF815" s="996">
        <v>82</v>
      </c>
      <c r="AG815" s="997">
        <v>66</v>
      </c>
      <c r="AH815" s="997">
        <v>10</v>
      </c>
      <c r="AI815" s="998">
        <f t="shared" si="233"/>
        <v>158</v>
      </c>
      <c r="AJ815" s="993">
        <f t="shared" si="234"/>
        <v>1.0844200411805081</v>
      </c>
    </row>
    <row r="816" spans="1:36" ht="16.5" customHeight="1">
      <c r="A816" s="999">
        <f>'09월 조업일지'!A814</f>
        <v>46295</v>
      </c>
      <c r="B816" s="1099">
        <f>'09월 조업일지'!B814</f>
        <v>46295</v>
      </c>
      <c r="C816" s="1000" t="str">
        <f>'09월 화학성분'!D814</f>
        <v>D</v>
      </c>
      <c r="D816" s="1000" t="str">
        <f>'09월 화학성분'!E814</f>
        <v>A</v>
      </c>
      <c r="E816" s="1000">
        <f>'09월 화학성분'!C814</f>
        <v>86016</v>
      </c>
      <c r="F816" s="1001" t="str">
        <f t="shared" si="220"/>
        <v>SS400-05</v>
      </c>
      <c r="G816" s="1172">
        <v>19.8</v>
      </c>
      <c r="H816" s="985">
        <v>23000</v>
      </c>
      <c r="I816" s="1173">
        <v>17.2</v>
      </c>
      <c r="J816" s="985">
        <v>21100</v>
      </c>
      <c r="K816" s="1173">
        <v>7.9</v>
      </c>
      <c r="L816" s="985">
        <v>9900</v>
      </c>
      <c r="M816" s="1174">
        <f t="shared" si="221"/>
        <v>44.9</v>
      </c>
      <c r="N816" s="984">
        <f t="shared" si="222"/>
        <v>54000</v>
      </c>
      <c r="O816" s="986">
        <f t="shared" si="223"/>
        <v>158.40220385674931</v>
      </c>
      <c r="P816" s="987">
        <f t="shared" si="224"/>
        <v>145.31680440771351</v>
      </c>
      <c r="Q816" s="987">
        <f t="shared" si="225"/>
        <v>68.181818181818187</v>
      </c>
      <c r="R816" s="988">
        <f t="shared" si="226"/>
        <v>371.90082644628097</v>
      </c>
      <c r="S816" s="989">
        <v>145.19999999999999</v>
      </c>
      <c r="T816" s="990">
        <v>0</v>
      </c>
      <c r="U816" s="991">
        <v>173</v>
      </c>
      <c r="V816" s="991">
        <v>172</v>
      </c>
      <c r="W816" s="992">
        <f t="shared" si="227"/>
        <v>345</v>
      </c>
      <c r="X816" s="993">
        <f t="shared" si="228"/>
        <v>2.3760330578512399</v>
      </c>
      <c r="Y816" s="990">
        <v>1602</v>
      </c>
      <c r="Z816" s="991">
        <v>1439</v>
      </c>
      <c r="AA816" s="991">
        <v>649</v>
      </c>
      <c r="AB816" s="992">
        <f t="shared" si="229"/>
        <v>3690</v>
      </c>
      <c r="AC816" s="993">
        <f t="shared" si="230"/>
        <v>25.41322314049587</v>
      </c>
      <c r="AD816" s="994">
        <f t="shared" si="231"/>
        <v>4035</v>
      </c>
      <c r="AE816" s="995">
        <f t="shared" si="232"/>
        <v>27.789256198347111</v>
      </c>
      <c r="AF816" s="996">
        <v>81</v>
      </c>
      <c r="AG816" s="997">
        <v>66</v>
      </c>
      <c r="AH816" s="997">
        <v>6</v>
      </c>
      <c r="AI816" s="998">
        <f t="shared" si="233"/>
        <v>153</v>
      </c>
      <c r="AJ816" s="993">
        <f t="shared" si="234"/>
        <v>1.053719008264463</v>
      </c>
    </row>
    <row r="817" spans="1:36" ht="16.5" customHeight="1">
      <c r="A817" s="999">
        <f>'09월 조업일지'!A815</f>
        <v>46295</v>
      </c>
      <c r="B817" s="1099">
        <f>'09월 조업일지'!B815</f>
        <v>46295</v>
      </c>
      <c r="C817" s="1000" t="str">
        <f>'09월 화학성분'!D815</f>
        <v>D</v>
      </c>
      <c r="D817" s="1000" t="str">
        <f>'09월 화학성분'!E815</f>
        <v>B</v>
      </c>
      <c r="E817" s="1000">
        <f>'09월 화학성분'!C815</f>
        <v>86017</v>
      </c>
      <c r="F817" s="1001" t="str">
        <f t="shared" si="220"/>
        <v>SS400-05</v>
      </c>
      <c r="G817" s="1172">
        <v>18.399999999999999</v>
      </c>
      <c r="H817" s="985">
        <v>22500</v>
      </c>
      <c r="I817" s="1173">
        <v>16.600000000000001</v>
      </c>
      <c r="J817" s="985">
        <v>20600</v>
      </c>
      <c r="K817" s="1173">
        <v>9</v>
      </c>
      <c r="L817" s="985">
        <v>11400</v>
      </c>
      <c r="M817" s="1174">
        <f t="shared" si="221"/>
        <v>44</v>
      </c>
      <c r="N817" s="984">
        <f t="shared" si="222"/>
        <v>54500</v>
      </c>
      <c r="O817" s="986">
        <f t="shared" si="223"/>
        <v>155.27950310559007</v>
      </c>
      <c r="P817" s="987">
        <f t="shared" si="224"/>
        <v>142.16701173222913</v>
      </c>
      <c r="Q817" s="987">
        <f t="shared" si="225"/>
        <v>78.674948240165634</v>
      </c>
      <c r="R817" s="988">
        <f t="shared" si="226"/>
        <v>376.12146307798486</v>
      </c>
      <c r="S817" s="989">
        <v>144.9</v>
      </c>
      <c r="T817" s="990">
        <v>0</v>
      </c>
      <c r="U817" s="991">
        <v>9</v>
      </c>
      <c r="V817" s="991">
        <v>320</v>
      </c>
      <c r="W817" s="992">
        <f t="shared" si="227"/>
        <v>329</v>
      </c>
      <c r="X817" s="993">
        <f t="shared" si="228"/>
        <v>2.2705314009661834</v>
      </c>
      <c r="Y817" s="990">
        <v>1500</v>
      </c>
      <c r="Z817" s="991">
        <v>1389</v>
      </c>
      <c r="AA817" s="991">
        <v>822</v>
      </c>
      <c r="AB817" s="992">
        <f t="shared" si="229"/>
        <v>3711</v>
      </c>
      <c r="AC817" s="993">
        <f t="shared" si="230"/>
        <v>25.610766045548655</v>
      </c>
      <c r="AD817" s="994">
        <f t="shared" si="231"/>
        <v>4040</v>
      </c>
      <c r="AE817" s="995">
        <f t="shared" si="232"/>
        <v>27.881297446514836</v>
      </c>
      <c r="AF817" s="996">
        <v>78</v>
      </c>
      <c r="AG817" s="997">
        <v>65</v>
      </c>
      <c r="AH817" s="997">
        <v>7</v>
      </c>
      <c r="AI817" s="998">
        <f t="shared" si="233"/>
        <v>150</v>
      </c>
      <c r="AJ817" s="993">
        <f t="shared" si="234"/>
        <v>1.0351966873706004</v>
      </c>
    </row>
    <row r="818" spans="1:36" ht="16.5" customHeight="1">
      <c r="A818" s="999">
        <f>'09월 조업일지'!A816</f>
        <v>46295</v>
      </c>
      <c r="B818" s="1099">
        <f>'09월 조업일지'!B816</f>
        <v>46295</v>
      </c>
      <c r="C818" s="1000" t="str">
        <f>'09월 화학성분'!D816</f>
        <v>D</v>
      </c>
      <c r="D818" s="1000" t="str">
        <f>'09월 화학성분'!E816</f>
        <v>A</v>
      </c>
      <c r="E818" s="1000">
        <f>'09월 화학성분'!C816</f>
        <v>86018</v>
      </c>
      <c r="F818" s="1001" t="str">
        <f t="shared" si="220"/>
        <v>SS400-05</v>
      </c>
      <c r="G818" s="1172">
        <v>18.600000000000001</v>
      </c>
      <c r="H818" s="985">
        <v>22200</v>
      </c>
      <c r="I818" s="1173">
        <v>17.100000000000001</v>
      </c>
      <c r="J818" s="985">
        <v>20600</v>
      </c>
      <c r="K818" s="1173">
        <v>9.3000000000000007</v>
      </c>
      <c r="L818" s="985">
        <v>11700</v>
      </c>
      <c r="M818" s="1174">
        <f t="shared" si="221"/>
        <v>45</v>
      </c>
      <c r="N818" s="984">
        <f t="shared" si="222"/>
        <v>54500</v>
      </c>
      <c r="O818" s="986">
        <f t="shared" si="223"/>
        <v>153.84615384615384</v>
      </c>
      <c r="P818" s="987">
        <f t="shared" si="224"/>
        <v>142.75814275814275</v>
      </c>
      <c r="Q818" s="987">
        <f t="shared" si="225"/>
        <v>81.081081081081081</v>
      </c>
      <c r="R818" s="988">
        <f t="shared" si="226"/>
        <v>377.68537768537766</v>
      </c>
      <c r="S818" s="989">
        <v>144.30000000000001</v>
      </c>
      <c r="T818" s="990">
        <v>0</v>
      </c>
      <c r="U818" s="991">
        <v>0</v>
      </c>
      <c r="V818" s="991">
        <v>327</v>
      </c>
      <c r="W818" s="992">
        <f t="shared" si="227"/>
        <v>327</v>
      </c>
      <c r="X818" s="993">
        <f t="shared" si="228"/>
        <v>2.2661122661122661</v>
      </c>
      <c r="Y818" s="990">
        <v>1536</v>
      </c>
      <c r="Z818" s="991">
        <v>1446</v>
      </c>
      <c r="AA818" s="991">
        <v>825</v>
      </c>
      <c r="AB818" s="992">
        <f t="shared" si="229"/>
        <v>3807</v>
      </c>
      <c r="AC818" s="993">
        <f t="shared" si="230"/>
        <v>26.382536382536379</v>
      </c>
      <c r="AD818" s="994">
        <f t="shared" si="231"/>
        <v>4134</v>
      </c>
      <c r="AE818" s="995">
        <f t="shared" si="232"/>
        <v>28.648648648648646</v>
      </c>
      <c r="AF818" s="996">
        <v>80</v>
      </c>
      <c r="AG818" s="997">
        <v>62</v>
      </c>
      <c r="AH818" s="997">
        <v>8</v>
      </c>
      <c r="AI818" s="998">
        <f t="shared" si="233"/>
        <v>150</v>
      </c>
      <c r="AJ818" s="993">
        <f t="shared" si="234"/>
        <v>1.0395010395010393</v>
      </c>
    </row>
    <row r="819" spans="1:36" ht="16.5" customHeight="1">
      <c r="A819" s="999">
        <f>'09월 조업일지'!A817</f>
        <v>46295</v>
      </c>
      <c r="B819" s="1099">
        <f>'09월 조업일지'!B817</f>
        <v>46295</v>
      </c>
      <c r="C819" s="1000" t="str">
        <f>'09월 화학성분'!D817</f>
        <v>D</v>
      </c>
      <c r="D819" s="1000" t="str">
        <f>'09월 화학성분'!E817</f>
        <v>B</v>
      </c>
      <c r="E819" s="1000">
        <f>'09월 화학성분'!C817</f>
        <v>86019</v>
      </c>
      <c r="F819" s="1001" t="str">
        <f t="shared" si="220"/>
        <v>SS400-05</v>
      </c>
      <c r="G819" s="1172">
        <v>19</v>
      </c>
      <c r="H819" s="985">
        <v>22500</v>
      </c>
      <c r="I819" s="1173">
        <v>16.7</v>
      </c>
      <c r="J819" s="985">
        <v>20500</v>
      </c>
      <c r="K819" s="1173">
        <v>9.9</v>
      </c>
      <c r="L819" s="985">
        <v>12700</v>
      </c>
      <c r="M819" s="1174">
        <f t="shared" si="221"/>
        <v>45.6</v>
      </c>
      <c r="N819" s="984">
        <f t="shared" si="222"/>
        <v>55700</v>
      </c>
      <c r="O819" s="986">
        <f t="shared" si="223"/>
        <v>155.38674033149169</v>
      </c>
      <c r="P819" s="987">
        <f t="shared" si="224"/>
        <v>141.57458563535911</v>
      </c>
      <c r="Q819" s="987">
        <f t="shared" si="225"/>
        <v>87.707182320441987</v>
      </c>
      <c r="R819" s="988">
        <f t="shared" si="226"/>
        <v>384.66850828729281</v>
      </c>
      <c r="S819" s="989">
        <v>144.80000000000001</v>
      </c>
      <c r="T819" s="990">
        <v>0</v>
      </c>
      <c r="U819" s="991">
        <v>10</v>
      </c>
      <c r="V819" s="991">
        <v>333</v>
      </c>
      <c r="W819" s="992">
        <f t="shared" si="227"/>
        <v>343</v>
      </c>
      <c r="X819" s="993">
        <f t="shared" si="228"/>
        <v>2.3687845303867401</v>
      </c>
      <c r="Y819" s="990">
        <v>1549</v>
      </c>
      <c r="Z819" s="991">
        <v>1457</v>
      </c>
      <c r="AA819" s="991">
        <v>874</v>
      </c>
      <c r="AB819" s="992">
        <f t="shared" si="229"/>
        <v>3880</v>
      </c>
      <c r="AC819" s="993">
        <f t="shared" si="230"/>
        <v>26.795580110497234</v>
      </c>
      <c r="AD819" s="994">
        <f t="shared" si="231"/>
        <v>4223</v>
      </c>
      <c r="AE819" s="995">
        <f t="shared" si="232"/>
        <v>29.164364640883974</v>
      </c>
      <c r="AF819" s="996">
        <v>79</v>
      </c>
      <c r="AG819" s="997">
        <v>64</v>
      </c>
      <c r="AH819" s="997">
        <v>8</v>
      </c>
      <c r="AI819" s="998">
        <f t="shared" si="233"/>
        <v>151</v>
      </c>
      <c r="AJ819" s="993">
        <f t="shared" si="234"/>
        <v>1.0428176795580109</v>
      </c>
    </row>
    <row r="820" spans="1:36" ht="16.5" customHeight="1">
      <c r="A820" s="999">
        <f>'09월 조업일지'!A818</f>
        <v>46295</v>
      </c>
      <c r="B820" s="1099">
        <f>'09월 조업일지'!B818</f>
        <v>46295</v>
      </c>
      <c r="C820" s="1000" t="str">
        <f>'09월 화학성분'!D818</f>
        <v>D</v>
      </c>
      <c r="D820" s="1000" t="str">
        <f>'09월 화학성분'!E818</f>
        <v>A</v>
      </c>
      <c r="E820" s="1000">
        <f>'09월 화학성분'!C818</f>
        <v>86020</v>
      </c>
      <c r="F820" s="1001" t="str">
        <f t="shared" si="220"/>
        <v>SS400-05</v>
      </c>
      <c r="G820" s="1172">
        <v>18.3</v>
      </c>
      <c r="H820" s="985">
        <v>22500</v>
      </c>
      <c r="I820" s="1173">
        <v>16.899999999999999</v>
      </c>
      <c r="J820" s="985">
        <v>20600</v>
      </c>
      <c r="K820" s="1173">
        <v>9.8000000000000007</v>
      </c>
      <c r="L820" s="985">
        <v>12200</v>
      </c>
      <c r="M820" s="1174">
        <f t="shared" si="221"/>
        <v>45</v>
      </c>
      <c r="N820" s="984">
        <f t="shared" si="222"/>
        <v>55300</v>
      </c>
      <c r="O820" s="986">
        <f t="shared" si="223"/>
        <v>157.78401122019636</v>
      </c>
      <c r="P820" s="987">
        <f t="shared" si="224"/>
        <v>144.46002805049088</v>
      </c>
      <c r="Q820" s="987">
        <f t="shared" si="225"/>
        <v>85.553997194950909</v>
      </c>
      <c r="R820" s="988">
        <f t="shared" si="226"/>
        <v>387.79803646563818</v>
      </c>
      <c r="S820" s="989">
        <v>142.6</v>
      </c>
      <c r="T820" s="990">
        <v>0</v>
      </c>
      <c r="U820" s="991">
        <v>15</v>
      </c>
      <c r="V820" s="991">
        <v>322</v>
      </c>
      <c r="W820" s="992">
        <f t="shared" si="227"/>
        <v>337</v>
      </c>
      <c r="X820" s="993">
        <f t="shared" si="228"/>
        <v>2.3632538569424968</v>
      </c>
      <c r="Y820" s="990">
        <v>1508</v>
      </c>
      <c r="Z820" s="991">
        <v>1418</v>
      </c>
      <c r="AA820" s="991">
        <v>817</v>
      </c>
      <c r="AB820" s="992">
        <f t="shared" si="229"/>
        <v>3743</v>
      </c>
      <c r="AC820" s="993">
        <f t="shared" si="230"/>
        <v>26.248246844319777</v>
      </c>
      <c r="AD820" s="994">
        <f t="shared" si="231"/>
        <v>4080</v>
      </c>
      <c r="AE820" s="995">
        <f t="shared" si="232"/>
        <v>28.611500701262273</v>
      </c>
      <c r="AF820" s="996">
        <v>78</v>
      </c>
      <c r="AG820" s="997">
        <v>63</v>
      </c>
      <c r="AH820" s="997">
        <v>8</v>
      </c>
      <c r="AI820" s="998">
        <f t="shared" si="233"/>
        <v>149</v>
      </c>
      <c r="AJ820" s="993">
        <f t="shared" si="234"/>
        <v>1.0448807854137447</v>
      </c>
    </row>
    <row r="821" spans="1:36" ht="16.5" customHeight="1">
      <c r="A821" s="999">
        <f>'09월 조업일지'!A819</f>
        <v>46295</v>
      </c>
      <c r="B821" s="1099">
        <f>'09월 조업일지'!B819</f>
        <v>46295</v>
      </c>
      <c r="C821" s="1000" t="str">
        <f>'09월 화학성분'!D819</f>
        <v>D</v>
      </c>
      <c r="D821" s="1000" t="str">
        <f>'09월 화학성분'!E819</f>
        <v>B</v>
      </c>
      <c r="E821" s="1000">
        <f>'09월 화학성분'!C819</f>
        <v>86021</v>
      </c>
      <c r="F821" s="1001" t="str">
        <f t="shared" si="220"/>
        <v>SS400-05</v>
      </c>
      <c r="G821" s="1172">
        <v>18</v>
      </c>
      <c r="H821" s="985">
        <v>22200</v>
      </c>
      <c r="I821" s="1173">
        <v>16.5</v>
      </c>
      <c r="J821" s="985">
        <v>20600</v>
      </c>
      <c r="K821" s="1173">
        <v>9.8000000000000007</v>
      </c>
      <c r="L821" s="985">
        <v>12500</v>
      </c>
      <c r="M821" s="1174">
        <f t="shared" si="221"/>
        <v>44.3</v>
      </c>
      <c r="N821" s="984">
        <f t="shared" si="222"/>
        <v>55300</v>
      </c>
      <c r="O821" s="986">
        <f t="shared" si="223"/>
        <v>151.95071868583162</v>
      </c>
      <c r="P821" s="987">
        <f t="shared" si="224"/>
        <v>140.99931553730323</v>
      </c>
      <c r="Q821" s="987">
        <f t="shared" si="225"/>
        <v>85.557837097878163</v>
      </c>
      <c r="R821" s="988">
        <f t="shared" si="226"/>
        <v>378.507871321013</v>
      </c>
      <c r="S821" s="989">
        <v>146.1</v>
      </c>
      <c r="T821" s="990">
        <v>0</v>
      </c>
      <c r="U821" s="991">
        <v>0</v>
      </c>
      <c r="V821" s="991">
        <v>347</v>
      </c>
      <c r="W821" s="992">
        <f t="shared" si="227"/>
        <v>347</v>
      </c>
      <c r="X821" s="993">
        <f t="shared" si="228"/>
        <v>2.3750855578370982</v>
      </c>
      <c r="Y821" s="990">
        <v>1471</v>
      </c>
      <c r="Z821" s="991">
        <v>1412</v>
      </c>
      <c r="AA821" s="991">
        <v>871</v>
      </c>
      <c r="AB821" s="992">
        <f t="shared" si="229"/>
        <v>3754</v>
      </c>
      <c r="AC821" s="993">
        <f t="shared" si="230"/>
        <v>25.694729637234772</v>
      </c>
      <c r="AD821" s="994">
        <f t="shared" si="231"/>
        <v>4101</v>
      </c>
      <c r="AE821" s="995">
        <f t="shared" si="232"/>
        <v>28.069815195071868</v>
      </c>
      <c r="AF821" s="996">
        <v>78</v>
      </c>
      <c r="AG821" s="997">
        <v>64</v>
      </c>
      <c r="AH821" s="997">
        <v>7</v>
      </c>
      <c r="AI821" s="998">
        <f t="shared" si="233"/>
        <v>149</v>
      </c>
      <c r="AJ821" s="993">
        <f t="shared" si="234"/>
        <v>1.0198494182067077</v>
      </c>
    </row>
    <row r="822" spans="1:36" ht="16.5" customHeight="1">
      <c r="A822" s="999">
        <f>'09월 조업일지'!A820</f>
        <v>46295</v>
      </c>
      <c r="B822" s="1099">
        <f>'09월 조업일지'!B820</f>
        <v>46295</v>
      </c>
      <c r="C822" s="1000" t="str">
        <f>'09월 화학성분'!D820</f>
        <v>D</v>
      </c>
      <c r="D822" s="1000" t="str">
        <f>'09월 화학성분'!E820</f>
        <v>A</v>
      </c>
      <c r="E822" s="1000">
        <f>'09월 화학성분'!C820</f>
        <v>86022</v>
      </c>
      <c r="F822" s="1001" t="str">
        <f t="shared" si="220"/>
        <v>SS400-05</v>
      </c>
      <c r="G822" s="1172">
        <v>19.5</v>
      </c>
      <c r="H822" s="985">
        <v>23000</v>
      </c>
      <c r="I822" s="1173">
        <v>17</v>
      </c>
      <c r="J822" s="985">
        <v>20500</v>
      </c>
      <c r="K822" s="1173">
        <v>9.3000000000000007</v>
      </c>
      <c r="L822" s="985">
        <v>11600</v>
      </c>
      <c r="M822" s="1174">
        <f t="shared" si="221"/>
        <v>45.8</v>
      </c>
      <c r="N822" s="984">
        <f t="shared" si="222"/>
        <v>55100</v>
      </c>
      <c r="O822" s="986">
        <f t="shared" si="223"/>
        <v>157.31874145006842</v>
      </c>
      <c r="P822" s="987">
        <f t="shared" si="224"/>
        <v>140.21887824897402</v>
      </c>
      <c r="Q822" s="987">
        <f t="shared" si="225"/>
        <v>79.343365253077977</v>
      </c>
      <c r="R822" s="988">
        <f t="shared" si="226"/>
        <v>376.88098495212046</v>
      </c>
      <c r="S822" s="989">
        <v>146.19999999999999</v>
      </c>
      <c r="T822" s="990">
        <v>0</v>
      </c>
      <c r="U822" s="991">
        <v>0</v>
      </c>
      <c r="V822" s="991">
        <v>339</v>
      </c>
      <c r="W822" s="992">
        <f t="shared" si="227"/>
        <v>339</v>
      </c>
      <c r="X822" s="993">
        <f t="shared" si="228"/>
        <v>2.3187414500683996</v>
      </c>
      <c r="Y822" s="990">
        <v>1593</v>
      </c>
      <c r="Z822" s="991">
        <v>1404</v>
      </c>
      <c r="AA822" s="991">
        <v>742</v>
      </c>
      <c r="AB822" s="992">
        <f t="shared" si="229"/>
        <v>3739</v>
      </c>
      <c r="AC822" s="993">
        <f t="shared" si="230"/>
        <v>25.574555403556772</v>
      </c>
      <c r="AD822" s="994">
        <f t="shared" si="231"/>
        <v>4078</v>
      </c>
      <c r="AE822" s="995">
        <f t="shared" si="232"/>
        <v>27.893296853625174</v>
      </c>
      <c r="AF822" s="996">
        <v>82</v>
      </c>
      <c r="AG822" s="997">
        <v>64</v>
      </c>
      <c r="AH822" s="997">
        <v>6</v>
      </c>
      <c r="AI822" s="998">
        <f t="shared" si="233"/>
        <v>152</v>
      </c>
      <c r="AJ822" s="993">
        <f t="shared" si="234"/>
        <v>1.0396716826265391</v>
      </c>
    </row>
    <row r="823" spans="1:36" ht="16.5" customHeight="1">
      <c r="A823" s="999">
        <f>'09월 조업일지'!A821</f>
        <v>46295</v>
      </c>
      <c r="B823" s="1099">
        <f>'09월 조업일지'!B821</f>
        <v>46295</v>
      </c>
      <c r="C823" s="1000" t="str">
        <f>'09월 화학성분'!D821</f>
        <v>D</v>
      </c>
      <c r="D823" s="1000" t="str">
        <f>'09월 화학성분'!E821</f>
        <v>B</v>
      </c>
      <c r="E823" s="1000">
        <f>'09월 화학성분'!C821</f>
        <v>86023</v>
      </c>
      <c r="F823" s="1001" t="str">
        <f t="shared" si="220"/>
        <v>SS400-05</v>
      </c>
      <c r="G823" s="1172">
        <v>19</v>
      </c>
      <c r="H823" s="985">
        <v>22300</v>
      </c>
      <c r="I823" s="1173">
        <v>17.399999999999999</v>
      </c>
      <c r="J823" s="985">
        <v>20700</v>
      </c>
      <c r="K823" s="1173">
        <v>9.6999999999999993</v>
      </c>
      <c r="L823" s="985">
        <v>12300</v>
      </c>
      <c r="M823" s="1174">
        <f t="shared" si="221"/>
        <v>46.099999999999994</v>
      </c>
      <c r="N823" s="984">
        <f t="shared" si="222"/>
        <v>55300</v>
      </c>
      <c r="O823" s="986">
        <f t="shared" si="223"/>
        <v>154.43213296398892</v>
      </c>
      <c r="P823" s="987">
        <f t="shared" si="224"/>
        <v>143.35180055401662</v>
      </c>
      <c r="Q823" s="987">
        <f t="shared" si="225"/>
        <v>85.180055401662045</v>
      </c>
      <c r="R823" s="988">
        <f t="shared" si="226"/>
        <v>382.9639889196676</v>
      </c>
      <c r="S823" s="989">
        <v>144.4</v>
      </c>
      <c r="T823" s="990">
        <v>0</v>
      </c>
      <c r="U823" s="991">
        <v>0</v>
      </c>
      <c r="V823" s="991">
        <v>337</v>
      </c>
      <c r="W823" s="992">
        <f t="shared" si="227"/>
        <v>337</v>
      </c>
      <c r="X823" s="993">
        <f t="shared" si="228"/>
        <v>2.3337950138504153</v>
      </c>
      <c r="Y823" s="990">
        <v>1499</v>
      </c>
      <c r="Z823" s="991">
        <v>1477</v>
      </c>
      <c r="AA823" s="991">
        <v>847</v>
      </c>
      <c r="AB823" s="992">
        <f t="shared" si="229"/>
        <v>3823</v>
      </c>
      <c r="AC823" s="993">
        <f t="shared" si="230"/>
        <v>26.47506925207756</v>
      </c>
      <c r="AD823" s="994">
        <f t="shared" si="231"/>
        <v>4160</v>
      </c>
      <c r="AE823" s="995">
        <f t="shared" si="232"/>
        <v>28.808864265927976</v>
      </c>
      <c r="AF823" s="996">
        <v>80</v>
      </c>
      <c r="AG823" s="997">
        <v>67</v>
      </c>
      <c r="AH823" s="997">
        <v>8</v>
      </c>
      <c r="AI823" s="998">
        <f t="shared" si="233"/>
        <v>155</v>
      </c>
      <c r="AJ823" s="993">
        <f t="shared" si="234"/>
        <v>1.0734072022160663</v>
      </c>
    </row>
    <row r="824" spans="1:36" ht="16.5" customHeight="1">
      <c r="A824" s="999">
        <f>'09월 조업일지'!A822</f>
        <v>46295</v>
      </c>
      <c r="B824" s="1099">
        <f>'09월 조업일지'!B822</f>
        <v>46295</v>
      </c>
      <c r="C824" s="1000" t="str">
        <f>'09월 화학성분'!D822</f>
        <v>D</v>
      </c>
      <c r="D824" s="1000" t="str">
        <f>'09월 화학성분'!E822</f>
        <v>A</v>
      </c>
      <c r="E824" s="1000">
        <f>'09월 화학성분'!C822</f>
        <v>86024</v>
      </c>
      <c r="F824" s="1001" t="str">
        <f t="shared" si="220"/>
        <v>SS400-05</v>
      </c>
      <c r="G824" s="1172">
        <v>18.3</v>
      </c>
      <c r="H824" s="985">
        <v>22400</v>
      </c>
      <c r="I824" s="1173">
        <v>16.899999999999999</v>
      </c>
      <c r="J824" s="985">
        <v>20800</v>
      </c>
      <c r="K824" s="1173">
        <v>12.1</v>
      </c>
      <c r="L824" s="985">
        <v>14800</v>
      </c>
      <c r="M824" s="1174">
        <f t="shared" si="221"/>
        <v>47.300000000000004</v>
      </c>
      <c r="N824" s="984">
        <f t="shared" si="222"/>
        <v>58000</v>
      </c>
      <c r="O824" s="986">
        <f t="shared" si="223"/>
        <v>154.3762922122674</v>
      </c>
      <c r="P824" s="987">
        <f t="shared" si="224"/>
        <v>143.34941419710546</v>
      </c>
      <c r="Q824" s="987">
        <f t="shared" si="225"/>
        <v>101.9986216402481</v>
      </c>
      <c r="R824" s="988">
        <f t="shared" si="226"/>
        <v>399.72432804962091</v>
      </c>
      <c r="S824" s="989">
        <v>145.1</v>
      </c>
      <c r="T824" s="990">
        <v>0</v>
      </c>
      <c r="U824" s="991">
        <v>51</v>
      </c>
      <c r="V824" s="991">
        <v>289</v>
      </c>
      <c r="W824" s="992">
        <f t="shared" si="227"/>
        <v>340</v>
      </c>
      <c r="X824" s="993">
        <f t="shared" si="228"/>
        <v>2.3432115782219158</v>
      </c>
      <c r="Y824" s="990">
        <v>1495</v>
      </c>
      <c r="Z824" s="991">
        <v>1404</v>
      </c>
      <c r="AA824" s="991">
        <v>931</v>
      </c>
      <c r="AB824" s="992">
        <f t="shared" si="229"/>
        <v>3830</v>
      </c>
      <c r="AC824" s="993">
        <f t="shared" si="230"/>
        <v>26.395589248793936</v>
      </c>
      <c r="AD824" s="994">
        <f t="shared" si="231"/>
        <v>4170</v>
      </c>
      <c r="AE824" s="995">
        <f t="shared" si="232"/>
        <v>28.738800827015851</v>
      </c>
      <c r="AF824" s="996">
        <v>78</v>
      </c>
      <c r="AG824" s="997">
        <v>62</v>
      </c>
      <c r="AH824" s="997">
        <v>8</v>
      </c>
      <c r="AI824" s="998">
        <f t="shared" si="233"/>
        <v>148</v>
      </c>
      <c r="AJ824" s="993">
        <f t="shared" si="234"/>
        <v>1.0199862164024811</v>
      </c>
    </row>
    <row r="825" spans="1:36" ht="16.5" customHeight="1">
      <c r="A825" s="999">
        <f>'09월 조업일지'!A823</f>
        <v>46295</v>
      </c>
      <c r="B825" s="1099">
        <f>'09월 조업일지'!B823</f>
        <v>46295</v>
      </c>
      <c r="C825" s="1000" t="str">
        <f>'09월 화학성분'!D823</f>
        <v>D</v>
      </c>
      <c r="D825" s="1000" t="str">
        <f>'09월 화학성분'!E823</f>
        <v>B</v>
      </c>
      <c r="E825" s="1000">
        <f>'09월 화학성분'!C823</f>
        <v>86025</v>
      </c>
      <c r="F825" s="1001" t="str">
        <f t="shared" si="220"/>
        <v>SS400-05</v>
      </c>
      <c r="G825" s="1172">
        <v>19.399999999999999</v>
      </c>
      <c r="H825" s="985">
        <v>23300</v>
      </c>
      <c r="I825" s="1173">
        <v>17.100000000000001</v>
      </c>
      <c r="J825" s="985">
        <v>20700</v>
      </c>
      <c r="K825" s="1173">
        <v>9.6</v>
      </c>
      <c r="L825" s="985">
        <v>12200</v>
      </c>
      <c r="M825" s="1174">
        <f t="shared" si="221"/>
        <v>46.1</v>
      </c>
      <c r="N825" s="984">
        <f t="shared" si="222"/>
        <v>56200</v>
      </c>
      <c r="O825" s="986">
        <f t="shared" si="223"/>
        <v>161.13416320885202</v>
      </c>
      <c r="P825" s="987">
        <f t="shared" si="224"/>
        <v>143.15352697095437</v>
      </c>
      <c r="Q825" s="987">
        <f t="shared" si="225"/>
        <v>84.370677731673581</v>
      </c>
      <c r="R825" s="988">
        <f t="shared" si="226"/>
        <v>388.65836791148001</v>
      </c>
      <c r="S825" s="989">
        <v>144.6</v>
      </c>
      <c r="T825" s="990">
        <v>0</v>
      </c>
      <c r="U825" s="991">
        <v>0</v>
      </c>
      <c r="V825" s="991">
        <v>351</v>
      </c>
      <c r="W825" s="992">
        <f t="shared" si="227"/>
        <v>351</v>
      </c>
      <c r="X825" s="993">
        <f t="shared" si="228"/>
        <v>2.4273858921161828</v>
      </c>
      <c r="Y825" s="990">
        <v>1629</v>
      </c>
      <c r="Z825" s="991">
        <v>1401</v>
      </c>
      <c r="AA825" s="991">
        <v>788</v>
      </c>
      <c r="AB825" s="992">
        <f t="shared" si="229"/>
        <v>3818</v>
      </c>
      <c r="AC825" s="993">
        <f t="shared" si="230"/>
        <v>26.403872752420472</v>
      </c>
      <c r="AD825" s="994">
        <f t="shared" si="231"/>
        <v>4169</v>
      </c>
      <c r="AE825" s="995">
        <f t="shared" si="232"/>
        <v>28.831258644536653</v>
      </c>
      <c r="AF825" s="996">
        <v>82</v>
      </c>
      <c r="AG825" s="997">
        <v>64</v>
      </c>
      <c r="AH825" s="997">
        <v>7</v>
      </c>
      <c r="AI825" s="998">
        <f t="shared" si="233"/>
        <v>153</v>
      </c>
      <c r="AJ825" s="993">
        <f t="shared" si="234"/>
        <v>1.058091286307054</v>
      </c>
    </row>
    <row r="826" spans="1:36" ht="16.5" customHeight="1">
      <c r="A826" s="999">
        <f>'09월 조업일지'!A824</f>
        <v>46295</v>
      </c>
      <c r="B826" s="1099">
        <f>'09월 조업일지'!B824</f>
        <v>46295</v>
      </c>
      <c r="C826" s="1000" t="str">
        <f>'09월 화학성분'!D824</f>
        <v>B</v>
      </c>
      <c r="D826" s="1000" t="str">
        <f>'09월 화학성분'!E824</f>
        <v>A</v>
      </c>
      <c r="E826" s="1000">
        <f>'09월 화학성분'!C824</f>
        <v>86026</v>
      </c>
      <c r="F826" s="1001" t="str">
        <f t="shared" si="220"/>
        <v>SS400-05</v>
      </c>
      <c r="G826" s="1172">
        <v>20.399999999999999</v>
      </c>
      <c r="H826" s="985">
        <v>23100</v>
      </c>
      <c r="I826" s="1173">
        <v>16.8</v>
      </c>
      <c r="J826" s="985">
        <v>20500</v>
      </c>
      <c r="K826" s="1173">
        <v>14</v>
      </c>
      <c r="L826" s="985">
        <v>17400</v>
      </c>
      <c r="M826" s="1174">
        <f t="shared" si="221"/>
        <v>51.2</v>
      </c>
      <c r="N826" s="984">
        <f t="shared" si="222"/>
        <v>61000</v>
      </c>
      <c r="O826" s="986">
        <f t="shared" si="223"/>
        <v>156.61016949152543</v>
      </c>
      <c r="P826" s="987">
        <f t="shared" si="224"/>
        <v>138.98305084745763</v>
      </c>
      <c r="Q826" s="987">
        <f t="shared" si="225"/>
        <v>117.96610169491525</v>
      </c>
      <c r="R826" s="988">
        <f t="shared" si="226"/>
        <v>413.55932203389835</v>
      </c>
      <c r="S826" s="989">
        <v>147.5</v>
      </c>
      <c r="T826" s="990">
        <v>0</v>
      </c>
      <c r="U826" s="991">
        <v>0</v>
      </c>
      <c r="V826" s="991">
        <v>363</v>
      </c>
      <c r="W826" s="992">
        <f t="shared" si="227"/>
        <v>363</v>
      </c>
      <c r="X826" s="993">
        <f t="shared" si="228"/>
        <v>2.4610169491525422</v>
      </c>
      <c r="Y826" s="990">
        <v>1679</v>
      </c>
      <c r="Z826" s="991">
        <v>1366</v>
      </c>
      <c r="AA826" s="991">
        <v>832</v>
      </c>
      <c r="AB826" s="992">
        <f t="shared" si="229"/>
        <v>3877</v>
      </c>
      <c r="AC826" s="993">
        <f t="shared" si="230"/>
        <v>26.284745762711864</v>
      </c>
      <c r="AD826" s="994">
        <f t="shared" si="231"/>
        <v>4240</v>
      </c>
      <c r="AE826" s="995">
        <f t="shared" si="232"/>
        <v>28.745762711864408</v>
      </c>
      <c r="AF826" s="996">
        <v>86</v>
      </c>
      <c r="AG826" s="997">
        <v>63</v>
      </c>
      <c r="AH826" s="997">
        <v>8</v>
      </c>
      <c r="AI826" s="998">
        <f t="shared" si="233"/>
        <v>157</v>
      </c>
      <c r="AJ826" s="993">
        <f t="shared" si="234"/>
        <v>1.064406779661017</v>
      </c>
    </row>
    <row r="827" spans="1:36" ht="16.5" customHeight="1">
      <c r="A827" s="999">
        <f>'09월 조업일지'!A825</f>
        <v>46295</v>
      </c>
      <c r="B827" s="1099">
        <f>'09월 조업일지'!B825</f>
        <v>46295</v>
      </c>
      <c r="C827" s="1000" t="str">
        <f>'09월 화학성분'!D825</f>
        <v>B</v>
      </c>
      <c r="D827" s="1000" t="str">
        <f>'09월 화학성분'!E825</f>
        <v>B</v>
      </c>
      <c r="E827" s="1000">
        <f>'09월 화학성분'!C825</f>
        <v>86027</v>
      </c>
      <c r="F827" s="1001" t="str">
        <f t="shared" si="220"/>
        <v>SS400-05</v>
      </c>
      <c r="G827" s="1172">
        <v>19.100000000000001</v>
      </c>
      <c r="H827" s="985">
        <v>22700</v>
      </c>
      <c r="I827" s="1173">
        <v>16.3</v>
      </c>
      <c r="J827" s="985">
        <v>20600</v>
      </c>
      <c r="K827" s="1173">
        <v>9.3000000000000007</v>
      </c>
      <c r="L827" s="985">
        <v>12200</v>
      </c>
      <c r="M827" s="1174">
        <f t="shared" si="221"/>
        <v>44.7</v>
      </c>
      <c r="N827" s="984">
        <f t="shared" si="222"/>
        <v>55500</v>
      </c>
      <c r="O827" s="986">
        <f t="shared" si="223"/>
        <v>157.09342560553634</v>
      </c>
      <c r="P827" s="987">
        <f t="shared" si="224"/>
        <v>142.56055363321801</v>
      </c>
      <c r="Q827" s="987">
        <f t="shared" si="225"/>
        <v>84.429065743944633</v>
      </c>
      <c r="R827" s="988">
        <f t="shared" si="226"/>
        <v>384.08304498269899</v>
      </c>
      <c r="S827" s="989">
        <v>144.5</v>
      </c>
      <c r="T827" s="990">
        <v>0</v>
      </c>
      <c r="U827" s="991">
        <v>21</v>
      </c>
      <c r="V827" s="991">
        <v>310</v>
      </c>
      <c r="W827" s="992">
        <f t="shared" si="227"/>
        <v>331</v>
      </c>
      <c r="X827" s="993">
        <f t="shared" si="228"/>
        <v>2.2906574394463668</v>
      </c>
      <c r="Y827" s="990">
        <v>1573</v>
      </c>
      <c r="Z827" s="991">
        <v>1351</v>
      </c>
      <c r="AA827" s="991">
        <v>844</v>
      </c>
      <c r="AB827" s="992">
        <f t="shared" si="229"/>
        <v>3768</v>
      </c>
      <c r="AC827" s="993">
        <f t="shared" si="230"/>
        <v>26.07612456747405</v>
      </c>
      <c r="AD827" s="994">
        <f t="shared" si="231"/>
        <v>4099</v>
      </c>
      <c r="AE827" s="995">
        <f t="shared" si="232"/>
        <v>28.366782006920417</v>
      </c>
      <c r="AF827" s="996">
        <v>81</v>
      </c>
      <c r="AG827" s="997">
        <v>61</v>
      </c>
      <c r="AH827" s="997">
        <v>7</v>
      </c>
      <c r="AI827" s="998">
        <f t="shared" si="233"/>
        <v>149</v>
      </c>
      <c r="AJ827" s="993">
        <f t="shared" si="234"/>
        <v>1.0311418685121108</v>
      </c>
    </row>
    <row r="828" spans="1:36" ht="16.5" customHeight="1">
      <c r="A828" s="999">
        <f>'09월 조업일지'!A826</f>
        <v>46295</v>
      </c>
      <c r="B828" s="1099">
        <f>'09월 조업일지'!B826</f>
        <v>46295</v>
      </c>
      <c r="C828" s="1000" t="str">
        <f>'09월 화학성분'!D826</f>
        <v>B</v>
      </c>
      <c r="D828" s="1000" t="str">
        <f>'09월 화학성분'!E826</f>
        <v>A</v>
      </c>
      <c r="E828" s="1000">
        <f>'09월 화학성분'!C826</f>
        <v>86028</v>
      </c>
      <c r="F828" s="1001" t="str">
        <f t="shared" si="220"/>
        <v>SS400-05</v>
      </c>
      <c r="G828" s="1172">
        <v>19.5</v>
      </c>
      <c r="H828" s="985">
        <v>22800</v>
      </c>
      <c r="I828" s="1173">
        <v>17</v>
      </c>
      <c r="J828" s="985">
        <v>20700</v>
      </c>
      <c r="K828" s="1173">
        <v>11.4</v>
      </c>
      <c r="L828" s="985">
        <v>14500</v>
      </c>
      <c r="M828" s="1174">
        <f t="shared" si="221"/>
        <v>47.9</v>
      </c>
      <c r="N828" s="984">
        <f t="shared" si="222"/>
        <v>58000</v>
      </c>
      <c r="O828" s="986">
        <f t="shared" si="223"/>
        <v>162.27758007117438</v>
      </c>
      <c r="P828" s="987">
        <f t="shared" si="224"/>
        <v>147.33096085409252</v>
      </c>
      <c r="Q828" s="987">
        <f t="shared" si="225"/>
        <v>103.20284697508897</v>
      </c>
      <c r="R828" s="988">
        <f t="shared" si="226"/>
        <v>412.81138790035584</v>
      </c>
      <c r="S828" s="989">
        <v>140.5</v>
      </c>
      <c r="T828" s="990">
        <v>0</v>
      </c>
      <c r="U828" s="991">
        <v>5</v>
      </c>
      <c r="V828" s="991">
        <v>356</v>
      </c>
      <c r="W828" s="992">
        <f t="shared" si="227"/>
        <v>361</v>
      </c>
      <c r="X828" s="993">
        <f t="shared" si="228"/>
        <v>2.5693950177935942</v>
      </c>
      <c r="Y828" s="990">
        <v>1547</v>
      </c>
      <c r="Z828" s="991">
        <v>1403</v>
      </c>
      <c r="AA828" s="991">
        <v>772</v>
      </c>
      <c r="AB828" s="992">
        <f t="shared" si="229"/>
        <v>3722</v>
      </c>
      <c r="AC828" s="993">
        <f t="shared" si="230"/>
        <v>26.491103202846976</v>
      </c>
      <c r="AD828" s="994">
        <f t="shared" si="231"/>
        <v>4083</v>
      </c>
      <c r="AE828" s="995">
        <f t="shared" si="232"/>
        <v>29.060498220640568</v>
      </c>
      <c r="AF828" s="996">
        <v>81</v>
      </c>
      <c r="AG828" s="997">
        <v>61</v>
      </c>
      <c r="AH828" s="997">
        <v>7</v>
      </c>
      <c r="AI828" s="998">
        <f t="shared" si="233"/>
        <v>149</v>
      </c>
      <c r="AJ828" s="993">
        <f t="shared" si="234"/>
        <v>1.0604982206405693</v>
      </c>
    </row>
    <row r="829" spans="1:36" ht="16.5" customHeight="1">
      <c r="A829" s="999">
        <f>'09월 조업일지'!A827</f>
        <v>46295</v>
      </c>
      <c r="B829" s="1099">
        <f>'09월 조업일지'!B827</f>
        <v>46295</v>
      </c>
      <c r="C829" s="1000" t="str">
        <f>'09월 화학성분'!D827</f>
        <v>B</v>
      </c>
      <c r="D829" s="1000" t="str">
        <f>'09월 화학성분'!E827</f>
        <v>B</v>
      </c>
      <c r="E829" s="1000">
        <f>'09월 화학성분'!C827</f>
        <v>86029</v>
      </c>
      <c r="F829" s="1001" t="str">
        <f t="shared" si="220"/>
        <v>SS400-05</v>
      </c>
      <c r="G829" s="1172">
        <v>18.7</v>
      </c>
      <c r="H829" s="985">
        <v>22700</v>
      </c>
      <c r="I829" s="1173">
        <v>16.8</v>
      </c>
      <c r="J829" s="985">
        <v>20800</v>
      </c>
      <c r="K829" s="1173">
        <v>9.6999999999999993</v>
      </c>
      <c r="L829" s="985">
        <v>12400</v>
      </c>
      <c r="M829" s="1174">
        <f t="shared" si="221"/>
        <v>45.2</v>
      </c>
      <c r="N829" s="984">
        <f t="shared" si="222"/>
        <v>55900</v>
      </c>
      <c r="O829" s="986">
        <f t="shared" si="223"/>
        <v>157.85813630041724</v>
      </c>
      <c r="P829" s="987">
        <f t="shared" si="224"/>
        <v>144.64534075104311</v>
      </c>
      <c r="Q829" s="987">
        <f t="shared" si="225"/>
        <v>86.230876216967999</v>
      </c>
      <c r="R829" s="988">
        <f t="shared" si="226"/>
        <v>388.73435326842832</v>
      </c>
      <c r="S829" s="989">
        <v>143.80000000000001</v>
      </c>
      <c r="T829" s="990">
        <v>0</v>
      </c>
      <c r="U829" s="991">
        <v>7</v>
      </c>
      <c r="V829" s="991">
        <v>346</v>
      </c>
      <c r="W829" s="992">
        <f t="shared" si="227"/>
        <v>353</v>
      </c>
      <c r="X829" s="993">
        <f t="shared" si="228"/>
        <v>2.454798331015299</v>
      </c>
      <c r="Y829" s="990">
        <v>1521</v>
      </c>
      <c r="Z829" s="991">
        <v>1399</v>
      </c>
      <c r="AA829" s="991">
        <v>826</v>
      </c>
      <c r="AB829" s="992">
        <f t="shared" si="229"/>
        <v>3746</v>
      </c>
      <c r="AC829" s="993">
        <f t="shared" si="230"/>
        <v>26.050069541029206</v>
      </c>
      <c r="AD829" s="994">
        <f t="shared" si="231"/>
        <v>4099</v>
      </c>
      <c r="AE829" s="995">
        <f t="shared" si="232"/>
        <v>28.504867872044503</v>
      </c>
      <c r="AF829" s="996">
        <v>78</v>
      </c>
      <c r="AG829" s="997">
        <v>64</v>
      </c>
      <c r="AH829" s="997">
        <v>7</v>
      </c>
      <c r="AI829" s="998">
        <f t="shared" si="233"/>
        <v>149</v>
      </c>
      <c r="AJ829" s="993">
        <f t="shared" si="234"/>
        <v>1.0361613351877608</v>
      </c>
    </row>
    <row r="830" spans="1:36" ht="16.5" customHeight="1">
      <c r="A830" s="999">
        <f>'09월 조업일지'!A828</f>
        <v>46295</v>
      </c>
      <c r="B830" s="1099">
        <f>'09월 조업일지'!B828</f>
        <v>46295</v>
      </c>
      <c r="C830" s="1000" t="str">
        <f>'09월 화학성분'!D828</f>
        <v>B</v>
      </c>
      <c r="D830" s="1000" t="str">
        <f>'09월 화학성분'!E828</f>
        <v>A</v>
      </c>
      <c r="E830" s="1000">
        <f>'09월 화학성분'!C828</f>
        <v>86030</v>
      </c>
      <c r="F830" s="1001" t="str">
        <f t="shared" si="220"/>
        <v>SS400-05</v>
      </c>
      <c r="G830" s="1172">
        <v>20.100000000000001</v>
      </c>
      <c r="H830" s="985">
        <v>23300</v>
      </c>
      <c r="I830" s="1173">
        <v>16.8</v>
      </c>
      <c r="J830" s="985">
        <v>20700</v>
      </c>
      <c r="K830" s="1173">
        <v>12.2</v>
      </c>
      <c r="L830" s="985">
        <v>15500</v>
      </c>
      <c r="M830" s="1174">
        <f t="shared" si="221"/>
        <v>49.100000000000009</v>
      </c>
      <c r="N830" s="984">
        <f t="shared" si="222"/>
        <v>59500</v>
      </c>
      <c r="O830" s="986">
        <f t="shared" si="223"/>
        <v>157.11395819285232</v>
      </c>
      <c r="P830" s="987">
        <f t="shared" si="224"/>
        <v>139.58192852326366</v>
      </c>
      <c r="Q830" s="987">
        <f t="shared" si="225"/>
        <v>104.51786918408631</v>
      </c>
      <c r="R830" s="988">
        <f t="shared" si="226"/>
        <v>401.21375590020227</v>
      </c>
      <c r="S830" s="989">
        <v>148.30000000000001</v>
      </c>
      <c r="T830" s="990">
        <v>0</v>
      </c>
      <c r="U830" s="991">
        <v>145</v>
      </c>
      <c r="V830" s="991">
        <v>247</v>
      </c>
      <c r="W830" s="992">
        <f t="shared" si="227"/>
        <v>392</v>
      </c>
      <c r="X830" s="993">
        <f t="shared" si="228"/>
        <v>2.643290627107215</v>
      </c>
      <c r="Y830" s="990">
        <v>1627</v>
      </c>
      <c r="Z830" s="991">
        <v>1386</v>
      </c>
      <c r="AA830" s="991">
        <v>850</v>
      </c>
      <c r="AB830" s="992">
        <f t="shared" si="229"/>
        <v>3863</v>
      </c>
      <c r="AC830" s="993">
        <f t="shared" si="230"/>
        <v>26.04855023600809</v>
      </c>
      <c r="AD830" s="994">
        <f t="shared" si="231"/>
        <v>4255</v>
      </c>
      <c r="AE830" s="995">
        <f t="shared" si="232"/>
        <v>28.691840863115306</v>
      </c>
      <c r="AF830" s="996">
        <v>82</v>
      </c>
      <c r="AG830" s="997">
        <v>62</v>
      </c>
      <c r="AH830" s="997">
        <v>8</v>
      </c>
      <c r="AI830" s="998">
        <f t="shared" si="233"/>
        <v>152</v>
      </c>
      <c r="AJ830" s="993">
        <f t="shared" si="234"/>
        <v>1.0249494268374915</v>
      </c>
    </row>
    <row r="831" spans="1:36" ht="16.5" customHeight="1">
      <c r="A831" s="999">
        <f>'09월 조업일지'!A829</f>
        <v>46295</v>
      </c>
      <c r="B831" s="1099">
        <f>'09월 조업일지'!B829</f>
        <v>46295</v>
      </c>
      <c r="C831" s="1000" t="str">
        <f>'09월 화학성분'!D829</f>
        <v>B</v>
      </c>
      <c r="D831" s="1000" t="str">
        <f>'09월 화학성분'!E829</f>
        <v>B</v>
      </c>
      <c r="E831" s="1000">
        <f>'09월 화학성분'!C829</f>
        <v>86031</v>
      </c>
      <c r="F831" s="1001" t="str">
        <f t="shared" si="220"/>
        <v>SS400-05</v>
      </c>
      <c r="G831" s="1172">
        <v>19.100000000000001</v>
      </c>
      <c r="H831" s="985">
        <v>22900</v>
      </c>
      <c r="I831" s="1173">
        <v>16.7</v>
      </c>
      <c r="J831" s="985">
        <v>20500</v>
      </c>
      <c r="K831" s="1173">
        <v>9.1</v>
      </c>
      <c r="L831" s="985">
        <v>11600</v>
      </c>
      <c r="M831" s="1174">
        <f t="shared" si="221"/>
        <v>44.9</v>
      </c>
      <c r="N831" s="984">
        <f t="shared" si="222"/>
        <v>55000</v>
      </c>
      <c r="O831" s="986">
        <f t="shared" si="223"/>
        <v>159.3597773138483</v>
      </c>
      <c r="P831" s="987">
        <f t="shared" si="224"/>
        <v>142.65831593597775</v>
      </c>
      <c r="Q831" s="987">
        <f t="shared" si="225"/>
        <v>80.723729993041061</v>
      </c>
      <c r="R831" s="988">
        <f t="shared" si="226"/>
        <v>382.7418232428671</v>
      </c>
      <c r="S831" s="989">
        <v>143.69999999999999</v>
      </c>
      <c r="T831" s="990">
        <v>0</v>
      </c>
      <c r="U831" s="991">
        <v>31</v>
      </c>
      <c r="V831" s="991">
        <v>322</v>
      </c>
      <c r="W831" s="992">
        <f t="shared" si="227"/>
        <v>353</v>
      </c>
      <c r="X831" s="993">
        <f t="shared" si="228"/>
        <v>2.4565066109951288</v>
      </c>
      <c r="Y831" s="990">
        <v>1536</v>
      </c>
      <c r="Z831" s="991">
        <v>1371</v>
      </c>
      <c r="AA831" s="991">
        <v>817</v>
      </c>
      <c r="AB831" s="992">
        <f t="shared" si="229"/>
        <v>3724</v>
      </c>
      <c r="AC831" s="993">
        <f t="shared" si="230"/>
        <v>25.915100904662495</v>
      </c>
      <c r="AD831" s="994">
        <f t="shared" si="231"/>
        <v>4077</v>
      </c>
      <c r="AE831" s="995">
        <f t="shared" si="232"/>
        <v>28.371607515657622</v>
      </c>
      <c r="AF831" s="996">
        <v>79</v>
      </c>
      <c r="AG831" s="997">
        <v>64</v>
      </c>
      <c r="AH831" s="997">
        <v>7</v>
      </c>
      <c r="AI831" s="998">
        <f t="shared" si="233"/>
        <v>150</v>
      </c>
      <c r="AJ831" s="993">
        <f t="shared" si="234"/>
        <v>1.0438413361169103</v>
      </c>
    </row>
    <row r="832" spans="1:36" ht="16.5" customHeight="1">
      <c r="A832" s="999">
        <f>'09월 조업일지'!A830</f>
        <v>46296</v>
      </c>
      <c r="B832" s="1099">
        <f>'09월 조업일지'!B830</f>
        <v>46295</v>
      </c>
      <c r="C832" s="1000" t="str">
        <f>'09월 화학성분'!D830</f>
        <v>B</v>
      </c>
      <c r="D832" s="1000" t="str">
        <f>'09월 화학성분'!E830</f>
        <v>A</v>
      </c>
      <c r="E832" s="1000">
        <f>'09월 화학성분'!C830</f>
        <v>86032</v>
      </c>
      <c r="F832" s="1001" t="str">
        <f t="shared" si="220"/>
        <v>SS400-05</v>
      </c>
      <c r="G832" s="1172">
        <v>20.100000000000001</v>
      </c>
      <c r="H832" s="985">
        <v>24700</v>
      </c>
      <c r="I832" s="1173">
        <v>17.100000000000001</v>
      </c>
      <c r="J832" s="985">
        <v>20900</v>
      </c>
      <c r="K832" s="1173">
        <v>9.1999999999999993</v>
      </c>
      <c r="L832" s="985">
        <v>11500</v>
      </c>
      <c r="M832" s="1174">
        <f t="shared" si="221"/>
        <v>46.400000000000006</v>
      </c>
      <c r="N832" s="984">
        <f t="shared" si="222"/>
        <v>57100</v>
      </c>
      <c r="O832" s="986">
        <f t="shared" si="223"/>
        <v>169.87620357634111</v>
      </c>
      <c r="P832" s="987">
        <f t="shared" si="224"/>
        <v>143.7414030261348</v>
      </c>
      <c r="Q832" s="987">
        <f t="shared" si="225"/>
        <v>79.09215955983494</v>
      </c>
      <c r="R832" s="988">
        <f t="shared" si="226"/>
        <v>392.70976616231087</v>
      </c>
      <c r="S832" s="989">
        <v>145.4</v>
      </c>
      <c r="T832" s="990">
        <v>0</v>
      </c>
      <c r="U832" s="991">
        <v>64</v>
      </c>
      <c r="V832" s="991">
        <v>327</v>
      </c>
      <c r="W832" s="992">
        <f t="shared" si="227"/>
        <v>391</v>
      </c>
      <c r="X832" s="993">
        <f t="shared" si="228"/>
        <v>2.6891334250343877</v>
      </c>
      <c r="Y832" s="990">
        <v>1715</v>
      </c>
      <c r="Z832" s="991">
        <v>1416</v>
      </c>
      <c r="AA832" s="991">
        <v>823</v>
      </c>
      <c r="AB832" s="992">
        <f t="shared" si="229"/>
        <v>3954</v>
      </c>
      <c r="AC832" s="993">
        <f t="shared" si="230"/>
        <v>27.1939477303989</v>
      </c>
      <c r="AD832" s="994">
        <f t="shared" si="231"/>
        <v>4345</v>
      </c>
      <c r="AE832" s="995">
        <f t="shared" si="232"/>
        <v>29.883081155433285</v>
      </c>
      <c r="AF832" s="996">
        <v>81</v>
      </c>
      <c r="AG832" s="997">
        <v>63</v>
      </c>
      <c r="AH832" s="997">
        <v>8</v>
      </c>
      <c r="AI832" s="998">
        <f t="shared" si="233"/>
        <v>152</v>
      </c>
      <c r="AJ832" s="993">
        <f t="shared" si="234"/>
        <v>1.0453920220082531</v>
      </c>
    </row>
    <row r="833" spans="1:36" ht="16.5" customHeight="1">
      <c r="A833" s="999" t="str">
        <f>'09월 조업일지'!A831</f>
        <v/>
      </c>
      <c r="B833" s="1099" t="str">
        <f>'09월 조업일지'!B831</f>
        <v/>
      </c>
      <c r="C833" s="1000" t="str">
        <f>'09월 화학성분'!D831</f>
        <v/>
      </c>
      <c r="D833" s="1000" t="str">
        <f>'09월 화학성분'!E831</f>
        <v/>
      </c>
      <c r="E833" s="1000" t="str">
        <f>'09월 화학성분'!C831</f>
        <v/>
      </c>
      <c r="F833" s="1001" t="str">
        <f t="shared" si="220"/>
        <v/>
      </c>
      <c r="G833" s="1172"/>
      <c r="H833" s="985"/>
      <c r="I833" s="1173"/>
      <c r="J833" s="985"/>
      <c r="K833" s="1173"/>
      <c r="L833" s="985"/>
      <c r="M833" s="1174" t="str">
        <f t="shared" si="221"/>
        <v/>
      </c>
      <c r="N833" s="984" t="str">
        <f t="shared" si="222"/>
        <v/>
      </c>
      <c r="O833" s="986" t="str">
        <f t="shared" si="223"/>
        <v/>
      </c>
      <c r="P833" s="987" t="str">
        <f t="shared" si="224"/>
        <v/>
      </c>
      <c r="Q833" s="987" t="str">
        <f t="shared" si="225"/>
        <v/>
      </c>
      <c r="R833" s="988" t="str">
        <f t="shared" si="226"/>
        <v/>
      </c>
      <c r="S833" s="989"/>
      <c r="T833" s="990"/>
      <c r="U833" s="991"/>
      <c r="V833" s="991"/>
      <c r="W833" s="992" t="str">
        <f t="shared" si="227"/>
        <v/>
      </c>
      <c r="X833" s="993" t="str">
        <f t="shared" si="228"/>
        <v/>
      </c>
      <c r="Y833" s="990"/>
      <c r="Z833" s="991"/>
      <c r="AA833" s="991"/>
      <c r="AB833" s="992" t="str">
        <f t="shared" si="229"/>
        <v/>
      </c>
      <c r="AC833" s="993" t="str">
        <f t="shared" si="230"/>
        <v/>
      </c>
      <c r="AD833" s="994" t="str">
        <f t="shared" si="231"/>
        <v/>
      </c>
      <c r="AE833" s="995" t="str">
        <f t="shared" si="232"/>
        <v/>
      </c>
      <c r="AF833" s="996"/>
      <c r="AG833" s="997"/>
      <c r="AH833" s="997"/>
      <c r="AI833" s="998" t="str">
        <f t="shared" si="233"/>
        <v/>
      </c>
      <c r="AJ833" s="993" t="str">
        <f t="shared" si="234"/>
        <v/>
      </c>
    </row>
    <row r="834" spans="1:36" ht="16.5" customHeight="1">
      <c r="A834" s="999" t="str">
        <f>'09월 조업일지'!A832</f>
        <v/>
      </c>
      <c r="B834" s="1099" t="str">
        <f>'09월 조업일지'!B832</f>
        <v/>
      </c>
      <c r="C834" s="1000" t="str">
        <f>'09월 화학성분'!D832</f>
        <v/>
      </c>
      <c r="D834" s="1000" t="str">
        <f>'09월 화학성분'!E832</f>
        <v/>
      </c>
      <c r="E834" s="1000" t="str">
        <f>'09월 화학성분'!C832</f>
        <v/>
      </c>
      <c r="F834" s="1001" t="str">
        <f t="shared" si="220"/>
        <v/>
      </c>
      <c r="G834" s="1172"/>
      <c r="H834" s="985"/>
      <c r="I834" s="1173"/>
      <c r="J834" s="985"/>
      <c r="K834" s="1173"/>
      <c r="L834" s="985"/>
      <c r="M834" s="1174" t="str">
        <f t="shared" si="221"/>
        <v/>
      </c>
      <c r="N834" s="984" t="str">
        <f t="shared" si="222"/>
        <v/>
      </c>
      <c r="O834" s="986" t="str">
        <f t="shared" si="223"/>
        <v/>
      </c>
      <c r="P834" s="987" t="str">
        <f t="shared" si="224"/>
        <v/>
      </c>
      <c r="Q834" s="987" t="str">
        <f t="shared" si="225"/>
        <v/>
      </c>
      <c r="R834" s="988" t="str">
        <f t="shared" si="226"/>
        <v/>
      </c>
      <c r="S834" s="989"/>
      <c r="T834" s="990"/>
      <c r="U834" s="991"/>
      <c r="V834" s="991"/>
      <c r="W834" s="992" t="str">
        <f t="shared" si="227"/>
        <v/>
      </c>
      <c r="X834" s="993" t="str">
        <f t="shared" si="228"/>
        <v/>
      </c>
      <c r="Y834" s="990"/>
      <c r="Z834" s="991"/>
      <c r="AA834" s="991"/>
      <c r="AB834" s="992" t="str">
        <f t="shared" si="229"/>
        <v/>
      </c>
      <c r="AC834" s="993" t="str">
        <f t="shared" si="230"/>
        <v/>
      </c>
      <c r="AD834" s="994" t="str">
        <f t="shared" si="231"/>
        <v/>
      </c>
      <c r="AE834" s="995" t="str">
        <f t="shared" si="232"/>
        <v/>
      </c>
      <c r="AF834" s="996"/>
      <c r="AG834" s="997"/>
      <c r="AH834" s="997"/>
      <c r="AI834" s="998" t="str">
        <f t="shared" si="233"/>
        <v/>
      </c>
      <c r="AJ834" s="993" t="str">
        <f t="shared" si="234"/>
        <v/>
      </c>
    </row>
    <row r="835" spans="1:36" ht="16.5" customHeight="1">
      <c r="A835" s="999" t="str">
        <f>'09월 조업일지'!A833</f>
        <v/>
      </c>
      <c r="B835" s="1099" t="str">
        <f>'09월 조업일지'!B833</f>
        <v/>
      </c>
      <c r="C835" s="1000" t="str">
        <f>'09월 화학성분'!D833</f>
        <v/>
      </c>
      <c r="D835" s="1000" t="str">
        <f>'09월 화학성분'!E833</f>
        <v/>
      </c>
      <c r="E835" s="1000" t="str">
        <f>'09월 화학성분'!C833</f>
        <v/>
      </c>
      <c r="F835" s="1001" t="str">
        <f t="shared" si="220"/>
        <v/>
      </c>
      <c r="G835" s="1172"/>
      <c r="H835" s="985"/>
      <c r="I835" s="1173"/>
      <c r="J835" s="985"/>
      <c r="K835" s="1173"/>
      <c r="L835" s="985"/>
      <c r="M835" s="1174" t="str">
        <f t="shared" si="221"/>
        <v/>
      </c>
      <c r="N835" s="984" t="str">
        <f t="shared" si="222"/>
        <v/>
      </c>
      <c r="O835" s="986" t="str">
        <f t="shared" si="223"/>
        <v/>
      </c>
      <c r="P835" s="987" t="str">
        <f t="shared" si="224"/>
        <v/>
      </c>
      <c r="Q835" s="987" t="str">
        <f t="shared" si="225"/>
        <v/>
      </c>
      <c r="R835" s="988" t="str">
        <f t="shared" si="226"/>
        <v/>
      </c>
      <c r="S835" s="989"/>
      <c r="T835" s="990"/>
      <c r="U835" s="991"/>
      <c r="V835" s="991"/>
      <c r="W835" s="992" t="str">
        <f t="shared" si="227"/>
        <v/>
      </c>
      <c r="X835" s="993" t="str">
        <f t="shared" si="228"/>
        <v/>
      </c>
      <c r="Y835" s="990"/>
      <c r="Z835" s="991"/>
      <c r="AA835" s="991"/>
      <c r="AB835" s="992" t="str">
        <f t="shared" si="229"/>
        <v/>
      </c>
      <c r="AC835" s="993" t="str">
        <f t="shared" si="230"/>
        <v/>
      </c>
      <c r="AD835" s="994" t="str">
        <f t="shared" si="231"/>
        <v/>
      </c>
      <c r="AE835" s="995" t="str">
        <f t="shared" si="232"/>
        <v/>
      </c>
      <c r="AF835" s="996"/>
      <c r="AG835" s="997"/>
      <c r="AH835" s="997"/>
      <c r="AI835" s="998" t="str">
        <f t="shared" si="233"/>
        <v/>
      </c>
      <c r="AJ835" s="993" t="str">
        <f t="shared" si="234"/>
        <v/>
      </c>
    </row>
    <row r="836" spans="1:36" ht="16.5" customHeight="1">
      <c r="A836" s="999" t="str">
        <f>'09월 조업일지'!A834</f>
        <v/>
      </c>
      <c r="B836" s="1099" t="str">
        <f>'09월 조업일지'!B834</f>
        <v/>
      </c>
      <c r="C836" s="1000" t="str">
        <f>'09월 화학성분'!D834</f>
        <v/>
      </c>
      <c r="D836" s="1000" t="str">
        <f>'09월 화학성분'!E834</f>
        <v/>
      </c>
      <c r="E836" s="1000" t="str">
        <f>'09월 화학성분'!C834</f>
        <v/>
      </c>
      <c r="F836" s="1001" t="str">
        <f t="shared" si="220"/>
        <v/>
      </c>
      <c r="G836" s="1172"/>
      <c r="H836" s="985"/>
      <c r="I836" s="1173"/>
      <c r="J836" s="985"/>
      <c r="K836" s="1173"/>
      <c r="L836" s="985"/>
      <c r="M836" s="1174" t="str">
        <f t="shared" si="221"/>
        <v/>
      </c>
      <c r="N836" s="984" t="str">
        <f t="shared" si="222"/>
        <v/>
      </c>
      <c r="O836" s="986" t="str">
        <f t="shared" si="223"/>
        <v/>
      </c>
      <c r="P836" s="987" t="str">
        <f t="shared" si="224"/>
        <v/>
      </c>
      <c r="Q836" s="987" t="str">
        <f t="shared" si="225"/>
        <v/>
      </c>
      <c r="R836" s="988" t="str">
        <f t="shared" si="226"/>
        <v/>
      </c>
      <c r="S836" s="989"/>
      <c r="T836" s="990"/>
      <c r="U836" s="991"/>
      <c r="V836" s="991"/>
      <c r="W836" s="992" t="str">
        <f t="shared" si="227"/>
        <v/>
      </c>
      <c r="X836" s="993" t="str">
        <f t="shared" si="228"/>
        <v/>
      </c>
      <c r="Y836" s="990"/>
      <c r="Z836" s="991"/>
      <c r="AA836" s="991"/>
      <c r="AB836" s="992" t="str">
        <f t="shared" si="229"/>
        <v/>
      </c>
      <c r="AC836" s="993" t="str">
        <f t="shared" si="230"/>
        <v/>
      </c>
      <c r="AD836" s="994" t="str">
        <f t="shared" si="231"/>
        <v/>
      </c>
      <c r="AE836" s="995" t="str">
        <f t="shared" si="232"/>
        <v/>
      </c>
      <c r="AF836" s="996"/>
      <c r="AG836" s="997"/>
      <c r="AH836" s="997"/>
      <c r="AI836" s="998" t="str">
        <f t="shared" si="233"/>
        <v/>
      </c>
      <c r="AJ836" s="993" t="str">
        <f t="shared" si="234"/>
        <v/>
      </c>
    </row>
    <row r="837" spans="1:36" ht="16.5" customHeight="1">
      <c r="A837" s="999" t="str">
        <f>'09월 조업일지'!A835</f>
        <v/>
      </c>
      <c r="B837" s="1099" t="str">
        <f>'09월 조업일지'!B835</f>
        <v/>
      </c>
      <c r="C837" s="1000" t="str">
        <f>'09월 화학성분'!D835</f>
        <v/>
      </c>
      <c r="D837" s="1000" t="str">
        <f>'09월 화학성분'!E835</f>
        <v/>
      </c>
      <c r="E837" s="1000" t="str">
        <f>'09월 화학성분'!C835</f>
        <v/>
      </c>
      <c r="F837" s="1001" t="str">
        <f t="shared" si="220"/>
        <v/>
      </c>
      <c r="G837" s="1172"/>
      <c r="H837" s="985"/>
      <c r="I837" s="1173"/>
      <c r="J837" s="985"/>
      <c r="K837" s="1173"/>
      <c r="L837" s="985"/>
      <c r="M837" s="1174" t="str">
        <f t="shared" si="221"/>
        <v/>
      </c>
      <c r="N837" s="984" t="str">
        <f t="shared" si="222"/>
        <v/>
      </c>
      <c r="O837" s="986" t="str">
        <f t="shared" si="223"/>
        <v/>
      </c>
      <c r="P837" s="987" t="str">
        <f t="shared" si="224"/>
        <v/>
      </c>
      <c r="Q837" s="987" t="str">
        <f t="shared" si="225"/>
        <v/>
      </c>
      <c r="R837" s="988" t="str">
        <f t="shared" si="226"/>
        <v/>
      </c>
      <c r="S837" s="989"/>
      <c r="T837" s="990"/>
      <c r="U837" s="991"/>
      <c r="V837" s="991"/>
      <c r="W837" s="992" t="str">
        <f t="shared" si="227"/>
        <v/>
      </c>
      <c r="X837" s="993" t="str">
        <f t="shared" si="228"/>
        <v/>
      </c>
      <c r="Y837" s="990"/>
      <c r="Z837" s="991"/>
      <c r="AA837" s="991"/>
      <c r="AB837" s="992" t="str">
        <f t="shared" si="229"/>
        <v/>
      </c>
      <c r="AC837" s="993" t="str">
        <f t="shared" si="230"/>
        <v/>
      </c>
      <c r="AD837" s="994" t="str">
        <f t="shared" si="231"/>
        <v/>
      </c>
      <c r="AE837" s="995" t="str">
        <f t="shared" si="232"/>
        <v/>
      </c>
      <c r="AF837" s="996"/>
      <c r="AG837" s="997"/>
      <c r="AH837" s="997"/>
      <c r="AI837" s="998" t="str">
        <f t="shared" si="233"/>
        <v/>
      </c>
      <c r="AJ837" s="993" t="str">
        <f t="shared" si="234"/>
        <v/>
      </c>
    </row>
    <row r="838" spans="1:36" ht="16.5" customHeight="1">
      <c r="A838" s="999" t="str">
        <f>'09월 조업일지'!A836</f>
        <v/>
      </c>
      <c r="B838" s="1099" t="str">
        <f>'09월 조업일지'!B836</f>
        <v/>
      </c>
      <c r="C838" s="1000" t="str">
        <f>'09월 화학성분'!D836</f>
        <v/>
      </c>
      <c r="D838" s="1000" t="str">
        <f>'09월 화학성분'!E836</f>
        <v/>
      </c>
      <c r="E838" s="1000" t="str">
        <f>'09월 화학성분'!C836</f>
        <v/>
      </c>
      <c r="F838" s="1001" t="str">
        <f t="shared" si="220"/>
        <v/>
      </c>
      <c r="G838" s="1172"/>
      <c r="H838" s="985"/>
      <c r="I838" s="1173"/>
      <c r="J838" s="985"/>
      <c r="K838" s="1173"/>
      <c r="L838" s="985"/>
      <c r="M838" s="1174" t="str">
        <f t="shared" si="221"/>
        <v/>
      </c>
      <c r="N838" s="984" t="str">
        <f t="shared" si="222"/>
        <v/>
      </c>
      <c r="O838" s="986" t="str">
        <f t="shared" si="223"/>
        <v/>
      </c>
      <c r="P838" s="987" t="str">
        <f t="shared" si="224"/>
        <v/>
      </c>
      <c r="Q838" s="987" t="str">
        <f t="shared" si="225"/>
        <v/>
      </c>
      <c r="R838" s="988" t="str">
        <f t="shared" si="226"/>
        <v/>
      </c>
      <c r="S838" s="989"/>
      <c r="T838" s="990"/>
      <c r="U838" s="991"/>
      <c r="V838" s="991"/>
      <c r="W838" s="992" t="str">
        <f t="shared" si="227"/>
        <v/>
      </c>
      <c r="X838" s="993" t="str">
        <f t="shared" si="228"/>
        <v/>
      </c>
      <c r="Y838" s="990"/>
      <c r="Z838" s="991"/>
      <c r="AA838" s="991"/>
      <c r="AB838" s="992" t="str">
        <f t="shared" si="229"/>
        <v/>
      </c>
      <c r="AC838" s="993" t="str">
        <f t="shared" si="230"/>
        <v/>
      </c>
      <c r="AD838" s="994" t="str">
        <f t="shared" si="231"/>
        <v/>
      </c>
      <c r="AE838" s="995" t="str">
        <f t="shared" si="232"/>
        <v/>
      </c>
      <c r="AF838" s="996"/>
      <c r="AG838" s="997"/>
      <c r="AH838" s="997"/>
      <c r="AI838" s="998" t="str">
        <f t="shared" si="233"/>
        <v/>
      </c>
      <c r="AJ838" s="993" t="str">
        <f t="shared" si="234"/>
        <v/>
      </c>
    </row>
    <row r="839" spans="1:36" ht="16.5" customHeight="1">
      <c r="A839" s="999" t="str">
        <f>'09월 조업일지'!A837</f>
        <v/>
      </c>
      <c r="B839" s="1099" t="str">
        <f>'09월 조업일지'!B837</f>
        <v/>
      </c>
      <c r="C839" s="1000" t="str">
        <f>'09월 화학성분'!D837</f>
        <v/>
      </c>
      <c r="D839" s="1000" t="str">
        <f>'09월 화학성분'!E837</f>
        <v/>
      </c>
      <c r="E839" s="1000" t="str">
        <f>'09월 화학성분'!C837</f>
        <v/>
      </c>
      <c r="F839" s="1001" t="str">
        <f t="shared" si="220"/>
        <v/>
      </c>
      <c r="G839" s="1172"/>
      <c r="H839" s="985"/>
      <c r="I839" s="1173"/>
      <c r="J839" s="985"/>
      <c r="K839" s="1173"/>
      <c r="L839" s="985"/>
      <c r="M839" s="1174" t="str">
        <f t="shared" si="221"/>
        <v/>
      </c>
      <c r="N839" s="984" t="str">
        <f t="shared" si="222"/>
        <v/>
      </c>
      <c r="O839" s="986" t="str">
        <f t="shared" si="223"/>
        <v/>
      </c>
      <c r="P839" s="987" t="str">
        <f t="shared" si="224"/>
        <v/>
      </c>
      <c r="Q839" s="987" t="str">
        <f t="shared" si="225"/>
        <v/>
      </c>
      <c r="R839" s="988" t="str">
        <f t="shared" si="226"/>
        <v/>
      </c>
      <c r="S839" s="989"/>
      <c r="T839" s="990"/>
      <c r="U839" s="991"/>
      <c r="V839" s="991"/>
      <c r="W839" s="992" t="str">
        <f t="shared" si="227"/>
        <v/>
      </c>
      <c r="X839" s="993" t="str">
        <f t="shared" si="228"/>
        <v/>
      </c>
      <c r="Y839" s="990"/>
      <c r="Z839" s="991"/>
      <c r="AA839" s="991"/>
      <c r="AB839" s="992" t="str">
        <f t="shared" si="229"/>
        <v/>
      </c>
      <c r="AC839" s="993" t="str">
        <f t="shared" si="230"/>
        <v/>
      </c>
      <c r="AD839" s="994" t="str">
        <f t="shared" si="231"/>
        <v/>
      </c>
      <c r="AE839" s="995" t="str">
        <f t="shared" si="232"/>
        <v/>
      </c>
      <c r="AF839" s="996"/>
      <c r="AG839" s="997"/>
      <c r="AH839" s="997"/>
      <c r="AI839" s="998" t="str">
        <f t="shared" si="233"/>
        <v/>
      </c>
      <c r="AJ839" s="993" t="str">
        <f t="shared" si="234"/>
        <v/>
      </c>
    </row>
    <row r="840" spans="1:36" ht="16.5" customHeight="1">
      <c r="A840" s="999" t="str">
        <f>'09월 조업일지'!A838</f>
        <v/>
      </c>
      <c r="B840" s="1099" t="str">
        <f>'09월 조업일지'!B838</f>
        <v/>
      </c>
      <c r="C840" s="1000" t="str">
        <f>'09월 화학성분'!D838</f>
        <v/>
      </c>
      <c r="D840" s="1000" t="str">
        <f>'09월 화학성분'!E838</f>
        <v/>
      </c>
      <c r="E840" s="1000" t="str">
        <f>'09월 화학성분'!C838</f>
        <v/>
      </c>
      <c r="F840" s="1001" t="str">
        <f t="shared" si="220"/>
        <v/>
      </c>
      <c r="G840" s="1172"/>
      <c r="H840" s="985"/>
      <c r="I840" s="1173"/>
      <c r="J840" s="985"/>
      <c r="K840" s="1173"/>
      <c r="L840" s="985"/>
      <c r="M840" s="1174" t="str">
        <f t="shared" si="221"/>
        <v/>
      </c>
      <c r="N840" s="984" t="str">
        <f t="shared" si="222"/>
        <v/>
      </c>
      <c r="O840" s="986" t="str">
        <f t="shared" si="223"/>
        <v/>
      </c>
      <c r="P840" s="987" t="str">
        <f t="shared" si="224"/>
        <v/>
      </c>
      <c r="Q840" s="987" t="str">
        <f t="shared" si="225"/>
        <v/>
      </c>
      <c r="R840" s="988" t="str">
        <f t="shared" si="226"/>
        <v/>
      </c>
      <c r="S840" s="989"/>
      <c r="T840" s="990"/>
      <c r="U840" s="991"/>
      <c r="V840" s="991"/>
      <c r="W840" s="992" t="str">
        <f t="shared" si="227"/>
        <v/>
      </c>
      <c r="X840" s="993" t="str">
        <f t="shared" si="228"/>
        <v/>
      </c>
      <c r="Y840" s="990"/>
      <c r="Z840" s="991"/>
      <c r="AA840" s="991"/>
      <c r="AB840" s="992" t="str">
        <f t="shared" si="229"/>
        <v/>
      </c>
      <c r="AC840" s="993" t="str">
        <f t="shared" si="230"/>
        <v/>
      </c>
      <c r="AD840" s="994" t="str">
        <f t="shared" si="231"/>
        <v/>
      </c>
      <c r="AE840" s="995" t="str">
        <f t="shared" si="232"/>
        <v/>
      </c>
      <c r="AF840" s="996"/>
      <c r="AG840" s="997"/>
      <c r="AH840" s="997"/>
      <c r="AI840" s="998" t="str">
        <f t="shared" si="233"/>
        <v/>
      </c>
      <c r="AJ840" s="993" t="str">
        <f t="shared" si="234"/>
        <v/>
      </c>
    </row>
    <row r="841" spans="1:36" ht="16.5" customHeight="1">
      <c r="A841" s="999" t="str">
        <f>'09월 조업일지'!A839</f>
        <v/>
      </c>
      <c r="B841" s="1099" t="str">
        <f>'09월 조업일지'!B839</f>
        <v/>
      </c>
      <c r="C841" s="1000" t="str">
        <f>'09월 화학성분'!D839</f>
        <v/>
      </c>
      <c r="D841" s="1000" t="str">
        <f>'09월 화학성분'!E839</f>
        <v/>
      </c>
      <c r="E841" s="1000" t="str">
        <f>'09월 화학성분'!C839</f>
        <v/>
      </c>
      <c r="F841" s="1001" t="str">
        <f t="shared" si="220"/>
        <v/>
      </c>
      <c r="G841" s="1172"/>
      <c r="H841" s="985"/>
      <c r="I841" s="1173"/>
      <c r="J841" s="985"/>
      <c r="K841" s="1173"/>
      <c r="L841" s="985"/>
      <c r="M841" s="1174" t="str">
        <f t="shared" si="221"/>
        <v/>
      </c>
      <c r="N841" s="984" t="str">
        <f t="shared" si="222"/>
        <v/>
      </c>
      <c r="O841" s="986" t="str">
        <f t="shared" si="223"/>
        <v/>
      </c>
      <c r="P841" s="987" t="str">
        <f t="shared" si="224"/>
        <v/>
      </c>
      <c r="Q841" s="987" t="str">
        <f t="shared" si="225"/>
        <v/>
      </c>
      <c r="R841" s="988" t="str">
        <f t="shared" si="226"/>
        <v/>
      </c>
      <c r="S841" s="989"/>
      <c r="T841" s="990"/>
      <c r="U841" s="991"/>
      <c r="V841" s="991"/>
      <c r="W841" s="992" t="str">
        <f t="shared" si="227"/>
        <v/>
      </c>
      <c r="X841" s="993" t="str">
        <f t="shared" si="228"/>
        <v/>
      </c>
      <c r="Y841" s="990"/>
      <c r="Z841" s="991"/>
      <c r="AA841" s="991"/>
      <c r="AB841" s="992" t="str">
        <f t="shared" si="229"/>
        <v/>
      </c>
      <c r="AC841" s="993" t="str">
        <f t="shared" si="230"/>
        <v/>
      </c>
      <c r="AD841" s="994" t="str">
        <f t="shared" si="231"/>
        <v/>
      </c>
      <c r="AE841" s="995" t="str">
        <f t="shared" si="232"/>
        <v/>
      </c>
      <c r="AF841" s="996"/>
      <c r="AG841" s="997"/>
      <c r="AH841" s="997"/>
      <c r="AI841" s="998" t="str">
        <f t="shared" si="233"/>
        <v/>
      </c>
      <c r="AJ841" s="993" t="str">
        <f t="shared" si="234"/>
        <v/>
      </c>
    </row>
    <row r="842" spans="1:36" ht="16.5" customHeight="1">
      <c r="A842" s="999" t="str">
        <f>'09월 조업일지'!A840</f>
        <v/>
      </c>
      <c r="B842" s="1099" t="str">
        <f>'09월 조업일지'!B840</f>
        <v/>
      </c>
      <c r="C842" s="1000" t="str">
        <f>'09월 화학성분'!D840</f>
        <v/>
      </c>
      <c r="D842" s="1000" t="str">
        <f>'09월 화학성분'!E840</f>
        <v/>
      </c>
      <c r="E842" s="1000" t="str">
        <f>'09월 화학성분'!C840</f>
        <v/>
      </c>
      <c r="F842" s="1001" t="str">
        <f t="shared" si="220"/>
        <v/>
      </c>
      <c r="G842" s="1172"/>
      <c r="H842" s="985"/>
      <c r="I842" s="1173"/>
      <c r="J842" s="985"/>
      <c r="K842" s="1173"/>
      <c r="L842" s="985"/>
      <c r="M842" s="1174" t="str">
        <f t="shared" si="221"/>
        <v/>
      </c>
      <c r="N842" s="984" t="str">
        <f t="shared" si="222"/>
        <v/>
      </c>
      <c r="O842" s="986" t="str">
        <f t="shared" si="223"/>
        <v/>
      </c>
      <c r="P842" s="987" t="str">
        <f t="shared" si="224"/>
        <v/>
      </c>
      <c r="Q842" s="987" t="str">
        <f t="shared" si="225"/>
        <v/>
      </c>
      <c r="R842" s="988" t="str">
        <f t="shared" si="226"/>
        <v/>
      </c>
      <c r="S842" s="989"/>
      <c r="T842" s="990"/>
      <c r="U842" s="991"/>
      <c r="V842" s="991"/>
      <c r="W842" s="992" t="str">
        <f t="shared" si="227"/>
        <v/>
      </c>
      <c r="X842" s="993" t="str">
        <f t="shared" si="228"/>
        <v/>
      </c>
      <c r="Y842" s="990"/>
      <c r="Z842" s="991"/>
      <c r="AA842" s="991"/>
      <c r="AB842" s="992" t="str">
        <f t="shared" si="229"/>
        <v/>
      </c>
      <c r="AC842" s="993" t="str">
        <f t="shared" si="230"/>
        <v/>
      </c>
      <c r="AD842" s="994" t="str">
        <f t="shared" si="231"/>
        <v/>
      </c>
      <c r="AE842" s="995" t="str">
        <f t="shared" si="232"/>
        <v/>
      </c>
      <c r="AF842" s="996"/>
      <c r="AG842" s="997"/>
      <c r="AH842" s="997"/>
      <c r="AI842" s="998" t="str">
        <f t="shared" si="233"/>
        <v/>
      </c>
      <c r="AJ842" s="993" t="str">
        <f t="shared" si="234"/>
        <v/>
      </c>
    </row>
    <row r="843" spans="1:36" ht="16.5" customHeight="1">
      <c r="A843" s="999" t="str">
        <f>'09월 조업일지'!A841</f>
        <v/>
      </c>
      <c r="B843" s="1099" t="str">
        <f>'09월 조업일지'!B841</f>
        <v/>
      </c>
      <c r="C843" s="1000" t="str">
        <f>'09월 화학성분'!D841</f>
        <v/>
      </c>
      <c r="D843" s="1000" t="str">
        <f>'09월 화학성분'!E841</f>
        <v/>
      </c>
      <c r="E843" s="1000" t="str">
        <f>'09월 화학성분'!C841</f>
        <v/>
      </c>
      <c r="F843" s="1001" t="str">
        <f t="shared" si="220"/>
        <v/>
      </c>
      <c r="G843" s="1172"/>
      <c r="H843" s="985"/>
      <c r="I843" s="1173"/>
      <c r="J843" s="985"/>
      <c r="K843" s="1173"/>
      <c r="L843" s="985"/>
      <c r="M843" s="1174" t="str">
        <f t="shared" si="221"/>
        <v/>
      </c>
      <c r="N843" s="984" t="str">
        <f t="shared" si="222"/>
        <v/>
      </c>
      <c r="O843" s="986" t="str">
        <f t="shared" si="223"/>
        <v/>
      </c>
      <c r="P843" s="987" t="str">
        <f t="shared" si="224"/>
        <v/>
      </c>
      <c r="Q843" s="987" t="str">
        <f t="shared" si="225"/>
        <v/>
      </c>
      <c r="R843" s="988" t="str">
        <f t="shared" si="226"/>
        <v/>
      </c>
      <c r="S843" s="989"/>
      <c r="T843" s="990"/>
      <c r="U843" s="991"/>
      <c r="V843" s="991"/>
      <c r="W843" s="992" t="str">
        <f t="shared" si="227"/>
        <v/>
      </c>
      <c r="X843" s="993" t="str">
        <f t="shared" si="228"/>
        <v/>
      </c>
      <c r="Y843" s="990"/>
      <c r="Z843" s="991"/>
      <c r="AA843" s="991"/>
      <c r="AB843" s="992" t="str">
        <f t="shared" si="229"/>
        <v/>
      </c>
      <c r="AC843" s="993" t="str">
        <f t="shared" si="230"/>
        <v/>
      </c>
      <c r="AD843" s="994" t="str">
        <f t="shared" si="231"/>
        <v/>
      </c>
      <c r="AE843" s="995" t="str">
        <f t="shared" si="232"/>
        <v/>
      </c>
      <c r="AF843" s="996"/>
      <c r="AG843" s="997"/>
      <c r="AH843" s="997"/>
      <c r="AI843" s="998" t="str">
        <f t="shared" si="233"/>
        <v/>
      </c>
      <c r="AJ843" s="993" t="str">
        <f t="shared" si="234"/>
        <v/>
      </c>
    </row>
    <row r="844" spans="1:36" ht="16.5" customHeight="1">
      <c r="A844" s="999" t="str">
        <f>'09월 조업일지'!A842</f>
        <v/>
      </c>
      <c r="B844" s="1099" t="str">
        <f>'09월 조업일지'!B842</f>
        <v/>
      </c>
      <c r="C844" s="1000" t="str">
        <f>'09월 화학성분'!D842</f>
        <v/>
      </c>
      <c r="D844" s="1000" t="str">
        <f>'09월 화학성분'!E842</f>
        <v/>
      </c>
      <c r="E844" s="1000" t="str">
        <f>'09월 화학성분'!C842</f>
        <v/>
      </c>
      <c r="F844" s="1001" t="str">
        <f t="shared" si="220"/>
        <v/>
      </c>
      <c r="G844" s="1172"/>
      <c r="H844" s="985"/>
      <c r="I844" s="1173"/>
      <c r="J844" s="985"/>
      <c r="K844" s="1173"/>
      <c r="L844" s="985"/>
      <c r="M844" s="1174" t="str">
        <f t="shared" si="221"/>
        <v/>
      </c>
      <c r="N844" s="984" t="str">
        <f t="shared" si="222"/>
        <v/>
      </c>
      <c r="O844" s="986" t="str">
        <f t="shared" si="223"/>
        <v/>
      </c>
      <c r="P844" s="987" t="str">
        <f t="shared" si="224"/>
        <v/>
      </c>
      <c r="Q844" s="987" t="str">
        <f t="shared" si="225"/>
        <v/>
      </c>
      <c r="R844" s="988" t="str">
        <f t="shared" si="226"/>
        <v/>
      </c>
      <c r="S844" s="989"/>
      <c r="T844" s="990"/>
      <c r="U844" s="991"/>
      <c r="V844" s="991"/>
      <c r="W844" s="992" t="str">
        <f t="shared" si="227"/>
        <v/>
      </c>
      <c r="X844" s="993" t="str">
        <f t="shared" si="228"/>
        <v/>
      </c>
      <c r="Y844" s="990"/>
      <c r="Z844" s="991"/>
      <c r="AA844" s="991"/>
      <c r="AB844" s="992" t="str">
        <f t="shared" si="229"/>
        <v/>
      </c>
      <c r="AC844" s="993" t="str">
        <f t="shared" si="230"/>
        <v/>
      </c>
      <c r="AD844" s="994" t="str">
        <f t="shared" si="231"/>
        <v/>
      </c>
      <c r="AE844" s="995" t="str">
        <f t="shared" si="232"/>
        <v/>
      </c>
      <c r="AF844" s="996"/>
      <c r="AG844" s="997"/>
      <c r="AH844" s="997"/>
      <c r="AI844" s="998" t="str">
        <f t="shared" si="233"/>
        <v/>
      </c>
      <c r="AJ844" s="993" t="str">
        <f t="shared" si="234"/>
        <v/>
      </c>
    </row>
    <row r="845" spans="1:36" ht="16.5" customHeight="1">
      <c r="A845" s="999" t="str">
        <f>'09월 조업일지'!A843</f>
        <v/>
      </c>
      <c r="B845" s="1099" t="str">
        <f>'09월 조업일지'!B843</f>
        <v/>
      </c>
      <c r="C845" s="1000" t="str">
        <f>'09월 화학성분'!D843</f>
        <v/>
      </c>
      <c r="D845" s="1000" t="str">
        <f>'09월 화학성분'!E843</f>
        <v/>
      </c>
      <c r="E845" s="1000" t="str">
        <f>'09월 화학성분'!C843</f>
        <v/>
      </c>
      <c r="F845" s="1001" t="str">
        <f t="shared" si="220"/>
        <v/>
      </c>
      <c r="G845" s="1172"/>
      <c r="H845" s="985"/>
      <c r="I845" s="1173"/>
      <c r="J845" s="985"/>
      <c r="K845" s="1173"/>
      <c r="L845" s="985"/>
      <c r="M845" s="1174" t="str">
        <f t="shared" si="221"/>
        <v/>
      </c>
      <c r="N845" s="984" t="str">
        <f t="shared" si="222"/>
        <v/>
      </c>
      <c r="O845" s="986" t="str">
        <f t="shared" si="223"/>
        <v/>
      </c>
      <c r="P845" s="987" t="str">
        <f t="shared" si="224"/>
        <v/>
      </c>
      <c r="Q845" s="987" t="str">
        <f t="shared" si="225"/>
        <v/>
      </c>
      <c r="R845" s="988" t="str">
        <f t="shared" si="226"/>
        <v/>
      </c>
      <c r="S845" s="989"/>
      <c r="T845" s="990"/>
      <c r="U845" s="991"/>
      <c r="V845" s="991"/>
      <c r="W845" s="992" t="str">
        <f t="shared" si="227"/>
        <v/>
      </c>
      <c r="X845" s="993" t="str">
        <f t="shared" si="228"/>
        <v/>
      </c>
      <c r="Y845" s="990"/>
      <c r="Z845" s="991"/>
      <c r="AA845" s="991"/>
      <c r="AB845" s="992" t="str">
        <f t="shared" si="229"/>
        <v/>
      </c>
      <c r="AC845" s="993" t="str">
        <f t="shared" si="230"/>
        <v/>
      </c>
      <c r="AD845" s="994" t="str">
        <f t="shared" si="231"/>
        <v/>
      </c>
      <c r="AE845" s="995" t="str">
        <f t="shared" si="232"/>
        <v/>
      </c>
      <c r="AF845" s="996"/>
      <c r="AG845" s="997"/>
      <c r="AH845" s="997"/>
      <c r="AI845" s="998" t="str">
        <f t="shared" si="233"/>
        <v/>
      </c>
      <c r="AJ845" s="993" t="str">
        <f t="shared" si="234"/>
        <v/>
      </c>
    </row>
    <row r="846" spans="1:36" ht="16.5" customHeight="1">
      <c r="A846" s="999" t="str">
        <f>'09월 조업일지'!A844</f>
        <v/>
      </c>
      <c r="B846" s="1099" t="str">
        <f>'09월 조업일지'!B844</f>
        <v/>
      </c>
      <c r="C846" s="1000" t="str">
        <f>'09월 화학성분'!D844</f>
        <v/>
      </c>
      <c r="D846" s="1000" t="str">
        <f>'09월 화학성분'!E844</f>
        <v/>
      </c>
      <c r="E846" s="1000" t="str">
        <f>'09월 화학성분'!C844</f>
        <v/>
      </c>
      <c r="F846" s="1001" t="str">
        <f t="shared" si="220"/>
        <v/>
      </c>
      <c r="G846" s="1172"/>
      <c r="H846" s="985"/>
      <c r="I846" s="1173"/>
      <c r="J846" s="985"/>
      <c r="K846" s="1173"/>
      <c r="L846" s="985"/>
      <c r="M846" s="1174" t="str">
        <f t="shared" si="221"/>
        <v/>
      </c>
      <c r="N846" s="984" t="str">
        <f t="shared" si="222"/>
        <v/>
      </c>
      <c r="O846" s="986" t="str">
        <f t="shared" si="223"/>
        <v/>
      </c>
      <c r="P846" s="987" t="str">
        <f t="shared" si="224"/>
        <v/>
      </c>
      <c r="Q846" s="987" t="str">
        <f t="shared" si="225"/>
        <v/>
      </c>
      <c r="R846" s="988" t="str">
        <f t="shared" si="226"/>
        <v/>
      </c>
      <c r="S846" s="989"/>
      <c r="T846" s="990"/>
      <c r="U846" s="991"/>
      <c r="V846" s="991"/>
      <c r="W846" s="992" t="str">
        <f t="shared" si="227"/>
        <v/>
      </c>
      <c r="X846" s="993" t="str">
        <f t="shared" si="228"/>
        <v/>
      </c>
      <c r="Y846" s="990"/>
      <c r="Z846" s="991"/>
      <c r="AA846" s="991"/>
      <c r="AB846" s="992" t="str">
        <f t="shared" si="229"/>
        <v/>
      </c>
      <c r="AC846" s="993" t="str">
        <f t="shared" si="230"/>
        <v/>
      </c>
      <c r="AD846" s="994" t="str">
        <f t="shared" si="231"/>
        <v/>
      </c>
      <c r="AE846" s="995" t="str">
        <f t="shared" si="232"/>
        <v/>
      </c>
      <c r="AF846" s="996"/>
      <c r="AG846" s="997"/>
      <c r="AH846" s="997"/>
      <c r="AI846" s="998" t="str">
        <f t="shared" si="233"/>
        <v/>
      </c>
      <c r="AJ846" s="993" t="str">
        <f t="shared" si="234"/>
        <v/>
      </c>
    </row>
    <row r="847" spans="1:36" ht="16.5" customHeight="1">
      <c r="A847" s="999" t="str">
        <f>'09월 조업일지'!A845</f>
        <v/>
      </c>
      <c r="B847" s="1099" t="str">
        <f>'09월 조업일지'!B845</f>
        <v/>
      </c>
      <c r="C847" s="1000" t="str">
        <f>'09월 화학성분'!D845</f>
        <v/>
      </c>
      <c r="D847" s="1000" t="str">
        <f>'09월 화학성분'!E845</f>
        <v/>
      </c>
      <c r="E847" s="1000" t="str">
        <f>'09월 화학성분'!C845</f>
        <v/>
      </c>
      <c r="F847" s="1001" t="str">
        <f t="shared" si="220"/>
        <v/>
      </c>
      <c r="G847" s="1172"/>
      <c r="H847" s="985"/>
      <c r="I847" s="1173"/>
      <c r="J847" s="985"/>
      <c r="K847" s="1173"/>
      <c r="L847" s="985"/>
      <c r="M847" s="1174" t="str">
        <f t="shared" si="221"/>
        <v/>
      </c>
      <c r="N847" s="984" t="str">
        <f t="shared" si="222"/>
        <v/>
      </c>
      <c r="O847" s="986" t="str">
        <f t="shared" si="223"/>
        <v/>
      </c>
      <c r="P847" s="987" t="str">
        <f t="shared" si="224"/>
        <v/>
      </c>
      <c r="Q847" s="987" t="str">
        <f t="shared" si="225"/>
        <v/>
      </c>
      <c r="R847" s="988" t="str">
        <f t="shared" si="226"/>
        <v/>
      </c>
      <c r="S847" s="989"/>
      <c r="T847" s="990"/>
      <c r="U847" s="991"/>
      <c r="V847" s="991"/>
      <c r="W847" s="992" t="str">
        <f t="shared" si="227"/>
        <v/>
      </c>
      <c r="X847" s="993" t="str">
        <f t="shared" si="228"/>
        <v/>
      </c>
      <c r="Y847" s="990"/>
      <c r="Z847" s="991"/>
      <c r="AA847" s="991"/>
      <c r="AB847" s="992" t="str">
        <f t="shared" si="229"/>
        <v/>
      </c>
      <c r="AC847" s="993" t="str">
        <f t="shared" si="230"/>
        <v/>
      </c>
      <c r="AD847" s="994" t="str">
        <f t="shared" si="231"/>
        <v/>
      </c>
      <c r="AE847" s="995" t="str">
        <f t="shared" si="232"/>
        <v/>
      </c>
      <c r="AF847" s="996"/>
      <c r="AG847" s="997"/>
      <c r="AH847" s="997"/>
      <c r="AI847" s="998" t="str">
        <f t="shared" si="233"/>
        <v/>
      </c>
      <c r="AJ847" s="993" t="str">
        <f t="shared" si="234"/>
        <v/>
      </c>
    </row>
    <row r="848" spans="1:36" ht="16.5" customHeight="1">
      <c r="A848" s="999" t="str">
        <f>'09월 조업일지'!A846</f>
        <v/>
      </c>
      <c r="B848" s="1099" t="str">
        <f>'09월 조업일지'!B846</f>
        <v/>
      </c>
      <c r="C848" s="1000" t="str">
        <f>'09월 화학성분'!D846</f>
        <v/>
      </c>
      <c r="D848" s="1000" t="str">
        <f>'09월 화학성분'!E846</f>
        <v/>
      </c>
      <c r="E848" s="1000" t="str">
        <f>'09월 화학성분'!C846</f>
        <v/>
      </c>
      <c r="F848" s="1001" t="str">
        <f t="shared" ref="F848:F911" si="235">IF(G848="","",F847)</f>
        <v/>
      </c>
      <c r="G848" s="1172"/>
      <c r="H848" s="985"/>
      <c r="I848" s="1173"/>
      <c r="J848" s="985"/>
      <c r="K848" s="1173"/>
      <c r="L848" s="985"/>
      <c r="M848" s="1174" t="str">
        <f t="shared" ref="M848:M911" si="236">IF(ISBLANK(G848),"",SUM(G848,I848,K848))</f>
        <v/>
      </c>
      <c r="N848" s="984" t="str">
        <f t="shared" ref="N848:N911" si="237">IF(ISBLANK(H848),"",SUM(H848,J848,L848))</f>
        <v/>
      </c>
      <c r="O848" s="986" t="str">
        <f t="shared" ref="O848:O911" si="238">IF(ISBLANK(H848),"",H848/S848)</f>
        <v/>
      </c>
      <c r="P848" s="987" t="str">
        <f t="shared" ref="P848:P911" si="239">IF(ISBLANK(J848),"",+J848/S848)</f>
        <v/>
      </c>
      <c r="Q848" s="987" t="str">
        <f t="shared" ref="Q848:Q911" si="240">IF(ISBLANK(L848),"",L848/S848)</f>
        <v/>
      </c>
      <c r="R848" s="988" t="str">
        <f t="shared" ref="R848:R911" si="241">IF(ISBLANK(L848),"",SUM(O848:Q848))</f>
        <v/>
      </c>
      <c r="S848" s="989"/>
      <c r="T848" s="990"/>
      <c r="U848" s="991"/>
      <c r="V848" s="991"/>
      <c r="W848" s="992" t="str">
        <f t="shared" ref="W848:W911" si="242">IF(SUM(T848:V848)=0,"",SUM(T848:V848))</f>
        <v/>
      </c>
      <c r="X848" s="993" t="str">
        <f t="shared" ref="X848:X911" si="243">IF(W848="","",W848/S848)</f>
        <v/>
      </c>
      <c r="Y848" s="990"/>
      <c r="Z848" s="991"/>
      <c r="AA848" s="991"/>
      <c r="AB848" s="992" t="str">
        <f t="shared" ref="AB848:AB911" si="244">IF(SUM(Y848:AA848)=0,"",SUM(Y848:AA848))</f>
        <v/>
      </c>
      <c r="AC848" s="993" t="str">
        <f t="shared" ref="AC848:AC911" si="245">IF(AB848="","",AB848/S848)</f>
        <v/>
      </c>
      <c r="AD848" s="994" t="str">
        <f t="shared" ref="AD848:AD911" si="246">IF(SUM(W848,AB848)=0,"",SUM(W848,AB848))</f>
        <v/>
      </c>
      <c r="AE848" s="995" t="str">
        <f t="shared" ref="AE848:AE911" si="247">IF(AD848="","",AD848/S848)</f>
        <v/>
      </c>
      <c r="AF848" s="996"/>
      <c r="AG848" s="997"/>
      <c r="AH848" s="997"/>
      <c r="AI848" s="998" t="str">
        <f t="shared" ref="AI848:AI911" si="248">IF(SUM(AF848:AH848)=0,"",SUM(AF848:AH848))</f>
        <v/>
      </c>
      <c r="AJ848" s="993" t="str">
        <f t="shared" ref="AJ848:AJ911" si="249">IF(AI848="","",AI848/S848)</f>
        <v/>
      </c>
    </row>
    <row r="849" spans="1:36" ht="16.5" customHeight="1">
      <c r="A849" s="999" t="str">
        <f>'09월 조업일지'!A847</f>
        <v/>
      </c>
      <c r="B849" s="1099" t="str">
        <f>'09월 조업일지'!B847</f>
        <v/>
      </c>
      <c r="C849" s="1000" t="str">
        <f>'09월 화학성분'!D847</f>
        <v/>
      </c>
      <c r="D849" s="1000" t="str">
        <f>'09월 화학성분'!E847</f>
        <v/>
      </c>
      <c r="E849" s="1000" t="str">
        <f>'09월 화학성분'!C847</f>
        <v/>
      </c>
      <c r="F849" s="1001" t="str">
        <f t="shared" si="235"/>
        <v/>
      </c>
      <c r="G849" s="1172"/>
      <c r="H849" s="985"/>
      <c r="I849" s="1173"/>
      <c r="J849" s="985"/>
      <c r="K849" s="1173"/>
      <c r="L849" s="985"/>
      <c r="M849" s="1174" t="str">
        <f t="shared" si="236"/>
        <v/>
      </c>
      <c r="N849" s="984" t="str">
        <f t="shared" si="237"/>
        <v/>
      </c>
      <c r="O849" s="986" t="str">
        <f t="shared" si="238"/>
        <v/>
      </c>
      <c r="P849" s="987" t="str">
        <f t="shared" si="239"/>
        <v/>
      </c>
      <c r="Q849" s="987" t="str">
        <f t="shared" si="240"/>
        <v/>
      </c>
      <c r="R849" s="988" t="str">
        <f t="shared" si="241"/>
        <v/>
      </c>
      <c r="S849" s="989"/>
      <c r="T849" s="990"/>
      <c r="U849" s="991"/>
      <c r="V849" s="991"/>
      <c r="W849" s="992" t="str">
        <f t="shared" si="242"/>
        <v/>
      </c>
      <c r="X849" s="993" t="str">
        <f t="shared" si="243"/>
        <v/>
      </c>
      <c r="Y849" s="990"/>
      <c r="Z849" s="991"/>
      <c r="AA849" s="991"/>
      <c r="AB849" s="992" t="str">
        <f t="shared" si="244"/>
        <v/>
      </c>
      <c r="AC849" s="993" t="str">
        <f t="shared" si="245"/>
        <v/>
      </c>
      <c r="AD849" s="994" t="str">
        <f t="shared" si="246"/>
        <v/>
      </c>
      <c r="AE849" s="995" t="str">
        <f t="shared" si="247"/>
        <v/>
      </c>
      <c r="AF849" s="996"/>
      <c r="AG849" s="997"/>
      <c r="AH849" s="997"/>
      <c r="AI849" s="998" t="str">
        <f t="shared" si="248"/>
        <v/>
      </c>
      <c r="AJ849" s="993" t="str">
        <f t="shared" si="249"/>
        <v/>
      </c>
    </row>
    <row r="850" spans="1:36" ht="16.5" customHeight="1">
      <c r="A850" s="999" t="str">
        <f>'09월 조업일지'!A848</f>
        <v/>
      </c>
      <c r="B850" s="1099" t="str">
        <f>'09월 조업일지'!B848</f>
        <v/>
      </c>
      <c r="C850" s="1000" t="str">
        <f>'09월 화학성분'!D848</f>
        <v/>
      </c>
      <c r="D850" s="1000" t="str">
        <f>'09월 화학성분'!E848</f>
        <v/>
      </c>
      <c r="E850" s="1000" t="str">
        <f>'09월 화학성분'!C848</f>
        <v/>
      </c>
      <c r="F850" s="1001" t="str">
        <f t="shared" si="235"/>
        <v/>
      </c>
      <c r="G850" s="1172"/>
      <c r="H850" s="985"/>
      <c r="I850" s="1173"/>
      <c r="J850" s="985"/>
      <c r="K850" s="1173"/>
      <c r="L850" s="985"/>
      <c r="M850" s="1174" t="str">
        <f t="shared" si="236"/>
        <v/>
      </c>
      <c r="N850" s="984" t="str">
        <f t="shared" si="237"/>
        <v/>
      </c>
      <c r="O850" s="986" t="str">
        <f t="shared" si="238"/>
        <v/>
      </c>
      <c r="P850" s="987" t="str">
        <f t="shared" si="239"/>
        <v/>
      </c>
      <c r="Q850" s="987" t="str">
        <f t="shared" si="240"/>
        <v/>
      </c>
      <c r="R850" s="988" t="str">
        <f t="shared" si="241"/>
        <v/>
      </c>
      <c r="S850" s="989"/>
      <c r="T850" s="990"/>
      <c r="U850" s="991"/>
      <c r="V850" s="991"/>
      <c r="W850" s="992" t="str">
        <f t="shared" si="242"/>
        <v/>
      </c>
      <c r="X850" s="993" t="str">
        <f t="shared" si="243"/>
        <v/>
      </c>
      <c r="Y850" s="990"/>
      <c r="Z850" s="991"/>
      <c r="AA850" s="991"/>
      <c r="AB850" s="992" t="str">
        <f t="shared" si="244"/>
        <v/>
      </c>
      <c r="AC850" s="993" t="str">
        <f t="shared" si="245"/>
        <v/>
      </c>
      <c r="AD850" s="994" t="str">
        <f t="shared" si="246"/>
        <v/>
      </c>
      <c r="AE850" s="995" t="str">
        <f t="shared" si="247"/>
        <v/>
      </c>
      <c r="AF850" s="996"/>
      <c r="AG850" s="997"/>
      <c r="AH850" s="997"/>
      <c r="AI850" s="998" t="str">
        <f t="shared" si="248"/>
        <v/>
      </c>
      <c r="AJ850" s="993" t="str">
        <f t="shared" si="249"/>
        <v/>
      </c>
    </row>
    <row r="851" spans="1:36" ht="16.5" customHeight="1">
      <c r="A851" s="999" t="str">
        <f>'09월 조업일지'!A849</f>
        <v/>
      </c>
      <c r="B851" s="1099" t="str">
        <f>'09월 조업일지'!B849</f>
        <v/>
      </c>
      <c r="C851" s="1000" t="str">
        <f>'09월 화학성분'!D849</f>
        <v/>
      </c>
      <c r="D851" s="1000" t="str">
        <f>'09월 화학성분'!E849</f>
        <v/>
      </c>
      <c r="E851" s="1000" t="str">
        <f>'09월 화학성분'!C849</f>
        <v/>
      </c>
      <c r="F851" s="1001" t="str">
        <f t="shared" si="235"/>
        <v/>
      </c>
      <c r="G851" s="1172"/>
      <c r="H851" s="985"/>
      <c r="I851" s="1173"/>
      <c r="J851" s="985"/>
      <c r="K851" s="1173"/>
      <c r="L851" s="985"/>
      <c r="M851" s="1174" t="str">
        <f t="shared" si="236"/>
        <v/>
      </c>
      <c r="N851" s="984" t="str">
        <f t="shared" si="237"/>
        <v/>
      </c>
      <c r="O851" s="986" t="str">
        <f t="shared" si="238"/>
        <v/>
      </c>
      <c r="P851" s="987" t="str">
        <f t="shared" si="239"/>
        <v/>
      </c>
      <c r="Q851" s="987" t="str">
        <f t="shared" si="240"/>
        <v/>
      </c>
      <c r="R851" s="988" t="str">
        <f t="shared" si="241"/>
        <v/>
      </c>
      <c r="S851" s="989"/>
      <c r="T851" s="990"/>
      <c r="U851" s="991"/>
      <c r="V851" s="991"/>
      <c r="W851" s="992" t="str">
        <f t="shared" si="242"/>
        <v/>
      </c>
      <c r="X851" s="993" t="str">
        <f t="shared" si="243"/>
        <v/>
      </c>
      <c r="Y851" s="990"/>
      <c r="Z851" s="991"/>
      <c r="AA851" s="991"/>
      <c r="AB851" s="992" t="str">
        <f t="shared" si="244"/>
        <v/>
      </c>
      <c r="AC851" s="993" t="str">
        <f t="shared" si="245"/>
        <v/>
      </c>
      <c r="AD851" s="994" t="str">
        <f t="shared" si="246"/>
        <v/>
      </c>
      <c r="AE851" s="995" t="str">
        <f t="shared" si="247"/>
        <v/>
      </c>
      <c r="AF851" s="996"/>
      <c r="AG851" s="997"/>
      <c r="AH851" s="997"/>
      <c r="AI851" s="998" t="str">
        <f t="shared" si="248"/>
        <v/>
      </c>
      <c r="AJ851" s="993" t="str">
        <f t="shared" si="249"/>
        <v/>
      </c>
    </row>
    <row r="852" spans="1:36" ht="16.5" customHeight="1">
      <c r="A852" s="999" t="str">
        <f>'09월 조업일지'!A850</f>
        <v/>
      </c>
      <c r="B852" s="1099" t="str">
        <f>'09월 조업일지'!B850</f>
        <v/>
      </c>
      <c r="C852" s="1000" t="str">
        <f>'09월 화학성분'!D850</f>
        <v/>
      </c>
      <c r="D852" s="1000" t="str">
        <f>'09월 화학성분'!E850</f>
        <v/>
      </c>
      <c r="E852" s="1000" t="str">
        <f>'09월 화학성분'!C850</f>
        <v/>
      </c>
      <c r="F852" s="1001" t="str">
        <f t="shared" si="235"/>
        <v/>
      </c>
      <c r="G852" s="1172"/>
      <c r="H852" s="985"/>
      <c r="I852" s="1173"/>
      <c r="J852" s="985"/>
      <c r="K852" s="1173"/>
      <c r="L852" s="985"/>
      <c r="M852" s="1174" t="str">
        <f t="shared" si="236"/>
        <v/>
      </c>
      <c r="N852" s="984" t="str">
        <f t="shared" si="237"/>
        <v/>
      </c>
      <c r="O852" s="986" t="str">
        <f t="shared" si="238"/>
        <v/>
      </c>
      <c r="P852" s="987" t="str">
        <f t="shared" si="239"/>
        <v/>
      </c>
      <c r="Q852" s="987" t="str">
        <f t="shared" si="240"/>
        <v/>
      </c>
      <c r="R852" s="988" t="str">
        <f t="shared" si="241"/>
        <v/>
      </c>
      <c r="S852" s="989"/>
      <c r="T852" s="990"/>
      <c r="U852" s="991"/>
      <c r="V852" s="991"/>
      <c r="W852" s="992" t="str">
        <f t="shared" si="242"/>
        <v/>
      </c>
      <c r="X852" s="993" t="str">
        <f t="shared" si="243"/>
        <v/>
      </c>
      <c r="Y852" s="990"/>
      <c r="Z852" s="991"/>
      <c r="AA852" s="991"/>
      <c r="AB852" s="992" t="str">
        <f t="shared" si="244"/>
        <v/>
      </c>
      <c r="AC852" s="993" t="str">
        <f t="shared" si="245"/>
        <v/>
      </c>
      <c r="AD852" s="994" t="str">
        <f t="shared" si="246"/>
        <v/>
      </c>
      <c r="AE852" s="995" t="str">
        <f t="shared" si="247"/>
        <v/>
      </c>
      <c r="AF852" s="996"/>
      <c r="AG852" s="997"/>
      <c r="AH852" s="997"/>
      <c r="AI852" s="998" t="str">
        <f t="shared" si="248"/>
        <v/>
      </c>
      <c r="AJ852" s="993" t="str">
        <f t="shared" si="249"/>
        <v/>
      </c>
    </row>
    <row r="853" spans="1:36" ht="16.5" customHeight="1">
      <c r="A853" s="999" t="str">
        <f>'09월 조업일지'!A851</f>
        <v/>
      </c>
      <c r="B853" s="1099" t="str">
        <f>'09월 조업일지'!B851</f>
        <v/>
      </c>
      <c r="C853" s="1000" t="str">
        <f>'09월 화학성분'!D851</f>
        <v/>
      </c>
      <c r="D853" s="1000" t="str">
        <f>'09월 화학성분'!E851</f>
        <v/>
      </c>
      <c r="E853" s="1000" t="str">
        <f>'09월 화학성분'!C851</f>
        <v/>
      </c>
      <c r="F853" s="1001" t="str">
        <f t="shared" si="235"/>
        <v/>
      </c>
      <c r="G853" s="1172"/>
      <c r="H853" s="985"/>
      <c r="I853" s="1173"/>
      <c r="J853" s="985"/>
      <c r="K853" s="1173"/>
      <c r="L853" s="985"/>
      <c r="M853" s="1174" t="str">
        <f t="shared" si="236"/>
        <v/>
      </c>
      <c r="N853" s="984" t="str">
        <f t="shared" si="237"/>
        <v/>
      </c>
      <c r="O853" s="986" t="str">
        <f t="shared" si="238"/>
        <v/>
      </c>
      <c r="P853" s="987" t="str">
        <f t="shared" si="239"/>
        <v/>
      </c>
      <c r="Q853" s="987" t="str">
        <f t="shared" si="240"/>
        <v/>
      </c>
      <c r="R853" s="988" t="str">
        <f t="shared" si="241"/>
        <v/>
      </c>
      <c r="S853" s="989"/>
      <c r="T853" s="990"/>
      <c r="U853" s="991"/>
      <c r="V853" s="991"/>
      <c r="W853" s="992" t="str">
        <f t="shared" si="242"/>
        <v/>
      </c>
      <c r="X853" s="993" t="str">
        <f t="shared" si="243"/>
        <v/>
      </c>
      <c r="Y853" s="990"/>
      <c r="Z853" s="991"/>
      <c r="AA853" s="991"/>
      <c r="AB853" s="992" t="str">
        <f t="shared" si="244"/>
        <v/>
      </c>
      <c r="AC853" s="993" t="str">
        <f t="shared" si="245"/>
        <v/>
      </c>
      <c r="AD853" s="994" t="str">
        <f t="shared" si="246"/>
        <v/>
      </c>
      <c r="AE853" s="995" t="str">
        <f t="shared" si="247"/>
        <v/>
      </c>
      <c r="AF853" s="996"/>
      <c r="AG853" s="997"/>
      <c r="AH853" s="997"/>
      <c r="AI853" s="998" t="str">
        <f t="shared" si="248"/>
        <v/>
      </c>
      <c r="AJ853" s="993" t="str">
        <f t="shared" si="249"/>
        <v/>
      </c>
    </row>
    <row r="854" spans="1:36" ht="16.5" customHeight="1">
      <c r="A854" s="999" t="str">
        <f>'09월 조업일지'!A852</f>
        <v/>
      </c>
      <c r="B854" s="1099" t="str">
        <f>'09월 조업일지'!B852</f>
        <v/>
      </c>
      <c r="C854" s="1000" t="str">
        <f>'09월 화학성분'!D852</f>
        <v/>
      </c>
      <c r="D854" s="1000" t="str">
        <f>'09월 화학성분'!E852</f>
        <v/>
      </c>
      <c r="E854" s="1000" t="str">
        <f>'09월 화학성분'!C852</f>
        <v/>
      </c>
      <c r="F854" s="1001" t="str">
        <f t="shared" si="235"/>
        <v/>
      </c>
      <c r="G854" s="1172"/>
      <c r="H854" s="985"/>
      <c r="I854" s="1173"/>
      <c r="J854" s="985"/>
      <c r="K854" s="1173"/>
      <c r="L854" s="985"/>
      <c r="M854" s="1174" t="str">
        <f t="shared" si="236"/>
        <v/>
      </c>
      <c r="N854" s="984" t="str">
        <f t="shared" si="237"/>
        <v/>
      </c>
      <c r="O854" s="986" t="str">
        <f t="shared" si="238"/>
        <v/>
      </c>
      <c r="P854" s="987" t="str">
        <f t="shared" si="239"/>
        <v/>
      </c>
      <c r="Q854" s="987" t="str">
        <f t="shared" si="240"/>
        <v/>
      </c>
      <c r="R854" s="988" t="str">
        <f t="shared" si="241"/>
        <v/>
      </c>
      <c r="S854" s="989"/>
      <c r="T854" s="990"/>
      <c r="U854" s="991"/>
      <c r="V854" s="991"/>
      <c r="W854" s="992" t="str">
        <f t="shared" si="242"/>
        <v/>
      </c>
      <c r="X854" s="993" t="str">
        <f t="shared" si="243"/>
        <v/>
      </c>
      <c r="Y854" s="990"/>
      <c r="Z854" s="991"/>
      <c r="AA854" s="991"/>
      <c r="AB854" s="992" t="str">
        <f t="shared" si="244"/>
        <v/>
      </c>
      <c r="AC854" s="993" t="str">
        <f t="shared" si="245"/>
        <v/>
      </c>
      <c r="AD854" s="994" t="str">
        <f t="shared" si="246"/>
        <v/>
      </c>
      <c r="AE854" s="995" t="str">
        <f t="shared" si="247"/>
        <v/>
      </c>
      <c r="AF854" s="996"/>
      <c r="AG854" s="997"/>
      <c r="AH854" s="997"/>
      <c r="AI854" s="998" t="str">
        <f t="shared" si="248"/>
        <v/>
      </c>
      <c r="AJ854" s="993" t="str">
        <f t="shared" si="249"/>
        <v/>
      </c>
    </row>
    <row r="855" spans="1:36" ht="16.5" customHeight="1">
      <c r="A855" s="999" t="str">
        <f>'09월 조업일지'!A853</f>
        <v/>
      </c>
      <c r="B855" s="1099" t="str">
        <f>'09월 조업일지'!B853</f>
        <v/>
      </c>
      <c r="C855" s="1000" t="str">
        <f>'09월 화학성분'!D853</f>
        <v/>
      </c>
      <c r="D855" s="1000" t="str">
        <f>'09월 화학성분'!E853</f>
        <v/>
      </c>
      <c r="E855" s="1000" t="str">
        <f>'09월 화학성분'!C853</f>
        <v/>
      </c>
      <c r="F855" s="1001" t="str">
        <f t="shared" si="235"/>
        <v/>
      </c>
      <c r="G855" s="1172"/>
      <c r="H855" s="985"/>
      <c r="I855" s="1173"/>
      <c r="J855" s="985"/>
      <c r="K855" s="1173"/>
      <c r="L855" s="985"/>
      <c r="M855" s="1174" t="str">
        <f t="shared" si="236"/>
        <v/>
      </c>
      <c r="N855" s="984" t="str">
        <f t="shared" si="237"/>
        <v/>
      </c>
      <c r="O855" s="986" t="str">
        <f t="shared" si="238"/>
        <v/>
      </c>
      <c r="P855" s="987" t="str">
        <f t="shared" si="239"/>
        <v/>
      </c>
      <c r="Q855" s="987" t="str">
        <f t="shared" si="240"/>
        <v/>
      </c>
      <c r="R855" s="988" t="str">
        <f t="shared" si="241"/>
        <v/>
      </c>
      <c r="S855" s="989"/>
      <c r="T855" s="990"/>
      <c r="U855" s="991"/>
      <c r="V855" s="991"/>
      <c r="W855" s="992" t="str">
        <f t="shared" si="242"/>
        <v/>
      </c>
      <c r="X855" s="993" t="str">
        <f t="shared" si="243"/>
        <v/>
      </c>
      <c r="Y855" s="990"/>
      <c r="Z855" s="991"/>
      <c r="AA855" s="991"/>
      <c r="AB855" s="992" t="str">
        <f t="shared" si="244"/>
        <v/>
      </c>
      <c r="AC855" s="993" t="str">
        <f t="shared" si="245"/>
        <v/>
      </c>
      <c r="AD855" s="994" t="str">
        <f t="shared" si="246"/>
        <v/>
      </c>
      <c r="AE855" s="995" t="str">
        <f t="shared" si="247"/>
        <v/>
      </c>
      <c r="AF855" s="996"/>
      <c r="AG855" s="997"/>
      <c r="AH855" s="997"/>
      <c r="AI855" s="998" t="str">
        <f t="shared" si="248"/>
        <v/>
      </c>
      <c r="AJ855" s="993" t="str">
        <f t="shared" si="249"/>
        <v/>
      </c>
    </row>
    <row r="856" spans="1:36" ht="16.5" customHeight="1">
      <c r="A856" s="999" t="str">
        <f>'09월 조업일지'!A854</f>
        <v/>
      </c>
      <c r="B856" s="1099" t="str">
        <f>'09월 조업일지'!B854</f>
        <v/>
      </c>
      <c r="C856" s="1000" t="str">
        <f>'09월 화학성분'!D854</f>
        <v/>
      </c>
      <c r="D856" s="1000" t="str">
        <f>'09월 화학성분'!E854</f>
        <v/>
      </c>
      <c r="E856" s="1000" t="str">
        <f>'09월 화학성분'!C854</f>
        <v/>
      </c>
      <c r="F856" s="1001" t="str">
        <f t="shared" si="235"/>
        <v/>
      </c>
      <c r="G856" s="1172"/>
      <c r="H856" s="985"/>
      <c r="I856" s="1173"/>
      <c r="J856" s="985"/>
      <c r="K856" s="1173"/>
      <c r="L856" s="985"/>
      <c r="M856" s="1174" t="str">
        <f t="shared" si="236"/>
        <v/>
      </c>
      <c r="N856" s="984" t="str">
        <f t="shared" si="237"/>
        <v/>
      </c>
      <c r="O856" s="986" t="str">
        <f t="shared" si="238"/>
        <v/>
      </c>
      <c r="P856" s="987" t="str">
        <f t="shared" si="239"/>
        <v/>
      </c>
      <c r="Q856" s="987" t="str">
        <f t="shared" si="240"/>
        <v/>
      </c>
      <c r="R856" s="988" t="str">
        <f t="shared" si="241"/>
        <v/>
      </c>
      <c r="S856" s="989"/>
      <c r="T856" s="990"/>
      <c r="U856" s="991"/>
      <c r="V856" s="991"/>
      <c r="W856" s="992" t="str">
        <f t="shared" si="242"/>
        <v/>
      </c>
      <c r="X856" s="993" t="str">
        <f t="shared" si="243"/>
        <v/>
      </c>
      <c r="Y856" s="990"/>
      <c r="Z856" s="991"/>
      <c r="AA856" s="991"/>
      <c r="AB856" s="992" t="str">
        <f t="shared" si="244"/>
        <v/>
      </c>
      <c r="AC856" s="993" t="str">
        <f t="shared" si="245"/>
        <v/>
      </c>
      <c r="AD856" s="994" t="str">
        <f t="shared" si="246"/>
        <v/>
      </c>
      <c r="AE856" s="995" t="str">
        <f t="shared" si="247"/>
        <v/>
      </c>
      <c r="AF856" s="996"/>
      <c r="AG856" s="997"/>
      <c r="AH856" s="997"/>
      <c r="AI856" s="998" t="str">
        <f t="shared" si="248"/>
        <v/>
      </c>
      <c r="AJ856" s="993" t="str">
        <f t="shared" si="249"/>
        <v/>
      </c>
    </row>
    <row r="857" spans="1:36" ht="16.5" customHeight="1">
      <c r="A857" s="999" t="str">
        <f>'09월 조업일지'!A855</f>
        <v/>
      </c>
      <c r="B857" s="1099" t="str">
        <f>'09월 조업일지'!B855</f>
        <v/>
      </c>
      <c r="C857" s="1000" t="str">
        <f>'09월 화학성분'!D855</f>
        <v/>
      </c>
      <c r="D857" s="1000" t="str">
        <f>'09월 화학성분'!E855</f>
        <v/>
      </c>
      <c r="E857" s="1000" t="str">
        <f>'09월 화학성분'!C855</f>
        <v/>
      </c>
      <c r="F857" s="1001" t="str">
        <f t="shared" si="235"/>
        <v/>
      </c>
      <c r="G857" s="1172"/>
      <c r="H857" s="985"/>
      <c r="I857" s="1173"/>
      <c r="J857" s="985"/>
      <c r="K857" s="1173"/>
      <c r="L857" s="985"/>
      <c r="M857" s="1174" t="str">
        <f t="shared" si="236"/>
        <v/>
      </c>
      <c r="N857" s="984" t="str">
        <f t="shared" si="237"/>
        <v/>
      </c>
      <c r="O857" s="986" t="str">
        <f t="shared" si="238"/>
        <v/>
      </c>
      <c r="P857" s="987" t="str">
        <f t="shared" si="239"/>
        <v/>
      </c>
      <c r="Q857" s="987" t="str">
        <f t="shared" si="240"/>
        <v/>
      </c>
      <c r="R857" s="988" t="str">
        <f t="shared" si="241"/>
        <v/>
      </c>
      <c r="S857" s="989"/>
      <c r="T857" s="990"/>
      <c r="U857" s="991"/>
      <c r="V857" s="991"/>
      <c r="W857" s="992" t="str">
        <f t="shared" si="242"/>
        <v/>
      </c>
      <c r="X857" s="993" t="str">
        <f t="shared" si="243"/>
        <v/>
      </c>
      <c r="Y857" s="990"/>
      <c r="Z857" s="991"/>
      <c r="AA857" s="991"/>
      <c r="AB857" s="992" t="str">
        <f t="shared" si="244"/>
        <v/>
      </c>
      <c r="AC857" s="993" t="str">
        <f t="shared" si="245"/>
        <v/>
      </c>
      <c r="AD857" s="994" t="str">
        <f t="shared" si="246"/>
        <v/>
      </c>
      <c r="AE857" s="995" t="str">
        <f t="shared" si="247"/>
        <v/>
      </c>
      <c r="AF857" s="996"/>
      <c r="AG857" s="997"/>
      <c r="AH857" s="997"/>
      <c r="AI857" s="998" t="str">
        <f t="shared" si="248"/>
        <v/>
      </c>
      <c r="AJ857" s="993" t="str">
        <f t="shared" si="249"/>
        <v/>
      </c>
    </row>
    <row r="858" spans="1:36" ht="16.5" customHeight="1">
      <c r="A858" s="999" t="str">
        <f>'09월 조업일지'!A856</f>
        <v/>
      </c>
      <c r="B858" s="1099" t="str">
        <f>'09월 조업일지'!B856</f>
        <v/>
      </c>
      <c r="C858" s="1000" t="str">
        <f>'09월 화학성분'!D856</f>
        <v/>
      </c>
      <c r="D858" s="1000" t="str">
        <f>'09월 화학성분'!E856</f>
        <v/>
      </c>
      <c r="E858" s="1000" t="str">
        <f>'09월 화학성분'!C856</f>
        <v/>
      </c>
      <c r="F858" s="1001" t="str">
        <f t="shared" si="235"/>
        <v/>
      </c>
      <c r="G858" s="1172"/>
      <c r="H858" s="985"/>
      <c r="I858" s="1173"/>
      <c r="J858" s="985"/>
      <c r="K858" s="1173"/>
      <c r="L858" s="985"/>
      <c r="M858" s="1174" t="str">
        <f t="shared" si="236"/>
        <v/>
      </c>
      <c r="N858" s="984" t="str">
        <f t="shared" si="237"/>
        <v/>
      </c>
      <c r="O858" s="986" t="str">
        <f t="shared" si="238"/>
        <v/>
      </c>
      <c r="P858" s="987" t="str">
        <f t="shared" si="239"/>
        <v/>
      </c>
      <c r="Q858" s="987" t="str">
        <f t="shared" si="240"/>
        <v/>
      </c>
      <c r="R858" s="988" t="str">
        <f t="shared" si="241"/>
        <v/>
      </c>
      <c r="S858" s="989"/>
      <c r="T858" s="990"/>
      <c r="U858" s="991"/>
      <c r="V858" s="991"/>
      <c r="W858" s="992" t="str">
        <f t="shared" si="242"/>
        <v/>
      </c>
      <c r="X858" s="993" t="str">
        <f t="shared" si="243"/>
        <v/>
      </c>
      <c r="Y858" s="990"/>
      <c r="Z858" s="991"/>
      <c r="AA858" s="991"/>
      <c r="AB858" s="992" t="str">
        <f t="shared" si="244"/>
        <v/>
      </c>
      <c r="AC858" s="993" t="str">
        <f t="shared" si="245"/>
        <v/>
      </c>
      <c r="AD858" s="994" t="str">
        <f t="shared" si="246"/>
        <v/>
      </c>
      <c r="AE858" s="995" t="str">
        <f t="shared" si="247"/>
        <v/>
      </c>
      <c r="AF858" s="996"/>
      <c r="AG858" s="997"/>
      <c r="AH858" s="997"/>
      <c r="AI858" s="998" t="str">
        <f t="shared" si="248"/>
        <v/>
      </c>
      <c r="AJ858" s="993" t="str">
        <f t="shared" si="249"/>
        <v/>
      </c>
    </row>
    <row r="859" spans="1:36" ht="16.5" customHeight="1">
      <c r="A859" s="999" t="str">
        <f>'09월 조업일지'!A857</f>
        <v/>
      </c>
      <c r="B859" s="1099" t="str">
        <f>'09월 조업일지'!B857</f>
        <v/>
      </c>
      <c r="C859" s="1000" t="str">
        <f>'09월 화학성분'!D857</f>
        <v/>
      </c>
      <c r="D859" s="1000" t="str">
        <f>'09월 화학성분'!E857</f>
        <v/>
      </c>
      <c r="E859" s="1000" t="str">
        <f>'09월 화학성분'!C857</f>
        <v/>
      </c>
      <c r="F859" s="1001" t="str">
        <f t="shared" si="235"/>
        <v/>
      </c>
      <c r="G859" s="1172"/>
      <c r="H859" s="985"/>
      <c r="I859" s="1173"/>
      <c r="J859" s="985"/>
      <c r="K859" s="1173"/>
      <c r="L859" s="985"/>
      <c r="M859" s="1174" t="str">
        <f t="shared" si="236"/>
        <v/>
      </c>
      <c r="N859" s="984" t="str">
        <f t="shared" si="237"/>
        <v/>
      </c>
      <c r="O859" s="986" t="str">
        <f t="shared" si="238"/>
        <v/>
      </c>
      <c r="P859" s="987" t="str">
        <f t="shared" si="239"/>
        <v/>
      </c>
      <c r="Q859" s="987" t="str">
        <f t="shared" si="240"/>
        <v/>
      </c>
      <c r="R859" s="988" t="str">
        <f t="shared" si="241"/>
        <v/>
      </c>
      <c r="S859" s="989"/>
      <c r="T859" s="990"/>
      <c r="U859" s="991"/>
      <c r="V859" s="991"/>
      <c r="W859" s="992" t="str">
        <f t="shared" si="242"/>
        <v/>
      </c>
      <c r="X859" s="993" t="str">
        <f t="shared" si="243"/>
        <v/>
      </c>
      <c r="Y859" s="990"/>
      <c r="Z859" s="991"/>
      <c r="AA859" s="991"/>
      <c r="AB859" s="992" t="str">
        <f t="shared" si="244"/>
        <v/>
      </c>
      <c r="AC859" s="993" t="str">
        <f t="shared" si="245"/>
        <v/>
      </c>
      <c r="AD859" s="994" t="str">
        <f t="shared" si="246"/>
        <v/>
      </c>
      <c r="AE859" s="995" t="str">
        <f t="shared" si="247"/>
        <v/>
      </c>
      <c r="AF859" s="996"/>
      <c r="AG859" s="997"/>
      <c r="AH859" s="997"/>
      <c r="AI859" s="998" t="str">
        <f t="shared" si="248"/>
        <v/>
      </c>
      <c r="AJ859" s="993" t="str">
        <f t="shared" si="249"/>
        <v/>
      </c>
    </row>
    <row r="860" spans="1:36" ht="16.5" customHeight="1">
      <c r="A860" s="999" t="str">
        <f>'09월 조업일지'!A858</f>
        <v/>
      </c>
      <c r="B860" s="1099" t="str">
        <f>'09월 조업일지'!B858</f>
        <v/>
      </c>
      <c r="C860" s="1000" t="str">
        <f>'09월 화학성분'!D858</f>
        <v/>
      </c>
      <c r="D860" s="1000" t="str">
        <f>'09월 화학성분'!E858</f>
        <v/>
      </c>
      <c r="E860" s="1000" t="str">
        <f>'09월 화학성분'!C858</f>
        <v/>
      </c>
      <c r="F860" s="1001" t="str">
        <f t="shared" si="235"/>
        <v/>
      </c>
      <c r="G860" s="1172"/>
      <c r="H860" s="985"/>
      <c r="I860" s="1173"/>
      <c r="J860" s="985"/>
      <c r="K860" s="1173"/>
      <c r="L860" s="985"/>
      <c r="M860" s="1174" t="str">
        <f t="shared" si="236"/>
        <v/>
      </c>
      <c r="N860" s="984" t="str">
        <f t="shared" si="237"/>
        <v/>
      </c>
      <c r="O860" s="986" t="str">
        <f t="shared" si="238"/>
        <v/>
      </c>
      <c r="P860" s="987" t="str">
        <f t="shared" si="239"/>
        <v/>
      </c>
      <c r="Q860" s="987" t="str">
        <f t="shared" si="240"/>
        <v/>
      </c>
      <c r="R860" s="988" t="str">
        <f t="shared" si="241"/>
        <v/>
      </c>
      <c r="S860" s="989"/>
      <c r="T860" s="990"/>
      <c r="U860" s="991"/>
      <c r="V860" s="991"/>
      <c r="W860" s="992" t="str">
        <f t="shared" si="242"/>
        <v/>
      </c>
      <c r="X860" s="993" t="str">
        <f t="shared" si="243"/>
        <v/>
      </c>
      <c r="Y860" s="990"/>
      <c r="Z860" s="991"/>
      <c r="AA860" s="991"/>
      <c r="AB860" s="992" t="str">
        <f t="shared" si="244"/>
        <v/>
      </c>
      <c r="AC860" s="993" t="str">
        <f t="shared" si="245"/>
        <v/>
      </c>
      <c r="AD860" s="994" t="str">
        <f t="shared" si="246"/>
        <v/>
      </c>
      <c r="AE860" s="995" t="str">
        <f t="shared" si="247"/>
        <v/>
      </c>
      <c r="AF860" s="996"/>
      <c r="AG860" s="997"/>
      <c r="AH860" s="997"/>
      <c r="AI860" s="998" t="str">
        <f t="shared" si="248"/>
        <v/>
      </c>
      <c r="AJ860" s="993" t="str">
        <f t="shared" si="249"/>
        <v/>
      </c>
    </row>
    <row r="861" spans="1:36" ht="16.5" customHeight="1">
      <c r="A861" s="999" t="str">
        <f>'09월 조업일지'!A859</f>
        <v/>
      </c>
      <c r="B861" s="1099" t="str">
        <f>'09월 조업일지'!B859</f>
        <v/>
      </c>
      <c r="C861" s="1000" t="str">
        <f>'09월 화학성분'!D859</f>
        <v/>
      </c>
      <c r="D861" s="1000" t="str">
        <f>'09월 화학성분'!E859</f>
        <v/>
      </c>
      <c r="E861" s="1000" t="str">
        <f>'09월 화학성분'!C859</f>
        <v/>
      </c>
      <c r="F861" s="1001" t="str">
        <f t="shared" si="235"/>
        <v/>
      </c>
      <c r="G861" s="1172"/>
      <c r="H861" s="985"/>
      <c r="I861" s="1173"/>
      <c r="J861" s="985"/>
      <c r="K861" s="1173"/>
      <c r="L861" s="985"/>
      <c r="M861" s="1174" t="str">
        <f t="shared" si="236"/>
        <v/>
      </c>
      <c r="N861" s="984" t="str">
        <f t="shared" si="237"/>
        <v/>
      </c>
      <c r="O861" s="986" t="str">
        <f t="shared" si="238"/>
        <v/>
      </c>
      <c r="P861" s="987" t="str">
        <f t="shared" si="239"/>
        <v/>
      </c>
      <c r="Q861" s="987" t="str">
        <f t="shared" si="240"/>
        <v/>
      </c>
      <c r="R861" s="988" t="str">
        <f t="shared" si="241"/>
        <v/>
      </c>
      <c r="S861" s="989"/>
      <c r="T861" s="990"/>
      <c r="U861" s="991"/>
      <c r="V861" s="991"/>
      <c r="W861" s="992" t="str">
        <f t="shared" si="242"/>
        <v/>
      </c>
      <c r="X861" s="993" t="str">
        <f t="shared" si="243"/>
        <v/>
      </c>
      <c r="Y861" s="990"/>
      <c r="Z861" s="991"/>
      <c r="AA861" s="991"/>
      <c r="AB861" s="992" t="str">
        <f t="shared" si="244"/>
        <v/>
      </c>
      <c r="AC861" s="993" t="str">
        <f t="shared" si="245"/>
        <v/>
      </c>
      <c r="AD861" s="994" t="str">
        <f t="shared" si="246"/>
        <v/>
      </c>
      <c r="AE861" s="995" t="str">
        <f t="shared" si="247"/>
        <v/>
      </c>
      <c r="AF861" s="996"/>
      <c r="AG861" s="997"/>
      <c r="AH861" s="997"/>
      <c r="AI861" s="998" t="str">
        <f t="shared" si="248"/>
        <v/>
      </c>
      <c r="AJ861" s="993" t="str">
        <f t="shared" si="249"/>
        <v/>
      </c>
    </row>
    <row r="862" spans="1:36" ht="16.5" customHeight="1">
      <c r="A862" s="999" t="str">
        <f>'09월 조업일지'!A860</f>
        <v/>
      </c>
      <c r="B862" s="1099" t="str">
        <f>'09월 조업일지'!B860</f>
        <v/>
      </c>
      <c r="C862" s="1000" t="str">
        <f>'09월 화학성분'!D860</f>
        <v/>
      </c>
      <c r="D862" s="1000" t="str">
        <f>'09월 화학성분'!E860</f>
        <v/>
      </c>
      <c r="E862" s="1000" t="str">
        <f>'09월 화학성분'!C860</f>
        <v/>
      </c>
      <c r="F862" s="1001" t="str">
        <f t="shared" si="235"/>
        <v/>
      </c>
      <c r="G862" s="1172"/>
      <c r="H862" s="985"/>
      <c r="I862" s="1173"/>
      <c r="J862" s="985"/>
      <c r="K862" s="1173"/>
      <c r="L862" s="985"/>
      <c r="M862" s="1174" t="str">
        <f t="shared" si="236"/>
        <v/>
      </c>
      <c r="N862" s="984" t="str">
        <f t="shared" si="237"/>
        <v/>
      </c>
      <c r="O862" s="986" t="str">
        <f t="shared" si="238"/>
        <v/>
      </c>
      <c r="P862" s="987" t="str">
        <f t="shared" si="239"/>
        <v/>
      </c>
      <c r="Q862" s="987" t="str">
        <f t="shared" si="240"/>
        <v/>
      </c>
      <c r="R862" s="988" t="str">
        <f t="shared" si="241"/>
        <v/>
      </c>
      <c r="S862" s="989"/>
      <c r="T862" s="990"/>
      <c r="U862" s="991"/>
      <c r="V862" s="991"/>
      <c r="W862" s="992" t="str">
        <f t="shared" si="242"/>
        <v/>
      </c>
      <c r="X862" s="993" t="str">
        <f t="shared" si="243"/>
        <v/>
      </c>
      <c r="Y862" s="990"/>
      <c r="Z862" s="991"/>
      <c r="AA862" s="991"/>
      <c r="AB862" s="992" t="str">
        <f t="shared" si="244"/>
        <v/>
      </c>
      <c r="AC862" s="993" t="str">
        <f t="shared" si="245"/>
        <v/>
      </c>
      <c r="AD862" s="994" t="str">
        <f t="shared" si="246"/>
        <v/>
      </c>
      <c r="AE862" s="995" t="str">
        <f t="shared" si="247"/>
        <v/>
      </c>
      <c r="AF862" s="996"/>
      <c r="AG862" s="997"/>
      <c r="AH862" s="997"/>
      <c r="AI862" s="998" t="str">
        <f t="shared" si="248"/>
        <v/>
      </c>
      <c r="AJ862" s="993" t="str">
        <f t="shared" si="249"/>
        <v/>
      </c>
    </row>
    <row r="863" spans="1:36" ht="16.5" customHeight="1">
      <c r="A863" s="999" t="str">
        <f>'09월 조업일지'!A861</f>
        <v/>
      </c>
      <c r="B863" s="1099" t="str">
        <f>'09월 조업일지'!B861</f>
        <v/>
      </c>
      <c r="C863" s="1000" t="str">
        <f>'09월 화학성분'!D861</f>
        <v/>
      </c>
      <c r="D863" s="1000" t="str">
        <f>'09월 화학성분'!E861</f>
        <v/>
      </c>
      <c r="E863" s="1000" t="str">
        <f>'09월 화학성분'!C861</f>
        <v/>
      </c>
      <c r="F863" s="1001" t="str">
        <f t="shared" si="235"/>
        <v/>
      </c>
      <c r="G863" s="1172"/>
      <c r="H863" s="985"/>
      <c r="I863" s="1173"/>
      <c r="J863" s="985"/>
      <c r="K863" s="1173"/>
      <c r="L863" s="985"/>
      <c r="M863" s="1174" t="str">
        <f t="shared" si="236"/>
        <v/>
      </c>
      <c r="N863" s="984" t="str">
        <f t="shared" si="237"/>
        <v/>
      </c>
      <c r="O863" s="986" t="str">
        <f t="shared" si="238"/>
        <v/>
      </c>
      <c r="P863" s="987" t="str">
        <f t="shared" si="239"/>
        <v/>
      </c>
      <c r="Q863" s="987" t="str">
        <f t="shared" si="240"/>
        <v/>
      </c>
      <c r="R863" s="988" t="str">
        <f t="shared" si="241"/>
        <v/>
      </c>
      <c r="S863" s="989"/>
      <c r="T863" s="990"/>
      <c r="U863" s="991"/>
      <c r="V863" s="991"/>
      <c r="W863" s="992" t="str">
        <f t="shared" si="242"/>
        <v/>
      </c>
      <c r="X863" s="993" t="str">
        <f t="shared" si="243"/>
        <v/>
      </c>
      <c r="Y863" s="990"/>
      <c r="Z863" s="991"/>
      <c r="AA863" s="991"/>
      <c r="AB863" s="992" t="str">
        <f t="shared" si="244"/>
        <v/>
      </c>
      <c r="AC863" s="993" t="str">
        <f t="shared" si="245"/>
        <v/>
      </c>
      <c r="AD863" s="994" t="str">
        <f t="shared" si="246"/>
        <v/>
      </c>
      <c r="AE863" s="995" t="str">
        <f t="shared" si="247"/>
        <v/>
      </c>
      <c r="AF863" s="996"/>
      <c r="AG863" s="997"/>
      <c r="AH863" s="997"/>
      <c r="AI863" s="998" t="str">
        <f t="shared" si="248"/>
        <v/>
      </c>
      <c r="AJ863" s="993" t="str">
        <f t="shared" si="249"/>
        <v/>
      </c>
    </row>
    <row r="864" spans="1:36" ht="16.5" customHeight="1">
      <c r="A864" s="999" t="str">
        <f>'09월 조업일지'!A862</f>
        <v/>
      </c>
      <c r="B864" s="1099" t="str">
        <f>'09월 조업일지'!B862</f>
        <v/>
      </c>
      <c r="C864" s="1000" t="str">
        <f>'09월 화학성분'!D862</f>
        <v/>
      </c>
      <c r="D864" s="1000" t="str">
        <f>'09월 화학성분'!E862</f>
        <v/>
      </c>
      <c r="E864" s="1000" t="str">
        <f>'09월 화학성분'!C862</f>
        <v/>
      </c>
      <c r="F864" s="1001" t="str">
        <f t="shared" si="235"/>
        <v/>
      </c>
      <c r="G864" s="1172"/>
      <c r="H864" s="985"/>
      <c r="I864" s="1173"/>
      <c r="J864" s="985"/>
      <c r="K864" s="1173"/>
      <c r="L864" s="985"/>
      <c r="M864" s="1174" t="str">
        <f t="shared" si="236"/>
        <v/>
      </c>
      <c r="N864" s="984" t="str">
        <f t="shared" si="237"/>
        <v/>
      </c>
      <c r="O864" s="986" t="str">
        <f t="shared" si="238"/>
        <v/>
      </c>
      <c r="P864" s="987" t="str">
        <f t="shared" si="239"/>
        <v/>
      </c>
      <c r="Q864" s="987" t="str">
        <f t="shared" si="240"/>
        <v/>
      </c>
      <c r="R864" s="988" t="str">
        <f t="shared" si="241"/>
        <v/>
      </c>
      <c r="S864" s="989"/>
      <c r="T864" s="990"/>
      <c r="U864" s="991"/>
      <c r="V864" s="991"/>
      <c r="W864" s="992" t="str">
        <f t="shared" si="242"/>
        <v/>
      </c>
      <c r="X864" s="993" t="str">
        <f t="shared" si="243"/>
        <v/>
      </c>
      <c r="Y864" s="990"/>
      <c r="Z864" s="991"/>
      <c r="AA864" s="991"/>
      <c r="AB864" s="992" t="str">
        <f t="shared" si="244"/>
        <v/>
      </c>
      <c r="AC864" s="993" t="str">
        <f t="shared" si="245"/>
        <v/>
      </c>
      <c r="AD864" s="994" t="str">
        <f t="shared" si="246"/>
        <v/>
      </c>
      <c r="AE864" s="995" t="str">
        <f t="shared" si="247"/>
        <v/>
      </c>
      <c r="AF864" s="996"/>
      <c r="AG864" s="997"/>
      <c r="AH864" s="997"/>
      <c r="AI864" s="998" t="str">
        <f t="shared" si="248"/>
        <v/>
      </c>
      <c r="AJ864" s="993" t="str">
        <f t="shared" si="249"/>
        <v/>
      </c>
    </row>
    <row r="865" spans="1:36" ht="16.5" customHeight="1">
      <c r="A865" s="999" t="str">
        <f>'09월 조업일지'!A863</f>
        <v/>
      </c>
      <c r="B865" s="1099" t="str">
        <f>'09월 조업일지'!B863</f>
        <v/>
      </c>
      <c r="C865" s="1000" t="str">
        <f>'09월 화학성분'!D863</f>
        <v/>
      </c>
      <c r="D865" s="1000" t="str">
        <f>'09월 화학성분'!E863</f>
        <v/>
      </c>
      <c r="E865" s="1000" t="str">
        <f>'09월 화학성분'!C863</f>
        <v/>
      </c>
      <c r="F865" s="1001" t="str">
        <f t="shared" si="235"/>
        <v/>
      </c>
      <c r="G865" s="1172"/>
      <c r="H865" s="985"/>
      <c r="I865" s="1173"/>
      <c r="J865" s="985"/>
      <c r="K865" s="1173"/>
      <c r="L865" s="985"/>
      <c r="M865" s="1174" t="str">
        <f t="shared" si="236"/>
        <v/>
      </c>
      <c r="N865" s="984" t="str">
        <f t="shared" si="237"/>
        <v/>
      </c>
      <c r="O865" s="986" t="str">
        <f t="shared" si="238"/>
        <v/>
      </c>
      <c r="P865" s="987" t="str">
        <f t="shared" si="239"/>
        <v/>
      </c>
      <c r="Q865" s="987" t="str">
        <f t="shared" si="240"/>
        <v/>
      </c>
      <c r="R865" s="988" t="str">
        <f t="shared" si="241"/>
        <v/>
      </c>
      <c r="S865" s="989"/>
      <c r="T865" s="990"/>
      <c r="U865" s="991"/>
      <c r="V865" s="991"/>
      <c r="W865" s="992" t="str">
        <f t="shared" si="242"/>
        <v/>
      </c>
      <c r="X865" s="993" t="str">
        <f t="shared" si="243"/>
        <v/>
      </c>
      <c r="Y865" s="990"/>
      <c r="Z865" s="991"/>
      <c r="AA865" s="991"/>
      <c r="AB865" s="992" t="str">
        <f t="shared" si="244"/>
        <v/>
      </c>
      <c r="AC865" s="993" t="str">
        <f t="shared" si="245"/>
        <v/>
      </c>
      <c r="AD865" s="994" t="str">
        <f t="shared" si="246"/>
        <v/>
      </c>
      <c r="AE865" s="995" t="str">
        <f t="shared" si="247"/>
        <v/>
      </c>
      <c r="AF865" s="996"/>
      <c r="AG865" s="997"/>
      <c r="AH865" s="997"/>
      <c r="AI865" s="998" t="str">
        <f t="shared" si="248"/>
        <v/>
      </c>
      <c r="AJ865" s="993" t="str">
        <f t="shared" si="249"/>
        <v/>
      </c>
    </row>
    <row r="866" spans="1:36" ht="16.5" customHeight="1">
      <c r="A866" s="999" t="str">
        <f>'09월 조업일지'!A864</f>
        <v/>
      </c>
      <c r="B866" s="1099" t="str">
        <f>'09월 조업일지'!B864</f>
        <v/>
      </c>
      <c r="C866" s="1000" t="str">
        <f>'09월 화학성분'!D864</f>
        <v/>
      </c>
      <c r="D866" s="1000" t="str">
        <f>'09월 화학성분'!E864</f>
        <v/>
      </c>
      <c r="E866" s="1000" t="str">
        <f>'09월 화학성분'!C864</f>
        <v/>
      </c>
      <c r="F866" s="1001" t="str">
        <f t="shared" si="235"/>
        <v/>
      </c>
      <c r="G866" s="1172"/>
      <c r="H866" s="985"/>
      <c r="I866" s="1173"/>
      <c r="J866" s="985"/>
      <c r="K866" s="1173"/>
      <c r="L866" s="985"/>
      <c r="M866" s="1174" t="str">
        <f t="shared" si="236"/>
        <v/>
      </c>
      <c r="N866" s="984" t="str">
        <f t="shared" si="237"/>
        <v/>
      </c>
      <c r="O866" s="986" t="str">
        <f t="shared" si="238"/>
        <v/>
      </c>
      <c r="P866" s="987" t="str">
        <f t="shared" si="239"/>
        <v/>
      </c>
      <c r="Q866" s="987" t="str">
        <f t="shared" si="240"/>
        <v/>
      </c>
      <c r="R866" s="988" t="str">
        <f t="shared" si="241"/>
        <v/>
      </c>
      <c r="S866" s="989"/>
      <c r="T866" s="990"/>
      <c r="U866" s="991"/>
      <c r="V866" s="991"/>
      <c r="W866" s="992" t="str">
        <f t="shared" si="242"/>
        <v/>
      </c>
      <c r="X866" s="993" t="str">
        <f t="shared" si="243"/>
        <v/>
      </c>
      <c r="Y866" s="990"/>
      <c r="Z866" s="991"/>
      <c r="AA866" s="991"/>
      <c r="AB866" s="992" t="str">
        <f t="shared" si="244"/>
        <v/>
      </c>
      <c r="AC866" s="993" t="str">
        <f t="shared" si="245"/>
        <v/>
      </c>
      <c r="AD866" s="994" t="str">
        <f t="shared" si="246"/>
        <v/>
      </c>
      <c r="AE866" s="995" t="str">
        <f t="shared" si="247"/>
        <v/>
      </c>
      <c r="AF866" s="996"/>
      <c r="AG866" s="997"/>
      <c r="AH866" s="997"/>
      <c r="AI866" s="998" t="str">
        <f t="shared" si="248"/>
        <v/>
      </c>
      <c r="AJ866" s="993" t="str">
        <f t="shared" si="249"/>
        <v/>
      </c>
    </row>
    <row r="867" spans="1:36" ht="16.5" customHeight="1">
      <c r="A867" s="999" t="str">
        <f>'09월 조업일지'!A865</f>
        <v/>
      </c>
      <c r="B867" s="1099" t="str">
        <f>'09월 조업일지'!B865</f>
        <v/>
      </c>
      <c r="C867" s="1000" t="str">
        <f>'09월 화학성분'!D865</f>
        <v/>
      </c>
      <c r="D867" s="1000" t="str">
        <f>'09월 화학성분'!E865</f>
        <v/>
      </c>
      <c r="E867" s="1000" t="str">
        <f>'09월 화학성분'!C865</f>
        <v/>
      </c>
      <c r="F867" s="1001" t="str">
        <f t="shared" si="235"/>
        <v/>
      </c>
      <c r="G867" s="1172"/>
      <c r="H867" s="985"/>
      <c r="I867" s="1173"/>
      <c r="J867" s="985"/>
      <c r="K867" s="1173"/>
      <c r="L867" s="985"/>
      <c r="M867" s="1174" t="str">
        <f t="shared" si="236"/>
        <v/>
      </c>
      <c r="N867" s="984" t="str">
        <f t="shared" si="237"/>
        <v/>
      </c>
      <c r="O867" s="986" t="str">
        <f t="shared" si="238"/>
        <v/>
      </c>
      <c r="P867" s="987" t="str">
        <f t="shared" si="239"/>
        <v/>
      </c>
      <c r="Q867" s="987" t="str">
        <f t="shared" si="240"/>
        <v/>
      </c>
      <c r="R867" s="988" t="str">
        <f t="shared" si="241"/>
        <v/>
      </c>
      <c r="S867" s="989"/>
      <c r="T867" s="990"/>
      <c r="U867" s="991"/>
      <c r="V867" s="991"/>
      <c r="W867" s="992" t="str">
        <f t="shared" si="242"/>
        <v/>
      </c>
      <c r="X867" s="993" t="str">
        <f t="shared" si="243"/>
        <v/>
      </c>
      <c r="Y867" s="990"/>
      <c r="Z867" s="991"/>
      <c r="AA867" s="991"/>
      <c r="AB867" s="992" t="str">
        <f t="shared" si="244"/>
        <v/>
      </c>
      <c r="AC867" s="993" t="str">
        <f t="shared" si="245"/>
        <v/>
      </c>
      <c r="AD867" s="994" t="str">
        <f t="shared" si="246"/>
        <v/>
      </c>
      <c r="AE867" s="995" t="str">
        <f t="shared" si="247"/>
        <v/>
      </c>
      <c r="AF867" s="996"/>
      <c r="AG867" s="997"/>
      <c r="AH867" s="997"/>
      <c r="AI867" s="998" t="str">
        <f t="shared" si="248"/>
        <v/>
      </c>
      <c r="AJ867" s="993" t="str">
        <f t="shared" si="249"/>
        <v/>
      </c>
    </row>
    <row r="868" spans="1:36" ht="16.5" customHeight="1">
      <c r="A868" s="999" t="str">
        <f>'09월 조업일지'!A866</f>
        <v/>
      </c>
      <c r="B868" s="1099" t="str">
        <f>'09월 조업일지'!B866</f>
        <v/>
      </c>
      <c r="C868" s="1000" t="str">
        <f>'09월 화학성분'!D866</f>
        <v/>
      </c>
      <c r="D868" s="1000" t="str">
        <f>'09월 화학성분'!E866</f>
        <v/>
      </c>
      <c r="E868" s="1000" t="str">
        <f>'09월 화학성분'!C866</f>
        <v/>
      </c>
      <c r="F868" s="1001" t="str">
        <f t="shared" si="235"/>
        <v/>
      </c>
      <c r="G868" s="1172"/>
      <c r="H868" s="985"/>
      <c r="I868" s="1173"/>
      <c r="J868" s="985"/>
      <c r="K868" s="1173"/>
      <c r="L868" s="985"/>
      <c r="M868" s="1174" t="str">
        <f t="shared" si="236"/>
        <v/>
      </c>
      <c r="N868" s="984" t="str">
        <f t="shared" si="237"/>
        <v/>
      </c>
      <c r="O868" s="986" t="str">
        <f t="shared" si="238"/>
        <v/>
      </c>
      <c r="P868" s="987" t="str">
        <f t="shared" si="239"/>
        <v/>
      </c>
      <c r="Q868" s="987" t="str">
        <f t="shared" si="240"/>
        <v/>
      </c>
      <c r="R868" s="988" t="str">
        <f t="shared" si="241"/>
        <v/>
      </c>
      <c r="S868" s="989"/>
      <c r="T868" s="990"/>
      <c r="U868" s="991"/>
      <c r="V868" s="991"/>
      <c r="W868" s="992" t="str">
        <f t="shared" si="242"/>
        <v/>
      </c>
      <c r="X868" s="993" t="str">
        <f t="shared" si="243"/>
        <v/>
      </c>
      <c r="Y868" s="990"/>
      <c r="Z868" s="991"/>
      <c r="AA868" s="991"/>
      <c r="AB868" s="992" t="str">
        <f t="shared" si="244"/>
        <v/>
      </c>
      <c r="AC868" s="993" t="str">
        <f t="shared" si="245"/>
        <v/>
      </c>
      <c r="AD868" s="994" t="str">
        <f t="shared" si="246"/>
        <v/>
      </c>
      <c r="AE868" s="995" t="str">
        <f t="shared" si="247"/>
        <v/>
      </c>
      <c r="AF868" s="996"/>
      <c r="AG868" s="997"/>
      <c r="AH868" s="997"/>
      <c r="AI868" s="998" t="str">
        <f t="shared" si="248"/>
        <v/>
      </c>
      <c r="AJ868" s="993" t="str">
        <f t="shared" si="249"/>
        <v/>
      </c>
    </row>
    <row r="869" spans="1:36" ht="16.5" customHeight="1">
      <c r="A869" s="999" t="str">
        <f>'09월 조업일지'!A867</f>
        <v/>
      </c>
      <c r="B869" s="1099" t="str">
        <f>'09월 조업일지'!B867</f>
        <v/>
      </c>
      <c r="C869" s="1000" t="str">
        <f>'09월 화학성분'!D867</f>
        <v/>
      </c>
      <c r="D869" s="1000" t="str">
        <f>'09월 화학성분'!E867</f>
        <v/>
      </c>
      <c r="E869" s="1000" t="str">
        <f>'09월 화학성분'!C867</f>
        <v/>
      </c>
      <c r="F869" s="1001" t="str">
        <f t="shared" si="235"/>
        <v/>
      </c>
      <c r="G869" s="1172"/>
      <c r="H869" s="985"/>
      <c r="I869" s="1173"/>
      <c r="J869" s="985"/>
      <c r="K869" s="1173"/>
      <c r="L869" s="985"/>
      <c r="M869" s="1174" t="str">
        <f t="shared" si="236"/>
        <v/>
      </c>
      <c r="N869" s="984" t="str">
        <f t="shared" si="237"/>
        <v/>
      </c>
      <c r="O869" s="986" t="str">
        <f t="shared" si="238"/>
        <v/>
      </c>
      <c r="P869" s="987" t="str">
        <f t="shared" si="239"/>
        <v/>
      </c>
      <c r="Q869" s="987" t="str">
        <f t="shared" si="240"/>
        <v/>
      </c>
      <c r="R869" s="988" t="str">
        <f t="shared" si="241"/>
        <v/>
      </c>
      <c r="S869" s="989"/>
      <c r="T869" s="990"/>
      <c r="U869" s="991"/>
      <c r="V869" s="991"/>
      <c r="W869" s="992" t="str">
        <f t="shared" si="242"/>
        <v/>
      </c>
      <c r="X869" s="993" t="str">
        <f t="shared" si="243"/>
        <v/>
      </c>
      <c r="Y869" s="990"/>
      <c r="Z869" s="991"/>
      <c r="AA869" s="991"/>
      <c r="AB869" s="992" t="str">
        <f t="shared" si="244"/>
        <v/>
      </c>
      <c r="AC869" s="993" t="str">
        <f t="shared" si="245"/>
        <v/>
      </c>
      <c r="AD869" s="994" t="str">
        <f t="shared" si="246"/>
        <v/>
      </c>
      <c r="AE869" s="995" t="str">
        <f t="shared" si="247"/>
        <v/>
      </c>
      <c r="AF869" s="996"/>
      <c r="AG869" s="997"/>
      <c r="AH869" s="997"/>
      <c r="AI869" s="998" t="str">
        <f t="shared" si="248"/>
        <v/>
      </c>
      <c r="AJ869" s="993" t="str">
        <f t="shared" si="249"/>
        <v/>
      </c>
    </row>
    <row r="870" spans="1:36" ht="16.5" customHeight="1">
      <c r="A870" s="999" t="str">
        <f>'09월 조업일지'!A868</f>
        <v/>
      </c>
      <c r="B870" s="1099" t="str">
        <f>'09월 조업일지'!B868</f>
        <v/>
      </c>
      <c r="C870" s="1000" t="str">
        <f>'09월 화학성분'!D868</f>
        <v/>
      </c>
      <c r="D870" s="1000" t="str">
        <f>'09월 화학성분'!E868</f>
        <v/>
      </c>
      <c r="E870" s="1000" t="str">
        <f>'09월 화학성분'!C868</f>
        <v/>
      </c>
      <c r="F870" s="1001" t="str">
        <f t="shared" si="235"/>
        <v/>
      </c>
      <c r="G870" s="1172"/>
      <c r="H870" s="985"/>
      <c r="I870" s="1173"/>
      <c r="J870" s="985"/>
      <c r="K870" s="1173"/>
      <c r="L870" s="985"/>
      <c r="M870" s="1174" t="str">
        <f t="shared" si="236"/>
        <v/>
      </c>
      <c r="N870" s="984" t="str">
        <f t="shared" si="237"/>
        <v/>
      </c>
      <c r="O870" s="986" t="str">
        <f t="shared" si="238"/>
        <v/>
      </c>
      <c r="P870" s="987" t="str">
        <f t="shared" si="239"/>
        <v/>
      </c>
      <c r="Q870" s="987" t="str">
        <f t="shared" si="240"/>
        <v/>
      </c>
      <c r="R870" s="988" t="str">
        <f t="shared" si="241"/>
        <v/>
      </c>
      <c r="S870" s="989"/>
      <c r="T870" s="990"/>
      <c r="U870" s="991"/>
      <c r="V870" s="991"/>
      <c r="W870" s="992" t="str">
        <f t="shared" si="242"/>
        <v/>
      </c>
      <c r="X870" s="993" t="str">
        <f t="shared" si="243"/>
        <v/>
      </c>
      <c r="Y870" s="990"/>
      <c r="Z870" s="991"/>
      <c r="AA870" s="991"/>
      <c r="AB870" s="992" t="str">
        <f t="shared" si="244"/>
        <v/>
      </c>
      <c r="AC870" s="993" t="str">
        <f t="shared" si="245"/>
        <v/>
      </c>
      <c r="AD870" s="994" t="str">
        <f t="shared" si="246"/>
        <v/>
      </c>
      <c r="AE870" s="995" t="str">
        <f t="shared" si="247"/>
        <v/>
      </c>
      <c r="AF870" s="996"/>
      <c r="AG870" s="997"/>
      <c r="AH870" s="997"/>
      <c r="AI870" s="998" t="str">
        <f t="shared" si="248"/>
        <v/>
      </c>
      <c r="AJ870" s="993" t="str">
        <f t="shared" si="249"/>
        <v/>
      </c>
    </row>
    <row r="871" spans="1:36" ht="16.5" customHeight="1">
      <c r="A871" s="999" t="str">
        <f>'09월 조업일지'!A869</f>
        <v/>
      </c>
      <c r="B871" s="1099" t="str">
        <f>'09월 조업일지'!B869</f>
        <v/>
      </c>
      <c r="C871" s="1000" t="str">
        <f>'09월 화학성분'!D869</f>
        <v/>
      </c>
      <c r="D871" s="1000" t="str">
        <f>'09월 화학성분'!E869</f>
        <v/>
      </c>
      <c r="E871" s="1000" t="str">
        <f>'09월 화학성분'!C869</f>
        <v/>
      </c>
      <c r="F871" s="1001" t="str">
        <f t="shared" si="235"/>
        <v/>
      </c>
      <c r="G871" s="1172"/>
      <c r="H871" s="985"/>
      <c r="I871" s="1173"/>
      <c r="J871" s="985"/>
      <c r="K871" s="1173"/>
      <c r="L871" s="985"/>
      <c r="M871" s="1174" t="str">
        <f t="shared" si="236"/>
        <v/>
      </c>
      <c r="N871" s="984" t="str">
        <f t="shared" si="237"/>
        <v/>
      </c>
      <c r="O871" s="986" t="str">
        <f t="shared" si="238"/>
        <v/>
      </c>
      <c r="P871" s="987" t="str">
        <f t="shared" si="239"/>
        <v/>
      </c>
      <c r="Q871" s="987" t="str">
        <f t="shared" si="240"/>
        <v/>
      </c>
      <c r="R871" s="988" t="str">
        <f t="shared" si="241"/>
        <v/>
      </c>
      <c r="S871" s="989"/>
      <c r="T871" s="990"/>
      <c r="U871" s="991"/>
      <c r="V871" s="991"/>
      <c r="W871" s="992" t="str">
        <f t="shared" si="242"/>
        <v/>
      </c>
      <c r="X871" s="993" t="str">
        <f t="shared" si="243"/>
        <v/>
      </c>
      <c r="Y871" s="990"/>
      <c r="Z871" s="991"/>
      <c r="AA871" s="991"/>
      <c r="AB871" s="992" t="str">
        <f t="shared" si="244"/>
        <v/>
      </c>
      <c r="AC871" s="993" t="str">
        <f t="shared" si="245"/>
        <v/>
      </c>
      <c r="AD871" s="994" t="str">
        <f t="shared" si="246"/>
        <v/>
      </c>
      <c r="AE871" s="995" t="str">
        <f t="shared" si="247"/>
        <v/>
      </c>
      <c r="AF871" s="996"/>
      <c r="AG871" s="997"/>
      <c r="AH871" s="997"/>
      <c r="AI871" s="998" t="str">
        <f t="shared" si="248"/>
        <v/>
      </c>
      <c r="AJ871" s="993" t="str">
        <f t="shared" si="249"/>
        <v/>
      </c>
    </row>
    <row r="872" spans="1:36" ht="16.5" customHeight="1">
      <c r="A872" s="999" t="str">
        <f>'09월 조업일지'!A870</f>
        <v/>
      </c>
      <c r="B872" s="1099" t="str">
        <f>'09월 조업일지'!B870</f>
        <v/>
      </c>
      <c r="C872" s="1000" t="str">
        <f>'09월 화학성분'!D870</f>
        <v/>
      </c>
      <c r="D872" s="1000" t="str">
        <f>'09월 화학성분'!E870</f>
        <v/>
      </c>
      <c r="E872" s="1000" t="str">
        <f>'09월 화학성분'!C870</f>
        <v/>
      </c>
      <c r="F872" s="1001" t="str">
        <f t="shared" si="235"/>
        <v/>
      </c>
      <c r="G872" s="1172"/>
      <c r="H872" s="985"/>
      <c r="I872" s="1173"/>
      <c r="J872" s="985"/>
      <c r="K872" s="1173"/>
      <c r="L872" s="985"/>
      <c r="M872" s="1174" t="str">
        <f t="shared" si="236"/>
        <v/>
      </c>
      <c r="N872" s="984" t="str">
        <f t="shared" si="237"/>
        <v/>
      </c>
      <c r="O872" s="986" t="str">
        <f t="shared" si="238"/>
        <v/>
      </c>
      <c r="P872" s="987" t="str">
        <f t="shared" si="239"/>
        <v/>
      </c>
      <c r="Q872" s="987" t="str">
        <f t="shared" si="240"/>
        <v/>
      </c>
      <c r="R872" s="988" t="str">
        <f t="shared" si="241"/>
        <v/>
      </c>
      <c r="S872" s="989"/>
      <c r="T872" s="990"/>
      <c r="U872" s="991"/>
      <c r="V872" s="991"/>
      <c r="W872" s="992" t="str">
        <f t="shared" si="242"/>
        <v/>
      </c>
      <c r="X872" s="993" t="str">
        <f t="shared" si="243"/>
        <v/>
      </c>
      <c r="Y872" s="990"/>
      <c r="Z872" s="991"/>
      <c r="AA872" s="991"/>
      <c r="AB872" s="992" t="str">
        <f t="shared" si="244"/>
        <v/>
      </c>
      <c r="AC872" s="993" t="str">
        <f t="shared" si="245"/>
        <v/>
      </c>
      <c r="AD872" s="994" t="str">
        <f t="shared" si="246"/>
        <v/>
      </c>
      <c r="AE872" s="995" t="str">
        <f t="shared" si="247"/>
        <v/>
      </c>
      <c r="AF872" s="996"/>
      <c r="AG872" s="997"/>
      <c r="AH872" s="997"/>
      <c r="AI872" s="998" t="str">
        <f t="shared" si="248"/>
        <v/>
      </c>
      <c r="AJ872" s="993" t="str">
        <f t="shared" si="249"/>
        <v/>
      </c>
    </row>
    <row r="873" spans="1:36" ht="16.5" customHeight="1">
      <c r="A873" s="999" t="str">
        <f>'09월 조업일지'!A871</f>
        <v/>
      </c>
      <c r="B873" s="1099" t="str">
        <f>'09월 조업일지'!B871</f>
        <v/>
      </c>
      <c r="C873" s="1000" t="str">
        <f>'09월 화학성분'!D871</f>
        <v/>
      </c>
      <c r="D873" s="1000" t="str">
        <f>'09월 화학성분'!E871</f>
        <v/>
      </c>
      <c r="E873" s="1000" t="str">
        <f>'09월 화학성분'!C871</f>
        <v/>
      </c>
      <c r="F873" s="1001" t="str">
        <f t="shared" si="235"/>
        <v/>
      </c>
      <c r="G873" s="1172"/>
      <c r="H873" s="985"/>
      <c r="I873" s="1173"/>
      <c r="J873" s="985"/>
      <c r="K873" s="1173"/>
      <c r="L873" s="985"/>
      <c r="M873" s="1174" t="str">
        <f t="shared" si="236"/>
        <v/>
      </c>
      <c r="N873" s="984" t="str">
        <f t="shared" si="237"/>
        <v/>
      </c>
      <c r="O873" s="986" t="str">
        <f t="shared" si="238"/>
        <v/>
      </c>
      <c r="P873" s="987" t="str">
        <f t="shared" si="239"/>
        <v/>
      </c>
      <c r="Q873" s="987" t="str">
        <f t="shared" si="240"/>
        <v/>
      </c>
      <c r="R873" s="988" t="str">
        <f t="shared" si="241"/>
        <v/>
      </c>
      <c r="S873" s="989"/>
      <c r="T873" s="990"/>
      <c r="U873" s="991"/>
      <c r="V873" s="991"/>
      <c r="W873" s="992" t="str">
        <f t="shared" si="242"/>
        <v/>
      </c>
      <c r="X873" s="993" t="str">
        <f t="shared" si="243"/>
        <v/>
      </c>
      <c r="Y873" s="990"/>
      <c r="Z873" s="991"/>
      <c r="AA873" s="991"/>
      <c r="AB873" s="992" t="str">
        <f t="shared" si="244"/>
        <v/>
      </c>
      <c r="AC873" s="993" t="str">
        <f t="shared" si="245"/>
        <v/>
      </c>
      <c r="AD873" s="994" t="str">
        <f t="shared" si="246"/>
        <v/>
      </c>
      <c r="AE873" s="995" t="str">
        <f t="shared" si="247"/>
        <v/>
      </c>
      <c r="AF873" s="996"/>
      <c r="AG873" s="997"/>
      <c r="AH873" s="997"/>
      <c r="AI873" s="998" t="str">
        <f t="shared" si="248"/>
        <v/>
      </c>
      <c r="AJ873" s="993" t="str">
        <f t="shared" si="249"/>
        <v/>
      </c>
    </row>
    <row r="874" spans="1:36" ht="16.5" customHeight="1">
      <c r="A874" s="999" t="str">
        <f>'09월 조업일지'!A872</f>
        <v/>
      </c>
      <c r="B874" s="1099" t="str">
        <f>'09월 조업일지'!B872</f>
        <v/>
      </c>
      <c r="C874" s="1000" t="str">
        <f>'09월 화학성분'!D872</f>
        <v/>
      </c>
      <c r="D874" s="1000" t="str">
        <f>'09월 화학성분'!E872</f>
        <v/>
      </c>
      <c r="E874" s="1000" t="str">
        <f>'09월 화학성분'!C872</f>
        <v/>
      </c>
      <c r="F874" s="1001" t="str">
        <f t="shared" si="235"/>
        <v/>
      </c>
      <c r="G874" s="1172"/>
      <c r="H874" s="985"/>
      <c r="I874" s="1173"/>
      <c r="J874" s="985"/>
      <c r="K874" s="1173"/>
      <c r="L874" s="985"/>
      <c r="M874" s="1174" t="str">
        <f t="shared" si="236"/>
        <v/>
      </c>
      <c r="N874" s="984" t="str">
        <f t="shared" si="237"/>
        <v/>
      </c>
      <c r="O874" s="986" t="str">
        <f t="shared" si="238"/>
        <v/>
      </c>
      <c r="P874" s="987" t="str">
        <f t="shared" si="239"/>
        <v/>
      </c>
      <c r="Q874" s="987" t="str">
        <f t="shared" si="240"/>
        <v/>
      </c>
      <c r="R874" s="988" t="str">
        <f t="shared" si="241"/>
        <v/>
      </c>
      <c r="S874" s="989"/>
      <c r="T874" s="990"/>
      <c r="U874" s="991"/>
      <c r="V874" s="991"/>
      <c r="W874" s="992" t="str">
        <f t="shared" si="242"/>
        <v/>
      </c>
      <c r="X874" s="993" t="str">
        <f t="shared" si="243"/>
        <v/>
      </c>
      <c r="Y874" s="990"/>
      <c r="Z874" s="991"/>
      <c r="AA874" s="991"/>
      <c r="AB874" s="992" t="str">
        <f t="shared" si="244"/>
        <v/>
      </c>
      <c r="AC874" s="993" t="str">
        <f t="shared" si="245"/>
        <v/>
      </c>
      <c r="AD874" s="994" t="str">
        <f t="shared" si="246"/>
        <v/>
      </c>
      <c r="AE874" s="995" t="str">
        <f t="shared" si="247"/>
        <v/>
      </c>
      <c r="AF874" s="996"/>
      <c r="AG874" s="997"/>
      <c r="AH874" s="997"/>
      <c r="AI874" s="998" t="str">
        <f t="shared" si="248"/>
        <v/>
      </c>
      <c r="AJ874" s="993" t="str">
        <f t="shared" si="249"/>
        <v/>
      </c>
    </row>
    <row r="875" spans="1:36" ht="16.5" customHeight="1">
      <c r="A875" s="999" t="str">
        <f>'09월 조업일지'!A873</f>
        <v/>
      </c>
      <c r="B875" s="1099" t="str">
        <f>'09월 조업일지'!B873</f>
        <v/>
      </c>
      <c r="C875" s="1000" t="str">
        <f>'09월 화학성분'!D873</f>
        <v/>
      </c>
      <c r="D875" s="1000" t="str">
        <f>'09월 화학성분'!E873</f>
        <v/>
      </c>
      <c r="E875" s="1000" t="str">
        <f>'09월 화학성분'!C873</f>
        <v/>
      </c>
      <c r="F875" s="1001" t="str">
        <f t="shared" si="235"/>
        <v/>
      </c>
      <c r="G875" s="1172"/>
      <c r="H875" s="985"/>
      <c r="I875" s="1173"/>
      <c r="J875" s="985"/>
      <c r="K875" s="1173"/>
      <c r="L875" s="985"/>
      <c r="M875" s="1174" t="str">
        <f t="shared" si="236"/>
        <v/>
      </c>
      <c r="N875" s="984" t="str">
        <f t="shared" si="237"/>
        <v/>
      </c>
      <c r="O875" s="986" t="str">
        <f t="shared" si="238"/>
        <v/>
      </c>
      <c r="P875" s="987" t="str">
        <f t="shared" si="239"/>
        <v/>
      </c>
      <c r="Q875" s="987" t="str">
        <f t="shared" si="240"/>
        <v/>
      </c>
      <c r="R875" s="988" t="str">
        <f t="shared" si="241"/>
        <v/>
      </c>
      <c r="S875" s="989"/>
      <c r="T875" s="990"/>
      <c r="U875" s="991"/>
      <c r="V875" s="991"/>
      <c r="W875" s="992" t="str">
        <f t="shared" si="242"/>
        <v/>
      </c>
      <c r="X875" s="993" t="str">
        <f t="shared" si="243"/>
        <v/>
      </c>
      <c r="Y875" s="990"/>
      <c r="Z875" s="991"/>
      <c r="AA875" s="991"/>
      <c r="AB875" s="992" t="str">
        <f t="shared" si="244"/>
        <v/>
      </c>
      <c r="AC875" s="993" t="str">
        <f t="shared" si="245"/>
        <v/>
      </c>
      <c r="AD875" s="994" t="str">
        <f t="shared" si="246"/>
        <v/>
      </c>
      <c r="AE875" s="995" t="str">
        <f t="shared" si="247"/>
        <v/>
      </c>
      <c r="AF875" s="996"/>
      <c r="AG875" s="997"/>
      <c r="AH875" s="997"/>
      <c r="AI875" s="998" t="str">
        <f t="shared" si="248"/>
        <v/>
      </c>
      <c r="AJ875" s="993" t="str">
        <f t="shared" si="249"/>
        <v/>
      </c>
    </row>
    <row r="876" spans="1:36" ht="16.5" customHeight="1">
      <c r="A876" s="999" t="str">
        <f>'09월 조업일지'!A874</f>
        <v/>
      </c>
      <c r="B876" s="1099" t="str">
        <f>'09월 조업일지'!B874</f>
        <v/>
      </c>
      <c r="C876" s="1000" t="str">
        <f>'09월 화학성분'!D874</f>
        <v/>
      </c>
      <c r="D876" s="1000" t="str">
        <f>'09월 화학성분'!E874</f>
        <v/>
      </c>
      <c r="E876" s="1000" t="str">
        <f>'09월 화학성분'!C874</f>
        <v/>
      </c>
      <c r="F876" s="1001" t="str">
        <f t="shared" si="235"/>
        <v/>
      </c>
      <c r="G876" s="1172"/>
      <c r="H876" s="985"/>
      <c r="I876" s="1173"/>
      <c r="J876" s="985"/>
      <c r="K876" s="1173"/>
      <c r="L876" s="985"/>
      <c r="M876" s="1174" t="str">
        <f t="shared" si="236"/>
        <v/>
      </c>
      <c r="N876" s="984" t="str">
        <f t="shared" si="237"/>
        <v/>
      </c>
      <c r="O876" s="986" t="str">
        <f t="shared" si="238"/>
        <v/>
      </c>
      <c r="P876" s="987" t="str">
        <f t="shared" si="239"/>
        <v/>
      </c>
      <c r="Q876" s="987" t="str">
        <f t="shared" si="240"/>
        <v/>
      </c>
      <c r="R876" s="988" t="str">
        <f t="shared" si="241"/>
        <v/>
      </c>
      <c r="S876" s="989"/>
      <c r="T876" s="990"/>
      <c r="U876" s="991"/>
      <c r="V876" s="991"/>
      <c r="W876" s="992" t="str">
        <f t="shared" si="242"/>
        <v/>
      </c>
      <c r="X876" s="993" t="str">
        <f t="shared" si="243"/>
        <v/>
      </c>
      <c r="Y876" s="990"/>
      <c r="Z876" s="991"/>
      <c r="AA876" s="991"/>
      <c r="AB876" s="992" t="str">
        <f t="shared" si="244"/>
        <v/>
      </c>
      <c r="AC876" s="993" t="str">
        <f t="shared" si="245"/>
        <v/>
      </c>
      <c r="AD876" s="994" t="str">
        <f t="shared" si="246"/>
        <v/>
      </c>
      <c r="AE876" s="995" t="str">
        <f t="shared" si="247"/>
        <v/>
      </c>
      <c r="AF876" s="996"/>
      <c r="AG876" s="997"/>
      <c r="AH876" s="997"/>
      <c r="AI876" s="998" t="str">
        <f t="shared" si="248"/>
        <v/>
      </c>
      <c r="AJ876" s="993" t="str">
        <f t="shared" si="249"/>
        <v/>
      </c>
    </row>
    <row r="877" spans="1:36" ht="16.5" customHeight="1">
      <c r="A877" s="999" t="str">
        <f>'09월 조업일지'!A875</f>
        <v/>
      </c>
      <c r="B877" s="1099" t="str">
        <f>'09월 조업일지'!B875</f>
        <v/>
      </c>
      <c r="C877" s="1000" t="str">
        <f>'09월 화학성분'!D875</f>
        <v/>
      </c>
      <c r="D877" s="1000" t="str">
        <f>'09월 화학성분'!E875</f>
        <v/>
      </c>
      <c r="E877" s="1000" t="str">
        <f>'09월 화학성분'!C875</f>
        <v/>
      </c>
      <c r="F877" s="1001" t="str">
        <f t="shared" si="235"/>
        <v/>
      </c>
      <c r="G877" s="1172"/>
      <c r="H877" s="985"/>
      <c r="I877" s="1173"/>
      <c r="J877" s="985"/>
      <c r="K877" s="1173"/>
      <c r="L877" s="985"/>
      <c r="M877" s="1174" t="str">
        <f t="shared" si="236"/>
        <v/>
      </c>
      <c r="N877" s="984" t="str">
        <f t="shared" si="237"/>
        <v/>
      </c>
      <c r="O877" s="986" t="str">
        <f t="shared" si="238"/>
        <v/>
      </c>
      <c r="P877" s="987" t="str">
        <f t="shared" si="239"/>
        <v/>
      </c>
      <c r="Q877" s="987" t="str">
        <f t="shared" si="240"/>
        <v/>
      </c>
      <c r="R877" s="988" t="str">
        <f t="shared" si="241"/>
        <v/>
      </c>
      <c r="S877" s="989"/>
      <c r="T877" s="990"/>
      <c r="U877" s="991"/>
      <c r="V877" s="991"/>
      <c r="W877" s="992" t="str">
        <f t="shared" si="242"/>
        <v/>
      </c>
      <c r="X877" s="993" t="str">
        <f t="shared" si="243"/>
        <v/>
      </c>
      <c r="Y877" s="990"/>
      <c r="Z877" s="991"/>
      <c r="AA877" s="991"/>
      <c r="AB877" s="992" t="str">
        <f t="shared" si="244"/>
        <v/>
      </c>
      <c r="AC877" s="993" t="str">
        <f t="shared" si="245"/>
        <v/>
      </c>
      <c r="AD877" s="994" t="str">
        <f t="shared" si="246"/>
        <v/>
      </c>
      <c r="AE877" s="995" t="str">
        <f t="shared" si="247"/>
        <v/>
      </c>
      <c r="AF877" s="996"/>
      <c r="AG877" s="997"/>
      <c r="AH877" s="997"/>
      <c r="AI877" s="998" t="str">
        <f t="shared" si="248"/>
        <v/>
      </c>
      <c r="AJ877" s="993" t="str">
        <f t="shared" si="249"/>
        <v/>
      </c>
    </row>
    <row r="878" spans="1:36" ht="16.5" customHeight="1">
      <c r="A878" s="999" t="str">
        <f>'09월 조업일지'!A876</f>
        <v/>
      </c>
      <c r="B878" s="1099" t="str">
        <f>'09월 조업일지'!B876</f>
        <v/>
      </c>
      <c r="C878" s="1000" t="str">
        <f>'09월 화학성분'!D876</f>
        <v/>
      </c>
      <c r="D878" s="1000" t="str">
        <f>'09월 화학성분'!E876</f>
        <v/>
      </c>
      <c r="E878" s="1000" t="str">
        <f>'09월 화학성분'!C876</f>
        <v/>
      </c>
      <c r="F878" s="1001" t="str">
        <f t="shared" si="235"/>
        <v/>
      </c>
      <c r="G878" s="1172"/>
      <c r="H878" s="985"/>
      <c r="I878" s="1173"/>
      <c r="J878" s="985"/>
      <c r="K878" s="1173"/>
      <c r="L878" s="985"/>
      <c r="M878" s="1174" t="str">
        <f t="shared" si="236"/>
        <v/>
      </c>
      <c r="N878" s="984" t="str">
        <f t="shared" si="237"/>
        <v/>
      </c>
      <c r="O878" s="986" t="str">
        <f t="shared" si="238"/>
        <v/>
      </c>
      <c r="P878" s="987" t="str">
        <f t="shared" si="239"/>
        <v/>
      </c>
      <c r="Q878" s="987" t="str">
        <f t="shared" si="240"/>
        <v/>
      </c>
      <c r="R878" s="988" t="str">
        <f t="shared" si="241"/>
        <v/>
      </c>
      <c r="S878" s="989"/>
      <c r="T878" s="990"/>
      <c r="U878" s="991"/>
      <c r="V878" s="991"/>
      <c r="W878" s="992" t="str">
        <f t="shared" si="242"/>
        <v/>
      </c>
      <c r="X878" s="993" t="str">
        <f t="shared" si="243"/>
        <v/>
      </c>
      <c r="Y878" s="990"/>
      <c r="Z878" s="991"/>
      <c r="AA878" s="991"/>
      <c r="AB878" s="992" t="str">
        <f t="shared" si="244"/>
        <v/>
      </c>
      <c r="AC878" s="993" t="str">
        <f t="shared" si="245"/>
        <v/>
      </c>
      <c r="AD878" s="994" t="str">
        <f t="shared" si="246"/>
        <v/>
      </c>
      <c r="AE878" s="995" t="str">
        <f t="shared" si="247"/>
        <v/>
      </c>
      <c r="AF878" s="996"/>
      <c r="AG878" s="997"/>
      <c r="AH878" s="997"/>
      <c r="AI878" s="998" t="str">
        <f t="shared" si="248"/>
        <v/>
      </c>
      <c r="AJ878" s="993" t="str">
        <f t="shared" si="249"/>
        <v/>
      </c>
    </row>
    <row r="879" spans="1:36" ht="16.5" customHeight="1">
      <c r="A879" s="999" t="str">
        <f>'09월 조업일지'!A877</f>
        <v/>
      </c>
      <c r="B879" s="1099" t="str">
        <f>'09월 조업일지'!B877</f>
        <v/>
      </c>
      <c r="C879" s="1000" t="str">
        <f>'09월 화학성분'!D877</f>
        <v/>
      </c>
      <c r="D879" s="1000" t="str">
        <f>'09월 화학성분'!E877</f>
        <v/>
      </c>
      <c r="E879" s="1000" t="str">
        <f>'09월 화학성분'!C877</f>
        <v/>
      </c>
      <c r="F879" s="1001" t="str">
        <f t="shared" si="235"/>
        <v/>
      </c>
      <c r="G879" s="1172"/>
      <c r="H879" s="985"/>
      <c r="I879" s="1173"/>
      <c r="J879" s="985"/>
      <c r="K879" s="1173"/>
      <c r="L879" s="985"/>
      <c r="M879" s="1174" t="str">
        <f t="shared" si="236"/>
        <v/>
      </c>
      <c r="N879" s="984" t="str">
        <f t="shared" si="237"/>
        <v/>
      </c>
      <c r="O879" s="986" t="str">
        <f t="shared" si="238"/>
        <v/>
      </c>
      <c r="P879" s="987" t="str">
        <f t="shared" si="239"/>
        <v/>
      </c>
      <c r="Q879" s="987" t="str">
        <f t="shared" si="240"/>
        <v/>
      </c>
      <c r="R879" s="988" t="str">
        <f t="shared" si="241"/>
        <v/>
      </c>
      <c r="S879" s="989"/>
      <c r="T879" s="990"/>
      <c r="U879" s="991"/>
      <c r="V879" s="991"/>
      <c r="W879" s="992" t="str">
        <f t="shared" si="242"/>
        <v/>
      </c>
      <c r="X879" s="993" t="str">
        <f t="shared" si="243"/>
        <v/>
      </c>
      <c r="Y879" s="990"/>
      <c r="Z879" s="991"/>
      <c r="AA879" s="991"/>
      <c r="AB879" s="992" t="str">
        <f t="shared" si="244"/>
        <v/>
      </c>
      <c r="AC879" s="993" t="str">
        <f t="shared" si="245"/>
        <v/>
      </c>
      <c r="AD879" s="994" t="str">
        <f t="shared" si="246"/>
        <v/>
      </c>
      <c r="AE879" s="995" t="str">
        <f t="shared" si="247"/>
        <v/>
      </c>
      <c r="AF879" s="996"/>
      <c r="AG879" s="997"/>
      <c r="AH879" s="997"/>
      <c r="AI879" s="998" t="str">
        <f t="shared" si="248"/>
        <v/>
      </c>
      <c r="AJ879" s="993" t="str">
        <f t="shared" si="249"/>
        <v/>
      </c>
    </row>
    <row r="880" spans="1:36" ht="16.5" customHeight="1">
      <c r="A880" s="999" t="str">
        <f>'09월 조업일지'!A878</f>
        <v/>
      </c>
      <c r="B880" s="1099" t="str">
        <f>'09월 조업일지'!B878</f>
        <v/>
      </c>
      <c r="C880" s="1000" t="str">
        <f>'09월 화학성분'!D878</f>
        <v/>
      </c>
      <c r="D880" s="1000" t="str">
        <f>'09월 화학성분'!E878</f>
        <v/>
      </c>
      <c r="E880" s="1000" t="str">
        <f>'09월 화학성분'!C878</f>
        <v/>
      </c>
      <c r="F880" s="1001" t="str">
        <f t="shared" si="235"/>
        <v/>
      </c>
      <c r="G880" s="1172"/>
      <c r="H880" s="985"/>
      <c r="I880" s="1173"/>
      <c r="J880" s="985"/>
      <c r="K880" s="1173"/>
      <c r="L880" s="985"/>
      <c r="M880" s="1174" t="str">
        <f t="shared" si="236"/>
        <v/>
      </c>
      <c r="N880" s="984" t="str">
        <f t="shared" si="237"/>
        <v/>
      </c>
      <c r="O880" s="986" t="str">
        <f t="shared" si="238"/>
        <v/>
      </c>
      <c r="P880" s="987" t="str">
        <f t="shared" si="239"/>
        <v/>
      </c>
      <c r="Q880" s="987" t="str">
        <f t="shared" si="240"/>
        <v/>
      </c>
      <c r="R880" s="988" t="str">
        <f t="shared" si="241"/>
        <v/>
      </c>
      <c r="S880" s="989"/>
      <c r="T880" s="990"/>
      <c r="U880" s="991"/>
      <c r="V880" s="991"/>
      <c r="W880" s="992" t="str">
        <f t="shared" si="242"/>
        <v/>
      </c>
      <c r="X880" s="993" t="str">
        <f t="shared" si="243"/>
        <v/>
      </c>
      <c r="Y880" s="990"/>
      <c r="Z880" s="991"/>
      <c r="AA880" s="991"/>
      <c r="AB880" s="992" t="str">
        <f t="shared" si="244"/>
        <v/>
      </c>
      <c r="AC880" s="993" t="str">
        <f t="shared" si="245"/>
        <v/>
      </c>
      <c r="AD880" s="994" t="str">
        <f t="shared" si="246"/>
        <v/>
      </c>
      <c r="AE880" s="995" t="str">
        <f t="shared" si="247"/>
        <v/>
      </c>
      <c r="AF880" s="996"/>
      <c r="AG880" s="997"/>
      <c r="AH880" s="997"/>
      <c r="AI880" s="998" t="str">
        <f t="shared" si="248"/>
        <v/>
      </c>
      <c r="AJ880" s="993" t="str">
        <f t="shared" si="249"/>
        <v/>
      </c>
    </row>
    <row r="881" spans="1:36" ht="16.5" customHeight="1">
      <c r="A881" s="999" t="str">
        <f>'09월 조업일지'!A879</f>
        <v/>
      </c>
      <c r="B881" s="1099" t="str">
        <f>'09월 조업일지'!B879</f>
        <v/>
      </c>
      <c r="C881" s="1000" t="str">
        <f>'09월 화학성분'!D879</f>
        <v/>
      </c>
      <c r="D881" s="1000" t="str">
        <f>'09월 화학성분'!E879</f>
        <v/>
      </c>
      <c r="E881" s="1000" t="str">
        <f>'09월 화학성분'!C879</f>
        <v/>
      </c>
      <c r="F881" s="1001" t="str">
        <f t="shared" si="235"/>
        <v/>
      </c>
      <c r="G881" s="1172"/>
      <c r="H881" s="985"/>
      <c r="I881" s="1173"/>
      <c r="J881" s="985"/>
      <c r="K881" s="1173"/>
      <c r="L881" s="985"/>
      <c r="M881" s="1174" t="str">
        <f t="shared" si="236"/>
        <v/>
      </c>
      <c r="N881" s="984" t="str">
        <f t="shared" si="237"/>
        <v/>
      </c>
      <c r="O881" s="986" t="str">
        <f t="shared" si="238"/>
        <v/>
      </c>
      <c r="P881" s="987" t="str">
        <f t="shared" si="239"/>
        <v/>
      </c>
      <c r="Q881" s="987" t="str">
        <f t="shared" si="240"/>
        <v/>
      </c>
      <c r="R881" s="988" t="str">
        <f t="shared" si="241"/>
        <v/>
      </c>
      <c r="S881" s="989"/>
      <c r="T881" s="990"/>
      <c r="U881" s="991"/>
      <c r="V881" s="991"/>
      <c r="W881" s="992" t="str">
        <f t="shared" si="242"/>
        <v/>
      </c>
      <c r="X881" s="993" t="str">
        <f t="shared" si="243"/>
        <v/>
      </c>
      <c r="Y881" s="990"/>
      <c r="Z881" s="991"/>
      <c r="AA881" s="991"/>
      <c r="AB881" s="992" t="str">
        <f t="shared" si="244"/>
        <v/>
      </c>
      <c r="AC881" s="993" t="str">
        <f t="shared" si="245"/>
        <v/>
      </c>
      <c r="AD881" s="994" t="str">
        <f t="shared" si="246"/>
        <v/>
      </c>
      <c r="AE881" s="995" t="str">
        <f t="shared" si="247"/>
        <v/>
      </c>
      <c r="AF881" s="996"/>
      <c r="AG881" s="997"/>
      <c r="AH881" s="997"/>
      <c r="AI881" s="998" t="str">
        <f t="shared" si="248"/>
        <v/>
      </c>
      <c r="AJ881" s="993" t="str">
        <f t="shared" si="249"/>
        <v/>
      </c>
    </row>
    <row r="882" spans="1:36" ht="16.5" customHeight="1">
      <c r="A882" s="999" t="str">
        <f>'09월 조업일지'!A880</f>
        <v/>
      </c>
      <c r="B882" s="1099" t="str">
        <f>'09월 조업일지'!B880</f>
        <v/>
      </c>
      <c r="C882" s="1000" t="str">
        <f>'09월 화학성분'!D880</f>
        <v/>
      </c>
      <c r="D882" s="1000" t="str">
        <f>'09월 화학성분'!E880</f>
        <v/>
      </c>
      <c r="E882" s="1000" t="str">
        <f>'09월 화학성분'!C880</f>
        <v/>
      </c>
      <c r="F882" s="1001" t="str">
        <f t="shared" si="235"/>
        <v/>
      </c>
      <c r="G882" s="1172"/>
      <c r="H882" s="985"/>
      <c r="I882" s="1173"/>
      <c r="J882" s="985"/>
      <c r="K882" s="1173"/>
      <c r="L882" s="985"/>
      <c r="M882" s="1174" t="str">
        <f t="shared" si="236"/>
        <v/>
      </c>
      <c r="N882" s="984" t="str">
        <f t="shared" si="237"/>
        <v/>
      </c>
      <c r="O882" s="986" t="str">
        <f t="shared" si="238"/>
        <v/>
      </c>
      <c r="P882" s="987" t="str">
        <f t="shared" si="239"/>
        <v/>
      </c>
      <c r="Q882" s="987" t="str">
        <f t="shared" si="240"/>
        <v/>
      </c>
      <c r="R882" s="988" t="str">
        <f t="shared" si="241"/>
        <v/>
      </c>
      <c r="S882" s="989"/>
      <c r="T882" s="990"/>
      <c r="U882" s="991"/>
      <c r="V882" s="991"/>
      <c r="W882" s="992" t="str">
        <f t="shared" si="242"/>
        <v/>
      </c>
      <c r="X882" s="993" t="str">
        <f t="shared" si="243"/>
        <v/>
      </c>
      <c r="Y882" s="990"/>
      <c r="Z882" s="991"/>
      <c r="AA882" s="991"/>
      <c r="AB882" s="992" t="str">
        <f t="shared" si="244"/>
        <v/>
      </c>
      <c r="AC882" s="993" t="str">
        <f t="shared" si="245"/>
        <v/>
      </c>
      <c r="AD882" s="994" t="str">
        <f t="shared" si="246"/>
        <v/>
      </c>
      <c r="AE882" s="995" t="str">
        <f t="shared" si="247"/>
        <v/>
      </c>
      <c r="AF882" s="996"/>
      <c r="AG882" s="997"/>
      <c r="AH882" s="997"/>
      <c r="AI882" s="998" t="str">
        <f t="shared" si="248"/>
        <v/>
      </c>
      <c r="AJ882" s="993" t="str">
        <f t="shared" si="249"/>
        <v/>
      </c>
    </row>
    <row r="883" spans="1:36" ht="16.5" customHeight="1">
      <c r="A883" s="999" t="str">
        <f>'09월 조업일지'!A881</f>
        <v/>
      </c>
      <c r="B883" s="1099" t="str">
        <f>'09월 조업일지'!B881</f>
        <v/>
      </c>
      <c r="C883" s="1000" t="str">
        <f>'09월 화학성분'!D881</f>
        <v/>
      </c>
      <c r="D883" s="1000" t="str">
        <f>'09월 화학성분'!E881</f>
        <v/>
      </c>
      <c r="E883" s="1000" t="str">
        <f>'09월 화학성분'!C881</f>
        <v/>
      </c>
      <c r="F883" s="1001" t="str">
        <f t="shared" si="235"/>
        <v/>
      </c>
      <c r="G883" s="1172"/>
      <c r="H883" s="985"/>
      <c r="I883" s="1173"/>
      <c r="J883" s="985"/>
      <c r="K883" s="1173"/>
      <c r="L883" s="985"/>
      <c r="M883" s="1174" t="str">
        <f t="shared" si="236"/>
        <v/>
      </c>
      <c r="N883" s="984" t="str">
        <f t="shared" si="237"/>
        <v/>
      </c>
      <c r="O883" s="986" t="str">
        <f t="shared" si="238"/>
        <v/>
      </c>
      <c r="P883" s="987" t="str">
        <f t="shared" si="239"/>
        <v/>
      </c>
      <c r="Q883" s="987" t="str">
        <f t="shared" si="240"/>
        <v/>
      </c>
      <c r="R883" s="988" t="str">
        <f t="shared" si="241"/>
        <v/>
      </c>
      <c r="S883" s="989"/>
      <c r="T883" s="990"/>
      <c r="U883" s="991"/>
      <c r="V883" s="991"/>
      <c r="W883" s="992" t="str">
        <f t="shared" si="242"/>
        <v/>
      </c>
      <c r="X883" s="993" t="str">
        <f t="shared" si="243"/>
        <v/>
      </c>
      <c r="Y883" s="990"/>
      <c r="Z883" s="991"/>
      <c r="AA883" s="991"/>
      <c r="AB883" s="992" t="str">
        <f t="shared" si="244"/>
        <v/>
      </c>
      <c r="AC883" s="993" t="str">
        <f t="shared" si="245"/>
        <v/>
      </c>
      <c r="AD883" s="994" t="str">
        <f t="shared" si="246"/>
        <v/>
      </c>
      <c r="AE883" s="995" t="str">
        <f t="shared" si="247"/>
        <v/>
      </c>
      <c r="AF883" s="996"/>
      <c r="AG883" s="997"/>
      <c r="AH883" s="997"/>
      <c r="AI883" s="998" t="str">
        <f t="shared" si="248"/>
        <v/>
      </c>
      <c r="AJ883" s="993" t="str">
        <f t="shared" si="249"/>
        <v/>
      </c>
    </row>
    <row r="884" spans="1:36" ht="16.5" customHeight="1">
      <c r="A884" s="999" t="str">
        <f>'09월 조업일지'!A882</f>
        <v/>
      </c>
      <c r="B884" s="1099" t="str">
        <f>'09월 조업일지'!B882</f>
        <v/>
      </c>
      <c r="C884" s="1000" t="str">
        <f>'09월 화학성분'!D882</f>
        <v/>
      </c>
      <c r="D884" s="1000" t="str">
        <f>'09월 화학성분'!E882</f>
        <v/>
      </c>
      <c r="E884" s="1000" t="str">
        <f>'09월 화학성분'!C882</f>
        <v/>
      </c>
      <c r="F884" s="1001" t="str">
        <f t="shared" si="235"/>
        <v/>
      </c>
      <c r="G884" s="1172"/>
      <c r="H884" s="985"/>
      <c r="I884" s="1173"/>
      <c r="J884" s="985"/>
      <c r="K884" s="1173"/>
      <c r="L884" s="985"/>
      <c r="M884" s="1174" t="str">
        <f t="shared" si="236"/>
        <v/>
      </c>
      <c r="N884" s="984" t="str">
        <f t="shared" si="237"/>
        <v/>
      </c>
      <c r="O884" s="986" t="str">
        <f t="shared" si="238"/>
        <v/>
      </c>
      <c r="P884" s="987" t="str">
        <f t="shared" si="239"/>
        <v/>
      </c>
      <c r="Q884" s="987" t="str">
        <f t="shared" si="240"/>
        <v/>
      </c>
      <c r="R884" s="988" t="str">
        <f t="shared" si="241"/>
        <v/>
      </c>
      <c r="S884" s="989"/>
      <c r="T884" s="990"/>
      <c r="U884" s="991"/>
      <c r="V884" s="991"/>
      <c r="W884" s="992" t="str">
        <f t="shared" si="242"/>
        <v/>
      </c>
      <c r="X884" s="993" t="str">
        <f t="shared" si="243"/>
        <v/>
      </c>
      <c r="Y884" s="990"/>
      <c r="Z884" s="991"/>
      <c r="AA884" s="991"/>
      <c r="AB884" s="992" t="str">
        <f t="shared" si="244"/>
        <v/>
      </c>
      <c r="AC884" s="993" t="str">
        <f t="shared" si="245"/>
        <v/>
      </c>
      <c r="AD884" s="994" t="str">
        <f t="shared" si="246"/>
        <v/>
      </c>
      <c r="AE884" s="995" t="str">
        <f t="shared" si="247"/>
        <v/>
      </c>
      <c r="AF884" s="996"/>
      <c r="AG884" s="997"/>
      <c r="AH884" s="997"/>
      <c r="AI884" s="998" t="str">
        <f t="shared" si="248"/>
        <v/>
      </c>
      <c r="AJ884" s="993" t="str">
        <f t="shared" si="249"/>
        <v/>
      </c>
    </row>
    <row r="885" spans="1:36" ht="16.5" customHeight="1">
      <c r="A885" s="999" t="str">
        <f>'09월 조업일지'!A883</f>
        <v/>
      </c>
      <c r="B885" s="1099" t="str">
        <f>'09월 조업일지'!B883</f>
        <v/>
      </c>
      <c r="C885" s="1000" t="str">
        <f>'09월 화학성분'!D883</f>
        <v/>
      </c>
      <c r="D885" s="1000" t="str">
        <f>'09월 화학성분'!E883</f>
        <v/>
      </c>
      <c r="E885" s="1000" t="str">
        <f>'09월 화학성분'!C883</f>
        <v/>
      </c>
      <c r="F885" s="1001" t="str">
        <f t="shared" si="235"/>
        <v/>
      </c>
      <c r="G885" s="1172"/>
      <c r="H885" s="985"/>
      <c r="I885" s="1173"/>
      <c r="J885" s="985"/>
      <c r="K885" s="1173"/>
      <c r="L885" s="985"/>
      <c r="M885" s="1174" t="str">
        <f t="shared" si="236"/>
        <v/>
      </c>
      <c r="N885" s="984" t="str">
        <f t="shared" si="237"/>
        <v/>
      </c>
      <c r="O885" s="986" t="str">
        <f t="shared" si="238"/>
        <v/>
      </c>
      <c r="P885" s="987" t="str">
        <f t="shared" si="239"/>
        <v/>
      </c>
      <c r="Q885" s="987" t="str">
        <f t="shared" si="240"/>
        <v/>
      </c>
      <c r="R885" s="988" t="str">
        <f t="shared" si="241"/>
        <v/>
      </c>
      <c r="S885" s="989"/>
      <c r="T885" s="990"/>
      <c r="U885" s="991"/>
      <c r="V885" s="991"/>
      <c r="W885" s="992" t="str">
        <f t="shared" si="242"/>
        <v/>
      </c>
      <c r="X885" s="993" t="str">
        <f t="shared" si="243"/>
        <v/>
      </c>
      <c r="Y885" s="990"/>
      <c r="Z885" s="991"/>
      <c r="AA885" s="991"/>
      <c r="AB885" s="992" t="str">
        <f t="shared" si="244"/>
        <v/>
      </c>
      <c r="AC885" s="993" t="str">
        <f t="shared" si="245"/>
        <v/>
      </c>
      <c r="AD885" s="994" t="str">
        <f t="shared" si="246"/>
        <v/>
      </c>
      <c r="AE885" s="995" t="str">
        <f t="shared" si="247"/>
        <v/>
      </c>
      <c r="AF885" s="996"/>
      <c r="AG885" s="997"/>
      <c r="AH885" s="997"/>
      <c r="AI885" s="998" t="str">
        <f t="shared" si="248"/>
        <v/>
      </c>
      <c r="AJ885" s="993" t="str">
        <f t="shared" si="249"/>
        <v/>
      </c>
    </row>
    <row r="886" spans="1:36" ht="16.5" customHeight="1">
      <c r="A886" s="999" t="str">
        <f>'09월 조업일지'!A884</f>
        <v/>
      </c>
      <c r="B886" s="1099" t="str">
        <f>'09월 조업일지'!B884</f>
        <v/>
      </c>
      <c r="C886" s="1000" t="str">
        <f>'09월 화학성분'!D884</f>
        <v/>
      </c>
      <c r="D886" s="1000" t="str">
        <f>'09월 화학성분'!E884</f>
        <v/>
      </c>
      <c r="E886" s="1000" t="str">
        <f>'09월 화학성분'!C884</f>
        <v/>
      </c>
      <c r="F886" s="1001" t="str">
        <f t="shared" si="235"/>
        <v/>
      </c>
      <c r="G886" s="1172"/>
      <c r="H886" s="985"/>
      <c r="I886" s="1173"/>
      <c r="J886" s="985"/>
      <c r="K886" s="1173"/>
      <c r="L886" s="985"/>
      <c r="M886" s="1174" t="str">
        <f t="shared" si="236"/>
        <v/>
      </c>
      <c r="N886" s="984" t="str">
        <f t="shared" si="237"/>
        <v/>
      </c>
      <c r="O886" s="986" t="str">
        <f t="shared" si="238"/>
        <v/>
      </c>
      <c r="P886" s="987" t="str">
        <f t="shared" si="239"/>
        <v/>
      </c>
      <c r="Q886" s="987" t="str">
        <f t="shared" si="240"/>
        <v/>
      </c>
      <c r="R886" s="988" t="str">
        <f t="shared" si="241"/>
        <v/>
      </c>
      <c r="S886" s="989"/>
      <c r="T886" s="990"/>
      <c r="U886" s="991"/>
      <c r="V886" s="991"/>
      <c r="W886" s="992" t="str">
        <f t="shared" si="242"/>
        <v/>
      </c>
      <c r="X886" s="993" t="str">
        <f t="shared" si="243"/>
        <v/>
      </c>
      <c r="Y886" s="990"/>
      <c r="Z886" s="991"/>
      <c r="AA886" s="991"/>
      <c r="AB886" s="992" t="str">
        <f t="shared" si="244"/>
        <v/>
      </c>
      <c r="AC886" s="993" t="str">
        <f t="shared" si="245"/>
        <v/>
      </c>
      <c r="AD886" s="994" t="str">
        <f t="shared" si="246"/>
        <v/>
      </c>
      <c r="AE886" s="995" t="str">
        <f t="shared" si="247"/>
        <v/>
      </c>
      <c r="AF886" s="996"/>
      <c r="AG886" s="997"/>
      <c r="AH886" s="997"/>
      <c r="AI886" s="998" t="str">
        <f t="shared" si="248"/>
        <v/>
      </c>
      <c r="AJ886" s="993" t="str">
        <f t="shared" si="249"/>
        <v/>
      </c>
    </row>
    <row r="887" spans="1:36" ht="16.5" customHeight="1">
      <c r="A887" s="999" t="str">
        <f>'09월 조업일지'!A885</f>
        <v/>
      </c>
      <c r="B887" s="1099" t="str">
        <f>'09월 조업일지'!B885</f>
        <v/>
      </c>
      <c r="C887" s="1000" t="str">
        <f>'09월 화학성분'!D885</f>
        <v/>
      </c>
      <c r="D887" s="1000" t="str">
        <f>'09월 화학성분'!E885</f>
        <v/>
      </c>
      <c r="E887" s="1000" t="str">
        <f>'09월 화학성분'!C885</f>
        <v/>
      </c>
      <c r="F887" s="1001" t="str">
        <f t="shared" si="235"/>
        <v/>
      </c>
      <c r="G887" s="1172"/>
      <c r="H887" s="985"/>
      <c r="I887" s="1173"/>
      <c r="J887" s="985"/>
      <c r="K887" s="1173"/>
      <c r="L887" s="985"/>
      <c r="M887" s="1174" t="str">
        <f t="shared" si="236"/>
        <v/>
      </c>
      <c r="N887" s="984" t="str">
        <f t="shared" si="237"/>
        <v/>
      </c>
      <c r="O887" s="986" t="str">
        <f t="shared" si="238"/>
        <v/>
      </c>
      <c r="P887" s="987" t="str">
        <f t="shared" si="239"/>
        <v/>
      </c>
      <c r="Q887" s="987" t="str">
        <f t="shared" si="240"/>
        <v/>
      </c>
      <c r="R887" s="988" t="str">
        <f t="shared" si="241"/>
        <v/>
      </c>
      <c r="S887" s="989"/>
      <c r="T887" s="990"/>
      <c r="U887" s="991"/>
      <c r="V887" s="991"/>
      <c r="W887" s="992" t="str">
        <f t="shared" si="242"/>
        <v/>
      </c>
      <c r="X887" s="993" t="str">
        <f t="shared" si="243"/>
        <v/>
      </c>
      <c r="Y887" s="990"/>
      <c r="Z887" s="991"/>
      <c r="AA887" s="991"/>
      <c r="AB887" s="992" t="str">
        <f t="shared" si="244"/>
        <v/>
      </c>
      <c r="AC887" s="993" t="str">
        <f t="shared" si="245"/>
        <v/>
      </c>
      <c r="AD887" s="994" t="str">
        <f t="shared" si="246"/>
        <v/>
      </c>
      <c r="AE887" s="995" t="str">
        <f t="shared" si="247"/>
        <v/>
      </c>
      <c r="AF887" s="996"/>
      <c r="AG887" s="997"/>
      <c r="AH887" s="997"/>
      <c r="AI887" s="998" t="str">
        <f t="shared" si="248"/>
        <v/>
      </c>
      <c r="AJ887" s="993" t="str">
        <f t="shared" si="249"/>
        <v/>
      </c>
    </row>
    <row r="888" spans="1:36" ht="16.5" customHeight="1">
      <c r="A888" s="999" t="str">
        <f>'09월 조업일지'!A886</f>
        <v/>
      </c>
      <c r="B888" s="1099" t="str">
        <f>'09월 조업일지'!B886</f>
        <v/>
      </c>
      <c r="C888" s="1000" t="str">
        <f>'09월 화학성분'!D886</f>
        <v/>
      </c>
      <c r="D888" s="1000" t="str">
        <f>'09월 화학성분'!E886</f>
        <v/>
      </c>
      <c r="E888" s="1000" t="str">
        <f>'09월 화학성분'!C886</f>
        <v/>
      </c>
      <c r="F888" s="1001" t="str">
        <f t="shared" si="235"/>
        <v/>
      </c>
      <c r="G888" s="1172"/>
      <c r="H888" s="985"/>
      <c r="I888" s="1173"/>
      <c r="J888" s="985"/>
      <c r="K888" s="1173"/>
      <c r="L888" s="985"/>
      <c r="M888" s="1174" t="str">
        <f t="shared" si="236"/>
        <v/>
      </c>
      <c r="N888" s="984" t="str">
        <f t="shared" si="237"/>
        <v/>
      </c>
      <c r="O888" s="986" t="str">
        <f t="shared" si="238"/>
        <v/>
      </c>
      <c r="P888" s="987" t="str">
        <f t="shared" si="239"/>
        <v/>
      </c>
      <c r="Q888" s="987" t="str">
        <f t="shared" si="240"/>
        <v/>
      </c>
      <c r="R888" s="988" t="str">
        <f t="shared" si="241"/>
        <v/>
      </c>
      <c r="S888" s="989"/>
      <c r="T888" s="990"/>
      <c r="U888" s="991"/>
      <c r="V888" s="991"/>
      <c r="W888" s="992" t="str">
        <f t="shared" si="242"/>
        <v/>
      </c>
      <c r="X888" s="993" t="str">
        <f t="shared" si="243"/>
        <v/>
      </c>
      <c r="Y888" s="990"/>
      <c r="Z888" s="991"/>
      <c r="AA888" s="991"/>
      <c r="AB888" s="992" t="str">
        <f t="shared" si="244"/>
        <v/>
      </c>
      <c r="AC888" s="993" t="str">
        <f t="shared" si="245"/>
        <v/>
      </c>
      <c r="AD888" s="994" t="str">
        <f t="shared" si="246"/>
        <v/>
      </c>
      <c r="AE888" s="995" t="str">
        <f t="shared" si="247"/>
        <v/>
      </c>
      <c r="AF888" s="996"/>
      <c r="AG888" s="997"/>
      <c r="AH888" s="997"/>
      <c r="AI888" s="998" t="str">
        <f t="shared" si="248"/>
        <v/>
      </c>
      <c r="AJ888" s="993" t="str">
        <f t="shared" si="249"/>
        <v/>
      </c>
    </row>
    <row r="889" spans="1:36" ht="16.5" customHeight="1">
      <c r="A889" s="999" t="str">
        <f>'09월 조업일지'!A887</f>
        <v/>
      </c>
      <c r="B889" s="1099" t="str">
        <f>'09월 조업일지'!B887</f>
        <v/>
      </c>
      <c r="C889" s="1000" t="str">
        <f>'09월 화학성분'!D887</f>
        <v/>
      </c>
      <c r="D889" s="1000" t="str">
        <f>'09월 화학성분'!E887</f>
        <v/>
      </c>
      <c r="E889" s="1000" t="str">
        <f>'09월 화학성분'!C887</f>
        <v/>
      </c>
      <c r="F889" s="1001" t="str">
        <f t="shared" si="235"/>
        <v/>
      </c>
      <c r="G889" s="1172"/>
      <c r="H889" s="985"/>
      <c r="I889" s="1173"/>
      <c r="J889" s="985"/>
      <c r="K889" s="1173"/>
      <c r="L889" s="985"/>
      <c r="M889" s="1174" t="str">
        <f t="shared" si="236"/>
        <v/>
      </c>
      <c r="N889" s="984" t="str">
        <f t="shared" si="237"/>
        <v/>
      </c>
      <c r="O889" s="986" t="str">
        <f t="shared" si="238"/>
        <v/>
      </c>
      <c r="P889" s="987" t="str">
        <f t="shared" si="239"/>
        <v/>
      </c>
      <c r="Q889" s="987" t="str">
        <f t="shared" si="240"/>
        <v/>
      </c>
      <c r="R889" s="988" t="str">
        <f t="shared" si="241"/>
        <v/>
      </c>
      <c r="S889" s="989"/>
      <c r="T889" s="990"/>
      <c r="U889" s="991"/>
      <c r="V889" s="991"/>
      <c r="W889" s="992" t="str">
        <f t="shared" si="242"/>
        <v/>
      </c>
      <c r="X889" s="993" t="str">
        <f t="shared" si="243"/>
        <v/>
      </c>
      <c r="Y889" s="990"/>
      <c r="Z889" s="991"/>
      <c r="AA889" s="991"/>
      <c r="AB889" s="992" t="str">
        <f t="shared" si="244"/>
        <v/>
      </c>
      <c r="AC889" s="993" t="str">
        <f t="shared" si="245"/>
        <v/>
      </c>
      <c r="AD889" s="994" t="str">
        <f t="shared" si="246"/>
        <v/>
      </c>
      <c r="AE889" s="995" t="str">
        <f t="shared" si="247"/>
        <v/>
      </c>
      <c r="AF889" s="996"/>
      <c r="AG889" s="997"/>
      <c r="AH889" s="997"/>
      <c r="AI889" s="998" t="str">
        <f t="shared" si="248"/>
        <v/>
      </c>
      <c r="AJ889" s="993" t="str">
        <f t="shared" si="249"/>
        <v/>
      </c>
    </row>
    <row r="890" spans="1:36" ht="16.5" customHeight="1">
      <c r="A890" s="999" t="str">
        <f>'09월 조업일지'!A888</f>
        <v/>
      </c>
      <c r="B890" s="1099" t="str">
        <f>'09월 조업일지'!B888</f>
        <v/>
      </c>
      <c r="C890" s="1000" t="str">
        <f>'09월 화학성분'!D888</f>
        <v/>
      </c>
      <c r="D890" s="1000" t="str">
        <f>'09월 화학성분'!E888</f>
        <v/>
      </c>
      <c r="E890" s="1000" t="str">
        <f>'09월 화학성분'!C888</f>
        <v/>
      </c>
      <c r="F890" s="1001" t="str">
        <f t="shared" si="235"/>
        <v/>
      </c>
      <c r="G890" s="1172"/>
      <c r="H890" s="985"/>
      <c r="I890" s="1173"/>
      <c r="J890" s="985"/>
      <c r="K890" s="1173"/>
      <c r="L890" s="985"/>
      <c r="M890" s="1174" t="str">
        <f t="shared" si="236"/>
        <v/>
      </c>
      <c r="N890" s="984" t="str">
        <f t="shared" si="237"/>
        <v/>
      </c>
      <c r="O890" s="986" t="str">
        <f t="shared" si="238"/>
        <v/>
      </c>
      <c r="P890" s="987" t="str">
        <f t="shared" si="239"/>
        <v/>
      </c>
      <c r="Q890" s="987" t="str">
        <f t="shared" si="240"/>
        <v/>
      </c>
      <c r="R890" s="988" t="str">
        <f t="shared" si="241"/>
        <v/>
      </c>
      <c r="S890" s="989"/>
      <c r="T890" s="990"/>
      <c r="U890" s="991"/>
      <c r="V890" s="991"/>
      <c r="W890" s="992" t="str">
        <f t="shared" si="242"/>
        <v/>
      </c>
      <c r="X890" s="993" t="str">
        <f t="shared" si="243"/>
        <v/>
      </c>
      <c r="Y890" s="990"/>
      <c r="Z890" s="991"/>
      <c r="AA890" s="991"/>
      <c r="AB890" s="992" t="str">
        <f t="shared" si="244"/>
        <v/>
      </c>
      <c r="AC890" s="993" t="str">
        <f t="shared" si="245"/>
        <v/>
      </c>
      <c r="AD890" s="994" t="str">
        <f t="shared" si="246"/>
        <v/>
      </c>
      <c r="AE890" s="995" t="str">
        <f t="shared" si="247"/>
        <v/>
      </c>
      <c r="AF890" s="996"/>
      <c r="AG890" s="997"/>
      <c r="AH890" s="997"/>
      <c r="AI890" s="998" t="str">
        <f t="shared" si="248"/>
        <v/>
      </c>
      <c r="AJ890" s="993" t="str">
        <f t="shared" si="249"/>
        <v/>
      </c>
    </row>
    <row r="891" spans="1:36" ht="16.5" customHeight="1">
      <c r="A891" s="999" t="str">
        <f>'09월 조업일지'!A889</f>
        <v/>
      </c>
      <c r="B891" s="1099" t="str">
        <f>'09월 조업일지'!B889</f>
        <v/>
      </c>
      <c r="C891" s="1000" t="str">
        <f>'09월 화학성분'!D889</f>
        <v/>
      </c>
      <c r="D891" s="1000" t="str">
        <f>'09월 화학성분'!E889</f>
        <v/>
      </c>
      <c r="E891" s="1000" t="str">
        <f>'09월 화학성분'!C889</f>
        <v/>
      </c>
      <c r="F891" s="1001" t="str">
        <f t="shared" si="235"/>
        <v/>
      </c>
      <c r="G891" s="1172"/>
      <c r="H891" s="985"/>
      <c r="I891" s="1173"/>
      <c r="J891" s="985"/>
      <c r="K891" s="1173"/>
      <c r="L891" s="985"/>
      <c r="M891" s="1174" t="str">
        <f t="shared" si="236"/>
        <v/>
      </c>
      <c r="N891" s="984" t="str">
        <f t="shared" si="237"/>
        <v/>
      </c>
      <c r="O891" s="986" t="str">
        <f t="shared" si="238"/>
        <v/>
      </c>
      <c r="P891" s="987" t="str">
        <f t="shared" si="239"/>
        <v/>
      </c>
      <c r="Q891" s="987" t="str">
        <f t="shared" si="240"/>
        <v/>
      </c>
      <c r="R891" s="988" t="str">
        <f t="shared" si="241"/>
        <v/>
      </c>
      <c r="S891" s="989"/>
      <c r="T891" s="990"/>
      <c r="U891" s="991"/>
      <c r="V891" s="991"/>
      <c r="W891" s="992" t="str">
        <f t="shared" si="242"/>
        <v/>
      </c>
      <c r="X891" s="993" t="str">
        <f t="shared" si="243"/>
        <v/>
      </c>
      <c r="Y891" s="990"/>
      <c r="Z891" s="991"/>
      <c r="AA891" s="991"/>
      <c r="AB891" s="992" t="str">
        <f t="shared" si="244"/>
        <v/>
      </c>
      <c r="AC891" s="993" t="str">
        <f t="shared" si="245"/>
        <v/>
      </c>
      <c r="AD891" s="994" t="str">
        <f t="shared" si="246"/>
        <v/>
      </c>
      <c r="AE891" s="995" t="str">
        <f t="shared" si="247"/>
        <v/>
      </c>
      <c r="AF891" s="996"/>
      <c r="AG891" s="997"/>
      <c r="AH891" s="997"/>
      <c r="AI891" s="998" t="str">
        <f t="shared" si="248"/>
        <v/>
      </c>
      <c r="AJ891" s="993" t="str">
        <f t="shared" si="249"/>
        <v/>
      </c>
    </row>
    <row r="892" spans="1:36" ht="16.5" customHeight="1">
      <c r="A892" s="999" t="str">
        <f>'09월 조업일지'!A890</f>
        <v/>
      </c>
      <c r="B892" s="1099" t="str">
        <f>'09월 조업일지'!B890</f>
        <v/>
      </c>
      <c r="C892" s="1000" t="str">
        <f>'09월 화학성분'!D890</f>
        <v/>
      </c>
      <c r="D892" s="1000" t="str">
        <f>'09월 화학성분'!E890</f>
        <v/>
      </c>
      <c r="E892" s="1000" t="str">
        <f>'09월 화학성분'!C890</f>
        <v/>
      </c>
      <c r="F892" s="1001" t="str">
        <f t="shared" si="235"/>
        <v/>
      </c>
      <c r="G892" s="1172"/>
      <c r="H892" s="985"/>
      <c r="I892" s="1173"/>
      <c r="J892" s="985"/>
      <c r="K892" s="1173"/>
      <c r="L892" s="985"/>
      <c r="M892" s="1174" t="str">
        <f t="shared" si="236"/>
        <v/>
      </c>
      <c r="N892" s="984" t="str">
        <f t="shared" si="237"/>
        <v/>
      </c>
      <c r="O892" s="986" t="str">
        <f t="shared" si="238"/>
        <v/>
      </c>
      <c r="P892" s="987" t="str">
        <f t="shared" si="239"/>
        <v/>
      </c>
      <c r="Q892" s="987" t="str">
        <f t="shared" si="240"/>
        <v/>
      </c>
      <c r="R892" s="988" t="str">
        <f t="shared" si="241"/>
        <v/>
      </c>
      <c r="S892" s="989"/>
      <c r="T892" s="990"/>
      <c r="U892" s="991"/>
      <c r="V892" s="991"/>
      <c r="W892" s="992" t="str">
        <f t="shared" si="242"/>
        <v/>
      </c>
      <c r="X892" s="993" t="str">
        <f t="shared" si="243"/>
        <v/>
      </c>
      <c r="Y892" s="990"/>
      <c r="Z892" s="991"/>
      <c r="AA892" s="991"/>
      <c r="AB892" s="992" t="str">
        <f t="shared" si="244"/>
        <v/>
      </c>
      <c r="AC892" s="993" t="str">
        <f t="shared" si="245"/>
        <v/>
      </c>
      <c r="AD892" s="994" t="str">
        <f t="shared" si="246"/>
        <v/>
      </c>
      <c r="AE892" s="995" t="str">
        <f t="shared" si="247"/>
        <v/>
      </c>
      <c r="AF892" s="996"/>
      <c r="AG892" s="997"/>
      <c r="AH892" s="997"/>
      <c r="AI892" s="998" t="str">
        <f t="shared" si="248"/>
        <v/>
      </c>
      <c r="AJ892" s="993" t="str">
        <f t="shared" si="249"/>
        <v/>
      </c>
    </row>
    <row r="893" spans="1:36" ht="16.5" customHeight="1">
      <c r="A893" s="999" t="str">
        <f>'09월 조업일지'!A891</f>
        <v/>
      </c>
      <c r="B893" s="1099" t="str">
        <f>'09월 조업일지'!B891</f>
        <v/>
      </c>
      <c r="C893" s="1000" t="str">
        <f>'09월 화학성분'!D891</f>
        <v/>
      </c>
      <c r="D893" s="1000" t="str">
        <f>'09월 화학성분'!E891</f>
        <v/>
      </c>
      <c r="E893" s="1000" t="str">
        <f>'09월 화학성분'!C891</f>
        <v/>
      </c>
      <c r="F893" s="1001" t="str">
        <f t="shared" si="235"/>
        <v/>
      </c>
      <c r="G893" s="1172"/>
      <c r="H893" s="985"/>
      <c r="I893" s="1173"/>
      <c r="J893" s="985"/>
      <c r="K893" s="1173"/>
      <c r="L893" s="985"/>
      <c r="M893" s="1174" t="str">
        <f t="shared" si="236"/>
        <v/>
      </c>
      <c r="N893" s="984" t="str">
        <f t="shared" si="237"/>
        <v/>
      </c>
      <c r="O893" s="986" t="str">
        <f t="shared" si="238"/>
        <v/>
      </c>
      <c r="P893" s="987" t="str">
        <f t="shared" si="239"/>
        <v/>
      </c>
      <c r="Q893" s="987" t="str">
        <f t="shared" si="240"/>
        <v/>
      </c>
      <c r="R893" s="988" t="str">
        <f t="shared" si="241"/>
        <v/>
      </c>
      <c r="S893" s="989"/>
      <c r="T893" s="990"/>
      <c r="U893" s="991"/>
      <c r="V893" s="991"/>
      <c r="W893" s="992" t="str">
        <f t="shared" si="242"/>
        <v/>
      </c>
      <c r="X893" s="993" t="str">
        <f t="shared" si="243"/>
        <v/>
      </c>
      <c r="Y893" s="990"/>
      <c r="Z893" s="991"/>
      <c r="AA893" s="991"/>
      <c r="AB893" s="992" t="str">
        <f t="shared" si="244"/>
        <v/>
      </c>
      <c r="AC893" s="993" t="str">
        <f t="shared" si="245"/>
        <v/>
      </c>
      <c r="AD893" s="994" t="str">
        <f t="shared" si="246"/>
        <v/>
      </c>
      <c r="AE893" s="995" t="str">
        <f t="shared" si="247"/>
        <v/>
      </c>
      <c r="AF893" s="996"/>
      <c r="AG893" s="997"/>
      <c r="AH893" s="997"/>
      <c r="AI893" s="998" t="str">
        <f t="shared" si="248"/>
        <v/>
      </c>
      <c r="AJ893" s="993" t="str">
        <f t="shared" si="249"/>
        <v/>
      </c>
    </row>
    <row r="894" spans="1:36" ht="16.5" customHeight="1">
      <c r="A894" s="999" t="str">
        <f>'09월 조업일지'!A892</f>
        <v/>
      </c>
      <c r="B894" s="1099" t="str">
        <f>'09월 조업일지'!B892</f>
        <v/>
      </c>
      <c r="C894" s="1000" t="str">
        <f>'09월 화학성분'!D892</f>
        <v/>
      </c>
      <c r="D894" s="1000" t="str">
        <f>'09월 화학성분'!E892</f>
        <v/>
      </c>
      <c r="E894" s="1000" t="str">
        <f>'09월 화학성분'!C892</f>
        <v/>
      </c>
      <c r="F894" s="1001" t="str">
        <f t="shared" si="235"/>
        <v/>
      </c>
      <c r="G894" s="1172"/>
      <c r="H894" s="985"/>
      <c r="I894" s="1173"/>
      <c r="J894" s="985"/>
      <c r="K894" s="1173"/>
      <c r="L894" s="985"/>
      <c r="M894" s="1174" t="str">
        <f t="shared" si="236"/>
        <v/>
      </c>
      <c r="N894" s="984" t="str">
        <f t="shared" si="237"/>
        <v/>
      </c>
      <c r="O894" s="986" t="str">
        <f t="shared" si="238"/>
        <v/>
      </c>
      <c r="P894" s="987" t="str">
        <f t="shared" si="239"/>
        <v/>
      </c>
      <c r="Q894" s="987" t="str">
        <f t="shared" si="240"/>
        <v/>
      </c>
      <c r="R894" s="988" t="str">
        <f t="shared" si="241"/>
        <v/>
      </c>
      <c r="S894" s="989"/>
      <c r="T894" s="990"/>
      <c r="U894" s="991"/>
      <c r="V894" s="991"/>
      <c r="W894" s="992" t="str">
        <f t="shared" si="242"/>
        <v/>
      </c>
      <c r="X894" s="993" t="str">
        <f t="shared" si="243"/>
        <v/>
      </c>
      <c r="Y894" s="990"/>
      <c r="Z894" s="991"/>
      <c r="AA894" s="991"/>
      <c r="AB894" s="992" t="str">
        <f t="shared" si="244"/>
        <v/>
      </c>
      <c r="AC894" s="993" t="str">
        <f t="shared" si="245"/>
        <v/>
      </c>
      <c r="AD894" s="994" t="str">
        <f t="shared" si="246"/>
        <v/>
      </c>
      <c r="AE894" s="995" t="str">
        <f t="shared" si="247"/>
        <v/>
      </c>
      <c r="AF894" s="996"/>
      <c r="AG894" s="997"/>
      <c r="AH894" s="997"/>
      <c r="AI894" s="998" t="str">
        <f t="shared" si="248"/>
        <v/>
      </c>
      <c r="AJ894" s="993" t="str">
        <f t="shared" si="249"/>
        <v/>
      </c>
    </row>
    <row r="895" spans="1:36" ht="16.5" customHeight="1">
      <c r="A895" s="999" t="str">
        <f>'09월 조업일지'!A893</f>
        <v/>
      </c>
      <c r="B895" s="1099" t="str">
        <f>'09월 조업일지'!B893</f>
        <v/>
      </c>
      <c r="C895" s="1000" t="str">
        <f>'09월 화학성분'!D893</f>
        <v/>
      </c>
      <c r="D895" s="1000" t="str">
        <f>'09월 화학성분'!E893</f>
        <v/>
      </c>
      <c r="E895" s="1000" t="str">
        <f>'09월 화학성분'!C893</f>
        <v/>
      </c>
      <c r="F895" s="1001" t="str">
        <f t="shared" si="235"/>
        <v/>
      </c>
      <c r="G895" s="1172"/>
      <c r="H895" s="985"/>
      <c r="I895" s="1173"/>
      <c r="J895" s="985"/>
      <c r="K895" s="1173"/>
      <c r="L895" s="985"/>
      <c r="M895" s="1174" t="str">
        <f t="shared" si="236"/>
        <v/>
      </c>
      <c r="N895" s="984" t="str">
        <f t="shared" si="237"/>
        <v/>
      </c>
      <c r="O895" s="986" t="str">
        <f t="shared" si="238"/>
        <v/>
      </c>
      <c r="P895" s="987" t="str">
        <f t="shared" si="239"/>
        <v/>
      </c>
      <c r="Q895" s="987" t="str">
        <f t="shared" si="240"/>
        <v/>
      </c>
      <c r="R895" s="988" t="str">
        <f t="shared" si="241"/>
        <v/>
      </c>
      <c r="S895" s="989"/>
      <c r="T895" s="990"/>
      <c r="U895" s="991"/>
      <c r="V895" s="991"/>
      <c r="W895" s="992" t="str">
        <f t="shared" si="242"/>
        <v/>
      </c>
      <c r="X895" s="993" t="str">
        <f t="shared" si="243"/>
        <v/>
      </c>
      <c r="Y895" s="990"/>
      <c r="Z895" s="991"/>
      <c r="AA895" s="991"/>
      <c r="AB895" s="992" t="str">
        <f t="shared" si="244"/>
        <v/>
      </c>
      <c r="AC895" s="993" t="str">
        <f t="shared" si="245"/>
        <v/>
      </c>
      <c r="AD895" s="994" t="str">
        <f t="shared" si="246"/>
        <v/>
      </c>
      <c r="AE895" s="995" t="str">
        <f t="shared" si="247"/>
        <v/>
      </c>
      <c r="AF895" s="996"/>
      <c r="AG895" s="997"/>
      <c r="AH895" s="997"/>
      <c r="AI895" s="998" t="str">
        <f t="shared" si="248"/>
        <v/>
      </c>
      <c r="AJ895" s="993" t="str">
        <f t="shared" si="249"/>
        <v/>
      </c>
    </row>
    <row r="896" spans="1:36" ht="16.5" customHeight="1">
      <c r="A896" s="999" t="str">
        <f>'09월 조업일지'!A894</f>
        <v/>
      </c>
      <c r="B896" s="1099" t="str">
        <f>'09월 조업일지'!B894</f>
        <v/>
      </c>
      <c r="C896" s="1000" t="str">
        <f>'09월 화학성분'!D894</f>
        <v/>
      </c>
      <c r="D896" s="1000" t="str">
        <f>'09월 화학성분'!E894</f>
        <v/>
      </c>
      <c r="E896" s="1000" t="str">
        <f>'09월 화학성분'!C894</f>
        <v/>
      </c>
      <c r="F896" s="1001" t="str">
        <f t="shared" si="235"/>
        <v/>
      </c>
      <c r="G896" s="1172"/>
      <c r="H896" s="985"/>
      <c r="I896" s="1173"/>
      <c r="J896" s="985"/>
      <c r="K896" s="1173"/>
      <c r="L896" s="985"/>
      <c r="M896" s="1174" t="str">
        <f t="shared" si="236"/>
        <v/>
      </c>
      <c r="N896" s="984" t="str">
        <f t="shared" si="237"/>
        <v/>
      </c>
      <c r="O896" s="986" t="str">
        <f t="shared" si="238"/>
        <v/>
      </c>
      <c r="P896" s="987" t="str">
        <f t="shared" si="239"/>
        <v/>
      </c>
      <c r="Q896" s="987" t="str">
        <f t="shared" si="240"/>
        <v/>
      </c>
      <c r="R896" s="988" t="str">
        <f t="shared" si="241"/>
        <v/>
      </c>
      <c r="S896" s="989"/>
      <c r="T896" s="990"/>
      <c r="U896" s="991"/>
      <c r="V896" s="991"/>
      <c r="W896" s="992" t="str">
        <f t="shared" si="242"/>
        <v/>
      </c>
      <c r="X896" s="993" t="str">
        <f t="shared" si="243"/>
        <v/>
      </c>
      <c r="Y896" s="990"/>
      <c r="Z896" s="991"/>
      <c r="AA896" s="991"/>
      <c r="AB896" s="992" t="str">
        <f t="shared" si="244"/>
        <v/>
      </c>
      <c r="AC896" s="993" t="str">
        <f t="shared" si="245"/>
        <v/>
      </c>
      <c r="AD896" s="994" t="str">
        <f t="shared" si="246"/>
        <v/>
      </c>
      <c r="AE896" s="995" t="str">
        <f t="shared" si="247"/>
        <v/>
      </c>
      <c r="AF896" s="996"/>
      <c r="AG896" s="997"/>
      <c r="AH896" s="997"/>
      <c r="AI896" s="998" t="str">
        <f t="shared" si="248"/>
        <v/>
      </c>
      <c r="AJ896" s="993" t="str">
        <f t="shared" si="249"/>
        <v/>
      </c>
    </row>
    <row r="897" spans="1:36" ht="16.5" customHeight="1">
      <c r="A897" s="999" t="str">
        <f>'09월 조업일지'!A895</f>
        <v/>
      </c>
      <c r="B897" s="1099" t="str">
        <f>'09월 조업일지'!B895</f>
        <v/>
      </c>
      <c r="C897" s="1000" t="str">
        <f>'09월 화학성분'!D895</f>
        <v/>
      </c>
      <c r="D897" s="1000" t="str">
        <f>'09월 화학성분'!E895</f>
        <v/>
      </c>
      <c r="E897" s="1000" t="str">
        <f>'09월 화학성분'!C895</f>
        <v/>
      </c>
      <c r="F897" s="1001" t="str">
        <f t="shared" si="235"/>
        <v/>
      </c>
      <c r="G897" s="1172"/>
      <c r="H897" s="985"/>
      <c r="I897" s="1173"/>
      <c r="J897" s="985"/>
      <c r="K897" s="1173"/>
      <c r="L897" s="985"/>
      <c r="M897" s="1174" t="str">
        <f t="shared" si="236"/>
        <v/>
      </c>
      <c r="N897" s="984" t="str">
        <f t="shared" si="237"/>
        <v/>
      </c>
      <c r="O897" s="986" t="str">
        <f t="shared" si="238"/>
        <v/>
      </c>
      <c r="P897" s="987" t="str">
        <f t="shared" si="239"/>
        <v/>
      </c>
      <c r="Q897" s="987" t="str">
        <f t="shared" si="240"/>
        <v/>
      </c>
      <c r="R897" s="988" t="str">
        <f t="shared" si="241"/>
        <v/>
      </c>
      <c r="S897" s="989"/>
      <c r="T897" s="990"/>
      <c r="U897" s="991"/>
      <c r="V897" s="991"/>
      <c r="W897" s="992" t="str">
        <f t="shared" si="242"/>
        <v/>
      </c>
      <c r="X897" s="993" t="str">
        <f t="shared" si="243"/>
        <v/>
      </c>
      <c r="Y897" s="990"/>
      <c r="Z897" s="991"/>
      <c r="AA897" s="991"/>
      <c r="AB897" s="992" t="str">
        <f t="shared" si="244"/>
        <v/>
      </c>
      <c r="AC897" s="993" t="str">
        <f t="shared" si="245"/>
        <v/>
      </c>
      <c r="AD897" s="994" t="str">
        <f t="shared" si="246"/>
        <v/>
      </c>
      <c r="AE897" s="995" t="str">
        <f t="shared" si="247"/>
        <v/>
      </c>
      <c r="AF897" s="996"/>
      <c r="AG897" s="997"/>
      <c r="AH897" s="997"/>
      <c r="AI897" s="998" t="str">
        <f t="shared" si="248"/>
        <v/>
      </c>
      <c r="AJ897" s="993" t="str">
        <f t="shared" si="249"/>
        <v/>
      </c>
    </row>
    <row r="898" spans="1:36" ht="16.5" customHeight="1">
      <c r="A898" s="999" t="str">
        <f>'09월 조업일지'!A896</f>
        <v/>
      </c>
      <c r="B898" s="1099" t="str">
        <f>'09월 조업일지'!B896</f>
        <v/>
      </c>
      <c r="C898" s="1000" t="str">
        <f>'09월 화학성분'!D896</f>
        <v/>
      </c>
      <c r="D898" s="1000" t="str">
        <f>'09월 화학성분'!E896</f>
        <v/>
      </c>
      <c r="E898" s="1000" t="str">
        <f>'09월 화학성분'!C896</f>
        <v/>
      </c>
      <c r="F898" s="1001" t="str">
        <f t="shared" si="235"/>
        <v/>
      </c>
      <c r="G898" s="1172"/>
      <c r="H898" s="985"/>
      <c r="I898" s="1173"/>
      <c r="J898" s="985"/>
      <c r="K898" s="1173"/>
      <c r="L898" s="985"/>
      <c r="M898" s="1174" t="str">
        <f t="shared" si="236"/>
        <v/>
      </c>
      <c r="N898" s="984" t="str">
        <f t="shared" si="237"/>
        <v/>
      </c>
      <c r="O898" s="986" t="str">
        <f t="shared" si="238"/>
        <v/>
      </c>
      <c r="P898" s="987" t="str">
        <f t="shared" si="239"/>
        <v/>
      </c>
      <c r="Q898" s="987" t="str">
        <f t="shared" si="240"/>
        <v/>
      </c>
      <c r="R898" s="988" t="str">
        <f t="shared" si="241"/>
        <v/>
      </c>
      <c r="S898" s="989"/>
      <c r="T898" s="990"/>
      <c r="U898" s="991"/>
      <c r="V898" s="991"/>
      <c r="W898" s="992" t="str">
        <f t="shared" si="242"/>
        <v/>
      </c>
      <c r="X898" s="993" t="str">
        <f t="shared" si="243"/>
        <v/>
      </c>
      <c r="Y898" s="990"/>
      <c r="Z898" s="991"/>
      <c r="AA898" s="991"/>
      <c r="AB898" s="992" t="str">
        <f t="shared" si="244"/>
        <v/>
      </c>
      <c r="AC898" s="993" t="str">
        <f t="shared" si="245"/>
        <v/>
      </c>
      <c r="AD898" s="994" t="str">
        <f t="shared" si="246"/>
        <v/>
      </c>
      <c r="AE898" s="995" t="str">
        <f t="shared" si="247"/>
        <v/>
      </c>
      <c r="AF898" s="996"/>
      <c r="AG898" s="997"/>
      <c r="AH898" s="997"/>
      <c r="AI898" s="998" t="str">
        <f t="shared" si="248"/>
        <v/>
      </c>
      <c r="AJ898" s="993" t="str">
        <f t="shared" si="249"/>
        <v/>
      </c>
    </row>
    <row r="899" spans="1:36" ht="16.5" customHeight="1">
      <c r="A899" s="999" t="str">
        <f>'09월 조업일지'!A897</f>
        <v/>
      </c>
      <c r="B899" s="1099" t="str">
        <f>'09월 조업일지'!B897</f>
        <v/>
      </c>
      <c r="C899" s="1000" t="str">
        <f>'09월 화학성분'!D897</f>
        <v/>
      </c>
      <c r="D899" s="1000" t="str">
        <f>'09월 화학성분'!E897</f>
        <v/>
      </c>
      <c r="E899" s="1000" t="str">
        <f>'09월 화학성분'!C897</f>
        <v/>
      </c>
      <c r="F899" s="1001" t="str">
        <f t="shared" si="235"/>
        <v/>
      </c>
      <c r="G899" s="1172"/>
      <c r="H899" s="985"/>
      <c r="I899" s="1173"/>
      <c r="J899" s="985"/>
      <c r="K899" s="1173"/>
      <c r="L899" s="985"/>
      <c r="M899" s="1174" t="str">
        <f t="shared" si="236"/>
        <v/>
      </c>
      <c r="N899" s="984" t="str">
        <f t="shared" si="237"/>
        <v/>
      </c>
      <c r="O899" s="986" t="str">
        <f t="shared" si="238"/>
        <v/>
      </c>
      <c r="P899" s="987" t="str">
        <f t="shared" si="239"/>
        <v/>
      </c>
      <c r="Q899" s="987" t="str">
        <f t="shared" si="240"/>
        <v/>
      </c>
      <c r="R899" s="988" t="str">
        <f t="shared" si="241"/>
        <v/>
      </c>
      <c r="S899" s="989"/>
      <c r="T899" s="990"/>
      <c r="U899" s="991"/>
      <c r="V899" s="991"/>
      <c r="W899" s="992" t="str">
        <f t="shared" si="242"/>
        <v/>
      </c>
      <c r="X899" s="993" t="str">
        <f t="shared" si="243"/>
        <v/>
      </c>
      <c r="Y899" s="990"/>
      <c r="Z899" s="991"/>
      <c r="AA899" s="991"/>
      <c r="AB899" s="992" t="str">
        <f t="shared" si="244"/>
        <v/>
      </c>
      <c r="AC899" s="993" t="str">
        <f t="shared" si="245"/>
        <v/>
      </c>
      <c r="AD899" s="994" t="str">
        <f t="shared" si="246"/>
        <v/>
      </c>
      <c r="AE899" s="995" t="str">
        <f t="shared" si="247"/>
        <v/>
      </c>
      <c r="AF899" s="996"/>
      <c r="AG899" s="997"/>
      <c r="AH899" s="997"/>
      <c r="AI899" s="998" t="str">
        <f t="shared" si="248"/>
        <v/>
      </c>
      <c r="AJ899" s="993" t="str">
        <f t="shared" si="249"/>
        <v/>
      </c>
    </row>
    <row r="900" spans="1:36" ht="16.5" customHeight="1">
      <c r="A900" s="999" t="str">
        <f>'09월 조업일지'!A898</f>
        <v/>
      </c>
      <c r="B900" s="1099" t="str">
        <f>'09월 조업일지'!B898</f>
        <v/>
      </c>
      <c r="C900" s="1000" t="str">
        <f>'09월 화학성분'!D898</f>
        <v/>
      </c>
      <c r="D900" s="1000" t="str">
        <f>'09월 화학성분'!E898</f>
        <v/>
      </c>
      <c r="E900" s="1000" t="str">
        <f>'09월 화학성분'!C898</f>
        <v/>
      </c>
      <c r="F900" s="1001" t="str">
        <f t="shared" si="235"/>
        <v/>
      </c>
      <c r="G900" s="1172"/>
      <c r="H900" s="985"/>
      <c r="I900" s="1173"/>
      <c r="J900" s="985"/>
      <c r="K900" s="1173"/>
      <c r="L900" s="985"/>
      <c r="M900" s="1174" t="str">
        <f t="shared" si="236"/>
        <v/>
      </c>
      <c r="N900" s="984" t="str">
        <f t="shared" si="237"/>
        <v/>
      </c>
      <c r="O900" s="986" t="str">
        <f t="shared" si="238"/>
        <v/>
      </c>
      <c r="P900" s="987" t="str">
        <f t="shared" si="239"/>
        <v/>
      </c>
      <c r="Q900" s="987" t="str">
        <f t="shared" si="240"/>
        <v/>
      </c>
      <c r="R900" s="988" t="str">
        <f t="shared" si="241"/>
        <v/>
      </c>
      <c r="S900" s="989"/>
      <c r="T900" s="990"/>
      <c r="U900" s="991"/>
      <c r="V900" s="991"/>
      <c r="W900" s="992" t="str">
        <f t="shared" si="242"/>
        <v/>
      </c>
      <c r="X900" s="993" t="str">
        <f t="shared" si="243"/>
        <v/>
      </c>
      <c r="Y900" s="990"/>
      <c r="Z900" s="991"/>
      <c r="AA900" s="991"/>
      <c r="AB900" s="992" t="str">
        <f t="shared" si="244"/>
        <v/>
      </c>
      <c r="AC900" s="993" t="str">
        <f t="shared" si="245"/>
        <v/>
      </c>
      <c r="AD900" s="994" t="str">
        <f t="shared" si="246"/>
        <v/>
      </c>
      <c r="AE900" s="995" t="str">
        <f t="shared" si="247"/>
        <v/>
      </c>
      <c r="AF900" s="996"/>
      <c r="AG900" s="997"/>
      <c r="AH900" s="997"/>
      <c r="AI900" s="998" t="str">
        <f t="shared" si="248"/>
        <v/>
      </c>
      <c r="AJ900" s="993" t="str">
        <f t="shared" si="249"/>
        <v/>
      </c>
    </row>
    <row r="901" spans="1:36" ht="16.5" customHeight="1">
      <c r="A901" s="999" t="str">
        <f>'09월 조업일지'!A899</f>
        <v/>
      </c>
      <c r="B901" s="1099" t="str">
        <f>'09월 조업일지'!B899</f>
        <v/>
      </c>
      <c r="C901" s="1000" t="str">
        <f>'09월 화학성분'!D899</f>
        <v/>
      </c>
      <c r="D901" s="1000" t="str">
        <f>'09월 화학성분'!E899</f>
        <v/>
      </c>
      <c r="E901" s="1000" t="str">
        <f>'09월 화학성분'!C899</f>
        <v/>
      </c>
      <c r="F901" s="1001" t="str">
        <f t="shared" si="235"/>
        <v/>
      </c>
      <c r="G901" s="1172"/>
      <c r="H901" s="985"/>
      <c r="I901" s="1173"/>
      <c r="J901" s="985"/>
      <c r="K901" s="1173"/>
      <c r="L901" s="985"/>
      <c r="M901" s="1174" t="str">
        <f t="shared" si="236"/>
        <v/>
      </c>
      <c r="N901" s="984" t="str">
        <f t="shared" si="237"/>
        <v/>
      </c>
      <c r="O901" s="986" t="str">
        <f t="shared" si="238"/>
        <v/>
      </c>
      <c r="P901" s="987" t="str">
        <f t="shared" si="239"/>
        <v/>
      </c>
      <c r="Q901" s="987" t="str">
        <f t="shared" si="240"/>
        <v/>
      </c>
      <c r="R901" s="988" t="str">
        <f t="shared" si="241"/>
        <v/>
      </c>
      <c r="S901" s="989"/>
      <c r="T901" s="990"/>
      <c r="U901" s="991"/>
      <c r="V901" s="991"/>
      <c r="W901" s="992" t="str">
        <f t="shared" si="242"/>
        <v/>
      </c>
      <c r="X901" s="993" t="str">
        <f t="shared" si="243"/>
        <v/>
      </c>
      <c r="Y901" s="990"/>
      <c r="Z901" s="991"/>
      <c r="AA901" s="991"/>
      <c r="AB901" s="992" t="str">
        <f t="shared" si="244"/>
        <v/>
      </c>
      <c r="AC901" s="993" t="str">
        <f t="shared" si="245"/>
        <v/>
      </c>
      <c r="AD901" s="994" t="str">
        <f t="shared" si="246"/>
        <v/>
      </c>
      <c r="AE901" s="995" t="str">
        <f t="shared" si="247"/>
        <v/>
      </c>
      <c r="AF901" s="996"/>
      <c r="AG901" s="997"/>
      <c r="AH901" s="997"/>
      <c r="AI901" s="998" t="str">
        <f t="shared" si="248"/>
        <v/>
      </c>
      <c r="AJ901" s="993" t="str">
        <f t="shared" si="249"/>
        <v/>
      </c>
    </row>
    <row r="902" spans="1:36" ht="16.5" customHeight="1">
      <c r="A902" s="999" t="str">
        <f>'09월 조업일지'!A900</f>
        <v/>
      </c>
      <c r="B902" s="1099" t="str">
        <f>'09월 조업일지'!B900</f>
        <v/>
      </c>
      <c r="C902" s="1000" t="str">
        <f>'09월 화학성분'!D900</f>
        <v/>
      </c>
      <c r="D902" s="1000" t="str">
        <f>'09월 화학성분'!E900</f>
        <v/>
      </c>
      <c r="E902" s="1000" t="str">
        <f>'09월 화학성분'!C900</f>
        <v/>
      </c>
      <c r="F902" s="1001" t="str">
        <f t="shared" si="235"/>
        <v/>
      </c>
      <c r="G902" s="1172"/>
      <c r="H902" s="985"/>
      <c r="I902" s="1173"/>
      <c r="J902" s="985"/>
      <c r="K902" s="1173"/>
      <c r="L902" s="985"/>
      <c r="M902" s="1174" t="str">
        <f t="shared" si="236"/>
        <v/>
      </c>
      <c r="N902" s="984" t="str">
        <f t="shared" si="237"/>
        <v/>
      </c>
      <c r="O902" s="986" t="str">
        <f t="shared" si="238"/>
        <v/>
      </c>
      <c r="P902" s="987" t="str">
        <f t="shared" si="239"/>
        <v/>
      </c>
      <c r="Q902" s="987" t="str">
        <f t="shared" si="240"/>
        <v/>
      </c>
      <c r="R902" s="988" t="str">
        <f t="shared" si="241"/>
        <v/>
      </c>
      <c r="S902" s="989"/>
      <c r="T902" s="990"/>
      <c r="U902" s="991"/>
      <c r="V902" s="991"/>
      <c r="W902" s="992" t="str">
        <f t="shared" si="242"/>
        <v/>
      </c>
      <c r="X902" s="993" t="str">
        <f t="shared" si="243"/>
        <v/>
      </c>
      <c r="Y902" s="990"/>
      <c r="Z902" s="991"/>
      <c r="AA902" s="991"/>
      <c r="AB902" s="992" t="str">
        <f t="shared" si="244"/>
        <v/>
      </c>
      <c r="AC902" s="993" t="str">
        <f t="shared" si="245"/>
        <v/>
      </c>
      <c r="AD902" s="994" t="str">
        <f t="shared" si="246"/>
        <v/>
      </c>
      <c r="AE902" s="995" t="str">
        <f t="shared" si="247"/>
        <v/>
      </c>
      <c r="AF902" s="996"/>
      <c r="AG902" s="997"/>
      <c r="AH902" s="997"/>
      <c r="AI902" s="998" t="str">
        <f t="shared" si="248"/>
        <v/>
      </c>
      <c r="AJ902" s="993" t="str">
        <f t="shared" si="249"/>
        <v/>
      </c>
    </row>
    <row r="903" spans="1:36" ht="16.5" customHeight="1">
      <c r="A903" s="999" t="str">
        <f>'09월 조업일지'!A901</f>
        <v/>
      </c>
      <c r="B903" s="1099" t="str">
        <f>'09월 조업일지'!B901</f>
        <v/>
      </c>
      <c r="C903" s="1000" t="str">
        <f>'09월 화학성분'!D901</f>
        <v/>
      </c>
      <c r="D903" s="1000" t="str">
        <f>'09월 화학성분'!E901</f>
        <v/>
      </c>
      <c r="E903" s="1000" t="str">
        <f>'09월 화학성분'!C901</f>
        <v/>
      </c>
      <c r="F903" s="1001" t="str">
        <f t="shared" si="235"/>
        <v/>
      </c>
      <c r="G903" s="1172"/>
      <c r="H903" s="985"/>
      <c r="I903" s="1173"/>
      <c r="J903" s="985"/>
      <c r="K903" s="1173"/>
      <c r="L903" s="985"/>
      <c r="M903" s="1174" t="str">
        <f t="shared" si="236"/>
        <v/>
      </c>
      <c r="N903" s="984" t="str">
        <f t="shared" si="237"/>
        <v/>
      </c>
      <c r="O903" s="986" t="str">
        <f t="shared" si="238"/>
        <v/>
      </c>
      <c r="P903" s="987" t="str">
        <f t="shared" si="239"/>
        <v/>
      </c>
      <c r="Q903" s="987" t="str">
        <f t="shared" si="240"/>
        <v/>
      </c>
      <c r="R903" s="988" t="str">
        <f t="shared" si="241"/>
        <v/>
      </c>
      <c r="S903" s="989"/>
      <c r="T903" s="990"/>
      <c r="U903" s="991"/>
      <c r="V903" s="991"/>
      <c r="W903" s="992" t="str">
        <f t="shared" si="242"/>
        <v/>
      </c>
      <c r="X903" s="993" t="str">
        <f t="shared" si="243"/>
        <v/>
      </c>
      <c r="Y903" s="990"/>
      <c r="Z903" s="991"/>
      <c r="AA903" s="991"/>
      <c r="AB903" s="992" t="str">
        <f t="shared" si="244"/>
        <v/>
      </c>
      <c r="AC903" s="993" t="str">
        <f t="shared" si="245"/>
        <v/>
      </c>
      <c r="AD903" s="994" t="str">
        <f t="shared" si="246"/>
        <v/>
      </c>
      <c r="AE903" s="995" t="str">
        <f t="shared" si="247"/>
        <v/>
      </c>
      <c r="AF903" s="996"/>
      <c r="AG903" s="997"/>
      <c r="AH903" s="997"/>
      <c r="AI903" s="998" t="str">
        <f t="shared" si="248"/>
        <v/>
      </c>
      <c r="AJ903" s="993" t="str">
        <f t="shared" si="249"/>
        <v/>
      </c>
    </row>
    <row r="904" spans="1:36" ht="16.5" customHeight="1">
      <c r="A904" s="999" t="str">
        <f>'09월 조업일지'!A902</f>
        <v/>
      </c>
      <c r="B904" s="1099" t="str">
        <f>'09월 조업일지'!B902</f>
        <v/>
      </c>
      <c r="C904" s="1000" t="str">
        <f>'09월 화학성분'!D902</f>
        <v/>
      </c>
      <c r="D904" s="1000" t="str">
        <f>'09월 화학성분'!E902</f>
        <v/>
      </c>
      <c r="E904" s="1000" t="str">
        <f>'09월 화학성분'!C902</f>
        <v/>
      </c>
      <c r="F904" s="1001" t="str">
        <f t="shared" si="235"/>
        <v/>
      </c>
      <c r="G904" s="1172"/>
      <c r="H904" s="985"/>
      <c r="I904" s="1173"/>
      <c r="J904" s="985"/>
      <c r="K904" s="1173"/>
      <c r="L904" s="985"/>
      <c r="M904" s="1174" t="str">
        <f t="shared" si="236"/>
        <v/>
      </c>
      <c r="N904" s="984" t="str">
        <f t="shared" si="237"/>
        <v/>
      </c>
      <c r="O904" s="986" t="str">
        <f t="shared" si="238"/>
        <v/>
      </c>
      <c r="P904" s="987" t="str">
        <f t="shared" si="239"/>
        <v/>
      </c>
      <c r="Q904" s="987" t="str">
        <f t="shared" si="240"/>
        <v/>
      </c>
      <c r="R904" s="988" t="str">
        <f t="shared" si="241"/>
        <v/>
      </c>
      <c r="S904" s="989"/>
      <c r="T904" s="990"/>
      <c r="U904" s="991"/>
      <c r="V904" s="991"/>
      <c r="W904" s="992" t="str">
        <f t="shared" si="242"/>
        <v/>
      </c>
      <c r="X904" s="993" t="str">
        <f t="shared" si="243"/>
        <v/>
      </c>
      <c r="Y904" s="990"/>
      <c r="Z904" s="991"/>
      <c r="AA904" s="991"/>
      <c r="AB904" s="992" t="str">
        <f t="shared" si="244"/>
        <v/>
      </c>
      <c r="AC904" s="993" t="str">
        <f t="shared" si="245"/>
        <v/>
      </c>
      <c r="AD904" s="994" t="str">
        <f t="shared" si="246"/>
        <v/>
      </c>
      <c r="AE904" s="995" t="str">
        <f t="shared" si="247"/>
        <v/>
      </c>
      <c r="AF904" s="996"/>
      <c r="AG904" s="997"/>
      <c r="AH904" s="997"/>
      <c r="AI904" s="998" t="str">
        <f t="shared" si="248"/>
        <v/>
      </c>
      <c r="AJ904" s="993" t="str">
        <f t="shared" si="249"/>
        <v/>
      </c>
    </row>
    <row r="905" spans="1:36" ht="16.5" customHeight="1">
      <c r="A905" s="999" t="str">
        <f>'09월 조업일지'!A903</f>
        <v/>
      </c>
      <c r="B905" s="1099" t="str">
        <f>'09월 조업일지'!B903</f>
        <v/>
      </c>
      <c r="C905" s="1000" t="str">
        <f>'09월 화학성분'!D903</f>
        <v/>
      </c>
      <c r="D905" s="1000" t="str">
        <f>'09월 화학성분'!E903</f>
        <v/>
      </c>
      <c r="E905" s="1000" t="str">
        <f>'09월 화학성분'!C903</f>
        <v/>
      </c>
      <c r="F905" s="1001" t="str">
        <f t="shared" si="235"/>
        <v/>
      </c>
      <c r="G905" s="1172"/>
      <c r="H905" s="985"/>
      <c r="I905" s="1173"/>
      <c r="J905" s="985"/>
      <c r="K905" s="1173"/>
      <c r="L905" s="985"/>
      <c r="M905" s="1174" t="str">
        <f t="shared" si="236"/>
        <v/>
      </c>
      <c r="N905" s="984" t="str">
        <f t="shared" si="237"/>
        <v/>
      </c>
      <c r="O905" s="986" t="str">
        <f t="shared" si="238"/>
        <v/>
      </c>
      <c r="P905" s="987" t="str">
        <f t="shared" si="239"/>
        <v/>
      </c>
      <c r="Q905" s="987" t="str">
        <f t="shared" si="240"/>
        <v/>
      </c>
      <c r="R905" s="988" t="str">
        <f t="shared" si="241"/>
        <v/>
      </c>
      <c r="S905" s="989"/>
      <c r="T905" s="990"/>
      <c r="U905" s="991"/>
      <c r="V905" s="991"/>
      <c r="W905" s="992" t="str">
        <f t="shared" si="242"/>
        <v/>
      </c>
      <c r="X905" s="993" t="str">
        <f t="shared" si="243"/>
        <v/>
      </c>
      <c r="Y905" s="990"/>
      <c r="Z905" s="991"/>
      <c r="AA905" s="991"/>
      <c r="AB905" s="992" t="str">
        <f t="shared" si="244"/>
        <v/>
      </c>
      <c r="AC905" s="993" t="str">
        <f t="shared" si="245"/>
        <v/>
      </c>
      <c r="AD905" s="994" t="str">
        <f t="shared" si="246"/>
        <v/>
      </c>
      <c r="AE905" s="995" t="str">
        <f t="shared" si="247"/>
        <v/>
      </c>
      <c r="AF905" s="996"/>
      <c r="AG905" s="997"/>
      <c r="AH905" s="997"/>
      <c r="AI905" s="998" t="str">
        <f t="shared" si="248"/>
        <v/>
      </c>
      <c r="AJ905" s="993" t="str">
        <f t="shared" si="249"/>
        <v/>
      </c>
    </row>
    <row r="906" spans="1:36" ht="16.5" customHeight="1">
      <c r="A906" s="999" t="str">
        <f>'09월 조업일지'!A904</f>
        <v/>
      </c>
      <c r="B906" s="1099" t="str">
        <f>'09월 조업일지'!B904</f>
        <v/>
      </c>
      <c r="C906" s="1000" t="str">
        <f>'09월 화학성분'!D904</f>
        <v/>
      </c>
      <c r="D906" s="1000" t="str">
        <f>'09월 화학성분'!E904</f>
        <v/>
      </c>
      <c r="E906" s="1000" t="str">
        <f>'09월 화학성분'!C904</f>
        <v/>
      </c>
      <c r="F906" s="1001" t="str">
        <f t="shared" si="235"/>
        <v/>
      </c>
      <c r="G906" s="1172"/>
      <c r="H906" s="985"/>
      <c r="I906" s="1173"/>
      <c r="J906" s="985"/>
      <c r="K906" s="1173"/>
      <c r="L906" s="985"/>
      <c r="M906" s="1174" t="str">
        <f t="shared" si="236"/>
        <v/>
      </c>
      <c r="N906" s="984" t="str">
        <f t="shared" si="237"/>
        <v/>
      </c>
      <c r="O906" s="986" t="str">
        <f t="shared" si="238"/>
        <v/>
      </c>
      <c r="P906" s="987" t="str">
        <f t="shared" si="239"/>
        <v/>
      </c>
      <c r="Q906" s="987" t="str">
        <f t="shared" si="240"/>
        <v/>
      </c>
      <c r="R906" s="988" t="str">
        <f t="shared" si="241"/>
        <v/>
      </c>
      <c r="S906" s="989"/>
      <c r="T906" s="990"/>
      <c r="U906" s="991"/>
      <c r="V906" s="991"/>
      <c r="W906" s="992" t="str">
        <f t="shared" si="242"/>
        <v/>
      </c>
      <c r="X906" s="993" t="str">
        <f t="shared" si="243"/>
        <v/>
      </c>
      <c r="Y906" s="990"/>
      <c r="Z906" s="991"/>
      <c r="AA906" s="991"/>
      <c r="AB906" s="992" t="str">
        <f t="shared" si="244"/>
        <v/>
      </c>
      <c r="AC906" s="993" t="str">
        <f t="shared" si="245"/>
        <v/>
      </c>
      <c r="AD906" s="994" t="str">
        <f t="shared" si="246"/>
        <v/>
      </c>
      <c r="AE906" s="995" t="str">
        <f t="shared" si="247"/>
        <v/>
      </c>
      <c r="AF906" s="996"/>
      <c r="AG906" s="997"/>
      <c r="AH906" s="997"/>
      <c r="AI906" s="998" t="str">
        <f t="shared" si="248"/>
        <v/>
      </c>
      <c r="AJ906" s="993" t="str">
        <f t="shared" si="249"/>
        <v/>
      </c>
    </row>
    <row r="907" spans="1:36" ht="16.5" customHeight="1">
      <c r="A907" s="999" t="str">
        <f>'09월 조업일지'!A905</f>
        <v/>
      </c>
      <c r="B907" s="1099" t="str">
        <f>'09월 조업일지'!B905</f>
        <v/>
      </c>
      <c r="C907" s="1000" t="str">
        <f>'09월 화학성분'!D905</f>
        <v/>
      </c>
      <c r="D907" s="1000" t="str">
        <f>'09월 화학성분'!E905</f>
        <v/>
      </c>
      <c r="E907" s="1000" t="str">
        <f>'09월 화학성분'!C905</f>
        <v/>
      </c>
      <c r="F907" s="1001" t="str">
        <f t="shared" si="235"/>
        <v/>
      </c>
      <c r="G907" s="1172"/>
      <c r="H907" s="985"/>
      <c r="I907" s="1173"/>
      <c r="J907" s="985"/>
      <c r="K907" s="1173"/>
      <c r="L907" s="985"/>
      <c r="M907" s="1174" t="str">
        <f t="shared" si="236"/>
        <v/>
      </c>
      <c r="N907" s="984" t="str">
        <f t="shared" si="237"/>
        <v/>
      </c>
      <c r="O907" s="986" t="str">
        <f t="shared" si="238"/>
        <v/>
      </c>
      <c r="P907" s="987" t="str">
        <f t="shared" si="239"/>
        <v/>
      </c>
      <c r="Q907" s="987" t="str">
        <f t="shared" si="240"/>
        <v/>
      </c>
      <c r="R907" s="988" t="str">
        <f t="shared" si="241"/>
        <v/>
      </c>
      <c r="S907" s="989"/>
      <c r="T907" s="990"/>
      <c r="U907" s="991"/>
      <c r="V907" s="991"/>
      <c r="W907" s="992" t="str">
        <f t="shared" si="242"/>
        <v/>
      </c>
      <c r="X907" s="993" t="str">
        <f t="shared" si="243"/>
        <v/>
      </c>
      <c r="Y907" s="990"/>
      <c r="Z907" s="991"/>
      <c r="AA907" s="991"/>
      <c r="AB907" s="992" t="str">
        <f t="shared" si="244"/>
        <v/>
      </c>
      <c r="AC907" s="993" t="str">
        <f t="shared" si="245"/>
        <v/>
      </c>
      <c r="AD907" s="994" t="str">
        <f t="shared" si="246"/>
        <v/>
      </c>
      <c r="AE907" s="995" t="str">
        <f t="shared" si="247"/>
        <v/>
      </c>
      <c r="AF907" s="996"/>
      <c r="AG907" s="997"/>
      <c r="AH907" s="997"/>
      <c r="AI907" s="998" t="str">
        <f t="shared" si="248"/>
        <v/>
      </c>
      <c r="AJ907" s="993" t="str">
        <f t="shared" si="249"/>
        <v/>
      </c>
    </row>
    <row r="908" spans="1:36" ht="16.5" customHeight="1">
      <c r="A908" s="999" t="str">
        <f>'09월 조업일지'!A906</f>
        <v/>
      </c>
      <c r="B908" s="1099" t="str">
        <f>'09월 조업일지'!B906</f>
        <v/>
      </c>
      <c r="C908" s="1000" t="str">
        <f>'09월 화학성분'!D906</f>
        <v/>
      </c>
      <c r="D908" s="1000" t="str">
        <f>'09월 화학성분'!E906</f>
        <v/>
      </c>
      <c r="E908" s="1000" t="str">
        <f>'09월 화학성분'!C906</f>
        <v/>
      </c>
      <c r="F908" s="1001" t="str">
        <f t="shared" si="235"/>
        <v/>
      </c>
      <c r="G908" s="1172"/>
      <c r="H908" s="985"/>
      <c r="I908" s="1173"/>
      <c r="J908" s="985"/>
      <c r="K908" s="1173"/>
      <c r="L908" s="985"/>
      <c r="M908" s="1174" t="str">
        <f t="shared" si="236"/>
        <v/>
      </c>
      <c r="N908" s="984" t="str">
        <f t="shared" si="237"/>
        <v/>
      </c>
      <c r="O908" s="986" t="str">
        <f t="shared" si="238"/>
        <v/>
      </c>
      <c r="P908" s="987" t="str">
        <f t="shared" si="239"/>
        <v/>
      </c>
      <c r="Q908" s="987" t="str">
        <f t="shared" si="240"/>
        <v/>
      </c>
      <c r="R908" s="988" t="str">
        <f t="shared" si="241"/>
        <v/>
      </c>
      <c r="S908" s="989"/>
      <c r="T908" s="990"/>
      <c r="U908" s="991"/>
      <c r="V908" s="991"/>
      <c r="W908" s="992" t="str">
        <f t="shared" si="242"/>
        <v/>
      </c>
      <c r="X908" s="993" t="str">
        <f t="shared" si="243"/>
        <v/>
      </c>
      <c r="Y908" s="990"/>
      <c r="Z908" s="991"/>
      <c r="AA908" s="991"/>
      <c r="AB908" s="992" t="str">
        <f t="shared" si="244"/>
        <v/>
      </c>
      <c r="AC908" s="993" t="str">
        <f t="shared" si="245"/>
        <v/>
      </c>
      <c r="AD908" s="994" t="str">
        <f t="shared" si="246"/>
        <v/>
      </c>
      <c r="AE908" s="995" t="str">
        <f t="shared" si="247"/>
        <v/>
      </c>
      <c r="AF908" s="996"/>
      <c r="AG908" s="997"/>
      <c r="AH908" s="997"/>
      <c r="AI908" s="998" t="str">
        <f t="shared" si="248"/>
        <v/>
      </c>
      <c r="AJ908" s="993" t="str">
        <f t="shared" si="249"/>
        <v/>
      </c>
    </row>
    <row r="909" spans="1:36" ht="16.5" customHeight="1">
      <c r="A909" s="999" t="str">
        <f>'09월 조업일지'!A907</f>
        <v/>
      </c>
      <c r="B909" s="1099" t="str">
        <f>'09월 조업일지'!B907</f>
        <v/>
      </c>
      <c r="C909" s="1000" t="str">
        <f>'09월 화학성분'!D907</f>
        <v/>
      </c>
      <c r="D909" s="1000" t="str">
        <f>'09월 화학성분'!E907</f>
        <v/>
      </c>
      <c r="E909" s="1000" t="str">
        <f>'09월 화학성분'!C907</f>
        <v/>
      </c>
      <c r="F909" s="1001" t="str">
        <f t="shared" si="235"/>
        <v/>
      </c>
      <c r="G909" s="1172"/>
      <c r="H909" s="985"/>
      <c r="I909" s="1173"/>
      <c r="J909" s="985"/>
      <c r="K909" s="1173"/>
      <c r="L909" s="985"/>
      <c r="M909" s="1174" t="str">
        <f t="shared" si="236"/>
        <v/>
      </c>
      <c r="N909" s="984" t="str">
        <f t="shared" si="237"/>
        <v/>
      </c>
      <c r="O909" s="986" t="str">
        <f t="shared" si="238"/>
        <v/>
      </c>
      <c r="P909" s="987" t="str">
        <f t="shared" si="239"/>
        <v/>
      </c>
      <c r="Q909" s="987" t="str">
        <f t="shared" si="240"/>
        <v/>
      </c>
      <c r="R909" s="988" t="str">
        <f t="shared" si="241"/>
        <v/>
      </c>
      <c r="S909" s="989"/>
      <c r="T909" s="990"/>
      <c r="U909" s="991"/>
      <c r="V909" s="991"/>
      <c r="W909" s="992" t="str">
        <f t="shared" si="242"/>
        <v/>
      </c>
      <c r="X909" s="993" t="str">
        <f t="shared" si="243"/>
        <v/>
      </c>
      <c r="Y909" s="990"/>
      <c r="Z909" s="991"/>
      <c r="AA909" s="991"/>
      <c r="AB909" s="992" t="str">
        <f t="shared" si="244"/>
        <v/>
      </c>
      <c r="AC909" s="993" t="str">
        <f t="shared" si="245"/>
        <v/>
      </c>
      <c r="AD909" s="994" t="str">
        <f t="shared" si="246"/>
        <v/>
      </c>
      <c r="AE909" s="995" t="str">
        <f t="shared" si="247"/>
        <v/>
      </c>
      <c r="AF909" s="996"/>
      <c r="AG909" s="997"/>
      <c r="AH909" s="997"/>
      <c r="AI909" s="998" t="str">
        <f t="shared" si="248"/>
        <v/>
      </c>
      <c r="AJ909" s="993" t="str">
        <f t="shared" si="249"/>
        <v/>
      </c>
    </row>
    <row r="910" spans="1:36" ht="16.5" customHeight="1">
      <c r="A910" s="999" t="str">
        <f>'09월 조업일지'!A908</f>
        <v/>
      </c>
      <c r="B910" s="1099" t="str">
        <f>'09월 조업일지'!B908</f>
        <v/>
      </c>
      <c r="C910" s="1000" t="str">
        <f>'09월 화학성분'!D908</f>
        <v/>
      </c>
      <c r="D910" s="1000" t="str">
        <f>'09월 화학성분'!E908</f>
        <v/>
      </c>
      <c r="E910" s="1000" t="str">
        <f>'09월 화학성분'!C908</f>
        <v/>
      </c>
      <c r="F910" s="1001" t="str">
        <f t="shared" si="235"/>
        <v/>
      </c>
      <c r="G910" s="1172"/>
      <c r="H910" s="985"/>
      <c r="I910" s="1173"/>
      <c r="J910" s="985"/>
      <c r="K910" s="1173"/>
      <c r="L910" s="985"/>
      <c r="M910" s="1174" t="str">
        <f t="shared" si="236"/>
        <v/>
      </c>
      <c r="N910" s="984" t="str">
        <f t="shared" si="237"/>
        <v/>
      </c>
      <c r="O910" s="986" t="str">
        <f t="shared" si="238"/>
        <v/>
      </c>
      <c r="P910" s="987" t="str">
        <f t="shared" si="239"/>
        <v/>
      </c>
      <c r="Q910" s="987" t="str">
        <f t="shared" si="240"/>
        <v/>
      </c>
      <c r="R910" s="988" t="str">
        <f t="shared" si="241"/>
        <v/>
      </c>
      <c r="S910" s="989"/>
      <c r="T910" s="990"/>
      <c r="U910" s="991"/>
      <c r="V910" s="991"/>
      <c r="W910" s="992" t="str">
        <f t="shared" si="242"/>
        <v/>
      </c>
      <c r="X910" s="993" t="str">
        <f t="shared" si="243"/>
        <v/>
      </c>
      <c r="Y910" s="990"/>
      <c r="Z910" s="991"/>
      <c r="AA910" s="991"/>
      <c r="AB910" s="992" t="str">
        <f t="shared" si="244"/>
        <v/>
      </c>
      <c r="AC910" s="993" t="str">
        <f t="shared" si="245"/>
        <v/>
      </c>
      <c r="AD910" s="994" t="str">
        <f t="shared" si="246"/>
        <v/>
      </c>
      <c r="AE910" s="995" t="str">
        <f t="shared" si="247"/>
        <v/>
      </c>
      <c r="AF910" s="996"/>
      <c r="AG910" s="997"/>
      <c r="AH910" s="997"/>
      <c r="AI910" s="998" t="str">
        <f t="shared" si="248"/>
        <v/>
      </c>
      <c r="AJ910" s="993" t="str">
        <f t="shared" si="249"/>
        <v/>
      </c>
    </row>
    <row r="911" spans="1:36" ht="16.5" customHeight="1">
      <c r="A911" s="999" t="str">
        <f>'09월 조업일지'!A909</f>
        <v/>
      </c>
      <c r="B911" s="1099" t="str">
        <f>'09월 조업일지'!B909</f>
        <v/>
      </c>
      <c r="C911" s="1000" t="str">
        <f>'09월 화학성분'!D909</f>
        <v/>
      </c>
      <c r="D911" s="1000" t="str">
        <f>'09월 화학성분'!E909</f>
        <v/>
      </c>
      <c r="E911" s="1000" t="str">
        <f>'09월 화학성분'!C909</f>
        <v/>
      </c>
      <c r="F911" s="1001" t="str">
        <f t="shared" si="235"/>
        <v/>
      </c>
      <c r="G911" s="1172"/>
      <c r="H911" s="985"/>
      <c r="I911" s="1173"/>
      <c r="J911" s="985"/>
      <c r="K911" s="1173"/>
      <c r="L911" s="985"/>
      <c r="M911" s="1174" t="str">
        <f t="shared" si="236"/>
        <v/>
      </c>
      <c r="N911" s="984" t="str">
        <f t="shared" si="237"/>
        <v/>
      </c>
      <c r="O911" s="986" t="str">
        <f t="shared" si="238"/>
        <v/>
      </c>
      <c r="P911" s="987" t="str">
        <f t="shared" si="239"/>
        <v/>
      </c>
      <c r="Q911" s="987" t="str">
        <f t="shared" si="240"/>
        <v/>
      </c>
      <c r="R911" s="988" t="str">
        <f t="shared" si="241"/>
        <v/>
      </c>
      <c r="S911" s="989"/>
      <c r="T911" s="990"/>
      <c r="U911" s="991"/>
      <c r="V911" s="991"/>
      <c r="W911" s="992" t="str">
        <f t="shared" si="242"/>
        <v/>
      </c>
      <c r="X911" s="993" t="str">
        <f t="shared" si="243"/>
        <v/>
      </c>
      <c r="Y911" s="990"/>
      <c r="Z911" s="991"/>
      <c r="AA911" s="991"/>
      <c r="AB911" s="992" t="str">
        <f t="shared" si="244"/>
        <v/>
      </c>
      <c r="AC911" s="993" t="str">
        <f t="shared" si="245"/>
        <v/>
      </c>
      <c r="AD911" s="994" t="str">
        <f t="shared" si="246"/>
        <v/>
      </c>
      <c r="AE911" s="995" t="str">
        <f t="shared" si="247"/>
        <v/>
      </c>
      <c r="AF911" s="996"/>
      <c r="AG911" s="997"/>
      <c r="AH911" s="997"/>
      <c r="AI911" s="998" t="str">
        <f t="shared" si="248"/>
        <v/>
      </c>
      <c r="AJ911" s="993" t="str">
        <f t="shared" si="249"/>
        <v/>
      </c>
    </row>
    <row r="912" spans="1:36" ht="16.5" customHeight="1">
      <c r="A912" s="999" t="str">
        <f>'09월 조업일지'!A910</f>
        <v/>
      </c>
      <c r="B912" s="1099" t="str">
        <f>'09월 조업일지'!B910</f>
        <v/>
      </c>
      <c r="C912" s="1000" t="str">
        <f>'09월 화학성분'!D910</f>
        <v/>
      </c>
      <c r="D912" s="1000" t="str">
        <f>'09월 화학성분'!E910</f>
        <v/>
      </c>
      <c r="E912" s="1000" t="str">
        <f>'09월 화학성분'!C910</f>
        <v/>
      </c>
      <c r="F912" s="1001" t="str">
        <f t="shared" ref="F912:F950" si="250">IF(G912="","",F911)</f>
        <v/>
      </c>
      <c r="G912" s="1172"/>
      <c r="H912" s="985"/>
      <c r="I912" s="1173"/>
      <c r="J912" s="985"/>
      <c r="K912" s="1173"/>
      <c r="L912" s="985"/>
      <c r="M912" s="1174" t="str">
        <f t="shared" ref="M912:M950" si="251">IF(ISBLANK(G912),"",SUM(G912,I912,K912))</f>
        <v/>
      </c>
      <c r="N912" s="984" t="str">
        <f t="shared" ref="N912:N950" si="252">IF(ISBLANK(H912),"",SUM(H912,J912,L912))</f>
        <v/>
      </c>
      <c r="O912" s="986" t="str">
        <f t="shared" ref="O912:O950" si="253">IF(ISBLANK(H912),"",H912/S912)</f>
        <v/>
      </c>
      <c r="P912" s="987" t="str">
        <f t="shared" ref="P912:P950" si="254">IF(ISBLANK(J912),"",+J912/S912)</f>
        <v/>
      </c>
      <c r="Q912" s="987" t="str">
        <f t="shared" ref="Q912:Q950" si="255">IF(ISBLANK(L912),"",L912/S912)</f>
        <v/>
      </c>
      <c r="R912" s="988" t="str">
        <f t="shared" ref="R912:R950" si="256">IF(ISBLANK(L912),"",SUM(O912:Q912))</f>
        <v/>
      </c>
      <c r="S912" s="989"/>
      <c r="T912" s="990"/>
      <c r="U912" s="991"/>
      <c r="V912" s="991"/>
      <c r="W912" s="992" t="str">
        <f t="shared" ref="W912:W950" si="257">IF(SUM(T912:V912)=0,"",SUM(T912:V912))</f>
        <v/>
      </c>
      <c r="X912" s="993" t="str">
        <f t="shared" ref="X912:X950" si="258">IF(W912="","",W912/S912)</f>
        <v/>
      </c>
      <c r="Y912" s="990"/>
      <c r="Z912" s="991"/>
      <c r="AA912" s="991"/>
      <c r="AB912" s="992" t="str">
        <f t="shared" ref="AB912:AB950" si="259">IF(SUM(Y912:AA912)=0,"",SUM(Y912:AA912))</f>
        <v/>
      </c>
      <c r="AC912" s="993" t="str">
        <f t="shared" ref="AC912:AC950" si="260">IF(AB912="","",AB912/S912)</f>
        <v/>
      </c>
      <c r="AD912" s="994" t="str">
        <f t="shared" ref="AD912:AD950" si="261">IF(SUM(W912,AB912)=0,"",SUM(W912,AB912))</f>
        <v/>
      </c>
      <c r="AE912" s="995" t="str">
        <f t="shared" ref="AE912:AE950" si="262">IF(AD912="","",AD912/S912)</f>
        <v/>
      </c>
      <c r="AF912" s="996"/>
      <c r="AG912" s="997"/>
      <c r="AH912" s="997"/>
      <c r="AI912" s="998" t="str">
        <f t="shared" ref="AI912:AI950" si="263">IF(SUM(AF912:AH912)=0,"",SUM(AF912:AH912))</f>
        <v/>
      </c>
      <c r="AJ912" s="993" t="str">
        <f t="shared" ref="AJ912:AJ950" si="264">IF(AI912="","",AI912/S912)</f>
        <v/>
      </c>
    </row>
    <row r="913" spans="1:36" ht="16.5" customHeight="1">
      <c r="A913" s="999" t="str">
        <f>'09월 조업일지'!A911</f>
        <v/>
      </c>
      <c r="B913" s="1099" t="str">
        <f>'09월 조업일지'!B911</f>
        <v/>
      </c>
      <c r="C913" s="1000" t="str">
        <f>'09월 화학성분'!D911</f>
        <v/>
      </c>
      <c r="D913" s="1000" t="str">
        <f>'09월 화학성분'!E911</f>
        <v/>
      </c>
      <c r="E913" s="1000" t="str">
        <f>'09월 화학성분'!C911</f>
        <v/>
      </c>
      <c r="F913" s="1001" t="str">
        <f t="shared" si="250"/>
        <v/>
      </c>
      <c r="G913" s="1172"/>
      <c r="H913" s="985"/>
      <c r="I913" s="1173"/>
      <c r="J913" s="985"/>
      <c r="K913" s="1173"/>
      <c r="L913" s="985"/>
      <c r="M913" s="1174" t="str">
        <f t="shared" si="251"/>
        <v/>
      </c>
      <c r="N913" s="984" t="str">
        <f t="shared" si="252"/>
        <v/>
      </c>
      <c r="O913" s="986" t="str">
        <f t="shared" si="253"/>
        <v/>
      </c>
      <c r="P913" s="987" t="str">
        <f t="shared" si="254"/>
        <v/>
      </c>
      <c r="Q913" s="987" t="str">
        <f t="shared" si="255"/>
        <v/>
      </c>
      <c r="R913" s="988" t="str">
        <f t="shared" si="256"/>
        <v/>
      </c>
      <c r="S913" s="989"/>
      <c r="T913" s="990"/>
      <c r="U913" s="991"/>
      <c r="V913" s="991"/>
      <c r="W913" s="992" t="str">
        <f t="shared" si="257"/>
        <v/>
      </c>
      <c r="X913" s="993" t="str">
        <f t="shared" si="258"/>
        <v/>
      </c>
      <c r="Y913" s="990"/>
      <c r="Z913" s="991"/>
      <c r="AA913" s="991"/>
      <c r="AB913" s="992" t="str">
        <f t="shared" si="259"/>
        <v/>
      </c>
      <c r="AC913" s="993" t="str">
        <f t="shared" si="260"/>
        <v/>
      </c>
      <c r="AD913" s="994" t="str">
        <f t="shared" si="261"/>
        <v/>
      </c>
      <c r="AE913" s="995" t="str">
        <f t="shared" si="262"/>
        <v/>
      </c>
      <c r="AF913" s="996"/>
      <c r="AG913" s="997"/>
      <c r="AH913" s="997"/>
      <c r="AI913" s="998" t="str">
        <f t="shared" si="263"/>
        <v/>
      </c>
      <c r="AJ913" s="993" t="str">
        <f t="shared" si="264"/>
        <v/>
      </c>
    </row>
    <row r="914" spans="1:36" ht="16.5" customHeight="1">
      <c r="A914" s="999" t="str">
        <f>'09월 조업일지'!A912</f>
        <v/>
      </c>
      <c r="B914" s="1099" t="str">
        <f>'09월 조업일지'!B912</f>
        <v/>
      </c>
      <c r="C914" s="1000" t="str">
        <f>'09월 화학성분'!D912</f>
        <v/>
      </c>
      <c r="D914" s="1000" t="str">
        <f>'09월 화학성분'!E912</f>
        <v/>
      </c>
      <c r="E914" s="1000" t="str">
        <f>'09월 화학성분'!C912</f>
        <v/>
      </c>
      <c r="F914" s="1001" t="str">
        <f t="shared" si="250"/>
        <v/>
      </c>
      <c r="G914" s="1172"/>
      <c r="H914" s="985"/>
      <c r="I914" s="1173"/>
      <c r="J914" s="985"/>
      <c r="K914" s="1173"/>
      <c r="L914" s="985"/>
      <c r="M914" s="1174" t="str">
        <f t="shared" si="251"/>
        <v/>
      </c>
      <c r="N914" s="984" t="str">
        <f t="shared" si="252"/>
        <v/>
      </c>
      <c r="O914" s="986" t="str">
        <f t="shared" si="253"/>
        <v/>
      </c>
      <c r="P914" s="987" t="str">
        <f t="shared" si="254"/>
        <v/>
      </c>
      <c r="Q914" s="987" t="str">
        <f t="shared" si="255"/>
        <v/>
      </c>
      <c r="R914" s="988" t="str">
        <f t="shared" si="256"/>
        <v/>
      </c>
      <c r="S914" s="989"/>
      <c r="T914" s="990"/>
      <c r="U914" s="991"/>
      <c r="V914" s="991"/>
      <c r="W914" s="992" t="str">
        <f t="shared" si="257"/>
        <v/>
      </c>
      <c r="X914" s="993" t="str">
        <f t="shared" si="258"/>
        <v/>
      </c>
      <c r="Y914" s="990"/>
      <c r="Z914" s="991"/>
      <c r="AA914" s="991"/>
      <c r="AB914" s="992" t="str">
        <f t="shared" si="259"/>
        <v/>
      </c>
      <c r="AC914" s="993" t="str">
        <f t="shared" si="260"/>
        <v/>
      </c>
      <c r="AD914" s="994" t="str">
        <f t="shared" si="261"/>
        <v/>
      </c>
      <c r="AE914" s="995" t="str">
        <f t="shared" si="262"/>
        <v/>
      </c>
      <c r="AF914" s="996"/>
      <c r="AG914" s="997"/>
      <c r="AH914" s="997"/>
      <c r="AI914" s="998" t="str">
        <f t="shared" si="263"/>
        <v/>
      </c>
      <c r="AJ914" s="993" t="str">
        <f t="shared" si="264"/>
        <v/>
      </c>
    </row>
    <row r="915" spans="1:36" ht="16.5" customHeight="1">
      <c r="A915" s="999" t="str">
        <f>'09월 조업일지'!A913</f>
        <v/>
      </c>
      <c r="B915" s="1099" t="str">
        <f>'09월 조업일지'!B913</f>
        <v/>
      </c>
      <c r="C915" s="1000" t="str">
        <f>'09월 화학성분'!D913</f>
        <v/>
      </c>
      <c r="D915" s="1000" t="str">
        <f>'09월 화학성분'!E913</f>
        <v/>
      </c>
      <c r="E915" s="1000" t="str">
        <f>'09월 화학성분'!C913</f>
        <v/>
      </c>
      <c r="F915" s="1001" t="str">
        <f t="shared" si="250"/>
        <v/>
      </c>
      <c r="G915" s="1172"/>
      <c r="H915" s="985"/>
      <c r="I915" s="1173"/>
      <c r="J915" s="985"/>
      <c r="K915" s="1173"/>
      <c r="L915" s="985"/>
      <c r="M915" s="1174" t="str">
        <f t="shared" si="251"/>
        <v/>
      </c>
      <c r="N915" s="984" t="str">
        <f t="shared" si="252"/>
        <v/>
      </c>
      <c r="O915" s="986" t="str">
        <f t="shared" si="253"/>
        <v/>
      </c>
      <c r="P915" s="987" t="str">
        <f t="shared" si="254"/>
        <v/>
      </c>
      <c r="Q915" s="987" t="str">
        <f t="shared" si="255"/>
        <v/>
      </c>
      <c r="R915" s="988" t="str">
        <f t="shared" si="256"/>
        <v/>
      </c>
      <c r="S915" s="989"/>
      <c r="T915" s="990"/>
      <c r="U915" s="991"/>
      <c r="V915" s="991"/>
      <c r="W915" s="992" t="str">
        <f t="shared" si="257"/>
        <v/>
      </c>
      <c r="X915" s="993" t="str">
        <f t="shared" si="258"/>
        <v/>
      </c>
      <c r="Y915" s="990"/>
      <c r="Z915" s="991"/>
      <c r="AA915" s="991"/>
      <c r="AB915" s="992" t="str">
        <f t="shared" si="259"/>
        <v/>
      </c>
      <c r="AC915" s="993" t="str">
        <f t="shared" si="260"/>
        <v/>
      </c>
      <c r="AD915" s="994" t="str">
        <f t="shared" si="261"/>
        <v/>
      </c>
      <c r="AE915" s="995" t="str">
        <f t="shared" si="262"/>
        <v/>
      </c>
      <c r="AF915" s="996"/>
      <c r="AG915" s="997"/>
      <c r="AH915" s="997"/>
      <c r="AI915" s="998" t="str">
        <f t="shared" si="263"/>
        <v/>
      </c>
      <c r="AJ915" s="993" t="str">
        <f t="shared" si="264"/>
        <v/>
      </c>
    </row>
    <row r="916" spans="1:36" ht="16.5" customHeight="1">
      <c r="A916" s="999" t="str">
        <f>'09월 조업일지'!A914</f>
        <v/>
      </c>
      <c r="B916" s="1099" t="str">
        <f>'09월 조업일지'!B914</f>
        <v/>
      </c>
      <c r="C916" s="1000" t="str">
        <f>'09월 화학성분'!D914</f>
        <v/>
      </c>
      <c r="D916" s="1000" t="str">
        <f>'09월 화학성분'!E914</f>
        <v/>
      </c>
      <c r="E916" s="1000" t="str">
        <f>'09월 화학성분'!C914</f>
        <v/>
      </c>
      <c r="F916" s="1001" t="str">
        <f t="shared" si="250"/>
        <v/>
      </c>
      <c r="G916" s="1172"/>
      <c r="H916" s="985"/>
      <c r="I916" s="1173"/>
      <c r="J916" s="985"/>
      <c r="K916" s="1173"/>
      <c r="L916" s="985"/>
      <c r="M916" s="1174" t="str">
        <f t="shared" si="251"/>
        <v/>
      </c>
      <c r="N916" s="984" t="str">
        <f t="shared" si="252"/>
        <v/>
      </c>
      <c r="O916" s="986" t="str">
        <f t="shared" si="253"/>
        <v/>
      </c>
      <c r="P916" s="987" t="str">
        <f t="shared" si="254"/>
        <v/>
      </c>
      <c r="Q916" s="987" t="str">
        <f t="shared" si="255"/>
        <v/>
      </c>
      <c r="R916" s="988" t="str">
        <f t="shared" si="256"/>
        <v/>
      </c>
      <c r="S916" s="989"/>
      <c r="T916" s="990"/>
      <c r="U916" s="991"/>
      <c r="V916" s="991"/>
      <c r="W916" s="992" t="str">
        <f t="shared" si="257"/>
        <v/>
      </c>
      <c r="X916" s="993" t="str">
        <f t="shared" si="258"/>
        <v/>
      </c>
      <c r="Y916" s="990"/>
      <c r="Z916" s="991"/>
      <c r="AA916" s="991"/>
      <c r="AB916" s="992" t="str">
        <f t="shared" si="259"/>
        <v/>
      </c>
      <c r="AC916" s="993" t="str">
        <f t="shared" si="260"/>
        <v/>
      </c>
      <c r="AD916" s="994" t="str">
        <f t="shared" si="261"/>
        <v/>
      </c>
      <c r="AE916" s="995" t="str">
        <f t="shared" si="262"/>
        <v/>
      </c>
      <c r="AF916" s="996"/>
      <c r="AG916" s="997"/>
      <c r="AH916" s="997"/>
      <c r="AI916" s="998" t="str">
        <f t="shared" si="263"/>
        <v/>
      </c>
      <c r="AJ916" s="993" t="str">
        <f t="shared" si="264"/>
        <v/>
      </c>
    </row>
    <row r="917" spans="1:36" ht="16.5" customHeight="1">
      <c r="A917" s="999" t="str">
        <f>'09월 조업일지'!A915</f>
        <v/>
      </c>
      <c r="B917" s="1099" t="str">
        <f>'09월 조업일지'!B915</f>
        <v/>
      </c>
      <c r="C917" s="1000" t="str">
        <f>'09월 화학성분'!D915</f>
        <v/>
      </c>
      <c r="D917" s="1000" t="str">
        <f>'09월 화학성분'!E915</f>
        <v/>
      </c>
      <c r="E917" s="1000" t="str">
        <f>'09월 화학성분'!C915</f>
        <v/>
      </c>
      <c r="F917" s="1001" t="str">
        <f t="shared" si="250"/>
        <v/>
      </c>
      <c r="G917" s="1172"/>
      <c r="H917" s="985"/>
      <c r="I917" s="1173"/>
      <c r="J917" s="985"/>
      <c r="K917" s="1173"/>
      <c r="L917" s="985"/>
      <c r="M917" s="1174" t="str">
        <f t="shared" si="251"/>
        <v/>
      </c>
      <c r="N917" s="984" t="str">
        <f t="shared" si="252"/>
        <v/>
      </c>
      <c r="O917" s="986" t="str">
        <f t="shared" si="253"/>
        <v/>
      </c>
      <c r="P917" s="987" t="str">
        <f t="shared" si="254"/>
        <v/>
      </c>
      <c r="Q917" s="987" t="str">
        <f t="shared" si="255"/>
        <v/>
      </c>
      <c r="R917" s="988" t="str">
        <f t="shared" si="256"/>
        <v/>
      </c>
      <c r="S917" s="989"/>
      <c r="T917" s="990"/>
      <c r="U917" s="991"/>
      <c r="V917" s="991"/>
      <c r="W917" s="992" t="str">
        <f t="shared" si="257"/>
        <v/>
      </c>
      <c r="X917" s="993" t="str">
        <f t="shared" si="258"/>
        <v/>
      </c>
      <c r="Y917" s="990"/>
      <c r="Z917" s="991"/>
      <c r="AA917" s="991"/>
      <c r="AB917" s="992" t="str">
        <f t="shared" si="259"/>
        <v/>
      </c>
      <c r="AC917" s="993" t="str">
        <f t="shared" si="260"/>
        <v/>
      </c>
      <c r="AD917" s="994" t="str">
        <f t="shared" si="261"/>
        <v/>
      </c>
      <c r="AE917" s="995" t="str">
        <f t="shared" si="262"/>
        <v/>
      </c>
      <c r="AF917" s="996"/>
      <c r="AG917" s="997"/>
      <c r="AH917" s="997"/>
      <c r="AI917" s="998" t="str">
        <f t="shared" si="263"/>
        <v/>
      </c>
      <c r="AJ917" s="993" t="str">
        <f t="shared" si="264"/>
        <v/>
      </c>
    </row>
    <row r="918" spans="1:36" ht="16.5" customHeight="1">
      <c r="A918" s="999" t="str">
        <f>'09월 조업일지'!A916</f>
        <v/>
      </c>
      <c r="B918" s="1099" t="str">
        <f>'09월 조업일지'!B916</f>
        <v/>
      </c>
      <c r="C918" s="1000" t="str">
        <f>'09월 화학성분'!D916</f>
        <v/>
      </c>
      <c r="D918" s="1000" t="str">
        <f>'09월 화학성분'!E916</f>
        <v/>
      </c>
      <c r="E918" s="1000" t="str">
        <f>'09월 화학성분'!C916</f>
        <v/>
      </c>
      <c r="F918" s="1001" t="str">
        <f t="shared" si="250"/>
        <v/>
      </c>
      <c r="G918" s="1172"/>
      <c r="H918" s="985"/>
      <c r="I918" s="1173"/>
      <c r="J918" s="985"/>
      <c r="K918" s="1173"/>
      <c r="L918" s="985"/>
      <c r="M918" s="1174" t="str">
        <f t="shared" si="251"/>
        <v/>
      </c>
      <c r="N918" s="984" t="str">
        <f t="shared" si="252"/>
        <v/>
      </c>
      <c r="O918" s="986" t="str">
        <f t="shared" si="253"/>
        <v/>
      </c>
      <c r="P918" s="987" t="str">
        <f t="shared" si="254"/>
        <v/>
      </c>
      <c r="Q918" s="987" t="str">
        <f t="shared" si="255"/>
        <v/>
      </c>
      <c r="R918" s="988" t="str">
        <f t="shared" si="256"/>
        <v/>
      </c>
      <c r="S918" s="989"/>
      <c r="T918" s="990"/>
      <c r="U918" s="991"/>
      <c r="V918" s="991"/>
      <c r="W918" s="992" t="str">
        <f t="shared" si="257"/>
        <v/>
      </c>
      <c r="X918" s="993" t="str">
        <f t="shared" si="258"/>
        <v/>
      </c>
      <c r="Y918" s="990"/>
      <c r="Z918" s="991"/>
      <c r="AA918" s="991"/>
      <c r="AB918" s="992" t="str">
        <f t="shared" si="259"/>
        <v/>
      </c>
      <c r="AC918" s="993" t="str">
        <f t="shared" si="260"/>
        <v/>
      </c>
      <c r="AD918" s="994" t="str">
        <f t="shared" si="261"/>
        <v/>
      </c>
      <c r="AE918" s="995" t="str">
        <f t="shared" si="262"/>
        <v/>
      </c>
      <c r="AF918" s="996"/>
      <c r="AG918" s="997"/>
      <c r="AH918" s="997"/>
      <c r="AI918" s="998" t="str">
        <f t="shared" si="263"/>
        <v/>
      </c>
      <c r="AJ918" s="993" t="str">
        <f t="shared" si="264"/>
        <v/>
      </c>
    </row>
    <row r="919" spans="1:36" ht="16.5" customHeight="1">
      <c r="A919" s="999" t="str">
        <f>'09월 조업일지'!A917</f>
        <v/>
      </c>
      <c r="B919" s="1099" t="str">
        <f>'09월 조업일지'!B917</f>
        <v/>
      </c>
      <c r="C919" s="1000" t="str">
        <f>'09월 화학성분'!D917</f>
        <v/>
      </c>
      <c r="D919" s="1000" t="str">
        <f>'09월 화학성분'!E917</f>
        <v/>
      </c>
      <c r="E919" s="1000" t="str">
        <f>'09월 화학성분'!C917</f>
        <v/>
      </c>
      <c r="F919" s="1001" t="str">
        <f t="shared" si="250"/>
        <v/>
      </c>
      <c r="G919" s="1172"/>
      <c r="H919" s="985"/>
      <c r="I919" s="1173"/>
      <c r="J919" s="985"/>
      <c r="K919" s="1173"/>
      <c r="L919" s="985"/>
      <c r="M919" s="1174" t="str">
        <f t="shared" si="251"/>
        <v/>
      </c>
      <c r="N919" s="984" t="str">
        <f t="shared" si="252"/>
        <v/>
      </c>
      <c r="O919" s="986" t="str">
        <f t="shared" si="253"/>
        <v/>
      </c>
      <c r="P919" s="987" t="str">
        <f t="shared" si="254"/>
        <v/>
      </c>
      <c r="Q919" s="987" t="str">
        <f t="shared" si="255"/>
        <v/>
      </c>
      <c r="R919" s="988" t="str">
        <f t="shared" si="256"/>
        <v/>
      </c>
      <c r="S919" s="989"/>
      <c r="T919" s="990"/>
      <c r="U919" s="991"/>
      <c r="V919" s="991"/>
      <c r="W919" s="992" t="str">
        <f t="shared" si="257"/>
        <v/>
      </c>
      <c r="X919" s="993" t="str">
        <f t="shared" si="258"/>
        <v/>
      </c>
      <c r="Y919" s="990"/>
      <c r="Z919" s="991"/>
      <c r="AA919" s="991"/>
      <c r="AB919" s="992" t="str">
        <f t="shared" si="259"/>
        <v/>
      </c>
      <c r="AC919" s="993" t="str">
        <f t="shared" si="260"/>
        <v/>
      </c>
      <c r="AD919" s="994" t="str">
        <f t="shared" si="261"/>
        <v/>
      </c>
      <c r="AE919" s="995" t="str">
        <f t="shared" si="262"/>
        <v/>
      </c>
      <c r="AF919" s="996"/>
      <c r="AG919" s="997"/>
      <c r="AH919" s="997"/>
      <c r="AI919" s="998" t="str">
        <f t="shared" si="263"/>
        <v/>
      </c>
      <c r="AJ919" s="993" t="str">
        <f t="shared" si="264"/>
        <v/>
      </c>
    </row>
    <row r="920" spans="1:36" ht="16.5" customHeight="1">
      <c r="A920" s="999" t="str">
        <f>'09월 조업일지'!A918</f>
        <v/>
      </c>
      <c r="B920" s="1099" t="str">
        <f>'09월 조업일지'!B918</f>
        <v/>
      </c>
      <c r="C920" s="1000" t="str">
        <f>'09월 화학성분'!D918</f>
        <v/>
      </c>
      <c r="D920" s="1000" t="str">
        <f>'09월 화학성분'!E918</f>
        <v/>
      </c>
      <c r="E920" s="1000" t="str">
        <f>'09월 화학성분'!C918</f>
        <v/>
      </c>
      <c r="F920" s="1001" t="str">
        <f t="shared" si="250"/>
        <v/>
      </c>
      <c r="G920" s="1172"/>
      <c r="H920" s="985"/>
      <c r="I920" s="1173"/>
      <c r="J920" s="985"/>
      <c r="K920" s="1173"/>
      <c r="L920" s="985"/>
      <c r="M920" s="1174" t="str">
        <f t="shared" si="251"/>
        <v/>
      </c>
      <c r="N920" s="984" t="str">
        <f t="shared" si="252"/>
        <v/>
      </c>
      <c r="O920" s="986" t="str">
        <f t="shared" si="253"/>
        <v/>
      </c>
      <c r="P920" s="987" t="str">
        <f t="shared" si="254"/>
        <v/>
      </c>
      <c r="Q920" s="987" t="str">
        <f t="shared" si="255"/>
        <v/>
      </c>
      <c r="R920" s="988" t="str">
        <f t="shared" si="256"/>
        <v/>
      </c>
      <c r="S920" s="989"/>
      <c r="T920" s="990"/>
      <c r="U920" s="991"/>
      <c r="V920" s="991"/>
      <c r="W920" s="992" t="str">
        <f t="shared" si="257"/>
        <v/>
      </c>
      <c r="X920" s="993" t="str">
        <f t="shared" si="258"/>
        <v/>
      </c>
      <c r="Y920" s="990"/>
      <c r="Z920" s="991"/>
      <c r="AA920" s="991"/>
      <c r="AB920" s="992" t="str">
        <f t="shared" si="259"/>
        <v/>
      </c>
      <c r="AC920" s="993" t="str">
        <f t="shared" si="260"/>
        <v/>
      </c>
      <c r="AD920" s="994" t="str">
        <f t="shared" si="261"/>
        <v/>
      </c>
      <c r="AE920" s="995" t="str">
        <f t="shared" si="262"/>
        <v/>
      </c>
      <c r="AF920" s="996"/>
      <c r="AG920" s="997"/>
      <c r="AH920" s="997"/>
      <c r="AI920" s="998" t="str">
        <f t="shared" si="263"/>
        <v/>
      </c>
      <c r="AJ920" s="993" t="str">
        <f t="shared" si="264"/>
        <v/>
      </c>
    </row>
    <row r="921" spans="1:36" ht="16.5" customHeight="1">
      <c r="A921" s="999" t="str">
        <f>'09월 조업일지'!A919</f>
        <v/>
      </c>
      <c r="B921" s="1099" t="str">
        <f>'09월 조업일지'!B919</f>
        <v/>
      </c>
      <c r="C921" s="1000" t="str">
        <f>'09월 화학성분'!D919</f>
        <v/>
      </c>
      <c r="D921" s="1000" t="str">
        <f>'09월 화학성분'!E919</f>
        <v/>
      </c>
      <c r="E921" s="1000" t="str">
        <f>'09월 화학성분'!C919</f>
        <v/>
      </c>
      <c r="F921" s="1001" t="str">
        <f t="shared" si="250"/>
        <v/>
      </c>
      <c r="G921" s="1172"/>
      <c r="H921" s="985"/>
      <c r="I921" s="1173"/>
      <c r="J921" s="985"/>
      <c r="K921" s="1173"/>
      <c r="L921" s="985"/>
      <c r="M921" s="1174" t="str">
        <f t="shared" si="251"/>
        <v/>
      </c>
      <c r="N921" s="984" t="str">
        <f t="shared" si="252"/>
        <v/>
      </c>
      <c r="O921" s="986" t="str">
        <f t="shared" si="253"/>
        <v/>
      </c>
      <c r="P921" s="987" t="str">
        <f t="shared" si="254"/>
        <v/>
      </c>
      <c r="Q921" s="987" t="str">
        <f t="shared" si="255"/>
        <v/>
      </c>
      <c r="R921" s="988" t="str">
        <f t="shared" si="256"/>
        <v/>
      </c>
      <c r="S921" s="989"/>
      <c r="T921" s="990"/>
      <c r="U921" s="991"/>
      <c r="V921" s="991"/>
      <c r="W921" s="992" t="str">
        <f t="shared" si="257"/>
        <v/>
      </c>
      <c r="X921" s="993" t="str">
        <f t="shared" si="258"/>
        <v/>
      </c>
      <c r="Y921" s="990"/>
      <c r="Z921" s="991"/>
      <c r="AA921" s="991"/>
      <c r="AB921" s="992" t="str">
        <f t="shared" si="259"/>
        <v/>
      </c>
      <c r="AC921" s="993" t="str">
        <f t="shared" si="260"/>
        <v/>
      </c>
      <c r="AD921" s="994" t="str">
        <f t="shared" si="261"/>
        <v/>
      </c>
      <c r="AE921" s="995" t="str">
        <f t="shared" si="262"/>
        <v/>
      </c>
      <c r="AF921" s="996"/>
      <c r="AG921" s="997"/>
      <c r="AH921" s="997"/>
      <c r="AI921" s="998" t="str">
        <f t="shared" si="263"/>
        <v/>
      </c>
      <c r="AJ921" s="993" t="str">
        <f t="shared" si="264"/>
        <v/>
      </c>
    </row>
    <row r="922" spans="1:36" ht="16.5" customHeight="1">
      <c r="A922" s="999" t="str">
        <f>'09월 조업일지'!A920</f>
        <v/>
      </c>
      <c r="B922" s="1099" t="str">
        <f>'09월 조업일지'!B920</f>
        <v/>
      </c>
      <c r="C922" s="1000" t="str">
        <f>'09월 화학성분'!D920</f>
        <v/>
      </c>
      <c r="D922" s="1000" t="str">
        <f>'09월 화학성분'!E920</f>
        <v/>
      </c>
      <c r="E922" s="1000" t="str">
        <f>'09월 화학성분'!C920</f>
        <v/>
      </c>
      <c r="F922" s="1001" t="str">
        <f t="shared" si="250"/>
        <v/>
      </c>
      <c r="G922" s="1172"/>
      <c r="H922" s="985"/>
      <c r="I922" s="1173"/>
      <c r="J922" s="985"/>
      <c r="K922" s="1173"/>
      <c r="L922" s="985"/>
      <c r="M922" s="1174" t="str">
        <f t="shared" si="251"/>
        <v/>
      </c>
      <c r="N922" s="984" t="str">
        <f t="shared" si="252"/>
        <v/>
      </c>
      <c r="O922" s="986" t="str">
        <f t="shared" si="253"/>
        <v/>
      </c>
      <c r="P922" s="987" t="str">
        <f t="shared" si="254"/>
        <v/>
      </c>
      <c r="Q922" s="987" t="str">
        <f t="shared" si="255"/>
        <v/>
      </c>
      <c r="R922" s="988" t="str">
        <f t="shared" si="256"/>
        <v/>
      </c>
      <c r="S922" s="989"/>
      <c r="T922" s="990"/>
      <c r="U922" s="991"/>
      <c r="V922" s="991"/>
      <c r="W922" s="992" t="str">
        <f t="shared" si="257"/>
        <v/>
      </c>
      <c r="X922" s="993" t="str">
        <f t="shared" si="258"/>
        <v/>
      </c>
      <c r="Y922" s="990"/>
      <c r="Z922" s="991"/>
      <c r="AA922" s="991"/>
      <c r="AB922" s="992" t="str">
        <f t="shared" si="259"/>
        <v/>
      </c>
      <c r="AC922" s="993" t="str">
        <f t="shared" si="260"/>
        <v/>
      </c>
      <c r="AD922" s="994" t="str">
        <f t="shared" si="261"/>
        <v/>
      </c>
      <c r="AE922" s="995" t="str">
        <f t="shared" si="262"/>
        <v/>
      </c>
      <c r="AF922" s="996"/>
      <c r="AG922" s="997"/>
      <c r="AH922" s="997"/>
      <c r="AI922" s="998" t="str">
        <f t="shared" si="263"/>
        <v/>
      </c>
      <c r="AJ922" s="993" t="str">
        <f t="shared" si="264"/>
        <v/>
      </c>
    </row>
    <row r="923" spans="1:36" ht="16.5" customHeight="1">
      <c r="A923" s="999" t="str">
        <f>'09월 조업일지'!A921</f>
        <v/>
      </c>
      <c r="B923" s="1099" t="str">
        <f>'09월 조업일지'!B921</f>
        <v/>
      </c>
      <c r="C923" s="1000" t="str">
        <f>'09월 화학성분'!D921</f>
        <v/>
      </c>
      <c r="D923" s="1000" t="str">
        <f>'09월 화학성분'!E921</f>
        <v/>
      </c>
      <c r="E923" s="1000" t="str">
        <f>'09월 화학성분'!C921</f>
        <v/>
      </c>
      <c r="F923" s="1001" t="str">
        <f t="shared" si="250"/>
        <v/>
      </c>
      <c r="G923" s="1172"/>
      <c r="H923" s="985"/>
      <c r="I923" s="1173"/>
      <c r="J923" s="985"/>
      <c r="K923" s="1173"/>
      <c r="L923" s="985"/>
      <c r="M923" s="1174" t="str">
        <f t="shared" si="251"/>
        <v/>
      </c>
      <c r="N923" s="984" t="str">
        <f t="shared" si="252"/>
        <v/>
      </c>
      <c r="O923" s="986" t="str">
        <f t="shared" si="253"/>
        <v/>
      </c>
      <c r="P923" s="987" t="str">
        <f t="shared" si="254"/>
        <v/>
      </c>
      <c r="Q923" s="987" t="str">
        <f t="shared" si="255"/>
        <v/>
      </c>
      <c r="R923" s="988" t="str">
        <f t="shared" si="256"/>
        <v/>
      </c>
      <c r="S923" s="989"/>
      <c r="T923" s="990"/>
      <c r="U923" s="991"/>
      <c r="V923" s="991"/>
      <c r="W923" s="992" t="str">
        <f t="shared" si="257"/>
        <v/>
      </c>
      <c r="X923" s="993" t="str">
        <f t="shared" si="258"/>
        <v/>
      </c>
      <c r="Y923" s="990"/>
      <c r="Z923" s="991"/>
      <c r="AA923" s="991"/>
      <c r="AB923" s="992" t="str">
        <f t="shared" si="259"/>
        <v/>
      </c>
      <c r="AC923" s="993" t="str">
        <f t="shared" si="260"/>
        <v/>
      </c>
      <c r="AD923" s="994" t="str">
        <f t="shared" si="261"/>
        <v/>
      </c>
      <c r="AE923" s="995" t="str">
        <f t="shared" si="262"/>
        <v/>
      </c>
      <c r="AF923" s="996"/>
      <c r="AG923" s="997"/>
      <c r="AH923" s="997"/>
      <c r="AI923" s="998" t="str">
        <f t="shared" si="263"/>
        <v/>
      </c>
      <c r="AJ923" s="993" t="str">
        <f t="shared" si="264"/>
        <v/>
      </c>
    </row>
    <row r="924" spans="1:36" ht="16.5" customHeight="1">
      <c r="A924" s="999" t="str">
        <f>'09월 조업일지'!A922</f>
        <v/>
      </c>
      <c r="B924" s="1099" t="str">
        <f>'09월 조업일지'!B922</f>
        <v/>
      </c>
      <c r="C924" s="1000" t="str">
        <f>'09월 화학성분'!D922</f>
        <v/>
      </c>
      <c r="D924" s="1000" t="str">
        <f>'09월 화학성분'!E922</f>
        <v/>
      </c>
      <c r="E924" s="1000" t="str">
        <f>'09월 화학성분'!C922</f>
        <v/>
      </c>
      <c r="F924" s="1001" t="str">
        <f t="shared" si="250"/>
        <v/>
      </c>
      <c r="G924" s="1172"/>
      <c r="H924" s="985"/>
      <c r="I924" s="1173"/>
      <c r="J924" s="985"/>
      <c r="K924" s="1173"/>
      <c r="L924" s="985"/>
      <c r="M924" s="1174" t="str">
        <f t="shared" si="251"/>
        <v/>
      </c>
      <c r="N924" s="984" t="str">
        <f t="shared" si="252"/>
        <v/>
      </c>
      <c r="O924" s="986" t="str">
        <f t="shared" si="253"/>
        <v/>
      </c>
      <c r="P924" s="987" t="str">
        <f t="shared" si="254"/>
        <v/>
      </c>
      <c r="Q924" s="987" t="str">
        <f t="shared" si="255"/>
        <v/>
      </c>
      <c r="R924" s="988" t="str">
        <f t="shared" si="256"/>
        <v/>
      </c>
      <c r="S924" s="989"/>
      <c r="T924" s="990"/>
      <c r="U924" s="991"/>
      <c r="V924" s="991"/>
      <c r="W924" s="992" t="str">
        <f t="shared" si="257"/>
        <v/>
      </c>
      <c r="X924" s="993" t="str">
        <f t="shared" si="258"/>
        <v/>
      </c>
      <c r="Y924" s="990"/>
      <c r="Z924" s="991"/>
      <c r="AA924" s="991"/>
      <c r="AB924" s="992" t="str">
        <f t="shared" si="259"/>
        <v/>
      </c>
      <c r="AC924" s="993" t="str">
        <f t="shared" si="260"/>
        <v/>
      </c>
      <c r="AD924" s="994" t="str">
        <f t="shared" si="261"/>
        <v/>
      </c>
      <c r="AE924" s="995" t="str">
        <f t="shared" si="262"/>
        <v/>
      </c>
      <c r="AF924" s="996"/>
      <c r="AG924" s="997"/>
      <c r="AH924" s="997"/>
      <c r="AI924" s="998" t="str">
        <f t="shared" si="263"/>
        <v/>
      </c>
      <c r="AJ924" s="993" t="str">
        <f t="shared" si="264"/>
        <v/>
      </c>
    </row>
    <row r="925" spans="1:36" ht="16.5" customHeight="1">
      <c r="A925" s="999" t="str">
        <f>'09월 조업일지'!A923</f>
        <v/>
      </c>
      <c r="B925" s="1099" t="str">
        <f>'09월 조업일지'!B923</f>
        <v/>
      </c>
      <c r="C925" s="1000" t="str">
        <f>'09월 화학성분'!D923</f>
        <v/>
      </c>
      <c r="D925" s="1000" t="str">
        <f>'09월 화학성분'!E923</f>
        <v/>
      </c>
      <c r="E925" s="1000" t="str">
        <f>'09월 화학성분'!C923</f>
        <v/>
      </c>
      <c r="F925" s="1001" t="str">
        <f t="shared" si="250"/>
        <v/>
      </c>
      <c r="G925" s="1172"/>
      <c r="H925" s="985"/>
      <c r="I925" s="1173"/>
      <c r="J925" s="985"/>
      <c r="K925" s="1173"/>
      <c r="L925" s="985"/>
      <c r="M925" s="1174" t="str">
        <f t="shared" si="251"/>
        <v/>
      </c>
      <c r="N925" s="984" t="str">
        <f t="shared" si="252"/>
        <v/>
      </c>
      <c r="O925" s="986" t="str">
        <f t="shared" si="253"/>
        <v/>
      </c>
      <c r="P925" s="987" t="str">
        <f t="shared" si="254"/>
        <v/>
      </c>
      <c r="Q925" s="987" t="str">
        <f t="shared" si="255"/>
        <v/>
      </c>
      <c r="R925" s="988" t="str">
        <f t="shared" si="256"/>
        <v/>
      </c>
      <c r="S925" s="989"/>
      <c r="T925" s="990"/>
      <c r="U925" s="991"/>
      <c r="V925" s="991"/>
      <c r="W925" s="992" t="str">
        <f t="shared" si="257"/>
        <v/>
      </c>
      <c r="X925" s="993" t="str">
        <f t="shared" si="258"/>
        <v/>
      </c>
      <c r="Y925" s="990"/>
      <c r="Z925" s="991"/>
      <c r="AA925" s="991"/>
      <c r="AB925" s="992" t="str">
        <f t="shared" si="259"/>
        <v/>
      </c>
      <c r="AC925" s="993" t="str">
        <f t="shared" si="260"/>
        <v/>
      </c>
      <c r="AD925" s="994" t="str">
        <f t="shared" si="261"/>
        <v/>
      </c>
      <c r="AE925" s="995" t="str">
        <f t="shared" si="262"/>
        <v/>
      </c>
      <c r="AF925" s="996"/>
      <c r="AG925" s="997"/>
      <c r="AH925" s="997"/>
      <c r="AI925" s="998" t="str">
        <f t="shared" si="263"/>
        <v/>
      </c>
      <c r="AJ925" s="993" t="str">
        <f t="shared" si="264"/>
        <v/>
      </c>
    </row>
    <row r="926" spans="1:36" ht="16.5" customHeight="1">
      <c r="A926" s="999" t="str">
        <f>'09월 조업일지'!A924</f>
        <v/>
      </c>
      <c r="B926" s="1099" t="str">
        <f>'09월 조업일지'!B924</f>
        <v/>
      </c>
      <c r="C926" s="1000" t="str">
        <f>'09월 화학성분'!D924</f>
        <v/>
      </c>
      <c r="D926" s="1000" t="str">
        <f>'09월 화학성분'!E924</f>
        <v/>
      </c>
      <c r="E926" s="1000" t="str">
        <f>'09월 화학성분'!C924</f>
        <v/>
      </c>
      <c r="F926" s="1001" t="str">
        <f t="shared" si="250"/>
        <v/>
      </c>
      <c r="G926" s="1172"/>
      <c r="H926" s="985"/>
      <c r="I926" s="1173"/>
      <c r="J926" s="985"/>
      <c r="K926" s="1173"/>
      <c r="L926" s="985"/>
      <c r="M926" s="1174" t="str">
        <f t="shared" si="251"/>
        <v/>
      </c>
      <c r="N926" s="984" t="str">
        <f t="shared" si="252"/>
        <v/>
      </c>
      <c r="O926" s="986" t="str">
        <f t="shared" si="253"/>
        <v/>
      </c>
      <c r="P926" s="987" t="str">
        <f t="shared" si="254"/>
        <v/>
      </c>
      <c r="Q926" s="987" t="str">
        <f t="shared" si="255"/>
        <v/>
      </c>
      <c r="R926" s="988" t="str">
        <f t="shared" si="256"/>
        <v/>
      </c>
      <c r="S926" s="989"/>
      <c r="T926" s="990"/>
      <c r="U926" s="991"/>
      <c r="V926" s="991"/>
      <c r="W926" s="992" t="str">
        <f t="shared" si="257"/>
        <v/>
      </c>
      <c r="X926" s="993" t="str">
        <f t="shared" si="258"/>
        <v/>
      </c>
      <c r="Y926" s="990"/>
      <c r="Z926" s="991"/>
      <c r="AA926" s="991"/>
      <c r="AB926" s="992" t="str">
        <f t="shared" si="259"/>
        <v/>
      </c>
      <c r="AC926" s="993" t="str">
        <f t="shared" si="260"/>
        <v/>
      </c>
      <c r="AD926" s="994" t="str">
        <f t="shared" si="261"/>
        <v/>
      </c>
      <c r="AE926" s="995" t="str">
        <f t="shared" si="262"/>
        <v/>
      </c>
      <c r="AF926" s="996"/>
      <c r="AG926" s="997"/>
      <c r="AH926" s="997"/>
      <c r="AI926" s="998" t="str">
        <f t="shared" si="263"/>
        <v/>
      </c>
      <c r="AJ926" s="993" t="str">
        <f t="shared" si="264"/>
        <v/>
      </c>
    </row>
    <row r="927" spans="1:36" ht="16.5" customHeight="1">
      <c r="A927" s="999" t="str">
        <f>'09월 조업일지'!A925</f>
        <v/>
      </c>
      <c r="B927" s="1099" t="str">
        <f>'09월 조업일지'!B925</f>
        <v/>
      </c>
      <c r="C927" s="1000" t="str">
        <f>'09월 화학성분'!D925</f>
        <v/>
      </c>
      <c r="D927" s="1000" t="str">
        <f>'09월 화학성분'!E925</f>
        <v/>
      </c>
      <c r="E927" s="1000" t="str">
        <f>'09월 화학성분'!C925</f>
        <v/>
      </c>
      <c r="F927" s="1001" t="str">
        <f t="shared" si="250"/>
        <v/>
      </c>
      <c r="G927" s="1172"/>
      <c r="H927" s="985"/>
      <c r="I927" s="1173"/>
      <c r="J927" s="985"/>
      <c r="K927" s="1173"/>
      <c r="L927" s="985"/>
      <c r="M927" s="1174" t="str">
        <f t="shared" si="251"/>
        <v/>
      </c>
      <c r="N927" s="984" t="str">
        <f t="shared" si="252"/>
        <v/>
      </c>
      <c r="O927" s="986" t="str">
        <f t="shared" si="253"/>
        <v/>
      </c>
      <c r="P927" s="987" t="str">
        <f t="shared" si="254"/>
        <v/>
      </c>
      <c r="Q927" s="987" t="str">
        <f t="shared" si="255"/>
        <v/>
      </c>
      <c r="R927" s="988" t="str">
        <f t="shared" si="256"/>
        <v/>
      </c>
      <c r="S927" s="989"/>
      <c r="T927" s="990"/>
      <c r="U927" s="991"/>
      <c r="V927" s="991"/>
      <c r="W927" s="992" t="str">
        <f t="shared" si="257"/>
        <v/>
      </c>
      <c r="X927" s="993" t="str">
        <f t="shared" si="258"/>
        <v/>
      </c>
      <c r="Y927" s="990"/>
      <c r="Z927" s="991"/>
      <c r="AA927" s="991"/>
      <c r="AB927" s="992" t="str">
        <f t="shared" si="259"/>
        <v/>
      </c>
      <c r="AC927" s="993" t="str">
        <f t="shared" si="260"/>
        <v/>
      </c>
      <c r="AD927" s="994" t="str">
        <f t="shared" si="261"/>
        <v/>
      </c>
      <c r="AE927" s="995" t="str">
        <f t="shared" si="262"/>
        <v/>
      </c>
      <c r="AF927" s="996"/>
      <c r="AG927" s="997"/>
      <c r="AH927" s="997"/>
      <c r="AI927" s="998" t="str">
        <f t="shared" si="263"/>
        <v/>
      </c>
      <c r="AJ927" s="993" t="str">
        <f t="shared" si="264"/>
        <v/>
      </c>
    </row>
    <row r="928" spans="1:36" ht="16.5" customHeight="1">
      <c r="A928" s="999" t="str">
        <f>'09월 조업일지'!A926</f>
        <v/>
      </c>
      <c r="B928" s="1099" t="str">
        <f>'09월 조업일지'!B926</f>
        <v/>
      </c>
      <c r="C928" s="1000" t="str">
        <f>'09월 화학성분'!D926</f>
        <v/>
      </c>
      <c r="D928" s="1000" t="str">
        <f>'09월 화학성분'!E926</f>
        <v/>
      </c>
      <c r="E928" s="1000" t="str">
        <f>'09월 화학성분'!C926</f>
        <v/>
      </c>
      <c r="F928" s="1001" t="str">
        <f t="shared" si="250"/>
        <v/>
      </c>
      <c r="G928" s="1172"/>
      <c r="H928" s="985"/>
      <c r="I928" s="1173"/>
      <c r="J928" s="985"/>
      <c r="K928" s="1173"/>
      <c r="L928" s="985"/>
      <c r="M928" s="1174" t="str">
        <f t="shared" si="251"/>
        <v/>
      </c>
      <c r="N928" s="984" t="str">
        <f t="shared" si="252"/>
        <v/>
      </c>
      <c r="O928" s="986" t="str">
        <f t="shared" si="253"/>
        <v/>
      </c>
      <c r="P928" s="987" t="str">
        <f t="shared" si="254"/>
        <v/>
      </c>
      <c r="Q928" s="987" t="str">
        <f t="shared" si="255"/>
        <v/>
      </c>
      <c r="R928" s="988" t="str">
        <f t="shared" si="256"/>
        <v/>
      </c>
      <c r="S928" s="989"/>
      <c r="T928" s="990"/>
      <c r="U928" s="991"/>
      <c r="V928" s="991"/>
      <c r="W928" s="992" t="str">
        <f t="shared" si="257"/>
        <v/>
      </c>
      <c r="X928" s="993" t="str">
        <f t="shared" si="258"/>
        <v/>
      </c>
      <c r="Y928" s="990"/>
      <c r="Z928" s="991"/>
      <c r="AA928" s="991"/>
      <c r="AB928" s="992" t="str">
        <f t="shared" si="259"/>
        <v/>
      </c>
      <c r="AC928" s="993" t="str">
        <f t="shared" si="260"/>
        <v/>
      </c>
      <c r="AD928" s="994" t="str">
        <f t="shared" si="261"/>
        <v/>
      </c>
      <c r="AE928" s="995" t="str">
        <f t="shared" si="262"/>
        <v/>
      </c>
      <c r="AF928" s="996"/>
      <c r="AG928" s="997"/>
      <c r="AH928" s="997"/>
      <c r="AI928" s="998" t="str">
        <f t="shared" si="263"/>
        <v/>
      </c>
      <c r="AJ928" s="993" t="str">
        <f t="shared" si="264"/>
        <v/>
      </c>
    </row>
    <row r="929" spans="1:36" ht="16.5" customHeight="1">
      <c r="A929" s="999" t="str">
        <f>'09월 조업일지'!A927</f>
        <v/>
      </c>
      <c r="B929" s="1099" t="str">
        <f>'09월 조업일지'!B927</f>
        <v/>
      </c>
      <c r="C929" s="1000" t="str">
        <f>'09월 화학성분'!D927</f>
        <v/>
      </c>
      <c r="D929" s="1000" t="str">
        <f>'09월 화학성분'!E927</f>
        <v/>
      </c>
      <c r="E929" s="1000" t="str">
        <f>'09월 화학성분'!C927</f>
        <v/>
      </c>
      <c r="F929" s="1001" t="str">
        <f t="shared" si="250"/>
        <v/>
      </c>
      <c r="G929" s="1172"/>
      <c r="H929" s="985"/>
      <c r="I929" s="1173"/>
      <c r="J929" s="985"/>
      <c r="K929" s="1173"/>
      <c r="L929" s="985"/>
      <c r="M929" s="1174" t="str">
        <f t="shared" si="251"/>
        <v/>
      </c>
      <c r="N929" s="984" t="str">
        <f t="shared" si="252"/>
        <v/>
      </c>
      <c r="O929" s="986" t="str">
        <f t="shared" si="253"/>
        <v/>
      </c>
      <c r="P929" s="987" t="str">
        <f t="shared" si="254"/>
        <v/>
      </c>
      <c r="Q929" s="987" t="str">
        <f t="shared" si="255"/>
        <v/>
      </c>
      <c r="R929" s="988" t="str">
        <f t="shared" si="256"/>
        <v/>
      </c>
      <c r="S929" s="989"/>
      <c r="T929" s="990"/>
      <c r="U929" s="991"/>
      <c r="V929" s="991"/>
      <c r="W929" s="992" t="str">
        <f t="shared" si="257"/>
        <v/>
      </c>
      <c r="X929" s="993" t="str">
        <f t="shared" si="258"/>
        <v/>
      </c>
      <c r="Y929" s="990"/>
      <c r="Z929" s="991"/>
      <c r="AA929" s="991"/>
      <c r="AB929" s="992" t="str">
        <f t="shared" si="259"/>
        <v/>
      </c>
      <c r="AC929" s="993" t="str">
        <f t="shared" si="260"/>
        <v/>
      </c>
      <c r="AD929" s="994" t="str">
        <f t="shared" si="261"/>
        <v/>
      </c>
      <c r="AE929" s="995" t="str">
        <f t="shared" si="262"/>
        <v/>
      </c>
      <c r="AF929" s="996"/>
      <c r="AG929" s="997"/>
      <c r="AH929" s="997"/>
      <c r="AI929" s="998" t="str">
        <f t="shared" si="263"/>
        <v/>
      </c>
      <c r="AJ929" s="993" t="str">
        <f t="shared" si="264"/>
        <v/>
      </c>
    </row>
    <row r="930" spans="1:36" ht="16.5" customHeight="1">
      <c r="A930" s="999" t="str">
        <f>'09월 조업일지'!A928</f>
        <v/>
      </c>
      <c r="B930" s="1099" t="str">
        <f>'09월 조업일지'!B928</f>
        <v/>
      </c>
      <c r="C930" s="1000" t="str">
        <f>'09월 화학성분'!D928</f>
        <v/>
      </c>
      <c r="D930" s="1000" t="str">
        <f>'09월 화학성분'!E928</f>
        <v/>
      </c>
      <c r="E930" s="1000" t="str">
        <f>'09월 화학성분'!C928</f>
        <v/>
      </c>
      <c r="F930" s="1001" t="str">
        <f t="shared" si="250"/>
        <v/>
      </c>
      <c r="G930" s="1172"/>
      <c r="H930" s="985"/>
      <c r="I930" s="1173"/>
      <c r="J930" s="985"/>
      <c r="K930" s="1173"/>
      <c r="L930" s="985"/>
      <c r="M930" s="1174" t="str">
        <f t="shared" si="251"/>
        <v/>
      </c>
      <c r="N930" s="984" t="str">
        <f t="shared" si="252"/>
        <v/>
      </c>
      <c r="O930" s="986" t="str">
        <f t="shared" si="253"/>
        <v/>
      </c>
      <c r="P930" s="987" t="str">
        <f t="shared" si="254"/>
        <v/>
      </c>
      <c r="Q930" s="987" t="str">
        <f t="shared" si="255"/>
        <v/>
      </c>
      <c r="R930" s="988" t="str">
        <f t="shared" si="256"/>
        <v/>
      </c>
      <c r="S930" s="989"/>
      <c r="T930" s="990"/>
      <c r="U930" s="991"/>
      <c r="V930" s="991"/>
      <c r="W930" s="992" t="str">
        <f t="shared" si="257"/>
        <v/>
      </c>
      <c r="X930" s="993" t="str">
        <f t="shared" si="258"/>
        <v/>
      </c>
      <c r="Y930" s="990"/>
      <c r="Z930" s="991"/>
      <c r="AA930" s="991"/>
      <c r="AB930" s="992" t="str">
        <f t="shared" si="259"/>
        <v/>
      </c>
      <c r="AC930" s="993" t="str">
        <f t="shared" si="260"/>
        <v/>
      </c>
      <c r="AD930" s="994" t="str">
        <f t="shared" si="261"/>
        <v/>
      </c>
      <c r="AE930" s="995" t="str">
        <f t="shared" si="262"/>
        <v/>
      </c>
      <c r="AF930" s="996"/>
      <c r="AG930" s="997"/>
      <c r="AH930" s="997"/>
      <c r="AI930" s="998" t="str">
        <f t="shared" si="263"/>
        <v/>
      </c>
      <c r="AJ930" s="993" t="str">
        <f t="shared" si="264"/>
        <v/>
      </c>
    </row>
    <row r="931" spans="1:36" ht="16.5" customHeight="1">
      <c r="A931" s="999" t="str">
        <f>'09월 조업일지'!A929</f>
        <v/>
      </c>
      <c r="B931" s="1099" t="str">
        <f>'09월 조업일지'!B929</f>
        <v/>
      </c>
      <c r="C931" s="1000" t="str">
        <f>'09월 화학성분'!D929</f>
        <v/>
      </c>
      <c r="D931" s="1000" t="str">
        <f>'09월 화학성분'!E929</f>
        <v/>
      </c>
      <c r="E931" s="1000" t="str">
        <f>'09월 화학성분'!C929</f>
        <v/>
      </c>
      <c r="F931" s="1001" t="str">
        <f t="shared" si="250"/>
        <v/>
      </c>
      <c r="G931" s="1172"/>
      <c r="H931" s="985"/>
      <c r="I931" s="1173"/>
      <c r="J931" s="985"/>
      <c r="K931" s="1173"/>
      <c r="L931" s="985"/>
      <c r="M931" s="1174" t="str">
        <f t="shared" si="251"/>
        <v/>
      </c>
      <c r="N931" s="984" t="str">
        <f t="shared" si="252"/>
        <v/>
      </c>
      <c r="O931" s="986" t="str">
        <f t="shared" si="253"/>
        <v/>
      </c>
      <c r="P931" s="987" t="str">
        <f t="shared" si="254"/>
        <v/>
      </c>
      <c r="Q931" s="987" t="str">
        <f t="shared" si="255"/>
        <v/>
      </c>
      <c r="R931" s="988" t="str">
        <f t="shared" si="256"/>
        <v/>
      </c>
      <c r="S931" s="989"/>
      <c r="T931" s="990"/>
      <c r="U931" s="991"/>
      <c r="V931" s="991"/>
      <c r="W931" s="992" t="str">
        <f t="shared" si="257"/>
        <v/>
      </c>
      <c r="X931" s="993" t="str">
        <f t="shared" si="258"/>
        <v/>
      </c>
      <c r="Y931" s="990"/>
      <c r="Z931" s="991"/>
      <c r="AA931" s="991"/>
      <c r="AB931" s="992" t="str">
        <f t="shared" si="259"/>
        <v/>
      </c>
      <c r="AC931" s="993" t="str">
        <f t="shared" si="260"/>
        <v/>
      </c>
      <c r="AD931" s="994" t="str">
        <f t="shared" si="261"/>
        <v/>
      </c>
      <c r="AE931" s="995" t="str">
        <f t="shared" si="262"/>
        <v/>
      </c>
      <c r="AF931" s="996"/>
      <c r="AG931" s="997"/>
      <c r="AH931" s="997"/>
      <c r="AI931" s="998" t="str">
        <f t="shared" si="263"/>
        <v/>
      </c>
      <c r="AJ931" s="993" t="str">
        <f t="shared" si="264"/>
        <v/>
      </c>
    </row>
    <row r="932" spans="1:36" ht="16.5" customHeight="1">
      <c r="A932" s="999" t="str">
        <f>'09월 조업일지'!A930</f>
        <v/>
      </c>
      <c r="B932" s="1099" t="str">
        <f>'09월 조업일지'!B930</f>
        <v/>
      </c>
      <c r="C932" s="1000" t="str">
        <f>'09월 화학성분'!D930</f>
        <v/>
      </c>
      <c r="D932" s="1000" t="str">
        <f>'09월 화학성분'!E930</f>
        <v/>
      </c>
      <c r="E932" s="1000" t="str">
        <f>'09월 화학성분'!C930</f>
        <v/>
      </c>
      <c r="F932" s="1001" t="str">
        <f t="shared" si="250"/>
        <v/>
      </c>
      <c r="G932" s="1172"/>
      <c r="H932" s="985"/>
      <c r="I932" s="1173"/>
      <c r="J932" s="985"/>
      <c r="K932" s="1173"/>
      <c r="L932" s="985"/>
      <c r="M932" s="1174" t="str">
        <f t="shared" si="251"/>
        <v/>
      </c>
      <c r="N932" s="984" t="str">
        <f t="shared" si="252"/>
        <v/>
      </c>
      <c r="O932" s="986" t="str">
        <f t="shared" si="253"/>
        <v/>
      </c>
      <c r="P932" s="987" t="str">
        <f t="shared" si="254"/>
        <v/>
      </c>
      <c r="Q932" s="987" t="str">
        <f t="shared" si="255"/>
        <v/>
      </c>
      <c r="R932" s="988" t="str">
        <f t="shared" si="256"/>
        <v/>
      </c>
      <c r="S932" s="989"/>
      <c r="T932" s="990"/>
      <c r="U932" s="991"/>
      <c r="V932" s="991"/>
      <c r="W932" s="992" t="str">
        <f t="shared" si="257"/>
        <v/>
      </c>
      <c r="X932" s="993" t="str">
        <f t="shared" si="258"/>
        <v/>
      </c>
      <c r="Y932" s="990"/>
      <c r="Z932" s="991"/>
      <c r="AA932" s="991"/>
      <c r="AB932" s="992" t="str">
        <f t="shared" si="259"/>
        <v/>
      </c>
      <c r="AC932" s="993" t="str">
        <f t="shared" si="260"/>
        <v/>
      </c>
      <c r="AD932" s="994" t="str">
        <f t="shared" si="261"/>
        <v/>
      </c>
      <c r="AE932" s="995" t="str">
        <f t="shared" si="262"/>
        <v/>
      </c>
      <c r="AF932" s="996"/>
      <c r="AG932" s="997"/>
      <c r="AH932" s="997"/>
      <c r="AI932" s="998" t="str">
        <f t="shared" si="263"/>
        <v/>
      </c>
      <c r="AJ932" s="993" t="str">
        <f t="shared" si="264"/>
        <v/>
      </c>
    </row>
    <row r="933" spans="1:36" ht="16.5" customHeight="1">
      <c r="A933" s="999" t="str">
        <f>'09월 조업일지'!A931</f>
        <v/>
      </c>
      <c r="B933" s="1099" t="str">
        <f>'09월 조업일지'!B931</f>
        <v/>
      </c>
      <c r="C933" s="1000" t="str">
        <f>'09월 화학성분'!D931</f>
        <v/>
      </c>
      <c r="D933" s="1000" t="str">
        <f>'09월 화학성분'!E931</f>
        <v/>
      </c>
      <c r="E933" s="1000" t="str">
        <f>'09월 화학성분'!C931</f>
        <v/>
      </c>
      <c r="F933" s="1001" t="str">
        <f t="shared" si="250"/>
        <v/>
      </c>
      <c r="G933" s="1172"/>
      <c r="H933" s="985"/>
      <c r="I933" s="1173"/>
      <c r="J933" s="985"/>
      <c r="K933" s="1173"/>
      <c r="L933" s="985"/>
      <c r="M933" s="1174" t="str">
        <f t="shared" si="251"/>
        <v/>
      </c>
      <c r="N933" s="984" t="str">
        <f t="shared" si="252"/>
        <v/>
      </c>
      <c r="O933" s="986" t="str">
        <f t="shared" si="253"/>
        <v/>
      </c>
      <c r="P933" s="987" t="str">
        <f t="shared" si="254"/>
        <v/>
      </c>
      <c r="Q933" s="987" t="str">
        <f t="shared" si="255"/>
        <v/>
      </c>
      <c r="R933" s="988" t="str">
        <f t="shared" si="256"/>
        <v/>
      </c>
      <c r="S933" s="989"/>
      <c r="T933" s="990"/>
      <c r="U933" s="991"/>
      <c r="V933" s="991"/>
      <c r="W933" s="992" t="str">
        <f t="shared" si="257"/>
        <v/>
      </c>
      <c r="X933" s="993" t="str">
        <f t="shared" si="258"/>
        <v/>
      </c>
      <c r="Y933" s="990"/>
      <c r="Z933" s="991"/>
      <c r="AA933" s="991"/>
      <c r="AB933" s="992" t="str">
        <f t="shared" si="259"/>
        <v/>
      </c>
      <c r="AC933" s="993" t="str">
        <f t="shared" si="260"/>
        <v/>
      </c>
      <c r="AD933" s="994" t="str">
        <f t="shared" si="261"/>
        <v/>
      </c>
      <c r="AE933" s="995" t="str">
        <f t="shared" si="262"/>
        <v/>
      </c>
      <c r="AF933" s="996"/>
      <c r="AG933" s="997"/>
      <c r="AH933" s="997"/>
      <c r="AI933" s="998" t="str">
        <f t="shared" si="263"/>
        <v/>
      </c>
      <c r="AJ933" s="993" t="str">
        <f t="shared" si="264"/>
        <v/>
      </c>
    </row>
    <row r="934" spans="1:36" ht="16.5" customHeight="1">
      <c r="A934" s="999" t="str">
        <f>'09월 조업일지'!A932</f>
        <v/>
      </c>
      <c r="B934" s="1099" t="str">
        <f>'09월 조업일지'!B932</f>
        <v/>
      </c>
      <c r="C934" s="1000" t="str">
        <f>'09월 화학성분'!D932</f>
        <v/>
      </c>
      <c r="D934" s="1000" t="str">
        <f>'09월 화학성분'!E932</f>
        <v/>
      </c>
      <c r="E934" s="1000" t="str">
        <f>'09월 화학성분'!C932</f>
        <v/>
      </c>
      <c r="F934" s="1001" t="str">
        <f t="shared" si="250"/>
        <v/>
      </c>
      <c r="G934" s="1172"/>
      <c r="H934" s="985"/>
      <c r="I934" s="1173"/>
      <c r="J934" s="985"/>
      <c r="K934" s="1173"/>
      <c r="L934" s="985"/>
      <c r="M934" s="1174" t="str">
        <f t="shared" si="251"/>
        <v/>
      </c>
      <c r="N934" s="984" t="str">
        <f t="shared" si="252"/>
        <v/>
      </c>
      <c r="O934" s="986" t="str">
        <f t="shared" si="253"/>
        <v/>
      </c>
      <c r="P934" s="987" t="str">
        <f t="shared" si="254"/>
        <v/>
      </c>
      <c r="Q934" s="987" t="str">
        <f t="shared" si="255"/>
        <v/>
      </c>
      <c r="R934" s="988" t="str">
        <f t="shared" si="256"/>
        <v/>
      </c>
      <c r="S934" s="989"/>
      <c r="T934" s="990"/>
      <c r="U934" s="991"/>
      <c r="V934" s="991"/>
      <c r="W934" s="992" t="str">
        <f t="shared" si="257"/>
        <v/>
      </c>
      <c r="X934" s="993" t="str">
        <f t="shared" si="258"/>
        <v/>
      </c>
      <c r="Y934" s="990"/>
      <c r="Z934" s="991"/>
      <c r="AA934" s="991"/>
      <c r="AB934" s="992" t="str">
        <f t="shared" si="259"/>
        <v/>
      </c>
      <c r="AC934" s="993" t="str">
        <f t="shared" si="260"/>
        <v/>
      </c>
      <c r="AD934" s="994" t="str">
        <f t="shared" si="261"/>
        <v/>
      </c>
      <c r="AE934" s="995" t="str">
        <f t="shared" si="262"/>
        <v/>
      </c>
      <c r="AF934" s="996"/>
      <c r="AG934" s="997"/>
      <c r="AH934" s="997"/>
      <c r="AI934" s="998" t="str">
        <f t="shared" si="263"/>
        <v/>
      </c>
      <c r="AJ934" s="993" t="str">
        <f t="shared" si="264"/>
        <v/>
      </c>
    </row>
    <row r="935" spans="1:36" ht="16.5" customHeight="1">
      <c r="A935" s="999" t="str">
        <f>'09월 조업일지'!A933</f>
        <v/>
      </c>
      <c r="B935" s="1099" t="str">
        <f>'09월 조업일지'!B933</f>
        <v/>
      </c>
      <c r="C935" s="1000" t="str">
        <f>'09월 화학성분'!D933</f>
        <v/>
      </c>
      <c r="D935" s="1000" t="str">
        <f>'09월 화학성분'!E933</f>
        <v/>
      </c>
      <c r="E935" s="1000" t="str">
        <f>'09월 화학성분'!C933</f>
        <v/>
      </c>
      <c r="F935" s="1001" t="str">
        <f t="shared" si="250"/>
        <v/>
      </c>
      <c r="G935" s="1172"/>
      <c r="H935" s="985"/>
      <c r="I935" s="1173"/>
      <c r="J935" s="985"/>
      <c r="K935" s="1173"/>
      <c r="L935" s="985"/>
      <c r="M935" s="1174" t="str">
        <f t="shared" si="251"/>
        <v/>
      </c>
      <c r="N935" s="984" t="str">
        <f t="shared" si="252"/>
        <v/>
      </c>
      <c r="O935" s="986" t="str">
        <f t="shared" si="253"/>
        <v/>
      </c>
      <c r="P935" s="987" t="str">
        <f t="shared" si="254"/>
        <v/>
      </c>
      <c r="Q935" s="987" t="str">
        <f t="shared" si="255"/>
        <v/>
      </c>
      <c r="R935" s="988" t="str">
        <f t="shared" si="256"/>
        <v/>
      </c>
      <c r="S935" s="989"/>
      <c r="T935" s="990"/>
      <c r="U935" s="991"/>
      <c r="V935" s="991"/>
      <c r="W935" s="992" t="str">
        <f t="shared" si="257"/>
        <v/>
      </c>
      <c r="X935" s="993" t="str">
        <f t="shared" si="258"/>
        <v/>
      </c>
      <c r="Y935" s="990"/>
      <c r="Z935" s="991"/>
      <c r="AA935" s="991"/>
      <c r="AB935" s="992" t="str">
        <f t="shared" si="259"/>
        <v/>
      </c>
      <c r="AC935" s="993" t="str">
        <f t="shared" si="260"/>
        <v/>
      </c>
      <c r="AD935" s="994" t="str">
        <f t="shared" si="261"/>
        <v/>
      </c>
      <c r="AE935" s="995" t="str">
        <f t="shared" si="262"/>
        <v/>
      </c>
      <c r="AF935" s="996"/>
      <c r="AG935" s="997"/>
      <c r="AH935" s="997"/>
      <c r="AI935" s="998" t="str">
        <f t="shared" si="263"/>
        <v/>
      </c>
      <c r="AJ935" s="993" t="str">
        <f t="shared" si="264"/>
        <v/>
      </c>
    </row>
    <row r="936" spans="1:36" ht="16.5" customHeight="1">
      <c r="A936" s="999" t="str">
        <f>'09월 조업일지'!A934</f>
        <v/>
      </c>
      <c r="B936" s="1099" t="str">
        <f>'09월 조업일지'!B934</f>
        <v/>
      </c>
      <c r="C936" s="1000" t="str">
        <f>'09월 화학성분'!D934</f>
        <v/>
      </c>
      <c r="D936" s="1000" t="str">
        <f>'09월 화학성분'!E934</f>
        <v/>
      </c>
      <c r="E936" s="1000" t="str">
        <f>'09월 화학성분'!C934</f>
        <v/>
      </c>
      <c r="F936" s="1001" t="str">
        <f t="shared" si="250"/>
        <v/>
      </c>
      <c r="G936" s="1172"/>
      <c r="H936" s="985"/>
      <c r="I936" s="1173"/>
      <c r="J936" s="985"/>
      <c r="K936" s="1173"/>
      <c r="L936" s="985"/>
      <c r="M936" s="1174" t="str">
        <f t="shared" si="251"/>
        <v/>
      </c>
      <c r="N936" s="984" t="str">
        <f t="shared" si="252"/>
        <v/>
      </c>
      <c r="O936" s="986" t="str">
        <f t="shared" si="253"/>
        <v/>
      </c>
      <c r="P936" s="987" t="str">
        <f t="shared" si="254"/>
        <v/>
      </c>
      <c r="Q936" s="987" t="str">
        <f t="shared" si="255"/>
        <v/>
      </c>
      <c r="R936" s="988" t="str">
        <f t="shared" si="256"/>
        <v/>
      </c>
      <c r="S936" s="989"/>
      <c r="T936" s="990"/>
      <c r="U936" s="991"/>
      <c r="V936" s="991"/>
      <c r="W936" s="992" t="str">
        <f t="shared" si="257"/>
        <v/>
      </c>
      <c r="X936" s="993" t="str">
        <f t="shared" si="258"/>
        <v/>
      </c>
      <c r="Y936" s="990"/>
      <c r="Z936" s="991"/>
      <c r="AA936" s="991"/>
      <c r="AB936" s="992" t="str">
        <f t="shared" si="259"/>
        <v/>
      </c>
      <c r="AC936" s="993" t="str">
        <f t="shared" si="260"/>
        <v/>
      </c>
      <c r="AD936" s="994" t="str">
        <f t="shared" si="261"/>
        <v/>
      </c>
      <c r="AE936" s="995" t="str">
        <f t="shared" si="262"/>
        <v/>
      </c>
      <c r="AF936" s="996"/>
      <c r="AG936" s="997"/>
      <c r="AH936" s="997"/>
      <c r="AI936" s="998" t="str">
        <f t="shared" si="263"/>
        <v/>
      </c>
      <c r="AJ936" s="993" t="str">
        <f t="shared" si="264"/>
        <v/>
      </c>
    </row>
    <row r="937" spans="1:36" ht="16.5" customHeight="1">
      <c r="A937" s="999" t="str">
        <f>'09월 조업일지'!A935</f>
        <v/>
      </c>
      <c r="B937" s="1099" t="str">
        <f>'09월 조업일지'!B935</f>
        <v/>
      </c>
      <c r="C937" s="1000" t="str">
        <f>'09월 화학성분'!D935</f>
        <v/>
      </c>
      <c r="D937" s="1000" t="str">
        <f>'09월 화학성분'!E935</f>
        <v/>
      </c>
      <c r="E937" s="1000" t="str">
        <f>'09월 화학성분'!C935</f>
        <v/>
      </c>
      <c r="F937" s="1001" t="str">
        <f t="shared" si="250"/>
        <v/>
      </c>
      <c r="G937" s="1172"/>
      <c r="H937" s="985"/>
      <c r="I937" s="1173"/>
      <c r="J937" s="985"/>
      <c r="K937" s="1173"/>
      <c r="L937" s="985"/>
      <c r="M937" s="1174" t="str">
        <f t="shared" si="251"/>
        <v/>
      </c>
      <c r="N937" s="984" t="str">
        <f t="shared" si="252"/>
        <v/>
      </c>
      <c r="O937" s="986" t="str">
        <f t="shared" si="253"/>
        <v/>
      </c>
      <c r="P937" s="987" t="str">
        <f t="shared" si="254"/>
        <v/>
      </c>
      <c r="Q937" s="987" t="str">
        <f t="shared" si="255"/>
        <v/>
      </c>
      <c r="R937" s="988" t="str">
        <f t="shared" si="256"/>
        <v/>
      </c>
      <c r="S937" s="989"/>
      <c r="T937" s="990"/>
      <c r="U937" s="991"/>
      <c r="V937" s="991"/>
      <c r="W937" s="992" t="str">
        <f t="shared" si="257"/>
        <v/>
      </c>
      <c r="X937" s="993" t="str">
        <f t="shared" si="258"/>
        <v/>
      </c>
      <c r="Y937" s="990"/>
      <c r="Z937" s="991"/>
      <c r="AA937" s="991"/>
      <c r="AB937" s="992" t="str">
        <f t="shared" si="259"/>
        <v/>
      </c>
      <c r="AC937" s="993" t="str">
        <f t="shared" si="260"/>
        <v/>
      </c>
      <c r="AD937" s="994" t="str">
        <f t="shared" si="261"/>
        <v/>
      </c>
      <c r="AE937" s="995" t="str">
        <f t="shared" si="262"/>
        <v/>
      </c>
      <c r="AF937" s="996"/>
      <c r="AG937" s="997"/>
      <c r="AH937" s="997"/>
      <c r="AI937" s="998" t="str">
        <f t="shared" si="263"/>
        <v/>
      </c>
      <c r="AJ937" s="993" t="str">
        <f t="shared" si="264"/>
        <v/>
      </c>
    </row>
    <row r="938" spans="1:36" ht="16.5" customHeight="1">
      <c r="A938" s="999" t="str">
        <f>'09월 조업일지'!A936</f>
        <v/>
      </c>
      <c r="B938" s="1099" t="str">
        <f>'09월 조업일지'!B936</f>
        <v/>
      </c>
      <c r="C938" s="1000" t="str">
        <f>'09월 화학성분'!D936</f>
        <v/>
      </c>
      <c r="D938" s="1000" t="str">
        <f>'09월 화학성분'!E936</f>
        <v/>
      </c>
      <c r="E938" s="1000" t="str">
        <f>'09월 화학성분'!C936</f>
        <v/>
      </c>
      <c r="F938" s="1001" t="str">
        <f t="shared" si="250"/>
        <v/>
      </c>
      <c r="G938" s="1172"/>
      <c r="H938" s="985"/>
      <c r="I938" s="1173"/>
      <c r="J938" s="985"/>
      <c r="K938" s="1173"/>
      <c r="L938" s="985"/>
      <c r="M938" s="1174" t="str">
        <f t="shared" si="251"/>
        <v/>
      </c>
      <c r="N938" s="984" t="str">
        <f t="shared" si="252"/>
        <v/>
      </c>
      <c r="O938" s="986" t="str">
        <f t="shared" si="253"/>
        <v/>
      </c>
      <c r="P938" s="987" t="str">
        <f t="shared" si="254"/>
        <v/>
      </c>
      <c r="Q938" s="987" t="str">
        <f t="shared" si="255"/>
        <v/>
      </c>
      <c r="R938" s="988" t="str">
        <f t="shared" si="256"/>
        <v/>
      </c>
      <c r="S938" s="989"/>
      <c r="T938" s="990"/>
      <c r="U938" s="991"/>
      <c r="V938" s="991"/>
      <c r="W938" s="992" t="str">
        <f t="shared" si="257"/>
        <v/>
      </c>
      <c r="X938" s="993" t="str">
        <f t="shared" si="258"/>
        <v/>
      </c>
      <c r="Y938" s="990"/>
      <c r="Z938" s="991"/>
      <c r="AA938" s="991"/>
      <c r="AB938" s="992" t="str">
        <f t="shared" si="259"/>
        <v/>
      </c>
      <c r="AC938" s="993" t="str">
        <f t="shared" si="260"/>
        <v/>
      </c>
      <c r="AD938" s="994" t="str">
        <f t="shared" si="261"/>
        <v/>
      </c>
      <c r="AE938" s="995" t="str">
        <f t="shared" si="262"/>
        <v/>
      </c>
      <c r="AF938" s="996"/>
      <c r="AG938" s="997"/>
      <c r="AH938" s="997"/>
      <c r="AI938" s="998" t="str">
        <f t="shared" si="263"/>
        <v/>
      </c>
      <c r="AJ938" s="993" t="str">
        <f t="shared" si="264"/>
        <v/>
      </c>
    </row>
    <row r="939" spans="1:36" ht="16.5" customHeight="1">
      <c r="A939" s="999" t="str">
        <f>'09월 조업일지'!A937</f>
        <v/>
      </c>
      <c r="B939" s="1099" t="str">
        <f>'09월 조업일지'!B937</f>
        <v/>
      </c>
      <c r="C939" s="1000" t="str">
        <f>'09월 화학성분'!D937</f>
        <v/>
      </c>
      <c r="D939" s="1000" t="str">
        <f>'09월 화학성분'!E937</f>
        <v/>
      </c>
      <c r="E939" s="1000" t="str">
        <f>'09월 화학성분'!C937</f>
        <v/>
      </c>
      <c r="F939" s="1001" t="str">
        <f t="shared" si="250"/>
        <v/>
      </c>
      <c r="G939" s="1172"/>
      <c r="H939" s="985"/>
      <c r="I939" s="1173"/>
      <c r="J939" s="985"/>
      <c r="K939" s="1173"/>
      <c r="L939" s="985"/>
      <c r="M939" s="1174" t="str">
        <f t="shared" si="251"/>
        <v/>
      </c>
      <c r="N939" s="984" t="str">
        <f t="shared" si="252"/>
        <v/>
      </c>
      <c r="O939" s="986" t="str">
        <f t="shared" si="253"/>
        <v/>
      </c>
      <c r="P939" s="987" t="str">
        <f t="shared" si="254"/>
        <v/>
      </c>
      <c r="Q939" s="987" t="str">
        <f t="shared" si="255"/>
        <v/>
      </c>
      <c r="R939" s="988" t="str">
        <f t="shared" si="256"/>
        <v/>
      </c>
      <c r="S939" s="989"/>
      <c r="T939" s="990"/>
      <c r="U939" s="991"/>
      <c r="V939" s="991"/>
      <c r="W939" s="992" t="str">
        <f t="shared" si="257"/>
        <v/>
      </c>
      <c r="X939" s="993" t="str">
        <f t="shared" si="258"/>
        <v/>
      </c>
      <c r="Y939" s="990"/>
      <c r="Z939" s="991"/>
      <c r="AA939" s="991"/>
      <c r="AB939" s="992" t="str">
        <f t="shared" si="259"/>
        <v/>
      </c>
      <c r="AC939" s="993" t="str">
        <f t="shared" si="260"/>
        <v/>
      </c>
      <c r="AD939" s="994" t="str">
        <f t="shared" si="261"/>
        <v/>
      </c>
      <c r="AE939" s="995" t="str">
        <f t="shared" si="262"/>
        <v/>
      </c>
      <c r="AF939" s="996"/>
      <c r="AG939" s="997"/>
      <c r="AH939" s="997"/>
      <c r="AI939" s="998" t="str">
        <f t="shared" si="263"/>
        <v/>
      </c>
      <c r="AJ939" s="993" t="str">
        <f t="shared" si="264"/>
        <v/>
      </c>
    </row>
    <row r="940" spans="1:36" ht="16.5" customHeight="1">
      <c r="A940" s="999" t="str">
        <f>'09월 조업일지'!A938</f>
        <v/>
      </c>
      <c r="B940" s="1099" t="str">
        <f>'09월 조업일지'!B938</f>
        <v/>
      </c>
      <c r="C940" s="1000" t="str">
        <f>'09월 화학성분'!D938</f>
        <v/>
      </c>
      <c r="D940" s="1000" t="str">
        <f>'09월 화학성분'!E938</f>
        <v/>
      </c>
      <c r="E940" s="1000" t="str">
        <f>'09월 화학성분'!C938</f>
        <v/>
      </c>
      <c r="F940" s="1001" t="str">
        <f t="shared" si="250"/>
        <v/>
      </c>
      <c r="G940" s="1172"/>
      <c r="H940" s="985"/>
      <c r="I940" s="1173"/>
      <c r="J940" s="985"/>
      <c r="K940" s="1173"/>
      <c r="L940" s="985"/>
      <c r="M940" s="1174" t="str">
        <f t="shared" si="251"/>
        <v/>
      </c>
      <c r="N940" s="984" t="str">
        <f t="shared" si="252"/>
        <v/>
      </c>
      <c r="O940" s="986" t="str">
        <f t="shared" si="253"/>
        <v/>
      </c>
      <c r="P940" s="987" t="str">
        <f t="shared" si="254"/>
        <v/>
      </c>
      <c r="Q940" s="987" t="str">
        <f t="shared" si="255"/>
        <v/>
      </c>
      <c r="R940" s="988" t="str">
        <f t="shared" si="256"/>
        <v/>
      </c>
      <c r="S940" s="989"/>
      <c r="T940" s="990"/>
      <c r="U940" s="991"/>
      <c r="V940" s="991"/>
      <c r="W940" s="992" t="str">
        <f t="shared" si="257"/>
        <v/>
      </c>
      <c r="X940" s="993" t="str">
        <f t="shared" si="258"/>
        <v/>
      </c>
      <c r="Y940" s="990"/>
      <c r="Z940" s="991"/>
      <c r="AA940" s="991"/>
      <c r="AB940" s="992" t="str">
        <f t="shared" si="259"/>
        <v/>
      </c>
      <c r="AC940" s="993" t="str">
        <f t="shared" si="260"/>
        <v/>
      </c>
      <c r="AD940" s="994" t="str">
        <f t="shared" si="261"/>
        <v/>
      </c>
      <c r="AE940" s="995" t="str">
        <f t="shared" si="262"/>
        <v/>
      </c>
      <c r="AF940" s="996"/>
      <c r="AG940" s="997"/>
      <c r="AH940" s="997"/>
      <c r="AI940" s="998" t="str">
        <f t="shared" si="263"/>
        <v/>
      </c>
      <c r="AJ940" s="993" t="str">
        <f t="shared" si="264"/>
        <v/>
      </c>
    </row>
    <row r="941" spans="1:36" ht="16.5" customHeight="1">
      <c r="A941" s="999" t="str">
        <f>'09월 조업일지'!A939</f>
        <v/>
      </c>
      <c r="B941" s="1099" t="str">
        <f>'09월 조업일지'!B939</f>
        <v/>
      </c>
      <c r="C941" s="1000" t="str">
        <f>'09월 화학성분'!D939</f>
        <v/>
      </c>
      <c r="D941" s="1000" t="str">
        <f>'09월 화학성분'!E939</f>
        <v/>
      </c>
      <c r="E941" s="1000" t="str">
        <f>'09월 화학성분'!C939</f>
        <v/>
      </c>
      <c r="F941" s="1001" t="str">
        <f t="shared" si="250"/>
        <v/>
      </c>
      <c r="G941" s="1172"/>
      <c r="H941" s="985"/>
      <c r="I941" s="1173"/>
      <c r="J941" s="985"/>
      <c r="K941" s="1173"/>
      <c r="L941" s="985"/>
      <c r="M941" s="1174" t="str">
        <f t="shared" si="251"/>
        <v/>
      </c>
      <c r="N941" s="984" t="str">
        <f t="shared" si="252"/>
        <v/>
      </c>
      <c r="O941" s="986" t="str">
        <f t="shared" si="253"/>
        <v/>
      </c>
      <c r="P941" s="987" t="str">
        <f t="shared" si="254"/>
        <v/>
      </c>
      <c r="Q941" s="987" t="str">
        <f t="shared" si="255"/>
        <v/>
      </c>
      <c r="R941" s="988" t="str">
        <f t="shared" si="256"/>
        <v/>
      </c>
      <c r="S941" s="989"/>
      <c r="T941" s="990"/>
      <c r="U941" s="991"/>
      <c r="V941" s="991"/>
      <c r="W941" s="992" t="str">
        <f t="shared" si="257"/>
        <v/>
      </c>
      <c r="X941" s="993" t="str">
        <f t="shared" si="258"/>
        <v/>
      </c>
      <c r="Y941" s="990"/>
      <c r="Z941" s="991"/>
      <c r="AA941" s="991"/>
      <c r="AB941" s="992" t="str">
        <f t="shared" si="259"/>
        <v/>
      </c>
      <c r="AC941" s="993" t="str">
        <f t="shared" si="260"/>
        <v/>
      </c>
      <c r="AD941" s="994" t="str">
        <f t="shared" si="261"/>
        <v/>
      </c>
      <c r="AE941" s="995" t="str">
        <f t="shared" si="262"/>
        <v/>
      </c>
      <c r="AF941" s="996"/>
      <c r="AG941" s="997"/>
      <c r="AH941" s="997"/>
      <c r="AI941" s="998" t="str">
        <f t="shared" si="263"/>
        <v/>
      </c>
      <c r="AJ941" s="993" t="str">
        <f t="shared" si="264"/>
        <v/>
      </c>
    </row>
    <row r="942" spans="1:36" ht="16.5" customHeight="1">
      <c r="A942" s="999" t="str">
        <f>'09월 조업일지'!A940</f>
        <v/>
      </c>
      <c r="B942" s="1099" t="str">
        <f>'09월 조업일지'!B940</f>
        <v/>
      </c>
      <c r="C942" s="1000" t="str">
        <f>'09월 화학성분'!D940</f>
        <v/>
      </c>
      <c r="D942" s="1000" t="str">
        <f>'09월 화학성분'!E940</f>
        <v/>
      </c>
      <c r="E942" s="1000" t="str">
        <f>'09월 화학성분'!C940</f>
        <v/>
      </c>
      <c r="F942" s="1001" t="str">
        <f t="shared" si="250"/>
        <v/>
      </c>
      <c r="G942" s="1172"/>
      <c r="H942" s="985"/>
      <c r="I942" s="1173"/>
      <c r="J942" s="985"/>
      <c r="K942" s="1173"/>
      <c r="L942" s="985"/>
      <c r="M942" s="1174" t="str">
        <f t="shared" si="251"/>
        <v/>
      </c>
      <c r="N942" s="984" t="str">
        <f t="shared" si="252"/>
        <v/>
      </c>
      <c r="O942" s="986" t="str">
        <f t="shared" si="253"/>
        <v/>
      </c>
      <c r="P942" s="987" t="str">
        <f t="shared" si="254"/>
        <v/>
      </c>
      <c r="Q942" s="987" t="str">
        <f t="shared" si="255"/>
        <v/>
      </c>
      <c r="R942" s="988" t="str">
        <f t="shared" si="256"/>
        <v/>
      </c>
      <c r="S942" s="989"/>
      <c r="T942" s="990"/>
      <c r="U942" s="991"/>
      <c r="V942" s="991"/>
      <c r="W942" s="992" t="str">
        <f t="shared" si="257"/>
        <v/>
      </c>
      <c r="X942" s="993" t="str">
        <f t="shared" si="258"/>
        <v/>
      </c>
      <c r="Y942" s="990"/>
      <c r="Z942" s="991"/>
      <c r="AA942" s="991"/>
      <c r="AB942" s="992" t="str">
        <f t="shared" si="259"/>
        <v/>
      </c>
      <c r="AC942" s="993" t="str">
        <f t="shared" si="260"/>
        <v/>
      </c>
      <c r="AD942" s="994" t="str">
        <f t="shared" si="261"/>
        <v/>
      </c>
      <c r="AE942" s="995" t="str">
        <f t="shared" si="262"/>
        <v/>
      </c>
      <c r="AF942" s="996"/>
      <c r="AG942" s="997"/>
      <c r="AH942" s="997"/>
      <c r="AI942" s="998" t="str">
        <f t="shared" si="263"/>
        <v/>
      </c>
      <c r="AJ942" s="993" t="str">
        <f t="shared" si="264"/>
        <v/>
      </c>
    </row>
    <row r="943" spans="1:36" ht="16.5" customHeight="1">
      <c r="A943" s="999" t="str">
        <f>'09월 조업일지'!A941</f>
        <v/>
      </c>
      <c r="B943" s="1099" t="str">
        <f>'09월 조업일지'!B941</f>
        <v/>
      </c>
      <c r="C943" s="1000" t="str">
        <f>'09월 화학성분'!D941</f>
        <v/>
      </c>
      <c r="D943" s="1000" t="str">
        <f>'09월 화학성분'!E941</f>
        <v/>
      </c>
      <c r="E943" s="1000" t="str">
        <f>'09월 화학성분'!C941</f>
        <v/>
      </c>
      <c r="F943" s="1001" t="str">
        <f t="shared" si="250"/>
        <v/>
      </c>
      <c r="G943" s="1172"/>
      <c r="H943" s="985"/>
      <c r="I943" s="1173"/>
      <c r="J943" s="985"/>
      <c r="K943" s="1173"/>
      <c r="L943" s="985"/>
      <c r="M943" s="1174" t="str">
        <f t="shared" si="251"/>
        <v/>
      </c>
      <c r="N943" s="984" t="str">
        <f t="shared" si="252"/>
        <v/>
      </c>
      <c r="O943" s="986" t="str">
        <f t="shared" si="253"/>
        <v/>
      </c>
      <c r="P943" s="987" t="str">
        <f t="shared" si="254"/>
        <v/>
      </c>
      <c r="Q943" s="987" t="str">
        <f t="shared" si="255"/>
        <v/>
      </c>
      <c r="R943" s="988" t="str">
        <f t="shared" si="256"/>
        <v/>
      </c>
      <c r="S943" s="989"/>
      <c r="T943" s="990"/>
      <c r="U943" s="991"/>
      <c r="V943" s="991"/>
      <c r="W943" s="992" t="str">
        <f t="shared" si="257"/>
        <v/>
      </c>
      <c r="X943" s="993" t="str">
        <f t="shared" si="258"/>
        <v/>
      </c>
      <c r="Y943" s="990"/>
      <c r="Z943" s="991"/>
      <c r="AA943" s="991"/>
      <c r="AB943" s="992" t="str">
        <f t="shared" si="259"/>
        <v/>
      </c>
      <c r="AC943" s="993" t="str">
        <f t="shared" si="260"/>
        <v/>
      </c>
      <c r="AD943" s="994" t="str">
        <f t="shared" si="261"/>
        <v/>
      </c>
      <c r="AE943" s="995" t="str">
        <f t="shared" si="262"/>
        <v/>
      </c>
      <c r="AF943" s="996"/>
      <c r="AG943" s="997"/>
      <c r="AH943" s="997"/>
      <c r="AI943" s="998" t="str">
        <f t="shared" si="263"/>
        <v/>
      </c>
      <c r="AJ943" s="993" t="str">
        <f t="shared" si="264"/>
        <v/>
      </c>
    </row>
    <row r="944" spans="1:36" ht="16.5" customHeight="1">
      <c r="A944" s="999" t="str">
        <f>'09월 조업일지'!A942</f>
        <v/>
      </c>
      <c r="B944" s="1099" t="str">
        <f>'09월 조업일지'!B942</f>
        <v/>
      </c>
      <c r="C944" s="1000" t="str">
        <f>'09월 화학성분'!D942</f>
        <v/>
      </c>
      <c r="D944" s="1000" t="str">
        <f>'09월 화학성분'!E942</f>
        <v/>
      </c>
      <c r="E944" s="1000" t="str">
        <f>'09월 화학성분'!C942</f>
        <v/>
      </c>
      <c r="F944" s="1001" t="str">
        <f t="shared" si="250"/>
        <v/>
      </c>
      <c r="G944" s="1172"/>
      <c r="H944" s="985"/>
      <c r="I944" s="1173"/>
      <c r="J944" s="985"/>
      <c r="K944" s="1173"/>
      <c r="L944" s="985"/>
      <c r="M944" s="1174" t="str">
        <f t="shared" si="251"/>
        <v/>
      </c>
      <c r="N944" s="984" t="str">
        <f t="shared" si="252"/>
        <v/>
      </c>
      <c r="O944" s="986" t="str">
        <f t="shared" si="253"/>
        <v/>
      </c>
      <c r="P944" s="987" t="str">
        <f t="shared" si="254"/>
        <v/>
      </c>
      <c r="Q944" s="987" t="str">
        <f t="shared" si="255"/>
        <v/>
      </c>
      <c r="R944" s="988" t="str">
        <f t="shared" si="256"/>
        <v/>
      </c>
      <c r="S944" s="989"/>
      <c r="T944" s="990"/>
      <c r="U944" s="991"/>
      <c r="V944" s="991"/>
      <c r="W944" s="992" t="str">
        <f t="shared" si="257"/>
        <v/>
      </c>
      <c r="X944" s="993" t="str">
        <f t="shared" si="258"/>
        <v/>
      </c>
      <c r="Y944" s="990"/>
      <c r="Z944" s="991"/>
      <c r="AA944" s="991"/>
      <c r="AB944" s="992" t="str">
        <f t="shared" si="259"/>
        <v/>
      </c>
      <c r="AC944" s="993" t="str">
        <f t="shared" si="260"/>
        <v/>
      </c>
      <c r="AD944" s="994" t="str">
        <f t="shared" si="261"/>
        <v/>
      </c>
      <c r="AE944" s="995" t="str">
        <f t="shared" si="262"/>
        <v/>
      </c>
      <c r="AF944" s="996"/>
      <c r="AG944" s="997"/>
      <c r="AH944" s="997"/>
      <c r="AI944" s="998" t="str">
        <f t="shared" si="263"/>
        <v/>
      </c>
      <c r="AJ944" s="993" t="str">
        <f t="shared" si="264"/>
        <v/>
      </c>
    </row>
    <row r="945" spans="1:36" ht="16.5" customHeight="1">
      <c r="A945" s="999" t="str">
        <f>'09월 조업일지'!A943</f>
        <v/>
      </c>
      <c r="B945" s="1099" t="str">
        <f>'09월 조업일지'!B943</f>
        <v/>
      </c>
      <c r="C945" s="1000" t="str">
        <f>'09월 화학성분'!D943</f>
        <v/>
      </c>
      <c r="D945" s="1000" t="str">
        <f>'09월 화학성분'!E943</f>
        <v/>
      </c>
      <c r="E945" s="1000" t="str">
        <f>'09월 화학성분'!C943</f>
        <v/>
      </c>
      <c r="F945" s="1001" t="str">
        <f t="shared" si="250"/>
        <v/>
      </c>
      <c r="G945" s="1172"/>
      <c r="H945" s="985"/>
      <c r="I945" s="1173"/>
      <c r="J945" s="985"/>
      <c r="K945" s="1173"/>
      <c r="L945" s="985"/>
      <c r="M945" s="1174" t="str">
        <f t="shared" si="251"/>
        <v/>
      </c>
      <c r="N945" s="984" t="str">
        <f t="shared" si="252"/>
        <v/>
      </c>
      <c r="O945" s="986" t="str">
        <f t="shared" si="253"/>
        <v/>
      </c>
      <c r="P945" s="987" t="str">
        <f t="shared" si="254"/>
        <v/>
      </c>
      <c r="Q945" s="987" t="str">
        <f t="shared" si="255"/>
        <v/>
      </c>
      <c r="R945" s="988" t="str">
        <f t="shared" si="256"/>
        <v/>
      </c>
      <c r="S945" s="989"/>
      <c r="T945" s="990"/>
      <c r="U945" s="991"/>
      <c r="V945" s="991"/>
      <c r="W945" s="992" t="str">
        <f t="shared" si="257"/>
        <v/>
      </c>
      <c r="X945" s="993" t="str">
        <f t="shared" si="258"/>
        <v/>
      </c>
      <c r="Y945" s="990"/>
      <c r="Z945" s="991"/>
      <c r="AA945" s="991"/>
      <c r="AB945" s="992" t="str">
        <f t="shared" si="259"/>
        <v/>
      </c>
      <c r="AC945" s="993" t="str">
        <f t="shared" si="260"/>
        <v/>
      </c>
      <c r="AD945" s="994" t="str">
        <f t="shared" si="261"/>
        <v/>
      </c>
      <c r="AE945" s="995" t="str">
        <f t="shared" si="262"/>
        <v/>
      </c>
      <c r="AF945" s="996"/>
      <c r="AG945" s="997"/>
      <c r="AH945" s="997"/>
      <c r="AI945" s="998" t="str">
        <f t="shared" si="263"/>
        <v/>
      </c>
      <c r="AJ945" s="993" t="str">
        <f t="shared" si="264"/>
        <v/>
      </c>
    </row>
    <row r="946" spans="1:36" ht="16.5" customHeight="1">
      <c r="A946" s="999" t="str">
        <f>'09월 조업일지'!A944</f>
        <v/>
      </c>
      <c r="B946" s="1099" t="str">
        <f>'09월 조업일지'!B944</f>
        <v/>
      </c>
      <c r="C946" s="1000" t="str">
        <f>'09월 화학성분'!D944</f>
        <v/>
      </c>
      <c r="D946" s="1000" t="str">
        <f>'09월 화학성분'!E944</f>
        <v/>
      </c>
      <c r="E946" s="1000" t="str">
        <f>'09월 화학성분'!C944</f>
        <v/>
      </c>
      <c r="F946" s="1001" t="str">
        <f t="shared" si="250"/>
        <v/>
      </c>
      <c r="G946" s="1172"/>
      <c r="H946" s="985"/>
      <c r="I946" s="1173"/>
      <c r="J946" s="985"/>
      <c r="K946" s="1173"/>
      <c r="L946" s="985"/>
      <c r="M946" s="1174" t="str">
        <f t="shared" si="251"/>
        <v/>
      </c>
      <c r="N946" s="984" t="str">
        <f t="shared" si="252"/>
        <v/>
      </c>
      <c r="O946" s="986" t="str">
        <f t="shared" si="253"/>
        <v/>
      </c>
      <c r="P946" s="987" t="str">
        <f t="shared" si="254"/>
        <v/>
      </c>
      <c r="Q946" s="987" t="str">
        <f t="shared" si="255"/>
        <v/>
      </c>
      <c r="R946" s="988" t="str">
        <f t="shared" si="256"/>
        <v/>
      </c>
      <c r="S946" s="989"/>
      <c r="T946" s="990"/>
      <c r="U946" s="991"/>
      <c r="V946" s="991"/>
      <c r="W946" s="992" t="str">
        <f t="shared" si="257"/>
        <v/>
      </c>
      <c r="X946" s="993" t="str">
        <f t="shared" si="258"/>
        <v/>
      </c>
      <c r="Y946" s="990"/>
      <c r="Z946" s="991"/>
      <c r="AA946" s="991"/>
      <c r="AB946" s="992" t="str">
        <f t="shared" si="259"/>
        <v/>
      </c>
      <c r="AC946" s="993" t="str">
        <f t="shared" si="260"/>
        <v/>
      </c>
      <c r="AD946" s="994" t="str">
        <f t="shared" si="261"/>
        <v/>
      </c>
      <c r="AE946" s="995" t="str">
        <f t="shared" si="262"/>
        <v/>
      </c>
      <c r="AF946" s="996"/>
      <c r="AG946" s="997"/>
      <c r="AH946" s="997"/>
      <c r="AI946" s="998" t="str">
        <f t="shared" si="263"/>
        <v/>
      </c>
      <c r="AJ946" s="993" t="str">
        <f t="shared" si="264"/>
        <v/>
      </c>
    </row>
    <row r="947" spans="1:36" ht="16.5" customHeight="1">
      <c r="A947" s="999" t="str">
        <f>'09월 조업일지'!A945</f>
        <v/>
      </c>
      <c r="B947" s="1099" t="str">
        <f>'09월 조업일지'!B945</f>
        <v/>
      </c>
      <c r="C947" s="1000" t="str">
        <f>'09월 화학성분'!D945</f>
        <v/>
      </c>
      <c r="D947" s="1000" t="str">
        <f>'09월 화학성분'!E945</f>
        <v/>
      </c>
      <c r="E947" s="1000" t="str">
        <f>'09월 화학성분'!C945</f>
        <v/>
      </c>
      <c r="F947" s="1001" t="str">
        <f t="shared" si="250"/>
        <v/>
      </c>
      <c r="G947" s="1172"/>
      <c r="H947" s="985"/>
      <c r="I947" s="1173"/>
      <c r="J947" s="985"/>
      <c r="K947" s="1173"/>
      <c r="L947" s="985"/>
      <c r="M947" s="1174" t="str">
        <f t="shared" si="251"/>
        <v/>
      </c>
      <c r="N947" s="984" t="str">
        <f t="shared" si="252"/>
        <v/>
      </c>
      <c r="O947" s="986" t="str">
        <f t="shared" si="253"/>
        <v/>
      </c>
      <c r="P947" s="987" t="str">
        <f t="shared" si="254"/>
        <v/>
      </c>
      <c r="Q947" s="987" t="str">
        <f t="shared" si="255"/>
        <v/>
      </c>
      <c r="R947" s="988" t="str">
        <f t="shared" si="256"/>
        <v/>
      </c>
      <c r="S947" s="989"/>
      <c r="T947" s="990"/>
      <c r="U947" s="991"/>
      <c r="V947" s="991"/>
      <c r="W947" s="992" t="str">
        <f t="shared" si="257"/>
        <v/>
      </c>
      <c r="X947" s="993" t="str">
        <f t="shared" si="258"/>
        <v/>
      </c>
      <c r="Y947" s="990"/>
      <c r="Z947" s="991"/>
      <c r="AA947" s="991"/>
      <c r="AB947" s="992" t="str">
        <f t="shared" si="259"/>
        <v/>
      </c>
      <c r="AC947" s="993" t="str">
        <f t="shared" si="260"/>
        <v/>
      </c>
      <c r="AD947" s="994" t="str">
        <f t="shared" si="261"/>
        <v/>
      </c>
      <c r="AE947" s="995" t="str">
        <f t="shared" si="262"/>
        <v/>
      </c>
      <c r="AF947" s="996"/>
      <c r="AG947" s="997"/>
      <c r="AH947" s="997"/>
      <c r="AI947" s="998" t="str">
        <f t="shared" si="263"/>
        <v/>
      </c>
      <c r="AJ947" s="993" t="str">
        <f t="shared" si="264"/>
        <v/>
      </c>
    </row>
    <row r="948" spans="1:36" ht="16.5" customHeight="1">
      <c r="A948" s="999" t="str">
        <f>'09월 조업일지'!A946</f>
        <v/>
      </c>
      <c r="B948" s="1099" t="str">
        <f>'09월 조업일지'!B946</f>
        <v/>
      </c>
      <c r="C948" s="1000" t="str">
        <f>'09월 화학성분'!D946</f>
        <v/>
      </c>
      <c r="D948" s="1000" t="str">
        <f>'09월 화학성분'!E946</f>
        <v/>
      </c>
      <c r="E948" s="1000" t="str">
        <f>'09월 화학성분'!C946</f>
        <v/>
      </c>
      <c r="F948" s="1001" t="str">
        <f t="shared" si="250"/>
        <v/>
      </c>
      <c r="G948" s="1172"/>
      <c r="H948" s="985"/>
      <c r="I948" s="1173"/>
      <c r="J948" s="985"/>
      <c r="K948" s="1173"/>
      <c r="L948" s="985"/>
      <c r="M948" s="1174" t="str">
        <f t="shared" si="251"/>
        <v/>
      </c>
      <c r="N948" s="984" t="str">
        <f t="shared" si="252"/>
        <v/>
      </c>
      <c r="O948" s="986" t="str">
        <f t="shared" si="253"/>
        <v/>
      </c>
      <c r="P948" s="987" t="str">
        <f t="shared" si="254"/>
        <v/>
      </c>
      <c r="Q948" s="987" t="str">
        <f t="shared" si="255"/>
        <v/>
      </c>
      <c r="R948" s="988" t="str">
        <f t="shared" si="256"/>
        <v/>
      </c>
      <c r="S948" s="989"/>
      <c r="T948" s="990"/>
      <c r="U948" s="991"/>
      <c r="V948" s="991"/>
      <c r="W948" s="992" t="str">
        <f t="shared" si="257"/>
        <v/>
      </c>
      <c r="X948" s="993" t="str">
        <f t="shared" si="258"/>
        <v/>
      </c>
      <c r="Y948" s="990"/>
      <c r="Z948" s="991"/>
      <c r="AA948" s="991"/>
      <c r="AB948" s="992" t="str">
        <f t="shared" si="259"/>
        <v/>
      </c>
      <c r="AC948" s="993" t="str">
        <f t="shared" si="260"/>
        <v/>
      </c>
      <c r="AD948" s="994" t="str">
        <f t="shared" si="261"/>
        <v/>
      </c>
      <c r="AE948" s="995" t="str">
        <f t="shared" si="262"/>
        <v/>
      </c>
      <c r="AF948" s="996"/>
      <c r="AG948" s="997"/>
      <c r="AH948" s="997"/>
      <c r="AI948" s="998" t="str">
        <f t="shared" si="263"/>
        <v/>
      </c>
      <c r="AJ948" s="993" t="str">
        <f t="shared" si="264"/>
        <v/>
      </c>
    </row>
    <row r="949" spans="1:36" ht="16.5" customHeight="1">
      <c r="A949" s="999" t="str">
        <f>'09월 조업일지'!A947</f>
        <v/>
      </c>
      <c r="B949" s="1099" t="str">
        <f>'09월 조업일지'!B947</f>
        <v/>
      </c>
      <c r="C949" s="1000" t="str">
        <f>'09월 화학성분'!D947</f>
        <v/>
      </c>
      <c r="D949" s="1000" t="str">
        <f>'09월 화학성분'!E947</f>
        <v/>
      </c>
      <c r="E949" s="1000" t="str">
        <f>'09월 화학성분'!C947</f>
        <v/>
      </c>
      <c r="F949" s="1001" t="str">
        <f t="shared" si="250"/>
        <v/>
      </c>
      <c r="G949" s="1172"/>
      <c r="H949" s="985"/>
      <c r="I949" s="1173"/>
      <c r="J949" s="985"/>
      <c r="K949" s="1173"/>
      <c r="L949" s="985"/>
      <c r="M949" s="1174" t="str">
        <f t="shared" si="251"/>
        <v/>
      </c>
      <c r="N949" s="984" t="str">
        <f t="shared" si="252"/>
        <v/>
      </c>
      <c r="O949" s="986" t="str">
        <f t="shared" si="253"/>
        <v/>
      </c>
      <c r="P949" s="987" t="str">
        <f t="shared" si="254"/>
        <v/>
      </c>
      <c r="Q949" s="987" t="str">
        <f t="shared" si="255"/>
        <v/>
      </c>
      <c r="R949" s="988" t="str">
        <f t="shared" si="256"/>
        <v/>
      </c>
      <c r="S949" s="989"/>
      <c r="T949" s="990"/>
      <c r="U949" s="991"/>
      <c r="V949" s="991"/>
      <c r="W949" s="992" t="str">
        <f t="shared" si="257"/>
        <v/>
      </c>
      <c r="X949" s="993" t="str">
        <f t="shared" si="258"/>
        <v/>
      </c>
      <c r="Y949" s="990"/>
      <c r="Z949" s="991"/>
      <c r="AA949" s="991"/>
      <c r="AB949" s="992" t="str">
        <f t="shared" si="259"/>
        <v/>
      </c>
      <c r="AC949" s="993" t="str">
        <f t="shared" si="260"/>
        <v/>
      </c>
      <c r="AD949" s="994" t="str">
        <f t="shared" si="261"/>
        <v/>
      </c>
      <c r="AE949" s="995" t="str">
        <f t="shared" si="262"/>
        <v/>
      </c>
      <c r="AF949" s="996"/>
      <c r="AG949" s="997"/>
      <c r="AH949" s="997"/>
      <c r="AI949" s="998" t="str">
        <f t="shared" si="263"/>
        <v/>
      </c>
      <c r="AJ949" s="993" t="str">
        <f t="shared" si="264"/>
        <v/>
      </c>
    </row>
    <row r="950" spans="1:36" ht="16.5" customHeight="1">
      <c r="A950" s="999" t="str">
        <f>'09월 조업일지'!A948</f>
        <v/>
      </c>
      <c r="B950" s="1099" t="str">
        <f>'09월 조업일지'!B948</f>
        <v/>
      </c>
      <c r="C950" s="1000" t="str">
        <f>'09월 화학성분'!D948</f>
        <v/>
      </c>
      <c r="D950" s="1000" t="str">
        <f>'09월 화학성분'!E948</f>
        <v/>
      </c>
      <c r="E950" s="1000" t="str">
        <f>'09월 화학성분'!C948</f>
        <v/>
      </c>
      <c r="F950" s="1001" t="str">
        <f t="shared" si="250"/>
        <v/>
      </c>
      <c r="G950" s="1172"/>
      <c r="H950" s="985"/>
      <c r="I950" s="1173"/>
      <c r="J950" s="985"/>
      <c r="K950" s="1173"/>
      <c r="L950" s="985"/>
      <c r="M950" s="1174" t="str">
        <f t="shared" si="251"/>
        <v/>
      </c>
      <c r="N950" s="984" t="str">
        <f t="shared" si="252"/>
        <v/>
      </c>
      <c r="O950" s="986" t="str">
        <f t="shared" si="253"/>
        <v/>
      </c>
      <c r="P950" s="987" t="str">
        <f t="shared" si="254"/>
        <v/>
      </c>
      <c r="Q950" s="987" t="str">
        <f t="shared" si="255"/>
        <v/>
      </c>
      <c r="R950" s="988" t="str">
        <f t="shared" si="256"/>
        <v/>
      </c>
      <c r="S950" s="989"/>
      <c r="T950" s="990"/>
      <c r="U950" s="991"/>
      <c r="V950" s="991"/>
      <c r="W950" s="992" t="str">
        <f t="shared" si="257"/>
        <v/>
      </c>
      <c r="X950" s="993" t="str">
        <f t="shared" si="258"/>
        <v/>
      </c>
      <c r="Y950" s="990"/>
      <c r="Z950" s="991"/>
      <c r="AA950" s="991"/>
      <c r="AB950" s="992" t="str">
        <f t="shared" si="259"/>
        <v/>
      </c>
      <c r="AC950" s="993" t="str">
        <f t="shared" si="260"/>
        <v/>
      </c>
      <c r="AD950" s="994" t="str">
        <f t="shared" si="261"/>
        <v/>
      </c>
      <c r="AE950" s="995" t="str">
        <f t="shared" si="262"/>
        <v/>
      </c>
      <c r="AF950" s="996"/>
      <c r="AG950" s="997"/>
      <c r="AH950" s="997"/>
      <c r="AI950" s="998" t="str">
        <f t="shared" si="263"/>
        <v/>
      </c>
      <c r="AJ950" s="993" t="str">
        <f t="shared" si="264"/>
        <v/>
      </c>
    </row>
  </sheetData>
  <mergeCells count="35">
    <mergeCell ref="C4:E4"/>
    <mergeCell ref="C5:E5"/>
    <mergeCell ref="A12:A13"/>
    <mergeCell ref="C12:C13"/>
    <mergeCell ref="D12:D13"/>
    <mergeCell ref="E12:E13"/>
    <mergeCell ref="C9:E9"/>
    <mergeCell ref="C10:E10"/>
    <mergeCell ref="B12:B13"/>
    <mergeCell ref="F12:F13"/>
    <mergeCell ref="Y12:AC12"/>
    <mergeCell ref="AD12:AE12"/>
    <mergeCell ref="C6:E6"/>
    <mergeCell ref="C7:E7"/>
    <mergeCell ref="C8:E8"/>
    <mergeCell ref="AF12:AJ12"/>
    <mergeCell ref="G12:H12"/>
    <mergeCell ref="I12:J12"/>
    <mergeCell ref="K12:L12"/>
    <mergeCell ref="M12:N12"/>
    <mergeCell ref="O12:R12"/>
    <mergeCell ref="S12:S13"/>
    <mergeCell ref="T12:X12"/>
    <mergeCell ref="AF2:AJ2"/>
    <mergeCell ref="C2:E3"/>
    <mergeCell ref="F2:F3"/>
    <mergeCell ref="G2:H2"/>
    <mergeCell ref="I2:J2"/>
    <mergeCell ref="K2:L2"/>
    <mergeCell ref="M2:N2"/>
    <mergeCell ref="O2:R2"/>
    <mergeCell ref="S2:S3"/>
    <mergeCell ref="T2:X2"/>
    <mergeCell ref="Y2:AC2"/>
    <mergeCell ref="AD2:AE2"/>
  </mergeCells>
  <phoneticPr fontId="5" type="noConversion"/>
  <conditionalFormatting sqref="X1:Y1">
    <cfRule type="cellIs" dxfId="327" priority="384" stopIfTrue="1" operator="between">
      <formula>350</formula>
      <formula>360</formula>
    </cfRule>
    <cfRule type="cellIs" dxfId="326" priority="385" stopIfTrue="1" operator="between">
      <formula>361</formula>
      <formula>370</formula>
    </cfRule>
    <cfRule type="cellIs" dxfId="325" priority="386" stopIfTrue="1" operator="greaterThanOrEqual">
      <formula>370</formula>
    </cfRule>
  </conditionalFormatting>
  <conditionalFormatting sqref="C14:E950">
    <cfRule type="expression" dxfId="324" priority="305">
      <formula>$A14&gt;$A13</formula>
    </cfRule>
  </conditionalFormatting>
  <conditionalFormatting sqref="A14:B950">
    <cfRule type="expression" dxfId="323" priority="2041">
      <formula>$A14&gt;$A13</formula>
    </cfRule>
  </conditionalFormatting>
  <conditionalFormatting sqref="F15:F950">
    <cfRule type="expression" dxfId="322" priority="180">
      <formula>$A15&gt;$A14</formula>
    </cfRule>
  </conditionalFormatting>
  <conditionalFormatting sqref="F14">
    <cfRule type="expression" dxfId="321" priority="173">
      <formula>$A14&gt;$A13</formula>
    </cfRule>
  </conditionalFormatting>
  <conditionalFormatting sqref="H14 J14 N14 R14:S14 L14 L17:L180 R17:S180 N17:N180 J17:J180 H17:H180 H182:H950 J182:J950 N182:N950 L182:L950 R182:S950">
    <cfRule type="expression" dxfId="320" priority="108">
      <formula>$A14&gt;$A13</formula>
    </cfRule>
  </conditionalFormatting>
  <conditionalFormatting sqref="H14 J14 N14 R14:S14 L14 L17:L180 R17:S180 N17:N180 J17:J180 H17:H180 H182:H950 J182:J950 N182:N950 L182:L950 R182:S950">
    <cfRule type="expression" dxfId="319" priority="107">
      <formula>$A14&gt;$A13</formula>
    </cfRule>
  </conditionalFormatting>
  <conditionalFormatting sqref="O14 O17:O180 O182:O950">
    <cfRule type="expression" dxfId="318" priority="106">
      <formula>$A14&gt;$A13</formula>
    </cfRule>
  </conditionalFormatting>
  <conditionalFormatting sqref="O14 O17:O180 O182:O950">
    <cfRule type="expression" dxfId="317" priority="105">
      <formula>$A14&gt;$A13</formula>
    </cfRule>
  </conditionalFormatting>
  <conditionalFormatting sqref="P14 P17:P180 P182:P950">
    <cfRule type="expression" dxfId="316" priority="104">
      <formula>$A14&gt;$A13</formula>
    </cfRule>
  </conditionalFormatting>
  <conditionalFormatting sqref="P14 P17:P180 P182:P950">
    <cfRule type="expression" dxfId="315" priority="103">
      <formula>$A14&gt;$A13</formula>
    </cfRule>
  </conditionalFormatting>
  <conditionalFormatting sqref="Q14 Q17:Q180 Q182:Q950">
    <cfRule type="expression" dxfId="314" priority="102">
      <formula>$A14&gt;$A13</formula>
    </cfRule>
  </conditionalFormatting>
  <conditionalFormatting sqref="Q14 Q17:Q180 Q182:Q950">
    <cfRule type="expression" dxfId="313" priority="101">
      <formula>$A14&gt;$A13</formula>
    </cfRule>
  </conditionalFormatting>
  <conditionalFormatting sqref="G14 G17:G180 G182:G950">
    <cfRule type="expression" dxfId="312" priority="100">
      <formula>$A14&gt;$A13</formula>
    </cfRule>
  </conditionalFormatting>
  <conditionalFormatting sqref="G14 G17:G180 G182:G950">
    <cfRule type="expression" dxfId="311" priority="99">
      <formula>$A14&gt;$A13</formula>
    </cfRule>
  </conditionalFormatting>
  <conditionalFormatting sqref="I14 I17:I180 I182:I950">
    <cfRule type="expression" dxfId="310" priority="98">
      <formula>$A14&gt;$A13</formula>
    </cfRule>
  </conditionalFormatting>
  <conditionalFormatting sqref="I14 I17:I180 I182:I950">
    <cfRule type="expression" dxfId="309" priority="97">
      <formula>$A14&gt;$A13</formula>
    </cfRule>
  </conditionalFormatting>
  <conditionalFormatting sqref="K14 K17:K180 K182:K950">
    <cfRule type="expression" dxfId="308" priority="96">
      <formula>$A14&gt;$A13</formula>
    </cfRule>
  </conditionalFormatting>
  <conditionalFormatting sqref="K14 K17:K180 K182:K950">
    <cfRule type="expression" dxfId="307" priority="95">
      <formula>$A14&gt;$A13</formula>
    </cfRule>
  </conditionalFormatting>
  <conditionalFormatting sqref="M14 M17:M180 M182:M950">
    <cfRule type="expression" dxfId="306" priority="94">
      <formula>$A14&gt;$A13</formula>
    </cfRule>
  </conditionalFormatting>
  <conditionalFormatting sqref="M14 M17:M180 M182:M950">
    <cfRule type="expression" dxfId="305" priority="93">
      <formula>$A14&gt;$A13</formula>
    </cfRule>
  </conditionalFormatting>
  <conditionalFormatting sqref="T14:X14 T17:X180 T182:X950">
    <cfRule type="expression" dxfId="304" priority="83">
      <formula>$A14&gt;$A13</formula>
    </cfRule>
  </conditionalFormatting>
  <conditionalFormatting sqref="T14:X14 T17:X180 T182:X950">
    <cfRule type="expression" dxfId="303" priority="82">
      <formula>$A14&gt;$A13</formula>
    </cfRule>
  </conditionalFormatting>
  <conditionalFormatting sqref="AI14:AJ950">
    <cfRule type="expression" dxfId="302" priority="78">
      <formula>$A14&gt;$A13</formula>
    </cfRule>
  </conditionalFormatting>
  <conditionalFormatting sqref="Y14:AH14 Y17:AH180 Y182:AH950">
    <cfRule type="expression" dxfId="301" priority="77">
      <formula>$A14&gt;$A13</formula>
    </cfRule>
  </conditionalFormatting>
  <conditionalFormatting sqref="Y14:AH14 Y17:AH180 Y182:AH950">
    <cfRule type="expression" dxfId="300" priority="76">
      <formula>$A14&gt;$A13</formula>
    </cfRule>
  </conditionalFormatting>
  <conditionalFormatting sqref="Y181:AH181">
    <cfRule type="expression" dxfId="299" priority="1">
      <formula>$A181&gt;$A180</formula>
    </cfRule>
  </conditionalFormatting>
  <conditionalFormatting sqref="H15 J15 N15 L15 R15:S15">
    <cfRule type="expression" dxfId="298" priority="60">
      <formula>$A15&gt;$A14</formula>
    </cfRule>
  </conditionalFormatting>
  <conditionalFormatting sqref="H15 J15 N15 L15 R15:S15">
    <cfRule type="expression" dxfId="297" priority="59">
      <formula>$A15&gt;$A14</formula>
    </cfRule>
  </conditionalFormatting>
  <conditionalFormatting sqref="O15">
    <cfRule type="expression" dxfId="296" priority="58">
      <formula>$A15&gt;$A14</formula>
    </cfRule>
  </conditionalFormatting>
  <conditionalFormatting sqref="O15">
    <cfRule type="expression" dxfId="295" priority="57">
      <formula>$A15&gt;$A14</formula>
    </cfRule>
  </conditionalFormatting>
  <conditionalFormatting sqref="P15">
    <cfRule type="expression" dxfId="294" priority="56">
      <formula>$A15&gt;$A14</formula>
    </cfRule>
  </conditionalFormatting>
  <conditionalFormatting sqref="P15">
    <cfRule type="expression" dxfId="293" priority="55">
      <formula>$A15&gt;$A14</formula>
    </cfRule>
  </conditionalFormatting>
  <conditionalFormatting sqref="Q15">
    <cfRule type="expression" dxfId="292" priority="54">
      <formula>$A15&gt;$A14</formula>
    </cfRule>
  </conditionalFormatting>
  <conditionalFormatting sqref="Q15">
    <cfRule type="expression" dxfId="291" priority="53">
      <formula>$A15&gt;$A14</formula>
    </cfRule>
  </conditionalFormatting>
  <conditionalFormatting sqref="G15">
    <cfRule type="expression" dxfId="290" priority="52">
      <formula>$A15&gt;$A14</formula>
    </cfRule>
  </conditionalFormatting>
  <conditionalFormatting sqref="G15">
    <cfRule type="expression" dxfId="289" priority="51">
      <formula>$A15&gt;$A14</formula>
    </cfRule>
  </conditionalFormatting>
  <conditionalFormatting sqref="I15">
    <cfRule type="expression" dxfId="288" priority="50">
      <formula>$A15&gt;$A14</formula>
    </cfRule>
  </conditionalFormatting>
  <conditionalFormatting sqref="I15">
    <cfRule type="expression" dxfId="287" priority="49">
      <formula>$A15&gt;$A14</formula>
    </cfRule>
  </conditionalFormatting>
  <conditionalFormatting sqref="K15">
    <cfRule type="expression" dxfId="286" priority="48">
      <formula>$A15&gt;$A14</formula>
    </cfRule>
  </conditionalFormatting>
  <conditionalFormatting sqref="K15">
    <cfRule type="expression" dxfId="285" priority="47">
      <formula>$A15&gt;$A14</formula>
    </cfRule>
  </conditionalFormatting>
  <conditionalFormatting sqref="M15">
    <cfRule type="expression" dxfId="284" priority="46">
      <formula>$A15&gt;$A14</formula>
    </cfRule>
  </conditionalFormatting>
  <conditionalFormatting sqref="M15">
    <cfRule type="expression" dxfId="283" priority="45">
      <formula>$A15&gt;$A14</formula>
    </cfRule>
  </conditionalFormatting>
  <conditionalFormatting sqref="T15:X15">
    <cfRule type="expression" dxfId="282" priority="44">
      <formula>$A15&gt;$A14</formula>
    </cfRule>
  </conditionalFormatting>
  <conditionalFormatting sqref="T15:X15">
    <cfRule type="expression" dxfId="281" priority="43">
      <formula>$A15&gt;$A14</formula>
    </cfRule>
  </conditionalFormatting>
  <conditionalFormatting sqref="Y15:AH15">
    <cfRule type="expression" dxfId="280" priority="42">
      <formula>$A15&gt;$A14</formula>
    </cfRule>
  </conditionalFormatting>
  <conditionalFormatting sqref="Y15:AH15">
    <cfRule type="expression" dxfId="279" priority="41">
      <formula>$A15&gt;$A14</formula>
    </cfRule>
  </conditionalFormatting>
  <conditionalFormatting sqref="H16 J16 N16 L16 R16:S16">
    <cfRule type="expression" dxfId="278" priority="40">
      <formula>$A16&gt;$A15</formula>
    </cfRule>
  </conditionalFormatting>
  <conditionalFormatting sqref="H16 J16 N16 L16 R16:S16">
    <cfRule type="expression" dxfId="277" priority="39">
      <formula>$A16&gt;$A15</formula>
    </cfRule>
  </conditionalFormatting>
  <conditionalFormatting sqref="O16">
    <cfRule type="expression" dxfId="276" priority="38">
      <formula>$A16&gt;$A15</formula>
    </cfRule>
  </conditionalFormatting>
  <conditionalFormatting sqref="O16">
    <cfRule type="expression" dxfId="275" priority="37">
      <formula>$A16&gt;$A15</formula>
    </cfRule>
  </conditionalFormatting>
  <conditionalFormatting sqref="P16">
    <cfRule type="expression" dxfId="274" priority="36">
      <formula>$A16&gt;$A15</formula>
    </cfRule>
  </conditionalFormatting>
  <conditionalFormatting sqref="P16">
    <cfRule type="expression" dxfId="273" priority="35">
      <formula>$A16&gt;$A15</formula>
    </cfRule>
  </conditionalFormatting>
  <conditionalFormatting sqref="Q16">
    <cfRule type="expression" dxfId="272" priority="34">
      <formula>$A16&gt;$A15</formula>
    </cfRule>
  </conditionalFormatting>
  <conditionalFormatting sqref="Q16">
    <cfRule type="expression" dxfId="271" priority="33">
      <formula>$A16&gt;$A15</formula>
    </cfRule>
  </conditionalFormatting>
  <conditionalFormatting sqref="G16">
    <cfRule type="expression" dxfId="270" priority="32">
      <formula>$A16&gt;$A15</formula>
    </cfRule>
  </conditionalFormatting>
  <conditionalFormatting sqref="G16">
    <cfRule type="expression" dxfId="269" priority="31">
      <formula>$A16&gt;$A15</formula>
    </cfRule>
  </conditionalFormatting>
  <conditionalFormatting sqref="I16">
    <cfRule type="expression" dxfId="268" priority="30">
      <formula>$A16&gt;$A15</formula>
    </cfRule>
  </conditionalFormatting>
  <conditionalFormatting sqref="I16">
    <cfRule type="expression" dxfId="267" priority="29">
      <formula>$A16&gt;$A15</formula>
    </cfRule>
  </conditionalFormatting>
  <conditionalFormatting sqref="K16">
    <cfRule type="expression" dxfId="266" priority="28">
      <formula>$A16&gt;$A15</formula>
    </cfRule>
  </conditionalFormatting>
  <conditionalFormatting sqref="K16">
    <cfRule type="expression" dxfId="265" priority="27">
      <formula>$A16&gt;$A15</formula>
    </cfRule>
  </conditionalFormatting>
  <conditionalFormatting sqref="M16">
    <cfRule type="expression" dxfId="264" priority="26">
      <formula>$A16&gt;$A15</formula>
    </cfRule>
  </conditionalFormatting>
  <conditionalFormatting sqref="M16">
    <cfRule type="expression" dxfId="263" priority="25">
      <formula>$A16&gt;$A15</formula>
    </cfRule>
  </conditionalFormatting>
  <conditionalFormatting sqref="T16:X16">
    <cfRule type="expression" dxfId="262" priority="24">
      <formula>$A16&gt;$A15</formula>
    </cfRule>
  </conditionalFormatting>
  <conditionalFormatting sqref="T16:X16">
    <cfRule type="expression" dxfId="261" priority="23">
      <formula>$A16&gt;$A15</formula>
    </cfRule>
  </conditionalFormatting>
  <conditionalFormatting sqref="Y16:AH16">
    <cfRule type="expression" dxfId="260" priority="22">
      <formula>$A16&gt;$A15</formula>
    </cfRule>
  </conditionalFormatting>
  <conditionalFormatting sqref="Y16:AH16">
    <cfRule type="expression" dxfId="259" priority="21">
      <formula>$A16&gt;$A15</formula>
    </cfRule>
  </conditionalFormatting>
  <conditionalFormatting sqref="L181 R181:S181 N181 J181 H181">
    <cfRule type="expression" dxfId="258" priority="20">
      <formula>$A181&gt;$A180</formula>
    </cfRule>
  </conditionalFormatting>
  <conditionalFormatting sqref="L181 R181:S181 N181 J181 H181">
    <cfRule type="expression" dxfId="257" priority="19">
      <formula>$A181&gt;$A180</formula>
    </cfRule>
  </conditionalFormatting>
  <conditionalFormatting sqref="O181">
    <cfRule type="expression" dxfId="256" priority="18">
      <formula>$A181&gt;$A180</formula>
    </cfRule>
  </conditionalFormatting>
  <conditionalFormatting sqref="O181">
    <cfRule type="expression" dxfId="255" priority="17">
      <formula>$A181&gt;$A180</formula>
    </cfRule>
  </conditionalFormatting>
  <conditionalFormatting sqref="P181">
    <cfRule type="expression" dxfId="254" priority="16">
      <formula>$A181&gt;$A180</formula>
    </cfRule>
  </conditionalFormatting>
  <conditionalFormatting sqref="P181">
    <cfRule type="expression" dxfId="253" priority="15">
      <formula>$A181&gt;$A180</formula>
    </cfRule>
  </conditionalFormatting>
  <conditionalFormatting sqref="Q181">
    <cfRule type="expression" dxfId="252" priority="14">
      <formula>$A181&gt;$A180</formula>
    </cfRule>
  </conditionalFormatting>
  <conditionalFormatting sqref="Q181">
    <cfRule type="expression" dxfId="251" priority="13">
      <formula>$A181&gt;$A180</formula>
    </cfRule>
  </conditionalFormatting>
  <conditionalFormatting sqref="G181">
    <cfRule type="expression" dxfId="250" priority="12">
      <formula>$A181&gt;$A180</formula>
    </cfRule>
  </conditionalFormatting>
  <conditionalFormatting sqref="G181">
    <cfRule type="expression" dxfId="249" priority="11">
      <formula>$A181&gt;$A180</formula>
    </cfRule>
  </conditionalFormatting>
  <conditionalFormatting sqref="I181">
    <cfRule type="expression" dxfId="248" priority="10">
      <formula>$A181&gt;$A180</formula>
    </cfRule>
  </conditionalFormatting>
  <conditionalFormatting sqref="I181">
    <cfRule type="expression" dxfId="247" priority="9">
      <formula>$A181&gt;$A180</formula>
    </cfRule>
  </conditionalFormatting>
  <conditionalFormatting sqref="K181">
    <cfRule type="expression" dxfId="246" priority="8">
      <formula>$A181&gt;$A180</formula>
    </cfRule>
  </conditionalFormatting>
  <conditionalFormatting sqref="K181">
    <cfRule type="expression" dxfId="245" priority="7">
      <formula>$A181&gt;$A180</formula>
    </cfRule>
  </conditionalFormatting>
  <conditionalFormatting sqref="M181">
    <cfRule type="expression" dxfId="244" priority="6">
      <formula>$A181&gt;$A180</formula>
    </cfRule>
  </conditionalFormatting>
  <conditionalFormatting sqref="M181">
    <cfRule type="expression" dxfId="243" priority="5">
      <formula>$A181&gt;$A180</formula>
    </cfRule>
  </conditionalFormatting>
  <conditionalFormatting sqref="T181:X181">
    <cfRule type="expression" dxfId="242" priority="4">
      <formula>$A181&gt;$A180</formula>
    </cfRule>
  </conditionalFormatting>
  <conditionalFormatting sqref="T181:X181">
    <cfRule type="expression" dxfId="241" priority="3">
      <formula>$A181&gt;$A180</formula>
    </cfRule>
  </conditionalFormatting>
  <conditionalFormatting sqref="Y181:AH181">
    <cfRule type="expression" dxfId="240" priority="2">
      <formula>$A181&gt;$A180</formula>
    </cfRule>
  </conditionalFormatting>
  <pageMargins left="0.75" right="0.75" top="1" bottom="1" header="0.5" footer="0.5"/>
  <pageSetup paperSize="9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KZ952"/>
  <sheetViews>
    <sheetView zoomScale="110" zoomScaleNormal="110" workbookViewId="0">
      <pane xSplit="6" ySplit="13" topLeftCell="P821" activePane="bottomRight" state="frozen"/>
      <selection pane="topRight" activeCell="F1" sqref="F1"/>
      <selection pane="bottomLeft" activeCell="A14" sqref="A14"/>
      <selection pane="bottomRight" activeCell="Z837" sqref="Z837"/>
    </sheetView>
  </sheetViews>
  <sheetFormatPr defaultColWidth="6.69921875" defaultRowHeight="17.25" customHeight="1"/>
  <cols>
    <col min="1" max="1" width="7.59765625" style="645" customWidth="1"/>
    <col min="2" max="2" width="7.59765625" style="645" hidden="1" customWidth="1"/>
    <col min="3" max="4" width="3.296875" style="645" customWidth="1"/>
    <col min="5" max="5" width="7.19921875" style="645" customWidth="1"/>
    <col min="6" max="6" width="15.296875" style="645" bestFit="1" customWidth="1"/>
    <col min="7" max="15" width="6.69921875" style="645"/>
    <col min="16" max="16" width="6.69921875" style="645" customWidth="1"/>
    <col min="17" max="21" width="6.69921875" style="645"/>
    <col min="22" max="22" width="6.69921875" style="645" customWidth="1"/>
    <col min="23" max="31" width="6.69921875" style="645"/>
    <col min="32" max="33" width="6.69921875" style="645" customWidth="1"/>
    <col min="34" max="16384" width="6.69921875" style="645"/>
  </cols>
  <sheetData>
    <row r="1" spans="1:312" ht="24.75" customHeight="1" thickBot="1">
      <c r="A1" s="659" t="str">
        <f>LEFT('09월 조업일지'!A1,10)&amp;" 고철 장입 일지"</f>
        <v xml:space="preserve"> 2026년 09  고철 장입 일지</v>
      </c>
      <c r="B1" s="639"/>
      <c r="C1" s="639"/>
      <c r="D1" s="639"/>
      <c r="E1" s="639"/>
      <c r="F1" s="639"/>
      <c r="G1" s="639"/>
      <c r="H1" s="639"/>
      <c r="I1" s="606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1"/>
      <c r="AG1" s="641"/>
      <c r="AH1" s="642"/>
      <c r="AI1" s="642"/>
      <c r="AJ1" s="643"/>
      <c r="AK1" s="644"/>
      <c r="AL1" s="644"/>
    </row>
    <row r="2" spans="1:312" ht="12.75" customHeight="1">
      <c r="A2" s="641"/>
      <c r="B2" s="641"/>
      <c r="C2" s="646"/>
      <c r="D2" s="1577" t="s">
        <v>148</v>
      </c>
      <c r="E2" s="1578"/>
      <c r="F2" s="1560" t="s">
        <v>149</v>
      </c>
      <c r="G2" s="1595" t="s">
        <v>222</v>
      </c>
      <c r="H2" s="1549"/>
      <c r="I2" s="1549" t="s">
        <v>224</v>
      </c>
      <c r="J2" s="1549"/>
      <c r="K2" s="1549" t="s">
        <v>228</v>
      </c>
      <c r="L2" s="1549"/>
      <c r="M2" s="1549" t="s">
        <v>434</v>
      </c>
      <c r="N2" s="1549"/>
      <c r="O2" s="1550" t="s">
        <v>140</v>
      </c>
      <c r="P2" s="1585" t="s">
        <v>240</v>
      </c>
      <c r="Q2" s="1585"/>
      <c r="R2" s="1585"/>
      <c r="S2" s="1585"/>
      <c r="T2" s="1585"/>
      <c r="U2" s="1539" t="s">
        <v>241</v>
      </c>
      <c r="V2" s="1540"/>
      <c r="W2" s="1540"/>
      <c r="X2" s="1541"/>
      <c r="Y2" s="1585" t="s">
        <v>242</v>
      </c>
      <c r="Z2" s="1585"/>
      <c r="AA2" s="1585"/>
      <c r="AB2" s="1585"/>
      <c r="AC2" s="1585" t="s">
        <v>243</v>
      </c>
      <c r="AD2" s="1585"/>
      <c r="AE2" s="1581" t="s">
        <v>72</v>
      </c>
      <c r="AF2" s="1572" t="s">
        <v>150</v>
      </c>
      <c r="AG2" s="1572"/>
      <c r="AH2" s="1572"/>
      <c r="AI2" s="1572"/>
      <c r="AJ2" s="1573" t="s">
        <v>132</v>
      </c>
      <c r="AK2" s="1573" t="s">
        <v>133</v>
      </c>
      <c r="AL2" s="1553" t="s">
        <v>134</v>
      </c>
    </row>
    <row r="3" spans="1:312" ht="12.75" customHeight="1" thickBot="1">
      <c r="A3" s="641"/>
      <c r="B3" s="641"/>
      <c r="C3" s="646"/>
      <c r="D3" s="1579"/>
      <c r="E3" s="1580"/>
      <c r="F3" s="1562"/>
      <c r="G3" s="607" t="s">
        <v>213</v>
      </c>
      <c r="H3" s="647" t="s">
        <v>470</v>
      </c>
      <c r="I3" s="647" t="s">
        <v>216</v>
      </c>
      <c r="J3" s="647" t="s">
        <v>218</v>
      </c>
      <c r="K3" s="647" t="s">
        <v>220</v>
      </c>
      <c r="L3" s="647" t="s">
        <v>226</v>
      </c>
      <c r="M3" s="647" t="s">
        <v>245</v>
      </c>
      <c r="N3" s="647" t="s">
        <v>247</v>
      </c>
      <c r="O3" s="1551"/>
      <c r="P3" s="648" t="s">
        <v>230</v>
      </c>
      <c r="Q3" s="648" t="s">
        <v>229</v>
      </c>
      <c r="R3" s="648" t="s">
        <v>490</v>
      </c>
      <c r="S3" s="648" t="s">
        <v>231</v>
      </c>
      <c r="T3" s="648" t="s">
        <v>488</v>
      </c>
      <c r="U3" s="648" t="s">
        <v>233</v>
      </c>
      <c r="V3" s="648" t="s">
        <v>367</v>
      </c>
      <c r="W3" s="648" t="s">
        <v>235</v>
      </c>
      <c r="X3" s="648" t="s">
        <v>442</v>
      </c>
      <c r="Y3" s="648" t="s">
        <v>236</v>
      </c>
      <c r="Z3" s="648" t="s">
        <v>368</v>
      </c>
      <c r="AA3" s="648" t="s">
        <v>520</v>
      </c>
      <c r="AB3" s="648" t="s">
        <v>549</v>
      </c>
      <c r="AC3" s="648" t="s">
        <v>471</v>
      </c>
      <c r="AD3" s="648" t="s">
        <v>542</v>
      </c>
      <c r="AE3" s="1582"/>
      <c r="AF3" s="649" t="s">
        <v>145</v>
      </c>
      <c r="AG3" s="649" t="s">
        <v>146</v>
      </c>
      <c r="AH3" s="649" t="s">
        <v>147</v>
      </c>
      <c r="AI3" s="649" t="s">
        <v>72</v>
      </c>
      <c r="AJ3" s="1574"/>
      <c r="AK3" s="1574"/>
      <c r="AL3" s="1554"/>
    </row>
    <row r="4" spans="1:312" ht="12.75" customHeight="1" thickTop="1">
      <c r="A4" s="641"/>
      <c r="B4" s="641"/>
      <c r="C4" s="650"/>
      <c r="D4" s="1586" t="s">
        <v>25</v>
      </c>
      <c r="E4" s="1587"/>
      <c r="F4" s="651">
        <f>COUNTIF(C$14:C$949,D4)</f>
        <v>207</v>
      </c>
      <c r="G4" s="608">
        <f t="shared" ref="G4:AA4" si="0">IF(COUNTIF($C$14:$C$949,"A")=0,"",SUMIF($C$14:$C$949,"A",G$14:G$949)/COUNTIF($C$14:$C$949,"A"))</f>
        <v>0</v>
      </c>
      <c r="H4" s="609">
        <f t="shared" si="0"/>
        <v>0</v>
      </c>
      <c r="I4" s="609">
        <f t="shared" si="0"/>
        <v>6251.6908212560384</v>
      </c>
      <c r="J4" s="609">
        <f t="shared" si="0"/>
        <v>0</v>
      </c>
      <c r="K4" s="609">
        <f t="shared" si="0"/>
        <v>0</v>
      </c>
      <c r="L4" s="609">
        <f t="shared" si="0"/>
        <v>0</v>
      </c>
      <c r="M4" s="609">
        <f t="shared" si="0"/>
        <v>0</v>
      </c>
      <c r="N4" s="609">
        <f t="shared" si="0"/>
        <v>0</v>
      </c>
      <c r="O4" s="609">
        <f t="shared" si="0"/>
        <v>6251.6908212560384</v>
      </c>
      <c r="P4" s="610">
        <f t="shared" si="0"/>
        <v>44374.396135265699</v>
      </c>
      <c r="Q4" s="610">
        <f t="shared" si="0"/>
        <v>15911.111111111111</v>
      </c>
      <c r="R4" s="610"/>
      <c r="S4" s="610">
        <f t="shared" si="0"/>
        <v>0</v>
      </c>
      <c r="T4" s="610">
        <f t="shared" si="0"/>
        <v>386.47342995169083</v>
      </c>
      <c r="U4" s="610">
        <f t="shared" si="0"/>
        <v>8210.144927536232</v>
      </c>
      <c r="V4" s="610">
        <f t="shared" si="0"/>
        <v>22569.565217391304</v>
      </c>
      <c r="W4" s="610">
        <f t="shared" si="0"/>
        <v>3262.31884057971</v>
      </c>
      <c r="X4" s="610">
        <f t="shared" si="0"/>
        <v>7915.942028985507</v>
      </c>
      <c r="Y4" s="610">
        <f t="shared" si="0"/>
        <v>13948.309178743961</v>
      </c>
      <c r="Z4" s="610"/>
      <c r="AA4" s="610">
        <f t="shared" si="0"/>
        <v>2735.2657004830917</v>
      </c>
      <c r="AB4" s="610">
        <f t="shared" ref="AB4:AK4" si="1">IF(COUNTIF($C$14:$C$949,"A")=0,"",SUMIF($C$14:$C$949,"A",AB$14:AB$949)/COUNTIF($C$14:$C$949,"A"))</f>
        <v>2363.2850241545893</v>
      </c>
      <c r="AC4" s="610">
        <f t="shared" si="1"/>
        <v>1565.7004830917874</v>
      </c>
      <c r="AD4" s="610">
        <f t="shared" si="1"/>
        <v>2001.9323671497584</v>
      </c>
      <c r="AE4" s="610">
        <f t="shared" si="1"/>
        <v>132123.67149758455</v>
      </c>
      <c r="AF4" s="611">
        <f t="shared" si="1"/>
        <v>3837.68115942029</v>
      </c>
      <c r="AG4" s="611">
        <f t="shared" si="1"/>
        <v>10333.333333333334</v>
      </c>
      <c r="AH4" s="611">
        <f t="shared" si="1"/>
        <v>5434.2995169082124</v>
      </c>
      <c r="AI4" s="611">
        <f t="shared" si="1"/>
        <v>19605.314009661837</v>
      </c>
      <c r="AJ4" s="612">
        <f t="shared" si="1"/>
        <v>157980.67632850242</v>
      </c>
      <c r="AK4" s="613">
        <f t="shared" si="1"/>
        <v>144.23333333333332</v>
      </c>
      <c r="AL4" s="614">
        <f>IF(AK4="","",(AK4*1000)/AJ4*100)</f>
        <v>91.29808574399118</v>
      </c>
    </row>
    <row r="5" spans="1:312" ht="12.75" customHeight="1">
      <c r="A5" s="641"/>
      <c r="B5" s="641"/>
      <c r="C5" s="650"/>
      <c r="D5" s="1583" t="s">
        <v>26</v>
      </c>
      <c r="E5" s="1584"/>
      <c r="F5" s="652">
        <f>COUNTIF(C$14:C$949,D5)</f>
        <v>205</v>
      </c>
      <c r="G5" s="615">
        <f t="shared" ref="G5:AA5" si="2">IF(COUNTIF($C$14:$C$949,"B")=0,"",SUMIF($C$14:$C$949,"B",G$14:G$949)/COUNTIF($C$14:$C$949,"B"))</f>
        <v>0</v>
      </c>
      <c r="H5" s="616">
        <f t="shared" si="2"/>
        <v>0</v>
      </c>
      <c r="I5" s="616">
        <f t="shared" si="2"/>
        <v>6429.7560975609758</v>
      </c>
      <c r="J5" s="616">
        <f t="shared" si="2"/>
        <v>0</v>
      </c>
      <c r="K5" s="616">
        <f t="shared" si="2"/>
        <v>0</v>
      </c>
      <c r="L5" s="616">
        <f t="shared" si="2"/>
        <v>0</v>
      </c>
      <c r="M5" s="616">
        <f t="shared" si="2"/>
        <v>0</v>
      </c>
      <c r="N5" s="616">
        <f t="shared" si="2"/>
        <v>0</v>
      </c>
      <c r="O5" s="616">
        <f t="shared" si="2"/>
        <v>6429.7560975609758</v>
      </c>
      <c r="P5" s="617">
        <f t="shared" si="2"/>
        <v>43672.682926829271</v>
      </c>
      <c r="Q5" s="617">
        <f t="shared" si="2"/>
        <v>19995.121951219513</v>
      </c>
      <c r="R5" s="617"/>
      <c r="S5" s="617">
        <f t="shared" si="2"/>
        <v>0</v>
      </c>
      <c r="T5" s="617">
        <f t="shared" si="2"/>
        <v>250.73170731707316</v>
      </c>
      <c r="U5" s="617">
        <f t="shared" si="2"/>
        <v>6885.3658536585363</v>
      </c>
      <c r="V5" s="617">
        <f t="shared" si="2"/>
        <v>23481.951219512193</v>
      </c>
      <c r="W5" s="617">
        <f t="shared" si="2"/>
        <v>2696.0975609756097</v>
      </c>
      <c r="X5" s="617">
        <f t="shared" si="2"/>
        <v>8018.0487804878048</v>
      </c>
      <c r="Y5" s="617">
        <f t="shared" si="2"/>
        <v>13354.146341463415</v>
      </c>
      <c r="Z5" s="617"/>
      <c r="AA5" s="617">
        <f t="shared" si="2"/>
        <v>2648.7804878048782</v>
      </c>
      <c r="AB5" s="617">
        <f t="shared" ref="AB5:AK5" si="3">IF(COUNTIF($C$14:$C$949,"B")=0,"",SUMIF($C$14:$C$949,"B",AB$14:AB$949)/COUNTIF($C$14:$C$949,"B"))</f>
        <v>2745.8536585365855</v>
      </c>
      <c r="AC5" s="617">
        <f t="shared" si="3"/>
        <v>1183.9024390243903</v>
      </c>
      <c r="AD5" s="617">
        <f t="shared" si="3"/>
        <v>1919.0243902439024</v>
      </c>
      <c r="AE5" s="617">
        <f t="shared" si="3"/>
        <v>132748.78048780488</v>
      </c>
      <c r="AF5" s="618">
        <f t="shared" si="3"/>
        <v>4038.0487804878048</v>
      </c>
      <c r="AG5" s="618">
        <f t="shared" si="3"/>
        <v>9613.1707317073178</v>
      </c>
      <c r="AH5" s="618">
        <f t="shared" si="3"/>
        <v>5229.2682926829266</v>
      </c>
      <c r="AI5" s="618">
        <f t="shared" si="3"/>
        <v>18893.170731707316</v>
      </c>
      <c r="AJ5" s="619">
        <f t="shared" si="3"/>
        <v>158071.70731707316</v>
      </c>
      <c r="AK5" s="620">
        <f t="shared" si="3"/>
        <v>143.87073170731702</v>
      </c>
      <c r="AL5" s="620">
        <f t="shared" ref="AL5:AL10" si="4">IF(AK5="","",(AK5*1000)/AJ5*100)</f>
        <v>91.016118032260735</v>
      </c>
    </row>
    <row r="6" spans="1:312" ht="12.75" customHeight="1">
      <c r="A6" s="641"/>
      <c r="B6" s="641"/>
      <c r="C6" s="650"/>
      <c r="D6" s="1583" t="s">
        <v>27</v>
      </c>
      <c r="E6" s="1584"/>
      <c r="F6" s="652">
        <f>COUNTIF(C$14:C$949,D6)</f>
        <v>194</v>
      </c>
      <c r="G6" s="615">
        <f t="shared" ref="G6:AA6" si="5">IF(COUNTIF($C$14:$C$949,"C")=0,"",SUMIF($C$14:$C$949,"C",G$14:G$949)/COUNTIF($C$14:$C$949,"C"))</f>
        <v>0</v>
      </c>
      <c r="H6" s="616">
        <f t="shared" si="5"/>
        <v>0</v>
      </c>
      <c r="I6" s="616">
        <f t="shared" si="5"/>
        <v>6149.4845360824738</v>
      </c>
      <c r="J6" s="616">
        <f t="shared" si="5"/>
        <v>0</v>
      </c>
      <c r="K6" s="616">
        <f t="shared" si="5"/>
        <v>0</v>
      </c>
      <c r="L6" s="616">
        <f t="shared" si="5"/>
        <v>0</v>
      </c>
      <c r="M6" s="616">
        <f t="shared" si="5"/>
        <v>0</v>
      </c>
      <c r="N6" s="616">
        <f t="shared" si="5"/>
        <v>0</v>
      </c>
      <c r="O6" s="616">
        <f t="shared" si="5"/>
        <v>6149.4845360824738</v>
      </c>
      <c r="P6" s="617">
        <f t="shared" si="5"/>
        <v>43095.876288659791</v>
      </c>
      <c r="Q6" s="617">
        <f t="shared" si="5"/>
        <v>16164.948453608247</v>
      </c>
      <c r="R6" s="617"/>
      <c r="S6" s="617">
        <f t="shared" si="5"/>
        <v>0</v>
      </c>
      <c r="T6" s="617">
        <f t="shared" si="5"/>
        <v>199.48453608247422</v>
      </c>
      <c r="U6" s="617">
        <f t="shared" si="5"/>
        <v>7664.432989690722</v>
      </c>
      <c r="V6" s="617">
        <f t="shared" si="5"/>
        <v>22961.340206185567</v>
      </c>
      <c r="W6" s="617">
        <f t="shared" si="5"/>
        <v>2832.4742268041236</v>
      </c>
      <c r="X6" s="617">
        <f t="shared" si="5"/>
        <v>7638.144329896907</v>
      </c>
      <c r="Y6" s="617">
        <f t="shared" si="5"/>
        <v>13830.41237113402</v>
      </c>
      <c r="Z6" s="617"/>
      <c r="AA6" s="617">
        <f t="shared" si="5"/>
        <v>2784.536082474227</v>
      </c>
      <c r="AB6" s="617">
        <f t="shared" ref="AB6:AK6" si="6">IF(COUNTIF($C$14:$C$949,"C")=0,"",SUMIF($C$14:$C$949,"C",AB$14:AB$949)/COUNTIF($C$14:$C$949,"C"))</f>
        <v>3215.9793814432992</v>
      </c>
      <c r="AC6" s="617">
        <f t="shared" si="6"/>
        <v>1355.1546391752577</v>
      </c>
      <c r="AD6" s="617">
        <f t="shared" si="6"/>
        <v>3010.8247422680411</v>
      </c>
      <c r="AE6" s="617">
        <f t="shared" si="6"/>
        <v>132030.92783505155</v>
      </c>
      <c r="AF6" s="618">
        <f t="shared" si="6"/>
        <v>4305.1546391752581</v>
      </c>
      <c r="AG6" s="618">
        <f t="shared" si="6"/>
        <v>9623.1958762886607</v>
      </c>
      <c r="AH6" s="618">
        <f t="shared" si="6"/>
        <v>5092.2680412371137</v>
      </c>
      <c r="AI6" s="618">
        <f t="shared" si="6"/>
        <v>19020.618556701033</v>
      </c>
      <c r="AJ6" s="619">
        <f t="shared" si="6"/>
        <v>157201.03092783506</v>
      </c>
      <c r="AK6" s="620">
        <f t="shared" si="6"/>
        <v>142.2874226804125</v>
      </c>
      <c r="AL6" s="620">
        <f t="shared" si="4"/>
        <v>90.513034068924895</v>
      </c>
    </row>
    <row r="7" spans="1:312" ht="12.75" customHeight="1" thickBot="1">
      <c r="A7" s="641"/>
      <c r="B7" s="641"/>
      <c r="C7" s="650"/>
      <c r="D7" s="1588" t="s">
        <v>82</v>
      </c>
      <c r="E7" s="1589"/>
      <c r="F7" s="653">
        <f>COUNTIF(C$14:C$949,D7)</f>
        <v>213</v>
      </c>
      <c r="G7" s="621">
        <f t="shared" ref="G7:AA7" si="7">IF(COUNTIF($C$14:$C$949,"D")=0,"",SUMIF($C$14:$C$949,"D",G$14:G$949)/COUNTIF($C$14:$C$949,"D"))</f>
        <v>0</v>
      </c>
      <c r="H7" s="622">
        <f t="shared" si="7"/>
        <v>0</v>
      </c>
      <c r="I7" s="622">
        <f t="shared" si="7"/>
        <v>6555.403755868545</v>
      </c>
      <c r="J7" s="622">
        <f t="shared" si="7"/>
        <v>0</v>
      </c>
      <c r="K7" s="622">
        <f t="shared" si="7"/>
        <v>0</v>
      </c>
      <c r="L7" s="622">
        <f t="shared" si="7"/>
        <v>0</v>
      </c>
      <c r="M7" s="622">
        <f t="shared" si="7"/>
        <v>0</v>
      </c>
      <c r="N7" s="622">
        <f t="shared" si="7"/>
        <v>0</v>
      </c>
      <c r="O7" s="622">
        <f t="shared" si="7"/>
        <v>6555.403755868545</v>
      </c>
      <c r="P7" s="623">
        <f t="shared" si="7"/>
        <v>40639.906103286383</v>
      </c>
      <c r="Q7" s="623">
        <f t="shared" si="7"/>
        <v>16298.122065727699</v>
      </c>
      <c r="R7" s="623"/>
      <c r="S7" s="623">
        <f t="shared" si="7"/>
        <v>0</v>
      </c>
      <c r="T7" s="623">
        <f t="shared" si="7"/>
        <v>542.25352112676057</v>
      </c>
      <c r="U7" s="623">
        <f t="shared" si="7"/>
        <v>8687.3239436619715</v>
      </c>
      <c r="V7" s="623">
        <f t="shared" si="7"/>
        <v>23824.413145539907</v>
      </c>
      <c r="W7" s="623">
        <f t="shared" si="7"/>
        <v>2662.9107981220659</v>
      </c>
      <c r="X7" s="623">
        <f t="shared" si="7"/>
        <v>8117.3708920187792</v>
      </c>
      <c r="Y7" s="623">
        <f t="shared" si="7"/>
        <v>17130.516431924883</v>
      </c>
      <c r="Z7" s="623"/>
      <c r="AA7" s="623">
        <f t="shared" si="7"/>
        <v>2378.8732394366198</v>
      </c>
      <c r="AB7" s="623">
        <f t="shared" ref="AB7:AK7" si="8">IF(COUNTIF($C$14:$C$949,"D")=0,"",SUMIF($C$14:$C$949,"D",AB$14:AB$949)/COUNTIF($C$14:$C$949,"D"))</f>
        <v>2133.8028169014083</v>
      </c>
      <c r="AC7" s="623">
        <f t="shared" si="8"/>
        <v>1420.6572769953052</v>
      </c>
      <c r="AD7" s="623">
        <f t="shared" si="8"/>
        <v>2136.1596244131456</v>
      </c>
      <c r="AE7" s="623">
        <f t="shared" si="8"/>
        <v>133400.95305164318</v>
      </c>
      <c r="AF7" s="624">
        <f t="shared" si="8"/>
        <v>4006.1032863849764</v>
      </c>
      <c r="AG7" s="624">
        <f t="shared" si="8"/>
        <v>9555.3990610328638</v>
      </c>
      <c r="AH7" s="624">
        <f t="shared" si="8"/>
        <v>5358.2159624413143</v>
      </c>
      <c r="AI7" s="624">
        <f t="shared" si="8"/>
        <v>18919.718309859156</v>
      </c>
      <c r="AJ7" s="625">
        <f t="shared" si="8"/>
        <v>158876.0751173709</v>
      </c>
      <c r="AK7" s="626">
        <f t="shared" si="8"/>
        <v>143.75117370892013</v>
      </c>
      <c r="AL7" s="626">
        <f t="shared" si="4"/>
        <v>90.480063535508961</v>
      </c>
    </row>
    <row r="8" spans="1:312" ht="12.75" customHeight="1" thickTop="1">
      <c r="A8" s="641"/>
      <c r="B8" s="641"/>
      <c r="C8" s="650"/>
      <c r="D8" s="1590" t="s">
        <v>151</v>
      </c>
      <c r="E8" s="1591"/>
      <c r="F8" s="654">
        <f>COUNTIF(D$14:D$949,"A")</f>
        <v>414</v>
      </c>
      <c r="G8" s="627">
        <f t="shared" ref="G8:AA8" si="9">IF(COUNTIF($D$14:$D$949,"A")=0,"",SUMIF($D$14:$D$949,"A",G$14:G$949)/COUNTIF($D$14:$D$949,"A"))</f>
        <v>0</v>
      </c>
      <c r="H8" s="628">
        <f t="shared" si="9"/>
        <v>0</v>
      </c>
      <c r="I8" s="628">
        <f t="shared" si="9"/>
        <v>6182.1256038647343</v>
      </c>
      <c r="J8" s="628">
        <f t="shared" si="9"/>
        <v>0</v>
      </c>
      <c r="K8" s="628">
        <f t="shared" si="9"/>
        <v>0</v>
      </c>
      <c r="L8" s="628">
        <f t="shared" si="9"/>
        <v>0</v>
      </c>
      <c r="M8" s="628">
        <f t="shared" si="9"/>
        <v>0</v>
      </c>
      <c r="N8" s="628">
        <f t="shared" si="9"/>
        <v>0</v>
      </c>
      <c r="O8" s="628">
        <f t="shared" si="9"/>
        <v>6182.1256038647343</v>
      </c>
      <c r="P8" s="629">
        <f t="shared" si="9"/>
        <v>41581.159420289856</v>
      </c>
      <c r="Q8" s="629">
        <f t="shared" si="9"/>
        <v>17425.603864734301</v>
      </c>
      <c r="R8" s="629"/>
      <c r="S8" s="629">
        <f t="shared" si="9"/>
        <v>0</v>
      </c>
      <c r="T8" s="629">
        <f t="shared" si="9"/>
        <v>445.6521739130435</v>
      </c>
      <c r="U8" s="629">
        <f t="shared" si="9"/>
        <v>7705.797101449275</v>
      </c>
      <c r="V8" s="629">
        <f t="shared" si="9"/>
        <v>23519.323671497583</v>
      </c>
      <c r="W8" s="629">
        <f t="shared" si="9"/>
        <v>2793.478260869565</v>
      </c>
      <c r="X8" s="629">
        <f t="shared" si="9"/>
        <v>8034.782608695652</v>
      </c>
      <c r="Y8" s="629">
        <f t="shared" si="9"/>
        <v>15114.975845410629</v>
      </c>
      <c r="Z8" s="629"/>
      <c r="AA8" s="629">
        <f t="shared" si="9"/>
        <v>2695.8937198067633</v>
      </c>
      <c r="AB8" s="629">
        <f t="shared" ref="AB8:AK8" si="10">IF(COUNTIF($D$14:$D$949,"A")=0,"",SUMIF($D$14:$D$949,"A",AB$14:AB$949)/COUNTIF($D$14:$D$949,"A"))</f>
        <v>2680.1932367149757</v>
      </c>
      <c r="AC8" s="629">
        <f t="shared" si="10"/>
        <v>1375.1207729468599</v>
      </c>
      <c r="AD8" s="629">
        <f t="shared" si="10"/>
        <v>2411.5942028985505</v>
      </c>
      <c r="AE8" s="629">
        <f t="shared" si="10"/>
        <v>132689.13043478262</v>
      </c>
      <c r="AF8" s="630">
        <f t="shared" si="10"/>
        <v>4122.463768115942</v>
      </c>
      <c r="AG8" s="630">
        <f t="shared" si="10"/>
        <v>9134.0579710144921</v>
      </c>
      <c r="AH8" s="630">
        <f t="shared" si="10"/>
        <v>5877.536231884058</v>
      </c>
      <c r="AI8" s="630">
        <f t="shared" si="10"/>
        <v>19134.057971014492</v>
      </c>
      <c r="AJ8" s="631">
        <f t="shared" si="10"/>
        <v>158005.31400966184</v>
      </c>
      <c r="AK8" s="632">
        <f t="shared" si="10"/>
        <v>143.53830917874416</v>
      </c>
      <c r="AL8" s="632">
        <f t="shared" si="4"/>
        <v>90.843975772844544</v>
      </c>
    </row>
    <row r="9" spans="1:312" ht="12.75" customHeight="1">
      <c r="A9" s="641"/>
      <c r="B9" s="641"/>
      <c r="C9" s="650"/>
      <c r="D9" s="1583" t="s">
        <v>152</v>
      </c>
      <c r="E9" s="1584"/>
      <c r="F9" s="655">
        <f>COUNTIF(D$14:D$949,"B")</f>
        <v>405</v>
      </c>
      <c r="G9" s="615">
        <f t="shared" ref="G9:AA9" si="11">IF(COUNTIF($C$14:$C$949,"A")=0,"",SUMIF($C$14:$C$949,"A",G$14:G$949)/COUNTIF($C$14:$C$949,"A"))</f>
        <v>0</v>
      </c>
      <c r="H9" s="616">
        <f t="shared" si="11"/>
        <v>0</v>
      </c>
      <c r="I9" s="616">
        <f t="shared" si="11"/>
        <v>6251.6908212560384</v>
      </c>
      <c r="J9" s="616">
        <f t="shared" si="11"/>
        <v>0</v>
      </c>
      <c r="K9" s="616">
        <f t="shared" si="11"/>
        <v>0</v>
      </c>
      <c r="L9" s="616">
        <f t="shared" si="11"/>
        <v>0</v>
      </c>
      <c r="M9" s="616">
        <f t="shared" si="11"/>
        <v>0</v>
      </c>
      <c r="N9" s="616">
        <f t="shared" si="11"/>
        <v>0</v>
      </c>
      <c r="O9" s="616">
        <f t="shared" si="11"/>
        <v>6251.6908212560384</v>
      </c>
      <c r="P9" s="617">
        <f t="shared" si="11"/>
        <v>44374.396135265699</v>
      </c>
      <c r="Q9" s="617">
        <f t="shared" si="11"/>
        <v>15911.111111111111</v>
      </c>
      <c r="R9" s="617"/>
      <c r="S9" s="617">
        <f t="shared" si="11"/>
        <v>0</v>
      </c>
      <c r="T9" s="617">
        <f t="shared" si="11"/>
        <v>386.47342995169083</v>
      </c>
      <c r="U9" s="617">
        <f t="shared" si="11"/>
        <v>8210.144927536232</v>
      </c>
      <c r="V9" s="617">
        <f t="shared" si="11"/>
        <v>22569.565217391304</v>
      </c>
      <c r="W9" s="617">
        <f t="shared" si="11"/>
        <v>3262.31884057971</v>
      </c>
      <c r="X9" s="617">
        <f t="shared" si="11"/>
        <v>7915.942028985507</v>
      </c>
      <c r="Y9" s="617">
        <f t="shared" si="11"/>
        <v>13948.309178743961</v>
      </c>
      <c r="Z9" s="617"/>
      <c r="AA9" s="617">
        <f t="shared" si="11"/>
        <v>2735.2657004830917</v>
      </c>
      <c r="AB9" s="617">
        <f t="shared" ref="AB9:AI9" si="12">IF(COUNTIF($C$14:$C$949,"A")=0,"",SUMIF($C$14:$C$949,"A",AB$14:AB$949)/COUNTIF($C$14:$C$949,"A"))</f>
        <v>2363.2850241545893</v>
      </c>
      <c r="AC9" s="617">
        <f t="shared" si="12"/>
        <v>1565.7004830917874</v>
      </c>
      <c r="AD9" s="617">
        <f t="shared" si="12"/>
        <v>2001.9323671497584</v>
      </c>
      <c r="AE9" s="617">
        <f t="shared" si="12"/>
        <v>132123.67149758455</v>
      </c>
      <c r="AF9" s="618">
        <f t="shared" si="12"/>
        <v>3837.68115942029</v>
      </c>
      <c r="AG9" s="618">
        <f t="shared" si="12"/>
        <v>10333.333333333334</v>
      </c>
      <c r="AH9" s="618">
        <f t="shared" si="12"/>
        <v>5434.2995169082124</v>
      </c>
      <c r="AI9" s="618">
        <f t="shared" si="12"/>
        <v>19605.314009661837</v>
      </c>
      <c r="AJ9" s="619">
        <f>IF(COUNTIF($D$14:$D$949,"B")=0,"",SUMIF($D$14:$D$949,"B",AJ$14:AJ$949)/COUNTIF($D$14:$D$949,"B"))</f>
        <v>158099.02222222224</v>
      </c>
      <c r="AK9" s="620">
        <f>IF(COUNTIF($D$14:$D$949,"B")=0,"",SUMIF($D$14:$D$949,"B",AK$14:AK$949)/COUNTIF($D$14:$D$949,"B"))</f>
        <v>143.5745679012345</v>
      </c>
      <c r="AL9" s="620">
        <f t="shared" si="4"/>
        <v>90.813065054524927</v>
      </c>
    </row>
    <row r="10" spans="1:312" ht="12.75" customHeight="1" thickBot="1">
      <c r="A10" s="641"/>
      <c r="B10" s="641"/>
      <c r="C10" s="656"/>
      <c r="D10" s="1575" t="s">
        <v>153</v>
      </c>
      <c r="E10" s="1576"/>
      <c r="F10" s="657">
        <f>F8+F9</f>
        <v>819</v>
      </c>
      <c r="G10" s="633">
        <f t="shared" ref="G10:Y10" si="13">IF($F$10&lt;2,"",SUM(G14:G949)/$F$10)</f>
        <v>0</v>
      </c>
      <c r="H10" s="634">
        <f t="shared" si="13"/>
        <v>0</v>
      </c>
      <c r="I10" s="634">
        <f t="shared" si="13"/>
        <v>6351.0390720390724</v>
      </c>
      <c r="J10" s="634">
        <f t="shared" si="13"/>
        <v>0</v>
      </c>
      <c r="K10" s="634">
        <f t="shared" si="13"/>
        <v>0</v>
      </c>
      <c r="L10" s="634">
        <f t="shared" si="13"/>
        <v>0</v>
      </c>
      <c r="M10" s="634">
        <f t="shared" si="13"/>
        <v>0</v>
      </c>
      <c r="N10" s="634">
        <f t="shared" si="13"/>
        <v>0</v>
      </c>
      <c r="O10" s="634">
        <f t="shared" si="13"/>
        <v>6351.0390720390724</v>
      </c>
      <c r="P10" s="635">
        <f t="shared" si="13"/>
        <v>42924.664224664222</v>
      </c>
      <c r="Q10" s="635">
        <f t="shared" si="13"/>
        <v>17094.139194139196</v>
      </c>
      <c r="R10" s="635"/>
      <c r="S10" s="635">
        <f t="shared" si="13"/>
        <v>0</v>
      </c>
      <c r="T10" s="635">
        <f t="shared" si="13"/>
        <v>348.71794871794873</v>
      </c>
      <c r="U10" s="635">
        <f t="shared" si="13"/>
        <v>7873.3821733821733</v>
      </c>
      <c r="V10" s="635">
        <f t="shared" si="13"/>
        <v>23217.094017094016</v>
      </c>
      <c r="W10" s="635">
        <f t="shared" si="13"/>
        <v>2862.8815628815628</v>
      </c>
      <c r="X10" s="635">
        <f t="shared" ref="X10" si="14">IF($F$10&lt;2,"",SUM(X14:X949)/$F$10)</f>
        <v>7928.0830280830278</v>
      </c>
      <c r="Y10" s="635">
        <f t="shared" si="13"/>
        <v>14599.267399267399</v>
      </c>
      <c r="Z10" s="635"/>
      <c r="AA10" s="635">
        <f t="shared" ref="AA10" si="15">IF($F$10&lt;2,"",SUM(AA14:AA949)/$F$10)</f>
        <v>2632.6007326007325</v>
      </c>
      <c r="AB10" s="635">
        <f t="shared" ref="AB10:AK10" si="16">IF($F$10&lt;2,"",SUM(AB14:AB949)/$F$10)</f>
        <v>2601.3431013431014</v>
      </c>
      <c r="AC10" s="635">
        <f t="shared" si="16"/>
        <v>1382.5396825396826</v>
      </c>
      <c r="AD10" s="635">
        <f t="shared" si="16"/>
        <v>2255.069597069597</v>
      </c>
      <c r="AE10" s="635">
        <f t="shared" si="16"/>
        <v>132590.35775335776</v>
      </c>
      <c r="AF10" s="636">
        <f t="shared" si="16"/>
        <v>4042.3687423687425</v>
      </c>
      <c r="AG10" s="636">
        <f t="shared" si="16"/>
        <v>9782.539682539682</v>
      </c>
      <c r="AH10" s="636">
        <f t="shared" si="16"/>
        <v>5282.1733821733824</v>
      </c>
      <c r="AI10" s="636">
        <f t="shared" si="16"/>
        <v>19110.25641025641</v>
      </c>
      <c r="AJ10" s="637">
        <f t="shared" si="16"/>
        <v>158051.65323565324</v>
      </c>
      <c r="AK10" s="638">
        <f t="shared" si="16"/>
        <v>143.55623931623933</v>
      </c>
      <c r="AL10" s="638">
        <f t="shared" si="4"/>
        <v>90.828685671638382</v>
      </c>
    </row>
    <row r="11" spans="1:312" ht="5.25" customHeight="1" thickBot="1">
      <c r="A11" s="641"/>
      <c r="B11" s="641"/>
      <c r="C11" s="641"/>
      <c r="D11" s="641"/>
      <c r="E11" s="641"/>
      <c r="F11" s="641"/>
      <c r="G11" s="658"/>
      <c r="H11" s="658"/>
      <c r="I11" s="658"/>
      <c r="J11" s="658"/>
      <c r="K11" s="658"/>
      <c r="L11" s="658"/>
      <c r="M11" s="658"/>
      <c r="N11" s="658"/>
      <c r="O11" s="658"/>
      <c r="P11" s="658"/>
      <c r="Q11" s="658"/>
      <c r="R11" s="658"/>
      <c r="S11" s="658"/>
      <c r="T11" s="658"/>
      <c r="U11" s="658"/>
      <c r="V11" s="658"/>
      <c r="W11" s="658"/>
      <c r="X11" s="658"/>
      <c r="Y11" s="658"/>
      <c r="Z11" s="658"/>
      <c r="AA11" s="658"/>
      <c r="AB11" s="658"/>
      <c r="AC11" s="658"/>
      <c r="AD11" s="658"/>
      <c r="AE11" s="658"/>
      <c r="AF11" s="658"/>
      <c r="AG11" s="658"/>
      <c r="AH11" s="658"/>
      <c r="AI11" s="658"/>
      <c r="AJ11" s="658"/>
      <c r="AK11" s="658"/>
      <c r="AL11" s="658"/>
    </row>
    <row r="12" spans="1:312" ht="16.5" customHeight="1">
      <c r="A12" s="1529" t="s">
        <v>250</v>
      </c>
      <c r="B12" s="1529" t="s">
        <v>419</v>
      </c>
      <c r="C12" s="1555" t="s">
        <v>86</v>
      </c>
      <c r="D12" s="1557" t="s">
        <v>39</v>
      </c>
      <c r="E12" s="1533" t="s">
        <v>87</v>
      </c>
      <c r="F12" s="1560" t="s">
        <v>88</v>
      </c>
      <c r="G12" s="1592" t="s">
        <v>222</v>
      </c>
      <c r="H12" s="1552"/>
      <c r="I12" s="1552" t="s">
        <v>224</v>
      </c>
      <c r="J12" s="1552"/>
      <c r="K12" s="1552" t="s">
        <v>228</v>
      </c>
      <c r="L12" s="1552"/>
      <c r="M12" s="1552" t="s">
        <v>434</v>
      </c>
      <c r="N12" s="1552"/>
      <c r="O12" s="1593" t="s">
        <v>140</v>
      </c>
      <c r="P12" s="1542" t="s">
        <v>240</v>
      </c>
      <c r="Q12" s="1543"/>
      <c r="R12" s="1543"/>
      <c r="S12" s="1543"/>
      <c r="T12" s="1543"/>
      <c r="U12" s="1546" t="s">
        <v>241</v>
      </c>
      <c r="V12" s="1547"/>
      <c r="W12" s="1547"/>
      <c r="X12" s="1548"/>
      <c r="Y12" s="1543" t="s">
        <v>242</v>
      </c>
      <c r="Z12" s="1543"/>
      <c r="AA12" s="1543"/>
      <c r="AB12" s="1543"/>
      <c r="AC12" s="1543" t="s">
        <v>243</v>
      </c>
      <c r="AD12" s="1543"/>
      <c r="AE12" s="1544" t="s">
        <v>72</v>
      </c>
      <c r="AF12" s="1565" t="s">
        <v>150</v>
      </c>
      <c r="AG12" s="1566"/>
      <c r="AH12" s="1566"/>
      <c r="AI12" s="1567"/>
      <c r="AJ12" s="1568" t="s">
        <v>132</v>
      </c>
      <c r="AK12" s="1570" t="s">
        <v>133</v>
      </c>
      <c r="AL12" s="1563" t="s">
        <v>134</v>
      </c>
    </row>
    <row r="13" spans="1:312" ht="16.5" customHeight="1" thickBot="1">
      <c r="A13" s="1530"/>
      <c r="B13" s="1530"/>
      <c r="C13" s="1556"/>
      <c r="D13" s="1558"/>
      <c r="E13" s="1559"/>
      <c r="F13" s="1561"/>
      <c r="G13" s="1089" t="s">
        <v>457</v>
      </c>
      <c r="H13" s="1090" t="s">
        <v>458</v>
      </c>
      <c r="I13" s="1090" t="s">
        <v>459</v>
      </c>
      <c r="J13" s="1090" t="s">
        <v>218</v>
      </c>
      <c r="K13" s="1090" t="s">
        <v>458</v>
      </c>
      <c r="L13" s="1090" t="s">
        <v>460</v>
      </c>
      <c r="M13" s="1090" t="s">
        <v>9</v>
      </c>
      <c r="N13" s="1090" t="s">
        <v>100</v>
      </c>
      <c r="O13" s="1594"/>
      <c r="P13" s="1107" t="s">
        <v>461</v>
      </c>
      <c r="Q13" s="1091" t="s">
        <v>462</v>
      </c>
      <c r="R13" s="1091" t="s">
        <v>491</v>
      </c>
      <c r="S13" s="1091" t="s">
        <v>463</v>
      </c>
      <c r="T13" s="1091" t="s">
        <v>489</v>
      </c>
      <c r="U13" s="1091" t="s">
        <v>464</v>
      </c>
      <c r="V13" s="1091" t="s">
        <v>465</v>
      </c>
      <c r="W13" s="1091" t="s">
        <v>466</v>
      </c>
      <c r="X13" s="1091" t="s">
        <v>467</v>
      </c>
      <c r="Y13" s="1091" t="s">
        <v>468</v>
      </c>
      <c r="Z13" s="1091" t="s">
        <v>469</v>
      </c>
      <c r="AA13" s="1229" t="s">
        <v>521</v>
      </c>
      <c r="AB13" s="1091" t="s">
        <v>454</v>
      </c>
      <c r="AC13" s="1091" t="s">
        <v>455</v>
      </c>
      <c r="AD13" s="1091" t="s">
        <v>456</v>
      </c>
      <c r="AE13" s="1545"/>
      <c r="AF13" s="1111" t="s">
        <v>485</v>
      </c>
      <c r="AG13" s="1092" t="s">
        <v>486</v>
      </c>
      <c r="AH13" s="1092" t="s">
        <v>487</v>
      </c>
      <c r="AI13" s="1112" t="s">
        <v>72</v>
      </c>
      <c r="AJ13" s="1569"/>
      <c r="AK13" s="1571"/>
      <c r="AL13" s="1564"/>
    </row>
    <row r="14" spans="1:312" ht="16.5" customHeight="1">
      <c r="A14" s="999">
        <f>'09월 에너지'!A14</f>
        <v>46266</v>
      </c>
      <c r="B14" s="1002">
        <f>'09월 조업일지'!B12</f>
        <v>46265</v>
      </c>
      <c r="C14" s="1003" t="str">
        <f>'09월 에너지'!C14</f>
        <v>D</v>
      </c>
      <c r="D14" s="1004" t="str">
        <f>'09월 에너지'!D14</f>
        <v>B</v>
      </c>
      <c r="E14" s="1000">
        <f>'09월 에너지'!E14</f>
        <v>85214</v>
      </c>
      <c r="F14" s="1170" t="str">
        <f>'09월 에너지'!F14</f>
        <v>SHN400(BL)</v>
      </c>
      <c r="G14" s="980"/>
      <c r="H14" s="978"/>
      <c r="I14" s="978"/>
      <c r="J14" s="978"/>
      <c r="K14" s="978"/>
      <c r="L14" s="978"/>
      <c r="M14" s="978"/>
      <c r="N14" s="978"/>
      <c r="O14" s="1106" t="str">
        <f t="shared" ref="O14" si="17">IF(SUM(G14:N14)=0,"",SUM(G14:N14))</f>
        <v/>
      </c>
      <c r="P14" s="1108">
        <f>8700+11100+12600+7200+7000+5700</f>
        <v>52300</v>
      </c>
      <c r="Q14" s="979">
        <f>8100+4000</f>
        <v>12100</v>
      </c>
      <c r="R14" s="979">
        <v>5600</v>
      </c>
      <c r="S14" s="979"/>
      <c r="T14" s="979"/>
      <c r="U14" s="979">
        <f>4600+4900+6300</f>
        <v>15800</v>
      </c>
      <c r="V14" s="979">
        <f>5100+3000+10400</f>
        <v>18500</v>
      </c>
      <c r="W14" s="979">
        <v>2100</v>
      </c>
      <c r="X14" s="979">
        <v>9100</v>
      </c>
      <c r="Y14" s="979">
        <f>4500+12600+4700</f>
        <v>21800</v>
      </c>
      <c r="Z14" s="979"/>
      <c r="AA14" s="979">
        <v>1700</v>
      </c>
      <c r="AB14" s="979">
        <v>2800</v>
      </c>
      <c r="AC14" s="979">
        <v>1900</v>
      </c>
      <c r="AD14" s="979"/>
      <c r="AE14" s="1109">
        <f t="shared" ref="AE14:AE16" si="18">IF(SUM(P14:AD14)=0,"",SUM(P14:AD14))</f>
        <v>143700</v>
      </c>
      <c r="AF14" s="1113">
        <v>2900</v>
      </c>
      <c r="AG14" s="981">
        <v>9000</v>
      </c>
      <c r="AH14" s="981">
        <v>4100</v>
      </c>
      <c r="AI14" s="1114">
        <f t="shared" ref="AI14" si="19">IF(SUM(AF14:AH14)=0,"",SUM(AF14:AH14))</f>
        <v>16000</v>
      </c>
      <c r="AJ14" s="1110">
        <f t="shared" ref="AJ14" si="20">IF(SUM(O14,AE14,AI14)=0,"",SUM(O14,AE14,AI14))</f>
        <v>159700</v>
      </c>
      <c r="AK14" s="982">
        <f>'09월 에너지'!S14</f>
        <v>144.30000000000001</v>
      </c>
      <c r="AL14" s="983">
        <f t="shared" ref="AL14" si="21">IF(ISERROR(IF(AK14="","",(AK14*1000)/AJ14)),0,(IF(AK14="","",(AK14*1000)/AJ14)))</f>
        <v>0.90356919223544141</v>
      </c>
      <c r="AM14" s="978"/>
      <c r="AN14" s="978"/>
      <c r="AO14" s="978"/>
      <c r="AP14" s="978"/>
      <c r="AQ14" s="978"/>
      <c r="AR14" s="1004">
        <f>'09월 에너지'!VJH14</f>
        <v>0</v>
      </c>
      <c r="AS14" s="1000">
        <f>'09월 에너지'!VJI14</f>
        <v>0</v>
      </c>
      <c r="AT14" s="1094">
        <f>'09월 에너지'!VJJ14</f>
        <v>0</v>
      </c>
      <c r="AU14" s="980"/>
      <c r="AV14" s="978"/>
      <c r="AW14" s="978"/>
      <c r="AX14" s="978"/>
      <c r="AY14" s="978"/>
      <c r="AZ14" s="978"/>
      <c r="BA14" s="978"/>
      <c r="BB14" s="978"/>
      <c r="BC14" s="978" t="str">
        <f t="shared" ref="BC14:BC16" si="22">IF(SUM(AU14:BB14)=0,"",SUM(AU14:BB14))</f>
        <v/>
      </c>
      <c r="BD14" s="979"/>
      <c r="BE14" s="979"/>
      <c r="BF14" s="979"/>
      <c r="BG14" s="979"/>
      <c r="BH14" s="979"/>
      <c r="BI14" s="979"/>
      <c r="BJ14" s="979"/>
      <c r="BK14" s="979"/>
      <c r="BL14" s="979"/>
      <c r="BM14" s="979"/>
      <c r="BN14" s="979"/>
      <c r="BO14" s="979"/>
      <c r="BP14" s="979" t="str">
        <f t="shared" ref="BP14:BP16" si="23">IF(SUM(BD14:BO14)=0,"",SUM(BD14:BO14))</f>
        <v/>
      </c>
      <c r="BQ14" s="981"/>
      <c r="BR14" s="981"/>
      <c r="BS14" s="981"/>
      <c r="BT14" s="981" t="str">
        <f t="shared" ref="BT14:BT16" si="24">IF(SUM(BQ14:BS14)=0,"",SUM(BQ14:BS14))</f>
        <v/>
      </c>
      <c r="BU14" s="999">
        <f>'09월 에너지'!VKL14</f>
        <v>0</v>
      </c>
      <c r="BV14" s="1002">
        <f>'09월 조업일지'!VKR12</f>
        <v>0</v>
      </c>
      <c r="BW14" s="1003">
        <f>'09월 에너지'!VKM14</f>
        <v>0</v>
      </c>
      <c r="BX14" s="1004">
        <f>'09월 에너지'!VKN14</f>
        <v>0</v>
      </c>
      <c r="BY14" s="1000">
        <f>'09월 에너지'!VKO14</f>
        <v>0</v>
      </c>
      <c r="BZ14" s="1094">
        <f>'09월 에너지'!VKP14</f>
        <v>0</v>
      </c>
      <c r="CA14" s="980"/>
      <c r="CB14" s="978"/>
      <c r="CC14" s="978"/>
      <c r="CD14" s="978"/>
      <c r="CE14" s="978"/>
      <c r="CF14" s="978"/>
      <c r="CG14" s="978"/>
      <c r="CH14" s="978"/>
      <c r="CI14" s="978" t="str">
        <f t="shared" ref="CI14:CI16" si="25">IF(SUM(CA14:CH14)=0,"",SUM(CA14:CH14))</f>
        <v/>
      </c>
      <c r="CJ14" s="979"/>
      <c r="CK14" s="979"/>
      <c r="CL14" s="979"/>
      <c r="CM14" s="979"/>
      <c r="CN14" s="979"/>
      <c r="CO14" s="979"/>
      <c r="CP14" s="979"/>
      <c r="CQ14" s="979"/>
      <c r="CR14" s="979"/>
      <c r="CS14" s="979"/>
      <c r="CT14" s="979"/>
      <c r="CU14" s="979"/>
      <c r="CV14" s="979" t="str">
        <f t="shared" ref="CV14:CV16" si="26">IF(SUM(CJ14:CU14)=0,"",SUM(CJ14:CU14))</f>
        <v/>
      </c>
      <c r="CW14" s="981"/>
      <c r="CX14" s="981"/>
      <c r="CY14" s="981"/>
      <c r="CZ14" s="981" t="str">
        <f t="shared" ref="CZ14:CZ16" si="27">IF(SUM(CW14:CY14)=0,"",SUM(CW14:CY14))</f>
        <v/>
      </c>
      <c r="DA14" s="999">
        <f>'09월 에너지'!VLR14</f>
        <v>0</v>
      </c>
      <c r="DB14" s="1002">
        <f>'09월 조업일지'!VLX12</f>
        <v>0</v>
      </c>
      <c r="DC14" s="1003">
        <f>'09월 에너지'!VLS14</f>
        <v>0</v>
      </c>
      <c r="DD14" s="1004">
        <f>'09월 에너지'!VLT14</f>
        <v>0</v>
      </c>
      <c r="DE14" s="1000">
        <f>'09월 에너지'!VLU14</f>
        <v>0</v>
      </c>
      <c r="DF14" s="1094">
        <f>'09월 에너지'!VLV14</f>
        <v>0</v>
      </c>
      <c r="DG14" s="980"/>
      <c r="DH14" s="978"/>
      <c r="DI14" s="978"/>
      <c r="DJ14" s="978"/>
      <c r="DK14" s="978"/>
      <c r="DL14" s="978"/>
      <c r="DM14" s="978"/>
      <c r="DN14" s="978"/>
      <c r="DO14" s="978" t="str">
        <f t="shared" ref="DO14:DO16" si="28">IF(SUM(DG14:DN14)=0,"",SUM(DG14:DN14))</f>
        <v/>
      </c>
      <c r="DP14" s="979"/>
      <c r="DQ14" s="979"/>
      <c r="DR14" s="979"/>
      <c r="DS14" s="979"/>
      <c r="DT14" s="979"/>
      <c r="DU14" s="979"/>
      <c r="DV14" s="979"/>
      <c r="DW14" s="979"/>
      <c r="DX14" s="979"/>
      <c r="DY14" s="979"/>
      <c r="DZ14" s="979"/>
      <c r="EA14" s="979"/>
      <c r="EB14" s="979" t="str">
        <f t="shared" ref="EB14:EB16" si="29">IF(SUM(DP14:EA14)=0,"",SUM(DP14:EA14))</f>
        <v/>
      </c>
      <c r="EC14" s="981"/>
      <c r="ED14" s="981"/>
      <c r="EE14" s="981"/>
      <c r="EF14" s="981" t="str">
        <f t="shared" ref="EF14:EF16" si="30">IF(SUM(EC14:EE14)=0,"",SUM(EC14:EE14))</f>
        <v/>
      </c>
      <c r="EG14" s="999">
        <f>'09월 에너지'!VMX14</f>
        <v>0</v>
      </c>
      <c r="EH14" s="1002">
        <f>'09월 조업일지'!VND12</f>
        <v>0</v>
      </c>
      <c r="EI14" s="1003">
        <f>'09월 에너지'!VMY14</f>
        <v>0</v>
      </c>
      <c r="EJ14" s="1004">
        <f>'09월 에너지'!VMZ14</f>
        <v>0</v>
      </c>
      <c r="EK14" s="1000">
        <f>'09월 에너지'!VNA14</f>
        <v>0</v>
      </c>
      <c r="EL14" s="1094">
        <f>'09월 에너지'!VNB14</f>
        <v>0</v>
      </c>
      <c r="EM14" s="980"/>
      <c r="EN14" s="978"/>
      <c r="EO14" s="978"/>
      <c r="EP14" s="978"/>
      <c r="EQ14" s="978"/>
      <c r="ER14" s="978"/>
      <c r="ES14" s="978"/>
      <c r="ET14" s="978"/>
      <c r="EU14" s="978" t="str">
        <f t="shared" ref="EU14:EU16" si="31">IF(SUM(EM14:ET14)=0,"",SUM(EM14:ET14))</f>
        <v/>
      </c>
      <c r="EV14" s="979"/>
      <c r="EW14" s="979"/>
      <c r="EX14" s="979"/>
      <c r="EY14" s="979"/>
      <c r="EZ14" s="979"/>
      <c r="FA14" s="979"/>
      <c r="FB14" s="979"/>
      <c r="FC14" s="979"/>
      <c r="FD14" s="979"/>
      <c r="FE14" s="979"/>
      <c r="FF14" s="979"/>
      <c r="FG14" s="979"/>
      <c r="FH14" s="979" t="str">
        <f t="shared" ref="FH14:FH16" si="32">IF(SUM(EV14:FG14)=0,"",SUM(EV14:FG14))</f>
        <v/>
      </c>
      <c r="FI14" s="981"/>
      <c r="FJ14" s="981"/>
      <c r="FK14" s="981"/>
      <c r="FL14" s="981" t="str">
        <f t="shared" ref="FL14:FL16" si="33">IF(SUM(FI14:FK14)=0,"",SUM(FI14:FK14))</f>
        <v/>
      </c>
      <c r="FM14" s="999">
        <f>'09월 에너지'!VOD14</f>
        <v>0</v>
      </c>
      <c r="FN14" s="1002">
        <f>'09월 조업일지'!VOJ12</f>
        <v>0</v>
      </c>
      <c r="FO14" s="1003">
        <f>'09월 에너지'!VOE14</f>
        <v>0</v>
      </c>
      <c r="FP14" s="1004">
        <f>'09월 에너지'!VOF14</f>
        <v>0</v>
      </c>
      <c r="FQ14" s="1000">
        <f>'09월 에너지'!VOG14</f>
        <v>0</v>
      </c>
      <c r="FR14" s="1094">
        <f>'09월 에너지'!VOH14</f>
        <v>0</v>
      </c>
      <c r="FS14" s="980"/>
      <c r="FT14" s="978"/>
      <c r="FU14" s="978"/>
      <c r="FV14" s="978"/>
      <c r="FW14" s="978"/>
      <c r="FX14" s="978"/>
      <c r="FY14" s="978"/>
      <c r="FZ14" s="978"/>
      <c r="GA14" s="978" t="str">
        <f t="shared" ref="GA14:GA16" si="34">IF(SUM(FS14:FZ14)=0,"",SUM(FS14:FZ14))</f>
        <v/>
      </c>
      <c r="GB14" s="979"/>
      <c r="GC14" s="979"/>
      <c r="GD14" s="979"/>
      <c r="GE14" s="979"/>
      <c r="GF14" s="979"/>
      <c r="GG14" s="979"/>
      <c r="GH14" s="979"/>
      <c r="GI14" s="979"/>
      <c r="GJ14" s="979"/>
      <c r="GK14" s="979"/>
      <c r="GL14" s="979"/>
      <c r="GM14" s="979"/>
      <c r="GN14" s="979" t="str">
        <f t="shared" ref="GN14:GN16" si="35">IF(SUM(GB14:GM14)=0,"",SUM(GB14:GM14))</f>
        <v/>
      </c>
      <c r="GO14" s="981"/>
      <c r="GP14" s="981"/>
      <c r="GQ14" s="981"/>
      <c r="GR14" s="981" t="str">
        <f t="shared" ref="GR14:GR16" si="36">IF(SUM(GO14:GQ14)=0,"",SUM(GO14:GQ14))</f>
        <v/>
      </c>
      <c r="GS14" s="999">
        <f>'09월 에너지'!VPJ14</f>
        <v>0</v>
      </c>
      <c r="GT14" s="1002">
        <f>'09월 조업일지'!VPP12</f>
        <v>0</v>
      </c>
      <c r="GU14" s="1003">
        <f>'09월 에너지'!VPK14</f>
        <v>0</v>
      </c>
      <c r="GV14" s="1004">
        <f>'09월 에너지'!VPL14</f>
        <v>0</v>
      </c>
      <c r="GW14" s="1000">
        <f>'09월 에너지'!VPM14</f>
        <v>0</v>
      </c>
      <c r="GX14" s="1094">
        <f>'09월 에너지'!VPN14</f>
        <v>0</v>
      </c>
      <c r="GY14" s="980"/>
      <c r="GZ14" s="978"/>
      <c r="HA14" s="978"/>
      <c r="HB14" s="978"/>
      <c r="HC14" s="978"/>
      <c r="HD14" s="978"/>
      <c r="HE14" s="978"/>
      <c r="HF14" s="978"/>
      <c r="HG14" s="978" t="str">
        <f t="shared" ref="HG14:HG16" si="37">IF(SUM(GY14:HF14)=0,"",SUM(GY14:HF14))</f>
        <v/>
      </c>
      <c r="HH14" s="979"/>
      <c r="HI14" s="979"/>
      <c r="HJ14" s="979"/>
      <c r="HK14" s="979"/>
      <c r="HL14" s="979"/>
      <c r="HM14" s="979"/>
      <c r="HN14" s="979"/>
      <c r="HO14" s="979"/>
      <c r="HP14" s="979"/>
      <c r="HQ14" s="979"/>
      <c r="HR14" s="979"/>
      <c r="HS14" s="979"/>
      <c r="HT14" s="979" t="str">
        <f t="shared" ref="HT14:HT16" si="38">IF(SUM(HH14:HS14)=0,"",SUM(HH14:HS14))</f>
        <v/>
      </c>
      <c r="HU14" s="981"/>
      <c r="HV14" s="981"/>
      <c r="HW14" s="981"/>
      <c r="HX14" s="981" t="str">
        <f t="shared" ref="HX14:HX16" si="39">IF(SUM(HU14:HW14)=0,"",SUM(HU14:HW14))</f>
        <v/>
      </c>
      <c r="HY14" s="999">
        <f>'09월 에너지'!VQP14</f>
        <v>0</v>
      </c>
      <c r="HZ14" s="1002">
        <f>'09월 조업일지'!VQV12</f>
        <v>0</v>
      </c>
      <c r="IA14" s="1003">
        <f>'09월 에너지'!VQQ14</f>
        <v>0</v>
      </c>
      <c r="IB14" s="1004">
        <f>'09월 에너지'!VQR14</f>
        <v>0</v>
      </c>
      <c r="IC14" s="1000">
        <f>'09월 에너지'!VQS14</f>
        <v>0</v>
      </c>
      <c r="ID14" s="1094">
        <f>'09월 에너지'!VQT14</f>
        <v>0</v>
      </c>
      <c r="IE14" s="980"/>
      <c r="IF14" s="978"/>
      <c r="IG14" s="978"/>
      <c r="IH14" s="978"/>
      <c r="II14" s="978"/>
      <c r="IJ14" s="978"/>
      <c r="IK14" s="978"/>
      <c r="IL14" s="978"/>
      <c r="IM14" s="978" t="str">
        <f t="shared" ref="IM14:IM16" si="40">IF(SUM(IE14:IL14)=0,"",SUM(IE14:IL14))</f>
        <v/>
      </c>
      <c r="IN14" s="979"/>
      <c r="IO14" s="979"/>
      <c r="IP14" s="979"/>
      <c r="IQ14" s="979"/>
      <c r="IR14" s="979"/>
      <c r="IS14" s="979"/>
      <c r="IT14" s="979"/>
      <c r="IU14" s="979"/>
      <c r="IV14" s="979"/>
      <c r="IW14" s="979"/>
      <c r="IX14" s="979"/>
      <c r="IY14" s="979"/>
      <c r="IZ14" s="979" t="str">
        <f t="shared" ref="IZ14:IZ16" si="41">IF(SUM(IN14:IY14)=0,"",SUM(IN14:IY14))</f>
        <v/>
      </c>
      <c r="JA14" s="981"/>
      <c r="JB14" s="981"/>
      <c r="JC14" s="981"/>
      <c r="JD14" s="981" t="str">
        <f t="shared" ref="JD14:JD16" si="42">IF(SUM(JA14:JC14)=0,"",SUM(JA14:JC14))</f>
        <v/>
      </c>
      <c r="JE14" s="999">
        <f>'09월 에너지'!VRV14</f>
        <v>0</v>
      </c>
      <c r="JF14" s="1002">
        <f>'09월 조업일지'!VSB12</f>
        <v>0</v>
      </c>
      <c r="JG14" s="1003">
        <f>'09월 에너지'!VRW14</f>
        <v>0</v>
      </c>
      <c r="JH14" s="1004">
        <f>'09월 에너지'!VRX14</f>
        <v>0</v>
      </c>
      <c r="JI14" s="1000">
        <f>'09월 에너지'!VRY14</f>
        <v>0</v>
      </c>
      <c r="JJ14" s="1094">
        <f>'09월 에너지'!VRZ14</f>
        <v>0</v>
      </c>
      <c r="JK14" s="980"/>
      <c r="JL14" s="978"/>
      <c r="JM14" s="978"/>
      <c r="JN14" s="978"/>
      <c r="JO14" s="978"/>
      <c r="JP14" s="978"/>
      <c r="JQ14" s="978"/>
      <c r="JR14" s="978"/>
      <c r="JS14" s="978" t="str">
        <f t="shared" ref="JS14:JS16" si="43">IF(SUM(JK14:JR14)=0,"",SUM(JK14:JR14))</f>
        <v/>
      </c>
      <c r="JT14" s="979"/>
      <c r="JU14" s="979"/>
      <c r="JV14" s="979"/>
      <c r="JW14" s="979"/>
      <c r="JX14" s="979"/>
      <c r="JY14" s="979"/>
      <c r="JZ14" s="979"/>
      <c r="KA14" s="979"/>
      <c r="KB14" s="979"/>
      <c r="KC14" s="979"/>
      <c r="KD14" s="979"/>
      <c r="KE14" s="979"/>
      <c r="KF14" s="979" t="str">
        <f t="shared" ref="KF14:KF16" si="44">IF(SUM(JT14:KE14)=0,"",SUM(JT14:KE14))</f>
        <v/>
      </c>
      <c r="KG14" s="981"/>
      <c r="KH14" s="981"/>
      <c r="KI14" s="981"/>
      <c r="KJ14" s="981" t="str">
        <f t="shared" ref="KJ14:KJ16" si="45">IF(SUM(KG14:KI14)=0,"",SUM(KG14:KI14))</f>
        <v/>
      </c>
      <c r="KK14" s="999">
        <f>'09월 에너지'!VTB14</f>
        <v>0</v>
      </c>
      <c r="KL14" s="1002">
        <f>'09월 조업일지'!VTH12</f>
        <v>0</v>
      </c>
      <c r="KM14" s="1003">
        <f>'09월 에너지'!VTC14</f>
        <v>0</v>
      </c>
      <c r="KN14" s="1004">
        <f>'09월 에너지'!VTD14</f>
        <v>0</v>
      </c>
      <c r="KO14" s="1000">
        <f>'09월 에너지'!VTE14</f>
        <v>0</v>
      </c>
      <c r="KP14" s="1094">
        <f>'09월 에너지'!VTF14</f>
        <v>0</v>
      </c>
      <c r="KQ14" s="980"/>
      <c r="KR14" s="978"/>
      <c r="KS14" s="978"/>
      <c r="KT14" s="978"/>
      <c r="KU14" s="978"/>
      <c r="KV14" s="978"/>
      <c r="KW14" s="978"/>
      <c r="KX14" s="978"/>
      <c r="KY14" s="978" t="str">
        <f t="shared" ref="KY14:KY16" si="46">IF(SUM(KQ14:KX14)=0,"",SUM(KQ14:KX14))</f>
        <v/>
      </c>
      <c r="KZ14" s="979"/>
    </row>
    <row r="15" spans="1:312" ht="16.5" customHeight="1">
      <c r="A15" s="999">
        <f>'09월 에너지'!A15</f>
        <v>46266</v>
      </c>
      <c r="B15" s="1002">
        <f>'09월 조업일지'!B13</f>
        <v>46265</v>
      </c>
      <c r="C15" s="1003" t="str">
        <f>'09월 에너지'!C15</f>
        <v>D</v>
      </c>
      <c r="D15" s="1004" t="str">
        <f>'09월 에너지'!D15</f>
        <v>A</v>
      </c>
      <c r="E15" s="1000">
        <f>'09월 에너지'!E15</f>
        <v>85215</v>
      </c>
      <c r="F15" s="1094" t="str">
        <f>'09월 에너지'!F15</f>
        <v>SHN400(BL)</v>
      </c>
      <c r="G15" s="980"/>
      <c r="H15" s="978"/>
      <c r="I15" s="978"/>
      <c r="J15" s="978"/>
      <c r="K15" s="978"/>
      <c r="L15" s="978"/>
      <c r="M15" s="978"/>
      <c r="N15" s="978"/>
      <c r="O15" s="1106" t="str">
        <f t="shared" ref="O15:O78" si="47">IF(SUM(G15:N15)=0,"",SUM(G15:N15))</f>
        <v/>
      </c>
      <c r="P15" s="1108">
        <f>9900+9200+11300+7600+5200+10700</f>
        <v>53900</v>
      </c>
      <c r="Q15" s="979">
        <f>8500+5900</f>
        <v>14400</v>
      </c>
      <c r="R15" s="979">
        <v>10100</v>
      </c>
      <c r="S15" s="979"/>
      <c r="T15" s="979"/>
      <c r="U15" s="979">
        <f>3000+4500+4800</f>
        <v>12300</v>
      </c>
      <c r="V15" s="979">
        <f>6900+2000+10200</f>
        <v>19100</v>
      </c>
      <c r="W15" s="979">
        <v>800</v>
      </c>
      <c r="X15" s="979">
        <v>9900</v>
      </c>
      <c r="Y15" s="979">
        <f>3900+10900+5700</f>
        <v>20500</v>
      </c>
      <c r="Z15" s="979"/>
      <c r="AA15" s="979">
        <v>1300</v>
      </c>
      <c r="AB15" s="979">
        <v>2900</v>
      </c>
      <c r="AC15" s="979">
        <v>2700</v>
      </c>
      <c r="AD15" s="979"/>
      <c r="AE15" s="1109">
        <f t="shared" si="18"/>
        <v>147900</v>
      </c>
      <c r="AF15" s="1113">
        <v>3200</v>
      </c>
      <c r="AG15" s="981">
        <v>8800</v>
      </c>
      <c r="AH15" s="981">
        <v>4300</v>
      </c>
      <c r="AI15" s="1114">
        <f t="shared" ref="AI15:AI77" si="48">IF(SUM(AF15:AH15)=0,"",SUM(AF15:AH15))</f>
        <v>16300</v>
      </c>
      <c r="AJ15" s="1110">
        <f t="shared" ref="AJ15:AJ77" si="49">IF(SUM(O15,AE15,AI15)=0,"",SUM(O15,AE15,AI15))</f>
        <v>164200</v>
      </c>
      <c r="AK15" s="982">
        <f>'09월 에너지'!S15</f>
        <v>143.9</v>
      </c>
      <c r="AL15" s="983">
        <f t="shared" ref="AL15:AL78" si="50">IF(ISERROR(IF(AK15="","",(AK15*1000)/AJ15)),0,(IF(AK15="","",(AK15*1000)/AJ15)))</f>
        <v>0.87637028014616325</v>
      </c>
      <c r="AM15" s="978"/>
      <c r="AN15" s="978"/>
      <c r="AO15" s="978"/>
      <c r="AP15" s="978"/>
      <c r="AQ15" s="978"/>
      <c r="AR15" s="1004">
        <f>'09월 에너지'!VJH15</f>
        <v>0</v>
      </c>
      <c r="AS15" s="1000">
        <f>'09월 에너지'!VJI15</f>
        <v>0</v>
      </c>
      <c r="AT15" s="1094">
        <f>'09월 에너지'!VJJ15</f>
        <v>0</v>
      </c>
      <c r="AU15" s="980"/>
      <c r="AV15" s="978"/>
      <c r="AW15" s="978"/>
      <c r="AX15" s="978"/>
      <c r="AY15" s="978"/>
      <c r="AZ15" s="978"/>
      <c r="BA15" s="978"/>
      <c r="BB15" s="978"/>
      <c r="BC15" s="978" t="str">
        <f t="shared" si="22"/>
        <v/>
      </c>
      <c r="BD15" s="979"/>
      <c r="BE15" s="979"/>
      <c r="BF15" s="979"/>
      <c r="BG15" s="979"/>
      <c r="BH15" s="979"/>
      <c r="BI15" s="979"/>
      <c r="BJ15" s="979"/>
      <c r="BK15" s="979"/>
      <c r="BL15" s="979"/>
      <c r="BM15" s="979"/>
      <c r="BN15" s="979"/>
      <c r="BO15" s="979"/>
      <c r="BP15" s="979" t="str">
        <f t="shared" si="23"/>
        <v/>
      </c>
      <c r="BQ15" s="981"/>
      <c r="BR15" s="981"/>
      <c r="BS15" s="981"/>
      <c r="BT15" s="981" t="str">
        <f t="shared" si="24"/>
        <v/>
      </c>
      <c r="BU15" s="999">
        <f>'09월 에너지'!VKL15</f>
        <v>0</v>
      </c>
      <c r="BV15" s="1002">
        <f>'09월 조업일지'!VKR13</f>
        <v>0</v>
      </c>
      <c r="BW15" s="1003">
        <f>'09월 에너지'!VKM15</f>
        <v>0</v>
      </c>
      <c r="BX15" s="1004">
        <f>'09월 에너지'!VKN15</f>
        <v>0</v>
      </c>
      <c r="BY15" s="1000">
        <f>'09월 에너지'!VKO15</f>
        <v>0</v>
      </c>
      <c r="BZ15" s="1094">
        <f>'09월 에너지'!VKP15</f>
        <v>0</v>
      </c>
      <c r="CA15" s="980"/>
      <c r="CB15" s="978"/>
      <c r="CC15" s="978"/>
      <c r="CD15" s="978"/>
      <c r="CE15" s="978"/>
      <c r="CF15" s="978"/>
      <c r="CG15" s="978"/>
      <c r="CH15" s="978"/>
      <c r="CI15" s="978" t="str">
        <f t="shared" si="25"/>
        <v/>
      </c>
      <c r="CJ15" s="979"/>
      <c r="CK15" s="979"/>
      <c r="CL15" s="979"/>
      <c r="CM15" s="979"/>
      <c r="CN15" s="979"/>
      <c r="CO15" s="979"/>
      <c r="CP15" s="979"/>
      <c r="CQ15" s="979"/>
      <c r="CR15" s="979"/>
      <c r="CS15" s="979"/>
      <c r="CT15" s="979"/>
      <c r="CU15" s="979"/>
      <c r="CV15" s="979" t="str">
        <f t="shared" si="26"/>
        <v/>
      </c>
      <c r="CW15" s="981"/>
      <c r="CX15" s="981"/>
      <c r="CY15" s="981"/>
      <c r="CZ15" s="981" t="str">
        <f t="shared" si="27"/>
        <v/>
      </c>
      <c r="DA15" s="999">
        <f>'09월 에너지'!VLR15</f>
        <v>0</v>
      </c>
      <c r="DB15" s="1002">
        <f>'09월 조업일지'!VLX13</f>
        <v>0</v>
      </c>
      <c r="DC15" s="1003">
        <f>'09월 에너지'!VLS15</f>
        <v>0</v>
      </c>
      <c r="DD15" s="1004">
        <f>'09월 에너지'!VLT15</f>
        <v>0</v>
      </c>
      <c r="DE15" s="1000">
        <f>'09월 에너지'!VLU15</f>
        <v>0</v>
      </c>
      <c r="DF15" s="1094">
        <f>'09월 에너지'!VLV15</f>
        <v>0</v>
      </c>
      <c r="DG15" s="980"/>
      <c r="DH15" s="978"/>
      <c r="DI15" s="978"/>
      <c r="DJ15" s="978"/>
      <c r="DK15" s="978"/>
      <c r="DL15" s="978"/>
      <c r="DM15" s="978"/>
      <c r="DN15" s="978"/>
      <c r="DO15" s="978" t="str">
        <f t="shared" si="28"/>
        <v/>
      </c>
      <c r="DP15" s="979"/>
      <c r="DQ15" s="979"/>
      <c r="DR15" s="979"/>
      <c r="DS15" s="979"/>
      <c r="DT15" s="979"/>
      <c r="DU15" s="979"/>
      <c r="DV15" s="979"/>
      <c r="DW15" s="979"/>
      <c r="DX15" s="979"/>
      <c r="DY15" s="979"/>
      <c r="DZ15" s="979"/>
      <c r="EA15" s="979"/>
      <c r="EB15" s="979" t="str">
        <f t="shared" si="29"/>
        <v/>
      </c>
      <c r="EC15" s="981"/>
      <c r="ED15" s="981"/>
      <c r="EE15" s="981"/>
      <c r="EF15" s="981" t="str">
        <f t="shared" si="30"/>
        <v/>
      </c>
      <c r="EG15" s="999">
        <f>'09월 에너지'!VMX15</f>
        <v>0</v>
      </c>
      <c r="EH15" s="1002">
        <f>'09월 조업일지'!VND13</f>
        <v>0</v>
      </c>
      <c r="EI15" s="1003">
        <f>'09월 에너지'!VMY15</f>
        <v>0</v>
      </c>
      <c r="EJ15" s="1004">
        <f>'09월 에너지'!VMZ15</f>
        <v>0</v>
      </c>
      <c r="EK15" s="1000">
        <f>'09월 에너지'!VNA15</f>
        <v>0</v>
      </c>
      <c r="EL15" s="1094">
        <f>'09월 에너지'!VNB15</f>
        <v>0</v>
      </c>
      <c r="EM15" s="980"/>
      <c r="EN15" s="978"/>
      <c r="EO15" s="978"/>
      <c r="EP15" s="978"/>
      <c r="EQ15" s="978"/>
      <c r="ER15" s="978"/>
      <c r="ES15" s="978"/>
      <c r="ET15" s="978"/>
      <c r="EU15" s="978" t="str">
        <f t="shared" si="31"/>
        <v/>
      </c>
      <c r="EV15" s="979"/>
      <c r="EW15" s="979"/>
      <c r="EX15" s="979"/>
      <c r="EY15" s="979"/>
      <c r="EZ15" s="979"/>
      <c r="FA15" s="979"/>
      <c r="FB15" s="979"/>
      <c r="FC15" s="979"/>
      <c r="FD15" s="979"/>
      <c r="FE15" s="979"/>
      <c r="FF15" s="979"/>
      <c r="FG15" s="979"/>
      <c r="FH15" s="979" t="str">
        <f t="shared" si="32"/>
        <v/>
      </c>
      <c r="FI15" s="981"/>
      <c r="FJ15" s="981"/>
      <c r="FK15" s="981"/>
      <c r="FL15" s="981" t="str">
        <f t="shared" si="33"/>
        <v/>
      </c>
      <c r="FM15" s="999">
        <f>'09월 에너지'!VOD15</f>
        <v>0</v>
      </c>
      <c r="FN15" s="1002">
        <f>'09월 조업일지'!VOJ13</f>
        <v>0</v>
      </c>
      <c r="FO15" s="1003">
        <f>'09월 에너지'!VOE15</f>
        <v>0</v>
      </c>
      <c r="FP15" s="1004">
        <f>'09월 에너지'!VOF15</f>
        <v>0</v>
      </c>
      <c r="FQ15" s="1000">
        <f>'09월 에너지'!VOG15</f>
        <v>0</v>
      </c>
      <c r="FR15" s="1094">
        <f>'09월 에너지'!VOH15</f>
        <v>0</v>
      </c>
      <c r="FS15" s="980"/>
      <c r="FT15" s="978"/>
      <c r="FU15" s="978"/>
      <c r="FV15" s="978"/>
      <c r="FW15" s="978"/>
      <c r="FX15" s="978"/>
      <c r="FY15" s="978"/>
      <c r="FZ15" s="978"/>
      <c r="GA15" s="978" t="str">
        <f t="shared" si="34"/>
        <v/>
      </c>
      <c r="GB15" s="979"/>
      <c r="GC15" s="979"/>
      <c r="GD15" s="979"/>
      <c r="GE15" s="979"/>
      <c r="GF15" s="979"/>
      <c r="GG15" s="979"/>
      <c r="GH15" s="979"/>
      <c r="GI15" s="979"/>
      <c r="GJ15" s="979"/>
      <c r="GK15" s="979"/>
      <c r="GL15" s="979"/>
      <c r="GM15" s="979"/>
      <c r="GN15" s="979" t="str">
        <f t="shared" si="35"/>
        <v/>
      </c>
      <c r="GO15" s="981"/>
      <c r="GP15" s="981"/>
      <c r="GQ15" s="981"/>
      <c r="GR15" s="981" t="str">
        <f t="shared" si="36"/>
        <v/>
      </c>
      <c r="GS15" s="999">
        <f>'09월 에너지'!VPJ15</f>
        <v>0</v>
      </c>
      <c r="GT15" s="1002">
        <f>'09월 조업일지'!VPP13</f>
        <v>0</v>
      </c>
      <c r="GU15" s="1003">
        <f>'09월 에너지'!VPK15</f>
        <v>0</v>
      </c>
      <c r="GV15" s="1004">
        <f>'09월 에너지'!VPL15</f>
        <v>0</v>
      </c>
      <c r="GW15" s="1000">
        <f>'09월 에너지'!VPM15</f>
        <v>0</v>
      </c>
      <c r="GX15" s="1094">
        <f>'09월 에너지'!VPN15</f>
        <v>0</v>
      </c>
      <c r="GY15" s="980"/>
      <c r="GZ15" s="978"/>
      <c r="HA15" s="978"/>
      <c r="HB15" s="978"/>
      <c r="HC15" s="978"/>
      <c r="HD15" s="978"/>
      <c r="HE15" s="978"/>
      <c r="HF15" s="978"/>
      <c r="HG15" s="978" t="str">
        <f t="shared" si="37"/>
        <v/>
      </c>
      <c r="HH15" s="979"/>
      <c r="HI15" s="979"/>
      <c r="HJ15" s="979"/>
      <c r="HK15" s="979"/>
      <c r="HL15" s="979"/>
      <c r="HM15" s="979"/>
      <c r="HN15" s="979"/>
      <c r="HO15" s="979"/>
      <c r="HP15" s="979"/>
      <c r="HQ15" s="979"/>
      <c r="HR15" s="979"/>
      <c r="HS15" s="979"/>
      <c r="HT15" s="979" t="str">
        <f t="shared" si="38"/>
        <v/>
      </c>
      <c r="HU15" s="981"/>
      <c r="HV15" s="981"/>
      <c r="HW15" s="981"/>
      <c r="HX15" s="981" t="str">
        <f t="shared" si="39"/>
        <v/>
      </c>
      <c r="HY15" s="999">
        <f>'09월 에너지'!VQP15</f>
        <v>0</v>
      </c>
      <c r="HZ15" s="1002">
        <f>'09월 조업일지'!VQV13</f>
        <v>0</v>
      </c>
      <c r="IA15" s="1003">
        <f>'09월 에너지'!VQQ15</f>
        <v>0</v>
      </c>
      <c r="IB15" s="1004">
        <f>'09월 에너지'!VQR15</f>
        <v>0</v>
      </c>
      <c r="IC15" s="1000">
        <f>'09월 에너지'!VQS15</f>
        <v>0</v>
      </c>
      <c r="ID15" s="1094">
        <f>'09월 에너지'!VQT15</f>
        <v>0</v>
      </c>
      <c r="IE15" s="980"/>
      <c r="IF15" s="978"/>
      <c r="IG15" s="978"/>
      <c r="IH15" s="978"/>
      <c r="II15" s="978"/>
      <c r="IJ15" s="978"/>
      <c r="IK15" s="978"/>
      <c r="IL15" s="978"/>
      <c r="IM15" s="978" t="str">
        <f t="shared" si="40"/>
        <v/>
      </c>
      <c r="IN15" s="979"/>
      <c r="IO15" s="979"/>
      <c r="IP15" s="979"/>
      <c r="IQ15" s="979"/>
      <c r="IR15" s="979"/>
      <c r="IS15" s="979"/>
      <c r="IT15" s="979"/>
      <c r="IU15" s="979"/>
      <c r="IV15" s="979"/>
      <c r="IW15" s="979"/>
      <c r="IX15" s="979"/>
      <c r="IY15" s="979"/>
      <c r="IZ15" s="979" t="str">
        <f t="shared" si="41"/>
        <v/>
      </c>
      <c r="JA15" s="981"/>
      <c r="JB15" s="981"/>
      <c r="JC15" s="981"/>
      <c r="JD15" s="981" t="str">
        <f t="shared" si="42"/>
        <v/>
      </c>
      <c r="JE15" s="999">
        <f>'09월 에너지'!VRV15</f>
        <v>0</v>
      </c>
      <c r="JF15" s="1002">
        <f>'09월 조업일지'!VSB13</f>
        <v>0</v>
      </c>
      <c r="JG15" s="1003">
        <f>'09월 에너지'!VRW15</f>
        <v>0</v>
      </c>
      <c r="JH15" s="1004">
        <f>'09월 에너지'!VRX15</f>
        <v>0</v>
      </c>
      <c r="JI15" s="1000">
        <f>'09월 에너지'!VRY15</f>
        <v>0</v>
      </c>
      <c r="JJ15" s="1094">
        <f>'09월 에너지'!VRZ15</f>
        <v>0</v>
      </c>
      <c r="JK15" s="980"/>
      <c r="JL15" s="978"/>
      <c r="JM15" s="978"/>
      <c r="JN15" s="978"/>
      <c r="JO15" s="978"/>
      <c r="JP15" s="978"/>
      <c r="JQ15" s="978"/>
      <c r="JR15" s="978"/>
      <c r="JS15" s="978" t="str">
        <f t="shared" si="43"/>
        <v/>
      </c>
      <c r="JT15" s="979"/>
      <c r="JU15" s="979"/>
      <c r="JV15" s="979"/>
      <c r="JW15" s="979"/>
      <c r="JX15" s="979"/>
      <c r="JY15" s="979"/>
      <c r="JZ15" s="979"/>
      <c r="KA15" s="979"/>
      <c r="KB15" s="979"/>
      <c r="KC15" s="979"/>
      <c r="KD15" s="979"/>
      <c r="KE15" s="979"/>
      <c r="KF15" s="979" t="str">
        <f t="shared" si="44"/>
        <v/>
      </c>
      <c r="KG15" s="981"/>
      <c r="KH15" s="981"/>
      <c r="KI15" s="981"/>
      <c r="KJ15" s="981" t="str">
        <f t="shared" si="45"/>
        <v/>
      </c>
      <c r="KK15" s="999">
        <f>'09월 에너지'!VTB15</f>
        <v>0</v>
      </c>
      <c r="KL15" s="1002">
        <f>'09월 조업일지'!VTH13</f>
        <v>0</v>
      </c>
      <c r="KM15" s="1003">
        <f>'09월 에너지'!VTC15</f>
        <v>0</v>
      </c>
      <c r="KN15" s="1004">
        <f>'09월 에너지'!VTD15</f>
        <v>0</v>
      </c>
      <c r="KO15" s="1000">
        <f>'09월 에너지'!VTE15</f>
        <v>0</v>
      </c>
      <c r="KP15" s="1094">
        <f>'09월 에너지'!VTF15</f>
        <v>0</v>
      </c>
      <c r="KQ15" s="980"/>
      <c r="KR15" s="978"/>
      <c r="KS15" s="978"/>
      <c r="KT15" s="978"/>
      <c r="KU15" s="978"/>
      <c r="KV15" s="978"/>
      <c r="KW15" s="978"/>
      <c r="KX15" s="978"/>
      <c r="KY15" s="978" t="str">
        <f t="shared" si="46"/>
        <v/>
      </c>
      <c r="KZ15" s="979"/>
    </row>
    <row r="16" spans="1:312" ht="16.5" customHeight="1">
      <c r="A16" s="999">
        <f>'09월 에너지'!A16</f>
        <v>46266</v>
      </c>
      <c r="B16" s="1002">
        <f>'09월 조업일지'!B14</f>
        <v>46265</v>
      </c>
      <c r="C16" s="1003" t="str">
        <f>'09월 에너지'!C16</f>
        <v>D</v>
      </c>
      <c r="D16" s="1004" t="str">
        <f>'09월 에너지'!D16</f>
        <v>B</v>
      </c>
      <c r="E16" s="1000">
        <f>'09월 에너지'!E16</f>
        <v>85216</v>
      </c>
      <c r="F16" s="1094" t="str">
        <f>'09월 에너지'!F16</f>
        <v>SHN400(BL)</v>
      </c>
      <c r="G16" s="980"/>
      <c r="H16" s="978"/>
      <c r="I16" s="978"/>
      <c r="J16" s="978"/>
      <c r="K16" s="978"/>
      <c r="L16" s="978"/>
      <c r="M16" s="978"/>
      <c r="N16" s="978"/>
      <c r="O16" s="1106" t="str">
        <f t="shared" si="47"/>
        <v/>
      </c>
      <c r="P16" s="1108">
        <f>12400+11000+8600+7200+8700+5000</f>
        <v>52900</v>
      </c>
      <c r="Q16" s="979">
        <f>9200+4100</f>
        <v>13300</v>
      </c>
      <c r="R16" s="979">
        <v>7500</v>
      </c>
      <c r="S16" s="979"/>
      <c r="T16" s="979"/>
      <c r="U16" s="979">
        <f>6800+6300+6600</f>
        <v>19700</v>
      </c>
      <c r="V16" s="979">
        <f>5000+2300+10400</f>
        <v>17700</v>
      </c>
      <c r="W16" s="979">
        <v>3000</v>
      </c>
      <c r="X16" s="979">
        <v>8400</v>
      </c>
      <c r="Y16" s="979">
        <f>2600+10000+3300</f>
        <v>15900</v>
      </c>
      <c r="Z16" s="979"/>
      <c r="AA16" s="979">
        <v>1700</v>
      </c>
      <c r="AB16" s="979">
        <v>3600</v>
      </c>
      <c r="AC16" s="979">
        <v>1800</v>
      </c>
      <c r="AD16" s="979"/>
      <c r="AE16" s="1109">
        <f t="shared" si="18"/>
        <v>145500</v>
      </c>
      <c r="AF16" s="1113">
        <v>3100</v>
      </c>
      <c r="AG16" s="981">
        <v>6400</v>
      </c>
      <c r="AH16" s="981">
        <v>3300</v>
      </c>
      <c r="AI16" s="1114">
        <f t="shared" si="48"/>
        <v>12800</v>
      </c>
      <c r="AJ16" s="1110">
        <f t="shared" si="49"/>
        <v>158300</v>
      </c>
      <c r="AK16" s="982">
        <f>'09월 에너지'!S16</f>
        <v>145.9</v>
      </c>
      <c r="AL16" s="983">
        <f t="shared" si="50"/>
        <v>0.9216677195198989</v>
      </c>
      <c r="AM16" s="978"/>
      <c r="AN16" s="978"/>
      <c r="AO16" s="978"/>
      <c r="AP16" s="978"/>
      <c r="AQ16" s="978"/>
      <c r="AR16" s="1004">
        <f>'09월 에너지'!VJH16</f>
        <v>0</v>
      </c>
      <c r="AS16" s="1000">
        <f>'09월 에너지'!VJI16</f>
        <v>0</v>
      </c>
      <c r="AT16" s="1094">
        <f>'09월 에너지'!VJJ16</f>
        <v>0</v>
      </c>
      <c r="AU16" s="980"/>
      <c r="AV16" s="978"/>
      <c r="AW16" s="978"/>
      <c r="AX16" s="978"/>
      <c r="AY16" s="978"/>
      <c r="AZ16" s="978"/>
      <c r="BA16" s="978"/>
      <c r="BB16" s="978"/>
      <c r="BC16" s="978" t="str">
        <f t="shared" si="22"/>
        <v/>
      </c>
      <c r="BD16" s="979"/>
      <c r="BE16" s="979"/>
      <c r="BF16" s="979"/>
      <c r="BG16" s="979"/>
      <c r="BH16" s="979"/>
      <c r="BI16" s="979"/>
      <c r="BJ16" s="979"/>
      <c r="BK16" s="979"/>
      <c r="BL16" s="979"/>
      <c r="BM16" s="979"/>
      <c r="BN16" s="979"/>
      <c r="BO16" s="979"/>
      <c r="BP16" s="979" t="str">
        <f t="shared" si="23"/>
        <v/>
      </c>
      <c r="BQ16" s="981"/>
      <c r="BR16" s="981"/>
      <c r="BS16" s="981"/>
      <c r="BT16" s="981" t="str">
        <f t="shared" si="24"/>
        <v/>
      </c>
      <c r="BU16" s="999">
        <f>'09월 에너지'!VKL16</f>
        <v>0</v>
      </c>
      <c r="BV16" s="1002">
        <f>'09월 조업일지'!VKR14</f>
        <v>0</v>
      </c>
      <c r="BW16" s="1003">
        <f>'09월 에너지'!VKM16</f>
        <v>0</v>
      </c>
      <c r="BX16" s="1004">
        <f>'09월 에너지'!VKN16</f>
        <v>0</v>
      </c>
      <c r="BY16" s="1000">
        <f>'09월 에너지'!VKO16</f>
        <v>0</v>
      </c>
      <c r="BZ16" s="1094">
        <f>'09월 에너지'!VKP16</f>
        <v>0</v>
      </c>
      <c r="CA16" s="980"/>
      <c r="CB16" s="978"/>
      <c r="CC16" s="978"/>
      <c r="CD16" s="978"/>
      <c r="CE16" s="978"/>
      <c r="CF16" s="978"/>
      <c r="CG16" s="978"/>
      <c r="CH16" s="978"/>
      <c r="CI16" s="978" t="str">
        <f t="shared" si="25"/>
        <v/>
      </c>
      <c r="CJ16" s="979"/>
      <c r="CK16" s="979"/>
      <c r="CL16" s="979"/>
      <c r="CM16" s="979"/>
      <c r="CN16" s="979"/>
      <c r="CO16" s="979"/>
      <c r="CP16" s="979"/>
      <c r="CQ16" s="979"/>
      <c r="CR16" s="979"/>
      <c r="CS16" s="979"/>
      <c r="CT16" s="979"/>
      <c r="CU16" s="979"/>
      <c r="CV16" s="979" t="str">
        <f t="shared" si="26"/>
        <v/>
      </c>
      <c r="CW16" s="981"/>
      <c r="CX16" s="981"/>
      <c r="CY16" s="981"/>
      <c r="CZ16" s="981" t="str">
        <f t="shared" si="27"/>
        <v/>
      </c>
      <c r="DA16" s="999">
        <f>'09월 에너지'!VLR16</f>
        <v>0</v>
      </c>
      <c r="DB16" s="1002">
        <f>'09월 조업일지'!VLX14</f>
        <v>0</v>
      </c>
      <c r="DC16" s="1003">
        <f>'09월 에너지'!VLS16</f>
        <v>0</v>
      </c>
      <c r="DD16" s="1004">
        <f>'09월 에너지'!VLT16</f>
        <v>0</v>
      </c>
      <c r="DE16" s="1000">
        <f>'09월 에너지'!VLU16</f>
        <v>0</v>
      </c>
      <c r="DF16" s="1094">
        <f>'09월 에너지'!VLV16</f>
        <v>0</v>
      </c>
      <c r="DG16" s="980"/>
      <c r="DH16" s="978"/>
      <c r="DI16" s="978"/>
      <c r="DJ16" s="978"/>
      <c r="DK16" s="978"/>
      <c r="DL16" s="978"/>
      <c r="DM16" s="978"/>
      <c r="DN16" s="978"/>
      <c r="DO16" s="978" t="str">
        <f t="shared" si="28"/>
        <v/>
      </c>
      <c r="DP16" s="979"/>
      <c r="DQ16" s="979"/>
      <c r="DR16" s="979"/>
      <c r="DS16" s="979"/>
      <c r="DT16" s="979"/>
      <c r="DU16" s="979"/>
      <c r="DV16" s="979"/>
      <c r="DW16" s="979"/>
      <c r="DX16" s="979"/>
      <c r="DY16" s="979"/>
      <c r="DZ16" s="979"/>
      <c r="EA16" s="979"/>
      <c r="EB16" s="979" t="str">
        <f t="shared" si="29"/>
        <v/>
      </c>
      <c r="EC16" s="981"/>
      <c r="ED16" s="981"/>
      <c r="EE16" s="981"/>
      <c r="EF16" s="981" t="str">
        <f t="shared" si="30"/>
        <v/>
      </c>
      <c r="EG16" s="999">
        <f>'09월 에너지'!VMX16</f>
        <v>0</v>
      </c>
      <c r="EH16" s="1002">
        <f>'09월 조업일지'!VND14</f>
        <v>0</v>
      </c>
      <c r="EI16" s="1003">
        <f>'09월 에너지'!VMY16</f>
        <v>0</v>
      </c>
      <c r="EJ16" s="1004">
        <f>'09월 에너지'!VMZ16</f>
        <v>0</v>
      </c>
      <c r="EK16" s="1000">
        <f>'09월 에너지'!VNA16</f>
        <v>0</v>
      </c>
      <c r="EL16" s="1094">
        <f>'09월 에너지'!VNB16</f>
        <v>0</v>
      </c>
      <c r="EM16" s="980"/>
      <c r="EN16" s="978"/>
      <c r="EO16" s="978"/>
      <c r="EP16" s="978"/>
      <c r="EQ16" s="978"/>
      <c r="ER16" s="978"/>
      <c r="ES16" s="978"/>
      <c r="ET16" s="978"/>
      <c r="EU16" s="978" t="str">
        <f t="shared" si="31"/>
        <v/>
      </c>
      <c r="EV16" s="979"/>
      <c r="EW16" s="979"/>
      <c r="EX16" s="979"/>
      <c r="EY16" s="979"/>
      <c r="EZ16" s="979"/>
      <c r="FA16" s="979"/>
      <c r="FB16" s="979"/>
      <c r="FC16" s="979"/>
      <c r="FD16" s="979"/>
      <c r="FE16" s="979"/>
      <c r="FF16" s="979"/>
      <c r="FG16" s="979"/>
      <c r="FH16" s="979" t="str">
        <f t="shared" si="32"/>
        <v/>
      </c>
      <c r="FI16" s="981"/>
      <c r="FJ16" s="981"/>
      <c r="FK16" s="981"/>
      <c r="FL16" s="981" t="str">
        <f t="shared" si="33"/>
        <v/>
      </c>
      <c r="FM16" s="999">
        <f>'09월 에너지'!VOD16</f>
        <v>0</v>
      </c>
      <c r="FN16" s="1002">
        <f>'09월 조업일지'!VOJ14</f>
        <v>0</v>
      </c>
      <c r="FO16" s="1003">
        <f>'09월 에너지'!VOE16</f>
        <v>0</v>
      </c>
      <c r="FP16" s="1004">
        <f>'09월 에너지'!VOF16</f>
        <v>0</v>
      </c>
      <c r="FQ16" s="1000">
        <f>'09월 에너지'!VOG16</f>
        <v>0</v>
      </c>
      <c r="FR16" s="1094">
        <f>'09월 에너지'!VOH16</f>
        <v>0</v>
      </c>
      <c r="FS16" s="980"/>
      <c r="FT16" s="978"/>
      <c r="FU16" s="978"/>
      <c r="FV16" s="978"/>
      <c r="FW16" s="978"/>
      <c r="FX16" s="978"/>
      <c r="FY16" s="978"/>
      <c r="FZ16" s="978"/>
      <c r="GA16" s="978" t="str">
        <f t="shared" si="34"/>
        <v/>
      </c>
      <c r="GB16" s="979"/>
      <c r="GC16" s="979"/>
      <c r="GD16" s="979"/>
      <c r="GE16" s="979"/>
      <c r="GF16" s="979"/>
      <c r="GG16" s="979"/>
      <c r="GH16" s="979"/>
      <c r="GI16" s="979"/>
      <c r="GJ16" s="979"/>
      <c r="GK16" s="979"/>
      <c r="GL16" s="979"/>
      <c r="GM16" s="979"/>
      <c r="GN16" s="979" t="str">
        <f t="shared" si="35"/>
        <v/>
      </c>
      <c r="GO16" s="981"/>
      <c r="GP16" s="981"/>
      <c r="GQ16" s="981"/>
      <c r="GR16" s="981" t="str">
        <f t="shared" si="36"/>
        <v/>
      </c>
      <c r="GS16" s="999">
        <f>'09월 에너지'!VPJ16</f>
        <v>0</v>
      </c>
      <c r="GT16" s="1002">
        <f>'09월 조업일지'!VPP14</f>
        <v>0</v>
      </c>
      <c r="GU16" s="1003">
        <f>'09월 에너지'!VPK16</f>
        <v>0</v>
      </c>
      <c r="GV16" s="1004">
        <f>'09월 에너지'!VPL16</f>
        <v>0</v>
      </c>
      <c r="GW16" s="1000">
        <f>'09월 에너지'!VPM16</f>
        <v>0</v>
      </c>
      <c r="GX16" s="1094">
        <f>'09월 에너지'!VPN16</f>
        <v>0</v>
      </c>
      <c r="GY16" s="980"/>
      <c r="GZ16" s="978"/>
      <c r="HA16" s="978"/>
      <c r="HB16" s="978"/>
      <c r="HC16" s="978"/>
      <c r="HD16" s="978"/>
      <c r="HE16" s="978"/>
      <c r="HF16" s="978"/>
      <c r="HG16" s="978" t="str">
        <f t="shared" si="37"/>
        <v/>
      </c>
      <c r="HH16" s="979"/>
      <c r="HI16" s="979"/>
      <c r="HJ16" s="979"/>
      <c r="HK16" s="979"/>
      <c r="HL16" s="979"/>
      <c r="HM16" s="979"/>
      <c r="HN16" s="979"/>
      <c r="HO16" s="979"/>
      <c r="HP16" s="979"/>
      <c r="HQ16" s="979"/>
      <c r="HR16" s="979"/>
      <c r="HS16" s="979"/>
      <c r="HT16" s="979" t="str">
        <f t="shared" si="38"/>
        <v/>
      </c>
      <c r="HU16" s="981"/>
      <c r="HV16" s="981"/>
      <c r="HW16" s="981"/>
      <c r="HX16" s="981" t="str">
        <f t="shared" si="39"/>
        <v/>
      </c>
      <c r="HY16" s="999">
        <f>'09월 에너지'!VQP16</f>
        <v>0</v>
      </c>
      <c r="HZ16" s="1002">
        <f>'09월 조업일지'!VQV14</f>
        <v>0</v>
      </c>
      <c r="IA16" s="1003">
        <f>'09월 에너지'!VQQ16</f>
        <v>0</v>
      </c>
      <c r="IB16" s="1004">
        <f>'09월 에너지'!VQR16</f>
        <v>0</v>
      </c>
      <c r="IC16" s="1000">
        <f>'09월 에너지'!VQS16</f>
        <v>0</v>
      </c>
      <c r="ID16" s="1094">
        <f>'09월 에너지'!VQT16</f>
        <v>0</v>
      </c>
      <c r="IE16" s="980"/>
      <c r="IF16" s="978"/>
      <c r="IG16" s="978"/>
      <c r="IH16" s="978"/>
      <c r="II16" s="978"/>
      <c r="IJ16" s="978"/>
      <c r="IK16" s="978"/>
      <c r="IL16" s="978"/>
      <c r="IM16" s="978" t="str">
        <f t="shared" si="40"/>
        <v/>
      </c>
      <c r="IN16" s="979"/>
      <c r="IO16" s="979"/>
      <c r="IP16" s="979"/>
      <c r="IQ16" s="979"/>
      <c r="IR16" s="979"/>
      <c r="IS16" s="979"/>
      <c r="IT16" s="979"/>
      <c r="IU16" s="979"/>
      <c r="IV16" s="979"/>
      <c r="IW16" s="979"/>
      <c r="IX16" s="979"/>
      <c r="IY16" s="979"/>
      <c r="IZ16" s="979" t="str">
        <f t="shared" si="41"/>
        <v/>
      </c>
      <c r="JA16" s="981"/>
      <c r="JB16" s="981"/>
      <c r="JC16" s="981"/>
      <c r="JD16" s="981" t="str">
        <f t="shared" si="42"/>
        <v/>
      </c>
      <c r="JE16" s="999">
        <f>'09월 에너지'!VRV16</f>
        <v>0</v>
      </c>
      <c r="JF16" s="1002">
        <f>'09월 조업일지'!VSB14</f>
        <v>0</v>
      </c>
      <c r="JG16" s="1003">
        <f>'09월 에너지'!VRW16</f>
        <v>0</v>
      </c>
      <c r="JH16" s="1004">
        <f>'09월 에너지'!VRX16</f>
        <v>0</v>
      </c>
      <c r="JI16" s="1000">
        <f>'09월 에너지'!VRY16</f>
        <v>0</v>
      </c>
      <c r="JJ16" s="1094">
        <f>'09월 에너지'!VRZ16</f>
        <v>0</v>
      </c>
      <c r="JK16" s="980"/>
      <c r="JL16" s="978"/>
      <c r="JM16" s="978"/>
      <c r="JN16" s="978"/>
      <c r="JO16" s="978"/>
      <c r="JP16" s="978"/>
      <c r="JQ16" s="978"/>
      <c r="JR16" s="978"/>
      <c r="JS16" s="978" t="str">
        <f t="shared" si="43"/>
        <v/>
      </c>
      <c r="JT16" s="979"/>
      <c r="JU16" s="979"/>
      <c r="JV16" s="979"/>
      <c r="JW16" s="979"/>
      <c r="JX16" s="979"/>
      <c r="JY16" s="979"/>
      <c r="JZ16" s="979"/>
      <c r="KA16" s="979"/>
      <c r="KB16" s="979"/>
      <c r="KC16" s="979"/>
      <c r="KD16" s="979"/>
      <c r="KE16" s="979"/>
      <c r="KF16" s="979" t="str">
        <f t="shared" si="44"/>
        <v/>
      </c>
      <c r="KG16" s="981"/>
      <c r="KH16" s="981"/>
      <c r="KI16" s="981"/>
      <c r="KJ16" s="981" t="str">
        <f t="shared" si="45"/>
        <v/>
      </c>
      <c r="KK16" s="999">
        <f>'09월 에너지'!VTB16</f>
        <v>0</v>
      </c>
      <c r="KL16" s="1002">
        <f>'09월 조업일지'!VTH14</f>
        <v>0</v>
      </c>
      <c r="KM16" s="1003">
        <f>'09월 에너지'!VTC16</f>
        <v>0</v>
      </c>
      <c r="KN16" s="1004">
        <f>'09월 에너지'!VTD16</f>
        <v>0</v>
      </c>
      <c r="KO16" s="1000">
        <f>'09월 에너지'!VTE16</f>
        <v>0</v>
      </c>
      <c r="KP16" s="1094">
        <f>'09월 에너지'!VTF16</f>
        <v>0</v>
      </c>
      <c r="KQ16" s="980"/>
      <c r="KR16" s="978"/>
      <c r="KS16" s="978"/>
      <c r="KT16" s="978"/>
      <c r="KU16" s="978"/>
      <c r="KV16" s="978"/>
      <c r="KW16" s="978"/>
      <c r="KX16" s="978"/>
      <c r="KY16" s="978" t="str">
        <f t="shared" si="46"/>
        <v/>
      </c>
      <c r="KZ16" s="979"/>
    </row>
    <row r="17" spans="1:38" ht="16.5" customHeight="1">
      <c r="A17" s="999">
        <f>'09월 에너지'!A17</f>
        <v>46266</v>
      </c>
      <c r="B17" s="1002">
        <f>'09월 조업일지'!B15</f>
        <v>46265</v>
      </c>
      <c r="C17" s="1003" t="str">
        <f>'09월 에너지'!C17</f>
        <v>D</v>
      </c>
      <c r="D17" s="1004" t="str">
        <f>'09월 에너지'!D17</f>
        <v>A</v>
      </c>
      <c r="E17" s="1000">
        <f>'09월 에너지'!E17</f>
        <v>85217</v>
      </c>
      <c r="F17" s="1094" t="str">
        <f>'09월 에너지'!F17</f>
        <v>SHN400(BL)</v>
      </c>
      <c r="G17" s="980"/>
      <c r="H17" s="978"/>
      <c r="I17" s="978"/>
      <c r="J17" s="978"/>
      <c r="K17" s="978"/>
      <c r="L17" s="978"/>
      <c r="M17" s="978"/>
      <c r="N17" s="978"/>
      <c r="O17" s="1106" t="str">
        <f t="shared" si="47"/>
        <v/>
      </c>
      <c r="P17" s="979">
        <f>8600+7100+6300+7200+8500+3900</f>
        <v>41600</v>
      </c>
      <c r="Q17" s="979">
        <f>12600+10500</f>
        <v>23100</v>
      </c>
      <c r="R17" s="979">
        <v>7300</v>
      </c>
      <c r="S17" s="979">
        <v>0</v>
      </c>
      <c r="T17" s="979">
        <v>0</v>
      </c>
      <c r="U17" s="979">
        <f>4900+5000+3600</f>
        <v>13500</v>
      </c>
      <c r="V17" s="979">
        <f>2900+700+9500</f>
        <v>13100</v>
      </c>
      <c r="W17" s="979">
        <v>2900</v>
      </c>
      <c r="X17" s="979">
        <v>8300</v>
      </c>
      <c r="Y17" s="979">
        <f>5200+16200+3400</f>
        <v>24800</v>
      </c>
      <c r="Z17" s="979">
        <v>0</v>
      </c>
      <c r="AA17" s="979">
        <v>900</v>
      </c>
      <c r="AB17" s="979">
        <v>1800</v>
      </c>
      <c r="AC17" s="979">
        <v>3400</v>
      </c>
      <c r="AD17" s="979">
        <v>0</v>
      </c>
      <c r="AE17" s="1109">
        <f t="shared" ref="AE17:AE77" si="51">IF(SUM(P17:AD17)=0,"",SUM(P17:AD17))</f>
        <v>140700</v>
      </c>
      <c r="AF17" s="1113">
        <v>2700</v>
      </c>
      <c r="AG17" s="981">
        <v>12500</v>
      </c>
      <c r="AH17" s="981">
        <v>5000</v>
      </c>
      <c r="AI17" s="1114">
        <f t="shared" si="48"/>
        <v>20200</v>
      </c>
      <c r="AJ17" s="1110">
        <f t="shared" si="49"/>
        <v>160900</v>
      </c>
      <c r="AK17" s="982">
        <f>'09월 에너지'!S17</f>
        <v>144.69999999999999</v>
      </c>
      <c r="AL17" s="983">
        <f t="shared" si="50"/>
        <v>0.89931634555624607</v>
      </c>
    </row>
    <row r="18" spans="1:38" ht="16.5" customHeight="1">
      <c r="A18" s="999">
        <f>'09월 에너지'!A18</f>
        <v>46266</v>
      </c>
      <c r="B18" s="1002">
        <f>'09월 조업일지'!B16</f>
        <v>46266</v>
      </c>
      <c r="C18" s="1003" t="str">
        <f>'09월 에너지'!C18</f>
        <v>A</v>
      </c>
      <c r="D18" s="1004" t="str">
        <f>'09월 에너지'!D18</f>
        <v>B</v>
      </c>
      <c r="E18" s="1000">
        <f>'09월 에너지'!E18</f>
        <v>85218</v>
      </c>
      <c r="F18" s="1094" t="str">
        <f>'09월 에너지'!F18</f>
        <v>SHN400(BL)</v>
      </c>
      <c r="G18" s="980"/>
      <c r="H18" s="978"/>
      <c r="I18" s="978"/>
      <c r="J18" s="978"/>
      <c r="K18" s="978"/>
      <c r="L18" s="978"/>
      <c r="M18" s="978"/>
      <c r="N18" s="978"/>
      <c r="O18" s="1106" t="str">
        <f t="shared" si="47"/>
        <v/>
      </c>
      <c r="P18" s="1108">
        <f>10400+9000+9900+7100+11900+5700</f>
        <v>54000</v>
      </c>
      <c r="Q18" s="979">
        <f>10000+5600</f>
        <v>15600</v>
      </c>
      <c r="R18" s="979">
        <v>10400</v>
      </c>
      <c r="S18" s="979">
        <v>0</v>
      </c>
      <c r="T18" s="979">
        <v>0</v>
      </c>
      <c r="U18" s="979">
        <f>4200+5900+5500</f>
        <v>15600</v>
      </c>
      <c r="V18" s="979">
        <f>2800+3400+9700</f>
        <v>15900</v>
      </c>
      <c r="W18" s="979">
        <v>4600</v>
      </c>
      <c r="X18" s="979">
        <v>7500</v>
      </c>
      <c r="Y18" s="979">
        <f>800+10400+6000</f>
        <v>17200</v>
      </c>
      <c r="Z18" s="979">
        <v>0</v>
      </c>
      <c r="AA18" s="979">
        <v>2100</v>
      </c>
      <c r="AB18" s="979">
        <v>1100</v>
      </c>
      <c r="AC18" s="979">
        <v>2000</v>
      </c>
      <c r="AD18" s="979">
        <v>0</v>
      </c>
      <c r="AE18" s="1109">
        <f t="shared" si="51"/>
        <v>146000</v>
      </c>
      <c r="AF18" s="1113">
        <v>3500</v>
      </c>
      <c r="AG18" s="981">
        <v>5100</v>
      </c>
      <c r="AH18" s="981">
        <v>3800</v>
      </c>
      <c r="AI18" s="1114">
        <f t="shared" si="48"/>
        <v>12400</v>
      </c>
      <c r="AJ18" s="1110">
        <f t="shared" si="49"/>
        <v>158400</v>
      </c>
      <c r="AK18" s="982">
        <f>'09월 에너지'!S18</f>
        <v>148.1</v>
      </c>
      <c r="AL18" s="983">
        <f t="shared" si="50"/>
        <v>0.93497474747474751</v>
      </c>
    </row>
    <row r="19" spans="1:38" ht="16.5" customHeight="1">
      <c r="A19" s="999">
        <f>'09월 에너지'!A19</f>
        <v>46266</v>
      </c>
      <c r="B19" s="1002">
        <f>'09월 조업일지'!B17</f>
        <v>46266</v>
      </c>
      <c r="C19" s="1003" t="str">
        <f>'09월 에너지'!C19</f>
        <v>A</v>
      </c>
      <c r="D19" s="1004" t="str">
        <f>'09월 에너지'!D19</f>
        <v>A</v>
      </c>
      <c r="E19" s="1000">
        <f>'09월 에너지'!E19</f>
        <v>85219</v>
      </c>
      <c r="F19" s="1094" t="str">
        <f>'09월 에너지'!F19</f>
        <v>SHN400(BL)</v>
      </c>
      <c r="G19" s="980"/>
      <c r="H19" s="978"/>
      <c r="I19" s="978"/>
      <c r="J19" s="978"/>
      <c r="K19" s="978"/>
      <c r="L19" s="978"/>
      <c r="M19" s="978"/>
      <c r="N19" s="978"/>
      <c r="O19" s="1106" t="str">
        <f t="shared" si="47"/>
        <v/>
      </c>
      <c r="P19" s="1108">
        <f>7500+7000+13400+7700+7600+14400</f>
        <v>57600</v>
      </c>
      <c r="Q19" s="979">
        <f>15000+900</f>
        <v>15900</v>
      </c>
      <c r="R19" s="979">
        <v>7800</v>
      </c>
      <c r="S19" s="979">
        <v>0</v>
      </c>
      <c r="T19" s="979">
        <v>0</v>
      </c>
      <c r="U19" s="979">
        <f>3000+3400+2600</f>
        <v>9000</v>
      </c>
      <c r="V19" s="979">
        <f>4600+200+11000</f>
        <v>15800</v>
      </c>
      <c r="W19" s="979">
        <v>3000</v>
      </c>
      <c r="X19" s="979">
        <v>7700</v>
      </c>
      <c r="Y19" s="979">
        <f>4200+15500+4700</f>
        <v>24400</v>
      </c>
      <c r="Z19" s="979">
        <v>0</v>
      </c>
      <c r="AA19" s="979">
        <v>700</v>
      </c>
      <c r="AB19" s="979">
        <v>1600</v>
      </c>
      <c r="AC19" s="979">
        <v>2300</v>
      </c>
      <c r="AD19" s="979">
        <v>0</v>
      </c>
      <c r="AE19" s="1109">
        <f t="shared" si="51"/>
        <v>145800</v>
      </c>
      <c r="AF19" s="1113">
        <v>2100</v>
      </c>
      <c r="AG19" s="981">
        <v>7900</v>
      </c>
      <c r="AH19" s="981">
        <v>2700</v>
      </c>
      <c r="AI19" s="1114">
        <f t="shared" si="48"/>
        <v>12700</v>
      </c>
      <c r="AJ19" s="1110">
        <f t="shared" si="49"/>
        <v>158500</v>
      </c>
      <c r="AK19" s="982">
        <f>'09월 에너지'!S19</f>
        <v>143.19999999999999</v>
      </c>
      <c r="AL19" s="983">
        <f t="shared" si="50"/>
        <v>0.90347003154574135</v>
      </c>
    </row>
    <row r="20" spans="1:38" ht="16.5" customHeight="1">
      <c r="A20" s="999">
        <f>'09월 에너지'!A20</f>
        <v>46266</v>
      </c>
      <c r="B20" s="1002">
        <f>'09월 조업일지'!B18</f>
        <v>46266</v>
      </c>
      <c r="C20" s="1003" t="str">
        <f>'09월 에너지'!C20</f>
        <v>A</v>
      </c>
      <c r="D20" s="1004" t="str">
        <f>'09월 에너지'!D20</f>
        <v>B</v>
      </c>
      <c r="E20" s="1000">
        <f>'09월 에너지'!E20</f>
        <v>85220</v>
      </c>
      <c r="F20" s="1094" t="str">
        <f>'09월 에너지'!F20</f>
        <v>SHN400(BL)</v>
      </c>
      <c r="G20" s="980"/>
      <c r="H20" s="978"/>
      <c r="I20" s="978"/>
      <c r="J20" s="978"/>
      <c r="K20" s="978"/>
      <c r="L20" s="978"/>
      <c r="M20" s="978"/>
      <c r="N20" s="978"/>
      <c r="O20" s="1106" t="str">
        <f t="shared" si="47"/>
        <v/>
      </c>
      <c r="P20" s="1108">
        <f>9300+10200+5800+7400+8200+3000</f>
        <v>43900</v>
      </c>
      <c r="Q20" s="979">
        <f>10400+6000</f>
        <v>16400</v>
      </c>
      <c r="R20" s="979">
        <v>7800</v>
      </c>
      <c r="S20" s="979">
        <v>0</v>
      </c>
      <c r="T20" s="979">
        <v>0</v>
      </c>
      <c r="U20" s="979">
        <f>2500+8100+5900</f>
        <v>16500</v>
      </c>
      <c r="V20" s="979">
        <f>7100+2700+10400</f>
        <v>20200</v>
      </c>
      <c r="W20" s="979">
        <v>2300</v>
      </c>
      <c r="X20" s="979">
        <v>8900</v>
      </c>
      <c r="Y20" s="979">
        <f>500+16000+3500</f>
        <v>20000</v>
      </c>
      <c r="Z20" s="979">
        <v>0</v>
      </c>
      <c r="AA20" s="979">
        <v>1500</v>
      </c>
      <c r="AB20" s="979">
        <v>3100</v>
      </c>
      <c r="AC20" s="979">
        <v>3100</v>
      </c>
      <c r="AD20" s="979">
        <v>0</v>
      </c>
      <c r="AE20" s="1109">
        <f t="shared" si="51"/>
        <v>143700</v>
      </c>
      <c r="AF20" s="1113">
        <v>2500</v>
      </c>
      <c r="AG20" s="981">
        <v>8500</v>
      </c>
      <c r="AH20" s="981">
        <v>3700</v>
      </c>
      <c r="AI20" s="1114">
        <f t="shared" si="48"/>
        <v>14700</v>
      </c>
      <c r="AJ20" s="1110">
        <f t="shared" si="49"/>
        <v>158400</v>
      </c>
      <c r="AK20" s="982">
        <f>'09월 에너지'!S20</f>
        <v>148</v>
      </c>
      <c r="AL20" s="983">
        <f t="shared" si="50"/>
        <v>0.93434343434343436</v>
      </c>
    </row>
    <row r="21" spans="1:38" ht="16.5" customHeight="1">
      <c r="A21" s="999">
        <f>'09월 에너지'!A21</f>
        <v>46266</v>
      </c>
      <c r="B21" s="1002">
        <f>'09월 조업일지'!B19</f>
        <v>46266</v>
      </c>
      <c r="C21" s="1003" t="str">
        <f>'09월 에너지'!C21</f>
        <v>A</v>
      </c>
      <c r="D21" s="1004" t="str">
        <f>'09월 에너지'!D21</f>
        <v>A</v>
      </c>
      <c r="E21" s="1000">
        <f>'09월 에너지'!E21</f>
        <v>85221</v>
      </c>
      <c r="F21" s="1094" t="str">
        <f>'09월 에너지'!F21</f>
        <v>SHN400(BL)</v>
      </c>
      <c r="G21" s="980"/>
      <c r="H21" s="978"/>
      <c r="I21" s="978"/>
      <c r="J21" s="978"/>
      <c r="K21" s="978"/>
      <c r="L21" s="978"/>
      <c r="M21" s="978"/>
      <c r="N21" s="978"/>
      <c r="O21" s="1106" t="str">
        <f t="shared" si="47"/>
        <v/>
      </c>
      <c r="P21" s="1108">
        <f>5800+3300+12100+7600+3300+3000</f>
        <v>35100</v>
      </c>
      <c r="Q21" s="979">
        <f>14100+8700</f>
        <v>22800</v>
      </c>
      <c r="R21" s="979">
        <v>3400</v>
      </c>
      <c r="S21" s="979">
        <v>0</v>
      </c>
      <c r="T21" s="979">
        <v>0</v>
      </c>
      <c r="U21" s="979">
        <f>10000+12500+4700</f>
        <v>27200</v>
      </c>
      <c r="V21" s="979">
        <f>9700+8700+10100</f>
        <v>28500</v>
      </c>
      <c r="W21" s="979">
        <v>3400</v>
      </c>
      <c r="X21" s="979">
        <v>8000</v>
      </c>
      <c r="Y21" s="979">
        <f>2700+4100</f>
        <v>6800</v>
      </c>
      <c r="Z21" s="979">
        <v>0</v>
      </c>
      <c r="AA21" s="979">
        <v>5300</v>
      </c>
      <c r="AB21" s="979">
        <v>100</v>
      </c>
      <c r="AC21" s="979">
        <v>1900</v>
      </c>
      <c r="AD21" s="979">
        <v>0</v>
      </c>
      <c r="AE21" s="1109">
        <f t="shared" si="51"/>
        <v>142500</v>
      </c>
      <c r="AF21" s="1113">
        <v>3900</v>
      </c>
      <c r="AG21" s="981">
        <v>3700</v>
      </c>
      <c r="AH21" s="981">
        <v>7200</v>
      </c>
      <c r="AI21" s="1114">
        <f t="shared" si="48"/>
        <v>14800</v>
      </c>
      <c r="AJ21" s="1110">
        <f t="shared" si="49"/>
        <v>157300</v>
      </c>
      <c r="AK21" s="982">
        <f>'09월 에너지'!S21</f>
        <v>147.69999999999999</v>
      </c>
      <c r="AL21" s="983">
        <f t="shared" si="50"/>
        <v>0.93897012078830255</v>
      </c>
    </row>
    <row r="22" spans="1:38" ht="16.5" customHeight="1">
      <c r="A22" s="999">
        <f>'09월 에너지'!A22</f>
        <v>46266</v>
      </c>
      <c r="B22" s="1002">
        <f>'09월 조업일지'!B20</f>
        <v>46266</v>
      </c>
      <c r="C22" s="1003" t="str">
        <f>'09월 에너지'!C22</f>
        <v>A</v>
      </c>
      <c r="D22" s="1004" t="str">
        <f>'09월 에너지'!D22</f>
        <v>B</v>
      </c>
      <c r="E22" s="1000">
        <f>'09월 에너지'!E22</f>
        <v>85222</v>
      </c>
      <c r="F22" s="1094" t="str">
        <f>'09월 에너지'!F22</f>
        <v>SHN400(BL)</v>
      </c>
      <c r="G22" s="980"/>
      <c r="H22" s="978"/>
      <c r="I22" s="978"/>
      <c r="J22" s="978"/>
      <c r="K22" s="978"/>
      <c r="L22" s="978"/>
      <c r="M22" s="978"/>
      <c r="N22" s="978"/>
      <c r="O22" s="1106" t="str">
        <f t="shared" si="47"/>
        <v/>
      </c>
      <c r="P22" s="1108">
        <f>12700+12200+6900+6900+7000+1500</f>
        <v>47200</v>
      </c>
      <c r="Q22" s="979">
        <f>8700+12200</f>
        <v>20900</v>
      </c>
      <c r="R22" s="979">
        <v>9000</v>
      </c>
      <c r="S22" s="979">
        <v>0</v>
      </c>
      <c r="T22" s="979">
        <v>0</v>
      </c>
      <c r="U22" s="979">
        <f>3500+5500+6700</f>
        <v>15700</v>
      </c>
      <c r="V22" s="979">
        <f>5000+2100+9100</f>
        <v>16200</v>
      </c>
      <c r="W22" s="979">
        <v>3900</v>
      </c>
      <c r="X22" s="979">
        <v>7000</v>
      </c>
      <c r="Y22" s="979">
        <f>2400+10600</f>
        <v>13000</v>
      </c>
      <c r="Z22" s="979">
        <v>0</v>
      </c>
      <c r="AA22" s="979">
        <v>4100</v>
      </c>
      <c r="AB22" s="979">
        <v>2900</v>
      </c>
      <c r="AC22" s="979">
        <v>2800</v>
      </c>
      <c r="AD22" s="979">
        <v>0</v>
      </c>
      <c r="AE22" s="1109">
        <f t="shared" si="51"/>
        <v>142700</v>
      </c>
      <c r="AF22" s="1113">
        <v>4200</v>
      </c>
      <c r="AG22" s="981">
        <v>7200</v>
      </c>
      <c r="AH22" s="981">
        <v>4600</v>
      </c>
      <c r="AI22" s="1114">
        <f t="shared" si="48"/>
        <v>16000</v>
      </c>
      <c r="AJ22" s="1110">
        <f t="shared" si="49"/>
        <v>158700</v>
      </c>
      <c r="AK22" s="982">
        <f>'09월 에너지'!S22</f>
        <v>147.30000000000001</v>
      </c>
      <c r="AL22" s="983">
        <f t="shared" si="50"/>
        <v>0.92816635160680527</v>
      </c>
    </row>
    <row r="23" spans="1:38" ht="16.5" customHeight="1">
      <c r="A23" s="999">
        <f>'09월 에너지'!A23</f>
        <v>46266</v>
      </c>
      <c r="B23" s="1002">
        <f>'09월 조업일지'!B21</f>
        <v>46266</v>
      </c>
      <c r="C23" s="1003" t="str">
        <f>'09월 에너지'!C23</f>
        <v>A</v>
      </c>
      <c r="D23" s="1004" t="str">
        <f>'09월 에너지'!D23</f>
        <v>A</v>
      </c>
      <c r="E23" s="1000">
        <f>'09월 에너지'!E23</f>
        <v>85223</v>
      </c>
      <c r="F23" s="1094" t="str">
        <f>'09월 에너지'!F23</f>
        <v>SHN400(BL)</v>
      </c>
      <c r="G23" s="980"/>
      <c r="H23" s="978"/>
      <c r="I23" s="978"/>
      <c r="J23" s="978"/>
      <c r="K23" s="978"/>
      <c r="L23" s="978"/>
      <c r="M23" s="978"/>
      <c r="N23" s="978"/>
      <c r="O23" s="1106" t="str">
        <f t="shared" si="47"/>
        <v/>
      </c>
      <c r="P23" s="1108">
        <f>4100+2500+9500+7200+5600+2500</f>
        <v>31400</v>
      </c>
      <c r="Q23" s="979">
        <f>11300+4200</f>
        <v>15500</v>
      </c>
      <c r="R23" s="979">
        <v>5500</v>
      </c>
      <c r="S23" s="979">
        <v>0</v>
      </c>
      <c r="T23" s="979">
        <v>0</v>
      </c>
      <c r="U23" s="979">
        <f>6900+10700+5600</f>
        <v>23200</v>
      </c>
      <c r="V23" s="979">
        <f>5000+7600+9800</f>
        <v>22400</v>
      </c>
      <c r="W23" s="979">
        <v>2600</v>
      </c>
      <c r="X23" s="979">
        <v>9400</v>
      </c>
      <c r="Y23" s="979">
        <f>3000+11000+3900</f>
        <v>17900</v>
      </c>
      <c r="Z23" s="979">
        <v>0</v>
      </c>
      <c r="AA23" s="979">
        <v>2200</v>
      </c>
      <c r="AB23" s="979">
        <v>7000</v>
      </c>
      <c r="AC23" s="979">
        <v>1900</v>
      </c>
      <c r="AD23" s="979">
        <v>0</v>
      </c>
      <c r="AE23" s="1109">
        <f t="shared" si="51"/>
        <v>139000</v>
      </c>
      <c r="AF23" s="1113">
        <v>3500</v>
      </c>
      <c r="AG23" s="981">
        <v>8800</v>
      </c>
      <c r="AH23" s="981">
        <v>5800</v>
      </c>
      <c r="AI23" s="1114">
        <f t="shared" si="48"/>
        <v>18100</v>
      </c>
      <c r="AJ23" s="1110">
        <f t="shared" si="49"/>
        <v>157100</v>
      </c>
      <c r="AK23" s="982">
        <f>'09월 에너지'!S23</f>
        <v>149.4</v>
      </c>
      <c r="AL23" s="983">
        <f t="shared" si="50"/>
        <v>0.95098663271801398</v>
      </c>
    </row>
    <row r="24" spans="1:38" ht="16.5" customHeight="1">
      <c r="A24" s="999">
        <f>'09월 에너지'!A24</f>
        <v>46266</v>
      </c>
      <c r="B24" s="1002">
        <f>'09월 조업일지'!B22</f>
        <v>46266</v>
      </c>
      <c r="C24" s="1003" t="str">
        <f>'09월 에너지'!C24</f>
        <v>A</v>
      </c>
      <c r="D24" s="1004" t="str">
        <f>'09월 에너지'!D24</f>
        <v>B</v>
      </c>
      <c r="E24" s="1000">
        <f>'09월 에너지'!E24</f>
        <v>85224</v>
      </c>
      <c r="F24" s="1170" t="str">
        <f>'09월 에너지'!F24</f>
        <v>SS400-05</v>
      </c>
      <c r="G24" s="980"/>
      <c r="H24" s="978"/>
      <c r="I24" s="978"/>
      <c r="J24" s="978"/>
      <c r="K24" s="978"/>
      <c r="L24" s="978"/>
      <c r="M24" s="978"/>
      <c r="N24" s="978"/>
      <c r="O24" s="1106" t="str">
        <f t="shared" si="47"/>
        <v/>
      </c>
      <c r="P24" s="1108">
        <f>8500+8100+14800+6600+9300+5200</f>
        <v>52500</v>
      </c>
      <c r="Q24" s="979">
        <f>11600+5900</f>
        <v>17500</v>
      </c>
      <c r="R24" s="979">
        <v>6400</v>
      </c>
      <c r="S24" s="979">
        <v>0</v>
      </c>
      <c r="T24" s="979">
        <v>0</v>
      </c>
      <c r="U24" s="979">
        <v>6000</v>
      </c>
      <c r="V24" s="979">
        <f>2100+3200+5100+9800</f>
        <v>20200</v>
      </c>
      <c r="W24" s="979">
        <v>1600</v>
      </c>
      <c r="X24" s="979">
        <v>10900</v>
      </c>
      <c r="Y24" s="979">
        <f>800+12500+600</f>
        <v>13900</v>
      </c>
      <c r="Z24" s="979">
        <v>0</v>
      </c>
      <c r="AA24" s="979">
        <v>2400</v>
      </c>
      <c r="AB24" s="979">
        <v>3000</v>
      </c>
      <c r="AC24" s="979">
        <v>1200</v>
      </c>
      <c r="AD24" s="979">
        <v>4600</v>
      </c>
      <c r="AE24" s="1109">
        <f t="shared" si="51"/>
        <v>140200</v>
      </c>
      <c r="AF24" s="1113">
        <v>4600</v>
      </c>
      <c r="AG24" s="981">
        <v>8300</v>
      </c>
      <c r="AH24" s="981">
        <v>4800</v>
      </c>
      <c r="AI24" s="1114">
        <f t="shared" si="48"/>
        <v>17700</v>
      </c>
      <c r="AJ24" s="1110">
        <f t="shared" si="49"/>
        <v>157900</v>
      </c>
      <c r="AK24" s="982">
        <f>'09월 에너지'!S24</f>
        <v>147.30000000000001</v>
      </c>
      <c r="AL24" s="983">
        <f t="shared" si="50"/>
        <v>0.93286890436985437</v>
      </c>
    </row>
    <row r="25" spans="1:38" ht="16.5" customHeight="1">
      <c r="A25" s="999">
        <f>'09월 에너지'!A25</f>
        <v>46266</v>
      </c>
      <c r="B25" s="1002">
        <f>'09월 조업일지'!B23</f>
        <v>46266</v>
      </c>
      <c r="C25" s="1003" t="str">
        <f>'09월 에너지'!C25</f>
        <v>A</v>
      </c>
      <c r="D25" s="1004" t="str">
        <f>'09월 에너지'!D25</f>
        <v>A</v>
      </c>
      <c r="E25" s="1000">
        <f>'09월 에너지'!E25</f>
        <v>85225</v>
      </c>
      <c r="F25" s="1094" t="str">
        <f>'09월 에너지'!F25</f>
        <v>SS400-05</v>
      </c>
      <c r="G25" s="980"/>
      <c r="H25" s="978"/>
      <c r="I25" s="978"/>
      <c r="J25" s="978"/>
      <c r="K25" s="978"/>
      <c r="L25" s="978"/>
      <c r="M25" s="978"/>
      <c r="N25" s="978"/>
      <c r="O25" s="1106" t="str">
        <f t="shared" si="47"/>
        <v/>
      </c>
      <c r="P25" s="1108">
        <f>12500+8000+13100+6800+8800+4600</f>
        <v>53800</v>
      </c>
      <c r="Q25" s="979">
        <f>8700+5300</f>
        <v>14000</v>
      </c>
      <c r="R25" s="979">
        <v>3000</v>
      </c>
      <c r="S25" s="979">
        <v>0</v>
      </c>
      <c r="T25" s="979">
        <v>0</v>
      </c>
      <c r="U25" s="979">
        <v>6600</v>
      </c>
      <c r="V25" s="979">
        <f>4200+100+6700+9400</f>
        <v>20400</v>
      </c>
      <c r="W25" s="979">
        <v>3300</v>
      </c>
      <c r="X25" s="979">
        <v>8200</v>
      </c>
      <c r="Y25" s="979">
        <f>7400+10300+5600</f>
        <v>23300</v>
      </c>
      <c r="Z25" s="979">
        <v>0</v>
      </c>
      <c r="AA25" s="979">
        <v>1600</v>
      </c>
      <c r="AB25" s="979">
        <v>4300</v>
      </c>
      <c r="AC25" s="979">
        <v>2500</v>
      </c>
      <c r="AD25" s="979">
        <v>2200</v>
      </c>
      <c r="AE25" s="1109">
        <f t="shared" si="51"/>
        <v>143200</v>
      </c>
      <c r="AF25" s="1113">
        <v>3600</v>
      </c>
      <c r="AG25" s="981">
        <v>10100</v>
      </c>
      <c r="AH25" s="981">
        <v>3600</v>
      </c>
      <c r="AI25" s="1114">
        <f t="shared" si="48"/>
        <v>17300</v>
      </c>
      <c r="AJ25" s="1110">
        <f t="shared" si="49"/>
        <v>160500</v>
      </c>
      <c r="AK25" s="982">
        <f>'09월 에너지'!S25</f>
        <v>149.9</v>
      </c>
      <c r="AL25" s="983">
        <f t="shared" si="50"/>
        <v>0.93395638629283484</v>
      </c>
    </row>
    <row r="26" spans="1:38" ht="16.5" customHeight="1">
      <c r="A26" s="999">
        <f>'09월 에너지'!A26</f>
        <v>46266</v>
      </c>
      <c r="B26" s="1002">
        <f>'09월 조업일지'!B24</f>
        <v>46266</v>
      </c>
      <c r="C26" s="1003" t="str">
        <f>'09월 에너지'!C26</f>
        <v>A</v>
      </c>
      <c r="D26" s="1004" t="str">
        <f>'09월 에너지'!D26</f>
        <v>B</v>
      </c>
      <c r="E26" s="1000">
        <f>'09월 에너지'!E26</f>
        <v>85226</v>
      </c>
      <c r="F26" s="1094" t="str">
        <f>'09월 에너지'!F26</f>
        <v>SS400-05</v>
      </c>
      <c r="G26" s="980"/>
      <c r="H26" s="978"/>
      <c r="I26" s="978"/>
      <c r="J26" s="978"/>
      <c r="K26" s="978"/>
      <c r="L26" s="978"/>
      <c r="M26" s="978"/>
      <c r="N26" s="978"/>
      <c r="O26" s="1106" t="str">
        <f t="shared" si="47"/>
        <v/>
      </c>
      <c r="P26" s="1108">
        <f>9700+10700+12400+5700+6700+7600</f>
        <v>52800</v>
      </c>
      <c r="Q26" s="979">
        <f>6800+10300</f>
        <v>17100</v>
      </c>
      <c r="R26" s="979">
        <v>15600</v>
      </c>
      <c r="S26" s="979">
        <v>0</v>
      </c>
      <c r="T26" s="979">
        <v>0</v>
      </c>
      <c r="U26" s="979">
        <v>6100</v>
      </c>
      <c r="V26" s="979">
        <f>2300+3300+2200+11100</f>
        <v>18900</v>
      </c>
      <c r="W26" s="979">
        <v>3600</v>
      </c>
      <c r="X26" s="979">
        <v>8700</v>
      </c>
      <c r="Y26" s="979">
        <f>16300+100</f>
        <v>16400</v>
      </c>
      <c r="Z26" s="979">
        <v>0</v>
      </c>
      <c r="AA26" s="979">
        <v>200</v>
      </c>
      <c r="AB26" s="979">
        <v>3100</v>
      </c>
      <c r="AC26" s="979">
        <v>1600</v>
      </c>
      <c r="AD26" s="979">
        <v>2900</v>
      </c>
      <c r="AE26" s="1109">
        <f t="shared" si="51"/>
        <v>147000</v>
      </c>
      <c r="AF26" s="1113">
        <v>3200</v>
      </c>
      <c r="AG26" s="981">
        <v>5100</v>
      </c>
      <c r="AH26" s="981">
        <v>4000</v>
      </c>
      <c r="AI26" s="1114">
        <f t="shared" si="48"/>
        <v>12300</v>
      </c>
      <c r="AJ26" s="1110">
        <f t="shared" si="49"/>
        <v>159300</v>
      </c>
      <c r="AK26" s="982">
        <f>'09월 에너지'!S26</f>
        <v>145.4</v>
      </c>
      <c r="AL26" s="983">
        <f t="shared" si="50"/>
        <v>0.91274325172630255</v>
      </c>
    </row>
    <row r="27" spans="1:38" ht="16.5" customHeight="1">
      <c r="A27" s="999">
        <f>'09월 에너지'!A27</f>
        <v>46266</v>
      </c>
      <c r="B27" s="1002">
        <f>'09월 조업일지'!B25</f>
        <v>46266</v>
      </c>
      <c r="C27" s="1003" t="str">
        <f>'09월 에너지'!C27</f>
        <v>A</v>
      </c>
      <c r="D27" s="1004" t="str">
        <f>'09월 에너지'!D27</f>
        <v>A</v>
      </c>
      <c r="E27" s="1000">
        <f>'09월 에너지'!E27</f>
        <v>85227</v>
      </c>
      <c r="F27" s="1094" t="str">
        <f>'09월 에너지'!F27</f>
        <v>SS400-05</v>
      </c>
      <c r="G27" s="980"/>
      <c r="H27" s="978"/>
      <c r="I27" s="978"/>
      <c r="J27" s="978"/>
      <c r="K27" s="978"/>
      <c r="L27" s="978"/>
      <c r="M27" s="978"/>
      <c r="N27" s="978"/>
      <c r="O27" s="1106" t="str">
        <f t="shared" si="47"/>
        <v/>
      </c>
      <c r="P27" s="1108">
        <f>8900+8600+4200+6700+4000+5400</f>
        <v>37800</v>
      </c>
      <c r="Q27" s="979">
        <f>6800+2200</f>
        <v>9000</v>
      </c>
      <c r="R27" s="979">
        <v>10800</v>
      </c>
      <c r="S27" s="979">
        <v>0</v>
      </c>
      <c r="T27" s="979">
        <v>0</v>
      </c>
      <c r="U27" s="979">
        <v>4800</v>
      </c>
      <c r="V27" s="979">
        <f>6900+8700+6700+10000</f>
        <v>32300</v>
      </c>
      <c r="W27" s="979">
        <v>2900</v>
      </c>
      <c r="X27" s="979">
        <v>8600</v>
      </c>
      <c r="Y27" s="979">
        <f>1900+12400+3200</f>
        <v>17500</v>
      </c>
      <c r="Z27" s="979">
        <v>0</v>
      </c>
      <c r="AA27" s="979">
        <v>2300</v>
      </c>
      <c r="AB27" s="979">
        <v>500</v>
      </c>
      <c r="AC27" s="979">
        <v>2100</v>
      </c>
      <c r="AD27" s="979">
        <v>1000</v>
      </c>
      <c r="AE27" s="1109">
        <f t="shared" si="51"/>
        <v>129600</v>
      </c>
      <c r="AF27" s="1113">
        <v>3200</v>
      </c>
      <c r="AG27" s="981">
        <v>14000</v>
      </c>
      <c r="AH27" s="981">
        <v>12000</v>
      </c>
      <c r="AI27" s="1114">
        <f t="shared" si="48"/>
        <v>29200</v>
      </c>
      <c r="AJ27" s="1110">
        <f t="shared" si="49"/>
        <v>158800</v>
      </c>
      <c r="AK27" s="982">
        <f>'09월 에너지'!S27</f>
        <v>143.69999999999999</v>
      </c>
      <c r="AL27" s="983">
        <f t="shared" si="50"/>
        <v>0.90491183879093195</v>
      </c>
    </row>
    <row r="28" spans="1:38" ht="16.5" customHeight="1">
      <c r="A28" s="999">
        <f>'09월 에너지'!A28</f>
        <v>46266</v>
      </c>
      <c r="B28" s="1002">
        <f>'09월 조업일지'!B26</f>
        <v>46266</v>
      </c>
      <c r="C28" s="1003" t="str">
        <f>'09월 에너지'!C28</f>
        <v>C</v>
      </c>
      <c r="D28" s="1004" t="str">
        <f>'09월 에너지'!D28</f>
        <v>B</v>
      </c>
      <c r="E28" s="1000">
        <f>'09월 에너지'!E28</f>
        <v>85228</v>
      </c>
      <c r="F28" s="1094" t="str">
        <f>'09월 에너지'!F28</f>
        <v>SS400-05</v>
      </c>
      <c r="G28" s="980"/>
      <c r="H28" s="978"/>
      <c r="I28" s="978"/>
      <c r="J28" s="978"/>
      <c r="K28" s="978"/>
      <c r="L28" s="978"/>
      <c r="M28" s="978"/>
      <c r="N28" s="978"/>
      <c r="O28" s="1106" t="str">
        <f t="shared" si="47"/>
        <v/>
      </c>
      <c r="P28" s="1108">
        <f>8900+8600+4200+6700+4000+5400</f>
        <v>37800</v>
      </c>
      <c r="Q28" s="979">
        <f>6800+2200</f>
        <v>9000</v>
      </c>
      <c r="R28" s="979">
        <v>10800</v>
      </c>
      <c r="S28" s="979">
        <v>0</v>
      </c>
      <c r="T28" s="979">
        <v>0</v>
      </c>
      <c r="U28" s="979">
        <v>4800</v>
      </c>
      <c r="V28" s="979">
        <f>6900+8700+6700+10000</f>
        <v>32300</v>
      </c>
      <c r="W28" s="979">
        <v>2900</v>
      </c>
      <c r="X28" s="979">
        <v>8600</v>
      </c>
      <c r="Y28" s="979">
        <f>1900+12400+3200</f>
        <v>17500</v>
      </c>
      <c r="Z28" s="979">
        <v>0</v>
      </c>
      <c r="AA28" s="979">
        <v>2300</v>
      </c>
      <c r="AB28" s="979">
        <v>500</v>
      </c>
      <c r="AC28" s="979">
        <v>2100</v>
      </c>
      <c r="AD28" s="979">
        <v>1000</v>
      </c>
      <c r="AE28" s="1109">
        <f t="shared" ref="AE28" si="52">IF(SUM(P28:AD28)=0,"",SUM(P28:AD28))</f>
        <v>129600</v>
      </c>
      <c r="AF28" s="1113">
        <v>3200</v>
      </c>
      <c r="AG28" s="981">
        <v>14000</v>
      </c>
      <c r="AH28" s="981">
        <v>12000</v>
      </c>
      <c r="AI28" s="1114">
        <f t="shared" ref="AI28" si="53">IF(SUM(AF28:AH28)=0,"",SUM(AF28:AH28))</f>
        <v>29200</v>
      </c>
      <c r="AJ28" s="1110">
        <f t="shared" si="49"/>
        <v>158800</v>
      </c>
      <c r="AK28" s="982">
        <f>'09월 에너지'!S28</f>
        <v>143.69999999999999</v>
      </c>
      <c r="AL28" s="983">
        <f t="shared" si="50"/>
        <v>0.90491183879093195</v>
      </c>
    </row>
    <row r="29" spans="1:38" ht="16.5" customHeight="1">
      <c r="A29" s="999">
        <f>'09월 에너지'!A29</f>
        <v>46266</v>
      </c>
      <c r="B29" s="1002">
        <f>'09월 조업일지'!B27</f>
        <v>46266</v>
      </c>
      <c r="C29" s="1003" t="str">
        <f>'09월 에너지'!C29</f>
        <v>C</v>
      </c>
      <c r="D29" s="1004" t="str">
        <f>'09월 에너지'!D29</f>
        <v>A</v>
      </c>
      <c r="E29" s="1000">
        <f>'09월 에너지'!E29</f>
        <v>85229</v>
      </c>
      <c r="F29" s="1094" t="str">
        <f>'09월 에너지'!F29</f>
        <v>SS400-05</v>
      </c>
      <c r="G29" s="980"/>
      <c r="H29" s="978"/>
      <c r="I29" s="978"/>
      <c r="J29" s="978"/>
      <c r="K29" s="978"/>
      <c r="L29" s="978"/>
      <c r="M29" s="978"/>
      <c r="N29" s="978"/>
      <c r="O29" s="1106" t="str">
        <f t="shared" si="47"/>
        <v/>
      </c>
      <c r="P29" s="1108">
        <f>11100+10200+16400+4200+2100</f>
        <v>44000</v>
      </c>
      <c r="Q29" s="979">
        <f>9400+8800</f>
        <v>18200</v>
      </c>
      <c r="R29" s="979">
        <v>6300</v>
      </c>
      <c r="S29" s="979"/>
      <c r="T29" s="979"/>
      <c r="U29" s="979">
        <v>5200</v>
      </c>
      <c r="V29" s="979">
        <f>3300+9700+4100+7200+10400</f>
        <v>34700</v>
      </c>
      <c r="W29" s="979"/>
      <c r="X29" s="979"/>
      <c r="Y29" s="979">
        <f>100+10400+4100</f>
        <v>14600</v>
      </c>
      <c r="Z29" s="979"/>
      <c r="AA29" s="979">
        <v>2400</v>
      </c>
      <c r="AB29" s="979">
        <v>3000</v>
      </c>
      <c r="AC29" s="979">
        <f>1800+1900</f>
        <v>3700</v>
      </c>
      <c r="AD29" s="979">
        <v>3900</v>
      </c>
      <c r="AE29" s="1109">
        <f t="shared" si="51"/>
        <v>136000</v>
      </c>
      <c r="AF29" s="1113">
        <f>4300+2700</f>
        <v>7000</v>
      </c>
      <c r="AG29" s="981">
        <v>11100</v>
      </c>
      <c r="AH29" s="981">
        <v>4700</v>
      </c>
      <c r="AI29" s="1114">
        <f t="shared" si="48"/>
        <v>22800</v>
      </c>
      <c r="AJ29" s="1110">
        <f t="shared" si="49"/>
        <v>158800</v>
      </c>
      <c r="AK29" s="982">
        <f>'09월 에너지'!S29</f>
        <v>143.9</v>
      </c>
      <c r="AL29" s="983">
        <f t="shared" si="50"/>
        <v>0.90617128463476071</v>
      </c>
    </row>
    <row r="30" spans="1:38" ht="16.5" customHeight="1">
      <c r="A30" s="999">
        <f>'09월 에너지'!A30</f>
        <v>46266</v>
      </c>
      <c r="B30" s="1002">
        <f>'09월 조업일지'!B28</f>
        <v>46266</v>
      </c>
      <c r="C30" s="1003" t="str">
        <f>'09월 에너지'!C30</f>
        <v>C</v>
      </c>
      <c r="D30" s="1004" t="str">
        <f>'09월 에너지'!D30</f>
        <v>B</v>
      </c>
      <c r="E30" s="1000">
        <f>'09월 에너지'!E30</f>
        <v>85230</v>
      </c>
      <c r="F30" s="1094" t="str">
        <f>'09월 에너지'!F30</f>
        <v>SS400-05</v>
      </c>
      <c r="G30" s="980"/>
      <c r="H30" s="978"/>
      <c r="I30" s="978"/>
      <c r="J30" s="978"/>
      <c r="K30" s="978"/>
      <c r="L30" s="978"/>
      <c r="M30" s="978"/>
      <c r="N30" s="978"/>
      <c r="O30" s="1106" t="str">
        <f t="shared" si="47"/>
        <v/>
      </c>
      <c r="P30" s="1108">
        <f>9500+9200+16600+8300+8900+6800</f>
        <v>59300</v>
      </c>
      <c r="Q30" s="979">
        <f>6800+6700</f>
        <v>13500</v>
      </c>
      <c r="R30" s="979">
        <v>4400</v>
      </c>
      <c r="S30" s="979"/>
      <c r="T30" s="979"/>
      <c r="U30" s="979">
        <v>4400</v>
      </c>
      <c r="V30" s="979">
        <f>1200+2900+5200+10500</f>
        <v>19800</v>
      </c>
      <c r="W30" s="979">
        <v>4900</v>
      </c>
      <c r="X30" s="979">
        <v>5800</v>
      </c>
      <c r="Y30" s="979">
        <f>1900+16100+3900</f>
        <v>21900</v>
      </c>
      <c r="Z30" s="979"/>
      <c r="AA30" s="979">
        <v>2500</v>
      </c>
      <c r="AB30" s="979">
        <v>3500</v>
      </c>
      <c r="AC30" s="979">
        <v>2400</v>
      </c>
      <c r="AD30" s="979">
        <v>2000</v>
      </c>
      <c r="AE30" s="1109">
        <f t="shared" si="51"/>
        <v>144400</v>
      </c>
      <c r="AF30" s="1113">
        <v>2700</v>
      </c>
      <c r="AG30" s="981">
        <v>13600</v>
      </c>
      <c r="AH30" s="981">
        <v>2300</v>
      </c>
      <c r="AI30" s="1114">
        <f t="shared" si="48"/>
        <v>18600</v>
      </c>
      <c r="AJ30" s="1110">
        <f t="shared" si="49"/>
        <v>163000</v>
      </c>
      <c r="AK30" s="982">
        <f>'09월 에너지'!S30</f>
        <v>142.69999999999999</v>
      </c>
      <c r="AL30" s="983">
        <f t="shared" si="50"/>
        <v>0.87546012269938656</v>
      </c>
    </row>
    <row r="31" spans="1:38" ht="16.5" customHeight="1">
      <c r="A31" s="999">
        <f>'09월 에너지'!A31</f>
        <v>46266</v>
      </c>
      <c r="B31" s="1002">
        <f>'09월 조업일지'!B29</f>
        <v>46266</v>
      </c>
      <c r="C31" s="1003" t="str">
        <f>'09월 에너지'!C31</f>
        <v>C</v>
      </c>
      <c r="D31" s="1004" t="str">
        <f>'09월 에너지'!D31</f>
        <v>A</v>
      </c>
      <c r="E31" s="1000">
        <f>'09월 에너지'!E31</f>
        <v>85231</v>
      </c>
      <c r="F31" s="1094" t="str">
        <f>'09월 에너지'!F31</f>
        <v>SS400-05</v>
      </c>
      <c r="G31" s="980"/>
      <c r="H31" s="978"/>
      <c r="I31" s="978"/>
      <c r="J31" s="978"/>
      <c r="K31" s="978"/>
      <c r="L31" s="978"/>
      <c r="M31" s="978"/>
      <c r="N31" s="978"/>
      <c r="O31" s="1106" t="str">
        <f t="shared" si="47"/>
        <v/>
      </c>
      <c r="P31" s="1108">
        <f>4100+8100+19300+8900+8200+8800</f>
        <v>57400</v>
      </c>
      <c r="Q31" s="979">
        <f>6700+4800</f>
        <v>11500</v>
      </c>
      <c r="R31" s="979">
        <v>14800</v>
      </c>
      <c r="S31" s="979"/>
      <c r="T31" s="979"/>
      <c r="U31" s="979">
        <v>2000</v>
      </c>
      <c r="V31" s="979">
        <f>8700+2300+2500+10100</f>
        <v>23600</v>
      </c>
      <c r="W31" s="979">
        <v>2400</v>
      </c>
      <c r="X31" s="979">
        <v>7000</v>
      </c>
      <c r="Y31" s="979">
        <f>4700+11600+3700</f>
        <v>20000</v>
      </c>
      <c r="Z31" s="979"/>
      <c r="AA31" s="979">
        <v>6400</v>
      </c>
      <c r="AB31" s="979">
        <v>1100</v>
      </c>
      <c r="AC31" s="979">
        <v>1700</v>
      </c>
      <c r="AD31" s="979">
        <v>1600</v>
      </c>
      <c r="AE31" s="1109">
        <f t="shared" si="51"/>
        <v>149500</v>
      </c>
      <c r="AF31" s="1113">
        <v>3600</v>
      </c>
      <c r="AG31" s="981">
        <v>3000</v>
      </c>
      <c r="AH31" s="981">
        <v>2700</v>
      </c>
      <c r="AI31" s="1114">
        <f t="shared" si="48"/>
        <v>9300</v>
      </c>
      <c r="AJ31" s="1110">
        <f t="shared" si="49"/>
        <v>158800</v>
      </c>
      <c r="AK31" s="982">
        <f>'09월 에너지'!S31</f>
        <v>142.30000000000001</v>
      </c>
      <c r="AL31" s="983">
        <f t="shared" si="50"/>
        <v>0.896095717884131</v>
      </c>
    </row>
    <row r="32" spans="1:38" ht="16.5" customHeight="1">
      <c r="A32" s="999">
        <f>'09월 에너지'!A32</f>
        <v>46266</v>
      </c>
      <c r="B32" s="1002">
        <f>'09월 조업일지'!B30</f>
        <v>46266</v>
      </c>
      <c r="C32" s="1003" t="str">
        <f>'09월 에너지'!C32</f>
        <v>C</v>
      </c>
      <c r="D32" s="1004" t="str">
        <f>'09월 에너지'!D32</f>
        <v>B</v>
      </c>
      <c r="E32" s="1000">
        <f>'09월 에너지'!E32</f>
        <v>85232</v>
      </c>
      <c r="F32" s="1094" t="str">
        <f>'09월 에너지'!F32</f>
        <v>SS400-05</v>
      </c>
      <c r="G32" s="980"/>
      <c r="H32" s="978"/>
      <c r="I32" s="978"/>
      <c r="J32" s="978"/>
      <c r="K32" s="978"/>
      <c r="L32" s="978"/>
      <c r="M32" s="978"/>
      <c r="N32" s="978"/>
      <c r="O32" s="1106" t="str">
        <f t="shared" si="47"/>
        <v/>
      </c>
      <c r="P32" s="1108">
        <f>6500+12200+12200+7600+9100+6000</f>
        <v>53600</v>
      </c>
      <c r="Q32" s="979">
        <f>6900+7500</f>
        <v>14400</v>
      </c>
      <c r="R32" s="979">
        <v>13500</v>
      </c>
      <c r="S32" s="979"/>
      <c r="T32" s="979"/>
      <c r="U32" s="979">
        <v>4600</v>
      </c>
      <c r="V32" s="979">
        <f>7100+800+5000+4200</f>
        <v>17100</v>
      </c>
      <c r="W32" s="979">
        <v>2700</v>
      </c>
      <c r="X32" s="979">
        <v>8400</v>
      </c>
      <c r="Y32" s="979">
        <f>1400+12300+17600</f>
        <v>31300</v>
      </c>
      <c r="Z32" s="979"/>
      <c r="AA32" s="979">
        <v>2200</v>
      </c>
      <c r="AB32" s="979">
        <v>2000</v>
      </c>
      <c r="AC32" s="979"/>
      <c r="AD32" s="979">
        <v>1800</v>
      </c>
      <c r="AE32" s="1109">
        <f t="shared" si="51"/>
        <v>151600</v>
      </c>
      <c r="AF32" s="1113"/>
      <c r="AG32" s="981">
        <v>9900</v>
      </c>
      <c r="AH32" s="981">
        <v>2000</v>
      </c>
      <c r="AI32" s="1114">
        <f t="shared" si="48"/>
        <v>11900</v>
      </c>
      <c r="AJ32" s="1110">
        <f t="shared" si="49"/>
        <v>163500</v>
      </c>
      <c r="AK32" s="982">
        <f>'09월 에너지'!S32</f>
        <v>144.1</v>
      </c>
      <c r="AL32" s="983">
        <f t="shared" si="50"/>
        <v>0.8813455657492355</v>
      </c>
    </row>
    <row r="33" spans="1:38" ht="16.5" customHeight="1">
      <c r="A33" s="999">
        <f>'09월 에너지'!A33</f>
        <v>46266</v>
      </c>
      <c r="B33" s="1002">
        <f>'09월 조업일지'!B31</f>
        <v>46266</v>
      </c>
      <c r="C33" s="1003" t="str">
        <f>'09월 에너지'!C33</f>
        <v>C</v>
      </c>
      <c r="D33" s="1004" t="str">
        <f>'09월 에너지'!D33</f>
        <v>A</v>
      </c>
      <c r="E33" s="1000">
        <f>'09월 에너지'!E33</f>
        <v>85233</v>
      </c>
      <c r="F33" s="1094" t="str">
        <f>'09월 에너지'!F33</f>
        <v>SS400-05</v>
      </c>
      <c r="G33" s="980"/>
      <c r="H33" s="978"/>
      <c r="I33" s="978"/>
      <c r="J33" s="978"/>
      <c r="K33" s="978"/>
      <c r="L33" s="978"/>
      <c r="M33" s="978"/>
      <c r="N33" s="978"/>
      <c r="O33" s="1106" t="str">
        <f t="shared" si="47"/>
        <v/>
      </c>
      <c r="P33" s="1108">
        <f>6500+12200+12200+7600+9100+6000</f>
        <v>53600</v>
      </c>
      <c r="Q33" s="979">
        <f>6900+7500</f>
        <v>14400</v>
      </c>
      <c r="R33" s="979">
        <v>13500</v>
      </c>
      <c r="S33" s="979"/>
      <c r="T33" s="979"/>
      <c r="U33" s="979">
        <v>4600</v>
      </c>
      <c r="V33" s="979">
        <f>7100+800+5000+4200</f>
        <v>17100</v>
      </c>
      <c r="W33" s="979">
        <v>2700</v>
      </c>
      <c r="X33" s="979">
        <v>8400</v>
      </c>
      <c r="Y33" s="979">
        <f>1400+12300+17600</f>
        <v>31300</v>
      </c>
      <c r="Z33" s="979"/>
      <c r="AA33" s="979">
        <v>2200</v>
      </c>
      <c r="AB33" s="979">
        <v>2000</v>
      </c>
      <c r="AC33" s="979"/>
      <c r="AD33" s="979">
        <v>1800</v>
      </c>
      <c r="AE33" s="1109">
        <f t="shared" ref="AE33" si="54">IF(SUM(P33:AD33)=0,"",SUM(P33:AD33))</f>
        <v>151600</v>
      </c>
      <c r="AF33" s="1113"/>
      <c r="AG33" s="981">
        <v>9900</v>
      </c>
      <c r="AH33" s="981">
        <v>2000</v>
      </c>
      <c r="AI33" s="1114">
        <f t="shared" ref="AI33" si="55">IF(SUM(AF33:AH33)=0,"",SUM(AF33:AH33))</f>
        <v>11900</v>
      </c>
      <c r="AJ33" s="1110">
        <f t="shared" si="49"/>
        <v>163500</v>
      </c>
      <c r="AK33" s="982">
        <f>'09월 에너지'!S33</f>
        <v>143.80000000000001</v>
      </c>
      <c r="AL33" s="983">
        <f t="shared" si="50"/>
        <v>0.87951070336391435</v>
      </c>
    </row>
    <row r="34" spans="1:38" ht="16.5" customHeight="1">
      <c r="A34" s="999">
        <f>'09월 에너지'!A34</f>
        <v>46266</v>
      </c>
      <c r="B34" s="1002">
        <f>'09월 조업일지'!B32</f>
        <v>46266</v>
      </c>
      <c r="C34" s="1003" t="str">
        <f>'09월 에너지'!C34</f>
        <v>C</v>
      </c>
      <c r="D34" s="1004" t="str">
        <f>'09월 에너지'!D34</f>
        <v>B</v>
      </c>
      <c r="E34" s="1000">
        <f>'09월 에너지'!E34</f>
        <v>85234</v>
      </c>
      <c r="F34" s="1094" t="str">
        <f>'09월 에너지'!F34</f>
        <v>SS400-05</v>
      </c>
      <c r="G34" s="980"/>
      <c r="H34" s="978"/>
      <c r="I34" s="978"/>
      <c r="J34" s="978"/>
      <c r="K34" s="978"/>
      <c r="L34" s="978"/>
      <c r="M34" s="978"/>
      <c r="N34" s="978"/>
      <c r="O34" s="1106" t="str">
        <f t="shared" si="47"/>
        <v/>
      </c>
      <c r="P34" s="1108">
        <f>10100+6700+9600+6800+7200+6500</f>
        <v>46900</v>
      </c>
      <c r="Q34" s="979">
        <f>6500+6300</f>
        <v>12800</v>
      </c>
      <c r="R34" s="979">
        <v>7400</v>
      </c>
      <c r="S34" s="979"/>
      <c r="T34" s="979"/>
      <c r="U34" s="979">
        <v>6700</v>
      </c>
      <c r="V34" s="979">
        <f>4200+6000+7800+9500</f>
        <v>27500</v>
      </c>
      <c r="W34" s="979">
        <v>2400</v>
      </c>
      <c r="X34" s="979">
        <v>9000</v>
      </c>
      <c r="Y34" s="979">
        <f>800+17000+200</f>
        <v>18000</v>
      </c>
      <c r="Z34" s="979"/>
      <c r="AA34" s="979">
        <v>1600</v>
      </c>
      <c r="AB34" s="979">
        <v>2600</v>
      </c>
      <c r="AC34" s="979">
        <v>3100</v>
      </c>
      <c r="AD34" s="979">
        <v>3300</v>
      </c>
      <c r="AE34" s="1109">
        <f t="shared" si="51"/>
        <v>141300</v>
      </c>
      <c r="AF34" s="1113">
        <v>3400</v>
      </c>
      <c r="AG34" s="981">
        <v>8500</v>
      </c>
      <c r="AH34" s="981">
        <v>4800</v>
      </c>
      <c r="AI34" s="1114">
        <f t="shared" si="48"/>
        <v>16700</v>
      </c>
      <c r="AJ34" s="1110">
        <f t="shared" si="49"/>
        <v>158000</v>
      </c>
      <c r="AK34" s="982">
        <f>'09월 에너지'!S34</f>
        <v>144.30000000000001</v>
      </c>
      <c r="AL34" s="983">
        <f t="shared" si="50"/>
        <v>0.91329113924050631</v>
      </c>
    </row>
    <row r="35" spans="1:38" ht="16.5" customHeight="1">
      <c r="A35" s="999">
        <f>'09월 에너지'!A35</f>
        <v>46266</v>
      </c>
      <c r="B35" s="1002">
        <f>'09월 조업일지'!B33</f>
        <v>46266</v>
      </c>
      <c r="C35" s="1003" t="str">
        <f>'09월 에너지'!C35</f>
        <v>C</v>
      </c>
      <c r="D35" s="1004" t="str">
        <f>'09월 에너지'!D35</f>
        <v>A</v>
      </c>
      <c r="E35" s="1000">
        <f>'09월 에너지'!E35</f>
        <v>85235</v>
      </c>
      <c r="F35" s="1094" t="str">
        <f>'09월 에너지'!F35</f>
        <v>SS400-05</v>
      </c>
      <c r="G35" s="980"/>
      <c r="H35" s="978"/>
      <c r="I35" s="978"/>
      <c r="J35" s="978"/>
      <c r="K35" s="978"/>
      <c r="L35" s="978"/>
      <c r="M35" s="978"/>
      <c r="N35" s="978"/>
      <c r="O35" s="1106" t="str">
        <f t="shared" si="47"/>
        <v/>
      </c>
      <c r="P35" s="1108">
        <f>3200+4800+4100+8300+12300+1800</f>
        <v>34500</v>
      </c>
      <c r="Q35" s="979">
        <f>4800+4300</f>
        <v>9100</v>
      </c>
      <c r="R35" s="979">
        <v>8000</v>
      </c>
      <c r="S35" s="979"/>
      <c r="T35" s="979"/>
      <c r="U35" s="979">
        <v>9600</v>
      </c>
      <c r="V35" s="979">
        <f>3400+3400+4200+10600</f>
        <v>21600</v>
      </c>
      <c r="W35" s="979">
        <v>1600</v>
      </c>
      <c r="X35" s="979">
        <v>8500</v>
      </c>
      <c r="Y35" s="979">
        <f>2900+12200+4000</f>
        <v>19100</v>
      </c>
      <c r="Z35" s="979"/>
      <c r="AA35" s="979">
        <v>13400</v>
      </c>
      <c r="AB35" s="979">
        <v>2600</v>
      </c>
      <c r="AC35" s="979">
        <v>1800</v>
      </c>
      <c r="AD35" s="979">
        <v>7900</v>
      </c>
      <c r="AE35" s="1109">
        <f t="shared" si="51"/>
        <v>137700</v>
      </c>
      <c r="AF35" s="1113">
        <v>3100</v>
      </c>
      <c r="AG35" s="981">
        <v>8200</v>
      </c>
      <c r="AH35" s="981">
        <v>9400</v>
      </c>
      <c r="AI35" s="1114">
        <f t="shared" si="48"/>
        <v>20700</v>
      </c>
      <c r="AJ35" s="1110">
        <f t="shared" si="49"/>
        <v>158400</v>
      </c>
      <c r="AK35" s="982">
        <f>'09월 에너지'!S35</f>
        <v>132.69999999999999</v>
      </c>
      <c r="AL35" s="983">
        <f t="shared" si="50"/>
        <v>0.8377525252525253</v>
      </c>
    </row>
    <row r="36" spans="1:38" ht="16.5" customHeight="1">
      <c r="A36" s="999">
        <f>'09월 에너지'!A36</f>
        <v>46266</v>
      </c>
      <c r="B36" s="1002">
        <f>'09월 조업일지'!B34</f>
        <v>46266</v>
      </c>
      <c r="C36" s="1003" t="str">
        <f>'09월 에너지'!C36</f>
        <v>C</v>
      </c>
      <c r="D36" s="1004" t="str">
        <f>'09월 에너지'!D36</f>
        <v>B</v>
      </c>
      <c r="E36" s="1000">
        <f>'09월 에너지'!E36</f>
        <v>85236</v>
      </c>
      <c r="F36" s="1094" t="str">
        <f>'09월 에너지'!F36</f>
        <v>SS400-05</v>
      </c>
      <c r="G36" s="980"/>
      <c r="H36" s="978"/>
      <c r="I36" s="978"/>
      <c r="J36" s="978"/>
      <c r="K36" s="978"/>
      <c r="L36" s="978"/>
      <c r="M36" s="978"/>
      <c r="N36" s="978"/>
      <c r="O36" s="1106" t="str">
        <f t="shared" si="47"/>
        <v/>
      </c>
      <c r="P36" s="1108">
        <f>10000+9300+10500+6500+8100+6500</f>
        <v>50900</v>
      </c>
      <c r="Q36" s="979">
        <f>8700+5500</f>
        <v>14200</v>
      </c>
      <c r="R36" s="979">
        <v>5800</v>
      </c>
      <c r="S36" s="979"/>
      <c r="T36" s="979"/>
      <c r="U36" s="979">
        <v>6100</v>
      </c>
      <c r="V36" s="979">
        <f>1700+5600+4900+9900</f>
        <v>22100</v>
      </c>
      <c r="W36" s="979">
        <v>4100</v>
      </c>
      <c r="X36" s="979">
        <v>8300</v>
      </c>
      <c r="Y36" s="979">
        <f>1600+13800+3600</f>
        <v>19000</v>
      </c>
      <c r="Z36" s="979"/>
      <c r="AA36" s="979">
        <v>2400</v>
      </c>
      <c r="AB36" s="979">
        <v>2300</v>
      </c>
      <c r="AC36" s="979">
        <v>2100</v>
      </c>
      <c r="AD36" s="979">
        <v>1700</v>
      </c>
      <c r="AE36" s="1109">
        <f t="shared" si="51"/>
        <v>139000</v>
      </c>
      <c r="AF36" s="1113">
        <v>3800</v>
      </c>
      <c r="AG36" s="981">
        <v>12600</v>
      </c>
      <c r="AH36" s="981">
        <v>7700</v>
      </c>
      <c r="AI36" s="1114">
        <f t="shared" si="48"/>
        <v>24100</v>
      </c>
      <c r="AJ36" s="1110">
        <f t="shared" si="49"/>
        <v>163100</v>
      </c>
      <c r="AK36" s="982">
        <f>'09월 에너지'!S36</f>
        <v>144.4</v>
      </c>
      <c r="AL36" s="983">
        <f t="shared" si="50"/>
        <v>0.8853464132434089</v>
      </c>
    </row>
    <row r="37" spans="1:38" ht="16.5" customHeight="1">
      <c r="A37" s="999">
        <f>'09월 에너지'!A37</f>
        <v>46266</v>
      </c>
      <c r="B37" s="1002">
        <f>'09월 조업일지'!B35</f>
        <v>46266</v>
      </c>
      <c r="C37" s="1003" t="str">
        <f>'09월 에너지'!C37</f>
        <v>C</v>
      </c>
      <c r="D37" s="1004" t="str">
        <f>'09월 에너지'!D37</f>
        <v>A</v>
      </c>
      <c r="E37" s="1000">
        <f>'09월 에너지'!E37</f>
        <v>85237</v>
      </c>
      <c r="F37" s="1094" t="str">
        <f>'09월 에너지'!F37</f>
        <v>SS400-05</v>
      </c>
      <c r="G37" s="980"/>
      <c r="H37" s="978"/>
      <c r="I37" s="978"/>
      <c r="J37" s="978"/>
      <c r="K37" s="978"/>
      <c r="L37" s="978"/>
      <c r="M37" s="978"/>
      <c r="N37" s="978"/>
      <c r="O37" s="1106" t="str">
        <f t="shared" si="47"/>
        <v/>
      </c>
      <c r="P37" s="1108">
        <f>8700+10300+3100+7500+5500+2100</f>
        <v>37200</v>
      </c>
      <c r="Q37" s="979">
        <f>6100+4600</f>
        <v>10700</v>
      </c>
      <c r="R37" s="979">
        <v>12100</v>
      </c>
      <c r="S37" s="979"/>
      <c r="T37" s="979"/>
      <c r="U37" s="979">
        <v>6100</v>
      </c>
      <c r="V37" s="979">
        <f>7500+2700+5000+10100</f>
        <v>25300</v>
      </c>
      <c r="W37" s="979">
        <v>3200</v>
      </c>
      <c r="X37" s="979">
        <v>7400</v>
      </c>
      <c r="Y37" s="979">
        <f>2100+9600+4300</f>
        <v>16000</v>
      </c>
      <c r="Z37" s="979"/>
      <c r="AA37" s="979">
        <v>2400</v>
      </c>
      <c r="AB37" s="979">
        <v>1700</v>
      </c>
      <c r="AC37" s="979">
        <v>3300</v>
      </c>
      <c r="AD37" s="979">
        <v>14500</v>
      </c>
      <c r="AE37" s="1109">
        <f t="shared" si="51"/>
        <v>139900</v>
      </c>
      <c r="AF37" s="1113">
        <v>2600</v>
      </c>
      <c r="AG37" s="981">
        <v>7600</v>
      </c>
      <c r="AH37" s="981">
        <v>4100</v>
      </c>
      <c r="AI37" s="1114">
        <f t="shared" si="48"/>
        <v>14300</v>
      </c>
      <c r="AJ37" s="1110">
        <f t="shared" si="49"/>
        <v>154200</v>
      </c>
      <c r="AK37" s="982">
        <f>'09월 에너지'!S37</f>
        <v>143.5</v>
      </c>
      <c r="AL37" s="983">
        <f t="shared" si="50"/>
        <v>0.93060959792477305</v>
      </c>
    </row>
    <row r="38" spans="1:38" ht="16.5" customHeight="1">
      <c r="A38" s="999">
        <f>'09월 에너지'!A38</f>
        <v>46266</v>
      </c>
      <c r="B38" s="1002">
        <f>'09월 조업일지'!B36</f>
        <v>46266</v>
      </c>
      <c r="C38" s="1003" t="str">
        <f>'09월 에너지'!C38</f>
        <v>D</v>
      </c>
      <c r="D38" s="1004" t="str">
        <f>'09월 에너지'!D38</f>
        <v>B</v>
      </c>
      <c r="E38" s="1000">
        <f>'09월 에너지'!E38</f>
        <v>85238</v>
      </c>
      <c r="F38" s="1094" t="str">
        <f>'09월 에너지'!F38</f>
        <v>SS400-05</v>
      </c>
      <c r="G38" s="980"/>
      <c r="H38" s="978"/>
      <c r="I38" s="978"/>
      <c r="J38" s="978"/>
      <c r="K38" s="978"/>
      <c r="L38" s="978"/>
      <c r="M38" s="978"/>
      <c r="N38" s="978"/>
      <c r="O38" s="1106" t="str">
        <f t="shared" si="47"/>
        <v/>
      </c>
      <c r="P38" s="1108">
        <f>9200+10900+13200+6600+2300+2200</f>
        <v>44400</v>
      </c>
      <c r="Q38" s="979">
        <f>5300+6700</f>
        <v>12000</v>
      </c>
      <c r="R38" s="979">
        <v>7000</v>
      </c>
      <c r="S38" s="979"/>
      <c r="T38" s="979"/>
      <c r="U38" s="979">
        <v>5100</v>
      </c>
      <c r="V38" s="979">
        <f>4500+4100+10200+10600</f>
        <v>29400</v>
      </c>
      <c r="W38" s="979">
        <v>3500</v>
      </c>
      <c r="X38" s="979">
        <v>8600</v>
      </c>
      <c r="Y38" s="979">
        <f>3400+15500+4200</f>
        <v>23100</v>
      </c>
      <c r="Z38" s="979"/>
      <c r="AA38" s="979">
        <v>2000</v>
      </c>
      <c r="AB38" s="979">
        <v>2600</v>
      </c>
      <c r="AC38" s="979">
        <v>1400</v>
      </c>
      <c r="AD38" s="979">
        <v>300</v>
      </c>
      <c r="AE38" s="1109">
        <f t="shared" si="51"/>
        <v>139400</v>
      </c>
      <c r="AF38" s="1113">
        <v>3800</v>
      </c>
      <c r="AG38" s="981">
        <v>11500</v>
      </c>
      <c r="AH38" s="981">
        <v>4200</v>
      </c>
      <c r="AI38" s="1114">
        <f t="shared" si="48"/>
        <v>19500</v>
      </c>
      <c r="AJ38" s="1110">
        <f t="shared" si="49"/>
        <v>158900</v>
      </c>
      <c r="AK38" s="982">
        <f>'09월 에너지'!S38</f>
        <v>144.30000000000001</v>
      </c>
      <c r="AL38" s="983">
        <f t="shared" si="50"/>
        <v>0.90811831340465698</v>
      </c>
    </row>
    <row r="39" spans="1:38" ht="16.5" customHeight="1">
      <c r="A39" s="999">
        <f>'09월 에너지'!A39</f>
        <v>46266</v>
      </c>
      <c r="B39" s="1002">
        <f>'09월 조업일지'!B37</f>
        <v>46266</v>
      </c>
      <c r="C39" s="1003" t="str">
        <f>'09월 에너지'!C39</f>
        <v>D</v>
      </c>
      <c r="D39" s="1004" t="str">
        <f>'09월 에너지'!D39</f>
        <v>A</v>
      </c>
      <c r="E39" s="1000">
        <f>'09월 에너지'!E39</f>
        <v>85239</v>
      </c>
      <c r="F39" s="1094" t="str">
        <f>'09월 에너지'!F39</f>
        <v>SS400-05</v>
      </c>
      <c r="G39" s="980"/>
      <c r="H39" s="978"/>
      <c r="I39" s="978"/>
      <c r="J39" s="978"/>
      <c r="K39" s="978"/>
      <c r="L39" s="978"/>
      <c r="M39" s="978"/>
      <c r="N39" s="978"/>
      <c r="O39" s="1106" t="str">
        <f t="shared" si="47"/>
        <v/>
      </c>
      <c r="P39" s="1108">
        <f>7800+1900+8600+7300+3900+8700</f>
        <v>38200</v>
      </c>
      <c r="Q39" s="979">
        <f>11700+6600</f>
        <v>18300</v>
      </c>
      <c r="R39" s="979">
        <v>16600</v>
      </c>
      <c r="S39" s="979"/>
      <c r="T39" s="979"/>
      <c r="U39" s="979">
        <v>9800</v>
      </c>
      <c r="V39" s="979">
        <f>4600+2300+1800+9900</f>
        <v>18600</v>
      </c>
      <c r="W39" s="979">
        <v>3300</v>
      </c>
      <c r="X39" s="979">
        <v>8100</v>
      </c>
      <c r="Y39" s="979">
        <f>4900+9500+6300</f>
        <v>20700</v>
      </c>
      <c r="Z39" s="979"/>
      <c r="AA39" s="979">
        <v>200</v>
      </c>
      <c r="AB39" s="979">
        <v>5300</v>
      </c>
      <c r="AC39" s="979">
        <v>3100</v>
      </c>
      <c r="AD39" s="979">
        <v>8300</v>
      </c>
      <c r="AE39" s="1109">
        <f t="shared" si="51"/>
        <v>150500</v>
      </c>
      <c r="AF39" s="1113">
        <v>3000</v>
      </c>
      <c r="AG39" s="981">
        <v>3600</v>
      </c>
      <c r="AH39" s="981">
        <v>2700</v>
      </c>
      <c r="AI39" s="1114">
        <f t="shared" si="48"/>
        <v>9300</v>
      </c>
      <c r="AJ39" s="1110">
        <f t="shared" si="49"/>
        <v>159800</v>
      </c>
      <c r="AK39" s="982">
        <f>'09월 에너지'!S39</f>
        <v>143.5</v>
      </c>
      <c r="AL39" s="983">
        <f t="shared" si="50"/>
        <v>0.89799749687108887</v>
      </c>
    </row>
    <row r="40" spans="1:38" ht="16.5" customHeight="1">
      <c r="A40" s="999">
        <f>'09월 에너지'!A40</f>
        <v>46266</v>
      </c>
      <c r="B40" s="1002">
        <f>'09월 조업일지'!B38</f>
        <v>46266</v>
      </c>
      <c r="C40" s="1003" t="str">
        <f>'09월 에너지'!C40</f>
        <v>D</v>
      </c>
      <c r="D40" s="1004" t="str">
        <f>'09월 에너지'!D40</f>
        <v>B</v>
      </c>
      <c r="E40" s="1000">
        <f>'09월 에너지'!E40</f>
        <v>85240</v>
      </c>
      <c r="F40" s="1094" t="str">
        <f>'09월 에너지'!F40</f>
        <v>SS400-05</v>
      </c>
      <c r="G40" s="980"/>
      <c r="H40" s="978"/>
      <c r="I40" s="978"/>
      <c r="J40" s="978"/>
      <c r="K40" s="978"/>
      <c r="L40" s="978"/>
      <c r="M40" s="978"/>
      <c r="N40" s="978"/>
      <c r="O40" s="1106" t="str">
        <f t="shared" si="47"/>
        <v/>
      </c>
      <c r="P40" s="1108">
        <f>12100+11000+11500+7400+7100+5300</f>
        <v>54400</v>
      </c>
      <c r="Q40" s="979">
        <f>10500+6000</f>
        <v>16500</v>
      </c>
      <c r="R40" s="979">
        <v>7200</v>
      </c>
      <c r="S40" s="979"/>
      <c r="T40" s="979"/>
      <c r="U40" s="979">
        <v>6900</v>
      </c>
      <c r="V40" s="979">
        <f>5000+3200+4500+9900</f>
        <v>22600</v>
      </c>
      <c r="W40" s="979">
        <v>3900</v>
      </c>
      <c r="X40" s="979">
        <v>7500</v>
      </c>
      <c r="Y40" s="979">
        <f>1600+10100+3700</f>
        <v>15400</v>
      </c>
      <c r="Z40" s="979"/>
      <c r="AA40" s="979">
        <v>1600</v>
      </c>
      <c r="AB40" s="979">
        <v>900</v>
      </c>
      <c r="AC40" s="979">
        <v>2200</v>
      </c>
      <c r="AD40" s="979">
        <v>2700</v>
      </c>
      <c r="AE40" s="1109">
        <f t="shared" si="51"/>
        <v>141800</v>
      </c>
      <c r="AF40" s="1113">
        <v>3100</v>
      </c>
      <c r="AG40" s="981">
        <v>8000</v>
      </c>
      <c r="AH40" s="981">
        <v>5200</v>
      </c>
      <c r="AI40" s="1114">
        <f t="shared" si="48"/>
        <v>16300</v>
      </c>
      <c r="AJ40" s="1110">
        <f t="shared" si="49"/>
        <v>158100</v>
      </c>
      <c r="AK40" s="982">
        <f>'09월 에너지'!S40</f>
        <v>143.69999999999999</v>
      </c>
      <c r="AL40" s="983">
        <f t="shared" si="50"/>
        <v>0.90891840607210628</v>
      </c>
    </row>
    <row r="41" spans="1:38" ht="16.5" customHeight="1">
      <c r="A41" s="999">
        <f>'09월 에너지'!A41</f>
        <v>46266</v>
      </c>
      <c r="B41" s="1002">
        <f>'09월 조업일지'!B39</f>
        <v>46266</v>
      </c>
      <c r="C41" s="1003" t="str">
        <f>'09월 에너지'!C41</f>
        <v>D</v>
      </c>
      <c r="D41" s="1004" t="str">
        <f>'09월 에너지'!D41</f>
        <v>A</v>
      </c>
      <c r="E41" s="1000">
        <f>'09월 에너지'!E41</f>
        <v>85241</v>
      </c>
      <c r="F41" s="1094" t="str">
        <f>'09월 에너지'!F41</f>
        <v>SS400-05</v>
      </c>
      <c r="G41" s="980"/>
      <c r="H41" s="978"/>
      <c r="I41" s="978"/>
      <c r="J41" s="978"/>
      <c r="K41" s="978"/>
      <c r="L41" s="978"/>
      <c r="M41" s="978"/>
      <c r="N41" s="978"/>
      <c r="O41" s="1106" t="str">
        <f t="shared" si="47"/>
        <v/>
      </c>
      <c r="P41" s="1108">
        <f>5100+3500+5800+7500+8500+5500</f>
        <v>35900</v>
      </c>
      <c r="Q41" s="979">
        <f>16800+5300</f>
        <v>22100</v>
      </c>
      <c r="R41" s="979">
        <v>6900</v>
      </c>
      <c r="S41" s="979"/>
      <c r="T41" s="979"/>
      <c r="U41" s="979">
        <v>8500</v>
      </c>
      <c r="V41" s="979">
        <f>4400+1600+7100+12700</f>
        <v>25800</v>
      </c>
      <c r="W41" s="979">
        <v>200</v>
      </c>
      <c r="X41" s="979">
        <v>10300</v>
      </c>
      <c r="Y41" s="979">
        <f>4400+19100+7100</f>
        <v>30600</v>
      </c>
      <c r="Z41" s="979"/>
      <c r="AA41" s="979">
        <v>1600</v>
      </c>
      <c r="AB41" s="979">
        <v>2600</v>
      </c>
      <c r="AC41" s="979">
        <v>2100</v>
      </c>
      <c r="AD41" s="979">
        <v>3200</v>
      </c>
      <c r="AE41" s="1109">
        <f t="shared" si="51"/>
        <v>149800</v>
      </c>
      <c r="AF41" s="1113">
        <v>600</v>
      </c>
      <c r="AG41" s="981">
        <v>5300</v>
      </c>
      <c r="AH41" s="981">
        <v>9500</v>
      </c>
      <c r="AI41" s="1114">
        <f t="shared" si="48"/>
        <v>15400</v>
      </c>
      <c r="AJ41" s="1110">
        <f t="shared" si="49"/>
        <v>165200</v>
      </c>
      <c r="AK41" s="982">
        <f>'09월 에너지'!S41</f>
        <v>143.9</v>
      </c>
      <c r="AL41" s="983">
        <f t="shared" si="50"/>
        <v>0.87106537530266348</v>
      </c>
    </row>
    <row r="42" spans="1:38" ht="16.5" customHeight="1">
      <c r="A42" s="999">
        <f>'09월 에너지'!A42</f>
        <v>46266</v>
      </c>
      <c r="B42" s="1002">
        <f>'09월 조업일지'!B40</f>
        <v>46266</v>
      </c>
      <c r="C42" s="1003" t="str">
        <f>'09월 에너지'!C42</f>
        <v>D</v>
      </c>
      <c r="D42" s="1004" t="str">
        <f>'09월 에너지'!D42</f>
        <v>B</v>
      </c>
      <c r="E42" s="1000">
        <f>'09월 에너지'!E42</f>
        <v>85242</v>
      </c>
      <c r="F42" s="1094" t="str">
        <f>'09월 에너지'!F42</f>
        <v>SS400-05</v>
      </c>
      <c r="G42" s="980"/>
      <c r="H42" s="978"/>
      <c r="I42" s="978"/>
      <c r="J42" s="978"/>
      <c r="K42" s="978"/>
      <c r="L42" s="978"/>
      <c r="M42" s="978"/>
      <c r="N42" s="978"/>
      <c r="O42" s="1106" t="str">
        <f t="shared" si="47"/>
        <v/>
      </c>
      <c r="P42" s="1108">
        <f>10500+10900+11100+7300+8500+6900</f>
        <v>55200</v>
      </c>
      <c r="Q42" s="979">
        <f>8500+5100</f>
        <v>13600</v>
      </c>
      <c r="R42" s="979">
        <v>5800</v>
      </c>
      <c r="S42" s="979"/>
      <c r="T42" s="979"/>
      <c r="U42" s="979">
        <v>4700</v>
      </c>
      <c r="V42" s="979">
        <f>6000+4100+4300+10400</f>
        <v>24800</v>
      </c>
      <c r="W42" s="979">
        <v>3400</v>
      </c>
      <c r="X42" s="979">
        <v>7900</v>
      </c>
      <c r="Y42" s="979">
        <f>1600+14300+3200</f>
        <v>19100</v>
      </c>
      <c r="Z42" s="979"/>
      <c r="AA42" s="979">
        <v>2500</v>
      </c>
      <c r="AB42" s="979">
        <v>1500</v>
      </c>
      <c r="AC42" s="979">
        <v>1600</v>
      </c>
      <c r="AD42" s="979">
        <v>2100</v>
      </c>
      <c r="AE42" s="1109">
        <f t="shared" si="51"/>
        <v>142200</v>
      </c>
      <c r="AF42" s="1113">
        <v>3000</v>
      </c>
      <c r="AG42" s="981">
        <v>7600</v>
      </c>
      <c r="AH42" s="981">
        <v>5400</v>
      </c>
      <c r="AI42" s="1114">
        <f t="shared" si="48"/>
        <v>16000</v>
      </c>
      <c r="AJ42" s="1110">
        <f t="shared" si="49"/>
        <v>158200</v>
      </c>
      <c r="AK42" s="982">
        <f>'09월 에너지'!S42</f>
        <v>144.1</v>
      </c>
      <c r="AL42" s="983">
        <f t="shared" si="50"/>
        <v>0.91087231352718079</v>
      </c>
    </row>
    <row r="43" spans="1:38" ht="16.5" customHeight="1">
      <c r="A43" s="999">
        <f>'09월 에너지'!A43</f>
        <v>46266</v>
      </c>
      <c r="B43" s="1002">
        <f>'09월 조업일지'!B41</f>
        <v>46266</v>
      </c>
      <c r="C43" s="1003" t="str">
        <f>'09월 에너지'!C43</f>
        <v>D</v>
      </c>
      <c r="D43" s="1004" t="str">
        <f>'09월 에너지'!D43</f>
        <v>A</v>
      </c>
      <c r="E43" s="1000">
        <f>'09월 에너지'!E43</f>
        <v>85243</v>
      </c>
      <c r="F43" s="1094" t="str">
        <f>'09월 에너지'!F43</f>
        <v>SS400-05</v>
      </c>
      <c r="G43" s="980"/>
      <c r="H43" s="978"/>
      <c r="I43" s="978"/>
      <c r="J43" s="978"/>
      <c r="K43" s="978"/>
      <c r="L43" s="978"/>
      <c r="M43" s="978"/>
      <c r="N43" s="978"/>
      <c r="O43" s="1106" t="str">
        <f t="shared" si="47"/>
        <v/>
      </c>
      <c r="P43" s="1108">
        <f>8600+6700+9200+9500+3800+5300</f>
        <v>43100</v>
      </c>
      <c r="Q43" s="979">
        <f>13700+8300</f>
        <v>22000</v>
      </c>
      <c r="R43" s="979">
        <v>9000</v>
      </c>
      <c r="S43" s="979"/>
      <c r="T43" s="979"/>
      <c r="U43" s="979">
        <v>5500</v>
      </c>
      <c r="V43" s="979">
        <f>5300+3000+6400+9500</f>
        <v>24200</v>
      </c>
      <c r="W43" s="979">
        <v>3100</v>
      </c>
      <c r="X43" s="979">
        <v>6200</v>
      </c>
      <c r="Y43" s="979">
        <f>5600+7200+2000</f>
        <v>14800</v>
      </c>
      <c r="Z43" s="979"/>
      <c r="AA43" s="979">
        <v>800</v>
      </c>
      <c r="AB43" s="979">
        <v>1600</v>
      </c>
      <c r="AC43" s="979">
        <v>2900</v>
      </c>
      <c r="AD43" s="979">
        <v>8100</v>
      </c>
      <c r="AE43" s="1109">
        <f t="shared" si="51"/>
        <v>141300</v>
      </c>
      <c r="AF43" s="1113">
        <v>3500</v>
      </c>
      <c r="AG43" s="981">
        <v>7200</v>
      </c>
      <c r="AH43" s="981">
        <v>6000</v>
      </c>
      <c r="AI43" s="1114">
        <f t="shared" si="48"/>
        <v>16700</v>
      </c>
      <c r="AJ43" s="1110">
        <f t="shared" si="49"/>
        <v>158000</v>
      </c>
      <c r="AK43" s="982">
        <f>'09월 에너지'!S43</f>
        <v>143.9</v>
      </c>
      <c r="AL43" s="983">
        <f t="shared" si="50"/>
        <v>0.91075949367088604</v>
      </c>
    </row>
    <row r="44" spans="1:38" ht="16.5" customHeight="1">
      <c r="A44" s="999">
        <f>'09월 에너지'!A44</f>
        <v>46267</v>
      </c>
      <c r="B44" s="1002">
        <f>'09월 조업일지'!B42</f>
        <v>46266</v>
      </c>
      <c r="C44" s="1003" t="str">
        <f>'09월 에너지'!C44</f>
        <v>D</v>
      </c>
      <c r="D44" s="1004" t="str">
        <f>'09월 에너지'!D44</f>
        <v>B</v>
      </c>
      <c r="E44" s="1000">
        <f>'09월 에너지'!E44</f>
        <v>85244</v>
      </c>
      <c r="F44" s="1094" t="str">
        <f>'09월 에너지'!F44</f>
        <v>SS400-05</v>
      </c>
      <c r="G44" s="980"/>
      <c r="H44" s="978"/>
      <c r="I44" s="978"/>
      <c r="J44" s="978"/>
      <c r="K44" s="978"/>
      <c r="L44" s="978"/>
      <c r="M44" s="978"/>
      <c r="N44" s="978"/>
      <c r="O44" s="1106" t="str">
        <f t="shared" si="47"/>
        <v/>
      </c>
      <c r="P44" s="1108">
        <f>10900+11100+9400+7300+7700+6400</f>
        <v>52800</v>
      </c>
      <c r="Q44" s="979">
        <f>9600+5400</f>
        <v>15000</v>
      </c>
      <c r="R44" s="979">
        <v>7000</v>
      </c>
      <c r="S44" s="979"/>
      <c r="T44" s="979"/>
      <c r="U44" s="979">
        <v>6200</v>
      </c>
      <c r="V44" s="979">
        <f>5100+4300+4500+10000</f>
        <v>23900</v>
      </c>
      <c r="W44" s="979">
        <v>3000</v>
      </c>
      <c r="X44" s="979">
        <v>7900</v>
      </c>
      <c r="Y44" s="979">
        <f>2900+10000+4600</f>
        <v>17500</v>
      </c>
      <c r="Z44" s="979"/>
      <c r="AA44" s="979">
        <v>2000</v>
      </c>
      <c r="AB44" s="979">
        <v>1600</v>
      </c>
      <c r="AC44" s="979">
        <v>1900</v>
      </c>
      <c r="AD44" s="979">
        <v>1900</v>
      </c>
      <c r="AE44" s="1109">
        <f t="shared" si="51"/>
        <v>140700</v>
      </c>
      <c r="AF44" s="1113">
        <v>3100</v>
      </c>
      <c r="AG44" s="981">
        <v>8400</v>
      </c>
      <c r="AH44" s="981">
        <v>7100</v>
      </c>
      <c r="AI44" s="1114">
        <f t="shared" si="48"/>
        <v>18600</v>
      </c>
      <c r="AJ44" s="1110">
        <f t="shared" si="49"/>
        <v>159300</v>
      </c>
      <c r="AK44" s="982">
        <f>'09월 에너지'!S44</f>
        <v>141.1</v>
      </c>
      <c r="AL44" s="983">
        <f t="shared" si="50"/>
        <v>0.88575015693659764</v>
      </c>
    </row>
    <row r="45" spans="1:38" ht="16.5" customHeight="1">
      <c r="A45" s="999">
        <f>'09월 에너지'!A45</f>
        <v>46267</v>
      </c>
      <c r="B45" s="1002">
        <f>'09월 조업일지'!B43</f>
        <v>46266</v>
      </c>
      <c r="C45" s="1003" t="str">
        <f>'09월 에너지'!C45</f>
        <v>D</v>
      </c>
      <c r="D45" s="1004" t="str">
        <f>'09월 에너지'!D45</f>
        <v>A</v>
      </c>
      <c r="E45" s="1000">
        <f>'09월 에너지'!E45</f>
        <v>85245</v>
      </c>
      <c r="F45" s="1094" t="str">
        <f>'09월 에너지'!F45</f>
        <v>SS400-05</v>
      </c>
      <c r="G45" s="980"/>
      <c r="H45" s="978"/>
      <c r="I45" s="978"/>
      <c r="J45" s="978"/>
      <c r="K45" s="978"/>
      <c r="L45" s="978"/>
      <c r="M45" s="978"/>
      <c r="N45" s="978"/>
      <c r="O45" s="1106" t="str">
        <f t="shared" si="47"/>
        <v/>
      </c>
      <c r="P45" s="1108">
        <f>7000+9900+8200+8900+7700+4600</f>
        <v>46300</v>
      </c>
      <c r="Q45" s="979">
        <f>11100+4500</f>
        <v>15600</v>
      </c>
      <c r="R45" s="979">
        <v>9400</v>
      </c>
      <c r="S45" s="979"/>
      <c r="T45" s="979"/>
      <c r="U45" s="979">
        <v>2700</v>
      </c>
      <c r="V45" s="979">
        <f>6800+2000+5400+10200</f>
        <v>24400</v>
      </c>
      <c r="W45" s="979">
        <v>2600</v>
      </c>
      <c r="X45" s="979">
        <v>6500</v>
      </c>
      <c r="Y45" s="979">
        <f>4300+16800+5100</f>
        <v>26200</v>
      </c>
      <c r="Z45" s="979"/>
      <c r="AA45" s="979">
        <v>1900</v>
      </c>
      <c r="AB45" s="979">
        <v>1300</v>
      </c>
      <c r="AC45" s="979">
        <v>2600</v>
      </c>
      <c r="AD45" s="979">
        <v>900</v>
      </c>
      <c r="AE45" s="1109">
        <f t="shared" si="51"/>
        <v>140400</v>
      </c>
      <c r="AF45" s="1113">
        <v>2800</v>
      </c>
      <c r="AG45" s="981">
        <v>11000</v>
      </c>
      <c r="AH45" s="981">
        <v>4100</v>
      </c>
      <c r="AI45" s="1114">
        <f t="shared" si="48"/>
        <v>17900</v>
      </c>
      <c r="AJ45" s="1110">
        <f t="shared" si="49"/>
        <v>158300</v>
      </c>
      <c r="AK45" s="982">
        <f>'09월 에너지'!S45</f>
        <v>143.5</v>
      </c>
      <c r="AL45" s="983">
        <f t="shared" si="50"/>
        <v>0.90650663297536327</v>
      </c>
    </row>
    <row r="46" spans="1:38" ht="16.5" customHeight="1">
      <c r="A46" s="999">
        <f>'09월 에너지'!A46</f>
        <v>46267</v>
      </c>
      <c r="B46" s="1002">
        <f>'09월 조업일지'!B44</f>
        <v>46266</v>
      </c>
      <c r="C46" s="1003" t="str">
        <f>'09월 에너지'!C46</f>
        <v>D</v>
      </c>
      <c r="D46" s="1004" t="str">
        <f>'09월 에너지'!D46</f>
        <v>B</v>
      </c>
      <c r="E46" s="1000">
        <f>'09월 에너지'!E46</f>
        <v>85246</v>
      </c>
      <c r="F46" s="1094" t="str">
        <f>'09월 에너지'!F46</f>
        <v>SS400-05</v>
      </c>
      <c r="G46" s="980"/>
      <c r="H46" s="978"/>
      <c r="I46" s="978"/>
      <c r="J46" s="978"/>
      <c r="K46" s="978"/>
      <c r="L46" s="978"/>
      <c r="M46" s="978"/>
      <c r="N46" s="978"/>
      <c r="O46" s="1106" t="str">
        <f t="shared" si="47"/>
        <v/>
      </c>
      <c r="P46" s="1108">
        <f>10100+9900+10900+7500+6400+6500</f>
        <v>51300</v>
      </c>
      <c r="Q46" s="979">
        <f>9000+5400</f>
        <v>14400</v>
      </c>
      <c r="R46" s="979">
        <v>7900</v>
      </c>
      <c r="S46" s="979"/>
      <c r="T46" s="979"/>
      <c r="U46" s="979">
        <v>6400</v>
      </c>
      <c r="V46" s="979">
        <f>5700+3900+3900+10300</f>
        <v>23800</v>
      </c>
      <c r="W46" s="979">
        <v>3200</v>
      </c>
      <c r="X46" s="979">
        <v>7400</v>
      </c>
      <c r="Y46" s="979">
        <f>4300+11200+4100</f>
        <v>19600</v>
      </c>
      <c r="Z46" s="979"/>
      <c r="AA46" s="979">
        <v>1800</v>
      </c>
      <c r="AB46" s="979">
        <v>800</v>
      </c>
      <c r="AC46" s="979">
        <v>2200</v>
      </c>
      <c r="AD46" s="979">
        <v>2200</v>
      </c>
      <c r="AE46" s="1109">
        <f t="shared" si="51"/>
        <v>141000</v>
      </c>
      <c r="AF46" s="1113">
        <v>2700</v>
      </c>
      <c r="AG46" s="981">
        <v>10000</v>
      </c>
      <c r="AH46" s="981">
        <v>4500</v>
      </c>
      <c r="AI46" s="1114">
        <f t="shared" si="48"/>
        <v>17200</v>
      </c>
      <c r="AJ46" s="1110">
        <f t="shared" si="49"/>
        <v>158200</v>
      </c>
      <c r="AK46" s="982">
        <f>'09월 에너지'!S46</f>
        <v>144.4</v>
      </c>
      <c r="AL46" s="983">
        <f t="shared" si="50"/>
        <v>0.91276864728192164</v>
      </c>
    </row>
    <row r="47" spans="1:38" ht="16.5" customHeight="1">
      <c r="A47" s="999">
        <f>'09월 에너지'!A47</f>
        <v>46267</v>
      </c>
      <c r="B47" s="1002">
        <f>'09월 조업일지'!B45</f>
        <v>46266</v>
      </c>
      <c r="C47" s="1003" t="str">
        <f>'09월 에너지'!C47</f>
        <v>D</v>
      </c>
      <c r="D47" s="1004" t="str">
        <f>'09월 에너지'!D47</f>
        <v>A</v>
      </c>
      <c r="E47" s="1000">
        <f>'09월 에너지'!E47</f>
        <v>85247</v>
      </c>
      <c r="F47" s="1094" t="str">
        <f>'09월 에너지'!F47</f>
        <v>SS400-05</v>
      </c>
      <c r="G47" s="980"/>
      <c r="H47" s="978"/>
      <c r="I47" s="978"/>
      <c r="J47" s="978"/>
      <c r="K47" s="978"/>
      <c r="L47" s="978"/>
      <c r="M47" s="978"/>
      <c r="N47" s="978"/>
      <c r="O47" s="1106" t="str">
        <f t="shared" si="47"/>
        <v/>
      </c>
      <c r="P47" s="1108">
        <f>17100+6600+9800+9000+4600+1800</f>
        <v>48900</v>
      </c>
      <c r="Q47" s="979">
        <f>6700+9700</f>
        <v>16400</v>
      </c>
      <c r="R47" s="979">
        <v>4800</v>
      </c>
      <c r="S47" s="979"/>
      <c r="T47" s="979"/>
      <c r="U47" s="979">
        <v>3400</v>
      </c>
      <c r="V47" s="979">
        <f>3900+2200+5500+10600</f>
        <v>22200</v>
      </c>
      <c r="W47" s="979">
        <v>3000</v>
      </c>
      <c r="X47" s="979">
        <v>6500</v>
      </c>
      <c r="Y47" s="979">
        <f>2000+16700+7100</f>
        <v>25800</v>
      </c>
      <c r="Z47" s="979"/>
      <c r="AA47" s="979">
        <v>1400</v>
      </c>
      <c r="AB47" s="979">
        <v>1200</v>
      </c>
      <c r="AC47" s="979">
        <v>2500</v>
      </c>
      <c r="AD47" s="979">
        <v>1000</v>
      </c>
      <c r="AE47" s="1109">
        <f t="shared" si="51"/>
        <v>137100</v>
      </c>
      <c r="AF47" s="1113">
        <v>1900</v>
      </c>
      <c r="AG47" s="981">
        <v>7500</v>
      </c>
      <c r="AH47" s="981">
        <v>12800</v>
      </c>
      <c r="AI47" s="1114">
        <f t="shared" si="48"/>
        <v>22200</v>
      </c>
      <c r="AJ47" s="1110">
        <f t="shared" si="49"/>
        <v>159300</v>
      </c>
      <c r="AK47" s="982">
        <f>'09월 에너지'!S47</f>
        <v>143.69999999999999</v>
      </c>
      <c r="AL47" s="983">
        <f t="shared" si="50"/>
        <v>0.90207156308851222</v>
      </c>
    </row>
    <row r="48" spans="1:38" ht="16.5" customHeight="1">
      <c r="A48" s="999">
        <f>'09월 에너지'!A48</f>
        <v>46267</v>
      </c>
      <c r="B48" s="1002">
        <f>'09월 조업일지'!B46</f>
        <v>46267</v>
      </c>
      <c r="C48" s="1003" t="str">
        <f>'09월 에너지'!C48</f>
        <v>A</v>
      </c>
      <c r="D48" s="1004" t="str">
        <f>'09월 에너지'!D48</f>
        <v>B</v>
      </c>
      <c r="E48" s="1000">
        <f>'09월 에너지'!E48</f>
        <v>85248</v>
      </c>
      <c r="F48" s="1094" t="str">
        <f>'09월 에너지'!F48</f>
        <v>SS400-05</v>
      </c>
      <c r="G48" s="980"/>
      <c r="H48" s="978"/>
      <c r="I48" s="978"/>
      <c r="J48" s="978"/>
      <c r="K48" s="978"/>
      <c r="L48" s="978"/>
      <c r="M48" s="978"/>
      <c r="N48" s="978"/>
      <c r="O48" s="1106" t="str">
        <f t="shared" si="47"/>
        <v/>
      </c>
      <c r="P48" s="1108">
        <f>7500+11500+10200+6700+6500</f>
        <v>42400</v>
      </c>
      <c r="Q48" s="979">
        <f>8800+4900</f>
        <v>13700</v>
      </c>
      <c r="R48" s="979">
        <v>7700</v>
      </c>
      <c r="S48" s="979">
        <v>0</v>
      </c>
      <c r="T48" s="979">
        <v>0</v>
      </c>
      <c r="U48" s="979">
        <v>7100</v>
      </c>
      <c r="V48" s="979">
        <f>6100+4400+3500+9600</f>
        <v>23600</v>
      </c>
      <c r="W48" s="979">
        <v>0</v>
      </c>
      <c r="X48" s="979">
        <v>0</v>
      </c>
      <c r="Y48" s="979">
        <f>3400+29900+3800</f>
        <v>37100</v>
      </c>
      <c r="Z48" s="979">
        <v>0</v>
      </c>
      <c r="AA48" s="979">
        <v>2700</v>
      </c>
      <c r="AB48" s="979">
        <v>1700</v>
      </c>
      <c r="AC48" s="979">
        <v>2500</v>
      </c>
      <c r="AD48" s="979">
        <v>1600</v>
      </c>
      <c r="AE48" s="1109">
        <f t="shared" si="51"/>
        <v>140100</v>
      </c>
      <c r="AF48" s="1113">
        <v>3100</v>
      </c>
      <c r="AG48" s="981">
        <v>7300</v>
      </c>
      <c r="AH48" s="981">
        <v>7500</v>
      </c>
      <c r="AI48" s="1114">
        <f t="shared" si="48"/>
        <v>17900</v>
      </c>
      <c r="AJ48" s="1110">
        <f t="shared" si="49"/>
        <v>158000</v>
      </c>
      <c r="AK48" s="982">
        <f>'09월 에너지'!S48</f>
        <v>140.5</v>
      </c>
      <c r="AL48" s="983">
        <f t="shared" si="50"/>
        <v>0.88924050632911389</v>
      </c>
    </row>
    <row r="49" spans="1:38" ht="16.5" customHeight="1">
      <c r="A49" s="999">
        <f>'09월 에너지'!A49</f>
        <v>46267</v>
      </c>
      <c r="B49" s="1002">
        <f>'09월 조업일지'!B47</f>
        <v>46267</v>
      </c>
      <c r="C49" s="1003" t="str">
        <f>'09월 에너지'!C49</f>
        <v>A</v>
      </c>
      <c r="D49" s="1004" t="str">
        <f>'09월 에너지'!D49</f>
        <v>A</v>
      </c>
      <c r="E49" s="1000">
        <f>'09월 에너지'!E49</f>
        <v>85249</v>
      </c>
      <c r="F49" s="1094" t="str">
        <f>'09월 에너지'!F49</f>
        <v>SS400-05</v>
      </c>
      <c r="G49" s="980"/>
      <c r="H49" s="978"/>
      <c r="I49" s="978"/>
      <c r="J49" s="978"/>
      <c r="K49" s="978"/>
      <c r="L49" s="978"/>
      <c r="M49" s="978"/>
      <c r="N49" s="978"/>
      <c r="O49" s="1106" t="str">
        <f t="shared" si="47"/>
        <v/>
      </c>
      <c r="P49" s="1108">
        <f>10200+5500+7600+7700+8600+100</f>
        <v>39700</v>
      </c>
      <c r="Q49" s="979">
        <f>13600+12000</f>
        <v>25600</v>
      </c>
      <c r="R49" s="979">
        <v>6400</v>
      </c>
      <c r="S49" s="979">
        <v>0</v>
      </c>
      <c r="T49" s="979">
        <v>0</v>
      </c>
      <c r="U49" s="979">
        <v>4000</v>
      </c>
      <c r="V49" s="979">
        <f>5300+4300+4200+9000</f>
        <v>22800</v>
      </c>
      <c r="W49" s="979">
        <v>2900</v>
      </c>
      <c r="X49" s="979">
        <v>7500</v>
      </c>
      <c r="Y49" s="979">
        <f>3600+6900+1200</f>
        <v>11700</v>
      </c>
      <c r="Z49" s="979">
        <v>0</v>
      </c>
      <c r="AA49" s="979">
        <v>2200</v>
      </c>
      <c r="AB49" s="979">
        <v>9100</v>
      </c>
      <c r="AC49" s="979">
        <v>2600</v>
      </c>
      <c r="AD49" s="979">
        <v>1100</v>
      </c>
      <c r="AE49" s="1109">
        <f t="shared" si="51"/>
        <v>135600</v>
      </c>
      <c r="AF49" s="1113">
        <v>3400</v>
      </c>
      <c r="AG49" s="981">
        <v>14200</v>
      </c>
      <c r="AH49" s="981">
        <v>5300</v>
      </c>
      <c r="AI49" s="1114">
        <f t="shared" si="48"/>
        <v>22900</v>
      </c>
      <c r="AJ49" s="1110">
        <f t="shared" si="49"/>
        <v>158500</v>
      </c>
      <c r="AK49" s="982">
        <f>'09월 에너지'!S49</f>
        <v>140.69999999999999</v>
      </c>
      <c r="AL49" s="983">
        <f t="shared" si="50"/>
        <v>0.88769716088328077</v>
      </c>
    </row>
    <row r="50" spans="1:38" ht="16.5" customHeight="1">
      <c r="A50" s="999">
        <f>'09월 에너지'!A50</f>
        <v>46267</v>
      </c>
      <c r="B50" s="1002">
        <f>'09월 조업일지'!B48</f>
        <v>46267</v>
      </c>
      <c r="C50" s="1003" t="str">
        <f>'09월 에너지'!C50</f>
        <v>A</v>
      </c>
      <c r="D50" s="1004" t="str">
        <f>'09월 에너지'!D50</f>
        <v>B</v>
      </c>
      <c r="E50" s="1000">
        <f>'09월 에너지'!E50</f>
        <v>85250</v>
      </c>
      <c r="F50" s="1094" t="str">
        <f>'09월 에너지'!F50</f>
        <v>SS400-05</v>
      </c>
      <c r="G50" s="980"/>
      <c r="H50" s="978"/>
      <c r="I50" s="978"/>
      <c r="J50" s="978"/>
      <c r="K50" s="978"/>
      <c r="L50" s="978"/>
      <c r="M50" s="978"/>
      <c r="N50" s="978"/>
      <c r="O50" s="1106" t="str">
        <f t="shared" si="47"/>
        <v/>
      </c>
      <c r="P50" s="1108">
        <f>11700+9600+12800+7200+6100+9000</f>
        <v>56400</v>
      </c>
      <c r="Q50" s="979">
        <f>13700+7100</f>
        <v>20800</v>
      </c>
      <c r="R50" s="979">
        <v>8700</v>
      </c>
      <c r="S50" s="979">
        <v>0</v>
      </c>
      <c r="T50" s="979">
        <v>0</v>
      </c>
      <c r="U50" s="979">
        <v>2800</v>
      </c>
      <c r="V50" s="979">
        <f>3700+2400+2100+10200</f>
        <v>18400</v>
      </c>
      <c r="W50" s="979">
        <v>2000</v>
      </c>
      <c r="X50" s="979">
        <v>9000</v>
      </c>
      <c r="Y50" s="979">
        <f>800+13600+3400</f>
        <v>17800</v>
      </c>
      <c r="Z50" s="979">
        <v>0</v>
      </c>
      <c r="AA50" s="979">
        <v>1300</v>
      </c>
      <c r="AB50" s="979">
        <v>1600</v>
      </c>
      <c r="AC50" s="979">
        <v>2000</v>
      </c>
      <c r="AD50" s="979">
        <v>3300</v>
      </c>
      <c r="AE50" s="1109">
        <f t="shared" si="51"/>
        <v>144100</v>
      </c>
      <c r="AF50" s="1113">
        <v>3000</v>
      </c>
      <c r="AG50" s="981">
        <v>8600</v>
      </c>
      <c r="AH50" s="981">
        <v>2700</v>
      </c>
      <c r="AI50" s="1114">
        <f t="shared" si="48"/>
        <v>14300</v>
      </c>
      <c r="AJ50" s="1110">
        <f t="shared" si="49"/>
        <v>158400</v>
      </c>
      <c r="AK50" s="982">
        <f>'09월 에너지'!S50</f>
        <v>143.69999999999999</v>
      </c>
      <c r="AL50" s="983">
        <f t="shared" si="50"/>
        <v>0.90719696969696972</v>
      </c>
    </row>
    <row r="51" spans="1:38" ht="16.5" customHeight="1">
      <c r="A51" s="999">
        <f>'09월 에너지'!A51</f>
        <v>46267</v>
      </c>
      <c r="B51" s="1002">
        <f>'09월 조업일지'!B49</f>
        <v>46267</v>
      </c>
      <c r="C51" s="1003" t="str">
        <f>'09월 에너지'!C51</f>
        <v>A</v>
      </c>
      <c r="D51" s="1004" t="str">
        <f>'09월 에너지'!D51</f>
        <v>A</v>
      </c>
      <c r="E51" s="1000">
        <f>'09월 에너지'!E51</f>
        <v>85251</v>
      </c>
      <c r="F51" s="1094" t="str">
        <f>'09월 에너지'!F51</f>
        <v>SS400-05</v>
      </c>
      <c r="G51" s="980"/>
      <c r="H51" s="978"/>
      <c r="I51" s="978"/>
      <c r="J51" s="978"/>
      <c r="K51" s="978"/>
      <c r="L51" s="978"/>
      <c r="M51" s="978"/>
      <c r="N51" s="978"/>
      <c r="O51" s="1106" t="str">
        <f t="shared" si="47"/>
        <v/>
      </c>
      <c r="P51" s="1108">
        <f>2200+7800+5700+10500+100+7100</f>
        <v>33400</v>
      </c>
      <c r="Q51" s="979">
        <f>13000+7300</f>
        <v>20300</v>
      </c>
      <c r="R51" s="979">
        <v>6600</v>
      </c>
      <c r="S51" s="979">
        <v>0</v>
      </c>
      <c r="T51" s="979">
        <v>0</v>
      </c>
      <c r="U51" s="979">
        <v>200</v>
      </c>
      <c r="V51" s="979">
        <f>9400+8100+4800+9600</f>
        <v>31900</v>
      </c>
      <c r="W51" s="979">
        <v>2800</v>
      </c>
      <c r="X51" s="979">
        <v>4900</v>
      </c>
      <c r="Y51" s="979">
        <f>6300+18000+2600</f>
        <v>26900</v>
      </c>
      <c r="Z51" s="979">
        <v>0</v>
      </c>
      <c r="AA51" s="979">
        <v>1100</v>
      </c>
      <c r="AB51" s="979">
        <v>7700</v>
      </c>
      <c r="AC51" s="979">
        <v>2700</v>
      </c>
      <c r="AD51" s="979">
        <v>2600</v>
      </c>
      <c r="AE51" s="1109">
        <f t="shared" si="51"/>
        <v>141100</v>
      </c>
      <c r="AF51" s="1113">
        <v>3200</v>
      </c>
      <c r="AG51" s="981">
        <v>7600</v>
      </c>
      <c r="AH51" s="981">
        <v>6100</v>
      </c>
      <c r="AI51" s="1114">
        <f t="shared" si="48"/>
        <v>16900</v>
      </c>
      <c r="AJ51" s="1110">
        <f t="shared" si="49"/>
        <v>158000</v>
      </c>
      <c r="AK51" s="982">
        <f>'09월 에너지'!S51</f>
        <v>142.69999999999999</v>
      </c>
      <c r="AL51" s="983">
        <f t="shared" si="50"/>
        <v>0.90316455696202536</v>
      </c>
    </row>
    <row r="52" spans="1:38" ht="16.5" customHeight="1">
      <c r="A52" s="999">
        <f>'09월 에너지'!A52</f>
        <v>46267</v>
      </c>
      <c r="B52" s="1002">
        <f>'09월 조업일지'!B50</f>
        <v>46267</v>
      </c>
      <c r="C52" s="1003" t="str">
        <f>'09월 에너지'!C52</f>
        <v>A</v>
      </c>
      <c r="D52" s="1004" t="str">
        <f>'09월 에너지'!D52</f>
        <v>B</v>
      </c>
      <c r="E52" s="1000">
        <f>'09월 에너지'!E52</f>
        <v>85252</v>
      </c>
      <c r="F52" s="1094" t="str">
        <f>'09월 에너지'!F52</f>
        <v>SS400-05</v>
      </c>
      <c r="G52" s="980"/>
      <c r="H52" s="978"/>
      <c r="I52" s="978"/>
      <c r="J52" s="978"/>
      <c r="K52" s="978"/>
      <c r="L52" s="978"/>
      <c r="M52" s="978"/>
      <c r="N52" s="978"/>
      <c r="O52" s="1106" t="str">
        <f t="shared" si="47"/>
        <v/>
      </c>
      <c r="P52" s="1108">
        <f>8800+13500+11000+8100+9200+5100</f>
        <v>55700</v>
      </c>
      <c r="Q52" s="979">
        <f>8600+6300</f>
        <v>14900</v>
      </c>
      <c r="R52" s="979">
        <v>5800</v>
      </c>
      <c r="S52" s="979">
        <v>0</v>
      </c>
      <c r="T52" s="979">
        <v>0</v>
      </c>
      <c r="U52" s="979">
        <v>6700</v>
      </c>
      <c r="V52" s="979">
        <f>3500+3800+5200+9000</f>
        <v>21500</v>
      </c>
      <c r="W52" s="979">
        <v>1100</v>
      </c>
      <c r="X52" s="979">
        <v>9500</v>
      </c>
      <c r="Y52" s="979">
        <f>2100+13200+100</f>
        <v>15400</v>
      </c>
      <c r="Z52" s="979">
        <v>0</v>
      </c>
      <c r="AA52" s="979">
        <v>2500</v>
      </c>
      <c r="AB52" s="979">
        <v>400</v>
      </c>
      <c r="AC52" s="979">
        <v>4200</v>
      </c>
      <c r="AD52" s="979">
        <v>5600</v>
      </c>
      <c r="AE52" s="1109">
        <f t="shared" si="51"/>
        <v>143300</v>
      </c>
      <c r="AF52" s="1113">
        <v>2100</v>
      </c>
      <c r="AG52" s="981">
        <v>8600</v>
      </c>
      <c r="AH52" s="981">
        <v>4200</v>
      </c>
      <c r="AI52" s="1114">
        <f t="shared" si="48"/>
        <v>14900</v>
      </c>
      <c r="AJ52" s="1110">
        <f t="shared" si="49"/>
        <v>158200</v>
      </c>
      <c r="AK52" s="982">
        <f>'09월 에너지'!S52</f>
        <v>142.30000000000001</v>
      </c>
      <c r="AL52" s="983">
        <f t="shared" si="50"/>
        <v>0.89949431099873578</v>
      </c>
    </row>
    <row r="53" spans="1:38" ht="16.5" customHeight="1">
      <c r="A53" s="999">
        <f>'09월 에너지'!A53</f>
        <v>46267</v>
      </c>
      <c r="B53" s="1002">
        <f>'09월 조업일지'!B51</f>
        <v>46267</v>
      </c>
      <c r="C53" s="1003" t="str">
        <f>'09월 에너지'!C53</f>
        <v>A</v>
      </c>
      <c r="D53" s="1004" t="str">
        <f>'09월 에너지'!D53</f>
        <v>A</v>
      </c>
      <c r="E53" s="1000">
        <f>'09월 에너지'!E53</f>
        <v>85253</v>
      </c>
      <c r="F53" s="1094" t="str">
        <f>'09월 에너지'!F53</f>
        <v>SS400-05</v>
      </c>
      <c r="G53" s="980"/>
      <c r="H53" s="978"/>
      <c r="I53" s="978"/>
      <c r="J53" s="978"/>
      <c r="K53" s="978"/>
      <c r="L53" s="978"/>
      <c r="M53" s="978"/>
      <c r="N53" s="978"/>
      <c r="O53" s="1106" t="str">
        <f t="shared" si="47"/>
        <v/>
      </c>
      <c r="P53" s="1108">
        <f>13000+10700+9900+6300+8500+7300</f>
        <v>55700</v>
      </c>
      <c r="Q53" s="979">
        <f>4200+1900</f>
        <v>6100</v>
      </c>
      <c r="R53" s="979">
        <v>4500</v>
      </c>
      <c r="S53" s="979">
        <v>0</v>
      </c>
      <c r="T53" s="979">
        <v>0</v>
      </c>
      <c r="U53" s="979">
        <v>7800</v>
      </c>
      <c r="V53" s="979">
        <f>6400+2200+5400+9600</f>
        <v>23600</v>
      </c>
      <c r="W53" s="979">
        <v>3700</v>
      </c>
      <c r="X53" s="979">
        <v>9100</v>
      </c>
      <c r="Y53" s="979">
        <f>3600+13100+6200</f>
        <v>22900</v>
      </c>
      <c r="Z53" s="979">
        <v>0</v>
      </c>
      <c r="AA53" s="979">
        <v>900</v>
      </c>
      <c r="AB53" s="979">
        <v>3400</v>
      </c>
      <c r="AC53" s="979">
        <v>2300</v>
      </c>
      <c r="AD53" s="979">
        <v>2200</v>
      </c>
      <c r="AE53" s="1109">
        <f t="shared" si="51"/>
        <v>142200</v>
      </c>
      <c r="AF53" s="1113">
        <v>3200</v>
      </c>
      <c r="AG53" s="981">
        <v>12400</v>
      </c>
      <c r="AH53" s="981">
        <v>2000</v>
      </c>
      <c r="AI53" s="1114">
        <f t="shared" si="48"/>
        <v>17600</v>
      </c>
      <c r="AJ53" s="1110">
        <f t="shared" si="49"/>
        <v>159800</v>
      </c>
      <c r="AK53" s="982">
        <f>'09월 에너지'!S53</f>
        <v>143.9</v>
      </c>
      <c r="AL53" s="983">
        <f t="shared" si="50"/>
        <v>0.90050062578222778</v>
      </c>
    </row>
    <row r="54" spans="1:38" ht="16.5" customHeight="1">
      <c r="A54" s="999">
        <f>'09월 에너지'!A54</f>
        <v>46267</v>
      </c>
      <c r="B54" s="1002">
        <f>'09월 조업일지'!B52</f>
        <v>46267</v>
      </c>
      <c r="C54" s="1003" t="str">
        <f>'09월 에너지'!C54</f>
        <v>A</v>
      </c>
      <c r="D54" s="1004" t="str">
        <f>'09월 에너지'!D54</f>
        <v>B</v>
      </c>
      <c r="E54" s="1000">
        <f>'09월 에너지'!E54</f>
        <v>85254</v>
      </c>
      <c r="F54" s="1094" t="str">
        <f>'09월 에너지'!F54</f>
        <v>SS400-05</v>
      </c>
      <c r="G54" s="980"/>
      <c r="H54" s="978"/>
      <c r="I54" s="978"/>
      <c r="J54" s="978"/>
      <c r="K54" s="978"/>
      <c r="L54" s="978"/>
      <c r="M54" s="978"/>
      <c r="N54" s="978"/>
      <c r="O54" s="1106" t="str">
        <f t="shared" si="47"/>
        <v/>
      </c>
      <c r="P54" s="1108">
        <f>9300+14200+13600+9300+5900+9100</f>
        <v>61400</v>
      </c>
      <c r="Q54" s="979">
        <f>10100+4400</f>
        <v>14500</v>
      </c>
      <c r="R54" s="979">
        <v>8100</v>
      </c>
      <c r="S54" s="979">
        <v>0</v>
      </c>
      <c r="T54" s="979">
        <v>0</v>
      </c>
      <c r="U54" s="979">
        <v>3600</v>
      </c>
      <c r="V54" s="979">
        <f>3500+3700+3000+9200</f>
        <v>19400</v>
      </c>
      <c r="W54" s="979">
        <v>2800</v>
      </c>
      <c r="X54" s="979">
        <v>6700</v>
      </c>
      <c r="Y54" s="979">
        <f>12000+3400</f>
        <v>15400</v>
      </c>
      <c r="Z54" s="979">
        <v>0</v>
      </c>
      <c r="AA54" s="979">
        <v>3100</v>
      </c>
      <c r="AB54" s="979">
        <v>2700</v>
      </c>
      <c r="AC54" s="979">
        <v>2600</v>
      </c>
      <c r="AD54" s="979">
        <v>2600</v>
      </c>
      <c r="AE54" s="1109">
        <f t="shared" si="51"/>
        <v>142900</v>
      </c>
      <c r="AF54" s="1113">
        <v>3800</v>
      </c>
      <c r="AG54" s="981">
        <v>3000</v>
      </c>
      <c r="AH54" s="981">
        <v>8500</v>
      </c>
      <c r="AI54" s="1114">
        <f t="shared" si="48"/>
        <v>15300</v>
      </c>
      <c r="AJ54" s="1110">
        <f t="shared" si="49"/>
        <v>158200</v>
      </c>
      <c r="AK54" s="982">
        <f>'09월 에너지'!S54</f>
        <v>144</v>
      </c>
      <c r="AL54" s="983">
        <f t="shared" si="50"/>
        <v>0.91024020227560054</v>
      </c>
    </row>
    <row r="55" spans="1:38" ht="16.5" customHeight="1">
      <c r="A55" s="999">
        <f>'09월 에너지'!A55</f>
        <v>46267</v>
      </c>
      <c r="B55" s="1002">
        <f>'09월 조업일지'!B53</f>
        <v>46267</v>
      </c>
      <c r="C55" s="1003" t="str">
        <f>'09월 에너지'!C55</f>
        <v>A</v>
      </c>
      <c r="D55" s="1004" t="str">
        <f>'09월 에너지'!D55</f>
        <v>A</v>
      </c>
      <c r="E55" s="1000">
        <f>'09월 에너지'!E55</f>
        <v>85255</v>
      </c>
      <c r="F55" s="1094" t="str">
        <f>'09월 에너지'!F55</f>
        <v>SS400-05</v>
      </c>
      <c r="G55" s="980"/>
      <c r="H55" s="978"/>
      <c r="I55" s="978"/>
      <c r="J55" s="978"/>
      <c r="K55" s="978"/>
      <c r="L55" s="978"/>
      <c r="M55" s="978"/>
      <c r="N55" s="978"/>
      <c r="O55" s="1106" t="str">
        <f t="shared" si="47"/>
        <v/>
      </c>
      <c r="P55" s="1108">
        <f>11200+8100+5200+3300+8200+9200</f>
        <v>45200</v>
      </c>
      <c r="Q55" s="979">
        <f>9400+11200</f>
        <v>20600</v>
      </c>
      <c r="R55" s="979">
        <v>8800</v>
      </c>
      <c r="S55" s="979">
        <v>0</v>
      </c>
      <c r="T55" s="979">
        <v>0</v>
      </c>
      <c r="U55" s="979">
        <v>8500</v>
      </c>
      <c r="V55" s="979">
        <f>9500+8700+3600</f>
        <v>21800</v>
      </c>
      <c r="W55" s="979">
        <v>3700</v>
      </c>
      <c r="X55" s="979">
        <v>7800</v>
      </c>
      <c r="Y55" s="979">
        <f>6200+9900+3800</f>
        <v>19900</v>
      </c>
      <c r="Z55" s="979">
        <v>0</v>
      </c>
      <c r="AA55" s="979">
        <v>2600</v>
      </c>
      <c r="AB55" s="979">
        <v>1800</v>
      </c>
      <c r="AC55" s="979">
        <v>0</v>
      </c>
      <c r="AD55" s="979">
        <v>200</v>
      </c>
      <c r="AE55" s="1109">
        <f t="shared" si="51"/>
        <v>140900</v>
      </c>
      <c r="AF55" s="1113">
        <v>0</v>
      </c>
      <c r="AG55" s="981">
        <v>6400</v>
      </c>
      <c r="AH55" s="981">
        <v>10300</v>
      </c>
      <c r="AI55" s="1114">
        <f t="shared" si="48"/>
        <v>16700</v>
      </c>
      <c r="AJ55" s="1110">
        <f t="shared" si="49"/>
        <v>157600</v>
      </c>
      <c r="AK55" s="982">
        <f>'09월 에너지'!S55</f>
        <v>143.80000000000001</v>
      </c>
      <c r="AL55" s="983">
        <f t="shared" si="50"/>
        <v>0.9124365482233503</v>
      </c>
    </row>
    <row r="56" spans="1:38" ht="16.5" customHeight="1">
      <c r="A56" s="999">
        <f>'09월 에너지'!A56</f>
        <v>46267</v>
      </c>
      <c r="B56" s="1002">
        <f>'09월 조업일지'!B54</f>
        <v>46267</v>
      </c>
      <c r="C56" s="1003" t="str">
        <f>'09월 에너지'!C56</f>
        <v>A</v>
      </c>
      <c r="D56" s="1004" t="str">
        <f>'09월 에너지'!D56</f>
        <v>B</v>
      </c>
      <c r="E56" s="1000">
        <f>'09월 에너지'!E56</f>
        <v>85256</v>
      </c>
      <c r="F56" s="1094" t="str">
        <f>'09월 에너지'!F56</f>
        <v>SS400-05</v>
      </c>
      <c r="G56" s="980"/>
      <c r="H56" s="978"/>
      <c r="I56" s="978"/>
      <c r="J56" s="978"/>
      <c r="K56" s="978"/>
      <c r="L56" s="978"/>
      <c r="M56" s="978"/>
      <c r="N56" s="978"/>
      <c r="O56" s="1106" t="str">
        <f t="shared" si="47"/>
        <v/>
      </c>
      <c r="P56" s="1108">
        <f>9900+8900+16900+8000+6400+7200</f>
        <v>57300</v>
      </c>
      <c r="Q56" s="979">
        <f>8500+3900</f>
        <v>12400</v>
      </c>
      <c r="R56" s="979">
        <v>2900</v>
      </c>
      <c r="S56" s="979">
        <v>0</v>
      </c>
      <c r="T56" s="979">
        <v>0</v>
      </c>
      <c r="U56" s="979">
        <v>6700</v>
      </c>
      <c r="V56" s="979">
        <f>3700+2300+4300+10800</f>
        <v>21100</v>
      </c>
      <c r="W56" s="979">
        <v>2400</v>
      </c>
      <c r="X56" s="979">
        <v>8900</v>
      </c>
      <c r="Y56" s="979">
        <f>1400+10100+6200</f>
        <v>17700</v>
      </c>
      <c r="Z56" s="979">
        <v>0</v>
      </c>
      <c r="AA56" s="979">
        <v>3500</v>
      </c>
      <c r="AB56" s="979">
        <v>2400</v>
      </c>
      <c r="AC56" s="979">
        <v>700</v>
      </c>
      <c r="AD56" s="979">
        <v>700</v>
      </c>
      <c r="AE56" s="1109">
        <f t="shared" si="51"/>
        <v>136700</v>
      </c>
      <c r="AF56" s="1113">
        <v>4400</v>
      </c>
      <c r="AG56" s="981">
        <v>7200</v>
      </c>
      <c r="AH56" s="981">
        <v>11100</v>
      </c>
      <c r="AI56" s="1114">
        <f t="shared" si="48"/>
        <v>22700</v>
      </c>
      <c r="AJ56" s="1110">
        <f t="shared" si="49"/>
        <v>159400</v>
      </c>
      <c r="AK56" s="982">
        <f>'09월 에너지'!S56</f>
        <v>142.9</v>
      </c>
      <c r="AL56" s="983">
        <f t="shared" si="50"/>
        <v>0.89648682559598492</v>
      </c>
    </row>
    <row r="57" spans="1:38" ht="16.5" customHeight="1">
      <c r="A57" s="999">
        <f>'09월 에너지'!A57</f>
        <v>46267</v>
      </c>
      <c r="B57" s="1002">
        <f>'09월 조업일지'!B55</f>
        <v>46267</v>
      </c>
      <c r="C57" s="1003" t="str">
        <f>'09월 에너지'!C57</f>
        <v>A</v>
      </c>
      <c r="D57" s="1004" t="str">
        <f>'09월 에너지'!D57</f>
        <v>A</v>
      </c>
      <c r="E57" s="1000">
        <f>'09월 에너지'!E57</f>
        <v>85257</v>
      </c>
      <c r="F57" s="1094" t="str">
        <f>'09월 에너지'!F57</f>
        <v>SS400-05</v>
      </c>
      <c r="G57" s="980"/>
      <c r="H57" s="978"/>
      <c r="I57" s="978"/>
      <c r="J57" s="978"/>
      <c r="K57" s="978"/>
      <c r="L57" s="978"/>
      <c r="M57" s="978"/>
      <c r="N57" s="978"/>
      <c r="O57" s="1106" t="str">
        <f t="shared" si="47"/>
        <v/>
      </c>
      <c r="P57" s="1108">
        <f>12500+9200+19900+100+11600</f>
        <v>53300</v>
      </c>
      <c r="Q57" s="979">
        <f>17000+7100</f>
        <v>24100</v>
      </c>
      <c r="R57" s="979">
        <v>3800</v>
      </c>
      <c r="S57" s="979">
        <v>0</v>
      </c>
      <c r="T57" s="979">
        <v>0</v>
      </c>
      <c r="U57" s="979">
        <v>9000</v>
      </c>
      <c r="V57" s="979">
        <f>7100+1100+6300+9700</f>
        <v>24200</v>
      </c>
      <c r="W57" s="979">
        <v>0</v>
      </c>
      <c r="X57" s="979">
        <v>0</v>
      </c>
      <c r="Y57" s="979">
        <f>4900+15400+2700</f>
        <v>23000</v>
      </c>
      <c r="Z57" s="979">
        <v>0</v>
      </c>
      <c r="AA57" s="979">
        <v>3800</v>
      </c>
      <c r="AB57" s="979">
        <v>600</v>
      </c>
      <c r="AC57" s="979">
        <v>1300</v>
      </c>
      <c r="AD57" s="979">
        <v>1000</v>
      </c>
      <c r="AE57" s="1109">
        <f t="shared" si="51"/>
        <v>144100</v>
      </c>
      <c r="AF57" s="1113">
        <v>5000</v>
      </c>
      <c r="AG57" s="981">
        <v>9100</v>
      </c>
      <c r="AH57" s="981">
        <v>200</v>
      </c>
      <c r="AI57" s="1114">
        <f t="shared" si="48"/>
        <v>14300</v>
      </c>
      <c r="AJ57" s="1110">
        <f t="shared" si="49"/>
        <v>158400</v>
      </c>
      <c r="AK57" s="982">
        <f>'09월 에너지'!S57</f>
        <v>143.4</v>
      </c>
      <c r="AL57" s="983">
        <f t="shared" si="50"/>
        <v>0.90530303030303028</v>
      </c>
    </row>
    <row r="58" spans="1:38" ht="16.5" customHeight="1">
      <c r="A58" s="999">
        <f>'09월 에너지'!A58</f>
        <v>46267</v>
      </c>
      <c r="B58" s="1002">
        <f>'09월 조업일지'!B56</f>
        <v>46267</v>
      </c>
      <c r="C58" s="1003" t="str">
        <f>'09월 에너지'!C58</f>
        <v>C</v>
      </c>
      <c r="D58" s="1004" t="str">
        <f>'09월 에너지'!D58</f>
        <v>B</v>
      </c>
      <c r="E58" s="1000">
        <f>'09월 에너지'!E58</f>
        <v>85258</v>
      </c>
      <c r="F58" s="1094" t="str">
        <f>'09월 에너지'!F58</f>
        <v>SS400-05</v>
      </c>
      <c r="G58" s="980"/>
      <c r="H58" s="978"/>
      <c r="I58" s="978"/>
      <c r="J58" s="978"/>
      <c r="K58" s="978"/>
      <c r="L58" s="978"/>
      <c r="M58" s="978"/>
      <c r="N58" s="978"/>
      <c r="O58" s="1106" t="str">
        <f t="shared" si="47"/>
        <v/>
      </c>
      <c r="P58" s="1108">
        <f>8900+15400+8600+5200+11900+5600</f>
        <v>55600</v>
      </c>
      <c r="Q58" s="979">
        <f>6500+5600</f>
        <v>12100</v>
      </c>
      <c r="R58" s="979">
        <v>9700</v>
      </c>
      <c r="S58" s="979"/>
      <c r="T58" s="979"/>
      <c r="U58" s="979">
        <v>4900</v>
      </c>
      <c r="V58" s="979">
        <f>3200+1200+5000+8900</f>
        <v>18300</v>
      </c>
      <c r="W58" s="979">
        <v>4500</v>
      </c>
      <c r="X58" s="979">
        <v>8400</v>
      </c>
      <c r="Y58" s="979">
        <f>1300+18300+1100</f>
        <v>20700</v>
      </c>
      <c r="Z58" s="979"/>
      <c r="AA58" s="979">
        <v>2400</v>
      </c>
      <c r="AB58" s="979">
        <v>1400</v>
      </c>
      <c r="AC58" s="979">
        <v>1800</v>
      </c>
      <c r="AD58" s="979">
        <v>1000</v>
      </c>
      <c r="AE58" s="1109">
        <f t="shared" si="51"/>
        <v>140800</v>
      </c>
      <c r="AF58" s="1113">
        <v>4500</v>
      </c>
      <c r="AG58" s="981">
        <v>7000</v>
      </c>
      <c r="AH58" s="981">
        <v>6200</v>
      </c>
      <c r="AI58" s="1114">
        <f t="shared" si="48"/>
        <v>17700</v>
      </c>
      <c r="AJ58" s="1110">
        <f t="shared" si="49"/>
        <v>158500</v>
      </c>
      <c r="AK58" s="982">
        <f>'09월 에너지'!S58</f>
        <v>142.19999999999999</v>
      </c>
      <c r="AL58" s="983">
        <f t="shared" si="50"/>
        <v>0.89716088328075705</v>
      </c>
    </row>
    <row r="59" spans="1:38" ht="16.5" customHeight="1">
      <c r="A59" s="999">
        <f>'09월 에너지'!A59</f>
        <v>46267</v>
      </c>
      <c r="B59" s="1002">
        <f>'09월 조업일지'!B57</f>
        <v>46267</v>
      </c>
      <c r="C59" s="1003" t="str">
        <f>'09월 에너지'!C59</f>
        <v>C</v>
      </c>
      <c r="D59" s="1004" t="str">
        <f>'09월 에너지'!D59</f>
        <v>A</v>
      </c>
      <c r="E59" s="1000">
        <f>'09월 에너지'!E59</f>
        <v>85259</v>
      </c>
      <c r="F59" s="1094" t="str">
        <f>'09월 에너지'!F59</f>
        <v>SS400-05</v>
      </c>
      <c r="G59" s="980"/>
      <c r="H59" s="978"/>
      <c r="I59" s="978"/>
      <c r="J59" s="978"/>
      <c r="K59" s="978"/>
      <c r="L59" s="978"/>
      <c r="M59" s="978"/>
      <c r="N59" s="978"/>
      <c r="O59" s="1106" t="str">
        <f t="shared" si="47"/>
        <v/>
      </c>
      <c r="P59" s="1108">
        <f>14500+2200+10100+7000+2000+2500</f>
        <v>38300</v>
      </c>
      <c r="Q59" s="979">
        <f>15600+9100</f>
        <v>24700</v>
      </c>
      <c r="R59" s="979">
        <v>4900</v>
      </c>
      <c r="S59" s="979"/>
      <c r="T59" s="979"/>
      <c r="U59" s="979">
        <v>5100</v>
      </c>
      <c r="V59" s="979">
        <f>3900+5900+9100+8500</f>
        <v>27400</v>
      </c>
      <c r="W59" s="979">
        <v>3600</v>
      </c>
      <c r="X59" s="979">
        <v>7800</v>
      </c>
      <c r="Y59" s="979">
        <f>1200+12600+1600</f>
        <v>15400</v>
      </c>
      <c r="Z59" s="979"/>
      <c r="AA59" s="979">
        <v>2800</v>
      </c>
      <c r="AB59" s="979">
        <v>400</v>
      </c>
      <c r="AC59" s="979">
        <v>1800</v>
      </c>
      <c r="AD59" s="979">
        <v>1900</v>
      </c>
      <c r="AE59" s="1109">
        <f t="shared" si="51"/>
        <v>134100</v>
      </c>
      <c r="AF59" s="1113">
        <v>5100</v>
      </c>
      <c r="AG59" s="981">
        <v>16600</v>
      </c>
      <c r="AH59" s="981">
        <v>3600</v>
      </c>
      <c r="AI59" s="1114">
        <f t="shared" si="48"/>
        <v>25300</v>
      </c>
      <c r="AJ59" s="1110">
        <f t="shared" si="49"/>
        <v>159400</v>
      </c>
      <c r="AK59" s="982">
        <f>'09월 에너지'!S59</f>
        <v>144.4</v>
      </c>
      <c r="AL59" s="983">
        <f t="shared" si="50"/>
        <v>0.90589711417816809</v>
      </c>
    </row>
    <row r="60" spans="1:38" ht="16.5" customHeight="1">
      <c r="A60" s="999">
        <f>'09월 에너지'!A60</f>
        <v>46267</v>
      </c>
      <c r="B60" s="1002">
        <f>'09월 조업일지'!B58</f>
        <v>46267</v>
      </c>
      <c r="C60" s="1003" t="str">
        <f>'09월 에너지'!C60</f>
        <v>C</v>
      </c>
      <c r="D60" s="1004" t="str">
        <f>'09월 에너지'!D60</f>
        <v>B</v>
      </c>
      <c r="E60" s="1000">
        <f>'09월 에너지'!E60</f>
        <v>85260</v>
      </c>
      <c r="F60" s="1094" t="str">
        <f>'09월 에너지'!F60</f>
        <v>SS400-05</v>
      </c>
      <c r="G60" s="980"/>
      <c r="H60" s="978"/>
      <c r="I60" s="978"/>
      <c r="J60" s="978"/>
      <c r="K60" s="978"/>
      <c r="L60" s="978"/>
      <c r="M60" s="978"/>
      <c r="N60" s="978"/>
      <c r="O60" s="1106" t="str">
        <f t="shared" si="47"/>
        <v/>
      </c>
      <c r="P60" s="1108">
        <f>2700+11500+14400+6500+7800+6900</f>
        <v>49800</v>
      </c>
      <c r="Q60" s="979">
        <f>12400+5200</f>
        <v>17600</v>
      </c>
      <c r="R60" s="979">
        <v>10100</v>
      </c>
      <c r="S60" s="979"/>
      <c r="T60" s="979"/>
      <c r="U60" s="979">
        <v>9600</v>
      </c>
      <c r="V60" s="979">
        <f>5300+1600+5200+8900</f>
        <v>21000</v>
      </c>
      <c r="W60" s="979">
        <v>2300</v>
      </c>
      <c r="X60" s="979">
        <v>9800</v>
      </c>
      <c r="Y60" s="979">
        <f>2800+10400+2400</f>
        <v>15600</v>
      </c>
      <c r="Z60" s="979"/>
      <c r="AA60" s="979">
        <v>3500</v>
      </c>
      <c r="AB60" s="979">
        <v>1800</v>
      </c>
      <c r="AC60" s="979">
        <v>3100</v>
      </c>
      <c r="AD60" s="979">
        <v>3300</v>
      </c>
      <c r="AE60" s="1109">
        <f t="shared" si="51"/>
        <v>147500</v>
      </c>
      <c r="AF60" s="1113">
        <v>4000</v>
      </c>
      <c r="AG60" s="981">
        <v>5800</v>
      </c>
      <c r="AH60" s="981">
        <v>2000</v>
      </c>
      <c r="AI60" s="1114">
        <f t="shared" si="48"/>
        <v>11800</v>
      </c>
      <c r="AJ60" s="1110">
        <f t="shared" si="49"/>
        <v>159300</v>
      </c>
      <c r="AK60" s="982">
        <f>'09월 에너지'!S60</f>
        <v>143.69999999999999</v>
      </c>
      <c r="AL60" s="983">
        <f t="shared" si="50"/>
        <v>0.90207156308851222</v>
      </c>
    </row>
    <row r="61" spans="1:38" ht="16.5" customHeight="1">
      <c r="A61" s="999">
        <f>'09월 에너지'!A61</f>
        <v>46267</v>
      </c>
      <c r="B61" s="1002">
        <f>'09월 조업일지'!B59</f>
        <v>46267</v>
      </c>
      <c r="C61" s="1003" t="str">
        <f>'09월 에너지'!C61</f>
        <v>C</v>
      </c>
      <c r="D61" s="1004" t="str">
        <f>'09월 에너지'!D61</f>
        <v>A</v>
      </c>
      <c r="E61" s="1000">
        <f>'09월 에너지'!E61</f>
        <v>85261</v>
      </c>
      <c r="F61" s="1094" t="str">
        <f>'09월 에너지'!F61</f>
        <v>SS400-05</v>
      </c>
      <c r="G61" s="980"/>
      <c r="H61" s="978"/>
      <c r="I61" s="978"/>
      <c r="J61" s="978"/>
      <c r="K61" s="978"/>
      <c r="L61" s="978"/>
      <c r="M61" s="978"/>
      <c r="N61" s="978"/>
      <c r="O61" s="1106" t="str">
        <f t="shared" si="47"/>
        <v/>
      </c>
      <c r="P61" s="1108">
        <f>10000+4000+12900+7400+7600+7000</f>
        <v>48900</v>
      </c>
      <c r="Q61" s="979">
        <f>5900+5600</f>
        <v>11500</v>
      </c>
      <c r="R61" s="979">
        <v>9800</v>
      </c>
      <c r="S61" s="979"/>
      <c r="T61" s="979"/>
      <c r="U61" s="979">
        <v>6800</v>
      </c>
      <c r="V61" s="979">
        <f>9900+9700+2000+8800</f>
        <v>30400</v>
      </c>
      <c r="W61" s="979">
        <v>3500</v>
      </c>
      <c r="X61" s="979">
        <v>7400</v>
      </c>
      <c r="Y61" s="979">
        <f>2300+10100+2900</f>
        <v>15300</v>
      </c>
      <c r="Z61" s="979"/>
      <c r="AA61" s="979">
        <v>1100</v>
      </c>
      <c r="AB61" s="979">
        <v>2600</v>
      </c>
      <c r="AC61" s="979">
        <v>2700</v>
      </c>
      <c r="AD61" s="979">
        <v>4900</v>
      </c>
      <c r="AE61" s="1109">
        <f t="shared" si="51"/>
        <v>144900</v>
      </c>
      <c r="AF61" s="1113">
        <v>4100</v>
      </c>
      <c r="AG61" s="981">
        <v>8000</v>
      </c>
      <c r="AH61" s="981">
        <v>6600</v>
      </c>
      <c r="AI61" s="1114">
        <f t="shared" si="48"/>
        <v>18700</v>
      </c>
      <c r="AJ61" s="1110">
        <f t="shared" si="49"/>
        <v>163600</v>
      </c>
      <c r="AK61" s="982">
        <f>'09월 에너지'!S61</f>
        <v>143.80000000000001</v>
      </c>
      <c r="AL61" s="983">
        <f t="shared" si="50"/>
        <v>0.87897310513447435</v>
      </c>
    </row>
    <row r="62" spans="1:38" ht="16.5" customHeight="1">
      <c r="A62" s="999">
        <f>'09월 에너지'!A62</f>
        <v>46267</v>
      </c>
      <c r="B62" s="1002">
        <f>'09월 조업일지'!B60</f>
        <v>46267</v>
      </c>
      <c r="C62" s="1003" t="str">
        <f>'09월 에너지'!C62</f>
        <v>C</v>
      </c>
      <c r="D62" s="1233" t="str">
        <f>'09월 에너지'!D62</f>
        <v>A</v>
      </c>
      <c r="E62" s="1000">
        <f>'09월 에너지'!E62</f>
        <v>85262</v>
      </c>
      <c r="F62" s="1094" t="str">
        <f>'09월 에너지'!F62</f>
        <v>SS400-05</v>
      </c>
      <c r="G62" s="980"/>
      <c r="H62" s="978"/>
      <c r="I62" s="978"/>
      <c r="J62" s="978"/>
      <c r="K62" s="978"/>
      <c r="L62" s="978"/>
      <c r="M62" s="978"/>
      <c r="N62" s="978"/>
      <c r="O62" s="1106" t="str">
        <f t="shared" si="47"/>
        <v/>
      </c>
      <c r="P62" s="1108">
        <f>12600+2900+6600+7000+2600+5800</f>
        <v>37500</v>
      </c>
      <c r="Q62" s="979">
        <f>7800+7800</f>
        <v>15600</v>
      </c>
      <c r="R62" s="979">
        <v>7700</v>
      </c>
      <c r="S62" s="979"/>
      <c r="T62" s="979"/>
      <c r="U62" s="979">
        <v>6600</v>
      </c>
      <c r="V62" s="979">
        <f>6100+2100+9700+10200</f>
        <v>28100</v>
      </c>
      <c r="W62" s="979">
        <v>4000</v>
      </c>
      <c r="X62" s="979">
        <v>8100</v>
      </c>
      <c r="Y62" s="979">
        <f>4000+15600+3100</f>
        <v>22700</v>
      </c>
      <c r="Z62" s="979"/>
      <c r="AA62" s="979">
        <v>900</v>
      </c>
      <c r="AB62" s="979">
        <v>600</v>
      </c>
      <c r="AC62" s="979">
        <v>1400</v>
      </c>
      <c r="AD62" s="979">
        <v>12600</v>
      </c>
      <c r="AE62" s="1109">
        <f t="shared" si="51"/>
        <v>145800</v>
      </c>
      <c r="AF62" s="1113">
        <v>4400</v>
      </c>
      <c r="AG62" s="981">
        <v>5600</v>
      </c>
      <c r="AH62" s="981">
        <v>4700</v>
      </c>
      <c r="AI62" s="1114">
        <f t="shared" si="48"/>
        <v>14700</v>
      </c>
      <c r="AJ62" s="1110">
        <f t="shared" si="49"/>
        <v>160500</v>
      </c>
      <c r="AK62" s="982">
        <f>'09월 에너지'!S62</f>
        <v>141.9</v>
      </c>
      <c r="AL62" s="983">
        <f t="shared" si="50"/>
        <v>0.88411214953271033</v>
      </c>
    </row>
    <row r="63" spans="1:38" ht="16.5" customHeight="1">
      <c r="A63" s="999">
        <f>'09월 에너지'!A63</f>
        <v>46267</v>
      </c>
      <c r="B63" s="1002">
        <f>'09월 조업일지'!B61</f>
        <v>46267</v>
      </c>
      <c r="C63" s="1003" t="str">
        <f>'09월 에너지'!C63</f>
        <v>C</v>
      </c>
      <c r="D63" s="1004" t="str">
        <f>'09월 에너지'!D63</f>
        <v>B</v>
      </c>
      <c r="E63" s="1000">
        <f>'09월 에너지'!E63</f>
        <v>85263</v>
      </c>
      <c r="F63" s="1094" t="str">
        <f>'09월 에너지'!F63</f>
        <v>SS400-05</v>
      </c>
      <c r="G63" s="980"/>
      <c r="H63" s="978"/>
      <c r="I63" s="978"/>
      <c r="J63" s="978"/>
      <c r="K63" s="978"/>
      <c r="L63" s="978"/>
      <c r="M63" s="978"/>
      <c r="N63" s="978"/>
      <c r="O63" s="1106" t="str">
        <f t="shared" si="47"/>
        <v/>
      </c>
      <c r="P63" s="1108">
        <f>12600+2900+6600+7000+2600+5800</f>
        <v>37500</v>
      </c>
      <c r="Q63" s="979">
        <f>7800+7800</f>
        <v>15600</v>
      </c>
      <c r="R63" s="979">
        <v>7700</v>
      </c>
      <c r="S63" s="979"/>
      <c r="T63" s="979"/>
      <c r="U63" s="979">
        <v>6600</v>
      </c>
      <c r="V63" s="979">
        <f>6100+2100+9700+10200</f>
        <v>28100</v>
      </c>
      <c r="W63" s="979">
        <v>4000</v>
      </c>
      <c r="X63" s="979">
        <v>8100</v>
      </c>
      <c r="Y63" s="979">
        <f>4000+15600+3100</f>
        <v>22700</v>
      </c>
      <c r="Z63" s="979"/>
      <c r="AA63" s="979">
        <v>900</v>
      </c>
      <c r="AB63" s="979">
        <v>600</v>
      </c>
      <c r="AC63" s="979">
        <v>1400</v>
      </c>
      <c r="AD63" s="979">
        <v>12600</v>
      </c>
      <c r="AE63" s="1109">
        <f t="shared" ref="AE63" si="56">IF(SUM(P63:AD63)=0,"",SUM(P63:AD63))</f>
        <v>145800</v>
      </c>
      <c r="AF63" s="1113">
        <v>4400</v>
      </c>
      <c r="AG63" s="981">
        <v>5600</v>
      </c>
      <c r="AH63" s="981">
        <v>4700</v>
      </c>
      <c r="AI63" s="1114">
        <f t="shared" ref="AI63" si="57">IF(SUM(AF63:AH63)=0,"",SUM(AF63:AH63))</f>
        <v>14700</v>
      </c>
      <c r="AJ63" s="1110">
        <f t="shared" si="49"/>
        <v>160500</v>
      </c>
      <c r="AK63" s="982">
        <f>'09월 에너지'!S63</f>
        <v>143.9</v>
      </c>
      <c r="AL63" s="983">
        <f t="shared" si="50"/>
        <v>0.89657320872274149</v>
      </c>
    </row>
    <row r="64" spans="1:38" ht="16.5" customHeight="1">
      <c r="A64" s="999">
        <f>'09월 에너지'!A64</f>
        <v>46267</v>
      </c>
      <c r="B64" s="1002">
        <f>'09월 조업일지'!B62</f>
        <v>46267</v>
      </c>
      <c r="C64" s="1003" t="str">
        <f>'09월 에너지'!C64</f>
        <v>C</v>
      </c>
      <c r="D64" s="1004" t="str">
        <f>'09월 에너지'!D64</f>
        <v>A</v>
      </c>
      <c r="E64" s="1000">
        <f>'09월 에너지'!E64</f>
        <v>85264</v>
      </c>
      <c r="F64" s="1094" t="str">
        <f>'09월 에너지'!F64</f>
        <v>SS400-05</v>
      </c>
      <c r="G64" s="980"/>
      <c r="H64" s="978"/>
      <c r="I64" s="978"/>
      <c r="J64" s="978"/>
      <c r="K64" s="978"/>
      <c r="L64" s="978"/>
      <c r="M64" s="978"/>
      <c r="N64" s="978"/>
      <c r="O64" s="1106" t="str">
        <f t="shared" si="47"/>
        <v/>
      </c>
      <c r="P64" s="1108">
        <f>8300+3600+10300+6800+2000+1800</f>
        <v>32800</v>
      </c>
      <c r="Q64" s="979">
        <f>9800+7000</f>
        <v>16800</v>
      </c>
      <c r="R64" s="979">
        <v>5400</v>
      </c>
      <c r="S64" s="979"/>
      <c r="T64" s="979"/>
      <c r="U64" s="979">
        <v>9200</v>
      </c>
      <c r="V64" s="979">
        <f>5200+4000+9400+10700</f>
        <v>29300</v>
      </c>
      <c r="W64" s="979">
        <v>2600</v>
      </c>
      <c r="X64" s="979">
        <v>9100</v>
      </c>
      <c r="Y64" s="979">
        <f>2600+11300+3600</f>
        <v>17500</v>
      </c>
      <c r="Z64" s="979"/>
      <c r="AA64" s="979">
        <v>1500</v>
      </c>
      <c r="AB64" s="979">
        <v>1300</v>
      </c>
      <c r="AC64" s="979">
        <v>2100</v>
      </c>
      <c r="AD64" s="979">
        <v>6800</v>
      </c>
      <c r="AE64" s="1109">
        <f t="shared" si="51"/>
        <v>134400</v>
      </c>
      <c r="AF64" s="1113">
        <v>3600</v>
      </c>
      <c r="AG64" s="981">
        <v>14200</v>
      </c>
      <c r="AH64" s="981">
        <v>6500</v>
      </c>
      <c r="AI64" s="1114">
        <f t="shared" si="48"/>
        <v>24300</v>
      </c>
      <c r="AJ64" s="1110">
        <f t="shared" si="49"/>
        <v>158700</v>
      </c>
      <c r="AK64" s="982">
        <f>'09월 에너지'!S64</f>
        <v>143.1</v>
      </c>
      <c r="AL64" s="983">
        <f t="shared" si="50"/>
        <v>0.90170132325141772</v>
      </c>
    </row>
    <row r="65" spans="1:38" ht="16.5" customHeight="1">
      <c r="A65" s="999">
        <f>'09월 에너지'!A65</f>
        <v>46267</v>
      </c>
      <c r="B65" s="1002">
        <f>'09월 조업일지'!B63</f>
        <v>46267</v>
      </c>
      <c r="C65" s="1003" t="str">
        <f>'09월 에너지'!C65</f>
        <v>C</v>
      </c>
      <c r="D65" s="1004" t="str">
        <f>'09월 에너지'!D65</f>
        <v>B</v>
      </c>
      <c r="E65" s="1000">
        <f>'09월 에너지'!E65</f>
        <v>85265</v>
      </c>
      <c r="F65" s="1094" t="str">
        <f>'09월 에너지'!F65</f>
        <v>SS400-05</v>
      </c>
      <c r="G65" s="980"/>
      <c r="H65" s="978"/>
      <c r="I65" s="978"/>
      <c r="J65" s="978"/>
      <c r="K65" s="978"/>
      <c r="L65" s="978"/>
      <c r="M65" s="978"/>
      <c r="N65" s="978"/>
      <c r="O65" s="1106" t="str">
        <f t="shared" si="47"/>
        <v/>
      </c>
      <c r="P65" s="1108">
        <f>13600+11400+11300+15800+3900+9500</f>
        <v>65500</v>
      </c>
      <c r="Q65" s="979">
        <f>8300+6700</f>
        <v>15000</v>
      </c>
      <c r="R65" s="979">
        <v>8000</v>
      </c>
      <c r="S65" s="979"/>
      <c r="T65" s="979"/>
      <c r="U65" s="979">
        <v>6300</v>
      </c>
      <c r="V65" s="979">
        <f>2900+2600+1800+9100</f>
        <v>16400</v>
      </c>
      <c r="W65" s="979">
        <v>3000</v>
      </c>
      <c r="X65" s="979"/>
      <c r="Y65" s="979">
        <f>2100+9300+7500</f>
        <v>18900</v>
      </c>
      <c r="Z65" s="979"/>
      <c r="AA65" s="979">
        <v>1200</v>
      </c>
      <c r="AB65" s="979">
        <v>2700</v>
      </c>
      <c r="AC65" s="979">
        <v>2900</v>
      </c>
      <c r="AD65" s="979">
        <v>1500</v>
      </c>
      <c r="AE65" s="1109">
        <f t="shared" si="51"/>
        <v>141400</v>
      </c>
      <c r="AF65" s="1113">
        <v>3500</v>
      </c>
      <c r="AG65" s="981">
        <v>9900</v>
      </c>
      <c r="AH65" s="981">
        <v>3700</v>
      </c>
      <c r="AI65" s="1114">
        <f t="shared" si="48"/>
        <v>17100</v>
      </c>
      <c r="AJ65" s="1110">
        <f t="shared" si="49"/>
        <v>158500</v>
      </c>
      <c r="AK65" s="982">
        <f>'09월 에너지'!S65</f>
        <v>143.9</v>
      </c>
      <c r="AL65" s="983">
        <f t="shared" si="50"/>
        <v>0.90788643533123026</v>
      </c>
    </row>
    <row r="66" spans="1:38" ht="16.5" customHeight="1">
      <c r="A66" s="999">
        <f>'09월 에너지'!A66</f>
        <v>46267</v>
      </c>
      <c r="B66" s="1002">
        <f>'09월 조업일지'!B64</f>
        <v>46267</v>
      </c>
      <c r="C66" s="1003" t="str">
        <f>'09월 에너지'!C66</f>
        <v>C</v>
      </c>
      <c r="D66" s="1004" t="str">
        <f>'09월 에너지'!D66</f>
        <v>A</v>
      </c>
      <c r="E66" s="1000">
        <f>'09월 에너지'!E66</f>
        <v>85266</v>
      </c>
      <c r="F66" s="1094" t="str">
        <f>'09월 에너지'!F66</f>
        <v>SS400-05</v>
      </c>
      <c r="G66" s="980"/>
      <c r="H66" s="978"/>
      <c r="I66" s="978"/>
      <c r="J66" s="978"/>
      <c r="K66" s="978"/>
      <c r="L66" s="978"/>
      <c r="M66" s="978"/>
      <c r="N66" s="978"/>
      <c r="O66" s="1106" t="str">
        <f t="shared" si="47"/>
        <v/>
      </c>
      <c r="P66" s="1108">
        <f>10900+10200+6000+7400+8000+7000</f>
        <v>49500</v>
      </c>
      <c r="Q66" s="979">
        <f>12500+4300</f>
        <v>16800</v>
      </c>
      <c r="R66" s="979">
        <v>8800</v>
      </c>
      <c r="S66" s="979"/>
      <c r="T66" s="979"/>
      <c r="U66" s="979">
        <v>3400</v>
      </c>
      <c r="V66" s="979">
        <f>1900+6000+2600+9500</f>
        <v>20000</v>
      </c>
      <c r="W66" s="979">
        <v>1700</v>
      </c>
      <c r="X66" s="979">
        <v>9800</v>
      </c>
      <c r="Y66" s="979">
        <f>1900+17800+800</f>
        <v>20500</v>
      </c>
      <c r="Z66" s="979"/>
      <c r="AA66" s="979">
        <v>1700</v>
      </c>
      <c r="AB66" s="979">
        <v>1300</v>
      </c>
      <c r="AC66" s="979">
        <v>2600</v>
      </c>
      <c r="AD66" s="979">
        <v>12100</v>
      </c>
      <c r="AE66" s="1109">
        <f t="shared" si="51"/>
        <v>148200</v>
      </c>
      <c r="AF66" s="1113">
        <v>4600</v>
      </c>
      <c r="AG66" s="981">
        <v>3700</v>
      </c>
      <c r="AH66" s="981">
        <v>2400</v>
      </c>
      <c r="AI66" s="1114">
        <f t="shared" si="48"/>
        <v>10700</v>
      </c>
      <c r="AJ66" s="1110">
        <f t="shared" si="49"/>
        <v>158900</v>
      </c>
      <c r="AK66" s="982">
        <f>'09월 에너지'!S66</f>
        <v>144.4</v>
      </c>
      <c r="AL66" s="983">
        <f t="shared" si="50"/>
        <v>0.90874764002517305</v>
      </c>
    </row>
    <row r="67" spans="1:38" ht="16.5" customHeight="1">
      <c r="A67" s="999">
        <f>'09월 에너지'!A67</f>
        <v>46267</v>
      </c>
      <c r="B67" s="1002">
        <f>'09월 조업일지'!B65</f>
        <v>46267</v>
      </c>
      <c r="C67" s="1003" t="str">
        <f>'09월 에너지'!C67</f>
        <v>C</v>
      </c>
      <c r="D67" s="1004" t="str">
        <f>'09월 에너지'!D67</f>
        <v>B</v>
      </c>
      <c r="E67" s="1000">
        <f>'09월 에너지'!E67</f>
        <v>85267</v>
      </c>
      <c r="F67" s="1094" t="str">
        <f>'09월 에너지'!F67</f>
        <v>SS400-05</v>
      </c>
      <c r="G67" s="980"/>
      <c r="H67" s="978"/>
      <c r="I67" s="978"/>
      <c r="J67" s="978"/>
      <c r="K67" s="978"/>
      <c r="L67" s="978"/>
      <c r="M67" s="978"/>
      <c r="N67" s="978"/>
      <c r="O67" s="1106" t="str">
        <f t="shared" si="47"/>
        <v/>
      </c>
      <c r="P67" s="1108">
        <f>6600+13000+10600+7800+4300+6600</f>
        <v>48900</v>
      </c>
      <c r="Q67" s="979">
        <f>8900+5900</f>
        <v>14800</v>
      </c>
      <c r="R67" s="979">
        <v>11600</v>
      </c>
      <c r="S67" s="979"/>
      <c r="T67" s="979"/>
      <c r="U67" s="979">
        <v>6200</v>
      </c>
      <c r="V67" s="979">
        <f>5100+6100+4100+10400</f>
        <v>25700</v>
      </c>
      <c r="W67" s="979">
        <v>2300</v>
      </c>
      <c r="X67" s="979">
        <v>8200</v>
      </c>
      <c r="Y67" s="979">
        <f>2300+12300+2300</f>
        <v>16900</v>
      </c>
      <c r="Z67" s="979"/>
      <c r="AA67" s="979">
        <v>2100</v>
      </c>
      <c r="AB67" s="979">
        <v>2000</v>
      </c>
      <c r="AC67" s="979">
        <v>2300</v>
      </c>
      <c r="AD67" s="979">
        <v>1700</v>
      </c>
      <c r="AE67" s="1109">
        <f t="shared" si="51"/>
        <v>142700</v>
      </c>
      <c r="AF67" s="1113">
        <v>3100</v>
      </c>
      <c r="AG67" s="981">
        <v>7200</v>
      </c>
      <c r="AH67" s="981">
        <v>5300</v>
      </c>
      <c r="AI67" s="1114">
        <f t="shared" si="48"/>
        <v>15600</v>
      </c>
      <c r="AJ67" s="1110">
        <f t="shared" si="49"/>
        <v>158300</v>
      </c>
      <c r="AK67" s="982">
        <f>'09월 에너지'!S67</f>
        <v>144.6</v>
      </c>
      <c r="AL67" s="983">
        <f t="shared" si="50"/>
        <v>0.9134554643082754</v>
      </c>
    </row>
    <row r="68" spans="1:38" ht="16.5" customHeight="1">
      <c r="A68" s="999">
        <f>'09월 에너지'!A68</f>
        <v>46267</v>
      </c>
      <c r="B68" s="1002">
        <f>'09월 조업일지'!B66</f>
        <v>46267</v>
      </c>
      <c r="C68" s="1003" t="str">
        <f>'09월 에너지'!C68</f>
        <v>D</v>
      </c>
      <c r="D68" s="1004" t="str">
        <f>'09월 에너지'!D68</f>
        <v>A</v>
      </c>
      <c r="E68" s="1000">
        <f>'09월 에너지'!E68</f>
        <v>85268</v>
      </c>
      <c r="F68" s="1094" t="str">
        <f>'09월 에너지'!F68</f>
        <v>SS400-05</v>
      </c>
      <c r="G68" s="980"/>
      <c r="H68" s="978"/>
      <c r="I68" s="978"/>
      <c r="J68" s="978"/>
      <c r="K68" s="978"/>
      <c r="L68" s="978"/>
      <c r="M68" s="978"/>
      <c r="N68" s="978"/>
      <c r="O68" s="1106" t="str">
        <f t="shared" si="47"/>
        <v/>
      </c>
      <c r="P68" s="1108">
        <f>8600+16900+6500+7400+7600+1600</f>
        <v>48600</v>
      </c>
      <c r="Q68" s="979">
        <f>10100+9000</f>
        <v>19100</v>
      </c>
      <c r="R68" s="979">
        <v>8000</v>
      </c>
      <c r="S68" s="979"/>
      <c r="T68" s="979"/>
      <c r="U68" s="979">
        <v>3200</v>
      </c>
      <c r="V68" s="979">
        <f>4600+3100+12600+8900</f>
        <v>29200</v>
      </c>
      <c r="W68" s="979">
        <v>3000</v>
      </c>
      <c r="X68" s="979">
        <v>7800</v>
      </c>
      <c r="Y68" s="979">
        <f>4600+13400</f>
        <v>18000</v>
      </c>
      <c r="Z68" s="979"/>
      <c r="AA68" s="979">
        <v>2900</v>
      </c>
      <c r="AB68" s="979">
        <v>400</v>
      </c>
      <c r="AC68" s="979">
        <v>2600</v>
      </c>
      <c r="AD68" s="979">
        <v>1400</v>
      </c>
      <c r="AE68" s="1109">
        <f t="shared" si="51"/>
        <v>144200</v>
      </c>
      <c r="AF68" s="1113">
        <v>4400</v>
      </c>
      <c r="AG68" s="981">
        <v>11500</v>
      </c>
      <c r="AH68" s="981">
        <v>3500</v>
      </c>
      <c r="AI68" s="1114">
        <f t="shared" si="48"/>
        <v>19400</v>
      </c>
      <c r="AJ68" s="1110">
        <f t="shared" si="49"/>
        <v>163600</v>
      </c>
      <c r="AK68" s="982">
        <f>'09월 에너지'!S68</f>
        <v>144.4</v>
      </c>
      <c r="AL68" s="983">
        <f t="shared" si="50"/>
        <v>0.88264058679706603</v>
      </c>
    </row>
    <row r="69" spans="1:38" ht="16.5" customHeight="1">
      <c r="A69" s="999">
        <f>'09월 에너지'!A69</f>
        <v>46267</v>
      </c>
      <c r="B69" s="1002">
        <f>'09월 조업일지'!B67</f>
        <v>46267</v>
      </c>
      <c r="C69" s="1003" t="str">
        <f>'09월 에너지'!C69</f>
        <v>D</v>
      </c>
      <c r="D69" s="1004" t="str">
        <f>'09월 에너지'!D69</f>
        <v>B</v>
      </c>
      <c r="E69" s="1000">
        <f>'09월 에너지'!E69</f>
        <v>85269</v>
      </c>
      <c r="F69" s="1094" t="str">
        <f>'09월 에너지'!F69</f>
        <v>SS400-05</v>
      </c>
      <c r="G69" s="980"/>
      <c r="H69" s="978"/>
      <c r="I69" s="978"/>
      <c r="J69" s="978"/>
      <c r="K69" s="978"/>
      <c r="L69" s="978"/>
      <c r="M69" s="978"/>
      <c r="N69" s="978"/>
      <c r="O69" s="1106" t="str">
        <f t="shared" si="47"/>
        <v/>
      </c>
      <c r="P69" s="1108">
        <f>7000+11000+12900+7600+5900+5800</f>
        <v>50200</v>
      </c>
      <c r="Q69" s="979">
        <f>6200+6400</f>
        <v>12600</v>
      </c>
      <c r="R69" s="979">
        <v>7000</v>
      </c>
      <c r="S69" s="979"/>
      <c r="T69" s="979"/>
      <c r="U69" s="979">
        <v>7900</v>
      </c>
      <c r="V69" s="979">
        <f>5100+2300+5500+8900</f>
        <v>21800</v>
      </c>
      <c r="W69" s="979">
        <v>3100</v>
      </c>
      <c r="X69" s="979">
        <v>7900</v>
      </c>
      <c r="Y69" s="979">
        <f>3600+13900+3600</f>
        <v>21100</v>
      </c>
      <c r="Z69" s="979"/>
      <c r="AA69" s="979">
        <v>3300</v>
      </c>
      <c r="AB69" s="979">
        <v>1100</v>
      </c>
      <c r="AC69" s="979">
        <v>1700</v>
      </c>
      <c r="AD69" s="979">
        <v>1600</v>
      </c>
      <c r="AE69" s="1109">
        <f t="shared" si="51"/>
        <v>139300</v>
      </c>
      <c r="AF69" s="1113">
        <v>5100</v>
      </c>
      <c r="AG69" s="981">
        <v>9100</v>
      </c>
      <c r="AH69" s="981">
        <v>5200</v>
      </c>
      <c r="AI69" s="1114">
        <f t="shared" si="48"/>
        <v>19400</v>
      </c>
      <c r="AJ69" s="1110">
        <f t="shared" si="49"/>
        <v>158700</v>
      </c>
      <c r="AK69" s="982">
        <f>'09월 에너지'!S69</f>
        <v>145</v>
      </c>
      <c r="AL69" s="983">
        <f t="shared" si="50"/>
        <v>0.91367359798361691</v>
      </c>
    </row>
    <row r="70" spans="1:38" ht="16.5" customHeight="1">
      <c r="A70" s="999">
        <f>'09월 에너지'!A70</f>
        <v>46267</v>
      </c>
      <c r="B70" s="1002">
        <f>'09월 조업일지'!B68</f>
        <v>46267</v>
      </c>
      <c r="C70" s="1003" t="str">
        <f>'09월 에너지'!C70</f>
        <v>D</v>
      </c>
      <c r="D70" s="1004" t="str">
        <f>'09월 에너지'!D70</f>
        <v>A</v>
      </c>
      <c r="E70" s="1000">
        <f>'09월 에너지'!E70</f>
        <v>85270</v>
      </c>
      <c r="F70" s="1094" t="str">
        <f>'09월 에너지'!F70</f>
        <v>SS400-05</v>
      </c>
      <c r="G70" s="980"/>
      <c r="H70" s="978"/>
      <c r="I70" s="978"/>
      <c r="J70" s="978"/>
      <c r="K70" s="978"/>
      <c r="L70" s="978"/>
      <c r="M70" s="978"/>
      <c r="N70" s="978"/>
      <c r="O70" s="1106" t="str">
        <f t="shared" si="47"/>
        <v/>
      </c>
      <c r="P70" s="1108">
        <f>5200+3700+19000+6400+7000+2400</f>
        <v>43700</v>
      </c>
      <c r="Q70" s="979">
        <f>11300+4600</f>
        <v>15900</v>
      </c>
      <c r="R70" s="979">
        <v>8900</v>
      </c>
      <c r="S70" s="979"/>
      <c r="T70" s="979"/>
      <c r="U70" s="979">
        <v>4700</v>
      </c>
      <c r="V70" s="979">
        <f>4500+3100+6100+9900</f>
        <v>23600</v>
      </c>
      <c r="W70" s="979">
        <v>2700</v>
      </c>
      <c r="X70" s="979">
        <v>9000</v>
      </c>
      <c r="Y70" s="979">
        <f>3700+11800+5900</f>
        <v>21400</v>
      </c>
      <c r="Z70" s="979"/>
      <c r="AA70" s="979">
        <v>900</v>
      </c>
      <c r="AB70" s="979">
        <v>1200</v>
      </c>
      <c r="AC70" s="979">
        <v>3000</v>
      </c>
      <c r="AD70" s="979">
        <v>4100</v>
      </c>
      <c r="AE70" s="1109">
        <f t="shared" si="51"/>
        <v>139100</v>
      </c>
      <c r="AF70" s="1113">
        <v>3800</v>
      </c>
      <c r="AG70" s="981">
        <v>7100</v>
      </c>
      <c r="AH70" s="981">
        <v>8900</v>
      </c>
      <c r="AI70" s="1114">
        <f t="shared" si="48"/>
        <v>19800</v>
      </c>
      <c r="AJ70" s="1110">
        <f t="shared" si="49"/>
        <v>158900</v>
      </c>
      <c r="AK70" s="982">
        <f>'09월 에너지'!S70</f>
        <v>145.1</v>
      </c>
      <c r="AL70" s="983">
        <f t="shared" si="50"/>
        <v>0.91315292636878542</v>
      </c>
    </row>
    <row r="71" spans="1:38" ht="16.5" customHeight="1">
      <c r="A71" s="999">
        <f>'09월 에너지'!A71</f>
        <v>46267</v>
      </c>
      <c r="B71" s="1002">
        <f>'09월 조업일지'!B69</f>
        <v>46267</v>
      </c>
      <c r="C71" s="1003" t="str">
        <f>'09월 에너지'!C71</f>
        <v>D</v>
      </c>
      <c r="D71" s="1004" t="str">
        <f>'09월 에너지'!D71</f>
        <v>B</v>
      </c>
      <c r="E71" s="1000">
        <f>'09월 에너지'!E71</f>
        <v>85271</v>
      </c>
      <c r="F71" s="1094" t="str">
        <f>'09월 에너지'!F71</f>
        <v>SS400-05</v>
      </c>
      <c r="G71" s="980"/>
      <c r="H71" s="978"/>
      <c r="I71" s="978"/>
      <c r="J71" s="978"/>
      <c r="K71" s="978"/>
      <c r="L71" s="978"/>
      <c r="M71" s="978"/>
      <c r="N71" s="978"/>
      <c r="O71" s="1106" t="str">
        <f t="shared" si="47"/>
        <v/>
      </c>
      <c r="P71" s="1108">
        <f>8200+11600+10100+6900+2900+10000</f>
        <v>49700</v>
      </c>
      <c r="Q71" s="979">
        <f>9200+5300</f>
        <v>14500</v>
      </c>
      <c r="R71" s="979">
        <v>7000</v>
      </c>
      <c r="S71" s="979"/>
      <c r="T71" s="979"/>
      <c r="U71" s="979">
        <v>8100</v>
      </c>
      <c r="V71" s="979">
        <f>5000+4200+4000+8800</f>
        <v>22000</v>
      </c>
      <c r="W71" s="979">
        <v>3200</v>
      </c>
      <c r="X71" s="979">
        <v>8500</v>
      </c>
      <c r="Y71" s="979">
        <f>1300+15400+3900</f>
        <v>20600</v>
      </c>
      <c r="Z71" s="979"/>
      <c r="AA71" s="979">
        <v>1600</v>
      </c>
      <c r="AB71" s="979">
        <v>1500</v>
      </c>
      <c r="AC71" s="979">
        <v>2300</v>
      </c>
      <c r="AD71" s="979">
        <v>1900</v>
      </c>
      <c r="AE71" s="1109">
        <f t="shared" si="51"/>
        <v>140900</v>
      </c>
      <c r="AF71" s="1113">
        <v>3900</v>
      </c>
      <c r="AG71" s="981">
        <v>9100</v>
      </c>
      <c r="AH71" s="981">
        <v>4800</v>
      </c>
      <c r="AI71" s="1114">
        <f t="shared" si="48"/>
        <v>17800</v>
      </c>
      <c r="AJ71" s="1110">
        <f t="shared" si="49"/>
        <v>158700</v>
      </c>
      <c r="AK71" s="982">
        <f>'09월 에너지'!S71</f>
        <v>145</v>
      </c>
      <c r="AL71" s="983">
        <f t="shared" si="50"/>
        <v>0.91367359798361691</v>
      </c>
    </row>
    <row r="72" spans="1:38" ht="16.5" customHeight="1">
      <c r="A72" s="999">
        <f>'09월 에너지'!A72</f>
        <v>46267</v>
      </c>
      <c r="B72" s="1002">
        <f>'09월 조업일지'!B70</f>
        <v>46267</v>
      </c>
      <c r="C72" s="1003" t="str">
        <f>'09월 에너지'!C72</f>
        <v>D</v>
      </c>
      <c r="D72" s="1004" t="str">
        <f>'09월 에너지'!D72</f>
        <v>A</v>
      </c>
      <c r="E72" s="1000">
        <f>'09월 에너지'!E72</f>
        <v>85272</v>
      </c>
      <c r="F72" s="1094" t="str">
        <f>'09월 에너지'!F72</f>
        <v>SS400-05</v>
      </c>
      <c r="G72" s="980"/>
      <c r="H72" s="978"/>
      <c r="I72" s="978"/>
      <c r="J72" s="978"/>
      <c r="K72" s="978"/>
      <c r="L72" s="978"/>
      <c r="M72" s="978"/>
      <c r="N72" s="978"/>
      <c r="O72" s="1106" t="str">
        <f t="shared" si="47"/>
        <v/>
      </c>
      <c r="P72" s="1108">
        <f>10300+7200+6200+9600+3300+2000</f>
        <v>38600</v>
      </c>
      <c r="Q72" s="979">
        <v>22300</v>
      </c>
      <c r="R72" s="979">
        <v>8800</v>
      </c>
      <c r="S72" s="979"/>
      <c r="T72" s="979"/>
      <c r="U72" s="979">
        <v>2600</v>
      </c>
      <c r="V72" s="979">
        <f>7100+6200+7100+11300</f>
        <v>31700</v>
      </c>
      <c r="W72" s="979">
        <v>800</v>
      </c>
      <c r="X72" s="979">
        <v>8500</v>
      </c>
      <c r="Y72" s="979">
        <f>2600+12000+3300</f>
        <v>17900</v>
      </c>
      <c r="Z72" s="979"/>
      <c r="AA72" s="979">
        <v>2500</v>
      </c>
      <c r="AB72" s="979">
        <v>1200</v>
      </c>
      <c r="AC72" s="979">
        <v>2700</v>
      </c>
      <c r="AD72" s="979">
        <v>2700</v>
      </c>
      <c r="AE72" s="1109">
        <f t="shared" si="51"/>
        <v>140300</v>
      </c>
      <c r="AF72" s="1113">
        <v>3700</v>
      </c>
      <c r="AG72" s="981">
        <v>7700</v>
      </c>
      <c r="AH72" s="981">
        <v>6200</v>
      </c>
      <c r="AI72" s="1114">
        <f t="shared" si="48"/>
        <v>17600</v>
      </c>
      <c r="AJ72" s="1110">
        <f t="shared" si="49"/>
        <v>157900</v>
      </c>
      <c r="AK72" s="982">
        <f>'09월 에너지'!S72</f>
        <v>143.1</v>
      </c>
      <c r="AL72" s="983">
        <f t="shared" si="50"/>
        <v>0.90626979100696647</v>
      </c>
    </row>
    <row r="73" spans="1:38" ht="16.5" customHeight="1">
      <c r="A73" s="999">
        <f>'09월 에너지'!A73</f>
        <v>46267</v>
      </c>
      <c r="B73" s="1002">
        <f>'09월 조업일지'!B71</f>
        <v>46267</v>
      </c>
      <c r="C73" s="1003" t="str">
        <f>'09월 에너지'!C73</f>
        <v>D</v>
      </c>
      <c r="D73" s="1004" t="str">
        <f>'09월 에너지'!D73</f>
        <v>B</v>
      </c>
      <c r="E73" s="1000">
        <f>'09월 에너지'!E73</f>
        <v>85273</v>
      </c>
      <c r="F73" s="1094" t="str">
        <f>'09월 에너지'!F73</f>
        <v>SS400-05</v>
      </c>
      <c r="G73" s="980"/>
      <c r="H73" s="978"/>
      <c r="I73" s="978"/>
      <c r="J73" s="978"/>
      <c r="K73" s="978"/>
      <c r="L73" s="978"/>
      <c r="M73" s="978"/>
      <c r="N73" s="978"/>
      <c r="O73" s="1106" t="str">
        <f t="shared" si="47"/>
        <v/>
      </c>
      <c r="P73" s="1108">
        <f>9600+7300+13900+7200+6900+6900</f>
        <v>51800</v>
      </c>
      <c r="Q73" s="979">
        <f>10000+4100</f>
        <v>14100</v>
      </c>
      <c r="R73" s="979">
        <v>7900</v>
      </c>
      <c r="S73" s="979"/>
      <c r="T73" s="979"/>
      <c r="U73" s="979">
        <v>6900</v>
      </c>
      <c r="V73" s="979">
        <f>4900+1800+5900+9100</f>
        <v>21700</v>
      </c>
      <c r="W73" s="979">
        <v>3800</v>
      </c>
      <c r="X73" s="979">
        <v>7900</v>
      </c>
      <c r="Y73" s="979">
        <f>3100+10600+3900</f>
        <v>17600</v>
      </c>
      <c r="Z73" s="979"/>
      <c r="AA73" s="979">
        <v>2200</v>
      </c>
      <c r="AB73" s="979">
        <v>1000</v>
      </c>
      <c r="AC73" s="979">
        <v>2500</v>
      </c>
      <c r="AD73" s="979">
        <v>2700</v>
      </c>
      <c r="AE73" s="1109">
        <f t="shared" si="51"/>
        <v>140100</v>
      </c>
      <c r="AF73" s="1113">
        <v>3900</v>
      </c>
      <c r="AG73" s="981">
        <v>10700</v>
      </c>
      <c r="AH73" s="981">
        <v>3800</v>
      </c>
      <c r="AI73" s="1114">
        <f t="shared" si="48"/>
        <v>18400</v>
      </c>
      <c r="AJ73" s="1110">
        <f t="shared" si="49"/>
        <v>158500</v>
      </c>
      <c r="AK73" s="982">
        <f>'09월 에너지'!S73</f>
        <v>143.9</v>
      </c>
      <c r="AL73" s="983">
        <f t="shared" si="50"/>
        <v>0.90788643533123026</v>
      </c>
    </row>
    <row r="74" spans="1:38" ht="16.5" customHeight="1">
      <c r="A74" s="999">
        <f>'09월 에너지'!A74</f>
        <v>46267</v>
      </c>
      <c r="B74" s="1002">
        <f>'09월 조업일지'!B72</f>
        <v>46267</v>
      </c>
      <c r="C74" s="1003" t="str">
        <f>'09월 에너지'!C74</f>
        <v>D</v>
      </c>
      <c r="D74" s="1004" t="str">
        <f>'09월 에너지'!D74</f>
        <v>A</v>
      </c>
      <c r="E74" s="1000">
        <f>'09월 에너지'!E74</f>
        <v>85274</v>
      </c>
      <c r="F74" s="1094" t="str">
        <f>'09월 에너지'!F74</f>
        <v>SS400-05</v>
      </c>
      <c r="G74" s="980"/>
      <c r="H74" s="978"/>
      <c r="I74" s="978"/>
      <c r="J74" s="978"/>
      <c r="K74" s="978"/>
      <c r="L74" s="978"/>
      <c r="M74" s="978"/>
      <c r="N74" s="978"/>
      <c r="O74" s="1106" t="str">
        <f t="shared" si="47"/>
        <v/>
      </c>
      <c r="P74" s="1108">
        <f>8900+8500+8700+6800+4800+9700</f>
        <v>47400</v>
      </c>
      <c r="Q74" s="979">
        <f>5600+5600</f>
        <v>11200</v>
      </c>
      <c r="R74" s="979">
        <v>9300</v>
      </c>
      <c r="S74" s="979"/>
      <c r="T74" s="979"/>
      <c r="U74" s="979">
        <v>5600</v>
      </c>
      <c r="V74" s="979">
        <f>7300+2200+2500+10800</f>
        <v>22800</v>
      </c>
      <c r="W74" s="979">
        <v>5500</v>
      </c>
      <c r="X74" s="979">
        <v>6200</v>
      </c>
      <c r="Y74" s="979">
        <f>3000+13200+3900</f>
        <v>20100</v>
      </c>
      <c r="Z74" s="979"/>
      <c r="AA74" s="979">
        <v>4400</v>
      </c>
      <c r="AB74" s="979">
        <v>1100</v>
      </c>
      <c r="AC74" s="979">
        <v>2800</v>
      </c>
      <c r="AD74" s="979">
        <v>1000</v>
      </c>
      <c r="AE74" s="1109">
        <f t="shared" si="51"/>
        <v>137400</v>
      </c>
      <c r="AF74" s="1113">
        <v>2900</v>
      </c>
      <c r="AG74" s="981">
        <v>8900</v>
      </c>
      <c r="AH74" s="981">
        <v>10400</v>
      </c>
      <c r="AI74" s="1114">
        <f t="shared" si="48"/>
        <v>22200</v>
      </c>
      <c r="AJ74" s="1110">
        <f t="shared" si="49"/>
        <v>159600</v>
      </c>
      <c r="AK74" s="982">
        <f>'09월 에너지'!S74</f>
        <v>143</v>
      </c>
      <c r="AL74" s="983">
        <f t="shared" si="50"/>
        <v>0.89598997493734334</v>
      </c>
    </row>
    <row r="75" spans="1:38" ht="16.5" customHeight="1">
      <c r="A75" s="999">
        <f>'09월 에너지'!A75</f>
        <v>46268</v>
      </c>
      <c r="B75" s="1002">
        <f>'09월 조업일지'!B73</f>
        <v>46267</v>
      </c>
      <c r="C75" s="1003" t="str">
        <f>'09월 에너지'!C75</f>
        <v>D</v>
      </c>
      <c r="D75" s="1004" t="str">
        <f>'09월 에너지'!D75</f>
        <v>B</v>
      </c>
      <c r="E75" s="1000">
        <f>'09월 에너지'!E75</f>
        <v>85275</v>
      </c>
      <c r="F75" s="1094" t="str">
        <f>'09월 에너지'!F75</f>
        <v>SS400-05</v>
      </c>
      <c r="G75" s="980"/>
      <c r="H75" s="978"/>
      <c r="I75" s="978"/>
      <c r="J75" s="978"/>
      <c r="K75" s="978"/>
      <c r="L75" s="978"/>
      <c r="M75" s="978"/>
      <c r="N75" s="978"/>
      <c r="O75" s="1106" t="str">
        <f t="shared" si="47"/>
        <v/>
      </c>
      <c r="P75" s="1108">
        <f>7600+11500+13500+7200+5100+4800</f>
        <v>49700</v>
      </c>
      <c r="Q75" s="979">
        <f>10100+8700</f>
        <v>18800</v>
      </c>
      <c r="R75" s="979">
        <v>6500</v>
      </c>
      <c r="S75" s="979"/>
      <c r="T75" s="979"/>
      <c r="U75" s="979">
        <v>10500</v>
      </c>
      <c r="V75" s="979">
        <f>3900+4000+3600+9200</f>
        <v>20700</v>
      </c>
      <c r="W75" s="979">
        <v>2800</v>
      </c>
      <c r="X75" s="979">
        <v>8400</v>
      </c>
      <c r="Y75" s="979">
        <f>2700+10200+3800</f>
        <v>16700</v>
      </c>
      <c r="Z75" s="979"/>
      <c r="AA75" s="979">
        <v>1700</v>
      </c>
      <c r="AB75" s="979">
        <v>1800</v>
      </c>
      <c r="AC75" s="979">
        <v>1000</v>
      </c>
      <c r="AD75" s="979">
        <v>2600</v>
      </c>
      <c r="AE75" s="1109">
        <f t="shared" si="51"/>
        <v>141200</v>
      </c>
      <c r="AF75" s="1113">
        <v>4900</v>
      </c>
      <c r="AG75" s="981">
        <v>8800</v>
      </c>
      <c r="AH75" s="981">
        <v>3700</v>
      </c>
      <c r="AI75" s="1114">
        <f t="shared" si="48"/>
        <v>17400</v>
      </c>
      <c r="AJ75" s="1110">
        <f t="shared" si="49"/>
        <v>158600</v>
      </c>
      <c r="AK75" s="982">
        <f>'09월 에너지'!S75</f>
        <v>143.1</v>
      </c>
      <c r="AL75" s="983">
        <f t="shared" si="50"/>
        <v>0.90226986128625475</v>
      </c>
    </row>
    <row r="76" spans="1:38" ht="16.5" customHeight="1">
      <c r="A76" s="999">
        <f>'09월 에너지'!A76</f>
        <v>46268</v>
      </c>
      <c r="B76" s="1002">
        <f>'09월 조업일지'!B74</f>
        <v>46267</v>
      </c>
      <c r="C76" s="1003" t="str">
        <f>'09월 에너지'!C76</f>
        <v>D</v>
      </c>
      <c r="D76" s="1004" t="str">
        <f>'09월 에너지'!D76</f>
        <v>A</v>
      </c>
      <c r="E76" s="1000">
        <f>'09월 에너지'!E76</f>
        <v>85276</v>
      </c>
      <c r="F76" s="1094" t="str">
        <f>'09월 에너지'!F76</f>
        <v>SS400-05</v>
      </c>
      <c r="G76" s="980"/>
      <c r="H76" s="978"/>
      <c r="I76" s="978"/>
      <c r="J76" s="978"/>
      <c r="K76" s="978"/>
      <c r="L76" s="978"/>
      <c r="M76" s="978"/>
      <c r="N76" s="978"/>
      <c r="O76" s="1106" t="str">
        <f t="shared" si="47"/>
        <v/>
      </c>
      <c r="P76" s="1108">
        <f>5700+8400+17400+9800+5100+3000</f>
        <v>49400</v>
      </c>
      <c r="Q76" s="979">
        <f>6900+8100</f>
        <v>15000</v>
      </c>
      <c r="R76" s="979">
        <v>9800</v>
      </c>
      <c r="S76" s="979"/>
      <c r="T76" s="979"/>
      <c r="U76" s="979">
        <v>3500</v>
      </c>
      <c r="V76" s="979">
        <f>3500+6200+4700+9100</f>
        <v>23500</v>
      </c>
      <c r="W76" s="979">
        <v>1700</v>
      </c>
      <c r="X76" s="979">
        <v>7400</v>
      </c>
      <c r="Y76" s="979">
        <f>5000+12000+2500</f>
        <v>19500</v>
      </c>
      <c r="Z76" s="979"/>
      <c r="AA76" s="979">
        <v>1200</v>
      </c>
      <c r="AB76" s="979">
        <v>3000</v>
      </c>
      <c r="AC76" s="979">
        <v>1500</v>
      </c>
      <c r="AD76" s="979">
        <v>2900</v>
      </c>
      <c r="AE76" s="1109">
        <f t="shared" si="51"/>
        <v>138400</v>
      </c>
      <c r="AF76" s="1113">
        <v>4700</v>
      </c>
      <c r="AG76" s="981">
        <v>7700</v>
      </c>
      <c r="AH76" s="981">
        <v>8800</v>
      </c>
      <c r="AI76" s="1114">
        <f t="shared" si="48"/>
        <v>21200</v>
      </c>
      <c r="AJ76" s="1110">
        <f t="shared" si="49"/>
        <v>159600</v>
      </c>
      <c r="AK76" s="982">
        <f>'09월 에너지'!S76</f>
        <v>143.5</v>
      </c>
      <c r="AL76" s="983">
        <f t="shared" si="50"/>
        <v>0.89912280701754388</v>
      </c>
    </row>
    <row r="77" spans="1:38" ht="16.5" customHeight="1">
      <c r="A77" s="999">
        <f>'09월 에너지'!A77</f>
        <v>46268</v>
      </c>
      <c r="B77" s="1002">
        <f>'09월 조업일지'!B75</f>
        <v>46267</v>
      </c>
      <c r="C77" s="1003" t="str">
        <f>'09월 에너지'!C77</f>
        <v>D</v>
      </c>
      <c r="D77" s="1004" t="str">
        <f>'09월 에너지'!D77</f>
        <v>B</v>
      </c>
      <c r="E77" s="1000">
        <f>'09월 에너지'!E77</f>
        <v>85277</v>
      </c>
      <c r="F77" s="1094" t="str">
        <f>'09월 에너지'!F77</f>
        <v>SS400-05</v>
      </c>
      <c r="G77" s="980"/>
      <c r="H77" s="978"/>
      <c r="I77" s="978"/>
      <c r="J77" s="978"/>
      <c r="K77" s="978"/>
      <c r="L77" s="978"/>
      <c r="M77" s="978"/>
      <c r="N77" s="978"/>
      <c r="O77" s="1106" t="str">
        <f t="shared" si="47"/>
        <v/>
      </c>
      <c r="P77" s="1108">
        <f>10300+12200+10400+6900+5100+7400</f>
        <v>52300</v>
      </c>
      <c r="Q77" s="979">
        <f>8500+6500</f>
        <v>15000</v>
      </c>
      <c r="R77" s="979">
        <v>7300</v>
      </c>
      <c r="S77" s="979"/>
      <c r="T77" s="979"/>
      <c r="U77" s="979">
        <v>7100</v>
      </c>
      <c r="V77" s="979">
        <f>6200+3400+4300+8900</f>
        <v>22800</v>
      </c>
      <c r="W77" s="979">
        <v>2800</v>
      </c>
      <c r="X77" s="979">
        <v>8600</v>
      </c>
      <c r="Y77" s="979">
        <f>2600+10700+4100</f>
        <v>17400</v>
      </c>
      <c r="Z77" s="979"/>
      <c r="AA77" s="979">
        <v>2200</v>
      </c>
      <c r="AB77" s="979">
        <v>1500</v>
      </c>
      <c r="AC77" s="979">
        <v>2100</v>
      </c>
      <c r="AD77" s="979">
        <v>2600</v>
      </c>
      <c r="AE77" s="1109">
        <f t="shared" si="51"/>
        <v>141700</v>
      </c>
      <c r="AF77" s="1113">
        <v>4100</v>
      </c>
      <c r="AG77" s="981">
        <v>9300</v>
      </c>
      <c r="AH77" s="981">
        <v>4200</v>
      </c>
      <c r="AI77" s="1114">
        <f t="shared" si="48"/>
        <v>17600</v>
      </c>
      <c r="AJ77" s="1110">
        <f t="shared" si="49"/>
        <v>159300</v>
      </c>
      <c r="AK77" s="982">
        <f>'09월 에너지'!S77</f>
        <v>142.69999999999999</v>
      </c>
      <c r="AL77" s="983">
        <f t="shared" si="50"/>
        <v>0.89579409918392972</v>
      </c>
    </row>
    <row r="78" spans="1:38" ht="16.5" customHeight="1">
      <c r="A78" s="999">
        <f>'09월 에너지'!A78</f>
        <v>46268</v>
      </c>
      <c r="B78" s="1002">
        <f>'09월 조업일지'!B76</f>
        <v>46267</v>
      </c>
      <c r="C78" s="1003" t="str">
        <f>'09월 에너지'!C78</f>
        <v>D</v>
      </c>
      <c r="D78" s="1004" t="str">
        <f>'09월 에너지'!D78</f>
        <v>A</v>
      </c>
      <c r="E78" s="1000">
        <f>'09월 에너지'!E78</f>
        <v>85278</v>
      </c>
      <c r="F78" s="1094" t="str">
        <f>'09월 에너지'!F78</f>
        <v>SS400-05</v>
      </c>
      <c r="G78" s="980"/>
      <c r="H78" s="978"/>
      <c r="I78" s="978"/>
      <c r="J78" s="978"/>
      <c r="K78" s="978"/>
      <c r="L78" s="978"/>
      <c r="M78" s="978"/>
      <c r="N78" s="978"/>
      <c r="O78" s="1106" t="str">
        <f t="shared" si="47"/>
        <v/>
      </c>
      <c r="P78" s="1108">
        <f>7800+1900+8600+7300+3900+8700</f>
        <v>38200</v>
      </c>
      <c r="Q78" s="979">
        <f>11700+6600</f>
        <v>18300</v>
      </c>
      <c r="R78" s="979">
        <v>16600</v>
      </c>
      <c r="S78" s="979"/>
      <c r="T78" s="979"/>
      <c r="U78" s="979">
        <v>9800</v>
      </c>
      <c r="V78" s="979">
        <f>4600+2300+1800+9900</f>
        <v>18600</v>
      </c>
      <c r="W78" s="979">
        <v>3300</v>
      </c>
      <c r="X78" s="979">
        <v>8100</v>
      </c>
      <c r="Y78" s="979">
        <f>4900+9500+6300</f>
        <v>20700</v>
      </c>
      <c r="Z78" s="979"/>
      <c r="AA78" s="979">
        <v>200</v>
      </c>
      <c r="AB78" s="979">
        <v>5300</v>
      </c>
      <c r="AC78" s="979">
        <v>3100</v>
      </c>
      <c r="AD78" s="979">
        <v>8300</v>
      </c>
      <c r="AE78" s="1109">
        <f t="shared" ref="AE78:AE80" si="58">IF(SUM(P78:AD78)=0,"",SUM(P78:AD78))</f>
        <v>150500</v>
      </c>
      <c r="AF78" s="1113">
        <v>3000</v>
      </c>
      <c r="AG78" s="981">
        <v>3600</v>
      </c>
      <c r="AH78" s="981">
        <v>2700</v>
      </c>
      <c r="AI78" s="1114">
        <f t="shared" ref="AI78:AI80" si="59">IF(SUM(AF78:AH78)=0,"",SUM(AF78:AH78))</f>
        <v>9300</v>
      </c>
      <c r="AJ78" s="1110">
        <f t="shared" ref="AJ78:AJ80" si="60">IF(SUM(O78,AE78,AI78)=0,"",SUM(O78,AE78,AI78))</f>
        <v>159800</v>
      </c>
      <c r="AK78" s="982">
        <f>'09월 에너지'!S78</f>
        <v>143.69999999999999</v>
      </c>
      <c r="AL78" s="983">
        <f t="shared" si="50"/>
        <v>0.89924906132665827</v>
      </c>
    </row>
    <row r="79" spans="1:38" ht="16.5" customHeight="1">
      <c r="A79" s="999">
        <f>'09월 에너지'!A79</f>
        <v>46268</v>
      </c>
      <c r="B79" s="1002">
        <f>'09월 조업일지'!B77</f>
        <v>46268</v>
      </c>
      <c r="C79" s="1003" t="str">
        <f>'09월 에너지'!C79</f>
        <v>B</v>
      </c>
      <c r="D79" s="1004" t="str">
        <f>'09월 에너지'!D79</f>
        <v>B</v>
      </c>
      <c r="E79" s="1000">
        <f>'09월 에너지'!E79</f>
        <v>85279</v>
      </c>
      <c r="F79" s="1094" t="str">
        <f>'09월 에너지'!F79</f>
        <v>SS400-05</v>
      </c>
      <c r="G79" s="980"/>
      <c r="H79" s="978"/>
      <c r="I79" s="978"/>
      <c r="J79" s="978"/>
      <c r="K79" s="978"/>
      <c r="L79" s="978"/>
      <c r="M79" s="978"/>
      <c r="N79" s="978"/>
      <c r="O79" s="1106" t="str">
        <f t="shared" ref="O79:O142" si="61">IF(SUM(G79:N79)=0,"",SUM(G79:N79))</f>
        <v/>
      </c>
      <c r="P79" s="1108">
        <f>12100+11000+11500+7400+7100+5300</f>
        <v>54400</v>
      </c>
      <c r="Q79" s="979">
        <f>10500+6000</f>
        <v>16500</v>
      </c>
      <c r="R79" s="979">
        <v>7200</v>
      </c>
      <c r="S79" s="979"/>
      <c r="T79" s="979"/>
      <c r="U79" s="979">
        <v>6900</v>
      </c>
      <c r="V79" s="979">
        <f>5000+3200+4500+9900+5000</f>
        <v>27600</v>
      </c>
      <c r="W79" s="979">
        <v>3900</v>
      </c>
      <c r="X79" s="979">
        <v>7500</v>
      </c>
      <c r="Y79" s="979">
        <f>1600+10100+3700</f>
        <v>15400</v>
      </c>
      <c r="Z79" s="979"/>
      <c r="AA79" s="979">
        <v>1600</v>
      </c>
      <c r="AB79" s="979">
        <v>1600</v>
      </c>
      <c r="AC79" s="979">
        <v>2200</v>
      </c>
      <c r="AD79" s="979">
        <v>2700</v>
      </c>
      <c r="AE79" s="1109">
        <f t="shared" si="58"/>
        <v>147500</v>
      </c>
      <c r="AF79" s="1113">
        <v>3600</v>
      </c>
      <c r="AG79" s="981">
        <v>9700</v>
      </c>
      <c r="AH79" s="981">
        <v>3300</v>
      </c>
      <c r="AI79" s="1114">
        <f t="shared" si="59"/>
        <v>16600</v>
      </c>
      <c r="AJ79" s="1110">
        <f t="shared" si="60"/>
        <v>164100</v>
      </c>
      <c r="AK79" s="982">
        <f>'09월 에너지'!S79</f>
        <v>142.5</v>
      </c>
      <c r="AL79" s="983">
        <f t="shared" ref="AL79:AL142" si="62">IF(ISERROR(IF(AK79="","",(AK79*1000)/AJ79)),0,(IF(AK79="","",(AK79*1000)/AJ79)))</f>
        <v>0.86837294332723947</v>
      </c>
    </row>
    <row r="80" spans="1:38" ht="16.5" customHeight="1">
      <c r="A80" s="999">
        <f>'09월 에너지'!A80</f>
        <v>46268</v>
      </c>
      <c r="B80" s="1002">
        <f>'09월 조업일지'!B78</f>
        <v>46268</v>
      </c>
      <c r="C80" s="1003" t="str">
        <f>'09월 에너지'!C80</f>
        <v>B</v>
      </c>
      <c r="D80" s="1004" t="str">
        <f>'09월 에너지'!D80</f>
        <v>A</v>
      </c>
      <c r="E80" s="1000">
        <f>'09월 에너지'!E80</f>
        <v>85280</v>
      </c>
      <c r="F80" s="1094" t="str">
        <f>'09월 에너지'!F80</f>
        <v>SS400-05</v>
      </c>
      <c r="G80" s="980"/>
      <c r="H80" s="978"/>
      <c r="I80" s="978"/>
      <c r="J80" s="978"/>
      <c r="K80" s="978"/>
      <c r="L80" s="978"/>
      <c r="M80" s="978"/>
      <c r="N80" s="978"/>
      <c r="O80" s="1106" t="str">
        <f t="shared" si="61"/>
        <v/>
      </c>
      <c r="P80" s="1108">
        <v>46600</v>
      </c>
      <c r="Q80" s="979">
        <f>16800+5300-4900</f>
        <v>17200</v>
      </c>
      <c r="R80" s="979">
        <v>6900</v>
      </c>
      <c r="S80" s="979"/>
      <c r="T80" s="979"/>
      <c r="U80" s="979">
        <v>8500</v>
      </c>
      <c r="V80" s="979">
        <f>4400+1600+7100+12700</f>
        <v>25800</v>
      </c>
      <c r="W80" s="979">
        <v>6000</v>
      </c>
      <c r="X80" s="979">
        <v>4600</v>
      </c>
      <c r="Y80" s="979">
        <f>4100+2300+13400</f>
        <v>19800</v>
      </c>
      <c r="Z80" s="979"/>
      <c r="AA80" s="979">
        <v>1600</v>
      </c>
      <c r="AB80" s="979">
        <v>2600</v>
      </c>
      <c r="AC80" s="979">
        <v>2100</v>
      </c>
      <c r="AD80" s="979">
        <v>3200</v>
      </c>
      <c r="AE80" s="1109">
        <f t="shared" si="58"/>
        <v>144900</v>
      </c>
      <c r="AF80" s="1113"/>
      <c r="AG80" s="981">
        <v>9100</v>
      </c>
      <c r="AH80" s="981">
        <v>4500</v>
      </c>
      <c r="AI80" s="1114">
        <f t="shared" si="59"/>
        <v>13600</v>
      </c>
      <c r="AJ80" s="1110">
        <f t="shared" si="60"/>
        <v>158500</v>
      </c>
      <c r="AK80" s="982">
        <f>'09월 에너지'!S80</f>
        <v>144.80000000000001</v>
      </c>
      <c r="AL80" s="983">
        <f t="shared" si="62"/>
        <v>0.91356466876971609</v>
      </c>
    </row>
    <row r="81" spans="1:38" ht="16.5" customHeight="1">
      <c r="A81" s="999">
        <f>'09월 에너지'!A81</f>
        <v>46268</v>
      </c>
      <c r="B81" s="1002">
        <f>'09월 조업일지'!B79</f>
        <v>46268</v>
      </c>
      <c r="C81" s="1003" t="str">
        <f>'09월 에너지'!C81</f>
        <v>B</v>
      </c>
      <c r="D81" s="1004" t="str">
        <f>'09월 에너지'!D81</f>
        <v>B</v>
      </c>
      <c r="E81" s="1000">
        <f>'09월 에너지'!E81</f>
        <v>85281</v>
      </c>
      <c r="F81" s="1094" t="str">
        <f>'09월 에너지'!F81</f>
        <v>SS400-05</v>
      </c>
      <c r="G81" s="980"/>
      <c r="H81" s="978"/>
      <c r="I81" s="978"/>
      <c r="J81" s="978"/>
      <c r="K81" s="978"/>
      <c r="L81" s="978"/>
      <c r="M81" s="978"/>
      <c r="N81" s="978"/>
      <c r="O81" s="1106" t="str">
        <f t="shared" si="61"/>
        <v/>
      </c>
      <c r="P81" s="1108">
        <f>8800+10900+10900+9600+2200</f>
        <v>42400</v>
      </c>
      <c r="Q81" s="979">
        <f>12400+6000</f>
        <v>18400</v>
      </c>
      <c r="R81" s="979">
        <v>4200</v>
      </c>
      <c r="S81" s="979"/>
      <c r="T81" s="979"/>
      <c r="U81" s="979">
        <v>3200</v>
      </c>
      <c r="V81" s="979">
        <f>4100+1900+6800+9200</f>
        <v>22000</v>
      </c>
      <c r="W81" s="979"/>
      <c r="X81" s="979"/>
      <c r="Y81" s="979">
        <f>3400+33400+3600</f>
        <v>40400</v>
      </c>
      <c r="Z81" s="979"/>
      <c r="AA81" s="979">
        <v>1500</v>
      </c>
      <c r="AB81" s="979">
        <v>2600</v>
      </c>
      <c r="AC81" s="979">
        <v>500</v>
      </c>
      <c r="AD81" s="979">
        <v>3100</v>
      </c>
      <c r="AE81" s="1109">
        <f t="shared" ref="AE81:AE142" si="63">IF(SUM(P81:AD81)=0,"",SUM(P81:AD81))</f>
        <v>138300</v>
      </c>
      <c r="AF81" s="1113">
        <v>5600</v>
      </c>
      <c r="AG81" s="981">
        <v>9700</v>
      </c>
      <c r="AH81" s="981">
        <v>5100</v>
      </c>
      <c r="AI81" s="1114">
        <f t="shared" ref="AI81:AI142" si="64">IF(SUM(AF81:AH81)=0,"",SUM(AF81:AH81))</f>
        <v>20400</v>
      </c>
      <c r="AJ81" s="1110">
        <f t="shared" ref="AJ81:AJ142" si="65">IF(SUM(O81,AE81,AI81)=0,"",SUM(O81,AE81,AI81))</f>
        <v>158700</v>
      </c>
      <c r="AK81" s="982">
        <f>'09월 에너지'!S81</f>
        <v>141.4</v>
      </c>
      <c r="AL81" s="983">
        <f t="shared" si="62"/>
        <v>0.89098928796471333</v>
      </c>
    </row>
    <row r="82" spans="1:38" ht="16.5" customHeight="1">
      <c r="A82" s="999">
        <f>'09월 에너지'!A82</f>
        <v>46268</v>
      </c>
      <c r="B82" s="1002">
        <f>'09월 조업일지'!B80</f>
        <v>46268</v>
      </c>
      <c r="C82" s="1003" t="str">
        <f>'09월 에너지'!C82</f>
        <v>B</v>
      </c>
      <c r="D82" s="1004" t="str">
        <f>'09월 에너지'!D82</f>
        <v>A</v>
      </c>
      <c r="E82" s="1000">
        <f>'09월 에너지'!E82</f>
        <v>85282</v>
      </c>
      <c r="F82" s="1094" t="str">
        <f>'09월 에너지'!F82</f>
        <v>SS400-05</v>
      </c>
      <c r="G82" s="980"/>
      <c r="H82" s="978"/>
      <c r="I82" s="978"/>
      <c r="J82" s="978"/>
      <c r="K82" s="978"/>
      <c r="L82" s="978"/>
      <c r="M82" s="978"/>
      <c r="N82" s="978"/>
      <c r="O82" s="1106" t="str">
        <f t="shared" si="61"/>
        <v/>
      </c>
      <c r="P82" s="1108">
        <f>10900+10200+6000+7400+8000+7000</f>
        <v>49500</v>
      </c>
      <c r="Q82" s="979">
        <f>12500+4300</f>
        <v>16800</v>
      </c>
      <c r="R82" s="979">
        <v>8800</v>
      </c>
      <c r="S82" s="979"/>
      <c r="T82" s="979"/>
      <c r="U82" s="979">
        <v>3400</v>
      </c>
      <c r="V82" s="979">
        <v>28500</v>
      </c>
      <c r="W82" s="979">
        <v>1700</v>
      </c>
      <c r="X82" s="979">
        <v>9800</v>
      </c>
      <c r="Y82" s="979">
        <f>1900+17800+800</f>
        <v>20500</v>
      </c>
      <c r="Z82" s="979"/>
      <c r="AA82" s="979">
        <v>1700</v>
      </c>
      <c r="AB82" s="979">
        <v>1300</v>
      </c>
      <c r="AC82" s="979">
        <v>2600</v>
      </c>
      <c r="AD82" s="979">
        <v>2500</v>
      </c>
      <c r="AE82" s="1109">
        <f t="shared" si="63"/>
        <v>147100</v>
      </c>
      <c r="AF82" s="1113">
        <v>4600</v>
      </c>
      <c r="AG82" s="981">
        <v>3700</v>
      </c>
      <c r="AH82" s="981">
        <v>2400</v>
      </c>
      <c r="AI82" s="1114">
        <f t="shared" si="64"/>
        <v>10700</v>
      </c>
      <c r="AJ82" s="1110">
        <f t="shared" si="65"/>
        <v>157800</v>
      </c>
      <c r="AK82" s="982">
        <f>'09월 에너지'!S82</f>
        <v>143.30000000000001</v>
      </c>
      <c r="AL82" s="983">
        <f t="shared" si="62"/>
        <v>0.90811153358681873</v>
      </c>
    </row>
    <row r="83" spans="1:38" ht="16.5" customHeight="1">
      <c r="A83" s="999">
        <f>'09월 에너지'!A83</f>
        <v>46268</v>
      </c>
      <c r="B83" s="1002">
        <f>'09월 조업일지'!B81</f>
        <v>46268</v>
      </c>
      <c r="C83" s="1003" t="str">
        <f>'09월 에너지'!C83</f>
        <v>B</v>
      </c>
      <c r="D83" s="1004" t="str">
        <f>'09월 에너지'!D83</f>
        <v>B</v>
      </c>
      <c r="E83" s="1000">
        <f>'09월 에너지'!E83</f>
        <v>85283</v>
      </c>
      <c r="F83" s="1094" t="str">
        <f>'09월 에너지'!F83</f>
        <v>SS400-05</v>
      </c>
      <c r="G83" s="980"/>
      <c r="H83" s="978"/>
      <c r="I83" s="978"/>
      <c r="J83" s="978"/>
      <c r="K83" s="978"/>
      <c r="L83" s="978"/>
      <c r="M83" s="978"/>
      <c r="N83" s="978"/>
      <c r="O83" s="1106" t="str">
        <f t="shared" si="61"/>
        <v/>
      </c>
      <c r="P83" s="1108">
        <f>6600+13000+10600+7800+4300+6600</f>
        <v>48900</v>
      </c>
      <c r="Q83" s="979">
        <f>8900+5900</f>
        <v>14800</v>
      </c>
      <c r="R83" s="979">
        <f>2800+11500+6900</f>
        <v>21200</v>
      </c>
      <c r="S83" s="979"/>
      <c r="T83" s="979"/>
      <c r="U83" s="979">
        <v>6200</v>
      </c>
      <c r="V83" s="979">
        <f>5100+6100+4100+10400-500</f>
        <v>25200</v>
      </c>
      <c r="W83" s="979">
        <v>2300</v>
      </c>
      <c r="X83" s="979">
        <v>8200</v>
      </c>
      <c r="Y83" s="979">
        <f>20900-9000</f>
        <v>11900</v>
      </c>
      <c r="Z83" s="979"/>
      <c r="AA83" s="979">
        <v>2100</v>
      </c>
      <c r="AB83" s="979">
        <v>2000</v>
      </c>
      <c r="AC83" s="979">
        <v>2300</v>
      </c>
      <c r="AD83" s="979">
        <v>1700</v>
      </c>
      <c r="AE83" s="1109">
        <f t="shared" si="63"/>
        <v>146800</v>
      </c>
      <c r="AF83" s="1113"/>
      <c r="AG83" s="981">
        <v>7200</v>
      </c>
      <c r="AH83" s="981">
        <v>5300</v>
      </c>
      <c r="AI83" s="1114">
        <f t="shared" si="64"/>
        <v>12500</v>
      </c>
      <c r="AJ83" s="1110">
        <f t="shared" si="65"/>
        <v>159300</v>
      </c>
      <c r="AK83" s="982">
        <f>'09월 에너지'!S83</f>
        <v>144.30000000000001</v>
      </c>
      <c r="AL83" s="983">
        <f t="shared" si="62"/>
        <v>0.90583804143126179</v>
      </c>
    </row>
    <row r="84" spans="1:38" ht="16.5" customHeight="1">
      <c r="A84" s="999">
        <f>'09월 에너지'!A84</f>
        <v>46268</v>
      </c>
      <c r="B84" s="1002">
        <f>'09월 조업일지'!B82</f>
        <v>46268</v>
      </c>
      <c r="C84" s="1003" t="str">
        <f>'09월 에너지'!C84</f>
        <v>B</v>
      </c>
      <c r="D84" s="1004" t="str">
        <f>'09월 에너지'!D84</f>
        <v>A</v>
      </c>
      <c r="E84" s="1000">
        <f>'09월 에너지'!E84</f>
        <v>85284</v>
      </c>
      <c r="F84" s="1094" t="str">
        <f>'09월 에너지'!F84</f>
        <v>SS400-05</v>
      </c>
      <c r="G84" s="980"/>
      <c r="H84" s="978"/>
      <c r="I84" s="978"/>
      <c r="J84" s="978"/>
      <c r="K84" s="978"/>
      <c r="L84" s="978"/>
      <c r="M84" s="978"/>
      <c r="N84" s="978"/>
      <c r="O84" s="1106" t="str">
        <f t="shared" si="61"/>
        <v/>
      </c>
      <c r="P84" s="1108">
        <f>6700+11700+6600+8300+8700+8300</f>
        <v>50300</v>
      </c>
      <c r="Q84" s="979">
        <f>12200+5700</f>
        <v>17900</v>
      </c>
      <c r="R84" s="979">
        <v>2500</v>
      </c>
      <c r="S84" s="979"/>
      <c r="T84" s="979"/>
      <c r="U84" s="979">
        <v>9800</v>
      </c>
      <c r="V84" s="979">
        <f>5100+3800+2000+9800</f>
        <v>20700</v>
      </c>
      <c r="W84" s="979">
        <v>3000</v>
      </c>
      <c r="X84" s="979">
        <v>7000</v>
      </c>
      <c r="Y84" s="979">
        <f>6100+10300+1100</f>
        <v>17500</v>
      </c>
      <c r="Z84" s="979"/>
      <c r="AA84" s="979">
        <v>3600</v>
      </c>
      <c r="AB84" s="979">
        <v>1100</v>
      </c>
      <c r="AC84" s="979">
        <v>2100</v>
      </c>
      <c r="AD84" s="979">
        <v>2600</v>
      </c>
      <c r="AE84" s="1109">
        <f t="shared" si="63"/>
        <v>138100</v>
      </c>
      <c r="AF84" s="1113">
        <v>3400</v>
      </c>
      <c r="AG84" s="981">
        <v>10200</v>
      </c>
      <c r="AH84" s="981">
        <v>6100</v>
      </c>
      <c r="AI84" s="1114">
        <f t="shared" si="64"/>
        <v>19700</v>
      </c>
      <c r="AJ84" s="1110">
        <f t="shared" si="65"/>
        <v>157800</v>
      </c>
      <c r="AK84" s="982">
        <f>'09월 에너지'!S84</f>
        <v>142</v>
      </c>
      <c r="AL84" s="983">
        <f t="shared" si="62"/>
        <v>0.89987325728770595</v>
      </c>
    </row>
    <row r="85" spans="1:38" ht="16.5" customHeight="1">
      <c r="A85" s="999">
        <f>'09월 에너지'!A85</f>
        <v>46268</v>
      </c>
      <c r="B85" s="1002">
        <f>'09월 조업일지'!B83</f>
        <v>46268</v>
      </c>
      <c r="C85" s="1003" t="str">
        <f>'09월 에너지'!C85</f>
        <v>B</v>
      </c>
      <c r="D85" s="1004" t="str">
        <f>'09월 에너지'!D85</f>
        <v>B</v>
      </c>
      <c r="E85" s="1000">
        <f>'09월 에너지'!E85</f>
        <v>85285</v>
      </c>
      <c r="F85" s="1094" t="str">
        <f>'09월 에너지'!F85</f>
        <v>SS400-05</v>
      </c>
      <c r="G85" s="980"/>
      <c r="H85" s="978"/>
      <c r="I85" s="978"/>
      <c r="J85" s="978"/>
      <c r="K85" s="978"/>
      <c r="L85" s="978"/>
      <c r="M85" s="978"/>
      <c r="N85" s="978"/>
      <c r="O85" s="1106" t="str">
        <f t="shared" si="61"/>
        <v/>
      </c>
      <c r="P85" s="1108">
        <v>45900</v>
      </c>
      <c r="Q85" s="979">
        <v>17100</v>
      </c>
      <c r="R85" s="979">
        <v>6900</v>
      </c>
      <c r="S85" s="979"/>
      <c r="T85" s="979"/>
      <c r="U85" s="979">
        <v>8500</v>
      </c>
      <c r="V85" s="979">
        <f>4400+1600+7100+12700+500</f>
        <v>26300</v>
      </c>
      <c r="W85" s="979">
        <v>1900</v>
      </c>
      <c r="X85" s="979">
        <v>7500</v>
      </c>
      <c r="Y85" s="979">
        <f>3400+11500+2800</f>
        <v>17700</v>
      </c>
      <c r="Z85" s="979"/>
      <c r="AA85" s="979">
        <v>1600</v>
      </c>
      <c r="AB85" s="979">
        <v>2600</v>
      </c>
      <c r="AC85" s="979">
        <v>2100</v>
      </c>
      <c r="AD85" s="979">
        <v>3200</v>
      </c>
      <c r="AE85" s="1109">
        <f t="shared" si="63"/>
        <v>141300</v>
      </c>
      <c r="AF85" s="1113">
        <v>300</v>
      </c>
      <c r="AG85" s="981">
        <v>13300</v>
      </c>
      <c r="AH85" s="981">
        <v>3500</v>
      </c>
      <c r="AI85" s="1114">
        <f t="shared" si="64"/>
        <v>17100</v>
      </c>
      <c r="AJ85" s="1110">
        <f t="shared" si="65"/>
        <v>158400</v>
      </c>
      <c r="AK85" s="982">
        <f>'09월 에너지'!S85</f>
        <v>143.30000000000001</v>
      </c>
      <c r="AL85" s="983">
        <f t="shared" si="62"/>
        <v>0.90467171717171713</v>
      </c>
    </row>
    <row r="86" spans="1:38" ht="16.5" customHeight="1">
      <c r="A86" s="999">
        <f>'09월 에너지'!A86</f>
        <v>46268</v>
      </c>
      <c r="B86" s="1002">
        <f>'09월 조업일지'!B84</f>
        <v>46268</v>
      </c>
      <c r="C86" s="1003" t="str">
        <f>'09월 에너지'!C86</f>
        <v>B</v>
      </c>
      <c r="D86" s="1004" t="str">
        <f>'09월 에너지'!D86</f>
        <v>A</v>
      </c>
      <c r="E86" s="1000">
        <f>'09월 에너지'!E86</f>
        <v>85286</v>
      </c>
      <c r="F86" s="1094" t="str">
        <f>'09월 에너지'!F86</f>
        <v>SS400-05</v>
      </c>
      <c r="G86" s="980"/>
      <c r="H86" s="978"/>
      <c r="I86" s="978"/>
      <c r="J86" s="978"/>
      <c r="K86" s="978"/>
      <c r="L86" s="978"/>
      <c r="M86" s="978"/>
      <c r="N86" s="978"/>
      <c r="O86" s="1106" t="str">
        <f t="shared" si="61"/>
        <v/>
      </c>
      <c r="P86" s="1108">
        <f>10500+10900+11100+7300+8500+6900</f>
        <v>55200</v>
      </c>
      <c r="Q86" s="979">
        <f>8500+5100+4400</f>
        <v>18000</v>
      </c>
      <c r="R86" s="979">
        <v>5800</v>
      </c>
      <c r="S86" s="979"/>
      <c r="T86" s="979"/>
      <c r="U86" s="979">
        <v>4700</v>
      </c>
      <c r="V86" s="979">
        <f>6000+4100+4300+10400</f>
        <v>24800</v>
      </c>
      <c r="W86" s="979">
        <v>3400</v>
      </c>
      <c r="X86" s="979">
        <v>7900</v>
      </c>
      <c r="Y86" s="979">
        <f>1600+14300+3200</f>
        <v>19100</v>
      </c>
      <c r="Z86" s="979"/>
      <c r="AA86" s="979">
        <v>2500</v>
      </c>
      <c r="AB86" s="979">
        <v>1500</v>
      </c>
      <c r="AC86" s="979">
        <v>1600</v>
      </c>
      <c r="AD86" s="979">
        <v>2100</v>
      </c>
      <c r="AE86" s="1109">
        <f t="shared" si="63"/>
        <v>146600</v>
      </c>
      <c r="AF86" s="1113">
        <v>4500</v>
      </c>
      <c r="AG86" s="981">
        <v>2800</v>
      </c>
      <c r="AH86" s="981">
        <v>4500</v>
      </c>
      <c r="AI86" s="1114">
        <f t="shared" si="64"/>
        <v>11800</v>
      </c>
      <c r="AJ86" s="1110">
        <f t="shared" si="65"/>
        <v>158400</v>
      </c>
      <c r="AK86" s="982">
        <f>'09월 에너지'!S86</f>
        <v>143.4</v>
      </c>
      <c r="AL86" s="983">
        <f t="shared" si="62"/>
        <v>0.90530303030303028</v>
      </c>
    </row>
    <row r="87" spans="1:38" ht="16.5" customHeight="1">
      <c r="A87" s="999">
        <f>'09월 에너지'!A87</f>
        <v>46268</v>
      </c>
      <c r="B87" s="1002">
        <f>'09월 조업일지'!B85</f>
        <v>46268</v>
      </c>
      <c r="C87" s="1003" t="str">
        <f>'09월 에너지'!C87</f>
        <v>B</v>
      </c>
      <c r="D87" s="1004" t="str">
        <f>'09월 에너지'!D87</f>
        <v>B</v>
      </c>
      <c r="E87" s="1000">
        <f>'09월 에너지'!E87</f>
        <v>85287</v>
      </c>
      <c r="F87" s="1094" t="str">
        <f>'09월 에너지'!F87</f>
        <v>SS400-05</v>
      </c>
      <c r="G87" s="980"/>
      <c r="H87" s="978"/>
      <c r="I87" s="978"/>
      <c r="J87" s="978"/>
      <c r="K87" s="978"/>
      <c r="L87" s="978"/>
      <c r="M87" s="978"/>
      <c r="N87" s="978"/>
      <c r="O87" s="1106" t="str">
        <f t="shared" si="61"/>
        <v/>
      </c>
      <c r="P87" s="1108">
        <f>8600+6700+9200+9500+3800+5300-1700</f>
        <v>41400</v>
      </c>
      <c r="Q87" s="979">
        <f>20000+4200</f>
        <v>24200</v>
      </c>
      <c r="R87" s="979">
        <v>9000</v>
      </c>
      <c r="S87" s="979"/>
      <c r="T87" s="979"/>
      <c r="U87" s="979">
        <v>5500</v>
      </c>
      <c r="V87" s="979">
        <f>3600+5400+10600</f>
        <v>19600</v>
      </c>
      <c r="W87" s="979">
        <v>3100</v>
      </c>
      <c r="X87" s="979">
        <v>6200</v>
      </c>
      <c r="Y87" s="979">
        <f>5600+7200+2000</f>
        <v>14800</v>
      </c>
      <c r="Z87" s="979"/>
      <c r="AA87" s="979">
        <v>2200</v>
      </c>
      <c r="AB87" s="979">
        <v>4500</v>
      </c>
      <c r="AC87" s="979">
        <v>2900</v>
      </c>
      <c r="AD87" s="979">
        <v>8100</v>
      </c>
      <c r="AE87" s="1109">
        <f t="shared" si="63"/>
        <v>141500</v>
      </c>
      <c r="AF87" s="1113">
        <v>3500</v>
      </c>
      <c r="AG87" s="981">
        <v>7200</v>
      </c>
      <c r="AH87" s="981">
        <v>6000</v>
      </c>
      <c r="AI87" s="1114">
        <f t="shared" si="64"/>
        <v>16700</v>
      </c>
      <c r="AJ87" s="1110">
        <f t="shared" si="65"/>
        <v>158200</v>
      </c>
      <c r="AK87" s="982">
        <f>'09월 에너지'!S87</f>
        <v>141.6</v>
      </c>
      <c r="AL87" s="983">
        <f t="shared" si="62"/>
        <v>0.89506953223767383</v>
      </c>
    </row>
    <row r="88" spans="1:38" ht="16.5" customHeight="1">
      <c r="A88" s="999">
        <f>'09월 에너지'!A88</f>
        <v>46268</v>
      </c>
      <c r="B88" s="1002">
        <f>'09월 조업일지'!B86</f>
        <v>46268</v>
      </c>
      <c r="C88" s="1003" t="str">
        <f>'09월 에너지'!C88</f>
        <v>B</v>
      </c>
      <c r="D88" s="1004" t="str">
        <f>'09월 에너지'!D88</f>
        <v>A</v>
      </c>
      <c r="E88" s="1000">
        <f>'09월 에너지'!E88</f>
        <v>85288</v>
      </c>
      <c r="F88" s="1094" t="str">
        <f>'09월 에너지'!F88</f>
        <v>SS400-05</v>
      </c>
      <c r="G88" s="980"/>
      <c r="H88" s="978"/>
      <c r="I88" s="978"/>
      <c r="J88" s="978"/>
      <c r="K88" s="978"/>
      <c r="L88" s="978"/>
      <c r="M88" s="978"/>
      <c r="N88" s="978"/>
      <c r="O88" s="1106" t="str">
        <f t="shared" si="61"/>
        <v/>
      </c>
      <c r="P88" s="1108">
        <f>5300+19600+8000+7100+2100</f>
        <v>42100</v>
      </c>
      <c r="Q88" s="979">
        <f>7700+21000</f>
        <v>28700</v>
      </c>
      <c r="R88" s="979">
        <v>4400</v>
      </c>
      <c r="S88" s="979"/>
      <c r="T88" s="979"/>
      <c r="U88" s="979">
        <v>9500</v>
      </c>
      <c r="V88" s="979">
        <f>5300+6700+8900</f>
        <v>20900</v>
      </c>
      <c r="W88" s="979">
        <v>2900</v>
      </c>
      <c r="X88" s="979">
        <v>8700</v>
      </c>
      <c r="Y88" s="979">
        <f>1200+14000</f>
        <v>15200</v>
      </c>
      <c r="Z88" s="979"/>
      <c r="AA88" s="979">
        <v>1900</v>
      </c>
      <c r="AB88" s="979">
        <v>1200</v>
      </c>
      <c r="AC88" s="979">
        <v>2400</v>
      </c>
      <c r="AD88" s="979">
        <v>3100</v>
      </c>
      <c r="AE88" s="1109">
        <f t="shared" si="63"/>
        <v>141000</v>
      </c>
      <c r="AF88" s="1113">
        <v>3900</v>
      </c>
      <c r="AG88" s="981">
        <v>9600</v>
      </c>
      <c r="AH88" s="981">
        <v>3600</v>
      </c>
      <c r="AI88" s="1114">
        <f t="shared" si="64"/>
        <v>17100</v>
      </c>
      <c r="AJ88" s="1110">
        <f t="shared" si="65"/>
        <v>158100</v>
      </c>
      <c r="AK88" s="982">
        <f>'09월 에너지'!S88</f>
        <v>142.9</v>
      </c>
      <c r="AL88" s="983">
        <f t="shared" si="62"/>
        <v>0.90385831752055656</v>
      </c>
    </row>
    <row r="89" spans="1:38" ht="16.5" customHeight="1">
      <c r="A89" s="999">
        <f>'09월 에너지'!A89</f>
        <v>46268</v>
      </c>
      <c r="B89" s="1002">
        <f>'09월 조업일지'!B87</f>
        <v>46268</v>
      </c>
      <c r="C89" s="1003" t="str">
        <f>'09월 에너지'!C89</f>
        <v>C</v>
      </c>
      <c r="D89" s="1004" t="str">
        <f>'09월 에너지'!D89</f>
        <v>B</v>
      </c>
      <c r="E89" s="1000">
        <f>'09월 에너지'!E89</f>
        <v>85289</v>
      </c>
      <c r="F89" s="1094" t="str">
        <f>'09월 에너지'!F89</f>
        <v>SS400-05</v>
      </c>
      <c r="G89" s="980"/>
      <c r="H89" s="978"/>
      <c r="I89" s="978"/>
      <c r="J89" s="978"/>
      <c r="K89" s="978"/>
      <c r="L89" s="978"/>
      <c r="M89" s="978"/>
      <c r="N89" s="978"/>
      <c r="O89" s="1106" t="str">
        <f t="shared" si="61"/>
        <v/>
      </c>
      <c r="P89" s="1108">
        <f>9100+11300+11700+7800+7300+5600</f>
        <v>52800</v>
      </c>
      <c r="Q89" s="979">
        <f>14500+4300</f>
        <v>18800</v>
      </c>
      <c r="R89" s="979">
        <v>2200</v>
      </c>
      <c r="S89" s="979"/>
      <c r="T89" s="979"/>
      <c r="U89" s="979">
        <v>3900</v>
      </c>
      <c r="V89" s="979">
        <f>4100+1800+5300+8700</f>
        <v>19900</v>
      </c>
      <c r="W89" s="979">
        <v>400</v>
      </c>
      <c r="X89" s="979">
        <v>9900</v>
      </c>
      <c r="Y89" s="979">
        <f>3600+12300+5300</f>
        <v>21200</v>
      </c>
      <c r="Z89" s="979"/>
      <c r="AA89" s="979">
        <v>2600</v>
      </c>
      <c r="AB89" s="979">
        <v>1000</v>
      </c>
      <c r="AC89" s="979">
        <v>2500</v>
      </c>
      <c r="AD89" s="979">
        <v>2100</v>
      </c>
      <c r="AE89" s="1109">
        <f t="shared" si="63"/>
        <v>137300</v>
      </c>
      <c r="AF89" s="1113">
        <v>4400</v>
      </c>
      <c r="AG89" s="981">
        <v>13700</v>
      </c>
      <c r="AH89" s="981">
        <v>2900</v>
      </c>
      <c r="AI89" s="1114">
        <f t="shared" si="64"/>
        <v>21000</v>
      </c>
      <c r="AJ89" s="1110">
        <f t="shared" si="65"/>
        <v>158300</v>
      </c>
      <c r="AK89" s="982">
        <f>'09월 에너지'!S89</f>
        <v>145</v>
      </c>
      <c r="AL89" s="983">
        <f t="shared" si="62"/>
        <v>0.91598231206569802</v>
      </c>
    </row>
    <row r="90" spans="1:38" ht="16.5" customHeight="1">
      <c r="A90" s="999">
        <f>'09월 에너지'!A90</f>
        <v>46268</v>
      </c>
      <c r="B90" s="1002">
        <f>'09월 조업일지'!B88</f>
        <v>46268</v>
      </c>
      <c r="C90" s="1003" t="str">
        <f>'09월 에너지'!C90</f>
        <v>C</v>
      </c>
      <c r="D90" s="1004" t="str">
        <f>'09월 에너지'!D90</f>
        <v>A</v>
      </c>
      <c r="E90" s="1000">
        <f>'09월 에너지'!E90</f>
        <v>85290</v>
      </c>
      <c r="F90" s="1094" t="str">
        <f>'09월 에너지'!F90</f>
        <v>SS400-05</v>
      </c>
      <c r="G90" s="980"/>
      <c r="H90" s="978"/>
      <c r="I90" s="978"/>
      <c r="J90" s="978"/>
      <c r="K90" s="978"/>
      <c r="L90" s="978"/>
      <c r="M90" s="978"/>
      <c r="N90" s="978"/>
      <c r="O90" s="1106" t="str">
        <f t="shared" si="61"/>
        <v/>
      </c>
      <c r="P90" s="1108">
        <f>8200+15500+2900+8000</f>
        <v>34600</v>
      </c>
      <c r="Q90" s="979">
        <f>11100+11700</f>
        <v>22800</v>
      </c>
      <c r="R90" s="979">
        <v>4100</v>
      </c>
      <c r="S90" s="979"/>
      <c r="T90" s="979"/>
      <c r="U90" s="979">
        <v>24400</v>
      </c>
      <c r="V90" s="979">
        <f>4700+1100+18100</f>
        <v>23900</v>
      </c>
      <c r="W90" s="979"/>
      <c r="X90" s="979"/>
      <c r="Y90" s="979">
        <f>4400+14200+3700</f>
        <v>22300</v>
      </c>
      <c r="Z90" s="979"/>
      <c r="AA90" s="979">
        <v>2700</v>
      </c>
      <c r="AB90" s="979">
        <v>5800</v>
      </c>
      <c r="AC90" s="979"/>
      <c r="AD90" s="979">
        <v>7200</v>
      </c>
      <c r="AE90" s="1109">
        <f t="shared" si="63"/>
        <v>147800</v>
      </c>
      <c r="AF90" s="1113"/>
      <c r="AG90" s="981"/>
      <c r="AH90" s="981">
        <v>10600</v>
      </c>
      <c r="AI90" s="1114">
        <f t="shared" si="64"/>
        <v>10600</v>
      </c>
      <c r="AJ90" s="1110">
        <f t="shared" si="65"/>
        <v>158400</v>
      </c>
      <c r="AK90" s="982">
        <f>'09월 에너지'!S90</f>
        <v>144</v>
      </c>
      <c r="AL90" s="983">
        <f t="shared" si="62"/>
        <v>0.90909090909090906</v>
      </c>
    </row>
    <row r="91" spans="1:38" ht="16.5" customHeight="1">
      <c r="A91" s="999">
        <f>'09월 에너지'!A91</f>
        <v>46268</v>
      </c>
      <c r="B91" s="1002">
        <f>'09월 조업일지'!B89</f>
        <v>46268</v>
      </c>
      <c r="C91" s="1003" t="str">
        <f>'09월 에너지'!C91</f>
        <v>C</v>
      </c>
      <c r="D91" s="1004" t="str">
        <f>'09월 에너지'!D91</f>
        <v>B</v>
      </c>
      <c r="E91" s="1000">
        <f>'09월 에너지'!E91</f>
        <v>85291</v>
      </c>
      <c r="F91" s="1094" t="str">
        <f>'09월 에너지'!F91</f>
        <v>SS400-05</v>
      </c>
      <c r="G91" s="980"/>
      <c r="H91" s="978"/>
      <c r="I91" s="978"/>
      <c r="J91" s="978"/>
      <c r="K91" s="978"/>
      <c r="L91" s="978"/>
      <c r="M91" s="978"/>
      <c r="N91" s="978"/>
      <c r="O91" s="1106" t="str">
        <f t="shared" si="61"/>
        <v/>
      </c>
      <c r="P91" s="1108">
        <f>9700+11600+11900+6600+6200+5500</f>
        <v>51500</v>
      </c>
      <c r="Q91" s="979">
        <f>8200+5800</f>
        <v>14000</v>
      </c>
      <c r="R91" s="979">
        <v>6300</v>
      </c>
      <c r="S91" s="979"/>
      <c r="T91" s="979"/>
      <c r="U91" s="979">
        <v>3100</v>
      </c>
      <c r="V91" s="979">
        <f>4300+5200+5500+10100</f>
        <v>25100</v>
      </c>
      <c r="W91" s="979">
        <v>2800</v>
      </c>
      <c r="X91" s="979">
        <v>8600</v>
      </c>
      <c r="Y91" s="979">
        <f>3800+15800+1200</f>
        <v>20800</v>
      </c>
      <c r="Z91" s="979"/>
      <c r="AA91" s="979">
        <v>4600</v>
      </c>
      <c r="AB91" s="979">
        <v>2900</v>
      </c>
      <c r="AC91" s="979">
        <v>2400</v>
      </c>
      <c r="AD91" s="979">
        <v>2400</v>
      </c>
      <c r="AE91" s="1109">
        <f t="shared" si="63"/>
        <v>144500</v>
      </c>
      <c r="AF91" s="1113">
        <v>3100</v>
      </c>
      <c r="AG91" s="981">
        <v>7800</v>
      </c>
      <c r="AH91" s="981">
        <v>3400</v>
      </c>
      <c r="AI91" s="1114">
        <f t="shared" si="64"/>
        <v>14300</v>
      </c>
      <c r="AJ91" s="1110">
        <f t="shared" si="65"/>
        <v>158800</v>
      </c>
      <c r="AK91" s="982">
        <f>'09월 에너지'!S91</f>
        <v>142.30000000000001</v>
      </c>
      <c r="AL91" s="983">
        <f t="shared" si="62"/>
        <v>0.896095717884131</v>
      </c>
    </row>
    <row r="92" spans="1:38" ht="16.5" customHeight="1">
      <c r="A92" s="999">
        <f>'09월 에너지'!A92</f>
        <v>46268</v>
      </c>
      <c r="B92" s="1002">
        <f>'09월 조업일지'!B90</f>
        <v>46268</v>
      </c>
      <c r="C92" s="1003" t="str">
        <f>'09월 에너지'!C92</f>
        <v>C</v>
      </c>
      <c r="D92" s="1004" t="str">
        <f>'09월 에너지'!D92</f>
        <v>A</v>
      </c>
      <c r="E92" s="1000">
        <f>'09월 에너지'!E92</f>
        <v>85292</v>
      </c>
      <c r="F92" s="1094" t="str">
        <f>'09월 에너지'!F92</f>
        <v>SS400-05</v>
      </c>
      <c r="G92" s="980"/>
      <c r="H92" s="978"/>
      <c r="I92" s="978"/>
      <c r="J92" s="978"/>
      <c r="K92" s="978"/>
      <c r="L92" s="978"/>
      <c r="M92" s="978"/>
      <c r="N92" s="978"/>
      <c r="O92" s="1106" t="str">
        <f t="shared" si="61"/>
        <v/>
      </c>
      <c r="P92" s="1108">
        <f>10200+5900+17800+1700+2700</f>
        <v>38300</v>
      </c>
      <c r="Q92" s="979">
        <f>16200+7200</f>
        <v>23400</v>
      </c>
      <c r="R92" s="979">
        <v>9800</v>
      </c>
      <c r="S92" s="979"/>
      <c r="T92" s="979"/>
      <c r="U92" s="979">
        <v>2400</v>
      </c>
      <c r="V92" s="979">
        <f>8300+5500+7400+8700</f>
        <v>29900</v>
      </c>
      <c r="W92" s="979"/>
      <c r="X92" s="979"/>
      <c r="Y92" s="979">
        <f>4300+14400+3800</f>
        <v>22500</v>
      </c>
      <c r="Z92" s="979"/>
      <c r="AA92" s="979">
        <v>8600</v>
      </c>
      <c r="AB92" s="979">
        <v>1300</v>
      </c>
      <c r="AC92" s="979">
        <v>3700</v>
      </c>
      <c r="AD92" s="979">
        <v>400</v>
      </c>
      <c r="AE92" s="1109">
        <f t="shared" si="63"/>
        <v>140300</v>
      </c>
      <c r="AF92" s="1113">
        <v>4400</v>
      </c>
      <c r="AG92" s="981">
        <v>8800</v>
      </c>
      <c r="AH92" s="981">
        <v>4700</v>
      </c>
      <c r="AI92" s="1114">
        <f t="shared" si="64"/>
        <v>17900</v>
      </c>
      <c r="AJ92" s="1110">
        <f t="shared" si="65"/>
        <v>158200</v>
      </c>
      <c r="AK92" s="982">
        <f>'09월 에너지'!S92</f>
        <v>145.19999999999999</v>
      </c>
      <c r="AL92" s="983">
        <f t="shared" si="62"/>
        <v>0.91782553729456384</v>
      </c>
    </row>
    <row r="93" spans="1:38" ht="16.5" customHeight="1">
      <c r="A93" s="999">
        <f>'09월 에너지'!A93</f>
        <v>46268</v>
      </c>
      <c r="B93" s="1002">
        <f>'09월 조업일지'!B91</f>
        <v>46268</v>
      </c>
      <c r="C93" s="1003" t="str">
        <f>'09월 에너지'!C93</f>
        <v>C</v>
      </c>
      <c r="D93" s="1004" t="str">
        <f>'09월 에너지'!D93</f>
        <v>B</v>
      </c>
      <c r="E93" s="1000">
        <f>'09월 에너지'!E93</f>
        <v>85293</v>
      </c>
      <c r="F93" s="1094" t="str">
        <f>'09월 에너지'!F93</f>
        <v>SS400-05</v>
      </c>
      <c r="G93" s="980"/>
      <c r="H93" s="978"/>
      <c r="I93" s="978"/>
      <c r="J93" s="978"/>
      <c r="K93" s="978"/>
      <c r="L93" s="978"/>
      <c r="M93" s="978"/>
      <c r="N93" s="978"/>
      <c r="O93" s="1106" t="str">
        <f t="shared" si="61"/>
        <v/>
      </c>
      <c r="P93" s="1108">
        <f>13100+6600+8000+7600+8300+6900</f>
        <v>50500</v>
      </c>
      <c r="Q93" s="979">
        <f>10300+5600</f>
        <v>15900</v>
      </c>
      <c r="R93" s="979">
        <v>12400</v>
      </c>
      <c r="S93" s="979"/>
      <c r="T93" s="979"/>
      <c r="U93" s="979">
        <v>3200</v>
      </c>
      <c r="V93" s="979">
        <f>5000+1000+3600+9500</f>
        <v>19100</v>
      </c>
      <c r="W93" s="979">
        <v>2300</v>
      </c>
      <c r="X93" s="979">
        <v>8600</v>
      </c>
      <c r="Y93" s="979">
        <f>2600+12400+4200</f>
        <v>19200</v>
      </c>
      <c r="Z93" s="979"/>
      <c r="AA93" s="979">
        <v>1600</v>
      </c>
      <c r="AB93" s="979">
        <v>2300</v>
      </c>
      <c r="AC93" s="979">
        <v>1000</v>
      </c>
      <c r="AD93" s="979">
        <v>2100</v>
      </c>
      <c r="AE93" s="1109">
        <f t="shared" si="63"/>
        <v>138200</v>
      </c>
      <c r="AF93" s="1113">
        <v>5400</v>
      </c>
      <c r="AG93" s="981">
        <v>10000</v>
      </c>
      <c r="AH93" s="981">
        <v>5200</v>
      </c>
      <c r="AI93" s="1114">
        <f t="shared" si="64"/>
        <v>20600</v>
      </c>
      <c r="AJ93" s="1110">
        <f t="shared" si="65"/>
        <v>158800</v>
      </c>
      <c r="AK93" s="982">
        <f>'09월 에너지'!S93</f>
        <v>140.4</v>
      </c>
      <c r="AL93" s="983">
        <f t="shared" si="62"/>
        <v>0.88413098236775822</v>
      </c>
    </row>
    <row r="94" spans="1:38" ht="16.5" customHeight="1">
      <c r="A94" s="999">
        <f>'09월 에너지'!A94</f>
        <v>46268</v>
      </c>
      <c r="B94" s="1002">
        <f>'09월 조업일지'!B92</f>
        <v>46268</v>
      </c>
      <c r="C94" s="1003" t="str">
        <f>'09월 에너지'!C94</f>
        <v>C</v>
      </c>
      <c r="D94" s="1004" t="str">
        <f>'09월 에너지'!D94</f>
        <v>A</v>
      </c>
      <c r="E94" s="1000">
        <f>'09월 에너지'!E94</f>
        <v>85294</v>
      </c>
      <c r="F94" s="1094" t="str">
        <f>'09월 에너지'!F94</f>
        <v>SS400-05</v>
      </c>
      <c r="G94" s="980"/>
      <c r="H94" s="978"/>
      <c r="I94" s="978"/>
      <c r="J94" s="978"/>
      <c r="K94" s="978"/>
      <c r="L94" s="978"/>
      <c r="M94" s="978"/>
      <c r="N94" s="978"/>
      <c r="O94" s="1106" t="str">
        <f t="shared" si="61"/>
        <v/>
      </c>
      <c r="P94" s="1108">
        <f>8500+6800+16500+7400+8400+1200</f>
        <v>48800</v>
      </c>
      <c r="Q94" s="979">
        <f>13900+5000</f>
        <v>18900</v>
      </c>
      <c r="R94" s="979">
        <v>2500</v>
      </c>
      <c r="S94" s="979"/>
      <c r="T94" s="979"/>
      <c r="U94" s="979">
        <v>900</v>
      </c>
      <c r="V94" s="979">
        <f>7400+2200+6500+8600</f>
        <v>24700</v>
      </c>
      <c r="W94" s="979">
        <v>3600</v>
      </c>
      <c r="X94" s="979">
        <v>7700</v>
      </c>
      <c r="Y94" s="979">
        <f>5800+11300+5600</f>
        <v>22700</v>
      </c>
      <c r="Z94" s="979"/>
      <c r="AA94" s="979">
        <v>200</v>
      </c>
      <c r="AB94" s="979">
        <v>4500</v>
      </c>
      <c r="AC94" s="979">
        <v>3000</v>
      </c>
      <c r="AD94" s="979">
        <v>2800</v>
      </c>
      <c r="AE94" s="1109">
        <f t="shared" si="63"/>
        <v>140300</v>
      </c>
      <c r="AF94" s="1113">
        <v>4300</v>
      </c>
      <c r="AG94" s="981">
        <v>6700</v>
      </c>
      <c r="AH94" s="981">
        <v>6700</v>
      </c>
      <c r="AI94" s="1114">
        <f t="shared" si="64"/>
        <v>17700</v>
      </c>
      <c r="AJ94" s="1110">
        <f t="shared" si="65"/>
        <v>158000</v>
      </c>
      <c r="AK94" s="982">
        <f>'09월 에너지'!S94</f>
        <v>143.1</v>
      </c>
      <c r="AL94" s="983">
        <f t="shared" si="62"/>
        <v>0.90569620253164562</v>
      </c>
    </row>
    <row r="95" spans="1:38" ht="16.5" customHeight="1">
      <c r="A95" s="999">
        <f>'09월 에너지'!A95</f>
        <v>46268</v>
      </c>
      <c r="B95" s="1002">
        <f>'09월 조업일지'!B93</f>
        <v>46268</v>
      </c>
      <c r="C95" s="1003" t="str">
        <f>'09월 에너지'!C95</f>
        <v>C</v>
      </c>
      <c r="D95" s="1004" t="str">
        <f>'09월 에너지'!D95</f>
        <v>B</v>
      </c>
      <c r="E95" s="1000">
        <f>'09월 에너지'!E95</f>
        <v>85295</v>
      </c>
      <c r="F95" s="1094" t="str">
        <f>'09월 에너지'!F95</f>
        <v>SS400-05</v>
      </c>
      <c r="G95" s="980"/>
      <c r="H95" s="978"/>
      <c r="I95" s="978"/>
      <c r="J95" s="978"/>
      <c r="K95" s="978"/>
      <c r="L95" s="978"/>
      <c r="M95" s="978"/>
      <c r="N95" s="978"/>
      <c r="O95" s="1106" t="str">
        <f t="shared" si="61"/>
        <v/>
      </c>
      <c r="P95" s="1108">
        <f>7500+11000+13100+7300+5200+7100</f>
        <v>51200</v>
      </c>
      <c r="Q95" s="979">
        <f>4800+5000</f>
        <v>9800</v>
      </c>
      <c r="R95" s="979">
        <v>9900</v>
      </c>
      <c r="S95" s="979"/>
      <c r="T95" s="979"/>
      <c r="U95" s="979">
        <v>5700</v>
      </c>
      <c r="V95" s="979">
        <f>4200+2700+5300+9000</f>
        <v>21200</v>
      </c>
      <c r="W95" s="979">
        <v>2500</v>
      </c>
      <c r="X95" s="979">
        <v>8600</v>
      </c>
      <c r="Y95" s="979">
        <f>3100+16000+4700</f>
        <v>23800</v>
      </c>
      <c r="Z95" s="979"/>
      <c r="AA95" s="979">
        <v>1400</v>
      </c>
      <c r="AB95" s="979">
        <v>2100</v>
      </c>
      <c r="AC95" s="979">
        <v>3100</v>
      </c>
      <c r="AD95" s="979">
        <v>1800</v>
      </c>
      <c r="AE95" s="1109">
        <f t="shared" si="63"/>
        <v>141100</v>
      </c>
      <c r="AF95" s="1113">
        <v>3500</v>
      </c>
      <c r="AG95" s="981">
        <v>9800</v>
      </c>
      <c r="AH95" s="981">
        <v>4400</v>
      </c>
      <c r="AI95" s="1114">
        <f t="shared" si="64"/>
        <v>17700</v>
      </c>
      <c r="AJ95" s="1110">
        <f t="shared" si="65"/>
        <v>158800</v>
      </c>
      <c r="AK95" s="982">
        <f>'09월 에너지'!S95</f>
        <v>133.9</v>
      </c>
      <c r="AL95" s="983">
        <f t="shared" si="62"/>
        <v>0.84319899244332497</v>
      </c>
    </row>
    <row r="96" spans="1:38" ht="16.5" customHeight="1">
      <c r="A96" s="999">
        <f>'09월 에너지'!A96</f>
        <v>46268</v>
      </c>
      <c r="B96" s="1002">
        <f>'09월 조업일지'!B94</f>
        <v>46268</v>
      </c>
      <c r="C96" s="1003" t="str">
        <f>'09월 에너지'!C96</f>
        <v>C</v>
      </c>
      <c r="D96" s="1004" t="str">
        <f>'09월 에너지'!D96</f>
        <v>A</v>
      </c>
      <c r="E96" s="1000">
        <f>'09월 에너지'!E96</f>
        <v>85296</v>
      </c>
      <c r="F96" s="1094" t="str">
        <f>'09월 에너지'!F96</f>
        <v>SS400-05</v>
      </c>
      <c r="G96" s="980"/>
      <c r="H96" s="978"/>
      <c r="I96" s="978"/>
      <c r="J96" s="978"/>
      <c r="K96" s="978"/>
      <c r="L96" s="978"/>
      <c r="M96" s="978"/>
      <c r="N96" s="978"/>
      <c r="O96" s="1106" t="str">
        <f t="shared" si="61"/>
        <v/>
      </c>
      <c r="P96" s="1108">
        <f>11200+6900+13700+6800+6800+8200</f>
        <v>53600</v>
      </c>
      <c r="Q96" s="979">
        <f>7100+5000</f>
        <v>12100</v>
      </c>
      <c r="R96" s="979">
        <v>3100</v>
      </c>
      <c r="S96" s="979"/>
      <c r="T96" s="979"/>
      <c r="U96" s="979">
        <v>3700</v>
      </c>
      <c r="V96" s="979">
        <f>3800+2000+2000+9200</f>
        <v>17000</v>
      </c>
      <c r="W96" s="979">
        <v>3900</v>
      </c>
      <c r="X96" s="979">
        <v>7600</v>
      </c>
      <c r="Y96" s="979">
        <f>6000+8400+5300</f>
        <v>19700</v>
      </c>
      <c r="Z96" s="979"/>
      <c r="AA96" s="979">
        <v>1300</v>
      </c>
      <c r="AB96" s="979">
        <v>8700</v>
      </c>
      <c r="AC96" s="979"/>
      <c r="AD96" s="979">
        <v>2700</v>
      </c>
      <c r="AE96" s="1109">
        <f t="shared" si="63"/>
        <v>133400</v>
      </c>
      <c r="AF96" s="1113">
        <v>6500</v>
      </c>
      <c r="AG96" s="981">
        <v>1000</v>
      </c>
      <c r="AH96" s="981">
        <v>17800</v>
      </c>
      <c r="AI96" s="1114">
        <f t="shared" si="64"/>
        <v>25300</v>
      </c>
      <c r="AJ96" s="1110">
        <f t="shared" si="65"/>
        <v>158700</v>
      </c>
      <c r="AK96" s="982">
        <f>'09월 에너지'!S96</f>
        <v>142.19999999999999</v>
      </c>
      <c r="AL96" s="983">
        <f t="shared" si="62"/>
        <v>0.89603024574669188</v>
      </c>
    </row>
    <row r="97" spans="1:38" ht="16.5" customHeight="1">
      <c r="A97" s="999">
        <f>'09월 에너지'!A97</f>
        <v>46268</v>
      </c>
      <c r="B97" s="1002">
        <f>'09월 조업일지'!B95</f>
        <v>46268</v>
      </c>
      <c r="C97" s="1003" t="str">
        <f>'09월 에너지'!C97</f>
        <v>C</v>
      </c>
      <c r="D97" s="1004" t="str">
        <f>'09월 에너지'!D97</f>
        <v>B</v>
      </c>
      <c r="E97" s="1000">
        <f>'09월 에너지'!E97</f>
        <v>85297</v>
      </c>
      <c r="F97" s="1094" t="str">
        <f>'09월 에너지'!F97</f>
        <v>SS400-05</v>
      </c>
      <c r="G97" s="980"/>
      <c r="H97" s="978"/>
      <c r="I97" s="978"/>
      <c r="J97" s="978"/>
      <c r="K97" s="978"/>
      <c r="L97" s="978"/>
      <c r="M97" s="978"/>
      <c r="N97" s="978"/>
      <c r="O97" s="1106" t="str">
        <f t="shared" si="61"/>
        <v/>
      </c>
      <c r="P97" s="1108">
        <f>7700+15000+9200+7800+6200+7000</f>
        <v>52900</v>
      </c>
      <c r="Q97" s="979">
        <f>10700+7600</f>
        <v>18300</v>
      </c>
      <c r="R97" s="979">
        <v>7200</v>
      </c>
      <c r="S97" s="979"/>
      <c r="T97" s="979"/>
      <c r="U97" s="979">
        <v>6200</v>
      </c>
      <c r="V97" s="979">
        <f>4400+5400+1600+10000</f>
        <v>21400</v>
      </c>
      <c r="W97" s="979">
        <v>2800</v>
      </c>
      <c r="X97" s="979">
        <v>7900</v>
      </c>
      <c r="Y97" s="979">
        <f>2500+13400+1900</f>
        <v>17800</v>
      </c>
      <c r="Z97" s="979"/>
      <c r="AA97" s="979">
        <v>3600</v>
      </c>
      <c r="AB97" s="979">
        <v>2400</v>
      </c>
      <c r="AC97" s="979">
        <v>1500</v>
      </c>
      <c r="AD97" s="979">
        <v>3000</v>
      </c>
      <c r="AE97" s="1109">
        <f t="shared" si="63"/>
        <v>145000</v>
      </c>
      <c r="AF97" s="1113">
        <v>4300</v>
      </c>
      <c r="AG97" s="981">
        <v>4400</v>
      </c>
      <c r="AH97" s="981">
        <v>4800</v>
      </c>
      <c r="AI97" s="1114">
        <f t="shared" si="64"/>
        <v>13500</v>
      </c>
      <c r="AJ97" s="1110">
        <f t="shared" si="65"/>
        <v>158500</v>
      </c>
      <c r="AK97" s="982">
        <f>'09월 에너지'!S97</f>
        <v>143.19999999999999</v>
      </c>
      <c r="AL97" s="983">
        <f t="shared" si="62"/>
        <v>0.90347003154574135</v>
      </c>
    </row>
    <row r="98" spans="1:38" ht="16.5" customHeight="1">
      <c r="A98" s="999">
        <f>'09월 에너지'!A98</f>
        <v>46268</v>
      </c>
      <c r="B98" s="1002">
        <f>'09월 조업일지'!B96</f>
        <v>46268</v>
      </c>
      <c r="C98" s="1003" t="str">
        <f>'09월 에너지'!C98</f>
        <v>C</v>
      </c>
      <c r="D98" s="1004" t="str">
        <f>'09월 에너지'!D98</f>
        <v>A</v>
      </c>
      <c r="E98" s="1000">
        <f>'09월 에너지'!E98</f>
        <v>85298</v>
      </c>
      <c r="F98" s="1094" t="str">
        <f>'09월 에너지'!F98</f>
        <v>SS400-05</v>
      </c>
      <c r="G98" s="980"/>
      <c r="H98" s="978"/>
      <c r="I98" s="978"/>
      <c r="J98" s="978"/>
      <c r="K98" s="978"/>
      <c r="L98" s="978"/>
      <c r="M98" s="978"/>
      <c r="N98" s="978"/>
      <c r="O98" s="1106" t="str">
        <f t="shared" si="61"/>
        <v/>
      </c>
      <c r="P98" s="1108">
        <f>10700+6600+8900+7200+8600+1600</f>
        <v>43600</v>
      </c>
      <c r="Q98" s="979">
        <f>2600+5400</f>
        <v>8000</v>
      </c>
      <c r="R98" s="979">
        <v>22400</v>
      </c>
      <c r="S98" s="979"/>
      <c r="T98" s="979"/>
      <c r="U98" s="979">
        <v>1500</v>
      </c>
      <c r="V98" s="979">
        <f>7900+1700+6900+8600</f>
        <v>25100</v>
      </c>
      <c r="W98" s="979">
        <v>2500</v>
      </c>
      <c r="X98" s="979">
        <v>8800</v>
      </c>
      <c r="Y98" s="979">
        <f>4300+10900+6600</f>
        <v>21800</v>
      </c>
      <c r="Z98" s="979"/>
      <c r="AA98" s="979">
        <v>2300</v>
      </c>
      <c r="AB98" s="979">
        <v>1300</v>
      </c>
      <c r="AC98" s="979">
        <v>2900</v>
      </c>
      <c r="AD98" s="979">
        <v>2300</v>
      </c>
      <c r="AE98" s="1109">
        <f t="shared" si="63"/>
        <v>142500</v>
      </c>
      <c r="AF98" s="1113">
        <v>3900</v>
      </c>
      <c r="AG98" s="981">
        <v>11400</v>
      </c>
      <c r="AH98" s="981">
        <v>1300</v>
      </c>
      <c r="AI98" s="1114">
        <f t="shared" si="64"/>
        <v>16600</v>
      </c>
      <c r="AJ98" s="1110">
        <f t="shared" si="65"/>
        <v>159100</v>
      </c>
      <c r="AK98" s="982">
        <f>'09월 에너지'!S98</f>
        <v>141.6</v>
      </c>
      <c r="AL98" s="983">
        <f t="shared" si="62"/>
        <v>0.89000628535512261</v>
      </c>
    </row>
    <row r="99" spans="1:38" ht="16.5" customHeight="1">
      <c r="A99" s="999">
        <f>'09월 에너지'!A99</f>
        <v>46268</v>
      </c>
      <c r="B99" s="1002">
        <f>'09월 조업일지'!B97</f>
        <v>46268</v>
      </c>
      <c r="C99" s="1003" t="str">
        <f>'09월 에너지'!C99</f>
        <v>D</v>
      </c>
      <c r="D99" s="1004" t="str">
        <f>'09월 에너지'!D99</f>
        <v>B</v>
      </c>
      <c r="E99" s="1000">
        <f>'09월 에너지'!E99</f>
        <v>85299</v>
      </c>
      <c r="F99" s="1094" t="str">
        <f>'09월 에너지'!F99</f>
        <v>SS400-05</v>
      </c>
      <c r="G99" s="980"/>
      <c r="H99" s="978"/>
      <c r="I99" s="978"/>
      <c r="J99" s="978"/>
      <c r="K99" s="978"/>
      <c r="L99" s="978"/>
      <c r="M99" s="978"/>
      <c r="N99" s="978"/>
      <c r="O99" s="1106" t="str">
        <f t="shared" si="61"/>
        <v/>
      </c>
      <c r="P99" s="1108">
        <f>7000+11000+13600+6400+4600+10100</f>
        <v>52700</v>
      </c>
      <c r="Q99" s="979">
        <f>6700+6800</f>
        <v>13500</v>
      </c>
      <c r="R99" s="979">
        <v>11000</v>
      </c>
      <c r="S99" s="979"/>
      <c r="T99" s="979"/>
      <c r="U99" s="979">
        <v>2400</v>
      </c>
      <c r="V99" s="979">
        <f>6600+2900+1800+9200</f>
        <v>20500</v>
      </c>
      <c r="W99" s="979">
        <v>3200</v>
      </c>
      <c r="X99" s="979">
        <v>9000</v>
      </c>
      <c r="Y99" s="979">
        <f>3900+18100+3300</f>
        <v>25300</v>
      </c>
      <c r="Z99" s="979"/>
      <c r="AA99" s="979">
        <v>1600</v>
      </c>
      <c r="AB99" s="979">
        <v>1800</v>
      </c>
      <c r="AC99" s="979">
        <v>2500</v>
      </c>
      <c r="AD99" s="979">
        <v>2100</v>
      </c>
      <c r="AE99" s="1109">
        <f t="shared" si="63"/>
        <v>145600</v>
      </c>
      <c r="AF99" s="1113">
        <v>3800</v>
      </c>
      <c r="AG99" s="981">
        <v>5700</v>
      </c>
      <c r="AH99" s="981">
        <v>3400</v>
      </c>
      <c r="AI99" s="1114">
        <f t="shared" si="64"/>
        <v>12900</v>
      </c>
      <c r="AJ99" s="1110">
        <f t="shared" si="65"/>
        <v>158500</v>
      </c>
      <c r="AK99" s="982">
        <f>'09월 에너지'!S99</f>
        <v>143</v>
      </c>
      <c r="AL99" s="983">
        <f t="shared" si="62"/>
        <v>0.90220820189274453</v>
      </c>
    </row>
    <row r="100" spans="1:38" ht="16.5" customHeight="1">
      <c r="A100" s="999">
        <f>'09월 에너지'!A100</f>
        <v>46268</v>
      </c>
      <c r="B100" s="1002">
        <f>'09월 조업일지'!B98</f>
        <v>46268</v>
      </c>
      <c r="C100" s="1003" t="str">
        <f>'09월 에너지'!C100</f>
        <v>D</v>
      </c>
      <c r="D100" s="1004" t="str">
        <f>'09월 에너지'!D100</f>
        <v>A</v>
      </c>
      <c r="E100" s="1000">
        <f>'09월 에너지'!E100</f>
        <v>85300</v>
      </c>
      <c r="F100" s="1094" t="str">
        <f>'09월 에너지'!F100</f>
        <v>SS400-05</v>
      </c>
      <c r="G100" s="980"/>
      <c r="H100" s="978"/>
      <c r="I100" s="978"/>
      <c r="J100" s="978"/>
      <c r="K100" s="978"/>
      <c r="L100" s="978"/>
      <c r="M100" s="978"/>
      <c r="N100" s="978"/>
      <c r="O100" s="1106" t="str">
        <f t="shared" si="61"/>
        <v/>
      </c>
      <c r="P100" s="1108">
        <f>7400+2800+13100+7400+7900+6700</f>
        <v>45300</v>
      </c>
      <c r="Q100" s="979">
        <f>10900+7100</f>
        <v>18000</v>
      </c>
      <c r="R100" s="979">
        <v>2900</v>
      </c>
      <c r="S100" s="979"/>
      <c r="T100" s="979"/>
      <c r="U100" s="979">
        <v>14000</v>
      </c>
      <c r="V100" s="979">
        <f>7600+100+4300+9800</f>
        <v>21800</v>
      </c>
      <c r="W100" s="979">
        <v>3100</v>
      </c>
      <c r="X100" s="979">
        <v>8500</v>
      </c>
      <c r="Y100" s="979">
        <f>7100+9600+3100</f>
        <v>19800</v>
      </c>
      <c r="Z100" s="979"/>
      <c r="AA100" s="979">
        <v>8700</v>
      </c>
      <c r="AB100" s="979">
        <v>400</v>
      </c>
      <c r="AC100" s="979">
        <v>1000</v>
      </c>
      <c r="AD100" s="979">
        <v>1100</v>
      </c>
      <c r="AE100" s="1109">
        <f t="shared" si="63"/>
        <v>144600</v>
      </c>
      <c r="AF100" s="1113">
        <v>5100</v>
      </c>
      <c r="AG100" s="981">
        <v>5200</v>
      </c>
      <c r="AH100" s="981">
        <v>3900</v>
      </c>
      <c r="AI100" s="1114">
        <f t="shared" si="64"/>
        <v>14200</v>
      </c>
      <c r="AJ100" s="1110">
        <f t="shared" si="65"/>
        <v>158800</v>
      </c>
      <c r="AK100" s="982">
        <f>'09월 에너지'!S100</f>
        <v>143.19999999999999</v>
      </c>
      <c r="AL100" s="983">
        <f t="shared" si="62"/>
        <v>0.90176322418136023</v>
      </c>
    </row>
    <row r="101" spans="1:38" ht="16.5" customHeight="1">
      <c r="A101" s="999">
        <f>'09월 에너지'!A101</f>
        <v>46268</v>
      </c>
      <c r="B101" s="1002">
        <f>'09월 조업일지'!B99</f>
        <v>46268</v>
      </c>
      <c r="C101" s="1003" t="str">
        <f>'09월 에너지'!C101</f>
        <v>D</v>
      </c>
      <c r="D101" s="1004" t="str">
        <f>'09월 에너지'!D101</f>
        <v>B</v>
      </c>
      <c r="E101" s="1000">
        <f>'09월 에너지'!E101</f>
        <v>85301</v>
      </c>
      <c r="F101" s="1094" t="str">
        <f>'09월 에너지'!F101</f>
        <v>SS400-05</v>
      </c>
      <c r="G101" s="980"/>
      <c r="H101" s="978"/>
      <c r="I101" s="978"/>
      <c r="J101" s="978"/>
      <c r="K101" s="978"/>
      <c r="L101" s="978"/>
      <c r="M101" s="978"/>
      <c r="N101" s="978"/>
      <c r="O101" s="1106" t="str">
        <f t="shared" si="61"/>
        <v/>
      </c>
      <c r="P101" s="1108">
        <f>10800+10200+11500+8500+5300+6200</f>
        <v>52500</v>
      </c>
      <c r="Q101" s="979">
        <f>7600+6600</f>
        <v>14200</v>
      </c>
      <c r="R101" s="979">
        <v>7100</v>
      </c>
      <c r="S101" s="979"/>
      <c r="T101" s="979"/>
      <c r="U101" s="979">
        <v>5100</v>
      </c>
      <c r="V101" s="979">
        <f>4000+4100+4200+8900</f>
        <v>21200</v>
      </c>
      <c r="W101" s="979">
        <v>2900</v>
      </c>
      <c r="X101" s="979">
        <v>7500</v>
      </c>
      <c r="Y101" s="979">
        <f>3800+13000+3100</f>
        <v>19900</v>
      </c>
      <c r="Z101" s="979"/>
      <c r="AA101" s="979">
        <v>2100</v>
      </c>
      <c r="AB101" s="979">
        <v>1500</v>
      </c>
      <c r="AC101" s="979">
        <v>2600</v>
      </c>
      <c r="AD101" s="979">
        <v>2800</v>
      </c>
      <c r="AE101" s="1109">
        <f t="shared" si="63"/>
        <v>139400</v>
      </c>
      <c r="AF101" s="1113">
        <v>4000</v>
      </c>
      <c r="AG101" s="981">
        <v>9600</v>
      </c>
      <c r="AH101" s="981">
        <v>5300</v>
      </c>
      <c r="AI101" s="1114">
        <f t="shared" si="64"/>
        <v>18900</v>
      </c>
      <c r="AJ101" s="1110">
        <f t="shared" si="65"/>
        <v>158300</v>
      </c>
      <c r="AK101" s="982">
        <f>'09월 에너지'!S101</f>
        <v>141.9</v>
      </c>
      <c r="AL101" s="983">
        <f t="shared" si="62"/>
        <v>0.89639924194567278</v>
      </c>
    </row>
    <row r="102" spans="1:38" ht="16.5" customHeight="1">
      <c r="A102" s="999">
        <f>'09월 에너지'!A102</f>
        <v>46268</v>
      </c>
      <c r="B102" s="1002">
        <f>'09월 조업일지'!B100</f>
        <v>46268</v>
      </c>
      <c r="C102" s="1003" t="str">
        <f>'09월 에너지'!C102</f>
        <v>D</v>
      </c>
      <c r="D102" s="1004" t="str">
        <f>'09월 에너지'!D102</f>
        <v>A</v>
      </c>
      <c r="E102" s="1000">
        <f>'09월 에너지'!E102</f>
        <v>85302</v>
      </c>
      <c r="F102" s="1094" t="str">
        <f>'09월 에너지'!F102</f>
        <v>SS400-05</v>
      </c>
      <c r="G102" s="980"/>
      <c r="H102" s="978"/>
      <c r="I102" s="978"/>
      <c r="J102" s="978"/>
      <c r="K102" s="978"/>
      <c r="L102" s="978"/>
      <c r="M102" s="978"/>
      <c r="N102" s="978"/>
      <c r="O102" s="1106" t="str">
        <f t="shared" si="61"/>
        <v/>
      </c>
      <c r="P102" s="1108">
        <f>11800+10100+10100+7600+3800+7100</f>
        <v>50500</v>
      </c>
      <c r="Q102" s="979">
        <f>11800+5900</f>
        <v>17700</v>
      </c>
      <c r="R102" s="979">
        <v>8400</v>
      </c>
      <c r="S102" s="979"/>
      <c r="T102" s="979"/>
      <c r="U102" s="979">
        <v>9200</v>
      </c>
      <c r="V102" s="979">
        <f>9300+6100+4500+11000</f>
        <v>30900</v>
      </c>
      <c r="W102" s="979">
        <v>4500</v>
      </c>
      <c r="X102" s="979">
        <v>7100</v>
      </c>
      <c r="Y102" s="979">
        <f>2700+7500+2100</f>
        <v>12300</v>
      </c>
      <c r="Z102" s="979"/>
      <c r="AA102" s="979">
        <v>1500</v>
      </c>
      <c r="AB102" s="979">
        <v>1600</v>
      </c>
      <c r="AC102" s="979">
        <v>3300</v>
      </c>
      <c r="AD102" s="979">
        <v>2200</v>
      </c>
      <c r="AE102" s="1109">
        <f t="shared" si="63"/>
        <v>149200</v>
      </c>
      <c r="AF102" s="1113">
        <v>1700</v>
      </c>
      <c r="AG102" s="981">
        <v>5000</v>
      </c>
      <c r="AH102" s="981">
        <v>4000</v>
      </c>
      <c r="AI102" s="1114">
        <f t="shared" si="64"/>
        <v>10700</v>
      </c>
      <c r="AJ102" s="1110">
        <f t="shared" si="65"/>
        <v>159900</v>
      </c>
      <c r="AK102" s="982">
        <f>'09월 에너지'!S102</f>
        <v>141.5</v>
      </c>
      <c r="AL102" s="983">
        <f t="shared" si="62"/>
        <v>0.88492808005003132</v>
      </c>
    </row>
    <row r="103" spans="1:38" ht="16.5" customHeight="1">
      <c r="A103" s="999">
        <f>'09월 에너지'!A103</f>
        <v>46268</v>
      </c>
      <c r="B103" s="1002">
        <f>'09월 조업일지'!B101</f>
        <v>46268</v>
      </c>
      <c r="C103" s="1003" t="str">
        <f>'09월 에너지'!C103</f>
        <v>D</v>
      </c>
      <c r="D103" s="1004" t="str">
        <f>'09월 에너지'!D103</f>
        <v>B</v>
      </c>
      <c r="E103" s="1000">
        <f>'09월 에너지'!E103</f>
        <v>85303</v>
      </c>
      <c r="F103" s="1094" t="str">
        <f>'09월 에너지'!F103</f>
        <v>SS400-05</v>
      </c>
      <c r="G103" s="980"/>
      <c r="H103" s="978"/>
      <c r="I103" s="978"/>
      <c r="J103" s="978"/>
      <c r="K103" s="978"/>
      <c r="L103" s="978"/>
      <c r="M103" s="978"/>
      <c r="N103" s="978"/>
      <c r="O103" s="1106" t="str">
        <f t="shared" si="61"/>
        <v/>
      </c>
      <c r="P103" s="1108">
        <f>9300+12300+11400+6800+7100+7700</f>
        <v>54600</v>
      </c>
      <c r="Q103" s="979">
        <f>9700+5100</f>
        <v>14800</v>
      </c>
      <c r="R103" s="979">
        <v>8500</v>
      </c>
      <c r="S103" s="979"/>
      <c r="T103" s="979"/>
      <c r="U103" s="979">
        <v>4700</v>
      </c>
      <c r="V103" s="979">
        <f>4600+3800+4700+10100</f>
        <v>23200</v>
      </c>
      <c r="W103" s="979">
        <v>1900</v>
      </c>
      <c r="X103" s="979">
        <v>9400</v>
      </c>
      <c r="Y103" s="979">
        <f>2800+12100+3400</f>
        <v>18300</v>
      </c>
      <c r="Z103" s="979"/>
      <c r="AA103" s="979">
        <v>2200</v>
      </c>
      <c r="AB103" s="979">
        <v>1100</v>
      </c>
      <c r="AC103" s="979">
        <v>1800</v>
      </c>
      <c r="AD103" s="979">
        <v>2300</v>
      </c>
      <c r="AE103" s="1109">
        <f t="shared" si="63"/>
        <v>142800</v>
      </c>
      <c r="AF103" s="1113">
        <v>3300</v>
      </c>
      <c r="AG103" s="981">
        <v>7900</v>
      </c>
      <c r="AH103" s="981">
        <v>4600</v>
      </c>
      <c r="AI103" s="1114">
        <f t="shared" si="64"/>
        <v>15800</v>
      </c>
      <c r="AJ103" s="1110">
        <f t="shared" si="65"/>
        <v>158600</v>
      </c>
      <c r="AK103" s="982">
        <f>'09월 에너지'!S103</f>
        <v>142.5</v>
      </c>
      <c r="AL103" s="983">
        <f t="shared" si="62"/>
        <v>0.89848675914249687</v>
      </c>
    </row>
    <row r="104" spans="1:38" ht="16.5" customHeight="1">
      <c r="A104" s="999">
        <f>'09월 에너지'!A104</f>
        <v>46268</v>
      </c>
      <c r="B104" s="1002">
        <f>'09월 조업일지'!B102</f>
        <v>46268</v>
      </c>
      <c r="C104" s="1003" t="str">
        <f>'09월 에너지'!C104</f>
        <v>D</v>
      </c>
      <c r="D104" s="1004" t="str">
        <f>'09월 에너지'!D104</f>
        <v>A</v>
      </c>
      <c r="E104" s="1000">
        <f>'09월 에너지'!E104</f>
        <v>85304</v>
      </c>
      <c r="F104" s="1094" t="str">
        <f>'09월 에너지'!F104</f>
        <v>SS400-05</v>
      </c>
      <c r="G104" s="980"/>
      <c r="H104" s="978"/>
      <c r="I104" s="978"/>
      <c r="J104" s="978"/>
      <c r="K104" s="978"/>
      <c r="L104" s="978"/>
      <c r="M104" s="978"/>
      <c r="N104" s="978"/>
      <c r="O104" s="1106" t="str">
        <f t="shared" si="61"/>
        <v/>
      </c>
      <c r="P104" s="1108">
        <f>10100+5900+9000+6000+1800+7900</f>
        <v>40700</v>
      </c>
      <c r="Q104" s="979">
        <f>7600+6900</f>
        <v>14500</v>
      </c>
      <c r="R104" s="979">
        <v>14500</v>
      </c>
      <c r="S104" s="979"/>
      <c r="T104" s="979"/>
      <c r="U104" s="979">
        <v>2300</v>
      </c>
      <c r="V104" s="979">
        <f>11300+2800+6800+8700</f>
        <v>29600</v>
      </c>
      <c r="W104" s="979">
        <v>6000</v>
      </c>
      <c r="X104" s="979">
        <v>6800</v>
      </c>
      <c r="Y104" s="979">
        <f>4400+13500+3200</f>
        <v>21100</v>
      </c>
      <c r="Z104" s="979"/>
      <c r="AA104" s="979">
        <v>1500</v>
      </c>
      <c r="AB104" s="979">
        <v>200</v>
      </c>
      <c r="AC104" s="979">
        <v>2100</v>
      </c>
      <c r="AD104" s="979">
        <v>1300</v>
      </c>
      <c r="AE104" s="1109">
        <f t="shared" si="63"/>
        <v>140600</v>
      </c>
      <c r="AF104" s="1113">
        <v>5000</v>
      </c>
      <c r="AG104" s="981">
        <v>6000</v>
      </c>
      <c r="AH104" s="981">
        <v>6500</v>
      </c>
      <c r="AI104" s="1114">
        <f t="shared" si="64"/>
        <v>17500</v>
      </c>
      <c r="AJ104" s="1110">
        <f t="shared" si="65"/>
        <v>158100</v>
      </c>
      <c r="AK104" s="982">
        <f>'09월 에너지'!S104</f>
        <v>145.5</v>
      </c>
      <c r="AL104" s="983">
        <f t="shared" si="62"/>
        <v>0.92030360531309297</v>
      </c>
    </row>
    <row r="105" spans="1:38" ht="16.5" customHeight="1">
      <c r="A105" s="999">
        <f>'09월 에너지'!A105</f>
        <v>46269</v>
      </c>
      <c r="B105" s="1002">
        <f>'09월 조업일지'!B103</f>
        <v>46268</v>
      </c>
      <c r="C105" s="1003" t="str">
        <f>'09월 에너지'!C105</f>
        <v>D</v>
      </c>
      <c r="D105" s="1004" t="str">
        <f>'09월 에너지'!D105</f>
        <v>B</v>
      </c>
      <c r="E105" s="1000">
        <f>'09월 에너지'!E105</f>
        <v>85305</v>
      </c>
      <c r="F105" s="1094" t="str">
        <f>'09월 에너지'!F105</f>
        <v>SS400-05</v>
      </c>
      <c r="G105" s="980"/>
      <c r="H105" s="978"/>
      <c r="I105" s="978"/>
      <c r="J105" s="978"/>
      <c r="K105" s="978"/>
      <c r="L105" s="978"/>
      <c r="M105" s="978"/>
      <c r="N105" s="978"/>
      <c r="O105" s="1106" t="str">
        <f t="shared" si="61"/>
        <v/>
      </c>
      <c r="P105" s="1108">
        <f>11800+10100+12300+7200+6500+6600</f>
        <v>54500</v>
      </c>
      <c r="Q105" s="979">
        <f>10300+7000</f>
        <v>17300</v>
      </c>
      <c r="R105" s="979">
        <v>7300</v>
      </c>
      <c r="S105" s="979"/>
      <c r="T105" s="979"/>
      <c r="U105" s="979">
        <v>7300</v>
      </c>
      <c r="V105" s="979">
        <f>3300+3900+5000+9300</f>
        <v>21500</v>
      </c>
      <c r="W105" s="979">
        <v>3300</v>
      </c>
      <c r="X105" s="979">
        <v>8000</v>
      </c>
      <c r="Y105" s="979">
        <f>1600+9600+3900</f>
        <v>15100</v>
      </c>
      <c r="Z105" s="979"/>
      <c r="AA105" s="979">
        <v>1800</v>
      </c>
      <c r="AB105" s="979">
        <v>1200</v>
      </c>
      <c r="AC105" s="979">
        <v>2400</v>
      </c>
      <c r="AD105" s="979">
        <v>2300</v>
      </c>
      <c r="AE105" s="1109">
        <f t="shared" si="63"/>
        <v>142000</v>
      </c>
      <c r="AF105" s="1113">
        <v>3700</v>
      </c>
      <c r="AG105" s="981">
        <v>6800</v>
      </c>
      <c r="AH105" s="981">
        <v>5800</v>
      </c>
      <c r="AI105" s="1114">
        <f t="shared" si="64"/>
        <v>16300</v>
      </c>
      <c r="AJ105" s="1110">
        <f t="shared" si="65"/>
        <v>158300</v>
      </c>
      <c r="AK105" s="982">
        <f>'09월 에너지'!S105</f>
        <v>142.5</v>
      </c>
      <c r="AL105" s="983">
        <f t="shared" si="62"/>
        <v>0.90018951358180666</v>
      </c>
    </row>
    <row r="106" spans="1:38" ht="16.5" customHeight="1">
      <c r="A106" s="999">
        <f>'09월 에너지'!A106</f>
        <v>46269</v>
      </c>
      <c r="B106" s="1002">
        <f>'09월 조업일지'!B104</f>
        <v>46268</v>
      </c>
      <c r="C106" s="1003" t="str">
        <f>'09월 에너지'!C106</f>
        <v>D</v>
      </c>
      <c r="D106" s="1004" t="str">
        <f>'09월 에너지'!D106</f>
        <v>A</v>
      </c>
      <c r="E106" s="1000">
        <f>'09월 에너지'!E106</f>
        <v>85306</v>
      </c>
      <c r="F106" s="1094" t="str">
        <f>'09월 에너지'!F106</f>
        <v>SS400-05</v>
      </c>
      <c r="G106" s="980"/>
      <c r="H106" s="978"/>
      <c r="I106" s="978"/>
      <c r="J106" s="978"/>
      <c r="K106" s="978"/>
      <c r="L106" s="978"/>
      <c r="M106" s="978"/>
      <c r="N106" s="978"/>
      <c r="O106" s="1106" t="str">
        <f t="shared" si="61"/>
        <v/>
      </c>
      <c r="P106" s="1108">
        <f>4100+7400+6300+9000+2500+7400</f>
        <v>36700</v>
      </c>
      <c r="Q106" s="979">
        <f>13400+7900</f>
        <v>21300</v>
      </c>
      <c r="R106" s="979">
        <v>7500</v>
      </c>
      <c r="S106" s="979"/>
      <c r="T106" s="979"/>
      <c r="U106" s="979">
        <v>4300</v>
      </c>
      <c r="V106" s="979">
        <f>2000+5200+5100+9600</f>
        <v>21900</v>
      </c>
      <c r="W106" s="979">
        <v>1400</v>
      </c>
      <c r="X106" s="979">
        <v>7800</v>
      </c>
      <c r="Y106" s="979">
        <f>4000+18000+2800</f>
        <v>24800</v>
      </c>
      <c r="Z106" s="979"/>
      <c r="AA106" s="979">
        <v>2500</v>
      </c>
      <c r="AB106" s="979">
        <v>1000</v>
      </c>
      <c r="AC106" s="979">
        <v>1400</v>
      </c>
      <c r="AD106" s="979">
        <v>1900</v>
      </c>
      <c r="AE106" s="1109">
        <f t="shared" si="63"/>
        <v>132500</v>
      </c>
      <c r="AF106" s="1113">
        <v>4000</v>
      </c>
      <c r="AG106" s="981">
        <v>18500</v>
      </c>
      <c r="AH106" s="981">
        <v>3800</v>
      </c>
      <c r="AI106" s="1114">
        <f t="shared" si="64"/>
        <v>26300</v>
      </c>
      <c r="AJ106" s="1110">
        <f t="shared" si="65"/>
        <v>158800</v>
      </c>
      <c r="AK106" s="982">
        <f>'09월 에너지'!S106</f>
        <v>143.1</v>
      </c>
      <c r="AL106" s="983">
        <f t="shared" si="62"/>
        <v>0.9011335012594458</v>
      </c>
    </row>
    <row r="107" spans="1:38" ht="16.5" customHeight="1">
      <c r="A107" s="999">
        <f>'09월 에너지'!A107</f>
        <v>46269</v>
      </c>
      <c r="B107" s="1002">
        <f>'09월 조업일지'!B105</f>
        <v>46268</v>
      </c>
      <c r="C107" s="1003" t="str">
        <f>'09월 에너지'!C107</f>
        <v>D</v>
      </c>
      <c r="D107" s="1004" t="str">
        <f>'09월 에너지'!D107</f>
        <v>B</v>
      </c>
      <c r="E107" s="1000">
        <f>'09월 에너지'!E107</f>
        <v>85307</v>
      </c>
      <c r="F107" s="1094" t="str">
        <f>'09월 에너지'!F107</f>
        <v>SS400-05</v>
      </c>
      <c r="G107" s="980"/>
      <c r="H107" s="978"/>
      <c r="I107" s="978"/>
      <c r="J107" s="978"/>
      <c r="K107" s="978"/>
      <c r="L107" s="978"/>
      <c r="M107" s="978"/>
      <c r="N107" s="978"/>
      <c r="O107" s="1106" t="str">
        <f t="shared" si="61"/>
        <v/>
      </c>
      <c r="P107" s="1108">
        <f>11400+11800+12200+6900+7700+5200+9500</f>
        <v>64700</v>
      </c>
      <c r="Q107" s="979">
        <f>8000+0</f>
        <v>8000</v>
      </c>
      <c r="R107" s="979">
        <v>7000</v>
      </c>
      <c r="S107" s="979"/>
      <c r="T107" s="979"/>
      <c r="U107" s="979">
        <v>4900</v>
      </c>
      <c r="V107" s="979">
        <f>4100+2200+500</f>
        <v>6800</v>
      </c>
      <c r="W107" s="979">
        <f>3600+3500</f>
        <v>7100</v>
      </c>
      <c r="X107" s="979">
        <f>7500+13000</f>
        <v>20500</v>
      </c>
      <c r="Y107" s="979">
        <f>3700+14400+3600</f>
        <v>21700</v>
      </c>
      <c r="Z107" s="979"/>
      <c r="AA107" s="979">
        <v>2800</v>
      </c>
      <c r="AB107" s="979">
        <v>1700</v>
      </c>
      <c r="AC107" s="979">
        <v>0</v>
      </c>
      <c r="AD107" s="979">
        <v>1400</v>
      </c>
      <c r="AE107" s="1109">
        <f t="shared" si="63"/>
        <v>146600</v>
      </c>
      <c r="AF107" s="1113">
        <v>0</v>
      </c>
      <c r="AG107" s="981">
        <v>7400</v>
      </c>
      <c r="AH107" s="981">
        <v>4300</v>
      </c>
      <c r="AI107" s="1114">
        <f t="shared" si="64"/>
        <v>11700</v>
      </c>
      <c r="AJ107" s="1110">
        <f t="shared" si="65"/>
        <v>158300</v>
      </c>
      <c r="AK107" s="982">
        <f>'09월 에너지'!S107</f>
        <v>142.6</v>
      </c>
      <c r="AL107" s="983">
        <f t="shared" si="62"/>
        <v>0.90082122552116239</v>
      </c>
    </row>
    <row r="108" spans="1:38" ht="16.5" customHeight="1">
      <c r="A108" s="999">
        <f>'09월 에너지'!A108</f>
        <v>46269</v>
      </c>
      <c r="B108" s="1002">
        <f>'09월 조업일지'!B106</f>
        <v>46268</v>
      </c>
      <c r="C108" s="1003" t="str">
        <f>'09월 에너지'!C108</f>
        <v>D</v>
      </c>
      <c r="D108" s="1004" t="str">
        <f>'09월 에너지'!D108</f>
        <v>A</v>
      </c>
      <c r="E108" s="1000">
        <f>'09월 에너지'!E108</f>
        <v>85308</v>
      </c>
      <c r="F108" s="1094" t="str">
        <f>'09월 에너지'!F108</f>
        <v>SS400-05</v>
      </c>
      <c r="G108" s="980"/>
      <c r="H108" s="978"/>
      <c r="I108" s="978"/>
      <c r="J108" s="978"/>
      <c r="K108" s="978"/>
      <c r="L108" s="978"/>
      <c r="M108" s="978"/>
      <c r="N108" s="978"/>
      <c r="O108" s="1106" t="str">
        <f t="shared" si="61"/>
        <v/>
      </c>
      <c r="P108" s="1108">
        <f>12000+8900+11500+7100+5000+1300</f>
        <v>45800</v>
      </c>
      <c r="Q108" s="979">
        <f>5800+7300</f>
        <v>13100</v>
      </c>
      <c r="R108" s="979">
        <v>5900</v>
      </c>
      <c r="S108" s="979"/>
      <c r="T108" s="979"/>
      <c r="U108" s="979">
        <v>2800</v>
      </c>
      <c r="V108" s="979">
        <f>7600+6500+5600+8400</f>
        <v>28100</v>
      </c>
      <c r="W108" s="979">
        <v>3100</v>
      </c>
      <c r="X108" s="979">
        <v>7800</v>
      </c>
      <c r="Y108" s="979">
        <f>5100+15000+4200</f>
        <v>24300</v>
      </c>
      <c r="Z108" s="979"/>
      <c r="AA108" s="979">
        <v>500</v>
      </c>
      <c r="AB108" s="979">
        <v>1800</v>
      </c>
      <c r="AC108" s="979">
        <v>4000</v>
      </c>
      <c r="AD108" s="979">
        <v>1200</v>
      </c>
      <c r="AE108" s="1109">
        <f t="shared" si="63"/>
        <v>138400</v>
      </c>
      <c r="AF108" s="1113">
        <v>3600</v>
      </c>
      <c r="AG108" s="981">
        <v>7400</v>
      </c>
      <c r="AH108" s="981">
        <v>9900</v>
      </c>
      <c r="AI108" s="1114">
        <f t="shared" si="64"/>
        <v>20900</v>
      </c>
      <c r="AJ108" s="1110">
        <f t="shared" si="65"/>
        <v>159300</v>
      </c>
      <c r="AK108" s="982">
        <f>'09월 에너지'!S108</f>
        <v>145.80000000000001</v>
      </c>
      <c r="AL108" s="983">
        <f t="shared" si="62"/>
        <v>0.9152542372881356</v>
      </c>
    </row>
    <row r="109" spans="1:38" ht="16.5" customHeight="1">
      <c r="A109" s="999">
        <f>'09월 에너지'!A109</f>
        <v>46269</v>
      </c>
      <c r="B109" s="1002">
        <f>'09월 조업일지'!B107</f>
        <v>46269</v>
      </c>
      <c r="C109" s="1003" t="str">
        <f>'09월 에너지'!C109</f>
        <v>B</v>
      </c>
      <c r="D109" s="1004" t="str">
        <f>'09월 에너지'!D109</f>
        <v>B</v>
      </c>
      <c r="E109" s="1000">
        <f>'09월 에너지'!E109</f>
        <v>85309</v>
      </c>
      <c r="F109" s="1094" t="str">
        <f>'09월 에너지'!F109</f>
        <v>SS400-05</v>
      </c>
      <c r="G109" s="980"/>
      <c r="H109" s="978"/>
      <c r="I109" s="978"/>
      <c r="J109" s="978"/>
      <c r="K109" s="978"/>
      <c r="L109" s="978"/>
      <c r="M109" s="978"/>
      <c r="N109" s="978"/>
      <c r="O109" s="1106" t="str">
        <f t="shared" si="61"/>
        <v/>
      </c>
      <c r="P109" s="1108">
        <f>12000+8900+11500+7100+5000+1300</f>
        <v>45800</v>
      </c>
      <c r="Q109" s="979">
        <f>5800+7300</f>
        <v>13100</v>
      </c>
      <c r="R109" s="979">
        <v>5900</v>
      </c>
      <c r="S109" s="979"/>
      <c r="T109" s="979"/>
      <c r="U109" s="979">
        <v>2800</v>
      </c>
      <c r="V109" s="979">
        <f>7600+6500+5600+8400</f>
        <v>28100</v>
      </c>
      <c r="W109" s="979">
        <v>3100</v>
      </c>
      <c r="X109" s="979">
        <v>7800</v>
      </c>
      <c r="Y109" s="979">
        <f>5100+15000+4200</f>
        <v>24300</v>
      </c>
      <c r="Z109" s="979"/>
      <c r="AA109" s="979">
        <v>500</v>
      </c>
      <c r="AB109" s="979">
        <v>1800</v>
      </c>
      <c r="AC109" s="979">
        <v>4000</v>
      </c>
      <c r="AD109" s="979">
        <v>1200</v>
      </c>
      <c r="AE109" s="1109">
        <f t="shared" ref="AE109" si="66">IF(SUM(P109:AD109)=0,"",SUM(P109:AD109))</f>
        <v>138400</v>
      </c>
      <c r="AF109" s="1113">
        <v>3600</v>
      </c>
      <c r="AG109" s="981">
        <v>7400</v>
      </c>
      <c r="AH109" s="981">
        <v>9900</v>
      </c>
      <c r="AI109" s="1114">
        <f t="shared" ref="AI109" si="67">IF(SUM(AF109:AH109)=0,"",SUM(AF109:AH109))</f>
        <v>20900</v>
      </c>
      <c r="AJ109" s="1110">
        <f t="shared" si="65"/>
        <v>159300</v>
      </c>
      <c r="AK109" s="982">
        <f>'09월 에너지'!S109</f>
        <v>143.6</v>
      </c>
      <c r="AL109" s="983">
        <f t="shared" si="62"/>
        <v>0.90144381669805396</v>
      </c>
    </row>
    <row r="110" spans="1:38" ht="16.5" customHeight="1">
      <c r="A110" s="999">
        <f>'09월 에너지'!A110</f>
        <v>46269</v>
      </c>
      <c r="B110" s="1002">
        <f>'09월 조업일지'!B108</f>
        <v>46269</v>
      </c>
      <c r="C110" s="1003" t="str">
        <f>'09월 에너지'!C110</f>
        <v>B</v>
      </c>
      <c r="D110" s="1004" t="str">
        <f>'09월 에너지'!D110</f>
        <v>A</v>
      </c>
      <c r="E110" s="1000">
        <f>'09월 에너지'!E110</f>
        <v>85310</v>
      </c>
      <c r="F110" s="1094" t="str">
        <f>'09월 에너지'!F110</f>
        <v>SS400-05</v>
      </c>
      <c r="G110" s="980"/>
      <c r="H110" s="978"/>
      <c r="I110" s="978"/>
      <c r="J110" s="978"/>
      <c r="K110" s="978"/>
      <c r="L110" s="978"/>
      <c r="M110" s="978"/>
      <c r="N110" s="978"/>
      <c r="O110" s="1106" t="str">
        <f t="shared" si="61"/>
        <v/>
      </c>
      <c r="P110" s="1108">
        <f>10200+7400+11000+8800</f>
        <v>37400</v>
      </c>
      <c r="Q110" s="979">
        <v>6600</v>
      </c>
      <c r="R110" s="979"/>
      <c r="S110" s="979"/>
      <c r="T110" s="979"/>
      <c r="U110" s="979"/>
      <c r="V110" s="979">
        <f>6500+9900+6100+6900-1800</f>
        <v>27600</v>
      </c>
      <c r="W110" s="979"/>
      <c r="X110" s="979"/>
      <c r="Y110" s="979">
        <f>3900+12000</f>
        <v>15900</v>
      </c>
      <c r="Z110" s="979"/>
      <c r="AA110" s="979"/>
      <c r="AB110" s="979"/>
      <c r="AC110" s="979"/>
      <c r="AD110" s="979"/>
      <c r="AE110" s="1109">
        <f t="shared" si="63"/>
        <v>87500</v>
      </c>
      <c r="AF110" s="1113">
        <v>5000</v>
      </c>
      <c r="AG110" s="981">
        <v>17500</v>
      </c>
      <c r="AH110" s="981"/>
      <c r="AI110" s="1114">
        <f t="shared" si="64"/>
        <v>22500</v>
      </c>
      <c r="AJ110" s="1110">
        <f t="shared" si="65"/>
        <v>110000</v>
      </c>
      <c r="AK110" s="982">
        <f>'09월 에너지'!S110</f>
        <v>115.1</v>
      </c>
      <c r="AL110" s="983">
        <f t="shared" si="62"/>
        <v>1.0463636363636364</v>
      </c>
    </row>
    <row r="111" spans="1:38" ht="16.5" customHeight="1">
      <c r="A111" s="999">
        <f>'09월 에너지'!A111</f>
        <v>46269</v>
      </c>
      <c r="B111" s="1002">
        <f>'09월 조업일지'!B109</f>
        <v>46269</v>
      </c>
      <c r="C111" s="1003" t="str">
        <f>'09월 에너지'!C111</f>
        <v>B</v>
      </c>
      <c r="D111" s="1004" t="str">
        <f>'09월 에너지'!D111</f>
        <v>B</v>
      </c>
      <c r="E111" s="1000">
        <f>'09월 에너지'!E111</f>
        <v>85311</v>
      </c>
      <c r="F111" s="1094" t="str">
        <f>'09월 에너지'!F111</f>
        <v>SS400-05</v>
      </c>
      <c r="G111" s="980"/>
      <c r="H111" s="978"/>
      <c r="I111" s="978"/>
      <c r="J111" s="978"/>
      <c r="K111" s="978"/>
      <c r="L111" s="978"/>
      <c r="M111" s="978"/>
      <c r="N111" s="978"/>
      <c r="O111" s="1106" t="str">
        <f t="shared" si="61"/>
        <v/>
      </c>
      <c r="P111" s="1108">
        <v>38500</v>
      </c>
      <c r="Q111" s="979">
        <v>7700</v>
      </c>
      <c r="R111" s="979"/>
      <c r="S111" s="979"/>
      <c r="T111" s="979"/>
      <c r="U111" s="979"/>
      <c r="V111" s="979">
        <v>28500</v>
      </c>
      <c r="W111" s="979"/>
      <c r="X111" s="979"/>
      <c r="Y111" s="979">
        <v>18100</v>
      </c>
      <c r="Z111" s="979"/>
      <c r="AA111" s="979"/>
      <c r="AB111" s="979"/>
      <c r="AC111" s="979"/>
      <c r="AD111" s="979"/>
      <c r="AE111" s="1109">
        <f t="shared" ref="AE111" si="68">IF(SUM(P111:AD111)=0,"",SUM(P111:AD111))</f>
        <v>92800</v>
      </c>
      <c r="AF111" s="1113">
        <v>5000</v>
      </c>
      <c r="AG111" s="981">
        <v>17500</v>
      </c>
      <c r="AH111" s="981"/>
      <c r="AI111" s="1114">
        <f t="shared" ref="AI111" si="69">IF(SUM(AF111:AH111)=0,"",SUM(AF111:AH111))</f>
        <v>22500</v>
      </c>
      <c r="AJ111" s="1110">
        <f t="shared" si="65"/>
        <v>115300</v>
      </c>
      <c r="AK111" s="982">
        <f>'09월 에너지'!S111</f>
        <v>115.8</v>
      </c>
      <c r="AL111" s="983">
        <f t="shared" si="62"/>
        <v>1.0043365134431916</v>
      </c>
    </row>
    <row r="112" spans="1:38" ht="16.5" customHeight="1">
      <c r="A112" s="999">
        <f>'09월 에너지'!A112</f>
        <v>46269</v>
      </c>
      <c r="B112" s="1002">
        <f>'09월 조업일지'!B110</f>
        <v>46269</v>
      </c>
      <c r="C112" s="1003" t="str">
        <f>'09월 에너지'!C112</f>
        <v>C</v>
      </c>
      <c r="D112" s="1004" t="str">
        <f>'09월 에너지'!D112</f>
        <v>B</v>
      </c>
      <c r="E112" s="1000">
        <f>'09월 에너지'!E112</f>
        <v>85312</v>
      </c>
      <c r="F112" s="1170" t="str">
        <f>'09월 에너지'!F112</f>
        <v>SS400-04</v>
      </c>
      <c r="G112" s="980"/>
      <c r="H112" s="978"/>
      <c r="I112" s="978"/>
      <c r="J112" s="978"/>
      <c r="K112" s="978"/>
      <c r="L112" s="978"/>
      <c r="M112" s="978"/>
      <c r="N112" s="978"/>
      <c r="O112" s="1106" t="str">
        <f t="shared" si="61"/>
        <v/>
      </c>
      <c r="P112" s="1108">
        <f>45200+7600</f>
        <v>52800</v>
      </c>
      <c r="Q112" s="979">
        <f>15500+7900</f>
        <v>23400</v>
      </c>
      <c r="R112" s="979"/>
      <c r="S112" s="979"/>
      <c r="T112" s="979"/>
      <c r="U112" s="979">
        <f>13400+9200</f>
        <v>22600</v>
      </c>
      <c r="V112" s="979">
        <f>5900+5400+2600</f>
        <v>13900</v>
      </c>
      <c r="W112" s="979"/>
      <c r="X112" s="979">
        <v>4600</v>
      </c>
      <c r="Y112" s="979">
        <f>6300+2400</f>
        <v>8700</v>
      </c>
      <c r="Z112" s="979"/>
      <c r="AA112" s="979"/>
      <c r="AB112" s="979"/>
      <c r="AC112" s="979"/>
      <c r="AD112" s="979">
        <v>14200</v>
      </c>
      <c r="AE112" s="1109">
        <f t="shared" si="63"/>
        <v>140200</v>
      </c>
      <c r="AF112" s="1113">
        <v>4500</v>
      </c>
      <c r="AG112" s="981">
        <v>12800</v>
      </c>
      <c r="AH112" s="981">
        <v>1300</v>
      </c>
      <c r="AI112" s="1114">
        <f t="shared" si="64"/>
        <v>18600</v>
      </c>
      <c r="AJ112" s="1110">
        <f t="shared" si="65"/>
        <v>158800</v>
      </c>
      <c r="AK112" s="982">
        <f>'09월 에너지'!S112</f>
        <v>131</v>
      </c>
      <c r="AL112" s="983">
        <f t="shared" si="62"/>
        <v>0.82493702770780852</v>
      </c>
    </row>
    <row r="113" spans="1:38" ht="16.5" customHeight="1">
      <c r="A113" s="999">
        <f>'09월 에너지'!A113</f>
        <v>46269</v>
      </c>
      <c r="B113" s="1002">
        <f>'09월 조업일지'!B111</f>
        <v>46269</v>
      </c>
      <c r="C113" s="1003" t="str">
        <f>'09월 에너지'!C113</f>
        <v>C</v>
      </c>
      <c r="D113" s="1233" t="str">
        <f>'09월 에너지'!D113</f>
        <v>B</v>
      </c>
      <c r="E113" s="1000">
        <f>'09월 에너지'!E113</f>
        <v>85313</v>
      </c>
      <c r="F113" s="1094" t="str">
        <f>'09월 에너지'!F113</f>
        <v>SS400-04</v>
      </c>
      <c r="G113" s="980"/>
      <c r="H113" s="978"/>
      <c r="I113" s="978"/>
      <c r="J113" s="978"/>
      <c r="K113" s="978"/>
      <c r="L113" s="978"/>
      <c r="M113" s="978"/>
      <c r="N113" s="978"/>
      <c r="O113" s="1106" t="str">
        <f t="shared" si="61"/>
        <v/>
      </c>
      <c r="P113" s="1108">
        <f>3000+10400+8400+8300+5400+1900+6400</f>
        <v>43800</v>
      </c>
      <c r="Q113" s="979">
        <f>17000+5800</f>
        <v>22800</v>
      </c>
      <c r="R113" s="979">
        <v>9600</v>
      </c>
      <c r="S113" s="979"/>
      <c r="T113" s="979"/>
      <c r="U113" s="979">
        <f>6600+6100</f>
        <v>12700</v>
      </c>
      <c r="V113" s="979">
        <f>3000+6400+9400+8500</f>
        <v>27300</v>
      </c>
      <c r="W113" s="979">
        <v>3400</v>
      </c>
      <c r="X113" s="979">
        <v>9900</v>
      </c>
      <c r="Y113" s="979">
        <f>3800+100+2500</f>
        <v>6400</v>
      </c>
      <c r="Z113" s="979"/>
      <c r="AA113" s="979">
        <v>2300</v>
      </c>
      <c r="AB113" s="979">
        <v>4200</v>
      </c>
      <c r="AC113" s="979"/>
      <c r="AD113" s="979"/>
      <c r="AE113" s="1109">
        <f t="shared" si="63"/>
        <v>142400</v>
      </c>
      <c r="AF113" s="1113">
        <v>4800</v>
      </c>
      <c r="AG113" s="981">
        <v>9600</v>
      </c>
      <c r="AH113" s="981">
        <v>3200</v>
      </c>
      <c r="AI113" s="1114">
        <f t="shared" si="64"/>
        <v>17600</v>
      </c>
      <c r="AJ113" s="1110">
        <f t="shared" si="65"/>
        <v>160000</v>
      </c>
      <c r="AK113" s="982">
        <f>'09월 에너지'!S113</f>
        <v>141.80000000000001</v>
      </c>
      <c r="AL113" s="983">
        <f t="shared" si="62"/>
        <v>0.88624999999999998</v>
      </c>
    </row>
    <row r="114" spans="1:38" ht="16.5" customHeight="1">
      <c r="A114" s="999">
        <f>'09월 에너지'!A114</f>
        <v>46269</v>
      </c>
      <c r="B114" s="1002">
        <f>'09월 조업일지'!B112</f>
        <v>46269</v>
      </c>
      <c r="C114" s="1003" t="str">
        <f>'09월 에너지'!C114</f>
        <v>C</v>
      </c>
      <c r="D114" s="1004" t="str">
        <f>'09월 에너지'!D114</f>
        <v>A</v>
      </c>
      <c r="E114" s="1000">
        <f>'09월 에너지'!E114</f>
        <v>85314</v>
      </c>
      <c r="F114" s="1094" t="str">
        <f>'09월 에너지'!F114</f>
        <v>SS400-04</v>
      </c>
      <c r="G114" s="980"/>
      <c r="H114" s="978"/>
      <c r="I114" s="978"/>
      <c r="J114" s="978"/>
      <c r="K114" s="978"/>
      <c r="L114" s="978"/>
      <c r="M114" s="978"/>
      <c r="N114" s="978"/>
      <c r="O114" s="1106" t="str">
        <f t="shared" si="61"/>
        <v/>
      </c>
      <c r="P114" s="1108">
        <f>9000+7000+10300+4300+11800+2800+7600</f>
        <v>52800</v>
      </c>
      <c r="Q114" s="979">
        <f>15500+7900</f>
        <v>23400</v>
      </c>
      <c r="R114" s="979"/>
      <c r="S114" s="979"/>
      <c r="T114" s="979"/>
      <c r="U114" s="979">
        <f>13400+9200</f>
        <v>22600</v>
      </c>
      <c r="V114" s="979">
        <f>5900+5400+2600</f>
        <v>13900</v>
      </c>
      <c r="W114" s="979"/>
      <c r="X114" s="979">
        <v>4600</v>
      </c>
      <c r="Y114" s="979">
        <f>6300+2400</f>
        <v>8700</v>
      </c>
      <c r="Z114" s="979"/>
      <c r="AA114" s="979"/>
      <c r="AB114" s="979"/>
      <c r="AC114" s="979"/>
      <c r="AD114" s="979">
        <v>14200</v>
      </c>
      <c r="AE114" s="1109">
        <f t="shared" si="63"/>
        <v>140200</v>
      </c>
      <c r="AF114" s="1113">
        <v>4500</v>
      </c>
      <c r="AG114" s="981">
        <v>12800</v>
      </c>
      <c r="AH114" s="981">
        <v>1300</v>
      </c>
      <c r="AI114" s="1114">
        <f t="shared" si="64"/>
        <v>18600</v>
      </c>
      <c r="AJ114" s="1110">
        <f t="shared" si="65"/>
        <v>158800</v>
      </c>
      <c r="AK114" s="982">
        <f>'09월 에너지'!S114</f>
        <v>131</v>
      </c>
      <c r="AL114" s="983">
        <f t="shared" si="62"/>
        <v>0.82493702770780852</v>
      </c>
    </row>
    <row r="115" spans="1:38" ht="16.5" customHeight="1">
      <c r="A115" s="999">
        <f>'09월 에너지'!A115</f>
        <v>46269</v>
      </c>
      <c r="B115" s="1002">
        <f>'09월 조업일지'!B113</f>
        <v>46269</v>
      </c>
      <c r="C115" s="1003" t="str">
        <f>'09월 에너지'!C115</f>
        <v>C</v>
      </c>
      <c r="D115" s="1004" t="str">
        <f>'09월 에너지'!D115</f>
        <v>B</v>
      </c>
      <c r="E115" s="1000">
        <f>'09월 에너지'!E115</f>
        <v>85315</v>
      </c>
      <c r="F115" s="1094" t="str">
        <f>'09월 에너지'!F115</f>
        <v>SS400-04</v>
      </c>
      <c r="G115" s="980"/>
      <c r="H115" s="978"/>
      <c r="I115" s="978"/>
      <c r="J115" s="978"/>
      <c r="K115" s="978"/>
      <c r="L115" s="978"/>
      <c r="M115" s="978"/>
      <c r="N115" s="978"/>
      <c r="O115" s="1106" t="str">
        <f t="shared" si="61"/>
        <v/>
      </c>
      <c r="P115" s="1108">
        <f>3000+10400+8400+8300+5400+1900+6400</f>
        <v>43800</v>
      </c>
      <c r="Q115" s="979">
        <f>17000+5800</f>
        <v>22800</v>
      </c>
      <c r="R115" s="979">
        <v>9600</v>
      </c>
      <c r="S115" s="979"/>
      <c r="T115" s="979"/>
      <c r="U115" s="979">
        <f>6600+6100</f>
        <v>12700</v>
      </c>
      <c r="V115" s="979">
        <f>3000+6400+9400+8500</f>
        <v>27300</v>
      </c>
      <c r="W115" s="979">
        <v>3400</v>
      </c>
      <c r="X115" s="979">
        <v>9900</v>
      </c>
      <c r="Y115" s="979">
        <f>3800+100+2500</f>
        <v>6400</v>
      </c>
      <c r="Z115" s="979"/>
      <c r="AA115" s="979">
        <v>2300</v>
      </c>
      <c r="AB115" s="979">
        <v>4200</v>
      </c>
      <c r="AC115" s="979"/>
      <c r="AD115" s="979"/>
      <c r="AE115" s="1109">
        <f t="shared" si="63"/>
        <v>142400</v>
      </c>
      <c r="AF115" s="1113">
        <v>4800</v>
      </c>
      <c r="AG115" s="981">
        <v>9600</v>
      </c>
      <c r="AH115" s="981">
        <v>3200</v>
      </c>
      <c r="AI115" s="1114">
        <f t="shared" si="64"/>
        <v>17600</v>
      </c>
      <c r="AJ115" s="1110">
        <f t="shared" si="65"/>
        <v>160000</v>
      </c>
      <c r="AK115" s="982">
        <f>'09월 에너지'!S115</f>
        <v>141.1</v>
      </c>
      <c r="AL115" s="983">
        <f t="shared" si="62"/>
        <v>0.88187499999999996</v>
      </c>
    </row>
    <row r="116" spans="1:38" ht="16.5" customHeight="1">
      <c r="A116" s="999">
        <f>'09월 에너지'!A116</f>
        <v>46269</v>
      </c>
      <c r="B116" s="1002">
        <f>'09월 조업일지'!B114</f>
        <v>46269</v>
      </c>
      <c r="C116" s="1003" t="str">
        <f>'09월 에너지'!C116</f>
        <v>C</v>
      </c>
      <c r="D116" s="1004" t="str">
        <f>'09월 에너지'!D116</f>
        <v>A</v>
      </c>
      <c r="E116" s="1000">
        <f>'09월 에너지'!E116</f>
        <v>85316</v>
      </c>
      <c r="F116" s="1170" t="str">
        <f>'09월 에너지'!F116</f>
        <v>S355JO-01</v>
      </c>
      <c r="G116" s="980"/>
      <c r="H116" s="978"/>
      <c r="I116" s="978"/>
      <c r="J116" s="978"/>
      <c r="K116" s="978"/>
      <c r="L116" s="978"/>
      <c r="M116" s="978"/>
      <c r="N116" s="978"/>
      <c r="O116" s="1106" t="str">
        <f t="shared" si="61"/>
        <v/>
      </c>
      <c r="P116" s="1108">
        <f>10500+10800+10700+12500+6300+2400+2400</f>
        <v>55600</v>
      </c>
      <c r="Q116" s="979">
        <f>12000+10600</f>
        <v>22600</v>
      </c>
      <c r="R116" s="979">
        <v>12000</v>
      </c>
      <c r="S116" s="979"/>
      <c r="T116" s="979"/>
      <c r="U116" s="979">
        <f>2600+2800</f>
        <v>5400</v>
      </c>
      <c r="V116" s="979">
        <f>3800+8100+5500+9300</f>
        <v>26700</v>
      </c>
      <c r="W116" s="979">
        <v>2000</v>
      </c>
      <c r="X116" s="979">
        <v>10700</v>
      </c>
      <c r="Y116" s="979">
        <f>1900+3200</f>
        <v>5100</v>
      </c>
      <c r="Z116" s="979"/>
      <c r="AA116" s="979">
        <v>1500</v>
      </c>
      <c r="AB116" s="979">
        <v>700</v>
      </c>
      <c r="AC116" s="979"/>
      <c r="AD116" s="979"/>
      <c r="AE116" s="1109">
        <f t="shared" si="63"/>
        <v>142300</v>
      </c>
      <c r="AF116" s="1113">
        <v>3900</v>
      </c>
      <c r="AG116" s="981">
        <v>8600</v>
      </c>
      <c r="AH116" s="981">
        <v>3600</v>
      </c>
      <c r="AI116" s="1114">
        <f t="shared" si="64"/>
        <v>16100</v>
      </c>
      <c r="AJ116" s="1110">
        <f t="shared" si="65"/>
        <v>158400</v>
      </c>
      <c r="AK116" s="982">
        <f>'09월 에너지'!S116</f>
        <v>140.6</v>
      </c>
      <c r="AL116" s="983">
        <f t="shared" si="62"/>
        <v>0.88762626262626265</v>
      </c>
    </row>
    <row r="117" spans="1:38" ht="16.5" customHeight="1">
      <c r="A117" s="999">
        <f>'09월 에너지'!A117</f>
        <v>46269</v>
      </c>
      <c r="B117" s="1002">
        <f>'09월 조업일지'!B115</f>
        <v>46269</v>
      </c>
      <c r="C117" s="1003" t="str">
        <f>'09월 에너지'!C117</f>
        <v>A</v>
      </c>
      <c r="D117" s="1004" t="str">
        <f>'09월 에너지'!D117</f>
        <v>B</v>
      </c>
      <c r="E117" s="1000">
        <f>'09월 에너지'!E117</f>
        <v>85317</v>
      </c>
      <c r="F117" s="1094" t="str">
        <f>'09월 에너지'!F117</f>
        <v>S355JO-01</v>
      </c>
      <c r="G117" s="980"/>
      <c r="H117" s="978"/>
      <c r="I117" s="978"/>
      <c r="J117" s="978"/>
      <c r="K117" s="978"/>
      <c r="L117" s="978"/>
      <c r="M117" s="978"/>
      <c r="N117" s="978"/>
      <c r="O117" s="1106" t="str">
        <f t="shared" si="61"/>
        <v/>
      </c>
      <c r="P117" s="1108">
        <f>8600+9900+5100+16000+5800+6200+7700</f>
        <v>59300</v>
      </c>
      <c r="Q117" s="979">
        <f>9300+4800</f>
        <v>14100</v>
      </c>
      <c r="R117" s="979">
        <v>9600</v>
      </c>
      <c r="S117" s="979">
        <v>0</v>
      </c>
      <c r="T117" s="979">
        <v>0</v>
      </c>
      <c r="U117" s="979">
        <f>900+1600</f>
        <v>2500</v>
      </c>
      <c r="V117" s="979">
        <f>4000+6700+3300+8800</f>
        <v>22800</v>
      </c>
      <c r="W117" s="979">
        <v>3900</v>
      </c>
      <c r="X117" s="979">
        <v>9000</v>
      </c>
      <c r="Y117" s="979">
        <f>3300+900+3000</f>
        <v>7200</v>
      </c>
      <c r="Z117" s="979">
        <v>0</v>
      </c>
      <c r="AA117" s="979">
        <v>3800</v>
      </c>
      <c r="AB117" s="979">
        <v>1800</v>
      </c>
      <c r="AC117" s="979">
        <v>0</v>
      </c>
      <c r="AD117" s="979">
        <v>0</v>
      </c>
      <c r="AE117" s="1109">
        <f t="shared" si="63"/>
        <v>134000</v>
      </c>
      <c r="AF117" s="1113">
        <v>3900</v>
      </c>
      <c r="AG117" s="981">
        <v>10100</v>
      </c>
      <c r="AH117" s="981">
        <v>10600</v>
      </c>
      <c r="AI117" s="1114">
        <f t="shared" si="64"/>
        <v>24600</v>
      </c>
      <c r="AJ117" s="1110">
        <f t="shared" si="65"/>
        <v>158600</v>
      </c>
      <c r="AK117" s="982">
        <f>'09월 에너지'!S117</f>
        <v>145.4</v>
      </c>
      <c r="AL117" s="983">
        <f t="shared" si="62"/>
        <v>0.91677175283732659</v>
      </c>
    </row>
    <row r="118" spans="1:38" ht="16.5" customHeight="1">
      <c r="A118" s="999">
        <f>'09월 에너지'!A118</f>
        <v>46269</v>
      </c>
      <c r="B118" s="1002">
        <f>'09월 조업일지'!B116</f>
        <v>46269</v>
      </c>
      <c r="C118" s="1003" t="str">
        <f>'09월 에너지'!C118</f>
        <v>A</v>
      </c>
      <c r="D118" s="1004" t="str">
        <f>'09월 에너지'!D118</f>
        <v>A</v>
      </c>
      <c r="E118" s="1000">
        <f>'09월 에너지'!E118</f>
        <v>85318</v>
      </c>
      <c r="F118" s="1094" t="str">
        <f>'09월 에너지'!F118</f>
        <v>S355JO-01</v>
      </c>
      <c r="G118" s="980"/>
      <c r="H118" s="978"/>
      <c r="I118" s="978"/>
      <c r="J118" s="978"/>
      <c r="K118" s="978"/>
      <c r="L118" s="978"/>
      <c r="M118" s="978"/>
      <c r="N118" s="978"/>
      <c r="O118" s="1106" t="str">
        <f t="shared" si="61"/>
        <v/>
      </c>
      <c r="P118" s="1108">
        <f>11200+13900+4700+8800+7000+1600+3000</f>
        <v>50200</v>
      </c>
      <c r="Q118" s="979">
        <f>7000+5900</f>
        <v>12900</v>
      </c>
      <c r="R118" s="979">
        <v>3400</v>
      </c>
      <c r="S118" s="979">
        <v>0</v>
      </c>
      <c r="T118" s="979">
        <v>0</v>
      </c>
      <c r="U118" s="979">
        <f>4200+3100</f>
        <v>7300</v>
      </c>
      <c r="V118" s="979">
        <f>7600+3600+15400+9400</f>
        <v>36000</v>
      </c>
      <c r="W118" s="979">
        <v>1000</v>
      </c>
      <c r="X118" s="979">
        <v>10700</v>
      </c>
      <c r="Y118" s="979">
        <f>4200+2300</f>
        <v>6500</v>
      </c>
      <c r="Z118" s="979">
        <v>0</v>
      </c>
      <c r="AA118" s="979">
        <v>1900</v>
      </c>
      <c r="AB118" s="979">
        <v>1000</v>
      </c>
      <c r="AC118" s="979">
        <v>0</v>
      </c>
      <c r="AD118" s="979">
        <v>0</v>
      </c>
      <c r="AE118" s="1109">
        <f t="shared" si="63"/>
        <v>130900</v>
      </c>
      <c r="AF118" s="1113">
        <v>3600</v>
      </c>
      <c r="AG118" s="981">
        <v>11300</v>
      </c>
      <c r="AH118" s="981">
        <v>12300</v>
      </c>
      <c r="AI118" s="1114">
        <f t="shared" si="64"/>
        <v>27200</v>
      </c>
      <c r="AJ118" s="1110">
        <f t="shared" si="65"/>
        <v>158100</v>
      </c>
      <c r="AK118" s="982">
        <f>'09월 에너지'!S118</f>
        <v>144.6</v>
      </c>
      <c r="AL118" s="983">
        <f t="shared" si="62"/>
        <v>0.91461100569259957</v>
      </c>
    </row>
    <row r="119" spans="1:38" ht="16.5" customHeight="1">
      <c r="A119" s="999">
        <f>'09월 에너지'!A119</f>
        <v>46269</v>
      </c>
      <c r="B119" s="1002">
        <f>'09월 조업일지'!B117</f>
        <v>46269</v>
      </c>
      <c r="C119" s="1003" t="str">
        <f>'09월 에너지'!C119</f>
        <v>A</v>
      </c>
      <c r="D119" s="1004" t="str">
        <f>'09월 에너지'!D119</f>
        <v>B</v>
      </c>
      <c r="E119" s="1000">
        <f>'09월 에너지'!E119</f>
        <v>85319</v>
      </c>
      <c r="F119" s="1094" t="str">
        <f>'09월 에너지'!F119</f>
        <v>S355JO-01</v>
      </c>
      <c r="G119" s="980"/>
      <c r="H119" s="978"/>
      <c r="I119" s="978"/>
      <c r="J119" s="978"/>
      <c r="K119" s="978"/>
      <c r="L119" s="978"/>
      <c r="M119" s="978"/>
      <c r="N119" s="978"/>
      <c r="O119" s="1106" t="str">
        <f t="shared" si="61"/>
        <v/>
      </c>
      <c r="P119" s="1108">
        <f>8700+13300+7900+10000+6600+2400+6500</f>
        <v>55400</v>
      </c>
      <c r="Q119" s="979">
        <f>12100+7200</f>
        <v>19300</v>
      </c>
      <c r="R119" s="979">
        <v>6500</v>
      </c>
      <c r="S119" s="979">
        <v>0</v>
      </c>
      <c r="T119" s="979">
        <v>0</v>
      </c>
      <c r="U119" s="979">
        <f>4600+4700</f>
        <v>9300</v>
      </c>
      <c r="V119" s="979">
        <f>4100+4100+8300+9700</f>
        <v>26200</v>
      </c>
      <c r="W119" s="979">
        <v>2700</v>
      </c>
      <c r="X119" s="979">
        <v>9200</v>
      </c>
      <c r="Y119" s="979">
        <f>2500+1700+1900</f>
        <v>6100</v>
      </c>
      <c r="Z119" s="979">
        <v>0</v>
      </c>
      <c r="AA119" s="979">
        <v>1700</v>
      </c>
      <c r="AB119" s="979">
        <v>1900</v>
      </c>
      <c r="AC119" s="979">
        <v>0</v>
      </c>
      <c r="AD119" s="979">
        <v>0</v>
      </c>
      <c r="AE119" s="1109">
        <f t="shared" si="63"/>
        <v>138300</v>
      </c>
      <c r="AF119" s="1113">
        <v>3600</v>
      </c>
      <c r="AG119" s="981">
        <v>12800</v>
      </c>
      <c r="AH119" s="981">
        <v>3500</v>
      </c>
      <c r="AI119" s="1114">
        <f t="shared" si="64"/>
        <v>19900</v>
      </c>
      <c r="AJ119" s="1110">
        <f t="shared" si="65"/>
        <v>158200</v>
      </c>
      <c r="AK119" s="982">
        <f>'09월 에너지'!S119</f>
        <v>150.19999999999999</v>
      </c>
      <c r="AL119" s="983">
        <f t="shared" si="62"/>
        <v>0.94943109987357777</v>
      </c>
    </row>
    <row r="120" spans="1:38" ht="16.5" customHeight="1">
      <c r="A120" s="999">
        <f>'09월 에너지'!A120</f>
        <v>46269</v>
      </c>
      <c r="B120" s="1002">
        <f>'09월 조업일지'!B118</f>
        <v>46269</v>
      </c>
      <c r="C120" s="1003" t="str">
        <f>'09월 에너지'!C120</f>
        <v>A</v>
      </c>
      <c r="D120" s="1004" t="str">
        <f>'09월 에너지'!D120</f>
        <v>A</v>
      </c>
      <c r="E120" s="1000">
        <f>'09월 에너지'!E120</f>
        <v>85320</v>
      </c>
      <c r="F120" s="1094" t="str">
        <f>'09월 에너지'!F120</f>
        <v>S355JO-01</v>
      </c>
      <c r="G120" s="980"/>
      <c r="H120" s="978"/>
      <c r="I120" s="978"/>
      <c r="J120" s="978"/>
      <c r="K120" s="978"/>
      <c r="L120" s="978"/>
      <c r="M120" s="978"/>
      <c r="N120" s="978"/>
      <c r="O120" s="1106" t="str">
        <f t="shared" si="61"/>
        <v/>
      </c>
      <c r="P120" s="1108">
        <f>10800+11200+10400+13200+5200+1200+10900</f>
        <v>62900</v>
      </c>
      <c r="Q120" s="979">
        <f>11100+6400</f>
        <v>17500</v>
      </c>
      <c r="R120" s="979">
        <v>1800</v>
      </c>
      <c r="S120" s="979">
        <v>0</v>
      </c>
      <c r="T120" s="979">
        <v>0</v>
      </c>
      <c r="U120" s="979">
        <f>4000+3200</f>
        <v>7200</v>
      </c>
      <c r="V120" s="979">
        <f>3700+1000+7600+9700</f>
        <v>22000</v>
      </c>
      <c r="W120" s="979">
        <v>4300</v>
      </c>
      <c r="X120" s="979">
        <v>8800</v>
      </c>
      <c r="Y120" s="979">
        <f>5200+2500+1200</f>
        <v>8900</v>
      </c>
      <c r="Z120" s="979">
        <v>0</v>
      </c>
      <c r="AA120" s="979">
        <v>1700</v>
      </c>
      <c r="AB120" s="979">
        <v>3300</v>
      </c>
      <c r="AC120" s="979">
        <v>0</v>
      </c>
      <c r="AD120" s="979">
        <v>0</v>
      </c>
      <c r="AE120" s="1109">
        <f t="shared" si="63"/>
        <v>138400</v>
      </c>
      <c r="AF120" s="1113">
        <v>4200</v>
      </c>
      <c r="AG120" s="981">
        <v>9800</v>
      </c>
      <c r="AH120" s="981">
        <v>6000</v>
      </c>
      <c r="AI120" s="1114">
        <f t="shared" si="64"/>
        <v>20000</v>
      </c>
      <c r="AJ120" s="1110">
        <f t="shared" si="65"/>
        <v>158400</v>
      </c>
      <c r="AK120" s="982">
        <f>'09월 에너지'!S120</f>
        <v>145.69999999999999</v>
      </c>
      <c r="AL120" s="983">
        <f t="shared" si="62"/>
        <v>0.91982323232323238</v>
      </c>
    </row>
    <row r="121" spans="1:38" ht="16.5" customHeight="1">
      <c r="A121" s="999">
        <f>'09월 에너지'!A121</f>
        <v>46269</v>
      </c>
      <c r="B121" s="1002">
        <f>'09월 조업일지'!B119</f>
        <v>46269</v>
      </c>
      <c r="C121" s="1003" t="str">
        <f>'09월 에너지'!C121</f>
        <v>A</v>
      </c>
      <c r="D121" s="1004" t="str">
        <f>'09월 에너지'!D121</f>
        <v>B</v>
      </c>
      <c r="E121" s="1000">
        <f>'09월 에너지'!E121</f>
        <v>85321</v>
      </c>
      <c r="F121" s="1094" t="str">
        <f>'09월 에너지'!F121</f>
        <v>S355JO-01</v>
      </c>
      <c r="G121" s="980"/>
      <c r="H121" s="978"/>
      <c r="I121" s="978"/>
      <c r="J121" s="978"/>
      <c r="K121" s="978"/>
      <c r="L121" s="978"/>
      <c r="M121" s="978"/>
      <c r="N121" s="978"/>
      <c r="O121" s="1106" t="str">
        <f t="shared" si="61"/>
        <v/>
      </c>
      <c r="P121" s="1108">
        <f>11300+11300+6000+10800+6700+7400</f>
        <v>53500</v>
      </c>
      <c r="Q121" s="979">
        <f>8700+7300</f>
        <v>16000</v>
      </c>
      <c r="R121" s="979">
        <v>7300</v>
      </c>
      <c r="S121" s="979">
        <v>0</v>
      </c>
      <c r="T121" s="979">
        <v>0</v>
      </c>
      <c r="U121" s="979">
        <f>6500+9100</f>
        <v>15600</v>
      </c>
      <c r="V121" s="979">
        <f>4500+5300+2500+10600</f>
        <v>22900</v>
      </c>
      <c r="W121" s="979">
        <v>0</v>
      </c>
      <c r="X121" s="979">
        <v>0</v>
      </c>
      <c r="Y121" s="979">
        <f>8900+1300</f>
        <v>10200</v>
      </c>
      <c r="Z121" s="979">
        <v>0</v>
      </c>
      <c r="AA121" s="979">
        <v>2100</v>
      </c>
      <c r="AB121" s="979">
        <v>2800</v>
      </c>
      <c r="AC121" s="979">
        <v>0</v>
      </c>
      <c r="AD121" s="979">
        <v>0</v>
      </c>
      <c r="AE121" s="1109">
        <f t="shared" si="63"/>
        <v>130400</v>
      </c>
      <c r="AF121" s="1113">
        <v>3900</v>
      </c>
      <c r="AG121" s="981">
        <v>10900</v>
      </c>
      <c r="AH121" s="981">
        <v>12800</v>
      </c>
      <c r="AI121" s="1114">
        <f t="shared" si="64"/>
        <v>27600</v>
      </c>
      <c r="AJ121" s="1110">
        <f t="shared" si="65"/>
        <v>158000</v>
      </c>
      <c r="AK121" s="982">
        <f>'09월 에너지'!S121</f>
        <v>150</v>
      </c>
      <c r="AL121" s="983">
        <f t="shared" si="62"/>
        <v>0.94936708860759489</v>
      </c>
    </row>
    <row r="122" spans="1:38" ht="16.5" customHeight="1">
      <c r="A122" s="999">
        <f>'09월 에너지'!A122</f>
        <v>46269</v>
      </c>
      <c r="B122" s="1002">
        <f>'09월 조업일지'!B120</f>
        <v>46269</v>
      </c>
      <c r="C122" s="1003" t="str">
        <f>'09월 에너지'!C122</f>
        <v>A</v>
      </c>
      <c r="D122" s="1004" t="str">
        <f>'09월 에너지'!D122</f>
        <v>A</v>
      </c>
      <c r="E122" s="1000">
        <f>'09월 에너지'!E122</f>
        <v>85322</v>
      </c>
      <c r="F122" s="1094" t="str">
        <f>'09월 에너지'!F122</f>
        <v>S355JO-01</v>
      </c>
      <c r="G122" s="980"/>
      <c r="H122" s="978"/>
      <c r="I122" s="978"/>
      <c r="J122" s="978"/>
      <c r="K122" s="978"/>
      <c r="L122" s="978"/>
      <c r="M122" s="978"/>
      <c r="N122" s="978"/>
      <c r="O122" s="1106" t="str">
        <f t="shared" si="61"/>
        <v/>
      </c>
      <c r="P122" s="1108">
        <f>100+16500+10400+9900+5200+8200+200</f>
        <v>50500</v>
      </c>
      <c r="Q122" s="979">
        <f>15200+6500</f>
        <v>21700</v>
      </c>
      <c r="R122" s="979">
        <v>7100</v>
      </c>
      <c r="S122" s="979">
        <v>0</v>
      </c>
      <c r="T122" s="979">
        <v>0</v>
      </c>
      <c r="U122" s="979">
        <f>100+4800</f>
        <v>4900</v>
      </c>
      <c r="V122" s="979">
        <f>5400+5200+7600+9600</f>
        <v>27800</v>
      </c>
      <c r="W122" s="979">
        <v>2400</v>
      </c>
      <c r="X122" s="979">
        <v>10600</v>
      </c>
      <c r="Y122" s="979">
        <f>3800+3500+1700</f>
        <v>9000</v>
      </c>
      <c r="Z122" s="979">
        <v>0</v>
      </c>
      <c r="AA122" s="979">
        <v>1400</v>
      </c>
      <c r="AB122" s="979">
        <v>3300</v>
      </c>
      <c r="AC122" s="979">
        <v>0</v>
      </c>
      <c r="AD122" s="979">
        <v>0</v>
      </c>
      <c r="AE122" s="1109">
        <f t="shared" si="63"/>
        <v>138700</v>
      </c>
      <c r="AF122" s="1113">
        <v>3700</v>
      </c>
      <c r="AG122" s="981">
        <v>13500</v>
      </c>
      <c r="AH122" s="981">
        <v>3400</v>
      </c>
      <c r="AI122" s="1114">
        <f t="shared" si="64"/>
        <v>20600</v>
      </c>
      <c r="AJ122" s="1110">
        <f t="shared" si="65"/>
        <v>159300</v>
      </c>
      <c r="AK122" s="982">
        <f>'09월 에너지'!S122</f>
        <v>148.19999999999999</v>
      </c>
      <c r="AL122" s="983">
        <f t="shared" si="62"/>
        <v>0.93032015065913376</v>
      </c>
    </row>
    <row r="123" spans="1:38" ht="16.5" customHeight="1">
      <c r="A123" s="999">
        <f>'09월 에너지'!A123</f>
        <v>46269</v>
      </c>
      <c r="B123" s="1002">
        <f>'09월 조업일지'!B121</f>
        <v>46269</v>
      </c>
      <c r="C123" s="1003" t="str">
        <f>'09월 에너지'!C123</f>
        <v>A</v>
      </c>
      <c r="D123" s="1004" t="str">
        <f>'09월 에너지'!D123</f>
        <v>B</v>
      </c>
      <c r="E123" s="1000">
        <f>'09월 에너지'!E123</f>
        <v>85323</v>
      </c>
      <c r="F123" s="1094" t="str">
        <f>'09월 에너지'!F123</f>
        <v>S355JO-01</v>
      </c>
      <c r="G123" s="980"/>
      <c r="H123" s="978"/>
      <c r="I123" s="978"/>
      <c r="J123" s="978"/>
      <c r="K123" s="978"/>
      <c r="L123" s="978"/>
      <c r="M123" s="978"/>
      <c r="N123" s="978"/>
      <c r="O123" s="1106" t="str">
        <f t="shared" si="61"/>
        <v/>
      </c>
      <c r="P123" s="1108">
        <f>7300+15100+6300+12400+6000+6900+6700</f>
        <v>60700</v>
      </c>
      <c r="Q123" s="979">
        <f>12800+3500</f>
        <v>16300</v>
      </c>
      <c r="R123" s="979">
        <v>9000</v>
      </c>
      <c r="S123" s="979">
        <v>0</v>
      </c>
      <c r="T123" s="979">
        <v>0</v>
      </c>
      <c r="U123" s="979">
        <f>4800+3600</f>
        <v>8400</v>
      </c>
      <c r="V123" s="979">
        <f>1800+5700+2600+10300</f>
        <v>20400</v>
      </c>
      <c r="W123" s="979">
        <v>4500</v>
      </c>
      <c r="X123" s="979">
        <v>7400</v>
      </c>
      <c r="Y123" s="979">
        <f>2400+4200+400</f>
        <v>7000</v>
      </c>
      <c r="Z123" s="979">
        <v>0</v>
      </c>
      <c r="AA123" s="979">
        <v>2100</v>
      </c>
      <c r="AB123" s="979">
        <v>3000</v>
      </c>
      <c r="AC123" s="979">
        <v>0</v>
      </c>
      <c r="AD123" s="979">
        <v>0</v>
      </c>
      <c r="AE123" s="1109">
        <f t="shared" si="63"/>
        <v>138800</v>
      </c>
      <c r="AF123" s="1113">
        <v>5200</v>
      </c>
      <c r="AG123" s="981">
        <v>11200</v>
      </c>
      <c r="AH123" s="981">
        <v>3000</v>
      </c>
      <c r="AI123" s="1114">
        <f t="shared" si="64"/>
        <v>19400</v>
      </c>
      <c r="AJ123" s="1110">
        <f t="shared" si="65"/>
        <v>158200</v>
      </c>
      <c r="AK123" s="982">
        <f>'09월 에너지'!S123</f>
        <v>150.80000000000001</v>
      </c>
      <c r="AL123" s="983">
        <f t="shared" si="62"/>
        <v>0.95322376738305947</v>
      </c>
    </row>
    <row r="124" spans="1:38" ht="16.5" customHeight="1">
      <c r="A124" s="999">
        <f>'09월 에너지'!A124</f>
        <v>46270</v>
      </c>
      <c r="B124" s="1002">
        <f>'09월 조업일지'!B122</f>
        <v>46269</v>
      </c>
      <c r="C124" s="1003" t="str">
        <f>'09월 에너지'!C124</f>
        <v>A</v>
      </c>
      <c r="D124" s="1004" t="str">
        <f>'09월 에너지'!D124</f>
        <v>A</v>
      </c>
      <c r="E124" s="1000">
        <f>'09월 에너지'!E124</f>
        <v>85324</v>
      </c>
      <c r="F124" s="1094" t="str">
        <f>'09월 에너지'!F124</f>
        <v>S355JO-01</v>
      </c>
      <c r="G124" s="980"/>
      <c r="H124" s="978"/>
      <c r="I124" s="978"/>
      <c r="J124" s="978"/>
      <c r="K124" s="978"/>
      <c r="L124" s="978"/>
      <c r="M124" s="978"/>
      <c r="N124" s="978"/>
      <c r="O124" s="1106" t="str">
        <f t="shared" si="61"/>
        <v/>
      </c>
      <c r="P124" s="1108">
        <f>300+4500+10900+13600+5300+4300+8000</f>
        <v>46900</v>
      </c>
      <c r="Q124" s="979">
        <f>14800+6600</f>
        <v>21400</v>
      </c>
      <c r="R124" s="979">
        <v>7700</v>
      </c>
      <c r="S124" s="979">
        <v>0</v>
      </c>
      <c r="T124" s="979">
        <v>0</v>
      </c>
      <c r="U124" s="979">
        <f>2800+6200</f>
        <v>9000</v>
      </c>
      <c r="V124" s="979">
        <f>3600+6800+4000+9500</f>
        <v>23900</v>
      </c>
      <c r="W124" s="979">
        <v>3300</v>
      </c>
      <c r="X124" s="979">
        <v>9500</v>
      </c>
      <c r="Y124" s="979">
        <f>5600+2600</f>
        <v>8200</v>
      </c>
      <c r="Z124" s="979">
        <v>0</v>
      </c>
      <c r="AA124" s="979">
        <v>2600</v>
      </c>
      <c r="AB124" s="979">
        <v>1400</v>
      </c>
      <c r="AC124" s="979">
        <v>0</v>
      </c>
      <c r="AD124" s="979">
        <v>0</v>
      </c>
      <c r="AE124" s="1109">
        <f t="shared" si="63"/>
        <v>133900</v>
      </c>
      <c r="AF124" s="1113">
        <v>3300</v>
      </c>
      <c r="AG124" s="981">
        <v>13400</v>
      </c>
      <c r="AH124" s="981">
        <v>7400</v>
      </c>
      <c r="AI124" s="1114">
        <f t="shared" si="64"/>
        <v>24100</v>
      </c>
      <c r="AJ124" s="1110">
        <f t="shared" si="65"/>
        <v>158000</v>
      </c>
      <c r="AK124" s="982">
        <f>'09월 에너지'!S124</f>
        <v>145.6</v>
      </c>
      <c r="AL124" s="983">
        <f t="shared" si="62"/>
        <v>0.92151898734177218</v>
      </c>
    </row>
    <row r="125" spans="1:38" ht="16.5" customHeight="1">
      <c r="A125" s="999">
        <f>'09월 에너지'!A125</f>
        <v>46270</v>
      </c>
      <c r="B125" s="1002">
        <f>'09월 조업일지'!B123</f>
        <v>46269</v>
      </c>
      <c r="C125" s="1003" t="str">
        <f>'09월 에너지'!C125</f>
        <v>A</v>
      </c>
      <c r="D125" s="1004" t="str">
        <f>'09월 에너지'!D125</f>
        <v>B</v>
      </c>
      <c r="E125" s="1000">
        <f>'09월 에너지'!E125</f>
        <v>85325</v>
      </c>
      <c r="F125" s="1170" t="str">
        <f>'09월 에너지'!F125</f>
        <v>A572-50-01</v>
      </c>
      <c r="G125" s="980"/>
      <c r="H125" s="978"/>
      <c r="I125" s="978"/>
      <c r="J125" s="978"/>
      <c r="K125" s="978"/>
      <c r="L125" s="978"/>
      <c r="M125" s="978"/>
      <c r="N125" s="978"/>
      <c r="O125" s="1106" t="str">
        <f t="shared" si="61"/>
        <v/>
      </c>
      <c r="P125" s="1108">
        <f>8500+14700+5700+6300+7400+7300+4200</f>
        <v>54100</v>
      </c>
      <c r="Q125" s="979">
        <f>12300+7500</f>
        <v>19800</v>
      </c>
      <c r="R125" s="979">
        <v>6500</v>
      </c>
      <c r="S125" s="979">
        <v>0</v>
      </c>
      <c r="T125" s="979">
        <v>3200</v>
      </c>
      <c r="U125" s="979">
        <f>7000+6200+7800</f>
        <v>21000</v>
      </c>
      <c r="V125" s="979">
        <f>1800+1800</f>
        <v>3600</v>
      </c>
      <c r="W125" s="979">
        <v>4900</v>
      </c>
      <c r="X125" s="979">
        <v>7200</v>
      </c>
      <c r="Y125" s="979">
        <f>2800+12800+100</f>
        <v>15700</v>
      </c>
      <c r="Z125" s="979">
        <v>0</v>
      </c>
      <c r="AA125" s="979">
        <v>1000</v>
      </c>
      <c r="AB125" s="979">
        <v>3400</v>
      </c>
      <c r="AC125" s="979">
        <v>0</v>
      </c>
      <c r="AD125" s="979">
        <v>0</v>
      </c>
      <c r="AE125" s="1109">
        <f t="shared" si="63"/>
        <v>140400</v>
      </c>
      <c r="AF125" s="1113">
        <v>4100</v>
      </c>
      <c r="AG125" s="981">
        <v>9100</v>
      </c>
      <c r="AH125" s="981">
        <v>5600</v>
      </c>
      <c r="AI125" s="1114">
        <f t="shared" si="64"/>
        <v>18800</v>
      </c>
      <c r="AJ125" s="1110">
        <f t="shared" si="65"/>
        <v>159200</v>
      </c>
      <c r="AK125" s="982">
        <f>'09월 에너지'!S125</f>
        <v>148.6</v>
      </c>
      <c r="AL125" s="983">
        <f t="shared" si="62"/>
        <v>0.93341708542713564</v>
      </c>
    </row>
    <row r="126" spans="1:38" ht="16.5" customHeight="1">
      <c r="A126" s="999">
        <f>'09월 에너지'!A126</f>
        <v>46270</v>
      </c>
      <c r="B126" s="1002">
        <f>'09월 조업일지'!B124</f>
        <v>46269</v>
      </c>
      <c r="C126" s="1003" t="str">
        <f>'09월 에너지'!C126</f>
        <v>A</v>
      </c>
      <c r="D126" s="1004" t="str">
        <f>'09월 에너지'!D126</f>
        <v>A</v>
      </c>
      <c r="E126" s="1000">
        <f>'09월 에너지'!E126</f>
        <v>85326</v>
      </c>
      <c r="F126" s="1094" t="str">
        <f>'09월 에너지'!F126</f>
        <v>A572-50-01</v>
      </c>
      <c r="G126" s="980"/>
      <c r="H126" s="978"/>
      <c r="I126" s="978"/>
      <c r="J126" s="978"/>
      <c r="K126" s="978"/>
      <c r="L126" s="978"/>
      <c r="M126" s="978"/>
      <c r="N126" s="978"/>
      <c r="O126" s="1106" t="str">
        <f t="shared" si="61"/>
        <v/>
      </c>
      <c r="P126" s="1108">
        <f>12900+11200+7300+6200+3500+3000+8600</f>
        <v>52700</v>
      </c>
      <c r="Q126" s="979">
        <f>14400+7000</f>
        <v>21400</v>
      </c>
      <c r="R126" s="979">
        <v>6500</v>
      </c>
      <c r="S126" s="979">
        <v>0</v>
      </c>
      <c r="T126" s="979">
        <v>6100</v>
      </c>
      <c r="U126" s="979">
        <f>3100+2600+7300</f>
        <v>13000</v>
      </c>
      <c r="V126" s="979">
        <f>3900+3600</f>
        <v>7500</v>
      </c>
      <c r="W126" s="979">
        <v>2500</v>
      </c>
      <c r="X126" s="979">
        <v>8500</v>
      </c>
      <c r="Y126" s="979">
        <f>5200+1600+10400</f>
        <v>17200</v>
      </c>
      <c r="Z126" s="979">
        <v>0</v>
      </c>
      <c r="AA126" s="979">
        <v>1000</v>
      </c>
      <c r="AB126" s="979">
        <v>1600</v>
      </c>
      <c r="AC126" s="979">
        <v>0</v>
      </c>
      <c r="AD126" s="979">
        <v>0</v>
      </c>
      <c r="AE126" s="1109">
        <f t="shared" si="63"/>
        <v>138000</v>
      </c>
      <c r="AF126" s="1113">
        <v>3800</v>
      </c>
      <c r="AG126" s="981">
        <v>9300</v>
      </c>
      <c r="AH126" s="981">
        <v>6700</v>
      </c>
      <c r="AI126" s="1114">
        <f t="shared" si="64"/>
        <v>19800</v>
      </c>
      <c r="AJ126" s="1110">
        <f t="shared" si="65"/>
        <v>157800</v>
      </c>
      <c r="AK126" s="982">
        <f>'09월 에너지'!S126</f>
        <v>149</v>
      </c>
      <c r="AL126" s="983">
        <f t="shared" si="62"/>
        <v>0.94423320659062104</v>
      </c>
    </row>
    <row r="127" spans="1:38" ht="16.5" customHeight="1">
      <c r="A127" s="999">
        <f>'09월 에너지'!A127</f>
        <v>46270</v>
      </c>
      <c r="B127" s="1002">
        <f>'09월 조업일지'!B125</f>
        <v>46269</v>
      </c>
      <c r="C127" s="1003" t="str">
        <f>'09월 에너지'!C127</f>
        <v>A</v>
      </c>
      <c r="D127" s="1004" t="str">
        <f>'09월 에너지'!D127</f>
        <v>B</v>
      </c>
      <c r="E127" s="1000">
        <f>'09월 에너지'!E127</f>
        <v>85327</v>
      </c>
      <c r="F127" s="1094" t="str">
        <f>'09월 에너지'!F127</f>
        <v>A572-50-01</v>
      </c>
      <c r="G127" s="980"/>
      <c r="H127" s="978"/>
      <c r="I127" s="978"/>
      <c r="J127" s="978"/>
      <c r="K127" s="978"/>
      <c r="L127" s="978"/>
      <c r="M127" s="978"/>
      <c r="N127" s="978"/>
      <c r="O127" s="1106" t="str">
        <f t="shared" si="61"/>
        <v/>
      </c>
      <c r="P127" s="1108">
        <f>9500+10600+6400+5700+4400+2700+8500</f>
        <v>47800</v>
      </c>
      <c r="Q127" s="979">
        <f>9300+10100</f>
        <v>19400</v>
      </c>
      <c r="R127" s="979">
        <v>10100</v>
      </c>
      <c r="S127" s="979">
        <v>0</v>
      </c>
      <c r="T127" s="979">
        <v>7400</v>
      </c>
      <c r="U127" s="979">
        <f>4100+4200+1700</f>
        <v>10000</v>
      </c>
      <c r="V127" s="979">
        <f>5200+1900</f>
        <v>7100</v>
      </c>
      <c r="W127" s="979">
        <v>4500</v>
      </c>
      <c r="X127" s="979">
        <v>7400</v>
      </c>
      <c r="Y127" s="979">
        <f>1000+12900+7100</f>
        <v>21000</v>
      </c>
      <c r="Z127" s="979">
        <v>0</v>
      </c>
      <c r="AA127" s="979">
        <v>2500</v>
      </c>
      <c r="AB127" s="979">
        <v>3800</v>
      </c>
      <c r="AC127" s="979">
        <v>0</v>
      </c>
      <c r="AD127" s="979">
        <v>0</v>
      </c>
      <c r="AE127" s="1109">
        <f t="shared" si="63"/>
        <v>141000</v>
      </c>
      <c r="AF127" s="1113">
        <v>4000</v>
      </c>
      <c r="AG127" s="981">
        <v>10600</v>
      </c>
      <c r="AH127" s="981">
        <v>3600</v>
      </c>
      <c r="AI127" s="1114">
        <f t="shared" si="64"/>
        <v>18200</v>
      </c>
      <c r="AJ127" s="1110">
        <f t="shared" si="65"/>
        <v>159200</v>
      </c>
      <c r="AK127" s="982">
        <f>'09월 에너지'!S127</f>
        <v>145.69999999999999</v>
      </c>
      <c r="AL127" s="983">
        <f t="shared" si="62"/>
        <v>0.91520100502512558</v>
      </c>
    </row>
    <row r="128" spans="1:38" ht="16.5" customHeight="1">
      <c r="A128" s="999">
        <f>'09월 에너지'!A128</f>
        <v>46270</v>
      </c>
      <c r="B128" s="1002">
        <f>'09월 조업일지'!B126</f>
        <v>46270</v>
      </c>
      <c r="C128" s="1003" t="str">
        <f>'09월 에너지'!C128</f>
        <v>B</v>
      </c>
      <c r="D128" s="1004" t="str">
        <f>'09월 에너지'!D128</f>
        <v>A</v>
      </c>
      <c r="E128" s="1000">
        <f>'09월 에너지'!E128</f>
        <v>85328</v>
      </c>
      <c r="F128" s="1094" t="str">
        <f>'09월 에너지'!F128</f>
        <v>A572-50-01</v>
      </c>
      <c r="G128" s="980"/>
      <c r="H128" s="978"/>
      <c r="I128" s="978"/>
      <c r="J128" s="978"/>
      <c r="K128" s="978"/>
      <c r="L128" s="978"/>
      <c r="M128" s="978"/>
      <c r="N128" s="978"/>
      <c r="O128" s="1106" t="str">
        <f t="shared" si="61"/>
        <v/>
      </c>
      <c r="P128" s="1108">
        <f>10200+9600+7300+6400+7300+1000+11100</f>
        <v>52900</v>
      </c>
      <c r="Q128" s="979">
        <f>9300+6000</f>
        <v>15300</v>
      </c>
      <c r="R128" s="979">
        <v>6100</v>
      </c>
      <c r="S128" s="979"/>
      <c r="T128" s="979">
        <v>11400</v>
      </c>
      <c r="U128" s="979">
        <f>3100+6400+3900</f>
        <v>13400</v>
      </c>
      <c r="V128" s="979">
        <f>4500+500</f>
        <v>5000</v>
      </c>
      <c r="W128" s="979">
        <v>3700</v>
      </c>
      <c r="X128" s="979">
        <v>7400</v>
      </c>
      <c r="Y128" s="979">
        <f>4400+11600+3700</f>
        <v>19700</v>
      </c>
      <c r="Z128" s="979"/>
      <c r="AA128" s="979">
        <v>100</v>
      </c>
      <c r="AB128" s="979">
        <v>2300</v>
      </c>
      <c r="AC128" s="979"/>
      <c r="AD128" s="979"/>
      <c r="AE128" s="1109">
        <f t="shared" si="63"/>
        <v>137300</v>
      </c>
      <c r="AF128" s="1113">
        <v>2800</v>
      </c>
      <c r="AG128" s="981">
        <v>9700</v>
      </c>
      <c r="AH128" s="981">
        <v>9000</v>
      </c>
      <c r="AI128" s="1114">
        <f t="shared" si="64"/>
        <v>21500</v>
      </c>
      <c r="AJ128" s="1110">
        <f t="shared" si="65"/>
        <v>158800</v>
      </c>
      <c r="AK128" s="982">
        <f>'09월 에너지'!S128</f>
        <v>145.1</v>
      </c>
      <c r="AL128" s="983">
        <f t="shared" si="62"/>
        <v>0.91372795969773302</v>
      </c>
    </row>
    <row r="129" spans="1:38" ht="16.5" customHeight="1">
      <c r="A129" s="999">
        <f>'09월 에너지'!A129</f>
        <v>46270</v>
      </c>
      <c r="B129" s="1002">
        <f>'09월 조업일지'!B127</f>
        <v>46270</v>
      </c>
      <c r="C129" s="1003" t="str">
        <f>'09월 에너지'!C129</f>
        <v>B</v>
      </c>
      <c r="D129" s="1004" t="str">
        <f>'09월 에너지'!D129</f>
        <v>B</v>
      </c>
      <c r="E129" s="1000">
        <f>'09월 에너지'!E129</f>
        <v>85329</v>
      </c>
      <c r="F129" s="1094" t="str">
        <f>'09월 에너지'!F129</f>
        <v>A572-50-01</v>
      </c>
      <c r="G129" s="980"/>
      <c r="H129" s="978"/>
      <c r="I129" s="978"/>
      <c r="J129" s="978"/>
      <c r="K129" s="978"/>
      <c r="L129" s="978"/>
      <c r="M129" s="978"/>
      <c r="N129" s="978"/>
      <c r="O129" s="1106" t="str">
        <f t="shared" si="61"/>
        <v/>
      </c>
      <c r="P129" s="1108">
        <f>10800+10200+11500+8500+5300+6200-1200</f>
        <v>51300</v>
      </c>
      <c r="Q129" s="979">
        <f>7600+6600</f>
        <v>14200</v>
      </c>
      <c r="R129" s="979">
        <v>7100</v>
      </c>
      <c r="S129" s="979"/>
      <c r="T129" s="979">
        <v>2500</v>
      </c>
      <c r="U129" s="979">
        <v>15100</v>
      </c>
      <c r="V129" s="979">
        <f>4500+5000</f>
        <v>9500</v>
      </c>
      <c r="W129" s="979">
        <v>2900</v>
      </c>
      <c r="X129" s="979">
        <v>7500</v>
      </c>
      <c r="Y129" s="979">
        <f>3800+13000+3100</f>
        <v>19900</v>
      </c>
      <c r="Z129" s="979"/>
      <c r="AA129" s="979">
        <v>2100</v>
      </c>
      <c r="AB129" s="979">
        <v>1500</v>
      </c>
      <c r="AC129" s="979"/>
      <c r="AD129" s="979"/>
      <c r="AE129" s="1109">
        <f t="shared" ref="AE129:AE132" si="70">IF(SUM(P129:AD129)=0,"",SUM(P129:AD129))</f>
        <v>133600</v>
      </c>
      <c r="AF129" s="1113">
        <v>4700</v>
      </c>
      <c r="AG129" s="981">
        <v>16400</v>
      </c>
      <c r="AH129" s="981">
        <v>4000</v>
      </c>
      <c r="AI129" s="1114">
        <f t="shared" ref="AI129:AI132" si="71">IF(SUM(AF129:AH129)=0,"",SUM(AF129:AH129))</f>
        <v>25100</v>
      </c>
      <c r="AJ129" s="1110">
        <f t="shared" si="65"/>
        <v>158700</v>
      </c>
      <c r="AK129" s="982">
        <f>'09월 에너지'!S129</f>
        <v>146.1</v>
      </c>
      <c r="AL129" s="983">
        <f t="shared" si="62"/>
        <v>0.92060491493383745</v>
      </c>
    </row>
    <row r="130" spans="1:38" ht="16.5" customHeight="1">
      <c r="A130" s="999">
        <f>'09월 에너지'!A130</f>
        <v>46270</v>
      </c>
      <c r="B130" s="1002">
        <f>'09월 조업일지'!B128</f>
        <v>46270</v>
      </c>
      <c r="C130" s="1003" t="str">
        <f>'09월 에너지'!C130</f>
        <v>B</v>
      </c>
      <c r="D130" s="1004" t="str">
        <f>'09월 에너지'!D130</f>
        <v>A</v>
      </c>
      <c r="E130" s="1000">
        <f>'09월 에너지'!E130</f>
        <v>85330</v>
      </c>
      <c r="F130" s="1094" t="str">
        <f>'09월 에너지'!F130</f>
        <v>A572-50-01</v>
      </c>
      <c r="G130" s="980"/>
      <c r="H130" s="978"/>
      <c r="I130" s="978"/>
      <c r="J130" s="978"/>
      <c r="K130" s="978"/>
      <c r="L130" s="978"/>
      <c r="M130" s="978"/>
      <c r="N130" s="978"/>
      <c r="O130" s="1106" t="str">
        <f t="shared" si="61"/>
        <v/>
      </c>
      <c r="P130" s="1108">
        <f>11800+10100+10100+7600+3800+7100+7100</f>
        <v>57600</v>
      </c>
      <c r="Q130" s="979">
        <f>11800+5900</f>
        <v>17700</v>
      </c>
      <c r="R130" s="979">
        <v>8400</v>
      </c>
      <c r="S130" s="979"/>
      <c r="T130" s="979">
        <v>2200</v>
      </c>
      <c r="U130" s="979">
        <v>14200</v>
      </c>
      <c r="V130" s="979">
        <v>9900</v>
      </c>
      <c r="W130" s="979">
        <v>4500</v>
      </c>
      <c r="X130" s="979">
        <v>7100</v>
      </c>
      <c r="Y130" s="979">
        <f>2700+7500+2100</f>
        <v>12300</v>
      </c>
      <c r="Z130" s="979"/>
      <c r="AA130" s="979">
        <v>2900</v>
      </c>
      <c r="AB130" s="979">
        <v>1600</v>
      </c>
      <c r="AC130" s="979"/>
      <c r="AD130" s="979"/>
      <c r="AE130" s="1109">
        <f t="shared" si="70"/>
        <v>138400</v>
      </c>
      <c r="AF130" s="1113">
        <v>4000</v>
      </c>
      <c r="AG130" s="981">
        <v>6700</v>
      </c>
      <c r="AH130" s="981">
        <v>9200</v>
      </c>
      <c r="AI130" s="1114">
        <f t="shared" si="71"/>
        <v>19900</v>
      </c>
      <c r="AJ130" s="1110">
        <f t="shared" si="65"/>
        <v>158300</v>
      </c>
      <c r="AK130" s="982">
        <f>'09월 에너지'!S130</f>
        <v>145.80000000000001</v>
      </c>
      <c r="AL130" s="983">
        <f t="shared" si="62"/>
        <v>0.92103600758054327</v>
      </c>
    </row>
    <row r="131" spans="1:38" ht="16.5" customHeight="1">
      <c r="A131" s="999">
        <f>'09월 에너지'!A131</f>
        <v>46270</v>
      </c>
      <c r="B131" s="1002">
        <f>'09월 조업일지'!B129</f>
        <v>46270</v>
      </c>
      <c r="C131" s="1003" t="str">
        <f>'09월 에너지'!C131</f>
        <v>B</v>
      </c>
      <c r="D131" s="1004" t="str">
        <f>'09월 에너지'!D131</f>
        <v>B</v>
      </c>
      <c r="E131" s="1000">
        <f>'09월 에너지'!E131</f>
        <v>85331</v>
      </c>
      <c r="F131" s="1094" t="str">
        <f>'09월 에너지'!F131</f>
        <v>A572-50-01</v>
      </c>
      <c r="G131" s="980"/>
      <c r="H131" s="978"/>
      <c r="I131" s="978"/>
      <c r="J131" s="978"/>
      <c r="K131" s="978"/>
      <c r="L131" s="978"/>
      <c r="M131" s="978"/>
      <c r="N131" s="978"/>
      <c r="O131" s="1106" t="str">
        <f t="shared" si="61"/>
        <v/>
      </c>
      <c r="P131" s="1108">
        <v>51600</v>
      </c>
      <c r="Q131" s="979">
        <v>15700</v>
      </c>
      <c r="R131" s="979">
        <v>6900</v>
      </c>
      <c r="S131" s="979"/>
      <c r="T131" s="979">
        <v>2900</v>
      </c>
      <c r="U131" s="979">
        <v>16100</v>
      </c>
      <c r="V131" s="979">
        <v>9800</v>
      </c>
      <c r="W131" s="979">
        <v>3500</v>
      </c>
      <c r="X131" s="979">
        <v>8400</v>
      </c>
      <c r="Y131" s="979">
        <v>19900</v>
      </c>
      <c r="Z131" s="979"/>
      <c r="AA131" s="979">
        <v>1900</v>
      </c>
      <c r="AB131" s="979">
        <v>4600</v>
      </c>
      <c r="AC131" s="979"/>
      <c r="AD131" s="979"/>
      <c r="AE131" s="1109">
        <f t="shared" si="70"/>
        <v>141300</v>
      </c>
      <c r="AF131" s="1113">
        <v>3200</v>
      </c>
      <c r="AG131" s="981">
        <v>9600</v>
      </c>
      <c r="AH131" s="981">
        <v>4400</v>
      </c>
      <c r="AI131" s="1114">
        <f t="shared" si="71"/>
        <v>17200</v>
      </c>
      <c r="AJ131" s="1110">
        <f t="shared" si="65"/>
        <v>158500</v>
      </c>
      <c r="AK131" s="982">
        <f>'09월 에너지'!S131</f>
        <v>143.1</v>
      </c>
      <c r="AL131" s="983">
        <f t="shared" si="62"/>
        <v>0.90283911671924288</v>
      </c>
    </row>
    <row r="132" spans="1:38" ht="16.5" customHeight="1">
      <c r="A132" s="999">
        <f>'09월 에너지'!A132</f>
        <v>46270</v>
      </c>
      <c r="B132" s="1002">
        <f>'09월 조업일지'!B130</f>
        <v>46270</v>
      </c>
      <c r="C132" s="1003" t="str">
        <f>'09월 에너지'!C132</f>
        <v>B</v>
      </c>
      <c r="D132" s="1004" t="str">
        <f>'09월 에너지'!D132</f>
        <v>A</v>
      </c>
      <c r="E132" s="1000">
        <f>'09월 에너지'!E132</f>
        <v>85332</v>
      </c>
      <c r="F132" s="1094" t="str">
        <f>'09월 에너지'!F132</f>
        <v>A572-50-01</v>
      </c>
      <c r="G132" s="980"/>
      <c r="H132" s="978"/>
      <c r="I132" s="978"/>
      <c r="J132" s="978"/>
      <c r="K132" s="978"/>
      <c r="L132" s="978"/>
      <c r="M132" s="978"/>
      <c r="N132" s="978"/>
      <c r="O132" s="1106" t="str">
        <f t="shared" si="61"/>
        <v/>
      </c>
      <c r="P132" s="1108">
        <v>50500</v>
      </c>
      <c r="Q132" s="979">
        <f>5700+1100</f>
        <v>6800</v>
      </c>
      <c r="R132" s="979">
        <v>7000</v>
      </c>
      <c r="S132" s="979"/>
      <c r="T132" s="979">
        <v>1500</v>
      </c>
      <c r="U132" s="979">
        <f>7800+4200+4700</f>
        <v>16700</v>
      </c>
      <c r="V132" s="979">
        <f>5400+7300</f>
        <v>12700</v>
      </c>
      <c r="W132" s="979">
        <v>3000</v>
      </c>
      <c r="X132" s="979">
        <v>8000</v>
      </c>
      <c r="Y132" s="979">
        <f>5900+13600+1000</f>
        <v>20500</v>
      </c>
      <c r="Z132" s="979"/>
      <c r="AA132" s="979">
        <v>700</v>
      </c>
      <c r="AB132" s="979">
        <v>3500</v>
      </c>
      <c r="AC132" s="979"/>
      <c r="AD132" s="979"/>
      <c r="AE132" s="1109">
        <f t="shared" si="70"/>
        <v>130900</v>
      </c>
      <c r="AF132" s="1113">
        <v>4200</v>
      </c>
      <c r="AG132" s="981">
        <v>16700</v>
      </c>
      <c r="AH132" s="981">
        <v>7800</v>
      </c>
      <c r="AI132" s="1114">
        <f t="shared" si="71"/>
        <v>28700</v>
      </c>
      <c r="AJ132" s="1110">
        <f t="shared" si="65"/>
        <v>159600</v>
      </c>
      <c r="AK132" s="982">
        <f>'09월 에너지'!S132</f>
        <v>145.9</v>
      </c>
      <c r="AL132" s="983">
        <f t="shared" si="62"/>
        <v>0.91416040100250628</v>
      </c>
    </row>
    <row r="133" spans="1:38" ht="16.5" customHeight="1">
      <c r="A133" s="999">
        <f>'09월 에너지'!A133</f>
        <v>46270</v>
      </c>
      <c r="B133" s="1002">
        <f>'09월 조업일지'!B131</f>
        <v>46270</v>
      </c>
      <c r="C133" s="1003" t="str">
        <f>'09월 에너지'!C133</f>
        <v>B</v>
      </c>
      <c r="D133" s="1004" t="str">
        <f>'09월 에너지'!D133</f>
        <v>B</v>
      </c>
      <c r="E133" s="1000">
        <f>'09월 에너지'!E133</f>
        <v>85333</v>
      </c>
      <c r="F133" s="1094" t="str">
        <f>'09월 에너지'!F133</f>
        <v>A572-50-01</v>
      </c>
      <c r="G133" s="980"/>
      <c r="H133" s="978"/>
      <c r="I133" s="978"/>
      <c r="J133" s="978"/>
      <c r="K133" s="978"/>
      <c r="L133" s="978"/>
      <c r="M133" s="978"/>
      <c r="N133" s="978"/>
      <c r="O133" s="1106" t="str">
        <f t="shared" si="61"/>
        <v/>
      </c>
      <c r="P133" s="1108">
        <f>2400+19100+7800+7500+3200+2600+8600</f>
        <v>51200</v>
      </c>
      <c r="Q133" s="979">
        <f>15400+6000</f>
        <v>21400</v>
      </c>
      <c r="R133" s="979">
        <v>4100</v>
      </c>
      <c r="S133" s="979"/>
      <c r="T133" s="979">
        <v>1100</v>
      </c>
      <c r="U133" s="979">
        <f>6100+5600+5700</f>
        <v>17400</v>
      </c>
      <c r="V133" s="979">
        <f>6000+2100</f>
        <v>8100</v>
      </c>
      <c r="W133" s="979">
        <v>1600</v>
      </c>
      <c r="X133" s="979">
        <v>9000</v>
      </c>
      <c r="Y133" s="979">
        <f>4600+15700+5300</f>
        <v>25600</v>
      </c>
      <c r="Z133" s="979"/>
      <c r="AA133" s="979">
        <v>2700</v>
      </c>
      <c r="AB133" s="979">
        <v>1900</v>
      </c>
      <c r="AC133" s="979"/>
      <c r="AD133" s="979"/>
      <c r="AE133" s="1109">
        <f t="shared" si="63"/>
        <v>144100</v>
      </c>
      <c r="AF133" s="1113">
        <v>4400</v>
      </c>
      <c r="AG133" s="981">
        <v>8600</v>
      </c>
      <c r="AH133" s="981">
        <v>2100</v>
      </c>
      <c r="AI133" s="1114">
        <f t="shared" si="64"/>
        <v>15100</v>
      </c>
      <c r="AJ133" s="1110">
        <f t="shared" si="65"/>
        <v>159200</v>
      </c>
      <c r="AK133" s="982">
        <f>'09월 에너지'!S133</f>
        <v>144.1</v>
      </c>
      <c r="AL133" s="983">
        <f t="shared" si="62"/>
        <v>0.90515075376884424</v>
      </c>
    </row>
    <row r="134" spans="1:38" ht="16.5" customHeight="1">
      <c r="A134" s="999">
        <f>'09월 에너지'!A134</f>
        <v>46270</v>
      </c>
      <c r="B134" s="1002">
        <f>'09월 조업일지'!B132</f>
        <v>46270</v>
      </c>
      <c r="C134" s="1003" t="str">
        <f>'09월 에너지'!C134</f>
        <v>B</v>
      </c>
      <c r="D134" s="1004" t="str">
        <f>'09월 에너지'!D134</f>
        <v>A</v>
      </c>
      <c r="E134" s="1000">
        <f>'09월 에너지'!E134</f>
        <v>85334</v>
      </c>
      <c r="F134" s="1094" t="str">
        <f>'09월 에너지'!F134</f>
        <v>A572-50-01</v>
      </c>
      <c r="G134" s="980"/>
      <c r="H134" s="978"/>
      <c r="I134" s="978"/>
      <c r="J134" s="978"/>
      <c r="K134" s="978"/>
      <c r="L134" s="978"/>
      <c r="M134" s="978"/>
      <c r="N134" s="978"/>
      <c r="O134" s="1106" t="str">
        <f t="shared" si="61"/>
        <v/>
      </c>
      <c r="P134" s="1108">
        <f>8400+7400+8600+7200+7600+3000+8000</f>
        <v>50200</v>
      </c>
      <c r="Q134" s="979">
        <f>19200+2100</f>
        <v>21300</v>
      </c>
      <c r="R134" s="979">
        <v>8400</v>
      </c>
      <c r="S134" s="979"/>
      <c r="T134" s="979">
        <v>2000</v>
      </c>
      <c r="U134" s="979">
        <f>3700+7400+7100</f>
        <v>18200</v>
      </c>
      <c r="V134" s="979">
        <f>1700+1200</f>
        <v>2900</v>
      </c>
      <c r="W134" s="979">
        <v>900</v>
      </c>
      <c r="X134" s="979">
        <v>8500</v>
      </c>
      <c r="Y134" s="979">
        <f>100+13800+5000</f>
        <v>18900</v>
      </c>
      <c r="Z134" s="979"/>
      <c r="AA134" s="979">
        <v>1900</v>
      </c>
      <c r="AB134" s="979">
        <v>1400</v>
      </c>
      <c r="AC134" s="979"/>
      <c r="AD134" s="979"/>
      <c r="AE134" s="1109">
        <f t="shared" si="63"/>
        <v>134600</v>
      </c>
      <c r="AF134" s="1113">
        <v>3900</v>
      </c>
      <c r="AG134" s="981">
        <v>16300</v>
      </c>
      <c r="AH134" s="981">
        <v>4500</v>
      </c>
      <c r="AI134" s="1114">
        <f t="shared" si="64"/>
        <v>24700</v>
      </c>
      <c r="AJ134" s="1110">
        <f t="shared" si="65"/>
        <v>159300</v>
      </c>
      <c r="AK134" s="982">
        <f>'09월 에너지'!S134</f>
        <v>146.80000000000001</v>
      </c>
      <c r="AL134" s="983">
        <f t="shared" si="62"/>
        <v>0.9215317011927181</v>
      </c>
    </row>
    <row r="135" spans="1:38" ht="16.5" customHeight="1">
      <c r="A135" s="999">
        <f>'09월 에너지'!A135</f>
        <v>46270</v>
      </c>
      <c r="B135" s="1002">
        <f>'09월 조업일지'!B133</f>
        <v>46270</v>
      </c>
      <c r="C135" s="1003" t="str">
        <f>'09월 에너지'!C135</f>
        <v>B</v>
      </c>
      <c r="D135" s="1004" t="str">
        <f>'09월 에너지'!D135</f>
        <v>B</v>
      </c>
      <c r="E135" s="1000">
        <f>'09월 에너지'!E135</f>
        <v>85335</v>
      </c>
      <c r="F135" s="1094" t="str">
        <f>'09월 에너지'!F135</f>
        <v>A572-50-01</v>
      </c>
      <c r="G135" s="980"/>
      <c r="H135" s="978"/>
      <c r="I135" s="978"/>
      <c r="J135" s="978"/>
      <c r="K135" s="978"/>
      <c r="L135" s="978"/>
      <c r="M135" s="978"/>
      <c r="N135" s="978"/>
      <c r="O135" s="1106" t="str">
        <f t="shared" si="61"/>
        <v/>
      </c>
      <c r="P135" s="1108">
        <f>48200-7200</f>
        <v>41000</v>
      </c>
      <c r="Q135" s="979">
        <f>11700+6600</f>
        <v>18300</v>
      </c>
      <c r="R135" s="979">
        <v>6600</v>
      </c>
      <c r="S135" s="979"/>
      <c r="T135" s="979">
        <v>3200</v>
      </c>
      <c r="U135" s="979">
        <v>19800</v>
      </c>
      <c r="V135" s="979">
        <v>8600</v>
      </c>
      <c r="W135" s="979">
        <v>3300</v>
      </c>
      <c r="X135" s="979">
        <v>8100</v>
      </c>
      <c r="Y135" s="979">
        <f>4900+9500+6300</f>
        <v>20700</v>
      </c>
      <c r="Z135" s="979"/>
      <c r="AA135" s="979">
        <v>2600</v>
      </c>
      <c r="AB135" s="979">
        <v>5300</v>
      </c>
      <c r="AC135" s="979"/>
      <c r="AD135" s="979"/>
      <c r="AE135" s="1109">
        <f t="shared" si="63"/>
        <v>137500</v>
      </c>
      <c r="AF135" s="1113">
        <v>5900</v>
      </c>
      <c r="AG135" s="981">
        <v>11200</v>
      </c>
      <c r="AH135" s="981">
        <v>3500</v>
      </c>
      <c r="AI135" s="1114">
        <f t="shared" si="64"/>
        <v>20600</v>
      </c>
      <c r="AJ135" s="1110">
        <f t="shared" si="65"/>
        <v>158100</v>
      </c>
      <c r="AK135" s="982">
        <f>'09월 에너지'!S135</f>
        <v>144.30000000000001</v>
      </c>
      <c r="AL135" s="983">
        <f t="shared" si="62"/>
        <v>0.91271347248576851</v>
      </c>
    </row>
    <row r="136" spans="1:38" ht="16.5" customHeight="1">
      <c r="A136" s="999">
        <f>'09월 에너지'!A136</f>
        <v>46270</v>
      </c>
      <c r="B136" s="1002">
        <f>'09월 조업일지'!B134</f>
        <v>46270</v>
      </c>
      <c r="C136" s="1003" t="str">
        <f>'09월 에너지'!C136</f>
        <v>B</v>
      </c>
      <c r="D136" s="1004" t="str">
        <f>'09월 에너지'!D136</f>
        <v>A</v>
      </c>
      <c r="E136" s="1000">
        <f>'09월 에너지'!E136</f>
        <v>85336</v>
      </c>
      <c r="F136" s="1094" t="str">
        <f>'09월 에너지'!F136</f>
        <v>A572-50-01</v>
      </c>
      <c r="G136" s="980"/>
      <c r="H136" s="978"/>
      <c r="I136" s="978"/>
      <c r="J136" s="978"/>
      <c r="K136" s="978"/>
      <c r="L136" s="978"/>
      <c r="M136" s="978"/>
      <c r="N136" s="978"/>
      <c r="O136" s="1106" t="str">
        <f t="shared" si="61"/>
        <v/>
      </c>
      <c r="P136" s="1108">
        <f>12100+11000+11500+7400+7100+5300</f>
        <v>54400</v>
      </c>
      <c r="Q136" s="979">
        <f>10500+6000</f>
        <v>16500</v>
      </c>
      <c r="R136" s="979">
        <v>7200</v>
      </c>
      <c r="S136" s="979"/>
      <c r="T136" s="979">
        <v>4000</v>
      </c>
      <c r="U136" s="979">
        <v>16900</v>
      </c>
      <c r="V136" s="979">
        <v>12600</v>
      </c>
      <c r="W136" s="979">
        <v>3900</v>
      </c>
      <c r="X136" s="979">
        <v>7500</v>
      </c>
      <c r="Y136" s="979">
        <v>19400</v>
      </c>
      <c r="Z136" s="979"/>
      <c r="AA136" s="979">
        <v>1600</v>
      </c>
      <c r="AB136" s="979">
        <v>1700</v>
      </c>
      <c r="AC136" s="979"/>
      <c r="AD136" s="979"/>
      <c r="AE136" s="1109">
        <f t="shared" si="63"/>
        <v>145700</v>
      </c>
      <c r="AF136" s="1113">
        <v>4200</v>
      </c>
      <c r="AG136" s="981">
        <v>4900</v>
      </c>
      <c r="AH136" s="981">
        <v>4200</v>
      </c>
      <c r="AI136" s="1114">
        <f t="shared" si="64"/>
        <v>13300</v>
      </c>
      <c r="AJ136" s="1110">
        <f t="shared" si="65"/>
        <v>159000</v>
      </c>
      <c r="AK136" s="982">
        <f>'09월 에너지'!S136</f>
        <v>141.1</v>
      </c>
      <c r="AL136" s="983">
        <f t="shared" si="62"/>
        <v>0.88742138364779877</v>
      </c>
    </row>
    <row r="137" spans="1:38" ht="16.5" customHeight="1">
      <c r="A137" s="999">
        <f>'09월 에너지'!A137</f>
        <v>46270</v>
      </c>
      <c r="B137" s="1002">
        <f>'09월 조업일지'!B135</f>
        <v>46270</v>
      </c>
      <c r="C137" s="1003" t="str">
        <f>'09월 에너지'!C137</f>
        <v>B</v>
      </c>
      <c r="D137" s="1004" t="str">
        <f>'09월 에너지'!D137</f>
        <v>B</v>
      </c>
      <c r="E137" s="1000">
        <f>'09월 에너지'!E137</f>
        <v>85337</v>
      </c>
      <c r="F137" s="1094" t="str">
        <f>'09월 에너지'!F137</f>
        <v>A572-50-01</v>
      </c>
      <c r="G137" s="980"/>
      <c r="H137" s="978"/>
      <c r="I137" s="978"/>
      <c r="J137" s="978"/>
      <c r="K137" s="978"/>
      <c r="L137" s="978"/>
      <c r="M137" s="978"/>
      <c r="N137" s="978"/>
      <c r="O137" s="1106" t="str">
        <f t="shared" si="61"/>
        <v/>
      </c>
      <c r="P137" s="1108">
        <v>55900</v>
      </c>
      <c r="Q137" s="979">
        <v>17100</v>
      </c>
      <c r="R137" s="979">
        <v>6900</v>
      </c>
      <c r="S137" s="979"/>
      <c r="T137" s="979">
        <v>3900</v>
      </c>
      <c r="U137" s="979">
        <v>18500</v>
      </c>
      <c r="V137" s="979">
        <v>8500</v>
      </c>
      <c r="W137" s="979">
        <v>1900</v>
      </c>
      <c r="X137" s="979">
        <v>7900</v>
      </c>
      <c r="Y137" s="979">
        <v>20600</v>
      </c>
      <c r="Z137" s="979"/>
      <c r="AA137" s="979">
        <v>1600</v>
      </c>
      <c r="AB137" s="979">
        <v>2600</v>
      </c>
      <c r="AC137" s="979"/>
      <c r="AD137" s="979"/>
      <c r="AE137" s="1109">
        <f t="shared" si="63"/>
        <v>145400</v>
      </c>
      <c r="AF137" s="1113">
        <v>2300</v>
      </c>
      <c r="AG137" s="981">
        <v>7700</v>
      </c>
      <c r="AH137" s="981">
        <v>3300</v>
      </c>
      <c r="AI137" s="1114">
        <f t="shared" si="64"/>
        <v>13300</v>
      </c>
      <c r="AJ137" s="1110">
        <f t="shared" si="65"/>
        <v>158700</v>
      </c>
      <c r="AK137" s="982">
        <f>'09월 에너지'!S137</f>
        <v>143.1</v>
      </c>
      <c r="AL137" s="983">
        <f t="shared" si="62"/>
        <v>0.90170132325141772</v>
      </c>
    </row>
    <row r="138" spans="1:38" ht="16.5" customHeight="1">
      <c r="A138" s="999">
        <f>'09월 에너지'!A138</f>
        <v>46270</v>
      </c>
      <c r="B138" s="1002">
        <f>'09월 조업일지'!B136</f>
        <v>46270</v>
      </c>
      <c r="C138" s="1003" t="str">
        <f>'09월 에너지'!C138</f>
        <v>C</v>
      </c>
      <c r="D138" s="1004" t="str">
        <f>'09월 에너지'!D138</f>
        <v>A</v>
      </c>
      <c r="E138" s="1000">
        <f>'09월 에너지'!E138</f>
        <v>85338</v>
      </c>
      <c r="F138" s="1094" t="str">
        <f>'09월 에너지'!F138</f>
        <v>A572-50-01</v>
      </c>
      <c r="G138" s="980"/>
      <c r="H138" s="978"/>
      <c r="I138" s="978"/>
      <c r="J138" s="978"/>
      <c r="K138" s="978"/>
      <c r="L138" s="978"/>
      <c r="M138" s="978"/>
      <c r="N138" s="978"/>
      <c r="O138" s="1106" t="str">
        <f t="shared" si="61"/>
        <v/>
      </c>
      <c r="P138" s="1108">
        <f>21800+3600+7200+2300+7300+2300+9800</f>
        <v>54300</v>
      </c>
      <c r="Q138" s="979">
        <f>9700+7300</f>
        <v>17000</v>
      </c>
      <c r="R138" s="979">
        <v>7200</v>
      </c>
      <c r="S138" s="979"/>
      <c r="T138" s="979">
        <v>800</v>
      </c>
      <c r="U138" s="979">
        <f>6100+5000+6600</f>
        <v>17700</v>
      </c>
      <c r="V138" s="979">
        <f>6200+3300</f>
        <v>9500</v>
      </c>
      <c r="W138" s="979">
        <v>3100</v>
      </c>
      <c r="X138" s="979">
        <v>7800</v>
      </c>
      <c r="Y138" s="979">
        <f>4100+15000+3000</f>
        <v>22100</v>
      </c>
      <c r="Z138" s="979"/>
      <c r="AA138" s="979">
        <v>2300</v>
      </c>
      <c r="AB138" s="979">
        <v>1600</v>
      </c>
      <c r="AC138" s="979"/>
      <c r="AD138" s="979"/>
      <c r="AE138" s="1109">
        <f t="shared" si="63"/>
        <v>143400</v>
      </c>
      <c r="AF138" s="1113">
        <v>3200</v>
      </c>
      <c r="AG138" s="981">
        <v>9500</v>
      </c>
      <c r="AH138" s="981">
        <v>1800</v>
      </c>
      <c r="AI138" s="1114">
        <f t="shared" si="64"/>
        <v>14500</v>
      </c>
      <c r="AJ138" s="1110">
        <f t="shared" si="65"/>
        <v>157900</v>
      </c>
      <c r="AK138" s="982">
        <f>'09월 에너지'!S138</f>
        <v>142.69999999999999</v>
      </c>
      <c r="AL138" s="983">
        <f t="shared" si="62"/>
        <v>0.90373654211526278</v>
      </c>
    </row>
    <row r="139" spans="1:38" ht="16.5" customHeight="1">
      <c r="A139" s="999">
        <f>'09월 에너지'!A139</f>
        <v>46270</v>
      </c>
      <c r="B139" s="1002">
        <f>'09월 조업일지'!B137</f>
        <v>46270</v>
      </c>
      <c r="C139" s="1003" t="str">
        <f>'09월 에너지'!C139</f>
        <v>C</v>
      </c>
      <c r="D139" s="1004" t="str">
        <f>'09월 에너지'!D139</f>
        <v>B</v>
      </c>
      <c r="E139" s="1000">
        <f>'09월 에너지'!E139</f>
        <v>85339</v>
      </c>
      <c r="F139" s="1094" t="str">
        <f>'09월 에너지'!F139</f>
        <v>A572-50-01</v>
      </c>
      <c r="G139" s="980"/>
      <c r="H139" s="978"/>
      <c r="I139" s="978"/>
      <c r="J139" s="978"/>
      <c r="K139" s="978"/>
      <c r="L139" s="978"/>
      <c r="M139" s="978"/>
      <c r="N139" s="978"/>
      <c r="O139" s="1106" t="str">
        <f t="shared" si="61"/>
        <v/>
      </c>
      <c r="P139" s="1108">
        <f>9900+7400+18800+5800+4800+1500+9200</f>
        <v>57400</v>
      </c>
      <c r="Q139" s="979">
        <f>13200+5700</f>
        <v>18900</v>
      </c>
      <c r="R139" s="979">
        <v>6200</v>
      </c>
      <c r="S139" s="979"/>
      <c r="T139" s="979">
        <v>2800</v>
      </c>
      <c r="U139" s="979">
        <f>11000+2600+6400</f>
        <v>20000</v>
      </c>
      <c r="V139" s="979">
        <f>4200+7000</f>
        <v>11200</v>
      </c>
      <c r="W139" s="979"/>
      <c r="X139" s="979"/>
      <c r="Y139" s="979">
        <f>3700+12300</f>
        <v>16000</v>
      </c>
      <c r="Z139" s="979"/>
      <c r="AA139" s="979">
        <v>2800</v>
      </c>
      <c r="AB139" s="979">
        <v>3300</v>
      </c>
      <c r="AC139" s="979"/>
      <c r="AD139" s="979"/>
      <c r="AE139" s="1109">
        <f t="shared" si="63"/>
        <v>138600</v>
      </c>
      <c r="AF139" s="1113">
        <v>5100</v>
      </c>
      <c r="AG139" s="981">
        <v>13700</v>
      </c>
      <c r="AH139" s="981">
        <v>1300</v>
      </c>
      <c r="AI139" s="1114">
        <f t="shared" si="64"/>
        <v>20100</v>
      </c>
      <c r="AJ139" s="1110">
        <f t="shared" si="65"/>
        <v>158700</v>
      </c>
      <c r="AK139" s="982">
        <f>'09월 에너지'!S139</f>
        <v>143.80000000000001</v>
      </c>
      <c r="AL139" s="983">
        <f t="shared" si="62"/>
        <v>0.90611216131064898</v>
      </c>
    </row>
    <row r="140" spans="1:38" ht="16.5" customHeight="1">
      <c r="A140" s="999">
        <f>'09월 에너지'!A140</f>
        <v>46270</v>
      </c>
      <c r="B140" s="1002">
        <f>'09월 조업일지'!B138</f>
        <v>46270</v>
      </c>
      <c r="C140" s="1003" t="str">
        <f>'09월 에너지'!C140</f>
        <v>C</v>
      </c>
      <c r="D140" s="1004" t="str">
        <f>'09월 에너지'!D140</f>
        <v>A</v>
      </c>
      <c r="E140" s="1000">
        <f>'09월 에너지'!E140</f>
        <v>85340</v>
      </c>
      <c r="F140" s="1094" t="str">
        <f>'09월 에너지'!F140</f>
        <v>A572-50-01</v>
      </c>
      <c r="G140" s="980"/>
      <c r="H140" s="978"/>
      <c r="I140" s="978"/>
      <c r="J140" s="978"/>
      <c r="K140" s="978"/>
      <c r="L140" s="978"/>
      <c r="M140" s="978"/>
      <c r="N140" s="978"/>
      <c r="O140" s="1106" t="str">
        <f t="shared" si="61"/>
        <v/>
      </c>
      <c r="P140" s="1108">
        <f>6200+9100+8500+6100+1600+1100+9300</f>
        <v>41900</v>
      </c>
      <c r="Q140" s="979">
        <f>8200+5100</f>
        <v>13300</v>
      </c>
      <c r="R140" s="979">
        <v>12400</v>
      </c>
      <c r="S140" s="979"/>
      <c r="T140" s="979">
        <v>5500</v>
      </c>
      <c r="U140" s="979">
        <f>9000+10000+6200</f>
        <v>25200</v>
      </c>
      <c r="V140" s="979">
        <f>6300+4900</f>
        <v>11200</v>
      </c>
      <c r="W140" s="979">
        <v>2300</v>
      </c>
      <c r="X140" s="979">
        <v>7400</v>
      </c>
      <c r="Y140" s="979">
        <f>2600+12400+5500</f>
        <v>20500</v>
      </c>
      <c r="Z140" s="979"/>
      <c r="AA140" s="979">
        <v>700</v>
      </c>
      <c r="AB140" s="979">
        <v>2400</v>
      </c>
      <c r="AC140" s="979"/>
      <c r="AD140" s="979"/>
      <c r="AE140" s="1109">
        <f t="shared" si="63"/>
        <v>142800</v>
      </c>
      <c r="AF140" s="1113">
        <v>5500</v>
      </c>
      <c r="AG140" s="981">
        <v>6900</v>
      </c>
      <c r="AH140" s="981">
        <v>3600</v>
      </c>
      <c r="AI140" s="1114">
        <f t="shared" si="64"/>
        <v>16000</v>
      </c>
      <c r="AJ140" s="1110">
        <f t="shared" si="65"/>
        <v>158800</v>
      </c>
      <c r="AK140" s="982">
        <f>'09월 에너지'!S140</f>
        <v>145.30000000000001</v>
      </c>
      <c r="AL140" s="983">
        <f t="shared" si="62"/>
        <v>0.91498740554156166</v>
      </c>
    </row>
    <row r="141" spans="1:38" ht="16.5" customHeight="1">
      <c r="A141" s="999">
        <f>'09월 에너지'!A141</f>
        <v>46270</v>
      </c>
      <c r="B141" s="1002">
        <f>'09월 조업일지'!B139</f>
        <v>46270</v>
      </c>
      <c r="C141" s="1003" t="str">
        <f>'09월 에너지'!C141</f>
        <v>C</v>
      </c>
      <c r="D141" s="1004" t="str">
        <f>'09월 에너지'!D141</f>
        <v>B</v>
      </c>
      <c r="E141" s="1000">
        <f>'09월 에너지'!E141</f>
        <v>85341</v>
      </c>
      <c r="F141" s="1094" t="str">
        <f>'09월 에너지'!F141</f>
        <v>A572-50-01</v>
      </c>
      <c r="G141" s="980"/>
      <c r="H141" s="978"/>
      <c r="I141" s="978"/>
      <c r="J141" s="978"/>
      <c r="K141" s="978"/>
      <c r="L141" s="978"/>
      <c r="M141" s="978"/>
      <c r="N141" s="978"/>
      <c r="O141" s="1106" t="str">
        <f t="shared" si="61"/>
        <v/>
      </c>
      <c r="P141" s="1108">
        <f>9300+7100+7200+9200+6600+2800+9100</f>
        <v>51300</v>
      </c>
      <c r="Q141" s="979">
        <f>7400+5300</f>
        <v>12700</v>
      </c>
      <c r="R141" s="979">
        <v>10100</v>
      </c>
      <c r="S141" s="979"/>
      <c r="T141" s="979">
        <v>4300</v>
      </c>
      <c r="U141" s="979">
        <f>7300+6200+6800</f>
        <v>20300</v>
      </c>
      <c r="V141" s="979">
        <f>5500+1600</f>
        <v>7100</v>
      </c>
      <c r="W141" s="979">
        <v>3900</v>
      </c>
      <c r="X141" s="979">
        <v>7600</v>
      </c>
      <c r="Y141" s="979">
        <f>3300+15400</f>
        <v>18700</v>
      </c>
      <c r="Z141" s="979"/>
      <c r="AA141" s="979">
        <v>1700</v>
      </c>
      <c r="AB141" s="979">
        <v>1800</v>
      </c>
      <c r="AC141" s="979"/>
      <c r="AD141" s="979"/>
      <c r="AE141" s="1109">
        <f t="shared" si="63"/>
        <v>139500</v>
      </c>
      <c r="AF141" s="1113">
        <v>3900</v>
      </c>
      <c r="AG141" s="981">
        <v>10300</v>
      </c>
      <c r="AH141" s="981">
        <v>4700</v>
      </c>
      <c r="AI141" s="1114">
        <f t="shared" si="64"/>
        <v>18900</v>
      </c>
      <c r="AJ141" s="1110">
        <f t="shared" si="65"/>
        <v>158400</v>
      </c>
      <c r="AK141" s="982">
        <f>'09월 에너지'!S141</f>
        <v>145.6</v>
      </c>
      <c r="AL141" s="983">
        <f t="shared" si="62"/>
        <v>0.91919191919191923</v>
      </c>
    </row>
    <row r="142" spans="1:38" ht="16.5" customHeight="1">
      <c r="A142" s="999">
        <f>'09월 에너지'!A142</f>
        <v>46270</v>
      </c>
      <c r="B142" s="1002">
        <f>'09월 조업일지'!B140</f>
        <v>46270</v>
      </c>
      <c r="C142" s="1003" t="str">
        <f>'09월 에너지'!C142</f>
        <v>C</v>
      </c>
      <c r="D142" s="1004" t="str">
        <f>'09월 에너지'!D142</f>
        <v>A</v>
      </c>
      <c r="E142" s="1000">
        <f>'09월 에너지'!E142</f>
        <v>85342</v>
      </c>
      <c r="F142" s="1170" t="str">
        <f>'09월 에너지'!F142</f>
        <v>S355JO-01</v>
      </c>
      <c r="G142" s="980"/>
      <c r="H142" s="978"/>
      <c r="I142" s="978"/>
      <c r="J142" s="978"/>
      <c r="K142" s="978"/>
      <c r="L142" s="978"/>
      <c r="M142" s="978"/>
      <c r="N142" s="978"/>
      <c r="O142" s="1106" t="str">
        <f t="shared" si="61"/>
        <v/>
      </c>
      <c r="P142" s="1108">
        <f>2300+8000+7400+8700+1000+2800+9000</f>
        <v>39200</v>
      </c>
      <c r="Q142" s="979">
        <f>8300+5000</f>
        <v>13300</v>
      </c>
      <c r="R142" s="979">
        <v>18700</v>
      </c>
      <c r="S142" s="979"/>
      <c r="T142" s="979">
        <v>3200</v>
      </c>
      <c r="U142" s="979">
        <f>7100+9900+8100</f>
        <v>25100</v>
      </c>
      <c r="V142" s="979">
        <f>4400+3700</f>
        <v>8100</v>
      </c>
      <c r="W142" s="979">
        <v>3900</v>
      </c>
      <c r="X142" s="979">
        <v>7700</v>
      </c>
      <c r="Y142" s="979">
        <f>3500+14400+2100</f>
        <v>20000</v>
      </c>
      <c r="Z142" s="979"/>
      <c r="AA142" s="979">
        <v>900</v>
      </c>
      <c r="AB142" s="979">
        <v>1100</v>
      </c>
      <c r="AC142" s="979"/>
      <c r="AD142" s="979"/>
      <c r="AE142" s="1109">
        <f t="shared" si="63"/>
        <v>141200</v>
      </c>
      <c r="AF142" s="1113">
        <v>3900</v>
      </c>
      <c r="AG142" s="981">
        <v>7900</v>
      </c>
      <c r="AH142" s="981">
        <v>3900</v>
      </c>
      <c r="AI142" s="1114">
        <f t="shared" si="64"/>
        <v>15700</v>
      </c>
      <c r="AJ142" s="1110">
        <f t="shared" si="65"/>
        <v>156900</v>
      </c>
      <c r="AK142" s="982">
        <f>'09월 에너지'!S142</f>
        <v>143.6</v>
      </c>
      <c r="AL142" s="983">
        <f t="shared" si="62"/>
        <v>0.91523263224984064</v>
      </c>
    </row>
    <row r="143" spans="1:38" ht="16.5" customHeight="1">
      <c r="A143" s="999">
        <f>'09월 에너지'!A143</f>
        <v>46270</v>
      </c>
      <c r="B143" s="1002">
        <f>'09월 조업일지'!B141</f>
        <v>46270</v>
      </c>
      <c r="C143" s="1003" t="str">
        <f>'09월 에너지'!C143</f>
        <v>C</v>
      </c>
      <c r="D143" s="1004" t="str">
        <f>'09월 에너지'!D143</f>
        <v>B</v>
      </c>
      <c r="E143" s="1000">
        <f>'09월 에너지'!E143</f>
        <v>85343</v>
      </c>
      <c r="F143" s="1170" t="str">
        <f>'09월 에너지'!F143</f>
        <v>SHN275(BB)</v>
      </c>
      <c r="G143" s="980"/>
      <c r="H143" s="978"/>
      <c r="I143" s="978"/>
      <c r="J143" s="978"/>
      <c r="K143" s="978"/>
      <c r="L143" s="978"/>
      <c r="M143" s="978"/>
      <c r="N143" s="978"/>
      <c r="O143" s="1106" t="str">
        <f t="shared" ref="O143:O206" si="72">IF(SUM(G143:N143)=0,"",SUM(G143:N143))</f>
        <v/>
      </c>
      <c r="P143" s="1108">
        <f>12500+9300+9000+5900+6100</f>
        <v>42800</v>
      </c>
      <c r="Q143" s="979">
        <f>12800+8500</f>
        <v>21300</v>
      </c>
      <c r="R143" s="979">
        <v>9000</v>
      </c>
      <c r="S143" s="979"/>
      <c r="T143" s="979">
        <v>7000</v>
      </c>
      <c r="U143" s="979">
        <f>2000+1700</f>
        <v>3700</v>
      </c>
      <c r="V143" s="979">
        <f>4900+5600+1700+8700</f>
        <v>20900</v>
      </c>
      <c r="W143" s="979">
        <v>2800</v>
      </c>
      <c r="X143" s="979">
        <v>6700</v>
      </c>
      <c r="Y143" s="979">
        <f>2100+10900+1800+2700</f>
        <v>17500</v>
      </c>
      <c r="Z143" s="979"/>
      <c r="AA143" s="979">
        <v>2600</v>
      </c>
      <c r="AB143" s="979">
        <v>1900</v>
      </c>
      <c r="AC143" s="979"/>
      <c r="AD143" s="979"/>
      <c r="AE143" s="1109">
        <f t="shared" ref="AE143:AE206" si="73">IF(SUM(P143:AD143)=0,"",SUM(P143:AD143))</f>
        <v>136200</v>
      </c>
      <c r="AF143" s="1113">
        <v>4300</v>
      </c>
      <c r="AG143" s="981">
        <v>13300</v>
      </c>
      <c r="AH143" s="981">
        <v>5400</v>
      </c>
      <c r="AI143" s="1114">
        <f t="shared" ref="AI143:AI206" si="74">IF(SUM(AF143:AH143)=0,"",SUM(AF143:AH143))</f>
        <v>23000</v>
      </c>
      <c r="AJ143" s="1110">
        <f t="shared" ref="AJ143:AJ206" si="75">IF(SUM(O143,AE143,AI143)=0,"",SUM(O143,AE143,AI143))</f>
        <v>159200</v>
      </c>
      <c r="AK143" s="982">
        <f>'09월 에너지'!S143</f>
        <v>144.1</v>
      </c>
      <c r="AL143" s="983">
        <f t="shared" ref="AL143:AL206" si="76">IF(ISERROR(IF(AK143="","",(AK143*1000)/AJ143)),0,(IF(AK143="","",(AK143*1000)/AJ143)))</f>
        <v>0.90515075376884424</v>
      </c>
    </row>
    <row r="144" spans="1:38" ht="16.5" customHeight="1">
      <c r="A144" s="999">
        <f>'09월 에너지'!A144</f>
        <v>46270</v>
      </c>
      <c r="B144" s="1002">
        <f>'09월 조업일지'!B142</f>
        <v>46270</v>
      </c>
      <c r="C144" s="1003" t="str">
        <f>'09월 에너지'!C144</f>
        <v>C</v>
      </c>
      <c r="D144" s="1004" t="str">
        <f>'09월 에너지'!D144</f>
        <v>A</v>
      </c>
      <c r="E144" s="1000">
        <f>'09월 에너지'!E144</f>
        <v>85344</v>
      </c>
      <c r="F144" s="1094" t="str">
        <f>'09월 에너지'!F144</f>
        <v>SHN275(BB)</v>
      </c>
      <c r="G144" s="980"/>
      <c r="H144" s="978"/>
      <c r="I144" s="978"/>
      <c r="J144" s="978"/>
      <c r="K144" s="978"/>
      <c r="L144" s="978"/>
      <c r="M144" s="978"/>
      <c r="N144" s="978"/>
      <c r="O144" s="1106" t="str">
        <f t="shared" si="72"/>
        <v/>
      </c>
      <c r="P144" s="1108">
        <f>3700+12000+7300+14200+5700+8000+8200</f>
        <v>59100</v>
      </c>
      <c r="Q144" s="979">
        <f>5100+4800</f>
        <v>9900</v>
      </c>
      <c r="R144" s="979">
        <v>4800</v>
      </c>
      <c r="S144" s="979"/>
      <c r="T144" s="979"/>
      <c r="U144" s="979">
        <f>9300+8300</f>
        <v>17600</v>
      </c>
      <c r="V144" s="979">
        <f>5600+5300+1400+8800</f>
        <v>21100</v>
      </c>
      <c r="W144" s="979">
        <v>4400</v>
      </c>
      <c r="X144" s="979">
        <v>8700</v>
      </c>
      <c r="Y144" s="979">
        <f>1800+1500+2900</f>
        <v>6200</v>
      </c>
      <c r="Z144" s="979"/>
      <c r="AA144" s="979">
        <v>2500</v>
      </c>
      <c r="AB144" s="979">
        <v>7000</v>
      </c>
      <c r="AC144" s="979"/>
      <c r="AD144" s="979"/>
      <c r="AE144" s="1109">
        <f t="shared" si="73"/>
        <v>141300</v>
      </c>
      <c r="AF144" s="1113">
        <v>4900</v>
      </c>
      <c r="AG144" s="981">
        <v>7200</v>
      </c>
      <c r="AH144" s="981">
        <v>5900</v>
      </c>
      <c r="AI144" s="1114">
        <f t="shared" si="74"/>
        <v>18000</v>
      </c>
      <c r="AJ144" s="1110">
        <f t="shared" si="75"/>
        <v>159300</v>
      </c>
      <c r="AK144" s="982">
        <f>'09월 에너지'!S144</f>
        <v>143.1</v>
      </c>
      <c r="AL144" s="983">
        <f t="shared" si="76"/>
        <v>0.89830508474576276</v>
      </c>
    </row>
    <row r="145" spans="1:38" ht="16.5" customHeight="1">
      <c r="A145" s="999">
        <f>'09월 에너지'!A145</f>
        <v>46270</v>
      </c>
      <c r="B145" s="1002">
        <f>'09월 조업일지'!B143</f>
        <v>46270</v>
      </c>
      <c r="C145" s="1003" t="str">
        <f>'09월 에너지'!C145</f>
        <v>C</v>
      </c>
      <c r="D145" s="1004" t="str">
        <f>'09월 에너지'!D145</f>
        <v>B</v>
      </c>
      <c r="E145" s="1000">
        <f>'09월 에너지'!E145</f>
        <v>85345</v>
      </c>
      <c r="F145" s="1094" t="str">
        <f>'09월 에너지'!F145</f>
        <v>SHN275(BB)</v>
      </c>
      <c r="G145" s="980"/>
      <c r="H145" s="978"/>
      <c r="I145" s="978"/>
      <c r="J145" s="978"/>
      <c r="K145" s="978"/>
      <c r="L145" s="978"/>
      <c r="M145" s="978"/>
      <c r="N145" s="978"/>
      <c r="O145" s="1106" t="str">
        <f t="shared" si="72"/>
        <v/>
      </c>
      <c r="P145" s="1108">
        <f>9600+10700+8500+10200+5600+5800+7400</f>
        <v>57800</v>
      </c>
      <c r="Q145" s="979">
        <f>11200+7500</f>
        <v>18700</v>
      </c>
      <c r="R145" s="979">
        <v>7300</v>
      </c>
      <c r="S145" s="979"/>
      <c r="T145" s="979"/>
      <c r="U145" s="979">
        <f>2100+10000</f>
        <v>12100</v>
      </c>
      <c r="V145" s="979">
        <f>2800+1500+4800+8500</f>
        <v>17600</v>
      </c>
      <c r="W145" s="979">
        <v>2900</v>
      </c>
      <c r="X145" s="979">
        <v>10200</v>
      </c>
      <c r="Y145" s="979">
        <f>4100+3400+3600</f>
        <v>11100</v>
      </c>
      <c r="Z145" s="979"/>
      <c r="AA145" s="979">
        <v>1900</v>
      </c>
      <c r="AB145" s="979">
        <v>1900</v>
      </c>
      <c r="AC145" s="979"/>
      <c r="AD145" s="979"/>
      <c r="AE145" s="1109">
        <f t="shared" si="73"/>
        <v>141500</v>
      </c>
      <c r="AF145" s="1113">
        <v>3800</v>
      </c>
      <c r="AG145" s="981">
        <v>10900</v>
      </c>
      <c r="AH145" s="981">
        <v>3600</v>
      </c>
      <c r="AI145" s="1114">
        <f t="shared" si="74"/>
        <v>18300</v>
      </c>
      <c r="AJ145" s="1110">
        <f t="shared" si="75"/>
        <v>159800</v>
      </c>
      <c r="AK145" s="982">
        <f>'09월 에너지'!S145</f>
        <v>145.30000000000001</v>
      </c>
      <c r="AL145" s="983">
        <f t="shared" si="76"/>
        <v>0.90926157697121401</v>
      </c>
    </row>
    <row r="146" spans="1:38" ht="16.5" customHeight="1">
      <c r="A146" s="999">
        <f>'09월 에너지'!A146</f>
        <v>46270</v>
      </c>
      <c r="B146" s="1002">
        <f>'09월 조업일지'!B144</f>
        <v>46270</v>
      </c>
      <c r="C146" s="1003" t="str">
        <f>'09월 에너지'!C146</f>
        <v>C</v>
      </c>
      <c r="D146" s="1004" t="str">
        <f>'09월 에너지'!D146</f>
        <v>A</v>
      </c>
      <c r="E146" s="1000">
        <f>'09월 에너지'!E146</f>
        <v>85346</v>
      </c>
      <c r="F146" s="1094" t="str">
        <f>'09월 에너지'!F146</f>
        <v>SHN275(BB)</v>
      </c>
      <c r="G146" s="980"/>
      <c r="H146" s="978"/>
      <c r="I146" s="978"/>
      <c r="J146" s="978"/>
      <c r="K146" s="978"/>
      <c r="L146" s="978"/>
      <c r="M146" s="978"/>
      <c r="N146" s="978"/>
      <c r="O146" s="1106" t="str">
        <f t="shared" si="72"/>
        <v/>
      </c>
      <c r="P146" s="1108">
        <f>3400+2900+9100+12200+7400+7500+1700</f>
        <v>44200</v>
      </c>
      <c r="Q146" s="979">
        <f>14500+4400</f>
        <v>18900</v>
      </c>
      <c r="R146" s="979">
        <v>5700</v>
      </c>
      <c r="S146" s="979"/>
      <c r="T146" s="979"/>
      <c r="U146" s="979">
        <f>9500+6500</f>
        <v>16000</v>
      </c>
      <c r="V146" s="979">
        <f>7200+6800+7800+9400</f>
        <v>31200</v>
      </c>
      <c r="W146" s="979">
        <v>2600</v>
      </c>
      <c r="X146" s="979">
        <v>9200</v>
      </c>
      <c r="Y146" s="979">
        <f>1700+1700</f>
        <v>3400</v>
      </c>
      <c r="Z146" s="979"/>
      <c r="AA146" s="979">
        <v>11100</v>
      </c>
      <c r="AB146" s="979">
        <v>3000</v>
      </c>
      <c r="AC146" s="979"/>
      <c r="AD146" s="979"/>
      <c r="AE146" s="1109">
        <f t="shared" si="73"/>
        <v>145300</v>
      </c>
      <c r="AF146" s="1113">
        <v>4500</v>
      </c>
      <c r="AG146" s="981">
        <v>5100</v>
      </c>
      <c r="AH146" s="981">
        <v>4100</v>
      </c>
      <c r="AI146" s="1114">
        <f t="shared" si="74"/>
        <v>13700</v>
      </c>
      <c r="AJ146" s="1110">
        <f t="shared" si="75"/>
        <v>159000</v>
      </c>
      <c r="AK146" s="982">
        <f>'09월 에너지'!S146</f>
        <v>143.4</v>
      </c>
      <c r="AL146" s="983">
        <f t="shared" si="76"/>
        <v>0.90188679245283021</v>
      </c>
    </row>
    <row r="147" spans="1:38" ht="16.5" customHeight="1">
      <c r="A147" s="999">
        <f>'09월 에너지'!A147</f>
        <v>46270</v>
      </c>
      <c r="B147" s="1002">
        <f>'09월 조업일지'!B145</f>
        <v>46270</v>
      </c>
      <c r="C147" s="1003" t="str">
        <f>'09월 에너지'!C147</f>
        <v>C</v>
      </c>
      <c r="D147" s="1004" t="str">
        <f>'09월 에너지'!D147</f>
        <v>B</v>
      </c>
      <c r="E147" s="1000">
        <f>'09월 에너지'!E147</f>
        <v>85347</v>
      </c>
      <c r="F147" s="1094" t="str">
        <f>'09월 에너지'!F147</f>
        <v>SHN275(BB)</v>
      </c>
      <c r="G147" s="980"/>
      <c r="H147" s="978"/>
      <c r="I147" s="978"/>
      <c r="J147" s="978"/>
      <c r="K147" s="978"/>
      <c r="L147" s="978"/>
      <c r="M147" s="978"/>
      <c r="N147" s="978"/>
      <c r="O147" s="1106" t="str">
        <f t="shared" si="72"/>
        <v/>
      </c>
      <c r="P147" s="1108">
        <f>8200+14800+9100+15100+5900+8000+6300</f>
        <v>67400</v>
      </c>
      <c r="Q147" s="979">
        <f>8100+7400</f>
        <v>15500</v>
      </c>
      <c r="R147" s="979">
        <v>10100</v>
      </c>
      <c r="S147" s="979"/>
      <c r="T147" s="979"/>
      <c r="U147" s="979">
        <f>4400+1900</f>
        <v>6300</v>
      </c>
      <c r="V147" s="979">
        <f>3400+600+5300+8100</f>
        <v>17400</v>
      </c>
      <c r="W147" s="979">
        <v>3400</v>
      </c>
      <c r="X147" s="979">
        <v>9300</v>
      </c>
      <c r="Y147" s="979">
        <f>3600+2000+3300</f>
        <v>8900</v>
      </c>
      <c r="Z147" s="979"/>
      <c r="AA147" s="979">
        <v>2000</v>
      </c>
      <c r="AB147" s="979">
        <v>1800</v>
      </c>
      <c r="AC147" s="979"/>
      <c r="AD147" s="979"/>
      <c r="AE147" s="1109">
        <f t="shared" si="73"/>
        <v>142100</v>
      </c>
      <c r="AF147" s="1113">
        <v>4400</v>
      </c>
      <c r="AG147" s="981">
        <v>8100</v>
      </c>
      <c r="AH147" s="981">
        <v>3800</v>
      </c>
      <c r="AI147" s="1114">
        <f t="shared" si="74"/>
        <v>16300</v>
      </c>
      <c r="AJ147" s="1110">
        <f t="shared" si="75"/>
        <v>158400</v>
      </c>
      <c r="AK147" s="982">
        <f>'09월 에너지'!S147</f>
        <v>141.19999999999999</v>
      </c>
      <c r="AL147" s="983">
        <f t="shared" si="76"/>
        <v>0.89141414141414144</v>
      </c>
    </row>
    <row r="148" spans="1:38" ht="16.5" customHeight="1">
      <c r="A148" s="999">
        <f>'09월 에너지'!A148</f>
        <v>46270</v>
      </c>
      <c r="B148" s="1002">
        <f>'09월 조업일지'!B146</f>
        <v>46270</v>
      </c>
      <c r="C148" s="1003" t="str">
        <f>'09월 에너지'!C148</f>
        <v>A</v>
      </c>
      <c r="D148" s="1004" t="str">
        <f>'09월 에너지'!D148</f>
        <v>A</v>
      </c>
      <c r="E148" s="1000">
        <f>'09월 에너지'!E148</f>
        <v>85348</v>
      </c>
      <c r="F148" s="1094" t="str">
        <f>'09월 에너지'!F148</f>
        <v>SHN275(BB)</v>
      </c>
      <c r="G148" s="980"/>
      <c r="H148" s="978"/>
      <c r="I148" s="978"/>
      <c r="J148" s="978"/>
      <c r="K148" s="978"/>
      <c r="L148" s="978"/>
      <c r="M148" s="978"/>
      <c r="N148" s="978"/>
      <c r="O148" s="1106" t="str">
        <f t="shared" si="72"/>
        <v/>
      </c>
      <c r="P148" s="1108">
        <f>8900+11700+8100+11600+5600+8000+1900</f>
        <v>55800</v>
      </c>
      <c r="Q148" s="979">
        <f>11700+5300</f>
        <v>17000</v>
      </c>
      <c r="R148" s="979">
        <v>6300</v>
      </c>
      <c r="S148" s="979">
        <v>0</v>
      </c>
      <c r="T148" s="979">
        <v>0</v>
      </c>
      <c r="U148" s="979">
        <f>4300+2400</f>
        <v>6700</v>
      </c>
      <c r="V148" s="979">
        <f>7500+3400+6500+11600</f>
        <v>29000</v>
      </c>
      <c r="W148" s="979">
        <v>4100</v>
      </c>
      <c r="X148" s="979">
        <v>9200</v>
      </c>
      <c r="Y148" s="979">
        <f>3900+3300+2300</f>
        <v>9500</v>
      </c>
      <c r="Z148" s="979">
        <v>0</v>
      </c>
      <c r="AA148" s="979">
        <v>3000</v>
      </c>
      <c r="AB148" s="979">
        <v>3200</v>
      </c>
      <c r="AC148" s="979">
        <v>0</v>
      </c>
      <c r="AD148" s="979">
        <v>0</v>
      </c>
      <c r="AE148" s="1109">
        <f t="shared" si="73"/>
        <v>143800</v>
      </c>
      <c r="AF148" s="1113">
        <v>2400</v>
      </c>
      <c r="AG148" s="981">
        <v>8000</v>
      </c>
      <c r="AH148" s="981">
        <v>4200</v>
      </c>
      <c r="AI148" s="1114">
        <f t="shared" si="74"/>
        <v>14600</v>
      </c>
      <c r="AJ148" s="1110">
        <f t="shared" si="75"/>
        <v>158400</v>
      </c>
      <c r="AK148" s="982">
        <f>'09월 에너지'!S148</f>
        <v>143.9</v>
      </c>
      <c r="AL148" s="983">
        <f t="shared" si="76"/>
        <v>0.90845959595959591</v>
      </c>
    </row>
    <row r="149" spans="1:38" ht="16.5" customHeight="1">
      <c r="A149" s="999">
        <f>'09월 에너지'!A149</f>
        <v>46270</v>
      </c>
      <c r="B149" s="1002">
        <f>'09월 조업일지'!B147</f>
        <v>46270</v>
      </c>
      <c r="C149" s="1003" t="str">
        <f>'09월 에너지'!C149</f>
        <v>A</v>
      </c>
      <c r="D149" s="1004" t="str">
        <f>'09월 에너지'!D149</f>
        <v>B</v>
      </c>
      <c r="E149" s="1000">
        <f>'09월 에너지'!E149</f>
        <v>85349</v>
      </c>
      <c r="F149" s="1094" t="str">
        <f>'09월 에너지'!F149</f>
        <v>SHN275(BB)</v>
      </c>
      <c r="G149" s="980"/>
      <c r="H149" s="978"/>
      <c r="I149" s="978"/>
      <c r="J149" s="978"/>
      <c r="K149" s="978"/>
      <c r="L149" s="978"/>
      <c r="M149" s="978"/>
      <c r="N149" s="978"/>
      <c r="O149" s="1106" t="str">
        <f t="shared" si="72"/>
        <v/>
      </c>
      <c r="P149" s="1108">
        <f>10500+18400+11100+13900+5400+6000+7500</f>
        <v>72800</v>
      </c>
      <c r="Q149" s="979">
        <f>8300+1700</f>
        <v>10000</v>
      </c>
      <c r="R149" s="979">
        <v>7600</v>
      </c>
      <c r="S149" s="979">
        <v>0</v>
      </c>
      <c r="T149" s="979">
        <v>0</v>
      </c>
      <c r="U149" s="979">
        <f>1200+1700</f>
        <v>2900</v>
      </c>
      <c r="V149" s="979">
        <f>3700+8800+2600+8700</f>
        <v>23800</v>
      </c>
      <c r="W149" s="979">
        <v>3600</v>
      </c>
      <c r="X149" s="979">
        <v>9800</v>
      </c>
      <c r="Y149" s="979">
        <f>1800+2800+3100</f>
        <v>7700</v>
      </c>
      <c r="Z149" s="979">
        <v>0</v>
      </c>
      <c r="AA149" s="979">
        <v>2400</v>
      </c>
      <c r="AB149" s="979">
        <v>1800</v>
      </c>
      <c r="AC149" s="979">
        <v>0</v>
      </c>
      <c r="AD149" s="979">
        <v>0</v>
      </c>
      <c r="AE149" s="1109">
        <f t="shared" si="73"/>
        <v>142400</v>
      </c>
      <c r="AF149" s="1113">
        <v>3900</v>
      </c>
      <c r="AG149" s="981">
        <v>8100</v>
      </c>
      <c r="AH149" s="981">
        <v>3800</v>
      </c>
      <c r="AI149" s="1114">
        <f t="shared" si="74"/>
        <v>15800</v>
      </c>
      <c r="AJ149" s="1110">
        <f t="shared" si="75"/>
        <v>158200</v>
      </c>
      <c r="AK149" s="982">
        <f>'09월 에너지'!S149</f>
        <v>144.9</v>
      </c>
      <c r="AL149" s="983">
        <f t="shared" si="76"/>
        <v>0.91592920353982299</v>
      </c>
    </row>
    <row r="150" spans="1:38" ht="16.5" customHeight="1">
      <c r="A150" s="999">
        <f>'09월 에너지'!A150</f>
        <v>46270</v>
      </c>
      <c r="B150" s="1002">
        <f>'09월 조업일지'!B148</f>
        <v>46270</v>
      </c>
      <c r="C150" s="1003" t="str">
        <f>'09월 에너지'!C150</f>
        <v>A</v>
      </c>
      <c r="D150" s="1004" t="str">
        <f>'09월 에너지'!D150</f>
        <v>A</v>
      </c>
      <c r="E150" s="1000">
        <f>'09월 에너지'!E150</f>
        <v>85350</v>
      </c>
      <c r="F150" s="1094" t="str">
        <f>'09월 에너지'!F150</f>
        <v>SHN275(BB)</v>
      </c>
      <c r="G150" s="980"/>
      <c r="H150" s="978"/>
      <c r="I150" s="978"/>
      <c r="J150" s="978"/>
      <c r="K150" s="978"/>
      <c r="L150" s="978"/>
      <c r="M150" s="978"/>
      <c r="N150" s="978"/>
      <c r="O150" s="1106" t="str">
        <f t="shared" si="72"/>
        <v/>
      </c>
      <c r="P150" s="1108">
        <f>9000+17000+9000+4600+6400+6100+6100</f>
        <v>58200</v>
      </c>
      <c r="Q150" s="979">
        <f>10500+1200</f>
        <v>11700</v>
      </c>
      <c r="R150" s="979">
        <v>7600</v>
      </c>
      <c r="S150" s="979">
        <v>0</v>
      </c>
      <c r="T150" s="979">
        <v>0</v>
      </c>
      <c r="U150" s="979">
        <f>2900+4200</f>
        <v>7100</v>
      </c>
      <c r="V150" s="979">
        <f>8400+1700+8600+8900</f>
        <v>27600</v>
      </c>
      <c r="W150" s="979">
        <v>4200</v>
      </c>
      <c r="X150" s="979">
        <v>8700</v>
      </c>
      <c r="Y150" s="979">
        <f>700+4900+2100</f>
        <v>7700</v>
      </c>
      <c r="Z150" s="979">
        <v>0</v>
      </c>
      <c r="AA150" s="979">
        <v>4300</v>
      </c>
      <c r="AB150" s="979">
        <v>700</v>
      </c>
      <c r="AC150" s="979">
        <v>0</v>
      </c>
      <c r="AD150" s="979">
        <v>0</v>
      </c>
      <c r="AE150" s="1109">
        <f t="shared" si="73"/>
        <v>137800</v>
      </c>
      <c r="AF150" s="1113">
        <v>5100</v>
      </c>
      <c r="AG150" s="981">
        <v>7200</v>
      </c>
      <c r="AH150" s="981">
        <v>6700</v>
      </c>
      <c r="AI150" s="1114">
        <f t="shared" si="74"/>
        <v>19000</v>
      </c>
      <c r="AJ150" s="1110">
        <f t="shared" si="75"/>
        <v>156800</v>
      </c>
      <c r="AK150" s="982">
        <f>'09월 에너지'!S150</f>
        <v>142.69999999999999</v>
      </c>
      <c r="AL150" s="983">
        <f t="shared" si="76"/>
        <v>0.91007653061224492</v>
      </c>
    </row>
    <row r="151" spans="1:38" ht="16.5" customHeight="1">
      <c r="A151" s="999">
        <f>'09월 에너지'!A151</f>
        <v>46270</v>
      </c>
      <c r="B151" s="1002">
        <f>'09월 조업일지'!B149</f>
        <v>46270</v>
      </c>
      <c r="C151" s="1003" t="str">
        <f>'09월 에너지'!C151</f>
        <v>A</v>
      </c>
      <c r="D151" s="1004" t="str">
        <f>'09월 에너지'!D151</f>
        <v>B</v>
      </c>
      <c r="E151" s="1000">
        <f>'09월 에너지'!E151</f>
        <v>85351</v>
      </c>
      <c r="F151" s="1094" t="str">
        <f>'09월 에너지'!F151</f>
        <v>SHN275(BB)</v>
      </c>
      <c r="G151" s="980"/>
      <c r="H151" s="978"/>
      <c r="I151" s="978"/>
      <c r="J151" s="978"/>
      <c r="K151" s="978"/>
      <c r="L151" s="978"/>
      <c r="M151" s="978"/>
      <c r="N151" s="978"/>
      <c r="O151" s="1106" t="str">
        <f t="shared" si="72"/>
        <v/>
      </c>
      <c r="P151" s="1108">
        <f>7100+14700+9800+16600+5500+8000+6700</f>
        <v>68400</v>
      </c>
      <c r="Q151" s="979">
        <f>9700+3600</f>
        <v>13300</v>
      </c>
      <c r="R151" s="979">
        <v>9200</v>
      </c>
      <c r="S151" s="979">
        <v>0</v>
      </c>
      <c r="T151" s="979">
        <v>0</v>
      </c>
      <c r="U151" s="979">
        <f>2800+2500</f>
        <v>5300</v>
      </c>
      <c r="V151" s="979">
        <f>2300+2100+4400+10000</f>
        <v>18800</v>
      </c>
      <c r="W151" s="979">
        <v>13400</v>
      </c>
      <c r="X151" s="979">
        <v>0</v>
      </c>
      <c r="Y151" s="979">
        <f>1300+5500+3000</f>
        <v>9800</v>
      </c>
      <c r="Z151" s="979">
        <v>0</v>
      </c>
      <c r="AA151" s="979">
        <v>2500</v>
      </c>
      <c r="AB151" s="979">
        <v>4400</v>
      </c>
      <c r="AC151" s="979">
        <v>0</v>
      </c>
      <c r="AD151" s="979">
        <v>0</v>
      </c>
      <c r="AE151" s="1109">
        <f t="shared" si="73"/>
        <v>145100</v>
      </c>
      <c r="AF151" s="1113">
        <v>2400</v>
      </c>
      <c r="AG151" s="981">
        <v>5000</v>
      </c>
      <c r="AH151" s="981">
        <v>6100</v>
      </c>
      <c r="AI151" s="1114">
        <f t="shared" si="74"/>
        <v>13500</v>
      </c>
      <c r="AJ151" s="1110">
        <f t="shared" si="75"/>
        <v>158600</v>
      </c>
      <c r="AK151" s="982">
        <f>'09월 에너지'!S151</f>
        <v>145.30000000000001</v>
      </c>
      <c r="AL151" s="983">
        <f t="shared" si="76"/>
        <v>0.91614123581336693</v>
      </c>
    </row>
    <row r="152" spans="1:38" ht="16.5" customHeight="1">
      <c r="A152" s="999">
        <f>'09월 에너지'!A152</f>
        <v>46270</v>
      </c>
      <c r="B152" s="1002">
        <f>'09월 조업일지'!B150</f>
        <v>46270</v>
      </c>
      <c r="C152" s="1003" t="str">
        <f>'09월 에너지'!C152</f>
        <v>A</v>
      </c>
      <c r="D152" s="1004" t="str">
        <f>'09월 에너지'!D152</f>
        <v>A</v>
      </c>
      <c r="E152" s="1000">
        <f>'09월 에너지'!E152</f>
        <v>85352</v>
      </c>
      <c r="F152" s="1094" t="str">
        <f>'09월 에너지'!F152</f>
        <v>SHN275(BB)</v>
      </c>
      <c r="G152" s="980"/>
      <c r="H152" s="978"/>
      <c r="I152" s="978"/>
      <c r="J152" s="978"/>
      <c r="K152" s="978"/>
      <c r="L152" s="978"/>
      <c r="M152" s="978"/>
      <c r="N152" s="978"/>
      <c r="O152" s="1106" t="str">
        <f t="shared" si="72"/>
        <v/>
      </c>
      <c r="P152" s="1108">
        <f>3000+6100+100+17300+6100+8200+6500</f>
        <v>47300</v>
      </c>
      <c r="Q152" s="979">
        <f>12100+400</f>
        <v>12500</v>
      </c>
      <c r="R152" s="979">
        <v>7800</v>
      </c>
      <c r="S152" s="979">
        <v>0</v>
      </c>
      <c r="T152" s="979">
        <v>0</v>
      </c>
      <c r="U152" s="979">
        <f>4000+4500</f>
        <v>8500</v>
      </c>
      <c r="V152" s="979">
        <f>8100+2300+8800+10800</f>
        <v>30000</v>
      </c>
      <c r="W152" s="979">
        <v>3500</v>
      </c>
      <c r="X152" s="979">
        <v>9300</v>
      </c>
      <c r="Y152" s="979">
        <f>4800+3000+2900</f>
        <v>10700</v>
      </c>
      <c r="Z152" s="979">
        <v>0</v>
      </c>
      <c r="AA152" s="979">
        <v>3200</v>
      </c>
      <c r="AB152" s="979">
        <v>6200</v>
      </c>
      <c r="AC152" s="979">
        <v>0</v>
      </c>
      <c r="AD152" s="979">
        <v>0</v>
      </c>
      <c r="AE152" s="1109">
        <f t="shared" si="73"/>
        <v>139000</v>
      </c>
      <c r="AF152" s="1113">
        <v>2000</v>
      </c>
      <c r="AG152" s="981">
        <v>9100</v>
      </c>
      <c r="AH152" s="981">
        <v>7600</v>
      </c>
      <c r="AI152" s="1114">
        <f t="shared" si="74"/>
        <v>18700</v>
      </c>
      <c r="AJ152" s="1110">
        <f t="shared" si="75"/>
        <v>157700</v>
      </c>
      <c r="AK152" s="982">
        <f>'09월 에너지'!S152</f>
        <v>137.5</v>
      </c>
      <c r="AL152" s="983">
        <f t="shared" si="76"/>
        <v>0.87190868738110339</v>
      </c>
    </row>
    <row r="153" spans="1:38" ht="16.5" customHeight="1">
      <c r="A153" s="999">
        <f>'09월 에너지'!A153</f>
        <v>46270</v>
      </c>
      <c r="B153" s="1002">
        <f>'09월 조업일지'!B151</f>
        <v>46270</v>
      </c>
      <c r="C153" s="1003" t="str">
        <f>'09월 에너지'!C153</f>
        <v>A</v>
      </c>
      <c r="D153" s="1004" t="str">
        <f>'09월 에너지'!D153</f>
        <v>B</v>
      </c>
      <c r="E153" s="1000">
        <f>'09월 에너지'!E153</f>
        <v>85353</v>
      </c>
      <c r="F153" s="1170" t="str">
        <f>'09월 에너지'!F153</f>
        <v>SS400-02</v>
      </c>
      <c r="G153" s="980"/>
      <c r="H153" s="978"/>
      <c r="I153" s="978"/>
      <c r="J153" s="978"/>
      <c r="K153" s="978"/>
      <c r="L153" s="978"/>
      <c r="M153" s="978"/>
      <c r="N153" s="978"/>
      <c r="O153" s="1106" t="str">
        <f t="shared" si="72"/>
        <v/>
      </c>
      <c r="P153" s="1108">
        <f>9200+12200+7500+6900+9000+7000</f>
        <v>51800</v>
      </c>
      <c r="Q153" s="979">
        <f>11400+6600</f>
        <v>18000</v>
      </c>
      <c r="R153" s="979">
        <v>9100</v>
      </c>
      <c r="S153" s="979">
        <v>0</v>
      </c>
      <c r="T153" s="979">
        <v>0</v>
      </c>
      <c r="U153" s="979">
        <f>6700+4400</f>
        <v>11100</v>
      </c>
      <c r="V153" s="979">
        <f>500+2300+9600</f>
        <v>12400</v>
      </c>
      <c r="W153" s="979">
        <v>5000</v>
      </c>
      <c r="X153" s="979">
        <v>6800</v>
      </c>
      <c r="Y153" s="979">
        <f>10600+5300</f>
        <v>15900</v>
      </c>
      <c r="Z153" s="979">
        <v>0</v>
      </c>
      <c r="AA153" s="979">
        <v>2700</v>
      </c>
      <c r="AB153" s="979">
        <v>1800</v>
      </c>
      <c r="AC153" s="979">
        <v>3500</v>
      </c>
      <c r="AD153" s="979">
        <v>6800</v>
      </c>
      <c r="AE153" s="1109">
        <f t="shared" si="73"/>
        <v>144900</v>
      </c>
      <c r="AF153" s="1113">
        <v>2800</v>
      </c>
      <c r="AG153" s="981">
        <v>4500</v>
      </c>
      <c r="AH153" s="981">
        <v>5900</v>
      </c>
      <c r="AI153" s="1114">
        <f t="shared" si="74"/>
        <v>13200</v>
      </c>
      <c r="AJ153" s="1110">
        <f t="shared" si="75"/>
        <v>158100</v>
      </c>
      <c r="AK153" s="982">
        <f>'09월 에너지'!S153</f>
        <v>143</v>
      </c>
      <c r="AL153" s="983">
        <f t="shared" si="76"/>
        <v>0.90449082858950036</v>
      </c>
    </row>
    <row r="154" spans="1:38" ht="16.5" customHeight="1">
      <c r="A154" s="999">
        <f>'09월 에너지'!A154</f>
        <v>46270</v>
      </c>
      <c r="B154" s="1002">
        <f>'09월 조업일지'!B152</f>
        <v>46270</v>
      </c>
      <c r="C154" s="1003" t="str">
        <f>'09월 에너지'!C154</f>
        <v>A</v>
      </c>
      <c r="D154" s="1004" t="str">
        <f>'09월 에너지'!D154</f>
        <v>A</v>
      </c>
      <c r="E154" s="1000">
        <f>'09월 에너지'!E154</f>
        <v>85354</v>
      </c>
      <c r="F154" s="1094" t="str">
        <f>'09월 에너지'!F154</f>
        <v>SS400-02</v>
      </c>
      <c r="G154" s="980"/>
      <c r="H154" s="978"/>
      <c r="I154" s="978"/>
      <c r="J154" s="978"/>
      <c r="K154" s="978"/>
      <c r="L154" s="978"/>
      <c r="M154" s="978"/>
      <c r="N154" s="978"/>
      <c r="O154" s="1106" t="str">
        <f t="shared" si="72"/>
        <v/>
      </c>
      <c r="P154" s="1108">
        <f>11200+9600+8300+6800+7500+6500</f>
        <v>49900</v>
      </c>
      <c r="Q154" s="979">
        <f>8700+3000</f>
        <v>11700</v>
      </c>
      <c r="R154" s="979">
        <v>6200</v>
      </c>
      <c r="S154" s="979">
        <v>0</v>
      </c>
      <c r="T154" s="979">
        <v>0</v>
      </c>
      <c r="U154" s="979">
        <f>4600+1100</f>
        <v>5700</v>
      </c>
      <c r="V154" s="979">
        <f>7500+4800+9200</f>
        <v>21500</v>
      </c>
      <c r="W154" s="979">
        <v>3900</v>
      </c>
      <c r="X154" s="979">
        <v>8100</v>
      </c>
      <c r="Y154" s="979">
        <f>5200+12000+6700</f>
        <v>23900</v>
      </c>
      <c r="Z154" s="979">
        <v>0</v>
      </c>
      <c r="AA154" s="979">
        <v>2500</v>
      </c>
      <c r="AB154" s="979">
        <v>1800</v>
      </c>
      <c r="AC154" s="979">
        <v>2000</v>
      </c>
      <c r="AD154" s="979">
        <v>2700</v>
      </c>
      <c r="AE154" s="1109">
        <f t="shared" si="73"/>
        <v>139900</v>
      </c>
      <c r="AF154" s="1113">
        <v>4200</v>
      </c>
      <c r="AG154" s="981">
        <v>7500</v>
      </c>
      <c r="AH154" s="981">
        <v>5800</v>
      </c>
      <c r="AI154" s="1114">
        <f t="shared" si="74"/>
        <v>17500</v>
      </c>
      <c r="AJ154" s="1110">
        <f t="shared" si="75"/>
        <v>157400</v>
      </c>
      <c r="AK154" s="982">
        <f>'09월 에너지'!S154</f>
        <v>141.80000000000001</v>
      </c>
      <c r="AL154" s="983">
        <f t="shared" si="76"/>
        <v>0.90088945362134687</v>
      </c>
    </row>
    <row r="155" spans="1:38" ht="16.5" customHeight="1">
      <c r="A155" s="999">
        <f>'09월 에너지'!A155</f>
        <v>46271</v>
      </c>
      <c r="B155" s="1002">
        <f>'09월 조업일지'!B153</f>
        <v>46270</v>
      </c>
      <c r="C155" s="1003" t="str">
        <f>'09월 에너지'!C155</f>
        <v>A</v>
      </c>
      <c r="D155" s="1004" t="str">
        <f>'09월 에너지'!D155</f>
        <v>B</v>
      </c>
      <c r="E155" s="1000">
        <f>'09월 에너지'!E155</f>
        <v>85355</v>
      </c>
      <c r="F155" s="1094" t="str">
        <f>'09월 에너지'!F155</f>
        <v>SS400-02</v>
      </c>
      <c r="G155" s="980"/>
      <c r="H155" s="978"/>
      <c r="I155" s="978"/>
      <c r="J155" s="978"/>
      <c r="K155" s="978"/>
      <c r="L155" s="978"/>
      <c r="M155" s="978"/>
      <c r="N155" s="978"/>
      <c r="O155" s="1106" t="str">
        <f t="shared" si="72"/>
        <v/>
      </c>
      <c r="P155" s="1108">
        <f>8100+13300+6200+7500+8600+5700</f>
        <v>49400</v>
      </c>
      <c r="Q155" s="979">
        <f>10800+5800</f>
        <v>16600</v>
      </c>
      <c r="R155" s="979">
        <v>6900</v>
      </c>
      <c r="S155" s="979">
        <v>0</v>
      </c>
      <c r="T155" s="979">
        <v>0</v>
      </c>
      <c r="U155" s="979">
        <f>3900+6500</f>
        <v>10400</v>
      </c>
      <c r="V155" s="979">
        <f>7700+3100+9500</f>
        <v>20300</v>
      </c>
      <c r="W155" s="979">
        <v>5100</v>
      </c>
      <c r="X155" s="979">
        <v>6000</v>
      </c>
      <c r="Y155" s="979">
        <f>2200+10600+100</f>
        <v>12900</v>
      </c>
      <c r="Z155" s="979">
        <v>0</v>
      </c>
      <c r="AA155" s="979">
        <v>2600</v>
      </c>
      <c r="AB155" s="979">
        <v>2200</v>
      </c>
      <c r="AC155" s="979">
        <v>3100</v>
      </c>
      <c r="AD155" s="979">
        <v>4300</v>
      </c>
      <c r="AE155" s="1109">
        <f t="shared" si="73"/>
        <v>139800</v>
      </c>
      <c r="AF155" s="1113">
        <v>2900</v>
      </c>
      <c r="AG155" s="981">
        <v>12300</v>
      </c>
      <c r="AH155" s="981">
        <v>3200</v>
      </c>
      <c r="AI155" s="1114">
        <f t="shared" si="74"/>
        <v>18400</v>
      </c>
      <c r="AJ155" s="1110">
        <f t="shared" si="75"/>
        <v>158200</v>
      </c>
      <c r="AK155" s="982">
        <f>'09월 에너지'!S155</f>
        <v>142.4</v>
      </c>
      <c r="AL155" s="983">
        <f t="shared" si="76"/>
        <v>0.90012642225031603</v>
      </c>
    </row>
    <row r="156" spans="1:38" ht="16.5" customHeight="1">
      <c r="A156" s="999">
        <f>'09월 에너지'!A156</f>
        <v>46271</v>
      </c>
      <c r="B156" s="1002">
        <f>'09월 조업일지'!B154</f>
        <v>46270</v>
      </c>
      <c r="C156" s="1003" t="str">
        <f>'09월 에너지'!C156</f>
        <v>A</v>
      </c>
      <c r="D156" s="1004" t="str">
        <f>'09월 에너지'!D156</f>
        <v>A</v>
      </c>
      <c r="E156" s="1000">
        <f>'09월 에너지'!E156</f>
        <v>85356</v>
      </c>
      <c r="F156" s="1094" t="str">
        <f>'09월 에너지'!F156</f>
        <v>SS400-02</v>
      </c>
      <c r="G156" s="980"/>
      <c r="H156" s="978"/>
      <c r="I156" s="978"/>
      <c r="J156" s="978"/>
      <c r="K156" s="978"/>
      <c r="L156" s="978"/>
      <c r="M156" s="978"/>
      <c r="N156" s="978"/>
      <c r="O156" s="1106" t="str">
        <f t="shared" si="72"/>
        <v/>
      </c>
      <c r="P156" s="1108">
        <f>5100+9000+3900+6000+3500+8000</f>
        <v>35500</v>
      </c>
      <c r="Q156" s="979">
        <f>6500+7900</f>
        <v>14400</v>
      </c>
      <c r="R156" s="979">
        <v>6500</v>
      </c>
      <c r="S156" s="979">
        <v>0</v>
      </c>
      <c r="T156" s="979">
        <v>0</v>
      </c>
      <c r="U156" s="979">
        <f>13900+5500</f>
        <v>19400</v>
      </c>
      <c r="V156" s="979">
        <f>10100+100+9700</f>
        <v>19900</v>
      </c>
      <c r="W156" s="979">
        <v>3700</v>
      </c>
      <c r="X156" s="979">
        <v>9300</v>
      </c>
      <c r="Y156" s="979">
        <f>3100+14700+4800</f>
        <v>22600</v>
      </c>
      <c r="Z156" s="979">
        <v>0</v>
      </c>
      <c r="AA156" s="979">
        <v>1700</v>
      </c>
      <c r="AB156" s="979">
        <v>1600</v>
      </c>
      <c r="AC156" s="979">
        <v>1900</v>
      </c>
      <c r="AD156" s="979">
        <v>4600</v>
      </c>
      <c r="AE156" s="1109">
        <f t="shared" si="73"/>
        <v>141100</v>
      </c>
      <c r="AF156" s="1113">
        <v>3500</v>
      </c>
      <c r="AG156" s="981">
        <v>3900</v>
      </c>
      <c r="AH156" s="981">
        <v>9400</v>
      </c>
      <c r="AI156" s="1114">
        <f t="shared" si="74"/>
        <v>16800</v>
      </c>
      <c r="AJ156" s="1110">
        <f t="shared" si="75"/>
        <v>157900</v>
      </c>
      <c r="AK156" s="982">
        <f>'09월 에너지'!S156</f>
        <v>143.5</v>
      </c>
      <c r="AL156" s="983">
        <f t="shared" si="76"/>
        <v>0.90880303989867006</v>
      </c>
    </row>
    <row r="157" spans="1:38" ht="16.5" customHeight="1">
      <c r="A157" s="999">
        <f>'09월 에너지'!A157</f>
        <v>46271</v>
      </c>
      <c r="B157" s="1002">
        <f>'09월 조업일지'!B155</f>
        <v>46270</v>
      </c>
      <c r="C157" s="1003" t="str">
        <f>'09월 에너지'!C157</f>
        <v>A</v>
      </c>
      <c r="D157" s="1004" t="str">
        <f>'09월 에너지'!D157</f>
        <v>B</v>
      </c>
      <c r="E157" s="1000">
        <f>'09월 에너지'!E157</f>
        <v>85357</v>
      </c>
      <c r="F157" s="1094" t="str">
        <f>'09월 에너지'!F157</f>
        <v>SS400-02</v>
      </c>
      <c r="G157" s="980"/>
      <c r="H157" s="978"/>
      <c r="I157" s="978"/>
      <c r="J157" s="978"/>
      <c r="K157" s="978"/>
      <c r="L157" s="978"/>
      <c r="M157" s="978"/>
      <c r="N157" s="978"/>
      <c r="O157" s="1106" t="str">
        <f t="shared" si="72"/>
        <v/>
      </c>
      <c r="P157" s="1108">
        <f>8200+13000+8100+7200+9600+1900</f>
        <v>48000</v>
      </c>
      <c r="Q157" s="979">
        <f>15800+7300</f>
        <v>23100</v>
      </c>
      <c r="R157" s="979">
        <v>5900</v>
      </c>
      <c r="S157" s="979">
        <v>0</v>
      </c>
      <c r="T157" s="979">
        <v>0</v>
      </c>
      <c r="U157" s="979">
        <f>4500+3100</f>
        <v>7600</v>
      </c>
      <c r="V157" s="979">
        <f>5800+3500+9000</f>
        <v>18300</v>
      </c>
      <c r="W157" s="979">
        <v>1700</v>
      </c>
      <c r="X157" s="979">
        <v>6400</v>
      </c>
      <c r="Y157" s="979">
        <f>2100+4300+12100</f>
        <v>18500</v>
      </c>
      <c r="Z157" s="979">
        <v>0</v>
      </c>
      <c r="AA157" s="979">
        <v>3700</v>
      </c>
      <c r="AB157" s="979">
        <v>2500</v>
      </c>
      <c r="AC157" s="979">
        <v>4000</v>
      </c>
      <c r="AD157" s="979">
        <v>2800</v>
      </c>
      <c r="AE157" s="1109">
        <f t="shared" si="73"/>
        <v>142500</v>
      </c>
      <c r="AF157" s="1113">
        <v>2800</v>
      </c>
      <c r="AG157" s="981">
        <v>10700</v>
      </c>
      <c r="AH157" s="981">
        <v>1700</v>
      </c>
      <c r="AI157" s="1114">
        <f t="shared" si="74"/>
        <v>15200</v>
      </c>
      <c r="AJ157" s="1110">
        <f t="shared" si="75"/>
        <v>157700</v>
      </c>
      <c r="AK157" s="982">
        <f>'09월 에너지'!S157</f>
        <v>143.80000000000001</v>
      </c>
      <c r="AL157" s="983">
        <f t="shared" si="76"/>
        <v>0.911857958148383</v>
      </c>
    </row>
    <row r="158" spans="1:38" ht="16.5" customHeight="1">
      <c r="A158" s="999">
        <f>'09월 에너지'!A158</f>
        <v>46271</v>
      </c>
      <c r="B158" s="1002">
        <f>'09월 조업일지'!B156</f>
        <v>46270</v>
      </c>
      <c r="C158" s="1003" t="str">
        <f>'09월 에너지'!C158</f>
        <v>A</v>
      </c>
      <c r="D158" s="1004" t="str">
        <f>'09월 에너지'!D158</f>
        <v>A</v>
      </c>
      <c r="E158" s="1000">
        <f>'09월 에너지'!E158</f>
        <v>85358</v>
      </c>
      <c r="F158" s="1094" t="str">
        <f>'09월 에너지'!F158</f>
        <v>SS400-02</v>
      </c>
      <c r="G158" s="980"/>
      <c r="H158" s="978"/>
      <c r="I158" s="978"/>
      <c r="J158" s="978"/>
      <c r="K158" s="978"/>
      <c r="L158" s="978"/>
      <c r="M158" s="978"/>
      <c r="N158" s="978"/>
      <c r="O158" s="1106" t="str">
        <f t="shared" si="72"/>
        <v/>
      </c>
      <c r="P158" s="1108">
        <f>12100+11000+11500+7400+7100+5300-1500</f>
        <v>52900</v>
      </c>
      <c r="Q158" s="979">
        <f>10500+6000</f>
        <v>16500</v>
      </c>
      <c r="R158" s="979">
        <v>7200</v>
      </c>
      <c r="S158" s="979"/>
      <c r="T158" s="979"/>
      <c r="U158" s="979">
        <f>2000+3000</f>
        <v>5000</v>
      </c>
      <c r="V158" s="979">
        <v>12600</v>
      </c>
      <c r="W158" s="979">
        <v>3900</v>
      </c>
      <c r="X158" s="979">
        <v>7500</v>
      </c>
      <c r="Y158" s="979">
        <v>19400</v>
      </c>
      <c r="Z158" s="979"/>
      <c r="AA158" s="979">
        <v>1600</v>
      </c>
      <c r="AB158" s="979">
        <v>1700</v>
      </c>
      <c r="AC158" s="979">
        <v>4100</v>
      </c>
      <c r="AD158" s="979">
        <v>2600</v>
      </c>
      <c r="AE158" s="1109">
        <f t="shared" si="73"/>
        <v>135000</v>
      </c>
      <c r="AF158" s="1113">
        <v>3100</v>
      </c>
      <c r="AG158" s="981">
        <v>14200</v>
      </c>
      <c r="AH158" s="981">
        <v>5100</v>
      </c>
      <c r="AI158" s="1114">
        <f t="shared" si="74"/>
        <v>22400</v>
      </c>
      <c r="AJ158" s="1110">
        <f t="shared" si="75"/>
        <v>157400</v>
      </c>
      <c r="AK158" s="982">
        <f>'09월 에너지'!S158</f>
        <v>143.5</v>
      </c>
      <c r="AL158" s="983">
        <f t="shared" si="76"/>
        <v>0.91168996188055906</v>
      </c>
    </row>
    <row r="159" spans="1:38" ht="16.5" customHeight="1">
      <c r="A159" s="999">
        <f>'09월 에너지'!A159</f>
        <v>46271</v>
      </c>
      <c r="B159" s="1002">
        <f>'09월 조업일지'!B157</f>
        <v>46271</v>
      </c>
      <c r="C159" s="1003" t="str">
        <f>'09월 에너지'!C159</f>
        <v>B</v>
      </c>
      <c r="D159" s="1004" t="str">
        <f>'09월 에너지'!D159</f>
        <v>B</v>
      </c>
      <c r="E159" s="1000">
        <f>'09월 에너지'!E159</f>
        <v>85359</v>
      </c>
      <c r="F159" s="1094" t="str">
        <f>'09월 에너지'!F159</f>
        <v>SS400-02</v>
      </c>
      <c r="G159" s="980"/>
      <c r="H159" s="978"/>
      <c r="I159" s="978"/>
      <c r="J159" s="978"/>
      <c r="K159" s="978"/>
      <c r="L159" s="978"/>
      <c r="M159" s="978"/>
      <c r="N159" s="978"/>
      <c r="O159" s="1106" t="str">
        <f t="shared" si="72"/>
        <v/>
      </c>
      <c r="P159" s="1108">
        <f>55900-7100</f>
        <v>48800</v>
      </c>
      <c r="Q159" s="979">
        <v>17100</v>
      </c>
      <c r="R159" s="979">
        <v>6900</v>
      </c>
      <c r="S159" s="979"/>
      <c r="T159" s="979"/>
      <c r="U159" s="979">
        <f>3900+4500</f>
        <v>8400</v>
      </c>
      <c r="V159" s="979">
        <f>5700+5600+8700</f>
        <v>20000</v>
      </c>
      <c r="W159" s="979">
        <v>1900</v>
      </c>
      <c r="X159" s="979">
        <v>7900</v>
      </c>
      <c r="Y159" s="979">
        <v>20600</v>
      </c>
      <c r="Z159" s="979"/>
      <c r="AA159" s="979">
        <v>1600</v>
      </c>
      <c r="AB159" s="979">
        <v>2600</v>
      </c>
      <c r="AC159" s="979">
        <v>4700</v>
      </c>
      <c r="AD159" s="979">
        <v>1400</v>
      </c>
      <c r="AE159" s="1109">
        <f t="shared" si="73"/>
        <v>141900</v>
      </c>
      <c r="AF159" s="1113">
        <v>2500</v>
      </c>
      <c r="AG159" s="981">
        <v>10900</v>
      </c>
      <c r="AH159" s="981">
        <v>3100</v>
      </c>
      <c r="AI159" s="1114">
        <f t="shared" si="74"/>
        <v>16500</v>
      </c>
      <c r="AJ159" s="1110">
        <f t="shared" si="75"/>
        <v>158400</v>
      </c>
      <c r="AK159" s="982">
        <f>'09월 에너지'!S159</f>
        <v>144.30000000000001</v>
      </c>
      <c r="AL159" s="983">
        <f t="shared" si="76"/>
        <v>0.91098484848484851</v>
      </c>
    </row>
    <row r="160" spans="1:38" ht="16.5" customHeight="1">
      <c r="A160" s="999">
        <f>'09월 에너지'!A160</f>
        <v>46271</v>
      </c>
      <c r="B160" s="1002">
        <f>'09월 조업일지'!B158</f>
        <v>46271</v>
      </c>
      <c r="C160" s="1003" t="str">
        <f>'09월 에너지'!C160</f>
        <v>B</v>
      </c>
      <c r="D160" s="1004" t="str">
        <f>'09월 에너지'!D160</f>
        <v>A</v>
      </c>
      <c r="E160" s="1000">
        <f>'09월 에너지'!E160</f>
        <v>85360</v>
      </c>
      <c r="F160" s="1094" t="str">
        <f>'09월 에너지'!F160</f>
        <v>SS400-02</v>
      </c>
      <c r="G160" s="980"/>
      <c r="H160" s="978"/>
      <c r="I160" s="978"/>
      <c r="J160" s="978"/>
      <c r="K160" s="978"/>
      <c r="L160" s="978"/>
      <c r="M160" s="978"/>
      <c r="N160" s="978"/>
      <c r="O160" s="1106" t="str">
        <f t="shared" si="72"/>
        <v/>
      </c>
      <c r="P160" s="1108">
        <f>21800+3600+7200+2300+7300+2300+9800-10000</f>
        <v>44300</v>
      </c>
      <c r="Q160" s="979">
        <v>12600</v>
      </c>
      <c r="R160" s="979">
        <v>7200</v>
      </c>
      <c r="S160" s="979"/>
      <c r="T160" s="979"/>
      <c r="U160" s="979">
        <f>3800+6700</f>
        <v>10500</v>
      </c>
      <c r="V160" s="979">
        <f>11000+8700</f>
        <v>19700</v>
      </c>
      <c r="W160" s="979">
        <v>3100</v>
      </c>
      <c r="X160" s="979">
        <v>7800</v>
      </c>
      <c r="Y160" s="979">
        <f>4100+15000+3000</f>
        <v>22100</v>
      </c>
      <c r="Z160" s="979"/>
      <c r="AA160" s="979">
        <v>2300</v>
      </c>
      <c r="AB160" s="979">
        <v>1600</v>
      </c>
      <c r="AC160" s="979">
        <v>3700</v>
      </c>
      <c r="AD160" s="979">
        <v>1500</v>
      </c>
      <c r="AE160" s="1109">
        <f t="shared" si="73"/>
        <v>136400</v>
      </c>
      <c r="AF160" s="1113">
        <v>3500</v>
      </c>
      <c r="AG160" s="981">
        <v>14400</v>
      </c>
      <c r="AH160" s="981">
        <v>4600</v>
      </c>
      <c r="AI160" s="1114">
        <f t="shared" si="74"/>
        <v>22500</v>
      </c>
      <c r="AJ160" s="1110">
        <f t="shared" si="75"/>
        <v>158900</v>
      </c>
      <c r="AK160" s="982">
        <f>'09월 에너지'!S160</f>
        <v>140.9</v>
      </c>
      <c r="AL160" s="983">
        <f t="shared" si="76"/>
        <v>0.88672120830711143</v>
      </c>
    </row>
    <row r="161" spans="1:38" ht="16.5" customHeight="1">
      <c r="A161" s="999">
        <f>'09월 에너지'!A161</f>
        <v>46271</v>
      </c>
      <c r="B161" s="1002">
        <f>'09월 조업일지'!B159</f>
        <v>46271</v>
      </c>
      <c r="C161" s="1003" t="str">
        <f>'09월 에너지'!C161</f>
        <v>B</v>
      </c>
      <c r="D161" s="1004" t="str">
        <f>'09월 에너지'!D161</f>
        <v>B</v>
      </c>
      <c r="E161" s="1000">
        <f>'09월 에너지'!E161</f>
        <v>85361</v>
      </c>
      <c r="F161" s="1094" t="str">
        <f>'09월 에너지'!F161</f>
        <v>SS400-02</v>
      </c>
      <c r="G161" s="980"/>
      <c r="H161" s="978"/>
      <c r="I161" s="978"/>
      <c r="J161" s="978"/>
      <c r="K161" s="978"/>
      <c r="L161" s="978"/>
      <c r="M161" s="978"/>
      <c r="N161" s="978"/>
      <c r="O161" s="1106" t="str">
        <f t="shared" si="72"/>
        <v/>
      </c>
      <c r="P161" s="1108">
        <f>5800+9000+9500+6600+7600+2800</f>
        <v>41300</v>
      </c>
      <c r="Q161" s="979">
        <f>11600+5900</f>
        <v>17500</v>
      </c>
      <c r="R161" s="979">
        <v>5400</v>
      </c>
      <c r="S161" s="979"/>
      <c r="T161" s="979"/>
      <c r="U161" s="979">
        <f>10000+7600</f>
        <v>17600</v>
      </c>
      <c r="V161" s="979">
        <f>6500+1900+9200</f>
        <v>17600</v>
      </c>
      <c r="W161" s="979">
        <v>6200</v>
      </c>
      <c r="X161" s="979">
        <v>6200</v>
      </c>
      <c r="Y161" s="979">
        <f>1900+14600+3500</f>
        <v>20000</v>
      </c>
      <c r="Z161" s="979"/>
      <c r="AA161" s="979">
        <v>2200</v>
      </c>
      <c r="AB161" s="979">
        <v>3800</v>
      </c>
      <c r="AC161" s="979">
        <v>3000</v>
      </c>
      <c r="AD161" s="979">
        <v>3500</v>
      </c>
      <c r="AE161" s="1109">
        <f t="shared" si="73"/>
        <v>144300</v>
      </c>
      <c r="AF161" s="1113">
        <v>3600</v>
      </c>
      <c r="AG161" s="981">
        <v>8200</v>
      </c>
      <c r="AH161" s="981">
        <v>2000</v>
      </c>
      <c r="AI161" s="1114">
        <f t="shared" si="74"/>
        <v>13800</v>
      </c>
      <c r="AJ161" s="1110">
        <f t="shared" si="75"/>
        <v>158100</v>
      </c>
      <c r="AK161" s="982">
        <f>'09월 에너지'!S161</f>
        <v>142.80000000000001</v>
      </c>
      <c r="AL161" s="983">
        <f t="shared" si="76"/>
        <v>0.90322580645161288</v>
      </c>
    </row>
    <row r="162" spans="1:38" ht="16.5" customHeight="1">
      <c r="A162" s="999">
        <f>'09월 에너지'!A162</f>
        <v>46271</v>
      </c>
      <c r="B162" s="1002">
        <f>'09월 조업일지'!B160</f>
        <v>46271</v>
      </c>
      <c r="C162" s="1003" t="str">
        <f>'09월 에너지'!C162</f>
        <v>B</v>
      </c>
      <c r="D162" s="1004" t="str">
        <f>'09월 에너지'!D162</f>
        <v>A</v>
      </c>
      <c r="E162" s="1000">
        <f>'09월 에너지'!E162</f>
        <v>85362</v>
      </c>
      <c r="F162" s="1094" t="str">
        <f>'09월 에너지'!F162</f>
        <v>SS400-02</v>
      </c>
      <c r="G162" s="980"/>
      <c r="H162" s="978"/>
      <c r="I162" s="978"/>
      <c r="J162" s="978"/>
      <c r="K162" s="978"/>
      <c r="L162" s="978"/>
      <c r="M162" s="978"/>
      <c r="N162" s="978"/>
      <c r="O162" s="1106" t="str">
        <f t="shared" si="72"/>
        <v/>
      </c>
      <c r="P162" s="1108">
        <f>7500+11000+13100+7300+5200+7100-5000</f>
        <v>46200</v>
      </c>
      <c r="Q162" s="979">
        <v>16000</v>
      </c>
      <c r="R162" s="979">
        <v>9900</v>
      </c>
      <c r="S162" s="979"/>
      <c r="T162" s="979"/>
      <c r="U162" s="979">
        <f>12600+4300-5000</f>
        <v>11900</v>
      </c>
      <c r="V162" s="979">
        <f>4200+2700+5300+9000</f>
        <v>21200</v>
      </c>
      <c r="W162" s="979">
        <v>2500</v>
      </c>
      <c r="X162" s="979">
        <v>8600</v>
      </c>
      <c r="Y162" s="979">
        <f>3100+16000+4700-4800</f>
        <v>19000</v>
      </c>
      <c r="Z162" s="979"/>
      <c r="AA162" s="979">
        <v>1400</v>
      </c>
      <c r="AB162" s="979">
        <v>2100</v>
      </c>
      <c r="AC162" s="979">
        <v>3100</v>
      </c>
      <c r="AD162" s="979">
        <v>1800</v>
      </c>
      <c r="AE162" s="1109">
        <f t="shared" si="73"/>
        <v>143700</v>
      </c>
      <c r="AF162" s="1113"/>
      <c r="AG162" s="981">
        <v>10700</v>
      </c>
      <c r="AH162" s="981">
        <v>4000</v>
      </c>
      <c r="AI162" s="1114">
        <f t="shared" si="74"/>
        <v>14700</v>
      </c>
      <c r="AJ162" s="1110">
        <f t="shared" si="75"/>
        <v>158400</v>
      </c>
      <c r="AK162" s="982">
        <f>'09월 에너지'!S162</f>
        <v>143.80000000000001</v>
      </c>
      <c r="AL162" s="983">
        <f t="shared" si="76"/>
        <v>0.90782828282828287</v>
      </c>
    </row>
    <row r="163" spans="1:38" ht="16.5" customHeight="1">
      <c r="A163" s="999">
        <f>'09월 에너지'!A163</f>
        <v>46271</v>
      </c>
      <c r="B163" s="1002">
        <f>'09월 조업일지'!B161</f>
        <v>46271</v>
      </c>
      <c r="C163" s="1003" t="str">
        <f>'09월 에너지'!C163</f>
        <v>B</v>
      </c>
      <c r="D163" s="1004" t="str">
        <f>'09월 에너지'!D163</f>
        <v>B</v>
      </c>
      <c r="E163" s="1000">
        <f>'09월 에너지'!E163</f>
        <v>85363</v>
      </c>
      <c r="F163" s="1170" t="str">
        <f>'09월 에너지'!F163</f>
        <v>SS400-04</v>
      </c>
      <c r="G163" s="980"/>
      <c r="H163" s="978"/>
      <c r="I163" s="978"/>
      <c r="J163" s="978"/>
      <c r="K163" s="978"/>
      <c r="L163" s="978"/>
      <c r="M163" s="978"/>
      <c r="N163" s="978"/>
      <c r="O163" s="1106" t="str">
        <f t="shared" si="72"/>
        <v/>
      </c>
      <c r="P163" s="1108">
        <f>11200+6900+13700+6800+6800+8200-9800</f>
        <v>43800</v>
      </c>
      <c r="Q163" s="979">
        <f>7100+5000</f>
        <v>12100</v>
      </c>
      <c r="R163" s="979">
        <v>3100</v>
      </c>
      <c r="S163" s="979"/>
      <c r="T163" s="979"/>
      <c r="U163" s="979">
        <f>8200+8200</f>
        <v>16400</v>
      </c>
      <c r="V163" s="979">
        <f>3800+2000+2000+9200</f>
        <v>17000</v>
      </c>
      <c r="W163" s="979">
        <v>3900</v>
      </c>
      <c r="X163" s="979">
        <v>7600</v>
      </c>
      <c r="Y163" s="979">
        <f>6000+8400+5300</f>
        <v>19700</v>
      </c>
      <c r="Z163" s="979"/>
      <c r="AA163" s="979">
        <v>1300</v>
      </c>
      <c r="AB163" s="979">
        <v>8700</v>
      </c>
      <c r="AC163" s="979">
        <v>3000</v>
      </c>
      <c r="AD163" s="979">
        <v>2700</v>
      </c>
      <c r="AE163" s="1109">
        <f t="shared" si="73"/>
        <v>139300</v>
      </c>
      <c r="AF163" s="1113">
        <v>4100</v>
      </c>
      <c r="AG163" s="981">
        <v>12200</v>
      </c>
      <c r="AH163" s="981">
        <v>3100</v>
      </c>
      <c r="AI163" s="1114">
        <f t="shared" si="74"/>
        <v>19400</v>
      </c>
      <c r="AJ163" s="1110">
        <f t="shared" si="75"/>
        <v>158700</v>
      </c>
      <c r="AK163" s="982">
        <f>'09월 에너지'!S163</f>
        <v>144.19999999999999</v>
      </c>
      <c r="AL163" s="983">
        <f t="shared" si="76"/>
        <v>0.90863264020163836</v>
      </c>
    </row>
    <row r="164" spans="1:38" ht="16.5" customHeight="1">
      <c r="A164" s="999">
        <f>'09월 에너지'!A164</f>
        <v>46271</v>
      </c>
      <c r="B164" s="1002">
        <f>'09월 조업일지'!B162</f>
        <v>46271</v>
      </c>
      <c r="C164" s="1003" t="str">
        <f>'09월 에너지'!C164</f>
        <v>B</v>
      </c>
      <c r="D164" s="1004" t="str">
        <f>'09월 에너지'!D164</f>
        <v>A</v>
      </c>
      <c r="E164" s="1000">
        <f>'09월 에너지'!E164</f>
        <v>85364</v>
      </c>
      <c r="F164" s="1094" t="str">
        <f>'09월 에너지'!F164</f>
        <v>SS400-04</v>
      </c>
      <c r="G164" s="980"/>
      <c r="H164" s="978"/>
      <c r="I164" s="978"/>
      <c r="J164" s="978"/>
      <c r="K164" s="978"/>
      <c r="L164" s="978"/>
      <c r="M164" s="978"/>
      <c r="N164" s="978"/>
      <c r="O164" s="1106" t="str">
        <f t="shared" si="72"/>
        <v/>
      </c>
      <c r="P164" s="1108">
        <f>7700+15000+9200+7800+6200+7000</f>
        <v>52900</v>
      </c>
      <c r="Q164" s="979">
        <f>10700+7600</f>
        <v>18300</v>
      </c>
      <c r="R164" s="979">
        <v>7200</v>
      </c>
      <c r="S164" s="979"/>
      <c r="T164" s="979"/>
      <c r="U164" s="979">
        <v>8800</v>
      </c>
      <c r="V164" s="979">
        <f>4400+5400+1600+10000</f>
        <v>21400</v>
      </c>
      <c r="W164" s="979">
        <v>2800</v>
      </c>
      <c r="X164" s="979">
        <v>7900</v>
      </c>
      <c r="Y164" s="979">
        <f>2500+13400+1900</f>
        <v>17800</v>
      </c>
      <c r="Z164" s="979"/>
      <c r="AA164" s="979">
        <v>3600</v>
      </c>
      <c r="AB164" s="979">
        <v>2400</v>
      </c>
      <c r="AC164" s="979"/>
      <c r="AD164" s="979">
        <v>3000</v>
      </c>
      <c r="AE164" s="1109">
        <f t="shared" si="73"/>
        <v>146100</v>
      </c>
      <c r="AF164" s="1113">
        <v>4300</v>
      </c>
      <c r="AG164" s="981">
        <v>4400</v>
      </c>
      <c r="AH164" s="981">
        <v>4800</v>
      </c>
      <c r="AI164" s="1114">
        <f t="shared" si="74"/>
        <v>13500</v>
      </c>
      <c r="AJ164" s="1110">
        <f t="shared" si="75"/>
        <v>159600</v>
      </c>
      <c r="AK164" s="982">
        <f>'09월 에너지'!S164</f>
        <v>145.69999999999999</v>
      </c>
      <c r="AL164" s="983">
        <f t="shared" si="76"/>
        <v>0.91290726817042611</v>
      </c>
    </row>
    <row r="165" spans="1:38" ht="16.5" customHeight="1">
      <c r="A165" s="999">
        <f>'09월 에너지'!A165</f>
        <v>46271</v>
      </c>
      <c r="B165" s="1002">
        <f>'09월 조업일지'!B163</f>
        <v>46271</v>
      </c>
      <c r="C165" s="1003" t="str">
        <f>'09월 에너지'!C165</f>
        <v>B</v>
      </c>
      <c r="D165" s="1004" t="str">
        <f>'09월 에너지'!D165</f>
        <v>B</v>
      </c>
      <c r="E165" s="1000">
        <f>'09월 에너지'!E165</f>
        <v>85365</v>
      </c>
      <c r="F165" s="1170" t="str">
        <f>'09월 에너지'!F165</f>
        <v>A572-50-01</v>
      </c>
      <c r="G165" s="980"/>
      <c r="H165" s="978"/>
      <c r="I165" s="978"/>
      <c r="J165" s="978"/>
      <c r="K165" s="978"/>
      <c r="L165" s="978"/>
      <c r="M165" s="978"/>
      <c r="N165" s="978"/>
      <c r="O165" s="1106" t="str">
        <f t="shared" si="72"/>
        <v/>
      </c>
      <c r="P165" s="1108">
        <f>8200+10300+5700+17800+1200+14500+14800</f>
        <v>72500</v>
      </c>
      <c r="Q165" s="979">
        <f>15000+4400</f>
        <v>19400</v>
      </c>
      <c r="R165" s="979">
        <v>2400</v>
      </c>
      <c r="S165" s="979"/>
      <c r="T165" s="979"/>
      <c r="U165" s="979">
        <f>7900+1600</f>
        <v>9500</v>
      </c>
      <c r="V165" s="979">
        <f>5100+6500+2000+9100</f>
        <v>22700</v>
      </c>
      <c r="W165" s="979">
        <v>300</v>
      </c>
      <c r="X165" s="979">
        <v>100</v>
      </c>
      <c r="Y165" s="979">
        <f>2300+900+2600</f>
        <v>5800</v>
      </c>
      <c r="Z165" s="979"/>
      <c r="AA165" s="979">
        <v>2200</v>
      </c>
      <c r="AB165" s="979">
        <v>2600</v>
      </c>
      <c r="AC165" s="979"/>
      <c r="AD165" s="979"/>
      <c r="AE165" s="1109">
        <f t="shared" si="73"/>
        <v>137500</v>
      </c>
      <c r="AF165" s="1113">
        <v>3800</v>
      </c>
      <c r="AG165" s="981">
        <v>13600</v>
      </c>
      <c r="AH165" s="981">
        <v>3600</v>
      </c>
      <c r="AI165" s="1114">
        <f t="shared" si="74"/>
        <v>21000</v>
      </c>
      <c r="AJ165" s="1110">
        <f t="shared" si="75"/>
        <v>158500</v>
      </c>
      <c r="AK165" s="982">
        <f>'09월 에너지'!S165</f>
        <v>143.5</v>
      </c>
      <c r="AL165" s="983">
        <f t="shared" si="76"/>
        <v>0.90536277602523663</v>
      </c>
    </row>
    <row r="166" spans="1:38" ht="16.5" customHeight="1">
      <c r="A166" s="999">
        <f>'09월 에너지'!A166</f>
        <v>46271</v>
      </c>
      <c r="B166" s="1002">
        <f>'09월 조업일지'!B164</f>
        <v>46271</v>
      </c>
      <c r="C166" s="1003" t="str">
        <f>'09월 에너지'!C166</f>
        <v>B</v>
      </c>
      <c r="D166" s="1004" t="str">
        <f>'09월 에너지'!D166</f>
        <v>A</v>
      </c>
      <c r="E166" s="1000">
        <f>'09월 에너지'!E166</f>
        <v>85366</v>
      </c>
      <c r="F166" s="1094" t="str">
        <f>'09월 에너지'!F166</f>
        <v>A572-50-01</v>
      </c>
      <c r="G166" s="980"/>
      <c r="H166" s="978"/>
      <c r="I166" s="978"/>
      <c r="J166" s="978"/>
      <c r="K166" s="978"/>
      <c r="L166" s="978"/>
      <c r="M166" s="978"/>
      <c r="N166" s="978"/>
      <c r="O166" s="1106" t="str">
        <f t="shared" si="72"/>
        <v/>
      </c>
      <c r="P166" s="1108">
        <f>8500+6600+8000+3200+3500+1800+9600</f>
        <v>41200</v>
      </c>
      <c r="Q166" s="979">
        <f>13800+9300</f>
        <v>23100</v>
      </c>
      <c r="R166" s="979">
        <v>5400</v>
      </c>
      <c r="S166" s="979"/>
      <c r="T166" s="979">
        <v>12600</v>
      </c>
      <c r="U166" s="979">
        <f>10800+1500+5900</f>
        <v>18200</v>
      </c>
      <c r="V166" s="979">
        <f>2700+5700</f>
        <v>8400</v>
      </c>
      <c r="W166" s="979">
        <v>2300</v>
      </c>
      <c r="X166" s="979">
        <v>8000</v>
      </c>
      <c r="Y166" s="979">
        <f>2100+11800+2500</f>
        <v>16400</v>
      </c>
      <c r="Z166" s="979"/>
      <c r="AA166" s="979">
        <v>500</v>
      </c>
      <c r="AB166" s="979">
        <v>11100</v>
      </c>
      <c r="AC166" s="979"/>
      <c r="AD166" s="979"/>
      <c r="AE166" s="1109">
        <f t="shared" si="73"/>
        <v>147200</v>
      </c>
      <c r="AF166" s="1113">
        <v>4200</v>
      </c>
      <c r="AG166" s="981">
        <v>2400</v>
      </c>
      <c r="AH166" s="981">
        <v>4600</v>
      </c>
      <c r="AI166" s="1114">
        <f t="shared" si="74"/>
        <v>11200</v>
      </c>
      <c r="AJ166" s="1110">
        <f t="shared" si="75"/>
        <v>158400</v>
      </c>
      <c r="AK166" s="982">
        <f>'09월 에너지'!S166</f>
        <v>143.80000000000001</v>
      </c>
      <c r="AL166" s="983">
        <f t="shared" si="76"/>
        <v>0.90782828282828287</v>
      </c>
    </row>
    <row r="167" spans="1:38" ht="16.5" customHeight="1">
      <c r="A167" s="999">
        <f>'09월 에너지'!A167</f>
        <v>46271</v>
      </c>
      <c r="B167" s="1002">
        <f>'09월 조업일지'!B165</f>
        <v>46271</v>
      </c>
      <c r="C167" s="1003" t="str">
        <f>'09월 에너지'!C167</f>
        <v>B</v>
      </c>
      <c r="D167" s="1004" t="str">
        <f>'09월 에너지'!D167</f>
        <v>B</v>
      </c>
      <c r="E167" s="1000">
        <f>'09월 에너지'!E167</f>
        <v>85367</v>
      </c>
      <c r="F167" s="1094" t="str">
        <f>'09월 에너지'!F167</f>
        <v>A572-50-01</v>
      </c>
      <c r="G167" s="980"/>
      <c r="H167" s="978"/>
      <c r="I167" s="978"/>
      <c r="J167" s="978"/>
      <c r="K167" s="978"/>
      <c r="L167" s="978"/>
      <c r="M167" s="978"/>
      <c r="N167" s="978"/>
      <c r="O167" s="1106" t="str">
        <f t="shared" si="72"/>
        <v/>
      </c>
      <c r="P167" s="1108">
        <f>12000+8900+6700+9100+2800+500+9200</f>
        <v>49200</v>
      </c>
      <c r="Q167" s="979">
        <f>13600+4700</f>
        <v>18300</v>
      </c>
      <c r="R167" s="979">
        <v>5800</v>
      </c>
      <c r="S167" s="979"/>
      <c r="T167" s="979">
        <v>2600</v>
      </c>
      <c r="U167" s="979">
        <f>6900+4200+7200</f>
        <v>18300</v>
      </c>
      <c r="V167" s="979">
        <f>5100+4100</f>
        <v>9200</v>
      </c>
      <c r="W167" s="979">
        <v>2900</v>
      </c>
      <c r="X167" s="979">
        <v>9000</v>
      </c>
      <c r="Y167" s="979">
        <f>4100+12600+2000</f>
        <v>18700</v>
      </c>
      <c r="Z167" s="979"/>
      <c r="AA167" s="979">
        <v>1200</v>
      </c>
      <c r="AB167" s="979">
        <v>2400</v>
      </c>
      <c r="AC167" s="979"/>
      <c r="AD167" s="979"/>
      <c r="AE167" s="1109">
        <f t="shared" si="73"/>
        <v>137600</v>
      </c>
      <c r="AF167" s="1113">
        <v>5500</v>
      </c>
      <c r="AG167" s="981">
        <v>11500</v>
      </c>
      <c r="AH167" s="981">
        <v>3500</v>
      </c>
      <c r="AI167" s="1114">
        <f t="shared" si="74"/>
        <v>20500</v>
      </c>
      <c r="AJ167" s="1110">
        <f t="shared" si="75"/>
        <v>158100</v>
      </c>
      <c r="AK167" s="982">
        <f>'09월 에너지'!S167</f>
        <v>143.6</v>
      </c>
      <c r="AL167" s="983">
        <f t="shared" si="76"/>
        <v>0.90828589500316259</v>
      </c>
    </row>
    <row r="168" spans="1:38" ht="16.5" customHeight="1">
      <c r="A168" s="999">
        <f>'09월 에너지'!A168</f>
        <v>46271</v>
      </c>
      <c r="B168" s="1002">
        <f>'09월 조업일지'!B166</f>
        <v>46271</v>
      </c>
      <c r="C168" s="1003" t="str">
        <f>'09월 에너지'!C168</f>
        <v>B</v>
      </c>
      <c r="D168" s="1004" t="str">
        <f>'09월 에너지'!D168</f>
        <v>A</v>
      </c>
      <c r="E168" s="1000">
        <f>'09월 에너지'!E168</f>
        <v>85368</v>
      </c>
      <c r="F168" s="1094" t="str">
        <f>'09월 에너지'!F168</f>
        <v>A572-50-01</v>
      </c>
      <c r="G168" s="980"/>
      <c r="H168" s="978"/>
      <c r="I168" s="978"/>
      <c r="J168" s="978"/>
      <c r="K168" s="978"/>
      <c r="L168" s="978"/>
      <c r="M168" s="978"/>
      <c r="N168" s="978"/>
      <c r="O168" s="1106" t="str">
        <f t="shared" si="72"/>
        <v/>
      </c>
      <c r="P168" s="1108">
        <f>19200+7400+8500+3800+900+10100</f>
        <v>49900</v>
      </c>
      <c r="Q168" s="979">
        <f>11800+10300</f>
        <v>22100</v>
      </c>
      <c r="R168" s="979"/>
      <c r="S168" s="979"/>
      <c r="T168" s="979">
        <v>1500</v>
      </c>
      <c r="U168" s="979">
        <f>8600+10400+1700</f>
        <v>20700</v>
      </c>
      <c r="V168" s="979">
        <f>7700+3200</f>
        <v>10900</v>
      </c>
      <c r="W168" s="979">
        <v>2300</v>
      </c>
      <c r="X168" s="979">
        <v>8000</v>
      </c>
      <c r="Y168" s="979">
        <f>6600+20500+3000</f>
        <v>30100</v>
      </c>
      <c r="Z168" s="979"/>
      <c r="AA168" s="979">
        <v>1200</v>
      </c>
      <c r="AB168" s="979">
        <v>1800</v>
      </c>
      <c r="AC168" s="979"/>
      <c r="AD168" s="979"/>
      <c r="AE168" s="1109">
        <f t="shared" si="73"/>
        <v>148500</v>
      </c>
      <c r="AF168" s="1113">
        <v>4300</v>
      </c>
      <c r="AG168" s="981">
        <v>2800</v>
      </c>
      <c r="AH168" s="981">
        <v>3200</v>
      </c>
      <c r="AI168" s="1114">
        <f t="shared" si="74"/>
        <v>10300</v>
      </c>
      <c r="AJ168" s="1110">
        <f t="shared" si="75"/>
        <v>158800</v>
      </c>
      <c r="AK168" s="982">
        <f>'09월 에너지'!S168</f>
        <v>143.6</v>
      </c>
      <c r="AL168" s="983">
        <f t="shared" si="76"/>
        <v>0.90428211586901763</v>
      </c>
    </row>
    <row r="169" spans="1:38" ht="16.5" customHeight="1">
      <c r="A169" s="999">
        <f>'09월 에너지'!A169</f>
        <v>46271</v>
      </c>
      <c r="B169" s="1002">
        <f>'09월 조업일지'!B167</f>
        <v>46271</v>
      </c>
      <c r="C169" s="1003" t="str">
        <f>'09월 에너지'!C169</f>
        <v>D</v>
      </c>
      <c r="D169" s="1004" t="str">
        <f>'09월 에너지'!D169</f>
        <v>B</v>
      </c>
      <c r="E169" s="1000">
        <f>'09월 에너지'!E169</f>
        <v>85369</v>
      </c>
      <c r="F169" s="1094" t="str">
        <f>'09월 에너지'!F169</f>
        <v>A572-50-01</v>
      </c>
      <c r="G169" s="980"/>
      <c r="H169" s="978"/>
      <c r="I169" s="978"/>
      <c r="J169" s="978"/>
      <c r="K169" s="978"/>
      <c r="L169" s="978"/>
      <c r="M169" s="978"/>
      <c r="N169" s="978"/>
      <c r="O169" s="1106" t="str">
        <f t="shared" si="72"/>
        <v/>
      </c>
      <c r="P169" s="1108">
        <f>11600+11200+7900+8800+3600+1100+11100</f>
        <v>55300</v>
      </c>
      <c r="Q169" s="979">
        <f>11700+7100</f>
        <v>18800</v>
      </c>
      <c r="R169" s="979">
        <v>2300</v>
      </c>
      <c r="S169" s="979"/>
      <c r="T169" s="979">
        <v>1800</v>
      </c>
      <c r="U169" s="979">
        <f>8100+6800+6900</f>
        <v>21800</v>
      </c>
      <c r="V169" s="979">
        <f>4300+1300</f>
        <v>5600</v>
      </c>
      <c r="W169" s="979">
        <v>2000</v>
      </c>
      <c r="X169" s="979">
        <v>8600</v>
      </c>
      <c r="Y169" s="979">
        <f>1900+14400+1700</f>
        <v>18000</v>
      </c>
      <c r="Z169" s="979"/>
      <c r="AA169" s="979">
        <v>1500</v>
      </c>
      <c r="AB169" s="979">
        <v>4300</v>
      </c>
      <c r="AC169" s="979"/>
      <c r="AD169" s="979"/>
      <c r="AE169" s="1109">
        <f t="shared" si="73"/>
        <v>140000</v>
      </c>
      <c r="AF169" s="1113">
        <v>3600</v>
      </c>
      <c r="AG169" s="981">
        <v>11100</v>
      </c>
      <c r="AH169" s="981">
        <v>4000</v>
      </c>
      <c r="AI169" s="1114">
        <f t="shared" si="74"/>
        <v>18700</v>
      </c>
      <c r="AJ169" s="1110">
        <f t="shared" si="75"/>
        <v>158700</v>
      </c>
      <c r="AK169" s="982">
        <f>'09월 에너지'!S169</f>
        <v>145.30000000000001</v>
      </c>
      <c r="AL169" s="983">
        <f t="shared" si="76"/>
        <v>0.9155639571518589</v>
      </c>
    </row>
    <row r="170" spans="1:38" ht="16.5" customHeight="1">
      <c r="A170" s="999">
        <f>'09월 에너지'!A170</f>
        <v>46271</v>
      </c>
      <c r="B170" s="1002">
        <f>'09월 조업일지'!B168</f>
        <v>46271</v>
      </c>
      <c r="C170" s="1003" t="str">
        <f>'09월 에너지'!C170</f>
        <v>D</v>
      </c>
      <c r="D170" s="1004" t="str">
        <f>'09월 에너지'!D170</f>
        <v>A</v>
      </c>
      <c r="E170" s="1000">
        <f>'09월 에너지'!E170</f>
        <v>85370</v>
      </c>
      <c r="F170" s="1094" t="str">
        <f>'09월 에너지'!F170</f>
        <v>A572-50-01</v>
      </c>
      <c r="G170" s="980"/>
      <c r="H170" s="978"/>
      <c r="I170" s="978"/>
      <c r="J170" s="978"/>
      <c r="K170" s="978"/>
      <c r="L170" s="978"/>
      <c r="M170" s="978"/>
      <c r="N170" s="978"/>
      <c r="O170" s="1106" t="str">
        <f t="shared" si="72"/>
        <v/>
      </c>
      <c r="P170" s="1108">
        <f>9700+8600+8300+5700+5100+1700+9900</f>
        <v>49000</v>
      </c>
      <c r="Q170" s="979">
        <f>12100+9900</f>
        <v>22000</v>
      </c>
      <c r="R170" s="979">
        <v>3000</v>
      </c>
      <c r="S170" s="979"/>
      <c r="T170" s="979">
        <v>14600</v>
      </c>
      <c r="U170" s="979">
        <f>2800+8400+4100</f>
        <v>15300</v>
      </c>
      <c r="V170" s="979">
        <f>5200+1300</f>
        <v>6500</v>
      </c>
      <c r="W170" s="979">
        <v>800</v>
      </c>
      <c r="X170" s="979">
        <v>9000</v>
      </c>
      <c r="Y170" s="979">
        <f>8000+11600+4900</f>
        <v>24500</v>
      </c>
      <c r="Z170" s="979"/>
      <c r="AA170" s="979">
        <v>5100</v>
      </c>
      <c r="AB170" s="979">
        <v>1300</v>
      </c>
      <c r="AC170" s="979"/>
      <c r="AD170" s="979"/>
      <c r="AE170" s="1109">
        <f t="shared" si="73"/>
        <v>151100</v>
      </c>
      <c r="AF170" s="1113">
        <v>3800</v>
      </c>
      <c r="AG170" s="981">
        <v>200</v>
      </c>
      <c r="AH170" s="981">
        <v>4600</v>
      </c>
      <c r="AI170" s="1114">
        <f t="shared" si="74"/>
        <v>8600</v>
      </c>
      <c r="AJ170" s="1110">
        <f t="shared" si="75"/>
        <v>159700</v>
      </c>
      <c r="AK170" s="982">
        <f>'09월 에너지'!S170</f>
        <v>142.30000000000001</v>
      </c>
      <c r="AL170" s="983">
        <f t="shared" si="76"/>
        <v>0.89104571070757665</v>
      </c>
    </row>
    <row r="171" spans="1:38" ht="16.5" customHeight="1">
      <c r="A171" s="999">
        <f>'09월 에너지'!A171</f>
        <v>46271</v>
      </c>
      <c r="B171" s="1002">
        <f>'09월 조업일지'!B169</f>
        <v>46271</v>
      </c>
      <c r="C171" s="1003" t="str">
        <f>'09월 에너지'!C171</f>
        <v>D</v>
      </c>
      <c r="D171" s="1004" t="str">
        <f>'09월 에너지'!D171</f>
        <v>B</v>
      </c>
      <c r="E171" s="1000">
        <f>'09월 에너지'!E171</f>
        <v>85371</v>
      </c>
      <c r="F171" s="1094" t="str">
        <f>'09월 에너지'!F171</f>
        <v>A572-50-01</v>
      </c>
      <c r="G171" s="980"/>
      <c r="H171" s="978"/>
      <c r="I171" s="978"/>
      <c r="J171" s="978"/>
      <c r="K171" s="978"/>
      <c r="L171" s="978"/>
      <c r="M171" s="978"/>
      <c r="N171" s="978"/>
      <c r="O171" s="1106" t="str">
        <f t="shared" si="72"/>
        <v/>
      </c>
      <c r="P171" s="1108">
        <v>46800</v>
      </c>
      <c r="Q171" s="979">
        <f>9000+1800</f>
        <v>10800</v>
      </c>
      <c r="R171" s="979">
        <v>6600</v>
      </c>
      <c r="S171" s="979"/>
      <c r="T171" s="979">
        <v>2600</v>
      </c>
      <c r="U171" s="979">
        <f>7400+4700+6600</f>
        <v>18700</v>
      </c>
      <c r="V171" s="979">
        <f>5800+3400</f>
        <v>9200</v>
      </c>
      <c r="W171" s="979">
        <v>0</v>
      </c>
      <c r="X171" s="979">
        <v>0</v>
      </c>
      <c r="Y171" s="979">
        <f>2300+29400+4200</f>
        <v>35900</v>
      </c>
      <c r="Z171" s="979"/>
      <c r="AA171" s="979">
        <v>2700</v>
      </c>
      <c r="AB171" s="979">
        <v>2000</v>
      </c>
      <c r="AC171" s="979"/>
      <c r="AD171" s="979"/>
      <c r="AE171" s="1109">
        <f t="shared" si="73"/>
        <v>135300</v>
      </c>
      <c r="AF171" s="1113">
        <v>4600</v>
      </c>
      <c r="AG171" s="981">
        <v>12800</v>
      </c>
      <c r="AH171" s="981">
        <v>5700</v>
      </c>
      <c r="AI171" s="1114">
        <f t="shared" si="74"/>
        <v>23100</v>
      </c>
      <c r="AJ171" s="1110">
        <f t="shared" si="75"/>
        <v>158400</v>
      </c>
      <c r="AK171" s="982">
        <f>'09월 에너지'!S171</f>
        <v>144.69999999999999</v>
      </c>
      <c r="AL171" s="983">
        <f t="shared" si="76"/>
        <v>0.91351010101010099</v>
      </c>
    </row>
    <row r="172" spans="1:38" ht="16.5" customHeight="1">
      <c r="A172" s="999">
        <f>'09월 에너지'!A172</f>
        <v>46271</v>
      </c>
      <c r="B172" s="1002">
        <f>'09월 조업일지'!B170</f>
        <v>46271</v>
      </c>
      <c r="C172" s="1003" t="str">
        <f>'09월 에너지'!C172</f>
        <v>D</v>
      </c>
      <c r="D172" s="1004" t="str">
        <f>'09월 에너지'!D172</f>
        <v>A</v>
      </c>
      <c r="E172" s="1000">
        <f>'09월 에너지'!E172</f>
        <v>85372</v>
      </c>
      <c r="F172" s="1094" t="str">
        <f>'09월 에너지'!F172</f>
        <v>A572-50-01</v>
      </c>
      <c r="G172" s="980"/>
      <c r="H172" s="978"/>
      <c r="I172" s="978"/>
      <c r="J172" s="978"/>
      <c r="K172" s="978"/>
      <c r="L172" s="978"/>
      <c r="M172" s="978"/>
      <c r="N172" s="978"/>
      <c r="O172" s="1106" t="str">
        <f t="shared" si="72"/>
        <v/>
      </c>
      <c r="P172" s="1108">
        <f>11600+7600+7300+6200+4300+4800</f>
        <v>41800</v>
      </c>
      <c r="Q172" s="979">
        <f>14000+5500</f>
        <v>19500</v>
      </c>
      <c r="R172" s="979">
        <v>7800</v>
      </c>
      <c r="S172" s="979"/>
      <c r="T172" s="979">
        <v>0</v>
      </c>
      <c r="U172" s="979">
        <f>1600+6400</f>
        <v>8000</v>
      </c>
      <c r="V172" s="979">
        <f>12200+7200+9100</f>
        <v>28500</v>
      </c>
      <c r="W172" s="979">
        <v>4400</v>
      </c>
      <c r="X172" s="979">
        <v>8000</v>
      </c>
      <c r="Y172" s="979">
        <f>16500+1100</f>
        <v>17600</v>
      </c>
      <c r="Z172" s="979"/>
      <c r="AA172" s="979">
        <v>700</v>
      </c>
      <c r="AB172" s="979">
        <v>2100</v>
      </c>
      <c r="AC172" s="979">
        <v>2800</v>
      </c>
      <c r="AD172" s="979">
        <v>1700</v>
      </c>
      <c r="AE172" s="1109">
        <f t="shared" si="73"/>
        <v>142900</v>
      </c>
      <c r="AF172" s="1113">
        <v>3800</v>
      </c>
      <c r="AG172" s="981">
        <v>9300</v>
      </c>
      <c r="AH172" s="981">
        <v>2500</v>
      </c>
      <c r="AI172" s="1114">
        <f t="shared" si="74"/>
        <v>15600</v>
      </c>
      <c r="AJ172" s="1110">
        <f t="shared" si="75"/>
        <v>158500</v>
      </c>
      <c r="AK172" s="982">
        <f>'09월 에너지'!S172</f>
        <v>142.69999999999999</v>
      </c>
      <c r="AL172" s="983">
        <f t="shared" si="76"/>
        <v>0.90031545741324925</v>
      </c>
    </row>
    <row r="173" spans="1:38" ht="16.5" customHeight="1">
      <c r="A173" s="999">
        <f>'09월 에너지'!A173</f>
        <v>46271</v>
      </c>
      <c r="B173" s="1002">
        <f>'09월 조업일지'!B171</f>
        <v>46271</v>
      </c>
      <c r="C173" s="1003" t="str">
        <f>'09월 에너지'!C173</f>
        <v>D</v>
      </c>
      <c r="D173" s="1004" t="str">
        <f>'09월 에너지'!D173</f>
        <v>B</v>
      </c>
      <c r="E173" s="1000">
        <f>'09월 에너지'!E173</f>
        <v>85373</v>
      </c>
      <c r="F173" s="1094" t="str">
        <f>'09월 에너지'!F173</f>
        <v>A572-50-01</v>
      </c>
      <c r="G173" s="980"/>
      <c r="H173" s="978"/>
      <c r="I173" s="978"/>
      <c r="J173" s="978"/>
      <c r="K173" s="978"/>
      <c r="L173" s="978"/>
      <c r="M173" s="978"/>
      <c r="N173" s="978"/>
      <c r="O173" s="1106" t="str">
        <f t="shared" si="72"/>
        <v/>
      </c>
      <c r="P173" s="1108">
        <f>8800+12400+9500+10000+6100+7500+5400+2800+8800</f>
        <v>71300</v>
      </c>
      <c r="Q173" s="979">
        <f>12700+6000</f>
        <v>18700</v>
      </c>
      <c r="R173" s="979">
        <v>7100</v>
      </c>
      <c r="S173" s="979"/>
      <c r="T173" s="979"/>
      <c r="U173" s="979">
        <f>3400+4800+6100</f>
        <v>14300</v>
      </c>
      <c r="V173" s="979">
        <f>2000+3600</f>
        <v>5600</v>
      </c>
      <c r="W173" s="979">
        <v>2500</v>
      </c>
      <c r="X173" s="979">
        <v>9900</v>
      </c>
      <c r="Y173" s="979">
        <f>2100+3100</f>
        <v>5200</v>
      </c>
      <c r="Z173" s="979"/>
      <c r="AA173" s="979">
        <v>2000</v>
      </c>
      <c r="AB173" s="979">
        <v>2600</v>
      </c>
      <c r="AC173" s="979">
        <v>0</v>
      </c>
      <c r="AD173" s="979">
        <v>0</v>
      </c>
      <c r="AE173" s="1109">
        <f t="shared" si="73"/>
        <v>139200</v>
      </c>
      <c r="AF173" s="1113">
        <v>3800</v>
      </c>
      <c r="AG173" s="981">
        <v>8700</v>
      </c>
      <c r="AH173" s="981">
        <v>6400</v>
      </c>
      <c r="AI173" s="1114">
        <f t="shared" si="74"/>
        <v>18900</v>
      </c>
      <c r="AJ173" s="1110">
        <f t="shared" si="75"/>
        <v>158100</v>
      </c>
      <c r="AK173" s="982">
        <f>'09월 에너지'!S173</f>
        <v>143.4</v>
      </c>
      <c r="AL173" s="983">
        <f t="shared" si="76"/>
        <v>0.90702087286527511</v>
      </c>
    </row>
    <row r="174" spans="1:38" ht="16.5" customHeight="1">
      <c r="A174" s="999">
        <f>'09월 에너지'!A174</f>
        <v>46271</v>
      </c>
      <c r="B174" s="1002">
        <f>'09월 조업일지'!B172</f>
        <v>46271</v>
      </c>
      <c r="C174" s="1003" t="str">
        <f>'09월 에너지'!C174</f>
        <v>D</v>
      </c>
      <c r="D174" s="1004" t="str">
        <f>'09월 에너지'!D174</f>
        <v>A</v>
      </c>
      <c r="E174" s="1000">
        <f>'09월 에너지'!E174</f>
        <v>85374</v>
      </c>
      <c r="F174" s="1094" t="str">
        <f>'09월 에너지'!F174</f>
        <v>A572-50-01</v>
      </c>
      <c r="G174" s="980"/>
      <c r="H174" s="978"/>
      <c r="I174" s="978"/>
      <c r="J174" s="978"/>
      <c r="K174" s="978"/>
      <c r="L174" s="978"/>
      <c r="M174" s="978"/>
      <c r="N174" s="978"/>
      <c r="O174" s="1106" t="str">
        <f t="shared" si="72"/>
        <v/>
      </c>
      <c r="P174" s="1108">
        <f>15900+10100+6300+1700+10700+1500+10500</f>
        <v>56700</v>
      </c>
      <c r="Q174" s="979">
        <f>10600+5500</f>
        <v>16100</v>
      </c>
      <c r="R174" s="979">
        <v>6200</v>
      </c>
      <c r="S174" s="979"/>
      <c r="T174" s="979">
        <v>1900</v>
      </c>
      <c r="U174" s="979">
        <f>7300+4600+7300</f>
        <v>19200</v>
      </c>
      <c r="V174" s="979">
        <f>8500+4500</f>
        <v>13000</v>
      </c>
      <c r="W174" s="979">
        <v>2500</v>
      </c>
      <c r="X174" s="979">
        <v>9400</v>
      </c>
      <c r="Y174" s="979">
        <f>4900+12200+0</f>
        <v>17100</v>
      </c>
      <c r="Z174" s="979"/>
      <c r="AA174" s="979">
        <v>700</v>
      </c>
      <c r="AB174" s="979">
        <v>900</v>
      </c>
      <c r="AC174" s="979"/>
      <c r="AD174" s="979"/>
      <c r="AE174" s="1109">
        <f t="shared" si="73"/>
        <v>143700</v>
      </c>
      <c r="AF174" s="1113">
        <v>3400</v>
      </c>
      <c r="AG174" s="981">
        <v>9100</v>
      </c>
      <c r="AH174" s="981">
        <v>2200</v>
      </c>
      <c r="AI174" s="1114">
        <f t="shared" si="74"/>
        <v>14700</v>
      </c>
      <c r="AJ174" s="1110">
        <f t="shared" si="75"/>
        <v>158400</v>
      </c>
      <c r="AK174" s="982">
        <f>'09월 에너지'!S174</f>
        <v>142.69999999999999</v>
      </c>
      <c r="AL174" s="983">
        <f t="shared" si="76"/>
        <v>0.90088383838383834</v>
      </c>
    </row>
    <row r="175" spans="1:38" ht="16.5" customHeight="1">
      <c r="A175" s="999">
        <f>'09월 에너지'!A175</f>
        <v>46271</v>
      </c>
      <c r="B175" s="1002">
        <f>'09월 조업일지'!B173</f>
        <v>46271</v>
      </c>
      <c r="C175" s="1003" t="str">
        <f>'09월 에너지'!C175</f>
        <v>D</v>
      </c>
      <c r="D175" s="1004" t="str">
        <f>'09월 에너지'!D175</f>
        <v>B</v>
      </c>
      <c r="E175" s="1000">
        <f>'09월 에너지'!E175</f>
        <v>85375</v>
      </c>
      <c r="F175" s="1094" t="str">
        <f>'09월 에너지'!F175</f>
        <v>A572-50-01</v>
      </c>
      <c r="G175" s="980"/>
      <c r="H175" s="978"/>
      <c r="I175" s="978"/>
      <c r="J175" s="978"/>
      <c r="K175" s="978"/>
      <c r="L175" s="978"/>
      <c r="M175" s="978"/>
      <c r="N175" s="978"/>
      <c r="O175" s="1106" t="str">
        <f t="shared" si="72"/>
        <v/>
      </c>
      <c r="P175" s="1108">
        <f>11700+10900+7400+6900+5700+2900+9100</f>
        <v>54600</v>
      </c>
      <c r="Q175" s="979">
        <f>8800+3500</f>
        <v>12300</v>
      </c>
      <c r="R175" s="979">
        <v>6600</v>
      </c>
      <c r="S175" s="979"/>
      <c r="T175" s="979">
        <v>2700</v>
      </c>
      <c r="U175" s="979">
        <f>10200+4100+5400</f>
        <v>19700</v>
      </c>
      <c r="V175" s="979">
        <f>5400+3900</f>
        <v>9300</v>
      </c>
      <c r="W175" s="979">
        <v>2400</v>
      </c>
      <c r="X175" s="979">
        <v>8400</v>
      </c>
      <c r="Y175" s="979">
        <f>1900+11300+4300</f>
        <v>17500</v>
      </c>
      <c r="Z175" s="979"/>
      <c r="AA175" s="979">
        <v>1700</v>
      </c>
      <c r="AB175" s="979">
        <v>2400</v>
      </c>
      <c r="AC175" s="979"/>
      <c r="AD175" s="979"/>
      <c r="AE175" s="1109">
        <f t="shared" si="73"/>
        <v>137600</v>
      </c>
      <c r="AF175" s="1113">
        <v>3900</v>
      </c>
      <c r="AG175" s="981">
        <v>11500</v>
      </c>
      <c r="AH175" s="981">
        <v>5400</v>
      </c>
      <c r="AI175" s="1114">
        <f t="shared" si="74"/>
        <v>20800</v>
      </c>
      <c r="AJ175" s="1110">
        <f t="shared" si="75"/>
        <v>158400</v>
      </c>
      <c r="AK175" s="982">
        <f>'09월 에너지'!S175</f>
        <v>143.30000000000001</v>
      </c>
      <c r="AL175" s="983">
        <f t="shared" si="76"/>
        <v>0.90467171717171713</v>
      </c>
    </row>
    <row r="176" spans="1:38" ht="16.5" customHeight="1">
      <c r="A176" s="999">
        <f>'09월 에너지'!A176</f>
        <v>46271</v>
      </c>
      <c r="B176" s="1002">
        <f>'09월 조업일지'!B174</f>
        <v>46271</v>
      </c>
      <c r="C176" s="1003" t="str">
        <f>'09월 에너지'!C176</f>
        <v>D</v>
      </c>
      <c r="D176" s="1004" t="str">
        <f>'09월 에너지'!D176</f>
        <v>A</v>
      </c>
      <c r="E176" s="1000">
        <f>'09월 에너지'!E176</f>
        <v>85376</v>
      </c>
      <c r="F176" s="1094" t="str">
        <f>'09월 에너지'!F176</f>
        <v>A572-50-01</v>
      </c>
      <c r="G176" s="980"/>
      <c r="H176" s="978"/>
      <c r="I176" s="978"/>
      <c r="J176" s="978"/>
      <c r="K176" s="978"/>
      <c r="L176" s="978"/>
      <c r="M176" s="978"/>
      <c r="N176" s="978"/>
      <c r="O176" s="1106" t="str">
        <f t="shared" si="72"/>
        <v/>
      </c>
      <c r="P176" s="1108">
        <f>4600+6700+7700+4800+5700+9800+2800</f>
        <v>42100</v>
      </c>
      <c r="Q176" s="979">
        <f>8000+5700</f>
        <v>13700</v>
      </c>
      <c r="R176" s="979">
        <v>20000</v>
      </c>
      <c r="S176" s="979"/>
      <c r="T176" s="979">
        <v>6400</v>
      </c>
      <c r="U176" s="979">
        <f>1400+4500+1400</f>
        <v>7300</v>
      </c>
      <c r="V176" s="979">
        <f>5600+5500</f>
        <v>11100</v>
      </c>
      <c r="W176" s="979">
        <v>2500</v>
      </c>
      <c r="X176" s="979">
        <v>7900</v>
      </c>
      <c r="Y176" s="979">
        <f>4100+12600+3000</f>
        <v>19700</v>
      </c>
      <c r="Z176" s="979"/>
      <c r="AA176" s="979">
        <v>7100</v>
      </c>
      <c r="AB176" s="979">
        <v>1500</v>
      </c>
      <c r="AC176" s="979"/>
      <c r="AD176" s="979"/>
      <c r="AE176" s="1109">
        <f t="shared" si="73"/>
        <v>139300</v>
      </c>
      <c r="AF176" s="1113">
        <v>3200</v>
      </c>
      <c r="AG176" s="981">
        <v>6400</v>
      </c>
      <c r="AH176" s="981">
        <v>9600</v>
      </c>
      <c r="AI176" s="1114">
        <f t="shared" si="74"/>
        <v>19200</v>
      </c>
      <c r="AJ176" s="1110">
        <f t="shared" si="75"/>
        <v>158500</v>
      </c>
      <c r="AK176" s="982">
        <f>'09월 에너지'!S176</f>
        <v>145.30000000000001</v>
      </c>
      <c r="AL176" s="983">
        <f t="shared" si="76"/>
        <v>0.91671924290220819</v>
      </c>
    </row>
    <row r="177" spans="1:38" ht="16.5" customHeight="1">
      <c r="A177" s="999">
        <f>'09월 에너지'!A177</f>
        <v>46271</v>
      </c>
      <c r="B177" s="1002">
        <f>'09월 조업일지'!B175</f>
        <v>46271</v>
      </c>
      <c r="C177" s="1003" t="str">
        <f>'09월 에너지'!C177</f>
        <v>D</v>
      </c>
      <c r="D177" s="1004" t="str">
        <f>'09월 에너지'!D177</f>
        <v>B</v>
      </c>
      <c r="E177" s="1000">
        <f>'09월 에너지'!E177</f>
        <v>85377</v>
      </c>
      <c r="F177" s="1170" t="s">
        <v>664</v>
      </c>
      <c r="G177" s="980"/>
      <c r="H177" s="978"/>
      <c r="I177" s="978"/>
      <c r="J177" s="978"/>
      <c r="K177" s="978"/>
      <c r="L177" s="978"/>
      <c r="M177" s="978"/>
      <c r="N177" s="978"/>
      <c r="O177" s="1106" t="str">
        <f t="shared" si="72"/>
        <v/>
      </c>
      <c r="P177" s="1108">
        <f>10100+11100+7200+8400+5800+2400+9100</f>
        <v>54100</v>
      </c>
      <c r="Q177" s="979">
        <f>8100+4100</f>
        <v>12200</v>
      </c>
      <c r="R177" s="979">
        <v>7900</v>
      </c>
      <c r="S177" s="979"/>
      <c r="T177" s="979">
        <v>2000</v>
      </c>
      <c r="U177" s="979">
        <f>6100+4400+6700</f>
        <v>17200</v>
      </c>
      <c r="V177" s="979">
        <f>5600+3400</f>
        <v>9000</v>
      </c>
      <c r="W177" s="979">
        <v>2000</v>
      </c>
      <c r="X177" s="979">
        <v>9400</v>
      </c>
      <c r="Y177" s="979">
        <f>1200+13500+3100</f>
        <v>17800</v>
      </c>
      <c r="Z177" s="979"/>
      <c r="AA177" s="979">
        <v>2800</v>
      </c>
      <c r="AB177" s="979">
        <v>2900</v>
      </c>
      <c r="AC177" s="979"/>
      <c r="AD177" s="979"/>
      <c r="AE177" s="1109">
        <f t="shared" si="73"/>
        <v>137300</v>
      </c>
      <c r="AF177" s="1113">
        <v>4200</v>
      </c>
      <c r="AG177" s="981">
        <v>12100</v>
      </c>
      <c r="AH177" s="981">
        <v>4600</v>
      </c>
      <c r="AI177" s="1114">
        <f t="shared" si="74"/>
        <v>20900</v>
      </c>
      <c r="AJ177" s="1110">
        <f t="shared" si="75"/>
        <v>158200</v>
      </c>
      <c r="AK177" s="982">
        <f>'09월 에너지'!S177</f>
        <v>145.9</v>
      </c>
      <c r="AL177" s="983">
        <f t="shared" si="76"/>
        <v>0.9222503160556258</v>
      </c>
    </row>
    <row r="178" spans="1:38" ht="16.5" customHeight="1">
      <c r="A178" s="999">
        <f>'09월 에너지'!A178</f>
        <v>46271</v>
      </c>
      <c r="B178" s="1002">
        <f>'09월 조업일지'!B176</f>
        <v>46271</v>
      </c>
      <c r="C178" s="1003" t="str">
        <f>'09월 에너지'!C178</f>
        <v>D</v>
      </c>
      <c r="D178" s="1004" t="str">
        <f>'09월 에너지'!D178</f>
        <v>A</v>
      </c>
      <c r="E178" s="1000">
        <f>'09월 에너지'!E178</f>
        <v>85378</v>
      </c>
      <c r="F178" s="1094" t="str">
        <f>'09월 에너지'!F178</f>
        <v>SS400-02</v>
      </c>
      <c r="G178" s="980"/>
      <c r="H178" s="978"/>
      <c r="I178" s="978"/>
      <c r="J178" s="978"/>
      <c r="K178" s="978"/>
      <c r="L178" s="978"/>
      <c r="M178" s="978"/>
      <c r="N178" s="978"/>
      <c r="O178" s="1106" t="str">
        <f t="shared" si="72"/>
        <v/>
      </c>
      <c r="P178" s="1108">
        <f>8100+12800+6700+7800+4600+5500</f>
        <v>45500</v>
      </c>
      <c r="Q178" s="979">
        <f>10300+5700</f>
        <v>16000</v>
      </c>
      <c r="R178" s="979">
        <v>10400</v>
      </c>
      <c r="S178" s="979"/>
      <c r="T178" s="979"/>
      <c r="U178" s="979">
        <f>5500+4500</f>
        <v>10000</v>
      </c>
      <c r="V178" s="979">
        <f>4500+4500+9800</f>
        <v>18800</v>
      </c>
      <c r="W178" s="979">
        <v>2400</v>
      </c>
      <c r="X178" s="979">
        <v>8700</v>
      </c>
      <c r="Y178" s="979">
        <f>2700+19800+2300</f>
        <v>24800</v>
      </c>
      <c r="Z178" s="979"/>
      <c r="AA178" s="979">
        <v>1600</v>
      </c>
      <c r="AB178" s="979">
        <v>600</v>
      </c>
      <c r="AC178" s="979">
        <v>2800</v>
      </c>
      <c r="AD178" s="979">
        <v>1000</v>
      </c>
      <c r="AE178" s="1109">
        <f t="shared" si="73"/>
        <v>142600</v>
      </c>
      <c r="AF178" s="1113">
        <v>3000</v>
      </c>
      <c r="AG178" s="981">
        <v>8200</v>
      </c>
      <c r="AH178" s="981">
        <v>4300</v>
      </c>
      <c r="AI178" s="1114">
        <f t="shared" si="74"/>
        <v>15500</v>
      </c>
      <c r="AJ178" s="1110">
        <f t="shared" si="75"/>
        <v>158100</v>
      </c>
      <c r="AK178" s="982">
        <f>'09월 에너지'!S178</f>
        <v>145.1</v>
      </c>
      <c r="AL178" s="983">
        <f t="shared" si="76"/>
        <v>0.91777356103731811</v>
      </c>
    </row>
    <row r="179" spans="1:38" ht="16.5" customHeight="1">
      <c r="A179" s="999">
        <f>'09월 에너지'!A179</f>
        <v>46271</v>
      </c>
      <c r="B179" s="1002">
        <f>'09월 조업일지'!B177</f>
        <v>46271</v>
      </c>
      <c r="C179" s="1003" t="str">
        <f>'09월 에너지'!C179</f>
        <v>A</v>
      </c>
      <c r="D179" s="1004" t="str">
        <f>'09월 에너지'!D179</f>
        <v>B</v>
      </c>
      <c r="E179" s="1000">
        <f>'09월 에너지'!E179</f>
        <v>85379</v>
      </c>
      <c r="F179" s="1094" t="str">
        <f>'09월 에너지'!F179</f>
        <v>SS400-02</v>
      </c>
      <c r="G179" s="980"/>
      <c r="H179" s="978"/>
      <c r="I179" s="978"/>
      <c r="J179" s="978"/>
      <c r="K179" s="978"/>
      <c r="L179" s="978"/>
      <c r="M179" s="978"/>
      <c r="N179" s="978"/>
      <c r="O179" s="1106" t="str">
        <f t="shared" si="72"/>
        <v/>
      </c>
      <c r="P179" s="1108">
        <f>9800+11400+9900+7000+8300+5200</f>
        <v>51600</v>
      </c>
      <c r="Q179" s="979">
        <f>11900+3900</f>
        <v>15800</v>
      </c>
      <c r="R179" s="979">
        <v>6700</v>
      </c>
      <c r="S179" s="979">
        <v>0</v>
      </c>
      <c r="T179" s="979">
        <v>0</v>
      </c>
      <c r="U179" s="979">
        <f>5700+6000</f>
        <v>11700</v>
      </c>
      <c r="V179" s="979">
        <f>6300+2800+9100</f>
        <v>18200</v>
      </c>
      <c r="W179" s="979">
        <v>2100</v>
      </c>
      <c r="X179" s="979">
        <v>9000</v>
      </c>
      <c r="Y179" s="979">
        <f>2200+10600+4200</f>
        <v>17000</v>
      </c>
      <c r="Z179" s="979">
        <v>0</v>
      </c>
      <c r="AA179" s="979">
        <v>2000</v>
      </c>
      <c r="AB179" s="979">
        <v>2000</v>
      </c>
      <c r="AC179" s="979">
        <v>1600</v>
      </c>
      <c r="AD179" s="979">
        <v>1600</v>
      </c>
      <c r="AE179" s="1109">
        <f t="shared" si="73"/>
        <v>139300</v>
      </c>
      <c r="AF179" s="1113">
        <v>4700</v>
      </c>
      <c r="AG179" s="981">
        <v>10900</v>
      </c>
      <c r="AH179" s="981">
        <v>3900</v>
      </c>
      <c r="AI179" s="1114">
        <f t="shared" si="74"/>
        <v>19500</v>
      </c>
      <c r="AJ179" s="1110">
        <f t="shared" si="75"/>
        <v>158800</v>
      </c>
      <c r="AK179" s="982">
        <f>'09월 에너지'!S179</f>
        <v>145.19999999999999</v>
      </c>
      <c r="AL179" s="983">
        <f t="shared" si="76"/>
        <v>0.91435768261964734</v>
      </c>
    </row>
    <row r="180" spans="1:38" ht="16.5" customHeight="1">
      <c r="A180" s="999">
        <f>'09월 에너지'!A180</f>
        <v>46271</v>
      </c>
      <c r="B180" s="1002">
        <f>'09월 조업일지'!B178</f>
        <v>46271</v>
      </c>
      <c r="C180" s="1003" t="str">
        <f>'09월 에너지'!C180</f>
        <v>A</v>
      </c>
      <c r="D180" s="1004" t="str">
        <f>'09월 에너지'!D180</f>
        <v>A</v>
      </c>
      <c r="E180" s="1000">
        <f>'09월 에너지'!E180</f>
        <v>85380</v>
      </c>
      <c r="F180" s="1170" t="str">
        <f>'09월 에너지'!F180</f>
        <v>SHN275(BB)</v>
      </c>
      <c r="G180" s="980"/>
      <c r="H180" s="978"/>
      <c r="I180" s="978"/>
      <c r="J180" s="978"/>
      <c r="K180" s="978"/>
      <c r="L180" s="978"/>
      <c r="M180" s="978"/>
      <c r="N180" s="978"/>
      <c r="O180" s="1106" t="str">
        <f t="shared" si="72"/>
        <v/>
      </c>
      <c r="P180" s="1108">
        <f>7400+5300+14300+17500+7100+4700+10000</f>
        <v>66300</v>
      </c>
      <c r="Q180" s="979">
        <f>7200+6600</f>
        <v>13800</v>
      </c>
      <c r="R180" s="979">
        <v>6400</v>
      </c>
      <c r="S180" s="979">
        <v>0</v>
      </c>
      <c r="T180" s="979">
        <v>0</v>
      </c>
      <c r="U180" s="979">
        <f>2300+1500</f>
        <v>3800</v>
      </c>
      <c r="V180" s="979">
        <f>5900+3700+3800+9200</f>
        <v>22600</v>
      </c>
      <c r="W180" s="979">
        <v>2900</v>
      </c>
      <c r="X180" s="979">
        <v>8200</v>
      </c>
      <c r="Y180" s="979">
        <f>5600+900+2500</f>
        <v>9000</v>
      </c>
      <c r="Z180" s="979">
        <v>0</v>
      </c>
      <c r="AA180" s="979">
        <v>3200</v>
      </c>
      <c r="AB180" s="979">
        <v>1900</v>
      </c>
      <c r="AC180" s="979">
        <v>0</v>
      </c>
      <c r="AD180" s="979">
        <v>0</v>
      </c>
      <c r="AE180" s="1109">
        <f t="shared" si="73"/>
        <v>138100</v>
      </c>
      <c r="AF180" s="1113">
        <v>3800</v>
      </c>
      <c r="AG180" s="981">
        <v>10800</v>
      </c>
      <c r="AH180" s="981">
        <v>5700</v>
      </c>
      <c r="AI180" s="1114">
        <f t="shared" si="74"/>
        <v>20300</v>
      </c>
      <c r="AJ180" s="1110">
        <f t="shared" si="75"/>
        <v>158400</v>
      </c>
      <c r="AK180" s="982">
        <f>'09월 에너지'!S180</f>
        <v>135.5</v>
      </c>
      <c r="AL180" s="983">
        <f t="shared" si="76"/>
        <v>0.85542929292929293</v>
      </c>
    </row>
    <row r="181" spans="1:38" ht="16.5" customHeight="1">
      <c r="A181" s="999">
        <f>'09월 에너지'!A181</f>
        <v>46271</v>
      </c>
      <c r="B181" s="1002">
        <f>'09월 조업일지'!B179</f>
        <v>46271</v>
      </c>
      <c r="C181" s="1003" t="str">
        <f>'09월 에너지'!C181</f>
        <v>A</v>
      </c>
      <c r="D181" s="1004" t="str">
        <f>'09월 에너지'!D181</f>
        <v>B</v>
      </c>
      <c r="E181" s="1000">
        <f>'09월 에너지'!E181</f>
        <v>85381</v>
      </c>
      <c r="F181" s="1094" t="str">
        <f>'09월 에너지'!F181</f>
        <v>SHN275(BB)</v>
      </c>
      <c r="G181" s="980"/>
      <c r="H181" s="978"/>
      <c r="I181" s="978"/>
      <c r="J181" s="978"/>
      <c r="K181" s="978"/>
      <c r="L181" s="978"/>
      <c r="M181" s="978"/>
      <c r="N181" s="978"/>
      <c r="O181" s="1106" t="str">
        <f t="shared" si="72"/>
        <v/>
      </c>
      <c r="P181" s="1108">
        <f>14300+11900+7400+11200+5900+7200+1400</f>
        <v>59300</v>
      </c>
      <c r="Q181" s="979">
        <f>12200+11800</f>
        <v>24000</v>
      </c>
      <c r="R181" s="979">
        <v>6600</v>
      </c>
      <c r="S181" s="979">
        <v>0</v>
      </c>
      <c r="T181" s="979">
        <v>0</v>
      </c>
      <c r="U181" s="979">
        <f>2800+4800</f>
        <v>7600</v>
      </c>
      <c r="V181" s="979">
        <f>4700+1700+7400+9000</f>
        <v>22800</v>
      </c>
      <c r="W181" s="979">
        <v>3500</v>
      </c>
      <c r="X181" s="979">
        <v>9200</v>
      </c>
      <c r="Y181" s="979">
        <f>1500+100+1900</f>
        <v>3500</v>
      </c>
      <c r="Z181" s="979">
        <v>0</v>
      </c>
      <c r="AA181" s="979">
        <v>2400</v>
      </c>
      <c r="AB181" s="979">
        <v>1500</v>
      </c>
      <c r="AC181" s="979">
        <v>0</v>
      </c>
      <c r="AD181" s="979">
        <v>0</v>
      </c>
      <c r="AE181" s="1109">
        <f t="shared" ref="AE181" si="77">IF(SUM(P181:AD181)=0,"",SUM(P181:AD181))</f>
        <v>140400</v>
      </c>
      <c r="AF181" s="1113">
        <v>4500</v>
      </c>
      <c r="AG181" s="981">
        <v>10700</v>
      </c>
      <c r="AH181" s="981">
        <v>3300</v>
      </c>
      <c r="AI181" s="1114">
        <f t="shared" ref="AI181" si="78">IF(SUM(AF181:AH181)=0,"",SUM(AF181:AH181))</f>
        <v>18500</v>
      </c>
      <c r="AJ181" s="1110">
        <f t="shared" si="75"/>
        <v>158900</v>
      </c>
      <c r="AK181" s="982">
        <f>'09월 에너지'!S181</f>
        <v>142.19999999999999</v>
      </c>
      <c r="AL181" s="983">
        <f t="shared" si="76"/>
        <v>0.89490245437381999</v>
      </c>
    </row>
    <row r="182" spans="1:38" ht="16.5" customHeight="1">
      <c r="A182" s="999">
        <f>'09월 에너지'!A182</f>
        <v>46271</v>
      </c>
      <c r="B182" s="1002">
        <f>'09월 조업일지'!B180</f>
        <v>46271</v>
      </c>
      <c r="C182" s="1003" t="str">
        <f>'09월 에너지'!C182</f>
        <v>A</v>
      </c>
      <c r="D182" s="1233" t="str">
        <f>'09월 에너지'!D182</f>
        <v>B</v>
      </c>
      <c r="E182" s="1000">
        <f>'09월 에너지'!E182</f>
        <v>85382</v>
      </c>
      <c r="F182" s="1170" t="str">
        <f>'09월 에너지'!F182</f>
        <v>SS400-02</v>
      </c>
      <c r="G182" s="980"/>
      <c r="H182" s="978"/>
      <c r="I182" s="978"/>
      <c r="J182" s="978"/>
      <c r="K182" s="978"/>
      <c r="L182" s="978"/>
      <c r="M182" s="978"/>
      <c r="N182" s="978"/>
      <c r="O182" s="1106" t="str">
        <f t="shared" si="72"/>
        <v/>
      </c>
      <c r="P182" s="1108">
        <f>8100+12700+5500+10500+6200+7600+1200</f>
        <v>51800</v>
      </c>
      <c r="Q182" s="979">
        <f>8100+9600</f>
        <v>17700</v>
      </c>
      <c r="R182" s="979">
        <v>7700</v>
      </c>
      <c r="S182" s="979">
        <v>0</v>
      </c>
      <c r="T182" s="979">
        <v>0</v>
      </c>
      <c r="U182" s="979">
        <f>3900+6700</f>
        <v>10600</v>
      </c>
      <c r="V182" s="979">
        <f>7100+5000+5400+8900</f>
        <v>26400</v>
      </c>
      <c r="W182" s="979">
        <v>4000</v>
      </c>
      <c r="X182" s="979">
        <v>8400</v>
      </c>
      <c r="Y182" s="979">
        <f>3800+3400</f>
        <v>7200</v>
      </c>
      <c r="Z182" s="979">
        <v>0</v>
      </c>
      <c r="AA182" s="979">
        <v>1800</v>
      </c>
      <c r="AB182" s="979">
        <v>1900</v>
      </c>
      <c r="AC182" s="979">
        <v>0</v>
      </c>
      <c r="AD182" s="979">
        <v>0</v>
      </c>
      <c r="AE182" s="1109">
        <f t="shared" si="73"/>
        <v>137500</v>
      </c>
      <c r="AF182" s="1113">
        <v>3700</v>
      </c>
      <c r="AG182" s="981">
        <v>11300</v>
      </c>
      <c r="AH182" s="981">
        <v>6100</v>
      </c>
      <c r="AI182" s="1114">
        <f t="shared" si="74"/>
        <v>21100</v>
      </c>
      <c r="AJ182" s="1110">
        <f t="shared" si="75"/>
        <v>158600</v>
      </c>
      <c r="AK182" s="982">
        <f>'09월 에너지'!S182</f>
        <v>144.80000000000001</v>
      </c>
      <c r="AL182" s="983">
        <f t="shared" si="76"/>
        <v>0.91298865069356872</v>
      </c>
    </row>
    <row r="183" spans="1:38" ht="16.5" customHeight="1">
      <c r="A183" s="999">
        <f>'09월 에너지'!A183</f>
        <v>46271</v>
      </c>
      <c r="B183" s="1002">
        <f>'09월 조업일지'!B181</f>
        <v>46271</v>
      </c>
      <c r="C183" s="1003" t="str">
        <f>'09월 에너지'!C183</f>
        <v>A</v>
      </c>
      <c r="D183" s="1233" t="str">
        <f>'09월 에너지'!D183</f>
        <v>B</v>
      </c>
      <c r="E183" s="1000">
        <f>'09월 에너지'!E183</f>
        <v>85383</v>
      </c>
      <c r="F183" s="1094" t="str">
        <f>'09월 에너지'!F183</f>
        <v>SS400-02</v>
      </c>
      <c r="G183" s="980"/>
      <c r="H183" s="978"/>
      <c r="I183" s="978"/>
      <c r="J183" s="978"/>
      <c r="K183" s="978"/>
      <c r="L183" s="978"/>
      <c r="M183" s="978"/>
      <c r="N183" s="978"/>
      <c r="O183" s="1106" t="str">
        <f t="shared" si="72"/>
        <v/>
      </c>
      <c r="P183" s="1108">
        <f>8300+15200+15800+9500+5400+9300+2300+5100</f>
        <v>70900</v>
      </c>
      <c r="Q183" s="979">
        <f>10200+5200</f>
        <v>15400</v>
      </c>
      <c r="R183" s="979">
        <v>3100</v>
      </c>
      <c r="S183" s="979">
        <v>0</v>
      </c>
      <c r="T183" s="979">
        <v>0</v>
      </c>
      <c r="U183" s="979">
        <f>5400+1700+7100</f>
        <v>14200</v>
      </c>
      <c r="V183" s="979">
        <f>2200+2000</f>
        <v>4200</v>
      </c>
      <c r="W183" s="979">
        <f>2800+5300</f>
        <v>8100</v>
      </c>
      <c r="X183" s="979">
        <f>10600+8500</f>
        <v>19100</v>
      </c>
      <c r="Y183" s="979">
        <f>2200+400</f>
        <v>2600</v>
      </c>
      <c r="Z183" s="979">
        <v>0</v>
      </c>
      <c r="AA183" s="979">
        <v>3000</v>
      </c>
      <c r="AB183" s="979">
        <v>3800</v>
      </c>
      <c r="AC183" s="979">
        <v>0</v>
      </c>
      <c r="AD183" s="979">
        <v>0</v>
      </c>
      <c r="AE183" s="1109">
        <f t="shared" si="73"/>
        <v>144400</v>
      </c>
      <c r="AF183" s="1113">
        <v>0</v>
      </c>
      <c r="AG183" s="981">
        <v>8400</v>
      </c>
      <c r="AH183" s="981">
        <v>5600</v>
      </c>
      <c r="AI183" s="1114">
        <f t="shared" si="74"/>
        <v>14000</v>
      </c>
      <c r="AJ183" s="1110">
        <f t="shared" si="75"/>
        <v>158400</v>
      </c>
      <c r="AK183" s="982">
        <f>'09월 에너지'!S183</f>
        <v>144.4</v>
      </c>
      <c r="AL183" s="983">
        <f t="shared" si="76"/>
        <v>0.91161616161616166</v>
      </c>
    </row>
    <row r="184" spans="1:38" ht="16.5" customHeight="1">
      <c r="A184" s="999">
        <f>'09월 에너지'!A184</f>
        <v>46272</v>
      </c>
      <c r="B184" s="1002">
        <f>'09월 조업일지'!B182</f>
        <v>46271</v>
      </c>
      <c r="C184" s="1003" t="str">
        <f>'09월 에너지'!C184</f>
        <v>A</v>
      </c>
      <c r="D184" s="1233" t="str">
        <f>'09월 에너지'!D184</f>
        <v>B</v>
      </c>
      <c r="E184" s="1000">
        <f>'09월 에너지'!E184</f>
        <v>85384</v>
      </c>
      <c r="F184" s="1094" t="str">
        <f>'09월 에너지'!F184</f>
        <v>SS400-02</v>
      </c>
      <c r="G184" s="980"/>
      <c r="H184" s="978"/>
      <c r="I184" s="978"/>
      <c r="J184" s="978"/>
      <c r="K184" s="978"/>
      <c r="L184" s="978"/>
      <c r="M184" s="978"/>
      <c r="N184" s="978"/>
      <c r="O184" s="1106" t="str">
        <f t="shared" si="72"/>
        <v/>
      </c>
      <c r="P184" s="1108">
        <f>13500+8900+9400+5200+11100+4100</f>
        <v>52200</v>
      </c>
      <c r="Q184" s="979">
        <f>7900+8600</f>
        <v>16500</v>
      </c>
      <c r="R184" s="979">
        <v>11400</v>
      </c>
      <c r="S184" s="979">
        <v>0</v>
      </c>
      <c r="T184" s="979">
        <v>0</v>
      </c>
      <c r="U184" s="979">
        <f>5200+4600</f>
        <v>9800</v>
      </c>
      <c r="V184" s="979">
        <f>1800+1900+10700</f>
        <v>14400</v>
      </c>
      <c r="W184" s="979">
        <v>4900</v>
      </c>
      <c r="X184" s="979">
        <v>8800</v>
      </c>
      <c r="Y184" s="979">
        <f>6100+10200</f>
        <v>16300</v>
      </c>
      <c r="Z184" s="979">
        <v>0</v>
      </c>
      <c r="AA184" s="979">
        <v>2600</v>
      </c>
      <c r="AB184" s="979">
        <v>2200</v>
      </c>
      <c r="AC184" s="979">
        <v>1200</v>
      </c>
      <c r="AD184" s="979">
        <v>6400</v>
      </c>
      <c r="AE184" s="1109">
        <f t="shared" si="73"/>
        <v>146700</v>
      </c>
      <c r="AF184" s="1113">
        <v>3100</v>
      </c>
      <c r="AG184" s="981">
        <v>6300</v>
      </c>
      <c r="AH184" s="981">
        <v>2500</v>
      </c>
      <c r="AI184" s="1114">
        <f t="shared" si="74"/>
        <v>11900</v>
      </c>
      <c r="AJ184" s="1110">
        <f t="shared" si="75"/>
        <v>158600</v>
      </c>
      <c r="AK184" s="982">
        <f>'09월 에너지'!S184</f>
        <v>143.80000000000001</v>
      </c>
      <c r="AL184" s="983">
        <f t="shared" si="76"/>
        <v>0.90668348045397229</v>
      </c>
    </row>
    <row r="185" spans="1:38" ht="16.5" customHeight="1">
      <c r="A185" s="999">
        <f>'09월 에너지'!A185</f>
        <v>46272</v>
      </c>
      <c r="B185" s="1002">
        <f>'09월 조업일지'!B183</f>
        <v>46271</v>
      </c>
      <c r="C185" s="1003" t="str">
        <f>'09월 에너지'!C185</f>
        <v>A</v>
      </c>
      <c r="D185" s="1004" t="str">
        <f>'09월 에너지'!D185</f>
        <v>A</v>
      </c>
      <c r="E185" s="1000">
        <f>'09월 에너지'!E185</f>
        <v>85385</v>
      </c>
      <c r="F185" s="1094" t="str">
        <f>'09월 에너지'!F185</f>
        <v>SS400-02</v>
      </c>
      <c r="G185" s="980"/>
      <c r="H185" s="978"/>
      <c r="I185" s="978"/>
      <c r="J185" s="978"/>
      <c r="K185" s="978"/>
      <c r="L185" s="978"/>
      <c r="M185" s="978"/>
      <c r="N185" s="978"/>
      <c r="O185" s="1106" t="str">
        <f t="shared" si="72"/>
        <v/>
      </c>
      <c r="P185" s="1108">
        <f>7900+9600+8900+100+8200</f>
        <v>34700</v>
      </c>
      <c r="Q185" s="979">
        <f>16000+17200</f>
        <v>33200</v>
      </c>
      <c r="R185" s="979">
        <v>12600</v>
      </c>
      <c r="S185" s="979">
        <v>0</v>
      </c>
      <c r="T185" s="979">
        <v>0</v>
      </c>
      <c r="U185" s="979">
        <f>7600+10800</f>
        <v>18400</v>
      </c>
      <c r="V185" s="979">
        <f>3000+5300</f>
        <v>8300</v>
      </c>
      <c r="W185" s="979">
        <v>3600</v>
      </c>
      <c r="X185" s="979">
        <v>8800</v>
      </c>
      <c r="Y185" s="979">
        <f>500+11500+4600</f>
        <v>16600</v>
      </c>
      <c r="Z185" s="979">
        <v>0</v>
      </c>
      <c r="AA185" s="979">
        <v>4200</v>
      </c>
      <c r="AB185" s="979">
        <v>2200</v>
      </c>
      <c r="AC185" s="979">
        <v>0</v>
      </c>
      <c r="AD185" s="979">
        <v>2000</v>
      </c>
      <c r="AE185" s="1109">
        <f t="shared" si="73"/>
        <v>144600</v>
      </c>
      <c r="AF185" s="1113">
        <v>7000</v>
      </c>
      <c r="AG185" s="981">
        <v>6800</v>
      </c>
      <c r="AH185" s="981">
        <v>3700</v>
      </c>
      <c r="AI185" s="1114">
        <f t="shared" si="74"/>
        <v>17500</v>
      </c>
      <c r="AJ185" s="1110">
        <f t="shared" si="75"/>
        <v>162100</v>
      </c>
      <c r="AK185" s="982">
        <f>'09월 에너지'!S185</f>
        <v>145</v>
      </c>
      <c r="AL185" s="983">
        <f t="shared" si="76"/>
        <v>0.89450956199876619</v>
      </c>
    </row>
    <row r="186" spans="1:38" ht="16.5" customHeight="1">
      <c r="A186" s="999">
        <f>'09월 에너지'!A186</f>
        <v>46272</v>
      </c>
      <c r="B186" s="1002">
        <f>'09월 조업일지'!B184</f>
        <v>46271</v>
      </c>
      <c r="C186" s="1003" t="str">
        <f>'09월 에너지'!C186</f>
        <v>A</v>
      </c>
      <c r="D186" s="1004" t="str">
        <f>'09월 에너지'!D186</f>
        <v>B</v>
      </c>
      <c r="E186" s="1000">
        <f>'09월 에너지'!E186</f>
        <v>85386</v>
      </c>
      <c r="F186" s="1170" t="str">
        <f>'09월 에너지'!F186</f>
        <v>SHN275(BB)</v>
      </c>
      <c r="G186" s="980"/>
      <c r="H186" s="978"/>
      <c r="I186" s="978"/>
      <c r="J186" s="978"/>
      <c r="K186" s="978"/>
      <c r="L186" s="978"/>
      <c r="M186" s="978"/>
      <c r="N186" s="978"/>
      <c r="O186" s="1106" t="str">
        <f t="shared" si="72"/>
        <v/>
      </c>
      <c r="P186" s="1108">
        <f>7900+9600+8400+5500+5700+4400</f>
        <v>41500</v>
      </c>
      <c r="Q186" s="979">
        <f>16000+10100</f>
        <v>26100</v>
      </c>
      <c r="R186" s="979">
        <v>12600</v>
      </c>
      <c r="S186" s="979">
        <v>0</v>
      </c>
      <c r="T186" s="979">
        <v>0</v>
      </c>
      <c r="U186" s="979">
        <f>7600</f>
        <v>7600</v>
      </c>
      <c r="V186" s="979">
        <f>3000+2300+2000+7300</f>
        <v>14600</v>
      </c>
      <c r="W186" s="979">
        <v>3600</v>
      </c>
      <c r="X186" s="979">
        <v>8800</v>
      </c>
      <c r="Y186" s="979">
        <f>500+11500+4900</f>
        <v>16900</v>
      </c>
      <c r="Z186" s="979">
        <v>0</v>
      </c>
      <c r="AA186" s="979">
        <v>4200</v>
      </c>
      <c r="AB186" s="979">
        <v>2200</v>
      </c>
      <c r="AC186" s="979">
        <v>5100</v>
      </c>
      <c r="AD186" s="979">
        <v>2000</v>
      </c>
      <c r="AE186" s="1109">
        <f t="shared" si="73"/>
        <v>145200</v>
      </c>
      <c r="AF186" s="1113">
        <v>3700</v>
      </c>
      <c r="AG186" s="981">
        <v>6800</v>
      </c>
      <c r="AH186" s="981">
        <v>3700</v>
      </c>
      <c r="AI186" s="1114">
        <f t="shared" si="74"/>
        <v>14200</v>
      </c>
      <c r="AJ186" s="1110">
        <f t="shared" si="75"/>
        <v>159400</v>
      </c>
      <c r="AK186" s="982">
        <f>'09월 에너지'!S186</f>
        <v>143.9</v>
      </c>
      <c r="AL186" s="983">
        <f t="shared" si="76"/>
        <v>0.90276035131744037</v>
      </c>
    </row>
    <row r="187" spans="1:38" ht="16.5" customHeight="1">
      <c r="A187" s="999">
        <f>'09월 에너지'!A187</f>
        <v>46272</v>
      </c>
      <c r="B187" s="1002">
        <f>'09월 조업일지'!B185</f>
        <v>46271</v>
      </c>
      <c r="C187" s="1003" t="str">
        <f>'09월 에너지'!C187</f>
        <v>A</v>
      </c>
      <c r="D187" s="1004" t="str">
        <f>'09월 에너지'!D187</f>
        <v>A</v>
      </c>
      <c r="E187" s="1000">
        <f>'09월 에너지'!E187</f>
        <v>85387</v>
      </c>
      <c r="F187" s="1094" t="str">
        <f>'09월 에너지'!F187</f>
        <v>SHN275(BB)</v>
      </c>
      <c r="G187" s="980"/>
      <c r="H187" s="978"/>
      <c r="I187" s="978"/>
      <c r="J187" s="978"/>
      <c r="K187" s="978"/>
      <c r="L187" s="978"/>
      <c r="M187" s="978"/>
      <c r="N187" s="978"/>
      <c r="O187" s="1106" t="str">
        <f t="shared" si="72"/>
        <v/>
      </c>
      <c r="P187" s="1108">
        <f>11100+14700+5300+18300+5300+5000</f>
        <v>59700</v>
      </c>
      <c r="Q187" s="979">
        <f>4000+1300</f>
        <v>5300</v>
      </c>
      <c r="R187" s="979">
        <v>7800</v>
      </c>
      <c r="S187" s="979">
        <v>0</v>
      </c>
      <c r="T187" s="979">
        <v>0</v>
      </c>
      <c r="U187" s="979">
        <f>4300+4500</f>
        <v>8800</v>
      </c>
      <c r="V187" s="979">
        <f>7100+5500+9500+7900</f>
        <v>30000</v>
      </c>
      <c r="W187" s="979">
        <v>3500</v>
      </c>
      <c r="X187" s="979">
        <v>7100</v>
      </c>
      <c r="Y187" s="979">
        <f>3500+4400+3400</f>
        <v>11300</v>
      </c>
      <c r="Z187" s="979">
        <v>0</v>
      </c>
      <c r="AA187" s="979">
        <v>1500</v>
      </c>
      <c r="AB187" s="979">
        <v>1500</v>
      </c>
      <c r="AC187" s="979">
        <v>0</v>
      </c>
      <c r="AD187" s="979">
        <v>0</v>
      </c>
      <c r="AE187" s="1109">
        <f t="shared" si="73"/>
        <v>136500</v>
      </c>
      <c r="AF187" s="1113">
        <v>3600</v>
      </c>
      <c r="AG187" s="981">
        <v>11600</v>
      </c>
      <c r="AH187" s="981">
        <v>7000</v>
      </c>
      <c r="AI187" s="1114">
        <f t="shared" si="74"/>
        <v>22200</v>
      </c>
      <c r="AJ187" s="1110">
        <f t="shared" si="75"/>
        <v>158700</v>
      </c>
      <c r="AK187" s="982">
        <f>'09월 에너지'!S187</f>
        <v>143.69999999999999</v>
      </c>
      <c r="AL187" s="983">
        <f t="shared" si="76"/>
        <v>0.90548204158790169</v>
      </c>
    </row>
    <row r="188" spans="1:38" ht="16.5" customHeight="1">
      <c r="A188" s="999">
        <f>'09월 에너지'!A188</f>
        <v>46272</v>
      </c>
      <c r="B188" s="1002">
        <f>'09월 조업일지'!B186</f>
        <v>46272</v>
      </c>
      <c r="C188" s="1003" t="str">
        <f>'09월 에너지'!C188</f>
        <v>B</v>
      </c>
      <c r="D188" s="1004" t="str">
        <f>'09월 에너지'!D188</f>
        <v>B</v>
      </c>
      <c r="E188" s="1000">
        <f>'09월 에너지'!E188</f>
        <v>85388</v>
      </c>
      <c r="F188" s="1094" t="str">
        <f>'09월 에너지'!F188</f>
        <v>SHN275(BB)</v>
      </c>
      <c r="G188" s="980"/>
      <c r="H188" s="978"/>
      <c r="I188" s="978"/>
      <c r="J188" s="978"/>
      <c r="K188" s="978"/>
      <c r="L188" s="978"/>
      <c r="M188" s="978"/>
      <c r="N188" s="978"/>
      <c r="O188" s="1106" t="str">
        <f t="shared" si="72"/>
        <v/>
      </c>
      <c r="P188" s="1108">
        <f>8700+15300+10500+12800+5600+6200+6500</f>
        <v>65600</v>
      </c>
      <c r="Q188" s="979">
        <f>9000+6900</f>
        <v>15900</v>
      </c>
      <c r="R188" s="979">
        <v>6800</v>
      </c>
      <c r="S188" s="979"/>
      <c r="T188" s="979"/>
      <c r="U188" s="979">
        <f>5400+3100</f>
        <v>8500</v>
      </c>
      <c r="V188" s="979">
        <f>1000+6600+5900+9200</f>
        <v>22700</v>
      </c>
      <c r="W188" s="979">
        <v>2800</v>
      </c>
      <c r="X188" s="979">
        <v>10600</v>
      </c>
      <c r="Y188" s="979">
        <f>100+1900+2200</f>
        <v>4200</v>
      </c>
      <c r="Z188" s="979"/>
      <c r="AA188" s="979">
        <v>3000</v>
      </c>
      <c r="AB188" s="979">
        <v>2000</v>
      </c>
      <c r="AC188" s="979"/>
      <c r="AD188" s="979"/>
      <c r="AE188" s="1109">
        <f t="shared" si="73"/>
        <v>142100</v>
      </c>
      <c r="AF188" s="1113">
        <v>4400</v>
      </c>
      <c r="AG188" s="981">
        <v>7700</v>
      </c>
      <c r="AH188" s="981">
        <v>3600</v>
      </c>
      <c r="AI188" s="1114">
        <f t="shared" si="74"/>
        <v>15700</v>
      </c>
      <c r="AJ188" s="1110">
        <f t="shared" si="75"/>
        <v>157800</v>
      </c>
      <c r="AK188" s="982">
        <f>'09월 에너지'!S188</f>
        <v>141.9</v>
      </c>
      <c r="AL188" s="983">
        <f t="shared" si="76"/>
        <v>0.89923954372623571</v>
      </c>
    </row>
    <row r="189" spans="1:38" ht="16.5" customHeight="1">
      <c r="A189" s="999">
        <f>'09월 에너지'!A189</f>
        <v>46272</v>
      </c>
      <c r="B189" s="1002">
        <f>'09월 조업일지'!B187</f>
        <v>46272</v>
      </c>
      <c r="C189" s="1003" t="str">
        <f>'09월 에너지'!C189</f>
        <v>B</v>
      </c>
      <c r="D189" s="1004" t="str">
        <f>'09월 에너지'!D189</f>
        <v>A</v>
      </c>
      <c r="E189" s="1000">
        <f>'09월 에너지'!E189</f>
        <v>85389</v>
      </c>
      <c r="F189" s="1094" t="str">
        <f>'09월 에너지'!F189</f>
        <v>SHN275(BB)</v>
      </c>
      <c r="G189" s="980"/>
      <c r="H189" s="978"/>
      <c r="I189" s="978"/>
      <c r="J189" s="978"/>
      <c r="K189" s="978"/>
      <c r="L189" s="978"/>
      <c r="M189" s="978"/>
      <c r="N189" s="978"/>
      <c r="O189" s="1106" t="str">
        <f t="shared" si="72"/>
        <v/>
      </c>
      <c r="P189" s="1108">
        <f>5900+12700+6300+11400+7100+6000+11100</f>
        <v>60500</v>
      </c>
      <c r="Q189" s="979">
        <f>12400+1100</f>
        <v>13500</v>
      </c>
      <c r="R189" s="979">
        <v>7400</v>
      </c>
      <c r="S189" s="979"/>
      <c r="T189" s="979"/>
      <c r="U189" s="979">
        <f>2600+2700</f>
        <v>5300</v>
      </c>
      <c r="V189" s="979">
        <f>7800+5700+3900+13300</f>
        <v>30700</v>
      </c>
      <c r="W189" s="979">
        <v>3500</v>
      </c>
      <c r="X189" s="979">
        <v>7900</v>
      </c>
      <c r="Y189" s="979">
        <f>6100+2600+2100</f>
        <v>10800</v>
      </c>
      <c r="Z189" s="979"/>
      <c r="AA189" s="979">
        <v>1900</v>
      </c>
      <c r="AB189" s="979">
        <v>3300</v>
      </c>
      <c r="AC189" s="979"/>
      <c r="AD189" s="979"/>
      <c r="AE189" s="1109">
        <f t="shared" si="73"/>
        <v>144800</v>
      </c>
      <c r="AF189" s="1113"/>
      <c r="AG189" s="981">
        <v>10600</v>
      </c>
      <c r="AH189" s="981">
        <v>3100</v>
      </c>
      <c r="AI189" s="1114">
        <f t="shared" si="74"/>
        <v>13700</v>
      </c>
      <c r="AJ189" s="1110">
        <f t="shared" si="75"/>
        <v>158500</v>
      </c>
      <c r="AK189" s="982">
        <f>'09월 에너지'!S189</f>
        <v>144.69999999999999</v>
      </c>
      <c r="AL189" s="983">
        <f t="shared" si="76"/>
        <v>0.91293375394321763</v>
      </c>
    </row>
    <row r="190" spans="1:38" ht="16.5" customHeight="1">
      <c r="A190" s="999">
        <f>'09월 에너지'!A190</f>
        <v>46272</v>
      </c>
      <c r="B190" s="1002">
        <f>'09월 조업일지'!B188</f>
        <v>46272</v>
      </c>
      <c r="C190" s="1003" t="str">
        <f>'09월 에너지'!C190</f>
        <v>B</v>
      </c>
      <c r="D190" s="1004" t="str">
        <f>'09월 에너지'!D190</f>
        <v>B</v>
      </c>
      <c r="E190" s="1000">
        <f>'09월 에너지'!E190</f>
        <v>85390</v>
      </c>
      <c r="F190" s="1170" t="str">
        <f>'09월 에너지'!F190</f>
        <v>S355JO-03</v>
      </c>
      <c r="G190" s="980"/>
      <c r="H190" s="978"/>
      <c r="I190" s="978"/>
      <c r="J190" s="978"/>
      <c r="K190" s="978"/>
      <c r="L190" s="978"/>
      <c r="M190" s="978"/>
      <c r="N190" s="978"/>
      <c r="O190" s="1106" t="str">
        <f t="shared" si="72"/>
        <v/>
      </c>
      <c r="P190" s="1108">
        <v>60500</v>
      </c>
      <c r="Q190" s="979">
        <f>10300+5600</f>
        <v>15900</v>
      </c>
      <c r="R190" s="979">
        <f>10300-5000</f>
        <v>5300</v>
      </c>
      <c r="S190" s="979"/>
      <c r="T190" s="979"/>
      <c r="U190" s="979">
        <v>3200</v>
      </c>
      <c r="V190" s="979">
        <v>29100</v>
      </c>
      <c r="W190" s="979">
        <v>2300</v>
      </c>
      <c r="X190" s="979">
        <v>8600</v>
      </c>
      <c r="Y190" s="979">
        <v>9200</v>
      </c>
      <c r="Z190" s="979"/>
      <c r="AA190" s="979">
        <v>1600</v>
      </c>
      <c r="AB190" s="979">
        <v>2300</v>
      </c>
      <c r="AC190" s="979"/>
      <c r="AD190" s="979"/>
      <c r="AE190" s="1109">
        <f t="shared" si="73"/>
        <v>138000</v>
      </c>
      <c r="AF190" s="1113">
        <v>5700</v>
      </c>
      <c r="AG190" s="981">
        <v>11900</v>
      </c>
      <c r="AH190" s="981">
        <v>3100</v>
      </c>
      <c r="AI190" s="1114">
        <f t="shared" si="74"/>
        <v>20700</v>
      </c>
      <c r="AJ190" s="1110">
        <f t="shared" si="75"/>
        <v>158700</v>
      </c>
      <c r="AK190" s="982">
        <f>'09월 에너지'!S190</f>
        <v>141.30000000000001</v>
      </c>
      <c r="AL190" s="983">
        <f t="shared" si="76"/>
        <v>0.89035916824196593</v>
      </c>
    </row>
    <row r="191" spans="1:38" ht="16.5" customHeight="1">
      <c r="A191" s="999">
        <f>'09월 에너지'!A191</f>
        <v>46272</v>
      </c>
      <c r="B191" s="1002">
        <f>'09월 조업일지'!B189</f>
        <v>46272</v>
      </c>
      <c r="C191" s="1003" t="str">
        <f>'09월 에너지'!C191</f>
        <v>B</v>
      </c>
      <c r="D191" s="1004" t="str">
        <f>'09월 에너지'!D191</f>
        <v>A</v>
      </c>
      <c r="E191" s="1000">
        <f>'09월 에너지'!E191</f>
        <v>85391</v>
      </c>
      <c r="F191" s="1094" t="str">
        <f>'09월 에너지'!F191</f>
        <v>S355JO-03</v>
      </c>
      <c r="G191" s="980"/>
      <c r="H191" s="978"/>
      <c r="I191" s="978"/>
      <c r="J191" s="978"/>
      <c r="K191" s="978"/>
      <c r="L191" s="978"/>
      <c r="M191" s="978"/>
      <c r="N191" s="978"/>
      <c r="O191" s="1106" t="str">
        <f t="shared" si="72"/>
        <v/>
      </c>
      <c r="P191" s="1108">
        <v>58800</v>
      </c>
      <c r="Q191" s="979">
        <f>13900+5000</f>
        <v>18900</v>
      </c>
      <c r="R191" s="979">
        <v>2500</v>
      </c>
      <c r="S191" s="979"/>
      <c r="T191" s="979"/>
      <c r="U191" s="979">
        <v>2200</v>
      </c>
      <c r="V191" s="979">
        <f>7400+2200+6500+8600+4400</f>
        <v>29100</v>
      </c>
      <c r="W191" s="979">
        <v>3600</v>
      </c>
      <c r="X191" s="979">
        <v>7700</v>
      </c>
      <c r="Y191" s="979">
        <f>7300+3100</f>
        <v>10400</v>
      </c>
      <c r="Z191" s="979"/>
      <c r="AA191" s="979">
        <v>4000</v>
      </c>
      <c r="AB191" s="979">
        <v>2600</v>
      </c>
      <c r="AC191" s="979"/>
      <c r="AD191" s="979"/>
      <c r="AE191" s="1109">
        <f t="shared" si="73"/>
        <v>139800</v>
      </c>
      <c r="AF191" s="1113">
        <v>5900</v>
      </c>
      <c r="AG191" s="981">
        <v>10400</v>
      </c>
      <c r="AH191" s="981">
        <v>3200</v>
      </c>
      <c r="AI191" s="1114">
        <f t="shared" si="74"/>
        <v>19500</v>
      </c>
      <c r="AJ191" s="1110">
        <f t="shared" si="75"/>
        <v>159300</v>
      </c>
      <c r="AK191" s="982">
        <f>'09월 에너지'!S191</f>
        <v>145.1</v>
      </c>
      <c r="AL191" s="983">
        <f t="shared" si="76"/>
        <v>0.91086001255492777</v>
      </c>
    </row>
    <row r="192" spans="1:38" ht="16.5" customHeight="1">
      <c r="A192" s="999">
        <f>'09월 에너지'!A192</f>
        <v>46272</v>
      </c>
      <c r="B192" s="1002">
        <f>'09월 조업일지'!B190</f>
        <v>46272</v>
      </c>
      <c r="C192" s="1003" t="str">
        <f>'09월 에너지'!C192</f>
        <v>B</v>
      </c>
      <c r="D192" s="1004" t="str">
        <f>'09월 에너지'!D192</f>
        <v>B</v>
      </c>
      <c r="E192" s="1000">
        <f>'09월 에너지'!E192</f>
        <v>85392</v>
      </c>
      <c r="F192" s="1094" t="str">
        <f>'09월 에너지'!F192</f>
        <v>S355JO-03</v>
      </c>
      <c r="G192" s="980"/>
      <c r="H192" s="978"/>
      <c r="I192" s="978"/>
      <c r="J192" s="978"/>
      <c r="K192" s="978"/>
      <c r="L192" s="978"/>
      <c r="M192" s="978"/>
      <c r="N192" s="978"/>
      <c r="O192" s="1106" t="str">
        <f t="shared" si="72"/>
        <v/>
      </c>
      <c r="P192" s="1108">
        <f>7500+11000+13100+7300+5200+7100</f>
        <v>51200</v>
      </c>
      <c r="Q192" s="979">
        <v>19800</v>
      </c>
      <c r="R192" s="979">
        <v>9900</v>
      </c>
      <c r="S192" s="979"/>
      <c r="T192" s="979"/>
      <c r="U192" s="979">
        <v>5700</v>
      </c>
      <c r="V192" s="979">
        <f>4200+2700+5300+9000+4500</f>
        <v>25700</v>
      </c>
      <c r="W192" s="979">
        <v>2500</v>
      </c>
      <c r="X192" s="979">
        <v>8600</v>
      </c>
      <c r="Y192" s="979">
        <f>4000+2100</f>
        <v>6100</v>
      </c>
      <c r="Z192" s="979"/>
      <c r="AA192" s="979">
        <v>1400</v>
      </c>
      <c r="AB192" s="979">
        <v>2100</v>
      </c>
      <c r="AC192" s="979"/>
      <c r="AD192" s="979"/>
      <c r="AE192" s="1109">
        <f t="shared" si="73"/>
        <v>133000</v>
      </c>
      <c r="AF192" s="1113">
        <v>5800</v>
      </c>
      <c r="AG192" s="981">
        <v>10000</v>
      </c>
      <c r="AH192" s="981">
        <v>9700</v>
      </c>
      <c r="AI192" s="1114">
        <f t="shared" si="74"/>
        <v>25500</v>
      </c>
      <c r="AJ192" s="1110">
        <f t="shared" si="75"/>
        <v>158500</v>
      </c>
      <c r="AK192" s="982">
        <f>'09월 에너지'!S192</f>
        <v>143.19999999999999</v>
      </c>
      <c r="AL192" s="983">
        <f t="shared" si="76"/>
        <v>0.90347003154574135</v>
      </c>
    </row>
    <row r="193" spans="1:38" ht="16.5" customHeight="1">
      <c r="A193" s="999">
        <f>'09월 에너지'!A193</f>
        <v>46272</v>
      </c>
      <c r="B193" s="1002">
        <f>'09월 조업일지'!B191</f>
        <v>46272</v>
      </c>
      <c r="C193" s="1003" t="str">
        <f>'09월 에너지'!C193</f>
        <v>B</v>
      </c>
      <c r="D193" s="1004" t="str">
        <f>'09월 에너지'!D193</f>
        <v>A</v>
      </c>
      <c r="E193" s="1000">
        <f>'09월 에너지'!E193</f>
        <v>85393</v>
      </c>
      <c r="F193" s="1094" t="str">
        <f>'09월 에너지'!F193</f>
        <v>S355JO-03</v>
      </c>
      <c r="G193" s="980"/>
      <c r="H193" s="978"/>
      <c r="I193" s="978"/>
      <c r="J193" s="978"/>
      <c r="K193" s="978"/>
      <c r="L193" s="978"/>
      <c r="M193" s="978"/>
      <c r="N193" s="978"/>
      <c r="O193" s="1106" t="str">
        <f t="shared" si="72"/>
        <v/>
      </c>
      <c r="P193" s="1108">
        <f>9200+6300+15600+10600+8100+11500+6000</f>
        <v>67300</v>
      </c>
      <c r="Q193" s="979">
        <f>15400+5300</f>
        <v>20700</v>
      </c>
      <c r="R193" s="979">
        <v>13500</v>
      </c>
      <c r="S193" s="979"/>
      <c r="T193" s="979"/>
      <c r="U193" s="979">
        <f>5300+2400</f>
        <v>7700</v>
      </c>
      <c r="V193" s="979">
        <f>4100+9600+3100</f>
        <v>16800</v>
      </c>
      <c r="W193" s="979">
        <v>3100</v>
      </c>
      <c r="X193" s="979">
        <v>7200</v>
      </c>
      <c r="Y193" s="979">
        <f>2000+800</f>
        <v>2800</v>
      </c>
      <c r="Z193" s="979"/>
      <c r="AA193" s="979">
        <v>1600</v>
      </c>
      <c r="AB193" s="979">
        <v>3500</v>
      </c>
      <c r="AC193" s="979"/>
      <c r="AD193" s="979"/>
      <c r="AE193" s="1109">
        <f t="shared" si="73"/>
        <v>144200</v>
      </c>
      <c r="AF193" s="1113">
        <v>6400</v>
      </c>
      <c r="AG193" s="981">
        <v>3800</v>
      </c>
      <c r="AH193" s="981">
        <v>4900</v>
      </c>
      <c r="AI193" s="1114">
        <f t="shared" si="74"/>
        <v>15100</v>
      </c>
      <c r="AJ193" s="1110">
        <f t="shared" si="75"/>
        <v>159300</v>
      </c>
      <c r="AK193" s="982">
        <f>'09월 에너지'!S193</f>
        <v>143.19999999999999</v>
      </c>
      <c r="AL193" s="983">
        <f t="shared" si="76"/>
        <v>0.89893283113622102</v>
      </c>
    </row>
    <row r="194" spans="1:38" ht="16.5" customHeight="1">
      <c r="A194" s="999">
        <f>'09월 에너지'!A194</f>
        <v>46272</v>
      </c>
      <c r="B194" s="1002">
        <f>'09월 조업일지'!B192</f>
        <v>46272</v>
      </c>
      <c r="C194" s="1003" t="str">
        <f>'09월 에너지'!C194</f>
        <v>B</v>
      </c>
      <c r="D194" s="1004" t="str">
        <f>'09월 에너지'!D194</f>
        <v>B</v>
      </c>
      <c r="E194" s="1000">
        <f>'09월 에너지'!E194</f>
        <v>85394</v>
      </c>
      <c r="F194" s="1094" t="str">
        <f>'09월 에너지'!F194</f>
        <v>S355JO-03</v>
      </c>
      <c r="G194" s="980"/>
      <c r="H194" s="978"/>
      <c r="I194" s="978"/>
      <c r="J194" s="978"/>
      <c r="K194" s="978"/>
      <c r="L194" s="978"/>
      <c r="M194" s="978"/>
      <c r="N194" s="978"/>
      <c r="O194" s="1106" t="str">
        <f t="shared" si="72"/>
        <v/>
      </c>
      <c r="P194" s="1108">
        <f>5200+11600+10700+11000+10100+6300+18300</f>
        <v>73200</v>
      </c>
      <c r="Q194" s="979">
        <f>11600+9600</f>
        <v>21200</v>
      </c>
      <c r="R194" s="979">
        <v>11400</v>
      </c>
      <c r="S194" s="979"/>
      <c r="T194" s="979"/>
      <c r="U194" s="979">
        <f>5700+3300</f>
        <v>9000</v>
      </c>
      <c r="V194" s="979">
        <f>6000+2900+2400+6800</f>
        <v>18100</v>
      </c>
      <c r="W194" s="979"/>
      <c r="X194" s="979"/>
      <c r="Y194" s="979">
        <f>3600+3300</f>
        <v>6900</v>
      </c>
      <c r="Z194" s="979"/>
      <c r="AA194" s="979">
        <v>2800</v>
      </c>
      <c r="AB194" s="979">
        <v>2200</v>
      </c>
      <c r="AC194" s="979"/>
      <c r="AD194" s="979"/>
      <c r="AE194" s="1109">
        <f t="shared" si="73"/>
        <v>144800</v>
      </c>
      <c r="AF194" s="1113">
        <v>2600</v>
      </c>
      <c r="AG194" s="981">
        <v>7500</v>
      </c>
      <c r="AH194" s="981">
        <v>3700</v>
      </c>
      <c r="AI194" s="1114">
        <f t="shared" si="74"/>
        <v>13800</v>
      </c>
      <c r="AJ194" s="1110">
        <f t="shared" si="75"/>
        <v>158600</v>
      </c>
      <c r="AK194" s="982">
        <f>'09월 에너지'!S194</f>
        <v>142</v>
      </c>
      <c r="AL194" s="983">
        <f t="shared" si="76"/>
        <v>0.89533417402269866</v>
      </c>
    </row>
    <row r="195" spans="1:38" ht="16.5" customHeight="1">
      <c r="A195" s="999">
        <f>'09월 에너지'!A195</f>
        <v>46272</v>
      </c>
      <c r="B195" s="1002">
        <f>'09월 조업일지'!B193</f>
        <v>46272</v>
      </c>
      <c r="C195" s="1003" t="str">
        <f>'09월 에너지'!C195</f>
        <v>B</v>
      </c>
      <c r="D195" s="1004" t="str">
        <f>'09월 에너지'!D195</f>
        <v>A</v>
      </c>
      <c r="E195" s="1000">
        <f>'09월 에너지'!E195</f>
        <v>85395</v>
      </c>
      <c r="F195" s="1094" t="str">
        <f>'09월 에너지'!F195</f>
        <v>S355JO-03</v>
      </c>
      <c r="G195" s="980"/>
      <c r="H195" s="978"/>
      <c r="I195" s="978"/>
      <c r="J195" s="978"/>
      <c r="K195" s="978"/>
      <c r="L195" s="978"/>
      <c r="M195" s="978"/>
      <c r="N195" s="978"/>
      <c r="O195" s="1106" t="str">
        <f t="shared" si="72"/>
        <v/>
      </c>
      <c r="P195" s="1108">
        <f>9000+17000+9000+4600+6400+6100+6100</f>
        <v>58200</v>
      </c>
      <c r="Q195" s="979">
        <v>16700</v>
      </c>
      <c r="R195" s="979">
        <v>7600</v>
      </c>
      <c r="S195" s="979"/>
      <c r="T195" s="979"/>
      <c r="U195" s="979">
        <f>2900+4200</f>
        <v>7100</v>
      </c>
      <c r="V195" s="979">
        <f>8400+1700+8600+8900-2600</f>
        <v>25000</v>
      </c>
      <c r="W195" s="979">
        <v>4200</v>
      </c>
      <c r="X195" s="979">
        <v>8700</v>
      </c>
      <c r="Y195" s="979">
        <f>700+4900+2100</f>
        <v>7700</v>
      </c>
      <c r="Z195" s="979"/>
      <c r="AA195" s="979">
        <v>4300</v>
      </c>
      <c r="AB195" s="979">
        <v>2200</v>
      </c>
      <c r="AC195" s="979"/>
      <c r="AD195" s="979"/>
      <c r="AE195" s="1109">
        <f t="shared" ref="AE195:AE196" si="79">IF(SUM(P195:AD195)=0,"",SUM(P195:AD195))</f>
        <v>141700</v>
      </c>
      <c r="AF195" s="1113">
        <v>6700</v>
      </c>
      <c r="AG195" s="981">
        <v>6400</v>
      </c>
      <c r="AH195" s="981">
        <v>4400</v>
      </c>
      <c r="AI195" s="1114">
        <f t="shared" ref="AI195:AI196" si="80">IF(SUM(AF195:AH195)=0,"",SUM(AF195:AH195))</f>
        <v>17500</v>
      </c>
      <c r="AJ195" s="1110">
        <f t="shared" si="75"/>
        <v>159200</v>
      </c>
      <c r="AK195" s="982">
        <f>'09월 에너지'!S195</f>
        <v>143.19999999999999</v>
      </c>
      <c r="AL195" s="983">
        <f t="shared" si="76"/>
        <v>0.89949748743718594</v>
      </c>
    </row>
    <row r="196" spans="1:38" ht="16.5" customHeight="1">
      <c r="A196" s="999">
        <f>'09월 에너지'!A196</f>
        <v>46272</v>
      </c>
      <c r="B196" s="1002">
        <f>'09월 조업일지'!B194</f>
        <v>46272</v>
      </c>
      <c r="C196" s="1003" t="str">
        <f>'09월 에너지'!C196</f>
        <v>B</v>
      </c>
      <c r="D196" s="1004" t="str">
        <f>'09월 에너지'!D196</f>
        <v>B</v>
      </c>
      <c r="E196" s="1000">
        <f>'09월 에너지'!E196</f>
        <v>85396</v>
      </c>
      <c r="F196" s="1094" t="str">
        <f>'09월 에너지'!F196</f>
        <v>S355JO-03</v>
      </c>
      <c r="G196" s="980"/>
      <c r="H196" s="978"/>
      <c r="I196" s="978"/>
      <c r="J196" s="978"/>
      <c r="K196" s="978"/>
      <c r="L196" s="978"/>
      <c r="M196" s="978"/>
      <c r="N196" s="978"/>
      <c r="O196" s="1106" t="str">
        <f t="shared" si="72"/>
        <v/>
      </c>
      <c r="P196" s="1108">
        <f>48500+3900</f>
        <v>52400</v>
      </c>
      <c r="Q196" s="979">
        <v>18300</v>
      </c>
      <c r="R196" s="979">
        <v>9200</v>
      </c>
      <c r="S196" s="979"/>
      <c r="T196" s="979"/>
      <c r="U196" s="979">
        <f>2800+2500</f>
        <v>5300</v>
      </c>
      <c r="V196" s="979">
        <v>18800</v>
      </c>
      <c r="W196" s="979">
        <v>3400</v>
      </c>
      <c r="X196" s="979">
        <v>6600</v>
      </c>
      <c r="Y196" s="979">
        <f>1300+5500+3000</f>
        <v>9800</v>
      </c>
      <c r="Z196" s="979"/>
      <c r="AA196" s="979">
        <v>2500</v>
      </c>
      <c r="AB196" s="979">
        <v>4400</v>
      </c>
      <c r="AC196" s="979"/>
      <c r="AD196" s="979"/>
      <c r="AE196" s="1109">
        <f t="shared" si="79"/>
        <v>130700</v>
      </c>
      <c r="AF196" s="1113">
        <v>4400</v>
      </c>
      <c r="AG196" s="981">
        <v>10900</v>
      </c>
      <c r="AH196" s="981">
        <v>12900</v>
      </c>
      <c r="AI196" s="1114">
        <f t="shared" si="80"/>
        <v>28200</v>
      </c>
      <c r="AJ196" s="1110">
        <f t="shared" si="75"/>
        <v>158900</v>
      </c>
      <c r="AK196" s="982">
        <f>'09월 에너지'!S196</f>
        <v>144.30000000000001</v>
      </c>
      <c r="AL196" s="983">
        <f t="shared" si="76"/>
        <v>0.90811831340465698</v>
      </c>
    </row>
    <row r="197" spans="1:38" ht="16.5" customHeight="1">
      <c r="A197" s="999">
        <f>'09월 에너지'!A197</f>
        <v>46272</v>
      </c>
      <c r="B197" s="1002">
        <f>'09월 조업일지'!B195</f>
        <v>46272</v>
      </c>
      <c r="C197" s="1003" t="str">
        <f>'09월 에너지'!C197</f>
        <v>B</v>
      </c>
      <c r="D197" s="1004" t="str">
        <f>'09월 에너지'!D197</f>
        <v>A</v>
      </c>
      <c r="E197" s="1000">
        <f>'09월 에너지'!E197</f>
        <v>85397</v>
      </c>
      <c r="F197" s="1094" t="str">
        <f>'09월 에너지'!F197</f>
        <v>S355JO-03</v>
      </c>
      <c r="G197" s="980"/>
      <c r="H197" s="978"/>
      <c r="I197" s="978"/>
      <c r="J197" s="978"/>
      <c r="K197" s="978"/>
      <c r="L197" s="978"/>
      <c r="M197" s="978"/>
      <c r="N197" s="978"/>
      <c r="O197" s="1106" t="str">
        <f t="shared" si="72"/>
        <v/>
      </c>
      <c r="P197" s="1108">
        <f>5800+11100+16700+11200+8900+5400+6600</f>
        <v>65700</v>
      </c>
      <c r="Q197" s="979">
        <f>9700+6400</f>
        <v>16100</v>
      </c>
      <c r="R197" s="979"/>
      <c r="S197" s="979"/>
      <c r="T197" s="979"/>
      <c r="U197" s="979">
        <f>6000+6600</f>
        <v>12600</v>
      </c>
      <c r="V197" s="979">
        <f>1100+12600+7100+2100</f>
        <v>22900</v>
      </c>
      <c r="W197" s="979">
        <v>3000</v>
      </c>
      <c r="X197" s="979">
        <v>6500</v>
      </c>
      <c r="Y197" s="979">
        <f>1400+4600</f>
        <v>6000</v>
      </c>
      <c r="Z197" s="979"/>
      <c r="AA197" s="979">
        <v>800</v>
      </c>
      <c r="AB197" s="979">
        <v>1300</v>
      </c>
      <c r="AC197" s="979"/>
      <c r="AD197" s="979"/>
      <c r="AE197" s="1109">
        <f t="shared" si="73"/>
        <v>134900</v>
      </c>
      <c r="AF197" s="1113">
        <v>6900</v>
      </c>
      <c r="AG197" s="981">
        <v>10700</v>
      </c>
      <c r="AH197" s="981">
        <v>6800</v>
      </c>
      <c r="AI197" s="1114">
        <f t="shared" si="74"/>
        <v>24400</v>
      </c>
      <c r="AJ197" s="1110">
        <f t="shared" si="75"/>
        <v>159300</v>
      </c>
      <c r="AK197" s="982">
        <f>'09월 에너지'!S197</f>
        <v>143</v>
      </c>
      <c r="AL197" s="983">
        <f t="shared" si="76"/>
        <v>0.8976773383553045</v>
      </c>
    </row>
    <row r="198" spans="1:38" ht="16.5" customHeight="1">
      <c r="A198" s="999">
        <f>'09월 에너지'!A198</f>
        <v>46272</v>
      </c>
      <c r="B198" s="1002">
        <f>'09월 조업일지'!B196</f>
        <v>46272</v>
      </c>
      <c r="C198" s="1003" t="str">
        <f>'09월 에너지'!C198</f>
        <v>D</v>
      </c>
      <c r="D198" s="1004" t="str">
        <f>'09월 에너지'!D198</f>
        <v>B</v>
      </c>
      <c r="E198" s="1000">
        <f>'09월 에너지'!E198</f>
        <v>85398</v>
      </c>
      <c r="F198" s="1094" t="str">
        <f>'09월 에너지'!F198</f>
        <v>S355JO-03</v>
      </c>
      <c r="G198" s="980"/>
      <c r="H198" s="978"/>
      <c r="I198" s="978"/>
      <c r="J198" s="978"/>
      <c r="K198" s="978"/>
      <c r="L198" s="978"/>
      <c r="M198" s="978"/>
      <c r="N198" s="978"/>
      <c r="O198" s="1106" t="str">
        <f t="shared" si="72"/>
        <v/>
      </c>
      <c r="P198" s="1108">
        <f>6900+7100+11700+13500+10000+11700+7800</f>
        <v>68700</v>
      </c>
      <c r="Q198" s="979">
        <f>13300+9600</f>
        <v>22900</v>
      </c>
      <c r="R198" s="979">
        <v>3000</v>
      </c>
      <c r="S198" s="979"/>
      <c r="T198" s="979"/>
      <c r="U198" s="979">
        <f>6600+6700</f>
        <v>13300</v>
      </c>
      <c r="V198" s="979">
        <f>3300+7900+1300+2300</f>
        <v>14800</v>
      </c>
      <c r="W198" s="979">
        <v>100</v>
      </c>
      <c r="X198" s="979">
        <v>8100</v>
      </c>
      <c r="Y198" s="979">
        <f>3600+1300</f>
        <v>4900</v>
      </c>
      <c r="Z198" s="979"/>
      <c r="AA198" s="979">
        <v>2700</v>
      </c>
      <c r="AB198" s="979">
        <v>3700</v>
      </c>
      <c r="AC198" s="979"/>
      <c r="AD198" s="979"/>
      <c r="AE198" s="1109">
        <f t="shared" si="73"/>
        <v>142200</v>
      </c>
      <c r="AF198" s="1113">
        <v>4900</v>
      </c>
      <c r="AG198" s="981">
        <v>10700</v>
      </c>
      <c r="AH198" s="981">
        <v>1900</v>
      </c>
      <c r="AI198" s="1114">
        <f t="shared" si="74"/>
        <v>17500</v>
      </c>
      <c r="AJ198" s="1110">
        <f t="shared" si="75"/>
        <v>159700</v>
      </c>
      <c r="AK198" s="982">
        <f>'09월 에너지'!S198</f>
        <v>143.80000000000001</v>
      </c>
      <c r="AL198" s="983">
        <f t="shared" si="76"/>
        <v>0.90043832185347528</v>
      </c>
    </row>
    <row r="199" spans="1:38" ht="16.5" customHeight="1">
      <c r="A199" s="999">
        <f>'09월 에너지'!A199</f>
        <v>46272</v>
      </c>
      <c r="B199" s="1002">
        <f>'09월 조업일지'!B197</f>
        <v>46272</v>
      </c>
      <c r="C199" s="1003" t="str">
        <f>'09월 에너지'!C199</f>
        <v>D</v>
      </c>
      <c r="D199" s="1004" t="str">
        <f>'09월 에너지'!D199</f>
        <v>A</v>
      </c>
      <c r="E199" s="1000">
        <f>'09월 에너지'!E199</f>
        <v>85399</v>
      </c>
      <c r="F199" s="1094" t="str">
        <f>'09월 에너지'!F199</f>
        <v>S355JO-03</v>
      </c>
      <c r="G199" s="980"/>
      <c r="H199" s="978"/>
      <c r="I199" s="978"/>
      <c r="J199" s="978"/>
      <c r="K199" s="978"/>
      <c r="L199" s="978"/>
      <c r="M199" s="978"/>
      <c r="N199" s="978"/>
      <c r="O199" s="1106" t="str">
        <f t="shared" si="72"/>
        <v/>
      </c>
      <c r="P199" s="1108">
        <f>7600+10400+16200+12700+8600+10100+6200</f>
        <v>71800</v>
      </c>
      <c r="Q199" s="979">
        <f>11700+7300</f>
        <v>19000</v>
      </c>
      <c r="R199" s="979">
        <v>0</v>
      </c>
      <c r="S199" s="979"/>
      <c r="T199" s="979"/>
      <c r="U199" s="979">
        <v>5700</v>
      </c>
      <c r="V199" s="979">
        <f>3000+7700+3400</f>
        <v>14100</v>
      </c>
      <c r="W199" s="979">
        <v>3300</v>
      </c>
      <c r="X199" s="979">
        <v>7000</v>
      </c>
      <c r="Y199" s="979">
        <f>1700+6600</f>
        <v>8300</v>
      </c>
      <c r="Z199" s="979"/>
      <c r="AA199" s="979">
        <v>8700</v>
      </c>
      <c r="AB199" s="979">
        <v>0</v>
      </c>
      <c r="AC199" s="979"/>
      <c r="AD199" s="979"/>
      <c r="AE199" s="1109">
        <f t="shared" si="73"/>
        <v>137900</v>
      </c>
      <c r="AF199" s="1113">
        <v>6100</v>
      </c>
      <c r="AG199" s="981">
        <v>7400</v>
      </c>
      <c r="AH199" s="981">
        <v>8100</v>
      </c>
      <c r="AI199" s="1114">
        <f t="shared" si="74"/>
        <v>21600</v>
      </c>
      <c r="AJ199" s="1110">
        <f t="shared" si="75"/>
        <v>159500</v>
      </c>
      <c r="AK199" s="982">
        <f>'09월 에너지'!S199</f>
        <v>141.69999999999999</v>
      </c>
      <c r="AL199" s="983">
        <f t="shared" si="76"/>
        <v>0.88840125391849534</v>
      </c>
    </row>
    <row r="200" spans="1:38" ht="16.5" customHeight="1">
      <c r="A200" s="999">
        <f>'09월 에너지'!A200</f>
        <v>46272</v>
      </c>
      <c r="B200" s="1002">
        <f>'09월 조업일지'!B198</f>
        <v>46272</v>
      </c>
      <c r="C200" s="1003" t="str">
        <f>'09월 에너지'!C200</f>
        <v>D</v>
      </c>
      <c r="D200" s="1004" t="str">
        <f>'09월 에너지'!D200</f>
        <v>B</v>
      </c>
      <c r="E200" s="1000">
        <f>'09월 에너지'!E200</f>
        <v>85400</v>
      </c>
      <c r="F200" s="1094" t="str">
        <f>'09월 에너지'!F200</f>
        <v>S355JO-03</v>
      </c>
      <c r="G200" s="980"/>
      <c r="H200" s="978"/>
      <c r="I200" s="978"/>
      <c r="J200" s="978"/>
      <c r="K200" s="978"/>
      <c r="L200" s="978"/>
      <c r="M200" s="978"/>
      <c r="N200" s="978"/>
      <c r="O200" s="1106" t="str">
        <f t="shared" si="72"/>
        <v/>
      </c>
      <c r="P200" s="1108">
        <f>7800+7900+12200+14300+8400+10200+7700</f>
        <v>68500</v>
      </c>
      <c r="Q200" s="979">
        <f>14400+5200</f>
        <v>19600</v>
      </c>
      <c r="R200" s="979">
        <v>7000</v>
      </c>
      <c r="S200" s="979"/>
      <c r="T200" s="979"/>
      <c r="U200" s="979">
        <f>3000+5400</f>
        <v>8400</v>
      </c>
      <c r="V200" s="979">
        <f>5400+7300+4900+2300</f>
        <v>19900</v>
      </c>
      <c r="W200" s="979">
        <v>2500</v>
      </c>
      <c r="X200" s="979">
        <v>7500</v>
      </c>
      <c r="Y200" s="979">
        <f>2200+4300</f>
        <v>6500</v>
      </c>
      <c r="Z200" s="979"/>
      <c r="AA200" s="979">
        <v>1400</v>
      </c>
      <c r="AB200" s="979">
        <v>3200</v>
      </c>
      <c r="AC200" s="979"/>
      <c r="AD200" s="979"/>
      <c r="AE200" s="1109">
        <f t="shared" si="73"/>
        <v>144500</v>
      </c>
      <c r="AF200" s="1113">
        <v>5400</v>
      </c>
      <c r="AG200" s="981">
        <v>6300</v>
      </c>
      <c r="AH200" s="981">
        <v>2400</v>
      </c>
      <c r="AI200" s="1114">
        <f t="shared" si="74"/>
        <v>14100</v>
      </c>
      <c r="AJ200" s="1110">
        <f t="shared" si="75"/>
        <v>158600</v>
      </c>
      <c r="AK200" s="982">
        <f>'09월 에너지'!S200</f>
        <v>142.6</v>
      </c>
      <c r="AL200" s="983">
        <f t="shared" si="76"/>
        <v>0.89911727616645654</v>
      </c>
    </row>
    <row r="201" spans="1:38" ht="16.5" customHeight="1">
      <c r="A201" s="999">
        <f>'09월 에너지'!A201</f>
        <v>46272</v>
      </c>
      <c r="B201" s="1002">
        <f>'09월 조업일지'!B199</f>
        <v>46272</v>
      </c>
      <c r="C201" s="1003" t="str">
        <f>'09월 에너지'!C201</f>
        <v>D</v>
      </c>
      <c r="D201" s="1004" t="str">
        <f>'09월 에너지'!D201</f>
        <v>A</v>
      </c>
      <c r="E201" s="1000">
        <f>'09월 에너지'!E201</f>
        <v>85401</v>
      </c>
      <c r="F201" s="1094" t="str">
        <f>'09월 에너지'!F201</f>
        <v>S355JO-03</v>
      </c>
      <c r="G201" s="980"/>
      <c r="H201" s="978"/>
      <c r="I201" s="978"/>
      <c r="J201" s="978"/>
      <c r="K201" s="978"/>
      <c r="L201" s="978"/>
      <c r="M201" s="978"/>
      <c r="N201" s="978"/>
      <c r="O201" s="1106" t="str">
        <f t="shared" si="72"/>
        <v/>
      </c>
      <c r="P201" s="1108">
        <f>15300+7500+2700+12100+8400+9800+8000</f>
        <v>63800</v>
      </c>
      <c r="Q201" s="979">
        <f>6800+9900</f>
        <v>16700</v>
      </c>
      <c r="R201" s="979">
        <v>5100</v>
      </c>
      <c r="S201" s="979"/>
      <c r="T201" s="979"/>
      <c r="U201" s="979">
        <f>2600+5800</f>
        <v>8400</v>
      </c>
      <c r="V201" s="979">
        <f>1200+6000+10700+3600</f>
        <v>21500</v>
      </c>
      <c r="W201" s="979">
        <v>2900</v>
      </c>
      <c r="X201" s="979">
        <v>7500</v>
      </c>
      <c r="Y201" s="979">
        <v>5300</v>
      </c>
      <c r="Z201" s="979"/>
      <c r="AA201" s="979">
        <v>1400</v>
      </c>
      <c r="AB201" s="979">
        <v>5700</v>
      </c>
      <c r="AC201" s="979"/>
      <c r="AD201" s="979"/>
      <c r="AE201" s="1109">
        <f t="shared" si="73"/>
        <v>138300</v>
      </c>
      <c r="AF201" s="1113">
        <v>5800</v>
      </c>
      <c r="AG201" s="981">
        <v>7900</v>
      </c>
      <c r="AH201" s="981">
        <v>13400</v>
      </c>
      <c r="AI201" s="1114">
        <f t="shared" si="74"/>
        <v>27100</v>
      </c>
      <c r="AJ201" s="1110">
        <f t="shared" si="75"/>
        <v>165400</v>
      </c>
      <c r="AK201" s="982">
        <f>'09월 에너지'!S201</f>
        <v>141.6</v>
      </c>
      <c r="AL201" s="983">
        <f t="shared" si="76"/>
        <v>0.85610640870616683</v>
      </c>
    </row>
    <row r="202" spans="1:38" ht="16.5" customHeight="1">
      <c r="A202" s="999">
        <f>'09월 에너지'!A202</f>
        <v>46272</v>
      </c>
      <c r="B202" s="1002">
        <f>'09월 조업일지'!B200</f>
        <v>46272</v>
      </c>
      <c r="C202" s="1003" t="str">
        <f>'09월 에너지'!C202</f>
        <v>D</v>
      </c>
      <c r="D202" s="1004" t="str">
        <f>'09월 에너지'!D202</f>
        <v>B</v>
      </c>
      <c r="E202" s="1000">
        <f>'09월 에너지'!E202</f>
        <v>85402</v>
      </c>
      <c r="F202" s="1094" t="str">
        <f>'09월 에너지'!F202</f>
        <v>S355JO-03</v>
      </c>
      <c r="G202" s="980"/>
      <c r="H202" s="978"/>
      <c r="I202" s="978"/>
      <c r="J202" s="978"/>
      <c r="K202" s="978"/>
      <c r="L202" s="978"/>
      <c r="M202" s="978"/>
      <c r="N202" s="978"/>
      <c r="O202" s="1106" t="str">
        <f t="shared" si="72"/>
        <v/>
      </c>
      <c r="P202" s="1108">
        <f>8800+11500+5800+12300+8800+10900+6200</f>
        <v>64300</v>
      </c>
      <c r="Q202" s="979">
        <f>9600+5700</f>
        <v>15300</v>
      </c>
      <c r="R202" s="979">
        <v>8000</v>
      </c>
      <c r="S202" s="979"/>
      <c r="T202" s="979"/>
      <c r="U202" s="979">
        <f>3800+6000</f>
        <v>9800</v>
      </c>
      <c r="V202" s="979">
        <f>5800+7600+3800+2700</f>
        <v>19900</v>
      </c>
      <c r="W202" s="979">
        <v>2600</v>
      </c>
      <c r="X202" s="979">
        <v>6600</v>
      </c>
      <c r="Y202" s="979">
        <f>3000+4000</f>
        <v>7000</v>
      </c>
      <c r="Z202" s="979"/>
      <c r="AA202" s="979">
        <v>2100</v>
      </c>
      <c r="AB202" s="979">
        <v>2300</v>
      </c>
      <c r="AC202" s="979"/>
      <c r="AD202" s="979"/>
      <c r="AE202" s="1109">
        <f t="shared" si="73"/>
        <v>137900</v>
      </c>
      <c r="AF202" s="1113">
        <v>6300</v>
      </c>
      <c r="AG202" s="981">
        <v>10400</v>
      </c>
      <c r="AH202" s="981">
        <v>4000</v>
      </c>
      <c r="AI202" s="1114">
        <f t="shared" si="74"/>
        <v>20700</v>
      </c>
      <c r="AJ202" s="1110">
        <f t="shared" si="75"/>
        <v>158600</v>
      </c>
      <c r="AK202" s="982">
        <f>'09월 에너지'!S202</f>
        <v>143.80000000000001</v>
      </c>
      <c r="AL202" s="983">
        <f t="shared" si="76"/>
        <v>0.90668348045397229</v>
      </c>
    </row>
    <row r="203" spans="1:38" ht="16.5" customHeight="1">
      <c r="A203" s="999">
        <f>'09월 에너지'!A203</f>
        <v>46272</v>
      </c>
      <c r="B203" s="1002">
        <f>'09월 조업일지'!B201</f>
        <v>46272</v>
      </c>
      <c r="C203" s="1003" t="str">
        <f>'09월 에너지'!C203</f>
        <v>D</v>
      </c>
      <c r="D203" s="1004" t="str">
        <f>'09월 에너지'!D203</f>
        <v>A</v>
      </c>
      <c r="E203" s="1000">
        <f>'09월 에너지'!E203</f>
        <v>85403</v>
      </c>
      <c r="F203" s="1094" t="str">
        <f>'09월 에너지'!F203</f>
        <v>S355JO-03</v>
      </c>
      <c r="G203" s="980"/>
      <c r="H203" s="978"/>
      <c r="I203" s="978"/>
      <c r="J203" s="978"/>
      <c r="K203" s="978"/>
      <c r="L203" s="978"/>
      <c r="M203" s="978"/>
      <c r="N203" s="978"/>
      <c r="O203" s="1106" t="str">
        <f t="shared" si="72"/>
        <v/>
      </c>
      <c r="P203" s="1108">
        <f>6800+11400+5900+15900+8900+10300+8000</f>
        <v>67200</v>
      </c>
      <c r="Q203" s="979">
        <f>17700+4400</f>
        <v>22100</v>
      </c>
      <c r="R203" s="979">
        <v>1500</v>
      </c>
      <c r="S203" s="979"/>
      <c r="T203" s="979"/>
      <c r="U203" s="979">
        <f>1400+7900</f>
        <v>9300</v>
      </c>
      <c r="V203" s="979">
        <f>5800+9400+1900+1800</f>
        <v>18900</v>
      </c>
      <c r="W203" s="979">
        <v>2900</v>
      </c>
      <c r="X203" s="979">
        <v>6200</v>
      </c>
      <c r="Y203" s="979">
        <f>3400+6200</f>
        <v>9600</v>
      </c>
      <c r="Z203" s="979"/>
      <c r="AA203" s="979">
        <v>1700</v>
      </c>
      <c r="AB203" s="979">
        <v>3800</v>
      </c>
      <c r="AC203" s="979"/>
      <c r="AD203" s="979"/>
      <c r="AE203" s="1109">
        <f t="shared" si="73"/>
        <v>143200</v>
      </c>
      <c r="AF203" s="1113">
        <v>5200</v>
      </c>
      <c r="AG203" s="981">
        <v>8300</v>
      </c>
      <c r="AH203" s="981">
        <v>2200</v>
      </c>
      <c r="AI203" s="1114">
        <f t="shared" si="74"/>
        <v>15700</v>
      </c>
      <c r="AJ203" s="1110">
        <f t="shared" si="75"/>
        <v>158900</v>
      </c>
      <c r="AK203" s="982">
        <f>'09월 에너지'!S203</f>
        <v>142.19999999999999</v>
      </c>
      <c r="AL203" s="983">
        <f t="shared" si="76"/>
        <v>0.89490245437381999</v>
      </c>
    </row>
    <row r="204" spans="1:38" ht="16.5" customHeight="1">
      <c r="A204" s="999">
        <f>'09월 에너지'!A204</f>
        <v>46272</v>
      </c>
      <c r="B204" s="1002">
        <f>'09월 조업일지'!B202</f>
        <v>46272</v>
      </c>
      <c r="C204" s="1003" t="str">
        <f>'09월 에너지'!C204</f>
        <v>D</v>
      </c>
      <c r="D204" s="1004" t="str">
        <f>'09월 에너지'!D204</f>
        <v>B</v>
      </c>
      <c r="E204" s="1000">
        <f>'09월 에너지'!E204</f>
        <v>85404</v>
      </c>
      <c r="F204" s="1094" t="str">
        <f>'09월 에너지'!F204</f>
        <v>S355JO-03</v>
      </c>
      <c r="G204" s="980"/>
      <c r="H204" s="978"/>
      <c r="I204" s="978"/>
      <c r="J204" s="978"/>
      <c r="K204" s="978"/>
      <c r="L204" s="978"/>
      <c r="M204" s="978"/>
      <c r="N204" s="978"/>
      <c r="O204" s="1106" t="str">
        <f t="shared" si="72"/>
        <v/>
      </c>
      <c r="P204" s="1108">
        <f>6500+12800+3800+10600+8000+11100+6200</f>
        <v>59000</v>
      </c>
      <c r="Q204" s="979">
        <f>11400+4800</f>
        <v>16200</v>
      </c>
      <c r="R204" s="979">
        <v>8300</v>
      </c>
      <c r="S204" s="979"/>
      <c r="T204" s="979"/>
      <c r="U204" s="979">
        <f>3400+6500</f>
        <v>9900</v>
      </c>
      <c r="V204" s="979">
        <f>6600+6700+5200+3000</f>
        <v>21500</v>
      </c>
      <c r="W204" s="979">
        <v>2400</v>
      </c>
      <c r="X204" s="979">
        <v>7800</v>
      </c>
      <c r="Y204" s="979">
        <f>1800+4100</f>
        <v>5900</v>
      </c>
      <c r="Z204" s="979"/>
      <c r="AA204" s="979">
        <v>2100</v>
      </c>
      <c r="AB204" s="979">
        <v>2700</v>
      </c>
      <c r="AC204" s="979"/>
      <c r="AD204" s="979"/>
      <c r="AE204" s="1109">
        <f t="shared" si="73"/>
        <v>135800</v>
      </c>
      <c r="AF204" s="1113">
        <v>6400</v>
      </c>
      <c r="AG204" s="981">
        <v>9600</v>
      </c>
      <c r="AH204" s="981">
        <v>7000</v>
      </c>
      <c r="AI204" s="1114">
        <f t="shared" si="74"/>
        <v>23000</v>
      </c>
      <c r="AJ204" s="1110">
        <f t="shared" si="75"/>
        <v>158800</v>
      </c>
      <c r="AK204" s="982">
        <f>'09월 에너지'!S204</f>
        <v>144.30000000000001</v>
      </c>
      <c r="AL204" s="983">
        <f t="shared" si="76"/>
        <v>0.90869017632241811</v>
      </c>
    </row>
    <row r="205" spans="1:38" ht="16.5" customHeight="1">
      <c r="A205" s="999">
        <f>'09월 에너지'!A205</f>
        <v>46272</v>
      </c>
      <c r="B205" s="1002">
        <f>'09월 조업일지'!B203</f>
        <v>46272</v>
      </c>
      <c r="C205" s="1003" t="str">
        <f>'09월 에너지'!C205</f>
        <v>D</v>
      </c>
      <c r="D205" s="1004" t="str">
        <f>'09월 에너지'!D205</f>
        <v>A</v>
      </c>
      <c r="E205" s="1000">
        <f>'09월 에너지'!E205</f>
        <v>85405</v>
      </c>
      <c r="F205" s="1094" t="str">
        <f>'09월 에너지'!F205</f>
        <v>S355JO-03</v>
      </c>
      <c r="G205" s="980"/>
      <c r="H205" s="978"/>
      <c r="I205" s="978"/>
      <c r="J205" s="978"/>
      <c r="K205" s="978"/>
      <c r="L205" s="978"/>
      <c r="M205" s="978"/>
      <c r="N205" s="978"/>
      <c r="O205" s="1106" t="str">
        <f t="shared" si="72"/>
        <v/>
      </c>
      <c r="P205" s="1108">
        <f>8100+7800+9300+12100+5500+7300+4800</f>
        <v>54900</v>
      </c>
      <c r="Q205" s="979">
        <f>13400+8300</f>
        <v>21700</v>
      </c>
      <c r="R205" s="979">
        <v>6600</v>
      </c>
      <c r="S205" s="979"/>
      <c r="T205" s="979"/>
      <c r="U205" s="979">
        <f>2800+6000</f>
        <v>8800</v>
      </c>
      <c r="V205" s="979">
        <f>5000+5800+6100+3200</f>
        <v>20100</v>
      </c>
      <c r="W205" s="979">
        <v>5800</v>
      </c>
      <c r="X205" s="979">
        <v>6600</v>
      </c>
      <c r="Y205" s="979">
        <f>8400+2800</f>
        <v>11200</v>
      </c>
      <c r="Z205" s="979"/>
      <c r="AA205" s="979">
        <v>1000</v>
      </c>
      <c r="AB205" s="979">
        <v>1400</v>
      </c>
      <c r="AC205" s="979"/>
      <c r="AD205" s="979"/>
      <c r="AE205" s="1109">
        <f t="shared" si="73"/>
        <v>138100</v>
      </c>
      <c r="AF205" s="1113">
        <v>6900</v>
      </c>
      <c r="AG205" s="981">
        <v>6600</v>
      </c>
      <c r="AH205" s="981">
        <v>7800</v>
      </c>
      <c r="AI205" s="1114">
        <f t="shared" si="74"/>
        <v>21300</v>
      </c>
      <c r="AJ205" s="1110">
        <f t="shared" si="75"/>
        <v>159400</v>
      </c>
      <c r="AK205" s="982">
        <f>'09월 에너지'!S205</f>
        <v>142.69999999999999</v>
      </c>
      <c r="AL205" s="983">
        <f t="shared" si="76"/>
        <v>0.89523212045169387</v>
      </c>
    </row>
    <row r="206" spans="1:38" ht="16.5" customHeight="1">
      <c r="A206" s="999">
        <f>'09월 에너지'!A206</f>
        <v>46272</v>
      </c>
      <c r="B206" s="1002">
        <f>'09월 조업일지'!B204</f>
        <v>46272</v>
      </c>
      <c r="C206" s="1003" t="str">
        <f>'09월 에너지'!C206</f>
        <v>D</v>
      </c>
      <c r="D206" s="1004" t="str">
        <f>'09월 에너지'!D206</f>
        <v>B</v>
      </c>
      <c r="E206" s="1000">
        <f>'09월 에너지'!E206</f>
        <v>85406</v>
      </c>
      <c r="F206" s="1094" t="str">
        <f>'09월 에너지'!F206</f>
        <v>S355JO-03</v>
      </c>
      <c r="G206" s="980"/>
      <c r="H206" s="978"/>
      <c r="I206" s="978"/>
      <c r="J206" s="978"/>
      <c r="K206" s="978"/>
      <c r="L206" s="978"/>
      <c r="M206" s="978"/>
      <c r="N206" s="978"/>
      <c r="O206" s="1106" t="str">
        <f t="shared" si="72"/>
        <v/>
      </c>
      <c r="P206" s="1108">
        <f>8100+8400+5000+12200+8800+10000+6500</f>
        <v>59000</v>
      </c>
      <c r="Q206" s="979">
        <f>12300+5300</f>
        <v>17600</v>
      </c>
      <c r="R206" s="979">
        <v>9800</v>
      </c>
      <c r="S206" s="979"/>
      <c r="T206" s="979"/>
      <c r="U206" s="979">
        <f>6200+4500</f>
        <v>10700</v>
      </c>
      <c r="V206" s="979">
        <f>5600+6900+5700+2600</f>
        <v>20800</v>
      </c>
      <c r="W206" s="979">
        <v>3100</v>
      </c>
      <c r="X206" s="979">
        <v>6400</v>
      </c>
      <c r="Y206" s="979">
        <f>2900+3000</f>
        <v>5900</v>
      </c>
      <c r="Z206" s="979"/>
      <c r="AA206" s="979">
        <v>1400</v>
      </c>
      <c r="AB206" s="979">
        <v>2200</v>
      </c>
      <c r="AC206" s="979"/>
      <c r="AD206" s="979"/>
      <c r="AE206" s="1109">
        <f t="shared" si="73"/>
        <v>136900</v>
      </c>
      <c r="AF206" s="1113">
        <v>5900</v>
      </c>
      <c r="AG206" s="981">
        <v>12000</v>
      </c>
      <c r="AH206" s="981">
        <v>3900</v>
      </c>
      <c r="AI206" s="1114">
        <f t="shared" si="74"/>
        <v>21800</v>
      </c>
      <c r="AJ206" s="1110">
        <f t="shared" si="75"/>
        <v>158700</v>
      </c>
      <c r="AK206" s="982">
        <f>'09월 에너지'!S206</f>
        <v>143.6</v>
      </c>
      <c r="AL206" s="983">
        <f t="shared" si="76"/>
        <v>0.9048519218651544</v>
      </c>
    </row>
    <row r="207" spans="1:38" ht="16.5" customHeight="1">
      <c r="A207" s="999">
        <f>'09월 에너지'!A207</f>
        <v>46272</v>
      </c>
      <c r="B207" s="1002">
        <f>'09월 조업일지'!B205</f>
        <v>46272</v>
      </c>
      <c r="C207" s="1003" t="str">
        <f>'09월 에너지'!C207</f>
        <v>D</v>
      </c>
      <c r="D207" s="1004" t="str">
        <f>'09월 에너지'!D207</f>
        <v>A</v>
      </c>
      <c r="E207" s="1000">
        <f>'09월 에너지'!E207</f>
        <v>85407</v>
      </c>
      <c r="F207" s="1094" t="str">
        <f>'09월 에너지'!F207</f>
        <v>S355JO-03</v>
      </c>
      <c r="G207" s="980"/>
      <c r="H207" s="978"/>
      <c r="I207" s="978"/>
      <c r="J207" s="978"/>
      <c r="K207" s="978"/>
      <c r="L207" s="978"/>
      <c r="M207" s="978"/>
      <c r="N207" s="978"/>
      <c r="O207" s="1106" t="str">
        <f t="shared" ref="O207:O270" si="81">IF(SUM(G207:N207)=0,"",SUM(G207:N207))</f>
        <v/>
      </c>
      <c r="P207" s="1108">
        <f>2900+3000+9600+12700+6800+8400+5200</f>
        <v>48600</v>
      </c>
      <c r="Q207" s="979">
        <f>21500+4600</f>
        <v>26100</v>
      </c>
      <c r="R207" s="979">
        <v>7100</v>
      </c>
      <c r="S207" s="979"/>
      <c r="T207" s="979"/>
      <c r="U207" s="979">
        <f>2100+6800</f>
        <v>8900</v>
      </c>
      <c r="V207" s="979">
        <f>7600+4500+8500+1900</f>
        <v>22500</v>
      </c>
      <c r="W207" s="979">
        <v>4200</v>
      </c>
      <c r="X207" s="979">
        <v>7300</v>
      </c>
      <c r="Y207" s="979">
        <f>4700+1500</f>
        <v>6200</v>
      </c>
      <c r="Z207" s="979"/>
      <c r="AA207" s="979">
        <v>5400</v>
      </c>
      <c r="AB207" s="979">
        <v>2300</v>
      </c>
      <c r="AC207" s="979"/>
      <c r="AD207" s="979"/>
      <c r="AE207" s="1109">
        <f t="shared" ref="AE207:AE270" si="82">IF(SUM(P207:AD207)=0,"",SUM(P207:AD207))</f>
        <v>138600</v>
      </c>
      <c r="AF207" s="1113">
        <v>8100</v>
      </c>
      <c r="AG207" s="981">
        <v>8200</v>
      </c>
      <c r="AH207" s="981">
        <v>3700</v>
      </c>
      <c r="AI207" s="1114">
        <f t="shared" ref="AI207:AI270" si="83">IF(SUM(AF207:AH207)=0,"",SUM(AF207:AH207))</f>
        <v>20000</v>
      </c>
      <c r="AJ207" s="1110">
        <f t="shared" ref="AJ207:AJ270" si="84">IF(SUM(O207,AE207,AI207)=0,"",SUM(O207,AE207,AI207))</f>
        <v>158600</v>
      </c>
      <c r="AK207" s="982">
        <f>'09월 에너지'!S207</f>
        <v>141.9</v>
      </c>
      <c r="AL207" s="983">
        <f t="shared" ref="AL207:AL270" si="85">IF(ISERROR(IF(AK207="","",(AK207*1000)/AJ207)),0,(IF(AK207="","",(AK207*1000)/AJ207)))</f>
        <v>0.89470365699873899</v>
      </c>
    </row>
    <row r="208" spans="1:38" ht="16.5" customHeight="1">
      <c r="A208" s="999">
        <f>'09월 에너지'!A208</f>
        <v>46272</v>
      </c>
      <c r="B208" s="1002">
        <f>'09월 조업일지'!B206</f>
        <v>46272</v>
      </c>
      <c r="C208" s="1003" t="str">
        <f>'09월 에너지'!C208</f>
        <v>D</v>
      </c>
      <c r="D208" s="1004" t="str">
        <f>'09월 에너지'!D208</f>
        <v>B</v>
      </c>
      <c r="E208" s="1000">
        <f>'09월 에너지'!E208</f>
        <v>85408</v>
      </c>
      <c r="F208" s="1094" t="str">
        <f>'09월 에너지'!F208</f>
        <v>S355JO-03</v>
      </c>
      <c r="G208" s="980"/>
      <c r="H208" s="978"/>
      <c r="I208" s="978"/>
      <c r="J208" s="978"/>
      <c r="K208" s="978"/>
      <c r="L208" s="978"/>
      <c r="M208" s="978"/>
      <c r="N208" s="978"/>
      <c r="O208" s="1106" t="str">
        <f t="shared" si="81"/>
        <v/>
      </c>
      <c r="P208" s="1108">
        <f>9100+10500+5300+12000+8400+9500+6000</f>
        <v>60800</v>
      </c>
      <c r="Q208" s="979">
        <f>10300+5000</f>
        <v>15300</v>
      </c>
      <c r="R208" s="979">
        <v>8200</v>
      </c>
      <c r="S208" s="979">
        <v>0</v>
      </c>
      <c r="T208" s="979">
        <v>0</v>
      </c>
      <c r="U208" s="979">
        <f>2800+6800</f>
        <v>9600</v>
      </c>
      <c r="V208" s="979">
        <f>4700+7300+4400+3700</f>
        <v>20100</v>
      </c>
      <c r="W208" s="979">
        <v>3400</v>
      </c>
      <c r="X208" s="979">
        <v>7100</v>
      </c>
      <c r="Y208" s="979">
        <f>1700+4100</f>
        <v>5800</v>
      </c>
      <c r="Z208" s="979">
        <v>0</v>
      </c>
      <c r="AA208" s="979">
        <v>3000</v>
      </c>
      <c r="AB208" s="979">
        <v>4900</v>
      </c>
      <c r="AC208" s="979">
        <v>0</v>
      </c>
      <c r="AD208" s="979">
        <v>0</v>
      </c>
      <c r="AE208" s="1109">
        <f t="shared" si="82"/>
        <v>138200</v>
      </c>
      <c r="AF208" s="1113">
        <v>5800</v>
      </c>
      <c r="AG208" s="981">
        <v>9000</v>
      </c>
      <c r="AH208" s="981">
        <v>5400</v>
      </c>
      <c r="AI208" s="1114">
        <f t="shared" si="83"/>
        <v>20200</v>
      </c>
      <c r="AJ208" s="1110">
        <f t="shared" si="84"/>
        <v>158400</v>
      </c>
      <c r="AK208" s="982">
        <f>'09월 에너지'!S208</f>
        <v>142.30000000000001</v>
      </c>
      <c r="AL208" s="983">
        <f t="shared" si="85"/>
        <v>0.89835858585858586</v>
      </c>
    </row>
    <row r="209" spans="1:38" ht="16.5" customHeight="1">
      <c r="A209" s="999">
        <f>'09월 에너지'!A209</f>
        <v>46272</v>
      </c>
      <c r="B209" s="1002">
        <f>'09월 조업일지'!B207</f>
        <v>46272</v>
      </c>
      <c r="C209" s="1003" t="str">
        <f>'09월 에너지'!C209</f>
        <v>A</v>
      </c>
      <c r="D209" s="1004" t="str">
        <f>'09월 에너지'!D209</f>
        <v>A</v>
      </c>
      <c r="E209" s="1000">
        <f>'09월 에너지'!E209</f>
        <v>85409</v>
      </c>
      <c r="F209" s="1094" t="str">
        <f>'09월 에너지'!F209</f>
        <v>S355JO-03</v>
      </c>
      <c r="G209" s="980"/>
      <c r="H209" s="978"/>
      <c r="I209" s="978"/>
      <c r="J209" s="978"/>
      <c r="K209" s="978"/>
      <c r="L209" s="978"/>
      <c r="M209" s="978"/>
      <c r="N209" s="978"/>
      <c r="O209" s="1106" t="str">
        <f t="shared" si="81"/>
        <v/>
      </c>
      <c r="P209" s="1108">
        <f>7700+10000+4800+12200+6000+5500+5600</f>
        <v>51800</v>
      </c>
      <c r="Q209" s="979">
        <f>16000+9400</f>
        <v>25400</v>
      </c>
      <c r="R209" s="979">
        <v>7600</v>
      </c>
      <c r="S209" s="979">
        <v>0</v>
      </c>
      <c r="T209" s="979">
        <v>0</v>
      </c>
      <c r="U209" s="979">
        <f>6300+8000</f>
        <v>14300</v>
      </c>
      <c r="V209" s="979">
        <f>5600+5000+3900+2800</f>
        <v>17300</v>
      </c>
      <c r="W209" s="979">
        <v>4700</v>
      </c>
      <c r="X209" s="979">
        <v>7300</v>
      </c>
      <c r="Y209" s="979">
        <f>4900+2400</f>
        <v>7300</v>
      </c>
      <c r="Z209" s="979">
        <v>0</v>
      </c>
      <c r="AA209" s="979">
        <v>2500</v>
      </c>
      <c r="AB209" s="979">
        <v>2800</v>
      </c>
      <c r="AC209" s="979">
        <v>0</v>
      </c>
      <c r="AD209" s="979">
        <v>0</v>
      </c>
      <c r="AE209" s="1109">
        <f t="shared" si="82"/>
        <v>141000</v>
      </c>
      <c r="AF209" s="1113">
        <v>5600</v>
      </c>
      <c r="AG209" s="981">
        <v>9800</v>
      </c>
      <c r="AH209" s="981">
        <v>2600</v>
      </c>
      <c r="AI209" s="1114">
        <f t="shared" si="83"/>
        <v>18000</v>
      </c>
      <c r="AJ209" s="1110">
        <f t="shared" si="84"/>
        <v>159000</v>
      </c>
      <c r="AK209" s="982">
        <f>'09월 에너지'!S209</f>
        <v>142.5</v>
      </c>
      <c r="AL209" s="983">
        <f t="shared" si="85"/>
        <v>0.89622641509433965</v>
      </c>
    </row>
    <row r="210" spans="1:38" ht="16.5" customHeight="1">
      <c r="A210" s="999">
        <f>'09월 에너지'!A210</f>
        <v>46272</v>
      </c>
      <c r="B210" s="1002">
        <f>'09월 조업일지'!B208</f>
        <v>46272</v>
      </c>
      <c r="C210" s="1003" t="str">
        <f>'09월 에너지'!C210</f>
        <v>A</v>
      </c>
      <c r="D210" s="1004" t="str">
        <f>'09월 에너지'!D210</f>
        <v>B</v>
      </c>
      <c r="E210" s="1000">
        <f>'09월 에너지'!E210</f>
        <v>85410</v>
      </c>
      <c r="F210" s="1094" t="str">
        <f>'09월 에너지'!F210</f>
        <v>S355JO-03</v>
      </c>
      <c r="G210" s="980"/>
      <c r="H210" s="978"/>
      <c r="I210" s="978"/>
      <c r="J210" s="978"/>
      <c r="K210" s="978"/>
      <c r="L210" s="978"/>
      <c r="M210" s="978"/>
      <c r="N210" s="978"/>
      <c r="O210" s="1106" t="str">
        <f t="shared" si="81"/>
        <v/>
      </c>
      <c r="P210" s="1108">
        <f>8800+9900+5000+17400+6100+10000+2600</f>
        <v>59800</v>
      </c>
      <c r="Q210" s="979">
        <f>9100+7300</f>
        <v>16400</v>
      </c>
      <c r="R210" s="979">
        <v>8700</v>
      </c>
      <c r="S210" s="979">
        <v>0</v>
      </c>
      <c r="T210" s="979">
        <v>0</v>
      </c>
      <c r="U210" s="979">
        <f>2600+6400</f>
        <v>9000</v>
      </c>
      <c r="V210" s="979">
        <f>1700+2100+3900+9000</f>
        <v>16700</v>
      </c>
      <c r="W210" s="979">
        <v>3000</v>
      </c>
      <c r="X210" s="979">
        <v>9400</v>
      </c>
      <c r="Y210" s="979">
        <f>3400+3000+2300</f>
        <v>8700</v>
      </c>
      <c r="Z210" s="979">
        <v>0</v>
      </c>
      <c r="AA210" s="979">
        <v>2000</v>
      </c>
      <c r="AB210" s="979">
        <v>1900</v>
      </c>
      <c r="AC210" s="979">
        <v>0</v>
      </c>
      <c r="AD210" s="979">
        <v>0</v>
      </c>
      <c r="AE210" s="1109">
        <f t="shared" si="82"/>
        <v>135600</v>
      </c>
      <c r="AF210" s="1113">
        <v>4600</v>
      </c>
      <c r="AG210" s="981">
        <v>11800</v>
      </c>
      <c r="AH210" s="981">
        <v>6300</v>
      </c>
      <c r="AI210" s="1114">
        <f t="shared" si="83"/>
        <v>22700</v>
      </c>
      <c r="AJ210" s="1110">
        <f t="shared" si="84"/>
        <v>158300</v>
      </c>
      <c r="AK210" s="982">
        <f>'09월 에너지'!S210</f>
        <v>143.5</v>
      </c>
      <c r="AL210" s="983">
        <f t="shared" si="85"/>
        <v>0.90650663297536327</v>
      </c>
    </row>
    <row r="211" spans="1:38" ht="16.5" customHeight="1">
      <c r="A211" s="999">
        <f>'09월 에너지'!A211</f>
        <v>46272</v>
      </c>
      <c r="B211" s="1002">
        <f>'09월 조업일지'!B209</f>
        <v>46272</v>
      </c>
      <c r="C211" s="1003" t="str">
        <f>'09월 에너지'!C211</f>
        <v>A</v>
      </c>
      <c r="D211" s="1004" t="str">
        <f>'09월 에너지'!D211</f>
        <v>B</v>
      </c>
      <c r="E211" s="1000">
        <f>'09월 에너지'!E211</f>
        <v>85411</v>
      </c>
      <c r="F211" s="1094" t="str">
        <f>'09월 에너지'!F211</f>
        <v>S355JO-03</v>
      </c>
      <c r="G211" s="980"/>
      <c r="H211" s="978"/>
      <c r="I211" s="978"/>
      <c r="J211" s="978"/>
      <c r="K211" s="978"/>
      <c r="L211" s="978"/>
      <c r="M211" s="978"/>
      <c r="N211" s="978"/>
      <c r="O211" s="1106" t="str">
        <f t="shared" si="81"/>
        <v/>
      </c>
      <c r="P211" s="1108">
        <f>7400+13400+9900+10900+7100+9500</f>
        <v>58200</v>
      </c>
      <c r="Q211" s="979">
        <f>9900+2100</f>
        <v>12000</v>
      </c>
      <c r="R211" s="979">
        <v>8200</v>
      </c>
      <c r="S211" s="979">
        <v>0</v>
      </c>
      <c r="T211" s="979">
        <v>0</v>
      </c>
      <c r="U211" s="979">
        <f>4200+3900+7900</f>
        <v>16000</v>
      </c>
      <c r="V211" s="979">
        <f>5400+7400+9000</f>
        <v>21800</v>
      </c>
      <c r="W211" s="979">
        <v>2700</v>
      </c>
      <c r="X211" s="979">
        <v>8200</v>
      </c>
      <c r="Y211" s="979">
        <f>4900+4200+1300</f>
        <v>10400</v>
      </c>
      <c r="Z211" s="979">
        <v>0</v>
      </c>
      <c r="AA211" s="979">
        <v>1800</v>
      </c>
      <c r="AB211" s="979">
        <v>2400</v>
      </c>
      <c r="AC211" s="979">
        <v>0</v>
      </c>
      <c r="AD211" s="979">
        <v>0</v>
      </c>
      <c r="AE211" s="1109">
        <f t="shared" si="82"/>
        <v>141700</v>
      </c>
      <c r="AF211" s="1113">
        <v>3100</v>
      </c>
      <c r="AG211" s="981">
        <v>5800</v>
      </c>
      <c r="AH211" s="981">
        <v>6500</v>
      </c>
      <c r="AI211" s="1114">
        <f t="shared" si="83"/>
        <v>15400</v>
      </c>
      <c r="AJ211" s="1110">
        <f t="shared" si="84"/>
        <v>157100</v>
      </c>
      <c r="AK211" s="982">
        <f>'09월 에너지'!S211</f>
        <v>142.1</v>
      </c>
      <c r="AL211" s="983">
        <f t="shared" si="85"/>
        <v>0.90451941438574157</v>
      </c>
    </row>
    <row r="212" spans="1:38" ht="16.5" customHeight="1">
      <c r="A212" s="999">
        <f>'09월 에너지'!A212</f>
        <v>46272</v>
      </c>
      <c r="B212" s="1002">
        <f>'09월 조업일지'!B210</f>
        <v>46272</v>
      </c>
      <c r="C212" s="1003" t="str">
        <f>'09월 에너지'!C212</f>
        <v>A</v>
      </c>
      <c r="D212" s="1004" t="str">
        <f>'09월 에너지'!D212</f>
        <v>A</v>
      </c>
      <c r="E212" s="1000">
        <f>'09월 에너지'!E212</f>
        <v>85412</v>
      </c>
      <c r="F212" s="1170" t="str">
        <f>'09월 에너지'!F212</f>
        <v>SS400-02</v>
      </c>
      <c r="G212" s="980"/>
      <c r="H212" s="978"/>
      <c r="I212" s="978"/>
      <c r="J212" s="978"/>
      <c r="K212" s="978"/>
      <c r="L212" s="978"/>
      <c r="M212" s="978"/>
      <c r="N212" s="978"/>
      <c r="O212" s="1106" t="str">
        <f t="shared" si="81"/>
        <v/>
      </c>
      <c r="P212" s="1108">
        <f>8700+10900+6700+9900+5700+5800</f>
        <v>47700</v>
      </c>
      <c r="Q212" s="979">
        <f>9000+5800</f>
        <v>14800</v>
      </c>
      <c r="R212" s="979">
        <v>10200</v>
      </c>
      <c r="S212" s="979">
        <v>0</v>
      </c>
      <c r="T212" s="979">
        <v>0</v>
      </c>
      <c r="U212" s="979">
        <f>8200+8000</f>
        <v>16200</v>
      </c>
      <c r="V212" s="979">
        <f>2800+4200+11000</f>
        <v>18000</v>
      </c>
      <c r="W212" s="979">
        <v>4100</v>
      </c>
      <c r="X212" s="979">
        <v>4900</v>
      </c>
      <c r="Y212" s="979">
        <f>3300+14500+100</f>
        <v>17900</v>
      </c>
      <c r="Z212" s="979">
        <v>0</v>
      </c>
      <c r="AA212" s="979">
        <v>3500</v>
      </c>
      <c r="AB212" s="979">
        <v>2500</v>
      </c>
      <c r="AC212" s="979">
        <v>2900</v>
      </c>
      <c r="AD212" s="979">
        <v>3500</v>
      </c>
      <c r="AE212" s="1109">
        <f t="shared" si="82"/>
        <v>146200</v>
      </c>
      <c r="AF212" s="1113">
        <v>2200</v>
      </c>
      <c r="AG212" s="981">
        <v>9100</v>
      </c>
      <c r="AH212" s="981">
        <v>1200</v>
      </c>
      <c r="AI212" s="1114">
        <f t="shared" si="83"/>
        <v>12500</v>
      </c>
      <c r="AJ212" s="1110">
        <f t="shared" si="84"/>
        <v>158700</v>
      </c>
      <c r="AK212" s="982">
        <f>'09월 에너지'!S212</f>
        <v>143.9</v>
      </c>
      <c r="AL212" s="983">
        <f t="shared" si="85"/>
        <v>0.90674228103339638</v>
      </c>
    </row>
    <row r="213" spans="1:38" ht="16.5" customHeight="1">
      <c r="A213" s="999">
        <f>'09월 에너지'!A213</f>
        <v>46272</v>
      </c>
      <c r="B213" s="1002">
        <f>'09월 조업일지'!B211</f>
        <v>46272</v>
      </c>
      <c r="C213" s="1003" t="str">
        <f>'09월 에너지'!C213</f>
        <v>A</v>
      </c>
      <c r="D213" s="1004" t="str">
        <f>'09월 에너지'!D213</f>
        <v>B</v>
      </c>
      <c r="E213" s="1000">
        <f>'09월 에너지'!E213</f>
        <v>85413</v>
      </c>
      <c r="F213" s="1170" t="str">
        <f>'09월 에너지'!F213</f>
        <v>A572-50-01</v>
      </c>
      <c r="G213" s="980"/>
      <c r="H213" s="978"/>
      <c r="I213" s="978"/>
      <c r="J213" s="978"/>
      <c r="K213" s="978"/>
      <c r="L213" s="978"/>
      <c r="M213" s="978"/>
      <c r="N213" s="978"/>
      <c r="O213" s="1106" t="str">
        <f t="shared" si="81"/>
        <v/>
      </c>
      <c r="P213" s="1108">
        <f>8900+16300+5400+6600+9000+10100+2100</f>
        <v>58400</v>
      </c>
      <c r="Q213" s="979">
        <f>6800+6600</f>
        <v>13400</v>
      </c>
      <c r="R213" s="979">
        <v>6100</v>
      </c>
      <c r="S213" s="979">
        <v>0</v>
      </c>
      <c r="T213" s="979">
        <v>3300</v>
      </c>
      <c r="U213" s="979">
        <f>8700+3100+3600</f>
        <v>15400</v>
      </c>
      <c r="V213" s="979">
        <f>4600+2500</f>
        <v>7100</v>
      </c>
      <c r="W213" s="979">
        <v>4300</v>
      </c>
      <c r="X213" s="979">
        <v>8200</v>
      </c>
      <c r="Y213" s="979">
        <f>3000+13300+1200</f>
        <v>17500</v>
      </c>
      <c r="Z213" s="979">
        <v>0</v>
      </c>
      <c r="AA213" s="979">
        <v>4300</v>
      </c>
      <c r="AB213" s="979">
        <v>1900</v>
      </c>
      <c r="AC213" s="979">
        <v>0</v>
      </c>
      <c r="AD213" s="979">
        <v>0</v>
      </c>
      <c r="AE213" s="1109">
        <f t="shared" si="82"/>
        <v>139900</v>
      </c>
      <c r="AF213" s="1113">
        <v>3300</v>
      </c>
      <c r="AG213" s="981">
        <v>11300</v>
      </c>
      <c r="AH213" s="981">
        <v>3600</v>
      </c>
      <c r="AI213" s="1114">
        <f t="shared" si="83"/>
        <v>18200</v>
      </c>
      <c r="AJ213" s="1110">
        <f t="shared" si="84"/>
        <v>158100</v>
      </c>
      <c r="AK213" s="982">
        <f>'09월 에너지'!S213</f>
        <v>143.19999999999999</v>
      </c>
      <c r="AL213" s="983">
        <f t="shared" si="85"/>
        <v>0.90575585072738773</v>
      </c>
    </row>
    <row r="214" spans="1:38" ht="16.5" customHeight="1">
      <c r="A214" s="999">
        <f>'09월 에너지'!A214</f>
        <v>46272</v>
      </c>
      <c r="B214" s="1002">
        <f>'09월 조업일지'!B212</f>
        <v>46272</v>
      </c>
      <c r="C214" s="1003" t="str">
        <f>'09월 에너지'!C214</f>
        <v>A</v>
      </c>
      <c r="D214" s="1004" t="str">
        <f>'09월 에너지'!D214</f>
        <v>A</v>
      </c>
      <c r="E214" s="1000">
        <f>'09월 에너지'!E214</f>
        <v>85414</v>
      </c>
      <c r="F214" s="1170" t="str">
        <f>'09월 에너지'!F214</f>
        <v>S355JO-03</v>
      </c>
      <c r="G214" s="980"/>
      <c r="H214" s="978"/>
      <c r="I214" s="978"/>
      <c r="J214" s="978"/>
      <c r="K214" s="978"/>
      <c r="L214" s="978"/>
      <c r="M214" s="978"/>
      <c r="N214" s="978"/>
      <c r="O214" s="1106" t="str">
        <f t="shared" si="81"/>
        <v/>
      </c>
      <c r="P214" s="1108">
        <f>5900+6200+7600+10900+8000+9400+5000</f>
        <v>53000</v>
      </c>
      <c r="Q214" s="979">
        <f>10300+2400</f>
        <v>12700</v>
      </c>
      <c r="R214" s="979">
        <v>5000</v>
      </c>
      <c r="S214" s="979">
        <v>0</v>
      </c>
      <c r="T214" s="979">
        <v>0</v>
      </c>
      <c r="U214" s="979">
        <f>9800+6600</f>
        <v>16400</v>
      </c>
      <c r="V214" s="979">
        <f>8500+8400+5100+4200</f>
        <v>26200</v>
      </c>
      <c r="W214" s="979">
        <v>3700</v>
      </c>
      <c r="X214" s="979">
        <v>6800</v>
      </c>
      <c r="Y214" s="979">
        <f>4700+7000</f>
        <v>11700</v>
      </c>
      <c r="Z214" s="979">
        <v>0</v>
      </c>
      <c r="AA214" s="979">
        <v>2900</v>
      </c>
      <c r="AB214" s="979">
        <v>1400</v>
      </c>
      <c r="AC214" s="979">
        <v>0</v>
      </c>
      <c r="AD214" s="979">
        <v>0</v>
      </c>
      <c r="AE214" s="1109">
        <f t="shared" si="82"/>
        <v>139800</v>
      </c>
      <c r="AF214" s="1113">
        <v>5400</v>
      </c>
      <c r="AG214" s="981">
        <v>5400</v>
      </c>
      <c r="AH214" s="981">
        <v>6900</v>
      </c>
      <c r="AI214" s="1114">
        <f t="shared" si="83"/>
        <v>17700</v>
      </c>
      <c r="AJ214" s="1110">
        <f t="shared" si="84"/>
        <v>157500</v>
      </c>
      <c r="AK214" s="982">
        <f>'09월 에너지'!S214</f>
        <v>144.5</v>
      </c>
      <c r="AL214" s="983">
        <f t="shared" si="85"/>
        <v>0.91746031746031742</v>
      </c>
    </row>
    <row r="215" spans="1:38" ht="16.5" customHeight="1">
      <c r="A215" s="999">
        <f>'09월 에너지'!A215</f>
        <v>46273</v>
      </c>
      <c r="B215" s="1002">
        <f>'09월 조업일지'!B213</f>
        <v>46272</v>
      </c>
      <c r="C215" s="1003" t="str">
        <f>'09월 에너지'!C215</f>
        <v>A</v>
      </c>
      <c r="D215" s="1004" t="str">
        <f>'09월 에너지'!D215</f>
        <v>B</v>
      </c>
      <c r="E215" s="1000">
        <f>'09월 에너지'!E215</f>
        <v>85415</v>
      </c>
      <c r="F215" s="1170" t="str">
        <f>'09월 에너지'!F215</f>
        <v>A572-50-01</v>
      </c>
      <c r="G215" s="980"/>
      <c r="H215" s="978"/>
      <c r="I215" s="978"/>
      <c r="J215" s="978"/>
      <c r="K215" s="978"/>
      <c r="L215" s="978"/>
      <c r="M215" s="978"/>
      <c r="N215" s="978"/>
      <c r="O215" s="1106" t="str">
        <f t="shared" si="81"/>
        <v/>
      </c>
      <c r="P215" s="1108">
        <f>11600+10600+7300+9200+10100+14000+6000</f>
        <v>68800</v>
      </c>
      <c r="Q215" s="979">
        <f>9900+8000</f>
        <v>17900</v>
      </c>
      <c r="R215" s="979">
        <v>3800</v>
      </c>
      <c r="S215" s="979">
        <v>0</v>
      </c>
      <c r="T215" s="979">
        <v>0</v>
      </c>
      <c r="U215" s="979">
        <f>3700+2000</f>
        <v>5700</v>
      </c>
      <c r="V215" s="979">
        <f>1700+10000+8600+4300</f>
        <v>24600</v>
      </c>
      <c r="W215" s="979">
        <v>3600</v>
      </c>
      <c r="X215" s="979">
        <v>4400</v>
      </c>
      <c r="Y215" s="979">
        <v>1800</v>
      </c>
      <c r="Z215" s="979">
        <v>0</v>
      </c>
      <c r="AA215" s="979">
        <v>2800</v>
      </c>
      <c r="AB215" s="979">
        <v>3100</v>
      </c>
      <c r="AC215" s="979">
        <v>0</v>
      </c>
      <c r="AD215" s="979">
        <v>0</v>
      </c>
      <c r="AE215" s="1109">
        <f t="shared" si="82"/>
        <v>136500</v>
      </c>
      <c r="AF215" s="1113">
        <v>5300</v>
      </c>
      <c r="AG215" s="981">
        <v>9700</v>
      </c>
      <c r="AH215" s="981">
        <v>7100</v>
      </c>
      <c r="AI215" s="1114">
        <f t="shared" si="83"/>
        <v>22100</v>
      </c>
      <c r="AJ215" s="1110">
        <f t="shared" si="84"/>
        <v>158600</v>
      </c>
      <c r="AK215" s="982">
        <f>'09월 에너지'!S215</f>
        <v>143.69999999999999</v>
      </c>
      <c r="AL215" s="983">
        <f t="shared" si="85"/>
        <v>0.90605296343001263</v>
      </c>
    </row>
    <row r="216" spans="1:38" ht="16.5" customHeight="1">
      <c r="A216" s="999">
        <f>'09월 에너지'!A216</f>
        <v>46273</v>
      </c>
      <c r="B216" s="1002">
        <f>'09월 조업일지'!B214</f>
        <v>46272</v>
      </c>
      <c r="C216" s="1003" t="str">
        <f>'09월 에너지'!C216</f>
        <v>A</v>
      </c>
      <c r="D216" s="1004" t="str">
        <f>'09월 에너지'!D216</f>
        <v>A</v>
      </c>
      <c r="E216" s="1000">
        <f>'09월 에너지'!E216</f>
        <v>85416</v>
      </c>
      <c r="F216" s="1094" t="str">
        <f>'09월 에너지'!F216</f>
        <v>A572-50-01</v>
      </c>
      <c r="G216" s="980"/>
      <c r="H216" s="978"/>
      <c r="I216" s="978"/>
      <c r="J216" s="978"/>
      <c r="K216" s="978"/>
      <c r="L216" s="978"/>
      <c r="M216" s="978"/>
      <c r="N216" s="978"/>
      <c r="O216" s="1106" t="str">
        <f t="shared" si="81"/>
        <v/>
      </c>
      <c r="P216" s="1108">
        <f>13400+4300+3500+10700+8300+7600+7000+8200+2900</f>
        <v>65900</v>
      </c>
      <c r="Q216" s="979">
        <f>13200+2700</f>
        <v>15900</v>
      </c>
      <c r="R216" s="979">
        <v>6400</v>
      </c>
      <c r="S216" s="979">
        <v>0</v>
      </c>
      <c r="T216" s="979">
        <v>0</v>
      </c>
      <c r="U216" s="979">
        <f>5200+6000</f>
        <v>11200</v>
      </c>
      <c r="V216" s="979">
        <f>7900+8900+2100</f>
        <v>18900</v>
      </c>
      <c r="W216" s="979">
        <v>3000</v>
      </c>
      <c r="X216" s="979">
        <v>7400</v>
      </c>
      <c r="Y216" s="979">
        <f>3200+5300</f>
        <v>8500</v>
      </c>
      <c r="Z216" s="979">
        <v>0</v>
      </c>
      <c r="AA216" s="979">
        <v>3500</v>
      </c>
      <c r="AB216" s="979">
        <v>1300</v>
      </c>
      <c r="AC216" s="979">
        <v>0</v>
      </c>
      <c r="AD216" s="979">
        <v>0</v>
      </c>
      <c r="AE216" s="1109">
        <f t="shared" si="82"/>
        <v>142000</v>
      </c>
      <c r="AF216" s="1113">
        <v>3800</v>
      </c>
      <c r="AG216" s="981">
        <v>7000</v>
      </c>
      <c r="AH216" s="981">
        <v>6500</v>
      </c>
      <c r="AI216" s="1114">
        <f t="shared" si="83"/>
        <v>17300</v>
      </c>
      <c r="AJ216" s="1110">
        <f t="shared" si="84"/>
        <v>159300</v>
      </c>
      <c r="AK216" s="982">
        <f>'09월 에너지'!S216</f>
        <v>145.1</v>
      </c>
      <c r="AL216" s="983">
        <f t="shared" si="85"/>
        <v>0.91086001255492777</v>
      </c>
    </row>
    <row r="217" spans="1:38" ht="16.5" customHeight="1">
      <c r="A217" s="999">
        <f>'09월 에너지'!A217</f>
        <v>46273</v>
      </c>
      <c r="B217" s="1002">
        <f>'09월 조업일지'!B215</f>
        <v>46272</v>
      </c>
      <c r="C217" s="1003" t="str">
        <f>'09월 에너지'!C217</f>
        <v>A</v>
      </c>
      <c r="D217" s="1004" t="str">
        <f>'09월 에너지'!D217</f>
        <v>B</v>
      </c>
      <c r="E217" s="1000">
        <f>'09월 에너지'!E217</f>
        <v>85417</v>
      </c>
      <c r="F217" s="1094" t="str">
        <f>'09월 에너지'!F217</f>
        <v>A572-50-01</v>
      </c>
      <c r="G217" s="980"/>
      <c r="H217" s="978"/>
      <c r="I217" s="978"/>
      <c r="J217" s="978"/>
      <c r="K217" s="978"/>
      <c r="L217" s="978"/>
      <c r="M217" s="978"/>
      <c r="N217" s="978"/>
      <c r="O217" s="1106" t="str">
        <f t="shared" si="81"/>
        <v/>
      </c>
      <c r="P217" s="1108">
        <f>8400+9900+9600+7900+2300+2500+9200</f>
        <v>49800</v>
      </c>
      <c r="Q217" s="979">
        <f>16700+6400</f>
        <v>23100</v>
      </c>
      <c r="R217" s="979">
        <v>9400</v>
      </c>
      <c r="S217" s="979">
        <v>0</v>
      </c>
      <c r="T217" s="979">
        <v>5300</v>
      </c>
      <c r="U217" s="979">
        <f>5800+4500+6900</f>
        <v>17200</v>
      </c>
      <c r="V217" s="979">
        <f>900+2600</f>
        <v>3500</v>
      </c>
      <c r="W217" s="979">
        <v>3100</v>
      </c>
      <c r="X217" s="979">
        <v>6300</v>
      </c>
      <c r="Y217" s="979">
        <f>200+10500+4600</f>
        <v>15300</v>
      </c>
      <c r="Z217" s="979">
        <v>0</v>
      </c>
      <c r="AA217" s="979">
        <v>1500</v>
      </c>
      <c r="AB217" s="979">
        <v>1900</v>
      </c>
      <c r="AC217" s="979">
        <v>0</v>
      </c>
      <c r="AD217" s="979">
        <v>0</v>
      </c>
      <c r="AE217" s="1109">
        <f t="shared" si="82"/>
        <v>136400</v>
      </c>
      <c r="AF217" s="1113">
        <v>3600</v>
      </c>
      <c r="AG217" s="981">
        <v>16400</v>
      </c>
      <c r="AH217" s="981">
        <v>2800</v>
      </c>
      <c r="AI217" s="1114">
        <f t="shared" si="83"/>
        <v>22800</v>
      </c>
      <c r="AJ217" s="1110">
        <f t="shared" si="84"/>
        <v>159200</v>
      </c>
      <c r="AK217" s="982">
        <f>'09월 에너지'!S217</f>
        <v>142.1</v>
      </c>
      <c r="AL217" s="983">
        <f t="shared" si="85"/>
        <v>0.89258793969849248</v>
      </c>
    </row>
    <row r="218" spans="1:38" ht="16.5" customHeight="1">
      <c r="A218" s="999">
        <f>'09월 에너지'!A218</f>
        <v>46273</v>
      </c>
      <c r="B218" s="1002">
        <f>'09월 조업일지'!B216</f>
        <v>46272</v>
      </c>
      <c r="C218" s="1003" t="str">
        <f>'09월 에너지'!C218</f>
        <v>A</v>
      </c>
      <c r="D218" s="1004" t="str">
        <f>'09월 에너지'!D218</f>
        <v>A</v>
      </c>
      <c r="E218" s="1000">
        <f>'09월 에너지'!E218</f>
        <v>85418</v>
      </c>
      <c r="F218" s="1094" t="str">
        <f>'09월 에너지'!F218</f>
        <v>A572-50-01</v>
      </c>
      <c r="G218" s="980"/>
      <c r="H218" s="978"/>
      <c r="I218" s="978"/>
      <c r="J218" s="978"/>
      <c r="K218" s="978"/>
      <c r="L218" s="978"/>
      <c r="M218" s="978"/>
      <c r="N218" s="978"/>
      <c r="O218" s="1106" t="str">
        <f t="shared" si="81"/>
        <v/>
      </c>
      <c r="P218" s="1108">
        <f>12500+5300+10400+6500+5800+1800+10800</f>
        <v>53100</v>
      </c>
      <c r="Q218" s="979">
        <f>5200+9400</f>
        <v>14600</v>
      </c>
      <c r="R218" s="979">
        <v>3800</v>
      </c>
      <c r="S218" s="979"/>
      <c r="T218" s="979">
        <v>9200</v>
      </c>
      <c r="U218" s="979">
        <f>5100+1900+2500</f>
        <v>9500</v>
      </c>
      <c r="V218" s="979">
        <f>8100+1100</f>
        <v>9200</v>
      </c>
      <c r="W218" s="979">
        <v>3900</v>
      </c>
      <c r="X218" s="979">
        <v>3800</v>
      </c>
      <c r="Y218" s="979">
        <f>6200+15700+4600</f>
        <v>26500</v>
      </c>
      <c r="Z218" s="979"/>
      <c r="AA218" s="979">
        <v>2000</v>
      </c>
      <c r="AB218" s="979">
        <v>1200</v>
      </c>
      <c r="AC218" s="979"/>
      <c r="AD218" s="979"/>
      <c r="AE218" s="1109">
        <f t="shared" si="82"/>
        <v>136800</v>
      </c>
      <c r="AF218" s="1113">
        <v>2700</v>
      </c>
      <c r="AG218" s="981">
        <v>7600</v>
      </c>
      <c r="AH218" s="981">
        <v>11300</v>
      </c>
      <c r="AI218" s="1114">
        <f t="shared" si="83"/>
        <v>21600</v>
      </c>
      <c r="AJ218" s="1110">
        <f t="shared" si="84"/>
        <v>158400</v>
      </c>
      <c r="AK218" s="982">
        <f>'09월 에너지'!S218</f>
        <v>143.9</v>
      </c>
      <c r="AL218" s="983">
        <f t="shared" si="85"/>
        <v>0.90845959595959591</v>
      </c>
    </row>
    <row r="219" spans="1:38" ht="16.5" customHeight="1">
      <c r="A219" s="999">
        <f>'09월 에너지'!A219</f>
        <v>46273</v>
      </c>
      <c r="B219" s="1002">
        <f>'09월 조업일지'!B217</f>
        <v>46273</v>
      </c>
      <c r="C219" s="1003" t="str">
        <f>'09월 에너지'!C219</f>
        <v>C</v>
      </c>
      <c r="D219" s="1004" t="str">
        <f>'09월 에너지'!D219</f>
        <v>B</v>
      </c>
      <c r="E219" s="1000">
        <f>'09월 에너지'!E219</f>
        <v>85419</v>
      </c>
      <c r="F219" s="1094" t="str">
        <f>'09월 에너지'!F219</f>
        <v>A572-50-01</v>
      </c>
      <c r="G219" s="980"/>
      <c r="H219" s="978"/>
      <c r="I219" s="978"/>
      <c r="J219" s="978"/>
      <c r="K219" s="978"/>
      <c r="L219" s="978"/>
      <c r="M219" s="978"/>
      <c r="N219" s="978"/>
      <c r="O219" s="1106" t="str">
        <f t="shared" si="81"/>
        <v/>
      </c>
      <c r="P219" s="1108">
        <f>9100+9900+8600+6300+5300+2900+10300</f>
        <v>52400</v>
      </c>
      <c r="Q219" s="979">
        <f>16700+8100</f>
        <v>24800</v>
      </c>
      <c r="R219" s="979">
        <v>5200</v>
      </c>
      <c r="S219" s="979"/>
      <c r="T219" s="979">
        <v>3400</v>
      </c>
      <c r="U219" s="979">
        <f>6900+7500+7900</f>
        <v>22300</v>
      </c>
      <c r="V219" s="979">
        <f>1400+2100</f>
        <v>3500</v>
      </c>
      <c r="W219" s="979">
        <v>3100</v>
      </c>
      <c r="X219" s="979">
        <v>7000</v>
      </c>
      <c r="Y219" s="979">
        <f>2100+13700</f>
        <v>15800</v>
      </c>
      <c r="Z219" s="979"/>
      <c r="AA219" s="979">
        <v>2400</v>
      </c>
      <c r="AB219" s="979">
        <v>4200</v>
      </c>
      <c r="AC219" s="979"/>
      <c r="AD219" s="979"/>
      <c r="AE219" s="1109">
        <f t="shared" si="82"/>
        <v>144100</v>
      </c>
      <c r="AF219" s="1113">
        <v>2700</v>
      </c>
      <c r="AG219" s="981">
        <v>6700</v>
      </c>
      <c r="AH219" s="981">
        <v>4800</v>
      </c>
      <c r="AI219" s="1114">
        <f t="shared" si="83"/>
        <v>14200</v>
      </c>
      <c r="AJ219" s="1110">
        <f t="shared" si="84"/>
        <v>158300</v>
      </c>
      <c r="AK219" s="982">
        <f>'09월 에너지'!S219</f>
        <v>141.6</v>
      </c>
      <c r="AL219" s="983">
        <f t="shared" si="85"/>
        <v>0.89450410612760578</v>
      </c>
    </row>
    <row r="220" spans="1:38" ht="16.5" customHeight="1">
      <c r="A220" s="999">
        <f>'09월 에너지'!A220</f>
        <v>46273</v>
      </c>
      <c r="B220" s="1002">
        <f>'09월 조업일지'!B218</f>
        <v>46273</v>
      </c>
      <c r="C220" s="1003" t="str">
        <f>'09월 에너지'!C220</f>
        <v>C</v>
      </c>
      <c r="D220" s="1004" t="str">
        <f>'09월 에너지'!D220</f>
        <v>A</v>
      </c>
      <c r="E220" s="1000">
        <f>'09월 에너지'!E220</f>
        <v>85420</v>
      </c>
      <c r="F220" s="1094" t="str">
        <f>'09월 에너지'!F220</f>
        <v>A572-50-01</v>
      </c>
      <c r="G220" s="980"/>
      <c r="H220" s="978"/>
      <c r="I220" s="978"/>
      <c r="J220" s="978"/>
      <c r="K220" s="978"/>
      <c r="L220" s="978"/>
      <c r="M220" s="978"/>
      <c r="N220" s="978"/>
      <c r="O220" s="1106" t="str">
        <f t="shared" si="81"/>
        <v/>
      </c>
      <c r="P220" s="1108">
        <f>9400+4600+5100+2200+1700+1400+10000</f>
        <v>34400</v>
      </c>
      <c r="Q220" s="979">
        <f>5600+11700</f>
        <v>17300</v>
      </c>
      <c r="R220" s="979">
        <v>9700</v>
      </c>
      <c r="S220" s="979"/>
      <c r="T220" s="979">
        <v>9300</v>
      </c>
      <c r="U220" s="979">
        <f>5400+2400+6700</f>
        <v>14500</v>
      </c>
      <c r="V220" s="979">
        <f>6900+4300</f>
        <v>11200</v>
      </c>
      <c r="W220" s="979">
        <v>4800</v>
      </c>
      <c r="X220" s="979">
        <v>7600</v>
      </c>
      <c r="Y220" s="979">
        <f>4100+11100+3300</f>
        <v>18500</v>
      </c>
      <c r="Z220" s="979"/>
      <c r="AA220" s="979">
        <v>2300</v>
      </c>
      <c r="AB220" s="979">
        <v>600</v>
      </c>
      <c r="AC220" s="979"/>
      <c r="AD220" s="979"/>
      <c r="AE220" s="1109">
        <f t="shared" si="82"/>
        <v>130200</v>
      </c>
      <c r="AF220" s="1113">
        <v>3700</v>
      </c>
      <c r="AG220" s="981">
        <v>15600</v>
      </c>
      <c r="AH220" s="981">
        <v>8400</v>
      </c>
      <c r="AI220" s="1114">
        <f t="shared" si="83"/>
        <v>27700</v>
      </c>
      <c r="AJ220" s="1110">
        <f t="shared" si="84"/>
        <v>157900</v>
      </c>
      <c r="AK220" s="982">
        <f>'09월 에너지'!S220</f>
        <v>143.4</v>
      </c>
      <c r="AL220" s="983">
        <f t="shared" si="85"/>
        <v>0.90816972767574411</v>
      </c>
    </row>
    <row r="221" spans="1:38" ht="16.5" customHeight="1">
      <c r="A221" s="999">
        <f>'09월 에너지'!A221</f>
        <v>46273</v>
      </c>
      <c r="B221" s="1002">
        <f>'09월 조업일지'!B219</f>
        <v>46273</v>
      </c>
      <c r="C221" s="1003" t="str">
        <f>'09월 에너지'!C221</f>
        <v>C</v>
      </c>
      <c r="D221" s="1004" t="str">
        <f>'09월 에너지'!D221</f>
        <v>B</v>
      </c>
      <c r="E221" s="1000">
        <f>'09월 에너지'!E221</f>
        <v>85421</v>
      </c>
      <c r="F221" s="1170" t="str">
        <f>'09월 에너지'!F221</f>
        <v>S355JO-01</v>
      </c>
      <c r="G221" s="980"/>
      <c r="H221" s="978"/>
      <c r="I221" s="978"/>
      <c r="J221" s="978"/>
      <c r="K221" s="978"/>
      <c r="L221" s="978"/>
      <c r="M221" s="978"/>
      <c r="N221" s="978"/>
      <c r="O221" s="1106" t="str">
        <f t="shared" si="81"/>
        <v/>
      </c>
      <c r="P221" s="1108">
        <f>9500+21000+9000+6500+6600+1400+10400</f>
        <v>64400</v>
      </c>
      <c r="Q221" s="979">
        <f>8400+4000</f>
        <v>12400</v>
      </c>
      <c r="R221" s="979">
        <v>3700</v>
      </c>
      <c r="S221" s="979"/>
      <c r="T221" s="979">
        <v>100</v>
      </c>
      <c r="U221" s="979">
        <f>7600+2700</f>
        <v>10300</v>
      </c>
      <c r="V221" s="979">
        <f>7900+4500+4900</f>
        <v>17300</v>
      </c>
      <c r="W221" s="979">
        <v>1800</v>
      </c>
      <c r="X221" s="979">
        <v>7900</v>
      </c>
      <c r="Y221" s="979">
        <f>200+12700+3700</f>
        <v>16600</v>
      </c>
      <c r="Z221" s="979"/>
      <c r="AA221" s="979">
        <v>3000</v>
      </c>
      <c r="AB221" s="979">
        <v>5200</v>
      </c>
      <c r="AC221" s="979"/>
      <c r="AD221" s="979"/>
      <c r="AE221" s="1109">
        <f t="shared" si="82"/>
        <v>142700</v>
      </c>
      <c r="AF221" s="1113">
        <v>3900</v>
      </c>
      <c r="AG221" s="981">
        <v>9100</v>
      </c>
      <c r="AH221" s="981">
        <v>3200</v>
      </c>
      <c r="AI221" s="1114">
        <f t="shared" si="83"/>
        <v>16200</v>
      </c>
      <c r="AJ221" s="1110">
        <f t="shared" si="84"/>
        <v>158900</v>
      </c>
      <c r="AK221" s="982">
        <f>'09월 에너지'!S221</f>
        <v>145</v>
      </c>
      <c r="AL221" s="983">
        <f t="shared" si="85"/>
        <v>0.91252359974826935</v>
      </c>
    </row>
    <row r="222" spans="1:38" ht="16.5" customHeight="1">
      <c r="A222" s="999">
        <f>'09월 에너지'!A222</f>
        <v>46273</v>
      </c>
      <c r="B222" s="1002">
        <f>'09월 조업일지'!B220</f>
        <v>46273</v>
      </c>
      <c r="C222" s="1003" t="str">
        <f>'09월 에너지'!C222</f>
        <v>C</v>
      </c>
      <c r="D222" s="1004" t="str">
        <f>'09월 에너지'!D222</f>
        <v>A</v>
      </c>
      <c r="E222" s="1000">
        <f>'09월 에너지'!E222</f>
        <v>85422</v>
      </c>
      <c r="F222" s="1094" t="str">
        <f>'09월 에너지'!F222</f>
        <v>S355JO-01</v>
      </c>
      <c r="G222" s="980"/>
      <c r="H222" s="978"/>
      <c r="I222" s="978"/>
      <c r="J222" s="978"/>
      <c r="K222" s="978"/>
      <c r="L222" s="978"/>
      <c r="M222" s="978"/>
      <c r="N222" s="978"/>
      <c r="O222" s="1106" t="str">
        <f t="shared" si="81"/>
        <v/>
      </c>
      <c r="P222" s="1108">
        <f>4700+12400+7400+6400+2600</f>
        <v>33500</v>
      </c>
      <c r="Q222" s="979">
        <f>11400+5700</f>
        <v>17100</v>
      </c>
      <c r="R222" s="979">
        <v>8200</v>
      </c>
      <c r="S222" s="979"/>
      <c r="T222" s="979">
        <v>2300</v>
      </c>
      <c r="U222" s="979">
        <f>8000+12100</f>
        <v>20100</v>
      </c>
      <c r="V222" s="979">
        <f>5200+2500+9000+8700</f>
        <v>25400</v>
      </c>
      <c r="W222" s="979">
        <v>3700</v>
      </c>
      <c r="X222" s="979">
        <v>8000</v>
      </c>
      <c r="Y222" s="979">
        <f>2700+12400+2800+2400</f>
        <v>20300</v>
      </c>
      <c r="Z222" s="979"/>
      <c r="AA222" s="979">
        <v>400</v>
      </c>
      <c r="AB222" s="979">
        <v>1200</v>
      </c>
      <c r="AC222" s="979"/>
      <c r="AD222" s="979"/>
      <c r="AE222" s="1109">
        <f t="shared" si="82"/>
        <v>140200</v>
      </c>
      <c r="AF222" s="1113">
        <v>4900</v>
      </c>
      <c r="AG222" s="981">
        <v>10300</v>
      </c>
      <c r="AH222" s="981">
        <v>3100</v>
      </c>
      <c r="AI222" s="1114">
        <f t="shared" si="83"/>
        <v>18300</v>
      </c>
      <c r="AJ222" s="1110">
        <f t="shared" si="84"/>
        <v>158500</v>
      </c>
      <c r="AK222" s="982">
        <f>'09월 에너지'!S222</f>
        <v>145.19999999999999</v>
      </c>
      <c r="AL222" s="983">
        <f t="shared" si="85"/>
        <v>0.91608832807570983</v>
      </c>
    </row>
    <row r="223" spans="1:38" ht="16.5" customHeight="1">
      <c r="A223" s="999">
        <f>'09월 에너지'!A223</f>
        <v>46273</v>
      </c>
      <c r="B223" s="1002">
        <f>'09월 조업일지'!B221</f>
        <v>46273</v>
      </c>
      <c r="C223" s="1003" t="str">
        <f>'09월 에너지'!C223</f>
        <v>C</v>
      </c>
      <c r="D223" s="1004" t="str">
        <f>'09월 에너지'!D223</f>
        <v>B</v>
      </c>
      <c r="E223" s="1000">
        <f>'09월 에너지'!E223</f>
        <v>85423</v>
      </c>
      <c r="F223" s="1094" t="str">
        <f>'09월 에너지'!F223</f>
        <v>S355JO-01</v>
      </c>
      <c r="G223" s="980"/>
      <c r="H223" s="978"/>
      <c r="I223" s="978"/>
      <c r="J223" s="978"/>
      <c r="K223" s="978"/>
      <c r="L223" s="978"/>
      <c r="M223" s="978"/>
      <c r="N223" s="978"/>
      <c r="O223" s="1106" t="str">
        <f t="shared" si="81"/>
        <v/>
      </c>
      <c r="P223" s="1108">
        <f>8600+11800+9700+13200+6700+8400+6900</f>
        <v>65300</v>
      </c>
      <c r="Q223" s="979">
        <f>11500+3900</f>
        <v>15400</v>
      </c>
      <c r="R223" s="979">
        <v>6000</v>
      </c>
      <c r="S223" s="979"/>
      <c r="T223" s="979"/>
      <c r="U223" s="979">
        <v>4400</v>
      </c>
      <c r="V223" s="979">
        <f>3900+5100+5000+10300</f>
        <v>24300</v>
      </c>
      <c r="W223" s="979">
        <v>3200</v>
      </c>
      <c r="X223" s="979">
        <v>8700</v>
      </c>
      <c r="Y223" s="979">
        <f>3800+2500</f>
        <v>6300</v>
      </c>
      <c r="Z223" s="979"/>
      <c r="AA223" s="979">
        <v>2300</v>
      </c>
      <c r="AB223" s="979">
        <v>3100</v>
      </c>
      <c r="AC223" s="979"/>
      <c r="AD223" s="979">
        <v>2300</v>
      </c>
      <c r="AE223" s="1109">
        <f t="shared" si="82"/>
        <v>141300</v>
      </c>
      <c r="AF223" s="1113">
        <v>3000</v>
      </c>
      <c r="AG223" s="981">
        <v>11100</v>
      </c>
      <c r="AH223" s="981">
        <v>3500</v>
      </c>
      <c r="AI223" s="1114">
        <f t="shared" si="83"/>
        <v>17600</v>
      </c>
      <c r="AJ223" s="1110">
        <f t="shared" si="84"/>
        <v>158900</v>
      </c>
      <c r="AK223" s="982">
        <f>'09월 에너지'!S223</f>
        <v>142.1</v>
      </c>
      <c r="AL223" s="983">
        <f t="shared" si="85"/>
        <v>0.89427312775330392</v>
      </c>
    </row>
    <row r="224" spans="1:38" ht="16.5" customHeight="1">
      <c r="A224" s="999">
        <f>'09월 에너지'!A224</f>
        <v>46273</v>
      </c>
      <c r="B224" s="1002">
        <f>'09월 조업일지'!B222</f>
        <v>46273</v>
      </c>
      <c r="C224" s="1003" t="str">
        <f>'09월 에너지'!C224</f>
        <v>C</v>
      </c>
      <c r="D224" s="1004" t="str">
        <f>'09월 에너지'!D224</f>
        <v>A</v>
      </c>
      <c r="E224" s="1000">
        <f>'09월 에너지'!E224</f>
        <v>85424</v>
      </c>
      <c r="F224" s="1094" t="str">
        <f>'09월 에너지'!F224</f>
        <v>S355JO-01</v>
      </c>
      <c r="G224" s="980"/>
      <c r="H224" s="978"/>
      <c r="I224" s="978"/>
      <c r="J224" s="978"/>
      <c r="K224" s="978"/>
      <c r="L224" s="978"/>
      <c r="M224" s="978"/>
      <c r="N224" s="978"/>
      <c r="O224" s="1106" t="str">
        <f t="shared" si="81"/>
        <v/>
      </c>
      <c r="P224" s="1108">
        <f>8800+8000+6900+10400+6900+9100+6500</f>
        <v>56600</v>
      </c>
      <c r="Q224" s="979">
        <f>10500+7100</f>
        <v>17600</v>
      </c>
      <c r="R224" s="979">
        <v>8200</v>
      </c>
      <c r="S224" s="979"/>
      <c r="T224" s="979"/>
      <c r="U224" s="979">
        <v>9200</v>
      </c>
      <c r="V224" s="979">
        <f>4600+2600+3600+9100</f>
        <v>19900</v>
      </c>
      <c r="W224" s="979">
        <v>2100</v>
      </c>
      <c r="X224" s="979">
        <v>9500</v>
      </c>
      <c r="Y224" s="979">
        <f>1600+100+3200</f>
        <v>4900</v>
      </c>
      <c r="Z224" s="979"/>
      <c r="AA224" s="979">
        <v>1300</v>
      </c>
      <c r="AB224" s="979">
        <v>11700</v>
      </c>
      <c r="AC224" s="979"/>
      <c r="AD224" s="979">
        <v>8200</v>
      </c>
      <c r="AE224" s="1109">
        <f t="shared" si="82"/>
        <v>149200</v>
      </c>
      <c r="AF224" s="1113">
        <v>4200</v>
      </c>
      <c r="AG224" s="981">
        <v>2000</v>
      </c>
      <c r="AH224" s="981">
        <v>3200</v>
      </c>
      <c r="AI224" s="1114">
        <f t="shared" si="83"/>
        <v>9400</v>
      </c>
      <c r="AJ224" s="1110">
        <f t="shared" si="84"/>
        <v>158600</v>
      </c>
      <c r="AK224" s="982">
        <f>'09월 에너지'!S224</f>
        <v>147.1</v>
      </c>
      <c r="AL224" s="983">
        <f t="shared" si="85"/>
        <v>0.92749054224464056</v>
      </c>
    </row>
    <row r="225" spans="1:38" ht="16.5" customHeight="1">
      <c r="A225" s="999">
        <f>'09월 에너지'!A225</f>
        <v>46273</v>
      </c>
      <c r="B225" s="1002">
        <f>'09월 조업일지'!B223</f>
        <v>46273</v>
      </c>
      <c r="C225" s="1003" t="str">
        <f>'09월 에너지'!C225</f>
        <v>C</v>
      </c>
      <c r="D225" s="1004" t="str">
        <f>'09월 에너지'!D225</f>
        <v>B</v>
      </c>
      <c r="E225" s="1000">
        <f>'09월 에너지'!E225</f>
        <v>85425</v>
      </c>
      <c r="F225" s="1094" t="str">
        <f>'09월 에너지'!F225</f>
        <v>S355JO-01</v>
      </c>
      <c r="G225" s="980"/>
      <c r="H225" s="978"/>
      <c r="I225" s="978"/>
      <c r="J225" s="978"/>
      <c r="K225" s="978"/>
      <c r="L225" s="978"/>
      <c r="M225" s="978"/>
      <c r="N225" s="978"/>
      <c r="O225" s="1106" t="str">
        <f t="shared" si="81"/>
        <v/>
      </c>
      <c r="P225" s="1108">
        <f>10500+11300+12300+14200+6900+7900+2000</f>
        <v>65100</v>
      </c>
      <c r="Q225" s="979">
        <f>12100+6600</f>
        <v>18700</v>
      </c>
      <c r="R225" s="979">
        <v>5100</v>
      </c>
      <c r="S225" s="979"/>
      <c r="T225" s="979"/>
      <c r="U225" s="979">
        <v>4000</v>
      </c>
      <c r="V225" s="979">
        <f>200+2000+6200+9900</f>
        <v>18300</v>
      </c>
      <c r="W225" s="979">
        <v>3100</v>
      </c>
      <c r="X225" s="979">
        <v>8500</v>
      </c>
      <c r="Y225" s="979">
        <f>4000+5900+1600</f>
        <v>11500</v>
      </c>
      <c r="Z225" s="979"/>
      <c r="AA225" s="979">
        <v>4500</v>
      </c>
      <c r="AB225" s="979">
        <v>3500</v>
      </c>
      <c r="AC225" s="979"/>
      <c r="AD225" s="979">
        <v>6100</v>
      </c>
      <c r="AE225" s="1109">
        <f t="shared" si="82"/>
        <v>148400</v>
      </c>
      <c r="AF225" s="1113">
        <v>4200</v>
      </c>
      <c r="AG225" s="981">
        <v>4900</v>
      </c>
      <c r="AH225" s="981">
        <v>2900</v>
      </c>
      <c r="AI225" s="1114">
        <f t="shared" si="83"/>
        <v>12000</v>
      </c>
      <c r="AJ225" s="1110">
        <f t="shared" si="84"/>
        <v>160400</v>
      </c>
      <c r="AK225" s="982">
        <f>'09월 에너지'!S225</f>
        <v>143.80000000000001</v>
      </c>
      <c r="AL225" s="983">
        <f t="shared" si="85"/>
        <v>0.89650872817955107</v>
      </c>
    </row>
    <row r="226" spans="1:38" ht="16.5" customHeight="1">
      <c r="A226" s="999">
        <f>'09월 에너지'!A226</f>
        <v>46273</v>
      </c>
      <c r="B226" s="1002">
        <f>'09월 조업일지'!B224</f>
        <v>46273</v>
      </c>
      <c r="C226" s="1003" t="str">
        <f>'09월 에너지'!C226</f>
        <v>C</v>
      </c>
      <c r="D226" s="1004" t="str">
        <f>'09월 에너지'!D226</f>
        <v>B</v>
      </c>
      <c r="E226" s="1000">
        <f>'09월 에너지'!E226</f>
        <v>85426</v>
      </c>
      <c r="F226" s="1170" t="str">
        <f>'09월 에너지'!F226</f>
        <v>A572-50-03</v>
      </c>
      <c r="G226" s="980"/>
      <c r="H226" s="978"/>
      <c r="I226" s="978"/>
      <c r="J226" s="978"/>
      <c r="K226" s="978"/>
      <c r="L226" s="978"/>
      <c r="M226" s="978"/>
      <c r="N226" s="978"/>
      <c r="O226" s="1106" t="str">
        <f t="shared" si="81"/>
        <v/>
      </c>
      <c r="P226" s="1108">
        <f>7000+7400+7200+11900+6000+6700+5900+2000+9400</f>
        <v>63500</v>
      </c>
      <c r="Q226" s="979">
        <f>16600+4800</f>
        <v>21400</v>
      </c>
      <c r="R226" s="979">
        <v>8500</v>
      </c>
      <c r="S226" s="979"/>
      <c r="T226" s="979"/>
      <c r="U226" s="979">
        <f>2200+6800</f>
        <v>9000</v>
      </c>
      <c r="V226" s="979">
        <f>2300+5100</f>
        <v>7400</v>
      </c>
      <c r="W226" s="979">
        <v>2900</v>
      </c>
      <c r="X226" s="979">
        <v>10000</v>
      </c>
      <c r="Y226" s="979">
        <f>4800+100</f>
        <v>4900</v>
      </c>
      <c r="Z226" s="979"/>
      <c r="AA226" s="979">
        <v>3400</v>
      </c>
      <c r="AB226" s="979">
        <v>14600</v>
      </c>
      <c r="AC226" s="979"/>
      <c r="AD226" s="979">
        <v>3000</v>
      </c>
      <c r="AE226" s="1109">
        <f t="shared" si="82"/>
        <v>148600</v>
      </c>
      <c r="AF226" s="1113">
        <v>4500</v>
      </c>
      <c r="AG226" s="981">
        <v>3300</v>
      </c>
      <c r="AH226" s="981">
        <v>2700</v>
      </c>
      <c r="AI226" s="1114">
        <f t="shared" si="83"/>
        <v>10500</v>
      </c>
      <c r="AJ226" s="1110">
        <f t="shared" si="84"/>
        <v>159100</v>
      </c>
      <c r="AK226" s="982">
        <f>'09월 에너지'!S226</f>
        <v>146.80000000000001</v>
      </c>
      <c r="AL226" s="983">
        <f t="shared" si="85"/>
        <v>0.92269013199245753</v>
      </c>
    </row>
    <row r="227" spans="1:38" ht="16.5" customHeight="1">
      <c r="A227" s="999">
        <f>'09월 에너지'!A227</f>
        <v>46273</v>
      </c>
      <c r="B227" s="1002">
        <f>'09월 조업일지'!B225</f>
        <v>46273</v>
      </c>
      <c r="C227" s="1003" t="str">
        <f>'09월 에너지'!C227</f>
        <v>D</v>
      </c>
      <c r="D227" s="1004" t="str">
        <f>'09월 에너지'!D227</f>
        <v>A</v>
      </c>
      <c r="E227" s="1000">
        <f>'09월 에너지'!E227</f>
        <v>85427</v>
      </c>
      <c r="F227" s="1094" t="str">
        <f>'09월 에너지'!F227</f>
        <v>A572-50-03</v>
      </c>
      <c r="G227" s="980"/>
      <c r="H227" s="978"/>
      <c r="I227" s="978"/>
      <c r="J227" s="978"/>
      <c r="K227" s="978"/>
      <c r="L227" s="978"/>
      <c r="M227" s="978"/>
      <c r="N227" s="978"/>
      <c r="O227" s="1106" t="str">
        <f t="shared" si="81"/>
        <v/>
      </c>
      <c r="P227" s="1108">
        <f>6700+10000+8600+3000+2100</f>
        <v>30400</v>
      </c>
      <c r="Q227" s="979">
        <f>10500+6900</f>
        <v>17400</v>
      </c>
      <c r="R227" s="979">
        <v>13300</v>
      </c>
      <c r="S227" s="979"/>
      <c r="T227" s="979">
        <v>2600</v>
      </c>
      <c r="U227" s="979">
        <f>6900+12400</f>
        <v>19300</v>
      </c>
      <c r="V227" s="979">
        <f>1100+6800+8700</f>
        <v>16600</v>
      </c>
      <c r="W227" s="979">
        <v>4300</v>
      </c>
      <c r="X227" s="979">
        <v>6000</v>
      </c>
      <c r="Y227" s="979">
        <f>2300+17400+100+3500</f>
        <v>23300</v>
      </c>
      <c r="Z227" s="979"/>
      <c r="AA227" s="979">
        <v>3300</v>
      </c>
      <c r="AB227" s="979">
        <v>2900</v>
      </c>
      <c r="AC227" s="979"/>
      <c r="AD227" s="979">
        <v>11900</v>
      </c>
      <c r="AE227" s="1109">
        <f t="shared" si="82"/>
        <v>151300</v>
      </c>
      <c r="AF227" s="1113">
        <v>3600</v>
      </c>
      <c r="AG227" s="981">
        <v>2500</v>
      </c>
      <c r="AH227" s="981">
        <v>2600</v>
      </c>
      <c r="AI227" s="1114">
        <f t="shared" si="83"/>
        <v>8700</v>
      </c>
      <c r="AJ227" s="1110">
        <f t="shared" si="84"/>
        <v>160000</v>
      </c>
      <c r="AK227" s="982">
        <f>'09월 에너지'!S227</f>
        <v>146.19999999999999</v>
      </c>
      <c r="AL227" s="983">
        <f t="shared" si="85"/>
        <v>0.91374999999999995</v>
      </c>
    </row>
    <row r="228" spans="1:38" ht="16.5" customHeight="1">
      <c r="A228" s="999">
        <f>'09월 에너지'!A228</f>
        <v>46273</v>
      </c>
      <c r="B228" s="1002">
        <f>'09월 조업일지'!B226</f>
        <v>46273</v>
      </c>
      <c r="C228" s="1003" t="str">
        <f>'09월 에너지'!C228</f>
        <v>D</v>
      </c>
      <c r="D228" s="1004" t="str">
        <f>'09월 에너지'!D228</f>
        <v>A</v>
      </c>
      <c r="E228" s="1000">
        <f>'09월 에너지'!E228</f>
        <v>85428</v>
      </c>
      <c r="F228" s="1094" t="str">
        <f>'09월 에너지'!F228</f>
        <v>A572-50-03</v>
      </c>
      <c r="G228" s="980"/>
      <c r="H228" s="978"/>
      <c r="I228" s="978"/>
      <c r="J228" s="978"/>
      <c r="K228" s="978"/>
      <c r="L228" s="978"/>
      <c r="M228" s="978"/>
      <c r="N228" s="978"/>
      <c r="O228" s="1106" t="str">
        <f t="shared" si="81"/>
        <v/>
      </c>
      <c r="P228" s="1108">
        <f>10800+14700+7900+5500+1600+3700+10100</f>
        <v>54300</v>
      </c>
      <c r="Q228" s="979">
        <f>7600+9100</f>
        <v>16700</v>
      </c>
      <c r="R228" s="979">
        <v>10100</v>
      </c>
      <c r="S228" s="979"/>
      <c r="T228" s="979">
        <v>2900</v>
      </c>
      <c r="U228" s="979">
        <f>1400+3800</f>
        <v>5200</v>
      </c>
      <c r="V228" s="979">
        <f>7000+5800</f>
        <v>12800</v>
      </c>
      <c r="W228" s="979">
        <v>3300</v>
      </c>
      <c r="X228" s="979">
        <v>7900</v>
      </c>
      <c r="Y228" s="979">
        <f>5500+10800+3700</f>
        <v>20000</v>
      </c>
      <c r="Z228" s="979"/>
      <c r="AA228" s="979">
        <v>1200</v>
      </c>
      <c r="AB228" s="979">
        <v>1300</v>
      </c>
      <c r="AC228" s="979"/>
      <c r="AD228" s="979">
        <v>5900</v>
      </c>
      <c r="AE228" s="1109">
        <f t="shared" si="82"/>
        <v>141600</v>
      </c>
      <c r="AF228" s="1113">
        <v>1600</v>
      </c>
      <c r="AG228" s="981">
        <v>10000</v>
      </c>
      <c r="AH228" s="981">
        <v>5900</v>
      </c>
      <c r="AI228" s="1114">
        <f t="shared" si="83"/>
        <v>17500</v>
      </c>
      <c r="AJ228" s="1110">
        <f t="shared" si="84"/>
        <v>159100</v>
      </c>
      <c r="AK228" s="982">
        <f>'09월 에너지'!S228</f>
        <v>147.19999999999999</v>
      </c>
      <c r="AL228" s="983">
        <f t="shared" si="85"/>
        <v>0.92520427404148331</v>
      </c>
    </row>
    <row r="229" spans="1:38" ht="16.5" customHeight="1">
      <c r="A229" s="999">
        <f>'09월 에너지'!A229</f>
        <v>46273</v>
      </c>
      <c r="B229" s="1002">
        <f>'09월 조업일지'!B227</f>
        <v>46273</v>
      </c>
      <c r="C229" s="1003" t="str">
        <f>'09월 에너지'!C229</f>
        <v>D</v>
      </c>
      <c r="D229" s="1004" t="str">
        <f>'09월 에너지'!D229</f>
        <v>A</v>
      </c>
      <c r="E229" s="1000">
        <f>'09월 에너지'!E229</f>
        <v>85429</v>
      </c>
      <c r="F229" s="1094" t="str">
        <f>'09월 에너지'!F229</f>
        <v>A572-50-03</v>
      </c>
      <c r="G229" s="980"/>
      <c r="H229" s="978"/>
      <c r="I229" s="978"/>
      <c r="J229" s="978"/>
      <c r="K229" s="978"/>
      <c r="L229" s="978"/>
      <c r="M229" s="978"/>
      <c r="N229" s="978"/>
      <c r="O229" s="1106" t="str">
        <f t="shared" si="81"/>
        <v/>
      </c>
      <c r="P229" s="1108">
        <f>6700+9600+7100+3500+10200+3200+8200</f>
        <v>48500</v>
      </c>
      <c r="Q229" s="979">
        <f>9200+13000</f>
        <v>22200</v>
      </c>
      <c r="R229" s="979">
        <v>11400</v>
      </c>
      <c r="S229" s="979"/>
      <c r="T229" s="979">
        <v>5300</v>
      </c>
      <c r="U229" s="979">
        <f>6900+3000</f>
        <v>9900</v>
      </c>
      <c r="V229" s="979">
        <f>7600+200</f>
        <v>7800</v>
      </c>
      <c r="W229" s="979">
        <v>3900</v>
      </c>
      <c r="X229" s="979">
        <v>7000</v>
      </c>
      <c r="Y229" s="979">
        <f>5300+18400+0</f>
        <v>23700</v>
      </c>
      <c r="Z229" s="979"/>
      <c r="AA229" s="979">
        <v>3200</v>
      </c>
      <c r="AB229" s="979">
        <v>1800</v>
      </c>
      <c r="AC229" s="979"/>
      <c r="AD229" s="979">
        <v>1400</v>
      </c>
      <c r="AE229" s="1109">
        <f t="shared" si="82"/>
        <v>146100</v>
      </c>
      <c r="AF229" s="1113">
        <v>4000</v>
      </c>
      <c r="AG229" s="981">
        <v>4800</v>
      </c>
      <c r="AH229" s="981">
        <v>3300</v>
      </c>
      <c r="AI229" s="1114">
        <f t="shared" si="83"/>
        <v>12100</v>
      </c>
      <c r="AJ229" s="1110">
        <f t="shared" si="84"/>
        <v>158200</v>
      </c>
      <c r="AK229" s="982">
        <f>'09월 에너지'!S229</f>
        <v>144.19999999999999</v>
      </c>
      <c r="AL229" s="983">
        <f t="shared" si="85"/>
        <v>0.91150442477876104</v>
      </c>
    </row>
    <row r="230" spans="1:38" ht="16.5" customHeight="1">
      <c r="A230" s="999">
        <f>'09월 에너지'!A230</f>
        <v>46273</v>
      </c>
      <c r="B230" s="1002">
        <f>'09월 조업일지'!B228</f>
        <v>46273</v>
      </c>
      <c r="C230" s="1003" t="str">
        <f>'09월 에너지'!C230</f>
        <v>D</v>
      </c>
      <c r="D230" s="1004" t="str">
        <f>'09월 에너지'!D230</f>
        <v>A</v>
      </c>
      <c r="E230" s="1000">
        <f>'09월 에너지'!E230</f>
        <v>85430</v>
      </c>
      <c r="F230" s="1170" t="str">
        <f>'09월 에너지'!F230</f>
        <v>A272-50-01</v>
      </c>
      <c r="G230" s="980"/>
      <c r="H230" s="978"/>
      <c r="I230" s="978"/>
      <c r="J230" s="978"/>
      <c r="K230" s="978"/>
      <c r="L230" s="978"/>
      <c r="M230" s="978"/>
      <c r="N230" s="978"/>
      <c r="O230" s="1106" t="str">
        <f t="shared" si="81"/>
        <v/>
      </c>
      <c r="P230" s="1108">
        <f>12500+5000+7700+7000+1600+1900+9900</f>
        <v>45600</v>
      </c>
      <c r="Q230" s="979">
        <f>17100+12800</f>
        <v>29900</v>
      </c>
      <c r="R230" s="979">
        <v>7000</v>
      </c>
      <c r="S230" s="979"/>
      <c r="T230" s="979">
        <v>1600</v>
      </c>
      <c r="U230" s="979">
        <f>8000+4900</f>
        <v>12900</v>
      </c>
      <c r="V230" s="979">
        <f>7400+0</f>
        <v>7400</v>
      </c>
      <c r="W230" s="979">
        <v>4000</v>
      </c>
      <c r="X230" s="979">
        <v>6700</v>
      </c>
      <c r="Y230" s="979">
        <f>4400+10300+4300</f>
        <v>19000</v>
      </c>
      <c r="Z230" s="979"/>
      <c r="AA230" s="979">
        <v>1200</v>
      </c>
      <c r="AB230" s="979">
        <v>1700</v>
      </c>
      <c r="AC230" s="979"/>
      <c r="AD230" s="979">
        <v>1600</v>
      </c>
      <c r="AE230" s="1109">
        <f t="shared" si="82"/>
        <v>138600</v>
      </c>
      <c r="AF230" s="1113">
        <v>3200</v>
      </c>
      <c r="AG230" s="981">
        <v>13400</v>
      </c>
      <c r="AH230" s="981">
        <v>3600</v>
      </c>
      <c r="AI230" s="1114">
        <f t="shared" si="83"/>
        <v>20200</v>
      </c>
      <c r="AJ230" s="1110">
        <f t="shared" si="84"/>
        <v>158800</v>
      </c>
      <c r="AK230" s="982">
        <f>'09월 에너지'!S230</f>
        <v>144</v>
      </c>
      <c r="AL230" s="983">
        <f t="shared" si="85"/>
        <v>0.90680100755667503</v>
      </c>
    </row>
    <row r="231" spans="1:38" ht="16.5" customHeight="1">
      <c r="A231" s="999">
        <f>'09월 에너지'!A231</f>
        <v>46273</v>
      </c>
      <c r="B231" s="1002">
        <f>'09월 조업일지'!B229</f>
        <v>46273</v>
      </c>
      <c r="C231" s="1003" t="str">
        <f>'09월 에너지'!C231</f>
        <v>D</v>
      </c>
      <c r="D231" s="1004" t="str">
        <f>'09월 에너지'!D231</f>
        <v>B</v>
      </c>
      <c r="E231" s="1000">
        <f>'09월 에너지'!E231</f>
        <v>85431</v>
      </c>
      <c r="F231" s="1094" t="str">
        <f>'09월 에너지'!F231</f>
        <v>A272-50-01</v>
      </c>
      <c r="G231" s="980"/>
      <c r="H231" s="978"/>
      <c r="I231" s="978"/>
      <c r="J231" s="978"/>
      <c r="K231" s="978"/>
      <c r="L231" s="978"/>
      <c r="M231" s="978"/>
      <c r="N231" s="978"/>
      <c r="O231" s="1106" t="str">
        <f t="shared" si="81"/>
        <v/>
      </c>
      <c r="P231" s="1108">
        <f>12500+5000+7700+7000+1600+1900+9900</f>
        <v>45600</v>
      </c>
      <c r="Q231" s="979">
        <f>17100+12800</f>
        <v>29900</v>
      </c>
      <c r="R231" s="979">
        <v>7000</v>
      </c>
      <c r="S231" s="979"/>
      <c r="T231" s="979">
        <v>1600</v>
      </c>
      <c r="U231" s="979">
        <f>8000+4900</f>
        <v>12900</v>
      </c>
      <c r="V231" s="979">
        <f>7400+0</f>
        <v>7400</v>
      </c>
      <c r="W231" s="979">
        <v>4000</v>
      </c>
      <c r="X231" s="979">
        <v>6700</v>
      </c>
      <c r="Y231" s="979">
        <f>4400+10300+4300</f>
        <v>19000</v>
      </c>
      <c r="Z231" s="979"/>
      <c r="AA231" s="979">
        <v>1200</v>
      </c>
      <c r="AB231" s="979">
        <v>1700</v>
      </c>
      <c r="AC231" s="979"/>
      <c r="AD231" s="979">
        <v>1600</v>
      </c>
      <c r="AE231" s="1109">
        <f t="shared" ref="AE231" si="86">IF(SUM(P231:AD231)=0,"",SUM(P231:AD231))</f>
        <v>138600</v>
      </c>
      <c r="AF231" s="1113">
        <v>3200</v>
      </c>
      <c r="AG231" s="981">
        <v>13400</v>
      </c>
      <c r="AH231" s="981">
        <v>3600</v>
      </c>
      <c r="AI231" s="1114">
        <f t="shared" si="83"/>
        <v>20200</v>
      </c>
      <c r="AJ231" s="1110">
        <f t="shared" si="84"/>
        <v>158800</v>
      </c>
      <c r="AK231" s="982">
        <f>'09월 에너지'!S231</f>
        <v>148.1</v>
      </c>
      <c r="AL231" s="983">
        <f t="shared" si="85"/>
        <v>0.93261964735516378</v>
      </c>
    </row>
    <row r="232" spans="1:38" ht="16.5" customHeight="1">
      <c r="A232" s="999">
        <f>'09월 에너지'!A232</f>
        <v>46273</v>
      </c>
      <c r="B232" s="1002">
        <f>'09월 조업일지'!B230</f>
        <v>46273</v>
      </c>
      <c r="C232" s="1003" t="str">
        <f>'09월 에너지'!C232</f>
        <v>D</v>
      </c>
      <c r="D232" s="1004" t="str">
        <f>'09월 에너지'!D232</f>
        <v>A</v>
      </c>
      <c r="E232" s="1000">
        <f>'09월 에너지'!E232</f>
        <v>85432</v>
      </c>
      <c r="F232" s="1094" t="str">
        <f>'09월 에너지'!F232</f>
        <v>A272-50-01</v>
      </c>
      <c r="G232" s="980"/>
      <c r="H232" s="978"/>
      <c r="I232" s="978"/>
      <c r="J232" s="978"/>
      <c r="K232" s="978"/>
      <c r="L232" s="978"/>
      <c r="M232" s="978"/>
      <c r="N232" s="978"/>
      <c r="O232" s="1106" t="str">
        <f t="shared" si="81"/>
        <v/>
      </c>
      <c r="P232" s="1108">
        <f>6800+13800+6300+8300+7000+3100+9400</f>
        <v>54700</v>
      </c>
      <c r="Q232" s="979">
        <f>7100+3500</f>
        <v>10600</v>
      </c>
      <c r="R232" s="979">
        <v>7200</v>
      </c>
      <c r="S232" s="979"/>
      <c r="T232" s="979">
        <v>6800</v>
      </c>
      <c r="U232" s="979">
        <f>2500+2000</f>
        <v>4500</v>
      </c>
      <c r="V232" s="979">
        <f>7500+6600</f>
        <v>14100</v>
      </c>
      <c r="W232" s="979">
        <v>4000</v>
      </c>
      <c r="X232" s="979">
        <v>7900</v>
      </c>
      <c r="Y232" s="979">
        <f>4300+12600+2800</f>
        <v>19700</v>
      </c>
      <c r="Z232" s="979"/>
      <c r="AA232" s="979">
        <v>1500</v>
      </c>
      <c r="AB232" s="979">
        <v>2300</v>
      </c>
      <c r="AC232" s="979"/>
      <c r="AD232" s="979">
        <v>300</v>
      </c>
      <c r="AE232" s="1109">
        <f t="shared" si="82"/>
        <v>133600</v>
      </c>
      <c r="AF232" s="1113">
        <v>2700</v>
      </c>
      <c r="AG232" s="981">
        <v>11900</v>
      </c>
      <c r="AH232" s="981">
        <v>11100</v>
      </c>
      <c r="AI232" s="1114">
        <f t="shared" si="83"/>
        <v>25700</v>
      </c>
      <c r="AJ232" s="1110">
        <f t="shared" si="84"/>
        <v>159300</v>
      </c>
      <c r="AK232" s="982">
        <f>'09월 에너지'!S232</f>
        <v>146.19999999999999</v>
      </c>
      <c r="AL232" s="983">
        <f t="shared" si="85"/>
        <v>0.91776522284996864</v>
      </c>
    </row>
    <row r="233" spans="1:38" ht="16.5" customHeight="1">
      <c r="A233" s="999">
        <f>'09월 에너지'!A233</f>
        <v>46273</v>
      </c>
      <c r="B233" s="1002">
        <f>'09월 조업일지'!B231</f>
        <v>46273</v>
      </c>
      <c r="C233" s="1003" t="str">
        <f>'09월 에너지'!C233</f>
        <v>D</v>
      </c>
      <c r="D233" s="1004" t="str">
        <f>'09월 에너지'!D233</f>
        <v>B</v>
      </c>
      <c r="E233" s="1000">
        <f>'09월 에너지'!E233</f>
        <v>85433</v>
      </c>
      <c r="F233" s="1094" t="str">
        <f>'09월 에너지'!F233</f>
        <v>A272-50-01</v>
      </c>
      <c r="G233" s="980"/>
      <c r="H233" s="978"/>
      <c r="I233" s="978"/>
      <c r="J233" s="978"/>
      <c r="K233" s="978"/>
      <c r="L233" s="978"/>
      <c r="M233" s="978"/>
      <c r="N233" s="978"/>
      <c r="O233" s="1106" t="str">
        <f t="shared" si="81"/>
        <v/>
      </c>
      <c r="P233" s="1108">
        <f>12100+10600+7000+7200+3100+1800+9100</f>
        <v>50900</v>
      </c>
      <c r="Q233" s="979">
        <f>9400+6400</f>
        <v>15800</v>
      </c>
      <c r="R233" s="979">
        <v>8200</v>
      </c>
      <c r="S233" s="979"/>
      <c r="T233" s="979">
        <v>2200</v>
      </c>
      <c r="U233" s="979">
        <f>7800+6400</f>
        <v>14200</v>
      </c>
      <c r="V233" s="979">
        <f>5700+3000</f>
        <v>8700</v>
      </c>
      <c r="W233" s="979">
        <v>1800</v>
      </c>
      <c r="X233" s="979">
        <v>9200</v>
      </c>
      <c r="Y233" s="979">
        <f>3500+12300+3700</f>
        <v>19500</v>
      </c>
      <c r="Z233" s="979"/>
      <c r="AA233" s="979">
        <v>2400</v>
      </c>
      <c r="AB233" s="979">
        <v>1600</v>
      </c>
      <c r="AC233" s="979"/>
      <c r="AD233" s="979">
        <v>1300</v>
      </c>
      <c r="AE233" s="1109">
        <f t="shared" si="82"/>
        <v>135800</v>
      </c>
      <c r="AF233" s="1113">
        <v>4500</v>
      </c>
      <c r="AG233" s="981">
        <v>9300</v>
      </c>
      <c r="AH233" s="981">
        <v>8700</v>
      </c>
      <c r="AI233" s="1114">
        <f t="shared" si="83"/>
        <v>22500</v>
      </c>
      <c r="AJ233" s="1110">
        <f t="shared" si="84"/>
        <v>158300</v>
      </c>
      <c r="AK233" s="982">
        <f>'09월 에너지'!S233</f>
        <v>147.6</v>
      </c>
      <c r="AL233" s="983">
        <f t="shared" si="85"/>
        <v>0.93240682248894502</v>
      </c>
    </row>
    <row r="234" spans="1:38" ht="16.5" customHeight="1">
      <c r="A234" s="999">
        <f>'09월 에너지'!A234</f>
        <v>46273</v>
      </c>
      <c r="B234" s="1002">
        <f>'09월 조업일지'!B232</f>
        <v>46273</v>
      </c>
      <c r="C234" s="1003" t="str">
        <f>'09월 에너지'!C234</f>
        <v>D</v>
      </c>
      <c r="D234" s="1004" t="str">
        <f>'09월 에너지'!D234</f>
        <v>A</v>
      </c>
      <c r="E234" s="1000">
        <f>'09월 에너지'!E234</f>
        <v>85434</v>
      </c>
      <c r="F234" s="1094" t="str">
        <f>'09월 에너지'!F234</f>
        <v>A272-50-01</v>
      </c>
      <c r="G234" s="980"/>
      <c r="H234" s="978"/>
      <c r="I234" s="978"/>
      <c r="J234" s="978"/>
      <c r="K234" s="978"/>
      <c r="L234" s="978"/>
      <c r="M234" s="978"/>
      <c r="N234" s="978"/>
      <c r="O234" s="1106" t="str">
        <f t="shared" si="81"/>
        <v/>
      </c>
      <c r="P234" s="1108">
        <f>3700+13900+8600+7800+5300+3200+9000</f>
        <v>51500</v>
      </c>
      <c r="Q234" s="979">
        <f>18100+2700</f>
        <v>20800</v>
      </c>
      <c r="R234" s="979">
        <v>5700</v>
      </c>
      <c r="S234" s="979"/>
      <c r="T234" s="979">
        <v>7700</v>
      </c>
      <c r="U234" s="979">
        <f>7700+9200</f>
        <v>16900</v>
      </c>
      <c r="V234" s="979">
        <f>1500+1000</f>
        <v>2500</v>
      </c>
      <c r="W234" s="979">
        <v>3300</v>
      </c>
      <c r="X234" s="979">
        <v>6700</v>
      </c>
      <c r="Y234" s="979">
        <f>3900+14100+3200</f>
        <v>21200</v>
      </c>
      <c r="Z234" s="979"/>
      <c r="AA234" s="979">
        <v>3900</v>
      </c>
      <c r="AB234" s="979">
        <v>1300</v>
      </c>
      <c r="AC234" s="979"/>
      <c r="AD234" s="979">
        <v>2900</v>
      </c>
      <c r="AE234" s="1109">
        <f t="shared" si="82"/>
        <v>144400</v>
      </c>
      <c r="AF234" s="1113">
        <v>3500</v>
      </c>
      <c r="AG234" s="981">
        <v>2100</v>
      </c>
      <c r="AH234" s="981">
        <v>7600</v>
      </c>
      <c r="AI234" s="1114">
        <f t="shared" si="83"/>
        <v>13200</v>
      </c>
      <c r="AJ234" s="1110">
        <f t="shared" si="84"/>
        <v>157600</v>
      </c>
      <c r="AK234" s="982">
        <f>'09월 에너지'!S234</f>
        <v>145.9</v>
      </c>
      <c r="AL234" s="983">
        <f t="shared" si="85"/>
        <v>0.925761421319797</v>
      </c>
    </row>
    <row r="235" spans="1:38" ht="16.5" customHeight="1">
      <c r="A235" s="999">
        <f>'09월 에너지'!A235</f>
        <v>46273</v>
      </c>
      <c r="B235" s="1002">
        <f>'09월 조업일지'!B233</f>
        <v>46273</v>
      </c>
      <c r="C235" s="1003" t="str">
        <f>'09월 에너지'!C235</f>
        <v>D</v>
      </c>
      <c r="D235" s="1004" t="str">
        <f>'09월 에너지'!D235</f>
        <v>B</v>
      </c>
      <c r="E235" s="1000">
        <f>'09월 에너지'!E235</f>
        <v>85435</v>
      </c>
      <c r="F235" s="1094" t="str">
        <f>'09월 에너지'!F235</f>
        <v>A272-50-01</v>
      </c>
      <c r="G235" s="980"/>
      <c r="H235" s="978"/>
      <c r="I235" s="978"/>
      <c r="J235" s="978"/>
      <c r="K235" s="978"/>
      <c r="L235" s="978"/>
      <c r="M235" s="978"/>
      <c r="N235" s="978"/>
      <c r="O235" s="1106" t="str">
        <f t="shared" si="81"/>
        <v/>
      </c>
      <c r="P235" s="1108">
        <f>14900+12000+7100+7400+3200+2100+9200</f>
        <v>55900</v>
      </c>
      <c r="Q235" s="979">
        <f>8300+5900</f>
        <v>14200</v>
      </c>
      <c r="R235" s="979">
        <v>5700</v>
      </c>
      <c r="S235" s="979"/>
      <c r="T235" s="979">
        <v>3900</v>
      </c>
      <c r="U235" s="979">
        <f>6900+5800</f>
        <v>12700</v>
      </c>
      <c r="V235" s="979">
        <f>5100+7300</f>
        <v>12400</v>
      </c>
      <c r="W235" s="979">
        <v>3000</v>
      </c>
      <c r="X235" s="979">
        <v>8600</v>
      </c>
      <c r="Y235" s="979">
        <f>3300+11400+200</f>
        <v>14900</v>
      </c>
      <c r="Z235" s="979"/>
      <c r="AA235" s="979">
        <v>1600</v>
      </c>
      <c r="AB235" s="979">
        <v>2700</v>
      </c>
      <c r="AC235" s="979"/>
      <c r="AD235" s="979">
        <v>2600</v>
      </c>
      <c r="AE235" s="1109">
        <f t="shared" si="82"/>
        <v>138200</v>
      </c>
      <c r="AF235" s="1113">
        <v>4600</v>
      </c>
      <c r="AG235" s="981">
        <v>12200</v>
      </c>
      <c r="AH235" s="981">
        <v>4000</v>
      </c>
      <c r="AI235" s="1114">
        <f t="shared" si="83"/>
        <v>20800</v>
      </c>
      <c r="AJ235" s="1110">
        <f t="shared" si="84"/>
        <v>159000</v>
      </c>
      <c r="AK235" s="982">
        <f>'09월 에너지'!S235</f>
        <v>146</v>
      </c>
      <c r="AL235" s="983">
        <f t="shared" si="85"/>
        <v>0.91823899371069184</v>
      </c>
    </row>
    <row r="236" spans="1:38" ht="16.5" customHeight="1">
      <c r="A236" s="999">
        <f>'09월 에너지'!A236</f>
        <v>46273</v>
      </c>
      <c r="B236" s="1002">
        <f>'09월 조업일지'!B234</f>
        <v>46273</v>
      </c>
      <c r="C236" s="1003" t="str">
        <f>'09월 에너지'!C236</f>
        <v>A</v>
      </c>
      <c r="D236" s="1004" t="str">
        <f>'09월 에너지'!D236</f>
        <v>A</v>
      </c>
      <c r="E236" s="1000">
        <f>'09월 에너지'!E236</f>
        <v>85436</v>
      </c>
      <c r="F236" s="1094" t="str">
        <f>'09월 에너지'!F236</f>
        <v>A272-50-01</v>
      </c>
      <c r="G236" s="980"/>
      <c r="H236" s="978"/>
      <c r="I236" s="978"/>
      <c r="J236" s="978"/>
      <c r="K236" s="978"/>
      <c r="L236" s="978"/>
      <c r="M236" s="978"/>
      <c r="N236" s="978"/>
      <c r="O236" s="1106" t="str">
        <f t="shared" si="81"/>
        <v/>
      </c>
      <c r="P236" s="1108">
        <f>5500+8000+8500+7100+6900+15200</f>
        <v>51200</v>
      </c>
      <c r="Q236" s="979">
        <f>17700+3500</f>
        <v>21200</v>
      </c>
      <c r="R236" s="979">
        <v>8100</v>
      </c>
      <c r="S236" s="979">
        <v>0</v>
      </c>
      <c r="T236" s="979">
        <v>8100</v>
      </c>
      <c r="U236" s="979">
        <f>5200+4800</f>
        <v>10000</v>
      </c>
      <c r="V236" s="979">
        <f>5400+1200</f>
        <v>6600</v>
      </c>
      <c r="W236" s="979">
        <v>2900</v>
      </c>
      <c r="X236" s="979">
        <v>7000</v>
      </c>
      <c r="Y236" s="979">
        <f>1000+17900+7200</f>
        <v>26100</v>
      </c>
      <c r="Z236" s="979">
        <v>0</v>
      </c>
      <c r="AA236" s="979">
        <v>1700</v>
      </c>
      <c r="AB236" s="979">
        <v>1100</v>
      </c>
      <c r="AC236" s="979">
        <v>0</v>
      </c>
      <c r="AD236" s="979">
        <v>500</v>
      </c>
      <c r="AE236" s="1109">
        <f t="shared" si="82"/>
        <v>144500</v>
      </c>
      <c r="AF236" s="1113">
        <v>0</v>
      </c>
      <c r="AG236" s="981">
        <v>9900</v>
      </c>
      <c r="AH236" s="981">
        <v>2600</v>
      </c>
      <c r="AI236" s="1114">
        <f t="shared" si="83"/>
        <v>12500</v>
      </c>
      <c r="AJ236" s="1110">
        <f t="shared" si="84"/>
        <v>157000</v>
      </c>
      <c r="AK236" s="982">
        <f>'09월 에너지'!S236</f>
        <v>144.9</v>
      </c>
      <c r="AL236" s="983">
        <f t="shared" si="85"/>
        <v>0.9229299363057325</v>
      </c>
    </row>
    <row r="237" spans="1:38" ht="16.5" customHeight="1">
      <c r="A237" s="999">
        <f>'09월 에너지'!A237</f>
        <v>46273</v>
      </c>
      <c r="B237" s="1002">
        <f>'09월 조업일지'!B235</f>
        <v>46273</v>
      </c>
      <c r="C237" s="1003" t="str">
        <f>'09월 에너지'!C237</f>
        <v>A</v>
      </c>
      <c r="D237" s="1004" t="str">
        <f>'09월 에너지'!D237</f>
        <v>B</v>
      </c>
      <c r="E237" s="1000">
        <f>'09월 에너지'!E237</f>
        <v>85437</v>
      </c>
      <c r="F237" s="1094" t="str">
        <f>'09월 에너지'!F237</f>
        <v>A272-50-01</v>
      </c>
      <c r="G237" s="980"/>
      <c r="H237" s="978"/>
      <c r="I237" s="978"/>
      <c r="J237" s="978"/>
      <c r="K237" s="978"/>
      <c r="L237" s="978"/>
      <c r="M237" s="978"/>
      <c r="N237" s="978"/>
      <c r="O237" s="1106" t="str">
        <f t="shared" si="81"/>
        <v/>
      </c>
      <c r="P237" s="1108">
        <f>13600+12000+7400+7300+5300+1400+9200</f>
        <v>56200</v>
      </c>
      <c r="Q237" s="979">
        <f>12200+5500</f>
        <v>17700</v>
      </c>
      <c r="R237" s="979">
        <v>8000</v>
      </c>
      <c r="S237" s="979">
        <v>0</v>
      </c>
      <c r="T237" s="979">
        <v>2100</v>
      </c>
      <c r="U237" s="979">
        <f>8000+5600</f>
        <v>13600</v>
      </c>
      <c r="V237" s="979">
        <f>4100+3900</f>
        <v>8000</v>
      </c>
      <c r="W237" s="979">
        <v>1200</v>
      </c>
      <c r="X237" s="979">
        <v>9500</v>
      </c>
      <c r="Y237" s="979">
        <f>1800+13200+2600</f>
        <v>17600</v>
      </c>
      <c r="Z237" s="979">
        <v>0</v>
      </c>
      <c r="AA237" s="979">
        <v>2100</v>
      </c>
      <c r="AB237" s="979">
        <v>1300</v>
      </c>
      <c r="AC237" s="979">
        <v>0</v>
      </c>
      <c r="AD237" s="979">
        <v>1600</v>
      </c>
      <c r="AE237" s="1109">
        <f t="shared" si="82"/>
        <v>138900</v>
      </c>
      <c r="AF237" s="1113">
        <v>4400</v>
      </c>
      <c r="AG237" s="981">
        <v>11300</v>
      </c>
      <c r="AH237" s="981">
        <v>3600</v>
      </c>
      <c r="AI237" s="1114">
        <f t="shared" si="83"/>
        <v>19300</v>
      </c>
      <c r="AJ237" s="1110">
        <f t="shared" si="84"/>
        <v>158200</v>
      </c>
      <c r="AK237" s="982">
        <f>'09월 에너지'!S237</f>
        <v>145.30000000000001</v>
      </c>
      <c r="AL237" s="983">
        <f t="shared" si="85"/>
        <v>0.91845764854614409</v>
      </c>
    </row>
    <row r="238" spans="1:38" ht="16.5" customHeight="1">
      <c r="A238" s="999">
        <f>'09월 에너지'!A238</f>
        <v>46273</v>
      </c>
      <c r="B238" s="1002">
        <f>'09월 조업일지'!B236</f>
        <v>46273</v>
      </c>
      <c r="C238" s="1003" t="str">
        <f>'09월 에너지'!C238</f>
        <v>A</v>
      </c>
      <c r="D238" s="1004" t="str">
        <f>'09월 에너지'!D238</f>
        <v>A</v>
      </c>
      <c r="E238" s="1000">
        <f>'09월 에너지'!E238</f>
        <v>85438</v>
      </c>
      <c r="F238" s="1094" t="str">
        <f>'09월 에너지'!F238</f>
        <v>A272-50-01</v>
      </c>
      <c r="G238" s="980"/>
      <c r="H238" s="978"/>
      <c r="I238" s="978"/>
      <c r="J238" s="978"/>
      <c r="K238" s="978"/>
      <c r="L238" s="978"/>
      <c r="M238" s="978"/>
      <c r="N238" s="978"/>
      <c r="O238" s="1106" t="str">
        <f t="shared" si="81"/>
        <v/>
      </c>
      <c r="P238" s="1108">
        <f>8700+3500+18300+7100+6000+1900+10400</f>
        <v>55900</v>
      </c>
      <c r="Q238" s="979">
        <f>9900+1600</f>
        <v>11500</v>
      </c>
      <c r="R238" s="979">
        <v>3100</v>
      </c>
      <c r="S238" s="979">
        <v>0</v>
      </c>
      <c r="T238" s="979">
        <v>300</v>
      </c>
      <c r="U238" s="979">
        <f>6600+8500</f>
        <v>15100</v>
      </c>
      <c r="V238" s="979">
        <f>4400+5300</f>
        <v>9700</v>
      </c>
      <c r="W238" s="979">
        <v>0</v>
      </c>
      <c r="X238" s="979">
        <v>0</v>
      </c>
      <c r="Y238" s="979">
        <f>5900+22200+1100</f>
        <v>29200</v>
      </c>
      <c r="Z238" s="979">
        <v>0</v>
      </c>
      <c r="AA238" s="979">
        <v>2500</v>
      </c>
      <c r="AB238" s="979">
        <v>1700</v>
      </c>
      <c r="AC238" s="979">
        <v>0</v>
      </c>
      <c r="AD238" s="979">
        <v>700</v>
      </c>
      <c r="AE238" s="1109">
        <f t="shared" si="82"/>
        <v>129700</v>
      </c>
      <c r="AF238" s="1113">
        <v>3300</v>
      </c>
      <c r="AG238" s="981">
        <v>12100</v>
      </c>
      <c r="AH238" s="981">
        <v>13100</v>
      </c>
      <c r="AI238" s="1114">
        <f t="shared" si="83"/>
        <v>28500</v>
      </c>
      <c r="AJ238" s="1110">
        <f t="shared" si="84"/>
        <v>158200</v>
      </c>
      <c r="AK238" s="982">
        <f>'09월 에너지'!S238</f>
        <v>144.6</v>
      </c>
      <c r="AL238" s="983">
        <f t="shared" si="85"/>
        <v>0.91403286978508214</v>
      </c>
    </row>
    <row r="239" spans="1:38" ht="16.5" customHeight="1">
      <c r="A239" s="999">
        <f>'09월 에너지'!A239</f>
        <v>46273</v>
      </c>
      <c r="B239" s="1002">
        <f>'09월 조업일지'!B237</f>
        <v>46273</v>
      </c>
      <c r="C239" s="1003" t="str">
        <f>'09월 에너지'!C239</f>
        <v>A</v>
      </c>
      <c r="D239" s="1004" t="str">
        <f>'09월 에너지'!D239</f>
        <v>B</v>
      </c>
      <c r="E239" s="1000">
        <f>'09월 에너지'!E239</f>
        <v>85439</v>
      </c>
      <c r="F239" s="1170" t="str">
        <f>'09월 에너지'!F239</f>
        <v>S355JO-01</v>
      </c>
      <c r="G239" s="980"/>
      <c r="H239" s="978"/>
      <c r="I239" s="978"/>
      <c r="J239" s="978"/>
      <c r="K239" s="978"/>
      <c r="L239" s="978"/>
      <c r="M239" s="978"/>
      <c r="N239" s="978"/>
      <c r="O239" s="1106" t="str">
        <f t="shared" si="81"/>
        <v/>
      </c>
      <c r="P239" s="1108">
        <f>6400+10000+7200+14700+6100+9000+9700</f>
        <v>63100</v>
      </c>
      <c r="Q239" s="979">
        <f>17500+15400</f>
        <v>32900</v>
      </c>
      <c r="R239" s="979">
        <v>3700</v>
      </c>
      <c r="S239" s="979">
        <v>0</v>
      </c>
      <c r="T239" s="979">
        <v>0</v>
      </c>
      <c r="U239" s="979">
        <v>5300</v>
      </c>
      <c r="V239" s="979">
        <f>2200+4900+5900</f>
        <v>13000</v>
      </c>
      <c r="W239" s="979">
        <v>3500</v>
      </c>
      <c r="X239" s="979">
        <v>8700</v>
      </c>
      <c r="Y239" s="979">
        <f>100+100</f>
        <v>200</v>
      </c>
      <c r="Z239" s="979">
        <v>0</v>
      </c>
      <c r="AA239" s="979">
        <v>5000</v>
      </c>
      <c r="AB239" s="979">
        <v>5400</v>
      </c>
      <c r="AC239" s="979">
        <v>0</v>
      </c>
      <c r="AD239" s="979">
        <v>2900</v>
      </c>
      <c r="AE239" s="1109">
        <f t="shared" si="82"/>
        <v>143700</v>
      </c>
      <c r="AF239" s="1113">
        <v>0</v>
      </c>
      <c r="AG239" s="981">
        <v>9700</v>
      </c>
      <c r="AH239" s="981">
        <v>4800</v>
      </c>
      <c r="AI239" s="1114">
        <f t="shared" si="83"/>
        <v>14500</v>
      </c>
      <c r="AJ239" s="1110">
        <f t="shared" si="84"/>
        <v>158200</v>
      </c>
      <c r="AK239" s="982">
        <f>'09월 에너지'!S239</f>
        <v>144.6</v>
      </c>
      <c r="AL239" s="983">
        <f t="shared" si="85"/>
        <v>0.91403286978508214</v>
      </c>
    </row>
    <row r="240" spans="1:38" ht="16.5" customHeight="1">
      <c r="A240" s="999">
        <f>'09월 에너지'!A240</f>
        <v>46273</v>
      </c>
      <c r="B240" s="1002">
        <f>'09월 조업일지'!B238</f>
        <v>46273</v>
      </c>
      <c r="C240" s="1003" t="str">
        <f>'09월 에너지'!C240</f>
        <v>A</v>
      </c>
      <c r="D240" s="1004" t="str">
        <f>'09월 에너지'!D240</f>
        <v>A</v>
      </c>
      <c r="E240" s="1000">
        <f>'09월 에너지'!E240</f>
        <v>85440</v>
      </c>
      <c r="F240" s="1094" t="str">
        <f>'09월 에너지'!F240</f>
        <v>S355JO-01</v>
      </c>
      <c r="G240" s="980"/>
      <c r="H240" s="978"/>
      <c r="I240" s="978"/>
      <c r="J240" s="978"/>
      <c r="K240" s="978"/>
      <c r="L240" s="978"/>
      <c r="M240" s="978"/>
      <c r="N240" s="978"/>
      <c r="O240" s="1106" t="str">
        <f t="shared" si="81"/>
        <v/>
      </c>
      <c r="P240" s="1108">
        <f>4200+3200+10800+15000+6700+2600+6800</f>
        <v>49300</v>
      </c>
      <c r="Q240" s="979">
        <f>15000+5100</f>
        <v>20100</v>
      </c>
      <c r="R240" s="979">
        <v>5100</v>
      </c>
      <c r="S240" s="979">
        <v>0</v>
      </c>
      <c r="T240" s="979">
        <v>0</v>
      </c>
      <c r="U240" s="979">
        <v>2200</v>
      </c>
      <c r="V240" s="979">
        <f>4900+4200+5900+9600</f>
        <v>24600</v>
      </c>
      <c r="W240" s="979">
        <v>5200</v>
      </c>
      <c r="X240" s="979">
        <v>7600</v>
      </c>
      <c r="Y240" s="979">
        <f>4400+3700+3100</f>
        <v>11200</v>
      </c>
      <c r="Z240" s="979">
        <v>0</v>
      </c>
      <c r="AA240" s="979">
        <v>3700</v>
      </c>
      <c r="AB240" s="979">
        <v>600</v>
      </c>
      <c r="AC240" s="979">
        <v>0</v>
      </c>
      <c r="AD240" s="979">
        <v>1000</v>
      </c>
      <c r="AE240" s="1109">
        <f t="shared" si="82"/>
        <v>130600</v>
      </c>
      <c r="AF240" s="1113">
        <v>3600</v>
      </c>
      <c r="AG240" s="981">
        <v>18100</v>
      </c>
      <c r="AH240" s="981">
        <v>5900</v>
      </c>
      <c r="AI240" s="1114">
        <f t="shared" si="83"/>
        <v>27600</v>
      </c>
      <c r="AJ240" s="1110">
        <f t="shared" si="84"/>
        <v>158200</v>
      </c>
      <c r="AK240" s="982">
        <f>'09월 에너지'!S240</f>
        <v>143.69999999999999</v>
      </c>
      <c r="AL240" s="983">
        <f t="shared" si="85"/>
        <v>0.90834386852085969</v>
      </c>
    </row>
    <row r="241" spans="1:38" ht="16.5" customHeight="1">
      <c r="A241" s="999">
        <f>'09월 에너지'!A241</f>
        <v>46273</v>
      </c>
      <c r="B241" s="1002">
        <f>'09월 조업일지'!B239</f>
        <v>46273</v>
      </c>
      <c r="C241" s="1003" t="str">
        <f>'09월 에너지'!C241</f>
        <v>A</v>
      </c>
      <c r="D241" s="1004" t="str">
        <f>'09월 에너지'!D241</f>
        <v>B</v>
      </c>
      <c r="E241" s="1000">
        <f>'09월 에너지'!E241</f>
        <v>85441</v>
      </c>
      <c r="F241" s="1094" t="str">
        <f>'09월 에너지'!F241</f>
        <v>S355JO-01</v>
      </c>
      <c r="G241" s="980"/>
      <c r="H241" s="978"/>
      <c r="I241" s="978"/>
      <c r="J241" s="978"/>
      <c r="K241" s="978"/>
      <c r="L241" s="978"/>
      <c r="M241" s="978"/>
      <c r="N241" s="978"/>
      <c r="O241" s="1106" t="str">
        <f t="shared" si="81"/>
        <v/>
      </c>
      <c r="P241" s="1108">
        <f>4200+3200+10800+15000+6700+2600+6800</f>
        <v>49300</v>
      </c>
      <c r="Q241" s="979">
        <f>15000+5100</f>
        <v>20100</v>
      </c>
      <c r="R241" s="979">
        <v>5100</v>
      </c>
      <c r="S241" s="979">
        <v>0</v>
      </c>
      <c r="T241" s="979">
        <v>0</v>
      </c>
      <c r="U241" s="979">
        <v>2200</v>
      </c>
      <c r="V241" s="979">
        <f>4900+4200+5900+9600</f>
        <v>24600</v>
      </c>
      <c r="W241" s="979">
        <v>5200</v>
      </c>
      <c r="X241" s="979">
        <v>7600</v>
      </c>
      <c r="Y241" s="979">
        <f>4400+3700+3100</f>
        <v>11200</v>
      </c>
      <c r="Z241" s="979">
        <v>0</v>
      </c>
      <c r="AA241" s="979">
        <v>3700</v>
      </c>
      <c r="AB241" s="979">
        <v>600</v>
      </c>
      <c r="AC241" s="979">
        <v>0</v>
      </c>
      <c r="AD241" s="979">
        <v>1000</v>
      </c>
      <c r="AE241" s="1109">
        <f t="shared" ref="AE241" si="87">IF(SUM(P241:AD241)=0,"",SUM(P241:AD241))</f>
        <v>130600</v>
      </c>
      <c r="AF241" s="1113">
        <v>3600</v>
      </c>
      <c r="AG241" s="981">
        <v>18100</v>
      </c>
      <c r="AH241" s="981">
        <v>5900</v>
      </c>
      <c r="AI241" s="1114">
        <f t="shared" ref="AI241" si="88">IF(SUM(AF241:AH241)=0,"",SUM(AF241:AH241))</f>
        <v>27600</v>
      </c>
      <c r="AJ241" s="1110">
        <f t="shared" si="84"/>
        <v>158200</v>
      </c>
      <c r="AK241" s="982">
        <f>'09월 에너지'!S241</f>
        <v>147</v>
      </c>
      <c r="AL241" s="983">
        <f t="shared" si="85"/>
        <v>0.92920353982300885</v>
      </c>
    </row>
    <row r="242" spans="1:38" ht="16.5" customHeight="1">
      <c r="A242" s="999">
        <f>'09월 에너지'!A242</f>
        <v>46273</v>
      </c>
      <c r="B242" s="1002">
        <f>'09월 조업일지'!B240</f>
        <v>46273</v>
      </c>
      <c r="C242" s="1003" t="str">
        <f>'09월 에너지'!C242</f>
        <v>A</v>
      </c>
      <c r="D242" s="1004" t="str">
        <f>'09월 에너지'!D242</f>
        <v>A</v>
      </c>
      <c r="E242" s="1000">
        <f>'09월 에너지'!E242</f>
        <v>85442</v>
      </c>
      <c r="F242" s="1094" t="str">
        <f>'09월 에너지'!F242</f>
        <v>S355JO-01</v>
      </c>
      <c r="G242" s="980"/>
      <c r="H242" s="978"/>
      <c r="I242" s="978"/>
      <c r="J242" s="978"/>
      <c r="K242" s="978"/>
      <c r="L242" s="978"/>
      <c r="M242" s="978"/>
      <c r="N242" s="978"/>
      <c r="O242" s="1106" t="str">
        <f t="shared" si="81"/>
        <v/>
      </c>
      <c r="P242" s="1108">
        <f>13200+8700+12200+5100+6200+400+6600</f>
        <v>52400</v>
      </c>
      <c r="Q242" s="979">
        <f>13700+7700</f>
        <v>21400</v>
      </c>
      <c r="R242" s="979">
        <v>4200</v>
      </c>
      <c r="S242" s="979">
        <v>0</v>
      </c>
      <c r="T242" s="979">
        <v>0</v>
      </c>
      <c r="U242" s="979">
        <v>4900</v>
      </c>
      <c r="V242" s="979">
        <f>6000+5800+6200+9200</f>
        <v>27200</v>
      </c>
      <c r="W242" s="979">
        <v>3200</v>
      </c>
      <c r="X242" s="979">
        <v>9000</v>
      </c>
      <c r="Y242" s="979">
        <f>1700+1500+3100</f>
        <v>6300</v>
      </c>
      <c r="Z242" s="979">
        <v>0</v>
      </c>
      <c r="AA242" s="979">
        <v>1700</v>
      </c>
      <c r="AB242" s="979">
        <v>2600</v>
      </c>
      <c r="AC242" s="979">
        <v>0</v>
      </c>
      <c r="AD242" s="979">
        <v>1800</v>
      </c>
      <c r="AE242" s="1109">
        <f t="shared" si="82"/>
        <v>134700</v>
      </c>
      <c r="AF242" s="1113">
        <v>4600</v>
      </c>
      <c r="AG242" s="981">
        <v>12600</v>
      </c>
      <c r="AH242" s="981">
        <v>6700</v>
      </c>
      <c r="AI242" s="1114">
        <f t="shared" si="83"/>
        <v>23900</v>
      </c>
      <c r="AJ242" s="1110">
        <f t="shared" si="84"/>
        <v>158600</v>
      </c>
      <c r="AK242" s="982">
        <f>'09월 에너지'!S242</f>
        <v>149.30000000000001</v>
      </c>
      <c r="AL242" s="983">
        <f t="shared" si="85"/>
        <v>0.94136191677175285</v>
      </c>
    </row>
    <row r="243" spans="1:38" ht="16.5" customHeight="1">
      <c r="A243" s="999">
        <f>'09월 에너지'!A243</f>
        <v>46274</v>
      </c>
      <c r="B243" s="1002">
        <f>'09월 조업일지'!B241</f>
        <v>46273</v>
      </c>
      <c r="C243" s="1003" t="str">
        <f>'09월 에너지'!C243</f>
        <v>A</v>
      </c>
      <c r="D243" s="1004" t="str">
        <f>'09월 에너지'!D243</f>
        <v>B</v>
      </c>
      <c r="E243" s="1000">
        <f>'09월 에너지'!E243</f>
        <v>85443</v>
      </c>
      <c r="F243" s="1094" t="str">
        <f>'09월 에너지'!F243</f>
        <v>S355JO-01</v>
      </c>
      <c r="G243" s="980"/>
      <c r="H243" s="978"/>
      <c r="I243" s="978"/>
      <c r="J243" s="978"/>
      <c r="K243" s="978"/>
      <c r="L243" s="978"/>
      <c r="M243" s="978"/>
      <c r="N243" s="978"/>
      <c r="O243" s="1106" t="str">
        <f t="shared" si="81"/>
        <v/>
      </c>
      <c r="P243" s="1108">
        <f>6700+13700+12000+9500+7600+5700+5400</f>
        <v>60600</v>
      </c>
      <c r="Q243" s="979">
        <f>10500+8600</f>
        <v>19100</v>
      </c>
      <c r="R243" s="979">
        <v>8100</v>
      </c>
      <c r="S243" s="979">
        <v>0</v>
      </c>
      <c r="T243" s="979">
        <v>0</v>
      </c>
      <c r="U243" s="979">
        <v>4500</v>
      </c>
      <c r="V243" s="979">
        <f>3100+5700+3700+9000</f>
        <v>21500</v>
      </c>
      <c r="W243" s="979">
        <v>3900</v>
      </c>
      <c r="X243" s="979">
        <v>7300</v>
      </c>
      <c r="Y243" s="979">
        <f>2500+1600+3500</f>
        <v>7600</v>
      </c>
      <c r="Z243" s="979">
        <v>0</v>
      </c>
      <c r="AA243" s="979">
        <v>5600</v>
      </c>
      <c r="AB243" s="979">
        <v>4800</v>
      </c>
      <c r="AC243" s="979">
        <v>0</v>
      </c>
      <c r="AD243" s="979">
        <v>3900</v>
      </c>
      <c r="AE243" s="1109">
        <f t="shared" si="82"/>
        <v>146900</v>
      </c>
      <c r="AF243" s="1113">
        <v>2400</v>
      </c>
      <c r="AG243" s="981">
        <v>8000</v>
      </c>
      <c r="AH243" s="981">
        <v>1500</v>
      </c>
      <c r="AI243" s="1114">
        <f t="shared" si="83"/>
        <v>11900</v>
      </c>
      <c r="AJ243" s="1110">
        <f t="shared" si="84"/>
        <v>158800</v>
      </c>
      <c r="AK243" s="982">
        <f>'09월 에너지'!S243</f>
        <v>148.4</v>
      </c>
      <c r="AL243" s="983">
        <f t="shared" si="85"/>
        <v>0.93450881612090675</v>
      </c>
    </row>
    <row r="244" spans="1:38" ht="16.5" customHeight="1">
      <c r="A244" s="999">
        <f>'09월 에너지'!A244</f>
        <v>46274</v>
      </c>
      <c r="B244" s="1002">
        <f>'09월 조업일지'!B242</f>
        <v>46273</v>
      </c>
      <c r="C244" s="1003" t="str">
        <f>'09월 에너지'!C244</f>
        <v>A</v>
      </c>
      <c r="D244" s="1004" t="str">
        <f>'09월 에너지'!D244</f>
        <v>A</v>
      </c>
      <c r="E244" s="1000">
        <f>'09월 에너지'!E244</f>
        <v>85444</v>
      </c>
      <c r="F244" s="1094" t="str">
        <f>'09월 에너지'!F244</f>
        <v>S355JO-01</v>
      </c>
      <c r="G244" s="980"/>
      <c r="H244" s="978"/>
      <c r="I244" s="978"/>
      <c r="J244" s="978"/>
      <c r="K244" s="978"/>
      <c r="L244" s="978"/>
      <c r="M244" s="978"/>
      <c r="N244" s="978"/>
      <c r="O244" s="1106" t="str">
        <f t="shared" si="81"/>
        <v/>
      </c>
      <c r="P244" s="1108">
        <f>11700+12500+9600+14700+5000+8100+5500</f>
        <v>67100</v>
      </c>
      <c r="Q244" s="979">
        <f>6600+7700</f>
        <v>14300</v>
      </c>
      <c r="R244" s="979">
        <v>5200</v>
      </c>
      <c r="S244" s="979">
        <v>0</v>
      </c>
      <c r="T244" s="979">
        <v>0</v>
      </c>
      <c r="U244" s="979">
        <v>4900</v>
      </c>
      <c r="V244" s="979">
        <f>3500+8100+8500</f>
        <v>20100</v>
      </c>
      <c r="W244" s="979">
        <v>4300</v>
      </c>
      <c r="X244" s="979">
        <v>9100</v>
      </c>
      <c r="Y244" s="979">
        <f>4800+1500</f>
        <v>6300</v>
      </c>
      <c r="Z244" s="979">
        <v>0</v>
      </c>
      <c r="AA244" s="979">
        <v>700</v>
      </c>
      <c r="AB244" s="979">
        <v>3800</v>
      </c>
      <c r="AC244" s="979">
        <v>0</v>
      </c>
      <c r="AD244" s="979">
        <v>2600</v>
      </c>
      <c r="AE244" s="1109">
        <f t="shared" si="82"/>
        <v>138400</v>
      </c>
      <c r="AF244" s="1113">
        <v>5600</v>
      </c>
      <c r="AG244" s="981">
        <v>7800</v>
      </c>
      <c r="AH244" s="981">
        <v>5800</v>
      </c>
      <c r="AI244" s="1114">
        <f t="shared" si="83"/>
        <v>19200</v>
      </c>
      <c r="AJ244" s="1110">
        <f t="shared" si="84"/>
        <v>157600</v>
      </c>
      <c r="AK244" s="982">
        <f>'09월 에너지'!S244</f>
        <v>150.5</v>
      </c>
      <c r="AL244" s="983">
        <f t="shared" si="85"/>
        <v>0.95494923857868019</v>
      </c>
    </row>
    <row r="245" spans="1:38" ht="16.5" customHeight="1">
      <c r="A245" s="999">
        <f>'09월 에너지'!A245</f>
        <v>46274</v>
      </c>
      <c r="B245" s="1002">
        <f>'09월 조업일지'!B243</f>
        <v>46273</v>
      </c>
      <c r="C245" s="1003" t="str">
        <f>'09월 에너지'!C245</f>
        <v>A</v>
      </c>
      <c r="D245" s="1004" t="str">
        <f>'09월 에너지'!D245</f>
        <v>B</v>
      </c>
      <c r="E245" s="1000">
        <f>'09월 에너지'!E245</f>
        <v>85445</v>
      </c>
      <c r="F245" s="1094" t="str">
        <f>'09월 에너지'!F245</f>
        <v>S355JO-01</v>
      </c>
      <c r="G245" s="980"/>
      <c r="H245" s="978"/>
      <c r="I245" s="978"/>
      <c r="J245" s="978"/>
      <c r="K245" s="978"/>
      <c r="L245" s="978"/>
      <c r="M245" s="978"/>
      <c r="N245" s="978"/>
      <c r="O245" s="1106" t="str">
        <f t="shared" si="81"/>
        <v/>
      </c>
      <c r="P245" s="1108">
        <f>7200+13200+5600+14300+5400+4800+6100</f>
        <v>56600</v>
      </c>
      <c r="Q245" s="979">
        <f>11700+12300</f>
        <v>24000</v>
      </c>
      <c r="R245" s="979">
        <v>7500</v>
      </c>
      <c r="S245" s="979">
        <v>0</v>
      </c>
      <c r="T245" s="979">
        <v>0</v>
      </c>
      <c r="U245" s="979">
        <v>5800</v>
      </c>
      <c r="V245" s="979">
        <f>3100+2800+2000+10000</f>
        <v>17900</v>
      </c>
      <c r="W245" s="979">
        <v>4400</v>
      </c>
      <c r="X245" s="979">
        <v>8700</v>
      </c>
      <c r="Y245" s="979">
        <f>600+2800+2100</f>
        <v>5500</v>
      </c>
      <c r="Z245" s="979">
        <v>0</v>
      </c>
      <c r="AA245" s="979">
        <v>2300</v>
      </c>
      <c r="AB245" s="979">
        <v>5300</v>
      </c>
      <c r="AC245" s="979">
        <v>0</v>
      </c>
      <c r="AD245" s="979">
        <v>5400</v>
      </c>
      <c r="AE245" s="1109">
        <f t="shared" si="82"/>
        <v>143400</v>
      </c>
      <c r="AF245" s="1113">
        <v>2700</v>
      </c>
      <c r="AG245" s="981">
        <v>5600</v>
      </c>
      <c r="AH245" s="981">
        <v>7100</v>
      </c>
      <c r="AI245" s="1114">
        <f t="shared" si="83"/>
        <v>15400</v>
      </c>
      <c r="AJ245" s="1110">
        <f t="shared" si="84"/>
        <v>158800</v>
      </c>
      <c r="AK245" s="982">
        <f>'09월 에너지'!S245</f>
        <v>149.30000000000001</v>
      </c>
      <c r="AL245" s="983">
        <f t="shared" si="85"/>
        <v>0.94017632241813598</v>
      </c>
    </row>
    <row r="246" spans="1:38" ht="16.5" customHeight="1">
      <c r="A246" s="999">
        <f>'09월 에너지'!A246</f>
        <v>46274</v>
      </c>
      <c r="B246" s="1002">
        <f>'09월 조업일지'!B244</f>
        <v>46273</v>
      </c>
      <c r="C246" s="1003" t="str">
        <f>'09월 에너지'!C246</f>
        <v>A</v>
      </c>
      <c r="D246" s="1004" t="str">
        <f>'09월 에너지'!D246</f>
        <v>A</v>
      </c>
      <c r="E246" s="1000">
        <f>'09월 에너지'!E246</f>
        <v>85446</v>
      </c>
      <c r="F246" s="1094" t="str">
        <f>'09월 에너지'!F246</f>
        <v>S355JO-01</v>
      </c>
      <c r="G246" s="980"/>
      <c r="H246" s="978"/>
      <c r="I246" s="978"/>
      <c r="J246" s="978"/>
      <c r="K246" s="978"/>
      <c r="L246" s="978"/>
      <c r="M246" s="978"/>
      <c r="N246" s="978"/>
      <c r="O246" s="1106" t="str">
        <f t="shared" si="81"/>
        <v/>
      </c>
      <c r="P246" s="1108">
        <f>10900+12100+10100+7100+5100+4200+7300</f>
        <v>56800</v>
      </c>
      <c r="Q246" s="979">
        <f>12400+900</f>
        <v>13300</v>
      </c>
      <c r="R246" s="979">
        <v>7000</v>
      </c>
      <c r="S246" s="979">
        <v>0</v>
      </c>
      <c r="T246" s="979">
        <v>0</v>
      </c>
      <c r="U246" s="979">
        <v>4400</v>
      </c>
      <c r="V246" s="979">
        <f>5200+6700+7700+9500</f>
        <v>29100</v>
      </c>
      <c r="W246" s="979">
        <v>3200</v>
      </c>
      <c r="X246" s="979">
        <v>9400</v>
      </c>
      <c r="Y246" s="979">
        <f>3600+2400+2400</f>
        <v>8400</v>
      </c>
      <c r="Z246" s="979">
        <v>0</v>
      </c>
      <c r="AA246" s="979">
        <v>800</v>
      </c>
      <c r="AB246" s="979">
        <v>3000</v>
      </c>
      <c r="AC246" s="979">
        <v>0</v>
      </c>
      <c r="AD246" s="979">
        <v>2800</v>
      </c>
      <c r="AE246" s="1109">
        <f t="shared" si="82"/>
        <v>138200</v>
      </c>
      <c r="AF246" s="1113">
        <v>4700</v>
      </c>
      <c r="AG246" s="981">
        <v>10200</v>
      </c>
      <c r="AH246" s="981">
        <v>5700</v>
      </c>
      <c r="AI246" s="1114">
        <f t="shared" si="83"/>
        <v>20600</v>
      </c>
      <c r="AJ246" s="1110">
        <f t="shared" si="84"/>
        <v>158800</v>
      </c>
      <c r="AK246" s="982">
        <f>'09월 에너지'!S246</f>
        <v>144.6</v>
      </c>
      <c r="AL246" s="983">
        <f t="shared" si="85"/>
        <v>0.91057934508816119</v>
      </c>
    </row>
    <row r="247" spans="1:38" ht="16.5" customHeight="1">
      <c r="A247" s="999">
        <f>'09월 에너지'!A247</f>
        <v>46274</v>
      </c>
      <c r="B247" s="1002">
        <f>'09월 조업일지'!B245</f>
        <v>46274</v>
      </c>
      <c r="C247" s="1003" t="str">
        <f>'09월 에너지'!C247</f>
        <v>C</v>
      </c>
      <c r="D247" s="1004" t="str">
        <f>'09월 에너지'!D247</f>
        <v>B</v>
      </c>
      <c r="E247" s="1000">
        <f>'09월 에너지'!E247</f>
        <v>85447</v>
      </c>
      <c r="F247" s="1094" t="str">
        <f>'09월 에너지'!F247</f>
        <v>S355JO-01</v>
      </c>
      <c r="G247" s="980"/>
      <c r="H247" s="978"/>
      <c r="I247" s="978"/>
      <c r="J247" s="978"/>
      <c r="K247" s="978"/>
      <c r="L247" s="978"/>
      <c r="M247" s="978"/>
      <c r="N247" s="978"/>
      <c r="O247" s="1106" t="str">
        <f t="shared" si="81"/>
        <v/>
      </c>
      <c r="P247" s="1108">
        <f>6400+16600+8700+10000+7600+5800+7200</f>
        <v>62300</v>
      </c>
      <c r="Q247" s="979">
        <f>8900+6900</f>
        <v>15800</v>
      </c>
      <c r="R247" s="979">
        <v>10100</v>
      </c>
      <c r="S247" s="979"/>
      <c r="T247" s="979"/>
      <c r="U247" s="979">
        <v>5800</v>
      </c>
      <c r="V247" s="979">
        <f>2500+2400+7500+8600</f>
        <v>21000</v>
      </c>
      <c r="W247" s="979">
        <v>3800</v>
      </c>
      <c r="X247" s="979">
        <v>7800</v>
      </c>
      <c r="Y247" s="979">
        <f>1000+200+1100</f>
        <v>2300</v>
      </c>
      <c r="Z247" s="979"/>
      <c r="AA247" s="979">
        <v>2200</v>
      </c>
      <c r="AB247" s="979">
        <v>5700</v>
      </c>
      <c r="AC247" s="979"/>
      <c r="AD247" s="979">
        <v>6500</v>
      </c>
      <c r="AE247" s="1109">
        <f t="shared" si="82"/>
        <v>143300</v>
      </c>
      <c r="AF247" s="1113">
        <v>6000</v>
      </c>
      <c r="AG247" s="981">
        <v>3900</v>
      </c>
      <c r="AH247" s="981">
        <v>6400</v>
      </c>
      <c r="AI247" s="1114">
        <f t="shared" si="83"/>
        <v>16300</v>
      </c>
      <c r="AJ247" s="1110">
        <f t="shared" si="84"/>
        <v>159600</v>
      </c>
      <c r="AK247" s="982">
        <f>'09월 에너지'!S247</f>
        <v>145</v>
      </c>
      <c r="AL247" s="983">
        <f t="shared" si="85"/>
        <v>0.9085213032581454</v>
      </c>
    </row>
    <row r="248" spans="1:38" ht="16.5" customHeight="1">
      <c r="A248" s="999">
        <f>'09월 에너지'!A248</f>
        <v>46274</v>
      </c>
      <c r="B248" s="1002">
        <f>'09월 조업일지'!B246</f>
        <v>46274</v>
      </c>
      <c r="C248" s="1003" t="str">
        <f>'09월 에너지'!C248</f>
        <v>C</v>
      </c>
      <c r="D248" s="1004" t="str">
        <f>'09월 에너지'!D248</f>
        <v>A</v>
      </c>
      <c r="E248" s="1000">
        <f>'09월 에너지'!E248</f>
        <v>85448</v>
      </c>
      <c r="F248" s="1094" t="str">
        <f>'09월 에너지'!F248</f>
        <v>S355JO-01</v>
      </c>
      <c r="G248" s="980"/>
      <c r="H248" s="978"/>
      <c r="I248" s="978"/>
      <c r="J248" s="978"/>
      <c r="K248" s="978"/>
      <c r="L248" s="978"/>
      <c r="M248" s="978"/>
      <c r="N248" s="978"/>
      <c r="O248" s="1106" t="str">
        <f t="shared" si="81"/>
        <v/>
      </c>
      <c r="P248" s="1108">
        <f>3300+9600+10000+6100+6800+11200+5800</f>
        <v>52800</v>
      </c>
      <c r="Q248" s="979">
        <f>17200+2000</f>
        <v>19200</v>
      </c>
      <c r="R248" s="979">
        <v>3700</v>
      </c>
      <c r="S248" s="979"/>
      <c r="T248" s="979"/>
      <c r="U248" s="979">
        <v>11500</v>
      </c>
      <c r="V248" s="979">
        <f>2500+6800+1800+9600</f>
        <v>20700</v>
      </c>
      <c r="W248" s="979">
        <v>2500</v>
      </c>
      <c r="X248" s="979">
        <v>8900</v>
      </c>
      <c r="Y248" s="979">
        <f>3100+2300+2100</f>
        <v>7500</v>
      </c>
      <c r="Z248" s="979"/>
      <c r="AA248" s="979">
        <v>2300</v>
      </c>
      <c r="AB248" s="979">
        <v>1600</v>
      </c>
      <c r="AC248" s="979"/>
      <c r="AD248" s="979">
        <v>1200</v>
      </c>
      <c r="AE248" s="1109">
        <f t="shared" si="82"/>
        <v>131900</v>
      </c>
      <c r="AF248" s="1113">
        <v>3500</v>
      </c>
      <c r="AG248" s="981">
        <v>17700</v>
      </c>
      <c r="AH248" s="981">
        <v>4900</v>
      </c>
      <c r="AI248" s="1114">
        <f t="shared" si="83"/>
        <v>26100</v>
      </c>
      <c r="AJ248" s="1110">
        <f t="shared" si="84"/>
        <v>158000</v>
      </c>
      <c r="AK248" s="982">
        <f>'09월 에너지'!S248</f>
        <v>145.1</v>
      </c>
      <c r="AL248" s="983">
        <f t="shared" si="85"/>
        <v>0.91835443037974684</v>
      </c>
    </row>
    <row r="249" spans="1:38" ht="16.5" customHeight="1">
      <c r="A249" s="999">
        <f>'09월 에너지'!A249</f>
        <v>46274</v>
      </c>
      <c r="B249" s="1002">
        <f>'09월 조업일지'!B247</f>
        <v>46274</v>
      </c>
      <c r="C249" s="1003" t="str">
        <f>'09월 에너지'!C249</f>
        <v>C</v>
      </c>
      <c r="D249" s="1004" t="str">
        <f>'09월 에너지'!D249</f>
        <v>B</v>
      </c>
      <c r="E249" s="1000">
        <f>'09월 에너지'!E249</f>
        <v>85449</v>
      </c>
      <c r="F249" s="1094" t="str">
        <f>'09월 에너지'!F249</f>
        <v>S355JO-01</v>
      </c>
      <c r="G249" s="980"/>
      <c r="H249" s="978"/>
      <c r="I249" s="978"/>
      <c r="J249" s="978"/>
      <c r="K249" s="978"/>
      <c r="L249" s="978"/>
      <c r="M249" s="978"/>
      <c r="N249" s="978"/>
      <c r="O249" s="1106" t="str">
        <f t="shared" si="81"/>
        <v/>
      </c>
      <c r="P249" s="1108">
        <f>7600+10300+7300+8900+7100+5600+8300</f>
        <v>55100</v>
      </c>
      <c r="Q249" s="979">
        <f>9000+5200</f>
        <v>14200</v>
      </c>
      <c r="R249" s="979">
        <v>12700</v>
      </c>
      <c r="S249" s="979"/>
      <c r="T249" s="979"/>
      <c r="U249" s="979">
        <v>5800</v>
      </c>
      <c r="V249" s="979">
        <f>2400+4500+6200+9500</f>
        <v>22600</v>
      </c>
      <c r="W249" s="979">
        <v>2800</v>
      </c>
      <c r="X249" s="979">
        <v>8900</v>
      </c>
      <c r="Y249" s="979">
        <f>1700+4600+1900</f>
        <v>8200</v>
      </c>
      <c r="Z249" s="979"/>
      <c r="AA249" s="979">
        <v>3600</v>
      </c>
      <c r="AB249" s="979">
        <v>3000</v>
      </c>
      <c r="AC249" s="979"/>
      <c r="AD249" s="979">
        <v>2900</v>
      </c>
      <c r="AE249" s="1109">
        <f t="shared" si="82"/>
        <v>139800</v>
      </c>
      <c r="AF249" s="1113">
        <v>4200</v>
      </c>
      <c r="AG249" s="981">
        <v>6100</v>
      </c>
      <c r="AH249" s="981">
        <v>8500</v>
      </c>
      <c r="AI249" s="1114">
        <f t="shared" si="83"/>
        <v>18800</v>
      </c>
      <c r="AJ249" s="1110">
        <f t="shared" si="84"/>
        <v>158600</v>
      </c>
      <c r="AK249" s="982">
        <f>'09월 에너지'!S249</f>
        <v>145.69999999999999</v>
      </c>
      <c r="AL249" s="983">
        <f t="shared" si="85"/>
        <v>0.91866330390920559</v>
      </c>
    </row>
    <row r="250" spans="1:38" ht="16.5" customHeight="1">
      <c r="A250" s="999">
        <f>'09월 에너지'!A250</f>
        <v>46274</v>
      </c>
      <c r="B250" s="1002">
        <f>'09월 조업일지'!B248</f>
        <v>46274</v>
      </c>
      <c r="C250" s="1003" t="str">
        <f>'09월 에너지'!C250</f>
        <v>C</v>
      </c>
      <c r="D250" s="1004" t="str">
        <f>'09월 에너지'!D250</f>
        <v>A</v>
      </c>
      <c r="E250" s="1000">
        <f>'09월 에너지'!E250</f>
        <v>85450</v>
      </c>
      <c r="F250" s="1094" t="str">
        <f>'09월 에너지'!F250</f>
        <v>S355JO-01</v>
      </c>
      <c r="G250" s="980"/>
      <c r="H250" s="978"/>
      <c r="I250" s="978"/>
      <c r="J250" s="978"/>
      <c r="K250" s="978"/>
      <c r="L250" s="978"/>
      <c r="M250" s="978"/>
      <c r="N250" s="978"/>
      <c r="O250" s="1106" t="str">
        <f t="shared" si="81"/>
        <v/>
      </c>
      <c r="P250" s="1108">
        <f>3600+11500+7000+17500+5700+2600+2000</f>
        <v>49900</v>
      </c>
      <c r="Q250" s="979">
        <f>11400+10100</f>
        <v>21500</v>
      </c>
      <c r="R250" s="979">
        <v>3300</v>
      </c>
      <c r="S250" s="979"/>
      <c r="T250" s="979"/>
      <c r="U250" s="979">
        <v>6600</v>
      </c>
      <c r="V250" s="979">
        <f>3300+3800+8800+9700</f>
        <v>25600</v>
      </c>
      <c r="W250" s="979">
        <v>4600</v>
      </c>
      <c r="X250" s="979">
        <v>8600</v>
      </c>
      <c r="Y250" s="979">
        <f>1400+3100</f>
        <v>4500</v>
      </c>
      <c r="Z250" s="979"/>
      <c r="AA250" s="979">
        <v>4700</v>
      </c>
      <c r="AB250" s="979">
        <v>11800</v>
      </c>
      <c r="AC250" s="979"/>
      <c r="AD250" s="979">
        <v>7600</v>
      </c>
      <c r="AE250" s="1109">
        <f t="shared" si="82"/>
        <v>148700</v>
      </c>
      <c r="AF250" s="1113">
        <v>3500</v>
      </c>
      <c r="AG250" s="981">
        <v>1700</v>
      </c>
      <c r="AH250" s="981">
        <v>4600</v>
      </c>
      <c r="AI250" s="1114">
        <f t="shared" si="83"/>
        <v>9800</v>
      </c>
      <c r="AJ250" s="1110">
        <f t="shared" si="84"/>
        <v>158500</v>
      </c>
      <c r="AK250" s="982">
        <f>'09월 에너지'!S250</f>
        <v>140.80000000000001</v>
      </c>
      <c r="AL250" s="983">
        <f t="shared" si="85"/>
        <v>0.88832807570977923</v>
      </c>
    </row>
    <row r="251" spans="1:38" ht="16.5" customHeight="1">
      <c r="A251" s="999">
        <f>'09월 에너지'!A251</f>
        <v>46274</v>
      </c>
      <c r="B251" s="1002">
        <f>'09월 조업일지'!B249</f>
        <v>46274</v>
      </c>
      <c r="C251" s="1003" t="str">
        <f>'09월 에너지'!C251</f>
        <v>C</v>
      </c>
      <c r="D251" s="1004" t="str">
        <f>'09월 에너지'!D251</f>
        <v>B</v>
      </c>
      <c r="E251" s="1000">
        <f>'09월 에너지'!E251</f>
        <v>85451</v>
      </c>
      <c r="F251" s="1094" t="str">
        <f>'09월 에너지'!F251</f>
        <v>S355JO-01</v>
      </c>
      <c r="G251" s="980"/>
      <c r="H251" s="978"/>
      <c r="I251" s="978"/>
      <c r="J251" s="978"/>
      <c r="K251" s="978"/>
      <c r="L251" s="978"/>
      <c r="M251" s="978"/>
      <c r="N251" s="978"/>
      <c r="O251" s="1106" t="str">
        <f t="shared" si="81"/>
        <v/>
      </c>
      <c r="P251" s="1108">
        <f>7100+10200+3300+10400+5500+6200+7600</f>
        <v>50300</v>
      </c>
      <c r="Q251" s="979">
        <f>14100+5900</f>
        <v>20000</v>
      </c>
      <c r="R251" s="979">
        <v>7300</v>
      </c>
      <c r="S251" s="979"/>
      <c r="T251" s="979"/>
      <c r="U251" s="979">
        <v>6600</v>
      </c>
      <c r="V251" s="979">
        <f>3300+2000+4000+8900</f>
        <v>18200</v>
      </c>
      <c r="W251" s="979">
        <v>4000</v>
      </c>
      <c r="X251" s="979">
        <v>9400</v>
      </c>
      <c r="Y251" s="979">
        <f>1600+3900+2200</f>
        <v>7700</v>
      </c>
      <c r="Z251" s="979"/>
      <c r="AA251" s="979">
        <v>3200</v>
      </c>
      <c r="AB251" s="979">
        <v>1900</v>
      </c>
      <c r="AC251" s="979"/>
      <c r="AD251" s="979">
        <v>5300</v>
      </c>
      <c r="AE251" s="1109">
        <f t="shared" si="82"/>
        <v>133900</v>
      </c>
      <c r="AF251" s="1113">
        <v>4900</v>
      </c>
      <c r="AG251" s="981">
        <v>10400</v>
      </c>
      <c r="AH251" s="981">
        <v>9700</v>
      </c>
      <c r="AI251" s="1114">
        <f t="shared" si="83"/>
        <v>25000</v>
      </c>
      <c r="AJ251" s="1110">
        <f t="shared" si="84"/>
        <v>158900</v>
      </c>
      <c r="AK251" s="982">
        <f>'09월 에너지'!S251</f>
        <v>146.1</v>
      </c>
      <c r="AL251" s="983">
        <f t="shared" si="85"/>
        <v>0.91944619257394589</v>
      </c>
    </row>
    <row r="252" spans="1:38" ht="16.5" customHeight="1">
      <c r="A252" s="999">
        <f>'09월 에너지'!A252</f>
        <v>46274</v>
      </c>
      <c r="B252" s="1002">
        <f>'09월 조업일지'!B250</f>
        <v>46274</v>
      </c>
      <c r="C252" s="1003" t="str">
        <f>'09월 에너지'!C252</f>
        <v>C</v>
      </c>
      <c r="D252" s="1004" t="str">
        <f>'09월 에너지'!D252</f>
        <v>A</v>
      </c>
      <c r="E252" s="1000">
        <f>'09월 에너지'!E252</f>
        <v>85452</v>
      </c>
      <c r="F252" s="1170" t="str">
        <f>'09월 에너지'!F252</f>
        <v>SHN275(BB)</v>
      </c>
      <c r="G252" s="980"/>
      <c r="H252" s="978"/>
      <c r="I252" s="978"/>
      <c r="J252" s="978"/>
      <c r="K252" s="978"/>
      <c r="L252" s="978"/>
      <c r="M252" s="978"/>
      <c r="N252" s="978"/>
      <c r="O252" s="1106" t="str">
        <f t="shared" si="81"/>
        <v/>
      </c>
      <c r="P252" s="1108">
        <f>10100+10000+14800+11000+6400+2300+4300</f>
        <v>58900</v>
      </c>
      <c r="Q252" s="979">
        <f>11700+5300</f>
        <v>17000</v>
      </c>
      <c r="R252" s="979">
        <v>7600</v>
      </c>
      <c r="S252" s="979"/>
      <c r="T252" s="979"/>
      <c r="U252" s="979">
        <v>3900</v>
      </c>
      <c r="V252" s="979">
        <f>4100+2800+6800+9400</f>
        <v>23100</v>
      </c>
      <c r="W252" s="979">
        <v>3200</v>
      </c>
      <c r="X252" s="979">
        <v>9600</v>
      </c>
      <c r="Y252" s="979">
        <f>2000+6000+4700</f>
        <v>12700</v>
      </c>
      <c r="Z252" s="979"/>
      <c r="AA252" s="979">
        <v>900</v>
      </c>
      <c r="AB252" s="979">
        <v>1200</v>
      </c>
      <c r="AC252" s="979"/>
      <c r="AD252" s="979">
        <v>4300</v>
      </c>
      <c r="AE252" s="1109">
        <f t="shared" si="82"/>
        <v>142400</v>
      </c>
      <c r="AF252" s="1113">
        <v>3800</v>
      </c>
      <c r="AG252" s="981">
        <v>6000</v>
      </c>
      <c r="AH252" s="981">
        <v>6200</v>
      </c>
      <c r="AI252" s="1114">
        <f t="shared" si="83"/>
        <v>16000</v>
      </c>
      <c r="AJ252" s="1110">
        <f t="shared" si="84"/>
        <v>158400</v>
      </c>
      <c r="AK252" s="982">
        <f>'09월 에너지'!S252</f>
        <v>145.36000000000001</v>
      </c>
      <c r="AL252" s="983">
        <f t="shared" si="85"/>
        <v>0.91767676767676765</v>
      </c>
    </row>
    <row r="253" spans="1:38" ht="16.5" customHeight="1">
      <c r="A253" s="999">
        <f>'09월 에너지'!A253</f>
        <v>46274</v>
      </c>
      <c r="B253" s="1002">
        <f>'09월 조업일지'!B251</f>
        <v>46274</v>
      </c>
      <c r="C253" s="1003" t="str">
        <f>'09월 에너지'!C253</f>
        <v>C</v>
      </c>
      <c r="D253" s="1004" t="str">
        <f>'09월 에너지'!D253</f>
        <v>B</v>
      </c>
      <c r="E253" s="1000">
        <f>'09월 에너지'!E253</f>
        <v>85453</v>
      </c>
      <c r="F253" s="1094" t="str">
        <f>'09월 에너지'!F253</f>
        <v>SHN275(BB)</v>
      </c>
      <c r="G253" s="980"/>
      <c r="H253" s="978"/>
      <c r="I253" s="978"/>
      <c r="J253" s="978"/>
      <c r="K253" s="978"/>
      <c r="L253" s="978"/>
      <c r="M253" s="978"/>
      <c r="N253" s="978"/>
      <c r="O253" s="1106" t="str">
        <f t="shared" si="81"/>
        <v/>
      </c>
      <c r="P253" s="1108">
        <f>4600+9000+6900+9000+5800+6900+7000</f>
        <v>49200</v>
      </c>
      <c r="Q253" s="979">
        <f>14800+6400</f>
        <v>21200</v>
      </c>
      <c r="R253" s="979">
        <v>11600</v>
      </c>
      <c r="S253" s="979"/>
      <c r="T253" s="979"/>
      <c r="U253" s="979">
        <v>3700</v>
      </c>
      <c r="V253" s="979">
        <f>4400+4200+4500+9400</f>
        <v>22500</v>
      </c>
      <c r="W253" s="979">
        <v>3900</v>
      </c>
      <c r="X253" s="979">
        <v>9200</v>
      </c>
      <c r="Y253" s="979">
        <f>4100+600+1700</f>
        <v>6400</v>
      </c>
      <c r="Z253" s="979"/>
      <c r="AA253" s="979">
        <v>3800</v>
      </c>
      <c r="AB253" s="979">
        <v>4200</v>
      </c>
      <c r="AC253" s="979"/>
      <c r="AD253" s="979">
        <v>3900</v>
      </c>
      <c r="AE253" s="1109">
        <f t="shared" si="82"/>
        <v>139600</v>
      </c>
      <c r="AF253" s="1113">
        <v>4500</v>
      </c>
      <c r="AG253" s="981">
        <v>8700</v>
      </c>
      <c r="AH253" s="981">
        <v>6100</v>
      </c>
      <c r="AI253" s="1114">
        <f t="shared" si="83"/>
        <v>19300</v>
      </c>
      <c r="AJ253" s="1110">
        <f t="shared" si="84"/>
        <v>158900</v>
      </c>
      <c r="AK253" s="982">
        <f>'09월 에너지'!S253</f>
        <v>146</v>
      </c>
      <c r="AL253" s="983">
        <f t="shared" si="85"/>
        <v>0.91881686595342982</v>
      </c>
    </row>
    <row r="254" spans="1:38" ht="16.5" customHeight="1">
      <c r="A254" s="999">
        <f>'09월 에너지'!A254</f>
        <v>46274</v>
      </c>
      <c r="B254" s="1002">
        <f>'09월 조업일지'!B252</f>
        <v>46274</v>
      </c>
      <c r="C254" s="1003" t="str">
        <f>'09월 에너지'!C254</f>
        <v>C</v>
      </c>
      <c r="D254" s="1004" t="str">
        <f>'09월 에너지'!D254</f>
        <v>A</v>
      </c>
      <c r="E254" s="1000">
        <f>'09월 에너지'!E254</f>
        <v>85454</v>
      </c>
      <c r="F254" s="1094" t="str">
        <f>'09월 에너지'!F254</f>
        <v>SHN275(BB)</v>
      </c>
      <c r="G254" s="980"/>
      <c r="H254" s="978"/>
      <c r="I254" s="978"/>
      <c r="J254" s="978"/>
      <c r="K254" s="978"/>
      <c r="L254" s="978"/>
      <c r="M254" s="978"/>
      <c r="N254" s="978"/>
      <c r="O254" s="1106" t="str">
        <f t="shared" si="81"/>
        <v/>
      </c>
      <c r="P254" s="1108">
        <f>14600+10500+5300+11500+6900+6800+2600</f>
        <v>58200</v>
      </c>
      <c r="Q254" s="979">
        <f>6300+5700</f>
        <v>12000</v>
      </c>
      <c r="R254" s="979">
        <v>3600</v>
      </c>
      <c r="S254" s="979"/>
      <c r="T254" s="979"/>
      <c r="U254" s="979">
        <v>7000</v>
      </c>
      <c r="V254" s="979">
        <f>1400+2000+4500+10500</f>
        <v>18400</v>
      </c>
      <c r="W254" s="979">
        <v>3900</v>
      </c>
      <c r="X254" s="979">
        <v>8300</v>
      </c>
      <c r="Y254" s="979">
        <f>4000+7200+2000</f>
        <v>13200</v>
      </c>
      <c r="Z254" s="979"/>
      <c r="AA254" s="979">
        <v>1900</v>
      </c>
      <c r="AB254" s="979">
        <v>1100</v>
      </c>
      <c r="AC254" s="979"/>
      <c r="AD254" s="979">
        <v>2600</v>
      </c>
      <c r="AE254" s="1109">
        <f t="shared" si="82"/>
        <v>130200</v>
      </c>
      <c r="AF254" s="1113">
        <v>4500</v>
      </c>
      <c r="AG254" s="981">
        <v>11300</v>
      </c>
      <c r="AH254" s="981">
        <v>13200</v>
      </c>
      <c r="AI254" s="1114">
        <f t="shared" si="83"/>
        <v>29000</v>
      </c>
      <c r="AJ254" s="1110">
        <f t="shared" si="84"/>
        <v>159200</v>
      </c>
      <c r="AK254" s="982">
        <f>'09월 에너지'!S254</f>
        <v>144.1</v>
      </c>
      <c r="AL254" s="983">
        <f t="shared" si="85"/>
        <v>0.90515075376884424</v>
      </c>
    </row>
    <row r="255" spans="1:38" ht="16.5" customHeight="1">
      <c r="A255" s="999">
        <f>'09월 에너지'!A255</f>
        <v>46274</v>
      </c>
      <c r="B255" s="1002">
        <f>'09월 조업일지'!B253</f>
        <v>46274</v>
      </c>
      <c r="C255" s="1003" t="str">
        <f>'09월 에너지'!C255</f>
        <v>C</v>
      </c>
      <c r="D255" s="1004" t="str">
        <f>'09월 에너지'!D255</f>
        <v>B</v>
      </c>
      <c r="E255" s="1000">
        <f>'09월 에너지'!E255</f>
        <v>85455</v>
      </c>
      <c r="F255" s="1170" t="str">
        <f>'09월 에너지'!F255</f>
        <v>SHP275W</v>
      </c>
      <c r="G255" s="980"/>
      <c r="H255" s="978"/>
      <c r="I255" s="978"/>
      <c r="J255" s="978"/>
      <c r="K255" s="978"/>
      <c r="L255" s="978"/>
      <c r="M255" s="978"/>
      <c r="N255" s="978"/>
      <c r="O255" s="1106" t="str">
        <f t="shared" si="81"/>
        <v/>
      </c>
      <c r="P255" s="1108">
        <f>11900+6300+8200+8100+7600+7000</f>
        <v>49100</v>
      </c>
      <c r="Q255" s="979">
        <f>10500+5500</f>
        <v>16000</v>
      </c>
      <c r="R255" s="979">
        <v>6800</v>
      </c>
      <c r="S255" s="979"/>
      <c r="T255" s="979"/>
      <c r="U255" s="979">
        <f>3500+6100</f>
        <v>9600</v>
      </c>
      <c r="V255" s="979">
        <f>6000+600+8700</f>
        <v>15300</v>
      </c>
      <c r="W255" s="979">
        <v>2900</v>
      </c>
      <c r="X255" s="979">
        <v>8000</v>
      </c>
      <c r="Y255" s="979">
        <f>3800+10500+3000</f>
        <v>17300</v>
      </c>
      <c r="Z255" s="979"/>
      <c r="AA255" s="979">
        <v>7400</v>
      </c>
      <c r="AB255" s="979">
        <v>1100</v>
      </c>
      <c r="AC255" s="979">
        <v>3600</v>
      </c>
      <c r="AD255" s="979">
        <v>4000</v>
      </c>
      <c r="AE255" s="1109">
        <f t="shared" si="82"/>
        <v>141100</v>
      </c>
      <c r="AF255" s="1113">
        <v>3700</v>
      </c>
      <c r="AG255" s="981">
        <v>9100</v>
      </c>
      <c r="AH255" s="981">
        <v>5000</v>
      </c>
      <c r="AI255" s="1114">
        <f t="shared" si="83"/>
        <v>17800</v>
      </c>
      <c r="AJ255" s="1110">
        <f t="shared" si="84"/>
        <v>158900</v>
      </c>
      <c r="AK255" s="982">
        <f>'09월 에너지'!S255</f>
        <v>145.1</v>
      </c>
      <c r="AL255" s="983">
        <f t="shared" si="85"/>
        <v>0.91315292636878542</v>
      </c>
    </row>
    <row r="256" spans="1:38" ht="16.5" customHeight="1">
      <c r="A256" s="999">
        <f>'09월 에너지'!A256</f>
        <v>46274</v>
      </c>
      <c r="B256" s="1002">
        <f>'09월 조업일지'!B254</f>
        <v>46274</v>
      </c>
      <c r="C256" s="1003" t="str">
        <f>'09월 에너지'!C256</f>
        <v>C</v>
      </c>
      <c r="D256" s="1004" t="str">
        <f>'09월 에너지'!D256</f>
        <v>A</v>
      </c>
      <c r="E256" s="1000">
        <f>'09월 에너지'!E256</f>
        <v>85456</v>
      </c>
      <c r="F256" s="1094" t="str">
        <f>'09월 에너지'!F256</f>
        <v>SHP275W</v>
      </c>
      <c r="G256" s="980"/>
      <c r="H256" s="978"/>
      <c r="I256" s="978"/>
      <c r="J256" s="978"/>
      <c r="K256" s="978"/>
      <c r="L256" s="978"/>
      <c r="M256" s="978"/>
      <c r="N256" s="978"/>
      <c r="O256" s="1106" t="str">
        <f t="shared" si="81"/>
        <v/>
      </c>
      <c r="P256" s="1108">
        <f>7200+10700+3300+6900+9500+8200</f>
        <v>45800</v>
      </c>
      <c r="Q256" s="979">
        <f>4200+2400</f>
        <v>6600</v>
      </c>
      <c r="R256" s="979">
        <v>5500</v>
      </c>
      <c r="S256" s="979"/>
      <c r="T256" s="979"/>
      <c r="U256" s="979">
        <f>7000+3000</f>
        <v>10000</v>
      </c>
      <c r="V256" s="979">
        <f>6700+2300+9100</f>
        <v>18100</v>
      </c>
      <c r="W256" s="979">
        <v>3600</v>
      </c>
      <c r="X256" s="979">
        <v>9000</v>
      </c>
      <c r="Y256" s="979">
        <f>1600+13400+4000</f>
        <v>19000</v>
      </c>
      <c r="Z256" s="979"/>
      <c r="AA256" s="979">
        <v>3000</v>
      </c>
      <c r="AB256" s="979">
        <v>12400</v>
      </c>
      <c r="AC256" s="979">
        <v>2300</v>
      </c>
      <c r="AD256" s="979">
        <v>2100</v>
      </c>
      <c r="AE256" s="1109">
        <f t="shared" si="82"/>
        <v>137400</v>
      </c>
      <c r="AF256" s="1113">
        <v>3900</v>
      </c>
      <c r="AG256" s="981">
        <v>8200</v>
      </c>
      <c r="AH256" s="981">
        <v>8300</v>
      </c>
      <c r="AI256" s="1114">
        <f t="shared" si="83"/>
        <v>20400</v>
      </c>
      <c r="AJ256" s="1110">
        <f t="shared" si="84"/>
        <v>157800</v>
      </c>
      <c r="AK256" s="982">
        <f>'09월 에너지'!S256</f>
        <v>143.69999999999999</v>
      </c>
      <c r="AL256" s="983">
        <f t="shared" si="85"/>
        <v>0.91064638783269958</v>
      </c>
    </row>
    <row r="257" spans="1:38" ht="16.5" customHeight="1">
      <c r="A257" s="999">
        <f>'09월 에너지'!A257</f>
        <v>46274</v>
      </c>
      <c r="B257" s="1002">
        <f>'09월 조업일지'!B255</f>
        <v>46274</v>
      </c>
      <c r="C257" s="1003" t="str">
        <f>'09월 에너지'!C257</f>
        <v>D</v>
      </c>
      <c r="D257" s="1004" t="str">
        <f>'09월 에너지'!D257</f>
        <v>B</v>
      </c>
      <c r="E257" s="1000">
        <f>'09월 에너지'!E257</f>
        <v>85457</v>
      </c>
      <c r="F257" s="1094" t="str">
        <f>'09월 에너지'!F257</f>
        <v>SHP275W</v>
      </c>
      <c r="G257" s="980"/>
      <c r="H257" s="978"/>
      <c r="I257" s="978"/>
      <c r="J257" s="978"/>
      <c r="K257" s="978"/>
      <c r="L257" s="978"/>
      <c r="M257" s="978"/>
      <c r="N257" s="978"/>
      <c r="O257" s="1106" t="str">
        <f t="shared" si="81"/>
        <v/>
      </c>
      <c r="P257" s="1108">
        <f>5300+14400+10300+7300+9000+5800</f>
        <v>52100</v>
      </c>
      <c r="Q257" s="979">
        <f>13500+4000</f>
        <v>17500</v>
      </c>
      <c r="R257" s="979">
        <v>6400</v>
      </c>
      <c r="S257" s="979"/>
      <c r="T257" s="979"/>
      <c r="U257" s="979">
        <f>9200+4300</f>
        <v>13500</v>
      </c>
      <c r="V257" s="979">
        <f>1200+7300+9400</f>
        <v>17900</v>
      </c>
      <c r="W257" s="979">
        <v>4300</v>
      </c>
      <c r="X257" s="979">
        <v>7400</v>
      </c>
      <c r="Y257" s="979">
        <f>3000+12100</f>
        <v>15100</v>
      </c>
      <c r="Z257" s="979"/>
      <c r="AA257" s="979">
        <v>3500</v>
      </c>
      <c r="AB257" s="979">
        <v>1200</v>
      </c>
      <c r="AC257" s="979">
        <v>2700</v>
      </c>
      <c r="AD257" s="979">
        <v>1900</v>
      </c>
      <c r="AE257" s="1109">
        <f t="shared" si="82"/>
        <v>143500</v>
      </c>
      <c r="AF257" s="1113">
        <v>3700</v>
      </c>
      <c r="AG257" s="981">
        <v>6800</v>
      </c>
      <c r="AH257" s="981">
        <v>5600</v>
      </c>
      <c r="AI257" s="1114">
        <f t="shared" si="83"/>
        <v>16100</v>
      </c>
      <c r="AJ257" s="1110">
        <f t="shared" si="84"/>
        <v>159600</v>
      </c>
      <c r="AK257" s="982">
        <f>'09월 에너지'!S257</f>
        <v>146.80000000000001</v>
      </c>
      <c r="AL257" s="983">
        <f t="shared" si="85"/>
        <v>0.91979949874686717</v>
      </c>
    </row>
    <row r="258" spans="1:38" ht="16.5" customHeight="1">
      <c r="A258" s="999">
        <f>'09월 에너지'!A258</f>
        <v>46274</v>
      </c>
      <c r="B258" s="1002">
        <f>'09월 조업일지'!B256</f>
        <v>46274</v>
      </c>
      <c r="C258" s="1003" t="str">
        <f>'09월 에너지'!C258</f>
        <v>D</v>
      </c>
      <c r="D258" s="1004" t="str">
        <f>'09월 에너지'!D258</f>
        <v>A</v>
      </c>
      <c r="E258" s="1000">
        <f>'09월 에너지'!E258</f>
        <v>85458</v>
      </c>
      <c r="F258" s="1094" t="str">
        <f>'09월 에너지'!F258</f>
        <v>SHP275W</v>
      </c>
      <c r="G258" s="980"/>
      <c r="H258" s="978"/>
      <c r="I258" s="978"/>
      <c r="J258" s="978"/>
      <c r="K258" s="978"/>
      <c r="L258" s="978"/>
      <c r="M258" s="978"/>
      <c r="N258" s="978"/>
      <c r="O258" s="1106" t="str">
        <f t="shared" si="81"/>
        <v/>
      </c>
      <c r="P258" s="1108">
        <f>13700+16100+10400+7600+7700+2200</f>
        <v>57700</v>
      </c>
      <c r="Q258" s="979">
        <f>9600+4800</f>
        <v>14400</v>
      </c>
      <c r="R258" s="979">
        <v>3500</v>
      </c>
      <c r="S258" s="979"/>
      <c r="T258" s="979"/>
      <c r="U258" s="979">
        <f>1700+5200</f>
        <v>6900</v>
      </c>
      <c r="V258" s="979">
        <f>1100+900+9000</f>
        <v>11000</v>
      </c>
      <c r="W258" s="979">
        <v>600</v>
      </c>
      <c r="X258" s="979">
        <v>10100</v>
      </c>
      <c r="Y258" s="979">
        <f>4300+14700+6700</f>
        <v>25700</v>
      </c>
      <c r="Z258" s="979"/>
      <c r="AA258" s="979">
        <v>900</v>
      </c>
      <c r="AB258" s="979">
        <v>1500</v>
      </c>
      <c r="AC258" s="979">
        <v>3200</v>
      </c>
      <c r="AD258" s="979">
        <v>4700</v>
      </c>
      <c r="AE258" s="1109">
        <f t="shared" si="82"/>
        <v>140200</v>
      </c>
      <c r="AF258" s="1113">
        <v>5100</v>
      </c>
      <c r="AG258" s="981">
        <v>8000</v>
      </c>
      <c r="AH258" s="981">
        <v>5300</v>
      </c>
      <c r="AI258" s="1114">
        <f t="shared" si="83"/>
        <v>18400</v>
      </c>
      <c r="AJ258" s="1110">
        <f t="shared" si="84"/>
        <v>158600</v>
      </c>
      <c r="AK258" s="982">
        <f>'09월 에너지'!S258</f>
        <v>143.1</v>
      </c>
      <c r="AL258" s="983">
        <f t="shared" si="85"/>
        <v>0.90226986128625475</v>
      </c>
    </row>
    <row r="259" spans="1:38" ht="16.5" customHeight="1">
      <c r="A259" s="999">
        <f>'09월 에너지'!A259</f>
        <v>46274</v>
      </c>
      <c r="B259" s="1002">
        <f>'09월 조업일지'!B257</f>
        <v>46274</v>
      </c>
      <c r="C259" s="1003" t="str">
        <f>'09월 에너지'!C259</f>
        <v>D</v>
      </c>
      <c r="D259" s="1004" t="str">
        <f>'09월 에너지'!D259</f>
        <v>B</v>
      </c>
      <c r="E259" s="1000">
        <f>'09월 에너지'!E259</f>
        <v>85459</v>
      </c>
      <c r="F259" s="1170" t="str">
        <f>'09월 에너지'!F259</f>
        <v>SS400-02</v>
      </c>
      <c r="G259" s="980"/>
      <c r="H259" s="978"/>
      <c r="I259" s="978"/>
      <c r="J259" s="978"/>
      <c r="K259" s="978"/>
      <c r="L259" s="978"/>
      <c r="M259" s="978"/>
      <c r="N259" s="978"/>
      <c r="O259" s="1106" t="str">
        <f t="shared" si="81"/>
        <v/>
      </c>
      <c r="P259" s="1108">
        <f>8300+11800+7400+6600+7400+6100</f>
        <v>47600</v>
      </c>
      <c r="Q259" s="979">
        <f>9000+3700</f>
        <v>12700</v>
      </c>
      <c r="R259" s="979">
        <v>7000</v>
      </c>
      <c r="S259" s="979"/>
      <c r="T259" s="979"/>
      <c r="U259" s="979">
        <f>5700+6700</f>
        <v>12400</v>
      </c>
      <c r="V259" s="979">
        <f>6000+2600+9800</f>
        <v>18400</v>
      </c>
      <c r="W259" s="979">
        <v>2400</v>
      </c>
      <c r="X259" s="979">
        <v>9700</v>
      </c>
      <c r="Y259" s="979">
        <f>3100+13100+4000</f>
        <v>20200</v>
      </c>
      <c r="Z259" s="979"/>
      <c r="AA259" s="979">
        <v>2300</v>
      </c>
      <c r="AB259" s="979">
        <v>2700</v>
      </c>
      <c r="AC259" s="979">
        <v>1400</v>
      </c>
      <c r="AD259" s="979">
        <v>3300</v>
      </c>
      <c r="AE259" s="1109">
        <f t="shared" si="82"/>
        <v>140100</v>
      </c>
      <c r="AF259" s="1113">
        <v>3900</v>
      </c>
      <c r="AG259" s="981">
        <v>11100</v>
      </c>
      <c r="AH259" s="981">
        <v>3700</v>
      </c>
      <c r="AI259" s="1114">
        <f t="shared" si="83"/>
        <v>18700</v>
      </c>
      <c r="AJ259" s="1110">
        <f t="shared" si="84"/>
        <v>158800</v>
      </c>
      <c r="AK259" s="982">
        <f>'09월 에너지'!S259</f>
        <v>145.4</v>
      </c>
      <c r="AL259" s="983">
        <f t="shared" si="85"/>
        <v>0.91561712846347609</v>
      </c>
    </row>
    <row r="260" spans="1:38" ht="16.5" customHeight="1">
      <c r="A260" s="999">
        <f>'09월 에너지'!A260</f>
        <v>46274</v>
      </c>
      <c r="B260" s="1002">
        <f>'09월 조업일지'!B258</f>
        <v>46274</v>
      </c>
      <c r="C260" s="1003" t="str">
        <f>'09월 에너지'!C260</f>
        <v>D</v>
      </c>
      <c r="D260" s="1004" t="str">
        <f>'09월 에너지'!D260</f>
        <v>A</v>
      </c>
      <c r="E260" s="1000">
        <f>'09월 에너지'!E260</f>
        <v>85460</v>
      </c>
      <c r="F260" s="1170" t="str">
        <f>'09월 에너지'!F260</f>
        <v>A572-50-01</v>
      </c>
      <c r="G260" s="980"/>
      <c r="H260" s="978"/>
      <c r="I260" s="978"/>
      <c r="J260" s="978"/>
      <c r="K260" s="978"/>
      <c r="L260" s="978"/>
      <c r="M260" s="978"/>
      <c r="N260" s="978"/>
      <c r="O260" s="1106" t="str">
        <f t="shared" si="81"/>
        <v/>
      </c>
      <c r="P260" s="1108">
        <f>5700+5400+14500+6600+7900+2400+1600+8700</f>
        <v>52800</v>
      </c>
      <c r="Q260" s="979">
        <f>14100+6800</f>
        <v>20900</v>
      </c>
      <c r="R260" s="979">
        <v>10100</v>
      </c>
      <c r="S260" s="979"/>
      <c r="T260" s="979"/>
      <c r="U260" s="979">
        <f>6700+5500</f>
        <v>12200</v>
      </c>
      <c r="V260" s="979">
        <f>7600+500</f>
        <v>8100</v>
      </c>
      <c r="W260" s="979">
        <v>1900</v>
      </c>
      <c r="X260" s="979">
        <v>9700</v>
      </c>
      <c r="Y260" s="979">
        <f>4800+12600+6700</f>
        <v>24100</v>
      </c>
      <c r="Z260" s="979"/>
      <c r="AA260" s="979">
        <v>3400</v>
      </c>
      <c r="AB260" s="979">
        <v>2300</v>
      </c>
      <c r="AC260" s="979"/>
      <c r="AD260" s="979">
        <v>2600</v>
      </c>
      <c r="AE260" s="1109">
        <f t="shared" si="82"/>
        <v>148100</v>
      </c>
      <c r="AF260" s="1113">
        <v>4600</v>
      </c>
      <c r="AG260" s="981">
        <v>3600</v>
      </c>
      <c r="AH260" s="981">
        <v>2500</v>
      </c>
      <c r="AI260" s="1114">
        <f t="shared" si="83"/>
        <v>10700</v>
      </c>
      <c r="AJ260" s="1110">
        <f t="shared" si="84"/>
        <v>158800</v>
      </c>
      <c r="AK260" s="982">
        <f>'09월 에너지'!S260</f>
        <v>144.80000000000001</v>
      </c>
      <c r="AL260" s="983">
        <f t="shared" si="85"/>
        <v>0.91183879093198994</v>
      </c>
    </row>
    <row r="261" spans="1:38" ht="16.5" customHeight="1">
      <c r="A261" s="999">
        <f>'09월 에너지'!A261</f>
        <v>46274</v>
      </c>
      <c r="B261" s="1002">
        <f>'09월 조업일지'!B259</f>
        <v>46274</v>
      </c>
      <c r="C261" s="1003" t="str">
        <f>'09월 에너지'!C261</f>
        <v>D</v>
      </c>
      <c r="D261" s="1004" t="str">
        <f>'09월 에너지'!D261</f>
        <v>B</v>
      </c>
      <c r="E261" s="1000">
        <f>'09월 에너지'!E261</f>
        <v>85461</v>
      </c>
      <c r="F261" s="1170" t="str">
        <f>'09월 에너지'!F261</f>
        <v>SHP355W</v>
      </c>
      <c r="G261" s="980"/>
      <c r="H261" s="978"/>
      <c r="I261" s="978"/>
      <c r="J261" s="978"/>
      <c r="K261" s="978"/>
      <c r="L261" s="978"/>
      <c r="M261" s="978"/>
      <c r="N261" s="978"/>
      <c r="O261" s="1106" t="str">
        <f t="shared" si="81"/>
        <v/>
      </c>
      <c r="P261" s="1108">
        <f>7700+14200+8700+11100+6300+6500+6800</f>
        <v>61300</v>
      </c>
      <c r="Q261" s="979">
        <f>11700+4900</f>
        <v>16600</v>
      </c>
      <c r="R261" s="979">
        <v>8100</v>
      </c>
      <c r="S261" s="979"/>
      <c r="T261" s="979"/>
      <c r="U261" s="979">
        <v>4200</v>
      </c>
      <c r="V261" s="979">
        <f>3400+6200+3600+8900</f>
        <v>22100</v>
      </c>
      <c r="W261" s="979">
        <v>2300</v>
      </c>
      <c r="X261" s="979">
        <v>9400</v>
      </c>
      <c r="Y261" s="979">
        <f>3200+2800+2000</f>
        <v>8000</v>
      </c>
      <c r="Z261" s="979"/>
      <c r="AA261" s="979">
        <v>2100</v>
      </c>
      <c r="AB261" s="979">
        <v>1800</v>
      </c>
      <c r="AC261" s="979"/>
      <c r="AD261" s="979">
        <v>2400</v>
      </c>
      <c r="AE261" s="1109">
        <f t="shared" si="82"/>
        <v>138300</v>
      </c>
      <c r="AF261" s="1113">
        <v>4100</v>
      </c>
      <c r="AG261" s="981">
        <v>10800</v>
      </c>
      <c r="AH261" s="981">
        <v>6000</v>
      </c>
      <c r="AI261" s="1114">
        <f t="shared" si="83"/>
        <v>20900</v>
      </c>
      <c r="AJ261" s="1110">
        <f t="shared" si="84"/>
        <v>159200</v>
      </c>
      <c r="AK261" s="982">
        <f>'09월 에너지'!S261</f>
        <v>145.30000000000001</v>
      </c>
      <c r="AL261" s="983">
        <f t="shared" si="85"/>
        <v>0.91268844221105527</v>
      </c>
    </row>
    <row r="262" spans="1:38" ht="16.5" customHeight="1">
      <c r="A262" s="999">
        <f>'09월 에너지'!A262</f>
        <v>46274</v>
      </c>
      <c r="B262" s="1002">
        <f>'09월 조업일지'!B260</f>
        <v>46274</v>
      </c>
      <c r="C262" s="1003" t="str">
        <f>'09월 에너지'!C262</f>
        <v>D</v>
      </c>
      <c r="D262" s="1004" t="str">
        <f>'09월 에너지'!D262</f>
        <v>A</v>
      </c>
      <c r="E262" s="1000">
        <f>'09월 에너지'!E262</f>
        <v>85462</v>
      </c>
      <c r="F262" s="1094" t="str">
        <f>'09월 에너지'!F262</f>
        <v>SHP355W</v>
      </c>
      <c r="G262" s="980"/>
      <c r="H262" s="978"/>
      <c r="I262" s="978"/>
      <c r="J262" s="978"/>
      <c r="K262" s="978"/>
      <c r="L262" s="978"/>
      <c r="M262" s="978"/>
      <c r="N262" s="978"/>
      <c r="O262" s="1106" t="str">
        <f t="shared" si="81"/>
        <v/>
      </c>
      <c r="P262" s="1108">
        <f>7200+10600+8100+15800+6800+5500+5200</f>
        <v>59200</v>
      </c>
      <c r="Q262" s="979">
        <f>7200+4400</f>
        <v>11600</v>
      </c>
      <c r="R262" s="979">
        <v>6500</v>
      </c>
      <c r="S262" s="979"/>
      <c r="T262" s="979"/>
      <c r="U262" s="979">
        <v>3900</v>
      </c>
      <c r="V262" s="979">
        <f>6100+1400+5800+10900</f>
        <v>24200</v>
      </c>
      <c r="W262" s="979">
        <v>2400</v>
      </c>
      <c r="X262" s="979">
        <v>8200</v>
      </c>
      <c r="Y262" s="979">
        <f>5700+6700+100</f>
        <v>12500</v>
      </c>
      <c r="Z262" s="979"/>
      <c r="AA262" s="979">
        <v>1800</v>
      </c>
      <c r="AB262" s="979">
        <v>3000</v>
      </c>
      <c r="AC262" s="979"/>
      <c r="AD262" s="979">
        <v>200</v>
      </c>
      <c r="AE262" s="1109">
        <f t="shared" si="82"/>
        <v>133500</v>
      </c>
      <c r="AF262" s="1113">
        <v>5100</v>
      </c>
      <c r="AG262" s="981">
        <v>14500</v>
      </c>
      <c r="AH262" s="981">
        <v>4800</v>
      </c>
      <c r="AI262" s="1114">
        <f t="shared" si="83"/>
        <v>24400</v>
      </c>
      <c r="AJ262" s="1110">
        <f t="shared" si="84"/>
        <v>157900</v>
      </c>
      <c r="AK262" s="982">
        <f>'09월 에너지'!S262</f>
        <v>146.19999999999999</v>
      </c>
      <c r="AL262" s="983">
        <f t="shared" si="85"/>
        <v>0.92590246991766945</v>
      </c>
    </row>
    <row r="263" spans="1:38" ht="16.5" customHeight="1">
      <c r="A263" s="999">
        <f>'09월 에너지'!A263</f>
        <v>46274</v>
      </c>
      <c r="B263" s="1002">
        <f>'09월 조업일지'!B261</f>
        <v>46274</v>
      </c>
      <c r="C263" s="1003" t="str">
        <f>'09월 에너지'!C263</f>
        <v>D</v>
      </c>
      <c r="D263" s="1004" t="str">
        <f>'09월 에너지'!D263</f>
        <v>B</v>
      </c>
      <c r="E263" s="1000">
        <f>'09월 에너지'!E263</f>
        <v>85463</v>
      </c>
      <c r="F263" s="1094" t="str">
        <f>'09월 에너지'!F263</f>
        <v>SHP355W</v>
      </c>
      <c r="G263" s="980"/>
      <c r="H263" s="978"/>
      <c r="I263" s="978"/>
      <c r="J263" s="978"/>
      <c r="K263" s="978"/>
      <c r="L263" s="978"/>
      <c r="M263" s="978"/>
      <c r="N263" s="978"/>
      <c r="O263" s="1106" t="str">
        <f t="shared" si="81"/>
        <v/>
      </c>
      <c r="P263" s="1108">
        <f>8400+13300+8400+12800+7100+7400+7500</f>
        <v>64900</v>
      </c>
      <c r="Q263" s="979">
        <f>8800+4000</f>
        <v>12800</v>
      </c>
      <c r="R263" s="979">
        <v>7700</v>
      </c>
      <c r="S263" s="979"/>
      <c r="T263" s="979"/>
      <c r="U263" s="979">
        <v>4400</v>
      </c>
      <c r="V263" s="979">
        <f>4500+3000+5000+8900</f>
        <v>21400</v>
      </c>
      <c r="W263" s="979">
        <v>3200</v>
      </c>
      <c r="X263" s="979">
        <v>8100</v>
      </c>
      <c r="Y263" s="979">
        <f>4200+3600+2400</f>
        <v>10200</v>
      </c>
      <c r="Z263" s="979"/>
      <c r="AA263" s="979">
        <v>1500</v>
      </c>
      <c r="AB263" s="979">
        <v>2400</v>
      </c>
      <c r="AC263" s="979"/>
      <c r="AD263" s="979">
        <v>1500</v>
      </c>
      <c r="AE263" s="1109">
        <f t="shared" si="82"/>
        <v>138100</v>
      </c>
      <c r="AF263" s="1113">
        <v>3900</v>
      </c>
      <c r="AG263" s="981">
        <v>13400</v>
      </c>
      <c r="AH263" s="981">
        <v>3800</v>
      </c>
      <c r="AI263" s="1114">
        <f t="shared" si="83"/>
        <v>21100</v>
      </c>
      <c r="AJ263" s="1110">
        <f t="shared" si="84"/>
        <v>159200</v>
      </c>
      <c r="AK263" s="982">
        <f>'09월 에너지'!S263</f>
        <v>145.9</v>
      </c>
      <c r="AL263" s="983">
        <f t="shared" si="85"/>
        <v>0.91645728643216084</v>
      </c>
    </row>
    <row r="264" spans="1:38" ht="16.5" customHeight="1">
      <c r="A264" s="999">
        <f>'09월 에너지'!A264</f>
        <v>46274</v>
      </c>
      <c r="B264" s="1002">
        <f>'09월 조업일지'!B262</f>
        <v>46274</v>
      </c>
      <c r="C264" s="1003" t="str">
        <f>'09월 에너지'!C264</f>
        <v>D</v>
      </c>
      <c r="D264" s="1004" t="str">
        <f>'09월 에너지'!D264</f>
        <v>A</v>
      </c>
      <c r="E264" s="1000">
        <f>'09월 에너지'!E264</f>
        <v>85464</v>
      </c>
      <c r="F264" s="1094" t="str">
        <f>'09월 에너지'!F264</f>
        <v>SHP355W</v>
      </c>
      <c r="G264" s="980"/>
      <c r="H264" s="978"/>
      <c r="I264" s="978"/>
      <c r="J264" s="978"/>
      <c r="K264" s="978"/>
      <c r="L264" s="978"/>
      <c r="M264" s="978"/>
      <c r="N264" s="978"/>
      <c r="O264" s="1106" t="str">
        <f t="shared" si="81"/>
        <v/>
      </c>
      <c r="P264" s="1108">
        <f>4200+9600+10800+17100+5200+5700+5100</f>
        <v>57700</v>
      </c>
      <c r="Q264" s="979">
        <f>9800+6400</f>
        <v>16200</v>
      </c>
      <c r="R264" s="979">
        <v>7300</v>
      </c>
      <c r="S264" s="979"/>
      <c r="T264" s="979"/>
      <c r="U264" s="979">
        <v>100</v>
      </c>
      <c r="V264" s="979">
        <f>9700+2000+5500+9400</f>
        <v>26600</v>
      </c>
      <c r="W264" s="979">
        <v>2900</v>
      </c>
      <c r="X264" s="979">
        <v>9300</v>
      </c>
      <c r="Y264" s="979">
        <f>4400+5000+1400</f>
        <v>10800</v>
      </c>
      <c r="Z264" s="979"/>
      <c r="AA264" s="979">
        <v>1900</v>
      </c>
      <c r="AB264" s="979">
        <v>1200</v>
      </c>
      <c r="AC264" s="979"/>
      <c r="AD264" s="979">
        <v>1500</v>
      </c>
      <c r="AE264" s="1109">
        <f t="shared" si="82"/>
        <v>135500</v>
      </c>
      <c r="AF264" s="1113">
        <v>4600</v>
      </c>
      <c r="AG264" s="981">
        <v>15700</v>
      </c>
      <c r="AH264" s="981">
        <v>2200</v>
      </c>
      <c r="AI264" s="1114">
        <f t="shared" si="83"/>
        <v>22500</v>
      </c>
      <c r="AJ264" s="1110">
        <f t="shared" si="84"/>
        <v>158000</v>
      </c>
      <c r="AK264" s="982">
        <f>'09월 에너지'!S264</f>
        <v>144.30000000000001</v>
      </c>
      <c r="AL264" s="983">
        <f t="shared" si="85"/>
        <v>0.91329113924050631</v>
      </c>
    </row>
    <row r="265" spans="1:38" ht="16.5" customHeight="1">
      <c r="A265" s="999">
        <f>'09월 에너지'!A265</f>
        <v>46274</v>
      </c>
      <c r="B265" s="1002">
        <f>'09월 조업일지'!B263</f>
        <v>46274</v>
      </c>
      <c r="C265" s="1003" t="str">
        <f>'09월 에너지'!C265</f>
        <v>D</v>
      </c>
      <c r="D265" s="1004" t="str">
        <f>'09월 에너지'!D265</f>
        <v>B</v>
      </c>
      <c r="E265" s="1000">
        <f>'09월 에너지'!E265</f>
        <v>85465</v>
      </c>
      <c r="F265" s="1094" t="str">
        <f>'09월 에너지'!F265</f>
        <v>SHP355W</v>
      </c>
      <c r="G265" s="980"/>
      <c r="H265" s="978"/>
      <c r="I265" s="978"/>
      <c r="J265" s="978"/>
      <c r="K265" s="978"/>
      <c r="L265" s="978"/>
      <c r="M265" s="978"/>
      <c r="N265" s="978"/>
      <c r="O265" s="1106" t="str">
        <f t="shared" si="81"/>
        <v/>
      </c>
      <c r="P265" s="1108">
        <f>9700+10200+9900+14900+6400+6500+6300</f>
        <v>63900</v>
      </c>
      <c r="Q265" s="979">
        <f>9700+5200</f>
        <v>14900</v>
      </c>
      <c r="R265" s="979">
        <v>7400</v>
      </c>
      <c r="S265" s="979"/>
      <c r="T265" s="979"/>
      <c r="U265" s="979">
        <v>4600</v>
      </c>
      <c r="V265" s="979">
        <f>4600+3400+5000+9400</f>
        <v>22400</v>
      </c>
      <c r="W265" s="979">
        <v>2800</v>
      </c>
      <c r="X265" s="979">
        <v>8900</v>
      </c>
      <c r="Y265" s="979">
        <f>2000+4300+2400</f>
        <v>8700</v>
      </c>
      <c r="Z265" s="979"/>
      <c r="AA265" s="979">
        <v>2000</v>
      </c>
      <c r="AB265" s="979">
        <v>1600</v>
      </c>
      <c r="AC265" s="979"/>
      <c r="AD265" s="979">
        <v>2400</v>
      </c>
      <c r="AE265" s="1109">
        <f t="shared" si="82"/>
        <v>139600</v>
      </c>
      <c r="AF265" s="1113">
        <v>3400</v>
      </c>
      <c r="AG265" s="981">
        <v>9900</v>
      </c>
      <c r="AH265" s="981">
        <v>6000</v>
      </c>
      <c r="AI265" s="1114">
        <f t="shared" si="83"/>
        <v>19300</v>
      </c>
      <c r="AJ265" s="1110">
        <f t="shared" si="84"/>
        <v>158900</v>
      </c>
      <c r="AK265" s="982">
        <f>'09월 에너지'!S265</f>
        <v>143.19999999999999</v>
      </c>
      <c r="AL265" s="983">
        <f t="shared" si="85"/>
        <v>0.90119572057898045</v>
      </c>
    </row>
    <row r="266" spans="1:38" ht="16.5" customHeight="1">
      <c r="A266" s="999">
        <f>'09월 에너지'!A266</f>
        <v>46274</v>
      </c>
      <c r="B266" s="1002">
        <f>'09월 조업일지'!B264</f>
        <v>46274</v>
      </c>
      <c r="C266" s="1003" t="str">
        <f>'09월 에너지'!C266</f>
        <v>D</v>
      </c>
      <c r="D266" s="1004" t="str">
        <f>'09월 에너지'!D266</f>
        <v>A</v>
      </c>
      <c r="E266" s="1000">
        <f>'09월 에너지'!E266</f>
        <v>85466</v>
      </c>
      <c r="F266" s="1094" t="str">
        <f>'09월 에너지'!F266</f>
        <v>SHP355W</v>
      </c>
      <c r="G266" s="980"/>
      <c r="H266" s="978"/>
      <c r="I266" s="978"/>
      <c r="J266" s="978"/>
      <c r="K266" s="978"/>
      <c r="L266" s="978"/>
      <c r="M266" s="978"/>
      <c r="N266" s="978"/>
      <c r="O266" s="1106" t="str">
        <f t="shared" si="81"/>
        <v/>
      </c>
      <c r="P266" s="1108">
        <f>8600+9000+11000+12400+7700+7700+4900</f>
        <v>61300</v>
      </c>
      <c r="Q266" s="979">
        <f>10700+6900</f>
        <v>17600</v>
      </c>
      <c r="R266" s="979">
        <v>7000</v>
      </c>
      <c r="S266" s="979"/>
      <c r="T266" s="979"/>
      <c r="U266" s="979">
        <f>4000+5000</f>
        <v>9000</v>
      </c>
      <c r="V266" s="979">
        <f>4600+1800+3400</f>
        <v>9800</v>
      </c>
      <c r="W266" s="979">
        <v>1600</v>
      </c>
      <c r="X266" s="979">
        <v>9200</v>
      </c>
      <c r="Y266" s="979">
        <f>4400+6000</f>
        <v>10400</v>
      </c>
      <c r="Z266" s="979"/>
      <c r="AA266" s="979">
        <v>1600</v>
      </c>
      <c r="AB266" s="979">
        <v>1400</v>
      </c>
      <c r="AC266" s="979"/>
      <c r="AD266" s="979">
        <v>1400</v>
      </c>
      <c r="AE266" s="1109">
        <f t="shared" si="82"/>
        <v>130300</v>
      </c>
      <c r="AF266" s="1113">
        <v>6300</v>
      </c>
      <c r="AG266" s="981">
        <v>15600</v>
      </c>
      <c r="AH266" s="981">
        <v>3100</v>
      </c>
      <c r="AI266" s="1114">
        <f t="shared" si="83"/>
        <v>25000</v>
      </c>
      <c r="AJ266" s="1110">
        <f t="shared" si="84"/>
        <v>155300</v>
      </c>
      <c r="AK266" s="982">
        <f>'09월 에너지'!S266</f>
        <v>143.9</v>
      </c>
      <c r="AL266" s="983">
        <f t="shared" si="85"/>
        <v>0.9265936896329684</v>
      </c>
    </row>
    <row r="267" spans="1:38" ht="16.5" customHeight="1">
      <c r="A267" s="999">
        <f>'09월 에너지'!A267</f>
        <v>46274</v>
      </c>
      <c r="B267" s="1002">
        <f>'09월 조업일지'!B265</f>
        <v>46274</v>
      </c>
      <c r="C267" s="1003" t="str">
        <f>'09월 에너지'!C267</f>
        <v>D</v>
      </c>
      <c r="D267" s="1004" t="str">
        <f>'09월 에너지'!D267</f>
        <v>B</v>
      </c>
      <c r="E267" s="1000">
        <f>'09월 에너지'!E267</f>
        <v>85467</v>
      </c>
      <c r="F267" s="1094" t="str">
        <f>'09월 에너지'!F267</f>
        <v>SHP355W</v>
      </c>
      <c r="G267" s="980"/>
      <c r="H267" s="978"/>
      <c r="I267" s="978"/>
      <c r="J267" s="978"/>
      <c r="K267" s="978"/>
      <c r="L267" s="978"/>
      <c r="M267" s="978"/>
      <c r="N267" s="978"/>
      <c r="O267" s="1106" t="str">
        <f t="shared" si="81"/>
        <v/>
      </c>
      <c r="P267" s="1108">
        <f>11800+10100+10100+7600+3800+7100+2700</f>
        <v>53200</v>
      </c>
      <c r="Q267" s="979">
        <f>11800+5900</f>
        <v>17700</v>
      </c>
      <c r="R267" s="979">
        <v>8400</v>
      </c>
      <c r="S267" s="979"/>
      <c r="T267" s="979"/>
      <c r="U267" s="979">
        <v>9200</v>
      </c>
      <c r="V267" s="979">
        <f>9300+6100+4500+11000</f>
        <v>30900</v>
      </c>
      <c r="W267" s="979">
        <v>4500</v>
      </c>
      <c r="X267" s="979">
        <v>7100</v>
      </c>
      <c r="Y267" s="979">
        <v>12100</v>
      </c>
      <c r="Z267" s="979"/>
      <c r="AA267" s="979">
        <v>1500</v>
      </c>
      <c r="AB267" s="979">
        <v>1600</v>
      </c>
      <c r="AC267" s="979"/>
      <c r="AD267" s="979">
        <v>2200</v>
      </c>
      <c r="AE267" s="1109">
        <f t="shared" si="82"/>
        <v>148400</v>
      </c>
      <c r="AF267" s="1113">
        <v>1700</v>
      </c>
      <c r="AG267" s="981">
        <v>5000</v>
      </c>
      <c r="AH267" s="981">
        <v>4000</v>
      </c>
      <c r="AI267" s="1114">
        <f t="shared" si="83"/>
        <v>10700</v>
      </c>
      <c r="AJ267" s="1110">
        <f t="shared" si="84"/>
        <v>159100</v>
      </c>
      <c r="AK267" s="982">
        <f>'09월 에너지'!S267</f>
        <v>145.30000000000001</v>
      </c>
      <c r="AL267" s="983">
        <f t="shared" si="85"/>
        <v>0.91326209930861091</v>
      </c>
    </row>
    <row r="268" spans="1:38" ht="16.5" customHeight="1">
      <c r="A268" s="999">
        <f>'09월 에너지'!A268</f>
        <v>46274</v>
      </c>
      <c r="B268" s="1002">
        <f>'09월 조업일지'!B266</f>
        <v>46274</v>
      </c>
      <c r="C268" s="1003" t="str">
        <f>'09월 에너지'!C268</f>
        <v>B</v>
      </c>
      <c r="D268" s="1004" t="str">
        <f>'09월 에너지'!D268</f>
        <v>A</v>
      </c>
      <c r="E268" s="1000">
        <f>'09월 에너지'!E268</f>
        <v>85468</v>
      </c>
      <c r="F268" s="1094" t="str">
        <f>'09월 에너지'!F268</f>
        <v>SHP355W</v>
      </c>
      <c r="G268" s="980"/>
      <c r="H268" s="978"/>
      <c r="I268" s="978"/>
      <c r="J268" s="978"/>
      <c r="K268" s="978"/>
      <c r="L268" s="978"/>
      <c r="M268" s="978"/>
      <c r="N268" s="978"/>
      <c r="O268" s="1106" t="str">
        <f t="shared" si="81"/>
        <v/>
      </c>
      <c r="P268" s="1108">
        <f>9300+12300+11400+6800+7100+7700+4600</f>
        <v>59200</v>
      </c>
      <c r="Q268" s="979">
        <f>9700+5100</f>
        <v>14800</v>
      </c>
      <c r="R268" s="979">
        <v>8500</v>
      </c>
      <c r="S268" s="979"/>
      <c r="T268" s="979"/>
      <c r="U268" s="979">
        <v>4700</v>
      </c>
      <c r="V268" s="979">
        <f>4600+3800+4700+10100</f>
        <v>23200</v>
      </c>
      <c r="W268" s="979">
        <v>1900</v>
      </c>
      <c r="X268" s="979">
        <v>9400</v>
      </c>
      <c r="Y268" s="979">
        <f>2800+12100+3400</f>
        <v>18300</v>
      </c>
      <c r="Z268" s="979"/>
      <c r="AA268" s="979">
        <v>2200</v>
      </c>
      <c r="AB268" s="979">
        <v>1100</v>
      </c>
      <c r="AC268" s="979"/>
      <c r="AD268" s="979">
        <v>2300</v>
      </c>
      <c r="AE268" s="1109">
        <f t="shared" si="82"/>
        <v>145600</v>
      </c>
      <c r="AF268" s="1113">
        <v>3500</v>
      </c>
      <c r="AG268" s="981">
        <v>4400</v>
      </c>
      <c r="AH268" s="981">
        <v>5300</v>
      </c>
      <c r="AI268" s="1114">
        <f t="shared" si="83"/>
        <v>13200</v>
      </c>
      <c r="AJ268" s="1110">
        <f t="shared" si="84"/>
        <v>158800</v>
      </c>
      <c r="AK268" s="982">
        <f>'09월 에너지'!S268</f>
        <v>144.6</v>
      </c>
      <c r="AL268" s="983">
        <f t="shared" si="85"/>
        <v>0.91057934508816119</v>
      </c>
    </row>
    <row r="269" spans="1:38" ht="16.5" customHeight="1">
      <c r="A269" s="999">
        <f>'09월 에너지'!A269</f>
        <v>46274</v>
      </c>
      <c r="B269" s="1002">
        <f>'09월 조업일지'!B267</f>
        <v>46274</v>
      </c>
      <c r="C269" s="1003" t="str">
        <f>'09월 에너지'!C269</f>
        <v>B</v>
      </c>
      <c r="D269" s="1004" t="str">
        <f>'09월 에너지'!D269</f>
        <v>B</v>
      </c>
      <c r="E269" s="1000">
        <f>'09월 에너지'!E269</f>
        <v>85469</v>
      </c>
      <c r="F269" s="1094" t="str">
        <f>'09월 에너지'!F269</f>
        <v>SHP355W</v>
      </c>
      <c r="G269" s="980"/>
      <c r="H269" s="978"/>
      <c r="I269" s="978"/>
      <c r="J269" s="978"/>
      <c r="K269" s="978"/>
      <c r="L269" s="978"/>
      <c r="M269" s="978"/>
      <c r="N269" s="978"/>
      <c r="O269" s="1106" t="str">
        <f t="shared" si="81"/>
        <v/>
      </c>
      <c r="P269" s="1108">
        <f>10100+5900+9000+6000+1800+7900+5200</f>
        <v>45900</v>
      </c>
      <c r="Q269" s="979">
        <f>7600+6900</f>
        <v>14500</v>
      </c>
      <c r="R269" s="979">
        <v>5500</v>
      </c>
      <c r="S269" s="979"/>
      <c r="T269" s="979"/>
      <c r="U269" s="979">
        <v>2300</v>
      </c>
      <c r="V269" s="979">
        <f>11300+2800+6800+8700</f>
        <v>29600</v>
      </c>
      <c r="W269" s="979">
        <v>6000</v>
      </c>
      <c r="X269" s="979">
        <v>6800</v>
      </c>
      <c r="Y269" s="979">
        <f>4400+13500+3200</f>
        <v>21100</v>
      </c>
      <c r="Z269" s="979"/>
      <c r="AA269" s="979">
        <v>1500</v>
      </c>
      <c r="AB269" s="979">
        <v>3400</v>
      </c>
      <c r="AC269" s="979"/>
      <c r="AD269" s="979">
        <v>1300</v>
      </c>
      <c r="AE269" s="1109">
        <f t="shared" si="82"/>
        <v>137900</v>
      </c>
      <c r="AF269" s="1113">
        <v>5800</v>
      </c>
      <c r="AG269" s="981">
        <v>12200</v>
      </c>
      <c r="AH269" s="981">
        <v>3500</v>
      </c>
      <c r="AI269" s="1114">
        <f t="shared" si="83"/>
        <v>21500</v>
      </c>
      <c r="AJ269" s="1110">
        <f t="shared" si="84"/>
        <v>159400</v>
      </c>
      <c r="AK269" s="982">
        <f>'09월 에너지'!S269</f>
        <v>143.4</v>
      </c>
      <c r="AL269" s="983">
        <f t="shared" si="85"/>
        <v>0.89962358845671264</v>
      </c>
    </row>
    <row r="270" spans="1:38" ht="16.5" customHeight="1">
      <c r="A270" s="999">
        <f>'09월 에너지'!A270</f>
        <v>46274</v>
      </c>
      <c r="B270" s="1002">
        <f>'09월 조업일지'!B268</f>
        <v>46274</v>
      </c>
      <c r="C270" s="1003" t="str">
        <f>'09월 에너지'!C270</f>
        <v>B</v>
      </c>
      <c r="D270" s="1004" t="str">
        <f>'09월 에너지'!D270</f>
        <v>A</v>
      </c>
      <c r="E270" s="1000">
        <f>'09월 에너지'!E270</f>
        <v>85470</v>
      </c>
      <c r="F270" s="1094" t="str">
        <f>'09월 에너지'!F270</f>
        <v>SHP355W</v>
      </c>
      <c r="G270" s="980"/>
      <c r="H270" s="978"/>
      <c r="I270" s="978"/>
      <c r="J270" s="978"/>
      <c r="K270" s="978"/>
      <c r="L270" s="978"/>
      <c r="M270" s="978"/>
      <c r="N270" s="978"/>
      <c r="O270" s="1106" t="str">
        <f t="shared" si="81"/>
        <v/>
      </c>
      <c r="P270" s="1108">
        <f>4900+11200+7300+12900+7800+14800</f>
        <v>58900</v>
      </c>
      <c r="Q270" s="979">
        <f>17100+20400</f>
        <v>37500</v>
      </c>
      <c r="R270" s="979">
        <v>7600</v>
      </c>
      <c r="S270" s="979"/>
      <c r="T270" s="979"/>
      <c r="U270" s="979">
        <v>6000</v>
      </c>
      <c r="V270" s="979">
        <f>2100+11500+2200</f>
        <v>15800</v>
      </c>
      <c r="W270" s="979">
        <v>3200</v>
      </c>
      <c r="X270" s="979">
        <v>7400</v>
      </c>
      <c r="Y270" s="979"/>
      <c r="Z270" s="979"/>
      <c r="AA270" s="979"/>
      <c r="AB270" s="979">
        <v>6800</v>
      </c>
      <c r="AC270" s="979"/>
      <c r="AD270" s="979"/>
      <c r="AE270" s="1109">
        <f t="shared" si="82"/>
        <v>143200</v>
      </c>
      <c r="AF270" s="1113">
        <v>7400</v>
      </c>
      <c r="AG270" s="981">
        <v>2600</v>
      </c>
      <c r="AH270" s="981">
        <v>4800</v>
      </c>
      <c r="AI270" s="1114">
        <f t="shared" si="83"/>
        <v>14800</v>
      </c>
      <c r="AJ270" s="1110">
        <f t="shared" si="84"/>
        <v>158000</v>
      </c>
      <c r="AK270" s="982">
        <f>'09월 에너지'!S270</f>
        <v>144</v>
      </c>
      <c r="AL270" s="983">
        <f t="shared" si="85"/>
        <v>0.91139240506329111</v>
      </c>
    </row>
    <row r="271" spans="1:38" ht="16.5" customHeight="1">
      <c r="A271" s="999">
        <f>'09월 에너지'!A271</f>
        <v>46274</v>
      </c>
      <c r="B271" s="1002">
        <f>'09월 조업일지'!B269</f>
        <v>46274</v>
      </c>
      <c r="C271" s="1003" t="str">
        <f>'09월 에너지'!C271</f>
        <v>B</v>
      </c>
      <c r="D271" s="1004" t="str">
        <f>'09월 에너지'!D271</f>
        <v>B</v>
      </c>
      <c r="E271" s="1000">
        <f>'09월 에너지'!E271</f>
        <v>85471</v>
      </c>
      <c r="F271" s="1094" t="str">
        <f>'09월 에너지'!F271</f>
        <v>SHP355W</v>
      </c>
      <c r="G271" s="980"/>
      <c r="H271" s="978"/>
      <c r="I271" s="978"/>
      <c r="J271" s="978"/>
      <c r="K271" s="978"/>
      <c r="L271" s="978"/>
      <c r="M271" s="978"/>
      <c r="N271" s="978"/>
      <c r="O271" s="1106" t="str">
        <f t="shared" ref="O271:O334" si="89">IF(SUM(G271:N271)=0,"",SUM(G271:N271))</f>
        <v/>
      </c>
      <c r="P271" s="1108">
        <f>11200+10000+7300+12800+9000+8600+13400</f>
        <v>72300</v>
      </c>
      <c r="Q271" s="979">
        <f>11100+2800</f>
        <v>13900</v>
      </c>
      <c r="R271" s="979">
        <v>5400</v>
      </c>
      <c r="S271" s="979"/>
      <c r="T271" s="979"/>
      <c r="U271" s="979">
        <f>2600+4700</f>
        <v>7300</v>
      </c>
      <c r="V271" s="979">
        <f>3100+4000+2200+13700</f>
        <v>23000</v>
      </c>
      <c r="W271" s="979">
        <v>1200</v>
      </c>
      <c r="X271" s="979">
        <v>8000</v>
      </c>
      <c r="Y271" s="979">
        <f>4400+2400</f>
        <v>6800</v>
      </c>
      <c r="Z271" s="979"/>
      <c r="AA271" s="979">
        <v>1600</v>
      </c>
      <c r="AB271" s="979">
        <v>1800</v>
      </c>
      <c r="AC271" s="979"/>
      <c r="AD271" s="979"/>
      <c r="AE271" s="1109">
        <f t="shared" ref="AE271:AE334" si="90">IF(SUM(P271:AD271)=0,"",SUM(P271:AD271))</f>
        <v>141300</v>
      </c>
      <c r="AF271" s="1113">
        <v>7400</v>
      </c>
      <c r="AG271" s="981">
        <v>5700</v>
      </c>
      <c r="AH271" s="981">
        <v>3900</v>
      </c>
      <c r="AI271" s="1114">
        <f t="shared" ref="AI271:AI334" si="91">IF(SUM(AF271:AH271)=0,"",SUM(AF271:AH271))</f>
        <v>17000</v>
      </c>
      <c r="AJ271" s="1110">
        <f t="shared" ref="AJ271:AJ334" si="92">IF(SUM(O271,AE271,AI271)=0,"",SUM(O271,AE271,AI271))</f>
        <v>158300</v>
      </c>
      <c r="AK271" s="982">
        <f>'09월 에너지'!S271</f>
        <v>139.1</v>
      </c>
      <c r="AL271" s="983">
        <f t="shared" ref="AL271:AL334" si="93">IF(ISERROR(IF(AK271="","",(AK271*1000)/AJ271)),0,(IF(AK271="","",(AK271*1000)/AJ271)))</f>
        <v>0.87871130764371441</v>
      </c>
    </row>
    <row r="272" spans="1:38" ht="16.5" customHeight="1">
      <c r="A272" s="999">
        <f>'09월 에너지'!A272</f>
        <v>46274</v>
      </c>
      <c r="B272" s="1002">
        <f>'09월 조업일지'!B270</f>
        <v>46274</v>
      </c>
      <c r="C272" s="1003" t="str">
        <f>'09월 에너지'!C272</f>
        <v>B</v>
      </c>
      <c r="D272" s="1004" t="str">
        <f>'09월 에너지'!D272</f>
        <v>A</v>
      </c>
      <c r="E272" s="1000">
        <f>'09월 에너지'!E272</f>
        <v>85472</v>
      </c>
      <c r="F272" s="1094" t="str">
        <f>'09월 에너지'!F272</f>
        <v>SHP355W</v>
      </c>
      <c r="G272" s="980"/>
      <c r="H272" s="978"/>
      <c r="I272" s="978"/>
      <c r="J272" s="978"/>
      <c r="K272" s="978"/>
      <c r="L272" s="978"/>
      <c r="M272" s="978"/>
      <c r="N272" s="978"/>
      <c r="O272" s="1106" t="str">
        <f t="shared" si="89"/>
        <v/>
      </c>
      <c r="P272" s="1108">
        <f>10200+9200+10600+9600+9100+6900+7100-2700</f>
        <v>60000</v>
      </c>
      <c r="Q272" s="979">
        <f>22200+15700</f>
        <v>37900</v>
      </c>
      <c r="R272" s="979">
        <v>4100</v>
      </c>
      <c r="S272" s="979"/>
      <c r="T272" s="979"/>
      <c r="U272" s="979">
        <v>9700</v>
      </c>
      <c r="V272" s="979">
        <f>3700+3000+2300+1400</f>
        <v>10400</v>
      </c>
      <c r="W272" s="979">
        <v>3800</v>
      </c>
      <c r="X272" s="979">
        <v>7800</v>
      </c>
      <c r="Y272" s="979">
        <f>1000+2400</f>
        <v>3400</v>
      </c>
      <c r="Z272" s="979"/>
      <c r="AA272" s="979">
        <v>3600</v>
      </c>
      <c r="AB272" s="979">
        <v>5700</v>
      </c>
      <c r="AC272" s="979"/>
      <c r="AD272" s="979"/>
      <c r="AE272" s="1109">
        <f t="shared" si="90"/>
        <v>146400</v>
      </c>
      <c r="AF272" s="1113">
        <v>6400</v>
      </c>
      <c r="AG272" s="981">
        <v>1600</v>
      </c>
      <c r="AH272" s="981">
        <v>3800</v>
      </c>
      <c r="AI272" s="1114">
        <f t="shared" si="91"/>
        <v>11800</v>
      </c>
      <c r="AJ272" s="1110">
        <f t="shared" si="92"/>
        <v>158200</v>
      </c>
      <c r="AK272" s="982">
        <f>'09월 에너지'!S272</f>
        <v>144.1</v>
      </c>
      <c r="AL272" s="983">
        <f t="shared" si="93"/>
        <v>0.91087231352718079</v>
      </c>
    </row>
    <row r="273" spans="1:38" ht="16.5" customHeight="1">
      <c r="A273" s="999">
        <f>'09월 에너지'!A273</f>
        <v>46274</v>
      </c>
      <c r="B273" s="1002">
        <f>'09월 조업일지'!B271</f>
        <v>46274</v>
      </c>
      <c r="C273" s="1003" t="str">
        <f>'09월 에너지'!C273</f>
        <v>B</v>
      </c>
      <c r="D273" s="1004" t="str">
        <f>'09월 에너지'!D273</f>
        <v>B</v>
      </c>
      <c r="E273" s="1000">
        <f>'09월 에너지'!E273</f>
        <v>85473</v>
      </c>
      <c r="F273" s="1094" t="str">
        <f>'09월 에너지'!F273</f>
        <v>SHP355W</v>
      </c>
      <c r="G273" s="980"/>
      <c r="H273" s="978"/>
      <c r="I273" s="978"/>
      <c r="J273" s="978"/>
      <c r="K273" s="978"/>
      <c r="L273" s="978"/>
      <c r="M273" s="978"/>
      <c r="N273" s="978"/>
      <c r="O273" s="1106" t="str">
        <f t="shared" si="89"/>
        <v/>
      </c>
      <c r="P273" s="1108">
        <f>2600+10600+11800+11700+10500+8200+5500</f>
        <v>60900</v>
      </c>
      <c r="Q273" s="979">
        <f>17200+2000</f>
        <v>19200</v>
      </c>
      <c r="R273" s="979">
        <v>3700</v>
      </c>
      <c r="S273" s="979"/>
      <c r="T273" s="979"/>
      <c r="U273" s="979">
        <f>7100+2900</f>
        <v>10000</v>
      </c>
      <c r="V273" s="979">
        <f>2500+6800+1800+9600</f>
        <v>20700</v>
      </c>
      <c r="W273" s="979">
        <v>2500</v>
      </c>
      <c r="X273" s="979">
        <v>8900</v>
      </c>
      <c r="Y273" s="979">
        <f>3100+2300+2100+3000</f>
        <v>10500</v>
      </c>
      <c r="Z273" s="979"/>
      <c r="AA273" s="979">
        <v>2300</v>
      </c>
      <c r="AB273" s="979">
        <v>1600</v>
      </c>
      <c r="AC273" s="979"/>
      <c r="AD273" s="979"/>
      <c r="AE273" s="1109">
        <f t="shared" si="90"/>
        <v>140300</v>
      </c>
      <c r="AF273" s="1113">
        <v>8700</v>
      </c>
      <c r="AG273" s="981">
        <v>6900</v>
      </c>
      <c r="AH273" s="981">
        <v>3000</v>
      </c>
      <c r="AI273" s="1114">
        <f t="shared" si="91"/>
        <v>18600</v>
      </c>
      <c r="AJ273" s="1110">
        <f t="shared" si="92"/>
        <v>158900</v>
      </c>
      <c r="AK273" s="982">
        <f>'09월 에너지'!S273</f>
        <v>141.4</v>
      </c>
      <c r="AL273" s="983">
        <f t="shared" si="93"/>
        <v>0.88986784140969166</v>
      </c>
    </row>
    <row r="274" spans="1:38" ht="16.5" customHeight="1">
      <c r="A274" s="999">
        <f>'09월 에너지'!A274</f>
        <v>46275</v>
      </c>
      <c r="B274" s="1002">
        <f>'09월 조업일지'!B272</f>
        <v>46274</v>
      </c>
      <c r="C274" s="1003" t="str">
        <f>'09월 에너지'!C274</f>
        <v>B</v>
      </c>
      <c r="D274" s="1004" t="str">
        <f>'09월 에너지'!D274</f>
        <v>A</v>
      </c>
      <c r="E274" s="1000">
        <f>'09월 에너지'!E274</f>
        <v>85474</v>
      </c>
      <c r="F274" s="1094" t="str">
        <f>'09월 에너지'!F274</f>
        <v>SHP355W</v>
      </c>
      <c r="G274" s="980"/>
      <c r="H274" s="978"/>
      <c r="I274" s="978"/>
      <c r="J274" s="978"/>
      <c r="K274" s="978"/>
      <c r="L274" s="978"/>
      <c r="M274" s="978"/>
      <c r="N274" s="978"/>
      <c r="O274" s="1106" t="str">
        <f t="shared" si="89"/>
        <v/>
      </c>
      <c r="P274" s="1108">
        <f>2700+6700+5400+22700+8600+2400+6500</f>
        <v>55000</v>
      </c>
      <c r="Q274" s="979">
        <f>9000+5200</f>
        <v>14200</v>
      </c>
      <c r="R274" s="979">
        <v>9600</v>
      </c>
      <c r="S274" s="979"/>
      <c r="T274" s="979"/>
      <c r="U274" s="979">
        <v>5800</v>
      </c>
      <c r="V274" s="979">
        <v>22500</v>
      </c>
      <c r="W274" s="979">
        <v>2800</v>
      </c>
      <c r="X274" s="979">
        <v>8900</v>
      </c>
      <c r="Y274" s="979">
        <f>1700+4600+1900</f>
        <v>8200</v>
      </c>
      <c r="Z274" s="979"/>
      <c r="AA274" s="979">
        <v>3600</v>
      </c>
      <c r="AB274" s="979">
        <v>3000</v>
      </c>
      <c r="AC274" s="979"/>
      <c r="AD274" s="979"/>
      <c r="AE274" s="1109">
        <f t="shared" si="90"/>
        <v>133600</v>
      </c>
      <c r="AF274" s="1113">
        <v>7100</v>
      </c>
      <c r="AG274" s="981">
        <v>2300</v>
      </c>
      <c r="AH274" s="981">
        <v>16200</v>
      </c>
      <c r="AI274" s="1114">
        <f t="shared" si="91"/>
        <v>25600</v>
      </c>
      <c r="AJ274" s="1110">
        <f t="shared" si="92"/>
        <v>159200</v>
      </c>
      <c r="AK274" s="982">
        <f>'09월 에너지'!S274</f>
        <v>144.69999999999999</v>
      </c>
      <c r="AL274" s="983">
        <f t="shared" si="93"/>
        <v>0.9089195979899497</v>
      </c>
    </row>
    <row r="275" spans="1:38" ht="16.5" customHeight="1">
      <c r="A275" s="999">
        <f>'09월 에너지'!A275</f>
        <v>46275</v>
      </c>
      <c r="B275" s="1002">
        <f>'09월 조업일지'!B273</f>
        <v>46274</v>
      </c>
      <c r="C275" s="1003" t="str">
        <f>'09월 에너지'!C275</f>
        <v>B</v>
      </c>
      <c r="D275" s="1004" t="str">
        <f>'09월 에너지'!D275</f>
        <v>B</v>
      </c>
      <c r="E275" s="1000">
        <f>'09월 에너지'!E275</f>
        <v>85475</v>
      </c>
      <c r="F275" s="1170" t="str">
        <f>'09월 에너지'!F275</f>
        <v>S355JO-01</v>
      </c>
      <c r="G275" s="980"/>
      <c r="H275" s="978"/>
      <c r="I275" s="978"/>
      <c r="J275" s="978"/>
      <c r="K275" s="978"/>
      <c r="L275" s="978"/>
      <c r="M275" s="978"/>
      <c r="N275" s="978"/>
      <c r="O275" s="1106" t="str">
        <f t="shared" si="89"/>
        <v/>
      </c>
      <c r="P275" s="1108">
        <f>11700+6700+11500+10500+8700+6200+9000</f>
        <v>64300</v>
      </c>
      <c r="Q275" s="979">
        <f>14600+10900</f>
        <v>25500</v>
      </c>
      <c r="R275" s="979">
        <v>4900</v>
      </c>
      <c r="S275" s="979"/>
      <c r="T275" s="979"/>
      <c r="U275" s="979">
        <f>6200+2600</f>
        <v>8800</v>
      </c>
      <c r="V275" s="979">
        <f>5300+7600+3100</f>
        <v>16000</v>
      </c>
      <c r="W275" s="979">
        <v>800</v>
      </c>
      <c r="X275" s="979">
        <v>8700</v>
      </c>
      <c r="Y275" s="979">
        <f>2200+2300</f>
        <v>4500</v>
      </c>
      <c r="Z275" s="979"/>
      <c r="AA275" s="979">
        <v>2400</v>
      </c>
      <c r="AB275" s="979">
        <v>3100</v>
      </c>
      <c r="AC275" s="979"/>
      <c r="AD275" s="979">
        <v>1600</v>
      </c>
      <c r="AE275" s="1109">
        <f t="shared" si="90"/>
        <v>140600</v>
      </c>
      <c r="AF275" s="1113">
        <v>3100</v>
      </c>
      <c r="AG275" s="981">
        <v>8200</v>
      </c>
      <c r="AH275" s="981">
        <v>6300</v>
      </c>
      <c r="AI275" s="1114">
        <f t="shared" si="91"/>
        <v>17600</v>
      </c>
      <c r="AJ275" s="1110">
        <f t="shared" si="92"/>
        <v>158200</v>
      </c>
      <c r="AK275" s="982">
        <f>'09월 에너지'!S275</f>
        <v>142.69999999999999</v>
      </c>
      <c r="AL275" s="983">
        <f t="shared" si="93"/>
        <v>0.90202275600505688</v>
      </c>
    </row>
    <row r="276" spans="1:38" ht="16.5" customHeight="1">
      <c r="A276" s="999">
        <f>'09월 에너지'!A276</f>
        <v>46275</v>
      </c>
      <c r="B276" s="1002">
        <f>'09월 조업일지'!B274</f>
        <v>46274</v>
      </c>
      <c r="C276" s="1003" t="str">
        <f>'09월 에너지'!C276</f>
        <v>B</v>
      </c>
      <c r="D276" s="1004" t="str">
        <f>'09월 에너지'!D276</f>
        <v>A</v>
      </c>
      <c r="E276" s="1000">
        <f>'09월 에너지'!E276</f>
        <v>85476</v>
      </c>
      <c r="F276" s="1094" t="str">
        <f>'09월 에너지'!F276</f>
        <v>S355JO-01</v>
      </c>
      <c r="G276" s="980"/>
      <c r="H276" s="978"/>
      <c r="I276" s="978"/>
      <c r="J276" s="978"/>
      <c r="K276" s="978"/>
      <c r="L276" s="978"/>
      <c r="M276" s="978"/>
      <c r="N276" s="978"/>
      <c r="O276" s="1106" t="str">
        <f t="shared" si="89"/>
        <v/>
      </c>
      <c r="P276" s="1108">
        <f>5900+11000+7000+19500+8600+100+6000</f>
        <v>58100</v>
      </c>
      <c r="Q276" s="979">
        <f>9600+14300</f>
        <v>23900</v>
      </c>
      <c r="R276" s="979">
        <v>3600</v>
      </c>
      <c r="S276" s="979"/>
      <c r="T276" s="979"/>
      <c r="U276" s="979">
        <f>3000+10800</f>
        <v>13800</v>
      </c>
      <c r="V276" s="979">
        <f>7800+2400+2300+3200</f>
        <v>15700</v>
      </c>
      <c r="W276" s="979">
        <v>3200</v>
      </c>
      <c r="X276" s="979">
        <v>6300</v>
      </c>
      <c r="Y276" s="979">
        <f>4300+2400</f>
        <v>6700</v>
      </c>
      <c r="Z276" s="979"/>
      <c r="AA276" s="979">
        <v>2200</v>
      </c>
      <c r="AB276" s="979">
        <v>6100</v>
      </c>
      <c r="AC276" s="979"/>
      <c r="AD276" s="979"/>
      <c r="AE276" s="1109">
        <f t="shared" si="90"/>
        <v>139600</v>
      </c>
      <c r="AF276" s="1113">
        <v>6700</v>
      </c>
      <c r="AG276" s="981">
        <v>5400</v>
      </c>
      <c r="AH276" s="981">
        <v>6200</v>
      </c>
      <c r="AI276" s="1114">
        <f t="shared" si="91"/>
        <v>18300</v>
      </c>
      <c r="AJ276" s="1110">
        <f t="shared" si="92"/>
        <v>157900</v>
      </c>
      <c r="AK276" s="982">
        <f>'09월 에너지'!S276</f>
        <v>144.4</v>
      </c>
      <c r="AL276" s="983">
        <f t="shared" si="93"/>
        <v>0.91450284990500319</v>
      </c>
    </row>
    <row r="277" spans="1:38" ht="16.5" customHeight="1">
      <c r="A277" s="999">
        <f>'09월 에너지'!A277</f>
        <v>46275</v>
      </c>
      <c r="B277" s="1002">
        <f>'09월 조업일지'!B275</f>
        <v>46275</v>
      </c>
      <c r="C277" s="1003" t="str">
        <f>'09월 에너지'!C277</f>
        <v>C</v>
      </c>
      <c r="D277" s="1004" t="str">
        <f>'09월 에너지'!D277</f>
        <v>B</v>
      </c>
      <c r="E277" s="1000">
        <f>'09월 에너지'!E277</f>
        <v>85477</v>
      </c>
      <c r="F277" s="1094" t="str">
        <f>'09월 에너지'!F277</f>
        <v>S355JO-01</v>
      </c>
      <c r="G277" s="980"/>
      <c r="H277" s="978"/>
      <c r="I277" s="978"/>
      <c r="J277" s="978"/>
      <c r="K277" s="978"/>
      <c r="L277" s="978"/>
      <c r="M277" s="978"/>
      <c r="N277" s="978"/>
      <c r="O277" s="1106" t="str">
        <f t="shared" si="89"/>
        <v/>
      </c>
      <c r="P277" s="1108">
        <f>7200+10500+9200+14100+10600+11000+10200</f>
        <v>72800</v>
      </c>
      <c r="Q277" s="979">
        <f>13000+9800</f>
        <v>22800</v>
      </c>
      <c r="R277" s="979">
        <v>3000</v>
      </c>
      <c r="S277" s="979"/>
      <c r="T277" s="979"/>
      <c r="U277" s="979">
        <f>2400+2500</f>
        <v>4900</v>
      </c>
      <c r="V277" s="979">
        <f>6100+2000+4300+3200</f>
        <v>15600</v>
      </c>
      <c r="W277" s="979">
        <v>2500</v>
      </c>
      <c r="X277" s="979">
        <v>5600</v>
      </c>
      <c r="Y277" s="979">
        <f>1300+1900</f>
        <v>3200</v>
      </c>
      <c r="Z277" s="979"/>
      <c r="AA277" s="979">
        <v>3300</v>
      </c>
      <c r="AB277" s="979">
        <v>4400</v>
      </c>
      <c r="AC277" s="979"/>
      <c r="AD277" s="979"/>
      <c r="AE277" s="1109">
        <f t="shared" si="90"/>
        <v>138100</v>
      </c>
      <c r="AF277" s="1113">
        <v>2100</v>
      </c>
      <c r="AG277" s="981">
        <v>14800</v>
      </c>
      <c r="AH277" s="981">
        <v>3000</v>
      </c>
      <c r="AI277" s="1114">
        <f t="shared" si="91"/>
        <v>19900</v>
      </c>
      <c r="AJ277" s="1110">
        <f t="shared" si="92"/>
        <v>158000</v>
      </c>
      <c r="AK277" s="982">
        <f>'09월 에너지'!S277</f>
        <v>145.30000000000001</v>
      </c>
      <c r="AL277" s="983">
        <f t="shared" si="93"/>
        <v>0.91962025316455698</v>
      </c>
    </row>
    <row r="278" spans="1:38" ht="16.5" customHeight="1">
      <c r="A278" s="999">
        <f>'09월 에너지'!A278</f>
        <v>46275</v>
      </c>
      <c r="B278" s="1002">
        <f>'09월 조업일지'!B276</f>
        <v>46275</v>
      </c>
      <c r="C278" s="1003" t="str">
        <f>'09월 에너지'!C278</f>
        <v>C</v>
      </c>
      <c r="D278" s="1004" t="str">
        <f>'09월 에너지'!D278</f>
        <v>A</v>
      </c>
      <c r="E278" s="1000">
        <f>'09월 에너지'!E278</f>
        <v>85478</v>
      </c>
      <c r="F278" s="1170" t="str">
        <f>'09월 에너지'!F278</f>
        <v>SHP275W</v>
      </c>
      <c r="G278" s="980"/>
      <c r="H278" s="978"/>
      <c r="I278" s="978"/>
      <c r="J278" s="978"/>
      <c r="K278" s="978"/>
      <c r="L278" s="978"/>
      <c r="M278" s="978"/>
      <c r="N278" s="978"/>
      <c r="O278" s="1106" t="str">
        <f t="shared" si="89"/>
        <v/>
      </c>
      <c r="P278" s="1108">
        <f>11000+5100+3500+7400+15200+5500</f>
        <v>47700</v>
      </c>
      <c r="Q278" s="979">
        <f>20000+6800</f>
        <v>26800</v>
      </c>
      <c r="R278" s="979">
        <v>4900</v>
      </c>
      <c r="S278" s="979"/>
      <c r="T278" s="979"/>
      <c r="U278" s="979">
        <f>2300+2900</f>
        <v>5200</v>
      </c>
      <c r="V278" s="979">
        <f>6500+10100</f>
        <v>16600</v>
      </c>
      <c r="W278" s="979">
        <v>2300</v>
      </c>
      <c r="X278" s="979">
        <v>8500</v>
      </c>
      <c r="Y278" s="979">
        <f>2200+17800</f>
        <v>20000</v>
      </c>
      <c r="Z278" s="979"/>
      <c r="AA278" s="979">
        <v>1800</v>
      </c>
      <c r="AB278" s="979">
        <v>3600</v>
      </c>
      <c r="AC278" s="979">
        <v>2500</v>
      </c>
      <c r="AD278" s="979">
        <v>3300</v>
      </c>
      <c r="AE278" s="1109">
        <f t="shared" si="90"/>
        <v>143200</v>
      </c>
      <c r="AF278" s="1113">
        <v>3600</v>
      </c>
      <c r="AG278" s="981">
        <v>8200</v>
      </c>
      <c r="AH278" s="981">
        <v>4500</v>
      </c>
      <c r="AI278" s="1114">
        <f t="shared" si="91"/>
        <v>16300</v>
      </c>
      <c r="AJ278" s="1110">
        <f t="shared" si="92"/>
        <v>159500</v>
      </c>
      <c r="AK278" s="982">
        <f>'09월 에너지'!S278</f>
        <v>144.5</v>
      </c>
      <c r="AL278" s="983">
        <f t="shared" si="93"/>
        <v>0.90595611285266453</v>
      </c>
    </row>
    <row r="279" spans="1:38" ht="16.5" customHeight="1">
      <c r="A279" s="999">
        <f>'09월 에너지'!A279</f>
        <v>46275</v>
      </c>
      <c r="B279" s="1002">
        <f>'09월 조업일지'!B277</f>
        <v>46275</v>
      </c>
      <c r="C279" s="1003" t="str">
        <f>'09월 에너지'!C279</f>
        <v>C</v>
      </c>
      <c r="D279" s="1004" t="str">
        <f>'09월 에너지'!D279</f>
        <v>B</v>
      </c>
      <c r="E279" s="1000">
        <f>'09월 에너지'!E279</f>
        <v>85479</v>
      </c>
      <c r="F279" s="1170" t="str">
        <f>'09월 에너지'!F279</f>
        <v>SS400-01</v>
      </c>
      <c r="G279" s="980"/>
      <c r="H279" s="978"/>
      <c r="I279" s="978"/>
      <c r="J279" s="978"/>
      <c r="K279" s="978"/>
      <c r="L279" s="978"/>
      <c r="M279" s="978"/>
      <c r="N279" s="978"/>
      <c r="O279" s="1106" t="str">
        <f t="shared" si="89"/>
        <v/>
      </c>
      <c r="P279" s="1108">
        <f>8200+13600+18700+9400</f>
        <v>49900</v>
      </c>
      <c r="Q279" s="979">
        <v>18000</v>
      </c>
      <c r="R279" s="979">
        <v>0</v>
      </c>
      <c r="S279" s="979"/>
      <c r="T279" s="979"/>
      <c r="U279" s="979">
        <v>0</v>
      </c>
      <c r="V279" s="979">
        <f>3600+2200+4300+4700</f>
        <v>14800</v>
      </c>
      <c r="W279" s="979">
        <v>0</v>
      </c>
      <c r="X279" s="979">
        <v>0</v>
      </c>
      <c r="Y279" s="979">
        <f>3500+11900</f>
        <v>15400</v>
      </c>
      <c r="Z279" s="979"/>
      <c r="AA279" s="979">
        <v>0</v>
      </c>
      <c r="AB279" s="979">
        <v>0</v>
      </c>
      <c r="AC279" s="979">
        <v>0</v>
      </c>
      <c r="AD279" s="979">
        <v>0</v>
      </c>
      <c r="AE279" s="1109">
        <f t="shared" si="90"/>
        <v>98100</v>
      </c>
      <c r="AF279" s="1113">
        <v>4500</v>
      </c>
      <c r="AG279" s="981">
        <v>8000</v>
      </c>
      <c r="AH279" s="981">
        <v>0</v>
      </c>
      <c r="AI279" s="1114">
        <f t="shared" si="91"/>
        <v>12500</v>
      </c>
      <c r="AJ279" s="1110">
        <f t="shared" si="92"/>
        <v>110600</v>
      </c>
      <c r="AK279" s="982">
        <f>'09월 에너지'!S279</f>
        <v>128.30000000000001</v>
      </c>
      <c r="AL279" s="983">
        <f t="shared" si="93"/>
        <v>1.1600361663652805</v>
      </c>
    </row>
    <row r="280" spans="1:38" ht="16.5" customHeight="1">
      <c r="A280" s="999">
        <f>'09월 에너지'!A280</f>
        <v>46275</v>
      </c>
      <c r="B280" s="1002">
        <f>'09월 조업일지'!B278</f>
        <v>46275</v>
      </c>
      <c r="C280" s="1003" t="str">
        <f>'09월 에너지'!C280</f>
        <v>C</v>
      </c>
      <c r="D280" s="1004" t="str">
        <f>'09월 에너지'!D280</f>
        <v>A</v>
      </c>
      <c r="E280" s="1000">
        <f>'09월 에너지'!E280</f>
        <v>85480</v>
      </c>
      <c r="F280" s="1170" t="str">
        <f>'09월 에너지'!F280</f>
        <v>SHP275W</v>
      </c>
      <c r="G280" s="980"/>
      <c r="H280" s="978"/>
      <c r="I280" s="978"/>
      <c r="J280" s="978"/>
      <c r="K280" s="978"/>
      <c r="L280" s="978"/>
      <c r="M280" s="978"/>
      <c r="N280" s="978"/>
      <c r="O280" s="1106" t="str">
        <f t="shared" si="89"/>
        <v/>
      </c>
      <c r="P280" s="1108">
        <f>8300+11000+3900+10300+7300+2200</f>
        <v>43000</v>
      </c>
      <c r="Q280" s="979">
        <f>11700+9300</f>
        <v>21000</v>
      </c>
      <c r="R280" s="979">
        <v>10300</v>
      </c>
      <c r="S280" s="979"/>
      <c r="T280" s="979"/>
      <c r="U280" s="979">
        <f>3300+7900</f>
        <v>11200</v>
      </c>
      <c r="V280" s="979">
        <f>3600+1900+8900</f>
        <v>14400</v>
      </c>
      <c r="W280" s="979">
        <v>2500</v>
      </c>
      <c r="X280" s="979">
        <v>6200</v>
      </c>
      <c r="Y280" s="979">
        <f>5300+12000+1700</f>
        <v>19000</v>
      </c>
      <c r="Z280" s="979"/>
      <c r="AA280" s="979">
        <v>1900</v>
      </c>
      <c r="AB280" s="979">
        <v>2300</v>
      </c>
      <c r="AC280" s="979">
        <v>2700</v>
      </c>
      <c r="AD280" s="979">
        <v>1400</v>
      </c>
      <c r="AE280" s="1109">
        <f t="shared" si="90"/>
        <v>135900</v>
      </c>
      <c r="AF280" s="1113">
        <v>3900</v>
      </c>
      <c r="AG280" s="981">
        <v>9500</v>
      </c>
      <c r="AH280" s="981">
        <v>9800</v>
      </c>
      <c r="AI280" s="1114">
        <f t="shared" si="91"/>
        <v>23200</v>
      </c>
      <c r="AJ280" s="1110">
        <f t="shared" si="92"/>
        <v>159100</v>
      </c>
      <c r="AK280" s="982">
        <f>'09월 에너지'!S280</f>
        <v>144.9</v>
      </c>
      <c r="AL280" s="983">
        <f t="shared" si="93"/>
        <v>0.91074795725958513</v>
      </c>
    </row>
    <row r="281" spans="1:38" ht="16.5" customHeight="1">
      <c r="A281" s="999">
        <f>'09월 에너지'!A281</f>
        <v>46275</v>
      </c>
      <c r="B281" s="1002">
        <f>'09월 조업일지'!B279</f>
        <v>46275</v>
      </c>
      <c r="C281" s="1003" t="str">
        <f>'09월 에너지'!C281</f>
        <v>C</v>
      </c>
      <c r="D281" s="1233" t="str">
        <f>'09월 에너지'!D281</f>
        <v>A</v>
      </c>
      <c r="E281" s="1000">
        <f>'09월 에너지'!E281</f>
        <v>85481</v>
      </c>
      <c r="F281" s="1170" t="str">
        <f>'09월 에너지'!F281</f>
        <v>SS400-01</v>
      </c>
      <c r="G281" s="980"/>
      <c r="H281" s="978"/>
      <c r="I281" s="978"/>
      <c r="J281" s="978"/>
      <c r="K281" s="978"/>
      <c r="L281" s="978"/>
      <c r="M281" s="978"/>
      <c r="N281" s="978"/>
      <c r="O281" s="1106" t="str">
        <f t="shared" si="89"/>
        <v/>
      </c>
      <c r="P281" s="1108">
        <f>4300+7700+17400+9400</f>
        <v>38800</v>
      </c>
      <c r="Q281" s="979">
        <v>7200</v>
      </c>
      <c r="R281" s="979">
        <v>0</v>
      </c>
      <c r="S281" s="979"/>
      <c r="T281" s="979"/>
      <c r="U281" s="979">
        <v>0</v>
      </c>
      <c r="V281" s="979">
        <f>4900+8900+9500+3800</f>
        <v>27100</v>
      </c>
      <c r="W281" s="979">
        <v>0</v>
      </c>
      <c r="X281" s="979">
        <v>0</v>
      </c>
      <c r="Y281" s="979">
        <f>2700+16200</f>
        <v>18900</v>
      </c>
      <c r="Z281" s="979"/>
      <c r="AA281" s="979">
        <v>0</v>
      </c>
      <c r="AB281" s="979">
        <v>0</v>
      </c>
      <c r="AC281" s="979">
        <v>0</v>
      </c>
      <c r="AD281" s="979">
        <v>0</v>
      </c>
      <c r="AE281" s="1109">
        <f t="shared" si="90"/>
        <v>92000</v>
      </c>
      <c r="AF281" s="1113">
        <v>5100</v>
      </c>
      <c r="AG281" s="981">
        <v>13600</v>
      </c>
      <c r="AH281" s="981">
        <v>0</v>
      </c>
      <c r="AI281" s="1114">
        <f t="shared" si="91"/>
        <v>18700</v>
      </c>
      <c r="AJ281" s="1110">
        <f t="shared" si="92"/>
        <v>110700</v>
      </c>
      <c r="AK281" s="982">
        <f>'09월 에너지'!S281</f>
        <v>122.5</v>
      </c>
      <c r="AL281" s="983">
        <f t="shared" si="93"/>
        <v>1.1065943992773262</v>
      </c>
    </row>
    <row r="282" spans="1:38" ht="16.5" customHeight="1">
      <c r="A282" s="999">
        <f>'09월 에너지'!A282</f>
        <v>46275</v>
      </c>
      <c r="B282" s="1002">
        <f>'09월 조업일지'!B280</f>
        <v>46275</v>
      </c>
      <c r="C282" s="1003" t="str">
        <f>'09월 에너지'!C282</f>
        <v>D</v>
      </c>
      <c r="D282" s="1004" t="str">
        <f>'09월 에너지'!D282</f>
        <v>A</v>
      </c>
      <c r="E282" s="1000">
        <f>'09월 에너지'!E282</f>
        <v>85482</v>
      </c>
      <c r="F282" s="1170" t="str">
        <f>'09월 에너지'!F282</f>
        <v>SS400-02</v>
      </c>
      <c r="G282" s="980"/>
      <c r="H282" s="978"/>
      <c r="I282" s="978"/>
      <c r="J282" s="978"/>
      <c r="K282" s="978"/>
      <c r="L282" s="978"/>
      <c r="M282" s="978"/>
      <c r="N282" s="978"/>
      <c r="O282" s="1106" t="str">
        <f t="shared" si="89"/>
        <v/>
      </c>
      <c r="P282" s="1108">
        <f>11700+9400+13100+5400+11500+2100+7600</f>
        <v>60800</v>
      </c>
      <c r="Q282" s="979">
        <f>14600+9300</f>
        <v>23900</v>
      </c>
      <c r="R282" s="979">
        <v>0</v>
      </c>
      <c r="S282" s="979"/>
      <c r="T282" s="979"/>
      <c r="U282" s="979">
        <f>12300+1300</f>
        <v>13600</v>
      </c>
      <c r="V282" s="979">
        <f>8400+5600+8500</f>
        <v>22500</v>
      </c>
      <c r="W282" s="979">
        <v>0</v>
      </c>
      <c r="X282" s="979">
        <v>3000</v>
      </c>
      <c r="Y282" s="979">
        <f>8200+5900</f>
        <v>14100</v>
      </c>
      <c r="Z282" s="979"/>
      <c r="AA282" s="979">
        <v>0</v>
      </c>
      <c r="AB282" s="979">
        <v>0</v>
      </c>
      <c r="AC282" s="979">
        <v>0</v>
      </c>
      <c r="AD282" s="979">
        <v>1500</v>
      </c>
      <c r="AE282" s="1109">
        <f t="shared" si="90"/>
        <v>139400</v>
      </c>
      <c r="AF282" s="1113">
        <v>4200</v>
      </c>
      <c r="AG282" s="981">
        <v>9500</v>
      </c>
      <c r="AH282" s="981">
        <v>4700</v>
      </c>
      <c r="AI282" s="1114">
        <f t="shared" si="91"/>
        <v>18400</v>
      </c>
      <c r="AJ282" s="1110">
        <f t="shared" si="92"/>
        <v>157800</v>
      </c>
      <c r="AK282" s="982">
        <f>'09월 에너지'!S282</f>
        <v>133.80000000000001</v>
      </c>
      <c r="AL282" s="983">
        <f t="shared" si="93"/>
        <v>0.84790874524714832</v>
      </c>
    </row>
    <row r="283" spans="1:38" ht="16.5" customHeight="1">
      <c r="A283" s="999">
        <f>'09월 에너지'!A283</f>
        <v>46275</v>
      </c>
      <c r="B283" s="1002">
        <f>'09월 조업일지'!B281</f>
        <v>46275</v>
      </c>
      <c r="C283" s="1003" t="str">
        <f>'09월 에너지'!C283</f>
        <v>D</v>
      </c>
      <c r="D283" s="1004" t="str">
        <f>'09월 에너지'!D283</f>
        <v>A</v>
      </c>
      <c r="E283" s="1000">
        <f>'09월 에너지'!E283</f>
        <v>85483</v>
      </c>
      <c r="F283" s="1094" t="str">
        <f>'09월 에너지'!F283</f>
        <v>SS400-02</v>
      </c>
      <c r="G283" s="980"/>
      <c r="H283" s="978"/>
      <c r="I283" s="978"/>
      <c r="J283" s="978"/>
      <c r="K283" s="978"/>
      <c r="L283" s="978"/>
      <c r="M283" s="978"/>
      <c r="N283" s="978"/>
      <c r="O283" s="1106" t="str">
        <f t="shared" si="89"/>
        <v/>
      </c>
      <c r="P283" s="1108">
        <f>10600+13300+8500+6100+8700+7000</f>
        <v>54200</v>
      </c>
      <c r="Q283" s="979">
        <f>3600+2500</f>
        <v>6100</v>
      </c>
      <c r="R283" s="979">
        <v>6400</v>
      </c>
      <c r="S283" s="979"/>
      <c r="T283" s="979"/>
      <c r="U283" s="979">
        <f>3300+1800</f>
        <v>5100</v>
      </c>
      <c r="V283" s="979">
        <f>9400+5700+10700</f>
        <v>25800</v>
      </c>
      <c r="W283" s="979">
        <v>2900</v>
      </c>
      <c r="X283" s="979">
        <v>9200</v>
      </c>
      <c r="Y283" s="979">
        <f>3500+10200+4500</f>
        <v>18200</v>
      </c>
      <c r="Z283" s="979"/>
      <c r="AA283" s="979">
        <v>1600</v>
      </c>
      <c r="AB283" s="979">
        <v>2200</v>
      </c>
      <c r="AC283" s="979">
        <v>1100</v>
      </c>
      <c r="AD283" s="979">
        <v>3800</v>
      </c>
      <c r="AE283" s="1109">
        <f t="shared" si="90"/>
        <v>136600</v>
      </c>
      <c r="AF283" s="1113">
        <v>3400</v>
      </c>
      <c r="AG283" s="981">
        <v>7100</v>
      </c>
      <c r="AH283" s="981">
        <v>11300</v>
      </c>
      <c r="AI283" s="1114">
        <f t="shared" si="91"/>
        <v>21800</v>
      </c>
      <c r="AJ283" s="1110">
        <f t="shared" si="92"/>
        <v>158400</v>
      </c>
      <c r="AK283" s="982">
        <f>'09월 에너지'!S283</f>
        <v>139.4</v>
      </c>
      <c r="AL283" s="983">
        <f t="shared" si="93"/>
        <v>0.88005050505050508</v>
      </c>
    </row>
    <row r="284" spans="1:38" ht="16.5" customHeight="1">
      <c r="A284" s="999">
        <f>'09월 에너지'!A284</f>
        <v>46275</v>
      </c>
      <c r="B284" s="1002">
        <f>'09월 조업일지'!B282</f>
        <v>46275</v>
      </c>
      <c r="C284" s="1003" t="str">
        <f>'09월 에너지'!C284</f>
        <v>D</v>
      </c>
      <c r="D284" s="1004" t="str">
        <f>'09월 에너지'!D284</f>
        <v>A</v>
      </c>
      <c r="E284" s="1000">
        <f>'09월 에너지'!E284</f>
        <v>85484</v>
      </c>
      <c r="F284" s="1094" t="str">
        <f>'09월 에너지'!F284</f>
        <v>SS400-02</v>
      </c>
      <c r="G284" s="980"/>
      <c r="H284" s="978"/>
      <c r="I284" s="978"/>
      <c r="J284" s="978"/>
      <c r="K284" s="978"/>
      <c r="L284" s="978"/>
      <c r="M284" s="978"/>
      <c r="N284" s="978"/>
      <c r="O284" s="1106" t="str">
        <f t="shared" si="89"/>
        <v/>
      </c>
      <c r="P284" s="1108">
        <f>5700+9600+8100+10800+9200+6400</f>
        <v>49800</v>
      </c>
      <c r="Q284" s="979">
        <f>2900+1100</f>
        <v>4000</v>
      </c>
      <c r="R284" s="979">
        <v>5300</v>
      </c>
      <c r="S284" s="979"/>
      <c r="T284" s="979"/>
      <c r="U284" s="979">
        <f>5900+1600</f>
        <v>7500</v>
      </c>
      <c r="V284" s="979">
        <f>3700+8300+8400</f>
        <v>20400</v>
      </c>
      <c r="W284" s="979">
        <v>1100</v>
      </c>
      <c r="X284" s="979">
        <v>5900</v>
      </c>
      <c r="Y284" s="979">
        <f>3200+14100+2600</f>
        <v>19900</v>
      </c>
      <c r="Z284" s="979"/>
      <c r="AA284" s="979">
        <v>2100</v>
      </c>
      <c r="AB284" s="979">
        <v>7100</v>
      </c>
      <c r="AC284" s="979">
        <v>3300</v>
      </c>
      <c r="AD284" s="979">
        <v>6600</v>
      </c>
      <c r="AE284" s="1109">
        <f t="shared" si="90"/>
        <v>133000</v>
      </c>
      <c r="AF284" s="1113">
        <v>4000</v>
      </c>
      <c r="AG284" s="981">
        <v>13000</v>
      </c>
      <c r="AH284" s="981">
        <v>7500</v>
      </c>
      <c r="AI284" s="1114">
        <f t="shared" si="91"/>
        <v>24500</v>
      </c>
      <c r="AJ284" s="1110">
        <f t="shared" si="92"/>
        <v>157500</v>
      </c>
      <c r="AK284" s="982">
        <f>'09월 에너지'!S284</f>
        <v>145</v>
      </c>
      <c r="AL284" s="983">
        <f t="shared" si="93"/>
        <v>0.92063492063492058</v>
      </c>
    </row>
    <row r="285" spans="1:38" ht="16.5" customHeight="1">
      <c r="A285" s="999">
        <f>'09월 에너지'!A285</f>
        <v>46275</v>
      </c>
      <c r="B285" s="1002">
        <f>'09월 조업일지'!B283</f>
        <v>46275</v>
      </c>
      <c r="C285" s="1003" t="str">
        <f>'09월 에너지'!C285</f>
        <v>D</v>
      </c>
      <c r="D285" s="1004" t="str">
        <f>'09월 에너지'!D285</f>
        <v>B</v>
      </c>
      <c r="E285" s="1000">
        <f>'09월 에너지'!E285</f>
        <v>85485</v>
      </c>
      <c r="F285" s="1094" t="str">
        <f>'09월 에너지'!F285</f>
        <v>SS400-02</v>
      </c>
      <c r="G285" s="980"/>
      <c r="H285" s="978"/>
      <c r="I285" s="978"/>
      <c r="J285" s="978"/>
      <c r="K285" s="978"/>
      <c r="L285" s="978"/>
      <c r="M285" s="978"/>
      <c r="N285" s="978"/>
      <c r="O285" s="1106" t="str">
        <f t="shared" si="89"/>
        <v/>
      </c>
      <c r="P285" s="1108">
        <f>11700+9400+13100+5400+11500+2100+7600</f>
        <v>60800</v>
      </c>
      <c r="Q285" s="979">
        <f>14600+9300</f>
        <v>23900</v>
      </c>
      <c r="R285" s="979">
        <v>0</v>
      </c>
      <c r="S285" s="979"/>
      <c r="T285" s="979"/>
      <c r="U285" s="979">
        <f>12300+1300</f>
        <v>13600</v>
      </c>
      <c r="V285" s="979">
        <f>8400+5600+8500</f>
        <v>22500</v>
      </c>
      <c r="W285" s="979"/>
      <c r="X285" s="979">
        <v>3000</v>
      </c>
      <c r="Y285" s="979">
        <f>8200+5900</f>
        <v>14100</v>
      </c>
      <c r="Z285" s="979"/>
      <c r="AA285" s="979">
        <v>0</v>
      </c>
      <c r="AB285" s="979">
        <v>0</v>
      </c>
      <c r="AC285" s="979">
        <v>0</v>
      </c>
      <c r="AD285" s="979">
        <v>1500</v>
      </c>
      <c r="AE285" s="1109">
        <f t="shared" si="90"/>
        <v>139400</v>
      </c>
      <c r="AF285" s="1113">
        <v>4200</v>
      </c>
      <c r="AG285" s="981">
        <v>9500</v>
      </c>
      <c r="AH285" s="981">
        <v>4700</v>
      </c>
      <c r="AI285" s="1114">
        <f t="shared" si="91"/>
        <v>18400</v>
      </c>
      <c r="AJ285" s="1110">
        <f t="shared" si="92"/>
        <v>157800</v>
      </c>
      <c r="AK285" s="982">
        <f>'09월 에너지'!S285</f>
        <v>133.80000000000001</v>
      </c>
      <c r="AL285" s="983">
        <f t="shared" si="93"/>
        <v>0.84790874524714832</v>
      </c>
    </row>
    <row r="286" spans="1:38" ht="16.5" customHeight="1">
      <c r="A286" s="999">
        <f>'09월 에너지'!A286</f>
        <v>46275</v>
      </c>
      <c r="B286" s="1002">
        <f>'09월 조업일지'!B284</f>
        <v>46275</v>
      </c>
      <c r="C286" s="1003" t="str">
        <f>'09월 에너지'!C286</f>
        <v>D</v>
      </c>
      <c r="D286" s="1004" t="str">
        <f>'09월 에너지'!D286</f>
        <v>A</v>
      </c>
      <c r="E286" s="1000">
        <f>'09월 에너지'!E286</f>
        <v>85486</v>
      </c>
      <c r="F286" s="1170" t="str">
        <f>'09월 에너지'!F286</f>
        <v>SHN275(BB)</v>
      </c>
      <c r="G286" s="980"/>
      <c r="H286" s="978"/>
      <c r="I286" s="978"/>
      <c r="J286" s="978"/>
      <c r="K286" s="978"/>
      <c r="L286" s="978"/>
      <c r="M286" s="978"/>
      <c r="N286" s="978"/>
      <c r="O286" s="1106" t="str">
        <f t="shared" si="89"/>
        <v/>
      </c>
      <c r="P286" s="1108">
        <v>50500</v>
      </c>
      <c r="Q286" s="979">
        <f>12400+1100+2700</f>
        <v>16200</v>
      </c>
      <c r="R286" s="979">
        <v>7400</v>
      </c>
      <c r="S286" s="979"/>
      <c r="T286" s="979"/>
      <c r="U286" s="979">
        <f>5900+1600</f>
        <v>7500</v>
      </c>
      <c r="V286" s="979">
        <v>20700</v>
      </c>
      <c r="W286" s="979">
        <v>3500</v>
      </c>
      <c r="X286" s="979">
        <v>7900</v>
      </c>
      <c r="Y286" s="979">
        <f>6100+2600+2100</f>
        <v>10800</v>
      </c>
      <c r="Z286" s="979"/>
      <c r="AA286" s="979">
        <v>1900</v>
      </c>
      <c r="AB286" s="979">
        <v>3300</v>
      </c>
      <c r="AC286" s="979">
        <v>3300</v>
      </c>
      <c r="AD286" s="979"/>
      <c r="AE286" s="1109">
        <f t="shared" si="90"/>
        <v>133000</v>
      </c>
      <c r="AF286" s="1113">
        <v>4000</v>
      </c>
      <c r="AG286" s="981">
        <v>13000</v>
      </c>
      <c r="AH286" s="981">
        <v>7500</v>
      </c>
      <c r="AI286" s="1114">
        <f t="shared" si="91"/>
        <v>24500</v>
      </c>
      <c r="AJ286" s="1110">
        <f t="shared" si="92"/>
        <v>157500</v>
      </c>
      <c r="AK286" s="982">
        <f>'09월 에너지'!S286</f>
        <v>144.5</v>
      </c>
      <c r="AL286" s="983">
        <f t="shared" si="93"/>
        <v>0.91746031746031742</v>
      </c>
    </row>
    <row r="287" spans="1:38" ht="16.5" customHeight="1">
      <c r="A287" s="999">
        <f>'09월 에너지'!A287</f>
        <v>46275</v>
      </c>
      <c r="B287" s="1002">
        <f>'09월 조업일지'!B285</f>
        <v>46275</v>
      </c>
      <c r="C287" s="1003" t="str">
        <f>'09월 에너지'!C287</f>
        <v>B</v>
      </c>
      <c r="D287" s="1004" t="str">
        <f>'09월 에너지'!D287</f>
        <v>B</v>
      </c>
      <c r="E287" s="1000">
        <f>'09월 에너지'!E287</f>
        <v>85487</v>
      </c>
      <c r="F287" s="1094" t="str">
        <f>'09월 에너지'!F287</f>
        <v>SHN275(BB)</v>
      </c>
      <c r="G287" s="980"/>
      <c r="H287" s="978"/>
      <c r="I287" s="978"/>
      <c r="J287" s="978"/>
      <c r="K287" s="978"/>
      <c r="L287" s="978"/>
      <c r="M287" s="978"/>
      <c r="N287" s="978"/>
      <c r="O287" s="1106" t="str">
        <f t="shared" si="89"/>
        <v/>
      </c>
      <c r="P287" s="1108">
        <v>60300</v>
      </c>
      <c r="Q287" s="979">
        <f>10300+5600</f>
        <v>15900</v>
      </c>
      <c r="R287" s="979">
        <f>10300-5000</f>
        <v>5300</v>
      </c>
      <c r="S287" s="979"/>
      <c r="T287" s="979"/>
      <c r="U287" s="979">
        <v>3200</v>
      </c>
      <c r="V287" s="979">
        <v>29100</v>
      </c>
      <c r="W287" s="979">
        <v>2300</v>
      </c>
      <c r="X287" s="979">
        <v>8600</v>
      </c>
      <c r="Y287" s="979">
        <v>9200</v>
      </c>
      <c r="Z287" s="979"/>
      <c r="AA287" s="979">
        <v>1600</v>
      </c>
      <c r="AB287" s="979">
        <v>2300</v>
      </c>
      <c r="AC287" s="979"/>
      <c r="AD287" s="979"/>
      <c r="AE287" s="1109">
        <f t="shared" si="90"/>
        <v>137800</v>
      </c>
      <c r="AF287" s="1113">
        <v>4200</v>
      </c>
      <c r="AG287" s="981">
        <v>12100</v>
      </c>
      <c r="AH287" s="981">
        <v>4400</v>
      </c>
      <c r="AI287" s="1114">
        <f t="shared" si="91"/>
        <v>20700</v>
      </c>
      <c r="AJ287" s="1110">
        <f t="shared" si="92"/>
        <v>158500</v>
      </c>
      <c r="AK287" s="982">
        <f>'09월 에너지'!S287</f>
        <v>144.4</v>
      </c>
      <c r="AL287" s="983">
        <f t="shared" si="93"/>
        <v>0.91104100946372235</v>
      </c>
    </row>
    <row r="288" spans="1:38" ht="16.5" customHeight="1">
      <c r="A288" s="999">
        <f>'09월 에너지'!A288</f>
        <v>46275</v>
      </c>
      <c r="B288" s="1002">
        <f>'09월 조업일지'!B286</f>
        <v>46275</v>
      </c>
      <c r="C288" s="1003" t="str">
        <f>'09월 에너지'!C288</f>
        <v>B</v>
      </c>
      <c r="D288" s="1004" t="str">
        <f>'09월 에너지'!D288</f>
        <v>A</v>
      </c>
      <c r="E288" s="1000">
        <f>'09월 에너지'!E288</f>
        <v>85488</v>
      </c>
      <c r="F288" s="1094" t="str">
        <f>'09월 에너지'!F288</f>
        <v>SHN275(BB)</v>
      </c>
      <c r="G288" s="980"/>
      <c r="H288" s="978"/>
      <c r="I288" s="978"/>
      <c r="J288" s="978"/>
      <c r="K288" s="978"/>
      <c r="L288" s="978"/>
      <c r="M288" s="978"/>
      <c r="N288" s="978"/>
      <c r="O288" s="1106" t="str">
        <f t="shared" si="89"/>
        <v/>
      </c>
      <c r="P288" s="1108">
        <f>58800-5000</f>
        <v>53800</v>
      </c>
      <c r="Q288" s="979">
        <f>13900+5000</f>
        <v>18900</v>
      </c>
      <c r="R288" s="979">
        <v>2500</v>
      </c>
      <c r="S288" s="979"/>
      <c r="T288" s="979"/>
      <c r="U288" s="979">
        <v>5500</v>
      </c>
      <c r="V288" s="979">
        <f>7400+2200+6500+8600+4400-5600</f>
        <v>23500</v>
      </c>
      <c r="W288" s="979">
        <v>3600</v>
      </c>
      <c r="X288" s="979">
        <v>7700</v>
      </c>
      <c r="Y288" s="979">
        <f>7300+3100</f>
        <v>10400</v>
      </c>
      <c r="Z288" s="979"/>
      <c r="AA288" s="979">
        <v>4000</v>
      </c>
      <c r="AB288" s="979">
        <v>2600</v>
      </c>
      <c r="AC288" s="979"/>
      <c r="AD288" s="979">
        <v>8100</v>
      </c>
      <c r="AE288" s="1109">
        <f t="shared" si="90"/>
        <v>140600</v>
      </c>
      <c r="AF288" s="1113">
        <v>3000</v>
      </c>
      <c r="AG288" s="981">
        <v>9400</v>
      </c>
      <c r="AH288" s="981">
        <v>5100</v>
      </c>
      <c r="AI288" s="1114">
        <f t="shared" si="91"/>
        <v>17500</v>
      </c>
      <c r="AJ288" s="1110">
        <f t="shared" si="92"/>
        <v>158100</v>
      </c>
      <c r="AK288" s="982">
        <f>'09월 에너지'!S288</f>
        <v>147.1</v>
      </c>
      <c r="AL288" s="983">
        <f t="shared" si="93"/>
        <v>0.93042378241619228</v>
      </c>
    </row>
    <row r="289" spans="1:38" ht="16.5" customHeight="1">
      <c r="A289" s="999">
        <f>'09월 에너지'!A289</f>
        <v>46275</v>
      </c>
      <c r="B289" s="1002">
        <f>'09월 조업일지'!B287</f>
        <v>46275</v>
      </c>
      <c r="C289" s="1003" t="str">
        <f>'09월 에너지'!C289</f>
        <v>B</v>
      </c>
      <c r="D289" s="1004" t="str">
        <f>'09월 에너지'!D289</f>
        <v>B</v>
      </c>
      <c r="E289" s="1000">
        <f>'09월 에너지'!E289</f>
        <v>85489</v>
      </c>
      <c r="F289" s="1094" t="str">
        <f>'09월 에너지'!F289</f>
        <v>SHN275(BB)</v>
      </c>
      <c r="G289" s="980"/>
      <c r="H289" s="978"/>
      <c r="I289" s="978"/>
      <c r="J289" s="978"/>
      <c r="K289" s="978"/>
      <c r="L289" s="978"/>
      <c r="M289" s="978"/>
      <c r="N289" s="978"/>
      <c r="O289" s="1106" t="str">
        <f t="shared" si="89"/>
        <v/>
      </c>
      <c r="P289" s="1108">
        <f>6100+10800+13200+7100+7500+2200+19300</f>
        <v>66200</v>
      </c>
      <c r="Q289" s="979">
        <f>17400+5100</f>
        <v>22500</v>
      </c>
      <c r="R289" s="979">
        <v>2300</v>
      </c>
      <c r="S289" s="979"/>
      <c r="T289" s="979"/>
      <c r="U289" s="979">
        <v>1300</v>
      </c>
      <c r="V289" s="979">
        <f>1800+7700+9700+2800-200</f>
        <v>21800</v>
      </c>
      <c r="W289" s="979">
        <v>2200</v>
      </c>
      <c r="X289" s="979">
        <v>9000</v>
      </c>
      <c r="Y289" s="979">
        <f>2200+4500+3100</f>
        <v>9800</v>
      </c>
      <c r="Z289" s="979"/>
      <c r="AA289" s="979">
        <v>2000</v>
      </c>
      <c r="AB289" s="979">
        <v>3600</v>
      </c>
      <c r="AC289" s="979"/>
      <c r="AD289" s="979">
        <v>2200</v>
      </c>
      <c r="AE289" s="1109">
        <f t="shared" si="90"/>
        <v>142900</v>
      </c>
      <c r="AF289" s="1113">
        <v>2900</v>
      </c>
      <c r="AG289" s="981">
        <v>9700</v>
      </c>
      <c r="AH289" s="981">
        <v>3600</v>
      </c>
      <c r="AI289" s="1114">
        <f t="shared" si="91"/>
        <v>16200</v>
      </c>
      <c r="AJ289" s="1110">
        <f t="shared" si="92"/>
        <v>159100</v>
      </c>
      <c r="AK289" s="982">
        <f>'09월 에너지'!S289</f>
        <v>145.5</v>
      </c>
      <c r="AL289" s="983">
        <f t="shared" si="93"/>
        <v>0.9145191703331238</v>
      </c>
    </row>
    <row r="290" spans="1:38" ht="16.5" customHeight="1">
      <c r="A290" s="999">
        <f>'09월 에너지'!A290</f>
        <v>46275</v>
      </c>
      <c r="B290" s="1002">
        <f>'09월 조업일지'!B288</f>
        <v>46275</v>
      </c>
      <c r="C290" s="1003" t="str">
        <f>'09월 에너지'!C290</f>
        <v>B</v>
      </c>
      <c r="D290" s="1004" t="str">
        <f>'09월 에너지'!D290</f>
        <v>A</v>
      </c>
      <c r="E290" s="1000">
        <f>'09월 에너지'!E290</f>
        <v>85490</v>
      </c>
      <c r="F290" s="1094" t="str">
        <f>'09월 에너지'!F290</f>
        <v>SHN275(BB)</v>
      </c>
      <c r="G290" s="980"/>
      <c r="H290" s="978"/>
      <c r="I290" s="978"/>
      <c r="J290" s="978"/>
      <c r="K290" s="978"/>
      <c r="L290" s="978"/>
      <c r="M290" s="978"/>
      <c r="N290" s="978"/>
      <c r="O290" s="1106" t="str">
        <f t="shared" si="89"/>
        <v/>
      </c>
      <c r="P290" s="1108">
        <f>10000+13500+7000+14600+7500+2200+8700</f>
        <v>63500</v>
      </c>
      <c r="Q290" s="979">
        <f>11300+10700</f>
        <v>22000</v>
      </c>
      <c r="R290" s="979">
        <v>12400</v>
      </c>
      <c r="S290" s="979"/>
      <c r="T290" s="979"/>
      <c r="U290" s="979">
        <v>9000</v>
      </c>
      <c r="V290" s="979">
        <f>500+1400+9100</f>
        <v>11000</v>
      </c>
      <c r="W290" s="979"/>
      <c r="X290" s="979">
        <v>9000</v>
      </c>
      <c r="Y290" s="979">
        <f>1100+1700</f>
        <v>2800</v>
      </c>
      <c r="Z290" s="979"/>
      <c r="AA290" s="979">
        <v>3700</v>
      </c>
      <c r="AB290" s="979">
        <v>2000</v>
      </c>
      <c r="AC290" s="979"/>
      <c r="AD290" s="979">
        <v>4000</v>
      </c>
      <c r="AE290" s="1109">
        <f t="shared" si="90"/>
        <v>139400</v>
      </c>
      <c r="AF290" s="1113">
        <v>4200</v>
      </c>
      <c r="AG290" s="981">
        <v>7200</v>
      </c>
      <c r="AH290" s="981">
        <v>7600</v>
      </c>
      <c r="AI290" s="1114">
        <f t="shared" si="91"/>
        <v>19000</v>
      </c>
      <c r="AJ290" s="1110">
        <f t="shared" si="92"/>
        <v>158400</v>
      </c>
      <c r="AK290" s="982">
        <f>'09월 에너지'!S290</f>
        <v>147.69999999999999</v>
      </c>
      <c r="AL290" s="983">
        <f t="shared" si="93"/>
        <v>0.93244949494949492</v>
      </c>
    </row>
    <row r="291" spans="1:38" ht="16.5" customHeight="1">
      <c r="A291" s="999">
        <f>'09월 에너지'!A291</f>
        <v>46275</v>
      </c>
      <c r="B291" s="1002">
        <f>'09월 조업일지'!B289</f>
        <v>46275</v>
      </c>
      <c r="C291" s="1003" t="str">
        <f>'09월 에너지'!C291</f>
        <v>B</v>
      </c>
      <c r="D291" s="1004" t="str">
        <f>'09월 에너지'!D291</f>
        <v>B</v>
      </c>
      <c r="E291" s="1000">
        <f>'09월 에너지'!E291</f>
        <v>85491</v>
      </c>
      <c r="F291" s="1094" t="str">
        <f>'09월 에너지'!F291</f>
        <v>SHN275(BB)</v>
      </c>
      <c r="G291" s="980"/>
      <c r="H291" s="978"/>
      <c r="I291" s="978"/>
      <c r="J291" s="978"/>
      <c r="K291" s="978"/>
      <c r="L291" s="978"/>
      <c r="M291" s="978"/>
      <c r="N291" s="978"/>
      <c r="O291" s="1106" t="str">
        <f t="shared" si="89"/>
        <v/>
      </c>
      <c r="P291" s="1108">
        <f>10100+10000+14800+11000+6400+2300+4300</f>
        <v>58900</v>
      </c>
      <c r="Q291" s="979">
        <f>11700+5300</f>
        <v>17000</v>
      </c>
      <c r="R291" s="979">
        <v>7600</v>
      </c>
      <c r="S291" s="979"/>
      <c r="T291" s="979"/>
      <c r="U291" s="979">
        <v>3900</v>
      </c>
      <c r="V291" s="979">
        <f>4100+2800+6800+9400</f>
        <v>23100</v>
      </c>
      <c r="W291" s="979">
        <v>3200</v>
      </c>
      <c r="X291" s="979">
        <v>9600</v>
      </c>
      <c r="Y291" s="979">
        <f>2000+6000+4700</f>
        <v>12700</v>
      </c>
      <c r="Z291" s="979"/>
      <c r="AA291" s="979">
        <v>900</v>
      </c>
      <c r="AB291" s="979">
        <v>1200</v>
      </c>
      <c r="AC291" s="979"/>
      <c r="AD291" s="979">
        <v>4300</v>
      </c>
      <c r="AE291" s="1109">
        <f t="shared" si="90"/>
        <v>142400</v>
      </c>
      <c r="AF291" s="1113">
        <v>3800</v>
      </c>
      <c r="AG291" s="981">
        <v>6000</v>
      </c>
      <c r="AH291" s="981">
        <v>6200</v>
      </c>
      <c r="AI291" s="1114">
        <f t="shared" si="91"/>
        <v>16000</v>
      </c>
      <c r="AJ291" s="1110">
        <f t="shared" si="92"/>
        <v>158400</v>
      </c>
      <c r="AK291" s="982">
        <f>'09월 에너지'!S291</f>
        <v>144.19999999999999</v>
      </c>
      <c r="AL291" s="983">
        <f t="shared" si="93"/>
        <v>0.91035353535353536</v>
      </c>
    </row>
    <row r="292" spans="1:38" ht="16.5" customHeight="1">
      <c r="A292" s="999">
        <f>'09월 에너지'!A292</f>
        <v>46275</v>
      </c>
      <c r="B292" s="1002">
        <f>'09월 조업일지'!B290</f>
        <v>46275</v>
      </c>
      <c r="C292" s="1003" t="str">
        <f>'09월 에너지'!C292</f>
        <v>B</v>
      </c>
      <c r="D292" s="1004" t="str">
        <f>'09월 에너지'!D292</f>
        <v>A</v>
      </c>
      <c r="E292" s="1000">
        <f>'09월 에너지'!E292</f>
        <v>85492</v>
      </c>
      <c r="F292" s="1094" t="str">
        <f>'09월 에너지'!F292</f>
        <v>SHN275(BB)</v>
      </c>
      <c r="G292" s="980"/>
      <c r="H292" s="978"/>
      <c r="I292" s="978"/>
      <c r="J292" s="978"/>
      <c r="K292" s="978"/>
      <c r="L292" s="978"/>
      <c r="M292" s="978"/>
      <c r="N292" s="978"/>
      <c r="O292" s="1106" t="str">
        <f t="shared" si="89"/>
        <v/>
      </c>
      <c r="P292" s="1108">
        <f>4600+9000+6900+9000+5800+6900+7000</f>
        <v>49200</v>
      </c>
      <c r="Q292" s="979">
        <f>14800+6400</f>
        <v>21200</v>
      </c>
      <c r="R292" s="979">
        <v>11600</v>
      </c>
      <c r="S292" s="979"/>
      <c r="T292" s="979"/>
      <c r="U292" s="979">
        <v>3700</v>
      </c>
      <c r="V292" s="979">
        <f>4400+4200+4500+9400</f>
        <v>22500</v>
      </c>
      <c r="W292" s="979">
        <v>3900</v>
      </c>
      <c r="X292" s="979">
        <v>9200</v>
      </c>
      <c r="Y292" s="979">
        <f>4100+600+1700</f>
        <v>6400</v>
      </c>
      <c r="Z292" s="979"/>
      <c r="AA292" s="979">
        <v>3800</v>
      </c>
      <c r="AB292" s="979">
        <v>4200</v>
      </c>
      <c r="AC292" s="979"/>
      <c r="AD292" s="979">
        <v>3900</v>
      </c>
      <c r="AE292" s="1109">
        <f t="shared" si="90"/>
        <v>139600</v>
      </c>
      <c r="AF292" s="1113">
        <v>4500</v>
      </c>
      <c r="AG292" s="981">
        <v>8700</v>
      </c>
      <c r="AH292" s="981">
        <v>6100</v>
      </c>
      <c r="AI292" s="1114">
        <f t="shared" si="91"/>
        <v>19300</v>
      </c>
      <c r="AJ292" s="1110">
        <f t="shared" si="92"/>
        <v>158900</v>
      </c>
      <c r="AK292" s="982">
        <f>'09월 에너지'!S292</f>
        <v>146.1</v>
      </c>
      <c r="AL292" s="983">
        <f t="shared" si="93"/>
        <v>0.91944619257394589</v>
      </c>
    </row>
    <row r="293" spans="1:38" ht="16.5" customHeight="1">
      <c r="A293" s="999">
        <f>'09월 에너지'!A293</f>
        <v>46276</v>
      </c>
      <c r="B293" s="1002">
        <f>'09월 조업일지'!B291</f>
        <v>46275</v>
      </c>
      <c r="C293" s="1003" t="str">
        <f>'09월 에너지'!C293</f>
        <v>B</v>
      </c>
      <c r="D293" s="1004" t="str">
        <f>'09월 에너지'!D293</f>
        <v>B</v>
      </c>
      <c r="E293" s="1000">
        <f>'09월 에너지'!E293</f>
        <v>85493</v>
      </c>
      <c r="F293" s="1094" t="str">
        <f>'09월 에너지'!F293</f>
        <v>SHN275(BB)</v>
      </c>
      <c r="G293" s="980"/>
      <c r="H293" s="978"/>
      <c r="I293" s="978"/>
      <c r="J293" s="978"/>
      <c r="K293" s="978"/>
      <c r="L293" s="978"/>
      <c r="M293" s="978"/>
      <c r="N293" s="978"/>
      <c r="O293" s="1106" t="str">
        <f t="shared" si="89"/>
        <v/>
      </c>
      <c r="P293" s="1108">
        <f>14600+10500+5300+11500+6900+6800+2600-200</f>
        <v>58000</v>
      </c>
      <c r="Q293" s="979">
        <f>6300+5700</f>
        <v>12000</v>
      </c>
      <c r="R293" s="979">
        <v>3600</v>
      </c>
      <c r="S293" s="979"/>
      <c r="T293" s="979"/>
      <c r="U293" s="979">
        <v>7000</v>
      </c>
      <c r="V293" s="979">
        <f>1400+2000+4500+10500</f>
        <v>18400</v>
      </c>
      <c r="W293" s="979">
        <v>3900</v>
      </c>
      <c r="X293" s="979">
        <v>8300</v>
      </c>
      <c r="Y293" s="979">
        <f>4000+7200+2000</f>
        <v>13200</v>
      </c>
      <c r="Z293" s="979"/>
      <c r="AA293" s="979">
        <v>1900</v>
      </c>
      <c r="AB293" s="979">
        <v>1100</v>
      </c>
      <c r="AC293" s="979"/>
      <c r="AD293" s="979">
        <v>2600</v>
      </c>
      <c r="AE293" s="1109">
        <f t="shared" si="90"/>
        <v>130000</v>
      </c>
      <c r="AF293" s="1113">
        <v>4500</v>
      </c>
      <c r="AG293" s="981">
        <v>11300</v>
      </c>
      <c r="AH293" s="981">
        <v>13200</v>
      </c>
      <c r="AI293" s="1114">
        <f t="shared" si="91"/>
        <v>29000</v>
      </c>
      <c r="AJ293" s="1110">
        <f t="shared" si="92"/>
        <v>159000</v>
      </c>
      <c r="AK293" s="982">
        <f>'09월 에너지'!S293</f>
        <v>144.30000000000001</v>
      </c>
      <c r="AL293" s="983">
        <f t="shared" si="93"/>
        <v>0.90754716981132078</v>
      </c>
    </row>
    <row r="294" spans="1:38" ht="16.5" customHeight="1">
      <c r="A294" s="999">
        <f>'09월 에너지'!A294</f>
        <v>46276</v>
      </c>
      <c r="B294" s="1002">
        <f>'09월 조업일지'!B292</f>
        <v>46275</v>
      </c>
      <c r="C294" s="1003" t="str">
        <f>'09월 에너지'!C294</f>
        <v>B</v>
      </c>
      <c r="D294" s="1004" t="str">
        <f>'09월 에너지'!D294</f>
        <v>A</v>
      </c>
      <c r="E294" s="1000">
        <f>'09월 에너지'!E294</f>
        <v>85494</v>
      </c>
      <c r="F294" s="1094" t="str">
        <f>'09월 에너지'!F294</f>
        <v>SHN275(BB)</v>
      </c>
      <c r="G294" s="980"/>
      <c r="H294" s="978"/>
      <c r="I294" s="978"/>
      <c r="J294" s="978"/>
      <c r="K294" s="978"/>
      <c r="L294" s="978"/>
      <c r="M294" s="978"/>
      <c r="N294" s="978"/>
      <c r="O294" s="1106" t="str">
        <f t="shared" si="89"/>
        <v/>
      </c>
      <c r="P294" s="1108">
        <f>4900+11200+7300+12900+7800+14800</f>
        <v>58900</v>
      </c>
      <c r="Q294" s="979">
        <f>17100+20400-9800</f>
        <v>27700</v>
      </c>
      <c r="R294" s="979">
        <v>7600</v>
      </c>
      <c r="S294" s="979"/>
      <c r="T294" s="979"/>
      <c r="U294" s="979">
        <v>6000</v>
      </c>
      <c r="V294" s="979">
        <v>16100</v>
      </c>
      <c r="W294" s="979">
        <v>3200</v>
      </c>
      <c r="X294" s="979">
        <v>7400</v>
      </c>
      <c r="Y294" s="979">
        <f>3500+1000</f>
        <v>4500</v>
      </c>
      <c r="Z294" s="979"/>
      <c r="AA294" s="979">
        <v>2300</v>
      </c>
      <c r="AB294" s="979">
        <v>6800</v>
      </c>
      <c r="AC294" s="979"/>
      <c r="AD294" s="979">
        <v>2300</v>
      </c>
      <c r="AE294" s="1109">
        <f t="shared" si="90"/>
        <v>142800</v>
      </c>
      <c r="AF294" s="1113">
        <v>7400</v>
      </c>
      <c r="AG294" s="981">
        <v>2600</v>
      </c>
      <c r="AH294" s="981">
        <v>4800</v>
      </c>
      <c r="AI294" s="1114">
        <f t="shared" si="91"/>
        <v>14800</v>
      </c>
      <c r="AJ294" s="1110">
        <f t="shared" si="92"/>
        <v>157600</v>
      </c>
      <c r="AK294" s="982">
        <f>'09월 에너지'!S294</f>
        <v>146.5</v>
      </c>
      <c r="AL294" s="983">
        <f t="shared" si="93"/>
        <v>0.92956852791878175</v>
      </c>
    </row>
    <row r="295" spans="1:38" ht="16.5" customHeight="1">
      <c r="A295" s="999">
        <f>'09월 에너지'!A295</f>
        <v>46276</v>
      </c>
      <c r="B295" s="1002">
        <f>'09월 조업일지'!B293</f>
        <v>46275</v>
      </c>
      <c r="C295" s="1003" t="str">
        <f>'09월 에너지'!C295</f>
        <v>B</v>
      </c>
      <c r="D295" s="1004" t="str">
        <f>'09월 에너지'!D295</f>
        <v>B</v>
      </c>
      <c r="E295" s="1000">
        <f>'09월 에너지'!E295</f>
        <v>85495</v>
      </c>
      <c r="F295" s="1094" t="str">
        <f>'09월 에너지'!F295</f>
        <v>SHN275(BB)</v>
      </c>
      <c r="G295" s="980"/>
      <c r="H295" s="978"/>
      <c r="I295" s="978"/>
      <c r="J295" s="978"/>
      <c r="K295" s="978"/>
      <c r="L295" s="978"/>
      <c r="M295" s="978"/>
      <c r="N295" s="978"/>
      <c r="O295" s="1106" t="str">
        <f t="shared" si="89"/>
        <v/>
      </c>
      <c r="P295" s="1108">
        <f>11200+10000+7300+12800+9000+8600+13400-3200</f>
        <v>69100</v>
      </c>
      <c r="Q295" s="979">
        <v>23900</v>
      </c>
      <c r="R295" s="979">
        <v>5400</v>
      </c>
      <c r="S295" s="979"/>
      <c r="T295" s="979"/>
      <c r="U295" s="979">
        <f>2600+4700</f>
        <v>7300</v>
      </c>
      <c r="V295" s="979">
        <f>3100+4000+2200+13700</f>
        <v>23000</v>
      </c>
      <c r="W295" s="979">
        <v>1200</v>
      </c>
      <c r="X295" s="979">
        <v>8000</v>
      </c>
      <c r="Y295" s="979">
        <f>4400+2400</f>
        <v>6800</v>
      </c>
      <c r="Z295" s="979"/>
      <c r="AA295" s="979">
        <v>1600</v>
      </c>
      <c r="AB295" s="979">
        <v>1800</v>
      </c>
      <c r="AC295" s="979"/>
      <c r="AD295" s="979"/>
      <c r="AE295" s="1109">
        <f t="shared" ref="AE295" si="94">IF(SUM(P295:AD295)=0,"",SUM(P295:AD295))</f>
        <v>148100</v>
      </c>
      <c r="AF295" s="1113">
        <v>3300</v>
      </c>
      <c r="AG295" s="981">
        <v>2000</v>
      </c>
      <c r="AH295" s="981">
        <v>5700</v>
      </c>
      <c r="AI295" s="1114">
        <f t="shared" ref="AI295" si="95">IF(SUM(AF295:AH295)=0,"",SUM(AF295:AH295))</f>
        <v>11000</v>
      </c>
      <c r="AJ295" s="1110">
        <f t="shared" si="92"/>
        <v>159100</v>
      </c>
      <c r="AK295" s="982">
        <f>'09월 에너지'!S295</f>
        <v>144.80000000000001</v>
      </c>
      <c r="AL295" s="983">
        <f t="shared" si="93"/>
        <v>0.91011942174732874</v>
      </c>
    </row>
    <row r="296" spans="1:38" ht="16.5" customHeight="1">
      <c r="A296" s="999">
        <f>'09월 에너지'!A296</f>
        <v>46276</v>
      </c>
      <c r="B296" s="1002">
        <f>'09월 조업일지'!B294</f>
        <v>46275</v>
      </c>
      <c r="C296" s="1003" t="str">
        <f>'09월 에너지'!C296</f>
        <v>B</v>
      </c>
      <c r="D296" s="1004" t="str">
        <f>'09월 에너지'!D296</f>
        <v>A</v>
      </c>
      <c r="E296" s="1000">
        <f>'09월 에너지'!E296</f>
        <v>85496</v>
      </c>
      <c r="F296" s="1094" t="str">
        <f>'09월 에너지'!F296</f>
        <v>SHN275(BB)</v>
      </c>
      <c r="G296" s="980"/>
      <c r="H296" s="978"/>
      <c r="I296" s="978"/>
      <c r="J296" s="978"/>
      <c r="K296" s="978"/>
      <c r="L296" s="978"/>
      <c r="M296" s="978"/>
      <c r="N296" s="978"/>
      <c r="O296" s="1106" t="str">
        <f t="shared" si="89"/>
        <v/>
      </c>
      <c r="P296" s="1108">
        <f>6200+6000+5100+12500+6400+8100+1700+9000</f>
        <v>55000</v>
      </c>
      <c r="Q296" s="979">
        <f>12900+10100</f>
        <v>23000</v>
      </c>
      <c r="R296" s="979">
        <v>9800</v>
      </c>
      <c r="S296" s="979"/>
      <c r="T296" s="979"/>
      <c r="U296" s="979">
        <f>12100+10900</f>
        <v>23000</v>
      </c>
      <c r="V296" s="979">
        <f>10200+4100</f>
        <v>14300</v>
      </c>
      <c r="W296" s="979">
        <v>1800</v>
      </c>
      <c r="X296" s="979">
        <v>9900</v>
      </c>
      <c r="Y296" s="979">
        <v>4800</v>
      </c>
      <c r="Z296" s="979"/>
      <c r="AA296" s="979">
        <v>4600</v>
      </c>
      <c r="AB296" s="979">
        <v>1500</v>
      </c>
      <c r="AC296" s="979"/>
      <c r="AD296" s="979"/>
      <c r="AE296" s="1109">
        <f t="shared" si="90"/>
        <v>147700</v>
      </c>
      <c r="AF296" s="1113">
        <v>6000</v>
      </c>
      <c r="AG296" s="981">
        <v>2900</v>
      </c>
      <c r="AH296" s="981">
        <v>3400</v>
      </c>
      <c r="AI296" s="1114">
        <f t="shared" si="91"/>
        <v>12300</v>
      </c>
      <c r="AJ296" s="1110">
        <f t="shared" si="92"/>
        <v>160000</v>
      </c>
      <c r="AK296" s="982">
        <f>'09월 에너지'!S296</f>
        <v>146.9</v>
      </c>
      <c r="AL296" s="983">
        <f t="shared" si="93"/>
        <v>0.91812499999999997</v>
      </c>
    </row>
    <row r="297" spans="1:38" ht="16.5" customHeight="1">
      <c r="A297" s="999">
        <f>'09월 에너지'!A297</f>
        <v>46276</v>
      </c>
      <c r="B297" s="1002">
        <f>'09월 조업일지'!B295</f>
        <v>46276</v>
      </c>
      <c r="C297" s="1003" t="str">
        <f>'09월 에너지'!C297</f>
        <v>C</v>
      </c>
      <c r="D297" s="1004" t="str">
        <f>'09월 에너지'!D297</f>
        <v>B</v>
      </c>
      <c r="E297" s="1000">
        <f>'09월 에너지'!E297</f>
        <v>85497</v>
      </c>
      <c r="F297" s="1094" t="str">
        <f>'09월 에너지'!F297</f>
        <v>SHN275(BB)</v>
      </c>
      <c r="G297" s="980"/>
      <c r="H297" s="978"/>
      <c r="I297" s="978"/>
      <c r="J297" s="978"/>
      <c r="K297" s="978"/>
      <c r="L297" s="978"/>
      <c r="M297" s="978"/>
      <c r="N297" s="978"/>
      <c r="O297" s="1106" t="str">
        <f t="shared" si="89"/>
        <v/>
      </c>
      <c r="P297" s="1108">
        <f>11500+11400+7500+11200+9000+6900+3900+6500</f>
        <v>67900</v>
      </c>
      <c r="Q297" s="979">
        <f>13900+10600</f>
        <v>24500</v>
      </c>
      <c r="R297" s="979">
        <v>2400</v>
      </c>
      <c r="S297" s="979"/>
      <c r="T297" s="979"/>
      <c r="U297" s="979">
        <f>3400+3700</f>
        <v>7100</v>
      </c>
      <c r="V297" s="979">
        <f>2100+3500</f>
        <v>5600</v>
      </c>
      <c r="W297" s="979">
        <v>2400</v>
      </c>
      <c r="X297" s="979">
        <v>7000</v>
      </c>
      <c r="Y297" s="979">
        <f>3700+2600</f>
        <v>6300</v>
      </c>
      <c r="Z297" s="979"/>
      <c r="AA297" s="979">
        <v>3300</v>
      </c>
      <c r="AB297" s="979">
        <v>2400</v>
      </c>
      <c r="AC297" s="979"/>
      <c r="AD297" s="979">
        <v>2300</v>
      </c>
      <c r="AE297" s="1109">
        <f t="shared" si="90"/>
        <v>131200</v>
      </c>
      <c r="AF297" s="1113">
        <v>5300</v>
      </c>
      <c r="AG297" s="981">
        <f>14400+2100</f>
        <v>16500</v>
      </c>
      <c r="AH297" s="981">
        <v>6100</v>
      </c>
      <c r="AI297" s="1114">
        <f t="shared" si="91"/>
        <v>27900</v>
      </c>
      <c r="AJ297" s="1110">
        <f t="shared" si="92"/>
        <v>159100</v>
      </c>
      <c r="AK297" s="982">
        <f>'09월 에너지'!S297</f>
        <v>143.30000000000001</v>
      </c>
      <c r="AL297" s="983">
        <f t="shared" si="93"/>
        <v>0.90069138906348212</v>
      </c>
    </row>
    <row r="298" spans="1:38" ht="16.5" customHeight="1">
      <c r="A298" s="999">
        <f>'09월 에너지'!A298</f>
        <v>46276</v>
      </c>
      <c r="B298" s="1002">
        <f>'09월 조업일지'!B296</f>
        <v>46276</v>
      </c>
      <c r="C298" s="1003" t="str">
        <f>'09월 에너지'!C298</f>
        <v>C</v>
      </c>
      <c r="D298" s="1004" t="str">
        <f>'09월 에너지'!D298</f>
        <v>A</v>
      </c>
      <c r="E298" s="1000">
        <f>'09월 에너지'!E298</f>
        <v>85498</v>
      </c>
      <c r="F298" s="1094" t="str">
        <f>'09월 에너지'!F298</f>
        <v>SHN275(BB)</v>
      </c>
      <c r="G298" s="980"/>
      <c r="H298" s="978"/>
      <c r="I298" s="978"/>
      <c r="J298" s="978"/>
      <c r="K298" s="978"/>
      <c r="L298" s="978"/>
      <c r="M298" s="978"/>
      <c r="N298" s="978"/>
      <c r="O298" s="1106" t="str">
        <f t="shared" si="89"/>
        <v/>
      </c>
      <c r="P298" s="1108">
        <f>8500+6000+3000+9300+9500+1800+2200+7100</f>
        <v>47400</v>
      </c>
      <c r="Q298" s="979">
        <f>14700+7400</f>
        <v>22100</v>
      </c>
      <c r="R298" s="979">
        <v>19200</v>
      </c>
      <c r="S298" s="979"/>
      <c r="T298" s="979"/>
      <c r="U298" s="979">
        <f>2400+8900</f>
        <v>11300</v>
      </c>
      <c r="V298" s="979">
        <f>2300+3200</f>
        <v>5500</v>
      </c>
      <c r="W298" s="979">
        <v>3100</v>
      </c>
      <c r="X298" s="979">
        <v>5900</v>
      </c>
      <c r="Y298" s="979">
        <f>5900+1000</f>
        <v>6900</v>
      </c>
      <c r="Z298" s="979"/>
      <c r="AA298" s="979">
        <v>4900</v>
      </c>
      <c r="AB298" s="979">
        <v>700</v>
      </c>
      <c r="AC298" s="979"/>
      <c r="AD298" s="979">
        <v>4000</v>
      </c>
      <c r="AE298" s="1109">
        <f t="shared" si="90"/>
        <v>131000</v>
      </c>
      <c r="AF298" s="1113">
        <v>5600</v>
      </c>
      <c r="AG298" s="981">
        <f>7500+8600</f>
        <v>16100</v>
      </c>
      <c r="AH298" s="981">
        <v>7100</v>
      </c>
      <c r="AI298" s="1114">
        <f t="shared" si="91"/>
        <v>28800</v>
      </c>
      <c r="AJ298" s="1110">
        <f t="shared" si="92"/>
        <v>159800</v>
      </c>
      <c r="AK298" s="982">
        <f>'09월 에너지'!S298</f>
        <v>144.69999999999999</v>
      </c>
      <c r="AL298" s="983">
        <f t="shared" si="93"/>
        <v>0.9055068836045056</v>
      </c>
    </row>
    <row r="299" spans="1:38" ht="16.5" customHeight="1">
      <c r="A299" s="999">
        <f>'09월 에너지'!A299</f>
        <v>46276</v>
      </c>
      <c r="B299" s="1002">
        <f>'09월 조업일지'!B297</f>
        <v>46276</v>
      </c>
      <c r="C299" s="1003" t="str">
        <f>'09월 에너지'!C299</f>
        <v>C</v>
      </c>
      <c r="D299" s="1004" t="str">
        <f>'09월 에너지'!D299</f>
        <v>B</v>
      </c>
      <c r="E299" s="1000">
        <f>'09월 에너지'!E299</f>
        <v>85499</v>
      </c>
      <c r="F299" s="1094" t="str">
        <f>'09월 에너지'!F299</f>
        <v>SHN275(BB)</v>
      </c>
      <c r="G299" s="980"/>
      <c r="H299" s="978"/>
      <c r="I299" s="978"/>
      <c r="J299" s="978"/>
      <c r="K299" s="978"/>
      <c r="L299" s="978"/>
      <c r="M299" s="978"/>
      <c r="N299" s="978"/>
      <c r="O299" s="1106" t="str">
        <f t="shared" si="89"/>
        <v/>
      </c>
      <c r="P299" s="1108">
        <f>9500+12300+4200+12000+9000+5500+6000+6400</f>
        <v>64900</v>
      </c>
      <c r="Q299" s="979">
        <f>12600+4700</f>
        <v>17300</v>
      </c>
      <c r="R299" s="979">
        <v>10400</v>
      </c>
      <c r="S299" s="979"/>
      <c r="T299" s="979"/>
      <c r="U299" s="979">
        <f>8400+7600</f>
        <v>16000</v>
      </c>
      <c r="V299" s="979">
        <f>4800+3300</f>
        <v>8100</v>
      </c>
      <c r="W299" s="979">
        <v>3200</v>
      </c>
      <c r="X299" s="979">
        <v>6700</v>
      </c>
      <c r="Y299" s="979">
        <f>3500+3200</f>
        <v>6700</v>
      </c>
      <c r="Z299" s="979"/>
      <c r="AA299" s="979">
        <v>2100</v>
      </c>
      <c r="AB299" s="979">
        <v>3900</v>
      </c>
      <c r="AC299" s="979"/>
      <c r="AD299" s="979">
        <v>4800</v>
      </c>
      <c r="AE299" s="1109">
        <f t="shared" si="90"/>
        <v>144100</v>
      </c>
      <c r="AF299" s="1113">
        <v>6300</v>
      </c>
      <c r="AG299" s="981">
        <f>2000+2300</f>
        <v>4300</v>
      </c>
      <c r="AH299" s="981">
        <v>3800</v>
      </c>
      <c r="AI299" s="1114">
        <f t="shared" si="91"/>
        <v>14400</v>
      </c>
      <c r="AJ299" s="1110">
        <f t="shared" si="92"/>
        <v>158500</v>
      </c>
      <c r="AK299" s="982">
        <f>'09월 에너지'!S299</f>
        <v>143.69999999999999</v>
      </c>
      <c r="AL299" s="983">
        <f t="shared" si="93"/>
        <v>0.90662460567823344</v>
      </c>
    </row>
    <row r="300" spans="1:38" ht="16.5" customHeight="1">
      <c r="A300" s="999">
        <f>'09월 에너지'!A300</f>
        <v>46276</v>
      </c>
      <c r="B300" s="1002">
        <f>'09월 조업일지'!B298</f>
        <v>46276</v>
      </c>
      <c r="C300" s="1003" t="str">
        <f>'09월 에너지'!C300</f>
        <v>C</v>
      </c>
      <c r="D300" s="1004" t="str">
        <f>'09월 에너지'!D300</f>
        <v>A</v>
      </c>
      <c r="E300" s="1000">
        <f>'09월 에너지'!E300</f>
        <v>85500</v>
      </c>
      <c r="F300" s="1094" t="str">
        <f>'09월 에너지'!F300</f>
        <v>SHN275(BB)</v>
      </c>
      <c r="G300" s="980"/>
      <c r="H300" s="978"/>
      <c r="I300" s="978"/>
      <c r="J300" s="978"/>
      <c r="K300" s="978"/>
      <c r="L300" s="978"/>
      <c r="M300" s="978"/>
      <c r="N300" s="978"/>
      <c r="O300" s="1106" t="str">
        <f t="shared" si="89"/>
        <v/>
      </c>
      <c r="P300" s="1108">
        <f>7400+10100+4300+8500+8800+1700+11500+5700</f>
        <v>58000</v>
      </c>
      <c r="Q300" s="979">
        <f>11200+11500</f>
        <v>22700</v>
      </c>
      <c r="R300" s="979">
        <v>11600</v>
      </c>
      <c r="S300" s="979"/>
      <c r="T300" s="979"/>
      <c r="U300" s="979">
        <f>7700+2500</f>
        <v>10200</v>
      </c>
      <c r="V300" s="979">
        <v>4200</v>
      </c>
      <c r="W300" s="979">
        <v>3600</v>
      </c>
      <c r="X300" s="979">
        <v>6900</v>
      </c>
      <c r="Y300" s="979">
        <v>300</v>
      </c>
      <c r="Z300" s="979"/>
      <c r="AA300" s="979">
        <v>13700</v>
      </c>
      <c r="AB300" s="979">
        <v>2000</v>
      </c>
      <c r="AC300" s="979"/>
      <c r="AD300" s="979">
        <v>1900</v>
      </c>
      <c r="AE300" s="1109">
        <f t="shared" si="90"/>
        <v>135100</v>
      </c>
      <c r="AF300" s="1113">
        <v>6000</v>
      </c>
      <c r="AG300" s="981">
        <f>11400+2300</f>
        <v>13700</v>
      </c>
      <c r="AH300" s="981">
        <v>5200</v>
      </c>
      <c r="AI300" s="1114">
        <f t="shared" si="91"/>
        <v>24900</v>
      </c>
      <c r="AJ300" s="1110">
        <f t="shared" si="92"/>
        <v>160000</v>
      </c>
      <c r="AK300" s="982">
        <f>'09월 에너지'!S300</f>
        <v>144.9</v>
      </c>
      <c r="AL300" s="983">
        <f t="shared" si="93"/>
        <v>0.90562500000000001</v>
      </c>
    </row>
    <row r="301" spans="1:38" ht="16.5" customHeight="1">
      <c r="A301" s="999">
        <f>'09월 에너지'!A301</f>
        <v>46276</v>
      </c>
      <c r="B301" s="1002">
        <f>'09월 조업일지'!B299</f>
        <v>46276</v>
      </c>
      <c r="C301" s="1003" t="str">
        <f>'09월 에너지'!C301</f>
        <v>C</v>
      </c>
      <c r="D301" s="1004" t="str">
        <f>'09월 에너지'!D301</f>
        <v>B</v>
      </c>
      <c r="E301" s="1000">
        <f>'09월 에너지'!E301</f>
        <v>85501</v>
      </c>
      <c r="F301" s="1094" t="str">
        <f>'09월 에너지'!F301</f>
        <v>SHN275(BB)</v>
      </c>
      <c r="G301" s="980"/>
      <c r="H301" s="978"/>
      <c r="I301" s="978"/>
      <c r="J301" s="978"/>
      <c r="K301" s="978"/>
      <c r="L301" s="978"/>
      <c r="M301" s="978"/>
      <c r="N301" s="978"/>
      <c r="O301" s="1106" t="str">
        <f t="shared" si="89"/>
        <v/>
      </c>
      <c r="P301" s="1108">
        <f>11000+8400+11000+14900+8200+7800+2700+5500</f>
        <v>69500</v>
      </c>
      <c r="Q301" s="979">
        <f>8300+5100</f>
        <v>13400</v>
      </c>
      <c r="R301" s="979">
        <v>8900</v>
      </c>
      <c r="S301" s="979"/>
      <c r="T301" s="979"/>
      <c r="U301" s="979">
        <f>5900+7000</f>
        <v>12900</v>
      </c>
      <c r="V301" s="979">
        <f>2100+3500</f>
        <v>5600</v>
      </c>
      <c r="W301" s="979">
        <v>3200</v>
      </c>
      <c r="X301" s="979">
        <v>7500</v>
      </c>
      <c r="Y301" s="979">
        <f>2500+3200</f>
        <v>5700</v>
      </c>
      <c r="Z301" s="979"/>
      <c r="AA301" s="979">
        <v>2100</v>
      </c>
      <c r="AB301" s="979">
        <v>5100</v>
      </c>
      <c r="AC301" s="979"/>
      <c r="AD301" s="979">
        <v>3200</v>
      </c>
      <c r="AE301" s="1109">
        <f t="shared" si="90"/>
        <v>137100</v>
      </c>
      <c r="AF301" s="1113">
        <v>6700</v>
      </c>
      <c r="AG301" s="981">
        <f>6600+3700</f>
        <v>10300</v>
      </c>
      <c r="AH301" s="981">
        <v>4100</v>
      </c>
      <c r="AI301" s="1114">
        <f t="shared" si="91"/>
        <v>21100</v>
      </c>
      <c r="AJ301" s="1110">
        <f t="shared" si="92"/>
        <v>158200</v>
      </c>
      <c r="AK301" s="982">
        <f>'09월 에너지'!S301</f>
        <v>146.9</v>
      </c>
      <c r="AL301" s="983">
        <f t="shared" si="93"/>
        <v>0.9285714285714286</v>
      </c>
    </row>
    <row r="302" spans="1:38" ht="16.5" customHeight="1">
      <c r="A302" s="999">
        <f>'09월 에너지'!A302</f>
        <v>46276</v>
      </c>
      <c r="B302" s="1002">
        <f>'09월 조업일지'!B300</f>
        <v>46276</v>
      </c>
      <c r="C302" s="1003" t="str">
        <f>'09월 에너지'!C302</f>
        <v>C</v>
      </c>
      <c r="D302" s="1004" t="str">
        <f>'09월 에너지'!D302</f>
        <v>A</v>
      </c>
      <c r="E302" s="1000">
        <f>'09월 에너지'!E302</f>
        <v>85502</v>
      </c>
      <c r="F302" s="1094" t="str">
        <f>'09월 에너지'!F302</f>
        <v>SHN275(BB)</v>
      </c>
      <c r="G302" s="980"/>
      <c r="H302" s="978"/>
      <c r="I302" s="978"/>
      <c r="J302" s="978"/>
      <c r="K302" s="978"/>
      <c r="L302" s="978"/>
      <c r="M302" s="978"/>
      <c r="N302" s="978"/>
      <c r="O302" s="1106" t="str">
        <f t="shared" si="89"/>
        <v/>
      </c>
      <c r="P302" s="1108">
        <f>5500+8100+4000+16100+8600+2800+100+5700</f>
        <v>50900</v>
      </c>
      <c r="Q302" s="979">
        <f>13900+10000</f>
        <v>23900</v>
      </c>
      <c r="R302" s="979">
        <v>3300</v>
      </c>
      <c r="S302" s="979"/>
      <c r="T302" s="979"/>
      <c r="U302" s="979">
        <f>9100+13800</f>
        <v>22900</v>
      </c>
      <c r="V302" s="979">
        <f>1900+3200</f>
        <v>5100</v>
      </c>
      <c r="W302" s="979">
        <v>3700</v>
      </c>
      <c r="X302" s="979">
        <v>7000</v>
      </c>
      <c r="Y302" s="979">
        <f>900+2300</f>
        <v>3200</v>
      </c>
      <c r="Z302" s="979"/>
      <c r="AA302" s="979">
        <v>2200</v>
      </c>
      <c r="AB302" s="979">
        <v>11700</v>
      </c>
      <c r="AC302" s="979"/>
      <c r="AD302" s="979">
        <v>2000</v>
      </c>
      <c r="AE302" s="1109">
        <f t="shared" si="90"/>
        <v>135900</v>
      </c>
      <c r="AF302" s="1113">
        <v>6800</v>
      </c>
      <c r="AG302" s="981">
        <v>12900</v>
      </c>
      <c r="AH302" s="981">
        <v>2700</v>
      </c>
      <c r="AI302" s="1114">
        <f t="shared" si="91"/>
        <v>22400</v>
      </c>
      <c r="AJ302" s="1110">
        <f t="shared" si="92"/>
        <v>158300</v>
      </c>
      <c r="AK302" s="982">
        <f>'09월 에너지'!S302</f>
        <v>146.30000000000001</v>
      </c>
      <c r="AL302" s="983">
        <f t="shared" si="93"/>
        <v>0.92419456727732152</v>
      </c>
    </row>
    <row r="303" spans="1:38" ht="16.5" customHeight="1">
      <c r="A303" s="999">
        <f>'09월 에너지'!A303</f>
        <v>46276</v>
      </c>
      <c r="B303" s="1002">
        <f>'09월 조업일지'!B301</f>
        <v>46276</v>
      </c>
      <c r="C303" s="1003" t="str">
        <f>'09월 에너지'!C303</f>
        <v>C</v>
      </c>
      <c r="D303" s="1004" t="str">
        <f>'09월 에너지'!D303</f>
        <v>B</v>
      </c>
      <c r="E303" s="1000">
        <f>'09월 에너지'!E303</f>
        <v>85503</v>
      </c>
      <c r="F303" s="1170" t="str">
        <f>'09월 에너지'!F303</f>
        <v>SS400-02</v>
      </c>
      <c r="G303" s="980"/>
      <c r="H303" s="978"/>
      <c r="I303" s="978"/>
      <c r="J303" s="978"/>
      <c r="K303" s="978"/>
      <c r="L303" s="978"/>
      <c r="M303" s="978"/>
      <c r="N303" s="978"/>
      <c r="O303" s="1106" t="str">
        <f t="shared" si="89"/>
        <v/>
      </c>
      <c r="P303" s="1108">
        <f>6100+17600+4800+14800+8400+11000+3100+6400</f>
        <v>72200</v>
      </c>
      <c r="Q303" s="979">
        <f>10800+7700</f>
        <v>18500</v>
      </c>
      <c r="R303" s="979">
        <v>10800</v>
      </c>
      <c r="S303" s="979"/>
      <c r="T303" s="979"/>
      <c r="U303" s="979">
        <f>3200+4200</f>
        <v>7400</v>
      </c>
      <c r="V303" s="979">
        <f>3400+3500+2400</f>
        <v>9300</v>
      </c>
      <c r="W303" s="979">
        <v>3300</v>
      </c>
      <c r="X303" s="979">
        <v>6900</v>
      </c>
      <c r="Y303" s="979">
        <v>3700</v>
      </c>
      <c r="Z303" s="979"/>
      <c r="AA303" s="979">
        <v>1500</v>
      </c>
      <c r="AB303" s="979">
        <v>2100</v>
      </c>
      <c r="AC303" s="979"/>
      <c r="AD303" s="979">
        <v>2900</v>
      </c>
      <c r="AE303" s="1109">
        <f t="shared" si="90"/>
        <v>138600</v>
      </c>
      <c r="AF303" s="1113">
        <v>7100</v>
      </c>
      <c r="AG303" s="981">
        <v>8800</v>
      </c>
      <c r="AH303" s="981">
        <v>4100</v>
      </c>
      <c r="AI303" s="1114">
        <f t="shared" si="91"/>
        <v>20000</v>
      </c>
      <c r="AJ303" s="1110">
        <f t="shared" si="92"/>
        <v>158600</v>
      </c>
      <c r="AK303" s="982">
        <f>'09월 에너지'!S303</f>
        <v>145.69999999999999</v>
      </c>
      <c r="AL303" s="983">
        <f t="shared" si="93"/>
        <v>0.91866330390920559</v>
      </c>
    </row>
    <row r="304" spans="1:38" ht="16.5" customHeight="1">
      <c r="A304" s="999">
        <f>'09월 에너지'!A304</f>
        <v>46276</v>
      </c>
      <c r="B304" s="1002">
        <f>'09월 조업일지'!B302</f>
        <v>46276</v>
      </c>
      <c r="C304" s="1003" t="str">
        <f>'09월 에너지'!C304</f>
        <v>C</v>
      </c>
      <c r="D304" s="1004" t="str">
        <f>'09월 에너지'!D304</f>
        <v>A</v>
      </c>
      <c r="E304" s="1000">
        <f>'09월 에너지'!E304</f>
        <v>85504</v>
      </c>
      <c r="F304" s="1094" t="str">
        <f>'09월 에너지'!F304</f>
        <v>SS400-02</v>
      </c>
      <c r="G304" s="980"/>
      <c r="H304" s="978"/>
      <c r="I304" s="978"/>
      <c r="J304" s="978"/>
      <c r="K304" s="978"/>
      <c r="L304" s="978"/>
      <c r="M304" s="978"/>
      <c r="N304" s="978"/>
      <c r="O304" s="1106" t="str">
        <f t="shared" si="89"/>
        <v/>
      </c>
      <c r="P304" s="1108">
        <f>10500+12900+7100+8600+8200+5400</f>
        <v>52700</v>
      </c>
      <c r="Q304" s="979">
        <f>5500+3400</f>
        <v>8900</v>
      </c>
      <c r="R304" s="979">
        <v>8900</v>
      </c>
      <c r="S304" s="979"/>
      <c r="T304" s="979"/>
      <c r="U304" s="979">
        <f>2400+2500</f>
        <v>4900</v>
      </c>
      <c r="V304" s="979">
        <f>8600+4600+8600</f>
        <v>21800</v>
      </c>
      <c r="W304" s="979">
        <v>3400</v>
      </c>
      <c r="X304" s="979">
        <v>6600</v>
      </c>
      <c r="Y304" s="979">
        <f>1800+11600+4900</f>
        <v>18300</v>
      </c>
      <c r="Z304" s="979"/>
      <c r="AA304" s="979">
        <v>1800</v>
      </c>
      <c r="AB304" s="979">
        <v>1900</v>
      </c>
      <c r="AC304" s="979">
        <v>3200</v>
      </c>
      <c r="AD304" s="979">
        <v>5300</v>
      </c>
      <c r="AE304" s="1109">
        <f t="shared" si="90"/>
        <v>137700</v>
      </c>
      <c r="AF304" s="1113">
        <v>4500</v>
      </c>
      <c r="AG304" s="981">
        <v>7200</v>
      </c>
      <c r="AH304" s="981">
        <v>9400</v>
      </c>
      <c r="AI304" s="1114">
        <f t="shared" si="91"/>
        <v>21100</v>
      </c>
      <c r="AJ304" s="1110">
        <f t="shared" si="92"/>
        <v>158800</v>
      </c>
      <c r="AK304" s="982">
        <f>'09월 에너지'!S304</f>
        <v>146.5</v>
      </c>
      <c r="AL304" s="983">
        <f t="shared" si="93"/>
        <v>0.92254408060453397</v>
      </c>
    </row>
    <row r="305" spans="1:38" ht="16.5" customHeight="1">
      <c r="A305" s="999">
        <f>'09월 에너지'!A305</f>
        <v>46276</v>
      </c>
      <c r="B305" s="1002">
        <f>'09월 조업일지'!B303</f>
        <v>46276</v>
      </c>
      <c r="C305" s="1003" t="str">
        <f>'09월 에너지'!C305</f>
        <v>C</v>
      </c>
      <c r="D305" s="1004" t="str">
        <f>'09월 에너지'!D305</f>
        <v>B</v>
      </c>
      <c r="E305" s="1000">
        <f>'09월 에너지'!E305</f>
        <v>85505</v>
      </c>
      <c r="F305" s="1094" t="str">
        <f>'09월 에너지'!F305</f>
        <v>SS400-02</v>
      </c>
      <c r="G305" s="980"/>
      <c r="H305" s="978"/>
      <c r="I305" s="978"/>
      <c r="J305" s="978"/>
      <c r="K305" s="978"/>
      <c r="L305" s="978"/>
      <c r="M305" s="978"/>
      <c r="N305" s="978"/>
      <c r="O305" s="1106" t="str">
        <f t="shared" si="89"/>
        <v/>
      </c>
      <c r="P305" s="1108">
        <f>8400+11800+6800+7400+8900+5900</f>
        <v>49200</v>
      </c>
      <c r="Q305" s="979">
        <f>10200+5700</f>
        <v>15900</v>
      </c>
      <c r="R305" s="979">
        <v>7100</v>
      </c>
      <c r="S305" s="979"/>
      <c r="T305" s="979"/>
      <c r="U305" s="979">
        <f>7500+3600</f>
        <v>11100</v>
      </c>
      <c r="V305" s="979">
        <f>2100+1800+8600</f>
        <v>12500</v>
      </c>
      <c r="W305" s="979">
        <v>3800</v>
      </c>
      <c r="X305" s="979">
        <v>7500</v>
      </c>
      <c r="Y305" s="979">
        <f>1500+15800+3700</f>
        <v>21000</v>
      </c>
      <c r="Z305" s="979"/>
      <c r="AA305" s="979">
        <v>1800</v>
      </c>
      <c r="AB305" s="979">
        <v>3100</v>
      </c>
      <c r="AC305" s="979">
        <v>3200</v>
      </c>
      <c r="AD305" s="979">
        <v>800</v>
      </c>
      <c r="AE305" s="1109">
        <f t="shared" si="90"/>
        <v>137000</v>
      </c>
      <c r="AF305" s="1113">
        <v>4200</v>
      </c>
      <c r="AG305" s="981">
        <v>12200</v>
      </c>
      <c r="AH305" s="981">
        <v>5400</v>
      </c>
      <c r="AI305" s="1114">
        <f t="shared" si="91"/>
        <v>21800</v>
      </c>
      <c r="AJ305" s="1110">
        <f t="shared" si="92"/>
        <v>158800</v>
      </c>
      <c r="AK305" s="982">
        <f>'09월 에너지'!S305</f>
        <v>145.69999999999999</v>
      </c>
      <c r="AL305" s="983">
        <f t="shared" si="93"/>
        <v>0.91750629722921917</v>
      </c>
    </row>
    <row r="306" spans="1:38" ht="16.5" customHeight="1">
      <c r="A306" s="999">
        <f>'09월 에너지'!A306</f>
        <v>46276</v>
      </c>
      <c r="B306" s="1002">
        <f>'09월 조업일지'!B304</f>
        <v>46276</v>
      </c>
      <c r="C306" s="1003" t="str">
        <f>'09월 에너지'!C306</f>
        <v>C</v>
      </c>
      <c r="D306" s="1004" t="str">
        <f>'09월 에너지'!D306</f>
        <v>A</v>
      </c>
      <c r="E306" s="1000">
        <f>'09월 에너지'!E306</f>
        <v>85506</v>
      </c>
      <c r="F306" s="1094" t="str">
        <f>'09월 에너지'!F306</f>
        <v>SS400-02</v>
      </c>
      <c r="G306" s="980"/>
      <c r="H306" s="978"/>
      <c r="I306" s="978"/>
      <c r="J306" s="978"/>
      <c r="K306" s="978"/>
      <c r="L306" s="978"/>
      <c r="M306" s="978"/>
      <c r="N306" s="978"/>
      <c r="O306" s="1106" t="str">
        <f t="shared" si="89"/>
        <v/>
      </c>
      <c r="P306" s="1108">
        <f>7000+9300+4900+7100+8200+4800</f>
        <v>41300</v>
      </c>
      <c r="Q306" s="979">
        <f>8000+2300</f>
        <v>10300</v>
      </c>
      <c r="R306" s="979">
        <v>10000</v>
      </c>
      <c r="S306" s="979"/>
      <c r="T306" s="979"/>
      <c r="U306" s="979">
        <f>1300+9400</f>
        <v>10700</v>
      </c>
      <c r="V306" s="979">
        <f>3400+2700+9300</f>
        <v>15400</v>
      </c>
      <c r="W306" s="979">
        <v>2400</v>
      </c>
      <c r="X306" s="979">
        <v>10100</v>
      </c>
      <c r="Y306" s="979">
        <f>2500+11400+2100</f>
        <v>16000</v>
      </c>
      <c r="Z306" s="979"/>
      <c r="AA306" s="979">
        <v>3000</v>
      </c>
      <c r="AB306" s="979">
        <v>15200</v>
      </c>
      <c r="AC306" s="979">
        <v>2400</v>
      </c>
      <c r="AD306" s="979">
        <v>4400</v>
      </c>
      <c r="AE306" s="1109">
        <f t="shared" si="90"/>
        <v>141200</v>
      </c>
      <c r="AF306" s="1113">
        <v>4200</v>
      </c>
      <c r="AG306" s="981">
        <v>8700</v>
      </c>
      <c r="AH306" s="981">
        <v>4500</v>
      </c>
      <c r="AI306" s="1114">
        <f t="shared" si="91"/>
        <v>17400</v>
      </c>
      <c r="AJ306" s="1110">
        <f t="shared" si="92"/>
        <v>158600</v>
      </c>
      <c r="AK306" s="982">
        <f>'09월 에너지'!S306</f>
        <v>145.9</v>
      </c>
      <c r="AL306" s="983">
        <f t="shared" si="93"/>
        <v>0.9199243379571248</v>
      </c>
    </row>
    <row r="307" spans="1:38" ht="16.5" customHeight="1">
      <c r="A307" s="999">
        <f>'09월 에너지'!A307</f>
        <v>46276</v>
      </c>
      <c r="B307" s="1002">
        <f>'09월 조업일지'!B305</f>
        <v>46276</v>
      </c>
      <c r="C307" s="1003" t="str">
        <f>'09월 에너지'!C307</f>
        <v>A</v>
      </c>
      <c r="D307" s="1004" t="str">
        <f>'09월 에너지'!D307</f>
        <v>B</v>
      </c>
      <c r="E307" s="1000">
        <f>'09월 에너지'!E307</f>
        <v>85507</v>
      </c>
      <c r="F307" s="1094" t="str">
        <f>'09월 에너지'!F307</f>
        <v>SS400-02</v>
      </c>
      <c r="G307" s="980"/>
      <c r="H307" s="978"/>
      <c r="I307" s="978"/>
      <c r="J307" s="978"/>
      <c r="K307" s="978"/>
      <c r="L307" s="978"/>
      <c r="M307" s="978"/>
      <c r="N307" s="978"/>
      <c r="O307" s="1106" t="str">
        <f t="shared" si="89"/>
        <v/>
      </c>
      <c r="P307" s="1108">
        <f>7300+6600+8500+8000+8700+5300</f>
        <v>44400</v>
      </c>
      <c r="Q307" s="979">
        <f>8200+4200</f>
        <v>12400</v>
      </c>
      <c r="R307" s="979">
        <v>11000</v>
      </c>
      <c r="S307" s="979">
        <v>0</v>
      </c>
      <c r="T307" s="979">
        <v>0</v>
      </c>
      <c r="U307" s="979">
        <f>4900+5200</f>
        <v>10100</v>
      </c>
      <c r="V307" s="979">
        <f>4100+3100+8700</f>
        <v>15900</v>
      </c>
      <c r="W307" s="979">
        <v>3900</v>
      </c>
      <c r="X307" s="979">
        <v>7100</v>
      </c>
      <c r="Y307" s="979">
        <f>1200+16000+3900</f>
        <v>21100</v>
      </c>
      <c r="Z307" s="979">
        <v>0</v>
      </c>
      <c r="AA307" s="979">
        <v>2000</v>
      </c>
      <c r="AB307" s="979">
        <v>3300</v>
      </c>
      <c r="AC307" s="979">
        <v>3200</v>
      </c>
      <c r="AD307" s="979">
        <v>5300</v>
      </c>
      <c r="AE307" s="1109">
        <f t="shared" si="90"/>
        <v>139700</v>
      </c>
      <c r="AF307" s="1113">
        <v>3700</v>
      </c>
      <c r="AG307" s="981">
        <v>11500</v>
      </c>
      <c r="AH307" s="981">
        <v>4100</v>
      </c>
      <c r="AI307" s="1114">
        <f t="shared" si="91"/>
        <v>19300</v>
      </c>
      <c r="AJ307" s="1110">
        <f t="shared" si="92"/>
        <v>159000</v>
      </c>
      <c r="AK307" s="982">
        <f>'09월 에너지'!S307</f>
        <v>148.19999999999999</v>
      </c>
      <c r="AL307" s="983">
        <f t="shared" si="93"/>
        <v>0.93207547169811322</v>
      </c>
    </row>
    <row r="308" spans="1:38" ht="16.5" customHeight="1">
      <c r="A308" s="999">
        <f>'09월 에너지'!A308</f>
        <v>46276</v>
      </c>
      <c r="B308" s="1002">
        <f>'09월 조업일지'!B306</f>
        <v>46276</v>
      </c>
      <c r="C308" s="1003" t="str">
        <f>'09월 에너지'!C308</f>
        <v>A</v>
      </c>
      <c r="D308" s="1004" t="str">
        <f>'09월 에너지'!D308</f>
        <v>A</v>
      </c>
      <c r="E308" s="1000">
        <f>'09월 에너지'!E308</f>
        <v>85508</v>
      </c>
      <c r="F308" s="1094" t="str">
        <f>'09월 에너지'!F308</f>
        <v>SS400-02</v>
      </c>
      <c r="G308" s="980"/>
      <c r="H308" s="978"/>
      <c r="I308" s="978"/>
      <c r="J308" s="978"/>
      <c r="K308" s="978"/>
      <c r="L308" s="978"/>
      <c r="M308" s="978"/>
      <c r="N308" s="978"/>
      <c r="O308" s="1106" t="str">
        <f t="shared" si="89"/>
        <v/>
      </c>
      <c r="P308" s="1108">
        <f>4400+8500+9200+7300+1800+4000</f>
        <v>35200</v>
      </c>
      <c r="Q308" s="979">
        <f>11800+8800</f>
        <v>20600</v>
      </c>
      <c r="R308" s="979">
        <v>2900</v>
      </c>
      <c r="S308" s="979">
        <v>0</v>
      </c>
      <c r="T308" s="979">
        <v>0</v>
      </c>
      <c r="U308" s="979">
        <f>6000+8900</f>
        <v>14900</v>
      </c>
      <c r="V308" s="979">
        <f>8100+3600+4300</f>
        <v>16000</v>
      </c>
      <c r="W308" s="979">
        <v>3900</v>
      </c>
      <c r="X308" s="979">
        <v>7600</v>
      </c>
      <c r="Y308" s="979">
        <f>2800+6600+5300</f>
        <v>14700</v>
      </c>
      <c r="Z308" s="979">
        <v>0</v>
      </c>
      <c r="AA308" s="979">
        <v>3500</v>
      </c>
      <c r="AB308" s="979">
        <v>7900</v>
      </c>
      <c r="AC308" s="979">
        <v>3800</v>
      </c>
      <c r="AD308" s="979">
        <v>11700</v>
      </c>
      <c r="AE308" s="1109">
        <f t="shared" si="90"/>
        <v>142700</v>
      </c>
      <c r="AF308" s="1113">
        <v>4300</v>
      </c>
      <c r="AG308" s="981">
        <v>6600</v>
      </c>
      <c r="AH308" s="981">
        <v>5100</v>
      </c>
      <c r="AI308" s="1114">
        <f t="shared" si="91"/>
        <v>16000</v>
      </c>
      <c r="AJ308" s="1110">
        <f t="shared" si="92"/>
        <v>158700</v>
      </c>
      <c r="AK308" s="982">
        <f>'09월 에너지'!S308</f>
        <v>145.6</v>
      </c>
      <c r="AL308" s="983">
        <f t="shared" si="93"/>
        <v>0.91745431632010077</v>
      </c>
    </row>
    <row r="309" spans="1:38" ht="16.5" customHeight="1">
      <c r="A309" s="999">
        <f>'09월 에너지'!A309</f>
        <v>46276</v>
      </c>
      <c r="B309" s="1002">
        <f>'09월 조업일지'!B307</f>
        <v>46276</v>
      </c>
      <c r="C309" s="1003" t="str">
        <f>'09월 에너지'!C309</f>
        <v>A</v>
      </c>
      <c r="D309" s="1004" t="str">
        <f>'09월 에너지'!D309</f>
        <v>B</v>
      </c>
      <c r="E309" s="1000">
        <f>'09월 에너지'!E309</f>
        <v>85509</v>
      </c>
      <c r="F309" s="1094" t="str">
        <f>'09월 에너지'!F309</f>
        <v>SS400-02</v>
      </c>
      <c r="G309" s="980"/>
      <c r="H309" s="978"/>
      <c r="I309" s="978"/>
      <c r="J309" s="978"/>
      <c r="K309" s="978"/>
      <c r="L309" s="978"/>
      <c r="M309" s="978"/>
      <c r="N309" s="978"/>
      <c r="O309" s="1106" t="str">
        <f t="shared" si="89"/>
        <v/>
      </c>
      <c r="P309" s="1108">
        <f>9000+12700+10200+7300+10800+4800</f>
        <v>54800</v>
      </c>
      <c r="Q309" s="979">
        <f>10900+5200</f>
        <v>16100</v>
      </c>
      <c r="R309" s="979">
        <v>7300</v>
      </c>
      <c r="S309" s="979">
        <v>0</v>
      </c>
      <c r="T309" s="979">
        <v>0</v>
      </c>
      <c r="U309" s="979">
        <f>4100+4600</f>
        <v>8700</v>
      </c>
      <c r="V309" s="979">
        <f>2500+4200+8400</f>
        <v>15100</v>
      </c>
      <c r="W309" s="979">
        <v>3400</v>
      </c>
      <c r="X309" s="979">
        <v>7800</v>
      </c>
      <c r="Y309" s="979">
        <f>1600+12100+800</f>
        <v>14500</v>
      </c>
      <c r="Z309" s="979">
        <v>0</v>
      </c>
      <c r="AA309" s="979">
        <v>800</v>
      </c>
      <c r="AB309" s="979">
        <v>4500</v>
      </c>
      <c r="AC309" s="979">
        <v>2800</v>
      </c>
      <c r="AD309" s="979">
        <v>5000</v>
      </c>
      <c r="AE309" s="1109">
        <f t="shared" si="90"/>
        <v>140800</v>
      </c>
      <c r="AF309" s="1113">
        <v>3700</v>
      </c>
      <c r="AG309" s="981">
        <v>10000</v>
      </c>
      <c r="AH309" s="981">
        <v>3700</v>
      </c>
      <c r="AI309" s="1114">
        <f t="shared" si="91"/>
        <v>17400</v>
      </c>
      <c r="AJ309" s="1110">
        <f t="shared" si="92"/>
        <v>158200</v>
      </c>
      <c r="AK309" s="982">
        <f>'09월 에너지'!S309</f>
        <v>146.6</v>
      </c>
      <c r="AL309" s="983">
        <f t="shared" si="93"/>
        <v>0.92667509481668775</v>
      </c>
    </row>
    <row r="310" spans="1:38" ht="16.5" customHeight="1">
      <c r="A310" s="999">
        <f>'09월 에너지'!A310</f>
        <v>46276</v>
      </c>
      <c r="B310" s="1002">
        <f>'09월 조업일지'!B308</f>
        <v>46276</v>
      </c>
      <c r="C310" s="1003" t="str">
        <f>'09월 에너지'!C310</f>
        <v>A</v>
      </c>
      <c r="D310" s="1004" t="str">
        <f>'09월 에너지'!D310</f>
        <v>A</v>
      </c>
      <c r="E310" s="1000">
        <f>'09월 에너지'!E310</f>
        <v>85510</v>
      </c>
      <c r="F310" s="1094" t="str">
        <f>'09월 에너지'!F310</f>
        <v>SS400-02</v>
      </c>
      <c r="G310" s="980"/>
      <c r="H310" s="978"/>
      <c r="I310" s="978"/>
      <c r="J310" s="978"/>
      <c r="K310" s="978"/>
      <c r="L310" s="978"/>
      <c r="M310" s="978"/>
      <c r="N310" s="978"/>
      <c r="O310" s="1106" t="str">
        <f t="shared" si="89"/>
        <v/>
      </c>
      <c r="P310" s="1108">
        <f>1300+12300+21100+10400+8500+4600</f>
        <v>58200</v>
      </c>
      <c r="Q310" s="979">
        <f>10300+2700</f>
        <v>13000</v>
      </c>
      <c r="R310" s="979">
        <v>11400</v>
      </c>
      <c r="S310" s="979">
        <v>0</v>
      </c>
      <c r="T310" s="979">
        <v>0</v>
      </c>
      <c r="U310" s="979">
        <f>1900+3800</f>
        <v>5700</v>
      </c>
      <c r="V310" s="979">
        <f>5700+5700+9600</f>
        <v>21000</v>
      </c>
      <c r="W310" s="979">
        <v>1700</v>
      </c>
      <c r="X310" s="979">
        <v>6300</v>
      </c>
      <c r="Y310" s="979">
        <f>3800+9400+5700</f>
        <v>18900</v>
      </c>
      <c r="Z310" s="979">
        <v>0</v>
      </c>
      <c r="AA310" s="979">
        <v>3100</v>
      </c>
      <c r="AB310" s="979">
        <v>1500</v>
      </c>
      <c r="AC310" s="979">
        <v>300</v>
      </c>
      <c r="AD310" s="979">
        <v>8100</v>
      </c>
      <c r="AE310" s="1109">
        <f t="shared" si="90"/>
        <v>149200</v>
      </c>
      <c r="AF310" s="1113">
        <v>5000</v>
      </c>
      <c r="AG310" s="981">
        <v>3300</v>
      </c>
      <c r="AH310" s="981">
        <v>1800</v>
      </c>
      <c r="AI310" s="1114">
        <f t="shared" si="91"/>
        <v>10100</v>
      </c>
      <c r="AJ310" s="1110">
        <f t="shared" si="92"/>
        <v>159300</v>
      </c>
      <c r="AK310" s="982">
        <f>'09월 에너지'!S310</f>
        <v>148</v>
      </c>
      <c r="AL310" s="983">
        <f t="shared" si="93"/>
        <v>0.92906465787821724</v>
      </c>
    </row>
    <row r="311" spans="1:38" ht="16.5" customHeight="1">
      <c r="A311" s="999">
        <f>'09월 에너지'!A311</f>
        <v>46276</v>
      </c>
      <c r="B311" s="1002">
        <f>'09월 조업일지'!B309</f>
        <v>46276</v>
      </c>
      <c r="C311" s="1003" t="str">
        <f>'09월 에너지'!C311</f>
        <v>A</v>
      </c>
      <c r="D311" s="1004" t="str">
        <f>'09월 에너지'!D311</f>
        <v>B</v>
      </c>
      <c r="E311" s="1000">
        <f>'09월 에너지'!E311</f>
        <v>85511</v>
      </c>
      <c r="F311" s="1094" t="str">
        <f>'09월 에너지'!F311</f>
        <v>SS400-02</v>
      </c>
      <c r="G311" s="980"/>
      <c r="H311" s="978"/>
      <c r="I311" s="978"/>
      <c r="J311" s="978"/>
      <c r="K311" s="978"/>
      <c r="L311" s="978"/>
      <c r="M311" s="978"/>
      <c r="N311" s="978"/>
      <c r="O311" s="1106" t="str">
        <f t="shared" si="89"/>
        <v/>
      </c>
      <c r="P311" s="1108">
        <f>11700+8900+9800+5700+8100+3300</f>
        <v>47500</v>
      </c>
      <c r="Q311" s="979">
        <f>15600+6600</f>
        <v>22200</v>
      </c>
      <c r="R311" s="979">
        <v>7000</v>
      </c>
      <c r="S311" s="979">
        <v>0</v>
      </c>
      <c r="T311" s="979">
        <v>0</v>
      </c>
      <c r="U311" s="979">
        <f>4500+2800</f>
        <v>7300</v>
      </c>
      <c r="V311" s="979">
        <f>4100+3500+8300</f>
        <v>15900</v>
      </c>
      <c r="W311" s="979">
        <v>2900</v>
      </c>
      <c r="X311" s="979">
        <v>10500</v>
      </c>
      <c r="Y311" s="979">
        <f>600+11300+5600</f>
        <v>17500</v>
      </c>
      <c r="Z311" s="979">
        <v>0</v>
      </c>
      <c r="AA311" s="979">
        <v>400</v>
      </c>
      <c r="AB311" s="979">
        <v>5100</v>
      </c>
      <c r="AC311" s="979">
        <v>4200</v>
      </c>
      <c r="AD311" s="979">
        <v>1400</v>
      </c>
      <c r="AE311" s="1109">
        <f t="shared" si="90"/>
        <v>141900</v>
      </c>
      <c r="AF311" s="1113">
        <v>2500</v>
      </c>
      <c r="AG311" s="981">
        <v>10500</v>
      </c>
      <c r="AH311" s="981">
        <v>3300</v>
      </c>
      <c r="AI311" s="1114">
        <f t="shared" si="91"/>
        <v>16300</v>
      </c>
      <c r="AJ311" s="1110">
        <f t="shared" si="92"/>
        <v>158200</v>
      </c>
      <c r="AK311" s="982">
        <f>'09월 에너지'!S311</f>
        <v>147.69999999999999</v>
      </c>
      <c r="AL311" s="983">
        <f t="shared" si="93"/>
        <v>0.9336283185840708</v>
      </c>
    </row>
    <row r="312" spans="1:38" ht="16.5" customHeight="1">
      <c r="A312" s="999">
        <f>'09월 에너지'!A312</f>
        <v>46276</v>
      </c>
      <c r="B312" s="1002">
        <f>'09월 조업일지'!B310</f>
        <v>46276</v>
      </c>
      <c r="C312" s="1003" t="str">
        <f>'09월 에너지'!C312</f>
        <v>A</v>
      </c>
      <c r="D312" s="1004" t="str">
        <f>'09월 에너지'!D312</f>
        <v>A</v>
      </c>
      <c r="E312" s="1000">
        <f>'09월 에너지'!E312</f>
        <v>85512</v>
      </c>
      <c r="F312" s="1094" t="str">
        <f>'09월 에너지'!F312</f>
        <v>SS400-02</v>
      </c>
      <c r="G312" s="980"/>
      <c r="H312" s="978"/>
      <c r="I312" s="978"/>
      <c r="J312" s="978"/>
      <c r="K312" s="978"/>
      <c r="L312" s="978"/>
      <c r="M312" s="978"/>
      <c r="N312" s="978"/>
      <c r="O312" s="1106" t="str">
        <f t="shared" si="89"/>
        <v/>
      </c>
      <c r="P312" s="1108">
        <f>9200+8800+8500+6900+5800+6900</f>
        <v>46100</v>
      </c>
      <c r="Q312" s="979">
        <f>10300+900</f>
        <v>11200</v>
      </c>
      <c r="R312" s="979">
        <v>4100</v>
      </c>
      <c r="S312" s="979">
        <v>0</v>
      </c>
      <c r="T312" s="979">
        <v>0</v>
      </c>
      <c r="U312" s="979">
        <f>5000+8300</f>
        <v>13300</v>
      </c>
      <c r="V312" s="979">
        <f>5100+4900+10700</f>
        <v>20700</v>
      </c>
      <c r="W312" s="979">
        <v>2100</v>
      </c>
      <c r="X312" s="979">
        <v>9000</v>
      </c>
      <c r="Y312" s="979">
        <f>4600+13000+3100</f>
        <v>20700</v>
      </c>
      <c r="Z312" s="979">
        <v>0</v>
      </c>
      <c r="AA312" s="979">
        <v>2400</v>
      </c>
      <c r="AB312" s="979">
        <v>600</v>
      </c>
      <c r="AC312" s="979">
        <v>2900</v>
      </c>
      <c r="AD312" s="979">
        <v>6100</v>
      </c>
      <c r="AE312" s="1109">
        <f t="shared" si="90"/>
        <v>139200</v>
      </c>
      <c r="AF312" s="1113">
        <v>1900</v>
      </c>
      <c r="AG312" s="981">
        <v>14700</v>
      </c>
      <c r="AH312" s="981">
        <v>2600</v>
      </c>
      <c r="AI312" s="1114">
        <f t="shared" si="91"/>
        <v>19200</v>
      </c>
      <c r="AJ312" s="1110">
        <f t="shared" si="92"/>
        <v>158400</v>
      </c>
      <c r="AK312" s="982">
        <f>'09월 에너지'!S312</f>
        <v>144.4</v>
      </c>
      <c r="AL312" s="983">
        <f t="shared" si="93"/>
        <v>0.91161616161616166</v>
      </c>
    </row>
    <row r="313" spans="1:38" ht="16.5" customHeight="1">
      <c r="A313" s="999">
        <f>'09월 에너지'!A313</f>
        <v>46276</v>
      </c>
      <c r="B313" s="1002">
        <f>'09월 조업일지'!B311</f>
        <v>46276</v>
      </c>
      <c r="C313" s="1003" t="str">
        <f>'09월 에너지'!C313</f>
        <v>A</v>
      </c>
      <c r="D313" s="1004" t="str">
        <f>'09월 에너지'!D313</f>
        <v>B</v>
      </c>
      <c r="E313" s="1000">
        <f>'09월 에너지'!E313</f>
        <v>85513</v>
      </c>
      <c r="F313" s="1094" t="str">
        <f>'09월 에너지'!F313</f>
        <v>SS400-02</v>
      </c>
      <c r="G313" s="980">
        <v>0</v>
      </c>
      <c r="H313" s="978">
        <v>0</v>
      </c>
      <c r="I313" s="978">
        <v>2600</v>
      </c>
      <c r="J313" s="978">
        <v>0</v>
      </c>
      <c r="K313" s="978">
        <v>0</v>
      </c>
      <c r="L313" s="978">
        <v>0</v>
      </c>
      <c r="M313" s="978">
        <v>0</v>
      </c>
      <c r="N313" s="978">
        <v>0</v>
      </c>
      <c r="O313" s="1106">
        <f t="shared" si="89"/>
        <v>2600</v>
      </c>
      <c r="P313" s="1108">
        <f>11500+4600+13100+7200+12400+4400</f>
        <v>53200</v>
      </c>
      <c r="Q313" s="979">
        <f>8800+4800</f>
        <v>13600</v>
      </c>
      <c r="R313" s="979">
        <v>6900</v>
      </c>
      <c r="S313" s="979">
        <v>0</v>
      </c>
      <c r="T313" s="979">
        <v>0</v>
      </c>
      <c r="U313" s="979">
        <v>6500</v>
      </c>
      <c r="V313" s="979">
        <f>2000+1700+8400</f>
        <v>12100</v>
      </c>
      <c r="W313" s="979">
        <v>2200</v>
      </c>
      <c r="X313" s="979">
        <v>9100</v>
      </c>
      <c r="Y313" s="979">
        <f>3000+11500</f>
        <v>14500</v>
      </c>
      <c r="Z313" s="979">
        <v>0</v>
      </c>
      <c r="AA313" s="979">
        <v>6100</v>
      </c>
      <c r="AB313" s="979">
        <v>3100</v>
      </c>
      <c r="AC313" s="979">
        <v>3800</v>
      </c>
      <c r="AD313" s="979">
        <v>7300</v>
      </c>
      <c r="AE313" s="1109">
        <f t="shared" si="90"/>
        <v>138400</v>
      </c>
      <c r="AF313" s="1113">
        <v>4000</v>
      </c>
      <c r="AG313" s="981">
        <v>10000</v>
      </c>
      <c r="AH313" s="981">
        <v>4000</v>
      </c>
      <c r="AI313" s="1114">
        <f t="shared" si="91"/>
        <v>18000</v>
      </c>
      <c r="AJ313" s="1110">
        <f t="shared" si="92"/>
        <v>159000</v>
      </c>
      <c r="AK313" s="982">
        <f>'09월 에너지'!S313</f>
        <v>145.80000000000001</v>
      </c>
      <c r="AL313" s="983">
        <f t="shared" si="93"/>
        <v>0.91698113207547172</v>
      </c>
    </row>
    <row r="314" spans="1:38" ht="16.5" customHeight="1">
      <c r="A314" s="999">
        <f>'09월 에너지'!A314</f>
        <v>46276</v>
      </c>
      <c r="B314" s="1002">
        <f>'09월 조업일지'!B312</f>
        <v>46276</v>
      </c>
      <c r="C314" s="1003" t="str">
        <f>'09월 에너지'!C314</f>
        <v>A</v>
      </c>
      <c r="D314" s="1004" t="str">
        <f>'09월 에너지'!D314</f>
        <v>A</v>
      </c>
      <c r="E314" s="1000">
        <f>'09월 에너지'!E314</f>
        <v>85514</v>
      </c>
      <c r="F314" s="1094" t="str">
        <f>'09월 에너지'!F314</f>
        <v>SS400-02</v>
      </c>
      <c r="G314" s="980">
        <v>0</v>
      </c>
      <c r="H314" s="978">
        <v>0</v>
      </c>
      <c r="I314" s="978">
        <v>11800</v>
      </c>
      <c r="J314" s="978">
        <v>0</v>
      </c>
      <c r="K314" s="978">
        <v>0</v>
      </c>
      <c r="L314" s="978">
        <v>0</v>
      </c>
      <c r="M314" s="978">
        <v>0</v>
      </c>
      <c r="N314" s="978">
        <v>0</v>
      </c>
      <c r="O314" s="1106">
        <f t="shared" si="89"/>
        <v>11800</v>
      </c>
      <c r="P314" s="1108">
        <f>10700+9100+5800+6600+4300+9900</f>
        <v>46400</v>
      </c>
      <c r="Q314" s="979">
        <f>10800+4800</f>
        <v>15600</v>
      </c>
      <c r="R314" s="979">
        <v>4200</v>
      </c>
      <c r="S314" s="979">
        <v>0</v>
      </c>
      <c r="T314" s="979">
        <v>0</v>
      </c>
      <c r="U314" s="979">
        <v>7700</v>
      </c>
      <c r="V314" s="979">
        <f>6400+200+9100</f>
        <v>15700</v>
      </c>
      <c r="W314" s="979">
        <v>3900</v>
      </c>
      <c r="X314" s="979">
        <v>8200</v>
      </c>
      <c r="Y314" s="979">
        <f>4800+5200+3300</f>
        <v>13300</v>
      </c>
      <c r="Z314" s="979">
        <v>0</v>
      </c>
      <c r="AA314" s="979">
        <v>3300</v>
      </c>
      <c r="AB314" s="979">
        <v>1400</v>
      </c>
      <c r="AC314" s="979">
        <v>1700</v>
      </c>
      <c r="AD314" s="979">
        <v>5400</v>
      </c>
      <c r="AE314" s="1109">
        <f t="shared" si="90"/>
        <v>126800</v>
      </c>
      <c r="AF314" s="1113">
        <v>4700</v>
      </c>
      <c r="AG314" s="981">
        <v>10900</v>
      </c>
      <c r="AH314" s="981">
        <v>4300</v>
      </c>
      <c r="AI314" s="1114">
        <f t="shared" si="91"/>
        <v>19900</v>
      </c>
      <c r="AJ314" s="1110">
        <f t="shared" si="92"/>
        <v>158500</v>
      </c>
      <c r="AK314" s="982">
        <f>'09월 에너지'!S314</f>
        <v>148.6</v>
      </c>
      <c r="AL314" s="983">
        <f t="shared" si="93"/>
        <v>0.93753943217665614</v>
      </c>
    </row>
    <row r="315" spans="1:38" ht="16.5" customHeight="1">
      <c r="A315" s="999">
        <f>'09월 에너지'!A315</f>
        <v>46276</v>
      </c>
      <c r="B315" s="1002">
        <f>'09월 조업일지'!B313</f>
        <v>46276</v>
      </c>
      <c r="C315" s="1003" t="str">
        <f>'09월 에너지'!C315</f>
        <v>A</v>
      </c>
      <c r="D315" s="1004" t="str">
        <f>'09월 에너지'!D315</f>
        <v>B</v>
      </c>
      <c r="E315" s="1000">
        <f>'09월 에너지'!E315</f>
        <v>85515</v>
      </c>
      <c r="F315" s="1170" t="str">
        <f>'09월 에너지'!F315</f>
        <v>SHP355W</v>
      </c>
      <c r="G315" s="980">
        <v>0</v>
      </c>
      <c r="H315" s="978">
        <v>0</v>
      </c>
      <c r="I315" s="978">
        <v>12500</v>
      </c>
      <c r="J315" s="978">
        <v>0</v>
      </c>
      <c r="K315" s="978">
        <v>0</v>
      </c>
      <c r="L315" s="978">
        <v>0</v>
      </c>
      <c r="M315" s="978">
        <v>0</v>
      </c>
      <c r="N315" s="978">
        <v>0</v>
      </c>
      <c r="O315" s="1106">
        <f t="shared" si="89"/>
        <v>12500</v>
      </c>
      <c r="P315" s="1108">
        <f>8300+8800+9600+11100+9100+1000+8700</f>
        <v>56600</v>
      </c>
      <c r="Q315" s="979">
        <f>9100+4800</f>
        <v>13900</v>
      </c>
      <c r="R315" s="979">
        <v>7100</v>
      </c>
      <c r="S315" s="979">
        <v>0</v>
      </c>
      <c r="T315" s="979">
        <v>0</v>
      </c>
      <c r="U315" s="979">
        <v>0</v>
      </c>
      <c r="V315" s="979">
        <f>1500+10800+11000</f>
        <v>23300</v>
      </c>
      <c r="W315" s="979">
        <v>1500</v>
      </c>
      <c r="X315" s="979">
        <v>8300</v>
      </c>
      <c r="Y315" s="979">
        <f>2500+1600+3200</f>
        <v>7300</v>
      </c>
      <c r="Z315" s="979">
        <v>0</v>
      </c>
      <c r="AA315" s="979">
        <v>3600</v>
      </c>
      <c r="AB315" s="979">
        <v>2300</v>
      </c>
      <c r="AC315" s="979">
        <v>0</v>
      </c>
      <c r="AD315" s="979">
        <v>2900</v>
      </c>
      <c r="AE315" s="1109">
        <f t="shared" si="90"/>
        <v>126800</v>
      </c>
      <c r="AF315" s="1113">
        <v>1500</v>
      </c>
      <c r="AG315" s="981">
        <f>10700+2400</f>
        <v>13100</v>
      </c>
      <c r="AH315" s="981">
        <v>4100</v>
      </c>
      <c r="AI315" s="1114">
        <f t="shared" si="91"/>
        <v>18700</v>
      </c>
      <c r="AJ315" s="1110">
        <f t="shared" si="92"/>
        <v>158000</v>
      </c>
      <c r="AK315" s="982">
        <f>'09월 에너지'!S315</f>
        <v>144.5</v>
      </c>
      <c r="AL315" s="983">
        <f t="shared" si="93"/>
        <v>0.91455696202531644</v>
      </c>
    </row>
    <row r="316" spans="1:38" ht="16.5" customHeight="1">
      <c r="A316" s="999">
        <f>'09월 에너지'!A316</f>
        <v>46276</v>
      </c>
      <c r="B316" s="1002">
        <f>'09월 조업일지'!B314</f>
        <v>46276</v>
      </c>
      <c r="C316" s="1003" t="str">
        <f>'09월 에너지'!C316</f>
        <v>A</v>
      </c>
      <c r="D316" s="1004" t="str">
        <f>'09월 에너지'!D316</f>
        <v>A</v>
      </c>
      <c r="E316" s="1000">
        <f>'09월 에너지'!E316</f>
        <v>85516</v>
      </c>
      <c r="F316" s="1094" t="str">
        <f>'09월 에너지'!F316</f>
        <v>SHP355W</v>
      </c>
      <c r="G316" s="980">
        <v>0</v>
      </c>
      <c r="H316" s="978">
        <v>0</v>
      </c>
      <c r="I316" s="978">
        <v>3200</v>
      </c>
      <c r="J316" s="978">
        <v>0</v>
      </c>
      <c r="K316" s="978">
        <v>0</v>
      </c>
      <c r="L316" s="978">
        <v>0</v>
      </c>
      <c r="M316" s="978">
        <v>0</v>
      </c>
      <c r="N316" s="978">
        <v>0</v>
      </c>
      <c r="O316" s="1106">
        <f t="shared" si="89"/>
        <v>3200</v>
      </c>
      <c r="P316" s="1108">
        <f>6800+5200+15200+23900+6200+7400</f>
        <v>64700</v>
      </c>
      <c r="Q316" s="979">
        <f>19700+1900</f>
        <v>21600</v>
      </c>
      <c r="R316" s="979">
        <v>0</v>
      </c>
      <c r="S316" s="979">
        <v>0</v>
      </c>
      <c r="T316" s="979">
        <v>0</v>
      </c>
      <c r="U316" s="979">
        <v>0</v>
      </c>
      <c r="V316" s="979">
        <f>3900+8400+8600</f>
        <v>20900</v>
      </c>
      <c r="W316" s="979">
        <v>0</v>
      </c>
      <c r="X316" s="979">
        <v>0</v>
      </c>
      <c r="Y316" s="979">
        <f>4200+5200+2800</f>
        <v>12200</v>
      </c>
      <c r="Z316" s="979">
        <v>0</v>
      </c>
      <c r="AA316" s="979">
        <v>1500</v>
      </c>
      <c r="AB316" s="979">
        <v>18400</v>
      </c>
      <c r="AC316" s="979">
        <v>0</v>
      </c>
      <c r="AD316" s="979">
        <v>3400</v>
      </c>
      <c r="AE316" s="1109">
        <f t="shared" si="90"/>
        <v>142700</v>
      </c>
      <c r="AF316" s="1113">
        <v>4100</v>
      </c>
      <c r="AG316" s="981">
        <f>100+100</f>
        <v>200</v>
      </c>
      <c r="AH316" s="981">
        <v>7800</v>
      </c>
      <c r="AI316" s="1114">
        <f t="shared" si="91"/>
        <v>12100</v>
      </c>
      <c r="AJ316" s="1110">
        <f t="shared" si="92"/>
        <v>158000</v>
      </c>
      <c r="AK316" s="982">
        <f>'09월 에너지'!S316</f>
        <v>146.69999999999999</v>
      </c>
      <c r="AL316" s="983">
        <f t="shared" si="93"/>
        <v>0.9284810126582278</v>
      </c>
    </row>
    <row r="317" spans="1:38" ht="16.5" customHeight="1">
      <c r="A317" s="999">
        <f>'09월 에너지'!A317</f>
        <v>46276</v>
      </c>
      <c r="B317" s="1002">
        <f>'09월 조업일지'!B315</f>
        <v>46276</v>
      </c>
      <c r="C317" s="1003" t="str">
        <f>'09월 에너지'!C317</f>
        <v>B</v>
      </c>
      <c r="D317" s="1004" t="str">
        <f>'09월 에너지'!D317</f>
        <v>B</v>
      </c>
      <c r="E317" s="1000">
        <f>'09월 에너지'!E317</f>
        <v>85517</v>
      </c>
      <c r="F317" s="1170" t="str">
        <f>'09월 에너지'!F317</f>
        <v>S355JO-01</v>
      </c>
      <c r="G317" s="980"/>
      <c r="H317" s="978"/>
      <c r="I317" s="978">
        <v>6600</v>
      </c>
      <c r="J317" s="978"/>
      <c r="K317" s="978"/>
      <c r="L317" s="978"/>
      <c r="M317" s="978"/>
      <c r="N317" s="978"/>
      <c r="O317" s="1106">
        <f t="shared" si="89"/>
        <v>6600</v>
      </c>
      <c r="P317" s="1108">
        <f>6600+8500+10800+7300+1900+6500+12200</f>
        <v>53800</v>
      </c>
      <c r="Q317" s="979">
        <f>10100+10900</f>
        <v>21000</v>
      </c>
      <c r="R317" s="979">
        <v>12700</v>
      </c>
      <c r="S317" s="979"/>
      <c r="T317" s="979"/>
      <c r="U317" s="979"/>
      <c r="V317" s="979">
        <f>3700+8000+8500</f>
        <v>20200</v>
      </c>
      <c r="W317" s="979">
        <v>4300</v>
      </c>
      <c r="X317" s="979">
        <v>6500</v>
      </c>
      <c r="Y317" s="979">
        <v>3800</v>
      </c>
      <c r="Z317" s="979"/>
      <c r="AA317" s="979">
        <v>4000</v>
      </c>
      <c r="AB317" s="979">
        <v>1800</v>
      </c>
      <c r="AC317" s="979"/>
      <c r="AD317" s="979">
        <v>1900</v>
      </c>
      <c r="AE317" s="1109">
        <f t="shared" si="90"/>
        <v>130000</v>
      </c>
      <c r="AF317" s="1113">
        <v>3400</v>
      </c>
      <c r="AG317" s="981">
        <f>14200+2300</f>
        <v>16500</v>
      </c>
      <c r="AH317" s="981">
        <v>1800</v>
      </c>
      <c r="AI317" s="1114">
        <f t="shared" si="91"/>
        <v>21700</v>
      </c>
      <c r="AJ317" s="1110">
        <f t="shared" si="92"/>
        <v>158300</v>
      </c>
      <c r="AK317" s="982">
        <f>'09월 에너지'!S317</f>
        <v>142.30000000000001</v>
      </c>
      <c r="AL317" s="983">
        <f t="shared" si="93"/>
        <v>0.8989260897030954</v>
      </c>
    </row>
    <row r="318" spans="1:38" ht="16.5" customHeight="1">
      <c r="A318" s="999">
        <f>'09월 에너지'!A318</f>
        <v>46276</v>
      </c>
      <c r="B318" s="1002">
        <f>'09월 조업일지'!B316</f>
        <v>46276</v>
      </c>
      <c r="C318" s="1003" t="str">
        <f>'09월 에너지'!C318</f>
        <v>B</v>
      </c>
      <c r="D318" s="1004" t="str">
        <f>'09월 에너지'!D318</f>
        <v>A</v>
      </c>
      <c r="E318" s="1000">
        <f>'09월 에너지'!E318</f>
        <v>85518</v>
      </c>
      <c r="F318" s="1094" t="str">
        <f>'09월 에너지'!F318</f>
        <v>S355JO-01</v>
      </c>
      <c r="G318" s="980"/>
      <c r="H318" s="978"/>
      <c r="I318" s="978">
        <v>9500</v>
      </c>
      <c r="J318" s="978"/>
      <c r="K318" s="978"/>
      <c r="L318" s="978"/>
      <c r="M318" s="978"/>
      <c r="N318" s="978"/>
      <c r="O318" s="1106">
        <f t="shared" si="89"/>
        <v>9500</v>
      </c>
      <c r="P318" s="1108">
        <f>2400+4300+17500+5800+6600+3000+5800</f>
        <v>45400</v>
      </c>
      <c r="Q318" s="979">
        <f>13200+7900</f>
        <v>21100</v>
      </c>
      <c r="R318" s="979">
        <v>5700</v>
      </c>
      <c r="S318" s="979"/>
      <c r="T318" s="979"/>
      <c r="U318" s="979"/>
      <c r="V318" s="979">
        <f>5600+5800+8100</f>
        <v>19500</v>
      </c>
      <c r="W318" s="979">
        <v>3300</v>
      </c>
      <c r="X318" s="979">
        <v>8700</v>
      </c>
      <c r="Y318" s="979">
        <f>3900+3600</f>
        <v>7500</v>
      </c>
      <c r="Z318" s="979"/>
      <c r="AA318" s="979">
        <v>1100</v>
      </c>
      <c r="AB318" s="979">
        <v>2000</v>
      </c>
      <c r="AC318" s="979"/>
      <c r="AD318" s="979">
        <v>4900</v>
      </c>
      <c r="AE318" s="1109">
        <f t="shared" si="90"/>
        <v>119200</v>
      </c>
      <c r="AF318" s="1113">
        <v>3700</v>
      </c>
      <c r="AG318" s="981">
        <f>15100+6900</f>
        <v>22000</v>
      </c>
      <c r="AH318" s="981">
        <v>3200</v>
      </c>
      <c r="AI318" s="1114">
        <f t="shared" si="91"/>
        <v>28900</v>
      </c>
      <c r="AJ318" s="1110">
        <f t="shared" si="92"/>
        <v>157600</v>
      </c>
      <c r="AK318" s="982">
        <f>'09월 에너지'!S318</f>
        <v>146.19999999999999</v>
      </c>
      <c r="AL318" s="983">
        <f t="shared" si="93"/>
        <v>0.92766497461928932</v>
      </c>
    </row>
    <row r="319" spans="1:38" ht="16.5" customHeight="1">
      <c r="A319" s="999">
        <f>'09월 에너지'!A319</f>
        <v>46276</v>
      </c>
      <c r="B319" s="1002">
        <f>'09월 조업일지'!B317</f>
        <v>46276</v>
      </c>
      <c r="C319" s="1003" t="str">
        <f>'09월 에너지'!C319</f>
        <v>B</v>
      </c>
      <c r="D319" s="1004" t="str">
        <f>'09월 에너지'!D319</f>
        <v>B</v>
      </c>
      <c r="E319" s="1000">
        <f>'09월 에너지'!E319</f>
        <v>85519</v>
      </c>
      <c r="F319" s="1094" t="str">
        <f>'09월 에너지'!F319</f>
        <v>S355JO-01</v>
      </c>
      <c r="G319" s="980"/>
      <c r="H319" s="978"/>
      <c r="I319" s="978">
        <v>6600</v>
      </c>
      <c r="J319" s="978"/>
      <c r="K319" s="978"/>
      <c r="L319" s="978"/>
      <c r="M319" s="978"/>
      <c r="N319" s="978"/>
      <c r="O319" s="1106">
        <f t="shared" si="89"/>
        <v>6600</v>
      </c>
      <c r="P319" s="1108">
        <f>4800+3900+6300+5300+6000+4600+19300</f>
        <v>50200</v>
      </c>
      <c r="Q319" s="979">
        <f>20700+3100</f>
        <v>23800</v>
      </c>
      <c r="R319" s="979">
        <v>2500</v>
      </c>
      <c r="S319" s="979"/>
      <c r="T319" s="979"/>
      <c r="U319" s="979"/>
      <c r="V319" s="979">
        <f>2300+8600+10000</f>
        <v>20900</v>
      </c>
      <c r="W319" s="979">
        <v>5300</v>
      </c>
      <c r="X319" s="979">
        <v>7700</v>
      </c>
      <c r="Y319" s="979">
        <f>3900+5700+2200</f>
        <v>11800</v>
      </c>
      <c r="Z319" s="979"/>
      <c r="AA319" s="979">
        <v>3200</v>
      </c>
      <c r="AB319" s="979">
        <v>3000</v>
      </c>
      <c r="AC319" s="979"/>
      <c r="AD319" s="979">
        <v>4000</v>
      </c>
      <c r="AE319" s="1109">
        <f t="shared" si="90"/>
        <v>132400</v>
      </c>
      <c r="AF319" s="1113">
        <v>3200</v>
      </c>
      <c r="AG319" s="981">
        <f>9800+2400</f>
        <v>12200</v>
      </c>
      <c r="AH319" s="981">
        <v>4900</v>
      </c>
      <c r="AI319" s="1114">
        <f t="shared" si="91"/>
        <v>20300</v>
      </c>
      <c r="AJ319" s="1110">
        <f t="shared" si="92"/>
        <v>159300</v>
      </c>
      <c r="AK319" s="982">
        <f>'09월 에너지'!S319</f>
        <v>140.5</v>
      </c>
      <c r="AL319" s="983">
        <f t="shared" si="93"/>
        <v>0.88198367859384807</v>
      </c>
    </row>
    <row r="320" spans="1:38" ht="16.5" customHeight="1">
      <c r="A320" s="999">
        <f>'09월 에너지'!A320</f>
        <v>46276</v>
      </c>
      <c r="B320" s="1002">
        <f>'09월 조업일지'!B318</f>
        <v>46276</v>
      </c>
      <c r="C320" s="1003" t="str">
        <f>'09월 에너지'!C320</f>
        <v>B</v>
      </c>
      <c r="D320" s="1004" t="str">
        <f>'09월 에너지'!D320</f>
        <v>A</v>
      </c>
      <c r="E320" s="1000">
        <f>'09월 에너지'!E320</f>
        <v>85520</v>
      </c>
      <c r="F320" s="1094" t="str">
        <f>'09월 에너지'!F320</f>
        <v>S355JO-01</v>
      </c>
      <c r="G320" s="980"/>
      <c r="H320" s="978"/>
      <c r="I320" s="978">
        <v>12200</v>
      </c>
      <c r="J320" s="978"/>
      <c r="K320" s="978"/>
      <c r="L320" s="978"/>
      <c r="M320" s="978"/>
      <c r="N320" s="978"/>
      <c r="O320" s="1106">
        <f t="shared" si="89"/>
        <v>12200</v>
      </c>
      <c r="P320" s="1108">
        <f>3600+9800+11900+6400+4200+8200</f>
        <v>44100</v>
      </c>
      <c r="Q320" s="979">
        <f>13200+9200</f>
        <v>22400</v>
      </c>
      <c r="R320" s="979">
        <v>2300</v>
      </c>
      <c r="S320" s="979"/>
      <c r="T320" s="979"/>
      <c r="U320" s="979"/>
      <c r="V320" s="979">
        <f>6900+9800</f>
        <v>16700</v>
      </c>
      <c r="W320" s="979">
        <v>1900</v>
      </c>
      <c r="X320" s="979">
        <v>9900</v>
      </c>
      <c r="Y320" s="979">
        <v>2000</v>
      </c>
      <c r="Z320" s="979"/>
      <c r="AA320" s="979">
        <v>1200</v>
      </c>
      <c r="AB320" s="979">
        <v>1700</v>
      </c>
      <c r="AC320" s="979"/>
      <c r="AD320" s="979">
        <v>3200</v>
      </c>
      <c r="AE320" s="1109">
        <f t="shared" si="90"/>
        <v>105400</v>
      </c>
      <c r="AF320" s="1113">
        <v>3900</v>
      </c>
      <c r="AG320" s="981">
        <f>9600+8800</f>
        <v>18400</v>
      </c>
      <c r="AH320" s="981">
        <v>20100</v>
      </c>
      <c r="AI320" s="1114">
        <f t="shared" si="91"/>
        <v>42400</v>
      </c>
      <c r="AJ320" s="1110">
        <f t="shared" si="92"/>
        <v>160000</v>
      </c>
      <c r="AK320" s="982">
        <f>'09월 에너지'!S320</f>
        <v>146.5</v>
      </c>
      <c r="AL320" s="983">
        <f t="shared" si="93"/>
        <v>0.91562500000000002</v>
      </c>
    </row>
    <row r="321" spans="1:38" ht="16.5" customHeight="1">
      <c r="A321" s="999">
        <f>'09월 에너지'!A321</f>
        <v>46276</v>
      </c>
      <c r="B321" s="1002">
        <f>'09월 조업일지'!B319</f>
        <v>46276</v>
      </c>
      <c r="C321" s="1003" t="str">
        <f>'09월 에너지'!C321</f>
        <v>B</v>
      </c>
      <c r="D321" s="1004" t="str">
        <f>'09월 에너지'!D321</f>
        <v>B</v>
      </c>
      <c r="E321" s="1000">
        <f>'09월 에너지'!E321</f>
        <v>85521</v>
      </c>
      <c r="F321" s="1094" t="str">
        <f>'09월 에너지'!F321</f>
        <v>S355JO-01</v>
      </c>
      <c r="G321" s="980"/>
      <c r="H321" s="978"/>
      <c r="I321" s="978">
        <v>3800</v>
      </c>
      <c r="J321" s="978"/>
      <c r="K321" s="978"/>
      <c r="L321" s="978"/>
      <c r="M321" s="978"/>
      <c r="N321" s="978"/>
      <c r="O321" s="1106">
        <f t="shared" si="89"/>
        <v>3800</v>
      </c>
      <c r="P321" s="1108">
        <f>9000+6500+11300+16300+8800+5200+3200-3300</f>
        <v>57000</v>
      </c>
      <c r="Q321" s="979">
        <f>13800+4500</f>
        <v>18300</v>
      </c>
      <c r="R321" s="979">
        <v>3000</v>
      </c>
      <c r="S321" s="979"/>
      <c r="T321" s="979"/>
      <c r="U321" s="979"/>
      <c r="V321" s="979">
        <f>2200+12900+9500</f>
        <v>24600</v>
      </c>
      <c r="W321" s="979">
        <v>3700</v>
      </c>
      <c r="X321" s="979">
        <v>9900</v>
      </c>
      <c r="Y321" s="979">
        <f>1600+1900+2200</f>
        <v>5700</v>
      </c>
      <c r="Z321" s="979"/>
      <c r="AA321" s="979">
        <v>3800</v>
      </c>
      <c r="AB321" s="979">
        <v>2900</v>
      </c>
      <c r="AC321" s="979"/>
      <c r="AD321" s="979">
        <v>3200</v>
      </c>
      <c r="AE321" s="1109">
        <f t="shared" si="90"/>
        <v>132100</v>
      </c>
      <c r="AF321" s="1113">
        <v>3900</v>
      </c>
      <c r="AG321" s="981">
        <f>13100+2300</f>
        <v>15400</v>
      </c>
      <c r="AH321" s="981">
        <v>4300</v>
      </c>
      <c r="AI321" s="1114">
        <f t="shared" si="91"/>
        <v>23600</v>
      </c>
      <c r="AJ321" s="1110">
        <f t="shared" si="92"/>
        <v>159500</v>
      </c>
      <c r="AK321" s="982">
        <f>'09월 에너지'!S321</f>
        <v>142.19999999999999</v>
      </c>
      <c r="AL321" s="983">
        <f t="shared" si="93"/>
        <v>0.89153605015673976</v>
      </c>
    </row>
    <row r="322" spans="1:38" ht="16.5" customHeight="1">
      <c r="A322" s="999">
        <f>'09월 에너지'!A322</f>
        <v>46276</v>
      </c>
      <c r="B322" s="1002">
        <f>'09월 조업일지'!B320</f>
        <v>46276</v>
      </c>
      <c r="C322" s="1003" t="str">
        <f>'09월 에너지'!C322</f>
        <v>B</v>
      </c>
      <c r="D322" s="1004" t="str">
        <f>'09월 에너지'!D322</f>
        <v>A</v>
      </c>
      <c r="E322" s="1000">
        <f>'09월 에너지'!E322</f>
        <v>85522</v>
      </c>
      <c r="F322" s="1094" t="str">
        <f>'09월 에너지'!F322</f>
        <v>S355JO-01</v>
      </c>
      <c r="G322" s="980"/>
      <c r="H322" s="978"/>
      <c r="I322" s="978">
        <v>2600</v>
      </c>
      <c r="J322" s="978"/>
      <c r="K322" s="978"/>
      <c r="L322" s="978"/>
      <c r="M322" s="978"/>
      <c r="N322" s="978"/>
      <c r="O322" s="1106">
        <f t="shared" si="89"/>
        <v>2600</v>
      </c>
      <c r="P322" s="1108">
        <f>6600+19700+18300+4400-3000</f>
        <v>46000</v>
      </c>
      <c r="Q322" s="979">
        <f>9400+3800+2800+3200</f>
        <v>19200</v>
      </c>
      <c r="R322" s="979">
        <v>8900</v>
      </c>
      <c r="S322" s="979"/>
      <c r="T322" s="979"/>
      <c r="U322" s="979"/>
      <c r="V322" s="979">
        <f>18500+5000</f>
        <v>23500</v>
      </c>
      <c r="W322" s="979">
        <v>3700</v>
      </c>
      <c r="X322" s="979">
        <v>6600</v>
      </c>
      <c r="Y322" s="979">
        <f>1800+11600+4900</f>
        <v>18300</v>
      </c>
      <c r="Z322" s="979"/>
      <c r="AA322" s="979">
        <v>1800</v>
      </c>
      <c r="AB322" s="979">
        <v>1900</v>
      </c>
      <c r="AC322" s="979"/>
      <c r="AD322" s="979">
        <v>5300</v>
      </c>
      <c r="AE322" s="1109">
        <f t="shared" si="90"/>
        <v>135200</v>
      </c>
      <c r="AF322" s="1113">
        <v>4500</v>
      </c>
      <c r="AG322" s="981">
        <v>7200</v>
      </c>
      <c r="AH322" s="981">
        <v>9400</v>
      </c>
      <c r="AI322" s="1114">
        <f t="shared" ref="AI322:AI324" si="96">IF(SUM(AF322:AH322)=0,"",SUM(AF322:AH322))</f>
        <v>21100</v>
      </c>
      <c r="AJ322" s="1110">
        <f t="shared" si="92"/>
        <v>158900</v>
      </c>
      <c r="AK322" s="982">
        <f>'09월 에너지'!S322</f>
        <v>146.5</v>
      </c>
      <c r="AL322" s="983">
        <f t="shared" si="93"/>
        <v>0.92196349905601005</v>
      </c>
    </row>
    <row r="323" spans="1:38" ht="16.5" customHeight="1">
      <c r="A323" s="999">
        <f>'09월 에너지'!A323</f>
        <v>46277</v>
      </c>
      <c r="B323" s="1002">
        <f>'09월 조업일지'!B321</f>
        <v>46276</v>
      </c>
      <c r="C323" s="1003" t="str">
        <f>'09월 에너지'!C323</f>
        <v>B</v>
      </c>
      <c r="D323" s="1004" t="str">
        <f>'09월 에너지'!D323</f>
        <v>B</v>
      </c>
      <c r="E323" s="1000">
        <f>'09월 에너지'!E323</f>
        <v>85523</v>
      </c>
      <c r="F323" s="1094" t="str">
        <f>'09월 에너지'!F323</f>
        <v>S355JO-01</v>
      </c>
      <c r="G323" s="980"/>
      <c r="H323" s="978"/>
      <c r="I323" s="978">
        <f>4400+2800</f>
        <v>7200</v>
      </c>
      <c r="J323" s="978"/>
      <c r="K323" s="978"/>
      <c r="L323" s="978"/>
      <c r="M323" s="978"/>
      <c r="N323" s="978"/>
      <c r="O323" s="1106">
        <f t="shared" si="89"/>
        <v>7200</v>
      </c>
      <c r="P323" s="1108">
        <f>8400+11800+6800+7400+8900+5900</f>
        <v>49200</v>
      </c>
      <c r="Q323" s="979">
        <f>10200+5700</f>
        <v>15900</v>
      </c>
      <c r="R323" s="979">
        <v>7100</v>
      </c>
      <c r="S323" s="979"/>
      <c r="T323" s="979"/>
      <c r="U323" s="979"/>
      <c r="V323" s="979">
        <f>4900+2800+9700</f>
        <v>17400</v>
      </c>
      <c r="W323" s="979">
        <v>3800</v>
      </c>
      <c r="X323" s="979">
        <v>7500</v>
      </c>
      <c r="Y323" s="979">
        <f>1500+15800+3700</f>
        <v>21000</v>
      </c>
      <c r="Z323" s="979"/>
      <c r="AA323" s="979">
        <v>1800</v>
      </c>
      <c r="AB323" s="979">
        <v>3100</v>
      </c>
      <c r="AC323" s="979"/>
      <c r="AD323" s="979">
        <v>800</v>
      </c>
      <c r="AE323" s="1109">
        <f t="shared" si="90"/>
        <v>127600</v>
      </c>
      <c r="AF323" s="1113">
        <v>4200</v>
      </c>
      <c r="AG323" s="981">
        <v>12200</v>
      </c>
      <c r="AH323" s="981">
        <v>5400</v>
      </c>
      <c r="AI323" s="1114">
        <f t="shared" si="96"/>
        <v>21800</v>
      </c>
      <c r="AJ323" s="1110">
        <f t="shared" si="92"/>
        <v>156600</v>
      </c>
      <c r="AK323" s="982">
        <f>'09월 에너지'!S323</f>
        <v>146.69999999999999</v>
      </c>
      <c r="AL323" s="983">
        <f t="shared" si="93"/>
        <v>0.93678160919540232</v>
      </c>
    </row>
    <row r="324" spans="1:38" ht="16.5" customHeight="1">
      <c r="A324" s="999">
        <f>'09월 에너지'!A324</f>
        <v>46277</v>
      </c>
      <c r="B324" s="1002">
        <f>'09월 조업일지'!B322</f>
        <v>46276</v>
      </c>
      <c r="C324" s="1003" t="str">
        <f>'09월 에너지'!C324</f>
        <v>B</v>
      </c>
      <c r="D324" s="1004" t="str">
        <f>'09월 에너지'!D324</f>
        <v>A</v>
      </c>
      <c r="E324" s="1000">
        <f>'09월 에너지'!E324</f>
        <v>85524</v>
      </c>
      <c r="F324" s="1094" t="str">
        <f>'09월 에너지'!F324</f>
        <v>S355JO-01</v>
      </c>
      <c r="G324" s="980"/>
      <c r="H324" s="978"/>
      <c r="I324" s="978">
        <v>2600</v>
      </c>
      <c r="J324" s="978"/>
      <c r="K324" s="978"/>
      <c r="L324" s="978"/>
      <c r="M324" s="978"/>
      <c r="N324" s="978"/>
      <c r="O324" s="1106">
        <f t="shared" si="89"/>
        <v>2600</v>
      </c>
      <c r="P324" s="1108">
        <f>7000+9300+4900+7100+8200+4800</f>
        <v>41300</v>
      </c>
      <c r="Q324" s="979">
        <f>8000+2300+6300</f>
        <v>16600</v>
      </c>
      <c r="R324" s="979">
        <v>10000</v>
      </c>
      <c r="S324" s="979"/>
      <c r="T324" s="979"/>
      <c r="U324" s="979"/>
      <c r="V324" s="979">
        <f>3400+2700+9300</f>
        <v>15400</v>
      </c>
      <c r="W324" s="979">
        <v>2400</v>
      </c>
      <c r="X324" s="979">
        <v>10100</v>
      </c>
      <c r="Y324" s="979">
        <v>16100</v>
      </c>
      <c r="Z324" s="979"/>
      <c r="AA324" s="979">
        <v>3000</v>
      </c>
      <c r="AB324" s="979">
        <v>1700</v>
      </c>
      <c r="AC324" s="979"/>
      <c r="AD324" s="979">
        <v>4400</v>
      </c>
      <c r="AE324" s="1109">
        <f t="shared" si="90"/>
        <v>121000</v>
      </c>
      <c r="AF324" s="1113">
        <v>3300</v>
      </c>
      <c r="AG324" s="981">
        <f>20700+5700</f>
        <v>26400</v>
      </c>
      <c r="AH324" s="981">
        <v>5000</v>
      </c>
      <c r="AI324" s="1114">
        <f t="shared" si="96"/>
        <v>34700</v>
      </c>
      <c r="AJ324" s="1110">
        <f t="shared" si="92"/>
        <v>158300</v>
      </c>
      <c r="AK324" s="982">
        <f>'09월 에너지'!S324</f>
        <v>146.69999999999999</v>
      </c>
      <c r="AL324" s="983">
        <f t="shared" si="93"/>
        <v>0.92672141503474414</v>
      </c>
    </row>
    <row r="325" spans="1:38" ht="16.5" customHeight="1">
      <c r="A325" s="999">
        <f>'09월 에너지'!A325</f>
        <v>46277</v>
      </c>
      <c r="B325" s="1002">
        <f>'09월 조업일지'!B323</f>
        <v>46276</v>
      </c>
      <c r="C325" s="1003" t="str">
        <f>'09월 에너지'!C325</f>
        <v>B</v>
      </c>
      <c r="D325" s="1004" t="str">
        <f>'09월 에너지'!D325</f>
        <v>B</v>
      </c>
      <c r="E325" s="1000">
        <f>'09월 에너지'!E325</f>
        <v>85525</v>
      </c>
      <c r="F325" s="1094" t="str">
        <f>'09월 에너지'!F325</f>
        <v>S355JO-01</v>
      </c>
      <c r="G325" s="980"/>
      <c r="H325" s="978"/>
      <c r="I325" s="978">
        <v>5900</v>
      </c>
      <c r="J325" s="978"/>
      <c r="K325" s="978"/>
      <c r="L325" s="978"/>
      <c r="M325" s="978"/>
      <c r="N325" s="978"/>
      <c r="O325" s="1106">
        <f t="shared" si="89"/>
        <v>5900</v>
      </c>
      <c r="P325" s="1108">
        <f>41300-2600+2600+2100</f>
        <v>43400</v>
      </c>
      <c r="Q325" s="979">
        <v>13500</v>
      </c>
      <c r="R325" s="979">
        <v>11000</v>
      </c>
      <c r="S325" s="979"/>
      <c r="T325" s="979"/>
      <c r="U325" s="979"/>
      <c r="V325" s="979">
        <v>15400</v>
      </c>
      <c r="W325" s="979">
        <v>2400</v>
      </c>
      <c r="X325" s="979">
        <f>10100-3600</f>
        <v>6500</v>
      </c>
      <c r="Y325" s="979">
        <v>16100</v>
      </c>
      <c r="Z325" s="979"/>
      <c r="AA325" s="979">
        <v>3000</v>
      </c>
      <c r="AB325" s="979">
        <v>1700</v>
      </c>
      <c r="AC325" s="979"/>
      <c r="AD325" s="979">
        <v>4400</v>
      </c>
      <c r="AE325" s="1109">
        <f t="shared" si="90"/>
        <v>117400</v>
      </c>
      <c r="AF325" s="1113">
        <v>3300</v>
      </c>
      <c r="AG325" s="981">
        <f>26400-2600</f>
        <v>23800</v>
      </c>
      <c r="AH325" s="981">
        <v>5000</v>
      </c>
      <c r="AI325" s="1114">
        <v>34700</v>
      </c>
      <c r="AJ325" s="1110">
        <f t="shared" si="92"/>
        <v>158000</v>
      </c>
      <c r="AK325" s="982">
        <f>'09월 에너지'!S325</f>
        <v>141.30000000000001</v>
      </c>
      <c r="AL325" s="983">
        <f t="shared" si="93"/>
        <v>0.89430379746835442</v>
      </c>
    </row>
    <row r="326" spans="1:38" ht="16.5" customHeight="1">
      <c r="A326" s="999">
        <f>'09월 에너지'!A326</f>
        <v>46277</v>
      </c>
      <c r="B326" s="1002">
        <f>'09월 조업일지'!B324</f>
        <v>46276</v>
      </c>
      <c r="C326" s="1003" t="str">
        <f>'09월 에너지'!C326</f>
        <v>B</v>
      </c>
      <c r="D326" s="1004" t="str">
        <f>'09월 에너지'!D326</f>
        <v>A</v>
      </c>
      <c r="E326" s="1000">
        <f>'09월 에너지'!E326</f>
        <v>85526</v>
      </c>
      <c r="F326" s="1094" t="str">
        <f>'09월 에너지'!F326</f>
        <v>S355JO-01</v>
      </c>
      <c r="G326" s="980"/>
      <c r="H326" s="978"/>
      <c r="I326" s="978">
        <v>2400</v>
      </c>
      <c r="J326" s="978"/>
      <c r="K326" s="978"/>
      <c r="L326" s="978"/>
      <c r="M326" s="978"/>
      <c r="N326" s="978"/>
      <c r="O326" s="1106">
        <f t="shared" si="89"/>
        <v>2400</v>
      </c>
      <c r="P326" s="1108">
        <f>8800+12300+7500+13500+7300+7200+8600-2100</f>
        <v>63100</v>
      </c>
      <c r="Q326" s="979">
        <f>16700+14100</f>
        <v>30800</v>
      </c>
      <c r="R326" s="979">
        <v>2100</v>
      </c>
      <c r="S326" s="979"/>
      <c r="T326" s="979"/>
      <c r="U326" s="979"/>
      <c r="V326" s="979">
        <f>7900+9600+2100</f>
        <v>19600</v>
      </c>
      <c r="W326" s="979">
        <v>2300</v>
      </c>
      <c r="X326" s="979">
        <v>8900</v>
      </c>
      <c r="Y326" s="979">
        <f>4000+1200</f>
        <v>5200</v>
      </c>
      <c r="Z326" s="979"/>
      <c r="AA326" s="979">
        <v>2300</v>
      </c>
      <c r="AB326" s="979">
        <v>2300</v>
      </c>
      <c r="AC326" s="979"/>
      <c r="AD326" s="979">
        <v>1500</v>
      </c>
      <c r="AE326" s="1109">
        <f t="shared" si="90"/>
        <v>138100</v>
      </c>
      <c r="AF326" s="1113">
        <v>4400</v>
      </c>
      <c r="AG326" s="981">
        <v>9400</v>
      </c>
      <c r="AH326" s="981">
        <v>3800</v>
      </c>
      <c r="AI326" s="1114">
        <f t="shared" si="91"/>
        <v>17600</v>
      </c>
      <c r="AJ326" s="1110">
        <f t="shared" si="92"/>
        <v>158100</v>
      </c>
      <c r="AK326" s="982">
        <f>'09월 에너지'!S326</f>
        <v>146.1</v>
      </c>
      <c r="AL326" s="983">
        <f t="shared" si="93"/>
        <v>0.92409867172675519</v>
      </c>
    </row>
    <row r="327" spans="1:38" ht="16.5" customHeight="1">
      <c r="A327" s="999">
        <f>'09월 에너지'!A327</f>
        <v>46277</v>
      </c>
      <c r="B327" s="1002">
        <f>'09월 조업일지'!B325</f>
        <v>46277</v>
      </c>
      <c r="C327" s="1003" t="str">
        <f>'09월 에너지'!C327</f>
        <v>C</v>
      </c>
      <c r="D327" s="1004" t="str">
        <f>'09월 에너지'!D327</f>
        <v>B</v>
      </c>
      <c r="E327" s="1000">
        <f>'09월 에너지'!E327</f>
        <v>85527</v>
      </c>
      <c r="F327" s="1094" t="str">
        <f>'09월 에너지'!F327</f>
        <v>S355JO-01</v>
      </c>
      <c r="G327" s="980"/>
      <c r="H327" s="978"/>
      <c r="I327" s="978">
        <v>13000</v>
      </c>
      <c r="J327" s="978"/>
      <c r="K327" s="978"/>
      <c r="L327" s="978"/>
      <c r="M327" s="978"/>
      <c r="N327" s="978"/>
      <c r="O327" s="1106">
        <f t="shared" si="89"/>
        <v>13000</v>
      </c>
      <c r="P327" s="1108">
        <f>9100+6500+12100+13800+7000+5600+2700</f>
        <v>56800</v>
      </c>
      <c r="Q327" s="979">
        <f>12500+7600</f>
        <v>20100</v>
      </c>
      <c r="R327" s="979">
        <v>3400</v>
      </c>
      <c r="S327" s="979"/>
      <c r="T327" s="979"/>
      <c r="U327" s="979"/>
      <c r="V327" s="979">
        <f>2000+7800+11500</f>
        <v>21300</v>
      </c>
      <c r="W327" s="979">
        <v>4700</v>
      </c>
      <c r="X327" s="979">
        <v>6500</v>
      </c>
      <c r="Y327" s="979">
        <f>1100+4400</f>
        <v>5500</v>
      </c>
      <c r="Z327" s="979"/>
      <c r="AA327" s="979">
        <v>3600</v>
      </c>
      <c r="AB327" s="979">
        <v>3500</v>
      </c>
      <c r="AC327" s="979"/>
      <c r="AD327" s="979">
        <v>2300</v>
      </c>
      <c r="AE327" s="1109">
        <f t="shared" si="90"/>
        <v>127700</v>
      </c>
      <c r="AF327" s="1113">
        <v>3500</v>
      </c>
      <c r="AG327" s="981">
        <f>8900+1800</f>
        <v>10700</v>
      </c>
      <c r="AH327" s="981">
        <v>3500</v>
      </c>
      <c r="AI327" s="1114">
        <f t="shared" si="91"/>
        <v>17700</v>
      </c>
      <c r="AJ327" s="1110">
        <f t="shared" si="92"/>
        <v>158400</v>
      </c>
      <c r="AK327" s="982">
        <f>'09월 에너지'!S327</f>
        <v>141.80000000000001</v>
      </c>
      <c r="AL327" s="983">
        <f t="shared" si="93"/>
        <v>0.89520202020202022</v>
      </c>
    </row>
    <row r="328" spans="1:38" s="1095" customFormat="1" ht="16.5" customHeight="1">
      <c r="A328" s="999">
        <f>'09월 에너지'!A328</f>
        <v>46277</v>
      </c>
      <c r="B328" s="1002">
        <f>'09월 조업일지'!B326</f>
        <v>46277</v>
      </c>
      <c r="C328" s="1003" t="str">
        <f>'09월 에너지'!C328</f>
        <v>C</v>
      </c>
      <c r="D328" s="1004" t="str">
        <f>'09월 에너지'!D328</f>
        <v>A</v>
      </c>
      <c r="E328" s="1000">
        <f>'09월 에너지'!E328</f>
        <v>85528</v>
      </c>
      <c r="F328" s="1094" t="str">
        <f>'09월 에너지'!F328</f>
        <v>S355JO-01</v>
      </c>
      <c r="G328" s="980"/>
      <c r="H328" s="978"/>
      <c r="I328" s="978">
        <v>10300</v>
      </c>
      <c r="J328" s="978"/>
      <c r="K328" s="978"/>
      <c r="L328" s="978"/>
      <c r="M328" s="978"/>
      <c r="N328" s="978"/>
      <c r="O328" s="1106">
        <f t="shared" si="89"/>
        <v>10300</v>
      </c>
      <c r="P328" s="1108">
        <f>6200+10700+4300+15600+6800+5700+2800</f>
        <v>52100</v>
      </c>
      <c r="Q328" s="979">
        <f>10600+8800</f>
        <v>19400</v>
      </c>
      <c r="R328" s="979"/>
      <c r="S328" s="979"/>
      <c r="T328" s="979"/>
      <c r="U328" s="979"/>
      <c r="V328" s="979">
        <f>3000+4600+10300</f>
        <v>17900</v>
      </c>
      <c r="W328" s="979">
        <v>1000</v>
      </c>
      <c r="X328" s="979">
        <v>10200</v>
      </c>
      <c r="Y328" s="979">
        <f>3100+2200+1700</f>
        <v>7000</v>
      </c>
      <c r="Z328" s="979"/>
      <c r="AA328" s="979">
        <v>2100</v>
      </c>
      <c r="AB328" s="979">
        <v>4200</v>
      </c>
      <c r="AC328" s="979"/>
      <c r="AD328" s="979">
        <v>2500</v>
      </c>
      <c r="AE328" s="1109">
        <f t="shared" si="90"/>
        <v>116400</v>
      </c>
      <c r="AF328" s="1113">
        <v>3400</v>
      </c>
      <c r="AG328" s="981">
        <f>9900+6400</f>
        <v>16300</v>
      </c>
      <c r="AH328" s="981">
        <v>12500</v>
      </c>
      <c r="AI328" s="1114">
        <f t="shared" si="91"/>
        <v>32200</v>
      </c>
      <c r="AJ328" s="1110">
        <f t="shared" si="92"/>
        <v>158900</v>
      </c>
      <c r="AK328" s="982">
        <f>'09월 에너지'!S328</f>
        <v>143.1</v>
      </c>
      <c r="AL328" s="983">
        <f t="shared" si="93"/>
        <v>0.9005663939584645</v>
      </c>
    </row>
    <row r="329" spans="1:38" ht="16.5" customHeight="1">
      <c r="A329" s="999">
        <f>'09월 에너지'!A329</f>
        <v>46277</v>
      </c>
      <c r="B329" s="1002">
        <f>'09월 조업일지'!B327</f>
        <v>46277</v>
      </c>
      <c r="C329" s="1003" t="str">
        <f>'09월 에너지'!C329</f>
        <v>C</v>
      </c>
      <c r="D329" s="1004" t="str">
        <f>'09월 에너지'!D329</f>
        <v>B</v>
      </c>
      <c r="E329" s="1000">
        <f>'09월 에너지'!E329</f>
        <v>85529</v>
      </c>
      <c r="F329" s="1094" t="str">
        <f>'09월 에너지'!F329</f>
        <v>S355JO-01</v>
      </c>
      <c r="G329" s="980"/>
      <c r="H329" s="978"/>
      <c r="I329" s="978">
        <v>7100</v>
      </c>
      <c r="J329" s="978"/>
      <c r="K329" s="978"/>
      <c r="L329" s="978"/>
      <c r="M329" s="978"/>
      <c r="N329" s="978"/>
      <c r="O329" s="1106">
        <f t="shared" si="89"/>
        <v>7100</v>
      </c>
      <c r="P329" s="1108">
        <f>3600+3500+5500+10100+6800+6400+6300</f>
        <v>42200</v>
      </c>
      <c r="Q329" s="979">
        <f>20900+4500</f>
        <v>25400</v>
      </c>
      <c r="R329" s="979">
        <v>11600</v>
      </c>
      <c r="S329" s="979"/>
      <c r="T329" s="979"/>
      <c r="U329" s="979"/>
      <c r="V329" s="979">
        <f>2600+9000+9400</f>
        <v>21000</v>
      </c>
      <c r="W329" s="979">
        <v>800</v>
      </c>
      <c r="X329" s="979">
        <v>11000</v>
      </c>
      <c r="Y329" s="979">
        <f>1600+2100+1700</f>
        <v>5400</v>
      </c>
      <c r="Z329" s="979"/>
      <c r="AA329" s="979">
        <v>6500</v>
      </c>
      <c r="AB329" s="979">
        <v>4400</v>
      </c>
      <c r="AC329" s="979"/>
      <c r="AD329" s="979">
        <v>8300</v>
      </c>
      <c r="AE329" s="1109">
        <f t="shared" si="90"/>
        <v>136600</v>
      </c>
      <c r="AF329" s="1113">
        <v>4000</v>
      </c>
      <c r="AG329" s="981">
        <f>7500+1800</f>
        <v>9300</v>
      </c>
      <c r="AH329" s="981">
        <v>1400</v>
      </c>
      <c r="AI329" s="1114">
        <f t="shared" si="91"/>
        <v>14700</v>
      </c>
      <c r="AJ329" s="1110">
        <f t="shared" si="92"/>
        <v>158400</v>
      </c>
      <c r="AK329" s="982">
        <f>'09월 에너지'!S329</f>
        <v>145</v>
      </c>
      <c r="AL329" s="983">
        <f t="shared" si="93"/>
        <v>0.91540404040404044</v>
      </c>
    </row>
    <row r="330" spans="1:38" ht="16.5" customHeight="1">
      <c r="A330" s="999">
        <f>'09월 에너지'!A330</f>
        <v>46277</v>
      </c>
      <c r="B330" s="1002">
        <f>'09월 조업일지'!B328</f>
        <v>46277</v>
      </c>
      <c r="C330" s="1003" t="str">
        <f>'09월 에너지'!C330</f>
        <v>C</v>
      </c>
      <c r="D330" s="1004" t="str">
        <f>'09월 에너지'!D330</f>
        <v>A</v>
      </c>
      <c r="E330" s="1000">
        <f>'09월 에너지'!E330</f>
        <v>85530</v>
      </c>
      <c r="F330" s="1094" t="str">
        <f>'09월 에너지'!F330</f>
        <v>S355JO-01</v>
      </c>
      <c r="G330" s="980"/>
      <c r="H330" s="978"/>
      <c r="I330" s="978">
        <v>2800</v>
      </c>
      <c r="J330" s="978"/>
      <c r="K330" s="978"/>
      <c r="L330" s="978"/>
      <c r="M330" s="978"/>
      <c r="N330" s="978"/>
      <c r="O330" s="1106">
        <f t="shared" si="89"/>
        <v>2800</v>
      </c>
      <c r="P330" s="1108">
        <f>11300+10200+7300+13100+6600+4900+7400</f>
        <v>60800</v>
      </c>
      <c r="Q330" s="979">
        <f>8600+2500</f>
        <v>11100</v>
      </c>
      <c r="R330" s="979">
        <v>10000</v>
      </c>
      <c r="S330" s="979"/>
      <c r="T330" s="979"/>
      <c r="U330" s="979"/>
      <c r="V330" s="979">
        <f>6800+7700+10000</f>
        <v>24500</v>
      </c>
      <c r="W330" s="979">
        <v>3100</v>
      </c>
      <c r="X330" s="979">
        <v>8700</v>
      </c>
      <c r="Y330" s="979">
        <f>5600+1400</f>
        <v>7000</v>
      </c>
      <c r="Z330" s="979"/>
      <c r="AA330" s="979">
        <v>1000</v>
      </c>
      <c r="AB330" s="979">
        <v>3100</v>
      </c>
      <c r="AC330" s="979"/>
      <c r="AD330" s="979">
        <v>4000</v>
      </c>
      <c r="AE330" s="1109">
        <f t="shared" si="90"/>
        <v>133300</v>
      </c>
      <c r="AF330" s="1113">
        <v>3800</v>
      </c>
      <c r="AG330" s="981">
        <f>2400+12400</f>
        <v>14800</v>
      </c>
      <c r="AH330" s="981">
        <v>4100</v>
      </c>
      <c r="AI330" s="1114">
        <f t="shared" si="91"/>
        <v>22700</v>
      </c>
      <c r="AJ330" s="1110">
        <f t="shared" si="92"/>
        <v>158800</v>
      </c>
      <c r="AK330" s="982">
        <f>'09월 에너지'!S330</f>
        <v>144.19999999999999</v>
      </c>
      <c r="AL330" s="983">
        <f t="shared" si="93"/>
        <v>0.90806045340050379</v>
      </c>
    </row>
    <row r="331" spans="1:38" ht="16.5" customHeight="1">
      <c r="A331" s="999">
        <f>'09월 에너지'!A331</f>
        <v>46277</v>
      </c>
      <c r="B331" s="1002">
        <f>'09월 조업일지'!B329</f>
        <v>46277</v>
      </c>
      <c r="C331" s="1003" t="str">
        <f>'09월 에너지'!C331</f>
        <v>C</v>
      </c>
      <c r="D331" s="1004" t="str">
        <f>'09월 에너지'!D331</f>
        <v>B</v>
      </c>
      <c r="E331" s="1000">
        <f>'09월 에너지'!E331</f>
        <v>85531</v>
      </c>
      <c r="F331" s="1094" t="str">
        <f>'09월 에너지'!F331</f>
        <v>S355JO-01</v>
      </c>
      <c r="G331" s="980"/>
      <c r="H331" s="978"/>
      <c r="I331" s="978">
        <v>2700</v>
      </c>
      <c r="J331" s="978"/>
      <c r="K331" s="978"/>
      <c r="L331" s="978"/>
      <c r="M331" s="978"/>
      <c r="N331" s="978"/>
      <c r="O331" s="1106">
        <f t="shared" si="89"/>
        <v>2700</v>
      </c>
      <c r="P331" s="1108">
        <f>14100+9500+8800+10500+6000+6700+7200</f>
        <v>62800</v>
      </c>
      <c r="Q331" s="979">
        <f>9900+6700</f>
        <v>16600</v>
      </c>
      <c r="R331" s="979">
        <v>9900</v>
      </c>
      <c r="S331" s="979"/>
      <c r="T331" s="979"/>
      <c r="U331" s="979"/>
      <c r="V331" s="979">
        <f>3600+6100+9200</f>
        <v>18900</v>
      </c>
      <c r="W331" s="979">
        <v>3000</v>
      </c>
      <c r="X331" s="979">
        <v>9300</v>
      </c>
      <c r="Y331" s="979">
        <f>4500+100+2500</f>
        <v>7100</v>
      </c>
      <c r="Z331" s="979"/>
      <c r="AA331" s="979">
        <v>1900</v>
      </c>
      <c r="AB331" s="979">
        <v>3300</v>
      </c>
      <c r="AC331" s="979"/>
      <c r="AD331" s="979">
        <v>5000</v>
      </c>
      <c r="AE331" s="1109">
        <f t="shared" si="90"/>
        <v>137800</v>
      </c>
      <c r="AF331" s="1113">
        <v>3900</v>
      </c>
      <c r="AG331" s="981">
        <f>7600+2600</f>
        <v>10200</v>
      </c>
      <c r="AH331" s="981">
        <v>3400</v>
      </c>
      <c r="AI331" s="1114">
        <f t="shared" si="91"/>
        <v>17500</v>
      </c>
      <c r="AJ331" s="1110">
        <f t="shared" si="92"/>
        <v>158000</v>
      </c>
      <c r="AK331" s="982">
        <f>'09월 에너지'!S331</f>
        <v>142.80000000000001</v>
      </c>
      <c r="AL331" s="983">
        <f t="shared" si="93"/>
        <v>0.90379746835443042</v>
      </c>
    </row>
    <row r="332" spans="1:38" ht="16.5" customHeight="1">
      <c r="A332" s="999">
        <f>'09월 에너지'!A332</f>
        <v>46277</v>
      </c>
      <c r="B332" s="1002">
        <f>'09월 조업일지'!B330</f>
        <v>46277</v>
      </c>
      <c r="C332" s="1003" t="str">
        <f>'09월 에너지'!C332</f>
        <v>C</v>
      </c>
      <c r="D332" s="1004" t="str">
        <f>'09월 에너지'!D332</f>
        <v>A</v>
      </c>
      <c r="E332" s="1000">
        <f>'09월 에너지'!E332</f>
        <v>85532</v>
      </c>
      <c r="F332" s="1094" t="str">
        <f>'09월 에너지'!F332</f>
        <v>S355JO-01</v>
      </c>
      <c r="G332" s="980"/>
      <c r="H332" s="978"/>
      <c r="I332" s="978">
        <v>3000</v>
      </c>
      <c r="J332" s="978"/>
      <c r="K332" s="978"/>
      <c r="L332" s="978"/>
      <c r="M332" s="978"/>
      <c r="N332" s="978"/>
      <c r="O332" s="1106">
        <f t="shared" si="89"/>
        <v>3000</v>
      </c>
      <c r="P332" s="1108">
        <f>2900+12500+7900+14100+6200+7400+2300</f>
        <v>53300</v>
      </c>
      <c r="Q332" s="979">
        <f>8400+7700</f>
        <v>16100</v>
      </c>
      <c r="R332" s="979">
        <v>13500</v>
      </c>
      <c r="S332" s="979"/>
      <c r="T332" s="979"/>
      <c r="U332" s="979"/>
      <c r="V332" s="979">
        <f>7200+10700+9800</f>
        <v>27700</v>
      </c>
      <c r="W332" s="979">
        <v>3600</v>
      </c>
      <c r="X332" s="979">
        <v>5900</v>
      </c>
      <c r="Y332" s="979">
        <v>2200</v>
      </c>
      <c r="Z332" s="979"/>
      <c r="AA332" s="979">
        <v>1300</v>
      </c>
      <c r="AB332" s="979">
        <v>2300</v>
      </c>
      <c r="AC332" s="979"/>
      <c r="AD332" s="979">
        <v>11400</v>
      </c>
      <c r="AE332" s="1109">
        <f t="shared" si="90"/>
        <v>137300</v>
      </c>
      <c r="AF332" s="1113">
        <v>3400</v>
      </c>
      <c r="AG332" s="981">
        <f>9500+1900</f>
        <v>11400</v>
      </c>
      <c r="AH332" s="981">
        <v>3400</v>
      </c>
      <c r="AI332" s="1114">
        <f t="shared" si="91"/>
        <v>18200</v>
      </c>
      <c r="AJ332" s="1110">
        <f t="shared" si="92"/>
        <v>158500</v>
      </c>
      <c r="AK332" s="982">
        <f>'09월 에너지'!S332</f>
        <v>144.80000000000001</v>
      </c>
      <c r="AL332" s="983">
        <f t="shared" si="93"/>
        <v>0.91356466876971609</v>
      </c>
    </row>
    <row r="333" spans="1:38" ht="16.5" customHeight="1">
      <c r="A333" s="999">
        <f>'09월 에너지'!A333</f>
        <v>46277</v>
      </c>
      <c r="B333" s="1002">
        <f>'09월 조업일지'!B331</f>
        <v>46277</v>
      </c>
      <c r="C333" s="1003" t="str">
        <f>'09월 에너지'!C333</f>
        <v>C</v>
      </c>
      <c r="D333" s="1004" t="str">
        <f>'09월 에너지'!D333</f>
        <v>B</v>
      </c>
      <c r="E333" s="1000">
        <f>'09월 에너지'!E333</f>
        <v>85533</v>
      </c>
      <c r="F333" s="1170" t="str">
        <f>'09월 에너지'!F333</f>
        <v>SS400-01</v>
      </c>
      <c r="G333" s="980"/>
      <c r="H333" s="978"/>
      <c r="I333" s="978">
        <v>3800</v>
      </c>
      <c r="J333" s="978"/>
      <c r="K333" s="978"/>
      <c r="L333" s="978"/>
      <c r="M333" s="978"/>
      <c r="N333" s="978"/>
      <c r="O333" s="1106">
        <f t="shared" si="89"/>
        <v>3800</v>
      </c>
      <c r="P333" s="1108">
        <f>9200+9600+10600+11600+6500+4900+6500</f>
        <v>58900</v>
      </c>
      <c r="Q333" s="979">
        <f>13700+5000</f>
        <v>18700</v>
      </c>
      <c r="R333" s="979">
        <v>6700</v>
      </c>
      <c r="S333" s="979"/>
      <c r="T333" s="979"/>
      <c r="U333" s="979"/>
      <c r="V333" s="979">
        <f>3300+6500+8900</f>
        <v>18700</v>
      </c>
      <c r="W333" s="979">
        <v>2500</v>
      </c>
      <c r="X333" s="979">
        <v>9000</v>
      </c>
      <c r="Y333" s="979">
        <f>3600+4300+2500</f>
        <v>10400</v>
      </c>
      <c r="Z333" s="979"/>
      <c r="AA333" s="979">
        <v>4200</v>
      </c>
      <c r="AB333" s="979">
        <v>3800</v>
      </c>
      <c r="AC333" s="979"/>
      <c r="AD333" s="979">
        <v>3800</v>
      </c>
      <c r="AE333" s="1109">
        <f t="shared" si="90"/>
        <v>136700</v>
      </c>
      <c r="AF333" s="1113">
        <v>4000</v>
      </c>
      <c r="AG333" s="981">
        <f>8600+3300</f>
        <v>11900</v>
      </c>
      <c r="AH333" s="981">
        <v>2500</v>
      </c>
      <c r="AI333" s="1114">
        <f t="shared" si="91"/>
        <v>18400</v>
      </c>
      <c r="AJ333" s="1110">
        <f t="shared" si="92"/>
        <v>158900</v>
      </c>
      <c r="AK333" s="982">
        <f>'09월 에너지'!S333</f>
        <v>144.80000000000001</v>
      </c>
      <c r="AL333" s="983">
        <f t="shared" si="93"/>
        <v>0.91126494650723722</v>
      </c>
    </row>
    <row r="334" spans="1:38" ht="16.5" customHeight="1">
      <c r="A334" s="999">
        <f>'09월 에너지'!A334</f>
        <v>46277</v>
      </c>
      <c r="B334" s="1002">
        <f>'09월 조업일지'!B332</f>
        <v>46277</v>
      </c>
      <c r="C334" s="1003" t="str">
        <f>'09월 에너지'!C334</f>
        <v>C</v>
      </c>
      <c r="D334" s="1004" t="str">
        <f>'09월 에너지'!D334</f>
        <v>A</v>
      </c>
      <c r="E334" s="1000">
        <f>'09월 에너지'!E334</f>
        <v>85534</v>
      </c>
      <c r="F334" s="1170" t="str">
        <f>'09월 에너지'!F334</f>
        <v>A572-50-01</v>
      </c>
      <c r="G334" s="980"/>
      <c r="H334" s="978"/>
      <c r="I334" s="978">
        <v>6400</v>
      </c>
      <c r="J334" s="978"/>
      <c r="K334" s="978"/>
      <c r="L334" s="978"/>
      <c r="M334" s="978"/>
      <c r="N334" s="978"/>
      <c r="O334" s="1106">
        <f t="shared" si="89"/>
        <v>6400</v>
      </c>
      <c r="P334" s="1108">
        <f>6200+12000+7100+9100+5900+4500+9800</f>
        <v>54600</v>
      </c>
      <c r="Q334" s="979">
        <f>6400+5000</f>
        <v>11400</v>
      </c>
      <c r="R334" s="979">
        <v>2100</v>
      </c>
      <c r="S334" s="979"/>
      <c r="T334" s="979"/>
      <c r="U334" s="979"/>
      <c r="V334" s="979">
        <f>7000+2200+9600</f>
        <v>18800</v>
      </c>
      <c r="W334" s="979">
        <v>2300</v>
      </c>
      <c r="X334" s="979">
        <v>10500</v>
      </c>
      <c r="Y334" s="979">
        <f>3700+2900</f>
        <v>6600</v>
      </c>
      <c r="Z334" s="979"/>
      <c r="AA334" s="979">
        <v>3000</v>
      </c>
      <c r="AB334" s="979">
        <v>14100</v>
      </c>
      <c r="AC334" s="979"/>
      <c r="AD334" s="979">
        <v>3100</v>
      </c>
      <c r="AE334" s="1109">
        <f t="shared" si="90"/>
        <v>126500</v>
      </c>
      <c r="AF334" s="1113">
        <v>3700</v>
      </c>
      <c r="AG334" s="981">
        <f>12000+8700</f>
        <v>20700</v>
      </c>
      <c r="AH334" s="981">
        <v>6400</v>
      </c>
      <c r="AI334" s="1114">
        <f t="shared" si="91"/>
        <v>30800</v>
      </c>
      <c r="AJ334" s="1110">
        <f t="shared" si="92"/>
        <v>163700</v>
      </c>
      <c r="AK334" s="982">
        <f>'09월 에너지'!S334</f>
        <v>144.9</v>
      </c>
      <c r="AL334" s="983">
        <f t="shared" si="93"/>
        <v>0.88515577275503976</v>
      </c>
    </row>
    <row r="335" spans="1:38" ht="16.5" customHeight="1">
      <c r="A335" s="999">
        <f>'09월 에너지'!A335</f>
        <v>46277</v>
      </c>
      <c r="B335" s="1002">
        <f>'09월 조업일지'!B333</f>
        <v>46277</v>
      </c>
      <c r="C335" s="1003" t="str">
        <f>'09월 에너지'!C335</f>
        <v>C</v>
      </c>
      <c r="D335" s="1004" t="str">
        <f>'09월 에너지'!D335</f>
        <v>B</v>
      </c>
      <c r="E335" s="1000">
        <f>'09월 에너지'!E335</f>
        <v>85535</v>
      </c>
      <c r="F335" s="1170" t="str">
        <f>'09월 에너지'!F335</f>
        <v>A572-50-03</v>
      </c>
      <c r="G335" s="980"/>
      <c r="H335" s="978"/>
      <c r="I335" s="978">
        <v>8300</v>
      </c>
      <c r="J335" s="978"/>
      <c r="K335" s="978"/>
      <c r="L335" s="978"/>
      <c r="M335" s="978"/>
      <c r="N335" s="978"/>
      <c r="O335" s="1106">
        <f t="shared" ref="O335:O398" si="97">IF(SUM(G335:N335)=0,"",SUM(G335:N335))</f>
        <v>8300</v>
      </c>
      <c r="P335" s="1108">
        <f>6000+7900+11200+11600+6200+7200+6000</f>
        <v>56100</v>
      </c>
      <c r="Q335" s="979">
        <f>11000+5500</f>
        <v>16500</v>
      </c>
      <c r="R335" s="979">
        <v>4200</v>
      </c>
      <c r="S335" s="979"/>
      <c r="T335" s="979"/>
      <c r="U335" s="979"/>
      <c r="V335" s="979">
        <f>2700+6700+9200</f>
        <v>18600</v>
      </c>
      <c r="W335" s="979">
        <v>3200</v>
      </c>
      <c r="X335" s="979">
        <v>8900</v>
      </c>
      <c r="Y335" s="979">
        <f>2200+2100+1100</f>
        <v>5400</v>
      </c>
      <c r="Z335" s="979"/>
      <c r="AA335" s="979">
        <v>2500</v>
      </c>
      <c r="AB335" s="979">
        <v>2000</v>
      </c>
      <c r="AC335" s="979"/>
      <c r="AD335" s="979">
        <v>3700</v>
      </c>
      <c r="AE335" s="1109">
        <f t="shared" ref="AE335:AE398" si="98">IF(SUM(P335:AD335)=0,"",SUM(P335:AD335))</f>
        <v>121100</v>
      </c>
      <c r="AF335" s="1113">
        <v>5000</v>
      </c>
      <c r="AG335" s="981">
        <f>16200+3100</f>
        <v>19300</v>
      </c>
      <c r="AH335" s="981">
        <v>5500</v>
      </c>
      <c r="AI335" s="1114">
        <f t="shared" ref="AI335:AI398" si="99">IF(SUM(AF335:AH335)=0,"",SUM(AF335:AH335))</f>
        <v>29800</v>
      </c>
      <c r="AJ335" s="1110">
        <f t="shared" ref="AJ335:AJ398" si="100">IF(SUM(O335,AE335,AI335)=0,"",SUM(O335,AE335,AI335))</f>
        <v>159200</v>
      </c>
      <c r="AK335" s="982">
        <f>'09월 에너지'!S335</f>
        <v>141.9</v>
      </c>
      <c r="AL335" s="983">
        <f t="shared" ref="AL335:AL398" si="101">IF(ISERROR(IF(AK335="","",(AK335*1000)/AJ335)),0,(IF(AK335="","",(AK335*1000)/AJ335)))</f>
        <v>0.89133165829145733</v>
      </c>
    </row>
    <row r="336" spans="1:38" ht="16.5" customHeight="1">
      <c r="A336" s="999">
        <f>'09월 에너지'!A336</f>
        <v>46277</v>
      </c>
      <c r="B336" s="1002">
        <f>'09월 조업일지'!B334</f>
        <v>46277</v>
      </c>
      <c r="C336" s="1003" t="str">
        <f>'09월 에너지'!C336</f>
        <v>C</v>
      </c>
      <c r="D336" s="1004" t="str">
        <f>'09월 에너지'!D336</f>
        <v>A</v>
      </c>
      <c r="E336" s="1000">
        <f>'09월 에너지'!E336</f>
        <v>85536</v>
      </c>
      <c r="F336" s="1094" t="str">
        <f>'09월 에너지'!F336</f>
        <v>A572-50-03</v>
      </c>
      <c r="G336" s="980"/>
      <c r="H336" s="978"/>
      <c r="I336" s="978">
        <v>6100</v>
      </c>
      <c r="J336" s="978"/>
      <c r="K336" s="978"/>
      <c r="L336" s="978"/>
      <c r="M336" s="978"/>
      <c r="N336" s="978"/>
      <c r="O336" s="1106">
        <f t="shared" si="97"/>
        <v>6100</v>
      </c>
      <c r="P336" s="1108">
        <f>5700+13400+12100+14300+5500+7200+2500</f>
        <v>60700</v>
      </c>
      <c r="Q336" s="979">
        <f>11700+8300</f>
        <v>20000</v>
      </c>
      <c r="R336" s="979">
        <v>15700</v>
      </c>
      <c r="S336" s="979"/>
      <c r="T336" s="979"/>
      <c r="U336" s="979"/>
      <c r="V336" s="979">
        <f>1800+5400+9200</f>
        <v>16400</v>
      </c>
      <c r="W336" s="979">
        <v>2200</v>
      </c>
      <c r="X336" s="979">
        <v>10600</v>
      </c>
      <c r="Y336" s="979">
        <f>2900+4200+2200</f>
        <v>9300</v>
      </c>
      <c r="Z336" s="979"/>
      <c r="AA336" s="979">
        <v>1700</v>
      </c>
      <c r="AB336" s="979">
        <v>1400</v>
      </c>
      <c r="AC336" s="979"/>
      <c r="AD336" s="979">
        <v>6400</v>
      </c>
      <c r="AE336" s="1109">
        <f t="shared" si="98"/>
        <v>144400</v>
      </c>
      <c r="AF336" s="1113">
        <v>3800</v>
      </c>
      <c r="AG336" s="981">
        <f>1100+2100</f>
        <v>3200</v>
      </c>
      <c r="AH336" s="981">
        <v>2900</v>
      </c>
      <c r="AI336" s="1114">
        <f t="shared" si="99"/>
        <v>9900</v>
      </c>
      <c r="AJ336" s="1110">
        <f t="shared" si="100"/>
        <v>160400</v>
      </c>
      <c r="AK336" s="982">
        <f>'09월 에너지'!S336</f>
        <v>146.1</v>
      </c>
      <c r="AL336" s="983">
        <f t="shared" si="101"/>
        <v>0.9108478802992519</v>
      </c>
    </row>
    <row r="337" spans="1:38" ht="16.5" customHeight="1">
      <c r="A337" s="999">
        <f>'09월 에너지'!A337</f>
        <v>46277</v>
      </c>
      <c r="B337" s="1002">
        <f>'09월 조업일지'!B335</f>
        <v>46277</v>
      </c>
      <c r="C337" s="1003" t="str">
        <f>'09월 에너지'!C337</f>
        <v>C</v>
      </c>
      <c r="D337" s="1004" t="str">
        <f>'09월 에너지'!D337</f>
        <v>B</v>
      </c>
      <c r="E337" s="1000">
        <f>'09월 에너지'!E337</f>
        <v>85537</v>
      </c>
      <c r="F337" s="1094" t="str">
        <f>'09월 에너지'!F337</f>
        <v>A572-50-03</v>
      </c>
      <c r="G337" s="980"/>
      <c r="H337" s="978"/>
      <c r="I337" s="978">
        <v>3400</v>
      </c>
      <c r="J337" s="978"/>
      <c r="K337" s="978"/>
      <c r="L337" s="978"/>
      <c r="M337" s="978"/>
      <c r="N337" s="978"/>
      <c r="O337" s="1106">
        <f t="shared" si="97"/>
        <v>3400</v>
      </c>
      <c r="P337" s="1108">
        <f>8700+11800+2700+14800+5700+5000+5400</f>
        <v>54100</v>
      </c>
      <c r="Q337" s="979">
        <f>7100+7900</f>
        <v>15000</v>
      </c>
      <c r="R337" s="979">
        <v>11500</v>
      </c>
      <c r="S337" s="979"/>
      <c r="T337" s="979"/>
      <c r="U337" s="979"/>
      <c r="V337" s="979">
        <f>2100+4900+9900</f>
        <v>16900</v>
      </c>
      <c r="W337" s="979">
        <v>2300</v>
      </c>
      <c r="X337" s="979">
        <v>10300</v>
      </c>
      <c r="Y337" s="979">
        <f>2500+4300+2000</f>
        <v>8800</v>
      </c>
      <c r="Z337" s="979"/>
      <c r="AA337" s="979">
        <v>2300</v>
      </c>
      <c r="AB337" s="979">
        <v>4000</v>
      </c>
      <c r="AC337" s="979"/>
      <c r="AD337" s="979">
        <v>6500</v>
      </c>
      <c r="AE337" s="1109">
        <f t="shared" si="98"/>
        <v>131700</v>
      </c>
      <c r="AF337" s="1113">
        <v>3300</v>
      </c>
      <c r="AG337" s="981">
        <f>9300+2300</f>
        <v>11600</v>
      </c>
      <c r="AH337" s="981">
        <v>8500</v>
      </c>
      <c r="AI337" s="1114">
        <f t="shared" si="99"/>
        <v>23400</v>
      </c>
      <c r="AJ337" s="1110">
        <f t="shared" si="100"/>
        <v>158500</v>
      </c>
      <c r="AK337" s="982">
        <f>'09월 에너지'!S337</f>
        <v>144.5</v>
      </c>
      <c r="AL337" s="983">
        <f t="shared" si="101"/>
        <v>0.91167192429022081</v>
      </c>
    </row>
    <row r="338" spans="1:38" ht="16.5" customHeight="1">
      <c r="A338" s="999">
        <f>'09월 에너지'!A338</f>
        <v>46277</v>
      </c>
      <c r="B338" s="1002">
        <f>'09월 조업일지'!B336</f>
        <v>46277</v>
      </c>
      <c r="C338" s="1003" t="str">
        <f>'09월 에너지'!C338</f>
        <v>A</v>
      </c>
      <c r="D338" s="1004" t="str">
        <f>'09월 에너지'!D338</f>
        <v>A</v>
      </c>
      <c r="E338" s="1000">
        <f>'09월 에너지'!E338</f>
        <v>85538</v>
      </c>
      <c r="F338" s="1094" t="str">
        <f>'09월 에너지'!F338</f>
        <v>A572-50-03</v>
      </c>
      <c r="G338" s="980">
        <v>0</v>
      </c>
      <c r="H338" s="978">
        <v>0</v>
      </c>
      <c r="I338" s="978">
        <v>3500</v>
      </c>
      <c r="J338" s="978">
        <v>0</v>
      </c>
      <c r="K338" s="978">
        <v>0</v>
      </c>
      <c r="L338" s="978">
        <v>0</v>
      </c>
      <c r="M338" s="978">
        <v>0</v>
      </c>
      <c r="N338" s="978">
        <v>0</v>
      </c>
      <c r="O338" s="1106">
        <f t="shared" si="97"/>
        <v>3500</v>
      </c>
      <c r="P338" s="1108">
        <f>4200+4000+8700+15200+5500+1700+1900+2700+9000</f>
        <v>52900</v>
      </c>
      <c r="Q338" s="979">
        <f>9100+11400</f>
        <v>20500</v>
      </c>
      <c r="R338" s="979">
        <v>13300</v>
      </c>
      <c r="S338" s="979">
        <v>0</v>
      </c>
      <c r="T338" s="979">
        <v>0</v>
      </c>
      <c r="U338" s="979">
        <v>4300</v>
      </c>
      <c r="V338" s="979">
        <f>6400+9200</f>
        <v>15600</v>
      </c>
      <c r="W338" s="979">
        <v>3000</v>
      </c>
      <c r="X338" s="979">
        <v>10300</v>
      </c>
      <c r="Y338" s="979">
        <f>3300+200</f>
        <v>3500</v>
      </c>
      <c r="Z338" s="979">
        <v>0</v>
      </c>
      <c r="AA338" s="979">
        <v>5800</v>
      </c>
      <c r="AB338" s="979">
        <v>4300</v>
      </c>
      <c r="AC338" s="979">
        <v>0</v>
      </c>
      <c r="AD338" s="979">
        <v>7000</v>
      </c>
      <c r="AE338" s="1109">
        <f t="shared" si="98"/>
        <v>140500</v>
      </c>
      <c r="AF338" s="1113">
        <v>4300</v>
      </c>
      <c r="AG338" s="981">
        <v>9100</v>
      </c>
      <c r="AH338" s="981">
        <v>3400</v>
      </c>
      <c r="AI338" s="1114">
        <f t="shared" si="99"/>
        <v>16800</v>
      </c>
      <c r="AJ338" s="1110">
        <f t="shared" si="100"/>
        <v>160800</v>
      </c>
      <c r="AK338" s="982">
        <f>'09월 에너지'!S338</f>
        <v>147.4</v>
      </c>
      <c r="AL338" s="983">
        <f t="shared" si="101"/>
        <v>0.91666666666666663</v>
      </c>
    </row>
    <row r="339" spans="1:38" ht="16.5" customHeight="1">
      <c r="A339" s="999">
        <f>'09월 에너지'!A339</f>
        <v>46277</v>
      </c>
      <c r="B339" s="1002">
        <f>'09월 조업일지'!B337</f>
        <v>46277</v>
      </c>
      <c r="C339" s="1003" t="str">
        <f>'09월 에너지'!C339</f>
        <v>A</v>
      </c>
      <c r="D339" s="1004" t="str">
        <f>'09월 에너지'!D339</f>
        <v>B</v>
      </c>
      <c r="E339" s="1000">
        <f>'09월 에너지'!E339</f>
        <v>85539</v>
      </c>
      <c r="F339" s="1094" t="str">
        <f>'09월 에너지'!F339</f>
        <v>A572-50-03</v>
      </c>
      <c r="G339" s="980">
        <v>0</v>
      </c>
      <c r="H339" s="978">
        <v>0</v>
      </c>
      <c r="I339" s="978">
        <v>0</v>
      </c>
      <c r="J339" s="978">
        <v>0</v>
      </c>
      <c r="K339" s="978">
        <v>0</v>
      </c>
      <c r="L339" s="978">
        <v>0</v>
      </c>
      <c r="M339" s="978">
        <v>0</v>
      </c>
      <c r="N339" s="978">
        <v>0</v>
      </c>
      <c r="O339" s="1106">
        <v>0</v>
      </c>
      <c r="P339" s="1108">
        <f>13600+10700+7700+4100+4900+600+10100</f>
        <v>51700</v>
      </c>
      <c r="Q339" s="979">
        <f>10100+7100</f>
        <v>17200</v>
      </c>
      <c r="R339" s="979">
        <v>7700</v>
      </c>
      <c r="S339" s="979">
        <v>0</v>
      </c>
      <c r="T339" s="979">
        <v>2400</v>
      </c>
      <c r="U339" s="979">
        <f>3200+6300</f>
        <v>9500</v>
      </c>
      <c r="V339" s="979">
        <f>4400+3500</f>
        <v>7900</v>
      </c>
      <c r="W339" s="979">
        <v>3000</v>
      </c>
      <c r="X339" s="979">
        <v>7600</v>
      </c>
      <c r="Y339" s="979">
        <f>2900+14700+4400</f>
        <v>22000</v>
      </c>
      <c r="Z339" s="979">
        <v>0</v>
      </c>
      <c r="AA339" s="979">
        <v>2300</v>
      </c>
      <c r="AB339" s="979">
        <v>3900</v>
      </c>
      <c r="AC339" s="979">
        <v>0</v>
      </c>
      <c r="AD339" s="979">
        <v>4100</v>
      </c>
      <c r="AE339" s="1109">
        <f t="shared" si="98"/>
        <v>139300</v>
      </c>
      <c r="AF339" s="1113">
        <v>4400</v>
      </c>
      <c r="AG339" s="981">
        <v>13200</v>
      </c>
      <c r="AH339" s="981">
        <v>1600</v>
      </c>
      <c r="AI339" s="1114">
        <f t="shared" si="99"/>
        <v>19200</v>
      </c>
      <c r="AJ339" s="1110">
        <f t="shared" si="100"/>
        <v>158500</v>
      </c>
      <c r="AK339" s="982">
        <f>'09월 에너지'!S339</f>
        <v>145.1</v>
      </c>
      <c r="AL339" s="983">
        <f t="shared" si="101"/>
        <v>0.91545741324921137</v>
      </c>
    </row>
    <row r="340" spans="1:38" ht="16.5" customHeight="1">
      <c r="A340" s="999">
        <f>'09월 에너지'!A340</f>
        <v>46277</v>
      </c>
      <c r="B340" s="1002">
        <f>'09월 조업일지'!B338</f>
        <v>46277</v>
      </c>
      <c r="C340" s="1003" t="str">
        <f>'09월 에너지'!C340</f>
        <v>A</v>
      </c>
      <c r="D340" s="1004" t="str">
        <f>'09월 에너지'!D340</f>
        <v>A</v>
      </c>
      <c r="E340" s="1000">
        <f>'09월 에너지'!E340</f>
        <v>85540</v>
      </c>
      <c r="F340" s="1094" t="str">
        <f>'09월 에너지'!F340</f>
        <v>A572-50-03</v>
      </c>
      <c r="G340" s="980">
        <v>0</v>
      </c>
      <c r="H340" s="978">
        <v>0</v>
      </c>
      <c r="I340" s="978">
        <v>0</v>
      </c>
      <c r="J340" s="978">
        <v>0</v>
      </c>
      <c r="K340" s="978">
        <v>0</v>
      </c>
      <c r="L340" s="978">
        <v>0</v>
      </c>
      <c r="M340" s="978">
        <v>0</v>
      </c>
      <c r="N340" s="978">
        <v>0</v>
      </c>
      <c r="O340" s="1106">
        <v>0</v>
      </c>
      <c r="P340" s="1108">
        <f>5000+5700+6700+2000+3000+3800+8200</f>
        <v>34400</v>
      </c>
      <c r="Q340" s="979">
        <f>2800+10600</f>
        <v>13400</v>
      </c>
      <c r="R340" s="979">
        <v>12900</v>
      </c>
      <c r="S340" s="979">
        <v>0</v>
      </c>
      <c r="T340" s="979">
        <v>1200</v>
      </c>
      <c r="U340" s="979">
        <f>8700+7600</f>
        <v>16300</v>
      </c>
      <c r="V340" s="979">
        <f>3000+6300</f>
        <v>9300</v>
      </c>
      <c r="W340" s="979">
        <v>3400</v>
      </c>
      <c r="X340" s="979">
        <v>7900</v>
      </c>
      <c r="Y340" s="979">
        <f>4800+12000+100</f>
        <v>16900</v>
      </c>
      <c r="Z340" s="979">
        <v>0</v>
      </c>
      <c r="AA340" s="979">
        <v>1400</v>
      </c>
      <c r="AB340" s="979">
        <v>2000</v>
      </c>
      <c r="AC340" s="979">
        <v>0</v>
      </c>
      <c r="AD340" s="979">
        <v>5400</v>
      </c>
      <c r="AE340" s="1109">
        <f t="shared" si="98"/>
        <v>124500</v>
      </c>
      <c r="AF340" s="1113">
        <v>3400</v>
      </c>
      <c r="AG340" s="981">
        <v>13500</v>
      </c>
      <c r="AH340" s="981">
        <v>16200</v>
      </c>
      <c r="AI340" s="1114">
        <f t="shared" si="99"/>
        <v>33100</v>
      </c>
      <c r="AJ340" s="1110">
        <f t="shared" si="100"/>
        <v>157600</v>
      </c>
      <c r="AK340" s="982">
        <f>'09월 에너지'!S340</f>
        <v>145.80000000000001</v>
      </c>
      <c r="AL340" s="983">
        <f t="shared" si="101"/>
        <v>0.92512690355329952</v>
      </c>
    </row>
    <row r="341" spans="1:38" ht="16.5" customHeight="1">
      <c r="A341" s="999">
        <f>'09월 에너지'!A341</f>
        <v>46277</v>
      </c>
      <c r="B341" s="1002">
        <f>'09월 조업일지'!B339</f>
        <v>46277</v>
      </c>
      <c r="C341" s="1003" t="str">
        <f>'09월 에너지'!C341</f>
        <v>A</v>
      </c>
      <c r="D341" s="1004" t="str">
        <f>'09월 에너지'!D341</f>
        <v>B</v>
      </c>
      <c r="E341" s="1000">
        <f>'09월 에너지'!E341</f>
        <v>85541</v>
      </c>
      <c r="F341" s="1094" t="str">
        <f>'09월 에너지'!F341</f>
        <v>A572-50-03</v>
      </c>
      <c r="G341" s="980">
        <v>0</v>
      </c>
      <c r="H341" s="978">
        <v>0</v>
      </c>
      <c r="I341" s="978">
        <v>0</v>
      </c>
      <c r="J341" s="978">
        <v>0</v>
      </c>
      <c r="K341" s="978">
        <v>0</v>
      </c>
      <c r="L341" s="978">
        <v>0</v>
      </c>
      <c r="M341" s="978">
        <v>0</v>
      </c>
      <c r="N341" s="978">
        <v>0</v>
      </c>
      <c r="O341" s="1106">
        <v>0</v>
      </c>
      <c r="P341" s="1108">
        <f>10700+14100+5400+5400+2500+9700</f>
        <v>47800</v>
      </c>
      <c r="Q341" s="979">
        <f>7500+4100</f>
        <v>11600</v>
      </c>
      <c r="R341" s="979">
        <v>7300</v>
      </c>
      <c r="S341" s="979">
        <v>0</v>
      </c>
      <c r="T341" s="979">
        <v>2500</v>
      </c>
      <c r="U341" s="979">
        <f>5800+8300</f>
        <v>14100</v>
      </c>
      <c r="V341" s="979">
        <f>3800+3600</f>
        <v>7400</v>
      </c>
      <c r="W341" s="979">
        <v>0</v>
      </c>
      <c r="X341" s="979">
        <v>0</v>
      </c>
      <c r="Y341" s="979">
        <f>3500+29600+2900</f>
        <v>36000</v>
      </c>
      <c r="Z341" s="979">
        <v>0</v>
      </c>
      <c r="AA341" s="979">
        <v>2200</v>
      </c>
      <c r="AB341" s="979">
        <v>2800</v>
      </c>
      <c r="AC341" s="979">
        <v>0</v>
      </c>
      <c r="AD341" s="979">
        <v>5300</v>
      </c>
      <c r="AE341" s="1109">
        <f t="shared" si="98"/>
        <v>137000</v>
      </c>
      <c r="AF341" s="1113">
        <v>3200</v>
      </c>
      <c r="AG341" s="981">
        <v>13900</v>
      </c>
      <c r="AH341" s="981">
        <v>4100</v>
      </c>
      <c r="AI341" s="1114">
        <f t="shared" si="99"/>
        <v>21200</v>
      </c>
      <c r="AJ341" s="1110">
        <f t="shared" si="100"/>
        <v>158200</v>
      </c>
      <c r="AK341" s="982">
        <f>'09월 에너지'!S341</f>
        <v>147.9</v>
      </c>
      <c r="AL341" s="983">
        <f t="shared" si="101"/>
        <v>0.9348925410872313</v>
      </c>
    </row>
    <row r="342" spans="1:38" ht="16.5" customHeight="1">
      <c r="A342" s="999">
        <f>'09월 에너지'!A342</f>
        <v>46277</v>
      </c>
      <c r="B342" s="1002">
        <f>'09월 조업일지'!B340</f>
        <v>46277</v>
      </c>
      <c r="C342" s="1003" t="str">
        <f>'09월 에너지'!C342</f>
        <v>A</v>
      </c>
      <c r="D342" s="1004" t="str">
        <f>'09월 에너지'!D342</f>
        <v>A</v>
      </c>
      <c r="E342" s="1000">
        <f>'09월 에너지'!E342</f>
        <v>85542</v>
      </c>
      <c r="F342" s="1094" t="str">
        <f>'09월 에너지'!F342</f>
        <v>A572-50-03</v>
      </c>
      <c r="G342" s="980">
        <v>0</v>
      </c>
      <c r="H342" s="978">
        <v>0</v>
      </c>
      <c r="I342" s="978">
        <v>0</v>
      </c>
      <c r="J342" s="978">
        <v>0</v>
      </c>
      <c r="K342" s="978">
        <v>0</v>
      </c>
      <c r="L342" s="978">
        <v>0</v>
      </c>
      <c r="M342" s="978">
        <v>0</v>
      </c>
      <c r="N342" s="978">
        <v>0</v>
      </c>
      <c r="O342" s="1106">
        <v>0</v>
      </c>
      <c r="P342" s="1108">
        <f>12100+12500+6600+3700+7000+2700+10000</f>
        <v>54600</v>
      </c>
      <c r="Q342" s="979">
        <f>9900+8900</f>
        <v>18800</v>
      </c>
      <c r="R342" s="979">
        <v>6100</v>
      </c>
      <c r="S342" s="979">
        <v>0</v>
      </c>
      <c r="T342" s="979">
        <v>4500</v>
      </c>
      <c r="U342" s="979">
        <f>7500+4700</f>
        <v>12200</v>
      </c>
      <c r="V342" s="979">
        <f>3500+3400</f>
        <v>6900</v>
      </c>
      <c r="W342" s="979">
        <v>3400</v>
      </c>
      <c r="X342" s="979">
        <v>8300</v>
      </c>
      <c r="Y342" s="979">
        <f>6500+6600+2200</f>
        <v>15300</v>
      </c>
      <c r="Z342" s="979">
        <v>0</v>
      </c>
      <c r="AA342" s="979">
        <v>1100</v>
      </c>
      <c r="AB342" s="979">
        <v>1900</v>
      </c>
      <c r="AC342" s="979">
        <v>0</v>
      </c>
      <c r="AD342" s="979">
        <v>4600</v>
      </c>
      <c r="AE342" s="1109">
        <f t="shared" si="98"/>
        <v>137700</v>
      </c>
      <c r="AF342" s="1113">
        <v>2200</v>
      </c>
      <c r="AG342" s="981">
        <v>15800</v>
      </c>
      <c r="AH342" s="981">
        <v>2300</v>
      </c>
      <c r="AI342" s="1114">
        <f t="shared" si="99"/>
        <v>20300</v>
      </c>
      <c r="AJ342" s="1110">
        <f t="shared" si="100"/>
        <v>158000</v>
      </c>
      <c r="AK342" s="982">
        <f>'09월 에너지'!S342</f>
        <v>147.6</v>
      </c>
      <c r="AL342" s="983">
        <f t="shared" si="101"/>
        <v>0.9341772151898734</v>
      </c>
    </row>
    <row r="343" spans="1:38" ht="16.5" customHeight="1">
      <c r="A343" s="999">
        <f>'09월 에너지'!A343</f>
        <v>46277</v>
      </c>
      <c r="B343" s="1002">
        <f>'09월 조업일지'!B341</f>
        <v>46277</v>
      </c>
      <c r="C343" s="1003" t="str">
        <f>'09월 에너지'!C343</f>
        <v>A</v>
      </c>
      <c r="D343" s="1004" t="str">
        <f>'09월 에너지'!D343</f>
        <v>B</v>
      </c>
      <c r="E343" s="1000">
        <f>'09월 에너지'!E343</f>
        <v>85543</v>
      </c>
      <c r="F343" s="1094" t="str">
        <f>'09월 에너지'!F343</f>
        <v>A572-50-03</v>
      </c>
      <c r="G343" s="980">
        <v>0</v>
      </c>
      <c r="H343" s="978">
        <v>0</v>
      </c>
      <c r="I343" s="978">
        <v>0</v>
      </c>
      <c r="J343" s="978">
        <v>0</v>
      </c>
      <c r="K343" s="978">
        <v>0</v>
      </c>
      <c r="L343" s="978">
        <v>0</v>
      </c>
      <c r="M343" s="978">
        <v>0</v>
      </c>
      <c r="N343" s="978">
        <v>0</v>
      </c>
      <c r="O343" s="1106">
        <v>0</v>
      </c>
      <c r="P343" s="1108">
        <f>10800+13500+7100+6700+4900+2400+9800</f>
        <v>55200</v>
      </c>
      <c r="Q343" s="979">
        <f>11300+4700</f>
        <v>16000</v>
      </c>
      <c r="R343" s="979">
        <v>5800</v>
      </c>
      <c r="S343" s="979">
        <v>0</v>
      </c>
      <c r="T343" s="979">
        <v>3700</v>
      </c>
      <c r="U343" s="979">
        <f>6700+6400</f>
        <v>13100</v>
      </c>
      <c r="V343" s="979">
        <f>5000+3600</f>
        <v>8600</v>
      </c>
      <c r="W343" s="979">
        <v>3200</v>
      </c>
      <c r="X343" s="979">
        <v>8700</v>
      </c>
      <c r="Y343" s="979">
        <f>1800+9200+3800</f>
        <v>14800</v>
      </c>
      <c r="Z343" s="979">
        <v>0</v>
      </c>
      <c r="AA343" s="979">
        <v>1800</v>
      </c>
      <c r="AB343" s="979">
        <v>3200</v>
      </c>
      <c r="AC343" s="979">
        <v>0</v>
      </c>
      <c r="AD343" s="979">
        <v>4800</v>
      </c>
      <c r="AE343" s="1109">
        <f t="shared" si="98"/>
        <v>138900</v>
      </c>
      <c r="AF343" s="1113">
        <v>3000</v>
      </c>
      <c r="AG343" s="981">
        <v>13300</v>
      </c>
      <c r="AH343" s="981">
        <v>3100</v>
      </c>
      <c r="AI343" s="1114">
        <f t="shared" si="99"/>
        <v>19400</v>
      </c>
      <c r="AJ343" s="1110">
        <f t="shared" si="100"/>
        <v>158300</v>
      </c>
      <c r="AK343" s="982">
        <f>'09월 에너지'!S343</f>
        <v>145.1</v>
      </c>
      <c r="AL343" s="983">
        <f t="shared" si="101"/>
        <v>0.91661402400505365</v>
      </c>
    </row>
    <row r="344" spans="1:38" ht="16.5" customHeight="1">
      <c r="A344" s="999">
        <f>'09월 에너지'!A344</f>
        <v>46277</v>
      </c>
      <c r="B344" s="1002">
        <f>'09월 조업일지'!B342</f>
        <v>46277</v>
      </c>
      <c r="C344" s="1003" t="str">
        <f>'09월 에너지'!C344</f>
        <v>A</v>
      </c>
      <c r="D344" s="1004" t="str">
        <f>'09월 에너지'!D344</f>
        <v>A</v>
      </c>
      <c r="E344" s="1000">
        <f>'09월 에너지'!E344</f>
        <v>85544</v>
      </c>
      <c r="F344" s="1094" t="str">
        <f>'09월 에너지'!F344</f>
        <v>A572-50-03</v>
      </c>
      <c r="G344" s="980">
        <v>0</v>
      </c>
      <c r="H344" s="978">
        <v>0</v>
      </c>
      <c r="I344" s="978">
        <v>0</v>
      </c>
      <c r="J344" s="978">
        <v>0</v>
      </c>
      <c r="K344" s="978">
        <v>0</v>
      </c>
      <c r="L344" s="978">
        <v>0</v>
      </c>
      <c r="M344" s="978">
        <v>0</v>
      </c>
      <c r="N344" s="978">
        <v>0</v>
      </c>
      <c r="O344" s="1106">
        <v>0</v>
      </c>
      <c r="P344" s="1108">
        <f>13000+14600+7300+9000+1000+2200+9000</f>
        <v>56100</v>
      </c>
      <c r="Q344" s="979">
        <f>8000+3600</f>
        <v>11600</v>
      </c>
      <c r="R344" s="979">
        <v>5000</v>
      </c>
      <c r="S344" s="979">
        <v>0</v>
      </c>
      <c r="T344" s="979">
        <v>6700</v>
      </c>
      <c r="U344" s="979">
        <f>5400+3200</f>
        <v>8600</v>
      </c>
      <c r="V344" s="979">
        <f>4600+13500</f>
        <v>18100</v>
      </c>
      <c r="W344" s="979">
        <v>2800</v>
      </c>
      <c r="X344" s="979">
        <v>8100</v>
      </c>
      <c r="Y344" s="979">
        <f>4700+9800</f>
        <v>14500</v>
      </c>
      <c r="Z344" s="979">
        <v>0</v>
      </c>
      <c r="AA344" s="979">
        <v>3700</v>
      </c>
      <c r="AB344" s="979">
        <v>200</v>
      </c>
      <c r="AC344" s="979">
        <v>0</v>
      </c>
      <c r="AD344" s="979">
        <v>5400</v>
      </c>
      <c r="AE344" s="1109">
        <f t="shared" si="98"/>
        <v>140800</v>
      </c>
      <c r="AF344" s="1113">
        <v>4100</v>
      </c>
      <c r="AG344" s="981">
        <v>8800</v>
      </c>
      <c r="AH344" s="981">
        <v>5500</v>
      </c>
      <c r="AI344" s="1114">
        <f t="shared" si="99"/>
        <v>18400</v>
      </c>
      <c r="AJ344" s="1110">
        <f t="shared" si="100"/>
        <v>159200</v>
      </c>
      <c r="AK344" s="982">
        <f>'09월 에너지'!S344</f>
        <v>146.9</v>
      </c>
      <c r="AL344" s="983">
        <f t="shared" si="101"/>
        <v>0.92273869346733672</v>
      </c>
    </row>
    <row r="345" spans="1:38" ht="16.5" customHeight="1">
      <c r="A345" s="999">
        <f>'09월 에너지'!A345</f>
        <v>46277</v>
      </c>
      <c r="B345" s="1002">
        <f>'09월 조업일지'!B343</f>
        <v>46277</v>
      </c>
      <c r="C345" s="1003" t="str">
        <f>'09월 에너지'!C345</f>
        <v>A</v>
      </c>
      <c r="D345" s="1004" t="str">
        <f>'09월 에너지'!D345</f>
        <v>B</v>
      </c>
      <c r="E345" s="1000">
        <f>'09월 에너지'!E345</f>
        <v>85545</v>
      </c>
      <c r="F345" s="1170" t="str">
        <f>'09월 에너지'!F345</f>
        <v>S355JO-01</v>
      </c>
      <c r="G345" s="980">
        <v>0</v>
      </c>
      <c r="H345" s="978">
        <v>0</v>
      </c>
      <c r="I345" s="978">
        <v>8100</v>
      </c>
      <c r="J345" s="978">
        <v>0</v>
      </c>
      <c r="K345" s="978">
        <v>0</v>
      </c>
      <c r="L345" s="978">
        <v>0</v>
      </c>
      <c r="M345" s="978">
        <v>0</v>
      </c>
      <c r="N345" s="978">
        <v>0</v>
      </c>
      <c r="O345" s="1106">
        <f t="shared" si="97"/>
        <v>8100</v>
      </c>
      <c r="P345" s="1108">
        <f>6800+8000+12100+10900+6700+4500+9500</f>
        <v>58500</v>
      </c>
      <c r="Q345" s="979">
        <f>8200+4600</f>
        <v>12800</v>
      </c>
      <c r="R345" s="979">
        <v>9000</v>
      </c>
      <c r="S345" s="979">
        <v>0</v>
      </c>
      <c r="T345" s="979">
        <v>0</v>
      </c>
      <c r="U345" s="979">
        <v>0</v>
      </c>
      <c r="V345" s="979">
        <f>3000+6700+8600</f>
        <v>18300</v>
      </c>
      <c r="W345" s="979">
        <v>1300</v>
      </c>
      <c r="X345" s="979">
        <v>10200</v>
      </c>
      <c r="Y345" s="979">
        <f>2900+1800+1200</f>
        <v>5900</v>
      </c>
      <c r="Z345" s="979">
        <v>0</v>
      </c>
      <c r="AA345" s="979">
        <v>2400</v>
      </c>
      <c r="AB345" s="979">
        <v>1200</v>
      </c>
      <c r="AC345" s="979">
        <v>0</v>
      </c>
      <c r="AD345" s="979">
        <v>4400</v>
      </c>
      <c r="AE345" s="1109">
        <f t="shared" si="98"/>
        <v>124000</v>
      </c>
      <c r="AF345" s="1113">
        <v>5700</v>
      </c>
      <c r="AG345" s="981">
        <f>13600+2400</f>
        <v>16000</v>
      </c>
      <c r="AH345" s="981">
        <v>4200</v>
      </c>
      <c r="AI345" s="1114">
        <f t="shared" si="99"/>
        <v>25900</v>
      </c>
      <c r="AJ345" s="1110">
        <f t="shared" si="100"/>
        <v>158000</v>
      </c>
      <c r="AK345" s="982">
        <f>'09월 에너지'!S345</f>
        <v>143.19999999999999</v>
      </c>
      <c r="AL345" s="983">
        <f t="shared" si="101"/>
        <v>0.90632911392405058</v>
      </c>
    </row>
    <row r="346" spans="1:38" ht="16.5" customHeight="1">
      <c r="A346" s="999">
        <f>'09월 에너지'!A346</f>
        <v>46277</v>
      </c>
      <c r="B346" s="1002">
        <f>'09월 조업일지'!B344</f>
        <v>46277</v>
      </c>
      <c r="C346" s="1003" t="str">
        <f>'09월 에너지'!C346</f>
        <v>A</v>
      </c>
      <c r="D346" s="1004" t="str">
        <f>'09월 에너지'!D346</f>
        <v>A</v>
      </c>
      <c r="E346" s="1000">
        <f>'09월 에너지'!E346</f>
        <v>85546</v>
      </c>
      <c r="F346" s="1094" t="str">
        <f>'09월 에너지'!F346</f>
        <v>S355JO-01</v>
      </c>
      <c r="G346" s="980">
        <v>0</v>
      </c>
      <c r="H346" s="978">
        <v>0</v>
      </c>
      <c r="I346" s="978">
        <v>14000</v>
      </c>
      <c r="J346" s="978">
        <v>0</v>
      </c>
      <c r="K346" s="978">
        <v>0</v>
      </c>
      <c r="L346" s="978">
        <v>0</v>
      </c>
      <c r="M346" s="978">
        <v>0</v>
      </c>
      <c r="N346" s="978">
        <v>0</v>
      </c>
      <c r="O346" s="1106">
        <f t="shared" si="97"/>
        <v>14000</v>
      </c>
      <c r="P346" s="1108">
        <f>5700+5800+10200+7700+6000+6500+6900</f>
        <v>48800</v>
      </c>
      <c r="Q346" s="979">
        <f>11300+9100</f>
        <v>20400</v>
      </c>
      <c r="R346" s="979">
        <v>5900</v>
      </c>
      <c r="S346" s="979">
        <v>0</v>
      </c>
      <c r="T346" s="979">
        <v>0</v>
      </c>
      <c r="U346" s="979">
        <v>0</v>
      </c>
      <c r="V346" s="979">
        <f>4500+200+9400</f>
        <v>14100</v>
      </c>
      <c r="W346" s="979">
        <v>3100</v>
      </c>
      <c r="X346" s="979">
        <v>9500</v>
      </c>
      <c r="Y346" s="979">
        <f>5100+6900+1400</f>
        <v>13400</v>
      </c>
      <c r="Z346" s="979">
        <v>0</v>
      </c>
      <c r="AA346" s="979">
        <v>1600</v>
      </c>
      <c r="AB346" s="979">
        <v>2200</v>
      </c>
      <c r="AC346" s="979">
        <v>0</v>
      </c>
      <c r="AD346" s="979">
        <v>5700</v>
      </c>
      <c r="AE346" s="1109">
        <f t="shared" si="98"/>
        <v>124700</v>
      </c>
      <c r="AF346" s="1113">
        <v>4100</v>
      </c>
      <c r="AG346" s="981">
        <f>10600+900</f>
        <v>11500</v>
      </c>
      <c r="AH346" s="981">
        <v>4000</v>
      </c>
      <c r="AI346" s="1114">
        <f t="shared" si="99"/>
        <v>19600</v>
      </c>
      <c r="AJ346" s="1110">
        <f t="shared" si="100"/>
        <v>158300</v>
      </c>
      <c r="AK346" s="982">
        <f>'09월 에너지'!S346</f>
        <v>144.80000000000001</v>
      </c>
      <c r="AL346" s="983">
        <f t="shared" si="101"/>
        <v>0.91471888818698677</v>
      </c>
    </row>
    <row r="347" spans="1:38" ht="16.5" customHeight="1">
      <c r="A347" s="999">
        <f>'09월 에너지'!A347</f>
        <v>46277</v>
      </c>
      <c r="B347" s="1002">
        <f>'09월 조업일지'!B345</f>
        <v>46277</v>
      </c>
      <c r="C347" s="1003" t="str">
        <f>'09월 에너지'!C347</f>
        <v>A</v>
      </c>
      <c r="D347" s="1004" t="str">
        <f>'09월 에너지'!D347</f>
        <v>B</v>
      </c>
      <c r="E347" s="1000">
        <f>'09월 에너지'!E347</f>
        <v>85547</v>
      </c>
      <c r="F347" s="1094" t="str">
        <f>'09월 에너지'!F347</f>
        <v>S355JO-01</v>
      </c>
      <c r="G347" s="980"/>
      <c r="H347" s="978"/>
      <c r="I347" s="978">
        <v>8200</v>
      </c>
      <c r="J347" s="978"/>
      <c r="K347" s="978"/>
      <c r="L347" s="978"/>
      <c r="M347" s="978"/>
      <c r="N347" s="978"/>
      <c r="O347" s="1106">
        <f t="shared" si="97"/>
        <v>8200</v>
      </c>
      <c r="P347" s="1108">
        <v>56900</v>
      </c>
      <c r="Q347" s="979">
        <f>13800+4500</f>
        <v>18300</v>
      </c>
      <c r="R347" s="979">
        <v>3000</v>
      </c>
      <c r="S347" s="979"/>
      <c r="T347" s="979"/>
      <c r="U347" s="979"/>
      <c r="V347" s="979">
        <f>3000+5400+10100</f>
        <v>18500</v>
      </c>
      <c r="W347" s="979">
        <v>3700</v>
      </c>
      <c r="X347" s="979">
        <v>9900</v>
      </c>
      <c r="Y347" s="979">
        <f>2500+2500+3100</f>
        <v>8100</v>
      </c>
      <c r="Z347" s="979"/>
      <c r="AA347" s="979">
        <v>3800</v>
      </c>
      <c r="AB347" s="979">
        <v>2900</v>
      </c>
      <c r="AC347" s="979"/>
      <c r="AD347" s="979">
        <v>3200</v>
      </c>
      <c r="AE347" s="1109">
        <f t="shared" si="98"/>
        <v>128300</v>
      </c>
      <c r="AF347" s="1113">
        <v>2700</v>
      </c>
      <c r="AG347" s="981">
        <v>13400</v>
      </c>
      <c r="AH347" s="981">
        <v>5700</v>
      </c>
      <c r="AI347" s="1114">
        <f t="shared" si="99"/>
        <v>21800</v>
      </c>
      <c r="AJ347" s="1110">
        <f t="shared" si="100"/>
        <v>158300</v>
      </c>
      <c r="AK347" s="982">
        <f>'09월 에너지'!S347</f>
        <v>144.1</v>
      </c>
      <c r="AL347" s="983">
        <f t="shared" si="101"/>
        <v>0.91029690461149715</v>
      </c>
    </row>
    <row r="348" spans="1:38" ht="16.5" customHeight="1">
      <c r="A348" s="999">
        <f>'09월 에너지'!A348</f>
        <v>46277</v>
      </c>
      <c r="B348" s="1002">
        <f>'09월 조업일지'!B346</f>
        <v>46277</v>
      </c>
      <c r="C348" s="1003" t="str">
        <f>'09월 에너지'!C348</f>
        <v>B</v>
      </c>
      <c r="D348" s="1004" t="str">
        <f>'09월 에너지'!D348</f>
        <v>A</v>
      </c>
      <c r="E348" s="1000">
        <f>'09월 에너지'!E348</f>
        <v>85548</v>
      </c>
      <c r="F348" s="1094" t="str">
        <f>'09월 에너지'!F348</f>
        <v>S355JO-01</v>
      </c>
      <c r="G348" s="980"/>
      <c r="H348" s="978"/>
      <c r="I348" s="978">
        <v>11100</v>
      </c>
      <c r="J348" s="978"/>
      <c r="K348" s="978"/>
      <c r="L348" s="978"/>
      <c r="M348" s="978"/>
      <c r="N348" s="978"/>
      <c r="O348" s="1106">
        <f t="shared" si="97"/>
        <v>11100</v>
      </c>
      <c r="P348" s="1108">
        <v>41500</v>
      </c>
      <c r="Q348" s="979">
        <f>9400+3800+2800+3200</f>
        <v>19200</v>
      </c>
      <c r="R348" s="979">
        <v>8900</v>
      </c>
      <c r="S348" s="979"/>
      <c r="T348" s="979"/>
      <c r="U348" s="979"/>
      <c r="V348" s="979">
        <f>18500+5000-5000</f>
        <v>18500</v>
      </c>
      <c r="W348" s="979">
        <v>3700</v>
      </c>
      <c r="X348" s="979">
        <v>6600</v>
      </c>
      <c r="Y348" s="979">
        <f>1800+11600+4900-6100</f>
        <v>12200</v>
      </c>
      <c r="Z348" s="979"/>
      <c r="AA348" s="979">
        <v>1800</v>
      </c>
      <c r="AB348" s="979">
        <v>1900</v>
      </c>
      <c r="AC348" s="979"/>
      <c r="AD348" s="979">
        <v>5300</v>
      </c>
      <c r="AE348" s="1109">
        <f t="shared" si="98"/>
        <v>119600</v>
      </c>
      <c r="AF348" s="1113">
        <v>3900</v>
      </c>
      <c r="AG348" s="981">
        <v>11900</v>
      </c>
      <c r="AH348" s="981">
        <v>11800</v>
      </c>
      <c r="AI348" s="1114">
        <f t="shared" si="99"/>
        <v>27600</v>
      </c>
      <c r="AJ348" s="1110">
        <f t="shared" si="100"/>
        <v>158300</v>
      </c>
      <c r="AK348" s="982">
        <f>'09월 에너지'!S348</f>
        <v>147.19999999999999</v>
      </c>
      <c r="AL348" s="983">
        <f t="shared" si="101"/>
        <v>0.9298799747315224</v>
      </c>
    </row>
    <row r="349" spans="1:38" ht="16.5" customHeight="1">
      <c r="A349" s="999">
        <f>'09월 에너지'!A349</f>
        <v>46277</v>
      </c>
      <c r="B349" s="1002">
        <f>'09월 조업일지'!B347</f>
        <v>46277</v>
      </c>
      <c r="C349" s="1003" t="str">
        <f>'09월 에너지'!C349</f>
        <v>B</v>
      </c>
      <c r="D349" s="1004" t="str">
        <f>'09월 에너지'!D349</f>
        <v>B</v>
      </c>
      <c r="E349" s="1000">
        <f>'09월 에너지'!E349</f>
        <v>85549</v>
      </c>
      <c r="F349" s="1094" t="str">
        <f>'09월 에너지'!F349</f>
        <v>S355JO-01</v>
      </c>
      <c r="G349" s="980"/>
      <c r="H349" s="978"/>
      <c r="I349" s="978">
        <v>7500</v>
      </c>
      <c r="J349" s="978"/>
      <c r="K349" s="978"/>
      <c r="L349" s="978"/>
      <c r="M349" s="978"/>
      <c r="N349" s="978"/>
      <c r="O349" s="1106">
        <f t="shared" si="97"/>
        <v>7500</v>
      </c>
      <c r="P349" s="1108">
        <f>8400+11800+6800+7400+8900+5900</f>
        <v>49200</v>
      </c>
      <c r="Q349" s="979">
        <f>10200+5700+1500</f>
        <v>17400</v>
      </c>
      <c r="R349" s="979">
        <v>7100</v>
      </c>
      <c r="S349" s="979"/>
      <c r="T349" s="979"/>
      <c r="U349" s="979"/>
      <c r="V349" s="979">
        <f>4900+2800+9700</f>
        <v>17400</v>
      </c>
      <c r="W349" s="979">
        <v>3800</v>
      </c>
      <c r="X349" s="979">
        <v>7500</v>
      </c>
      <c r="Y349" s="979">
        <f>1500+15800+3700</f>
        <v>21000</v>
      </c>
      <c r="Z349" s="979"/>
      <c r="AA349" s="979">
        <v>1800</v>
      </c>
      <c r="AB349" s="979">
        <v>3100</v>
      </c>
      <c r="AC349" s="979"/>
      <c r="AD349" s="979">
        <v>4000</v>
      </c>
      <c r="AE349" s="1109">
        <f t="shared" si="98"/>
        <v>132300</v>
      </c>
      <c r="AF349" s="1113">
        <v>4700</v>
      </c>
      <c r="AG349" s="981">
        <v>9500</v>
      </c>
      <c r="AH349" s="981">
        <v>4300</v>
      </c>
      <c r="AI349" s="1114">
        <f t="shared" si="99"/>
        <v>18500</v>
      </c>
      <c r="AJ349" s="1110">
        <f t="shared" si="100"/>
        <v>158300</v>
      </c>
      <c r="AK349" s="982">
        <f>'09월 에너지'!S349</f>
        <v>142.1</v>
      </c>
      <c r="AL349" s="983">
        <f t="shared" si="101"/>
        <v>0.89766266582438403</v>
      </c>
    </row>
    <row r="350" spans="1:38" ht="16.5" customHeight="1">
      <c r="A350" s="999">
        <f>'09월 에너지'!A350</f>
        <v>46277</v>
      </c>
      <c r="B350" s="1002">
        <f>'09월 조업일지'!B348</f>
        <v>46277</v>
      </c>
      <c r="C350" s="1003" t="str">
        <f>'09월 에너지'!C350</f>
        <v>B</v>
      </c>
      <c r="D350" s="1004" t="str">
        <f>'09월 에너지'!D350</f>
        <v>A</v>
      </c>
      <c r="E350" s="1000">
        <f>'09월 에너지'!E350</f>
        <v>85550</v>
      </c>
      <c r="F350" s="1094" t="str">
        <f>'09월 에너지'!F350</f>
        <v>S355JO-01</v>
      </c>
      <c r="G350" s="980"/>
      <c r="H350" s="978"/>
      <c r="I350" s="978">
        <v>8000</v>
      </c>
      <c r="J350" s="978"/>
      <c r="K350" s="978"/>
      <c r="L350" s="978"/>
      <c r="M350" s="978"/>
      <c r="N350" s="978"/>
      <c r="O350" s="1106">
        <f t="shared" si="97"/>
        <v>8000</v>
      </c>
      <c r="P350" s="1108">
        <f>6300+11100+7600+16400+5400+100+3200</f>
        <v>50100</v>
      </c>
      <c r="Q350" s="979">
        <f>14900+8500</f>
        <v>23400</v>
      </c>
      <c r="R350" s="979">
        <v>4200</v>
      </c>
      <c r="S350" s="979"/>
      <c r="T350" s="979"/>
      <c r="U350" s="979"/>
      <c r="V350" s="979">
        <f>4700+17800+10500</f>
        <v>33000</v>
      </c>
      <c r="W350" s="979">
        <v>2300</v>
      </c>
      <c r="X350" s="979">
        <v>10300</v>
      </c>
      <c r="Y350" s="979">
        <f>1200+100</f>
        <v>1300</v>
      </c>
      <c r="Z350" s="979"/>
      <c r="AA350" s="979">
        <v>3600</v>
      </c>
      <c r="AB350" s="979">
        <v>4000</v>
      </c>
      <c r="AC350" s="979"/>
      <c r="AD350" s="979">
        <v>4800</v>
      </c>
      <c r="AE350" s="1109">
        <f t="shared" si="98"/>
        <v>137000</v>
      </c>
      <c r="AF350" s="1113">
        <v>4700</v>
      </c>
      <c r="AG350" s="981">
        <v>5200</v>
      </c>
      <c r="AH350" s="981">
        <v>3200</v>
      </c>
      <c r="AI350" s="1114">
        <f t="shared" si="99"/>
        <v>13100</v>
      </c>
      <c r="AJ350" s="1110">
        <f t="shared" si="100"/>
        <v>158100</v>
      </c>
      <c r="AK350" s="982">
        <f>'09월 에너지'!S350</f>
        <v>148.4</v>
      </c>
      <c r="AL350" s="983">
        <f t="shared" si="101"/>
        <v>0.93864642631246042</v>
      </c>
    </row>
    <row r="351" spans="1:38" ht="16.5" customHeight="1">
      <c r="A351" s="999">
        <f>'09월 에너지'!A351</f>
        <v>46277</v>
      </c>
      <c r="B351" s="1002">
        <f>'09월 조업일지'!B349</f>
        <v>46277</v>
      </c>
      <c r="C351" s="1003" t="str">
        <f>'09월 에너지'!C351</f>
        <v>B</v>
      </c>
      <c r="D351" s="1004" t="str">
        <f>'09월 에너지'!D351</f>
        <v>B</v>
      </c>
      <c r="E351" s="1000">
        <f>'09월 에너지'!E351</f>
        <v>85551</v>
      </c>
      <c r="F351" s="1094" t="str">
        <f>'09월 에너지'!F351</f>
        <v>S355JO-01</v>
      </c>
      <c r="G351" s="980"/>
      <c r="H351" s="978"/>
      <c r="I351" s="978">
        <v>2100</v>
      </c>
      <c r="J351" s="978"/>
      <c r="K351" s="978"/>
      <c r="L351" s="978"/>
      <c r="M351" s="978"/>
      <c r="N351" s="978"/>
      <c r="O351" s="1106">
        <f t="shared" si="97"/>
        <v>2100</v>
      </c>
      <c r="P351" s="1108">
        <f>10300+8100+11000+15100+7500+6600+2900</f>
        <v>61500</v>
      </c>
      <c r="Q351" s="979">
        <f>18700+4700</f>
        <v>23400</v>
      </c>
      <c r="R351" s="979">
        <v>3500</v>
      </c>
      <c r="S351" s="979"/>
      <c r="T351" s="979"/>
      <c r="U351" s="979"/>
      <c r="V351" s="979">
        <f>2800+10800+10000</f>
        <v>23600</v>
      </c>
      <c r="W351" s="979">
        <v>3300</v>
      </c>
      <c r="X351" s="979">
        <v>7500</v>
      </c>
      <c r="Y351" s="979">
        <f>3500+2500+700</f>
        <v>6700</v>
      </c>
      <c r="Z351" s="979"/>
      <c r="AA351" s="979">
        <v>2500</v>
      </c>
      <c r="AB351" s="979">
        <v>3300</v>
      </c>
      <c r="AC351" s="979"/>
      <c r="AD351" s="979">
        <v>2300</v>
      </c>
      <c r="AE351" s="1109">
        <f t="shared" si="98"/>
        <v>137600</v>
      </c>
      <c r="AF351" s="1113">
        <v>4800</v>
      </c>
      <c r="AG351" s="981">
        <v>10100</v>
      </c>
      <c r="AH351" s="981">
        <v>3700</v>
      </c>
      <c r="AI351" s="1114">
        <f t="shared" si="99"/>
        <v>18600</v>
      </c>
      <c r="AJ351" s="1110">
        <f t="shared" si="100"/>
        <v>158300</v>
      </c>
      <c r="AK351" s="982">
        <f>'09월 에너지'!S351</f>
        <v>143.80000000000001</v>
      </c>
      <c r="AL351" s="983">
        <f t="shared" si="101"/>
        <v>0.90840176879343015</v>
      </c>
    </row>
    <row r="352" spans="1:38" ht="16.5" customHeight="1">
      <c r="A352" s="999">
        <f>'09월 에너지'!A352</f>
        <v>46277</v>
      </c>
      <c r="B352" s="1002">
        <f>'09월 조업일지'!B350</f>
        <v>46277</v>
      </c>
      <c r="C352" s="1003" t="str">
        <f>'09월 에너지'!C352</f>
        <v>B</v>
      </c>
      <c r="D352" s="1004" t="str">
        <f>'09월 에너지'!D352</f>
        <v>A</v>
      </c>
      <c r="E352" s="1000">
        <f>'09월 에너지'!E352</f>
        <v>85552</v>
      </c>
      <c r="F352" s="1094" t="str">
        <f>'09월 에너지'!F352</f>
        <v>S355JO-01</v>
      </c>
      <c r="G352" s="980"/>
      <c r="H352" s="978"/>
      <c r="I352" s="978">
        <v>8400</v>
      </c>
      <c r="J352" s="978"/>
      <c r="K352" s="978"/>
      <c r="L352" s="978"/>
      <c r="M352" s="978"/>
      <c r="N352" s="978"/>
      <c r="O352" s="1106">
        <f t="shared" si="97"/>
        <v>8400</v>
      </c>
      <c r="P352" s="1108">
        <f>11100+9300+9700+6300+10100+11300+4100</f>
        <v>61900</v>
      </c>
      <c r="Q352" s="979">
        <f>12600+7700</f>
        <v>20300</v>
      </c>
      <c r="R352" s="979">
        <v>3900</v>
      </c>
      <c r="S352" s="979"/>
      <c r="T352" s="979"/>
      <c r="U352" s="979"/>
      <c r="V352" s="979">
        <f>8200+9100</f>
        <v>17300</v>
      </c>
      <c r="W352" s="979">
        <v>2300</v>
      </c>
      <c r="X352" s="979">
        <v>9700</v>
      </c>
      <c r="Y352" s="979">
        <f>7100+1700</f>
        <v>8800</v>
      </c>
      <c r="Z352" s="979"/>
      <c r="AA352" s="979">
        <v>4100</v>
      </c>
      <c r="AB352" s="979">
        <v>900</v>
      </c>
      <c r="AC352" s="979"/>
      <c r="AD352" s="979"/>
      <c r="AE352" s="1109">
        <f t="shared" si="98"/>
        <v>129200</v>
      </c>
      <c r="AF352" s="1113">
        <v>5300</v>
      </c>
      <c r="AG352" s="981">
        <v>11400</v>
      </c>
      <c r="AH352" s="981">
        <v>4000</v>
      </c>
      <c r="AI352" s="1114">
        <f t="shared" si="99"/>
        <v>20700</v>
      </c>
      <c r="AJ352" s="1110">
        <f t="shared" si="100"/>
        <v>158300</v>
      </c>
      <c r="AK352" s="982">
        <f>'09월 에너지'!S352</f>
        <v>147.69999999999999</v>
      </c>
      <c r="AL352" s="983">
        <f t="shared" si="101"/>
        <v>0.93303853442830065</v>
      </c>
    </row>
    <row r="353" spans="1:38" ht="16.5" customHeight="1">
      <c r="A353" s="999">
        <f>'09월 에너지'!A353</f>
        <v>46277</v>
      </c>
      <c r="B353" s="1002">
        <f>'09월 조업일지'!B351</f>
        <v>46277</v>
      </c>
      <c r="C353" s="1003" t="str">
        <f>'09월 에너지'!C353</f>
        <v>B</v>
      </c>
      <c r="D353" s="1004" t="str">
        <f>'09월 에너지'!D353</f>
        <v>B</v>
      </c>
      <c r="E353" s="1000">
        <f>'09월 에너지'!E353</f>
        <v>85553</v>
      </c>
      <c r="F353" s="1094" t="str">
        <f>'09월 에너지'!F353</f>
        <v>S355JO-01</v>
      </c>
      <c r="G353" s="980"/>
      <c r="H353" s="978"/>
      <c r="I353" s="978">
        <v>7100</v>
      </c>
      <c r="J353" s="978"/>
      <c r="K353" s="978"/>
      <c r="L353" s="978"/>
      <c r="M353" s="978"/>
      <c r="N353" s="978"/>
      <c r="O353" s="1106">
        <f t="shared" si="97"/>
        <v>7100</v>
      </c>
      <c r="P353" s="1108">
        <f>11000+13100+14200+9100+1800+3500+8400</f>
        <v>61100</v>
      </c>
      <c r="Q353" s="979">
        <f>9500+3600</f>
        <v>13100</v>
      </c>
      <c r="R353" s="979">
        <v>3000</v>
      </c>
      <c r="S353" s="979"/>
      <c r="T353" s="979"/>
      <c r="U353" s="979"/>
      <c r="V353" s="979">
        <f>2700+9900+10400</f>
        <v>23000</v>
      </c>
      <c r="W353" s="979">
        <v>2200</v>
      </c>
      <c r="X353" s="979">
        <v>7700</v>
      </c>
      <c r="Y353" s="979">
        <f>5800+1300</f>
        <v>7100</v>
      </c>
      <c r="Z353" s="979"/>
      <c r="AA353" s="979">
        <v>1800</v>
      </c>
      <c r="AB353" s="979">
        <v>5300</v>
      </c>
      <c r="AC353" s="979"/>
      <c r="AD353" s="979">
        <v>1200</v>
      </c>
      <c r="AE353" s="1109">
        <f t="shared" si="98"/>
        <v>125500</v>
      </c>
      <c r="AF353" s="1113">
        <v>3800</v>
      </c>
      <c r="AG353" s="981">
        <f>12300+5200</f>
        <v>17500</v>
      </c>
      <c r="AH353" s="981">
        <v>4400</v>
      </c>
      <c r="AI353" s="1114">
        <f t="shared" si="99"/>
        <v>25700</v>
      </c>
      <c r="AJ353" s="1110">
        <f t="shared" si="100"/>
        <v>158300</v>
      </c>
      <c r="AK353" s="982">
        <f>'09월 에너지'!S353</f>
        <v>144.6</v>
      </c>
      <c r="AL353" s="983">
        <f t="shared" si="101"/>
        <v>0.9134554643082754</v>
      </c>
    </row>
    <row r="354" spans="1:38" ht="16.5" customHeight="1">
      <c r="A354" s="999">
        <f>'09월 에너지'!A354</f>
        <v>46278</v>
      </c>
      <c r="B354" s="1002">
        <f>'09월 조업일지'!B352</f>
        <v>46277</v>
      </c>
      <c r="C354" s="1003" t="str">
        <f>'09월 에너지'!C354</f>
        <v>B</v>
      </c>
      <c r="D354" s="1004" t="str">
        <f>'09월 에너지'!D354</f>
        <v>A</v>
      </c>
      <c r="E354" s="1000">
        <f>'09월 에너지'!E354</f>
        <v>85554</v>
      </c>
      <c r="F354" s="1094" t="str">
        <f>'09월 에너지'!F354</f>
        <v>S355JO-01</v>
      </c>
      <c r="G354" s="980"/>
      <c r="H354" s="978"/>
      <c r="I354" s="978">
        <v>7100</v>
      </c>
      <c r="J354" s="978"/>
      <c r="K354" s="978"/>
      <c r="L354" s="978"/>
      <c r="M354" s="978"/>
      <c r="N354" s="978"/>
      <c r="O354" s="1106">
        <f t="shared" si="97"/>
        <v>7100</v>
      </c>
      <c r="P354" s="1108">
        <f>8900+3900+9100+6900+2200+8700+5600+2000</f>
        <v>47300</v>
      </c>
      <c r="Q354" s="979">
        <f>12600+8000</f>
        <v>20600</v>
      </c>
      <c r="R354" s="979">
        <v>9700</v>
      </c>
      <c r="S354" s="979"/>
      <c r="T354" s="979"/>
      <c r="U354" s="979"/>
      <c r="V354" s="979">
        <f>6500+7500+10300</f>
        <v>24300</v>
      </c>
      <c r="W354" s="979">
        <v>1600</v>
      </c>
      <c r="X354" s="979">
        <v>9700</v>
      </c>
      <c r="Y354" s="979">
        <f>2000+900+1300</f>
        <v>4200</v>
      </c>
      <c r="Z354" s="979"/>
      <c r="AA354" s="979">
        <v>4100</v>
      </c>
      <c r="AB354" s="979">
        <v>2500</v>
      </c>
      <c r="AC354" s="979"/>
      <c r="AD354" s="979">
        <v>13500</v>
      </c>
      <c r="AE354" s="1109">
        <f t="shared" si="98"/>
        <v>137500</v>
      </c>
      <c r="AF354" s="1113">
        <v>4300</v>
      </c>
      <c r="AG354" s="981">
        <v>4500</v>
      </c>
      <c r="AH354" s="981">
        <v>5300</v>
      </c>
      <c r="AI354" s="1114">
        <f t="shared" si="99"/>
        <v>14100</v>
      </c>
      <c r="AJ354" s="1110">
        <f t="shared" si="100"/>
        <v>158700</v>
      </c>
      <c r="AK354" s="982">
        <f>'09월 에너지'!S354</f>
        <v>143.9</v>
      </c>
      <c r="AL354" s="983">
        <f t="shared" si="101"/>
        <v>0.90674228103339638</v>
      </c>
    </row>
    <row r="355" spans="1:38" ht="16.5" customHeight="1">
      <c r="A355" s="999">
        <f>'09월 에너지'!A355</f>
        <v>46278</v>
      </c>
      <c r="B355" s="1002">
        <f>'09월 조업일지'!B353</f>
        <v>46277</v>
      </c>
      <c r="C355" s="1003" t="str">
        <f>'09월 에너지'!C355</f>
        <v>B</v>
      </c>
      <c r="D355" s="1004" t="str">
        <f>'09월 에너지'!D355</f>
        <v>B</v>
      </c>
      <c r="E355" s="1000">
        <f>'09월 에너지'!E355</f>
        <v>85555</v>
      </c>
      <c r="F355" s="1094" t="str">
        <f>'09월 에너지'!F355</f>
        <v>S355JO-01</v>
      </c>
      <c r="G355" s="980"/>
      <c r="H355" s="978"/>
      <c r="I355" s="978">
        <v>6800</v>
      </c>
      <c r="J355" s="978"/>
      <c r="K355" s="978"/>
      <c r="L355" s="978"/>
      <c r="M355" s="978"/>
      <c r="N355" s="978"/>
      <c r="O355" s="1106">
        <f t="shared" si="97"/>
        <v>6800</v>
      </c>
      <c r="P355" s="1237">
        <f>5200+11100+7900+13700+6500+1900+9600</f>
        <v>55900</v>
      </c>
      <c r="Q355" s="979">
        <f>16400+5600</f>
        <v>22000</v>
      </c>
      <c r="R355" s="979">
        <v>2600</v>
      </c>
      <c r="S355" s="979"/>
      <c r="T355" s="979"/>
      <c r="U355" s="979"/>
      <c r="V355" s="979">
        <f>1600+2400+8500</f>
        <v>12500</v>
      </c>
      <c r="W355" s="979"/>
      <c r="X355" s="979">
        <v>11800</v>
      </c>
      <c r="Y355" s="979">
        <f>5400+3300</f>
        <v>8700</v>
      </c>
      <c r="Z355" s="979"/>
      <c r="AA355" s="979">
        <v>2600</v>
      </c>
      <c r="AB355" s="979">
        <v>3000</v>
      </c>
      <c r="AC355" s="979"/>
      <c r="AD355" s="979">
        <v>7200</v>
      </c>
      <c r="AE355" s="1109">
        <f t="shared" si="98"/>
        <v>126300</v>
      </c>
      <c r="AF355" s="1113">
        <v>3300</v>
      </c>
      <c r="AG355" s="981">
        <f>11600+5100</f>
        <v>16700</v>
      </c>
      <c r="AH355" s="981">
        <v>5500</v>
      </c>
      <c r="AI355" s="1114">
        <f t="shared" si="99"/>
        <v>25500</v>
      </c>
      <c r="AJ355" s="1110">
        <f t="shared" si="100"/>
        <v>158600</v>
      </c>
      <c r="AK355" s="982">
        <f>'09월 에너지'!S355</f>
        <v>144.6</v>
      </c>
      <c r="AL355" s="983">
        <f t="shared" si="101"/>
        <v>0.91172761664564939</v>
      </c>
    </row>
    <row r="356" spans="1:38" ht="16.5" customHeight="1">
      <c r="A356" s="999">
        <f>'09월 에너지'!A356</f>
        <v>46278</v>
      </c>
      <c r="B356" s="1002">
        <f>'09월 조업일지'!B354</f>
        <v>46277</v>
      </c>
      <c r="C356" s="1003" t="str">
        <f>'09월 에너지'!C356</f>
        <v>B</v>
      </c>
      <c r="D356" s="1004" t="str">
        <f>'09월 에너지'!D356</f>
        <v>A</v>
      </c>
      <c r="E356" s="1000">
        <f>'09월 에너지'!E356</f>
        <v>85556</v>
      </c>
      <c r="F356" s="1094" t="str">
        <f>'09월 에너지'!F356</f>
        <v>S355JO-01</v>
      </c>
      <c r="G356" s="980"/>
      <c r="H356" s="978"/>
      <c r="I356" s="978">
        <v>10800</v>
      </c>
      <c r="J356" s="978"/>
      <c r="K356" s="978"/>
      <c r="L356" s="978"/>
      <c r="M356" s="978"/>
      <c r="N356" s="978"/>
      <c r="O356" s="1106">
        <f t="shared" si="97"/>
        <v>10800</v>
      </c>
      <c r="P356" s="1108">
        <f>13500+9100+4500+11300+7000+2700</f>
        <v>48100</v>
      </c>
      <c r="Q356" s="979">
        <f>16100+8100</f>
        <v>24200</v>
      </c>
      <c r="R356" s="979">
        <v>3200</v>
      </c>
      <c r="S356" s="979"/>
      <c r="T356" s="979"/>
      <c r="U356" s="979"/>
      <c r="V356" s="979">
        <f>4400+17100+9700</f>
        <v>31200</v>
      </c>
      <c r="W356" s="979">
        <v>2800</v>
      </c>
      <c r="X356" s="979">
        <v>8700</v>
      </c>
      <c r="Y356" s="979">
        <f>7300+1000</f>
        <v>8300</v>
      </c>
      <c r="Z356" s="979"/>
      <c r="AA356" s="979">
        <v>3300</v>
      </c>
      <c r="AB356" s="979">
        <v>2100</v>
      </c>
      <c r="AC356" s="979"/>
      <c r="AD356" s="979">
        <v>3400</v>
      </c>
      <c r="AE356" s="1109">
        <f t="shared" si="98"/>
        <v>135300</v>
      </c>
      <c r="AF356" s="1113">
        <v>5000</v>
      </c>
      <c r="AG356" s="981">
        <f>2400+2000</f>
        <v>4400</v>
      </c>
      <c r="AH356" s="981">
        <v>3400</v>
      </c>
      <c r="AI356" s="1114">
        <f t="shared" si="99"/>
        <v>12800</v>
      </c>
      <c r="AJ356" s="1110">
        <f t="shared" si="100"/>
        <v>158900</v>
      </c>
      <c r="AK356" s="982">
        <f>'09월 에너지'!S356</f>
        <v>145</v>
      </c>
      <c r="AL356" s="983">
        <f t="shared" si="101"/>
        <v>0.91252359974826935</v>
      </c>
    </row>
    <row r="357" spans="1:38" ht="16.5" customHeight="1">
      <c r="A357" s="999">
        <f>'09월 에너지'!A357</f>
        <v>46278</v>
      </c>
      <c r="B357" s="1002">
        <f>'09월 조업일지'!B355</f>
        <v>46277</v>
      </c>
      <c r="C357" s="1003" t="str">
        <f>'09월 에너지'!C357</f>
        <v>B</v>
      </c>
      <c r="D357" s="1004" t="str">
        <f>'09월 에너지'!D357</f>
        <v>B</v>
      </c>
      <c r="E357" s="1000">
        <f>'09월 에너지'!E357</f>
        <v>85557</v>
      </c>
      <c r="F357" s="1094" t="str">
        <f>'09월 에너지'!F357</f>
        <v>S355JO-01</v>
      </c>
      <c r="G357" s="980"/>
      <c r="H357" s="978"/>
      <c r="I357" s="978">
        <v>3500</v>
      </c>
      <c r="J357" s="978"/>
      <c r="K357" s="978"/>
      <c r="L357" s="978"/>
      <c r="M357" s="978"/>
      <c r="N357" s="978"/>
      <c r="O357" s="1106">
        <f t="shared" si="97"/>
        <v>3500</v>
      </c>
      <c r="P357" s="1108">
        <f>12800+7500+10100+12200+5800+2900+7000</f>
        <v>58300</v>
      </c>
      <c r="Q357" s="979">
        <f>11400+8400</f>
        <v>19800</v>
      </c>
      <c r="R357" s="979">
        <v>3900</v>
      </c>
      <c r="S357" s="979"/>
      <c r="T357" s="979"/>
      <c r="U357" s="979"/>
      <c r="V357" s="979">
        <f>2500+1800+10100</f>
        <v>14400</v>
      </c>
      <c r="W357" s="979">
        <v>2600</v>
      </c>
      <c r="X357" s="979">
        <v>10100</v>
      </c>
      <c r="Y357" s="979">
        <f>3900+3100+1300</f>
        <v>8300</v>
      </c>
      <c r="Z357" s="979"/>
      <c r="AA357" s="979">
        <v>2700</v>
      </c>
      <c r="AB357" s="979">
        <v>3200</v>
      </c>
      <c r="AC357" s="979"/>
      <c r="AD357" s="979">
        <v>4900</v>
      </c>
      <c r="AE357" s="1109">
        <f t="shared" si="98"/>
        <v>128200</v>
      </c>
      <c r="AF357" s="1113">
        <v>4300</v>
      </c>
      <c r="AG357" s="981">
        <f>6700+13400</f>
        <v>20100</v>
      </c>
      <c r="AH357" s="981">
        <v>3000</v>
      </c>
      <c r="AI357" s="1114">
        <f t="shared" si="99"/>
        <v>27400</v>
      </c>
      <c r="AJ357" s="1110">
        <f t="shared" si="100"/>
        <v>159100</v>
      </c>
      <c r="AK357" s="982">
        <f>'09월 에너지'!S357</f>
        <v>146.30000000000001</v>
      </c>
      <c r="AL357" s="983">
        <f t="shared" si="101"/>
        <v>0.91954745443117536</v>
      </c>
    </row>
    <row r="358" spans="1:38" ht="16.5" customHeight="1">
      <c r="A358" s="999">
        <f>'09월 에너지'!A358</f>
        <v>46278</v>
      </c>
      <c r="B358" s="1002">
        <f>'09월 조업일지'!B356</f>
        <v>46278</v>
      </c>
      <c r="C358" s="1003" t="str">
        <f>'09월 에너지'!C358</f>
        <v>D</v>
      </c>
      <c r="D358" s="1004" t="str">
        <f>'09월 에너지'!D358</f>
        <v>A</v>
      </c>
      <c r="E358" s="1000">
        <f>'09월 에너지'!E358</f>
        <v>85558</v>
      </c>
      <c r="F358" s="1239" t="str">
        <f>'09월 에너지'!F358</f>
        <v>A572-50-03</v>
      </c>
      <c r="G358" s="980"/>
      <c r="H358" s="978"/>
      <c r="I358" s="978"/>
      <c r="J358" s="978"/>
      <c r="K358" s="978"/>
      <c r="L358" s="978"/>
      <c r="M358" s="978"/>
      <c r="N358" s="978"/>
      <c r="O358" s="1106" t="str">
        <f t="shared" si="97"/>
        <v/>
      </c>
      <c r="P358" s="1108">
        <f>8000+2100+7700+5400+6500+2300+9800</f>
        <v>41800</v>
      </c>
      <c r="Q358" s="979">
        <f>17800+3200</f>
        <v>21000</v>
      </c>
      <c r="R358" s="979">
        <v>0</v>
      </c>
      <c r="S358" s="979"/>
      <c r="T358" s="979">
        <v>3200</v>
      </c>
      <c r="U358" s="979">
        <f>5100+2000</f>
        <v>7100</v>
      </c>
      <c r="V358" s="979">
        <f>9000+7400</f>
        <v>16400</v>
      </c>
      <c r="W358" s="979">
        <v>3000</v>
      </c>
      <c r="X358" s="979">
        <v>8000</v>
      </c>
      <c r="Y358" s="979">
        <f>10800+4300+4700</f>
        <v>19800</v>
      </c>
      <c r="Z358" s="979"/>
      <c r="AA358" s="979">
        <v>3500</v>
      </c>
      <c r="AB358" s="979">
        <v>4000</v>
      </c>
      <c r="AC358" s="979"/>
      <c r="AD358" s="979">
        <v>5000</v>
      </c>
      <c r="AE358" s="1109">
        <f t="shared" si="98"/>
        <v>132800</v>
      </c>
      <c r="AF358" s="1113">
        <v>3700</v>
      </c>
      <c r="AG358" s="981">
        <v>11500</v>
      </c>
      <c r="AH358" s="981">
        <v>10500</v>
      </c>
      <c r="AI358" s="1114">
        <f t="shared" si="99"/>
        <v>25700</v>
      </c>
      <c r="AJ358" s="1110">
        <f t="shared" si="100"/>
        <v>158500</v>
      </c>
      <c r="AK358" s="982">
        <f>'09월 에너지'!S358</f>
        <v>144.5</v>
      </c>
      <c r="AL358" s="983">
        <f t="shared" si="101"/>
        <v>0.91167192429022081</v>
      </c>
    </row>
    <row r="359" spans="1:38" ht="16.5" customHeight="1">
      <c r="A359" s="999">
        <f>'09월 에너지'!A359</f>
        <v>46278</v>
      </c>
      <c r="B359" s="1002">
        <f>'09월 조업일지'!B357</f>
        <v>46278</v>
      </c>
      <c r="C359" s="1003" t="str">
        <f>'09월 에너지'!C359</f>
        <v>D</v>
      </c>
      <c r="D359" s="1004" t="str">
        <f>'09월 에너지'!D359</f>
        <v>B</v>
      </c>
      <c r="E359" s="1000">
        <f>'09월 에너지'!E359</f>
        <v>85559</v>
      </c>
      <c r="F359" s="1094" t="str">
        <f>'09월 에너지'!F359</f>
        <v>A572-50-03</v>
      </c>
      <c r="G359" s="980"/>
      <c r="H359" s="978"/>
      <c r="I359" s="978"/>
      <c r="J359" s="978"/>
      <c r="K359" s="978"/>
      <c r="L359" s="978"/>
      <c r="M359" s="978"/>
      <c r="N359" s="978"/>
      <c r="O359" s="1106" t="str">
        <f t="shared" si="97"/>
        <v/>
      </c>
      <c r="P359" s="1108">
        <f>2000+10900+6700+5300+5800+3600+8700</f>
        <v>43000</v>
      </c>
      <c r="Q359" s="979">
        <f>20200+4900</f>
        <v>25100</v>
      </c>
      <c r="R359" s="979">
        <v>2500</v>
      </c>
      <c r="S359" s="979"/>
      <c r="T359" s="979">
        <v>3400</v>
      </c>
      <c r="U359" s="979">
        <f>9000+5200</f>
        <v>14200</v>
      </c>
      <c r="V359" s="979">
        <f>4800+4400</f>
        <v>9200</v>
      </c>
      <c r="W359" s="979">
        <v>1500</v>
      </c>
      <c r="X359" s="979">
        <v>10300</v>
      </c>
      <c r="Y359" s="979">
        <f>2700+13500+3600</f>
        <v>19800</v>
      </c>
      <c r="Z359" s="979"/>
      <c r="AA359" s="979">
        <v>2200</v>
      </c>
      <c r="AB359" s="979">
        <v>4200</v>
      </c>
      <c r="AC359" s="979"/>
      <c r="AD359" s="979">
        <v>7600</v>
      </c>
      <c r="AE359" s="1109">
        <f t="shared" si="98"/>
        <v>143000</v>
      </c>
      <c r="AF359" s="1113">
        <v>3500</v>
      </c>
      <c r="AG359" s="981">
        <v>9700</v>
      </c>
      <c r="AH359" s="981">
        <v>2600</v>
      </c>
      <c r="AI359" s="1114">
        <f t="shared" si="99"/>
        <v>15800</v>
      </c>
      <c r="AJ359" s="1110">
        <f t="shared" si="100"/>
        <v>158800</v>
      </c>
      <c r="AK359" s="982">
        <f>'09월 에너지'!S359</f>
        <v>144.19999999999999</v>
      </c>
      <c r="AL359" s="983">
        <f t="shared" si="101"/>
        <v>0.90806045340050379</v>
      </c>
    </row>
    <row r="360" spans="1:38" ht="16.5" customHeight="1">
      <c r="A360" s="999">
        <f>'09월 에너지'!A360</f>
        <v>46278</v>
      </c>
      <c r="B360" s="1002">
        <f>'09월 조업일지'!B358</f>
        <v>46278</v>
      </c>
      <c r="C360" s="1003" t="str">
        <f>'09월 에너지'!C360</f>
        <v>D</v>
      </c>
      <c r="D360" s="1004" t="str">
        <f>'09월 에너지'!D360</f>
        <v>A</v>
      </c>
      <c r="E360" s="1000">
        <f>'09월 에너지'!E360</f>
        <v>85560</v>
      </c>
      <c r="F360" s="1094" t="str">
        <f>'09월 에너지'!F360</f>
        <v>A572-50-03</v>
      </c>
      <c r="G360" s="980"/>
      <c r="H360" s="978"/>
      <c r="I360" s="978"/>
      <c r="J360" s="978"/>
      <c r="K360" s="978"/>
      <c r="L360" s="978"/>
      <c r="M360" s="978"/>
      <c r="N360" s="978"/>
      <c r="O360" s="1106" t="str">
        <f t="shared" si="97"/>
        <v/>
      </c>
      <c r="P360" s="1108">
        <f>8000+8200+7300+8200+2200+10400+2600</f>
        <v>46900</v>
      </c>
      <c r="Q360" s="979">
        <f>6300+5800</f>
        <v>12100</v>
      </c>
      <c r="R360" s="979">
        <v>12400</v>
      </c>
      <c r="S360" s="979"/>
      <c r="T360" s="979">
        <v>7900</v>
      </c>
      <c r="U360" s="979">
        <f>2000+7200</f>
        <v>9200</v>
      </c>
      <c r="V360" s="979">
        <f>5100+4500</f>
        <v>9600</v>
      </c>
      <c r="W360" s="979">
        <v>2200</v>
      </c>
      <c r="X360" s="979">
        <v>9000</v>
      </c>
      <c r="Y360" s="979">
        <f>2600+10100+1500</f>
        <v>14200</v>
      </c>
      <c r="Z360" s="979"/>
      <c r="AA360" s="979">
        <v>8300</v>
      </c>
      <c r="AB360" s="979">
        <v>1500</v>
      </c>
      <c r="AC360" s="979"/>
      <c r="AD360" s="979">
        <v>2300</v>
      </c>
      <c r="AE360" s="1109">
        <f t="shared" si="98"/>
        <v>135600</v>
      </c>
      <c r="AF360" s="1113">
        <v>3100</v>
      </c>
      <c r="AG360" s="981">
        <v>12900</v>
      </c>
      <c r="AH360" s="981">
        <v>7700</v>
      </c>
      <c r="AI360" s="1114">
        <f t="shared" si="99"/>
        <v>23700</v>
      </c>
      <c r="AJ360" s="1110">
        <f t="shared" si="100"/>
        <v>159300</v>
      </c>
      <c r="AK360" s="982">
        <f>'09월 에너지'!S360</f>
        <v>143.6</v>
      </c>
      <c r="AL360" s="983">
        <f t="shared" si="101"/>
        <v>0.90144381669805396</v>
      </c>
    </row>
    <row r="361" spans="1:38" ht="16.5" customHeight="1">
      <c r="A361" s="999">
        <f>'09월 에너지'!A361</f>
        <v>46278</v>
      </c>
      <c r="B361" s="1002">
        <f>'09월 조업일지'!B359</f>
        <v>46278</v>
      </c>
      <c r="C361" s="1003" t="str">
        <f>'09월 에너지'!C361</f>
        <v>D</v>
      </c>
      <c r="D361" s="1004" t="str">
        <f>'09월 에너지'!D361</f>
        <v>B</v>
      </c>
      <c r="E361" s="1000">
        <f>'09월 에너지'!E361</f>
        <v>85561</v>
      </c>
      <c r="F361" s="1094" t="str">
        <f>'09월 에너지'!F361</f>
        <v>A572-50-03</v>
      </c>
      <c r="G361" s="980"/>
      <c r="H361" s="978"/>
      <c r="I361" s="978"/>
      <c r="J361" s="978"/>
      <c r="K361" s="978"/>
      <c r="L361" s="978"/>
      <c r="M361" s="978"/>
      <c r="N361" s="978"/>
      <c r="O361" s="1106" t="str">
        <f t="shared" si="97"/>
        <v/>
      </c>
      <c r="P361" s="1108">
        <f>9100+11500+7100+7600+4700+2700+8900</f>
        <v>51600</v>
      </c>
      <c r="Q361" s="979">
        <f>13200+3600</f>
        <v>16800</v>
      </c>
      <c r="R361" s="979">
        <v>7400</v>
      </c>
      <c r="S361" s="979"/>
      <c r="T361" s="979">
        <v>5100</v>
      </c>
      <c r="U361" s="979">
        <f>5900+6600</f>
        <v>12500</v>
      </c>
      <c r="V361" s="979">
        <f>3800+3700</f>
        <v>7500</v>
      </c>
      <c r="W361" s="979">
        <v>3100</v>
      </c>
      <c r="X361" s="979">
        <v>8500</v>
      </c>
      <c r="Y361" s="979">
        <f>2400+11600+2900</f>
        <v>16900</v>
      </c>
      <c r="Z361" s="979"/>
      <c r="AA361" s="979">
        <v>2600</v>
      </c>
      <c r="AB361" s="979">
        <v>2000</v>
      </c>
      <c r="AC361" s="979"/>
      <c r="AD361" s="979">
        <v>5800</v>
      </c>
      <c r="AE361" s="1109">
        <f t="shared" si="98"/>
        <v>139800</v>
      </c>
      <c r="AF361" s="1113">
        <v>4300</v>
      </c>
      <c r="AG361" s="981">
        <v>11000</v>
      </c>
      <c r="AH361" s="981">
        <v>3200</v>
      </c>
      <c r="AI361" s="1114">
        <f t="shared" si="99"/>
        <v>18500</v>
      </c>
      <c r="AJ361" s="1110">
        <f t="shared" si="100"/>
        <v>158300</v>
      </c>
      <c r="AK361" s="982">
        <f>'09월 에너지'!S361</f>
        <v>146.19999999999999</v>
      </c>
      <c r="AL361" s="983">
        <f t="shared" si="101"/>
        <v>0.92356285533796589</v>
      </c>
    </row>
    <row r="362" spans="1:38" ht="16.5" customHeight="1">
      <c r="A362" s="999">
        <f>'09월 에너지'!A362</f>
        <v>46278</v>
      </c>
      <c r="B362" s="1002">
        <f>'09월 조업일지'!B360</f>
        <v>46278</v>
      </c>
      <c r="C362" s="1003" t="str">
        <f>'09월 에너지'!C362</f>
        <v>D</v>
      </c>
      <c r="D362" s="1004" t="str">
        <f>'09월 에너지'!D362</f>
        <v>A</v>
      </c>
      <c r="E362" s="1000">
        <f>'09월 에너지'!E362</f>
        <v>85562</v>
      </c>
      <c r="F362" s="1094" t="str">
        <f>'09월 에너지'!F362</f>
        <v>A572-50-03</v>
      </c>
      <c r="G362" s="980"/>
      <c r="H362" s="978"/>
      <c r="I362" s="978"/>
      <c r="J362" s="978"/>
      <c r="K362" s="978"/>
      <c r="L362" s="978"/>
      <c r="M362" s="978"/>
      <c r="N362" s="978"/>
      <c r="O362" s="1106" t="str">
        <f t="shared" si="97"/>
        <v/>
      </c>
      <c r="P362" s="1108">
        <f>9600+8300+6700+2900+7700</f>
        <v>35200</v>
      </c>
      <c r="Q362" s="979">
        <f>12800+22900</f>
        <v>35700</v>
      </c>
      <c r="R362" s="979">
        <v>12300</v>
      </c>
      <c r="S362" s="979"/>
      <c r="T362" s="979">
        <v>6600</v>
      </c>
      <c r="U362" s="979">
        <f>2300+7000</f>
        <v>9300</v>
      </c>
      <c r="V362" s="979">
        <f>6600+1300</f>
        <v>7900</v>
      </c>
      <c r="W362" s="979">
        <v>1600</v>
      </c>
      <c r="X362" s="979">
        <v>9700</v>
      </c>
      <c r="Y362" s="979">
        <f>2600+11900+3200</f>
        <v>17700</v>
      </c>
      <c r="Z362" s="979"/>
      <c r="AA362" s="979">
        <v>10300</v>
      </c>
      <c r="AB362" s="979">
        <v>2500</v>
      </c>
      <c r="AC362" s="979"/>
      <c r="AD362" s="979">
        <v>2700</v>
      </c>
      <c r="AE362" s="1109">
        <f t="shared" si="98"/>
        <v>151500</v>
      </c>
      <c r="AF362" s="1113">
        <v>0</v>
      </c>
      <c r="AG362" s="981">
        <v>2200</v>
      </c>
      <c r="AH362" s="981">
        <v>5000</v>
      </c>
      <c r="AI362" s="1114">
        <f t="shared" si="99"/>
        <v>7200</v>
      </c>
      <c r="AJ362" s="1110">
        <f t="shared" si="100"/>
        <v>158700</v>
      </c>
      <c r="AK362" s="982">
        <f>'09월 에너지'!S362</f>
        <v>145.19999999999999</v>
      </c>
      <c r="AL362" s="983">
        <f t="shared" si="101"/>
        <v>0.9149338374291115</v>
      </c>
    </row>
    <row r="363" spans="1:38" ht="16.5" customHeight="1">
      <c r="A363" s="999">
        <f>'09월 에너지'!A363</f>
        <v>46278</v>
      </c>
      <c r="B363" s="1002">
        <f>'09월 조업일지'!B361</f>
        <v>46278</v>
      </c>
      <c r="C363" s="1003" t="str">
        <f>'09월 에너지'!C363</f>
        <v>D</v>
      </c>
      <c r="D363" s="1004" t="str">
        <f>'09월 에너지'!D363</f>
        <v>B</v>
      </c>
      <c r="E363" s="1000">
        <f>'09월 에너지'!E363</f>
        <v>85563</v>
      </c>
      <c r="F363" s="1094" t="str">
        <f>'09월 에너지'!F363</f>
        <v>A572-50-03</v>
      </c>
      <c r="G363" s="980"/>
      <c r="H363" s="978"/>
      <c r="I363" s="978"/>
      <c r="J363" s="978"/>
      <c r="K363" s="978"/>
      <c r="L363" s="978"/>
      <c r="M363" s="978"/>
      <c r="N363" s="978"/>
      <c r="O363" s="1106" t="str">
        <f t="shared" si="97"/>
        <v/>
      </c>
      <c r="P363" s="1108">
        <f>12400+9900+6700+7600+4800+2300+8800</f>
        <v>52500</v>
      </c>
      <c r="Q363" s="979">
        <f>10200+4700</f>
        <v>14900</v>
      </c>
      <c r="R363" s="979">
        <v>7600</v>
      </c>
      <c r="S363" s="979"/>
      <c r="T363" s="979">
        <v>2400</v>
      </c>
      <c r="U363" s="979">
        <f>6100+6400</f>
        <v>12500</v>
      </c>
      <c r="V363" s="979">
        <f>4700+4000</f>
        <v>8700</v>
      </c>
      <c r="W363" s="979">
        <v>3300</v>
      </c>
      <c r="X363" s="979">
        <v>8200</v>
      </c>
      <c r="Y363" s="979">
        <f>3000+11100+2500</f>
        <v>16600</v>
      </c>
      <c r="Z363" s="979"/>
      <c r="AA363" s="979">
        <v>1600</v>
      </c>
      <c r="AB363" s="979">
        <v>3200</v>
      </c>
      <c r="AC363" s="979"/>
      <c r="AD363" s="979">
        <v>5900</v>
      </c>
      <c r="AE363" s="1109">
        <f t="shared" si="98"/>
        <v>137400</v>
      </c>
      <c r="AF363" s="1113">
        <v>4000</v>
      </c>
      <c r="AG363" s="981">
        <v>12700</v>
      </c>
      <c r="AH363" s="981">
        <v>4000</v>
      </c>
      <c r="AI363" s="1114">
        <f t="shared" si="99"/>
        <v>20700</v>
      </c>
      <c r="AJ363" s="1110">
        <f t="shared" si="100"/>
        <v>158100</v>
      </c>
      <c r="AK363" s="982">
        <f>'09월 에너지'!S363</f>
        <v>146.6</v>
      </c>
      <c r="AL363" s="983">
        <f t="shared" si="101"/>
        <v>0.92726122707147374</v>
      </c>
    </row>
    <row r="364" spans="1:38" ht="16.5" customHeight="1">
      <c r="A364" s="999">
        <f>'09월 에너지'!A364</f>
        <v>46278</v>
      </c>
      <c r="B364" s="1002">
        <f>'09월 조업일지'!B362</f>
        <v>46278</v>
      </c>
      <c r="C364" s="1003" t="str">
        <f>'09월 에너지'!C364</f>
        <v>D</v>
      </c>
      <c r="D364" s="1004" t="str">
        <f>'09월 에너지'!D364</f>
        <v>A</v>
      </c>
      <c r="E364" s="1000">
        <f>'09월 에너지'!E364</f>
        <v>85564</v>
      </c>
      <c r="F364" s="1094" t="str">
        <f>'09월 에너지'!F364</f>
        <v>A572-50-03</v>
      </c>
      <c r="G364" s="980"/>
      <c r="H364" s="978"/>
      <c r="I364" s="978"/>
      <c r="J364" s="978"/>
      <c r="K364" s="978"/>
      <c r="L364" s="978"/>
      <c r="M364" s="978"/>
      <c r="N364" s="978"/>
      <c r="O364" s="1106" t="str">
        <f t="shared" si="97"/>
        <v/>
      </c>
      <c r="P364" s="1108">
        <f>8200+8900+6900+5300+8000+2600+8300</f>
        <v>48200</v>
      </c>
      <c r="Q364" s="979">
        <f>4700+6700</f>
        <v>11400</v>
      </c>
      <c r="R364" s="979">
        <v>5700</v>
      </c>
      <c r="S364" s="979"/>
      <c r="T364" s="979">
        <v>11600</v>
      </c>
      <c r="U364" s="979">
        <f>2400+2600</f>
        <v>5000</v>
      </c>
      <c r="V364" s="979">
        <f>6100+2600</f>
        <v>8700</v>
      </c>
      <c r="W364" s="979">
        <v>4000</v>
      </c>
      <c r="X364" s="979">
        <v>8000</v>
      </c>
      <c r="Y364" s="979">
        <f>0+11000+7000</f>
        <v>18000</v>
      </c>
      <c r="Z364" s="979"/>
      <c r="AA364" s="979">
        <v>7000</v>
      </c>
      <c r="AB364" s="979">
        <v>3300</v>
      </c>
      <c r="AC364" s="979"/>
      <c r="AD364" s="979">
        <v>2200</v>
      </c>
      <c r="AE364" s="1109">
        <f t="shared" si="98"/>
        <v>133100</v>
      </c>
      <c r="AF364" s="1113">
        <v>4000</v>
      </c>
      <c r="AG364" s="981">
        <v>14500</v>
      </c>
      <c r="AH364" s="981">
        <v>8900</v>
      </c>
      <c r="AI364" s="1114">
        <f t="shared" si="99"/>
        <v>27400</v>
      </c>
      <c r="AJ364" s="1110">
        <f t="shared" si="100"/>
        <v>160500</v>
      </c>
      <c r="AK364" s="982">
        <f>'09월 에너지'!S364</f>
        <v>144.6</v>
      </c>
      <c r="AL364" s="983">
        <f t="shared" si="101"/>
        <v>0.90093457943925237</v>
      </c>
    </row>
    <row r="365" spans="1:38" ht="16.5" customHeight="1">
      <c r="A365" s="999">
        <f>'09월 에너지'!A365</f>
        <v>46278</v>
      </c>
      <c r="B365" s="1002">
        <f>'09월 조업일지'!B363</f>
        <v>46278</v>
      </c>
      <c r="C365" s="1003" t="str">
        <f>'09월 에너지'!C365</f>
        <v>D</v>
      </c>
      <c r="D365" s="1004" t="str">
        <f>'09월 에너지'!D365</f>
        <v>B</v>
      </c>
      <c r="E365" s="1000">
        <f>'09월 에너지'!E365</f>
        <v>85565</v>
      </c>
      <c r="F365" s="1094" t="str">
        <f>'09월 에너지'!F365</f>
        <v>A572-50-03</v>
      </c>
      <c r="G365" s="980"/>
      <c r="H365" s="978"/>
      <c r="I365" s="978"/>
      <c r="J365" s="978"/>
      <c r="K365" s="978"/>
      <c r="L365" s="978"/>
      <c r="M365" s="978"/>
      <c r="N365" s="978"/>
      <c r="O365" s="1106" t="str">
        <f t="shared" si="97"/>
        <v/>
      </c>
      <c r="P365" s="1108">
        <f>11700+11100+7000+6200+4700+2300+9400</f>
        <v>52400</v>
      </c>
      <c r="Q365" s="979">
        <f>11600+4800</f>
        <v>16400</v>
      </c>
      <c r="R365" s="979">
        <v>6600</v>
      </c>
      <c r="S365" s="979"/>
      <c r="T365" s="979">
        <v>3100</v>
      </c>
      <c r="U365" s="979">
        <f>6100+6000</f>
        <v>12100</v>
      </c>
      <c r="V365" s="979">
        <f>4000+4700</f>
        <v>8700</v>
      </c>
      <c r="W365" s="979">
        <v>3700</v>
      </c>
      <c r="X365" s="979">
        <v>7700</v>
      </c>
      <c r="Y365" s="979">
        <f>3200+13900+3300</f>
        <v>20400</v>
      </c>
      <c r="Z365" s="979"/>
      <c r="AA365" s="979">
        <v>2300</v>
      </c>
      <c r="AB365" s="979">
        <v>3400</v>
      </c>
      <c r="AC365" s="979"/>
      <c r="AD365" s="979">
        <v>2900</v>
      </c>
      <c r="AE365" s="1109">
        <f t="shared" si="98"/>
        <v>139700</v>
      </c>
      <c r="AF365" s="1113">
        <v>3800</v>
      </c>
      <c r="AG365" s="981">
        <v>8400</v>
      </c>
      <c r="AH365" s="981">
        <v>6300</v>
      </c>
      <c r="AI365" s="1114">
        <f t="shared" si="99"/>
        <v>18500</v>
      </c>
      <c r="AJ365" s="1110">
        <f t="shared" si="100"/>
        <v>158200</v>
      </c>
      <c r="AK365" s="982">
        <f>'09월 에너지'!S365</f>
        <v>146.1</v>
      </c>
      <c r="AL365" s="983">
        <f t="shared" si="101"/>
        <v>0.92351453855878629</v>
      </c>
    </row>
    <row r="366" spans="1:38" ht="16.5" customHeight="1">
      <c r="A366" s="999">
        <f>'09월 에너지'!A366</f>
        <v>46278</v>
      </c>
      <c r="B366" s="1002">
        <f>'09월 조업일지'!B364</f>
        <v>46278</v>
      </c>
      <c r="C366" s="1003" t="str">
        <f>'09월 에너지'!C366</f>
        <v>D</v>
      </c>
      <c r="D366" s="1004" t="str">
        <f>'09월 에너지'!D366</f>
        <v>A</v>
      </c>
      <c r="E366" s="1000">
        <f>'09월 에너지'!E366</f>
        <v>85566</v>
      </c>
      <c r="F366" s="1094" t="str">
        <f>'09월 에너지'!F366</f>
        <v>A572-50-03</v>
      </c>
      <c r="G366" s="980"/>
      <c r="H366" s="978"/>
      <c r="I366" s="978"/>
      <c r="J366" s="978"/>
      <c r="K366" s="978"/>
      <c r="L366" s="978"/>
      <c r="M366" s="978"/>
      <c r="N366" s="978"/>
      <c r="O366" s="1106" t="str">
        <f t="shared" si="97"/>
        <v/>
      </c>
      <c r="P366" s="1108">
        <f>10800+8300+7200+9300+1500+1000+9300</f>
        <v>47400</v>
      </c>
      <c r="Q366" s="979">
        <f>5400+9500</f>
        <v>14900</v>
      </c>
      <c r="R366" s="979">
        <v>4600</v>
      </c>
      <c r="S366" s="979"/>
      <c r="T366" s="979">
        <v>1700</v>
      </c>
      <c r="U366" s="979">
        <f>7500+7000</f>
        <v>14500</v>
      </c>
      <c r="V366" s="979">
        <f>6600+3500</f>
        <v>10100</v>
      </c>
      <c r="W366" s="979">
        <v>2900</v>
      </c>
      <c r="X366" s="979">
        <v>7300</v>
      </c>
      <c r="Y366" s="979">
        <f>2800+14800+0</f>
        <v>17600</v>
      </c>
      <c r="Z366" s="979"/>
      <c r="AA366" s="979">
        <v>1600</v>
      </c>
      <c r="AB366" s="979">
        <v>8800</v>
      </c>
      <c r="AC366" s="979"/>
      <c r="AD366" s="979">
        <v>6800</v>
      </c>
      <c r="AE366" s="1109">
        <f t="shared" si="98"/>
        <v>138200</v>
      </c>
      <c r="AF366" s="1113">
        <v>4300</v>
      </c>
      <c r="AG366" s="981">
        <v>10000</v>
      </c>
      <c r="AH366" s="981">
        <v>6700</v>
      </c>
      <c r="AI366" s="1114">
        <f t="shared" si="99"/>
        <v>21000</v>
      </c>
      <c r="AJ366" s="1110">
        <f t="shared" si="100"/>
        <v>159200</v>
      </c>
      <c r="AK366" s="982">
        <f>'09월 에너지'!S366</f>
        <v>146.19999999999999</v>
      </c>
      <c r="AL366" s="983">
        <f t="shared" si="101"/>
        <v>0.91834170854271358</v>
      </c>
    </row>
    <row r="367" spans="1:38" ht="16.5" customHeight="1">
      <c r="A367" s="999">
        <f>'09월 에너지'!A367</f>
        <v>46278</v>
      </c>
      <c r="B367" s="1002">
        <f>'09월 조업일지'!B365</f>
        <v>46278</v>
      </c>
      <c r="C367" s="1003" t="str">
        <f>'09월 에너지'!C367</f>
        <v>D</v>
      </c>
      <c r="D367" s="1004" t="str">
        <f>'09월 에너지'!D367</f>
        <v>B</v>
      </c>
      <c r="E367" s="1000">
        <f>'09월 에너지'!E367</f>
        <v>85567</v>
      </c>
      <c r="F367" s="1094" t="str">
        <f>'09월 에너지'!F367</f>
        <v>A572-50-03</v>
      </c>
      <c r="G367" s="980"/>
      <c r="H367" s="978"/>
      <c r="I367" s="978"/>
      <c r="J367" s="978"/>
      <c r="K367" s="978"/>
      <c r="L367" s="978"/>
      <c r="M367" s="978"/>
      <c r="N367" s="978"/>
      <c r="O367" s="1106" t="str">
        <f t="shared" si="97"/>
        <v/>
      </c>
      <c r="P367" s="1108">
        <f>11800+13700+7600+5300+6600+2600+8400</f>
        <v>56000</v>
      </c>
      <c r="Q367" s="979">
        <f>9300+5800</f>
        <v>15100</v>
      </c>
      <c r="R367" s="979">
        <v>5300</v>
      </c>
      <c r="S367" s="979"/>
      <c r="T367" s="979">
        <v>3900</v>
      </c>
      <c r="U367" s="979">
        <f>6700+5900</f>
        <v>12600</v>
      </c>
      <c r="V367" s="979">
        <f>5300+3100</f>
        <v>8400</v>
      </c>
      <c r="W367" s="979">
        <v>2500</v>
      </c>
      <c r="X367" s="979">
        <v>8600</v>
      </c>
      <c r="Y367" s="979">
        <f>2700+12300+3700</f>
        <v>18700</v>
      </c>
      <c r="Z367" s="979"/>
      <c r="AA367" s="979">
        <v>2400</v>
      </c>
      <c r="AB367" s="979">
        <v>2400</v>
      </c>
      <c r="AC367" s="979"/>
      <c r="AD367" s="979">
        <v>3900</v>
      </c>
      <c r="AE367" s="1109">
        <f t="shared" si="98"/>
        <v>139800</v>
      </c>
      <c r="AF367" s="1113">
        <v>4100</v>
      </c>
      <c r="AG367" s="981">
        <v>11300</v>
      </c>
      <c r="AH367" s="981">
        <v>3800</v>
      </c>
      <c r="AI367" s="1114">
        <f t="shared" si="99"/>
        <v>19200</v>
      </c>
      <c r="AJ367" s="1110">
        <f t="shared" si="100"/>
        <v>159000</v>
      </c>
      <c r="AK367" s="982">
        <f>'09월 에너지'!S367</f>
        <v>146.9</v>
      </c>
      <c r="AL367" s="983">
        <f t="shared" si="101"/>
        <v>0.92389937106918241</v>
      </c>
    </row>
    <row r="368" spans="1:38" ht="16.5" customHeight="1">
      <c r="A368" s="999">
        <f>'09월 에너지'!A368</f>
        <v>46278</v>
      </c>
      <c r="B368" s="1002">
        <f>'09월 조업일지'!B366</f>
        <v>46278</v>
      </c>
      <c r="C368" s="1003" t="str">
        <f>'09월 에너지'!C368</f>
        <v>A</v>
      </c>
      <c r="D368" s="1004" t="str">
        <f>'09월 에너지'!D368</f>
        <v>A</v>
      </c>
      <c r="E368" s="1000">
        <f>'09월 에너지'!E368</f>
        <v>85568</v>
      </c>
      <c r="F368" s="1094" t="str">
        <f>'09월 에너지'!F368</f>
        <v>A572-50-03</v>
      </c>
      <c r="G368" s="980"/>
      <c r="H368" s="978"/>
      <c r="I368" s="978"/>
      <c r="J368" s="978"/>
      <c r="K368" s="978"/>
      <c r="L368" s="978"/>
      <c r="M368" s="978"/>
      <c r="N368" s="978"/>
      <c r="O368" s="1106" t="str">
        <f t="shared" si="97"/>
        <v/>
      </c>
      <c r="P368" s="1108">
        <f>10000+7900+6400+8600+2300+1200+9200</f>
        <v>45600</v>
      </c>
      <c r="Q368" s="979">
        <f>11100+7900</f>
        <v>19000</v>
      </c>
      <c r="R368" s="979">
        <v>8300</v>
      </c>
      <c r="S368" s="979">
        <v>0</v>
      </c>
      <c r="T368" s="979">
        <v>6400</v>
      </c>
      <c r="U368" s="979">
        <f>5500+7100</f>
        <v>12600</v>
      </c>
      <c r="V368" s="979">
        <f>4100+1400</f>
        <v>5500</v>
      </c>
      <c r="W368" s="979">
        <v>3000</v>
      </c>
      <c r="X368" s="979">
        <v>7700</v>
      </c>
      <c r="Y368" s="979">
        <f>13700+3900</f>
        <v>17600</v>
      </c>
      <c r="Z368" s="979">
        <v>0</v>
      </c>
      <c r="AA368" s="979">
        <v>10700</v>
      </c>
      <c r="AB368" s="979">
        <v>1900</v>
      </c>
      <c r="AC368" s="979">
        <v>0</v>
      </c>
      <c r="AD368" s="979">
        <v>2100</v>
      </c>
      <c r="AE368" s="1109">
        <f t="shared" si="98"/>
        <v>140400</v>
      </c>
      <c r="AF368" s="1113">
        <v>4500</v>
      </c>
      <c r="AG368" s="981">
        <v>10900</v>
      </c>
      <c r="AH368" s="981">
        <v>3600</v>
      </c>
      <c r="AI368" s="1114">
        <f t="shared" si="99"/>
        <v>19000</v>
      </c>
      <c r="AJ368" s="1110">
        <f t="shared" si="100"/>
        <v>159400</v>
      </c>
      <c r="AK368" s="982">
        <f>'09월 에너지'!S368</f>
        <v>146.6</v>
      </c>
      <c r="AL368" s="983">
        <f t="shared" si="101"/>
        <v>0.91969887076537016</v>
      </c>
    </row>
    <row r="369" spans="1:38" ht="16.5" customHeight="1">
      <c r="A369" s="999">
        <f>'09월 에너지'!A369</f>
        <v>46278</v>
      </c>
      <c r="B369" s="1002">
        <f>'09월 조업일지'!B367</f>
        <v>46278</v>
      </c>
      <c r="C369" s="1003" t="str">
        <f>'09월 에너지'!C369</f>
        <v>A</v>
      </c>
      <c r="D369" s="1004" t="str">
        <f>'09월 에너지'!D369</f>
        <v>B</v>
      </c>
      <c r="E369" s="1000">
        <f>'09월 에너지'!E369</f>
        <v>85569</v>
      </c>
      <c r="F369" s="1170" t="str">
        <f>'09월 에너지'!F369</f>
        <v>SHN275(BB)</v>
      </c>
      <c r="G369" s="980"/>
      <c r="H369" s="978"/>
      <c r="I369" s="978"/>
      <c r="J369" s="978"/>
      <c r="K369" s="978"/>
      <c r="L369" s="978"/>
      <c r="M369" s="978"/>
      <c r="N369" s="978"/>
      <c r="O369" s="1106" t="str">
        <f t="shared" si="97"/>
        <v/>
      </c>
      <c r="P369" s="1108">
        <f>10000+11100+6900+6700+5800+2000+8800</f>
        <v>51300</v>
      </c>
      <c r="Q369" s="979">
        <f>13200+4000</f>
        <v>17200</v>
      </c>
      <c r="R369" s="979">
        <v>7300</v>
      </c>
      <c r="S369" s="979">
        <v>0</v>
      </c>
      <c r="T369" s="979">
        <v>2700</v>
      </c>
      <c r="U369" s="979">
        <f>5700+5700</f>
        <v>11400</v>
      </c>
      <c r="V369" s="979">
        <f>3100+4800</f>
        <v>7900</v>
      </c>
      <c r="W369" s="979">
        <v>2700</v>
      </c>
      <c r="X369" s="979">
        <v>9300</v>
      </c>
      <c r="Y369" s="979">
        <f>4600+11100+3000</f>
        <v>18700</v>
      </c>
      <c r="Z369" s="979">
        <v>0</v>
      </c>
      <c r="AA369" s="979">
        <v>2900</v>
      </c>
      <c r="AB369" s="979">
        <v>2400</v>
      </c>
      <c r="AC369" s="979">
        <v>0</v>
      </c>
      <c r="AD369" s="979">
        <v>4100</v>
      </c>
      <c r="AE369" s="1109">
        <f t="shared" si="98"/>
        <v>137900</v>
      </c>
      <c r="AF369" s="1113">
        <v>4200</v>
      </c>
      <c r="AG369" s="981">
        <v>13600</v>
      </c>
      <c r="AH369" s="981">
        <v>3100</v>
      </c>
      <c r="AI369" s="1114">
        <f t="shared" si="99"/>
        <v>20900</v>
      </c>
      <c r="AJ369" s="1110">
        <f t="shared" si="100"/>
        <v>158800</v>
      </c>
      <c r="AK369" s="982">
        <f>'09월 에너지'!S369</f>
        <v>143.69999999999999</v>
      </c>
      <c r="AL369" s="983">
        <f t="shared" si="101"/>
        <v>0.90491183879093195</v>
      </c>
    </row>
    <row r="370" spans="1:38" ht="16.5" customHeight="1">
      <c r="A370" s="999">
        <f>'09월 에너지'!A370</f>
        <v>46278</v>
      </c>
      <c r="B370" s="1002">
        <f>'09월 조업일지'!B368</f>
        <v>46278</v>
      </c>
      <c r="C370" s="1003" t="str">
        <f>'09월 에너지'!C370</f>
        <v>A</v>
      </c>
      <c r="D370" s="1004" t="str">
        <f>'09월 에너지'!D370</f>
        <v>A</v>
      </c>
      <c r="E370" s="1000">
        <f>'09월 에너지'!E370</f>
        <v>85570</v>
      </c>
      <c r="F370" s="1094" t="str">
        <f>'09월 에너지'!F370</f>
        <v>SHN275(BB)</v>
      </c>
      <c r="G370" s="980"/>
      <c r="H370" s="978"/>
      <c r="I370" s="978"/>
      <c r="J370" s="978"/>
      <c r="K370" s="978"/>
      <c r="L370" s="978"/>
      <c r="M370" s="978"/>
      <c r="N370" s="978"/>
      <c r="O370" s="1106" t="str">
        <f t="shared" si="97"/>
        <v/>
      </c>
      <c r="P370" s="1108">
        <f>9000+12100+7100+900+6200+4600+8100</f>
        <v>48000</v>
      </c>
      <c r="Q370" s="979">
        <f>4400+6100</f>
        <v>10500</v>
      </c>
      <c r="R370" s="979">
        <v>4800</v>
      </c>
      <c r="S370" s="979">
        <v>0</v>
      </c>
      <c r="T370" s="979">
        <v>4900</v>
      </c>
      <c r="U370" s="979">
        <v>4100</v>
      </c>
      <c r="V370" s="979">
        <f>7100+7200</f>
        <v>14300</v>
      </c>
      <c r="W370" s="979">
        <v>3400</v>
      </c>
      <c r="X370" s="979">
        <v>6900</v>
      </c>
      <c r="Y370" s="979">
        <f>1200+13200+2600</f>
        <v>17000</v>
      </c>
      <c r="Z370" s="979">
        <v>0</v>
      </c>
      <c r="AA370" s="979">
        <v>4000</v>
      </c>
      <c r="AB370" s="979">
        <v>8500</v>
      </c>
      <c r="AC370" s="979">
        <v>0</v>
      </c>
      <c r="AD370" s="979">
        <v>200</v>
      </c>
      <c r="AE370" s="1109">
        <f t="shared" si="98"/>
        <v>126600</v>
      </c>
      <c r="AF370" s="1113">
        <v>3500</v>
      </c>
      <c r="AG370" s="981">
        <f>15400+5400</f>
        <v>20800</v>
      </c>
      <c r="AH370" s="981">
        <v>6700</v>
      </c>
      <c r="AI370" s="1114">
        <f t="shared" si="99"/>
        <v>31000</v>
      </c>
      <c r="AJ370" s="1110">
        <f t="shared" si="100"/>
        <v>157600</v>
      </c>
      <c r="AK370" s="982">
        <f>'09월 에너지'!S370</f>
        <v>145.4</v>
      </c>
      <c r="AL370" s="983">
        <f t="shared" si="101"/>
        <v>0.92258883248730961</v>
      </c>
    </row>
    <row r="371" spans="1:38" ht="16.5" customHeight="1">
      <c r="A371" s="999">
        <f>'09월 에너지'!A371</f>
        <v>46278</v>
      </c>
      <c r="B371" s="1002">
        <f>'09월 조업일지'!B369</f>
        <v>46278</v>
      </c>
      <c r="C371" s="1003" t="str">
        <f>'09월 에너지'!C371</f>
        <v>A</v>
      </c>
      <c r="D371" s="1004" t="str">
        <f>'09월 에너지'!D371</f>
        <v>B</v>
      </c>
      <c r="E371" s="1000">
        <f>'09월 에너지'!E371</f>
        <v>85571</v>
      </c>
      <c r="F371" s="1094" t="str">
        <f>'09월 에너지'!F371</f>
        <v>SHN275(BB)</v>
      </c>
      <c r="G371" s="980">
        <v>0</v>
      </c>
      <c r="H371" s="978">
        <v>0</v>
      </c>
      <c r="I371" s="978">
        <v>4600</v>
      </c>
      <c r="J371" s="978">
        <v>0</v>
      </c>
      <c r="K371" s="978">
        <v>0</v>
      </c>
      <c r="L371" s="978">
        <v>0</v>
      </c>
      <c r="M371" s="978">
        <v>0</v>
      </c>
      <c r="N371" s="978">
        <v>0</v>
      </c>
      <c r="O371" s="1106">
        <f t="shared" si="97"/>
        <v>4600</v>
      </c>
      <c r="P371" s="1108">
        <f>10100+7300+9600+7000+6800+6600+4600</f>
        <v>52000</v>
      </c>
      <c r="Q371" s="979">
        <f>9300+3100</f>
        <v>12400</v>
      </c>
      <c r="R371" s="979">
        <v>8600</v>
      </c>
      <c r="S371" s="979">
        <v>0</v>
      </c>
      <c r="T371" s="979">
        <v>0</v>
      </c>
      <c r="U371" s="979">
        <v>0</v>
      </c>
      <c r="V371" s="979">
        <f>2700+6800+9700</f>
        <v>19200</v>
      </c>
      <c r="W371" s="979">
        <v>3800</v>
      </c>
      <c r="X371" s="979">
        <v>8000</v>
      </c>
      <c r="Y371" s="979">
        <f>4700+4000+2300</f>
        <v>11000</v>
      </c>
      <c r="Z371" s="979">
        <v>0</v>
      </c>
      <c r="AA371" s="979">
        <v>5400</v>
      </c>
      <c r="AB371" s="979">
        <v>2700</v>
      </c>
      <c r="AC371" s="979">
        <v>0</v>
      </c>
      <c r="AD371" s="979">
        <v>7000</v>
      </c>
      <c r="AE371" s="1109">
        <f t="shared" si="98"/>
        <v>130100</v>
      </c>
      <c r="AF371" s="1113">
        <v>4100</v>
      </c>
      <c r="AG371" s="981">
        <f>14500+1700</f>
        <v>16200</v>
      </c>
      <c r="AH371" s="981">
        <v>3500</v>
      </c>
      <c r="AI371" s="1114">
        <f t="shared" si="99"/>
        <v>23800</v>
      </c>
      <c r="AJ371" s="1110">
        <f t="shared" si="100"/>
        <v>158500</v>
      </c>
      <c r="AK371" s="982">
        <f>'09월 에너지'!S371</f>
        <v>141.9</v>
      </c>
      <c r="AL371" s="983">
        <f t="shared" si="101"/>
        <v>0.89526813880126188</v>
      </c>
    </row>
    <row r="372" spans="1:38" ht="16.5" customHeight="1">
      <c r="A372" s="999">
        <f>'09월 에너지'!A372</f>
        <v>46278</v>
      </c>
      <c r="B372" s="1002">
        <f>'09월 조업일지'!B370</f>
        <v>46278</v>
      </c>
      <c r="C372" s="1003" t="str">
        <f>'09월 에너지'!C372</f>
        <v>A</v>
      </c>
      <c r="D372" s="1004" t="str">
        <f>'09월 에너지'!D372</f>
        <v>A</v>
      </c>
      <c r="E372" s="1000">
        <f>'09월 에너지'!E372</f>
        <v>85572</v>
      </c>
      <c r="F372" s="1094" t="str">
        <f>'09월 에너지'!F372</f>
        <v>SHN275(BB)</v>
      </c>
      <c r="G372" s="980">
        <v>0</v>
      </c>
      <c r="H372" s="978">
        <v>0</v>
      </c>
      <c r="I372" s="978">
        <v>8200</v>
      </c>
      <c r="J372" s="978">
        <v>0</v>
      </c>
      <c r="K372" s="978">
        <v>0</v>
      </c>
      <c r="L372" s="978">
        <v>0</v>
      </c>
      <c r="M372" s="978">
        <v>0</v>
      </c>
      <c r="N372" s="978">
        <v>0</v>
      </c>
      <c r="O372" s="1106">
        <f t="shared" si="97"/>
        <v>8200</v>
      </c>
      <c r="P372" s="1108">
        <f>2300+5000+3200+9500+6200+6500+4900</f>
        <v>37600</v>
      </c>
      <c r="Q372" s="979">
        <f>8600+3800</f>
        <v>12400</v>
      </c>
      <c r="R372" s="979">
        <v>12200</v>
      </c>
      <c r="S372" s="979">
        <v>0</v>
      </c>
      <c r="T372" s="979">
        <v>0</v>
      </c>
      <c r="U372" s="979">
        <v>0</v>
      </c>
      <c r="V372" s="979">
        <f>5600+5700+9300</f>
        <v>20600</v>
      </c>
      <c r="W372" s="979">
        <v>4100</v>
      </c>
      <c r="X372" s="979">
        <v>8300</v>
      </c>
      <c r="Y372" s="979">
        <f>2900+5700+1400</f>
        <v>10000</v>
      </c>
      <c r="Z372" s="979">
        <v>0</v>
      </c>
      <c r="AA372" s="979">
        <v>3000</v>
      </c>
      <c r="AB372" s="979">
        <v>3100</v>
      </c>
      <c r="AC372" s="979">
        <v>0</v>
      </c>
      <c r="AD372" s="979">
        <v>8000</v>
      </c>
      <c r="AE372" s="1109">
        <f t="shared" si="98"/>
        <v>119300</v>
      </c>
      <c r="AF372" s="1113">
        <v>4300</v>
      </c>
      <c r="AG372" s="981">
        <f>16000+3400</f>
        <v>19400</v>
      </c>
      <c r="AH372" s="981">
        <v>6600</v>
      </c>
      <c r="AI372" s="1114">
        <f t="shared" si="99"/>
        <v>30300</v>
      </c>
      <c r="AJ372" s="1110">
        <f t="shared" si="100"/>
        <v>157800</v>
      </c>
      <c r="AK372" s="982">
        <f>'09월 에너지'!S372</f>
        <v>142.80000000000001</v>
      </c>
      <c r="AL372" s="983">
        <f t="shared" si="101"/>
        <v>0.90494296577946765</v>
      </c>
    </row>
    <row r="373" spans="1:38" ht="16.5" customHeight="1">
      <c r="A373" s="999">
        <f>'09월 에너지'!A373</f>
        <v>46278</v>
      </c>
      <c r="B373" s="1002">
        <f>'09월 조업일지'!B371</f>
        <v>46278</v>
      </c>
      <c r="C373" s="1003" t="str">
        <f>'09월 에너지'!C373</f>
        <v>A</v>
      </c>
      <c r="D373" s="1004" t="str">
        <f>'09월 에너지'!D373</f>
        <v>B</v>
      </c>
      <c r="E373" s="1000">
        <f>'09월 에너지'!E373</f>
        <v>85573</v>
      </c>
      <c r="F373" s="1094" t="str">
        <f>'09월 에너지'!F373</f>
        <v>SHN275(BB)</v>
      </c>
      <c r="G373" s="980">
        <v>0</v>
      </c>
      <c r="H373" s="978">
        <v>0</v>
      </c>
      <c r="I373" s="978">
        <v>9200</v>
      </c>
      <c r="J373" s="978">
        <v>0</v>
      </c>
      <c r="K373" s="978">
        <v>0</v>
      </c>
      <c r="L373" s="978">
        <v>0</v>
      </c>
      <c r="M373" s="978">
        <v>0</v>
      </c>
      <c r="N373" s="978">
        <v>0</v>
      </c>
      <c r="O373" s="1106">
        <f t="shared" si="97"/>
        <v>9200</v>
      </c>
      <c r="P373" s="1108">
        <f>6500+10400+11000+14200+5600+5100+8100</f>
        <v>60900</v>
      </c>
      <c r="Q373" s="979">
        <f>9000+7000</f>
        <v>16000</v>
      </c>
      <c r="R373" s="979">
        <v>9100</v>
      </c>
      <c r="S373" s="979">
        <v>0</v>
      </c>
      <c r="T373" s="979">
        <v>0</v>
      </c>
      <c r="U373" s="979">
        <v>0</v>
      </c>
      <c r="V373" s="979">
        <f>2700+7400+10000</f>
        <v>20100</v>
      </c>
      <c r="W373" s="979">
        <v>1300</v>
      </c>
      <c r="X373" s="979">
        <v>11400</v>
      </c>
      <c r="Y373" s="979">
        <f>2500+2100</f>
        <v>4600</v>
      </c>
      <c r="Z373" s="979">
        <v>0</v>
      </c>
      <c r="AA373" s="979">
        <v>3400</v>
      </c>
      <c r="AB373" s="979">
        <v>3100</v>
      </c>
      <c r="AC373" s="979">
        <v>0</v>
      </c>
      <c r="AD373" s="979">
        <v>2700</v>
      </c>
      <c r="AE373" s="1109">
        <f t="shared" si="98"/>
        <v>132600</v>
      </c>
      <c r="AF373" s="1113">
        <v>3500</v>
      </c>
      <c r="AG373" s="981">
        <f>7400+1900</f>
        <v>9300</v>
      </c>
      <c r="AH373" s="981">
        <v>3700</v>
      </c>
      <c r="AI373" s="1114">
        <f t="shared" si="99"/>
        <v>16500</v>
      </c>
      <c r="AJ373" s="1110">
        <f t="shared" si="100"/>
        <v>158300</v>
      </c>
      <c r="AK373" s="982">
        <f>'09월 에너지'!S373</f>
        <v>145.80000000000001</v>
      </c>
      <c r="AL373" s="983">
        <f t="shared" si="101"/>
        <v>0.92103600758054327</v>
      </c>
    </row>
    <row r="374" spans="1:38" ht="16.5" customHeight="1">
      <c r="A374" s="999">
        <f>'09월 에너지'!A374</f>
        <v>46278</v>
      </c>
      <c r="B374" s="1002">
        <f>'09월 조업일지'!B372</f>
        <v>46278</v>
      </c>
      <c r="C374" s="1003" t="str">
        <f>'09월 에너지'!C374</f>
        <v>A</v>
      </c>
      <c r="D374" s="1004" t="str">
        <f>'09월 에너지'!D374</f>
        <v>A</v>
      </c>
      <c r="E374" s="1000">
        <f>'09월 에너지'!E374</f>
        <v>85574</v>
      </c>
      <c r="F374" s="1094" t="str">
        <f>'09월 에너지'!F374</f>
        <v>SHN275(BB)</v>
      </c>
      <c r="G374" s="980">
        <v>0</v>
      </c>
      <c r="H374" s="978">
        <v>0</v>
      </c>
      <c r="I374" s="978">
        <v>2600</v>
      </c>
      <c r="J374" s="978">
        <v>0</v>
      </c>
      <c r="K374" s="978">
        <v>0</v>
      </c>
      <c r="L374" s="978">
        <v>0</v>
      </c>
      <c r="M374" s="978">
        <v>0</v>
      </c>
      <c r="N374" s="978">
        <v>0</v>
      </c>
      <c r="O374" s="1106">
        <f t="shared" si="97"/>
        <v>2600</v>
      </c>
      <c r="P374" s="1108">
        <f>12600+13300+6800+11900+7000+6100+6200</f>
        <v>63900</v>
      </c>
      <c r="Q374" s="979">
        <f>11000+1300</f>
        <v>12300</v>
      </c>
      <c r="R374" s="979">
        <v>3400</v>
      </c>
      <c r="S374" s="979">
        <v>0</v>
      </c>
      <c r="T374" s="979">
        <v>0</v>
      </c>
      <c r="U374" s="979">
        <v>0</v>
      </c>
      <c r="V374" s="979">
        <f>9200+8300+9800</f>
        <v>27300</v>
      </c>
      <c r="W374" s="979">
        <v>3000</v>
      </c>
      <c r="X374" s="979">
        <v>8200</v>
      </c>
      <c r="Y374" s="979">
        <f>1300+1900+2200</f>
        <v>5400</v>
      </c>
      <c r="Z374" s="979">
        <v>0</v>
      </c>
      <c r="AA374" s="979">
        <v>1200</v>
      </c>
      <c r="AB374" s="979">
        <v>100</v>
      </c>
      <c r="AC374" s="979">
        <v>0</v>
      </c>
      <c r="AD374" s="979">
        <v>3100</v>
      </c>
      <c r="AE374" s="1109">
        <f t="shared" si="98"/>
        <v>127900</v>
      </c>
      <c r="AF374" s="1113">
        <v>4500</v>
      </c>
      <c r="AG374" s="981">
        <f>10700+5100</f>
        <v>15800</v>
      </c>
      <c r="AH374" s="981">
        <v>7300</v>
      </c>
      <c r="AI374" s="1114">
        <f t="shared" si="99"/>
        <v>27600</v>
      </c>
      <c r="AJ374" s="1110">
        <f t="shared" si="100"/>
        <v>158100</v>
      </c>
      <c r="AK374" s="982">
        <f>'09월 에너지'!S374</f>
        <v>144.6</v>
      </c>
      <c r="AL374" s="983">
        <f t="shared" si="101"/>
        <v>0.91461100569259957</v>
      </c>
    </row>
    <row r="375" spans="1:38" ht="16.5" customHeight="1">
      <c r="A375" s="999">
        <f>'09월 에너지'!A375</f>
        <v>46278</v>
      </c>
      <c r="B375" s="1002">
        <f>'09월 조업일지'!B373</f>
        <v>46278</v>
      </c>
      <c r="C375" s="1003" t="str">
        <f>'09월 에너지'!C375</f>
        <v>A</v>
      </c>
      <c r="D375" s="1004" t="str">
        <f>'09월 에너지'!D375</f>
        <v>B</v>
      </c>
      <c r="E375" s="1000">
        <f>'09월 에너지'!E375</f>
        <v>85575</v>
      </c>
      <c r="F375" s="1094" t="str">
        <f>'09월 에너지'!F375</f>
        <v>SHN275(BB)</v>
      </c>
      <c r="G375" s="980">
        <v>0</v>
      </c>
      <c r="H375" s="978">
        <v>0</v>
      </c>
      <c r="I375" s="978">
        <v>8200</v>
      </c>
      <c r="J375" s="978">
        <v>0</v>
      </c>
      <c r="K375" s="978">
        <v>0</v>
      </c>
      <c r="L375" s="978">
        <v>0</v>
      </c>
      <c r="M375" s="978">
        <v>0</v>
      </c>
      <c r="N375" s="978">
        <v>0</v>
      </c>
      <c r="O375" s="1106">
        <f t="shared" si="97"/>
        <v>8200</v>
      </c>
      <c r="P375" s="1108">
        <f>5100+13100+7100+14000+8400+6600+1700</f>
        <v>56000</v>
      </c>
      <c r="Q375" s="979">
        <f>6100+10400</f>
        <v>16500</v>
      </c>
      <c r="R375" s="979">
        <v>11400</v>
      </c>
      <c r="S375" s="979">
        <v>0</v>
      </c>
      <c r="T375" s="979">
        <v>0</v>
      </c>
      <c r="U375" s="979">
        <v>0</v>
      </c>
      <c r="V375" s="979">
        <f>3000+4800+10400</f>
        <v>18200</v>
      </c>
      <c r="W375" s="979">
        <v>5100</v>
      </c>
      <c r="X375" s="979">
        <v>5200</v>
      </c>
      <c r="Y375" s="979">
        <f>1200+4400+1300</f>
        <v>6900</v>
      </c>
      <c r="Z375" s="979">
        <v>0</v>
      </c>
      <c r="AA375" s="979">
        <v>3800</v>
      </c>
      <c r="AB375" s="979">
        <v>2200</v>
      </c>
      <c r="AC375" s="979">
        <v>0</v>
      </c>
      <c r="AD375" s="979">
        <v>1900</v>
      </c>
      <c r="AE375" s="1109">
        <f t="shared" si="98"/>
        <v>127200</v>
      </c>
      <c r="AF375" s="1113">
        <v>4100</v>
      </c>
      <c r="AG375" s="981">
        <f>11100+2100</f>
        <v>13200</v>
      </c>
      <c r="AH375" s="981">
        <v>6400</v>
      </c>
      <c r="AI375" s="1114">
        <f t="shared" si="99"/>
        <v>23700</v>
      </c>
      <c r="AJ375" s="1110">
        <f t="shared" si="100"/>
        <v>159100</v>
      </c>
      <c r="AK375" s="982">
        <f>'09월 에너지'!S375</f>
        <v>141.6</v>
      </c>
      <c r="AL375" s="983">
        <f t="shared" si="101"/>
        <v>0.89000628535512261</v>
      </c>
    </row>
    <row r="376" spans="1:38" ht="16.5" customHeight="1">
      <c r="A376" s="999">
        <f>'09월 에너지'!A376</f>
        <v>46278</v>
      </c>
      <c r="B376" s="1002">
        <f>'09월 조업일지'!B374</f>
        <v>46278</v>
      </c>
      <c r="C376" s="1003" t="str">
        <f>'09월 에너지'!C376</f>
        <v>A</v>
      </c>
      <c r="D376" s="1004" t="str">
        <f>'09월 에너지'!D376</f>
        <v>A</v>
      </c>
      <c r="E376" s="1000">
        <f>'09월 에너지'!E376</f>
        <v>85576</v>
      </c>
      <c r="F376" s="1094" t="str">
        <f>'09월 에너지'!F376</f>
        <v>SHN275(BB)</v>
      </c>
      <c r="G376" s="980">
        <v>0</v>
      </c>
      <c r="H376" s="978">
        <v>0</v>
      </c>
      <c r="I376" s="978">
        <v>4900</v>
      </c>
      <c r="J376" s="978">
        <v>0</v>
      </c>
      <c r="K376" s="978">
        <v>0</v>
      </c>
      <c r="L376" s="978">
        <v>0</v>
      </c>
      <c r="M376" s="978">
        <v>0</v>
      </c>
      <c r="N376" s="978">
        <v>0</v>
      </c>
      <c r="O376" s="1106">
        <f t="shared" si="97"/>
        <v>4900</v>
      </c>
      <c r="P376" s="1108">
        <f>12400+5100+8300+8400+6000+8000+4900</f>
        <v>53100</v>
      </c>
      <c r="Q376" s="979">
        <f>15500+900</f>
        <v>16400</v>
      </c>
      <c r="R376" s="979">
        <v>4700</v>
      </c>
      <c r="S376" s="979">
        <v>0</v>
      </c>
      <c r="T376" s="979">
        <v>0</v>
      </c>
      <c r="U376" s="979">
        <v>0</v>
      </c>
      <c r="V376" s="979">
        <f>8300+7100+9900</f>
        <v>25300</v>
      </c>
      <c r="W376" s="979">
        <v>3500</v>
      </c>
      <c r="X376" s="979">
        <v>9000</v>
      </c>
      <c r="Y376" s="979">
        <f>1500+1800+1400</f>
        <v>4700</v>
      </c>
      <c r="Z376" s="979">
        <v>0</v>
      </c>
      <c r="AA376" s="979">
        <v>3700</v>
      </c>
      <c r="AB376" s="979">
        <v>2500</v>
      </c>
      <c r="AC376" s="979">
        <v>0</v>
      </c>
      <c r="AD376" s="979">
        <v>2500</v>
      </c>
      <c r="AE376" s="1109">
        <f t="shared" si="98"/>
        <v>125400</v>
      </c>
      <c r="AF376" s="1113">
        <v>4300</v>
      </c>
      <c r="AG376" s="981">
        <f>13100+6400</f>
        <v>19500</v>
      </c>
      <c r="AH376" s="981">
        <v>4500</v>
      </c>
      <c r="AI376" s="1114">
        <f t="shared" si="99"/>
        <v>28300</v>
      </c>
      <c r="AJ376" s="1110">
        <f t="shared" si="100"/>
        <v>158600</v>
      </c>
      <c r="AK376" s="982">
        <f>'09월 에너지'!S376</f>
        <v>142.80000000000001</v>
      </c>
      <c r="AL376" s="983">
        <f t="shared" si="101"/>
        <v>0.90037831021437575</v>
      </c>
    </row>
    <row r="377" spans="1:38" ht="16.5" customHeight="1">
      <c r="A377" s="999">
        <f>'09월 에너지'!A377</f>
        <v>46278</v>
      </c>
      <c r="B377" s="1002">
        <f>'09월 조업일지'!B375</f>
        <v>46278</v>
      </c>
      <c r="C377" s="1003" t="str">
        <f>'09월 에너지'!C377</f>
        <v>A</v>
      </c>
      <c r="D377" s="1004" t="str">
        <f>'09월 에너지'!D377</f>
        <v>B</v>
      </c>
      <c r="E377" s="1000">
        <f>'09월 에너지'!E377</f>
        <v>85577</v>
      </c>
      <c r="F377" s="1094" t="str">
        <f>'09월 에너지'!F377</f>
        <v>SHN275(BB)</v>
      </c>
      <c r="G377" s="980">
        <v>0</v>
      </c>
      <c r="H377" s="978">
        <v>0</v>
      </c>
      <c r="I377" s="978">
        <v>5600</v>
      </c>
      <c r="J377" s="978">
        <v>0</v>
      </c>
      <c r="K377" s="978">
        <v>0</v>
      </c>
      <c r="L377" s="978">
        <v>0</v>
      </c>
      <c r="M377" s="978">
        <v>0</v>
      </c>
      <c r="N377" s="978">
        <v>0</v>
      </c>
      <c r="O377" s="1106">
        <f t="shared" si="97"/>
        <v>5600</v>
      </c>
      <c r="P377" s="1108">
        <f>6600+8200+6700+9200+5800+2300+8500</f>
        <v>47300</v>
      </c>
      <c r="Q377" s="979">
        <f>16600+22400</f>
        <v>39000</v>
      </c>
      <c r="R377" s="979">
        <v>5800</v>
      </c>
      <c r="S377" s="979">
        <v>0</v>
      </c>
      <c r="T377" s="979">
        <v>0</v>
      </c>
      <c r="U377" s="979">
        <v>0</v>
      </c>
      <c r="V377" s="979">
        <f>2800+10300</f>
        <v>13100</v>
      </c>
      <c r="W377" s="979">
        <v>4200</v>
      </c>
      <c r="X377" s="979">
        <v>9000</v>
      </c>
      <c r="Y377" s="979">
        <f>5700+200</f>
        <v>5900</v>
      </c>
      <c r="Z377" s="979">
        <v>0</v>
      </c>
      <c r="AA377" s="979">
        <v>2500</v>
      </c>
      <c r="AB377" s="979">
        <v>2500</v>
      </c>
      <c r="AC377" s="979">
        <v>0</v>
      </c>
      <c r="AD377" s="979">
        <v>3300</v>
      </c>
      <c r="AE377" s="1109">
        <f t="shared" si="98"/>
        <v>132600</v>
      </c>
      <c r="AF377" s="1113">
        <v>0</v>
      </c>
      <c r="AG377" s="981">
        <f>14800+1600</f>
        <v>16400</v>
      </c>
      <c r="AH377" s="981">
        <v>3900</v>
      </c>
      <c r="AI377" s="1114">
        <f t="shared" si="99"/>
        <v>20300</v>
      </c>
      <c r="AJ377" s="1110">
        <f t="shared" si="100"/>
        <v>158500</v>
      </c>
      <c r="AK377" s="982">
        <f>'09월 에너지'!S377</f>
        <v>144.80000000000001</v>
      </c>
      <c r="AL377" s="983">
        <f t="shared" si="101"/>
        <v>0.91356466876971609</v>
      </c>
    </row>
    <row r="378" spans="1:38" ht="16.5" customHeight="1">
      <c r="A378" s="999">
        <f>'09월 에너지'!A378</f>
        <v>46278</v>
      </c>
      <c r="B378" s="1002">
        <f>'09월 조업일지'!B376</f>
        <v>46278</v>
      </c>
      <c r="C378" s="1003" t="str">
        <f>'09월 에너지'!C378</f>
        <v>A</v>
      </c>
      <c r="D378" s="1004" t="str">
        <f>'09월 에너지'!D378</f>
        <v>A</v>
      </c>
      <c r="E378" s="1000">
        <f>'09월 에너지'!E378</f>
        <v>85578</v>
      </c>
      <c r="F378" s="1094" t="str">
        <f>'09월 에너지'!F378</f>
        <v>SHN275(BB)</v>
      </c>
      <c r="G378" s="980">
        <v>0</v>
      </c>
      <c r="H378" s="978">
        <v>0</v>
      </c>
      <c r="I378" s="978">
        <v>11400</v>
      </c>
      <c r="J378" s="978">
        <v>0</v>
      </c>
      <c r="K378" s="978">
        <v>0</v>
      </c>
      <c r="L378" s="978">
        <v>0</v>
      </c>
      <c r="M378" s="978">
        <v>0</v>
      </c>
      <c r="N378" s="978">
        <v>0</v>
      </c>
      <c r="O378" s="1106">
        <f t="shared" si="97"/>
        <v>11400</v>
      </c>
      <c r="P378" s="1108">
        <f>11400+7700+9400+6600+7600+8400+6900</f>
        <v>58000</v>
      </c>
      <c r="Q378" s="979">
        <f>9600+2100</f>
        <v>11700</v>
      </c>
      <c r="R378" s="979">
        <v>4300</v>
      </c>
      <c r="S378" s="979">
        <v>0</v>
      </c>
      <c r="T378" s="979">
        <v>0</v>
      </c>
      <c r="U378" s="979">
        <v>0</v>
      </c>
      <c r="V378" s="979">
        <f>11200+5800+9100</f>
        <v>26100</v>
      </c>
      <c r="W378" s="979">
        <v>1400</v>
      </c>
      <c r="X378" s="979">
        <v>10600</v>
      </c>
      <c r="Y378" s="979">
        <f>2100+1100</f>
        <v>3200</v>
      </c>
      <c r="Z378" s="979">
        <v>0</v>
      </c>
      <c r="AA378" s="979">
        <v>2500</v>
      </c>
      <c r="AB378" s="979">
        <v>3000</v>
      </c>
      <c r="AC378" s="979">
        <v>0</v>
      </c>
      <c r="AD378" s="979">
        <v>4900</v>
      </c>
      <c r="AE378" s="1109">
        <f t="shared" si="98"/>
        <v>125700</v>
      </c>
      <c r="AF378" s="1113">
        <v>4600</v>
      </c>
      <c r="AG378" s="981">
        <f>4900+6800</f>
        <v>11700</v>
      </c>
      <c r="AH378" s="981">
        <v>3900</v>
      </c>
      <c r="AI378" s="1114">
        <f t="shared" si="99"/>
        <v>20200</v>
      </c>
      <c r="AJ378" s="1110">
        <f t="shared" si="100"/>
        <v>157300</v>
      </c>
      <c r="AK378" s="982">
        <f>'09월 에너지'!S378</f>
        <v>143.5</v>
      </c>
      <c r="AL378" s="983">
        <f t="shared" si="101"/>
        <v>0.91226954863318499</v>
      </c>
    </row>
    <row r="379" spans="1:38" ht="16.5" customHeight="1">
      <c r="A379" s="999">
        <f>'09월 에너지'!A379</f>
        <v>46278</v>
      </c>
      <c r="B379" s="1002">
        <f>'09월 조업일지'!B377</f>
        <v>46278</v>
      </c>
      <c r="C379" s="1003" t="str">
        <f>'09월 에너지'!C379</f>
        <v>B</v>
      </c>
      <c r="D379" s="1004" t="str">
        <f>'09월 에너지'!D379</f>
        <v>B</v>
      </c>
      <c r="E379" s="1000">
        <f>'09월 에너지'!E379</f>
        <v>85579</v>
      </c>
      <c r="F379" s="1094" t="str">
        <f>'09월 에너지'!F379</f>
        <v>SHN275(BB)</v>
      </c>
      <c r="G379" s="980"/>
      <c r="H379" s="978"/>
      <c r="I379" s="978">
        <v>7400</v>
      </c>
      <c r="J379" s="978"/>
      <c r="K379" s="978"/>
      <c r="L379" s="978"/>
      <c r="M379" s="978"/>
      <c r="N379" s="978"/>
      <c r="O379" s="1106">
        <f t="shared" si="97"/>
        <v>7400</v>
      </c>
      <c r="P379" s="1108">
        <f>4800+3900+6300+5300+6000+4600+19300</f>
        <v>50200</v>
      </c>
      <c r="Q379" s="979">
        <f>11900+9900</f>
        <v>21800</v>
      </c>
      <c r="R379" s="979">
        <v>2500</v>
      </c>
      <c r="S379" s="979"/>
      <c r="T379" s="979"/>
      <c r="U379" s="979"/>
      <c r="V379" s="979">
        <f>2300+8600+10000-3000</f>
        <v>17900</v>
      </c>
      <c r="W379" s="979">
        <v>5300</v>
      </c>
      <c r="X379" s="979">
        <v>7700</v>
      </c>
      <c r="Y379" s="979">
        <v>9000</v>
      </c>
      <c r="Z379" s="979"/>
      <c r="AA379" s="979">
        <v>3200</v>
      </c>
      <c r="AB379" s="979">
        <v>3000</v>
      </c>
      <c r="AC379" s="979"/>
      <c r="AD379" s="979">
        <v>4000</v>
      </c>
      <c r="AE379" s="1109">
        <f t="shared" si="98"/>
        <v>124600</v>
      </c>
      <c r="AF379" s="1113">
        <v>4300</v>
      </c>
      <c r="AG379" s="981">
        <f>13300+3000</f>
        <v>16300</v>
      </c>
      <c r="AH379" s="981">
        <v>5100</v>
      </c>
      <c r="AI379" s="1114">
        <f t="shared" si="99"/>
        <v>25700</v>
      </c>
      <c r="AJ379" s="1110">
        <f t="shared" si="100"/>
        <v>157700</v>
      </c>
      <c r="AK379" s="982">
        <f>'09월 에너지'!S379</f>
        <v>142.4</v>
      </c>
      <c r="AL379" s="983">
        <f t="shared" si="101"/>
        <v>0.90298034242232084</v>
      </c>
    </row>
    <row r="380" spans="1:38" ht="16.5" customHeight="1">
      <c r="A380" s="999">
        <f>'09월 에너지'!A380</f>
        <v>46278</v>
      </c>
      <c r="B380" s="1002">
        <f>'09월 조업일지'!B378</f>
        <v>46278</v>
      </c>
      <c r="C380" s="1003" t="str">
        <f>'09월 에너지'!C380</f>
        <v>B</v>
      </c>
      <c r="D380" s="1004" t="str">
        <f>'09월 에너지'!D380</f>
        <v>A</v>
      </c>
      <c r="E380" s="1000">
        <f>'09월 에너지'!E380</f>
        <v>85580</v>
      </c>
      <c r="F380" s="1094" t="str">
        <f>'09월 에너지'!F380</f>
        <v>SHN275(BB)</v>
      </c>
      <c r="G380" s="980"/>
      <c r="H380" s="978"/>
      <c r="I380" s="978">
        <v>4300</v>
      </c>
      <c r="J380" s="978"/>
      <c r="K380" s="978"/>
      <c r="L380" s="978"/>
      <c r="M380" s="978"/>
      <c r="N380" s="978"/>
      <c r="O380" s="1106">
        <f t="shared" si="97"/>
        <v>4300</v>
      </c>
      <c r="P380" s="1108">
        <f>54100+4500</f>
        <v>58600</v>
      </c>
      <c r="Q380" s="979">
        <f>13200+9200</f>
        <v>22400</v>
      </c>
      <c r="R380" s="979">
        <v>2300</v>
      </c>
      <c r="S380" s="979"/>
      <c r="T380" s="979"/>
      <c r="U380" s="979"/>
      <c r="V380" s="979">
        <f>7700+5300+9500</f>
        <v>22500</v>
      </c>
      <c r="W380" s="979">
        <v>1900</v>
      </c>
      <c r="X380" s="979">
        <v>9900</v>
      </c>
      <c r="Y380" s="979">
        <f>1800+2200+1400</f>
        <v>5400</v>
      </c>
      <c r="Z380" s="979"/>
      <c r="AA380" s="979">
        <v>1200</v>
      </c>
      <c r="AB380" s="979">
        <v>1700</v>
      </c>
      <c r="AC380" s="979"/>
      <c r="AD380" s="979">
        <v>3200</v>
      </c>
      <c r="AE380" s="1109">
        <f t="shared" si="98"/>
        <v>129100</v>
      </c>
      <c r="AF380" s="1113">
        <v>4200</v>
      </c>
      <c r="AG380" s="981">
        <f>10900+4500</f>
        <v>15400</v>
      </c>
      <c r="AH380" s="981">
        <v>5000</v>
      </c>
      <c r="AI380" s="1114">
        <f t="shared" si="99"/>
        <v>24600</v>
      </c>
      <c r="AJ380" s="1110">
        <f t="shared" si="100"/>
        <v>158000</v>
      </c>
      <c r="AK380" s="982">
        <f>'09월 에너지'!S380</f>
        <v>147.1</v>
      </c>
      <c r="AL380" s="983">
        <f t="shared" si="101"/>
        <v>0.93101265822784807</v>
      </c>
    </row>
    <row r="381" spans="1:38" ht="16.5" customHeight="1">
      <c r="A381" s="999">
        <f>'09월 에너지'!A381</f>
        <v>46278</v>
      </c>
      <c r="B381" s="1002">
        <f>'09월 조업일지'!B379</f>
        <v>46278</v>
      </c>
      <c r="C381" s="1003" t="str">
        <f>'09월 에너지'!C381</f>
        <v>B</v>
      </c>
      <c r="D381" s="1004" t="str">
        <f>'09월 에너지'!D381</f>
        <v>B</v>
      </c>
      <c r="E381" s="1000">
        <f>'09월 에너지'!E381</f>
        <v>85581</v>
      </c>
      <c r="F381" s="1094" t="str">
        <f>'09월 에너지'!F381</f>
        <v>SHN275(BB)</v>
      </c>
      <c r="G381" s="980"/>
      <c r="H381" s="978"/>
      <c r="I381" s="978">
        <v>9800</v>
      </c>
      <c r="J381" s="978"/>
      <c r="K381" s="978"/>
      <c r="L381" s="978"/>
      <c r="M381" s="978"/>
      <c r="N381" s="978"/>
      <c r="O381" s="1106">
        <f t="shared" si="97"/>
        <v>9800</v>
      </c>
      <c r="P381" s="1108">
        <f>9000+6500+11300+16300+8800+5200+3200-3300</f>
        <v>57000</v>
      </c>
      <c r="Q381" s="979">
        <f>13800+4500+1900</f>
        <v>20200</v>
      </c>
      <c r="R381" s="979">
        <v>3000</v>
      </c>
      <c r="S381" s="979"/>
      <c r="T381" s="979"/>
      <c r="U381" s="979"/>
      <c r="V381" s="979">
        <f>2200+12900+9500</f>
        <v>24600</v>
      </c>
      <c r="W381" s="979">
        <v>3700</v>
      </c>
      <c r="X381" s="979">
        <v>9900</v>
      </c>
      <c r="Y381" s="979">
        <f>1600+1900+2200</f>
        <v>5700</v>
      </c>
      <c r="Z381" s="979"/>
      <c r="AA381" s="979">
        <v>3800</v>
      </c>
      <c r="AB381" s="979">
        <v>2900</v>
      </c>
      <c r="AC381" s="979"/>
      <c r="AD381" s="979">
        <v>3200</v>
      </c>
      <c r="AE381" s="1109">
        <f t="shared" si="98"/>
        <v>134000</v>
      </c>
      <c r="AF381" s="1113">
        <v>2100</v>
      </c>
      <c r="AG381" s="981">
        <f>8100+3100</f>
        <v>11200</v>
      </c>
      <c r="AH381" s="981">
        <v>2100</v>
      </c>
      <c r="AI381" s="1114">
        <f t="shared" si="99"/>
        <v>15400</v>
      </c>
      <c r="AJ381" s="1110">
        <f t="shared" si="100"/>
        <v>159200</v>
      </c>
      <c r="AK381" s="982">
        <f>'09월 에너지'!S381</f>
        <v>144.1</v>
      </c>
      <c r="AL381" s="983">
        <f t="shared" si="101"/>
        <v>0.90515075376884424</v>
      </c>
    </row>
    <row r="382" spans="1:38" ht="16.5" customHeight="1">
      <c r="A382" s="999">
        <f>'09월 에너지'!A382</f>
        <v>46278</v>
      </c>
      <c r="B382" s="1002">
        <f>'09월 조업일지'!B380</f>
        <v>46278</v>
      </c>
      <c r="C382" s="1003" t="str">
        <f>'09월 에너지'!C382</f>
        <v>B</v>
      </c>
      <c r="D382" s="1004" t="str">
        <f>'09월 에너지'!D382</f>
        <v>A</v>
      </c>
      <c r="E382" s="1000">
        <f>'09월 에너지'!E382</f>
        <v>85582</v>
      </c>
      <c r="F382" s="1094" t="str">
        <f>'09월 에너지'!F382</f>
        <v>SHN275(BB)</v>
      </c>
      <c r="G382" s="980"/>
      <c r="H382" s="978"/>
      <c r="I382" s="978">
        <v>9100</v>
      </c>
      <c r="J382" s="978"/>
      <c r="K382" s="978"/>
      <c r="L382" s="978"/>
      <c r="M382" s="978"/>
      <c r="N382" s="978"/>
      <c r="O382" s="1106">
        <f t="shared" si="97"/>
        <v>9100</v>
      </c>
      <c r="P382" s="1108">
        <f>7500+7100+2700+12800+9000+5600+12200</f>
        <v>56900</v>
      </c>
      <c r="Q382" s="979">
        <f>10100+3500</f>
        <v>13600</v>
      </c>
      <c r="R382" s="979">
        <v>8800</v>
      </c>
      <c r="S382" s="979"/>
      <c r="T382" s="979"/>
      <c r="U382" s="979"/>
      <c r="V382" s="979">
        <f>5600+5200+9600</f>
        <v>20400</v>
      </c>
      <c r="W382" s="979">
        <v>1400</v>
      </c>
      <c r="X382" s="979">
        <v>7600</v>
      </c>
      <c r="Y382" s="979">
        <f>3600+4000+1300</f>
        <v>8900</v>
      </c>
      <c r="Z382" s="979"/>
      <c r="AA382" s="979">
        <v>200</v>
      </c>
      <c r="AB382" s="979">
        <v>4300</v>
      </c>
      <c r="AC382" s="979"/>
      <c r="AD382" s="979">
        <v>2300</v>
      </c>
      <c r="AE382" s="1109">
        <f t="shared" si="98"/>
        <v>124400</v>
      </c>
      <c r="AF382" s="1113">
        <v>4100</v>
      </c>
      <c r="AG382" s="981">
        <f>9700+800</f>
        <v>10500</v>
      </c>
      <c r="AH382" s="981">
        <v>11300</v>
      </c>
      <c r="AI382" s="1114">
        <f t="shared" si="99"/>
        <v>25900</v>
      </c>
      <c r="AJ382" s="1110">
        <f t="shared" si="100"/>
        <v>159400</v>
      </c>
      <c r="AK382" s="982">
        <f>'09월 에너지'!S382</f>
        <v>146</v>
      </c>
      <c r="AL382" s="983">
        <f t="shared" si="101"/>
        <v>0.91593475533249691</v>
      </c>
    </row>
    <row r="383" spans="1:38" ht="16.5" customHeight="1">
      <c r="A383" s="999">
        <f>'09월 에너지'!A383</f>
        <v>46278</v>
      </c>
      <c r="B383" s="1002">
        <f>'09월 조업일지'!B381</f>
        <v>46278</v>
      </c>
      <c r="C383" s="1003" t="str">
        <f>'09월 에너지'!C383</f>
        <v>B</v>
      </c>
      <c r="D383" s="1004" t="str">
        <f>'09월 에너지'!D383</f>
        <v>B</v>
      </c>
      <c r="E383" s="1000">
        <f>'09월 에너지'!E383</f>
        <v>85583</v>
      </c>
      <c r="F383" s="1094" t="str">
        <f>'09월 에너지'!F383</f>
        <v>SHN275(BB)</v>
      </c>
      <c r="G383" s="980"/>
      <c r="H383" s="978"/>
      <c r="I383" s="978">
        <v>2200</v>
      </c>
      <c r="J383" s="978"/>
      <c r="K383" s="978"/>
      <c r="L383" s="978"/>
      <c r="M383" s="978"/>
      <c r="N383" s="978"/>
      <c r="O383" s="1106">
        <f t="shared" si="97"/>
        <v>2200</v>
      </c>
      <c r="P383" s="1108">
        <f>7100+8100+12900+18000+10000+6400+2400</f>
        <v>64900</v>
      </c>
      <c r="Q383" s="979">
        <f>11500+5200</f>
        <v>16700</v>
      </c>
      <c r="R383" s="979">
        <v>2600</v>
      </c>
      <c r="S383" s="979"/>
      <c r="T383" s="979"/>
      <c r="U383" s="979"/>
      <c r="V383" s="979">
        <f>2800+9600+8200</f>
        <v>20600</v>
      </c>
      <c r="W383" s="979">
        <v>900</v>
      </c>
      <c r="X383" s="979">
        <v>7800</v>
      </c>
      <c r="Y383" s="979">
        <f>2000+4700+3700+2000</f>
        <v>12400</v>
      </c>
      <c r="Z383" s="979"/>
      <c r="AA383" s="979">
        <v>3600</v>
      </c>
      <c r="AB383" s="979">
        <v>3500</v>
      </c>
      <c r="AC383" s="979"/>
      <c r="AD383" s="979">
        <v>3400</v>
      </c>
      <c r="AE383" s="1109">
        <f t="shared" si="98"/>
        <v>136400</v>
      </c>
      <c r="AF383" s="1113">
        <v>3400</v>
      </c>
      <c r="AG383" s="981">
        <v>14500</v>
      </c>
      <c r="AH383" s="981">
        <v>2500</v>
      </c>
      <c r="AI383" s="1114">
        <f t="shared" si="99"/>
        <v>20400</v>
      </c>
      <c r="AJ383" s="1110">
        <f t="shared" si="100"/>
        <v>159000</v>
      </c>
      <c r="AK383" s="982">
        <f>'09월 에너지'!S383</f>
        <v>139.80000000000001</v>
      </c>
      <c r="AL383" s="983">
        <f t="shared" si="101"/>
        <v>0.87924528301886795</v>
      </c>
    </row>
    <row r="384" spans="1:38" ht="16.5" customHeight="1">
      <c r="A384" s="999">
        <f>'09월 에너지'!A384</f>
        <v>46278</v>
      </c>
      <c r="B384" s="1002">
        <f>'09월 조업일지'!B382</f>
        <v>46278</v>
      </c>
      <c r="C384" s="1003" t="str">
        <f>'09월 에너지'!C384</f>
        <v>B</v>
      </c>
      <c r="D384" s="1004" t="str">
        <f>'09월 에너지'!D384</f>
        <v>A</v>
      </c>
      <c r="E384" s="1000">
        <f>'09월 에너지'!E384</f>
        <v>85584</v>
      </c>
      <c r="F384" s="1094" t="str">
        <f>'09월 에너지'!F384</f>
        <v>SHN275(BB)</v>
      </c>
      <c r="G384" s="980"/>
      <c r="H384" s="978"/>
      <c r="I384" s="978">
        <v>7400</v>
      </c>
      <c r="J384" s="978"/>
      <c r="K384" s="978"/>
      <c r="L384" s="978"/>
      <c r="M384" s="978"/>
      <c r="N384" s="978"/>
      <c r="O384" s="1106">
        <f t="shared" si="97"/>
        <v>7400</v>
      </c>
      <c r="P384" s="1108">
        <f>7500+10800+8000+7300+6700+8800+9900</f>
        <v>59000</v>
      </c>
      <c r="Q384" s="979">
        <f>9300+3700</f>
        <v>13000</v>
      </c>
      <c r="R384" s="979">
        <v>8600</v>
      </c>
      <c r="S384" s="979"/>
      <c r="T384" s="979"/>
      <c r="U384" s="979"/>
      <c r="V384" s="979">
        <f>2500+5600+9800</f>
        <v>17900</v>
      </c>
      <c r="W384" s="979">
        <v>2100</v>
      </c>
      <c r="X384" s="979">
        <v>9100</v>
      </c>
      <c r="Y384" s="979">
        <f>3600+3700+900</f>
        <v>8200</v>
      </c>
      <c r="Z384" s="979"/>
      <c r="AA384" s="979">
        <v>1300</v>
      </c>
      <c r="AB384" s="979">
        <v>2600</v>
      </c>
      <c r="AC384" s="979"/>
      <c r="AD384" s="979">
        <v>5100</v>
      </c>
      <c r="AE384" s="1109">
        <f t="shared" si="98"/>
        <v>126900</v>
      </c>
      <c r="AF384" s="1113">
        <v>4400</v>
      </c>
      <c r="AG384" s="981">
        <f>10900+2600</f>
        <v>13500</v>
      </c>
      <c r="AH384" s="981">
        <v>7200</v>
      </c>
      <c r="AI384" s="1114">
        <f t="shared" si="99"/>
        <v>25100</v>
      </c>
      <c r="AJ384" s="1110">
        <f t="shared" si="100"/>
        <v>159400</v>
      </c>
      <c r="AK384" s="982">
        <f>'09월 에너지'!S384</f>
        <v>148</v>
      </c>
      <c r="AL384" s="983">
        <f t="shared" si="101"/>
        <v>0.92848180677540781</v>
      </c>
    </row>
    <row r="385" spans="1:38" ht="16.5" customHeight="1">
      <c r="A385" s="999">
        <f>'09월 에너지'!A385</f>
        <v>46279</v>
      </c>
      <c r="B385" s="1002">
        <f>'09월 조업일지'!B383</f>
        <v>46278</v>
      </c>
      <c r="C385" s="1003" t="str">
        <f>'09월 에너지'!C385</f>
        <v>B</v>
      </c>
      <c r="D385" s="1004" t="str">
        <f>'09월 에너지'!D385</f>
        <v>B</v>
      </c>
      <c r="E385" s="1000">
        <f>'09월 에너지'!E385</f>
        <v>85585</v>
      </c>
      <c r="F385" s="1170" t="str">
        <f>'09월 에너지'!F385</f>
        <v>SS400(ToMok)</v>
      </c>
      <c r="G385" s="980"/>
      <c r="H385" s="978"/>
      <c r="I385" s="978">
        <v>3700</v>
      </c>
      <c r="J385" s="978"/>
      <c r="K385" s="978"/>
      <c r="L385" s="978"/>
      <c r="M385" s="978"/>
      <c r="N385" s="978"/>
      <c r="O385" s="1106">
        <f t="shared" si="97"/>
        <v>3700</v>
      </c>
      <c r="P385" s="1108">
        <f>8200+10700+10700+13100+5600+6600+3200</f>
        <v>58100</v>
      </c>
      <c r="Q385" s="979">
        <f>12700+7900</f>
        <v>20600</v>
      </c>
      <c r="R385" s="979">
        <v>2600</v>
      </c>
      <c r="S385" s="979"/>
      <c r="T385" s="979"/>
      <c r="U385" s="979">
        <v>7100</v>
      </c>
      <c r="V385" s="979">
        <f>4100+2000+9200</f>
        <v>15300</v>
      </c>
      <c r="W385" s="979">
        <v>2800</v>
      </c>
      <c r="X385" s="979">
        <v>10800</v>
      </c>
      <c r="Y385" s="979">
        <f>2000+3800</f>
        <v>5800</v>
      </c>
      <c r="Z385" s="979"/>
      <c r="AA385" s="979">
        <v>2600</v>
      </c>
      <c r="AB385" s="979">
        <v>4200</v>
      </c>
      <c r="AC385" s="979">
        <v>3500</v>
      </c>
      <c r="AD385" s="979">
        <v>3000</v>
      </c>
      <c r="AE385" s="1109">
        <f t="shared" si="98"/>
        <v>136400</v>
      </c>
      <c r="AF385" s="1113">
        <v>2600</v>
      </c>
      <c r="AG385" s="981">
        <v>13700</v>
      </c>
      <c r="AH385" s="981">
        <v>3400</v>
      </c>
      <c r="AI385" s="1114">
        <f t="shared" si="99"/>
        <v>19700</v>
      </c>
      <c r="AJ385" s="1110">
        <f t="shared" si="100"/>
        <v>159800</v>
      </c>
      <c r="AK385" s="982">
        <f>'09월 에너지'!S385</f>
        <v>144.69999999999999</v>
      </c>
      <c r="AL385" s="983">
        <f t="shared" si="101"/>
        <v>0.9055068836045056</v>
      </c>
    </row>
    <row r="386" spans="1:38" ht="16.5" customHeight="1">
      <c r="A386" s="999">
        <f>'09월 에너지'!A386</f>
        <v>46279</v>
      </c>
      <c r="B386" s="1002">
        <f>'09월 조업일지'!B384</f>
        <v>46278</v>
      </c>
      <c r="C386" s="1003" t="str">
        <f>'09월 에너지'!C386</f>
        <v>B</v>
      </c>
      <c r="D386" s="1004" t="str">
        <f>'09월 에너지'!D386</f>
        <v>A</v>
      </c>
      <c r="E386" s="1000">
        <f>'09월 에너지'!E386</f>
        <v>85586</v>
      </c>
      <c r="F386" s="1094" t="str">
        <f>'09월 에너지'!F386</f>
        <v>SS400(ToMok)</v>
      </c>
      <c r="G386" s="980"/>
      <c r="H386" s="978"/>
      <c r="I386" s="978">
        <v>9100</v>
      </c>
      <c r="J386" s="978"/>
      <c r="K386" s="978"/>
      <c r="L386" s="978"/>
      <c r="M386" s="978"/>
      <c r="N386" s="978"/>
      <c r="O386" s="1106">
        <f t="shared" si="97"/>
        <v>9100</v>
      </c>
      <c r="P386" s="1108">
        <f>10600+7700+11100+7900+8300+2600</f>
        <v>48200</v>
      </c>
      <c r="Q386" s="979">
        <f>11200+8000</f>
        <v>19200</v>
      </c>
      <c r="R386" s="979">
        <v>6800</v>
      </c>
      <c r="S386" s="979"/>
      <c r="T386" s="979"/>
      <c r="U386" s="979">
        <v>6500</v>
      </c>
      <c r="V386" s="979">
        <f>5100+1900+10100</f>
        <v>17100</v>
      </c>
      <c r="W386" s="979">
        <v>2500</v>
      </c>
      <c r="X386" s="979">
        <v>8600</v>
      </c>
      <c r="Y386" s="979">
        <f>5100+8200+1300</f>
        <v>14600</v>
      </c>
      <c r="Z386" s="979"/>
      <c r="AA386" s="979">
        <v>2000</v>
      </c>
      <c r="AB386" s="979">
        <v>2100</v>
      </c>
      <c r="AC386" s="979">
        <v>1500</v>
      </c>
      <c r="AD386" s="979">
        <v>2200</v>
      </c>
      <c r="AE386" s="1109">
        <f t="shared" si="98"/>
        <v>131300</v>
      </c>
      <c r="AF386" s="1113">
        <v>4600</v>
      </c>
      <c r="AG386" s="981">
        <v>11800</v>
      </c>
      <c r="AH386" s="981">
        <v>2800</v>
      </c>
      <c r="AI386" s="1114">
        <f t="shared" si="99"/>
        <v>19200</v>
      </c>
      <c r="AJ386" s="1110">
        <f t="shared" si="100"/>
        <v>159600</v>
      </c>
      <c r="AK386" s="982">
        <f>'09월 에너지'!S386</f>
        <v>144.1</v>
      </c>
      <c r="AL386" s="983">
        <f t="shared" si="101"/>
        <v>0.90288220551378451</v>
      </c>
    </row>
    <row r="387" spans="1:38" ht="16.5" customHeight="1">
      <c r="A387" s="999">
        <f>'09월 에너지'!A387</f>
        <v>46279</v>
      </c>
      <c r="B387" s="1002">
        <f>'09월 조업일지'!B385</f>
        <v>46278</v>
      </c>
      <c r="C387" s="1003" t="str">
        <f>'09월 에너지'!C387</f>
        <v>B</v>
      </c>
      <c r="D387" s="1004" t="str">
        <f>'09월 에너지'!D387</f>
        <v>B</v>
      </c>
      <c r="E387" s="1000">
        <f>'09월 에너지'!E387</f>
        <v>85587</v>
      </c>
      <c r="F387" s="1094" t="str">
        <f>'09월 에너지'!F387</f>
        <v>SS400(ToMok)</v>
      </c>
      <c r="G387" s="980"/>
      <c r="H387" s="978"/>
      <c r="I387" s="978">
        <v>5300</v>
      </c>
      <c r="J387" s="978"/>
      <c r="K387" s="978"/>
      <c r="L387" s="978"/>
      <c r="M387" s="978"/>
      <c r="N387" s="978"/>
      <c r="O387" s="1106">
        <f t="shared" si="97"/>
        <v>5300</v>
      </c>
      <c r="P387" s="1108">
        <f>12000+9100+11300+7000+8500+4200+15100</f>
        <v>67200</v>
      </c>
      <c r="Q387" s="979">
        <f>10800+6600</f>
        <v>17400</v>
      </c>
      <c r="R387" s="979">
        <v>2500</v>
      </c>
      <c r="S387" s="979"/>
      <c r="T387" s="979"/>
      <c r="U387" s="979">
        <v>4900</v>
      </c>
      <c r="V387" s="979">
        <f>6000+2600+5600</f>
        <v>14200</v>
      </c>
      <c r="W387" s="979">
        <v>1600</v>
      </c>
      <c r="X387" s="979">
        <v>7000</v>
      </c>
      <c r="Y387" s="979">
        <f>1600+13100</f>
        <v>14700</v>
      </c>
      <c r="Z387" s="979"/>
      <c r="AA387" s="979">
        <v>2100</v>
      </c>
      <c r="AB387" s="979">
        <v>3600</v>
      </c>
      <c r="AC387" s="979"/>
      <c r="AD387" s="979">
        <v>2900</v>
      </c>
      <c r="AE387" s="1109">
        <f t="shared" si="98"/>
        <v>138100</v>
      </c>
      <c r="AF387" s="1113"/>
      <c r="AG387" s="981">
        <v>12200</v>
      </c>
      <c r="AH387" s="981">
        <v>2800</v>
      </c>
      <c r="AI387" s="1114">
        <f t="shared" si="99"/>
        <v>15000</v>
      </c>
      <c r="AJ387" s="1110">
        <f t="shared" si="100"/>
        <v>158400</v>
      </c>
      <c r="AK387" s="982">
        <f>'09월 에너지'!S387</f>
        <v>141.1</v>
      </c>
      <c r="AL387" s="983">
        <f t="shared" si="101"/>
        <v>0.89078282828282829</v>
      </c>
    </row>
    <row r="388" spans="1:38" ht="16.5" customHeight="1">
      <c r="A388" s="999">
        <f>'09월 에너지'!A388</f>
        <v>46279</v>
      </c>
      <c r="B388" s="1002">
        <f>'09월 조업일지'!B386</f>
        <v>46278</v>
      </c>
      <c r="C388" s="1003" t="str">
        <f>'09월 에너지'!C388</f>
        <v>B</v>
      </c>
      <c r="D388" s="1004" t="str">
        <f>'09월 에너지'!D388</f>
        <v>A</v>
      </c>
      <c r="E388" s="1000">
        <f>'09월 에너지'!E388</f>
        <v>85588</v>
      </c>
      <c r="F388" s="1094" t="str">
        <f>'09월 에너지'!F388</f>
        <v>SS400(ToMok)</v>
      </c>
      <c r="G388" s="980"/>
      <c r="H388" s="978"/>
      <c r="I388" s="978">
        <v>8200</v>
      </c>
      <c r="J388" s="978"/>
      <c r="K388" s="978"/>
      <c r="L388" s="978"/>
      <c r="M388" s="978"/>
      <c r="N388" s="978"/>
      <c r="O388" s="1106">
        <f t="shared" si="97"/>
        <v>8200</v>
      </c>
      <c r="P388" s="1108">
        <f>11300+6900+9300+8200+6300+7700</f>
        <v>49700</v>
      </c>
      <c r="Q388" s="979">
        <f>11500+3300</f>
        <v>14800</v>
      </c>
      <c r="R388" s="979">
        <v>6200</v>
      </c>
      <c r="S388" s="979"/>
      <c r="T388" s="979"/>
      <c r="U388" s="979">
        <v>5400</v>
      </c>
      <c r="V388" s="979">
        <f>4000+3100+9300</f>
        <v>16400</v>
      </c>
      <c r="W388" s="979">
        <v>3900</v>
      </c>
      <c r="X388" s="979">
        <v>6800</v>
      </c>
      <c r="Y388" s="979">
        <f>3200+12700+5200</f>
        <v>21100</v>
      </c>
      <c r="Z388" s="979"/>
      <c r="AA388" s="979">
        <v>2600</v>
      </c>
      <c r="AB388" s="979">
        <v>900</v>
      </c>
      <c r="AC388" s="979">
        <v>2200</v>
      </c>
      <c r="AD388" s="979">
        <v>7000</v>
      </c>
      <c r="AE388" s="1109">
        <f t="shared" si="98"/>
        <v>137000</v>
      </c>
      <c r="AF388" s="1113">
        <v>3700</v>
      </c>
      <c r="AG388" s="981">
        <v>6400</v>
      </c>
      <c r="AH388" s="981">
        <v>4200</v>
      </c>
      <c r="AI388" s="1114">
        <f t="shared" si="99"/>
        <v>14300</v>
      </c>
      <c r="AJ388" s="1110">
        <f t="shared" si="100"/>
        <v>159500</v>
      </c>
      <c r="AK388" s="982">
        <f>'09월 에너지'!S388</f>
        <v>142.80000000000001</v>
      </c>
      <c r="AL388" s="983">
        <f t="shared" si="101"/>
        <v>0.89529780564263328</v>
      </c>
    </row>
    <row r="389" spans="1:38" ht="16.5" customHeight="1">
      <c r="A389" s="999">
        <f>'09월 에너지'!A389</f>
        <v>46279</v>
      </c>
      <c r="B389" s="1002">
        <f>'09월 조업일지'!B387</f>
        <v>46279</v>
      </c>
      <c r="C389" s="1003" t="str">
        <f>'09월 에너지'!C389</f>
        <v>D</v>
      </c>
      <c r="D389" s="1004" t="str">
        <f>'09월 에너지'!D389</f>
        <v>B</v>
      </c>
      <c r="E389" s="1000">
        <f>'09월 에너지'!E389</f>
        <v>85589</v>
      </c>
      <c r="F389" s="1094" t="str">
        <f>'09월 에너지'!F389</f>
        <v>SS400(ToMok)</v>
      </c>
      <c r="G389" s="980"/>
      <c r="H389" s="978"/>
      <c r="I389" s="978">
        <v>7400</v>
      </c>
      <c r="J389" s="978"/>
      <c r="K389" s="978"/>
      <c r="L389" s="978"/>
      <c r="M389" s="978"/>
      <c r="N389" s="978"/>
      <c r="O389" s="1106">
        <f t="shared" si="97"/>
        <v>7400</v>
      </c>
      <c r="P389" s="1108">
        <f>10900+5900+11800+9200+9100+2300</f>
        <v>49200</v>
      </c>
      <c r="Q389" s="979">
        <f>8900+4600</f>
        <v>13500</v>
      </c>
      <c r="R389" s="979">
        <v>3400</v>
      </c>
      <c r="S389" s="979"/>
      <c r="T389" s="979"/>
      <c r="U389" s="979">
        <v>9800</v>
      </c>
      <c r="V389" s="979">
        <f>6700+2700+9700</f>
        <v>19100</v>
      </c>
      <c r="W389" s="979">
        <v>2100</v>
      </c>
      <c r="X389" s="979">
        <v>7300</v>
      </c>
      <c r="Y389" s="979">
        <f>2900+10200+900</f>
        <v>14000</v>
      </c>
      <c r="Z389" s="979"/>
      <c r="AA389" s="979">
        <v>2700</v>
      </c>
      <c r="AB389" s="979">
        <v>3900</v>
      </c>
      <c r="AC389" s="979">
        <v>1800</v>
      </c>
      <c r="AD389" s="979">
        <v>4100</v>
      </c>
      <c r="AE389" s="1109">
        <f t="shared" si="98"/>
        <v>130900</v>
      </c>
      <c r="AF389" s="1113">
        <v>4500</v>
      </c>
      <c r="AG389" s="981">
        <v>13700</v>
      </c>
      <c r="AH389" s="981">
        <v>2600</v>
      </c>
      <c r="AI389" s="1114">
        <f t="shared" si="99"/>
        <v>20800</v>
      </c>
      <c r="AJ389" s="1110">
        <f t="shared" si="100"/>
        <v>159100</v>
      </c>
      <c r="AK389" s="982">
        <f>'09월 에너지'!S389</f>
        <v>145.80000000000001</v>
      </c>
      <c r="AL389" s="983">
        <f t="shared" si="101"/>
        <v>0.91640477686989319</v>
      </c>
    </row>
    <row r="390" spans="1:38" ht="16.5" customHeight="1">
      <c r="A390" s="999">
        <f>'09월 에너지'!A390</f>
        <v>46279</v>
      </c>
      <c r="B390" s="1002">
        <f>'09월 조업일지'!B388</f>
        <v>46279</v>
      </c>
      <c r="C390" s="1003" t="str">
        <f>'09월 에너지'!C390</f>
        <v>D</v>
      </c>
      <c r="D390" s="1004" t="str">
        <f>'09월 에너지'!D390</f>
        <v>A</v>
      </c>
      <c r="E390" s="1000">
        <f>'09월 에너지'!E390</f>
        <v>85590</v>
      </c>
      <c r="F390" s="1094" t="str">
        <f>'09월 에너지'!F390</f>
        <v>SS400(ToMok)</v>
      </c>
      <c r="G390" s="980"/>
      <c r="H390" s="978"/>
      <c r="I390" s="978">
        <v>8100</v>
      </c>
      <c r="J390" s="978"/>
      <c r="K390" s="978"/>
      <c r="L390" s="978"/>
      <c r="M390" s="978"/>
      <c r="N390" s="978"/>
      <c r="O390" s="1106">
        <f t="shared" si="97"/>
        <v>8100</v>
      </c>
      <c r="P390" s="1108">
        <f>15600+6900+6300+7000+7400+7700</f>
        <v>50900</v>
      </c>
      <c r="Q390" s="979">
        <f>7200+6000</f>
        <v>13200</v>
      </c>
      <c r="R390" s="979">
        <v>10900</v>
      </c>
      <c r="S390" s="979"/>
      <c r="T390" s="979"/>
      <c r="U390" s="979">
        <v>2700</v>
      </c>
      <c r="V390" s="979">
        <f>2100+2200+9300</f>
        <v>13600</v>
      </c>
      <c r="W390" s="979">
        <v>3300</v>
      </c>
      <c r="X390" s="979">
        <v>8400</v>
      </c>
      <c r="Y390" s="979">
        <f>2000+11100+3700</f>
        <v>16800</v>
      </c>
      <c r="Z390" s="979"/>
      <c r="AA390" s="979">
        <v>4300</v>
      </c>
      <c r="AB390" s="979">
        <v>3200</v>
      </c>
      <c r="AC390" s="979">
        <v>2800</v>
      </c>
      <c r="AD390" s="979">
        <v>1900</v>
      </c>
      <c r="AE390" s="1109">
        <f t="shared" si="98"/>
        <v>132000</v>
      </c>
      <c r="AF390" s="1113">
        <v>4200</v>
      </c>
      <c r="AG390" s="981">
        <v>9900</v>
      </c>
      <c r="AH390" s="981">
        <v>4700</v>
      </c>
      <c r="AI390" s="1114">
        <f t="shared" si="99"/>
        <v>18800</v>
      </c>
      <c r="AJ390" s="1110">
        <f t="shared" si="100"/>
        <v>158900</v>
      </c>
      <c r="AK390" s="982">
        <f>'09월 에너지'!S390</f>
        <v>143.9</v>
      </c>
      <c r="AL390" s="983">
        <f t="shared" si="101"/>
        <v>0.90560100692259282</v>
      </c>
    </row>
    <row r="391" spans="1:38" ht="16.5" customHeight="1">
      <c r="A391" s="999">
        <f>'09월 에너지'!A391</f>
        <v>46279</v>
      </c>
      <c r="B391" s="1002">
        <f>'09월 조업일지'!B389</f>
        <v>46279</v>
      </c>
      <c r="C391" s="1003" t="str">
        <f>'09월 에너지'!C391</f>
        <v>D</v>
      </c>
      <c r="D391" s="1004" t="str">
        <f>'09월 에너지'!D391</f>
        <v>B</v>
      </c>
      <c r="E391" s="1000">
        <f>'09월 에너지'!E391</f>
        <v>85591</v>
      </c>
      <c r="F391" s="1170" t="str">
        <f>'09월 에너지'!F391</f>
        <v>SHP275W</v>
      </c>
      <c r="G391" s="980"/>
      <c r="H391" s="978"/>
      <c r="I391" s="978">
        <v>7700</v>
      </c>
      <c r="J391" s="978"/>
      <c r="K391" s="978"/>
      <c r="L391" s="978"/>
      <c r="M391" s="978"/>
      <c r="N391" s="978"/>
      <c r="O391" s="1106">
        <f t="shared" si="97"/>
        <v>7700</v>
      </c>
      <c r="P391" s="1108">
        <f>10300+6700+7900+8400+8300+5400</f>
        <v>47000</v>
      </c>
      <c r="Q391" s="979">
        <f>10200+6200</f>
        <v>16400</v>
      </c>
      <c r="R391" s="979">
        <v>7600</v>
      </c>
      <c r="S391" s="979"/>
      <c r="T391" s="979"/>
      <c r="U391" s="979">
        <v>5300</v>
      </c>
      <c r="V391" s="979">
        <f>4100+2000+10100</f>
        <v>16200</v>
      </c>
      <c r="W391" s="979">
        <v>2500</v>
      </c>
      <c r="X391" s="979">
        <v>7800</v>
      </c>
      <c r="Y391" s="979">
        <f>2400+13500+2600</f>
        <v>18500</v>
      </c>
      <c r="Z391" s="979"/>
      <c r="AA391" s="979">
        <v>1900</v>
      </c>
      <c r="AB391" s="979">
        <v>1800</v>
      </c>
      <c r="AC391" s="979">
        <v>1800</v>
      </c>
      <c r="AD391" s="979">
        <v>6100</v>
      </c>
      <c r="AE391" s="1109">
        <f t="shared" si="98"/>
        <v>132900</v>
      </c>
      <c r="AF391" s="1113">
        <v>3300</v>
      </c>
      <c r="AG391" s="981">
        <v>11300</v>
      </c>
      <c r="AH391" s="981">
        <v>3100</v>
      </c>
      <c r="AI391" s="1114">
        <f t="shared" si="99"/>
        <v>17700</v>
      </c>
      <c r="AJ391" s="1110">
        <f t="shared" si="100"/>
        <v>158300</v>
      </c>
      <c r="AK391" s="982">
        <f>'09월 에너지'!S391</f>
        <v>142.6</v>
      </c>
      <c r="AL391" s="983">
        <f t="shared" si="101"/>
        <v>0.90082122552116239</v>
      </c>
    </row>
    <row r="392" spans="1:38" ht="16.5" customHeight="1">
      <c r="A392" s="999">
        <f>'09월 에너지'!A392</f>
        <v>46279</v>
      </c>
      <c r="B392" s="1002">
        <f>'09월 조업일지'!B390</f>
        <v>46279</v>
      </c>
      <c r="C392" s="1003" t="str">
        <f>'09월 에너지'!C392</f>
        <v>D</v>
      </c>
      <c r="D392" s="1004" t="str">
        <f>'09월 에너지'!D392</f>
        <v>A</v>
      </c>
      <c r="E392" s="1000">
        <f>'09월 에너지'!E392</f>
        <v>85592</v>
      </c>
      <c r="F392" s="1094" t="str">
        <f>'09월 에너지'!F392</f>
        <v>SHP275W</v>
      </c>
      <c r="G392" s="980"/>
      <c r="H392" s="978"/>
      <c r="I392" s="978">
        <v>8700</v>
      </c>
      <c r="J392" s="978"/>
      <c r="K392" s="978"/>
      <c r="L392" s="978"/>
      <c r="M392" s="978"/>
      <c r="N392" s="978"/>
      <c r="O392" s="1106">
        <f t="shared" si="97"/>
        <v>8700</v>
      </c>
      <c r="P392" s="1108">
        <f>6200+7700+10200+8400+6200+1800</f>
        <v>40500</v>
      </c>
      <c r="Q392" s="979">
        <f>9200+7200</f>
        <v>16400</v>
      </c>
      <c r="R392" s="979">
        <v>10800</v>
      </c>
      <c r="S392" s="979"/>
      <c r="T392" s="979"/>
      <c r="U392" s="979">
        <v>6900</v>
      </c>
      <c r="V392" s="979">
        <f>4500+1900+9100</f>
        <v>15500</v>
      </c>
      <c r="W392" s="979">
        <v>2800</v>
      </c>
      <c r="X392" s="979">
        <v>7700</v>
      </c>
      <c r="Y392" s="979">
        <f>4200+14300+6500</f>
        <v>25000</v>
      </c>
      <c r="Z392" s="979"/>
      <c r="AA392" s="979">
        <v>1200</v>
      </c>
      <c r="AB392" s="979">
        <v>1800</v>
      </c>
      <c r="AC392" s="979">
        <v>2500</v>
      </c>
      <c r="AD392" s="979">
        <v>2400</v>
      </c>
      <c r="AE392" s="1109">
        <f t="shared" si="98"/>
        <v>133500</v>
      </c>
      <c r="AF392" s="1113">
        <v>3700</v>
      </c>
      <c r="AG392" s="981">
        <v>11500</v>
      </c>
      <c r="AH392" s="981">
        <v>2000</v>
      </c>
      <c r="AI392" s="1114">
        <f t="shared" si="99"/>
        <v>17200</v>
      </c>
      <c r="AJ392" s="1110">
        <f t="shared" si="100"/>
        <v>159400</v>
      </c>
      <c r="AK392" s="982">
        <f>'09월 에너지'!S392</f>
        <v>146.6</v>
      </c>
      <c r="AL392" s="983">
        <f t="shared" si="101"/>
        <v>0.91969887076537016</v>
      </c>
    </row>
    <row r="393" spans="1:38" ht="16.5" customHeight="1">
      <c r="A393" s="999">
        <f>'09월 에너지'!A393</f>
        <v>46279</v>
      </c>
      <c r="B393" s="1002">
        <f>'09월 조업일지'!B391</f>
        <v>46279</v>
      </c>
      <c r="C393" s="1003" t="str">
        <f>'09월 에너지'!C393</f>
        <v>D</v>
      </c>
      <c r="D393" s="1004" t="str">
        <f>'09월 에너지'!D393</f>
        <v>B</v>
      </c>
      <c r="E393" s="1000">
        <f>'09월 에너지'!E393</f>
        <v>85593</v>
      </c>
      <c r="F393" s="1094" t="str">
        <f>'09월 에너지'!F393</f>
        <v>SHP275W</v>
      </c>
      <c r="G393" s="980"/>
      <c r="H393" s="978"/>
      <c r="I393" s="978">
        <v>9000</v>
      </c>
      <c r="J393" s="978"/>
      <c r="K393" s="978"/>
      <c r="L393" s="978"/>
      <c r="M393" s="978"/>
      <c r="N393" s="978"/>
      <c r="O393" s="1106">
        <f t="shared" si="97"/>
        <v>9000</v>
      </c>
      <c r="P393" s="1108">
        <f>9600+7100+11000+6700+8100+4400</f>
        <v>46900</v>
      </c>
      <c r="Q393" s="979">
        <f>9200+6800</f>
        <v>16000</v>
      </c>
      <c r="R393" s="979">
        <v>8600</v>
      </c>
      <c r="S393" s="979"/>
      <c r="T393" s="979"/>
      <c r="U393" s="979">
        <v>5100</v>
      </c>
      <c r="V393" s="979">
        <f>4300+2400+9000</f>
        <v>15700</v>
      </c>
      <c r="W393" s="979">
        <v>1900</v>
      </c>
      <c r="X393" s="979">
        <v>9500</v>
      </c>
      <c r="Y393" s="979">
        <f>2200+10500+3200</f>
        <v>15900</v>
      </c>
      <c r="Z393" s="979"/>
      <c r="AA393" s="979">
        <v>2500</v>
      </c>
      <c r="AB393" s="979">
        <v>1800</v>
      </c>
      <c r="AC393" s="979">
        <v>1800</v>
      </c>
      <c r="AD393" s="979">
        <v>5500</v>
      </c>
      <c r="AE393" s="1109">
        <f t="shared" si="98"/>
        <v>131200</v>
      </c>
      <c r="AF393" s="1113">
        <v>4300</v>
      </c>
      <c r="AG393" s="981">
        <v>9900</v>
      </c>
      <c r="AH393" s="981">
        <v>3700</v>
      </c>
      <c r="AI393" s="1114">
        <f t="shared" si="99"/>
        <v>17900</v>
      </c>
      <c r="AJ393" s="1110">
        <f t="shared" si="100"/>
        <v>158100</v>
      </c>
      <c r="AK393" s="982">
        <f>'09월 에너지'!S393</f>
        <v>145</v>
      </c>
      <c r="AL393" s="983">
        <f t="shared" si="101"/>
        <v>0.91714104996837442</v>
      </c>
    </row>
    <row r="394" spans="1:38" ht="16.5" customHeight="1">
      <c r="A394" s="999">
        <f>'09월 에너지'!A394</f>
        <v>46279</v>
      </c>
      <c r="B394" s="1002">
        <f>'09월 조업일지'!B392</f>
        <v>46279</v>
      </c>
      <c r="C394" s="1003" t="str">
        <f>'09월 에너지'!C394</f>
        <v>D</v>
      </c>
      <c r="D394" s="1004" t="str">
        <f>'09월 에너지'!D394</f>
        <v>A</v>
      </c>
      <c r="E394" s="1000">
        <f>'09월 에너지'!E394</f>
        <v>85594</v>
      </c>
      <c r="F394" s="1094" t="str">
        <f>'09월 에너지'!F394</f>
        <v>SHP275W</v>
      </c>
      <c r="G394" s="980"/>
      <c r="H394" s="978"/>
      <c r="I394" s="978">
        <v>7500</v>
      </c>
      <c r="J394" s="978"/>
      <c r="K394" s="978"/>
      <c r="L394" s="978"/>
      <c r="M394" s="978"/>
      <c r="N394" s="978"/>
      <c r="O394" s="1106">
        <f t="shared" si="97"/>
        <v>7500</v>
      </c>
      <c r="P394" s="1108">
        <f>10400+7100+8000+6200+10200+1400</f>
        <v>43300</v>
      </c>
      <c r="Q394" s="979">
        <f>10200+7500</f>
        <v>17700</v>
      </c>
      <c r="R394" s="979">
        <v>5000</v>
      </c>
      <c r="S394" s="979"/>
      <c r="T394" s="979"/>
      <c r="U394" s="979">
        <v>7400</v>
      </c>
      <c r="V394" s="979">
        <f>5800+2600+8800</f>
        <v>17200</v>
      </c>
      <c r="W394" s="979">
        <v>2500</v>
      </c>
      <c r="X394" s="979">
        <v>9800</v>
      </c>
      <c r="Y394" s="979">
        <f>5500+15900+2400</f>
        <v>23800</v>
      </c>
      <c r="Z394" s="979"/>
      <c r="AA394" s="979">
        <v>1100</v>
      </c>
      <c r="AB394" s="979">
        <v>700</v>
      </c>
      <c r="AC394" s="979">
        <v>1200</v>
      </c>
      <c r="AD394" s="979">
        <v>0</v>
      </c>
      <c r="AE394" s="1109">
        <f t="shared" si="98"/>
        <v>129700</v>
      </c>
      <c r="AF394" s="1113">
        <v>4000</v>
      </c>
      <c r="AG394" s="981">
        <v>13200</v>
      </c>
      <c r="AH394" s="981">
        <v>4500</v>
      </c>
      <c r="AI394" s="1114">
        <f t="shared" si="99"/>
        <v>21700</v>
      </c>
      <c r="AJ394" s="1110">
        <f t="shared" si="100"/>
        <v>158900</v>
      </c>
      <c r="AK394" s="982">
        <f>'09월 에너지'!S394</f>
        <v>140.80000000000001</v>
      </c>
      <c r="AL394" s="983">
        <f t="shared" si="101"/>
        <v>0.88609188168659536</v>
      </c>
    </row>
    <row r="395" spans="1:38" ht="16.5" customHeight="1">
      <c r="A395" s="999">
        <f>'09월 에너지'!A395</f>
        <v>46279</v>
      </c>
      <c r="B395" s="1002">
        <f>'09월 조업일지'!B393</f>
        <v>46279</v>
      </c>
      <c r="C395" s="1003" t="str">
        <f>'09월 에너지'!C395</f>
        <v>D</v>
      </c>
      <c r="D395" s="1004" t="str">
        <f>'09월 에너지'!D395</f>
        <v>B</v>
      </c>
      <c r="E395" s="1000">
        <f>'09월 에너지'!E395</f>
        <v>85595</v>
      </c>
      <c r="F395" s="1094" t="str">
        <f>'09월 에너지'!F395</f>
        <v>SHP275W</v>
      </c>
      <c r="G395" s="980"/>
      <c r="H395" s="978"/>
      <c r="I395" s="978">
        <v>10000</v>
      </c>
      <c r="J395" s="978"/>
      <c r="K395" s="978"/>
      <c r="L395" s="978"/>
      <c r="M395" s="978"/>
      <c r="N395" s="978"/>
      <c r="O395" s="1106">
        <f t="shared" si="97"/>
        <v>10000</v>
      </c>
      <c r="P395" s="1108">
        <f>11200+7000+7100+8400+8500+4900</f>
        <v>47100</v>
      </c>
      <c r="Q395" s="979">
        <f>12000+4600</f>
        <v>16600</v>
      </c>
      <c r="R395" s="979">
        <v>8300</v>
      </c>
      <c r="S395" s="979"/>
      <c r="T395" s="979"/>
      <c r="U395" s="979">
        <v>4700</v>
      </c>
      <c r="V395" s="979">
        <f>4600+5000+9400</f>
        <v>19000</v>
      </c>
      <c r="W395" s="979">
        <v>2600</v>
      </c>
      <c r="X395" s="979">
        <v>7400</v>
      </c>
      <c r="Y395" s="979">
        <f>3400+10100+2600</f>
        <v>16100</v>
      </c>
      <c r="Z395" s="979"/>
      <c r="AA395" s="979">
        <v>2100</v>
      </c>
      <c r="AB395" s="979">
        <v>1900</v>
      </c>
      <c r="AC395" s="979">
        <v>1500</v>
      </c>
      <c r="AD395" s="979">
        <v>5500</v>
      </c>
      <c r="AE395" s="1109">
        <f t="shared" si="98"/>
        <v>132800</v>
      </c>
      <c r="AF395" s="1113">
        <v>4500</v>
      </c>
      <c r="AG395" s="981">
        <v>9000</v>
      </c>
      <c r="AH395" s="981">
        <v>3100</v>
      </c>
      <c r="AI395" s="1114">
        <f t="shared" si="99"/>
        <v>16600</v>
      </c>
      <c r="AJ395" s="1110">
        <f t="shared" si="100"/>
        <v>159400</v>
      </c>
      <c r="AK395" s="982">
        <f>'09월 에너지'!S395</f>
        <v>142.69999999999999</v>
      </c>
      <c r="AL395" s="983">
        <f t="shared" si="101"/>
        <v>0.89523212045169387</v>
      </c>
    </row>
    <row r="396" spans="1:38" ht="16.5" customHeight="1">
      <c r="A396" s="999">
        <f>'09월 에너지'!A396</f>
        <v>46279</v>
      </c>
      <c r="B396" s="1002">
        <f>'09월 조업일지'!B394</f>
        <v>46279</v>
      </c>
      <c r="C396" s="1003" t="str">
        <f>'09월 에너지'!C396</f>
        <v>D</v>
      </c>
      <c r="D396" s="1004" t="str">
        <f>'09월 에너지'!D396</f>
        <v>A</v>
      </c>
      <c r="E396" s="1000">
        <f>'09월 에너지'!E396</f>
        <v>85596</v>
      </c>
      <c r="F396" s="1094" t="str">
        <f>'09월 에너지'!F396</f>
        <v>SHP275W</v>
      </c>
      <c r="G396" s="980"/>
      <c r="H396" s="978"/>
      <c r="I396" s="978">
        <v>11100</v>
      </c>
      <c r="J396" s="978"/>
      <c r="K396" s="978"/>
      <c r="L396" s="978"/>
      <c r="M396" s="978"/>
      <c r="N396" s="978"/>
      <c r="O396" s="1106">
        <f t="shared" si="97"/>
        <v>11100</v>
      </c>
      <c r="P396" s="1108">
        <f>11400+6400+8900+6600+1300+9800</f>
        <v>44400</v>
      </c>
      <c r="Q396" s="979">
        <f>11000+7000</f>
        <v>18000</v>
      </c>
      <c r="R396" s="979">
        <v>6800</v>
      </c>
      <c r="S396" s="979"/>
      <c r="T396" s="979"/>
      <c r="U396" s="979">
        <v>3700</v>
      </c>
      <c r="V396" s="979">
        <f>3000+7100+10300</f>
        <v>20400</v>
      </c>
      <c r="W396" s="979">
        <v>1200</v>
      </c>
      <c r="X396" s="979">
        <v>10200</v>
      </c>
      <c r="Y396" s="979">
        <f>13700+0</f>
        <v>13700</v>
      </c>
      <c r="Z396" s="979"/>
      <c r="AA396" s="979">
        <v>2200</v>
      </c>
      <c r="AB396" s="979">
        <v>9600</v>
      </c>
      <c r="AC396" s="979">
        <v>3000</v>
      </c>
      <c r="AD396" s="979">
        <v>4000</v>
      </c>
      <c r="AE396" s="1109">
        <f t="shared" si="98"/>
        <v>137200</v>
      </c>
      <c r="AF396" s="1113">
        <v>3100</v>
      </c>
      <c r="AG396" s="981">
        <v>2500</v>
      </c>
      <c r="AH396" s="981">
        <v>4400</v>
      </c>
      <c r="AI396" s="1114">
        <f t="shared" si="99"/>
        <v>10000</v>
      </c>
      <c r="AJ396" s="1110">
        <f t="shared" si="100"/>
        <v>158300</v>
      </c>
      <c r="AK396" s="982">
        <f>'09월 에너지'!S396</f>
        <v>142.19999999999999</v>
      </c>
      <c r="AL396" s="983">
        <f t="shared" si="101"/>
        <v>0.89829437776373977</v>
      </c>
    </row>
    <row r="397" spans="1:38" ht="16.5" customHeight="1">
      <c r="A397" s="999">
        <f>'09월 에너지'!A397</f>
        <v>46279</v>
      </c>
      <c r="B397" s="1002">
        <f>'09월 조업일지'!B395</f>
        <v>46279</v>
      </c>
      <c r="C397" s="1003" t="str">
        <f>'09월 에너지'!C397</f>
        <v>D</v>
      </c>
      <c r="D397" s="1004" t="str">
        <f>'09월 에너지'!D397</f>
        <v>B</v>
      </c>
      <c r="E397" s="1000">
        <f>'09월 에너지'!E397</f>
        <v>85597</v>
      </c>
      <c r="F397" s="1094" t="str">
        <f>'09월 에너지'!F397</f>
        <v>SHP275W</v>
      </c>
      <c r="G397" s="980"/>
      <c r="H397" s="978"/>
      <c r="I397" s="978">
        <v>5600</v>
      </c>
      <c r="J397" s="978"/>
      <c r="K397" s="978"/>
      <c r="L397" s="978"/>
      <c r="M397" s="978"/>
      <c r="N397" s="978"/>
      <c r="O397" s="1106">
        <f t="shared" si="97"/>
        <v>5600</v>
      </c>
      <c r="P397" s="1108">
        <f>12600+7900+7600+7600+7700+4700</f>
        <v>48100</v>
      </c>
      <c r="Q397" s="979">
        <f>12300+5500</f>
        <v>17800</v>
      </c>
      <c r="R397" s="979">
        <v>6200</v>
      </c>
      <c r="S397" s="979"/>
      <c r="T397" s="979"/>
      <c r="U397" s="979">
        <v>5300</v>
      </c>
      <c r="V397" s="979">
        <f>2800+3100+10000</f>
        <v>15900</v>
      </c>
      <c r="W397" s="979">
        <v>2800</v>
      </c>
      <c r="X397" s="979">
        <v>8100</v>
      </c>
      <c r="Y397" s="979">
        <f>4100+12200+3200</f>
        <v>19500</v>
      </c>
      <c r="Z397" s="979"/>
      <c r="AA397" s="979">
        <v>2500</v>
      </c>
      <c r="AB397" s="979">
        <v>3100</v>
      </c>
      <c r="AC397" s="979">
        <v>2000</v>
      </c>
      <c r="AD397" s="979">
        <v>4000</v>
      </c>
      <c r="AE397" s="1109">
        <f t="shared" si="98"/>
        <v>135300</v>
      </c>
      <c r="AF397" s="1113">
        <v>3500</v>
      </c>
      <c r="AG397" s="981">
        <v>10000</v>
      </c>
      <c r="AH397" s="981">
        <v>4200</v>
      </c>
      <c r="AI397" s="1114">
        <f t="shared" si="99"/>
        <v>17700</v>
      </c>
      <c r="AJ397" s="1110">
        <f t="shared" si="100"/>
        <v>158600</v>
      </c>
      <c r="AK397" s="982">
        <f>'09월 에너지'!S397</f>
        <v>144.1</v>
      </c>
      <c r="AL397" s="983">
        <f t="shared" si="101"/>
        <v>0.90857503152585117</v>
      </c>
    </row>
    <row r="398" spans="1:38" ht="16.5" customHeight="1">
      <c r="A398" s="999">
        <f>'09월 에너지'!A398</f>
        <v>46279</v>
      </c>
      <c r="B398" s="1002">
        <f>'09월 조업일지'!B396</f>
        <v>46279</v>
      </c>
      <c r="C398" s="1003" t="str">
        <f>'09월 에너지'!C398</f>
        <v>D</v>
      </c>
      <c r="D398" s="1004" t="str">
        <f>'09월 에너지'!D398</f>
        <v>A</v>
      </c>
      <c r="E398" s="1000">
        <f>'09월 에너지'!E398</f>
        <v>85598</v>
      </c>
      <c r="F398" s="1094" t="str">
        <f>'09월 에너지'!F398</f>
        <v>SHP275W</v>
      </c>
      <c r="G398" s="980"/>
      <c r="H398" s="978"/>
      <c r="I398" s="978">
        <v>7300</v>
      </c>
      <c r="J398" s="978"/>
      <c r="K398" s="978"/>
      <c r="L398" s="978"/>
      <c r="M398" s="978"/>
      <c r="N398" s="978"/>
      <c r="O398" s="1106">
        <f t="shared" si="97"/>
        <v>7300</v>
      </c>
      <c r="P398" s="1108">
        <f>7300+11200+5300+8000+6300+3000</f>
        <v>41100</v>
      </c>
      <c r="Q398" s="979">
        <f>4500+7200</f>
        <v>11700</v>
      </c>
      <c r="R398" s="979">
        <v>6200</v>
      </c>
      <c r="S398" s="979"/>
      <c r="T398" s="979"/>
      <c r="U398" s="979">
        <v>5600</v>
      </c>
      <c r="V398" s="979">
        <f>4000+2500+9000</f>
        <v>15500</v>
      </c>
      <c r="W398" s="979">
        <v>800</v>
      </c>
      <c r="X398" s="979">
        <v>8800</v>
      </c>
      <c r="Y398" s="979">
        <f>4900+22000+6600</f>
        <v>33500</v>
      </c>
      <c r="Z398" s="979"/>
      <c r="AA398" s="979">
        <v>4000</v>
      </c>
      <c r="AB398" s="979">
        <v>1300</v>
      </c>
      <c r="AC398" s="979">
        <v>400</v>
      </c>
      <c r="AD398" s="979">
        <v>2500</v>
      </c>
      <c r="AE398" s="1109">
        <f t="shared" si="98"/>
        <v>131400</v>
      </c>
      <c r="AF398" s="1113">
        <v>6000</v>
      </c>
      <c r="AG398" s="981">
        <v>11000</v>
      </c>
      <c r="AH398" s="981">
        <v>4400</v>
      </c>
      <c r="AI398" s="1114">
        <f t="shared" si="99"/>
        <v>21400</v>
      </c>
      <c r="AJ398" s="1110">
        <f t="shared" si="100"/>
        <v>160100</v>
      </c>
      <c r="AK398" s="982">
        <f>'09월 에너지'!S398</f>
        <v>140.9</v>
      </c>
      <c r="AL398" s="983">
        <f t="shared" si="101"/>
        <v>0.88007495315427853</v>
      </c>
    </row>
    <row r="399" spans="1:38" ht="16.5" customHeight="1">
      <c r="A399" s="999">
        <f>'09월 에너지'!A399</f>
        <v>46279</v>
      </c>
      <c r="B399" s="1002">
        <f>'09월 조업일지'!B397</f>
        <v>46279</v>
      </c>
      <c r="C399" s="1003" t="str">
        <f>'09월 에너지'!C399</f>
        <v>A</v>
      </c>
      <c r="D399" s="1004" t="str">
        <f>'09월 에너지'!D399</f>
        <v>B</v>
      </c>
      <c r="E399" s="1000">
        <f>'09월 에너지'!E399</f>
        <v>85599</v>
      </c>
      <c r="F399" s="1094" t="str">
        <f>'09월 에너지'!F399</f>
        <v>SHP275W</v>
      </c>
      <c r="G399" s="980">
        <v>0</v>
      </c>
      <c r="H399" s="978">
        <v>0</v>
      </c>
      <c r="I399" s="978">
        <v>9400</v>
      </c>
      <c r="J399" s="978">
        <v>0</v>
      </c>
      <c r="K399" s="978">
        <v>0</v>
      </c>
      <c r="L399" s="978">
        <v>0</v>
      </c>
      <c r="M399" s="978">
        <v>0</v>
      </c>
      <c r="N399" s="978">
        <v>0</v>
      </c>
      <c r="O399" s="1106">
        <f t="shared" ref="O399:O462" si="102">IF(SUM(G399:N399)=0,"",SUM(G399:N399))</f>
        <v>9400</v>
      </c>
      <c r="P399" s="1108">
        <f>9900+8100+7600+7500+8200+6000</f>
        <v>47300</v>
      </c>
      <c r="Q399" s="979">
        <f>8000+5500</f>
        <v>13500</v>
      </c>
      <c r="R399" s="979">
        <v>7800</v>
      </c>
      <c r="S399" s="979">
        <v>0</v>
      </c>
      <c r="T399" s="979">
        <v>0</v>
      </c>
      <c r="U399" s="979">
        <v>6000</v>
      </c>
      <c r="V399" s="979">
        <f>4300+2300+8800</f>
        <v>15400</v>
      </c>
      <c r="W399" s="979">
        <v>2400</v>
      </c>
      <c r="X399" s="979">
        <v>8100</v>
      </c>
      <c r="Y399" s="979">
        <f>2800+11500+3500</f>
        <v>17800</v>
      </c>
      <c r="Z399" s="979">
        <v>0</v>
      </c>
      <c r="AA399" s="979">
        <v>2700</v>
      </c>
      <c r="AB399" s="979">
        <v>2200</v>
      </c>
      <c r="AC399" s="979">
        <v>1000</v>
      </c>
      <c r="AD399" s="979">
        <v>4500</v>
      </c>
      <c r="AE399" s="1109">
        <f t="shared" ref="AE399:AE462" si="103">IF(SUM(P399:AD399)=0,"",SUM(P399:AD399))</f>
        <v>128700</v>
      </c>
      <c r="AF399" s="1113">
        <v>4400</v>
      </c>
      <c r="AG399" s="981">
        <v>10800</v>
      </c>
      <c r="AH399" s="981">
        <v>5600</v>
      </c>
      <c r="AI399" s="1114">
        <f t="shared" ref="AI399:AI462" si="104">IF(SUM(AF399:AH399)=0,"",SUM(AF399:AH399))</f>
        <v>20800</v>
      </c>
      <c r="AJ399" s="1110">
        <f t="shared" ref="AJ399:AJ462" si="105">IF(SUM(O399,AE399,AI399)=0,"",SUM(O399,AE399,AI399))</f>
        <v>158900</v>
      </c>
      <c r="AK399" s="982">
        <f>'09월 에너지'!S399</f>
        <v>140.4</v>
      </c>
      <c r="AL399" s="983">
        <f t="shared" ref="AL399:AL462" si="106">IF(ISERROR(IF(AK399="","",(AK399*1000)/AJ399)),0,(IF(AK399="","",(AK399*1000)/AJ399)))</f>
        <v>0.8835745752045312</v>
      </c>
    </row>
    <row r="400" spans="1:38" ht="16.5" customHeight="1">
      <c r="A400" s="999">
        <f>'09월 에너지'!A400</f>
        <v>46279</v>
      </c>
      <c r="B400" s="1002">
        <f>'09월 조업일지'!B398</f>
        <v>46279</v>
      </c>
      <c r="C400" s="1003" t="str">
        <f>'09월 에너지'!C400</f>
        <v>A</v>
      </c>
      <c r="D400" s="1004" t="str">
        <f>'09월 에너지'!D400</f>
        <v>A</v>
      </c>
      <c r="E400" s="1000">
        <f>'09월 에너지'!E400</f>
        <v>85600</v>
      </c>
      <c r="F400" s="1094" t="str">
        <f>'09월 에너지'!F400</f>
        <v>SHP275W</v>
      </c>
      <c r="G400" s="980">
        <v>0</v>
      </c>
      <c r="H400" s="978">
        <v>0</v>
      </c>
      <c r="I400" s="978">
        <v>7400</v>
      </c>
      <c r="J400" s="978">
        <v>0</v>
      </c>
      <c r="K400" s="978">
        <v>0</v>
      </c>
      <c r="L400" s="978">
        <v>0</v>
      </c>
      <c r="M400" s="978">
        <v>0</v>
      </c>
      <c r="N400" s="978">
        <v>0</v>
      </c>
      <c r="O400" s="1106">
        <f t="shared" si="102"/>
        <v>7400</v>
      </c>
      <c r="P400" s="1108">
        <f>11100+8100+5800+6800+9200+3200</f>
        <v>44200</v>
      </c>
      <c r="Q400" s="979">
        <f>6500+5300</f>
        <v>11800</v>
      </c>
      <c r="R400" s="979">
        <v>9400</v>
      </c>
      <c r="S400" s="979">
        <v>0</v>
      </c>
      <c r="T400" s="979">
        <v>0</v>
      </c>
      <c r="U400" s="979">
        <v>5300</v>
      </c>
      <c r="V400" s="979">
        <f>6100+1600+9300</f>
        <v>17000</v>
      </c>
      <c r="W400" s="979">
        <v>2900</v>
      </c>
      <c r="X400" s="979">
        <v>8400</v>
      </c>
      <c r="Y400" s="979">
        <f>500+14000+4600</f>
        <v>19100</v>
      </c>
      <c r="Z400" s="979">
        <v>0</v>
      </c>
      <c r="AA400" s="979">
        <v>1300</v>
      </c>
      <c r="AB400" s="979">
        <v>1200</v>
      </c>
      <c r="AC400" s="979">
        <v>3200</v>
      </c>
      <c r="AD400" s="979">
        <v>6700</v>
      </c>
      <c r="AE400" s="1109">
        <f t="shared" si="103"/>
        <v>130500</v>
      </c>
      <c r="AF400" s="1113">
        <v>4000</v>
      </c>
      <c r="AG400" s="981">
        <v>11400</v>
      </c>
      <c r="AH400" s="981">
        <v>5100</v>
      </c>
      <c r="AI400" s="1114">
        <f t="shared" si="104"/>
        <v>20500</v>
      </c>
      <c r="AJ400" s="1110">
        <f t="shared" si="105"/>
        <v>158400</v>
      </c>
      <c r="AK400" s="982">
        <f>'09월 에너지'!S400</f>
        <v>142</v>
      </c>
      <c r="AL400" s="983">
        <f t="shared" si="106"/>
        <v>0.89646464646464652</v>
      </c>
    </row>
    <row r="401" spans="1:38" ht="16.5" customHeight="1">
      <c r="A401" s="999">
        <f>'09월 에너지'!A401</f>
        <v>46279</v>
      </c>
      <c r="B401" s="1002">
        <f>'09월 조업일지'!B399</f>
        <v>46279</v>
      </c>
      <c r="C401" s="1003" t="str">
        <f>'09월 에너지'!C401</f>
        <v>A</v>
      </c>
      <c r="D401" s="1004" t="str">
        <f>'09월 에너지'!D401</f>
        <v>B</v>
      </c>
      <c r="E401" s="1000">
        <f>'09월 에너지'!E401</f>
        <v>85601</v>
      </c>
      <c r="F401" s="1094" t="str">
        <f>'09월 에너지'!F401</f>
        <v>SHP275W</v>
      </c>
      <c r="G401" s="980">
        <v>0</v>
      </c>
      <c r="H401" s="978">
        <v>0</v>
      </c>
      <c r="I401" s="978">
        <v>9100</v>
      </c>
      <c r="J401" s="978">
        <v>0</v>
      </c>
      <c r="K401" s="978">
        <v>0</v>
      </c>
      <c r="L401" s="978">
        <v>0</v>
      </c>
      <c r="M401" s="978">
        <v>0</v>
      </c>
      <c r="N401" s="978">
        <v>0</v>
      </c>
      <c r="O401" s="1106">
        <f t="shared" si="102"/>
        <v>9100</v>
      </c>
      <c r="P401" s="1108">
        <f>9600+8400+10200+7500+9400+2400</f>
        <v>47500</v>
      </c>
      <c r="Q401" s="979">
        <f>10300+10000</f>
        <v>20300</v>
      </c>
      <c r="R401" s="979">
        <v>7900</v>
      </c>
      <c r="S401" s="979">
        <v>0</v>
      </c>
      <c r="T401" s="979">
        <v>0</v>
      </c>
      <c r="U401" s="979">
        <v>6900</v>
      </c>
      <c r="V401" s="979">
        <f>2700+700+8800</f>
        <v>12200</v>
      </c>
      <c r="W401" s="979">
        <v>1500</v>
      </c>
      <c r="X401" s="979">
        <v>9000</v>
      </c>
      <c r="Y401" s="979">
        <f>1100+14100+100</f>
        <v>15300</v>
      </c>
      <c r="Z401" s="979">
        <v>0</v>
      </c>
      <c r="AA401" s="979">
        <v>2000</v>
      </c>
      <c r="AB401" s="979">
        <v>2000</v>
      </c>
      <c r="AC401" s="979">
        <v>3000</v>
      </c>
      <c r="AD401" s="979">
        <v>3600</v>
      </c>
      <c r="AE401" s="1109">
        <f t="shared" si="103"/>
        <v>131200</v>
      </c>
      <c r="AF401" s="1113">
        <v>4000</v>
      </c>
      <c r="AG401" s="981">
        <v>7200</v>
      </c>
      <c r="AH401" s="981">
        <v>7500</v>
      </c>
      <c r="AI401" s="1114">
        <f t="shared" si="104"/>
        <v>18700</v>
      </c>
      <c r="AJ401" s="1110">
        <f t="shared" si="105"/>
        <v>159000</v>
      </c>
      <c r="AK401" s="982">
        <f>'09월 에너지'!S401</f>
        <v>142.5</v>
      </c>
      <c r="AL401" s="983">
        <f t="shared" si="106"/>
        <v>0.89622641509433965</v>
      </c>
    </row>
    <row r="402" spans="1:38" ht="16.5" customHeight="1">
      <c r="A402" s="999">
        <f>'09월 에너지'!A402</f>
        <v>46279</v>
      </c>
      <c r="B402" s="1002">
        <f>'09월 조업일지'!B400</f>
        <v>46279</v>
      </c>
      <c r="C402" s="1003" t="str">
        <f>'09월 에너지'!C402</f>
        <v>A</v>
      </c>
      <c r="D402" s="1004" t="str">
        <f>'09월 에너지'!D402</f>
        <v>A</v>
      </c>
      <c r="E402" s="1000">
        <f>'09월 에너지'!E402</f>
        <v>85602</v>
      </c>
      <c r="F402" s="1094" t="str">
        <f>'09월 에너지'!F402</f>
        <v>SHP275W</v>
      </c>
      <c r="G402" s="980">
        <v>0</v>
      </c>
      <c r="H402" s="978">
        <v>0</v>
      </c>
      <c r="I402" s="978">
        <v>8100</v>
      </c>
      <c r="J402" s="978">
        <v>0</v>
      </c>
      <c r="K402" s="978">
        <v>0</v>
      </c>
      <c r="L402" s="978">
        <v>0</v>
      </c>
      <c r="M402" s="978">
        <v>0</v>
      </c>
      <c r="N402" s="978">
        <v>0</v>
      </c>
      <c r="O402" s="1106">
        <f t="shared" si="102"/>
        <v>8100</v>
      </c>
      <c r="P402" s="1108">
        <f>3900+2400+2800+8300+7100+10600</f>
        <v>35100</v>
      </c>
      <c r="Q402" s="979">
        <f>8700+1800</f>
        <v>10500</v>
      </c>
      <c r="R402" s="979">
        <v>11800</v>
      </c>
      <c r="S402" s="979">
        <v>0</v>
      </c>
      <c r="T402" s="979">
        <v>0</v>
      </c>
      <c r="U402" s="979">
        <v>1900</v>
      </c>
      <c r="V402" s="979">
        <f>7600+2900+8700</f>
        <v>19200</v>
      </c>
      <c r="W402" s="979">
        <v>2300</v>
      </c>
      <c r="X402" s="979">
        <v>8000</v>
      </c>
      <c r="Y402" s="979">
        <f>7100+11800+5500</f>
        <v>24400</v>
      </c>
      <c r="Z402" s="979">
        <v>0</v>
      </c>
      <c r="AA402" s="979">
        <v>2200</v>
      </c>
      <c r="AB402" s="979">
        <v>600</v>
      </c>
      <c r="AC402" s="979">
        <v>2300</v>
      </c>
      <c r="AD402" s="979">
        <v>9600</v>
      </c>
      <c r="AE402" s="1109">
        <f t="shared" si="103"/>
        <v>127900</v>
      </c>
      <c r="AF402" s="1113">
        <v>4100</v>
      </c>
      <c r="AG402" s="981">
        <v>8800</v>
      </c>
      <c r="AH402" s="981">
        <v>9100</v>
      </c>
      <c r="AI402" s="1114">
        <f t="shared" si="104"/>
        <v>22000</v>
      </c>
      <c r="AJ402" s="1110">
        <f t="shared" si="105"/>
        <v>158000</v>
      </c>
      <c r="AK402" s="982">
        <f>'09월 에너지'!S402</f>
        <v>144.6</v>
      </c>
      <c r="AL402" s="983">
        <f t="shared" si="106"/>
        <v>0.91518987341772151</v>
      </c>
    </row>
    <row r="403" spans="1:38" ht="16.5" customHeight="1">
      <c r="A403" s="999">
        <f>'09월 에너지'!A403</f>
        <v>46279</v>
      </c>
      <c r="B403" s="1002">
        <f>'09월 조업일지'!B401</f>
        <v>46279</v>
      </c>
      <c r="C403" s="1003" t="str">
        <f>'09월 에너지'!C403</f>
        <v>A</v>
      </c>
      <c r="D403" s="1004" t="str">
        <f>'09월 에너지'!D403</f>
        <v>B</v>
      </c>
      <c r="E403" s="1000">
        <f>'09월 에너지'!E403</f>
        <v>85603</v>
      </c>
      <c r="F403" s="1094" t="str">
        <f>'09월 에너지'!F403</f>
        <v>SHP275W</v>
      </c>
      <c r="G403" s="980">
        <v>0</v>
      </c>
      <c r="H403" s="978">
        <v>0</v>
      </c>
      <c r="I403" s="978">
        <v>7700</v>
      </c>
      <c r="J403" s="978">
        <v>0</v>
      </c>
      <c r="K403" s="978">
        <v>0</v>
      </c>
      <c r="L403" s="978">
        <v>0</v>
      </c>
      <c r="M403" s="978">
        <v>0</v>
      </c>
      <c r="N403" s="978">
        <v>0</v>
      </c>
      <c r="O403" s="1106">
        <f t="shared" si="102"/>
        <v>7700</v>
      </c>
      <c r="P403" s="1108">
        <f>8600+13000+8000+8800+10500+2100</f>
        <v>51000</v>
      </c>
      <c r="Q403" s="979">
        <f>11400+7000</f>
        <v>18400</v>
      </c>
      <c r="R403" s="979">
        <v>10200</v>
      </c>
      <c r="S403" s="979">
        <v>0</v>
      </c>
      <c r="T403" s="979">
        <v>0</v>
      </c>
      <c r="U403" s="979">
        <v>7500</v>
      </c>
      <c r="V403" s="979">
        <f>2100+2400+9700</f>
        <v>14200</v>
      </c>
      <c r="W403" s="979">
        <v>2800</v>
      </c>
      <c r="X403" s="979">
        <v>6900</v>
      </c>
      <c r="Y403" s="979">
        <v>12800</v>
      </c>
      <c r="Z403" s="979">
        <v>0</v>
      </c>
      <c r="AA403" s="979">
        <v>5700</v>
      </c>
      <c r="AB403" s="979">
        <v>3200</v>
      </c>
      <c r="AC403" s="979">
        <v>1300</v>
      </c>
      <c r="AD403" s="979">
        <v>2900</v>
      </c>
      <c r="AE403" s="1109">
        <f t="shared" si="103"/>
        <v>136900</v>
      </c>
      <c r="AF403" s="1113">
        <v>5000</v>
      </c>
      <c r="AG403" s="981">
        <v>5800</v>
      </c>
      <c r="AH403" s="981">
        <v>3000</v>
      </c>
      <c r="AI403" s="1114">
        <f t="shared" si="104"/>
        <v>13800</v>
      </c>
      <c r="AJ403" s="1110">
        <f t="shared" si="105"/>
        <v>158400</v>
      </c>
      <c r="AK403" s="982">
        <f>'09월 에너지'!S403</f>
        <v>141.4</v>
      </c>
      <c r="AL403" s="983">
        <f t="shared" si="106"/>
        <v>0.89267676767676762</v>
      </c>
    </row>
    <row r="404" spans="1:38" ht="16.5" customHeight="1">
      <c r="A404" s="999">
        <f>'09월 에너지'!A404</f>
        <v>46279</v>
      </c>
      <c r="B404" s="1002">
        <f>'09월 조업일지'!B402</f>
        <v>46279</v>
      </c>
      <c r="C404" s="1003" t="str">
        <f>'09월 에너지'!C404</f>
        <v>A</v>
      </c>
      <c r="D404" s="1004" t="str">
        <f>'09월 에너지'!D404</f>
        <v>A</v>
      </c>
      <c r="E404" s="1000">
        <f>'09월 에너지'!E404</f>
        <v>85604</v>
      </c>
      <c r="F404" s="1094" t="str">
        <f>'09월 에너지'!F404</f>
        <v>SHP275W</v>
      </c>
      <c r="G404" s="980">
        <v>0</v>
      </c>
      <c r="H404" s="978">
        <v>0</v>
      </c>
      <c r="I404" s="978">
        <v>8100</v>
      </c>
      <c r="J404" s="978">
        <v>0</v>
      </c>
      <c r="K404" s="978">
        <v>0</v>
      </c>
      <c r="L404" s="978">
        <v>0</v>
      </c>
      <c r="M404" s="978">
        <v>0</v>
      </c>
      <c r="N404" s="978">
        <v>0</v>
      </c>
      <c r="O404" s="1106">
        <f t="shared" si="102"/>
        <v>8100</v>
      </c>
      <c r="P404" s="1108">
        <f>4300+2100+8400+7400+2400+6100</f>
        <v>30700</v>
      </c>
      <c r="Q404" s="979">
        <f>13700+2100</f>
        <v>15800</v>
      </c>
      <c r="R404" s="979">
        <v>3000</v>
      </c>
      <c r="S404" s="979">
        <v>0</v>
      </c>
      <c r="T404" s="979">
        <v>0</v>
      </c>
      <c r="U404" s="979">
        <v>7700</v>
      </c>
      <c r="V404" s="979">
        <f>9100+7900+9000</f>
        <v>26000</v>
      </c>
      <c r="W404" s="979">
        <v>3000</v>
      </c>
      <c r="X404" s="979">
        <v>8000</v>
      </c>
      <c r="Y404" s="979">
        <f>3600+7700+4500</f>
        <v>15800</v>
      </c>
      <c r="Z404" s="979">
        <v>0</v>
      </c>
      <c r="AA404" s="979">
        <v>4800</v>
      </c>
      <c r="AB404" s="979">
        <v>1200</v>
      </c>
      <c r="AC404" s="979">
        <v>900</v>
      </c>
      <c r="AD404" s="979">
        <v>7500</v>
      </c>
      <c r="AE404" s="1109">
        <f t="shared" si="103"/>
        <v>124400</v>
      </c>
      <c r="AF404" s="1113">
        <v>4900</v>
      </c>
      <c r="AG404" s="981">
        <v>11000</v>
      </c>
      <c r="AH404" s="981">
        <v>10000</v>
      </c>
      <c r="AI404" s="1114">
        <f t="shared" si="104"/>
        <v>25900</v>
      </c>
      <c r="AJ404" s="1110">
        <f t="shared" si="105"/>
        <v>158400</v>
      </c>
      <c r="AK404" s="982">
        <f>'09월 에너지'!S404</f>
        <v>145</v>
      </c>
      <c r="AL404" s="983">
        <f t="shared" si="106"/>
        <v>0.91540404040404044</v>
      </c>
    </row>
    <row r="405" spans="1:38" ht="16.5" customHeight="1">
      <c r="A405" s="999">
        <f>'09월 에너지'!A405</f>
        <v>46279</v>
      </c>
      <c r="B405" s="1002">
        <f>'09월 조업일지'!B403</f>
        <v>46279</v>
      </c>
      <c r="C405" s="1003" t="str">
        <f>'09월 에너지'!C405</f>
        <v>A</v>
      </c>
      <c r="D405" s="1004" t="str">
        <f>'09월 에너지'!D405</f>
        <v>B</v>
      </c>
      <c r="E405" s="1000">
        <f>'09월 에너지'!E405</f>
        <v>85605</v>
      </c>
      <c r="F405" s="1094" t="str">
        <f>'09월 에너지'!F405</f>
        <v>SHP275W</v>
      </c>
      <c r="G405" s="980">
        <v>0</v>
      </c>
      <c r="H405" s="978">
        <v>0</v>
      </c>
      <c r="I405" s="978">
        <v>4000</v>
      </c>
      <c r="J405" s="978">
        <v>0</v>
      </c>
      <c r="K405" s="978">
        <v>0</v>
      </c>
      <c r="L405" s="978">
        <v>0</v>
      </c>
      <c r="M405" s="978">
        <v>0</v>
      </c>
      <c r="N405" s="978">
        <v>0</v>
      </c>
      <c r="O405" s="1106">
        <f t="shared" si="102"/>
        <v>4000</v>
      </c>
      <c r="P405" s="1108">
        <f>10900+3700+5900+7100+10000+6000</f>
        <v>43600</v>
      </c>
      <c r="Q405" s="979">
        <f>12300+5900</f>
        <v>18200</v>
      </c>
      <c r="R405" s="979">
        <v>6900</v>
      </c>
      <c r="S405" s="979">
        <v>0</v>
      </c>
      <c r="T405" s="979">
        <v>0</v>
      </c>
      <c r="U405" s="979">
        <v>7500</v>
      </c>
      <c r="V405" s="979">
        <f>2000+100+8900</f>
        <v>11000</v>
      </c>
      <c r="W405" s="979">
        <v>4700</v>
      </c>
      <c r="X405" s="979">
        <v>7100</v>
      </c>
      <c r="Y405" s="979">
        <f>3500+12200</f>
        <v>15700</v>
      </c>
      <c r="Z405" s="979">
        <v>0</v>
      </c>
      <c r="AA405" s="979">
        <v>7200</v>
      </c>
      <c r="AB405" s="979">
        <v>8900</v>
      </c>
      <c r="AC405" s="979">
        <v>3200</v>
      </c>
      <c r="AD405" s="979">
        <v>6800</v>
      </c>
      <c r="AE405" s="1109">
        <f t="shared" si="103"/>
        <v>140800</v>
      </c>
      <c r="AF405" s="1113">
        <v>3800</v>
      </c>
      <c r="AG405" s="981">
        <v>7200</v>
      </c>
      <c r="AH405" s="981">
        <v>2400</v>
      </c>
      <c r="AI405" s="1114">
        <f t="shared" si="104"/>
        <v>13400</v>
      </c>
      <c r="AJ405" s="1110">
        <f t="shared" si="105"/>
        <v>158200</v>
      </c>
      <c r="AK405" s="982">
        <f>'09월 에너지'!S405</f>
        <v>142.5</v>
      </c>
      <c r="AL405" s="983">
        <f t="shared" si="106"/>
        <v>0.90075853350189639</v>
      </c>
    </row>
    <row r="406" spans="1:38" ht="16.5" customHeight="1">
      <c r="A406" s="999">
        <f>'09월 에너지'!A406</f>
        <v>46279</v>
      </c>
      <c r="B406" s="1002">
        <f>'09월 조업일지'!B404</f>
        <v>46279</v>
      </c>
      <c r="C406" s="1003" t="str">
        <f>'09월 에너지'!C406</f>
        <v>A</v>
      </c>
      <c r="D406" s="1004" t="str">
        <f>'09월 에너지'!D406</f>
        <v>A</v>
      </c>
      <c r="E406" s="1000">
        <f>'09월 에너지'!E406</f>
        <v>85606</v>
      </c>
      <c r="F406" s="1094" t="str">
        <f>'09월 에너지'!F406</f>
        <v>SHP275W</v>
      </c>
      <c r="G406" s="980">
        <v>0</v>
      </c>
      <c r="H406" s="978">
        <v>0</v>
      </c>
      <c r="I406" s="978">
        <v>4700</v>
      </c>
      <c r="J406" s="978">
        <v>0</v>
      </c>
      <c r="K406" s="978">
        <v>0</v>
      </c>
      <c r="L406" s="978">
        <v>0</v>
      </c>
      <c r="M406" s="978">
        <v>0</v>
      </c>
      <c r="N406" s="978">
        <v>0</v>
      </c>
      <c r="O406" s="1106">
        <f t="shared" si="102"/>
        <v>4700</v>
      </c>
      <c r="P406" s="1108">
        <f>4100+14600+9700+7000+4500+6800</f>
        <v>46700</v>
      </c>
      <c r="Q406" s="979">
        <f>6000+6700</f>
        <v>12700</v>
      </c>
      <c r="R406" s="979">
        <v>4300</v>
      </c>
      <c r="S406" s="979">
        <v>0</v>
      </c>
      <c r="T406" s="979">
        <v>0</v>
      </c>
      <c r="U406" s="979">
        <v>9000</v>
      </c>
      <c r="V406" s="979">
        <f>4100+1000+9400</f>
        <v>14500</v>
      </c>
      <c r="W406" s="979">
        <v>4000</v>
      </c>
      <c r="X406" s="979">
        <v>7300</v>
      </c>
      <c r="Y406" s="979">
        <f>5000+13600+2800</f>
        <v>21400</v>
      </c>
      <c r="Z406" s="979">
        <v>0</v>
      </c>
      <c r="AA406" s="979">
        <v>3300</v>
      </c>
      <c r="AB406" s="979">
        <v>9500</v>
      </c>
      <c r="AC406" s="979">
        <v>1700</v>
      </c>
      <c r="AD406" s="979">
        <v>1600</v>
      </c>
      <c r="AE406" s="1109">
        <f t="shared" si="103"/>
        <v>136000</v>
      </c>
      <c r="AF406" s="1113">
        <v>3800</v>
      </c>
      <c r="AG406" s="981">
        <v>10100</v>
      </c>
      <c r="AH406" s="981">
        <v>4900</v>
      </c>
      <c r="AI406" s="1114">
        <f t="shared" si="104"/>
        <v>18800</v>
      </c>
      <c r="AJ406" s="1110">
        <f t="shared" si="105"/>
        <v>159500</v>
      </c>
      <c r="AK406" s="982">
        <f>'09월 에너지'!S406</f>
        <v>144.69999999999999</v>
      </c>
      <c r="AL406" s="983">
        <f t="shared" si="106"/>
        <v>0.90721003134796241</v>
      </c>
    </row>
    <row r="407" spans="1:38" ht="16.5" customHeight="1">
      <c r="A407" s="999">
        <f>'09월 에너지'!A407</f>
        <v>46279</v>
      </c>
      <c r="B407" s="1002">
        <f>'09월 조업일지'!B405</f>
        <v>46279</v>
      </c>
      <c r="C407" s="1003" t="str">
        <f>'09월 에너지'!C407</f>
        <v>A</v>
      </c>
      <c r="D407" s="1004" t="str">
        <f>'09월 에너지'!D407</f>
        <v>B</v>
      </c>
      <c r="E407" s="1000">
        <f>'09월 에너지'!E407</f>
        <v>85607</v>
      </c>
      <c r="F407" s="1094" t="str">
        <f>'09월 에너지'!F407</f>
        <v>SHP275W</v>
      </c>
      <c r="G407" s="980">
        <v>0</v>
      </c>
      <c r="H407" s="978">
        <v>0</v>
      </c>
      <c r="I407" s="978">
        <v>10600</v>
      </c>
      <c r="J407" s="978">
        <v>0</v>
      </c>
      <c r="K407" s="978">
        <v>0</v>
      </c>
      <c r="L407" s="978">
        <v>0</v>
      </c>
      <c r="M407" s="978">
        <v>0</v>
      </c>
      <c r="N407" s="978">
        <v>0</v>
      </c>
      <c r="O407" s="1106">
        <f t="shared" si="102"/>
        <v>10600</v>
      </c>
      <c r="P407" s="1108">
        <f>11900+10000+11000+5500+8500+2100</f>
        <v>49000</v>
      </c>
      <c r="Q407" s="979">
        <f>14700+10900</f>
        <v>25600</v>
      </c>
      <c r="R407" s="979">
        <v>8900</v>
      </c>
      <c r="S407" s="979">
        <v>0</v>
      </c>
      <c r="T407" s="979">
        <v>0</v>
      </c>
      <c r="U407" s="979">
        <v>4600</v>
      </c>
      <c r="V407" s="979">
        <f>1300+3200+9100</f>
        <v>13600</v>
      </c>
      <c r="W407" s="979">
        <v>3900</v>
      </c>
      <c r="X407" s="979">
        <v>9900</v>
      </c>
      <c r="Y407" s="979">
        <v>11500</v>
      </c>
      <c r="Z407" s="979">
        <v>0</v>
      </c>
      <c r="AA407" s="979">
        <v>5700</v>
      </c>
      <c r="AB407" s="979">
        <v>1400</v>
      </c>
      <c r="AC407" s="979">
        <v>1800</v>
      </c>
      <c r="AD407" s="979">
        <v>2200</v>
      </c>
      <c r="AE407" s="1109">
        <f t="shared" si="103"/>
        <v>138100</v>
      </c>
      <c r="AF407" s="1113">
        <v>4500</v>
      </c>
      <c r="AG407" s="981">
        <v>2700</v>
      </c>
      <c r="AH407" s="981">
        <v>2200</v>
      </c>
      <c r="AI407" s="1114">
        <f t="shared" si="104"/>
        <v>9400</v>
      </c>
      <c r="AJ407" s="1110">
        <f t="shared" si="105"/>
        <v>158100</v>
      </c>
      <c r="AK407" s="982">
        <f>'09월 에너지'!S407</f>
        <v>142.5</v>
      </c>
      <c r="AL407" s="983">
        <f t="shared" si="106"/>
        <v>0.90132827324478182</v>
      </c>
    </row>
    <row r="408" spans="1:38" ht="16.5" customHeight="1">
      <c r="A408" s="999">
        <f>'09월 에너지'!A408</f>
        <v>46279</v>
      </c>
      <c r="B408" s="1002">
        <f>'09월 조업일지'!B406</f>
        <v>46279</v>
      </c>
      <c r="C408" s="1003" t="str">
        <f>'09월 에너지'!C408</f>
        <v>A</v>
      </c>
      <c r="D408" s="1004" t="str">
        <f>'09월 에너지'!D408</f>
        <v>A</v>
      </c>
      <c r="E408" s="1000">
        <f>'09월 에너지'!E408</f>
        <v>85608</v>
      </c>
      <c r="F408" s="1094" t="str">
        <f>'09월 에너지'!F408</f>
        <v>SHP275W</v>
      </c>
      <c r="G408" s="980">
        <v>0</v>
      </c>
      <c r="H408" s="978">
        <v>0</v>
      </c>
      <c r="I408" s="978">
        <v>14800</v>
      </c>
      <c r="J408" s="978">
        <v>0</v>
      </c>
      <c r="K408" s="978">
        <v>0</v>
      </c>
      <c r="L408" s="978">
        <v>0</v>
      </c>
      <c r="M408" s="978">
        <v>0</v>
      </c>
      <c r="N408" s="978">
        <v>0</v>
      </c>
      <c r="O408" s="1106">
        <f t="shared" si="102"/>
        <v>14800</v>
      </c>
      <c r="P408" s="1108">
        <f>6000+5000+8500+6400+6200+9000</f>
        <v>41100</v>
      </c>
      <c r="Q408" s="979">
        <f>6900+2400</f>
        <v>9300</v>
      </c>
      <c r="R408" s="979">
        <v>6700</v>
      </c>
      <c r="S408" s="979">
        <v>0</v>
      </c>
      <c r="T408" s="979">
        <v>0</v>
      </c>
      <c r="U408" s="979">
        <v>6500</v>
      </c>
      <c r="V408" s="979">
        <f>10000+5400+9600</f>
        <v>25000</v>
      </c>
      <c r="W408" s="979">
        <v>3400</v>
      </c>
      <c r="X408" s="979">
        <v>9500</v>
      </c>
      <c r="Y408" s="979">
        <f>3500+14900</f>
        <v>18400</v>
      </c>
      <c r="Z408" s="979">
        <v>0</v>
      </c>
      <c r="AA408" s="979">
        <v>4700</v>
      </c>
      <c r="AB408" s="979">
        <v>2200</v>
      </c>
      <c r="AC408" s="979">
        <v>1800</v>
      </c>
      <c r="AD408" s="979">
        <v>4200</v>
      </c>
      <c r="AE408" s="1109">
        <f t="shared" si="103"/>
        <v>132800</v>
      </c>
      <c r="AF408" s="1113">
        <v>3800</v>
      </c>
      <c r="AG408" s="981">
        <v>3400</v>
      </c>
      <c r="AH408" s="981">
        <v>2900</v>
      </c>
      <c r="AI408" s="1114">
        <f t="shared" si="104"/>
        <v>10100</v>
      </c>
      <c r="AJ408" s="1110">
        <f t="shared" si="105"/>
        <v>157700</v>
      </c>
      <c r="AK408" s="982">
        <f>'09월 에너지'!S408</f>
        <v>146</v>
      </c>
      <c r="AL408" s="983">
        <f t="shared" si="106"/>
        <v>0.92580849714648061</v>
      </c>
    </row>
    <row r="409" spans="1:38" ht="16.5" customHeight="1">
      <c r="A409" s="999">
        <f>'09월 에너지'!A409</f>
        <v>46279</v>
      </c>
      <c r="B409" s="1002">
        <f>'09월 조업일지'!B407</f>
        <v>46279</v>
      </c>
      <c r="C409" s="1003" t="str">
        <f>'09월 에너지'!C409</f>
        <v>A</v>
      </c>
      <c r="D409" s="1004" t="str">
        <f>'09월 에너지'!D409</f>
        <v>B</v>
      </c>
      <c r="E409" s="1000">
        <f>'09월 에너지'!E409</f>
        <v>85609</v>
      </c>
      <c r="F409" s="1094" t="str">
        <f>'09월 에너지'!F409</f>
        <v>SHP275W</v>
      </c>
      <c r="G409" s="980">
        <v>0</v>
      </c>
      <c r="H409" s="978">
        <v>0</v>
      </c>
      <c r="I409" s="978">
        <v>14100</v>
      </c>
      <c r="J409" s="978"/>
      <c r="K409" s="978"/>
      <c r="L409" s="978"/>
      <c r="M409" s="978"/>
      <c r="N409" s="978"/>
      <c r="O409" s="1106">
        <f t="shared" si="102"/>
        <v>14100</v>
      </c>
      <c r="P409" s="1108">
        <f>8900+10900+10300+8000+6700+2800</f>
        <v>47600</v>
      </c>
      <c r="Q409" s="979">
        <f>9700+11500</f>
        <v>21200</v>
      </c>
      <c r="R409" s="979">
        <v>5000</v>
      </c>
      <c r="S409" s="979"/>
      <c r="T409" s="979"/>
      <c r="U409" s="979">
        <v>4200</v>
      </c>
      <c r="V409" s="979">
        <f>2800+1600+9600</f>
        <v>14000</v>
      </c>
      <c r="W409" s="979">
        <v>2600</v>
      </c>
      <c r="X409" s="979">
        <v>8300</v>
      </c>
      <c r="Y409" s="979">
        <f>800+9900+2200</f>
        <v>12900</v>
      </c>
      <c r="Z409" s="979"/>
      <c r="AA409" s="979">
        <v>1500</v>
      </c>
      <c r="AB409" s="979">
        <v>3100</v>
      </c>
      <c r="AC409" s="979">
        <v>1600</v>
      </c>
      <c r="AD409" s="979">
        <v>2200</v>
      </c>
      <c r="AE409" s="1109">
        <f t="shared" si="103"/>
        <v>124200</v>
      </c>
      <c r="AF409" s="1113">
        <v>4800</v>
      </c>
      <c r="AG409" s="981">
        <v>7100</v>
      </c>
      <c r="AH409" s="981">
        <v>8100</v>
      </c>
      <c r="AI409" s="1114">
        <f t="shared" si="104"/>
        <v>20000</v>
      </c>
      <c r="AJ409" s="1110">
        <f t="shared" si="105"/>
        <v>158300</v>
      </c>
      <c r="AK409" s="982">
        <f>'09월 에너지'!S409</f>
        <v>143.69999999999999</v>
      </c>
      <c r="AL409" s="983">
        <f t="shared" si="106"/>
        <v>0.90777005685407453</v>
      </c>
    </row>
    <row r="410" spans="1:38" ht="16.5" customHeight="1">
      <c r="A410" s="999">
        <f>'09월 에너지'!A410</f>
        <v>46279</v>
      </c>
      <c r="B410" s="1002">
        <f>'09월 조업일지'!B408</f>
        <v>46279</v>
      </c>
      <c r="C410" s="1003" t="str">
        <f>'09월 에너지'!C410</f>
        <v>C</v>
      </c>
      <c r="D410" s="1004" t="str">
        <f>'09월 에너지'!D410</f>
        <v>A</v>
      </c>
      <c r="E410" s="1000">
        <f>'09월 에너지'!E410</f>
        <v>85610</v>
      </c>
      <c r="F410" s="1094" t="str">
        <f>'09월 에너지'!F410</f>
        <v>SHP275W</v>
      </c>
      <c r="G410" s="980"/>
      <c r="H410" s="978"/>
      <c r="I410" s="978">
        <v>8400</v>
      </c>
      <c r="J410" s="978"/>
      <c r="K410" s="978"/>
      <c r="L410" s="978"/>
      <c r="M410" s="978"/>
      <c r="N410" s="978"/>
      <c r="O410" s="1106">
        <f t="shared" si="102"/>
        <v>8400</v>
      </c>
      <c r="P410" s="1108">
        <f>14400+6300+4900+7500+8700+2600</f>
        <v>44400</v>
      </c>
      <c r="Q410" s="979">
        <f>4100+6800</f>
        <v>10900</v>
      </c>
      <c r="R410" s="979">
        <v>6100</v>
      </c>
      <c r="S410" s="979"/>
      <c r="T410" s="979"/>
      <c r="U410" s="979">
        <v>6400</v>
      </c>
      <c r="V410" s="979">
        <f>6500+2200+9000</f>
        <v>17700</v>
      </c>
      <c r="W410" s="979">
        <v>3000</v>
      </c>
      <c r="X410" s="979">
        <v>7400</v>
      </c>
      <c r="Y410" s="979">
        <f>3500+13700+2400</f>
        <v>19600</v>
      </c>
      <c r="Z410" s="979"/>
      <c r="AA410" s="979">
        <v>2000</v>
      </c>
      <c r="AB410" s="979">
        <v>900</v>
      </c>
      <c r="AC410" s="979">
        <v>1500</v>
      </c>
      <c r="AD410" s="979">
        <v>9900</v>
      </c>
      <c r="AE410" s="1109">
        <f t="shared" si="103"/>
        <v>129800</v>
      </c>
      <c r="AF410" s="1113">
        <v>5600</v>
      </c>
      <c r="AG410" s="981">
        <v>12200</v>
      </c>
      <c r="AH410" s="981">
        <v>2000</v>
      </c>
      <c r="AI410" s="1114">
        <f t="shared" si="104"/>
        <v>19800</v>
      </c>
      <c r="AJ410" s="1110">
        <f t="shared" si="105"/>
        <v>158000</v>
      </c>
      <c r="AK410" s="982">
        <f>'09월 에너지'!S410</f>
        <v>145.5</v>
      </c>
      <c r="AL410" s="983">
        <f t="shared" si="106"/>
        <v>0.92088607594936711</v>
      </c>
    </row>
    <row r="411" spans="1:38" ht="16.5" customHeight="1">
      <c r="A411" s="999">
        <f>'09월 에너지'!A411</f>
        <v>46279</v>
      </c>
      <c r="B411" s="1002">
        <f>'09월 조업일지'!B409</f>
        <v>46279</v>
      </c>
      <c r="C411" s="1003" t="str">
        <f>'09월 에너지'!C411</f>
        <v>C</v>
      </c>
      <c r="D411" s="1004" t="str">
        <f>'09월 에너지'!D411</f>
        <v>B</v>
      </c>
      <c r="E411" s="1000">
        <f>'09월 에너지'!E411</f>
        <v>85611</v>
      </c>
      <c r="F411" s="1094" t="str">
        <f>'09월 에너지'!F411</f>
        <v>SHP275W</v>
      </c>
      <c r="G411" s="980"/>
      <c r="H411" s="978"/>
      <c r="I411" s="978">
        <v>8500</v>
      </c>
      <c r="J411" s="978"/>
      <c r="K411" s="978"/>
      <c r="L411" s="978"/>
      <c r="M411" s="978"/>
      <c r="N411" s="978"/>
      <c r="O411" s="1106">
        <f t="shared" si="102"/>
        <v>8500</v>
      </c>
      <c r="P411" s="1108">
        <f>15700+9900+11000+6300+5800</f>
        <v>48700</v>
      </c>
      <c r="Q411" s="979">
        <f>11000+7100</f>
        <v>18100</v>
      </c>
      <c r="R411" s="979">
        <v>6600</v>
      </c>
      <c r="S411" s="979"/>
      <c r="T411" s="979"/>
      <c r="U411" s="979">
        <v>7500</v>
      </c>
      <c r="V411" s="979">
        <f>5900+1600+9800</f>
        <v>17300</v>
      </c>
      <c r="W411" s="979"/>
      <c r="X411" s="979"/>
      <c r="Y411" s="979">
        <f>2700+18000+1100</f>
        <v>21800</v>
      </c>
      <c r="Z411" s="979"/>
      <c r="AA411" s="979">
        <v>3000</v>
      </c>
      <c r="AB411" s="979">
        <v>2400</v>
      </c>
      <c r="AC411" s="979">
        <v>1600</v>
      </c>
      <c r="AD411" s="979">
        <v>2600</v>
      </c>
      <c r="AE411" s="1109">
        <f t="shared" si="103"/>
        <v>129600</v>
      </c>
      <c r="AF411" s="1113">
        <v>4600</v>
      </c>
      <c r="AG411" s="981">
        <v>13000</v>
      </c>
      <c r="AH411" s="981">
        <v>3000</v>
      </c>
      <c r="AI411" s="1114">
        <f t="shared" si="104"/>
        <v>20600</v>
      </c>
      <c r="AJ411" s="1110">
        <f t="shared" si="105"/>
        <v>158700</v>
      </c>
      <c r="AK411" s="982">
        <f>'09월 에너지'!S411</f>
        <v>143.19999999999999</v>
      </c>
      <c r="AL411" s="983">
        <f t="shared" si="106"/>
        <v>0.90233144297416512</v>
      </c>
    </row>
    <row r="412" spans="1:38" ht="16.5" customHeight="1">
      <c r="A412" s="999">
        <f>'09월 에너지'!A412</f>
        <v>46279</v>
      </c>
      <c r="B412" s="1002">
        <f>'09월 조업일지'!B410</f>
        <v>46279</v>
      </c>
      <c r="C412" s="1003" t="str">
        <f>'09월 에너지'!C412</f>
        <v>C</v>
      </c>
      <c r="D412" s="1004" t="str">
        <f>'09월 에너지'!D412</f>
        <v>A</v>
      </c>
      <c r="E412" s="1000">
        <f>'09월 에너지'!E412</f>
        <v>85612</v>
      </c>
      <c r="F412" s="1094" t="str">
        <f>'09월 에너지'!F412</f>
        <v>SHP275W</v>
      </c>
      <c r="G412" s="980"/>
      <c r="H412" s="978"/>
      <c r="I412" s="978">
        <v>8100</v>
      </c>
      <c r="J412" s="978"/>
      <c r="K412" s="978"/>
      <c r="L412" s="978"/>
      <c r="M412" s="978"/>
      <c r="N412" s="978"/>
      <c r="O412" s="1106">
        <f t="shared" si="102"/>
        <v>8100</v>
      </c>
      <c r="P412" s="1108">
        <f>2600+11400+5600+6600+6500+8200</f>
        <v>40900</v>
      </c>
      <c r="Q412" s="979">
        <f>3100+5600</f>
        <v>8700</v>
      </c>
      <c r="R412" s="979">
        <v>9300</v>
      </c>
      <c r="S412" s="979"/>
      <c r="T412" s="979"/>
      <c r="U412" s="979">
        <v>2300</v>
      </c>
      <c r="V412" s="979">
        <f>3400+2100+9900</f>
        <v>15400</v>
      </c>
      <c r="W412" s="979">
        <v>3000</v>
      </c>
      <c r="X412" s="979">
        <v>8800</v>
      </c>
      <c r="Y412" s="979">
        <f>3100+11600+4500</f>
        <v>19200</v>
      </c>
      <c r="Z412" s="979"/>
      <c r="AA412" s="979">
        <v>7000</v>
      </c>
      <c r="AB412" s="979">
        <v>1000</v>
      </c>
      <c r="AC412" s="979">
        <v>400</v>
      </c>
      <c r="AD412" s="979">
        <v>10700</v>
      </c>
      <c r="AE412" s="1109">
        <f t="shared" si="103"/>
        <v>126700</v>
      </c>
      <c r="AF412" s="1113">
        <v>5500</v>
      </c>
      <c r="AG412" s="981">
        <v>8100</v>
      </c>
      <c r="AH412" s="981">
        <v>10700</v>
      </c>
      <c r="AI412" s="1114">
        <f t="shared" si="104"/>
        <v>24300</v>
      </c>
      <c r="AJ412" s="1110">
        <f t="shared" si="105"/>
        <v>159100</v>
      </c>
      <c r="AK412" s="982">
        <f>'09월 에너지'!S412</f>
        <v>144.69999999999999</v>
      </c>
      <c r="AL412" s="983">
        <f t="shared" si="106"/>
        <v>0.90949088623507224</v>
      </c>
    </row>
    <row r="413" spans="1:38" ht="16.5" customHeight="1">
      <c r="A413" s="999">
        <f>'09월 에너지'!A413</f>
        <v>46279</v>
      </c>
      <c r="B413" s="1002">
        <f>'09월 조업일지'!B411</f>
        <v>46279</v>
      </c>
      <c r="C413" s="1003" t="str">
        <f>'09월 에너지'!C413</f>
        <v>C</v>
      </c>
      <c r="D413" s="1004" t="str">
        <f>'09월 에너지'!D413</f>
        <v>B</v>
      </c>
      <c r="E413" s="1000">
        <f>'09월 에너지'!E413</f>
        <v>85613</v>
      </c>
      <c r="F413" s="1094" t="str">
        <f>'09월 에너지'!F413</f>
        <v>SHP275W</v>
      </c>
      <c r="G413" s="980"/>
      <c r="H413" s="978"/>
      <c r="I413" s="978">
        <v>5800</v>
      </c>
      <c r="J413" s="978"/>
      <c r="K413" s="978"/>
      <c r="L413" s="978"/>
      <c r="M413" s="978"/>
      <c r="N413" s="978"/>
      <c r="O413" s="1106">
        <f t="shared" si="102"/>
        <v>5800</v>
      </c>
      <c r="P413" s="1108">
        <f>9400+8200+10000+6800+7300+8400</f>
        <v>50100</v>
      </c>
      <c r="Q413" s="979">
        <f>7100+6100</f>
        <v>13200</v>
      </c>
      <c r="R413" s="979">
        <v>11200</v>
      </c>
      <c r="S413" s="979"/>
      <c r="T413" s="979"/>
      <c r="U413" s="979">
        <v>1600</v>
      </c>
      <c r="V413" s="979">
        <f>4000+4600+8800</f>
        <v>17400</v>
      </c>
      <c r="W413" s="979">
        <v>4300</v>
      </c>
      <c r="X413" s="979">
        <v>8100</v>
      </c>
      <c r="Y413" s="979">
        <f>1800+13200+2000</f>
        <v>17000</v>
      </c>
      <c r="Z413" s="979"/>
      <c r="AA413" s="979">
        <v>1600</v>
      </c>
      <c r="AB413" s="979">
        <v>3100</v>
      </c>
      <c r="AC413" s="979">
        <v>2100</v>
      </c>
      <c r="AD413" s="979">
        <v>2300</v>
      </c>
      <c r="AE413" s="1109">
        <f t="shared" si="103"/>
        <v>132000</v>
      </c>
      <c r="AF413" s="1113">
        <v>4100</v>
      </c>
      <c r="AG413" s="981">
        <v>12400</v>
      </c>
      <c r="AH413" s="981">
        <v>4400</v>
      </c>
      <c r="AI413" s="1114">
        <f t="shared" si="104"/>
        <v>20900</v>
      </c>
      <c r="AJ413" s="1110">
        <f t="shared" si="105"/>
        <v>158700</v>
      </c>
      <c r="AK413" s="982">
        <f>'09월 에너지'!S413</f>
        <v>141.6</v>
      </c>
      <c r="AL413" s="983">
        <f t="shared" si="106"/>
        <v>0.89224952741020791</v>
      </c>
    </row>
    <row r="414" spans="1:38" ht="16.5" customHeight="1">
      <c r="A414" s="999">
        <f>'09월 에너지'!A414</f>
        <v>46279</v>
      </c>
      <c r="B414" s="1002">
        <f>'09월 조업일지'!B412</f>
        <v>46279</v>
      </c>
      <c r="C414" s="1003" t="str">
        <f>'09월 에너지'!C414</f>
        <v>C</v>
      </c>
      <c r="D414" s="1004" t="str">
        <f>'09월 에너지'!D414</f>
        <v>A</v>
      </c>
      <c r="E414" s="1000">
        <f>'09월 에너지'!E414</f>
        <v>85614</v>
      </c>
      <c r="F414" s="1094" t="str">
        <f>'09월 에너지'!F414</f>
        <v>SHP275W</v>
      </c>
      <c r="G414" s="980"/>
      <c r="H414" s="978"/>
      <c r="I414" s="978">
        <v>8600</v>
      </c>
      <c r="J414" s="978"/>
      <c r="K414" s="978"/>
      <c r="L414" s="978"/>
      <c r="M414" s="978"/>
      <c r="N414" s="978"/>
      <c r="O414" s="1106">
        <f t="shared" si="102"/>
        <v>8600</v>
      </c>
      <c r="P414" s="1108">
        <f>4300+7500+6100+7200+5500+5400</f>
        <v>36000</v>
      </c>
      <c r="Q414" s="979">
        <f>11400+4500</f>
        <v>15900</v>
      </c>
      <c r="R414" s="979">
        <v>13500</v>
      </c>
      <c r="S414" s="979"/>
      <c r="T414" s="979"/>
      <c r="U414" s="979">
        <v>10200</v>
      </c>
      <c r="V414" s="979">
        <f>4800+3300+9200</f>
        <v>17300</v>
      </c>
      <c r="W414" s="979">
        <v>3300</v>
      </c>
      <c r="X414" s="979">
        <v>7700</v>
      </c>
      <c r="Y414" s="979">
        <f>2100+13400+700</f>
        <v>16200</v>
      </c>
      <c r="Z414" s="979"/>
      <c r="AA414" s="979">
        <v>2200</v>
      </c>
      <c r="AB414" s="979">
        <v>400</v>
      </c>
      <c r="AC414" s="979">
        <v>2700</v>
      </c>
      <c r="AD414" s="979">
        <v>8300</v>
      </c>
      <c r="AE414" s="1109">
        <f t="shared" si="103"/>
        <v>133700</v>
      </c>
      <c r="AF414" s="1113">
        <v>3800</v>
      </c>
      <c r="AG414" s="981">
        <v>8800</v>
      </c>
      <c r="AH414" s="981">
        <v>3800</v>
      </c>
      <c r="AI414" s="1114">
        <f t="shared" si="104"/>
        <v>16400</v>
      </c>
      <c r="AJ414" s="1110">
        <f t="shared" si="105"/>
        <v>158700</v>
      </c>
      <c r="AK414" s="982">
        <f>'09월 에너지'!S414</f>
        <v>147.9</v>
      </c>
      <c r="AL414" s="983">
        <f t="shared" si="106"/>
        <v>0.93194706994328924</v>
      </c>
    </row>
    <row r="415" spans="1:38" ht="16.5" customHeight="1">
      <c r="A415" s="999">
        <f>'09월 에너지'!A415</f>
        <v>46280</v>
      </c>
      <c r="B415" s="1002">
        <f>'09월 조업일지'!B413</f>
        <v>46279</v>
      </c>
      <c r="C415" s="1003" t="str">
        <f>'09월 에너지'!C415</f>
        <v>C</v>
      </c>
      <c r="D415" s="1004" t="str">
        <f>'09월 에너지'!D415</f>
        <v>B</v>
      </c>
      <c r="E415" s="1000">
        <f>'09월 에너지'!E415</f>
        <v>85615</v>
      </c>
      <c r="F415" s="1094" t="str">
        <f>'09월 에너지'!F415</f>
        <v>SHP275W</v>
      </c>
      <c r="G415" s="980"/>
      <c r="H415" s="978"/>
      <c r="I415" s="978">
        <v>5300</v>
      </c>
      <c r="J415" s="978"/>
      <c r="K415" s="978"/>
      <c r="L415" s="978"/>
      <c r="M415" s="978"/>
      <c r="N415" s="978"/>
      <c r="O415" s="1106">
        <f t="shared" si="102"/>
        <v>5300</v>
      </c>
      <c r="P415" s="1108">
        <f>9700+9900+12900+7400+9000+7100</f>
        <v>56000</v>
      </c>
      <c r="Q415" s="979">
        <f>9400+5700</f>
        <v>15100</v>
      </c>
      <c r="R415" s="979">
        <v>3800</v>
      </c>
      <c r="S415" s="979"/>
      <c r="T415" s="979"/>
      <c r="U415" s="979">
        <v>2200</v>
      </c>
      <c r="V415" s="979">
        <f>1100+4300+9900</f>
        <v>15300</v>
      </c>
      <c r="W415" s="979">
        <v>4000</v>
      </c>
      <c r="X415" s="979">
        <v>8500</v>
      </c>
      <c r="Y415" s="979">
        <f>3400+12000+1300</f>
        <v>16700</v>
      </c>
      <c r="Z415" s="979"/>
      <c r="AA415" s="979">
        <v>4900</v>
      </c>
      <c r="AB415" s="979">
        <v>3500</v>
      </c>
      <c r="AC415" s="979">
        <v>2200</v>
      </c>
      <c r="AD415" s="979">
        <v>2000</v>
      </c>
      <c r="AE415" s="1109">
        <f t="shared" si="103"/>
        <v>134200</v>
      </c>
      <c r="AF415" s="1113">
        <v>3500</v>
      </c>
      <c r="AG415" s="981">
        <v>10400</v>
      </c>
      <c r="AH415" s="981">
        <v>5600</v>
      </c>
      <c r="AI415" s="1114">
        <f t="shared" si="104"/>
        <v>19500</v>
      </c>
      <c r="AJ415" s="1110">
        <f t="shared" si="105"/>
        <v>159000</v>
      </c>
      <c r="AK415" s="982">
        <f>'09월 에너지'!S415</f>
        <v>139.69999999999999</v>
      </c>
      <c r="AL415" s="983">
        <f t="shared" si="106"/>
        <v>0.87861635220125789</v>
      </c>
    </row>
    <row r="416" spans="1:38" ht="16.5" customHeight="1">
      <c r="A416" s="999">
        <f>'09월 에너지'!A416</f>
        <v>46280</v>
      </c>
      <c r="B416" s="1002">
        <f>'09월 조업일지'!B414</f>
        <v>46279</v>
      </c>
      <c r="C416" s="1003" t="str">
        <f>'09월 에너지'!C416</f>
        <v>C</v>
      </c>
      <c r="D416" s="1004" t="str">
        <f>'09월 에너지'!D416</f>
        <v>A</v>
      </c>
      <c r="E416" s="1000">
        <f>'09월 에너지'!E416</f>
        <v>85616</v>
      </c>
      <c r="F416" s="1170" t="str">
        <f>'09월 에너지'!F416</f>
        <v>SS400(ToMok)</v>
      </c>
      <c r="G416" s="980"/>
      <c r="H416" s="978"/>
      <c r="I416" s="978">
        <v>8400</v>
      </c>
      <c r="J416" s="978"/>
      <c r="K416" s="978"/>
      <c r="L416" s="978"/>
      <c r="M416" s="978"/>
      <c r="N416" s="978"/>
      <c r="O416" s="1106">
        <f t="shared" si="102"/>
        <v>8400</v>
      </c>
      <c r="P416" s="1108">
        <f>8500+11600+6500+6800+4900+9700</f>
        <v>48000</v>
      </c>
      <c r="Q416" s="979">
        <f>7000+6300</f>
        <v>13300</v>
      </c>
      <c r="R416" s="979">
        <v>4700</v>
      </c>
      <c r="S416" s="979"/>
      <c r="T416" s="979"/>
      <c r="U416" s="979">
        <v>8600</v>
      </c>
      <c r="V416" s="979">
        <f>4600+600+9900</f>
        <v>15100</v>
      </c>
      <c r="W416" s="979">
        <v>3700</v>
      </c>
      <c r="X416" s="979">
        <v>7800</v>
      </c>
      <c r="Y416" s="979">
        <f>2700+16200</f>
        <v>18900</v>
      </c>
      <c r="Z416" s="979"/>
      <c r="AA416" s="979">
        <v>2800</v>
      </c>
      <c r="AB416" s="979">
        <v>7700</v>
      </c>
      <c r="AC416" s="979">
        <v>1600</v>
      </c>
      <c r="AD416" s="979">
        <v>2000</v>
      </c>
      <c r="AE416" s="1109">
        <f t="shared" si="103"/>
        <v>134200</v>
      </c>
      <c r="AF416" s="1113">
        <v>4100</v>
      </c>
      <c r="AG416" s="981">
        <v>8200</v>
      </c>
      <c r="AH416" s="981">
        <v>4100</v>
      </c>
      <c r="AI416" s="1114">
        <f t="shared" si="104"/>
        <v>16400</v>
      </c>
      <c r="AJ416" s="1110">
        <f t="shared" si="105"/>
        <v>159000</v>
      </c>
      <c r="AK416" s="982">
        <f>'09월 에너지'!S416</f>
        <v>141.4</v>
      </c>
      <c r="AL416" s="983">
        <f t="shared" si="106"/>
        <v>0.88930817610062896</v>
      </c>
    </row>
    <row r="417" spans="1:38" ht="16.5" customHeight="1">
      <c r="A417" s="999">
        <f>'09월 에너지'!A417</f>
        <v>46280</v>
      </c>
      <c r="B417" s="1002">
        <f>'09월 조업일지'!B415</f>
        <v>46279</v>
      </c>
      <c r="C417" s="1003" t="str">
        <f>'09월 에너지'!C417</f>
        <v>C</v>
      </c>
      <c r="D417" s="1004" t="str">
        <f>'09월 에너지'!D417</f>
        <v>B</v>
      </c>
      <c r="E417" s="1000">
        <f>'09월 에너지'!E417</f>
        <v>85617</v>
      </c>
      <c r="F417" s="1094" t="str">
        <f>'09월 에너지'!F417</f>
        <v>SS400(ToMok)</v>
      </c>
      <c r="G417" s="980"/>
      <c r="H417" s="978"/>
      <c r="I417" s="978">
        <v>0</v>
      </c>
      <c r="J417" s="978"/>
      <c r="K417" s="978"/>
      <c r="L417" s="978"/>
      <c r="M417" s="978"/>
      <c r="N417" s="978"/>
      <c r="O417" s="1106" t="str">
        <f t="shared" si="102"/>
        <v/>
      </c>
      <c r="P417" s="1108">
        <f>7200+10800+11100+10200</f>
        <v>39300</v>
      </c>
      <c r="Q417" s="979">
        <v>8400</v>
      </c>
      <c r="R417" s="979">
        <v>0</v>
      </c>
      <c r="S417" s="979"/>
      <c r="T417" s="979"/>
      <c r="U417" s="979">
        <v>0</v>
      </c>
      <c r="V417" s="979">
        <f>6400+9600+14900+3500</f>
        <v>34400</v>
      </c>
      <c r="W417" s="979">
        <v>0</v>
      </c>
      <c r="X417" s="979">
        <v>0</v>
      </c>
      <c r="Y417" s="979">
        <f>3000+12200</f>
        <v>15200</v>
      </c>
      <c r="Z417" s="979"/>
      <c r="AA417" s="979">
        <v>0</v>
      </c>
      <c r="AB417" s="979">
        <v>0</v>
      </c>
      <c r="AC417" s="979">
        <v>0</v>
      </c>
      <c r="AD417" s="979">
        <v>0</v>
      </c>
      <c r="AE417" s="1109">
        <f t="shared" si="103"/>
        <v>97300</v>
      </c>
      <c r="AF417" s="1113">
        <v>4300</v>
      </c>
      <c r="AG417" s="981">
        <v>8800</v>
      </c>
      <c r="AH417" s="981">
        <v>0</v>
      </c>
      <c r="AI417" s="1114">
        <f t="shared" si="104"/>
        <v>13100</v>
      </c>
      <c r="AJ417" s="1110">
        <f t="shared" si="105"/>
        <v>110400</v>
      </c>
      <c r="AK417" s="982">
        <f>'09월 에너지'!S417</f>
        <v>115.5</v>
      </c>
      <c r="AL417" s="983">
        <f t="shared" si="106"/>
        <v>1.0461956521739131</v>
      </c>
    </row>
    <row r="418" spans="1:38" ht="16.5" customHeight="1">
      <c r="A418" s="999">
        <f>'09월 에너지'!A418</f>
        <v>46280</v>
      </c>
      <c r="B418" s="1002">
        <f>'09월 조업일지'!B416</f>
        <v>46279</v>
      </c>
      <c r="C418" s="1003" t="str">
        <f>'09월 에너지'!C418</f>
        <v>C</v>
      </c>
      <c r="D418" s="1004" t="str">
        <f>'09월 에너지'!D418</f>
        <v>A</v>
      </c>
      <c r="E418" s="1000">
        <f>'09월 에너지'!E418</f>
        <v>85618</v>
      </c>
      <c r="F418" s="1094" t="str">
        <f>'09월 에너지'!F418</f>
        <v>SS400(ToMok)</v>
      </c>
      <c r="G418" s="980"/>
      <c r="H418" s="978"/>
      <c r="I418" s="978">
        <v>0</v>
      </c>
      <c r="J418" s="978"/>
      <c r="K418" s="978"/>
      <c r="L418" s="978"/>
      <c r="M418" s="978"/>
      <c r="N418" s="978"/>
      <c r="O418" s="1106" t="str">
        <f t="shared" si="102"/>
        <v/>
      </c>
      <c r="P418" s="1108">
        <f>14300+10200+13300+9600</f>
        <v>47400</v>
      </c>
      <c r="Q418" s="979">
        <v>11000</v>
      </c>
      <c r="R418" s="979">
        <v>0</v>
      </c>
      <c r="S418" s="979"/>
      <c r="T418" s="979"/>
      <c r="U418" s="979">
        <v>0</v>
      </c>
      <c r="V418" s="979">
        <f>3400+9700+5700+3700</f>
        <v>22500</v>
      </c>
      <c r="W418" s="979">
        <v>0</v>
      </c>
      <c r="X418" s="979">
        <v>0</v>
      </c>
      <c r="Y418" s="979">
        <f>500+14200</f>
        <v>14700</v>
      </c>
      <c r="Z418" s="979"/>
      <c r="AA418" s="979">
        <v>0</v>
      </c>
      <c r="AB418" s="979">
        <v>0</v>
      </c>
      <c r="AC418" s="979">
        <v>0</v>
      </c>
      <c r="AD418" s="979">
        <v>0</v>
      </c>
      <c r="AE418" s="1109">
        <f t="shared" si="103"/>
        <v>95600</v>
      </c>
      <c r="AF418" s="1113">
        <v>5600</v>
      </c>
      <c r="AG418" s="981">
        <v>9100</v>
      </c>
      <c r="AH418" s="981">
        <v>0</v>
      </c>
      <c r="AI418" s="1114">
        <f t="shared" si="104"/>
        <v>14700</v>
      </c>
      <c r="AJ418" s="1110">
        <f t="shared" si="105"/>
        <v>110300</v>
      </c>
      <c r="AK418" s="982">
        <f>'09월 에너지'!S418</f>
        <v>123.6</v>
      </c>
      <c r="AL418" s="983">
        <f t="shared" si="106"/>
        <v>1.1205802357207615</v>
      </c>
    </row>
    <row r="419" spans="1:38" ht="16.5" customHeight="1">
      <c r="A419" s="999">
        <f>'09월 에너지'!A419</f>
        <v>46280</v>
      </c>
      <c r="B419" s="1002">
        <f>'09월 조업일지'!B417</f>
        <v>46280</v>
      </c>
      <c r="C419" s="1003" t="str">
        <f>'09월 에너지'!C419</f>
        <v>C</v>
      </c>
      <c r="D419" s="1004" t="str">
        <f>'09월 에너지'!D419</f>
        <v>B</v>
      </c>
      <c r="E419" s="1000">
        <f>'09월 에너지'!E419</f>
        <v>85619</v>
      </c>
      <c r="F419" s="1170" t="str">
        <f>'09월 에너지'!F419</f>
        <v>AS500N(QTB.C10)</v>
      </c>
      <c r="G419" s="980"/>
      <c r="H419" s="978"/>
      <c r="I419" s="978"/>
      <c r="J419" s="978"/>
      <c r="K419" s="978"/>
      <c r="L419" s="978"/>
      <c r="M419" s="978"/>
      <c r="N419" s="978"/>
      <c r="O419" s="1106" t="str">
        <f t="shared" si="102"/>
        <v/>
      </c>
      <c r="P419" s="1108">
        <f>2800+8900+13100+3300+10000+2000+8000</f>
        <v>48100</v>
      </c>
      <c r="Q419" s="979">
        <f>9500+6000</f>
        <v>15500</v>
      </c>
      <c r="R419" s="979"/>
      <c r="S419" s="979"/>
      <c r="T419" s="979"/>
      <c r="U419" s="979">
        <f>15600+6000</f>
        <v>21600</v>
      </c>
      <c r="V419" s="979">
        <f>14700+5000</f>
        <v>19700</v>
      </c>
      <c r="W419" s="979"/>
      <c r="X419" s="979">
        <v>3200</v>
      </c>
      <c r="Y419" s="979">
        <v>4000</v>
      </c>
      <c r="Z419" s="979"/>
      <c r="AA419" s="979"/>
      <c r="AB419" s="979"/>
      <c r="AC419" s="979"/>
      <c r="AD419" s="979">
        <v>6500</v>
      </c>
      <c r="AE419" s="1109">
        <f t="shared" si="103"/>
        <v>118600</v>
      </c>
      <c r="AF419" s="1113">
        <f>15000+4000</f>
        <v>19000</v>
      </c>
      <c r="AG419" s="981">
        <v>12900</v>
      </c>
      <c r="AH419" s="981">
        <v>4300</v>
      </c>
      <c r="AI419" s="1114">
        <f t="shared" si="104"/>
        <v>36200</v>
      </c>
      <c r="AJ419" s="1110">
        <f t="shared" si="105"/>
        <v>154800</v>
      </c>
      <c r="AK419" s="982">
        <f>'09월 에너지'!S419</f>
        <v>131.69999999999999</v>
      </c>
      <c r="AL419" s="983">
        <f t="shared" si="106"/>
        <v>0.85077519379844957</v>
      </c>
    </row>
    <row r="420" spans="1:38" ht="16.5" customHeight="1">
      <c r="A420" s="999">
        <f>'09월 에너지'!A420</f>
        <v>46280</v>
      </c>
      <c r="B420" s="1002">
        <f>'09월 조업일지'!B418</f>
        <v>46280</v>
      </c>
      <c r="C420" s="1003" t="str">
        <f>'09월 에너지'!C420</f>
        <v>C</v>
      </c>
      <c r="D420" s="1233" t="str">
        <f>'09월 에너지'!D420</f>
        <v>B</v>
      </c>
      <c r="E420" s="1000">
        <f>'09월 에너지'!E420</f>
        <v>85620</v>
      </c>
      <c r="F420" s="1094" t="str">
        <f>'09월 에너지'!F420</f>
        <v>AS500N(QTB.C10)</v>
      </c>
      <c r="G420" s="980"/>
      <c r="H420" s="978"/>
      <c r="I420" s="978">
        <v>10200</v>
      </c>
      <c r="J420" s="978"/>
      <c r="K420" s="978"/>
      <c r="L420" s="978"/>
      <c r="M420" s="978"/>
      <c r="N420" s="978"/>
      <c r="O420" s="1106">
        <f t="shared" si="102"/>
        <v>10200</v>
      </c>
      <c r="P420" s="1108">
        <f>2200+3900+5100</f>
        <v>11200</v>
      </c>
      <c r="Q420" s="979">
        <f>8300+2600</f>
        <v>10900</v>
      </c>
      <c r="R420" s="979">
        <v>6000</v>
      </c>
      <c r="S420" s="979"/>
      <c r="T420" s="979"/>
      <c r="U420" s="979">
        <f>11800+2300</f>
        <v>14100</v>
      </c>
      <c r="V420" s="979">
        <f>3400+7600+7800+5500+10100+7800</f>
        <v>42200</v>
      </c>
      <c r="W420" s="979">
        <v>3500</v>
      </c>
      <c r="X420" s="979">
        <v>8000</v>
      </c>
      <c r="Y420" s="979">
        <f>4500+13400+5100</f>
        <v>23000</v>
      </c>
      <c r="Z420" s="979"/>
      <c r="AA420" s="979">
        <v>3100</v>
      </c>
      <c r="AB420" s="979">
        <v>3000</v>
      </c>
      <c r="AC420" s="979">
        <v>3100</v>
      </c>
      <c r="AD420" s="979"/>
      <c r="AE420" s="1109">
        <f t="shared" si="103"/>
        <v>128100</v>
      </c>
      <c r="AF420" s="1113">
        <v>4500</v>
      </c>
      <c r="AG420" s="981">
        <v>11500</v>
      </c>
      <c r="AH420" s="981">
        <v>5200</v>
      </c>
      <c r="AI420" s="1114">
        <f t="shared" si="104"/>
        <v>21200</v>
      </c>
      <c r="AJ420" s="1110">
        <f t="shared" si="105"/>
        <v>159500</v>
      </c>
      <c r="AK420" s="982">
        <f>'09월 에너지'!S420</f>
        <v>140.30000000000001</v>
      </c>
      <c r="AL420" s="983">
        <f t="shared" si="106"/>
        <v>0.87962382445141063</v>
      </c>
    </row>
    <row r="421" spans="1:38" ht="16.5" customHeight="1">
      <c r="A421" s="999">
        <f>'09월 에너지'!A421</f>
        <v>46280</v>
      </c>
      <c r="B421" s="1002">
        <f>'09월 조업일지'!B419</f>
        <v>46280</v>
      </c>
      <c r="C421" s="1003" t="str">
        <f>'09월 에너지'!C421</f>
        <v>C</v>
      </c>
      <c r="D421" s="1233" t="str">
        <f>'09월 에너지'!D421</f>
        <v>B</v>
      </c>
      <c r="E421" s="1000">
        <f>'09월 에너지'!E421</f>
        <v>85621</v>
      </c>
      <c r="F421" s="1094" t="str">
        <f>'09월 에너지'!F421</f>
        <v>AS500N(QTB.C10)</v>
      </c>
      <c r="G421" s="980"/>
      <c r="H421" s="978"/>
      <c r="I421" s="978">
        <v>4700</v>
      </c>
      <c r="J421" s="978"/>
      <c r="K421" s="978"/>
      <c r="L421" s="978"/>
      <c r="M421" s="978"/>
      <c r="N421" s="978"/>
      <c r="O421" s="1106">
        <f t="shared" si="102"/>
        <v>4700</v>
      </c>
      <c r="P421" s="1108">
        <f>4700+6200+2200</f>
        <v>13100</v>
      </c>
      <c r="Q421" s="979">
        <f>4400+9300</f>
        <v>13700</v>
      </c>
      <c r="R421" s="979">
        <v>4100</v>
      </c>
      <c r="S421" s="979"/>
      <c r="T421" s="979"/>
      <c r="U421" s="979">
        <f>6800+2300</f>
        <v>9100</v>
      </c>
      <c r="V421" s="979">
        <f>3600+11100+7300+6900+8500+6700</f>
        <v>44100</v>
      </c>
      <c r="W421" s="979">
        <v>3600</v>
      </c>
      <c r="X421" s="979">
        <v>7600</v>
      </c>
      <c r="Y421" s="979">
        <f>6300+14300+2000</f>
        <v>22600</v>
      </c>
      <c r="Z421" s="979"/>
      <c r="AA421" s="979">
        <v>5100</v>
      </c>
      <c r="AB421" s="979">
        <v>8200</v>
      </c>
      <c r="AC421" s="979">
        <v>2300</v>
      </c>
      <c r="AD421" s="979"/>
      <c r="AE421" s="1109">
        <f t="shared" si="103"/>
        <v>133500</v>
      </c>
      <c r="AF421" s="1113">
        <v>5100</v>
      </c>
      <c r="AG421" s="981">
        <v>10000</v>
      </c>
      <c r="AH421" s="981">
        <v>5200</v>
      </c>
      <c r="AI421" s="1114">
        <f t="shared" si="104"/>
        <v>20300</v>
      </c>
      <c r="AJ421" s="1110">
        <f t="shared" si="105"/>
        <v>158500</v>
      </c>
      <c r="AK421" s="982">
        <f>'09월 에너지'!S421</f>
        <v>141.30000000000001</v>
      </c>
      <c r="AL421" s="983">
        <f t="shared" si="106"/>
        <v>0.89148264984227132</v>
      </c>
    </row>
    <row r="422" spans="1:38" ht="16.5" customHeight="1">
      <c r="A422" s="999">
        <f>'09월 에너지'!A422</f>
        <v>46281</v>
      </c>
      <c r="B422" s="1002">
        <f>'09월 조업일지'!B420</f>
        <v>46280</v>
      </c>
      <c r="C422" s="1003" t="str">
        <f>'09월 에너지'!C422</f>
        <v>C</v>
      </c>
      <c r="D422" s="1233" t="str">
        <f>'09월 에너지'!D422</f>
        <v>B</v>
      </c>
      <c r="E422" s="1000">
        <f>'09월 에너지'!E422</f>
        <v>85622</v>
      </c>
      <c r="F422" s="1094" t="str">
        <f>'09월 에너지'!F422</f>
        <v>AS500N(QTB.C10)</v>
      </c>
      <c r="G422" s="980"/>
      <c r="H422" s="978"/>
      <c r="I422" s="978">
        <v>6800</v>
      </c>
      <c r="J422" s="978"/>
      <c r="K422" s="978"/>
      <c r="L422" s="978"/>
      <c r="M422" s="978"/>
      <c r="N422" s="978"/>
      <c r="O422" s="1106">
        <f t="shared" si="102"/>
        <v>6800</v>
      </c>
      <c r="P422" s="1108">
        <f>4200+4300+1700</f>
        <v>10200</v>
      </c>
      <c r="Q422" s="979">
        <f>9000+9300</f>
        <v>18300</v>
      </c>
      <c r="R422" s="979">
        <v>6800</v>
      </c>
      <c r="S422" s="979"/>
      <c r="T422" s="979"/>
      <c r="U422" s="979">
        <f>11000+5500</f>
        <v>16500</v>
      </c>
      <c r="V422" s="979">
        <f>5900+8000+6900+3300+6600+8400</f>
        <v>39100</v>
      </c>
      <c r="W422" s="979">
        <v>3700</v>
      </c>
      <c r="X422" s="979">
        <v>7600</v>
      </c>
      <c r="Y422" s="979">
        <f>5800+15500+4100</f>
        <v>25400</v>
      </c>
      <c r="Z422" s="979"/>
      <c r="AA422" s="979">
        <v>1800</v>
      </c>
      <c r="AB422" s="979">
        <v>3200</v>
      </c>
      <c r="AC422" s="979">
        <v>2900</v>
      </c>
      <c r="AD422" s="979"/>
      <c r="AE422" s="1109">
        <f t="shared" si="103"/>
        <v>135500</v>
      </c>
      <c r="AF422" s="1113">
        <v>4600</v>
      </c>
      <c r="AG422" s="981">
        <v>9200</v>
      </c>
      <c r="AH422" s="981">
        <v>3000</v>
      </c>
      <c r="AI422" s="1114">
        <f t="shared" si="104"/>
        <v>16800</v>
      </c>
      <c r="AJ422" s="1110">
        <f t="shared" si="105"/>
        <v>159100</v>
      </c>
      <c r="AK422" s="982">
        <f>'09월 에너지'!S422</f>
        <v>144.80000000000001</v>
      </c>
      <c r="AL422" s="983">
        <f t="shared" si="106"/>
        <v>0.91011942174732874</v>
      </c>
    </row>
    <row r="423" spans="1:38" ht="16.5" customHeight="1">
      <c r="A423" s="999">
        <f>'09월 에너지'!A423</f>
        <v>46281</v>
      </c>
      <c r="B423" s="1002">
        <f>'09월 조업일지'!B421</f>
        <v>46280</v>
      </c>
      <c r="C423" s="1003" t="str">
        <f>'09월 에너지'!C423</f>
        <v>C</v>
      </c>
      <c r="D423" s="1233" t="str">
        <f>'09월 에너지'!D423</f>
        <v>B</v>
      </c>
      <c r="E423" s="1000">
        <f>'09월 에너지'!E423</f>
        <v>85623</v>
      </c>
      <c r="F423" s="1094" t="str">
        <f>'09월 에너지'!F423</f>
        <v>AS500N(QTB.C10)</v>
      </c>
      <c r="G423" s="980"/>
      <c r="H423" s="978"/>
      <c r="I423" s="978">
        <v>4000</v>
      </c>
      <c r="J423" s="978"/>
      <c r="K423" s="978"/>
      <c r="L423" s="978"/>
      <c r="M423" s="978"/>
      <c r="N423" s="978"/>
      <c r="O423" s="1106">
        <f t="shared" si="102"/>
        <v>4000</v>
      </c>
      <c r="P423" s="1108">
        <f>3900+5000+2600</f>
        <v>11500</v>
      </c>
      <c r="Q423" s="979">
        <f>11000+8900</f>
        <v>19900</v>
      </c>
      <c r="R423" s="979">
        <v>6800</v>
      </c>
      <c r="S423" s="979"/>
      <c r="T423" s="979"/>
      <c r="U423" s="979">
        <f>12400+3200</f>
        <v>15600</v>
      </c>
      <c r="V423" s="979">
        <f>4900+5300+6700+4300+9200+8000</f>
        <v>38400</v>
      </c>
      <c r="W423" s="979">
        <v>3400</v>
      </c>
      <c r="X423" s="979">
        <v>8900</v>
      </c>
      <c r="Y423" s="979">
        <f>4500+12300+2100</f>
        <v>18900</v>
      </c>
      <c r="Z423" s="979"/>
      <c r="AA423" s="979">
        <v>4600</v>
      </c>
      <c r="AB423" s="979">
        <v>1700</v>
      </c>
      <c r="AC423" s="979">
        <v>3300</v>
      </c>
      <c r="AD423" s="979"/>
      <c r="AE423" s="1109">
        <f t="shared" si="103"/>
        <v>133000</v>
      </c>
      <c r="AF423" s="1113">
        <v>4500</v>
      </c>
      <c r="AG423" s="981">
        <v>13000</v>
      </c>
      <c r="AH423" s="981">
        <v>3600</v>
      </c>
      <c r="AI423" s="1114">
        <f t="shared" si="104"/>
        <v>21100</v>
      </c>
      <c r="AJ423" s="1110">
        <f t="shared" si="105"/>
        <v>158100</v>
      </c>
      <c r="AK423" s="982">
        <f>'09월 에너지'!S423</f>
        <v>145.6</v>
      </c>
      <c r="AL423" s="983">
        <f t="shared" si="106"/>
        <v>0.92093611638203665</v>
      </c>
    </row>
    <row r="424" spans="1:38" ht="16.5" customHeight="1">
      <c r="A424" s="999">
        <f>'09월 에너지'!A424</f>
        <v>46281</v>
      </c>
      <c r="B424" s="1002">
        <f>'09월 조업일지'!B422</f>
        <v>46281</v>
      </c>
      <c r="C424" s="1003" t="str">
        <f>'09월 에너지'!C424</f>
        <v>D</v>
      </c>
      <c r="D424" s="1233" t="str">
        <f>'09월 에너지'!D424</f>
        <v>B</v>
      </c>
      <c r="E424" s="1000">
        <f>'09월 에너지'!E424</f>
        <v>85624</v>
      </c>
      <c r="F424" s="1094" t="str">
        <f>'09월 에너지'!F424</f>
        <v>AS500N(QTB.C10)</v>
      </c>
      <c r="G424" s="980"/>
      <c r="H424" s="978"/>
      <c r="I424" s="978">
        <v>6300</v>
      </c>
      <c r="J424" s="978"/>
      <c r="K424" s="978"/>
      <c r="L424" s="978"/>
      <c r="M424" s="978"/>
      <c r="N424" s="978"/>
      <c r="O424" s="1106">
        <f t="shared" si="102"/>
        <v>6300</v>
      </c>
      <c r="P424" s="1108">
        <f>6000+4300+2200</f>
        <v>12500</v>
      </c>
      <c r="Q424" s="979">
        <f>4600+7100</f>
        <v>11700</v>
      </c>
      <c r="R424" s="979">
        <v>9300</v>
      </c>
      <c r="S424" s="979"/>
      <c r="T424" s="979"/>
      <c r="U424" s="979">
        <f>10200+7100</f>
        <v>17300</v>
      </c>
      <c r="V424" s="979">
        <f>5200+10700+6600+8600+4300+7600</f>
        <v>43000</v>
      </c>
      <c r="W424" s="979">
        <v>4600</v>
      </c>
      <c r="X424" s="979">
        <v>8600</v>
      </c>
      <c r="Y424" s="979">
        <f>7900+12800+1300</f>
        <v>22000</v>
      </c>
      <c r="Z424" s="979"/>
      <c r="AA424" s="979">
        <v>1700</v>
      </c>
      <c r="AB424" s="979">
        <v>2900</v>
      </c>
      <c r="AC424" s="979">
        <v>3600</v>
      </c>
      <c r="AD424" s="979"/>
      <c r="AE424" s="1109">
        <f t="shared" si="103"/>
        <v>137200</v>
      </c>
      <c r="AF424" s="1113">
        <v>4300</v>
      </c>
      <c r="AG424" s="981">
        <v>7100</v>
      </c>
      <c r="AH424" s="981">
        <v>3600</v>
      </c>
      <c r="AI424" s="1114">
        <f t="shared" si="104"/>
        <v>15000</v>
      </c>
      <c r="AJ424" s="1110">
        <f t="shared" si="105"/>
        <v>158500</v>
      </c>
      <c r="AK424" s="982">
        <f>'09월 에너지'!S424</f>
        <v>144.19999999999999</v>
      </c>
      <c r="AL424" s="983">
        <f t="shared" si="106"/>
        <v>0.90977917981072554</v>
      </c>
    </row>
    <row r="425" spans="1:38" ht="16.5" customHeight="1">
      <c r="A425" s="999">
        <f>'09월 에너지'!A425</f>
        <v>46281</v>
      </c>
      <c r="B425" s="1002">
        <f>'09월 조업일지'!B423</f>
        <v>46281</v>
      </c>
      <c r="C425" s="1003" t="str">
        <f>'09월 에너지'!C425</f>
        <v>D</v>
      </c>
      <c r="D425" s="1233" t="str">
        <f>'09월 에너지'!D425</f>
        <v>B</v>
      </c>
      <c r="E425" s="1000">
        <f>'09월 에너지'!E425</f>
        <v>85625</v>
      </c>
      <c r="F425" s="1094" t="str">
        <f>'09월 에너지'!F425</f>
        <v>AS500N(QTB.C10)</v>
      </c>
      <c r="G425" s="980"/>
      <c r="H425" s="978"/>
      <c r="I425" s="978">
        <v>6200</v>
      </c>
      <c r="J425" s="978"/>
      <c r="K425" s="978"/>
      <c r="L425" s="978"/>
      <c r="M425" s="978"/>
      <c r="N425" s="978"/>
      <c r="O425" s="1106">
        <f t="shared" si="102"/>
        <v>6200</v>
      </c>
      <c r="P425" s="1108">
        <f>5800+3900+4400</f>
        <v>14100</v>
      </c>
      <c r="Q425" s="979">
        <f>6200+2400</f>
        <v>8600</v>
      </c>
      <c r="R425" s="979">
        <v>6200</v>
      </c>
      <c r="S425" s="979"/>
      <c r="T425" s="979"/>
      <c r="U425" s="979">
        <f>16500+6100</f>
        <v>22600</v>
      </c>
      <c r="V425" s="979">
        <f>3800+7100+8000+7800+5400+7800</f>
        <v>39900</v>
      </c>
      <c r="W425" s="979">
        <v>4000</v>
      </c>
      <c r="X425" s="979">
        <v>7900</v>
      </c>
      <c r="Y425" s="979">
        <f>3300+12600+4500</f>
        <v>20400</v>
      </c>
      <c r="Z425" s="979"/>
      <c r="AA425" s="979">
        <v>3800</v>
      </c>
      <c r="AB425" s="979">
        <v>4500</v>
      </c>
      <c r="AC425" s="979">
        <v>3600</v>
      </c>
      <c r="AD425" s="979"/>
      <c r="AE425" s="1109">
        <f t="shared" si="103"/>
        <v>135600</v>
      </c>
      <c r="AF425" s="1113">
        <v>4000</v>
      </c>
      <c r="AG425" s="981">
        <v>6400</v>
      </c>
      <c r="AH425" s="981">
        <v>5800</v>
      </c>
      <c r="AI425" s="1114">
        <f t="shared" si="104"/>
        <v>16200</v>
      </c>
      <c r="AJ425" s="1110">
        <f t="shared" si="105"/>
        <v>158000</v>
      </c>
      <c r="AK425" s="982">
        <f>'09월 에너지'!S425</f>
        <v>145.69999999999999</v>
      </c>
      <c r="AL425" s="983">
        <f t="shared" si="106"/>
        <v>0.92215189873417724</v>
      </c>
    </row>
    <row r="426" spans="1:38" ht="16.5" customHeight="1">
      <c r="A426" s="999">
        <f>'09월 에너지'!A426</f>
        <v>46281</v>
      </c>
      <c r="B426" s="1002">
        <f>'09월 조업일지'!B424</f>
        <v>46281</v>
      </c>
      <c r="C426" s="1003" t="str">
        <f>'09월 에너지'!C426</f>
        <v>D</v>
      </c>
      <c r="D426" s="1233" t="str">
        <f>'09월 에너지'!D426</f>
        <v>B</v>
      </c>
      <c r="E426" s="1000">
        <f>'09월 에너지'!E426</f>
        <v>85626</v>
      </c>
      <c r="F426" s="1094" t="str">
        <f>'09월 에너지'!F426</f>
        <v>AS500N(QTB.C10)</v>
      </c>
      <c r="G426" s="980"/>
      <c r="H426" s="978"/>
      <c r="I426" s="978">
        <v>4700</v>
      </c>
      <c r="J426" s="978"/>
      <c r="K426" s="978"/>
      <c r="L426" s="978"/>
      <c r="M426" s="978"/>
      <c r="N426" s="978"/>
      <c r="O426" s="1106">
        <f t="shared" si="102"/>
        <v>4700</v>
      </c>
      <c r="P426" s="1108">
        <f>3700+5200+4800</f>
        <v>13700</v>
      </c>
      <c r="Q426" s="979">
        <f>7200+2200</f>
        <v>9400</v>
      </c>
      <c r="R426" s="979">
        <v>10500</v>
      </c>
      <c r="S426" s="979"/>
      <c r="T426" s="979"/>
      <c r="U426" s="979">
        <f>9500+14800</f>
        <v>24300</v>
      </c>
      <c r="V426" s="979">
        <f>8400+8000+7100+4300+5400+12800</f>
        <v>46000</v>
      </c>
      <c r="W426" s="979">
        <v>3100</v>
      </c>
      <c r="X426" s="979">
        <v>8200</v>
      </c>
      <c r="Y426" s="979">
        <f>4600+11100+2000</f>
        <v>17700</v>
      </c>
      <c r="Z426" s="979"/>
      <c r="AA426" s="979">
        <v>1600</v>
      </c>
      <c r="AB426" s="979">
        <v>2300</v>
      </c>
      <c r="AC426" s="979">
        <v>0</v>
      </c>
      <c r="AD426" s="979"/>
      <c r="AE426" s="1109">
        <f t="shared" si="103"/>
        <v>136800</v>
      </c>
      <c r="AF426" s="1113">
        <v>0</v>
      </c>
      <c r="AG426" s="981">
        <v>10200</v>
      </c>
      <c r="AH426" s="981">
        <v>6600</v>
      </c>
      <c r="AI426" s="1114">
        <f t="shared" si="104"/>
        <v>16800</v>
      </c>
      <c r="AJ426" s="1110">
        <f t="shared" si="105"/>
        <v>158300</v>
      </c>
      <c r="AK426" s="982">
        <f>'09월 에너지'!S426</f>
        <v>146.1</v>
      </c>
      <c r="AL426" s="983">
        <f t="shared" si="106"/>
        <v>0.92293114339861027</v>
      </c>
    </row>
    <row r="427" spans="1:38" ht="16.5" customHeight="1">
      <c r="A427" s="999">
        <f>'09월 에너지'!A427</f>
        <v>46281</v>
      </c>
      <c r="B427" s="1002">
        <f>'09월 조업일지'!B425</f>
        <v>46281</v>
      </c>
      <c r="C427" s="1003" t="str">
        <f>'09월 에너지'!C427</f>
        <v>D</v>
      </c>
      <c r="D427" s="1004" t="str">
        <f>'09월 에너지'!D427</f>
        <v>B</v>
      </c>
      <c r="E427" s="1000">
        <f>'09월 에너지'!E427</f>
        <v>85627</v>
      </c>
      <c r="F427" s="1094" t="str">
        <f>'09월 에너지'!F427</f>
        <v>AS500N(QTB.C10)</v>
      </c>
      <c r="G427" s="980"/>
      <c r="H427" s="978"/>
      <c r="I427" s="978">
        <v>4701</v>
      </c>
      <c r="J427" s="978"/>
      <c r="K427" s="978"/>
      <c r="L427" s="978"/>
      <c r="M427" s="978"/>
      <c r="N427" s="978"/>
      <c r="O427" s="1106">
        <f t="shared" ref="O427" si="107">IF(SUM(G427:N427)=0,"",SUM(G427:N427))</f>
        <v>4701</v>
      </c>
      <c r="P427" s="1108">
        <f>3700+5200+4800</f>
        <v>13700</v>
      </c>
      <c r="Q427" s="979">
        <f>7200+2200</f>
        <v>9400</v>
      </c>
      <c r="R427" s="979">
        <v>10501</v>
      </c>
      <c r="S427" s="979"/>
      <c r="T427" s="979"/>
      <c r="U427" s="979">
        <f>9500+14800</f>
        <v>24300</v>
      </c>
      <c r="V427" s="979">
        <f>8400+8000+7100+4300+5400+12800</f>
        <v>46000</v>
      </c>
      <c r="W427" s="979">
        <v>3100</v>
      </c>
      <c r="X427" s="979">
        <v>8200</v>
      </c>
      <c r="Y427" s="979">
        <f>4600+11100+2000</f>
        <v>17700</v>
      </c>
      <c r="Z427" s="979"/>
      <c r="AA427" s="979">
        <v>1600</v>
      </c>
      <c r="AB427" s="979">
        <v>2300</v>
      </c>
      <c r="AC427" s="979">
        <v>0</v>
      </c>
      <c r="AD427" s="979"/>
      <c r="AE427" s="1109">
        <f t="shared" ref="AE427" si="108">IF(SUM(P427:AD427)=0,"",SUM(P427:AD427))</f>
        <v>136801</v>
      </c>
      <c r="AF427" s="1113">
        <v>0</v>
      </c>
      <c r="AG427" s="981">
        <v>10200</v>
      </c>
      <c r="AH427" s="981">
        <v>6600</v>
      </c>
      <c r="AI427" s="1114">
        <f t="shared" si="104"/>
        <v>16800</v>
      </c>
      <c r="AJ427" s="1110">
        <f t="shared" si="105"/>
        <v>158302</v>
      </c>
      <c r="AK427" s="982">
        <f>'09월 에너지'!S427</f>
        <v>147.9</v>
      </c>
      <c r="AL427" s="983">
        <f t="shared" si="106"/>
        <v>0.9342901542621066</v>
      </c>
    </row>
    <row r="428" spans="1:38" ht="16.5" customHeight="1">
      <c r="A428" s="999">
        <f>'09월 에너지'!A428</f>
        <v>46281</v>
      </c>
      <c r="B428" s="1002">
        <f>'09월 조업일지'!B426</f>
        <v>46281</v>
      </c>
      <c r="C428" s="1003" t="str">
        <f>'09월 에너지'!C428</f>
        <v>D</v>
      </c>
      <c r="D428" s="1004" t="str">
        <f>'09월 에너지'!D428</f>
        <v>B</v>
      </c>
      <c r="E428" s="1000">
        <f>'09월 에너지'!E428</f>
        <v>85628</v>
      </c>
      <c r="F428" s="1094" t="str">
        <f>'09월 에너지'!F428</f>
        <v>AS500N(QTB.C10)</v>
      </c>
      <c r="G428" s="980"/>
      <c r="H428" s="978"/>
      <c r="I428" s="978">
        <v>7200</v>
      </c>
      <c r="J428" s="978"/>
      <c r="K428" s="978"/>
      <c r="L428" s="978"/>
      <c r="M428" s="978"/>
      <c r="N428" s="978"/>
      <c r="O428" s="1106">
        <f t="shared" si="102"/>
        <v>7200</v>
      </c>
      <c r="P428" s="1108">
        <v>14100</v>
      </c>
      <c r="Q428" s="979">
        <f>13800+2000</f>
        <v>15800</v>
      </c>
      <c r="R428" s="979">
        <v>15700</v>
      </c>
      <c r="S428" s="979"/>
      <c r="T428" s="979"/>
      <c r="U428" s="979">
        <f>4600+6200</f>
        <v>10800</v>
      </c>
      <c r="V428" s="979">
        <f>6100+8900+4200+5400+6700+11100</f>
        <v>42400</v>
      </c>
      <c r="W428" s="979">
        <v>3100</v>
      </c>
      <c r="X428" s="979">
        <v>8100</v>
      </c>
      <c r="Y428" s="979">
        <f>4500+13000+4300</f>
        <v>21800</v>
      </c>
      <c r="Z428" s="979"/>
      <c r="AA428" s="979">
        <v>2000</v>
      </c>
      <c r="AB428" s="979">
        <v>1600</v>
      </c>
      <c r="AC428" s="979">
        <f>+W428+3100+1800</f>
        <v>8000</v>
      </c>
      <c r="AD428" s="979"/>
      <c r="AE428" s="1109">
        <f t="shared" si="103"/>
        <v>143400</v>
      </c>
      <c r="AF428" s="1113">
        <v>0</v>
      </c>
      <c r="AG428" s="981">
        <v>5100</v>
      </c>
      <c r="AH428" s="981">
        <v>3000</v>
      </c>
      <c r="AI428" s="1114">
        <f t="shared" si="104"/>
        <v>8100</v>
      </c>
      <c r="AJ428" s="1110">
        <f t="shared" si="105"/>
        <v>158700</v>
      </c>
      <c r="AK428" s="982">
        <f>'09월 에너지'!S428</f>
        <v>143.19999999999999</v>
      </c>
      <c r="AL428" s="983">
        <f t="shared" si="106"/>
        <v>0.90233144297416512</v>
      </c>
    </row>
    <row r="429" spans="1:38" ht="16.5" customHeight="1">
      <c r="A429" s="999">
        <f>'09월 에너지'!A429</f>
        <v>46281</v>
      </c>
      <c r="B429" s="1002">
        <f>'09월 조업일지'!B427</f>
        <v>46281</v>
      </c>
      <c r="C429" s="1003" t="str">
        <f>'09월 에너지'!C429</f>
        <v>D</v>
      </c>
      <c r="D429" s="1004" t="str">
        <f>'09월 에너지'!D429</f>
        <v>B</v>
      </c>
      <c r="E429" s="1000">
        <f>'09월 에너지'!E429</f>
        <v>85629</v>
      </c>
      <c r="F429" s="1094" t="str">
        <f>'09월 에너지'!F429</f>
        <v>AS500N(QTB.C10)</v>
      </c>
      <c r="G429" s="980"/>
      <c r="H429" s="978"/>
      <c r="I429" s="978">
        <v>4300</v>
      </c>
      <c r="J429" s="978"/>
      <c r="K429" s="978"/>
      <c r="L429" s="978"/>
      <c r="M429" s="978"/>
      <c r="N429" s="978"/>
      <c r="O429" s="1106">
        <f t="shared" si="102"/>
        <v>4300</v>
      </c>
      <c r="P429" s="1108">
        <f>4900+5300+4100</f>
        <v>14300</v>
      </c>
      <c r="Q429" s="979">
        <f>9500+4600</f>
        <v>14100</v>
      </c>
      <c r="R429" s="979">
        <v>8200</v>
      </c>
      <c r="S429" s="979"/>
      <c r="T429" s="979"/>
      <c r="U429" s="979">
        <f>11800+5200</f>
        <v>17000</v>
      </c>
      <c r="V429" s="979">
        <f>6200+7900+7100+5700+8200+7600</f>
        <v>42700</v>
      </c>
      <c r="W429" s="979">
        <v>0</v>
      </c>
      <c r="X429" s="979">
        <v>0</v>
      </c>
      <c r="Y429" s="979">
        <f>4600+13000+4100</f>
        <v>21700</v>
      </c>
      <c r="Z429" s="979"/>
      <c r="AA429" s="979">
        <v>1600</v>
      </c>
      <c r="AB429" s="979">
        <v>3000</v>
      </c>
      <c r="AC429" s="979">
        <f>2200+3200</f>
        <v>5400</v>
      </c>
      <c r="AD429" s="979"/>
      <c r="AE429" s="1109">
        <f t="shared" si="103"/>
        <v>128000</v>
      </c>
      <c r="AF429" s="1113">
        <f>4300+4200</f>
        <v>8500</v>
      </c>
      <c r="AG429" s="981">
        <v>10700</v>
      </c>
      <c r="AH429" s="981">
        <v>6600</v>
      </c>
      <c r="AI429" s="1114">
        <f t="shared" si="104"/>
        <v>25800</v>
      </c>
      <c r="AJ429" s="1110">
        <f t="shared" si="105"/>
        <v>158100</v>
      </c>
      <c r="AK429" s="982">
        <f>'09월 에너지'!S429</f>
        <v>143</v>
      </c>
      <c r="AL429" s="983">
        <f t="shared" si="106"/>
        <v>0.90449082858950036</v>
      </c>
    </row>
    <row r="430" spans="1:38" ht="16.5" customHeight="1">
      <c r="A430" s="999">
        <f>'09월 에너지'!A430</f>
        <v>46281</v>
      </c>
      <c r="B430" s="1002">
        <f>'09월 조업일지'!B428</f>
        <v>46281</v>
      </c>
      <c r="C430" s="1003" t="str">
        <f>'09월 에너지'!C430</f>
        <v>D</v>
      </c>
      <c r="D430" s="1004" t="str">
        <f>'09월 에너지'!D430</f>
        <v>B</v>
      </c>
      <c r="E430" s="1000">
        <f>'09월 에너지'!E430</f>
        <v>85630</v>
      </c>
      <c r="F430" s="1094" t="str">
        <f>'09월 에너지'!F430</f>
        <v>AS500N(QTB.C10)</v>
      </c>
      <c r="G430" s="980"/>
      <c r="H430" s="978"/>
      <c r="I430" s="978">
        <v>3800</v>
      </c>
      <c r="J430" s="978"/>
      <c r="K430" s="978"/>
      <c r="L430" s="978"/>
      <c r="M430" s="978"/>
      <c r="N430" s="978"/>
      <c r="O430" s="1106">
        <f t="shared" si="102"/>
        <v>3800</v>
      </c>
      <c r="P430" s="1108">
        <f>5200+3200+4400</f>
        <v>12800</v>
      </c>
      <c r="Q430" s="979">
        <f>3800+10300</f>
        <v>14100</v>
      </c>
      <c r="R430" s="979">
        <v>7700</v>
      </c>
      <c r="S430" s="979"/>
      <c r="T430" s="979"/>
      <c r="U430" s="979">
        <f>14200+6400</f>
        <v>20600</v>
      </c>
      <c r="V430" s="979">
        <f>6600+10900+7200+4500+8200+7200</f>
        <v>44600</v>
      </c>
      <c r="W430" s="979">
        <v>3200</v>
      </c>
      <c r="X430" s="979">
        <v>7900</v>
      </c>
      <c r="Y430" s="979">
        <f>4900+11200+5200</f>
        <v>21300</v>
      </c>
      <c r="Z430" s="979"/>
      <c r="AA430" s="979">
        <v>1900</v>
      </c>
      <c r="AB430" s="979">
        <v>2500</v>
      </c>
      <c r="AC430" s="979">
        <v>3000</v>
      </c>
      <c r="AD430" s="979"/>
      <c r="AE430" s="1109">
        <f t="shared" si="103"/>
        <v>139600</v>
      </c>
      <c r="AF430" s="1113">
        <v>3900</v>
      </c>
      <c r="AG430" s="981">
        <v>6500</v>
      </c>
      <c r="AH430" s="981">
        <v>5000</v>
      </c>
      <c r="AI430" s="1114">
        <f t="shared" si="104"/>
        <v>15400</v>
      </c>
      <c r="AJ430" s="1110">
        <f t="shared" si="105"/>
        <v>158800</v>
      </c>
      <c r="AK430" s="982">
        <f>'09월 에너지'!S430</f>
        <v>143.9</v>
      </c>
      <c r="AL430" s="983">
        <f t="shared" si="106"/>
        <v>0.90617128463476071</v>
      </c>
    </row>
    <row r="431" spans="1:38" ht="16.5" customHeight="1">
      <c r="A431" s="999">
        <f>'09월 에너지'!A431</f>
        <v>46281</v>
      </c>
      <c r="B431" s="1002">
        <f>'09월 조업일지'!B429</f>
        <v>46281</v>
      </c>
      <c r="C431" s="1003" t="str">
        <f>'09월 에너지'!C431</f>
        <v>B</v>
      </c>
      <c r="D431" s="1004" t="str">
        <f>'09월 에너지'!D431</f>
        <v>B</v>
      </c>
      <c r="E431" s="1000">
        <f>'09월 에너지'!E431</f>
        <v>85631</v>
      </c>
      <c r="F431" s="1094" t="str">
        <f>'09월 에너지'!F431</f>
        <v>AS500N(QTB.C10)</v>
      </c>
      <c r="G431" s="980"/>
      <c r="H431" s="978"/>
      <c r="I431" s="978">
        <v>4500</v>
      </c>
      <c r="J431" s="978"/>
      <c r="K431" s="978"/>
      <c r="L431" s="978"/>
      <c r="M431" s="978"/>
      <c r="N431" s="978"/>
      <c r="O431" s="1106">
        <f t="shared" si="102"/>
        <v>4500</v>
      </c>
      <c r="P431" s="1108">
        <f>5100+4100+5300</f>
        <v>14500</v>
      </c>
      <c r="Q431" s="979">
        <f>9900+3400</f>
        <v>13300</v>
      </c>
      <c r="R431" s="979">
        <v>7800</v>
      </c>
      <c r="S431" s="979"/>
      <c r="T431" s="979"/>
      <c r="U431" s="979">
        <f>9200+6600</f>
        <v>15800</v>
      </c>
      <c r="V431" s="979">
        <f>5800+8900+7000+2300+8400+7300</f>
        <v>39700</v>
      </c>
      <c r="W431" s="979">
        <v>4400</v>
      </c>
      <c r="X431" s="979">
        <v>7600</v>
      </c>
      <c r="Y431" s="979">
        <f>7800+10200+6300</f>
        <v>24300</v>
      </c>
      <c r="Z431" s="979"/>
      <c r="AA431" s="979">
        <v>2000</v>
      </c>
      <c r="AB431" s="979">
        <v>2300</v>
      </c>
      <c r="AC431" s="979">
        <v>2700</v>
      </c>
      <c r="AD431" s="979"/>
      <c r="AE431" s="1109">
        <f t="shared" si="103"/>
        <v>134400</v>
      </c>
      <c r="AF431" s="1113">
        <v>4100</v>
      </c>
      <c r="AG431" s="981">
        <v>11100</v>
      </c>
      <c r="AH431" s="981">
        <v>4600</v>
      </c>
      <c r="AI431" s="1114">
        <f t="shared" si="104"/>
        <v>19800</v>
      </c>
      <c r="AJ431" s="1110">
        <f t="shared" si="105"/>
        <v>158700</v>
      </c>
      <c r="AK431" s="982">
        <f>'09월 에너지'!S431</f>
        <v>143.6</v>
      </c>
      <c r="AL431" s="983">
        <f t="shared" si="106"/>
        <v>0.9048519218651544</v>
      </c>
    </row>
    <row r="432" spans="1:38" ht="16.5" customHeight="1">
      <c r="A432" s="999">
        <f>'09월 에너지'!A432</f>
        <v>46281</v>
      </c>
      <c r="B432" s="1002">
        <f>'09월 조업일지'!B430</f>
        <v>46281</v>
      </c>
      <c r="C432" s="1003" t="str">
        <f>'09월 에너지'!C432</f>
        <v>B</v>
      </c>
      <c r="D432" s="1004" t="str">
        <f>'09월 에너지'!D432</f>
        <v>B</v>
      </c>
      <c r="E432" s="1000">
        <f>'09월 에너지'!E432</f>
        <v>85632</v>
      </c>
      <c r="F432" s="1094" t="str">
        <f>'09월 에너지'!F432</f>
        <v>AS500N(QTB.C10)</v>
      </c>
      <c r="G432" s="980"/>
      <c r="H432" s="978"/>
      <c r="I432" s="978">
        <v>5300</v>
      </c>
      <c r="J432" s="978"/>
      <c r="K432" s="978"/>
      <c r="L432" s="978"/>
      <c r="M432" s="978"/>
      <c r="N432" s="978"/>
      <c r="O432" s="1106">
        <f t="shared" si="102"/>
        <v>5300</v>
      </c>
      <c r="P432" s="1108">
        <f>3500+4500+3300</f>
        <v>11300</v>
      </c>
      <c r="Q432" s="979">
        <f>6100+5800</f>
        <v>11900</v>
      </c>
      <c r="R432" s="979">
        <v>6300</v>
      </c>
      <c r="S432" s="979"/>
      <c r="T432" s="979"/>
      <c r="U432" s="979">
        <f>9900+2600</f>
        <v>12500</v>
      </c>
      <c r="V432" s="979">
        <f>6100+7600+7500+6100+7300+8600</f>
        <v>43200</v>
      </c>
      <c r="W432" s="979">
        <v>2600</v>
      </c>
      <c r="X432" s="979">
        <v>7900</v>
      </c>
      <c r="Y432" s="979">
        <f>8700+12900+7100</f>
        <v>28700</v>
      </c>
      <c r="Z432" s="979"/>
      <c r="AA432" s="979">
        <v>1500</v>
      </c>
      <c r="AB432" s="979">
        <v>3100</v>
      </c>
      <c r="AC432" s="979">
        <v>1700</v>
      </c>
      <c r="AD432" s="979"/>
      <c r="AE432" s="1109">
        <f t="shared" si="103"/>
        <v>130700</v>
      </c>
      <c r="AF432" s="1113">
        <v>5000</v>
      </c>
      <c r="AG432" s="981">
        <v>13500</v>
      </c>
      <c r="AH432" s="981">
        <v>4200</v>
      </c>
      <c r="AI432" s="1114">
        <f t="shared" si="104"/>
        <v>22700</v>
      </c>
      <c r="AJ432" s="1110">
        <f t="shared" si="105"/>
        <v>158700</v>
      </c>
      <c r="AK432" s="982">
        <f>'09월 에너지'!S432</f>
        <v>143.30000000000001</v>
      </c>
      <c r="AL432" s="983">
        <f t="shared" si="106"/>
        <v>0.90296156269691241</v>
      </c>
    </row>
    <row r="433" spans="1:38" ht="16.5" customHeight="1">
      <c r="A433" s="999">
        <f>'09월 에너지'!A433</f>
        <v>46281</v>
      </c>
      <c r="B433" s="1002">
        <f>'09월 조업일지'!B431</f>
        <v>46281</v>
      </c>
      <c r="C433" s="1003" t="str">
        <f>'09월 에너지'!C433</f>
        <v>B</v>
      </c>
      <c r="D433" s="1004" t="str">
        <f>'09월 에너지'!D433</f>
        <v>B</v>
      </c>
      <c r="E433" s="1000">
        <f>'09월 에너지'!E433</f>
        <v>85633</v>
      </c>
      <c r="F433" s="1094" t="str">
        <f>'09월 에너지'!F433</f>
        <v>AS500N(QTB.C10)</v>
      </c>
      <c r="G433" s="980"/>
      <c r="H433" s="978"/>
      <c r="I433" s="978">
        <v>2900</v>
      </c>
      <c r="J433" s="978"/>
      <c r="K433" s="978"/>
      <c r="L433" s="978"/>
      <c r="M433" s="978"/>
      <c r="N433" s="978"/>
      <c r="O433" s="1106">
        <f t="shared" ref="O433:O435" si="109">IF(SUM(G433:N433)=0,"",SUM(G433:N433))</f>
        <v>2900</v>
      </c>
      <c r="P433" s="1108">
        <f>5800+3900+4400</f>
        <v>14100</v>
      </c>
      <c r="Q433" s="979">
        <v>16600</v>
      </c>
      <c r="R433" s="979">
        <v>6200</v>
      </c>
      <c r="S433" s="979"/>
      <c r="T433" s="979"/>
      <c r="U433" s="979">
        <f>4600+3100</f>
        <v>7700</v>
      </c>
      <c r="V433" s="979">
        <v>45900</v>
      </c>
      <c r="W433" s="979">
        <v>4000</v>
      </c>
      <c r="X433" s="979">
        <v>7900</v>
      </c>
      <c r="Y433" s="979">
        <f>3300+12600+4500+4200</f>
        <v>24600</v>
      </c>
      <c r="Z433" s="979"/>
      <c r="AA433" s="979">
        <v>3800</v>
      </c>
      <c r="AB433" s="979">
        <v>4500</v>
      </c>
      <c r="AC433" s="979">
        <v>3600</v>
      </c>
      <c r="AD433" s="979"/>
      <c r="AE433" s="1109">
        <f t="shared" ref="AE433:AE435" si="110">IF(SUM(P433:AD433)=0,"",SUM(P433:AD433))</f>
        <v>138900</v>
      </c>
      <c r="AF433" s="1113"/>
      <c r="AG433" s="981">
        <v>10100</v>
      </c>
      <c r="AH433" s="981">
        <v>6500</v>
      </c>
      <c r="AI433" s="1114">
        <f t="shared" ref="AI433:AI435" si="111">IF(SUM(AF433:AH433)=0,"",SUM(AF433:AH433))</f>
        <v>16600</v>
      </c>
      <c r="AJ433" s="1110">
        <f t="shared" si="105"/>
        <v>158400</v>
      </c>
      <c r="AK433" s="982">
        <f>'09월 에너지'!S433</f>
        <v>145.1</v>
      </c>
      <c r="AL433" s="983">
        <f t="shared" si="106"/>
        <v>0.91603535353535348</v>
      </c>
    </row>
    <row r="434" spans="1:38" ht="16.5" customHeight="1">
      <c r="A434" s="999">
        <f>'09월 에너지'!A434</f>
        <v>46281</v>
      </c>
      <c r="B434" s="1002">
        <f>'09월 조업일지'!B432</f>
        <v>46281</v>
      </c>
      <c r="C434" s="1003" t="str">
        <f>'09월 에너지'!C434</f>
        <v>B</v>
      </c>
      <c r="D434" s="1004" t="str">
        <f>'09월 에너지'!D434</f>
        <v>B</v>
      </c>
      <c r="E434" s="1000">
        <f>'09월 에너지'!E434</f>
        <v>85634</v>
      </c>
      <c r="F434" s="1094" t="str">
        <f>'09월 에너지'!F434</f>
        <v>AS500N(QTB.C10)</v>
      </c>
      <c r="G434" s="980"/>
      <c r="H434" s="978"/>
      <c r="I434" s="978">
        <v>8200</v>
      </c>
      <c r="J434" s="978"/>
      <c r="K434" s="978"/>
      <c r="L434" s="978"/>
      <c r="M434" s="978"/>
      <c r="N434" s="978"/>
      <c r="O434" s="1106">
        <f t="shared" si="109"/>
        <v>8200</v>
      </c>
      <c r="P434" s="1108">
        <f>3700+5200+4800</f>
        <v>13700</v>
      </c>
      <c r="Q434" s="979">
        <f>7200+2200</f>
        <v>9400</v>
      </c>
      <c r="R434" s="979">
        <v>10500</v>
      </c>
      <c r="S434" s="979"/>
      <c r="T434" s="979"/>
      <c r="U434" s="979">
        <f>9500+14800</f>
        <v>24300</v>
      </c>
      <c r="V434" s="979">
        <f>8400+8000+7100+4300+5400+12800</f>
        <v>46000</v>
      </c>
      <c r="W434" s="979">
        <v>3100</v>
      </c>
      <c r="X434" s="979">
        <v>8200</v>
      </c>
      <c r="Y434" s="979">
        <f>4600+11100+2000+2700</f>
        <v>20400</v>
      </c>
      <c r="Z434" s="979"/>
      <c r="AA434" s="979">
        <v>1600</v>
      </c>
      <c r="AB434" s="979">
        <v>2300</v>
      </c>
      <c r="AC434" s="979">
        <v>0</v>
      </c>
      <c r="AD434" s="979"/>
      <c r="AE434" s="1109">
        <f t="shared" si="110"/>
        <v>139500</v>
      </c>
      <c r="AF434" s="1113">
        <v>2500</v>
      </c>
      <c r="AG434" s="981">
        <v>2100</v>
      </c>
      <c r="AH434" s="981">
        <v>6300</v>
      </c>
      <c r="AI434" s="1114">
        <f t="shared" si="111"/>
        <v>10900</v>
      </c>
      <c r="AJ434" s="1110">
        <f t="shared" si="105"/>
        <v>158600</v>
      </c>
      <c r="AK434" s="982">
        <f>'09월 에너지'!S434</f>
        <v>144.5</v>
      </c>
      <c r="AL434" s="983">
        <f t="shared" si="106"/>
        <v>0.91109709962168983</v>
      </c>
    </row>
    <row r="435" spans="1:38" ht="16.5" customHeight="1">
      <c r="A435" s="999">
        <f>'09월 에너지'!A435</f>
        <v>46281</v>
      </c>
      <c r="B435" s="1002">
        <f>'09월 조업일지'!B433</f>
        <v>46281</v>
      </c>
      <c r="C435" s="1003" t="str">
        <f>'09월 에너지'!C435</f>
        <v>B</v>
      </c>
      <c r="D435" s="1004" t="str">
        <f>'09월 에너지'!D435</f>
        <v>A</v>
      </c>
      <c r="E435" s="1000">
        <f>'09월 에너지'!E435</f>
        <v>85635</v>
      </c>
      <c r="F435" s="1094" t="str">
        <f>'09월 에너지'!F435</f>
        <v>AS500N(QTB.C10)</v>
      </c>
      <c r="G435" s="980"/>
      <c r="H435" s="978"/>
      <c r="I435" s="978">
        <v>4400</v>
      </c>
      <c r="J435" s="978"/>
      <c r="K435" s="978"/>
      <c r="L435" s="978"/>
      <c r="M435" s="978"/>
      <c r="N435" s="978"/>
      <c r="O435" s="1106">
        <f t="shared" si="109"/>
        <v>4400</v>
      </c>
      <c r="P435" s="1108">
        <f>3700+5200+4800</f>
        <v>13700</v>
      </c>
      <c r="Q435" s="979">
        <f>12100+6000</f>
        <v>18100</v>
      </c>
      <c r="R435" s="979">
        <v>7000</v>
      </c>
      <c r="S435" s="979"/>
      <c r="T435" s="979"/>
      <c r="U435" s="979">
        <f>9500+14800</f>
        <v>24300</v>
      </c>
      <c r="V435" s="979">
        <v>45700</v>
      </c>
      <c r="W435" s="979">
        <v>3100</v>
      </c>
      <c r="X435" s="979">
        <v>8200</v>
      </c>
      <c r="Y435" s="979">
        <f>4600+11100+2000</f>
        <v>17700</v>
      </c>
      <c r="Z435" s="979"/>
      <c r="AA435" s="979">
        <v>1600</v>
      </c>
      <c r="AB435" s="979">
        <v>2300</v>
      </c>
      <c r="AC435" s="979">
        <v>0</v>
      </c>
      <c r="AD435" s="979"/>
      <c r="AE435" s="1109">
        <f t="shared" si="110"/>
        <v>141700</v>
      </c>
      <c r="AF435" s="1113">
        <v>4500</v>
      </c>
      <c r="AG435" s="981">
        <v>1400</v>
      </c>
      <c r="AH435" s="981">
        <v>4200</v>
      </c>
      <c r="AI435" s="1114">
        <f t="shared" si="111"/>
        <v>10100</v>
      </c>
      <c r="AJ435" s="1110">
        <f t="shared" si="105"/>
        <v>156200</v>
      </c>
      <c r="AK435" s="982">
        <f>'09월 에너지'!S435</f>
        <v>133.4</v>
      </c>
      <c r="AL435" s="983">
        <f t="shared" si="106"/>
        <v>0.85403329065300893</v>
      </c>
    </row>
    <row r="436" spans="1:38" ht="16.5" customHeight="1">
      <c r="A436" s="999">
        <f>'09월 에너지'!A436</f>
        <v>46281</v>
      </c>
      <c r="B436" s="1002">
        <f>'09월 조업일지'!B434</f>
        <v>46281</v>
      </c>
      <c r="C436" s="1003" t="str">
        <f>'09월 에너지'!C436</f>
        <v>B</v>
      </c>
      <c r="D436" s="1004" t="str">
        <f>'09월 에너지'!D436</f>
        <v>B</v>
      </c>
      <c r="E436" s="1000">
        <f>'09월 에너지'!E436</f>
        <v>85636</v>
      </c>
      <c r="F436" s="1094" t="str">
        <f>'09월 에너지'!F436</f>
        <v>AS500N(QTB.C10)</v>
      </c>
      <c r="G436" s="980"/>
      <c r="H436" s="978"/>
      <c r="I436" s="978">
        <v>1400</v>
      </c>
      <c r="J436" s="978"/>
      <c r="K436" s="978"/>
      <c r="L436" s="978"/>
      <c r="M436" s="978"/>
      <c r="N436" s="978"/>
      <c r="O436" s="1106">
        <f t="shared" si="102"/>
        <v>1400</v>
      </c>
      <c r="P436" s="1108">
        <f>3200+9900+9900</f>
        <v>23000</v>
      </c>
      <c r="Q436" s="979">
        <f>19200+21700</f>
        <v>40900</v>
      </c>
      <c r="R436" s="979">
        <v>4100</v>
      </c>
      <c r="S436" s="979"/>
      <c r="T436" s="979"/>
      <c r="U436" s="979">
        <v>6500</v>
      </c>
      <c r="V436" s="979">
        <f>13000+18200+15900-2400</f>
        <v>44700</v>
      </c>
      <c r="W436" s="979"/>
      <c r="X436" s="979"/>
      <c r="Y436" s="979">
        <f>3600+11500</f>
        <v>15100</v>
      </c>
      <c r="Z436" s="979"/>
      <c r="AA436" s="979">
        <v>3400</v>
      </c>
      <c r="AB436" s="979">
        <v>4100</v>
      </c>
      <c r="AC436" s="979">
        <v>1700</v>
      </c>
      <c r="AD436" s="979"/>
      <c r="AE436" s="1109">
        <f t="shared" si="103"/>
        <v>143500</v>
      </c>
      <c r="AF436" s="1113">
        <v>6500</v>
      </c>
      <c r="AG436" s="981">
        <v>2200</v>
      </c>
      <c r="AH436" s="981">
        <v>4300</v>
      </c>
      <c r="AI436" s="1114">
        <f t="shared" si="104"/>
        <v>13000</v>
      </c>
      <c r="AJ436" s="1110">
        <f t="shared" si="105"/>
        <v>157900</v>
      </c>
      <c r="AK436" s="982">
        <f>'09월 에너지'!S436</f>
        <v>143.30000000000001</v>
      </c>
      <c r="AL436" s="983">
        <f t="shared" si="106"/>
        <v>0.90753641545281827</v>
      </c>
    </row>
    <row r="437" spans="1:38" ht="16.5" customHeight="1">
      <c r="A437" s="999">
        <f>'09월 에너지'!A437</f>
        <v>46281</v>
      </c>
      <c r="B437" s="1002">
        <f>'09월 조업일지'!B435</f>
        <v>46281</v>
      </c>
      <c r="C437" s="1003" t="str">
        <f>'09월 에너지'!C437</f>
        <v>B</v>
      </c>
      <c r="D437" s="1004" t="str">
        <f>'09월 에너지'!D437</f>
        <v>A</v>
      </c>
      <c r="E437" s="1000">
        <f>'09월 에너지'!E437</f>
        <v>85637</v>
      </c>
      <c r="F437" s="1094" t="str">
        <f>'09월 에너지'!F437</f>
        <v>AS500N(QTB.C10)</v>
      </c>
      <c r="G437" s="980"/>
      <c r="H437" s="978"/>
      <c r="I437" s="978">
        <v>6300</v>
      </c>
      <c r="J437" s="978"/>
      <c r="K437" s="978"/>
      <c r="L437" s="978"/>
      <c r="M437" s="978"/>
      <c r="N437" s="978"/>
      <c r="O437" s="1106">
        <f t="shared" si="102"/>
        <v>6300</v>
      </c>
      <c r="P437" s="1108">
        <f>11100+10800+12400</f>
        <v>34300</v>
      </c>
      <c r="Q437" s="979">
        <f>11600+15700</f>
        <v>27300</v>
      </c>
      <c r="R437" s="979">
        <v>10000</v>
      </c>
      <c r="S437" s="979"/>
      <c r="T437" s="979"/>
      <c r="U437" s="979">
        <f>6000+100</f>
        <v>6100</v>
      </c>
      <c r="V437" s="979">
        <f>1900+1600+8800+800+2500+7000</f>
        <v>22600</v>
      </c>
      <c r="W437" s="979">
        <v>2000</v>
      </c>
      <c r="X437" s="979">
        <v>7500</v>
      </c>
      <c r="Y437" s="979">
        <f>2100+18100</f>
        <v>20200</v>
      </c>
      <c r="Z437" s="979"/>
      <c r="AA437" s="979">
        <v>900</v>
      </c>
      <c r="AB437" s="979">
        <v>5500</v>
      </c>
      <c r="AC437" s="979">
        <v>2200</v>
      </c>
      <c r="AD437" s="979"/>
      <c r="AE437" s="1109">
        <f t="shared" si="103"/>
        <v>138600</v>
      </c>
      <c r="AF437" s="1113">
        <v>5000</v>
      </c>
      <c r="AG437" s="981">
        <v>3000</v>
      </c>
      <c r="AH437" s="981">
        <v>4800</v>
      </c>
      <c r="AI437" s="1114">
        <f t="shared" si="104"/>
        <v>12800</v>
      </c>
      <c r="AJ437" s="1110">
        <f t="shared" si="105"/>
        <v>157700</v>
      </c>
      <c r="AK437" s="982">
        <f>'09월 에너지'!S437</f>
        <v>145.30000000000001</v>
      </c>
      <c r="AL437" s="983">
        <f t="shared" si="106"/>
        <v>0.92136968928344953</v>
      </c>
    </row>
    <row r="438" spans="1:38" ht="16.5" customHeight="1">
      <c r="A438" s="999">
        <f>'09월 에너지'!A438</f>
        <v>46281</v>
      </c>
      <c r="B438" s="1002">
        <f>'09월 조업일지'!B436</f>
        <v>46281</v>
      </c>
      <c r="C438" s="1003" t="str">
        <f>'09월 에너지'!C438</f>
        <v>B</v>
      </c>
      <c r="D438" s="1004" t="str">
        <f>'09월 에너지'!D438</f>
        <v>B</v>
      </c>
      <c r="E438" s="1000">
        <f>'09월 에너지'!E438</f>
        <v>85638</v>
      </c>
      <c r="F438" s="1170" t="str">
        <f>'09월 에너지'!F438</f>
        <v>SS275[CS공장]</v>
      </c>
      <c r="G438" s="980"/>
      <c r="H438" s="978"/>
      <c r="I438" s="978">
        <v>4100</v>
      </c>
      <c r="J438" s="978"/>
      <c r="K438" s="978"/>
      <c r="L438" s="978"/>
      <c r="M438" s="978"/>
      <c r="N438" s="978"/>
      <c r="O438" s="1106">
        <f t="shared" si="102"/>
        <v>4100</v>
      </c>
      <c r="P438" s="1108">
        <f>6800+4700+2000</f>
        <v>13500</v>
      </c>
      <c r="Q438" s="979">
        <f>18000+13200</f>
        <v>31200</v>
      </c>
      <c r="R438" s="979">
        <v>3800</v>
      </c>
      <c r="S438" s="979"/>
      <c r="T438" s="979"/>
      <c r="U438" s="979">
        <f>4400+2000</f>
        <v>6400</v>
      </c>
      <c r="V438" s="979">
        <f>6600+9300+6900+5200+9200+7600</f>
        <v>44800</v>
      </c>
      <c r="W438" s="979">
        <v>1700</v>
      </c>
      <c r="X438" s="979">
        <v>8200</v>
      </c>
      <c r="Y438" s="979">
        <f>4100+13400+3000</f>
        <v>20500</v>
      </c>
      <c r="Z438" s="979"/>
      <c r="AA438" s="979">
        <v>3300</v>
      </c>
      <c r="AB438" s="979">
        <v>3000</v>
      </c>
      <c r="AC438" s="979"/>
      <c r="AD438" s="979"/>
      <c r="AE438" s="1109">
        <f t="shared" si="103"/>
        <v>136400</v>
      </c>
      <c r="AF438" s="1113">
        <v>4800</v>
      </c>
      <c r="AG438" s="981">
        <v>6600</v>
      </c>
      <c r="AH438" s="981">
        <v>6600</v>
      </c>
      <c r="AI438" s="1114">
        <f t="shared" si="104"/>
        <v>18000</v>
      </c>
      <c r="AJ438" s="1110">
        <f t="shared" si="105"/>
        <v>158500</v>
      </c>
      <c r="AK438" s="982">
        <f>'09월 에너지'!S438</f>
        <v>144</v>
      </c>
      <c r="AL438" s="983">
        <f t="shared" si="106"/>
        <v>0.90851735015772872</v>
      </c>
    </row>
    <row r="439" spans="1:38" ht="16.5" customHeight="1">
      <c r="A439" s="999">
        <f>'09월 에너지'!A439</f>
        <v>46281</v>
      </c>
      <c r="B439" s="1002">
        <f>'09월 조업일지'!B437</f>
        <v>46281</v>
      </c>
      <c r="C439" s="1003" t="str">
        <f>'09월 에너지'!C439</f>
        <v>B</v>
      </c>
      <c r="D439" s="1004" t="str">
        <f>'09월 에너지'!D439</f>
        <v>A</v>
      </c>
      <c r="E439" s="1000">
        <f>'09월 에너지'!E439</f>
        <v>85639</v>
      </c>
      <c r="F439" s="1094" t="str">
        <f>'09월 에너지'!F439</f>
        <v>SS275[CS공장]</v>
      </c>
      <c r="G439" s="980"/>
      <c r="H439" s="978"/>
      <c r="I439" s="978">
        <v>6300</v>
      </c>
      <c r="J439" s="978"/>
      <c r="K439" s="978"/>
      <c r="L439" s="978"/>
      <c r="M439" s="978"/>
      <c r="N439" s="978"/>
      <c r="O439" s="1106">
        <f t="shared" si="102"/>
        <v>6300</v>
      </c>
      <c r="P439" s="1108">
        <f>9400+4200+11200</f>
        <v>24800</v>
      </c>
      <c r="Q439" s="979">
        <f>6900+20000</f>
        <v>26900</v>
      </c>
      <c r="R439" s="979">
        <v>5200</v>
      </c>
      <c r="S439" s="979"/>
      <c r="T439" s="979"/>
      <c r="U439" s="979">
        <v>18100</v>
      </c>
      <c r="V439" s="979">
        <f>3400+7100+7200+12100</f>
        <v>29800</v>
      </c>
      <c r="W439" s="979">
        <v>1700</v>
      </c>
      <c r="X439" s="979">
        <v>9500</v>
      </c>
      <c r="Y439" s="979">
        <v>10300</v>
      </c>
      <c r="Z439" s="979"/>
      <c r="AA439" s="979">
        <v>200</v>
      </c>
      <c r="AB439" s="979">
        <v>2800</v>
      </c>
      <c r="AC439" s="979">
        <v>3000</v>
      </c>
      <c r="AD439" s="979"/>
      <c r="AE439" s="1109">
        <f t="shared" si="103"/>
        <v>132300</v>
      </c>
      <c r="AF439" s="1113">
        <v>4000</v>
      </c>
      <c r="AG439" s="981">
        <v>10300</v>
      </c>
      <c r="AH439" s="981">
        <v>4500</v>
      </c>
      <c r="AI439" s="1114">
        <f t="shared" si="104"/>
        <v>18800</v>
      </c>
      <c r="AJ439" s="1110">
        <f t="shared" si="105"/>
        <v>157400</v>
      </c>
      <c r="AK439" s="982">
        <f>'09월 에너지'!S439</f>
        <v>144.30000000000001</v>
      </c>
      <c r="AL439" s="983">
        <f t="shared" si="106"/>
        <v>0.91677255400254132</v>
      </c>
    </row>
    <row r="440" spans="1:38" ht="16.5" customHeight="1">
      <c r="A440" s="999">
        <f>'09월 에너지'!A440</f>
        <v>46281</v>
      </c>
      <c r="B440" s="1002">
        <f>'09월 조업일지'!B438</f>
        <v>46281</v>
      </c>
      <c r="C440" s="1003" t="str">
        <f>'09월 에너지'!C440</f>
        <v>C</v>
      </c>
      <c r="D440" s="1004" t="str">
        <f>'09월 에너지'!D440</f>
        <v>B</v>
      </c>
      <c r="E440" s="1000">
        <f>'09월 에너지'!E440</f>
        <v>85640</v>
      </c>
      <c r="F440" s="1094" t="str">
        <f>'09월 에너지'!F440</f>
        <v>SS275[CS공장]</v>
      </c>
      <c r="G440" s="980"/>
      <c r="H440" s="978"/>
      <c r="I440" s="978">
        <v>2000</v>
      </c>
      <c r="J440" s="978"/>
      <c r="K440" s="978"/>
      <c r="L440" s="978"/>
      <c r="M440" s="978"/>
      <c r="N440" s="978"/>
      <c r="O440" s="1106">
        <f t="shared" si="102"/>
        <v>2000</v>
      </c>
      <c r="P440" s="1108">
        <f>3800+10100+1800</f>
        <v>15700</v>
      </c>
      <c r="Q440" s="979">
        <f>9400+4900</f>
        <v>14300</v>
      </c>
      <c r="R440" s="979">
        <v>4700</v>
      </c>
      <c r="S440" s="979"/>
      <c r="T440" s="979"/>
      <c r="U440" s="979">
        <f>7300+1800</f>
        <v>9100</v>
      </c>
      <c r="V440" s="979">
        <f>6600+12100+9100+5100+10100+6100</f>
        <v>49100</v>
      </c>
      <c r="W440" s="979">
        <v>3600</v>
      </c>
      <c r="X440" s="979">
        <v>6200</v>
      </c>
      <c r="Y440" s="979">
        <f>5300+14500+8300</f>
        <v>28100</v>
      </c>
      <c r="Z440" s="979"/>
      <c r="AA440" s="979">
        <v>4500</v>
      </c>
      <c r="AB440" s="979">
        <v>3000</v>
      </c>
      <c r="AC440" s="979">
        <v>3300</v>
      </c>
      <c r="AD440" s="979"/>
      <c r="AE440" s="1109">
        <f t="shared" si="103"/>
        <v>141600</v>
      </c>
      <c r="AF440" s="1113">
        <v>5200</v>
      </c>
      <c r="AG440" s="981">
        <v>6900</v>
      </c>
      <c r="AH440" s="981">
        <v>2900</v>
      </c>
      <c r="AI440" s="1114">
        <f t="shared" si="104"/>
        <v>15000</v>
      </c>
      <c r="AJ440" s="1110">
        <f t="shared" si="105"/>
        <v>158600</v>
      </c>
      <c r="AK440" s="982">
        <f>'09월 에너지'!S440</f>
        <v>143.80000000000001</v>
      </c>
      <c r="AL440" s="983">
        <f t="shared" si="106"/>
        <v>0.90668348045397229</v>
      </c>
    </row>
    <row r="441" spans="1:38" ht="16.5" customHeight="1">
      <c r="A441" s="999">
        <f>'09월 에너지'!A441</f>
        <v>46281</v>
      </c>
      <c r="B441" s="1002">
        <f>'09월 조업일지'!B439</f>
        <v>46281</v>
      </c>
      <c r="C441" s="1003" t="str">
        <f>'09월 에너지'!C441</f>
        <v>C</v>
      </c>
      <c r="D441" s="1004" t="str">
        <f>'09월 에너지'!D441</f>
        <v>A</v>
      </c>
      <c r="E441" s="1000">
        <f>'09월 에너지'!E441</f>
        <v>85641</v>
      </c>
      <c r="F441" s="1094" t="str">
        <f>'09월 에너지'!F441</f>
        <v>SS275[CS공장]</v>
      </c>
      <c r="G441" s="980"/>
      <c r="H441" s="978"/>
      <c r="I441" s="978">
        <v>8300</v>
      </c>
      <c r="J441" s="978"/>
      <c r="K441" s="978"/>
      <c r="L441" s="978"/>
      <c r="M441" s="978"/>
      <c r="N441" s="978"/>
      <c r="O441" s="1106">
        <f t="shared" si="102"/>
        <v>8300</v>
      </c>
      <c r="P441" s="1108">
        <f>7900+3300+12500</f>
        <v>23700</v>
      </c>
      <c r="Q441" s="979">
        <f>6400+11700</f>
        <v>18100</v>
      </c>
      <c r="R441" s="979">
        <v>17700</v>
      </c>
      <c r="S441" s="979"/>
      <c r="T441" s="979"/>
      <c r="U441" s="979">
        <v>9600</v>
      </c>
      <c r="V441" s="979">
        <f>2300+10300+8000+4400+200+7300</f>
        <v>32500</v>
      </c>
      <c r="W441" s="979">
        <v>1400</v>
      </c>
      <c r="X441" s="979">
        <v>8400</v>
      </c>
      <c r="Y441" s="979">
        <f>15100+2300</f>
        <v>17400</v>
      </c>
      <c r="Z441" s="979"/>
      <c r="AA441" s="979">
        <v>100</v>
      </c>
      <c r="AB441" s="979">
        <v>3200</v>
      </c>
      <c r="AC441" s="979">
        <v>2800</v>
      </c>
      <c r="AD441" s="979"/>
      <c r="AE441" s="1109">
        <f t="shared" si="103"/>
        <v>134900</v>
      </c>
      <c r="AF441" s="1113">
        <v>4200</v>
      </c>
      <c r="AG441" s="981"/>
      <c r="AH441" s="981">
        <v>9900</v>
      </c>
      <c r="AI441" s="1114">
        <f t="shared" si="104"/>
        <v>14100</v>
      </c>
      <c r="AJ441" s="1110">
        <f t="shared" si="105"/>
        <v>157300</v>
      </c>
      <c r="AK441" s="982">
        <f>'09월 에너지'!S441</f>
        <v>142.30000000000001</v>
      </c>
      <c r="AL441" s="983">
        <f t="shared" si="106"/>
        <v>0.90464081373172278</v>
      </c>
    </row>
    <row r="442" spans="1:38" ht="16.5" customHeight="1">
      <c r="A442" s="999">
        <f>'09월 에너지'!A442</f>
        <v>46281</v>
      </c>
      <c r="B442" s="1002">
        <f>'09월 조업일지'!B440</f>
        <v>46281</v>
      </c>
      <c r="C442" s="1003" t="str">
        <f>'09월 에너지'!C442</f>
        <v>C</v>
      </c>
      <c r="D442" s="1004" t="str">
        <f>'09월 에너지'!D442</f>
        <v>B</v>
      </c>
      <c r="E442" s="1000">
        <f>'09월 에너지'!E442</f>
        <v>85642</v>
      </c>
      <c r="F442" s="1094" t="str">
        <f>'09월 에너지'!F442</f>
        <v>SS275[CS공장]</v>
      </c>
      <c r="G442" s="980"/>
      <c r="H442" s="978"/>
      <c r="I442" s="978">
        <v>4900</v>
      </c>
      <c r="J442" s="978"/>
      <c r="K442" s="978"/>
      <c r="L442" s="978"/>
      <c r="M442" s="978"/>
      <c r="N442" s="978"/>
      <c r="O442" s="1106">
        <f t="shared" si="102"/>
        <v>4900</v>
      </c>
      <c r="P442" s="1108">
        <f>2700+2500+4600</f>
        <v>9800</v>
      </c>
      <c r="Q442" s="979">
        <f>6800+8100</f>
        <v>14900</v>
      </c>
      <c r="R442" s="979">
        <v>8900</v>
      </c>
      <c r="S442" s="979"/>
      <c r="T442" s="979"/>
      <c r="U442" s="979">
        <f>7200+7400</f>
        <v>14600</v>
      </c>
      <c r="V442" s="979">
        <f>5000+7500+9200+500+5200+7100</f>
        <v>34500</v>
      </c>
      <c r="W442" s="979">
        <v>3300</v>
      </c>
      <c r="X442" s="979">
        <v>5900</v>
      </c>
      <c r="Y442" s="979">
        <f>4200+13600+5500</f>
        <v>23300</v>
      </c>
      <c r="Z442" s="979"/>
      <c r="AA442" s="979">
        <v>1400</v>
      </c>
      <c r="AB442" s="979">
        <v>2000</v>
      </c>
      <c r="AC442" s="979">
        <v>4200</v>
      </c>
      <c r="AD442" s="979"/>
      <c r="AE442" s="1109">
        <f t="shared" si="103"/>
        <v>122800</v>
      </c>
      <c r="AF442" s="1113">
        <v>3800</v>
      </c>
      <c r="AG442" s="981">
        <v>13200</v>
      </c>
      <c r="AH442" s="981">
        <v>13800</v>
      </c>
      <c r="AI442" s="1114">
        <f t="shared" si="104"/>
        <v>30800</v>
      </c>
      <c r="AJ442" s="1110">
        <f t="shared" si="105"/>
        <v>158500</v>
      </c>
      <c r="AK442" s="982">
        <f>'09월 에너지'!S442</f>
        <v>142.69999999999999</v>
      </c>
      <c r="AL442" s="983">
        <f t="shared" si="106"/>
        <v>0.90031545741324925</v>
      </c>
    </row>
    <row r="443" spans="1:38" ht="16.5" customHeight="1">
      <c r="A443" s="999">
        <f>'09월 에너지'!A443</f>
        <v>46281</v>
      </c>
      <c r="B443" s="1002">
        <f>'09월 조업일지'!B441</f>
        <v>46281</v>
      </c>
      <c r="C443" s="1003" t="str">
        <f>'09월 에너지'!C443</f>
        <v>C</v>
      </c>
      <c r="D443" s="1004" t="str">
        <f>'09월 에너지'!D443</f>
        <v>A</v>
      </c>
      <c r="E443" s="1000">
        <f>'09월 에너지'!E443</f>
        <v>85643</v>
      </c>
      <c r="F443" s="1094" t="str">
        <f>'09월 에너지'!F443</f>
        <v>SS275[CS공장]</v>
      </c>
      <c r="G443" s="980"/>
      <c r="H443" s="978"/>
      <c r="I443" s="978">
        <v>6600</v>
      </c>
      <c r="J443" s="978"/>
      <c r="K443" s="978"/>
      <c r="L443" s="978"/>
      <c r="M443" s="978"/>
      <c r="N443" s="978"/>
      <c r="O443" s="1106">
        <f t="shared" si="102"/>
        <v>6600</v>
      </c>
      <c r="P443" s="1108">
        <f>4200+4900+3000</f>
        <v>12100</v>
      </c>
      <c r="Q443" s="979">
        <f>8100+9000</f>
        <v>17100</v>
      </c>
      <c r="R443" s="979">
        <v>3400</v>
      </c>
      <c r="S443" s="979"/>
      <c r="T443" s="979"/>
      <c r="U443" s="979">
        <f>5400+2200</f>
        <v>7600</v>
      </c>
      <c r="V443" s="979">
        <f>6700+13800+7900+5800+5500+7400</f>
        <v>47100</v>
      </c>
      <c r="W443" s="979">
        <v>3700</v>
      </c>
      <c r="X443" s="979">
        <v>7200</v>
      </c>
      <c r="Y443" s="979">
        <f>4300+15400+7100</f>
        <v>26800</v>
      </c>
      <c r="Z443" s="979"/>
      <c r="AA443" s="979">
        <v>3900</v>
      </c>
      <c r="AB443" s="979">
        <v>9700</v>
      </c>
      <c r="AC443" s="979">
        <v>1200</v>
      </c>
      <c r="AD443" s="979"/>
      <c r="AE443" s="1109">
        <f t="shared" si="103"/>
        <v>139800</v>
      </c>
      <c r="AF443" s="1113">
        <v>6300</v>
      </c>
      <c r="AG443" s="981">
        <v>3200</v>
      </c>
      <c r="AH443" s="981">
        <v>5000</v>
      </c>
      <c r="AI443" s="1114">
        <f t="shared" si="104"/>
        <v>14500</v>
      </c>
      <c r="AJ443" s="1110">
        <f t="shared" si="105"/>
        <v>160900</v>
      </c>
      <c r="AK443" s="982">
        <f>'09월 에너지'!S443</f>
        <v>141.69999999999999</v>
      </c>
      <c r="AL443" s="983">
        <f t="shared" si="106"/>
        <v>0.8806712243629583</v>
      </c>
    </row>
    <row r="444" spans="1:38" ht="16.5" customHeight="1">
      <c r="A444" s="999">
        <f>'09월 에너지'!A444</f>
        <v>46281</v>
      </c>
      <c r="B444" s="1002">
        <f>'09월 조업일지'!B442</f>
        <v>46281</v>
      </c>
      <c r="C444" s="1003" t="str">
        <f>'09월 에너지'!C444</f>
        <v>C</v>
      </c>
      <c r="D444" s="1004" t="str">
        <f>'09월 에너지'!D444</f>
        <v>B</v>
      </c>
      <c r="E444" s="1000">
        <f>'09월 에너지'!E444</f>
        <v>85644</v>
      </c>
      <c r="F444" s="1094" t="str">
        <f>'09월 에너지'!F444</f>
        <v>SS275[CS공장]</v>
      </c>
      <c r="G444" s="980"/>
      <c r="H444" s="978"/>
      <c r="I444" s="978">
        <v>2800</v>
      </c>
      <c r="J444" s="978"/>
      <c r="K444" s="978"/>
      <c r="L444" s="978"/>
      <c r="M444" s="978"/>
      <c r="N444" s="978"/>
      <c r="O444" s="1106">
        <f t="shared" si="102"/>
        <v>2800</v>
      </c>
      <c r="P444" s="1108">
        <f>3800+4100+2500</f>
        <v>10400</v>
      </c>
      <c r="Q444" s="979">
        <f>5000+4900</f>
        <v>9900</v>
      </c>
      <c r="R444" s="979">
        <v>4500</v>
      </c>
      <c r="S444" s="979"/>
      <c r="T444" s="979"/>
      <c r="U444" s="979">
        <f>16400+2100</f>
        <v>18500</v>
      </c>
      <c r="V444" s="979">
        <f>3700+7400+7300+5700+8600+7500</f>
        <v>40200</v>
      </c>
      <c r="W444" s="979">
        <v>3300</v>
      </c>
      <c r="X444" s="979">
        <v>9100</v>
      </c>
      <c r="Y444" s="979">
        <f>5600+12900+6100</f>
        <v>24600</v>
      </c>
      <c r="Z444" s="979"/>
      <c r="AA444" s="979">
        <v>2000</v>
      </c>
      <c r="AB444" s="979">
        <v>2700</v>
      </c>
      <c r="AC444" s="979">
        <v>4800</v>
      </c>
      <c r="AD444" s="979"/>
      <c r="AE444" s="1109">
        <f t="shared" si="103"/>
        <v>130000</v>
      </c>
      <c r="AF444" s="1113">
        <v>4400</v>
      </c>
      <c r="AG444" s="981">
        <v>17000</v>
      </c>
      <c r="AH444" s="981">
        <v>5700</v>
      </c>
      <c r="AI444" s="1114">
        <f t="shared" si="104"/>
        <v>27100</v>
      </c>
      <c r="AJ444" s="1110">
        <f t="shared" si="105"/>
        <v>159900</v>
      </c>
      <c r="AK444" s="982">
        <f>'09월 에너지'!S444</f>
        <v>144.69999999999999</v>
      </c>
      <c r="AL444" s="983">
        <f t="shared" si="106"/>
        <v>0.90494058786741716</v>
      </c>
    </row>
    <row r="445" spans="1:38" ht="16.5" customHeight="1">
      <c r="A445" s="999">
        <f>'09월 에너지'!A445</f>
        <v>46281</v>
      </c>
      <c r="B445" s="1002">
        <f>'09월 조업일지'!B443</f>
        <v>46281</v>
      </c>
      <c r="C445" s="1003" t="str">
        <f>'09월 에너지'!C445</f>
        <v>C</v>
      </c>
      <c r="D445" s="1004" t="str">
        <f>'09월 에너지'!D445</f>
        <v>A</v>
      </c>
      <c r="E445" s="1000">
        <f>'09월 에너지'!E445</f>
        <v>85645</v>
      </c>
      <c r="F445" s="1094" t="str">
        <f>'09월 에너지'!F445</f>
        <v>SS275[CS공장]</v>
      </c>
      <c r="G445" s="980"/>
      <c r="H445" s="978"/>
      <c r="I445" s="978">
        <v>9400</v>
      </c>
      <c r="J445" s="978"/>
      <c r="K445" s="978"/>
      <c r="L445" s="978"/>
      <c r="M445" s="978"/>
      <c r="N445" s="978"/>
      <c r="O445" s="1106">
        <f t="shared" si="102"/>
        <v>9400</v>
      </c>
      <c r="P445" s="1108">
        <f>1800+5100+2300</f>
        <v>9200</v>
      </c>
      <c r="Q445" s="979">
        <f>6300+5000</f>
        <v>11300</v>
      </c>
      <c r="R445" s="979">
        <v>4500</v>
      </c>
      <c r="S445" s="979"/>
      <c r="T445" s="979"/>
      <c r="U445" s="979">
        <f>10800+2700</f>
        <v>13500</v>
      </c>
      <c r="V445" s="979">
        <f>4100+7900+6900+5000+9100+6600</f>
        <v>39600</v>
      </c>
      <c r="W445" s="979">
        <v>3700</v>
      </c>
      <c r="X445" s="979">
        <v>7500</v>
      </c>
      <c r="Y445" s="979">
        <f>3900+10800+6500</f>
        <v>21200</v>
      </c>
      <c r="Z445" s="979"/>
      <c r="AA445" s="979">
        <v>3600</v>
      </c>
      <c r="AB445" s="979">
        <v>12600</v>
      </c>
      <c r="AC445" s="979">
        <v>3100</v>
      </c>
      <c r="AD445" s="979"/>
      <c r="AE445" s="1109">
        <f t="shared" si="103"/>
        <v>129800</v>
      </c>
      <c r="AF445" s="1113">
        <v>4800</v>
      </c>
      <c r="AG445" s="981">
        <v>9600</v>
      </c>
      <c r="AH445" s="981">
        <v>4900</v>
      </c>
      <c r="AI445" s="1114">
        <f t="shared" si="104"/>
        <v>19300</v>
      </c>
      <c r="AJ445" s="1110">
        <f t="shared" si="105"/>
        <v>158500</v>
      </c>
      <c r="AK445" s="982">
        <f>'09월 에너지'!S445</f>
        <v>144.69999999999999</v>
      </c>
      <c r="AL445" s="983">
        <f t="shared" si="106"/>
        <v>0.91293375394321763</v>
      </c>
    </row>
    <row r="446" spans="1:38" ht="16.5" customHeight="1">
      <c r="A446" s="999">
        <f>'09월 에너지'!A446</f>
        <v>46282</v>
      </c>
      <c r="B446" s="1002">
        <f>'09월 조업일지'!B444</f>
        <v>46281</v>
      </c>
      <c r="C446" s="1003" t="str">
        <f>'09월 에너지'!C446</f>
        <v>C</v>
      </c>
      <c r="D446" s="1004" t="str">
        <f>'09월 에너지'!D446</f>
        <v>B</v>
      </c>
      <c r="E446" s="1000">
        <f>'09월 에너지'!E446</f>
        <v>85646</v>
      </c>
      <c r="F446" s="1094" t="str">
        <f>'09월 에너지'!F446</f>
        <v>SS275[CS공장]</v>
      </c>
      <c r="G446" s="980"/>
      <c r="H446" s="978"/>
      <c r="I446" s="978">
        <v>7000</v>
      </c>
      <c r="J446" s="978"/>
      <c r="K446" s="978"/>
      <c r="L446" s="978"/>
      <c r="M446" s="978"/>
      <c r="N446" s="978"/>
      <c r="O446" s="1106">
        <f t="shared" si="102"/>
        <v>7000</v>
      </c>
      <c r="P446" s="1108">
        <f>2800+5700+6300</f>
        <v>14800</v>
      </c>
      <c r="Q446" s="979">
        <f>10300+1200</f>
        <v>11500</v>
      </c>
      <c r="R446" s="979">
        <v>14000</v>
      </c>
      <c r="S446" s="979"/>
      <c r="T446" s="979"/>
      <c r="U446" s="979">
        <f>4500+5700</f>
        <v>10200</v>
      </c>
      <c r="V446" s="979">
        <f>4900+12600+7500+8200+8600+7000</f>
        <v>48800</v>
      </c>
      <c r="W446" s="979">
        <v>3400</v>
      </c>
      <c r="X446" s="979">
        <v>7600</v>
      </c>
      <c r="Y446" s="979">
        <f>3800+12600+1200</f>
        <v>17600</v>
      </c>
      <c r="Z446" s="979"/>
      <c r="AA446" s="979">
        <v>1500</v>
      </c>
      <c r="AB446" s="979">
        <v>4600</v>
      </c>
      <c r="AC446" s="979">
        <v>4500</v>
      </c>
      <c r="AD446" s="979"/>
      <c r="AE446" s="1109">
        <f t="shared" si="103"/>
        <v>138500</v>
      </c>
      <c r="AF446" s="1113">
        <v>3800</v>
      </c>
      <c r="AG446" s="981">
        <v>4400</v>
      </c>
      <c r="AH446" s="981">
        <v>5400</v>
      </c>
      <c r="AI446" s="1114">
        <f t="shared" si="104"/>
        <v>13600</v>
      </c>
      <c r="AJ446" s="1110">
        <f t="shared" si="105"/>
        <v>159100</v>
      </c>
      <c r="AK446" s="982">
        <f>'09월 에너지'!S446</f>
        <v>143.4</v>
      </c>
      <c r="AL446" s="983">
        <f t="shared" si="106"/>
        <v>0.90131992457573851</v>
      </c>
    </row>
    <row r="447" spans="1:38" ht="16.5" customHeight="1">
      <c r="A447" s="999">
        <f>'09월 에너지'!A447</f>
        <v>46282</v>
      </c>
      <c r="B447" s="1002">
        <f>'09월 조업일지'!B445</f>
        <v>46281</v>
      </c>
      <c r="C447" s="1003" t="str">
        <f>'09월 에너지'!C447</f>
        <v>C</v>
      </c>
      <c r="D447" s="1004" t="str">
        <f>'09월 에너지'!D447</f>
        <v>A</v>
      </c>
      <c r="E447" s="1000">
        <f>'09월 에너지'!E447</f>
        <v>85647</v>
      </c>
      <c r="F447" s="1094" t="str">
        <f>'09월 에너지'!F447</f>
        <v>SS275[CS공장]</v>
      </c>
      <c r="G447" s="980"/>
      <c r="H447" s="978"/>
      <c r="I447" s="978">
        <v>2000</v>
      </c>
      <c r="J447" s="978"/>
      <c r="K447" s="978"/>
      <c r="L447" s="978"/>
      <c r="M447" s="978"/>
      <c r="N447" s="978"/>
      <c r="O447" s="1106">
        <f t="shared" si="102"/>
        <v>2000</v>
      </c>
      <c r="P447" s="1108">
        <f>1900+3800+1900</f>
        <v>7600</v>
      </c>
      <c r="Q447" s="979">
        <f>6400+4100</f>
        <v>10500</v>
      </c>
      <c r="R447" s="979">
        <v>8800</v>
      </c>
      <c r="S447" s="979"/>
      <c r="T447" s="979"/>
      <c r="U447" s="979">
        <f>6400+2800</f>
        <v>9200</v>
      </c>
      <c r="V447" s="979">
        <f>5000+9700+7500+5100+8700+6600</f>
        <v>42600</v>
      </c>
      <c r="W447" s="979">
        <v>3800</v>
      </c>
      <c r="X447" s="979">
        <v>7200</v>
      </c>
      <c r="Y447" s="979">
        <f>7000+11800+6900</f>
        <v>25700</v>
      </c>
      <c r="Z447" s="979"/>
      <c r="AA447" s="979">
        <v>2900</v>
      </c>
      <c r="AB447" s="979">
        <v>14200</v>
      </c>
      <c r="AC447" s="979">
        <v>3500</v>
      </c>
      <c r="AD447" s="979"/>
      <c r="AE447" s="1109">
        <f t="shared" si="103"/>
        <v>136000</v>
      </c>
      <c r="AF447" s="1113">
        <v>4800</v>
      </c>
      <c r="AG447" s="981">
        <v>7800</v>
      </c>
      <c r="AH447" s="981">
        <v>8400</v>
      </c>
      <c r="AI447" s="1114">
        <f t="shared" si="104"/>
        <v>21000</v>
      </c>
      <c r="AJ447" s="1110">
        <f t="shared" si="105"/>
        <v>159000</v>
      </c>
      <c r="AK447" s="982">
        <f>'09월 에너지'!S447</f>
        <v>142.5</v>
      </c>
      <c r="AL447" s="983">
        <f t="shared" si="106"/>
        <v>0.89622641509433965</v>
      </c>
    </row>
    <row r="448" spans="1:38" ht="16.5" customHeight="1">
      <c r="A448" s="999">
        <f>'09월 에너지'!A448</f>
        <v>46282</v>
      </c>
      <c r="B448" s="1002">
        <f>'09월 조업일지'!B446</f>
        <v>46281</v>
      </c>
      <c r="C448" s="1003" t="str">
        <f>'09월 에너지'!C448</f>
        <v>C</v>
      </c>
      <c r="D448" s="1004" t="str">
        <f>'09월 에너지'!D448</f>
        <v>B</v>
      </c>
      <c r="E448" s="1000">
        <f>'09월 에너지'!E448</f>
        <v>85648</v>
      </c>
      <c r="F448" s="1094" t="str">
        <f>'09월 에너지'!F448</f>
        <v>SS275[CS공장]</v>
      </c>
      <c r="G448" s="980"/>
      <c r="H448" s="978"/>
      <c r="I448" s="978">
        <v>2700</v>
      </c>
      <c r="J448" s="978"/>
      <c r="K448" s="978"/>
      <c r="L448" s="978"/>
      <c r="M448" s="978"/>
      <c r="N448" s="978"/>
      <c r="O448" s="1106">
        <f t="shared" si="102"/>
        <v>2700</v>
      </c>
      <c r="P448" s="1108">
        <f>3600+4800+1100</f>
        <v>9500</v>
      </c>
      <c r="Q448" s="979">
        <f>5200+7900</f>
        <v>13100</v>
      </c>
      <c r="R448" s="979">
        <v>17200</v>
      </c>
      <c r="S448" s="979"/>
      <c r="T448" s="979"/>
      <c r="U448" s="979">
        <f>5800+5800</f>
        <v>11600</v>
      </c>
      <c r="V448" s="979">
        <f>7400+11600+6900+8100+4800+8100</f>
        <v>46900</v>
      </c>
      <c r="W448" s="979">
        <v>3800</v>
      </c>
      <c r="X448" s="979">
        <v>7700</v>
      </c>
      <c r="Y448" s="979">
        <f>5400+11600+3900</f>
        <v>20900</v>
      </c>
      <c r="Z448" s="979"/>
      <c r="AA448" s="979">
        <v>1800</v>
      </c>
      <c r="AB448" s="979">
        <v>1300</v>
      </c>
      <c r="AC448" s="979">
        <v>3100</v>
      </c>
      <c r="AD448" s="979"/>
      <c r="AE448" s="1109">
        <f t="shared" si="103"/>
        <v>136900</v>
      </c>
      <c r="AF448" s="1113">
        <v>3800</v>
      </c>
      <c r="AG448" s="981">
        <v>11200</v>
      </c>
      <c r="AH448" s="981">
        <v>4000</v>
      </c>
      <c r="AI448" s="1114">
        <f t="shared" si="104"/>
        <v>19000</v>
      </c>
      <c r="AJ448" s="1110">
        <f t="shared" si="105"/>
        <v>158600</v>
      </c>
      <c r="AK448" s="982">
        <f>'09월 에너지'!S448</f>
        <v>143.30000000000001</v>
      </c>
      <c r="AL448" s="983">
        <f t="shared" si="106"/>
        <v>0.90353089533417408</v>
      </c>
    </row>
    <row r="449" spans="1:38" ht="16.5" customHeight="1">
      <c r="A449" s="999">
        <f>'09월 에너지'!A449</f>
        <v>46282</v>
      </c>
      <c r="B449" s="1002">
        <f>'09월 조업일지'!B447</f>
        <v>46281</v>
      </c>
      <c r="C449" s="1003" t="str">
        <f>'09월 에너지'!C449</f>
        <v>C</v>
      </c>
      <c r="D449" s="1004" t="str">
        <f>'09월 에너지'!D449</f>
        <v>A</v>
      </c>
      <c r="E449" s="1000">
        <f>'09월 에너지'!E449</f>
        <v>85649</v>
      </c>
      <c r="F449" s="1094" t="str">
        <f>'09월 에너지'!F449</f>
        <v>SS275[CS공장]</v>
      </c>
      <c r="G449" s="980"/>
      <c r="H449" s="978"/>
      <c r="I449" s="978">
        <v>2500</v>
      </c>
      <c r="J449" s="978"/>
      <c r="K449" s="978"/>
      <c r="L449" s="978"/>
      <c r="M449" s="978"/>
      <c r="N449" s="978"/>
      <c r="O449" s="1106">
        <f t="shared" si="102"/>
        <v>2500</v>
      </c>
      <c r="P449" s="1108">
        <f>1200+3900+9900</f>
        <v>15000</v>
      </c>
      <c r="Q449" s="979">
        <f>7100+6700</f>
        <v>13800</v>
      </c>
      <c r="R449" s="979">
        <v>5900</v>
      </c>
      <c r="S449" s="979"/>
      <c r="T449" s="979"/>
      <c r="U449" s="979">
        <f>10700+3100</f>
        <v>13800</v>
      </c>
      <c r="V449" s="979">
        <f>8800+8400+6400+1500+9200+7400</f>
        <v>41700</v>
      </c>
      <c r="W449" s="979">
        <v>3500</v>
      </c>
      <c r="X449" s="979">
        <v>8400</v>
      </c>
      <c r="Y449" s="979">
        <f>3100+10100+800</f>
        <v>14000</v>
      </c>
      <c r="Z449" s="979"/>
      <c r="AA449" s="979">
        <v>2900</v>
      </c>
      <c r="AB449" s="979">
        <v>10100</v>
      </c>
      <c r="AC449" s="979">
        <v>3200</v>
      </c>
      <c r="AD449" s="979"/>
      <c r="AE449" s="1109">
        <f t="shared" si="103"/>
        <v>132300</v>
      </c>
      <c r="AF449" s="1113">
        <v>4200</v>
      </c>
      <c r="AG449" s="981">
        <v>9800</v>
      </c>
      <c r="AH449" s="981">
        <v>9200</v>
      </c>
      <c r="AI449" s="1114">
        <f t="shared" si="104"/>
        <v>23200</v>
      </c>
      <c r="AJ449" s="1110">
        <f t="shared" si="105"/>
        <v>158000</v>
      </c>
      <c r="AK449" s="982">
        <f>'09월 에너지'!S449</f>
        <v>143.69999999999999</v>
      </c>
      <c r="AL449" s="983">
        <f t="shared" si="106"/>
        <v>0.90949367088607591</v>
      </c>
    </row>
    <row r="450" spans="1:38" ht="16.5" customHeight="1">
      <c r="A450" s="999">
        <f>'09월 에너지'!A450</f>
        <v>46282</v>
      </c>
      <c r="B450" s="1002">
        <f>'09월 조업일지'!B448</f>
        <v>46282</v>
      </c>
      <c r="C450" s="1003" t="str">
        <f>'09월 에너지'!C450</f>
        <v>D</v>
      </c>
      <c r="D450" s="1004" t="str">
        <f>'09월 에너지'!D450</f>
        <v>B</v>
      </c>
      <c r="E450" s="1000">
        <f>'09월 에너지'!E450</f>
        <v>85650</v>
      </c>
      <c r="F450" s="1094" t="str">
        <f>'09월 에너지'!F450</f>
        <v>SS275[CS공장]</v>
      </c>
      <c r="G450" s="980"/>
      <c r="H450" s="978"/>
      <c r="I450" s="978">
        <v>7600</v>
      </c>
      <c r="J450" s="978"/>
      <c r="K450" s="978"/>
      <c r="L450" s="978"/>
      <c r="M450" s="978"/>
      <c r="N450" s="978"/>
      <c r="O450" s="1106">
        <f t="shared" si="102"/>
        <v>7600</v>
      </c>
      <c r="P450" s="1108">
        <f>2900+6000+2700</f>
        <v>11600</v>
      </c>
      <c r="Q450" s="979">
        <f>7900+7200</f>
        <v>15100</v>
      </c>
      <c r="R450" s="979">
        <v>9000</v>
      </c>
      <c r="S450" s="979"/>
      <c r="T450" s="979"/>
      <c r="U450" s="979">
        <f>10800+10900</f>
        <v>21700</v>
      </c>
      <c r="V450" s="979">
        <f>6900+4600+7300+1300+5500+6500</f>
        <v>32100</v>
      </c>
      <c r="W450" s="979">
        <v>3000</v>
      </c>
      <c r="X450" s="979">
        <v>7900</v>
      </c>
      <c r="Y450" s="979">
        <f>5800+14300+3900</f>
        <v>24000</v>
      </c>
      <c r="Z450" s="979"/>
      <c r="AA450" s="979">
        <v>900</v>
      </c>
      <c r="AB450" s="979">
        <v>3200</v>
      </c>
      <c r="AC450" s="979">
        <v>6000</v>
      </c>
      <c r="AD450" s="979"/>
      <c r="AE450" s="1109">
        <f t="shared" si="103"/>
        <v>134500</v>
      </c>
      <c r="AF450" s="1113">
        <v>3900</v>
      </c>
      <c r="AG450" s="981">
        <v>9400</v>
      </c>
      <c r="AH450" s="981">
        <v>4500</v>
      </c>
      <c r="AI450" s="1114">
        <f t="shared" si="104"/>
        <v>17800</v>
      </c>
      <c r="AJ450" s="1110">
        <f t="shared" si="105"/>
        <v>159900</v>
      </c>
      <c r="AK450" s="982">
        <f>'09월 에너지'!S450</f>
        <v>144.19999999999999</v>
      </c>
      <c r="AL450" s="983">
        <f t="shared" si="106"/>
        <v>0.90181363352095056</v>
      </c>
    </row>
    <row r="451" spans="1:38" ht="16.5" customHeight="1">
      <c r="A451" s="999">
        <f>'09월 에너지'!A451</f>
        <v>46282</v>
      </c>
      <c r="B451" s="1002">
        <f>'09월 조업일지'!B449</f>
        <v>46282</v>
      </c>
      <c r="C451" s="1003" t="str">
        <f>'09월 에너지'!C451</f>
        <v>D</v>
      </c>
      <c r="D451" s="1004" t="str">
        <f>'09월 에너지'!D451</f>
        <v>A</v>
      </c>
      <c r="E451" s="1000">
        <f>'09월 에너지'!E451</f>
        <v>85651</v>
      </c>
      <c r="F451" s="1094" t="str">
        <f>'09월 에너지'!F451</f>
        <v>SS275[CS공장]</v>
      </c>
      <c r="G451" s="980"/>
      <c r="H451" s="978"/>
      <c r="I451" s="978">
        <v>6500</v>
      </c>
      <c r="J451" s="978"/>
      <c r="K451" s="978"/>
      <c r="L451" s="978"/>
      <c r="M451" s="978"/>
      <c r="N451" s="978"/>
      <c r="O451" s="1106">
        <f t="shared" si="102"/>
        <v>6500</v>
      </c>
      <c r="P451" s="1108">
        <f>2500+4300+2700</f>
        <v>9500</v>
      </c>
      <c r="Q451" s="979">
        <f>7400+5900</f>
        <v>13300</v>
      </c>
      <c r="R451" s="979">
        <v>5100</v>
      </c>
      <c r="S451" s="979"/>
      <c r="T451" s="979"/>
      <c r="U451" s="979">
        <f>11500+1900</f>
        <v>13400</v>
      </c>
      <c r="V451" s="979">
        <f>1400+18000+6900+4600+7700+8100</f>
        <v>46700</v>
      </c>
      <c r="W451" s="979">
        <v>3200</v>
      </c>
      <c r="X451" s="979">
        <v>8800</v>
      </c>
      <c r="Y451" s="979">
        <f>2900+11400+8800</f>
        <v>23100</v>
      </c>
      <c r="Z451" s="979"/>
      <c r="AA451" s="979">
        <v>2100</v>
      </c>
      <c r="AB451" s="979">
        <v>16300</v>
      </c>
      <c r="AC451" s="979">
        <v>3500</v>
      </c>
      <c r="AD451" s="979"/>
      <c r="AE451" s="1109">
        <f t="shared" si="103"/>
        <v>145000</v>
      </c>
      <c r="AF451" s="1113">
        <v>3400</v>
      </c>
      <c r="AG451" s="981">
        <v>2200</v>
      </c>
      <c r="AH451" s="981">
        <v>3100</v>
      </c>
      <c r="AI451" s="1114">
        <f t="shared" si="104"/>
        <v>8700</v>
      </c>
      <c r="AJ451" s="1110">
        <f t="shared" si="105"/>
        <v>160200</v>
      </c>
      <c r="AK451" s="982">
        <f>'09월 에너지'!S451</f>
        <v>144.9</v>
      </c>
      <c r="AL451" s="983">
        <f t="shared" si="106"/>
        <v>0.9044943820224719</v>
      </c>
    </row>
    <row r="452" spans="1:38" ht="16.5" customHeight="1">
      <c r="A452" s="999">
        <f>'09월 에너지'!A452</f>
        <v>46282</v>
      </c>
      <c r="B452" s="1002">
        <f>'09월 조업일지'!B450</f>
        <v>46282</v>
      </c>
      <c r="C452" s="1003" t="str">
        <f>'09월 에너지'!C452</f>
        <v>D</v>
      </c>
      <c r="D452" s="1004" t="str">
        <f>'09월 에너지'!D452</f>
        <v>B</v>
      </c>
      <c r="E452" s="1000">
        <f>'09월 에너지'!E452</f>
        <v>85652</v>
      </c>
      <c r="F452" s="1094" t="str">
        <f>'09월 에너지'!F452</f>
        <v>SS275[CS공장]</v>
      </c>
      <c r="G452" s="980"/>
      <c r="H452" s="978"/>
      <c r="I452" s="978">
        <v>5100</v>
      </c>
      <c r="J452" s="978"/>
      <c r="K452" s="978"/>
      <c r="L452" s="978"/>
      <c r="M452" s="978"/>
      <c r="N452" s="978"/>
      <c r="O452" s="1106">
        <f t="shared" si="102"/>
        <v>5100</v>
      </c>
      <c r="P452" s="1108">
        <f>5000+6600+2400</f>
        <v>14000</v>
      </c>
      <c r="Q452" s="979">
        <f>7700+2900</f>
        <v>10600</v>
      </c>
      <c r="R452" s="979">
        <v>6400</v>
      </c>
      <c r="S452" s="979"/>
      <c r="T452" s="979"/>
      <c r="U452" s="979">
        <f>10800+5200</f>
        <v>16000</v>
      </c>
      <c r="V452" s="979">
        <f>6500+6900+8800+6500+4900+6900</f>
        <v>40500</v>
      </c>
      <c r="W452" s="979">
        <v>4200</v>
      </c>
      <c r="X452" s="979">
        <v>7800</v>
      </c>
      <c r="Y452" s="979">
        <f>4200+12000+3700</f>
        <v>19900</v>
      </c>
      <c r="Z452" s="979"/>
      <c r="AA452" s="979">
        <v>1700</v>
      </c>
      <c r="AB452" s="979">
        <v>2000</v>
      </c>
      <c r="AC452" s="979">
        <v>3200</v>
      </c>
      <c r="AD452" s="979"/>
      <c r="AE452" s="1109">
        <f t="shared" si="103"/>
        <v>126300</v>
      </c>
      <c r="AF452" s="1113">
        <v>4400</v>
      </c>
      <c r="AG452" s="981">
        <v>12200</v>
      </c>
      <c r="AH452" s="981">
        <v>5100</v>
      </c>
      <c r="AI452" s="1114">
        <f t="shared" si="104"/>
        <v>21700</v>
      </c>
      <c r="AJ452" s="1110">
        <f t="shared" si="105"/>
        <v>153100</v>
      </c>
      <c r="AK452" s="982">
        <f>'09월 에너지'!S452</f>
        <v>143.19999999999999</v>
      </c>
      <c r="AL452" s="983">
        <f t="shared" si="106"/>
        <v>0.93533638145003262</v>
      </c>
    </row>
    <row r="453" spans="1:38" ht="16.5" customHeight="1">
      <c r="A453" s="999">
        <f>'09월 에너지'!A453</f>
        <v>46282</v>
      </c>
      <c r="B453" s="1002">
        <f>'09월 조업일지'!B451</f>
        <v>46282</v>
      </c>
      <c r="C453" s="1003" t="str">
        <f>'09월 에너지'!C453</f>
        <v>D</v>
      </c>
      <c r="D453" s="1004" t="str">
        <f>'09월 에너지'!D453</f>
        <v>A</v>
      </c>
      <c r="E453" s="1000">
        <f>'09월 에너지'!E453</f>
        <v>85653</v>
      </c>
      <c r="F453" s="1094" t="str">
        <f>'09월 에너지'!F453</f>
        <v>SS275[CS공장]</v>
      </c>
      <c r="G453" s="980"/>
      <c r="H453" s="978"/>
      <c r="I453" s="978">
        <v>3400</v>
      </c>
      <c r="J453" s="978"/>
      <c r="K453" s="978"/>
      <c r="L453" s="978"/>
      <c r="M453" s="978"/>
      <c r="N453" s="978"/>
      <c r="O453" s="1106">
        <f t="shared" si="102"/>
        <v>3400</v>
      </c>
      <c r="P453" s="1108">
        <f>4400+4800+7800</f>
        <v>17000</v>
      </c>
      <c r="Q453" s="979">
        <f>7200+6700</f>
        <v>13900</v>
      </c>
      <c r="R453" s="979">
        <v>3400</v>
      </c>
      <c r="S453" s="979"/>
      <c r="T453" s="979"/>
      <c r="U453" s="979">
        <f>8500+3300</f>
        <v>11800</v>
      </c>
      <c r="V453" s="979">
        <f>8300+9200+6900+5900+3200+6500</f>
        <v>40000</v>
      </c>
      <c r="W453" s="979">
        <v>1600</v>
      </c>
      <c r="X453" s="979">
        <v>9900</v>
      </c>
      <c r="Y453" s="979">
        <f>6200+15700+5200</f>
        <v>27100</v>
      </c>
      <c r="Z453" s="979"/>
      <c r="AA453" s="979">
        <v>600</v>
      </c>
      <c r="AB453" s="979">
        <v>3200</v>
      </c>
      <c r="AC453" s="979">
        <v>2800</v>
      </c>
      <c r="AD453" s="979"/>
      <c r="AE453" s="1109">
        <f t="shared" si="103"/>
        <v>131300</v>
      </c>
      <c r="AF453" s="1113">
        <v>5700</v>
      </c>
      <c r="AG453" s="981">
        <v>7200</v>
      </c>
      <c r="AH453" s="981">
        <v>11700</v>
      </c>
      <c r="AI453" s="1114">
        <f t="shared" si="104"/>
        <v>24600</v>
      </c>
      <c r="AJ453" s="1110">
        <f t="shared" si="105"/>
        <v>159300</v>
      </c>
      <c r="AK453" s="982">
        <f>'09월 에너지'!S453</f>
        <v>144.1</v>
      </c>
      <c r="AL453" s="983">
        <f t="shared" si="106"/>
        <v>0.90458254865034526</v>
      </c>
    </row>
    <row r="454" spans="1:38" ht="16.5" customHeight="1">
      <c r="A454" s="999">
        <f>'09월 에너지'!A454</f>
        <v>46282</v>
      </c>
      <c r="B454" s="1002">
        <f>'09월 조업일지'!B452</f>
        <v>46282</v>
      </c>
      <c r="C454" s="1003" t="str">
        <f>'09월 에너지'!C454</f>
        <v>D</v>
      </c>
      <c r="D454" s="1004" t="str">
        <f>'09월 에너지'!D454</f>
        <v>B</v>
      </c>
      <c r="E454" s="1000">
        <f>'09월 에너지'!E454</f>
        <v>85654</v>
      </c>
      <c r="F454" s="1094" t="str">
        <f>'09월 에너지'!F454</f>
        <v>SS275[CS공장]</v>
      </c>
      <c r="G454" s="980"/>
      <c r="H454" s="978"/>
      <c r="I454" s="978">
        <v>6500</v>
      </c>
      <c r="J454" s="978"/>
      <c r="K454" s="978"/>
      <c r="L454" s="978"/>
      <c r="M454" s="978"/>
      <c r="N454" s="978"/>
      <c r="O454" s="1106">
        <f t="shared" si="102"/>
        <v>6500</v>
      </c>
      <c r="P454" s="1108">
        <f>3900+5400+4300</f>
        <v>13600</v>
      </c>
      <c r="Q454" s="979">
        <f>6900+3700</f>
        <v>10600</v>
      </c>
      <c r="R454" s="979">
        <v>9700</v>
      </c>
      <c r="S454" s="979"/>
      <c r="T454" s="979"/>
      <c r="U454" s="979">
        <f>6900+9000</f>
        <v>15900</v>
      </c>
      <c r="V454" s="979">
        <f>4700+8600+7200+7700+5900+6900</f>
        <v>41000</v>
      </c>
      <c r="W454" s="979">
        <v>3200</v>
      </c>
      <c r="X454" s="979">
        <v>7900</v>
      </c>
      <c r="Y454" s="979">
        <f>4500+14800+4700</f>
        <v>24000</v>
      </c>
      <c r="Z454" s="979"/>
      <c r="AA454" s="979">
        <v>2300</v>
      </c>
      <c r="AB454" s="979">
        <v>2000</v>
      </c>
      <c r="AC454" s="979">
        <v>3200</v>
      </c>
      <c r="AD454" s="979"/>
      <c r="AE454" s="1109">
        <f t="shared" si="103"/>
        <v>133400</v>
      </c>
      <c r="AF454" s="1113">
        <v>3900</v>
      </c>
      <c r="AG454" s="981">
        <v>9600</v>
      </c>
      <c r="AH454" s="981">
        <v>4900</v>
      </c>
      <c r="AI454" s="1114">
        <f t="shared" si="104"/>
        <v>18400</v>
      </c>
      <c r="AJ454" s="1110">
        <f t="shared" si="105"/>
        <v>158300</v>
      </c>
      <c r="AK454" s="982">
        <f>'09월 에너지'!S454</f>
        <v>141.5</v>
      </c>
      <c r="AL454" s="983">
        <f t="shared" si="106"/>
        <v>0.89387239418825015</v>
      </c>
    </row>
    <row r="455" spans="1:38" ht="16.5" customHeight="1">
      <c r="A455" s="999">
        <f>'09월 에너지'!A455</f>
        <v>46282</v>
      </c>
      <c r="B455" s="1002">
        <f>'09월 조업일지'!B453</f>
        <v>46282</v>
      </c>
      <c r="C455" s="1003" t="str">
        <f>'09월 에너지'!C455</f>
        <v>D</v>
      </c>
      <c r="D455" s="1004" t="str">
        <f>'09월 에너지'!D455</f>
        <v>A</v>
      </c>
      <c r="E455" s="1000">
        <f>'09월 에너지'!E455</f>
        <v>85655</v>
      </c>
      <c r="F455" s="1094" t="str">
        <f>'09월 에너지'!F455</f>
        <v>SS275[CS공장]</v>
      </c>
      <c r="G455" s="980"/>
      <c r="H455" s="978"/>
      <c r="I455" s="978">
        <v>3500</v>
      </c>
      <c r="J455" s="978"/>
      <c r="K455" s="978"/>
      <c r="L455" s="978"/>
      <c r="M455" s="978"/>
      <c r="N455" s="978"/>
      <c r="O455" s="1106">
        <f t="shared" si="102"/>
        <v>3500</v>
      </c>
      <c r="P455" s="1108">
        <f>4100+7200+4300</f>
        <v>15600</v>
      </c>
      <c r="Q455" s="979">
        <f>4000+8100</f>
        <v>12100</v>
      </c>
      <c r="R455" s="979">
        <v>5200</v>
      </c>
      <c r="S455" s="979"/>
      <c r="T455" s="979"/>
      <c r="U455" s="979">
        <f>5300+4600</f>
        <v>9900</v>
      </c>
      <c r="V455" s="979">
        <f>6500+7100+8400+6700+5000+8600</f>
        <v>42300</v>
      </c>
      <c r="W455" s="979">
        <v>2900</v>
      </c>
      <c r="X455" s="979">
        <v>7900</v>
      </c>
      <c r="Y455" s="979">
        <f>4500+23000+4300</f>
        <v>31800</v>
      </c>
      <c r="Z455" s="979"/>
      <c r="AA455" s="979">
        <v>5800</v>
      </c>
      <c r="AB455" s="979">
        <v>1700</v>
      </c>
      <c r="AC455" s="979">
        <v>0</v>
      </c>
      <c r="AD455" s="979"/>
      <c r="AE455" s="1109">
        <f t="shared" si="103"/>
        <v>135200</v>
      </c>
      <c r="AF455" s="1113">
        <v>4400</v>
      </c>
      <c r="AG455" s="981">
        <v>6800</v>
      </c>
      <c r="AH455" s="981">
        <v>8600</v>
      </c>
      <c r="AI455" s="1114">
        <f t="shared" si="104"/>
        <v>19800</v>
      </c>
      <c r="AJ455" s="1110">
        <f t="shared" si="105"/>
        <v>158500</v>
      </c>
      <c r="AK455" s="982">
        <f>'09월 에너지'!S455</f>
        <v>143.19999999999999</v>
      </c>
      <c r="AL455" s="983">
        <f t="shared" si="106"/>
        <v>0.90347003154574135</v>
      </c>
    </row>
    <row r="456" spans="1:38" ht="16.5" customHeight="1">
      <c r="A456" s="999">
        <f>'09월 에너지'!A456</f>
        <v>46282</v>
      </c>
      <c r="B456" s="1002">
        <f>'09월 조업일지'!B454</f>
        <v>46282</v>
      </c>
      <c r="C456" s="1003" t="str">
        <f>'09월 에너지'!C456</f>
        <v>D</v>
      </c>
      <c r="D456" s="1004" t="str">
        <f>'09월 에너지'!D456</f>
        <v>B</v>
      </c>
      <c r="E456" s="1000">
        <f>'09월 에너지'!E456</f>
        <v>85656</v>
      </c>
      <c r="F456" s="1094" t="str">
        <f>'09월 에너지'!F456</f>
        <v>SS275[CS공장]</v>
      </c>
      <c r="G456" s="980"/>
      <c r="H456" s="978"/>
      <c r="I456" s="978">
        <v>4400</v>
      </c>
      <c r="J456" s="978"/>
      <c r="K456" s="978"/>
      <c r="L456" s="978"/>
      <c r="M456" s="978"/>
      <c r="N456" s="978"/>
      <c r="O456" s="1106">
        <f t="shared" si="102"/>
        <v>4400</v>
      </c>
      <c r="P456" s="1108">
        <f>3700+4000+3000</f>
        <v>10700</v>
      </c>
      <c r="Q456" s="979">
        <f>11000+2900</f>
        <v>13900</v>
      </c>
      <c r="R456" s="979">
        <v>7700</v>
      </c>
      <c r="S456" s="979"/>
      <c r="T456" s="979"/>
      <c r="U456" s="979">
        <f>12200+6900</f>
        <v>19100</v>
      </c>
      <c r="V456" s="979">
        <f>4600+9300+7100+6200+6100+7100</f>
        <v>40400</v>
      </c>
      <c r="W456" s="979">
        <v>3100</v>
      </c>
      <c r="X456" s="979">
        <v>7900</v>
      </c>
      <c r="Y456" s="979">
        <f>2600+14600+6000</f>
        <v>23200</v>
      </c>
      <c r="Z456" s="979"/>
      <c r="AA456" s="979">
        <v>1700</v>
      </c>
      <c r="AB456" s="979">
        <v>3000</v>
      </c>
      <c r="AC456" s="979">
        <v>3000</v>
      </c>
      <c r="AD456" s="979"/>
      <c r="AE456" s="1109">
        <f t="shared" si="103"/>
        <v>133700</v>
      </c>
      <c r="AF456" s="1113">
        <v>4800</v>
      </c>
      <c r="AG456" s="981">
        <v>10200</v>
      </c>
      <c r="AH456" s="981">
        <v>4900</v>
      </c>
      <c r="AI456" s="1114">
        <f t="shared" si="104"/>
        <v>19900</v>
      </c>
      <c r="AJ456" s="1110">
        <f t="shared" si="105"/>
        <v>158000</v>
      </c>
      <c r="AK456" s="982">
        <f>'09월 에너지'!S456</f>
        <v>141.1</v>
      </c>
      <c r="AL456" s="983">
        <f t="shared" si="106"/>
        <v>0.89303797468354429</v>
      </c>
    </row>
    <row r="457" spans="1:38" ht="16.5" customHeight="1">
      <c r="A457" s="999">
        <f>'09월 에너지'!A457</f>
        <v>46282</v>
      </c>
      <c r="B457" s="1002">
        <f>'09월 조업일지'!B455</f>
        <v>46282</v>
      </c>
      <c r="C457" s="1003" t="str">
        <f>'09월 에너지'!C457</f>
        <v>D</v>
      </c>
      <c r="D457" s="1004" t="str">
        <f>'09월 에너지'!D457</f>
        <v>A</v>
      </c>
      <c r="E457" s="1000">
        <f>'09월 에너지'!E457</f>
        <v>85657</v>
      </c>
      <c r="F457" s="1094" t="str">
        <f>'09월 에너지'!F457</f>
        <v>SS275[CS공장]</v>
      </c>
      <c r="G457" s="980"/>
      <c r="H457" s="978"/>
      <c r="I457" s="978">
        <v>9100</v>
      </c>
      <c r="J457" s="978"/>
      <c r="K457" s="978"/>
      <c r="L457" s="978"/>
      <c r="M457" s="978"/>
      <c r="N457" s="978"/>
      <c r="O457" s="1106">
        <f t="shared" si="102"/>
        <v>9100</v>
      </c>
      <c r="P457" s="1108">
        <f>8100+3600+1600</f>
        <v>13300</v>
      </c>
      <c r="Q457" s="979">
        <f>16600+4800</f>
        <v>21400</v>
      </c>
      <c r="R457" s="979">
        <v>6900</v>
      </c>
      <c r="S457" s="979"/>
      <c r="T457" s="979"/>
      <c r="U457" s="979">
        <f>10700+5800</f>
        <v>16500</v>
      </c>
      <c r="V457" s="979">
        <f>2100+3400+6600+1500+8200+8100</f>
        <v>29900</v>
      </c>
      <c r="W457" s="979">
        <v>1500</v>
      </c>
      <c r="X457" s="979">
        <v>10400</v>
      </c>
      <c r="Y457" s="979">
        <f>2700+7400+8300</f>
        <v>18400</v>
      </c>
      <c r="Z457" s="979"/>
      <c r="AA457" s="979">
        <v>2200</v>
      </c>
      <c r="AB457" s="979">
        <v>3800</v>
      </c>
      <c r="AC457" s="979">
        <v>3700</v>
      </c>
      <c r="AD457" s="979"/>
      <c r="AE457" s="1109">
        <f t="shared" si="103"/>
        <v>128000</v>
      </c>
      <c r="AF457" s="1113">
        <v>3900</v>
      </c>
      <c r="AG457" s="981">
        <v>6200</v>
      </c>
      <c r="AH457" s="981">
        <v>10900</v>
      </c>
      <c r="AI457" s="1114">
        <f t="shared" si="104"/>
        <v>21000</v>
      </c>
      <c r="AJ457" s="1110">
        <f t="shared" si="105"/>
        <v>158100</v>
      </c>
      <c r="AK457" s="982">
        <f>'09월 에너지'!S457</f>
        <v>142.69999999999999</v>
      </c>
      <c r="AL457" s="983">
        <f t="shared" si="106"/>
        <v>0.90259329538266919</v>
      </c>
    </row>
    <row r="458" spans="1:38" ht="16.5" customHeight="1">
      <c r="A458" s="999">
        <f>'09월 에너지'!A458</f>
        <v>46282</v>
      </c>
      <c r="B458" s="1002">
        <f>'09월 조업일지'!B456</f>
        <v>46282</v>
      </c>
      <c r="C458" s="1003" t="str">
        <f>'09월 에너지'!C458</f>
        <v>D</v>
      </c>
      <c r="D458" s="1004" t="str">
        <f>'09월 에너지'!D458</f>
        <v>B</v>
      </c>
      <c r="E458" s="1000">
        <f>'09월 에너지'!E458</f>
        <v>85658</v>
      </c>
      <c r="F458" s="1094" t="str">
        <f>'09월 에너지'!F458</f>
        <v>SS275[CS공장]</v>
      </c>
      <c r="G458" s="980"/>
      <c r="H458" s="978"/>
      <c r="I458" s="978">
        <v>5000</v>
      </c>
      <c r="J458" s="978"/>
      <c r="K458" s="978"/>
      <c r="L458" s="978"/>
      <c r="M458" s="978"/>
      <c r="N458" s="978"/>
      <c r="O458" s="1106">
        <f t="shared" si="102"/>
        <v>5000</v>
      </c>
      <c r="P458" s="1108">
        <f>4400+3200+5200</f>
        <v>12800</v>
      </c>
      <c r="Q458" s="979">
        <f>6400+3400</f>
        <v>9800</v>
      </c>
      <c r="R458" s="979">
        <v>8200</v>
      </c>
      <c r="S458" s="979"/>
      <c r="T458" s="979"/>
      <c r="U458" s="979">
        <f>6700+9200</f>
        <v>15900</v>
      </c>
      <c r="V458" s="979">
        <f>5500+11400+7700+5300+5700+8300</f>
        <v>43900</v>
      </c>
      <c r="W458" s="979">
        <v>1100</v>
      </c>
      <c r="X458" s="979">
        <v>9300</v>
      </c>
      <c r="Y458" s="979">
        <f>7400+13900+6000</f>
        <v>27300</v>
      </c>
      <c r="Z458" s="979"/>
      <c r="AA458" s="979">
        <v>2100</v>
      </c>
      <c r="AB458" s="979">
        <v>2600</v>
      </c>
      <c r="AC458" s="979">
        <v>2400</v>
      </c>
      <c r="AD458" s="979"/>
      <c r="AE458" s="1109">
        <f t="shared" si="103"/>
        <v>135400</v>
      </c>
      <c r="AF458" s="1113">
        <v>3600</v>
      </c>
      <c r="AG458" s="981">
        <v>11000</v>
      </c>
      <c r="AH458" s="981">
        <v>4200</v>
      </c>
      <c r="AI458" s="1114">
        <f t="shared" si="104"/>
        <v>18800</v>
      </c>
      <c r="AJ458" s="1110">
        <f t="shared" si="105"/>
        <v>159200</v>
      </c>
      <c r="AK458" s="982">
        <f>'09월 에너지'!S458</f>
        <v>143.9</v>
      </c>
      <c r="AL458" s="983">
        <f t="shared" si="106"/>
        <v>0.90389447236180909</v>
      </c>
    </row>
    <row r="459" spans="1:38" ht="16.5" customHeight="1">
      <c r="A459" s="999">
        <f>'09월 에너지'!A459</f>
        <v>46282</v>
      </c>
      <c r="B459" s="1002">
        <f>'09월 조업일지'!B457</f>
        <v>46282</v>
      </c>
      <c r="C459" s="1003" t="str">
        <f>'09월 에너지'!C459</f>
        <v>D</v>
      </c>
      <c r="D459" s="1004" t="str">
        <f>'09월 에너지'!D459</f>
        <v>A</v>
      </c>
      <c r="E459" s="1000">
        <f>'09월 에너지'!E459</f>
        <v>85659</v>
      </c>
      <c r="F459" s="1094" t="str">
        <f>'09월 에너지'!F459</f>
        <v>SS275[CS공장]</v>
      </c>
      <c r="G459" s="980"/>
      <c r="H459" s="978"/>
      <c r="I459" s="978">
        <v>7000</v>
      </c>
      <c r="J459" s="978"/>
      <c r="K459" s="978"/>
      <c r="L459" s="978"/>
      <c r="M459" s="978"/>
      <c r="N459" s="978"/>
      <c r="O459" s="1106">
        <f t="shared" si="102"/>
        <v>7000</v>
      </c>
      <c r="P459" s="1108">
        <f>5500+5100+3700</f>
        <v>14300</v>
      </c>
      <c r="Q459" s="979">
        <f>7500+3600</f>
        <v>11100</v>
      </c>
      <c r="R459" s="979">
        <v>12000</v>
      </c>
      <c r="S459" s="979"/>
      <c r="T459" s="979"/>
      <c r="U459" s="979">
        <f>4700+5300</f>
        <v>10000</v>
      </c>
      <c r="V459" s="979">
        <f>6300+12300+6700+3100+7100+7100</f>
        <v>42600</v>
      </c>
      <c r="W459" s="979">
        <v>500</v>
      </c>
      <c r="X459" s="979">
        <v>10400</v>
      </c>
      <c r="Y459" s="979">
        <f>2900+13900+6800</f>
        <v>23600</v>
      </c>
      <c r="Z459" s="979"/>
      <c r="AA459" s="979">
        <v>700</v>
      </c>
      <c r="AB459" s="979">
        <v>5600</v>
      </c>
      <c r="AC459" s="979">
        <v>4200</v>
      </c>
      <c r="AD459" s="979"/>
      <c r="AE459" s="1109">
        <f t="shared" si="103"/>
        <v>135000</v>
      </c>
      <c r="AF459" s="1113">
        <v>5500</v>
      </c>
      <c r="AG459" s="981">
        <v>4100</v>
      </c>
      <c r="AH459" s="981">
        <v>6600</v>
      </c>
      <c r="AI459" s="1114">
        <f t="shared" si="104"/>
        <v>16200</v>
      </c>
      <c r="AJ459" s="1110">
        <f t="shared" si="105"/>
        <v>158200</v>
      </c>
      <c r="AK459" s="982">
        <f>'09월 에너지'!S459</f>
        <v>142.69999999999999</v>
      </c>
      <c r="AL459" s="983">
        <f t="shared" si="106"/>
        <v>0.90202275600505688</v>
      </c>
    </row>
    <row r="460" spans="1:38" ht="16.5" customHeight="1">
      <c r="A460" s="999">
        <f>'09월 에너지'!A460</f>
        <v>46282</v>
      </c>
      <c r="B460" s="1002">
        <f>'09월 조업일지'!B458</f>
        <v>46282</v>
      </c>
      <c r="C460" s="1003" t="str">
        <f>'09월 에너지'!C460</f>
        <v>B</v>
      </c>
      <c r="D460" s="1004" t="str">
        <f>'09월 에너지'!D460</f>
        <v>B</v>
      </c>
      <c r="E460" s="1000">
        <f>'09월 에너지'!E460</f>
        <v>85660</v>
      </c>
      <c r="F460" s="1094" t="str">
        <f>'09월 에너지'!F460</f>
        <v>SS275[CS공장]</v>
      </c>
      <c r="G460" s="980"/>
      <c r="H460" s="978"/>
      <c r="I460" s="978">
        <v>5900</v>
      </c>
      <c r="J460" s="978"/>
      <c r="K460" s="978"/>
      <c r="L460" s="978"/>
      <c r="M460" s="978"/>
      <c r="N460" s="978"/>
      <c r="O460" s="1106">
        <f t="shared" si="102"/>
        <v>5900</v>
      </c>
      <c r="P460" s="1108">
        <f>4200+4600+5000</f>
        <v>13800</v>
      </c>
      <c r="Q460" s="979">
        <f>8600+3200</f>
        <v>11800</v>
      </c>
      <c r="R460" s="979">
        <v>9000</v>
      </c>
      <c r="S460" s="979"/>
      <c r="T460" s="979"/>
      <c r="U460" s="979">
        <f>11200+6900</f>
        <v>18100</v>
      </c>
      <c r="V460" s="979">
        <f>8300+8600+7200+4100+5500+6900</f>
        <v>40600</v>
      </c>
      <c r="W460" s="979">
        <v>3100</v>
      </c>
      <c r="X460" s="979">
        <v>7900</v>
      </c>
      <c r="Y460" s="979">
        <f>3400+11800+7200</f>
        <v>22400</v>
      </c>
      <c r="Z460" s="979"/>
      <c r="AA460" s="979">
        <v>1700</v>
      </c>
      <c r="AB460" s="979">
        <v>2200</v>
      </c>
      <c r="AC460" s="979">
        <v>3100</v>
      </c>
      <c r="AD460" s="979"/>
      <c r="AE460" s="1109">
        <f t="shared" si="103"/>
        <v>133700</v>
      </c>
      <c r="AF460" s="1113">
        <v>4300</v>
      </c>
      <c r="AG460" s="981">
        <v>9100</v>
      </c>
      <c r="AH460" s="981">
        <v>5300</v>
      </c>
      <c r="AI460" s="1114">
        <f t="shared" si="104"/>
        <v>18700</v>
      </c>
      <c r="AJ460" s="1110">
        <f t="shared" si="105"/>
        <v>158300</v>
      </c>
      <c r="AK460" s="982">
        <f>'09월 에너지'!S460</f>
        <v>145.4</v>
      </c>
      <c r="AL460" s="983">
        <f t="shared" si="106"/>
        <v>0.91850915982312065</v>
      </c>
    </row>
    <row r="461" spans="1:38" ht="16.5" customHeight="1">
      <c r="A461" s="999">
        <f>'09월 에너지'!A461</f>
        <v>46282</v>
      </c>
      <c r="B461" s="1002">
        <f>'09월 조업일지'!B459</f>
        <v>46282</v>
      </c>
      <c r="C461" s="1003" t="str">
        <f>'09월 에너지'!C461</f>
        <v>B</v>
      </c>
      <c r="D461" s="1004" t="str">
        <f>'09월 에너지'!D461</f>
        <v>A</v>
      </c>
      <c r="E461" s="1000">
        <f>'09월 에너지'!E461</f>
        <v>85661</v>
      </c>
      <c r="F461" s="1094" t="str">
        <f>'09월 에너지'!F461</f>
        <v>SS275[CS공장]</v>
      </c>
      <c r="G461" s="980"/>
      <c r="H461" s="978"/>
      <c r="I461" s="978">
        <v>4700</v>
      </c>
      <c r="J461" s="978"/>
      <c r="K461" s="978"/>
      <c r="L461" s="978"/>
      <c r="M461" s="978"/>
      <c r="N461" s="978"/>
      <c r="O461" s="1106">
        <f t="shared" si="102"/>
        <v>4700</v>
      </c>
      <c r="P461" s="1108">
        <f>6300+6300+10400</f>
        <v>23000</v>
      </c>
      <c r="Q461" s="979">
        <f>7700+5600</f>
        <v>13300</v>
      </c>
      <c r="R461" s="979">
        <v>10000</v>
      </c>
      <c r="S461" s="979"/>
      <c r="T461" s="979"/>
      <c r="U461" s="979">
        <f>8700+3600</f>
        <v>12300</v>
      </c>
      <c r="V461" s="979">
        <f>6000+11100+7100+100+8700+8400</f>
        <v>41400</v>
      </c>
      <c r="W461" s="979">
        <v>3000</v>
      </c>
      <c r="X461" s="979">
        <v>9500</v>
      </c>
      <c r="Y461" s="979">
        <f>1300+8500</f>
        <v>9800</v>
      </c>
      <c r="Z461" s="979"/>
      <c r="AA461" s="979">
        <v>5700</v>
      </c>
      <c r="AB461" s="979">
        <v>4500</v>
      </c>
      <c r="AC461" s="979">
        <v>3400</v>
      </c>
      <c r="AD461" s="979"/>
      <c r="AE461" s="1109">
        <f t="shared" si="103"/>
        <v>135900</v>
      </c>
      <c r="AF461" s="1113">
        <v>5700</v>
      </c>
      <c r="AG461" s="981">
        <v>8100</v>
      </c>
      <c r="AH461" s="981">
        <v>3400</v>
      </c>
      <c r="AI461" s="1114">
        <f t="shared" si="104"/>
        <v>17200</v>
      </c>
      <c r="AJ461" s="1110">
        <f t="shared" si="105"/>
        <v>157800</v>
      </c>
      <c r="AK461" s="982">
        <f>'09월 에너지'!S461</f>
        <v>147</v>
      </c>
      <c r="AL461" s="983">
        <f t="shared" si="106"/>
        <v>0.9315589353612167</v>
      </c>
    </row>
    <row r="462" spans="1:38" ht="16.5" customHeight="1">
      <c r="A462" s="999">
        <f>'09월 에너지'!A462</f>
        <v>46282</v>
      </c>
      <c r="B462" s="1002">
        <f>'09월 조업일지'!B460</f>
        <v>46282</v>
      </c>
      <c r="C462" s="1003" t="str">
        <f>'09월 에너지'!C462</f>
        <v>B</v>
      </c>
      <c r="D462" s="1004" t="str">
        <f>'09월 에너지'!D462</f>
        <v>B</v>
      </c>
      <c r="E462" s="1000">
        <f>'09월 에너지'!E462</f>
        <v>85662</v>
      </c>
      <c r="F462" s="1094" t="str">
        <f>'09월 에너지'!F462</f>
        <v>SS275[CS공장]</v>
      </c>
      <c r="G462" s="980"/>
      <c r="H462" s="978"/>
      <c r="I462" s="978">
        <v>1900</v>
      </c>
      <c r="J462" s="978"/>
      <c r="K462" s="978"/>
      <c r="L462" s="978"/>
      <c r="M462" s="978"/>
      <c r="N462" s="978"/>
      <c r="O462" s="1106">
        <f t="shared" si="102"/>
        <v>1900</v>
      </c>
      <c r="P462" s="1108">
        <f>9300+7000+2100</f>
        <v>18400</v>
      </c>
      <c r="Q462" s="979">
        <f>13500+6100</f>
        <v>19600</v>
      </c>
      <c r="R462" s="979">
        <v>3200</v>
      </c>
      <c r="S462" s="979"/>
      <c r="T462" s="979"/>
      <c r="U462" s="979">
        <f>4500+5100</f>
        <v>9600</v>
      </c>
      <c r="V462" s="979">
        <f>3200+7400+8500+6700+8500+3600</f>
        <v>37900</v>
      </c>
      <c r="W462" s="979">
        <v>4100</v>
      </c>
      <c r="X462" s="979">
        <v>7200</v>
      </c>
      <c r="Y462" s="979">
        <f>7300+14000+2700</f>
        <v>24000</v>
      </c>
      <c r="Z462" s="979"/>
      <c r="AA462" s="979">
        <v>10700</v>
      </c>
      <c r="AB462" s="979">
        <v>2400</v>
      </c>
      <c r="AC462" s="979">
        <v>2600</v>
      </c>
      <c r="AD462" s="979"/>
      <c r="AE462" s="1109">
        <f t="shared" si="103"/>
        <v>139700</v>
      </c>
      <c r="AF462" s="1113">
        <v>3800</v>
      </c>
      <c r="AG462" s="981">
        <v>8100</v>
      </c>
      <c r="AH462" s="981">
        <v>4800</v>
      </c>
      <c r="AI462" s="1114">
        <f t="shared" si="104"/>
        <v>16700</v>
      </c>
      <c r="AJ462" s="1110">
        <f t="shared" si="105"/>
        <v>158300</v>
      </c>
      <c r="AK462" s="982">
        <f>'09월 에너지'!S462</f>
        <v>146.5</v>
      </c>
      <c r="AL462" s="983">
        <f t="shared" si="106"/>
        <v>0.92545799115603289</v>
      </c>
    </row>
    <row r="463" spans="1:38" ht="16.5" customHeight="1">
      <c r="A463" s="999">
        <f>'09월 에너지'!A463</f>
        <v>46282</v>
      </c>
      <c r="B463" s="1002">
        <f>'09월 조업일지'!B461</f>
        <v>46282</v>
      </c>
      <c r="C463" s="1003" t="str">
        <f>'09월 에너지'!C463</f>
        <v>B</v>
      </c>
      <c r="D463" s="1004" t="str">
        <f>'09월 에너지'!D463</f>
        <v>A</v>
      </c>
      <c r="E463" s="1000">
        <f>'09월 에너지'!E463</f>
        <v>85663</v>
      </c>
      <c r="F463" s="1094" t="str">
        <f>'09월 에너지'!F463</f>
        <v>SS275[CS공장]</v>
      </c>
      <c r="G463" s="980"/>
      <c r="H463" s="978"/>
      <c r="I463" s="978">
        <v>5900</v>
      </c>
      <c r="J463" s="978"/>
      <c r="K463" s="978"/>
      <c r="L463" s="978"/>
      <c r="M463" s="978"/>
      <c r="N463" s="978"/>
      <c r="O463" s="1106">
        <f t="shared" ref="O463:O526" si="112">IF(SUM(G463:N463)=0,"",SUM(G463:N463))</f>
        <v>5900</v>
      </c>
      <c r="P463" s="1108">
        <f>4700+6900</f>
        <v>11600</v>
      </c>
      <c r="Q463" s="979">
        <f>18000+26600</f>
        <v>44600</v>
      </c>
      <c r="R463" s="979">
        <v>3200</v>
      </c>
      <c r="S463" s="979"/>
      <c r="T463" s="979"/>
      <c r="U463" s="979">
        <v>10700</v>
      </c>
      <c r="V463" s="979">
        <f>6000+8200+8000+7200</f>
        <v>29400</v>
      </c>
      <c r="W463" s="979">
        <v>2300</v>
      </c>
      <c r="X463" s="979">
        <v>7900</v>
      </c>
      <c r="Y463" s="979">
        <f>4000+9600+6100</f>
        <v>19700</v>
      </c>
      <c r="Z463" s="979"/>
      <c r="AA463" s="979">
        <v>1100</v>
      </c>
      <c r="AB463" s="979">
        <v>3000</v>
      </c>
      <c r="AC463" s="979">
        <v>2200</v>
      </c>
      <c r="AD463" s="979"/>
      <c r="AE463" s="1109">
        <f t="shared" ref="AE463:AE526" si="113">IF(SUM(P463:AD463)=0,"",SUM(P463:AD463))</f>
        <v>135700</v>
      </c>
      <c r="AF463" s="1113">
        <v>4600</v>
      </c>
      <c r="AG463" s="981">
        <v>9300</v>
      </c>
      <c r="AH463" s="981">
        <v>3100</v>
      </c>
      <c r="AI463" s="1114">
        <f t="shared" ref="AI463:AI526" si="114">IF(SUM(AF463:AH463)=0,"",SUM(AF463:AH463))</f>
        <v>17000</v>
      </c>
      <c r="AJ463" s="1110">
        <f t="shared" ref="AJ463:AJ526" si="115">IF(SUM(O463,AE463,AI463)=0,"",SUM(O463,AE463,AI463))</f>
        <v>158600</v>
      </c>
      <c r="AK463" s="982">
        <f>'09월 에너지'!S463</f>
        <v>146.4</v>
      </c>
      <c r="AL463" s="983">
        <f t="shared" ref="AL463:AL526" si="116">IF(ISERROR(IF(AK463="","",(AK463*1000)/AJ463)),0,(IF(AK463="","",(AK463*1000)/AJ463)))</f>
        <v>0.92307692307692313</v>
      </c>
    </row>
    <row r="464" spans="1:38" ht="16.5" customHeight="1">
      <c r="A464" s="999">
        <f>'09월 에너지'!A464</f>
        <v>46282</v>
      </c>
      <c r="B464" s="1002">
        <f>'09월 조업일지'!B462</f>
        <v>46282</v>
      </c>
      <c r="C464" s="1003" t="str">
        <f>'09월 에너지'!C464</f>
        <v>B</v>
      </c>
      <c r="D464" s="1004" t="str">
        <f>'09월 에너지'!D464</f>
        <v>B</v>
      </c>
      <c r="E464" s="1000">
        <f>'09월 에너지'!E464</f>
        <v>85664</v>
      </c>
      <c r="F464" s="1094" t="str">
        <f>'09월 에너지'!F464</f>
        <v>SS275[CS공장]</v>
      </c>
      <c r="G464" s="980"/>
      <c r="H464" s="978"/>
      <c r="I464" s="978">
        <v>6200</v>
      </c>
      <c r="J464" s="978"/>
      <c r="K464" s="978"/>
      <c r="L464" s="978"/>
      <c r="M464" s="978"/>
      <c r="N464" s="978"/>
      <c r="O464" s="1106">
        <f t="shared" si="112"/>
        <v>6200</v>
      </c>
      <c r="P464" s="1108">
        <f>2500+7000+2100</f>
        <v>11600</v>
      </c>
      <c r="Q464" s="979">
        <f>20000+6600</f>
        <v>26600</v>
      </c>
      <c r="R464" s="979">
        <v>2800</v>
      </c>
      <c r="S464" s="979"/>
      <c r="T464" s="979"/>
      <c r="U464" s="979">
        <f>9400+5200</f>
        <v>14600</v>
      </c>
      <c r="V464" s="979">
        <f>8100+7500+4100+5100+8500+3200</f>
        <v>36500</v>
      </c>
      <c r="W464" s="979">
        <v>400</v>
      </c>
      <c r="X464" s="979">
        <v>10200</v>
      </c>
      <c r="Y464" s="979">
        <f>8300+13800+8500</f>
        <v>30600</v>
      </c>
      <c r="Z464" s="979"/>
      <c r="AA464" s="979">
        <v>1600</v>
      </c>
      <c r="AB464" s="979">
        <v>4600</v>
      </c>
      <c r="AC464" s="979">
        <v>900</v>
      </c>
      <c r="AD464" s="979"/>
      <c r="AE464" s="1109">
        <f t="shared" si="113"/>
        <v>140400</v>
      </c>
      <c r="AF464" s="1113">
        <v>5100</v>
      </c>
      <c r="AG464" s="981">
        <v>2900</v>
      </c>
      <c r="AH464" s="981">
        <v>4100</v>
      </c>
      <c r="AI464" s="1114">
        <f t="shared" si="114"/>
        <v>12100</v>
      </c>
      <c r="AJ464" s="1110">
        <f t="shared" si="115"/>
        <v>158700</v>
      </c>
      <c r="AK464" s="982">
        <f>'09월 에너지'!S464</f>
        <v>144.6</v>
      </c>
      <c r="AL464" s="983">
        <f t="shared" si="116"/>
        <v>0.91115311909262764</v>
      </c>
    </row>
    <row r="465" spans="1:38" ht="16.5" customHeight="1">
      <c r="A465" s="999">
        <f>'09월 에너지'!A465</f>
        <v>46282</v>
      </c>
      <c r="B465" s="1002">
        <f>'09월 조업일지'!B463</f>
        <v>46282</v>
      </c>
      <c r="C465" s="1003" t="str">
        <f>'09월 에너지'!C465</f>
        <v>B</v>
      </c>
      <c r="D465" s="1004" t="str">
        <f>'09월 에너지'!D465</f>
        <v>A</v>
      </c>
      <c r="E465" s="1000">
        <f>'09월 에너지'!E465</f>
        <v>85665</v>
      </c>
      <c r="F465" s="1094" t="str">
        <f>'09월 에너지'!F465</f>
        <v>SS275[CS공장]</v>
      </c>
      <c r="G465" s="980"/>
      <c r="H465" s="978"/>
      <c r="I465" s="978">
        <v>2900</v>
      </c>
      <c r="J465" s="978"/>
      <c r="K465" s="978"/>
      <c r="L465" s="978"/>
      <c r="M465" s="978"/>
      <c r="N465" s="978"/>
      <c r="O465" s="1106">
        <f t="shared" si="112"/>
        <v>2900</v>
      </c>
      <c r="P465" s="1108">
        <f>9400+3400+2000</f>
        <v>14800</v>
      </c>
      <c r="Q465" s="979">
        <f>5800+33300</f>
        <v>39100</v>
      </c>
      <c r="R465" s="979">
        <v>17900</v>
      </c>
      <c r="S465" s="979"/>
      <c r="T465" s="979"/>
      <c r="U465" s="979">
        <v>10300</v>
      </c>
      <c r="V465" s="979">
        <f>1600+7800+7500+6400</f>
        <v>23300</v>
      </c>
      <c r="W465" s="979">
        <v>3400</v>
      </c>
      <c r="X465" s="979">
        <v>7400</v>
      </c>
      <c r="Y465" s="979">
        <f>100+15400</f>
        <v>15500</v>
      </c>
      <c r="Z465" s="979"/>
      <c r="AA465" s="979">
        <v>2600</v>
      </c>
      <c r="AB465" s="979">
        <v>2500</v>
      </c>
      <c r="AC465" s="979">
        <v>2500</v>
      </c>
      <c r="AD465" s="979"/>
      <c r="AE465" s="1109">
        <f t="shared" si="113"/>
        <v>139300</v>
      </c>
      <c r="AF465" s="1113">
        <v>3900</v>
      </c>
      <c r="AG465" s="981">
        <v>400</v>
      </c>
      <c r="AH465" s="981">
        <v>13000</v>
      </c>
      <c r="AI465" s="1114">
        <f t="shared" si="114"/>
        <v>17300</v>
      </c>
      <c r="AJ465" s="1110">
        <f t="shared" si="115"/>
        <v>159500</v>
      </c>
      <c r="AK465" s="982">
        <f>'09월 에너지'!S465</f>
        <v>146.19999999999999</v>
      </c>
      <c r="AL465" s="983">
        <f t="shared" si="116"/>
        <v>0.91661442006269589</v>
      </c>
    </row>
    <row r="466" spans="1:38" ht="16.5" customHeight="1">
      <c r="A466" s="999">
        <f>'09월 에너지'!A466</f>
        <v>46282</v>
      </c>
      <c r="B466" s="1002">
        <f>'09월 조업일지'!B464</f>
        <v>46282</v>
      </c>
      <c r="C466" s="1003" t="str">
        <f>'09월 에너지'!C466</f>
        <v>B</v>
      </c>
      <c r="D466" s="1004" t="str">
        <f>'09월 에너지'!D466</f>
        <v>B</v>
      </c>
      <c r="E466" s="1000">
        <f>'09월 에너지'!E466</f>
        <v>85666</v>
      </c>
      <c r="F466" s="1094" t="str">
        <f>'09월 에너지'!F466</f>
        <v>SS275[CS공장]</v>
      </c>
      <c r="G466" s="980"/>
      <c r="H466" s="978"/>
      <c r="I466" s="978">
        <v>9900</v>
      </c>
      <c r="J466" s="978"/>
      <c r="K466" s="978"/>
      <c r="L466" s="978"/>
      <c r="M466" s="978"/>
      <c r="N466" s="978"/>
      <c r="O466" s="1106">
        <f t="shared" si="112"/>
        <v>9900</v>
      </c>
      <c r="P466" s="1108">
        <f>7100+1900+2400</f>
        <v>11400</v>
      </c>
      <c r="Q466" s="979">
        <f>4700+5500</f>
        <v>10200</v>
      </c>
      <c r="R466" s="979">
        <v>7100</v>
      </c>
      <c r="S466" s="979"/>
      <c r="T466" s="979"/>
      <c r="U466" s="979">
        <f>8900+4600</f>
        <v>13500</v>
      </c>
      <c r="V466" s="979">
        <f>5500+5600+6700+8300+6900+8400</f>
        <v>41400</v>
      </c>
      <c r="W466" s="979"/>
      <c r="X466" s="979">
        <v>11800</v>
      </c>
      <c r="Y466" s="979">
        <f>3900+12200+3900</f>
        <v>20000</v>
      </c>
      <c r="Z466" s="979"/>
      <c r="AA466" s="979">
        <v>1700</v>
      </c>
      <c r="AB466" s="979">
        <v>2200</v>
      </c>
      <c r="AC466" s="979">
        <v>100</v>
      </c>
      <c r="AD466" s="979"/>
      <c r="AE466" s="1109">
        <f t="shared" si="113"/>
        <v>119400</v>
      </c>
      <c r="AF466" s="1113">
        <v>6000</v>
      </c>
      <c r="AG466" s="981">
        <v>9200</v>
      </c>
      <c r="AH466" s="981">
        <v>13600</v>
      </c>
      <c r="AI466" s="1114">
        <f t="shared" si="114"/>
        <v>28800</v>
      </c>
      <c r="AJ466" s="1110">
        <f t="shared" si="115"/>
        <v>158100</v>
      </c>
      <c r="AK466" s="982">
        <f>'09월 에너지'!S466</f>
        <v>142.4</v>
      </c>
      <c r="AL466" s="983">
        <f t="shared" si="116"/>
        <v>0.90069576217583802</v>
      </c>
    </row>
    <row r="467" spans="1:38" ht="16.5" customHeight="1">
      <c r="A467" s="999">
        <f>'09월 에너지'!A467</f>
        <v>46282</v>
      </c>
      <c r="B467" s="1002">
        <f>'09월 조업일지'!B465</f>
        <v>46282</v>
      </c>
      <c r="C467" s="1003" t="str">
        <f>'09월 에너지'!C467</f>
        <v>B</v>
      </c>
      <c r="D467" s="1004" t="str">
        <f>'09월 에너지'!D467</f>
        <v>A</v>
      </c>
      <c r="E467" s="1000">
        <f>'09월 에너지'!E467</f>
        <v>85667</v>
      </c>
      <c r="F467" s="1094" t="str">
        <f>'09월 에너지'!F467</f>
        <v>SS275[CS공장]</v>
      </c>
      <c r="G467" s="980"/>
      <c r="H467" s="978"/>
      <c r="I467" s="978">
        <v>9100</v>
      </c>
      <c r="J467" s="978"/>
      <c r="K467" s="978"/>
      <c r="L467" s="978"/>
      <c r="M467" s="978"/>
      <c r="N467" s="978"/>
      <c r="O467" s="1106">
        <f t="shared" si="112"/>
        <v>9100</v>
      </c>
      <c r="P467" s="1108">
        <f>8100+3600+1600</f>
        <v>13300</v>
      </c>
      <c r="Q467" s="979">
        <f>16600+4800</f>
        <v>21400</v>
      </c>
      <c r="R467" s="979">
        <v>6900</v>
      </c>
      <c r="S467" s="979"/>
      <c r="T467" s="979"/>
      <c r="U467" s="979">
        <f>10700+5800</f>
        <v>16500</v>
      </c>
      <c r="V467" s="979">
        <f>2100+3400+6600+1500+8200+8100</f>
        <v>29900</v>
      </c>
      <c r="W467" s="979">
        <v>1500</v>
      </c>
      <c r="X467" s="979">
        <v>10400</v>
      </c>
      <c r="Y467" s="979">
        <f>2700+7400+8300</f>
        <v>18400</v>
      </c>
      <c r="Z467" s="979"/>
      <c r="AA467" s="979">
        <v>2200</v>
      </c>
      <c r="AB467" s="979">
        <v>3800</v>
      </c>
      <c r="AC467" s="979">
        <v>3700</v>
      </c>
      <c r="AD467" s="979"/>
      <c r="AE467" s="1109">
        <f t="shared" si="113"/>
        <v>128000</v>
      </c>
      <c r="AF467" s="1113">
        <v>3900</v>
      </c>
      <c r="AG467" s="981">
        <v>6200</v>
      </c>
      <c r="AH467" s="981">
        <v>10900</v>
      </c>
      <c r="AI467" s="1114">
        <f t="shared" si="114"/>
        <v>21000</v>
      </c>
      <c r="AJ467" s="1110">
        <f t="shared" si="115"/>
        <v>158100</v>
      </c>
      <c r="AK467" s="982">
        <f>'09월 에너지'!S467</f>
        <v>145.69999999999999</v>
      </c>
      <c r="AL467" s="983">
        <f t="shared" si="116"/>
        <v>0.92156862745098034</v>
      </c>
    </row>
    <row r="468" spans="1:38" ht="16.5" customHeight="1">
      <c r="A468" s="999">
        <f>'09월 에너지'!A468</f>
        <v>46282</v>
      </c>
      <c r="B468" s="1002">
        <f>'09월 조업일지'!B466</f>
        <v>46282</v>
      </c>
      <c r="C468" s="1003" t="str">
        <f>'09월 에너지'!C468</f>
        <v>B</v>
      </c>
      <c r="D468" s="1233" t="str">
        <f>'09월 에너지'!D468</f>
        <v>A</v>
      </c>
      <c r="E468" s="1000">
        <f>'09월 에너지'!E468</f>
        <v>85668</v>
      </c>
      <c r="F468" s="1094" t="str">
        <f>'09월 에너지'!F468</f>
        <v>SS275[CS공장]</v>
      </c>
      <c r="G468" s="980"/>
      <c r="H468" s="978"/>
      <c r="I468" s="978">
        <v>2400</v>
      </c>
      <c r="J468" s="978"/>
      <c r="K468" s="978"/>
      <c r="L468" s="978"/>
      <c r="M468" s="978"/>
      <c r="N468" s="978"/>
      <c r="O468" s="1106">
        <f t="shared" si="112"/>
        <v>2400</v>
      </c>
      <c r="P468" s="1108">
        <f>6300+6300+10400</f>
        <v>23000</v>
      </c>
      <c r="Q468" s="979">
        <f>7700+5600</f>
        <v>13300</v>
      </c>
      <c r="R468" s="979">
        <v>12800</v>
      </c>
      <c r="S468" s="979"/>
      <c r="T468" s="979"/>
      <c r="U468" s="979">
        <f>8700+3600</f>
        <v>12300</v>
      </c>
      <c r="V468" s="979">
        <f>6000+11100+7100+100+8700+8400</f>
        <v>41400</v>
      </c>
      <c r="W468" s="979">
        <v>3000</v>
      </c>
      <c r="X468" s="979">
        <v>9500</v>
      </c>
      <c r="Y468" s="979">
        <f>1300+8500</f>
        <v>9800</v>
      </c>
      <c r="Z468" s="979"/>
      <c r="AA468" s="979">
        <v>5700</v>
      </c>
      <c r="AB468" s="979">
        <v>4500</v>
      </c>
      <c r="AC468" s="979">
        <v>3400</v>
      </c>
      <c r="AD468" s="979"/>
      <c r="AE468" s="1109">
        <f t="shared" si="113"/>
        <v>138700</v>
      </c>
      <c r="AF468" s="1113">
        <v>5700</v>
      </c>
      <c r="AG468" s="981">
        <v>8100</v>
      </c>
      <c r="AH468" s="981">
        <v>3400</v>
      </c>
      <c r="AI468" s="1114">
        <f t="shared" si="114"/>
        <v>17200</v>
      </c>
      <c r="AJ468" s="1110">
        <f t="shared" si="115"/>
        <v>158300</v>
      </c>
      <c r="AK468" s="982">
        <f>'09월 에너지'!S468</f>
        <v>145.4</v>
      </c>
      <c r="AL468" s="983">
        <f t="shared" si="116"/>
        <v>0.91850915982312065</v>
      </c>
    </row>
    <row r="469" spans="1:38" ht="16.5" customHeight="1">
      <c r="A469" s="999">
        <f>'09월 에너지'!A469</f>
        <v>46282</v>
      </c>
      <c r="B469" s="1002">
        <f>'09월 조업일지'!B467</f>
        <v>46282</v>
      </c>
      <c r="C469" s="1003" t="str">
        <f>'09월 에너지'!C469</f>
        <v>C</v>
      </c>
      <c r="D469" s="1233" t="str">
        <f>'09월 에너지'!D469</f>
        <v>A</v>
      </c>
      <c r="E469" s="1000">
        <f>'09월 에너지'!E469</f>
        <v>85669</v>
      </c>
      <c r="F469" s="1170" t="str">
        <f>'09월 에너지'!F469</f>
        <v>DKOIL</v>
      </c>
      <c r="G469" s="980"/>
      <c r="H469" s="978"/>
      <c r="I469" s="978">
        <v>4400</v>
      </c>
      <c r="J469" s="978"/>
      <c r="K469" s="978"/>
      <c r="L469" s="978"/>
      <c r="M469" s="978"/>
      <c r="N469" s="978"/>
      <c r="O469" s="1106">
        <f t="shared" si="112"/>
        <v>4400</v>
      </c>
      <c r="P469" s="1108">
        <f>11200+7300+2500</f>
        <v>21000</v>
      </c>
      <c r="Q469" s="979">
        <f>15200+9800</f>
        <v>25000</v>
      </c>
      <c r="R469" s="979">
        <v>3900</v>
      </c>
      <c r="S469" s="979"/>
      <c r="T469" s="979"/>
      <c r="U469" s="979">
        <v>3600</v>
      </c>
      <c r="V469" s="979">
        <f>4200+7500+9400+9700+8200</f>
        <v>39000</v>
      </c>
      <c r="W469" s="979">
        <v>2900</v>
      </c>
      <c r="X469" s="979">
        <v>6500</v>
      </c>
      <c r="Y469" s="979">
        <f>11100+10500</f>
        <v>21600</v>
      </c>
      <c r="Z469" s="979"/>
      <c r="AA469" s="979">
        <v>5000</v>
      </c>
      <c r="AB469" s="979">
        <v>4700</v>
      </c>
      <c r="AC469" s="979">
        <v>2100</v>
      </c>
      <c r="AD469" s="979"/>
      <c r="AE469" s="1109">
        <f t="shared" si="113"/>
        <v>135300</v>
      </c>
      <c r="AF469" s="1113">
        <v>3700</v>
      </c>
      <c r="AG469" s="981">
        <v>11700</v>
      </c>
      <c r="AH469" s="981">
        <v>4300</v>
      </c>
      <c r="AI469" s="1114">
        <f t="shared" si="114"/>
        <v>19700</v>
      </c>
      <c r="AJ469" s="1110">
        <f t="shared" si="115"/>
        <v>159400</v>
      </c>
      <c r="AK469" s="982">
        <f>'09월 에너지'!S469</f>
        <v>78.2</v>
      </c>
      <c r="AL469" s="983">
        <f t="shared" si="116"/>
        <v>0.49058971141781682</v>
      </c>
    </row>
    <row r="470" spans="1:38" ht="16.5" customHeight="1">
      <c r="A470" s="999">
        <f>'09월 에너지'!A470</f>
        <v>46282</v>
      </c>
      <c r="B470" s="1002">
        <f>'09월 조업일지'!B468</f>
        <v>46282</v>
      </c>
      <c r="C470" s="1003" t="str">
        <f>'09월 에너지'!C470</f>
        <v>C</v>
      </c>
      <c r="D470" s="1233" t="str">
        <f>'09월 에너지'!D470</f>
        <v>A</v>
      </c>
      <c r="E470" s="1000">
        <f>'09월 에너지'!E470</f>
        <v>85670</v>
      </c>
      <c r="F470" s="1094" t="str">
        <f>'09월 에너지'!F470</f>
        <v>DKOIL</v>
      </c>
      <c r="G470" s="980"/>
      <c r="H470" s="978"/>
      <c r="I470" s="978">
        <v>8600</v>
      </c>
      <c r="J470" s="978"/>
      <c r="K470" s="978"/>
      <c r="L470" s="978"/>
      <c r="M470" s="978"/>
      <c r="N470" s="978"/>
      <c r="O470" s="1106">
        <f t="shared" si="112"/>
        <v>8600</v>
      </c>
      <c r="P470" s="1108">
        <f>3000+2000+4500</f>
        <v>9500</v>
      </c>
      <c r="Q470" s="979">
        <f>10200+4500</f>
        <v>14700</v>
      </c>
      <c r="R470" s="979">
        <v>2500</v>
      </c>
      <c r="S470" s="979"/>
      <c r="T470" s="979"/>
      <c r="U470" s="979">
        <v>7600</v>
      </c>
      <c r="V470" s="979">
        <f>4900+4500+7000+1200</f>
        <v>17600</v>
      </c>
      <c r="W470" s="979">
        <v>3500</v>
      </c>
      <c r="X470" s="979">
        <v>8000</v>
      </c>
      <c r="Y470" s="979">
        <f>2800+10900</f>
        <v>13700</v>
      </c>
      <c r="Z470" s="979"/>
      <c r="AA470" s="979">
        <v>2400</v>
      </c>
      <c r="AB470" s="979">
        <v>12200</v>
      </c>
      <c r="AC470" s="979"/>
      <c r="AD470" s="979"/>
      <c r="AE470" s="1109">
        <f t="shared" si="113"/>
        <v>91700</v>
      </c>
      <c r="AF470" s="1113"/>
      <c r="AG470" s="981">
        <v>7500</v>
      </c>
      <c r="AH470" s="981">
        <v>4400</v>
      </c>
      <c r="AI470" s="1114">
        <f t="shared" si="114"/>
        <v>11900</v>
      </c>
      <c r="AJ470" s="1110">
        <f t="shared" si="115"/>
        <v>112200</v>
      </c>
      <c r="AK470" s="982">
        <f>'09월 에너지'!S470</f>
        <v>142.1</v>
      </c>
      <c r="AL470" s="983">
        <f t="shared" si="116"/>
        <v>1.2664884135472372</v>
      </c>
    </row>
    <row r="471" spans="1:38" ht="16.5" customHeight="1">
      <c r="A471" s="999">
        <f>'09월 에너지'!A471</f>
        <v>46282</v>
      </c>
      <c r="B471" s="1002">
        <f>'09월 조업일지'!B469</f>
        <v>46282</v>
      </c>
      <c r="C471" s="1003" t="str">
        <f>'09월 에너지'!C471</f>
        <v>C</v>
      </c>
      <c r="D471" s="1233" t="str">
        <f>'09월 에너지'!D471</f>
        <v>A</v>
      </c>
      <c r="E471" s="1000">
        <f>'09월 에너지'!E471</f>
        <v>85671</v>
      </c>
      <c r="F471" s="1094" t="str">
        <f>'09월 에너지'!F471</f>
        <v>DKOIL</v>
      </c>
      <c r="G471" s="980"/>
      <c r="H471" s="978"/>
      <c r="I471" s="978">
        <v>9900</v>
      </c>
      <c r="J471" s="978"/>
      <c r="K471" s="978"/>
      <c r="L471" s="978"/>
      <c r="M471" s="978"/>
      <c r="N471" s="978"/>
      <c r="O471" s="1106">
        <f t="shared" si="112"/>
        <v>9900</v>
      </c>
      <c r="P471" s="1108">
        <f>7100+1900+2400</f>
        <v>11400</v>
      </c>
      <c r="Q471" s="979">
        <f>4700+5500</f>
        <v>10200</v>
      </c>
      <c r="R471" s="979">
        <v>7100</v>
      </c>
      <c r="S471" s="979"/>
      <c r="T471" s="979"/>
      <c r="U471" s="979">
        <f>8900+4600</f>
        <v>13500</v>
      </c>
      <c r="V471" s="979">
        <f>5500+5600+6700+8300+6900+8400</f>
        <v>41400</v>
      </c>
      <c r="W471" s="979"/>
      <c r="X471" s="979">
        <v>11800</v>
      </c>
      <c r="Y471" s="979">
        <f>3900+12200+3900</f>
        <v>20000</v>
      </c>
      <c r="Z471" s="979"/>
      <c r="AA471" s="979">
        <v>1700</v>
      </c>
      <c r="AB471" s="979">
        <v>2200</v>
      </c>
      <c r="AC471" s="979">
        <v>100</v>
      </c>
      <c r="AD471" s="979"/>
      <c r="AE471" s="1109">
        <f t="shared" si="113"/>
        <v>119400</v>
      </c>
      <c r="AF471" s="1113">
        <v>6000</v>
      </c>
      <c r="AG471" s="981">
        <v>9200</v>
      </c>
      <c r="AH471" s="981">
        <v>13600</v>
      </c>
      <c r="AI471" s="1114">
        <f t="shared" si="114"/>
        <v>28800</v>
      </c>
      <c r="AJ471" s="1110">
        <f t="shared" si="115"/>
        <v>158100</v>
      </c>
      <c r="AK471" s="982">
        <f>'09월 에너지'!S471</f>
        <v>147.19999999999999</v>
      </c>
      <c r="AL471" s="983">
        <f t="shared" si="116"/>
        <v>0.93105629348513597</v>
      </c>
    </row>
    <row r="472" spans="1:38" ht="16.5" customHeight="1">
      <c r="A472" s="999">
        <f>'09월 에너지'!A472</f>
        <v>46283</v>
      </c>
      <c r="B472" s="1002">
        <f>'09월 조업일지'!B470</f>
        <v>46282</v>
      </c>
      <c r="C472" s="1003" t="str">
        <f>'09월 에너지'!C472</f>
        <v>C</v>
      </c>
      <c r="D472" s="1233" t="str">
        <f>'09월 에너지'!D472</f>
        <v>A</v>
      </c>
      <c r="E472" s="1000">
        <f>'09월 에너지'!E472</f>
        <v>85672</v>
      </c>
      <c r="F472" s="1094" t="str">
        <f>'09월 에너지'!F472</f>
        <v>DKOIL</v>
      </c>
      <c r="G472" s="980"/>
      <c r="H472" s="978"/>
      <c r="I472" s="978">
        <v>3000</v>
      </c>
      <c r="J472" s="978"/>
      <c r="K472" s="978"/>
      <c r="L472" s="978"/>
      <c r="M472" s="978"/>
      <c r="N472" s="978"/>
      <c r="O472" s="1106">
        <f t="shared" si="112"/>
        <v>3000</v>
      </c>
      <c r="P472" s="1108">
        <f>2600+3600+9900</f>
        <v>16100</v>
      </c>
      <c r="Q472" s="979">
        <f>6700+9300</f>
        <v>16000</v>
      </c>
      <c r="R472" s="979">
        <v>7500</v>
      </c>
      <c r="S472" s="979"/>
      <c r="T472" s="979"/>
      <c r="U472" s="979">
        <f>5600+4800</f>
        <v>10400</v>
      </c>
      <c r="V472" s="979">
        <f>5500+6900+6700+3400+4200+6700</f>
        <v>33400</v>
      </c>
      <c r="W472" s="979">
        <v>5500</v>
      </c>
      <c r="X472" s="979">
        <v>4000</v>
      </c>
      <c r="Y472" s="979">
        <f>6800+22500+700</f>
        <v>30000</v>
      </c>
      <c r="Z472" s="979"/>
      <c r="AA472" s="979">
        <v>2900</v>
      </c>
      <c r="AB472" s="979">
        <v>2800</v>
      </c>
      <c r="AC472" s="979">
        <v>3800</v>
      </c>
      <c r="AD472" s="979"/>
      <c r="AE472" s="1109">
        <f t="shared" si="113"/>
        <v>132400</v>
      </c>
      <c r="AF472" s="1113">
        <v>3500</v>
      </c>
      <c r="AG472" s="981">
        <v>9300</v>
      </c>
      <c r="AH472" s="981">
        <v>10500</v>
      </c>
      <c r="AI472" s="1114">
        <f t="shared" si="114"/>
        <v>23300</v>
      </c>
      <c r="AJ472" s="1110">
        <f t="shared" si="115"/>
        <v>158700</v>
      </c>
      <c r="AK472" s="982">
        <f>'09월 에너지'!S472</f>
        <v>146.69999999999999</v>
      </c>
      <c r="AL472" s="983">
        <f t="shared" si="116"/>
        <v>0.92438563327032142</v>
      </c>
    </row>
    <row r="473" spans="1:38" ht="16.5" customHeight="1">
      <c r="A473" s="999">
        <f>'09월 에너지'!A473</f>
        <v>46283</v>
      </c>
      <c r="B473" s="1002">
        <f>'09월 조업일지'!B471</f>
        <v>46282</v>
      </c>
      <c r="C473" s="1003" t="str">
        <f>'09월 에너지'!C473</f>
        <v>C</v>
      </c>
      <c r="D473" s="1233" t="str">
        <f>'09월 에너지'!D473</f>
        <v>A</v>
      </c>
      <c r="E473" s="1000">
        <f>'09월 에너지'!E473</f>
        <v>85673</v>
      </c>
      <c r="F473" s="1094" t="str">
        <f>'09월 에너지'!F473</f>
        <v>DKOIL</v>
      </c>
      <c r="G473" s="980"/>
      <c r="H473" s="978"/>
      <c r="I473" s="978">
        <v>8300</v>
      </c>
      <c r="J473" s="978"/>
      <c r="K473" s="978"/>
      <c r="L473" s="978"/>
      <c r="M473" s="978"/>
      <c r="N473" s="978"/>
      <c r="O473" s="1106">
        <f t="shared" si="112"/>
        <v>8300</v>
      </c>
      <c r="P473" s="1108">
        <f>10800+4600+10100</f>
        <v>25500</v>
      </c>
      <c r="Q473" s="979">
        <f>4100+6400</f>
        <v>10500</v>
      </c>
      <c r="R473" s="979">
        <v>7200</v>
      </c>
      <c r="S473" s="979"/>
      <c r="T473" s="979"/>
      <c r="U473" s="979">
        <f>11800+5800</f>
        <v>17600</v>
      </c>
      <c r="V473" s="979">
        <f>3000+12000+7300+4700+4200+7900</f>
        <v>39100</v>
      </c>
      <c r="W473" s="979">
        <v>3300</v>
      </c>
      <c r="X473" s="979">
        <v>8100</v>
      </c>
      <c r="Y473" s="979">
        <f>4100+15100+100</f>
        <v>19300</v>
      </c>
      <c r="Z473" s="979"/>
      <c r="AA473" s="979">
        <v>600</v>
      </c>
      <c r="AB473" s="979">
        <v>1100</v>
      </c>
      <c r="AC473" s="979">
        <v>2900</v>
      </c>
      <c r="AD473" s="979"/>
      <c r="AE473" s="1109">
        <f t="shared" si="113"/>
        <v>135200</v>
      </c>
      <c r="AF473" s="1113">
        <v>4000</v>
      </c>
      <c r="AG473" s="981">
        <v>7700</v>
      </c>
      <c r="AH473" s="981">
        <v>2900</v>
      </c>
      <c r="AI473" s="1114">
        <f t="shared" si="114"/>
        <v>14600</v>
      </c>
      <c r="AJ473" s="1110">
        <f t="shared" si="115"/>
        <v>158100</v>
      </c>
      <c r="AK473" s="982">
        <f>'09월 에너지'!S473</f>
        <v>148.30000000000001</v>
      </c>
      <c r="AL473" s="983">
        <f t="shared" si="116"/>
        <v>0.93801391524351674</v>
      </c>
    </row>
    <row r="474" spans="1:38" ht="16.5" customHeight="1">
      <c r="A474" s="999">
        <f>'09월 에너지'!A474</f>
        <v>46283</v>
      </c>
      <c r="B474" s="1002">
        <f>'09월 조업일지'!B472</f>
        <v>46283</v>
      </c>
      <c r="C474" s="1003" t="str">
        <f>'09월 에너지'!C474</f>
        <v>A</v>
      </c>
      <c r="D474" s="1233" t="str">
        <f>'09월 에너지'!D474</f>
        <v>A</v>
      </c>
      <c r="E474" s="1000">
        <f>'09월 에너지'!E474</f>
        <v>85674</v>
      </c>
      <c r="F474" s="1094" t="str">
        <f>'09월 에너지'!F474</f>
        <v>DKOIL</v>
      </c>
      <c r="G474" s="980">
        <v>0</v>
      </c>
      <c r="H474" s="978">
        <v>0</v>
      </c>
      <c r="I474" s="978">
        <v>6200</v>
      </c>
      <c r="J474" s="978">
        <v>0</v>
      </c>
      <c r="K474" s="978">
        <v>0</v>
      </c>
      <c r="L474" s="978">
        <v>0</v>
      </c>
      <c r="M474" s="978">
        <v>0</v>
      </c>
      <c r="N474" s="978">
        <v>0</v>
      </c>
      <c r="O474" s="1106">
        <f t="shared" si="112"/>
        <v>6200</v>
      </c>
      <c r="P474" s="1108">
        <f>8300+3500+2000</f>
        <v>13800</v>
      </c>
      <c r="Q474" s="979">
        <f>10800+3000</f>
        <v>13800</v>
      </c>
      <c r="R474" s="979">
        <v>3600</v>
      </c>
      <c r="S474" s="979">
        <v>0</v>
      </c>
      <c r="T474" s="979">
        <v>0</v>
      </c>
      <c r="U474" s="979">
        <f>4300+6400</f>
        <v>10700</v>
      </c>
      <c r="V474" s="979">
        <f>4800+2900+7700+4900+2300+6900</f>
        <v>29500</v>
      </c>
      <c r="W474" s="979">
        <v>4200</v>
      </c>
      <c r="X474" s="979">
        <v>7400</v>
      </c>
      <c r="Y474" s="979">
        <f>5900+10500+3300</f>
        <v>19700</v>
      </c>
      <c r="Z474" s="979">
        <v>0</v>
      </c>
      <c r="AA474" s="979">
        <v>4000</v>
      </c>
      <c r="AB474" s="979">
        <v>4000</v>
      </c>
      <c r="AC474" s="979">
        <v>3700</v>
      </c>
      <c r="AD474" s="979">
        <v>0</v>
      </c>
      <c r="AE474" s="1109">
        <f t="shared" si="113"/>
        <v>114400</v>
      </c>
      <c r="AF474" s="1113">
        <v>3800</v>
      </c>
      <c r="AG474" s="981">
        <v>10300</v>
      </c>
      <c r="AH474" s="981">
        <v>14400</v>
      </c>
      <c r="AI474" s="1114">
        <f t="shared" si="114"/>
        <v>28500</v>
      </c>
      <c r="AJ474" s="1110">
        <f t="shared" si="115"/>
        <v>149100</v>
      </c>
      <c r="AK474" s="982">
        <f>'09월 에너지'!S474</f>
        <v>145.80000000000001</v>
      </c>
      <c r="AL474" s="983">
        <f t="shared" si="116"/>
        <v>0.97786720321931586</v>
      </c>
    </row>
    <row r="475" spans="1:38" ht="16.5" customHeight="1">
      <c r="A475" s="999">
        <f>'09월 에너지'!A475</f>
        <v>46283</v>
      </c>
      <c r="B475" s="1002">
        <f>'09월 조업일지'!B473</f>
        <v>46283</v>
      </c>
      <c r="C475" s="1003" t="str">
        <f>'09월 에너지'!C475</f>
        <v>A</v>
      </c>
      <c r="D475" s="1233" t="str">
        <f>'09월 에너지'!D475</f>
        <v>A</v>
      </c>
      <c r="E475" s="1000">
        <f>'09월 에너지'!E475</f>
        <v>85675</v>
      </c>
      <c r="F475" s="1094" t="str">
        <f>'09월 에너지'!F475</f>
        <v>DKOIL</v>
      </c>
      <c r="G475" s="980">
        <v>0</v>
      </c>
      <c r="H475" s="978">
        <v>0</v>
      </c>
      <c r="I475" s="978">
        <v>2700</v>
      </c>
      <c r="J475" s="978">
        <v>0</v>
      </c>
      <c r="K475" s="978">
        <v>0</v>
      </c>
      <c r="L475" s="978">
        <v>0</v>
      </c>
      <c r="M475" s="978">
        <v>0</v>
      </c>
      <c r="N475" s="978">
        <v>0</v>
      </c>
      <c r="O475" s="1106">
        <f t="shared" si="112"/>
        <v>2700</v>
      </c>
      <c r="P475" s="1108">
        <f>4300+2800+3400</f>
        <v>10500</v>
      </c>
      <c r="Q475" s="979">
        <f>7000+6500</f>
        <v>13500</v>
      </c>
      <c r="R475" s="979">
        <v>6100</v>
      </c>
      <c r="S475" s="979">
        <v>0</v>
      </c>
      <c r="T475" s="979">
        <v>0</v>
      </c>
      <c r="U475" s="979">
        <f>9000+1400</f>
        <v>10400</v>
      </c>
      <c r="V475" s="979">
        <f>7300+12300+7200+7300+8400+10800</f>
        <v>53300</v>
      </c>
      <c r="W475" s="979">
        <v>3700</v>
      </c>
      <c r="X475" s="979">
        <v>7500</v>
      </c>
      <c r="Y475" s="979">
        <f>4800+11100+4600</f>
        <v>20500</v>
      </c>
      <c r="Z475" s="979">
        <v>0</v>
      </c>
      <c r="AA475" s="979">
        <v>2200</v>
      </c>
      <c r="AB475" s="979">
        <v>2700</v>
      </c>
      <c r="AC475" s="979">
        <v>3600</v>
      </c>
      <c r="AD475" s="979">
        <v>0</v>
      </c>
      <c r="AE475" s="1109">
        <f t="shared" si="113"/>
        <v>134000</v>
      </c>
      <c r="AF475" s="1113">
        <v>0</v>
      </c>
      <c r="AG475" s="981">
        <v>16100</v>
      </c>
      <c r="AH475" s="981">
        <v>5900</v>
      </c>
      <c r="AI475" s="1114">
        <f t="shared" si="114"/>
        <v>22000</v>
      </c>
      <c r="AJ475" s="1110">
        <f t="shared" si="115"/>
        <v>158700</v>
      </c>
      <c r="AK475" s="982">
        <f>'09월 에너지'!S475</f>
        <v>142.19999999999999</v>
      </c>
      <c r="AL475" s="983">
        <f t="shared" si="116"/>
        <v>0.89603024574669188</v>
      </c>
    </row>
    <row r="476" spans="1:38" ht="16.5" customHeight="1">
      <c r="A476" s="999">
        <f>'09월 에너지'!A476</f>
        <v>46283</v>
      </c>
      <c r="B476" s="1002">
        <f>'09월 조업일지'!B474</f>
        <v>46283</v>
      </c>
      <c r="C476" s="1003" t="str">
        <f>'09월 에너지'!C476</f>
        <v>A</v>
      </c>
      <c r="D476" s="1233" t="str">
        <f>'09월 에너지'!D476</f>
        <v>A</v>
      </c>
      <c r="E476" s="1000">
        <f>'09월 에너지'!E476</f>
        <v>85676</v>
      </c>
      <c r="F476" s="1094" t="str">
        <f>'09월 에너지'!F476</f>
        <v>DKOIL</v>
      </c>
      <c r="G476" s="980">
        <v>0</v>
      </c>
      <c r="H476" s="978">
        <v>0</v>
      </c>
      <c r="I476" s="978">
        <v>2000</v>
      </c>
      <c r="J476" s="978">
        <v>0</v>
      </c>
      <c r="K476" s="978">
        <v>0</v>
      </c>
      <c r="L476" s="978">
        <v>0</v>
      </c>
      <c r="M476" s="978">
        <v>0</v>
      </c>
      <c r="N476" s="978">
        <v>0</v>
      </c>
      <c r="O476" s="1106">
        <f t="shared" si="112"/>
        <v>2000</v>
      </c>
      <c r="P476" s="1108">
        <f>10000+4000+9700</f>
        <v>23700</v>
      </c>
      <c r="Q476" s="979">
        <f>15300+8100</f>
        <v>23400</v>
      </c>
      <c r="R476" s="979">
        <v>14300</v>
      </c>
      <c r="S476" s="979">
        <v>0</v>
      </c>
      <c r="T476" s="979">
        <v>0</v>
      </c>
      <c r="U476" s="979">
        <f>8900+3100</f>
        <v>12000</v>
      </c>
      <c r="V476" s="979">
        <f>4300+2000+7200+10100+6500</f>
        <v>30100</v>
      </c>
      <c r="W476" s="979">
        <v>2400</v>
      </c>
      <c r="X476" s="979">
        <v>8600</v>
      </c>
      <c r="Y476" s="979">
        <f>6800+9000</f>
        <v>15800</v>
      </c>
      <c r="Z476" s="979">
        <v>0</v>
      </c>
      <c r="AA476" s="979">
        <v>1500</v>
      </c>
      <c r="AB476" s="979">
        <v>700</v>
      </c>
      <c r="AC476" s="979">
        <v>3600</v>
      </c>
      <c r="AD476" s="979">
        <v>0</v>
      </c>
      <c r="AE476" s="1109">
        <f t="shared" si="113"/>
        <v>136100</v>
      </c>
      <c r="AF476" s="1113">
        <v>3600</v>
      </c>
      <c r="AG476" s="981">
        <v>11200</v>
      </c>
      <c r="AH476" s="981">
        <v>4600</v>
      </c>
      <c r="AI476" s="1114">
        <f t="shared" si="114"/>
        <v>19400</v>
      </c>
      <c r="AJ476" s="1110">
        <f t="shared" si="115"/>
        <v>157500</v>
      </c>
      <c r="AK476" s="982">
        <f>'09월 에너지'!S476</f>
        <v>144.80000000000001</v>
      </c>
      <c r="AL476" s="983">
        <f t="shared" si="116"/>
        <v>0.91936507936507939</v>
      </c>
    </row>
    <row r="477" spans="1:38" ht="16.5" customHeight="1">
      <c r="A477" s="999">
        <f>'09월 에너지'!A477</f>
        <v>46283</v>
      </c>
      <c r="B477" s="1002">
        <f>'09월 조업일지'!B475</f>
        <v>46283</v>
      </c>
      <c r="C477" s="1003" t="str">
        <f>'09월 에너지'!C477</f>
        <v>A</v>
      </c>
      <c r="D477" s="1233" t="str">
        <f>'09월 에너지'!D477</f>
        <v>A</v>
      </c>
      <c r="E477" s="1000">
        <f>'09월 에너지'!E477</f>
        <v>85677</v>
      </c>
      <c r="F477" s="1094" t="str">
        <f>'09월 에너지'!F477</f>
        <v>DKOIL</v>
      </c>
      <c r="G477" s="980">
        <v>0</v>
      </c>
      <c r="H477" s="978">
        <v>0</v>
      </c>
      <c r="I477" s="978">
        <v>5000</v>
      </c>
      <c r="J477" s="978">
        <v>0</v>
      </c>
      <c r="K477" s="978">
        <v>0</v>
      </c>
      <c r="L477" s="978">
        <v>0</v>
      </c>
      <c r="M477" s="978">
        <v>0</v>
      </c>
      <c r="N477" s="978">
        <v>0</v>
      </c>
      <c r="O477" s="1106">
        <f t="shared" si="112"/>
        <v>5000</v>
      </c>
      <c r="P477" s="1108">
        <f>3800+5500+15300</f>
        <v>24600</v>
      </c>
      <c r="Q477" s="979">
        <f>13400+2100</f>
        <v>15500</v>
      </c>
      <c r="R477" s="979">
        <v>6900</v>
      </c>
      <c r="S477" s="979">
        <v>0</v>
      </c>
      <c r="T477" s="979">
        <v>0</v>
      </c>
      <c r="U477" s="979">
        <f>12000+200</f>
        <v>12200</v>
      </c>
      <c r="V477" s="979">
        <f>5100+4700+7400+6800+5700+6500</f>
        <v>36200</v>
      </c>
      <c r="W477" s="979">
        <v>4500</v>
      </c>
      <c r="X477" s="979">
        <v>7200</v>
      </c>
      <c r="Y477" s="979">
        <f>10100+5000+1000</f>
        <v>16100</v>
      </c>
      <c r="Z477" s="979">
        <v>0</v>
      </c>
      <c r="AA477" s="979">
        <v>2800</v>
      </c>
      <c r="AB477" s="979">
        <v>1400</v>
      </c>
      <c r="AC477" s="979">
        <v>4600</v>
      </c>
      <c r="AD477" s="979">
        <v>0</v>
      </c>
      <c r="AE477" s="1109">
        <f t="shared" si="113"/>
        <v>132000</v>
      </c>
      <c r="AF477" s="1113">
        <v>3400</v>
      </c>
      <c r="AG477" s="981">
        <v>15400</v>
      </c>
      <c r="AH477" s="981">
        <v>2600</v>
      </c>
      <c r="AI477" s="1114">
        <f t="shared" si="114"/>
        <v>21400</v>
      </c>
      <c r="AJ477" s="1110">
        <f t="shared" si="115"/>
        <v>158400</v>
      </c>
      <c r="AK477" s="982">
        <f>'09월 에너지'!S477</f>
        <v>146.30000000000001</v>
      </c>
      <c r="AL477" s="983">
        <f t="shared" si="116"/>
        <v>0.92361111111111116</v>
      </c>
    </row>
    <row r="478" spans="1:38" ht="16.5" customHeight="1">
      <c r="A478" s="999">
        <f>'09월 에너지'!A478</f>
        <v>46283</v>
      </c>
      <c r="B478" s="1002">
        <f>'09월 조업일지'!B476</f>
        <v>46283</v>
      </c>
      <c r="C478" s="1003" t="str">
        <f>'09월 에너지'!C478</f>
        <v>A</v>
      </c>
      <c r="D478" s="1233" t="str">
        <f>'09월 에너지'!D478</f>
        <v>A</v>
      </c>
      <c r="E478" s="1000">
        <f>'09월 에너지'!E478</f>
        <v>85678</v>
      </c>
      <c r="F478" s="1094" t="str">
        <f>'09월 에너지'!F478</f>
        <v>DKOIL</v>
      </c>
      <c r="G478" s="980">
        <v>0</v>
      </c>
      <c r="H478" s="978">
        <v>0</v>
      </c>
      <c r="I478" s="978">
        <v>7300</v>
      </c>
      <c r="J478" s="978">
        <v>0</v>
      </c>
      <c r="K478" s="978">
        <v>0</v>
      </c>
      <c r="L478" s="978">
        <v>0</v>
      </c>
      <c r="M478" s="978">
        <v>0</v>
      </c>
      <c r="N478" s="978">
        <v>0</v>
      </c>
      <c r="O478" s="1106">
        <f t="shared" si="112"/>
        <v>7300</v>
      </c>
      <c r="P478" s="1108">
        <f>13000+5000+3900</f>
        <v>21900</v>
      </c>
      <c r="Q478" s="979">
        <f>11900+7100</f>
        <v>19000</v>
      </c>
      <c r="R478" s="979">
        <v>1700</v>
      </c>
      <c r="S478" s="979">
        <v>0</v>
      </c>
      <c r="T478" s="979">
        <v>0</v>
      </c>
      <c r="U478" s="979">
        <f>3000+5200</f>
        <v>8200</v>
      </c>
      <c r="V478" s="979">
        <f>3900+4300+7400+5100+5000+7000</f>
        <v>32700</v>
      </c>
      <c r="W478" s="979">
        <v>3900</v>
      </c>
      <c r="X478" s="979">
        <v>6800</v>
      </c>
      <c r="Y478" s="979">
        <f>7500+11700+3700</f>
        <v>22900</v>
      </c>
      <c r="Z478" s="979">
        <v>0</v>
      </c>
      <c r="AA478" s="979">
        <v>3200</v>
      </c>
      <c r="AB478" s="979">
        <v>1100</v>
      </c>
      <c r="AC478" s="979">
        <v>4300</v>
      </c>
      <c r="AD478" s="979">
        <v>0</v>
      </c>
      <c r="AE478" s="1109">
        <f t="shared" si="113"/>
        <v>125700</v>
      </c>
      <c r="AF478" s="1113">
        <v>3900</v>
      </c>
      <c r="AG478" s="981">
        <v>12200</v>
      </c>
      <c r="AH478" s="981">
        <v>7700</v>
      </c>
      <c r="AI478" s="1114">
        <f t="shared" si="114"/>
        <v>23800</v>
      </c>
      <c r="AJ478" s="1110">
        <f t="shared" si="115"/>
        <v>156800</v>
      </c>
      <c r="AK478" s="982">
        <f>'09월 에너지'!S478</f>
        <v>141.1</v>
      </c>
      <c r="AL478" s="983">
        <f t="shared" si="116"/>
        <v>0.89987244897959184</v>
      </c>
    </row>
    <row r="479" spans="1:38" ht="16.5" customHeight="1">
      <c r="A479" s="999">
        <f>'09월 에너지'!A479</f>
        <v>46283</v>
      </c>
      <c r="B479" s="1002">
        <f>'09월 조업일지'!B477</f>
        <v>46283</v>
      </c>
      <c r="C479" s="1003" t="str">
        <f>'09월 에너지'!C479</f>
        <v>A</v>
      </c>
      <c r="D479" s="1233" t="str">
        <f>'09월 에너지'!D479</f>
        <v>A</v>
      </c>
      <c r="E479" s="1000">
        <f>'09월 에너지'!E479</f>
        <v>85679</v>
      </c>
      <c r="F479" s="1094" t="str">
        <f>'09월 에너지'!F479</f>
        <v>DKOIL</v>
      </c>
      <c r="G479" s="980">
        <v>0</v>
      </c>
      <c r="H479" s="978">
        <v>0</v>
      </c>
      <c r="I479" s="978">
        <v>15200</v>
      </c>
      <c r="J479" s="978">
        <v>0</v>
      </c>
      <c r="K479" s="978">
        <v>0</v>
      </c>
      <c r="L479" s="978">
        <v>0</v>
      </c>
      <c r="M479" s="978">
        <v>0</v>
      </c>
      <c r="N479" s="978">
        <v>0</v>
      </c>
      <c r="O479" s="1106">
        <f t="shared" si="112"/>
        <v>15200</v>
      </c>
      <c r="P479" s="1108">
        <f>7600+1400+7900</f>
        <v>16900</v>
      </c>
      <c r="Q479" s="979">
        <f>9600+9800</f>
        <v>19400</v>
      </c>
      <c r="R479" s="979">
        <v>11600</v>
      </c>
      <c r="S479" s="979">
        <v>0</v>
      </c>
      <c r="T479" s="979">
        <v>0</v>
      </c>
      <c r="U479" s="979">
        <f>5300+2000</f>
        <v>7300</v>
      </c>
      <c r="V479" s="979">
        <f>8700+2200+6300+200+3200+6400</f>
        <v>27000</v>
      </c>
      <c r="W479" s="979">
        <v>3500</v>
      </c>
      <c r="X479" s="979">
        <v>8900</v>
      </c>
      <c r="Y479" s="979">
        <f>4000+10000+8800</f>
        <v>22800</v>
      </c>
      <c r="Z479" s="979">
        <v>0</v>
      </c>
      <c r="AA479" s="979">
        <v>2700</v>
      </c>
      <c r="AB479" s="979">
        <v>3900</v>
      </c>
      <c r="AC479" s="979">
        <v>0</v>
      </c>
      <c r="AD479" s="979">
        <v>0</v>
      </c>
      <c r="AE479" s="1109">
        <f t="shared" si="113"/>
        <v>124000</v>
      </c>
      <c r="AF479" s="1113">
        <v>8800</v>
      </c>
      <c r="AG479" s="981">
        <v>4700</v>
      </c>
      <c r="AH479" s="981">
        <v>6000</v>
      </c>
      <c r="AI479" s="1114">
        <f t="shared" si="114"/>
        <v>19500</v>
      </c>
      <c r="AJ479" s="1110">
        <f t="shared" si="115"/>
        <v>158700</v>
      </c>
      <c r="AK479" s="982">
        <f>'09월 에너지'!S479</f>
        <v>146.6</v>
      </c>
      <c r="AL479" s="983">
        <f t="shared" si="116"/>
        <v>0.92375551354757401</v>
      </c>
    </row>
    <row r="480" spans="1:38" ht="16.5" customHeight="1">
      <c r="A480" s="999">
        <f>'09월 에너지'!A480</f>
        <v>46283</v>
      </c>
      <c r="B480" s="1002">
        <f>'09월 조업일지'!B478</f>
        <v>46283</v>
      </c>
      <c r="C480" s="1003" t="str">
        <f>'09월 에너지'!C480</f>
        <v>A</v>
      </c>
      <c r="D480" s="1233" t="str">
        <f>'09월 에너지'!D480</f>
        <v>A</v>
      </c>
      <c r="E480" s="1000">
        <f>'09월 에너지'!E480</f>
        <v>85680</v>
      </c>
      <c r="F480" s="1094" t="str">
        <f>'09월 에너지'!F480</f>
        <v>DKOIL</v>
      </c>
      <c r="G480" s="980">
        <v>0</v>
      </c>
      <c r="H480" s="978">
        <v>0</v>
      </c>
      <c r="I480" s="978">
        <v>5900</v>
      </c>
      <c r="J480" s="978">
        <v>0</v>
      </c>
      <c r="K480" s="978">
        <v>0</v>
      </c>
      <c r="L480" s="978">
        <v>0</v>
      </c>
      <c r="M480" s="978">
        <v>0</v>
      </c>
      <c r="N480" s="978">
        <v>0</v>
      </c>
      <c r="O480" s="1106">
        <f t="shared" si="112"/>
        <v>5900</v>
      </c>
      <c r="P480" s="1108">
        <f>2100+6500+5900</f>
        <v>14500</v>
      </c>
      <c r="Q480" s="979">
        <f>6900+1300</f>
        <v>8200</v>
      </c>
      <c r="R480" s="979">
        <v>18100</v>
      </c>
      <c r="S480" s="979">
        <v>0</v>
      </c>
      <c r="T480" s="979">
        <v>0</v>
      </c>
      <c r="U480" s="979">
        <f>6800+12900</f>
        <v>19700</v>
      </c>
      <c r="V480" s="979">
        <f>8100+2600+6700+3900+1400+7700</f>
        <v>30400</v>
      </c>
      <c r="W480" s="979">
        <v>3000</v>
      </c>
      <c r="X480" s="979">
        <v>9100</v>
      </c>
      <c r="Y480" s="979">
        <f>5700+11500+6000</f>
        <v>23200</v>
      </c>
      <c r="Z480" s="979">
        <v>0</v>
      </c>
      <c r="AA480" s="979">
        <v>3500</v>
      </c>
      <c r="AB480" s="979">
        <v>2600</v>
      </c>
      <c r="AC480" s="979">
        <v>3500</v>
      </c>
      <c r="AD480" s="979">
        <v>0</v>
      </c>
      <c r="AE480" s="1109">
        <f t="shared" si="113"/>
        <v>135800</v>
      </c>
      <c r="AF480" s="1113">
        <v>4000</v>
      </c>
      <c r="AG480" s="981">
        <v>3400</v>
      </c>
      <c r="AH480" s="981">
        <v>9500</v>
      </c>
      <c r="AI480" s="1114">
        <f t="shared" si="114"/>
        <v>16900</v>
      </c>
      <c r="AJ480" s="1110">
        <f t="shared" si="115"/>
        <v>158600</v>
      </c>
      <c r="AK480" s="982">
        <f>'09월 에너지'!S480</f>
        <v>146</v>
      </c>
      <c r="AL480" s="983">
        <f t="shared" si="116"/>
        <v>0.92055485498108447</v>
      </c>
    </row>
    <row r="481" spans="1:38" ht="16.5" customHeight="1">
      <c r="A481" s="999">
        <f>'09월 에너지'!A481</f>
        <v>46283</v>
      </c>
      <c r="B481" s="1002">
        <f>'09월 조업일지'!B479</f>
        <v>46283</v>
      </c>
      <c r="C481" s="1003" t="str">
        <f>'09월 에너지'!C481</f>
        <v>B</v>
      </c>
      <c r="D481" s="1233" t="str">
        <f>'09월 에너지'!D481</f>
        <v>A</v>
      </c>
      <c r="E481" s="1000">
        <f>'09월 에너지'!E481</f>
        <v>85681</v>
      </c>
      <c r="F481" s="1094" t="str">
        <f>'09월 에너지'!F481</f>
        <v>DKOIL</v>
      </c>
      <c r="G481" s="980"/>
      <c r="H481" s="978"/>
      <c r="I481" s="978">
        <v>3200</v>
      </c>
      <c r="J481" s="978"/>
      <c r="K481" s="978"/>
      <c r="L481" s="978"/>
      <c r="M481" s="978"/>
      <c r="N481" s="978"/>
      <c r="O481" s="1106">
        <f t="shared" si="112"/>
        <v>3200</v>
      </c>
      <c r="P481" s="1108">
        <f>3700+2500+8200</f>
        <v>14400</v>
      </c>
      <c r="Q481" s="979">
        <f>4200+6700</f>
        <v>10900</v>
      </c>
      <c r="R481" s="979">
        <v>16000</v>
      </c>
      <c r="S481" s="979"/>
      <c r="T481" s="979"/>
      <c r="U481" s="979">
        <f>11700+8800</f>
        <v>20500</v>
      </c>
      <c r="V481" s="979">
        <f>5300+3500+7700+7000+2300+3000</f>
        <v>28800</v>
      </c>
      <c r="W481" s="979">
        <v>3800</v>
      </c>
      <c r="X481" s="979">
        <v>7400</v>
      </c>
      <c r="Y481" s="979">
        <f>4100+15700+2900</f>
        <v>22700</v>
      </c>
      <c r="Z481" s="979"/>
      <c r="AA481" s="979">
        <v>3200</v>
      </c>
      <c r="AB481" s="979">
        <v>3500</v>
      </c>
      <c r="AC481" s="979">
        <v>3900</v>
      </c>
      <c r="AD481" s="979"/>
      <c r="AE481" s="1109">
        <f t="shared" si="113"/>
        <v>135100</v>
      </c>
      <c r="AF481" s="1113">
        <v>3800</v>
      </c>
      <c r="AG481" s="981">
        <v>12900</v>
      </c>
      <c r="AH481" s="981">
        <v>3900</v>
      </c>
      <c r="AI481" s="1114">
        <f t="shared" si="114"/>
        <v>20600</v>
      </c>
      <c r="AJ481" s="1110">
        <f t="shared" si="115"/>
        <v>158900</v>
      </c>
      <c r="AK481" s="982">
        <f>'09월 에너지'!S481</f>
        <v>146.80000000000001</v>
      </c>
      <c r="AL481" s="983">
        <f t="shared" si="116"/>
        <v>0.92385147891755826</v>
      </c>
    </row>
    <row r="482" spans="1:38" ht="16.5" customHeight="1">
      <c r="A482" s="999">
        <f>'09월 에너지'!A482</f>
        <v>46283</v>
      </c>
      <c r="B482" s="1002">
        <f>'09월 조업일지'!B480</f>
        <v>46283</v>
      </c>
      <c r="C482" s="1003" t="str">
        <f>'09월 에너지'!C482</f>
        <v>B</v>
      </c>
      <c r="D482" s="1233" t="str">
        <f>'09월 에너지'!D482</f>
        <v>A</v>
      </c>
      <c r="E482" s="1000">
        <f>'09월 에너지'!E482</f>
        <v>85682</v>
      </c>
      <c r="F482" s="1094" t="str">
        <f>'09월 에너지'!F482</f>
        <v>DKOIL</v>
      </c>
      <c r="G482" s="980"/>
      <c r="H482" s="978"/>
      <c r="I482" s="978">
        <v>9900</v>
      </c>
      <c r="J482" s="978"/>
      <c r="K482" s="978"/>
      <c r="L482" s="978"/>
      <c r="M482" s="978"/>
      <c r="N482" s="978"/>
      <c r="O482" s="1106">
        <f t="shared" si="112"/>
        <v>9900</v>
      </c>
      <c r="P482" s="1108">
        <f>10600+3100+4900</f>
        <v>18600</v>
      </c>
      <c r="Q482" s="979">
        <f>12200+7800</f>
        <v>20000</v>
      </c>
      <c r="R482" s="979">
        <v>1500</v>
      </c>
      <c r="S482" s="979"/>
      <c r="T482" s="979"/>
      <c r="U482" s="979">
        <f>13600+4800</f>
        <v>18400</v>
      </c>
      <c r="V482" s="979">
        <f>2100+4000+7100+8000+6300+3300</f>
        <v>30800</v>
      </c>
      <c r="W482" s="979">
        <v>3000</v>
      </c>
      <c r="X482" s="979">
        <v>8200</v>
      </c>
      <c r="Y482" s="979">
        <f>2200+10800+3000</f>
        <v>16000</v>
      </c>
      <c r="Z482" s="979"/>
      <c r="AA482" s="979">
        <v>5300</v>
      </c>
      <c r="AB482" s="979">
        <v>2600</v>
      </c>
      <c r="AC482" s="979">
        <v>3200</v>
      </c>
      <c r="AD482" s="979"/>
      <c r="AE482" s="1109">
        <f t="shared" si="113"/>
        <v>127600</v>
      </c>
      <c r="AF482" s="1113">
        <v>4400</v>
      </c>
      <c r="AG482" s="981">
        <v>3100</v>
      </c>
      <c r="AH482" s="981">
        <v>13300</v>
      </c>
      <c r="AI482" s="1114">
        <f t="shared" si="114"/>
        <v>20800</v>
      </c>
      <c r="AJ482" s="1110">
        <f t="shared" si="115"/>
        <v>158300</v>
      </c>
      <c r="AK482" s="982">
        <f>'09월 에너지'!S482</f>
        <v>141.1</v>
      </c>
      <c r="AL482" s="983">
        <f t="shared" si="116"/>
        <v>0.89134554643082753</v>
      </c>
    </row>
    <row r="483" spans="1:38" ht="16.5" customHeight="1">
      <c r="A483" s="999">
        <f>'09월 에너지'!A483</f>
        <v>46283</v>
      </c>
      <c r="B483" s="1002">
        <f>'09월 조업일지'!B481</f>
        <v>46283</v>
      </c>
      <c r="C483" s="1003" t="str">
        <f>'09월 에너지'!C483</f>
        <v>B</v>
      </c>
      <c r="D483" s="1233" t="str">
        <f>'09월 에너지'!D483</f>
        <v>A</v>
      </c>
      <c r="E483" s="1000">
        <f>'09월 에너지'!E483</f>
        <v>85683</v>
      </c>
      <c r="F483" s="1094" t="str">
        <f>'09월 에너지'!F483</f>
        <v>DKOIL</v>
      </c>
      <c r="G483" s="980"/>
      <c r="H483" s="978"/>
      <c r="I483" s="978">
        <v>10000</v>
      </c>
      <c r="J483" s="978"/>
      <c r="K483" s="978"/>
      <c r="L483" s="978"/>
      <c r="M483" s="978"/>
      <c r="N483" s="978"/>
      <c r="O483" s="1106">
        <f t="shared" si="112"/>
        <v>10000</v>
      </c>
      <c r="P483" s="1108">
        <f>7000+7900+8100</f>
        <v>23000</v>
      </c>
      <c r="Q483" s="979">
        <f>6400+8900</f>
        <v>15300</v>
      </c>
      <c r="R483" s="979">
        <v>3900</v>
      </c>
      <c r="S483" s="979"/>
      <c r="T483" s="979"/>
      <c r="U483" s="979">
        <f>6100+4500</f>
        <v>10600</v>
      </c>
      <c r="V483" s="979">
        <f>1300+7400+2100+7800+7000</f>
        <v>25600</v>
      </c>
      <c r="W483" s="979">
        <v>2900</v>
      </c>
      <c r="X483" s="979">
        <v>7600</v>
      </c>
      <c r="Y483" s="979">
        <f>100+13900+5500</f>
        <v>19500</v>
      </c>
      <c r="Z483" s="979"/>
      <c r="AA483" s="979">
        <v>1800</v>
      </c>
      <c r="AB483" s="979">
        <v>8800</v>
      </c>
      <c r="AC483" s="979">
        <v>600</v>
      </c>
      <c r="AD483" s="979"/>
      <c r="AE483" s="1109">
        <f t="shared" si="113"/>
        <v>119600</v>
      </c>
      <c r="AF483" s="1113">
        <v>6000</v>
      </c>
      <c r="AG483" s="981">
        <v>2300</v>
      </c>
      <c r="AH483" s="981">
        <v>20000</v>
      </c>
      <c r="AI483" s="1114">
        <f t="shared" si="114"/>
        <v>28300</v>
      </c>
      <c r="AJ483" s="1110">
        <f t="shared" si="115"/>
        <v>157900</v>
      </c>
      <c r="AK483" s="982">
        <f>'09월 에너지'!S483</f>
        <v>146.30000000000001</v>
      </c>
      <c r="AL483" s="983">
        <f t="shared" si="116"/>
        <v>0.92653578214059529</v>
      </c>
    </row>
    <row r="484" spans="1:38" ht="16.5" customHeight="1">
      <c r="A484" s="999">
        <f>'09월 에너지'!A484</f>
        <v>46283</v>
      </c>
      <c r="B484" s="1002">
        <f>'09월 조업일지'!B482</f>
        <v>46283</v>
      </c>
      <c r="C484" s="1003" t="str">
        <f>'09월 에너지'!C484</f>
        <v>B</v>
      </c>
      <c r="D484" s="1004" t="str">
        <f>'09월 에너지'!D484</f>
        <v>A</v>
      </c>
      <c r="E484" s="1000">
        <f>'09월 에너지'!E484</f>
        <v>85684</v>
      </c>
      <c r="F484" s="1094" t="str">
        <f>'09월 에너지'!F484</f>
        <v>DKOIL</v>
      </c>
      <c r="G484" s="980"/>
      <c r="H484" s="978"/>
      <c r="I484" s="978">
        <v>3200</v>
      </c>
      <c r="J484" s="978"/>
      <c r="K484" s="978"/>
      <c r="L484" s="978"/>
      <c r="M484" s="978"/>
      <c r="N484" s="978"/>
      <c r="O484" s="1106">
        <f t="shared" si="112"/>
        <v>3200</v>
      </c>
      <c r="P484" s="1108">
        <f>3700+6800+7000</f>
        <v>17500</v>
      </c>
      <c r="Q484" s="979">
        <f>12000+10700</f>
        <v>22700</v>
      </c>
      <c r="R484" s="979">
        <v>4800</v>
      </c>
      <c r="S484" s="979"/>
      <c r="T484" s="979"/>
      <c r="U484" s="979">
        <f>4300+1800</f>
        <v>6100</v>
      </c>
      <c r="V484" s="979">
        <f>9700+7500+7300+6300+8200</f>
        <v>39000</v>
      </c>
      <c r="W484" s="979">
        <v>2000</v>
      </c>
      <c r="X484" s="979">
        <v>9100</v>
      </c>
      <c r="Y484" s="979">
        <f>3400+14700+4700</f>
        <v>22800</v>
      </c>
      <c r="Z484" s="979"/>
      <c r="AA484" s="979">
        <v>3300</v>
      </c>
      <c r="AB484" s="979">
        <v>3200</v>
      </c>
      <c r="AC484" s="979">
        <v>2800</v>
      </c>
      <c r="AD484" s="979"/>
      <c r="AE484" s="1109">
        <f t="shared" si="113"/>
        <v>133300</v>
      </c>
      <c r="AF484" s="1113">
        <v>5300</v>
      </c>
      <c r="AG484" s="981">
        <v>9700</v>
      </c>
      <c r="AH484" s="981">
        <v>6400</v>
      </c>
      <c r="AI484" s="1114">
        <f t="shared" si="114"/>
        <v>21400</v>
      </c>
      <c r="AJ484" s="1110">
        <f t="shared" si="115"/>
        <v>157900</v>
      </c>
      <c r="AK484" s="982">
        <f>'09월 에너지'!S484</f>
        <v>147.6</v>
      </c>
      <c r="AL484" s="983">
        <f t="shared" si="116"/>
        <v>0.934768841038632</v>
      </c>
    </row>
    <row r="485" spans="1:38" ht="16.5" customHeight="1">
      <c r="A485" s="999">
        <f>'09월 에너지'!A485</f>
        <v>46283</v>
      </c>
      <c r="B485" s="1002">
        <f>'09월 조업일지'!B483</f>
        <v>46283</v>
      </c>
      <c r="C485" s="1003" t="str">
        <f>'09월 에너지'!C485</f>
        <v>B</v>
      </c>
      <c r="D485" s="1004" t="str">
        <f>'09월 에너지'!D485</f>
        <v>A</v>
      </c>
      <c r="E485" s="1000">
        <f>'09월 에너지'!E485</f>
        <v>85685</v>
      </c>
      <c r="F485" s="1094" t="str">
        <f>'09월 에너지'!F485</f>
        <v>DKOIL</v>
      </c>
      <c r="G485" s="980"/>
      <c r="H485" s="978"/>
      <c r="I485" s="978">
        <v>9300</v>
      </c>
      <c r="J485" s="978"/>
      <c r="K485" s="978"/>
      <c r="L485" s="978"/>
      <c r="M485" s="978"/>
      <c r="N485" s="978"/>
      <c r="O485" s="1106">
        <f t="shared" si="112"/>
        <v>9300</v>
      </c>
      <c r="P485" s="1108">
        <f>4600+15700+9400</f>
        <v>29700</v>
      </c>
      <c r="Q485" s="979">
        <f>7600+17200</f>
        <v>24800</v>
      </c>
      <c r="R485" s="979">
        <v>5500</v>
      </c>
      <c r="S485" s="979"/>
      <c r="T485" s="979"/>
      <c r="U485" s="979">
        <f>7200+500</f>
        <v>7700</v>
      </c>
      <c r="V485" s="979">
        <f>4800+10200+1100+1800+6800+7800</f>
        <v>32500</v>
      </c>
      <c r="W485" s="979">
        <v>200</v>
      </c>
      <c r="X485" s="979">
        <v>10400</v>
      </c>
      <c r="Y485" s="979">
        <f>16600+100</f>
        <v>16700</v>
      </c>
      <c r="Z485" s="979"/>
      <c r="AA485" s="979">
        <v>3400</v>
      </c>
      <c r="AB485" s="979">
        <v>2500</v>
      </c>
      <c r="AC485" s="979">
        <v>4100</v>
      </c>
      <c r="AD485" s="979"/>
      <c r="AE485" s="1109">
        <f t="shared" si="113"/>
        <v>137500</v>
      </c>
      <c r="AF485" s="1113">
        <v>4200</v>
      </c>
      <c r="AG485" s="981">
        <v>2400</v>
      </c>
      <c r="AH485" s="981">
        <v>4800</v>
      </c>
      <c r="AI485" s="1114">
        <f t="shared" si="114"/>
        <v>11400</v>
      </c>
      <c r="AJ485" s="1110">
        <f t="shared" si="115"/>
        <v>158200</v>
      </c>
      <c r="AK485" s="982">
        <f>'09월 에너지'!S485</f>
        <v>145.69999999999999</v>
      </c>
      <c r="AL485" s="983">
        <f t="shared" si="116"/>
        <v>0.92098609355246519</v>
      </c>
    </row>
    <row r="486" spans="1:38" ht="16.5" customHeight="1">
      <c r="A486" s="999">
        <f>'09월 에너지'!A486</f>
        <v>46283</v>
      </c>
      <c r="B486" s="1002">
        <f>'09월 조업일지'!B484</f>
        <v>46283</v>
      </c>
      <c r="C486" s="1003" t="str">
        <f>'09월 에너지'!C486</f>
        <v>B</v>
      </c>
      <c r="D486" s="1004" t="str">
        <f>'09월 에너지'!D486</f>
        <v>A</v>
      </c>
      <c r="E486" s="1000">
        <f>'09월 에너지'!E486</f>
        <v>85686</v>
      </c>
      <c r="F486" s="1094" t="str">
        <f>'09월 에너지'!F486</f>
        <v>DKOIL</v>
      </c>
      <c r="G486" s="980"/>
      <c r="H486" s="978"/>
      <c r="I486" s="978">
        <v>5100</v>
      </c>
      <c r="J486" s="978"/>
      <c r="K486" s="978"/>
      <c r="L486" s="978"/>
      <c r="M486" s="978"/>
      <c r="N486" s="978"/>
      <c r="O486" s="1106">
        <f t="shared" si="112"/>
        <v>5100</v>
      </c>
      <c r="P486" s="1108">
        <f>8100+3600+1600+3900</f>
        <v>17200</v>
      </c>
      <c r="Q486" s="979">
        <f>16600+4800</f>
        <v>21400</v>
      </c>
      <c r="R486" s="979">
        <v>6900</v>
      </c>
      <c r="S486" s="979"/>
      <c r="T486" s="979"/>
      <c r="U486" s="979">
        <f>10700+5800</f>
        <v>16500</v>
      </c>
      <c r="V486" s="979">
        <f>2100+3400+6600+1500+8200+8100</f>
        <v>29900</v>
      </c>
      <c r="W486" s="979">
        <v>1500</v>
      </c>
      <c r="X486" s="979">
        <v>10400</v>
      </c>
      <c r="Y486" s="979">
        <f>2700+7400+8300</f>
        <v>18400</v>
      </c>
      <c r="Z486" s="979"/>
      <c r="AA486" s="979">
        <v>2200</v>
      </c>
      <c r="AB486" s="979">
        <v>3800</v>
      </c>
      <c r="AC486" s="979">
        <v>3700</v>
      </c>
      <c r="AD486" s="979"/>
      <c r="AE486" s="1109">
        <f t="shared" si="113"/>
        <v>131900</v>
      </c>
      <c r="AF486" s="1113">
        <v>3900</v>
      </c>
      <c r="AG486" s="981">
        <v>6200</v>
      </c>
      <c r="AH486" s="981">
        <v>10900</v>
      </c>
      <c r="AI486" s="1114">
        <f t="shared" si="114"/>
        <v>21000</v>
      </c>
      <c r="AJ486" s="1110">
        <f t="shared" si="115"/>
        <v>158000</v>
      </c>
      <c r="AK486" s="982">
        <f>'09월 에너지'!S486</f>
        <v>150.4</v>
      </c>
      <c r="AL486" s="983">
        <f t="shared" si="116"/>
        <v>0.95189873417721516</v>
      </c>
    </row>
    <row r="487" spans="1:38" ht="16.5" customHeight="1">
      <c r="A487" s="999">
        <f>'09월 에너지'!A487</f>
        <v>46283</v>
      </c>
      <c r="B487" s="1002">
        <f>'09월 조업일지'!B485</f>
        <v>46283</v>
      </c>
      <c r="C487" s="1003" t="str">
        <f>'09월 에너지'!C487</f>
        <v>B</v>
      </c>
      <c r="D487" s="1004" t="str">
        <f>'09월 에너지'!D487</f>
        <v>A</v>
      </c>
      <c r="E487" s="1000">
        <f>'09월 에너지'!E487</f>
        <v>85687</v>
      </c>
      <c r="F487" s="1094" t="str">
        <f>'09월 에너지'!F487</f>
        <v>DKOIL</v>
      </c>
      <c r="G487" s="980"/>
      <c r="H487" s="978"/>
      <c r="I487" s="978">
        <v>5100</v>
      </c>
      <c r="J487" s="978"/>
      <c r="K487" s="978"/>
      <c r="L487" s="978"/>
      <c r="M487" s="978"/>
      <c r="N487" s="978"/>
      <c r="O487" s="1106">
        <f t="shared" ref="O487" si="117">IF(SUM(G487:N487)=0,"",SUM(G487:N487))</f>
        <v>5100</v>
      </c>
      <c r="P487" s="1108">
        <f>8100+3600+1600+3900</f>
        <v>17200</v>
      </c>
      <c r="Q487" s="979">
        <f>16600+4800</f>
        <v>21400</v>
      </c>
      <c r="R487" s="979">
        <v>6900</v>
      </c>
      <c r="S487" s="979"/>
      <c r="T487" s="979"/>
      <c r="U487" s="979">
        <f>10700+5800</f>
        <v>16500</v>
      </c>
      <c r="V487" s="979">
        <f>2100+3400+6600+1500+8200+8100</f>
        <v>29900</v>
      </c>
      <c r="W487" s="979">
        <v>1500</v>
      </c>
      <c r="X487" s="979">
        <v>10400</v>
      </c>
      <c r="Y487" s="979">
        <f>2700+7400+8300</f>
        <v>18400</v>
      </c>
      <c r="Z487" s="979"/>
      <c r="AA487" s="979">
        <v>2200</v>
      </c>
      <c r="AB487" s="979">
        <v>3800</v>
      </c>
      <c r="AC487" s="979">
        <v>3700</v>
      </c>
      <c r="AD487" s="979"/>
      <c r="AE487" s="1109">
        <f t="shared" ref="AE487" si="118">IF(SUM(P487:AD487)=0,"",SUM(P487:AD487))</f>
        <v>131900</v>
      </c>
      <c r="AF487" s="1113">
        <v>3900</v>
      </c>
      <c r="AG487" s="981">
        <v>6200</v>
      </c>
      <c r="AH487" s="981">
        <v>10900</v>
      </c>
      <c r="AI487" s="1114">
        <f t="shared" ref="AI487" si="119">IF(SUM(AF487:AH487)=0,"",SUM(AF487:AH487))</f>
        <v>21000</v>
      </c>
      <c r="AJ487" s="1110">
        <f t="shared" si="115"/>
        <v>158000</v>
      </c>
      <c r="AK487" s="982">
        <f>'09월 에너지'!S487</f>
        <v>142.5</v>
      </c>
      <c r="AL487" s="983">
        <f t="shared" si="116"/>
        <v>0.90189873417721522</v>
      </c>
    </row>
    <row r="488" spans="1:38" ht="16.5" customHeight="1">
      <c r="A488" s="999">
        <f>'09월 에너지'!A488</f>
        <v>46283</v>
      </c>
      <c r="B488" s="1002">
        <f>'09월 조업일지'!B486</f>
        <v>46283</v>
      </c>
      <c r="C488" s="1003" t="str">
        <f>'09월 에너지'!C488</f>
        <v>C</v>
      </c>
      <c r="D488" s="1004" t="str">
        <f>'09월 에너지'!D488</f>
        <v>A</v>
      </c>
      <c r="E488" s="1000">
        <f>'09월 에너지'!E488</f>
        <v>85688</v>
      </c>
      <c r="F488" s="1094" t="str">
        <f>'09월 에너지'!F488</f>
        <v>DKOIL</v>
      </c>
      <c r="G488" s="980"/>
      <c r="H488" s="978"/>
      <c r="I488" s="978">
        <v>5100</v>
      </c>
      <c r="J488" s="978"/>
      <c r="K488" s="978"/>
      <c r="L488" s="978"/>
      <c r="M488" s="978"/>
      <c r="N488" s="978"/>
      <c r="O488" s="1106">
        <f t="shared" si="112"/>
        <v>5100</v>
      </c>
      <c r="P488" s="1108">
        <f>3800+7700+8000</f>
        <v>19500</v>
      </c>
      <c r="Q488" s="979">
        <f>11300+13200</f>
        <v>24500</v>
      </c>
      <c r="R488" s="979">
        <v>14200</v>
      </c>
      <c r="S488" s="979"/>
      <c r="T488" s="979"/>
      <c r="U488" s="979">
        <v>11700</v>
      </c>
      <c r="V488" s="979">
        <f>9600+7400+6300+1800+7600</f>
        <v>32700</v>
      </c>
      <c r="W488" s="979">
        <v>2300</v>
      </c>
      <c r="X488" s="979">
        <v>9300</v>
      </c>
      <c r="Y488" s="979">
        <f>2200+10300+1800</f>
        <v>14300</v>
      </c>
      <c r="Z488" s="979"/>
      <c r="AA488" s="979">
        <v>100</v>
      </c>
      <c r="AB488" s="979">
        <v>7900</v>
      </c>
      <c r="AC488" s="979">
        <v>3100</v>
      </c>
      <c r="AD488" s="979"/>
      <c r="AE488" s="1109">
        <f t="shared" si="113"/>
        <v>139600</v>
      </c>
      <c r="AF488" s="1113">
        <v>4200</v>
      </c>
      <c r="AG488" s="981">
        <v>3600</v>
      </c>
      <c r="AH488" s="981">
        <v>5500</v>
      </c>
      <c r="AI488" s="1114">
        <f t="shared" si="114"/>
        <v>13300</v>
      </c>
      <c r="AJ488" s="1110">
        <f t="shared" si="115"/>
        <v>158000</v>
      </c>
      <c r="AK488" s="982">
        <f>'09월 에너지'!S488</f>
        <v>143.5</v>
      </c>
      <c r="AL488" s="983">
        <f t="shared" si="116"/>
        <v>0.90822784810126578</v>
      </c>
    </row>
    <row r="489" spans="1:38" ht="16.5" customHeight="1">
      <c r="A489" s="999">
        <f>'09월 에너지'!A489</f>
        <v>46283</v>
      </c>
      <c r="B489" s="1002">
        <f>'09월 조업일지'!B487</f>
        <v>46283</v>
      </c>
      <c r="C489" s="1003" t="str">
        <f>'09월 에너지'!C489</f>
        <v>C</v>
      </c>
      <c r="D489" s="1004" t="str">
        <f>'09월 에너지'!D489</f>
        <v>B</v>
      </c>
      <c r="E489" s="1000">
        <f>'09월 에너지'!E489</f>
        <v>85689</v>
      </c>
      <c r="F489" s="1094" t="str">
        <f>'09월 에너지'!F489</f>
        <v>DKOIL</v>
      </c>
      <c r="G489" s="980"/>
      <c r="H489" s="978"/>
      <c r="I489" s="978"/>
      <c r="J489" s="978"/>
      <c r="K489" s="978"/>
      <c r="L489" s="978"/>
      <c r="M489" s="978"/>
      <c r="N489" s="978"/>
      <c r="O489" s="1106" t="str">
        <f t="shared" si="112"/>
        <v/>
      </c>
      <c r="P489" s="1108">
        <f>2800+8900+13100+3300+10000+2000+8000</f>
        <v>48100</v>
      </c>
      <c r="Q489" s="979">
        <f>9500+6000</f>
        <v>15500</v>
      </c>
      <c r="R489" s="979"/>
      <c r="S489" s="979"/>
      <c r="T489" s="979"/>
      <c r="U489" s="979">
        <f>15600+6000</f>
        <v>21600</v>
      </c>
      <c r="V489" s="979">
        <f>14700+5000</f>
        <v>19700</v>
      </c>
      <c r="W489" s="979"/>
      <c r="X489" s="979">
        <v>3200</v>
      </c>
      <c r="Y489" s="979">
        <v>4000</v>
      </c>
      <c r="Z489" s="979"/>
      <c r="AA489" s="979"/>
      <c r="AB489" s="979"/>
      <c r="AC489" s="979"/>
      <c r="AD489" s="979">
        <v>6500</v>
      </c>
      <c r="AE489" s="1109">
        <f t="shared" si="113"/>
        <v>118600</v>
      </c>
      <c r="AF489" s="1113">
        <f>15000+4000</f>
        <v>19000</v>
      </c>
      <c r="AG489" s="981">
        <v>12900</v>
      </c>
      <c r="AH489" s="981">
        <v>4300</v>
      </c>
      <c r="AI489" s="1114">
        <f t="shared" si="114"/>
        <v>36200</v>
      </c>
      <c r="AJ489" s="1110">
        <f t="shared" si="115"/>
        <v>154800</v>
      </c>
      <c r="AK489" s="982">
        <f>'09월 에너지'!S489</f>
        <v>129.19999999999999</v>
      </c>
      <c r="AL489" s="983">
        <f t="shared" si="116"/>
        <v>0.83462532299741587</v>
      </c>
    </row>
    <row r="490" spans="1:38" ht="16.5" customHeight="1">
      <c r="A490" s="999">
        <f>'09월 에너지'!A490</f>
        <v>46283</v>
      </c>
      <c r="B490" s="1002">
        <f>'09월 조업일지'!B488</f>
        <v>46283</v>
      </c>
      <c r="C490" s="1003" t="str">
        <f>'09월 에너지'!C490</f>
        <v>C</v>
      </c>
      <c r="D490" s="1004" t="str">
        <f>'09월 에너지'!D490</f>
        <v>A</v>
      </c>
      <c r="E490" s="1000">
        <f>'09월 에너지'!E490</f>
        <v>85690</v>
      </c>
      <c r="F490" s="1094" t="str">
        <f>'09월 에너지'!F490</f>
        <v>DKOIL</v>
      </c>
      <c r="G490" s="980"/>
      <c r="H490" s="978"/>
      <c r="I490" s="978">
        <v>3000</v>
      </c>
      <c r="J490" s="978"/>
      <c r="K490" s="978"/>
      <c r="L490" s="978"/>
      <c r="M490" s="978"/>
      <c r="N490" s="978"/>
      <c r="O490" s="1106">
        <f t="shared" si="112"/>
        <v>3000</v>
      </c>
      <c r="P490" s="1108">
        <f>3200+3700+2300</f>
        <v>9200</v>
      </c>
      <c r="Q490" s="979">
        <f>10200+6500</f>
        <v>16700</v>
      </c>
      <c r="R490" s="979">
        <v>5500</v>
      </c>
      <c r="S490" s="979"/>
      <c r="T490" s="979"/>
      <c r="U490" s="979">
        <f>10300+3500</f>
        <v>13800</v>
      </c>
      <c r="V490" s="979">
        <f>6700+12400+6600+5300+5400+8200</f>
        <v>44600</v>
      </c>
      <c r="W490" s="979">
        <v>4300</v>
      </c>
      <c r="X490" s="979">
        <v>7700</v>
      </c>
      <c r="Y490" s="979">
        <f>5100+12300+6000</f>
        <v>23400</v>
      </c>
      <c r="Z490" s="979"/>
      <c r="AA490" s="979">
        <v>3300</v>
      </c>
      <c r="AB490" s="979">
        <v>2600</v>
      </c>
      <c r="AC490" s="979">
        <v>3800</v>
      </c>
      <c r="AD490" s="979"/>
      <c r="AE490" s="1109">
        <f t="shared" si="113"/>
        <v>134900</v>
      </c>
      <c r="AF490" s="1113">
        <v>5100</v>
      </c>
      <c r="AG490" s="981">
        <v>9400</v>
      </c>
      <c r="AH490" s="981">
        <v>5800</v>
      </c>
      <c r="AI490" s="1114">
        <f t="shared" si="114"/>
        <v>20300</v>
      </c>
      <c r="AJ490" s="1110">
        <f t="shared" si="115"/>
        <v>158200</v>
      </c>
      <c r="AK490" s="982">
        <f>'09월 에너지'!S490</f>
        <v>140.6</v>
      </c>
      <c r="AL490" s="983">
        <f t="shared" si="116"/>
        <v>0.88874841972187102</v>
      </c>
    </row>
    <row r="491" spans="1:38" ht="16.5" customHeight="1">
      <c r="A491" s="999">
        <f>'09월 에너지'!A491</f>
        <v>46283</v>
      </c>
      <c r="B491" s="1002">
        <f>'09월 조업일지'!B489</f>
        <v>46283</v>
      </c>
      <c r="C491" s="1003" t="str">
        <f>'09월 에너지'!C491</f>
        <v>C</v>
      </c>
      <c r="D491" s="1004" t="str">
        <f>'09월 에너지'!D491</f>
        <v>B</v>
      </c>
      <c r="E491" s="1000">
        <f>'09월 에너지'!E491</f>
        <v>85691</v>
      </c>
      <c r="F491" s="1094" t="str">
        <f>'09월 에너지'!F491</f>
        <v>DKOIL</v>
      </c>
      <c r="G491" s="980"/>
      <c r="H491" s="978"/>
      <c r="I491" s="978">
        <v>2500</v>
      </c>
      <c r="J491" s="978"/>
      <c r="K491" s="978"/>
      <c r="L491" s="978"/>
      <c r="M491" s="978"/>
      <c r="N491" s="978"/>
      <c r="O491" s="1106">
        <f t="shared" si="112"/>
        <v>2500</v>
      </c>
      <c r="P491" s="1108">
        <f>4500+4600+2100</f>
        <v>11200</v>
      </c>
      <c r="Q491" s="979">
        <f>11000+13800</f>
        <v>24800</v>
      </c>
      <c r="R491" s="979">
        <v>5500</v>
      </c>
      <c r="S491" s="979"/>
      <c r="T491" s="979"/>
      <c r="U491" s="979">
        <f>9400+1300</f>
        <v>10700</v>
      </c>
      <c r="V491" s="979">
        <f>3200+12600+7000+4400+3000+6500</f>
        <v>36700</v>
      </c>
      <c r="W491" s="979">
        <v>4000</v>
      </c>
      <c r="X491" s="979">
        <v>8100</v>
      </c>
      <c r="Y491" s="979">
        <f>2500+14000+5400</f>
        <v>21900</v>
      </c>
      <c r="Z491" s="979"/>
      <c r="AA491" s="979">
        <v>1900</v>
      </c>
      <c r="AB491" s="979">
        <v>5100</v>
      </c>
      <c r="AC491" s="979">
        <v>5100</v>
      </c>
      <c r="AD491" s="979"/>
      <c r="AE491" s="1109">
        <f t="shared" si="113"/>
        <v>135000</v>
      </c>
      <c r="AF491" s="1113">
        <v>4400</v>
      </c>
      <c r="AG491" s="981">
        <v>11500</v>
      </c>
      <c r="AH491" s="981">
        <v>4700</v>
      </c>
      <c r="AI491" s="1114">
        <f t="shared" si="114"/>
        <v>20600</v>
      </c>
      <c r="AJ491" s="1110">
        <f t="shared" si="115"/>
        <v>158100</v>
      </c>
      <c r="AK491" s="982">
        <f>'09월 에너지'!S491</f>
        <v>145.9</v>
      </c>
      <c r="AL491" s="983">
        <f t="shared" si="116"/>
        <v>0.92283364958886782</v>
      </c>
    </row>
    <row r="492" spans="1:38" ht="16.5" customHeight="1">
      <c r="A492" s="999">
        <f>'09월 에너지'!A492</f>
        <v>46283</v>
      </c>
      <c r="B492" s="1002">
        <f>'09월 조업일지'!B490</f>
        <v>46283</v>
      </c>
      <c r="C492" s="1003" t="str">
        <f>'09월 에너지'!C492</f>
        <v>C</v>
      </c>
      <c r="D492" s="1004" t="str">
        <f>'09월 에너지'!D492</f>
        <v>A</v>
      </c>
      <c r="E492" s="1000">
        <f>'09월 에너지'!E492</f>
        <v>85692</v>
      </c>
      <c r="F492" s="1094" t="str">
        <f>'09월 에너지'!F492</f>
        <v>DKOIL</v>
      </c>
      <c r="G492" s="980"/>
      <c r="H492" s="978"/>
      <c r="I492" s="978">
        <v>9300</v>
      </c>
      <c r="J492" s="978"/>
      <c r="K492" s="978"/>
      <c r="L492" s="978"/>
      <c r="M492" s="978"/>
      <c r="N492" s="978"/>
      <c r="O492" s="1106">
        <f t="shared" si="112"/>
        <v>9300</v>
      </c>
      <c r="P492" s="1108">
        <f>4600+15700+9400</f>
        <v>29700</v>
      </c>
      <c r="Q492" s="979">
        <f>7600+17200</f>
        <v>24800</v>
      </c>
      <c r="R492" s="979">
        <v>5500</v>
      </c>
      <c r="S492" s="979"/>
      <c r="T492" s="979"/>
      <c r="U492" s="979">
        <f>7200+500</f>
        <v>7700</v>
      </c>
      <c r="V492" s="979">
        <f>4800+10200+7800+1100+1800+6800</f>
        <v>32500</v>
      </c>
      <c r="W492" s="979">
        <v>200</v>
      </c>
      <c r="X492" s="979">
        <v>10400</v>
      </c>
      <c r="Y492" s="979">
        <f>16600+100</f>
        <v>16700</v>
      </c>
      <c r="Z492" s="979"/>
      <c r="AA492" s="979">
        <v>3400</v>
      </c>
      <c r="AB492" s="979">
        <v>2500</v>
      </c>
      <c r="AC492" s="979">
        <v>4100</v>
      </c>
      <c r="AD492" s="979"/>
      <c r="AE492" s="1109">
        <f t="shared" si="113"/>
        <v>137500</v>
      </c>
      <c r="AF492" s="1113">
        <v>4200</v>
      </c>
      <c r="AG492" s="981">
        <v>2400</v>
      </c>
      <c r="AH492" s="981">
        <v>4800</v>
      </c>
      <c r="AI492" s="1114">
        <f t="shared" si="114"/>
        <v>11400</v>
      </c>
      <c r="AJ492" s="1110">
        <f t="shared" si="115"/>
        <v>158200</v>
      </c>
      <c r="AK492" s="982">
        <f>'09월 에너지'!S492</f>
        <v>141.69999999999999</v>
      </c>
      <c r="AL492" s="983">
        <f t="shared" si="116"/>
        <v>0.89570164348925407</v>
      </c>
    </row>
    <row r="493" spans="1:38" ht="16.5" customHeight="1">
      <c r="A493" s="999">
        <f>'09월 에너지'!A493</f>
        <v>46283</v>
      </c>
      <c r="B493" s="1002">
        <f>'09월 조업일지'!B491</f>
        <v>46283</v>
      </c>
      <c r="C493" s="1003" t="str">
        <f>'09월 에너지'!C493</f>
        <v>C</v>
      </c>
      <c r="D493" s="1004" t="str">
        <f>'09월 에너지'!D493</f>
        <v>B</v>
      </c>
      <c r="E493" s="1000">
        <f>'09월 에너지'!E493</f>
        <v>85693</v>
      </c>
      <c r="F493" s="1094" t="str">
        <f>'09월 에너지'!F493</f>
        <v>DKOIL</v>
      </c>
      <c r="G493" s="980"/>
      <c r="H493" s="978"/>
      <c r="I493" s="978">
        <v>5500</v>
      </c>
      <c r="J493" s="978"/>
      <c r="K493" s="978"/>
      <c r="L493" s="978"/>
      <c r="M493" s="978"/>
      <c r="N493" s="978"/>
      <c r="O493" s="1106">
        <f t="shared" si="112"/>
        <v>5500</v>
      </c>
      <c r="P493" s="1108">
        <f>3300+3900+7700</f>
        <v>14900</v>
      </c>
      <c r="Q493" s="979">
        <f>19300+1800</f>
        <v>21100</v>
      </c>
      <c r="R493" s="979">
        <v>5700</v>
      </c>
      <c r="S493" s="979"/>
      <c r="T493" s="979"/>
      <c r="U493" s="979">
        <f>6400+5000</f>
        <v>11400</v>
      </c>
      <c r="V493" s="979">
        <f>2500+6200+7000+3800+5800+8000</f>
        <v>33300</v>
      </c>
      <c r="W493" s="979">
        <v>4300</v>
      </c>
      <c r="X493" s="979">
        <v>7800</v>
      </c>
      <c r="Y493" s="979">
        <f>4100+11100+7800</f>
        <v>23000</v>
      </c>
      <c r="Z493" s="979"/>
      <c r="AA493" s="979">
        <v>4100</v>
      </c>
      <c r="AB493" s="979">
        <v>12000</v>
      </c>
      <c r="AC493" s="979">
        <v>3500</v>
      </c>
      <c r="AD493" s="979"/>
      <c r="AE493" s="1109">
        <f t="shared" si="113"/>
        <v>141100</v>
      </c>
      <c r="AF493" s="1113">
        <v>3900</v>
      </c>
      <c r="AG493" s="981">
        <v>6400</v>
      </c>
      <c r="AH493" s="981">
        <v>2500</v>
      </c>
      <c r="AI493" s="1114">
        <f t="shared" si="114"/>
        <v>12800</v>
      </c>
      <c r="AJ493" s="1110">
        <f t="shared" si="115"/>
        <v>159400</v>
      </c>
      <c r="AK493" s="982">
        <f>'09월 에너지'!S493</f>
        <v>145.5</v>
      </c>
      <c r="AL493" s="983">
        <f t="shared" si="116"/>
        <v>0.91279799247176918</v>
      </c>
    </row>
    <row r="494" spans="1:38" ht="16.5" customHeight="1">
      <c r="A494" s="999">
        <f>'09월 에너지'!A494</f>
        <v>46284</v>
      </c>
      <c r="B494" s="1002">
        <f>'09월 조업일지'!B492</f>
        <v>46283</v>
      </c>
      <c r="C494" s="1003" t="str">
        <f>'09월 에너지'!C494</f>
        <v>C</v>
      </c>
      <c r="D494" s="1004" t="str">
        <f>'09월 에너지'!D494</f>
        <v>A</v>
      </c>
      <c r="E494" s="1000">
        <f>'09월 에너지'!E494</f>
        <v>85694</v>
      </c>
      <c r="F494" s="1094" t="str">
        <f>'09월 에너지'!F494</f>
        <v>DKOIL</v>
      </c>
      <c r="G494" s="980"/>
      <c r="H494" s="978"/>
      <c r="I494" s="978">
        <v>5800</v>
      </c>
      <c r="J494" s="978"/>
      <c r="K494" s="978"/>
      <c r="L494" s="978"/>
      <c r="M494" s="978"/>
      <c r="N494" s="978"/>
      <c r="O494" s="1106">
        <f t="shared" si="112"/>
        <v>5800</v>
      </c>
      <c r="P494" s="1108">
        <f>7400+2600+2300</f>
        <v>12300</v>
      </c>
      <c r="Q494" s="979">
        <f>8400+4500</f>
        <v>12900</v>
      </c>
      <c r="R494" s="979">
        <v>5000</v>
      </c>
      <c r="S494" s="979"/>
      <c r="T494" s="979"/>
      <c r="U494" s="979">
        <f>4200+2000</f>
        <v>6200</v>
      </c>
      <c r="V494" s="979">
        <f>3000+1400+7400+6200+7800+7700</f>
        <v>33500</v>
      </c>
      <c r="W494" s="979">
        <v>3300</v>
      </c>
      <c r="X494" s="979">
        <v>7900</v>
      </c>
      <c r="Y494" s="979">
        <f>1700+17100+8500</f>
        <v>27300</v>
      </c>
      <c r="Z494" s="979"/>
      <c r="AA494" s="979">
        <v>11900</v>
      </c>
      <c r="AB494" s="979">
        <v>2700</v>
      </c>
      <c r="AC494" s="979">
        <v>2900</v>
      </c>
      <c r="AD494" s="979"/>
      <c r="AE494" s="1109">
        <f t="shared" si="113"/>
        <v>125900</v>
      </c>
      <c r="AF494" s="1113">
        <v>4100</v>
      </c>
      <c r="AG494" s="981">
        <v>15700</v>
      </c>
      <c r="AH494" s="981">
        <v>6500</v>
      </c>
      <c r="AI494" s="1114">
        <f t="shared" si="114"/>
        <v>26300</v>
      </c>
      <c r="AJ494" s="1110">
        <f t="shared" si="115"/>
        <v>158000</v>
      </c>
      <c r="AK494" s="982">
        <f>'09월 에너지'!S494</f>
        <v>140.80000000000001</v>
      </c>
      <c r="AL494" s="983">
        <f t="shared" si="116"/>
        <v>0.89113924050632909</v>
      </c>
    </row>
    <row r="495" spans="1:38" ht="16.5" customHeight="1">
      <c r="A495" s="999">
        <f>'09월 에너지'!A495</f>
        <v>46284</v>
      </c>
      <c r="B495" s="1002">
        <f>'09월 조업일지'!B493</f>
        <v>46283</v>
      </c>
      <c r="C495" s="1003" t="str">
        <f>'09월 에너지'!C495</f>
        <v>C</v>
      </c>
      <c r="D495" s="1004" t="str">
        <f>'09월 에너지'!D495</f>
        <v>B</v>
      </c>
      <c r="E495" s="1000">
        <f>'09월 에너지'!E495</f>
        <v>85695</v>
      </c>
      <c r="F495" s="1094" t="str">
        <f>'09월 에너지'!F495</f>
        <v>DKOIL</v>
      </c>
      <c r="G495" s="980"/>
      <c r="H495" s="978"/>
      <c r="I495" s="978">
        <v>12900</v>
      </c>
      <c r="J495" s="978"/>
      <c r="K495" s="978"/>
      <c r="L495" s="978"/>
      <c r="M495" s="978"/>
      <c r="N495" s="978"/>
      <c r="O495" s="1106">
        <f t="shared" si="112"/>
        <v>12900</v>
      </c>
      <c r="P495" s="1108">
        <f>9400+8400+1800</f>
        <v>19600</v>
      </c>
      <c r="Q495" s="979">
        <f>15900+6500</f>
        <v>22400</v>
      </c>
      <c r="R495" s="979">
        <v>3700</v>
      </c>
      <c r="S495" s="979"/>
      <c r="T495" s="979"/>
      <c r="U495" s="979">
        <f>6900+6300</f>
        <v>13200</v>
      </c>
      <c r="V495" s="979">
        <f>3000+6200+7500+5300+6300+7800</f>
        <v>36100</v>
      </c>
      <c r="W495" s="979">
        <v>2400</v>
      </c>
      <c r="X495" s="979">
        <v>9300</v>
      </c>
      <c r="Y495" s="979">
        <f>4400+9300+5300</f>
        <v>19000</v>
      </c>
      <c r="Z495" s="979"/>
      <c r="AA495" s="979">
        <v>800</v>
      </c>
      <c r="AB495" s="979">
        <v>1700</v>
      </c>
      <c r="AC495" s="979">
        <v>3200</v>
      </c>
      <c r="AD495" s="979"/>
      <c r="AE495" s="1109">
        <f t="shared" si="113"/>
        <v>131400</v>
      </c>
      <c r="AF495" s="1113">
        <v>4300</v>
      </c>
      <c r="AG495" s="981">
        <v>4700</v>
      </c>
      <c r="AH495" s="981">
        <v>5600</v>
      </c>
      <c r="AI495" s="1114">
        <f t="shared" si="114"/>
        <v>14600</v>
      </c>
      <c r="AJ495" s="1110">
        <f t="shared" si="115"/>
        <v>158900</v>
      </c>
      <c r="AK495" s="982">
        <f>'09월 에너지'!S495</f>
        <v>146.5</v>
      </c>
      <c r="AL495" s="983">
        <f t="shared" si="116"/>
        <v>0.92196349905601005</v>
      </c>
    </row>
    <row r="496" spans="1:38" ht="16.5" customHeight="1">
      <c r="A496" s="999">
        <f>'09월 에너지'!A496</f>
        <v>46284</v>
      </c>
      <c r="B496" s="1002">
        <f>'09월 조업일지'!B494</f>
        <v>46283</v>
      </c>
      <c r="C496" s="1003" t="str">
        <f>'09월 에너지'!C496</f>
        <v>C</v>
      </c>
      <c r="D496" s="1004" t="str">
        <f>'09월 에너지'!D496</f>
        <v>A</v>
      </c>
      <c r="E496" s="1000">
        <f>'09월 에너지'!E496</f>
        <v>85696</v>
      </c>
      <c r="F496" s="1094" t="str">
        <f>'09월 에너지'!F496</f>
        <v>DKOIL</v>
      </c>
      <c r="G496" s="980"/>
      <c r="H496" s="978"/>
      <c r="I496" s="978">
        <v>5100</v>
      </c>
      <c r="J496" s="978"/>
      <c r="K496" s="978"/>
      <c r="L496" s="978"/>
      <c r="M496" s="978"/>
      <c r="N496" s="978"/>
      <c r="O496" s="1106">
        <f t="shared" si="112"/>
        <v>5100</v>
      </c>
      <c r="P496" s="1108">
        <f>4800+4200+1400</f>
        <v>10400</v>
      </c>
      <c r="Q496" s="979">
        <f>8000+7200</f>
        <v>15200</v>
      </c>
      <c r="R496" s="979">
        <v>2500</v>
      </c>
      <c r="S496" s="979"/>
      <c r="T496" s="979"/>
      <c r="U496" s="979">
        <f>12300+2000</f>
        <v>14300</v>
      </c>
      <c r="V496" s="979">
        <f>13700+11400+7400+8900+8500+7700</f>
        <v>57600</v>
      </c>
      <c r="W496" s="979">
        <v>3500</v>
      </c>
      <c r="X496" s="979">
        <v>7800</v>
      </c>
      <c r="Y496" s="979">
        <f>4000+9300+3600</f>
        <v>16900</v>
      </c>
      <c r="Z496" s="979"/>
      <c r="AA496" s="979">
        <v>2300</v>
      </c>
      <c r="AB496" s="979">
        <v>4700</v>
      </c>
      <c r="AC496" s="979">
        <v>2500</v>
      </c>
      <c r="AD496" s="979"/>
      <c r="AE496" s="1109">
        <f t="shared" si="113"/>
        <v>137700</v>
      </c>
      <c r="AF496" s="1113">
        <v>4800</v>
      </c>
      <c r="AG496" s="981">
        <v>7600</v>
      </c>
      <c r="AH496" s="981">
        <v>3700</v>
      </c>
      <c r="AI496" s="1114">
        <f t="shared" si="114"/>
        <v>16100</v>
      </c>
      <c r="AJ496" s="1110">
        <f t="shared" si="115"/>
        <v>158900</v>
      </c>
      <c r="AK496" s="982">
        <f>'09월 에너지'!S496</f>
        <v>144</v>
      </c>
      <c r="AL496" s="983">
        <f t="shared" si="116"/>
        <v>0.90623033354310889</v>
      </c>
    </row>
    <row r="497" spans="1:38" ht="16.5" customHeight="1">
      <c r="A497" s="999">
        <f>'09월 에너지'!A497</f>
        <v>46284</v>
      </c>
      <c r="B497" s="1002">
        <f>'09월 조업일지'!B495</f>
        <v>46283</v>
      </c>
      <c r="C497" s="1003" t="str">
        <f>'09월 에너지'!C497</f>
        <v>C</v>
      </c>
      <c r="D497" s="1004" t="str">
        <f>'09월 에너지'!D497</f>
        <v>B</v>
      </c>
      <c r="E497" s="1000">
        <f>'09월 에너지'!E497</f>
        <v>85697</v>
      </c>
      <c r="F497" s="1170" t="str">
        <f>'09월 에너지'!F497</f>
        <v>SS540</v>
      </c>
      <c r="G497" s="980"/>
      <c r="H497" s="978"/>
      <c r="I497" s="978">
        <v>6900</v>
      </c>
      <c r="J497" s="978"/>
      <c r="K497" s="978"/>
      <c r="L497" s="978"/>
      <c r="M497" s="978"/>
      <c r="N497" s="978"/>
      <c r="O497" s="1106">
        <f t="shared" si="112"/>
        <v>6900</v>
      </c>
      <c r="P497" s="1108">
        <f>7700+3200</f>
        <v>10900</v>
      </c>
      <c r="Q497" s="979">
        <f>4800+7200</f>
        <v>12000</v>
      </c>
      <c r="R497" s="979">
        <v>4700</v>
      </c>
      <c r="S497" s="979"/>
      <c r="T497" s="979"/>
      <c r="U497" s="979">
        <f>10100+6000</f>
        <v>16100</v>
      </c>
      <c r="V497" s="979">
        <f>3700+11600+7400+9300+6000+8200</f>
        <v>46200</v>
      </c>
      <c r="W497" s="979">
        <v>4000</v>
      </c>
      <c r="X497" s="979">
        <v>7800</v>
      </c>
      <c r="Y497" s="979">
        <f>5100+16000</f>
        <v>21100</v>
      </c>
      <c r="Z497" s="979"/>
      <c r="AA497" s="979">
        <v>1900</v>
      </c>
      <c r="AB497" s="979">
        <v>2500</v>
      </c>
      <c r="AC497" s="979">
        <v>4100</v>
      </c>
      <c r="AD497" s="979"/>
      <c r="AE497" s="1109">
        <f t="shared" si="113"/>
        <v>131300</v>
      </c>
      <c r="AF497" s="1113">
        <v>4200</v>
      </c>
      <c r="AG497" s="981">
        <v>6900</v>
      </c>
      <c r="AH497" s="981">
        <v>9900</v>
      </c>
      <c r="AI497" s="1114">
        <f t="shared" si="114"/>
        <v>21000</v>
      </c>
      <c r="AJ497" s="1110">
        <f t="shared" si="115"/>
        <v>159200</v>
      </c>
      <c r="AK497" s="982">
        <f>'09월 에너지'!S497</f>
        <v>146.80000000000001</v>
      </c>
      <c r="AL497" s="983">
        <f t="shared" si="116"/>
        <v>0.92211055276381915</v>
      </c>
    </row>
    <row r="498" spans="1:38" ht="16.5" customHeight="1">
      <c r="A498" s="999">
        <f>'09월 에너지'!A498</f>
        <v>46284</v>
      </c>
      <c r="B498" s="1002">
        <f>'09월 조업일지'!B496</f>
        <v>46284</v>
      </c>
      <c r="C498" s="1003" t="str">
        <f>'09월 에너지'!C498</f>
        <v>A</v>
      </c>
      <c r="D498" s="1004" t="str">
        <f>'09월 에너지'!D498</f>
        <v>A</v>
      </c>
      <c r="E498" s="1000">
        <f>'09월 에너지'!E498</f>
        <v>85698</v>
      </c>
      <c r="F498" s="1094" t="str">
        <f>'09월 에너지'!F498</f>
        <v>SS540</v>
      </c>
      <c r="G498" s="980">
        <v>0</v>
      </c>
      <c r="H498" s="978">
        <v>0</v>
      </c>
      <c r="I498" s="978">
        <v>8600</v>
      </c>
      <c r="J498" s="978">
        <v>0</v>
      </c>
      <c r="K498" s="978">
        <v>0</v>
      </c>
      <c r="L498" s="978">
        <v>0</v>
      </c>
      <c r="M498" s="978">
        <v>0</v>
      </c>
      <c r="N498" s="978">
        <v>0</v>
      </c>
      <c r="O498" s="1106">
        <f t="shared" si="112"/>
        <v>8600</v>
      </c>
      <c r="P498" s="1108">
        <f>2200+7200+9600</f>
        <v>19000</v>
      </c>
      <c r="Q498" s="979">
        <f>8000+6300</f>
        <v>14300</v>
      </c>
      <c r="R498" s="979">
        <v>4500</v>
      </c>
      <c r="S498" s="979">
        <v>0</v>
      </c>
      <c r="T498" s="979">
        <v>0</v>
      </c>
      <c r="U498" s="979">
        <f>9700+3500</f>
        <v>13200</v>
      </c>
      <c r="V498" s="979">
        <f>10300+8200+7600+3100+4500+7500</f>
        <v>41200</v>
      </c>
      <c r="W498" s="979">
        <v>3300</v>
      </c>
      <c r="X498" s="979">
        <v>8000</v>
      </c>
      <c r="Y498" s="979">
        <f>4800+7800+4300</f>
        <v>16900</v>
      </c>
      <c r="Z498" s="979">
        <v>0</v>
      </c>
      <c r="AA498" s="979">
        <v>2300</v>
      </c>
      <c r="AB498" s="979">
        <v>3100</v>
      </c>
      <c r="AC498" s="979">
        <v>3200</v>
      </c>
      <c r="AD498" s="979">
        <v>0</v>
      </c>
      <c r="AE498" s="1109">
        <f t="shared" si="113"/>
        <v>129000</v>
      </c>
      <c r="AF498" s="1113">
        <v>4100</v>
      </c>
      <c r="AG498" s="981">
        <v>11200</v>
      </c>
      <c r="AH498" s="981">
        <v>5600</v>
      </c>
      <c r="AI498" s="1114">
        <f t="shared" si="114"/>
        <v>20900</v>
      </c>
      <c r="AJ498" s="1110">
        <f t="shared" si="115"/>
        <v>158500</v>
      </c>
      <c r="AK498" s="982">
        <f>'09월 에너지'!S498</f>
        <v>142.5</v>
      </c>
      <c r="AL498" s="983">
        <f t="shared" si="116"/>
        <v>0.89905362776025233</v>
      </c>
    </row>
    <row r="499" spans="1:38" ht="16.5" customHeight="1">
      <c r="A499" s="999">
        <f>'09월 에너지'!A499</f>
        <v>46284</v>
      </c>
      <c r="B499" s="1002">
        <f>'09월 조업일지'!B497</f>
        <v>46284</v>
      </c>
      <c r="C499" s="1003" t="str">
        <f>'09월 에너지'!C499</f>
        <v>A</v>
      </c>
      <c r="D499" s="1004" t="str">
        <f>'09월 에너지'!D499</f>
        <v>B</v>
      </c>
      <c r="E499" s="1000">
        <f>'09월 에너지'!E499</f>
        <v>85699</v>
      </c>
      <c r="F499" s="1094" t="str">
        <f>'09월 에너지'!F499</f>
        <v>SS540</v>
      </c>
      <c r="G499" s="980">
        <v>0</v>
      </c>
      <c r="H499" s="978">
        <v>0</v>
      </c>
      <c r="I499" s="978">
        <v>3500</v>
      </c>
      <c r="J499" s="978">
        <v>0</v>
      </c>
      <c r="K499" s="978">
        <v>0</v>
      </c>
      <c r="L499" s="978">
        <v>0</v>
      </c>
      <c r="M499" s="978">
        <v>0</v>
      </c>
      <c r="N499" s="978">
        <v>0</v>
      </c>
      <c r="O499" s="1106">
        <f t="shared" si="112"/>
        <v>3500</v>
      </c>
      <c r="P499" s="1108">
        <f>4800+6300+1500</f>
        <v>12600</v>
      </c>
      <c r="Q499" s="979">
        <f>9300+6100</f>
        <v>15400</v>
      </c>
      <c r="R499" s="979">
        <v>5700</v>
      </c>
      <c r="S499" s="979">
        <v>0</v>
      </c>
      <c r="T499" s="979">
        <v>0</v>
      </c>
      <c r="U499" s="979">
        <f>11900+5000</f>
        <v>16900</v>
      </c>
      <c r="V499" s="979">
        <f>8500+6600+7100+11000+6400+8400</f>
        <v>48000</v>
      </c>
      <c r="W499" s="979">
        <v>2000</v>
      </c>
      <c r="X499" s="979">
        <v>9600</v>
      </c>
      <c r="Y499" s="979">
        <f>3800+12200+500</f>
        <v>16500</v>
      </c>
      <c r="Z499" s="979">
        <v>0</v>
      </c>
      <c r="AA499" s="979">
        <v>2600</v>
      </c>
      <c r="AB499" s="979">
        <v>700</v>
      </c>
      <c r="AC499" s="979">
        <v>2700</v>
      </c>
      <c r="AD499" s="979">
        <v>0</v>
      </c>
      <c r="AE499" s="1109">
        <f t="shared" si="113"/>
        <v>132700</v>
      </c>
      <c r="AF499" s="1113">
        <v>4900</v>
      </c>
      <c r="AG499" s="981">
        <v>11700</v>
      </c>
      <c r="AH499" s="981">
        <v>5700</v>
      </c>
      <c r="AI499" s="1114">
        <f t="shared" si="114"/>
        <v>22300</v>
      </c>
      <c r="AJ499" s="1110">
        <f t="shared" si="115"/>
        <v>158500</v>
      </c>
      <c r="AK499" s="982">
        <f>'09월 에너지'!S499</f>
        <v>145.9</v>
      </c>
      <c r="AL499" s="983">
        <f t="shared" si="116"/>
        <v>0.92050473186119874</v>
      </c>
    </row>
    <row r="500" spans="1:38" ht="16.5" customHeight="1">
      <c r="A500" s="999">
        <f>'09월 에너지'!A500</f>
        <v>46284</v>
      </c>
      <c r="B500" s="1002">
        <f>'09월 조업일지'!B498</f>
        <v>46284</v>
      </c>
      <c r="C500" s="1003" t="str">
        <f>'09월 에너지'!C500</f>
        <v>A</v>
      </c>
      <c r="D500" s="1004" t="str">
        <f>'09월 에너지'!D500</f>
        <v>A</v>
      </c>
      <c r="E500" s="1000">
        <f>'09월 에너지'!E500</f>
        <v>85700</v>
      </c>
      <c r="F500" s="1094" t="str">
        <f>'09월 에너지'!F500</f>
        <v>SS540</v>
      </c>
      <c r="G500" s="980">
        <v>0</v>
      </c>
      <c r="H500" s="978">
        <v>0</v>
      </c>
      <c r="I500" s="978">
        <v>6000</v>
      </c>
      <c r="J500" s="978">
        <v>0</v>
      </c>
      <c r="K500" s="978">
        <v>0</v>
      </c>
      <c r="L500" s="978">
        <v>0</v>
      </c>
      <c r="M500" s="978">
        <v>0</v>
      </c>
      <c r="N500" s="978">
        <v>0</v>
      </c>
      <c r="O500" s="1106">
        <f t="shared" si="112"/>
        <v>6000</v>
      </c>
      <c r="P500" s="1108">
        <f>4300+7400+10000</f>
        <v>21700</v>
      </c>
      <c r="Q500" s="979">
        <f>12900+1900</f>
        <v>14800</v>
      </c>
      <c r="R500" s="979">
        <v>5300</v>
      </c>
      <c r="S500" s="979">
        <v>0</v>
      </c>
      <c r="T500" s="979">
        <v>0</v>
      </c>
      <c r="U500" s="979">
        <f>8300+4100</f>
        <v>12400</v>
      </c>
      <c r="V500" s="979">
        <f>3200+12600+7400+8900+4100+7400</f>
        <v>43600</v>
      </c>
      <c r="W500" s="979">
        <v>4100</v>
      </c>
      <c r="X500" s="979">
        <v>7500</v>
      </c>
      <c r="Y500" s="979">
        <f>3400+11000+2000</f>
        <v>16400</v>
      </c>
      <c r="Z500" s="979">
        <v>0</v>
      </c>
      <c r="AA500" s="979">
        <v>600</v>
      </c>
      <c r="AB500" s="979">
        <v>6100</v>
      </c>
      <c r="AC500" s="979">
        <v>4100</v>
      </c>
      <c r="AD500" s="979">
        <v>0</v>
      </c>
      <c r="AE500" s="1109">
        <f t="shared" si="113"/>
        <v>136600</v>
      </c>
      <c r="AF500" s="1113">
        <v>4200</v>
      </c>
      <c r="AG500" s="981">
        <v>8000</v>
      </c>
      <c r="AH500" s="981">
        <v>4600</v>
      </c>
      <c r="AI500" s="1114">
        <f t="shared" si="114"/>
        <v>16800</v>
      </c>
      <c r="AJ500" s="1110">
        <f t="shared" si="115"/>
        <v>159400</v>
      </c>
      <c r="AK500" s="982">
        <f>'09월 에너지'!S500</f>
        <v>144.19999999999999</v>
      </c>
      <c r="AL500" s="983">
        <f t="shared" si="116"/>
        <v>0.90464240903387705</v>
      </c>
    </row>
    <row r="501" spans="1:38" ht="16.5" customHeight="1">
      <c r="A501" s="999">
        <f>'09월 에너지'!A501</f>
        <v>46284</v>
      </c>
      <c r="B501" s="1002">
        <f>'09월 조업일지'!B499</f>
        <v>46284</v>
      </c>
      <c r="C501" s="1003" t="str">
        <f>'09월 에너지'!C501</f>
        <v>A</v>
      </c>
      <c r="D501" s="1004" t="str">
        <f>'09월 에너지'!D501</f>
        <v>B</v>
      </c>
      <c r="E501" s="1000">
        <f>'09월 에너지'!E501</f>
        <v>85701</v>
      </c>
      <c r="F501" s="1170" t="str">
        <f>'09월 에너지'!F501</f>
        <v>AS500N(QTB,C10)</v>
      </c>
      <c r="G501" s="980">
        <v>0</v>
      </c>
      <c r="H501" s="978">
        <v>0</v>
      </c>
      <c r="I501" s="978">
        <v>4800</v>
      </c>
      <c r="J501" s="978">
        <v>0</v>
      </c>
      <c r="K501" s="978">
        <v>0</v>
      </c>
      <c r="L501" s="978">
        <v>0</v>
      </c>
      <c r="M501" s="978">
        <v>0</v>
      </c>
      <c r="N501" s="978">
        <v>0</v>
      </c>
      <c r="O501" s="1106">
        <f t="shared" si="112"/>
        <v>4800</v>
      </c>
      <c r="P501" s="1108">
        <f>4800+7800+1800</f>
        <v>14400</v>
      </c>
      <c r="Q501" s="979">
        <f>10400+4000</f>
        <v>14400</v>
      </c>
      <c r="R501" s="979">
        <v>10100</v>
      </c>
      <c r="S501" s="979">
        <v>0</v>
      </c>
      <c r="T501" s="979">
        <v>0</v>
      </c>
      <c r="U501" s="979">
        <f>11700+6200</f>
        <v>17900</v>
      </c>
      <c r="V501" s="979">
        <f>4800+7500+5800+3500+9300+8300</f>
        <v>39200</v>
      </c>
      <c r="W501" s="979">
        <v>5800</v>
      </c>
      <c r="X501" s="979">
        <v>7500</v>
      </c>
      <c r="Y501" s="979">
        <f>2500+12500+6600</f>
        <v>21600</v>
      </c>
      <c r="Z501" s="979">
        <v>0</v>
      </c>
      <c r="AA501" s="979">
        <v>1800</v>
      </c>
      <c r="AB501" s="979">
        <v>2600</v>
      </c>
      <c r="AC501" s="979">
        <v>2500</v>
      </c>
      <c r="AD501" s="979">
        <v>0</v>
      </c>
      <c r="AE501" s="1109">
        <f t="shared" si="113"/>
        <v>137800</v>
      </c>
      <c r="AF501" s="1113">
        <v>3700</v>
      </c>
      <c r="AG501" s="981">
        <v>10300</v>
      </c>
      <c r="AH501" s="981">
        <v>1400</v>
      </c>
      <c r="AI501" s="1114">
        <f t="shared" si="114"/>
        <v>15400</v>
      </c>
      <c r="AJ501" s="1110">
        <f t="shared" si="115"/>
        <v>158000</v>
      </c>
      <c r="AK501" s="982">
        <f>'09월 에너지'!S501</f>
        <v>147.69999999999999</v>
      </c>
      <c r="AL501" s="983">
        <f t="shared" si="116"/>
        <v>0.93481012658227847</v>
      </c>
    </row>
    <row r="502" spans="1:38" ht="16.5" customHeight="1">
      <c r="A502" s="999">
        <f>'09월 에너지'!A502</f>
        <v>46284</v>
      </c>
      <c r="B502" s="1002">
        <f>'09월 조업일지'!B500</f>
        <v>46284</v>
      </c>
      <c r="C502" s="1003" t="str">
        <f>'09월 에너지'!C502</f>
        <v>A</v>
      </c>
      <c r="D502" s="1004" t="str">
        <f>'09월 에너지'!D502</f>
        <v>A</v>
      </c>
      <c r="E502" s="1000">
        <f>'09월 에너지'!E502</f>
        <v>85702</v>
      </c>
      <c r="F502" s="1094" t="str">
        <f>'09월 에너지'!F502</f>
        <v>AS500N(QTB,C10)</v>
      </c>
      <c r="G502" s="980">
        <v>0</v>
      </c>
      <c r="H502" s="978">
        <v>0</v>
      </c>
      <c r="I502" s="978">
        <v>9600</v>
      </c>
      <c r="J502" s="978">
        <v>0</v>
      </c>
      <c r="K502" s="978">
        <v>0</v>
      </c>
      <c r="L502" s="978">
        <v>0</v>
      </c>
      <c r="M502" s="978">
        <v>0</v>
      </c>
      <c r="N502" s="978">
        <v>0</v>
      </c>
      <c r="O502" s="1106">
        <f t="shared" si="112"/>
        <v>9600</v>
      </c>
      <c r="P502" s="1108">
        <f>11900+8300+1800</f>
        <v>22000</v>
      </c>
      <c r="Q502" s="979">
        <f>15100+8300</f>
        <v>23400</v>
      </c>
      <c r="R502" s="979">
        <v>3800</v>
      </c>
      <c r="S502" s="979">
        <v>0</v>
      </c>
      <c r="T502" s="979">
        <v>0</v>
      </c>
      <c r="U502" s="979">
        <f>3400+1300</f>
        <v>4700</v>
      </c>
      <c r="V502" s="979">
        <f>8100+2400+7400+100+12600+7400</f>
        <v>38000</v>
      </c>
      <c r="W502" s="979">
        <v>4400</v>
      </c>
      <c r="X502" s="979">
        <v>7500</v>
      </c>
      <c r="Y502" s="979">
        <f>11600+7000+7200</f>
        <v>25800</v>
      </c>
      <c r="Z502" s="979">
        <v>0</v>
      </c>
      <c r="AA502" s="979">
        <v>3600</v>
      </c>
      <c r="AB502" s="979">
        <v>1300</v>
      </c>
      <c r="AC502" s="979">
        <v>3800</v>
      </c>
      <c r="AD502" s="979">
        <v>0</v>
      </c>
      <c r="AE502" s="1109">
        <f t="shared" si="113"/>
        <v>138300</v>
      </c>
      <c r="AF502" s="1113">
        <v>4700</v>
      </c>
      <c r="AG502" s="981">
        <v>3600</v>
      </c>
      <c r="AH502" s="981">
        <v>4200</v>
      </c>
      <c r="AI502" s="1114">
        <f t="shared" si="114"/>
        <v>12500</v>
      </c>
      <c r="AJ502" s="1110">
        <f t="shared" si="115"/>
        <v>160400</v>
      </c>
      <c r="AK502" s="982">
        <f>'09월 에너지'!S502</f>
        <v>142.9</v>
      </c>
      <c r="AL502" s="983">
        <f t="shared" si="116"/>
        <v>0.89089775561097262</v>
      </c>
    </row>
    <row r="503" spans="1:38" ht="16.5" customHeight="1">
      <c r="A503" s="999">
        <f>'09월 에너지'!A503</f>
        <v>46284</v>
      </c>
      <c r="B503" s="1002">
        <f>'09월 조업일지'!B501</f>
        <v>46284</v>
      </c>
      <c r="C503" s="1003" t="str">
        <f>'09월 에너지'!C503</f>
        <v>A</v>
      </c>
      <c r="D503" s="1004" t="str">
        <f>'09월 에너지'!D503</f>
        <v>B</v>
      </c>
      <c r="E503" s="1000">
        <f>'09월 에너지'!E503</f>
        <v>85703</v>
      </c>
      <c r="F503" s="1094" t="str">
        <f>'09월 에너지'!F503</f>
        <v>AS500N(QTB,C10)</v>
      </c>
      <c r="G503" s="980">
        <v>0</v>
      </c>
      <c r="H503" s="978">
        <v>0</v>
      </c>
      <c r="I503" s="978">
        <v>2900</v>
      </c>
      <c r="J503" s="978">
        <v>0</v>
      </c>
      <c r="K503" s="978">
        <v>0</v>
      </c>
      <c r="L503" s="978">
        <v>0</v>
      </c>
      <c r="M503" s="978">
        <v>0</v>
      </c>
      <c r="N503" s="978">
        <v>0</v>
      </c>
      <c r="O503" s="1106">
        <f t="shared" si="112"/>
        <v>2900</v>
      </c>
      <c r="P503" s="1108">
        <f>3700+1500+1600</f>
        <v>6800</v>
      </c>
      <c r="Q503" s="979">
        <f>11100+10000</f>
        <v>21100</v>
      </c>
      <c r="R503" s="979">
        <v>9900</v>
      </c>
      <c r="S503" s="979">
        <v>0</v>
      </c>
      <c r="T503" s="979">
        <v>0</v>
      </c>
      <c r="U503" s="979">
        <f>9700+6200</f>
        <v>15900</v>
      </c>
      <c r="V503" s="979">
        <f>900+18900+7200+9400+5000+5500</f>
        <v>46900</v>
      </c>
      <c r="W503" s="979">
        <v>5300</v>
      </c>
      <c r="X503" s="979">
        <v>6100</v>
      </c>
      <c r="Y503" s="979">
        <f>900+11000+200</f>
        <v>12100</v>
      </c>
      <c r="Z503" s="979">
        <v>0</v>
      </c>
      <c r="AA503" s="979">
        <v>1600</v>
      </c>
      <c r="AB503" s="979">
        <v>3300</v>
      </c>
      <c r="AC503" s="979">
        <v>2800</v>
      </c>
      <c r="AD503" s="979">
        <v>0</v>
      </c>
      <c r="AE503" s="1109">
        <f t="shared" si="113"/>
        <v>131800</v>
      </c>
      <c r="AF503" s="1113">
        <v>5600</v>
      </c>
      <c r="AG503" s="981">
        <v>7400</v>
      </c>
      <c r="AH503" s="981">
        <v>11100</v>
      </c>
      <c r="AI503" s="1114">
        <f t="shared" si="114"/>
        <v>24100</v>
      </c>
      <c r="AJ503" s="1110">
        <f t="shared" si="115"/>
        <v>158800</v>
      </c>
      <c r="AK503" s="982">
        <f>'09월 에너지'!S503</f>
        <v>143.9</v>
      </c>
      <c r="AL503" s="983">
        <f t="shared" si="116"/>
        <v>0.90617128463476071</v>
      </c>
    </row>
    <row r="504" spans="1:38" ht="16.5" customHeight="1">
      <c r="A504" s="999">
        <f>'09월 에너지'!A504</f>
        <v>46284</v>
      </c>
      <c r="B504" s="1002">
        <f>'09월 조업일지'!B502</f>
        <v>46284</v>
      </c>
      <c r="C504" s="1003" t="str">
        <f>'09월 에너지'!C504</f>
        <v>A</v>
      </c>
      <c r="D504" s="1004" t="str">
        <f>'09월 에너지'!D504</f>
        <v>A</v>
      </c>
      <c r="E504" s="1000">
        <f>'09월 에너지'!E504</f>
        <v>85704</v>
      </c>
      <c r="F504" s="1094" t="str">
        <f>'09월 에너지'!F504</f>
        <v>AS500N(QTB,C10)</v>
      </c>
      <c r="G504" s="980">
        <v>0</v>
      </c>
      <c r="H504" s="978">
        <v>0</v>
      </c>
      <c r="I504" s="978">
        <v>3000</v>
      </c>
      <c r="J504" s="978">
        <v>0</v>
      </c>
      <c r="K504" s="978">
        <v>0</v>
      </c>
      <c r="L504" s="978">
        <v>0</v>
      </c>
      <c r="M504" s="978">
        <v>0</v>
      </c>
      <c r="N504" s="978">
        <v>0</v>
      </c>
      <c r="O504" s="1106">
        <f t="shared" si="112"/>
        <v>3000</v>
      </c>
      <c r="P504" s="1108">
        <f>3800+3500+6400</f>
        <v>13700</v>
      </c>
      <c r="Q504" s="979">
        <f>5000+2100</f>
        <v>7100</v>
      </c>
      <c r="R504" s="979">
        <v>12200</v>
      </c>
      <c r="S504" s="979">
        <v>0</v>
      </c>
      <c r="T504" s="979">
        <v>0</v>
      </c>
      <c r="U504" s="979">
        <f>9000+5000</f>
        <v>14000</v>
      </c>
      <c r="V504" s="979">
        <f>3400+6200+6700+8500+2600+8600</f>
        <v>36000</v>
      </c>
      <c r="W504" s="979">
        <v>4500</v>
      </c>
      <c r="X504" s="979">
        <v>7600</v>
      </c>
      <c r="Y504" s="979">
        <f>10100+11800+8100</f>
        <v>30000</v>
      </c>
      <c r="Z504" s="979">
        <v>0</v>
      </c>
      <c r="AA504" s="979">
        <v>900</v>
      </c>
      <c r="AB504" s="979">
        <v>4000</v>
      </c>
      <c r="AC504" s="979">
        <v>3500</v>
      </c>
      <c r="AD504" s="979">
        <v>0</v>
      </c>
      <c r="AE504" s="1109">
        <f t="shared" si="113"/>
        <v>133500</v>
      </c>
      <c r="AF504" s="1113">
        <v>2400</v>
      </c>
      <c r="AG504" s="981">
        <v>7000</v>
      </c>
      <c r="AH504" s="981">
        <v>13200</v>
      </c>
      <c r="AI504" s="1114">
        <f t="shared" si="114"/>
        <v>22600</v>
      </c>
      <c r="AJ504" s="1110">
        <f t="shared" si="115"/>
        <v>159100</v>
      </c>
      <c r="AK504" s="982">
        <f>'09월 에너지'!S504</f>
        <v>144.19999999999999</v>
      </c>
      <c r="AL504" s="983">
        <f t="shared" si="116"/>
        <v>0.90634820867379007</v>
      </c>
    </row>
    <row r="505" spans="1:38" ht="16.5" customHeight="1">
      <c r="A505" s="999">
        <f>'09월 에너지'!A505</f>
        <v>46284</v>
      </c>
      <c r="B505" s="1002">
        <f>'09월 조업일지'!B503</f>
        <v>46284</v>
      </c>
      <c r="C505" s="1003" t="str">
        <f>'09월 에너지'!C505</f>
        <v>A</v>
      </c>
      <c r="D505" s="1004" t="str">
        <f>'09월 에너지'!D505</f>
        <v>B</v>
      </c>
      <c r="E505" s="1000">
        <f>'09월 에너지'!E505</f>
        <v>85705</v>
      </c>
      <c r="F505" s="1094" t="str">
        <f>'09월 에너지'!F505</f>
        <v>AS500N(QTB,C10)</v>
      </c>
      <c r="G505" s="980">
        <v>0</v>
      </c>
      <c r="H505" s="978">
        <v>0</v>
      </c>
      <c r="I505" s="978">
        <v>3900</v>
      </c>
      <c r="J505" s="978">
        <v>0</v>
      </c>
      <c r="K505" s="978">
        <v>0</v>
      </c>
      <c r="L505" s="978">
        <v>0</v>
      </c>
      <c r="M505" s="978">
        <v>0</v>
      </c>
      <c r="N505" s="978">
        <v>0</v>
      </c>
      <c r="O505" s="1106">
        <f t="shared" si="112"/>
        <v>3900</v>
      </c>
      <c r="P505" s="1108">
        <f>3100+11400+2000</f>
        <v>16500</v>
      </c>
      <c r="Q505" s="979">
        <f>7700+6100</f>
        <v>13800</v>
      </c>
      <c r="R505" s="979">
        <v>4800</v>
      </c>
      <c r="S505" s="979">
        <v>0</v>
      </c>
      <c r="T505" s="979">
        <v>0</v>
      </c>
      <c r="U505" s="979">
        <f>8600+8500</f>
        <v>17100</v>
      </c>
      <c r="V505" s="979">
        <f>2800+6400+6800+7700+3900+8000</f>
        <v>35600</v>
      </c>
      <c r="W505" s="979">
        <v>4500</v>
      </c>
      <c r="X505" s="979">
        <v>7900</v>
      </c>
      <c r="Y505" s="979">
        <f>2100+11700+3700</f>
        <v>17500</v>
      </c>
      <c r="Z505" s="979">
        <v>0</v>
      </c>
      <c r="AA505" s="979">
        <v>1800</v>
      </c>
      <c r="AB505" s="979">
        <v>16000</v>
      </c>
      <c r="AC505" s="979">
        <v>3000</v>
      </c>
      <c r="AD505" s="979">
        <v>0</v>
      </c>
      <c r="AE505" s="1109">
        <f t="shared" si="113"/>
        <v>138500</v>
      </c>
      <c r="AF505" s="1113">
        <v>3700</v>
      </c>
      <c r="AG505" s="981">
        <v>10100</v>
      </c>
      <c r="AH505" s="981">
        <v>2600</v>
      </c>
      <c r="AI505" s="1114">
        <f t="shared" si="114"/>
        <v>16400</v>
      </c>
      <c r="AJ505" s="1110">
        <f t="shared" si="115"/>
        <v>158800</v>
      </c>
      <c r="AK505" s="982">
        <f>'09월 에너지'!S505</f>
        <v>146.1</v>
      </c>
      <c r="AL505" s="983">
        <f t="shared" si="116"/>
        <v>0.92002518891687657</v>
      </c>
    </row>
    <row r="506" spans="1:38" ht="16.5" customHeight="1">
      <c r="A506" s="999">
        <f>'09월 에너지'!A506</f>
        <v>46284</v>
      </c>
      <c r="B506" s="1002">
        <f>'09월 조업일지'!B504</f>
        <v>46284</v>
      </c>
      <c r="C506" s="1003" t="str">
        <f>'09월 에너지'!C506</f>
        <v>A</v>
      </c>
      <c r="D506" s="1004" t="str">
        <f>'09월 에너지'!D506</f>
        <v>A</v>
      </c>
      <c r="E506" s="1000">
        <f>'09월 에너지'!E506</f>
        <v>85706</v>
      </c>
      <c r="F506" s="1094" t="str">
        <f>'09월 에너지'!F506</f>
        <v>AS500N(QTB,C10)</v>
      </c>
      <c r="G506" s="980">
        <v>0</v>
      </c>
      <c r="H506" s="978">
        <v>0</v>
      </c>
      <c r="I506" s="978">
        <v>3100</v>
      </c>
      <c r="J506" s="978">
        <v>0</v>
      </c>
      <c r="K506" s="978">
        <v>0</v>
      </c>
      <c r="L506" s="978">
        <v>0</v>
      </c>
      <c r="M506" s="978">
        <v>0</v>
      </c>
      <c r="N506" s="978">
        <v>0</v>
      </c>
      <c r="O506" s="1106">
        <f t="shared" si="112"/>
        <v>3100</v>
      </c>
      <c r="P506" s="1108">
        <f>8500+9600+11400</f>
        <v>29500</v>
      </c>
      <c r="Q506" s="979">
        <f>2900+1800</f>
        <v>4700</v>
      </c>
      <c r="R506" s="979">
        <v>3400</v>
      </c>
      <c r="S506" s="979">
        <v>0</v>
      </c>
      <c r="T506" s="979">
        <v>0</v>
      </c>
      <c r="U506" s="979">
        <f>8200+3800</f>
        <v>12000</v>
      </c>
      <c r="V506" s="979">
        <f>7100+1200+7700+6900+2600+6300</f>
        <v>31800</v>
      </c>
      <c r="W506" s="979">
        <v>2800</v>
      </c>
      <c r="X506" s="979">
        <v>7700</v>
      </c>
      <c r="Y506" s="979">
        <f>10400+13000+5600</f>
        <v>29000</v>
      </c>
      <c r="Z506" s="979">
        <v>0</v>
      </c>
      <c r="AA506" s="979">
        <v>2200</v>
      </c>
      <c r="AB506" s="979">
        <v>2900</v>
      </c>
      <c r="AC506" s="979">
        <v>3100</v>
      </c>
      <c r="AD506" s="979">
        <v>0</v>
      </c>
      <c r="AE506" s="1109">
        <f t="shared" si="113"/>
        <v>129100</v>
      </c>
      <c r="AF506" s="1113">
        <v>4400</v>
      </c>
      <c r="AG506" s="981">
        <v>6100</v>
      </c>
      <c r="AH506" s="981">
        <v>14900</v>
      </c>
      <c r="AI506" s="1114">
        <f t="shared" si="114"/>
        <v>25400</v>
      </c>
      <c r="AJ506" s="1110">
        <f t="shared" si="115"/>
        <v>157600</v>
      </c>
      <c r="AK506" s="982">
        <f>'09월 에너지'!S506</f>
        <v>142.69999999999999</v>
      </c>
      <c r="AL506" s="983">
        <f t="shared" si="116"/>
        <v>0.90545685279187815</v>
      </c>
    </row>
    <row r="507" spans="1:38" ht="16.5" customHeight="1">
      <c r="A507" s="999">
        <f>'09월 에너지'!A507</f>
        <v>46284</v>
      </c>
      <c r="B507" s="1002">
        <f>'09월 조업일지'!B505</f>
        <v>46284</v>
      </c>
      <c r="C507" s="1003" t="str">
        <f>'09월 에너지'!C507</f>
        <v>A</v>
      </c>
      <c r="D507" s="1004" t="str">
        <f>'09월 에너지'!D507</f>
        <v>B</v>
      </c>
      <c r="E507" s="1000">
        <f>'09월 에너지'!E507</f>
        <v>85707</v>
      </c>
      <c r="F507" s="1170" t="str">
        <f>'09월 에너지'!F507</f>
        <v>SS275[CS공장]</v>
      </c>
      <c r="G507" s="980">
        <v>0</v>
      </c>
      <c r="H507" s="978">
        <v>0</v>
      </c>
      <c r="I507" s="978">
        <v>7800</v>
      </c>
      <c r="J507" s="978"/>
      <c r="K507" s="978"/>
      <c r="L507" s="978"/>
      <c r="M507" s="978"/>
      <c r="N507" s="978"/>
      <c r="O507" s="1106">
        <f t="shared" si="112"/>
        <v>7800</v>
      </c>
      <c r="P507" s="1108">
        <f>7900+3300+12500</f>
        <v>23700</v>
      </c>
      <c r="Q507" s="979">
        <f>6400+11700</f>
        <v>18100</v>
      </c>
      <c r="R507" s="979">
        <v>6200</v>
      </c>
      <c r="S507" s="979"/>
      <c r="T507" s="979"/>
      <c r="U507" s="979">
        <v>15600</v>
      </c>
      <c r="V507" s="979">
        <f>2300+10300+8000+4400+200+7300</f>
        <v>32500</v>
      </c>
      <c r="W507" s="979">
        <v>1400</v>
      </c>
      <c r="X507" s="979">
        <v>8400</v>
      </c>
      <c r="Y507" s="979">
        <f>15100+2300+3900</f>
        <v>21300</v>
      </c>
      <c r="Z507" s="979"/>
      <c r="AA507" s="979">
        <v>2000</v>
      </c>
      <c r="AB507" s="979">
        <v>3200</v>
      </c>
      <c r="AC507" s="979">
        <v>2800</v>
      </c>
      <c r="AD507" s="979"/>
      <c r="AE507" s="1109">
        <f t="shared" si="113"/>
        <v>135200</v>
      </c>
      <c r="AF507" s="1113">
        <v>4100</v>
      </c>
      <c r="AG507" s="981">
        <v>10500</v>
      </c>
      <c r="AH507" s="981">
        <v>1500</v>
      </c>
      <c r="AI507" s="1114">
        <f t="shared" si="114"/>
        <v>16100</v>
      </c>
      <c r="AJ507" s="1110">
        <f t="shared" si="115"/>
        <v>159100</v>
      </c>
      <c r="AK507" s="982">
        <f>'09월 에너지'!S507</f>
        <v>144.80000000000001</v>
      </c>
      <c r="AL507" s="983">
        <f t="shared" si="116"/>
        <v>0.91011942174732874</v>
      </c>
    </row>
    <row r="508" spans="1:38" ht="16.5" customHeight="1">
      <c r="A508" s="999">
        <f>'09월 에너지'!A508</f>
        <v>46284</v>
      </c>
      <c r="B508" s="1002">
        <f>'09월 조업일지'!B506</f>
        <v>46284</v>
      </c>
      <c r="C508" s="1003" t="str">
        <f>'09월 에너지'!C508</f>
        <v>B</v>
      </c>
      <c r="D508" s="1004" t="str">
        <f>'09월 에너지'!D508</f>
        <v>A</v>
      </c>
      <c r="E508" s="1000">
        <f>'09월 에너지'!E508</f>
        <v>85708</v>
      </c>
      <c r="F508" s="1094" t="str">
        <f>'09월 에너지'!F508</f>
        <v>SS275[CS공장]</v>
      </c>
      <c r="G508" s="980"/>
      <c r="H508" s="978"/>
      <c r="I508" s="978">
        <v>9800</v>
      </c>
      <c r="J508" s="978"/>
      <c r="K508" s="978"/>
      <c r="L508" s="978"/>
      <c r="M508" s="978"/>
      <c r="N508" s="978"/>
      <c r="O508" s="1106">
        <f t="shared" si="112"/>
        <v>9800</v>
      </c>
      <c r="P508" s="1108">
        <f>5000+3500+4900+3100</f>
        <v>16500</v>
      </c>
      <c r="Q508" s="979">
        <f>6800+8100</f>
        <v>14900</v>
      </c>
      <c r="R508" s="979">
        <v>8900</v>
      </c>
      <c r="S508" s="979"/>
      <c r="T508" s="979"/>
      <c r="U508" s="979">
        <f>7200+7400</f>
        <v>14600</v>
      </c>
      <c r="V508" s="979">
        <f>5000+7500+9200+500+5200+7100</f>
        <v>34500</v>
      </c>
      <c r="W508" s="979">
        <v>3300</v>
      </c>
      <c r="X508" s="979">
        <v>5900</v>
      </c>
      <c r="Y508" s="979">
        <f>4200+13600+5500</f>
        <v>23300</v>
      </c>
      <c r="Z508" s="979"/>
      <c r="AA508" s="979">
        <v>1400</v>
      </c>
      <c r="AB508" s="979">
        <v>2000</v>
      </c>
      <c r="AC508" s="979">
        <v>4200</v>
      </c>
      <c r="AD508" s="979"/>
      <c r="AE508" s="1109">
        <f t="shared" si="113"/>
        <v>129500</v>
      </c>
      <c r="AF508" s="1113">
        <v>3000</v>
      </c>
      <c r="AG508" s="981">
        <v>10300</v>
      </c>
      <c r="AH508" s="981">
        <v>5400</v>
      </c>
      <c r="AI508" s="1114">
        <f t="shared" si="114"/>
        <v>18700</v>
      </c>
      <c r="AJ508" s="1110">
        <f t="shared" si="115"/>
        <v>158000</v>
      </c>
      <c r="AK508" s="982">
        <f>'09월 에너지'!S508</f>
        <v>146.30000000000001</v>
      </c>
      <c r="AL508" s="983">
        <f t="shared" si="116"/>
        <v>0.92594936708860764</v>
      </c>
    </row>
    <row r="509" spans="1:38" ht="16.5" customHeight="1">
      <c r="A509" s="999">
        <f>'09월 에너지'!A509</f>
        <v>46284</v>
      </c>
      <c r="B509" s="1002">
        <f>'09월 조업일지'!B507</f>
        <v>46284</v>
      </c>
      <c r="C509" s="1003" t="str">
        <f>'09월 에너지'!C509</f>
        <v>B</v>
      </c>
      <c r="D509" s="1004" t="str">
        <f>'09월 에너지'!D509</f>
        <v>B</v>
      </c>
      <c r="E509" s="1000">
        <f>'09월 에너지'!E509</f>
        <v>85709</v>
      </c>
      <c r="F509" s="1094" t="str">
        <f>'09월 에너지'!F509</f>
        <v>SS275[CS공장]</v>
      </c>
      <c r="G509" s="980"/>
      <c r="H509" s="978"/>
      <c r="I509" s="978">
        <v>2000</v>
      </c>
      <c r="J509" s="978"/>
      <c r="K509" s="978"/>
      <c r="L509" s="978"/>
      <c r="M509" s="978"/>
      <c r="N509" s="978"/>
      <c r="O509" s="1106">
        <f t="shared" si="112"/>
        <v>2000</v>
      </c>
      <c r="P509" s="1108">
        <f>4200+4900+3000</f>
        <v>12100</v>
      </c>
      <c r="Q509" s="979">
        <f>8100+9000</f>
        <v>17100</v>
      </c>
      <c r="R509" s="979">
        <v>3400</v>
      </c>
      <c r="S509" s="979"/>
      <c r="T509" s="979"/>
      <c r="U509" s="979">
        <f>8600+2300</f>
        <v>10900</v>
      </c>
      <c r="V509" s="979">
        <f>6700+13800+7900+5800+5500+7400-3000</f>
        <v>44100</v>
      </c>
      <c r="W509" s="979">
        <v>3700</v>
      </c>
      <c r="X509" s="979">
        <v>7200</v>
      </c>
      <c r="Y509" s="979">
        <f>4300+15400+7100-4400</f>
        <v>22400</v>
      </c>
      <c r="Z509" s="979"/>
      <c r="AA509" s="979">
        <v>3900</v>
      </c>
      <c r="AB509" s="979">
        <v>9700</v>
      </c>
      <c r="AC509" s="979">
        <v>1200</v>
      </c>
      <c r="AD509" s="979"/>
      <c r="AE509" s="1109">
        <f t="shared" si="113"/>
        <v>135700</v>
      </c>
      <c r="AF509" s="1113">
        <v>4700</v>
      </c>
      <c r="AG509" s="981">
        <v>11300</v>
      </c>
      <c r="AH509" s="981">
        <v>4400</v>
      </c>
      <c r="AI509" s="1114">
        <f t="shared" si="114"/>
        <v>20400</v>
      </c>
      <c r="AJ509" s="1110">
        <f t="shared" si="115"/>
        <v>158100</v>
      </c>
      <c r="AK509" s="982">
        <f>'09월 에너지'!S509</f>
        <v>146.69999999999999</v>
      </c>
      <c r="AL509" s="983">
        <f t="shared" si="116"/>
        <v>0.92789373814041742</v>
      </c>
    </row>
    <row r="510" spans="1:38" ht="16.5" customHeight="1">
      <c r="A510" s="999">
        <f>'09월 에너지'!A510</f>
        <v>46284</v>
      </c>
      <c r="B510" s="1002">
        <f>'09월 조업일지'!B508</f>
        <v>46284</v>
      </c>
      <c r="C510" s="1003" t="str">
        <f>'09월 에너지'!C510</f>
        <v>B</v>
      </c>
      <c r="D510" s="1004" t="str">
        <f>'09월 에너지'!D510</f>
        <v>A</v>
      </c>
      <c r="E510" s="1000">
        <f>'09월 에너지'!E510</f>
        <v>85710</v>
      </c>
      <c r="F510" s="1094" t="str">
        <f>'09월 에너지'!F510</f>
        <v>SS275[CS공장]</v>
      </c>
      <c r="G510" s="980"/>
      <c r="H510" s="978"/>
      <c r="I510" s="978">
        <v>13400</v>
      </c>
      <c r="J510" s="978"/>
      <c r="K510" s="978"/>
      <c r="L510" s="978"/>
      <c r="M510" s="978"/>
      <c r="N510" s="978"/>
      <c r="O510" s="1106">
        <f t="shared" si="112"/>
        <v>13400</v>
      </c>
      <c r="P510" s="1108">
        <f>2600+10800+9500</f>
        <v>22900</v>
      </c>
      <c r="Q510" s="979">
        <f>6700+9400</f>
        <v>16100</v>
      </c>
      <c r="R510" s="979">
        <v>13200</v>
      </c>
      <c r="S510" s="979"/>
      <c r="T510" s="979"/>
      <c r="U510" s="979">
        <f>8300+6100</f>
        <v>14400</v>
      </c>
      <c r="V510" s="979">
        <f>6400+14700+6200+1800+7800</f>
        <v>36900</v>
      </c>
      <c r="W510" s="979">
        <v>3800</v>
      </c>
      <c r="X510" s="979">
        <v>8300</v>
      </c>
      <c r="Y510" s="979">
        <f>11100+4800</f>
        <v>15900</v>
      </c>
      <c r="Z510" s="979"/>
      <c r="AA510" s="979">
        <v>1000</v>
      </c>
      <c r="AB510" s="979">
        <v>700</v>
      </c>
      <c r="AC510" s="979">
        <v>2300</v>
      </c>
      <c r="AD510" s="979"/>
      <c r="AE510" s="1109">
        <f t="shared" si="113"/>
        <v>135500</v>
      </c>
      <c r="AF510" s="1113">
        <v>4600</v>
      </c>
      <c r="AG510" s="981"/>
      <c r="AH510" s="981">
        <v>5400</v>
      </c>
      <c r="AI510" s="1114">
        <f t="shared" si="114"/>
        <v>10000</v>
      </c>
      <c r="AJ510" s="1110">
        <f t="shared" si="115"/>
        <v>158900</v>
      </c>
      <c r="AK510" s="982">
        <f>'09월 에너지'!S510</f>
        <v>141.6</v>
      </c>
      <c r="AL510" s="983">
        <f t="shared" si="116"/>
        <v>0.89112649465072369</v>
      </c>
    </row>
    <row r="511" spans="1:38" ht="16.5" customHeight="1">
      <c r="A511" s="999">
        <f>'09월 에너지'!A511</f>
        <v>46284</v>
      </c>
      <c r="B511" s="1002">
        <f>'09월 조업일지'!B509</f>
        <v>46284</v>
      </c>
      <c r="C511" s="1003" t="str">
        <f>'09월 에너지'!C511</f>
        <v>B</v>
      </c>
      <c r="D511" s="1004" t="str">
        <f>'09월 에너지'!D511</f>
        <v>B</v>
      </c>
      <c r="E511" s="1000">
        <f>'09월 에너지'!E511</f>
        <v>85711</v>
      </c>
      <c r="F511" s="1094" t="str">
        <f>'09월 에너지'!F511</f>
        <v>SS275[CS공장]</v>
      </c>
      <c r="G511" s="980"/>
      <c r="H511" s="978"/>
      <c r="I511" s="978">
        <v>2000</v>
      </c>
      <c r="J511" s="978"/>
      <c r="K511" s="978"/>
      <c r="L511" s="978"/>
      <c r="M511" s="978"/>
      <c r="N511" s="978"/>
      <c r="O511" s="1106">
        <f t="shared" si="112"/>
        <v>2000</v>
      </c>
      <c r="P511" s="1108">
        <f>2500+9700+3300</f>
        <v>15500</v>
      </c>
      <c r="Q511" s="979">
        <f>11900+5400</f>
        <v>17300</v>
      </c>
      <c r="R511" s="979">
        <v>2800</v>
      </c>
      <c r="S511" s="979"/>
      <c r="T511" s="979"/>
      <c r="U511" s="979">
        <f>4800+3000</f>
        <v>7800</v>
      </c>
      <c r="V511" s="979">
        <f>9400+6600+9800+7200+6400+11000</f>
        <v>50400</v>
      </c>
      <c r="W511" s="979">
        <v>1400</v>
      </c>
      <c r="X511" s="979">
        <v>7400</v>
      </c>
      <c r="Y511" s="979">
        <f>8500+17400+1900</f>
        <v>27800</v>
      </c>
      <c r="Z511" s="979"/>
      <c r="AA511" s="979">
        <v>2100</v>
      </c>
      <c r="AB511" s="979">
        <v>3900</v>
      </c>
      <c r="AC511" s="979">
        <v>4700</v>
      </c>
      <c r="AD511" s="979"/>
      <c r="AE511" s="1109">
        <f t="shared" si="113"/>
        <v>141100</v>
      </c>
      <c r="AF511" s="1113">
        <v>3900</v>
      </c>
      <c r="AG511" s="981">
        <v>6000</v>
      </c>
      <c r="AH511" s="981">
        <v>5900</v>
      </c>
      <c r="AI511" s="1114">
        <f t="shared" si="114"/>
        <v>15800</v>
      </c>
      <c r="AJ511" s="1110">
        <f t="shared" si="115"/>
        <v>158900</v>
      </c>
      <c r="AK511" s="982">
        <f>'09월 에너지'!S511</f>
        <v>146.6</v>
      </c>
      <c r="AL511" s="983">
        <f t="shared" si="116"/>
        <v>0.92259282567652612</v>
      </c>
    </row>
    <row r="512" spans="1:38" ht="16.5" customHeight="1">
      <c r="A512" s="999">
        <f>'09월 에너지'!A512</f>
        <v>46284</v>
      </c>
      <c r="B512" s="1002">
        <f>'09월 조업일지'!B510</f>
        <v>46284</v>
      </c>
      <c r="C512" s="1003" t="str">
        <f>'09월 에너지'!C512</f>
        <v>B</v>
      </c>
      <c r="D512" s="1004" t="str">
        <f>'09월 에너지'!D512</f>
        <v>A</v>
      </c>
      <c r="E512" s="1000">
        <f>'09월 에너지'!E512</f>
        <v>85712</v>
      </c>
      <c r="F512" s="1094" t="str">
        <f>'09월 에너지'!F512</f>
        <v>SS275[CS공장]</v>
      </c>
      <c r="G512" s="980"/>
      <c r="H512" s="978"/>
      <c r="I512" s="978">
        <v>10600</v>
      </c>
      <c r="J512" s="978"/>
      <c r="K512" s="978"/>
      <c r="L512" s="978"/>
      <c r="M512" s="978"/>
      <c r="N512" s="978"/>
      <c r="O512" s="1106">
        <f t="shared" si="112"/>
        <v>10600</v>
      </c>
      <c r="P512" s="1108">
        <f>4700+5000+10600</f>
        <v>20300</v>
      </c>
      <c r="Q512" s="979">
        <f>7300+9300</f>
        <v>16600</v>
      </c>
      <c r="R512" s="979">
        <v>8000</v>
      </c>
      <c r="S512" s="979"/>
      <c r="T512" s="979"/>
      <c r="U512" s="979">
        <v>8800</v>
      </c>
      <c r="V512" s="979">
        <f>9500+8400+4000+5200+7900</f>
        <v>35000</v>
      </c>
      <c r="W512" s="979">
        <v>1900</v>
      </c>
      <c r="X512" s="979">
        <v>7800</v>
      </c>
      <c r="Y512" s="979">
        <f>3300+13900+1700+5900</f>
        <v>24800</v>
      </c>
      <c r="Z512" s="979"/>
      <c r="AA512" s="979">
        <v>4200</v>
      </c>
      <c r="AB512" s="979">
        <v>1500</v>
      </c>
      <c r="AC512" s="979">
        <v>2800</v>
      </c>
      <c r="AD512" s="979"/>
      <c r="AE512" s="1109">
        <f t="shared" si="113"/>
        <v>131700</v>
      </c>
      <c r="AF512" s="1113">
        <v>4700</v>
      </c>
      <c r="AG512" s="981">
        <v>7600</v>
      </c>
      <c r="AH512" s="981">
        <v>3400</v>
      </c>
      <c r="AI512" s="1114">
        <f t="shared" si="114"/>
        <v>15700</v>
      </c>
      <c r="AJ512" s="1110">
        <f t="shared" si="115"/>
        <v>158000</v>
      </c>
      <c r="AK512" s="982">
        <f>'09월 에너지'!S512</f>
        <v>142</v>
      </c>
      <c r="AL512" s="983">
        <f t="shared" si="116"/>
        <v>0.89873417721518989</v>
      </c>
    </row>
    <row r="513" spans="1:38" ht="16.5" customHeight="1">
      <c r="A513" s="999">
        <f>'09월 에너지'!A513</f>
        <v>46284</v>
      </c>
      <c r="B513" s="1002">
        <f>'09월 조업일지'!B511</f>
        <v>46284</v>
      </c>
      <c r="C513" s="1003" t="str">
        <f>'09월 에너지'!C513</f>
        <v>B</v>
      </c>
      <c r="D513" s="1004" t="str">
        <f>'09월 에너지'!D513</f>
        <v>B</v>
      </c>
      <c r="E513" s="1000">
        <f>'09월 에너지'!E513</f>
        <v>85713</v>
      </c>
      <c r="F513" s="1094" t="str">
        <f>'09월 에너지'!F513</f>
        <v>SS275[CS공장]</v>
      </c>
      <c r="G513" s="980"/>
      <c r="H513" s="978"/>
      <c r="I513" s="978">
        <v>4100</v>
      </c>
      <c r="J513" s="978"/>
      <c r="K513" s="978"/>
      <c r="L513" s="978"/>
      <c r="M513" s="978"/>
      <c r="N513" s="978"/>
      <c r="O513" s="1106">
        <f t="shared" si="112"/>
        <v>4100</v>
      </c>
      <c r="P513" s="1108">
        <f>2500+3600+2500</f>
        <v>8600</v>
      </c>
      <c r="Q513" s="979">
        <f>5300+5700</f>
        <v>11000</v>
      </c>
      <c r="R513" s="979">
        <v>11800</v>
      </c>
      <c r="S513" s="979"/>
      <c r="T513" s="979"/>
      <c r="U513" s="979">
        <f>9400+2400</f>
        <v>11800</v>
      </c>
      <c r="V513" s="979">
        <f>2800+10400+6800+7600+9200+6600</f>
        <v>43400</v>
      </c>
      <c r="W513" s="979">
        <v>3000</v>
      </c>
      <c r="X513" s="979">
        <v>9200</v>
      </c>
      <c r="Y513" s="979">
        <f>2900+17100+4300</f>
        <v>24300</v>
      </c>
      <c r="Z513" s="979"/>
      <c r="AA513" s="979">
        <v>4300</v>
      </c>
      <c r="AB513" s="979">
        <v>3500</v>
      </c>
      <c r="AC513" s="979">
        <v>4100</v>
      </c>
      <c r="AD513" s="979"/>
      <c r="AE513" s="1109">
        <f t="shared" si="113"/>
        <v>135000</v>
      </c>
      <c r="AF513" s="1113">
        <v>3600</v>
      </c>
      <c r="AG513" s="981">
        <v>7800</v>
      </c>
      <c r="AH513" s="981">
        <v>7600</v>
      </c>
      <c r="AI513" s="1114">
        <f t="shared" si="114"/>
        <v>19000</v>
      </c>
      <c r="AJ513" s="1110">
        <f t="shared" si="115"/>
        <v>158100</v>
      </c>
      <c r="AK513" s="982">
        <f>'09월 에너지'!S513</f>
        <v>145.6</v>
      </c>
      <c r="AL513" s="983">
        <f t="shared" si="116"/>
        <v>0.92093611638203665</v>
      </c>
    </row>
    <row r="514" spans="1:38" ht="16.5" customHeight="1">
      <c r="A514" s="999">
        <f>'09월 에너지'!A514</f>
        <v>46284</v>
      </c>
      <c r="B514" s="1002">
        <f>'09월 조업일지'!B512</f>
        <v>46284</v>
      </c>
      <c r="C514" s="1003" t="str">
        <f>'09월 에너지'!C514</f>
        <v>B</v>
      </c>
      <c r="D514" s="1004" t="str">
        <f>'09월 에너지'!D514</f>
        <v>A</v>
      </c>
      <c r="E514" s="1000">
        <f>'09월 에너지'!E514</f>
        <v>85714</v>
      </c>
      <c r="F514" s="1094" t="str">
        <f>'09월 에너지'!F514</f>
        <v>SS275[CS공장]</v>
      </c>
      <c r="G514" s="980"/>
      <c r="H514" s="978"/>
      <c r="I514" s="978">
        <v>2600</v>
      </c>
      <c r="J514" s="978"/>
      <c r="K514" s="978"/>
      <c r="L514" s="978"/>
      <c r="M514" s="978"/>
      <c r="N514" s="978"/>
      <c r="O514" s="1106">
        <f t="shared" si="112"/>
        <v>2600</v>
      </c>
      <c r="P514" s="1108">
        <f>4700+8400+4900</f>
        <v>18000</v>
      </c>
      <c r="Q514" s="979">
        <f>10000+17700</f>
        <v>27700</v>
      </c>
      <c r="R514" s="979">
        <v>6300</v>
      </c>
      <c r="S514" s="979"/>
      <c r="T514" s="979"/>
      <c r="U514" s="979">
        <v>8600</v>
      </c>
      <c r="V514" s="979">
        <f>10000+13400+9100+9200+7200</f>
        <v>48900</v>
      </c>
      <c r="W514" s="979">
        <v>2900</v>
      </c>
      <c r="X514" s="979">
        <v>6400</v>
      </c>
      <c r="Y514" s="979">
        <f>2700+10300</f>
        <v>13000</v>
      </c>
      <c r="Z514" s="979"/>
      <c r="AA514" s="979">
        <v>4700</v>
      </c>
      <c r="AB514" s="979">
        <v>500</v>
      </c>
      <c r="AC514" s="979">
        <v>2600</v>
      </c>
      <c r="AD514" s="979"/>
      <c r="AE514" s="1109">
        <f t="shared" si="113"/>
        <v>139600</v>
      </c>
      <c r="AF514" s="1113">
        <v>5400</v>
      </c>
      <c r="AG514" s="981">
        <v>7500</v>
      </c>
      <c r="AH514" s="981">
        <v>4100</v>
      </c>
      <c r="AI514" s="1114">
        <f t="shared" si="114"/>
        <v>17000</v>
      </c>
      <c r="AJ514" s="1110">
        <f t="shared" si="115"/>
        <v>159200</v>
      </c>
      <c r="AK514" s="982">
        <f>'09월 에너지'!S514</f>
        <v>141.30000000000001</v>
      </c>
      <c r="AL514" s="983">
        <f t="shared" si="116"/>
        <v>0.88756281407035176</v>
      </c>
    </row>
    <row r="515" spans="1:38" ht="16.5" customHeight="1">
      <c r="A515" s="999">
        <f>'09월 에너지'!A515</f>
        <v>46284</v>
      </c>
      <c r="B515" s="1002">
        <f>'09월 조업일지'!B513</f>
        <v>46284</v>
      </c>
      <c r="C515" s="1003" t="str">
        <f>'09월 에너지'!C515</f>
        <v>B</v>
      </c>
      <c r="D515" s="1004" t="str">
        <f>'09월 에너지'!D515</f>
        <v>B</v>
      </c>
      <c r="E515" s="1000">
        <f>'09월 에너지'!E515</f>
        <v>85715</v>
      </c>
      <c r="F515" s="1094" t="str">
        <f>'09월 에너지'!F515</f>
        <v>SS275[CS공장]</v>
      </c>
      <c r="G515" s="980"/>
      <c r="H515" s="978"/>
      <c r="I515" s="978">
        <v>7700</v>
      </c>
      <c r="J515" s="978"/>
      <c r="K515" s="978"/>
      <c r="L515" s="978"/>
      <c r="M515" s="978"/>
      <c r="N515" s="978"/>
      <c r="O515" s="1106">
        <f t="shared" si="112"/>
        <v>7700</v>
      </c>
      <c r="P515" s="1108">
        <f>5200+5200+3700</f>
        <v>14100</v>
      </c>
      <c r="Q515" s="979">
        <f>5200+4300</f>
        <v>9500</v>
      </c>
      <c r="R515" s="979">
        <v>8200</v>
      </c>
      <c r="S515" s="979"/>
      <c r="T515" s="979"/>
      <c r="U515" s="979">
        <f>4400+2300</f>
        <v>6700</v>
      </c>
      <c r="V515" s="979">
        <f>1900+2500+7100+5600+8900+9200</f>
        <v>35200</v>
      </c>
      <c r="W515" s="979">
        <v>3000</v>
      </c>
      <c r="X515" s="979">
        <v>8500</v>
      </c>
      <c r="Y515" s="979">
        <f>8700+17100+6600</f>
        <v>32400</v>
      </c>
      <c r="Z515" s="979"/>
      <c r="AA515" s="979">
        <v>1900</v>
      </c>
      <c r="AB515" s="979">
        <v>6300</v>
      </c>
      <c r="AC515" s="979">
        <v>2300</v>
      </c>
      <c r="AD515" s="979"/>
      <c r="AE515" s="1109">
        <f t="shared" si="113"/>
        <v>128100</v>
      </c>
      <c r="AF515" s="1113">
        <v>3600</v>
      </c>
      <c r="AG515" s="981">
        <v>9200</v>
      </c>
      <c r="AH515" s="981">
        <v>9900</v>
      </c>
      <c r="AI515" s="1114">
        <f t="shared" si="114"/>
        <v>22700</v>
      </c>
      <c r="AJ515" s="1110">
        <f t="shared" si="115"/>
        <v>158500</v>
      </c>
      <c r="AK515" s="982">
        <f>'09월 에너지'!S515</f>
        <v>146.69999999999999</v>
      </c>
      <c r="AL515" s="983">
        <f t="shared" si="116"/>
        <v>0.92555205047318612</v>
      </c>
    </row>
    <row r="516" spans="1:38" ht="16.5" customHeight="1">
      <c r="A516" s="999">
        <f>'09월 에너지'!A516</f>
        <v>46284</v>
      </c>
      <c r="B516" s="1002">
        <f>'09월 조업일지'!B514</f>
        <v>46284</v>
      </c>
      <c r="C516" s="1003" t="str">
        <f>'09월 에너지'!C516</f>
        <v>B</v>
      </c>
      <c r="D516" s="1004" t="str">
        <f>'09월 에너지'!D516</f>
        <v>A</v>
      </c>
      <c r="E516" s="1000">
        <f>'09월 에너지'!E516</f>
        <v>85716</v>
      </c>
      <c r="F516" s="1094" t="str">
        <f>'09월 에너지'!F516</f>
        <v>SS275[CS공장]</v>
      </c>
      <c r="G516" s="980"/>
      <c r="H516" s="978"/>
      <c r="I516" s="978">
        <v>3700</v>
      </c>
      <c r="J516" s="978"/>
      <c r="K516" s="978"/>
      <c r="L516" s="978"/>
      <c r="M516" s="978"/>
      <c r="N516" s="978"/>
      <c r="O516" s="1106">
        <f t="shared" si="112"/>
        <v>3700</v>
      </c>
      <c r="P516" s="1108">
        <f>9300+4900+5000</f>
        <v>19200</v>
      </c>
      <c r="Q516" s="979">
        <f>5700+15100</f>
        <v>20800</v>
      </c>
      <c r="R516" s="979"/>
      <c r="S516" s="979"/>
      <c r="T516" s="979"/>
      <c r="U516" s="979">
        <f>12300+11800</f>
        <v>24100</v>
      </c>
      <c r="V516" s="979">
        <f>100+14600+7500+7100+100</f>
        <v>29400</v>
      </c>
      <c r="W516" s="979">
        <v>1600</v>
      </c>
      <c r="X516" s="979">
        <v>9600</v>
      </c>
      <c r="Y516" s="979">
        <f>3200+20400</f>
        <v>23600</v>
      </c>
      <c r="Z516" s="979"/>
      <c r="AA516" s="979">
        <v>2300</v>
      </c>
      <c r="AB516" s="979">
        <v>800</v>
      </c>
      <c r="AC516" s="979">
        <v>2100</v>
      </c>
      <c r="AD516" s="979"/>
      <c r="AE516" s="1109">
        <f t="shared" si="113"/>
        <v>133500</v>
      </c>
      <c r="AF516" s="1113">
        <v>4800</v>
      </c>
      <c r="AG516" s="981">
        <v>10900</v>
      </c>
      <c r="AH516" s="981">
        <v>5300</v>
      </c>
      <c r="AI516" s="1114">
        <f t="shared" si="114"/>
        <v>21000</v>
      </c>
      <c r="AJ516" s="1110">
        <f t="shared" si="115"/>
        <v>158200</v>
      </c>
      <c r="AK516" s="982">
        <f>'09월 에너지'!S516</f>
        <v>145.1</v>
      </c>
      <c r="AL516" s="983">
        <f t="shared" si="116"/>
        <v>0.9171934260429836</v>
      </c>
    </row>
    <row r="517" spans="1:38" ht="16.5" customHeight="1">
      <c r="A517" s="999">
        <f>'09월 에너지'!A517</f>
        <v>46284</v>
      </c>
      <c r="B517" s="1002">
        <f>'09월 조업일지'!B515</f>
        <v>46284</v>
      </c>
      <c r="C517" s="1003" t="str">
        <f>'09월 에너지'!C517</f>
        <v>B</v>
      </c>
      <c r="D517" s="1004" t="str">
        <f>'09월 에너지'!D517</f>
        <v>B</v>
      </c>
      <c r="E517" s="1000">
        <f>'09월 에너지'!E517</f>
        <v>85717</v>
      </c>
      <c r="F517" s="1170" t="str">
        <f>'09월 에너지'!F517</f>
        <v>DKOIL</v>
      </c>
      <c r="G517" s="980"/>
      <c r="H517" s="978"/>
      <c r="I517" s="978">
        <v>2800</v>
      </c>
      <c r="J517" s="978"/>
      <c r="K517" s="978"/>
      <c r="L517" s="978"/>
      <c r="M517" s="978"/>
      <c r="N517" s="978"/>
      <c r="O517" s="1106">
        <f t="shared" si="112"/>
        <v>2800</v>
      </c>
      <c r="P517" s="1108">
        <f>4600+3700+4100</f>
        <v>12400</v>
      </c>
      <c r="Q517" s="979">
        <f>5900+5900</f>
        <v>11800</v>
      </c>
      <c r="R517" s="979">
        <v>12900</v>
      </c>
      <c r="S517" s="979"/>
      <c r="T517" s="979"/>
      <c r="U517" s="979">
        <f>5100+2400</f>
        <v>7500</v>
      </c>
      <c r="V517" s="979">
        <f>9000+7100+7200+5600+6900+5800</f>
        <v>41600</v>
      </c>
      <c r="W517" s="979">
        <v>3200</v>
      </c>
      <c r="X517" s="979">
        <v>8400</v>
      </c>
      <c r="Y517" s="979">
        <f>2400+14400+7200</f>
        <v>24000</v>
      </c>
      <c r="Z517" s="979"/>
      <c r="AA517" s="979">
        <v>2400</v>
      </c>
      <c r="AB517" s="979">
        <v>3300</v>
      </c>
      <c r="AC517" s="979">
        <v>3100</v>
      </c>
      <c r="AD517" s="979"/>
      <c r="AE517" s="1109">
        <f t="shared" si="113"/>
        <v>130600</v>
      </c>
      <c r="AF517" s="1113">
        <v>4000</v>
      </c>
      <c r="AG517" s="981">
        <v>10500</v>
      </c>
      <c r="AH517" s="981">
        <v>11100</v>
      </c>
      <c r="AI517" s="1114">
        <f t="shared" si="114"/>
        <v>25600</v>
      </c>
      <c r="AJ517" s="1110">
        <f t="shared" si="115"/>
        <v>159000</v>
      </c>
      <c r="AK517" s="982">
        <f>'09월 에너지'!S517</f>
        <v>143.5</v>
      </c>
      <c r="AL517" s="983">
        <f t="shared" si="116"/>
        <v>0.90251572327044027</v>
      </c>
    </row>
    <row r="518" spans="1:38" ht="16.5" customHeight="1">
      <c r="A518" s="999">
        <f>'09월 에너지'!A518</f>
        <v>46284</v>
      </c>
      <c r="B518" s="1002">
        <f>'09월 조업일지'!B516</f>
        <v>46284</v>
      </c>
      <c r="C518" s="1003" t="str">
        <f>'09월 에너지'!C518</f>
        <v>D</v>
      </c>
      <c r="D518" s="1004" t="str">
        <f>'09월 에너지'!D518</f>
        <v>A</v>
      </c>
      <c r="E518" s="1000">
        <f>'09월 에너지'!E518</f>
        <v>85718</v>
      </c>
      <c r="F518" s="1094" t="str">
        <f>'09월 에너지'!F518</f>
        <v>DKOIL</v>
      </c>
      <c r="G518" s="980"/>
      <c r="H518" s="978"/>
      <c r="I518" s="978">
        <v>6700</v>
      </c>
      <c r="J518" s="978"/>
      <c r="K518" s="978"/>
      <c r="L518" s="978"/>
      <c r="M518" s="978"/>
      <c r="N518" s="978"/>
      <c r="O518" s="1106">
        <f t="shared" si="112"/>
        <v>6700</v>
      </c>
      <c r="P518" s="1108">
        <f>5800+6900+4800</f>
        <v>17500</v>
      </c>
      <c r="Q518" s="979">
        <f>6100+8300</f>
        <v>14400</v>
      </c>
      <c r="R518" s="979">
        <v>1200</v>
      </c>
      <c r="S518" s="979"/>
      <c r="T518" s="979"/>
      <c r="U518" s="979">
        <f>12100+4300</f>
        <v>16400</v>
      </c>
      <c r="V518" s="979">
        <f>4300+3000+7900+5000+8400+7300</f>
        <v>35900</v>
      </c>
      <c r="W518" s="979">
        <v>1200</v>
      </c>
      <c r="X518" s="979">
        <v>8800</v>
      </c>
      <c r="Y518" s="979">
        <f>500+22900+100</f>
        <v>23500</v>
      </c>
      <c r="Z518" s="979"/>
      <c r="AA518" s="979">
        <v>1600</v>
      </c>
      <c r="AB518" s="979">
        <v>3000</v>
      </c>
      <c r="AC518" s="979">
        <v>3900</v>
      </c>
      <c r="AD518" s="979"/>
      <c r="AE518" s="1109">
        <f t="shared" si="113"/>
        <v>127400</v>
      </c>
      <c r="AF518" s="1113">
        <v>4000</v>
      </c>
      <c r="AG518" s="981">
        <v>9400</v>
      </c>
      <c r="AH518" s="981">
        <v>9900</v>
      </c>
      <c r="AI518" s="1114">
        <f t="shared" si="114"/>
        <v>23300</v>
      </c>
      <c r="AJ518" s="1110">
        <f t="shared" si="115"/>
        <v>157400</v>
      </c>
      <c r="AK518" s="982">
        <f>'09월 에너지'!S518</f>
        <v>141.19999999999999</v>
      </c>
      <c r="AL518" s="983">
        <f t="shared" si="116"/>
        <v>0.89707750952986021</v>
      </c>
    </row>
    <row r="519" spans="1:38" ht="16.5" customHeight="1">
      <c r="A519" s="999">
        <f>'09월 에너지'!A519</f>
        <v>46284</v>
      </c>
      <c r="B519" s="1002">
        <f>'09월 조업일지'!B517</f>
        <v>46284</v>
      </c>
      <c r="C519" s="1003" t="str">
        <f>'09월 에너지'!C519</f>
        <v>D</v>
      </c>
      <c r="D519" s="1004" t="str">
        <f>'09월 에너지'!D519</f>
        <v>B</v>
      </c>
      <c r="E519" s="1000">
        <f>'09월 에너지'!E519</f>
        <v>85719</v>
      </c>
      <c r="F519" s="1094" t="str">
        <f>'09월 에너지'!F519</f>
        <v>DKOIL</v>
      </c>
      <c r="G519" s="980"/>
      <c r="H519" s="978"/>
      <c r="I519" s="978">
        <v>2000</v>
      </c>
      <c r="J519" s="978"/>
      <c r="K519" s="978"/>
      <c r="L519" s="978"/>
      <c r="M519" s="978"/>
      <c r="N519" s="978"/>
      <c r="O519" s="1106">
        <f t="shared" si="112"/>
        <v>2000</v>
      </c>
      <c r="P519" s="1108">
        <f>8900+4000+3300</f>
        <v>16200</v>
      </c>
      <c r="Q519" s="979">
        <f>5600+3800</f>
        <v>9400</v>
      </c>
      <c r="R519" s="979">
        <v>9700</v>
      </c>
      <c r="S519" s="979"/>
      <c r="T519" s="979"/>
      <c r="U519" s="979">
        <f>9700+6200</f>
        <v>15900</v>
      </c>
      <c r="V519" s="979">
        <f>6700+4100+17400+6100+6000+7600</f>
        <v>47900</v>
      </c>
      <c r="W519" s="979">
        <v>0</v>
      </c>
      <c r="X519" s="979">
        <v>600</v>
      </c>
      <c r="Y519" s="979">
        <f>5400+11100+6500</f>
        <v>23000</v>
      </c>
      <c r="Z519" s="979"/>
      <c r="AA519" s="979">
        <v>2900</v>
      </c>
      <c r="AB519" s="979">
        <v>3800</v>
      </c>
      <c r="AC519" s="979">
        <v>1900</v>
      </c>
      <c r="AD519" s="979"/>
      <c r="AE519" s="1109">
        <f t="shared" si="113"/>
        <v>131300</v>
      </c>
      <c r="AF519" s="1113">
        <v>5200</v>
      </c>
      <c r="AG519" s="981">
        <v>10600</v>
      </c>
      <c r="AH519" s="981">
        <v>9800</v>
      </c>
      <c r="AI519" s="1114">
        <f t="shared" si="114"/>
        <v>25600</v>
      </c>
      <c r="AJ519" s="1110">
        <f t="shared" si="115"/>
        <v>158900</v>
      </c>
      <c r="AK519" s="982">
        <f>'09월 에너지'!S519</f>
        <v>146.69999999999999</v>
      </c>
      <c r="AL519" s="983">
        <f t="shared" si="116"/>
        <v>0.92322215229704219</v>
      </c>
    </row>
    <row r="520" spans="1:38" ht="16.5" customHeight="1">
      <c r="A520" s="999">
        <f>'09월 에너지'!A520</f>
        <v>46284</v>
      </c>
      <c r="B520" s="1002">
        <f>'09월 조업일지'!B518</f>
        <v>46284</v>
      </c>
      <c r="C520" s="1003" t="str">
        <f>'09월 에너지'!C520</f>
        <v>D</v>
      </c>
      <c r="D520" s="1004" t="str">
        <f>'09월 에너지'!D520</f>
        <v>A</v>
      </c>
      <c r="E520" s="1000">
        <f>'09월 에너지'!E520</f>
        <v>85720</v>
      </c>
      <c r="F520" s="1094" t="str">
        <f>'09월 에너지'!F520</f>
        <v>DKOIL</v>
      </c>
      <c r="G520" s="980"/>
      <c r="H520" s="978"/>
      <c r="I520" s="978">
        <v>5800</v>
      </c>
      <c r="J520" s="978"/>
      <c r="K520" s="978"/>
      <c r="L520" s="978"/>
      <c r="M520" s="978"/>
      <c r="N520" s="978"/>
      <c r="O520" s="1106">
        <f t="shared" si="112"/>
        <v>5800</v>
      </c>
      <c r="P520" s="1108">
        <f>2700+2000+4200</f>
        <v>8900</v>
      </c>
      <c r="Q520" s="979">
        <f>5300+6100</f>
        <v>11400</v>
      </c>
      <c r="R520" s="979">
        <v>9600</v>
      </c>
      <c r="S520" s="979"/>
      <c r="T520" s="979"/>
      <c r="U520" s="979">
        <f>8400+5800</f>
        <v>14200</v>
      </c>
      <c r="V520" s="979">
        <f>8800+8900+7700+5800+7300+6200</f>
        <v>44700</v>
      </c>
      <c r="W520" s="979">
        <v>2700</v>
      </c>
      <c r="X520" s="979">
        <v>7600</v>
      </c>
      <c r="Y520" s="979">
        <f>10100+15200+7300</f>
        <v>32600</v>
      </c>
      <c r="Z520" s="979"/>
      <c r="AA520" s="979">
        <v>1200</v>
      </c>
      <c r="AB520" s="979">
        <v>300</v>
      </c>
      <c r="AC520" s="979">
        <v>3400</v>
      </c>
      <c r="AD520" s="979"/>
      <c r="AE520" s="1109">
        <f t="shared" si="113"/>
        <v>136600</v>
      </c>
      <c r="AF520" s="1113">
        <v>4300</v>
      </c>
      <c r="AG520" s="981">
        <v>9200</v>
      </c>
      <c r="AH520" s="981">
        <v>8200</v>
      </c>
      <c r="AI520" s="1114">
        <f t="shared" si="114"/>
        <v>21700</v>
      </c>
      <c r="AJ520" s="1110">
        <f t="shared" si="115"/>
        <v>164100</v>
      </c>
      <c r="AK520" s="982">
        <f>'09월 에너지'!S520</f>
        <v>143.30000000000001</v>
      </c>
      <c r="AL520" s="983">
        <f t="shared" si="116"/>
        <v>0.87324801950030473</v>
      </c>
    </row>
    <row r="521" spans="1:38" ht="16.5" customHeight="1">
      <c r="A521" s="999">
        <f>'09월 에너지'!A521</f>
        <v>46284</v>
      </c>
      <c r="B521" s="1002">
        <f>'09월 조업일지'!B519</f>
        <v>46284</v>
      </c>
      <c r="C521" s="1003" t="str">
        <f>'09월 에너지'!C521</f>
        <v>D</v>
      </c>
      <c r="D521" s="1004" t="str">
        <f>'09월 에너지'!D521</f>
        <v>B</v>
      </c>
      <c r="E521" s="1000">
        <f>'09월 에너지'!E521</f>
        <v>85721</v>
      </c>
      <c r="F521" s="1094" t="str">
        <f>'09월 에너지'!F521</f>
        <v>DKOIL</v>
      </c>
      <c r="G521" s="980"/>
      <c r="H521" s="978"/>
      <c r="I521" s="978">
        <v>5300</v>
      </c>
      <c r="J521" s="978"/>
      <c r="K521" s="978"/>
      <c r="L521" s="978"/>
      <c r="M521" s="978"/>
      <c r="N521" s="978"/>
      <c r="O521" s="1106">
        <f t="shared" si="112"/>
        <v>5300</v>
      </c>
      <c r="P521" s="1108">
        <f>5800+4700+3700</f>
        <v>14200</v>
      </c>
      <c r="Q521" s="979">
        <f>6300+17500</f>
        <v>23800</v>
      </c>
      <c r="R521" s="979">
        <v>6700</v>
      </c>
      <c r="S521" s="979"/>
      <c r="T521" s="979"/>
      <c r="U521" s="979">
        <f>10500+5500</f>
        <v>16000</v>
      </c>
      <c r="V521" s="979">
        <f>5700+7200+5400+6600+10200</f>
        <v>35100</v>
      </c>
      <c r="W521" s="979">
        <v>2900</v>
      </c>
      <c r="X521" s="979">
        <v>8200</v>
      </c>
      <c r="Y521" s="979">
        <f>5300+13400+8000</f>
        <v>26700</v>
      </c>
      <c r="Z521" s="979"/>
      <c r="AA521" s="979">
        <v>1500</v>
      </c>
      <c r="AB521" s="979">
        <v>3500</v>
      </c>
      <c r="AC521" s="979">
        <v>0</v>
      </c>
      <c r="AD521" s="979"/>
      <c r="AE521" s="1109">
        <f t="shared" si="113"/>
        <v>138600</v>
      </c>
      <c r="AF521" s="1113">
        <v>0</v>
      </c>
      <c r="AG521" s="981">
        <v>10800</v>
      </c>
      <c r="AH521" s="981">
        <v>4000</v>
      </c>
      <c r="AI521" s="1114">
        <f t="shared" si="114"/>
        <v>14800</v>
      </c>
      <c r="AJ521" s="1110">
        <f t="shared" si="115"/>
        <v>158700</v>
      </c>
      <c r="AK521" s="982">
        <f>'09월 에너지'!S521</f>
        <v>144.6</v>
      </c>
      <c r="AL521" s="983">
        <f t="shared" si="116"/>
        <v>0.91115311909262764</v>
      </c>
    </row>
    <row r="522" spans="1:38" ht="16.5" customHeight="1">
      <c r="A522" s="999">
        <f>'09월 에너지'!A522</f>
        <v>46284</v>
      </c>
      <c r="B522" s="1002">
        <f>'09월 조업일지'!B520</f>
        <v>46284</v>
      </c>
      <c r="C522" s="1003" t="str">
        <f>'09월 에너지'!C522</f>
        <v>D</v>
      </c>
      <c r="D522" s="1004" t="str">
        <f>'09월 에너지'!D522</f>
        <v>A</v>
      </c>
      <c r="E522" s="1000">
        <f>'09월 에너지'!E522</f>
        <v>85722</v>
      </c>
      <c r="F522" s="1094" t="str">
        <f>'09월 에너지'!F522</f>
        <v>DKOIL</v>
      </c>
      <c r="G522" s="980"/>
      <c r="H522" s="978"/>
      <c r="I522" s="978">
        <v>1700</v>
      </c>
      <c r="J522" s="978"/>
      <c r="K522" s="978"/>
      <c r="L522" s="978"/>
      <c r="M522" s="978"/>
      <c r="N522" s="978"/>
      <c r="O522" s="1106">
        <f t="shared" si="112"/>
        <v>1700</v>
      </c>
      <c r="P522" s="1108">
        <f>2200+2800+9200</f>
        <v>14200</v>
      </c>
      <c r="Q522" s="979">
        <f>5000+6200</f>
        <v>11200</v>
      </c>
      <c r="R522" s="979">
        <v>12300</v>
      </c>
      <c r="S522" s="979"/>
      <c r="T522" s="979"/>
      <c r="U522" s="979">
        <f>9000+3800</f>
        <v>12800</v>
      </c>
      <c r="V522" s="979">
        <f>6500+8300+6900+5200+8000+7000</f>
        <v>41900</v>
      </c>
      <c r="W522" s="979">
        <v>3100</v>
      </c>
      <c r="X522" s="979">
        <v>7900</v>
      </c>
      <c r="Y522" s="979">
        <f>6200+12700+6400</f>
        <v>25300</v>
      </c>
      <c r="Z522" s="979"/>
      <c r="AA522" s="979">
        <v>1500</v>
      </c>
      <c r="AB522" s="979">
        <v>1200</v>
      </c>
      <c r="AC522" s="979">
        <v>2400</v>
      </c>
      <c r="AD522" s="979"/>
      <c r="AE522" s="1109">
        <f t="shared" si="113"/>
        <v>133800</v>
      </c>
      <c r="AF522" s="1113">
        <v>4800</v>
      </c>
      <c r="AG522" s="981">
        <v>6900</v>
      </c>
      <c r="AH522" s="981">
        <v>10900</v>
      </c>
      <c r="AI522" s="1114">
        <f t="shared" si="114"/>
        <v>22600</v>
      </c>
      <c r="AJ522" s="1110">
        <f t="shared" si="115"/>
        <v>158100</v>
      </c>
      <c r="AK522" s="982">
        <f>'09월 에너지'!S522</f>
        <v>142.5</v>
      </c>
      <c r="AL522" s="983">
        <f t="shared" si="116"/>
        <v>0.90132827324478182</v>
      </c>
    </row>
    <row r="523" spans="1:38" ht="16.5" customHeight="1">
      <c r="A523" s="999">
        <f>'09월 에너지'!A523</f>
        <v>46284</v>
      </c>
      <c r="B523" s="1002">
        <f>'09월 조업일지'!B521</f>
        <v>46284</v>
      </c>
      <c r="C523" s="1003" t="str">
        <f>'09월 에너지'!C523</f>
        <v>D</v>
      </c>
      <c r="D523" s="1004" t="str">
        <f>'09월 에너지'!D523</f>
        <v>B</v>
      </c>
      <c r="E523" s="1000">
        <f>'09월 에너지'!E523</f>
        <v>85723</v>
      </c>
      <c r="F523" s="1094" t="str">
        <f>'09월 에너지'!F523</f>
        <v>DKOIL</v>
      </c>
      <c r="G523" s="980"/>
      <c r="H523" s="978"/>
      <c r="I523" s="978">
        <v>4000</v>
      </c>
      <c r="J523" s="978"/>
      <c r="K523" s="978"/>
      <c r="L523" s="978"/>
      <c r="M523" s="978"/>
      <c r="N523" s="978"/>
      <c r="O523" s="1106">
        <f t="shared" si="112"/>
        <v>4000</v>
      </c>
      <c r="P523" s="1108">
        <f>4400+5500+3600</f>
        <v>13500</v>
      </c>
      <c r="Q523" s="979">
        <f>7100+3300</f>
        <v>10400</v>
      </c>
      <c r="R523" s="979">
        <v>6900</v>
      </c>
      <c r="S523" s="979"/>
      <c r="T523" s="979"/>
      <c r="U523" s="979">
        <f>10100+5700</f>
        <v>15800</v>
      </c>
      <c r="V523" s="979">
        <f>5900+9600+7200+3700+8400+6900</f>
        <v>41700</v>
      </c>
      <c r="W523" s="979">
        <v>3200</v>
      </c>
      <c r="X523" s="979">
        <v>7700</v>
      </c>
      <c r="Y523" s="979">
        <f>6700+11800+7300</f>
        <v>25800</v>
      </c>
      <c r="Z523" s="979"/>
      <c r="AA523" s="979">
        <v>2600</v>
      </c>
      <c r="AB523" s="979">
        <v>2100</v>
      </c>
      <c r="AC523" s="979">
        <v>2700</v>
      </c>
      <c r="AD523" s="979"/>
      <c r="AE523" s="1109">
        <f t="shared" si="113"/>
        <v>132400</v>
      </c>
      <c r="AF523" s="1113">
        <v>4600</v>
      </c>
      <c r="AG523" s="981">
        <v>11200</v>
      </c>
      <c r="AH523" s="981">
        <v>6100</v>
      </c>
      <c r="AI523" s="1114">
        <f t="shared" si="114"/>
        <v>21900</v>
      </c>
      <c r="AJ523" s="1110">
        <f t="shared" si="115"/>
        <v>158300</v>
      </c>
      <c r="AK523" s="982">
        <f>'09월 에너지'!S523</f>
        <v>144.9</v>
      </c>
      <c r="AL523" s="983">
        <f t="shared" si="116"/>
        <v>0.9153506001263424</v>
      </c>
    </row>
    <row r="524" spans="1:38" ht="16.5" customHeight="1">
      <c r="A524" s="999">
        <f>'09월 에너지'!A524</f>
        <v>46285</v>
      </c>
      <c r="B524" s="1002">
        <f>'09월 조업일지'!B522</f>
        <v>46284</v>
      </c>
      <c r="C524" s="1003" t="str">
        <f>'09월 에너지'!C524</f>
        <v>D</v>
      </c>
      <c r="D524" s="1004" t="str">
        <f>'09월 에너지'!D524</f>
        <v>A</v>
      </c>
      <c r="E524" s="1000">
        <f>'09월 에너지'!E524</f>
        <v>85724</v>
      </c>
      <c r="F524" s="1094" t="str">
        <f>'09월 에너지'!F524</f>
        <v>DKOIL</v>
      </c>
      <c r="G524" s="980"/>
      <c r="H524" s="978"/>
      <c r="I524" s="978">
        <v>7900</v>
      </c>
      <c r="J524" s="978"/>
      <c r="K524" s="978"/>
      <c r="L524" s="978"/>
      <c r="M524" s="978"/>
      <c r="N524" s="978"/>
      <c r="O524" s="1106">
        <f t="shared" si="112"/>
        <v>7900</v>
      </c>
      <c r="P524" s="1108">
        <f>1700+3400+11500</f>
        <v>16600</v>
      </c>
      <c r="Q524" s="979">
        <f>20000+5500</f>
        <v>25500</v>
      </c>
      <c r="R524" s="979">
        <v>12800</v>
      </c>
      <c r="S524" s="979"/>
      <c r="T524" s="979"/>
      <c r="U524" s="979">
        <f>9900+8200</f>
        <v>18100</v>
      </c>
      <c r="V524" s="979">
        <f>6700+5900+7600+3400+6900</f>
        <v>30500</v>
      </c>
      <c r="W524" s="979">
        <v>0</v>
      </c>
      <c r="X524" s="979">
        <v>8400</v>
      </c>
      <c r="Y524" s="979">
        <f>3500+16700+2300</f>
        <v>22500</v>
      </c>
      <c r="Z524" s="979"/>
      <c r="AA524" s="979">
        <v>1300</v>
      </c>
      <c r="AB524" s="979">
        <v>800</v>
      </c>
      <c r="AC524" s="979">
        <v>2500</v>
      </c>
      <c r="AD524" s="979"/>
      <c r="AE524" s="1109">
        <f t="shared" si="113"/>
        <v>139000</v>
      </c>
      <c r="AF524" s="1113">
        <v>5900</v>
      </c>
      <c r="AG524" s="981">
        <v>2300</v>
      </c>
      <c r="AH524" s="981">
        <v>3200</v>
      </c>
      <c r="AI524" s="1114">
        <f t="shared" si="114"/>
        <v>11400</v>
      </c>
      <c r="AJ524" s="1110">
        <f t="shared" si="115"/>
        <v>158300</v>
      </c>
      <c r="AK524" s="982">
        <f>'09월 에너지'!S524</f>
        <v>144.69999999999999</v>
      </c>
      <c r="AL524" s="983">
        <f t="shared" si="116"/>
        <v>0.91408717624763103</v>
      </c>
    </row>
    <row r="525" spans="1:38" ht="16.5" customHeight="1">
      <c r="A525" s="999">
        <f>'09월 에너지'!A525</f>
        <v>46285</v>
      </c>
      <c r="B525" s="1002">
        <f>'09월 조업일지'!B523</f>
        <v>46284</v>
      </c>
      <c r="C525" s="1003" t="str">
        <f>'09월 에너지'!C525</f>
        <v>D</v>
      </c>
      <c r="D525" s="1004" t="str">
        <f>'09월 에너지'!D525</f>
        <v>B</v>
      </c>
      <c r="E525" s="1000">
        <f>'09월 에너지'!E525</f>
        <v>85725</v>
      </c>
      <c r="F525" s="1094" t="str">
        <f>'09월 에너지'!F525</f>
        <v>DKOIL</v>
      </c>
      <c r="G525" s="980"/>
      <c r="H525" s="978"/>
      <c r="I525" s="978">
        <v>4200</v>
      </c>
      <c r="J525" s="978"/>
      <c r="K525" s="978"/>
      <c r="L525" s="978"/>
      <c r="M525" s="978"/>
      <c r="N525" s="978"/>
      <c r="O525" s="1106">
        <f t="shared" si="112"/>
        <v>4200</v>
      </c>
      <c r="P525" s="1108">
        <f>3000+5200+4100</f>
        <v>12300</v>
      </c>
      <c r="Q525" s="979">
        <f>8900+3000</f>
        <v>11900</v>
      </c>
      <c r="R525" s="979">
        <v>8200</v>
      </c>
      <c r="S525" s="979"/>
      <c r="T525" s="979"/>
      <c r="U525" s="979">
        <f>10800+7700</f>
        <v>18500</v>
      </c>
      <c r="V525" s="979">
        <f>5700+9400+7200+3500+6100+6500</f>
        <v>38400</v>
      </c>
      <c r="W525" s="979">
        <v>3700</v>
      </c>
      <c r="X525" s="979">
        <v>7700</v>
      </c>
      <c r="Y525" s="979">
        <f>5800+12900+7600</f>
        <v>26300</v>
      </c>
      <c r="Z525" s="979"/>
      <c r="AA525" s="979">
        <v>2600</v>
      </c>
      <c r="AB525" s="979">
        <v>1800</v>
      </c>
      <c r="AC525" s="979">
        <v>2900</v>
      </c>
      <c r="AD525" s="979"/>
      <c r="AE525" s="1109">
        <f t="shared" si="113"/>
        <v>134300</v>
      </c>
      <c r="AF525" s="1113">
        <v>4700</v>
      </c>
      <c r="AG525" s="981">
        <v>10400</v>
      </c>
      <c r="AH525" s="981">
        <v>4900</v>
      </c>
      <c r="AI525" s="1114">
        <f t="shared" si="114"/>
        <v>20000</v>
      </c>
      <c r="AJ525" s="1110">
        <f t="shared" si="115"/>
        <v>158500</v>
      </c>
      <c r="AK525" s="982">
        <f>'09월 에너지'!S525</f>
        <v>145</v>
      </c>
      <c r="AL525" s="983">
        <f t="shared" si="116"/>
        <v>0.91482649842271291</v>
      </c>
    </row>
    <row r="526" spans="1:38" ht="16.5" customHeight="1">
      <c r="A526" s="999">
        <f>'09월 에너지'!A526</f>
        <v>46285</v>
      </c>
      <c r="B526" s="1002">
        <f>'09월 조업일지'!B524</f>
        <v>46284</v>
      </c>
      <c r="C526" s="1003" t="str">
        <f>'09월 에너지'!C526</f>
        <v>D</v>
      </c>
      <c r="D526" s="1004" t="str">
        <f>'09월 에너지'!D526</f>
        <v>A</v>
      </c>
      <c r="E526" s="1000">
        <f>'09월 에너지'!E526</f>
        <v>85726</v>
      </c>
      <c r="F526" s="1094" t="str">
        <f>'09월 에너지'!F526</f>
        <v>DKOIL</v>
      </c>
      <c r="G526" s="980"/>
      <c r="H526" s="978"/>
      <c r="I526" s="978">
        <v>3800</v>
      </c>
      <c r="J526" s="978"/>
      <c r="K526" s="978"/>
      <c r="L526" s="978"/>
      <c r="M526" s="978"/>
      <c r="N526" s="978"/>
      <c r="O526" s="1106">
        <f t="shared" si="112"/>
        <v>3800</v>
      </c>
      <c r="P526" s="1108">
        <f>1500+15400+3200</f>
        <v>20100</v>
      </c>
      <c r="Q526" s="979">
        <f>13900+4400</f>
        <v>18300</v>
      </c>
      <c r="R526" s="979">
        <v>1900</v>
      </c>
      <c r="S526" s="979"/>
      <c r="T526" s="979"/>
      <c r="U526" s="979">
        <f>5000+2000</f>
        <v>7000</v>
      </c>
      <c r="V526" s="979">
        <f>6100+10200+7600+6300+7800+7200</f>
        <v>45200</v>
      </c>
      <c r="W526" s="979">
        <v>1300</v>
      </c>
      <c r="X526" s="979">
        <v>9100</v>
      </c>
      <c r="Y526" s="979">
        <f>5200+14800+8700</f>
        <v>28700</v>
      </c>
      <c r="Z526" s="979"/>
      <c r="AA526" s="979">
        <v>800</v>
      </c>
      <c r="AB526" s="979">
        <v>3200</v>
      </c>
      <c r="AC526" s="979">
        <v>1400</v>
      </c>
      <c r="AD526" s="979"/>
      <c r="AE526" s="1109">
        <f t="shared" si="113"/>
        <v>137000</v>
      </c>
      <c r="AF526" s="1113">
        <v>6100</v>
      </c>
      <c r="AG526" s="981">
        <v>9200</v>
      </c>
      <c r="AH526" s="981">
        <v>3400</v>
      </c>
      <c r="AI526" s="1114">
        <f t="shared" si="114"/>
        <v>18700</v>
      </c>
      <c r="AJ526" s="1110">
        <f t="shared" si="115"/>
        <v>159500</v>
      </c>
      <c r="AK526" s="982">
        <f>'09월 에너지'!S526</f>
        <v>143.5</v>
      </c>
      <c r="AL526" s="983">
        <f t="shared" si="116"/>
        <v>0.89968652037617558</v>
      </c>
    </row>
    <row r="527" spans="1:38" ht="16.5" customHeight="1">
      <c r="A527" s="999">
        <f>'09월 에너지'!A527</f>
        <v>46285</v>
      </c>
      <c r="B527" s="1002">
        <f>'09월 조업일지'!B525</f>
        <v>46284</v>
      </c>
      <c r="C527" s="1003" t="str">
        <f>'09월 에너지'!C527</f>
        <v>D</v>
      </c>
      <c r="D527" s="1004" t="str">
        <f>'09월 에너지'!D527</f>
        <v>B</v>
      </c>
      <c r="E527" s="1000">
        <f>'09월 에너지'!E527</f>
        <v>85727</v>
      </c>
      <c r="F527" s="1094" t="str">
        <f>'09월 에너지'!F527</f>
        <v>DKOIL</v>
      </c>
      <c r="G527" s="980"/>
      <c r="H527" s="978"/>
      <c r="I527" s="978">
        <v>5200</v>
      </c>
      <c r="J527" s="978"/>
      <c r="K527" s="978"/>
      <c r="L527" s="978"/>
      <c r="M527" s="978"/>
      <c r="N527" s="978"/>
      <c r="O527" s="1106">
        <f t="shared" ref="O527:O590" si="120">IF(SUM(G527:N527)=0,"",SUM(G527:N527))</f>
        <v>5200</v>
      </c>
      <c r="P527" s="1108">
        <f>3200+3700+5300</f>
        <v>12200</v>
      </c>
      <c r="Q527" s="979">
        <f>9200+5200</f>
        <v>14400</v>
      </c>
      <c r="R527" s="979">
        <v>6200</v>
      </c>
      <c r="S527" s="979"/>
      <c r="T527" s="979"/>
      <c r="U527" s="979">
        <f>11300+5900</f>
        <v>17200</v>
      </c>
      <c r="V527" s="979">
        <f>5500+10300+6800+3000+5100+6800</f>
        <v>37500</v>
      </c>
      <c r="W527" s="979">
        <v>3700</v>
      </c>
      <c r="X527" s="979">
        <v>8100</v>
      </c>
      <c r="Y527" s="979">
        <f>7000+12700+6900</f>
        <v>26600</v>
      </c>
      <c r="Z527" s="979"/>
      <c r="AA527" s="979">
        <v>1600</v>
      </c>
      <c r="AB527" s="979">
        <v>2900</v>
      </c>
      <c r="AC527" s="979">
        <v>3400</v>
      </c>
      <c r="AD527" s="979"/>
      <c r="AE527" s="1109">
        <f t="shared" ref="AE527:AE590" si="121">IF(SUM(P527:AD527)=0,"",SUM(P527:AD527))</f>
        <v>133800</v>
      </c>
      <c r="AF527" s="1113">
        <v>4400</v>
      </c>
      <c r="AG527" s="981">
        <v>10000</v>
      </c>
      <c r="AH527" s="981">
        <v>4600</v>
      </c>
      <c r="AI527" s="1114">
        <f t="shared" ref="AI527:AI590" si="122">IF(SUM(AF527:AH527)=0,"",SUM(AF527:AH527))</f>
        <v>19000</v>
      </c>
      <c r="AJ527" s="1110">
        <f t="shared" ref="AJ527:AJ590" si="123">IF(SUM(O527,AE527,AI527)=0,"",SUM(O527,AE527,AI527))</f>
        <v>158000</v>
      </c>
      <c r="AK527" s="982">
        <f>'09월 에너지'!S527</f>
        <v>142.4</v>
      </c>
      <c r="AL527" s="983">
        <f t="shared" ref="AL527:AL590" si="124">IF(ISERROR(IF(AK527="","",(AK527*1000)/AJ527)),0,(IF(AK527="","",(AK527*1000)/AJ527)))</f>
        <v>0.90126582278481016</v>
      </c>
    </row>
    <row r="528" spans="1:38" ht="16.5" customHeight="1">
      <c r="A528" s="999">
        <f>'09월 에너지'!A528</f>
        <v>46285</v>
      </c>
      <c r="B528" s="1002">
        <f>'09월 조업일지'!B526</f>
        <v>46285</v>
      </c>
      <c r="C528" s="1003" t="str">
        <f>'09월 에너지'!C528</f>
        <v>A</v>
      </c>
      <c r="D528" s="1004" t="str">
        <f>'09월 에너지'!D528</f>
        <v>A</v>
      </c>
      <c r="E528" s="1000">
        <f>'09월 에너지'!E528</f>
        <v>85728</v>
      </c>
      <c r="F528" s="1094" t="str">
        <f>'09월 에너지'!F528</f>
        <v>DKOIL</v>
      </c>
      <c r="G528" s="980">
        <v>0</v>
      </c>
      <c r="H528" s="978">
        <v>0</v>
      </c>
      <c r="I528" s="978">
        <v>2700</v>
      </c>
      <c r="J528" s="978">
        <v>0</v>
      </c>
      <c r="K528" s="978">
        <v>0</v>
      </c>
      <c r="L528" s="978">
        <v>0</v>
      </c>
      <c r="M528" s="978">
        <v>0</v>
      </c>
      <c r="N528" s="978">
        <v>0</v>
      </c>
      <c r="O528" s="1106">
        <f t="shared" si="120"/>
        <v>2700</v>
      </c>
      <c r="P528" s="1108">
        <f>1500+4100+10000</f>
        <v>15600</v>
      </c>
      <c r="Q528" s="979">
        <f>4900+6000</f>
        <v>10900</v>
      </c>
      <c r="R528" s="979">
        <v>4000</v>
      </c>
      <c r="S528" s="979">
        <v>0</v>
      </c>
      <c r="T528" s="979">
        <v>0</v>
      </c>
      <c r="U528" s="979">
        <f>7500+4400</f>
        <v>11900</v>
      </c>
      <c r="V528" s="979">
        <f>7700+8300+7900+3800+3900+7800</f>
        <v>39400</v>
      </c>
      <c r="W528" s="979">
        <v>1500</v>
      </c>
      <c r="X528" s="979">
        <v>8800</v>
      </c>
      <c r="Y528" s="979">
        <f>8600+18600+4500</f>
        <v>31700</v>
      </c>
      <c r="Z528" s="979">
        <v>0</v>
      </c>
      <c r="AA528" s="979">
        <v>700</v>
      </c>
      <c r="AB528" s="979">
        <v>1000</v>
      </c>
      <c r="AC528" s="979">
        <v>2700</v>
      </c>
      <c r="AD528" s="979">
        <v>0</v>
      </c>
      <c r="AE528" s="1109">
        <f t="shared" si="121"/>
        <v>128200</v>
      </c>
      <c r="AF528" s="1113">
        <v>3600</v>
      </c>
      <c r="AG528" s="981">
        <v>10200</v>
      </c>
      <c r="AH528" s="981">
        <v>15400</v>
      </c>
      <c r="AI528" s="1114">
        <f t="shared" si="122"/>
        <v>29200</v>
      </c>
      <c r="AJ528" s="1110">
        <f t="shared" si="123"/>
        <v>160100</v>
      </c>
      <c r="AK528" s="982">
        <f>'09월 에너지'!S528</f>
        <v>143.6</v>
      </c>
      <c r="AL528" s="983">
        <f t="shared" si="124"/>
        <v>0.89693941286695811</v>
      </c>
    </row>
    <row r="529" spans="1:38" ht="16.5" customHeight="1">
      <c r="A529" s="999">
        <f>'09월 에너지'!A529</f>
        <v>46285</v>
      </c>
      <c r="B529" s="1002">
        <f>'09월 조업일지'!B527</f>
        <v>46285</v>
      </c>
      <c r="C529" s="1003" t="str">
        <f>'09월 에너지'!C529</f>
        <v>A</v>
      </c>
      <c r="D529" s="1004" t="str">
        <f>'09월 에너지'!D529</f>
        <v>B</v>
      </c>
      <c r="E529" s="1000">
        <f>'09월 에너지'!E529</f>
        <v>85729</v>
      </c>
      <c r="F529" s="1094" t="str">
        <f>'09월 에너지'!F529</f>
        <v>DKOIL</v>
      </c>
      <c r="G529" s="980">
        <v>0</v>
      </c>
      <c r="H529" s="978">
        <v>0</v>
      </c>
      <c r="I529" s="978">
        <v>6800</v>
      </c>
      <c r="J529" s="978">
        <v>0</v>
      </c>
      <c r="K529" s="978">
        <v>0</v>
      </c>
      <c r="L529" s="978">
        <v>0</v>
      </c>
      <c r="M529" s="978">
        <v>0</v>
      </c>
      <c r="N529" s="978">
        <v>0</v>
      </c>
      <c r="O529" s="1106">
        <f t="shared" si="120"/>
        <v>6800</v>
      </c>
      <c r="P529" s="1108">
        <f>3900+4200+3800</f>
        <v>11900</v>
      </c>
      <c r="Q529" s="979">
        <f>8400+3900</f>
        <v>12300</v>
      </c>
      <c r="R529" s="979">
        <v>8000</v>
      </c>
      <c r="S529" s="979">
        <v>0</v>
      </c>
      <c r="T529" s="979">
        <v>0</v>
      </c>
      <c r="U529" s="979">
        <f>10500+7300</f>
        <v>17800</v>
      </c>
      <c r="V529" s="979">
        <f>5600+8800+6700+6600+6900+7400</f>
        <v>42000</v>
      </c>
      <c r="W529" s="979">
        <v>3800</v>
      </c>
      <c r="X529" s="979">
        <v>8300</v>
      </c>
      <c r="Y529" s="979">
        <f>3100+12500+8400</f>
        <v>24000</v>
      </c>
      <c r="Z529" s="979">
        <v>0</v>
      </c>
      <c r="AA529" s="979">
        <v>3000</v>
      </c>
      <c r="AB529" s="979">
        <v>1700</v>
      </c>
      <c r="AC529" s="979">
        <v>3000</v>
      </c>
      <c r="AD529" s="979">
        <v>0</v>
      </c>
      <c r="AE529" s="1109">
        <f t="shared" si="121"/>
        <v>135800</v>
      </c>
      <c r="AF529" s="1113">
        <v>3900</v>
      </c>
      <c r="AG529" s="981">
        <v>12400</v>
      </c>
      <c r="AH529" s="981">
        <v>5100</v>
      </c>
      <c r="AI529" s="1114">
        <f t="shared" si="122"/>
        <v>21400</v>
      </c>
      <c r="AJ529" s="1110">
        <f t="shared" si="123"/>
        <v>164000</v>
      </c>
      <c r="AK529" s="982">
        <f>'09월 에너지'!S529</f>
        <v>144.1</v>
      </c>
      <c r="AL529" s="983">
        <f t="shared" si="124"/>
        <v>0.87865853658536586</v>
      </c>
    </row>
    <row r="530" spans="1:38" ht="16.5" customHeight="1">
      <c r="A530" s="999">
        <f>'09월 에너지'!A530</f>
        <v>46285</v>
      </c>
      <c r="B530" s="1002">
        <f>'09월 조업일지'!B528</f>
        <v>46285</v>
      </c>
      <c r="C530" s="1003" t="str">
        <f>'09월 에너지'!C530</f>
        <v>A</v>
      </c>
      <c r="D530" s="1004" t="str">
        <f>'09월 에너지'!D530</f>
        <v>A</v>
      </c>
      <c r="E530" s="1000">
        <f>'09월 에너지'!E530</f>
        <v>85730</v>
      </c>
      <c r="F530" s="1094" t="str">
        <f>'09월 에너지'!F530</f>
        <v>DKOIL</v>
      </c>
      <c r="G530" s="980">
        <v>0</v>
      </c>
      <c r="H530" s="978">
        <v>0</v>
      </c>
      <c r="I530" s="978">
        <v>9000</v>
      </c>
      <c r="J530" s="978">
        <v>0</v>
      </c>
      <c r="K530" s="978">
        <v>0</v>
      </c>
      <c r="L530" s="978">
        <v>0</v>
      </c>
      <c r="M530" s="978">
        <v>0</v>
      </c>
      <c r="N530" s="978">
        <v>0</v>
      </c>
      <c r="O530" s="1106">
        <f t="shared" si="120"/>
        <v>9000</v>
      </c>
      <c r="P530" s="1108">
        <f>2400+3300+5700</f>
        <v>11400</v>
      </c>
      <c r="Q530" s="979">
        <f>6000+1800</f>
        <v>7800</v>
      </c>
      <c r="R530" s="979">
        <v>14300</v>
      </c>
      <c r="S530" s="979">
        <v>0</v>
      </c>
      <c r="T530" s="979">
        <v>0</v>
      </c>
      <c r="U530" s="979">
        <f>7400+4900</f>
        <v>12300</v>
      </c>
      <c r="V530" s="979">
        <f>2400+8500+7100+5400+11100+6000</f>
        <v>40500</v>
      </c>
      <c r="W530" s="979">
        <v>6000</v>
      </c>
      <c r="X530" s="979">
        <v>7600</v>
      </c>
      <c r="Y530" s="979">
        <f>3200+13600+2000</f>
        <v>18800</v>
      </c>
      <c r="Z530" s="979">
        <v>0</v>
      </c>
      <c r="AA530" s="979">
        <v>3200</v>
      </c>
      <c r="AB530" s="979">
        <v>2300</v>
      </c>
      <c r="AC530" s="979">
        <v>3200</v>
      </c>
      <c r="AD530" s="979">
        <v>0</v>
      </c>
      <c r="AE530" s="1109">
        <f t="shared" si="121"/>
        <v>127400</v>
      </c>
      <c r="AF530" s="1113">
        <v>5900</v>
      </c>
      <c r="AG530" s="981">
        <v>9400</v>
      </c>
      <c r="AH530" s="981">
        <v>6200</v>
      </c>
      <c r="AI530" s="1114">
        <f t="shared" si="122"/>
        <v>21500</v>
      </c>
      <c r="AJ530" s="1110">
        <f t="shared" si="123"/>
        <v>157900</v>
      </c>
      <c r="AK530" s="982">
        <f>'09월 에너지'!S530</f>
        <v>143.69999999999999</v>
      </c>
      <c r="AL530" s="983">
        <f t="shared" si="124"/>
        <v>0.91006966434452186</v>
      </c>
    </row>
    <row r="531" spans="1:38" ht="16.5" customHeight="1">
      <c r="A531" s="999">
        <f>'09월 에너지'!A531</f>
        <v>46285</v>
      </c>
      <c r="B531" s="1002">
        <f>'09월 조업일지'!B529</f>
        <v>46285</v>
      </c>
      <c r="C531" s="1003" t="str">
        <f>'09월 에너지'!C531</f>
        <v>A</v>
      </c>
      <c r="D531" s="1004" t="str">
        <f>'09월 에너지'!D531</f>
        <v>B</v>
      </c>
      <c r="E531" s="1000">
        <f>'09월 에너지'!E531</f>
        <v>85731</v>
      </c>
      <c r="F531" s="1094" t="str">
        <f>'09월 에너지'!F531</f>
        <v>DKOIL</v>
      </c>
      <c r="G531" s="980">
        <v>0</v>
      </c>
      <c r="H531" s="978">
        <v>0</v>
      </c>
      <c r="I531" s="978">
        <v>3300</v>
      </c>
      <c r="J531" s="978">
        <v>0</v>
      </c>
      <c r="K531" s="978">
        <v>0</v>
      </c>
      <c r="L531" s="978">
        <v>0</v>
      </c>
      <c r="M531" s="978">
        <v>0</v>
      </c>
      <c r="N531" s="978">
        <v>0</v>
      </c>
      <c r="O531" s="1106">
        <f t="shared" si="120"/>
        <v>3300</v>
      </c>
      <c r="P531" s="1108">
        <f>2400+5100+1600</f>
        <v>9100</v>
      </c>
      <c r="Q531" s="979">
        <f>7100+8300</f>
        <v>15400</v>
      </c>
      <c r="R531" s="979">
        <v>14800</v>
      </c>
      <c r="S531" s="979">
        <v>0</v>
      </c>
      <c r="T531" s="979">
        <v>0</v>
      </c>
      <c r="U531" s="979">
        <f>16100+7500</f>
        <v>23600</v>
      </c>
      <c r="V531" s="979">
        <f>3100+13200+8300+4400+5900</f>
        <v>34900</v>
      </c>
      <c r="W531" s="979">
        <v>0</v>
      </c>
      <c r="X531" s="979">
        <v>0</v>
      </c>
      <c r="Y531" s="979">
        <f>5400+18300+1100</f>
        <v>24800</v>
      </c>
      <c r="Z531" s="979">
        <v>0</v>
      </c>
      <c r="AA531" s="979">
        <v>4100</v>
      </c>
      <c r="AB531" s="979">
        <v>5000</v>
      </c>
      <c r="AC531" s="979">
        <v>4800</v>
      </c>
      <c r="AD531" s="979">
        <v>0</v>
      </c>
      <c r="AE531" s="1109">
        <f t="shared" si="121"/>
        <v>136500</v>
      </c>
      <c r="AF531" s="1113">
        <v>4500</v>
      </c>
      <c r="AG531" s="981">
        <v>9300</v>
      </c>
      <c r="AH531" s="981">
        <v>5600</v>
      </c>
      <c r="AI531" s="1114">
        <f t="shared" si="122"/>
        <v>19400</v>
      </c>
      <c r="AJ531" s="1110">
        <f t="shared" si="123"/>
        <v>159200</v>
      </c>
      <c r="AK531" s="982">
        <f>'09월 에너지'!S531</f>
        <v>143.4</v>
      </c>
      <c r="AL531" s="983">
        <f t="shared" si="124"/>
        <v>0.90075376884422109</v>
      </c>
    </row>
    <row r="532" spans="1:38" ht="16.5" customHeight="1">
      <c r="A532" s="999">
        <f>'09월 에너지'!A532</f>
        <v>46285</v>
      </c>
      <c r="B532" s="1002">
        <f>'09월 조업일지'!B530</f>
        <v>46285</v>
      </c>
      <c r="C532" s="1003" t="str">
        <f>'09월 에너지'!C532</f>
        <v>A</v>
      </c>
      <c r="D532" s="1004" t="str">
        <f>'09월 에너지'!D532</f>
        <v>A</v>
      </c>
      <c r="E532" s="1000">
        <f>'09월 에너지'!E532</f>
        <v>85732</v>
      </c>
      <c r="F532" s="1094" t="str">
        <f>'09월 에너지'!F532</f>
        <v>DKOIL</v>
      </c>
      <c r="G532" s="980">
        <v>0</v>
      </c>
      <c r="H532" s="978">
        <v>0</v>
      </c>
      <c r="I532" s="978">
        <v>2900</v>
      </c>
      <c r="J532" s="978">
        <v>0</v>
      </c>
      <c r="K532" s="978">
        <v>0</v>
      </c>
      <c r="L532" s="978">
        <v>0</v>
      </c>
      <c r="M532" s="978">
        <v>0</v>
      </c>
      <c r="N532" s="978">
        <v>0</v>
      </c>
      <c r="O532" s="1106">
        <f t="shared" si="120"/>
        <v>2900</v>
      </c>
      <c r="P532" s="1108">
        <f>4900+8700+9000</f>
        <v>22600</v>
      </c>
      <c r="Q532" s="979">
        <f>11500+2200</f>
        <v>13700</v>
      </c>
      <c r="R532" s="979">
        <v>7300</v>
      </c>
      <c r="S532" s="979">
        <v>0</v>
      </c>
      <c r="T532" s="979">
        <v>0</v>
      </c>
      <c r="U532" s="979">
        <f>10900+6100</f>
        <v>17000</v>
      </c>
      <c r="V532" s="979">
        <f>10100+4800+6700+7100+200+6500</f>
        <v>35400</v>
      </c>
      <c r="W532" s="979">
        <v>4200</v>
      </c>
      <c r="X532" s="979">
        <v>7600</v>
      </c>
      <c r="Y532" s="979">
        <f>3800+7000+6400</f>
        <v>17200</v>
      </c>
      <c r="Z532" s="979">
        <v>0</v>
      </c>
      <c r="AA532" s="979">
        <v>5500</v>
      </c>
      <c r="AB532" s="979">
        <v>3300</v>
      </c>
      <c r="AC532" s="979">
        <v>4000</v>
      </c>
      <c r="AD532" s="979">
        <v>0</v>
      </c>
      <c r="AE532" s="1109">
        <f t="shared" si="121"/>
        <v>137800</v>
      </c>
      <c r="AF532" s="1113">
        <v>3700</v>
      </c>
      <c r="AG532" s="981">
        <v>8300</v>
      </c>
      <c r="AH532" s="981">
        <v>5800</v>
      </c>
      <c r="AI532" s="1114">
        <f t="shared" si="122"/>
        <v>17800</v>
      </c>
      <c r="AJ532" s="1110">
        <f t="shared" si="123"/>
        <v>158500</v>
      </c>
      <c r="AK532" s="982">
        <f>'09월 에너지'!S532</f>
        <v>143</v>
      </c>
      <c r="AL532" s="983">
        <f t="shared" si="124"/>
        <v>0.90220820189274453</v>
      </c>
    </row>
    <row r="533" spans="1:38" ht="16.5" customHeight="1">
      <c r="A533" s="999">
        <f>'09월 에너지'!A533</f>
        <v>46285</v>
      </c>
      <c r="B533" s="1002">
        <f>'09월 조업일지'!B531</f>
        <v>46285</v>
      </c>
      <c r="C533" s="1003" t="str">
        <f>'09월 에너지'!C533</f>
        <v>A</v>
      </c>
      <c r="D533" s="1004" t="str">
        <f>'09월 에너지'!D533</f>
        <v>B</v>
      </c>
      <c r="E533" s="1000">
        <f>'09월 에너지'!E533</f>
        <v>85733</v>
      </c>
      <c r="F533" s="1094" t="str">
        <f>'09월 에너지'!F533</f>
        <v>DKOIL</v>
      </c>
      <c r="G533" s="980">
        <v>0</v>
      </c>
      <c r="H533" s="978">
        <v>0</v>
      </c>
      <c r="I533" s="978">
        <v>2300</v>
      </c>
      <c r="J533" s="978">
        <v>0</v>
      </c>
      <c r="K533" s="978">
        <v>0</v>
      </c>
      <c r="L533" s="978">
        <v>0</v>
      </c>
      <c r="M533" s="978">
        <v>0</v>
      </c>
      <c r="N533" s="978">
        <v>0</v>
      </c>
      <c r="O533" s="1106">
        <f t="shared" si="120"/>
        <v>2300</v>
      </c>
      <c r="P533" s="1108">
        <f>2400+13800+5900</f>
        <v>22100</v>
      </c>
      <c r="Q533" s="979">
        <f>15800+5100</f>
        <v>20900</v>
      </c>
      <c r="R533" s="979">
        <v>3800</v>
      </c>
      <c r="S533" s="979">
        <v>0</v>
      </c>
      <c r="T533" s="979">
        <v>0</v>
      </c>
      <c r="U533" s="979">
        <f>7300+9200</f>
        <v>16500</v>
      </c>
      <c r="V533" s="979">
        <f>2500+6800+7500+1500+5100+6200</f>
        <v>29600</v>
      </c>
      <c r="W533" s="979">
        <v>3400</v>
      </c>
      <c r="X533" s="979">
        <v>6900</v>
      </c>
      <c r="Y533" s="979">
        <f>5900+11200+3400</f>
        <v>20500</v>
      </c>
      <c r="Z533" s="979">
        <v>0</v>
      </c>
      <c r="AA533" s="979">
        <v>1900</v>
      </c>
      <c r="AB533" s="979">
        <v>4400</v>
      </c>
      <c r="AC533" s="979">
        <v>3600</v>
      </c>
      <c r="AD533" s="979">
        <v>0</v>
      </c>
      <c r="AE533" s="1109">
        <f t="shared" si="121"/>
        <v>133600</v>
      </c>
      <c r="AF533" s="1113">
        <v>5900</v>
      </c>
      <c r="AG533" s="981">
        <v>10400</v>
      </c>
      <c r="AH533" s="981">
        <v>5800</v>
      </c>
      <c r="AI533" s="1114">
        <f t="shared" si="122"/>
        <v>22100</v>
      </c>
      <c r="AJ533" s="1110">
        <f t="shared" si="123"/>
        <v>158000</v>
      </c>
      <c r="AK533" s="982">
        <f>'09월 에너지'!S533</f>
        <v>142.69999999999999</v>
      </c>
      <c r="AL533" s="983">
        <f t="shared" si="124"/>
        <v>0.90316455696202536</v>
      </c>
    </row>
    <row r="534" spans="1:38" ht="16.5" customHeight="1">
      <c r="A534" s="999">
        <f>'09월 에너지'!A534</f>
        <v>46285</v>
      </c>
      <c r="B534" s="1002">
        <f>'09월 조업일지'!B532</f>
        <v>46285</v>
      </c>
      <c r="C534" s="1003" t="str">
        <f>'09월 에너지'!C534</f>
        <v>A</v>
      </c>
      <c r="D534" s="1004" t="str">
        <f>'09월 에너지'!D534</f>
        <v>A</v>
      </c>
      <c r="E534" s="1000">
        <f>'09월 에너지'!E534</f>
        <v>85734</v>
      </c>
      <c r="F534" s="1094" t="str">
        <f>'09월 에너지'!F534</f>
        <v>DKOIL</v>
      </c>
      <c r="G534" s="980">
        <v>0</v>
      </c>
      <c r="H534" s="978">
        <v>0</v>
      </c>
      <c r="I534" s="978">
        <v>4300</v>
      </c>
      <c r="J534" s="978">
        <v>0</v>
      </c>
      <c r="K534" s="978">
        <v>0</v>
      </c>
      <c r="L534" s="978">
        <v>0</v>
      </c>
      <c r="M534" s="978">
        <v>0</v>
      </c>
      <c r="N534" s="978">
        <v>0</v>
      </c>
      <c r="O534" s="1106">
        <f t="shared" si="120"/>
        <v>4300</v>
      </c>
      <c r="P534" s="1108">
        <f>2200+7800+5400</f>
        <v>15400</v>
      </c>
      <c r="Q534" s="979">
        <f>5500+2500</f>
        <v>8000</v>
      </c>
      <c r="R534" s="979">
        <v>8300</v>
      </c>
      <c r="S534" s="979">
        <v>0</v>
      </c>
      <c r="T534" s="979">
        <v>0</v>
      </c>
      <c r="U534" s="979">
        <f>15200+10500</f>
        <v>25700</v>
      </c>
      <c r="V534" s="979">
        <f>3300+5200+6200+9400+2600+7600</f>
        <v>34300</v>
      </c>
      <c r="W534" s="979">
        <v>4100</v>
      </c>
      <c r="X534" s="979">
        <v>8100</v>
      </c>
      <c r="Y534" s="979">
        <f>6000+18000+1300</f>
        <v>25300</v>
      </c>
      <c r="Z534" s="979">
        <v>0</v>
      </c>
      <c r="AA534" s="979">
        <v>2300</v>
      </c>
      <c r="AB534" s="979">
        <v>2000</v>
      </c>
      <c r="AC534" s="979">
        <v>1400</v>
      </c>
      <c r="AD534" s="979">
        <v>0</v>
      </c>
      <c r="AE534" s="1109">
        <f t="shared" si="121"/>
        <v>134900</v>
      </c>
      <c r="AF534" s="1113">
        <v>5500</v>
      </c>
      <c r="AG534" s="981">
        <v>7300</v>
      </c>
      <c r="AH534" s="981">
        <v>6300</v>
      </c>
      <c r="AI534" s="1114">
        <f t="shared" si="122"/>
        <v>19100</v>
      </c>
      <c r="AJ534" s="1110">
        <f t="shared" si="123"/>
        <v>158300</v>
      </c>
      <c r="AK534" s="982">
        <f>'09월 에너지'!S534</f>
        <v>143.80000000000001</v>
      </c>
      <c r="AL534" s="983">
        <f t="shared" si="124"/>
        <v>0.90840176879343015</v>
      </c>
    </row>
    <row r="535" spans="1:38" ht="16.5" customHeight="1">
      <c r="A535" s="999">
        <f>'09월 에너지'!A535</f>
        <v>46285</v>
      </c>
      <c r="B535" s="1002">
        <f>'09월 조업일지'!B533</f>
        <v>46285</v>
      </c>
      <c r="C535" s="1003" t="str">
        <f>'09월 에너지'!C535</f>
        <v>A</v>
      </c>
      <c r="D535" s="1004" t="str">
        <f>'09월 에너지'!D535</f>
        <v>B</v>
      </c>
      <c r="E535" s="1000">
        <f>'09월 에너지'!E535</f>
        <v>85735</v>
      </c>
      <c r="F535" s="1094" t="str">
        <f>'09월 에너지'!F535</f>
        <v>DKOIL</v>
      </c>
      <c r="G535" s="980">
        <v>0</v>
      </c>
      <c r="H535" s="978">
        <v>0</v>
      </c>
      <c r="I535" s="978">
        <v>5200</v>
      </c>
      <c r="J535" s="978">
        <v>0</v>
      </c>
      <c r="K535" s="978">
        <v>0</v>
      </c>
      <c r="L535" s="978">
        <v>0</v>
      </c>
      <c r="M535" s="978">
        <v>0</v>
      </c>
      <c r="N535" s="978">
        <v>0</v>
      </c>
      <c r="O535" s="1106">
        <f t="shared" si="120"/>
        <v>5200</v>
      </c>
      <c r="P535" s="1108">
        <f>2600+5100+1900</f>
        <v>9600</v>
      </c>
      <c r="Q535" s="979">
        <f>9800+6400</f>
        <v>16200</v>
      </c>
      <c r="R535" s="979">
        <v>8200</v>
      </c>
      <c r="S535" s="979">
        <v>0</v>
      </c>
      <c r="T535" s="979">
        <v>0</v>
      </c>
      <c r="U535" s="979">
        <f>11100+4900</f>
        <v>16000</v>
      </c>
      <c r="V535" s="979">
        <f>3300+10700+5500+5900+6700+8200</f>
        <v>40300</v>
      </c>
      <c r="W535" s="979">
        <v>6200</v>
      </c>
      <c r="X535" s="979">
        <v>7400</v>
      </c>
      <c r="Y535" s="979">
        <f>3000+10800+6200</f>
        <v>20000</v>
      </c>
      <c r="Z535" s="979">
        <v>0</v>
      </c>
      <c r="AA535" s="979">
        <v>2500</v>
      </c>
      <c r="AB535" s="979">
        <v>2100</v>
      </c>
      <c r="AC535" s="979">
        <v>3400</v>
      </c>
      <c r="AD535" s="979">
        <v>0</v>
      </c>
      <c r="AE535" s="1109">
        <f t="shared" si="121"/>
        <v>131900</v>
      </c>
      <c r="AF535" s="1113">
        <v>3500</v>
      </c>
      <c r="AG535" s="981">
        <v>11100</v>
      </c>
      <c r="AH535" s="981">
        <v>7000</v>
      </c>
      <c r="AI535" s="1114">
        <f t="shared" si="122"/>
        <v>21600</v>
      </c>
      <c r="AJ535" s="1110">
        <f t="shared" si="123"/>
        <v>158700</v>
      </c>
      <c r="AK535" s="982">
        <f>'09월 에너지'!S535</f>
        <v>143.19999999999999</v>
      </c>
      <c r="AL535" s="983">
        <f t="shared" si="124"/>
        <v>0.90233144297416512</v>
      </c>
    </row>
    <row r="536" spans="1:38" ht="16.5" customHeight="1">
      <c r="A536" s="999">
        <f>'09월 에너지'!A536</f>
        <v>46285</v>
      </c>
      <c r="B536" s="1002">
        <f>'09월 조업일지'!B534</f>
        <v>46285</v>
      </c>
      <c r="C536" s="1003" t="str">
        <f>'09월 에너지'!C536</f>
        <v>A</v>
      </c>
      <c r="D536" s="1004" t="str">
        <f>'09월 에너지'!D536</f>
        <v>A</v>
      </c>
      <c r="E536" s="1000">
        <f>'09월 에너지'!E536</f>
        <v>85736</v>
      </c>
      <c r="F536" s="1094" t="str">
        <f>'09월 에너지'!F536</f>
        <v>DKOIL</v>
      </c>
      <c r="G536" s="980">
        <v>0</v>
      </c>
      <c r="H536" s="978">
        <v>0</v>
      </c>
      <c r="I536" s="978">
        <v>2400</v>
      </c>
      <c r="J536" s="978">
        <v>0</v>
      </c>
      <c r="K536" s="978">
        <v>0</v>
      </c>
      <c r="L536" s="978">
        <v>0</v>
      </c>
      <c r="M536" s="978">
        <v>0</v>
      </c>
      <c r="N536" s="978">
        <v>0</v>
      </c>
      <c r="O536" s="1106">
        <f t="shared" si="120"/>
        <v>2400</v>
      </c>
      <c r="P536" s="1108">
        <f>4500+3300+4500</f>
        <v>12300</v>
      </c>
      <c r="Q536" s="979">
        <f>5800+2100</f>
        <v>7900</v>
      </c>
      <c r="R536" s="979">
        <v>3500</v>
      </c>
      <c r="S536" s="979">
        <v>0</v>
      </c>
      <c r="T536" s="979">
        <v>0</v>
      </c>
      <c r="U536" s="979">
        <f>7400+2200</f>
        <v>9600</v>
      </c>
      <c r="V536" s="979">
        <f>8200+15500+6100+6000+14700+7400</f>
        <v>57900</v>
      </c>
      <c r="W536" s="979">
        <v>2700</v>
      </c>
      <c r="X536" s="979">
        <v>10100</v>
      </c>
      <c r="Y536" s="979">
        <f>10100+10700+1700</f>
        <v>22500</v>
      </c>
      <c r="Z536" s="979">
        <v>0</v>
      </c>
      <c r="AA536" s="979">
        <v>2500</v>
      </c>
      <c r="AB536" s="979">
        <v>100</v>
      </c>
      <c r="AC536" s="979">
        <v>3200</v>
      </c>
      <c r="AD536" s="979">
        <v>0</v>
      </c>
      <c r="AE536" s="1109">
        <f t="shared" si="121"/>
        <v>132300</v>
      </c>
      <c r="AF536" s="1113">
        <v>3600</v>
      </c>
      <c r="AG536" s="981">
        <v>10400</v>
      </c>
      <c r="AH536" s="981">
        <v>8300</v>
      </c>
      <c r="AI536" s="1114">
        <f t="shared" si="122"/>
        <v>22300</v>
      </c>
      <c r="AJ536" s="1110">
        <f t="shared" si="123"/>
        <v>157000</v>
      </c>
      <c r="AK536" s="982">
        <f>'09월 에너지'!S536</f>
        <v>143.9</v>
      </c>
      <c r="AL536" s="983">
        <f t="shared" si="124"/>
        <v>0.91656050955414015</v>
      </c>
    </row>
    <row r="537" spans="1:38" ht="16.5" customHeight="1">
      <c r="A537" s="999">
        <f>'09월 에너지'!A537</f>
        <v>46285</v>
      </c>
      <c r="B537" s="1002">
        <f>'09월 조업일지'!B535</f>
        <v>46285</v>
      </c>
      <c r="C537" s="1003" t="str">
        <f>'09월 에너지'!C537</f>
        <v>A</v>
      </c>
      <c r="D537" s="1004" t="str">
        <f>'09월 에너지'!D537</f>
        <v>B</v>
      </c>
      <c r="E537" s="1000">
        <f>'09월 에너지'!E537</f>
        <v>85737</v>
      </c>
      <c r="F537" s="1094" t="str">
        <f>'09월 에너지'!F537</f>
        <v>DKOIL</v>
      </c>
      <c r="G537" s="980">
        <v>0</v>
      </c>
      <c r="H537" s="978">
        <v>0</v>
      </c>
      <c r="I537" s="978">
        <v>3900</v>
      </c>
      <c r="J537" s="978">
        <v>0</v>
      </c>
      <c r="K537" s="978">
        <v>0</v>
      </c>
      <c r="L537" s="978">
        <v>0</v>
      </c>
      <c r="M537" s="978">
        <v>0</v>
      </c>
      <c r="N537" s="978">
        <v>0</v>
      </c>
      <c r="O537" s="1106">
        <f t="shared" si="120"/>
        <v>3900</v>
      </c>
      <c r="P537" s="1108">
        <f>4400+8600+6200</f>
        <v>19200</v>
      </c>
      <c r="Q537" s="979">
        <f>8000+2900</f>
        <v>10900</v>
      </c>
      <c r="R537" s="979">
        <v>5100</v>
      </c>
      <c r="S537" s="979">
        <v>0</v>
      </c>
      <c r="T537" s="979">
        <v>0</v>
      </c>
      <c r="U537" s="979">
        <f>10000+5100</f>
        <v>15100</v>
      </c>
      <c r="V537" s="979">
        <f>5000+8600+7400+8100+2300+6900</f>
        <v>38300</v>
      </c>
      <c r="W537" s="979">
        <v>3600</v>
      </c>
      <c r="X537" s="979">
        <v>6900</v>
      </c>
      <c r="Y537" s="979">
        <f>8000+14300+6100</f>
        <v>28400</v>
      </c>
      <c r="Z537" s="979">
        <v>0</v>
      </c>
      <c r="AA537" s="979">
        <v>1900</v>
      </c>
      <c r="AB537" s="979">
        <v>2400</v>
      </c>
      <c r="AC537" s="979">
        <v>2600</v>
      </c>
      <c r="AD537" s="979">
        <v>0</v>
      </c>
      <c r="AE537" s="1109">
        <f t="shared" si="121"/>
        <v>134400</v>
      </c>
      <c r="AF537" s="1113">
        <v>6000</v>
      </c>
      <c r="AG537" s="981">
        <v>10600</v>
      </c>
      <c r="AH537" s="981">
        <v>3800</v>
      </c>
      <c r="AI537" s="1114">
        <f t="shared" si="122"/>
        <v>20400</v>
      </c>
      <c r="AJ537" s="1110">
        <f t="shared" si="123"/>
        <v>158700</v>
      </c>
      <c r="AK537" s="982">
        <f>'09월 에너지'!S537</f>
        <v>143.69999999999999</v>
      </c>
      <c r="AL537" s="983">
        <f t="shared" si="124"/>
        <v>0.90548204158790169</v>
      </c>
    </row>
    <row r="538" spans="1:38" ht="16.5" customHeight="1">
      <c r="A538" s="999">
        <f>'09월 에너지'!A538</f>
        <v>46285</v>
      </c>
      <c r="B538" s="1002">
        <f>'09월 조업일지'!B536</f>
        <v>46285</v>
      </c>
      <c r="C538" s="1003" t="str">
        <f>'09월 에너지'!C538</f>
        <v>A</v>
      </c>
      <c r="D538" s="1004" t="str">
        <f>'09월 에너지'!D538</f>
        <v>A</v>
      </c>
      <c r="E538" s="1000">
        <f>'09월 에너지'!E538</f>
        <v>85738</v>
      </c>
      <c r="F538" s="1094" t="str">
        <f>'09월 에너지'!F538</f>
        <v>DKOIL</v>
      </c>
      <c r="G538" s="980">
        <v>0</v>
      </c>
      <c r="H538" s="978">
        <v>0</v>
      </c>
      <c r="I538" s="978">
        <v>10100</v>
      </c>
      <c r="J538" s="978">
        <v>0</v>
      </c>
      <c r="K538" s="978">
        <v>0</v>
      </c>
      <c r="L538" s="978">
        <v>0</v>
      </c>
      <c r="M538" s="978">
        <v>0</v>
      </c>
      <c r="N538" s="978">
        <v>0</v>
      </c>
      <c r="O538" s="1106">
        <f t="shared" si="120"/>
        <v>10100</v>
      </c>
      <c r="P538" s="1108">
        <f>100+9300+6800</f>
        <v>16200</v>
      </c>
      <c r="Q538" s="979">
        <f>4100+1100</f>
        <v>5200</v>
      </c>
      <c r="R538" s="979">
        <v>5500</v>
      </c>
      <c r="S538" s="979">
        <v>0</v>
      </c>
      <c r="T538" s="979">
        <v>0</v>
      </c>
      <c r="U538" s="979">
        <f>11200+2900</f>
        <v>14100</v>
      </c>
      <c r="V538" s="979">
        <f>10700+4200+6900+8100+6000+7800</f>
        <v>43700</v>
      </c>
      <c r="W538" s="979">
        <v>3300</v>
      </c>
      <c r="X538" s="979">
        <v>8100</v>
      </c>
      <c r="Y538" s="979">
        <f>6500+13400+6500</f>
        <v>26400</v>
      </c>
      <c r="Z538" s="979">
        <v>0</v>
      </c>
      <c r="AA538" s="979">
        <v>2100</v>
      </c>
      <c r="AB538" s="979">
        <v>1500</v>
      </c>
      <c r="AC538" s="979">
        <v>3100</v>
      </c>
      <c r="AD538" s="979">
        <v>0</v>
      </c>
      <c r="AE538" s="1109">
        <f t="shared" si="121"/>
        <v>129200</v>
      </c>
      <c r="AF538" s="1113">
        <v>3200</v>
      </c>
      <c r="AG538" s="981">
        <v>11100</v>
      </c>
      <c r="AH538" s="981">
        <v>3700</v>
      </c>
      <c r="AI538" s="1114">
        <f t="shared" si="122"/>
        <v>18000</v>
      </c>
      <c r="AJ538" s="1110">
        <f t="shared" si="123"/>
        <v>157300</v>
      </c>
      <c r="AK538" s="982">
        <f>'09월 에너지'!S538</f>
        <v>143.30000000000001</v>
      </c>
      <c r="AL538" s="983">
        <f t="shared" si="124"/>
        <v>0.91099809281627464</v>
      </c>
    </row>
    <row r="539" spans="1:38" ht="16.5" customHeight="1">
      <c r="A539" s="999">
        <f>'09월 에너지'!A539</f>
        <v>46285</v>
      </c>
      <c r="B539" s="1002">
        <f>'09월 조업일지'!B537</f>
        <v>46285</v>
      </c>
      <c r="C539" s="1003" t="str">
        <f>'09월 에너지'!C539</f>
        <v>B</v>
      </c>
      <c r="D539" s="1004" t="str">
        <f>'09월 에너지'!D539</f>
        <v>B</v>
      </c>
      <c r="E539" s="1000">
        <f>'09월 에너지'!E539</f>
        <v>85739</v>
      </c>
      <c r="F539" s="1094" t="str">
        <f>'09월 에너지'!F539</f>
        <v>DKOIL</v>
      </c>
      <c r="G539" s="980"/>
      <c r="H539" s="978"/>
      <c r="I539" s="978">
        <v>3100</v>
      </c>
      <c r="J539" s="978"/>
      <c r="K539" s="978"/>
      <c r="L539" s="978"/>
      <c r="M539" s="978"/>
      <c r="N539" s="978"/>
      <c r="O539" s="1106">
        <f t="shared" si="120"/>
        <v>3100</v>
      </c>
      <c r="P539" s="1108">
        <f>2900+10800+5100</f>
        <v>18800</v>
      </c>
      <c r="Q539" s="979">
        <f>8000+7200</f>
        <v>15200</v>
      </c>
      <c r="R539" s="979">
        <v>2500</v>
      </c>
      <c r="S539" s="979"/>
      <c r="T539" s="979"/>
      <c r="U539" s="979">
        <f>12300+2000</f>
        <v>14300</v>
      </c>
      <c r="V539" s="979">
        <f>13700+11400+7400+8900+8500+7700-6800</f>
        <v>50800</v>
      </c>
      <c r="W539" s="979">
        <v>3500</v>
      </c>
      <c r="X539" s="979">
        <v>7800</v>
      </c>
      <c r="Y539" s="979">
        <f>4000+9300+3600</f>
        <v>16900</v>
      </c>
      <c r="Z539" s="979"/>
      <c r="AA539" s="979">
        <v>2300</v>
      </c>
      <c r="AB539" s="979">
        <v>4700</v>
      </c>
      <c r="AC539" s="979">
        <v>2500</v>
      </c>
      <c r="AD539" s="979"/>
      <c r="AE539" s="1109">
        <f t="shared" si="121"/>
        <v>139300</v>
      </c>
      <c r="AF539" s="1113">
        <v>2900</v>
      </c>
      <c r="AG539" s="981">
        <v>8100</v>
      </c>
      <c r="AH539" s="981">
        <v>5000</v>
      </c>
      <c r="AI539" s="1114">
        <f t="shared" si="122"/>
        <v>16000</v>
      </c>
      <c r="AJ539" s="1110">
        <f t="shared" si="123"/>
        <v>158400</v>
      </c>
      <c r="AK539" s="982">
        <f>'09월 에너지'!S539</f>
        <v>143.4</v>
      </c>
      <c r="AL539" s="983">
        <f t="shared" si="124"/>
        <v>0.90530303030303028</v>
      </c>
    </row>
    <row r="540" spans="1:38" ht="16.5" customHeight="1">
      <c r="A540" s="999">
        <f>'09월 에너지'!A540</f>
        <v>46285</v>
      </c>
      <c r="B540" s="1002">
        <f>'09월 조업일지'!B538</f>
        <v>46285</v>
      </c>
      <c r="C540" s="1003" t="str">
        <f>'09월 에너지'!C540</f>
        <v>B</v>
      </c>
      <c r="D540" s="1004" t="str">
        <f>'09월 에너지'!D540</f>
        <v>A</v>
      </c>
      <c r="E540" s="1000">
        <f>'09월 에너지'!E540</f>
        <v>85740</v>
      </c>
      <c r="F540" s="1094" t="str">
        <f>'09월 에너지'!F540</f>
        <v>DKOIL</v>
      </c>
      <c r="G540" s="980"/>
      <c r="H540" s="978"/>
      <c r="I540" s="978">
        <v>3100</v>
      </c>
      <c r="J540" s="978"/>
      <c r="K540" s="978"/>
      <c r="L540" s="978"/>
      <c r="M540" s="978"/>
      <c r="N540" s="978"/>
      <c r="O540" s="1106">
        <f t="shared" si="120"/>
        <v>3100</v>
      </c>
      <c r="P540" s="1108">
        <f>4100+5100+2800</f>
        <v>12000</v>
      </c>
      <c r="Q540" s="979">
        <f>4800+7200</f>
        <v>12000</v>
      </c>
      <c r="R540" s="979">
        <v>4700</v>
      </c>
      <c r="S540" s="979"/>
      <c r="T540" s="979"/>
      <c r="U540" s="979">
        <f>10100+6000</f>
        <v>16100</v>
      </c>
      <c r="V540" s="979">
        <f>3700+11600+7400+9300+6000+8200-1800</f>
        <v>44400</v>
      </c>
      <c r="W540" s="979">
        <v>4000</v>
      </c>
      <c r="X540" s="979">
        <v>7800</v>
      </c>
      <c r="Y540" s="979">
        <f>5100+16000</f>
        <v>21100</v>
      </c>
      <c r="Z540" s="979"/>
      <c r="AA540" s="979">
        <v>1900</v>
      </c>
      <c r="AB540" s="979">
        <v>2500</v>
      </c>
      <c r="AC540" s="979">
        <v>4100</v>
      </c>
      <c r="AD540" s="979"/>
      <c r="AE540" s="1109">
        <f t="shared" si="121"/>
        <v>130600</v>
      </c>
      <c r="AF540" s="1113">
        <v>5100</v>
      </c>
      <c r="AG540" s="981">
        <v>10100</v>
      </c>
      <c r="AH540" s="981">
        <v>9500</v>
      </c>
      <c r="AI540" s="1114">
        <f t="shared" si="122"/>
        <v>24700</v>
      </c>
      <c r="AJ540" s="1110">
        <f t="shared" si="123"/>
        <v>158400</v>
      </c>
      <c r="AK540" s="982">
        <f>'09월 에너지'!S540</f>
        <v>145.4</v>
      </c>
      <c r="AL540" s="983">
        <f t="shared" si="124"/>
        <v>0.91792929292929293</v>
      </c>
    </row>
    <row r="541" spans="1:38" ht="16.5" customHeight="1">
      <c r="A541" s="999">
        <f>'09월 에너지'!A541</f>
        <v>46285</v>
      </c>
      <c r="B541" s="1002">
        <f>'09월 조업일지'!B539</f>
        <v>46285</v>
      </c>
      <c r="C541" s="1003" t="str">
        <f>'09월 에너지'!C541</f>
        <v>B</v>
      </c>
      <c r="D541" s="1004" t="str">
        <f>'09월 에너지'!D541</f>
        <v>B</v>
      </c>
      <c r="E541" s="1000">
        <f>'09월 에너지'!E541</f>
        <v>85741</v>
      </c>
      <c r="F541" s="1094" t="str">
        <f>'09월 에너지'!F541</f>
        <v>DKOIL</v>
      </c>
      <c r="G541" s="980"/>
      <c r="H541" s="978"/>
      <c r="I541" s="978">
        <v>6700</v>
      </c>
      <c r="J541" s="978"/>
      <c r="K541" s="978"/>
      <c r="L541" s="978"/>
      <c r="M541" s="978"/>
      <c r="N541" s="978"/>
      <c r="O541" s="1106">
        <f t="shared" si="120"/>
        <v>6700</v>
      </c>
      <c r="P541" s="1108">
        <f>2900+2700+3800+5800</f>
        <v>15200</v>
      </c>
      <c r="Q541" s="979">
        <f>8000+6300</f>
        <v>14300</v>
      </c>
      <c r="R541" s="979">
        <v>4500</v>
      </c>
      <c r="S541" s="979"/>
      <c r="T541" s="979"/>
      <c r="U541" s="979">
        <f>9700+3500</f>
        <v>13200</v>
      </c>
      <c r="V541" s="979">
        <f>10300+8200+7600+3100+4500+7500</f>
        <v>41200</v>
      </c>
      <c r="W541" s="979">
        <v>3300</v>
      </c>
      <c r="X541" s="979">
        <v>8000</v>
      </c>
      <c r="Y541" s="979">
        <f>4800+7800+4300</f>
        <v>16900</v>
      </c>
      <c r="Z541" s="979"/>
      <c r="AA541" s="979">
        <v>2300</v>
      </c>
      <c r="AB541" s="979">
        <v>3100</v>
      </c>
      <c r="AC541" s="979">
        <v>3200</v>
      </c>
      <c r="AD541" s="979"/>
      <c r="AE541" s="1109">
        <f t="shared" si="121"/>
        <v>125200</v>
      </c>
      <c r="AF541" s="1113">
        <v>3300</v>
      </c>
      <c r="AG541" s="981">
        <v>13200</v>
      </c>
      <c r="AH541" s="981">
        <v>10600</v>
      </c>
      <c r="AI541" s="1114">
        <f t="shared" si="122"/>
        <v>27100</v>
      </c>
      <c r="AJ541" s="1110">
        <f t="shared" si="123"/>
        <v>159000</v>
      </c>
      <c r="AK541" s="982">
        <f>'09월 에너지'!S541</f>
        <v>142.4</v>
      </c>
      <c r="AL541" s="983">
        <f t="shared" si="124"/>
        <v>0.89559748427672958</v>
      </c>
    </row>
    <row r="542" spans="1:38" ht="16.5" customHeight="1">
      <c r="A542" s="999">
        <f>'09월 에너지'!A542</f>
        <v>46285</v>
      </c>
      <c r="B542" s="1002">
        <f>'09월 조업일지'!B540</f>
        <v>46285</v>
      </c>
      <c r="C542" s="1003" t="str">
        <f>'09월 에너지'!C542</f>
        <v>B</v>
      </c>
      <c r="D542" s="1004" t="str">
        <f>'09월 에너지'!D542</f>
        <v>A</v>
      </c>
      <c r="E542" s="1000">
        <f>'09월 에너지'!E542</f>
        <v>85742</v>
      </c>
      <c r="F542" s="1094" t="str">
        <f>'09월 에너지'!F542</f>
        <v>DKOIL</v>
      </c>
      <c r="G542" s="980"/>
      <c r="H542" s="978"/>
      <c r="I542" s="978">
        <v>9700</v>
      </c>
      <c r="J542" s="978"/>
      <c r="K542" s="978"/>
      <c r="L542" s="978"/>
      <c r="M542" s="978"/>
      <c r="N542" s="978"/>
      <c r="O542" s="1106">
        <f t="shared" si="120"/>
        <v>9700</v>
      </c>
      <c r="P542" s="1108">
        <f>6100+2800+3100</f>
        <v>12000</v>
      </c>
      <c r="Q542" s="979">
        <f>5700+12200</f>
        <v>17900</v>
      </c>
      <c r="R542" s="979">
        <v>5700</v>
      </c>
      <c r="S542" s="979"/>
      <c r="T542" s="979"/>
      <c r="U542" s="979">
        <f>7800+9200</f>
        <v>17000</v>
      </c>
      <c r="V542" s="979">
        <f>4200+7100+1200+5300+7400+7900</f>
        <v>33100</v>
      </c>
      <c r="W542" s="979">
        <v>2500</v>
      </c>
      <c r="X542" s="979">
        <v>8700</v>
      </c>
      <c r="Y542" s="979">
        <f>3400+20200</f>
        <v>23600</v>
      </c>
      <c r="Z542" s="979"/>
      <c r="AA542" s="979">
        <v>5800</v>
      </c>
      <c r="AB542" s="979">
        <v>2800</v>
      </c>
      <c r="AC542" s="979">
        <v>3000</v>
      </c>
      <c r="AD542" s="979"/>
      <c r="AE542" s="1109">
        <f t="shared" si="121"/>
        <v>132100</v>
      </c>
      <c r="AF542" s="1113">
        <v>4000</v>
      </c>
      <c r="AG542" s="981">
        <v>5000</v>
      </c>
      <c r="AH542" s="981">
        <v>6800</v>
      </c>
      <c r="AI542" s="1114">
        <f t="shared" si="122"/>
        <v>15800</v>
      </c>
      <c r="AJ542" s="1110">
        <f t="shared" si="123"/>
        <v>157600</v>
      </c>
      <c r="AK542" s="982">
        <f>'09월 에너지'!S542</f>
        <v>142.19999999999999</v>
      </c>
      <c r="AL542" s="983">
        <f t="shared" si="124"/>
        <v>0.90228426395939088</v>
      </c>
    </row>
    <row r="543" spans="1:38" ht="16.5" customHeight="1">
      <c r="A543" s="999">
        <f>'09월 에너지'!A543</f>
        <v>46285</v>
      </c>
      <c r="B543" s="1002">
        <f>'09월 조업일지'!B541</f>
        <v>46285</v>
      </c>
      <c r="C543" s="1003" t="str">
        <f>'09월 에너지'!C543</f>
        <v>B</v>
      </c>
      <c r="D543" s="1004" t="str">
        <f>'09월 에너지'!D543</f>
        <v>B</v>
      </c>
      <c r="E543" s="1000">
        <f>'09월 에너지'!E543</f>
        <v>85743</v>
      </c>
      <c r="F543" s="1094" t="str">
        <f>'09월 에너지'!F543</f>
        <v>DKOIL</v>
      </c>
      <c r="G543" s="980"/>
      <c r="H543" s="978"/>
      <c r="I543" s="978">
        <v>6500</v>
      </c>
      <c r="J543" s="978"/>
      <c r="K543" s="978"/>
      <c r="L543" s="978"/>
      <c r="M543" s="978"/>
      <c r="N543" s="978"/>
      <c r="O543" s="1106">
        <f t="shared" si="120"/>
        <v>6500</v>
      </c>
      <c r="P543" s="1108">
        <f>4000+6100+3300</f>
        <v>13400</v>
      </c>
      <c r="Q543" s="979">
        <f>11300+6600</f>
        <v>17900</v>
      </c>
      <c r="R543" s="979">
        <v>3400</v>
      </c>
      <c r="S543" s="979"/>
      <c r="T543" s="979"/>
      <c r="U543" s="979">
        <f>8000+2100</f>
        <v>10100</v>
      </c>
      <c r="V543" s="979">
        <f>4000+6200+6600+5200+7000+11500</f>
        <v>40500</v>
      </c>
      <c r="W543" s="979">
        <v>4900</v>
      </c>
      <c r="X543" s="979">
        <v>8800</v>
      </c>
      <c r="Y543" s="979">
        <f>5000+16000+1500</f>
        <v>22500</v>
      </c>
      <c r="Z543" s="979"/>
      <c r="AA543" s="979">
        <v>2500</v>
      </c>
      <c r="AB543" s="979">
        <v>2300</v>
      </c>
      <c r="AC543" s="979">
        <v>4300</v>
      </c>
      <c r="AD543" s="979"/>
      <c r="AE543" s="1109">
        <f t="shared" si="121"/>
        <v>130600</v>
      </c>
      <c r="AF543" s="1113">
        <v>4400</v>
      </c>
      <c r="AG543" s="981">
        <v>13200</v>
      </c>
      <c r="AH543" s="981">
        <v>3200</v>
      </c>
      <c r="AI543" s="1114">
        <f t="shared" si="122"/>
        <v>20800</v>
      </c>
      <c r="AJ543" s="1110">
        <f t="shared" si="123"/>
        <v>157900</v>
      </c>
      <c r="AK543" s="982">
        <f>'09월 에너지'!S543</f>
        <v>145</v>
      </c>
      <c r="AL543" s="983">
        <f t="shared" si="124"/>
        <v>0.91830272324255857</v>
      </c>
    </row>
    <row r="544" spans="1:38" ht="16.5" customHeight="1">
      <c r="A544" s="999">
        <f>'09월 에너지'!A544</f>
        <v>46285</v>
      </c>
      <c r="B544" s="1002">
        <f>'09월 조업일지'!B542</f>
        <v>46285</v>
      </c>
      <c r="C544" s="1003" t="str">
        <f>'09월 에너지'!C544</f>
        <v>B</v>
      </c>
      <c r="D544" s="1004" t="str">
        <f>'09월 에너지'!D544</f>
        <v>A</v>
      </c>
      <c r="E544" s="1000">
        <f>'09월 에너지'!E544</f>
        <v>85744</v>
      </c>
      <c r="F544" s="1094" t="str">
        <f>'09월 에너지'!F544</f>
        <v>DKOIL</v>
      </c>
      <c r="G544" s="980"/>
      <c r="H544" s="978"/>
      <c r="I544" s="978">
        <v>8200</v>
      </c>
      <c r="J544" s="978"/>
      <c r="K544" s="978"/>
      <c r="L544" s="978"/>
      <c r="M544" s="978"/>
      <c r="N544" s="978"/>
      <c r="O544" s="1106">
        <f t="shared" si="120"/>
        <v>8200</v>
      </c>
      <c r="P544" s="1108">
        <f>2200+11400+9600</f>
        <v>23200</v>
      </c>
      <c r="Q544" s="979">
        <f>11300+11500</f>
        <v>22800</v>
      </c>
      <c r="R544" s="979">
        <v>5000</v>
      </c>
      <c r="S544" s="979"/>
      <c r="T544" s="979"/>
      <c r="U544" s="979">
        <f>8500+4100</f>
        <v>12600</v>
      </c>
      <c r="V544" s="979">
        <f>8200+5400+7700+3700+2400+7000</f>
        <v>34400</v>
      </c>
      <c r="W544" s="979">
        <v>2000</v>
      </c>
      <c r="X544" s="979">
        <v>8600</v>
      </c>
      <c r="Y544" s="979">
        <f>3400+18100+100</f>
        <v>21600</v>
      </c>
      <c r="Z544" s="979"/>
      <c r="AA544" s="979">
        <v>1100</v>
      </c>
      <c r="AB544" s="979">
        <v>2300</v>
      </c>
      <c r="AC544" s="979">
        <v>3400</v>
      </c>
      <c r="AD544" s="979"/>
      <c r="AE544" s="1109">
        <f t="shared" si="121"/>
        <v>137000</v>
      </c>
      <c r="AF544" s="1113">
        <v>4800</v>
      </c>
      <c r="AG544" s="981">
        <v>5800</v>
      </c>
      <c r="AH544" s="981">
        <v>2800</v>
      </c>
      <c r="AI544" s="1114">
        <f t="shared" si="122"/>
        <v>13400</v>
      </c>
      <c r="AJ544" s="1110">
        <f t="shared" si="123"/>
        <v>158600</v>
      </c>
      <c r="AK544" s="982">
        <f>'09월 에너지'!S544</f>
        <v>142.6</v>
      </c>
      <c r="AL544" s="983">
        <f t="shared" si="124"/>
        <v>0.89911727616645654</v>
      </c>
    </row>
    <row r="545" spans="1:38" ht="16.5" customHeight="1">
      <c r="A545" s="999">
        <f>'09월 에너지'!A545</f>
        <v>46285</v>
      </c>
      <c r="B545" s="1002">
        <f>'09월 조업일지'!B543</f>
        <v>46285</v>
      </c>
      <c r="C545" s="1003" t="str">
        <f>'09월 에너지'!C545</f>
        <v>B</v>
      </c>
      <c r="D545" s="1004" t="str">
        <f>'09월 에너지'!D545</f>
        <v>B</v>
      </c>
      <c r="E545" s="1000">
        <f>'09월 에너지'!E545</f>
        <v>85745</v>
      </c>
      <c r="F545" s="1094" t="str">
        <f>'09월 에너지'!F545</f>
        <v>DKOIL</v>
      </c>
      <c r="G545" s="980"/>
      <c r="H545" s="978"/>
      <c r="I545" s="978">
        <v>2400</v>
      </c>
      <c r="J545" s="978"/>
      <c r="K545" s="978"/>
      <c r="L545" s="978"/>
      <c r="M545" s="978"/>
      <c r="N545" s="978"/>
      <c r="O545" s="1106">
        <f t="shared" si="120"/>
        <v>2400</v>
      </c>
      <c r="P545" s="1108">
        <f>4400+11700+2500</f>
        <v>18600</v>
      </c>
      <c r="Q545" s="979">
        <f>21400+5700</f>
        <v>27100</v>
      </c>
      <c r="R545" s="979">
        <v>2900</v>
      </c>
      <c r="S545" s="979"/>
      <c r="T545" s="979"/>
      <c r="U545" s="979">
        <f>4200+2400</f>
        <v>6600</v>
      </c>
      <c r="V545" s="979">
        <f>3400+7600+8300+9600+8000+5800</f>
        <v>42700</v>
      </c>
      <c r="W545" s="979">
        <v>3300</v>
      </c>
      <c r="X545" s="979">
        <v>7400</v>
      </c>
      <c r="Y545" s="979">
        <f>5100+12100+2600</f>
        <v>19800</v>
      </c>
      <c r="Z545" s="979"/>
      <c r="AA545" s="979">
        <v>3300</v>
      </c>
      <c r="AB545" s="979">
        <v>3100</v>
      </c>
      <c r="AC545" s="979">
        <v>5400</v>
      </c>
      <c r="AD545" s="979"/>
      <c r="AE545" s="1109">
        <f t="shared" si="121"/>
        <v>140200</v>
      </c>
      <c r="AF545" s="1113">
        <v>4100</v>
      </c>
      <c r="AG545" s="981">
        <v>8200</v>
      </c>
      <c r="AH545" s="981">
        <v>3200</v>
      </c>
      <c r="AI545" s="1114">
        <f t="shared" si="122"/>
        <v>15500</v>
      </c>
      <c r="AJ545" s="1110">
        <f t="shared" si="123"/>
        <v>158100</v>
      </c>
      <c r="AK545" s="982">
        <f>'09월 에너지'!S545</f>
        <v>141.6</v>
      </c>
      <c r="AL545" s="983">
        <f t="shared" si="124"/>
        <v>0.89563567362428842</v>
      </c>
    </row>
    <row r="546" spans="1:38" ht="16.5" customHeight="1">
      <c r="A546" s="999">
        <f>'09월 에너지'!A546</f>
        <v>46285</v>
      </c>
      <c r="B546" s="1002">
        <f>'09월 조업일지'!B544</f>
        <v>46285</v>
      </c>
      <c r="C546" s="1003" t="str">
        <f>'09월 에너지'!C546</f>
        <v>B</v>
      </c>
      <c r="D546" s="1004" t="str">
        <f>'09월 에너지'!D546</f>
        <v>A</v>
      </c>
      <c r="E546" s="1000">
        <f>'09월 에너지'!E546</f>
        <v>85746</v>
      </c>
      <c r="F546" s="1094" t="str">
        <f>'09월 에너지'!F546</f>
        <v>DKOIL</v>
      </c>
      <c r="G546" s="980"/>
      <c r="H546" s="978"/>
      <c r="I546" s="978">
        <v>6000</v>
      </c>
      <c r="J546" s="978"/>
      <c r="K546" s="978"/>
      <c r="L546" s="978"/>
      <c r="M546" s="978"/>
      <c r="N546" s="978"/>
      <c r="O546" s="1106">
        <f t="shared" si="120"/>
        <v>6000</v>
      </c>
      <c r="P546" s="1108">
        <f>7200+3200+7500</f>
        <v>17900</v>
      </c>
      <c r="Q546" s="979">
        <f>11900+8800</f>
        <v>20700</v>
      </c>
      <c r="R546" s="979">
        <v>9000</v>
      </c>
      <c r="S546" s="979"/>
      <c r="T546" s="979"/>
      <c r="U546" s="979">
        <f>4800+7800</f>
        <v>12600</v>
      </c>
      <c r="V546" s="979">
        <f>300+18800+7900+7300+8300</f>
        <v>42600</v>
      </c>
      <c r="W546" s="979">
        <v>2100</v>
      </c>
      <c r="X546" s="979">
        <v>8100</v>
      </c>
      <c r="Y546" s="979">
        <f>100+16800+900</f>
        <v>17800</v>
      </c>
      <c r="Z546" s="979"/>
      <c r="AA546" s="979">
        <v>2700</v>
      </c>
      <c r="AB546" s="979">
        <v>3900</v>
      </c>
      <c r="AC546" s="979">
        <v>1200</v>
      </c>
      <c r="AD546" s="979"/>
      <c r="AE546" s="1109">
        <f t="shared" si="121"/>
        <v>138600</v>
      </c>
      <c r="AF546" s="1113">
        <v>4700</v>
      </c>
      <c r="AG546" s="981">
        <v>5700</v>
      </c>
      <c r="AH546" s="981">
        <v>3400</v>
      </c>
      <c r="AI546" s="1114">
        <f t="shared" si="122"/>
        <v>13800</v>
      </c>
      <c r="AJ546" s="1110">
        <f t="shared" si="123"/>
        <v>158400</v>
      </c>
      <c r="AK546" s="982">
        <f>'09월 에너지'!S546</f>
        <v>141.6</v>
      </c>
      <c r="AL546" s="983">
        <f t="shared" si="124"/>
        <v>0.89393939393939392</v>
      </c>
    </row>
    <row r="547" spans="1:38" ht="16.5" customHeight="1">
      <c r="A547" s="999">
        <f>'09월 에너지'!A547</f>
        <v>46285</v>
      </c>
      <c r="B547" s="1002">
        <f>'09월 조업일지'!B545</f>
        <v>46285</v>
      </c>
      <c r="C547" s="1003" t="str">
        <f>'09월 에너지'!C547</f>
        <v>B</v>
      </c>
      <c r="D547" s="1004" t="str">
        <f>'09월 에너지'!D547</f>
        <v>B</v>
      </c>
      <c r="E547" s="1000">
        <f>'09월 에너지'!E547</f>
        <v>85747</v>
      </c>
      <c r="F547" s="1094" t="str">
        <f>'09월 에너지'!F547</f>
        <v>DKOIL</v>
      </c>
      <c r="G547" s="980"/>
      <c r="H547" s="978"/>
      <c r="I547" s="978">
        <v>3400</v>
      </c>
      <c r="J547" s="978"/>
      <c r="K547" s="978"/>
      <c r="L547" s="978"/>
      <c r="M547" s="978"/>
      <c r="N547" s="978"/>
      <c r="O547" s="1106">
        <f t="shared" si="120"/>
        <v>3400</v>
      </c>
      <c r="P547" s="1108">
        <f>3100+14500+2600</f>
        <v>20200</v>
      </c>
      <c r="Q547" s="979">
        <f>11600+4600</f>
        <v>16200</v>
      </c>
      <c r="R547" s="979">
        <v>3400</v>
      </c>
      <c r="S547" s="979"/>
      <c r="T547" s="979"/>
      <c r="U547" s="979">
        <f>8600+6400</f>
        <v>15000</v>
      </c>
      <c r="V547" s="979">
        <f>5100+7500+7400+1900+7800+6700</f>
        <v>36400</v>
      </c>
      <c r="W547" s="979">
        <v>5000</v>
      </c>
      <c r="X547" s="979">
        <v>6400</v>
      </c>
      <c r="Y547" s="979">
        <f>5300+12000+6800</f>
        <v>24100</v>
      </c>
      <c r="Z547" s="979"/>
      <c r="AA547" s="979">
        <v>3200</v>
      </c>
      <c r="AB547" s="979">
        <v>3800</v>
      </c>
      <c r="AC547" s="979">
        <v>4600</v>
      </c>
      <c r="AD547" s="979"/>
      <c r="AE547" s="1109">
        <f t="shared" si="121"/>
        <v>138300</v>
      </c>
      <c r="AF547" s="1113">
        <v>4600</v>
      </c>
      <c r="AG547" s="981">
        <v>9100</v>
      </c>
      <c r="AH547" s="981">
        <v>2600</v>
      </c>
      <c r="AI547" s="1114">
        <f t="shared" si="122"/>
        <v>16300</v>
      </c>
      <c r="AJ547" s="1110">
        <f t="shared" si="123"/>
        <v>158000</v>
      </c>
      <c r="AK547" s="982">
        <f>'09월 에너지'!S547</f>
        <v>143.1</v>
      </c>
      <c r="AL547" s="983">
        <f t="shared" si="124"/>
        <v>0.90569620253164562</v>
      </c>
    </row>
    <row r="548" spans="1:38" ht="16.5" customHeight="1">
      <c r="A548" s="999">
        <f>'09월 에너지'!A548</f>
        <v>46285</v>
      </c>
      <c r="B548" s="1002">
        <f>'09월 조업일지'!B546</f>
        <v>46285</v>
      </c>
      <c r="C548" s="1003" t="str">
        <f>'09월 에너지'!C548</f>
        <v>B</v>
      </c>
      <c r="D548" s="1004" t="str">
        <f>'09월 에너지'!D548</f>
        <v>A</v>
      </c>
      <c r="E548" s="1000">
        <f>'09월 에너지'!E548</f>
        <v>85748</v>
      </c>
      <c r="F548" s="1094" t="str">
        <f>'09월 에너지'!F548</f>
        <v>DKOIL</v>
      </c>
      <c r="G548" s="980"/>
      <c r="H548" s="978"/>
      <c r="I548" s="978">
        <v>100</v>
      </c>
      <c r="J548" s="978"/>
      <c r="K548" s="978"/>
      <c r="L548" s="978"/>
      <c r="M548" s="978"/>
      <c r="N548" s="978"/>
      <c r="O548" s="1106">
        <f t="shared" si="120"/>
        <v>100</v>
      </c>
      <c r="P548" s="1108">
        <f>5600+6900+7900</f>
        <v>20400</v>
      </c>
      <c r="Q548" s="979">
        <f>11300+15100</f>
        <v>26400</v>
      </c>
      <c r="R548" s="979">
        <v>16200</v>
      </c>
      <c r="S548" s="979"/>
      <c r="T548" s="979"/>
      <c r="U548" s="979">
        <f>6300+7200</f>
        <v>13500</v>
      </c>
      <c r="V548" s="979">
        <f>1600+14600+7200+200+2300+7400</f>
        <v>33300</v>
      </c>
      <c r="W548" s="979">
        <v>2900</v>
      </c>
      <c r="X548" s="979">
        <v>8300</v>
      </c>
      <c r="Y548" s="979">
        <f>3100+17000</f>
        <v>20100</v>
      </c>
      <c r="Z548" s="979"/>
      <c r="AA548" s="979">
        <v>2800</v>
      </c>
      <c r="AB548" s="979">
        <v>1200</v>
      </c>
      <c r="AC548" s="979">
        <v>2000</v>
      </c>
      <c r="AD548" s="979"/>
      <c r="AE548" s="1109">
        <f t="shared" si="121"/>
        <v>147100</v>
      </c>
      <c r="AF548" s="1113">
        <v>4700</v>
      </c>
      <c r="AG548" s="981">
        <v>3100</v>
      </c>
      <c r="AH548" s="981">
        <v>4400</v>
      </c>
      <c r="AI548" s="1114">
        <f t="shared" si="122"/>
        <v>12200</v>
      </c>
      <c r="AJ548" s="1110">
        <f t="shared" si="123"/>
        <v>159400</v>
      </c>
      <c r="AK548" s="982">
        <f>'09월 에너지'!S548</f>
        <v>141.4</v>
      </c>
      <c r="AL548" s="983">
        <f t="shared" si="124"/>
        <v>0.88707653701380174</v>
      </c>
    </row>
    <row r="549" spans="1:38" ht="16.5" customHeight="1">
      <c r="A549" s="999">
        <f>'09월 에너지'!A549</f>
        <v>46285</v>
      </c>
      <c r="B549" s="1002">
        <f>'09월 조업일지'!B547</f>
        <v>46285</v>
      </c>
      <c r="C549" s="1003" t="str">
        <f>'09월 에너지'!C549</f>
        <v>D</v>
      </c>
      <c r="D549" s="1004" t="str">
        <f>'09월 에너지'!D549</f>
        <v>B</v>
      </c>
      <c r="E549" s="1000">
        <f>'09월 에너지'!E549</f>
        <v>85749</v>
      </c>
      <c r="F549" s="1094" t="str">
        <f>'09월 에너지'!F549</f>
        <v>DKOIL</v>
      </c>
      <c r="G549" s="980"/>
      <c r="H549" s="978"/>
      <c r="I549" s="978">
        <v>4200</v>
      </c>
      <c r="J549" s="978"/>
      <c r="K549" s="978"/>
      <c r="L549" s="978"/>
      <c r="M549" s="978"/>
      <c r="N549" s="978"/>
      <c r="O549" s="1106">
        <f t="shared" si="120"/>
        <v>4200</v>
      </c>
      <c r="P549" s="1108">
        <f>2500+12000+1900</f>
        <v>16400</v>
      </c>
      <c r="Q549" s="979">
        <f>9200+7700</f>
        <v>16900</v>
      </c>
      <c r="R549" s="979">
        <v>3000</v>
      </c>
      <c r="S549" s="979"/>
      <c r="T549" s="979"/>
      <c r="U549" s="979">
        <f>10300+2000</f>
        <v>12300</v>
      </c>
      <c r="V549" s="979">
        <f>6700+6200+7600+4400+8300+6800</f>
        <v>40000</v>
      </c>
      <c r="W549" s="979">
        <v>3300</v>
      </c>
      <c r="X549" s="979">
        <v>8800</v>
      </c>
      <c r="Y549" s="979">
        <f>5200+13800+6700</f>
        <v>25700</v>
      </c>
      <c r="Z549" s="979"/>
      <c r="AA549" s="979">
        <v>2500</v>
      </c>
      <c r="AB549" s="979">
        <v>3800</v>
      </c>
      <c r="AC549" s="979">
        <v>3600</v>
      </c>
      <c r="AD549" s="979"/>
      <c r="AE549" s="1109">
        <f t="shared" si="121"/>
        <v>136300</v>
      </c>
      <c r="AF549" s="1113">
        <v>4800</v>
      </c>
      <c r="AG549" s="981">
        <v>10800</v>
      </c>
      <c r="AH549" s="981">
        <v>2700</v>
      </c>
      <c r="AI549" s="1114">
        <f t="shared" si="122"/>
        <v>18300</v>
      </c>
      <c r="AJ549" s="1110">
        <f t="shared" si="123"/>
        <v>158800</v>
      </c>
      <c r="AK549" s="982">
        <f>'09월 에너지'!S549</f>
        <v>144.1</v>
      </c>
      <c r="AL549" s="983">
        <f t="shared" si="124"/>
        <v>0.90743073047858946</v>
      </c>
    </row>
    <row r="550" spans="1:38" ht="16.5" customHeight="1">
      <c r="A550" s="999">
        <f>'09월 에너지'!A550</f>
        <v>46285</v>
      </c>
      <c r="B550" s="1002">
        <f>'09월 조업일지'!B548</f>
        <v>46285</v>
      </c>
      <c r="C550" s="1003" t="str">
        <f>'09월 에너지'!C550</f>
        <v>D</v>
      </c>
      <c r="D550" s="1004" t="str">
        <f>'09월 에너지'!D550</f>
        <v>A</v>
      </c>
      <c r="E550" s="1000">
        <f>'09월 에너지'!E550</f>
        <v>85750</v>
      </c>
      <c r="F550" s="1094" t="str">
        <f>'09월 에너지'!F550</f>
        <v>DKOIL</v>
      </c>
      <c r="G550" s="980"/>
      <c r="H550" s="978"/>
      <c r="I550" s="978">
        <v>6900</v>
      </c>
      <c r="J550" s="978"/>
      <c r="K550" s="978"/>
      <c r="L550" s="978"/>
      <c r="M550" s="978"/>
      <c r="N550" s="978"/>
      <c r="O550" s="1106">
        <f t="shared" si="120"/>
        <v>6900</v>
      </c>
      <c r="P550" s="1108">
        <f>7800+6600+5200</f>
        <v>19600</v>
      </c>
      <c r="Q550" s="979">
        <f>13500+8600</f>
        <v>22100</v>
      </c>
      <c r="R550" s="979">
        <v>4100</v>
      </c>
      <c r="S550" s="979"/>
      <c r="T550" s="979"/>
      <c r="U550" s="979">
        <f>3800+6100</f>
        <v>9900</v>
      </c>
      <c r="V550" s="979">
        <f>3500+9200+8200+5300+8400</f>
        <v>34600</v>
      </c>
      <c r="W550" s="979">
        <v>3400</v>
      </c>
      <c r="X550" s="979">
        <v>7100</v>
      </c>
      <c r="Y550" s="979">
        <f>3300+14400+6400</f>
        <v>24100</v>
      </c>
      <c r="Z550" s="979"/>
      <c r="AA550" s="979">
        <v>3000</v>
      </c>
      <c r="AB550" s="979">
        <v>3000</v>
      </c>
      <c r="AC550" s="979">
        <v>1400</v>
      </c>
      <c r="AD550" s="979"/>
      <c r="AE550" s="1109">
        <f t="shared" si="121"/>
        <v>132300</v>
      </c>
      <c r="AF550" s="1113">
        <v>4800</v>
      </c>
      <c r="AG550" s="981">
        <v>9000</v>
      </c>
      <c r="AH550" s="981">
        <v>5200</v>
      </c>
      <c r="AI550" s="1114">
        <f t="shared" si="122"/>
        <v>19000</v>
      </c>
      <c r="AJ550" s="1110">
        <f t="shared" si="123"/>
        <v>158200</v>
      </c>
      <c r="AK550" s="982">
        <f>'09월 에너지'!S550</f>
        <v>143.9</v>
      </c>
      <c r="AL550" s="983">
        <f t="shared" si="124"/>
        <v>0.90960809102402018</v>
      </c>
    </row>
    <row r="551" spans="1:38" ht="16.5" customHeight="1">
      <c r="A551" s="999">
        <f>'09월 에너지'!A551</f>
        <v>46285</v>
      </c>
      <c r="B551" s="1002">
        <f>'09월 조업일지'!B549</f>
        <v>46285</v>
      </c>
      <c r="C551" s="1003" t="str">
        <f>'09월 에너지'!C551</f>
        <v>D</v>
      </c>
      <c r="D551" s="1004" t="str">
        <f>'09월 에너지'!D551</f>
        <v>B</v>
      </c>
      <c r="E551" s="1000">
        <f>'09월 에너지'!E551</f>
        <v>85751</v>
      </c>
      <c r="F551" s="1094" t="str">
        <f>'09월 에너지'!F551</f>
        <v>DKOIL</v>
      </c>
      <c r="G551" s="980"/>
      <c r="H551" s="978"/>
      <c r="I551" s="978">
        <v>5300</v>
      </c>
      <c r="J551" s="978"/>
      <c r="K551" s="978"/>
      <c r="L551" s="978"/>
      <c r="M551" s="978"/>
      <c r="N551" s="978"/>
      <c r="O551" s="1106">
        <f t="shared" si="120"/>
        <v>5300</v>
      </c>
      <c r="P551" s="1108">
        <f>4400+5000+3200</f>
        <v>12600</v>
      </c>
      <c r="Q551" s="979">
        <f>10500+2900</f>
        <v>13400</v>
      </c>
      <c r="R551" s="979">
        <v>7200</v>
      </c>
      <c r="S551" s="979"/>
      <c r="T551" s="979"/>
      <c r="U551" s="979">
        <f>10700+5100</f>
        <v>15800</v>
      </c>
      <c r="V551" s="979">
        <f>5300+10300+8500+6600+6400+7300</f>
        <v>44400</v>
      </c>
      <c r="W551" s="979">
        <v>1100</v>
      </c>
      <c r="X551" s="979">
        <v>10000</v>
      </c>
      <c r="Y551" s="979">
        <f>6400+11600+7000</f>
        <v>25000</v>
      </c>
      <c r="Z551" s="979"/>
      <c r="AA551" s="979">
        <v>2100</v>
      </c>
      <c r="AB551" s="979">
        <v>2000</v>
      </c>
      <c r="AC551" s="979">
        <v>3800</v>
      </c>
      <c r="AD551" s="979"/>
      <c r="AE551" s="1109">
        <f t="shared" si="121"/>
        <v>137400</v>
      </c>
      <c r="AF551" s="1113">
        <v>3900</v>
      </c>
      <c r="AG551" s="981">
        <v>9100</v>
      </c>
      <c r="AH551" s="981">
        <v>3300</v>
      </c>
      <c r="AI551" s="1114">
        <f t="shared" si="122"/>
        <v>16300</v>
      </c>
      <c r="AJ551" s="1110">
        <f t="shared" si="123"/>
        <v>159000</v>
      </c>
      <c r="AK551" s="982">
        <f>'09월 에너지'!S551</f>
        <v>143.30000000000001</v>
      </c>
      <c r="AL551" s="983">
        <f t="shared" si="124"/>
        <v>0.90125786163522015</v>
      </c>
    </row>
    <row r="552" spans="1:38" ht="16.5" customHeight="1">
      <c r="A552" s="999">
        <f>'09월 에너지'!A552</f>
        <v>46285</v>
      </c>
      <c r="B552" s="1002">
        <f>'09월 조업일지'!B550</f>
        <v>46285</v>
      </c>
      <c r="C552" s="1003" t="str">
        <f>'09월 에너지'!C552</f>
        <v>D</v>
      </c>
      <c r="D552" s="1004" t="str">
        <f>'09월 에너지'!D552</f>
        <v>A</v>
      </c>
      <c r="E552" s="1000">
        <f>'09월 에너지'!E552</f>
        <v>85752</v>
      </c>
      <c r="F552" s="1094" t="str">
        <f>'09월 에너지'!F552</f>
        <v>DKOIL</v>
      </c>
      <c r="G552" s="980"/>
      <c r="H552" s="978"/>
      <c r="I552" s="978">
        <v>2600</v>
      </c>
      <c r="J552" s="978"/>
      <c r="K552" s="978"/>
      <c r="L552" s="978"/>
      <c r="M552" s="978"/>
      <c r="N552" s="978"/>
      <c r="O552" s="1106">
        <f t="shared" si="120"/>
        <v>2600</v>
      </c>
      <c r="P552" s="1108">
        <f>2200+4900+6300</f>
        <v>13400</v>
      </c>
      <c r="Q552" s="979">
        <f>7000+5300</f>
        <v>12300</v>
      </c>
      <c r="R552" s="979">
        <v>13500</v>
      </c>
      <c r="S552" s="979"/>
      <c r="T552" s="979"/>
      <c r="U552" s="979">
        <f>7100+5500</f>
        <v>12600</v>
      </c>
      <c r="V552" s="979">
        <f>6300+10600+6800+4800+5900+7400</f>
        <v>41800</v>
      </c>
      <c r="W552" s="979">
        <v>4300</v>
      </c>
      <c r="X552" s="979">
        <v>7200</v>
      </c>
      <c r="Y552" s="979">
        <f>10300+11000+9100</f>
        <v>30400</v>
      </c>
      <c r="Z552" s="979"/>
      <c r="AA552" s="979">
        <v>1100</v>
      </c>
      <c r="AB552" s="979">
        <v>700</v>
      </c>
      <c r="AC552" s="979">
        <v>3900</v>
      </c>
      <c r="AD552" s="979"/>
      <c r="AE552" s="1109">
        <f t="shared" si="121"/>
        <v>141200</v>
      </c>
      <c r="AF552" s="1113">
        <v>4000</v>
      </c>
      <c r="AG552" s="981">
        <v>8300</v>
      </c>
      <c r="AH552" s="981">
        <v>8200</v>
      </c>
      <c r="AI552" s="1114">
        <f t="shared" si="122"/>
        <v>20500</v>
      </c>
      <c r="AJ552" s="1110">
        <f t="shared" si="123"/>
        <v>164300</v>
      </c>
      <c r="AK552" s="982">
        <f>'09월 에너지'!S552</f>
        <v>142.1</v>
      </c>
      <c r="AL552" s="983">
        <f t="shared" si="124"/>
        <v>0.86488131466828977</v>
      </c>
    </row>
    <row r="553" spans="1:38" ht="16.5" customHeight="1">
      <c r="A553" s="999">
        <f>'09월 에너지'!A553</f>
        <v>46285</v>
      </c>
      <c r="B553" s="1002">
        <f>'09월 조업일지'!B551</f>
        <v>46285</v>
      </c>
      <c r="C553" s="1003" t="str">
        <f>'09월 에너지'!C553</f>
        <v>D</v>
      </c>
      <c r="D553" s="1004" t="str">
        <f>'09월 에너지'!D553</f>
        <v>B</v>
      </c>
      <c r="E553" s="1000">
        <f>'09월 에너지'!E553</f>
        <v>85753</v>
      </c>
      <c r="F553" s="1094" t="str">
        <f>'09월 에너지'!F553</f>
        <v>DKOIL</v>
      </c>
      <c r="G553" s="980"/>
      <c r="H553" s="978"/>
      <c r="I553" s="978">
        <v>4600</v>
      </c>
      <c r="J553" s="978"/>
      <c r="K553" s="978"/>
      <c r="L553" s="978"/>
      <c r="M553" s="978"/>
      <c r="N553" s="978"/>
      <c r="O553" s="1106">
        <f t="shared" si="120"/>
        <v>4600</v>
      </c>
      <c r="P553" s="1108">
        <f>4500+5800+2800</f>
        <v>13100</v>
      </c>
      <c r="Q553" s="979">
        <f>6400+3200</f>
        <v>9600</v>
      </c>
      <c r="R553" s="979">
        <v>9000</v>
      </c>
      <c r="S553" s="979"/>
      <c r="T553" s="979"/>
      <c r="U553" s="979">
        <f>9500+6900</f>
        <v>16400</v>
      </c>
      <c r="V553" s="979">
        <f>8000+7800+7300+1800+10400+7700</f>
        <v>43000</v>
      </c>
      <c r="W553" s="979">
        <v>3200</v>
      </c>
      <c r="X553" s="979">
        <v>8100</v>
      </c>
      <c r="Y553" s="979">
        <f>6400+11800+6500</f>
        <v>24700</v>
      </c>
      <c r="Z553" s="979"/>
      <c r="AA553" s="979">
        <v>2100</v>
      </c>
      <c r="AB553" s="979">
        <v>1500</v>
      </c>
      <c r="AC553" s="979">
        <v>3000</v>
      </c>
      <c r="AD553" s="979"/>
      <c r="AE553" s="1109">
        <f t="shared" si="121"/>
        <v>133700</v>
      </c>
      <c r="AF553" s="1113">
        <v>4200</v>
      </c>
      <c r="AG553" s="981">
        <v>11500</v>
      </c>
      <c r="AH553" s="981">
        <v>4500</v>
      </c>
      <c r="AI553" s="1114">
        <f t="shared" si="122"/>
        <v>20200</v>
      </c>
      <c r="AJ553" s="1110">
        <f t="shared" si="123"/>
        <v>158500</v>
      </c>
      <c r="AK553" s="982">
        <f>'09월 에너지'!S553</f>
        <v>143.6</v>
      </c>
      <c r="AL553" s="983">
        <f t="shared" si="124"/>
        <v>0.90599369085173498</v>
      </c>
    </row>
    <row r="554" spans="1:38" ht="16.5" customHeight="1">
      <c r="A554" s="999">
        <f>'09월 에너지'!A554</f>
        <v>46285</v>
      </c>
      <c r="B554" s="1002">
        <f>'09월 조업일지'!B552</f>
        <v>46285</v>
      </c>
      <c r="C554" s="1003" t="str">
        <f>'09월 에너지'!C554</f>
        <v>D</v>
      </c>
      <c r="D554" s="1004" t="str">
        <f>'09월 에너지'!D554</f>
        <v>A</v>
      </c>
      <c r="E554" s="1000">
        <f>'09월 에너지'!E554</f>
        <v>85754</v>
      </c>
      <c r="F554" s="1094" t="str">
        <f>'09월 에너지'!F554</f>
        <v>DKOIL</v>
      </c>
      <c r="G554" s="980"/>
      <c r="H554" s="978"/>
      <c r="I554" s="978">
        <v>8900</v>
      </c>
      <c r="J554" s="978"/>
      <c r="K554" s="978"/>
      <c r="L554" s="978"/>
      <c r="M554" s="978"/>
      <c r="N554" s="978"/>
      <c r="O554" s="1106">
        <f t="shared" si="120"/>
        <v>8900</v>
      </c>
      <c r="P554" s="1108">
        <f>1900+2600+8000</f>
        <v>12500</v>
      </c>
      <c r="Q554" s="979">
        <f>6400+7500</f>
        <v>13900</v>
      </c>
      <c r="R554" s="979">
        <v>10700</v>
      </c>
      <c r="S554" s="979"/>
      <c r="T554" s="979"/>
      <c r="U554" s="979">
        <f>9400+7200</f>
        <v>16600</v>
      </c>
      <c r="V554" s="979">
        <f>7200+9400+8700+100+4300+7800</f>
        <v>37500</v>
      </c>
      <c r="W554" s="979">
        <v>100</v>
      </c>
      <c r="X554" s="979">
        <v>10200</v>
      </c>
      <c r="Y554" s="979">
        <f>6000+15300+3900</f>
        <v>25200</v>
      </c>
      <c r="Z554" s="979"/>
      <c r="AA554" s="979">
        <v>500</v>
      </c>
      <c r="AB554" s="979">
        <v>1000</v>
      </c>
      <c r="AC554" s="979">
        <v>2400</v>
      </c>
      <c r="AD554" s="979"/>
      <c r="AE554" s="1109">
        <f t="shared" si="121"/>
        <v>130600</v>
      </c>
      <c r="AF554" s="1113">
        <v>5300</v>
      </c>
      <c r="AG554" s="981">
        <v>9300</v>
      </c>
      <c r="AH554" s="981">
        <v>4600</v>
      </c>
      <c r="AI554" s="1114">
        <f t="shared" si="122"/>
        <v>19200</v>
      </c>
      <c r="AJ554" s="1110">
        <f t="shared" si="123"/>
        <v>158700</v>
      </c>
      <c r="AK554" s="982">
        <f>'09월 에너지'!S554</f>
        <v>142.80000000000001</v>
      </c>
      <c r="AL554" s="983">
        <f t="shared" si="124"/>
        <v>0.89981096408317585</v>
      </c>
    </row>
    <row r="555" spans="1:38" ht="16.5" customHeight="1">
      <c r="A555" s="999">
        <f>'09월 에너지'!A555</f>
        <v>46286</v>
      </c>
      <c r="B555" s="1002">
        <f>'09월 조업일지'!B553</f>
        <v>46285</v>
      </c>
      <c r="C555" s="1003" t="str">
        <f>'09월 에너지'!C555</f>
        <v>D</v>
      </c>
      <c r="D555" s="1004" t="str">
        <f>'09월 에너지'!D555</f>
        <v>B</v>
      </c>
      <c r="E555" s="1000">
        <f>'09월 에너지'!E555</f>
        <v>85755</v>
      </c>
      <c r="F555" s="1094" t="str">
        <f>'09월 에너지'!F555</f>
        <v>DKOIL</v>
      </c>
      <c r="G555" s="980"/>
      <c r="H555" s="978"/>
      <c r="I555" s="978">
        <v>4700</v>
      </c>
      <c r="J555" s="978"/>
      <c r="K555" s="978"/>
      <c r="L555" s="978"/>
      <c r="M555" s="978"/>
      <c r="N555" s="978"/>
      <c r="O555" s="1106">
        <f t="shared" si="120"/>
        <v>4700</v>
      </c>
      <c r="P555" s="1108">
        <f>3400+2900+3400</f>
        <v>9700</v>
      </c>
      <c r="Q555" s="979">
        <f>6800+3100</f>
        <v>9900</v>
      </c>
      <c r="R555" s="979">
        <v>6500</v>
      </c>
      <c r="S555" s="979"/>
      <c r="T555" s="979"/>
      <c r="U555" s="979">
        <f>11700+6200</f>
        <v>17900</v>
      </c>
      <c r="V555" s="979">
        <f>6200+8700+6900+4800+6300+8700</f>
        <v>41600</v>
      </c>
      <c r="W555" s="979">
        <v>3900</v>
      </c>
      <c r="X555" s="979">
        <v>7800</v>
      </c>
      <c r="Y555" s="979">
        <f>7300+14100+7600</f>
        <v>29000</v>
      </c>
      <c r="Z555" s="979"/>
      <c r="AA555" s="979">
        <v>1500</v>
      </c>
      <c r="AB555" s="979">
        <v>1700</v>
      </c>
      <c r="AC555" s="979">
        <v>2000</v>
      </c>
      <c r="AD555" s="979"/>
      <c r="AE555" s="1109">
        <f t="shared" si="121"/>
        <v>131500</v>
      </c>
      <c r="AF555" s="1113">
        <v>3900</v>
      </c>
      <c r="AG555" s="981">
        <v>12900</v>
      </c>
      <c r="AH555" s="981">
        <v>5200</v>
      </c>
      <c r="AI555" s="1114">
        <f t="shared" si="122"/>
        <v>22000</v>
      </c>
      <c r="AJ555" s="1110">
        <f t="shared" si="123"/>
        <v>158200</v>
      </c>
      <c r="AK555" s="982">
        <f>'09월 에너지'!S555</f>
        <v>142.19999999999999</v>
      </c>
      <c r="AL555" s="983">
        <f t="shared" si="124"/>
        <v>0.89886219974715553</v>
      </c>
    </row>
    <row r="556" spans="1:38" ht="16.5" customHeight="1">
      <c r="A556" s="999">
        <f>'09월 에너지'!A556</f>
        <v>46286</v>
      </c>
      <c r="B556" s="1002">
        <f>'09월 조업일지'!B554</f>
        <v>46285</v>
      </c>
      <c r="C556" s="1003" t="str">
        <f>'09월 에너지'!C556</f>
        <v>D</v>
      </c>
      <c r="D556" s="1004" t="str">
        <f>'09월 에너지'!D556</f>
        <v>A</v>
      </c>
      <c r="E556" s="1000">
        <f>'09월 에너지'!E556</f>
        <v>85756</v>
      </c>
      <c r="F556" s="1094" t="str">
        <f>'09월 에너지'!F556</f>
        <v>DKOIL</v>
      </c>
      <c r="G556" s="980"/>
      <c r="H556" s="978"/>
      <c r="I556" s="978">
        <v>2300</v>
      </c>
      <c r="J556" s="978"/>
      <c r="K556" s="978"/>
      <c r="L556" s="978"/>
      <c r="M556" s="978"/>
      <c r="N556" s="978"/>
      <c r="O556" s="1106">
        <f t="shared" si="120"/>
        <v>2300</v>
      </c>
      <c r="P556" s="1108">
        <f>2400+2800</f>
        <v>5200</v>
      </c>
      <c r="Q556" s="979">
        <f>7400+5200</f>
        <v>12600</v>
      </c>
      <c r="R556" s="979">
        <v>10200</v>
      </c>
      <c r="S556" s="979"/>
      <c r="T556" s="979"/>
      <c r="U556" s="979">
        <f>7700+3700</f>
        <v>11400</v>
      </c>
      <c r="V556" s="979">
        <f>8700+12600+8800+6000+6600+7600</f>
        <v>50300</v>
      </c>
      <c r="W556" s="979">
        <v>2800</v>
      </c>
      <c r="X556" s="979">
        <v>7300</v>
      </c>
      <c r="Y556" s="979">
        <f>8600+12700+8600</f>
        <v>29900</v>
      </c>
      <c r="Z556" s="979"/>
      <c r="AA556" s="979">
        <v>2000</v>
      </c>
      <c r="AB556" s="979">
        <v>2200</v>
      </c>
      <c r="AC556" s="979">
        <v>3200</v>
      </c>
      <c r="AD556" s="979"/>
      <c r="AE556" s="1109">
        <f t="shared" si="121"/>
        <v>137100</v>
      </c>
      <c r="AF556" s="1113">
        <v>5400</v>
      </c>
      <c r="AG556" s="981">
        <v>4700</v>
      </c>
      <c r="AH556" s="981">
        <v>9100</v>
      </c>
      <c r="AI556" s="1114">
        <f t="shared" si="122"/>
        <v>19200</v>
      </c>
      <c r="AJ556" s="1110">
        <f t="shared" si="123"/>
        <v>158600</v>
      </c>
      <c r="AK556" s="982">
        <f>'09월 에너지'!S556</f>
        <v>143.1</v>
      </c>
      <c r="AL556" s="983">
        <f t="shared" si="124"/>
        <v>0.90226986128625475</v>
      </c>
    </row>
    <row r="557" spans="1:38" ht="16.5" customHeight="1">
      <c r="A557" s="999">
        <f>'09월 에너지'!A557</f>
        <v>46286</v>
      </c>
      <c r="B557" s="1002">
        <f>'09월 조업일지'!B555</f>
        <v>46285</v>
      </c>
      <c r="C557" s="1003" t="str">
        <f>'09월 에너지'!C557</f>
        <v>D</v>
      </c>
      <c r="D557" s="1004" t="str">
        <f>'09월 에너지'!D557</f>
        <v>B</v>
      </c>
      <c r="E557" s="1000">
        <f>'09월 에너지'!E557</f>
        <v>85757</v>
      </c>
      <c r="F557" s="1094" t="str">
        <f>'09월 에너지'!F557</f>
        <v>DKOIL</v>
      </c>
      <c r="G557" s="980"/>
      <c r="H557" s="978"/>
      <c r="I557" s="978">
        <v>5500</v>
      </c>
      <c r="J557" s="978"/>
      <c r="K557" s="978"/>
      <c r="L557" s="978"/>
      <c r="M557" s="978"/>
      <c r="N557" s="978"/>
      <c r="O557" s="1106">
        <f t="shared" si="120"/>
        <v>5500</v>
      </c>
      <c r="P557" s="1108">
        <f>4000+6400+3300</f>
        <v>13700</v>
      </c>
      <c r="Q557" s="979">
        <f>7900+2700</f>
        <v>10600</v>
      </c>
      <c r="R557" s="979">
        <v>6300</v>
      </c>
      <c r="S557" s="979"/>
      <c r="T557" s="979"/>
      <c r="U557" s="979">
        <f>10000+6000</f>
        <v>16000</v>
      </c>
      <c r="V557" s="979">
        <f>7900+9700+7500+5100+6400+7400</f>
        <v>44000</v>
      </c>
      <c r="W557" s="979">
        <v>1900</v>
      </c>
      <c r="X557" s="979">
        <v>9400</v>
      </c>
      <c r="Y557" s="979">
        <f>3300+11300+8400</f>
        <v>23000</v>
      </c>
      <c r="Z557" s="979"/>
      <c r="AA557" s="979">
        <v>2300</v>
      </c>
      <c r="AB557" s="979">
        <v>2700</v>
      </c>
      <c r="AC557" s="979">
        <v>2500</v>
      </c>
      <c r="AD557" s="979"/>
      <c r="AE557" s="1109">
        <f t="shared" si="121"/>
        <v>132400</v>
      </c>
      <c r="AF557" s="1113">
        <v>5000</v>
      </c>
      <c r="AG557" s="981">
        <v>12700</v>
      </c>
      <c r="AH557" s="981">
        <v>3400</v>
      </c>
      <c r="AI557" s="1114">
        <f t="shared" si="122"/>
        <v>21100</v>
      </c>
      <c r="AJ557" s="1110">
        <f t="shared" si="123"/>
        <v>159000</v>
      </c>
      <c r="AK557" s="982">
        <f>'09월 에너지'!S557</f>
        <v>143.30000000000001</v>
      </c>
      <c r="AL557" s="983">
        <f t="shared" si="124"/>
        <v>0.90125786163522015</v>
      </c>
    </row>
    <row r="558" spans="1:38" ht="16.5" customHeight="1">
      <c r="A558" s="999">
        <f>'09월 에너지'!A558</f>
        <v>46286</v>
      </c>
      <c r="B558" s="1002">
        <f>'09월 조업일지'!B556</f>
        <v>46285</v>
      </c>
      <c r="C558" s="1003" t="str">
        <f>'09월 에너지'!C558</f>
        <v>D</v>
      </c>
      <c r="D558" s="1004" t="str">
        <f>'09월 에너지'!D558</f>
        <v>A</v>
      </c>
      <c r="E558" s="1000">
        <f>'09월 에너지'!E558</f>
        <v>85758</v>
      </c>
      <c r="F558" s="1094" t="str">
        <f>'09월 에너지'!F558</f>
        <v>DKOIL</v>
      </c>
      <c r="G558" s="980"/>
      <c r="H558" s="978"/>
      <c r="I558" s="978">
        <v>3000</v>
      </c>
      <c r="J558" s="978"/>
      <c r="K558" s="978"/>
      <c r="L558" s="978"/>
      <c r="M558" s="978"/>
      <c r="N558" s="978"/>
      <c r="O558" s="1106">
        <f t="shared" si="120"/>
        <v>3000</v>
      </c>
      <c r="P558" s="1108">
        <f>2300+2500+3100</f>
        <v>7900</v>
      </c>
      <c r="Q558" s="979">
        <f>5300+5500</f>
        <v>10800</v>
      </c>
      <c r="R558" s="979">
        <v>8500</v>
      </c>
      <c r="S558" s="979"/>
      <c r="T558" s="979"/>
      <c r="U558" s="979">
        <f>11700+7600</f>
        <v>19300</v>
      </c>
      <c r="V558" s="979">
        <f>7000+10000+8000+2000+7100+7200</f>
        <v>41300</v>
      </c>
      <c r="W558" s="979">
        <v>1800</v>
      </c>
      <c r="X558" s="979">
        <v>9200</v>
      </c>
      <c r="Y558" s="979">
        <f>10200+12800+6400</f>
        <v>29400</v>
      </c>
      <c r="Z558" s="979"/>
      <c r="AA558" s="979">
        <v>3600</v>
      </c>
      <c r="AB558" s="979">
        <v>2200</v>
      </c>
      <c r="AC558" s="979">
        <v>4300</v>
      </c>
      <c r="AD558" s="979"/>
      <c r="AE558" s="1109">
        <f t="shared" si="121"/>
        <v>138300</v>
      </c>
      <c r="AF558" s="1113">
        <v>4000</v>
      </c>
      <c r="AG558" s="981">
        <v>5500</v>
      </c>
      <c r="AH558" s="981">
        <v>8600</v>
      </c>
      <c r="AI558" s="1114">
        <f t="shared" si="122"/>
        <v>18100</v>
      </c>
      <c r="AJ558" s="1110">
        <f t="shared" si="123"/>
        <v>159400</v>
      </c>
      <c r="AK558" s="982">
        <f>'09월 에너지'!S558</f>
        <v>143.19999999999999</v>
      </c>
      <c r="AL558" s="983">
        <f t="shared" si="124"/>
        <v>0.8983688833124216</v>
      </c>
    </row>
    <row r="559" spans="1:38" ht="16.5" customHeight="1">
      <c r="A559" s="999">
        <f>'09월 에너지'!A559</f>
        <v>46286</v>
      </c>
      <c r="B559" s="1002">
        <f>'09월 조업일지'!B557</f>
        <v>46286</v>
      </c>
      <c r="C559" s="1003" t="str">
        <f>'09월 에너지'!C559</f>
        <v>A</v>
      </c>
      <c r="D559" s="1004" t="str">
        <f>'09월 에너지'!D559</f>
        <v>B</v>
      </c>
      <c r="E559" s="1000">
        <f>'09월 에너지'!E559</f>
        <v>85759</v>
      </c>
      <c r="F559" s="1094" t="str">
        <f>'09월 에너지'!F559</f>
        <v>DKOIL</v>
      </c>
      <c r="G559" s="980">
        <v>0</v>
      </c>
      <c r="H559" s="978">
        <v>0</v>
      </c>
      <c r="I559" s="978">
        <v>5300</v>
      </c>
      <c r="J559" s="978">
        <v>0</v>
      </c>
      <c r="K559" s="978">
        <v>0</v>
      </c>
      <c r="L559" s="978">
        <v>0</v>
      </c>
      <c r="M559" s="978">
        <v>0</v>
      </c>
      <c r="N559" s="978">
        <v>0</v>
      </c>
      <c r="O559" s="1106">
        <f t="shared" si="120"/>
        <v>5300</v>
      </c>
      <c r="P559" s="1108">
        <f>3800+3800+1700</f>
        <v>9300</v>
      </c>
      <c r="Q559" s="979">
        <f>5000+5400</f>
        <v>10400</v>
      </c>
      <c r="R559" s="979">
        <v>6700</v>
      </c>
      <c r="S559" s="979">
        <v>0</v>
      </c>
      <c r="T559" s="979">
        <v>0</v>
      </c>
      <c r="U559" s="979">
        <f>11700+4700</f>
        <v>16400</v>
      </c>
      <c r="V559" s="979">
        <f>6200+9000+7600+5500+6400+7200</f>
        <v>41900</v>
      </c>
      <c r="W559" s="979">
        <v>3000</v>
      </c>
      <c r="X559" s="979">
        <v>8100</v>
      </c>
      <c r="Y559" s="979">
        <f>6800+14600+7400</f>
        <v>28800</v>
      </c>
      <c r="Z559" s="979">
        <v>0</v>
      </c>
      <c r="AA559" s="979">
        <v>2800</v>
      </c>
      <c r="AB559" s="979">
        <v>2400</v>
      </c>
      <c r="AC559" s="979">
        <v>4000</v>
      </c>
      <c r="AD559" s="979">
        <v>0</v>
      </c>
      <c r="AE559" s="1109">
        <f t="shared" si="121"/>
        <v>133800</v>
      </c>
      <c r="AF559" s="1113">
        <v>3800</v>
      </c>
      <c r="AG559" s="981">
        <v>9500</v>
      </c>
      <c r="AH559" s="981">
        <v>6200</v>
      </c>
      <c r="AI559" s="1114">
        <f t="shared" si="122"/>
        <v>19500</v>
      </c>
      <c r="AJ559" s="1110">
        <f t="shared" si="123"/>
        <v>158600</v>
      </c>
      <c r="AK559" s="982">
        <f>'09월 에너지'!S559</f>
        <v>142.19999999999999</v>
      </c>
      <c r="AL559" s="983">
        <f t="shared" si="124"/>
        <v>0.89659520807061788</v>
      </c>
    </row>
    <row r="560" spans="1:38" ht="16.5" customHeight="1">
      <c r="A560" s="999">
        <f>'09월 에너지'!A560</f>
        <v>46286</v>
      </c>
      <c r="B560" s="1002">
        <f>'09월 조업일지'!B558</f>
        <v>46286</v>
      </c>
      <c r="C560" s="1003" t="str">
        <f>'09월 에너지'!C560</f>
        <v>A</v>
      </c>
      <c r="D560" s="1004" t="str">
        <f>'09월 에너지'!D560</f>
        <v>A</v>
      </c>
      <c r="E560" s="1000">
        <f>'09월 에너지'!E560</f>
        <v>85760</v>
      </c>
      <c r="F560" s="1094" t="str">
        <f>'09월 에너지'!F560</f>
        <v>DKOIL</v>
      </c>
      <c r="G560" s="980">
        <v>0</v>
      </c>
      <c r="H560" s="978">
        <v>0</v>
      </c>
      <c r="I560" s="978">
        <v>8500</v>
      </c>
      <c r="J560" s="978">
        <v>0</v>
      </c>
      <c r="K560" s="978">
        <v>0</v>
      </c>
      <c r="L560" s="978">
        <v>0</v>
      </c>
      <c r="M560" s="978">
        <v>0</v>
      </c>
      <c r="N560" s="978">
        <v>0</v>
      </c>
      <c r="O560" s="1106">
        <f t="shared" si="120"/>
        <v>8500</v>
      </c>
      <c r="P560" s="1108">
        <f>2500+6200+3900</f>
        <v>12600</v>
      </c>
      <c r="Q560" s="979">
        <f>9900+2900</f>
        <v>12800</v>
      </c>
      <c r="R560" s="979">
        <v>5500</v>
      </c>
      <c r="S560" s="979">
        <v>0</v>
      </c>
      <c r="T560" s="979">
        <v>0</v>
      </c>
      <c r="U560" s="979">
        <f>8300+7600</f>
        <v>15900</v>
      </c>
      <c r="V560" s="979">
        <f>9400+9400+7600+3000+6400+8000</f>
        <v>43800</v>
      </c>
      <c r="W560" s="979">
        <v>1900</v>
      </c>
      <c r="X560" s="979">
        <v>8800</v>
      </c>
      <c r="Y560" s="979">
        <f>4400+15300+6500</f>
        <v>26200</v>
      </c>
      <c r="Z560" s="979">
        <v>0</v>
      </c>
      <c r="AA560" s="979">
        <v>800</v>
      </c>
      <c r="AB560" s="979">
        <v>1000</v>
      </c>
      <c r="AC560" s="979">
        <v>4600</v>
      </c>
      <c r="AD560" s="979">
        <v>0</v>
      </c>
      <c r="AE560" s="1109">
        <f t="shared" si="121"/>
        <v>133900</v>
      </c>
      <c r="AF560" s="1113">
        <v>3300</v>
      </c>
      <c r="AG560" s="981">
        <v>3700</v>
      </c>
      <c r="AH560" s="981">
        <v>8700</v>
      </c>
      <c r="AI560" s="1114">
        <f t="shared" si="122"/>
        <v>15700</v>
      </c>
      <c r="AJ560" s="1110">
        <f t="shared" si="123"/>
        <v>158100</v>
      </c>
      <c r="AK560" s="982">
        <f>'09월 에너지'!S560</f>
        <v>139.80000000000001</v>
      </c>
      <c r="AL560" s="983">
        <f t="shared" si="124"/>
        <v>0.88425047438330173</v>
      </c>
    </row>
    <row r="561" spans="1:38" ht="16.5" customHeight="1">
      <c r="A561" s="999">
        <f>'09월 에너지'!A561</f>
        <v>46286</v>
      </c>
      <c r="B561" s="1002">
        <f>'09월 조업일지'!B559</f>
        <v>46286</v>
      </c>
      <c r="C561" s="1003" t="str">
        <f>'09월 에너지'!C561</f>
        <v>A</v>
      </c>
      <c r="D561" s="1004" t="str">
        <f>'09월 에너지'!D561</f>
        <v>B</v>
      </c>
      <c r="E561" s="1000">
        <f>'09월 에너지'!E561</f>
        <v>85761</v>
      </c>
      <c r="F561" s="1094" t="str">
        <f>'09월 에너지'!F561</f>
        <v>DKOIL</v>
      </c>
      <c r="G561" s="980">
        <v>0</v>
      </c>
      <c r="H561" s="978">
        <v>0</v>
      </c>
      <c r="I561" s="978">
        <v>3200</v>
      </c>
      <c r="J561" s="978">
        <v>0</v>
      </c>
      <c r="K561" s="978">
        <v>0</v>
      </c>
      <c r="L561" s="978">
        <v>0</v>
      </c>
      <c r="M561" s="978">
        <v>0</v>
      </c>
      <c r="N561" s="978">
        <v>0</v>
      </c>
      <c r="O561" s="1106">
        <f t="shared" si="120"/>
        <v>3200</v>
      </c>
      <c r="P561" s="1108">
        <f>7800+5300+2900</f>
        <v>16000</v>
      </c>
      <c r="Q561" s="979">
        <f>5300+5200</f>
        <v>10500</v>
      </c>
      <c r="R561" s="979">
        <v>8000</v>
      </c>
      <c r="S561" s="979">
        <v>0</v>
      </c>
      <c r="T561" s="979">
        <v>0</v>
      </c>
      <c r="U561" s="979">
        <f>14000+7800</f>
        <v>21800</v>
      </c>
      <c r="V561" s="979">
        <f>7800+6300+6800+2400+10400+7000</f>
        <v>40700</v>
      </c>
      <c r="W561" s="979">
        <v>2400</v>
      </c>
      <c r="X561" s="979">
        <v>9400</v>
      </c>
      <c r="Y561" s="979">
        <f>3100+14800+2800</f>
        <v>20700</v>
      </c>
      <c r="Z561" s="979">
        <v>0</v>
      </c>
      <c r="AA561" s="979">
        <v>3600</v>
      </c>
      <c r="AB561" s="979">
        <v>2600</v>
      </c>
      <c r="AC561" s="979">
        <v>2100</v>
      </c>
      <c r="AD561" s="979">
        <v>0</v>
      </c>
      <c r="AE561" s="1109">
        <f t="shared" si="121"/>
        <v>137800</v>
      </c>
      <c r="AF561" s="1113">
        <v>5500</v>
      </c>
      <c r="AG561" s="981">
        <v>6700</v>
      </c>
      <c r="AH561" s="981">
        <v>5100</v>
      </c>
      <c r="AI561" s="1114">
        <f t="shared" si="122"/>
        <v>17300</v>
      </c>
      <c r="AJ561" s="1110">
        <f t="shared" si="123"/>
        <v>158300</v>
      </c>
      <c r="AK561" s="982">
        <f>'09월 에너지'!S561</f>
        <v>144.5</v>
      </c>
      <c r="AL561" s="983">
        <f t="shared" si="124"/>
        <v>0.91282375236891977</v>
      </c>
    </row>
    <row r="562" spans="1:38" ht="16.5" customHeight="1">
      <c r="A562" s="999">
        <f>'09월 에너지'!A562</f>
        <v>46286</v>
      </c>
      <c r="B562" s="1002">
        <f>'09월 조업일지'!B560</f>
        <v>46286</v>
      </c>
      <c r="C562" s="1003" t="str">
        <f>'09월 에너지'!C562</f>
        <v>A</v>
      </c>
      <c r="D562" s="1004" t="str">
        <f>'09월 에너지'!D562</f>
        <v>A</v>
      </c>
      <c r="E562" s="1000">
        <f>'09월 에너지'!E562</f>
        <v>85762</v>
      </c>
      <c r="F562" s="1094" t="str">
        <f>'09월 에너지'!F562</f>
        <v>DKOIL</v>
      </c>
      <c r="G562" s="980">
        <v>0</v>
      </c>
      <c r="H562" s="978">
        <v>0</v>
      </c>
      <c r="I562" s="978">
        <v>4900</v>
      </c>
      <c r="J562" s="978">
        <v>0</v>
      </c>
      <c r="K562" s="978">
        <v>0</v>
      </c>
      <c r="L562" s="978">
        <v>0</v>
      </c>
      <c r="M562" s="978">
        <v>0</v>
      </c>
      <c r="N562" s="978">
        <v>0</v>
      </c>
      <c r="O562" s="1106">
        <f t="shared" si="120"/>
        <v>4900</v>
      </c>
      <c r="P562" s="1108">
        <f>12400+2600+5300</f>
        <v>20300</v>
      </c>
      <c r="Q562" s="979">
        <f>4500+5400</f>
        <v>9900</v>
      </c>
      <c r="R562" s="979">
        <v>8500</v>
      </c>
      <c r="S562" s="979">
        <v>0</v>
      </c>
      <c r="T562" s="979">
        <v>0</v>
      </c>
      <c r="U562" s="979">
        <f>2300+7500</f>
        <v>9800</v>
      </c>
      <c r="V562" s="979">
        <f>4100+6900+8400+5300+2600+6400</f>
        <v>33700</v>
      </c>
      <c r="W562" s="979">
        <v>3600</v>
      </c>
      <c r="X562" s="979">
        <v>6500</v>
      </c>
      <c r="Y562" s="979">
        <f>8600+13900+8900</f>
        <v>31400</v>
      </c>
      <c r="Z562" s="979">
        <v>0</v>
      </c>
      <c r="AA562" s="979">
        <v>1500</v>
      </c>
      <c r="AB562" s="979">
        <v>1600</v>
      </c>
      <c r="AC562" s="979">
        <v>2800</v>
      </c>
      <c r="AD562" s="979">
        <v>0</v>
      </c>
      <c r="AE562" s="1109">
        <f t="shared" si="121"/>
        <v>129600</v>
      </c>
      <c r="AF562" s="1113">
        <v>2800</v>
      </c>
      <c r="AG562" s="981">
        <v>13500</v>
      </c>
      <c r="AH562" s="981">
        <v>7700</v>
      </c>
      <c r="AI562" s="1114">
        <f t="shared" si="122"/>
        <v>24000</v>
      </c>
      <c r="AJ562" s="1110">
        <f t="shared" si="123"/>
        <v>158500</v>
      </c>
      <c r="AK562" s="982">
        <f>'09월 에너지'!S562</f>
        <v>145.1</v>
      </c>
      <c r="AL562" s="983">
        <f t="shared" si="124"/>
        <v>0.91545741324921137</v>
      </c>
    </row>
    <row r="563" spans="1:38" ht="16.5" customHeight="1">
      <c r="A563" s="999">
        <f>'09월 에너지'!A563</f>
        <v>46286</v>
      </c>
      <c r="B563" s="1002">
        <f>'09월 조업일지'!B561</f>
        <v>46286</v>
      </c>
      <c r="C563" s="1003" t="str">
        <f>'09월 에너지'!C563</f>
        <v>A</v>
      </c>
      <c r="D563" s="1004" t="str">
        <f>'09월 에너지'!D563</f>
        <v>B</v>
      </c>
      <c r="E563" s="1000">
        <f>'09월 에너지'!E563</f>
        <v>85763</v>
      </c>
      <c r="F563" s="1094" t="str">
        <f>'09월 에너지'!F563</f>
        <v>DKOIL</v>
      </c>
      <c r="G563" s="980">
        <v>0</v>
      </c>
      <c r="H563" s="978">
        <v>0</v>
      </c>
      <c r="I563" s="978">
        <v>3200</v>
      </c>
      <c r="J563" s="978">
        <v>0</v>
      </c>
      <c r="K563" s="978">
        <v>0</v>
      </c>
      <c r="L563" s="978">
        <v>0</v>
      </c>
      <c r="M563" s="978">
        <v>0</v>
      </c>
      <c r="N563" s="978">
        <v>0</v>
      </c>
      <c r="O563" s="1106">
        <f t="shared" si="120"/>
        <v>3200</v>
      </c>
      <c r="P563" s="1108">
        <f>9100+4100+1900</f>
        <v>15100</v>
      </c>
      <c r="Q563" s="979">
        <f>8300+5900</f>
        <v>14200</v>
      </c>
      <c r="R563" s="979">
        <v>12000</v>
      </c>
      <c r="S563" s="979">
        <v>0</v>
      </c>
      <c r="T563" s="979">
        <v>0</v>
      </c>
      <c r="U563" s="979">
        <f>12900+5900</f>
        <v>18800</v>
      </c>
      <c r="V563" s="979">
        <f>3400+6400+7300+8300+5500+5600</f>
        <v>36500</v>
      </c>
      <c r="W563" s="979">
        <v>6200</v>
      </c>
      <c r="X563" s="979">
        <v>5600</v>
      </c>
      <c r="Y563" s="979">
        <f>500+12600+4200</f>
        <v>17300</v>
      </c>
      <c r="Z563" s="979">
        <v>0</v>
      </c>
      <c r="AA563" s="979">
        <v>3700</v>
      </c>
      <c r="AB563" s="979">
        <v>4400</v>
      </c>
      <c r="AC563" s="979">
        <v>4900</v>
      </c>
      <c r="AD563" s="979">
        <v>0</v>
      </c>
      <c r="AE563" s="1109">
        <f t="shared" si="121"/>
        <v>138700</v>
      </c>
      <c r="AF563" s="1113">
        <v>3900</v>
      </c>
      <c r="AG563" s="981">
        <v>6900</v>
      </c>
      <c r="AH563" s="981">
        <v>5100</v>
      </c>
      <c r="AI563" s="1114">
        <f t="shared" si="122"/>
        <v>15900</v>
      </c>
      <c r="AJ563" s="1110">
        <f t="shared" si="123"/>
        <v>157800</v>
      </c>
      <c r="AK563" s="982">
        <f>'09월 에너지'!S563</f>
        <v>141.9</v>
      </c>
      <c r="AL563" s="983">
        <f t="shared" si="124"/>
        <v>0.89923954372623571</v>
      </c>
    </row>
    <row r="564" spans="1:38" ht="16.5" customHeight="1">
      <c r="A564" s="999">
        <f>'09월 에너지'!A564</f>
        <v>46286</v>
      </c>
      <c r="B564" s="1002">
        <f>'09월 조업일지'!B562</f>
        <v>46286</v>
      </c>
      <c r="C564" s="1003" t="str">
        <f>'09월 에너지'!C564</f>
        <v>A</v>
      </c>
      <c r="D564" s="1004" t="str">
        <f>'09월 에너지'!D564</f>
        <v>A</v>
      </c>
      <c r="E564" s="1000">
        <f>'09월 에너지'!E564</f>
        <v>85764</v>
      </c>
      <c r="F564" s="1094" t="str">
        <f>'09월 에너지'!F564</f>
        <v>DKOIL</v>
      </c>
      <c r="G564" s="980">
        <v>0</v>
      </c>
      <c r="H564" s="978">
        <v>0</v>
      </c>
      <c r="I564" s="978">
        <v>9900</v>
      </c>
      <c r="J564" s="978">
        <v>0</v>
      </c>
      <c r="K564" s="978">
        <v>0</v>
      </c>
      <c r="L564" s="978">
        <v>0</v>
      </c>
      <c r="M564" s="978">
        <v>0</v>
      </c>
      <c r="N564" s="978">
        <v>0</v>
      </c>
      <c r="O564" s="1106">
        <f t="shared" si="120"/>
        <v>9900</v>
      </c>
      <c r="P564" s="1108">
        <f>300+7700+6100</f>
        <v>14100</v>
      </c>
      <c r="Q564" s="979">
        <f>3700+3300</f>
        <v>7000</v>
      </c>
      <c r="R564" s="979">
        <v>4100</v>
      </c>
      <c r="S564" s="979">
        <v>0</v>
      </c>
      <c r="T564" s="979">
        <v>0</v>
      </c>
      <c r="U564" s="979">
        <f>9400+4500</f>
        <v>13900</v>
      </c>
      <c r="V564" s="979">
        <f>8600+8700+6200+6700+5400+7500</f>
        <v>43100</v>
      </c>
      <c r="W564" s="979">
        <v>4400</v>
      </c>
      <c r="X564" s="979">
        <v>8500</v>
      </c>
      <c r="Y564" s="979">
        <f>7200+12100+7000</f>
        <v>26300</v>
      </c>
      <c r="Z564" s="979">
        <v>0</v>
      </c>
      <c r="AA564" s="979">
        <v>800</v>
      </c>
      <c r="AB564" s="979">
        <v>1100</v>
      </c>
      <c r="AC564" s="979">
        <v>3200</v>
      </c>
      <c r="AD564" s="979">
        <v>0</v>
      </c>
      <c r="AE564" s="1109">
        <f t="shared" si="121"/>
        <v>126500</v>
      </c>
      <c r="AF564" s="1113">
        <v>3000</v>
      </c>
      <c r="AG564" s="981">
        <v>12200</v>
      </c>
      <c r="AH564" s="981">
        <v>6900</v>
      </c>
      <c r="AI564" s="1114">
        <f t="shared" si="122"/>
        <v>22100</v>
      </c>
      <c r="AJ564" s="1110">
        <f t="shared" si="123"/>
        <v>158500</v>
      </c>
      <c r="AK564" s="982">
        <f>'09월 에너지'!S564</f>
        <v>143.69999999999999</v>
      </c>
      <c r="AL564" s="983">
        <f t="shared" si="124"/>
        <v>0.90662460567823344</v>
      </c>
    </row>
    <row r="565" spans="1:38" ht="16.5" customHeight="1">
      <c r="A565" s="999">
        <f>'09월 에너지'!A565</f>
        <v>46286</v>
      </c>
      <c r="B565" s="1002">
        <f>'09월 조업일지'!B563</f>
        <v>46286</v>
      </c>
      <c r="C565" s="1003" t="str">
        <f>'09월 에너지'!C565</f>
        <v>A</v>
      </c>
      <c r="D565" s="1004" t="str">
        <f>'09월 에너지'!D565</f>
        <v>B</v>
      </c>
      <c r="E565" s="1000">
        <f>'09월 에너지'!E565</f>
        <v>85765</v>
      </c>
      <c r="F565" s="1094" t="str">
        <f>'09월 에너지'!F565</f>
        <v>DKOIL</v>
      </c>
      <c r="G565" s="980">
        <v>0</v>
      </c>
      <c r="H565" s="978">
        <v>0</v>
      </c>
      <c r="I565" s="978">
        <v>4800</v>
      </c>
      <c r="J565" s="978">
        <v>0</v>
      </c>
      <c r="K565" s="978">
        <v>0</v>
      </c>
      <c r="L565" s="978">
        <v>0</v>
      </c>
      <c r="M565" s="978">
        <v>0</v>
      </c>
      <c r="N565" s="978">
        <v>0</v>
      </c>
      <c r="O565" s="1106">
        <f t="shared" si="120"/>
        <v>4800</v>
      </c>
      <c r="P565" s="1108">
        <f>7500+14000+2200</f>
        <v>23700</v>
      </c>
      <c r="Q565" s="979">
        <f>6300+2900</f>
        <v>9200</v>
      </c>
      <c r="R565" s="979">
        <v>4900</v>
      </c>
      <c r="S565" s="979">
        <v>0</v>
      </c>
      <c r="T565" s="979">
        <v>0</v>
      </c>
      <c r="U565" s="979">
        <f>7800+5500</f>
        <v>13300</v>
      </c>
      <c r="V565" s="979">
        <f>900+12000+6200+5700+5300+7700</f>
        <v>37800</v>
      </c>
      <c r="W565" s="979">
        <v>4600</v>
      </c>
      <c r="X565" s="979">
        <v>7600</v>
      </c>
      <c r="Y565" s="979">
        <f>300+16500+8400</f>
        <v>25200</v>
      </c>
      <c r="Z565" s="979">
        <v>0</v>
      </c>
      <c r="AA565" s="979">
        <v>3000</v>
      </c>
      <c r="AB565" s="979">
        <v>2900</v>
      </c>
      <c r="AC565" s="979">
        <v>3100</v>
      </c>
      <c r="AD565" s="979">
        <v>0</v>
      </c>
      <c r="AE565" s="1109">
        <f t="shared" si="121"/>
        <v>135300</v>
      </c>
      <c r="AF565" s="1113">
        <v>4300</v>
      </c>
      <c r="AG565" s="981">
        <v>6400</v>
      </c>
      <c r="AH565" s="981">
        <v>6600</v>
      </c>
      <c r="AI565" s="1114">
        <f t="shared" si="122"/>
        <v>17300</v>
      </c>
      <c r="AJ565" s="1110">
        <f t="shared" si="123"/>
        <v>157400</v>
      </c>
      <c r="AK565" s="982">
        <f>'09월 에너지'!S565</f>
        <v>140.69999999999999</v>
      </c>
      <c r="AL565" s="983">
        <f t="shared" si="124"/>
        <v>0.89390088945362134</v>
      </c>
    </row>
    <row r="566" spans="1:38" ht="16.5" customHeight="1">
      <c r="A566" s="999">
        <f>'09월 에너지'!A566</f>
        <v>46286</v>
      </c>
      <c r="B566" s="1002">
        <f>'09월 조업일지'!B564</f>
        <v>46286</v>
      </c>
      <c r="C566" s="1003" t="str">
        <f>'09월 에너지'!C566</f>
        <v>A</v>
      </c>
      <c r="D566" s="1004" t="str">
        <f>'09월 에너지'!D566</f>
        <v>A</v>
      </c>
      <c r="E566" s="1000">
        <f>'09월 에너지'!E566</f>
        <v>85766</v>
      </c>
      <c r="F566" s="1094" t="str">
        <f>'09월 에너지'!F566</f>
        <v>DKOIL</v>
      </c>
      <c r="G566" s="980">
        <v>0</v>
      </c>
      <c r="H566" s="978">
        <v>0</v>
      </c>
      <c r="I566" s="978">
        <v>8000</v>
      </c>
      <c r="J566" s="978">
        <v>0</v>
      </c>
      <c r="K566" s="978">
        <v>0</v>
      </c>
      <c r="L566" s="978">
        <v>0</v>
      </c>
      <c r="M566" s="978">
        <v>0</v>
      </c>
      <c r="N566" s="978">
        <v>0</v>
      </c>
      <c r="O566" s="1106">
        <f t="shared" si="120"/>
        <v>8000</v>
      </c>
      <c r="P566" s="1108">
        <f>100+9500+7000</f>
        <v>16600</v>
      </c>
      <c r="Q566" s="979">
        <f>13900+1200</f>
        <v>15100</v>
      </c>
      <c r="R566" s="979">
        <v>5100</v>
      </c>
      <c r="S566" s="979">
        <v>0</v>
      </c>
      <c r="T566" s="979">
        <v>0</v>
      </c>
      <c r="U566" s="979">
        <f>16500+4700</f>
        <v>21200</v>
      </c>
      <c r="V566" s="979">
        <f>8300+4500+7500+6600+8000+7700</f>
        <v>42600</v>
      </c>
      <c r="W566" s="979">
        <v>4000</v>
      </c>
      <c r="X566" s="979">
        <v>7100</v>
      </c>
      <c r="Y566" s="979">
        <f>7700+5000+5100</f>
        <v>17800</v>
      </c>
      <c r="Z566" s="979">
        <v>0</v>
      </c>
      <c r="AA566" s="979">
        <v>3100</v>
      </c>
      <c r="AB566" s="979">
        <v>900</v>
      </c>
      <c r="AC566" s="979">
        <v>3700</v>
      </c>
      <c r="AD566" s="979">
        <v>0</v>
      </c>
      <c r="AE566" s="1109">
        <f t="shared" si="121"/>
        <v>137200</v>
      </c>
      <c r="AF566" s="1113">
        <v>3500</v>
      </c>
      <c r="AG566" s="981">
        <v>3900</v>
      </c>
      <c r="AH566" s="981">
        <v>6700</v>
      </c>
      <c r="AI566" s="1114">
        <f t="shared" si="122"/>
        <v>14100</v>
      </c>
      <c r="AJ566" s="1110">
        <f t="shared" si="123"/>
        <v>159300</v>
      </c>
      <c r="AK566" s="982">
        <f>'09월 에너지'!S566</f>
        <v>140.80000000000001</v>
      </c>
      <c r="AL566" s="983">
        <f t="shared" si="124"/>
        <v>0.88386691776522286</v>
      </c>
    </row>
    <row r="567" spans="1:38" ht="16.5" customHeight="1">
      <c r="A567" s="999">
        <f>'09월 에너지'!A567</f>
        <v>46286</v>
      </c>
      <c r="B567" s="1002">
        <f>'09월 조업일지'!B565</f>
        <v>46286</v>
      </c>
      <c r="C567" s="1003" t="str">
        <f>'09월 에너지'!C567</f>
        <v>A</v>
      </c>
      <c r="D567" s="1004" t="str">
        <f>'09월 에너지'!D567</f>
        <v>B</v>
      </c>
      <c r="E567" s="1000">
        <f>'09월 에너지'!E567</f>
        <v>85767</v>
      </c>
      <c r="F567" s="1094" t="str">
        <f>'09월 에너지'!F567</f>
        <v>DKOIL</v>
      </c>
      <c r="G567" s="980">
        <v>0</v>
      </c>
      <c r="H567" s="978">
        <v>0</v>
      </c>
      <c r="I567" s="978">
        <v>6000</v>
      </c>
      <c r="J567" s="978">
        <v>0</v>
      </c>
      <c r="K567" s="978">
        <v>0</v>
      </c>
      <c r="L567" s="978">
        <v>0</v>
      </c>
      <c r="M567" s="978">
        <v>0</v>
      </c>
      <c r="N567" s="978">
        <v>0</v>
      </c>
      <c r="O567" s="1106">
        <f t="shared" si="120"/>
        <v>6000</v>
      </c>
      <c r="P567" s="1108">
        <f>1200+6400+1900</f>
        <v>9500</v>
      </c>
      <c r="Q567" s="979">
        <f>6700+7100</f>
        <v>13800</v>
      </c>
      <c r="R567" s="979">
        <v>15800</v>
      </c>
      <c r="S567" s="979">
        <v>0</v>
      </c>
      <c r="T567" s="979">
        <v>0</v>
      </c>
      <c r="U567" s="979">
        <f>7400+9200</f>
        <v>16600</v>
      </c>
      <c r="V567" s="979">
        <f>2700+11200+6700+2200+4000+7800</f>
        <v>34600</v>
      </c>
      <c r="W567" s="979">
        <v>3100</v>
      </c>
      <c r="X567" s="979">
        <v>9400</v>
      </c>
      <c r="Y567" s="979">
        <f>1900+15000+5800</f>
        <v>22700</v>
      </c>
      <c r="Z567" s="979">
        <v>0</v>
      </c>
      <c r="AA567" s="979">
        <v>1000</v>
      </c>
      <c r="AB567" s="979">
        <v>2300</v>
      </c>
      <c r="AC567" s="979">
        <v>2900</v>
      </c>
      <c r="AD567" s="979">
        <v>0</v>
      </c>
      <c r="AE567" s="1109">
        <f t="shared" si="121"/>
        <v>131700</v>
      </c>
      <c r="AF567" s="1113">
        <v>4200</v>
      </c>
      <c r="AG567" s="981">
        <v>8300</v>
      </c>
      <c r="AH567" s="981">
        <v>6900</v>
      </c>
      <c r="AI567" s="1114">
        <f t="shared" si="122"/>
        <v>19400</v>
      </c>
      <c r="AJ567" s="1110">
        <f t="shared" si="123"/>
        <v>157100</v>
      </c>
      <c r="AK567" s="982">
        <f>'09월 에너지'!S567</f>
        <v>143</v>
      </c>
      <c r="AL567" s="983">
        <f t="shared" si="124"/>
        <v>0.91024824952259709</v>
      </c>
    </row>
    <row r="568" spans="1:38" ht="16.5" customHeight="1">
      <c r="A568" s="999">
        <f>'09월 에너지'!A568</f>
        <v>46286</v>
      </c>
      <c r="B568" s="1002">
        <f>'09월 조업일지'!B566</f>
        <v>46286</v>
      </c>
      <c r="C568" s="1003" t="str">
        <f>'09월 에너지'!C568</f>
        <v>A</v>
      </c>
      <c r="D568" s="1004" t="str">
        <f>'09월 에너지'!D568</f>
        <v>A</v>
      </c>
      <c r="E568" s="1000">
        <f>'09월 에너지'!E568</f>
        <v>85768</v>
      </c>
      <c r="F568" s="1094" t="str">
        <f>'09월 에너지'!F568</f>
        <v>DKOIL</v>
      </c>
      <c r="G568" s="980">
        <v>0</v>
      </c>
      <c r="H568" s="978">
        <v>0</v>
      </c>
      <c r="I568" s="978">
        <v>1800</v>
      </c>
      <c r="J568" s="978">
        <v>0</v>
      </c>
      <c r="K568" s="978">
        <v>0</v>
      </c>
      <c r="L568" s="978">
        <v>0</v>
      </c>
      <c r="M568" s="978">
        <v>0</v>
      </c>
      <c r="N568" s="978">
        <v>0</v>
      </c>
      <c r="O568" s="1106">
        <f t="shared" si="120"/>
        <v>1800</v>
      </c>
      <c r="P568" s="1108">
        <f>400+6400</f>
        <v>6800</v>
      </c>
      <c r="Q568" s="979">
        <f>12300+2100</f>
        <v>14400</v>
      </c>
      <c r="R568" s="979">
        <v>13800</v>
      </c>
      <c r="S568" s="979">
        <v>0</v>
      </c>
      <c r="T568" s="979">
        <v>0</v>
      </c>
      <c r="U568" s="979">
        <f>2500+8500</f>
        <v>11000</v>
      </c>
      <c r="V568" s="979">
        <f>2200+15600+8000+2500+2500+8000</f>
        <v>38800</v>
      </c>
      <c r="W568" s="979">
        <v>2800</v>
      </c>
      <c r="X568" s="979">
        <v>7300</v>
      </c>
      <c r="Y568" s="979">
        <f>9500+15200+8300</f>
        <v>33000</v>
      </c>
      <c r="Z568" s="979">
        <v>0</v>
      </c>
      <c r="AA568" s="979">
        <v>1700</v>
      </c>
      <c r="AB568" s="979">
        <v>2800</v>
      </c>
      <c r="AC568" s="979">
        <v>3100</v>
      </c>
      <c r="AD568" s="979">
        <v>4400</v>
      </c>
      <c r="AE568" s="1109">
        <f t="shared" si="121"/>
        <v>139900</v>
      </c>
      <c r="AF568" s="1113">
        <v>3200</v>
      </c>
      <c r="AG568" s="981">
        <v>5400</v>
      </c>
      <c r="AH568" s="981">
        <v>7600</v>
      </c>
      <c r="AI568" s="1114">
        <f t="shared" si="122"/>
        <v>16200</v>
      </c>
      <c r="AJ568" s="1110">
        <f t="shared" si="123"/>
        <v>157900</v>
      </c>
      <c r="AK568" s="982">
        <f>'09월 에너지'!S568</f>
        <v>144.5</v>
      </c>
      <c r="AL568" s="983">
        <f t="shared" si="124"/>
        <v>0.91513616212792903</v>
      </c>
    </row>
    <row r="569" spans="1:38" ht="16.5" customHeight="1">
      <c r="A569" s="999">
        <f>'09월 에너지'!A569</f>
        <v>46286</v>
      </c>
      <c r="B569" s="1002">
        <f>'09월 조업일지'!B567</f>
        <v>46286</v>
      </c>
      <c r="C569" s="1003" t="str">
        <f>'09월 에너지'!C569</f>
        <v>A</v>
      </c>
      <c r="D569" s="1004" t="str">
        <f>'09월 에너지'!D569</f>
        <v>B</v>
      </c>
      <c r="E569" s="1000">
        <f>'09월 에너지'!E569</f>
        <v>85769</v>
      </c>
      <c r="F569" s="1094" t="str">
        <f>'09월 에너지'!F569</f>
        <v>DKOIL</v>
      </c>
      <c r="G569" s="980">
        <v>0</v>
      </c>
      <c r="H569" s="978">
        <v>0</v>
      </c>
      <c r="I569" s="978">
        <v>3700</v>
      </c>
      <c r="J569" s="978"/>
      <c r="K569" s="978"/>
      <c r="L569" s="978"/>
      <c r="M569" s="978"/>
      <c r="N569" s="978"/>
      <c r="O569" s="1106">
        <f t="shared" si="120"/>
        <v>3700</v>
      </c>
      <c r="P569" s="1108">
        <f>4400+2300</f>
        <v>6700</v>
      </c>
      <c r="Q569" s="979">
        <f>4000+4200</f>
        <v>8200</v>
      </c>
      <c r="R569" s="979">
        <v>8400</v>
      </c>
      <c r="S569" s="979"/>
      <c r="T569" s="979"/>
      <c r="U569" s="979">
        <f>9700+5900</f>
        <v>15600</v>
      </c>
      <c r="V569" s="979">
        <f>7400+9500+6400+5400+5600+7200</f>
        <v>41500</v>
      </c>
      <c r="W569" s="979">
        <v>3300</v>
      </c>
      <c r="X569" s="979">
        <v>8700</v>
      </c>
      <c r="Y569" s="979">
        <f>4600+14300+7100</f>
        <v>26000</v>
      </c>
      <c r="Z569" s="979"/>
      <c r="AA569" s="979">
        <v>3500</v>
      </c>
      <c r="AB569" s="979">
        <v>2500</v>
      </c>
      <c r="AC569" s="979">
        <v>3400</v>
      </c>
      <c r="AD569" s="979">
        <v>6600</v>
      </c>
      <c r="AE569" s="1109">
        <f t="shared" si="121"/>
        <v>134400</v>
      </c>
      <c r="AF569" s="1113">
        <v>4300</v>
      </c>
      <c r="AG569" s="981">
        <v>9200</v>
      </c>
      <c r="AH569" s="981">
        <v>7200</v>
      </c>
      <c r="AI569" s="1114">
        <f t="shared" si="122"/>
        <v>20700</v>
      </c>
      <c r="AJ569" s="1110">
        <f t="shared" si="123"/>
        <v>158800</v>
      </c>
      <c r="AK569" s="982">
        <f>'09월 에너지'!S569</f>
        <v>141.80000000000001</v>
      </c>
      <c r="AL569" s="983">
        <f t="shared" si="124"/>
        <v>0.89294710327455917</v>
      </c>
    </row>
    <row r="570" spans="1:38" ht="16.5" customHeight="1">
      <c r="A570" s="999">
        <f>'09월 에너지'!A570</f>
        <v>46286</v>
      </c>
      <c r="B570" s="1002">
        <f>'09월 조업일지'!B568</f>
        <v>46286</v>
      </c>
      <c r="C570" s="1003" t="str">
        <f>'09월 에너지'!C570</f>
        <v>C</v>
      </c>
      <c r="D570" s="1004" t="str">
        <f>'09월 에너지'!D570</f>
        <v>A</v>
      </c>
      <c r="E570" s="1000">
        <f>'09월 에너지'!E570</f>
        <v>85770</v>
      </c>
      <c r="F570" s="1094" t="str">
        <f>'09월 에너지'!F570</f>
        <v>DKOIL</v>
      </c>
      <c r="G570" s="980"/>
      <c r="H570" s="978"/>
      <c r="I570" s="978">
        <v>11300</v>
      </c>
      <c r="J570" s="978"/>
      <c r="K570" s="978"/>
      <c r="L570" s="978"/>
      <c r="M570" s="978"/>
      <c r="N570" s="978"/>
      <c r="O570" s="1106">
        <f t="shared" si="120"/>
        <v>11300</v>
      </c>
      <c r="P570" s="1108">
        <f>3400+4900</f>
        <v>8300</v>
      </c>
      <c r="Q570" s="979">
        <f>2800+3100</f>
        <v>5900</v>
      </c>
      <c r="R570" s="979">
        <v>16200</v>
      </c>
      <c r="S570" s="979"/>
      <c r="T570" s="979"/>
      <c r="U570" s="979">
        <f>4900+5400</f>
        <v>10300</v>
      </c>
      <c r="V570" s="979">
        <f>7100+4900+6700+7100+2500+7200</f>
        <v>35500</v>
      </c>
      <c r="W570" s="979">
        <v>2700</v>
      </c>
      <c r="X570" s="979">
        <v>9600</v>
      </c>
      <c r="Y570" s="979">
        <f>7700+14800+9200</f>
        <v>31700</v>
      </c>
      <c r="Z570" s="979"/>
      <c r="AA570" s="979">
        <v>300</v>
      </c>
      <c r="AB570" s="979">
        <v>5300</v>
      </c>
      <c r="AC570" s="979">
        <v>2600</v>
      </c>
      <c r="AD570" s="979">
        <v>4000</v>
      </c>
      <c r="AE570" s="1109">
        <f t="shared" si="121"/>
        <v>132400</v>
      </c>
      <c r="AF570" s="1113">
        <v>4800</v>
      </c>
      <c r="AG570" s="981">
        <v>4400</v>
      </c>
      <c r="AH570" s="981">
        <v>6800</v>
      </c>
      <c r="AI570" s="1114">
        <f t="shared" si="122"/>
        <v>16000</v>
      </c>
      <c r="AJ570" s="1110">
        <f t="shared" si="123"/>
        <v>159700</v>
      </c>
      <c r="AK570" s="982">
        <f>'09월 에너지'!S570</f>
        <v>140.30000000000001</v>
      </c>
      <c r="AL570" s="983">
        <f t="shared" si="124"/>
        <v>0.87852222917971201</v>
      </c>
    </row>
    <row r="571" spans="1:38" ht="16.5" customHeight="1">
      <c r="A571" s="999">
        <f>'09월 에너지'!A571</f>
        <v>46286</v>
      </c>
      <c r="B571" s="1002">
        <f>'09월 조업일지'!B569</f>
        <v>46286</v>
      </c>
      <c r="C571" s="1003" t="str">
        <f>'09월 에너지'!C571</f>
        <v>C</v>
      </c>
      <c r="D571" s="1004" t="str">
        <f>'09월 에너지'!D571</f>
        <v>B</v>
      </c>
      <c r="E571" s="1000">
        <f>'09월 에너지'!E571</f>
        <v>85771</v>
      </c>
      <c r="F571" s="1094" t="str">
        <f>'09월 에너지'!F571</f>
        <v>DKOIL</v>
      </c>
      <c r="G571" s="980"/>
      <c r="H571" s="978"/>
      <c r="I571" s="978">
        <v>4300</v>
      </c>
      <c r="J571" s="978"/>
      <c r="K571" s="978"/>
      <c r="L571" s="978"/>
      <c r="M571" s="978"/>
      <c r="N571" s="978"/>
      <c r="O571" s="1106">
        <f t="shared" si="120"/>
        <v>4300</v>
      </c>
      <c r="P571" s="1108">
        <f>2200+1900</f>
        <v>4100</v>
      </c>
      <c r="Q571" s="979">
        <f>5000+5600</f>
        <v>10600</v>
      </c>
      <c r="R571" s="979">
        <v>7300</v>
      </c>
      <c r="S571" s="979"/>
      <c r="T571" s="979"/>
      <c r="U571" s="979">
        <f>8300+7000</f>
        <v>15300</v>
      </c>
      <c r="V571" s="979">
        <f>4500+11500+6000+4500+5600+7100</f>
        <v>39200</v>
      </c>
      <c r="W571" s="979">
        <v>5100</v>
      </c>
      <c r="X571" s="979">
        <v>7200</v>
      </c>
      <c r="Y571" s="979">
        <f>4300+12000+5600</f>
        <v>21900</v>
      </c>
      <c r="Z571" s="979"/>
      <c r="AA571" s="979">
        <v>3300</v>
      </c>
      <c r="AB571" s="979">
        <v>7000</v>
      </c>
      <c r="AC571" s="979">
        <v>4700</v>
      </c>
      <c r="AD571" s="979">
        <v>4000</v>
      </c>
      <c r="AE571" s="1109">
        <f t="shared" si="121"/>
        <v>129700</v>
      </c>
      <c r="AF571" s="1113">
        <v>3200</v>
      </c>
      <c r="AG571" s="981">
        <v>10600</v>
      </c>
      <c r="AH571" s="981">
        <v>10400</v>
      </c>
      <c r="AI571" s="1114">
        <f t="shared" si="122"/>
        <v>24200</v>
      </c>
      <c r="AJ571" s="1110">
        <f t="shared" si="123"/>
        <v>158200</v>
      </c>
      <c r="AK571" s="982">
        <f>'09월 에너지'!S571</f>
        <v>142.9</v>
      </c>
      <c r="AL571" s="983">
        <f t="shared" si="124"/>
        <v>0.90328697850821749</v>
      </c>
    </row>
    <row r="572" spans="1:38" ht="16.5" customHeight="1">
      <c r="A572" s="999">
        <f>'09월 에너지'!A572</f>
        <v>46286</v>
      </c>
      <c r="B572" s="1002">
        <f>'09월 조업일지'!B570</f>
        <v>46286</v>
      </c>
      <c r="C572" s="1003" t="str">
        <f>'09월 에너지'!C572</f>
        <v>C</v>
      </c>
      <c r="D572" s="1004" t="str">
        <f>'09월 에너지'!D572</f>
        <v>A</v>
      </c>
      <c r="E572" s="1000">
        <f>'09월 에너지'!E572</f>
        <v>85772</v>
      </c>
      <c r="F572" s="1094" t="str">
        <f>'09월 에너지'!F572</f>
        <v>DKOIL</v>
      </c>
      <c r="G572" s="980"/>
      <c r="H572" s="978"/>
      <c r="I572" s="978">
        <v>9200</v>
      </c>
      <c r="J572" s="978"/>
      <c r="K572" s="978"/>
      <c r="L572" s="978"/>
      <c r="M572" s="978"/>
      <c r="N572" s="978"/>
      <c r="O572" s="1106">
        <f t="shared" si="120"/>
        <v>9200</v>
      </c>
      <c r="P572" s="1108">
        <f>2500+8000</f>
        <v>10500</v>
      </c>
      <c r="Q572" s="979">
        <f>6000+6400</f>
        <v>12400</v>
      </c>
      <c r="R572" s="979">
        <v>5400</v>
      </c>
      <c r="S572" s="979"/>
      <c r="T572" s="979"/>
      <c r="U572" s="979">
        <f>8600+3500</f>
        <v>12100</v>
      </c>
      <c r="V572" s="979">
        <f>4500+2500+7500+6300+10400+6900</f>
        <v>38100</v>
      </c>
      <c r="W572" s="979">
        <v>3200</v>
      </c>
      <c r="X572" s="979">
        <v>7300</v>
      </c>
      <c r="Y572" s="979">
        <f>2400+10400+1300</f>
        <v>14100</v>
      </c>
      <c r="Z572" s="979"/>
      <c r="AA572" s="979">
        <v>4200</v>
      </c>
      <c r="AB572" s="979">
        <v>10700</v>
      </c>
      <c r="AC572" s="979">
        <v>4000</v>
      </c>
      <c r="AD572" s="979">
        <v>7100</v>
      </c>
      <c r="AE572" s="1109">
        <f t="shared" si="121"/>
        <v>129100</v>
      </c>
      <c r="AF572" s="1113">
        <v>4000</v>
      </c>
      <c r="AG572" s="981">
        <v>7600</v>
      </c>
      <c r="AH572" s="981">
        <v>7900</v>
      </c>
      <c r="AI572" s="1114">
        <f t="shared" si="122"/>
        <v>19500</v>
      </c>
      <c r="AJ572" s="1110">
        <f t="shared" si="123"/>
        <v>157800</v>
      </c>
      <c r="AK572" s="982">
        <f>'09월 에너지'!S572</f>
        <v>144.9</v>
      </c>
      <c r="AL572" s="983">
        <f t="shared" si="124"/>
        <v>0.91825095057034223</v>
      </c>
    </row>
    <row r="573" spans="1:38" ht="16.5" customHeight="1">
      <c r="A573" s="999">
        <f>'09월 에너지'!A573</f>
        <v>46286</v>
      </c>
      <c r="B573" s="1002">
        <f>'09월 조업일지'!B571</f>
        <v>46286</v>
      </c>
      <c r="C573" s="1003" t="str">
        <f>'09월 에너지'!C573</f>
        <v>C</v>
      </c>
      <c r="D573" s="1004" t="str">
        <f>'09월 에너지'!D573</f>
        <v>B</v>
      </c>
      <c r="E573" s="1000">
        <f>'09월 에너지'!E573</f>
        <v>85773</v>
      </c>
      <c r="F573" s="1094" t="str">
        <f>'09월 에너지'!F573</f>
        <v>DKOIL</v>
      </c>
      <c r="G573" s="980"/>
      <c r="H573" s="978"/>
      <c r="I573" s="978">
        <v>3600</v>
      </c>
      <c r="J573" s="978"/>
      <c r="K573" s="978"/>
      <c r="L573" s="978"/>
      <c r="M573" s="978"/>
      <c r="N573" s="978"/>
      <c r="O573" s="1106">
        <f t="shared" si="120"/>
        <v>3600</v>
      </c>
      <c r="P573" s="1108">
        <f>5200+4100</f>
        <v>9300</v>
      </c>
      <c r="Q573" s="979">
        <f>23400+4500</f>
        <v>27900</v>
      </c>
      <c r="R573" s="979">
        <v>11600</v>
      </c>
      <c r="S573" s="979"/>
      <c r="T573" s="979"/>
      <c r="U573" s="979">
        <f>2800+2200</f>
        <v>5000</v>
      </c>
      <c r="V573" s="979">
        <f>2000+12500+7000+4500+8400+6700</f>
        <v>41100</v>
      </c>
      <c r="W573" s="979">
        <v>2800</v>
      </c>
      <c r="X573" s="979">
        <v>9000</v>
      </c>
      <c r="Y573" s="979">
        <f>8000+6900+6500</f>
        <v>21400</v>
      </c>
      <c r="Z573" s="979"/>
      <c r="AA573" s="979">
        <v>1300</v>
      </c>
      <c r="AB573" s="979">
        <v>3000</v>
      </c>
      <c r="AC573" s="979">
        <v>4300</v>
      </c>
      <c r="AD573" s="979">
        <v>3900</v>
      </c>
      <c r="AE573" s="1109">
        <f t="shared" si="121"/>
        <v>140600</v>
      </c>
      <c r="AF573" s="1113">
        <v>4400</v>
      </c>
      <c r="AG573" s="981">
        <v>4800</v>
      </c>
      <c r="AH573" s="981">
        <v>5300</v>
      </c>
      <c r="AI573" s="1114">
        <f t="shared" si="122"/>
        <v>14500</v>
      </c>
      <c r="AJ573" s="1110">
        <f t="shared" si="123"/>
        <v>158700</v>
      </c>
      <c r="AK573" s="982">
        <f>'09월 에너지'!S573</f>
        <v>141.80000000000001</v>
      </c>
      <c r="AL573" s="983">
        <f t="shared" si="124"/>
        <v>0.8935097668557026</v>
      </c>
    </row>
    <row r="574" spans="1:38" ht="16.5" customHeight="1">
      <c r="A574" s="999">
        <f>'09월 에너지'!A574</f>
        <v>46286</v>
      </c>
      <c r="B574" s="1002">
        <f>'09월 조업일지'!B572</f>
        <v>46286</v>
      </c>
      <c r="C574" s="1003" t="str">
        <f>'09월 에너지'!C574</f>
        <v>C</v>
      </c>
      <c r="D574" s="1004" t="str">
        <f>'09월 에너지'!D574</f>
        <v>A</v>
      </c>
      <c r="E574" s="1000">
        <f>'09월 에너지'!E574</f>
        <v>85774</v>
      </c>
      <c r="F574" s="1094" t="str">
        <f>'09월 에너지'!F574</f>
        <v>DKOIL</v>
      </c>
      <c r="G574" s="980"/>
      <c r="H574" s="978"/>
      <c r="I574" s="978">
        <v>6900</v>
      </c>
      <c r="J574" s="978"/>
      <c r="K574" s="978"/>
      <c r="L574" s="978"/>
      <c r="M574" s="978"/>
      <c r="N574" s="978"/>
      <c r="O574" s="1106">
        <f t="shared" si="120"/>
        <v>6900</v>
      </c>
      <c r="P574" s="1108">
        <f>1900+5000</f>
        <v>6900</v>
      </c>
      <c r="Q574" s="979">
        <f>6600+6800</f>
        <v>13400</v>
      </c>
      <c r="R574" s="979">
        <v>8400</v>
      </c>
      <c r="S574" s="979"/>
      <c r="T574" s="979"/>
      <c r="U574" s="979">
        <f>10000+11200</f>
        <v>21200</v>
      </c>
      <c r="V574" s="979">
        <f>6900+9100+6700+2700+5300+7200</f>
        <v>37900</v>
      </c>
      <c r="W574" s="979">
        <v>2700</v>
      </c>
      <c r="X574" s="979">
        <v>9700</v>
      </c>
      <c r="Y574" s="979">
        <f>4400+14900</f>
        <v>19300</v>
      </c>
      <c r="Z574" s="979"/>
      <c r="AA574" s="979">
        <v>1500</v>
      </c>
      <c r="AB574" s="979">
        <v>1100</v>
      </c>
      <c r="AC574" s="979">
        <v>4100</v>
      </c>
      <c r="AD574" s="979">
        <v>2700</v>
      </c>
      <c r="AE574" s="1109">
        <f t="shared" si="121"/>
        <v>128900</v>
      </c>
      <c r="AF574" s="1113">
        <v>3700</v>
      </c>
      <c r="AG574" s="981">
        <v>13600</v>
      </c>
      <c r="AH574" s="981">
        <v>5900</v>
      </c>
      <c r="AI574" s="1114">
        <f t="shared" si="122"/>
        <v>23200</v>
      </c>
      <c r="AJ574" s="1110">
        <f t="shared" si="123"/>
        <v>159000</v>
      </c>
      <c r="AK574" s="982">
        <f>'09월 에너지'!S574</f>
        <v>146.80000000000001</v>
      </c>
      <c r="AL574" s="983">
        <f t="shared" si="124"/>
        <v>0.92327044025157234</v>
      </c>
    </row>
    <row r="575" spans="1:38" ht="16.5" customHeight="1">
      <c r="A575" s="999">
        <f>'09월 에너지'!A575</f>
        <v>46286</v>
      </c>
      <c r="B575" s="1002">
        <f>'09월 조업일지'!B573</f>
        <v>46286</v>
      </c>
      <c r="C575" s="1003" t="str">
        <f>'09월 에너지'!C575</f>
        <v>C</v>
      </c>
      <c r="D575" s="1004" t="str">
        <f>'09월 에너지'!D575</f>
        <v>B</v>
      </c>
      <c r="E575" s="1000">
        <f>'09월 에너지'!E575</f>
        <v>85775</v>
      </c>
      <c r="F575" s="1094" t="str">
        <f>'09월 에너지'!F575</f>
        <v>DKOIL</v>
      </c>
      <c r="G575" s="980"/>
      <c r="H575" s="978"/>
      <c r="I575" s="978">
        <v>3400</v>
      </c>
      <c r="J575" s="978"/>
      <c r="K575" s="978"/>
      <c r="L575" s="978"/>
      <c r="M575" s="978"/>
      <c r="N575" s="978"/>
      <c r="O575" s="1106">
        <f t="shared" si="120"/>
        <v>3400</v>
      </c>
      <c r="P575" s="1108">
        <f>3500+2100</f>
        <v>5600</v>
      </c>
      <c r="Q575" s="979">
        <f>5000+5300</f>
        <v>10300</v>
      </c>
      <c r="R575" s="979">
        <v>15000</v>
      </c>
      <c r="S575" s="979"/>
      <c r="T575" s="979"/>
      <c r="U575" s="979">
        <f>11100+2400</f>
        <v>13500</v>
      </c>
      <c r="V575" s="979">
        <f>6500+2600+7500+5200+10600+7200</f>
        <v>39600</v>
      </c>
      <c r="W575" s="979">
        <v>2700</v>
      </c>
      <c r="X575" s="979">
        <v>9100</v>
      </c>
      <c r="Y575" s="979">
        <f>10200+15700+5400</f>
        <v>31300</v>
      </c>
      <c r="Z575" s="979"/>
      <c r="AA575" s="979">
        <v>1400</v>
      </c>
      <c r="AB575" s="979">
        <v>2100</v>
      </c>
      <c r="AC575" s="979">
        <v>3300</v>
      </c>
      <c r="AD575" s="979">
        <v>2200</v>
      </c>
      <c r="AE575" s="1109">
        <f t="shared" si="121"/>
        <v>136100</v>
      </c>
      <c r="AF575" s="1113">
        <v>4400</v>
      </c>
      <c r="AG575" s="981">
        <v>10000</v>
      </c>
      <c r="AH575" s="981">
        <v>5000</v>
      </c>
      <c r="AI575" s="1114">
        <f t="shared" si="122"/>
        <v>19400</v>
      </c>
      <c r="AJ575" s="1110">
        <f t="shared" si="123"/>
        <v>158900</v>
      </c>
      <c r="AK575" s="982">
        <f>'09월 에너지'!S575</f>
        <v>138.9</v>
      </c>
      <c r="AL575" s="983">
        <f t="shared" si="124"/>
        <v>0.87413467589679039</v>
      </c>
    </row>
    <row r="576" spans="1:38" ht="16.5" customHeight="1">
      <c r="A576" s="999">
        <f>'09월 에너지'!A576</f>
        <v>46286</v>
      </c>
      <c r="B576" s="1002">
        <f>'09월 조업일지'!B574</f>
        <v>46286</v>
      </c>
      <c r="C576" s="1003" t="str">
        <f>'09월 에너지'!C576</f>
        <v>C</v>
      </c>
      <c r="D576" s="1004" t="str">
        <f>'09월 에너지'!D576</f>
        <v>A</v>
      </c>
      <c r="E576" s="1000">
        <f>'09월 에너지'!E576</f>
        <v>85776</v>
      </c>
      <c r="F576" s="1094" t="str">
        <f>'09월 에너지'!F576</f>
        <v>DKOIL</v>
      </c>
      <c r="G576" s="980"/>
      <c r="H576" s="978"/>
      <c r="I576" s="978">
        <v>5900</v>
      </c>
      <c r="J576" s="978"/>
      <c r="K576" s="978"/>
      <c r="L576" s="978"/>
      <c r="M576" s="978"/>
      <c r="N576" s="978"/>
      <c r="O576" s="1106">
        <f t="shared" si="120"/>
        <v>5900</v>
      </c>
      <c r="P576" s="1108">
        <f>3900+9500</f>
        <v>13400</v>
      </c>
      <c r="Q576" s="979">
        <f>8300+6800</f>
        <v>15100</v>
      </c>
      <c r="R576" s="979">
        <v>6600</v>
      </c>
      <c r="S576" s="979"/>
      <c r="T576" s="979"/>
      <c r="U576" s="979">
        <f>13500+5900</f>
        <v>19400</v>
      </c>
      <c r="V576" s="979">
        <f>4800+18300+7000+4900+3600+7700</f>
        <v>46300</v>
      </c>
      <c r="W576" s="979">
        <v>3300</v>
      </c>
      <c r="X576" s="979">
        <v>8600</v>
      </c>
      <c r="Y576" s="979">
        <f>5200+9900+100</f>
        <v>15200</v>
      </c>
      <c r="Z576" s="979"/>
      <c r="AA576" s="979">
        <v>1100</v>
      </c>
      <c r="AB576" s="979">
        <v>900</v>
      </c>
      <c r="AC576" s="979">
        <v>1100</v>
      </c>
      <c r="AD576" s="979">
        <v>2500</v>
      </c>
      <c r="AE576" s="1109">
        <f t="shared" si="121"/>
        <v>133500</v>
      </c>
      <c r="AF576" s="1113">
        <v>6000</v>
      </c>
      <c r="AG576" s="981">
        <v>8400</v>
      </c>
      <c r="AH576" s="981">
        <v>4800</v>
      </c>
      <c r="AI576" s="1114">
        <f t="shared" si="122"/>
        <v>19200</v>
      </c>
      <c r="AJ576" s="1110">
        <f t="shared" si="123"/>
        <v>158600</v>
      </c>
      <c r="AK576" s="982">
        <f>'09월 에너지'!S576</f>
        <v>146.9</v>
      </c>
      <c r="AL576" s="983">
        <f t="shared" si="124"/>
        <v>0.92622950819672134</v>
      </c>
    </row>
    <row r="577" spans="1:38" ht="16.5" customHeight="1">
      <c r="A577" s="999">
        <f>'09월 에너지'!A577</f>
        <v>46286</v>
      </c>
      <c r="B577" s="1002">
        <f>'09월 조업일지'!B575</f>
        <v>46286</v>
      </c>
      <c r="C577" s="1003" t="str">
        <f>'09월 에너지'!C577</f>
        <v>C</v>
      </c>
      <c r="D577" s="1004" t="str">
        <f>'09월 에너지'!D577</f>
        <v>B</v>
      </c>
      <c r="E577" s="1000">
        <f>'09월 에너지'!E577</f>
        <v>85777</v>
      </c>
      <c r="F577" s="1094" t="str">
        <f>'09월 에너지'!F577</f>
        <v>DKOIL</v>
      </c>
      <c r="G577" s="980"/>
      <c r="H577" s="978"/>
      <c r="I577" s="978">
        <v>2900</v>
      </c>
      <c r="J577" s="978"/>
      <c r="K577" s="978"/>
      <c r="L577" s="978"/>
      <c r="M577" s="978"/>
      <c r="N577" s="978"/>
      <c r="O577" s="1106">
        <f t="shared" si="120"/>
        <v>2900</v>
      </c>
      <c r="P577" s="1108">
        <f>2600+7100</f>
        <v>9700</v>
      </c>
      <c r="Q577" s="979">
        <f>6700+8100</f>
        <v>14800</v>
      </c>
      <c r="R577" s="979">
        <v>3600</v>
      </c>
      <c r="S577" s="979"/>
      <c r="T577" s="979"/>
      <c r="U577" s="979">
        <v>12700</v>
      </c>
      <c r="V577" s="979">
        <f>7000+6600+8600+5600+6200+7300</f>
        <v>41300</v>
      </c>
      <c r="W577" s="979">
        <v>2400</v>
      </c>
      <c r="X577" s="979">
        <v>7700</v>
      </c>
      <c r="Y577" s="979">
        <f>10600+18500+5100</f>
        <v>34200</v>
      </c>
      <c r="Z577" s="979"/>
      <c r="AA577" s="979">
        <v>1800</v>
      </c>
      <c r="AB577" s="979">
        <v>2900</v>
      </c>
      <c r="AC577" s="979">
        <v>4100</v>
      </c>
      <c r="AD577" s="979">
        <v>5900</v>
      </c>
      <c r="AE577" s="1109">
        <f t="shared" si="121"/>
        <v>141100</v>
      </c>
      <c r="AF577" s="1113">
        <v>4100</v>
      </c>
      <c r="AG577" s="981">
        <v>12900</v>
      </c>
      <c r="AH577" s="981">
        <v>2700</v>
      </c>
      <c r="AI577" s="1114">
        <f t="shared" si="122"/>
        <v>19700</v>
      </c>
      <c r="AJ577" s="1110">
        <f t="shared" si="123"/>
        <v>163700</v>
      </c>
      <c r="AK577" s="982">
        <f>'09월 에너지'!S577</f>
        <v>144.80000000000001</v>
      </c>
      <c r="AL577" s="983">
        <f t="shared" si="124"/>
        <v>0.88454489920586443</v>
      </c>
    </row>
    <row r="578" spans="1:38" ht="16.5" customHeight="1">
      <c r="A578" s="999">
        <f>'09월 에너지'!A578</f>
        <v>46286</v>
      </c>
      <c r="B578" s="1002">
        <f>'09월 조업일지'!B576</f>
        <v>46286</v>
      </c>
      <c r="C578" s="1003" t="str">
        <f>'09월 에너지'!C578</f>
        <v>C</v>
      </c>
      <c r="D578" s="1004" t="str">
        <f>'09월 에너지'!D578</f>
        <v>A</v>
      </c>
      <c r="E578" s="1000">
        <f>'09월 에너지'!E578</f>
        <v>85778</v>
      </c>
      <c r="F578" s="1094" t="str">
        <f>'09월 에너지'!F578</f>
        <v>DKOIL</v>
      </c>
      <c r="G578" s="980"/>
      <c r="H578" s="978"/>
      <c r="I578" s="978">
        <v>7100</v>
      </c>
      <c r="J578" s="978"/>
      <c r="K578" s="978"/>
      <c r="L578" s="978"/>
      <c r="M578" s="978"/>
      <c r="N578" s="978"/>
      <c r="O578" s="1106">
        <f t="shared" si="120"/>
        <v>7100</v>
      </c>
      <c r="P578" s="1108">
        <f>4300+3000</f>
        <v>7300</v>
      </c>
      <c r="Q578" s="979">
        <f>8300+9700</f>
        <v>18000</v>
      </c>
      <c r="R578" s="979">
        <v>4700</v>
      </c>
      <c r="S578" s="979"/>
      <c r="T578" s="979"/>
      <c r="U578" s="979">
        <f>11700+10400</f>
        <v>22100</v>
      </c>
      <c r="V578" s="979">
        <f>2800+16600+6100+1400+5200+6600</f>
        <v>38700</v>
      </c>
      <c r="W578" s="979">
        <v>3700</v>
      </c>
      <c r="X578" s="979">
        <v>8800</v>
      </c>
      <c r="Y578" s="979">
        <f>3100+9300+600</f>
        <v>13000</v>
      </c>
      <c r="Z578" s="979"/>
      <c r="AA578" s="979">
        <v>2600</v>
      </c>
      <c r="AB578" s="979">
        <v>7500</v>
      </c>
      <c r="AC578" s="979">
        <v>4300</v>
      </c>
      <c r="AD578" s="979">
        <v>4800</v>
      </c>
      <c r="AE578" s="1109">
        <f t="shared" si="121"/>
        <v>135500</v>
      </c>
      <c r="AF578" s="1113">
        <v>3800</v>
      </c>
      <c r="AG578" s="981">
        <v>9700</v>
      </c>
      <c r="AH578" s="981">
        <v>2000</v>
      </c>
      <c r="AI578" s="1114">
        <f t="shared" si="122"/>
        <v>15500</v>
      </c>
      <c r="AJ578" s="1110">
        <f t="shared" si="123"/>
        <v>158100</v>
      </c>
      <c r="AK578" s="982">
        <f>'09월 에너지'!S578</f>
        <v>144.19999999999999</v>
      </c>
      <c r="AL578" s="983">
        <f t="shared" si="124"/>
        <v>0.91208096141682482</v>
      </c>
    </row>
    <row r="579" spans="1:38" ht="16.5" customHeight="1">
      <c r="A579" s="999">
        <f>'09월 에너지'!A579</f>
        <v>46286</v>
      </c>
      <c r="B579" s="1002">
        <f>'09월 조업일지'!B577</f>
        <v>46286</v>
      </c>
      <c r="C579" s="1003" t="str">
        <f>'09월 에너지'!C579</f>
        <v>D</v>
      </c>
      <c r="D579" s="1004" t="str">
        <f>'09월 에너지'!D579</f>
        <v>B</v>
      </c>
      <c r="E579" s="1000">
        <f>'09월 에너지'!E579</f>
        <v>85779</v>
      </c>
      <c r="F579" s="1094" t="str">
        <f>'09월 에너지'!F579</f>
        <v>DKOIL</v>
      </c>
      <c r="G579" s="980"/>
      <c r="H579" s="978"/>
      <c r="I579" s="978">
        <v>2200</v>
      </c>
      <c r="J579" s="978"/>
      <c r="K579" s="978"/>
      <c r="L579" s="978"/>
      <c r="M579" s="978"/>
      <c r="N579" s="978"/>
      <c r="O579" s="1106">
        <f t="shared" si="120"/>
        <v>2200</v>
      </c>
      <c r="P579" s="1108">
        <f>3400+2200</f>
        <v>5600</v>
      </c>
      <c r="Q579" s="979">
        <f>3800+6100</f>
        <v>9900</v>
      </c>
      <c r="R579" s="979">
        <v>8400</v>
      </c>
      <c r="S579" s="979"/>
      <c r="T579" s="979"/>
      <c r="U579" s="979">
        <f>13200+7900</f>
        <v>21100</v>
      </c>
      <c r="V579" s="979">
        <f>2100+7500+9600+2500+7100+7000</f>
        <v>35800</v>
      </c>
      <c r="W579" s="979">
        <v>2800</v>
      </c>
      <c r="X579" s="979">
        <v>8300</v>
      </c>
      <c r="Y579" s="979">
        <f>9700+16000+4500</f>
        <v>30200</v>
      </c>
      <c r="Z579" s="979"/>
      <c r="AA579" s="979">
        <v>1100</v>
      </c>
      <c r="AB579" s="979">
        <v>1700</v>
      </c>
      <c r="AC579" s="979">
        <v>4200</v>
      </c>
      <c r="AD579" s="979">
        <v>4500</v>
      </c>
      <c r="AE579" s="1109">
        <f t="shared" si="121"/>
        <v>133600</v>
      </c>
      <c r="AF579" s="1113">
        <v>4400</v>
      </c>
      <c r="AG579" s="981">
        <v>15200</v>
      </c>
      <c r="AH579" s="981">
        <v>4100</v>
      </c>
      <c r="AI579" s="1114">
        <f t="shared" si="122"/>
        <v>23700</v>
      </c>
      <c r="AJ579" s="1110">
        <f t="shared" si="123"/>
        <v>159500</v>
      </c>
      <c r="AK579" s="982">
        <f>'09월 에너지'!S579</f>
        <v>145.19999999999999</v>
      </c>
      <c r="AL579" s="983">
        <f t="shared" si="124"/>
        <v>0.91034482758620694</v>
      </c>
    </row>
    <row r="580" spans="1:38" ht="16.5" customHeight="1">
      <c r="A580" s="999">
        <f>'09월 에너지'!A580</f>
        <v>46286</v>
      </c>
      <c r="B580" s="1002">
        <f>'09월 조업일지'!B578</f>
        <v>46286</v>
      </c>
      <c r="C580" s="1003" t="str">
        <f>'09월 에너지'!C580</f>
        <v>D</v>
      </c>
      <c r="D580" s="1004" t="str">
        <f>'09월 에너지'!D580</f>
        <v>A</v>
      </c>
      <c r="E580" s="1000">
        <f>'09월 에너지'!E580</f>
        <v>85780</v>
      </c>
      <c r="F580" s="1094" t="str">
        <f>'09월 에너지'!F580</f>
        <v>DKOIL</v>
      </c>
      <c r="G580" s="980"/>
      <c r="H580" s="978"/>
      <c r="I580" s="978">
        <v>7200</v>
      </c>
      <c r="J580" s="978"/>
      <c r="K580" s="978"/>
      <c r="L580" s="978"/>
      <c r="M580" s="978"/>
      <c r="N580" s="978"/>
      <c r="O580" s="1106">
        <f t="shared" si="120"/>
        <v>7200</v>
      </c>
      <c r="P580" s="1108">
        <f>4600+1700</f>
        <v>6300</v>
      </c>
      <c r="Q580" s="979">
        <f>12300+5500</f>
        <v>17800</v>
      </c>
      <c r="R580" s="979">
        <v>4300</v>
      </c>
      <c r="S580" s="979"/>
      <c r="T580" s="979"/>
      <c r="U580" s="979">
        <f>11100+2500</f>
        <v>13600</v>
      </c>
      <c r="V580" s="979">
        <f>1600+11200+7300+8600+7700+7300</f>
        <v>43700</v>
      </c>
      <c r="W580" s="979">
        <v>3300</v>
      </c>
      <c r="X580" s="979">
        <v>8300</v>
      </c>
      <c r="Y580" s="979">
        <f>12600+4600</f>
        <v>17200</v>
      </c>
      <c r="Z580" s="979"/>
      <c r="AA580" s="979">
        <v>5400</v>
      </c>
      <c r="AB580" s="979">
        <v>11900</v>
      </c>
      <c r="AC580" s="979">
        <v>4000</v>
      </c>
      <c r="AD580" s="979">
        <v>1700</v>
      </c>
      <c r="AE580" s="1109">
        <f t="shared" si="121"/>
        <v>137500</v>
      </c>
      <c r="AF580" s="1113">
        <v>3400</v>
      </c>
      <c r="AG580" s="981">
        <v>7200</v>
      </c>
      <c r="AH580" s="981">
        <v>3300</v>
      </c>
      <c r="AI580" s="1114">
        <f t="shared" si="122"/>
        <v>13900</v>
      </c>
      <c r="AJ580" s="1110">
        <f t="shared" si="123"/>
        <v>158600</v>
      </c>
      <c r="AK580" s="982">
        <f>'09월 에너지'!S580</f>
        <v>144.30000000000001</v>
      </c>
      <c r="AL580" s="983">
        <f t="shared" si="124"/>
        <v>0.9098360655737705</v>
      </c>
    </row>
    <row r="581" spans="1:38" ht="16.5" customHeight="1">
      <c r="A581" s="999">
        <f>'09월 에너지'!A581</f>
        <v>46286</v>
      </c>
      <c r="B581" s="1002">
        <f>'09월 조업일지'!B579</f>
        <v>46286</v>
      </c>
      <c r="C581" s="1003" t="str">
        <f>'09월 에너지'!C581</f>
        <v>D</v>
      </c>
      <c r="D581" s="1004" t="str">
        <f>'09월 에너지'!D581</f>
        <v>B</v>
      </c>
      <c r="E581" s="1000">
        <f>'09월 에너지'!E581</f>
        <v>85781</v>
      </c>
      <c r="F581" s="1094" t="str">
        <f>'09월 에너지'!F581</f>
        <v>DKOIL</v>
      </c>
      <c r="G581" s="980"/>
      <c r="H581" s="978"/>
      <c r="I581" s="978">
        <v>5100</v>
      </c>
      <c r="J581" s="978"/>
      <c r="K581" s="978"/>
      <c r="L581" s="978"/>
      <c r="M581" s="978"/>
      <c r="N581" s="978"/>
      <c r="O581" s="1106">
        <f t="shared" si="120"/>
        <v>5100</v>
      </c>
      <c r="P581" s="1108">
        <f>4200+3000</f>
        <v>7200</v>
      </c>
      <c r="Q581" s="979">
        <f>8000+3000</f>
        <v>11000</v>
      </c>
      <c r="R581" s="979">
        <v>6600</v>
      </c>
      <c r="S581" s="979"/>
      <c r="T581" s="979"/>
      <c r="U581" s="979">
        <f>11500+5800</f>
        <v>17300</v>
      </c>
      <c r="V581" s="979">
        <f>7000+7300+8400+6900+6000+7000</f>
        <v>42600</v>
      </c>
      <c r="W581" s="979">
        <v>2400</v>
      </c>
      <c r="X581" s="979">
        <v>7400</v>
      </c>
      <c r="Y581" s="979">
        <f>8900+13300+5900</f>
        <v>28100</v>
      </c>
      <c r="Z581" s="979"/>
      <c r="AA581" s="979">
        <v>1900</v>
      </c>
      <c r="AB581" s="979">
        <v>2600</v>
      </c>
      <c r="AC581" s="979">
        <v>3600</v>
      </c>
      <c r="AD581" s="979">
        <v>3100</v>
      </c>
      <c r="AE581" s="1109">
        <f t="shared" si="121"/>
        <v>133800</v>
      </c>
      <c r="AF581" s="1113">
        <v>3900</v>
      </c>
      <c r="AG581" s="981">
        <v>10100</v>
      </c>
      <c r="AH581" s="981">
        <v>5300</v>
      </c>
      <c r="AI581" s="1114">
        <f t="shared" si="122"/>
        <v>19300</v>
      </c>
      <c r="AJ581" s="1110">
        <f t="shared" si="123"/>
        <v>158200</v>
      </c>
      <c r="AK581" s="982">
        <f>'09월 에너지'!S581</f>
        <v>141.4</v>
      </c>
      <c r="AL581" s="983">
        <f t="shared" si="124"/>
        <v>0.89380530973451322</v>
      </c>
    </row>
    <row r="582" spans="1:38" ht="16.5" customHeight="1">
      <c r="A582" s="999">
        <f>'09월 에너지'!A582</f>
        <v>46286</v>
      </c>
      <c r="B582" s="1002">
        <f>'09월 조업일지'!B580</f>
        <v>46286</v>
      </c>
      <c r="C582" s="1003" t="str">
        <f>'09월 에너지'!C582</f>
        <v>D</v>
      </c>
      <c r="D582" s="1004" t="str">
        <f>'09월 에너지'!D582</f>
        <v>A</v>
      </c>
      <c r="E582" s="1000">
        <f>'09월 에너지'!E582</f>
        <v>85782</v>
      </c>
      <c r="F582" s="1094" t="str">
        <f>'09월 에너지'!F582</f>
        <v>DKOIL</v>
      </c>
      <c r="G582" s="980"/>
      <c r="H582" s="978"/>
      <c r="I582" s="978">
        <v>4600</v>
      </c>
      <c r="J582" s="978"/>
      <c r="K582" s="978"/>
      <c r="L582" s="978"/>
      <c r="M582" s="978"/>
      <c r="N582" s="978"/>
      <c r="O582" s="1106">
        <f t="shared" si="120"/>
        <v>4600</v>
      </c>
      <c r="P582" s="1108">
        <f>6600+5000</f>
        <v>11600</v>
      </c>
      <c r="Q582" s="979">
        <f>6200+6600</f>
        <v>12800</v>
      </c>
      <c r="R582" s="979">
        <v>12300</v>
      </c>
      <c r="S582" s="979"/>
      <c r="T582" s="979"/>
      <c r="U582" s="979">
        <f>2900+6600</f>
        <v>9500</v>
      </c>
      <c r="V582" s="979">
        <f>3300+8200+8600+4800+4200+8200</f>
        <v>37300</v>
      </c>
      <c r="W582" s="979">
        <v>1700</v>
      </c>
      <c r="X582" s="979">
        <v>8100</v>
      </c>
      <c r="Y582" s="979">
        <f>5200+16400+1600</f>
        <v>23200</v>
      </c>
      <c r="Z582" s="979"/>
      <c r="AA582" s="979">
        <v>2900</v>
      </c>
      <c r="AB582" s="979">
        <v>1500</v>
      </c>
      <c r="AC582" s="979">
        <v>3900</v>
      </c>
      <c r="AD582" s="979">
        <v>7600</v>
      </c>
      <c r="AE582" s="1109">
        <f t="shared" si="121"/>
        <v>132400</v>
      </c>
      <c r="AF582" s="1113">
        <v>4300</v>
      </c>
      <c r="AG582" s="981">
        <v>10500</v>
      </c>
      <c r="AH582" s="981">
        <v>6300</v>
      </c>
      <c r="AI582" s="1114">
        <f t="shared" si="122"/>
        <v>21100</v>
      </c>
      <c r="AJ582" s="1110">
        <f t="shared" si="123"/>
        <v>158100</v>
      </c>
      <c r="AK582" s="982">
        <f>'09월 에너지'!S582</f>
        <v>142.30000000000001</v>
      </c>
      <c r="AL582" s="983">
        <f t="shared" si="124"/>
        <v>0.90006325110689434</v>
      </c>
    </row>
    <row r="583" spans="1:38" ht="16.5" customHeight="1">
      <c r="A583" s="999">
        <f>'09월 에너지'!A583</f>
        <v>46286</v>
      </c>
      <c r="B583" s="1002">
        <f>'09월 조업일지'!B581</f>
        <v>46286</v>
      </c>
      <c r="C583" s="1003" t="str">
        <f>'09월 에너지'!C583</f>
        <v>D</v>
      </c>
      <c r="D583" s="1004" t="str">
        <f>'09월 에너지'!D583</f>
        <v>B</v>
      </c>
      <c r="E583" s="1000">
        <f>'09월 에너지'!E583</f>
        <v>85783</v>
      </c>
      <c r="F583" s="1094" t="str">
        <f>'09월 에너지'!F583</f>
        <v>DKOIL</v>
      </c>
      <c r="G583" s="980"/>
      <c r="H583" s="978"/>
      <c r="I583" s="978">
        <v>6100</v>
      </c>
      <c r="J583" s="978"/>
      <c r="K583" s="978"/>
      <c r="L583" s="978"/>
      <c r="M583" s="978"/>
      <c r="N583" s="978"/>
      <c r="O583" s="1106">
        <f t="shared" si="120"/>
        <v>6100</v>
      </c>
      <c r="P583" s="1108">
        <f>2900+3200</f>
        <v>6100</v>
      </c>
      <c r="Q583" s="979">
        <f>5700+7000</f>
        <v>12700</v>
      </c>
      <c r="R583" s="979">
        <v>8000</v>
      </c>
      <c r="S583" s="979"/>
      <c r="T583" s="979"/>
      <c r="U583" s="979">
        <f>11500+6500</f>
        <v>18000</v>
      </c>
      <c r="V583" s="979">
        <f>7400+8000+7000+6300+5800+6900</f>
        <v>41400</v>
      </c>
      <c r="W583" s="979">
        <v>3100</v>
      </c>
      <c r="X583" s="979">
        <v>8400</v>
      </c>
      <c r="Y583" s="979">
        <f>6100+15200+7400</f>
        <v>28700</v>
      </c>
      <c r="Z583" s="979"/>
      <c r="AA583" s="979">
        <v>1700</v>
      </c>
      <c r="AB583" s="979">
        <v>2400</v>
      </c>
      <c r="AC583" s="979">
        <v>2800</v>
      </c>
      <c r="AD583" s="979">
        <v>4000</v>
      </c>
      <c r="AE583" s="1109">
        <f t="shared" si="121"/>
        <v>137300</v>
      </c>
      <c r="AF583" s="1113">
        <v>4400</v>
      </c>
      <c r="AG583" s="981">
        <v>11100</v>
      </c>
      <c r="AH583" s="981">
        <v>4500</v>
      </c>
      <c r="AI583" s="1114">
        <f t="shared" si="122"/>
        <v>20000</v>
      </c>
      <c r="AJ583" s="1110">
        <f t="shared" si="123"/>
        <v>163400</v>
      </c>
      <c r="AK583" s="982">
        <f>'09월 에너지'!S583</f>
        <v>142.69999999999999</v>
      </c>
      <c r="AL583" s="983">
        <f t="shared" si="124"/>
        <v>0.87331701346389234</v>
      </c>
    </row>
    <row r="584" spans="1:38" ht="16.5" customHeight="1">
      <c r="A584" s="999">
        <f>'09월 에너지'!A584</f>
        <v>46286</v>
      </c>
      <c r="B584" s="1002">
        <f>'09월 조업일지'!B582</f>
        <v>46286</v>
      </c>
      <c r="C584" s="1003" t="str">
        <f>'09월 에너지'!C584</f>
        <v>D</v>
      </c>
      <c r="D584" s="1004" t="str">
        <f>'09월 에너지'!D584</f>
        <v>A</v>
      </c>
      <c r="E584" s="1000">
        <f>'09월 에너지'!E584</f>
        <v>85784</v>
      </c>
      <c r="F584" s="1094" t="str">
        <f>'09월 에너지'!F584</f>
        <v>DKOIL</v>
      </c>
      <c r="G584" s="980"/>
      <c r="H584" s="978"/>
      <c r="I584" s="978">
        <v>5600</v>
      </c>
      <c r="J584" s="978"/>
      <c r="K584" s="978"/>
      <c r="L584" s="978"/>
      <c r="M584" s="978"/>
      <c r="N584" s="978"/>
      <c r="O584" s="1106">
        <f t="shared" si="120"/>
        <v>5600</v>
      </c>
      <c r="P584" s="1108">
        <f>5700+0</f>
        <v>5700</v>
      </c>
      <c r="Q584" s="979">
        <f>10500+5900</f>
        <v>16400</v>
      </c>
      <c r="R584" s="979">
        <v>5400</v>
      </c>
      <c r="S584" s="979"/>
      <c r="T584" s="979"/>
      <c r="U584" s="979">
        <f>10400+3900</f>
        <v>14300</v>
      </c>
      <c r="V584" s="979">
        <f>7100+5200+8300+5200+8000+7800</f>
        <v>41600</v>
      </c>
      <c r="W584" s="979">
        <v>2800</v>
      </c>
      <c r="X584" s="979">
        <v>6900</v>
      </c>
      <c r="Y584" s="979">
        <f>7800+17600+6100</f>
        <v>31500</v>
      </c>
      <c r="Z584" s="979"/>
      <c r="AA584" s="979">
        <v>800</v>
      </c>
      <c r="AB584" s="979">
        <v>900</v>
      </c>
      <c r="AC584" s="979">
        <v>3400</v>
      </c>
      <c r="AD584" s="979">
        <v>4700</v>
      </c>
      <c r="AE584" s="1109">
        <f t="shared" si="121"/>
        <v>134400</v>
      </c>
      <c r="AF584" s="1113">
        <v>5200</v>
      </c>
      <c r="AG584" s="981">
        <v>10900</v>
      </c>
      <c r="AH584" s="981">
        <v>7500</v>
      </c>
      <c r="AI584" s="1114">
        <f t="shared" si="122"/>
        <v>23600</v>
      </c>
      <c r="AJ584" s="1110">
        <f t="shared" si="123"/>
        <v>163600</v>
      </c>
      <c r="AK584" s="982">
        <f>'09월 에너지'!S584</f>
        <v>143.5</v>
      </c>
      <c r="AL584" s="983">
        <f t="shared" si="124"/>
        <v>0.87713936430317851</v>
      </c>
    </row>
    <row r="585" spans="1:38" ht="16.5" customHeight="1">
      <c r="A585" s="999">
        <f>'09월 에너지'!A585</f>
        <v>46286</v>
      </c>
      <c r="B585" s="1002">
        <f>'09월 조업일지'!B583</f>
        <v>46286</v>
      </c>
      <c r="C585" s="1003" t="str">
        <f>'09월 에너지'!C585</f>
        <v>D</v>
      </c>
      <c r="D585" s="1004" t="str">
        <f>'09월 에너지'!D585</f>
        <v>B</v>
      </c>
      <c r="E585" s="1000">
        <f>'09월 에너지'!E585</f>
        <v>85785</v>
      </c>
      <c r="F585" s="1094" t="str">
        <f>'09월 에너지'!F585</f>
        <v>DKOIL</v>
      </c>
      <c r="G585" s="980"/>
      <c r="H585" s="978"/>
      <c r="I585" s="978">
        <v>4700</v>
      </c>
      <c r="J585" s="978"/>
      <c r="K585" s="978"/>
      <c r="L585" s="978"/>
      <c r="M585" s="978"/>
      <c r="N585" s="978"/>
      <c r="O585" s="1106">
        <f t="shared" si="120"/>
        <v>4700</v>
      </c>
      <c r="P585" s="1108">
        <f>5300+3400</f>
        <v>8700</v>
      </c>
      <c r="Q585" s="979">
        <f>8800+3800</f>
        <v>12600</v>
      </c>
      <c r="R585" s="979">
        <v>5800</v>
      </c>
      <c r="S585" s="979"/>
      <c r="T585" s="979"/>
      <c r="U585" s="979">
        <f>11900+6800</f>
        <v>18700</v>
      </c>
      <c r="V585" s="979">
        <f>7200+9100+7600+5700+5200+7000</f>
        <v>41800</v>
      </c>
      <c r="W585" s="979">
        <v>1900</v>
      </c>
      <c r="X585" s="979">
        <v>9000</v>
      </c>
      <c r="Y585" s="979">
        <f>5700+12900+6100</f>
        <v>24700</v>
      </c>
      <c r="Z585" s="979"/>
      <c r="AA585" s="979">
        <v>3200</v>
      </c>
      <c r="AB585" s="979">
        <v>2000</v>
      </c>
      <c r="AC585" s="979">
        <v>3300</v>
      </c>
      <c r="AD585" s="979">
        <v>5300</v>
      </c>
      <c r="AE585" s="1109">
        <f t="shared" si="121"/>
        <v>137000</v>
      </c>
      <c r="AF585" s="1113">
        <v>4200</v>
      </c>
      <c r="AG585" s="981">
        <v>9200</v>
      </c>
      <c r="AH585" s="981">
        <v>4100</v>
      </c>
      <c r="AI585" s="1114">
        <f t="shared" si="122"/>
        <v>17500</v>
      </c>
      <c r="AJ585" s="1110">
        <f t="shared" si="123"/>
        <v>159200</v>
      </c>
      <c r="AK585" s="982">
        <f>'09월 에너지'!S585</f>
        <v>143.4</v>
      </c>
      <c r="AL585" s="983">
        <f t="shared" si="124"/>
        <v>0.90075376884422109</v>
      </c>
    </row>
    <row r="586" spans="1:38" ht="16.5" customHeight="1">
      <c r="A586" s="999">
        <f>'09월 에너지'!A586</f>
        <v>46287</v>
      </c>
      <c r="B586" s="1002">
        <f>'09월 조업일지'!B584</f>
        <v>46286</v>
      </c>
      <c r="C586" s="1003" t="str">
        <f>'09월 에너지'!C586</f>
        <v>D</v>
      </c>
      <c r="D586" s="1004" t="str">
        <f>'09월 에너지'!D586</f>
        <v>A</v>
      </c>
      <c r="E586" s="1000">
        <f>'09월 에너지'!E586</f>
        <v>85786</v>
      </c>
      <c r="F586" s="1094" t="str">
        <f>'09월 에너지'!F586</f>
        <v>DKOIL</v>
      </c>
      <c r="G586" s="980"/>
      <c r="H586" s="978"/>
      <c r="I586" s="978">
        <v>8100</v>
      </c>
      <c r="J586" s="978"/>
      <c r="K586" s="978"/>
      <c r="L586" s="978"/>
      <c r="M586" s="978"/>
      <c r="N586" s="978"/>
      <c r="O586" s="1106">
        <f t="shared" si="120"/>
        <v>8100</v>
      </c>
      <c r="P586" s="1108">
        <f>2000+0</f>
        <v>2000</v>
      </c>
      <c r="Q586" s="979">
        <f>13400+6200</f>
        <v>19600</v>
      </c>
      <c r="R586" s="979">
        <v>8400</v>
      </c>
      <c r="S586" s="979"/>
      <c r="T586" s="979"/>
      <c r="U586" s="979">
        <f>5200+7900</f>
        <v>13100</v>
      </c>
      <c r="V586" s="979">
        <f>3900+5400+8100+2000+8500+6600</f>
        <v>34500</v>
      </c>
      <c r="W586" s="979">
        <v>2600</v>
      </c>
      <c r="X586" s="979">
        <v>8400</v>
      </c>
      <c r="Y586" s="979">
        <f>9600+13300+4700</f>
        <v>27600</v>
      </c>
      <c r="Z586" s="979"/>
      <c r="AA586" s="979">
        <v>2800</v>
      </c>
      <c r="AB586" s="979">
        <v>2100</v>
      </c>
      <c r="AC586" s="979">
        <v>5600</v>
      </c>
      <c r="AD586" s="979">
        <v>9700</v>
      </c>
      <c r="AE586" s="1109">
        <f t="shared" si="121"/>
        <v>136400</v>
      </c>
      <c r="AF586" s="1113">
        <v>4200</v>
      </c>
      <c r="AG586" s="981">
        <v>3500</v>
      </c>
      <c r="AH586" s="981">
        <v>6700</v>
      </c>
      <c r="AI586" s="1114">
        <f t="shared" si="122"/>
        <v>14400</v>
      </c>
      <c r="AJ586" s="1110">
        <f t="shared" si="123"/>
        <v>158900</v>
      </c>
      <c r="AK586" s="982">
        <f>'09월 에너지'!S586</f>
        <v>146.4</v>
      </c>
      <c r="AL586" s="983">
        <f t="shared" si="124"/>
        <v>0.92133417243549398</v>
      </c>
    </row>
    <row r="587" spans="1:38" ht="16.5" customHeight="1">
      <c r="A587" s="999">
        <f>'09월 에너지'!A587</f>
        <v>46287</v>
      </c>
      <c r="B587" s="1002">
        <f>'09월 조업일지'!B585</f>
        <v>46286</v>
      </c>
      <c r="C587" s="1003" t="str">
        <f>'09월 에너지'!C587</f>
        <v>D</v>
      </c>
      <c r="D587" s="1004" t="str">
        <f>'09월 에너지'!D587</f>
        <v>B</v>
      </c>
      <c r="E587" s="1000">
        <f>'09월 에너지'!E587</f>
        <v>85787</v>
      </c>
      <c r="F587" s="1094" t="str">
        <f>'09월 에너지'!F587</f>
        <v>DKOIL</v>
      </c>
      <c r="G587" s="980"/>
      <c r="H587" s="978"/>
      <c r="I587" s="978">
        <v>5100</v>
      </c>
      <c r="J587" s="978"/>
      <c r="K587" s="978"/>
      <c r="L587" s="978"/>
      <c r="M587" s="978"/>
      <c r="N587" s="978"/>
      <c r="O587" s="1106">
        <f t="shared" si="120"/>
        <v>5100</v>
      </c>
      <c r="P587" s="1108">
        <f>4300+1000</f>
        <v>5300</v>
      </c>
      <c r="Q587" s="979">
        <f>7500+5700</f>
        <v>13200</v>
      </c>
      <c r="R587" s="979">
        <v>7600</v>
      </c>
      <c r="S587" s="979"/>
      <c r="T587" s="979"/>
      <c r="U587" s="979">
        <f>10600+6100</f>
        <v>16700</v>
      </c>
      <c r="V587" s="979">
        <f>6300+11500+7400+5200+6000+8200</f>
        <v>44600</v>
      </c>
      <c r="W587" s="979">
        <v>2100</v>
      </c>
      <c r="X587" s="979">
        <v>8500</v>
      </c>
      <c r="Y587" s="979">
        <f>6100+12700+6900</f>
        <v>25700</v>
      </c>
      <c r="Z587" s="979"/>
      <c r="AA587" s="979">
        <v>1700</v>
      </c>
      <c r="AB587" s="979">
        <v>1900</v>
      </c>
      <c r="AC587" s="979">
        <v>2200</v>
      </c>
      <c r="AD587" s="979">
        <v>3700</v>
      </c>
      <c r="AE587" s="1109">
        <f t="shared" si="121"/>
        <v>133200</v>
      </c>
      <c r="AF587" s="1113">
        <v>4200</v>
      </c>
      <c r="AG587" s="981">
        <v>13200</v>
      </c>
      <c r="AH587" s="981">
        <v>3200</v>
      </c>
      <c r="AI587" s="1114">
        <f t="shared" si="122"/>
        <v>20600</v>
      </c>
      <c r="AJ587" s="1110">
        <f t="shared" si="123"/>
        <v>158900</v>
      </c>
      <c r="AK587" s="982">
        <f>'09월 에너지'!S587</f>
        <v>143.5</v>
      </c>
      <c r="AL587" s="983">
        <f t="shared" si="124"/>
        <v>0.90308370044052866</v>
      </c>
    </row>
    <row r="588" spans="1:38" ht="16.5" customHeight="1">
      <c r="A588" s="999">
        <f>'09월 에너지'!A588</f>
        <v>46287</v>
      </c>
      <c r="B588" s="1002">
        <f>'09월 조업일지'!B586</f>
        <v>46286</v>
      </c>
      <c r="C588" s="1003" t="str">
        <f>'09월 에너지'!C588</f>
        <v>D</v>
      </c>
      <c r="D588" s="1004" t="str">
        <f>'09월 에너지'!D588</f>
        <v>A</v>
      </c>
      <c r="E588" s="1000">
        <f>'09월 에너지'!E588</f>
        <v>85788</v>
      </c>
      <c r="F588" s="1094" t="str">
        <f>'09월 에너지'!F588</f>
        <v>DKOIL</v>
      </c>
      <c r="G588" s="980"/>
      <c r="H588" s="978"/>
      <c r="I588" s="978">
        <v>4300</v>
      </c>
      <c r="J588" s="978"/>
      <c r="K588" s="978"/>
      <c r="L588" s="978"/>
      <c r="M588" s="978"/>
      <c r="N588" s="978"/>
      <c r="O588" s="1106">
        <f t="shared" si="120"/>
        <v>4300</v>
      </c>
      <c r="P588" s="1108">
        <f>4700+3500</f>
        <v>8200</v>
      </c>
      <c r="Q588" s="979">
        <f>8000+4600</f>
        <v>12600</v>
      </c>
      <c r="R588" s="979">
        <v>15400</v>
      </c>
      <c r="S588" s="979"/>
      <c r="T588" s="979"/>
      <c r="U588" s="979">
        <f>3600+2500</f>
        <v>6100</v>
      </c>
      <c r="V588" s="979">
        <f>2800+3000+7500+8300+5900+8100</f>
        <v>35600</v>
      </c>
      <c r="W588" s="979">
        <v>0</v>
      </c>
      <c r="X588" s="979">
        <v>8200</v>
      </c>
      <c r="Y588" s="979">
        <f>5400+19600+6000</f>
        <v>31000</v>
      </c>
      <c r="Z588" s="979"/>
      <c r="AA588" s="979">
        <v>3500</v>
      </c>
      <c r="AB588" s="979">
        <v>5900</v>
      </c>
      <c r="AC588" s="979">
        <v>3500</v>
      </c>
      <c r="AD588" s="979">
        <v>9100</v>
      </c>
      <c r="AE588" s="1109">
        <f t="shared" si="121"/>
        <v>139100</v>
      </c>
      <c r="AF588" s="1113">
        <v>3500</v>
      </c>
      <c r="AG588" s="981">
        <v>5700</v>
      </c>
      <c r="AH588" s="981">
        <v>6200</v>
      </c>
      <c r="AI588" s="1114">
        <f t="shared" si="122"/>
        <v>15400</v>
      </c>
      <c r="AJ588" s="1110">
        <f t="shared" si="123"/>
        <v>158800</v>
      </c>
      <c r="AK588" s="982">
        <f>'09월 에너지'!S588</f>
        <v>145.80000000000001</v>
      </c>
      <c r="AL588" s="983">
        <f t="shared" si="124"/>
        <v>0.91813602015113349</v>
      </c>
    </row>
    <row r="589" spans="1:38" ht="16.5" customHeight="1">
      <c r="A589" s="999">
        <f>'09월 에너지'!A589</f>
        <v>46287</v>
      </c>
      <c r="B589" s="1002">
        <f>'09월 조업일지'!B587</f>
        <v>46286</v>
      </c>
      <c r="C589" s="1003" t="str">
        <f>'09월 에너지'!C589</f>
        <v>D</v>
      </c>
      <c r="D589" s="1004" t="str">
        <f>'09월 에너지'!D589</f>
        <v>B</v>
      </c>
      <c r="E589" s="1000">
        <f>'09월 에너지'!E589</f>
        <v>85789</v>
      </c>
      <c r="F589" s="1094" t="str">
        <f>'09월 에너지'!F589</f>
        <v>DKOIL</v>
      </c>
      <c r="G589" s="980"/>
      <c r="H589" s="978"/>
      <c r="I589" s="978">
        <v>3900</v>
      </c>
      <c r="J589" s="978"/>
      <c r="K589" s="978"/>
      <c r="L589" s="978"/>
      <c r="M589" s="978"/>
      <c r="N589" s="978"/>
      <c r="O589" s="1106">
        <f t="shared" si="120"/>
        <v>3900</v>
      </c>
      <c r="P589" s="1108">
        <f>4500+3600</f>
        <v>8100</v>
      </c>
      <c r="Q589" s="979">
        <f>9600+4200</f>
        <v>13800</v>
      </c>
      <c r="R589" s="979">
        <v>8200</v>
      </c>
      <c r="S589" s="979"/>
      <c r="T589" s="979"/>
      <c r="U589" s="979">
        <f>12300+6500</f>
        <v>18800</v>
      </c>
      <c r="V589" s="979">
        <f>6200+9900+7200+6300+4900+7200</f>
        <v>41700</v>
      </c>
      <c r="W589" s="979">
        <v>2700</v>
      </c>
      <c r="X589" s="979">
        <v>8500</v>
      </c>
      <c r="Y589" s="979">
        <f>3500+13700+5600</f>
        <v>22800</v>
      </c>
      <c r="Z589" s="979"/>
      <c r="AA589" s="979">
        <v>2300</v>
      </c>
      <c r="AB589" s="979">
        <v>2700</v>
      </c>
      <c r="AC589" s="979">
        <v>3000</v>
      </c>
      <c r="AD589" s="979">
        <v>5500</v>
      </c>
      <c r="AE589" s="1109">
        <f t="shared" si="121"/>
        <v>138100</v>
      </c>
      <c r="AF589" s="1113">
        <v>3800</v>
      </c>
      <c r="AG589" s="981">
        <v>9100</v>
      </c>
      <c r="AH589" s="981">
        <v>4000</v>
      </c>
      <c r="AI589" s="1114">
        <f t="shared" si="122"/>
        <v>16900</v>
      </c>
      <c r="AJ589" s="1110">
        <f t="shared" si="123"/>
        <v>158900</v>
      </c>
      <c r="AK589" s="982">
        <f>'09월 에너지'!S589</f>
        <v>142.6</v>
      </c>
      <c r="AL589" s="983">
        <f t="shared" si="124"/>
        <v>0.89741976085588415</v>
      </c>
    </row>
    <row r="590" spans="1:38" ht="16.5" customHeight="1">
      <c r="A590" s="999">
        <f>'09월 에너지'!A590</f>
        <v>46287</v>
      </c>
      <c r="B590" s="1002">
        <f>'09월 조업일지'!B588</f>
        <v>46287</v>
      </c>
      <c r="C590" s="1003" t="str">
        <f>'09월 에너지'!C590</f>
        <v>A</v>
      </c>
      <c r="D590" s="1004" t="str">
        <f>'09월 에너지'!D590</f>
        <v>A</v>
      </c>
      <c r="E590" s="1000">
        <f>'09월 에너지'!E590</f>
        <v>85790</v>
      </c>
      <c r="F590" s="1094" t="str">
        <f>'09월 에너지'!F590</f>
        <v>DKOIL</v>
      </c>
      <c r="G590" s="980"/>
      <c r="H590" s="978"/>
      <c r="I590" s="978">
        <v>3300</v>
      </c>
      <c r="J590" s="978"/>
      <c r="K590" s="978"/>
      <c r="L590" s="978"/>
      <c r="M590" s="978"/>
      <c r="N590" s="978"/>
      <c r="O590" s="1106">
        <f t="shared" si="120"/>
        <v>3300</v>
      </c>
      <c r="P590" s="1108">
        <f>2400+2400</f>
        <v>4800</v>
      </c>
      <c r="Q590" s="979">
        <f>5800+6800</f>
        <v>12600</v>
      </c>
      <c r="R590" s="979">
        <v>8900</v>
      </c>
      <c r="S590" s="979"/>
      <c r="T590" s="979"/>
      <c r="U590" s="979">
        <f>13200+3400</f>
        <v>16600</v>
      </c>
      <c r="V590" s="979">
        <f>5100+7800+8800+9400+5100+8400</f>
        <v>44600</v>
      </c>
      <c r="W590" s="979">
        <v>4100</v>
      </c>
      <c r="X590" s="979">
        <v>6500</v>
      </c>
      <c r="Y590" s="979">
        <f>12500+12200+5100</f>
        <v>29800</v>
      </c>
      <c r="Z590" s="979"/>
      <c r="AA590" s="979">
        <v>1100</v>
      </c>
      <c r="AB590" s="979">
        <v>1800</v>
      </c>
      <c r="AC590" s="979">
        <v>0</v>
      </c>
      <c r="AD590" s="979">
        <v>3900</v>
      </c>
      <c r="AE590" s="1109">
        <f t="shared" si="121"/>
        <v>134700</v>
      </c>
      <c r="AF590" s="1113">
        <v>4500</v>
      </c>
      <c r="AG590" s="981">
        <v>8500</v>
      </c>
      <c r="AH590" s="981">
        <v>7400</v>
      </c>
      <c r="AI590" s="1114">
        <f t="shared" si="122"/>
        <v>20400</v>
      </c>
      <c r="AJ590" s="1110">
        <f t="shared" si="123"/>
        <v>158400</v>
      </c>
      <c r="AK590" s="982">
        <f>'09월 에너지'!S590</f>
        <v>140.30000000000001</v>
      </c>
      <c r="AL590" s="983">
        <f t="shared" si="124"/>
        <v>0.8857323232323232</v>
      </c>
    </row>
    <row r="591" spans="1:38" ht="16.5" customHeight="1">
      <c r="A591" s="999">
        <f>'09월 에너지'!A591</f>
        <v>46287</v>
      </c>
      <c r="B591" s="1002">
        <f>'09월 조업일지'!B589</f>
        <v>46287</v>
      </c>
      <c r="C591" s="1003" t="str">
        <f>'09월 에너지'!C591</f>
        <v>A</v>
      </c>
      <c r="D591" s="1004" t="str">
        <f>'09월 에너지'!D591</f>
        <v>B</v>
      </c>
      <c r="E591" s="1000">
        <f>'09월 에너지'!E591</f>
        <v>85791</v>
      </c>
      <c r="F591" s="1094" t="str">
        <f>'09월 에너지'!F591</f>
        <v>DKOIL</v>
      </c>
      <c r="G591" s="980"/>
      <c r="H591" s="978"/>
      <c r="I591" s="978">
        <v>5100</v>
      </c>
      <c r="J591" s="978"/>
      <c r="K591" s="978"/>
      <c r="L591" s="978"/>
      <c r="M591" s="978"/>
      <c r="N591" s="978"/>
      <c r="O591" s="1106">
        <f t="shared" ref="O591:O654" si="125">IF(SUM(G591:N591)=0,"",SUM(G591:N591))</f>
        <v>5100</v>
      </c>
      <c r="P591" s="1108">
        <f>5100+2900</f>
        <v>8000</v>
      </c>
      <c r="Q591" s="979">
        <f>11200+6400</f>
        <v>17600</v>
      </c>
      <c r="R591" s="979">
        <v>6400</v>
      </c>
      <c r="S591" s="979"/>
      <c r="T591" s="979"/>
      <c r="U591" s="979">
        <f>11000+6700</f>
        <v>17700</v>
      </c>
      <c r="V591" s="979">
        <f>5000+8400+6900+9600+4700+7000</f>
        <v>41600</v>
      </c>
      <c r="W591" s="979">
        <v>2800</v>
      </c>
      <c r="X591" s="979">
        <v>8300</v>
      </c>
      <c r="Y591" s="979">
        <f>6000+14700</f>
        <v>20700</v>
      </c>
      <c r="Z591" s="979"/>
      <c r="AA591" s="979">
        <v>1600</v>
      </c>
      <c r="AB591" s="979">
        <v>3500</v>
      </c>
      <c r="AC591" s="979">
        <v>2800</v>
      </c>
      <c r="AD591" s="979">
        <v>5100</v>
      </c>
      <c r="AE591" s="1109">
        <f t="shared" ref="AE591:AE654" si="126">IF(SUM(P591:AD591)=0,"",SUM(P591:AD591))</f>
        <v>136100</v>
      </c>
      <c r="AF591" s="1113">
        <v>5000</v>
      </c>
      <c r="AG591" s="981">
        <v>8700</v>
      </c>
      <c r="AH591" s="981">
        <v>3500</v>
      </c>
      <c r="AI591" s="1114">
        <f t="shared" ref="AI591:AI654" si="127">IF(SUM(AF591:AH591)=0,"",SUM(AF591:AH591))</f>
        <v>17200</v>
      </c>
      <c r="AJ591" s="1110">
        <f t="shared" ref="AJ591:AJ654" si="128">IF(SUM(O591,AE591,AI591)=0,"",SUM(O591,AE591,AI591))</f>
        <v>158400</v>
      </c>
      <c r="AK591" s="982">
        <f>'09월 에너지'!S591</f>
        <v>138.1</v>
      </c>
      <c r="AL591" s="983">
        <f t="shared" ref="AL591:AL654" si="129">IF(ISERROR(IF(AK591="","",(AK591*1000)/AJ591)),0,(IF(AK591="","",(AK591*1000)/AJ591)))</f>
        <v>0.87184343434343436</v>
      </c>
    </row>
    <row r="592" spans="1:38" ht="16.5" customHeight="1">
      <c r="A592" s="999">
        <f>'09월 에너지'!A592</f>
        <v>46287</v>
      </c>
      <c r="B592" s="1002">
        <f>'09월 조업일지'!B590</f>
        <v>46287</v>
      </c>
      <c r="C592" s="1003" t="str">
        <f>'09월 에너지'!C592</f>
        <v>A</v>
      </c>
      <c r="D592" s="1004" t="str">
        <f>'09월 에너지'!D592</f>
        <v>A</v>
      </c>
      <c r="E592" s="1000">
        <f>'09월 에너지'!E592</f>
        <v>85792</v>
      </c>
      <c r="F592" s="1094" t="str">
        <f>'09월 에너지'!F592</f>
        <v>DKOIL</v>
      </c>
      <c r="G592" s="980"/>
      <c r="H592" s="978"/>
      <c r="I592" s="978"/>
      <c r="J592" s="978"/>
      <c r="K592" s="978"/>
      <c r="L592" s="978"/>
      <c r="M592" s="978"/>
      <c r="N592" s="978"/>
      <c r="O592" s="1106" t="str">
        <f t="shared" si="125"/>
        <v/>
      </c>
      <c r="P592" s="1108">
        <f>6900+13700+13200+9100</f>
        <v>42900</v>
      </c>
      <c r="Q592" s="979">
        <v>3800</v>
      </c>
      <c r="R592" s="979"/>
      <c r="S592" s="979"/>
      <c r="T592" s="979"/>
      <c r="U592" s="979"/>
      <c r="V592" s="979">
        <f>5800+4300+12500+4800</f>
        <v>27400</v>
      </c>
      <c r="W592" s="979"/>
      <c r="X592" s="979"/>
      <c r="Y592" s="979">
        <f>3600+12300</f>
        <v>15900</v>
      </c>
      <c r="Z592" s="979"/>
      <c r="AA592" s="979"/>
      <c r="AB592" s="979"/>
      <c r="AC592" s="979"/>
      <c r="AD592" s="979"/>
      <c r="AE592" s="1109">
        <f t="shared" si="126"/>
        <v>90000</v>
      </c>
      <c r="AF592" s="1113">
        <v>5200</v>
      </c>
      <c r="AG592" s="981">
        <v>15300</v>
      </c>
      <c r="AH592" s="981"/>
      <c r="AI592" s="1114">
        <f t="shared" si="127"/>
        <v>20500</v>
      </c>
      <c r="AJ592" s="1110">
        <f t="shared" si="128"/>
        <v>110500</v>
      </c>
      <c r="AK592" s="982">
        <f>'09월 에너지'!S592</f>
        <v>145.1</v>
      </c>
      <c r="AL592" s="983">
        <f t="shared" si="129"/>
        <v>1.3131221719457014</v>
      </c>
    </row>
    <row r="593" spans="1:38" ht="16.5" customHeight="1">
      <c r="A593" s="999">
        <f>'09월 에너지'!A593</f>
        <v>46287</v>
      </c>
      <c r="B593" s="1002">
        <f>'09월 조업일지'!B591</f>
        <v>46287</v>
      </c>
      <c r="C593" s="1003" t="str">
        <f>'09월 에너지'!C593</f>
        <v>A</v>
      </c>
      <c r="D593" s="1004" t="str">
        <f>'09월 에너지'!D593</f>
        <v>B</v>
      </c>
      <c r="E593" s="1000">
        <f>'09월 에너지'!E593</f>
        <v>85793</v>
      </c>
      <c r="F593" s="1094" t="str">
        <f>'09월 에너지'!F593</f>
        <v>DKOIL</v>
      </c>
      <c r="G593" s="980"/>
      <c r="H593" s="978"/>
      <c r="I593" s="978"/>
      <c r="J593" s="978"/>
      <c r="K593" s="978"/>
      <c r="L593" s="978"/>
      <c r="M593" s="978"/>
      <c r="N593" s="978"/>
      <c r="O593" s="1106" t="str">
        <f t="shared" si="125"/>
        <v/>
      </c>
      <c r="P593" s="1108">
        <f>3600+9800+10500+10700</f>
        <v>34600</v>
      </c>
      <c r="Q593" s="979">
        <v>14200</v>
      </c>
      <c r="R593" s="979"/>
      <c r="S593" s="979"/>
      <c r="T593" s="979"/>
      <c r="U593" s="979"/>
      <c r="V593" s="979">
        <f>2700+2800+14500+2100</f>
        <v>22100</v>
      </c>
      <c r="W593" s="979"/>
      <c r="X593" s="979"/>
      <c r="Y593" s="979">
        <f>14100+17100</f>
        <v>31200</v>
      </c>
      <c r="Z593" s="979"/>
      <c r="AA593" s="979"/>
      <c r="AB593" s="979"/>
      <c r="AC593" s="979"/>
      <c r="AD593" s="979"/>
      <c r="AE593" s="1109">
        <f t="shared" si="126"/>
        <v>102100</v>
      </c>
      <c r="AF593" s="1113">
        <v>6200</v>
      </c>
      <c r="AG593" s="981">
        <v>12700</v>
      </c>
      <c r="AH593" s="981"/>
      <c r="AI593" s="1114">
        <f t="shared" si="127"/>
        <v>18900</v>
      </c>
      <c r="AJ593" s="1110">
        <f t="shared" si="128"/>
        <v>121000</v>
      </c>
      <c r="AK593" s="982">
        <f>'09월 에너지'!S593</f>
        <v>117.6</v>
      </c>
      <c r="AL593" s="983">
        <f t="shared" si="129"/>
        <v>0.97190082644628095</v>
      </c>
    </row>
    <row r="594" spans="1:38" ht="16.5" customHeight="1">
      <c r="A594" s="999">
        <f>'09월 에너지'!A594</f>
        <v>46287</v>
      </c>
      <c r="B594" s="1002">
        <f>'09월 조업일지'!B592</f>
        <v>46287</v>
      </c>
      <c r="C594" s="1003" t="str">
        <f>'09월 에너지'!C594</f>
        <v>C</v>
      </c>
      <c r="D594" s="1004" t="str">
        <f>'09월 에너지'!D594</f>
        <v>B</v>
      </c>
      <c r="E594" s="1000">
        <f>'09월 에너지'!E594</f>
        <v>85794</v>
      </c>
      <c r="F594" s="1170" t="str">
        <f>'09월 에너지'!F594</f>
        <v>SS400-01</v>
      </c>
      <c r="G594" s="980"/>
      <c r="H594" s="978"/>
      <c r="I594" s="978"/>
      <c r="J594" s="978"/>
      <c r="K594" s="978"/>
      <c r="L594" s="978"/>
      <c r="M594" s="978"/>
      <c r="N594" s="978"/>
      <c r="O594" s="1106" t="str">
        <f t="shared" si="125"/>
        <v/>
      </c>
      <c r="P594" s="1108">
        <f>12000+7100+10700+6000+10000+3900+8400</f>
        <v>58100</v>
      </c>
      <c r="Q594" s="979">
        <f>24700+15400</f>
        <v>40100</v>
      </c>
      <c r="R594" s="979"/>
      <c r="S594" s="979"/>
      <c r="T594" s="979"/>
      <c r="U594" s="979">
        <f>8800+200</f>
        <v>9000</v>
      </c>
      <c r="V594" s="979">
        <f>5300+6000+4000</f>
        <v>15300</v>
      </c>
      <c r="W594" s="979"/>
      <c r="X594" s="979">
        <v>2000</v>
      </c>
      <c r="Y594" s="979">
        <f>6800+1300</f>
        <v>8100</v>
      </c>
      <c r="Z594" s="979"/>
      <c r="AA594" s="979"/>
      <c r="AB594" s="979"/>
      <c r="AC594" s="979"/>
      <c r="AD594" s="979">
        <v>1200</v>
      </c>
      <c r="AE594" s="1109">
        <f t="shared" si="126"/>
        <v>133800</v>
      </c>
      <c r="AF594" s="1113">
        <v>3800</v>
      </c>
      <c r="AG594" s="981">
        <v>10400</v>
      </c>
      <c r="AH594" s="981">
        <v>9300</v>
      </c>
      <c r="AI594" s="1114">
        <f t="shared" si="127"/>
        <v>23500</v>
      </c>
      <c r="AJ594" s="1110">
        <f t="shared" si="128"/>
        <v>157300</v>
      </c>
      <c r="AK594" s="982">
        <f>'09월 에너지'!S594</f>
        <v>127</v>
      </c>
      <c r="AL594" s="983">
        <f t="shared" si="129"/>
        <v>0.80737444373808009</v>
      </c>
    </row>
    <row r="595" spans="1:38" ht="16.5" customHeight="1">
      <c r="A595" s="999">
        <f>'09월 에너지'!A595</f>
        <v>46287</v>
      </c>
      <c r="B595" s="1002">
        <f>'09월 조업일지'!B593</f>
        <v>46287</v>
      </c>
      <c r="C595" s="1003" t="str">
        <f>'09월 에너지'!C595</f>
        <v>C</v>
      </c>
      <c r="D595" s="1004" t="str">
        <f>'09월 에너지'!D595</f>
        <v>A</v>
      </c>
      <c r="E595" s="1000">
        <f>'09월 에너지'!E595</f>
        <v>85795</v>
      </c>
      <c r="F595" s="1094" t="str">
        <f>'09월 에너지'!F595</f>
        <v>SS400-01</v>
      </c>
      <c r="G595" s="980"/>
      <c r="H595" s="978"/>
      <c r="I595" s="978"/>
      <c r="J595" s="978"/>
      <c r="K595" s="978"/>
      <c r="L595" s="978"/>
      <c r="M595" s="978"/>
      <c r="N595" s="978"/>
      <c r="O595" s="1106" t="str">
        <f t="shared" si="125"/>
        <v/>
      </c>
      <c r="P595" s="1108">
        <f>6400+12100+12300+6600+7300+1600+8400</f>
        <v>54700</v>
      </c>
      <c r="Q595" s="979">
        <f>12000+13600</f>
        <v>25600</v>
      </c>
      <c r="R595" s="979"/>
      <c r="S595" s="979"/>
      <c r="T595" s="979"/>
      <c r="U595" s="979">
        <f>12000+7500</f>
        <v>19500</v>
      </c>
      <c r="V595" s="979">
        <f>8000+6000+2500</f>
        <v>16500</v>
      </c>
      <c r="W595" s="979"/>
      <c r="X595" s="979">
        <v>2000</v>
      </c>
      <c r="Y595" s="979">
        <f>8000+600</f>
        <v>8600</v>
      </c>
      <c r="Z595" s="979"/>
      <c r="AA595" s="979"/>
      <c r="AB595" s="979"/>
      <c r="AC595" s="979"/>
      <c r="AD595" s="979">
        <v>8800</v>
      </c>
      <c r="AE595" s="1109">
        <f t="shared" si="126"/>
        <v>135700</v>
      </c>
      <c r="AF595" s="1113">
        <v>4500</v>
      </c>
      <c r="AG595" s="981">
        <v>10400</v>
      </c>
      <c r="AH595" s="981">
        <v>6400</v>
      </c>
      <c r="AI595" s="1114">
        <f t="shared" si="127"/>
        <v>21300</v>
      </c>
      <c r="AJ595" s="1110">
        <f t="shared" si="128"/>
        <v>157000</v>
      </c>
      <c r="AK595" s="982">
        <f>'09월 에너지'!S595</f>
        <v>127.3</v>
      </c>
      <c r="AL595" s="983">
        <f t="shared" si="129"/>
        <v>0.81082802547770705</v>
      </c>
    </row>
    <row r="596" spans="1:38" ht="16.5" customHeight="1">
      <c r="A596" s="999">
        <f>'09월 에너지'!A596</f>
        <v>46287</v>
      </c>
      <c r="B596" s="1002">
        <f>'09월 조업일지'!B594</f>
        <v>46287</v>
      </c>
      <c r="C596" s="1003" t="str">
        <f>'09월 에너지'!C596</f>
        <v>C</v>
      </c>
      <c r="D596" s="1004" t="str">
        <f>'09월 에너지'!D596</f>
        <v>B</v>
      </c>
      <c r="E596" s="1000">
        <f>'09월 에너지'!E596</f>
        <v>85796</v>
      </c>
      <c r="F596" s="1170" t="str">
        <f>'09월 에너지'!F596</f>
        <v>SY300</v>
      </c>
      <c r="G596" s="980"/>
      <c r="H596" s="978"/>
      <c r="I596" s="978">
        <f>12000+7800</f>
        <v>19800</v>
      </c>
      <c r="J596" s="978"/>
      <c r="K596" s="978"/>
      <c r="L596" s="978"/>
      <c r="M596" s="978"/>
      <c r="N596" s="978"/>
      <c r="O596" s="1106">
        <f t="shared" si="125"/>
        <v>19800</v>
      </c>
      <c r="P596" s="1108">
        <f>700+5200+8100+20700+6800+7000</f>
        <v>48500</v>
      </c>
      <c r="Q596" s="979">
        <v>13300</v>
      </c>
      <c r="R596" s="979">
        <v>7900</v>
      </c>
      <c r="S596" s="979"/>
      <c r="T596" s="979"/>
      <c r="U596" s="979"/>
      <c r="V596" s="979">
        <f>2800+4700+9100</f>
        <v>16600</v>
      </c>
      <c r="W596" s="979">
        <v>3700</v>
      </c>
      <c r="X596" s="979">
        <v>8500</v>
      </c>
      <c r="Y596" s="979">
        <f>3200+3800+3300</f>
        <v>10300</v>
      </c>
      <c r="Z596" s="979"/>
      <c r="AA596" s="979">
        <v>3300</v>
      </c>
      <c r="AB596" s="979">
        <v>1200</v>
      </c>
      <c r="AC596" s="979"/>
      <c r="AD596" s="979">
        <v>6800</v>
      </c>
      <c r="AE596" s="1109">
        <f t="shared" si="126"/>
        <v>120100</v>
      </c>
      <c r="AF596" s="1113">
        <v>3700</v>
      </c>
      <c r="AG596" s="981">
        <v>13300</v>
      </c>
      <c r="AH596" s="981">
        <v>2400</v>
      </c>
      <c r="AI596" s="1114">
        <f t="shared" si="127"/>
        <v>19400</v>
      </c>
      <c r="AJ596" s="1110">
        <f t="shared" si="128"/>
        <v>159300</v>
      </c>
      <c r="AK596" s="982">
        <f>'09월 에너지'!S596</f>
        <v>136.9</v>
      </c>
      <c r="AL596" s="983">
        <f t="shared" si="129"/>
        <v>0.85938480853735089</v>
      </c>
    </row>
    <row r="597" spans="1:38" ht="16.5" customHeight="1">
      <c r="A597" s="999">
        <f>'09월 에너지'!A597</f>
        <v>46287</v>
      </c>
      <c r="B597" s="1002">
        <f>'09월 조업일지'!B595</f>
        <v>46287</v>
      </c>
      <c r="C597" s="1003" t="str">
        <f>'09월 에너지'!C597</f>
        <v>C</v>
      </c>
      <c r="D597" s="1004" t="str">
        <f>'09월 에너지'!D597</f>
        <v>A</v>
      </c>
      <c r="E597" s="1000">
        <f>'09월 에너지'!E597</f>
        <v>85797</v>
      </c>
      <c r="F597" s="1094" t="str">
        <f>'09월 에너지'!F597</f>
        <v>SY300</v>
      </c>
      <c r="G597" s="980"/>
      <c r="H597" s="978"/>
      <c r="I597" s="978">
        <f>6900+7400</f>
        <v>14300</v>
      </c>
      <c r="J597" s="978"/>
      <c r="K597" s="978"/>
      <c r="L597" s="978"/>
      <c r="M597" s="978"/>
      <c r="N597" s="978"/>
      <c r="O597" s="1106">
        <f t="shared" si="125"/>
        <v>14300</v>
      </c>
      <c r="P597" s="1108">
        <f>4700+13100+6300+11500+7000+2300</f>
        <v>44900</v>
      </c>
      <c r="Q597" s="979">
        <f>8600+6300</f>
        <v>14900</v>
      </c>
      <c r="R597" s="979">
        <v>10700</v>
      </c>
      <c r="S597" s="979"/>
      <c r="T597" s="979"/>
      <c r="U597" s="979"/>
      <c r="V597" s="979">
        <f>2800+7500+9500</f>
        <v>19800</v>
      </c>
      <c r="W597" s="979">
        <v>3100</v>
      </c>
      <c r="X597" s="979">
        <v>8600</v>
      </c>
      <c r="Y597" s="979">
        <v>10300</v>
      </c>
      <c r="Z597" s="979"/>
      <c r="AA597" s="979">
        <v>1700</v>
      </c>
      <c r="AB597" s="979">
        <v>1700</v>
      </c>
      <c r="AC597" s="979"/>
      <c r="AD597" s="979">
        <v>16300</v>
      </c>
      <c r="AE597" s="1109">
        <f t="shared" si="126"/>
        <v>132000</v>
      </c>
      <c r="AF597" s="1113">
        <v>3600</v>
      </c>
      <c r="AG597" s="981">
        <v>6600</v>
      </c>
      <c r="AH597" s="981">
        <v>2000</v>
      </c>
      <c r="AI597" s="1114">
        <f t="shared" si="127"/>
        <v>12200</v>
      </c>
      <c r="AJ597" s="1110">
        <f t="shared" si="128"/>
        <v>158500</v>
      </c>
      <c r="AK597" s="982">
        <f>'09월 에너지'!S597</f>
        <v>136</v>
      </c>
      <c r="AL597" s="983">
        <f t="shared" si="129"/>
        <v>0.85804416403785488</v>
      </c>
    </row>
    <row r="598" spans="1:38" ht="16.5" customHeight="1">
      <c r="A598" s="999">
        <f>'09월 에너지'!A598</f>
        <v>46287</v>
      </c>
      <c r="B598" s="1002">
        <f>'09월 조업일지'!B596</f>
        <v>46287</v>
      </c>
      <c r="C598" s="1003" t="str">
        <f>'09월 에너지'!C598</f>
        <v>D</v>
      </c>
      <c r="D598" s="1004" t="str">
        <f>'09월 에너지'!D598</f>
        <v>B</v>
      </c>
      <c r="E598" s="1000">
        <f>'09월 에너지'!E598</f>
        <v>85798</v>
      </c>
      <c r="F598" s="1094" t="str">
        <f>'09월 에너지'!F598</f>
        <v>SY300</v>
      </c>
      <c r="G598" s="980"/>
      <c r="H598" s="978"/>
      <c r="I598" s="978">
        <f>6200+6900</f>
        <v>13100</v>
      </c>
      <c r="J598" s="978"/>
      <c r="K598" s="978"/>
      <c r="L598" s="978"/>
      <c r="M598" s="978"/>
      <c r="N598" s="978"/>
      <c r="O598" s="1106">
        <f t="shared" si="125"/>
        <v>13100</v>
      </c>
      <c r="P598" s="1108">
        <f>4700+13100+6300+11500+7000+8200</f>
        <v>50800</v>
      </c>
      <c r="Q598" s="979">
        <f>8600+3500</f>
        <v>12100</v>
      </c>
      <c r="R598" s="979">
        <v>10700</v>
      </c>
      <c r="S598" s="979"/>
      <c r="T598" s="979"/>
      <c r="U598" s="979"/>
      <c r="V598" s="979">
        <f>2800+6700+8900</f>
        <v>18400</v>
      </c>
      <c r="W598" s="979">
        <v>3100</v>
      </c>
      <c r="X598" s="979">
        <v>8600</v>
      </c>
      <c r="Y598" s="979">
        <f>2100+2500+2900</f>
        <v>7500</v>
      </c>
      <c r="Z598" s="979"/>
      <c r="AA598" s="979">
        <v>900</v>
      </c>
      <c r="AB598" s="979">
        <v>1700</v>
      </c>
      <c r="AC598" s="979"/>
      <c r="AD598" s="979">
        <v>16300</v>
      </c>
      <c r="AE598" s="1109">
        <f t="shared" si="126"/>
        <v>130100</v>
      </c>
      <c r="AF598" s="1113">
        <v>3800</v>
      </c>
      <c r="AG598" s="981">
        <f>2800+6600</f>
        <v>9400</v>
      </c>
      <c r="AH598" s="981">
        <v>2000</v>
      </c>
      <c r="AI598" s="1114">
        <f t="shared" si="127"/>
        <v>15200</v>
      </c>
      <c r="AJ598" s="1110">
        <f t="shared" si="128"/>
        <v>158400</v>
      </c>
      <c r="AK598" s="982">
        <f>'09월 에너지'!S598</f>
        <v>143.1</v>
      </c>
      <c r="AL598" s="983">
        <f t="shared" si="129"/>
        <v>0.90340909090909094</v>
      </c>
    </row>
    <row r="599" spans="1:38" ht="16.5" customHeight="1">
      <c r="A599" s="999">
        <f>'09월 에너지'!A599</f>
        <v>46287</v>
      </c>
      <c r="B599" s="1002">
        <f>'09월 조업일지'!B597</f>
        <v>46287</v>
      </c>
      <c r="C599" s="1003" t="str">
        <f>'09월 에너지'!C599</f>
        <v>D</v>
      </c>
      <c r="D599" s="1004" t="str">
        <f>'09월 에너지'!D599</f>
        <v>A</v>
      </c>
      <c r="E599" s="1000">
        <f>'09월 에너지'!E599</f>
        <v>85799</v>
      </c>
      <c r="F599" s="1170" t="str">
        <f>'09월 에너지'!F599</f>
        <v>SY400</v>
      </c>
      <c r="G599" s="980"/>
      <c r="H599" s="978"/>
      <c r="I599" s="978">
        <f>6200+9300</f>
        <v>15500</v>
      </c>
      <c r="J599" s="978"/>
      <c r="K599" s="978"/>
      <c r="L599" s="978"/>
      <c r="M599" s="978"/>
      <c r="N599" s="978"/>
      <c r="O599" s="1106">
        <f t="shared" si="125"/>
        <v>15500</v>
      </c>
      <c r="P599" s="1108">
        <f>1300+15700+3100+8800+6500+3600</f>
        <v>39000</v>
      </c>
      <c r="Q599" s="979">
        <f>9600+9300</f>
        <v>18900</v>
      </c>
      <c r="R599" s="979">
        <v>7700</v>
      </c>
      <c r="S599" s="979"/>
      <c r="T599" s="979"/>
      <c r="U599" s="979"/>
      <c r="V599" s="979">
        <f>4100+2700+9300</f>
        <v>16100</v>
      </c>
      <c r="W599" s="979">
        <v>3800</v>
      </c>
      <c r="X599" s="979">
        <v>8800</v>
      </c>
      <c r="Y599" s="979">
        <f>5900+900+2100</f>
        <v>8900</v>
      </c>
      <c r="Z599" s="979"/>
      <c r="AA599" s="979">
        <v>6400</v>
      </c>
      <c r="AB599" s="979">
        <v>6200</v>
      </c>
      <c r="AC599" s="979"/>
      <c r="AD599" s="979">
        <v>4400</v>
      </c>
      <c r="AE599" s="1109">
        <f t="shared" si="126"/>
        <v>120200</v>
      </c>
      <c r="AF599" s="1113">
        <v>3900</v>
      </c>
      <c r="AG599" s="981">
        <f>4000+12400</f>
        <v>16400</v>
      </c>
      <c r="AH599" s="981">
        <v>2500</v>
      </c>
      <c r="AI599" s="1114">
        <f t="shared" si="127"/>
        <v>22800</v>
      </c>
      <c r="AJ599" s="1110">
        <f t="shared" si="128"/>
        <v>158500</v>
      </c>
      <c r="AK599" s="982">
        <f>'09월 에너지'!S599</f>
        <v>139.5</v>
      </c>
      <c r="AL599" s="983">
        <f t="shared" si="129"/>
        <v>0.88012618296529965</v>
      </c>
    </row>
    <row r="600" spans="1:38" ht="16.5" customHeight="1">
      <c r="A600" s="999">
        <f>'09월 에너지'!A600</f>
        <v>46287</v>
      </c>
      <c r="B600" s="1002">
        <f>'09월 조업일지'!B598</f>
        <v>46287</v>
      </c>
      <c r="C600" s="1003" t="str">
        <f>'09월 에너지'!C600</f>
        <v>D</v>
      </c>
      <c r="D600" s="1004" t="str">
        <f>'09월 에너지'!D600</f>
        <v>B</v>
      </c>
      <c r="E600" s="1000">
        <f>'09월 에너지'!E600</f>
        <v>85800</v>
      </c>
      <c r="F600" s="1094" t="str">
        <f>'09월 에너지'!F600</f>
        <v>SY400</v>
      </c>
      <c r="G600" s="980"/>
      <c r="H600" s="978"/>
      <c r="I600" s="978">
        <f>12500+6900</f>
        <v>19400</v>
      </c>
      <c r="J600" s="978"/>
      <c r="K600" s="978"/>
      <c r="L600" s="978"/>
      <c r="M600" s="978"/>
      <c r="N600" s="978"/>
      <c r="O600" s="1106">
        <f t="shared" si="125"/>
        <v>19400</v>
      </c>
      <c r="P600" s="1108">
        <f>4600+4800+9400+12300+6300+4400</f>
        <v>41800</v>
      </c>
      <c r="Q600" s="979">
        <f>10500+6600</f>
        <v>17100</v>
      </c>
      <c r="R600" s="979">
        <v>6400</v>
      </c>
      <c r="S600" s="979"/>
      <c r="T600" s="979"/>
      <c r="U600" s="979"/>
      <c r="V600" s="979">
        <f>3800+6300+9400</f>
        <v>19500</v>
      </c>
      <c r="W600" s="979">
        <v>3200</v>
      </c>
      <c r="X600" s="979">
        <v>8900</v>
      </c>
      <c r="Y600" s="979">
        <f>4200+1600+700</f>
        <v>6500</v>
      </c>
      <c r="Z600" s="979"/>
      <c r="AA600" s="979">
        <v>1900</v>
      </c>
      <c r="AB600" s="979">
        <v>2600</v>
      </c>
      <c r="AC600" s="979"/>
      <c r="AD600" s="979">
        <v>3200</v>
      </c>
      <c r="AE600" s="1109">
        <f t="shared" si="126"/>
        <v>111100</v>
      </c>
      <c r="AF600" s="1113">
        <v>5500</v>
      </c>
      <c r="AG600" s="981">
        <f>3600+14800</f>
        <v>18400</v>
      </c>
      <c r="AH600" s="981">
        <v>3800</v>
      </c>
      <c r="AI600" s="1114">
        <f t="shared" si="127"/>
        <v>27700</v>
      </c>
      <c r="AJ600" s="1110">
        <f t="shared" si="128"/>
        <v>158200</v>
      </c>
      <c r="AK600" s="982">
        <f>'09월 에너지'!S600</f>
        <v>145.4</v>
      </c>
      <c r="AL600" s="983">
        <f t="shared" si="129"/>
        <v>0.91908975979772445</v>
      </c>
    </row>
    <row r="601" spans="1:38" ht="16.5" customHeight="1">
      <c r="A601" s="999">
        <f>'09월 에너지'!A601</f>
        <v>46287</v>
      </c>
      <c r="B601" s="1002">
        <f>'09월 조업일지'!B599</f>
        <v>46287</v>
      </c>
      <c r="C601" s="1003" t="str">
        <f>'09월 에너지'!C601</f>
        <v>D</v>
      </c>
      <c r="D601" s="1004" t="str">
        <f>'09월 에너지'!D601</f>
        <v>A</v>
      </c>
      <c r="E601" s="1000">
        <f>'09월 에너지'!E601</f>
        <v>85801</v>
      </c>
      <c r="F601" s="1094" t="str">
        <f>'09월 에너지'!F601</f>
        <v>SY400</v>
      </c>
      <c r="G601" s="980"/>
      <c r="H601" s="978"/>
      <c r="I601" s="978">
        <f>8500+3600</f>
        <v>12100</v>
      </c>
      <c r="J601" s="978"/>
      <c r="K601" s="978"/>
      <c r="L601" s="978"/>
      <c r="M601" s="978"/>
      <c r="N601" s="978"/>
      <c r="O601" s="1106">
        <f t="shared" si="125"/>
        <v>12100</v>
      </c>
      <c r="P601" s="1108">
        <f>2800+7600+11000+11100+6200+5100</f>
        <v>43800</v>
      </c>
      <c r="Q601" s="979">
        <f>18700+5400</f>
        <v>24100</v>
      </c>
      <c r="R601" s="979">
        <v>9100</v>
      </c>
      <c r="S601" s="979"/>
      <c r="T601" s="979"/>
      <c r="U601" s="979"/>
      <c r="V601" s="979">
        <f>6000+10800+9900</f>
        <v>26700</v>
      </c>
      <c r="W601" s="979">
        <v>3200</v>
      </c>
      <c r="X601" s="979">
        <v>9500</v>
      </c>
      <c r="Y601" s="979">
        <f>3400+5600+1700</f>
        <v>10700</v>
      </c>
      <c r="Z601" s="979"/>
      <c r="AA601" s="979">
        <v>1300</v>
      </c>
      <c r="AB601" s="979">
        <v>1200</v>
      </c>
      <c r="AC601" s="979"/>
      <c r="AD601" s="979">
        <v>3000</v>
      </c>
      <c r="AE601" s="1109">
        <f t="shared" si="126"/>
        <v>132600</v>
      </c>
      <c r="AF601" s="1113">
        <v>3500</v>
      </c>
      <c r="AG601" s="981">
        <f>5300+6100</f>
        <v>11400</v>
      </c>
      <c r="AH601" s="981">
        <v>4600</v>
      </c>
      <c r="AI601" s="1114">
        <f t="shared" si="127"/>
        <v>19500</v>
      </c>
      <c r="AJ601" s="1110">
        <f t="shared" si="128"/>
        <v>164200</v>
      </c>
      <c r="AK601" s="982">
        <f>'09월 에너지'!S601</f>
        <v>141.30000000000001</v>
      </c>
      <c r="AL601" s="983">
        <f t="shared" si="129"/>
        <v>0.86053593179049936</v>
      </c>
    </row>
    <row r="602" spans="1:38" ht="16.5" customHeight="1">
      <c r="A602" s="999">
        <f>'09월 에너지'!A602</f>
        <v>46287</v>
      </c>
      <c r="B602" s="1002">
        <f>'09월 조업일지'!B600</f>
        <v>46287</v>
      </c>
      <c r="C602" s="1003" t="str">
        <f>'09월 에너지'!C602</f>
        <v>D</v>
      </c>
      <c r="D602" s="1004" t="str">
        <f>'09월 에너지'!D602</f>
        <v>B</v>
      </c>
      <c r="E602" s="1000">
        <f>'09월 에너지'!E602</f>
        <v>85802</v>
      </c>
      <c r="F602" s="1170" t="str">
        <f>'09월 에너지'!F602</f>
        <v>SHP355W</v>
      </c>
      <c r="G602" s="980"/>
      <c r="H602" s="978"/>
      <c r="I602" s="978">
        <f>14000+7400</f>
        <v>21400</v>
      </c>
      <c r="J602" s="978"/>
      <c r="K602" s="978"/>
      <c r="L602" s="978"/>
      <c r="M602" s="978"/>
      <c r="N602" s="978"/>
      <c r="O602" s="1106">
        <f t="shared" si="125"/>
        <v>21400</v>
      </c>
      <c r="P602" s="1108">
        <f>6900+7500+8200+10600+6500+5400</f>
        <v>45100</v>
      </c>
      <c r="Q602" s="979">
        <f>9700+5000</f>
        <v>14700</v>
      </c>
      <c r="R602" s="979">
        <v>7400</v>
      </c>
      <c r="S602" s="979"/>
      <c r="T602" s="979"/>
      <c r="U602" s="979"/>
      <c r="V602" s="979">
        <f>4200+6000+8900</f>
        <v>19100</v>
      </c>
      <c r="W602" s="979">
        <v>1000</v>
      </c>
      <c r="X602" s="979">
        <v>10600</v>
      </c>
      <c r="Y602" s="979">
        <f>2600+3300+2400</f>
        <v>8300</v>
      </c>
      <c r="Z602" s="979"/>
      <c r="AA602" s="979">
        <v>2400</v>
      </c>
      <c r="AB602" s="979">
        <v>2600</v>
      </c>
      <c r="AC602" s="979"/>
      <c r="AD602" s="979">
        <v>3300</v>
      </c>
      <c r="AE602" s="1109">
        <f t="shared" si="126"/>
        <v>114500</v>
      </c>
      <c r="AF602" s="1113">
        <v>4000</v>
      </c>
      <c r="AG602" s="981">
        <f>11400+3100</f>
        <v>14500</v>
      </c>
      <c r="AH602" s="981">
        <v>4300</v>
      </c>
      <c r="AI602" s="1114">
        <f t="shared" si="127"/>
        <v>22800</v>
      </c>
      <c r="AJ602" s="1110">
        <f t="shared" si="128"/>
        <v>158700</v>
      </c>
      <c r="AK602" s="982">
        <f>'09월 에너지'!S602</f>
        <v>145.4</v>
      </c>
      <c r="AL602" s="983">
        <f t="shared" si="129"/>
        <v>0.91619407687460619</v>
      </c>
    </row>
    <row r="603" spans="1:38" ht="16.5" customHeight="1">
      <c r="A603" s="999">
        <f>'09월 에너지'!A603</f>
        <v>46287</v>
      </c>
      <c r="B603" s="1002">
        <f>'09월 조업일지'!B601</f>
        <v>46287</v>
      </c>
      <c r="C603" s="1003" t="str">
        <f>'09월 에너지'!C603</f>
        <v>D</v>
      </c>
      <c r="D603" s="1004" t="str">
        <f>'09월 에너지'!D603</f>
        <v>A</v>
      </c>
      <c r="E603" s="1000">
        <f>'09월 에너지'!E603</f>
        <v>85803</v>
      </c>
      <c r="F603" s="1094" t="str">
        <f>'09월 에너지'!F603</f>
        <v>SHP355W</v>
      </c>
      <c r="G603" s="980"/>
      <c r="H603" s="978"/>
      <c r="I603" s="978">
        <f>8700+1800</f>
        <v>10500</v>
      </c>
      <c r="J603" s="978"/>
      <c r="K603" s="978"/>
      <c r="L603" s="978"/>
      <c r="M603" s="978"/>
      <c r="N603" s="978"/>
      <c r="O603" s="1106">
        <f t="shared" si="125"/>
        <v>10500</v>
      </c>
      <c r="P603" s="1108">
        <f>8500+12300+7600+10500+5900+9900</f>
        <v>54700</v>
      </c>
      <c r="Q603" s="979">
        <f>11200+6900</f>
        <v>18100</v>
      </c>
      <c r="R603" s="979">
        <v>5900</v>
      </c>
      <c r="S603" s="979"/>
      <c r="T603" s="979"/>
      <c r="U603" s="979"/>
      <c r="V603" s="979">
        <f>5700+6300+11800</f>
        <v>23800</v>
      </c>
      <c r="W603" s="979">
        <v>3200</v>
      </c>
      <c r="X603" s="979">
        <v>9500</v>
      </c>
      <c r="Y603" s="979">
        <f>3800+4100+100</f>
        <v>8000</v>
      </c>
      <c r="Z603" s="979"/>
      <c r="AA603" s="979">
        <v>2800</v>
      </c>
      <c r="AB603" s="979">
        <v>2600</v>
      </c>
      <c r="AC603" s="979"/>
      <c r="AD603" s="979">
        <v>1700</v>
      </c>
      <c r="AE603" s="1109">
        <f t="shared" si="126"/>
        <v>130300</v>
      </c>
      <c r="AF603" s="1113">
        <v>4200</v>
      </c>
      <c r="AG603" s="981">
        <f>100+7600</f>
        <v>7700</v>
      </c>
      <c r="AH603" s="981">
        <v>6100</v>
      </c>
      <c r="AI603" s="1114">
        <f t="shared" si="127"/>
        <v>18000</v>
      </c>
      <c r="AJ603" s="1110">
        <f t="shared" si="128"/>
        <v>158800</v>
      </c>
      <c r="AK603" s="982">
        <f>'09월 에너지'!S603</f>
        <v>143</v>
      </c>
      <c r="AL603" s="983">
        <f t="shared" si="129"/>
        <v>0.90050377833753148</v>
      </c>
    </row>
    <row r="604" spans="1:38" ht="16.5" customHeight="1">
      <c r="A604" s="999">
        <f>'09월 에너지'!A604</f>
        <v>46288</v>
      </c>
      <c r="B604" s="1002">
        <f>'09월 조업일지'!B602</f>
        <v>46287</v>
      </c>
      <c r="C604" s="1003" t="str">
        <f>'09월 에너지'!C604</f>
        <v>D</v>
      </c>
      <c r="D604" s="1004" t="str">
        <f>'09월 에너지'!D604</f>
        <v>B</v>
      </c>
      <c r="E604" s="1000">
        <f>'09월 에너지'!E604</f>
        <v>85804</v>
      </c>
      <c r="F604" s="1094" t="str">
        <f>'09월 에너지'!F604</f>
        <v>SHP355W</v>
      </c>
      <c r="G604" s="980"/>
      <c r="H604" s="978"/>
      <c r="I604" s="978">
        <f>15900+5900</f>
        <v>21800</v>
      </c>
      <c r="J604" s="978"/>
      <c r="K604" s="978"/>
      <c r="L604" s="978"/>
      <c r="M604" s="978"/>
      <c r="N604" s="978"/>
      <c r="O604" s="1106">
        <f t="shared" si="125"/>
        <v>21800</v>
      </c>
      <c r="P604" s="1108">
        <f>5900+5900+7700+13200+6000+6400</f>
        <v>45100</v>
      </c>
      <c r="Q604" s="979">
        <f>10800+5700</f>
        <v>16500</v>
      </c>
      <c r="R604" s="979">
        <v>7400</v>
      </c>
      <c r="S604" s="979"/>
      <c r="T604" s="979"/>
      <c r="U604" s="979"/>
      <c r="V604" s="979">
        <f>3400+5800+10500</f>
        <v>19700</v>
      </c>
      <c r="W604" s="979">
        <v>2900</v>
      </c>
      <c r="X604" s="979">
        <v>10000</v>
      </c>
      <c r="Y604" s="979">
        <f>2100+2800+1400</f>
        <v>6300</v>
      </c>
      <c r="Z604" s="979"/>
      <c r="AA604" s="979">
        <v>2000</v>
      </c>
      <c r="AB604" s="979">
        <v>1900</v>
      </c>
      <c r="AC604" s="979"/>
      <c r="AD604" s="979">
        <v>3300</v>
      </c>
      <c r="AE604" s="1109">
        <f t="shared" si="126"/>
        <v>115100</v>
      </c>
      <c r="AF604" s="1113">
        <v>3100</v>
      </c>
      <c r="AG604" s="981">
        <f>3600+11300</f>
        <v>14900</v>
      </c>
      <c r="AH604" s="981">
        <v>3300</v>
      </c>
      <c r="AI604" s="1114">
        <f t="shared" si="127"/>
        <v>21300</v>
      </c>
      <c r="AJ604" s="1110">
        <f t="shared" si="128"/>
        <v>158200</v>
      </c>
      <c r="AK604" s="982">
        <f>'09월 에너지'!S604</f>
        <v>145</v>
      </c>
      <c r="AL604" s="983">
        <f t="shared" si="129"/>
        <v>0.91656131479140324</v>
      </c>
    </row>
    <row r="605" spans="1:38" ht="16.5" customHeight="1">
      <c r="A605" s="999">
        <f>'09월 에너지'!A605</f>
        <v>46288</v>
      </c>
      <c r="B605" s="1002">
        <f>'09월 조업일지'!B603</f>
        <v>46287</v>
      </c>
      <c r="C605" s="1003" t="str">
        <f>'09월 에너지'!C605</f>
        <v>D</v>
      </c>
      <c r="D605" s="1004" t="str">
        <f>'09월 에너지'!D605</f>
        <v>A</v>
      </c>
      <c r="E605" s="1000">
        <f>'09월 에너지'!E605</f>
        <v>85805</v>
      </c>
      <c r="F605" s="1094" t="str">
        <f>'09월 에너지'!F605</f>
        <v>SHP355W</v>
      </c>
      <c r="G605" s="980"/>
      <c r="H605" s="978"/>
      <c r="I605" s="978">
        <f>9500+4900</f>
        <v>14400</v>
      </c>
      <c r="J605" s="978"/>
      <c r="K605" s="978"/>
      <c r="L605" s="978"/>
      <c r="M605" s="978"/>
      <c r="N605" s="978"/>
      <c r="O605" s="1106">
        <f t="shared" si="125"/>
        <v>14400</v>
      </c>
      <c r="P605" s="1108">
        <f>8600+9500+15200+6300+9900</f>
        <v>49500</v>
      </c>
      <c r="Q605" s="979">
        <f>11600+7900</f>
        <v>19500</v>
      </c>
      <c r="R605" s="979">
        <v>7400</v>
      </c>
      <c r="S605" s="979"/>
      <c r="T605" s="979"/>
      <c r="U605" s="979"/>
      <c r="V605" s="979">
        <f>8900+5700+10500</f>
        <v>25100</v>
      </c>
      <c r="W605" s="979">
        <v>2000</v>
      </c>
      <c r="X605" s="979">
        <v>10400</v>
      </c>
      <c r="Y605" s="979">
        <f>4900+1800+1500</f>
        <v>8200</v>
      </c>
      <c r="Z605" s="979"/>
      <c r="AA605" s="979">
        <v>1600</v>
      </c>
      <c r="AB605" s="979">
        <v>2000</v>
      </c>
      <c r="AC605" s="979"/>
      <c r="AD605" s="979">
        <v>2900</v>
      </c>
      <c r="AE605" s="1109">
        <f t="shared" si="126"/>
        <v>128600</v>
      </c>
      <c r="AF605" s="1113">
        <v>4000</v>
      </c>
      <c r="AG605" s="981">
        <f>8700+100</f>
        <v>8800</v>
      </c>
      <c r="AH605" s="981">
        <v>3400</v>
      </c>
      <c r="AI605" s="1114">
        <f t="shared" si="127"/>
        <v>16200</v>
      </c>
      <c r="AJ605" s="1110">
        <f t="shared" si="128"/>
        <v>159200</v>
      </c>
      <c r="AK605" s="982">
        <f>'09월 에너지'!S605</f>
        <v>142.9</v>
      </c>
      <c r="AL605" s="983">
        <f t="shared" si="129"/>
        <v>0.89761306532663321</v>
      </c>
    </row>
    <row r="606" spans="1:38" ht="16.5" customHeight="1">
      <c r="A606" s="999">
        <f>'09월 에너지'!A606</f>
        <v>46288</v>
      </c>
      <c r="B606" s="1002">
        <f>'09월 조업일지'!B604</f>
        <v>46287</v>
      </c>
      <c r="C606" s="1003" t="str">
        <f>'09월 에너지'!C606</f>
        <v>D</v>
      </c>
      <c r="D606" s="1004" t="str">
        <f>'09월 에너지'!D606</f>
        <v>B</v>
      </c>
      <c r="E606" s="1000">
        <f>'09월 에너지'!E606</f>
        <v>85806</v>
      </c>
      <c r="F606" s="1094" t="str">
        <f>'09월 에너지'!F606</f>
        <v>SHP355W</v>
      </c>
      <c r="G606" s="980"/>
      <c r="H606" s="978"/>
      <c r="I606" s="978">
        <f>13100+7100</f>
        <v>20200</v>
      </c>
      <c r="J606" s="978"/>
      <c r="K606" s="978"/>
      <c r="L606" s="978"/>
      <c r="M606" s="978"/>
      <c r="N606" s="978"/>
      <c r="O606" s="1106">
        <f t="shared" si="125"/>
        <v>20200</v>
      </c>
      <c r="P606" s="1108">
        <f>4500+5600+7800+12200+6800+6400</f>
        <v>43300</v>
      </c>
      <c r="Q606" s="979">
        <f>10500+4400</f>
        <v>14900</v>
      </c>
      <c r="R606" s="979">
        <v>10700</v>
      </c>
      <c r="S606" s="979"/>
      <c r="T606" s="979"/>
      <c r="U606" s="979"/>
      <c r="V606" s="979">
        <f>2400+6000+8900</f>
        <v>17300</v>
      </c>
      <c r="W606" s="979">
        <v>2600</v>
      </c>
      <c r="X606" s="979">
        <v>8600</v>
      </c>
      <c r="Y606" s="979">
        <f>3300+3000+2100</f>
        <v>8400</v>
      </c>
      <c r="Z606" s="979"/>
      <c r="AA606" s="979">
        <v>2200</v>
      </c>
      <c r="AB606" s="979">
        <v>2800</v>
      </c>
      <c r="AC606" s="979"/>
      <c r="AD606" s="979">
        <v>3000</v>
      </c>
      <c r="AE606" s="1109">
        <f t="shared" si="126"/>
        <v>113800</v>
      </c>
      <c r="AF606" s="1113">
        <v>4000</v>
      </c>
      <c r="AG606" s="981">
        <f>3300+13100</f>
        <v>16400</v>
      </c>
      <c r="AH606" s="981">
        <v>4200</v>
      </c>
      <c r="AI606" s="1114">
        <f t="shared" si="127"/>
        <v>24600</v>
      </c>
      <c r="AJ606" s="1110">
        <f t="shared" si="128"/>
        <v>158600</v>
      </c>
      <c r="AK606" s="982">
        <f>'09월 에너지'!S606</f>
        <v>146.69999999999999</v>
      </c>
      <c r="AL606" s="983">
        <f t="shared" si="129"/>
        <v>0.92496847414880201</v>
      </c>
    </row>
    <row r="607" spans="1:38" ht="16.5" customHeight="1">
      <c r="A607" s="999">
        <f>'09월 에너지'!A607</f>
        <v>46288</v>
      </c>
      <c r="B607" s="1002">
        <f>'09월 조업일지'!B605</f>
        <v>46287</v>
      </c>
      <c r="C607" s="1003" t="str">
        <f>'09월 에너지'!C607</f>
        <v>D</v>
      </c>
      <c r="D607" s="1004" t="str">
        <f>'09월 에너지'!D607</f>
        <v>A</v>
      </c>
      <c r="E607" s="1000">
        <f>'09월 에너지'!E607</f>
        <v>85807</v>
      </c>
      <c r="F607" s="1170" t="str">
        <f>'09월 에너지'!F607</f>
        <v>S355JO-01</v>
      </c>
      <c r="G607" s="980"/>
      <c r="H607" s="978"/>
      <c r="I607" s="978">
        <f>10700+4900</f>
        <v>15600</v>
      </c>
      <c r="J607" s="978"/>
      <c r="K607" s="978"/>
      <c r="L607" s="978"/>
      <c r="M607" s="978"/>
      <c r="N607" s="978"/>
      <c r="O607" s="1106">
        <f t="shared" si="125"/>
        <v>15600</v>
      </c>
      <c r="P607" s="1108">
        <f>8800+6200+16500+6200+4200+3500+4000-4900</f>
        <v>44500</v>
      </c>
      <c r="Q607" s="979">
        <f>14400+8700</f>
        <v>23100</v>
      </c>
      <c r="R607" s="979">
        <v>10300</v>
      </c>
      <c r="S607" s="979"/>
      <c r="T607" s="979"/>
      <c r="U607" s="979"/>
      <c r="V607" s="979">
        <f>8700+6400+9900</f>
        <v>25000</v>
      </c>
      <c r="W607" s="979">
        <v>1100</v>
      </c>
      <c r="X607" s="979">
        <v>11200</v>
      </c>
      <c r="Y607" s="979">
        <f>5400+3600+1600</f>
        <v>10600</v>
      </c>
      <c r="Z607" s="979"/>
      <c r="AA607" s="979">
        <v>1600</v>
      </c>
      <c r="AB607" s="979">
        <v>2400</v>
      </c>
      <c r="AC607" s="979"/>
      <c r="AD607" s="979">
        <v>1200</v>
      </c>
      <c r="AE607" s="1109">
        <f t="shared" si="126"/>
        <v>131000</v>
      </c>
      <c r="AF607" s="1113">
        <v>2800</v>
      </c>
      <c r="AG607" s="981">
        <v>5700</v>
      </c>
      <c r="AH607" s="981">
        <v>3700</v>
      </c>
      <c r="AI607" s="1114">
        <f t="shared" si="127"/>
        <v>12200</v>
      </c>
      <c r="AJ607" s="1110">
        <f t="shared" si="128"/>
        <v>158800</v>
      </c>
      <c r="AK607" s="982">
        <f>'09월 에너지'!S607</f>
        <v>141.6</v>
      </c>
      <c r="AL607" s="983">
        <f t="shared" si="129"/>
        <v>0.89168765743073053</v>
      </c>
    </row>
    <row r="608" spans="1:38" ht="16.5" customHeight="1">
      <c r="A608" s="999">
        <f>'09월 에너지'!A608</f>
        <v>46288</v>
      </c>
      <c r="B608" s="1002">
        <f>'09월 조업일지'!B606</f>
        <v>46288</v>
      </c>
      <c r="C608" s="1003" t="str">
        <f>'09월 에너지'!C608</f>
        <v>B</v>
      </c>
      <c r="D608" s="1004" t="str">
        <f>'09월 에너지'!D608</f>
        <v>B</v>
      </c>
      <c r="E608" s="1000">
        <f>'09월 에너지'!E608</f>
        <v>85808</v>
      </c>
      <c r="F608" s="1094" t="str">
        <f>'09월 에너지'!F608</f>
        <v>S355JO-01</v>
      </c>
      <c r="G608" s="980"/>
      <c r="H608" s="978"/>
      <c r="I608" s="978">
        <f>15000+7000</f>
        <v>22000</v>
      </c>
      <c r="J608" s="978"/>
      <c r="K608" s="978"/>
      <c r="L608" s="978"/>
      <c r="M608" s="978"/>
      <c r="N608" s="978"/>
      <c r="O608" s="1106">
        <f t="shared" si="125"/>
        <v>22000</v>
      </c>
      <c r="P608" s="1108">
        <f>4000+6100+8800+10500+6200+4400</f>
        <v>40000</v>
      </c>
      <c r="Q608" s="979">
        <f>9100+5600</f>
        <v>14700</v>
      </c>
      <c r="R608" s="979">
        <v>8000</v>
      </c>
      <c r="S608" s="979"/>
      <c r="T608" s="979"/>
      <c r="U608" s="979"/>
      <c r="V608" s="979">
        <f>4900+6300+8800</f>
        <v>20000</v>
      </c>
      <c r="W608" s="979">
        <v>4400</v>
      </c>
      <c r="X608" s="979">
        <v>8500</v>
      </c>
      <c r="Y608" s="979">
        <f>3700+2700+2900+3600</f>
        <v>12900</v>
      </c>
      <c r="Z608" s="979"/>
      <c r="AA608" s="979">
        <v>2100</v>
      </c>
      <c r="AB608" s="979">
        <v>2400</v>
      </c>
      <c r="AC608" s="979"/>
      <c r="AD608" s="979">
        <v>3200</v>
      </c>
      <c r="AE608" s="1109">
        <f t="shared" si="126"/>
        <v>116200</v>
      </c>
      <c r="AF608" s="1113">
        <v>4500</v>
      </c>
      <c r="AG608" s="981">
        <v>11900</v>
      </c>
      <c r="AH608" s="981">
        <v>4200</v>
      </c>
      <c r="AI608" s="1114">
        <f t="shared" si="127"/>
        <v>20600</v>
      </c>
      <c r="AJ608" s="1110">
        <f t="shared" si="128"/>
        <v>158800</v>
      </c>
      <c r="AK608" s="982">
        <f>'09월 에너지'!S608</f>
        <v>145.9</v>
      </c>
      <c r="AL608" s="983">
        <f t="shared" si="129"/>
        <v>0.91876574307304781</v>
      </c>
    </row>
    <row r="609" spans="1:38" ht="16.5" customHeight="1">
      <c r="A609" s="999">
        <f>'09월 에너지'!A609</f>
        <v>46288</v>
      </c>
      <c r="B609" s="1002">
        <f>'09월 조업일지'!B607</f>
        <v>46288</v>
      </c>
      <c r="C609" s="1003" t="str">
        <f>'09월 에너지'!C609</f>
        <v>B</v>
      </c>
      <c r="D609" s="1004" t="str">
        <f>'09월 에너지'!D609</f>
        <v>A</v>
      </c>
      <c r="E609" s="1000">
        <f>'09월 에너지'!E609</f>
        <v>85809</v>
      </c>
      <c r="F609" s="1094" t="str">
        <f>'09월 에너지'!F609</f>
        <v>S355JO-01</v>
      </c>
      <c r="G609" s="980"/>
      <c r="H609" s="978"/>
      <c r="I609" s="978">
        <f>9600+2000</f>
        <v>11600</v>
      </c>
      <c r="J609" s="978"/>
      <c r="K609" s="978"/>
      <c r="L609" s="978"/>
      <c r="M609" s="978"/>
      <c r="N609" s="978"/>
      <c r="O609" s="1106">
        <f t="shared" si="125"/>
        <v>11600</v>
      </c>
      <c r="P609" s="1108">
        <f>6800+10300+11900+12300+7500</f>
        <v>48800</v>
      </c>
      <c r="Q609" s="979">
        <v>30700</v>
      </c>
      <c r="R609" s="979">
        <v>5100</v>
      </c>
      <c r="S609" s="979"/>
      <c r="T609" s="979"/>
      <c r="U609" s="979"/>
      <c r="V609" s="979">
        <f>3000+8900</f>
        <v>11900</v>
      </c>
      <c r="W609" s="979">
        <v>1400</v>
      </c>
      <c r="X609" s="979">
        <v>9200</v>
      </c>
      <c r="Y609" s="979">
        <f>3700+2500+2800</f>
        <v>9000</v>
      </c>
      <c r="Z609" s="979"/>
      <c r="AA609" s="979">
        <v>3900</v>
      </c>
      <c r="AB609" s="979">
        <v>2000</v>
      </c>
      <c r="AC609" s="979"/>
      <c r="AD609" s="979">
        <v>4300</v>
      </c>
      <c r="AE609" s="1109">
        <f t="shared" si="126"/>
        <v>126300</v>
      </c>
      <c r="AF609" s="1113">
        <v>5200</v>
      </c>
      <c r="AG609" s="981">
        <v>12200</v>
      </c>
      <c r="AH609" s="981">
        <v>3600</v>
      </c>
      <c r="AI609" s="1114">
        <f t="shared" si="127"/>
        <v>21000</v>
      </c>
      <c r="AJ609" s="1110">
        <f t="shared" si="128"/>
        <v>158900</v>
      </c>
      <c r="AK609" s="982">
        <f>'09월 에너지'!S609</f>
        <v>145.30000000000001</v>
      </c>
      <c r="AL609" s="983">
        <f t="shared" si="129"/>
        <v>0.91441157960981745</v>
      </c>
    </row>
    <row r="610" spans="1:38" ht="16.5" customHeight="1">
      <c r="A610" s="999">
        <f>'09월 에너지'!A610</f>
        <v>46288</v>
      </c>
      <c r="B610" s="1002">
        <f>'09월 조업일지'!B608</f>
        <v>46288</v>
      </c>
      <c r="C610" s="1003" t="str">
        <f>'09월 에너지'!C610</f>
        <v>B</v>
      </c>
      <c r="D610" s="1004" t="str">
        <f>'09월 에너지'!D610</f>
        <v>B</v>
      </c>
      <c r="E610" s="1000">
        <f>'09월 에너지'!E610</f>
        <v>85810</v>
      </c>
      <c r="F610" s="1170" t="str">
        <f>'09월 에너지'!F610</f>
        <v>SS400-01</v>
      </c>
      <c r="G610" s="980"/>
      <c r="H610" s="978"/>
      <c r="I610" s="978">
        <f>8000+2900</f>
        <v>10900</v>
      </c>
      <c r="J610" s="978"/>
      <c r="K610" s="978"/>
      <c r="L610" s="978"/>
      <c r="M610" s="978"/>
      <c r="N610" s="978"/>
      <c r="O610" s="1106">
        <f t="shared" si="125"/>
        <v>10900</v>
      </c>
      <c r="P610" s="1108">
        <f>1300+15700+3100+8800+6500+3600</f>
        <v>39000</v>
      </c>
      <c r="Q610" s="979">
        <f>9600+9300</f>
        <v>18900</v>
      </c>
      <c r="R610" s="979">
        <v>7700</v>
      </c>
      <c r="S610" s="979"/>
      <c r="T610" s="979"/>
      <c r="U610" s="979">
        <v>7400</v>
      </c>
      <c r="V610" s="979">
        <f>4100+2700+9300-1500</f>
        <v>14600</v>
      </c>
      <c r="W610" s="979">
        <v>3800</v>
      </c>
      <c r="X610" s="979">
        <v>9100</v>
      </c>
      <c r="Y610" s="979">
        <f>2500+2300</f>
        <v>4800</v>
      </c>
      <c r="Z610" s="979"/>
      <c r="AA610" s="979">
        <v>6400</v>
      </c>
      <c r="AB610" s="979">
        <v>6200</v>
      </c>
      <c r="AC610" s="979">
        <v>2100</v>
      </c>
      <c r="AD610" s="979">
        <v>4400</v>
      </c>
      <c r="AE610" s="1109">
        <f t="shared" ref="AE610:AE612" si="130">IF(SUM(P610:AD610)=0,"",SUM(P610:AD610))</f>
        <v>124400</v>
      </c>
      <c r="AF610" s="1113">
        <v>3900</v>
      </c>
      <c r="AG610" s="981">
        <f>4000+12400</f>
        <v>16400</v>
      </c>
      <c r="AH610" s="981">
        <v>2500</v>
      </c>
      <c r="AI610" s="1114">
        <f t="shared" ref="AI610:AI612" si="131">IF(SUM(AF610:AH610)=0,"",SUM(AF610:AH610))</f>
        <v>22800</v>
      </c>
      <c r="AJ610" s="1110">
        <f t="shared" si="128"/>
        <v>158100</v>
      </c>
      <c r="AK610" s="982">
        <f>'09월 에너지'!S610</f>
        <v>147.4</v>
      </c>
      <c r="AL610" s="983">
        <f t="shared" si="129"/>
        <v>0.93232131562302345</v>
      </c>
    </row>
    <row r="611" spans="1:38" ht="16.5" customHeight="1">
      <c r="A611" s="999">
        <f>'09월 에너지'!A611</f>
        <v>46288</v>
      </c>
      <c r="B611" s="1002">
        <f>'09월 조업일지'!B609</f>
        <v>46288</v>
      </c>
      <c r="C611" s="1003" t="str">
        <f>'09월 에너지'!C611</f>
        <v>B</v>
      </c>
      <c r="D611" s="1004" t="str">
        <f>'09월 에너지'!D611</f>
        <v>A</v>
      </c>
      <c r="E611" s="1000">
        <f>'09월 에너지'!E611</f>
        <v>85811</v>
      </c>
      <c r="F611" s="1094" t="str">
        <f>'09월 에너지'!F611</f>
        <v>SS400-01</v>
      </c>
      <c r="G611" s="980"/>
      <c r="H611" s="978"/>
      <c r="I611" s="978">
        <v>9600</v>
      </c>
      <c r="J611" s="978"/>
      <c r="K611" s="978"/>
      <c r="L611" s="978"/>
      <c r="M611" s="978"/>
      <c r="N611" s="978"/>
      <c r="O611" s="1106">
        <f t="shared" si="125"/>
        <v>9600</v>
      </c>
      <c r="P611" s="1108">
        <f>4600+4800+9400+12300+6300+4400</f>
        <v>41800</v>
      </c>
      <c r="Q611" s="979">
        <f>27600-1800</f>
        <v>25800</v>
      </c>
      <c r="R611" s="979">
        <v>6400</v>
      </c>
      <c r="S611" s="979"/>
      <c r="T611" s="979"/>
      <c r="U611" s="979">
        <v>100</v>
      </c>
      <c r="V611" s="979">
        <v>19100</v>
      </c>
      <c r="W611" s="979">
        <v>3200</v>
      </c>
      <c r="X611" s="979">
        <v>8900</v>
      </c>
      <c r="Y611" s="979">
        <f>4200+1600+700</f>
        <v>6500</v>
      </c>
      <c r="Z611" s="979"/>
      <c r="AA611" s="979">
        <v>1900</v>
      </c>
      <c r="AB611" s="979">
        <v>2600</v>
      </c>
      <c r="AC611" s="979">
        <v>1800</v>
      </c>
      <c r="AD611" s="979">
        <v>3200</v>
      </c>
      <c r="AE611" s="1109">
        <f t="shared" si="130"/>
        <v>121300</v>
      </c>
      <c r="AF611" s="1113">
        <v>5500</v>
      </c>
      <c r="AG611" s="981">
        <f>3600+14800</f>
        <v>18400</v>
      </c>
      <c r="AH611" s="981">
        <v>3800</v>
      </c>
      <c r="AI611" s="1114">
        <f t="shared" si="131"/>
        <v>27700</v>
      </c>
      <c r="AJ611" s="1110">
        <f t="shared" si="128"/>
        <v>158600</v>
      </c>
      <c r="AK611" s="982">
        <f>'09월 에너지'!S611</f>
        <v>146.4</v>
      </c>
      <c r="AL611" s="983">
        <f t="shared" si="129"/>
        <v>0.92307692307692313</v>
      </c>
    </row>
    <row r="612" spans="1:38" ht="16.5" customHeight="1">
      <c r="A612" s="999">
        <f>'09월 에너지'!A612</f>
        <v>46288</v>
      </c>
      <c r="B612" s="1002">
        <f>'09월 조업일지'!B610</f>
        <v>46288</v>
      </c>
      <c r="C612" s="1003" t="str">
        <f>'09월 에너지'!C612</f>
        <v>B</v>
      </c>
      <c r="D612" s="1004" t="str">
        <f>'09월 에너지'!D612</f>
        <v>B</v>
      </c>
      <c r="E612" s="1000">
        <f>'09월 에너지'!E612</f>
        <v>85812</v>
      </c>
      <c r="F612" s="1094" t="str">
        <f>'09월 에너지'!F612</f>
        <v>SS400-01</v>
      </c>
      <c r="G612" s="980"/>
      <c r="H612" s="978"/>
      <c r="I612" s="978">
        <f>6100+6700</f>
        <v>12800</v>
      </c>
      <c r="J612" s="978"/>
      <c r="K612" s="978"/>
      <c r="L612" s="978"/>
      <c r="M612" s="978"/>
      <c r="N612" s="978"/>
      <c r="O612" s="1106">
        <f t="shared" si="125"/>
        <v>12800</v>
      </c>
      <c r="P612" s="1108">
        <f>11600+10000+12200+7700+1800+2100+11100</f>
        <v>56500</v>
      </c>
      <c r="Q612" s="979">
        <f>10200+9000</f>
        <v>19200</v>
      </c>
      <c r="R612" s="979">
        <v>4000</v>
      </c>
      <c r="S612" s="979"/>
      <c r="T612" s="979"/>
      <c r="U612" s="979">
        <v>7000</v>
      </c>
      <c r="V612" s="979">
        <f>7100+8500+1400</f>
        <v>17000</v>
      </c>
      <c r="W612" s="979">
        <v>5400</v>
      </c>
      <c r="X612" s="979">
        <v>5100</v>
      </c>
      <c r="Y612" s="979">
        <f>2500+2500</f>
        <v>5000</v>
      </c>
      <c r="Z612" s="979"/>
      <c r="AA612" s="979">
        <v>2400</v>
      </c>
      <c r="AB612" s="979">
        <v>3600</v>
      </c>
      <c r="AC612" s="979">
        <v>3800</v>
      </c>
      <c r="AD612" s="979">
        <v>3000</v>
      </c>
      <c r="AE612" s="1109">
        <f t="shared" si="130"/>
        <v>132000</v>
      </c>
      <c r="AF612" s="1113">
        <v>3500</v>
      </c>
      <c r="AG612" s="981">
        <v>6200</v>
      </c>
      <c r="AH612" s="981">
        <v>4000</v>
      </c>
      <c r="AI612" s="1114">
        <f t="shared" si="131"/>
        <v>13700</v>
      </c>
      <c r="AJ612" s="1110">
        <f t="shared" si="128"/>
        <v>158500</v>
      </c>
      <c r="AK612" s="982">
        <f>'09월 에너지'!S612</f>
        <v>147.69999999999999</v>
      </c>
      <c r="AL612" s="983">
        <f t="shared" si="129"/>
        <v>0.9318611987381703</v>
      </c>
    </row>
    <row r="613" spans="1:38" ht="16.5" customHeight="1">
      <c r="A613" s="999">
        <f>'09월 에너지'!A613</f>
        <v>46288</v>
      </c>
      <c r="B613" s="1002">
        <f>'09월 조업일지'!B611</f>
        <v>46288</v>
      </c>
      <c r="C613" s="1003" t="str">
        <f>'09월 에너지'!C613</f>
        <v>B</v>
      </c>
      <c r="D613" s="1004" t="str">
        <f>'09월 에너지'!D613</f>
        <v>A</v>
      </c>
      <c r="E613" s="1000">
        <f>'09월 에너지'!E613</f>
        <v>85813</v>
      </c>
      <c r="F613" s="1094" t="str">
        <f>'09월 에너지'!F613</f>
        <v>SS400-01</v>
      </c>
      <c r="G613" s="980"/>
      <c r="H613" s="978"/>
      <c r="I613" s="978">
        <f>6700+3800</f>
        <v>10500</v>
      </c>
      <c r="J613" s="978"/>
      <c r="K613" s="978"/>
      <c r="L613" s="978"/>
      <c r="M613" s="978"/>
      <c r="N613" s="978"/>
      <c r="O613" s="1106">
        <f t="shared" si="125"/>
        <v>10500</v>
      </c>
      <c r="P613" s="1108">
        <f>7100+8000+5300+16800+6900+10200</f>
        <v>54300</v>
      </c>
      <c r="Q613" s="979">
        <f>25200+7400</f>
        <v>32600</v>
      </c>
      <c r="R613" s="979">
        <v>6500</v>
      </c>
      <c r="S613" s="979"/>
      <c r="T613" s="979"/>
      <c r="U613" s="979">
        <v>5300</v>
      </c>
      <c r="V613" s="979">
        <f>200+9100</f>
        <v>9300</v>
      </c>
      <c r="W613" s="979">
        <v>1500</v>
      </c>
      <c r="X613" s="979">
        <v>9600</v>
      </c>
      <c r="Y613" s="979">
        <f>1600+1700</f>
        <v>3300</v>
      </c>
      <c r="Z613" s="979"/>
      <c r="AA613" s="979">
        <v>2000</v>
      </c>
      <c r="AB613" s="979">
        <v>1100</v>
      </c>
      <c r="AC613" s="979">
        <v>3500</v>
      </c>
      <c r="AD613" s="979">
        <v>5700</v>
      </c>
      <c r="AE613" s="1109">
        <f t="shared" si="126"/>
        <v>134700</v>
      </c>
      <c r="AF613" s="1113">
        <v>3900</v>
      </c>
      <c r="AG613" s="981">
        <v>4500</v>
      </c>
      <c r="AH613" s="981">
        <v>4500</v>
      </c>
      <c r="AI613" s="1114">
        <f t="shared" si="127"/>
        <v>12900</v>
      </c>
      <c r="AJ613" s="1110">
        <f t="shared" si="128"/>
        <v>158100</v>
      </c>
      <c r="AK613" s="982">
        <f>'09월 에너지'!S613</f>
        <v>146.19999999999999</v>
      </c>
      <c r="AL613" s="983">
        <f t="shared" si="129"/>
        <v>0.92473118279569888</v>
      </c>
    </row>
    <row r="614" spans="1:38" ht="16.5" customHeight="1">
      <c r="A614" s="999">
        <f>'09월 에너지'!A614</f>
        <v>46288</v>
      </c>
      <c r="B614" s="1002">
        <f>'09월 조업일지'!B612</f>
        <v>46288</v>
      </c>
      <c r="C614" s="1003" t="str">
        <f>'09월 에너지'!C614</f>
        <v>B</v>
      </c>
      <c r="D614" s="1004" t="str">
        <f>'09월 에너지'!D614</f>
        <v>B</v>
      </c>
      <c r="E614" s="1000">
        <f>'09월 에너지'!E614</f>
        <v>85814</v>
      </c>
      <c r="F614" s="1094" t="str">
        <f>'09월 에너지'!F614</f>
        <v>SS400-01</v>
      </c>
      <c r="G614" s="980"/>
      <c r="H614" s="978"/>
      <c r="I614" s="978">
        <f>9100+5900</f>
        <v>15000</v>
      </c>
      <c r="J614" s="978"/>
      <c r="K614" s="978"/>
      <c r="L614" s="978"/>
      <c r="M614" s="978"/>
      <c r="N614" s="978"/>
      <c r="O614" s="1106">
        <f t="shared" si="125"/>
        <v>15000</v>
      </c>
      <c r="P614" s="1108">
        <f>6300+11100+7600+16400+5400+100+3200</f>
        <v>50100</v>
      </c>
      <c r="Q614" s="979">
        <f>14900+8500</f>
        <v>23400</v>
      </c>
      <c r="R614" s="979">
        <v>6500</v>
      </c>
      <c r="S614" s="979"/>
      <c r="T614" s="979"/>
      <c r="U614" s="979">
        <v>3500</v>
      </c>
      <c r="V614" s="979">
        <v>18300</v>
      </c>
      <c r="W614" s="979">
        <v>2300</v>
      </c>
      <c r="X614" s="979">
        <v>6400</v>
      </c>
      <c r="Y614" s="979">
        <f>1200+100</f>
        <v>1300</v>
      </c>
      <c r="Z614" s="979"/>
      <c r="AA614" s="979">
        <v>3600</v>
      </c>
      <c r="AB614" s="979">
        <v>4000</v>
      </c>
      <c r="AC614" s="979">
        <v>2400</v>
      </c>
      <c r="AD614" s="979">
        <v>4800</v>
      </c>
      <c r="AE614" s="1109">
        <f t="shared" si="126"/>
        <v>126600</v>
      </c>
      <c r="AF614" s="1113">
        <v>4600</v>
      </c>
      <c r="AG614" s="981">
        <v>8500</v>
      </c>
      <c r="AH614" s="981">
        <v>3700</v>
      </c>
      <c r="AI614" s="1114">
        <f t="shared" si="127"/>
        <v>16800</v>
      </c>
      <c r="AJ614" s="1110">
        <f t="shared" si="128"/>
        <v>158400</v>
      </c>
      <c r="AK614" s="982">
        <f>'09월 에너지'!S614</f>
        <v>146.5</v>
      </c>
      <c r="AL614" s="983">
        <f t="shared" si="129"/>
        <v>0.92487373737373735</v>
      </c>
    </row>
    <row r="615" spans="1:38" ht="16.5" customHeight="1">
      <c r="A615" s="999">
        <f>'09월 에너지'!A615</f>
        <v>46288</v>
      </c>
      <c r="B615" s="1002">
        <f>'09월 조업일지'!B613</f>
        <v>46288</v>
      </c>
      <c r="C615" s="1003" t="str">
        <f>'09월 에너지'!C615</f>
        <v>B</v>
      </c>
      <c r="D615" s="1004" t="str">
        <f>'09월 에너지'!D615</f>
        <v>A</v>
      </c>
      <c r="E615" s="1000">
        <f>'09월 에너지'!E615</f>
        <v>85815</v>
      </c>
      <c r="F615" s="1094" t="str">
        <f>'09월 에너지'!F615</f>
        <v>SS400-01</v>
      </c>
      <c r="G615" s="980"/>
      <c r="H615" s="978"/>
      <c r="I615" s="978">
        <v>8600</v>
      </c>
      <c r="J615" s="978"/>
      <c r="K615" s="978"/>
      <c r="L615" s="978"/>
      <c r="M615" s="978"/>
      <c r="N615" s="978"/>
      <c r="O615" s="1106">
        <f t="shared" si="125"/>
        <v>8600</v>
      </c>
      <c r="P615" s="1108">
        <v>55600</v>
      </c>
      <c r="Q615" s="979">
        <f>18700+4700</f>
        <v>23400</v>
      </c>
      <c r="R615" s="979">
        <v>3500</v>
      </c>
      <c r="S615" s="979"/>
      <c r="T615" s="979"/>
      <c r="U615" s="979">
        <v>9500</v>
      </c>
      <c r="V615" s="979">
        <v>18600</v>
      </c>
      <c r="W615" s="979">
        <v>3300</v>
      </c>
      <c r="X615" s="979">
        <v>7500</v>
      </c>
      <c r="Y615" s="979">
        <f>3500+2500+700+1900</f>
        <v>8600</v>
      </c>
      <c r="Z615" s="979"/>
      <c r="AA615" s="979">
        <v>2500</v>
      </c>
      <c r="AB615" s="979">
        <v>3300</v>
      </c>
      <c r="AC615" s="979">
        <v>1600</v>
      </c>
      <c r="AD615" s="979">
        <v>2300</v>
      </c>
      <c r="AE615" s="1109">
        <f t="shared" si="126"/>
        <v>139700</v>
      </c>
      <c r="AF615" s="1113">
        <v>4700</v>
      </c>
      <c r="AG615" s="981">
        <v>600</v>
      </c>
      <c r="AH615" s="981">
        <v>4300</v>
      </c>
      <c r="AI615" s="1114">
        <f t="shared" si="127"/>
        <v>9600</v>
      </c>
      <c r="AJ615" s="1110">
        <f t="shared" si="128"/>
        <v>157900</v>
      </c>
      <c r="AK615" s="982">
        <f>'09월 에너지'!S615</f>
        <v>146.4</v>
      </c>
      <c r="AL615" s="983">
        <f t="shared" si="129"/>
        <v>0.92716909436352124</v>
      </c>
    </row>
    <row r="616" spans="1:38" ht="16.5" customHeight="1">
      <c r="A616" s="999">
        <f>'09월 에너지'!A616</f>
        <v>46288</v>
      </c>
      <c r="B616" s="1002">
        <f>'09월 조업일지'!B614</f>
        <v>46288</v>
      </c>
      <c r="C616" s="1003" t="str">
        <f>'09월 에너지'!C616</f>
        <v>B</v>
      </c>
      <c r="D616" s="1004" t="str">
        <f>'09월 에너지'!D616</f>
        <v>B</v>
      </c>
      <c r="E616" s="1000">
        <f>'09월 에너지'!E616</f>
        <v>85816</v>
      </c>
      <c r="F616" s="1094" t="str">
        <f>'09월 에너지'!F616</f>
        <v>SS400-01</v>
      </c>
      <c r="G616" s="980"/>
      <c r="H616" s="978"/>
      <c r="I616" s="978">
        <f>2200+4400</f>
        <v>6600</v>
      </c>
      <c r="J616" s="978"/>
      <c r="K616" s="978"/>
      <c r="L616" s="978"/>
      <c r="M616" s="978"/>
      <c r="N616" s="978"/>
      <c r="O616" s="1106">
        <f t="shared" si="125"/>
        <v>6600</v>
      </c>
      <c r="P616" s="1108">
        <v>48500</v>
      </c>
      <c r="Q616" s="979">
        <f>20200+5400</f>
        <v>25600</v>
      </c>
      <c r="R616" s="979">
        <v>3900</v>
      </c>
      <c r="S616" s="979"/>
      <c r="T616" s="979"/>
      <c r="U616" s="979">
        <v>8000</v>
      </c>
      <c r="V616" s="979">
        <f>8200+9100</f>
        <v>17300</v>
      </c>
      <c r="W616" s="979">
        <v>2300</v>
      </c>
      <c r="X616" s="979">
        <v>9700</v>
      </c>
      <c r="Y616" s="979">
        <f>7100+1700</f>
        <v>8800</v>
      </c>
      <c r="Z616" s="979"/>
      <c r="AA616" s="979">
        <v>4100</v>
      </c>
      <c r="AB616" s="979">
        <v>3300</v>
      </c>
      <c r="AC616" s="979">
        <v>800</v>
      </c>
      <c r="AD616" s="979">
        <v>2400</v>
      </c>
      <c r="AE616" s="1109">
        <f t="shared" si="126"/>
        <v>134700</v>
      </c>
      <c r="AF616" s="1113">
        <v>3900</v>
      </c>
      <c r="AG616" s="981">
        <v>5700</v>
      </c>
      <c r="AH616" s="981">
        <v>7700</v>
      </c>
      <c r="AI616" s="1114">
        <f t="shared" si="127"/>
        <v>17300</v>
      </c>
      <c r="AJ616" s="1110">
        <f t="shared" si="128"/>
        <v>158600</v>
      </c>
      <c r="AK616" s="982">
        <f>'09월 에너지'!S616</f>
        <v>146.6</v>
      </c>
      <c r="AL616" s="983">
        <f t="shared" si="129"/>
        <v>0.92433795712484235</v>
      </c>
    </row>
    <row r="617" spans="1:38" ht="16.5" customHeight="1">
      <c r="A617" s="999">
        <f>'09월 에너지'!A617</f>
        <v>46288</v>
      </c>
      <c r="B617" s="1002">
        <f>'09월 조업일지'!B615</f>
        <v>46288</v>
      </c>
      <c r="C617" s="1003" t="str">
        <f>'09월 에너지'!C617</f>
        <v>B</v>
      </c>
      <c r="D617" s="1004" t="str">
        <f>'09월 에너지'!D617</f>
        <v>A</v>
      </c>
      <c r="E617" s="1000">
        <f>'09월 에너지'!E617</f>
        <v>85817</v>
      </c>
      <c r="F617" s="1094" t="str">
        <f>'09월 에너지'!F617</f>
        <v>SS400-01</v>
      </c>
      <c r="G617" s="980"/>
      <c r="H617" s="978"/>
      <c r="I617" s="978">
        <v>11700</v>
      </c>
      <c r="J617" s="978"/>
      <c r="K617" s="978"/>
      <c r="L617" s="978"/>
      <c r="M617" s="978"/>
      <c r="N617" s="978"/>
      <c r="O617" s="1106">
        <f t="shared" si="125"/>
        <v>11700</v>
      </c>
      <c r="P617" s="1108">
        <f>16600+6300+2500+14900+8700+8500+3600</f>
        <v>61100</v>
      </c>
      <c r="Q617" s="979">
        <f>12900+11500</f>
        <v>24400</v>
      </c>
      <c r="R617" s="979"/>
      <c r="S617" s="979"/>
      <c r="T617" s="979"/>
      <c r="U617" s="979">
        <v>4900</v>
      </c>
      <c r="V617" s="979">
        <f>4200+9200</f>
        <v>13400</v>
      </c>
      <c r="W617" s="979">
        <v>2800</v>
      </c>
      <c r="X617" s="979">
        <v>7600</v>
      </c>
      <c r="Y617" s="979">
        <f>3800+2200</f>
        <v>6000</v>
      </c>
      <c r="Z617" s="979"/>
      <c r="AA617" s="979">
        <v>1000</v>
      </c>
      <c r="AB617" s="979">
        <v>3100</v>
      </c>
      <c r="AC617" s="979">
        <v>2400</v>
      </c>
      <c r="AD617" s="979">
        <v>2500</v>
      </c>
      <c r="AE617" s="1109">
        <f t="shared" si="126"/>
        <v>129200</v>
      </c>
      <c r="AF617" s="1113">
        <v>3700</v>
      </c>
      <c r="AG617" s="981">
        <v>4700</v>
      </c>
      <c r="AH617" s="981">
        <v>9600</v>
      </c>
      <c r="AI617" s="1114">
        <f t="shared" si="127"/>
        <v>18000</v>
      </c>
      <c r="AJ617" s="1110">
        <f t="shared" si="128"/>
        <v>158900</v>
      </c>
      <c r="AK617" s="982">
        <f>'09월 에너지'!S617</f>
        <v>142</v>
      </c>
      <c r="AL617" s="983">
        <f t="shared" si="129"/>
        <v>0.89364380113278796</v>
      </c>
    </row>
    <row r="618" spans="1:38" ht="16.5" customHeight="1">
      <c r="A618" s="999">
        <f>'09월 에너지'!A618</f>
        <v>46288</v>
      </c>
      <c r="B618" s="1002">
        <f>'09월 조업일지'!B616</f>
        <v>46288</v>
      </c>
      <c r="C618" s="1003" t="str">
        <f>'09월 에너지'!C618</f>
        <v>C</v>
      </c>
      <c r="D618" s="1004" t="str">
        <f>'09월 에너지'!D618</f>
        <v>B</v>
      </c>
      <c r="E618" s="1000">
        <f>'09월 에너지'!E618</f>
        <v>85818</v>
      </c>
      <c r="F618" s="1094" t="str">
        <f>'09월 에너지'!F618</f>
        <v>SS400-01</v>
      </c>
      <c r="G618" s="980"/>
      <c r="H618" s="978"/>
      <c r="I618" s="978">
        <f>11600+3500</f>
        <v>15100</v>
      </c>
      <c r="J618" s="978"/>
      <c r="K618" s="978"/>
      <c r="L618" s="978"/>
      <c r="M618" s="978"/>
      <c r="N618" s="978"/>
      <c r="O618" s="1106">
        <f t="shared" si="125"/>
        <v>15100</v>
      </c>
      <c r="P618" s="1108">
        <f>3200+12900+8000+13600+9100+6800+7700</f>
        <v>61300</v>
      </c>
      <c r="Q618" s="979">
        <f>11200+6200</f>
        <v>17400</v>
      </c>
      <c r="R618" s="979">
        <v>3300</v>
      </c>
      <c r="S618" s="979"/>
      <c r="T618" s="979"/>
      <c r="U618" s="979">
        <v>2100</v>
      </c>
      <c r="V618" s="979">
        <f>4300+9600</f>
        <v>13900</v>
      </c>
      <c r="W618" s="979">
        <v>900</v>
      </c>
      <c r="X618" s="979">
        <v>8100</v>
      </c>
      <c r="Y618" s="979">
        <f>2400+2700</f>
        <v>5100</v>
      </c>
      <c r="Z618" s="979"/>
      <c r="AA618" s="979">
        <v>3000</v>
      </c>
      <c r="AB618" s="979">
        <v>3600</v>
      </c>
      <c r="AC618" s="979">
        <v>2300</v>
      </c>
      <c r="AD618" s="979">
        <v>2700</v>
      </c>
      <c r="AE618" s="1109">
        <f t="shared" si="126"/>
        <v>123700</v>
      </c>
      <c r="AF618" s="1113">
        <v>4100</v>
      </c>
      <c r="AG618" s="981">
        <v>8700</v>
      </c>
      <c r="AH618" s="981">
        <v>6500</v>
      </c>
      <c r="AI618" s="1114">
        <f t="shared" si="127"/>
        <v>19300</v>
      </c>
      <c r="AJ618" s="1110">
        <f t="shared" si="128"/>
        <v>158100</v>
      </c>
      <c r="AK618" s="982">
        <f>'09월 에너지'!S618</f>
        <v>143.6</v>
      </c>
      <c r="AL618" s="983">
        <f t="shared" si="129"/>
        <v>0.90828589500316259</v>
      </c>
    </row>
    <row r="619" spans="1:38" ht="16.5" customHeight="1">
      <c r="A619" s="999">
        <f>'09월 에너지'!A619</f>
        <v>46288</v>
      </c>
      <c r="B619" s="1002">
        <f>'09월 조업일지'!B617</f>
        <v>46288</v>
      </c>
      <c r="C619" s="1003" t="str">
        <f>'09월 에너지'!C619</f>
        <v>C</v>
      </c>
      <c r="D619" s="1004" t="str">
        <f>'09월 에너지'!D619</f>
        <v>A</v>
      </c>
      <c r="E619" s="1000">
        <f>'09월 에너지'!E619</f>
        <v>85819</v>
      </c>
      <c r="F619" s="1094" t="str">
        <f>'09월 에너지'!F619</f>
        <v>SS400-01</v>
      </c>
      <c r="G619" s="980"/>
      <c r="H619" s="978"/>
      <c r="I619" s="978">
        <f>15800+3300</f>
        <v>19100</v>
      </c>
      <c r="J619" s="978"/>
      <c r="K619" s="978"/>
      <c r="L619" s="978"/>
      <c r="M619" s="978"/>
      <c r="N619" s="978"/>
      <c r="O619" s="1106">
        <f t="shared" si="125"/>
        <v>19100</v>
      </c>
      <c r="P619" s="1108">
        <f>5000+7100+3600+14500+7400+6500+6700</f>
        <v>50800</v>
      </c>
      <c r="Q619" s="979">
        <f>12400+600</f>
        <v>13000</v>
      </c>
      <c r="R619" s="979"/>
      <c r="S619" s="979"/>
      <c r="T619" s="979"/>
      <c r="U619" s="979">
        <v>8600</v>
      </c>
      <c r="V619" s="979">
        <f>4900+9400</f>
        <v>14300</v>
      </c>
      <c r="W619" s="979">
        <v>2300</v>
      </c>
      <c r="X619" s="979">
        <v>8500</v>
      </c>
      <c r="Y619" s="979">
        <f>3600+3800</f>
        <v>7400</v>
      </c>
      <c r="Z619" s="979"/>
      <c r="AA619" s="979">
        <v>2200</v>
      </c>
      <c r="AB619" s="979">
        <v>3700</v>
      </c>
      <c r="AC619" s="979">
        <v>3200</v>
      </c>
      <c r="AD619" s="979">
        <v>1600</v>
      </c>
      <c r="AE619" s="1109">
        <f t="shared" si="126"/>
        <v>115600</v>
      </c>
      <c r="AF619" s="1113">
        <v>3700</v>
      </c>
      <c r="AG619" s="981">
        <v>8500</v>
      </c>
      <c r="AH619" s="981">
        <v>12000</v>
      </c>
      <c r="AI619" s="1114">
        <f t="shared" si="127"/>
        <v>24200</v>
      </c>
      <c r="AJ619" s="1110">
        <f t="shared" si="128"/>
        <v>158900</v>
      </c>
      <c r="AK619" s="982">
        <f>'09월 에너지'!S619</f>
        <v>143.6</v>
      </c>
      <c r="AL619" s="983">
        <f t="shared" si="129"/>
        <v>0.90371302706104473</v>
      </c>
    </row>
    <row r="620" spans="1:38" ht="16.5" customHeight="1">
      <c r="A620" s="999">
        <f>'09월 에너지'!A620</f>
        <v>46288</v>
      </c>
      <c r="B620" s="1002">
        <f>'09월 조업일지'!B618</f>
        <v>46288</v>
      </c>
      <c r="C620" s="1003" t="str">
        <f>'09월 에너지'!C620</f>
        <v>C</v>
      </c>
      <c r="D620" s="1004" t="str">
        <f>'09월 에너지'!D620</f>
        <v>B</v>
      </c>
      <c r="E620" s="1000">
        <f>'09월 에너지'!E620</f>
        <v>85820</v>
      </c>
      <c r="F620" s="1094" t="str">
        <f>'09월 에너지'!F620</f>
        <v>SS400-01</v>
      </c>
      <c r="G620" s="980"/>
      <c r="H620" s="978"/>
      <c r="I620" s="978">
        <f>10200+9900</f>
        <v>20100</v>
      </c>
      <c r="J620" s="978"/>
      <c r="K620" s="978"/>
      <c r="L620" s="978"/>
      <c r="M620" s="978"/>
      <c r="N620" s="978"/>
      <c r="O620" s="1106">
        <f t="shared" si="125"/>
        <v>20100</v>
      </c>
      <c r="P620" s="1108">
        <f>5500+8200+11900+14600+17400+2500+6900</f>
        <v>67000</v>
      </c>
      <c r="Q620" s="979">
        <f>7700+3300</f>
        <v>11000</v>
      </c>
      <c r="R620" s="979">
        <v>7200</v>
      </c>
      <c r="S620" s="979"/>
      <c r="T620" s="979"/>
      <c r="U620" s="979">
        <v>3700</v>
      </c>
      <c r="V620" s="979">
        <f>6500+9600</f>
        <v>16100</v>
      </c>
      <c r="W620" s="979">
        <v>900</v>
      </c>
      <c r="X620" s="979"/>
      <c r="Y620" s="979">
        <f>2200+2700</f>
        <v>4900</v>
      </c>
      <c r="Z620" s="979"/>
      <c r="AA620" s="979">
        <v>3400</v>
      </c>
      <c r="AB620" s="979">
        <v>2300</v>
      </c>
      <c r="AC620" s="979">
        <v>2900</v>
      </c>
      <c r="AD620" s="979">
        <v>1400</v>
      </c>
      <c r="AE620" s="1109">
        <f t="shared" si="126"/>
        <v>120800</v>
      </c>
      <c r="AF620" s="1113">
        <v>4100</v>
      </c>
      <c r="AG620" s="981">
        <v>10800</v>
      </c>
      <c r="AH620" s="981">
        <v>3200</v>
      </c>
      <c r="AI620" s="1114">
        <f t="shared" si="127"/>
        <v>18100</v>
      </c>
      <c r="AJ620" s="1110">
        <f t="shared" si="128"/>
        <v>159000</v>
      </c>
      <c r="AK620" s="982">
        <f>'09월 에너지'!S620</f>
        <v>143.9</v>
      </c>
      <c r="AL620" s="983">
        <f t="shared" si="129"/>
        <v>0.90503144654088052</v>
      </c>
    </row>
    <row r="621" spans="1:38" ht="16.5" customHeight="1">
      <c r="A621" s="999">
        <f>'09월 에너지'!A621</f>
        <v>46288</v>
      </c>
      <c r="B621" s="1002">
        <f>'09월 조업일지'!B619</f>
        <v>46288</v>
      </c>
      <c r="C621" s="1003" t="str">
        <f>'09월 에너지'!C621</f>
        <v>C</v>
      </c>
      <c r="D621" s="1004" t="str">
        <f>'09월 에너지'!D621</f>
        <v>A</v>
      </c>
      <c r="E621" s="1000">
        <f>'09월 에너지'!E621</f>
        <v>85821</v>
      </c>
      <c r="F621" s="1094" t="str">
        <f>'09월 에너지'!F621</f>
        <v>SS400-01</v>
      </c>
      <c r="G621" s="980"/>
      <c r="H621" s="978"/>
      <c r="I621" s="978">
        <f>6500+9200</f>
        <v>15700</v>
      </c>
      <c r="J621" s="978"/>
      <c r="K621" s="978"/>
      <c r="L621" s="978"/>
      <c r="M621" s="978"/>
      <c r="N621" s="978"/>
      <c r="O621" s="1106">
        <f t="shared" si="125"/>
        <v>15700</v>
      </c>
      <c r="P621" s="1108">
        <f>6900+15000+8300+11800+6900+7100+6800</f>
        <v>62800</v>
      </c>
      <c r="Q621" s="979">
        <f>10800+4400</f>
        <v>15200</v>
      </c>
      <c r="R621" s="979">
        <v>6900</v>
      </c>
      <c r="S621" s="979"/>
      <c r="T621" s="979"/>
      <c r="U621" s="979">
        <v>2100</v>
      </c>
      <c r="V621" s="979">
        <f>4300+8800</f>
        <v>13100</v>
      </c>
      <c r="W621" s="979">
        <v>4500</v>
      </c>
      <c r="X621" s="979">
        <v>7500</v>
      </c>
      <c r="Y621" s="979">
        <f>3100+6000</f>
        <v>9100</v>
      </c>
      <c r="Z621" s="979"/>
      <c r="AA621" s="979">
        <v>1500</v>
      </c>
      <c r="AB621" s="979">
        <v>2800</v>
      </c>
      <c r="AC621" s="979">
        <v>2000</v>
      </c>
      <c r="AD621" s="979">
        <v>900</v>
      </c>
      <c r="AE621" s="1109">
        <f t="shared" si="126"/>
        <v>128400</v>
      </c>
      <c r="AF621" s="1113">
        <v>4700</v>
      </c>
      <c r="AG621" s="981">
        <v>9100</v>
      </c>
      <c r="AH621" s="981">
        <v>5700</v>
      </c>
      <c r="AI621" s="1114">
        <f t="shared" si="127"/>
        <v>19500</v>
      </c>
      <c r="AJ621" s="1110">
        <f t="shared" si="128"/>
        <v>163600</v>
      </c>
      <c r="AK621" s="982">
        <f>'09월 에너지'!S621</f>
        <v>142.1</v>
      </c>
      <c r="AL621" s="983">
        <f t="shared" si="129"/>
        <v>0.86858190709046457</v>
      </c>
    </row>
    <row r="622" spans="1:38" ht="16.5" customHeight="1">
      <c r="A622" s="999">
        <f>'09월 에너지'!A622</f>
        <v>46288</v>
      </c>
      <c r="B622" s="1002">
        <f>'09월 조업일지'!B620</f>
        <v>46288</v>
      </c>
      <c r="C622" s="1003" t="str">
        <f>'09월 에너지'!C622</f>
        <v>C</v>
      </c>
      <c r="D622" s="1004" t="str">
        <f>'09월 에너지'!D622</f>
        <v>B</v>
      </c>
      <c r="E622" s="1000">
        <f>'09월 에너지'!E622</f>
        <v>85822</v>
      </c>
      <c r="F622" s="1094" t="str">
        <f>'09월 에너지'!F622</f>
        <v>SS400-01</v>
      </c>
      <c r="G622" s="980"/>
      <c r="H622" s="978"/>
      <c r="I622" s="978">
        <f>11300+100</f>
        <v>11400</v>
      </c>
      <c r="J622" s="978"/>
      <c r="K622" s="978"/>
      <c r="L622" s="978"/>
      <c r="M622" s="978"/>
      <c r="N622" s="978"/>
      <c r="O622" s="1106">
        <f t="shared" si="125"/>
        <v>11400</v>
      </c>
      <c r="P622" s="1108">
        <f>4100+6900+12400+10700+7200+6900+4600</f>
        <v>52800</v>
      </c>
      <c r="Q622" s="979">
        <f>10400+6000</f>
        <v>16400</v>
      </c>
      <c r="R622" s="979">
        <v>8700</v>
      </c>
      <c r="S622" s="979"/>
      <c r="T622" s="979"/>
      <c r="U622" s="979">
        <v>5900</v>
      </c>
      <c r="V622" s="979">
        <f>2200+10100</f>
        <v>12300</v>
      </c>
      <c r="W622" s="979">
        <v>3600</v>
      </c>
      <c r="X622" s="979">
        <v>7800</v>
      </c>
      <c r="Y622" s="979">
        <f>2100+5000</f>
        <v>7100</v>
      </c>
      <c r="Z622" s="979"/>
      <c r="AA622" s="979">
        <v>2400</v>
      </c>
      <c r="AB622" s="979">
        <v>2000</v>
      </c>
      <c r="AC622" s="979">
        <v>2800</v>
      </c>
      <c r="AD622" s="979">
        <v>10000</v>
      </c>
      <c r="AE622" s="1109">
        <f t="shared" si="126"/>
        <v>131800</v>
      </c>
      <c r="AF622" s="1113">
        <v>3600</v>
      </c>
      <c r="AG622" s="981">
        <v>3700</v>
      </c>
      <c r="AH622" s="981">
        <v>7800</v>
      </c>
      <c r="AI622" s="1114">
        <f t="shared" si="127"/>
        <v>15100</v>
      </c>
      <c r="AJ622" s="1110">
        <f t="shared" si="128"/>
        <v>158300</v>
      </c>
      <c r="AK622" s="982">
        <f>'09월 에너지'!S622</f>
        <v>143.4</v>
      </c>
      <c r="AL622" s="983">
        <f t="shared" si="129"/>
        <v>0.90587492103600753</v>
      </c>
    </row>
    <row r="623" spans="1:38" ht="16.5" customHeight="1">
      <c r="A623" s="999">
        <f>'09월 에너지'!A623</f>
        <v>46288</v>
      </c>
      <c r="B623" s="1002">
        <f>'09월 조업일지'!B621</f>
        <v>46288</v>
      </c>
      <c r="C623" s="1003" t="str">
        <f>'09월 에너지'!C623</f>
        <v>C</v>
      </c>
      <c r="D623" s="1004" t="str">
        <f>'09월 에너지'!D623</f>
        <v>A</v>
      </c>
      <c r="E623" s="1000">
        <f>'09월 에너지'!E623</f>
        <v>85823</v>
      </c>
      <c r="F623" s="1094" t="str">
        <f>'09월 에너지'!F623</f>
        <v>SS400-01</v>
      </c>
      <c r="G623" s="980"/>
      <c r="H623" s="978"/>
      <c r="I623" s="978">
        <f>2800+7700</f>
        <v>10500</v>
      </c>
      <c r="J623" s="978"/>
      <c r="K623" s="978"/>
      <c r="L623" s="978"/>
      <c r="M623" s="978"/>
      <c r="N623" s="978"/>
      <c r="O623" s="1106">
        <f t="shared" si="125"/>
        <v>10500</v>
      </c>
      <c r="P623" s="1108">
        <f>3700+3800+15500+13400+8000+7000+1600</f>
        <v>53000</v>
      </c>
      <c r="Q623" s="979">
        <f>9200+4400</f>
        <v>13600</v>
      </c>
      <c r="R623" s="979">
        <v>6400</v>
      </c>
      <c r="S623" s="979"/>
      <c r="T623" s="979"/>
      <c r="U623" s="979">
        <v>8800</v>
      </c>
      <c r="V623" s="979">
        <f>2600+9300</f>
        <v>11900</v>
      </c>
      <c r="W623" s="979">
        <v>3100</v>
      </c>
      <c r="X623" s="979">
        <v>8100</v>
      </c>
      <c r="Y623" s="979">
        <f>1300+5600</f>
        <v>6900</v>
      </c>
      <c r="Z623" s="979"/>
      <c r="AA623" s="979">
        <v>12900</v>
      </c>
      <c r="AB623" s="979">
        <v>16400</v>
      </c>
      <c r="AC623" s="979">
        <v>1600</v>
      </c>
      <c r="AD623" s="979">
        <v>2200</v>
      </c>
      <c r="AE623" s="1109">
        <f t="shared" si="126"/>
        <v>144900</v>
      </c>
      <c r="AF623" s="1113">
        <v>4700</v>
      </c>
      <c r="AG623" s="981">
        <v>1000</v>
      </c>
      <c r="AH623" s="981">
        <v>3700</v>
      </c>
      <c r="AI623" s="1114">
        <f t="shared" si="127"/>
        <v>9400</v>
      </c>
      <c r="AJ623" s="1110">
        <f t="shared" si="128"/>
        <v>164800</v>
      </c>
      <c r="AK623" s="982">
        <f>'09월 에너지'!S623</f>
        <v>142.9</v>
      </c>
      <c r="AL623" s="983">
        <f t="shared" si="129"/>
        <v>0.86711165048543692</v>
      </c>
    </row>
    <row r="624" spans="1:38" ht="16.5" customHeight="1">
      <c r="A624" s="999">
        <f>'09월 에너지'!A624</f>
        <v>46288</v>
      </c>
      <c r="B624" s="1002">
        <f>'09월 조업일지'!B622</f>
        <v>46288</v>
      </c>
      <c r="C624" s="1003" t="str">
        <f>'09월 에너지'!C624</f>
        <v>C</v>
      </c>
      <c r="D624" s="1004" t="str">
        <f>'09월 에너지'!D624</f>
        <v>B</v>
      </c>
      <c r="E624" s="1000">
        <f>'09월 에너지'!E624</f>
        <v>85824</v>
      </c>
      <c r="F624" s="1094" t="str">
        <f>'09월 에너지'!F624</f>
        <v>SS400-01</v>
      </c>
      <c r="G624" s="980"/>
      <c r="H624" s="978"/>
      <c r="I624" s="978">
        <f>11400+8100</f>
        <v>19500</v>
      </c>
      <c r="J624" s="978"/>
      <c r="K624" s="978"/>
      <c r="L624" s="978"/>
      <c r="M624" s="978"/>
      <c r="N624" s="978"/>
      <c r="O624" s="1106">
        <f t="shared" si="125"/>
        <v>19500</v>
      </c>
      <c r="P624" s="1108">
        <f>7100+4100+11300+14900+7100+4100+6900</f>
        <v>55500</v>
      </c>
      <c r="Q624" s="979">
        <f>10700+3300</f>
        <v>14000</v>
      </c>
      <c r="R624" s="979">
        <v>4000</v>
      </c>
      <c r="S624" s="979"/>
      <c r="T624" s="979"/>
      <c r="U624" s="979">
        <v>4900</v>
      </c>
      <c r="V624" s="979">
        <f>5000+8700</f>
        <v>13700</v>
      </c>
      <c r="W624" s="979">
        <v>3400</v>
      </c>
      <c r="X624" s="979">
        <v>7500</v>
      </c>
      <c r="Y624" s="979">
        <f>3000+2300</f>
        <v>5300</v>
      </c>
      <c r="Z624" s="979"/>
      <c r="AA624" s="979">
        <v>5700</v>
      </c>
      <c r="AB624" s="979">
        <v>2100</v>
      </c>
      <c r="AC624" s="979">
        <v>2600</v>
      </c>
      <c r="AD624" s="979">
        <v>1900</v>
      </c>
      <c r="AE624" s="1109">
        <f t="shared" si="126"/>
        <v>120600</v>
      </c>
      <c r="AF624" s="1113">
        <v>4800</v>
      </c>
      <c r="AG624" s="981">
        <v>11900</v>
      </c>
      <c r="AH624" s="981">
        <v>2100</v>
      </c>
      <c r="AI624" s="1114">
        <f t="shared" si="127"/>
        <v>18800</v>
      </c>
      <c r="AJ624" s="1110">
        <f t="shared" si="128"/>
        <v>158900</v>
      </c>
      <c r="AK624" s="982">
        <f>'09월 에너지'!S624</f>
        <v>143.4</v>
      </c>
      <c r="AL624" s="983">
        <f t="shared" si="129"/>
        <v>0.90245437382001259</v>
      </c>
    </row>
    <row r="625" spans="1:38" ht="16.5" customHeight="1">
      <c r="A625" s="999">
        <f>'09월 에너지'!A625</f>
        <v>46288</v>
      </c>
      <c r="B625" s="1002">
        <f>'09월 조업일지'!B623</f>
        <v>46288</v>
      </c>
      <c r="C625" s="1003" t="str">
        <f>'09월 에너지'!C625</f>
        <v>C</v>
      </c>
      <c r="D625" s="1004" t="str">
        <f>'09월 에너지'!D625</f>
        <v>A</v>
      </c>
      <c r="E625" s="1000">
        <f>'09월 에너지'!E625</f>
        <v>85825</v>
      </c>
      <c r="F625" s="1094" t="str">
        <f>'09월 에너지'!F625</f>
        <v>SS400-01</v>
      </c>
      <c r="G625" s="980"/>
      <c r="H625" s="978"/>
      <c r="I625" s="978">
        <f>2600+7800</f>
        <v>10400</v>
      </c>
      <c r="J625" s="978"/>
      <c r="K625" s="978"/>
      <c r="L625" s="978"/>
      <c r="M625" s="978"/>
      <c r="N625" s="978"/>
      <c r="O625" s="1106">
        <f t="shared" si="125"/>
        <v>10400</v>
      </c>
      <c r="P625" s="1108">
        <f>51700+10500</f>
        <v>62200</v>
      </c>
      <c r="Q625" s="979">
        <f>6000+3500</f>
        <v>9500</v>
      </c>
      <c r="R625" s="979">
        <v>12200</v>
      </c>
      <c r="S625" s="979"/>
      <c r="T625" s="979"/>
      <c r="U625" s="979">
        <v>900</v>
      </c>
      <c r="V625" s="979">
        <f>5200+9400</f>
        <v>14600</v>
      </c>
      <c r="W625" s="979">
        <v>2800</v>
      </c>
      <c r="X625" s="979">
        <v>9000</v>
      </c>
      <c r="Y625" s="979">
        <f>4800+900</f>
        <v>5700</v>
      </c>
      <c r="Z625" s="979"/>
      <c r="AA625" s="979">
        <v>3100</v>
      </c>
      <c r="AB625" s="979">
        <v>3500</v>
      </c>
      <c r="AC625" s="979">
        <v>1700</v>
      </c>
      <c r="AD625" s="979">
        <v>4500</v>
      </c>
      <c r="AE625" s="1109">
        <f t="shared" si="126"/>
        <v>129700</v>
      </c>
      <c r="AF625" s="1113">
        <v>4600</v>
      </c>
      <c r="AG625" s="981">
        <v>9200</v>
      </c>
      <c r="AH625" s="981">
        <v>4900</v>
      </c>
      <c r="AI625" s="1114">
        <f t="shared" si="127"/>
        <v>18700</v>
      </c>
      <c r="AJ625" s="1110">
        <f t="shared" si="128"/>
        <v>158800</v>
      </c>
      <c r="AK625" s="982">
        <f>'09월 에너지'!S625</f>
        <v>144.69999999999999</v>
      </c>
      <c r="AL625" s="983">
        <f t="shared" si="129"/>
        <v>0.91120906801007562</v>
      </c>
    </row>
    <row r="626" spans="1:38" ht="16.5" customHeight="1">
      <c r="A626" s="999">
        <f>'09월 에너지'!A626</f>
        <v>46288</v>
      </c>
      <c r="B626" s="1002">
        <f>'09월 조업일지'!B624</f>
        <v>46288</v>
      </c>
      <c r="C626" s="1003" t="str">
        <f>'09월 에너지'!C626</f>
        <v>C</v>
      </c>
      <c r="D626" s="1004" t="str">
        <f>'09월 에너지'!D626</f>
        <v>B</v>
      </c>
      <c r="E626" s="1000">
        <f>'09월 에너지'!E626</f>
        <v>85826</v>
      </c>
      <c r="F626" s="1094" t="str">
        <f>'09월 에너지'!F626</f>
        <v>SS400-01</v>
      </c>
      <c r="G626" s="980"/>
      <c r="H626" s="978"/>
      <c r="I626" s="978">
        <f>13100+7800</f>
        <v>20900</v>
      </c>
      <c r="J626" s="978"/>
      <c r="K626" s="978"/>
      <c r="L626" s="978"/>
      <c r="M626" s="978"/>
      <c r="N626" s="978"/>
      <c r="O626" s="1106">
        <f t="shared" si="125"/>
        <v>20900</v>
      </c>
      <c r="P626" s="1108">
        <f>5100+11200+6200+10000+7600+8100+4300</f>
        <v>52500</v>
      </c>
      <c r="Q626" s="979">
        <f>9400+3400</f>
        <v>12800</v>
      </c>
      <c r="R626" s="979">
        <v>6400</v>
      </c>
      <c r="S626" s="979"/>
      <c r="T626" s="979"/>
      <c r="U626" s="979">
        <v>4400</v>
      </c>
      <c r="V626" s="979">
        <f>3600+9800</f>
        <v>13400</v>
      </c>
      <c r="W626" s="979">
        <v>3500</v>
      </c>
      <c r="X626" s="979">
        <v>7900</v>
      </c>
      <c r="Y626" s="979">
        <f>3800+1600</f>
        <v>5400</v>
      </c>
      <c r="Z626" s="979"/>
      <c r="AA626" s="979">
        <v>2600</v>
      </c>
      <c r="AB626" s="979">
        <v>2100</v>
      </c>
      <c r="AC626" s="979">
        <v>1700</v>
      </c>
      <c r="AD626" s="979">
        <v>6400</v>
      </c>
      <c r="AE626" s="1109">
        <f t="shared" si="126"/>
        <v>119100</v>
      </c>
      <c r="AF626" s="1113">
        <v>4500</v>
      </c>
      <c r="AG626" s="981">
        <v>11500</v>
      </c>
      <c r="AH626" s="981">
        <v>2800</v>
      </c>
      <c r="AI626" s="1114">
        <f t="shared" si="127"/>
        <v>18800</v>
      </c>
      <c r="AJ626" s="1110">
        <f t="shared" si="128"/>
        <v>158800</v>
      </c>
      <c r="AK626" s="982">
        <f>'09월 에너지'!S626</f>
        <v>143.80000000000001</v>
      </c>
      <c r="AL626" s="983">
        <f t="shared" si="129"/>
        <v>0.90554156171284639</v>
      </c>
    </row>
    <row r="627" spans="1:38" ht="16.5" customHeight="1">
      <c r="A627" s="999">
        <f>'09월 에너지'!A627</f>
        <v>46288</v>
      </c>
      <c r="B627" s="1002">
        <f>'09월 조업일지'!B625</f>
        <v>46288</v>
      </c>
      <c r="C627" s="1003" t="str">
        <f>'09월 에너지'!C627</f>
        <v>C</v>
      </c>
      <c r="D627" s="1004" t="str">
        <f>'09월 에너지'!D627</f>
        <v>A</v>
      </c>
      <c r="E627" s="1000">
        <f>'09월 에너지'!E627</f>
        <v>85827</v>
      </c>
      <c r="F627" s="1094" t="str">
        <f>'09월 에너지'!F627</f>
        <v>SS400-01</v>
      </c>
      <c r="G627" s="980"/>
      <c r="H627" s="978"/>
      <c r="I627" s="978">
        <f>6000+2900</f>
        <v>8900</v>
      </c>
      <c r="J627" s="978"/>
      <c r="K627" s="978"/>
      <c r="L627" s="978"/>
      <c r="M627" s="978"/>
      <c r="N627" s="978"/>
      <c r="O627" s="1106">
        <f t="shared" si="125"/>
        <v>8900</v>
      </c>
      <c r="P627" s="1108">
        <f>8600+19300+6800+11900+6600+8400+9000</f>
        <v>70600</v>
      </c>
      <c r="Q627" s="979">
        <f>4500+5900</f>
        <v>10400</v>
      </c>
      <c r="R627" s="979">
        <v>9600</v>
      </c>
      <c r="S627" s="979"/>
      <c r="T627" s="979"/>
      <c r="U627" s="979">
        <v>1500</v>
      </c>
      <c r="V627" s="979">
        <f>5000+9300</f>
        <v>14300</v>
      </c>
      <c r="W627" s="979">
        <v>3400</v>
      </c>
      <c r="X627" s="979">
        <v>8200</v>
      </c>
      <c r="Y627" s="979">
        <f>8000+1300</f>
        <v>9300</v>
      </c>
      <c r="Z627" s="979"/>
      <c r="AA627" s="979">
        <v>2900</v>
      </c>
      <c r="AB627" s="979">
        <v>1800</v>
      </c>
      <c r="AC627" s="979">
        <v>2300</v>
      </c>
      <c r="AD627" s="979">
        <v>4100</v>
      </c>
      <c r="AE627" s="1109">
        <f t="shared" si="126"/>
        <v>138400</v>
      </c>
      <c r="AF627" s="1113">
        <v>3900</v>
      </c>
      <c r="AG627" s="981">
        <v>5400</v>
      </c>
      <c r="AH627" s="981">
        <v>3300</v>
      </c>
      <c r="AI627" s="1114">
        <f t="shared" si="127"/>
        <v>12600</v>
      </c>
      <c r="AJ627" s="1110">
        <f t="shared" si="128"/>
        <v>159900</v>
      </c>
      <c r="AK627" s="982">
        <f>'09월 에너지'!S627</f>
        <v>142.9</v>
      </c>
      <c r="AL627" s="983">
        <f t="shared" si="129"/>
        <v>0.89368355222013762</v>
      </c>
    </row>
    <row r="628" spans="1:38" ht="16.5" customHeight="1">
      <c r="A628" s="999">
        <f>'09월 에너지'!A628</f>
        <v>46288</v>
      </c>
      <c r="B628" s="1002">
        <f>'09월 조업일지'!B626</f>
        <v>46288</v>
      </c>
      <c r="C628" s="1003" t="str">
        <f>'09월 에너지'!C628</f>
        <v>D</v>
      </c>
      <c r="D628" s="1004" t="str">
        <f>'09월 에너지'!D628</f>
        <v>B</v>
      </c>
      <c r="E628" s="1000">
        <f>'09월 에너지'!E628</f>
        <v>85828</v>
      </c>
      <c r="F628" s="1094" t="str">
        <f>'09월 에너지'!F628</f>
        <v>SS400-01</v>
      </c>
      <c r="G628" s="980"/>
      <c r="H628" s="978"/>
      <c r="I628" s="978">
        <f>4900+7200</f>
        <v>12100</v>
      </c>
      <c r="J628" s="978"/>
      <c r="K628" s="978"/>
      <c r="L628" s="978"/>
      <c r="M628" s="978"/>
      <c r="N628" s="978"/>
      <c r="O628" s="1106">
        <f t="shared" si="125"/>
        <v>12100</v>
      </c>
      <c r="P628" s="1108">
        <f>7100+8200+13600+19700+8700+5000+3000</f>
        <v>65300</v>
      </c>
      <c r="Q628" s="979">
        <f>4100+10100</f>
        <v>14200</v>
      </c>
      <c r="R628" s="979">
        <v>4600</v>
      </c>
      <c r="S628" s="979"/>
      <c r="T628" s="979"/>
      <c r="U628" s="979">
        <v>4100</v>
      </c>
      <c r="V628" s="979">
        <f>9600+4400</f>
        <v>14000</v>
      </c>
      <c r="W628" s="979">
        <v>1700</v>
      </c>
      <c r="X628" s="979">
        <v>8200</v>
      </c>
      <c r="Y628" s="979">
        <f>2400+2300</f>
        <v>4700</v>
      </c>
      <c r="Z628" s="979"/>
      <c r="AA628" s="979">
        <v>3200</v>
      </c>
      <c r="AB628" s="979">
        <v>3800</v>
      </c>
      <c r="AC628" s="979">
        <v>1600</v>
      </c>
      <c r="AD628" s="979">
        <v>3500</v>
      </c>
      <c r="AE628" s="1109">
        <f t="shared" si="126"/>
        <v>128900</v>
      </c>
      <c r="AF628" s="1113">
        <v>4500</v>
      </c>
      <c r="AG628" s="981">
        <v>8900</v>
      </c>
      <c r="AH628" s="981">
        <v>4100</v>
      </c>
      <c r="AI628" s="1114">
        <f t="shared" si="127"/>
        <v>17500</v>
      </c>
      <c r="AJ628" s="1110">
        <f t="shared" si="128"/>
        <v>158500</v>
      </c>
      <c r="AK628" s="982">
        <f>'09월 에너지'!S628</f>
        <v>143</v>
      </c>
      <c r="AL628" s="983">
        <f t="shared" si="129"/>
        <v>0.90220820189274453</v>
      </c>
    </row>
    <row r="629" spans="1:38" ht="16.5" customHeight="1">
      <c r="A629" s="999">
        <f>'09월 에너지'!A629</f>
        <v>46288</v>
      </c>
      <c r="B629" s="1002">
        <f>'09월 조업일지'!B627</f>
        <v>46288</v>
      </c>
      <c r="C629" s="1003" t="str">
        <f>'09월 에너지'!C629</f>
        <v>D</v>
      </c>
      <c r="D629" s="1004" t="str">
        <f>'09월 에너지'!D629</f>
        <v>A</v>
      </c>
      <c r="E629" s="1000">
        <f>'09월 에너지'!E629</f>
        <v>85829</v>
      </c>
      <c r="F629" s="1170" t="str">
        <f>'09월 에너지'!F629</f>
        <v>S355JO-01</v>
      </c>
      <c r="G629" s="980"/>
      <c r="H629" s="978"/>
      <c r="I629" s="978">
        <f>7100+5300</f>
        <v>12400</v>
      </c>
      <c r="J629" s="978"/>
      <c r="K629" s="978"/>
      <c r="L629" s="978"/>
      <c r="M629" s="978"/>
      <c r="N629" s="978"/>
      <c r="O629" s="1106">
        <f t="shared" si="125"/>
        <v>12400</v>
      </c>
      <c r="P629" s="1108">
        <f>2300+6300+3600+8900+7000+4500</f>
        <v>32600</v>
      </c>
      <c r="Q629" s="979">
        <f>10800+6000</f>
        <v>16800</v>
      </c>
      <c r="R629" s="979">
        <v>13900</v>
      </c>
      <c r="S629" s="979"/>
      <c r="T629" s="979"/>
      <c r="U629" s="979"/>
      <c r="V629" s="979">
        <f>3700+7600+9300</f>
        <v>20600</v>
      </c>
      <c r="W629" s="979">
        <v>3000</v>
      </c>
      <c r="X629" s="979">
        <v>8400</v>
      </c>
      <c r="Y629" s="979">
        <f>1500+2200+2300</f>
        <v>6000</v>
      </c>
      <c r="Z629" s="979"/>
      <c r="AA629" s="979">
        <v>10400</v>
      </c>
      <c r="AB629" s="979">
        <v>1600</v>
      </c>
      <c r="AC629" s="979"/>
      <c r="AD629" s="979">
        <v>13200</v>
      </c>
      <c r="AE629" s="1109">
        <f t="shared" si="126"/>
        <v>126500</v>
      </c>
      <c r="AF629" s="1113">
        <v>4400</v>
      </c>
      <c r="AG629" s="981">
        <f>1900+7600</f>
        <v>9500</v>
      </c>
      <c r="AH629" s="981">
        <v>5300</v>
      </c>
      <c r="AI629" s="1114">
        <f t="shared" si="127"/>
        <v>19200</v>
      </c>
      <c r="AJ629" s="1110">
        <f t="shared" si="128"/>
        <v>158100</v>
      </c>
      <c r="AK629" s="982">
        <f>'09월 에너지'!S629</f>
        <v>140.80000000000001</v>
      </c>
      <c r="AL629" s="983">
        <f t="shared" si="129"/>
        <v>0.89057558507273882</v>
      </c>
    </row>
    <row r="630" spans="1:38" ht="16.5" customHeight="1">
      <c r="A630" s="999">
        <f>'09월 에너지'!A630</f>
        <v>46288</v>
      </c>
      <c r="B630" s="1002">
        <f>'09월 조업일지'!B628</f>
        <v>46288</v>
      </c>
      <c r="C630" s="1003" t="str">
        <f>'09월 에너지'!C630</f>
        <v>D</v>
      </c>
      <c r="D630" s="1004" t="str">
        <f>'09월 에너지'!D630</f>
        <v>B</v>
      </c>
      <c r="E630" s="1000">
        <f>'09월 에너지'!E630</f>
        <v>85830</v>
      </c>
      <c r="F630" s="1094" t="str">
        <f>'09월 에너지'!F630</f>
        <v>S355JO-01</v>
      </c>
      <c r="G630" s="980"/>
      <c r="H630" s="978"/>
      <c r="I630" s="978">
        <f>5300+7100</f>
        <v>12400</v>
      </c>
      <c r="J630" s="978"/>
      <c r="K630" s="978"/>
      <c r="L630" s="978"/>
      <c r="M630" s="978"/>
      <c r="N630" s="978"/>
      <c r="O630" s="1106">
        <f t="shared" si="125"/>
        <v>12400</v>
      </c>
      <c r="P630" s="1108">
        <f>2300+6300+3600+8900+7000+4500</f>
        <v>32600</v>
      </c>
      <c r="Q630" s="979">
        <f>10800+6000</f>
        <v>16800</v>
      </c>
      <c r="R630" s="979">
        <v>13900</v>
      </c>
      <c r="S630" s="979"/>
      <c r="T630" s="979"/>
      <c r="U630" s="979"/>
      <c r="V630" s="979">
        <f>3700+7600+9300</f>
        <v>20600</v>
      </c>
      <c r="W630" s="979">
        <v>3000</v>
      </c>
      <c r="X630" s="979">
        <v>8400</v>
      </c>
      <c r="Y630" s="979">
        <f>1500+2200+2300</f>
        <v>6000</v>
      </c>
      <c r="Z630" s="979"/>
      <c r="AA630" s="979">
        <v>10400</v>
      </c>
      <c r="AB630" s="979">
        <v>1600</v>
      </c>
      <c r="AC630" s="979"/>
      <c r="AD630" s="979">
        <v>13200</v>
      </c>
      <c r="AE630" s="1109">
        <f t="shared" si="126"/>
        <v>126500</v>
      </c>
      <c r="AF630" s="1113">
        <v>4400</v>
      </c>
      <c r="AG630" s="981">
        <f>1900+7600</f>
        <v>9500</v>
      </c>
      <c r="AH630" s="981">
        <v>5300</v>
      </c>
      <c r="AI630" s="1114">
        <f t="shared" si="127"/>
        <v>19200</v>
      </c>
      <c r="AJ630" s="1110">
        <f t="shared" si="128"/>
        <v>158100</v>
      </c>
      <c r="AK630" s="982">
        <f>'09월 에너지'!S630</f>
        <v>142</v>
      </c>
      <c r="AL630" s="983">
        <f t="shared" si="129"/>
        <v>0.89816571790006328</v>
      </c>
    </row>
    <row r="631" spans="1:38" ht="16.5" customHeight="1">
      <c r="A631" s="999">
        <f>'09월 에너지'!A631</f>
        <v>46288</v>
      </c>
      <c r="B631" s="1002">
        <f>'09월 조업일지'!B629</f>
        <v>46288</v>
      </c>
      <c r="C631" s="1003" t="str">
        <f>'09월 에너지'!C631</f>
        <v>D</v>
      </c>
      <c r="D631" s="1004" t="str">
        <f>'09월 에너지'!D631</f>
        <v>A</v>
      </c>
      <c r="E631" s="1000">
        <f>'09월 에너지'!E631</f>
        <v>85831</v>
      </c>
      <c r="F631" s="1094" t="str">
        <f>'09월 에너지'!F631</f>
        <v>S355JO-01</v>
      </c>
      <c r="G631" s="980"/>
      <c r="H631" s="978"/>
      <c r="I631" s="978">
        <f>900+8600</f>
        <v>9500</v>
      </c>
      <c r="J631" s="978"/>
      <c r="K631" s="978"/>
      <c r="L631" s="978"/>
      <c r="M631" s="978"/>
      <c r="N631" s="978"/>
      <c r="O631" s="1106">
        <f t="shared" si="125"/>
        <v>9500</v>
      </c>
      <c r="P631" s="1108">
        <f>7900+5800+12000+15900+6800+7400</f>
        <v>55800</v>
      </c>
      <c r="Q631" s="979">
        <f>9500+5400</f>
        <v>14900</v>
      </c>
      <c r="R631" s="979">
        <v>7400</v>
      </c>
      <c r="S631" s="979"/>
      <c r="T631" s="979"/>
      <c r="U631" s="979"/>
      <c r="V631" s="979">
        <f>5200+8000+8800</f>
        <v>22000</v>
      </c>
      <c r="W631" s="979">
        <v>3200</v>
      </c>
      <c r="X631" s="979">
        <v>8600</v>
      </c>
      <c r="Y631" s="979">
        <f>1400+4100+2300</f>
        <v>7800</v>
      </c>
      <c r="Z631" s="979"/>
      <c r="AA631" s="979">
        <v>1900</v>
      </c>
      <c r="AB631" s="979">
        <v>1700</v>
      </c>
      <c r="AC631" s="979"/>
      <c r="AD631" s="979">
        <v>3600</v>
      </c>
      <c r="AE631" s="1109">
        <f t="shared" si="126"/>
        <v>126900</v>
      </c>
      <c r="AF631" s="1113">
        <v>4600</v>
      </c>
      <c r="AG631" s="981">
        <f>10000+4700</f>
        <v>14700</v>
      </c>
      <c r="AH631" s="981">
        <v>3300</v>
      </c>
      <c r="AI631" s="1114">
        <f t="shared" si="127"/>
        <v>22600</v>
      </c>
      <c r="AJ631" s="1110">
        <f t="shared" si="128"/>
        <v>159000</v>
      </c>
      <c r="AK631" s="982">
        <f>'09월 에너지'!S631</f>
        <v>142.80000000000001</v>
      </c>
      <c r="AL631" s="983">
        <f t="shared" si="129"/>
        <v>0.89811320754716983</v>
      </c>
    </row>
    <row r="632" spans="1:38" ht="16.5" customHeight="1">
      <c r="A632" s="999">
        <f>'09월 에너지'!A632</f>
        <v>46288</v>
      </c>
      <c r="B632" s="1002">
        <f>'09월 조업일지'!B630</f>
        <v>46288</v>
      </c>
      <c r="C632" s="1003" t="str">
        <f>'09월 에너지'!C632</f>
        <v>D</v>
      </c>
      <c r="D632" s="1004" t="str">
        <f>'09월 에너지'!D632</f>
        <v>B</v>
      </c>
      <c r="E632" s="1000">
        <f>'09월 에너지'!E632</f>
        <v>85832</v>
      </c>
      <c r="F632" s="1094" t="str">
        <f>'09월 에너지'!F632</f>
        <v>S355JO-01</v>
      </c>
      <c r="G632" s="980"/>
      <c r="H632" s="978"/>
      <c r="I632" s="978">
        <f>12800+8500</f>
        <v>21300</v>
      </c>
      <c r="J632" s="978"/>
      <c r="K632" s="978"/>
      <c r="L632" s="978"/>
      <c r="M632" s="978"/>
      <c r="N632" s="978"/>
      <c r="O632" s="1106">
        <f t="shared" si="125"/>
        <v>21300</v>
      </c>
      <c r="P632" s="1108">
        <f>4300+5000+8400+12700+6700+6400</f>
        <v>43500</v>
      </c>
      <c r="Q632" s="979">
        <f>12400+5200</f>
        <v>17600</v>
      </c>
      <c r="R632" s="979">
        <v>7300</v>
      </c>
      <c r="S632" s="979"/>
      <c r="T632" s="979"/>
      <c r="U632" s="979"/>
      <c r="V632" s="979">
        <f>4900+7700+9400</f>
        <v>22000</v>
      </c>
      <c r="W632" s="979">
        <v>3200</v>
      </c>
      <c r="X632" s="979">
        <v>8300</v>
      </c>
      <c r="Y632" s="979">
        <f>2500+3100+2500</f>
        <v>8100</v>
      </c>
      <c r="Z632" s="979"/>
      <c r="AA632" s="979">
        <v>1700</v>
      </c>
      <c r="AB632" s="979">
        <v>2500</v>
      </c>
      <c r="AC632" s="979"/>
      <c r="AD632" s="979">
        <v>3000</v>
      </c>
      <c r="AE632" s="1109">
        <f t="shared" si="126"/>
        <v>117200</v>
      </c>
      <c r="AF632" s="1113">
        <v>3800</v>
      </c>
      <c r="AG632" s="981">
        <v>12000</v>
      </c>
      <c r="AH632" s="981">
        <v>5500</v>
      </c>
      <c r="AI632" s="1114">
        <f t="shared" si="127"/>
        <v>21300</v>
      </c>
      <c r="AJ632" s="1110">
        <f t="shared" si="128"/>
        <v>159800</v>
      </c>
      <c r="AK632" s="982">
        <f>'09월 에너지'!S632</f>
        <v>144.1</v>
      </c>
      <c r="AL632" s="983">
        <f t="shared" si="129"/>
        <v>0.90175219023779729</v>
      </c>
    </row>
    <row r="633" spans="1:38" ht="16.5" customHeight="1">
      <c r="A633" s="999">
        <f>'09월 에너지'!A633</f>
        <v>46288</v>
      </c>
      <c r="B633" s="1002">
        <f>'09월 조업일지'!B631</f>
        <v>46288</v>
      </c>
      <c r="C633" s="1003" t="str">
        <f>'09월 에너지'!C633</f>
        <v>D</v>
      </c>
      <c r="D633" s="1004" t="str">
        <f>'09월 에너지'!D633</f>
        <v>A</v>
      </c>
      <c r="E633" s="1000">
        <f>'09월 에너지'!E633</f>
        <v>85833</v>
      </c>
      <c r="F633" s="1094" t="str">
        <f>'09월 에너지'!F633</f>
        <v>S355JO-01</v>
      </c>
      <c r="G633" s="980"/>
      <c r="H633" s="978"/>
      <c r="I633" s="978">
        <f>7600+3100</f>
        <v>10700</v>
      </c>
      <c r="J633" s="978"/>
      <c r="K633" s="978"/>
      <c r="L633" s="978"/>
      <c r="M633" s="978"/>
      <c r="N633" s="978"/>
      <c r="O633" s="1106">
        <f t="shared" si="125"/>
        <v>10700</v>
      </c>
      <c r="P633" s="1108">
        <f>7200+5600+4500+17100+7800+8000</f>
        <v>50200</v>
      </c>
      <c r="Q633" s="979">
        <f>14800+7100</f>
        <v>21900</v>
      </c>
      <c r="R633" s="979">
        <v>11000</v>
      </c>
      <c r="S633" s="979"/>
      <c r="T633" s="979"/>
      <c r="U633" s="979"/>
      <c r="V633" s="979">
        <f>2900+6000+9200</f>
        <v>18100</v>
      </c>
      <c r="W633" s="979">
        <v>2500</v>
      </c>
      <c r="X633" s="979">
        <v>10000</v>
      </c>
      <c r="Y633" s="979">
        <f>3600+3400+2700</f>
        <v>9700</v>
      </c>
      <c r="Z633" s="979"/>
      <c r="AA633" s="979">
        <v>1700</v>
      </c>
      <c r="AB633" s="979">
        <v>1500</v>
      </c>
      <c r="AC633" s="979"/>
      <c r="AD633" s="979">
        <v>0</v>
      </c>
      <c r="AE633" s="1109">
        <f t="shared" si="126"/>
        <v>126600</v>
      </c>
      <c r="AF633" s="1113">
        <v>5800</v>
      </c>
      <c r="AG633" s="981">
        <v>8500</v>
      </c>
      <c r="AH633" s="981">
        <v>6900</v>
      </c>
      <c r="AI633" s="1114">
        <f t="shared" si="127"/>
        <v>21200</v>
      </c>
      <c r="AJ633" s="1110">
        <f t="shared" si="128"/>
        <v>158500</v>
      </c>
      <c r="AK633" s="982">
        <f>'09월 에너지'!S633</f>
        <v>143.1</v>
      </c>
      <c r="AL633" s="983">
        <f t="shared" si="129"/>
        <v>0.90283911671924288</v>
      </c>
    </row>
    <row r="634" spans="1:38" ht="16.5" customHeight="1">
      <c r="A634" s="999">
        <f>'09월 에너지'!A634</f>
        <v>46289</v>
      </c>
      <c r="B634" s="1002">
        <f>'09월 조업일지'!B632</f>
        <v>46288</v>
      </c>
      <c r="C634" s="1003" t="str">
        <f>'09월 에너지'!C634</f>
        <v>D</v>
      </c>
      <c r="D634" s="1004" t="str">
        <f>'09월 에너지'!D634</f>
        <v>B</v>
      </c>
      <c r="E634" s="1000">
        <f>'09월 에너지'!E634</f>
        <v>85834</v>
      </c>
      <c r="F634" s="1094" t="str">
        <f>'09월 에너지'!F634</f>
        <v>S355JO-01</v>
      </c>
      <c r="G634" s="980"/>
      <c r="H634" s="978"/>
      <c r="I634" s="978">
        <f>11800+7500</f>
        <v>19300</v>
      </c>
      <c r="J634" s="978"/>
      <c r="K634" s="978"/>
      <c r="L634" s="978"/>
      <c r="M634" s="978"/>
      <c r="N634" s="978"/>
      <c r="O634" s="1106">
        <f t="shared" si="125"/>
        <v>19300</v>
      </c>
      <c r="P634" s="1108">
        <f>5700+5800+8000+13000+6700+5600</f>
        <v>44800</v>
      </c>
      <c r="Q634" s="979">
        <f>11000+4700</f>
        <v>15700</v>
      </c>
      <c r="R634" s="979">
        <v>8000</v>
      </c>
      <c r="S634" s="979"/>
      <c r="T634" s="979"/>
      <c r="U634" s="979"/>
      <c r="V634" s="979">
        <f>4500+5700+9500</f>
        <v>19700</v>
      </c>
      <c r="W634" s="979">
        <v>3300</v>
      </c>
      <c r="X634" s="979">
        <v>8100</v>
      </c>
      <c r="Y634" s="979">
        <f>2200+3600+1900</f>
        <v>7700</v>
      </c>
      <c r="Z634" s="979"/>
      <c r="AA634" s="979">
        <v>1800</v>
      </c>
      <c r="AB634" s="979">
        <v>3200</v>
      </c>
      <c r="AC634" s="979"/>
      <c r="AD634" s="979">
        <v>2500</v>
      </c>
      <c r="AE634" s="1109">
        <f t="shared" si="126"/>
        <v>114800</v>
      </c>
      <c r="AF634" s="1113">
        <v>3600</v>
      </c>
      <c r="AG634" s="981">
        <f>12500+3600</f>
        <v>16100</v>
      </c>
      <c r="AH634" s="981">
        <v>5100</v>
      </c>
      <c r="AI634" s="1114">
        <f t="shared" si="127"/>
        <v>24800</v>
      </c>
      <c r="AJ634" s="1110">
        <f t="shared" si="128"/>
        <v>158900</v>
      </c>
      <c r="AK634" s="982">
        <f>'09월 에너지'!S634</f>
        <v>143.80000000000001</v>
      </c>
      <c r="AL634" s="983">
        <f t="shared" si="129"/>
        <v>0.90497168030207675</v>
      </c>
    </row>
    <row r="635" spans="1:38" ht="16.5" customHeight="1">
      <c r="A635" s="999">
        <f>'09월 에너지'!A635</f>
        <v>46289</v>
      </c>
      <c r="B635" s="1002">
        <f>'09월 조업일지'!B633</f>
        <v>46288</v>
      </c>
      <c r="C635" s="1003" t="str">
        <f>'09월 에너지'!C635</f>
        <v>D</v>
      </c>
      <c r="D635" s="1004" t="str">
        <f>'09월 에너지'!D635</f>
        <v>A</v>
      </c>
      <c r="E635" s="1000">
        <f>'09월 에너지'!E635</f>
        <v>85835</v>
      </c>
      <c r="F635" s="1094" t="str">
        <f>'09월 에너지'!F635</f>
        <v>S355JO-01</v>
      </c>
      <c r="G635" s="980"/>
      <c r="H635" s="978"/>
      <c r="I635" s="978">
        <f>6000+4700</f>
        <v>10700</v>
      </c>
      <c r="J635" s="978"/>
      <c r="K635" s="978"/>
      <c r="L635" s="978"/>
      <c r="M635" s="978"/>
      <c r="N635" s="978"/>
      <c r="O635" s="1106">
        <f t="shared" si="125"/>
        <v>10700</v>
      </c>
      <c r="P635" s="1108">
        <f>200+5300+11900+16400+6200+9400</f>
        <v>49400</v>
      </c>
      <c r="Q635" s="979">
        <f>11600+5800</f>
        <v>17400</v>
      </c>
      <c r="R635" s="979">
        <v>9600</v>
      </c>
      <c r="S635" s="979"/>
      <c r="T635" s="979"/>
      <c r="U635" s="979"/>
      <c r="V635" s="979">
        <f>2300+5100+11200</f>
        <v>18600</v>
      </c>
      <c r="W635" s="979">
        <v>2900</v>
      </c>
      <c r="X635" s="979">
        <v>9900</v>
      </c>
      <c r="Y635" s="979">
        <f>3600+900+100</f>
        <v>4600</v>
      </c>
      <c r="Z635" s="979"/>
      <c r="AA635" s="979">
        <v>1900</v>
      </c>
      <c r="AB635" s="979">
        <v>2500</v>
      </c>
      <c r="AC635" s="979"/>
      <c r="AD635" s="979">
        <v>2800</v>
      </c>
      <c r="AE635" s="1109">
        <f t="shared" si="126"/>
        <v>119600</v>
      </c>
      <c r="AF635" s="1113">
        <v>4400</v>
      </c>
      <c r="AG635" s="981">
        <f>13900+4100</f>
        <v>18000</v>
      </c>
      <c r="AH635" s="981">
        <v>5800</v>
      </c>
      <c r="AI635" s="1114">
        <f t="shared" si="127"/>
        <v>28200</v>
      </c>
      <c r="AJ635" s="1110">
        <f t="shared" si="128"/>
        <v>158500</v>
      </c>
      <c r="AK635" s="982">
        <f>'09월 에너지'!S635</f>
        <v>143.1</v>
      </c>
      <c r="AL635" s="983">
        <f t="shared" si="129"/>
        <v>0.90283911671924288</v>
      </c>
    </row>
    <row r="636" spans="1:38" ht="16.5" customHeight="1">
      <c r="A636" s="999">
        <f>'09월 에너지'!A636</f>
        <v>46289</v>
      </c>
      <c r="B636" s="1002">
        <f>'09월 조업일지'!B634</f>
        <v>46288</v>
      </c>
      <c r="C636" s="1003" t="str">
        <f>'09월 에너지'!C636</f>
        <v>D</v>
      </c>
      <c r="D636" s="1004" t="str">
        <f>'09월 에너지'!D636</f>
        <v>B</v>
      </c>
      <c r="E636" s="1000">
        <f>'09월 에너지'!E636</f>
        <v>85836</v>
      </c>
      <c r="F636" s="1094" t="str">
        <f>'09월 에너지'!F636</f>
        <v>S355JO-01</v>
      </c>
      <c r="G636" s="980"/>
      <c r="H636" s="978"/>
      <c r="I636" s="978">
        <f>14100+5600</f>
        <v>19700</v>
      </c>
      <c r="J636" s="978"/>
      <c r="K636" s="978"/>
      <c r="L636" s="978"/>
      <c r="M636" s="978"/>
      <c r="N636" s="978"/>
      <c r="O636" s="1106">
        <f t="shared" si="125"/>
        <v>19700</v>
      </c>
      <c r="P636" s="1108">
        <f>4500+7100+12800+5900+7500+6400</f>
        <v>44200</v>
      </c>
      <c r="Q636" s="979">
        <f>9600+4700</f>
        <v>14300</v>
      </c>
      <c r="R636" s="979">
        <v>6700</v>
      </c>
      <c r="S636" s="979"/>
      <c r="T636" s="979"/>
      <c r="U636" s="979"/>
      <c r="V636" s="979">
        <f>5300+7500+9600</f>
        <v>22400</v>
      </c>
      <c r="W636" s="979">
        <v>3600</v>
      </c>
      <c r="X636" s="979">
        <v>9100</v>
      </c>
      <c r="Y636" s="979">
        <f>3100+3400+1000</f>
        <v>7500</v>
      </c>
      <c r="Z636" s="979"/>
      <c r="AA636" s="979">
        <v>1600</v>
      </c>
      <c r="AB636" s="979">
        <v>2800</v>
      </c>
      <c r="AC636" s="979"/>
      <c r="AD636" s="979">
        <v>2400</v>
      </c>
      <c r="AE636" s="1109">
        <f t="shared" si="126"/>
        <v>114600</v>
      </c>
      <c r="AF636" s="1113">
        <v>4500</v>
      </c>
      <c r="AG636" s="981">
        <f>3000+13600</f>
        <v>16600</v>
      </c>
      <c r="AH636" s="981">
        <v>3800</v>
      </c>
      <c r="AI636" s="1114">
        <f t="shared" si="127"/>
        <v>24900</v>
      </c>
      <c r="AJ636" s="1110">
        <f t="shared" si="128"/>
        <v>159200</v>
      </c>
      <c r="AK636" s="982">
        <f>'09월 에너지'!S636</f>
        <v>143.69999999999999</v>
      </c>
      <c r="AL636" s="983">
        <f t="shared" si="129"/>
        <v>0.90263819095477382</v>
      </c>
    </row>
    <row r="637" spans="1:38" ht="16.5" customHeight="1">
      <c r="A637" s="999">
        <f>'09월 에너지'!A637</f>
        <v>46289</v>
      </c>
      <c r="B637" s="1002">
        <f>'09월 조업일지'!B635</f>
        <v>46288</v>
      </c>
      <c r="C637" s="1003" t="str">
        <f>'09월 에너지'!C637</f>
        <v>D</v>
      </c>
      <c r="D637" s="1004" t="str">
        <f>'09월 에너지'!D637</f>
        <v>A</v>
      </c>
      <c r="E637" s="1000">
        <f>'09월 에너지'!E637</f>
        <v>85837</v>
      </c>
      <c r="F637" s="1094" t="str">
        <f>'09월 에너지'!F637</f>
        <v>S355JO-01</v>
      </c>
      <c r="G637" s="980"/>
      <c r="H637" s="978"/>
      <c r="I637" s="978">
        <f>4900+10000</f>
        <v>14900</v>
      </c>
      <c r="J637" s="978"/>
      <c r="K637" s="978"/>
      <c r="L637" s="978"/>
      <c r="M637" s="978"/>
      <c r="N637" s="978"/>
      <c r="O637" s="1106">
        <f t="shared" si="125"/>
        <v>14900</v>
      </c>
      <c r="P637" s="1108">
        <f>6500+6900+17100+6600+2200</f>
        <v>39300</v>
      </c>
      <c r="Q637" s="979">
        <f>17600+7100</f>
        <v>24700</v>
      </c>
      <c r="R637" s="979">
        <v>15700</v>
      </c>
      <c r="S637" s="979"/>
      <c r="T637" s="979"/>
      <c r="U637" s="979"/>
      <c r="V637" s="979">
        <f>6500+8900+11700</f>
        <v>27100</v>
      </c>
      <c r="W637" s="979">
        <v>0</v>
      </c>
      <c r="X637" s="979">
        <v>9200</v>
      </c>
      <c r="Y637" s="979">
        <f>1700+3800+1700</f>
        <v>7200</v>
      </c>
      <c r="Z637" s="979"/>
      <c r="AA637" s="979">
        <v>1100</v>
      </c>
      <c r="AB637" s="979">
        <v>500</v>
      </c>
      <c r="AC637" s="979"/>
      <c r="AD637" s="979">
        <v>4100</v>
      </c>
      <c r="AE637" s="1109">
        <f t="shared" si="126"/>
        <v>128900</v>
      </c>
      <c r="AF637" s="1113">
        <v>2400</v>
      </c>
      <c r="AG637" s="981">
        <f>2600+5300</f>
        <v>7900</v>
      </c>
      <c r="AH637" s="981">
        <v>4100</v>
      </c>
      <c r="AI637" s="1114">
        <f t="shared" si="127"/>
        <v>14400</v>
      </c>
      <c r="AJ637" s="1110">
        <f t="shared" si="128"/>
        <v>158200</v>
      </c>
      <c r="AK637" s="982">
        <f>'09월 에너지'!S637</f>
        <v>143.4</v>
      </c>
      <c r="AL637" s="983">
        <f t="shared" si="129"/>
        <v>0.90644753476611883</v>
      </c>
    </row>
    <row r="638" spans="1:38" ht="16.5" customHeight="1">
      <c r="A638" s="999">
        <f>'09월 에너지'!A638</f>
        <v>46289</v>
      </c>
      <c r="B638" s="1002">
        <f>'09월 조업일지'!B636</f>
        <v>46289</v>
      </c>
      <c r="C638" s="1003" t="str">
        <f>'09월 에너지'!C638</f>
        <v>B</v>
      </c>
      <c r="D638" s="1004" t="str">
        <f>'09월 에너지'!D638</f>
        <v>B</v>
      </c>
      <c r="E638" s="1000">
        <f>'09월 에너지'!E638</f>
        <v>85838</v>
      </c>
      <c r="F638" s="1094" t="str">
        <f>'09월 에너지'!F638</f>
        <v>S355JO-01</v>
      </c>
      <c r="G638" s="980"/>
      <c r="H638" s="978"/>
      <c r="I638" s="978">
        <f>12700+7200</f>
        <v>19900</v>
      </c>
      <c r="J638" s="978"/>
      <c r="K638" s="978"/>
      <c r="L638" s="978"/>
      <c r="M638" s="978"/>
      <c r="N638" s="978"/>
      <c r="O638" s="1106">
        <f t="shared" si="125"/>
        <v>19900</v>
      </c>
      <c r="P638" s="1108">
        <f>5600+7400+7500+10700+7000+5900</f>
        <v>44100</v>
      </c>
      <c r="Q638" s="979">
        <v>17000</v>
      </c>
      <c r="R638" s="979">
        <v>5900</v>
      </c>
      <c r="S638" s="979"/>
      <c r="T638" s="979"/>
      <c r="U638" s="979"/>
      <c r="V638" s="979">
        <v>23500</v>
      </c>
      <c r="W638" s="979">
        <v>3500</v>
      </c>
      <c r="X638" s="979">
        <v>8400</v>
      </c>
      <c r="Y638" s="979">
        <v>8000</v>
      </c>
      <c r="Z638" s="979"/>
      <c r="AA638" s="979">
        <v>2900</v>
      </c>
      <c r="AB638" s="979">
        <v>2300</v>
      </c>
      <c r="AC638" s="979"/>
      <c r="AD638" s="979">
        <v>4000</v>
      </c>
      <c r="AE638" s="1109">
        <f t="shared" si="126"/>
        <v>119600</v>
      </c>
      <c r="AF638" s="1113">
        <v>4500</v>
      </c>
      <c r="AG638" s="981">
        <v>11400</v>
      </c>
      <c r="AH638" s="981">
        <v>3700</v>
      </c>
      <c r="AI638" s="1114">
        <f t="shared" si="127"/>
        <v>19600</v>
      </c>
      <c r="AJ638" s="1110">
        <f t="shared" si="128"/>
        <v>159100</v>
      </c>
      <c r="AK638" s="982">
        <f>'09월 에너지'!S638</f>
        <v>145.1</v>
      </c>
      <c r="AL638" s="983">
        <f t="shared" si="129"/>
        <v>0.91200502828409802</v>
      </c>
    </row>
    <row r="639" spans="1:38" ht="16.5" customHeight="1">
      <c r="A639" s="999">
        <f>'09월 에너지'!A639</f>
        <v>46289</v>
      </c>
      <c r="B639" s="1002">
        <f>'09월 조업일지'!B637</f>
        <v>46289</v>
      </c>
      <c r="C639" s="1003" t="str">
        <f>'09월 에너지'!C639</f>
        <v>B</v>
      </c>
      <c r="D639" s="1004" t="str">
        <f>'09월 에너지'!D639</f>
        <v>A</v>
      </c>
      <c r="E639" s="1000">
        <f>'09월 에너지'!E639</f>
        <v>85839</v>
      </c>
      <c r="F639" s="1094" t="str">
        <f>'09월 에너지'!F639</f>
        <v>S355JO-01</v>
      </c>
      <c r="G639" s="980"/>
      <c r="H639" s="978"/>
      <c r="I639" s="978">
        <f>2100+6600</f>
        <v>8700</v>
      </c>
      <c r="J639" s="978"/>
      <c r="K639" s="978"/>
      <c r="L639" s="978"/>
      <c r="M639" s="978"/>
      <c r="N639" s="978"/>
      <c r="O639" s="1106">
        <f t="shared" si="125"/>
        <v>8700</v>
      </c>
      <c r="P639" s="1108">
        <f>7600+7100+6400+17300+6700+8400</f>
        <v>53500</v>
      </c>
      <c r="Q639" s="979">
        <f>7900+7200+7500</f>
        <v>22600</v>
      </c>
      <c r="R639" s="979">
        <v>9000</v>
      </c>
      <c r="S639" s="979"/>
      <c r="T639" s="979"/>
      <c r="U639" s="979"/>
      <c r="V639" s="979">
        <v>17800</v>
      </c>
      <c r="W639" s="979">
        <v>3000</v>
      </c>
      <c r="X639" s="979">
        <v>7900</v>
      </c>
      <c r="Y639" s="979">
        <v>7800</v>
      </c>
      <c r="Z639" s="979"/>
      <c r="AA639" s="979">
        <v>2900</v>
      </c>
      <c r="AB639" s="979">
        <v>3200</v>
      </c>
      <c r="AC639" s="979"/>
      <c r="AD639" s="979">
        <v>3400</v>
      </c>
      <c r="AE639" s="1109">
        <f t="shared" si="126"/>
        <v>131100</v>
      </c>
      <c r="AF639" s="1113">
        <v>4200</v>
      </c>
      <c r="AG639" s="981">
        <v>9700</v>
      </c>
      <c r="AH639" s="981">
        <v>6000</v>
      </c>
      <c r="AI639" s="1114">
        <f t="shared" si="127"/>
        <v>19900</v>
      </c>
      <c r="AJ639" s="1110">
        <f t="shared" si="128"/>
        <v>159700</v>
      </c>
      <c r="AK639" s="982">
        <f>'09월 에너지'!S639</f>
        <v>144.5</v>
      </c>
      <c r="AL639" s="983">
        <f t="shared" si="129"/>
        <v>0.90482154038822793</v>
      </c>
    </row>
    <row r="640" spans="1:38" ht="16.5" customHeight="1">
      <c r="A640" s="999">
        <f>'09월 에너지'!A640</f>
        <v>46289</v>
      </c>
      <c r="B640" s="1002">
        <f>'09월 조업일지'!B638</f>
        <v>46289</v>
      </c>
      <c r="C640" s="1003" t="str">
        <f>'09월 에너지'!C640</f>
        <v>B</v>
      </c>
      <c r="D640" s="1004" t="str">
        <f>'09월 에너지'!D640</f>
        <v>B</v>
      </c>
      <c r="E640" s="1000">
        <f>'09월 에너지'!E640</f>
        <v>85840</v>
      </c>
      <c r="F640" s="1094" t="str">
        <f>'09월 에너지'!F640</f>
        <v>S355JO-01</v>
      </c>
      <c r="G640" s="980"/>
      <c r="H640" s="978"/>
      <c r="I640" s="978">
        <f>13000+9300</f>
        <v>22300</v>
      </c>
      <c r="J640" s="978"/>
      <c r="K640" s="978"/>
      <c r="L640" s="978"/>
      <c r="M640" s="978"/>
      <c r="N640" s="978"/>
      <c r="O640" s="1106">
        <f t="shared" si="125"/>
        <v>22300</v>
      </c>
      <c r="P640" s="1108">
        <f>10100+8000+10800+6200+3300+6900</f>
        <v>45300</v>
      </c>
      <c r="Q640" s="979">
        <f>10900+8600</f>
        <v>19500</v>
      </c>
      <c r="R640" s="979">
        <v>5100</v>
      </c>
      <c r="S640" s="979"/>
      <c r="T640" s="979"/>
      <c r="U640" s="979"/>
      <c r="V640" s="979">
        <f>4200+5300+9300</f>
        <v>18800</v>
      </c>
      <c r="W640" s="979">
        <v>3200</v>
      </c>
      <c r="X640" s="979">
        <v>8800</v>
      </c>
      <c r="Y640" s="979">
        <v>8100</v>
      </c>
      <c r="Z640" s="979"/>
      <c r="AA640" s="979">
        <v>2100</v>
      </c>
      <c r="AB640" s="979">
        <v>2200</v>
      </c>
      <c r="AC640" s="979"/>
      <c r="AD640" s="979">
        <v>1800</v>
      </c>
      <c r="AE640" s="1109">
        <f t="shared" si="126"/>
        <v>114900</v>
      </c>
      <c r="AF640" s="1113">
        <v>4600</v>
      </c>
      <c r="AG640" s="981">
        <v>12600</v>
      </c>
      <c r="AH640" s="981">
        <v>4200</v>
      </c>
      <c r="AI640" s="1114">
        <f t="shared" si="127"/>
        <v>21400</v>
      </c>
      <c r="AJ640" s="1110">
        <f t="shared" si="128"/>
        <v>158600</v>
      </c>
      <c r="AK640" s="982">
        <f>'09월 에너지'!S640</f>
        <v>145.30000000000001</v>
      </c>
      <c r="AL640" s="983">
        <f t="shared" si="129"/>
        <v>0.91614123581336693</v>
      </c>
    </row>
    <row r="641" spans="1:38" ht="16.5" customHeight="1">
      <c r="A641" s="999">
        <f>'09월 에너지'!A641</f>
        <v>46289</v>
      </c>
      <c r="B641" s="1002">
        <f>'09월 조업일지'!B639</f>
        <v>46289</v>
      </c>
      <c r="C641" s="1003" t="str">
        <f>'09월 에너지'!C641</f>
        <v>B</v>
      </c>
      <c r="D641" s="1004" t="str">
        <f>'09월 에너지'!D641</f>
        <v>A</v>
      </c>
      <c r="E641" s="1000">
        <f>'09월 에너지'!E641</f>
        <v>85841</v>
      </c>
      <c r="F641" s="1094" t="str">
        <f>'09월 에너지'!F641</f>
        <v>S355JO-01</v>
      </c>
      <c r="G641" s="980"/>
      <c r="H641" s="978"/>
      <c r="I641" s="978">
        <f>3900+5200</f>
        <v>9100</v>
      </c>
      <c r="J641" s="978"/>
      <c r="K641" s="978"/>
      <c r="L641" s="978"/>
      <c r="M641" s="978"/>
      <c r="N641" s="978"/>
      <c r="O641" s="1106">
        <f t="shared" si="125"/>
        <v>9100</v>
      </c>
      <c r="P641" s="1108">
        <f>9100+9700+3900+18500+7200+100</f>
        <v>48500</v>
      </c>
      <c r="Q641" s="979">
        <f>14100+17300</f>
        <v>31400</v>
      </c>
      <c r="R641" s="979">
        <v>5100</v>
      </c>
      <c r="S641" s="979"/>
      <c r="T641" s="979"/>
      <c r="U641" s="979"/>
      <c r="V641" s="979">
        <f>5400+5800+9800</f>
        <v>21000</v>
      </c>
      <c r="W641" s="979">
        <v>4100</v>
      </c>
      <c r="X641" s="979">
        <v>7300</v>
      </c>
      <c r="Y641" s="979">
        <f>3400+1600+1400</f>
        <v>6400</v>
      </c>
      <c r="Z641" s="979"/>
      <c r="AA641" s="979">
        <v>3500</v>
      </c>
      <c r="AB641" s="979">
        <v>800</v>
      </c>
      <c r="AC641" s="979"/>
      <c r="AD641" s="979">
        <v>4000</v>
      </c>
      <c r="AE641" s="1109">
        <f t="shared" si="126"/>
        <v>132100</v>
      </c>
      <c r="AF641" s="1113">
        <v>3900</v>
      </c>
      <c r="AG641" s="981">
        <v>7600</v>
      </c>
      <c r="AH641" s="981">
        <v>5500</v>
      </c>
      <c r="AI641" s="1114">
        <f t="shared" si="127"/>
        <v>17000</v>
      </c>
      <c r="AJ641" s="1110">
        <f t="shared" si="128"/>
        <v>158200</v>
      </c>
      <c r="AK641" s="982">
        <f>'09월 에너지'!S641</f>
        <v>145.1</v>
      </c>
      <c r="AL641" s="983">
        <f t="shared" si="129"/>
        <v>0.9171934260429836</v>
      </c>
    </row>
    <row r="642" spans="1:38" ht="16.5" customHeight="1">
      <c r="A642" s="999">
        <f>'09월 에너지'!A642</f>
        <v>46289</v>
      </c>
      <c r="B642" s="1002">
        <f>'09월 조업일지'!B640</f>
        <v>46289</v>
      </c>
      <c r="C642" s="1003" t="str">
        <f>'09월 에너지'!C642</f>
        <v>B</v>
      </c>
      <c r="D642" s="1004" t="str">
        <f>'09월 에너지'!D642</f>
        <v>B</v>
      </c>
      <c r="E642" s="1000">
        <f>'09월 에너지'!E642</f>
        <v>85842</v>
      </c>
      <c r="F642" s="1094" t="str">
        <f>'09월 에너지'!F642</f>
        <v>S355JO-01</v>
      </c>
      <c r="G642" s="980"/>
      <c r="H642" s="978"/>
      <c r="I642" s="978">
        <f>5600+1400</f>
        <v>7000</v>
      </c>
      <c r="J642" s="978"/>
      <c r="K642" s="978"/>
      <c r="L642" s="978"/>
      <c r="M642" s="978"/>
      <c r="N642" s="978"/>
      <c r="O642" s="1106">
        <f t="shared" si="125"/>
        <v>7000</v>
      </c>
      <c r="P642" s="1108">
        <f>4600+4100+14200+12300+7100+2900</f>
        <v>45200</v>
      </c>
      <c r="Q642" s="979">
        <f>12000+5700</f>
        <v>17700</v>
      </c>
      <c r="R642" s="979">
        <v>3200</v>
      </c>
      <c r="S642" s="979"/>
      <c r="T642" s="979"/>
      <c r="U642" s="979"/>
      <c r="V642" s="979">
        <f>5900+13900+10800</f>
        <v>30600</v>
      </c>
      <c r="W642" s="979">
        <v>2000</v>
      </c>
      <c r="X642" s="979">
        <v>9100</v>
      </c>
      <c r="Y642" s="979">
        <f>1500+3700+2800</f>
        <v>8000</v>
      </c>
      <c r="Z642" s="979"/>
      <c r="AA642" s="979">
        <v>8600</v>
      </c>
      <c r="AB642" s="979">
        <v>3200</v>
      </c>
      <c r="AC642" s="979"/>
      <c r="AD642" s="979">
        <v>4100</v>
      </c>
      <c r="AE642" s="1109">
        <f t="shared" si="126"/>
        <v>131700</v>
      </c>
      <c r="AF642" s="1113">
        <v>1900</v>
      </c>
      <c r="AG642" s="981">
        <v>12600</v>
      </c>
      <c r="AH642" s="981">
        <v>5500</v>
      </c>
      <c r="AI642" s="1114">
        <f t="shared" si="127"/>
        <v>20000</v>
      </c>
      <c r="AJ642" s="1110">
        <f t="shared" si="128"/>
        <v>158700</v>
      </c>
      <c r="AK642" s="982">
        <f>'09월 에너지'!S642</f>
        <v>145.19999999999999</v>
      </c>
      <c r="AL642" s="983">
        <f t="shared" si="129"/>
        <v>0.9149338374291115</v>
      </c>
    </row>
    <row r="643" spans="1:38" ht="16.5" customHeight="1">
      <c r="A643" s="999">
        <f>'09월 에너지'!A643</f>
        <v>46289</v>
      </c>
      <c r="B643" s="1002">
        <f>'09월 조업일지'!B641</f>
        <v>46289</v>
      </c>
      <c r="C643" s="1003" t="str">
        <f>'09월 에너지'!C643</f>
        <v>B</v>
      </c>
      <c r="D643" s="1004" t="str">
        <f>'09월 에너지'!D643</f>
        <v>A</v>
      </c>
      <c r="E643" s="1000">
        <f>'09월 에너지'!E643</f>
        <v>85843</v>
      </c>
      <c r="F643" s="1094" t="str">
        <f>'09월 에너지'!F643</f>
        <v>S355JO-01</v>
      </c>
      <c r="G643" s="980"/>
      <c r="H643" s="978"/>
      <c r="I643" s="978">
        <f>7500+5800</f>
        <v>13300</v>
      </c>
      <c r="J643" s="978"/>
      <c r="K643" s="978"/>
      <c r="L643" s="978"/>
      <c r="M643" s="978"/>
      <c r="N643" s="978"/>
      <c r="O643" s="1106">
        <f t="shared" si="125"/>
        <v>13300</v>
      </c>
      <c r="P643" s="1108">
        <f>7500+9800+6100+12100+6200+3000-3900</f>
        <v>40800</v>
      </c>
      <c r="Q643" s="979">
        <f>12200+10800</f>
        <v>23000</v>
      </c>
      <c r="R643" s="979">
        <v>6000</v>
      </c>
      <c r="S643" s="979"/>
      <c r="T643" s="979"/>
      <c r="U643" s="979"/>
      <c r="V643" s="979">
        <f>9300+6500+9900</f>
        <v>25700</v>
      </c>
      <c r="W643" s="979">
        <v>2200</v>
      </c>
      <c r="X643" s="979">
        <v>9700</v>
      </c>
      <c r="Y643" s="979">
        <f>6600+1300+2900</f>
        <v>10800</v>
      </c>
      <c r="Z643" s="979"/>
      <c r="AA643" s="979">
        <v>2200</v>
      </c>
      <c r="AB643" s="979">
        <v>1100</v>
      </c>
      <c r="AC643" s="979"/>
      <c r="AD643" s="979">
        <v>2200</v>
      </c>
      <c r="AE643" s="1109">
        <f t="shared" si="126"/>
        <v>123700</v>
      </c>
      <c r="AF643" s="1113">
        <v>3400</v>
      </c>
      <c r="AG643" s="981">
        <f>5900+5800</f>
        <v>11700</v>
      </c>
      <c r="AH643" s="981">
        <v>6100</v>
      </c>
      <c r="AI643" s="1114">
        <f t="shared" si="127"/>
        <v>21200</v>
      </c>
      <c r="AJ643" s="1110">
        <f t="shared" si="128"/>
        <v>158200</v>
      </c>
      <c r="AK643" s="982">
        <f>'09월 에너지'!S643</f>
        <v>144.9</v>
      </c>
      <c r="AL643" s="983">
        <f t="shared" si="129"/>
        <v>0.91592920353982299</v>
      </c>
    </row>
    <row r="644" spans="1:38" ht="16.5" customHeight="1">
      <c r="A644" s="999">
        <f>'09월 에너지'!A644</f>
        <v>46289</v>
      </c>
      <c r="B644" s="1002">
        <f>'09월 조업일지'!B642</f>
        <v>46289</v>
      </c>
      <c r="C644" s="1003" t="str">
        <f>'09월 에너지'!C644</f>
        <v>B</v>
      </c>
      <c r="D644" s="1004" t="str">
        <f>'09월 에너지'!D644</f>
        <v>B</v>
      </c>
      <c r="E644" s="1000">
        <f>'09월 에너지'!E644</f>
        <v>85844</v>
      </c>
      <c r="F644" s="1094" t="str">
        <f>'09월 에너지'!F644</f>
        <v>S355JO-01</v>
      </c>
      <c r="G644" s="980"/>
      <c r="H644" s="978"/>
      <c r="I644" s="978">
        <f>2300+5600</f>
        <v>7900</v>
      </c>
      <c r="J644" s="978"/>
      <c r="K644" s="978"/>
      <c r="L644" s="978"/>
      <c r="M644" s="978"/>
      <c r="N644" s="978"/>
      <c r="O644" s="1106">
        <f t="shared" si="125"/>
        <v>7900</v>
      </c>
      <c r="P644" s="1108">
        <f>7700+14800+17200+5200+2400+6500</f>
        <v>53800</v>
      </c>
      <c r="Q644" s="979">
        <f>13600+7700</f>
        <v>21300</v>
      </c>
      <c r="R644" s="979">
        <v>2000</v>
      </c>
      <c r="S644" s="979"/>
      <c r="T644" s="979"/>
      <c r="U644" s="979"/>
      <c r="V644" s="979">
        <f>4000+10400+10500</f>
        <v>24900</v>
      </c>
      <c r="W644" s="979">
        <v>3700</v>
      </c>
      <c r="X644" s="979">
        <v>9100</v>
      </c>
      <c r="Y644" s="979">
        <f>3300+1400+2900</f>
        <v>7600</v>
      </c>
      <c r="Z644" s="979"/>
      <c r="AA644" s="979">
        <v>3800</v>
      </c>
      <c r="AB644" s="979">
        <v>4200</v>
      </c>
      <c r="AC644" s="979"/>
      <c r="AD644" s="979">
        <v>3700</v>
      </c>
      <c r="AE644" s="1109">
        <f t="shared" si="126"/>
        <v>134100</v>
      </c>
      <c r="AF644" s="1113">
        <v>2300</v>
      </c>
      <c r="AG644" s="981">
        <f>8300+2100</f>
        <v>10400</v>
      </c>
      <c r="AH644" s="981">
        <v>3600</v>
      </c>
      <c r="AI644" s="1114">
        <f t="shared" si="127"/>
        <v>16300</v>
      </c>
      <c r="AJ644" s="1110">
        <f t="shared" si="128"/>
        <v>158300</v>
      </c>
      <c r="AK644" s="982">
        <f>'09월 에너지'!S644</f>
        <v>144.4</v>
      </c>
      <c r="AL644" s="983">
        <f t="shared" si="129"/>
        <v>0.91219204042956414</v>
      </c>
    </row>
    <row r="645" spans="1:38" ht="16.5" customHeight="1">
      <c r="A645" s="999">
        <f>'09월 에너지'!A645</f>
        <v>46289</v>
      </c>
      <c r="B645" s="1002">
        <f>'09월 조업일지'!B643</f>
        <v>46289</v>
      </c>
      <c r="C645" s="1003" t="str">
        <f>'09월 에너지'!C645</f>
        <v>B</v>
      </c>
      <c r="D645" s="1004" t="str">
        <f>'09월 에너지'!D645</f>
        <v>A</v>
      </c>
      <c r="E645" s="1000">
        <f>'09월 에너지'!E645</f>
        <v>85845</v>
      </c>
      <c r="F645" s="1170" t="str">
        <f>'09월 에너지'!F645</f>
        <v>SS400-01</v>
      </c>
      <c r="G645" s="980"/>
      <c r="H645" s="978"/>
      <c r="I645" s="978">
        <v>9500</v>
      </c>
      <c r="J645" s="978"/>
      <c r="K645" s="978"/>
      <c r="L645" s="978"/>
      <c r="M645" s="978"/>
      <c r="N645" s="978"/>
      <c r="O645" s="1106">
        <f t="shared" ref="O645:O647" si="132">IF(SUM(G645:N645)=0,"",SUM(G645:N645))</f>
        <v>9500</v>
      </c>
      <c r="P645" s="1108">
        <f>7100+8000+5300+16800+6900+10200</f>
        <v>54300</v>
      </c>
      <c r="Q645" s="979">
        <f>12000+15700</f>
        <v>27700</v>
      </c>
      <c r="R645" s="979">
        <v>6500</v>
      </c>
      <c r="S645" s="979"/>
      <c r="T645" s="979"/>
      <c r="U645" s="979"/>
      <c r="V645" s="979">
        <v>23500</v>
      </c>
      <c r="W645" s="979">
        <v>1500</v>
      </c>
      <c r="X645" s="979">
        <v>9600</v>
      </c>
      <c r="Y645" s="979">
        <f>1600+1700</f>
        <v>3300</v>
      </c>
      <c r="Z645" s="979"/>
      <c r="AA645" s="979">
        <v>2000</v>
      </c>
      <c r="AB645" s="979">
        <v>1100</v>
      </c>
      <c r="AC645" s="979"/>
      <c r="AD645" s="979">
        <v>5700</v>
      </c>
      <c r="AE645" s="1109">
        <f t="shared" ref="AE645:AE647" si="133">IF(SUM(P645:AD645)=0,"",SUM(P645:AD645))</f>
        <v>135200</v>
      </c>
      <c r="AF645" s="1113">
        <v>3900</v>
      </c>
      <c r="AG645" s="981">
        <v>4500</v>
      </c>
      <c r="AH645" s="981">
        <v>4500</v>
      </c>
      <c r="AI645" s="1114">
        <f t="shared" ref="AI645:AI647" si="134">IF(SUM(AF645:AH645)=0,"",SUM(AF645:AH645))</f>
        <v>12900</v>
      </c>
      <c r="AJ645" s="1110">
        <f t="shared" si="128"/>
        <v>157600</v>
      </c>
      <c r="AK645" s="982">
        <f>'09월 에너지'!S645</f>
        <v>145.9</v>
      </c>
      <c r="AL645" s="983">
        <f t="shared" si="129"/>
        <v>0.925761421319797</v>
      </c>
    </row>
    <row r="646" spans="1:38" ht="16.5" customHeight="1">
      <c r="A646" s="999">
        <f>'09월 에너지'!A646</f>
        <v>46289</v>
      </c>
      <c r="B646" s="1002">
        <f>'09월 조업일지'!B644</f>
        <v>46289</v>
      </c>
      <c r="C646" s="1003" t="str">
        <f>'09월 에너지'!C646</f>
        <v>B</v>
      </c>
      <c r="D646" s="1004" t="str">
        <f>'09월 에너지'!D646</f>
        <v>B</v>
      </c>
      <c r="E646" s="1000">
        <f>'09월 에너지'!E646</f>
        <v>85846</v>
      </c>
      <c r="F646" s="1170" t="str">
        <f>'09월 에너지'!F646</f>
        <v>SY300</v>
      </c>
      <c r="G646" s="980"/>
      <c r="H646" s="978"/>
      <c r="I646" s="978">
        <f>11400+2500</f>
        <v>13900</v>
      </c>
      <c r="J646" s="978"/>
      <c r="K646" s="978"/>
      <c r="L646" s="978"/>
      <c r="M646" s="978"/>
      <c r="N646" s="978"/>
      <c r="O646" s="1106">
        <f t="shared" si="132"/>
        <v>13900</v>
      </c>
      <c r="P646" s="1108">
        <v>53200</v>
      </c>
      <c r="Q646" s="979">
        <f>14900+8500-600</f>
        <v>22800</v>
      </c>
      <c r="R646" s="979">
        <v>6500</v>
      </c>
      <c r="S646" s="979"/>
      <c r="T646" s="979"/>
      <c r="U646" s="979"/>
      <c r="V646" s="979">
        <f>18300+2300</f>
        <v>20600</v>
      </c>
      <c r="W646" s="979">
        <v>2300</v>
      </c>
      <c r="X646" s="979">
        <v>6400</v>
      </c>
      <c r="Y646" s="979">
        <f>1200+100</f>
        <v>1300</v>
      </c>
      <c r="Z646" s="979"/>
      <c r="AA646" s="979">
        <v>3600</v>
      </c>
      <c r="AB646" s="979">
        <v>4000</v>
      </c>
      <c r="AC646" s="979"/>
      <c r="AD646" s="979">
        <v>4800</v>
      </c>
      <c r="AE646" s="1109">
        <f t="shared" si="133"/>
        <v>125500</v>
      </c>
      <c r="AF646" s="1113">
        <v>1500</v>
      </c>
      <c r="AG646" s="981">
        <f>11400+2100</f>
        <v>13500</v>
      </c>
      <c r="AH646" s="981">
        <v>4900</v>
      </c>
      <c r="AI646" s="1114">
        <f t="shared" si="134"/>
        <v>19900</v>
      </c>
      <c r="AJ646" s="1110">
        <f t="shared" si="128"/>
        <v>159300</v>
      </c>
      <c r="AK646" s="982">
        <f>'09월 에너지'!S646</f>
        <v>143.5</v>
      </c>
      <c r="AL646" s="983">
        <f t="shared" si="129"/>
        <v>0.9008160703075957</v>
      </c>
    </row>
    <row r="647" spans="1:38" ht="16.5" customHeight="1">
      <c r="A647" s="999">
        <f>'09월 에너지'!A647</f>
        <v>46289</v>
      </c>
      <c r="B647" s="1002">
        <f>'09월 조업일지'!B645</f>
        <v>46289</v>
      </c>
      <c r="C647" s="1003" t="str">
        <f>'09월 에너지'!C647</f>
        <v>B</v>
      </c>
      <c r="D647" s="1004" t="str">
        <f>'09월 에너지'!D647</f>
        <v>A</v>
      </c>
      <c r="E647" s="1000">
        <f>'09월 에너지'!E647</f>
        <v>85847</v>
      </c>
      <c r="F647" s="1094" t="str">
        <f>'09월 에너지'!F647</f>
        <v>SY300</v>
      </c>
      <c r="G647" s="980"/>
      <c r="H647" s="978"/>
      <c r="I647" s="978">
        <v>5600</v>
      </c>
      <c r="J647" s="978"/>
      <c r="K647" s="978"/>
      <c r="L647" s="978"/>
      <c r="M647" s="978"/>
      <c r="N647" s="978"/>
      <c r="O647" s="1106">
        <f t="shared" si="132"/>
        <v>5600</v>
      </c>
      <c r="P647" s="1108">
        <v>55600</v>
      </c>
      <c r="Q647" s="979">
        <f>18700+4700</f>
        <v>23400</v>
      </c>
      <c r="R647" s="979">
        <v>3500</v>
      </c>
      <c r="S647" s="979"/>
      <c r="T647" s="979"/>
      <c r="U647" s="979"/>
      <c r="V647" s="979">
        <f>18600+4100</f>
        <v>22700</v>
      </c>
      <c r="W647" s="979">
        <v>3300</v>
      </c>
      <c r="X647" s="979">
        <v>7500</v>
      </c>
      <c r="Y647" s="979">
        <f>3500+2500+700+1900</f>
        <v>8600</v>
      </c>
      <c r="Z647" s="979"/>
      <c r="AA647" s="979">
        <v>2500</v>
      </c>
      <c r="AB647" s="979">
        <v>3300</v>
      </c>
      <c r="AC647" s="979"/>
      <c r="AD647" s="979">
        <v>2300</v>
      </c>
      <c r="AE647" s="1109">
        <f t="shared" si="133"/>
        <v>132700</v>
      </c>
      <c r="AF647" s="1113">
        <v>5300</v>
      </c>
      <c r="AG647" s="981">
        <f>8900+2800</f>
        <v>11700</v>
      </c>
      <c r="AH647" s="981">
        <v>3600</v>
      </c>
      <c r="AI647" s="1114">
        <f t="shared" si="134"/>
        <v>20600</v>
      </c>
      <c r="AJ647" s="1110">
        <f t="shared" si="128"/>
        <v>158900</v>
      </c>
      <c r="AK647" s="982">
        <f>'09월 에너지'!S647</f>
        <v>144.80000000000001</v>
      </c>
      <c r="AL647" s="983">
        <f t="shared" si="129"/>
        <v>0.91126494650723722</v>
      </c>
    </row>
    <row r="648" spans="1:38" ht="16.5" customHeight="1">
      <c r="A648" s="999">
        <f>'09월 에너지'!A648</f>
        <v>46289</v>
      </c>
      <c r="B648" s="1002">
        <f>'09월 조업일지'!B646</f>
        <v>46289</v>
      </c>
      <c r="C648" s="1003" t="str">
        <f>'09월 에너지'!C648</f>
        <v>C</v>
      </c>
      <c r="D648" s="1004" t="str">
        <f>'09월 에너지'!D648</f>
        <v>B</v>
      </c>
      <c r="E648" s="1000">
        <f>'09월 에너지'!E648</f>
        <v>85848</v>
      </c>
      <c r="F648" s="1170" t="str">
        <f>'09월 에너지'!F648</f>
        <v>S355JO-01</v>
      </c>
      <c r="G648" s="980"/>
      <c r="H648" s="978"/>
      <c r="I648" s="978">
        <f>5800+8400</f>
        <v>14200</v>
      </c>
      <c r="J648" s="978"/>
      <c r="K648" s="978"/>
      <c r="L648" s="978"/>
      <c r="M648" s="978"/>
      <c r="N648" s="978"/>
      <c r="O648" s="1106">
        <f t="shared" si="125"/>
        <v>14200</v>
      </c>
      <c r="P648" s="1108">
        <f>2900+2900+12800+16200+5500+3500</f>
        <v>43800</v>
      </c>
      <c r="Q648" s="979">
        <f>14800+7000</f>
        <v>21800</v>
      </c>
      <c r="R648" s="979">
        <v>5500</v>
      </c>
      <c r="S648" s="979"/>
      <c r="T648" s="979"/>
      <c r="U648" s="979"/>
      <c r="V648" s="979">
        <f>3100+6800+10500</f>
        <v>20400</v>
      </c>
      <c r="W648" s="979">
        <v>2400</v>
      </c>
      <c r="X648" s="979">
        <v>10700</v>
      </c>
      <c r="Y648" s="979">
        <f>3000+1700+3700</f>
        <v>8400</v>
      </c>
      <c r="Z648" s="979"/>
      <c r="AA648" s="979">
        <v>4200</v>
      </c>
      <c r="AB648" s="979">
        <v>2800</v>
      </c>
      <c r="AC648" s="979"/>
      <c r="AD648" s="979">
        <v>6800</v>
      </c>
      <c r="AE648" s="1109">
        <f t="shared" si="126"/>
        <v>126800</v>
      </c>
      <c r="AF648" s="1113">
        <v>1800</v>
      </c>
      <c r="AG648" s="981">
        <f>11100+1800</f>
        <v>12900</v>
      </c>
      <c r="AH648" s="981">
        <v>2800</v>
      </c>
      <c r="AI648" s="1114">
        <f t="shared" si="127"/>
        <v>17500</v>
      </c>
      <c r="AJ648" s="1110">
        <f t="shared" si="128"/>
        <v>158500</v>
      </c>
      <c r="AK648" s="982">
        <f>'09월 에너지'!S648</f>
        <v>142.9</v>
      </c>
      <c r="AL648" s="983">
        <f t="shared" si="129"/>
        <v>0.90157728706624607</v>
      </c>
    </row>
    <row r="649" spans="1:38" ht="16.5" customHeight="1">
      <c r="A649" s="999">
        <f>'09월 에너지'!A649</f>
        <v>46289</v>
      </c>
      <c r="B649" s="1002">
        <f>'09월 조업일지'!B647</f>
        <v>46289</v>
      </c>
      <c r="C649" s="1003" t="str">
        <f>'09월 에너지'!C649</f>
        <v>C</v>
      </c>
      <c r="D649" s="1004" t="str">
        <f>'09월 에너지'!D649</f>
        <v>A</v>
      </c>
      <c r="E649" s="1000">
        <f>'09월 에너지'!E649</f>
        <v>85849</v>
      </c>
      <c r="F649" s="1094" t="str">
        <f>'09월 에너지'!F649</f>
        <v>S355JO-01</v>
      </c>
      <c r="G649" s="980"/>
      <c r="H649" s="978"/>
      <c r="I649" s="978">
        <f>5000+2100</f>
        <v>7100</v>
      </c>
      <c r="J649" s="978"/>
      <c r="K649" s="978"/>
      <c r="L649" s="978"/>
      <c r="M649" s="978"/>
      <c r="N649" s="978"/>
      <c r="O649" s="1106">
        <f t="shared" si="125"/>
        <v>7100</v>
      </c>
      <c r="P649" s="1108">
        <f>200+9400+10300+18400+6600+1400</f>
        <v>46300</v>
      </c>
      <c r="Q649" s="979">
        <f>7600+11000</f>
        <v>18600</v>
      </c>
      <c r="R649" s="979">
        <v>4100</v>
      </c>
      <c r="S649" s="979"/>
      <c r="T649" s="979"/>
      <c r="U649" s="979"/>
      <c r="V649" s="979">
        <f>3900+1400+9300</f>
        <v>14600</v>
      </c>
      <c r="W649" s="979">
        <v>2000</v>
      </c>
      <c r="X649" s="979">
        <v>9200</v>
      </c>
      <c r="Y649" s="979">
        <f>7400+3700+1400</f>
        <v>12500</v>
      </c>
      <c r="Z649" s="979"/>
      <c r="AA649" s="979"/>
      <c r="AB649" s="979"/>
      <c r="AC649" s="979"/>
      <c r="AD649" s="979">
        <v>10800</v>
      </c>
      <c r="AE649" s="1109">
        <f t="shared" si="126"/>
        <v>118100</v>
      </c>
      <c r="AF649" s="1113">
        <v>5100</v>
      </c>
      <c r="AG649" s="981">
        <f>6600+10100</f>
        <v>16700</v>
      </c>
      <c r="AH649" s="981">
        <v>12100</v>
      </c>
      <c r="AI649" s="1114">
        <f t="shared" si="127"/>
        <v>33900</v>
      </c>
      <c r="AJ649" s="1110">
        <f t="shared" si="128"/>
        <v>159100</v>
      </c>
      <c r="AK649" s="982">
        <f>'09월 에너지'!S649</f>
        <v>144.5</v>
      </c>
      <c r="AL649" s="983">
        <f t="shared" si="129"/>
        <v>0.90823381521055935</v>
      </c>
    </row>
    <row r="650" spans="1:38" ht="16.5" customHeight="1">
      <c r="A650" s="999">
        <f>'09월 에너지'!A650</f>
        <v>46289</v>
      </c>
      <c r="B650" s="1002">
        <f>'09월 조업일지'!B648</f>
        <v>46289</v>
      </c>
      <c r="C650" s="1003" t="str">
        <f>'09월 에너지'!C650</f>
        <v>C</v>
      </c>
      <c r="D650" s="1004" t="str">
        <f>'09월 에너지'!D650</f>
        <v>B</v>
      </c>
      <c r="E650" s="1000">
        <f>'09월 에너지'!E650</f>
        <v>85850</v>
      </c>
      <c r="F650" s="1094" t="str">
        <f>'09월 에너지'!F650</f>
        <v>S355JO-01</v>
      </c>
      <c r="G650" s="980"/>
      <c r="H650" s="978"/>
      <c r="I650" s="978">
        <f>11300+8600</f>
        <v>19900</v>
      </c>
      <c r="J650" s="978"/>
      <c r="K650" s="978"/>
      <c r="L650" s="978"/>
      <c r="M650" s="978"/>
      <c r="N650" s="978"/>
      <c r="O650" s="1106">
        <f t="shared" si="125"/>
        <v>19900</v>
      </c>
      <c r="P650" s="1108">
        <f>5300+8400+8200+18400+5900+2200</f>
        <v>48400</v>
      </c>
      <c r="Q650" s="979">
        <f>13800+7300</f>
        <v>21100</v>
      </c>
      <c r="R650" s="979">
        <v>3000</v>
      </c>
      <c r="S650" s="979"/>
      <c r="T650" s="979"/>
      <c r="U650" s="979"/>
      <c r="V650" s="979">
        <f>1400+5700+10200</f>
        <v>17300</v>
      </c>
      <c r="W650" s="979">
        <v>3200</v>
      </c>
      <c r="X650" s="979">
        <v>9600</v>
      </c>
      <c r="Y650" s="979">
        <f>3600+1400+2100</f>
        <v>7100</v>
      </c>
      <c r="Z650" s="979"/>
      <c r="AA650" s="979">
        <v>3200</v>
      </c>
      <c r="AB650" s="979">
        <v>3900</v>
      </c>
      <c r="AC650" s="979"/>
      <c r="AD650" s="979">
        <v>3400</v>
      </c>
      <c r="AE650" s="1109">
        <f t="shared" si="126"/>
        <v>120200</v>
      </c>
      <c r="AF650" s="1113">
        <v>2800</v>
      </c>
      <c r="AG650" s="981">
        <f>6800+4900</f>
        <v>11700</v>
      </c>
      <c r="AH650" s="981">
        <v>3800</v>
      </c>
      <c r="AI650" s="1114">
        <f t="shared" si="127"/>
        <v>18300</v>
      </c>
      <c r="AJ650" s="1110">
        <f t="shared" si="128"/>
        <v>158400</v>
      </c>
      <c r="AK650" s="982">
        <f>'09월 에너지'!S650</f>
        <v>144.9</v>
      </c>
      <c r="AL650" s="983">
        <f t="shared" si="129"/>
        <v>0.91477272727272729</v>
      </c>
    </row>
    <row r="651" spans="1:38" ht="16.5" customHeight="1">
      <c r="A651" s="999">
        <f>'09월 에너지'!A651</f>
        <v>46289</v>
      </c>
      <c r="B651" s="1002">
        <f>'09월 조업일지'!B649</f>
        <v>46289</v>
      </c>
      <c r="C651" s="1003" t="str">
        <f>'09월 에너지'!C651</f>
        <v>C</v>
      </c>
      <c r="D651" s="1004" t="str">
        <f>'09월 에너지'!D651</f>
        <v>A</v>
      </c>
      <c r="E651" s="1000">
        <f>'09월 에너지'!E651</f>
        <v>85851</v>
      </c>
      <c r="F651" s="1094" t="str">
        <f>'09월 에너지'!F651</f>
        <v>S355JO-01</v>
      </c>
      <c r="G651" s="980"/>
      <c r="H651" s="978"/>
      <c r="I651" s="978">
        <v>3000</v>
      </c>
      <c r="J651" s="978"/>
      <c r="K651" s="978"/>
      <c r="L651" s="978"/>
      <c r="M651" s="978"/>
      <c r="N651" s="978"/>
      <c r="O651" s="1106">
        <f t="shared" si="125"/>
        <v>3000</v>
      </c>
      <c r="P651" s="1108">
        <f>4000+13900+9300+11500+6100+15100</f>
        <v>59900</v>
      </c>
      <c r="Q651" s="979">
        <f>8500+5100</f>
        <v>13600</v>
      </c>
      <c r="R651" s="979">
        <v>18300</v>
      </c>
      <c r="S651" s="979"/>
      <c r="T651" s="979"/>
      <c r="U651" s="979"/>
      <c r="V651" s="979">
        <f>2100+3000+9800</f>
        <v>14900</v>
      </c>
      <c r="W651" s="979">
        <v>3200</v>
      </c>
      <c r="X651" s="979">
        <v>9000</v>
      </c>
      <c r="Y651" s="979">
        <f>3000+1800</f>
        <v>4800</v>
      </c>
      <c r="Z651" s="979"/>
      <c r="AA651" s="979">
        <v>1300</v>
      </c>
      <c r="AB651" s="979">
        <v>2500</v>
      </c>
      <c r="AC651" s="979"/>
      <c r="AD651" s="979">
        <v>6500</v>
      </c>
      <c r="AE651" s="1109">
        <f t="shared" si="126"/>
        <v>134000</v>
      </c>
      <c r="AF651" s="1113">
        <v>3900</v>
      </c>
      <c r="AG651" s="981">
        <f>8300+5300</f>
        <v>13600</v>
      </c>
      <c r="AH651" s="981">
        <v>3600</v>
      </c>
      <c r="AI651" s="1114">
        <f t="shared" si="127"/>
        <v>21100</v>
      </c>
      <c r="AJ651" s="1110">
        <f t="shared" si="128"/>
        <v>158100</v>
      </c>
      <c r="AK651" s="982">
        <f>'09월 에너지'!S651</f>
        <v>144.6</v>
      </c>
      <c r="AL651" s="983">
        <f t="shared" si="129"/>
        <v>0.91461100569259957</v>
      </c>
    </row>
    <row r="652" spans="1:38" ht="16.5" customHeight="1">
      <c r="A652" s="999">
        <f>'09월 에너지'!A652</f>
        <v>46289</v>
      </c>
      <c r="B652" s="1002">
        <f>'09월 조업일지'!B650</f>
        <v>46289</v>
      </c>
      <c r="C652" s="1003" t="str">
        <f>'09월 에너지'!C652</f>
        <v>C</v>
      </c>
      <c r="D652" s="1004" t="str">
        <f>'09월 에너지'!D652</f>
        <v>B</v>
      </c>
      <c r="E652" s="1000">
        <f>'09월 에너지'!E652</f>
        <v>85852</v>
      </c>
      <c r="F652" s="1094" t="str">
        <f>'09월 에너지'!F652</f>
        <v>S355JO-01</v>
      </c>
      <c r="G652" s="980"/>
      <c r="H652" s="978"/>
      <c r="I652" s="978">
        <f>8100+7300</f>
        <v>15400</v>
      </c>
      <c r="J652" s="978"/>
      <c r="K652" s="978"/>
      <c r="L652" s="978"/>
      <c r="M652" s="978"/>
      <c r="N652" s="978"/>
      <c r="O652" s="1106">
        <f t="shared" si="125"/>
        <v>15400</v>
      </c>
      <c r="P652" s="1108">
        <f>8800+7000+10200+12500+6800+7400</f>
        <v>52700</v>
      </c>
      <c r="Q652" s="979">
        <f>9900+6700</f>
        <v>16600</v>
      </c>
      <c r="R652" s="979">
        <v>14900</v>
      </c>
      <c r="S652" s="979"/>
      <c r="T652" s="979"/>
      <c r="U652" s="979"/>
      <c r="V652" s="979">
        <f>800+2200+9000</f>
        <v>12000</v>
      </c>
      <c r="W652" s="979">
        <v>2900</v>
      </c>
      <c r="X652" s="979">
        <v>9900</v>
      </c>
      <c r="Y652" s="979">
        <f>3100+800+2700</f>
        <v>6600</v>
      </c>
      <c r="Z652" s="979"/>
      <c r="AA652" s="979">
        <v>2600</v>
      </c>
      <c r="AB652" s="979">
        <v>1500</v>
      </c>
      <c r="AC652" s="979"/>
      <c r="AD652" s="979">
        <v>3300</v>
      </c>
      <c r="AE652" s="1109">
        <f t="shared" si="126"/>
        <v>123000</v>
      </c>
      <c r="AF652" s="1113">
        <v>4600</v>
      </c>
      <c r="AG652" s="981">
        <f>8500+4700</f>
        <v>13200</v>
      </c>
      <c r="AH652" s="981">
        <v>2900</v>
      </c>
      <c r="AI652" s="1114">
        <f t="shared" si="127"/>
        <v>20700</v>
      </c>
      <c r="AJ652" s="1110">
        <f t="shared" si="128"/>
        <v>159100</v>
      </c>
      <c r="AK652" s="982">
        <f>'09월 에너지'!S652</f>
        <v>145.69999999999999</v>
      </c>
      <c r="AL652" s="983">
        <f t="shared" si="129"/>
        <v>0.91577624135763669</v>
      </c>
    </row>
    <row r="653" spans="1:38" ht="16.5" customHeight="1">
      <c r="A653" s="999">
        <f>'09월 에너지'!A653</f>
        <v>46289</v>
      </c>
      <c r="B653" s="1002">
        <f>'09월 조업일지'!B651</f>
        <v>46289</v>
      </c>
      <c r="C653" s="1003" t="str">
        <f>'09월 에너지'!C653</f>
        <v>C</v>
      </c>
      <c r="D653" s="1004" t="str">
        <f>'09월 에너지'!D653</f>
        <v>A</v>
      </c>
      <c r="E653" s="1000">
        <f>'09월 에너지'!E653</f>
        <v>85853</v>
      </c>
      <c r="F653" s="1094" t="str">
        <f>'09월 에너지'!F653</f>
        <v>S355JO-01</v>
      </c>
      <c r="G653" s="980"/>
      <c r="H653" s="978"/>
      <c r="I653" s="978">
        <f>4200+9200</f>
        <v>13400</v>
      </c>
      <c r="J653" s="978"/>
      <c r="K653" s="978"/>
      <c r="L653" s="978"/>
      <c r="M653" s="978"/>
      <c r="N653" s="978"/>
      <c r="O653" s="1106">
        <f t="shared" si="125"/>
        <v>13400</v>
      </c>
      <c r="P653" s="1108">
        <f>8200+1900+12900+13800+6500+1700</f>
        <v>45000</v>
      </c>
      <c r="Q653" s="979">
        <f>11000+7100</f>
        <v>18100</v>
      </c>
      <c r="R653" s="979">
        <v>7800</v>
      </c>
      <c r="S653" s="979"/>
      <c r="T653" s="979"/>
      <c r="U653" s="979"/>
      <c r="V653" s="979">
        <f>500+9400+8600</f>
        <v>18500</v>
      </c>
      <c r="W653" s="979">
        <v>1400</v>
      </c>
      <c r="X653" s="979">
        <v>10700</v>
      </c>
      <c r="Y653" s="979">
        <f>8400+3000</f>
        <v>11400</v>
      </c>
      <c r="Z653" s="979"/>
      <c r="AA653" s="979">
        <v>2200</v>
      </c>
      <c r="AB653" s="979">
        <v>6000</v>
      </c>
      <c r="AC653" s="979"/>
      <c r="AD653" s="979">
        <v>300</v>
      </c>
      <c r="AE653" s="1109">
        <f t="shared" si="126"/>
        <v>121400</v>
      </c>
      <c r="AF653" s="1113">
        <v>4000</v>
      </c>
      <c r="AG653" s="981">
        <f>6200+2200</f>
        <v>8400</v>
      </c>
      <c r="AH653" s="981">
        <v>12600</v>
      </c>
      <c r="AI653" s="1114">
        <f t="shared" si="127"/>
        <v>25000</v>
      </c>
      <c r="AJ653" s="1110">
        <f t="shared" si="128"/>
        <v>159800</v>
      </c>
      <c r="AK653" s="982">
        <f>'09월 에너지'!S653</f>
        <v>144.80000000000001</v>
      </c>
      <c r="AL653" s="983">
        <f t="shared" si="129"/>
        <v>0.90613266583229035</v>
      </c>
    </row>
    <row r="654" spans="1:38" ht="16.5" customHeight="1">
      <c r="A654" s="999">
        <f>'09월 에너지'!A654</f>
        <v>46289</v>
      </c>
      <c r="B654" s="1002">
        <f>'09월 조업일지'!B652</f>
        <v>46289</v>
      </c>
      <c r="C654" s="1003" t="str">
        <f>'09월 에너지'!C654</f>
        <v>C</v>
      </c>
      <c r="D654" s="1004" t="str">
        <f>'09월 에너지'!D654</f>
        <v>B</v>
      </c>
      <c r="E654" s="1000">
        <f>'09월 에너지'!E654</f>
        <v>85854</v>
      </c>
      <c r="F654" s="1094" t="str">
        <f>'09월 에너지'!F654</f>
        <v>S355JO-01</v>
      </c>
      <c r="G654" s="980"/>
      <c r="H654" s="978"/>
      <c r="I654" s="978">
        <f>10500+8800</f>
        <v>19300</v>
      </c>
      <c r="J654" s="978"/>
      <c r="K654" s="978"/>
      <c r="L654" s="978"/>
      <c r="M654" s="978"/>
      <c r="N654" s="978"/>
      <c r="O654" s="1106">
        <f t="shared" si="125"/>
        <v>19300</v>
      </c>
      <c r="P654" s="1108">
        <f>2100+6300+11400+10200+5600+4800</f>
        <v>40400</v>
      </c>
      <c r="Q654" s="979">
        <f>7900+7800</f>
        <v>15700</v>
      </c>
      <c r="R654" s="979">
        <v>14600</v>
      </c>
      <c r="S654" s="979"/>
      <c r="T654" s="979"/>
      <c r="U654" s="979"/>
      <c r="V654" s="979">
        <f>4400+5100+8400</f>
        <v>17900</v>
      </c>
      <c r="W654" s="979">
        <v>2700</v>
      </c>
      <c r="X654" s="979">
        <v>10300</v>
      </c>
      <c r="Y654" s="979">
        <f>3100+900+1900</f>
        <v>5900</v>
      </c>
      <c r="Z654" s="979"/>
      <c r="AA654" s="979">
        <v>100</v>
      </c>
      <c r="AB654" s="979">
        <v>4800</v>
      </c>
      <c r="AC654" s="979"/>
      <c r="AD654" s="979">
        <v>3500</v>
      </c>
      <c r="AE654" s="1109">
        <f t="shared" si="126"/>
        <v>115900</v>
      </c>
      <c r="AF654" s="1113">
        <v>5200</v>
      </c>
      <c r="AG654" s="981">
        <f>11200+2100</f>
        <v>13300</v>
      </c>
      <c r="AH654" s="981">
        <v>4900</v>
      </c>
      <c r="AI654" s="1114">
        <f t="shared" si="127"/>
        <v>23400</v>
      </c>
      <c r="AJ654" s="1110">
        <f t="shared" si="128"/>
        <v>158600</v>
      </c>
      <c r="AK654" s="982">
        <f>'09월 에너지'!S654</f>
        <v>143.4</v>
      </c>
      <c r="AL654" s="983">
        <f t="shared" si="129"/>
        <v>0.90416141235813363</v>
      </c>
    </row>
    <row r="655" spans="1:38" ht="16.5" customHeight="1">
      <c r="A655" s="999">
        <f>'09월 에너지'!A655</f>
        <v>46289</v>
      </c>
      <c r="B655" s="1002">
        <f>'09월 조업일지'!B653</f>
        <v>46289</v>
      </c>
      <c r="C655" s="1003" t="str">
        <f>'09월 에너지'!C655</f>
        <v>C</v>
      </c>
      <c r="D655" s="1004" t="str">
        <f>'09월 에너지'!D655</f>
        <v>A</v>
      </c>
      <c r="E655" s="1000">
        <f>'09월 에너지'!E655</f>
        <v>85855</v>
      </c>
      <c r="F655" s="1094" t="str">
        <f>'09월 에너지'!F655</f>
        <v>S355JO-01</v>
      </c>
      <c r="G655" s="980"/>
      <c r="H655" s="978"/>
      <c r="I655" s="978">
        <f>3600+2500</f>
        <v>6100</v>
      </c>
      <c r="J655" s="978"/>
      <c r="K655" s="978"/>
      <c r="L655" s="978"/>
      <c r="M655" s="978"/>
      <c r="N655" s="978"/>
      <c r="O655" s="1106">
        <f t="shared" ref="O655:O718" si="135">IF(SUM(G655:N655)=0,"",SUM(G655:N655))</f>
        <v>6100</v>
      </c>
      <c r="P655" s="1108">
        <f>9900+11000+7900+13600+6100+1800</f>
        <v>50300</v>
      </c>
      <c r="Q655" s="979">
        <f>6300+5000</f>
        <v>11300</v>
      </c>
      <c r="R655" s="979">
        <v>5000</v>
      </c>
      <c r="S655" s="979"/>
      <c r="T655" s="979"/>
      <c r="U655" s="979"/>
      <c r="V655" s="979">
        <f>4500+12100+9400</f>
        <v>26000</v>
      </c>
      <c r="W655" s="979">
        <v>4600</v>
      </c>
      <c r="X655" s="979">
        <v>8500</v>
      </c>
      <c r="Y655" s="979">
        <f>2400+1300+2500</f>
        <v>6200</v>
      </c>
      <c r="Z655" s="979"/>
      <c r="AA655" s="979">
        <v>4100</v>
      </c>
      <c r="AB655" s="979">
        <v>12000</v>
      </c>
      <c r="AC655" s="979"/>
      <c r="AD655" s="979">
        <v>2900</v>
      </c>
      <c r="AE655" s="1109">
        <f t="shared" ref="AE655:AE718" si="136">IF(SUM(P655:AD655)=0,"",SUM(P655:AD655))</f>
        <v>130900</v>
      </c>
      <c r="AF655" s="1113">
        <v>4000</v>
      </c>
      <c r="AG655" s="981">
        <f>7800+6700</f>
        <v>14500</v>
      </c>
      <c r="AH655" s="981">
        <v>3700</v>
      </c>
      <c r="AI655" s="1114">
        <f t="shared" ref="AI655:AI718" si="137">IF(SUM(AF655:AH655)=0,"",SUM(AF655:AH655))</f>
        <v>22200</v>
      </c>
      <c r="AJ655" s="1110">
        <f t="shared" ref="AJ655:AJ718" si="138">IF(SUM(O655,AE655,AI655)=0,"",SUM(O655,AE655,AI655))</f>
        <v>159200</v>
      </c>
      <c r="AK655" s="982">
        <f>'09월 에너지'!S655</f>
        <v>143</v>
      </c>
      <c r="AL655" s="983">
        <f t="shared" ref="AL655:AL718" si="139">IF(ISERROR(IF(AK655="","",(AK655*1000)/AJ655)),0,(IF(AK655="","",(AK655*1000)/AJ655)))</f>
        <v>0.89824120603015079</v>
      </c>
    </row>
    <row r="656" spans="1:38" ht="16.5" customHeight="1">
      <c r="A656" s="999">
        <f>'09월 에너지'!A656</f>
        <v>46289</v>
      </c>
      <c r="B656" s="1002">
        <f>'09월 조업일지'!B654</f>
        <v>46289</v>
      </c>
      <c r="C656" s="1003" t="str">
        <f>'09월 에너지'!C656</f>
        <v>C</v>
      </c>
      <c r="D656" s="1004" t="str">
        <f>'09월 에너지'!D656</f>
        <v>B</v>
      </c>
      <c r="E656" s="1000">
        <f>'09월 에너지'!E656</f>
        <v>85856</v>
      </c>
      <c r="F656" s="1094" t="str">
        <f>'09월 에너지'!F656</f>
        <v>S355JO-01</v>
      </c>
      <c r="G656" s="980"/>
      <c r="H656" s="978"/>
      <c r="I656" s="978">
        <f>10300+3100</f>
        <v>13400</v>
      </c>
      <c r="J656" s="978"/>
      <c r="K656" s="978"/>
      <c r="L656" s="978"/>
      <c r="M656" s="978"/>
      <c r="N656" s="978"/>
      <c r="O656" s="1106">
        <f t="shared" si="135"/>
        <v>13400</v>
      </c>
      <c r="P656" s="1108">
        <f>6300+9600+7200+8600+6000+2200</f>
        <v>39900</v>
      </c>
      <c r="Q656" s="979">
        <f>10100+9200</f>
        <v>19300</v>
      </c>
      <c r="R656" s="979">
        <v>7700</v>
      </c>
      <c r="S656" s="979"/>
      <c r="T656" s="979"/>
      <c r="U656" s="979"/>
      <c r="V656" s="979">
        <f>7200+8200+9100</f>
        <v>24500</v>
      </c>
      <c r="W656" s="979">
        <v>2800</v>
      </c>
      <c r="X656" s="979">
        <v>10400</v>
      </c>
      <c r="Y656" s="979">
        <f>1300+2300+3500</f>
        <v>7100</v>
      </c>
      <c r="Z656" s="979"/>
      <c r="AA656" s="979">
        <v>2200</v>
      </c>
      <c r="AB656" s="979">
        <v>1300</v>
      </c>
      <c r="AC656" s="979"/>
      <c r="AD656" s="979">
        <v>3000</v>
      </c>
      <c r="AE656" s="1109">
        <f t="shared" si="136"/>
        <v>118200</v>
      </c>
      <c r="AF656" s="1113">
        <v>3800</v>
      </c>
      <c r="AG656" s="981">
        <f>13800+3800</f>
        <v>17600</v>
      </c>
      <c r="AH656" s="981">
        <v>5200</v>
      </c>
      <c r="AI656" s="1114">
        <f t="shared" si="137"/>
        <v>26600</v>
      </c>
      <c r="AJ656" s="1110">
        <f t="shared" si="138"/>
        <v>158200</v>
      </c>
      <c r="AK656" s="982">
        <f>'09월 에너지'!S656</f>
        <v>144.4</v>
      </c>
      <c r="AL656" s="983">
        <f t="shared" si="139"/>
        <v>0.91276864728192164</v>
      </c>
    </row>
    <row r="657" spans="1:38" ht="16.5" customHeight="1">
      <c r="A657" s="999">
        <f>'09월 에너지'!A657</f>
        <v>46289</v>
      </c>
      <c r="B657" s="1002">
        <f>'09월 조업일지'!B655</f>
        <v>46289</v>
      </c>
      <c r="C657" s="1003" t="str">
        <f>'09월 에너지'!C657</f>
        <v>C</v>
      </c>
      <c r="D657" s="1004" t="str">
        <f>'09월 에너지'!D657</f>
        <v>A</v>
      </c>
      <c r="E657" s="1000">
        <f>'09월 에너지'!E657</f>
        <v>85857</v>
      </c>
      <c r="F657" s="1094" t="str">
        <f>'09월 에너지'!F657</f>
        <v>S355JO-01</v>
      </c>
      <c r="G657" s="980"/>
      <c r="H657" s="978"/>
      <c r="I657" s="978">
        <f>9800+6500</f>
        <v>16300</v>
      </c>
      <c r="J657" s="978"/>
      <c r="K657" s="978"/>
      <c r="L657" s="978"/>
      <c r="M657" s="978"/>
      <c r="N657" s="978"/>
      <c r="O657" s="1106">
        <f t="shared" si="135"/>
        <v>16300</v>
      </c>
      <c r="P657" s="1108">
        <f>9900+7000+9800+8900+6100+2100</f>
        <v>43800</v>
      </c>
      <c r="Q657" s="979">
        <f>8700+5200</f>
        <v>13900</v>
      </c>
      <c r="R657" s="979">
        <v>3500</v>
      </c>
      <c r="S657" s="979"/>
      <c r="T657" s="979"/>
      <c r="U657" s="979"/>
      <c r="V657" s="979">
        <f>6500+8700+9100</f>
        <v>24300</v>
      </c>
      <c r="W657" s="979">
        <v>3800</v>
      </c>
      <c r="X657" s="979">
        <v>8400</v>
      </c>
      <c r="Y657" s="979">
        <f>2500+4700+2400</f>
        <v>9600</v>
      </c>
      <c r="Z657" s="979"/>
      <c r="AA657" s="979">
        <v>7200</v>
      </c>
      <c r="AB657" s="979">
        <v>5300</v>
      </c>
      <c r="AC657" s="979"/>
      <c r="AD657" s="979">
        <v>600</v>
      </c>
      <c r="AE657" s="1109">
        <f t="shared" si="136"/>
        <v>120400</v>
      </c>
      <c r="AF657" s="1113">
        <v>4000</v>
      </c>
      <c r="AG657" s="981">
        <f>9800+2400</f>
        <v>12200</v>
      </c>
      <c r="AH657" s="981">
        <v>4800</v>
      </c>
      <c r="AI657" s="1114">
        <f t="shared" si="137"/>
        <v>21000</v>
      </c>
      <c r="AJ657" s="1110">
        <f t="shared" si="138"/>
        <v>157700</v>
      </c>
      <c r="AK657" s="982">
        <f>'09월 에너지'!S657</f>
        <v>142.6</v>
      </c>
      <c r="AL657" s="983">
        <f t="shared" si="139"/>
        <v>0.9042485732403297</v>
      </c>
    </row>
    <row r="658" spans="1:38" ht="16.5" customHeight="1">
      <c r="A658" s="999">
        <f>'09월 에너지'!A658</f>
        <v>46289</v>
      </c>
      <c r="B658" s="1002">
        <f>'09월 조업일지'!B656</f>
        <v>46289</v>
      </c>
      <c r="C658" s="1003" t="str">
        <f>'09월 에너지'!C658</f>
        <v>A</v>
      </c>
      <c r="D658" s="1004" t="str">
        <f>'09월 에너지'!D658</f>
        <v>B</v>
      </c>
      <c r="E658" s="1000">
        <f>'09월 에너지'!E658</f>
        <v>85858</v>
      </c>
      <c r="F658" s="1094" t="str">
        <f>'09월 에너지'!F658</f>
        <v>S355JO-01</v>
      </c>
      <c r="G658" s="980">
        <v>0</v>
      </c>
      <c r="H658" s="978">
        <v>0</v>
      </c>
      <c r="I658" s="978">
        <f>11900+7600</f>
        <v>19500</v>
      </c>
      <c r="J658" s="978">
        <v>0</v>
      </c>
      <c r="K658" s="978">
        <v>0</v>
      </c>
      <c r="L658" s="978">
        <v>0</v>
      </c>
      <c r="M658" s="978">
        <v>0</v>
      </c>
      <c r="N658" s="978">
        <v>0</v>
      </c>
      <c r="O658" s="1106">
        <f t="shared" si="135"/>
        <v>19500</v>
      </c>
      <c r="P658" s="1108">
        <f>6000+10300+13700+11700+6400+7800</f>
        <v>55900</v>
      </c>
      <c r="Q658" s="979">
        <f>6700+6900</f>
        <v>13600</v>
      </c>
      <c r="R658" s="979">
        <v>7000</v>
      </c>
      <c r="S658" s="979">
        <v>0</v>
      </c>
      <c r="T658" s="979">
        <v>0</v>
      </c>
      <c r="U658" s="979">
        <v>0</v>
      </c>
      <c r="V658" s="979">
        <f>3700+3000+9300</f>
        <v>16000</v>
      </c>
      <c r="W658" s="979">
        <v>3400</v>
      </c>
      <c r="X658" s="979">
        <v>9500</v>
      </c>
      <c r="Y658" s="979">
        <f>3200+2100</f>
        <v>5300</v>
      </c>
      <c r="Z658" s="979">
        <v>0</v>
      </c>
      <c r="AA658" s="979">
        <v>1000</v>
      </c>
      <c r="AB658" s="979">
        <v>2400</v>
      </c>
      <c r="AC658" s="979">
        <v>0</v>
      </c>
      <c r="AD658" s="979">
        <v>2100</v>
      </c>
      <c r="AE658" s="1109">
        <f t="shared" si="136"/>
        <v>116200</v>
      </c>
      <c r="AF658" s="1113">
        <v>4600</v>
      </c>
      <c r="AG658" s="981">
        <f>9700+3900</f>
        <v>13600</v>
      </c>
      <c r="AH658" s="981">
        <v>4400</v>
      </c>
      <c r="AI658" s="1114">
        <f t="shared" si="137"/>
        <v>22600</v>
      </c>
      <c r="AJ658" s="1110">
        <f t="shared" si="138"/>
        <v>158300</v>
      </c>
      <c r="AK658" s="982">
        <f>'09월 에너지'!S658</f>
        <v>146.4</v>
      </c>
      <c r="AL658" s="983">
        <f t="shared" si="139"/>
        <v>0.92482627921667715</v>
      </c>
    </row>
    <row r="659" spans="1:38" ht="16.5" customHeight="1">
      <c r="A659" s="999">
        <f>'09월 에너지'!A659</f>
        <v>46289</v>
      </c>
      <c r="B659" s="1002">
        <f>'09월 조업일지'!B657</f>
        <v>46289</v>
      </c>
      <c r="C659" s="1003" t="str">
        <f>'09월 에너지'!C659</f>
        <v>A</v>
      </c>
      <c r="D659" s="1004" t="str">
        <f>'09월 에너지'!D659</f>
        <v>A</v>
      </c>
      <c r="E659" s="1000">
        <f>'09월 에너지'!E659</f>
        <v>85859</v>
      </c>
      <c r="F659" s="1094" t="str">
        <f>'09월 에너지'!F659</f>
        <v>S355JO-01</v>
      </c>
      <c r="G659" s="980">
        <v>0</v>
      </c>
      <c r="H659" s="978">
        <v>0</v>
      </c>
      <c r="I659" s="978">
        <f>5900+8500</f>
        <v>14400</v>
      </c>
      <c r="J659" s="978">
        <v>0</v>
      </c>
      <c r="K659" s="978">
        <v>0</v>
      </c>
      <c r="L659" s="978">
        <v>0</v>
      </c>
      <c r="M659" s="978">
        <v>0</v>
      </c>
      <c r="N659" s="978">
        <v>0</v>
      </c>
      <c r="O659" s="1106">
        <f t="shared" si="135"/>
        <v>14400</v>
      </c>
      <c r="P659" s="1108">
        <f>1900+14200+3500+16200+6000+1900</f>
        <v>43700</v>
      </c>
      <c r="Q659" s="979">
        <f>10800+4400</f>
        <v>15200</v>
      </c>
      <c r="R659" s="979">
        <v>7000</v>
      </c>
      <c r="S659" s="979">
        <v>0</v>
      </c>
      <c r="T659" s="979">
        <v>0</v>
      </c>
      <c r="U659" s="979">
        <v>0</v>
      </c>
      <c r="V659" s="979">
        <f>2000+11000+9100</f>
        <v>22100</v>
      </c>
      <c r="W659" s="979">
        <v>3800</v>
      </c>
      <c r="X659" s="979">
        <v>9100</v>
      </c>
      <c r="Y659" s="979">
        <f>1000+2700</f>
        <v>3700</v>
      </c>
      <c r="Z659" s="979">
        <v>0</v>
      </c>
      <c r="AA659" s="979">
        <v>3900</v>
      </c>
      <c r="AB659" s="979">
        <v>2900</v>
      </c>
      <c r="AC659" s="979">
        <v>0</v>
      </c>
      <c r="AD659" s="979">
        <v>7100</v>
      </c>
      <c r="AE659" s="1109">
        <f t="shared" si="136"/>
        <v>118500</v>
      </c>
      <c r="AF659" s="1113">
        <v>4100</v>
      </c>
      <c r="AG659" s="981">
        <f>6700+2200</f>
        <v>8900</v>
      </c>
      <c r="AH659" s="981">
        <v>11600</v>
      </c>
      <c r="AI659" s="1114">
        <f t="shared" si="137"/>
        <v>24600</v>
      </c>
      <c r="AJ659" s="1110">
        <f t="shared" si="138"/>
        <v>157500</v>
      </c>
      <c r="AK659" s="982">
        <f>'09월 에너지'!S659</f>
        <v>147.4</v>
      </c>
      <c r="AL659" s="983">
        <f t="shared" si="139"/>
        <v>0.93587301587301586</v>
      </c>
    </row>
    <row r="660" spans="1:38" ht="16.5" customHeight="1">
      <c r="A660" s="999">
        <f>'09월 에너지'!A660</f>
        <v>46289</v>
      </c>
      <c r="B660" s="1002">
        <f>'09월 조업일지'!B658</f>
        <v>46289</v>
      </c>
      <c r="C660" s="1003" t="str">
        <f>'09월 에너지'!C660</f>
        <v>A</v>
      </c>
      <c r="D660" s="1004" t="str">
        <f>'09월 에너지'!D660</f>
        <v>B</v>
      </c>
      <c r="E660" s="1000">
        <f>'09월 에너지'!E660</f>
        <v>85860</v>
      </c>
      <c r="F660" s="1094" t="str">
        <f>'09월 에너지'!F660</f>
        <v>S355JO-01</v>
      </c>
      <c r="G660" s="980">
        <v>0</v>
      </c>
      <c r="H660" s="978">
        <v>0</v>
      </c>
      <c r="I660" s="978">
        <f>10800+6900</f>
        <v>17700</v>
      </c>
      <c r="J660" s="978">
        <v>0</v>
      </c>
      <c r="K660" s="978">
        <v>0</v>
      </c>
      <c r="L660" s="978">
        <v>0</v>
      </c>
      <c r="M660" s="978">
        <v>0</v>
      </c>
      <c r="N660" s="978">
        <v>0</v>
      </c>
      <c r="O660" s="1106">
        <f t="shared" si="135"/>
        <v>17700</v>
      </c>
      <c r="P660" s="1108">
        <f>5300+13100+8000+10600+6100+5500</f>
        <v>48600</v>
      </c>
      <c r="Q660" s="979">
        <f>9600+5100</f>
        <v>14700</v>
      </c>
      <c r="R660" s="979">
        <v>10900</v>
      </c>
      <c r="S660" s="979">
        <v>0</v>
      </c>
      <c r="T660" s="979">
        <v>0</v>
      </c>
      <c r="U660" s="979">
        <v>0</v>
      </c>
      <c r="V660" s="979">
        <f>3100+5100+9900</f>
        <v>18100</v>
      </c>
      <c r="W660" s="979">
        <v>4500</v>
      </c>
      <c r="X660" s="979">
        <v>8700</v>
      </c>
      <c r="Y660" s="979">
        <f>1100+900+800</f>
        <v>2800</v>
      </c>
      <c r="Z660" s="979">
        <v>0</v>
      </c>
      <c r="AA660" s="979">
        <v>2200</v>
      </c>
      <c r="AB660" s="979">
        <v>1700</v>
      </c>
      <c r="AC660" s="979">
        <v>0</v>
      </c>
      <c r="AD660" s="979">
        <v>2400</v>
      </c>
      <c r="AE660" s="1109">
        <f t="shared" si="136"/>
        <v>114600</v>
      </c>
      <c r="AF660" s="1113">
        <v>6100</v>
      </c>
      <c r="AG660" s="981">
        <f>12000+5100</f>
        <v>17100</v>
      </c>
      <c r="AH660" s="981">
        <v>2900</v>
      </c>
      <c r="AI660" s="1114">
        <f t="shared" si="137"/>
        <v>26100</v>
      </c>
      <c r="AJ660" s="1110">
        <f t="shared" si="138"/>
        <v>158400</v>
      </c>
      <c r="AK660" s="982">
        <f>'09월 에너지'!S660</f>
        <v>144.4</v>
      </c>
      <c r="AL660" s="983">
        <f t="shared" si="139"/>
        <v>0.91161616161616166</v>
      </c>
    </row>
    <row r="661" spans="1:38" ht="16.5" customHeight="1">
      <c r="A661" s="999">
        <f>'09월 에너지'!A661</f>
        <v>46289</v>
      </c>
      <c r="B661" s="1002">
        <f>'09월 조업일지'!B659</f>
        <v>46289</v>
      </c>
      <c r="C661" s="1003" t="str">
        <f>'09월 에너지'!C661</f>
        <v>A</v>
      </c>
      <c r="D661" s="1004" t="str">
        <f>'09월 에너지'!D661</f>
        <v>A</v>
      </c>
      <c r="E661" s="1000">
        <f>'09월 에너지'!E661</f>
        <v>85861</v>
      </c>
      <c r="F661" s="1094" t="str">
        <f>'09월 에너지'!F661</f>
        <v>S355JO-01</v>
      </c>
      <c r="G661" s="980">
        <v>0</v>
      </c>
      <c r="H661" s="978">
        <v>0</v>
      </c>
      <c r="I661" s="978">
        <f>10500+7600</f>
        <v>18100</v>
      </c>
      <c r="J661" s="978">
        <v>0</v>
      </c>
      <c r="K661" s="978">
        <v>0</v>
      </c>
      <c r="L661" s="978">
        <v>0</v>
      </c>
      <c r="M661" s="978">
        <v>0</v>
      </c>
      <c r="N661" s="978">
        <v>0</v>
      </c>
      <c r="O661" s="1106">
        <f t="shared" si="135"/>
        <v>18100</v>
      </c>
      <c r="P661" s="1108">
        <f>4900+9500+7300+6600+13300+6400</f>
        <v>48000</v>
      </c>
      <c r="Q661" s="979">
        <f>11100+1500</f>
        <v>12600</v>
      </c>
      <c r="R661" s="979">
        <v>4000</v>
      </c>
      <c r="S661" s="979">
        <v>0</v>
      </c>
      <c r="T661" s="979">
        <v>0</v>
      </c>
      <c r="U661" s="979">
        <v>0</v>
      </c>
      <c r="V661" s="979">
        <f>3400+3700+8200</f>
        <v>15300</v>
      </c>
      <c r="W661" s="979">
        <v>3700</v>
      </c>
      <c r="X661" s="979">
        <v>8700</v>
      </c>
      <c r="Y661" s="979">
        <f>5800+900+3000</f>
        <v>9700</v>
      </c>
      <c r="Z661" s="979">
        <v>0</v>
      </c>
      <c r="AA661" s="979">
        <v>4300</v>
      </c>
      <c r="AB661" s="979">
        <v>1500</v>
      </c>
      <c r="AC661" s="979">
        <v>0</v>
      </c>
      <c r="AD661" s="979">
        <v>3600</v>
      </c>
      <c r="AE661" s="1109">
        <f t="shared" si="136"/>
        <v>111400</v>
      </c>
      <c r="AF661" s="1113">
        <v>4400</v>
      </c>
      <c r="AG661" s="981">
        <f>10600+9500</f>
        <v>20100</v>
      </c>
      <c r="AH661" s="981">
        <v>4000</v>
      </c>
      <c r="AI661" s="1114">
        <f t="shared" si="137"/>
        <v>28500</v>
      </c>
      <c r="AJ661" s="1110">
        <f t="shared" si="138"/>
        <v>158000</v>
      </c>
      <c r="AK661" s="982">
        <f>'09월 에너지'!S661</f>
        <v>143</v>
      </c>
      <c r="AL661" s="983">
        <f t="shared" si="139"/>
        <v>0.90506329113924056</v>
      </c>
    </row>
    <row r="662" spans="1:38" ht="16.5" customHeight="1">
      <c r="A662" s="999">
        <f>'09월 에너지'!A662</f>
        <v>46289</v>
      </c>
      <c r="B662" s="1002">
        <f>'09월 조업일지'!B660</f>
        <v>46289</v>
      </c>
      <c r="C662" s="1003" t="str">
        <f>'09월 에너지'!C662</f>
        <v>A</v>
      </c>
      <c r="D662" s="1004" t="str">
        <f>'09월 에너지'!D662</f>
        <v>B</v>
      </c>
      <c r="E662" s="1000">
        <f>'09월 에너지'!E662</f>
        <v>85862</v>
      </c>
      <c r="F662" s="1094" t="str">
        <f>'09월 에너지'!F662</f>
        <v>S355JO-01</v>
      </c>
      <c r="G662" s="980">
        <v>0</v>
      </c>
      <c r="H662" s="978">
        <v>0</v>
      </c>
      <c r="I662" s="978">
        <f>9400+4800</f>
        <v>14200</v>
      </c>
      <c r="J662" s="978">
        <v>0</v>
      </c>
      <c r="K662" s="978">
        <v>0</v>
      </c>
      <c r="L662" s="978">
        <v>0</v>
      </c>
      <c r="M662" s="978">
        <v>0</v>
      </c>
      <c r="N662" s="978">
        <v>0</v>
      </c>
      <c r="O662" s="1106">
        <f t="shared" si="135"/>
        <v>14200</v>
      </c>
      <c r="P662" s="1108">
        <f>6600+7000+17400+11400+6000+6200</f>
        <v>54600</v>
      </c>
      <c r="Q662" s="979">
        <f>14900+7900</f>
        <v>22800</v>
      </c>
      <c r="R662" s="979">
        <v>3500</v>
      </c>
      <c r="S662" s="979">
        <v>0</v>
      </c>
      <c r="T662" s="979">
        <v>0</v>
      </c>
      <c r="U662" s="979">
        <v>0</v>
      </c>
      <c r="V662" s="979">
        <f>100+4300+8400</f>
        <v>12800</v>
      </c>
      <c r="W662" s="979">
        <v>3300</v>
      </c>
      <c r="X662" s="979">
        <v>8600</v>
      </c>
      <c r="Y662" s="979">
        <f>2000+3300+2600</f>
        <v>7900</v>
      </c>
      <c r="Z662" s="979">
        <v>0</v>
      </c>
      <c r="AA662" s="979">
        <v>2500</v>
      </c>
      <c r="AB662" s="979">
        <v>3800</v>
      </c>
      <c r="AC662" s="979">
        <v>0</v>
      </c>
      <c r="AD662" s="979">
        <v>2100</v>
      </c>
      <c r="AE662" s="1109">
        <f t="shared" si="136"/>
        <v>121900</v>
      </c>
      <c r="AF662" s="1113">
        <v>5400</v>
      </c>
      <c r="AG662" s="981">
        <f>9400+2600</f>
        <v>12000</v>
      </c>
      <c r="AH662" s="981">
        <v>5400</v>
      </c>
      <c r="AI662" s="1114">
        <f t="shared" si="137"/>
        <v>22800</v>
      </c>
      <c r="AJ662" s="1110">
        <f t="shared" si="138"/>
        <v>158900</v>
      </c>
      <c r="AK662" s="982">
        <f>'09월 에너지'!S662</f>
        <v>144.5</v>
      </c>
      <c r="AL662" s="983">
        <f t="shared" si="139"/>
        <v>0.90937696664568912</v>
      </c>
    </row>
    <row r="663" spans="1:38" ht="16.5" customHeight="1">
      <c r="A663" s="999">
        <f>'09월 에너지'!A663</f>
        <v>46289</v>
      </c>
      <c r="B663" s="1002">
        <f>'09월 조업일지'!B661</f>
        <v>46289</v>
      </c>
      <c r="C663" s="1003" t="str">
        <f>'09월 에너지'!C663</f>
        <v>A</v>
      </c>
      <c r="D663" s="1004" t="str">
        <f>'09월 에너지'!D663</f>
        <v>A</v>
      </c>
      <c r="E663" s="1000">
        <f>'09월 에너지'!E663</f>
        <v>85863</v>
      </c>
      <c r="F663" s="1094" t="str">
        <f>'09월 에너지'!F663</f>
        <v>S355JO-01</v>
      </c>
      <c r="G663" s="980">
        <v>0</v>
      </c>
      <c r="H663" s="978">
        <v>0</v>
      </c>
      <c r="I663" s="978">
        <f>10200+6400</f>
        <v>16600</v>
      </c>
      <c r="J663" s="978">
        <v>0</v>
      </c>
      <c r="K663" s="978">
        <v>0</v>
      </c>
      <c r="L663" s="978">
        <v>0</v>
      </c>
      <c r="M663" s="978">
        <v>0</v>
      </c>
      <c r="N663" s="978">
        <v>0</v>
      </c>
      <c r="O663" s="1106">
        <f t="shared" si="135"/>
        <v>16600</v>
      </c>
      <c r="P663" s="1108">
        <f>7700+5800+8800+11400+5400+7800</f>
        <v>46900</v>
      </c>
      <c r="Q663" s="979">
        <f>11100+3700</f>
        <v>14800</v>
      </c>
      <c r="R663" s="979">
        <v>3800</v>
      </c>
      <c r="S663" s="979">
        <v>0</v>
      </c>
      <c r="T663" s="979">
        <v>0</v>
      </c>
      <c r="U663" s="979">
        <v>0</v>
      </c>
      <c r="V663" s="979">
        <f>4900+7800+10200</f>
        <v>22900</v>
      </c>
      <c r="W663" s="979">
        <v>4300</v>
      </c>
      <c r="X663" s="979">
        <v>8800</v>
      </c>
      <c r="Y663" s="979">
        <f>4500+800</f>
        <v>5300</v>
      </c>
      <c r="Z663" s="979">
        <v>0</v>
      </c>
      <c r="AA663" s="979">
        <v>4600</v>
      </c>
      <c r="AB663" s="979">
        <v>2200</v>
      </c>
      <c r="AC663" s="979">
        <v>0</v>
      </c>
      <c r="AD663" s="979">
        <v>3000</v>
      </c>
      <c r="AE663" s="1109">
        <f t="shared" si="136"/>
        <v>116600</v>
      </c>
      <c r="AF663" s="1113">
        <v>4700</v>
      </c>
      <c r="AG663" s="981">
        <f>11300+3500</f>
        <v>14800</v>
      </c>
      <c r="AH663" s="981">
        <v>5100</v>
      </c>
      <c r="AI663" s="1114">
        <f t="shared" si="137"/>
        <v>24600</v>
      </c>
      <c r="AJ663" s="1110">
        <f t="shared" si="138"/>
        <v>157800</v>
      </c>
      <c r="AK663" s="982">
        <f>'09월 에너지'!S663</f>
        <v>143</v>
      </c>
      <c r="AL663" s="983">
        <f t="shared" si="139"/>
        <v>0.90621039290240812</v>
      </c>
    </row>
    <row r="664" spans="1:38" ht="16.5" customHeight="1">
      <c r="A664" s="999">
        <f>'09월 에너지'!A664</f>
        <v>46290</v>
      </c>
      <c r="B664" s="1002">
        <f>'09월 조업일지'!B662</f>
        <v>46289</v>
      </c>
      <c r="C664" s="1003" t="str">
        <f>'09월 에너지'!C664</f>
        <v>A</v>
      </c>
      <c r="D664" s="1004" t="str">
        <f>'09월 에너지'!D664</f>
        <v>B</v>
      </c>
      <c r="E664" s="1000">
        <f>'09월 에너지'!E664</f>
        <v>85864</v>
      </c>
      <c r="F664" s="1094" t="str">
        <f>'09월 에너지'!F664</f>
        <v>S355JO-01</v>
      </c>
      <c r="G664" s="980">
        <v>0</v>
      </c>
      <c r="H664" s="978">
        <v>0</v>
      </c>
      <c r="I664" s="978">
        <f>11400+10000</f>
        <v>21400</v>
      </c>
      <c r="J664" s="978">
        <v>0</v>
      </c>
      <c r="K664" s="978">
        <v>0</v>
      </c>
      <c r="L664" s="978">
        <v>0</v>
      </c>
      <c r="M664" s="978">
        <v>0</v>
      </c>
      <c r="N664" s="978">
        <v>0</v>
      </c>
      <c r="O664" s="1106">
        <f t="shared" si="135"/>
        <v>21400</v>
      </c>
      <c r="P664" s="1108">
        <f>6900+4700+7700+12500+6300+2100</f>
        <v>40200</v>
      </c>
      <c r="Q664" s="979">
        <f>9100+6400</f>
        <v>15500</v>
      </c>
      <c r="R664" s="979">
        <v>9800</v>
      </c>
      <c r="S664" s="979">
        <v>0</v>
      </c>
      <c r="T664" s="979">
        <v>0</v>
      </c>
      <c r="U664" s="979">
        <v>0</v>
      </c>
      <c r="V664" s="979">
        <f>3200+6300+9100</f>
        <v>18600</v>
      </c>
      <c r="W664" s="979">
        <v>4800</v>
      </c>
      <c r="X664" s="979">
        <v>7900</v>
      </c>
      <c r="Y664" s="979">
        <f>300+1800+3100</f>
        <v>5200</v>
      </c>
      <c r="Z664" s="979">
        <v>0</v>
      </c>
      <c r="AA664" s="979">
        <v>3900</v>
      </c>
      <c r="AB664" s="979">
        <v>1800</v>
      </c>
      <c r="AC664" s="979">
        <v>0</v>
      </c>
      <c r="AD664" s="979">
        <v>3700</v>
      </c>
      <c r="AE664" s="1109">
        <f t="shared" si="136"/>
        <v>111400</v>
      </c>
      <c r="AF664" s="1113">
        <v>3800</v>
      </c>
      <c r="AG664" s="981">
        <f>12900+2400</f>
        <v>15300</v>
      </c>
      <c r="AH664" s="981">
        <v>6200</v>
      </c>
      <c r="AI664" s="1114">
        <f t="shared" si="137"/>
        <v>25300</v>
      </c>
      <c r="AJ664" s="1110">
        <f t="shared" si="138"/>
        <v>158100</v>
      </c>
      <c r="AK664" s="982">
        <f>'09월 에너지'!S664</f>
        <v>146</v>
      </c>
      <c r="AL664" s="983">
        <f t="shared" si="139"/>
        <v>0.92346616065781151</v>
      </c>
    </row>
    <row r="665" spans="1:38" ht="16.5" customHeight="1">
      <c r="A665" s="999">
        <f>'09월 에너지'!A665</f>
        <v>46290</v>
      </c>
      <c r="B665" s="1002">
        <f>'09월 조업일지'!B663</f>
        <v>46289</v>
      </c>
      <c r="C665" s="1003" t="str">
        <f>'09월 에너지'!C665</f>
        <v>A</v>
      </c>
      <c r="D665" s="1004" t="str">
        <f>'09월 에너지'!D665</f>
        <v>A</v>
      </c>
      <c r="E665" s="1000">
        <f>'09월 에너지'!E665</f>
        <v>85865</v>
      </c>
      <c r="F665" s="1170" t="str">
        <f>'09월 에너지'!F665</f>
        <v>SS400(ToMok)</v>
      </c>
      <c r="G665" s="980">
        <v>0</v>
      </c>
      <c r="H665" s="978">
        <v>0</v>
      </c>
      <c r="I665" s="978">
        <f>2700+6300</f>
        <v>9000</v>
      </c>
      <c r="J665" s="978">
        <v>0</v>
      </c>
      <c r="K665" s="978">
        <v>0</v>
      </c>
      <c r="L665" s="978">
        <v>0</v>
      </c>
      <c r="M665" s="978">
        <v>0</v>
      </c>
      <c r="N665" s="978">
        <v>0</v>
      </c>
      <c r="O665" s="1106">
        <f t="shared" si="135"/>
        <v>9000</v>
      </c>
      <c r="P665" s="1108">
        <f>11400+8600+5600+12700+5100+6500+7500</f>
        <v>57400</v>
      </c>
      <c r="Q665" s="979">
        <f>13300+2000</f>
        <v>15300</v>
      </c>
      <c r="R665" s="979">
        <v>3900</v>
      </c>
      <c r="S665" s="979">
        <v>0</v>
      </c>
      <c r="T665" s="979">
        <v>0</v>
      </c>
      <c r="U665" s="979">
        <v>7200</v>
      </c>
      <c r="V665" s="979">
        <f>6500+9000</f>
        <v>15500</v>
      </c>
      <c r="W665" s="979">
        <v>3000</v>
      </c>
      <c r="X665" s="979">
        <v>10400</v>
      </c>
      <c r="Y665" s="979">
        <f>3300+1000</f>
        <v>4300</v>
      </c>
      <c r="Z665" s="979">
        <v>0</v>
      </c>
      <c r="AA665" s="979">
        <v>4000</v>
      </c>
      <c r="AB665" s="979">
        <v>2100</v>
      </c>
      <c r="AC665" s="979">
        <v>2300</v>
      </c>
      <c r="AD665" s="979">
        <v>4600</v>
      </c>
      <c r="AE665" s="1109">
        <f t="shared" si="136"/>
        <v>130000</v>
      </c>
      <c r="AF665" s="1113">
        <v>3700</v>
      </c>
      <c r="AG665" s="981">
        <v>11600</v>
      </c>
      <c r="AH665" s="981">
        <v>4000</v>
      </c>
      <c r="AI665" s="1114">
        <f t="shared" si="137"/>
        <v>19300</v>
      </c>
      <c r="AJ665" s="1110">
        <f t="shared" si="138"/>
        <v>158300</v>
      </c>
      <c r="AK665" s="982">
        <f>'09월 에너지'!S665</f>
        <v>143.30000000000001</v>
      </c>
      <c r="AL665" s="983">
        <f t="shared" si="139"/>
        <v>0.9052432090966519</v>
      </c>
    </row>
    <row r="666" spans="1:38" ht="16.5" customHeight="1">
      <c r="A666" s="999">
        <f>'09월 에너지'!A666</f>
        <v>46290</v>
      </c>
      <c r="B666" s="1002">
        <f>'09월 조업일지'!B664</f>
        <v>46289</v>
      </c>
      <c r="C666" s="1003" t="str">
        <f>'09월 에너지'!C666</f>
        <v>A</v>
      </c>
      <c r="D666" s="1004" t="str">
        <f>'09월 에너지'!D666</f>
        <v>B</v>
      </c>
      <c r="E666" s="1000">
        <f>'09월 에너지'!E666</f>
        <v>85866</v>
      </c>
      <c r="F666" s="1094" t="str">
        <f>'09월 에너지'!F666</f>
        <v>SS400(ToMok)</v>
      </c>
      <c r="G666" s="980">
        <v>0</v>
      </c>
      <c r="H666" s="978">
        <v>0</v>
      </c>
      <c r="I666" s="978">
        <f>9000+7000</f>
        <v>16000</v>
      </c>
      <c r="J666" s="978">
        <v>0</v>
      </c>
      <c r="K666" s="978">
        <v>0</v>
      </c>
      <c r="L666" s="978">
        <v>0</v>
      </c>
      <c r="M666" s="978">
        <v>0</v>
      </c>
      <c r="N666" s="978">
        <v>0</v>
      </c>
      <c r="O666" s="1106">
        <f t="shared" si="135"/>
        <v>16000</v>
      </c>
      <c r="P666" s="1108">
        <f>7400+11700+10100+8500+6600+6500+6500</f>
        <v>57300</v>
      </c>
      <c r="Q666" s="979">
        <f>21000+5200</f>
        <v>26200</v>
      </c>
      <c r="R666" s="979">
        <v>3800</v>
      </c>
      <c r="S666" s="979">
        <v>0</v>
      </c>
      <c r="T666" s="979">
        <v>0</v>
      </c>
      <c r="U666" s="979">
        <v>2300</v>
      </c>
      <c r="V666" s="979">
        <f>1600+10800</f>
        <v>12400</v>
      </c>
      <c r="W666" s="979">
        <v>5000</v>
      </c>
      <c r="X666" s="979">
        <v>7700</v>
      </c>
      <c r="Y666" s="979">
        <f>2300+1000</f>
        <v>3300</v>
      </c>
      <c r="Z666" s="979">
        <v>0</v>
      </c>
      <c r="AA666" s="979">
        <v>2200</v>
      </c>
      <c r="AB666" s="979">
        <v>3200</v>
      </c>
      <c r="AC666" s="979">
        <v>1300</v>
      </c>
      <c r="AD666" s="979">
        <v>2000</v>
      </c>
      <c r="AE666" s="1109">
        <f t="shared" si="136"/>
        <v>126700</v>
      </c>
      <c r="AF666" s="1113">
        <v>4500</v>
      </c>
      <c r="AG666" s="981">
        <v>7200</v>
      </c>
      <c r="AH666" s="981">
        <v>3700</v>
      </c>
      <c r="AI666" s="1114">
        <f t="shared" si="137"/>
        <v>15400</v>
      </c>
      <c r="AJ666" s="1110">
        <f t="shared" si="138"/>
        <v>158100</v>
      </c>
      <c r="AK666" s="982">
        <f>'09월 에너지'!S666</f>
        <v>143.6</v>
      </c>
      <c r="AL666" s="983">
        <f t="shared" si="139"/>
        <v>0.90828589500316259</v>
      </c>
    </row>
    <row r="667" spans="1:38" ht="16.5" customHeight="1">
      <c r="A667" s="999">
        <f>'09월 에너지'!A667</f>
        <v>46290</v>
      </c>
      <c r="B667" s="1002">
        <f>'09월 조업일지'!B665</f>
        <v>46289</v>
      </c>
      <c r="C667" s="1003" t="str">
        <f>'09월 에너지'!C667</f>
        <v>A</v>
      </c>
      <c r="D667" s="1004" t="str">
        <f>'09월 에너지'!D667</f>
        <v>A</v>
      </c>
      <c r="E667" s="1000">
        <f>'09월 에너지'!E667</f>
        <v>85867</v>
      </c>
      <c r="F667" s="1094" t="str">
        <f>'09월 에너지'!F667</f>
        <v>SS400(ToMok)</v>
      </c>
      <c r="G667" s="980">
        <v>0</v>
      </c>
      <c r="H667" s="978">
        <v>0</v>
      </c>
      <c r="I667" s="978">
        <f>11600+7100</f>
        <v>18700</v>
      </c>
      <c r="J667" s="978">
        <v>0</v>
      </c>
      <c r="K667" s="978">
        <v>0</v>
      </c>
      <c r="L667" s="978">
        <v>0</v>
      </c>
      <c r="M667" s="978">
        <v>0</v>
      </c>
      <c r="N667" s="978">
        <v>0</v>
      </c>
      <c r="O667" s="1106">
        <f t="shared" si="135"/>
        <v>18700</v>
      </c>
      <c r="P667" s="1108">
        <f>8200+6200+4700+14300+6600+8500+4100</f>
        <v>52600</v>
      </c>
      <c r="Q667" s="979">
        <f>4200+5700</f>
        <v>9900</v>
      </c>
      <c r="R667" s="979">
        <v>5400</v>
      </c>
      <c r="S667" s="979">
        <v>0</v>
      </c>
      <c r="T667" s="979">
        <v>0</v>
      </c>
      <c r="U667" s="979">
        <v>200</v>
      </c>
      <c r="V667" s="979">
        <f>3300+6200</f>
        <v>9500</v>
      </c>
      <c r="W667" s="979">
        <v>2400</v>
      </c>
      <c r="X667" s="979">
        <v>9300</v>
      </c>
      <c r="Y667" s="979">
        <f>3400+7600</f>
        <v>11000</v>
      </c>
      <c r="Z667" s="979">
        <v>0</v>
      </c>
      <c r="AA667" s="979">
        <v>1000</v>
      </c>
      <c r="AB667" s="979">
        <v>2200</v>
      </c>
      <c r="AC667" s="979">
        <v>2700</v>
      </c>
      <c r="AD667" s="979">
        <v>3900</v>
      </c>
      <c r="AE667" s="1109">
        <f t="shared" si="136"/>
        <v>110100</v>
      </c>
      <c r="AF667" s="1113">
        <v>3500</v>
      </c>
      <c r="AG667" s="981">
        <v>11700</v>
      </c>
      <c r="AH667" s="981">
        <v>13900</v>
      </c>
      <c r="AI667" s="1114">
        <f t="shared" si="137"/>
        <v>29100</v>
      </c>
      <c r="AJ667" s="1110">
        <f t="shared" si="138"/>
        <v>157900</v>
      </c>
      <c r="AK667" s="982">
        <f>'09월 에너지'!S667</f>
        <v>143.4</v>
      </c>
      <c r="AL667" s="983">
        <f t="shared" si="139"/>
        <v>0.90816972767574411</v>
      </c>
    </row>
    <row r="668" spans="1:38" ht="16.5" customHeight="1">
      <c r="A668" s="999">
        <f>'09월 에너지'!A668</f>
        <v>46290</v>
      </c>
      <c r="B668" s="1002">
        <f>'09월 조업일지'!B666</f>
        <v>46290</v>
      </c>
      <c r="C668" s="1003" t="str">
        <f>'09월 에너지'!C668</f>
        <v>B</v>
      </c>
      <c r="D668" s="1004" t="str">
        <f>'09월 에너지'!D668</f>
        <v>B</v>
      </c>
      <c r="E668" s="1000">
        <f>'09월 에너지'!E668</f>
        <v>85868</v>
      </c>
      <c r="F668" s="1170" t="str">
        <f>'09월 에너지'!F668</f>
        <v>SHP275W</v>
      </c>
      <c r="G668" s="980"/>
      <c r="H668" s="978"/>
      <c r="I668" s="978">
        <f>12900+4400</f>
        <v>17300</v>
      </c>
      <c r="J668" s="978"/>
      <c r="K668" s="978"/>
      <c r="L668" s="978"/>
      <c r="M668" s="978"/>
      <c r="N668" s="978"/>
      <c r="O668" s="1106">
        <f t="shared" si="135"/>
        <v>17300</v>
      </c>
      <c r="P668" s="1108">
        <v>45800</v>
      </c>
      <c r="Q668" s="979">
        <f>16300-2500</f>
        <v>13800</v>
      </c>
      <c r="R668" s="979">
        <v>6800</v>
      </c>
      <c r="S668" s="979"/>
      <c r="T668" s="979"/>
      <c r="U668" s="979">
        <v>6300</v>
      </c>
      <c r="V668" s="979">
        <f>4200+7900</f>
        <v>12100</v>
      </c>
      <c r="W668" s="979">
        <v>3700</v>
      </c>
      <c r="X668" s="979">
        <v>9100</v>
      </c>
      <c r="Y668" s="979">
        <f>3300+1400+2900</f>
        <v>7600</v>
      </c>
      <c r="Z668" s="979"/>
      <c r="AA668" s="979">
        <v>3800</v>
      </c>
      <c r="AB668" s="979">
        <v>2400</v>
      </c>
      <c r="AC668" s="979">
        <v>2300</v>
      </c>
      <c r="AD668" s="979">
        <v>3700</v>
      </c>
      <c r="AE668" s="1109">
        <f t="shared" si="136"/>
        <v>117400</v>
      </c>
      <c r="AF668" s="1113">
        <v>6000</v>
      </c>
      <c r="AG668" s="981">
        <v>11800</v>
      </c>
      <c r="AH668" s="981">
        <v>5500</v>
      </c>
      <c r="AI668" s="1114">
        <f t="shared" si="137"/>
        <v>23300</v>
      </c>
      <c r="AJ668" s="1110">
        <f t="shared" si="138"/>
        <v>158000</v>
      </c>
      <c r="AK668" s="982">
        <f>'09월 에너지'!S668</f>
        <v>144.30000000000001</v>
      </c>
      <c r="AL668" s="983">
        <f t="shared" si="139"/>
        <v>0.91329113924050631</v>
      </c>
    </row>
    <row r="669" spans="1:38" ht="16.5" customHeight="1">
      <c r="A669" s="999">
        <f>'09월 에너지'!A669</f>
        <v>46290</v>
      </c>
      <c r="B669" s="1002">
        <f>'09월 조업일지'!B667</f>
        <v>46290</v>
      </c>
      <c r="C669" s="1003" t="str">
        <f>'09월 에너지'!C669</f>
        <v>B</v>
      </c>
      <c r="D669" s="1004" t="str">
        <f>'09월 에너지'!D669</f>
        <v>A</v>
      </c>
      <c r="E669" s="1000">
        <f>'09월 에너지'!E669</f>
        <v>85869</v>
      </c>
      <c r="F669" s="1094" t="str">
        <f>'09월 에너지'!F669</f>
        <v>SHP275W</v>
      </c>
      <c r="G669" s="980"/>
      <c r="H669" s="978"/>
      <c r="I669" s="978">
        <f>8100+7900</f>
        <v>16000</v>
      </c>
      <c r="J669" s="978"/>
      <c r="K669" s="978"/>
      <c r="L669" s="978"/>
      <c r="M669" s="978"/>
      <c r="N669" s="978"/>
      <c r="O669" s="1106">
        <f t="shared" si="135"/>
        <v>16000</v>
      </c>
      <c r="P669" s="1108">
        <f>7100+8000+5300+16800+6900+10200+2900</f>
        <v>57200</v>
      </c>
      <c r="Q669" s="979">
        <v>17700</v>
      </c>
      <c r="R669" s="979">
        <v>6500</v>
      </c>
      <c r="S669" s="979"/>
      <c r="T669" s="979"/>
      <c r="U669" s="979">
        <v>1700</v>
      </c>
      <c r="V669" s="979">
        <v>18500</v>
      </c>
      <c r="W669" s="979">
        <v>1500</v>
      </c>
      <c r="X669" s="979">
        <v>9600</v>
      </c>
      <c r="Y669" s="979">
        <f>1600+1700</f>
        <v>3300</v>
      </c>
      <c r="Z669" s="979"/>
      <c r="AA669" s="979">
        <v>2000</v>
      </c>
      <c r="AB669" s="979">
        <v>1100</v>
      </c>
      <c r="AC669" s="979">
        <v>1600</v>
      </c>
      <c r="AD669" s="979">
        <v>5700</v>
      </c>
      <c r="AE669" s="1109">
        <f t="shared" si="136"/>
        <v>126400</v>
      </c>
      <c r="AF669" s="1113">
        <v>3600</v>
      </c>
      <c r="AG669" s="981">
        <v>9500</v>
      </c>
      <c r="AH669" s="981">
        <v>3900</v>
      </c>
      <c r="AI669" s="1114">
        <f t="shared" si="137"/>
        <v>17000</v>
      </c>
      <c r="AJ669" s="1110">
        <f t="shared" si="138"/>
        <v>159400</v>
      </c>
      <c r="AK669" s="982">
        <f>'09월 에너지'!S669</f>
        <v>142.9</v>
      </c>
      <c r="AL669" s="983">
        <f t="shared" si="139"/>
        <v>0.89648682559598492</v>
      </c>
    </row>
    <row r="670" spans="1:38" ht="16.5" customHeight="1">
      <c r="A670" s="999">
        <f>'09월 에너지'!A670</f>
        <v>46290</v>
      </c>
      <c r="B670" s="1002">
        <f>'09월 조업일지'!B668</f>
        <v>46290</v>
      </c>
      <c r="C670" s="1003" t="str">
        <f>'09월 에너지'!C670</f>
        <v>B</v>
      </c>
      <c r="D670" s="1004" t="str">
        <f>'09월 에너지'!D670</f>
        <v>B</v>
      </c>
      <c r="E670" s="1000">
        <f>'09월 에너지'!E670</f>
        <v>85870</v>
      </c>
      <c r="F670" s="1094" t="str">
        <f>'09월 에너지'!F670</f>
        <v>SHP275W</v>
      </c>
      <c r="G670" s="980"/>
      <c r="H670" s="978"/>
      <c r="I670" s="978">
        <f>12600+7100</f>
        <v>19700</v>
      </c>
      <c r="J670" s="978"/>
      <c r="K670" s="978"/>
      <c r="L670" s="978"/>
      <c r="M670" s="978"/>
      <c r="N670" s="978"/>
      <c r="O670" s="1106">
        <f t="shared" si="135"/>
        <v>19700</v>
      </c>
      <c r="P670" s="1108">
        <f>53200-2200</f>
        <v>51000</v>
      </c>
      <c r="Q670" s="979">
        <v>16800</v>
      </c>
      <c r="R670" s="979">
        <v>6500</v>
      </c>
      <c r="S670" s="979"/>
      <c r="T670" s="979"/>
      <c r="U670" s="979">
        <v>2400</v>
      </c>
      <c r="V670" s="979">
        <f>3600+9100</f>
        <v>12700</v>
      </c>
      <c r="W670" s="979">
        <v>2300</v>
      </c>
      <c r="X670" s="979">
        <v>6400</v>
      </c>
      <c r="Y670" s="979">
        <f>1200+100</f>
        <v>1300</v>
      </c>
      <c r="Z670" s="979"/>
      <c r="AA670" s="979">
        <v>3600</v>
      </c>
      <c r="AB670" s="979">
        <v>4000</v>
      </c>
      <c r="AC670" s="979">
        <v>4300</v>
      </c>
      <c r="AD670" s="979">
        <v>4800</v>
      </c>
      <c r="AE670" s="1109">
        <f t="shared" si="136"/>
        <v>116100</v>
      </c>
      <c r="AF670" s="1113">
        <v>2300</v>
      </c>
      <c r="AG670" s="981">
        <v>15100</v>
      </c>
      <c r="AH670" s="981">
        <v>4800</v>
      </c>
      <c r="AI670" s="1114">
        <f t="shared" si="137"/>
        <v>22200</v>
      </c>
      <c r="AJ670" s="1110">
        <f t="shared" si="138"/>
        <v>158000</v>
      </c>
      <c r="AK670" s="982">
        <f>'09월 에너지'!S670</f>
        <v>142.5</v>
      </c>
      <c r="AL670" s="983">
        <f t="shared" si="139"/>
        <v>0.90189873417721522</v>
      </c>
    </row>
    <row r="671" spans="1:38" ht="16.5" customHeight="1">
      <c r="A671" s="999">
        <f>'09월 에너지'!A671</f>
        <v>46290</v>
      </c>
      <c r="B671" s="1002">
        <f>'09월 조업일지'!B669</f>
        <v>46290</v>
      </c>
      <c r="C671" s="1003" t="str">
        <f>'09월 에너지'!C671</f>
        <v>B</v>
      </c>
      <c r="D671" s="1004" t="str">
        <f>'09월 에너지'!D671</f>
        <v>A</v>
      </c>
      <c r="E671" s="1000">
        <f>'09월 에너지'!E671</f>
        <v>85871</v>
      </c>
      <c r="F671" s="1094" t="str">
        <f>'09월 에너지'!F671</f>
        <v>SHP275W</v>
      </c>
      <c r="G671" s="980"/>
      <c r="H671" s="978"/>
      <c r="I671" s="978">
        <f>10600+3300</f>
        <v>13900</v>
      </c>
      <c r="J671" s="978"/>
      <c r="K671" s="978"/>
      <c r="L671" s="978"/>
      <c r="M671" s="978"/>
      <c r="N671" s="978"/>
      <c r="O671" s="1106">
        <f t="shared" si="135"/>
        <v>13900</v>
      </c>
      <c r="P671" s="1108">
        <f>6200+10700+14800+7700+7100+9100+10800</f>
        <v>66400</v>
      </c>
      <c r="Q671" s="979">
        <f>11700+8200</f>
        <v>19900</v>
      </c>
      <c r="R671" s="979">
        <v>3200</v>
      </c>
      <c r="S671" s="979"/>
      <c r="T671" s="979"/>
      <c r="U671" s="979">
        <v>1700</v>
      </c>
      <c r="V671" s="979">
        <f>3100+9200</f>
        <v>12300</v>
      </c>
      <c r="W671" s="979">
        <v>2800</v>
      </c>
      <c r="X671" s="979">
        <v>8200</v>
      </c>
      <c r="Y671" s="979">
        <v>1600</v>
      </c>
      <c r="Z671" s="979"/>
      <c r="AA671" s="979">
        <v>3100</v>
      </c>
      <c r="AB671" s="979">
        <v>3600</v>
      </c>
      <c r="AC671" s="979">
        <v>2600</v>
      </c>
      <c r="AD671" s="979">
        <v>3500</v>
      </c>
      <c r="AE671" s="1109">
        <f t="shared" si="136"/>
        <v>128900</v>
      </c>
      <c r="AF671" s="1113">
        <v>4300</v>
      </c>
      <c r="AG671" s="981">
        <v>7700</v>
      </c>
      <c r="AH671" s="981">
        <v>3600</v>
      </c>
      <c r="AI671" s="1114">
        <f t="shared" si="137"/>
        <v>15600</v>
      </c>
      <c r="AJ671" s="1110">
        <f t="shared" si="138"/>
        <v>158400</v>
      </c>
      <c r="AK671" s="982">
        <f>'09월 에너지'!S671</f>
        <v>145.1</v>
      </c>
      <c r="AL671" s="983">
        <f t="shared" si="139"/>
        <v>0.91603535353535348</v>
      </c>
    </row>
    <row r="672" spans="1:38" ht="16.5" customHeight="1">
      <c r="A672" s="999">
        <f>'09월 에너지'!A672</f>
        <v>46290</v>
      </c>
      <c r="B672" s="1002">
        <f>'09월 조업일지'!B670</f>
        <v>46290</v>
      </c>
      <c r="C672" s="1003" t="str">
        <f>'09월 에너지'!C672</f>
        <v>B</v>
      </c>
      <c r="D672" s="1004" t="str">
        <f>'09월 에너지'!D672</f>
        <v>B</v>
      </c>
      <c r="E672" s="1000">
        <f>'09월 에너지'!E672</f>
        <v>85872</v>
      </c>
      <c r="F672" s="1094" t="str">
        <f>'09월 에너지'!F672</f>
        <v>SHP275W</v>
      </c>
      <c r="G672" s="980"/>
      <c r="H672" s="978"/>
      <c r="I672" s="978">
        <f>3700+2500</f>
        <v>6200</v>
      </c>
      <c r="J672" s="978"/>
      <c r="K672" s="978"/>
      <c r="L672" s="978"/>
      <c r="M672" s="978"/>
      <c r="N672" s="978"/>
      <c r="O672" s="1106">
        <f t="shared" si="135"/>
        <v>6200</v>
      </c>
      <c r="P672" s="1108">
        <f>9300+7400+10000+13500+17400+3200+2600</f>
        <v>63400</v>
      </c>
      <c r="Q672" s="979">
        <f>11500+6900</f>
        <v>18400</v>
      </c>
      <c r="R672" s="979">
        <v>3100</v>
      </c>
      <c r="S672" s="979"/>
      <c r="T672" s="979"/>
      <c r="U672" s="979">
        <v>11800</v>
      </c>
      <c r="V672" s="979">
        <f>6400+15300</f>
        <v>21700</v>
      </c>
      <c r="W672" s="979">
        <v>1400</v>
      </c>
      <c r="X672" s="979">
        <v>100</v>
      </c>
      <c r="Y672" s="979">
        <f>1900+3200</f>
        <v>5100</v>
      </c>
      <c r="Z672" s="979"/>
      <c r="AA672" s="979">
        <v>5400</v>
      </c>
      <c r="AB672" s="979">
        <v>4500</v>
      </c>
      <c r="AC672" s="979"/>
      <c r="AD672" s="979">
        <v>4500</v>
      </c>
      <c r="AE672" s="1109">
        <f t="shared" si="136"/>
        <v>139400</v>
      </c>
      <c r="AF672" s="1113"/>
      <c r="AG672" s="981">
        <v>9600</v>
      </c>
      <c r="AH672" s="981">
        <v>3500</v>
      </c>
      <c r="AI672" s="1114">
        <f t="shared" si="137"/>
        <v>13100</v>
      </c>
      <c r="AJ672" s="1110">
        <f t="shared" si="138"/>
        <v>158700</v>
      </c>
      <c r="AK672" s="982">
        <f>'09월 에너지'!S672</f>
        <v>141.19999999999999</v>
      </c>
      <c r="AL672" s="983">
        <f t="shared" si="139"/>
        <v>0.88972904851921863</v>
      </c>
    </row>
    <row r="673" spans="1:38" ht="16.5" customHeight="1">
      <c r="A673" s="999">
        <f>'09월 에너지'!A673</f>
        <v>46290</v>
      </c>
      <c r="B673" s="1002">
        <f>'09월 조업일지'!B671</f>
        <v>46290</v>
      </c>
      <c r="C673" s="1003" t="str">
        <f>'09월 에너지'!C673</f>
        <v>B</v>
      </c>
      <c r="D673" s="1004" t="str">
        <f>'09월 에너지'!D673</f>
        <v>A</v>
      </c>
      <c r="E673" s="1000">
        <f>'09월 에너지'!E673</f>
        <v>85873</v>
      </c>
      <c r="F673" s="1094" t="str">
        <f>'09월 에너지'!F673</f>
        <v>SHP275W</v>
      </c>
      <c r="G673" s="980"/>
      <c r="H673" s="978"/>
      <c r="I673" s="978">
        <f>10500+1500</f>
        <v>12000</v>
      </c>
      <c r="J673" s="978"/>
      <c r="K673" s="978"/>
      <c r="L673" s="978"/>
      <c r="M673" s="978"/>
      <c r="N673" s="978"/>
      <c r="O673" s="1106">
        <f t="shared" si="135"/>
        <v>12000</v>
      </c>
      <c r="P673" s="1108">
        <f>8200+9500+3700+18100+8600+6200+2300</f>
        <v>56600</v>
      </c>
      <c r="Q673" s="979">
        <f>14100+11000</f>
        <v>25100</v>
      </c>
      <c r="R673" s="979">
        <v>6300</v>
      </c>
      <c r="S673" s="979"/>
      <c r="T673" s="979"/>
      <c r="U673" s="979">
        <v>11200</v>
      </c>
      <c r="V673" s="979">
        <f>4500+9500</f>
        <v>14000</v>
      </c>
      <c r="W673" s="979">
        <v>2200</v>
      </c>
      <c r="X673" s="979">
        <v>7500</v>
      </c>
      <c r="Y673" s="979">
        <v>6100</v>
      </c>
      <c r="Z673" s="979"/>
      <c r="AA673" s="979"/>
      <c r="AB673" s="979">
        <v>2600</v>
      </c>
      <c r="AC673" s="979">
        <v>900</v>
      </c>
      <c r="AD673" s="979">
        <v>2000</v>
      </c>
      <c r="AE673" s="1109">
        <f t="shared" si="136"/>
        <v>134500</v>
      </c>
      <c r="AF673" s="1113">
        <v>4700</v>
      </c>
      <c r="AG673" s="981">
        <v>2000</v>
      </c>
      <c r="AH673" s="981">
        <v>4900</v>
      </c>
      <c r="AI673" s="1114">
        <f t="shared" si="137"/>
        <v>11600</v>
      </c>
      <c r="AJ673" s="1110">
        <f t="shared" si="138"/>
        <v>158100</v>
      </c>
      <c r="AK673" s="982">
        <f>'09월 에너지'!S673</f>
        <v>145</v>
      </c>
      <c r="AL673" s="983">
        <f t="shared" si="139"/>
        <v>0.91714104996837442</v>
      </c>
    </row>
    <row r="674" spans="1:38" ht="16.5" customHeight="1">
      <c r="A674" s="999">
        <f>'09월 에너지'!A674</f>
        <v>46290</v>
      </c>
      <c r="B674" s="1002">
        <f>'09월 조업일지'!B672</f>
        <v>46290</v>
      </c>
      <c r="C674" s="1003" t="str">
        <f>'09월 에너지'!C674</f>
        <v>B</v>
      </c>
      <c r="D674" s="1004" t="str">
        <f>'09월 에너지'!D674</f>
        <v>B</v>
      </c>
      <c r="E674" s="1000">
        <f>'09월 에너지'!E674</f>
        <v>85874</v>
      </c>
      <c r="F674" s="1094" t="str">
        <f>'09월 에너지'!F674</f>
        <v>SHP275W</v>
      </c>
      <c r="G674" s="980"/>
      <c r="H674" s="978"/>
      <c r="I674" s="978">
        <f>3300+2500</f>
        <v>5800</v>
      </c>
      <c r="J674" s="978"/>
      <c r="K674" s="978"/>
      <c r="L674" s="978"/>
      <c r="M674" s="978"/>
      <c r="N674" s="978"/>
      <c r="O674" s="1106">
        <f t="shared" si="135"/>
        <v>5800</v>
      </c>
      <c r="P674" s="1108">
        <f>7600+7600+10900+12400+10700+9200+2600</f>
        <v>61000</v>
      </c>
      <c r="Q674" s="979">
        <v>17100</v>
      </c>
      <c r="R674" s="979">
        <v>4100</v>
      </c>
      <c r="S674" s="979"/>
      <c r="T674" s="979"/>
      <c r="U674" s="979">
        <f>3800+6100</f>
        <v>9900</v>
      </c>
      <c r="V674" s="979">
        <f>14600-1400</f>
        <v>13200</v>
      </c>
      <c r="W674" s="979">
        <v>3400</v>
      </c>
      <c r="X674" s="979">
        <v>7100</v>
      </c>
      <c r="Y674" s="979">
        <v>6800</v>
      </c>
      <c r="Z674" s="979"/>
      <c r="AA674" s="979">
        <v>3000</v>
      </c>
      <c r="AB674" s="979">
        <v>3000</v>
      </c>
      <c r="AC674" s="979">
        <v>1400</v>
      </c>
      <c r="AD674" s="979">
        <v>4000</v>
      </c>
      <c r="AE674" s="1109">
        <f t="shared" si="136"/>
        <v>134000</v>
      </c>
      <c r="AF674" s="1113">
        <v>2900</v>
      </c>
      <c r="AG674" s="981">
        <v>10300</v>
      </c>
      <c r="AH674" s="981">
        <v>5700</v>
      </c>
      <c r="AI674" s="1114">
        <f t="shared" si="137"/>
        <v>18900</v>
      </c>
      <c r="AJ674" s="1110">
        <f t="shared" si="138"/>
        <v>158700</v>
      </c>
      <c r="AK674" s="982">
        <f>'09월 에너지'!S674</f>
        <v>141</v>
      </c>
      <c r="AL674" s="983">
        <f t="shared" si="139"/>
        <v>0.88846880907372405</v>
      </c>
    </row>
    <row r="675" spans="1:38" ht="16.5" customHeight="1">
      <c r="A675" s="999">
        <f>'09월 에너지'!A675</f>
        <v>46290</v>
      </c>
      <c r="B675" s="1002">
        <f>'09월 조업일지'!B673</f>
        <v>46290</v>
      </c>
      <c r="C675" s="1003" t="str">
        <f>'09월 에너지'!C675</f>
        <v>B</v>
      </c>
      <c r="D675" s="1004" t="str">
        <f>'09월 에너지'!D675</f>
        <v>A</v>
      </c>
      <c r="E675" s="1000">
        <f>'09월 에너지'!E675</f>
        <v>85875</v>
      </c>
      <c r="F675" s="1094" t="str">
        <f>'09월 에너지'!F675</f>
        <v>SHP275W</v>
      </c>
      <c r="G675" s="980"/>
      <c r="H675" s="978"/>
      <c r="I675" s="978">
        <v>10000</v>
      </c>
      <c r="J675" s="978"/>
      <c r="K675" s="978"/>
      <c r="L675" s="978"/>
      <c r="M675" s="978"/>
      <c r="N675" s="978"/>
      <c r="O675" s="1106">
        <f t="shared" si="135"/>
        <v>10000</v>
      </c>
      <c r="P675" s="1108">
        <f>5500+6100+7000+16200+8100+5600+9200</f>
        <v>57700</v>
      </c>
      <c r="Q675" s="979">
        <f>10500+2900+5000</f>
        <v>18400</v>
      </c>
      <c r="R675" s="979">
        <v>7200</v>
      </c>
      <c r="S675" s="979"/>
      <c r="T675" s="979"/>
      <c r="U675" s="979">
        <v>1900</v>
      </c>
      <c r="V675" s="979">
        <f>3800+9400+5000</f>
        <v>18200</v>
      </c>
      <c r="W675" s="979">
        <v>1100</v>
      </c>
      <c r="X675" s="979">
        <v>7200</v>
      </c>
      <c r="Y675" s="979">
        <v>9500</v>
      </c>
      <c r="Z675" s="979"/>
      <c r="AA675" s="979">
        <v>2100</v>
      </c>
      <c r="AB675" s="979">
        <v>2000</v>
      </c>
      <c r="AC675" s="979">
        <v>3800</v>
      </c>
      <c r="AD675" s="979">
        <v>3000</v>
      </c>
      <c r="AE675" s="1109">
        <f t="shared" si="136"/>
        <v>132100</v>
      </c>
      <c r="AF675" s="1113">
        <v>4200</v>
      </c>
      <c r="AG675" s="981">
        <v>5700</v>
      </c>
      <c r="AH675" s="981">
        <v>6500</v>
      </c>
      <c r="AI675" s="1114">
        <f t="shared" si="137"/>
        <v>16400</v>
      </c>
      <c r="AJ675" s="1110">
        <f t="shared" si="138"/>
        <v>158500</v>
      </c>
      <c r="AK675" s="982">
        <f>'09월 에너지'!S675</f>
        <v>145.80000000000001</v>
      </c>
      <c r="AL675" s="983">
        <f t="shared" si="139"/>
        <v>0.91987381703470028</v>
      </c>
    </row>
    <row r="676" spans="1:38" ht="16.5" customHeight="1">
      <c r="A676" s="999">
        <f>'09월 에너지'!A676</f>
        <v>46290</v>
      </c>
      <c r="B676" s="1002">
        <f>'09월 조업일지'!B674</f>
        <v>46290</v>
      </c>
      <c r="C676" s="1003" t="str">
        <f>'09월 에너지'!C676</f>
        <v>B</v>
      </c>
      <c r="D676" s="1004" t="str">
        <f>'09월 에너지'!D676</f>
        <v>B</v>
      </c>
      <c r="E676" s="1000">
        <f>'09월 에너지'!E676</f>
        <v>85876</v>
      </c>
      <c r="F676" s="1094" t="str">
        <f>'09월 에너지'!F676</f>
        <v>SHP275W</v>
      </c>
      <c r="G676" s="980"/>
      <c r="H676" s="978"/>
      <c r="I676" s="978">
        <f>8000+5200</f>
        <v>13200</v>
      </c>
      <c r="J676" s="978"/>
      <c r="K676" s="978"/>
      <c r="L676" s="978"/>
      <c r="M676" s="978"/>
      <c r="N676" s="978"/>
      <c r="O676" s="1106">
        <f t="shared" si="135"/>
        <v>13200</v>
      </c>
      <c r="P676" s="1108">
        <f>1500+7900+11800+13100+9100+7800+2200+5300</f>
        <v>58700</v>
      </c>
      <c r="Q676" s="979">
        <f>7000+5300</f>
        <v>12300</v>
      </c>
      <c r="R676" s="979">
        <v>2500</v>
      </c>
      <c r="S676" s="979"/>
      <c r="T676" s="979"/>
      <c r="U676" s="979">
        <v>5900</v>
      </c>
      <c r="V676" s="979">
        <v>14800</v>
      </c>
      <c r="W676" s="979">
        <v>4300</v>
      </c>
      <c r="X676" s="979">
        <v>7200</v>
      </c>
      <c r="Y676" s="979">
        <v>8900</v>
      </c>
      <c r="Z676" s="979"/>
      <c r="AA676" s="979">
        <v>1100</v>
      </c>
      <c r="AB676" s="979">
        <v>4000</v>
      </c>
      <c r="AC676" s="979">
        <v>3900</v>
      </c>
      <c r="AD676" s="979">
        <v>3100</v>
      </c>
      <c r="AE676" s="1109">
        <f t="shared" si="136"/>
        <v>126700</v>
      </c>
      <c r="AF676" s="1113">
        <v>3200</v>
      </c>
      <c r="AG676" s="981">
        <v>10100</v>
      </c>
      <c r="AH676" s="981">
        <v>5100</v>
      </c>
      <c r="AI676" s="1114">
        <f t="shared" si="137"/>
        <v>18400</v>
      </c>
      <c r="AJ676" s="1110">
        <f t="shared" si="138"/>
        <v>158300</v>
      </c>
      <c r="AK676" s="982">
        <f>'09월 에너지'!S676</f>
        <v>140</v>
      </c>
      <c r="AL676" s="983">
        <f t="shared" si="139"/>
        <v>0.8843967150979154</v>
      </c>
    </row>
    <row r="677" spans="1:38" ht="16.5" customHeight="1">
      <c r="A677" s="999">
        <f>'09월 에너지'!A677</f>
        <v>46290</v>
      </c>
      <c r="B677" s="1002">
        <f>'09월 조업일지'!B675</f>
        <v>46290</v>
      </c>
      <c r="C677" s="1003" t="str">
        <f>'09월 에너지'!C677</f>
        <v>B</v>
      </c>
      <c r="D677" s="1004" t="str">
        <f>'09월 에너지'!D677</f>
        <v>A</v>
      </c>
      <c r="E677" s="1000">
        <f>'09월 에너지'!E677</f>
        <v>85877</v>
      </c>
      <c r="F677" s="1094" t="str">
        <f>'09월 에너지'!F677</f>
        <v>SHP275W</v>
      </c>
      <c r="G677" s="980"/>
      <c r="H677" s="978"/>
      <c r="I677" s="978">
        <f>9200+4300</f>
        <v>13500</v>
      </c>
      <c r="J677" s="978"/>
      <c r="K677" s="978"/>
      <c r="L677" s="978"/>
      <c r="M677" s="978"/>
      <c r="N677" s="978"/>
      <c r="O677" s="1106">
        <f t="shared" si="135"/>
        <v>13500</v>
      </c>
      <c r="P677" s="1108">
        <f>5500+3000+12000+7200+1900+7700+8700</f>
        <v>46000</v>
      </c>
      <c r="Q677" s="979">
        <f>17900+9600</f>
        <v>27500</v>
      </c>
      <c r="R677" s="979">
        <v>3700</v>
      </c>
      <c r="S677" s="979"/>
      <c r="T677" s="979"/>
      <c r="U677" s="979">
        <v>4500</v>
      </c>
      <c r="V677" s="979">
        <f>9500+10600</f>
        <v>20100</v>
      </c>
      <c r="W677" s="979">
        <v>2300</v>
      </c>
      <c r="X677" s="979">
        <v>8700</v>
      </c>
      <c r="Y677" s="979">
        <f>8700+2000</f>
        <v>10700</v>
      </c>
      <c r="Z677" s="979"/>
      <c r="AA677" s="979"/>
      <c r="AB677" s="979"/>
      <c r="AC677" s="979">
        <v>500</v>
      </c>
      <c r="AD677" s="979">
        <v>3100</v>
      </c>
      <c r="AE677" s="1109">
        <f t="shared" si="136"/>
        <v>127100</v>
      </c>
      <c r="AF677" s="1113">
        <v>4000</v>
      </c>
      <c r="AG677" s="981">
        <v>8900</v>
      </c>
      <c r="AH677" s="981">
        <v>4400</v>
      </c>
      <c r="AI677" s="1114">
        <f t="shared" si="137"/>
        <v>17300</v>
      </c>
      <c r="AJ677" s="1110">
        <f t="shared" si="138"/>
        <v>157900</v>
      </c>
      <c r="AK677" s="982">
        <f>'09월 에너지'!S677</f>
        <v>140.6</v>
      </c>
      <c r="AL677" s="983">
        <f t="shared" si="139"/>
        <v>0.89043698543381888</v>
      </c>
    </row>
    <row r="678" spans="1:38" ht="16.5" customHeight="1">
      <c r="A678" s="999">
        <f>'09월 에너지'!A678</f>
        <v>46290</v>
      </c>
      <c r="B678" s="1002">
        <f>'09월 조업일지'!B676</f>
        <v>46290</v>
      </c>
      <c r="C678" s="1003" t="str">
        <f>'09월 에너지'!C678</f>
        <v>B</v>
      </c>
      <c r="D678" s="1004" t="str">
        <f>'09월 에너지'!D678</f>
        <v>B</v>
      </c>
      <c r="E678" s="1000">
        <f>'09월 에너지'!E678</f>
        <v>85878</v>
      </c>
      <c r="F678" s="1094" t="str">
        <f>'09월 에너지'!F678</f>
        <v>SHP275W</v>
      </c>
      <c r="G678" s="980"/>
      <c r="H678" s="978"/>
      <c r="I678" s="978">
        <f>3600+8000</f>
        <v>11600</v>
      </c>
      <c r="J678" s="978"/>
      <c r="K678" s="978"/>
      <c r="L678" s="978"/>
      <c r="M678" s="978"/>
      <c r="N678" s="978"/>
      <c r="O678" s="1106">
        <f t="shared" si="135"/>
        <v>11600</v>
      </c>
      <c r="P678" s="1108">
        <f>9300+8100+11900+11600+6300+2600+2200</f>
        <v>52000</v>
      </c>
      <c r="Q678" s="979">
        <f>10200+7300</f>
        <v>17500</v>
      </c>
      <c r="R678" s="979">
        <v>2600</v>
      </c>
      <c r="S678" s="979"/>
      <c r="T678" s="979"/>
      <c r="U678" s="979">
        <v>9500</v>
      </c>
      <c r="V678" s="979">
        <f>3400+7900</f>
        <v>11300</v>
      </c>
      <c r="W678" s="979">
        <v>3200</v>
      </c>
      <c r="X678" s="979">
        <v>9100</v>
      </c>
      <c r="Y678" s="979">
        <f>2800+100</f>
        <v>2900</v>
      </c>
      <c r="Z678" s="979"/>
      <c r="AA678" s="979">
        <v>3000</v>
      </c>
      <c r="AB678" s="979">
        <v>4200</v>
      </c>
      <c r="AC678" s="979">
        <v>4300</v>
      </c>
      <c r="AD678" s="979">
        <v>2800</v>
      </c>
      <c r="AE678" s="1109">
        <f t="shared" si="136"/>
        <v>122400</v>
      </c>
      <c r="AF678" s="1113">
        <v>3400</v>
      </c>
      <c r="AG678" s="981">
        <v>14100</v>
      </c>
      <c r="AH678" s="981">
        <v>7100</v>
      </c>
      <c r="AI678" s="1114">
        <f t="shared" si="137"/>
        <v>24600</v>
      </c>
      <c r="AJ678" s="1110">
        <f t="shared" si="138"/>
        <v>158600</v>
      </c>
      <c r="AK678" s="982">
        <f>'09월 에너지'!S678</f>
        <v>143.6</v>
      </c>
      <c r="AL678" s="983">
        <f t="shared" si="139"/>
        <v>0.90542244640605296</v>
      </c>
    </row>
    <row r="679" spans="1:38" ht="16.5" customHeight="1">
      <c r="A679" s="999">
        <f>'09월 에너지'!A679</f>
        <v>46290</v>
      </c>
      <c r="B679" s="1002">
        <f>'09월 조업일지'!B677</f>
        <v>46290</v>
      </c>
      <c r="C679" s="1003" t="str">
        <f>'09월 에너지'!C679</f>
        <v>C</v>
      </c>
      <c r="D679" s="1004" t="str">
        <f>'09월 에너지'!D679</f>
        <v>A</v>
      </c>
      <c r="E679" s="1000">
        <f>'09월 에너지'!E679</f>
        <v>85879</v>
      </c>
      <c r="F679" s="1094" t="str">
        <f>'09월 에너지'!F679</f>
        <v>SHP275W</v>
      </c>
      <c r="G679" s="980"/>
      <c r="H679" s="978"/>
      <c r="I679" s="978">
        <f>12000+1800</f>
        <v>13800</v>
      </c>
      <c r="J679" s="978"/>
      <c r="K679" s="978"/>
      <c r="L679" s="978"/>
      <c r="M679" s="978"/>
      <c r="N679" s="978"/>
      <c r="O679" s="1106">
        <f t="shared" si="135"/>
        <v>13800</v>
      </c>
      <c r="P679" s="1108">
        <f>6700+9200+5500+13300+7900+5900+6900</f>
        <v>55400</v>
      </c>
      <c r="Q679" s="979">
        <f>12500+15200</f>
        <v>27700</v>
      </c>
      <c r="R679" s="979">
        <v>3900</v>
      </c>
      <c r="S679" s="979"/>
      <c r="T679" s="979"/>
      <c r="U679" s="979">
        <v>2100</v>
      </c>
      <c r="V679" s="979">
        <f>8500+9500</f>
        <v>18000</v>
      </c>
      <c r="W679" s="979">
        <v>1000</v>
      </c>
      <c r="X679" s="979">
        <v>9300</v>
      </c>
      <c r="Y679" s="979">
        <f>4400+2700</f>
        <v>7100</v>
      </c>
      <c r="Z679" s="979"/>
      <c r="AA679" s="979">
        <v>7800</v>
      </c>
      <c r="AB679" s="979">
        <v>1100</v>
      </c>
      <c r="AC679" s="979">
        <v>1900</v>
      </c>
      <c r="AD679" s="979">
        <v>2900</v>
      </c>
      <c r="AE679" s="1109">
        <f t="shared" si="136"/>
        <v>138200</v>
      </c>
      <c r="AF679" s="1113">
        <v>3800</v>
      </c>
      <c r="AG679" s="981">
        <v>1600</v>
      </c>
      <c r="AH679" s="981">
        <v>5200</v>
      </c>
      <c r="AI679" s="1114">
        <f t="shared" si="137"/>
        <v>10600</v>
      </c>
      <c r="AJ679" s="1110">
        <f t="shared" si="138"/>
        <v>162600</v>
      </c>
      <c r="AK679" s="982">
        <f>'09월 에너지'!S679</f>
        <v>143.69999999999999</v>
      </c>
      <c r="AL679" s="983">
        <f t="shared" si="139"/>
        <v>0.8837638376383764</v>
      </c>
    </row>
    <row r="680" spans="1:38" ht="16.5" customHeight="1">
      <c r="A680" s="999">
        <f>'09월 에너지'!A680</f>
        <v>46290</v>
      </c>
      <c r="B680" s="1002">
        <f>'09월 조업일지'!B678</f>
        <v>46290</v>
      </c>
      <c r="C680" s="1003" t="str">
        <f>'09월 에너지'!C680</f>
        <v>C</v>
      </c>
      <c r="D680" s="1004" t="str">
        <f>'09월 에너지'!D680</f>
        <v>B</v>
      </c>
      <c r="E680" s="1000">
        <f>'09월 에너지'!E680</f>
        <v>85880</v>
      </c>
      <c r="F680" s="1094" t="str">
        <f>'09월 에너지'!F680</f>
        <v>SHP275W</v>
      </c>
      <c r="G680" s="980"/>
      <c r="H680" s="978"/>
      <c r="I680" s="978">
        <f>5100+6300</f>
        <v>11400</v>
      </c>
      <c r="J680" s="978"/>
      <c r="K680" s="978"/>
      <c r="L680" s="978"/>
      <c r="M680" s="978"/>
      <c r="N680" s="978"/>
      <c r="O680" s="1106">
        <f t="shared" si="135"/>
        <v>11400</v>
      </c>
      <c r="P680" s="1108">
        <f>7900+9100+14000+14500+11900+6600+1800</f>
        <v>65800</v>
      </c>
      <c r="Q680" s="979">
        <f>10400+8200</f>
        <v>18600</v>
      </c>
      <c r="R680" s="979">
        <v>2400</v>
      </c>
      <c r="S680" s="979"/>
      <c r="T680" s="979"/>
      <c r="U680" s="979">
        <v>6000</v>
      </c>
      <c r="V680" s="979">
        <f>3700+15700</f>
        <v>19400</v>
      </c>
      <c r="W680" s="979"/>
      <c r="X680" s="979">
        <v>6500</v>
      </c>
      <c r="Y680" s="979">
        <f>3300+1300</f>
        <v>4600</v>
      </c>
      <c r="Z680" s="979"/>
      <c r="AA680" s="979">
        <v>1800</v>
      </c>
      <c r="AB680" s="979">
        <v>3000</v>
      </c>
      <c r="AC680" s="979"/>
      <c r="AD680" s="979">
        <v>5000</v>
      </c>
      <c r="AE680" s="1109">
        <f t="shared" si="136"/>
        <v>133100</v>
      </c>
      <c r="AF680" s="1113"/>
      <c r="AG680" s="981">
        <v>11600</v>
      </c>
      <c r="AH680" s="981">
        <v>3500</v>
      </c>
      <c r="AI680" s="1114">
        <f t="shared" si="137"/>
        <v>15100</v>
      </c>
      <c r="AJ680" s="1110">
        <f t="shared" si="138"/>
        <v>159600</v>
      </c>
      <c r="AK680" s="982">
        <f>'09월 에너지'!S680</f>
        <v>141.80000000000001</v>
      </c>
      <c r="AL680" s="983">
        <f t="shared" si="139"/>
        <v>0.88847117794486219</v>
      </c>
    </row>
    <row r="681" spans="1:38" ht="16.5" customHeight="1">
      <c r="A681" s="999">
        <f>'09월 에너지'!A681</f>
        <v>46290</v>
      </c>
      <c r="B681" s="1002">
        <f>'09월 조업일지'!B679</f>
        <v>46290</v>
      </c>
      <c r="C681" s="1003" t="str">
        <f>'09월 에너지'!C681</f>
        <v>C</v>
      </c>
      <c r="D681" s="1004" t="str">
        <f>'09월 에너지'!D681</f>
        <v>A</v>
      </c>
      <c r="E681" s="1000">
        <f>'09월 에너지'!E681</f>
        <v>85881</v>
      </c>
      <c r="F681" s="1094" t="str">
        <f>'09월 에너지'!F681</f>
        <v>SHP275W</v>
      </c>
      <c r="G681" s="980"/>
      <c r="H681" s="978"/>
      <c r="I681" s="978">
        <f>4500+9600</f>
        <v>14100</v>
      </c>
      <c r="J681" s="978"/>
      <c r="K681" s="978"/>
      <c r="L681" s="978"/>
      <c r="M681" s="978"/>
      <c r="N681" s="978"/>
      <c r="O681" s="1106">
        <f t="shared" si="135"/>
        <v>14100</v>
      </c>
      <c r="P681" s="1108">
        <f>6300+8500+13600+10500+7600+7300+1700</f>
        <v>55500</v>
      </c>
      <c r="Q681" s="979">
        <f>7200+3700</f>
        <v>10900</v>
      </c>
      <c r="R681" s="979">
        <v>3500</v>
      </c>
      <c r="S681" s="979"/>
      <c r="T681" s="979"/>
      <c r="U681" s="979">
        <v>5700</v>
      </c>
      <c r="V681" s="979">
        <f>4800+9700</f>
        <v>14500</v>
      </c>
      <c r="W681" s="979">
        <v>3300</v>
      </c>
      <c r="X681" s="979">
        <v>7700</v>
      </c>
      <c r="Y681" s="979">
        <f>4300+1600</f>
        <v>5900</v>
      </c>
      <c r="Z681" s="979"/>
      <c r="AA681" s="979">
        <v>1300</v>
      </c>
      <c r="AB681" s="979">
        <v>7200</v>
      </c>
      <c r="AC681" s="979">
        <v>2100</v>
      </c>
      <c r="AD681" s="979">
        <v>3000</v>
      </c>
      <c r="AE681" s="1109">
        <f t="shared" si="136"/>
        <v>120600</v>
      </c>
      <c r="AF681" s="1113">
        <v>3700</v>
      </c>
      <c r="AG681" s="981">
        <v>14200</v>
      </c>
      <c r="AH681" s="981">
        <v>5400</v>
      </c>
      <c r="AI681" s="1114">
        <f t="shared" si="137"/>
        <v>23300</v>
      </c>
      <c r="AJ681" s="1110">
        <f t="shared" si="138"/>
        <v>158000</v>
      </c>
      <c r="AK681" s="982">
        <f>'09월 에너지'!S681</f>
        <v>144.80000000000001</v>
      </c>
      <c r="AL681" s="983">
        <f t="shared" si="139"/>
        <v>0.91645569620253164</v>
      </c>
    </row>
    <row r="682" spans="1:38" ht="16.5" customHeight="1">
      <c r="A682" s="999">
        <f>'09월 에너지'!A682</f>
        <v>46290</v>
      </c>
      <c r="B682" s="1002">
        <f>'09월 조업일지'!B680</f>
        <v>46290</v>
      </c>
      <c r="C682" s="1003" t="str">
        <f>'09월 에너지'!C682</f>
        <v>C</v>
      </c>
      <c r="D682" s="1004" t="str">
        <f>'09월 에너지'!D682</f>
        <v>B</v>
      </c>
      <c r="E682" s="1000">
        <f>'09월 에너지'!E682</f>
        <v>85882</v>
      </c>
      <c r="F682" s="1094" t="str">
        <f>'09월 에너지'!F682</f>
        <v>SHP275W</v>
      </c>
      <c r="G682" s="980"/>
      <c r="H682" s="978"/>
      <c r="I682" s="978">
        <f>10600+5700</f>
        <v>16300</v>
      </c>
      <c r="J682" s="978"/>
      <c r="K682" s="978"/>
      <c r="L682" s="978"/>
      <c r="M682" s="978"/>
      <c r="N682" s="978"/>
      <c r="O682" s="1106">
        <f t="shared" si="135"/>
        <v>16300</v>
      </c>
      <c r="P682" s="1108">
        <f>7200+9800+5500+11400+7300+2900+5600</f>
        <v>49700</v>
      </c>
      <c r="Q682" s="979">
        <f>14600+4900</f>
        <v>19500</v>
      </c>
      <c r="R682" s="979">
        <v>7900</v>
      </c>
      <c r="S682" s="979"/>
      <c r="T682" s="979"/>
      <c r="U682" s="979">
        <v>7800</v>
      </c>
      <c r="V682" s="979">
        <f>3500+9000</f>
        <v>12500</v>
      </c>
      <c r="W682" s="979">
        <v>1800</v>
      </c>
      <c r="X682" s="979">
        <v>9800</v>
      </c>
      <c r="Y682" s="979">
        <f>2300+2800</f>
        <v>5100</v>
      </c>
      <c r="Z682" s="979"/>
      <c r="AA682" s="979">
        <v>1300</v>
      </c>
      <c r="AB682" s="979">
        <v>1600</v>
      </c>
      <c r="AC682" s="979">
        <v>2000</v>
      </c>
      <c r="AD682" s="979">
        <v>1700</v>
      </c>
      <c r="AE682" s="1109">
        <f t="shared" si="136"/>
        <v>120700</v>
      </c>
      <c r="AF682" s="1113">
        <v>4700</v>
      </c>
      <c r="AG682" s="981">
        <v>13600</v>
      </c>
      <c r="AH682" s="981">
        <v>3400</v>
      </c>
      <c r="AI682" s="1114">
        <f t="shared" si="137"/>
        <v>21700</v>
      </c>
      <c r="AJ682" s="1110">
        <f t="shared" si="138"/>
        <v>158700</v>
      </c>
      <c r="AK682" s="982">
        <f>'09월 에너지'!S682</f>
        <v>143.4</v>
      </c>
      <c r="AL682" s="983">
        <f t="shared" si="139"/>
        <v>0.9035916824196597</v>
      </c>
    </row>
    <row r="683" spans="1:38" ht="16.5" customHeight="1">
      <c r="A683" s="999">
        <f>'09월 에너지'!A683</f>
        <v>46290</v>
      </c>
      <c r="B683" s="1002">
        <f>'09월 조업일지'!B681</f>
        <v>46290</v>
      </c>
      <c r="C683" s="1003" t="str">
        <f>'09월 에너지'!C683</f>
        <v>C</v>
      </c>
      <c r="D683" s="1004" t="str">
        <f>'09월 에너지'!D683</f>
        <v>A</v>
      </c>
      <c r="E683" s="1000">
        <f>'09월 에너지'!E683</f>
        <v>85883</v>
      </c>
      <c r="F683" s="1094" t="str">
        <f>'09월 에너지'!F683</f>
        <v>SHP275W</v>
      </c>
      <c r="G683" s="980"/>
      <c r="H683" s="978"/>
      <c r="I683" s="978">
        <f>10300+2600</f>
        <v>12900</v>
      </c>
      <c r="J683" s="978"/>
      <c r="K683" s="978"/>
      <c r="L683" s="978"/>
      <c r="M683" s="978"/>
      <c r="N683" s="978"/>
      <c r="O683" s="1106">
        <f t="shared" si="135"/>
        <v>12900</v>
      </c>
      <c r="P683" s="1108">
        <f>7400+11600+6300+13000+7300+9600+1700</f>
        <v>56900</v>
      </c>
      <c r="Q683" s="979">
        <f>5100+4100</f>
        <v>9200</v>
      </c>
      <c r="R683" s="979">
        <v>9400</v>
      </c>
      <c r="S683" s="979"/>
      <c r="T683" s="979"/>
      <c r="U683" s="979">
        <v>6600</v>
      </c>
      <c r="V683" s="979">
        <f>6300+8700</f>
        <v>15000</v>
      </c>
      <c r="W683" s="979">
        <v>3200</v>
      </c>
      <c r="X683" s="979">
        <v>7800</v>
      </c>
      <c r="Y683" s="979">
        <f>8600+3900</f>
        <v>12500</v>
      </c>
      <c r="Z683" s="979"/>
      <c r="AA683" s="979">
        <v>1400</v>
      </c>
      <c r="AB683" s="979">
        <v>800</v>
      </c>
      <c r="AC683" s="979">
        <v>3400</v>
      </c>
      <c r="AD683" s="979">
        <v>4000</v>
      </c>
      <c r="AE683" s="1109">
        <f t="shared" si="136"/>
        <v>130200</v>
      </c>
      <c r="AF683" s="1113">
        <v>3700</v>
      </c>
      <c r="AG683" s="981">
        <v>8700</v>
      </c>
      <c r="AH683" s="981">
        <v>3900</v>
      </c>
      <c r="AI683" s="1114">
        <f t="shared" si="137"/>
        <v>16300</v>
      </c>
      <c r="AJ683" s="1110">
        <f t="shared" si="138"/>
        <v>159400</v>
      </c>
      <c r="AK683" s="982">
        <f>'09월 에너지'!S683</f>
        <v>147.9</v>
      </c>
      <c r="AL683" s="983">
        <f t="shared" si="139"/>
        <v>0.92785445420326218</v>
      </c>
    </row>
    <row r="684" spans="1:38" ht="16.5" customHeight="1">
      <c r="A684" s="999">
        <f>'09월 에너지'!A684</f>
        <v>46290</v>
      </c>
      <c r="B684" s="1002">
        <f>'09월 조업일지'!B682</f>
        <v>46290</v>
      </c>
      <c r="C684" s="1003" t="str">
        <f>'09월 에너지'!C684</f>
        <v>C</v>
      </c>
      <c r="D684" s="1004" t="str">
        <f>'09월 에너지'!D684</f>
        <v>B</v>
      </c>
      <c r="E684" s="1000">
        <f>'09월 에너지'!E684</f>
        <v>85884</v>
      </c>
      <c r="F684" s="1094" t="str">
        <f>'09월 에너지'!F684</f>
        <v>SHP275W</v>
      </c>
      <c r="G684" s="980"/>
      <c r="H684" s="978"/>
      <c r="I684" s="978">
        <f>12900+4300</f>
        <v>17200</v>
      </c>
      <c r="J684" s="978"/>
      <c r="K684" s="978"/>
      <c r="L684" s="978"/>
      <c r="M684" s="978"/>
      <c r="N684" s="978"/>
      <c r="O684" s="1106">
        <f t="shared" si="135"/>
        <v>17200</v>
      </c>
      <c r="P684" s="1108">
        <f>5500+10500+6800+9600+6600+8800+3000</f>
        <v>50800</v>
      </c>
      <c r="Q684" s="979">
        <f>13200+7200</f>
        <v>20400</v>
      </c>
      <c r="R684" s="979">
        <v>7200</v>
      </c>
      <c r="S684" s="979"/>
      <c r="T684" s="979"/>
      <c r="U684" s="979">
        <v>5200</v>
      </c>
      <c r="V684" s="979">
        <f>1900+9000</f>
        <v>10900</v>
      </c>
      <c r="W684" s="979">
        <v>3100</v>
      </c>
      <c r="X684" s="979">
        <v>8800</v>
      </c>
      <c r="Y684" s="979">
        <f>2100+1400</f>
        <v>3500</v>
      </c>
      <c r="Z684" s="979"/>
      <c r="AA684" s="979">
        <v>2600</v>
      </c>
      <c r="AB684" s="979">
        <v>2800</v>
      </c>
      <c r="AC684" s="979">
        <v>2600</v>
      </c>
      <c r="AD684" s="979">
        <v>3700</v>
      </c>
      <c r="AE684" s="1109">
        <f t="shared" si="136"/>
        <v>121600</v>
      </c>
      <c r="AF684" s="1113">
        <v>3500</v>
      </c>
      <c r="AG684" s="981">
        <v>10700</v>
      </c>
      <c r="AH684" s="981">
        <v>5100</v>
      </c>
      <c r="AI684" s="1114">
        <f t="shared" si="137"/>
        <v>19300</v>
      </c>
      <c r="AJ684" s="1110">
        <f t="shared" si="138"/>
        <v>158100</v>
      </c>
      <c r="AK684" s="982">
        <f>'09월 에너지'!S684</f>
        <v>143.19999999999999</v>
      </c>
      <c r="AL684" s="983">
        <f t="shared" si="139"/>
        <v>0.90575585072738773</v>
      </c>
    </row>
    <row r="685" spans="1:38" ht="16.5" customHeight="1">
      <c r="A685" s="999">
        <f>'09월 에너지'!A685</f>
        <v>46290</v>
      </c>
      <c r="B685" s="1002">
        <f>'09월 조업일지'!B683</f>
        <v>46290</v>
      </c>
      <c r="C685" s="1003" t="str">
        <f>'09월 에너지'!C685</f>
        <v>C</v>
      </c>
      <c r="D685" s="1004" t="str">
        <f>'09월 에너지'!D685</f>
        <v>A</v>
      </c>
      <c r="E685" s="1000">
        <f>'09월 에너지'!E685</f>
        <v>85885</v>
      </c>
      <c r="F685" s="1094" t="str">
        <f>'09월 에너지'!F685</f>
        <v>SHP275W</v>
      </c>
      <c r="G685" s="980"/>
      <c r="H685" s="978"/>
      <c r="I685" s="978">
        <f>16200+4900</f>
        <v>21100</v>
      </c>
      <c r="J685" s="978"/>
      <c r="K685" s="978"/>
      <c r="L685" s="978"/>
      <c r="M685" s="978"/>
      <c r="N685" s="978"/>
      <c r="O685" s="1106">
        <f t="shared" si="135"/>
        <v>21100</v>
      </c>
      <c r="P685" s="1108">
        <f>2700+9800+7900+7100+7100+1600+3100</f>
        <v>39300</v>
      </c>
      <c r="Q685" s="979">
        <f>12400+4700</f>
        <v>17100</v>
      </c>
      <c r="R685" s="979">
        <v>6600</v>
      </c>
      <c r="S685" s="979"/>
      <c r="T685" s="979"/>
      <c r="U685" s="979">
        <v>10700</v>
      </c>
      <c r="V685" s="979">
        <f>2700+9400</f>
        <v>12100</v>
      </c>
      <c r="W685" s="979">
        <v>3900</v>
      </c>
      <c r="X685" s="979">
        <v>8000</v>
      </c>
      <c r="Y685" s="979">
        <f>5000+4300</f>
        <v>9300</v>
      </c>
      <c r="Z685" s="979"/>
      <c r="AA685" s="979">
        <v>1900</v>
      </c>
      <c r="AB685" s="979">
        <v>900</v>
      </c>
      <c r="AC685" s="979">
        <v>2100</v>
      </c>
      <c r="AD685" s="979">
        <v>9200</v>
      </c>
      <c r="AE685" s="1109">
        <f t="shared" si="136"/>
        <v>121100</v>
      </c>
      <c r="AF685" s="1113">
        <v>4300</v>
      </c>
      <c r="AG685" s="981">
        <v>8800</v>
      </c>
      <c r="AH685" s="981">
        <v>3300</v>
      </c>
      <c r="AI685" s="1114">
        <f t="shared" si="137"/>
        <v>16400</v>
      </c>
      <c r="AJ685" s="1110">
        <f t="shared" si="138"/>
        <v>158600</v>
      </c>
      <c r="AK685" s="982">
        <f>'09월 에너지'!S685</f>
        <v>143.4</v>
      </c>
      <c r="AL685" s="983">
        <f t="shared" si="139"/>
        <v>0.90416141235813363</v>
      </c>
    </row>
    <row r="686" spans="1:38" ht="16.5" customHeight="1">
      <c r="A686" s="999">
        <f>'09월 에너지'!A686</f>
        <v>46290</v>
      </c>
      <c r="B686" s="1002">
        <f>'09월 조업일지'!B684</f>
        <v>46290</v>
      </c>
      <c r="C686" s="1003" t="str">
        <f>'09월 에너지'!C686</f>
        <v>C</v>
      </c>
      <c r="D686" s="1004" t="str">
        <f>'09월 에너지'!D686</f>
        <v>B</v>
      </c>
      <c r="E686" s="1000">
        <f>'09월 에너지'!E686</f>
        <v>85886</v>
      </c>
      <c r="F686" s="1094" t="str">
        <f>'09월 에너지'!F686</f>
        <v>SHP275W</v>
      </c>
      <c r="G686" s="980"/>
      <c r="H686" s="978"/>
      <c r="I686" s="978">
        <f>13200+3300</f>
        <v>16500</v>
      </c>
      <c r="J686" s="978"/>
      <c r="K686" s="978"/>
      <c r="L686" s="978"/>
      <c r="M686" s="978"/>
      <c r="N686" s="978"/>
      <c r="O686" s="1106">
        <f t="shared" si="135"/>
        <v>16500</v>
      </c>
      <c r="P686" s="1108">
        <f>6100+5200+11200+13400+7400+9100+2600</f>
        <v>55000</v>
      </c>
      <c r="Q686" s="979">
        <f>6600+6500</f>
        <v>13100</v>
      </c>
      <c r="R686" s="979">
        <v>10400</v>
      </c>
      <c r="S686" s="979"/>
      <c r="T686" s="979"/>
      <c r="U686" s="979">
        <v>5900</v>
      </c>
      <c r="V686" s="979">
        <f>2900+9600</f>
        <v>12500</v>
      </c>
      <c r="W686" s="979">
        <v>2900</v>
      </c>
      <c r="X686" s="979">
        <v>8400</v>
      </c>
      <c r="Y686" s="979">
        <f>3300+1800</f>
        <v>5100</v>
      </c>
      <c r="Z686" s="979"/>
      <c r="AA686" s="979">
        <v>3200</v>
      </c>
      <c r="AB686" s="979">
        <v>2200</v>
      </c>
      <c r="AC686" s="979">
        <v>2100</v>
      </c>
      <c r="AD686" s="979">
        <v>3800</v>
      </c>
      <c r="AE686" s="1109">
        <f t="shared" si="136"/>
        <v>124600</v>
      </c>
      <c r="AF686" s="1113">
        <v>4300</v>
      </c>
      <c r="AG686" s="981">
        <v>10400</v>
      </c>
      <c r="AH686" s="981">
        <v>2400</v>
      </c>
      <c r="AI686" s="1114">
        <f t="shared" si="137"/>
        <v>17100</v>
      </c>
      <c r="AJ686" s="1110">
        <f t="shared" si="138"/>
        <v>158200</v>
      </c>
      <c r="AK686" s="982">
        <f>'09월 에너지'!S686</f>
        <v>145.5</v>
      </c>
      <c r="AL686" s="983">
        <f t="shared" si="139"/>
        <v>0.9197218710493047</v>
      </c>
    </row>
    <row r="687" spans="1:38" ht="16.5" customHeight="1">
      <c r="A687" s="999">
        <f>'09월 에너지'!A687</f>
        <v>46290</v>
      </c>
      <c r="B687" s="1002">
        <f>'09월 조업일지'!B685</f>
        <v>46290</v>
      </c>
      <c r="C687" s="1003" t="str">
        <f>'09월 에너지'!C687</f>
        <v>C</v>
      </c>
      <c r="D687" s="1004" t="str">
        <f>'09월 에너지'!D687</f>
        <v>A</v>
      </c>
      <c r="E687" s="1000">
        <f>'09월 에너지'!E687</f>
        <v>85887</v>
      </c>
      <c r="F687" s="1094" t="str">
        <f>'09월 에너지'!F687</f>
        <v>SHP275W</v>
      </c>
      <c r="G687" s="980"/>
      <c r="H687" s="978"/>
      <c r="I687" s="978">
        <f>6700+9800</f>
        <v>16500</v>
      </c>
      <c r="J687" s="978"/>
      <c r="K687" s="978"/>
      <c r="L687" s="978"/>
      <c r="M687" s="978"/>
      <c r="N687" s="978"/>
      <c r="O687" s="1106">
        <f t="shared" si="135"/>
        <v>16500</v>
      </c>
      <c r="P687" s="1108">
        <f>8500+14400+8900+12300+7000+2800+2200</f>
        <v>56100</v>
      </c>
      <c r="Q687" s="979">
        <f>10200+5000</f>
        <v>15200</v>
      </c>
      <c r="R687" s="979">
        <v>11400</v>
      </c>
      <c r="S687" s="979"/>
      <c r="T687" s="979"/>
      <c r="U687" s="979">
        <v>7200</v>
      </c>
      <c r="V687" s="979">
        <f>4200+8700</f>
        <v>12900</v>
      </c>
      <c r="W687" s="979">
        <v>2600</v>
      </c>
      <c r="X687" s="979">
        <v>8900</v>
      </c>
      <c r="Y687" s="979">
        <f>4200+1600</f>
        <v>5800</v>
      </c>
      <c r="Z687" s="979"/>
      <c r="AA687" s="979">
        <v>1400</v>
      </c>
      <c r="AB687" s="979">
        <v>2200</v>
      </c>
      <c r="AC687" s="979">
        <v>3200</v>
      </c>
      <c r="AD687" s="979">
        <v>2300</v>
      </c>
      <c r="AE687" s="1109">
        <f t="shared" si="136"/>
        <v>129200</v>
      </c>
      <c r="AF687" s="1113">
        <v>3900</v>
      </c>
      <c r="AG687" s="981">
        <v>4300</v>
      </c>
      <c r="AH687" s="981">
        <v>5300</v>
      </c>
      <c r="AI687" s="1114">
        <f t="shared" si="137"/>
        <v>13500</v>
      </c>
      <c r="AJ687" s="1110">
        <f t="shared" si="138"/>
        <v>159200</v>
      </c>
      <c r="AK687" s="982">
        <f>'09월 에너지'!S687</f>
        <v>144.4</v>
      </c>
      <c r="AL687" s="983">
        <f t="shared" si="139"/>
        <v>0.90703517587939697</v>
      </c>
    </row>
    <row r="688" spans="1:38" ht="16.5" customHeight="1">
      <c r="A688" s="999">
        <f>'09월 에너지'!A688</f>
        <v>46290</v>
      </c>
      <c r="B688" s="1002">
        <f>'09월 조업일지'!B686</f>
        <v>46290</v>
      </c>
      <c r="C688" s="1003" t="str">
        <f>'09월 에너지'!C688</f>
        <v>A</v>
      </c>
      <c r="D688" s="1004" t="str">
        <f>'09월 에너지'!D688</f>
        <v>B</v>
      </c>
      <c r="E688" s="1000">
        <f>'09월 에너지'!E688</f>
        <v>85888</v>
      </c>
      <c r="F688" s="1094" t="str">
        <f>'09월 에너지'!F688</f>
        <v>SHP275W</v>
      </c>
      <c r="G688" s="980">
        <v>0</v>
      </c>
      <c r="H688" s="978">
        <v>0</v>
      </c>
      <c r="I688" s="978">
        <f>9600+2200</f>
        <v>11800</v>
      </c>
      <c r="J688" s="978">
        <v>0</v>
      </c>
      <c r="K688" s="978">
        <v>0</v>
      </c>
      <c r="L688" s="978">
        <v>0</v>
      </c>
      <c r="M688" s="978">
        <v>0</v>
      </c>
      <c r="N688" s="978">
        <v>0</v>
      </c>
      <c r="O688" s="1106">
        <f t="shared" si="135"/>
        <v>11800</v>
      </c>
      <c r="P688" s="1108">
        <f>7900+9600+12300+10100+7600+1600+2100</f>
        <v>51200</v>
      </c>
      <c r="Q688" s="979">
        <f>4900+5300</f>
        <v>10200</v>
      </c>
      <c r="R688" s="979">
        <v>2900</v>
      </c>
      <c r="S688" s="979">
        <v>0</v>
      </c>
      <c r="T688" s="979">
        <v>0</v>
      </c>
      <c r="U688" s="979">
        <v>15200</v>
      </c>
      <c r="V688" s="979">
        <f>3600+9200</f>
        <v>12800</v>
      </c>
      <c r="W688" s="979">
        <v>3000</v>
      </c>
      <c r="X688" s="979">
        <v>7700</v>
      </c>
      <c r="Y688" s="979">
        <f>4500+3200</f>
        <v>7700</v>
      </c>
      <c r="Z688" s="979">
        <v>0</v>
      </c>
      <c r="AA688" s="979">
        <v>3700</v>
      </c>
      <c r="AB688" s="979">
        <v>2900</v>
      </c>
      <c r="AC688" s="979">
        <v>2600</v>
      </c>
      <c r="AD688" s="979">
        <v>2900</v>
      </c>
      <c r="AE688" s="1109">
        <f t="shared" si="136"/>
        <v>122800</v>
      </c>
      <c r="AF688" s="1113">
        <v>3800</v>
      </c>
      <c r="AG688" s="981">
        <v>10300</v>
      </c>
      <c r="AH688" s="981">
        <v>10100</v>
      </c>
      <c r="AI688" s="1114">
        <f t="shared" si="137"/>
        <v>24200</v>
      </c>
      <c r="AJ688" s="1110">
        <f t="shared" si="138"/>
        <v>158800</v>
      </c>
      <c r="AK688" s="982">
        <f>'09월 에너지'!S688</f>
        <v>145.1</v>
      </c>
      <c r="AL688" s="983">
        <f t="shared" si="139"/>
        <v>0.91372795969773302</v>
      </c>
    </row>
    <row r="689" spans="1:38" ht="16.5" customHeight="1">
      <c r="A689" s="999">
        <f>'09월 에너지'!A689</f>
        <v>46290</v>
      </c>
      <c r="B689" s="1002">
        <f>'09월 조업일지'!B687</f>
        <v>46290</v>
      </c>
      <c r="C689" s="1003" t="str">
        <f>'09월 에너지'!C689</f>
        <v>A</v>
      </c>
      <c r="D689" s="1004" t="str">
        <f>'09월 에너지'!D689</f>
        <v>A</v>
      </c>
      <c r="E689" s="1000">
        <f>'09월 에너지'!E689</f>
        <v>85889</v>
      </c>
      <c r="F689" s="1170" t="str">
        <f>'09월 에너지'!F689</f>
        <v>SHN275(BB)</v>
      </c>
      <c r="G689" s="980">
        <v>0</v>
      </c>
      <c r="H689" s="978">
        <v>0</v>
      </c>
      <c r="I689" s="978">
        <f>10300+6300</f>
        <v>16600</v>
      </c>
      <c r="J689" s="978">
        <v>0</v>
      </c>
      <c r="K689" s="978">
        <v>0</v>
      </c>
      <c r="L689" s="978">
        <v>0</v>
      </c>
      <c r="M689" s="978">
        <v>0</v>
      </c>
      <c r="N689" s="978">
        <v>0</v>
      </c>
      <c r="O689" s="1106">
        <f t="shared" si="135"/>
        <v>16600</v>
      </c>
      <c r="P689" s="1108">
        <f>3800+4600+8200+8100+6900+2700</f>
        <v>34300</v>
      </c>
      <c r="Q689" s="979">
        <f>13200+6200</f>
        <v>19400</v>
      </c>
      <c r="R689" s="979">
        <v>7000</v>
      </c>
      <c r="S689" s="979">
        <v>0</v>
      </c>
      <c r="T689" s="979">
        <v>0</v>
      </c>
      <c r="U689" s="979">
        <v>0</v>
      </c>
      <c r="V689" s="979">
        <f>3100+6800+9300</f>
        <v>19200</v>
      </c>
      <c r="W689" s="979">
        <v>3900</v>
      </c>
      <c r="X689" s="979">
        <v>8000</v>
      </c>
      <c r="Y689" s="979">
        <f>900+5700</f>
        <v>6600</v>
      </c>
      <c r="Z689" s="979">
        <v>0</v>
      </c>
      <c r="AA689" s="979">
        <v>14400</v>
      </c>
      <c r="AB689" s="979">
        <v>1400</v>
      </c>
      <c r="AC689" s="979">
        <v>3000</v>
      </c>
      <c r="AD689" s="979">
        <v>8300</v>
      </c>
      <c r="AE689" s="1109">
        <f t="shared" si="136"/>
        <v>125500</v>
      </c>
      <c r="AF689" s="1113">
        <v>3500</v>
      </c>
      <c r="AG689" s="981">
        <f>8200+2400</f>
        <v>10600</v>
      </c>
      <c r="AH689" s="981">
        <v>2700</v>
      </c>
      <c r="AI689" s="1114">
        <f t="shared" si="137"/>
        <v>16800</v>
      </c>
      <c r="AJ689" s="1110">
        <f t="shared" si="138"/>
        <v>158900</v>
      </c>
      <c r="AK689" s="982">
        <f>'09월 에너지'!S689</f>
        <v>144.6</v>
      </c>
      <c r="AL689" s="983">
        <f t="shared" si="139"/>
        <v>0.91000629326620519</v>
      </c>
    </row>
    <row r="690" spans="1:38" ht="16.5" customHeight="1">
      <c r="A690" s="999">
        <f>'09월 에너지'!A690</f>
        <v>46290</v>
      </c>
      <c r="B690" s="1002">
        <f>'09월 조업일지'!B688</f>
        <v>46290</v>
      </c>
      <c r="C690" s="1003" t="str">
        <f>'09월 에너지'!C690</f>
        <v>A</v>
      </c>
      <c r="D690" s="1004" t="str">
        <f>'09월 에너지'!D690</f>
        <v>B</v>
      </c>
      <c r="E690" s="1000">
        <f>'09월 에너지'!E690</f>
        <v>85890</v>
      </c>
      <c r="F690" s="1094" t="str">
        <f>'09월 에너지'!F690</f>
        <v>SHN275(BB)</v>
      </c>
      <c r="G690" s="980">
        <v>0</v>
      </c>
      <c r="H690" s="978">
        <v>0</v>
      </c>
      <c r="I690" s="978">
        <f>11400+5700</f>
        <v>17100</v>
      </c>
      <c r="J690" s="978">
        <v>0</v>
      </c>
      <c r="K690" s="978">
        <v>0</v>
      </c>
      <c r="L690" s="978">
        <v>0</v>
      </c>
      <c r="M690" s="978">
        <v>0</v>
      </c>
      <c r="N690" s="978">
        <v>0</v>
      </c>
      <c r="O690" s="1106">
        <f t="shared" si="135"/>
        <v>17100</v>
      </c>
      <c r="P690" s="1108">
        <f>6900+4500+7200+11600+5800+8400</f>
        <v>44400</v>
      </c>
      <c r="Q690" s="979">
        <f>12500+5800</f>
        <v>18300</v>
      </c>
      <c r="R690" s="979">
        <v>8500</v>
      </c>
      <c r="S690" s="979">
        <v>0</v>
      </c>
      <c r="T690" s="979">
        <v>0</v>
      </c>
      <c r="U690" s="979">
        <v>0</v>
      </c>
      <c r="V690" s="979">
        <f>2600+6700+9200</f>
        <v>18500</v>
      </c>
      <c r="W690" s="979">
        <v>3400</v>
      </c>
      <c r="X690" s="979">
        <v>9700</v>
      </c>
      <c r="Y690" s="979">
        <f>4000+2200</f>
        <v>6200</v>
      </c>
      <c r="Z690" s="979">
        <v>0</v>
      </c>
      <c r="AA690" s="979">
        <v>2400</v>
      </c>
      <c r="AB690" s="979">
        <v>1600</v>
      </c>
      <c r="AC690" s="979">
        <v>0</v>
      </c>
      <c r="AD690" s="979">
        <v>1800</v>
      </c>
      <c r="AE690" s="1109">
        <f t="shared" si="136"/>
        <v>114800</v>
      </c>
      <c r="AF690" s="1113">
        <v>4400</v>
      </c>
      <c r="AG690" s="981">
        <f>16900+2600</f>
        <v>19500</v>
      </c>
      <c r="AH690" s="981">
        <v>2600</v>
      </c>
      <c r="AI690" s="1114">
        <f t="shared" si="137"/>
        <v>26500</v>
      </c>
      <c r="AJ690" s="1110">
        <f t="shared" si="138"/>
        <v>158400</v>
      </c>
      <c r="AK690" s="982">
        <f>'09월 에너지'!S690</f>
        <v>144.69999999999999</v>
      </c>
      <c r="AL690" s="983">
        <f t="shared" si="139"/>
        <v>0.91351010101010099</v>
      </c>
    </row>
    <row r="691" spans="1:38" ht="16.5" customHeight="1">
      <c r="A691" s="999">
        <f>'09월 에너지'!A691</f>
        <v>46290</v>
      </c>
      <c r="B691" s="1002">
        <f>'09월 조업일지'!B689</f>
        <v>46290</v>
      </c>
      <c r="C691" s="1003" t="str">
        <f>'09월 에너지'!C691</f>
        <v>A</v>
      </c>
      <c r="D691" s="1004" t="str">
        <f>'09월 에너지'!D691</f>
        <v>A</v>
      </c>
      <c r="E691" s="1000">
        <f>'09월 에너지'!E691</f>
        <v>85891</v>
      </c>
      <c r="F691" s="1094" t="str">
        <f>'09월 에너지'!F691</f>
        <v>SHN275(BB)</v>
      </c>
      <c r="G691" s="980">
        <v>0</v>
      </c>
      <c r="H691" s="978">
        <v>0</v>
      </c>
      <c r="I691" s="978">
        <f>10900+6700</f>
        <v>17600</v>
      </c>
      <c r="J691" s="978">
        <v>0</v>
      </c>
      <c r="K691" s="978">
        <v>0</v>
      </c>
      <c r="L691" s="978">
        <v>0</v>
      </c>
      <c r="M691" s="978">
        <v>0</v>
      </c>
      <c r="N691" s="978">
        <v>0</v>
      </c>
      <c r="O691" s="1106">
        <f t="shared" si="135"/>
        <v>17600</v>
      </c>
      <c r="P691" s="1108">
        <f>3400+1600+9900+12000+5900+9300</f>
        <v>42100</v>
      </c>
      <c r="Q691" s="979">
        <f>11000+1500</f>
        <v>12500</v>
      </c>
      <c r="R691" s="979">
        <v>5000</v>
      </c>
      <c r="S691" s="979">
        <v>0</v>
      </c>
      <c r="T691" s="979">
        <v>0</v>
      </c>
      <c r="U691" s="979">
        <v>0</v>
      </c>
      <c r="V691" s="979">
        <f>6800+5400+9700</f>
        <v>21900</v>
      </c>
      <c r="W691" s="979">
        <v>3400</v>
      </c>
      <c r="X691" s="979">
        <v>9200</v>
      </c>
      <c r="Y691" s="979">
        <f>6500+2000+1800</f>
        <v>10300</v>
      </c>
      <c r="Z691" s="979">
        <v>0</v>
      </c>
      <c r="AA691" s="979">
        <v>2100</v>
      </c>
      <c r="AB691" s="979">
        <v>1900</v>
      </c>
      <c r="AC691" s="979">
        <v>0</v>
      </c>
      <c r="AD691" s="979">
        <v>6700</v>
      </c>
      <c r="AE691" s="1109">
        <f t="shared" si="136"/>
        <v>115100</v>
      </c>
      <c r="AF691" s="1113">
        <v>3900</v>
      </c>
      <c r="AG691" s="981">
        <f>11100+5000</f>
        <v>16100</v>
      </c>
      <c r="AH691" s="981">
        <v>5700</v>
      </c>
      <c r="AI691" s="1114">
        <f t="shared" si="137"/>
        <v>25700</v>
      </c>
      <c r="AJ691" s="1110">
        <f t="shared" si="138"/>
        <v>158400</v>
      </c>
      <c r="AK691" s="982">
        <f>'09월 에너지'!S691</f>
        <v>144</v>
      </c>
      <c r="AL691" s="983">
        <f t="shared" si="139"/>
        <v>0.90909090909090906</v>
      </c>
    </row>
    <row r="692" spans="1:38" ht="16.5" customHeight="1">
      <c r="A692" s="999">
        <f>'09월 에너지'!A692</f>
        <v>46290</v>
      </c>
      <c r="B692" s="1002">
        <f>'09월 조업일지'!B690</f>
        <v>46290</v>
      </c>
      <c r="C692" s="1003" t="str">
        <f>'09월 에너지'!C692</f>
        <v>A</v>
      </c>
      <c r="D692" s="1004" t="str">
        <f>'09월 에너지'!D692</f>
        <v>B</v>
      </c>
      <c r="E692" s="1000">
        <f>'09월 에너지'!E692</f>
        <v>85892</v>
      </c>
      <c r="F692" s="1170" t="str">
        <f>'09월 에너지'!F692</f>
        <v>SS400(ToMok)</v>
      </c>
      <c r="G692" s="980">
        <v>0</v>
      </c>
      <c r="H692" s="978">
        <v>0</v>
      </c>
      <c r="I692" s="978">
        <f>7000+1000</f>
        <v>8000</v>
      </c>
      <c r="J692" s="978">
        <v>0</v>
      </c>
      <c r="K692" s="978">
        <v>0</v>
      </c>
      <c r="L692" s="978">
        <v>0</v>
      </c>
      <c r="M692" s="978">
        <v>0</v>
      </c>
      <c r="N692" s="978">
        <v>0</v>
      </c>
      <c r="O692" s="1106">
        <f t="shared" si="135"/>
        <v>8000</v>
      </c>
      <c r="P692" s="1108">
        <f>5700+11400+7800+12600+6500+8800+3200</f>
        <v>56000</v>
      </c>
      <c r="Q692" s="979">
        <f>11900+7500</f>
        <v>19400</v>
      </c>
      <c r="R692" s="979">
        <v>10000</v>
      </c>
      <c r="S692" s="979">
        <v>0</v>
      </c>
      <c r="T692" s="979">
        <v>0</v>
      </c>
      <c r="U692" s="979">
        <v>6600</v>
      </c>
      <c r="V692" s="979">
        <f>2700+8000</f>
        <v>10700</v>
      </c>
      <c r="W692" s="979">
        <v>2500</v>
      </c>
      <c r="X692" s="979">
        <v>10000</v>
      </c>
      <c r="Y692" s="979">
        <f>700+1200</f>
        <v>1900</v>
      </c>
      <c r="Z692" s="979">
        <v>0</v>
      </c>
      <c r="AA692" s="979">
        <v>4700</v>
      </c>
      <c r="AB692" s="979">
        <v>1900</v>
      </c>
      <c r="AC692" s="979">
        <v>4600</v>
      </c>
      <c r="AD692" s="979">
        <v>2700</v>
      </c>
      <c r="AE692" s="1109">
        <f t="shared" si="136"/>
        <v>131000</v>
      </c>
      <c r="AF692" s="1113">
        <v>3600</v>
      </c>
      <c r="AG692" s="981">
        <v>9000</v>
      </c>
      <c r="AH692" s="981">
        <v>5900</v>
      </c>
      <c r="AI692" s="1114">
        <f t="shared" si="137"/>
        <v>18500</v>
      </c>
      <c r="AJ692" s="1110">
        <f t="shared" si="138"/>
        <v>157500</v>
      </c>
      <c r="AK692" s="982">
        <f>'09월 에너지'!S692</f>
        <v>143.19999999999999</v>
      </c>
      <c r="AL692" s="983">
        <f t="shared" si="139"/>
        <v>0.90920634920634924</v>
      </c>
    </row>
    <row r="693" spans="1:38" ht="16.5" customHeight="1">
      <c r="A693" s="999">
        <f>'09월 에너지'!A693</f>
        <v>46290</v>
      </c>
      <c r="B693" s="1002">
        <f>'09월 조업일지'!B691</f>
        <v>46290</v>
      </c>
      <c r="C693" s="1003" t="str">
        <f>'09월 에너지'!C693</f>
        <v>A</v>
      </c>
      <c r="D693" s="1004" t="str">
        <f>'09월 에너지'!D693</f>
        <v>A</v>
      </c>
      <c r="E693" s="1000">
        <f>'09월 에너지'!E693</f>
        <v>85893</v>
      </c>
      <c r="F693" s="1094" t="str">
        <f>'09월 에너지'!F693</f>
        <v>SS400(ToMok)</v>
      </c>
      <c r="G693" s="980">
        <v>0</v>
      </c>
      <c r="H693" s="978">
        <v>0</v>
      </c>
      <c r="I693" s="978">
        <f>3400+6200</f>
        <v>9600</v>
      </c>
      <c r="J693" s="978">
        <v>0</v>
      </c>
      <c r="K693" s="978">
        <v>0</v>
      </c>
      <c r="L693" s="978">
        <v>0</v>
      </c>
      <c r="M693" s="978">
        <v>0</v>
      </c>
      <c r="N693" s="978">
        <v>0</v>
      </c>
      <c r="O693" s="1106">
        <f t="shared" si="135"/>
        <v>9600</v>
      </c>
      <c r="P693" s="1108">
        <f>10600+8600+10400+13100+6700+7200+5800</f>
        <v>62400</v>
      </c>
      <c r="Q693" s="979">
        <f>8600+1300</f>
        <v>9900</v>
      </c>
      <c r="R693" s="979">
        <v>4500</v>
      </c>
      <c r="S693" s="979">
        <v>0</v>
      </c>
      <c r="T693" s="979">
        <v>0</v>
      </c>
      <c r="U693" s="979">
        <v>8800</v>
      </c>
      <c r="V693" s="979">
        <f>3600+8900</f>
        <v>12500</v>
      </c>
      <c r="W693" s="979">
        <v>3100</v>
      </c>
      <c r="X693" s="979">
        <v>8100</v>
      </c>
      <c r="Y693" s="979">
        <v>5800</v>
      </c>
      <c r="Z693" s="979">
        <v>0</v>
      </c>
      <c r="AA693" s="979">
        <v>1600</v>
      </c>
      <c r="AB693" s="979">
        <v>3500</v>
      </c>
      <c r="AC693" s="979">
        <v>2500</v>
      </c>
      <c r="AD693" s="979">
        <v>4200</v>
      </c>
      <c r="AE693" s="1109">
        <f t="shared" si="136"/>
        <v>126900</v>
      </c>
      <c r="AF693" s="1113">
        <v>4100</v>
      </c>
      <c r="AG693" s="981">
        <v>11200</v>
      </c>
      <c r="AH693" s="981">
        <v>5700</v>
      </c>
      <c r="AI693" s="1114">
        <f t="shared" si="137"/>
        <v>21000</v>
      </c>
      <c r="AJ693" s="1110">
        <f t="shared" si="138"/>
        <v>157500</v>
      </c>
      <c r="AK693" s="982">
        <f>'09월 에너지'!S693</f>
        <v>143.1</v>
      </c>
      <c r="AL693" s="983">
        <f t="shared" si="139"/>
        <v>0.90857142857142859</v>
      </c>
    </row>
    <row r="694" spans="1:38" ht="16.5" customHeight="1">
      <c r="A694" s="999">
        <f>'09월 에너지'!A694</f>
        <v>46290</v>
      </c>
      <c r="B694" s="1002">
        <f>'09월 조업일지'!B692</f>
        <v>46290</v>
      </c>
      <c r="C694" s="1003" t="str">
        <f>'09월 에너지'!C694</f>
        <v>A</v>
      </c>
      <c r="D694" s="1004" t="str">
        <f>'09월 에너지'!D694</f>
        <v>B</v>
      </c>
      <c r="E694" s="1000">
        <f>'09월 에너지'!E694</f>
        <v>85894</v>
      </c>
      <c r="F694" s="1094" t="str">
        <f>'09월 에너지'!F694</f>
        <v>SS400(ToMok)</v>
      </c>
      <c r="G694" s="980">
        <v>0</v>
      </c>
      <c r="H694" s="978">
        <v>0</v>
      </c>
      <c r="I694" s="978">
        <f>7400+7900</f>
        <v>15300</v>
      </c>
      <c r="J694" s="978">
        <v>0</v>
      </c>
      <c r="K694" s="978">
        <v>0</v>
      </c>
      <c r="L694" s="978">
        <v>0</v>
      </c>
      <c r="M694" s="978">
        <v>0</v>
      </c>
      <c r="N694" s="978">
        <v>0</v>
      </c>
      <c r="O694" s="1106">
        <f t="shared" si="135"/>
        <v>15300</v>
      </c>
      <c r="P694" s="1108">
        <f>6500+8200+10100+16100+9700+2400+2100</f>
        <v>55100</v>
      </c>
      <c r="Q694" s="979">
        <f>5100+7400</f>
        <v>12500</v>
      </c>
      <c r="R694" s="979">
        <v>9200</v>
      </c>
      <c r="S694" s="979">
        <v>0</v>
      </c>
      <c r="T694" s="979">
        <v>0</v>
      </c>
      <c r="U694" s="979">
        <v>5800</v>
      </c>
      <c r="V694" s="979">
        <f>1900+9000</f>
        <v>10900</v>
      </c>
      <c r="W694" s="979">
        <v>1900</v>
      </c>
      <c r="X694" s="979">
        <v>7800</v>
      </c>
      <c r="Y694" s="979">
        <f>400+2600</f>
        <v>3000</v>
      </c>
      <c r="Z694" s="979">
        <v>0</v>
      </c>
      <c r="AA694" s="979">
        <v>3900</v>
      </c>
      <c r="AB694" s="979">
        <v>3400</v>
      </c>
      <c r="AC694" s="979">
        <v>5000</v>
      </c>
      <c r="AD694" s="979">
        <v>2400</v>
      </c>
      <c r="AE694" s="1109">
        <f t="shared" si="136"/>
        <v>120900</v>
      </c>
      <c r="AF694" s="1113">
        <v>3200</v>
      </c>
      <c r="AG694" s="981">
        <v>10600</v>
      </c>
      <c r="AH694" s="981">
        <v>8700</v>
      </c>
      <c r="AI694" s="1114">
        <f t="shared" si="137"/>
        <v>22500</v>
      </c>
      <c r="AJ694" s="1110">
        <f t="shared" si="138"/>
        <v>158700</v>
      </c>
      <c r="AK694" s="982">
        <f>'09월 에너지'!S694</f>
        <v>143.69999999999999</v>
      </c>
      <c r="AL694" s="983">
        <f t="shared" si="139"/>
        <v>0.90548204158790169</v>
      </c>
    </row>
    <row r="695" spans="1:38" ht="16.5" customHeight="1">
      <c r="A695" s="999">
        <f>'09월 에너지'!A695</f>
        <v>46291</v>
      </c>
      <c r="B695" s="1002">
        <f>'09월 조업일지'!B693</f>
        <v>46290</v>
      </c>
      <c r="C695" s="1003" t="str">
        <f>'09월 에너지'!C695</f>
        <v>A</v>
      </c>
      <c r="D695" s="1004" t="str">
        <f>'09월 에너지'!D695</f>
        <v>A</v>
      </c>
      <c r="E695" s="1000">
        <f>'09월 에너지'!E695</f>
        <v>85895</v>
      </c>
      <c r="F695" s="1170" t="str">
        <f>'09월 에너지'!F695</f>
        <v>SS400-01</v>
      </c>
      <c r="G695" s="980">
        <v>0</v>
      </c>
      <c r="H695" s="978">
        <v>0</v>
      </c>
      <c r="I695" s="978">
        <f>9100+4600</f>
        <v>13700</v>
      </c>
      <c r="J695" s="978">
        <v>0</v>
      </c>
      <c r="K695" s="978">
        <v>0</v>
      </c>
      <c r="L695" s="978">
        <v>0</v>
      </c>
      <c r="M695" s="978">
        <v>0</v>
      </c>
      <c r="N695" s="978">
        <v>0</v>
      </c>
      <c r="O695" s="1106">
        <f t="shared" si="135"/>
        <v>13700</v>
      </c>
      <c r="P695" s="1108">
        <f>8300+4600+8800+14300+6100+600+9800</f>
        <v>52500</v>
      </c>
      <c r="Q695" s="979">
        <f>13900+1400</f>
        <v>15300</v>
      </c>
      <c r="R695" s="979">
        <v>4200</v>
      </c>
      <c r="S695" s="979">
        <v>0</v>
      </c>
      <c r="T695" s="979">
        <v>0</v>
      </c>
      <c r="U695" s="979">
        <v>9400</v>
      </c>
      <c r="V695" s="979">
        <f>5400+9400</f>
        <v>14800</v>
      </c>
      <c r="W695" s="979">
        <v>2800</v>
      </c>
      <c r="X695" s="979">
        <v>9100</v>
      </c>
      <c r="Y695" s="979">
        <f>3100+4500</f>
        <v>7600</v>
      </c>
      <c r="Z695" s="979">
        <v>0</v>
      </c>
      <c r="AA695" s="979">
        <v>700</v>
      </c>
      <c r="AB695" s="979">
        <v>1600</v>
      </c>
      <c r="AC695" s="979">
        <v>2100</v>
      </c>
      <c r="AD695" s="979">
        <v>4300</v>
      </c>
      <c r="AE695" s="1109">
        <f t="shared" si="136"/>
        <v>124400</v>
      </c>
      <c r="AF695" s="1113">
        <v>3300</v>
      </c>
      <c r="AG695" s="981">
        <v>12500</v>
      </c>
      <c r="AH695" s="981">
        <v>4400</v>
      </c>
      <c r="AI695" s="1114">
        <f t="shared" si="137"/>
        <v>20200</v>
      </c>
      <c r="AJ695" s="1110">
        <f t="shared" si="138"/>
        <v>158300</v>
      </c>
      <c r="AK695" s="982">
        <f>'09월 에너지'!S695</f>
        <v>143.6</v>
      </c>
      <c r="AL695" s="983">
        <f t="shared" si="139"/>
        <v>0.9071383449147189</v>
      </c>
    </row>
    <row r="696" spans="1:38" ht="16.5" customHeight="1">
      <c r="A696" s="999">
        <f>'09월 에너지'!A696</f>
        <v>46291</v>
      </c>
      <c r="B696" s="1002">
        <f>'09월 조업일지'!B694</f>
        <v>46290</v>
      </c>
      <c r="C696" s="1003" t="str">
        <f>'09월 에너지'!C696</f>
        <v>A</v>
      </c>
      <c r="D696" s="1004" t="str">
        <f>'09월 에너지'!D696</f>
        <v>B</v>
      </c>
      <c r="E696" s="1000">
        <f>'09월 에너지'!E696</f>
        <v>85896</v>
      </c>
      <c r="F696" s="1170" t="str">
        <f>'09월 에너지'!F696</f>
        <v>SY300</v>
      </c>
      <c r="G696" s="980">
        <v>0</v>
      </c>
      <c r="H696" s="978">
        <v>0</v>
      </c>
      <c r="I696" s="978">
        <f>14400+5100</f>
        <v>19500</v>
      </c>
      <c r="J696" s="978">
        <v>0</v>
      </c>
      <c r="K696" s="978">
        <v>0</v>
      </c>
      <c r="L696" s="978">
        <v>0</v>
      </c>
      <c r="M696" s="978">
        <v>0</v>
      </c>
      <c r="N696" s="978">
        <v>0</v>
      </c>
      <c r="O696" s="1106">
        <f t="shared" si="135"/>
        <v>19500</v>
      </c>
      <c r="P696" s="1108">
        <f>8200+7500+10100+8100+5700+8000</f>
        <v>47600</v>
      </c>
      <c r="Q696" s="979">
        <f>14100+5700</f>
        <v>19800</v>
      </c>
      <c r="R696" s="979">
        <v>7700</v>
      </c>
      <c r="S696" s="979">
        <v>0</v>
      </c>
      <c r="T696" s="979">
        <v>0</v>
      </c>
      <c r="U696" s="979">
        <v>0</v>
      </c>
      <c r="V696" s="979">
        <f>1900+2600+10500</f>
        <v>15000</v>
      </c>
      <c r="W696" s="979">
        <v>4000</v>
      </c>
      <c r="X696" s="979">
        <v>9400</v>
      </c>
      <c r="Y696" s="979">
        <f>2000+1300+2900</f>
        <v>6200</v>
      </c>
      <c r="Z696" s="979">
        <v>0</v>
      </c>
      <c r="AA696" s="979">
        <v>4100</v>
      </c>
      <c r="AB696" s="979">
        <v>2700</v>
      </c>
      <c r="AC696" s="979">
        <v>0</v>
      </c>
      <c r="AD696" s="979">
        <v>2100</v>
      </c>
      <c r="AE696" s="1109">
        <f t="shared" si="136"/>
        <v>118600</v>
      </c>
      <c r="AF696" s="1113">
        <v>3600</v>
      </c>
      <c r="AG696" s="981">
        <f>5900+5700</f>
        <v>11600</v>
      </c>
      <c r="AH696" s="981">
        <v>4900</v>
      </c>
      <c r="AI696" s="1114">
        <f t="shared" si="137"/>
        <v>20100</v>
      </c>
      <c r="AJ696" s="1110">
        <f t="shared" si="138"/>
        <v>158200</v>
      </c>
      <c r="AK696" s="982">
        <f>'09월 에너지'!S696</f>
        <v>147.80000000000001</v>
      </c>
      <c r="AL696" s="983">
        <f t="shared" si="139"/>
        <v>0.93426042983565105</v>
      </c>
    </row>
    <row r="697" spans="1:38" ht="16.5" customHeight="1">
      <c r="A697" s="999">
        <f>'09월 에너지'!A697</f>
        <v>46291</v>
      </c>
      <c r="B697" s="1002">
        <f>'09월 조업일지'!B695</f>
        <v>46290</v>
      </c>
      <c r="C697" s="1003" t="str">
        <f>'09월 에너지'!C697</f>
        <v>A</v>
      </c>
      <c r="D697" s="1004" t="str">
        <f>'09월 에너지'!D697</f>
        <v>A</v>
      </c>
      <c r="E697" s="1000">
        <f>'09월 에너지'!E697</f>
        <v>85897</v>
      </c>
      <c r="F697" s="1094" t="str">
        <f>'09월 에너지'!F697</f>
        <v>SY300</v>
      </c>
      <c r="G697" s="980">
        <v>0</v>
      </c>
      <c r="H697" s="978">
        <v>0</v>
      </c>
      <c r="I697" s="978">
        <f>11500+700</f>
        <v>12200</v>
      </c>
      <c r="J697" s="978">
        <v>0</v>
      </c>
      <c r="K697" s="978">
        <v>0</v>
      </c>
      <c r="L697" s="978">
        <v>0</v>
      </c>
      <c r="M697" s="978">
        <v>0</v>
      </c>
      <c r="N697" s="978">
        <v>0</v>
      </c>
      <c r="O697" s="1106">
        <f t="shared" si="135"/>
        <v>12200</v>
      </c>
      <c r="P697" s="1108">
        <f>5900+500+10300+12000+6700+7400</f>
        <v>42800</v>
      </c>
      <c r="Q697" s="979">
        <f>11300+5200</f>
        <v>16500</v>
      </c>
      <c r="R697" s="979">
        <v>4800</v>
      </c>
      <c r="S697" s="979">
        <v>0</v>
      </c>
      <c r="T697" s="979">
        <v>0</v>
      </c>
      <c r="U697" s="979">
        <v>0</v>
      </c>
      <c r="V697" s="979">
        <f>8400+7800+5200</f>
        <v>21400</v>
      </c>
      <c r="W697" s="979">
        <v>3600</v>
      </c>
      <c r="X697" s="979">
        <v>8400</v>
      </c>
      <c r="Y697" s="979">
        <f>3000+4100+1700</f>
        <v>8800</v>
      </c>
      <c r="Z697" s="979">
        <v>0</v>
      </c>
      <c r="AA697" s="979">
        <v>2300</v>
      </c>
      <c r="AB697" s="979">
        <v>3300</v>
      </c>
      <c r="AC697" s="979">
        <v>0</v>
      </c>
      <c r="AD697" s="979">
        <v>1800</v>
      </c>
      <c r="AE697" s="1109">
        <f t="shared" si="136"/>
        <v>113700</v>
      </c>
      <c r="AF697" s="1113">
        <v>4800</v>
      </c>
      <c r="AG697" s="981">
        <f>14100+8300</f>
        <v>22400</v>
      </c>
      <c r="AH697" s="981">
        <v>5500</v>
      </c>
      <c r="AI697" s="1114">
        <f t="shared" si="137"/>
        <v>32700</v>
      </c>
      <c r="AJ697" s="1110">
        <f t="shared" si="138"/>
        <v>158600</v>
      </c>
      <c r="AK697" s="982">
        <f>'09월 에너지'!S697</f>
        <v>142.9</v>
      </c>
      <c r="AL697" s="983">
        <f t="shared" si="139"/>
        <v>0.90100882723833542</v>
      </c>
    </row>
    <row r="698" spans="1:38" ht="16.5" customHeight="1">
      <c r="A698" s="999">
        <f>'09월 에너지'!A698</f>
        <v>46291</v>
      </c>
      <c r="B698" s="1002">
        <f>'09월 조업일지'!B696</f>
        <v>46290</v>
      </c>
      <c r="C698" s="1003" t="str">
        <f>'09월 에너지'!C698</f>
        <v>A</v>
      </c>
      <c r="D698" s="1004" t="str">
        <f>'09월 에너지'!D698</f>
        <v>B</v>
      </c>
      <c r="E698" s="1000">
        <f>'09월 에너지'!E698</f>
        <v>85898</v>
      </c>
      <c r="F698" s="1170" t="str">
        <f>'09월 에너지'!F698</f>
        <v>S355JO-01</v>
      </c>
      <c r="G698" s="980"/>
      <c r="H698" s="978"/>
      <c r="I698" s="978">
        <f>11200+6200</f>
        <v>17400</v>
      </c>
      <c r="J698" s="978"/>
      <c r="K698" s="978"/>
      <c r="L698" s="978"/>
      <c r="M698" s="978"/>
      <c r="N698" s="978"/>
      <c r="O698" s="1106">
        <f t="shared" si="135"/>
        <v>17400</v>
      </c>
      <c r="P698" s="1108">
        <v>49900</v>
      </c>
      <c r="Q698" s="979">
        <f>8500+5100</f>
        <v>13600</v>
      </c>
      <c r="R698" s="979">
        <v>8300</v>
      </c>
      <c r="S698" s="979"/>
      <c r="T698" s="979"/>
      <c r="U698" s="979"/>
      <c r="V698" s="979">
        <f>2100+3000+9800</f>
        <v>14900</v>
      </c>
      <c r="W698" s="979">
        <v>3200</v>
      </c>
      <c r="X698" s="979">
        <v>9000</v>
      </c>
      <c r="Y698" s="979">
        <f>3000+1800</f>
        <v>4800</v>
      </c>
      <c r="Z698" s="979"/>
      <c r="AA698" s="979">
        <v>1300</v>
      </c>
      <c r="AB698" s="979">
        <v>2700</v>
      </c>
      <c r="AC698" s="979"/>
      <c r="AD698" s="979">
        <v>6500</v>
      </c>
      <c r="AE698" s="1109">
        <f t="shared" si="136"/>
        <v>114200</v>
      </c>
      <c r="AF698" s="1113">
        <v>5000</v>
      </c>
      <c r="AG698" s="981">
        <v>13700</v>
      </c>
      <c r="AH698" s="981">
        <v>8600</v>
      </c>
      <c r="AI698" s="1114">
        <f t="shared" si="137"/>
        <v>27300</v>
      </c>
      <c r="AJ698" s="1110">
        <f t="shared" si="138"/>
        <v>158900</v>
      </c>
      <c r="AK698" s="982">
        <f>'09월 에너지'!S698</f>
        <v>143.19999999999999</v>
      </c>
      <c r="AL698" s="983">
        <f t="shared" si="139"/>
        <v>0.90119572057898045</v>
      </c>
    </row>
    <row r="699" spans="1:38" ht="16.5" customHeight="1">
      <c r="A699" s="999">
        <f>'09월 에너지'!A699</f>
        <v>46291</v>
      </c>
      <c r="B699" s="1002">
        <f>'09월 조업일지'!B697</f>
        <v>46291</v>
      </c>
      <c r="C699" s="1003" t="str">
        <f>'09월 에너지'!C699</f>
        <v>B</v>
      </c>
      <c r="D699" s="1004" t="str">
        <f>'09월 에너지'!D699</f>
        <v>A</v>
      </c>
      <c r="E699" s="1000">
        <f>'09월 에너지'!E699</f>
        <v>85899</v>
      </c>
      <c r="F699" s="1094" t="str">
        <f>'09월 에너지'!F699</f>
        <v>S355JO-01</v>
      </c>
      <c r="G699" s="980"/>
      <c r="H699" s="978"/>
      <c r="I699" s="978">
        <f>3000+1700</f>
        <v>4700</v>
      </c>
      <c r="J699" s="978"/>
      <c r="K699" s="978"/>
      <c r="L699" s="978"/>
      <c r="M699" s="978"/>
      <c r="N699" s="978"/>
      <c r="O699" s="1106">
        <f t="shared" si="135"/>
        <v>4700</v>
      </c>
      <c r="P699" s="1108">
        <f>10500+5800+8800+12500+6900+7300</f>
        <v>51800</v>
      </c>
      <c r="Q699" s="979">
        <f>13800+10800</f>
        <v>24600</v>
      </c>
      <c r="R699" s="979">
        <v>5200</v>
      </c>
      <c r="S699" s="979"/>
      <c r="T699" s="979"/>
      <c r="U699" s="979"/>
      <c r="V699" s="979">
        <f>6900+2100+8700+4100</f>
        <v>21800</v>
      </c>
      <c r="W699" s="979">
        <v>2900</v>
      </c>
      <c r="X699" s="979">
        <v>9900</v>
      </c>
      <c r="Y699" s="979">
        <v>8600</v>
      </c>
      <c r="Z699" s="979"/>
      <c r="AA699" s="979">
        <v>2600</v>
      </c>
      <c r="AB699" s="979">
        <v>1500</v>
      </c>
      <c r="AC699" s="979"/>
      <c r="AD699" s="979">
        <v>3300</v>
      </c>
      <c r="AE699" s="1109">
        <f t="shared" si="136"/>
        <v>132200</v>
      </c>
      <c r="AF699" s="1113">
        <v>4700</v>
      </c>
      <c r="AG699" s="981">
        <v>12100</v>
      </c>
      <c r="AH699" s="981">
        <v>4900</v>
      </c>
      <c r="AI699" s="1114">
        <f t="shared" si="137"/>
        <v>21700</v>
      </c>
      <c r="AJ699" s="1110">
        <f t="shared" si="138"/>
        <v>158600</v>
      </c>
      <c r="AK699" s="982">
        <f>'09월 에너지'!S699</f>
        <v>141.69999999999999</v>
      </c>
      <c r="AL699" s="983">
        <f t="shared" si="139"/>
        <v>0.89344262295081966</v>
      </c>
    </row>
    <row r="700" spans="1:38" ht="16.5" customHeight="1">
      <c r="A700" s="999">
        <f>'09월 에너지'!A700</f>
        <v>46291</v>
      </c>
      <c r="B700" s="1002">
        <f>'09월 조업일지'!B698</f>
        <v>46291</v>
      </c>
      <c r="C700" s="1003" t="str">
        <f>'09월 에너지'!C700</f>
        <v>B</v>
      </c>
      <c r="D700" s="1004" t="str">
        <f>'09월 에너지'!D700</f>
        <v>B</v>
      </c>
      <c r="E700" s="1000">
        <f>'09월 에너지'!E700</f>
        <v>85900</v>
      </c>
      <c r="F700" s="1094" t="str">
        <f>'09월 에너지'!F700</f>
        <v>S355JO-01</v>
      </c>
      <c r="G700" s="980"/>
      <c r="H700" s="978"/>
      <c r="I700" s="978">
        <f>12300+2600</f>
        <v>14900</v>
      </c>
      <c r="J700" s="978"/>
      <c r="K700" s="978"/>
      <c r="L700" s="978"/>
      <c r="M700" s="978"/>
      <c r="N700" s="978"/>
      <c r="O700" s="1106">
        <f t="shared" si="135"/>
        <v>14900</v>
      </c>
      <c r="P700" s="1108">
        <f>8200+1900+12900+13800+6500+1700</f>
        <v>45000</v>
      </c>
      <c r="Q700" s="979">
        <f>11000+7100</f>
        <v>18100</v>
      </c>
      <c r="R700" s="979">
        <v>7800</v>
      </c>
      <c r="S700" s="979"/>
      <c r="T700" s="979"/>
      <c r="U700" s="979"/>
      <c r="V700" s="979">
        <f>500+9400+8600+6600</f>
        <v>25100</v>
      </c>
      <c r="W700" s="979">
        <v>1400</v>
      </c>
      <c r="X700" s="979">
        <v>10700</v>
      </c>
      <c r="Y700" s="979">
        <f>8400+3000</f>
        <v>11400</v>
      </c>
      <c r="Z700" s="979"/>
      <c r="AA700" s="979">
        <v>2200</v>
      </c>
      <c r="AB700" s="979">
        <v>6000</v>
      </c>
      <c r="AC700" s="979"/>
      <c r="AD700" s="979">
        <v>2700</v>
      </c>
      <c r="AE700" s="1109">
        <f t="shared" si="136"/>
        <v>130400</v>
      </c>
      <c r="AF700" s="1113">
        <v>1000</v>
      </c>
      <c r="AG700" s="981">
        <v>7000</v>
      </c>
      <c r="AH700" s="981">
        <v>4900</v>
      </c>
      <c r="AI700" s="1114">
        <f t="shared" si="137"/>
        <v>12900</v>
      </c>
      <c r="AJ700" s="1110">
        <f t="shared" si="138"/>
        <v>158200</v>
      </c>
      <c r="AK700" s="982">
        <f>'09월 에너지'!S700</f>
        <v>141.80000000000001</v>
      </c>
      <c r="AL700" s="983">
        <f t="shared" si="139"/>
        <v>0.89633375474083443</v>
      </c>
    </row>
    <row r="701" spans="1:38" ht="16.5" customHeight="1">
      <c r="A701" s="999">
        <f>'09월 에너지'!A701</f>
        <v>46291</v>
      </c>
      <c r="B701" s="1002">
        <f>'09월 조업일지'!B699</f>
        <v>46291</v>
      </c>
      <c r="C701" s="1003" t="str">
        <f>'09월 에너지'!C701</f>
        <v>B</v>
      </c>
      <c r="D701" s="1004" t="str">
        <f>'09월 에너지'!D701</f>
        <v>B</v>
      </c>
      <c r="E701" s="1000">
        <f>'09월 에너지'!E701</f>
        <v>85901</v>
      </c>
      <c r="F701" s="1094" t="str">
        <f>'09월 에너지'!F701</f>
        <v>S355JO-01</v>
      </c>
      <c r="G701" s="980"/>
      <c r="H701" s="978"/>
      <c r="I701" s="978">
        <f>11900+200</f>
        <v>12100</v>
      </c>
      <c r="J701" s="978"/>
      <c r="K701" s="978"/>
      <c r="L701" s="978"/>
      <c r="M701" s="978"/>
      <c r="N701" s="978"/>
      <c r="O701" s="1106">
        <f t="shared" si="135"/>
        <v>12100</v>
      </c>
      <c r="P701" s="1108">
        <f>8400+7400+5800+11700+7500+8600</f>
        <v>49400</v>
      </c>
      <c r="Q701" s="979">
        <f>14300+14000</f>
        <v>28300</v>
      </c>
      <c r="R701" s="979">
        <v>1800</v>
      </c>
      <c r="S701" s="979"/>
      <c r="T701" s="979"/>
      <c r="U701" s="979"/>
      <c r="V701" s="979">
        <f>9700+1900+9800</f>
        <v>21400</v>
      </c>
      <c r="W701" s="979">
        <v>2100</v>
      </c>
      <c r="X701" s="979">
        <v>9700</v>
      </c>
      <c r="Y701" s="979">
        <f>100+2100</f>
        <v>2200</v>
      </c>
      <c r="Z701" s="979"/>
      <c r="AA701" s="979">
        <v>3000</v>
      </c>
      <c r="AB701" s="979">
        <v>4600</v>
      </c>
      <c r="AC701" s="979"/>
      <c r="AD701" s="979">
        <v>3200</v>
      </c>
      <c r="AE701" s="1109">
        <f t="shared" si="136"/>
        <v>125700</v>
      </c>
      <c r="AF701" s="1113">
        <v>4300</v>
      </c>
      <c r="AG701" s="981">
        <f>8300+4000</f>
        <v>12300</v>
      </c>
      <c r="AH701" s="981">
        <v>3900</v>
      </c>
      <c r="AI701" s="1114">
        <f t="shared" si="137"/>
        <v>20500</v>
      </c>
      <c r="AJ701" s="1110">
        <f t="shared" si="138"/>
        <v>158300</v>
      </c>
      <c r="AK701" s="982">
        <f>'09월 에너지'!S701</f>
        <v>143.4</v>
      </c>
      <c r="AL701" s="983">
        <f t="shared" si="139"/>
        <v>0.90587492103600753</v>
      </c>
    </row>
    <row r="702" spans="1:38" ht="16.5" customHeight="1">
      <c r="A702" s="999">
        <f>'09월 에너지'!A702</f>
        <v>46291</v>
      </c>
      <c r="B702" s="1002">
        <f>'09월 조업일지'!B700</f>
        <v>46291</v>
      </c>
      <c r="C702" s="1003" t="str">
        <f>'09월 에너지'!C702</f>
        <v>B</v>
      </c>
      <c r="D702" s="1004" t="str">
        <f>'09월 에너지'!D702</f>
        <v>A</v>
      </c>
      <c r="E702" s="1000">
        <f>'09월 에너지'!E702</f>
        <v>85902</v>
      </c>
      <c r="F702" s="1094" t="str">
        <f>'09월 에너지'!F702</f>
        <v>S355JO-01</v>
      </c>
      <c r="G702" s="980"/>
      <c r="H702" s="978"/>
      <c r="I702" s="978">
        <f>11900+200</f>
        <v>12100</v>
      </c>
      <c r="J702" s="978"/>
      <c r="K702" s="978"/>
      <c r="L702" s="978"/>
      <c r="M702" s="978"/>
      <c r="N702" s="978"/>
      <c r="O702" s="1106">
        <f t="shared" si="135"/>
        <v>12100</v>
      </c>
      <c r="P702" s="1108">
        <f>8400+7400+5800+11700+7500+8600</f>
        <v>49400</v>
      </c>
      <c r="Q702" s="979">
        <f>14300+14000</f>
        <v>28300</v>
      </c>
      <c r="R702" s="979">
        <v>1800</v>
      </c>
      <c r="S702" s="979"/>
      <c r="T702" s="979"/>
      <c r="U702" s="979"/>
      <c r="V702" s="979">
        <f>9700+1900+9800</f>
        <v>21400</v>
      </c>
      <c r="W702" s="979">
        <v>2100</v>
      </c>
      <c r="X702" s="979">
        <v>9700</v>
      </c>
      <c r="Y702" s="979">
        <f>100+2100</f>
        <v>2200</v>
      </c>
      <c r="Z702" s="979"/>
      <c r="AA702" s="979">
        <v>3000</v>
      </c>
      <c r="AB702" s="979">
        <v>4600</v>
      </c>
      <c r="AC702" s="979"/>
      <c r="AD702" s="979">
        <v>3200</v>
      </c>
      <c r="AE702" s="1109">
        <f t="shared" ref="AE702" si="140">IF(SUM(P702:AD702)=0,"",SUM(P702:AD702))</f>
        <v>125700</v>
      </c>
      <c r="AF702" s="1113">
        <v>4300</v>
      </c>
      <c r="AG702" s="981">
        <f>8300+4000</f>
        <v>12300</v>
      </c>
      <c r="AH702" s="981">
        <v>3900</v>
      </c>
      <c r="AI702" s="1114">
        <f t="shared" ref="AI702" si="141">IF(SUM(AF702:AH702)=0,"",SUM(AF702:AH702))</f>
        <v>20500</v>
      </c>
      <c r="AJ702" s="1110">
        <f t="shared" si="138"/>
        <v>158300</v>
      </c>
      <c r="AK702" s="982">
        <f>'09월 에너지'!S702</f>
        <v>143.30000000000001</v>
      </c>
      <c r="AL702" s="983">
        <f t="shared" si="139"/>
        <v>0.9052432090966519</v>
      </c>
    </row>
    <row r="703" spans="1:38" ht="16.5" customHeight="1">
      <c r="A703" s="999">
        <f>'09월 에너지'!A703</f>
        <v>46291</v>
      </c>
      <c r="B703" s="1002">
        <f>'09월 조업일지'!B701</f>
        <v>46291</v>
      </c>
      <c r="C703" s="1003" t="str">
        <f>'09월 에너지'!C703</f>
        <v>B</v>
      </c>
      <c r="D703" s="1004" t="str">
        <f>'09월 에너지'!D703</f>
        <v>B</v>
      </c>
      <c r="E703" s="1000">
        <f>'09월 에너지'!E703</f>
        <v>85903</v>
      </c>
      <c r="F703" s="1094" t="str">
        <f>'09월 에너지'!F703</f>
        <v>S355JO-01</v>
      </c>
      <c r="G703" s="980"/>
      <c r="H703" s="978"/>
      <c r="I703" s="978">
        <f>15000+8200</f>
        <v>23200</v>
      </c>
      <c r="J703" s="978"/>
      <c r="K703" s="978"/>
      <c r="L703" s="978"/>
      <c r="M703" s="978"/>
      <c r="N703" s="978"/>
      <c r="O703" s="1106">
        <f t="shared" si="135"/>
        <v>23200</v>
      </c>
      <c r="P703" s="1108">
        <f>6900+9900+8800+9800+6500+5900</f>
        <v>47800</v>
      </c>
      <c r="Q703" s="979">
        <f>10800+5300+8400</f>
        <v>24500</v>
      </c>
      <c r="R703" s="979">
        <v>2600</v>
      </c>
      <c r="S703" s="979"/>
      <c r="T703" s="979"/>
      <c r="U703" s="979"/>
      <c r="V703" s="979">
        <f>8100+2900+8900</f>
        <v>19900</v>
      </c>
      <c r="W703" s="979">
        <v>900</v>
      </c>
      <c r="X703" s="979">
        <v>11100</v>
      </c>
      <c r="Y703" s="979">
        <f>400+1900</f>
        <v>2300</v>
      </c>
      <c r="Z703" s="979"/>
      <c r="AA703" s="979">
        <v>2800</v>
      </c>
      <c r="AB703" s="979">
        <v>3500</v>
      </c>
      <c r="AC703" s="979"/>
      <c r="AD703" s="979">
        <v>3300</v>
      </c>
      <c r="AE703" s="1109">
        <f t="shared" si="136"/>
        <v>118700</v>
      </c>
      <c r="AF703" s="1113">
        <v>3900</v>
      </c>
      <c r="AG703" s="981">
        <v>10600</v>
      </c>
      <c r="AH703" s="981">
        <v>2000</v>
      </c>
      <c r="AI703" s="1114">
        <f t="shared" si="137"/>
        <v>16500</v>
      </c>
      <c r="AJ703" s="1110">
        <f t="shared" si="138"/>
        <v>158400</v>
      </c>
      <c r="AK703" s="982">
        <f>'09월 에너지'!S703</f>
        <v>143.1</v>
      </c>
      <c r="AL703" s="983">
        <f t="shared" si="139"/>
        <v>0.90340909090909094</v>
      </c>
    </row>
    <row r="704" spans="1:38" ht="16.5" customHeight="1">
      <c r="A704" s="999">
        <f>'09월 에너지'!A704</f>
        <v>46291</v>
      </c>
      <c r="B704" s="1002">
        <f>'09월 조업일지'!B702</f>
        <v>46291</v>
      </c>
      <c r="C704" s="1003" t="str">
        <f>'09월 에너지'!C704</f>
        <v>B</v>
      </c>
      <c r="D704" s="1004" t="str">
        <f>'09월 에너지'!D704</f>
        <v>A</v>
      </c>
      <c r="E704" s="1000">
        <f>'09월 에너지'!E704</f>
        <v>85904</v>
      </c>
      <c r="F704" s="1094" t="str">
        <f>'09월 에너지'!F704</f>
        <v>S355JO-01</v>
      </c>
      <c r="G704" s="980"/>
      <c r="H704" s="978"/>
      <c r="I704" s="978">
        <f>8000+7500</f>
        <v>15500</v>
      </c>
      <c r="J704" s="978"/>
      <c r="K704" s="978"/>
      <c r="L704" s="978"/>
      <c r="M704" s="978"/>
      <c r="N704" s="978"/>
      <c r="O704" s="1106">
        <f t="shared" si="135"/>
        <v>15500</v>
      </c>
      <c r="P704" s="1108">
        <f>7700+100+6800+14000+6000+7100</f>
        <v>41700</v>
      </c>
      <c r="Q704" s="979">
        <f>13600+8900</f>
        <v>22500</v>
      </c>
      <c r="R704" s="979">
        <v>7700</v>
      </c>
      <c r="S704" s="979"/>
      <c r="T704" s="979"/>
      <c r="U704" s="979"/>
      <c r="V704" s="979">
        <f>4300+9800+6400</f>
        <v>20500</v>
      </c>
      <c r="W704" s="979">
        <v>3800</v>
      </c>
      <c r="X704" s="979">
        <v>9000</v>
      </c>
      <c r="Y704" s="979">
        <f>3600+1600</f>
        <v>5200</v>
      </c>
      <c r="Z704" s="979"/>
      <c r="AA704" s="979">
        <v>9900</v>
      </c>
      <c r="AB704" s="979">
        <v>1600</v>
      </c>
      <c r="AC704" s="979"/>
      <c r="AD704" s="979">
        <v>2900</v>
      </c>
      <c r="AE704" s="1109">
        <f t="shared" si="136"/>
        <v>124800</v>
      </c>
      <c r="AF704" s="1113">
        <v>4100</v>
      </c>
      <c r="AG704" s="981">
        <v>10800</v>
      </c>
      <c r="AH704" s="981">
        <v>3300</v>
      </c>
      <c r="AI704" s="1114">
        <f t="shared" si="137"/>
        <v>18200</v>
      </c>
      <c r="AJ704" s="1110">
        <f t="shared" si="138"/>
        <v>158500</v>
      </c>
      <c r="AK704" s="982">
        <f>'09월 에너지'!S704</f>
        <v>141.80000000000001</v>
      </c>
      <c r="AL704" s="983">
        <f t="shared" si="139"/>
        <v>0.89463722397476342</v>
      </c>
    </row>
    <row r="705" spans="1:38" ht="16.5" customHeight="1">
      <c r="A705" s="999">
        <f>'09월 에너지'!A705</f>
        <v>46291</v>
      </c>
      <c r="B705" s="1002">
        <f>'09월 조업일지'!B703</f>
        <v>46291</v>
      </c>
      <c r="C705" s="1003" t="str">
        <f>'09월 에너지'!C705</f>
        <v>B</v>
      </c>
      <c r="D705" s="1004" t="str">
        <f>'09월 에너지'!D705</f>
        <v>B</v>
      </c>
      <c r="E705" s="1000">
        <f>'09월 에너지'!E705</f>
        <v>85905</v>
      </c>
      <c r="F705" s="1094" t="str">
        <f>'09월 에너지'!F705</f>
        <v>S355JO-01</v>
      </c>
      <c r="G705" s="980"/>
      <c r="H705" s="978"/>
      <c r="I705" s="978">
        <f>18400+8800</f>
        <v>27200</v>
      </c>
      <c r="J705" s="978"/>
      <c r="K705" s="978"/>
      <c r="L705" s="978"/>
      <c r="M705" s="978"/>
      <c r="N705" s="978"/>
      <c r="O705" s="1106">
        <f t="shared" si="135"/>
        <v>27200</v>
      </c>
      <c r="P705" s="1108">
        <f>6800+8600+8100+10900+5700+3000</f>
        <v>43100</v>
      </c>
      <c r="Q705" s="979">
        <f>7700+5700</f>
        <v>13400</v>
      </c>
      <c r="R705" s="979">
        <v>3200</v>
      </c>
      <c r="S705" s="979"/>
      <c r="T705" s="979"/>
      <c r="U705" s="979"/>
      <c r="V705" s="979">
        <f>5000+5100+10600</f>
        <v>20700</v>
      </c>
      <c r="W705" s="979">
        <v>1700</v>
      </c>
      <c r="X705" s="979">
        <v>11700</v>
      </c>
      <c r="Y705" s="979">
        <f>2200+1300+1300</f>
        <v>4800</v>
      </c>
      <c r="Z705" s="979"/>
      <c r="AA705" s="979">
        <v>2900</v>
      </c>
      <c r="AB705" s="979">
        <v>900</v>
      </c>
      <c r="AC705" s="979"/>
      <c r="AD705" s="979">
        <v>2400</v>
      </c>
      <c r="AE705" s="1109">
        <f t="shared" si="136"/>
        <v>104800</v>
      </c>
      <c r="AF705" s="1113">
        <v>3100</v>
      </c>
      <c r="AG705" s="981">
        <f>11200+6600</f>
        <v>17800</v>
      </c>
      <c r="AH705" s="981">
        <v>5600</v>
      </c>
      <c r="AI705" s="1114">
        <f t="shared" si="137"/>
        <v>26500</v>
      </c>
      <c r="AJ705" s="1110">
        <f t="shared" si="138"/>
        <v>158500</v>
      </c>
      <c r="AK705" s="982">
        <f>'09월 에너지'!S705</f>
        <v>143.80000000000001</v>
      </c>
      <c r="AL705" s="983">
        <f t="shared" si="139"/>
        <v>0.9072555205047319</v>
      </c>
    </row>
    <row r="706" spans="1:38" ht="16.5" customHeight="1">
      <c r="A706" s="999">
        <f>'09월 에너지'!A706</f>
        <v>46291</v>
      </c>
      <c r="B706" s="1002">
        <f>'09월 조업일지'!B704</f>
        <v>46291</v>
      </c>
      <c r="C706" s="1003" t="str">
        <f>'09월 에너지'!C706</f>
        <v>B</v>
      </c>
      <c r="D706" s="1004" t="str">
        <f>'09월 에너지'!D706</f>
        <v>A</v>
      </c>
      <c r="E706" s="1000">
        <f>'09월 에너지'!E706</f>
        <v>85906</v>
      </c>
      <c r="F706" s="1094" t="str">
        <f>'09월 에너지'!F706</f>
        <v>S355JO-01</v>
      </c>
      <c r="G706" s="980"/>
      <c r="H706" s="978"/>
      <c r="I706" s="978">
        <f>9800+7800</f>
        <v>17600</v>
      </c>
      <c r="J706" s="978"/>
      <c r="K706" s="978"/>
      <c r="L706" s="978"/>
      <c r="M706" s="978"/>
      <c r="N706" s="978"/>
      <c r="O706" s="1106">
        <f t="shared" si="135"/>
        <v>17600</v>
      </c>
      <c r="P706" s="1108">
        <f>5300+10500+5100+21300+6700+6200</f>
        <v>55100</v>
      </c>
      <c r="Q706" s="979">
        <f>10800+10400</f>
        <v>21200</v>
      </c>
      <c r="R706" s="979">
        <v>1700</v>
      </c>
      <c r="S706" s="979"/>
      <c r="T706" s="979"/>
      <c r="U706" s="979"/>
      <c r="V706" s="979">
        <f>4300+2600+10500</f>
        <v>17400</v>
      </c>
      <c r="W706" s="979">
        <v>1700</v>
      </c>
      <c r="X706" s="979">
        <v>9600</v>
      </c>
      <c r="Y706" s="979">
        <f>8600+2600+600</f>
        <v>11800</v>
      </c>
      <c r="Z706" s="979"/>
      <c r="AA706" s="979"/>
      <c r="AB706" s="979"/>
      <c r="AC706" s="979"/>
      <c r="AD706" s="979"/>
      <c r="AE706" s="1109">
        <f t="shared" si="136"/>
        <v>118500</v>
      </c>
      <c r="AF706" s="1113">
        <v>4100</v>
      </c>
      <c r="AG706" s="981">
        <v>15600</v>
      </c>
      <c r="AH706" s="981">
        <v>2600</v>
      </c>
      <c r="AI706" s="1114">
        <f t="shared" si="137"/>
        <v>22300</v>
      </c>
      <c r="AJ706" s="1110">
        <f t="shared" si="138"/>
        <v>158400</v>
      </c>
      <c r="AK706" s="982">
        <f>'09월 에너지'!S706</f>
        <v>142.19999999999999</v>
      </c>
      <c r="AL706" s="983">
        <f t="shared" si="139"/>
        <v>0.89772727272727271</v>
      </c>
    </row>
    <row r="707" spans="1:38" ht="16.5" customHeight="1">
      <c r="A707" s="999">
        <f>'09월 에너지'!A707</f>
        <v>46291</v>
      </c>
      <c r="B707" s="1002">
        <f>'09월 조업일지'!B705</f>
        <v>46291</v>
      </c>
      <c r="C707" s="1003" t="str">
        <f>'09월 에너지'!C707</f>
        <v>B</v>
      </c>
      <c r="D707" s="1004" t="str">
        <f>'09월 에너지'!D707</f>
        <v>B</v>
      </c>
      <c r="E707" s="1000">
        <f>'09월 에너지'!E707</f>
        <v>85907</v>
      </c>
      <c r="F707" s="1094" t="str">
        <f>'09월 에너지'!F707</f>
        <v>S355JO-01</v>
      </c>
      <c r="G707" s="980"/>
      <c r="H707" s="978"/>
      <c r="I707" s="978">
        <f>5200+12000</f>
        <v>17200</v>
      </c>
      <c r="J707" s="978"/>
      <c r="K707" s="978"/>
      <c r="L707" s="978"/>
      <c r="M707" s="978"/>
      <c r="N707" s="978"/>
      <c r="O707" s="1106">
        <f t="shared" si="135"/>
        <v>17200</v>
      </c>
      <c r="P707" s="1108">
        <f>8800+7200+15600+11300+7000+5500</f>
        <v>55400</v>
      </c>
      <c r="Q707" s="979">
        <f>14200+4400</f>
        <v>18600</v>
      </c>
      <c r="R707" s="979">
        <v>3300</v>
      </c>
      <c r="S707" s="979"/>
      <c r="T707" s="979"/>
      <c r="U707" s="979"/>
      <c r="V707" s="979">
        <f>6300+500+2300+11000</f>
        <v>20100</v>
      </c>
      <c r="W707" s="979">
        <v>2000</v>
      </c>
      <c r="X707" s="979">
        <v>9600</v>
      </c>
      <c r="Y707" s="979">
        <f>4700+1900</f>
        <v>6600</v>
      </c>
      <c r="Z707" s="979"/>
      <c r="AA707" s="979">
        <v>2700</v>
      </c>
      <c r="AB707" s="979"/>
      <c r="AC707" s="979">
        <v>1600</v>
      </c>
      <c r="AD707" s="979">
        <v>4100</v>
      </c>
      <c r="AE707" s="1109">
        <f t="shared" si="136"/>
        <v>124000</v>
      </c>
      <c r="AF707" s="1113">
        <v>2700</v>
      </c>
      <c r="AG707" s="981">
        <f>7700+3800</f>
        <v>11500</v>
      </c>
      <c r="AH707" s="981">
        <v>2700</v>
      </c>
      <c r="AI707" s="1114">
        <f t="shared" si="137"/>
        <v>16900</v>
      </c>
      <c r="AJ707" s="1110">
        <f t="shared" si="138"/>
        <v>158100</v>
      </c>
      <c r="AK707" s="982">
        <f>'09월 에너지'!S707</f>
        <v>142.69999999999999</v>
      </c>
      <c r="AL707" s="983">
        <f t="shared" si="139"/>
        <v>0.90259329538266919</v>
      </c>
    </row>
    <row r="708" spans="1:38" ht="16.5" customHeight="1">
      <c r="A708" s="999">
        <f>'09월 에너지'!A708</f>
        <v>46291</v>
      </c>
      <c r="B708" s="1002">
        <f>'09월 조업일지'!B706</f>
        <v>46291</v>
      </c>
      <c r="C708" s="1003" t="str">
        <f>'09월 에너지'!C708</f>
        <v>B</v>
      </c>
      <c r="D708" s="1004" t="str">
        <f>'09월 에너지'!D708</f>
        <v>A</v>
      </c>
      <c r="E708" s="1000">
        <f>'09월 에너지'!E708</f>
        <v>85908</v>
      </c>
      <c r="F708" s="1094" t="str">
        <f>'09월 에너지'!F708</f>
        <v>S355JO-01</v>
      </c>
      <c r="G708" s="980"/>
      <c r="H708" s="978"/>
      <c r="I708" s="978">
        <f>2200+7700</f>
        <v>9900</v>
      </c>
      <c r="J708" s="978"/>
      <c r="K708" s="978"/>
      <c r="L708" s="978"/>
      <c r="M708" s="978"/>
      <c r="N708" s="978"/>
      <c r="O708" s="1106">
        <f t="shared" si="135"/>
        <v>9900</v>
      </c>
      <c r="P708" s="1108">
        <f>7900+9000+8400+23800+3700</f>
        <v>52800</v>
      </c>
      <c r="Q708" s="979">
        <f>8700+16100</f>
        <v>24800</v>
      </c>
      <c r="R708" s="979">
        <v>6300</v>
      </c>
      <c r="S708" s="979"/>
      <c r="T708" s="979"/>
      <c r="U708" s="979"/>
      <c r="V708" s="979">
        <f>1600+10600+6100+9400</f>
        <v>27700</v>
      </c>
      <c r="W708" s="979">
        <v>1700</v>
      </c>
      <c r="X708" s="979">
        <v>10700</v>
      </c>
      <c r="Y708" s="979">
        <v>1800</v>
      </c>
      <c r="Z708" s="979"/>
      <c r="AA708" s="979">
        <v>2700</v>
      </c>
      <c r="AB708" s="979"/>
      <c r="AC708" s="979">
        <v>1600</v>
      </c>
      <c r="AD708" s="979"/>
      <c r="AE708" s="1109">
        <f t="shared" si="136"/>
        <v>130100</v>
      </c>
      <c r="AF708" s="1113">
        <v>3900</v>
      </c>
      <c r="AG708" s="981">
        <f>6200+5600</f>
        <v>11800</v>
      </c>
      <c r="AH708" s="981">
        <v>3000</v>
      </c>
      <c r="AI708" s="1114">
        <f t="shared" si="137"/>
        <v>18700</v>
      </c>
      <c r="AJ708" s="1110">
        <f t="shared" si="138"/>
        <v>158700</v>
      </c>
      <c r="AK708" s="982">
        <f>'09월 에너지'!S708</f>
        <v>142.4</v>
      </c>
      <c r="AL708" s="983">
        <f t="shared" si="139"/>
        <v>0.89729048519218646</v>
      </c>
    </row>
    <row r="709" spans="1:38" ht="16.5" customHeight="1">
      <c r="A709" s="999">
        <f>'09월 에너지'!A709</f>
        <v>46291</v>
      </c>
      <c r="B709" s="1002">
        <f>'09월 조업일지'!B707</f>
        <v>46291</v>
      </c>
      <c r="C709" s="1003" t="str">
        <f>'09월 에너지'!C709</f>
        <v>D</v>
      </c>
      <c r="D709" s="1004" t="str">
        <f>'09월 에너지'!D709</f>
        <v>B</v>
      </c>
      <c r="E709" s="1000">
        <f>'09월 에너지'!E709</f>
        <v>85909</v>
      </c>
      <c r="F709" s="1094" t="str">
        <f>'09월 에너지'!F709</f>
        <v>S355JO-01</v>
      </c>
      <c r="G709" s="980"/>
      <c r="H709" s="978"/>
      <c r="I709" s="978">
        <f>7500+10900</f>
        <v>18400</v>
      </c>
      <c r="J709" s="978"/>
      <c r="K709" s="978"/>
      <c r="L709" s="978"/>
      <c r="M709" s="978"/>
      <c r="N709" s="978"/>
      <c r="O709" s="1106">
        <f t="shared" si="135"/>
        <v>18400</v>
      </c>
      <c r="P709" s="1108">
        <f>9900+7200+11300+9100+5800+8700</f>
        <v>52000</v>
      </c>
      <c r="Q709" s="979">
        <f>13600+1000</f>
        <v>14600</v>
      </c>
      <c r="R709" s="979">
        <v>2100</v>
      </c>
      <c r="S709" s="979"/>
      <c r="T709" s="979"/>
      <c r="U709" s="979"/>
      <c r="V709" s="979">
        <f>5800+3500+2200+3400+10200</f>
        <v>25100</v>
      </c>
      <c r="W709" s="979">
        <v>3400</v>
      </c>
      <c r="X709" s="979">
        <v>9800</v>
      </c>
      <c r="Y709" s="979">
        <f>3100+900</f>
        <v>4000</v>
      </c>
      <c r="Z709" s="979"/>
      <c r="AA709" s="979">
        <v>2300</v>
      </c>
      <c r="AB709" s="979"/>
      <c r="AC709" s="979">
        <v>1400</v>
      </c>
      <c r="AD709" s="979"/>
      <c r="AE709" s="1109">
        <f t="shared" si="136"/>
        <v>114700</v>
      </c>
      <c r="AF709" s="1113">
        <v>3900</v>
      </c>
      <c r="AG709" s="981">
        <f>11200+4900</f>
        <v>16100</v>
      </c>
      <c r="AH709" s="981">
        <v>5700</v>
      </c>
      <c r="AI709" s="1114">
        <f t="shared" si="137"/>
        <v>25700</v>
      </c>
      <c r="AJ709" s="1110">
        <f t="shared" si="138"/>
        <v>158800</v>
      </c>
      <c r="AK709" s="982">
        <f>'09월 에너지'!S709</f>
        <v>145.30000000000001</v>
      </c>
      <c r="AL709" s="983">
        <f t="shared" si="139"/>
        <v>0.91498740554156166</v>
      </c>
    </row>
    <row r="710" spans="1:38" ht="16.5" customHeight="1">
      <c r="A710" s="999">
        <f>'09월 에너지'!A710</f>
        <v>46291</v>
      </c>
      <c r="B710" s="1002">
        <f>'09월 조업일지'!B708</f>
        <v>46291</v>
      </c>
      <c r="C710" s="1003" t="str">
        <f>'09월 에너지'!C710</f>
        <v>D</v>
      </c>
      <c r="D710" s="1004" t="str">
        <f>'09월 에너지'!D710</f>
        <v>A</v>
      </c>
      <c r="E710" s="1000">
        <f>'09월 에너지'!E710</f>
        <v>85910</v>
      </c>
      <c r="F710" s="1094" t="str">
        <f>'09월 에너지'!F710</f>
        <v>S355JO-01</v>
      </c>
      <c r="G710" s="980"/>
      <c r="H710" s="978"/>
      <c r="I710" s="978">
        <f>7500+10900</f>
        <v>18400</v>
      </c>
      <c r="J710" s="978"/>
      <c r="K710" s="978"/>
      <c r="L710" s="978"/>
      <c r="M710" s="978"/>
      <c r="N710" s="978"/>
      <c r="O710" s="1106">
        <f t="shared" ref="O710" si="142">IF(SUM(G710:N710)=0,"",SUM(G710:N710))</f>
        <v>18400</v>
      </c>
      <c r="P710" s="1108">
        <f>9900+7200+11300+9100+5800+8700</f>
        <v>52000</v>
      </c>
      <c r="Q710" s="979">
        <f>13600+1000</f>
        <v>14600</v>
      </c>
      <c r="R710" s="979">
        <v>2100</v>
      </c>
      <c r="S710" s="979"/>
      <c r="T710" s="979"/>
      <c r="U710" s="979"/>
      <c r="V710" s="979">
        <f>5800+3500+2200+3400+10200</f>
        <v>25100</v>
      </c>
      <c r="W710" s="979">
        <v>3400</v>
      </c>
      <c r="X710" s="979">
        <v>9800</v>
      </c>
      <c r="Y710" s="979">
        <f>3100+900</f>
        <v>4000</v>
      </c>
      <c r="Z710" s="979"/>
      <c r="AA710" s="979">
        <v>2300</v>
      </c>
      <c r="AB710" s="979"/>
      <c r="AC710" s="979">
        <v>1400</v>
      </c>
      <c r="AD710" s="979"/>
      <c r="AE710" s="1109">
        <f t="shared" ref="AE710" si="143">IF(SUM(P710:AD710)=0,"",SUM(P710:AD710))</f>
        <v>114700</v>
      </c>
      <c r="AF710" s="1113">
        <v>3900</v>
      </c>
      <c r="AG710" s="981">
        <f>11200+4900</f>
        <v>16100</v>
      </c>
      <c r="AH710" s="981">
        <v>5700</v>
      </c>
      <c r="AI710" s="1114">
        <f t="shared" si="137"/>
        <v>25700</v>
      </c>
      <c r="AJ710" s="1110">
        <f t="shared" si="138"/>
        <v>158800</v>
      </c>
      <c r="AK710" s="982">
        <f>'09월 에너지'!S710</f>
        <v>137</v>
      </c>
      <c r="AL710" s="983">
        <f t="shared" si="139"/>
        <v>0.86272040302267006</v>
      </c>
    </row>
    <row r="711" spans="1:38" ht="16.5" customHeight="1">
      <c r="A711" s="999">
        <f>'09월 에너지'!A711</f>
        <v>46291</v>
      </c>
      <c r="B711" s="1002">
        <f>'09월 조업일지'!B709</f>
        <v>46291</v>
      </c>
      <c r="C711" s="1003" t="str">
        <f>'09월 에너지'!C711</f>
        <v>D</v>
      </c>
      <c r="D711" s="1004" t="str">
        <f>'09월 에너지'!D711</f>
        <v>B</v>
      </c>
      <c r="E711" s="1000">
        <f>'09월 에너지'!E711</f>
        <v>85911</v>
      </c>
      <c r="F711" s="1170" t="str">
        <f>'09월 에너지'!F711</f>
        <v>SY300</v>
      </c>
      <c r="G711" s="980"/>
      <c r="H711" s="978"/>
      <c r="I711" s="978">
        <f>10900+14200</f>
        <v>25100</v>
      </c>
      <c r="J711" s="978"/>
      <c r="K711" s="978"/>
      <c r="L711" s="978"/>
      <c r="M711" s="978"/>
      <c r="N711" s="978"/>
      <c r="O711" s="1106">
        <f t="shared" si="135"/>
        <v>25100</v>
      </c>
      <c r="P711" s="1108">
        <f>5500+5200+9600+12000+18400+6200</f>
        <v>56900</v>
      </c>
      <c r="Q711" s="979">
        <f>9400+5500</f>
        <v>14900</v>
      </c>
      <c r="R711" s="979">
        <v>6400</v>
      </c>
      <c r="S711" s="979"/>
      <c r="T711" s="979"/>
      <c r="U711" s="979"/>
      <c r="V711" s="979">
        <f>4600+4000+2800+2500+9300</f>
        <v>23200</v>
      </c>
      <c r="W711" s="979">
        <v>0</v>
      </c>
      <c r="X711" s="979">
        <v>0</v>
      </c>
      <c r="Y711" s="979">
        <f>1600+1600</f>
        <v>3200</v>
      </c>
      <c r="Z711" s="979"/>
      <c r="AA711" s="979">
        <v>2000</v>
      </c>
      <c r="AB711" s="979"/>
      <c r="AC711" s="979">
        <v>2100</v>
      </c>
      <c r="AD711" s="979"/>
      <c r="AE711" s="1109">
        <f t="shared" si="136"/>
        <v>108700</v>
      </c>
      <c r="AF711" s="1113">
        <v>3900</v>
      </c>
      <c r="AG711" s="981">
        <f>3200+10800</f>
        <v>14000</v>
      </c>
      <c r="AH711" s="981">
        <v>7000</v>
      </c>
      <c r="AI711" s="1114">
        <f t="shared" si="137"/>
        <v>24900</v>
      </c>
      <c r="AJ711" s="1110">
        <f t="shared" si="138"/>
        <v>158700</v>
      </c>
      <c r="AK711" s="982">
        <f>'09월 에너지'!S711</f>
        <v>146.1</v>
      </c>
      <c r="AL711" s="983">
        <f t="shared" si="139"/>
        <v>0.92060491493383745</v>
      </c>
    </row>
    <row r="712" spans="1:38" ht="16.5" customHeight="1">
      <c r="A712" s="999">
        <f>'09월 에너지'!A712</f>
        <v>46291</v>
      </c>
      <c r="B712" s="1002">
        <f>'09월 조업일지'!B710</f>
        <v>46291</v>
      </c>
      <c r="C712" s="1003" t="str">
        <f>'09월 에너지'!C712</f>
        <v>D</v>
      </c>
      <c r="D712" s="1004" t="str">
        <f>'09월 에너지'!D712</f>
        <v>A</v>
      </c>
      <c r="E712" s="1000">
        <f>'09월 에너지'!E712</f>
        <v>85912</v>
      </c>
      <c r="F712" s="1094" t="str">
        <f>'09월 에너지'!F712</f>
        <v>SY300</v>
      </c>
      <c r="G712" s="980"/>
      <c r="H712" s="978"/>
      <c r="I712" s="978">
        <f>7100+11500</f>
        <v>18600</v>
      </c>
      <c r="J712" s="978"/>
      <c r="K712" s="978"/>
      <c r="L712" s="978"/>
      <c r="M712" s="978"/>
      <c r="N712" s="978"/>
      <c r="O712" s="1106">
        <f t="shared" si="135"/>
        <v>18600</v>
      </c>
      <c r="P712" s="1108">
        <f>1800+1700+6000+13800+6500+7000</f>
        <v>36800</v>
      </c>
      <c r="Q712" s="979">
        <f>13700+1000</f>
        <v>14700</v>
      </c>
      <c r="R712" s="979">
        <v>5300</v>
      </c>
      <c r="S712" s="979"/>
      <c r="T712" s="979"/>
      <c r="U712" s="979"/>
      <c r="V712" s="979">
        <f>6600+8400+1700+2200+7900</f>
        <v>26800</v>
      </c>
      <c r="W712" s="979">
        <v>2400</v>
      </c>
      <c r="X712" s="979">
        <v>8800</v>
      </c>
      <c r="Y712" s="979">
        <f>7200+4200</f>
        <v>11400</v>
      </c>
      <c r="Z712" s="979"/>
      <c r="AA712" s="979">
        <v>1700</v>
      </c>
      <c r="AB712" s="979"/>
      <c r="AC712" s="979">
        <v>2600</v>
      </c>
      <c r="AD712" s="979"/>
      <c r="AE712" s="1109">
        <f t="shared" si="136"/>
        <v>110500</v>
      </c>
      <c r="AF712" s="1113">
        <v>4300</v>
      </c>
      <c r="AG712" s="981">
        <f>5000+16800</f>
        <v>21800</v>
      </c>
      <c r="AH712" s="981">
        <v>4800</v>
      </c>
      <c r="AI712" s="1114">
        <f t="shared" si="137"/>
        <v>30900</v>
      </c>
      <c r="AJ712" s="1110">
        <f t="shared" si="138"/>
        <v>160000</v>
      </c>
      <c r="AK712" s="982">
        <f>'09월 에너지'!S712</f>
        <v>144.30000000000001</v>
      </c>
      <c r="AL712" s="983">
        <f t="shared" si="139"/>
        <v>0.90187499999999998</v>
      </c>
    </row>
    <row r="713" spans="1:38" ht="16.5" customHeight="1">
      <c r="A713" s="999">
        <f>'09월 에너지'!A713</f>
        <v>46291</v>
      </c>
      <c r="B713" s="1002">
        <f>'09월 조업일지'!B711</f>
        <v>46291</v>
      </c>
      <c r="C713" s="1003" t="str">
        <f>'09월 에너지'!C713</f>
        <v>D</v>
      </c>
      <c r="D713" s="1004" t="str">
        <f>'09월 에너지'!D713</f>
        <v>B</v>
      </c>
      <c r="E713" s="1000">
        <f>'09월 에너지'!E713</f>
        <v>85913</v>
      </c>
      <c r="F713" s="1170" t="str">
        <f>'09월 에너지'!F713</f>
        <v>SHN275(BB)</v>
      </c>
      <c r="G713" s="980"/>
      <c r="H713" s="978"/>
      <c r="I713" s="978">
        <f>12700+10800</f>
        <v>23500</v>
      </c>
      <c r="J713" s="978"/>
      <c r="K713" s="978"/>
      <c r="L713" s="978"/>
      <c r="M713" s="978"/>
      <c r="N713" s="978"/>
      <c r="O713" s="1106">
        <f t="shared" si="135"/>
        <v>23500</v>
      </c>
      <c r="P713" s="1108">
        <f>4000+5000+10300+12000+6900+6300</f>
        <v>44500</v>
      </c>
      <c r="Q713" s="979">
        <f>14500+4200</f>
        <v>18700</v>
      </c>
      <c r="R713" s="979">
        <v>6700</v>
      </c>
      <c r="S713" s="979"/>
      <c r="T713" s="979"/>
      <c r="U713" s="979"/>
      <c r="V713" s="979">
        <f>3300+2300+2500+3800+8800</f>
        <v>20700</v>
      </c>
      <c r="W713" s="979">
        <v>3000</v>
      </c>
      <c r="X713" s="979">
        <v>8900</v>
      </c>
      <c r="Y713" s="979">
        <f>3000+2400</f>
        <v>5400</v>
      </c>
      <c r="Z713" s="979"/>
      <c r="AA713" s="979">
        <v>2900</v>
      </c>
      <c r="AB713" s="979"/>
      <c r="AC713" s="979">
        <v>2500</v>
      </c>
      <c r="AD713" s="979"/>
      <c r="AE713" s="1109">
        <f t="shared" si="136"/>
        <v>113300</v>
      </c>
      <c r="AF713" s="1113">
        <v>3800</v>
      </c>
      <c r="AG713" s="981">
        <f>11700+2600</f>
        <v>14300</v>
      </c>
      <c r="AH713" s="981">
        <v>3600</v>
      </c>
      <c r="AI713" s="1114">
        <f t="shared" si="137"/>
        <v>21700</v>
      </c>
      <c r="AJ713" s="1110">
        <f t="shared" si="138"/>
        <v>158500</v>
      </c>
      <c r="AK713" s="982">
        <f>'09월 에너지'!S713</f>
        <v>144.1</v>
      </c>
      <c r="AL713" s="983">
        <f t="shared" si="139"/>
        <v>0.90914826498422718</v>
      </c>
    </row>
    <row r="714" spans="1:38" ht="16.5" customHeight="1">
      <c r="A714" s="999">
        <f>'09월 에너지'!A714</f>
        <v>46291</v>
      </c>
      <c r="B714" s="1002">
        <f>'09월 조업일지'!B712</f>
        <v>46291</v>
      </c>
      <c r="C714" s="1003" t="str">
        <f>'09월 에너지'!C714</f>
        <v>D</v>
      </c>
      <c r="D714" s="1004" t="str">
        <f>'09월 에너지'!D714</f>
        <v>A</v>
      </c>
      <c r="E714" s="1000">
        <f>'09월 에너지'!E714</f>
        <v>85914</v>
      </c>
      <c r="F714" s="1094" t="str">
        <f>'09월 에너지'!F714</f>
        <v>SHN275(BB)</v>
      </c>
      <c r="G714" s="980"/>
      <c r="H714" s="978"/>
      <c r="I714" s="978">
        <f>17400+8900</f>
        <v>26300</v>
      </c>
      <c r="J714" s="978"/>
      <c r="K714" s="978"/>
      <c r="L714" s="978"/>
      <c r="M714" s="978"/>
      <c r="N714" s="978"/>
      <c r="O714" s="1106">
        <f t="shared" si="135"/>
        <v>26300</v>
      </c>
      <c r="P714" s="1108">
        <f>11500+2000+6600+11200+7200+3000</f>
        <v>41500</v>
      </c>
      <c r="Q714" s="979">
        <f>11300+7700</f>
        <v>19000</v>
      </c>
      <c r="R714" s="979">
        <v>7100</v>
      </c>
      <c r="S714" s="979"/>
      <c r="T714" s="979"/>
      <c r="U714" s="979"/>
      <c r="V714" s="979">
        <f>3700+2700+6000+8800</f>
        <v>21200</v>
      </c>
      <c r="W714" s="979">
        <v>2300</v>
      </c>
      <c r="X714" s="979">
        <v>8500</v>
      </c>
      <c r="Y714" s="979">
        <f>3300+2400</f>
        <v>5700</v>
      </c>
      <c r="Z714" s="979"/>
      <c r="AA714" s="979">
        <v>1400</v>
      </c>
      <c r="AB714" s="979"/>
      <c r="AC714" s="979">
        <v>1100</v>
      </c>
      <c r="AD714" s="979"/>
      <c r="AE714" s="1109">
        <f t="shared" si="136"/>
        <v>107800</v>
      </c>
      <c r="AF714" s="1113">
        <v>5800</v>
      </c>
      <c r="AG714" s="981">
        <f>14000+1600</f>
        <v>15600</v>
      </c>
      <c r="AH714" s="981">
        <v>3400</v>
      </c>
      <c r="AI714" s="1114">
        <f t="shared" si="137"/>
        <v>24800</v>
      </c>
      <c r="AJ714" s="1110">
        <f t="shared" si="138"/>
        <v>158900</v>
      </c>
      <c r="AK714" s="982">
        <f>'09월 에너지'!S714</f>
        <v>141.19999999999999</v>
      </c>
      <c r="AL714" s="983">
        <f t="shared" si="139"/>
        <v>0.88860918816865953</v>
      </c>
    </row>
    <row r="715" spans="1:38" ht="16.5" customHeight="1">
      <c r="A715" s="999">
        <f>'09월 에너지'!A715</f>
        <v>46291</v>
      </c>
      <c r="B715" s="1002">
        <f>'09월 조업일지'!B713</f>
        <v>46291</v>
      </c>
      <c r="C715" s="1003" t="str">
        <f>'09월 에너지'!C715</f>
        <v>D</v>
      </c>
      <c r="D715" s="1004" t="str">
        <f>'09월 에너지'!D715</f>
        <v>B</v>
      </c>
      <c r="E715" s="1000">
        <f>'09월 에너지'!E715</f>
        <v>85915</v>
      </c>
      <c r="F715" s="1094" t="str">
        <f>'09월 에너지'!F715</f>
        <v>SHN275(BB)</v>
      </c>
      <c r="G715" s="980"/>
      <c r="H715" s="978"/>
      <c r="I715" s="978">
        <f>14700+8300</f>
        <v>23000</v>
      </c>
      <c r="J715" s="978"/>
      <c r="K715" s="978"/>
      <c r="L715" s="978"/>
      <c r="M715" s="978"/>
      <c r="N715" s="978"/>
      <c r="O715" s="1106">
        <f t="shared" si="135"/>
        <v>23000</v>
      </c>
      <c r="P715" s="1108">
        <f>4900+6800+9800+12500+6700+4000</f>
        <v>44700</v>
      </c>
      <c r="Q715" s="979">
        <f>10900+6300</f>
        <v>17200</v>
      </c>
      <c r="R715" s="979">
        <v>7400</v>
      </c>
      <c r="S715" s="979"/>
      <c r="T715" s="979"/>
      <c r="U715" s="979"/>
      <c r="V715" s="979">
        <f>4000+2300+1900+4500+8800</f>
        <v>21500</v>
      </c>
      <c r="W715" s="979">
        <v>3300</v>
      </c>
      <c r="X715" s="979">
        <v>8400</v>
      </c>
      <c r="Y715" s="979">
        <f>1900+3400</f>
        <v>5300</v>
      </c>
      <c r="Z715" s="979"/>
      <c r="AA715" s="979">
        <v>2400</v>
      </c>
      <c r="AB715" s="979"/>
      <c r="AC715" s="979">
        <v>2800</v>
      </c>
      <c r="AD715" s="979"/>
      <c r="AE715" s="1109">
        <f t="shared" si="136"/>
        <v>113000</v>
      </c>
      <c r="AF715" s="1113">
        <v>4300</v>
      </c>
      <c r="AG715" s="981">
        <f>9300+3000</f>
        <v>12300</v>
      </c>
      <c r="AH715" s="981">
        <v>5900</v>
      </c>
      <c r="AI715" s="1114">
        <f t="shared" si="137"/>
        <v>22500</v>
      </c>
      <c r="AJ715" s="1110">
        <f t="shared" si="138"/>
        <v>158500</v>
      </c>
      <c r="AK715" s="982">
        <f>'09월 에너지'!S715</f>
        <v>143.4</v>
      </c>
      <c r="AL715" s="983">
        <f t="shared" si="139"/>
        <v>0.90473186119873816</v>
      </c>
    </row>
    <row r="716" spans="1:38" ht="16.5" customHeight="1">
      <c r="A716" s="999">
        <f>'09월 에너지'!A716</f>
        <v>46291</v>
      </c>
      <c r="B716" s="1002">
        <f>'09월 조업일지'!B714</f>
        <v>46291</v>
      </c>
      <c r="C716" s="1003" t="str">
        <f>'09월 에너지'!C716</f>
        <v>D</v>
      </c>
      <c r="D716" s="1004" t="str">
        <f>'09월 에너지'!D716</f>
        <v>A</v>
      </c>
      <c r="E716" s="1000">
        <f>'09월 에너지'!E716</f>
        <v>85916</v>
      </c>
      <c r="F716" s="1094" t="str">
        <f>'09월 에너지'!F716</f>
        <v>SHN275(BB)</v>
      </c>
      <c r="G716" s="980"/>
      <c r="H716" s="978"/>
      <c r="I716" s="978">
        <f>7400+8600</f>
        <v>16000</v>
      </c>
      <c r="J716" s="978"/>
      <c r="K716" s="978"/>
      <c r="L716" s="978"/>
      <c r="M716" s="978"/>
      <c r="N716" s="978"/>
      <c r="O716" s="1106">
        <f t="shared" si="135"/>
        <v>16000</v>
      </c>
      <c r="P716" s="1108">
        <f>9400+2900+6600+12100+7300+2900</f>
        <v>41200</v>
      </c>
      <c r="Q716" s="979">
        <f>12400+6800</f>
        <v>19200</v>
      </c>
      <c r="R716" s="979">
        <v>7600</v>
      </c>
      <c r="S716" s="979"/>
      <c r="T716" s="979"/>
      <c r="U716" s="979"/>
      <c r="V716" s="979">
        <f>7300+2300+6300+9900</f>
        <v>25800</v>
      </c>
      <c r="W716" s="979">
        <v>3200</v>
      </c>
      <c r="X716" s="979">
        <v>8100</v>
      </c>
      <c r="Y716" s="979">
        <f>4700+3100</f>
        <v>7800</v>
      </c>
      <c r="Z716" s="979"/>
      <c r="AA716" s="979">
        <v>4600</v>
      </c>
      <c r="AB716" s="979"/>
      <c r="AC716" s="979">
        <v>1400</v>
      </c>
      <c r="AD716" s="979"/>
      <c r="AE716" s="1109">
        <f t="shared" si="136"/>
        <v>118900</v>
      </c>
      <c r="AF716" s="1113">
        <v>4000</v>
      </c>
      <c r="AG716" s="981">
        <f>10400+2400</f>
        <v>12800</v>
      </c>
      <c r="AH716" s="981">
        <v>6600</v>
      </c>
      <c r="AI716" s="1114">
        <f t="shared" si="137"/>
        <v>23400</v>
      </c>
      <c r="AJ716" s="1110">
        <f t="shared" si="138"/>
        <v>158300</v>
      </c>
      <c r="AK716" s="982">
        <f>'09월 에너지'!S716</f>
        <v>144.6</v>
      </c>
      <c r="AL716" s="983">
        <f t="shared" si="139"/>
        <v>0.9134554643082754</v>
      </c>
    </row>
    <row r="717" spans="1:38" ht="16.5" customHeight="1">
      <c r="A717" s="999">
        <f>'09월 에너지'!A717</f>
        <v>46291</v>
      </c>
      <c r="B717" s="1002">
        <f>'09월 조업일지'!B715</f>
        <v>46291</v>
      </c>
      <c r="C717" s="1003" t="str">
        <f>'09월 에너지'!C717</f>
        <v>D</v>
      </c>
      <c r="D717" s="1004" t="str">
        <f>'09월 에너지'!D717</f>
        <v>B</v>
      </c>
      <c r="E717" s="1000">
        <f>'09월 에너지'!E717</f>
        <v>85917</v>
      </c>
      <c r="F717" s="1094" t="str">
        <f>'09월 에너지'!F717</f>
        <v>SHN275(BB)</v>
      </c>
      <c r="G717" s="980"/>
      <c r="H717" s="978"/>
      <c r="I717" s="978">
        <f>11800+9400</f>
        <v>21200</v>
      </c>
      <c r="J717" s="978"/>
      <c r="K717" s="978"/>
      <c r="L717" s="978"/>
      <c r="M717" s="978"/>
      <c r="N717" s="978"/>
      <c r="O717" s="1106">
        <f t="shared" si="135"/>
        <v>21200</v>
      </c>
      <c r="P717" s="1108">
        <f>6400+4900+9700+12000+6200+7300</f>
        <v>46500</v>
      </c>
      <c r="Q717" s="979">
        <f>11400+4400</f>
        <v>15800</v>
      </c>
      <c r="R717" s="979">
        <v>9500</v>
      </c>
      <c r="S717" s="979"/>
      <c r="T717" s="979"/>
      <c r="U717" s="979"/>
      <c r="V717" s="979">
        <f>2900+3200+2500+2900+9700</f>
        <v>21200</v>
      </c>
      <c r="W717" s="979">
        <v>2500</v>
      </c>
      <c r="X717" s="979">
        <v>9300</v>
      </c>
      <c r="Y717" s="979">
        <f>3200+2600</f>
        <v>5800</v>
      </c>
      <c r="Z717" s="979"/>
      <c r="AA717" s="979">
        <v>2300</v>
      </c>
      <c r="AB717" s="979"/>
      <c r="AC717" s="979">
        <v>1600</v>
      </c>
      <c r="AD717" s="979"/>
      <c r="AE717" s="1109">
        <f t="shared" si="136"/>
        <v>114500</v>
      </c>
      <c r="AF717" s="1113">
        <v>4000</v>
      </c>
      <c r="AG717" s="981">
        <f>12100+3100</f>
        <v>15200</v>
      </c>
      <c r="AH717" s="981">
        <v>3600</v>
      </c>
      <c r="AI717" s="1114">
        <f t="shared" si="137"/>
        <v>22800</v>
      </c>
      <c r="AJ717" s="1110">
        <f t="shared" si="138"/>
        <v>158500</v>
      </c>
      <c r="AK717" s="982">
        <f>'09월 에너지'!S717</f>
        <v>143.30000000000001</v>
      </c>
      <c r="AL717" s="983">
        <f t="shared" si="139"/>
        <v>0.9041009463722397</v>
      </c>
    </row>
    <row r="718" spans="1:38" ht="16.5" customHeight="1">
      <c r="A718" s="999">
        <f>'09월 에너지'!A718</f>
        <v>46291</v>
      </c>
      <c r="B718" s="1002">
        <f>'09월 조업일지'!B716</f>
        <v>46291</v>
      </c>
      <c r="C718" s="1003" t="str">
        <f>'09월 에너지'!C718</f>
        <v>D</v>
      </c>
      <c r="D718" s="1004" t="str">
        <f>'09월 에너지'!D718</f>
        <v>A</v>
      </c>
      <c r="E718" s="1000">
        <f>'09월 에너지'!E718</f>
        <v>85918</v>
      </c>
      <c r="F718" s="1094" t="str">
        <f>'09월 에너지'!F718</f>
        <v>SHN275(BB)</v>
      </c>
      <c r="G718" s="980">
        <v>0</v>
      </c>
      <c r="H718" s="978">
        <v>0</v>
      </c>
      <c r="I718" s="978">
        <f>7400+6100</f>
        <v>13500</v>
      </c>
      <c r="J718" s="978">
        <v>0</v>
      </c>
      <c r="K718" s="978">
        <v>0</v>
      </c>
      <c r="L718" s="978">
        <v>0</v>
      </c>
      <c r="M718" s="978">
        <v>0</v>
      </c>
      <c r="N718" s="978">
        <v>0</v>
      </c>
      <c r="O718" s="1106">
        <f t="shared" si="135"/>
        <v>13500</v>
      </c>
      <c r="P718" s="1108">
        <f>3200+13400+7300+15900+5800+2000</f>
        <v>47600</v>
      </c>
      <c r="Q718" s="979">
        <f>13100+6500</f>
        <v>19600</v>
      </c>
      <c r="R718" s="979">
        <v>7700</v>
      </c>
      <c r="S718" s="979">
        <v>0</v>
      </c>
      <c r="T718" s="979">
        <v>0</v>
      </c>
      <c r="U718" s="979">
        <v>0</v>
      </c>
      <c r="V718" s="979">
        <f>5800+1800+900+9200+8400</f>
        <v>26100</v>
      </c>
      <c r="W718" s="979">
        <v>2500</v>
      </c>
      <c r="X718" s="979">
        <v>10000</v>
      </c>
      <c r="Y718" s="979">
        <f>4500+4700</f>
        <v>9200</v>
      </c>
      <c r="Z718" s="979">
        <v>0</v>
      </c>
      <c r="AA718" s="979">
        <v>1100</v>
      </c>
      <c r="AB718" s="979">
        <v>0</v>
      </c>
      <c r="AC718" s="979">
        <v>700</v>
      </c>
      <c r="AD718" s="979">
        <v>0</v>
      </c>
      <c r="AE718" s="1109">
        <f t="shared" si="136"/>
        <v>124500</v>
      </c>
      <c r="AF718" s="1113">
        <v>5900</v>
      </c>
      <c r="AG718" s="981">
        <f>9100+1800</f>
        <v>10900</v>
      </c>
      <c r="AH718" s="981">
        <v>3900</v>
      </c>
      <c r="AI718" s="1114">
        <f t="shared" si="137"/>
        <v>20700</v>
      </c>
      <c r="AJ718" s="1110">
        <f t="shared" si="138"/>
        <v>158700</v>
      </c>
      <c r="AK718" s="982">
        <f>'09월 에너지'!S718</f>
        <v>141.30000000000001</v>
      </c>
      <c r="AL718" s="983">
        <f t="shared" si="139"/>
        <v>0.89035916824196593</v>
      </c>
    </row>
    <row r="719" spans="1:38" ht="16.5" customHeight="1">
      <c r="A719" s="999">
        <f>'09월 에너지'!A719</f>
        <v>46291</v>
      </c>
      <c r="B719" s="1002">
        <f>'09월 조업일지'!B717</f>
        <v>46291</v>
      </c>
      <c r="C719" s="1003" t="str">
        <f>'09월 에너지'!C719</f>
        <v>A</v>
      </c>
      <c r="D719" s="1004" t="str">
        <f>'09월 에너지'!D719</f>
        <v>B</v>
      </c>
      <c r="E719" s="1000">
        <f>'09월 에너지'!E719</f>
        <v>85919</v>
      </c>
      <c r="F719" s="1170" t="str">
        <f>'09월 에너지'!F719</f>
        <v>SS400-02</v>
      </c>
      <c r="G719" s="980">
        <v>0</v>
      </c>
      <c r="H719" s="978">
        <v>0</v>
      </c>
      <c r="I719" s="978">
        <f>16100+10000</f>
        <v>26100</v>
      </c>
      <c r="J719" s="978">
        <v>0</v>
      </c>
      <c r="K719" s="978">
        <v>0</v>
      </c>
      <c r="L719" s="978">
        <v>0</v>
      </c>
      <c r="M719" s="978">
        <v>0</v>
      </c>
      <c r="N719" s="978">
        <v>0</v>
      </c>
      <c r="O719" s="1106">
        <f t="shared" ref="O719:O782" si="144">IF(SUM(G719:N719)=0,"",SUM(G719:N719))</f>
        <v>26100</v>
      </c>
      <c r="P719" s="1108">
        <f>4000+8300+9800+11600+6400+4900+2600</f>
        <v>47600</v>
      </c>
      <c r="Q719" s="979">
        <f>10300+7100</f>
        <v>17400</v>
      </c>
      <c r="R719" s="979">
        <v>5700</v>
      </c>
      <c r="S719" s="979">
        <v>0</v>
      </c>
      <c r="T719" s="979">
        <v>0</v>
      </c>
      <c r="U719" s="979">
        <v>3300</v>
      </c>
      <c r="V719" s="979">
        <f>4900+2200+2200+8700</f>
        <v>18000</v>
      </c>
      <c r="W719" s="979">
        <v>1100</v>
      </c>
      <c r="X719" s="979">
        <v>10600</v>
      </c>
      <c r="Y719" s="979">
        <f>1600+1300</f>
        <v>2900</v>
      </c>
      <c r="Z719" s="979">
        <v>0</v>
      </c>
      <c r="AA719" s="979">
        <v>2300</v>
      </c>
      <c r="AB719" s="979">
        <v>0</v>
      </c>
      <c r="AC719" s="979">
        <v>2800</v>
      </c>
      <c r="AD719" s="979">
        <v>0</v>
      </c>
      <c r="AE719" s="1109">
        <f t="shared" ref="AE719:AE782" si="145">IF(SUM(P719:AD719)=0,"",SUM(P719:AD719))</f>
        <v>111700</v>
      </c>
      <c r="AF719" s="1113">
        <v>4400</v>
      </c>
      <c r="AG719" s="981">
        <v>12500</v>
      </c>
      <c r="AH719" s="981">
        <v>3400</v>
      </c>
      <c r="AI719" s="1114">
        <f t="shared" ref="AI719:AI782" si="146">IF(SUM(AF719:AH719)=0,"",SUM(AF719:AH719))</f>
        <v>20300</v>
      </c>
      <c r="AJ719" s="1110">
        <f t="shared" ref="AJ719:AJ782" si="147">IF(SUM(O719,AE719,AI719)=0,"",SUM(O719,AE719,AI719))</f>
        <v>158100</v>
      </c>
      <c r="AK719" s="982">
        <f>'09월 에너지'!S719</f>
        <v>142.6</v>
      </c>
      <c r="AL719" s="983">
        <f t="shared" ref="AL719:AL782" si="148">IF(ISERROR(IF(AK719="","",(AK719*1000)/AJ719)),0,(IF(AK719="","",(AK719*1000)/AJ719)))</f>
        <v>0.90196078431372551</v>
      </c>
    </row>
    <row r="720" spans="1:38" ht="16.5" customHeight="1">
      <c r="A720" s="999">
        <f>'09월 에너지'!A720</f>
        <v>46291</v>
      </c>
      <c r="B720" s="1002">
        <f>'09월 조업일지'!B718</f>
        <v>46291</v>
      </c>
      <c r="C720" s="1003" t="str">
        <f>'09월 에너지'!C720</f>
        <v>A</v>
      </c>
      <c r="D720" s="1004" t="str">
        <f>'09월 에너지'!D720</f>
        <v>A</v>
      </c>
      <c r="E720" s="1000">
        <f>'09월 에너지'!E720</f>
        <v>85920</v>
      </c>
      <c r="F720" s="1094" t="str">
        <f>'09월 에너지'!F720</f>
        <v>SS400-02</v>
      </c>
      <c r="G720" s="980">
        <v>0</v>
      </c>
      <c r="H720" s="978">
        <v>0</v>
      </c>
      <c r="I720" s="978">
        <f>12800+6900</f>
        <v>19700</v>
      </c>
      <c r="J720" s="978">
        <v>0</v>
      </c>
      <c r="K720" s="978">
        <v>0</v>
      </c>
      <c r="L720" s="978">
        <v>0</v>
      </c>
      <c r="M720" s="978">
        <v>0</v>
      </c>
      <c r="N720" s="978">
        <v>0</v>
      </c>
      <c r="O720" s="1106">
        <f t="shared" si="144"/>
        <v>19700</v>
      </c>
      <c r="P720" s="1108">
        <f>7800+10500+7300+13200+6100+4800+5800</f>
        <v>55500</v>
      </c>
      <c r="Q720" s="979">
        <f>12400+7100</f>
        <v>19500</v>
      </c>
      <c r="R720" s="979">
        <v>13000</v>
      </c>
      <c r="S720" s="979">
        <v>0</v>
      </c>
      <c r="T720" s="979">
        <v>0</v>
      </c>
      <c r="U720" s="979">
        <v>4300</v>
      </c>
      <c r="V720" s="979">
        <f>1600+1700+7500</f>
        <v>10800</v>
      </c>
      <c r="W720" s="979">
        <v>2700</v>
      </c>
      <c r="X720" s="979">
        <v>9300</v>
      </c>
      <c r="Y720" s="979">
        <f>2800+1000</f>
        <v>3800</v>
      </c>
      <c r="Z720" s="979">
        <v>0</v>
      </c>
      <c r="AA720" s="979">
        <v>1200</v>
      </c>
      <c r="AB720" s="979">
        <v>0</v>
      </c>
      <c r="AC720" s="979">
        <v>2000</v>
      </c>
      <c r="AD720" s="979">
        <v>0</v>
      </c>
      <c r="AE720" s="1109">
        <f t="shared" si="145"/>
        <v>122100</v>
      </c>
      <c r="AF720" s="1113">
        <v>5700</v>
      </c>
      <c r="AG720" s="981">
        <v>6200</v>
      </c>
      <c r="AH720" s="981">
        <v>4500</v>
      </c>
      <c r="AI720" s="1114">
        <f t="shared" si="146"/>
        <v>16400</v>
      </c>
      <c r="AJ720" s="1110">
        <f t="shared" si="147"/>
        <v>158200</v>
      </c>
      <c r="AK720" s="982">
        <f>'09월 에너지'!S720</f>
        <v>143.4</v>
      </c>
      <c r="AL720" s="983">
        <f t="shared" si="148"/>
        <v>0.90644753476611883</v>
      </c>
    </row>
    <row r="721" spans="1:38" ht="16.5" customHeight="1">
      <c r="A721" s="999">
        <f>'09월 에너지'!A721</f>
        <v>46291</v>
      </c>
      <c r="B721" s="1002">
        <f>'09월 조업일지'!B719</f>
        <v>46291</v>
      </c>
      <c r="C721" s="1003" t="str">
        <f>'09월 에너지'!C721</f>
        <v>A</v>
      </c>
      <c r="D721" s="1004" t="str">
        <f>'09월 에너지'!D721</f>
        <v>B</v>
      </c>
      <c r="E721" s="1000">
        <f>'09월 에너지'!E721</f>
        <v>85921</v>
      </c>
      <c r="F721" s="1094" t="str">
        <f>'09월 에너지'!F721</f>
        <v>SS400-02</v>
      </c>
      <c r="G721" s="980">
        <v>0</v>
      </c>
      <c r="H721" s="978">
        <v>0</v>
      </c>
      <c r="I721" s="978">
        <f>12200+10100</f>
        <v>22300</v>
      </c>
      <c r="J721" s="978">
        <v>0</v>
      </c>
      <c r="K721" s="978">
        <v>0</v>
      </c>
      <c r="L721" s="978">
        <v>0</v>
      </c>
      <c r="M721" s="978">
        <v>0</v>
      </c>
      <c r="N721" s="978">
        <v>0</v>
      </c>
      <c r="O721" s="1106">
        <f t="shared" si="144"/>
        <v>22300</v>
      </c>
      <c r="P721" s="1108">
        <f>5700+8500+9900+13700+7700+4800+6200</f>
        <v>56500</v>
      </c>
      <c r="Q721" s="979">
        <f>10600+3800</f>
        <v>14400</v>
      </c>
      <c r="R721" s="979">
        <v>10300</v>
      </c>
      <c r="S721" s="979">
        <v>0</v>
      </c>
      <c r="T721" s="979">
        <v>0</v>
      </c>
      <c r="U721" s="979">
        <v>2100</v>
      </c>
      <c r="V721" s="979">
        <f>4200+2000+2600+8900</f>
        <v>17700</v>
      </c>
      <c r="W721" s="979">
        <v>2800</v>
      </c>
      <c r="X721" s="979">
        <v>8200</v>
      </c>
      <c r="Y721" s="979">
        <v>5800</v>
      </c>
      <c r="Z721" s="979">
        <v>0</v>
      </c>
      <c r="AA721" s="979">
        <v>4100</v>
      </c>
      <c r="AB721" s="979">
        <v>0</v>
      </c>
      <c r="AC721" s="979">
        <v>3900</v>
      </c>
      <c r="AD721" s="979">
        <v>0</v>
      </c>
      <c r="AE721" s="1109">
        <f t="shared" si="145"/>
        <v>125800</v>
      </c>
      <c r="AF721" s="1113">
        <v>3200</v>
      </c>
      <c r="AG721" s="981">
        <v>4600</v>
      </c>
      <c r="AH721" s="981">
        <v>3100</v>
      </c>
      <c r="AI721" s="1114">
        <f t="shared" si="146"/>
        <v>10900</v>
      </c>
      <c r="AJ721" s="1110">
        <f t="shared" si="147"/>
        <v>159000</v>
      </c>
      <c r="AK721" s="982">
        <f>'09월 에너지'!S721</f>
        <v>143.5</v>
      </c>
      <c r="AL721" s="983">
        <f t="shared" si="148"/>
        <v>0.90251572327044027</v>
      </c>
    </row>
    <row r="722" spans="1:38" ht="16.5" customHeight="1">
      <c r="A722" s="999">
        <f>'09월 에너지'!A722</f>
        <v>46291</v>
      </c>
      <c r="B722" s="1002">
        <f>'09월 조업일지'!B720</f>
        <v>46291</v>
      </c>
      <c r="C722" s="1003" t="str">
        <f>'09월 에너지'!C722</f>
        <v>A</v>
      </c>
      <c r="D722" s="1004" t="str">
        <f>'09월 에너지'!D722</f>
        <v>A</v>
      </c>
      <c r="E722" s="1000">
        <f>'09월 에너지'!E722</f>
        <v>85922</v>
      </c>
      <c r="F722" s="1094" t="str">
        <f>'09월 에너지'!F722</f>
        <v>SS400-02</v>
      </c>
      <c r="G722" s="980">
        <v>0</v>
      </c>
      <c r="H722" s="978">
        <v>0</v>
      </c>
      <c r="I722" s="978">
        <f>16300+6900</f>
        <v>23200</v>
      </c>
      <c r="J722" s="978">
        <v>0</v>
      </c>
      <c r="K722" s="978">
        <v>0</v>
      </c>
      <c r="L722" s="978">
        <v>0</v>
      </c>
      <c r="M722" s="978">
        <v>0</v>
      </c>
      <c r="N722" s="978">
        <v>0</v>
      </c>
      <c r="O722" s="1106">
        <f t="shared" si="144"/>
        <v>23200</v>
      </c>
      <c r="P722" s="1108">
        <f>5600+3000+10600+11200+7000+6400+9700</f>
        <v>53500</v>
      </c>
      <c r="Q722" s="979">
        <f>9500+1300</f>
        <v>10800</v>
      </c>
      <c r="R722" s="979">
        <v>2400</v>
      </c>
      <c r="S722" s="979">
        <v>0</v>
      </c>
      <c r="T722" s="979">
        <v>0</v>
      </c>
      <c r="U722" s="979">
        <v>500</v>
      </c>
      <c r="V722" s="979">
        <f>9700+1300+2500+7500</f>
        <v>21000</v>
      </c>
      <c r="W722" s="979">
        <v>2400</v>
      </c>
      <c r="X722" s="979">
        <v>8900</v>
      </c>
      <c r="Y722" s="979">
        <f>5500+5400</f>
        <v>10900</v>
      </c>
      <c r="Z722" s="979">
        <v>0</v>
      </c>
      <c r="AA722" s="979">
        <v>1700</v>
      </c>
      <c r="AB722" s="979">
        <v>0</v>
      </c>
      <c r="AC722" s="979">
        <v>3300</v>
      </c>
      <c r="AD722" s="979">
        <v>0</v>
      </c>
      <c r="AE722" s="1109">
        <f t="shared" si="145"/>
        <v>115400</v>
      </c>
      <c r="AF722" s="1113">
        <v>4600</v>
      </c>
      <c r="AG722" s="981">
        <v>11100</v>
      </c>
      <c r="AH722" s="981">
        <v>4200</v>
      </c>
      <c r="AI722" s="1114">
        <f t="shared" si="146"/>
        <v>19900</v>
      </c>
      <c r="AJ722" s="1110">
        <f t="shared" si="147"/>
        <v>158500</v>
      </c>
      <c r="AK722" s="982">
        <f>'09월 에너지'!S722</f>
        <v>144.5</v>
      </c>
      <c r="AL722" s="983">
        <f t="shared" si="148"/>
        <v>0.91167192429022081</v>
      </c>
    </row>
    <row r="723" spans="1:38" ht="16.5" customHeight="1">
      <c r="A723" s="999">
        <f>'09월 에너지'!A723</f>
        <v>46291</v>
      </c>
      <c r="B723" s="1002">
        <f>'09월 조업일지'!B721</f>
        <v>46291</v>
      </c>
      <c r="C723" s="1003" t="str">
        <f>'09월 에너지'!C723</f>
        <v>A</v>
      </c>
      <c r="D723" s="1004" t="str">
        <f>'09월 에너지'!D723</f>
        <v>B</v>
      </c>
      <c r="E723" s="1000">
        <f>'09월 에너지'!E723</f>
        <v>85923</v>
      </c>
      <c r="F723" s="1094" t="str">
        <f>'09월 에너지'!F723</f>
        <v>SS400-02</v>
      </c>
      <c r="G723" s="980">
        <v>0</v>
      </c>
      <c r="H723" s="978">
        <v>0</v>
      </c>
      <c r="I723" s="978">
        <f>11000+5900</f>
        <v>16900</v>
      </c>
      <c r="J723" s="978">
        <v>0</v>
      </c>
      <c r="K723" s="978">
        <v>0</v>
      </c>
      <c r="L723" s="978">
        <v>0</v>
      </c>
      <c r="M723" s="978">
        <v>0</v>
      </c>
      <c r="N723" s="978">
        <v>0</v>
      </c>
      <c r="O723" s="1106">
        <f t="shared" si="144"/>
        <v>16900</v>
      </c>
      <c r="P723" s="1108">
        <f>6400+9600+12500+12400+7300+4100+5600</f>
        <v>57900</v>
      </c>
      <c r="Q723" s="979">
        <f>9000+6800</f>
        <v>15800</v>
      </c>
      <c r="R723" s="979">
        <v>2000</v>
      </c>
      <c r="S723" s="979">
        <v>0</v>
      </c>
      <c r="T723" s="979">
        <v>0</v>
      </c>
      <c r="U723" s="979">
        <v>5100</v>
      </c>
      <c r="V723" s="979">
        <f>4000+2100+3900+12200</f>
        <v>22200</v>
      </c>
      <c r="W723" s="979">
        <v>2500</v>
      </c>
      <c r="X723" s="979">
        <v>8500</v>
      </c>
      <c r="Y723" s="979">
        <f>2200+1500</f>
        <v>3700</v>
      </c>
      <c r="Z723" s="979">
        <v>0</v>
      </c>
      <c r="AA723" s="979">
        <v>2800</v>
      </c>
      <c r="AB723" s="979">
        <v>0</v>
      </c>
      <c r="AC723" s="979">
        <v>0</v>
      </c>
      <c r="AD723" s="979">
        <v>0</v>
      </c>
      <c r="AE723" s="1109">
        <f t="shared" si="145"/>
        <v>120500</v>
      </c>
      <c r="AF723" s="1113">
        <v>4000</v>
      </c>
      <c r="AG723" s="981">
        <v>12900</v>
      </c>
      <c r="AH723" s="981">
        <v>3900</v>
      </c>
      <c r="AI723" s="1114">
        <f t="shared" si="146"/>
        <v>20800</v>
      </c>
      <c r="AJ723" s="1110">
        <f t="shared" si="147"/>
        <v>158200</v>
      </c>
      <c r="AK723" s="982">
        <f>'09월 에너지'!S723</f>
        <v>140.19999999999999</v>
      </c>
      <c r="AL723" s="983">
        <f t="shared" si="148"/>
        <v>0.88621997471554992</v>
      </c>
    </row>
    <row r="724" spans="1:38" ht="16.5" customHeight="1">
      <c r="A724" s="999">
        <f>'09월 에너지'!A724</f>
        <v>46291</v>
      </c>
      <c r="B724" s="1002">
        <f>'09월 조업일지'!B722</f>
        <v>46291</v>
      </c>
      <c r="C724" s="1003" t="str">
        <f>'09월 에너지'!C724</f>
        <v>A</v>
      </c>
      <c r="D724" s="1004" t="str">
        <f>'09월 에너지'!D724</f>
        <v>A</v>
      </c>
      <c r="E724" s="1000">
        <f>'09월 에너지'!E724</f>
        <v>85924</v>
      </c>
      <c r="F724" s="1094" t="str">
        <f>'09월 에너지'!F724</f>
        <v>SS400-02</v>
      </c>
      <c r="G724" s="980">
        <v>0</v>
      </c>
      <c r="H724" s="978">
        <v>0</v>
      </c>
      <c r="I724" s="978">
        <f>13700+6900</f>
        <v>20600</v>
      </c>
      <c r="J724" s="978">
        <v>0</v>
      </c>
      <c r="K724" s="978">
        <v>0</v>
      </c>
      <c r="L724" s="978">
        <v>0</v>
      </c>
      <c r="M724" s="978">
        <v>0</v>
      </c>
      <c r="N724" s="978">
        <v>0</v>
      </c>
      <c r="O724" s="1106">
        <f t="shared" si="144"/>
        <v>20600</v>
      </c>
      <c r="P724" s="1108">
        <f>6100+3200+14100+10400+6500+2500+100</f>
        <v>42900</v>
      </c>
      <c r="Q724" s="979">
        <f>9600+9000</f>
        <v>18600</v>
      </c>
      <c r="R724" s="979">
        <v>4300</v>
      </c>
      <c r="S724" s="979">
        <v>0</v>
      </c>
      <c r="T724" s="979">
        <v>0</v>
      </c>
      <c r="U724" s="979">
        <v>9500</v>
      </c>
      <c r="V724" s="979">
        <f>3700+1300+600+6800</f>
        <v>12400</v>
      </c>
      <c r="W724" s="979">
        <v>3700</v>
      </c>
      <c r="X724" s="979">
        <v>8100</v>
      </c>
      <c r="Y724" s="979">
        <f>4700+2700</f>
        <v>7400</v>
      </c>
      <c r="Z724" s="979">
        <v>0</v>
      </c>
      <c r="AA724" s="979">
        <v>2100</v>
      </c>
      <c r="AB724" s="979">
        <v>0</v>
      </c>
      <c r="AC724" s="979">
        <v>3900</v>
      </c>
      <c r="AD724" s="979">
        <v>0</v>
      </c>
      <c r="AE724" s="1109">
        <f t="shared" si="145"/>
        <v>112900</v>
      </c>
      <c r="AF724" s="1113">
        <v>4200</v>
      </c>
      <c r="AG724" s="981">
        <v>17300</v>
      </c>
      <c r="AH724" s="981">
        <v>3300</v>
      </c>
      <c r="AI724" s="1114">
        <f t="shared" si="146"/>
        <v>24800</v>
      </c>
      <c r="AJ724" s="1110">
        <f t="shared" si="147"/>
        <v>158300</v>
      </c>
      <c r="AK724" s="982">
        <f>'09월 에너지'!S724</f>
        <v>144.30000000000001</v>
      </c>
      <c r="AL724" s="983">
        <f t="shared" si="148"/>
        <v>0.91156032849020852</v>
      </c>
    </row>
    <row r="725" spans="1:38" ht="16.5" customHeight="1">
      <c r="A725" s="999">
        <f>'09월 에너지'!A725</f>
        <v>46292</v>
      </c>
      <c r="B725" s="1002">
        <f>'09월 조업일지'!B723</f>
        <v>46291</v>
      </c>
      <c r="C725" s="1003" t="str">
        <f>'09월 에너지'!C725</f>
        <v>A</v>
      </c>
      <c r="D725" s="1004" t="str">
        <f>'09월 에너지'!D725</f>
        <v>B</v>
      </c>
      <c r="E725" s="1000">
        <f>'09월 에너지'!E725</f>
        <v>85925</v>
      </c>
      <c r="F725" s="1094" t="str">
        <f>'09월 에너지'!F725</f>
        <v>SS400-02</v>
      </c>
      <c r="G725" s="980">
        <v>0</v>
      </c>
      <c r="H725" s="978">
        <v>0</v>
      </c>
      <c r="I725" s="978">
        <f>13400+5600</f>
        <v>19000</v>
      </c>
      <c r="J725" s="978">
        <v>0</v>
      </c>
      <c r="K725" s="978">
        <v>0</v>
      </c>
      <c r="L725" s="978">
        <v>0</v>
      </c>
      <c r="M725" s="978">
        <v>0</v>
      </c>
      <c r="N725" s="978">
        <v>0</v>
      </c>
      <c r="O725" s="1106">
        <f t="shared" si="144"/>
        <v>19000</v>
      </c>
      <c r="P725" s="1108">
        <f>7100+9100+11800+10700+9200+3100+2700</f>
        <v>53700</v>
      </c>
      <c r="Q725" s="979">
        <f>7500+6500</f>
        <v>14000</v>
      </c>
      <c r="R725" s="979">
        <v>8100</v>
      </c>
      <c r="S725" s="979">
        <v>0</v>
      </c>
      <c r="T725" s="979">
        <v>0</v>
      </c>
      <c r="U725" s="979">
        <v>8600</v>
      </c>
      <c r="V725" s="979">
        <f>2700+2000+2500+8000</f>
        <v>15200</v>
      </c>
      <c r="W725" s="979">
        <v>100</v>
      </c>
      <c r="X725" s="979">
        <v>9900</v>
      </c>
      <c r="Y725" s="979">
        <f>100+2100</f>
        <v>2200</v>
      </c>
      <c r="Z725" s="979">
        <v>0</v>
      </c>
      <c r="AA725" s="979">
        <v>4400</v>
      </c>
      <c r="AB725" s="979">
        <v>0</v>
      </c>
      <c r="AC725" s="979">
        <v>5600</v>
      </c>
      <c r="AD725" s="979">
        <v>0</v>
      </c>
      <c r="AE725" s="1109">
        <f t="shared" si="145"/>
        <v>121800</v>
      </c>
      <c r="AF725" s="1113">
        <v>2900</v>
      </c>
      <c r="AG725" s="981">
        <v>10600</v>
      </c>
      <c r="AH725" s="981">
        <v>4000</v>
      </c>
      <c r="AI725" s="1114">
        <f t="shared" si="146"/>
        <v>17500</v>
      </c>
      <c r="AJ725" s="1110">
        <f t="shared" si="147"/>
        <v>158300</v>
      </c>
      <c r="AK725" s="982">
        <f>'09월 에너지'!S725</f>
        <v>141.6</v>
      </c>
      <c r="AL725" s="983">
        <f t="shared" si="148"/>
        <v>0.89450410612760578</v>
      </c>
    </row>
    <row r="726" spans="1:38" ht="16.5" customHeight="1">
      <c r="A726" s="999">
        <f>'09월 에너지'!A726</f>
        <v>46292</v>
      </c>
      <c r="B726" s="1002">
        <f>'09월 조업일지'!B724</f>
        <v>46291</v>
      </c>
      <c r="C726" s="1003" t="str">
        <f>'09월 에너지'!C726</f>
        <v>A</v>
      </c>
      <c r="D726" s="1004" t="str">
        <f>'09월 에너지'!D726</f>
        <v>A</v>
      </c>
      <c r="E726" s="1000">
        <f>'09월 에너지'!E726</f>
        <v>85926</v>
      </c>
      <c r="F726" s="1094" t="str">
        <f>'09월 에너지'!F726</f>
        <v>SS400-02</v>
      </c>
      <c r="G726" s="980">
        <v>0</v>
      </c>
      <c r="H726" s="978">
        <v>0</v>
      </c>
      <c r="I726" s="978">
        <f>9600+100</f>
        <v>9700</v>
      </c>
      <c r="J726" s="978">
        <v>0</v>
      </c>
      <c r="K726" s="978">
        <v>0</v>
      </c>
      <c r="L726" s="978">
        <v>0</v>
      </c>
      <c r="M726" s="978">
        <v>0</v>
      </c>
      <c r="N726" s="978">
        <v>0</v>
      </c>
      <c r="O726" s="1106">
        <f t="shared" si="144"/>
        <v>9700</v>
      </c>
      <c r="P726" s="1108">
        <f>5000+3300+9600+11300+7800+6400+5500</f>
        <v>48900</v>
      </c>
      <c r="Q726" s="979">
        <f>15600+3000</f>
        <v>18600</v>
      </c>
      <c r="R726" s="979">
        <v>2600</v>
      </c>
      <c r="S726" s="979">
        <v>0</v>
      </c>
      <c r="T726" s="979">
        <v>0</v>
      </c>
      <c r="U726" s="979">
        <v>10700</v>
      </c>
      <c r="V726" s="979">
        <f>4300+8200+2400+7100</f>
        <v>22000</v>
      </c>
      <c r="W726" s="979">
        <v>3300</v>
      </c>
      <c r="X726" s="979">
        <v>7100</v>
      </c>
      <c r="Y726" s="979">
        <f>6600+5000</f>
        <v>11600</v>
      </c>
      <c r="Z726" s="979">
        <v>0</v>
      </c>
      <c r="AA726" s="979">
        <v>2200</v>
      </c>
      <c r="AB726" s="979">
        <v>0</v>
      </c>
      <c r="AC726" s="979">
        <v>2900</v>
      </c>
      <c r="AD726" s="979">
        <v>0</v>
      </c>
      <c r="AE726" s="1109">
        <f t="shared" si="145"/>
        <v>129900</v>
      </c>
      <c r="AF726" s="1113">
        <v>5000</v>
      </c>
      <c r="AG726" s="981">
        <v>8100</v>
      </c>
      <c r="AH726" s="981">
        <v>5200</v>
      </c>
      <c r="AI726" s="1114">
        <f t="shared" si="146"/>
        <v>18300</v>
      </c>
      <c r="AJ726" s="1110">
        <f t="shared" si="147"/>
        <v>157900</v>
      </c>
      <c r="AK726" s="982">
        <f>'09월 에너지'!S726</f>
        <v>144</v>
      </c>
      <c r="AL726" s="983">
        <f t="shared" si="148"/>
        <v>0.9119696010132996</v>
      </c>
    </row>
    <row r="727" spans="1:38" ht="16.5" customHeight="1">
      <c r="A727" s="999">
        <f>'09월 에너지'!A727</f>
        <v>46292</v>
      </c>
      <c r="B727" s="1002">
        <f>'09월 조업일지'!B725</f>
        <v>46291</v>
      </c>
      <c r="C727" s="1003" t="str">
        <f>'09월 에너지'!C727</f>
        <v>A</v>
      </c>
      <c r="D727" s="1004" t="str">
        <f>'09월 에너지'!D727</f>
        <v>B</v>
      </c>
      <c r="E727" s="1000">
        <f>'09월 에너지'!E727</f>
        <v>85927</v>
      </c>
      <c r="F727" s="1170" t="str">
        <f>'09월 에너지'!F727</f>
        <v>SY300</v>
      </c>
      <c r="G727" s="980">
        <v>0</v>
      </c>
      <c r="H727" s="978">
        <v>0</v>
      </c>
      <c r="I727" s="978">
        <f>9700+9300</f>
        <v>19000</v>
      </c>
      <c r="J727" s="978">
        <v>0</v>
      </c>
      <c r="K727" s="978">
        <v>0</v>
      </c>
      <c r="L727" s="978">
        <v>0</v>
      </c>
      <c r="M727" s="978">
        <v>0</v>
      </c>
      <c r="N727" s="978">
        <v>0</v>
      </c>
      <c r="O727" s="1106">
        <f t="shared" si="144"/>
        <v>19000</v>
      </c>
      <c r="P727" s="1108">
        <f>6700+6200+7200+13400+5000+2700</f>
        <v>41200</v>
      </c>
      <c r="Q727" s="979">
        <f>18900+7300</f>
        <v>26200</v>
      </c>
      <c r="R727" s="979">
        <v>4900</v>
      </c>
      <c r="S727" s="979">
        <v>0</v>
      </c>
      <c r="T727" s="979">
        <v>0</v>
      </c>
      <c r="U727" s="979">
        <v>0</v>
      </c>
      <c r="V727" s="979">
        <f>5200+3000+2500+2100+8300</f>
        <v>21100</v>
      </c>
      <c r="W727" s="979">
        <v>4000</v>
      </c>
      <c r="X727" s="979">
        <v>8900</v>
      </c>
      <c r="Y727" s="979">
        <f>1200+4400</f>
        <v>5600</v>
      </c>
      <c r="Z727" s="979">
        <v>0</v>
      </c>
      <c r="AA727" s="979">
        <v>1100</v>
      </c>
      <c r="AB727" s="979">
        <v>0</v>
      </c>
      <c r="AC727" s="979">
        <v>3900</v>
      </c>
      <c r="AD727" s="979">
        <v>0</v>
      </c>
      <c r="AE727" s="1109">
        <f t="shared" si="145"/>
        <v>116900</v>
      </c>
      <c r="AF727" s="1113">
        <v>3000</v>
      </c>
      <c r="AG727" s="981">
        <f>13100+4300</f>
        <v>17400</v>
      </c>
      <c r="AH727" s="981">
        <v>1900</v>
      </c>
      <c r="AI727" s="1114">
        <f t="shared" si="146"/>
        <v>22300</v>
      </c>
      <c r="AJ727" s="1110">
        <f t="shared" si="147"/>
        <v>158200</v>
      </c>
      <c r="AK727" s="982">
        <f>'09월 에너지'!S727</f>
        <v>143.69999999999999</v>
      </c>
      <c r="AL727" s="983">
        <f t="shared" si="148"/>
        <v>0.90834386852085969</v>
      </c>
    </row>
    <row r="728" spans="1:38" ht="16.5" customHeight="1">
      <c r="A728" s="999">
        <f>'09월 에너지'!A728</f>
        <v>46292</v>
      </c>
      <c r="B728" s="1002">
        <f>'09월 조업일지'!B726</f>
        <v>46291</v>
      </c>
      <c r="C728" s="1003" t="str">
        <f>'09월 에너지'!C728</f>
        <v>A</v>
      </c>
      <c r="D728" s="1004" t="str">
        <f>'09월 에너지'!D728</f>
        <v>A</v>
      </c>
      <c r="E728" s="1000">
        <f>'09월 에너지'!E728</f>
        <v>85928</v>
      </c>
      <c r="F728" s="1094" t="str">
        <f>'09월 에너지'!F728</f>
        <v>SY300</v>
      </c>
      <c r="G728" s="980">
        <v>0</v>
      </c>
      <c r="H728" s="978">
        <v>0</v>
      </c>
      <c r="I728" s="978">
        <f>10700+13400</f>
        <v>24100</v>
      </c>
      <c r="J728" s="978">
        <v>0</v>
      </c>
      <c r="K728" s="978">
        <v>0</v>
      </c>
      <c r="L728" s="978">
        <v>0</v>
      </c>
      <c r="M728" s="978">
        <v>0</v>
      </c>
      <c r="N728" s="978">
        <v>0</v>
      </c>
      <c r="O728" s="1106">
        <f t="shared" si="144"/>
        <v>24100</v>
      </c>
      <c r="P728" s="1108">
        <f>13900+3400+12600+13200+6200+5600</f>
        <v>54900</v>
      </c>
      <c r="Q728" s="979">
        <f>11900+1500</f>
        <v>13400</v>
      </c>
      <c r="R728" s="979">
        <v>4300</v>
      </c>
      <c r="S728" s="979">
        <v>0</v>
      </c>
      <c r="T728" s="979">
        <v>0</v>
      </c>
      <c r="U728" s="979">
        <v>0</v>
      </c>
      <c r="V728" s="979">
        <f>3900+500+1600+9200+600</f>
        <v>15800</v>
      </c>
      <c r="W728" s="979">
        <v>2300</v>
      </c>
      <c r="X728" s="979">
        <v>8100</v>
      </c>
      <c r="Y728" s="979">
        <f>3400+1600</f>
        <v>5000</v>
      </c>
      <c r="Z728" s="979">
        <v>0</v>
      </c>
      <c r="AA728" s="979">
        <v>2000</v>
      </c>
      <c r="AB728" s="979">
        <v>0</v>
      </c>
      <c r="AC728" s="979">
        <v>1500</v>
      </c>
      <c r="AD728" s="979">
        <v>0</v>
      </c>
      <c r="AE728" s="1109">
        <f t="shared" si="145"/>
        <v>107300</v>
      </c>
      <c r="AF728" s="1113">
        <v>4200</v>
      </c>
      <c r="AG728" s="981">
        <f>12400+5800</f>
        <v>18200</v>
      </c>
      <c r="AH728" s="981">
        <v>4500</v>
      </c>
      <c r="AI728" s="1114">
        <f t="shared" si="146"/>
        <v>26900</v>
      </c>
      <c r="AJ728" s="1110">
        <f t="shared" si="147"/>
        <v>158300</v>
      </c>
      <c r="AK728" s="982">
        <f>'09월 에너지'!S728</f>
        <v>141.5</v>
      </c>
      <c r="AL728" s="983">
        <f t="shared" si="148"/>
        <v>0.89387239418825015</v>
      </c>
    </row>
    <row r="729" spans="1:38" ht="16.5" customHeight="1">
      <c r="A729" s="999">
        <f>'09월 에너지'!A729</f>
        <v>46292</v>
      </c>
      <c r="B729" s="1002">
        <f>'09월 조업일지'!B727</f>
        <v>46292</v>
      </c>
      <c r="C729" s="1003" t="str">
        <f>'09월 에너지'!C729</f>
        <v>B</v>
      </c>
      <c r="D729" s="1004" t="str">
        <f>'09월 에너지'!D729</f>
        <v>B</v>
      </c>
      <c r="E729" s="1000">
        <f>'09월 에너지'!E729</f>
        <v>85929</v>
      </c>
      <c r="F729" s="1094" t="str">
        <f>'09월 에너지'!F729</f>
        <v>SY300</v>
      </c>
      <c r="G729" s="980"/>
      <c r="H729" s="978"/>
      <c r="I729" s="978">
        <f>13100+8600</f>
        <v>21700</v>
      </c>
      <c r="J729" s="978"/>
      <c r="K729" s="978"/>
      <c r="L729" s="978"/>
      <c r="M729" s="978"/>
      <c r="N729" s="978"/>
      <c r="O729" s="1106">
        <f t="shared" si="144"/>
        <v>21700</v>
      </c>
      <c r="P729" s="1108">
        <v>51000</v>
      </c>
      <c r="Q729" s="979">
        <v>17100</v>
      </c>
      <c r="R729" s="979">
        <v>4100</v>
      </c>
      <c r="S729" s="979"/>
      <c r="T729" s="979"/>
      <c r="U729" s="979">
        <f>3800+6100</f>
        <v>9900</v>
      </c>
      <c r="V729" s="979">
        <f>14600-1400</f>
        <v>13200</v>
      </c>
      <c r="W729" s="979">
        <v>3400</v>
      </c>
      <c r="X729" s="979">
        <v>7100</v>
      </c>
      <c r="Y729" s="979">
        <v>3100</v>
      </c>
      <c r="Z729" s="979"/>
      <c r="AA729" s="979">
        <v>3000</v>
      </c>
      <c r="AB729" s="979"/>
      <c r="AC729" s="979">
        <v>1400</v>
      </c>
      <c r="AD729" s="979"/>
      <c r="AE729" s="1109">
        <f t="shared" si="145"/>
        <v>113300</v>
      </c>
      <c r="AF729" s="1113">
        <v>4000</v>
      </c>
      <c r="AG729" s="981">
        <f>15700+2400</f>
        <v>18100</v>
      </c>
      <c r="AH729" s="981">
        <v>2600</v>
      </c>
      <c r="AI729" s="1114">
        <f t="shared" si="146"/>
        <v>24700</v>
      </c>
      <c r="AJ729" s="1110">
        <f t="shared" si="147"/>
        <v>159700</v>
      </c>
      <c r="AK729" s="982">
        <f>'09월 에너지'!S729</f>
        <v>143.6</v>
      </c>
      <c r="AL729" s="983">
        <f t="shared" si="148"/>
        <v>0.89918597370068876</v>
      </c>
    </row>
    <row r="730" spans="1:38" ht="16.5" customHeight="1">
      <c r="A730" s="999">
        <f>'09월 에너지'!A730</f>
        <v>46292</v>
      </c>
      <c r="B730" s="1002">
        <f>'09월 조업일지'!B728</f>
        <v>46292</v>
      </c>
      <c r="C730" s="1003" t="str">
        <f>'09월 에너지'!C730</f>
        <v>B</v>
      </c>
      <c r="D730" s="1004" t="str">
        <f>'09월 에너지'!D730</f>
        <v>A</v>
      </c>
      <c r="E730" s="1000">
        <f>'09월 에너지'!E730</f>
        <v>85930</v>
      </c>
      <c r="F730" s="1094" t="str">
        <f>'09월 에너지'!F730</f>
        <v>SY300</v>
      </c>
      <c r="G730" s="980"/>
      <c r="H730" s="978"/>
      <c r="I730" s="978">
        <f>9000+8400</f>
        <v>17400</v>
      </c>
      <c r="J730" s="978"/>
      <c r="K730" s="978"/>
      <c r="L730" s="978"/>
      <c r="M730" s="978"/>
      <c r="N730" s="978"/>
      <c r="O730" s="1106">
        <f t="shared" si="144"/>
        <v>17400</v>
      </c>
      <c r="P730" s="1108">
        <v>47700</v>
      </c>
      <c r="Q730" s="979">
        <f>10500+2900+5000</f>
        <v>18400</v>
      </c>
      <c r="R730" s="979">
        <v>7200</v>
      </c>
      <c r="S730" s="979"/>
      <c r="T730" s="979"/>
      <c r="U730" s="979">
        <v>1900</v>
      </c>
      <c r="V730" s="979">
        <v>13200</v>
      </c>
      <c r="W730" s="979">
        <v>1100</v>
      </c>
      <c r="X730" s="979">
        <v>7200</v>
      </c>
      <c r="Y730" s="979">
        <f>9500-2300</f>
        <v>7200</v>
      </c>
      <c r="Z730" s="979"/>
      <c r="AA730" s="979">
        <v>2100</v>
      </c>
      <c r="AB730" s="979"/>
      <c r="AC730" s="979">
        <v>3800</v>
      </c>
      <c r="AD730" s="979"/>
      <c r="AE730" s="1109">
        <f t="shared" si="145"/>
        <v>109800</v>
      </c>
      <c r="AF730" s="1113">
        <v>4500</v>
      </c>
      <c r="AG730" s="981">
        <f>12800+8400</f>
        <v>21200</v>
      </c>
      <c r="AH730" s="981">
        <v>4800</v>
      </c>
      <c r="AI730" s="1114">
        <f t="shared" si="146"/>
        <v>30500</v>
      </c>
      <c r="AJ730" s="1110">
        <f t="shared" si="147"/>
        <v>157700</v>
      </c>
      <c r="AK730" s="982">
        <f>'09월 에너지'!S730</f>
        <v>143.6</v>
      </c>
      <c r="AL730" s="983">
        <f t="shared" si="148"/>
        <v>0.91058972733037413</v>
      </c>
    </row>
    <row r="731" spans="1:38" ht="16.5" customHeight="1">
      <c r="A731" s="999">
        <f>'09월 에너지'!A731</f>
        <v>46292</v>
      </c>
      <c r="B731" s="1002">
        <f>'09월 조업일지'!B729</f>
        <v>46292</v>
      </c>
      <c r="C731" s="1003" t="str">
        <f>'09월 에너지'!C731</f>
        <v>B</v>
      </c>
      <c r="D731" s="1004" t="str">
        <f>'09월 에너지'!D731</f>
        <v>B</v>
      </c>
      <c r="E731" s="1000">
        <f>'09월 에너지'!E731</f>
        <v>85931</v>
      </c>
      <c r="F731" s="1094" t="str">
        <f>'09월 에너지'!F731</f>
        <v>SY300</v>
      </c>
      <c r="G731" s="980"/>
      <c r="H731" s="978"/>
      <c r="I731" s="978">
        <f>2000+7100</f>
        <v>9100</v>
      </c>
      <c r="J731" s="978"/>
      <c r="K731" s="978"/>
      <c r="L731" s="978"/>
      <c r="M731" s="978"/>
      <c r="N731" s="978"/>
      <c r="O731" s="1106">
        <f t="shared" si="144"/>
        <v>9100</v>
      </c>
      <c r="P731" s="1108">
        <v>59700</v>
      </c>
      <c r="Q731" s="979">
        <v>17300</v>
      </c>
      <c r="R731" s="979">
        <v>2500</v>
      </c>
      <c r="S731" s="979"/>
      <c r="T731" s="979"/>
      <c r="U731" s="979">
        <v>5900</v>
      </c>
      <c r="V731" s="979">
        <v>14800</v>
      </c>
      <c r="W731" s="979">
        <v>4300</v>
      </c>
      <c r="X731" s="979">
        <v>7200</v>
      </c>
      <c r="Y731" s="979">
        <v>8900</v>
      </c>
      <c r="Z731" s="979"/>
      <c r="AA731" s="979">
        <v>1100</v>
      </c>
      <c r="AB731" s="979"/>
      <c r="AC731" s="979">
        <v>3900</v>
      </c>
      <c r="AD731" s="979"/>
      <c r="AE731" s="1109">
        <f t="shared" si="145"/>
        <v>125600</v>
      </c>
      <c r="AF731" s="1113">
        <v>1400</v>
      </c>
      <c r="AG731" s="981">
        <f>15200+3600</f>
        <v>18800</v>
      </c>
      <c r="AH731" s="981">
        <v>3400</v>
      </c>
      <c r="AI731" s="1114">
        <f t="shared" si="146"/>
        <v>23600</v>
      </c>
      <c r="AJ731" s="1110">
        <f t="shared" si="147"/>
        <v>158300</v>
      </c>
      <c r="AK731" s="982">
        <f>'09월 에너지'!S731</f>
        <v>140.1</v>
      </c>
      <c r="AL731" s="983">
        <f t="shared" si="148"/>
        <v>0.88502842703727103</v>
      </c>
    </row>
    <row r="732" spans="1:38" ht="16.5" customHeight="1">
      <c r="A732" s="999">
        <f>'09월 에너지'!A732</f>
        <v>46292</v>
      </c>
      <c r="B732" s="1002">
        <f>'09월 조업일지'!B730</f>
        <v>46292</v>
      </c>
      <c r="C732" s="1003" t="str">
        <f>'09월 에너지'!C732</f>
        <v>B</v>
      </c>
      <c r="D732" s="1004" t="str">
        <f>'09월 에너지'!D732</f>
        <v>A</v>
      </c>
      <c r="E732" s="1000">
        <f>'09월 에너지'!E732</f>
        <v>85932</v>
      </c>
      <c r="F732" s="1094" t="str">
        <f>'09월 에너지'!F732</f>
        <v>SY300</v>
      </c>
      <c r="G732" s="980"/>
      <c r="H732" s="978"/>
      <c r="I732" s="978">
        <f>15500+100</f>
        <v>15600</v>
      </c>
      <c r="J732" s="978"/>
      <c r="K732" s="978"/>
      <c r="L732" s="978"/>
      <c r="M732" s="978"/>
      <c r="N732" s="978"/>
      <c r="O732" s="1106">
        <f t="shared" si="144"/>
        <v>15600</v>
      </c>
      <c r="P732" s="1108">
        <f>8900+9400+12900+7800+100+6400</f>
        <v>45500</v>
      </c>
      <c r="Q732" s="979">
        <f>16400+24400</f>
        <v>40800</v>
      </c>
      <c r="R732" s="979">
        <v>5400</v>
      </c>
      <c r="S732" s="979"/>
      <c r="T732" s="979"/>
      <c r="U732" s="979"/>
      <c r="V732" s="979">
        <f>4400+9400</f>
        <v>13800</v>
      </c>
      <c r="W732" s="979">
        <v>2600</v>
      </c>
      <c r="X732" s="979">
        <v>8000</v>
      </c>
      <c r="Y732" s="979">
        <f>2300+5800</f>
        <v>8100</v>
      </c>
      <c r="Z732" s="979"/>
      <c r="AA732" s="979"/>
      <c r="AB732" s="979"/>
      <c r="AC732" s="979">
        <v>2100</v>
      </c>
      <c r="AD732" s="979"/>
      <c r="AE732" s="1109">
        <f t="shared" si="145"/>
        <v>126300</v>
      </c>
      <c r="AF732" s="1113">
        <v>4600</v>
      </c>
      <c r="AG732" s="981">
        <v>7500</v>
      </c>
      <c r="AH732" s="981">
        <v>5600</v>
      </c>
      <c r="AI732" s="1114">
        <f t="shared" si="146"/>
        <v>17700</v>
      </c>
      <c r="AJ732" s="1110">
        <f t="shared" si="147"/>
        <v>159600</v>
      </c>
      <c r="AK732" s="982">
        <f>'09월 에너지'!S732</f>
        <v>144.80000000000001</v>
      </c>
      <c r="AL732" s="983">
        <f t="shared" si="148"/>
        <v>0.90726817042606511</v>
      </c>
    </row>
    <row r="733" spans="1:38" ht="16.5" customHeight="1">
      <c r="A733" s="999">
        <f>'09월 에너지'!A733</f>
        <v>46292</v>
      </c>
      <c r="B733" s="1002">
        <f>'09월 조업일지'!B731</f>
        <v>46292</v>
      </c>
      <c r="C733" s="1003" t="str">
        <f>'09월 에너지'!C733</f>
        <v>B</v>
      </c>
      <c r="D733" s="1004" t="str">
        <f>'09월 에너지'!D733</f>
        <v>B</v>
      </c>
      <c r="E733" s="1000">
        <f>'09월 에너지'!E733</f>
        <v>85933</v>
      </c>
      <c r="F733" s="1170" t="str">
        <f>'09월 에너지'!F733</f>
        <v>SHP275W</v>
      </c>
      <c r="G733" s="980"/>
      <c r="H733" s="978"/>
      <c r="I733" s="978">
        <f>10400+5000</f>
        <v>15400</v>
      </c>
      <c r="J733" s="978"/>
      <c r="K733" s="978"/>
      <c r="L733" s="978"/>
      <c r="M733" s="978"/>
      <c r="N733" s="978"/>
      <c r="O733" s="1106">
        <f t="shared" si="144"/>
        <v>15400</v>
      </c>
      <c r="P733" s="1108">
        <f>9200+8000+8700+10400+11100+8100+2000</f>
        <v>57500</v>
      </c>
      <c r="Q733" s="979">
        <f>11700+5800</f>
        <v>17500</v>
      </c>
      <c r="R733" s="979">
        <v>1400</v>
      </c>
      <c r="S733" s="979"/>
      <c r="T733" s="979"/>
      <c r="U733" s="979">
        <v>7300</v>
      </c>
      <c r="V733" s="979">
        <f>7400+4500+11200+3100</f>
        <v>26200</v>
      </c>
      <c r="W733" s="979">
        <v>2200</v>
      </c>
      <c r="X733" s="979">
        <v>5400</v>
      </c>
      <c r="Y733" s="979">
        <f>3000+1400</f>
        <v>4400</v>
      </c>
      <c r="Z733" s="979"/>
      <c r="AA733" s="979">
        <v>3100</v>
      </c>
      <c r="AB733" s="979"/>
      <c r="AC733" s="979">
        <v>900</v>
      </c>
      <c r="AD733" s="979"/>
      <c r="AE733" s="1109">
        <f t="shared" si="145"/>
        <v>125900</v>
      </c>
      <c r="AF733" s="1113">
        <v>3300</v>
      </c>
      <c r="AG733" s="981">
        <v>10800</v>
      </c>
      <c r="AH733" s="981">
        <v>2600</v>
      </c>
      <c r="AI733" s="1114">
        <f t="shared" si="146"/>
        <v>16700</v>
      </c>
      <c r="AJ733" s="1110">
        <f t="shared" si="147"/>
        <v>158000</v>
      </c>
      <c r="AK733" s="982">
        <f>'09월 에너지'!S733</f>
        <v>146</v>
      </c>
      <c r="AL733" s="983">
        <f t="shared" si="148"/>
        <v>0.92405063291139244</v>
      </c>
    </row>
    <row r="734" spans="1:38" ht="16.5" customHeight="1">
      <c r="A734" s="999">
        <f>'09월 에너지'!A734</f>
        <v>46292</v>
      </c>
      <c r="B734" s="1002">
        <f>'09월 조업일지'!B732</f>
        <v>46292</v>
      </c>
      <c r="C734" s="1003" t="str">
        <f>'09월 에너지'!C734</f>
        <v>B</v>
      </c>
      <c r="D734" s="1004" t="str">
        <f>'09월 에너지'!D734</f>
        <v>A</v>
      </c>
      <c r="E734" s="1000">
        <f>'09월 에너지'!E734</f>
        <v>85934</v>
      </c>
      <c r="F734" s="1094" t="str">
        <f>'09월 에너지'!F734</f>
        <v>SHP275W</v>
      </c>
      <c r="G734" s="980"/>
      <c r="H734" s="978"/>
      <c r="I734" s="978">
        <v>10600</v>
      </c>
      <c r="J734" s="978"/>
      <c r="K734" s="978"/>
      <c r="L734" s="978"/>
      <c r="M734" s="978"/>
      <c r="N734" s="978"/>
      <c r="O734" s="1106">
        <f t="shared" si="144"/>
        <v>10600</v>
      </c>
      <c r="P734" s="1108">
        <f>6600+7000+15400+8600+6000+9000</f>
        <v>52600</v>
      </c>
      <c r="Q734" s="979">
        <f>13800+11000</f>
        <v>24800</v>
      </c>
      <c r="R734" s="979">
        <v>4900</v>
      </c>
      <c r="S734" s="979"/>
      <c r="T734" s="979"/>
      <c r="U734" s="979">
        <v>3000</v>
      </c>
      <c r="V734" s="979">
        <f>1100+2400+10100+4500</f>
        <v>18100</v>
      </c>
      <c r="W734" s="979">
        <v>2400</v>
      </c>
      <c r="X734" s="979">
        <v>7700</v>
      </c>
      <c r="Y734" s="979">
        <f>9200+700</f>
        <v>9900</v>
      </c>
      <c r="Z734" s="979"/>
      <c r="AA734" s="979">
        <v>7700</v>
      </c>
      <c r="AB734" s="979"/>
      <c r="AC734" s="979">
        <v>2200</v>
      </c>
      <c r="AD734" s="979"/>
      <c r="AE734" s="1109">
        <f t="shared" si="145"/>
        <v>133300</v>
      </c>
      <c r="AF734" s="1113">
        <v>3200</v>
      </c>
      <c r="AG734" s="981">
        <v>8800</v>
      </c>
      <c r="AH734" s="981">
        <v>2300</v>
      </c>
      <c r="AI734" s="1114">
        <f t="shared" si="146"/>
        <v>14300</v>
      </c>
      <c r="AJ734" s="1110">
        <f t="shared" si="147"/>
        <v>158200</v>
      </c>
      <c r="AK734" s="982">
        <f>'09월 에너지'!S734</f>
        <v>142.80000000000001</v>
      </c>
      <c r="AL734" s="983">
        <f t="shared" si="148"/>
        <v>0.90265486725663713</v>
      </c>
    </row>
    <row r="735" spans="1:38" ht="16.5" customHeight="1">
      <c r="A735" s="999">
        <f>'09월 에너지'!A735</f>
        <v>46292</v>
      </c>
      <c r="B735" s="1002">
        <f>'09월 조업일지'!B733</f>
        <v>46292</v>
      </c>
      <c r="C735" s="1003" t="str">
        <f>'09월 에너지'!C735</f>
        <v>B</v>
      </c>
      <c r="D735" s="1004" t="str">
        <f>'09월 에너지'!D735</f>
        <v>B</v>
      </c>
      <c r="E735" s="1000">
        <f>'09월 에너지'!E735</f>
        <v>85935</v>
      </c>
      <c r="F735" s="1170" t="str">
        <f>'09월 에너지'!F735</f>
        <v>SHP275(BB)</v>
      </c>
      <c r="G735" s="980"/>
      <c r="H735" s="978"/>
      <c r="I735" s="978">
        <f>3000+3000</f>
        <v>6000</v>
      </c>
      <c r="J735" s="978"/>
      <c r="K735" s="978"/>
      <c r="L735" s="978"/>
      <c r="M735" s="978"/>
      <c r="N735" s="978"/>
      <c r="O735" s="1106">
        <f t="shared" si="144"/>
        <v>6000</v>
      </c>
      <c r="P735" s="1108">
        <f>8800+7200+15600+11300+7000+5500</f>
        <v>55400</v>
      </c>
      <c r="Q735" s="979">
        <f>16700+5200</f>
        <v>21900</v>
      </c>
      <c r="R735" s="979">
        <v>3300</v>
      </c>
      <c r="S735" s="979"/>
      <c r="T735" s="979"/>
      <c r="U735" s="979"/>
      <c r="V735" s="979">
        <f>5600+3000+7200+8200</f>
        <v>24000</v>
      </c>
      <c r="W735" s="979">
        <v>2000</v>
      </c>
      <c r="X735" s="979">
        <v>9600</v>
      </c>
      <c r="Y735" s="979">
        <f>4700+1900</f>
        <v>6600</v>
      </c>
      <c r="Z735" s="979"/>
      <c r="AA735" s="979">
        <f>2700+3200</f>
        <v>5900</v>
      </c>
      <c r="AB735" s="979"/>
      <c r="AC735" s="979">
        <v>1600</v>
      </c>
      <c r="AD735" s="979"/>
      <c r="AE735" s="1109">
        <f t="shared" si="145"/>
        <v>130300</v>
      </c>
      <c r="AF735" s="1113">
        <v>3600</v>
      </c>
      <c r="AG735" s="981">
        <f>11300+3000</f>
        <v>14300</v>
      </c>
      <c r="AH735" s="981">
        <v>4500</v>
      </c>
      <c r="AI735" s="1114">
        <f t="shared" si="146"/>
        <v>22400</v>
      </c>
      <c r="AJ735" s="1110">
        <f t="shared" si="147"/>
        <v>158700</v>
      </c>
      <c r="AK735" s="982">
        <f>'09월 에너지'!S735</f>
        <v>136.80000000000001</v>
      </c>
      <c r="AL735" s="983">
        <f t="shared" si="148"/>
        <v>0.8620037807183365</v>
      </c>
    </row>
    <row r="736" spans="1:38" ht="16.5" customHeight="1">
      <c r="A736" s="999">
        <f>'09월 에너지'!A736</f>
        <v>46292</v>
      </c>
      <c r="B736" s="1002">
        <f>'09월 조업일지'!B734</f>
        <v>46292</v>
      </c>
      <c r="C736" s="1003" t="str">
        <f>'09월 에너지'!C736</f>
        <v>B</v>
      </c>
      <c r="D736" s="1004" t="str">
        <f>'09월 에너지'!D736</f>
        <v>A</v>
      </c>
      <c r="E736" s="1000">
        <f>'09월 에너지'!E736</f>
        <v>85936</v>
      </c>
      <c r="F736" s="1094" t="str">
        <f>'09월 에너지'!F736</f>
        <v>SHP275(BB)</v>
      </c>
      <c r="G736" s="980"/>
      <c r="H736" s="978"/>
      <c r="I736" s="978">
        <f>9400+2100</f>
        <v>11500</v>
      </c>
      <c r="J736" s="978"/>
      <c r="K736" s="978"/>
      <c r="L736" s="978"/>
      <c r="M736" s="978"/>
      <c r="N736" s="978"/>
      <c r="O736" s="1106">
        <f t="shared" si="144"/>
        <v>11500</v>
      </c>
      <c r="P736" s="1108">
        <f>7900+9000+8400+23800+3700</f>
        <v>52800</v>
      </c>
      <c r="Q736" s="979">
        <f>8700+16100-2900</f>
        <v>21900</v>
      </c>
      <c r="R736" s="979">
        <v>6300</v>
      </c>
      <c r="S736" s="979"/>
      <c r="T736" s="979"/>
      <c r="U736" s="979"/>
      <c r="V736" s="979">
        <f>1600+10600+6100+9400</f>
        <v>27700</v>
      </c>
      <c r="W736" s="979">
        <v>1700</v>
      </c>
      <c r="X736" s="979">
        <v>7900</v>
      </c>
      <c r="Y736" s="979">
        <f>2600+300</f>
        <v>2900</v>
      </c>
      <c r="Z736" s="979"/>
      <c r="AA736" s="979">
        <v>4900</v>
      </c>
      <c r="AB736" s="979"/>
      <c r="AC736" s="979">
        <v>2400</v>
      </c>
      <c r="AD736" s="979"/>
      <c r="AE736" s="1109">
        <f t="shared" si="145"/>
        <v>128500</v>
      </c>
      <c r="AF736" s="1113">
        <v>2400</v>
      </c>
      <c r="AG736" s="981">
        <f>6200+5600</f>
        <v>11800</v>
      </c>
      <c r="AH736" s="981">
        <v>3900</v>
      </c>
      <c r="AI736" s="1114">
        <f t="shared" si="146"/>
        <v>18100</v>
      </c>
      <c r="AJ736" s="1110">
        <f t="shared" si="147"/>
        <v>158100</v>
      </c>
      <c r="AK736" s="982">
        <f>'09월 에너지'!S736</f>
        <v>142</v>
      </c>
      <c r="AL736" s="983">
        <f t="shared" si="148"/>
        <v>0.89816571790006328</v>
      </c>
    </row>
    <row r="737" spans="1:38" ht="16.5" customHeight="1">
      <c r="A737" s="999">
        <f>'09월 에너지'!A737</f>
        <v>46292</v>
      </c>
      <c r="B737" s="1002">
        <f>'09월 조업일지'!B735</f>
        <v>46292</v>
      </c>
      <c r="C737" s="1003" t="str">
        <f>'09월 에너지'!C737</f>
        <v>B</v>
      </c>
      <c r="D737" s="1004" t="str">
        <f>'09월 에너지'!D737</f>
        <v>B</v>
      </c>
      <c r="E737" s="1000">
        <f>'09월 에너지'!E737</f>
        <v>85937</v>
      </c>
      <c r="F737" s="1094" t="str">
        <f>'09월 에너지'!F737</f>
        <v>SHP275(BB)</v>
      </c>
      <c r="G737" s="980"/>
      <c r="H737" s="978"/>
      <c r="I737" s="978">
        <f>11000+7700</f>
        <v>18700</v>
      </c>
      <c r="J737" s="978"/>
      <c r="K737" s="978"/>
      <c r="L737" s="978"/>
      <c r="M737" s="978"/>
      <c r="N737" s="978"/>
      <c r="O737" s="1106">
        <f t="shared" si="144"/>
        <v>18700</v>
      </c>
      <c r="P737" s="1108">
        <f>9900+7200+11300+9100+5800+8700-2200</f>
        <v>49800</v>
      </c>
      <c r="Q737" s="979">
        <f>13200+6200</f>
        <v>19400</v>
      </c>
      <c r="R737" s="979">
        <v>2100</v>
      </c>
      <c r="S737" s="979"/>
      <c r="T737" s="979"/>
      <c r="U737" s="979"/>
      <c r="V737" s="979">
        <f>5800+3500+2200+3400+10200</f>
        <v>25100</v>
      </c>
      <c r="W737" s="979">
        <v>3400</v>
      </c>
      <c r="X737" s="979">
        <v>9800</v>
      </c>
      <c r="Y737" s="979">
        <f>3100+900</f>
        <v>4000</v>
      </c>
      <c r="Z737" s="979"/>
      <c r="AA737" s="979">
        <v>2300</v>
      </c>
      <c r="AB737" s="979"/>
      <c r="AC737" s="979">
        <v>3500</v>
      </c>
      <c r="AD737" s="979"/>
      <c r="AE737" s="1109">
        <f t="shared" si="145"/>
        <v>119400</v>
      </c>
      <c r="AF737" s="1113">
        <v>1700</v>
      </c>
      <c r="AG737" s="981">
        <f>10800+3400</f>
        <v>14200</v>
      </c>
      <c r="AH737" s="981">
        <v>3900</v>
      </c>
      <c r="AI737" s="1114">
        <f t="shared" si="146"/>
        <v>19800</v>
      </c>
      <c r="AJ737" s="1110">
        <f t="shared" si="147"/>
        <v>157900</v>
      </c>
      <c r="AK737" s="982">
        <f>'09월 에너지'!S737</f>
        <v>139.6</v>
      </c>
      <c r="AL737" s="983">
        <f t="shared" si="148"/>
        <v>0.8841038632045598</v>
      </c>
    </row>
    <row r="738" spans="1:38" ht="16.5" customHeight="1">
      <c r="A738" s="999">
        <f>'09월 에너지'!A738</f>
        <v>46292</v>
      </c>
      <c r="B738" s="1002">
        <f>'09월 조업일지'!B736</f>
        <v>46292</v>
      </c>
      <c r="C738" s="1003" t="str">
        <f>'09월 에너지'!C738</f>
        <v>B</v>
      </c>
      <c r="D738" s="1004" t="str">
        <f>'09월 에너지'!D738</f>
        <v>A</v>
      </c>
      <c r="E738" s="1000">
        <f>'09월 에너지'!E738</f>
        <v>85938</v>
      </c>
      <c r="F738" s="1094" t="str">
        <f>'09월 에너지'!F738</f>
        <v>SHP275(BB)</v>
      </c>
      <c r="G738" s="980"/>
      <c r="H738" s="978"/>
      <c r="I738" s="978">
        <v>9400</v>
      </c>
      <c r="J738" s="978"/>
      <c r="K738" s="978"/>
      <c r="L738" s="978"/>
      <c r="M738" s="978"/>
      <c r="N738" s="978"/>
      <c r="O738" s="1106">
        <f t="shared" si="144"/>
        <v>9400</v>
      </c>
      <c r="P738" s="1108">
        <f>7300+5900+2200+20800+6100+14900</f>
        <v>57200</v>
      </c>
      <c r="Q738" s="979">
        <f>15400+8500</f>
        <v>23900</v>
      </c>
      <c r="R738" s="979">
        <v>3300</v>
      </c>
      <c r="S738" s="979"/>
      <c r="T738" s="979"/>
      <c r="U738" s="979"/>
      <c r="V738" s="979">
        <f>8300+2000+2700+10000</f>
        <v>23000</v>
      </c>
      <c r="W738" s="979">
        <v>1900</v>
      </c>
      <c r="X738" s="979">
        <v>10400</v>
      </c>
      <c r="Y738" s="979">
        <v>6900</v>
      </c>
      <c r="Z738" s="979"/>
      <c r="AA738" s="979"/>
      <c r="AB738" s="979"/>
      <c r="AC738" s="979">
        <v>2300</v>
      </c>
      <c r="AD738" s="979"/>
      <c r="AE738" s="1109">
        <f t="shared" si="145"/>
        <v>128900</v>
      </c>
      <c r="AF738" s="1113">
        <v>3700</v>
      </c>
      <c r="AG738" s="981">
        <f>10700+3000</f>
        <v>13700</v>
      </c>
      <c r="AH738" s="981">
        <v>2700</v>
      </c>
      <c r="AI738" s="1114">
        <f t="shared" si="146"/>
        <v>20100</v>
      </c>
      <c r="AJ738" s="1110">
        <f t="shared" si="147"/>
        <v>158400</v>
      </c>
      <c r="AK738" s="982">
        <f>'09월 에너지'!S738</f>
        <v>142.5</v>
      </c>
      <c r="AL738" s="983">
        <f t="shared" si="148"/>
        <v>0.89962121212121215</v>
      </c>
    </row>
    <row r="739" spans="1:38" ht="16.5" customHeight="1">
      <c r="A739" s="999">
        <f>'09월 에너지'!A739</f>
        <v>46292</v>
      </c>
      <c r="B739" s="1002">
        <f>'09월 조업일지'!B737</f>
        <v>46292</v>
      </c>
      <c r="C739" s="1003" t="str">
        <f>'09월 에너지'!C739</f>
        <v>D</v>
      </c>
      <c r="D739" s="1004" t="str">
        <f>'09월 에너지'!D739</f>
        <v>B</v>
      </c>
      <c r="E739" s="1000">
        <f>'09월 에너지'!E739</f>
        <v>85939</v>
      </c>
      <c r="F739" s="1170" t="str">
        <f>'09월 에너지'!F739</f>
        <v>SS400-01</v>
      </c>
      <c r="G739" s="980"/>
      <c r="H739" s="978"/>
      <c r="I739" s="978">
        <f>10600+7200</f>
        <v>17800</v>
      </c>
      <c r="J739" s="978"/>
      <c r="K739" s="978"/>
      <c r="L739" s="978"/>
      <c r="M739" s="978"/>
      <c r="N739" s="978"/>
      <c r="O739" s="1106">
        <f t="shared" si="144"/>
        <v>17800</v>
      </c>
      <c r="P739" s="1108">
        <f>10200+7500+12200+13300+6700+6400+2300</f>
        <v>58600</v>
      </c>
      <c r="Q739" s="979">
        <f>9100+4700</f>
        <v>13800</v>
      </c>
      <c r="R739" s="979">
        <v>2400</v>
      </c>
      <c r="S739" s="979"/>
      <c r="T739" s="979"/>
      <c r="U739" s="979">
        <v>7800</v>
      </c>
      <c r="V739" s="979">
        <f>4000+4300+4100+10000</f>
        <v>22400</v>
      </c>
      <c r="W739" s="979">
        <v>2500</v>
      </c>
      <c r="X739" s="979">
        <v>10200</v>
      </c>
      <c r="Y739" s="979">
        <f>2100+900</f>
        <v>3000</v>
      </c>
      <c r="Z739" s="979"/>
      <c r="AA739" s="979">
        <v>4000</v>
      </c>
      <c r="AB739" s="979"/>
      <c r="AC739" s="979">
        <v>1400</v>
      </c>
      <c r="AD739" s="979"/>
      <c r="AE739" s="1109">
        <f t="shared" si="145"/>
        <v>126100</v>
      </c>
      <c r="AF739" s="1113">
        <v>4300</v>
      </c>
      <c r="AG739" s="981">
        <v>7800</v>
      </c>
      <c r="AH739" s="981">
        <v>2900</v>
      </c>
      <c r="AI739" s="1114">
        <f t="shared" si="146"/>
        <v>15000</v>
      </c>
      <c r="AJ739" s="1110">
        <f t="shared" si="147"/>
        <v>158900</v>
      </c>
      <c r="AK739" s="982">
        <f>'09월 에너지'!S739</f>
        <v>144.80000000000001</v>
      </c>
      <c r="AL739" s="983">
        <f t="shared" si="148"/>
        <v>0.91126494650723722</v>
      </c>
    </row>
    <row r="740" spans="1:38" ht="16.5" customHeight="1">
      <c r="A740" s="999">
        <f>'09월 에너지'!A740</f>
        <v>46292</v>
      </c>
      <c r="B740" s="1002">
        <f>'09월 조업일지'!B738</f>
        <v>46292</v>
      </c>
      <c r="C740" s="1003" t="str">
        <f>'09월 에너지'!C740</f>
        <v>D</v>
      </c>
      <c r="D740" s="1004" t="str">
        <f>'09월 에너지'!D740</f>
        <v>A</v>
      </c>
      <c r="E740" s="1000">
        <f>'09월 에너지'!E740</f>
        <v>85940</v>
      </c>
      <c r="F740" s="1094" t="str">
        <f>'09월 에너지'!F740</f>
        <v>SS400-01</v>
      </c>
      <c r="G740" s="980"/>
      <c r="H740" s="978"/>
      <c r="I740" s="978">
        <f>6100+9200</f>
        <v>15300</v>
      </c>
      <c r="J740" s="978"/>
      <c r="K740" s="978"/>
      <c r="L740" s="978"/>
      <c r="M740" s="978"/>
      <c r="N740" s="978"/>
      <c r="O740" s="1106">
        <f t="shared" si="144"/>
        <v>15300</v>
      </c>
      <c r="P740" s="1108">
        <f>2500+10000+7500+8200+6300+4000+13400</f>
        <v>51900</v>
      </c>
      <c r="Q740" s="979">
        <v>14000</v>
      </c>
      <c r="R740" s="979">
        <v>4400</v>
      </c>
      <c r="S740" s="979"/>
      <c r="T740" s="979"/>
      <c r="U740" s="979">
        <v>2000</v>
      </c>
      <c r="V740" s="979">
        <f>2900+8200+7100+2000+9500</f>
        <v>29700</v>
      </c>
      <c r="W740" s="979">
        <v>3200</v>
      </c>
      <c r="X740" s="979">
        <v>6800</v>
      </c>
      <c r="Y740" s="979">
        <f>2700+5500</f>
        <v>8200</v>
      </c>
      <c r="Z740" s="979"/>
      <c r="AA740" s="979">
        <v>2800</v>
      </c>
      <c r="AB740" s="979"/>
      <c r="AC740" s="979"/>
      <c r="AD740" s="979"/>
      <c r="AE740" s="1109">
        <f t="shared" si="145"/>
        <v>123000</v>
      </c>
      <c r="AF740" s="1113">
        <v>4800</v>
      </c>
      <c r="AG740" s="981">
        <v>9600</v>
      </c>
      <c r="AH740" s="981">
        <v>4400</v>
      </c>
      <c r="AI740" s="1114">
        <f t="shared" si="146"/>
        <v>18800</v>
      </c>
      <c r="AJ740" s="1110">
        <f t="shared" si="147"/>
        <v>157100</v>
      </c>
      <c r="AK740" s="982">
        <f>'09월 에너지'!S740</f>
        <v>144.4</v>
      </c>
      <c r="AL740" s="983">
        <f t="shared" si="148"/>
        <v>0.9191597708465945</v>
      </c>
    </row>
    <row r="741" spans="1:38" ht="16.5" customHeight="1">
      <c r="A741" s="999">
        <f>'09월 에너지'!A741</f>
        <v>46292</v>
      </c>
      <c r="B741" s="1002">
        <f>'09월 조업일지'!B739</f>
        <v>46292</v>
      </c>
      <c r="C741" s="1003" t="str">
        <f>'09월 에너지'!C741</f>
        <v>D</v>
      </c>
      <c r="D741" s="1004" t="str">
        <f>'09월 에너지'!D741</f>
        <v>B</v>
      </c>
      <c r="E741" s="1000">
        <f>'09월 에너지'!E741</f>
        <v>85941</v>
      </c>
      <c r="F741" s="1094" t="str">
        <f>'09월 에너지'!F741</f>
        <v>SS400-01</v>
      </c>
      <c r="G741" s="980"/>
      <c r="H741" s="978"/>
      <c r="I741" s="978">
        <f>11300+10500</f>
        <v>21800</v>
      </c>
      <c r="J741" s="978"/>
      <c r="K741" s="978"/>
      <c r="L741" s="978"/>
      <c r="M741" s="978"/>
      <c r="N741" s="978"/>
      <c r="O741" s="1106">
        <f t="shared" si="144"/>
        <v>21800</v>
      </c>
      <c r="P741" s="1108">
        <f>7300+9700+7100+11900+6700+5200+4300</f>
        <v>52200</v>
      </c>
      <c r="Q741" s="979">
        <f>8200+4600</f>
        <v>12800</v>
      </c>
      <c r="R741" s="979">
        <v>8700</v>
      </c>
      <c r="S741" s="979"/>
      <c r="T741" s="979"/>
      <c r="U741" s="979">
        <v>3500</v>
      </c>
      <c r="V741" s="979">
        <f>3600+4800+2900+9300</f>
        <v>20600</v>
      </c>
      <c r="W741" s="979">
        <v>3800</v>
      </c>
      <c r="X741" s="979">
        <v>8300</v>
      </c>
      <c r="Y741" s="979">
        <f>1300+2000</f>
        <v>3300</v>
      </c>
      <c r="Z741" s="979"/>
      <c r="AA741" s="979">
        <v>2500</v>
      </c>
      <c r="AB741" s="979"/>
      <c r="AC741" s="979">
        <v>700</v>
      </c>
      <c r="AD741" s="979"/>
      <c r="AE741" s="1109">
        <f t="shared" si="145"/>
        <v>116400</v>
      </c>
      <c r="AF741" s="1113">
        <v>5000</v>
      </c>
      <c r="AG741" s="981">
        <v>7500</v>
      </c>
      <c r="AH741" s="981">
        <v>7600</v>
      </c>
      <c r="AI741" s="1114">
        <f t="shared" si="146"/>
        <v>20100</v>
      </c>
      <c r="AJ741" s="1110">
        <f t="shared" si="147"/>
        <v>158300</v>
      </c>
      <c r="AK741" s="982">
        <f>'09월 에너지'!S741</f>
        <v>146.19999999999999</v>
      </c>
      <c r="AL741" s="983">
        <f t="shared" si="148"/>
        <v>0.92356285533796589</v>
      </c>
    </row>
    <row r="742" spans="1:38" ht="16.5" customHeight="1">
      <c r="A742" s="999">
        <f>'09월 에너지'!A742</f>
        <v>46292</v>
      </c>
      <c r="B742" s="1002">
        <f>'09월 조업일지'!B740</f>
        <v>46292</v>
      </c>
      <c r="C742" s="1003" t="str">
        <f>'09월 에너지'!C742</f>
        <v>D</v>
      </c>
      <c r="D742" s="1004" t="str">
        <f>'09월 에너지'!D742</f>
        <v>A</v>
      </c>
      <c r="E742" s="1000">
        <f>'09월 에너지'!E742</f>
        <v>85942</v>
      </c>
      <c r="F742" s="1094" t="str">
        <f>'09월 에너지'!F742</f>
        <v>SS400-01</v>
      </c>
      <c r="G742" s="980"/>
      <c r="H742" s="978"/>
      <c r="I742" s="978">
        <f>11000+5200</f>
        <v>16200</v>
      </c>
      <c r="J742" s="978"/>
      <c r="K742" s="978"/>
      <c r="L742" s="978"/>
      <c r="M742" s="978"/>
      <c r="N742" s="978"/>
      <c r="O742" s="1106">
        <f t="shared" si="144"/>
        <v>16200</v>
      </c>
      <c r="P742" s="1108">
        <f>9400+7400+8300+13000+7900+5700+11000</f>
        <v>62700</v>
      </c>
      <c r="Q742" s="979">
        <f>13100+3000</f>
        <v>16100</v>
      </c>
      <c r="R742" s="979">
        <v>10900</v>
      </c>
      <c r="S742" s="979"/>
      <c r="T742" s="979"/>
      <c r="U742" s="979">
        <v>2100</v>
      </c>
      <c r="V742" s="979">
        <f>2400+4200+1500+10300</f>
        <v>18400</v>
      </c>
      <c r="W742" s="979">
        <v>2500</v>
      </c>
      <c r="X742" s="979">
        <v>9000</v>
      </c>
      <c r="Y742" s="979">
        <f>3600+2600</f>
        <v>6200</v>
      </c>
      <c r="Z742" s="979"/>
      <c r="AA742" s="979">
        <v>1500</v>
      </c>
      <c r="AB742" s="979"/>
      <c r="AC742" s="979">
        <v>100</v>
      </c>
      <c r="AD742" s="979"/>
      <c r="AE742" s="1109">
        <f t="shared" si="145"/>
        <v>129500</v>
      </c>
      <c r="AF742" s="1113">
        <v>5100</v>
      </c>
      <c r="AG742" s="981">
        <v>2300</v>
      </c>
      <c r="AH742" s="981">
        <v>5800</v>
      </c>
      <c r="AI742" s="1114">
        <f t="shared" si="146"/>
        <v>13200</v>
      </c>
      <c r="AJ742" s="1110">
        <f t="shared" si="147"/>
        <v>158900</v>
      </c>
      <c r="AK742" s="982">
        <f>'09월 에너지'!S742</f>
        <v>143.80000000000001</v>
      </c>
      <c r="AL742" s="983">
        <f t="shared" si="148"/>
        <v>0.90497168030207675</v>
      </c>
    </row>
    <row r="743" spans="1:38" ht="16.5" customHeight="1">
      <c r="A743" s="999">
        <f>'09월 에너지'!A743</f>
        <v>46292</v>
      </c>
      <c r="B743" s="1002">
        <f>'09월 조업일지'!B741</f>
        <v>46292</v>
      </c>
      <c r="C743" s="1003" t="str">
        <f>'09월 에너지'!C743</f>
        <v>D</v>
      </c>
      <c r="D743" s="1004" t="str">
        <f>'09월 에너지'!D743</f>
        <v>B</v>
      </c>
      <c r="E743" s="1000">
        <f>'09월 에너지'!E743</f>
        <v>85943</v>
      </c>
      <c r="F743" s="1094" t="str">
        <f>'09월 에너지'!F743</f>
        <v>SS400-01</v>
      </c>
      <c r="G743" s="980"/>
      <c r="H743" s="978"/>
      <c r="I743" s="978">
        <f>14000+7000</f>
        <v>21000</v>
      </c>
      <c r="J743" s="978"/>
      <c r="K743" s="978"/>
      <c r="L743" s="978"/>
      <c r="M743" s="978"/>
      <c r="N743" s="978"/>
      <c r="O743" s="1106">
        <f t="shared" si="144"/>
        <v>21000</v>
      </c>
      <c r="P743" s="1108">
        <f>10400+6300+8700+11800+7200+5800+4100</f>
        <v>54300</v>
      </c>
      <c r="Q743" s="979">
        <f>8900+2800</f>
        <v>11700</v>
      </c>
      <c r="R743" s="979">
        <v>8900</v>
      </c>
      <c r="S743" s="979"/>
      <c r="T743" s="979"/>
      <c r="U743" s="979">
        <v>3000</v>
      </c>
      <c r="V743" s="979">
        <f>1900+1500+1400+9500</f>
        <v>14300</v>
      </c>
      <c r="W743" s="979">
        <v>2600</v>
      </c>
      <c r="X743" s="979">
        <v>8300</v>
      </c>
      <c r="Y743" s="979">
        <f>2700+1500</f>
        <v>4200</v>
      </c>
      <c r="Z743" s="979"/>
      <c r="AA743" s="979">
        <v>2400</v>
      </c>
      <c r="AB743" s="979"/>
      <c r="AC743" s="979">
        <v>1600</v>
      </c>
      <c r="AD743" s="979"/>
      <c r="AE743" s="1109">
        <f t="shared" si="145"/>
        <v>111300</v>
      </c>
      <c r="AF743" s="1113">
        <v>4700</v>
      </c>
      <c r="AG743" s="981">
        <v>12000</v>
      </c>
      <c r="AH743" s="981">
        <v>4300</v>
      </c>
      <c r="AI743" s="1114">
        <f t="shared" si="146"/>
        <v>21000</v>
      </c>
      <c r="AJ743" s="1110">
        <f t="shared" si="147"/>
        <v>153300</v>
      </c>
      <c r="AK743" s="982">
        <f>'09월 에너지'!S743</f>
        <v>144.5</v>
      </c>
      <c r="AL743" s="983">
        <f t="shared" si="148"/>
        <v>0.94259621656881931</v>
      </c>
    </row>
    <row r="744" spans="1:38" ht="16.5" customHeight="1">
      <c r="A744" s="999">
        <f>'09월 에너지'!A744</f>
        <v>46292</v>
      </c>
      <c r="B744" s="1002">
        <f>'09월 조업일지'!B742</f>
        <v>46292</v>
      </c>
      <c r="C744" s="1003" t="str">
        <f>'09월 에너지'!C744</f>
        <v>D</v>
      </c>
      <c r="D744" s="1004" t="str">
        <f>'09월 에너지'!D744</f>
        <v>A</v>
      </c>
      <c r="E744" s="1000">
        <f>'09월 에너지'!E744</f>
        <v>85944</v>
      </c>
      <c r="F744" s="1094" t="str">
        <f>'09월 에너지'!F744</f>
        <v>SS400-01</v>
      </c>
      <c r="G744" s="980"/>
      <c r="H744" s="978"/>
      <c r="I744" s="978">
        <f>10800+10700</f>
        <v>21500</v>
      </c>
      <c r="J744" s="978"/>
      <c r="K744" s="978"/>
      <c r="L744" s="978"/>
      <c r="M744" s="978"/>
      <c r="N744" s="978"/>
      <c r="O744" s="1106">
        <f t="shared" si="144"/>
        <v>21500</v>
      </c>
      <c r="P744" s="1108">
        <f>6400+5100+8700+15100+8900+2800+2300</f>
        <v>49300</v>
      </c>
      <c r="Q744" s="979">
        <f>16500+3000</f>
        <v>19500</v>
      </c>
      <c r="R744" s="979">
        <v>8600</v>
      </c>
      <c r="S744" s="979"/>
      <c r="T744" s="979"/>
      <c r="U744" s="979">
        <v>8300</v>
      </c>
      <c r="V744" s="979">
        <f>3800+300+1700+9400</f>
        <v>15200</v>
      </c>
      <c r="W744" s="979">
        <v>1500</v>
      </c>
      <c r="X744" s="979">
        <v>7700</v>
      </c>
      <c r="Y744" s="979">
        <f>2400+2500</f>
        <v>4900</v>
      </c>
      <c r="Z744" s="979"/>
      <c r="AA744" s="979">
        <v>2200</v>
      </c>
      <c r="AB744" s="979"/>
      <c r="AC744" s="979">
        <v>100</v>
      </c>
      <c r="AD744" s="979"/>
      <c r="AE744" s="1109">
        <f t="shared" si="145"/>
        <v>117300</v>
      </c>
      <c r="AF744" s="1113">
        <v>6500</v>
      </c>
      <c r="AG744" s="981">
        <v>10700</v>
      </c>
      <c r="AH744" s="981">
        <v>2600</v>
      </c>
      <c r="AI744" s="1114">
        <f t="shared" si="146"/>
        <v>19800</v>
      </c>
      <c r="AJ744" s="1110">
        <f t="shared" si="147"/>
        <v>158600</v>
      </c>
      <c r="AK744" s="982">
        <f>'09월 에너지'!S744</f>
        <v>146</v>
      </c>
      <c r="AL744" s="983">
        <f t="shared" si="148"/>
        <v>0.92055485498108447</v>
      </c>
    </row>
    <row r="745" spans="1:38" ht="16.5" customHeight="1">
      <c r="A745" s="999">
        <f>'09월 에너지'!A745</f>
        <v>46292</v>
      </c>
      <c r="B745" s="1002">
        <f>'09월 조업일지'!B743</f>
        <v>46292</v>
      </c>
      <c r="C745" s="1003" t="str">
        <f>'09월 에너지'!C745</f>
        <v>D</v>
      </c>
      <c r="D745" s="1004" t="str">
        <f>'09월 에너지'!D745</f>
        <v>B</v>
      </c>
      <c r="E745" s="1000">
        <f>'09월 에너지'!E745</f>
        <v>85945</v>
      </c>
      <c r="F745" s="1094" t="str">
        <f>'09월 에너지'!F745</f>
        <v>SS400-01</v>
      </c>
      <c r="G745" s="980"/>
      <c r="H745" s="978"/>
      <c r="I745" s="978">
        <f>13000+10000</f>
        <v>23000</v>
      </c>
      <c r="J745" s="978"/>
      <c r="K745" s="978"/>
      <c r="L745" s="978"/>
      <c r="M745" s="978"/>
      <c r="N745" s="978"/>
      <c r="O745" s="1106">
        <f t="shared" si="144"/>
        <v>23000</v>
      </c>
      <c r="P745" s="1108">
        <f>7700+7600+11200+7100+4500+3800+9300</f>
        <v>51200</v>
      </c>
      <c r="Q745" s="979">
        <f>12600+6600</f>
        <v>19200</v>
      </c>
      <c r="R745" s="979">
        <v>7700</v>
      </c>
      <c r="S745" s="979"/>
      <c r="T745" s="979"/>
      <c r="U745" s="979">
        <v>2400</v>
      </c>
      <c r="V745" s="979">
        <f>3000+4100+2900+9200</f>
        <v>19200</v>
      </c>
      <c r="W745" s="979">
        <v>3200</v>
      </c>
      <c r="X745" s="979">
        <v>7800</v>
      </c>
      <c r="Y745" s="979">
        <f>1100+2800</f>
        <v>3900</v>
      </c>
      <c r="Z745" s="979"/>
      <c r="AA745" s="979">
        <v>1400</v>
      </c>
      <c r="AB745" s="979"/>
      <c r="AC745" s="979">
        <v>2700</v>
      </c>
      <c r="AD745" s="979"/>
      <c r="AE745" s="1109">
        <f t="shared" si="145"/>
        <v>118700</v>
      </c>
      <c r="AF745" s="1113">
        <v>3900</v>
      </c>
      <c r="AG745" s="981">
        <v>9700</v>
      </c>
      <c r="AH745" s="981">
        <v>3700</v>
      </c>
      <c r="AI745" s="1114">
        <f t="shared" si="146"/>
        <v>17300</v>
      </c>
      <c r="AJ745" s="1110">
        <f t="shared" si="147"/>
        <v>159000</v>
      </c>
      <c r="AK745" s="982">
        <f>'09월 에너지'!S745</f>
        <v>147.80000000000001</v>
      </c>
      <c r="AL745" s="983">
        <f t="shared" si="148"/>
        <v>0.92955974842767297</v>
      </c>
    </row>
    <row r="746" spans="1:38" ht="16.5" customHeight="1">
      <c r="A746" s="999">
        <f>'09월 에너지'!A746</f>
        <v>46292</v>
      </c>
      <c r="B746" s="1002">
        <f>'09월 조업일지'!B744</f>
        <v>46292</v>
      </c>
      <c r="C746" s="1003" t="str">
        <f>'09월 에너지'!C746</f>
        <v>D</v>
      </c>
      <c r="D746" s="1004" t="str">
        <f>'09월 에너지'!D746</f>
        <v>A</v>
      </c>
      <c r="E746" s="1000">
        <f>'09월 에너지'!E746</f>
        <v>85946</v>
      </c>
      <c r="F746" s="1094" t="str">
        <f>'09월 에너지'!F746</f>
        <v>SS400-01</v>
      </c>
      <c r="G746" s="980"/>
      <c r="H746" s="978"/>
      <c r="I746" s="978">
        <f>12600+5600</f>
        <v>18200</v>
      </c>
      <c r="J746" s="978"/>
      <c r="K746" s="978"/>
      <c r="L746" s="978"/>
      <c r="M746" s="978"/>
      <c r="N746" s="978"/>
      <c r="O746" s="1106">
        <f t="shared" si="144"/>
        <v>18200</v>
      </c>
      <c r="P746" s="1108">
        <f>4400+7100+5300+11300+6900+4800+6800</f>
        <v>46600</v>
      </c>
      <c r="Q746" s="979">
        <f>10900+6100</f>
        <v>17000</v>
      </c>
      <c r="R746" s="979">
        <v>11900</v>
      </c>
      <c r="S746" s="979"/>
      <c r="T746" s="979"/>
      <c r="U746" s="979">
        <v>2000</v>
      </c>
      <c r="V746" s="979">
        <f>8300+3700+3700+10000</f>
        <v>25700</v>
      </c>
      <c r="W746" s="979">
        <v>2100</v>
      </c>
      <c r="X746" s="979">
        <v>8900</v>
      </c>
      <c r="Y746" s="979">
        <f>4200+4100</f>
        <v>8300</v>
      </c>
      <c r="Z746" s="979"/>
      <c r="AA746" s="979">
        <v>1100</v>
      </c>
      <c r="AB746" s="979"/>
      <c r="AC746" s="979">
        <v>2300</v>
      </c>
      <c r="AD746" s="979"/>
      <c r="AE746" s="1109">
        <f t="shared" si="145"/>
        <v>125900</v>
      </c>
      <c r="AF746" s="1113">
        <v>3800</v>
      </c>
      <c r="AG746" s="981">
        <v>7600</v>
      </c>
      <c r="AH746" s="981">
        <v>3300</v>
      </c>
      <c r="AI746" s="1114">
        <f t="shared" si="146"/>
        <v>14700</v>
      </c>
      <c r="AJ746" s="1110">
        <f t="shared" si="147"/>
        <v>158800</v>
      </c>
      <c r="AK746" s="982">
        <f>'09월 에너지'!S746</f>
        <v>143.30000000000001</v>
      </c>
      <c r="AL746" s="983">
        <f t="shared" si="148"/>
        <v>0.90239294710327456</v>
      </c>
    </row>
    <row r="747" spans="1:38" ht="16.5" customHeight="1">
      <c r="A747" s="999">
        <f>'09월 에너지'!A747</f>
        <v>46292</v>
      </c>
      <c r="B747" s="1002">
        <f>'09월 조업일지'!B745</f>
        <v>46292</v>
      </c>
      <c r="C747" s="1003" t="str">
        <f>'09월 에너지'!C747</f>
        <v>D</v>
      </c>
      <c r="D747" s="1004" t="str">
        <f>'09월 에너지'!D747</f>
        <v>B</v>
      </c>
      <c r="E747" s="1000">
        <f>'09월 에너지'!E747</f>
        <v>85947</v>
      </c>
      <c r="F747" s="1094" t="str">
        <f>'09월 에너지'!F747</f>
        <v>SS400-01</v>
      </c>
      <c r="G747" s="980"/>
      <c r="H747" s="978"/>
      <c r="I747" s="978">
        <f>13100+9900</f>
        <v>23000</v>
      </c>
      <c r="J747" s="978"/>
      <c r="K747" s="978"/>
      <c r="L747" s="978"/>
      <c r="M747" s="978"/>
      <c r="N747" s="978"/>
      <c r="O747" s="1106">
        <f t="shared" si="144"/>
        <v>23000</v>
      </c>
      <c r="P747" s="1108">
        <f>10900+6200+9100+10100+7600+5400+5100</f>
        <v>54400</v>
      </c>
      <c r="Q747" s="979">
        <f>8600+4000</f>
        <v>12600</v>
      </c>
      <c r="R747" s="979">
        <v>7300</v>
      </c>
      <c r="S747" s="979"/>
      <c r="T747" s="979"/>
      <c r="U747" s="979">
        <v>2500</v>
      </c>
      <c r="V747" s="979">
        <f>4000+3000+2000+9800</f>
        <v>18800</v>
      </c>
      <c r="W747" s="979">
        <v>4000</v>
      </c>
      <c r="X747" s="979">
        <v>7200</v>
      </c>
      <c r="Y747" s="979">
        <f>2800+3000</f>
        <v>5800</v>
      </c>
      <c r="Z747" s="979"/>
      <c r="AA747" s="979">
        <v>2400</v>
      </c>
      <c r="AB747" s="979"/>
      <c r="AC747" s="979">
        <v>1800</v>
      </c>
      <c r="AD747" s="979"/>
      <c r="AE747" s="1109">
        <f t="shared" si="145"/>
        <v>116800</v>
      </c>
      <c r="AF747" s="1113">
        <v>3500</v>
      </c>
      <c r="AG747" s="981">
        <v>10900</v>
      </c>
      <c r="AH747" s="981">
        <v>4500</v>
      </c>
      <c r="AI747" s="1114">
        <f t="shared" si="146"/>
        <v>18900</v>
      </c>
      <c r="AJ747" s="1110">
        <f t="shared" si="147"/>
        <v>158700</v>
      </c>
      <c r="AK747" s="982">
        <f>'09월 에너지'!S747</f>
        <v>143</v>
      </c>
      <c r="AL747" s="983">
        <f t="shared" si="148"/>
        <v>0.90107120352867043</v>
      </c>
    </row>
    <row r="748" spans="1:38" ht="16.5" customHeight="1">
      <c r="A748" s="999">
        <f>'09월 에너지'!A748</f>
        <v>46292</v>
      </c>
      <c r="B748" s="1002">
        <f>'09월 조업일지'!B746</f>
        <v>46292</v>
      </c>
      <c r="C748" s="1003" t="str">
        <f>'09월 에너지'!C748</f>
        <v>D</v>
      </c>
      <c r="D748" s="1004" t="str">
        <f>'09월 에너지'!D748</f>
        <v>A</v>
      </c>
      <c r="E748" s="1000">
        <f>'09월 에너지'!E748</f>
        <v>85948</v>
      </c>
      <c r="F748" s="1094" t="str">
        <f>'09월 에너지'!F748</f>
        <v>SS400-01</v>
      </c>
      <c r="G748" s="980"/>
      <c r="H748" s="978"/>
      <c r="I748" s="978">
        <f>8800+2100</f>
        <v>10900</v>
      </c>
      <c r="J748" s="978"/>
      <c r="K748" s="978"/>
      <c r="L748" s="978"/>
      <c r="M748" s="978"/>
      <c r="N748" s="978"/>
      <c r="O748" s="1106">
        <f t="shared" si="144"/>
        <v>10900</v>
      </c>
      <c r="P748" s="1108">
        <f>12500+5300+11500+13000+10700+2200</f>
        <v>55200</v>
      </c>
      <c r="Q748" s="979">
        <f>8700+8800</f>
        <v>17500</v>
      </c>
      <c r="R748" s="979">
        <v>7900</v>
      </c>
      <c r="S748" s="979"/>
      <c r="T748" s="979"/>
      <c r="U748" s="979">
        <v>100</v>
      </c>
      <c r="V748" s="979">
        <f>4000+3800+1400+9400</f>
        <v>18600</v>
      </c>
      <c r="W748" s="979">
        <v>0</v>
      </c>
      <c r="X748" s="979">
        <v>0</v>
      </c>
      <c r="Y748" s="979">
        <f>23900+7300</f>
        <v>31200</v>
      </c>
      <c r="Z748" s="979"/>
      <c r="AA748" s="979">
        <v>1800</v>
      </c>
      <c r="AB748" s="979"/>
      <c r="AC748" s="979">
        <v>2100</v>
      </c>
      <c r="AD748" s="979"/>
      <c r="AE748" s="1109">
        <f t="shared" si="145"/>
        <v>134400</v>
      </c>
      <c r="AF748" s="1113">
        <v>3900</v>
      </c>
      <c r="AG748" s="981">
        <v>7000</v>
      </c>
      <c r="AH748" s="981">
        <v>4300</v>
      </c>
      <c r="AI748" s="1114">
        <f t="shared" si="146"/>
        <v>15200</v>
      </c>
      <c r="AJ748" s="1110">
        <f t="shared" si="147"/>
        <v>160500</v>
      </c>
      <c r="AK748" s="982">
        <f>'09월 에너지'!S748</f>
        <v>144.80000000000001</v>
      </c>
      <c r="AL748" s="983">
        <f t="shared" si="148"/>
        <v>0.90218068535825546</v>
      </c>
    </row>
    <row r="749" spans="1:38" ht="16.5" customHeight="1">
      <c r="A749" s="999">
        <f>'09월 에너지'!A749</f>
        <v>46292</v>
      </c>
      <c r="B749" s="1002">
        <f>'09월 조업일지'!B747</f>
        <v>46292</v>
      </c>
      <c r="C749" s="1003" t="str">
        <f>'09월 에너지'!C749</f>
        <v>A</v>
      </c>
      <c r="D749" s="1004" t="str">
        <f>'09월 에너지'!D749</f>
        <v>B</v>
      </c>
      <c r="E749" s="1000">
        <f>'09월 에너지'!E749</f>
        <v>85949</v>
      </c>
      <c r="F749" s="1094" t="str">
        <f>'09월 에너지'!F749</f>
        <v>SS400-01</v>
      </c>
      <c r="G749" s="980">
        <v>0</v>
      </c>
      <c r="H749" s="978">
        <v>0</v>
      </c>
      <c r="I749" s="978">
        <f>15600+9000</f>
        <v>24600</v>
      </c>
      <c r="J749" s="978">
        <v>0</v>
      </c>
      <c r="K749" s="978">
        <v>0</v>
      </c>
      <c r="L749" s="978">
        <v>0</v>
      </c>
      <c r="M749" s="978">
        <v>0</v>
      </c>
      <c r="N749" s="978">
        <v>0</v>
      </c>
      <c r="O749" s="1106">
        <f t="shared" si="144"/>
        <v>24600</v>
      </c>
      <c r="P749" s="1108">
        <f>5100+10300+8100+12300+7000+5500+3700</f>
        <v>52000</v>
      </c>
      <c r="Q749" s="979">
        <f>8300+4600</f>
        <v>12900</v>
      </c>
      <c r="R749" s="979">
        <v>6200</v>
      </c>
      <c r="S749" s="979">
        <v>0</v>
      </c>
      <c r="T749" s="979">
        <v>0</v>
      </c>
      <c r="U749" s="979">
        <v>4600</v>
      </c>
      <c r="V749" s="979">
        <f>4200+1600+2700+8800</f>
        <v>17300</v>
      </c>
      <c r="W749" s="979">
        <v>3200</v>
      </c>
      <c r="X749" s="979">
        <v>8500</v>
      </c>
      <c r="Y749" s="979">
        <f>2200+2600</f>
        <v>4800</v>
      </c>
      <c r="Z749" s="979">
        <v>0</v>
      </c>
      <c r="AA749" s="979">
        <v>2200</v>
      </c>
      <c r="AB749" s="979">
        <v>0</v>
      </c>
      <c r="AC749" s="979">
        <v>2100</v>
      </c>
      <c r="AD749" s="979">
        <v>0</v>
      </c>
      <c r="AE749" s="1109">
        <f t="shared" si="145"/>
        <v>113800</v>
      </c>
      <c r="AF749" s="1113">
        <v>4200</v>
      </c>
      <c r="AG749" s="981">
        <v>11400</v>
      </c>
      <c r="AH749" s="981">
        <v>4200</v>
      </c>
      <c r="AI749" s="1114">
        <f t="shared" si="146"/>
        <v>19800</v>
      </c>
      <c r="AJ749" s="1110">
        <f t="shared" si="147"/>
        <v>158200</v>
      </c>
      <c r="AK749" s="982">
        <f>'09월 에너지'!S749</f>
        <v>143.1</v>
      </c>
      <c r="AL749" s="983">
        <f t="shared" si="148"/>
        <v>0.90455120101137798</v>
      </c>
    </row>
    <row r="750" spans="1:38" ht="16.5" customHeight="1">
      <c r="A750" s="999">
        <f>'09월 에너지'!A750</f>
        <v>46292</v>
      </c>
      <c r="B750" s="1002">
        <f>'09월 조업일지'!B748</f>
        <v>46292</v>
      </c>
      <c r="C750" s="1003" t="str">
        <f>'09월 에너지'!C750</f>
        <v>A</v>
      </c>
      <c r="D750" s="1004" t="str">
        <f>'09월 에너지'!D750</f>
        <v>A</v>
      </c>
      <c r="E750" s="1000">
        <f>'09월 에너지'!E750</f>
        <v>85950</v>
      </c>
      <c r="F750" s="1094" t="str">
        <f>'09월 에너지'!F750</f>
        <v>SS400-01</v>
      </c>
      <c r="G750" s="980">
        <v>0</v>
      </c>
      <c r="H750" s="978">
        <v>0</v>
      </c>
      <c r="I750" s="978">
        <f>9900+2500</f>
        <v>12400</v>
      </c>
      <c r="J750" s="978">
        <v>0</v>
      </c>
      <c r="K750" s="978">
        <v>0</v>
      </c>
      <c r="L750" s="978">
        <v>0</v>
      </c>
      <c r="M750" s="978">
        <v>0</v>
      </c>
      <c r="N750" s="978">
        <v>0</v>
      </c>
      <c r="O750" s="1106">
        <f t="shared" si="144"/>
        <v>12400</v>
      </c>
      <c r="P750" s="1108">
        <f>4600+8600+9000+17700+6700+8400+2400</f>
        <v>57400</v>
      </c>
      <c r="Q750" s="979">
        <f>12700+5000</f>
        <v>17700</v>
      </c>
      <c r="R750" s="979">
        <v>7000</v>
      </c>
      <c r="S750" s="979">
        <v>0</v>
      </c>
      <c r="T750" s="979">
        <v>0</v>
      </c>
      <c r="U750" s="979">
        <v>11000</v>
      </c>
      <c r="V750" s="979">
        <f>3100+4300+2400+8600</f>
        <v>18400</v>
      </c>
      <c r="W750" s="979">
        <v>4100</v>
      </c>
      <c r="X750" s="979">
        <v>7500</v>
      </c>
      <c r="Y750" s="979">
        <f>4700+500</f>
        <v>5200</v>
      </c>
      <c r="Z750" s="979">
        <v>0</v>
      </c>
      <c r="AA750" s="979">
        <v>1900</v>
      </c>
      <c r="AB750" s="979">
        <v>0</v>
      </c>
      <c r="AC750" s="979">
        <v>1900</v>
      </c>
      <c r="AD750" s="979">
        <v>0</v>
      </c>
      <c r="AE750" s="1109">
        <f t="shared" si="145"/>
        <v>132100</v>
      </c>
      <c r="AF750" s="1113">
        <v>4900</v>
      </c>
      <c r="AG750" s="981">
        <v>4900</v>
      </c>
      <c r="AH750" s="981">
        <v>3900</v>
      </c>
      <c r="AI750" s="1114">
        <f t="shared" si="146"/>
        <v>13700</v>
      </c>
      <c r="AJ750" s="1110">
        <f t="shared" si="147"/>
        <v>158200</v>
      </c>
      <c r="AK750" s="982">
        <f>'09월 에너지'!S750</f>
        <v>142.9</v>
      </c>
      <c r="AL750" s="983">
        <f t="shared" si="148"/>
        <v>0.90328697850821749</v>
      </c>
    </row>
    <row r="751" spans="1:38" ht="16.5" customHeight="1">
      <c r="A751" s="999">
        <f>'09월 에너지'!A751</f>
        <v>46292</v>
      </c>
      <c r="B751" s="1002">
        <f>'09월 조업일지'!B749</f>
        <v>46292</v>
      </c>
      <c r="C751" s="1003" t="str">
        <f>'09월 에너지'!C751</f>
        <v>A</v>
      </c>
      <c r="D751" s="1004" t="str">
        <f>'09월 에너지'!D751</f>
        <v>B</v>
      </c>
      <c r="E751" s="1000">
        <f>'09월 에너지'!E751</f>
        <v>85951</v>
      </c>
      <c r="F751" s="1094" t="str">
        <f>'09월 에너지'!F751</f>
        <v>SS400-01</v>
      </c>
      <c r="G751" s="980">
        <v>0</v>
      </c>
      <c r="H751" s="978">
        <v>0</v>
      </c>
      <c r="I751" s="978">
        <f>9000+4200</f>
        <v>13200</v>
      </c>
      <c r="J751" s="978">
        <v>0</v>
      </c>
      <c r="K751" s="978">
        <v>0</v>
      </c>
      <c r="L751" s="978">
        <v>0</v>
      </c>
      <c r="M751" s="978">
        <v>0</v>
      </c>
      <c r="N751" s="978">
        <v>0</v>
      </c>
      <c r="O751" s="1106">
        <f t="shared" si="144"/>
        <v>13200</v>
      </c>
      <c r="P751" s="1108">
        <f>7400+11200+7700+10200+6800+8700+1600</f>
        <v>53600</v>
      </c>
      <c r="Q751" s="979">
        <f>10000+6900</f>
        <v>16900</v>
      </c>
      <c r="R751" s="979">
        <v>9900</v>
      </c>
      <c r="S751" s="979">
        <v>0</v>
      </c>
      <c r="T751" s="979">
        <v>0</v>
      </c>
      <c r="U751" s="979">
        <v>6700</v>
      </c>
      <c r="V751" s="979">
        <f>1900+3600+3500+9700</f>
        <v>18700</v>
      </c>
      <c r="W751" s="979">
        <v>4000</v>
      </c>
      <c r="X751" s="979">
        <v>7900</v>
      </c>
      <c r="Y751" s="979">
        <v>100</v>
      </c>
      <c r="Z751" s="979">
        <v>0</v>
      </c>
      <c r="AA751" s="979">
        <v>2300</v>
      </c>
      <c r="AB751" s="979">
        <v>0</v>
      </c>
      <c r="AC751" s="979">
        <v>2800</v>
      </c>
      <c r="AD751" s="979">
        <v>0</v>
      </c>
      <c r="AE751" s="1109">
        <f t="shared" si="145"/>
        <v>122900</v>
      </c>
      <c r="AF751" s="1113">
        <v>4600</v>
      </c>
      <c r="AG751" s="981">
        <v>13700</v>
      </c>
      <c r="AH751" s="981">
        <v>3900</v>
      </c>
      <c r="AI751" s="1114">
        <f t="shared" si="146"/>
        <v>22200</v>
      </c>
      <c r="AJ751" s="1110">
        <f t="shared" si="147"/>
        <v>158300</v>
      </c>
      <c r="AK751" s="982">
        <f>'09월 에너지'!S751</f>
        <v>140.69999999999999</v>
      </c>
      <c r="AL751" s="983">
        <f t="shared" si="148"/>
        <v>0.88881869867340491</v>
      </c>
    </row>
    <row r="752" spans="1:38" ht="16.5" customHeight="1">
      <c r="A752" s="999">
        <f>'09월 에너지'!A752</f>
        <v>46292</v>
      </c>
      <c r="B752" s="1002">
        <f>'09월 조업일지'!B750</f>
        <v>46292</v>
      </c>
      <c r="C752" s="1003" t="str">
        <f>'09월 에너지'!C752</f>
        <v>A</v>
      </c>
      <c r="D752" s="1004" t="str">
        <f>'09월 에너지'!D752</f>
        <v>A</v>
      </c>
      <c r="E752" s="1000">
        <f>'09월 에너지'!E752</f>
        <v>85952</v>
      </c>
      <c r="F752" s="1094" t="str">
        <f>'09월 에너지'!F752</f>
        <v>SS400-01</v>
      </c>
      <c r="G752" s="980">
        <v>0</v>
      </c>
      <c r="H752" s="978">
        <v>0</v>
      </c>
      <c r="I752" s="978">
        <f>15800+6100</f>
        <v>21900</v>
      </c>
      <c r="J752" s="978">
        <v>0</v>
      </c>
      <c r="K752" s="978">
        <v>0</v>
      </c>
      <c r="L752" s="978">
        <v>0</v>
      </c>
      <c r="M752" s="978">
        <v>0</v>
      </c>
      <c r="N752" s="978">
        <v>0</v>
      </c>
      <c r="O752" s="1106">
        <f t="shared" si="144"/>
        <v>21900</v>
      </c>
      <c r="P752" s="1108">
        <f>6400+5700+7400+12100+7000+6400+5200</f>
        <v>50200</v>
      </c>
      <c r="Q752" s="979">
        <f>9500+2800</f>
        <v>12300</v>
      </c>
      <c r="R752" s="979">
        <v>6900</v>
      </c>
      <c r="S752" s="979">
        <v>0</v>
      </c>
      <c r="T752" s="979">
        <v>0</v>
      </c>
      <c r="U752" s="979">
        <v>2400</v>
      </c>
      <c r="V752" s="979">
        <f>5000+2500+3300+8900</f>
        <v>19700</v>
      </c>
      <c r="W752" s="979">
        <v>3400</v>
      </c>
      <c r="X752" s="979">
        <v>8300</v>
      </c>
      <c r="Y752" s="979">
        <f>4100+8500</f>
        <v>12600</v>
      </c>
      <c r="Z752" s="979">
        <v>0</v>
      </c>
      <c r="AA752" s="979">
        <v>500</v>
      </c>
      <c r="AB752" s="979">
        <v>0</v>
      </c>
      <c r="AC752" s="979">
        <v>1700</v>
      </c>
      <c r="AD752" s="979">
        <v>0</v>
      </c>
      <c r="AE752" s="1109">
        <f t="shared" si="145"/>
        <v>118000</v>
      </c>
      <c r="AF752" s="1113">
        <v>3800</v>
      </c>
      <c r="AG752" s="981">
        <v>11100</v>
      </c>
      <c r="AH752" s="981">
        <v>3800</v>
      </c>
      <c r="AI752" s="1114">
        <f t="shared" si="146"/>
        <v>18700</v>
      </c>
      <c r="AJ752" s="1110">
        <f t="shared" si="147"/>
        <v>158600</v>
      </c>
      <c r="AK752" s="982">
        <f>'09월 에너지'!S752</f>
        <v>140.19999999999999</v>
      </c>
      <c r="AL752" s="983">
        <f t="shared" si="148"/>
        <v>0.88398486759142492</v>
      </c>
    </row>
    <row r="753" spans="1:38" ht="16.5" customHeight="1">
      <c r="A753" s="999">
        <f>'09월 에너지'!A753</f>
        <v>46292</v>
      </c>
      <c r="B753" s="1002">
        <f>'09월 조업일지'!B751</f>
        <v>46292</v>
      </c>
      <c r="C753" s="1003" t="str">
        <f>'09월 에너지'!C753</f>
        <v>A</v>
      </c>
      <c r="D753" s="1004" t="str">
        <f>'09월 에너지'!D753</f>
        <v>B</v>
      </c>
      <c r="E753" s="1000">
        <f>'09월 에너지'!E753</f>
        <v>85953</v>
      </c>
      <c r="F753" s="1094" t="str">
        <f>'09월 에너지'!F753</f>
        <v>SS400-01</v>
      </c>
      <c r="G753" s="980">
        <v>0</v>
      </c>
      <c r="H753" s="978">
        <v>0</v>
      </c>
      <c r="I753" s="978">
        <f>10200+2200</f>
        <v>12400</v>
      </c>
      <c r="J753" s="978">
        <v>0</v>
      </c>
      <c r="K753" s="978">
        <v>0</v>
      </c>
      <c r="L753" s="978">
        <v>0</v>
      </c>
      <c r="M753" s="978">
        <v>0</v>
      </c>
      <c r="N753" s="978">
        <v>0</v>
      </c>
      <c r="O753" s="1106">
        <f t="shared" si="144"/>
        <v>12400</v>
      </c>
      <c r="P753" s="1108">
        <f>2700+4300+8800+12300+6600+6900+1500</f>
        <v>43100</v>
      </c>
      <c r="Q753" s="979">
        <f>18700+7500</f>
        <v>26200</v>
      </c>
      <c r="R753" s="979">
        <v>7800</v>
      </c>
      <c r="S753" s="979">
        <v>0</v>
      </c>
      <c r="T753" s="979">
        <v>0</v>
      </c>
      <c r="U753" s="979">
        <v>6800</v>
      </c>
      <c r="V753" s="979">
        <f>2100+6400+2500+11100</f>
        <v>22100</v>
      </c>
      <c r="W753" s="979">
        <v>5800</v>
      </c>
      <c r="X753" s="979">
        <v>6500</v>
      </c>
      <c r="Y753" s="979">
        <f>800+3400</f>
        <v>4200</v>
      </c>
      <c r="Z753" s="979">
        <v>0</v>
      </c>
      <c r="AA753" s="979">
        <v>6100</v>
      </c>
      <c r="AB753" s="979">
        <v>0</v>
      </c>
      <c r="AC753" s="979">
        <v>2100</v>
      </c>
      <c r="AD753" s="979">
        <v>0</v>
      </c>
      <c r="AE753" s="1109">
        <f t="shared" si="145"/>
        <v>130700</v>
      </c>
      <c r="AF753" s="1113">
        <v>3700</v>
      </c>
      <c r="AG753" s="981">
        <v>10100</v>
      </c>
      <c r="AH753" s="981">
        <v>2600</v>
      </c>
      <c r="AI753" s="1114">
        <f t="shared" si="146"/>
        <v>16400</v>
      </c>
      <c r="AJ753" s="1110">
        <f t="shared" si="147"/>
        <v>159500</v>
      </c>
      <c r="AK753" s="982">
        <f>'09월 에너지'!S753</f>
        <v>142.5</v>
      </c>
      <c r="AL753" s="983">
        <f t="shared" si="148"/>
        <v>0.89341692789968652</v>
      </c>
    </row>
    <row r="754" spans="1:38" ht="16.5" customHeight="1">
      <c r="A754" s="999">
        <f>'09월 에너지'!A754</f>
        <v>46292</v>
      </c>
      <c r="B754" s="1002">
        <f>'09월 조업일지'!B752</f>
        <v>46292</v>
      </c>
      <c r="C754" s="1003" t="str">
        <f>'09월 에너지'!C754</f>
        <v>A</v>
      </c>
      <c r="D754" s="1004" t="str">
        <f>'09월 에너지'!D754</f>
        <v>A</v>
      </c>
      <c r="E754" s="1000">
        <f>'09월 에너지'!E754</f>
        <v>85954</v>
      </c>
      <c r="F754" s="1094" t="str">
        <f>'09월 에너지'!F754</f>
        <v>SS400-01</v>
      </c>
      <c r="G754" s="980">
        <v>0</v>
      </c>
      <c r="H754" s="978">
        <v>0</v>
      </c>
      <c r="I754" s="978">
        <f>15200+6100</f>
        <v>21300</v>
      </c>
      <c r="J754" s="978">
        <v>0</v>
      </c>
      <c r="K754" s="978">
        <v>0</v>
      </c>
      <c r="L754" s="978">
        <v>0</v>
      </c>
      <c r="M754" s="978">
        <v>0</v>
      </c>
      <c r="N754" s="978">
        <v>0</v>
      </c>
      <c r="O754" s="1106">
        <f t="shared" si="144"/>
        <v>21300</v>
      </c>
      <c r="P754" s="1108">
        <f>3400+2400+12900+13500+6700+5800+8500</f>
        <v>53200</v>
      </c>
      <c r="Q754" s="979">
        <f>9200+2300</f>
        <v>11500</v>
      </c>
      <c r="R754" s="979">
        <v>1800</v>
      </c>
      <c r="S754" s="979">
        <v>0</v>
      </c>
      <c r="T754" s="979">
        <v>0</v>
      </c>
      <c r="U754" s="979">
        <v>2200</v>
      </c>
      <c r="V754" s="979">
        <f>9100+7800+100+9600</f>
        <v>26600</v>
      </c>
      <c r="W754" s="979">
        <v>3700</v>
      </c>
      <c r="X754" s="979">
        <v>7600</v>
      </c>
      <c r="Y754" s="979">
        <f>3200+4400</f>
        <v>7600</v>
      </c>
      <c r="Z754" s="979">
        <v>0</v>
      </c>
      <c r="AA754" s="979">
        <v>5000</v>
      </c>
      <c r="AB754" s="979">
        <v>0</v>
      </c>
      <c r="AC754" s="979">
        <v>2100</v>
      </c>
      <c r="AD754" s="979">
        <v>0</v>
      </c>
      <c r="AE754" s="1109">
        <f t="shared" si="145"/>
        <v>121300</v>
      </c>
      <c r="AF754" s="1113">
        <v>4000</v>
      </c>
      <c r="AG754" s="981">
        <v>9100</v>
      </c>
      <c r="AH754" s="981">
        <v>2000</v>
      </c>
      <c r="AI754" s="1114">
        <f t="shared" si="146"/>
        <v>15100</v>
      </c>
      <c r="AJ754" s="1110">
        <f t="shared" si="147"/>
        <v>157700</v>
      </c>
      <c r="AK754" s="982">
        <f>'09월 에너지'!S754</f>
        <v>142.69999999999999</v>
      </c>
      <c r="AL754" s="983">
        <f t="shared" si="148"/>
        <v>0.90488268864933419</v>
      </c>
    </row>
    <row r="755" spans="1:38" ht="16.5" customHeight="1">
      <c r="A755" s="999">
        <f>'09월 에너지'!A755</f>
        <v>46293</v>
      </c>
      <c r="B755" s="1002">
        <f>'09월 조업일지'!B753</f>
        <v>46292</v>
      </c>
      <c r="C755" s="1003" t="str">
        <f>'09월 에너지'!C755</f>
        <v>A</v>
      </c>
      <c r="D755" s="1004" t="str">
        <f>'09월 에너지'!D755</f>
        <v>B</v>
      </c>
      <c r="E755" s="1000">
        <f>'09월 에너지'!E755</f>
        <v>85955</v>
      </c>
      <c r="F755" s="1094" t="str">
        <f>'09월 에너지'!F755</f>
        <v>SHN275(BB)</v>
      </c>
      <c r="G755" s="980">
        <v>0</v>
      </c>
      <c r="H755" s="978">
        <v>0</v>
      </c>
      <c r="I755" s="978">
        <f>12500+10800</f>
        <v>23300</v>
      </c>
      <c r="J755" s="978">
        <v>0</v>
      </c>
      <c r="K755" s="978">
        <v>0</v>
      </c>
      <c r="L755" s="978">
        <v>0</v>
      </c>
      <c r="M755" s="978">
        <v>0</v>
      </c>
      <c r="N755" s="978">
        <v>0</v>
      </c>
      <c r="O755" s="1106">
        <f t="shared" si="144"/>
        <v>23300</v>
      </c>
      <c r="P755" s="1108">
        <f>9500+10400+7500+9600+10600+7500</f>
        <v>55100</v>
      </c>
      <c r="Q755" s="979">
        <f>9700+4900</f>
        <v>14600</v>
      </c>
      <c r="R755" s="979">
        <v>7900</v>
      </c>
      <c r="S755" s="979">
        <v>0</v>
      </c>
      <c r="T755" s="979">
        <v>0</v>
      </c>
      <c r="U755" s="979">
        <v>0</v>
      </c>
      <c r="V755" s="979">
        <f>900+3100+3000+1700+9500</f>
        <v>18200</v>
      </c>
      <c r="W755" s="979">
        <v>2400</v>
      </c>
      <c r="X755" s="979">
        <v>6100</v>
      </c>
      <c r="Y755" s="979">
        <f>100+1900</f>
        <v>2000</v>
      </c>
      <c r="Z755" s="979">
        <v>0</v>
      </c>
      <c r="AA755" s="979">
        <v>2000</v>
      </c>
      <c r="AB755" s="979">
        <v>0</v>
      </c>
      <c r="AC755" s="979">
        <v>3300</v>
      </c>
      <c r="AD755" s="979">
        <v>0</v>
      </c>
      <c r="AE755" s="1109">
        <f t="shared" si="145"/>
        <v>111600</v>
      </c>
      <c r="AF755" s="1113">
        <v>2700</v>
      </c>
      <c r="AG755" s="981">
        <f>11500+2800</f>
        <v>14300</v>
      </c>
      <c r="AH755" s="981">
        <v>6400</v>
      </c>
      <c r="AI755" s="1114">
        <f t="shared" si="146"/>
        <v>23400</v>
      </c>
      <c r="AJ755" s="1110">
        <f t="shared" si="147"/>
        <v>158300</v>
      </c>
      <c r="AK755" s="982">
        <f>'09월 에너지'!S755</f>
        <v>144.80000000000001</v>
      </c>
      <c r="AL755" s="983">
        <f t="shared" si="148"/>
        <v>0.91471888818698677</v>
      </c>
    </row>
    <row r="756" spans="1:38" ht="16.5" customHeight="1">
      <c r="A756" s="999">
        <f>'09월 에너지'!A756</f>
        <v>46293</v>
      </c>
      <c r="B756" s="1002">
        <f>'09월 조업일지'!B754</f>
        <v>46292</v>
      </c>
      <c r="C756" s="1003" t="str">
        <f>'09월 에너지'!C756</f>
        <v>A</v>
      </c>
      <c r="D756" s="1004" t="str">
        <f>'09월 에너지'!D756</f>
        <v>A</v>
      </c>
      <c r="E756" s="1000">
        <f>'09월 에너지'!E756</f>
        <v>85956</v>
      </c>
      <c r="F756" s="1094" t="str">
        <f>'09월 에너지'!F756</f>
        <v>SHN275(BB)</v>
      </c>
      <c r="G756" s="980">
        <v>0</v>
      </c>
      <c r="H756" s="978">
        <v>0</v>
      </c>
      <c r="I756" s="978">
        <f>13200+8100</f>
        <v>21300</v>
      </c>
      <c r="J756" s="978">
        <v>0</v>
      </c>
      <c r="K756" s="978">
        <v>0</v>
      </c>
      <c r="L756" s="978">
        <v>0</v>
      </c>
      <c r="M756" s="978">
        <v>0</v>
      </c>
      <c r="N756" s="978">
        <v>0</v>
      </c>
      <c r="O756" s="1106">
        <f t="shared" si="144"/>
        <v>21300</v>
      </c>
      <c r="P756" s="1108">
        <f>5500+5800+10500+11000+7000+9700</f>
        <v>49500</v>
      </c>
      <c r="Q756" s="979">
        <f>10600+2100</f>
        <v>12700</v>
      </c>
      <c r="R756" s="979">
        <v>2700</v>
      </c>
      <c r="S756" s="979">
        <v>0</v>
      </c>
      <c r="T756" s="979">
        <v>0</v>
      </c>
      <c r="U756" s="979">
        <v>0</v>
      </c>
      <c r="V756" s="979">
        <f>4800+3100+2300+3600+9000</f>
        <v>22800</v>
      </c>
      <c r="W756" s="979">
        <v>2700</v>
      </c>
      <c r="X756" s="979">
        <v>8500</v>
      </c>
      <c r="Y756" s="979">
        <f>4900+5700</f>
        <v>10600</v>
      </c>
      <c r="Z756" s="979">
        <v>0</v>
      </c>
      <c r="AA756" s="979">
        <v>5000</v>
      </c>
      <c r="AB756" s="979">
        <v>0</v>
      </c>
      <c r="AC756" s="979">
        <v>1800</v>
      </c>
      <c r="AD756" s="979">
        <v>0</v>
      </c>
      <c r="AE756" s="1109">
        <f t="shared" si="145"/>
        <v>116300</v>
      </c>
      <c r="AF756" s="1113">
        <v>4700</v>
      </c>
      <c r="AG756" s="981">
        <f>12200+200</f>
        <v>12400</v>
      </c>
      <c r="AH756" s="981">
        <v>3400</v>
      </c>
      <c r="AI756" s="1114">
        <f t="shared" si="146"/>
        <v>20500</v>
      </c>
      <c r="AJ756" s="1110">
        <f t="shared" si="147"/>
        <v>158100</v>
      </c>
      <c r="AK756" s="982">
        <f>'09월 에너지'!S756</f>
        <v>144</v>
      </c>
      <c r="AL756" s="983">
        <f t="shared" si="148"/>
        <v>0.91081593927893734</v>
      </c>
    </row>
    <row r="757" spans="1:38" ht="16.5" customHeight="1">
      <c r="A757" s="999">
        <f>'09월 에너지'!A757</f>
        <v>46293</v>
      </c>
      <c r="B757" s="1002">
        <f>'09월 조업일지'!B755</f>
        <v>46292</v>
      </c>
      <c r="C757" s="1003" t="str">
        <f>'09월 에너지'!C757</f>
        <v>A</v>
      </c>
      <c r="D757" s="1004" t="str">
        <f>'09월 에너지'!D757</f>
        <v>B</v>
      </c>
      <c r="E757" s="1000">
        <f>'09월 에너지'!E757</f>
        <v>85957</v>
      </c>
      <c r="F757" s="1094" t="str">
        <f>'09월 에너지'!F757</f>
        <v>SHN275(BB)</v>
      </c>
      <c r="G757" s="980">
        <v>0</v>
      </c>
      <c r="H757" s="978">
        <v>0</v>
      </c>
      <c r="I757" s="978">
        <f>10100+2500</f>
        <v>12600</v>
      </c>
      <c r="J757" s="978">
        <v>0</v>
      </c>
      <c r="K757" s="978">
        <v>0</v>
      </c>
      <c r="L757" s="978">
        <v>0</v>
      </c>
      <c r="M757" s="978">
        <v>0</v>
      </c>
      <c r="N757" s="978">
        <v>0</v>
      </c>
      <c r="O757" s="1106">
        <f t="shared" si="144"/>
        <v>12600</v>
      </c>
      <c r="P757" s="1108">
        <f>7400+7800+9000+11400+6300+10000</f>
        <v>51900</v>
      </c>
      <c r="Q757" s="979">
        <f>10100+7700</f>
        <v>17800</v>
      </c>
      <c r="R757" s="979">
        <v>6000</v>
      </c>
      <c r="S757" s="979">
        <v>0</v>
      </c>
      <c r="T757" s="979">
        <v>0</v>
      </c>
      <c r="U757" s="979">
        <v>0</v>
      </c>
      <c r="V757" s="979">
        <f>5900+3400+3300+15500+2200</f>
        <v>30300</v>
      </c>
      <c r="W757" s="979">
        <v>2700</v>
      </c>
      <c r="X757" s="979">
        <v>10100</v>
      </c>
      <c r="Y757" s="979">
        <f>3500+1800</f>
        <v>5300</v>
      </c>
      <c r="Z757" s="979">
        <v>0</v>
      </c>
      <c r="AA757" s="979">
        <v>700</v>
      </c>
      <c r="AB757" s="979">
        <v>0</v>
      </c>
      <c r="AC757" s="979">
        <v>0</v>
      </c>
      <c r="AD757" s="979">
        <v>0</v>
      </c>
      <c r="AE757" s="1109">
        <f t="shared" si="145"/>
        <v>124800</v>
      </c>
      <c r="AF757" s="1113">
        <v>0</v>
      </c>
      <c r="AG757" s="981">
        <f>12100+5400</f>
        <v>17500</v>
      </c>
      <c r="AH757" s="981">
        <v>4300</v>
      </c>
      <c r="AI757" s="1114">
        <f t="shared" si="146"/>
        <v>21800</v>
      </c>
      <c r="AJ757" s="1110">
        <f t="shared" si="147"/>
        <v>159200</v>
      </c>
      <c r="AK757" s="982">
        <f>'09월 에너지'!S757</f>
        <v>143.30000000000001</v>
      </c>
      <c r="AL757" s="983">
        <f t="shared" si="148"/>
        <v>0.90012562814070352</v>
      </c>
    </row>
    <row r="758" spans="1:38" ht="16.5" customHeight="1">
      <c r="A758" s="999">
        <f>'09월 에너지'!A758</f>
        <v>46293</v>
      </c>
      <c r="B758" s="1002">
        <f>'09월 조업일지'!B756</f>
        <v>46292</v>
      </c>
      <c r="C758" s="1003" t="str">
        <f>'09월 에너지'!C758</f>
        <v>A</v>
      </c>
      <c r="D758" s="1004" t="str">
        <f>'09월 에너지'!D758</f>
        <v>A</v>
      </c>
      <c r="E758" s="1000">
        <f>'09월 에너지'!E758</f>
        <v>85958</v>
      </c>
      <c r="F758" s="1094" t="str">
        <f>'09월 에너지'!F758</f>
        <v>SHN275(BB)</v>
      </c>
      <c r="G758" s="980">
        <v>0</v>
      </c>
      <c r="H758" s="978">
        <v>0</v>
      </c>
      <c r="I758" s="978">
        <f>13100+6200</f>
        <v>19300</v>
      </c>
      <c r="J758" s="978">
        <v>0</v>
      </c>
      <c r="K758" s="978">
        <v>0</v>
      </c>
      <c r="L758" s="978">
        <v>0</v>
      </c>
      <c r="M758" s="978">
        <v>0</v>
      </c>
      <c r="N758" s="978">
        <v>0</v>
      </c>
      <c r="O758" s="1106">
        <f t="shared" si="144"/>
        <v>19300</v>
      </c>
      <c r="P758" s="1108">
        <f>2300+2800+7100+12700+5300+5200</f>
        <v>35400</v>
      </c>
      <c r="Q758" s="979">
        <f>10300+6200</f>
        <v>16500</v>
      </c>
      <c r="R758" s="979">
        <v>3700</v>
      </c>
      <c r="S758" s="979">
        <v>0</v>
      </c>
      <c r="T758" s="979">
        <v>0</v>
      </c>
      <c r="U758" s="979">
        <v>0</v>
      </c>
      <c r="V758" s="979">
        <f>10100+8300+600+8900+5400</f>
        <v>33300</v>
      </c>
      <c r="W758" s="979">
        <v>2300</v>
      </c>
      <c r="X758" s="979">
        <v>11300</v>
      </c>
      <c r="Y758" s="979">
        <f>3700+6000</f>
        <v>9700</v>
      </c>
      <c r="Z758" s="979">
        <v>0</v>
      </c>
      <c r="AA758" s="979">
        <v>4500</v>
      </c>
      <c r="AB758" s="979">
        <v>0</v>
      </c>
      <c r="AC758" s="979">
        <v>3800</v>
      </c>
      <c r="AD758" s="979">
        <v>0</v>
      </c>
      <c r="AE758" s="1109">
        <f t="shared" si="145"/>
        <v>120500</v>
      </c>
      <c r="AF758" s="1113">
        <v>3800</v>
      </c>
      <c r="AG758" s="981">
        <f>12300+100</f>
        <v>12400</v>
      </c>
      <c r="AH758" s="981">
        <v>2300</v>
      </c>
      <c r="AI758" s="1114">
        <f t="shared" si="146"/>
        <v>18500</v>
      </c>
      <c r="AJ758" s="1110">
        <f t="shared" si="147"/>
        <v>158300</v>
      </c>
      <c r="AK758" s="982">
        <f>'09월 에너지'!S758</f>
        <v>141.4</v>
      </c>
      <c r="AL758" s="983">
        <f t="shared" si="148"/>
        <v>0.89324068224889452</v>
      </c>
    </row>
    <row r="759" spans="1:38" ht="16.5" customHeight="1">
      <c r="A759" s="999">
        <f>'09월 에너지'!A759</f>
        <v>46293</v>
      </c>
      <c r="B759" s="1002">
        <f>'09월 조업일지'!B757</f>
        <v>46293</v>
      </c>
      <c r="C759" s="1003" t="str">
        <f>'09월 에너지'!C759</f>
        <v>C</v>
      </c>
      <c r="D759" s="1004" t="str">
        <f>'09월 에너지'!D759</f>
        <v>B</v>
      </c>
      <c r="E759" s="1000">
        <f>'09월 에너지'!E759</f>
        <v>85959</v>
      </c>
      <c r="F759" s="1094" t="str">
        <f>'09월 에너지'!F759</f>
        <v>SHN275(BB)</v>
      </c>
      <c r="G759" s="980">
        <v>0</v>
      </c>
      <c r="H759" s="978">
        <v>0</v>
      </c>
      <c r="I759" s="978">
        <f>11700+11700</f>
        <v>23400</v>
      </c>
      <c r="J759" s="978"/>
      <c r="K759" s="978"/>
      <c r="L759" s="978"/>
      <c r="M759" s="978"/>
      <c r="N759" s="978"/>
      <c r="O759" s="1106">
        <f t="shared" si="144"/>
        <v>23400</v>
      </c>
      <c r="P759" s="1108">
        <f>7500+3400+7100+12900+6000+2100</f>
        <v>39000</v>
      </c>
      <c r="Q759" s="979">
        <f>9600+6700</f>
        <v>16300</v>
      </c>
      <c r="R759" s="979">
        <v>10700</v>
      </c>
      <c r="S759" s="979"/>
      <c r="T759" s="979"/>
      <c r="U759" s="979"/>
      <c r="V759" s="979">
        <f>4000+2200+4200+6100+9200</f>
        <v>25700</v>
      </c>
      <c r="W759" s="979">
        <v>3000</v>
      </c>
      <c r="X759" s="979">
        <v>9800</v>
      </c>
      <c r="Y759" s="979">
        <f>1600+1500</f>
        <v>3100</v>
      </c>
      <c r="Z759" s="979"/>
      <c r="AA759" s="979">
        <v>4800</v>
      </c>
      <c r="AB759" s="979"/>
      <c r="AC759" s="979">
        <v>3000</v>
      </c>
      <c r="AD759" s="979"/>
      <c r="AE759" s="1109">
        <f t="shared" si="145"/>
        <v>115400</v>
      </c>
      <c r="AF759" s="1113">
        <v>3100</v>
      </c>
      <c r="AG759" s="981">
        <f>12200+1600</f>
        <v>13800</v>
      </c>
      <c r="AH759" s="981">
        <v>2900</v>
      </c>
      <c r="AI759" s="1114">
        <f t="shared" si="146"/>
        <v>19800</v>
      </c>
      <c r="AJ759" s="1110">
        <f t="shared" si="147"/>
        <v>158600</v>
      </c>
      <c r="AK759" s="982">
        <f>'09월 에너지'!S759</f>
        <v>144.1</v>
      </c>
      <c r="AL759" s="983">
        <f t="shared" si="148"/>
        <v>0.90857503152585117</v>
      </c>
    </row>
    <row r="760" spans="1:38" ht="16.5" customHeight="1">
      <c r="A760" s="999">
        <f>'09월 에너지'!A760</f>
        <v>46293</v>
      </c>
      <c r="B760" s="1002">
        <f>'09월 조업일지'!B758</f>
        <v>46293</v>
      </c>
      <c r="C760" s="1003" t="str">
        <f>'09월 에너지'!C760</f>
        <v>C</v>
      </c>
      <c r="D760" s="1004" t="str">
        <f>'09월 에너지'!D760</f>
        <v>A</v>
      </c>
      <c r="E760" s="1000">
        <f>'09월 에너지'!E760</f>
        <v>85960</v>
      </c>
      <c r="F760" s="1094" t="str">
        <f>'09월 에너지'!F760</f>
        <v>SHN275(BB)</v>
      </c>
      <c r="G760" s="980"/>
      <c r="H760" s="978"/>
      <c r="I760" s="978">
        <f>13600+4900</f>
        <v>18500</v>
      </c>
      <c r="J760" s="978"/>
      <c r="K760" s="978"/>
      <c r="L760" s="978"/>
      <c r="M760" s="978"/>
      <c r="N760" s="978"/>
      <c r="O760" s="1106">
        <f t="shared" si="144"/>
        <v>18500</v>
      </c>
      <c r="P760" s="1108">
        <f>8500+5900+12300+11900+4200+2500</f>
        <v>45300</v>
      </c>
      <c r="Q760" s="979">
        <f>7600+13600</f>
        <v>21200</v>
      </c>
      <c r="R760" s="979">
        <v>3500</v>
      </c>
      <c r="S760" s="979"/>
      <c r="T760" s="979"/>
      <c r="U760" s="979"/>
      <c r="V760" s="979">
        <f>8300+2300+100+6000+9400</f>
        <v>26100</v>
      </c>
      <c r="W760" s="979">
        <v>4000</v>
      </c>
      <c r="X760" s="979">
        <v>11100</v>
      </c>
      <c r="Y760" s="979">
        <f>2600+500</f>
        <v>3100</v>
      </c>
      <c r="Z760" s="979"/>
      <c r="AA760" s="979">
        <v>900</v>
      </c>
      <c r="AB760" s="979"/>
      <c r="AC760" s="979">
        <v>2300</v>
      </c>
      <c r="AD760" s="979"/>
      <c r="AE760" s="1109">
        <f t="shared" si="145"/>
        <v>117500</v>
      </c>
      <c r="AF760" s="1113">
        <v>4000</v>
      </c>
      <c r="AG760" s="981">
        <f>11000+1500</f>
        <v>12500</v>
      </c>
      <c r="AH760" s="981">
        <v>5500</v>
      </c>
      <c r="AI760" s="1114">
        <f t="shared" si="146"/>
        <v>22000</v>
      </c>
      <c r="AJ760" s="1110">
        <f t="shared" si="147"/>
        <v>158000</v>
      </c>
      <c r="AK760" s="982">
        <f>'09월 에너지'!S760</f>
        <v>141.9</v>
      </c>
      <c r="AL760" s="983">
        <f t="shared" si="148"/>
        <v>0.89810126582278482</v>
      </c>
    </row>
    <row r="761" spans="1:38" ht="16.5" customHeight="1">
      <c r="A761" s="999">
        <f>'09월 에너지'!A761</f>
        <v>46293</v>
      </c>
      <c r="B761" s="1002">
        <f>'09월 조업일지'!B759</f>
        <v>46293</v>
      </c>
      <c r="C761" s="1003" t="str">
        <f>'09월 에너지'!C761</f>
        <v>C</v>
      </c>
      <c r="D761" s="1004" t="str">
        <f>'09월 에너지'!D761</f>
        <v>B</v>
      </c>
      <c r="E761" s="1000">
        <f>'09월 에너지'!E761</f>
        <v>85961</v>
      </c>
      <c r="F761" s="1170" t="str">
        <f>'09월 에너지'!F761</f>
        <v>SS400-01</v>
      </c>
      <c r="G761" s="980"/>
      <c r="H761" s="978"/>
      <c r="I761" s="978">
        <f>15000+5600</f>
        <v>20600</v>
      </c>
      <c r="J761" s="978"/>
      <c r="K761" s="978"/>
      <c r="L761" s="978"/>
      <c r="M761" s="978"/>
      <c r="N761" s="978"/>
      <c r="O761" s="1106">
        <f t="shared" si="144"/>
        <v>20600</v>
      </c>
      <c r="P761" s="1108">
        <f>9400+7300+6200+11000+7100+5100+9800</f>
        <v>55900</v>
      </c>
      <c r="Q761" s="979">
        <f>9100+6500</f>
        <v>15600</v>
      </c>
      <c r="R761" s="979">
        <v>8100</v>
      </c>
      <c r="S761" s="979"/>
      <c r="T761" s="979"/>
      <c r="U761" s="979">
        <v>2100</v>
      </c>
      <c r="V761" s="979">
        <f>3000+2200+3000+9800</f>
        <v>18000</v>
      </c>
      <c r="W761" s="979">
        <v>1900</v>
      </c>
      <c r="X761" s="979">
        <v>9500</v>
      </c>
      <c r="Y761" s="979">
        <f>4000+400</f>
        <v>4400</v>
      </c>
      <c r="Z761" s="979"/>
      <c r="AA761" s="979">
        <v>2400</v>
      </c>
      <c r="AB761" s="979"/>
      <c r="AC761" s="979">
        <v>1700</v>
      </c>
      <c r="AD761" s="979"/>
      <c r="AE761" s="1109">
        <f t="shared" si="145"/>
        <v>119600</v>
      </c>
      <c r="AF761" s="1113">
        <v>4200</v>
      </c>
      <c r="AG761" s="981">
        <v>10600</v>
      </c>
      <c r="AH761" s="981">
        <v>3500</v>
      </c>
      <c r="AI761" s="1114">
        <f t="shared" si="146"/>
        <v>18300</v>
      </c>
      <c r="AJ761" s="1110">
        <f t="shared" si="147"/>
        <v>158500</v>
      </c>
      <c r="AK761" s="982">
        <f>'09월 에너지'!S761</f>
        <v>145.69999999999999</v>
      </c>
      <c r="AL761" s="983">
        <f t="shared" si="148"/>
        <v>0.91924290220820193</v>
      </c>
    </row>
    <row r="762" spans="1:38" ht="16.5" customHeight="1">
      <c r="A762" s="999">
        <f>'09월 에너지'!A762</f>
        <v>46293</v>
      </c>
      <c r="B762" s="1002">
        <f>'09월 조업일지'!B760</f>
        <v>46293</v>
      </c>
      <c r="C762" s="1003" t="str">
        <f>'09월 에너지'!C762</f>
        <v>C</v>
      </c>
      <c r="D762" s="1004" t="str">
        <f>'09월 에너지'!D762</f>
        <v>A</v>
      </c>
      <c r="E762" s="1000">
        <f>'09월 에너지'!E762</f>
        <v>85962</v>
      </c>
      <c r="F762" s="1094" t="str">
        <f>'09월 에너지'!F762</f>
        <v>SS400-01</v>
      </c>
      <c r="G762" s="980"/>
      <c r="H762" s="978"/>
      <c r="I762" s="978"/>
      <c r="J762" s="978"/>
      <c r="K762" s="978"/>
      <c r="L762" s="978"/>
      <c r="M762" s="978"/>
      <c r="N762" s="978"/>
      <c r="O762" s="1106" t="str">
        <f t="shared" si="144"/>
        <v/>
      </c>
      <c r="P762" s="1108">
        <f>4100+12900+10300+9900</f>
        <v>37200</v>
      </c>
      <c r="Q762" s="979">
        <v>8500</v>
      </c>
      <c r="R762" s="979"/>
      <c r="S762" s="979"/>
      <c r="T762" s="979"/>
      <c r="U762" s="979"/>
      <c r="V762" s="979">
        <f>5400+12700+11000+3000</f>
        <v>32100</v>
      </c>
      <c r="W762" s="979"/>
      <c r="X762" s="979"/>
      <c r="Y762" s="979">
        <f>1500+12700</f>
        <v>14200</v>
      </c>
      <c r="Z762" s="979"/>
      <c r="AA762" s="979"/>
      <c r="AB762" s="979"/>
      <c r="AC762" s="979"/>
      <c r="AD762" s="979"/>
      <c r="AE762" s="1109">
        <f t="shared" si="145"/>
        <v>92000</v>
      </c>
      <c r="AF762" s="1113">
        <v>5000</v>
      </c>
      <c r="AG762" s="981">
        <v>13700</v>
      </c>
      <c r="AH762" s="981"/>
      <c r="AI762" s="1114">
        <f t="shared" si="146"/>
        <v>18700</v>
      </c>
      <c r="AJ762" s="1110">
        <f t="shared" si="147"/>
        <v>110700</v>
      </c>
      <c r="AK762" s="982">
        <f>'09월 에너지'!S762</f>
        <v>118.3</v>
      </c>
      <c r="AL762" s="983">
        <f t="shared" si="148"/>
        <v>1.0686540198735321</v>
      </c>
    </row>
    <row r="763" spans="1:38" ht="16.5" customHeight="1">
      <c r="A763" s="999">
        <f>'09월 에너지'!A763</f>
        <v>46293</v>
      </c>
      <c r="B763" s="1002">
        <f>'09월 조업일지'!B761</f>
        <v>46293</v>
      </c>
      <c r="C763" s="1003" t="str">
        <f>'09월 에너지'!C763</f>
        <v>C</v>
      </c>
      <c r="D763" s="1004" t="str">
        <f>'09월 에너지'!D763</f>
        <v>B</v>
      </c>
      <c r="E763" s="1000">
        <f>'09월 에너지'!E763</f>
        <v>85963</v>
      </c>
      <c r="F763" s="1094" t="str">
        <f>'09월 에너지'!F763</f>
        <v>SS400-01</v>
      </c>
      <c r="G763" s="980"/>
      <c r="H763" s="978"/>
      <c r="I763" s="978"/>
      <c r="J763" s="978"/>
      <c r="K763" s="978"/>
      <c r="L763" s="978"/>
      <c r="M763" s="978"/>
      <c r="N763" s="978"/>
      <c r="O763" s="1106" t="str">
        <f t="shared" si="144"/>
        <v/>
      </c>
      <c r="P763" s="1108">
        <f>8400+11000+14200+15700</f>
        <v>49300</v>
      </c>
      <c r="Q763" s="979">
        <v>13600</v>
      </c>
      <c r="R763" s="979"/>
      <c r="S763" s="979"/>
      <c r="T763" s="979"/>
      <c r="U763" s="979"/>
      <c r="V763" s="979">
        <f>5700+7300+7500+4400</f>
        <v>24900</v>
      </c>
      <c r="W763" s="979"/>
      <c r="X763" s="979"/>
      <c r="Y763" s="979">
        <f>4000+7100</f>
        <v>11100</v>
      </c>
      <c r="Z763" s="979"/>
      <c r="AA763" s="979"/>
      <c r="AB763" s="979"/>
      <c r="AC763" s="979"/>
      <c r="AD763" s="979"/>
      <c r="AE763" s="1109">
        <f t="shared" si="145"/>
        <v>98900</v>
      </c>
      <c r="AF763" s="1113">
        <v>5500</v>
      </c>
      <c r="AG763" s="981">
        <v>11000</v>
      </c>
      <c r="AH763" s="981"/>
      <c r="AI763" s="1114">
        <f t="shared" si="146"/>
        <v>16500</v>
      </c>
      <c r="AJ763" s="1110">
        <f t="shared" si="147"/>
        <v>115400</v>
      </c>
      <c r="AK763" s="982">
        <f>'09월 에너지'!S763</f>
        <v>117.6</v>
      </c>
      <c r="AL763" s="983">
        <f t="shared" si="148"/>
        <v>1.0190641247833623</v>
      </c>
    </row>
    <row r="764" spans="1:38" ht="16.5" customHeight="1">
      <c r="A764" s="999">
        <f>'09월 에너지'!A764</f>
        <v>46293</v>
      </c>
      <c r="B764" s="1002">
        <f>'09월 조업일지'!B762</f>
        <v>46293</v>
      </c>
      <c r="C764" s="1003" t="str">
        <f>'09월 에너지'!C764</f>
        <v>D</v>
      </c>
      <c r="D764" s="1004" t="str">
        <f>'09월 에너지'!D764</f>
        <v>A</v>
      </c>
      <c r="E764" s="1000">
        <f>'09월 에너지'!E764</f>
        <v>85964</v>
      </c>
      <c r="F764" s="1170" t="str">
        <f>'09월 에너지'!F764</f>
        <v>SS400-05</v>
      </c>
      <c r="G764" s="980"/>
      <c r="H764" s="978"/>
      <c r="I764" s="978">
        <f>2700+9000</f>
        <v>11700</v>
      </c>
      <c r="J764" s="978"/>
      <c r="K764" s="978"/>
      <c r="L764" s="978"/>
      <c r="M764" s="978"/>
      <c r="N764" s="978"/>
      <c r="O764" s="1106">
        <f t="shared" si="144"/>
        <v>11700</v>
      </c>
      <c r="P764" s="1108">
        <f>11000+11900+6000+9100+6500</f>
        <v>44500</v>
      </c>
      <c r="Q764" s="979">
        <f>19000+6900</f>
        <v>25900</v>
      </c>
      <c r="R764" s="979"/>
      <c r="S764" s="979"/>
      <c r="T764" s="979"/>
      <c r="U764" s="979">
        <f>7400+9300</f>
        <v>16700</v>
      </c>
      <c r="V764" s="979">
        <f>5300+6000+6400</f>
        <v>17700</v>
      </c>
      <c r="W764" s="979"/>
      <c r="X764" s="979">
        <f>2600+2000</f>
        <v>4600</v>
      </c>
      <c r="Y764" s="979">
        <f>5000+4800</f>
        <v>9800</v>
      </c>
      <c r="Z764" s="979"/>
      <c r="AA764" s="979"/>
      <c r="AB764" s="979"/>
      <c r="AC764" s="979"/>
      <c r="AD764" s="979">
        <v>1300</v>
      </c>
      <c r="AE764" s="1109">
        <f t="shared" si="145"/>
        <v>120500</v>
      </c>
      <c r="AF764" s="1113"/>
      <c r="AG764" s="981">
        <v>11000</v>
      </c>
      <c r="AH764" s="981">
        <v>14400</v>
      </c>
      <c r="AI764" s="1114">
        <f t="shared" si="146"/>
        <v>25400</v>
      </c>
      <c r="AJ764" s="1110">
        <f t="shared" si="147"/>
        <v>157600</v>
      </c>
      <c r="AK764" s="982">
        <f>'09월 에너지'!S764</f>
        <v>133.5</v>
      </c>
      <c r="AL764" s="983">
        <f t="shared" si="148"/>
        <v>0.84708121827411165</v>
      </c>
    </row>
    <row r="765" spans="1:38" ht="16.5" customHeight="1">
      <c r="A765" s="999">
        <f>'09월 에너지'!A765</f>
        <v>46293</v>
      </c>
      <c r="B765" s="1002">
        <f>'09월 조업일지'!B763</f>
        <v>46293</v>
      </c>
      <c r="C765" s="1003" t="str">
        <f>'09월 에너지'!C765</f>
        <v>D</v>
      </c>
      <c r="D765" s="1004" t="str">
        <f>'09월 에너지'!D765</f>
        <v>A</v>
      </c>
      <c r="E765" s="1000">
        <f>'09월 에너지'!E765</f>
        <v>85965</v>
      </c>
      <c r="F765" s="1094" t="str">
        <f>'09월 에너지'!F765</f>
        <v>SS400-05</v>
      </c>
      <c r="G765" s="980"/>
      <c r="H765" s="978"/>
      <c r="I765" s="978">
        <f>2700+9000</f>
        <v>11700</v>
      </c>
      <c r="J765" s="978"/>
      <c r="K765" s="978"/>
      <c r="L765" s="978"/>
      <c r="M765" s="978"/>
      <c r="N765" s="978"/>
      <c r="O765" s="1106">
        <f t="shared" ref="O765" si="149">IF(SUM(G765:N765)=0,"",SUM(G765:N765))</f>
        <v>11700</v>
      </c>
      <c r="P765" s="1108">
        <f>11000+11900+6000+9100+6500</f>
        <v>44500</v>
      </c>
      <c r="Q765" s="979">
        <f>19000+6900</f>
        <v>25900</v>
      </c>
      <c r="R765" s="979"/>
      <c r="S765" s="979"/>
      <c r="T765" s="979"/>
      <c r="U765" s="979">
        <f>7400+9300</f>
        <v>16700</v>
      </c>
      <c r="V765" s="979">
        <f>5300+6000+6400</f>
        <v>17700</v>
      </c>
      <c r="W765" s="979"/>
      <c r="X765" s="979">
        <f>2600+2000</f>
        <v>4600</v>
      </c>
      <c r="Y765" s="979">
        <v>10200</v>
      </c>
      <c r="Z765" s="979"/>
      <c r="AA765" s="979"/>
      <c r="AB765" s="979"/>
      <c r="AC765" s="979"/>
      <c r="AD765" s="979">
        <v>1300</v>
      </c>
      <c r="AE765" s="1109">
        <f t="shared" ref="AE765" si="150">IF(SUM(P765:AD765)=0,"",SUM(P765:AD765))</f>
        <v>120900</v>
      </c>
      <c r="AF765" s="1113"/>
      <c r="AG765" s="981">
        <v>11000</v>
      </c>
      <c r="AH765" s="981">
        <v>14400</v>
      </c>
      <c r="AI765" s="1114">
        <f t="shared" si="146"/>
        <v>25400</v>
      </c>
      <c r="AJ765" s="1110">
        <f t="shared" si="147"/>
        <v>158000</v>
      </c>
      <c r="AK765" s="982">
        <f>'09월 에너지'!S765</f>
        <v>136.69999999999999</v>
      </c>
      <c r="AL765" s="983">
        <f t="shared" si="148"/>
        <v>0.86518987341772147</v>
      </c>
    </row>
    <row r="766" spans="1:38" ht="16.5" customHeight="1">
      <c r="A766" s="999">
        <f>'09월 에너지'!A766</f>
        <v>46293</v>
      </c>
      <c r="B766" s="1002">
        <f>'09월 조업일지'!B764</f>
        <v>46293</v>
      </c>
      <c r="C766" s="1003" t="str">
        <f>'09월 에너지'!C766</f>
        <v>D</v>
      </c>
      <c r="D766" s="1004" t="str">
        <f>'09월 에너지'!D766</f>
        <v>B</v>
      </c>
      <c r="E766" s="1000">
        <f>'09월 에너지'!E766</f>
        <v>85966</v>
      </c>
      <c r="F766" s="1094" t="str">
        <f>'09월 에너지'!F766</f>
        <v>SS400-05</v>
      </c>
      <c r="G766" s="980"/>
      <c r="H766" s="978"/>
      <c r="I766" s="978">
        <f>2700+9000</f>
        <v>11700</v>
      </c>
      <c r="J766" s="978"/>
      <c r="K766" s="978"/>
      <c r="L766" s="978"/>
      <c r="M766" s="978"/>
      <c r="N766" s="978"/>
      <c r="O766" s="1106">
        <f t="shared" ref="O766" si="151">IF(SUM(G766:N766)=0,"",SUM(G766:N766))</f>
        <v>11700</v>
      </c>
      <c r="P766" s="1108">
        <f>11000+11900+6000+9100+6500</f>
        <v>44500</v>
      </c>
      <c r="Q766" s="979">
        <f>19000+6900</f>
        <v>25900</v>
      </c>
      <c r="R766" s="979"/>
      <c r="S766" s="979"/>
      <c r="T766" s="979"/>
      <c r="U766" s="979">
        <f>7400+9300</f>
        <v>16700</v>
      </c>
      <c r="V766" s="979">
        <f>5300+6000+6400</f>
        <v>17700</v>
      </c>
      <c r="W766" s="979"/>
      <c r="X766" s="979">
        <f>2600+2000</f>
        <v>4600</v>
      </c>
      <c r="Y766" s="979">
        <f>5000+4800</f>
        <v>9800</v>
      </c>
      <c r="Z766" s="979"/>
      <c r="AA766" s="979"/>
      <c r="AB766" s="979"/>
      <c r="AC766" s="979"/>
      <c r="AD766" s="979">
        <v>1302</v>
      </c>
      <c r="AE766" s="1109">
        <f t="shared" ref="AE766" si="152">IF(SUM(P766:AD766)=0,"",SUM(P766:AD766))</f>
        <v>120502</v>
      </c>
      <c r="AF766" s="1113"/>
      <c r="AG766" s="981">
        <v>11000</v>
      </c>
      <c r="AH766" s="981">
        <v>14400</v>
      </c>
      <c r="AI766" s="1114">
        <f t="shared" si="146"/>
        <v>25400</v>
      </c>
      <c r="AJ766" s="1110">
        <f t="shared" si="147"/>
        <v>157602</v>
      </c>
      <c r="AK766" s="982">
        <f>'09월 에너지'!S766</f>
        <v>134</v>
      </c>
      <c r="AL766" s="983">
        <f t="shared" si="148"/>
        <v>0.8502430172205937</v>
      </c>
    </row>
    <row r="767" spans="1:38" ht="16.5" customHeight="1">
      <c r="A767" s="999">
        <f>'09월 에너지'!A767</f>
        <v>46293</v>
      </c>
      <c r="B767" s="1002">
        <f>'09월 조업일지'!B765</f>
        <v>46293</v>
      </c>
      <c r="C767" s="1003" t="str">
        <f>'09월 에너지'!C767</f>
        <v>D</v>
      </c>
      <c r="D767" s="1004" t="str">
        <f>'09월 에너지'!D767</f>
        <v>A</v>
      </c>
      <c r="E767" s="1000">
        <f>'09월 에너지'!E767</f>
        <v>85967</v>
      </c>
      <c r="F767" s="1170" t="str">
        <f>'09월 에너지'!F767</f>
        <v>S355JO/JR(BL)</v>
      </c>
      <c r="G767" s="980">
        <v>0</v>
      </c>
      <c r="H767" s="978">
        <v>0</v>
      </c>
      <c r="I767" s="978">
        <v>0</v>
      </c>
      <c r="J767" s="978">
        <v>0</v>
      </c>
      <c r="K767" s="978">
        <v>0</v>
      </c>
      <c r="L767" s="978">
        <v>0</v>
      </c>
      <c r="M767" s="978">
        <v>0</v>
      </c>
      <c r="N767" s="978">
        <v>0</v>
      </c>
      <c r="O767" s="1106">
        <v>0</v>
      </c>
      <c r="P767" s="1108">
        <f>3300+12200+9700+8300+4200+8000</f>
        <v>45700</v>
      </c>
      <c r="Q767" s="979">
        <f>8500+5700</f>
        <v>14200</v>
      </c>
      <c r="R767" s="979">
        <v>5300</v>
      </c>
      <c r="S767" s="979">
        <v>0</v>
      </c>
      <c r="T767" s="979">
        <v>0</v>
      </c>
      <c r="U767" s="979">
        <v>10600</v>
      </c>
      <c r="V767" s="979">
        <f>4400+3400+5000+9900</f>
        <v>22700</v>
      </c>
      <c r="W767" s="979">
        <v>2000</v>
      </c>
      <c r="X767" s="979">
        <v>8200</v>
      </c>
      <c r="Y767" s="979">
        <f>3800+3300+16600</f>
        <v>23700</v>
      </c>
      <c r="Z767" s="979">
        <v>0</v>
      </c>
      <c r="AA767" s="979">
        <v>3700</v>
      </c>
      <c r="AB767" s="979">
        <v>4300</v>
      </c>
      <c r="AC767" s="979">
        <v>2800</v>
      </c>
      <c r="AD767" s="979">
        <v>3100</v>
      </c>
      <c r="AE767" s="1109">
        <f t="shared" si="145"/>
        <v>146300</v>
      </c>
      <c r="AF767" s="1113">
        <v>2700</v>
      </c>
      <c r="AG767" s="981">
        <v>4600</v>
      </c>
      <c r="AH767" s="981">
        <v>4600</v>
      </c>
      <c r="AI767" s="1114">
        <f t="shared" si="146"/>
        <v>11900</v>
      </c>
      <c r="AJ767" s="1110">
        <f t="shared" si="147"/>
        <v>158200</v>
      </c>
      <c r="AK767" s="982">
        <f>'09월 에너지'!S767</f>
        <v>144</v>
      </c>
      <c r="AL767" s="983">
        <f t="shared" si="148"/>
        <v>0.91024020227560054</v>
      </c>
    </row>
    <row r="768" spans="1:38" ht="16.5" customHeight="1">
      <c r="A768" s="999">
        <f>'09월 에너지'!A768</f>
        <v>46293</v>
      </c>
      <c r="B768" s="1002">
        <f>'09월 조업일지'!B766</f>
        <v>46293</v>
      </c>
      <c r="C768" s="1003" t="str">
        <f>'09월 에너지'!C768</f>
        <v>A</v>
      </c>
      <c r="D768" s="1004" t="str">
        <f>'09월 에너지'!D768</f>
        <v>B</v>
      </c>
      <c r="E768" s="1000">
        <f>'09월 에너지'!E768</f>
        <v>85968</v>
      </c>
      <c r="F768" s="1094" t="str">
        <f>'09월 에너지'!F768</f>
        <v>S355JO/JR(BL)</v>
      </c>
      <c r="G768" s="980">
        <v>0</v>
      </c>
      <c r="H768" s="978">
        <v>0</v>
      </c>
      <c r="I768" s="978">
        <f>10700+9100</f>
        <v>19800</v>
      </c>
      <c r="J768" s="978">
        <v>0</v>
      </c>
      <c r="K768" s="978">
        <v>0</v>
      </c>
      <c r="L768" s="978">
        <v>0</v>
      </c>
      <c r="M768" s="978">
        <v>0</v>
      </c>
      <c r="N768" s="978">
        <v>0</v>
      </c>
      <c r="O768" s="1106">
        <f t="shared" si="144"/>
        <v>19800</v>
      </c>
      <c r="P768" s="1108">
        <f>5800+7200+8200+14900+7100+6300+4200</f>
        <v>53700</v>
      </c>
      <c r="Q768" s="979">
        <f>8700+4000</f>
        <v>12700</v>
      </c>
      <c r="R768" s="979">
        <v>9800</v>
      </c>
      <c r="S768" s="979">
        <v>0</v>
      </c>
      <c r="T768" s="979">
        <v>0</v>
      </c>
      <c r="U768" s="979">
        <v>3000</v>
      </c>
      <c r="V768" s="979">
        <f>3400+3800+9000+2700</f>
        <v>18900</v>
      </c>
      <c r="W768" s="979">
        <v>1900</v>
      </c>
      <c r="X768" s="979">
        <v>9200</v>
      </c>
      <c r="Y768" s="979">
        <f>3300+2900</f>
        <v>6200</v>
      </c>
      <c r="Z768" s="979">
        <v>0</v>
      </c>
      <c r="AA768" s="979">
        <v>3000</v>
      </c>
      <c r="AB768" s="979">
        <v>0</v>
      </c>
      <c r="AC768" s="979">
        <v>0</v>
      </c>
      <c r="AD768" s="979">
        <v>1700</v>
      </c>
      <c r="AE768" s="1109">
        <f t="shared" si="145"/>
        <v>120100</v>
      </c>
      <c r="AF768" s="1113">
        <v>3800</v>
      </c>
      <c r="AG768" s="981">
        <v>10400</v>
      </c>
      <c r="AH768" s="981">
        <v>4100</v>
      </c>
      <c r="AI768" s="1114">
        <f t="shared" si="146"/>
        <v>18300</v>
      </c>
      <c r="AJ768" s="1110">
        <f t="shared" si="147"/>
        <v>158200</v>
      </c>
      <c r="AK768" s="982">
        <f>'09월 에너지'!S768</f>
        <v>141.80000000000001</v>
      </c>
      <c r="AL768" s="983">
        <f t="shared" si="148"/>
        <v>0.89633375474083443</v>
      </c>
    </row>
    <row r="769" spans="1:38" ht="16.5" customHeight="1">
      <c r="A769" s="999">
        <f>'09월 에너지'!A769</f>
        <v>46293</v>
      </c>
      <c r="B769" s="1002">
        <f>'09월 조업일지'!B767</f>
        <v>46293</v>
      </c>
      <c r="C769" s="1003" t="str">
        <f>'09월 에너지'!C769</f>
        <v>A</v>
      </c>
      <c r="D769" s="1004" t="str">
        <f>'09월 에너지'!D769</f>
        <v>A</v>
      </c>
      <c r="E769" s="1000">
        <f>'09월 에너지'!E769</f>
        <v>85969</v>
      </c>
      <c r="F769" s="1094" t="str">
        <f>'09월 에너지'!F769</f>
        <v>S355JO/JR(BL)</v>
      </c>
      <c r="G769" s="980">
        <v>0</v>
      </c>
      <c r="H769" s="978">
        <v>0</v>
      </c>
      <c r="I769" s="978">
        <f>9700+8000</f>
        <v>17700</v>
      </c>
      <c r="J769" s="978">
        <v>0</v>
      </c>
      <c r="K769" s="978">
        <v>0</v>
      </c>
      <c r="L769" s="978">
        <v>0</v>
      </c>
      <c r="M769" s="978">
        <v>0</v>
      </c>
      <c r="N769" s="978">
        <v>0</v>
      </c>
      <c r="O769" s="1106">
        <f t="shared" si="144"/>
        <v>17700</v>
      </c>
      <c r="P769" s="1108">
        <f>8500+8200+13400+11400+7000+6200+3100</f>
        <v>57800</v>
      </c>
      <c r="Q769" s="979">
        <f>11900+8000</f>
        <v>19900</v>
      </c>
      <c r="R769" s="979">
        <v>2900</v>
      </c>
      <c r="S769" s="979">
        <v>0</v>
      </c>
      <c r="T769" s="979">
        <v>0</v>
      </c>
      <c r="U769" s="979">
        <v>4100</v>
      </c>
      <c r="V769" s="979">
        <f>3800+6000+8800+1000</f>
        <v>19600</v>
      </c>
      <c r="W769" s="979">
        <v>3800</v>
      </c>
      <c r="X769" s="979">
        <v>8000</v>
      </c>
      <c r="Y769" s="979">
        <f>3500+800</f>
        <v>4300</v>
      </c>
      <c r="Z769" s="979">
        <v>0</v>
      </c>
      <c r="AA769" s="979">
        <v>2100</v>
      </c>
      <c r="AB769" s="979">
        <v>0</v>
      </c>
      <c r="AC769" s="979">
        <v>0</v>
      </c>
      <c r="AD769" s="979">
        <v>4900</v>
      </c>
      <c r="AE769" s="1109">
        <f t="shared" si="145"/>
        <v>127400</v>
      </c>
      <c r="AF769" s="1113">
        <v>5300</v>
      </c>
      <c r="AG769" s="981">
        <v>6100</v>
      </c>
      <c r="AH769" s="981">
        <v>1600</v>
      </c>
      <c r="AI769" s="1114">
        <f t="shared" si="146"/>
        <v>13000</v>
      </c>
      <c r="AJ769" s="1110">
        <f t="shared" si="147"/>
        <v>158100</v>
      </c>
      <c r="AK769" s="982">
        <f>'09월 에너지'!S769</f>
        <v>146.9</v>
      </c>
      <c r="AL769" s="983">
        <f t="shared" si="148"/>
        <v>0.92915876027830491</v>
      </c>
    </row>
    <row r="770" spans="1:38" ht="16.5" customHeight="1">
      <c r="A770" s="999">
        <f>'09월 에너지'!A770</f>
        <v>46293</v>
      </c>
      <c r="B770" s="1002">
        <f>'09월 조업일지'!B768</f>
        <v>46293</v>
      </c>
      <c r="C770" s="1003" t="str">
        <f>'09월 에너지'!C770</f>
        <v>A</v>
      </c>
      <c r="D770" s="1004" t="str">
        <f>'09월 에너지'!D770</f>
        <v>B</v>
      </c>
      <c r="E770" s="1000">
        <f>'09월 에너지'!E770</f>
        <v>85970</v>
      </c>
      <c r="F770" s="1094" t="str">
        <f>'09월 에너지'!F770</f>
        <v>S355JO/JR(BL)</v>
      </c>
      <c r="G770" s="980">
        <v>0</v>
      </c>
      <c r="H770" s="978">
        <v>0</v>
      </c>
      <c r="I770" s="978">
        <f>8100+8300</f>
        <v>16400</v>
      </c>
      <c r="J770" s="978">
        <v>0</v>
      </c>
      <c r="K770" s="978">
        <v>0</v>
      </c>
      <c r="L770" s="978">
        <v>0</v>
      </c>
      <c r="M770" s="978">
        <v>0</v>
      </c>
      <c r="N770" s="978">
        <v>0</v>
      </c>
      <c r="O770" s="1106">
        <f t="shared" si="144"/>
        <v>16400</v>
      </c>
      <c r="P770" s="1108">
        <f>7400+5900+12400+21600+7000+4200+7900</f>
        <v>66400</v>
      </c>
      <c r="Q770" s="979">
        <f>10300+4600</f>
        <v>14900</v>
      </c>
      <c r="R770" s="979">
        <v>1900</v>
      </c>
      <c r="S770" s="979">
        <v>0</v>
      </c>
      <c r="T770" s="979">
        <v>0</v>
      </c>
      <c r="U770" s="979">
        <v>2300</v>
      </c>
      <c r="V770" s="979">
        <f>1200+9400+3400+7400</f>
        <v>21400</v>
      </c>
      <c r="W770" s="979">
        <v>2900</v>
      </c>
      <c r="X770" s="979">
        <v>9000</v>
      </c>
      <c r="Y770" s="979">
        <f>800+2500</f>
        <v>3300</v>
      </c>
      <c r="Z770" s="979">
        <v>0</v>
      </c>
      <c r="AA770" s="979">
        <v>4700</v>
      </c>
      <c r="AB770" s="979">
        <v>0</v>
      </c>
      <c r="AC770" s="979">
        <v>0</v>
      </c>
      <c r="AD770" s="979">
        <v>1800</v>
      </c>
      <c r="AE770" s="1109">
        <f t="shared" si="145"/>
        <v>128600</v>
      </c>
      <c r="AF770" s="1113">
        <v>4400</v>
      </c>
      <c r="AG770" s="981">
        <v>5800</v>
      </c>
      <c r="AH770" s="981">
        <v>3100</v>
      </c>
      <c r="AI770" s="1114">
        <f t="shared" si="146"/>
        <v>13300</v>
      </c>
      <c r="AJ770" s="1110">
        <f t="shared" si="147"/>
        <v>158300</v>
      </c>
      <c r="AK770" s="982">
        <f>'09월 에너지'!S770</f>
        <v>151.1</v>
      </c>
      <c r="AL770" s="983">
        <f t="shared" si="148"/>
        <v>0.95451674036639289</v>
      </c>
    </row>
    <row r="771" spans="1:38" ht="16.5" customHeight="1">
      <c r="A771" s="999">
        <f>'09월 에너지'!A771</f>
        <v>46293</v>
      </c>
      <c r="B771" s="1002">
        <f>'09월 조업일지'!B769</f>
        <v>46293</v>
      </c>
      <c r="C771" s="1003" t="str">
        <f>'09월 에너지'!C771</f>
        <v>A</v>
      </c>
      <c r="D771" s="1004" t="str">
        <f>'09월 에너지'!D771</f>
        <v>A</v>
      </c>
      <c r="E771" s="1000">
        <f>'09월 에너지'!E771</f>
        <v>85971</v>
      </c>
      <c r="F771" s="1094" t="str">
        <f>'09월 에너지'!F771</f>
        <v>S355JO/JR(BL)</v>
      </c>
      <c r="G771" s="980">
        <v>0</v>
      </c>
      <c r="H771" s="978">
        <v>0</v>
      </c>
      <c r="I771" s="978">
        <f>11900+10500</f>
        <v>22400</v>
      </c>
      <c r="J771" s="978">
        <v>0</v>
      </c>
      <c r="K771" s="978">
        <v>0</v>
      </c>
      <c r="L771" s="978">
        <v>0</v>
      </c>
      <c r="M771" s="978">
        <v>0</v>
      </c>
      <c r="N771" s="978">
        <v>0</v>
      </c>
      <c r="O771" s="1106">
        <f t="shared" si="144"/>
        <v>22400</v>
      </c>
      <c r="P771" s="1108">
        <f>9600+100+7000+15900+6500+4600+8700</f>
        <v>52400</v>
      </c>
      <c r="Q771" s="979">
        <f>9900+1500</f>
        <v>11400</v>
      </c>
      <c r="R771" s="979">
        <v>3300</v>
      </c>
      <c r="S771" s="979">
        <v>0</v>
      </c>
      <c r="T771" s="979">
        <v>0</v>
      </c>
      <c r="U771" s="979">
        <v>1800</v>
      </c>
      <c r="V771" s="979">
        <f>8700+7800+2700+10300</f>
        <v>29500</v>
      </c>
      <c r="W771" s="979">
        <v>4600</v>
      </c>
      <c r="X771" s="979">
        <v>7100</v>
      </c>
      <c r="Y771" s="979">
        <f>4300+2000</f>
        <v>6300</v>
      </c>
      <c r="Z771" s="979">
        <v>0</v>
      </c>
      <c r="AA771" s="979">
        <v>3800</v>
      </c>
      <c r="AB771" s="979">
        <v>0</v>
      </c>
      <c r="AC771" s="979">
        <v>0</v>
      </c>
      <c r="AD771" s="979">
        <v>1100</v>
      </c>
      <c r="AE771" s="1109">
        <f t="shared" si="145"/>
        <v>121300</v>
      </c>
      <c r="AF771" s="1113">
        <v>2900</v>
      </c>
      <c r="AG771" s="981">
        <v>5200</v>
      </c>
      <c r="AH771" s="981">
        <v>6600</v>
      </c>
      <c r="AI771" s="1114">
        <f t="shared" si="146"/>
        <v>14700</v>
      </c>
      <c r="AJ771" s="1110">
        <f t="shared" si="147"/>
        <v>158400</v>
      </c>
      <c r="AK771" s="982">
        <f>'09월 에너지'!S771</f>
        <v>145.80000000000001</v>
      </c>
      <c r="AL771" s="983">
        <f t="shared" si="148"/>
        <v>0.92045454545454541</v>
      </c>
    </row>
    <row r="772" spans="1:38" ht="16.5" customHeight="1">
      <c r="A772" s="999">
        <f>'09월 에너지'!A772</f>
        <v>46293</v>
      </c>
      <c r="B772" s="1002">
        <f>'09월 조업일지'!B770</f>
        <v>46293</v>
      </c>
      <c r="C772" s="1003" t="str">
        <f>'09월 에너지'!C772</f>
        <v>A</v>
      </c>
      <c r="D772" s="1004" t="str">
        <f>'09월 에너지'!D772</f>
        <v>B</v>
      </c>
      <c r="E772" s="1000">
        <f>'09월 에너지'!E772</f>
        <v>85972</v>
      </c>
      <c r="F772" s="1094" t="str">
        <f>'09월 에너지'!F772</f>
        <v>S355JO/JR(BL)</v>
      </c>
      <c r="G772" s="980">
        <v>0</v>
      </c>
      <c r="H772" s="978">
        <v>0</v>
      </c>
      <c r="I772" s="978">
        <f>7900+8400</f>
        <v>16300</v>
      </c>
      <c r="J772" s="978">
        <v>0</v>
      </c>
      <c r="K772" s="978">
        <v>0</v>
      </c>
      <c r="L772" s="978">
        <v>0</v>
      </c>
      <c r="M772" s="978">
        <v>0</v>
      </c>
      <c r="N772" s="978">
        <v>0</v>
      </c>
      <c r="O772" s="1106">
        <f t="shared" si="144"/>
        <v>16300</v>
      </c>
      <c r="P772" s="1108">
        <f>6900+7200+6600+13300+5700+2800+2200</f>
        <v>44700</v>
      </c>
      <c r="Q772" s="979">
        <f>15400+8300</f>
        <v>23700</v>
      </c>
      <c r="R772" s="979">
        <v>14000</v>
      </c>
      <c r="S772" s="979">
        <v>0</v>
      </c>
      <c r="T772" s="979">
        <v>0</v>
      </c>
      <c r="U772" s="979">
        <v>5800</v>
      </c>
      <c r="V772" s="979">
        <f>1500+2200+3200+9200</f>
        <v>16100</v>
      </c>
      <c r="W772" s="979">
        <v>4000</v>
      </c>
      <c r="X772" s="979">
        <v>9400</v>
      </c>
      <c r="Y772" s="979">
        <f>200+1700</f>
        <v>1900</v>
      </c>
      <c r="Z772" s="979">
        <v>0</v>
      </c>
      <c r="AA772" s="979">
        <v>2000</v>
      </c>
      <c r="AB772" s="979">
        <v>0</v>
      </c>
      <c r="AC772" s="979">
        <v>0</v>
      </c>
      <c r="AD772" s="979">
        <v>2100</v>
      </c>
      <c r="AE772" s="1109">
        <f t="shared" si="145"/>
        <v>123700</v>
      </c>
      <c r="AF772" s="1113">
        <v>3900</v>
      </c>
      <c r="AG772" s="981">
        <v>10300</v>
      </c>
      <c r="AH772" s="981">
        <v>4800</v>
      </c>
      <c r="AI772" s="1114">
        <f t="shared" si="146"/>
        <v>19000</v>
      </c>
      <c r="AJ772" s="1110">
        <f t="shared" si="147"/>
        <v>159000</v>
      </c>
      <c r="AK772" s="982">
        <f>'09월 에너지'!S772</f>
        <v>150.5</v>
      </c>
      <c r="AL772" s="983">
        <f t="shared" si="148"/>
        <v>0.94654088050314467</v>
      </c>
    </row>
    <row r="773" spans="1:38" ht="16.5" customHeight="1">
      <c r="A773" s="999">
        <f>'09월 에너지'!A773</f>
        <v>46293</v>
      </c>
      <c r="B773" s="1002">
        <f>'09월 조업일지'!B771</f>
        <v>46293</v>
      </c>
      <c r="C773" s="1003" t="str">
        <f>'09월 에너지'!C773</f>
        <v>A</v>
      </c>
      <c r="D773" s="1004" t="str">
        <f>'09월 에너지'!D773</f>
        <v>A</v>
      </c>
      <c r="E773" s="1000">
        <f>'09월 에너지'!E773</f>
        <v>85973</v>
      </c>
      <c r="F773" s="1094" t="str">
        <f>'09월 에너지'!F773</f>
        <v>S355JO/JR(BL)</v>
      </c>
      <c r="G773" s="980">
        <v>0</v>
      </c>
      <c r="H773" s="978">
        <v>0</v>
      </c>
      <c r="I773" s="978">
        <f>8600+8000</f>
        <v>16600</v>
      </c>
      <c r="J773" s="978">
        <v>0</v>
      </c>
      <c r="K773" s="978">
        <v>0</v>
      </c>
      <c r="L773" s="978">
        <v>0</v>
      </c>
      <c r="M773" s="978">
        <v>0</v>
      </c>
      <c r="N773" s="978">
        <v>0</v>
      </c>
      <c r="O773" s="1106">
        <f t="shared" si="144"/>
        <v>16600</v>
      </c>
      <c r="P773" s="1108">
        <f>8500+1800+11000+13400+8400+9600+7300</f>
        <v>60000</v>
      </c>
      <c r="Q773" s="979">
        <f>11900+1500</f>
        <v>13400</v>
      </c>
      <c r="R773" s="979">
        <v>4100</v>
      </c>
      <c r="S773" s="979">
        <v>0</v>
      </c>
      <c r="T773" s="979">
        <v>0</v>
      </c>
      <c r="U773" s="979">
        <v>800</v>
      </c>
      <c r="V773" s="979">
        <f>3900+3100+1300+11500</f>
        <v>19800</v>
      </c>
      <c r="W773" s="979">
        <v>2500</v>
      </c>
      <c r="X773" s="979">
        <v>7400</v>
      </c>
      <c r="Y773" s="979">
        <f>4300+4800</f>
        <v>9100</v>
      </c>
      <c r="Z773" s="979">
        <v>0</v>
      </c>
      <c r="AA773" s="979">
        <v>3800</v>
      </c>
      <c r="AB773" s="979">
        <v>0</v>
      </c>
      <c r="AC773" s="979">
        <v>0</v>
      </c>
      <c r="AD773" s="979">
        <v>3600</v>
      </c>
      <c r="AE773" s="1109">
        <f t="shared" si="145"/>
        <v>124500</v>
      </c>
      <c r="AF773" s="1113">
        <v>1900</v>
      </c>
      <c r="AG773" s="981">
        <v>9800</v>
      </c>
      <c r="AH773" s="981">
        <v>6400</v>
      </c>
      <c r="AI773" s="1114">
        <f t="shared" si="146"/>
        <v>18100</v>
      </c>
      <c r="AJ773" s="1110">
        <f t="shared" si="147"/>
        <v>159200</v>
      </c>
      <c r="AK773" s="982">
        <f>'09월 에너지'!S773</f>
        <v>144</v>
      </c>
      <c r="AL773" s="983">
        <f t="shared" si="148"/>
        <v>0.90452261306532666</v>
      </c>
    </row>
    <row r="774" spans="1:38" ht="16.5" customHeight="1">
      <c r="A774" s="999">
        <f>'09월 에너지'!A774</f>
        <v>46294</v>
      </c>
      <c r="B774" s="1002">
        <f>'09월 조업일지'!B772</f>
        <v>46293</v>
      </c>
      <c r="C774" s="1003" t="str">
        <f>'09월 에너지'!C774</f>
        <v>A</v>
      </c>
      <c r="D774" s="1233" t="str">
        <f>'09월 에너지'!D774</f>
        <v>A</v>
      </c>
      <c r="E774" s="1000">
        <f>'09월 에너지'!E774</f>
        <v>85974</v>
      </c>
      <c r="F774" s="1094" t="str">
        <f>'09월 에너지'!F774</f>
        <v>S355JO/JR(BL)</v>
      </c>
      <c r="G774" s="980">
        <v>0</v>
      </c>
      <c r="H774" s="978">
        <v>0</v>
      </c>
      <c r="I774" s="978">
        <f>8600+8000</f>
        <v>16600</v>
      </c>
      <c r="J774" s="978">
        <v>0</v>
      </c>
      <c r="K774" s="978">
        <v>0</v>
      </c>
      <c r="L774" s="978">
        <v>0</v>
      </c>
      <c r="M774" s="978">
        <v>0</v>
      </c>
      <c r="N774" s="978">
        <v>0</v>
      </c>
      <c r="O774" s="1106">
        <f t="shared" ref="O774" si="153">IF(SUM(G774:N774)=0,"",SUM(G774:N774))</f>
        <v>16600</v>
      </c>
      <c r="P774" s="1108">
        <f>8500+1800+11000+13400+8400+9600+7300</f>
        <v>60000</v>
      </c>
      <c r="Q774" s="979">
        <f>11900+1500</f>
        <v>13400</v>
      </c>
      <c r="R774" s="979">
        <v>4100</v>
      </c>
      <c r="S774" s="979">
        <v>0</v>
      </c>
      <c r="T774" s="979">
        <v>0</v>
      </c>
      <c r="U774" s="979">
        <v>800</v>
      </c>
      <c r="V774" s="979">
        <f>3900+3100+1300+11500</f>
        <v>19800</v>
      </c>
      <c r="W774" s="979">
        <v>2500</v>
      </c>
      <c r="X774" s="979">
        <v>7400</v>
      </c>
      <c r="Y774" s="979">
        <f>4300+4800</f>
        <v>9100</v>
      </c>
      <c r="Z774" s="979">
        <v>0</v>
      </c>
      <c r="AA774" s="979">
        <v>3800</v>
      </c>
      <c r="AB774" s="979">
        <v>0</v>
      </c>
      <c r="AC774" s="979">
        <v>0</v>
      </c>
      <c r="AD774" s="979">
        <v>3600</v>
      </c>
      <c r="AE774" s="1109">
        <f t="shared" ref="AE774" si="154">IF(SUM(P774:AD774)=0,"",SUM(P774:AD774))</f>
        <v>124500</v>
      </c>
      <c r="AF774" s="1113">
        <v>1900</v>
      </c>
      <c r="AG774" s="981">
        <v>9800</v>
      </c>
      <c r="AH774" s="981">
        <v>6400</v>
      </c>
      <c r="AI774" s="1114">
        <f t="shared" si="146"/>
        <v>18100</v>
      </c>
      <c r="AJ774" s="1110">
        <f t="shared" si="147"/>
        <v>159200</v>
      </c>
      <c r="AK774" s="982">
        <f>'09월 에너지'!S774</f>
        <v>142.6</v>
      </c>
      <c r="AL774" s="983">
        <f t="shared" si="148"/>
        <v>0.89572864321608037</v>
      </c>
    </row>
    <row r="775" spans="1:38" ht="16.5" customHeight="1">
      <c r="A775" s="999">
        <f>'09월 에너지'!A775</f>
        <v>46294</v>
      </c>
      <c r="B775" s="1002">
        <f>'09월 조업일지'!B773</f>
        <v>46293</v>
      </c>
      <c r="C775" s="1003" t="str">
        <f>'09월 에너지'!C775</f>
        <v>A</v>
      </c>
      <c r="D775" s="1004" t="str">
        <f>'09월 에너지'!D775</f>
        <v>B</v>
      </c>
      <c r="E775" s="1000">
        <f>'09월 에너지'!E775</f>
        <v>85975</v>
      </c>
      <c r="F775" s="1094" t="str">
        <f>'09월 에너지'!F775</f>
        <v>S355JO/JR(BL)</v>
      </c>
      <c r="G775" s="980">
        <v>0</v>
      </c>
      <c r="H775" s="978">
        <v>0</v>
      </c>
      <c r="I775" s="978">
        <f>200+2200</f>
        <v>2400</v>
      </c>
      <c r="J775" s="978">
        <v>0</v>
      </c>
      <c r="K775" s="978">
        <v>0</v>
      </c>
      <c r="L775" s="978">
        <v>0</v>
      </c>
      <c r="M775" s="978">
        <v>0</v>
      </c>
      <c r="N775" s="978">
        <v>0</v>
      </c>
      <c r="O775" s="1106">
        <f t="shared" si="144"/>
        <v>2400</v>
      </c>
      <c r="P775" s="1108">
        <f>12900+3200+4800+16600+6600+3500+10100</f>
        <v>57700</v>
      </c>
      <c r="Q775" s="979">
        <f>17300+3300</f>
        <v>20600</v>
      </c>
      <c r="R775" s="979">
        <v>2500</v>
      </c>
      <c r="S775" s="979">
        <v>0</v>
      </c>
      <c r="T775" s="979">
        <v>0</v>
      </c>
      <c r="U775" s="979">
        <v>5100</v>
      </c>
      <c r="V775" s="979">
        <f>8200+9000+2900+5800</f>
        <v>25900</v>
      </c>
      <c r="W775" s="979">
        <v>1800</v>
      </c>
      <c r="X775" s="979">
        <v>9000</v>
      </c>
      <c r="Y775" s="979">
        <f>4900+5400</f>
        <v>10300</v>
      </c>
      <c r="Z775" s="979">
        <v>0</v>
      </c>
      <c r="AA775" s="979">
        <v>3200</v>
      </c>
      <c r="AB775" s="979">
        <v>0</v>
      </c>
      <c r="AC775" s="979">
        <v>0</v>
      </c>
      <c r="AD775" s="979">
        <v>1100</v>
      </c>
      <c r="AE775" s="1109">
        <f t="shared" si="145"/>
        <v>137200</v>
      </c>
      <c r="AF775" s="1113">
        <v>6100</v>
      </c>
      <c r="AG775" s="981">
        <v>10100</v>
      </c>
      <c r="AH775" s="981">
        <v>2300</v>
      </c>
      <c r="AI775" s="1114">
        <f t="shared" si="146"/>
        <v>18500</v>
      </c>
      <c r="AJ775" s="1110">
        <f t="shared" si="147"/>
        <v>158100</v>
      </c>
      <c r="AK775" s="982">
        <f>'09월 에너지'!S775</f>
        <v>146.6</v>
      </c>
      <c r="AL775" s="983">
        <f t="shared" si="148"/>
        <v>0.92726122707147374</v>
      </c>
    </row>
    <row r="776" spans="1:38" ht="16.5" customHeight="1">
      <c r="A776" s="999">
        <f>'09월 에너지'!A776</f>
        <v>46294</v>
      </c>
      <c r="B776" s="1002">
        <f>'09월 조업일지'!B774</f>
        <v>46293</v>
      </c>
      <c r="C776" s="1003" t="str">
        <f>'09월 에너지'!C776</f>
        <v>A</v>
      </c>
      <c r="D776" s="1004" t="str">
        <f>'09월 에너지'!D776</f>
        <v>A</v>
      </c>
      <c r="E776" s="1000">
        <f>'09월 에너지'!E776</f>
        <v>85976</v>
      </c>
      <c r="F776" s="1170" t="str">
        <f>'09월 에너지'!F776</f>
        <v>SHN400(BL)</v>
      </c>
      <c r="G776" s="980">
        <v>0</v>
      </c>
      <c r="H776" s="978">
        <v>0</v>
      </c>
      <c r="I776" s="978">
        <f>14600+9300</f>
        <v>23900</v>
      </c>
      <c r="J776" s="978">
        <v>0</v>
      </c>
      <c r="K776" s="978">
        <v>0</v>
      </c>
      <c r="L776" s="978">
        <v>0</v>
      </c>
      <c r="M776" s="978">
        <v>0</v>
      </c>
      <c r="N776" s="978">
        <v>0</v>
      </c>
      <c r="O776" s="1106">
        <f t="shared" si="144"/>
        <v>23900</v>
      </c>
      <c r="P776" s="1108">
        <f>1500+9400+9800+14400+8200+6900+7800</f>
        <v>58000</v>
      </c>
      <c r="Q776" s="979">
        <f>10800+800</f>
        <v>11600</v>
      </c>
      <c r="R776" s="979">
        <v>5900</v>
      </c>
      <c r="S776" s="979">
        <v>0</v>
      </c>
      <c r="T776" s="979">
        <v>0</v>
      </c>
      <c r="U776" s="979">
        <v>5300</v>
      </c>
      <c r="V776" s="979">
        <f>8400+100+4000+8400</f>
        <v>20900</v>
      </c>
      <c r="W776" s="979">
        <v>1400</v>
      </c>
      <c r="X776" s="979">
        <v>8000</v>
      </c>
      <c r="Y776" s="979">
        <v>3100</v>
      </c>
      <c r="Z776" s="979">
        <v>0</v>
      </c>
      <c r="AA776" s="979">
        <v>1100</v>
      </c>
      <c r="AB776" s="979">
        <v>0</v>
      </c>
      <c r="AC776" s="979">
        <v>0</v>
      </c>
      <c r="AD776" s="979">
        <v>3100</v>
      </c>
      <c r="AE776" s="1109">
        <f t="shared" si="145"/>
        <v>118400</v>
      </c>
      <c r="AF776" s="1113">
        <v>3600</v>
      </c>
      <c r="AG776" s="981">
        <v>7200</v>
      </c>
      <c r="AH776" s="981">
        <v>6300</v>
      </c>
      <c r="AI776" s="1114">
        <f t="shared" si="146"/>
        <v>17100</v>
      </c>
      <c r="AJ776" s="1110">
        <f t="shared" si="147"/>
        <v>159400</v>
      </c>
      <c r="AK776" s="982">
        <f>'09월 에너지'!S776</f>
        <v>144</v>
      </c>
      <c r="AL776" s="983">
        <f t="shared" si="148"/>
        <v>0.903387703889586</v>
      </c>
    </row>
    <row r="777" spans="1:38" ht="16.5" customHeight="1">
      <c r="A777" s="999">
        <f>'09월 에너지'!A777</f>
        <v>46294</v>
      </c>
      <c r="B777" s="1002">
        <f>'09월 조업일지'!B775</f>
        <v>46294</v>
      </c>
      <c r="C777" s="1003" t="str">
        <f>'09월 에너지'!C777</f>
        <v>C</v>
      </c>
      <c r="D777" s="1004" t="str">
        <f>'09월 에너지'!D777</f>
        <v>B</v>
      </c>
      <c r="E777" s="1000">
        <f>'09월 에너지'!E777</f>
        <v>85977</v>
      </c>
      <c r="F777" s="1094" t="str">
        <f>'09월 에너지'!F777</f>
        <v>SHN400(BL)</v>
      </c>
      <c r="G777" s="980">
        <v>0</v>
      </c>
      <c r="H777" s="978">
        <v>0</v>
      </c>
      <c r="I777" s="978">
        <f>12500+5900</f>
        <v>18400</v>
      </c>
      <c r="J777" s="978"/>
      <c r="K777" s="978"/>
      <c r="L777" s="978"/>
      <c r="M777" s="978"/>
      <c r="N777" s="978"/>
      <c r="O777" s="1106">
        <f t="shared" si="144"/>
        <v>18400</v>
      </c>
      <c r="P777" s="1108">
        <f>7400+5500+8600+13000+6700+5100+8300</f>
        <v>54600</v>
      </c>
      <c r="Q777" s="979">
        <f>9300+5700</f>
        <v>15000</v>
      </c>
      <c r="R777" s="979">
        <v>9000</v>
      </c>
      <c r="S777" s="979"/>
      <c r="T777" s="979"/>
      <c r="U777" s="979">
        <v>2500</v>
      </c>
      <c r="V777" s="979">
        <f>2500+6100+2400+10500</f>
        <v>21500</v>
      </c>
      <c r="W777" s="979">
        <v>5200</v>
      </c>
      <c r="X777" s="979">
        <v>7200</v>
      </c>
      <c r="Y777" s="979">
        <f>1300+1300</f>
        <v>2600</v>
      </c>
      <c r="Z777" s="979"/>
      <c r="AA777" s="979">
        <v>2200</v>
      </c>
      <c r="AB777" s="979"/>
      <c r="AC777" s="979"/>
      <c r="AD777" s="979">
        <v>1100</v>
      </c>
      <c r="AE777" s="1109">
        <f t="shared" si="145"/>
        <v>120900</v>
      </c>
      <c r="AF777" s="1113">
        <v>3400</v>
      </c>
      <c r="AG777" s="981">
        <v>9900</v>
      </c>
      <c r="AH777" s="981">
        <v>5700</v>
      </c>
      <c r="AI777" s="1114">
        <f t="shared" si="146"/>
        <v>19000</v>
      </c>
      <c r="AJ777" s="1110">
        <f t="shared" si="147"/>
        <v>158300</v>
      </c>
      <c r="AK777" s="982">
        <f>'09월 에너지'!S777</f>
        <v>140.30000000000001</v>
      </c>
      <c r="AL777" s="983">
        <f t="shared" si="148"/>
        <v>0.88629185091598228</v>
      </c>
    </row>
    <row r="778" spans="1:38" ht="16.5" customHeight="1">
      <c r="A778" s="999">
        <f>'09월 에너지'!A778</f>
        <v>46294</v>
      </c>
      <c r="B778" s="1002">
        <f>'09월 조업일지'!B776</f>
        <v>46294</v>
      </c>
      <c r="C778" s="1003" t="str">
        <f>'09월 에너지'!C778</f>
        <v>C</v>
      </c>
      <c r="D778" s="1004" t="str">
        <f>'09월 에너지'!D778</f>
        <v>A</v>
      </c>
      <c r="E778" s="1000">
        <f>'09월 에너지'!E778</f>
        <v>85978</v>
      </c>
      <c r="F778" s="1094" t="str">
        <f>'09월 에너지'!F778</f>
        <v>SHN400(BL)</v>
      </c>
      <c r="G778" s="980"/>
      <c r="H778" s="978"/>
      <c r="I778" s="978">
        <f>14600+6400</f>
        <v>21000</v>
      </c>
      <c r="J778" s="978"/>
      <c r="K778" s="978"/>
      <c r="L778" s="978"/>
      <c r="M778" s="978"/>
      <c r="N778" s="978"/>
      <c r="O778" s="1106">
        <f t="shared" si="144"/>
        <v>21000</v>
      </c>
      <c r="P778" s="1108">
        <f>3600+5900+11200+9800+6500+2900+2300</f>
        <v>42200</v>
      </c>
      <c r="Q778" s="979">
        <f>11200+6700</f>
        <v>17900</v>
      </c>
      <c r="R778" s="979">
        <v>7400</v>
      </c>
      <c r="S778" s="979"/>
      <c r="T778" s="979"/>
      <c r="U778" s="979">
        <v>9400</v>
      </c>
      <c r="V778" s="979">
        <f>7000+2500+2400+9300</f>
        <v>21200</v>
      </c>
      <c r="W778" s="979">
        <v>4700</v>
      </c>
      <c r="X778" s="979">
        <v>7300</v>
      </c>
      <c r="Y778" s="979">
        <f>6200+2000</f>
        <v>8200</v>
      </c>
      <c r="Z778" s="979"/>
      <c r="AA778" s="979">
        <v>1800</v>
      </c>
      <c r="AB778" s="979"/>
      <c r="AC778" s="979"/>
      <c r="AD778" s="979">
        <v>3700</v>
      </c>
      <c r="AE778" s="1109">
        <f t="shared" si="145"/>
        <v>123800</v>
      </c>
      <c r="AF778" s="1113">
        <v>3400</v>
      </c>
      <c r="AG778" s="981">
        <v>3100</v>
      </c>
      <c r="AH778" s="981">
        <v>6700</v>
      </c>
      <c r="AI778" s="1114">
        <f t="shared" si="146"/>
        <v>13200</v>
      </c>
      <c r="AJ778" s="1110">
        <f t="shared" si="147"/>
        <v>158000</v>
      </c>
      <c r="AK778" s="982">
        <f>'09월 에너지'!S778</f>
        <v>143.9</v>
      </c>
      <c r="AL778" s="983">
        <f t="shared" si="148"/>
        <v>0.91075949367088604</v>
      </c>
    </row>
    <row r="779" spans="1:38" ht="16.5" customHeight="1">
      <c r="A779" s="999">
        <f>'09월 에너지'!A779</f>
        <v>46294</v>
      </c>
      <c r="B779" s="1002">
        <f>'09월 조업일지'!B777</f>
        <v>46294</v>
      </c>
      <c r="C779" s="1003" t="str">
        <f>'09월 에너지'!C779</f>
        <v>C</v>
      </c>
      <c r="D779" s="1004" t="str">
        <f>'09월 에너지'!D779</f>
        <v>B</v>
      </c>
      <c r="E779" s="1000">
        <f>'09월 에너지'!E779</f>
        <v>85979</v>
      </c>
      <c r="F779" s="1094" t="str">
        <f>'09월 에너지'!F779</f>
        <v>SHN400(BL)</v>
      </c>
      <c r="G779" s="980"/>
      <c r="H779" s="978"/>
      <c r="I779" s="978">
        <f>13500+12500</f>
        <v>26000</v>
      </c>
      <c r="J779" s="978"/>
      <c r="K779" s="978"/>
      <c r="L779" s="978"/>
      <c r="M779" s="978"/>
      <c r="N779" s="978"/>
      <c r="O779" s="1106">
        <f t="shared" si="144"/>
        <v>26000</v>
      </c>
      <c r="P779" s="1108">
        <f>7000+4200+7300+10700+5600+5200+4700</f>
        <v>44700</v>
      </c>
      <c r="Q779" s="979">
        <f>9300+4600</f>
        <v>13900</v>
      </c>
      <c r="R779" s="979">
        <v>11800</v>
      </c>
      <c r="S779" s="979"/>
      <c r="T779" s="979"/>
      <c r="U779" s="979">
        <v>2100</v>
      </c>
      <c r="V779" s="979">
        <f>5700+2800+9100+3800</f>
        <v>21400</v>
      </c>
      <c r="W779" s="979">
        <v>4700</v>
      </c>
      <c r="X779" s="979">
        <v>9000</v>
      </c>
      <c r="Y779" s="979">
        <f>3600+700</f>
        <v>4300</v>
      </c>
      <c r="Z779" s="979"/>
      <c r="AA779" s="979">
        <v>3000</v>
      </c>
      <c r="AB779" s="979"/>
      <c r="AC779" s="979"/>
      <c r="AD779" s="979">
        <v>2600</v>
      </c>
      <c r="AE779" s="1109">
        <f t="shared" si="145"/>
        <v>117500</v>
      </c>
      <c r="AF779" s="1113">
        <v>3800</v>
      </c>
      <c r="AG779" s="981">
        <v>8500</v>
      </c>
      <c r="AH779" s="981">
        <v>3700</v>
      </c>
      <c r="AI779" s="1114">
        <f t="shared" si="146"/>
        <v>16000</v>
      </c>
      <c r="AJ779" s="1110">
        <f t="shared" si="147"/>
        <v>159500</v>
      </c>
      <c r="AK779" s="982">
        <f>'09월 에너지'!S779</f>
        <v>146.80000000000001</v>
      </c>
      <c r="AL779" s="983">
        <f t="shared" si="148"/>
        <v>0.9203761755485893</v>
      </c>
    </row>
    <row r="780" spans="1:38" ht="16.5" customHeight="1">
      <c r="A780" s="999">
        <f>'09월 에너지'!A780</f>
        <v>46294</v>
      </c>
      <c r="B780" s="1002">
        <f>'09월 조업일지'!B778</f>
        <v>46294</v>
      </c>
      <c r="C780" s="1003" t="str">
        <f>'09월 에너지'!C780</f>
        <v>C</v>
      </c>
      <c r="D780" s="1004" t="str">
        <f>'09월 에너지'!D780</f>
        <v>A</v>
      </c>
      <c r="E780" s="1000">
        <f>'09월 에너지'!E780</f>
        <v>85980</v>
      </c>
      <c r="F780" s="1094" t="str">
        <f>'09월 에너지'!F780</f>
        <v>SHN400(BL)</v>
      </c>
      <c r="G780" s="980"/>
      <c r="H780" s="978"/>
      <c r="I780" s="978">
        <f>2000+6000</f>
        <v>8000</v>
      </c>
      <c r="J780" s="978"/>
      <c r="K780" s="978"/>
      <c r="L780" s="978"/>
      <c r="M780" s="978"/>
      <c r="N780" s="978"/>
      <c r="O780" s="1106">
        <f t="shared" si="144"/>
        <v>8000</v>
      </c>
      <c r="P780" s="1108">
        <f>9400+10700+5500+13700+7800+5600+9900</f>
        <v>62600</v>
      </c>
      <c r="Q780" s="979">
        <f>10700+7100</f>
        <v>17800</v>
      </c>
      <c r="R780" s="979">
        <v>13800</v>
      </c>
      <c r="S780" s="979"/>
      <c r="T780" s="979"/>
      <c r="U780" s="979">
        <v>800</v>
      </c>
      <c r="V780" s="979">
        <f>1700+1800+8900</f>
        <v>12400</v>
      </c>
      <c r="W780" s="979">
        <v>3900</v>
      </c>
      <c r="X780" s="979">
        <v>7800</v>
      </c>
      <c r="Y780" s="979">
        <v>200</v>
      </c>
      <c r="Z780" s="979"/>
      <c r="AA780" s="979">
        <v>8500</v>
      </c>
      <c r="AB780" s="979"/>
      <c r="AC780" s="979"/>
      <c r="AD780" s="979">
        <v>2300</v>
      </c>
      <c r="AE780" s="1109">
        <f t="shared" si="145"/>
        <v>130100</v>
      </c>
      <c r="AF780" s="1113">
        <v>4700</v>
      </c>
      <c r="AG780" s="981">
        <v>11800</v>
      </c>
      <c r="AH780" s="981">
        <v>4300</v>
      </c>
      <c r="AI780" s="1114">
        <f t="shared" si="146"/>
        <v>20800</v>
      </c>
      <c r="AJ780" s="1110">
        <f t="shared" si="147"/>
        <v>158900</v>
      </c>
      <c r="AK780" s="982">
        <f>'09월 에너지'!S780</f>
        <v>143.4</v>
      </c>
      <c r="AL780" s="983">
        <f t="shared" si="148"/>
        <v>0.90245437382001259</v>
      </c>
    </row>
    <row r="781" spans="1:38" ht="16.5" customHeight="1">
      <c r="A781" s="999">
        <f>'09월 에너지'!A781</f>
        <v>46294</v>
      </c>
      <c r="B781" s="1002">
        <f>'09월 조업일지'!B779</f>
        <v>46294</v>
      </c>
      <c r="C781" s="1003" t="str">
        <f>'09월 에너지'!C781</f>
        <v>C</v>
      </c>
      <c r="D781" s="1004" t="str">
        <f>'09월 에너지'!D781</f>
        <v>B</v>
      </c>
      <c r="E781" s="1000">
        <f>'09월 에너지'!E781</f>
        <v>85981</v>
      </c>
      <c r="F781" s="1094" t="str">
        <f>'09월 에너지'!F781</f>
        <v>SHN400(BL)</v>
      </c>
      <c r="G781" s="980"/>
      <c r="H781" s="978"/>
      <c r="I781" s="978">
        <f>14000+7800</f>
        <v>21800</v>
      </c>
      <c r="J781" s="978"/>
      <c r="K781" s="978"/>
      <c r="L781" s="978"/>
      <c r="M781" s="978"/>
      <c r="N781" s="978"/>
      <c r="O781" s="1106">
        <f t="shared" si="144"/>
        <v>21800</v>
      </c>
      <c r="P781" s="1108">
        <f>9700+6800+4200+10800+6900+5800+5300</f>
        <v>49500</v>
      </c>
      <c r="Q781" s="979">
        <f>14200+4800</f>
        <v>19000</v>
      </c>
      <c r="R781" s="979">
        <v>6600</v>
      </c>
      <c r="S781" s="979"/>
      <c r="T781" s="979"/>
      <c r="U781" s="979">
        <v>2400</v>
      </c>
      <c r="V781" s="979">
        <f>4400+3600+3000+8500</f>
        <v>19500</v>
      </c>
      <c r="W781" s="979">
        <v>4100</v>
      </c>
      <c r="X781" s="979">
        <v>8000</v>
      </c>
      <c r="Y781" s="979">
        <f>500+4300</f>
        <v>4800</v>
      </c>
      <c r="Z781" s="979"/>
      <c r="AA781" s="979">
        <v>2200</v>
      </c>
      <c r="AB781" s="979"/>
      <c r="AC781" s="979"/>
      <c r="AD781" s="979">
        <v>1400</v>
      </c>
      <c r="AE781" s="1109">
        <f t="shared" si="145"/>
        <v>117500</v>
      </c>
      <c r="AF781" s="1113">
        <v>4400</v>
      </c>
      <c r="AG781" s="981">
        <v>12100</v>
      </c>
      <c r="AH781" s="981">
        <v>3500</v>
      </c>
      <c r="AI781" s="1114">
        <f t="shared" si="146"/>
        <v>20000</v>
      </c>
      <c r="AJ781" s="1110">
        <f t="shared" si="147"/>
        <v>159300</v>
      </c>
      <c r="AK781" s="982">
        <f>'09월 에너지'!S781</f>
        <v>145</v>
      </c>
      <c r="AL781" s="983">
        <f t="shared" si="148"/>
        <v>0.91023226616446951</v>
      </c>
    </row>
    <row r="782" spans="1:38" ht="16.5" customHeight="1">
      <c r="A782" s="999">
        <f>'09월 에너지'!A782</f>
        <v>46294</v>
      </c>
      <c r="B782" s="1002">
        <f>'09월 조업일지'!B780</f>
        <v>46294</v>
      </c>
      <c r="C782" s="1003" t="str">
        <f>'09월 에너지'!C782</f>
        <v>C</v>
      </c>
      <c r="D782" s="1004" t="str">
        <f>'09월 에너지'!D782</f>
        <v>A</v>
      </c>
      <c r="E782" s="1000">
        <f>'09월 에너지'!E782</f>
        <v>85982</v>
      </c>
      <c r="F782" s="1094" t="str">
        <f>'09월 에너지'!F782</f>
        <v>SHN400(BL)</v>
      </c>
      <c r="G782" s="980"/>
      <c r="H782" s="978"/>
      <c r="I782" s="978">
        <f>2300+10600</f>
        <v>12900</v>
      </c>
      <c r="J782" s="978"/>
      <c r="K782" s="978"/>
      <c r="L782" s="978"/>
      <c r="M782" s="978"/>
      <c r="N782" s="978"/>
      <c r="O782" s="1106">
        <f t="shared" si="144"/>
        <v>12900</v>
      </c>
      <c r="P782" s="1108">
        <f>3700+7000+16900+12500+7000+1600+6200</f>
        <v>54900</v>
      </c>
      <c r="Q782" s="979">
        <f>4700+1900</f>
        <v>6600</v>
      </c>
      <c r="R782" s="979">
        <v>1400</v>
      </c>
      <c r="S782" s="979"/>
      <c r="T782" s="979"/>
      <c r="U782" s="979">
        <v>10300</v>
      </c>
      <c r="V782" s="979">
        <f>7500+14600+2400+8500</f>
        <v>33000</v>
      </c>
      <c r="W782" s="979">
        <v>3100</v>
      </c>
      <c r="X782" s="979">
        <v>8500</v>
      </c>
      <c r="Y782" s="979"/>
      <c r="Z782" s="979"/>
      <c r="AA782" s="979">
        <v>1900</v>
      </c>
      <c r="AB782" s="979"/>
      <c r="AC782" s="979"/>
      <c r="AD782" s="979">
        <v>3600</v>
      </c>
      <c r="AE782" s="1109">
        <f t="shared" si="145"/>
        <v>123300</v>
      </c>
      <c r="AF782" s="1113">
        <v>4500</v>
      </c>
      <c r="AG782" s="981">
        <v>7800</v>
      </c>
      <c r="AH782" s="981">
        <v>10600</v>
      </c>
      <c r="AI782" s="1114">
        <f t="shared" si="146"/>
        <v>22900</v>
      </c>
      <c r="AJ782" s="1110">
        <f t="shared" si="147"/>
        <v>159100</v>
      </c>
      <c r="AK782" s="982">
        <f>'09월 에너지'!S782</f>
        <v>142.9</v>
      </c>
      <c r="AL782" s="983">
        <f t="shared" si="148"/>
        <v>0.89817724701445634</v>
      </c>
    </row>
    <row r="783" spans="1:38" ht="16.5" customHeight="1">
      <c r="A783" s="999">
        <f>'09월 에너지'!A783</f>
        <v>46294</v>
      </c>
      <c r="B783" s="1002">
        <f>'09월 조업일지'!B781</f>
        <v>46294</v>
      </c>
      <c r="C783" s="1003" t="str">
        <f>'09월 에너지'!C783</f>
        <v>C</v>
      </c>
      <c r="D783" s="1004" t="str">
        <f>'09월 에너지'!D783</f>
        <v>B</v>
      </c>
      <c r="E783" s="1000">
        <f>'09월 에너지'!E783</f>
        <v>85983</v>
      </c>
      <c r="F783" s="1094" t="str">
        <f>'09월 에너지'!F783</f>
        <v>SHN400(BL)</v>
      </c>
      <c r="G783" s="980"/>
      <c r="H783" s="978"/>
      <c r="I783" s="978">
        <f>11800+8800</f>
        <v>20600</v>
      </c>
      <c r="J783" s="978"/>
      <c r="K783" s="978"/>
      <c r="L783" s="978"/>
      <c r="M783" s="978"/>
      <c r="N783" s="978"/>
      <c r="O783" s="1106">
        <f t="shared" ref="O783:O846" si="155">IF(SUM(G783:N783)=0,"",SUM(G783:N783))</f>
        <v>20600</v>
      </c>
      <c r="P783" s="1108">
        <f>5400+7100+8400+11400+7300+3900+6800</f>
        <v>50300</v>
      </c>
      <c r="Q783" s="979">
        <f>8000+4200</f>
        <v>12200</v>
      </c>
      <c r="R783" s="979">
        <v>7100</v>
      </c>
      <c r="S783" s="979"/>
      <c r="T783" s="979"/>
      <c r="U783" s="979">
        <v>2000</v>
      </c>
      <c r="V783" s="979">
        <f>3500+12000+3400+8900</f>
        <v>27800</v>
      </c>
      <c r="W783" s="979">
        <v>3900</v>
      </c>
      <c r="X783" s="979">
        <v>8000</v>
      </c>
      <c r="Y783" s="979">
        <f>2700+4400</f>
        <v>7100</v>
      </c>
      <c r="Z783" s="979"/>
      <c r="AA783" s="979">
        <v>2300</v>
      </c>
      <c r="AB783" s="979"/>
      <c r="AC783" s="979"/>
      <c r="AD783" s="979">
        <v>1800</v>
      </c>
      <c r="AE783" s="1109">
        <f t="shared" ref="AE783:AE846" si="156">IF(SUM(P783:AD783)=0,"",SUM(P783:AD783))</f>
        <v>122500</v>
      </c>
      <c r="AF783" s="1113">
        <v>3700</v>
      </c>
      <c r="AG783" s="981">
        <v>7900</v>
      </c>
      <c r="AH783" s="981">
        <v>4800</v>
      </c>
      <c r="AI783" s="1114">
        <f t="shared" ref="AI783:AI846" si="157">IF(SUM(AF783:AH783)=0,"",SUM(AF783:AH783))</f>
        <v>16400</v>
      </c>
      <c r="AJ783" s="1110">
        <f t="shared" ref="AJ783:AJ846" si="158">IF(SUM(O783,AE783,AI783)=0,"",SUM(O783,AE783,AI783))</f>
        <v>159500</v>
      </c>
      <c r="AK783" s="982">
        <f>'09월 에너지'!S783</f>
        <v>144.5</v>
      </c>
      <c r="AL783" s="983">
        <f t="shared" ref="AL783:AL846" si="159">IF(ISERROR(IF(AK783="","",(AK783*1000)/AJ783)),0,(IF(AK783="","",(AK783*1000)/AJ783)))</f>
        <v>0.90595611285266453</v>
      </c>
    </row>
    <row r="784" spans="1:38" ht="16.5" customHeight="1">
      <c r="A784" s="999">
        <f>'09월 에너지'!A784</f>
        <v>46294</v>
      </c>
      <c r="B784" s="1002">
        <f>'09월 조업일지'!B782</f>
        <v>46294</v>
      </c>
      <c r="C784" s="1003" t="str">
        <f>'09월 에너지'!C784</f>
        <v>C</v>
      </c>
      <c r="D784" s="1004" t="str">
        <f>'09월 에너지'!D784</f>
        <v>A</v>
      </c>
      <c r="E784" s="1000">
        <f>'09월 에너지'!E784</f>
        <v>85984</v>
      </c>
      <c r="F784" s="1094" t="str">
        <f>'09월 에너지'!F784</f>
        <v>SHN400(BL)</v>
      </c>
      <c r="G784" s="980"/>
      <c r="H784" s="978"/>
      <c r="I784" s="978">
        <f>1800+6100</f>
        <v>7900</v>
      </c>
      <c r="J784" s="978"/>
      <c r="K784" s="978"/>
      <c r="L784" s="978"/>
      <c r="M784" s="978"/>
      <c r="N784" s="978"/>
      <c r="O784" s="1106">
        <f t="shared" si="155"/>
        <v>7900</v>
      </c>
      <c r="P784" s="1108">
        <f>10800+3000+6400+12300+8100+1400+1400</f>
        <v>43400</v>
      </c>
      <c r="Q784" s="979">
        <f>6100+7800</f>
        <v>13900</v>
      </c>
      <c r="R784" s="979">
        <v>5900</v>
      </c>
      <c r="S784" s="979"/>
      <c r="T784" s="979"/>
      <c r="U784" s="979">
        <v>10100</v>
      </c>
      <c r="V784" s="979">
        <f>3000+3200+1900+8600</f>
        <v>16700</v>
      </c>
      <c r="W784" s="979">
        <v>3500</v>
      </c>
      <c r="X784" s="979">
        <v>7100</v>
      </c>
      <c r="Y784" s="979">
        <f>4100+2900</f>
        <v>7000</v>
      </c>
      <c r="Z784" s="979"/>
      <c r="AA784" s="979">
        <v>15300</v>
      </c>
      <c r="AB784" s="979"/>
      <c r="AC784" s="979"/>
      <c r="AD784" s="979">
        <v>6600</v>
      </c>
      <c r="AE784" s="1109">
        <f t="shared" si="156"/>
        <v>129500</v>
      </c>
      <c r="AF784" s="1113">
        <v>4400</v>
      </c>
      <c r="AG784" s="981">
        <v>8800</v>
      </c>
      <c r="AH784" s="981">
        <v>7200</v>
      </c>
      <c r="AI784" s="1114">
        <f t="shared" si="157"/>
        <v>20400</v>
      </c>
      <c r="AJ784" s="1110">
        <f t="shared" si="158"/>
        <v>157800</v>
      </c>
      <c r="AK784" s="982">
        <f>'09월 에너지'!S784</f>
        <v>144.19999999999999</v>
      </c>
      <c r="AL784" s="983">
        <f t="shared" si="159"/>
        <v>0.91381495564005066</v>
      </c>
    </row>
    <row r="785" spans="1:38" ht="16.5" customHeight="1">
      <c r="A785" s="999">
        <f>'09월 에너지'!A785</f>
        <v>46294</v>
      </c>
      <c r="B785" s="1002">
        <f>'09월 조업일지'!B783</f>
        <v>46294</v>
      </c>
      <c r="C785" s="1003" t="str">
        <f>'09월 에너지'!C785</f>
        <v>C</v>
      </c>
      <c r="D785" s="1004" t="str">
        <f>'09월 에너지'!D785</f>
        <v>B</v>
      </c>
      <c r="E785" s="1000">
        <f>'09월 에너지'!E785</f>
        <v>85985</v>
      </c>
      <c r="F785" s="1094" t="str">
        <f>'09월 에너지'!F785</f>
        <v>SHN400(BL)</v>
      </c>
      <c r="G785" s="980"/>
      <c r="H785" s="978"/>
      <c r="I785" s="978">
        <f>8600+8000</f>
        <v>16600</v>
      </c>
      <c r="J785" s="978"/>
      <c r="K785" s="978"/>
      <c r="L785" s="978"/>
      <c r="M785" s="978"/>
      <c r="N785" s="978"/>
      <c r="O785" s="1106">
        <f t="shared" si="155"/>
        <v>16600</v>
      </c>
      <c r="P785" s="1108">
        <f>6400+3500+14900+7500+7400+7100+3400</f>
        <v>50200</v>
      </c>
      <c r="Q785" s="979">
        <f>13300+3800</f>
        <v>17100</v>
      </c>
      <c r="R785" s="979">
        <v>3400</v>
      </c>
      <c r="S785" s="979"/>
      <c r="T785" s="979"/>
      <c r="U785" s="979">
        <v>4500</v>
      </c>
      <c r="V785" s="979">
        <f>3300+8200+2000+9500</f>
        <v>23000</v>
      </c>
      <c r="W785" s="979">
        <v>3500</v>
      </c>
      <c r="X785" s="979">
        <v>7800</v>
      </c>
      <c r="Y785" s="979">
        <f>3800+3400</f>
        <v>7200</v>
      </c>
      <c r="Z785" s="979"/>
      <c r="AA785" s="979">
        <v>3500</v>
      </c>
      <c r="AB785" s="979"/>
      <c r="AC785" s="979"/>
      <c r="AD785" s="979">
        <v>2700</v>
      </c>
      <c r="AE785" s="1109">
        <f t="shared" si="156"/>
        <v>122900</v>
      </c>
      <c r="AF785" s="1113">
        <v>3800</v>
      </c>
      <c r="AG785" s="981">
        <v>12100</v>
      </c>
      <c r="AH785" s="981">
        <v>3500</v>
      </c>
      <c r="AI785" s="1114">
        <f t="shared" si="157"/>
        <v>19400</v>
      </c>
      <c r="AJ785" s="1110">
        <f t="shared" si="158"/>
        <v>158900</v>
      </c>
      <c r="AK785" s="982">
        <f>'09월 에너지'!S785</f>
        <v>143.5</v>
      </c>
      <c r="AL785" s="983">
        <f t="shared" si="159"/>
        <v>0.90308370044052866</v>
      </c>
    </row>
    <row r="786" spans="1:38" ht="16.5" customHeight="1">
      <c r="A786" s="999">
        <f>'09월 에너지'!A786</f>
        <v>46294</v>
      </c>
      <c r="B786" s="1002">
        <f>'09월 조업일지'!B784</f>
        <v>46294</v>
      </c>
      <c r="C786" s="1003" t="str">
        <f>'09월 에너지'!C786</f>
        <v>D</v>
      </c>
      <c r="D786" s="1004" t="str">
        <f>'09월 에너지'!D786</f>
        <v>A</v>
      </c>
      <c r="E786" s="1000">
        <f>'09월 에너지'!E786</f>
        <v>85986</v>
      </c>
      <c r="F786" s="1094" t="str">
        <f>'09월 에너지'!F786</f>
        <v>SHN400(BL)</v>
      </c>
      <c r="G786" s="980"/>
      <c r="H786" s="978"/>
      <c r="I786" s="978">
        <f>9600+8800</f>
        <v>18400</v>
      </c>
      <c r="J786" s="978"/>
      <c r="K786" s="978"/>
      <c r="L786" s="978"/>
      <c r="M786" s="978"/>
      <c r="N786" s="978"/>
      <c r="O786" s="1106">
        <f t="shared" si="155"/>
        <v>18400</v>
      </c>
      <c r="P786" s="1108">
        <f>8400+5000+10700+10800+6800+2200+2000</f>
        <v>45900</v>
      </c>
      <c r="Q786" s="979">
        <f>13900+7400</f>
        <v>21300</v>
      </c>
      <c r="R786" s="979">
        <v>3300</v>
      </c>
      <c r="S786" s="979"/>
      <c r="T786" s="979"/>
      <c r="U786" s="979">
        <v>7400</v>
      </c>
      <c r="V786" s="979">
        <f>3200+12000+2400+10200</f>
        <v>27800</v>
      </c>
      <c r="W786" s="979">
        <v>3000</v>
      </c>
      <c r="X786" s="979">
        <v>9300</v>
      </c>
      <c r="Y786" s="979">
        <f>2300+800</f>
        <v>3100</v>
      </c>
      <c r="Z786" s="979"/>
      <c r="AA786" s="979">
        <v>1600</v>
      </c>
      <c r="AB786" s="979"/>
      <c r="AC786" s="979"/>
      <c r="AD786" s="979">
        <v>4300</v>
      </c>
      <c r="AE786" s="1109">
        <f t="shared" si="156"/>
        <v>127000</v>
      </c>
      <c r="AF786" s="1113">
        <v>3500</v>
      </c>
      <c r="AG786" s="981">
        <v>5600</v>
      </c>
      <c r="AH786" s="981">
        <v>3900</v>
      </c>
      <c r="AI786" s="1114">
        <f t="shared" si="157"/>
        <v>13000</v>
      </c>
      <c r="AJ786" s="1110">
        <f t="shared" si="158"/>
        <v>158400</v>
      </c>
      <c r="AK786" s="982">
        <f>'09월 에너지'!S786</f>
        <v>144</v>
      </c>
      <c r="AL786" s="983">
        <f t="shared" si="159"/>
        <v>0.90909090909090906</v>
      </c>
    </row>
    <row r="787" spans="1:38" ht="16.5" customHeight="1">
      <c r="A787" s="999">
        <f>'09월 에너지'!A787</f>
        <v>46294</v>
      </c>
      <c r="B787" s="1002">
        <f>'09월 조업일지'!B785</f>
        <v>46294</v>
      </c>
      <c r="C787" s="1003" t="str">
        <f>'09월 에너지'!C787</f>
        <v>D</v>
      </c>
      <c r="D787" s="1004" t="str">
        <f>'09월 에너지'!D787</f>
        <v>A</v>
      </c>
      <c r="E787" s="1000">
        <f>'09월 에너지'!E787</f>
        <v>85987</v>
      </c>
      <c r="F787" s="1094" t="str">
        <f>'09월 에너지'!F787</f>
        <v>SHN400(BL)</v>
      </c>
      <c r="G787" s="980"/>
      <c r="H787" s="978"/>
      <c r="I787" s="978">
        <f>10000+8100</f>
        <v>18100</v>
      </c>
      <c r="J787" s="978"/>
      <c r="K787" s="978"/>
      <c r="L787" s="978"/>
      <c r="M787" s="978"/>
      <c r="N787" s="978"/>
      <c r="O787" s="1106">
        <f t="shared" si="155"/>
        <v>18100</v>
      </c>
      <c r="P787" s="1108">
        <f>7400+3500+2900+10100+7400+2000+6200</f>
        <v>39500</v>
      </c>
      <c r="Q787" s="979">
        <f>6500+5500</f>
        <v>12000</v>
      </c>
      <c r="R787" s="979">
        <v>6300</v>
      </c>
      <c r="S787" s="979"/>
      <c r="T787" s="979"/>
      <c r="U787" s="979">
        <v>2700</v>
      </c>
      <c r="V787" s="979">
        <f>3600+2400+1200+9700</f>
        <v>16900</v>
      </c>
      <c r="W787" s="979">
        <v>2800</v>
      </c>
      <c r="X787" s="979">
        <v>8500</v>
      </c>
      <c r="Y787" s="979">
        <f>6300+4100</f>
        <v>10400</v>
      </c>
      <c r="Z787" s="979"/>
      <c r="AA787" s="979">
        <v>12900</v>
      </c>
      <c r="AB787" s="979"/>
      <c r="AC787" s="979"/>
      <c r="AD787" s="979">
        <v>4700</v>
      </c>
      <c r="AE787" s="1109">
        <f t="shared" si="156"/>
        <v>116700</v>
      </c>
      <c r="AF787" s="1113">
        <v>5900</v>
      </c>
      <c r="AG787" s="981">
        <v>10800</v>
      </c>
      <c r="AH787" s="981">
        <v>7000</v>
      </c>
      <c r="AI787" s="1114">
        <f t="shared" si="157"/>
        <v>23700</v>
      </c>
      <c r="AJ787" s="1110">
        <f t="shared" si="158"/>
        <v>158500</v>
      </c>
      <c r="AK787" s="982">
        <f>'09월 에너지'!S787</f>
        <v>144.30000000000001</v>
      </c>
      <c r="AL787" s="983">
        <f t="shared" si="159"/>
        <v>0.910410094637224</v>
      </c>
    </row>
    <row r="788" spans="1:38" ht="16.5" customHeight="1">
      <c r="A788" s="999">
        <f>'09월 에너지'!A788</f>
        <v>46294</v>
      </c>
      <c r="B788" s="1002">
        <f>'09월 조업일지'!B786</f>
        <v>46294</v>
      </c>
      <c r="C788" s="1003" t="str">
        <f>'09월 에너지'!C788</f>
        <v>D</v>
      </c>
      <c r="D788" s="1004" t="str">
        <f>'09월 에너지'!D788</f>
        <v>A</v>
      </c>
      <c r="E788" s="1000">
        <f>'09월 에너지'!E788</f>
        <v>85988</v>
      </c>
      <c r="F788" s="1094" t="str">
        <f>'09월 에너지'!F788</f>
        <v>SHN400(BL)</v>
      </c>
      <c r="G788" s="980"/>
      <c r="H788" s="978"/>
      <c r="I788" s="978">
        <f>10900+7400</f>
        <v>18300</v>
      </c>
      <c r="J788" s="978"/>
      <c r="K788" s="978"/>
      <c r="L788" s="978"/>
      <c r="M788" s="978"/>
      <c r="N788" s="978"/>
      <c r="O788" s="1106">
        <f t="shared" si="155"/>
        <v>18300</v>
      </c>
      <c r="P788" s="1108">
        <f>5900+6700+6600+9200+8000+6200+3700</f>
        <v>46300</v>
      </c>
      <c r="Q788" s="979">
        <f>8400+5300</f>
        <v>13700</v>
      </c>
      <c r="R788" s="979">
        <v>8500</v>
      </c>
      <c r="S788" s="979"/>
      <c r="T788" s="979"/>
      <c r="U788" s="979">
        <v>6200</v>
      </c>
      <c r="V788" s="979">
        <f>8400+2200+900+9700</f>
        <v>21200</v>
      </c>
      <c r="W788" s="979">
        <v>3000</v>
      </c>
      <c r="X788" s="979">
        <v>8300</v>
      </c>
      <c r="Y788" s="979">
        <f>4600+1100</f>
        <v>5700</v>
      </c>
      <c r="Z788" s="979"/>
      <c r="AA788" s="979">
        <v>3900</v>
      </c>
      <c r="AB788" s="979"/>
      <c r="AC788" s="979"/>
      <c r="AD788" s="979">
        <v>3800</v>
      </c>
      <c r="AE788" s="1109">
        <f t="shared" si="156"/>
        <v>120600</v>
      </c>
      <c r="AF788" s="1113">
        <v>4400</v>
      </c>
      <c r="AG788" s="981">
        <v>12300</v>
      </c>
      <c r="AH788" s="981">
        <v>2800</v>
      </c>
      <c r="AI788" s="1114">
        <f t="shared" si="157"/>
        <v>19500</v>
      </c>
      <c r="AJ788" s="1110">
        <f t="shared" si="158"/>
        <v>158400</v>
      </c>
      <c r="AK788" s="982">
        <f>'09월 에너지'!S788</f>
        <v>144.5</v>
      </c>
      <c r="AL788" s="983">
        <f t="shared" si="159"/>
        <v>0.9122474747474747</v>
      </c>
    </row>
    <row r="789" spans="1:38" ht="16.5" customHeight="1">
      <c r="A789" s="999">
        <f>'09월 에너지'!A789</f>
        <v>46294</v>
      </c>
      <c r="B789" s="1002">
        <f>'09월 조업일지'!B787</f>
        <v>46294</v>
      </c>
      <c r="C789" s="1003" t="str">
        <f>'09월 에너지'!C789</f>
        <v>D</v>
      </c>
      <c r="D789" s="1004" t="str">
        <f>'09월 에너지'!D789</f>
        <v>B</v>
      </c>
      <c r="E789" s="1000">
        <f>'09월 에너지'!E789</f>
        <v>85989</v>
      </c>
      <c r="F789" s="1094" t="str">
        <f>'09월 에너지'!F789</f>
        <v>SHN400(BL)</v>
      </c>
      <c r="G789" s="980"/>
      <c r="H789" s="978"/>
      <c r="I789" s="978">
        <f>14300+7800</f>
        <v>22100</v>
      </c>
      <c r="J789" s="978"/>
      <c r="K789" s="978"/>
      <c r="L789" s="978"/>
      <c r="M789" s="978"/>
      <c r="N789" s="978"/>
      <c r="O789" s="1106">
        <f t="shared" si="155"/>
        <v>22100</v>
      </c>
      <c r="P789" s="1108">
        <f>5500+4600+3300+18000+7000+6400+3700</f>
        <v>48500</v>
      </c>
      <c r="Q789" s="979">
        <f>15200+3700</f>
        <v>18900</v>
      </c>
      <c r="R789" s="979">
        <v>5700</v>
      </c>
      <c r="S789" s="979"/>
      <c r="T789" s="979"/>
      <c r="U789" s="979">
        <v>4600</v>
      </c>
      <c r="V789" s="979">
        <f>4800+5100+2000+9700</f>
        <v>21600</v>
      </c>
      <c r="W789" s="979">
        <v>3900</v>
      </c>
      <c r="X789" s="979">
        <v>8700</v>
      </c>
      <c r="Y789" s="979">
        <f>3900+3700</f>
        <v>7600</v>
      </c>
      <c r="Z789" s="979"/>
      <c r="AA789" s="979">
        <v>2500</v>
      </c>
      <c r="AB789" s="979"/>
      <c r="AC789" s="979"/>
      <c r="AD789" s="979">
        <v>3300</v>
      </c>
      <c r="AE789" s="1109">
        <f t="shared" si="156"/>
        <v>125300</v>
      </c>
      <c r="AF789" s="1113">
        <v>4100</v>
      </c>
      <c r="AG789" s="981">
        <v>5500</v>
      </c>
      <c r="AH789" s="981">
        <v>2300</v>
      </c>
      <c r="AI789" s="1114">
        <f t="shared" si="157"/>
        <v>11900</v>
      </c>
      <c r="AJ789" s="1110">
        <f t="shared" si="158"/>
        <v>159300</v>
      </c>
      <c r="AK789" s="982">
        <f>'09월 에너지'!S789</f>
        <v>145.19999999999999</v>
      </c>
      <c r="AL789" s="983">
        <f t="shared" si="159"/>
        <v>0.91148775894538603</v>
      </c>
    </row>
    <row r="790" spans="1:38" ht="16.5" customHeight="1">
      <c r="A790" s="999">
        <f>'09월 에너지'!A790</f>
        <v>46294</v>
      </c>
      <c r="B790" s="1002">
        <f>'09월 조업일지'!B788</f>
        <v>46294</v>
      </c>
      <c r="C790" s="1003" t="str">
        <f>'09월 에너지'!C790</f>
        <v>D</v>
      </c>
      <c r="D790" s="1004" t="str">
        <f>'09월 에너지'!D790</f>
        <v>A</v>
      </c>
      <c r="E790" s="1000">
        <f>'09월 에너지'!E790</f>
        <v>85990</v>
      </c>
      <c r="F790" s="1094" t="str">
        <f>'09월 에너지'!F790</f>
        <v>SHN400(BL)</v>
      </c>
      <c r="G790" s="980"/>
      <c r="H790" s="978"/>
      <c r="I790" s="978">
        <f>14300+7800</f>
        <v>22100</v>
      </c>
      <c r="J790" s="978"/>
      <c r="K790" s="978"/>
      <c r="L790" s="978"/>
      <c r="M790" s="978"/>
      <c r="N790" s="978"/>
      <c r="O790" s="1106">
        <f t="shared" ref="O790" si="160">IF(SUM(G790:N790)=0,"",SUM(G790:N790))</f>
        <v>22100</v>
      </c>
      <c r="P790" s="1108">
        <f>5500+4600+3300+18000+7000+6400+3700</f>
        <v>48500</v>
      </c>
      <c r="Q790" s="979">
        <f>15200+3700</f>
        <v>18900</v>
      </c>
      <c r="R790" s="979">
        <v>5700</v>
      </c>
      <c r="S790" s="979"/>
      <c r="T790" s="979"/>
      <c r="U790" s="979">
        <v>4600</v>
      </c>
      <c r="V790" s="979">
        <f>4800+5100+2000+9700</f>
        <v>21600</v>
      </c>
      <c r="W790" s="979">
        <v>3900</v>
      </c>
      <c r="X790" s="979">
        <v>8700</v>
      </c>
      <c r="Y790" s="979">
        <f>3900+3700</f>
        <v>7600</v>
      </c>
      <c r="Z790" s="979"/>
      <c r="AA790" s="979">
        <v>2500</v>
      </c>
      <c r="AB790" s="979"/>
      <c r="AC790" s="979"/>
      <c r="AD790" s="979">
        <v>3300</v>
      </c>
      <c r="AE790" s="1109">
        <f t="shared" ref="AE790" si="161">IF(SUM(P790:AD790)=0,"",SUM(P790:AD790))</f>
        <v>125300</v>
      </c>
      <c r="AF790" s="1113">
        <v>4100</v>
      </c>
      <c r="AG790" s="981">
        <v>5500</v>
      </c>
      <c r="AH790" s="981">
        <v>2300</v>
      </c>
      <c r="AI790" s="1114">
        <f t="shared" si="157"/>
        <v>11900</v>
      </c>
      <c r="AJ790" s="1110">
        <f t="shared" si="158"/>
        <v>159300</v>
      </c>
      <c r="AK790" s="982">
        <f>'09월 에너지'!S790</f>
        <v>144.30000000000001</v>
      </c>
      <c r="AL790" s="983">
        <f t="shared" si="159"/>
        <v>0.90583804143126179</v>
      </c>
    </row>
    <row r="791" spans="1:38" ht="16.5" customHeight="1">
      <c r="A791" s="999">
        <f>'09월 에너지'!A791</f>
        <v>46294</v>
      </c>
      <c r="B791" s="1002">
        <f>'09월 조업일지'!B789</f>
        <v>46294</v>
      </c>
      <c r="C791" s="1003" t="str">
        <f>'09월 에너지'!C791</f>
        <v>D</v>
      </c>
      <c r="D791" s="1004" t="str">
        <f>'09월 에너지'!D791</f>
        <v>B</v>
      </c>
      <c r="E791" s="1000">
        <f>'09월 에너지'!E791</f>
        <v>85991</v>
      </c>
      <c r="F791" s="1094" t="str">
        <f>'09월 에너지'!F791</f>
        <v>SHN400(BL)</v>
      </c>
      <c r="G791" s="980"/>
      <c r="H791" s="978"/>
      <c r="I791" s="978">
        <f>11600+8100</f>
        <v>19700</v>
      </c>
      <c r="J791" s="978"/>
      <c r="K791" s="978"/>
      <c r="L791" s="978"/>
      <c r="M791" s="978"/>
      <c r="N791" s="978"/>
      <c r="O791" s="1106">
        <f t="shared" si="155"/>
        <v>19700</v>
      </c>
      <c r="P791" s="1108">
        <f>7200+9000+7900+12600+7000+6800+2600</f>
        <v>53100</v>
      </c>
      <c r="Q791" s="979">
        <f>10500+6000</f>
        <v>16500</v>
      </c>
      <c r="R791" s="979">
        <v>7100</v>
      </c>
      <c r="S791" s="979"/>
      <c r="T791" s="979"/>
      <c r="U791" s="979">
        <v>4100</v>
      </c>
      <c r="V791" s="979">
        <f>4800+3600+1400+9300</f>
        <v>19100</v>
      </c>
      <c r="W791" s="979">
        <v>2600</v>
      </c>
      <c r="X791" s="979">
        <v>9000</v>
      </c>
      <c r="Y791" s="979">
        <f>3600+2100</f>
        <v>5700</v>
      </c>
      <c r="Z791" s="979"/>
      <c r="AA791" s="979">
        <v>1500</v>
      </c>
      <c r="AB791" s="979"/>
      <c r="AC791" s="979"/>
      <c r="AD791" s="979">
        <v>1400</v>
      </c>
      <c r="AE791" s="1109">
        <f t="shared" si="156"/>
        <v>120100</v>
      </c>
      <c r="AF791" s="1113">
        <v>4700</v>
      </c>
      <c r="AG791" s="981">
        <v>9200</v>
      </c>
      <c r="AH791" s="981">
        <v>4800</v>
      </c>
      <c r="AI791" s="1114">
        <f t="shared" si="157"/>
        <v>18700</v>
      </c>
      <c r="AJ791" s="1110">
        <f t="shared" si="158"/>
        <v>158500</v>
      </c>
      <c r="AK791" s="982">
        <f>'09월 에너지'!S791</f>
        <v>146.6</v>
      </c>
      <c r="AL791" s="983">
        <f t="shared" si="159"/>
        <v>0.92492113564668765</v>
      </c>
    </row>
    <row r="792" spans="1:38" ht="16.5" customHeight="1">
      <c r="A792" s="999">
        <f>'09월 에너지'!A792</f>
        <v>46294</v>
      </c>
      <c r="B792" s="1002">
        <f>'09월 조업일지'!B790</f>
        <v>46294</v>
      </c>
      <c r="C792" s="1003" t="str">
        <f>'09월 에너지'!C792</f>
        <v>D</v>
      </c>
      <c r="D792" s="1004" t="str">
        <f>'09월 에너지'!D792</f>
        <v>A</v>
      </c>
      <c r="E792" s="1000">
        <f>'09월 에너지'!E792</f>
        <v>85992</v>
      </c>
      <c r="F792" s="1094" t="str">
        <f>'09월 에너지'!F792</f>
        <v>SHN400(BL)</v>
      </c>
      <c r="G792" s="980"/>
      <c r="H792" s="978"/>
      <c r="I792" s="978">
        <f>8700+9700</f>
        <v>18400</v>
      </c>
      <c r="J792" s="978"/>
      <c r="K792" s="978"/>
      <c r="L792" s="978"/>
      <c r="M792" s="978"/>
      <c r="N792" s="978"/>
      <c r="O792" s="1106">
        <f t="shared" si="155"/>
        <v>18400</v>
      </c>
      <c r="P792" s="1108">
        <f>4200+9800+6300+13900+6900+5200+3900</f>
        <v>50200</v>
      </c>
      <c r="Q792" s="979">
        <f>14900+7300</f>
        <v>22200</v>
      </c>
      <c r="R792" s="979">
        <v>5700</v>
      </c>
      <c r="S792" s="979"/>
      <c r="T792" s="979"/>
      <c r="U792" s="979">
        <v>5300</v>
      </c>
      <c r="V792" s="979">
        <f>2600+3300+1500+9700</f>
        <v>17100</v>
      </c>
      <c r="W792" s="979">
        <v>2500</v>
      </c>
      <c r="X792" s="979">
        <v>9400</v>
      </c>
      <c r="Y792" s="979">
        <f>7600+200</f>
        <v>7800</v>
      </c>
      <c r="Z792" s="979"/>
      <c r="AA792" s="979">
        <v>200</v>
      </c>
      <c r="AB792" s="979"/>
      <c r="AC792" s="979"/>
      <c r="AD792" s="979">
        <v>4600</v>
      </c>
      <c r="AE792" s="1109">
        <f t="shared" si="156"/>
        <v>125000</v>
      </c>
      <c r="AF792" s="1113">
        <v>3700</v>
      </c>
      <c r="AG792" s="981">
        <v>6500</v>
      </c>
      <c r="AH792" s="981">
        <v>6100</v>
      </c>
      <c r="AI792" s="1114">
        <f t="shared" si="157"/>
        <v>16300</v>
      </c>
      <c r="AJ792" s="1110">
        <f t="shared" si="158"/>
        <v>159700</v>
      </c>
      <c r="AK792" s="982">
        <f>'09월 에너지'!S792</f>
        <v>143.1</v>
      </c>
      <c r="AL792" s="983">
        <f t="shared" si="159"/>
        <v>0.89605510331872262</v>
      </c>
    </row>
    <row r="793" spans="1:38" ht="16.5" customHeight="1">
      <c r="A793" s="999">
        <f>'09월 에너지'!A793</f>
        <v>46294</v>
      </c>
      <c r="B793" s="1002">
        <f>'09월 조업일지'!B791</f>
        <v>46294</v>
      </c>
      <c r="C793" s="1003" t="str">
        <f>'09월 에너지'!C793</f>
        <v>D</v>
      </c>
      <c r="D793" s="1004" t="str">
        <f>'09월 에너지'!D793</f>
        <v>B</v>
      </c>
      <c r="E793" s="1000">
        <f>'09월 에너지'!E793</f>
        <v>85993</v>
      </c>
      <c r="F793" s="1170" t="str">
        <f>'09월 에너지'!F793</f>
        <v>SS400-05</v>
      </c>
      <c r="G793" s="980"/>
      <c r="H793" s="978"/>
      <c r="I793" s="978">
        <f>14000+5500</f>
        <v>19500</v>
      </c>
      <c r="J793" s="978"/>
      <c r="K793" s="978"/>
      <c r="L793" s="978"/>
      <c r="M793" s="978"/>
      <c r="N793" s="978"/>
      <c r="O793" s="1106">
        <f t="shared" si="155"/>
        <v>19500</v>
      </c>
      <c r="P793" s="1108">
        <f>7300+16100+7800+5200+6300</f>
        <v>42700</v>
      </c>
      <c r="Q793" s="979">
        <f>10600+4400</f>
        <v>15000</v>
      </c>
      <c r="R793" s="979">
        <v>7100</v>
      </c>
      <c r="S793" s="979"/>
      <c r="T793" s="979"/>
      <c r="U793" s="979">
        <v>3100</v>
      </c>
      <c r="V793" s="979">
        <f>4400+3800+9400+2000</f>
        <v>19600</v>
      </c>
      <c r="W793" s="979">
        <v>3000</v>
      </c>
      <c r="X793" s="979">
        <v>7400</v>
      </c>
      <c r="Y793" s="979">
        <f>3800+11800+3900</f>
        <v>19500</v>
      </c>
      <c r="Z793" s="979"/>
      <c r="AA793" s="979">
        <v>2200</v>
      </c>
      <c r="AB793" s="979">
        <v>2200</v>
      </c>
      <c r="AC793" s="979"/>
      <c r="AD793" s="979">
        <v>3100</v>
      </c>
      <c r="AE793" s="1109">
        <f t="shared" si="156"/>
        <v>124900</v>
      </c>
      <c r="AF793" s="1113">
        <v>4600</v>
      </c>
      <c r="AG793" s="981">
        <v>4400</v>
      </c>
      <c r="AH793" s="981">
        <v>4700</v>
      </c>
      <c r="AI793" s="1114">
        <f t="shared" si="157"/>
        <v>13700</v>
      </c>
      <c r="AJ793" s="1110">
        <f t="shared" si="158"/>
        <v>158100</v>
      </c>
      <c r="AK793" s="982">
        <f>'09월 에너지'!S793</f>
        <v>144.1</v>
      </c>
      <c r="AL793" s="983">
        <f t="shared" si="159"/>
        <v>0.91144845034788113</v>
      </c>
    </row>
    <row r="794" spans="1:38" ht="16.5" customHeight="1">
      <c r="A794" s="999">
        <f>'09월 에너지'!A794</f>
        <v>46294</v>
      </c>
      <c r="B794" s="1002">
        <f>'09월 조업일지'!B792</f>
        <v>46294</v>
      </c>
      <c r="C794" s="1003" t="str">
        <f>'09월 에너지'!C794</f>
        <v>D</v>
      </c>
      <c r="D794" s="1004" t="str">
        <f>'09월 에너지'!D794</f>
        <v>A</v>
      </c>
      <c r="E794" s="1000">
        <f>'09월 에너지'!E794</f>
        <v>85994</v>
      </c>
      <c r="F794" s="1094" t="str">
        <f>'09월 에너지'!F794</f>
        <v>SS400-05</v>
      </c>
      <c r="G794" s="980"/>
      <c r="H794" s="978"/>
      <c r="I794" s="978">
        <f>10500+100</f>
        <v>10600</v>
      </c>
      <c r="J794" s="978"/>
      <c r="K794" s="978"/>
      <c r="L794" s="978"/>
      <c r="M794" s="978"/>
      <c r="N794" s="978"/>
      <c r="O794" s="1106">
        <f t="shared" si="155"/>
        <v>10600</v>
      </c>
      <c r="P794" s="1108">
        <f>9900+3300+2200+5800+7000</f>
        <v>28200</v>
      </c>
      <c r="Q794" s="979">
        <f>8700+13000</f>
        <v>21700</v>
      </c>
      <c r="R794" s="979">
        <v>4800</v>
      </c>
      <c r="S794" s="979"/>
      <c r="T794" s="979"/>
      <c r="U794" s="979">
        <v>4500</v>
      </c>
      <c r="V794" s="979">
        <f>6200+4700+2100+8800</f>
        <v>21800</v>
      </c>
      <c r="W794" s="979">
        <v>3900</v>
      </c>
      <c r="X794" s="979">
        <v>7500</v>
      </c>
      <c r="Y794" s="979">
        <f>4000+14000+5700</f>
        <v>23700</v>
      </c>
      <c r="Z794" s="979"/>
      <c r="AA794" s="979">
        <v>3600</v>
      </c>
      <c r="AB794" s="979">
        <v>400</v>
      </c>
      <c r="AC794" s="979"/>
      <c r="AD794" s="979">
        <v>2100</v>
      </c>
      <c r="AE794" s="1109">
        <f t="shared" si="156"/>
        <v>122200</v>
      </c>
      <c r="AF794" s="1113">
        <v>4900</v>
      </c>
      <c r="AG794" s="981">
        <v>6000</v>
      </c>
      <c r="AH794" s="981">
        <v>16300</v>
      </c>
      <c r="AI794" s="1114">
        <f t="shared" si="157"/>
        <v>27200</v>
      </c>
      <c r="AJ794" s="1110">
        <f t="shared" si="158"/>
        <v>160000</v>
      </c>
      <c r="AK794" s="982">
        <f>'09월 에너지'!S794</f>
        <v>143.80000000000001</v>
      </c>
      <c r="AL794" s="983">
        <f t="shared" si="159"/>
        <v>0.89875000000000005</v>
      </c>
    </row>
    <row r="795" spans="1:38" ht="16.5" customHeight="1">
      <c r="A795" s="999">
        <f>'09월 에너지'!A795</f>
        <v>46294</v>
      </c>
      <c r="B795" s="1002">
        <f>'09월 조업일지'!B793</f>
        <v>46294</v>
      </c>
      <c r="C795" s="1003" t="str">
        <f>'09월 에너지'!C795</f>
        <v>D</v>
      </c>
      <c r="D795" s="1004" t="str">
        <f>'09월 에너지'!D795</f>
        <v>B</v>
      </c>
      <c r="E795" s="1000">
        <f>'09월 에너지'!E795</f>
        <v>85995</v>
      </c>
      <c r="F795" s="1094" t="str">
        <f>'09월 에너지'!F795</f>
        <v>SS400-05</v>
      </c>
      <c r="G795" s="980"/>
      <c r="H795" s="978"/>
      <c r="I795" s="978">
        <f>12700+5100</f>
        <v>17800</v>
      </c>
      <c r="J795" s="978"/>
      <c r="K795" s="978"/>
      <c r="L795" s="978"/>
      <c r="M795" s="978"/>
      <c r="N795" s="978"/>
      <c r="O795" s="1106">
        <f t="shared" si="155"/>
        <v>17800</v>
      </c>
      <c r="P795" s="1108">
        <f>9600+12600+6500+5400+5800</f>
        <v>39900</v>
      </c>
      <c r="Q795" s="979">
        <f>8200+4600</f>
        <v>12800</v>
      </c>
      <c r="R795" s="979">
        <v>8700</v>
      </c>
      <c r="S795" s="979"/>
      <c r="T795" s="979"/>
      <c r="U795" s="979">
        <v>3500</v>
      </c>
      <c r="V795" s="979">
        <f>3600+4800+2900+9300</f>
        <v>20600</v>
      </c>
      <c r="W795" s="979">
        <v>3800</v>
      </c>
      <c r="X795" s="979">
        <v>8300</v>
      </c>
      <c r="Y795" s="979">
        <f>3400+13000+3700</f>
        <v>20100</v>
      </c>
      <c r="Z795" s="979"/>
      <c r="AA795" s="979">
        <v>5000</v>
      </c>
      <c r="AB795" s="979">
        <v>2000</v>
      </c>
      <c r="AC795" s="979"/>
      <c r="AD795" s="979">
        <v>2700</v>
      </c>
      <c r="AE795" s="1109">
        <f t="shared" si="156"/>
        <v>127400</v>
      </c>
      <c r="AF795" s="1113">
        <v>4100</v>
      </c>
      <c r="AG795" s="981">
        <v>5000</v>
      </c>
      <c r="AH795" s="981">
        <v>4400</v>
      </c>
      <c r="AI795" s="1114">
        <f t="shared" si="157"/>
        <v>13500</v>
      </c>
      <c r="AJ795" s="1110">
        <f t="shared" si="158"/>
        <v>158700</v>
      </c>
      <c r="AK795" s="982">
        <f>'09월 에너지'!S795</f>
        <v>147.80000000000001</v>
      </c>
      <c r="AL795" s="983">
        <f t="shared" si="159"/>
        <v>0.93131695022054195</v>
      </c>
    </row>
    <row r="796" spans="1:38" ht="16.5" customHeight="1">
      <c r="A796" s="999">
        <f>'09월 에너지'!A796</f>
        <v>46294</v>
      </c>
      <c r="B796" s="1002">
        <f>'09월 조업일지'!B794</f>
        <v>46294</v>
      </c>
      <c r="C796" s="1003" t="str">
        <f>'09월 에너지'!C796</f>
        <v>B</v>
      </c>
      <c r="D796" s="1004" t="str">
        <f>'09월 에너지'!D796</f>
        <v>A</v>
      </c>
      <c r="E796" s="1000">
        <f>'09월 에너지'!E796</f>
        <v>85996</v>
      </c>
      <c r="F796" s="1094" t="str">
        <f>'09월 에너지'!F796</f>
        <v>SS400-05</v>
      </c>
      <c r="G796" s="980"/>
      <c r="H796" s="978"/>
      <c r="I796" s="978">
        <f>9800+1900</f>
        <v>11700</v>
      </c>
      <c r="J796" s="978"/>
      <c r="K796" s="978"/>
      <c r="L796" s="978"/>
      <c r="M796" s="978"/>
      <c r="N796" s="978"/>
      <c r="O796" s="1106">
        <f t="shared" si="155"/>
        <v>11700</v>
      </c>
      <c r="P796" s="1108">
        <f>4100+8900+7800+5400+8800</f>
        <v>35000</v>
      </c>
      <c r="Q796" s="979">
        <f>13100+3000</f>
        <v>16100</v>
      </c>
      <c r="R796" s="979">
        <v>13300</v>
      </c>
      <c r="S796" s="979"/>
      <c r="T796" s="979"/>
      <c r="U796" s="979">
        <v>2100</v>
      </c>
      <c r="V796" s="979">
        <f>2400+4200+1500+10300-1300</f>
        <v>17100</v>
      </c>
      <c r="W796" s="979">
        <v>2500</v>
      </c>
      <c r="X796" s="979">
        <v>9000</v>
      </c>
      <c r="Y796" s="979">
        <f>2400+17900+4400</f>
        <v>24700</v>
      </c>
      <c r="Z796" s="979"/>
      <c r="AA796" s="979">
        <v>1500</v>
      </c>
      <c r="AB796" s="979">
        <v>4100</v>
      </c>
      <c r="AC796" s="979"/>
      <c r="AD796" s="979">
        <v>5900</v>
      </c>
      <c r="AE796" s="1109">
        <f t="shared" si="156"/>
        <v>131300</v>
      </c>
      <c r="AF796" s="1113">
        <v>3300</v>
      </c>
      <c r="AG796" s="981">
        <v>6400</v>
      </c>
      <c r="AH796" s="981">
        <v>4900</v>
      </c>
      <c r="AI796" s="1114">
        <f t="shared" si="157"/>
        <v>14600</v>
      </c>
      <c r="AJ796" s="1110">
        <f t="shared" si="158"/>
        <v>157600</v>
      </c>
      <c r="AK796" s="982">
        <f>'09월 에너지'!S796</f>
        <v>145.69999999999999</v>
      </c>
      <c r="AL796" s="983">
        <f t="shared" si="159"/>
        <v>0.92449238578680204</v>
      </c>
    </row>
    <row r="797" spans="1:38" ht="16.5" customHeight="1">
      <c r="A797" s="999">
        <f>'09월 에너지'!A797</f>
        <v>46294</v>
      </c>
      <c r="B797" s="1002">
        <f>'09월 조업일지'!B795</f>
        <v>46294</v>
      </c>
      <c r="C797" s="1003" t="str">
        <f>'09월 에너지'!C797</f>
        <v>B</v>
      </c>
      <c r="D797" s="1004" t="str">
        <f>'09월 에너지'!D797</f>
        <v>B</v>
      </c>
      <c r="E797" s="1000">
        <f>'09월 에너지'!E797</f>
        <v>85997</v>
      </c>
      <c r="F797" s="1094" t="str">
        <f>'09월 에너지'!F797</f>
        <v>SS400-05</v>
      </c>
      <c r="G797" s="980"/>
      <c r="H797" s="978"/>
      <c r="I797" s="978">
        <f>11100+3900</f>
        <v>15000</v>
      </c>
      <c r="J797" s="978"/>
      <c r="K797" s="978"/>
      <c r="L797" s="978"/>
      <c r="M797" s="978"/>
      <c r="N797" s="978"/>
      <c r="O797" s="1106">
        <f t="shared" si="155"/>
        <v>15000</v>
      </c>
      <c r="P797" s="1108">
        <f>3000+12600+7100+5200+9600</f>
        <v>37500</v>
      </c>
      <c r="Q797" s="979">
        <f>12400+5900</f>
        <v>18300</v>
      </c>
      <c r="R797" s="979">
        <v>8900</v>
      </c>
      <c r="S797" s="979"/>
      <c r="T797" s="979"/>
      <c r="U797" s="979">
        <v>3000</v>
      </c>
      <c r="V797" s="979">
        <f>1900+1500+1400+9500+6500</f>
        <v>20800</v>
      </c>
      <c r="W797" s="979">
        <v>2600</v>
      </c>
      <c r="X797" s="979">
        <v>8300</v>
      </c>
      <c r="Y797" s="979">
        <f>500+12300+2200+2700</f>
        <v>17700</v>
      </c>
      <c r="Z797" s="979"/>
      <c r="AA797" s="979">
        <v>2400</v>
      </c>
      <c r="AB797" s="979">
        <v>1600</v>
      </c>
      <c r="AC797" s="979"/>
      <c r="AD797" s="979">
        <v>3100</v>
      </c>
      <c r="AE797" s="1109">
        <f t="shared" si="156"/>
        <v>124200</v>
      </c>
      <c r="AF797" s="1113">
        <v>4300</v>
      </c>
      <c r="AG797" s="981">
        <v>10300</v>
      </c>
      <c r="AH797" s="981">
        <v>4500</v>
      </c>
      <c r="AI797" s="1114">
        <f t="shared" si="157"/>
        <v>19100</v>
      </c>
      <c r="AJ797" s="1110">
        <f t="shared" si="158"/>
        <v>158300</v>
      </c>
      <c r="AK797" s="982">
        <f>'09월 에너지'!S797</f>
        <v>145.30000000000001</v>
      </c>
      <c r="AL797" s="983">
        <f t="shared" si="159"/>
        <v>0.91787744788376502</v>
      </c>
    </row>
    <row r="798" spans="1:38" ht="16.5" customHeight="1">
      <c r="A798" s="999">
        <f>'09월 에너지'!A798</f>
        <v>46294</v>
      </c>
      <c r="B798" s="1002">
        <f>'09월 조업일지'!B796</f>
        <v>46294</v>
      </c>
      <c r="C798" s="1003" t="str">
        <f>'09월 에너지'!C798</f>
        <v>B</v>
      </c>
      <c r="D798" s="1004" t="str">
        <f>'09월 에너지'!D798</f>
        <v>A</v>
      </c>
      <c r="E798" s="1000">
        <f>'09월 에너지'!E798</f>
        <v>85998</v>
      </c>
      <c r="F798" s="1094" t="str">
        <f>'09월 에너지'!F798</f>
        <v>SS400-05</v>
      </c>
      <c r="G798" s="980"/>
      <c r="H798" s="978"/>
      <c r="I798" s="978">
        <f>6000+2400</f>
        <v>8400</v>
      </c>
      <c r="J798" s="978"/>
      <c r="K798" s="978"/>
      <c r="L798" s="978"/>
      <c r="M798" s="978"/>
      <c r="N798" s="978"/>
      <c r="O798" s="1106">
        <f t="shared" si="155"/>
        <v>8400</v>
      </c>
      <c r="P798" s="1108">
        <f>8600+10400+7800+4300+6700</f>
        <v>37800</v>
      </c>
      <c r="Q798" s="979">
        <f>13000+10300</f>
        <v>23300</v>
      </c>
      <c r="R798" s="979">
        <v>4900</v>
      </c>
      <c r="S798" s="979"/>
      <c r="T798" s="979"/>
      <c r="U798" s="979">
        <v>8100</v>
      </c>
      <c r="V798" s="979">
        <v>18700</v>
      </c>
      <c r="W798" s="979">
        <v>3500</v>
      </c>
      <c r="X798" s="979">
        <v>7900</v>
      </c>
      <c r="Y798" s="979">
        <f>1600+14000+4200</f>
        <v>19800</v>
      </c>
      <c r="Z798" s="979"/>
      <c r="AA798" s="979">
        <v>2600</v>
      </c>
      <c r="AB798" s="979">
        <v>1000</v>
      </c>
      <c r="AC798" s="979"/>
      <c r="AD798" s="979">
        <v>3600</v>
      </c>
      <c r="AE798" s="1109">
        <f t="shared" si="156"/>
        <v>131200</v>
      </c>
      <c r="AF798" s="1113">
        <v>3000</v>
      </c>
      <c r="AG798" s="981">
        <v>10600</v>
      </c>
      <c r="AH798" s="981">
        <v>6100</v>
      </c>
      <c r="AI798" s="1114">
        <f t="shared" si="157"/>
        <v>19700</v>
      </c>
      <c r="AJ798" s="1110">
        <f t="shared" si="158"/>
        <v>159300</v>
      </c>
      <c r="AK798" s="982">
        <f>'09월 에너지'!S798</f>
        <v>145.1</v>
      </c>
      <c r="AL798" s="983">
        <f t="shared" si="159"/>
        <v>0.91086001255492777</v>
      </c>
    </row>
    <row r="799" spans="1:38" ht="16.5" customHeight="1">
      <c r="A799" s="999">
        <f>'09월 에너지'!A799</f>
        <v>46294</v>
      </c>
      <c r="B799" s="1002">
        <f>'09월 조업일지'!B797</f>
        <v>46294</v>
      </c>
      <c r="C799" s="1003" t="str">
        <f>'09월 에너지'!C799</f>
        <v>B</v>
      </c>
      <c r="D799" s="1004" t="str">
        <f>'09월 에너지'!D799</f>
        <v>B</v>
      </c>
      <c r="E799" s="1000">
        <f>'09월 에너지'!E799</f>
        <v>85999</v>
      </c>
      <c r="F799" s="1094" t="str">
        <f>'09월 에너지'!F799</f>
        <v>SS400-05</v>
      </c>
      <c r="G799" s="980"/>
      <c r="H799" s="978"/>
      <c r="I799" s="978">
        <f>10900+4600</f>
        <v>15500</v>
      </c>
      <c r="J799" s="978"/>
      <c r="K799" s="978"/>
      <c r="L799" s="978"/>
      <c r="M799" s="978"/>
      <c r="N799" s="978"/>
      <c r="O799" s="1106">
        <f t="shared" si="155"/>
        <v>15500</v>
      </c>
      <c r="P799" s="1108">
        <f>8800+10000+13500+2000+2400</f>
        <v>36700</v>
      </c>
      <c r="Q799" s="979">
        <f>16300+7700</f>
        <v>24000</v>
      </c>
      <c r="R799" s="979">
        <v>4200</v>
      </c>
      <c r="S799" s="979"/>
      <c r="T799" s="979"/>
      <c r="U799" s="979">
        <v>2500</v>
      </c>
      <c r="V799" s="979">
        <f>4100+9600+4900+7200</f>
        <v>25800</v>
      </c>
      <c r="W799" s="979">
        <v>3300</v>
      </c>
      <c r="X799" s="979">
        <v>1300</v>
      </c>
      <c r="Y799" s="979">
        <f>1300+13300+3300</f>
        <v>17900</v>
      </c>
      <c r="Z799" s="979"/>
      <c r="AA799" s="979">
        <v>2200</v>
      </c>
      <c r="AB799" s="979">
        <v>1100</v>
      </c>
      <c r="AC799" s="979"/>
      <c r="AD799" s="979">
        <v>2900</v>
      </c>
      <c r="AE799" s="1109">
        <f t="shared" si="156"/>
        <v>121900</v>
      </c>
      <c r="AF799" s="1113">
        <v>3200</v>
      </c>
      <c r="AG799" s="981">
        <v>12200</v>
      </c>
      <c r="AH799" s="981">
        <v>5500</v>
      </c>
      <c r="AI799" s="1114">
        <f t="shared" si="157"/>
        <v>20900</v>
      </c>
      <c r="AJ799" s="1110">
        <f t="shared" si="158"/>
        <v>158300</v>
      </c>
      <c r="AK799" s="982">
        <f>'09월 에너지'!S799</f>
        <v>147.4</v>
      </c>
      <c r="AL799" s="983">
        <f t="shared" si="159"/>
        <v>0.93114339861023376</v>
      </c>
    </row>
    <row r="800" spans="1:38" ht="16.5" customHeight="1">
      <c r="A800" s="999">
        <f>'09월 에너지'!A800</f>
        <v>46294</v>
      </c>
      <c r="B800" s="1002">
        <f>'09월 조업일지'!B798</f>
        <v>46294</v>
      </c>
      <c r="C800" s="1003" t="str">
        <f>'09월 에너지'!C800</f>
        <v>B</v>
      </c>
      <c r="D800" s="1004" t="str">
        <f>'09월 에너지'!D800</f>
        <v>A</v>
      </c>
      <c r="E800" s="1000">
        <f>'09월 에너지'!E800</f>
        <v>86000</v>
      </c>
      <c r="F800" s="1094" t="str">
        <f>'09월 에너지'!F800</f>
        <v>SS400-05</v>
      </c>
      <c r="G800" s="980"/>
      <c r="H800" s="978"/>
      <c r="I800" s="978">
        <v>9400</v>
      </c>
      <c r="J800" s="978"/>
      <c r="K800" s="978"/>
      <c r="L800" s="978"/>
      <c r="M800" s="978"/>
      <c r="N800" s="978"/>
      <c r="O800" s="1106">
        <f t="shared" si="155"/>
        <v>9400</v>
      </c>
      <c r="P800" s="1108">
        <f>2500+6900+7800+3400+9500+5300</f>
        <v>35400</v>
      </c>
      <c r="Q800" s="979">
        <f>12900+11500</f>
        <v>24400</v>
      </c>
      <c r="R800" s="979">
        <v>5300</v>
      </c>
      <c r="S800" s="979"/>
      <c r="T800" s="979"/>
      <c r="U800" s="979">
        <v>4900</v>
      </c>
      <c r="V800" s="979">
        <f>5500+6100+1600+9900</f>
        <v>23100</v>
      </c>
      <c r="W800" s="979">
        <v>2800</v>
      </c>
      <c r="X800" s="979">
        <v>7600</v>
      </c>
      <c r="Y800" s="979">
        <f>1100+19200</f>
        <v>20300</v>
      </c>
      <c r="Z800" s="979"/>
      <c r="AA800" s="979">
        <v>2500</v>
      </c>
      <c r="AB800" s="979">
        <v>6300</v>
      </c>
      <c r="AC800" s="979"/>
      <c r="AD800" s="979">
        <v>2800</v>
      </c>
      <c r="AE800" s="1109">
        <f t="shared" si="156"/>
        <v>135400</v>
      </c>
      <c r="AF800" s="1113">
        <v>3900</v>
      </c>
      <c r="AG800" s="981">
        <v>6700</v>
      </c>
      <c r="AH800" s="981">
        <v>4300</v>
      </c>
      <c r="AI800" s="1114">
        <f t="shared" si="157"/>
        <v>14900</v>
      </c>
      <c r="AJ800" s="1110">
        <f t="shared" si="158"/>
        <v>159700</v>
      </c>
      <c r="AK800" s="982">
        <f>'09월 에너지'!S800</f>
        <v>145.30000000000001</v>
      </c>
      <c r="AL800" s="983">
        <f t="shared" si="159"/>
        <v>0.90983093299937379</v>
      </c>
    </row>
    <row r="801" spans="1:38" ht="16.5" customHeight="1">
      <c r="A801" s="999">
        <f>'09월 에너지'!A801</f>
        <v>46294</v>
      </c>
      <c r="B801" s="1002">
        <f>'09월 조업일지'!B799</f>
        <v>46294</v>
      </c>
      <c r="C801" s="1003" t="str">
        <f>'09월 에너지'!C801</f>
        <v>B</v>
      </c>
      <c r="D801" s="1004" t="str">
        <f>'09월 에너지'!D801</f>
        <v>B</v>
      </c>
      <c r="E801" s="1000">
        <f>'09월 에너지'!E801</f>
        <v>86001</v>
      </c>
      <c r="F801" s="1094" t="str">
        <f>'09월 에너지'!F801</f>
        <v>SS400-05</v>
      </c>
      <c r="G801" s="980"/>
      <c r="H801" s="978"/>
      <c r="I801" s="978">
        <f>8600+1800</f>
        <v>10400</v>
      </c>
      <c r="J801" s="978"/>
      <c r="K801" s="978"/>
      <c r="L801" s="978"/>
      <c r="M801" s="978"/>
      <c r="N801" s="978"/>
      <c r="O801" s="1106">
        <f t="shared" si="155"/>
        <v>10400</v>
      </c>
      <c r="P801" s="1108">
        <f>8700+15400+6600+6400+3300</f>
        <v>40400</v>
      </c>
      <c r="Q801" s="979">
        <f>11700+6500</f>
        <v>18200</v>
      </c>
      <c r="R801" s="979">
        <v>6300</v>
      </c>
      <c r="S801" s="979"/>
      <c r="T801" s="979"/>
      <c r="U801" s="979">
        <v>3500</v>
      </c>
      <c r="V801" s="979">
        <f>5200+8000+10900</f>
        <v>24100</v>
      </c>
      <c r="W801" s="979">
        <v>4600</v>
      </c>
      <c r="X801" s="979">
        <v>7500</v>
      </c>
      <c r="Y801" s="979">
        <f>4100+13600+3400-1100</f>
        <v>20000</v>
      </c>
      <c r="Z801" s="979"/>
      <c r="AA801" s="979">
        <v>3000</v>
      </c>
      <c r="AB801" s="979">
        <v>3600</v>
      </c>
      <c r="AC801" s="979"/>
      <c r="AD801" s="979">
        <v>2700</v>
      </c>
      <c r="AE801" s="1109">
        <f t="shared" si="156"/>
        <v>133900</v>
      </c>
      <c r="AF801" s="1113">
        <v>2300</v>
      </c>
      <c r="AG801" s="981">
        <v>8000</v>
      </c>
      <c r="AH801" s="981">
        <v>3800</v>
      </c>
      <c r="AI801" s="1114">
        <f t="shared" si="157"/>
        <v>14100</v>
      </c>
      <c r="AJ801" s="1110">
        <f t="shared" si="158"/>
        <v>158400</v>
      </c>
      <c r="AK801" s="982">
        <f>'09월 에너지'!S801</f>
        <v>145.30000000000001</v>
      </c>
      <c r="AL801" s="983">
        <f t="shared" si="159"/>
        <v>0.91729797979797978</v>
      </c>
    </row>
    <row r="802" spans="1:38" ht="16.5" customHeight="1">
      <c r="A802" s="999">
        <f>'09월 에너지'!A802</f>
        <v>46295</v>
      </c>
      <c r="B802" s="1002">
        <f>'09월 조업일지'!B800</f>
        <v>46294</v>
      </c>
      <c r="C802" s="1003" t="str">
        <f>'09월 에너지'!C802</f>
        <v>B</v>
      </c>
      <c r="D802" s="1004" t="str">
        <f>'09월 에너지'!D802</f>
        <v>A</v>
      </c>
      <c r="E802" s="1000">
        <f>'09월 에너지'!E802</f>
        <v>86002</v>
      </c>
      <c r="F802" s="1094" t="str">
        <f>'09월 에너지'!F802</f>
        <v>SS400-05</v>
      </c>
      <c r="G802" s="980"/>
      <c r="H802" s="978"/>
      <c r="I802" s="978">
        <v>2500</v>
      </c>
      <c r="J802" s="978"/>
      <c r="K802" s="978"/>
      <c r="L802" s="978"/>
      <c r="M802" s="978"/>
      <c r="N802" s="978"/>
      <c r="O802" s="1106">
        <f t="shared" si="155"/>
        <v>2500</v>
      </c>
      <c r="P802" s="1108">
        <f>3000+2100+7600+21100+11100</f>
        <v>44900</v>
      </c>
      <c r="Q802" s="979">
        <f>19700+9800</f>
        <v>29500</v>
      </c>
      <c r="R802" s="979"/>
      <c r="S802" s="979"/>
      <c r="T802" s="979"/>
      <c r="U802" s="979">
        <v>6900</v>
      </c>
      <c r="V802" s="979">
        <f>11300+9400</f>
        <v>20700</v>
      </c>
      <c r="W802" s="979">
        <v>3000</v>
      </c>
      <c r="X802" s="979">
        <v>8500</v>
      </c>
      <c r="Y802" s="979">
        <v>17300</v>
      </c>
      <c r="Z802" s="979"/>
      <c r="AA802" s="979">
        <v>2200</v>
      </c>
      <c r="AB802" s="979">
        <v>3700</v>
      </c>
      <c r="AC802" s="979"/>
      <c r="AD802" s="979">
        <v>1600</v>
      </c>
      <c r="AE802" s="1109">
        <f t="shared" si="156"/>
        <v>138300</v>
      </c>
      <c r="AF802" s="1113">
        <v>4100</v>
      </c>
      <c r="AG802" s="981">
        <v>6200</v>
      </c>
      <c r="AH802" s="981">
        <v>9500</v>
      </c>
      <c r="AI802" s="1114">
        <f t="shared" si="157"/>
        <v>19800</v>
      </c>
      <c r="AJ802" s="1110">
        <f t="shared" si="158"/>
        <v>160600</v>
      </c>
      <c r="AK802" s="982">
        <f>'09월 에너지'!S802</f>
        <v>145.69999999999999</v>
      </c>
      <c r="AL802" s="983">
        <f t="shared" si="159"/>
        <v>0.9072229140722291</v>
      </c>
    </row>
    <row r="803" spans="1:38" ht="16.5" customHeight="1">
      <c r="A803" s="999">
        <f>'09월 에너지'!A803</f>
        <v>46295</v>
      </c>
      <c r="B803" s="1002">
        <f>'09월 조업일지'!B801</f>
        <v>46294</v>
      </c>
      <c r="C803" s="1003" t="str">
        <f>'09월 에너지'!C803</f>
        <v>B</v>
      </c>
      <c r="D803" s="1004" t="str">
        <f>'09월 에너지'!D803</f>
        <v>B</v>
      </c>
      <c r="E803" s="1000">
        <f>'09월 에너지'!E803</f>
        <v>86003</v>
      </c>
      <c r="F803" s="1094" t="str">
        <f>'09월 에너지'!F803</f>
        <v>SS400-05</v>
      </c>
      <c r="G803" s="980"/>
      <c r="H803" s="978"/>
      <c r="I803" s="978">
        <f>8800+4900</f>
        <v>13700</v>
      </c>
      <c r="J803" s="978"/>
      <c r="K803" s="978"/>
      <c r="L803" s="978"/>
      <c r="M803" s="978"/>
      <c r="N803" s="978"/>
      <c r="O803" s="1106">
        <f t="shared" si="155"/>
        <v>13700</v>
      </c>
      <c r="P803" s="1108">
        <f>16200+7600+10800+5300+7400</f>
        <v>47300</v>
      </c>
      <c r="Q803" s="979">
        <f>12400+5400</f>
        <v>17800</v>
      </c>
      <c r="R803" s="979">
        <v>3300</v>
      </c>
      <c r="S803" s="979"/>
      <c r="T803" s="979"/>
      <c r="U803" s="979">
        <v>8100</v>
      </c>
      <c r="V803" s="979">
        <f>2000+3300+3100+8200</f>
        <v>16600</v>
      </c>
      <c r="W803" s="979">
        <v>2200</v>
      </c>
      <c r="X803" s="979">
        <v>5300</v>
      </c>
      <c r="Y803" s="979">
        <f>2700+12400+4100</f>
        <v>19200</v>
      </c>
      <c r="Z803" s="979"/>
      <c r="AA803" s="979">
        <v>5000</v>
      </c>
      <c r="AB803" s="979">
        <v>500</v>
      </c>
      <c r="AC803" s="979"/>
      <c r="AD803" s="979">
        <v>3300</v>
      </c>
      <c r="AE803" s="1109">
        <f t="shared" si="156"/>
        <v>128600</v>
      </c>
      <c r="AF803" s="1113">
        <v>3700</v>
      </c>
      <c r="AG803" s="981">
        <v>8900</v>
      </c>
      <c r="AH803" s="981">
        <v>3800</v>
      </c>
      <c r="AI803" s="1114">
        <f t="shared" si="157"/>
        <v>16400</v>
      </c>
      <c r="AJ803" s="1110">
        <f t="shared" si="158"/>
        <v>158700</v>
      </c>
      <c r="AK803" s="982">
        <f>'09월 에너지'!S803</f>
        <v>146.80000000000001</v>
      </c>
      <c r="AL803" s="983">
        <f t="shared" si="159"/>
        <v>0.92501575299306871</v>
      </c>
    </row>
    <row r="804" spans="1:38" ht="16.5" customHeight="1">
      <c r="A804" s="999">
        <f>'09월 에너지'!A804</f>
        <v>46295</v>
      </c>
      <c r="B804" s="1002">
        <f>'09월 조업일지'!B802</f>
        <v>46294</v>
      </c>
      <c r="C804" s="1003" t="str">
        <f>'09월 에너지'!C804</f>
        <v>B</v>
      </c>
      <c r="D804" s="1004" t="str">
        <f>'09월 에너지'!D804</f>
        <v>A</v>
      </c>
      <c r="E804" s="1000">
        <f>'09월 에너지'!E804</f>
        <v>86004</v>
      </c>
      <c r="F804" s="1094" t="str">
        <f>'09월 에너지'!F804</f>
        <v>SS400-05</v>
      </c>
      <c r="G804" s="980"/>
      <c r="H804" s="978"/>
      <c r="I804" s="978">
        <v>12000</v>
      </c>
      <c r="J804" s="978"/>
      <c r="K804" s="978"/>
      <c r="L804" s="978"/>
      <c r="M804" s="978"/>
      <c r="N804" s="978"/>
      <c r="O804" s="1106">
        <f t="shared" si="155"/>
        <v>12000</v>
      </c>
      <c r="P804" s="1108">
        <f>10200+5400+8300+2400+100</f>
        <v>26400</v>
      </c>
      <c r="Q804" s="979">
        <f>15300+24100</f>
        <v>39400</v>
      </c>
      <c r="R804" s="979">
        <v>2900</v>
      </c>
      <c r="S804" s="979"/>
      <c r="T804" s="979"/>
      <c r="U804" s="979">
        <v>9300</v>
      </c>
      <c r="V804" s="979">
        <f>2200+600+10100</f>
        <v>12900</v>
      </c>
      <c r="W804" s="979">
        <v>800</v>
      </c>
      <c r="X804" s="979">
        <v>9400</v>
      </c>
      <c r="Y804" s="979">
        <f>4500+11200+4400</f>
        <v>20100</v>
      </c>
      <c r="Z804" s="979"/>
      <c r="AA804" s="979">
        <v>2800</v>
      </c>
      <c r="AB804" s="979">
        <v>3200</v>
      </c>
      <c r="AC804" s="979"/>
      <c r="AD804" s="979">
        <v>8000</v>
      </c>
      <c r="AE804" s="1109">
        <f t="shared" si="156"/>
        <v>135200</v>
      </c>
      <c r="AF804" s="1113">
        <v>4400</v>
      </c>
      <c r="AG804" s="981">
        <v>3900</v>
      </c>
      <c r="AH804" s="981">
        <v>3500</v>
      </c>
      <c r="AI804" s="1114">
        <f t="shared" si="157"/>
        <v>11800</v>
      </c>
      <c r="AJ804" s="1110">
        <f t="shared" si="158"/>
        <v>159000</v>
      </c>
      <c r="AK804" s="982">
        <f>'09월 에너지'!S804</f>
        <v>146.4</v>
      </c>
      <c r="AL804" s="983">
        <f t="shared" si="159"/>
        <v>0.92075471698113209</v>
      </c>
    </row>
    <row r="805" spans="1:38" ht="16.5" customHeight="1">
      <c r="A805" s="999">
        <f>'09월 에너지'!A805</f>
        <v>46295</v>
      </c>
      <c r="B805" s="1002">
        <f>'09월 조업일지'!B803</f>
        <v>46294</v>
      </c>
      <c r="C805" s="1003" t="str">
        <f>'09월 에너지'!C805</f>
        <v>B</v>
      </c>
      <c r="D805" s="1004" t="str">
        <f>'09월 에너지'!D805</f>
        <v>B</v>
      </c>
      <c r="E805" s="1000">
        <f>'09월 에너지'!E805</f>
        <v>86005</v>
      </c>
      <c r="F805" s="1094" t="str">
        <f>'09월 에너지'!F805</f>
        <v>SS400-05</v>
      </c>
      <c r="G805" s="980"/>
      <c r="H805" s="978"/>
      <c r="I805" s="978">
        <f>1000+3600</f>
        <v>4600</v>
      </c>
      <c r="J805" s="978"/>
      <c r="K805" s="978"/>
      <c r="L805" s="978"/>
      <c r="M805" s="978"/>
      <c r="N805" s="978"/>
      <c r="O805" s="1106">
        <f t="shared" si="155"/>
        <v>4600</v>
      </c>
      <c r="P805" s="1108">
        <f>5700+20300+5300+6100+7200</f>
        <v>44600</v>
      </c>
      <c r="Q805" s="979">
        <f>11500+7300</f>
        <v>18800</v>
      </c>
      <c r="R805" s="979">
        <v>4500</v>
      </c>
      <c r="S805" s="979"/>
      <c r="T805" s="979"/>
      <c r="U805" s="979">
        <v>3000</v>
      </c>
      <c r="V805" s="979">
        <f>2800+2100+2800+9800</f>
        <v>17500</v>
      </c>
      <c r="W805" s="979">
        <v>5000</v>
      </c>
      <c r="X805" s="979">
        <v>8100</v>
      </c>
      <c r="Y805" s="979">
        <f>300+15200+3800</f>
        <v>19300</v>
      </c>
      <c r="Z805" s="979"/>
      <c r="AA805" s="979">
        <v>11500</v>
      </c>
      <c r="AB805" s="979">
        <v>6100</v>
      </c>
      <c r="AC805" s="979"/>
      <c r="AD805" s="979">
        <v>2200</v>
      </c>
      <c r="AE805" s="1109">
        <f t="shared" si="156"/>
        <v>140600</v>
      </c>
      <c r="AF805" s="1113">
        <v>2500</v>
      </c>
      <c r="AG805" s="981">
        <v>6000</v>
      </c>
      <c r="AH805" s="981">
        <v>4500</v>
      </c>
      <c r="AI805" s="1114">
        <f t="shared" si="157"/>
        <v>13000</v>
      </c>
      <c r="AJ805" s="1110">
        <f t="shared" si="158"/>
        <v>158200</v>
      </c>
      <c r="AK805" s="982">
        <f>'09월 에너지'!S805</f>
        <v>144.69999999999999</v>
      </c>
      <c r="AL805" s="983">
        <f t="shared" si="159"/>
        <v>0.91466498103666249</v>
      </c>
    </row>
    <row r="806" spans="1:38" ht="16.5" customHeight="1">
      <c r="A806" s="999">
        <f>'09월 에너지'!A806</f>
        <v>46295</v>
      </c>
      <c r="B806" s="1002">
        <f>'09월 조업일지'!B804</f>
        <v>46295</v>
      </c>
      <c r="C806" s="1003" t="str">
        <f>'09월 에너지'!C806</f>
        <v>C</v>
      </c>
      <c r="D806" s="1004" t="str">
        <f>'09월 에너지'!D806</f>
        <v>A</v>
      </c>
      <c r="E806" s="1000">
        <f>'09월 에너지'!E806</f>
        <v>86006</v>
      </c>
      <c r="F806" s="1094" t="str">
        <f>'09월 에너지'!F806</f>
        <v>SS400-05</v>
      </c>
      <c r="G806" s="980"/>
      <c r="H806" s="978"/>
      <c r="I806" s="978">
        <f>8100+4100</f>
        <v>12200</v>
      </c>
      <c r="J806" s="978"/>
      <c r="K806" s="978"/>
      <c r="L806" s="978"/>
      <c r="M806" s="978"/>
      <c r="N806" s="978"/>
      <c r="O806" s="1106">
        <f t="shared" si="155"/>
        <v>12200</v>
      </c>
      <c r="P806" s="1108">
        <f>5700+8700+7200+1900+5900</f>
        <v>29400</v>
      </c>
      <c r="Q806" s="979">
        <f>12900+10600</f>
        <v>23500</v>
      </c>
      <c r="R806" s="979">
        <v>8400</v>
      </c>
      <c r="S806" s="979"/>
      <c r="T806" s="979"/>
      <c r="U806" s="979">
        <v>8800</v>
      </c>
      <c r="V806" s="979">
        <f>8300+7000+1300+9500</f>
        <v>26100</v>
      </c>
      <c r="W806" s="979">
        <v>3100</v>
      </c>
      <c r="X806" s="979">
        <v>8200</v>
      </c>
      <c r="Y806" s="979">
        <f>300+10700</f>
        <v>11000</v>
      </c>
      <c r="Z806" s="979"/>
      <c r="AA806" s="979">
        <v>1700</v>
      </c>
      <c r="AB806" s="979">
        <v>1800</v>
      </c>
      <c r="AC806" s="979"/>
      <c r="AD806" s="979">
        <v>500</v>
      </c>
      <c r="AE806" s="1109">
        <f t="shared" si="156"/>
        <v>122500</v>
      </c>
      <c r="AF806" s="1113">
        <v>4400</v>
      </c>
      <c r="AG806" s="981">
        <v>12800</v>
      </c>
      <c r="AH806" s="981">
        <v>5600</v>
      </c>
      <c r="AI806" s="1114">
        <f t="shared" si="157"/>
        <v>22800</v>
      </c>
      <c r="AJ806" s="1110">
        <f t="shared" si="158"/>
        <v>157500</v>
      </c>
      <c r="AK806" s="982">
        <f>'09월 에너지'!S806</f>
        <v>144.30000000000001</v>
      </c>
      <c r="AL806" s="983">
        <f t="shared" si="159"/>
        <v>0.91619047619047622</v>
      </c>
    </row>
    <row r="807" spans="1:38" ht="16.5" customHeight="1">
      <c r="A807" s="999">
        <f>'09월 에너지'!A807</f>
        <v>46295</v>
      </c>
      <c r="B807" s="1002">
        <f>'09월 조업일지'!B805</f>
        <v>46295</v>
      </c>
      <c r="C807" s="1003" t="str">
        <f>'09월 에너지'!C807</f>
        <v>C</v>
      </c>
      <c r="D807" s="1004" t="str">
        <f>'09월 에너지'!D807</f>
        <v>B</v>
      </c>
      <c r="E807" s="1000">
        <f>'09월 에너지'!E807</f>
        <v>86007</v>
      </c>
      <c r="F807" s="1094" t="str">
        <f>'09월 에너지'!F807</f>
        <v>SS400-05</v>
      </c>
      <c r="G807" s="980"/>
      <c r="H807" s="978"/>
      <c r="I807" s="978">
        <f>9000+8800</f>
        <v>17800</v>
      </c>
      <c r="J807" s="978"/>
      <c r="K807" s="978"/>
      <c r="L807" s="978"/>
      <c r="M807" s="978"/>
      <c r="N807" s="978"/>
      <c r="O807" s="1106">
        <f t="shared" si="155"/>
        <v>17800</v>
      </c>
      <c r="P807" s="1108">
        <f>8600+11400+8400+4200+5900</f>
        <v>38500</v>
      </c>
      <c r="Q807" s="979">
        <f>16900+6800</f>
        <v>23700</v>
      </c>
      <c r="R807" s="979">
        <v>2700</v>
      </c>
      <c r="S807" s="979"/>
      <c r="T807" s="979"/>
      <c r="U807" s="979">
        <v>9300</v>
      </c>
      <c r="V807" s="979">
        <f>5100+4800+2500+9100</f>
        <v>21500</v>
      </c>
      <c r="W807" s="979">
        <v>1300</v>
      </c>
      <c r="X807" s="979">
        <v>8300</v>
      </c>
      <c r="Y807" s="979">
        <f>1900+11900+100</f>
        <v>13900</v>
      </c>
      <c r="Z807" s="979"/>
      <c r="AA807" s="979">
        <v>2800</v>
      </c>
      <c r="AB807" s="979">
        <v>1000</v>
      </c>
      <c r="AC807" s="979"/>
      <c r="AD807" s="979">
        <v>3300</v>
      </c>
      <c r="AE807" s="1109">
        <f t="shared" si="156"/>
        <v>126300</v>
      </c>
      <c r="AF807" s="1113">
        <v>3600</v>
      </c>
      <c r="AG807" s="981">
        <v>7500</v>
      </c>
      <c r="AH807" s="981">
        <v>4300</v>
      </c>
      <c r="AI807" s="1114">
        <f t="shared" si="157"/>
        <v>15400</v>
      </c>
      <c r="AJ807" s="1110">
        <f t="shared" si="158"/>
        <v>159500</v>
      </c>
      <c r="AK807" s="982">
        <f>'09월 에너지'!S807</f>
        <v>145.19999999999999</v>
      </c>
      <c r="AL807" s="983">
        <f t="shared" si="159"/>
        <v>0.91034482758620694</v>
      </c>
    </row>
    <row r="808" spans="1:38" ht="16.5" customHeight="1">
      <c r="A808" s="999">
        <f>'09월 에너지'!A808</f>
        <v>46295</v>
      </c>
      <c r="B808" s="1002">
        <f>'09월 조업일지'!B806</f>
        <v>46295</v>
      </c>
      <c r="C808" s="1003" t="str">
        <f>'09월 에너지'!C808</f>
        <v>C</v>
      </c>
      <c r="D808" s="1004" t="str">
        <f>'09월 에너지'!D808</f>
        <v>A</v>
      </c>
      <c r="E808" s="1000">
        <f>'09월 에너지'!E808</f>
        <v>86008</v>
      </c>
      <c r="F808" s="1094" t="str">
        <f>'09월 에너지'!F808</f>
        <v>SS400-05</v>
      </c>
      <c r="G808" s="980"/>
      <c r="H808" s="978"/>
      <c r="I808" s="978">
        <f>11600+7400</f>
        <v>19000</v>
      </c>
      <c r="J808" s="978"/>
      <c r="K808" s="978"/>
      <c r="L808" s="978"/>
      <c r="M808" s="978"/>
      <c r="N808" s="978"/>
      <c r="O808" s="1106">
        <f t="shared" si="155"/>
        <v>19000</v>
      </c>
      <c r="P808" s="1108">
        <f>5100+5600+7100+2000+6700</f>
        <v>26500</v>
      </c>
      <c r="Q808" s="979">
        <f>9900+6500</f>
        <v>16400</v>
      </c>
      <c r="R808" s="979">
        <v>3500</v>
      </c>
      <c r="S808" s="979"/>
      <c r="T808" s="979"/>
      <c r="U808" s="979">
        <v>5500</v>
      </c>
      <c r="V808" s="979">
        <f>9900+7100+3000+9000</f>
        <v>29000</v>
      </c>
      <c r="W808" s="979">
        <v>2700</v>
      </c>
      <c r="X808" s="979">
        <v>8900</v>
      </c>
      <c r="Y808" s="979">
        <f>6900+13100</f>
        <v>20000</v>
      </c>
      <c r="Z808" s="979"/>
      <c r="AA808" s="979">
        <v>3600</v>
      </c>
      <c r="AB808" s="979">
        <v>5900</v>
      </c>
      <c r="AC808" s="979"/>
      <c r="AD808" s="979">
        <v>800</v>
      </c>
      <c r="AE808" s="1109">
        <f t="shared" si="156"/>
        <v>122800</v>
      </c>
      <c r="AF808" s="1113">
        <v>3600</v>
      </c>
      <c r="AG808" s="981">
        <v>5500</v>
      </c>
      <c r="AH808" s="981">
        <v>7000</v>
      </c>
      <c r="AI808" s="1114">
        <f t="shared" si="157"/>
        <v>16100</v>
      </c>
      <c r="AJ808" s="1110">
        <f t="shared" si="158"/>
        <v>157900</v>
      </c>
      <c r="AK808" s="982">
        <f>'09월 에너지'!S808</f>
        <v>143.30000000000001</v>
      </c>
      <c r="AL808" s="983">
        <f t="shared" si="159"/>
        <v>0.90753641545281827</v>
      </c>
    </row>
    <row r="809" spans="1:38" ht="16.5" customHeight="1">
      <c r="A809" s="999">
        <f>'09월 에너지'!A809</f>
        <v>46295</v>
      </c>
      <c r="B809" s="1002">
        <f>'09월 조업일지'!B807</f>
        <v>46295</v>
      </c>
      <c r="C809" s="1003" t="str">
        <f>'09월 에너지'!C809</f>
        <v>C</v>
      </c>
      <c r="D809" s="1004" t="str">
        <f>'09월 에너지'!D809</f>
        <v>B</v>
      </c>
      <c r="E809" s="1000">
        <f>'09월 에너지'!E809</f>
        <v>86009</v>
      </c>
      <c r="F809" s="1094" t="str">
        <f>'09월 에너지'!F809</f>
        <v>SS400-05</v>
      </c>
      <c r="G809" s="980"/>
      <c r="H809" s="978"/>
      <c r="I809" s="978">
        <f>8900+9400</f>
        <v>18300</v>
      </c>
      <c r="J809" s="978"/>
      <c r="K809" s="978"/>
      <c r="L809" s="978"/>
      <c r="M809" s="978"/>
      <c r="N809" s="978"/>
      <c r="O809" s="1106">
        <f t="shared" si="155"/>
        <v>18300</v>
      </c>
      <c r="P809" s="1108">
        <f>9700+21400+7600+3600+8000</f>
        <v>50300</v>
      </c>
      <c r="Q809" s="979">
        <f>3500+6900</f>
        <v>10400</v>
      </c>
      <c r="R809" s="979">
        <v>2400</v>
      </c>
      <c r="S809" s="979"/>
      <c r="T809" s="979"/>
      <c r="U809" s="979">
        <v>2300</v>
      </c>
      <c r="V809" s="979">
        <f>4900+2200+2200+9200</f>
        <v>18500</v>
      </c>
      <c r="W809" s="979">
        <v>2700</v>
      </c>
      <c r="X809" s="979">
        <v>8600</v>
      </c>
      <c r="Y809" s="979">
        <f>4000+100+17900</f>
        <v>22000</v>
      </c>
      <c r="Z809" s="979"/>
      <c r="AA809" s="979">
        <v>2400</v>
      </c>
      <c r="AB809" s="979">
        <v>900</v>
      </c>
      <c r="AC809" s="979"/>
      <c r="AD809" s="979">
        <v>2000</v>
      </c>
      <c r="AE809" s="1109">
        <f t="shared" si="156"/>
        <v>122500</v>
      </c>
      <c r="AF809" s="1113">
        <v>4400</v>
      </c>
      <c r="AG809" s="981">
        <v>8600</v>
      </c>
      <c r="AH809" s="981">
        <v>5200</v>
      </c>
      <c r="AI809" s="1114">
        <f t="shared" si="157"/>
        <v>18200</v>
      </c>
      <c r="AJ809" s="1110">
        <f t="shared" si="158"/>
        <v>159000</v>
      </c>
      <c r="AK809" s="982">
        <f>'09월 에너지'!S809</f>
        <v>145.1</v>
      </c>
      <c r="AL809" s="983">
        <f t="shared" si="159"/>
        <v>0.91257861635220128</v>
      </c>
    </row>
    <row r="810" spans="1:38" ht="16.5" customHeight="1">
      <c r="A810" s="999">
        <f>'09월 에너지'!A810</f>
        <v>46295</v>
      </c>
      <c r="B810" s="1002">
        <f>'09월 조업일지'!B808</f>
        <v>46295</v>
      </c>
      <c r="C810" s="1003" t="str">
        <f>'09월 에너지'!C810</f>
        <v>C</v>
      </c>
      <c r="D810" s="1004" t="str">
        <f>'09월 에너지'!D810</f>
        <v>A</v>
      </c>
      <c r="E810" s="1000">
        <f>'09월 에너지'!E810</f>
        <v>86010</v>
      </c>
      <c r="F810" s="1094" t="str">
        <f>'09월 에너지'!F810</f>
        <v>SS400-05</v>
      </c>
      <c r="G810" s="980"/>
      <c r="H810" s="978"/>
      <c r="I810" s="978">
        <f>19200+7400</f>
        <v>26600</v>
      </c>
      <c r="J810" s="978"/>
      <c r="K810" s="978"/>
      <c r="L810" s="978"/>
      <c r="M810" s="978"/>
      <c r="N810" s="978"/>
      <c r="O810" s="1106">
        <f t="shared" si="155"/>
        <v>26600</v>
      </c>
      <c r="P810" s="1108">
        <f>10500+12600+7200+2000+8100</f>
        <v>40400</v>
      </c>
      <c r="Q810" s="979">
        <f>13400+800</f>
        <v>14200</v>
      </c>
      <c r="R810" s="979">
        <v>4200</v>
      </c>
      <c r="S810" s="979"/>
      <c r="T810" s="979"/>
      <c r="U810" s="979">
        <v>1500</v>
      </c>
      <c r="V810" s="979">
        <f>4700+6100+2800+8600</f>
        <v>22200</v>
      </c>
      <c r="W810" s="979">
        <v>3800</v>
      </c>
      <c r="X810" s="979">
        <v>8400</v>
      </c>
      <c r="Y810" s="979">
        <f>6200+4200+5600</f>
        <v>16000</v>
      </c>
      <c r="Z810" s="979"/>
      <c r="AA810" s="979">
        <v>1900</v>
      </c>
      <c r="AB810" s="979">
        <v>1700</v>
      </c>
      <c r="AC810" s="979"/>
      <c r="AD810" s="979">
        <v>2100</v>
      </c>
      <c r="AE810" s="1109">
        <f t="shared" si="156"/>
        <v>116400</v>
      </c>
      <c r="AF810" s="1113">
        <v>4000</v>
      </c>
      <c r="AG810" s="981">
        <v>6200</v>
      </c>
      <c r="AH810" s="981">
        <v>5300</v>
      </c>
      <c r="AI810" s="1114">
        <f t="shared" si="157"/>
        <v>15500</v>
      </c>
      <c r="AJ810" s="1110">
        <f t="shared" si="158"/>
        <v>158500</v>
      </c>
      <c r="AK810" s="982">
        <f>'09월 에너지'!S810</f>
        <v>144.80000000000001</v>
      </c>
      <c r="AL810" s="983">
        <f t="shared" si="159"/>
        <v>0.91356466876971609</v>
      </c>
    </row>
    <row r="811" spans="1:38" ht="16.5" customHeight="1">
      <c r="A811" s="999">
        <f>'09월 에너지'!A811</f>
        <v>46295</v>
      </c>
      <c r="B811" s="1002">
        <f>'09월 조업일지'!B809</f>
        <v>46295</v>
      </c>
      <c r="C811" s="1003" t="str">
        <f>'09월 에너지'!C811</f>
        <v>C</v>
      </c>
      <c r="D811" s="1004" t="str">
        <f>'09월 에너지'!D811</f>
        <v>B</v>
      </c>
      <c r="E811" s="1000">
        <f>'09월 에너지'!E811</f>
        <v>86011</v>
      </c>
      <c r="F811" s="1094" t="str">
        <f>'09월 에너지'!F811</f>
        <v>SS400-05</v>
      </c>
      <c r="G811" s="980"/>
      <c r="H811" s="978"/>
      <c r="I811" s="978">
        <f>7600+4500</f>
        <v>12100</v>
      </c>
      <c r="J811" s="978"/>
      <c r="K811" s="978"/>
      <c r="L811" s="978"/>
      <c r="M811" s="978"/>
      <c r="N811" s="978"/>
      <c r="O811" s="1106">
        <f t="shared" si="155"/>
        <v>12100</v>
      </c>
      <c r="P811" s="1108">
        <f>10100+11400+6400+4500+6500</f>
        <v>38900</v>
      </c>
      <c r="Q811" s="979">
        <f>4500+5000</f>
        <v>9500</v>
      </c>
      <c r="R811" s="979">
        <v>8300</v>
      </c>
      <c r="S811" s="979"/>
      <c r="T811" s="979"/>
      <c r="U811" s="979">
        <v>8800</v>
      </c>
      <c r="V811" s="979">
        <f>4800+5200+1400+9400</f>
        <v>20800</v>
      </c>
      <c r="W811" s="979">
        <v>4100</v>
      </c>
      <c r="X811" s="979">
        <v>8600</v>
      </c>
      <c r="Y811" s="979">
        <f>3900+15000+4100</f>
        <v>23000</v>
      </c>
      <c r="Z811" s="979"/>
      <c r="AA811" s="979">
        <v>1800</v>
      </c>
      <c r="AB811" s="979">
        <v>2000</v>
      </c>
      <c r="AC811" s="979"/>
      <c r="AD811" s="979">
        <v>1200</v>
      </c>
      <c r="AE811" s="1109">
        <f t="shared" si="156"/>
        <v>127000</v>
      </c>
      <c r="AF811" s="1113">
        <v>4900</v>
      </c>
      <c r="AG811" s="981">
        <v>12100</v>
      </c>
      <c r="AH811" s="981">
        <v>3500</v>
      </c>
      <c r="AI811" s="1114">
        <f t="shared" si="157"/>
        <v>20500</v>
      </c>
      <c r="AJ811" s="1110">
        <f t="shared" si="158"/>
        <v>159600</v>
      </c>
      <c r="AK811" s="982">
        <f>'09월 에너지'!S811</f>
        <v>145.19999999999999</v>
      </c>
      <c r="AL811" s="983">
        <f t="shared" si="159"/>
        <v>0.90977443609022557</v>
      </c>
    </row>
    <row r="812" spans="1:38" ht="16.5" customHeight="1">
      <c r="A812" s="999">
        <f>'09월 에너지'!A812</f>
        <v>46295</v>
      </c>
      <c r="B812" s="1002">
        <f>'09월 조업일지'!B810</f>
        <v>46295</v>
      </c>
      <c r="C812" s="1003" t="str">
        <f>'09월 에너지'!C812</f>
        <v>C</v>
      </c>
      <c r="D812" s="1004" t="str">
        <f>'09월 에너지'!D812</f>
        <v>A</v>
      </c>
      <c r="E812" s="1000">
        <f>'09월 에너지'!E812</f>
        <v>86012</v>
      </c>
      <c r="F812" s="1094" t="str">
        <f>'09월 에너지'!F812</f>
        <v>SS400-05</v>
      </c>
      <c r="G812" s="980"/>
      <c r="H812" s="978"/>
      <c r="I812" s="978">
        <f>13500+8900</f>
        <v>22400</v>
      </c>
      <c r="J812" s="978"/>
      <c r="K812" s="978"/>
      <c r="L812" s="978"/>
      <c r="M812" s="978"/>
      <c r="N812" s="978"/>
      <c r="O812" s="1106">
        <f t="shared" si="155"/>
        <v>22400</v>
      </c>
      <c r="P812" s="1108">
        <f>3100+18300+7000+4500+3300</f>
        <v>36200</v>
      </c>
      <c r="Q812" s="979">
        <f>8800+7900</f>
        <v>16700</v>
      </c>
      <c r="R812" s="979">
        <v>3200</v>
      </c>
      <c r="S812" s="979"/>
      <c r="T812" s="979"/>
      <c r="U812" s="979">
        <v>3000</v>
      </c>
      <c r="V812" s="979">
        <f>6100+2400+2400+8500</f>
        <v>19400</v>
      </c>
      <c r="W812" s="979">
        <v>3600</v>
      </c>
      <c r="X812" s="979">
        <v>8100</v>
      </c>
      <c r="Y812" s="979">
        <f>8600+6000+1700</f>
        <v>16300</v>
      </c>
      <c r="Z812" s="979"/>
      <c r="AA812" s="979">
        <v>8400</v>
      </c>
      <c r="AB812" s="979">
        <v>300</v>
      </c>
      <c r="AC812" s="979"/>
      <c r="AD812" s="979">
        <v>4600</v>
      </c>
      <c r="AE812" s="1109">
        <f t="shared" si="156"/>
        <v>119800</v>
      </c>
      <c r="AF812" s="1113">
        <v>5000</v>
      </c>
      <c r="AG812" s="981">
        <v>8000</v>
      </c>
      <c r="AH812" s="981">
        <v>2700</v>
      </c>
      <c r="AI812" s="1114">
        <f t="shared" si="157"/>
        <v>15700</v>
      </c>
      <c r="AJ812" s="1110">
        <f t="shared" si="158"/>
        <v>157900</v>
      </c>
      <c r="AK812" s="982">
        <f>'09월 에너지'!S812</f>
        <v>145.69999999999999</v>
      </c>
      <c r="AL812" s="983">
        <f t="shared" si="159"/>
        <v>0.92273590880303991</v>
      </c>
    </row>
    <row r="813" spans="1:38" ht="16.5" customHeight="1">
      <c r="A813" s="999">
        <f>'09월 에너지'!A813</f>
        <v>46295</v>
      </c>
      <c r="B813" s="1002">
        <f>'09월 조업일지'!B811</f>
        <v>46295</v>
      </c>
      <c r="C813" s="1003" t="str">
        <f>'09월 에너지'!C813</f>
        <v>C</v>
      </c>
      <c r="D813" s="1004" t="str">
        <f>'09월 에너지'!D813</f>
        <v>B</v>
      </c>
      <c r="E813" s="1000">
        <f>'09월 에너지'!E813</f>
        <v>86013</v>
      </c>
      <c r="F813" s="1094" t="str">
        <f>'09월 에너지'!F813</f>
        <v>SS400-05</v>
      </c>
      <c r="G813" s="980"/>
      <c r="H813" s="978"/>
      <c r="I813" s="978">
        <f>15800+8200</f>
        <v>24000</v>
      </c>
      <c r="J813" s="978"/>
      <c r="K813" s="978"/>
      <c r="L813" s="978"/>
      <c r="M813" s="978"/>
      <c r="N813" s="978"/>
      <c r="O813" s="1106">
        <f t="shared" si="155"/>
        <v>24000</v>
      </c>
      <c r="P813" s="1108">
        <f>7600+12000+7100+5200+4900</f>
        <v>36800</v>
      </c>
      <c r="Q813" s="979">
        <f>7700+6200</f>
        <v>13900</v>
      </c>
      <c r="R813" s="979">
        <v>3300</v>
      </c>
      <c r="S813" s="979"/>
      <c r="T813" s="979"/>
      <c r="U813" s="979">
        <v>2100</v>
      </c>
      <c r="V813" s="979">
        <f>2400+4400+2500+9000</f>
        <v>18300</v>
      </c>
      <c r="W813" s="979">
        <v>3800</v>
      </c>
      <c r="X813" s="979">
        <v>7900</v>
      </c>
      <c r="Y813" s="979">
        <f>3700+9900+1000</f>
        <v>14600</v>
      </c>
      <c r="Z813" s="979"/>
      <c r="AA813" s="979">
        <v>3000</v>
      </c>
      <c r="AB813" s="979">
        <v>100</v>
      </c>
      <c r="AC813" s="979"/>
      <c r="AD813" s="979">
        <v>2100</v>
      </c>
      <c r="AE813" s="1109">
        <f t="shared" si="156"/>
        <v>105900</v>
      </c>
      <c r="AF813" s="1113">
        <v>4000</v>
      </c>
      <c r="AG813" s="981">
        <v>12300</v>
      </c>
      <c r="AH813" s="981">
        <v>12200</v>
      </c>
      <c r="AI813" s="1114">
        <f t="shared" si="157"/>
        <v>28500</v>
      </c>
      <c r="AJ813" s="1110">
        <f t="shared" si="158"/>
        <v>158400</v>
      </c>
      <c r="AK813" s="982">
        <f>'09월 에너지'!S813</f>
        <v>147.69999999999999</v>
      </c>
      <c r="AL813" s="983">
        <f t="shared" si="159"/>
        <v>0.93244949494949492</v>
      </c>
    </row>
    <row r="814" spans="1:38" ht="16.5" customHeight="1">
      <c r="A814" s="999">
        <f>'09월 에너지'!A814</f>
        <v>46295</v>
      </c>
      <c r="B814" s="1002">
        <f>'09월 조업일지'!B812</f>
        <v>46295</v>
      </c>
      <c r="C814" s="1003" t="str">
        <f>'09월 에너지'!C814</f>
        <v>C</v>
      </c>
      <c r="D814" s="1004" t="str">
        <f>'09월 에너지'!D814</f>
        <v>A</v>
      </c>
      <c r="E814" s="1000">
        <f>'09월 에너지'!E814</f>
        <v>86014</v>
      </c>
      <c r="F814" s="1094" t="str">
        <f>'09월 에너지'!F814</f>
        <v>SS400-05</v>
      </c>
      <c r="G814" s="980"/>
      <c r="H814" s="978"/>
      <c r="I814" s="978">
        <f>14600+2400</f>
        <v>17000</v>
      </c>
      <c r="J814" s="978"/>
      <c r="K814" s="978"/>
      <c r="L814" s="978"/>
      <c r="M814" s="978"/>
      <c r="N814" s="978"/>
      <c r="O814" s="1106">
        <f t="shared" si="155"/>
        <v>17000</v>
      </c>
      <c r="P814" s="1108">
        <f>10800+6100+7900+6600+2200</f>
        <v>33600</v>
      </c>
      <c r="Q814" s="979">
        <f>8500+6200</f>
        <v>14700</v>
      </c>
      <c r="R814" s="979">
        <v>10500</v>
      </c>
      <c r="S814" s="979"/>
      <c r="T814" s="979"/>
      <c r="U814" s="979">
        <v>5200</v>
      </c>
      <c r="V814" s="979">
        <f>4300+4500+2400+9600</f>
        <v>20800</v>
      </c>
      <c r="W814" s="979">
        <v>3100</v>
      </c>
      <c r="X814" s="979">
        <v>8000</v>
      </c>
      <c r="Y814" s="979">
        <f>3600+10000+7100</f>
        <v>20700</v>
      </c>
      <c r="Z814" s="979"/>
      <c r="AA814" s="979">
        <v>1900</v>
      </c>
      <c r="AB814" s="979">
        <v>3300</v>
      </c>
      <c r="AC814" s="979"/>
      <c r="AD814" s="979">
        <v>100</v>
      </c>
      <c r="AE814" s="1109">
        <f t="shared" si="156"/>
        <v>121900</v>
      </c>
      <c r="AF814" s="1113">
        <v>4100</v>
      </c>
      <c r="AG814" s="981">
        <v>8300</v>
      </c>
      <c r="AH814" s="981">
        <v>6400</v>
      </c>
      <c r="AI814" s="1114">
        <f t="shared" si="157"/>
        <v>18800</v>
      </c>
      <c r="AJ814" s="1110">
        <f t="shared" si="158"/>
        <v>157700</v>
      </c>
      <c r="AK814" s="982">
        <f>'09월 에너지'!S814</f>
        <v>145.4</v>
      </c>
      <c r="AL814" s="983">
        <f t="shared" si="159"/>
        <v>0.92200380469245402</v>
      </c>
    </row>
    <row r="815" spans="1:38" ht="16.5" customHeight="1">
      <c r="A815" s="999">
        <f>'09월 에너지'!A815</f>
        <v>46295</v>
      </c>
      <c r="B815" s="1002">
        <f>'09월 조업일지'!B813</f>
        <v>46295</v>
      </c>
      <c r="C815" s="1003" t="str">
        <f>'09월 에너지'!C815</f>
        <v>C</v>
      </c>
      <c r="D815" s="1004" t="str">
        <f>'09월 에너지'!D815</f>
        <v>B</v>
      </c>
      <c r="E815" s="1000">
        <f>'09월 에너지'!E815</f>
        <v>86015</v>
      </c>
      <c r="F815" s="1094" t="str">
        <f>'09월 에너지'!F815</f>
        <v>SS400-05</v>
      </c>
      <c r="G815" s="980"/>
      <c r="H815" s="978"/>
      <c r="I815" s="978">
        <f>13100+2400</f>
        <v>15500</v>
      </c>
      <c r="J815" s="978"/>
      <c r="K815" s="978"/>
      <c r="L815" s="978"/>
      <c r="M815" s="978"/>
      <c r="N815" s="978"/>
      <c r="O815" s="1106">
        <f t="shared" si="155"/>
        <v>15500</v>
      </c>
      <c r="P815" s="1108">
        <f>6900+11200+6500+8300+4300</f>
        <v>37200</v>
      </c>
      <c r="Q815" s="979">
        <f>10700+6100</f>
        <v>16800</v>
      </c>
      <c r="R815" s="979">
        <v>9300</v>
      </c>
      <c r="S815" s="979"/>
      <c r="T815" s="979"/>
      <c r="U815" s="979">
        <v>7300</v>
      </c>
      <c r="V815" s="979">
        <f>1400+4800+3000+8800</f>
        <v>18000</v>
      </c>
      <c r="W815" s="979">
        <v>3400</v>
      </c>
      <c r="X815" s="979">
        <v>8300</v>
      </c>
      <c r="Y815" s="979">
        <f>2500+3700+9700</f>
        <v>15900</v>
      </c>
      <c r="Z815" s="979"/>
      <c r="AA815" s="979">
        <v>1400</v>
      </c>
      <c r="AB815" s="979">
        <v>2300</v>
      </c>
      <c r="AC815" s="979"/>
      <c r="AD815" s="979">
        <v>1800</v>
      </c>
      <c r="AE815" s="1109">
        <f t="shared" si="156"/>
        <v>121700</v>
      </c>
      <c r="AF815" s="1113">
        <v>4200</v>
      </c>
      <c r="AG815" s="981">
        <v>12100</v>
      </c>
      <c r="AH815" s="981">
        <v>5500</v>
      </c>
      <c r="AI815" s="1114">
        <f t="shared" si="157"/>
        <v>21800</v>
      </c>
      <c r="AJ815" s="1110">
        <f t="shared" si="158"/>
        <v>159000</v>
      </c>
      <c r="AK815" s="982">
        <f>'09월 에너지'!S815</f>
        <v>145.69999999999999</v>
      </c>
      <c r="AL815" s="983">
        <f t="shared" si="159"/>
        <v>0.91635220125786165</v>
      </c>
    </row>
    <row r="816" spans="1:38" ht="16.5" customHeight="1">
      <c r="A816" s="999">
        <f>'09월 에너지'!A816</f>
        <v>46295</v>
      </c>
      <c r="B816" s="1002">
        <f>'09월 조업일지'!B814</f>
        <v>46295</v>
      </c>
      <c r="C816" s="1003" t="str">
        <f>'09월 에너지'!C816</f>
        <v>D</v>
      </c>
      <c r="D816" s="1004" t="str">
        <f>'09월 에너지'!D816</f>
        <v>A</v>
      </c>
      <c r="E816" s="1000">
        <f>'09월 에너지'!E816</f>
        <v>86016</v>
      </c>
      <c r="F816" s="1094" t="str">
        <f>'09월 에너지'!F816</f>
        <v>SS400-05</v>
      </c>
      <c r="G816" s="980"/>
      <c r="H816" s="978"/>
      <c r="I816" s="978">
        <f>5400+8100</f>
        <v>13500</v>
      </c>
      <c r="J816" s="978"/>
      <c r="K816" s="978"/>
      <c r="L816" s="978"/>
      <c r="M816" s="978"/>
      <c r="N816" s="978"/>
      <c r="O816" s="1106">
        <f t="shared" si="155"/>
        <v>13500</v>
      </c>
      <c r="P816" s="1108">
        <f>6500+2700+6900+5500+6500</f>
        <v>28100</v>
      </c>
      <c r="Q816" s="979">
        <f>3500+5500</f>
        <v>9000</v>
      </c>
      <c r="R816" s="979">
        <v>7800</v>
      </c>
      <c r="S816" s="979"/>
      <c r="T816" s="979"/>
      <c r="U816" s="979">
        <v>4100</v>
      </c>
      <c r="V816" s="979">
        <f>1300+2100+3000+9100</f>
        <v>15500</v>
      </c>
      <c r="W816" s="979">
        <v>3700</v>
      </c>
      <c r="X816" s="979">
        <v>8300</v>
      </c>
      <c r="Y816" s="979">
        <f>7100+17700+1400</f>
        <v>26200</v>
      </c>
      <c r="Z816" s="979"/>
      <c r="AA816" s="979">
        <v>1700</v>
      </c>
      <c r="AB816" s="979">
        <v>7600</v>
      </c>
      <c r="AC816" s="979"/>
      <c r="AD816" s="979">
        <v>5200</v>
      </c>
      <c r="AE816" s="1109">
        <f t="shared" si="156"/>
        <v>117200</v>
      </c>
      <c r="AF816" s="1113">
        <v>4000</v>
      </c>
      <c r="AG816" s="981">
        <v>8500</v>
      </c>
      <c r="AH816" s="981">
        <v>15400</v>
      </c>
      <c r="AI816" s="1114">
        <f t="shared" si="157"/>
        <v>27900</v>
      </c>
      <c r="AJ816" s="1110">
        <f t="shared" si="158"/>
        <v>158600</v>
      </c>
      <c r="AK816" s="982">
        <f>'09월 에너지'!S816</f>
        <v>145.19999999999999</v>
      </c>
      <c r="AL816" s="983">
        <f t="shared" si="159"/>
        <v>0.91551071878940726</v>
      </c>
    </row>
    <row r="817" spans="1:38" ht="16.5" customHeight="1">
      <c r="A817" s="999">
        <f>'09월 에너지'!A817</f>
        <v>46295</v>
      </c>
      <c r="B817" s="1002">
        <f>'09월 조업일지'!B815</f>
        <v>46295</v>
      </c>
      <c r="C817" s="1003" t="str">
        <f>'09월 에너지'!C817</f>
        <v>D</v>
      </c>
      <c r="D817" s="1004" t="str">
        <f>'09월 에너지'!D817</f>
        <v>B</v>
      </c>
      <c r="E817" s="1000">
        <f>'09월 에너지'!E817</f>
        <v>86017</v>
      </c>
      <c r="F817" s="1094" t="str">
        <f>'09월 에너지'!F817</f>
        <v>SS400-05</v>
      </c>
      <c r="G817" s="980"/>
      <c r="H817" s="978"/>
      <c r="I817" s="978">
        <f>6400+6800</f>
        <v>13200</v>
      </c>
      <c r="J817" s="978"/>
      <c r="K817" s="978"/>
      <c r="L817" s="978"/>
      <c r="M817" s="978"/>
      <c r="N817" s="978"/>
      <c r="O817" s="1106">
        <f t="shared" si="155"/>
        <v>13200</v>
      </c>
      <c r="P817" s="1108">
        <f>11500+14300+8200+5200+7600</f>
        <v>46800</v>
      </c>
      <c r="Q817" s="979">
        <f>7800+4600</f>
        <v>12400</v>
      </c>
      <c r="R817" s="979">
        <v>7100</v>
      </c>
      <c r="S817" s="979"/>
      <c r="T817" s="979"/>
      <c r="U817" s="979">
        <v>9200</v>
      </c>
      <c r="V817" s="979">
        <f>2400+2300+2200+9500</f>
        <v>16400</v>
      </c>
      <c r="W817" s="979">
        <v>3500</v>
      </c>
      <c r="X817" s="979">
        <v>6900</v>
      </c>
      <c r="Y817" s="979">
        <f>1900+13700+3400</f>
        <v>19000</v>
      </c>
      <c r="Z817" s="979"/>
      <c r="AA817" s="979">
        <v>1800</v>
      </c>
      <c r="AB817" s="979">
        <v>2800</v>
      </c>
      <c r="AC817" s="979"/>
      <c r="AD817" s="979">
        <v>2300</v>
      </c>
      <c r="AE817" s="1109">
        <f t="shared" si="156"/>
        <v>128200</v>
      </c>
      <c r="AF817" s="1113">
        <v>4100</v>
      </c>
      <c r="AG817" s="981">
        <v>9700</v>
      </c>
      <c r="AH817" s="981">
        <v>3400</v>
      </c>
      <c r="AI817" s="1114">
        <f t="shared" si="157"/>
        <v>17200</v>
      </c>
      <c r="AJ817" s="1110">
        <f t="shared" si="158"/>
        <v>158600</v>
      </c>
      <c r="AK817" s="982">
        <f>'09월 에너지'!S817</f>
        <v>144.9</v>
      </c>
      <c r="AL817" s="983">
        <f t="shared" si="159"/>
        <v>0.91361916771752838</v>
      </c>
    </row>
    <row r="818" spans="1:38" ht="16.5" customHeight="1">
      <c r="A818" s="999">
        <f>'09월 에너지'!A818</f>
        <v>46295</v>
      </c>
      <c r="B818" s="1002">
        <f>'09월 조업일지'!B816</f>
        <v>46295</v>
      </c>
      <c r="C818" s="1003" t="str">
        <f>'09월 에너지'!C818</f>
        <v>D</v>
      </c>
      <c r="D818" s="1004" t="str">
        <f>'09월 에너지'!D818</f>
        <v>A</v>
      </c>
      <c r="E818" s="1000">
        <f>'09월 에너지'!E818</f>
        <v>86018</v>
      </c>
      <c r="F818" s="1094" t="str">
        <f>'09월 에너지'!F818</f>
        <v>SS400-05</v>
      </c>
      <c r="G818" s="980"/>
      <c r="H818" s="978"/>
      <c r="I818" s="978">
        <f>9300+6000</f>
        <v>15300</v>
      </c>
      <c r="J818" s="978"/>
      <c r="K818" s="978"/>
      <c r="L818" s="978"/>
      <c r="M818" s="978"/>
      <c r="N818" s="978"/>
      <c r="O818" s="1106">
        <f t="shared" si="155"/>
        <v>15300</v>
      </c>
      <c r="P818" s="1108">
        <f>7100+8300+7900+6400+6200</f>
        <v>35900</v>
      </c>
      <c r="Q818" s="979">
        <f>10800+5900</f>
        <v>16700</v>
      </c>
      <c r="R818" s="979">
        <v>3300</v>
      </c>
      <c r="S818" s="979"/>
      <c r="T818" s="979"/>
      <c r="U818" s="979">
        <v>2000</v>
      </c>
      <c r="V818" s="979">
        <f>4900+2300+3000+8800</f>
        <v>19000</v>
      </c>
      <c r="W818" s="979">
        <v>3900</v>
      </c>
      <c r="X818" s="979">
        <v>7400</v>
      </c>
      <c r="Y818" s="979">
        <f>4400+14800+2700</f>
        <v>21900</v>
      </c>
      <c r="Z818" s="979"/>
      <c r="AA818" s="979">
        <v>1800</v>
      </c>
      <c r="AB818" s="979">
        <v>3300</v>
      </c>
      <c r="AC818" s="979"/>
      <c r="AD818" s="979">
        <v>0</v>
      </c>
      <c r="AE818" s="1109">
        <f t="shared" si="156"/>
        <v>115200</v>
      </c>
      <c r="AF818" s="1113">
        <v>4000</v>
      </c>
      <c r="AG818" s="981">
        <v>12600</v>
      </c>
      <c r="AH818" s="981">
        <v>10900</v>
      </c>
      <c r="AI818" s="1114">
        <f t="shared" si="157"/>
        <v>27500</v>
      </c>
      <c r="AJ818" s="1110">
        <f t="shared" si="158"/>
        <v>158000</v>
      </c>
      <c r="AK818" s="982">
        <f>'09월 에너지'!S818</f>
        <v>144.30000000000001</v>
      </c>
      <c r="AL818" s="983">
        <f t="shared" si="159"/>
        <v>0.91329113924050631</v>
      </c>
    </row>
    <row r="819" spans="1:38" ht="16.5" customHeight="1">
      <c r="A819" s="999">
        <f>'09월 에너지'!A819</f>
        <v>46295</v>
      </c>
      <c r="B819" s="1002">
        <f>'09월 조업일지'!B817</f>
        <v>46295</v>
      </c>
      <c r="C819" s="1003" t="str">
        <f>'09월 에너지'!C819</f>
        <v>D</v>
      </c>
      <c r="D819" s="1004" t="str">
        <f>'09월 에너지'!D819</f>
        <v>B</v>
      </c>
      <c r="E819" s="1000">
        <f>'09월 에너지'!E819</f>
        <v>86019</v>
      </c>
      <c r="F819" s="1094" t="str">
        <f>'09월 에너지'!F819</f>
        <v>SS400-05</v>
      </c>
      <c r="G819" s="980"/>
      <c r="H819" s="978"/>
      <c r="I819" s="978">
        <f>5000+9900</f>
        <v>14900</v>
      </c>
      <c r="J819" s="978"/>
      <c r="K819" s="978"/>
      <c r="L819" s="978"/>
      <c r="M819" s="978"/>
      <c r="N819" s="978"/>
      <c r="O819" s="1106">
        <f t="shared" si="155"/>
        <v>14900</v>
      </c>
      <c r="P819" s="1108">
        <f>8900+11200+7200+5100+9000</f>
        <v>41400</v>
      </c>
      <c r="Q819" s="979">
        <f>9500+7200</f>
        <v>16700</v>
      </c>
      <c r="R819" s="979">
        <v>11600</v>
      </c>
      <c r="S819" s="979"/>
      <c r="T819" s="979"/>
      <c r="U819" s="979">
        <v>6400</v>
      </c>
      <c r="V819" s="979">
        <f>1800+2300+1400+10000</f>
        <v>15500</v>
      </c>
      <c r="W819" s="979">
        <v>3000</v>
      </c>
      <c r="X819" s="979">
        <v>8100</v>
      </c>
      <c r="Y819" s="979">
        <f>3100+10700+1700</f>
        <v>15500</v>
      </c>
      <c r="Z819" s="979"/>
      <c r="AA819" s="979">
        <v>3400</v>
      </c>
      <c r="AB819" s="979">
        <v>800</v>
      </c>
      <c r="AC819" s="979"/>
      <c r="AD819" s="979">
        <v>3400</v>
      </c>
      <c r="AE819" s="1109">
        <f t="shared" si="156"/>
        <v>125800</v>
      </c>
      <c r="AF819" s="1113">
        <v>3600</v>
      </c>
      <c r="AG819" s="981">
        <v>7600</v>
      </c>
      <c r="AH819" s="981">
        <v>6400</v>
      </c>
      <c r="AI819" s="1114">
        <f t="shared" si="157"/>
        <v>17600</v>
      </c>
      <c r="AJ819" s="1110">
        <f t="shared" si="158"/>
        <v>158300</v>
      </c>
      <c r="AK819" s="982">
        <f>'09월 에너지'!S819</f>
        <v>144.80000000000001</v>
      </c>
      <c r="AL819" s="983">
        <f t="shared" si="159"/>
        <v>0.91471888818698677</v>
      </c>
    </row>
    <row r="820" spans="1:38" ht="16.5" customHeight="1">
      <c r="A820" s="999">
        <f>'09월 에너지'!A820</f>
        <v>46295</v>
      </c>
      <c r="B820" s="1002">
        <f>'09월 조업일지'!B818</f>
        <v>46295</v>
      </c>
      <c r="C820" s="1003" t="str">
        <f>'09월 에너지'!C820</f>
        <v>D</v>
      </c>
      <c r="D820" s="1004" t="str">
        <f>'09월 에너지'!D820</f>
        <v>A</v>
      </c>
      <c r="E820" s="1000">
        <f>'09월 에너지'!E820</f>
        <v>86020</v>
      </c>
      <c r="F820" s="1094" t="str">
        <f>'09월 에너지'!F820</f>
        <v>SS400-05</v>
      </c>
      <c r="G820" s="980"/>
      <c r="H820" s="978"/>
      <c r="I820" s="978">
        <f>11600+7900</f>
        <v>19500</v>
      </c>
      <c r="J820" s="978"/>
      <c r="K820" s="978"/>
      <c r="L820" s="978"/>
      <c r="M820" s="978"/>
      <c r="N820" s="978"/>
      <c r="O820" s="1106">
        <f t="shared" si="155"/>
        <v>19500</v>
      </c>
      <c r="P820" s="1108">
        <f>6800+9900+6300+6900+2200</f>
        <v>32100</v>
      </c>
      <c r="Q820" s="979">
        <f>11500+7600</f>
        <v>19100</v>
      </c>
      <c r="R820" s="979">
        <v>4200</v>
      </c>
      <c r="S820" s="979"/>
      <c r="T820" s="979"/>
      <c r="U820" s="979">
        <v>3800</v>
      </c>
      <c r="V820" s="979">
        <f>800+2500+2200+9000</f>
        <v>14500</v>
      </c>
      <c r="W820" s="979">
        <v>2800</v>
      </c>
      <c r="X820" s="979">
        <v>9300</v>
      </c>
      <c r="Y820" s="979">
        <f>4000+17300+2800</f>
        <v>24100</v>
      </c>
      <c r="Z820" s="979"/>
      <c r="AA820" s="979">
        <v>2100</v>
      </c>
      <c r="AB820" s="979">
        <v>4200</v>
      </c>
      <c r="AC820" s="979"/>
      <c r="AD820" s="979">
        <v>2900</v>
      </c>
      <c r="AE820" s="1109">
        <f t="shared" si="156"/>
        <v>119100</v>
      </c>
      <c r="AF820" s="1113">
        <v>3800</v>
      </c>
      <c r="AG820" s="981">
        <v>12200</v>
      </c>
      <c r="AH820" s="981">
        <v>3700</v>
      </c>
      <c r="AI820" s="1114">
        <f t="shared" si="157"/>
        <v>19700</v>
      </c>
      <c r="AJ820" s="1110">
        <f t="shared" si="158"/>
        <v>158300</v>
      </c>
      <c r="AK820" s="982">
        <f>'09월 에너지'!S820</f>
        <v>142.6</v>
      </c>
      <c r="AL820" s="983">
        <f t="shared" si="159"/>
        <v>0.90082122552116239</v>
      </c>
    </row>
    <row r="821" spans="1:38" ht="16.5" customHeight="1">
      <c r="A821" s="999">
        <f>'09월 에너지'!A821</f>
        <v>46295</v>
      </c>
      <c r="B821" s="1002">
        <f>'09월 조업일지'!B819</f>
        <v>46295</v>
      </c>
      <c r="C821" s="1003" t="str">
        <f>'09월 에너지'!C821</f>
        <v>D</v>
      </c>
      <c r="D821" s="1004" t="str">
        <f>'09월 에너지'!D821</f>
        <v>B</v>
      </c>
      <c r="E821" s="1000">
        <f>'09월 에너지'!E821</f>
        <v>86021</v>
      </c>
      <c r="F821" s="1094" t="str">
        <f>'09월 에너지'!F821</f>
        <v>SS400-05</v>
      </c>
      <c r="G821" s="980"/>
      <c r="H821" s="978"/>
      <c r="I821" s="978">
        <f>9900+5500</f>
        <v>15400</v>
      </c>
      <c r="J821" s="978"/>
      <c r="K821" s="978"/>
      <c r="L821" s="978"/>
      <c r="M821" s="978"/>
      <c r="N821" s="978"/>
      <c r="O821" s="1106">
        <f t="shared" si="155"/>
        <v>15400</v>
      </c>
      <c r="P821" s="1108">
        <f>10700+11200+7200+3200+3100</f>
        <v>35400</v>
      </c>
      <c r="Q821" s="979">
        <f>11800+11500</f>
        <v>23300</v>
      </c>
      <c r="R821" s="979">
        <v>6400</v>
      </c>
      <c r="S821" s="979"/>
      <c r="T821" s="979"/>
      <c r="U821" s="979">
        <v>6600</v>
      </c>
      <c r="V821" s="979">
        <f>2900+4300+1000+9600</f>
        <v>17800</v>
      </c>
      <c r="W821" s="979">
        <v>3200</v>
      </c>
      <c r="X821" s="979">
        <v>7600</v>
      </c>
      <c r="Y821" s="979">
        <f>3800+11700+2400</f>
        <v>17900</v>
      </c>
      <c r="Z821" s="979"/>
      <c r="AA821" s="979">
        <v>1200</v>
      </c>
      <c r="AB821" s="979">
        <v>2000</v>
      </c>
      <c r="AC821" s="979"/>
      <c r="AD821" s="979">
        <v>3400</v>
      </c>
      <c r="AE821" s="1109">
        <f t="shared" si="156"/>
        <v>124800</v>
      </c>
      <c r="AF821" s="1113">
        <v>4700</v>
      </c>
      <c r="AG821" s="981">
        <v>11100</v>
      </c>
      <c r="AH821" s="981">
        <v>2400</v>
      </c>
      <c r="AI821" s="1114">
        <f t="shared" si="157"/>
        <v>18200</v>
      </c>
      <c r="AJ821" s="1110">
        <f t="shared" si="158"/>
        <v>158400</v>
      </c>
      <c r="AK821" s="982">
        <f>'09월 에너지'!S821</f>
        <v>146.1</v>
      </c>
      <c r="AL821" s="983">
        <f t="shared" si="159"/>
        <v>0.92234848484848486</v>
      </c>
    </row>
    <row r="822" spans="1:38" ht="16.5" customHeight="1">
      <c r="A822" s="999">
        <f>'09월 에너지'!A822</f>
        <v>46295</v>
      </c>
      <c r="B822" s="1002">
        <f>'09월 조업일지'!B820</f>
        <v>46295</v>
      </c>
      <c r="C822" s="1003" t="str">
        <f>'09월 에너지'!C822</f>
        <v>D</v>
      </c>
      <c r="D822" s="1004" t="str">
        <f>'09월 에너지'!D822</f>
        <v>A</v>
      </c>
      <c r="E822" s="1000">
        <f>'09월 에너지'!E822</f>
        <v>86022</v>
      </c>
      <c r="F822" s="1094" t="str">
        <f>'09월 에너지'!F822</f>
        <v>SS400-05</v>
      </c>
      <c r="G822" s="980"/>
      <c r="H822" s="978"/>
      <c r="I822" s="978">
        <f>5000+6600</f>
        <v>11600</v>
      </c>
      <c r="J822" s="978"/>
      <c r="K822" s="978"/>
      <c r="L822" s="978"/>
      <c r="M822" s="978"/>
      <c r="N822" s="978"/>
      <c r="O822" s="1106">
        <f t="shared" si="155"/>
        <v>11600</v>
      </c>
      <c r="P822" s="1108">
        <f>8500+8800+6700+7600+5500</f>
        <v>37100</v>
      </c>
      <c r="Q822" s="979">
        <f>16600+6700</f>
        <v>23300</v>
      </c>
      <c r="R822" s="979">
        <v>3400</v>
      </c>
      <c r="S822" s="979"/>
      <c r="T822" s="979"/>
      <c r="U822" s="979">
        <v>3700</v>
      </c>
      <c r="V822" s="979">
        <f>11700+2200+700+9500</f>
        <v>24100</v>
      </c>
      <c r="W822" s="979">
        <v>1900</v>
      </c>
      <c r="X822" s="979">
        <v>8900</v>
      </c>
      <c r="Y822" s="979">
        <f>3900+20800+3000</f>
        <v>27700</v>
      </c>
      <c r="Z822" s="979"/>
      <c r="AA822" s="979">
        <v>2400</v>
      </c>
      <c r="AB822" s="979">
        <v>1200</v>
      </c>
      <c r="AC822" s="979"/>
      <c r="AD822" s="979">
        <v>1500</v>
      </c>
      <c r="AE822" s="1109">
        <f t="shared" si="156"/>
        <v>135200</v>
      </c>
      <c r="AF822" s="1113">
        <v>5100</v>
      </c>
      <c r="AG822" s="981">
        <v>4600</v>
      </c>
      <c r="AH822" s="981">
        <v>3000</v>
      </c>
      <c r="AI822" s="1114">
        <f t="shared" si="157"/>
        <v>12700</v>
      </c>
      <c r="AJ822" s="1110">
        <f t="shared" si="158"/>
        <v>159500</v>
      </c>
      <c r="AK822" s="982">
        <f>'09월 에너지'!S822</f>
        <v>146.19999999999999</v>
      </c>
      <c r="AL822" s="983">
        <f t="shared" si="159"/>
        <v>0.91661442006269589</v>
      </c>
    </row>
    <row r="823" spans="1:38" ht="16.5" customHeight="1">
      <c r="A823" s="999">
        <f>'09월 에너지'!A823</f>
        <v>46295</v>
      </c>
      <c r="B823" s="1002">
        <f>'09월 조업일지'!B821</f>
        <v>46295</v>
      </c>
      <c r="C823" s="1003" t="str">
        <f>'09월 에너지'!C823</f>
        <v>D</v>
      </c>
      <c r="D823" s="1004" t="str">
        <f>'09월 에너지'!D823</f>
        <v>B</v>
      </c>
      <c r="E823" s="1000">
        <f>'09월 에너지'!E823</f>
        <v>86023</v>
      </c>
      <c r="F823" s="1094" t="str">
        <f>'09월 에너지'!F823</f>
        <v>SS400-05</v>
      </c>
      <c r="G823" s="980"/>
      <c r="H823" s="978"/>
      <c r="I823" s="978">
        <f>9100+7800</f>
        <v>16900</v>
      </c>
      <c r="J823" s="978"/>
      <c r="K823" s="978"/>
      <c r="L823" s="978"/>
      <c r="M823" s="978"/>
      <c r="N823" s="978"/>
      <c r="O823" s="1106">
        <f t="shared" si="155"/>
        <v>16900</v>
      </c>
      <c r="P823" s="1108">
        <f>8100+15800+6900+6700+1600</f>
        <v>39100</v>
      </c>
      <c r="Q823" s="979">
        <f>10600+10100</f>
        <v>20700</v>
      </c>
      <c r="R823" s="979">
        <v>6400</v>
      </c>
      <c r="S823" s="979"/>
      <c r="T823" s="979"/>
      <c r="U823" s="979">
        <v>2700</v>
      </c>
      <c r="V823" s="979">
        <f>3700+4800+8900+2000</f>
        <v>19400</v>
      </c>
      <c r="W823" s="979">
        <v>2700</v>
      </c>
      <c r="X823" s="979">
        <v>9100</v>
      </c>
      <c r="Y823" s="979">
        <f>12700+200</f>
        <v>12900</v>
      </c>
      <c r="Z823" s="979"/>
      <c r="AA823" s="979">
        <v>1500</v>
      </c>
      <c r="AB823" s="979">
        <v>800</v>
      </c>
      <c r="AC823" s="979"/>
      <c r="AD823" s="979">
        <v>8400</v>
      </c>
      <c r="AE823" s="1109">
        <f t="shared" si="156"/>
        <v>123700</v>
      </c>
      <c r="AF823" s="1113">
        <v>4300</v>
      </c>
      <c r="AG823" s="981">
        <v>11500</v>
      </c>
      <c r="AH823" s="981">
        <v>3000</v>
      </c>
      <c r="AI823" s="1114">
        <f t="shared" si="157"/>
        <v>18800</v>
      </c>
      <c r="AJ823" s="1110">
        <f t="shared" si="158"/>
        <v>159400</v>
      </c>
      <c r="AK823" s="982">
        <f>'09월 에너지'!S823</f>
        <v>144.4</v>
      </c>
      <c r="AL823" s="983">
        <f t="shared" si="159"/>
        <v>0.90589711417816809</v>
      </c>
    </row>
    <row r="824" spans="1:38" ht="16.5" customHeight="1">
      <c r="A824" s="999">
        <f>'09월 에너지'!A824</f>
        <v>46295</v>
      </c>
      <c r="B824" s="1002">
        <f>'09월 조업일지'!B822</f>
        <v>46295</v>
      </c>
      <c r="C824" s="1003" t="str">
        <f>'09월 에너지'!C824</f>
        <v>D</v>
      </c>
      <c r="D824" s="1004" t="str">
        <f>'09월 에너지'!D824</f>
        <v>A</v>
      </c>
      <c r="E824" s="1000">
        <f>'09월 에너지'!E824</f>
        <v>86024</v>
      </c>
      <c r="F824" s="1094" t="str">
        <f>'09월 에너지'!F824</f>
        <v>SS400-05</v>
      </c>
      <c r="G824" s="980"/>
      <c r="H824" s="978"/>
      <c r="I824" s="978">
        <f>10600+1900</f>
        <v>12500</v>
      </c>
      <c r="J824" s="978"/>
      <c r="K824" s="978"/>
      <c r="L824" s="978"/>
      <c r="M824" s="978"/>
      <c r="N824" s="978"/>
      <c r="O824" s="1106">
        <f t="shared" si="155"/>
        <v>12500</v>
      </c>
      <c r="P824" s="1108">
        <f>5900+10900+7100+6000+4700</f>
        <v>34600</v>
      </c>
      <c r="Q824" s="979">
        <f>10200+8300</f>
        <v>18500</v>
      </c>
      <c r="R824" s="979">
        <v>6600</v>
      </c>
      <c r="S824" s="979"/>
      <c r="T824" s="979"/>
      <c r="U824" s="979">
        <v>3400</v>
      </c>
      <c r="V824" s="979">
        <f>2600+1200+3500+9200</f>
        <v>16500</v>
      </c>
      <c r="W824" s="979">
        <v>2200</v>
      </c>
      <c r="X824" s="979">
        <v>8900</v>
      </c>
      <c r="Y824" s="979">
        <f>5500+15700+6400</f>
        <v>27600</v>
      </c>
      <c r="Z824" s="979"/>
      <c r="AA824" s="979">
        <v>200</v>
      </c>
      <c r="AB824" s="979">
        <v>900</v>
      </c>
      <c r="AC824" s="979"/>
      <c r="AD824" s="979">
        <v>4100</v>
      </c>
      <c r="AE824" s="1109">
        <f t="shared" si="156"/>
        <v>123500</v>
      </c>
      <c r="AF824" s="1113">
        <v>4000</v>
      </c>
      <c r="AG824" s="981">
        <v>15900</v>
      </c>
      <c r="AH824" s="981">
        <v>3200</v>
      </c>
      <c r="AI824" s="1114">
        <f t="shared" si="157"/>
        <v>23100</v>
      </c>
      <c r="AJ824" s="1110">
        <f t="shared" si="158"/>
        <v>159100</v>
      </c>
      <c r="AK824" s="982">
        <f>'09월 에너지'!S824</f>
        <v>145.1</v>
      </c>
      <c r="AL824" s="983">
        <f t="shared" si="159"/>
        <v>0.91200502828409802</v>
      </c>
    </row>
    <row r="825" spans="1:38" ht="16.5" customHeight="1">
      <c r="A825" s="999">
        <f>'09월 에너지'!A825</f>
        <v>46295</v>
      </c>
      <c r="B825" s="1002">
        <f>'09월 조업일지'!B823</f>
        <v>46295</v>
      </c>
      <c r="C825" s="1003" t="str">
        <f>'09월 에너지'!C825</f>
        <v>D</v>
      </c>
      <c r="D825" s="1004" t="str">
        <f>'09월 에너지'!D825</f>
        <v>B</v>
      </c>
      <c r="E825" s="1000">
        <f>'09월 에너지'!E825</f>
        <v>86025</v>
      </c>
      <c r="F825" s="1094" t="str">
        <f>'09월 에너지'!F825</f>
        <v>SS400-05</v>
      </c>
      <c r="G825" s="980"/>
      <c r="H825" s="978"/>
      <c r="I825" s="978">
        <f>8500+6000</f>
        <v>14500</v>
      </c>
      <c r="J825" s="978"/>
      <c r="K825" s="978"/>
      <c r="L825" s="978"/>
      <c r="M825" s="978"/>
      <c r="N825" s="978"/>
      <c r="O825" s="1106">
        <f t="shared" si="155"/>
        <v>14500</v>
      </c>
      <c r="P825" s="1108">
        <f>16800+15200+7800+3700+1400</f>
        <v>44900</v>
      </c>
      <c r="Q825" s="979">
        <f>13000+12200</f>
        <v>25200</v>
      </c>
      <c r="R825" s="979">
        <v>4900</v>
      </c>
      <c r="S825" s="979"/>
      <c r="T825" s="979"/>
      <c r="U825" s="979">
        <v>6200</v>
      </c>
      <c r="V825" s="979">
        <f>1500+3000+2100+8500</f>
        <v>15100</v>
      </c>
      <c r="W825" s="979">
        <v>3400</v>
      </c>
      <c r="X825" s="979">
        <v>7200</v>
      </c>
      <c r="Y825" s="979">
        <f>100+14700+4100</f>
        <v>18900</v>
      </c>
      <c r="Z825" s="979"/>
      <c r="AA825" s="979">
        <v>6800</v>
      </c>
      <c r="AB825" s="979">
        <v>3100</v>
      </c>
      <c r="AC825" s="979"/>
      <c r="AD825" s="979">
        <v>2100</v>
      </c>
      <c r="AE825" s="1109">
        <f t="shared" si="156"/>
        <v>137800</v>
      </c>
      <c r="AF825" s="1113">
        <v>4400</v>
      </c>
      <c r="AG825" s="981">
        <v>1200</v>
      </c>
      <c r="AH825" s="981">
        <v>600</v>
      </c>
      <c r="AI825" s="1114">
        <f t="shared" si="157"/>
        <v>6200</v>
      </c>
      <c r="AJ825" s="1110">
        <f t="shared" si="158"/>
        <v>158500</v>
      </c>
      <c r="AK825" s="982">
        <f>'09월 에너지'!S825</f>
        <v>144.6</v>
      </c>
      <c r="AL825" s="983">
        <f t="shared" si="159"/>
        <v>0.91230283911671928</v>
      </c>
    </row>
    <row r="826" spans="1:38" ht="16.5" customHeight="1">
      <c r="A826" s="999">
        <f>'09월 에너지'!A826</f>
        <v>46295</v>
      </c>
      <c r="B826" s="1002">
        <f>'09월 조업일지'!B824</f>
        <v>46295</v>
      </c>
      <c r="C826" s="1003" t="str">
        <f>'09월 에너지'!C826</f>
        <v>B</v>
      </c>
      <c r="D826" s="1004" t="str">
        <f>'09월 에너지'!D826</f>
        <v>A</v>
      </c>
      <c r="E826" s="1000">
        <f>'09월 에너지'!E826</f>
        <v>86026</v>
      </c>
      <c r="F826" s="1094" t="str">
        <f>'09월 에너지'!F826</f>
        <v>SS400-05</v>
      </c>
      <c r="G826" s="980"/>
      <c r="H826" s="978"/>
      <c r="I826" s="978">
        <f>16000+4600</f>
        <v>20600</v>
      </c>
      <c r="J826" s="978"/>
      <c r="K826" s="978"/>
      <c r="L826" s="978"/>
      <c r="M826" s="978"/>
      <c r="N826" s="978"/>
      <c r="O826" s="1106">
        <f t="shared" si="155"/>
        <v>20600</v>
      </c>
      <c r="P826" s="1108">
        <f>5200+9400+7000+6000+4100</f>
        <v>31700</v>
      </c>
      <c r="Q826" s="979">
        <f>8000+7400</f>
        <v>15400</v>
      </c>
      <c r="R826" s="979">
        <v>7300</v>
      </c>
      <c r="S826" s="979"/>
      <c r="T826" s="979"/>
      <c r="U826" s="979">
        <v>7500</v>
      </c>
      <c r="V826" s="979">
        <f>3900+4200+2100+8400</f>
        <v>18600</v>
      </c>
      <c r="W826" s="979">
        <v>3000</v>
      </c>
      <c r="X826" s="979">
        <v>8200</v>
      </c>
      <c r="Y826" s="979">
        <f>3100+14500+3000</f>
        <v>20600</v>
      </c>
      <c r="Z826" s="979"/>
      <c r="AA826" s="979">
        <v>700</v>
      </c>
      <c r="AB826" s="979">
        <v>1600</v>
      </c>
      <c r="AC826" s="979"/>
      <c r="AD826" s="979">
        <v>800</v>
      </c>
      <c r="AE826" s="1109">
        <f t="shared" si="156"/>
        <v>115400</v>
      </c>
      <c r="AF826" s="1113">
        <v>4900</v>
      </c>
      <c r="AG826" s="981">
        <v>11500</v>
      </c>
      <c r="AH826" s="981">
        <v>5400</v>
      </c>
      <c r="AI826" s="1114">
        <f t="shared" si="157"/>
        <v>21800</v>
      </c>
      <c r="AJ826" s="1110">
        <f t="shared" si="158"/>
        <v>157800</v>
      </c>
      <c r="AK826" s="982">
        <f>'09월 에너지'!S826</f>
        <v>147.5</v>
      </c>
      <c r="AL826" s="983">
        <f t="shared" si="159"/>
        <v>0.93472750316856779</v>
      </c>
    </row>
    <row r="827" spans="1:38" ht="16.5" customHeight="1">
      <c r="A827" s="999">
        <f>'09월 에너지'!A827</f>
        <v>46295</v>
      </c>
      <c r="B827" s="1002">
        <f>'09월 조업일지'!B825</f>
        <v>46295</v>
      </c>
      <c r="C827" s="1003" t="str">
        <f>'09월 에너지'!C827</f>
        <v>B</v>
      </c>
      <c r="D827" s="1004" t="str">
        <f>'09월 에너지'!D827</f>
        <v>B</v>
      </c>
      <c r="E827" s="1000">
        <f>'09월 에너지'!E827</f>
        <v>86027</v>
      </c>
      <c r="F827" s="1094" t="str">
        <f>'09월 에너지'!F827</f>
        <v>SS400-05</v>
      </c>
      <c r="G827" s="980"/>
      <c r="H827" s="978"/>
      <c r="I827" s="978">
        <f>8200+3900</f>
        <v>12100</v>
      </c>
      <c r="J827" s="978"/>
      <c r="K827" s="978"/>
      <c r="L827" s="978"/>
      <c r="M827" s="978"/>
      <c r="N827" s="978"/>
      <c r="O827" s="1106">
        <f t="shared" si="155"/>
        <v>12100</v>
      </c>
      <c r="P827" s="1108">
        <f>8200+12200+7100+2200+3000</f>
        <v>32700</v>
      </c>
      <c r="Q827" s="979">
        <f>10700+8400</f>
        <v>19100</v>
      </c>
      <c r="R827" s="979">
        <v>3600</v>
      </c>
      <c r="S827" s="979"/>
      <c r="T827" s="979"/>
      <c r="U827" s="979">
        <v>4500</v>
      </c>
      <c r="V827" s="979">
        <f>4900+7600+3400+3400+8800-5000+1600</f>
        <v>24700</v>
      </c>
      <c r="W827" s="979">
        <v>3000</v>
      </c>
      <c r="X827" s="979">
        <v>7600</v>
      </c>
      <c r="Y827" s="979">
        <f>2700+18200+3500</f>
        <v>24400</v>
      </c>
      <c r="Z827" s="979"/>
      <c r="AA827" s="979">
        <v>1400</v>
      </c>
      <c r="AB827" s="979">
        <v>2900</v>
      </c>
      <c r="AC827" s="979"/>
      <c r="AD827" s="979">
        <v>1500</v>
      </c>
      <c r="AE827" s="1109">
        <f t="shared" si="156"/>
        <v>125400</v>
      </c>
      <c r="AF827" s="1113">
        <v>4300</v>
      </c>
      <c r="AG827" s="981">
        <v>9400</v>
      </c>
      <c r="AH827" s="981">
        <v>6500</v>
      </c>
      <c r="AI827" s="1114">
        <f t="shared" si="157"/>
        <v>20200</v>
      </c>
      <c r="AJ827" s="1110">
        <f t="shared" si="158"/>
        <v>157700</v>
      </c>
      <c r="AK827" s="982">
        <f>'09월 에너지'!S827</f>
        <v>144.5</v>
      </c>
      <c r="AL827" s="983">
        <f t="shared" si="159"/>
        <v>0.91629676601141408</v>
      </c>
    </row>
    <row r="828" spans="1:38" ht="16.5" customHeight="1">
      <c r="A828" s="999">
        <f>'09월 에너지'!A828</f>
        <v>46295</v>
      </c>
      <c r="B828" s="1002">
        <f>'09월 조업일지'!B826</f>
        <v>46295</v>
      </c>
      <c r="C828" s="1003" t="str">
        <f>'09월 에너지'!C828</f>
        <v>B</v>
      </c>
      <c r="D828" s="1004" t="str">
        <f>'09월 에너지'!D828</f>
        <v>A</v>
      </c>
      <c r="E828" s="1000">
        <f>'09월 에너지'!E828</f>
        <v>86028</v>
      </c>
      <c r="F828" s="1094" t="str">
        <f>'09월 에너지'!F828</f>
        <v>SS400-05</v>
      </c>
      <c r="G828" s="980"/>
      <c r="H828" s="978"/>
      <c r="I828" s="978">
        <f>7800+200</f>
        <v>8000</v>
      </c>
      <c r="J828" s="978"/>
      <c r="K828" s="978"/>
      <c r="L828" s="978"/>
      <c r="M828" s="978"/>
      <c r="N828" s="978"/>
      <c r="O828" s="1106">
        <f t="shared" si="155"/>
        <v>8000</v>
      </c>
      <c r="P828" s="1108">
        <f>16000+2500+7100+4700</f>
        <v>30300</v>
      </c>
      <c r="Q828" s="979">
        <f>14300+14000</f>
        <v>28300</v>
      </c>
      <c r="R828" s="979">
        <v>1800</v>
      </c>
      <c r="S828" s="979"/>
      <c r="T828" s="979"/>
      <c r="U828" s="979">
        <v>2200</v>
      </c>
      <c r="V828" s="979">
        <f>9700+1900+9800-5000</f>
        <v>16400</v>
      </c>
      <c r="W828" s="979">
        <v>2100</v>
      </c>
      <c r="X828" s="979">
        <v>9700</v>
      </c>
      <c r="Y828" s="979">
        <f>4400+16400+200</f>
        <v>21000</v>
      </c>
      <c r="Z828" s="979"/>
      <c r="AA828" s="979">
        <v>3000</v>
      </c>
      <c r="AB828" s="979">
        <v>4600</v>
      </c>
      <c r="AC828" s="979"/>
      <c r="AD828" s="979">
        <v>3200</v>
      </c>
      <c r="AE828" s="1109">
        <f t="shared" si="156"/>
        <v>122600</v>
      </c>
      <c r="AF828" s="1113">
        <v>5000</v>
      </c>
      <c r="AG828" s="981">
        <v>7200</v>
      </c>
      <c r="AH828" s="981">
        <v>10200</v>
      </c>
      <c r="AI828" s="1114">
        <f t="shared" si="157"/>
        <v>22400</v>
      </c>
      <c r="AJ828" s="1110">
        <f t="shared" si="158"/>
        <v>153000</v>
      </c>
      <c r="AK828" s="982">
        <f>'09월 에너지'!S828</f>
        <v>140.5</v>
      </c>
      <c r="AL828" s="983">
        <f t="shared" si="159"/>
        <v>0.9183006535947712</v>
      </c>
    </row>
    <row r="829" spans="1:38" ht="16.5" customHeight="1">
      <c r="A829" s="999">
        <f>'09월 에너지'!A829</f>
        <v>46295</v>
      </c>
      <c r="B829" s="1002">
        <f>'09월 조업일지'!B827</f>
        <v>46295</v>
      </c>
      <c r="C829" s="1003" t="str">
        <f>'09월 에너지'!C829</f>
        <v>B</v>
      </c>
      <c r="D829" s="1004" t="str">
        <f>'09월 에너지'!D829</f>
        <v>B</v>
      </c>
      <c r="E829" s="1000">
        <f>'09월 에너지'!E829</f>
        <v>86029</v>
      </c>
      <c r="F829" s="1094" t="str">
        <f>'09월 에너지'!F829</f>
        <v>SS400-05</v>
      </c>
      <c r="G829" s="980"/>
      <c r="H829" s="978"/>
      <c r="I829" s="978">
        <f>10600+5600</f>
        <v>16200</v>
      </c>
      <c r="J829" s="978"/>
      <c r="K829" s="978"/>
      <c r="L829" s="978"/>
      <c r="M829" s="978"/>
      <c r="N829" s="978"/>
      <c r="O829" s="1106">
        <f t="shared" si="155"/>
        <v>16200</v>
      </c>
      <c r="P829" s="1108">
        <f>8300+11600+7100+1800+4500</f>
        <v>33300</v>
      </c>
      <c r="Q829" s="979">
        <f>10800+5300+8400</f>
        <v>24500</v>
      </c>
      <c r="R829" s="979">
        <v>2600</v>
      </c>
      <c r="S829" s="979"/>
      <c r="T829" s="979"/>
      <c r="U829" s="979">
        <v>1500</v>
      </c>
      <c r="V829" s="979">
        <f>8100+2900+8900+3400</f>
        <v>23300</v>
      </c>
      <c r="W829" s="979">
        <v>3200</v>
      </c>
      <c r="X829" s="979">
        <v>7900</v>
      </c>
      <c r="Y829" s="979">
        <f>3400+14300+3300</f>
        <v>21000</v>
      </c>
      <c r="Z829" s="979"/>
      <c r="AA829" s="979">
        <v>3300</v>
      </c>
      <c r="AB829" s="979">
        <v>500</v>
      </c>
      <c r="AC829" s="979"/>
      <c r="AD829" s="979">
        <v>3300</v>
      </c>
      <c r="AE829" s="1109">
        <f t="shared" si="156"/>
        <v>124400</v>
      </c>
      <c r="AF829" s="1113">
        <v>3800</v>
      </c>
      <c r="AG829" s="981">
        <v>11200</v>
      </c>
      <c r="AH829" s="981">
        <v>3900</v>
      </c>
      <c r="AI829" s="1114">
        <f t="shared" si="157"/>
        <v>18900</v>
      </c>
      <c r="AJ829" s="1110">
        <f t="shared" si="158"/>
        <v>159500</v>
      </c>
      <c r="AK829" s="982">
        <f>'09월 에너지'!S829</f>
        <v>143.80000000000001</v>
      </c>
      <c r="AL829" s="983">
        <f t="shared" si="159"/>
        <v>0.90156739811912223</v>
      </c>
    </row>
    <row r="830" spans="1:38" ht="16.5" customHeight="1">
      <c r="A830" s="999">
        <f>'09월 에너지'!A830</f>
        <v>46295</v>
      </c>
      <c r="B830" s="1002">
        <f>'09월 조업일지'!B828</f>
        <v>46295</v>
      </c>
      <c r="C830" s="1003" t="str">
        <f>'09월 에너지'!C830</f>
        <v>B</v>
      </c>
      <c r="D830" s="1004" t="str">
        <f>'09월 에너지'!D830</f>
        <v>A</v>
      </c>
      <c r="E830" s="1000">
        <f>'09월 에너지'!E830</f>
        <v>86030</v>
      </c>
      <c r="F830" s="1094" t="str">
        <f>'09월 에너지'!F830</f>
        <v>SS400-05</v>
      </c>
      <c r="G830" s="980"/>
      <c r="H830" s="978"/>
      <c r="I830" s="978">
        <f>10800+2800</f>
        <v>13600</v>
      </c>
      <c r="J830" s="978"/>
      <c r="K830" s="978"/>
      <c r="L830" s="978"/>
      <c r="M830" s="978"/>
      <c r="N830" s="978"/>
      <c r="O830" s="1106">
        <f t="shared" si="155"/>
        <v>13600</v>
      </c>
      <c r="P830" s="1108">
        <f>9500+12500+7600+5600</f>
        <v>35200</v>
      </c>
      <c r="Q830" s="979">
        <f>13600+8900-1300</f>
        <v>21200</v>
      </c>
      <c r="R830" s="979">
        <v>7700</v>
      </c>
      <c r="S830" s="979"/>
      <c r="T830" s="979"/>
      <c r="U830" s="979">
        <v>2200</v>
      </c>
      <c r="V830" s="979">
        <f>4300+9800+6400</f>
        <v>20500</v>
      </c>
      <c r="W830" s="979">
        <v>3800</v>
      </c>
      <c r="X830" s="979">
        <v>9000</v>
      </c>
      <c r="Y830" s="979">
        <f>3200+100+9700</f>
        <v>13000</v>
      </c>
      <c r="Z830" s="979"/>
      <c r="AA830" s="979">
        <v>9900</v>
      </c>
      <c r="AB830" s="979">
        <v>1600</v>
      </c>
      <c r="AC830" s="979"/>
      <c r="AD830" s="979">
        <v>2900</v>
      </c>
      <c r="AE830" s="1109">
        <f t="shared" si="156"/>
        <v>127000</v>
      </c>
      <c r="AF830" s="1113">
        <v>3400</v>
      </c>
      <c r="AG830" s="981">
        <v>10400</v>
      </c>
      <c r="AH830" s="981">
        <v>3600</v>
      </c>
      <c r="AI830" s="1114">
        <f t="shared" si="157"/>
        <v>17400</v>
      </c>
      <c r="AJ830" s="1110">
        <f t="shared" si="158"/>
        <v>158000</v>
      </c>
      <c r="AK830" s="982">
        <f>'09월 에너지'!S830</f>
        <v>148.30000000000001</v>
      </c>
      <c r="AL830" s="983">
        <f t="shared" si="159"/>
        <v>0.93860759493670887</v>
      </c>
    </row>
    <row r="831" spans="1:38" ht="16.5" customHeight="1">
      <c r="A831" s="999">
        <f>'09월 에너지'!A831</f>
        <v>46295</v>
      </c>
      <c r="B831" s="1002">
        <f>'09월 조업일지'!B829</f>
        <v>46295</v>
      </c>
      <c r="C831" s="1003" t="str">
        <f>'09월 에너지'!C831</f>
        <v>B</v>
      </c>
      <c r="D831" s="1004" t="str">
        <f>'09월 에너지'!D831</f>
        <v>B</v>
      </c>
      <c r="E831" s="1000">
        <f>'09월 에너지'!E831</f>
        <v>86031</v>
      </c>
      <c r="F831" s="1094" t="str">
        <f>'09월 에너지'!F831</f>
        <v>SS400-05</v>
      </c>
      <c r="G831" s="980"/>
      <c r="H831" s="978"/>
      <c r="I831" s="978">
        <f>9300+7100</f>
        <v>16400</v>
      </c>
      <c r="J831" s="978"/>
      <c r="K831" s="978"/>
      <c r="L831" s="978"/>
      <c r="M831" s="978"/>
      <c r="N831" s="978"/>
      <c r="O831" s="1106">
        <f t="shared" si="155"/>
        <v>16400</v>
      </c>
      <c r="P831" s="1108">
        <f>2800+8600+6300+5100+7800</f>
        <v>30600</v>
      </c>
      <c r="Q831" s="979">
        <f>7700+5700</f>
        <v>13400</v>
      </c>
      <c r="R831" s="979">
        <v>8200</v>
      </c>
      <c r="S831" s="979"/>
      <c r="T831" s="979"/>
      <c r="U831" s="979">
        <v>10100</v>
      </c>
      <c r="V831" s="979">
        <v>24900</v>
      </c>
      <c r="W831" s="979">
        <v>1700</v>
      </c>
      <c r="X831" s="979">
        <v>8200</v>
      </c>
      <c r="Y831" s="979">
        <f>1700+11300+3100</f>
        <v>16100</v>
      </c>
      <c r="Z831" s="979"/>
      <c r="AA831" s="979">
        <v>2900</v>
      </c>
      <c r="AB831" s="979">
        <v>3800</v>
      </c>
      <c r="AC831" s="979"/>
      <c r="AD831" s="979">
        <v>2400</v>
      </c>
      <c r="AE831" s="1109">
        <f t="shared" si="156"/>
        <v>122300</v>
      </c>
      <c r="AF831" s="1113">
        <v>3900</v>
      </c>
      <c r="AG831" s="981">
        <v>12200</v>
      </c>
      <c r="AH831" s="981">
        <v>3800</v>
      </c>
      <c r="AI831" s="1114">
        <f t="shared" si="157"/>
        <v>19900</v>
      </c>
      <c r="AJ831" s="1110">
        <f t="shared" si="158"/>
        <v>158600</v>
      </c>
      <c r="AK831" s="982">
        <f>'09월 에너지'!S831</f>
        <v>143.69999999999999</v>
      </c>
      <c r="AL831" s="983">
        <f t="shared" si="159"/>
        <v>0.90605296343001263</v>
      </c>
    </row>
    <row r="832" spans="1:38" ht="16.5" customHeight="1">
      <c r="A832" s="999">
        <f>'09월 에너지'!A832</f>
        <v>46296</v>
      </c>
      <c r="B832" s="1002">
        <f>'09월 조업일지'!B830</f>
        <v>46295</v>
      </c>
      <c r="C832" s="1003" t="str">
        <f>'09월 에너지'!C832</f>
        <v>B</v>
      </c>
      <c r="D832" s="1004" t="str">
        <f>'09월 에너지'!D832</f>
        <v>A</v>
      </c>
      <c r="E832" s="1000">
        <f>'09월 에너지'!E832</f>
        <v>86032</v>
      </c>
      <c r="F832" s="1094" t="str">
        <f>'09월 에너지'!F832</f>
        <v>SS400-05</v>
      </c>
      <c r="G832" s="980"/>
      <c r="H832" s="978"/>
      <c r="I832" s="978">
        <f>11300+6900</f>
        <v>18200</v>
      </c>
      <c r="J832" s="978"/>
      <c r="K832" s="978"/>
      <c r="L832" s="978"/>
      <c r="M832" s="978"/>
      <c r="N832" s="978"/>
      <c r="O832" s="1106">
        <f t="shared" si="155"/>
        <v>18200</v>
      </c>
      <c r="P832" s="1108">
        <f>9000+5100+9200+1400+5000</f>
        <v>29700</v>
      </c>
      <c r="Q832" s="979">
        <f>6900+10400+1800</f>
        <v>19100</v>
      </c>
      <c r="R832" s="979">
        <v>12600</v>
      </c>
      <c r="S832" s="979"/>
      <c r="T832" s="979"/>
      <c r="U832" s="979">
        <v>5100</v>
      </c>
      <c r="V832" s="979">
        <f>2100+6600+2700+9400</f>
        <v>20800</v>
      </c>
      <c r="W832" s="979">
        <v>1700</v>
      </c>
      <c r="X832" s="979">
        <v>9600</v>
      </c>
      <c r="Y832" s="979">
        <f>8600+2600+600</f>
        <v>11800</v>
      </c>
      <c r="Z832" s="979"/>
      <c r="AA832" s="979">
        <v>2100</v>
      </c>
      <c r="AB832" s="979">
        <v>1800</v>
      </c>
      <c r="AC832" s="979"/>
      <c r="AD832" s="979">
        <v>9600</v>
      </c>
      <c r="AE832" s="1109">
        <f t="shared" si="156"/>
        <v>123900</v>
      </c>
      <c r="AF832" s="1113">
        <v>3600</v>
      </c>
      <c r="AG832" s="981">
        <v>6700</v>
      </c>
      <c r="AH832" s="981">
        <v>3700</v>
      </c>
      <c r="AI832" s="1114">
        <f t="shared" si="157"/>
        <v>14000</v>
      </c>
      <c r="AJ832" s="1110">
        <f t="shared" si="158"/>
        <v>156100</v>
      </c>
      <c r="AK832" s="982">
        <f>'09월 에너지'!S832</f>
        <v>145.4</v>
      </c>
      <c r="AL832" s="983">
        <f t="shared" si="159"/>
        <v>0.93145419602818702</v>
      </c>
    </row>
    <row r="833" spans="1:38" ht="16.5" customHeight="1">
      <c r="A833" s="999" t="str">
        <f>'09월 에너지'!A833</f>
        <v/>
      </c>
      <c r="B833" s="1002" t="str">
        <f>'09월 조업일지'!B831</f>
        <v/>
      </c>
      <c r="C833" s="1003" t="str">
        <f>'09월 에너지'!C833</f>
        <v/>
      </c>
      <c r="D833" s="1004" t="str">
        <f>'09월 에너지'!D833</f>
        <v/>
      </c>
      <c r="E833" s="1000" t="str">
        <f>'09월 에너지'!E833</f>
        <v/>
      </c>
      <c r="F833" s="1094" t="str">
        <f>'09월 에너지'!F833</f>
        <v/>
      </c>
      <c r="G833" s="980"/>
      <c r="H833" s="978"/>
      <c r="I833" s="978"/>
      <c r="J833" s="978"/>
      <c r="K833" s="978"/>
      <c r="L833" s="978"/>
      <c r="M833" s="978"/>
      <c r="N833" s="978"/>
      <c r="O833" s="1106" t="str">
        <f t="shared" si="155"/>
        <v/>
      </c>
      <c r="P833" s="1108"/>
      <c r="Q833" s="979"/>
      <c r="R833" s="979"/>
      <c r="S833" s="979"/>
      <c r="T833" s="979"/>
      <c r="U833" s="979"/>
      <c r="V833" s="979"/>
      <c r="W833" s="979"/>
      <c r="X833" s="979"/>
      <c r="Y833" s="979"/>
      <c r="Z833" s="979"/>
      <c r="AA833" s="979"/>
      <c r="AB833" s="979"/>
      <c r="AC833" s="979"/>
      <c r="AD833" s="979"/>
      <c r="AE833" s="1109" t="str">
        <f t="shared" si="156"/>
        <v/>
      </c>
      <c r="AF833" s="1113"/>
      <c r="AG833" s="981"/>
      <c r="AH833" s="981"/>
      <c r="AI833" s="1114" t="str">
        <f t="shared" si="157"/>
        <v/>
      </c>
      <c r="AJ833" s="1110" t="str">
        <f t="shared" si="158"/>
        <v/>
      </c>
      <c r="AK833" s="982">
        <f>'09월 에너지'!S833</f>
        <v>0</v>
      </c>
      <c r="AL833" s="983">
        <f t="shared" si="159"/>
        <v>0</v>
      </c>
    </row>
    <row r="834" spans="1:38" ht="16.5" customHeight="1">
      <c r="A834" s="999" t="str">
        <f>'09월 에너지'!A834</f>
        <v/>
      </c>
      <c r="B834" s="1002" t="str">
        <f>'09월 조업일지'!B832</f>
        <v/>
      </c>
      <c r="C834" s="1003" t="str">
        <f>'09월 에너지'!C834</f>
        <v/>
      </c>
      <c r="D834" s="1004" t="str">
        <f>'09월 에너지'!D834</f>
        <v/>
      </c>
      <c r="E834" s="1000" t="str">
        <f>'09월 에너지'!E834</f>
        <v/>
      </c>
      <c r="F834" s="1094" t="str">
        <f>'09월 에너지'!F834</f>
        <v/>
      </c>
      <c r="G834" s="980"/>
      <c r="H834" s="978"/>
      <c r="I834" s="978"/>
      <c r="J834" s="978"/>
      <c r="K834" s="978"/>
      <c r="L834" s="978"/>
      <c r="M834" s="978"/>
      <c r="N834" s="978"/>
      <c r="O834" s="1106" t="str">
        <f t="shared" si="155"/>
        <v/>
      </c>
      <c r="P834" s="1108"/>
      <c r="Q834" s="979"/>
      <c r="R834" s="979"/>
      <c r="S834" s="979"/>
      <c r="T834" s="979"/>
      <c r="U834" s="979"/>
      <c r="V834" s="979"/>
      <c r="W834" s="979"/>
      <c r="X834" s="979"/>
      <c r="Y834" s="979"/>
      <c r="Z834" s="979"/>
      <c r="AA834" s="979"/>
      <c r="AB834" s="979"/>
      <c r="AC834" s="979"/>
      <c r="AD834" s="979"/>
      <c r="AE834" s="1109" t="str">
        <f t="shared" si="156"/>
        <v/>
      </c>
      <c r="AF834" s="1113"/>
      <c r="AG834" s="981"/>
      <c r="AH834" s="981"/>
      <c r="AI834" s="1114" t="str">
        <f t="shared" si="157"/>
        <v/>
      </c>
      <c r="AJ834" s="1110" t="str">
        <f t="shared" si="158"/>
        <v/>
      </c>
      <c r="AK834" s="982">
        <f>'09월 에너지'!S834</f>
        <v>0</v>
      </c>
      <c r="AL834" s="983">
        <f t="shared" si="159"/>
        <v>0</v>
      </c>
    </row>
    <row r="835" spans="1:38" ht="16.5" customHeight="1">
      <c r="A835" s="999" t="str">
        <f>'09월 에너지'!A835</f>
        <v/>
      </c>
      <c r="B835" s="1002" t="str">
        <f>'09월 조업일지'!B833</f>
        <v/>
      </c>
      <c r="C835" s="1003" t="str">
        <f>'09월 에너지'!C835</f>
        <v/>
      </c>
      <c r="D835" s="1004" t="str">
        <f>'09월 에너지'!D835</f>
        <v/>
      </c>
      <c r="E835" s="1000" t="str">
        <f>'09월 에너지'!E835</f>
        <v/>
      </c>
      <c r="F835" s="1094" t="str">
        <f>'09월 에너지'!F835</f>
        <v/>
      </c>
      <c r="G835" s="980"/>
      <c r="H835" s="978"/>
      <c r="I835" s="978"/>
      <c r="J835" s="978"/>
      <c r="K835" s="978"/>
      <c r="L835" s="978"/>
      <c r="M835" s="978"/>
      <c r="N835" s="978"/>
      <c r="O835" s="1106" t="str">
        <f t="shared" si="155"/>
        <v/>
      </c>
      <c r="P835" s="1108"/>
      <c r="Q835" s="979"/>
      <c r="R835" s="979"/>
      <c r="S835" s="979"/>
      <c r="T835" s="979"/>
      <c r="U835" s="979"/>
      <c r="V835" s="979"/>
      <c r="W835" s="979"/>
      <c r="X835" s="979"/>
      <c r="Y835" s="979"/>
      <c r="Z835" s="979"/>
      <c r="AA835" s="979"/>
      <c r="AB835" s="979"/>
      <c r="AC835" s="979"/>
      <c r="AD835" s="979"/>
      <c r="AE835" s="1109" t="str">
        <f t="shared" si="156"/>
        <v/>
      </c>
      <c r="AF835" s="1113"/>
      <c r="AG835" s="981"/>
      <c r="AH835" s="981"/>
      <c r="AI835" s="1114" t="str">
        <f t="shared" si="157"/>
        <v/>
      </c>
      <c r="AJ835" s="1110" t="str">
        <f t="shared" si="158"/>
        <v/>
      </c>
      <c r="AK835" s="982">
        <f>'09월 에너지'!S835</f>
        <v>0</v>
      </c>
      <c r="AL835" s="983">
        <f t="shared" si="159"/>
        <v>0</v>
      </c>
    </row>
    <row r="836" spans="1:38" ht="16.5" customHeight="1">
      <c r="A836" s="999" t="str">
        <f>'09월 에너지'!A836</f>
        <v/>
      </c>
      <c r="B836" s="1002" t="str">
        <f>'09월 조업일지'!B834</f>
        <v/>
      </c>
      <c r="C836" s="1003" t="str">
        <f>'09월 에너지'!C836</f>
        <v/>
      </c>
      <c r="D836" s="1004" t="str">
        <f>'09월 에너지'!D836</f>
        <v/>
      </c>
      <c r="E836" s="1000" t="str">
        <f>'09월 에너지'!E836</f>
        <v/>
      </c>
      <c r="F836" s="1094" t="str">
        <f>'09월 에너지'!F836</f>
        <v/>
      </c>
      <c r="G836" s="980"/>
      <c r="H836" s="978"/>
      <c r="I836" s="978"/>
      <c r="J836" s="978"/>
      <c r="K836" s="978"/>
      <c r="L836" s="978"/>
      <c r="M836" s="978"/>
      <c r="N836" s="978"/>
      <c r="O836" s="1106" t="str">
        <f t="shared" si="155"/>
        <v/>
      </c>
      <c r="P836" s="1108"/>
      <c r="Q836" s="979"/>
      <c r="R836" s="979"/>
      <c r="S836" s="979"/>
      <c r="T836" s="979"/>
      <c r="U836" s="979"/>
      <c r="V836" s="979"/>
      <c r="W836" s="979"/>
      <c r="X836" s="979"/>
      <c r="Y836" s="979"/>
      <c r="Z836" s="979"/>
      <c r="AA836" s="979"/>
      <c r="AB836" s="979"/>
      <c r="AC836" s="979"/>
      <c r="AD836" s="979"/>
      <c r="AE836" s="1109" t="str">
        <f t="shared" si="156"/>
        <v/>
      </c>
      <c r="AF836" s="1113"/>
      <c r="AG836" s="981"/>
      <c r="AH836" s="981"/>
      <c r="AI836" s="1114" t="str">
        <f t="shared" si="157"/>
        <v/>
      </c>
      <c r="AJ836" s="1110" t="str">
        <f t="shared" si="158"/>
        <v/>
      </c>
      <c r="AK836" s="982">
        <f>'09월 에너지'!S836</f>
        <v>0</v>
      </c>
      <c r="AL836" s="983">
        <f t="shared" si="159"/>
        <v>0</v>
      </c>
    </row>
    <row r="837" spans="1:38" ht="16.5" customHeight="1">
      <c r="A837" s="999" t="str">
        <f>'09월 에너지'!A837</f>
        <v/>
      </c>
      <c r="B837" s="1002" t="str">
        <f>'09월 조업일지'!B835</f>
        <v/>
      </c>
      <c r="C837" s="1003" t="str">
        <f>'09월 에너지'!C837</f>
        <v/>
      </c>
      <c r="D837" s="1004" t="str">
        <f>'09월 에너지'!D837</f>
        <v/>
      </c>
      <c r="E837" s="1000" t="str">
        <f>'09월 에너지'!E837</f>
        <v/>
      </c>
      <c r="F837" s="1094" t="str">
        <f>'09월 에너지'!F837</f>
        <v/>
      </c>
      <c r="G837" s="980"/>
      <c r="H837" s="978"/>
      <c r="I837" s="978"/>
      <c r="J837" s="978"/>
      <c r="K837" s="978"/>
      <c r="L837" s="978"/>
      <c r="M837" s="978"/>
      <c r="N837" s="978"/>
      <c r="O837" s="1106" t="str">
        <f t="shared" si="155"/>
        <v/>
      </c>
      <c r="P837" s="1108"/>
      <c r="Q837" s="979"/>
      <c r="R837" s="979"/>
      <c r="S837" s="979"/>
      <c r="T837" s="979"/>
      <c r="U837" s="979"/>
      <c r="V837" s="979"/>
      <c r="W837" s="979"/>
      <c r="X837" s="979"/>
      <c r="Y837" s="979"/>
      <c r="Z837" s="979"/>
      <c r="AA837" s="979"/>
      <c r="AB837" s="979"/>
      <c r="AC837" s="979"/>
      <c r="AD837" s="979"/>
      <c r="AE837" s="1109" t="str">
        <f t="shared" si="156"/>
        <v/>
      </c>
      <c r="AF837" s="1113"/>
      <c r="AG837" s="981"/>
      <c r="AH837" s="981"/>
      <c r="AI837" s="1114" t="str">
        <f t="shared" si="157"/>
        <v/>
      </c>
      <c r="AJ837" s="1110" t="str">
        <f t="shared" si="158"/>
        <v/>
      </c>
      <c r="AK837" s="982">
        <f>'09월 에너지'!S837</f>
        <v>0</v>
      </c>
      <c r="AL837" s="983">
        <f t="shared" si="159"/>
        <v>0</v>
      </c>
    </row>
    <row r="838" spans="1:38" ht="16.5" customHeight="1">
      <c r="A838" s="999" t="str">
        <f>'09월 에너지'!A838</f>
        <v/>
      </c>
      <c r="B838" s="1002" t="str">
        <f>'09월 조업일지'!B836</f>
        <v/>
      </c>
      <c r="C838" s="1003" t="str">
        <f>'09월 에너지'!C838</f>
        <v/>
      </c>
      <c r="D838" s="1004" t="str">
        <f>'09월 에너지'!D838</f>
        <v/>
      </c>
      <c r="E838" s="1000" t="str">
        <f>'09월 에너지'!E838</f>
        <v/>
      </c>
      <c r="F838" s="1094" t="str">
        <f>'09월 에너지'!F838</f>
        <v/>
      </c>
      <c r="G838" s="980"/>
      <c r="H838" s="978"/>
      <c r="I838" s="978"/>
      <c r="J838" s="978"/>
      <c r="K838" s="978"/>
      <c r="L838" s="978"/>
      <c r="M838" s="978"/>
      <c r="N838" s="978"/>
      <c r="O838" s="1106" t="str">
        <f t="shared" si="155"/>
        <v/>
      </c>
      <c r="P838" s="1108"/>
      <c r="Q838" s="979"/>
      <c r="R838" s="979"/>
      <c r="S838" s="979"/>
      <c r="T838" s="979"/>
      <c r="U838" s="979"/>
      <c r="V838" s="979"/>
      <c r="W838" s="979"/>
      <c r="X838" s="979"/>
      <c r="Y838" s="979"/>
      <c r="Z838" s="979"/>
      <c r="AA838" s="979"/>
      <c r="AB838" s="979"/>
      <c r="AC838" s="979"/>
      <c r="AD838" s="979"/>
      <c r="AE838" s="1109" t="str">
        <f t="shared" si="156"/>
        <v/>
      </c>
      <c r="AF838" s="1113"/>
      <c r="AG838" s="981"/>
      <c r="AH838" s="981"/>
      <c r="AI838" s="1114" t="str">
        <f t="shared" si="157"/>
        <v/>
      </c>
      <c r="AJ838" s="1110" t="str">
        <f t="shared" si="158"/>
        <v/>
      </c>
      <c r="AK838" s="982">
        <f>'09월 에너지'!S838</f>
        <v>0</v>
      </c>
      <c r="AL838" s="983">
        <f t="shared" si="159"/>
        <v>0</v>
      </c>
    </row>
    <row r="839" spans="1:38" ht="16.5" customHeight="1">
      <c r="A839" s="999" t="str">
        <f>'09월 에너지'!A839</f>
        <v/>
      </c>
      <c r="B839" s="1002" t="str">
        <f>'09월 조업일지'!B837</f>
        <v/>
      </c>
      <c r="C839" s="1003" t="str">
        <f>'09월 에너지'!C839</f>
        <v/>
      </c>
      <c r="D839" s="1004" t="str">
        <f>'09월 에너지'!D839</f>
        <v/>
      </c>
      <c r="E839" s="1000" t="str">
        <f>'09월 에너지'!E839</f>
        <v/>
      </c>
      <c r="F839" s="1094" t="str">
        <f>'09월 에너지'!F839</f>
        <v/>
      </c>
      <c r="G839" s="980"/>
      <c r="H839" s="978"/>
      <c r="I839" s="978"/>
      <c r="J839" s="978"/>
      <c r="K839" s="978"/>
      <c r="L839" s="978"/>
      <c r="M839" s="978"/>
      <c r="N839" s="978"/>
      <c r="O839" s="1106" t="str">
        <f t="shared" si="155"/>
        <v/>
      </c>
      <c r="P839" s="1108"/>
      <c r="Q839" s="979"/>
      <c r="R839" s="979"/>
      <c r="S839" s="979"/>
      <c r="T839" s="979"/>
      <c r="U839" s="979"/>
      <c r="V839" s="979"/>
      <c r="W839" s="979"/>
      <c r="X839" s="979"/>
      <c r="Y839" s="979"/>
      <c r="Z839" s="979"/>
      <c r="AA839" s="979"/>
      <c r="AB839" s="979"/>
      <c r="AC839" s="979"/>
      <c r="AD839" s="979"/>
      <c r="AE839" s="1109" t="str">
        <f t="shared" si="156"/>
        <v/>
      </c>
      <c r="AF839" s="1113"/>
      <c r="AG839" s="981"/>
      <c r="AH839" s="981"/>
      <c r="AI839" s="1114" t="str">
        <f t="shared" si="157"/>
        <v/>
      </c>
      <c r="AJ839" s="1110" t="str">
        <f t="shared" si="158"/>
        <v/>
      </c>
      <c r="AK839" s="982">
        <f>'09월 에너지'!S839</f>
        <v>0</v>
      </c>
      <c r="AL839" s="983">
        <f t="shared" si="159"/>
        <v>0</v>
      </c>
    </row>
    <row r="840" spans="1:38" ht="16.5" customHeight="1">
      <c r="A840" s="999" t="str">
        <f>'09월 에너지'!A840</f>
        <v/>
      </c>
      <c r="B840" s="1002" t="str">
        <f>'09월 조업일지'!B838</f>
        <v/>
      </c>
      <c r="C840" s="1003" t="str">
        <f>'09월 에너지'!C840</f>
        <v/>
      </c>
      <c r="D840" s="1004" t="str">
        <f>'09월 에너지'!D840</f>
        <v/>
      </c>
      <c r="E840" s="1000" t="str">
        <f>'09월 에너지'!E840</f>
        <v/>
      </c>
      <c r="F840" s="1094" t="str">
        <f>'09월 에너지'!F840</f>
        <v/>
      </c>
      <c r="G840" s="980"/>
      <c r="H840" s="978"/>
      <c r="I840" s="978"/>
      <c r="J840" s="978"/>
      <c r="K840" s="978"/>
      <c r="L840" s="978"/>
      <c r="M840" s="978"/>
      <c r="N840" s="978"/>
      <c r="O840" s="1106" t="str">
        <f t="shared" si="155"/>
        <v/>
      </c>
      <c r="P840" s="1108"/>
      <c r="Q840" s="979"/>
      <c r="R840" s="979"/>
      <c r="S840" s="979"/>
      <c r="T840" s="979"/>
      <c r="U840" s="979"/>
      <c r="V840" s="979"/>
      <c r="W840" s="979"/>
      <c r="X840" s="979"/>
      <c r="Y840" s="979"/>
      <c r="Z840" s="979"/>
      <c r="AA840" s="979"/>
      <c r="AB840" s="979"/>
      <c r="AC840" s="979"/>
      <c r="AD840" s="979"/>
      <c r="AE840" s="1109" t="str">
        <f t="shared" si="156"/>
        <v/>
      </c>
      <c r="AF840" s="1113"/>
      <c r="AG840" s="981"/>
      <c r="AH840" s="981"/>
      <c r="AI840" s="1114" t="str">
        <f t="shared" si="157"/>
        <v/>
      </c>
      <c r="AJ840" s="1110" t="str">
        <f t="shared" si="158"/>
        <v/>
      </c>
      <c r="AK840" s="982">
        <f>'09월 에너지'!S840</f>
        <v>0</v>
      </c>
      <c r="AL840" s="983">
        <f t="shared" si="159"/>
        <v>0</v>
      </c>
    </row>
    <row r="841" spans="1:38" ht="16.5" customHeight="1">
      <c r="A841" s="999" t="str">
        <f>'09월 에너지'!A841</f>
        <v/>
      </c>
      <c r="B841" s="1002" t="str">
        <f>'09월 조업일지'!B839</f>
        <v/>
      </c>
      <c r="C841" s="1003" t="str">
        <f>'09월 에너지'!C841</f>
        <v/>
      </c>
      <c r="D841" s="1004" t="str">
        <f>'09월 에너지'!D841</f>
        <v/>
      </c>
      <c r="E841" s="1000" t="str">
        <f>'09월 에너지'!E841</f>
        <v/>
      </c>
      <c r="F841" s="1094" t="str">
        <f>'09월 에너지'!F841</f>
        <v/>
      </c>
      <c r="G841" s="980"/>
      <c r="H841" s="978"/>
      <c r="I841" s="978"/>
      <c r="J841" s="978"/>
      <c r="K841" s="978"/>
      <c r="L841" s="978"/>
      <c r="M841" s="978"/>
      <c r="N841" s="978"/>
      <c r="O841" s="1106" t="str">
        <f t="shared" si="155"/>
        <v/>
      </c>
      <c r="P841" s="1108"/>
      <c r="Q841" s="979"/>
      <c r="R841" s="979"/>
      <c r="S841" s="979"/>
      <c r="T841" s="979"/>
      <c r="U841" s="979"/>
      <c r="V841" s="979"/>
      <c r="W841" s="979"/>
      <c r="X841" s="979"/>
      <c r="Y841" s="979"/>
      <c r="Z841" s="979"/>
      <c r="AA841" s="979"/>
      <c r="AB841" s="979"/>
      <c r="AC841" s="979"/>
      <c r="AD841" s="979"/>
      <c r="AE841" s="1109" t="str">
        <f t="shared" si="156"/>
        <v/>
      </c>
      <c r="AF841" s="1113"/>
      <c r="AG841" s="981"/>
      <c r="AH841" s="981"/>
      <c r="AI841" s="1114" t="str">
        <f t="shared" si="157"/>
        <v/>
      </c>
      <c r="AJ841" s="1110" t="str">
        <f t="shared" si="158"/>
        <v/>
      </c>
      <c r="AK841" s="982">
        <f>'09월 에너지'!S841</f>
        <v>0</v>
      </c>
      <c r="AL841" s="983">
        <f t="shared" si="159"/>
        <v>0</v>
      </c>
    </row>
    <row r="842" spans="1:38" ht="16.5" customHeight="1">
      <c r="A842" s="999" t="str">
        <f>'09월 에너지'!A842</f>
        <v/>
      </c>
      <c r="B842" s="1002" t="str">
        <f>'09월 조업일지'!B840</f>
        <v/>
      </c>
      <c r="C842" s="1003" t="str">
        <f>'09월 에너지'!C842</f>
        <v/>
      </c>
      <c r="D842" s="1004" t="str">
        <f>'09월 에너지'!D842</f>
        <v/>
      </c>
      <c r="E842" s="1000" t="str">
        <f>'09월 에너지'!E842</f>
        <v/>
      </c>
      <c r="F842" s="1094" t="str">
        <f>'09월 에너지'!F842</f>
        <v/>
      </c>
      <c r="G842" s="980"/>
      <c r="H842" s="978"/>
      <c r="I842" s="978"/>
      <c r="J842" s="978"/>
      <c r="K842" s="978"/>
      <c r="L842" s="978"/>
      <c r="M842" s="978"/>
      <c r="N842" s="978"/>
      <c r="O842" s="1106" t="str">
        <f t="shared" si="155"/>
        <v/>
      </c>
      <c r="P842" s="1108"/>
      <c r="Q842" s="979"/>
      <c r="R842" s="979"/>
      <c r="S842" s="979"/>
      <c r="T842" s="979"/>
      <c r="U842" s="979"/>
      <c r="V842" s="979"/>
      <c r="W842" s="979"/>
      <c r="X842" s="979"/>
      <c r="Y842" s="979"/>
      <c r="Z842" s="979"/>
      <c r="AA842" s="979"/>
      <c r="AB842" s="979"/>
      <c r="AC842" s="979"/>
      <c r="AD842" s="979"/>
      <c r="AE842" s="1109" t="str">
        <f t="shared" si="156"/>
        <v/>
      </c>
      <c r="AF842" s="1113"/>
      <c r="AG842" s="981"/>
      <c r="AH842" s="981"/>
      <c r="AI842" s="1114" t="str">
        <f t="shared" si="157"/>
        <v/>
      </c>
      <c r="AJ842" s="1110" t="str">
        <f t="shared" si="158"/>
        <v/>
      </c>
      <c r="AK842" s="982">
        <f>'09월 에너지'!S842</f>
        <v>0</v>
      </c>
      <c r="AL842" s="983">
        <f t="shared" si="159"/>
        <v>0</v>
      </c>
    </row>
    <row r="843" spans="1:38" ht="16.5" customHeight="1">
      <c r="A843" s="999" t="str">
        <f>'09월 에너지'!A843</f>
        <v/>
      </c>
      <c r="B843" s="1002" t="str">
        <f>'09월 조업일지'!B841</f>
        <v/>
      </c>
      <c r="C843" s="1003" t="str">
        <f>'09월 에너지'!C843</f>
        <v/>
      </c>
      <c r="D843" s="1004" t="str">
        <f>'09월 에너지'!D843</f>
        <v/>
      </c>
      <c r="E843" s="1000" t="str">
        <f>'09월 에너지'!E843</f>
        <v/>
      </c>
      <c r="F843" s="1094" t="str">
        <f>'09월 에너지'!F843</f>
        <v/>
      </c>
      <c r="G843" s="980"/>
      <c r="H843" s="978"/>
      <c r="I843" s="978"/>
      <c r="J843" s="978"/>
      <c r="K843" s="978"/>
      <c r="L843" s="978"/>
      <c r="M843" s="978"/>
      <c r="N843" s="978"/>
      <c r="O843" s="1106" t="str">
        <f t="shared" si="155"/>
        <v/>
      </c>
      <c r="P843" s="1108"/>
      <c r="Q843" s="979"/>
      <c r="R843" s="979"/>
      <c r="S843" s="979"/>
      <c r="T843" s="979"/>
      <c r="U843" s="979"/>
      <c r="V843" s="979"/>
      <c r="W843" s="979"/>
      <c r="X843" s="979"/>
      <c r="Y843" s="979"/>
      <c r="Z843" s="979"/>
      <c r="AA843" s="979"/>
      <c r="AB843" s="979"/>
      <c r="AC843" s="979"/>
      <c r="AD843" s="979"/>
      <c r="AE843" s="1109" t="str">
        <f t="shared" si="156"/>
        <v/>
      </c>
      <c r="AF843" s="1113"/>
      <c r="AG843" s="981"/>
      <c r="AH843" s="981"/>
      <c r="AI843" s="1114" t="str">
        <f t="shared" si="157"/>
        <v/>
      </c>
      <c r="AJ843" s="1110" t="str">
        <f t="shared" si="158"/>
        <v/>
      </c>
      <c r="AK843" s="982">
        <f>'09월 에너지'!S843</f>
        <v>0</v>
      </c>
      <c r="AL843" s="983">
        <f t="shared" si="159"/>
        <v>0</v>
      </c>
    </row>
    <row r="844" spans="1:38" ht="16.5" customHeight="1">
      <c r="A844" s="999" t="str">
        <f>'09월 에너지'!A844</f>
        <v/>
      </c>
      <c r="B844" s="1002" t="str">
        <f>'09월 조업일지'!B842</f>
        <v/>
      </c>
      <c r="C844" s="1003" t="str">
        <f>'09월 에너지'!C844</f>
        <v/>
      </c>
      <c r="D844" s="1004" t="str">
        <f>'09월 에너지'!D844</f>
        <v/>
      </c>
      <c r="E844" s="1000" t="str">
        <f>'09월 에너지'!E844</f>
        <v/>
      </c>
      <c r="F844" s="1094" t="str">
        <f>'09월 에너지'!F844</f>
        <v/>
      </c>
      <c r="G844" s="980"/>
      <c r="H844" s="978"/>
      <c r="I844" s="978"/>
      <c r="J844" s="978"/>
      <c r="K844" s="978"/>
      <c r="L844" s="978"/>
      <c r="M844" s="978"/>
      <c r="N844" s="978"/>
      <c r="O844" s="1106" t="str">
        <f t="shared" si="155"/>
        <v/>
      </c>
      <c r="P844" s="1108"/>
      <c r="Q844" s="979"/>
      <c r="R844" s="979"/>
      <c r="S844" s="979"/>
      <c r="T844" s="979"/>
      <c r="U844" s="979"/>
      <c r="V844" s="979"/>
      <c r="W844" s="979"/>
      <c r="X844" s="979"/>
      <c r="Y844" s="979"/>
      <c r="Z844" s="979"/>
      <c r="AA844" s="979"/>
      <c r="AB844" s="979"/>
      <c r="AC844" s="979"/>
      <c r="AD844" s="979"/>
      <c r="AE844" s="1109" t="str">
        <f t="shared" si="156"/>
        <v/>
      </c>
      <c r="AF844" s="1113"/>
      <c r="AG844" s="981"/>
      <c r="AH844" s="981"/>
      <c r="AI844" s="1114" t="str">
        <f t="shared" si="157"/>
        <v/>
      </c>
      <c r="AJ844" s="1110" t="str">
        <f t="shared" si="158"/>
        <v/>
      </c>
      <c r="AK844" s="982">
        <f>'09월 에너지'!S844</f>
        <v>0</v>
      </c>
      <c r="AL844" s="983">
        <f t="shared" si="159"/>
        <v>0</v>
      </c>
    </row>
    <row r="845" spans="1:38" ht="16.5" customHeight="1">
      <c r="A845" s="999" t="str">
        <f>'09월 에너지'!A845</f>
        <v/>
      </c>
      <c r="B845" s="1002" t="str">
        <f>'09월 조업일지'!B843</f>
        <v/>
      </c>
      <c r="C845" s="1003" t="str">
        <f>'09월 에너지'!C845</f>
        <v/>
      </c>
      <c r="D845" s="1004" t="str">
        <f>'09월 에너지'!D845</f>
        <v/>
      </c>
      <c r="E845" s="1000" t="str">
        <f>'09월 에너지'!E845</f>
        <v/>
      </c>
      <c r="F845" s="1094" t="str">
        <f>'09월 에너지'!F845</f>
        <v/>
      </c>
      <c r="G845" s="980"/>
      <c r="H845" s="978"/>
      <c r="I845" s="978"/>
      <c r="J845" s="978"/>
      <c r="K845" s="978"/>
      <c r="L845" s="978"/>
      <c r="M845" s="978"/>
      <c r="N845" s="978"/>
      <c r="O845" s="1106" t="str">
        <f t="shared" si="155"/>
        <v/>
      </c>
      <c r="P845" s="1108"/>
      <c r="Q845" s="979"/>
      <c r="R845" s="979"/>
      <c r="S845" s="979"/>
      <c r="T845" s="979"/>
      <c r="U845" s="979"/>
      <c r="V845" s="979"/>
      <c r="W845" s="979"/>
      <c r="X845" s="979"/>
      <c r="Y845" s="979"/>
      <c r="Z845" s="979"/>
      <c r="AA845" s="979"/>
      <c r="AB845" s="979"/>
      <c r="AC845" s="979"/>
      <c r="AD845" s="979"/>
      <c r="AE845" s="1109" t="str">
        <f t="shared" si="156"/>
        <v/>
      </c>
      <c r="AF845" s="1113"/>
      <c r="AG845" s="981"/>
      <c r="AH845" s="981"/>
      <c r="AI845" s="1114" t="str">
        <f t="shared" si="157"/>
        <v/>
      </c>
      <c r="AJ845" s="1110" t="str">
        <f t="shared" si="158"/>
        <v/>
      </c>
      <c r="AK845" s="982">
        <f>'09월 에너지'!S845</f>
        <v>0</v>
      </c>
      <c r="AL845" s="983">
        <f t="shared" si="159"/>
        <v>0</v>
      </c>
    </row>
    <row r="846" spans="1:38" ht="16.5" customHeight="1">
      <c r="A846" s="999" t="str">
        <f>'09월 에너지'!A846</f>
        <v/>
      </c>
      <c r="B846" s="1002" t="str">
        <f>'09월 조업일지'!B844</f>
        <v/>
      </c>
      <c r="C846" s="1003" t="str">
        <f>'09월 에너지'!C846</f>
        <v/>
      </c>
      <c r="D846" s="1004" t="str">
        <f>'09월 에너지'!D846</f>
        <v/>
      </c>
      <c r="E846" s="1000" t="str">
        <f>'09월 에너지'!E846</f>
        <v/>
      </c>
      <c r="F846" s="1094" t="str">
        <f>'09월 에너지'!F846</f>
        <v/>
      </c>
      <c r="G846" s="980"/>
      <c r="H846" s="978"/>
      <c r="I846" s="978"/>
      <c r="J846" s="978"/>
      <c r="K846" s="978"/>
      <c r="L846" s="978"/>
      <c r="M846" s="978"/>
      <c r="N846" s="978"/>
      <c r="O846" s="1106" t="str">
        <f t="shared" si="155"/>
        <v/>
      </c>
      <c r="P846" s="1108"/>
      <c r="Q846" s="979"/>
      <c r="R846" s="979"/>
      <c r="S846" s="979"/>
      <c r="T846" s="979"/>
      <c r="U846" s="979"/>
      <c r="V846" s="979"/>
      <c r="W846" s="979"/>
      <c r="X846" s="979"/>
      <c r="Y846" s="979"/>
      <c r="Z846" s="979"/>
      <c r="AA846" s="979"/>
      <c r="AB846" s="979"/>
      <c r="AC846" s="979"/>
      <c r="AD846" s="979"/>
      <c r="AE846" s="1109" t="str">
        <f t="shared" si="156"/>
        <v/>
      </c>
      <c r="AF846" s="1113"/>
      <c r="AG846" s="981"/>
      <c r="AH846" s="981"/>
      <c r="AI846" s="1114" t="str">
        <f t="shared" si="157"/>
        <v/>
      </c>
      <c r="AJ846" s="1110" t="str">
        <f t="shared" si="158"/>
        <v/>
      </c>
      <c r="AK846" s="982">
        <f>'09월 에너지'!S846</f>
        <v>0</v>
      </c>
      <c r="AL846" s="983">
        <f t="shared" si="159"/>
        <v>0</v>
      </c>
    </row>
    <row r="847" spans="1:38" ht="16.5" customHeight="1">
      <c r="A847" s="999" t="str">
        <f>'09월 에너지'!A847</f>
        <v/>
      </c>
      <c r="B847" s="1002" t="str">
        <f>'09월 조업일지'!B845</f>
        <v/>
      </c>
      <c r="C847" s="1003" t="str">
        <f>'09월 에너지'!C847</f>
        <v/>
      </c>
      <c r="D847" s="1004" t="str">
        <f>'09월 에너지'!D847</f>
        <v/>
      </c>
      <c r="E847" s="1000" t="str">
        <f>'09월 에너지'!E847</f>
        <v/>
      </c>
      <c r="F847" s="1094" t="str">
        <f>'09월 에너지'!F847</f>
        <v/>
      </c>
      <c r="G847" s="980"/>
      <c r="H847" s="978"/>
      <c r="I847" s="978"/>
      <c r="J847" s="978"/>
      <c r="K847" s="978"/>
      <c r="L847" s="978"/>
      <c r="M847" s="978"/>
      <c r="N847" s="978"/>
      <c r="O847" s="1106" t="str">
        <f t="shared" ref="O847:O910" si="162">IF(SUM(G847:N847)=0,"",SUM(G847:N847))</f>
        <v/>
      </c>
      <c r="P847" s="1108"/>
      <c r="Q847" s="979"/>
      <c r="R847" s="979"/>
      <c r="S847" s="979"/>
      <c r="T847" s="979"/>
      <c r="U847" s="979"/>
      <c r="V847" s="979"/>
      <c r="W847" s="979"/>
      <c r="X847" s="979"/>
      <c r="Y847" s="979"/>
      <c r="Z847" s="979"/>
      <c r="AA847" s="979"/>
      <c r="AB847" s="979"/>
      <c r="AC847" s="979"/>
      <c r="AD847" s="979"/>
      <c r="AE847" s="1109" t="str">
        <f t="shared" ref="AE847:AE910" si="163">IF(SUM(P847:AD847)=0,"",SUM(P847:AD847))</f>
        <v/>
      </c>
      <c r="AF847" s="1113"/>
      <c r="AG847" s="981"/>
      <c r="AH847" s="981"/>
      <c r="AI847" s="1114" t="str">
        <f t="shared" ref="AI847:AI910" si="164">IF(SUM(AF847:AH847)=0,"",SUM(AF847:AH847))</f>
        <v/>
      </c>
      <c r="AJ847" s="1110" t="str">
        <f t="shared" ref="AJ847:AJ910" si="165">IF(SUM(O847,AE847,AI847)=0,"",SUM(O847,AE847,AI847))</f>
        <v/>
      </c>
      <c r="AK847" s="982">
        <f>'09월 에너지'!S847</f>
        <v>0</v>
      </c>
      <c r="AL847" s="983">
        <f t="shared" ref="AL847:AL910" si="166">IF(ISERROR(IF(AK847="","",(AK847*1000)/AJ847)),0,(IF(AK847="","",(AK847*1000)/AJ847)))</f>
        <v>0</v>
      </c>
    </row>
    <row r="848" spans="1:38" ht="16.5" customHeight="1">
      <c r="A848" s="999" t="str">
        <f>'09월 에너지'!A848</f>
        <v/>
      </c>
      <c r="B848" s="1002" t="str">
        <f>'09월 조업일지'!B846</f>
        <v/>
      </c>
      <c r="C848" s="1003" t="str">
        <f>'09월 에너지'!C848</f>
        <v/>
      </c>
      <c r="D848" s="1004" t="str">
        <f>'09월 에너지'!D848</f>
        <v/>
      </c>
      <c r="E848" s="1000" t="str">
        <f>'09월 에너지'!E848</f>
        <v/>
      </c>
      <c r="F848" s="1094" t="str">
        <f>'09월 에너지'!F848</f>
        <v/>
      </c>
      <c r="G848" s="980"/>
      <c r="H848" s="978"/>
      <c r="I848" s="978"/>
      <c r="J848" s="978"/>
      <c r="K848" s="978"/>
      <c r="L848" s="978"/>
      <c r="M848" s="978"/>
      <c r="N848" s="978"/>
      <c r="O848" s="1106" t="str">
        <f t="shared" si="162"/>
        <v/>
      </c>
      <c r="P848" s="1108"/>
      <c r="Q848" s="979"/>
      <c r="R848" s="979"/>
      <c r="S848" s="979"/>
      <c r="T848" s="979"/>
      <c r="U848" s="979"/>
      <c r="V848" s="979"/>
      <c r="W848" s="979"/>
      <c r="X848" s="979"/>
      <c r="Y848" s="979"/>
      <c r="Z848" s="979"/>
      <c r="AA848" s="979"/>
      <c r="AB848" s="979"/>
      <c r="AC848" s="979"/>
      <c r="AD848" s="979"/>
      <c r="AE848" s="1109" t="str">
        <f t="shared" si="163"/>
        <v/>
      </c>
      <c r="AF848" s="1113"/>
      <c r="AG848" s="981"/>
      <c r="AH848" s="981"/>
      <c r="AI848" s="1114" t="str">
        <f t="shared" si="164"/>
        <v/>
      </c>
      <c r="AJ848" s="1110" t="str">
        <f t="shared" si="165"/>
        <v/>
      </c>
      <c r="AK848" s="982">
        <f>'09월 에너지'!S848</f>
        <v>0</v>
      </c>
      <c r="AL848" s="983">
        <f t="shared" si="166"/>
        <v>0</v>
      </c>
    </row>
    <row r="849" spans="1:38" ht="16.5" customHeight="1">
      <c r="A849" s="999" t="str">
        <f>'09월 에너지'!A849</f>
        <v/>
      </c>
      <c r="B849" s="1002" t="str">
        <f>'09월 조업일지'!B847</f>
        <v/>
      </c>
      <c r="C849" s="1003" t="str">
        <f>'09월 에너지'!C849</f>
        <v/>
      </c>
      <c r="D849" s="1004" t="str">
        <f>'09월 에너지'!D849</f>
        <v/>
      </c>
      <c r="E849" s="1000" t="str">
        <f>'09월 에너지'!E849</f>
        <v/>
      </c>
      <c r="F849" s="1094" t="str">
        <f>'09월 에너지'!F849</f>
        <v/>
      </c>
      <c r="G849" s="980"/>
      <c r="H849" s="978"/>
      <c r="I849" s="978"/>
      <c r="J849" s="978"/>
      <c r="K849" s="978"/>
      <c r="L849" s="978"/>
      <c r="M849" s="978"/>
      <c r="N849" s="978"/>
      <c r="O849" s="1106" t="str">
        <f t="shared" si="162"/>
        <v/>
      </c>
      <c r="P849" s="1108"/>
      <c r="Q849" s="979"/>
      <c r="R849" s="979"/>
      <c r="S849" s="979"/>
      <c r="T849" s="979"/>
      <c r="U849" s="979"/>
      <c r="V849" s="979"/>
      <c r="W849" s="979"/>
      <c r="X849" s="979"/>
      <c r="Y849" s="979"/>
      <c r="Z849" s="979"/>
      <c r="AA849" s="979"/>
      <c r="AB849" s="979"/>
      <c r="AC849" s="979"/>
      <c r="AD849" s="979"/>
      <c r="AE849" s="1109" t="str">
        <f t="shared" si="163"/>
        <v/>
      </c>
      <c r="AF849" s="1113"/>
      <c r="AG849" s="981"/>
      <c r="AH849" s="981"/>
      <c r="AI849" s="1114" t="str">
        <f t="shared" si="164"/>
        <v/>
      </c>
      <c r="AJ849" s="1110" t="str">
        <f t="shared" si="165"/>
        <v/>
      </c>
      <c r="AK849" s="982">
        <f>'09월 에너지'!S849</f>
        <v>0</v>
      </c>
      <c r="AL849" s="983">
        <f t="shared" si="166"/>
        <v>0</v>
      </c>
    </row>
    <row r="850" spans="1:38" ht="16.5" customHeight="1">
      <c r="A850" s="999" t="str">
        <f>'09월 에너지'!A850</f>
        <v/>
      </c>
      <c r="B850" s="1002" t="str">
        <f>'09월 조업일지'!B848</f>
        <v/>
      </c>
      <c r="C850" s="1003" t="str">
        <f>'09월 에너지'!C850</f>
        <v/>
      </c>
      <c r="D850" s="1004" t="str">
        <f>'09월 에너지'!D850</f>
        <v/>
      </c>
      <c r="E850" s="1000" t="str">
        <f>'09월 에너지'!E850</f>
        <v/>
      </c>
      <c r="F850" s="1094" t="str">
        <f>'09월 에너지'!F850</f>
        <v/>
      </c>
      <c r="G850" s="980"/>
      <c r="H850" s="978"/>
      <c r="I850" s="978"/>
      <c r="J850" s="978"/>
      <c r="K850" s="978"/>
      <c r="L850" s="978"/>
      <c r="M850" s="978"/>
      <c r="N850" s="978"/>
      <c r="O850" s="1106" t="str">
        <f t="shared" si="162"/>
        <v/>
      </c>
      <c r="P850" s="1108"/>
      <c r="Q850" s="979"/>
      <c r="R850" s="979"/>
      <c r="S850" s="979"/>
      <c r="T850" s="979"/>
      <c r="U850" s="979"/>
      <c r="V850" s="979"/>
      <c r="W850" s="979"/>
      <c r="X850" s="979"/>
      <c r="Y850" s="979"/>
      <c r="Z850" s="979"/>
      <c r="AA850" s="979"/>
      <c r="AB850" s="979"/>
      <c r="AC850" s="979"/>
      <c r="AD850" s="979"/>
      <c r="AE850" s="1109" t="str">
        <f t="shared" si="163"/>
        <v/>
      </c>
      <c r="AF850" s="1113"/>
      <c r="AG850" s="981"/>
      <c r="AH850" s="981"/>
      <c r="AI850" s="1114" t="str">
        <f t="shared" si="164"/>
        <v/>
      </c>
      <c r="AJ850" s="1110" t="str">
        <f t="shared" si="165"/>
        <v/>
      </c>
      <c r="AK850" s="982">
        <f>'09월 에너지'!S850</f>
        <v>0</v>
      </c>
      <c r="AL850" s="983">
        <f t="shared" si="166"/>
        <v>0</v>
      </c>
    </row>
    <row r="851" spans="1:38" ht="16.5" customHeight="1">
      <c r="A851" s="999" t="str">
        <f>'09월 에너지'!A851</f>
        <v/>
      </c>
      <c r="B851" s="1002" t="str">
        <f>'09월 조업일지'!B849</f>
        <v/>
      </c>
      <c r="C851" s="1003" t="str">
        <f>'09월 에너지'!C851</f>
        <v/>
      </c>
      <c r="D851" s="1004" t="str">
        <f>'09월 에너지'!D851</f>
        <v/>
      </c>
      <c r="E851" s="1000" t="str">
        <f>'09월 에너지'!E851</f>
        <v/>
      </c>
      <c r="F851" s="1094" t="str">
        <f>'09월 에너지'!F851</f>
        <v/>
      </c>
      <c r="G851" s="980"/>
      <c r="H851" s="978"/>
      <c r="I851" s="978"/>
      <c r="J851" s="978"/>
      <c r="K851" s="978"/>
      <c r="L851" s="978"/>
      <c r="M851" s="978"/>
      <c r="N851" s="978"/>
      <c r="O851" s="1106" t="str">
        <f t="shared" si="162"/>
        <v/>
      </c>
      <c r="P851" s="1108"/>
      <c r="Q851" s="979"/>
      <c r="R851" s="979"/>
      <c r="S851" s="979"/>
      <c r="T851" s="979"/>
      <c r="U851" s="979"/>
      <c r="V851" s="979"/>
      <c r="W851" s="979"/>
      <c r="X851" s="979"/>
      <c r="Y851" s="979"/>
      <c r="Z851" s="979"/>
      <c r="AA851" s="979"/>
      <c r="AB851" s="979"/>
      <c r="AC851" s="979"/>
      <c r="AD851" s="979"/>
      <c r="AE851" s="1109" t="str">
        <f t="shared" si="163"/>
        <v/>
      </c>
      <c r="AF851" s="1113"/>
      <c r="AG851" s="981"/>
      <c r="AH851" s="981"/>
      <c r="AI851" s="1114" t="str">
        <f t="shared" si="164"/>
        <v/>
      </c>
      <c r="AJ851" s="1110" t="str">
        <f t="shared" si="165"/>
        <v/>
      </c>
      <c r="AK851" s="982">
        <f>'09월 에너지'!S851</f>
        <v>0</v>
      </c>
      <c r="AL851" s="983">
        <f t="shared" si="166"/>
        <v>0</v>
      </c>
    </row>
    <row r="852" spans="1:38" ht="16.5" customHeight="1">
      <c r="A852" s="999" t="str">
        <f>'09월 에너지'!A852</f>
        <v/>
      </c>
      <c r="B852" s="1002" t="str">
        <f>'09월 조업일지'!B850</f>
        <v/>
      </c>
      <c r="C852" s="1003" t="str">
        <f>'09월 에너지'!C852</f>
        <v/>
      </c>
      <c r="D852" s="1004" t="str">
        <f>'09월 에너지'!D852</f>
        <v/>
      </c>
      <c r="E852" s="1000" t="str">
        <f>'09월 에너지'!E852</f>
        <v/>
      </c>
      <c r="F852" s="1094" t="str">
        <f>'09월 에너지'!F852</f>
        <v/>
      </c>
      <c r="G852" s="980"/>
      <c r="H852" s="978"/>
      <c r="I852" s="978"/>
      <c r="J852" s="978"/>
      <c r="K852" s="978"/>
      <c r="L852" s="978"/>
      <c r="M852" s="978"/>
      <c r="N852" s="978"/>
      <c r="O852" s="1106" t="str">
        <f t="shared" si="162"/>
        <v/>
      </c>
      <c r="P852" s="1108"/>
      <c r="Q852" s="979"/>
      <c r="R852" s="979"/>
      <c r="S852" s="979"/>
      <c r="T852" s="979"/>
      <c r="U852" s="979"/>
      <c r="V852" s="979"/>
      <c r="W852" s="979"/>
      <c r="X852" s="979"/>
      <c r="Y852" s="979"/>
      <c r="Z852" s="979"/>
      <c r="AA852" s="979"/>
      <c r="AB852" s="979"/>
      <c r="AC852" s="979"/>
      <c r="AD852" s="979"/>
      <c r="AE852" s="1109" t="str">
        <f t="shared" si="163"/>
        <v/>
      </c>
      <c r="AF852" s="1113"/>
      <c r="AG852" s="981"/>
      <c r="AH852" s="981"/>
      <c r="AI852" s="1114" t="str">
        <f t="shared" si="164"/>
        <v/>
      </c>
      <c r="AJ852" s="1110" t="str">
        <f t="shared" si="165"/>
        <v/>
      </c>
      <c r="AK852" s="982">
        <f>'09월 에너지'!S852</f>
        <v>0</v>
      </c>
      <c r="AL852" s="983">
        <f t="shared" si="166"/>
        <v>0</v>
      </c>
    </row>
    <row r="853" spans="1:38" ht="16.5" customHeight="1">
      <c r="A853" s="999" t="str">
        <f>'09월 에너지'!A853</f>
        <v/>
      </c>
      <c r="B853" s="1002" t="str">
        <f>'09월 조업일지'!B851</f>
        <v/>
      </c>
      <c r="C853" s="1003" t="str">
        <f>'09월 에너지'!C853</f>
        <v/>
      </c>
      <c r="D853" s="1004" t="str">
        <f>'09월 에너지'!D853</f>
        <v/>
      </c>
      <c r="E853" s="1000" t="str">
        <f>'09월 에너지'!E853</f>
        <v/>
      </c>
      <c r="F853" s="1094" t="str">
        <f>'09월 에너지'!F853</f>
        <v/>
      </c>
      <c r="G853" s="980"/>
      <c r="H853" s="978"/>
      <c r="I853" s="978"/>
      <c r="J853" s="978"/>
      <c r="K853" s="978"/>
      <c r="L853" s="978"/>
      <c r="M853" s="978"/>
      <c r="N853" s="978"/>
      <c r="O853" s="1106" t="str">
        <f t="shared" si="162"/>
        <v/>
      </c>
      <c r="P853" s="1108"/>
      <c r="Q853" s="979"/>
      <c r="R853" s="979"/>
      <c r="S853" s="979"/>
      <c r="T853" s="979"/>
      <c r="U853" s="979"/>
      <c r="V853" s="979"/>
      <c r="W853" s="979"/>
      <c r="X853" s="979"/>
      <c r="Y853" s="979"/>
      <c r="Z853" s="979"/>
      <c r="AA853" s="979"/>
      <c r="AB853" s="979"/>
      <c r="AC853" s="979"/>
      <c r="AD853" s="979"/>
      <c r="AE853" s="1109" t="str">
        <f t="shared" si="163"/>
        <v/>
      </c>
      <c r="AF853" s="1113"/>
      <c r="AG853" s="981"/>
      <c r="AH853" s="981"/>
      <c r="AI853" s="1114" t="str">
        <f t="shared" si="164"/>
        <v/>
      </c>
      <c r="AJ853" s="1110" t="str">
        <f t="shared" si="165"/>
        <v/>
      </c>
      <c r="AK853" s="982">
        <f>'09월 에너지'!S853</f>
        <v>0</v>
      </c>
      <c r="AL853" s="983">
        <f t="shared" si="166"/>
        <v>0</v>
      </c>
    </row>
    <row r="854" spans="1:38" ht="16.5" customHeight="1">
      <c r="A854" s="999" t="str">
        <f>'09월 에너지'!A854</f>
        <v/>
      </c>
      <c r="B854" s="1002" t="str">
        <f>'09월 조업일지'!B852</f>
        <v/>
      </c>
      <c r="C854" s="1003" t="str">
        <f>'09월 에너지'!C854</f>
        <v/>
      </c>
      <c r="D854" s="1004" t="str">
        <f>'09월 에너지'!D854</f>
        <v/>
      </c>
      <c r="E854" s="1000" t="str">
        <f>'09월 에너지'!E854</f>
        <v/>
      </c>
      <c r="F854" s="1094" t="str">
        <f>'09월 에너지'!F854</f>
        <v/>
      </c>
      <c r="G854" s="980"/>
      <c r="H854" s="978"/>
      <c r="I854" s="978"/>
      <c r="J854" s="978"/>
      <c r="K854" s="978"/>
      <c r="L854" s="978"/>
      <c r="M854" s="978"/>
      <c r="N854" s="978"/>
      <c r="O854" s="1106" t="str">
        <f t="shared" si="162"/>
        <v/>
      </c>
      <c r="P854" s="1108"/>
      <c r="Q854" s="979"/>
      <c r="R854" s="979"/>
      <c r="S854" s="979"/>
      <c r="T854" s="979"/>
      <c r="U854" s="979"/>
      <c r="V854" s="979"/>
      <c r="W854" s="979"/>
      <c r="X854" s="979"/>
      <c r="Y854" s="979"/>
      <c r="Z854" s="979"/>
      <c r="AA854" s="979"/>
      <c r="AB854" s="979"/>
      <c r="AC854" s="979"/>
      <c r="AD854" s="979"/>
      <c r="AE854" s="1109" t="str">
        <f t="shared" si="163"/>
        <v/>
      </c>
      <c r="AF854" s="1113"/>
      <c r="AG854" s="981"/>
      <c r="AH854" s="981"/>
      <c r="AI854" s="1114" t="str">
        <f t="shared" si="164"/>
        <v/>
      </c>
      <c r="AJ854" s="1110" t="str">
        <f t="shared" si="165"/>
        <v/>
      </c>
      <c r="AK854" s="982">
        <f>'09월 에너지'!S854</f>
        <v>0</v>
      </c>
      <c r="AL854" s="983">
        <f t="shared" si="166"/>
        <v>0</v>
      </c>
    </row>
    <row r="855" spans="1:38" ht="16.5" customHeight="1">
      <c r="A855" s="999" t="str">
        <f>'09월 에너지'!A855</f>
        <v/>
      </c>
      <c r="B855" s="1002" t="str">
        <f>'09월 조업일지'!B853</f>
        <v/>
      </c>
      <c r="C855" s="1003" t="str">
        <f>'09월 에너지'!C855</f>
        <v/>
      </c>
      <c r="D855" s="1004" t="str">
        <f>'09월 에너지'!D855</f>
        <v/>
      </c>
      <c r="E855" s="1000" t="str">
        <f>'09월 에너지'!E855</f>
        <v/>
      </c>
      <c r="F855" s="1094" t="str">
        <f>'09월 에너지'!F855</f>
        <v/>
      </c>
      <c r="G855" s="980"/>
      <c r="H855" s="978"/>
      <c r="I855" s="978"/>
      <c r="J855" s="978"/>
      <c r="K855" s="978"/>
      <c r="L855" s="978"/>
      <c r="M855" s="978"/>
      <c r="N855" s="978"/>
      <c r="O855" s="1106" t="str">
        <f t="shared" si="162"/>
        <v/>
      </c>
      <c r="P855" s="1108"/>
      <c r="Q855" s="979"/>
      <c r="R855" s="979"/>
      <c r="S855" s="979"/>
      <c r="T855" s="979"/>
      <c r="U855" s="979"/>
      <c r="V855" s="979"/>
      <c r="W855" s="979"/>
      <c r="X855" s="979"/>
      <c r="Y855" s="979"/>
      <c r="Z855" s="979"/>
      <c r="AA855" s="979"/>
      <c r="AB855" s="979"/>
      <c r="AC855" s="979"/>
      <c r="AD855" s="979"/>
      <c r="AE855" s="1109" t="str">
        <f t="shared" si="163"/>
        <v/>
      </c>
      <c r="AF855" s="1113"/>
      <c r="AG855" s="981"/>
      <c r="AH855" s="981"/>
      <c r="AI855" s="1114" t="str">
        <f t="shared" si="164"/>
        <v/>
      </c>
      <c r="AJ855" s="1110" t="str">
        <f t="shared" si="165"/>
        <v/>
      </c>
      <c r="AK855" s="982">
        <f>'09월 에너지'!S855</f>
        <v>0</v>
      </c>
      <c r="AL855" s="983">
        <f t="shared" si="166"/>
        <v>0</v>
      </c>
    </row>
    <row r="856" spans="1:38" ht="16.5" customHeight="1">
      <c r="A856" s="999" t="str">
        <f>'09월 에너지'!A856</f>
        <v/>
      </c>
      <c r="B856" s="1002" t="str">
        <f>'09월 조업일지'!B854</f>
        <v/>
      </c>
      <c r="C856" s="1003" t="str">
        <f>'09월 에너지'!C856</f>
        <v/>
      </c>
      <c r="D856" s="1004" t="str">
        <f>'09월 에너지'!D856</f>
        <v/>
      </c>
      <c r="E856" s="1000" t="str">
        <f>'09월 에너지'!E856</f>
        <v/>
      </c>
      <c r="F856" s="1094" t="str">
        <f>'09월 에너지'!F856</f>
        <v/>
      </c>
      <c r="G856" s="980"/>
      <c r="H856" s="978"/>
      <c r="I856" s="978"/>
      <c r="J856" s="978"/>
      <c r="K856" s="978"/>
      <c r="L856" s="978"/>
      <c r="M856" s="978"/>
      <c r="N856" s="978"/>
      <c r="O856" s="1106" t="str">
        <f t="shared" si="162"/>
        <v/>
      </c>
      <c r="P856" s="1108"/>
      <c r="Q856" s="979"/>
      <c r="R856" s="979"/>
      <c r="S856" s="979"/>
      <c r="T856" s="979"/>
      <c r="U856" s="979"/>
      <c r="V856" s="979"/>
      <c r="W856" s="979"/>
      <c r="X856" s="979"/>
      <c r="Y856" s="979"/>
      <c r="Z856" s="979"/>
      <c r="AA856" s="979"/>
      <c r="AB856" s="979"/>
      <c r="AC856" s="979"/>
      <c r="AD856" s="979"/>
      <c r="AE856" s="1109" t="str">
        <f t="shared" si="163"/>
        <v/>
      </c>
      <c r="AF856" s="1113"/>
      <c r="AG856" s="981"/>
      <c r="AH856" s="981"/>
      <c r="AI856" s="1114" t="str">
        <f t="shared" si="164"/>
        <v/>
      </c>
      <c r="AJ856" s="1110" t="str">
        <f t="shared" si="165"/>
        <v/>
      </c>
      <c r="AK856" s="982">
        <f>'09월 에너지'!S856</f>
        <v>0</v>
      </c>
      <c r="AL856" s="983">
        <f t="shared" si="166"/>
        <v>0</v>
      </c>
    </row>
    <row r="857" spans="1:38" ht="16.5" customHeight="1">
      <c r="A857" s="999" t="str">
        <f>'09월 에너지'!A857</f>
        <v/>
      </c>
      <c r="B857" s="1002" t="str">
        <f>'09월 조업일지'!B855</f>
        <v/>
      </c>
      <c r="C857" s="1003" t="str">
        <f>'09월 에너지'!C857</f>
        <v/>
      </c>
      <c r="D857" s="1004" t="str">
        <f>'09월 에너지'!D857</f>
        <v/>
      </c>
      <c r="E857" s="1000" t="str">
        <f>'09월 에너지'!E857</f>
        <v/>
      </c>
      <c r="F857" s="1094" t="str">
        <f>'09월 에너지'!F857</f>
        <v/>
      </c>
      <c r="G857" s="980"/>
      <c r="H857" s="978"/>
      <c r="I857" s="978"/>
      <c r="J857" s="978"/>
      <c r="K857" s="978"/>
      <c r="L857" s="978"/>
      <c r="M857" s="978"/>
      <c r="N857" s="978"/>
      <c r="O857" s="1106" t="str">
        <f t="shared" si="162"/>
        <v/>
      </c>
      <c r="P857" s="1108"/>
      <c r="Q857" s="979"/>
      <c r="R857" s="979"/>
      <c r="S857" s="979"/>
      <c r="T857" s="979"/>
      <c r="U857" s="979"/>
      <c r="V857" s="979"/>
      <c r="W857" s="979"/>
      <c r="X857" s="979"/>
      <c r="Y857" s="979"/>
      <c r="Z857" s="979"/>
      <c r="AA857" s="979"/>
      <c r="AB857" s="979"/>
      <c r="AC857" s="979"/>
      <c r="AD857" s="979"/>
      <c r="AE857" s="1109" t="str">
        <f t="shared" si="163"/>
        <v/>
      </c>
      <c r="AF857" s="1113"/>
      <c r="AG857" s="981"/>
      <c r="AH857" s="981"/>
      <c r="AI857" s="1114" t="str">
        <f t="shared" si="164"/>
        <v/>
      </c>
      <c r="AJ857" s="1110" t="str">
        <f t="shared" si="165"/>
        <v/>
      </c>
      <c r="AK857" s="982">
        <f>'09월 에너지'!S857</f>
        <v>0</v>
      </c>
      <c r="AL857" s="983">
        <f t="shared" si="166"/>
        <v>0</v>
      </c>
    </row>
    <row r="858" spans="1:38" ht="16.5" customHeight="1">
      <c r="A858" s="999" t="str">
        <f>'09월 에너지'!A858</f>
        <v/>
      </c>
      <c r="B858" s="1002" t="str">
        <f>'09월 조업일지'!B856</f>
        <v/>
      </c>
      <c r="C858" s="1003" t="str">
        <f>'09월 에너지'!C858</f>
        <v/>
      </c>
      <c r="D858" s="1004" t="str">
        <f>'09월 에너지'!D858</f>
        <v/>
      </c>
      <c r="E858" s="1000" t="str">
        <f>'09월 에너지'!E858</f>
        <v/>
      </c>
      <c r="F858" s="1094" t="str">
        <f>'09월 에너지'!F858</f>
        <v/>
      </c>
      <c r="G858" s="980"/>
      <c r="H858" s="978"/>
      <c r="I858" s="978"/>
      <c r="J858" s="978"/>
      <c r="K858" s="978"/>
      <c r="L858" s="978"/>
      <c r="M858" s="978"/>
      <c r="N858" s="978"/>
      <c r="O858" s="1106" t="str">
        <f t="shared" si="162"/>
        <v/>
      </c>
      <c r="P858" s="1108"/>
      <c r="Q858" s="979"/>
      <c r="R858" s="979"/>
      <c r="S858" s="979"/>
      <c r="T858" s="979"/>
      <c r="U858" s="979"/>
      <c r="V858" s="979"/>
      <c r="W858" s="979"/>
      <c r="X858" s="979"/>
      <c r="Y858" s="979"/>
      <c r="Z858" s="979"/>
      <c r="AA858" s="979"/>
      <c r="AB858" s="979"/>
      <c r="AC858" s="979"/>
      <c r="AD858" s="979"/>
      <c r="AE858" s="1109" t="str">
        <f t="shared" si="163"/>
        <v/>
      </c>
      <c r="AF858" s="1113"/>
      <c r="AG858" s="981"/>
      <c r="AH858" s="981"/>
      <c r="AI858" s="1114" t="str">
        <f t="shared" si="164"/>
        <v/>
      </c>
      <c r="AJ858" s="1110" t="str">
        <f t="shared" si="165"/>
        <v/>
      </c>
      <c r="AK858" s="982">
        <f>'09월 에너지'!S858</f>
        <v>0</v>
      </c>
      <c r="AL858" s="983">
        <f t="shared" si="166"/>
        <v>0</v>
      </c>
    </row>
    <row r="859" spans="1:38" ht="16.5" customHeight="1">
      <c r="A859" s="999" t="str">
        <f>'09월 에너지'!A859</f>
        <v/>
      </c>
      <c r="B859" s="1002" t="str">
        <f>'09월 조업일지'!B857</f>
        <v/>
      </c>
      <c r="C859" s="1003" t="str">
        <f>'09월 에너지'!C859</f>
        <v/>
      </c>
      <c r="D859" s="1004" t="str">
        <f>'09월 에너지'!D859</f>
        <v/>
      </c>
      <c r="E859" s="1000" t="str">
        <f>'09월 에너지'!E859</f>
        <v/>
      </c>
      <c r="F859" s="1094" t="str">
        <f>'09월 에너지'!F859</f>
        <v/>
      </c>
      <c r="G859" s="980"/>
      <c r="H859" s="978"/>
      <c r="I859" s="978"/>
      <c r="J859" s="978"/>
      <c r="K859" s="978"/>
      <c r="L859" s="978"/>
      <c r="M859" s="978"/>
      <c r="N859" s="978"/>
      <c r="O859" s="1106" t="str">
        <f t="shared" si="162"/>
        <v/>
      </c>
      <c r="P859" s="1108"/>
      <c r="Q859" s="979"/>
      <c r="R859" s="979"/>
      <c r="S859" s="979"/>
      <c r="T859" s="979"/>
      <c r="U859" s="979"/>
      <c r="V859" s="979"/>
      <c r="W859" s="979"/>
      <c r="X859" s="979"/>
      <c r="Y859" s="979"/>
      <c r="Z859" s="979"/>
      <c r="AA859" s="979"/>
      <c r="AB859" s="979"/>
      <c r="AC859" s="979"/>
      <c r="AD859" s="979"/>
      <c r="AE859" s="1109" t="str">
        <f t="shared" si="163"/>
        <v/>
      </c>
      <c r="AF859" s="1113"/>
      <c r="AG859" s="981"/>
      <c r="AH859" s="981"/>
      <c r="AI859" s="1114" t="str">
        <f t="shared" si="164"/>
        <v/>
      </c>
      <c r="AJ859" s="1110" t="str">
        <f t="shared" si="165"/>
        <v/>
      </c>
      <c r="AK859" s="982">
        <f>'09월 에너지'!S859</f>
        <v>0</v>
      </c>
      <c r="AL859" s="983">
        <f t="shared" si="166"/>
        <v>0</v>
      </c>
    </row>
    <row r="860" spans="1:38" ht="16.5" customHeight="1">
      <c r="A860" s="999" t="str">
        <f>'09월 에너지'!A860</f>
        <v/>
      </c>
      <c r="B860" s="1002" t="str">
        <f>'09월 조업일지'!B858</f>
        <v/>
      </c>
      <c r="C860" s="1003" t="str">
        <f>'09월 에너지'!C860</f>
        <v/>
      </c>
      <c r="D860" s="1004" t="str">
        <f>'09월 에너지'!D860</f>
        <v/>
      </c>
      <c r="E860" s="1000" t="str">
        <f>'09월 에너지'!E860</f>
        <v/>
      </c>
      <c r="F860" s="1094" t="str">
        <f>'09월 에너지'!F860</f>
        <v/>
      </c>
      <c r="G860" s="980"/>
      <c r="H860" s="978"/>
      <c r="I860" s="978"/>
      <c r="J860" s="978"/>
      <c r="K860" s="978"/>
      <c r="L860" s="978"/>
      <c r="M860" s="978"/>
      <c r="N860" s="978"/>
      <c r="O860" s="1106" t="str">
        <f t="shared" si="162"/>
        <v/>
      </c>
      <c r="P860" s="1108"/>
      <c r="Q860" s="979"/>
      <c r="R860" s="979"/>
      <c r="S860" s="979"/>
      <c r="T860" s="979"/>
      <c r="U860" s="979"/>
      <c r="V860" s="979"/>
      <c r="W860" s="979"/>
      <c r="X860" s="979"/>
      <c r="Y860" s="979"/>
      <c r="Z860" s="979"/>
      <c r="AA860" s="979"/>
      <c r="AB860" s="979"/>
      <c r="AC860" s="979"/>
      <c r="AD860" s="979"/>
      <c r="AE860" s="1109" t="str">
        <f t="shared" si="163"/>
        <v/>
      </c>
      <c r="AF860" s="1113"/>
      <c r="AG860" s="981"/>
      <c r="AH860" s="981"/>
      <c r="AI860" s="1114" t="str">
        <f t="shared" si="164"/>
        <v/>
      </c>
      <c r="AJ860" s="1110" t="str">
        <f t="shared" si="165"/>
        <v/>
      </c>
      <c r="AK860" s="982">
        <f>'09월 에너지'!S860</f>
        <v>0</v>
      </c>
      <c r="AL860" s="983">
        <f t="shared" si="166"/>
        <v>0</v>
      </c>
    </row>
    <row r="861" spans="1:38" ht="16.5" customHeight="1">
      <c r="A861" s="999" t="str">
        <f>'09월 에너지'!A861</f>
        <v/>
      </c>
      <c r="B861" s="1002" t="str">
        <f>'09월 조업일지'!B859</f>
        <v/>
      </c>
      <c r="C861" s="1003" t="str">
        <f>'09월 에너지'!C861</f>
        <v/>
      </c>
      <c r="D861" s="1004" t="str">
        <f>'09월 에너지'!D861</f>
        <v/>
      </c>
      <c r="E861" s="1000" t="str">
        <f>'09월 에너지'!E861</f>
        <v/>
      </c>
      <c r="F861" s="1094" t="str">
        <f>'09월 에너지'!F861</f>
        <v/>
      </c>
      <c r="G861" s="980"/>
      <c r="H861" s="978"/>
      <c r="I861" s="978"/>
      <c r="J861" s="978"/>
      <c r="K861" s="978"/>
      <c r="L861" s="978"/>
      <c r="M861" s="978"/>
      <c r="N861" s="978"/>
      <c r="O861" s="1106" t="str">
        <f t="shared" si="162"/>
        <v/>
      </c>
      <c r="P861" s="1108"/>
      <c r="Q861" s="979"/>
      <c r="R861" s="979"/>
      <c r="S861" s="979"/>
      <c r="T861" s="979"/>
      <c r="U861" s="979"/>
      <c r="V861" s="979"/>
      <c r="W861" s="979"/>
      <c r="X861" s="979"/>
      <c r="Y861" s="979"/>
      <c r="Z861" s="979"/>
      <c r="AA861" s="979"/>
      <c r="AB861" s="979"/>
      <c r="AC861" s="979"/>
      <c r="AD861" s="979"/>
      <c r="AE861" s="1109" t="str">
        <f t="shared" si="163"/>
        <v/>
      </c>
      <c r="AF861" s="1113"/>
      <c r="AG861" s="981"/>
      <c r="AH861" s="981"/>
      <c r="AI861" s="1114" t="str">
        <f t="shared" si="164"/>
        <v/>
      </c>
      <c r="AJ861" s="1110" t="str">
        <f t="shared" si="165"/>
        <v/>
      </c>
      <c r="AK861" s="982">
        <f>'09월 에너지'!S861</f>
        <v>0</v>
      </c>
      <c r="AL861" s="983">
        <f t="shared" si="166"/>
        <v>0</v>
      </c>
    </row>
    <row r="862" spans="1:38" ht="16.5" customHeight="1">
      <c r="A862" s="999" t="str">
        <f>'09월 에너지'!A862</f>
        <v/>
      </c>
      <c r="B862" s="1002" t="str">
        <f>'09월 조업일지'!B860</f>
        <v/>
      </c>
      <c r="C862" s="1003" t="str">
        <f>'09월 에너지'!C862</f>
        <v/>
      </c>
      <c r="D862" s="1004" t="str">
        <f>'09월 에너지'!D862</f>
        <v/>
      </c>
      <c r="E862" s="1000" t="str">
        <f>'09월 에너지'!E862</f>
        <v/>
      </c>
      <c r="F862" s="1094" t="str">
        <f>'09월 에너지'!F862</f>
        <v/>
      </c>
      <c r="G862" s="980"/>
      <c r="H862" s="978"/>
      <c r="I862" s="978"/>
      <c r="J862" s="978"/>
      <c r="K862" s="978"/>
      <c r="L862" s="978"/>
      <c r="M862" s="978"/>
      <c r="N862" s="978"/>
      <c r="O862" s="1106" t="str">
        <f t="shared" si="162"/>
        <v/>
      </c>
      <c r="P862" s="1108"/>
      <c r="Q862" s="979"/>
      <c r="R862" s="979"/>
      <c r="S862" s="979"/>
      <c r="T862" s="979"/>
      <c r="U862" s="979"/>
      <c r="V862" s="979"/>
      <c r="W862" s="979"/>
      <c r="X862" s="979"/>
      <c r="Y862" s="979"/>
      <c r="Z862" s="979"/>
      <c r="AA862" s="979"/>
      <c r="AB862" s="979"/>
      <c r="AC862" s="979"/>
      <c r="AD862" s="979"/>
      <c r="AE862" s="1109" t="str">
        <f t="shared" si="163"/>
        <v/>
      </c>
      <c r="AF862" s="1113"/>
      <c r="AG862" s="981"/>
      <c r="AH862" s="981"/>
      <c r="AI862" s="1114" t="str">
        <f t="shared" si="164"/>
        <v/>
      </c>
      <c r="AJ862" s="1110" t="str">
        <f t="shared" si="165"/>
        <v/>
      </c>
      <c r="AK862" s="982">
        <f>'09월 에너지'!S862</f>
        <v>0</v>
      </c>
      <c r="AL862" s="983">
        <f t="shared" si="166"/>
        <v>0</v>
      </c>
    </row>
    <row r="863" spans="1:38" ht="16.5" customHeight="1">
      <c r="A863" s="999" t="str">
        <f>'09월 에너지'!A863</f>
        <v/>
      </c>
      <c r="B863" s="1002" t="str">
        <f>'09월 조업일지'!B861</f>
        <v/>
      </c>
      <c r="C863" s="1003" t="str">
        <f>'09월 에너지'!C863</f>
        <v/>
      </c>
      <c r="D863" s="1004" t="str">
        <f>'09월 에너지'!D863</f>
        <v/>
      </c>
      <c r="E863" s="1000" t="str">
        <f>'09월 에너지'!E863</f>
        <v/>
      </c>
      <c r="F863" s="1094" t="str">
        <f>'09월 에너지'!F863</f>
        <v/>
      </c>
      <c r="G863" s="980"/>
      <c r="H863" s="978"/>
      <c r="I863" s="978"/>
      <c r="J863" s="978"/>
      <c r="K863" s="978"/>
      <c r="L863" s="978"/>
      <c r="M863" s="978"/>
      <c r="N863" s="978"/>
      <c r="O863" s="1106" t="str">
        <f t="shared" si="162"/>
        <v/>
      </c>
      <c r="P863" s="1108"/>
      <c r="Q863" s="979"/>
      <c r="R863" s="979"/>
      <c r="S863" s="979"/>
      <c r="T863" s="979"/>
      <c r="U863" s="979"/>
      <c r="V863" s="979"/>
      <c r="W863" s="979"/>
      <c r="X863" s="979"/>
      <c r="Y863" s="979"/>
      <c r="Z863" s="979"/>
      <c r="AA863" s="979"/>
      <c r="AB863" s="979"/>
      <c r="AC863" s="979"/>
      <c r="AD863" s="979"/>
      <c r="AE863" s="1109" t="str">
        <f t="shared" si="163"/>
        <v/>
      </c>
      <c r="AF863" s="1113"/>
      <c r="AG863" s="981"/>
      <c r="AH863" s="981"/>
      <c r="AI863" s="1114" t="str">
        <f t="shared" si="164"/>
        <v/>
      </c>
      <c r="AJ863" s="1110" t="str">
        <f t="shared" si="165"/>
        <v/>
      </c>
      <c r="AK863" s="982">
        <f>'09월 에너지'!S863</f>
        <v>0</v>
      </c>
      <c r="AL863" s="983">
        <f t="shared" si="166"/>
        <v>0</v>
      </c>
    </row>
    <row r="864" spans="1:38" ht="16.5" customHeight="1">
      <c r="A864" s="999" t="str">
        <f>'09월 에너지'!A864</f>
        <v/>
      </c>
      <c r="B864" s="1002" t="str">
        <f>'09월 조업일지'!B862</f>
        <v/>
      </c>
      <c r="C864" s="1003" t="str">
        <f>'09월 에너지'!C864</f>
        <v/>
      </c>
      <c r="D864" s="1004" t="str">
        <f>'09월 에너지'!D864</f>
        <v/>
      </c>
      <c r="E864" s="1000" t="str">
        <f>'09월 에너지'!E864</f>
        <v/>
      </c>
      <c r="F864" s="1094" t="str">
        <f>'09월 에너지'!F864</f>
        <v/>
      </c>
      <c r="G864" s="980"/>
      <c r="H864" s="978"/>
      <c r="I864" s="978"/>
      <c r="J864" s="978"/>
      <c r="K864" s="978"/>
      <c r="L864" s="978"/>
      <c r="M864" s="978"/>
      <c r="N864" s="978"/>
      <c r="O864" s="1106" t="str">
        <f t="shared" si="162"/>
        <v/>
      </c>
      <c r="P864" s="1108"/>
      <c r="Q864" s="979"/>
      <c r="R864" s="979"/>
      <c r="S864" s="979"/>
      <c r="T864" s="979"/>
      <c r="U864" s="979"/>
      <c r="V864" s="979"/>
      <c r="W864" s="979"/>
      <c r="X864" s="979"/>
      <c r="Y864" s="979"/>
      <c r="Z864" s="979"/>
      <c r="AA864" s="979"/>
      <c r="AB864" s="979"/>
      <c r="AC864" s="979"/>
      <c r="AD864" s="979"/>
      <c r="AE864" s="1109" t="str">
        <f t="shared" si="163"/>
        <v/>
      </c>
      <c r="AF864" s="1113"/>
      <c r="AG864" s="981"/>
      <c r="AH864" s="981"/>
      <c r="AI864" s="1114" t="str">
        <f t="shared" si="164"/>
        <v/>
      </c>
      <c r="AJ864" s="1110" t="str">
        <f t="shared" si="165"/>
        <v/>
      </c>
      <c r="AK864" s="982">
        <f>'09월 에너지'!S864</f>
        <v>0</v>
      </c>
      <c r="AL864" s="983">
        <f t="shared" si="166"/>
        <v>0</v>
      </c>
    </row>
    <row r="865" spans="1:38" ht="16.5" customHeight="1">
      <c r="A865" s="999" t="str">
        <f>'09월 에너지'!A865</f>
        <v/>
      </c>
      <c r="B865" s="1002" t="str">
        <f>'09월 조업일지'!B863</f>
        <v/>
      </c>
      <c r="C865" s="1003" t="str">
        <f>'09월 에너지'!C865</f>
        <v/>
      </c>
      <c r="D865" s="1004" t="str">
        <f>'09월 에너지'!D865</f>
        <v/>
      </c>
      <c r="E865" s="1000" t="str">
        <f>'09월 에너지'!E865</f>
        <v/>
      </c>
      <c r="F865" s="1094" t="str">
        <f>'09월 에너지'!F865</f>
        <v/>
      </c>
      <c r="G865" s="980"/>
      <c r="H865" s="978"/>
      <c r="I865" s="978"/>
      <c r="J865" s="978"/>
      <c r="K865" s="978"/>
      <c r="L865" s="978"/>
      <c r="M865" s="978"/>
      <c r="N865" s="978"/>
      <c r="O865" s="1106" t="str">
        <f t="shared" si="162"/>
        <v/>
      </c>
      <c r="P865" s="1108"/>
      <c r="Q865" s="979"/>
      <c r="R865" s="979"/>
      <c r="S865" s="979"/>
      <c r="T865" s="979"/>
      <c r="U865" s="979"/>
      <c r="V865" s="979"/>
      <c r="W865" s="979"/>
      <c r="X865" s="979"/>
      <c r="Y865" s="979"/>
      <c r="Z865" s="979"/>
      <c r="AA865" s="979"/>
      <c r="AB865" s="979"/>
      <c r="AC865" s="979"/>
      <c r="AD865" s="979"/>
      <c r="AE865" s="1109" t="str">
        <f t="shared" si="163"/>
        <v/>
      </c>
      <c r="AF865" s="1113"/>
      <c r="AG865" s="981"/>
      <c r="AH865" s="981"/>
      <c r="AI865" s="1114" t="str">
        <f t="shared" si="164"/>
        <v/>
      </c>
      <c r="AJ865" s="1110" t="str">
        <f t="shared" si="165"/>
        <v/>
      </c>
      <c r="AK865" s="982">
        <f>'09월 에너지'!S865</f>
        <v>0</v>
      </c>
      <c r="AL865" s="983">
        <f t="shared" si="166"/>
        <v>0</v>
      </c>
    </row>
    <row r="866" spans="1:38" ht="16.5" customHeight="1">
      <c r="A866" s="999" t="str">
        <f>'09월 에너지'!A866</f>
        <v/>
      </c>
      <c r="B866" s="1002" t="str">
        <f>'09월 조업일지'!B864</f>
        <v/>
      </c>
      <c r="C866" s="1003" t="str">
        <f>'09월 에너지'!C866</f>
        <v/>
      </c>
      <c r="D866" s="1004" t="str">
        <f>'09월 에너지'!D866</f>
        <v/>
      </c>
      <c r="E866" s="1000" t="str">
        <f>'09월 에너지'!E866</f>
        <v/>
      </c>
      <c r="F866" s="1094" t="str">
        <f>'09월 에너지'!F866</f>
        <v/>
      </c>
      <c r="G866" s="980"/>
      <c r="H866" s="978"/>
      <c r="I866" s="978"/>
      <c r="J866" s="978"/>
      <c r="K866" s="978"/>
      <c r="L866" s="978"/>
      <c r="M866" s="978"/>
      <c r="N866" s="978"/>
      <c r="O866" s="1106" t="str">
        <f t="shared" si="162"/>
        <v/>
      </c>
      <c r="P866" s="1108"/>
      <c r="Q866" s="979"/>
      <c r="R866" s="979"/>
      <c r="S866" s="979"/>
      <c r="T866" s="979"/>
      <c r="U866" s="979"/>
      <c r="V866" s="979"/>
      <c r="W866" s="979"/>
      <c r="X866" s="979"/>
      <c r="Y866" s="979"/>
      <c r="Z866" s="979"/>
      <c r="AA866" s="979"/>
      <c r="AB866" s="979"/>
      <c r="AC866" s="979"/>
      <c r="AD866" s="979"/>
      <c r="AE866" s="1109" t="str">
        <f t="shared" si="163"/>
        <v/>
      </c>
      <c r="AF866" s="1113"/>
      <c r="AG866" s="981"/>
      <c r="AH866" s="981"/>
      <c r="AI866" s="1114" t="str">
        <f t="shared" si="164"/>
        <v/>
      </c>
      <c r="AJ866" s="1110" t="str">
        <f t="shared" si="165"/>
        <v/>
      </c>
      <c r="AK866" s="982">
        <f>'09월 에너지'!S866</f>
        <v>0</v>
      </c>
      <c r="AL866" s="983">
        <f t="shared" si="166"/>
        <v>0</v>
      </c>
    </row>
    <row r="867" spans="1:38" ht="16.5" customHeight="1">
      <c r="A867" s="999" t="str">
        <f>'09월 에너지'!A867</f>
        <v/>
      </c>
      <c r="B867" s="1002" t="str">
        <f>'09월 조업일지'!B865</f>
        <v/>
      </c>
      <c r="C867" s="1003" t="str">
        <f>'09월 에너지'!C867</f>
        <v/>
      </c>
      <c r="D867" s="1004" t="str">
        <f>'09월 에너지'!D867</f>
        <v/>
      </c>
      <c r="E867" s="1000" t="str">
        <f>'09월 에너지'!E867</f>
        <v/>
      </c>
      <c r="F867" s="1094" t="str">
        <f>'09월 에너지'!F867</f>
        <v/>
      </c>
      <c r="G867" s="980"/>
      <c r="H867" s="978"/>
      <c r="I867" s="978"/>
      <c r="J867" s="978"/>
      <c r="K867" s="978"/>
      <c r="L867" s="978"/>
      <c r="M867" s="978"/>
      <c r="N867" s="978"/>
      <c r="O867" s="1106" t="str">
        <f t="shared" si="162"/>
        <v/>
      </c>
      <c r="P867" s="1108"/>
      <c r="Q867" s="979"/>
      <c r="R867" s="979"/>
      <c r="S867" s="979"/>
      <c r="T867" s="979"/>
      <c r="U867" s="979"/>
      <c r="V867" s="979"/>
      <c r="W867" s="979"/>
      <c r="X867" s="979"/>
      <c r="Y867" s="979"/>
      <c r="Z867" s="979"/>
      <c r="AA867" s="979"/>
      <c r="AB867" s="979"/>
      <c r="AC867" s="979"/>
      <c r="AD867" s="979"/>
      <c r="AE867" s="1109" t="str">
        <f t="shared" si="163"/>
        <v/>
      </c>
      <c r="AF867" s="1113"/>
      <c r="AG867" s="981"/>
      <c r="AH867" s="981"/>
      <c r="AI867" s="1114" t="str">
        <f t="shared" si="164"/>
        <v/>
      </c>
      <c r="AJ867" s="1110" t="str">
        <f t="shared" si="165"/>
        <v/>
      </c>
      <c r="AK867" s="982">
        <f>'09월 에너지'!S867</f>
        <v>0</v>
      </c>
      <c r="AL867" s="983">
        <f t="shared" si="166"/>
        <v>0</v>
      </c>
    </row>
    <row r="868" spans="1:38" ht="16.5" customHeight="1">
      <c r="A868" s="999" t="str">
        <f>'09월 에너지'!A868</f>
        <v/>
      </c>
      <c r="B868" s="1002" t="str">
        <f>'09월 조업일지'!B866</f>
        <v/>
      </c>
      <c r="C868" s="1003" t="str">
        <f>'09월 에너지'!C868</f>
        <v/>
      </c>
      <c r="D868" s="1004" t="str">
        <f>'09월 에너지'!D868</f>
        <v/>
      </c>
      <c r="E868" s="1000" t="str">
        <f>'09월 에너지'!E868</f>
        <v/>
      </c>
      <c r="F868" s="1094" t="str">
        <f>'09월 에너지'!F868</f>
        <v/>
      </c>
      <c r="G868" s="980"/>
      <c r="H868" s="978"/>
      <c r="I868" s="978"/>
      <c r="J868" s="978"/>
      <c r="K868" s="978"/>
      <c r="L868" s="978"/>
      <c r="M868" s="978"/>
      <c r="N868" s="978"/>
      <c r="O868" s="1106" t="str">
        <f t="shared" si="162"/>
        <v/>
      </c>
      <c r="P868" s="1108"/>
      <c r="Q868" s="979"/>
      <c r="R868" s="979"/>
      <c r="S868" s="979"/>
      <c r="T868" s="979"/>
      <c r="U868" s="979"/>
      <c r="V868" s="979"/>
      <c r="W868" s="979"/>
      <c r="X868" s="979"/>
      <c r="Y868" s="979"/>
      <c r="Z868" s="979"/>
      <c r="AA868" s="979"/>
      <c r="AB868" s="979"/>
      <c r="AC868" s="979"/>
      <c r="AD868" s="979"/>
      <c r="AE868" s="1109" t="str">
        <f t="shared" si="163"/>
        <v/>
      </c>
      <c r="AF868" s="1113"/>
      <c r="AG868" s="981"/>
      <c r="AH868" s="981"/>
      <c r="AI868" s="1114" t="str">
        <f t="shared" si="164"/>
        <v/>
      </c>
      <c r="AJ868" s="1110" t="str">
        <f t="shared" si="165"/>
        <v/>
      </c>
      <c r="AK868" s="982">
        <f>'09월 에너지'!S868</f>
        <v>0</v>
      </c>
      <c r="AL868" s="983">
        <f t="shared" si="166"/>
        <v>0</v>
      </c>
    </row>
    <row r="869" spans="1:38" ht="16.5" customHeight="1">
      <c r="A869" s="999" t="str">
        <f>'09월 에너지'!A869</f>
        <v/>
      </c>
      <c r="B869" s="1002" t="str">
        <f>'09월 조업일지'!B867</f>
        <v/>
      </c>
      <c r="C869" s="1003" t="str">
        <f>'09월 에너지'!C869</f>
        <v/>
      </c>
      <c r="D869" s="1004" t="str">
        <f>'09월 에너지'!D869</f>
        <v/>
      </c>
      <c r="E869" s="1000" t="str">
        <f>'09월 에너지'!E869</f>
        <v/>
      </c>
      <c r="F869" s="1094" t="str">
        <f>'09월 에너지'!F869</f>
        <v/>
      </c>
      <c r="G869" s="980"/>
      <c r="H869" s="978"/>
      <c r="I869" s="978"/>
      <c r="J869" s="978"/>
      <c r="K869" s="978"/>
      <c r="L869" s="978"/>
      <c r="M869" s="978"/>
      <c r="N869" s="978"/>
      <c r="O869" s="1106" t="str">
        <f t="shared" si="162"/>
        <v/>
      </c>
      <c r="P869" s="1108"/>
      <c r="Q869" s="979"/>
      <c r="R869" s="979"/>
      <c r="S869" s="979"/>
      <c r="T869" s="979"/>
      <c r="U869" s="979"/>
      <c r="V869" s="979"/>
      <c r="W869" s="979"/>
      <c r="X869" s="979"/>
      <c r="Y869" s="979"/>
      <c r="Z869" s="979"/>
      <c r="AA869" s="979"/>
      <c r="AB869" s="979"/>
      <c r="AC869" s="979"/>
      <c r="AD869" s="979"/>
      <c r="AE869" s="1109" t="str">
        <f t="shared" si="163"/>
        <v/>
      </c>
      <c r="AF869" s="1113"/>
      <c r="AG869" s="981"/>
      <c r="AH869" s="981"/>
      <c r="AI869" s="1114" t="str">
        <f t="shared" si="164"/>
        <v/>
      </c>
      <c r="AJ869" s="1110" t="str">
        <f t="shared" si="165"/>
        <v/>
      </c>
      <c r="AK869" s="982">
        <f>'09월 에너지'!S869</f>
        <v>0</v>
      </c>
      <c r="AL869" s="983">
        <f t="shared" si="166"/>
        <v>0</v>
      </c>
    </row>
    <row r="870" spans="1:38" ht="16.5" customHeight="1">
      <c r="A870" s="999" t="str">
        <f>'09월 에너지'!A870</f>
        <v/>
      </c>
      <c r="B870" s="1002" t="str">
        <f>'09월 조업일지'!B868</f>
        <v/>
      </c>
      <c r="C870" s="1003" t="str">
        <f>'09월 에너지'!C870</f>
        <v/>
      </c>
      <c r="D870" s="1004" t="str">
        <f>'09월 에너지'!D870</f>
        <v/>
      </c>
      <c r="E870" s="1000" t="str">
        <f>'09월 에너지'!E870</f>
        <v/>
      </c>
      <c r="F870" s="1094" t="str">
        <f>'09월 에너지'!F870</f>
        <v/>
      </c>
      <c r="G870" s="980"/>
      <c r="H870" s="978"/>
      <c r="I870" s="978"/>
      <c r="J870" s="978"/>
      <c r="K870" s="978"/>
      <c r="L870" s="978"/>
      <c r="M870" s="978"/>
      <c r="N870" s="978"/>
      <c r="O870" s="1106" t="str">
        <f t="shared" si="162"/>
        <v/>
      </c>
      <c r="P870" s="1108"/>
      <c r="Q870" s="979"/>
      <c r="R870" s="979"/>
      <c r="S870" s="979"/>
      <c r="T870" s="979"/>
      <c r="U870" s="979"/>
      <c r="V870" s="979"/>
      <c r="W870" s="979"/>
      <c r="X870" s="979"/>
      <c r="Y870" s="979"/>
      <c r="Z870" s="979"/>
      <c r="AA870" s="979"/>
      <c r="AB870" s="979"/>
      <c r="AC870" s="979"/>
      <c r="AD870" s="979"/>
      <c r="AE870" s="1109" t="str">
        <f t="shared" si="163"/>
        <v/>
      </c>
      <c r="AF870" s="1113"/>
      <c r="AG870" s="981"/>
      <c r="AH870" s="981"/>
      <c r="AI870" s="1114" t="str">
        <f t="shared" si="164"/>
        <v/>
      </c>
      <c r="AJ870" s="1110" t="str">
        <f t="shared" si="165"/>
        <v/>
      </c>
      <c r="AK870" s="982">
        <f>'09월 에너지'!S870</f>
        <v>0</v>
      </c>
      <c r="AL870" s="983">
        <f t="shared" si="166"/>
        <v>0</v>
      </c>
    </row>
    <row r="871" spans="1:38" ht="16.5" customHeight="1">
      <c r="A871" s="999" t="str">
        <f>'09월 에너지'!A871</f>
        <v/>
      </c>
      <c r="B871" s="1002" t="str">
        <f>'09월 조업일지'!B869</f>
        <v/>
      </c>
      <c r="C871" s="1003" t="str">
        <f>'09월 에너지'!C871</f>
        <v/>
      </c>
      <c r="D871" s="1004" t="str">
        <f>'09월 에너지'!D871</f>
        <v/>
      </c>
      <c r="E871" s="1000" t="str">
        <f>'09월 에너지'!E871</f>
        <v/>
      </c>
      <c r="F871" s="1094" t="str">
        <f>'09월 에너지'!F871</f>
        <v/>
      </c>
      <c r="G871" s="980"/>
      <c r="H871" s="978"/>
      <c r="I871" s="978"/>
      <c r="J871" s="978"/>
      <c r="K871" s="978"/>
      <c r="L871" s="978"/>
      <c r="M871" s="978"/>
      <c r="N871" s="978"/>
      <c r="O871" s="1106" t="str">
        <f t="shared" si="162"/>
        <v/>
      </c>
      <c r="P871" s="1108"/>
      <c r="Q871" s="979"/>
      <c r="R871" s="979"/>
      <c r="S871" s="979"/>
      <c r="T871" s="979"/>
      <c r="U871" s="979"/>
      <c r="V871" s="979"/>
      <c r="W871" s="979"/>
      <c r="X871" s="979"/>
      <c r="Y871" s="979"/>
      <c r="Z871" s="979"/>
      <c r="AA871" s="979"/>
      <c r="AB871" s="979"/>
      <c r="AC871" s="979"/>
      <c r="AD871" s="979"/>
      <c r="AE871" s="1109" t="str">
        <f t="shared" si="163"/>
        <v/>
      </c>
      <c r="AF871" s="1113"/>
      <c r="AG871" s="981"/>
      <c r="AH871" s="981"/>
      <c r="AI871" s="1114" t="str">
        <f t="shared" si="164"/>
        <v/>
      </c>
      <c r="AJ871" s="1110" t="str">
        <f t="shared" si="165"/>
        <v/>
      </c>
      <c r="AK871" s="982">
        <f>'09월 에너지'!S871</f>
        <v>0</v>
      </c>
      <c r="AL871" s="983">
        <f t="shared" si="166"/>
        <v>0</v>
      </c>
    </row>
    <row r="872" spans="1:38" ht="16.5" customHeight="1">
      <c r="A872" s="999" t="str">
        <f>'09월 에너지'!A872</f>
        <v/>
      </c>
      <c r="B872" s="1002" t="str">
        <f>'09월 조업일지'!B870</f>
        <v/>
      </c>
      <c r="C872" s="1003" t="str">
        <f>'09월 에너지'!C872</f>
        <v/>
      </c>
      <c r="D872" s="1004" t="str">
        <f>'09월 에너지'!D872</f>
        <v/>
      </c>
      <c r="E872" s="1000" t="str">
        <f>'09월 에너지'!E872</f>
        <v/>
      </c>
      <c r="F872" s="1094" t="str">
        <f>'09월 에너지'!F872</f>
        <v/>
      </c>
      <c r="G872" s="980"/>
      <c r="H872" s="978"/>
      <c r="I872" s="978"/>
      <c r="J872" s="978"/>
      <c r="K872" s="978"/>
      <c r="L872" s="978"/>
      <c r="M872" s="978"/>
      <c r="N872" s="978"/>
      <c r="O872" s="1106" t="str">
        <f t="shared" si="162"/>
        <v/>
      </c>
      <c r="P872" s="1108"/>
      <c r="Q872" s="979"/>
      <c r="R872" s="979"/>
      <c r="S872" s="979"/>
      <c r="T872" s="979"/>
      <c r="U872" s="979"/>
      <c r="V872" s="979"/>
      <c r="W872" s="979"/>
      <c r="X872" s="979"/>
      <c r="Y872" s="979"/>
      <c r="Z872" s="979"/>
      <c r="AA872" s="979"/>
      <c r="AB872" s="979"/>
      <c r="AC872" s="979"/>
      <c r="AD872" s="979"/>
      <c r="AE872" s="1109" t="str">
        <f t="shared" si="163"/>
        <v/>
      </c>
      <c r="AF872" s="1113"/>
      <c r="AG872" s="981"/>
      <c r="AH872" s="981"/>
      <c r="AI872" s="1114" t="str">
        <f t="shared" si="164"/>
        <v/>
      </c>
      <c r="AJ872" s="1110" t="str">
        <f t="shared" si="165"/>
        <v/>
      </c>
      <c r="AK872" s="982">
        <f>'09월 에너지'!S872</f>
        <v>0</v>
      </c>
      <c r="AL872" s="983">
        <f t="shared" si="166"/>
        <v>0</v>
      </c>
    </row>
    <row r="873" spans="1:38" ht="16.5" customHeight="1">
      <c r="A873" s="999" t="str">
        <f>'09월 에너지'!A873</f>
        <v/>
      </c>
      <c r="B873" s="1002" t="str">
        <f>'09월 조업일지'!B871</f>
        <v/>
      </c>
      <c r="C873" s="1003" t="str">
        <f>'09월 에너지'!C873</f>
        <v/>
      </c>
      <c r="D873" s="1004" t="str">
        <f>'09월 에너지'!D873</f>
        <v/>
      </c>
      <c r="E873" s="1000" t="str">
        <f>'09월 에너지'!E873</f>
        <v/>
      </c>
      <c r="F873" s="1094" t="str">
        <f>'09월 에너지'!F873</f>
        <v/>
      </c>
      <c r="G873" s="980"/>
      <c r="H873" s="978"/>
      <c r="I873" s="978"/>
      <c r="J873" s="978"/>
      <c r="K873" s="978"/>
      <c r="L873" s="978"/>
      <c r="M873" s="978"/>
      <c r="N873" s="978"/>
      <c r="O873" s="1106" t="str">
        <f t="shared" si="162"/>
        <v/>
      </c>
      <c r="P873" s="1108"/>
      <c r="Q873" s="979"/>
      <c r="R873" s="979"/>
      <c r="S873" s="979"/>
      <c r="T873" s="979"/>
      <c r="U873" s="979"/>
      <c r="V873" s="979"/>
      <c r="W873" s="979"/>
      <c r="X873" s="979"/>
      <c r="Y873" s="979"/>
      <c r="Z873" s="979"/>
      <c r="AA873" s="979"/>
      <c r="AB873" s="979"/>
      <c r="AC873" s="979"/>
      <c r="AD873" s="979"/>
      <c r="AE873" s="1109" t="str">
        <f t="shared" si="163"/>
        <v/>
      </c>
      <c r="AF873" s="1113"/>
      <c r="AG873" s="981"/>
      <c r="AH873" s="981"/>
      <c r="AI873" s="1114" t="str">
        <f t="shared" si="164"/>
        <v/>
      </c>
      <c r="AJ873" s="1110" t="str">
        <f t="shared" si="165"/>
        <v/>
      </c>
      <c r="AK873" s="982">
        <f>'09월 에너지'!S873</f>
        <v>0</v>
      </c>
      <c r="AL873" s="983">
        <f t="shared" si="166"/>
        <v>0</v>
      </c>
    </row>
    <row r="874" spans="1:38" ht="16.5" customHeight="1">
      <c r="A874" s="999" t="str">
        <f>'09월 에너지'!A874</f>
        <v/>
      </c>
      <c r="B874" s="1002" t="str">
        <f>'09월 조업일지'!B872</f>
        <v/>
      </c>
      <c r="C874" s="1003" t="str">
        <f>'09월 에너지'!C874</f>
        <v/>
      </c>
      <c r="D874" s="1004" t="str">
        <f>'09월 에너지'!D874</f>
        <v/>
      </c>
      <c r="E874" s="1000" t="str">
        <f>'09월 에너지'!E874</f>
        <v/>
      </c>
      <c r="F874" s="1094" t="str">
        <f>'09월 에너지'!F874</f>
        <v/>
      </c>
      <c r="G874" s="980"/>
      <c r="H874" s="978"/>
      <c r="I874" s="978"/>
      <c r="J874" s="978"/>
      <c r="K874" s="978"/>
      <c r="L874" s="978"/>
      <c r="M874" s="978"/>
      <c r="N874" s="978"/>
      <c r="O874" s="1106" t="str">
        <f t="shared" si="162"/>
        <v/>
      </c>
      <c r="P874" s="1108"/>
      <c r="Q874" s="979"/>
      <c r="R874" s="979"/>
      <c r="S874" s="979"/>
      <c r="T874" s="979"/>
      <c r="U874" s="979"/>
      <c r="V874" s="979"/>
      <c r="W874" s="979"/>
      <c r="X874" s="979"/>
      <c r="Y874" s="979"/>
      <c r="Z874" s="979"/>
      <c r="AA874" s="979"/>
      <c r="AB874" s="979"/>
      <c r="AC874" s="979"/>
      <c r="AD874" s="979"/>
      <c r="AE874" s="1109" t="str">
        <f t="shared" si="163"/>
        <v/>
      </c>
      <c r="AF874" s="1113"/>
      <c r="AG874" s="981"/>
      <c r="AH874" s="981"/>
      <c r="AI874" s="1114" t="str">
        <f t="shared" si="164"/>
        <v/>
      </c>
      <c r="AJ874" s="1110" t="str">
        <f t="shared" si="165"/>
        <v/>
      </c>
      <c r="AK874" s="982">
        <f>'09월 에너지'!S874</f>
        <v>0</v>
      </c>
      <c r="AL874" s="983">
        <f t="shared" si="166"/>
        <v>0</v>
      </c>
    </row>
    <row r="875" spans="1:38" ht="16.5" customHeight="1">
      <c r="A875" s="999" t="str">
        <f>'09월 에너지'!A875</f>
        <v/>
      </c>
      <c r="B875" s="1002" t="str">
        <f>'09월 조업일지'!B873</f>
        <v/>
      </c>
      <c r="C875" s="1003" t="str">
        <f>'09월 에너지'!C875</f>
        <v/>
      </c>
      <c r="D875" s="1004" t="str">
        <f>'09월 에너지'!D875</f>
        <v/>
      </c>
      <c r="E875" s="1000" t="str">
        <f>'09월 에너지'!E875</f>
        <v/>
      </c>
      <c r="F875" s="1094" t="str">
        <f>'09월 에너지'!F875</f>
        <v/>
      </c>
      <c r="G875" s="980"/>
      <c r="H875" s="978"/>
      <c r="I875" s="978"/>
      <c r="J875" s="978"/>
      <c r="K875" s="978"/>
      <c r="L875" s="978"/>
      <c r="M875" s="978"/>
      <c r="N875" s="978"/>
      <c r="O875" s="1106" t="str">
        <f t="shared" si="162"/>
        <v/>
      </c>
      <c r="P875" s="1108"/>
      <c r="Q875" s="979"/>
      <c r="R875" s="979"/>
      <c r="S875" s="979"/>
      <c r="T875" s="979"/>
      <c r="U875" s="979"/>
      <c r="V875" s="979"/>
      <c r="W875" s="979"/>
      <c r="X875" s="979"/>
      <c r="Y875" s="979"/>
      <c r="Z875" s="979"/>
      <c r="AA875" s="979"/>
      <c r="AB875" s="979"/>
      <c r="AC875" s="979"/>
      <c r="AD875" s="979"/>
      <c r="AE875" s="1109" t="str">
        <f t="shared" si="163"/>
        <v/>
      </c>
      <c r="AF875" s="1113"/>
      <c r="AG875" s="981"/>
      <c r="AH875" s="981"/>
      <c r="AI875" s="1114" t="str">
        <f t="shared" si="164"/>
        <v/>
      </c>
      <c r="AJ875" s="1110" t="str">
        <f t="shared" si="165"/>
        <v/>
      </c>
      <c r="AK875" s="982">
        <f>'09월 에너지'!S875</f>
        <v>0</v>
      </c>
      <c r="AL875" s="983">
        <f t="shared" si="166"/>
        <v>0</v>
      </c>
    </row>
    <row r="876" spans="1:38" ht="16.5" customHeight="1">
      <c r="A876" s="999" t="str">
        <f>'09월 에너지'!A876</f>
        <v/>
      </c>
      <c r="B876" s="1002" t="str">
        <f>'09월 조업일지'!B874</f>
        <v/>
      </c>
      <c r="C876" s="1003" t="str">
        <f>'09월 에너지'!C876</f>
        <v/>
      </c>
      <c r="D876" s="1004" t="str">
        <f>'09월 에너지'!D876</f>
        <v/>
      </c>
      <c r="E876" s="1000" t="str">
        <f>'09월 에너지'!E876</f>
        <v/>
      </c>
      <c r="F876" s="1094" t="str">
        <f>'09월 에너지'!F876</f>
        <v/>
      </c>
      <c r="G876" s="980"/>
      <c r="H876" s="978"/>
      <c r="I876" s="978"/>
      <c r="J876" s="978"/>
      <c r="K876" s="978"/>
      <c r="L876" s="978"/>
      <c r="M876" s="978"/>
      <c r="N876" s="978"/>
      <c r="O876" s="1106" t="str">
        <f t="shared" si="162"/>
        <v/>
      </c>
      <c r="P876" s="1108"/>
      <c r="Q876" s="979"/>
      <c r="R876" s="979"/>
      <c r="S876" s="979"/>
      <c r="T876" s="979"/>
      <c r="U876" s="979"/>
      <c r="V876" s="979"/>
      <c r="W876" s="979"/>
      <c r="X876" s="979"/>
      <c r="Y876" s="979"/>
      <c r="Z876" s="979"/>
      <c r="AA876" s="979"/>
      <c r="AB876" s="979"/>
      <c r="AC876" s="979"/>
      <c r="AD876" s="979"/>
      <c r="AE876" s="1109" t="str">
        <f t="shared" si="163"/>
        <v/>
      </c>
      <c r="AF876" s="1113"/>
      <c r="AG876" s="981"/>
      <c r="AH876" s="981"/>
      <c r="AI876" s="1114" t="str">
        <f t="shared" si="164"/>
        <v/>
      </c>
      <c r="AJ876" s="1110" t="str">
        <f t="shared" si="165"/>
        <v/>
      </c>
      <c r="AK876" s="982">
        <f>'09월 에너지'!S876</f>
        <v>0</v>
      </c>
      <c r="AL876" s="983">
        <f t="shared" si="166"/>
        <v>0</v>
      </c>
    </row>
    <row r="877" spans="1:38" ht="16.5" customHeight="1">
      <c r="A877" s="999" t="str">
        <f>'09월 에너지'!A877</f>
        <v/>
      </c>
      <c r="B877" s="1002" t="str">
        <f>'09월 조업일지'!B875</f>
        <v/>
      </c>
      <c r="C877" s="1003" t="str">
        <f>'09월 에너지'!C877</f>
        <v/>
      </c>
      <c r="D877" s="1004" t="str">
        <f>'09월 에너지'!D877</f>
        <v/>
      </c>
      <c r="E877" s="1000" t="str">
        <f>'09월 에너지'!E877</f>
        <v/>
      </c>
      <c r="F877" s="1094" t="str">
        <f>'09월 에너지'!F877</f>
        <v/>
      </c>
      <c r="G877" s="980"/>
      <c r="H877" s="978"/>
      <c r="I877" s="978"/>
      <c r="J877" s="978"/>
      <c r="K877" s="978"/>
      <c r="L877" s="978"/>
      <c r="M877" s="978"/>
      <c r="N877" s="978"/>
      <c r="O877" s="1106" t="str">
        <f t="shared" si="162"/>
        <v/>
      </c>
      <c r="P877" s="1108"/>
      <c r="Q877" s="979"/>
      <c r="R877" s="979"/>
      <c r="S877" s="979"/>
      <c r="T877" s="979"/>
      <c r="U877" s="979"/>
      <c r="V877" s="979"/>
      <c r="W877" s="979"/>
      <c r="X877" s="979"/>
      <c r="Y877" s="979"/>
      <c r="Z877" s="979"/>
      <c r="AA877" s="979"/>
      <c r="AB877" s="979"/>
      <c r="AC877" s="979"/>
      <c r="AD877" s="979"/>
      <c r="AE877" s="1109" t="str">
        <f t="shared" si="163"/>
        <v/>
      </c>
      <c r="AF877" s="1113"/>
      <c r="AG877" s="981"/>
      <c r="AH877" s="981"/>
      <c r="AI877" s="1114" t="str">
        <f t="shared" si="164"/>
        <v/>
      </c>
      <c r="AJ877" s="1110" t="str">
        <f t="shared" si="165"/>
        <v/>
      </c>
      <c r="AK877" s="982">
        <f>'09월 에너지'!S877</f>
        <v>0</v>
      </c>
      <c r="AL877" s="983">
        <f t="shared" si="166"/>
        <v>0</v>
      </c>
    </row>
    <row r="878" spans="1:38" ht="16.5" customHeight="1">
      <c r="A878" s="999" t="str">
        <f>'09월 에너지'!A878</f>
        <v/>
      </c>
      <c r="B878" s="1002" t="str">
        <f>'09월 조업일지'!B876</f>
        <v/>
      </c>
      <c r="C878" s="1003" t="str">
        <f>'09월 에너지'!C878</f>
        <v/>
      </c>
      <c r="D878" s="1004" t="str">
        <f>'09월 에너지'!D878</f>
        <v/>
      </c>
      <c r="E878" s="1000" t="str">
        <f>'09월 에너지'!E878</f>
        <v/>
      </c>
      <c r="F878" s="1094" t="str">
        <f>'09월 에너지'!F878</f>
        <v/>
      </c>
      <c r="G878" s="980"/>
      <c r="H878" s="978"/>
      <c r="I878" s="978"/>
      <c r="J878" s="978"/>
      <c r="K878" s="978"/>
      <c r="L878" s="978"/>
      <c r="M878" s="978"/>
      <c r="N878" s="978"/>
      <c r="O878" s="1106" t="str">
        <f t="shared" si="162"/>
        <v/>
      </c>
      <c r="P878" s="1108"/>
      <c r="Q878" s="979"/>
      <c r="R878" s="979"/>
      <c r="S878" s="979"/>
      <c r="T878" s="979"/>
      <c r="U878" s="979"/>
      <c r="V878" s="979"/>
      <c r="W878" s="979"/>
      <c r="X878" s="979"/>
      <c r="Y878" s="979"/>
      <c r="Z878" s="979"/>
      <c r="AA878" s="979"/>
      <c r="AB878" s="979"/>
      <c r="AC878" s="979"/>
      <c r="AD878" s="979"/>
      <c r="AE878" s="1109" t="str">
        <f t="shared" si="163"/>
        <v/>
      </c>
      <c r="AF878" s="1113"/>
      <c r="AG878" s="981"/>
      <c r="AH878" s="981"/>
      <c r="AI878" s="1114" t="str">
        <f t="shared" si="164"/>
        <v/>
      </c>
      <c r="AJ878" s="1110" t="str">
        <f t="shared" si="165"/>
        <v/>
      </c>
      <c r="AK878" s="982">
        <f>'09월 에너지'!S878</f>
        <v>0</v>
      </c>
      <c r="AL878" s="983">
        <f t="shared" si="166"/>
        <v>0</v>
      </c>
    </row>
    <row r="879" spans="1:38" ht="16.5" customHeight="1">
      <c r="A879" s="999" t="str">
        <f>'09월 에너지'!A879</f>
        <v/>
      </c>
      <c r="B879" s="1002" t="str">
        <f>'09월 조업일지'!B877</f>
        <v/>
      </c>
      <c r="C879" s="1003" t="str">
        <f>'09월 에너지'!C879</f>
        <v/>
      </c>
      <c r="D879" s="1004" t="str">
        <f>'09월 에너지'!D879</f>
        <v/>
      </c>
      <c r="E879" s="1000" t="str">
        <f>'09월 에너지'!E879</f>
        <v/>
      </c>
      <c r="F879" s="1094" t="str">
        <f>'09월 에너지'!F879</f>
        <v/>
      </c>
      <c r="G879" s="980"/>
      <c r="H879" s="978"/>
      <c r="I879" s="978"/>
      <c r="J879" s="978"/>
      <c r="K879" s="978"/>
      <c r="L879" s="978"/>
      <c r="M879" s="978"/>
      <c r="N879" s="978"/>
      <c r="O879" s="1106" t="str">
        <f t="shared" si="162"/>
        <v/>
      </c>
      <c r="P879" s="1108"/>
      <c r="Q879" s="979"/>
      <c r="R879" s="979"/>
      <c r="S879" s="979"/>
      <c r="T879" s="979"/>
      <c r="U879" s="979"/>
      <c r="V879" s="979"/>
      <c r="W879" s="979"/>
      <c r="X879" s="979"/>
      <c r="Y879" s="979"/>
      <c r="Z879" s="979"/>
      <c r="AA879" s="979"/>
      <c r="AB879" s="979"/>
      <c r="AC879" s="979"/>
      <c r="AD879" s="979"/>
      <c r="AE879" s="1109" t="str">
        <f t="shared" si="163"/>
        <v/>
      </c>
      <c r="AF879" s="1113"/>
      <c r="AG879" s="981"/>
      <c r="AH879" s="981"/>
      <c r="AI879" s="1114" t="str">
        <f t="shared" si="164"/>
        <v/>
      </c>
      <c r="AJ879" s="1110" t="str">
        <f t="shared" si="165"/>
        <v/>
      </c>
      <c r="AK879" s="982">
        <f>'09월 에너지'!S879</f>
        <v>0</v>
      </c>
      <c r="AL879" s="983">
        <f t="shared" si="166"/>
        <v>0</v>
      </c>
    </row>
    <row r="880" spans="1:38" ht="16.5" customHeight="1">
      <c r="A880" s="999" t="str">
        <f>'09월 에너지'!A880</f>
        <v/>
      </c>
      <c r="B880" s="1002" t="str">
        <f>'09월 조업일지'!B878</f>
        <v/>
      </c>
      <c r="C880" s="1003" t="str">
        <f>'09월 에너지'!C880</f>
        <v/>
      </c>
      <c r="D880" s="1004" t="str">
        <f>'09월 에너지'!D880</f>
        <v/>
      </c>
      <c r="E880" s="1000" t="str">
        <f>'09월 에너지'!E880</f>
        <v/>
      </c>
      <c r="F880" s="1094" t="str">
        <f>'09월 에너지'!F880</f>
        <v/>
      </c>
      <c r="G880" s="980"/>
      <c r="H880" s="978"/>
      <c r="I880" s="978"/>
      <c r="J880" s="978"/>
      <c r="K880" s="978"/>
      <c r="L880" s="978"/>
      <c r="M880" s="978"/>
      <c r="N880" s="978"/>
      <c r="O880" s="1106" t="str">
        <f t="shared" si="162"/>
        <v/>
      </c>
      <c r="P880" s="1108"/>
      <c r="Q880" s="979"/>
      <c r="R880" s="979"/>
      <c r="S880" s="979"/>
      <c r="T880" s="979"/>
      <c r="U880" s="979"/>
      <c r="V880" s="979"/>
      <c r="W880" s="979"/>
      <c r="X880" s="979"/>
      <c r="Y880" s="979"/>
      <c r="Z880" s="979"/>
      <c r="AA880" s="979"/>
      <c r="AB880" s="979"/>
      <c r="AC880" s="979"/>
      <c r="AD880" s="979"/>
      <c r="AE880" s="1109" t="str">
        <f t="shared" si="163"/>
        <v/>
      </c>
      <c r="AF880" s="1113"/>
      <c r="AG880" s="981"/>
      <c r="AH880" s="981"/>
      <c r="AI880" s="1114" t="str">
        <f t="shared" si="164"/>
        <v/>
      </c>
      <c r="AJ880" s="1110" t="str">
        <f t="shared" si="165"/>
        <v/>
      </c>
      <c r="AK880" s="982">
        <f>'09월 에너지'!S880</f>
        <v>0</v>
      </c>
      <c r="AL880" s="983">
        <f t="shared" si="166"/>
        <v>0</v>
      </c>
    </row>
    <row r="881" spans="1:38" ht="16.5" customHeight="1">
      <c r="A881" s="999" t="str">
        <f>'09월 에너지'!A881</f>
        <v/>
      </c>
      <c r="B881" s="1002" t="str">
        <f>'09월 조업일지'!B879</f>
        <v/>
      </c>
      <c r="C881" s="1003" t="str">
        <f>'09월 에너지'!C881</f>
        <v/>
      </c>
      <c r="D881" s="1004" t="str">
        <f>'09월 에너지'!D881</f>
        <v/>
      </c>
      <c r="E881" s="1000" t="str">
        <f>'09월 에너지'!E881</f>
        <v/>
      </c>
      <c r="F881" s="1094" t="str">
        <f>'09월 에너지'!F881</f>
        <v/>
      </c>
      <c r="G881" s="980"/>
      <c r="H881" s="978"/>
      <c r="I881" s="978"/>
      <c r="J881" s="978"/>
      <c r="K881" s="978"/>
      <c r="L881" s="978"/>
      <c r="M881" s="978"/>
      <c r="N881" s="978"/>
      <c r="O881" s="1106" t="str">
        <f t="shared" si="162"/>
        <v/>
      </c>
      <c r="P881" s="1108"/>
      <c r="Q881" s="979"/>
      <c r="R881" s="979"/>
      <c r="S881" s="979"/>
      <c r="T881" s="979"/>
      <c r="U881" s="979"/>
      <c r="V881" s="979"/>
      <c r="W881" s="979"/>
      <c r="X881" s="979"/>
      <c r="Y881" s="979"/>
      <c r="Z881" s="979"/>
      <c r="AA881" s="979"/>
      <c r="AB881" s="979"/>
      <c r="AC881" s="979"/>
      <c r="AD881" s="979"/>
      <c r="AE881" s="1109" t="str">
        <f t="shared" si="163"/>
        <v/>
      </c>
      <c r="AF881" s="1113"/>
      <c r="AG881" s="981"/>
      <c r="AH881" s="981"/>
      <c r="AI881" s="1114" t="str">
        <f t="shared" si="164"/>
        <v/>
      </c>
      <c r="AJ881" s="1110" t="str">
        <f t="shared" si="165"/>
        <v/>
      </c>
      <c r="AK881" s="982">
        <f>'09월 에너지'!S881</f>
        <v>0</v>
      </c>
      <c r="AL881" s="983">
        <f t="shared" si="166"/>
        <v>0</v>
      </c>
    </row>
    <row r="882" spans="1:38" ht="16.5" customHeight="1">
      <c r="A882" s="999" t="str">
        <f>'09월 에너지'!A882</f>
        <v/>
      </c>
      <c r="B882" s="1002" t="str">
        <f>'09월 조업일지'!B880</f>
        <v/>
      </c>
      <c r="C882" s="1003" t="str">
        <f>'09월 에너지'!C882</f>
        <v/>
      </c>
      <c r="D882" s="1004" t="str">
        <f>'09월 에너지'!D882</f>
        <v/>
      </c>
      <c r="E882" s="1000" t="str">
        <f>'09월 에너지'!E882</f>
        <v/>
      </c>
      <c r="F882" s="1094" t="str">
        <f>'09월 에너지'!F882</f>
        <v/>
      </c>
      <c r="G882" s="980"/>
      <c r="H882" s="978"/>
      <c r="I882" s="978"/>
      <c r="J882" s="978"/>
      <c r="K882" s="978"/>
      <c r="L882" s="978"/>
      <c r="M882" s="978"/>
      <c r="N882" s="978"/>
      <c r="O882" s="1106" t="str">
        <f t="shared" si="162"/>
        <v/>
      </c>
      <c r="P882" s="1108"/>
      <c r="Q882" s="979"/>
      <c r="R882" s="979"/>
      <c r="S882" s="979"/>
      <c r="T882" s="979"/>
      <c r="U882" s="979"/>
      <c r="V882" s="979"/>
      <c r="W882" s="979"/>
      <c r="X882" s="979"/>
      <c r="Y882" s="979"/>
      <c r="Z882" s="979"/>
      <c r="AA882" s="979"/>
      <c r="AB882" s="979"/>
      <c r="AC882" s="979"/>
      <c r="AD882" s="979"/>
      <c r="AE882" s="1109" t="str">
        <f t="shared" si="163"/>
        <v/>
      </c>
      <c r="AF882" s="1113"/>
      <c r="AG882" s="981"/>
      <c r="AH882" s="981"/>
      <c r="AI882" s="1114" t="str">
        <f t="shared" si="164"/>
        <v/>
      </c>
      <c r="AJ882" s="1110" t="str">
        <f t="shared" si="165"/>
        <v/>
      </c>
      <c r="AK882" s="982">
        <f>'09월 에너지'!S882</f>
        <v>0</v>
      </c>
      <c r="AL882" s="983">
        <f t="shared" si="166"/>
        <v>0</v>
      </c>
    </row>
    <row r="883" spans="1:38" ht="16.5" customHeight="1">
      <c r="A883" s="999" t="str">
        <f>'09월 에너지'!A883</f>
        <v/>
      </c>
      <c r="B883" s="1002" t="str">
        <f>'09월 조업일지'!B881</f>
        <v/>
      </c>
      <c r="C883" s="1003" t="str">
        <f>'09월 에너지'!C883</f>
        <v/>
      </c>
      <c r="D883" s="1004" t="str">
        <f>'09월 에너지'!D883</f>
        <v/>
      </c>
      <c r="E883" s="1000" t="str">
        <f>'09월 에너지'!E883</f>
        <v/>
      </c>
      <c r="F883" s="1094" t="str">
        <f>'09월 에너지'!F883</f>
        <v/>
      </c>
      <c r="G883" s="980"/>
      <c r="H883" s="978"/>
      <c r="I883" s="978"/>
      <c r="J883" s="978"/>
      <c r="K883" s="978"/>
      <c r="L883" s="978"/>
      <c r="M883" s="978"/>
      <c r="N883" s="978"/>
      <c r="O883" s="1106" t="str">
        <f t="shared" si="162"/>
        <v/>
      </c>
      <c r="P883" s="1108"/>
      <c r="Q883" s="979"/>
      <c r="R883" s="979"/>
      <c r="S883" s="979"/>
      <c r="T883" s="979"/>
      <c r="U883" s="979"/>
      <c r="V883" s="979"/>
      <c r="W883" s="979"/>
      <c r="X883" s="979"/>
      <c r="Y883" s="979"/>
      <c r="Z883" s="979"/>
      <c r="AA883" s="979"/>
      <c r="AB883" s="979"/>
      <c r="AC883" s="979"/>
      <c r="AD883" s="979"/>
      <c r="AE883" s="1109" t="str">
        <f t="shared" si="163"/>
        <v/>
      </c>
      <c r="AF883" s="1113"/>
      <c r="AG883" s="981"/>
      <c r="AH883" s="981"/>
      <c r="AI883" s="1114" t="str">
        <f t="shared" si="164"/>
        <v/>
      </c>
      <c r="AJ883" s="1110" t="str">
        <f t="shared" si="165"/>
        <v/>
      </c>
      <c r="AK883" s="982">
        <f>'09월 에너지'!S883</f>
        <v>0</v>
      </c>
      <c r="AL883" s="983">
        <f t="shared" si="166"/>
        <v>0</v>
      </c>
    </row>
    <row r="884" spans="1:38" ht="16.5" customHeight="1">
      <c r="A884" s="999" t="str">
        <f>'09월 에너지'!A884</f>
        <v/>
      </c>
      <c r="B884" s="1002" t="str">
        <f>'09월 조업일지'!B882</f>
        <v/>
      </c>
      <c r="C884" s="1003" t="str">
        <f>'09월 에너지'!C884</f>
        <v/>
      </c>
      <c r="D884" s="1004" t="str">
        <f>'09월 에너지'!D884</f>
        <v/>
      </c>
      <c r="E884" s="1000" t="str">
        <f>'09월 에너지'!E884</f>
        <v/>
      </c>
      <c r="F884" s="1094" t="str">
        <f>'09월 에너지'!F884</f>
        <v/>
      </c>
      <c r="G884" s="980"/>
      <c r="H884" s="978"/>
      <c r="I884" s="978"/>
      <c r="J884" s="978"/>
      <c r="K884" s="978"/>
      <c r="L884" s="978"/>
      <c r="M884" s="978"/>
      <c r="N884" s="978"/>
      <c r="O884" s="1106" t="str">
        <f t="shared" si="162"/>
        <v/>
      </c>
      <c r="P884" s="1108"/>
      <c r="Q884" s="979"/>
      <c r="R884" s="979"/>
      <c r="S884" s="979"/>
      <c r="T884" s="979"/>
      <c r="U884" s="979"/>
      <c r="V884" s="979"/>
      <c r="W884" s="979"/>
      <c r="X884" s="979"/>
      <c r="Y884" s="979"/>
      <c r="Z884" s="979"/>
      <c r="AA884" s="979"/>
      <c r="AB884" s="979"/>
      <c r="AC884" s="979"/>
      <c r="AD884" s="979"/>
      <c r="AE884" s="1109" t="str">
        <f t="shared" si="163"/>
        <v/>
      </c>
      <c r="AF884" s="1113"/>
      <c r="AG884" s="981"/>
      <c r="AH884" s="981"/>
      <c r="AI884" s="1114" t="str">
        <f t="shared" si="164"/>
        <v/>
      </c>
      <c r="AJ884" s="1110" t="str">
        <f t="shared" si="165"/>
        <v/>
      </c>
      <c r="AK884" s="982">
        <f>'09월 에너지'!S884</f>
        <v>0</v>
      </c>
      <c r="AL884" s="983">
        <f t="shared" si="166"/>
        <v>0</v>
      </c>
    </row>
    <row r="885" spans="1:38" ht="16.5" customHeight="1">
      <c r="A885" s="999" t="str">
        <f>'09월 에너지'!A885</f>
        <v/>
      </c>
      <c r="B885" s="1002" t="str">
        <f>'09월 조업일지'!B883</f>
        <v/>
      </c>
      <c r="C885" s="1003" t="str">
        <f>'09월 에너지'!C885</f>
        <v/>
      </c>
      <c r="D885" s="1004" t="str">
        <f>'09월 에너지'!D885</f>
        <v/>
      </c>
      <c r="E885" s="1000" t="str">
        <f>'09월 에너지'!E885</f>
        <v/>
      </c>
      <c r="F885" s="1094" t="str">
        <f>'09월 에너지'!F885</f>
        <v/>
      </c>
      <c r="G885" s="980"/>
      <c r="H885" s="978"/>
      <c r="I885" s="978"/>
      <c r="J885" s="978"/>
      <c r="K885" s="978"/>
      <c r="L885" s="978"/>
      <c r="M885" s="978"/>
      <c r="N885" s="978"/>
      <c r="O885" s="1106" t="str">
        <f t="shared" si="162"/>
        <v/>
      </c>
      <c r="P885" s="1108"/>
      <c r="Q885" s="979"/>
      <c r="R885" s="979"/>
      <c r="S885" s="979"/>
      <c r="T885" s="979"/>
      <c r="U885" s="979"/>
      <c r="V885" s="979"/>
      <c r="W885" s="979"/>
      <c r="X885" s="979"/>
      <c r="Y885" s="979"/>
      <c r="Z885" s="979"/>
      <c r="AA885" s="979"/>
      <c r="AB885" s="979"/>
      <c r="AC885" s="979"/>
      <c r="AD885" s="979"/>
      <c r="AE885" s="1109" t="str">
        <f t="shared" si="163"/>
        <v/>
      </c>
      <c r="AF885" s="1113"/>
      <c r="AG885" s="981"/>
      <c r="AH885" s="981"/>
      <c r="AI885" s="1114" t="str">
        <f t="shared" si="164"/>
        <v/>
      </c>
      <c r="AJ885" s="1110" t="str">
        <f t="shared" si="165"/>
        <v/>
      </c>
      <c r="AK885" s="982">
        <f>'09월 에너지'!S885</f>
        <v>0</v>
      </c>
      <c r="AL885" s="983">
        <f t="shared" si="166"/>
        <v>0</v>
      </c>
    </row>
    <row r="886" spans="1:38" ht="16.5" customHeight="1">
      <c r="A886" s="999" t="str">
        <f>'09월 에너지'!A886</f>
        <v/>
      </c>
      <c r="B886" s="1002" t="str">
        <f>'09월 조업일지'!B884</f>
        <v/>
      </c>
      <c r="C886" s="1003" t="str">
        <f>'09월 에너지'!C886</f>
        <v/>
      </c>
      <c r="D886" s="1004" t="str">
        <f>'09월 에너지'!D886</f>
        <v/>
      </c>
      <c r="E886" s="1000" t="str">
        <f>'09월 에너지'!E886</f>
        <v/>
      </c>
      <c r="F886" s="1094" t="str">
        <f>'09월 에너지'!F886</f>
        <v/>
      </c>
      <c r="G886" s="980"/>
      <c r="H886" s="978"/>
      <c r="I886" s="978"/>
      <c r="J886" s="978"/>
      <c r="K886" s="978"/>
      <c r="L886" s="978"/>
      <c r="M886" s="978"/>
      <c r="N886" s="978"/>
      <c r="O886" s="1106" t="str">
        <f t="shared" si="162"/>
        <v/>
      </c>
      <c r="P886" s="1108"/>
      <c r="Q886" s="979"/>
      <c r="R886" s="979"/>
      <c r="S886" s="979"/>
      <c r="T886" s="979"/>
      <c r="U886" s="979"/>
      <c r="V886" s="979"/>
      <c r="W886" s="979"/>
      <c r="X886" s="979"/>
      <c r="Y886" s="979"/>
      <c r="Z886" s="979"/>
      <c r="AA886" s="979"/>
      <c r="AB886" s="979"/>
      <c r="AC886" s="979"/>
      <c r="AD886" s="979"/>
      <c r="AE886" s="1109" t="str">
        <f t="shared" si="163"/>
        <v/>
      </c>
      <c r="AF886" s="1113"/>
      <c r="AG886" s="981"/>
      <c r="AH886" s="981"/>
      <c r="AI886" s="1114" t="str">
        <f t="shared" si="164"/>
        <v/>
      </c>
      <c r="AJ886" s="1110" t="str">
        <f t="shared" si="165"/>
        <v/>
      </c>
      <c r="AK886" s="982">
        <f>'09월 에너지'!S886</f>
        <v>0</v>
      </c>
      <c r="AL886" s="983">
        <f t="shared" si="166"/>
        <v>0</v>
      </c>
    </row>
    <row r="887" spans="1:38" ht="16.5" customHeight="1">
      <c r="A887" s="999" t="str">
        <f>'09월 에너지'!A887</f>
        <v/>
      </c>
      <c r="B887" s="1002" t="str">
        <f>'09월 조업일지'!B885</f>
        <v/>
      </c>
      <c r="C887" s="1003" t="str">
        <f>'09월 에너지'!C887</f>
        <v/>
      </c>
      <c r="D887" s="1004" t="str">
        <f>'09월 에너지'!D887</f>
        <v/>
      </c>
      <c r="E887" s="1000" t="str">
        <f>'09월 에너지'!E887</f>
        <v/>
      </c>
      <c r="F887" s="1094" t="str">
        <f>'09월 에너지'!F887</f>
        <v/>
      </c>
      <c r="G887" s="980"/>
      <c r="H887" s="978"/>
      <c r="I887" s="978"/>
      <c r="J887" s="978"/>
      <c r="K887" s="978"/>
      <c r="L887" s="978"/>
      <c r="M887" s="978"/>
      <c r="N887" s="978"/>
      <c r="O887" s="1106" t="str">
        <f t="shared" si="162"/>
        <v/>
      </c>
      <c r="P887" s="1108"/>
      <c r="Q887" s="979"/>
      <c r="R887" s="979"/>
      <c r="S887" s="979"/>
      <c r="T887" s="979"/>
      <c r="U887" s="979"/>
      <c r="V887" s="979"/>
      <c r="W887" s="979"/>
      <c r="X887" s="979"/>
      <c r="Y887" s="979"/>
      <c r="Z887" s="979"/>
      <c r="AA887" s="979"/>
      <c r="AB887" s="979"/>
      <c r="AC887" s="979"/>
      <c r="AD887" s="979"/>
      <c r="AE887" s="1109" t="str">
        <f t="shared" si="163"/>
        <v/>
      </c>
      <c r="AF887" s="1113"/>
      <c r="AG887" s="981"/>
      <c r="AH887" s="981"/>
      <c r="AI887" s="1114" t="str">
        <f t="shared" si="164"/>
        <v/>
      </c>
      <c r="AJ887" s="1110" t="str">
        <f t="shared" si="165"/>
        <v/>
      </c>
      <c r="AK887" s="982">
        <f>'09월 에너지'!S887</f>
        <v>0</v>
      </c>
      <c r="AL887" s="983">
        <f t="shared" si="166"/>
        <v>0</v>
      </c>
    </row>
    <row r="888" spans="1:38" ht="16.5" customHeight="1">
      <c r="A888" s="999" t="str">
        <f>'09월 에너지'!A888</f>
        <v/>
      </c>
      <c r="B888" s="1002" t="str">
        <f>'09월 조업일지'!B886</f>
        <v/>
      </c>
      <c r="C888" s="1003" t="str">
        <f>'09월 에너지'!C888</f>
        <v/>
      </c>
      <c r="D888" s="1004" t="str">
        <f>'09월 에너지'!D888</f>
        <v/>
      </c>
      <c r="E888" s="1000" t="str">
        <f>'09월 에너지'!E888</f>
        <v/>
      </c>
      <c r="F888" s="1094" t="str">
        <f>'09월 에너지'!F888</f>
        <v/>
      </c>
      <c r="G888" s="980"/>
      <c r="H888" s="978"/>
      <c r="I888" s="978"/>
      <c r="J888" s="978"/>
      <c r="K888" s="978"/>
      <c r="L888" s="978"/>
      <c r="M888" s="978"/>
      <c r="N888" s="978"/>
      <c r="O888" s="1106" t="str">
        <f t="shared" si="162"/>
        <v/>
      </c>
      <c r="P888" s="1108"/>
      <c r="Q888" s="979"/>
      <c r="R888" s="979"/>
      <c r="S888" s="979"/>
      <c r="T888" s="979"/>
      <c r="U888" s="979"/>
      <c r="V888" s="979"/>
      <c r="W888" s="979"/>
      <c r="X888" s="979"/>
      <c r="Y888" s="979"/>
      <c r="Z888" s="979"/>
      <c r="AA888" s="979"/>
      <c r="AB888" s="979"/>
      <c r="AC888" s="979"/>
      <c r="AD888" s="979"/>
      <c r="AE888" s="1109" t="str">
        <f t="shared" si="163"/>
        <v/>
      </c>
      <c r="AF888" s="1113"/>
      <c r="AG888" s="981"/>
      <c r="AH888" s="981"/>
      <c r="AI888" s="1114" t="str">
        <f t="shared" si="164"/>
        <v/>
      </c>
      <c r="AJ888" s="1110" t="str">
        <f t="shared" si="165"/>
        <v/>
      </c>
      <c r="AK888" s="982">
        <f>'09월 에너지'!S888</f>
        <v>0</v>
      </c>
      <c r="AL888" s="983">
        <f t="shared" si="166"/>
        <v>0</v>
      </c>
    </row>
    <row r="889" spans="1:38" ht="16.5" customHeight="1">
      <c r="A889" s="999" t="str">
        <f>'09월 에너지'!A889</f>
        <v/>
      </c>
      <c r="B889" s="1002" t="str">
        <f>'09월 조업일지'!B887</f>
        <v/>
      </c>
      <c r="C889" s="1003" t="str">
        <f>'09월 에너지'!C889</f>
        <v/>
      </c>
      <c r="D889" s="1004" t="str">
        <f>'09월 에너지'!D889</f>
        <v/>
      </c>
      <c r="E889" s="1000" t="str">
        <f>'09월 에너지'!E889</f>
        <v/>
      </c>
      <c r="F889" s="1094" t="str">
        <f>'09월 에너지'!F889</f>
        <v/>
      </c>
      <c r="G889" s="980"/>
      <c r="H889" s="978"/>
      <c r="I889" s="978"/>
      <c r="J889" s="978"/>
      <c r="K889" s="978"/>
      <c r="L889" s="978"/>
      <c r="M889" s="978"/>
      <c r="N889" s="978"/>
      <c r="O889" s="1106" t="str">
        <f t="shared" si="162"/>
        <v/>
      </c>
      <c r="P889" s="1108"/>
      <c r="Q889" s="979"/>
      <c r="R889" s="979"/>
      <c r="S889" s="979"/>
      <c r="T889" s="979"/>
      <c r="U889" s="979"/>
      <c r="V889" s="979"/>
      <c r="W889" s="979"/>
      <c r="X889" s="979"/>
      <c r="Y889" s="979"/>
      <c r="Z889" s="979"/>
      <c r="AA889" s="979"/>
      <c r="AB889" s="979"/>
      <c r="AC889" s="979"/>
      <c r="AD889" s="979"/>
      <c r="AE889" s="1109" t="str">
        <f t="shared" si="163"/>
        <v/>
      </c>
      <c r="AF889" s="1113"/>
      <c r="AG889" s="981"/>
      <c r="AH889" s="981"/>
      <c r="AI889" s="1114" t="str">
        <f t="shared" si="164"/>
        <v/>
      </c>
      <c r="AJ889" s="1110" t="str">
        <f t="shared" si="165"/>
        <v/>
      </c>
      <c r="AK889" s="982">
        <f>'09월 에너지'!S889</f>
        <v>0</v>
      </c>
      <c r="AL889" s="983">
        <f t="shared" si="166"/>
        <v>0</v>
      </c>
    </row>
    <row r="890" spans="1:38" ht="16.5" customHeight="1">
      <c r="A890" s="999" t="str">
        <f>'09월 에너지'!A890</f>
        <v/>
      </c>
      <c r="B890" s="1002" t="str">
        <f>'09월 조업일지'!B888</f>
        <v/>
      </c>
      <c r="C890" s="1003" t="str">
        <f>'09월 에너지'!C890</f>
        <v/>
      </c>
      <c r="D890" s="1004" t="str">
        <f>'09월 에너지'!D890</f>
        <v/>
      </c>
      <c r="E890" s="1000" t="str">
        <f>'09월 에너지'!E890</f>
        <v/>
      </c>
      <c r="F890" s="1094" t="str">
        <f>'09월 에너지'!F890</f>
        <v/>
      </c>
      <c r="G890" s="980"/>
      <c r="H890" s="978"/>
      <c r="I890" s="978"/>
      <c r="J890" s="978"/>
      <c r="K890" s="978"/>
      <c r="L890" s="978"/>
      <c r="M890" s="978"/>
      <c r="N890" s="978"/>
      <c r="O890" s="1106" t="str">
        <f t="shared" si="162"/>
        <v/>
      </c>
      <c r="P890" s="1108"/>
      <c r="Q890" s="979"/>
      <c r="R890" s="979"/>
      <c r="S890" s="979"/>
      <c r="T890" s="979"/>
      <c r="U890" s="979"/>
      <c r="V890" s="979"/>
      <c r="W890" s="979"/>
      <c r="X890" s="979"/>
      <c r="Y890" s="979"/>
      <c r="Z890" s="979"/>
      <c r="AA890" s="979"/>
      <c r="AB890" s="979"/>
      <c r="AC890" s="979"/>
      <c r="AD890" s="979"/>
      <c r="AE890" s="1109" t="str">
        <f t="shared" si="163"/>
        <v/>
      </c>
      <c r="AF890" s="1113"/>
      <c r="AG890" s="981"/>
      <c r="AH890" s="981"/>
      <c r="AI890" s="1114" t="str">
        <f t="shared" si="164"/>
        <v/>
      </c>
      <c r="AJ890" s="1110" t="str">
        <f t="shared" si="165"/>
        <v/>
      </c>
      <c r="AK890" s="982">
        <f>'09월 에너지'!S890</f>
        <v>0</v>
      </c>
      <c r="AL890" s="983">
        <f t="shared" si="166"/>
        <v>0</v>
      </c>
    </row>
    <row r="891" spans="1:38" ht="16.5" customHeight="1">
      <c r="A891" s="999" t="str">
        <f>'09월 에너지'!A891</f>
        <v/>
      </c>
      <c r="B891" s="1002" t="str">
        <f>'09월 조업일지'!B889</f>
        <v/>
      </c>
      <c r="C891" s="1003" t="str">
        <f>'09월 에너지'!C891</f>
        <v/>
      </c>
      <c r="D891" s="1004" t="str">
        <f>'09월 에너지'!D891</f>
        <v/>
      </c>
      <c r="E891" s="1000" t="str">
        <f>'09월 에너지'!E891</f>
        <v/>
      </c>
      <c r="F891" s="1094" t="str">
        <f>'09월 에너지'!F891</f>
        <v/>
      </c>
      <c r="G891" s="980"/>
      <c r="H891" s="978"/>
      <c r="I891" s="978"/>
      <c r="J891" s="978"/>
      <c r="K891" s="978"/>
      <c r="L891" s="978"/>
      <c r="M891" s="978"/>
      <c r="N891" s="978"/>
      <c r="O891" s="1106" t="str">
        <f t="shared" si="162"/>
        <v/>
      </c>
      <c r="P891" s="1108"/>
      <c r="Q891" s="979"/>
      <c r="R891" s="979"/>
      <c r="S891" s="979"/>
      <c r="T891" s="979"/>
      <c r="U891" s="979"/>
      <c r="V891" s="979"/>
      <c r="W891" s="979"/>
      <c r="X891" s="979"/>
      <c r="Y891" s="979"/>
      <c r="Z891" s="979"/>
      <c r="AA891" s="979"/>
      <c r="AB891" s="979"/>
      <c r="AC891" s="979"/>
      <c r="AD891" s="979"/>
      <c r="AE891" s="1109" t="str">
        <f t="shared" si="163"/>
        <v/>
      </c>
      <c r="AF891" s="1113"/>
      <c r="AG891" s="981"/>
      <c r="AH891" s="981"/>
      <c r="AI891" s="1114" t="str">
        <f t="shared" si="164"/>
        <v/>
      </c>
      <c r="AJ891" s="1110" t="str">
        <f t="shared" si="165"/>
        <v/>
      </c>
      <c r="AK891" s="982">
        <f>'09월 에너지'!S891</f>
        <v>0</v>
      </c>
      <c r="AL891" s="983">
        <f t="shared" si="166"/>
        <v>0</v>
      </c>
    </row>
    <row r="892" spans="1:38" ht="16.5" customHeight="1">
      <c r="A892" s="999" t="str">
        <f>'09월 에너지'!A892</f>
        <v/>
      </c>
      <c r="B892" s="1002" t="str">
        <f>'09월 조업일지'!B890</f>
        <v/>
      </c>
      <c r="C892" s="1003" t="str">
        <f>'09월 에너지'!C892</f>
        <v/>
      </c>
      <c r="D892" s="1004" t="str">
        <f>'09월 에너지'!D892</f>
        <v/>
      </c>
      <c r="E892" s="1000" t="str">
        <f>'09월 에너지'!E892</f>
        <v/>
      </c>
      <c r="F892" s="1094" t="str">
        <f>'09월 에너지'!F892</f>
        <v/>
      </c>
      <c r="G892" s="980"/>
      <c r="H892" s="978"/>
      <c r="I892" s="978"/>
      <c r="J892" s="978"/>
      <c r="K892" s="978"/>
      <c r="L892" s="978"/>
      <c r="M892" s="978"/>
      <c r="N892" s="978"/>
      <c r="O892" s="1106" t="str">
        <f t="shared" si="162"/>
        <v/>
      </c>
      <c r="P892" s="1108"/>
      <c r="Q892" s="979"/>
      <c r="R892" s="979"/>
      <c r="S892" s="979"/>
      <c r="T892" s="979"/>
      <c r="U892" s="979"/>
      <c r="V892" s="979"/>
      <c r="W892" s="979"/>
      <c r="X892" s="979"/>
      <c r="Y892" s="979"/>
      <c r="Z892" s="979"/>
      <c r="AA892" s="979"/>
      <c r="AB892" s="979"/>
      <c r="AC892" s="979"/>
      <c r="AD892" s="979"/>
      <c r="AE892" s="1109" t="str">
        <f t="shared" si="163"/>
        <v/>
      </c>
      <c r="AF892" s="1113"/>
      <c r="AG892" s="981"/>
      <c r="AH892" s="981"/>
      <c r="AI892" s="1114" t="str">
        <f t="shared" si="164"/>
        <v/>
      </c>
      <c r="AJ892" s="1110" t="str">
        <f t="shared" si="165"/>
        <v/>
      </c>
      <c r="AK892" s="982">
        <f>'09월 에너지'!S892</f>
        <v>0</v>
      </c>
      <c r="AL892" s="983">
        <f t="shared" si="166"/>
        <v>0</v>
      </c>
    </row>
    <row r="893" spans="1:38" ht="16.5" customHeight="1">
      <c r="A893" s="999" t="str">
        <f>'09월 에너지'!A893</f>
        <v/>
      </c>
      <c r="B893" s="1002" t="str">
        <f>'09월 조업일지'!B891</f>
        <v/>
      </c>
      <c r="C893" s="1003" t="str">
        <f>'09월 에너지'!C893</f>
        <v/>
      </c>
      <c r="D893" s="1004" t="str">
        <f>'09월 에너지'!D893</f>
        <v/>
      </c>
      <c r="E893" s="1000" t="str">
        <f>'09월 에너지'!E893</f>
        <v/>
      </c>
      <c r="F893" s="1094" t="str">
        <f>'09월 에너지'!F893</f>
        <v/>
      </c>
      <c r="G893" s="980"/>
      <c r="H893" s="978"/>
      <c r="I893" s="978"/>
      <c r="J893" s="978"/>
      <c r="K893" s="978"/>
      <c r="L893" s="978"/>
      <c r="M893" s="978"/>
      <c r="N893" s="978"/>
      <c r="O893" s="1106" t="str">
        <f t="shared" si="162"/>
        <v/>
      </c>
      <c r="P893" s="1108"/>
      <c r="Q893" s="979"/>
      <c r="R893" s="979"/>
      <c r="S893" s="979"/>
      <c r="T893" s="979"/>
      <c r="U893" s="979"/>
      <c r="V893" s="979"/>
      <c r="W893" s="979"/>
      <c r="X893" s="979"/>
      <c r="Y893" s="979"/>
      <c r="Z893" s="979"/>
      <c r="AA893" s="979"/>
      <c r="AB893" s="979"/>
      <c r="AC893" s="979"/>
      <c r="AD893" s="979"/>
      <c r="AE893" s="1109" t="str">
        <f t="shared" si="163"/>
        <v/>
      </c>
      <c r="AF893" s="1113"/>
      <c r="AG893" s="981"/>
      <c r="AH893" s="981"/>
      <c r="AI893" s="1114" t="str">
        <f t="shared" si="164"/>
        <v/>
      </c>
      <c r="AJ893" s="1110" t="str">
        <f t="shared" si="165"/>
        <v/>
      </c>
      <c r="AK893" s="982">
        <f>'09월 에너지'!S893</f>
        <v>0</v>
      </c>
      <c r="AL893" s="983">
        <f t="shared" si="166"/>
        <v>0</v>
      </c>
    </row>
    <row r="894" spans="1:38" ht="16.5" customHeight="1">
      <c r="A894" s="999" t="str">
        <f>'09월 에너지'!A894</f>
        <v/>
      </c>
      <c r="B894" s="1002" t="str">
        <f>'09월 조업일지'!B892</f>
        <v/>
      </c>
      <c r="C894" s="1003" t="str">
        <f>'09월 에너지'!C894</f>
        <v/>
      </c>
      <c r="D894" s="1004" t="str">
        <f>'09월 에너지'!D894</f>
        <v/>
      </c>
      <c r="E894" s="1000" t="str">
        <f>'09월 에너지'!E894</f>
        <v/>
      </c>
      <c r="F894" s="1094" t="str">
        <f>'09월 에너지'!F894</f>
        <v/>
      </c>
      <c r="G894" s="980"/>
      <c r="H894" s="978"/>
      <c r="I894" s="978"/>
      <c r="J894" s="978"/>
      <c r="K894" s="978"/>
      <c r="L894" s="978"/>
      <c r="M894" s="978"/>
      <c r="N894" s="978"/>
      <c r="O894" s="1106" t="str">
        <f t="shared" si="162"/>
        <v/>
      </c>
      <c r="P894" s="1108"/>
      <c r="Q894" s="979"/>
      <c r="R894" s="979"/>
      <c r="S894" s="979"/>
      <c r="T894" s="979"/>
      <c r="U894" s="979"/>
      <c r="V894" s="979"/>
      <c r="W894" s="979"/>
      <c r="X894" s="979"/>
      <c r="Y894" s="979"/>
      <c r="Z894" s="979"/>
      <c r="AA894" s="979"/>
      <c r="AB894" s="979"/>
      <c r="AC894" s="979"/>
      <c r="AD894" s="979"/>
      <c r="AE894" s="1109" t="str">
        <f t="shared" si="163"/>
        <v/>
      </c>
      <c r="AF894" s="1113"/>
      <c r="AG894" s="981"/>
      <c r="AH894" s="981"/>
      <c r="AI894" s="1114" t="str">
        <f t="shared" si="164"/>
        <v/>
      </c>
      <c r="AJ894" s="1110" t="str">
        <f t="shared" si="165"/>
        <v/>
      </c>
      <c r="AK894" s="982">
        <f>'09월 에너지'!S894</f>
        <v>0</v>
      </c>
      <c r="AL894" s="983">
        <f t="shared" si="166"/>
        <v>0</v>
      </c>
    </row>
    <row r="895" spans="1:38" ht="16.5" customHeight="1">
      <c r="A895" s="999" t="str">
        <f>'09월 에너지'!A895</f>
        <v/>
      </c>
      <c r="B895" s="1002" t="str">
        <f>'09월 조업일지'!B893</f>
        <v/>
      </c>
      <c r="C895" s="1003" t="str">
        <f>'09월 에너지'!C895</f>
        <v/>
      </c>
      <c r="D895" s="1004" t="str">
        <f>'09월 에너지'!D895</f>
        <v/>
      </c>
      <c r="E895" s="1000" t="str">
        <f>'09월 에너지'!E895</f>
        <v/>
      </c>
      <c r="F895" s="1094" t="str">
        <f>'09월 에너지'!F895</f>
        <v/>
      </c>
      <c r="G895" s="980"/>
      <c r="H895" s="978"/>
      <c r="I895" s="978"/>
      <c r="J895" s="978"/>
      <c r="K895" s="978"/>
      <c r="L895" s="978"/>
      <c r="M895" s="978"/>
      <c r="N895" s="978"/>
      <c r="O895" s="1106" t="str">
        <f t="shared" si="162"/>
        <v/>
      </c>
      <c r="P895" s="1108"/>
      <c r="Q895" s="979"/>
      <c r="R895" s="979"/>
      <c r="S895" s="979"/>
      <c r="T895" s="979"/>
      <c r="U895" s="979"/>
      <c r="V895" s="979"/>
      <c r="W895" s="979"/>
      <c r="X895" s="979"/>
      <c r="Y895" s="979"/>
      <c r="Z895" s="979"/>
      <c r="AA895" s="979"/>
      <c r="AB895" s="979"/>
      <c r="AC895" s="979"/>
      <c r="AD895" s="979"/>
      <c r="AE895" s="1109" t="str">
        <f t="shared" si="163"/>
        <v/>
      </c>
      <c r="AF895" s="1113"/>
      <c r="AG895" s="981"/>
      <c r="AH895" s="981"/>
      <c r="AI895" s="1114" t="str">
        <f t="shared" si="164"/>
        <v/>
      </c>
      <c r="AJ895" s="1110" t="str">
        <f t="shared" si="165"/>
        <v/>
      </c>
      <c r="AK895" s="982">
        <f>'09월 에너지'!S895</f>
        <v>0</v>
      </c>
      <c r="AL895" s="983">
        <f t="shared" si="166"/>
        <v>0</v>
      </c>
    </row>
    <row r="896" spans="1:38" ht="16.5" customHeight="1">
      <c r="A896" s="999" t="str">
        <f>'09월 에너지'!A896</f>
        <v/>
      </c>
      <c r="B896" s="1002" t="str">
        <f>'09월 조업일지'!B894</f>
        <v/>
      </c>
      <c r="C896" s="1003" t="str">
        <f>'09월 에너지'!C896</f>
        <v/>
      </c>
      <c r="D896" s="1004" t="str">
        <f>'09월 에너지'!D896</f>
        <v/>
      </c>
      <c r="E896" s="1000" t="str">
        <f>'09월 에너지'!E896</f>
        <v/>
      </c>
      <c r="F896" s="1094" t="str">
        <f>'09월 에너지'!F896</f>
        <v/>
      </c>
      <c r="G896" s="980"/>
      <c r="H896" s="978"/>
      <c r="I896" s="978"/>
      <c r="J896" s="978"/>
      <c r="K896" s="978"/>
      <c r="L896" s="978"/>
      <c r="M896" s="978"/>
      <c r="N896" s="978"/>
      <c r="O896" s="1106" t="str">
        <f t="shared" si="162"/>
        <v/>
      </c>
      <c r="P896" s="1108"/>
      <c r="Q896" s="979"/>
      <c r="R896" s="979"/>
      <c r="S896" s="979"/>
      <c r="T896" s="979"/>
      <c r="U896" s="979"/>
      <c r="V896" s="979"/>
      <c r="W896" s="979"/>
      <c r="X896" s="979"/>
      <c r="Y896" s="979"/>
      <c r="Z896" s="979"/>
      <c r="AA896" s="979"/>
      <c r="AB896" s="979"/>
      <c r="AC896" s="979"/>
      <c r="AD896" s="979"/>
      <c r="AE896" s="1109" t="str">
        <f t="shared" si="163"/>
        <v/>
      </c>
      <c r="AF896" s="1113"/>
      <c r="AG896" s="981"/>
      <c r="AH896" s="981"/>
      <c r="AI896" s="1114" t="str">
        <f t="shared" si="164"/>
        <v/>
      </c>
      <c r="AJ896" s="1110" t="str">
        <f t="shared" si="165"/>
        <v/>
      </c>
      <c r="AK896" s="982">
        <f>'09월 에너지'!S896</f>
        <v>0</v>
      </c>
      <c r="AL896" s="983">
        <f t="shared" si="166"/>
        <v>0</v>
      </c>
    </row>
    <row r="897" spans="1:38" ht="16.5" customHeight="1">
      <c r="A897" s="999" t="str">
        <f>'09월 에너지'!A897</f>
        <v/>
      </c>
      <c r="B897" s="1002" t="str">
        <f>'09월 조업일지'!B895</f>
        <v/>
      </c>
      <c r="C897" s="1003" t="str">
        <f>'09월 에너지'!C897</f>
        <v/>
      </c>
      <c r="D897" s="1004" t="str">
        <f>'09월 에너지'!D897</f>
        <v/>
      </c>
      <c r="E897" s="1000" t="str">
        <f>'09월 에너지'!E897</f>
        <v/>
      </c>
      <c r="F897" s="1094" t="str">
        <f>'09월 에너지'!F897</f>
        <v/>
      </c>
      <c r="G897" s="980"/>
      <c r="H897" s="978"/>
      <c r="I897" s="978"/>
      <c r="J897" s="978"/>
      <c r="K897" s="978"/>
      <c r="L897" s="978"/>
      <c r="M897" s="978"/>
      <c r="N897" s="978"/>
      <c r="O897" s="1106" t="str">
        <f t="shared" si="162"/>
        <v/>
      </c>
      <c r="P897" s="1108"/>
      <c r="Q897" s="979"/>
      <c r="R897" s="979"/>
      <c r="S897" s="979"/>
      <c r="T897" s="979"/>
      <c r="U897" s="979"/>
      <c r="V897" s="979"/>
      <c r="W897" s="979"/>
      <c r="X897" s="979"/>
      <c r="Y897" s="979"/>
      <c r="Z897" s="979"/>
      <c r="AA897" s="979"/>
      <c r="AB897" s="979"/>
      <c r="AC897" s="979"/>
      <c r="AD897" s="979"/>
      <c r="AE897" s="1109" t="str">
        <f t="shared" si="163"/>
        <v/>
      </c>
      <c r="AF897" s="1113"/>
      <c r="AG897" s="981"/>
      <c r="AH897" s="981"/>
      <c r="AI897" s="1114" t="str">
        <f t="shared" si="164"/>
        <v/>
      </c>
      <c r="AJ897" s="1110" t="str">
        <f t="shared" si="165"/>
        <v/>
      </c>
      <c r="AK897" s="982">
        <f>'09월 에너지'!S897</f>
        <v>0</v>
      </c>
      <c r="AL897" s="983">
        <f t="shared" si="166"/>
        <v>0</v>
      </c>
    </row>
    <row r="898" spans="1:38" ht="16.5" customHeight="1">
      <c r="A898" s="999" t="str">
        <f>'09월 에너지'!A898</f>
        <v/>
      </c>
      <c r="B898" s="1002" t="str">
        <f>'09월 조업일지'!B896</f>
        <v/>
      </c>
      <c r="C898" s="1003" t="str">
        <f>'09월 에너지'!C898</f>
        <v/>
      </c>
      <c r="D898" s="1004" t="str">
        <f>'09월 에너지'!D898</f>
        <v/>
      </c>
      <c r="E898" s="1000" t="str">
        <f>'09월 에너지'!E898</f>
        <v/>
      </c>
      <c r="F898" s="1094" t="str">
        <f>'09월 에너지'!F898</f>
        <v/>
      </c>
      <c r="G898" s="980"/>
      <c r="H898" s="978"/>
      <c r="I898" s="978"/>
      <c r="J898" s="978"/>
      <c r="K898" s="978"/>
      <c r="L898" s="978"/>
      <c r="M898" s="978"/>
      <c r="N898" s="978"/>
      <c r="O898" s="1106" t="str">
        <f t="shared" si="162"/>
        <v/>
      </c>
      <c r="P898" s="1108"/>
      <c r="Q898" s="979"/>
      <c r="R898" s="979"/>
      <c r="S898" s="979"/>
      <c r="T898" s="979"/>
      <c r="U898" s="979"/>
      <c r="V898" s="979"/>
      <c r="W898" s="979"/>
      <c r="X898" s="979"/>
      <c r="Y898" s="979"/>
      <c r="Z898" s="979"/>
      <c r="AA898" s="979"/>
      <c r="AB898" s="979"/>
      <c r="AC898" s="979"/>
      <c r="AD898" s="979"/>
      <c r="AE898" s="1109" t="str">
        <f t="shared" si="163"/>
        <v/>
      </c>
      <c r="AF898" s="1113"/>
      <c r="AG898" s="981"/>
      <c r="AH898" s="981"/>
      <c r="AI898" s="1114" t="str">
        <f t="shared" si="164"/>
        <v/>
      </c>
      <c r="AJ898" s="1110" t="str">
        <f t="shared" si="165"/>
        <v/>
      </c>
      <c r="AK898" s="982">
        <f>'09월 에너지'!S898</f>
        <v>0</v>
      </c>
      <c r="AL898" s="983">
        <f t="shared" si="166"/>
        <v>0</v>
      </c>
    </row>
    <row r="899" spans="1:38" ht="16.5" customHeight="1">
      <c r="A899" s="999" t="str">
        <f>'09월 에너지'!A899</f>
        <v/>
      </c>
      <c r="B899" s="1002" t="str">
        <f>'09월 조업일지'!B897</f>
        <v/>
      </c>
      <c r="C899" s="1003" t="str">
        <f>'09월 에너지'!C899</f>
        <v/>
      </c>
      <c r="D899" s="1004" t="str">
        <f>'09월 에너지'!D899</f>
        <v/>
      </c>
      <c r="E899" s="1000" t="str">
        <f>'09월 에너지'!E899</f>
        <v/>
      </c>
      <c r="F899" s="1094" t="str">
        <f>'09월 에너지'!F899</f>
        <v/>
      </c>
      <c r="G899" s="980"/>
      <c r="H899" s="978"/>
      <c r="I899" s="978"/>
      <c r="J899" s="978"/>
      <c r="K899" s="978"/>
      <c r="L899" s="978"/>
      <c r="M899" s="978"/>
      <c r="N899" s="978"/>
      <c r="O899" s="1106" t="str">
        <f t="shared" si="162"/>
        <v/>
      </c>
      <c r="P899" s="1108"/>
      <c r="Q899" s="979"/>
      <c r="R899" s="979"/>
      <c r="S899" s="979"/>
      <c r="T899" s="979"/>
      <c r="U899" s="979"/>
      <c r="V899" s="979"/>
      <c r="W899" s="979"/>
      <c r="X899" s="979"/>
      <c r="Y899" s="979"/>
      <c r="Z899" s="979"/>
      <c r="AA899" s="979"/>
      <c r="AB899" s="979"/>
      <c r="AC899" s="979"/>
      <c r="AD899" s="979"/>
      <c r="AE899" s="1109" t="str">
        <f t="shared" si="163"/>
        <v/>
      </c>
      <c r="AF899" s="1113"/>
      <c r="AG899" s="981"/>
      <c r="AH899" s="981"/>
      <c r="AI899" s="1114" t="str">
        <f t="shared" si="164"/>
        <v/>
      </c>
      <c r="AJ899" s="1110" t="str">
        <f t="shared" si="165"/>
        <v/>
      </c>
      <c r="AK899" s="982">
        <f>'09월 에너지'!S899</f>
        <v>0</v>
      </c>
      <c r="AL899" s="983">
        <f t="shared" si="166"/>
        <v>0</v>
      </c>
    </row>
    <row r="900" spans="1:38" ht="16.5" customHeight="1">
      <c r="A900" s="999" t="str">
        <f>'09월 에너지'!A900</f>
        <v/>
      </c>
      <c r="B900" s="1002" t="str">
        <f>'09월 조업일지'!B898</f>
        <v/>
      </c>
      <c r="C900" s="1003" t="str">
        <f>'09월 에너지'!C900</f>
        <v/>
      </c>
      <c r="D900" s="1004" t="str">
        <f>'09월 에너지'!D900</f>
        <v/>
      </c>
      <c r="E900" s="1000" t="str">
        <f>'09월 에너지'!E900</f>
        <v/>
      </c>
      <c r="F900" s="1094" t="str">
        <f>'09월 에너지'!F900</f>
        <v/>
      </c>
      <c r="G900" s="980"/>
      <c r="H900" s="978"/>
      <c r="I900" s="978"/>
      <c r="J900" s="978"/>
      <c r="K900" s="978"/>
      <c r="L900" s="978"/>
      <c r="M900" s="978"/>
      <c r="N900" s="978"/>
      <c r="O900" s="1106" t="str">
        <f t="shared" si="162"/>
        <v/>
      </c>
      <c r="P900" s="1108"/>
      <c r="Q900" s="979"/>
      <c r="R900" s="979"/>
      <c r="S900" s="979"/>
      <c r="T900" s="979"/>
      <c r="U900" s="979"/>
      <c r="V900" s="979"/>
      <c r="W900" s="979"/>
      <c r="X900" s="979"/>
      <c r="Y900" s="979"/>
      <c r="Z900" s="979"/>
      <c r="AA900" s="979"/>
      <c r="AB900" s="979"/>
      <c r="AC900" s="979"/>
      <c r="AD900" s="979"/>
      <c r="AE900" s="1109" t="str">
        <f t="shared" si="163"/>
        <v/>
      </c>
      <c r="AF900" s="1113"/>
      <c r="AG900" s="981"/>
      <c r="AH900" s="981"/>
      <c r="AI900" s="1114" t="str">
        <f t="shared" si="164"/>
        <v/>
      </c>
      <c r="AJ900" s="1110" t="str">
        <f t="shared" si="165"/>
        <v/>
      </c>
      <c r="AK900" s="982">
        <f>'09월 에너지'!S900</f>
        <v>0</v>
      </c>
      <c r="AL900" s="983">
        <f t="shared" si="166"/>
        <v>0</v>
      </c>
    </row>
    <row r="901" spans="1:38" ht="16.5" customHeight="1">
      <c r="A901" s="999" t="str">
        <f>'09월 에너지'!A901</f>
        <v/>
      </c>
      <c r="B901" s="1002" t="str">
        <f>'09월 조업일지'!B899</f>
        <v/>
      </c>
      <c r="C901" s="1003" t="str">
        <f>'09월 에너지'!C901</f>
        <v/>
      </c>
      <c r="D901" s="1004" t="str">
        <f>'09월 에너지'!D901</f>
        <v/>
      </c>
      <c r="E901" s="1000" t="str">
        <f>'09월 에너지'!E901</f>
        <v/>
      </c>
      <c r="F901" s="1094" t="str">
        <f>'09월 에너지'!F901</f>
        <v/>
      </c>
      <c r="G901" s="980"/>
      <c r="H901" s="978"/>
      <c r="I901" s="978"/>
      <c r="J901" s="978"/>
      <c r="K901" s="978"/>
      <c r="L901" s="978"/>
      <c r="M901" s="978"/>
      <c r="N901" s="978"/>
      <c r="O901" s="1106" t="str">
        <f t="shared" si="162"/>
        <v/>
      </c>
      <c r="P901" s="1108"/>
      <c r="Q901" s="979"/>
      <c r="R901" s="979"/>
      <c r="S901" s="979"/>
      <c r="T901" s="979"/>
      <c r="U901" s="979"/>
      <c r="V901" s="979"/>
      <c r="W901" s="979"/>
      <c r="X901" s="979"/>
      <c r="Y901" s="979"/>
      <c r="Z901" s="979"/>
      <c r="AA901" s="979"/>
      <c r="AB901" s="979"/>
      <c r="AC901" s="979"/>
      <c r="AD901" s="979"/>
      <c r="AE901" s="1109" t="str">
        <f t="shared" si="163"/>
        <v/>
      </c>
      <c r="AF901" s="1113"/>
      <c r="AG901" s="981"/>
      <c r="AH901" s="981"/>
      <c r="AI901" s="1114" t="str">
        <f t="shared" si="164"/>
        <v/>
      </c>
      <c r="AJ901" s="1110" t="str">
        <f t="shared" si="165"/>
        <v/>
      </c>
      <c r="AK901" s="982">
        <f>'09월 에너지'!S901</f>
        <v>0</v>
      </c>
      <c r="AL901" s="983">
        <f t="shared" si="166"/>
        <v>0</v>
      </c>
    </row>
    <row r="902" spans="1:38" ht="16.5" customHeight="1">
      <c r="A902" s="999" t="str">
        <f>'09월 에너지'!A902</f>
        <v/>
      </c>
      <c r="B902" s="1002" t="str">
        <f>'09월 조업일지'!B900</f>
        <v/>
      </c>
      <c r="C902" s="1003" t="str">
        <f>'09월 에너지'!C902</f>
        <v/>
      </c>
      <c r="D902" s="1004" t="str">
        <f>'09월 에너지'!D902</f>
        <v/>
      </c>
      <c r="E902" s="1000" t="str">
        <f>'09월 에너지'!E902</f>
        <v/>
      </c>
      <c r="F902" s="1094" t="str">
        <f>'09월 에너지'!F902</f>
        <v/>
      </c>
      <c r="G902" s="980"/>
      <c r="H902" s="978"/>
      <c r="I902" s="978"/>
      <c r="J902" s="978"/>
      <c r="K902" s="978"/>
      <c r="L902" s="978"/>
      <c r="M902" s="978"/>
      <c r="N902" s="978"/>
      <c r="O902" s="1106" t="str">
        <f t="shared" si="162"/>
        <v/>
      </c>
      <c r="P902" s="1108"/>
      <c r="Q902" s="979"/>
      <c r="R902" s="979"/>
      <c r="S902" s="979"/>
      <c r="T902" s="979"/>
      <c r="U902" s="979"/>
      <c r="V902" s="979"/>
      <c r="W902" s="979"/>
      <c r="X902" s="979"/>
      <c r="Y902" s="979"/>
      <c r="Z902" s="979"/>
      <c r="AA902" s="979"/>
      <c r="AB902" s="979"/>
      <c r="AC902" s="979"/>
      <c r="AD902" s="979"/>
      <c r="AE902" s="1109" t="str">
        <f t="shared" si="163"/>
        <v/>
      </c>
      <c r="AF902" s="1113"/>
      <c r="AG902" s="981"/>
      <c r="AH902" s="981"/>
      <c r="AI902" s="1114" t="str">
        <f t="shared" si="164"/>
        <v/>
      </c>
      <c r="AJ902" s="1110" t="str">
        <f t="shared" si="165"/>
        <v/>
      </c>
      <c r="AK902" s="982">
        <f>'09월 에너지'!S902</f>
        <v>0</v>
      </c>
      <c r="AL902" s="983">
        <f t="shared" si="166"/>
        <v>0</v>
      </c>
    </row>
    <row r="903" spans="1:38" ht="16.5" customHeight="1">
      <c r="A903" s="999" t="str">
        <f>'09월 에너지'!A903</f>
        <v/>
      </c>
      <c r="B903" s="1002" t="str">
        <f>'09월 조업일지'!B901</f>
        <v/>
      </c>
      <c r="C903" s="1003" t="str">
        <f>'09월 에너지'!C903</f>
        <v/>
      </c>
      <c r="D903" s="1004" t="str">
        <f>'09월 에너지'!D903</f>
        <v/>
      </c>
      <c r="E903" s="1000" t="str">
        <f>'09월 에너지'!E903</f>
        <v/>
      </c>
      <c r="F903" s="1094" t="str">
        <f>'09월 에너지'!F903</f>
        <v/>
      </c>
      <c r="G903" s="980"/>
      <c r="H903" s="978"/>
      <c r="I903" s="978"/>
      <c r="J903" s="978"/>
      <c r="K903" s="978"/>
      <c r="L903" s="978"/>
      <c r="M903" s="978"/>
      <c r="N903" s="978"/>
      <c r="O903" s="1106" t="str">
        <f t="shared" si="162"/>
        <v/>
      </c>
      <c r="P903" s="1108"/>
      <c r="Q903" s="979"/>
      <c r="R903" s="979"/>
      <c r="S903" s="979"/>
      <c r="T903" s="979"/>
      <c r="U903" s="979"/>
      <c r="V903" s="979"/>
      <c r="W903" s="979"/>
      <c r="X903" s="979"/>
      <c r="Y903" s="979"/>
      <c r="Z903" s="979"/>
      <c r="AA903" s="979"/>
      <c r="AB903" s="979"/>
      <c r="AC903" s="979"/>
      <c r="AD903" s="979"/>
      <c r="AE903" s="1109" t="str">
        <f t="shared" si="163"/>
        <v/>
      </c>
      <c r="AF903" s="1113"/>
      <c r="AG903" s="981"/>
      <c r="AH903" s="981"/>
      <c r="AI903" s="1114" t="str">
        <f t="shared" si="164"/>
        <v/>
      </c>
      <c r="AJ903" s="1110" t="str">
        <f t="shared" si="165"/>
        <v/>
      </c>
      <c r="AK903" s="982">
        <f>'09월 에너지'!S903</f>
        <v>0</v>
      </c>
      <c r="AL903" s="983">
        <f t="shared" si="166"/>
        <v>0</v>
      </c>
    </row>
    <row r="904" spans="1:38" ht="16.5" customHeight="1">
      <c r="A904" s="999" t="str">
        <f>'09월 에너지'!A904</f>
        <v/>
      </c>
      <c r="B904" s="1002" t="str">
        <f>'09월 조업일지'!B902</f>
        <v/>
      </c>
      <c r="C904" s="1003" t="str">
        <f>'09월 에너지'!C904</f>
        <v/>
      </c>
      <c r="D904" s="1004" t="str">
        <f>'09월 에너지'!D904</f>
        <v/>
      </c>
      <c r="E904" s="1000" t="str">
        <f>'09월 에너지'!E904</f>
        <v/>
      </c>
      <c r="F904" s="1094" t="str">
        <f>'09월 에너지'!F904</f>
        <v/>
      </c>
      <c r="G904" s="980"/>
      <c r="H904" s="978"/>
      <c r="I904" s="978"/>
      <c r="J904" s="978"/>
      <c r="K904" s="978"/>
      <c r="L904" s="978"/>
      <c r="M904" s="978"/>
      <c r="N904" s="978"/>
      <c r="O904" s="1106" t="str">
        <f t="shared" si="162"/>
        <v/>
      </c>
      <c r="P904" s="1108"/>
      <c r="Q904" s="979"/>
      <c r="R904" s="979"/>
      <c r="S904" s="979"/>
      <c r="T904" s="979"/>
      <c r="U904" s="979"/>
      <c r="V904" s="979"/>
      <c r="W904" s="979"/>
      <c r="X904" s="979"/>
      <c r="Y904" s="979"/>
      <c r="Z904" s="979"/>
      <c r="AA904" s="979"/>
      <c r="AB904" s="979"/>
      <c r="AC904" s="979"/>
      <c r="AD904" s="979"/>
      <c r="AE904" s="1109" t="str">
        <f t="shared" si="163"/>
        <v/>
      </c>
      <c r="AF904" s="1113"/>
      <c r="AG904" s="981"/>
      <c r="AH904" s="981"/>
      <c r="AI904" s="1114" t="str">
        <f t="shared" si="164"/>
        <v/>
      </c>
      <c r="AJ904" s="1110" t="str">
        <f t="shared" si="165"/>
        <v/>
      </c>
      <c r="AK904" s="982">
        <f>'09월 에너지'!S904</f>
        <v>0</v>
      </c>
      <c r="AL904" s="983">
        <f t="shared" si="166"/>
        <v>0</v>
      </c>
    </row>
    <row r="905" spans="1:38" ht="16.5" customHeight="1">
      <c r="A905" s="999" t="str">
        <f>'09월 에너지'!A905</f>
        <v/>
      </c>
      <c r="B905" s="1002" t="str">
        <f>'09월 조업일지'!B903</f>
        <v/>
      </c>
      <c r="C905" s="1003" t="str">
        <f>'09월 에너지'!C905</f>
        <v/>
      </c>
      <c r="D905" s="1004" t="str">
        <f>'09월 에너지'!D905</f>
        <v/>
      </c>
      <c r="E905" s="1000" t="str">
        <f>'09월 에너지'!E905</f>
        <v/>
      </c>
      <c r="F905" s="1094" t="str">
        <f>'09월 에너지'!F905</f>
        <v/>
      </c>
      <c r="G905" s="980"/>
      <c r="H905" s="978"/>
      <c r="I905" s="978"/>
      <c r="J905" s="978"/>
      <c r="K905" s="978"/>
      <c r="L905" s="978"/>
      <c r="M905" s="978"/>
      <c r="N905" s="978"/>
      <c r="O905" s="1106" t="str">
        <f t="shared" si="162"/>
        <v/>
      </c>
      <c r="P905" s="1108"/>
      <c r="Q905" s="979"/>
      <c r="R905" s="979"/>
      <c r="S905" s="979"/>
      <c r="T905" s="979"/>
      <c r="U905" s="979"/>
      <c r="V905" s="979"/>
      <c r="W905" s="979"/>
      <c r="X905" s="979"/>
      <c r="Y905" s="979"/>
      <c r="Z905" s="979"/>
      <c r="AA905" s="979"/>
      <c r="AB905" s="979"/>
      <c r="AC905" s="979"/>
      <c r="AD905" s="979"/>
      <c r="AE905" s="1109" t="str">
        <f t="shared" si="163"/>
        <v/>
      </c>
      <c r="AF905" s="1113"/>
      <c r="AG905" s="981"/>
      <c r="AH905" s="981"/>
      <c r="AI905" s="1114" t="str">
        <f t="shared" si="164"/>
        <v/>
      </c>
      <c r="AJ905" s="1110" t="str">
        <f t="shared" si="165"/>
        <v/>
      </c>
      <c r="AK905" s="982">
        <f>'09월 에너지'!S905</f>
        <v>0</v>
      </c>
      <c r="AL905" s="983">
        <f t="shared" si="166"/>
        <v>0</v>
      </c>
    </row>
    <row r="906" spans="1:38" ht="16.5" customHeight="1">
      <c r="A906" s="999" t="str">
        <f>'09월 에너지'!A906</f>
        <v/>
      </c>
      <c r="B906" s="1002" t="str">
        <f>'09월 조업일지'!B904</f>
        <v/>
      </c>
      <c r="C906" s="1003" t="str">
        <f>'09월 에너지'!C906</f>
        <v/>
      </c>
      <c r="D906" s="1004" t="str">
        <f>'09월 에너지'!D906</f>
        <v/>
      </c>
      <c r="E906" s="1000" t="str">
        <f>'09월 에너지'!E906</f>
        <v/>
      </c>
      <c r="F906" s="1094" t="str">
        <f>'09월 에너지'!F906</f>
        <v/>
      </c>
      <c r="G906" s="980"/>
      <c r="H906" s="978"/>
      <c r="I906" s="978"/>
      <c r="J906" s="978"/>
      <c r="K906" s="978"/>
      <c r="L906" s="978"/>
      <c r="M906" s="978"/>
      <c r="N906" s="978"/>
      <c r="O906" s="1106" t="str">
        <f t="shared" si="162"/>
        <v/>
      </c>
      <c r="P906" s="1108"/>
      <c r="Q906" s="979"/>
      <c r="R906" s="979"/>
      <c r="S906" s="979"/>
      <c r="T906" s="979"/>
      <c r="U906" s="979"/>
      <c r="V906" s="979"/>
      <c r="W906" s="979"/>
      <c r="X906" s="979"/>
      <c r="Y906" s="979"/>
      <c r="Z906" s="979"/>
      <c r="AA906" s="979"/>
      <c r="AB906" s="979"/>
      <c r="AC906" s="979"/>
      <c r="AD906" s="979"/>
      <c r="AE906" s="1109" t="str">
        <f t="shared" si="163"/>
        <v/>
      </c>
      <c r="AF906" s="1113"/>
      <c r="AG906" s="981"/>
      <c r="AH906" s="981"/>
      <c r="AI906" s="1114" t="str">
        <f t="shared" si="164"/>
        <v/>
      </c>
      <c r="AJ906" s="1110" t="str">
        <f t="shared" si="165"/>
        <v/>
      </c>
      <c r="AK906" s="982">
        <f>'09월 에너지'!S906</f>
        <v>0</v>
      </c>
      <c r="AL906" s="983">
        <f t="shared" si="166"/>
        <v>0</v>
      </c>
    </row>
    <row r="907" spans="1:38" ht="16.5" customHeight="1">
      <c r="A907" s="999" t="str">
        <f>'09월 에너지'!A907</f>
        <v/>
      </c>
      <c r="B907" s="1002" t="str">
        <f>'09월 조업일지'!B905</f>
        <v/>
      </c>
      <c r="C907" s="1003" t="str">
        <f>'09월 에너지'!C907</f>
        <v/>
      </c>
      <c r="D907" s="1004" t="str">
        <f>'09월 에너지'!D907</f>
        <v/>
      </c>
      <c r="E907" s="1000" t="str">
        <f>'09월 에너지'!E907</f>
        <v/>
      </c>
      <c r="F907" s="1094" t="str">
        <f>'09월 에너지'!F907</f>
        <v/>
      </c>
      <c r="G907" s="980"/>
      <c r="H907" s="978"/>
      <c r="I907" s="978"/>
      <c r="J907" s="978"/>
      <c r="K907" s="978"/>
      <c r="L907" s="978"/>
      <c r="M907" s="978"/>
      <c r="N907" s="978"/>
      <c r="O907" s="1106" t="str">
        <f t="shared" si="162"/>
        <v/>
      </c>
      <c r="P907" s="1108"/>
      <c r="Q907" s="979"/>
      <c r="R907" s="979"/>
      <c r="S907" s="979"/>
      <c r="T907" s="979"/>
      <c r="U907" s="979"/>
      <c r="V907" s="979"/>
      <c r="W907" s="979"/>
      <c r="X907" s="979"/>
      <c r="Y907" s="979"/>
      <c r="Z907" s="979"/>
      <c r="AA907" s="979"/>
      <c r="AB907" s="979"/>
      <c r="AC907" s="979"/>
      <c r="AD907" s="979"/>
      <c r="AE907" s="1109" t="str">
        <f t="shared" si="163"/>
        <v/>
      </c>
      <c r="AF907" s="1113"/>
      <c r="AG907" s="981"/>
      <c r="AH907" s="981"/>
      <c r="AI907" s="1114" t="str">
        <f t="shared" si="164"/>
        <v/>
      </c>
      <c r="AJ907" s="1110" t="str">
        <f t="shared" si="165"/>
        <v/>
      </c>
      <c r="AK907" s="982">
        <f>'09월 에너지'!S907</f>
        <v>0</v>
      </c>
      <c r="AL907" s="983">
        <f t="shared" si="166"/>
        <v>0</v>
      </c>
    </row>
    <row r="908" spans="1:38" ht="16.5" customHeight="1">
      <c r="A908" s="999" t="str">
        <f>'09월 에너지'!A908</f>
        <v/>
      </c>
      <c r="B908" s="1002" t="str">
        <f>'09월 조업일지'!B906</f>
        <v/>
      </c>
      <c r="C908" s="1003" t="str">
        <f>'09월 에너지'!C908</f>
        <v/>
      </c>
      <c r="D908" s="1004" t="str">
        <f>'09월 에너지'!D908</f>
        <v/>
      </c>
      <c r="E908" s="1000" t="str">
        <f>'09월 에너지'!E908</f>
        <v/>
      </c>
      <c r="F908" s="1094" t="str">
        <f>'09월 에너지'!F908</f>
        <v/>
      </c>
      <c r="G908" s="980"/>
      <c r="H908" s="978"/>
      <c r="I908" s="978"/>
      <c r="J908" s="978"/>
      <c r="K908" s="978"/>
      <c r="L908" s="978"/>
      <c r="M908" s="978"/>
      <c r="N908" s="978"/>
      <c r="O908" s="1106" t="str">
        <f t="shared" si="162"/>
        <v/>
      </c>
      <c r="P908" s="1108"/>
      <c r="Q908" s="979"/>
      <c r="R908" s="979"/>
      <c r="S908" s="979"/>
      <c r="T908" s="979"/>
      <c r="U908" s="979"/>
      <c r="V908" s="979"/>
      <c r="W908" s="979"/>
      <c r="X908" s="979"/>
      <c r="Y908" s="979"/>
      <c r="Z908" s="979"/>
      <c r="AA908" s="979"/>
      <c r="AB908" s="979"/>
      <c r="AC908" s="979"/>
      <c r="AD908" s="979"/>
      <c r="AE908" s="1109" t="str">
        <f t="shared" si="163"/>
        <v/>
      </c>
      <c r="AF908" s="1113"/>
      <c r="AG908" s="981"/>
      <c r="AH908" s="981"/>
      <c r="AI908" s="1114" t="str">
        <f t="shared" si="164"/>
        <v/>
      </c>
      <c r="AJ908" s="1110" t="str">
        <f t="shared" si="165"/>
        <v/>
      </c>
      <c r="AK908" s="982">
        <f>'09월 에너지'!S908</f>
        <v>0</v>
      </c>
      <c r="AL908" s="983">
        <f t="shared" si="166"/>
        <v>0</v>
      </c>
    </row>
    <row r="909" spans="1:38" ht="16.5" customHeight="1">
      <c r="A909" s="999" t="str">
        <f>'09월 에너지'!A909</f>
        <v/>
      </c>
      <c r="B909" s="1002" t="str">
        <f>'09월 조업일지'!B907</f>
        <v/>
      </c>
      <c r="C909" s="1003" t="str">
        <f>'09월 에너지'!C909</f>
        <v/>
      </c>
      <c r="D909" s="1004" t="str">
        <f>'09월 에너지'!D909</f>
        <v/>
      </c>
      <c r="E909" s="1000" t="str">
        <f>'09월 에너지'!E909</f>
        <v/>
      </c>
      <c r="F909" s="1094" t="str">
        <f>'09월 에너지'!F909</f>
        <v/>
      </c>
      <c r="G909" s="980"/>
      <c r="H909" s="978"/>
      <c r="I909" s="978"/>
      <c r="J909" s="978"/>
      <c r="K909" s="978"/>
      <c r="L909" s="978"/>
      <c r="M909" s="978"/>
      <c r="N909" s="978"/>
      <c r="O909" s="1106" t="str">
        <f t="shared" si="162"/>
        <v/>
      </c>
      <c r="P909" s="1108"/>
      <c r="Q909" s="979"/>
      <c r="R909" s="979"/>
      <c r="S909" s="979"/>
      <c r="T909" s="979"/>
      <c r="U909" s="979"/>
      <c r="V909" s="979"/>
      <c r="W909" s="979"/>
      <c r="X909" s="979"/>
      <c r="Y909" s="979"/>
      <c r="Z909" s="979"/>
      <c r="AA909" s="979"/>
      <c r="AB909" s="979"/>
      <c r="AC909" s="979"/>
      <c r="AD909" s="979"/>
      <c r="AE909" s="1109" t="str">
        <f t="shared" si="163"/>
        <v/>
      </c>
      <c r="AF909" s="1113"/>
      <c r="AG909" s="981"/>
      <c r="AH909" s="981"/>
      <c r="AI909" s="1114" t="str">
        <f t="shared" si="164"/>
        <v/>
      </c>
      <c r="AJ909" s="1110" t="str">
        <f t="shared" si="165"/>
        <v/>
      </c>
      <c r="AK909" s="982">
        <f>'09월 에너지'!S909</f>
        <v>0</v>
      </c>
      <c r="AL909" s="983">
        <f t="shared" si="166"/>
        <v>0</v>
      </c>
    </row>
    <row r="910" spans="1:38" ht="16.5" customHeight="1">
      <c r="A910" s="999" t="str">
        <f>'09월 에너지'!A910</f>
        <v/>
      </c>
      <c r="B910" s="1002" t="str">
        <f>'09월 조업일지'!B908</f>
        <v/>
      </c>
      <c r="C910" s="1003" t="str">
        <f>'09월 에너지'!C910</f>
        <v/>
      </c>
      <c r="D910" s="1004" t="str">
        <f>'09월 에너지'!D910</f>
        <v/>
      </c>
      <c r="E910" s="1000" t="str">
        <f>'09월 에너지'!E910</f>
        <v/>
      </c>
      <c r="F910" s="1094" t="str">
        <f>'09월 에너지'!F910</f>
        <v/>
      </c>
      <c r="G910" s="980"/>
      <c r="H910" s="978"/>
      <c r="I910" s="978"/>
      <c r="J910" s="978"/>
      <c r="K910" s="978"/>
      <c r="L910" s="978"/>
      <c r="M910" s="978"/>
      <c r="N910" s="978"/>
      <c r="O910" s="1106" t="str">
        <f t="shared" si="162"/>
        <v/>
      </c>
      <c r="P910" s="1108"/>
      <c r="Q910" s="979"/>
      <c r="R910" s="979"/>
      <c r="S910" s="979"/>
      <c r="T910" s="979"/>
      <c r="U910" s="979"/>
      <c r="V910" s="979"/>
      <c r="W910" s="979"/>
      <c r="X910" s="979"/>
      <c r="Y910" s="979"/>
      <c r="Z910" s="979"/>
      <c r="AA910" s="979"/>
      <c r="AB910" s="979"/>
      <c r="AC910" s="979"/>
      <c r="AD910" s="979"/>
      <c r="AE910" s="1109" t="str">
        <f t="shared" si="163"/>
        <v/>
      </c>
      <c r="AF910" s="1113"/>
      <c r="AG910" s="981"/>
      <c r="AH910" s="981"/>
      <c r="AI910" s="1114" t="str">
        <f t="shared" si="164"/>
        <v/>
      </c>
      <c r="AJ910" s="1110" t="str">
        <f t="shared" si="165"/>
        <v/>
      </c>
      <c r="AK910" s="982">
        <f>'09월 에너지'!S910</f>
        <v>0</v>
      </c>
      <c r="AL910" s="983">
        <f t="shared" si="166"/>
        <v>0</v>
      </c>
    </row>
    <row r="911" spans="1:38" ht="16.5" customHeight="1">
      <c r="A911" s="999" t="str">
        <f>'09월 에너지'!A911</f>
        <v/>
      </c>
      <c r="B911" s="1002" t="str">
        <f>'09월 조업일지'!B909</f>
        <v/>
      </c>
      <c r="C911" s="1003" t="str">
        <f>'09월 에너지'!C911</f>
        <v/>
      </c>
      <c r="D911" s="1004" t="str">
        <f>'09월 에너지'!D911</f>
        <v/>
      </c>
      <c r="E911" s="1000" t="str">
        <f>'09월 에너지'!E911</f>
        <v/>
      </c>
      <c r="F911" s="1094" t="str">
        <f>'09월 에너지'!F911</f>
        <v/>
      </c>
      <c r="G911" s="980"/>
      <c r="H911" s="978"/>
      <c r="I911" s="978"/>
      <c r="J911" s="978"/>
      <c r="K911" s="978"/>
      <c r="L911" s="978"/>
      <c r="M911" s="978"/>
      <c r="N911" s="978"/>
      <c r="O911" s="1106" t="str">
        <f t="shared" ref="O911:O950" si="167">IF(SUM(G911:N911)=0,"",SUM(G911:N911))</f>
        <v/>
      </c>
      <c r="P911" s="1108"/>
      <c r="Q911" s="979"/>
      <c r="R911" s="979"/>
      <c r="S911" s="979"/>
      <c r="T911" s="979"/>
      <c r="U911" s="979"/>
      <c r="V911" s="979"/>
      <c r="W911" s="979"/>
      <c r="X911" s="979"/>
      <c r="Y911" s="979"/>
      <c r="Z911" s="979"/>
      <c r="AA911" s="979"/>
      <c r="AB911" s="979"/>
      <c r="AC911" s="979"/>
      <c r="AD911" s="979"/>
      <c r="AE911" s="1109" t="str">
        <f t="shared" ref="AE911:AE950" si="168">IF(SUM(P911:AD911)=0,"",SUM(P911:AD911))</f>
        <v/>
      </c>
      <c r="AF911" s="1113"/>
      <c r="AG911" s="981"/>
      <c r="AH911" s="981"/>
      <c r="AI911" s="1114" t="str">
        <f t="shared" ref="AI911:AI950" si="169">IF(SUM(AF911:AH911)=0,"",SUM(AF911:AH911))</f>
        <v/>
      </c>
      <c r="AJ911" s="1110" t="str">
        <f t="shared" ref="AJ911:AJ950" si="170">IF(SUM(O911,AE911,AI911)=0,"",SUM(O911,AE911,AI911))</f>
        <v/>
      </c>
      <c r="AK911" s="982">
        <f>'09월 에너지'!S911</f>
        <v>0</v>
      </c>
      <c r="AL911" s="983">
        <f t="shared" ref="AL911:AL950" si="171">IF(ISERROR(IF(AK911="","",(AK911*1000)/AJ911)),0,(IF(AK911="","",(AK911*1000)/AJ911)))</f>
        <v>0</v>
      </c>
    </row>
    <row r="912" spans="1:38" ht="16.5" customHeight="1">
      <c r="A912" s="999" t="str">
        <f>'09월 에너지'!A912</f>
        <v/>
      </c>
      <c r="B912" s="1002" t="str">
        <f>'09월 조업일지'!B910</f>
        <v/>
      </c>
      <c r="C912" s="1003" t="str">
        <f>'09월 에너지'!C912</f>
        <v/>
      </c>
      <c r="D912" s="1004" t="str">
        <f>'09월 에너지'!D912</f>
        <v/>
      </c>
      <c r="E912" s="1000" t="str">
        <f>'09월 에너지'!E912</f>
        <v/>
      </c>
      <c r="F912" s="1094" t="str">
        <f>'09월 에너지'!F912</f>
        <v/>
      </c>
      <c r="G912" s="980"/>
      <c r="H912" s="978"/>
      <c r="I912" s="978"/>
      <c r="J912" s="978"/>
      <c r="K912" s="978"/>
      <c r="L912" s="978"/>
      <c r="M912" s="978"/>
      <c r="N912" s="978"/>
      <c r="O912" s="1106" t="str">
        <f t="shared" si="167"/>
        <v/>
      </c>
      <c r="P912" s="1108"/>
      <c r="Q912" s="979"/>
      <c r="R912" s="979"/>
      <c r="S912" s="979"/>
      <c r="T912" s="979"/>
      <c r="U912" s="979"/>
      <c r="V912" s="979"/>
      <c r="W912" s="979"/>
      <c r="X912" s="979"/>
      <c r="Y912" s="979"/>
      <c r="Z912" s="979"/>
      <c r="AA912" s="979"/>
      <c r="AB912" s="979"/>
      <c r="AC912" s="979"/>
      <c r="AD912" s="979"/>
      <c r="AE912" s="1109" t="str">
        <f t="shared" si="168"/>
        <v/>
      </c>
      <c r="AF912" s="1113"/>
      <c r="AG912" s="981"/>
      <c r="AH912" s="981"/>
      <c r="AI912" s="1114" t="str">
        <f t="shared" si="169"/>
        <v/>
      </c>
      <c r="AJ912" s="1110" t="str">
        <f t="shared" si="170"/>
        <v/>
      </c>
      <c r="AK912" s="982">
        <f>'09월 에너지'!S912</f>
        <v>0</v>
      </c>
      <c r="AL912" s="983">
        <f t="shared" si="171"/>
        <v>0</v>
      </c>
    </row>
    <row r="913" spans="1:38" ht="16.5" customHeight="1">
      <c r="A913" s="999" t="str">
        <f>'09월 에너지'!A913</f>
        <v/>
      </c>
      <c r="B913" s="1002" t="str">
        <f>'09월 조업일지'!B911</f>
        <v/>
      </c>
      <c r="C913" s="1003" t="str">
        <f>'09월 에너지'!C913</f>
        <v/>
      </c>
      <c r="D913" s="1004" t="str">
        <f>'09월 에너지'!D913</f>
        <v/>
      </c>
      <c r="E913" s="1000" t="str">
        <f>'09월 에너지'!E913</f>
        <v/>
      </c>
      <c r="F913" s="1094" t="str">
        <f>'09월 에너지'!F913</f>
        <v/>
      </c>
      <c r="G913" s="980"/>
      <c r="H913" s="978"/>
      <c r="I913" s="978"/>
      <c r="J913" s="978"/>
      <c r="K913" s="978"/>
      <c r="L913" s="978"/>
      <c r="M913" s="978"/>
      <c r="N913" s="978"/>
      <c r="O913" s="1106" t="str">
        <f t="shared" si="167"/>
        <v/>
      </c>
      <c r="P913" s="1108"/>
      <c r="Q913" s="979"/>
      <c r="R913" s="979"/>
      <c r="S913" s="979"/>
      <c r="T913" s="979"/>
      <c r="U913" s="979"/>
      <c r="V913" s="979"/>
      <c r="W913" s="979"/>
      <c r="X913" s="979"/>
      <c r="Y913" s="979"/>
      <c r="Z913" s="979"/>
      <c r="AA913" s="979"/>
      <c r="AB913" s="979"/>
      <c r="AC913" s="979"/>
      <c r="AD913" s="979"/>
      <c r="AE913" s="1109" t="str">
        <f t="shared" si="168"/>
        <v/>
      </c>
      <c r="AF913" s="1113"/>
      <c r="AG913" s="981"/>
      <c r="AH913" s="981"/>
      <c r="AI913" s="1114" t="str">
        <f t="shared" si="169"/>
        <v/>
      </c>
      <c r="AJ913" s="1110" t="str">
        <f t="shared" si="170"/>
        <v/>
      </c>
      <c r="AK913" s="982">
        <f>'09월 에너지'!S913</f>
        <v>0</v>
      </c>
      <c r="AL913" s="983">
        <f t="shared" si="171"/>
        <v>0</v>
      </c>
    </row>
    <row r="914" spans="1:38" ht="16.5" customHeight="1">
      <c r="A914" s="999" t="str">
        <f>'09월 에너지'!A914</f>
        <v/>
      </c>
      <c r="B914" s="1002" t="str">
        <f>'09월 조업일지'!B912</f>
        <v/>
      </c>
      <c r="C914" s="1003" t="str">
        <f>'09월 에너지'!C914</f>
        <v/>
      </c>
      <c r="D914" s="1004" t="str">
        <f>'09월 에너지'!D914</f>
        <v/>
      </c>
      <c r="E914" s="1000" t="str">
        <f>'09월 에너지'!E914</f>
        <v/>
      </c>
      <c r="F914" s="1094" t="str">
        <f>'09월 에너지'!F914</f>
        <v/>
      </c>
      <c r="G914" s="980"/>
      <c r="H914" s="978"/>
      <c r="I914" s="978"/>
      <c r="J914" s="978"/>
      <c r="K914" s="978"/>
      <c r="L914" s="978"/>
      <c r="M914" s="978"/>
      <c r="N914" s="978"/>
      <c r="O914" s="1106" t="str">
        <f t="shared" si="167"/>
        <v/>
      </c>
      <c r="P914" s="1108"/>
      <c r="Q914" s="979"/>
      <c r="R914" s="979"/>
      <c r="S914" s="979"/>
      <c r="T914" s="979"/>
      <c r="U914" s="979"/>
      <c r="V914" s="979"/>
      <c r="W914" s="979"/>
      <c r="X914" s="979"/>
      <c r="Y914" s="979"/>
      <c r="Z914" s="979"/>
      <c r="AA914" s="979"/>
      <c r="AB914" s="979"/>
      <c r="AC914" s="979"/>
      <c r="AD914" s="979"/>
      <c r="AE914" s="1109" t="str">
        <f t="shared" si="168"/>
        <v/>
      </c>
      <c r="AF914" s="1113"/>
      <c r="AG914" s="981"/>
      <c r="AH914" s="981"/>
      <c r="AI914" s="1114" t="str">
        <f t="shared" si="169"/>
        <v/>
      </c>
      <c r="AJ914" s="1110" t="str">
        <f t="shared" si="170"/>
        <v/>
      </c>
      <c r="AK914" s="982">
        <f>'09월 에너지'!S914</f>
        <v>0</v>
      </c>
      <c r="AL914" s="983">
        <f t="shared" si="171"/>
        <v>0</v>
      </c>
    </row>
    <row r="915" spans="1:38" ht="16.5" customHeight="1">
      <c r="A915" s="999" t="str">
        <f>'09월 에너지'!A915</f>
        <v/>
      </c>
      <c r="B915" s="1002" t="str">
        <f>'09월 조업일지'!B913</f>
        <v/>
      </c>
      <c r="C915" s="1003" t="str">
        <f>'09월 에너지'!C915</f>
        <v/>
      </c>
      <c r="D915" s="1004" t="str">
        <f>'09월 에너지'!D915</f>
        <v/>
      </c>
      <c r="E915" s="1000" t="str">
        <f>'09월 에너지'!E915</f>
        <v/>
      </c>
      <c r="F915" s="1094" t="str">
        <f>'09월 에너지'!F915</f>
        <v/>
      </c>
      <c r="G915" s="980"/>
      <c r="H915" s="978"/>
      <c r="I915" s="978"/>
      <c r="J915" s="978"/>
      <c r="K915" s="978"/>
      <c r="L915" s="978"/>
      <c r="M915" s="978"/>
      <c r="N915" s="978"/>
      <c r="O915" s="1106" t="str">
        <f t="shared" si="167"/>
        <v/>
      </c>
      <c r="P915" s="1108"/>
      <c r="Q915" s="979"/>
      <c r="R915" s="979"/>
      <c r="S915" s="979"/>
      <c r="T915" s="979"/>
      <c r="U915" s="979"/>
      <c r="V915" s="979"/>
      <c r="W915" s="979"/>
      <c r="X915" s="979"/>
      <c r="Y915" s="979"/>
      <c r="Z915" s="979"/>
      <c r="AA915" s="979"/>
      <c r="AB915" s="979"/>
      <c r="AC915" s="979"/>
      <c r="AD915" s="979"/>
      <c r="AE915" s="1109" t="str">
        <f t="shared" si="168"/>
        <v/>
      </c>
      <c r="AF915" s="1113"/>
      <c r="AG915" s="981"/>
      <c r="AH915" s="981"/>
      <c r="AI915" s="1114" t="str">
        <f t="shared" si="169"/>
        <v/>
      </c>
      <c r="AJ915" s="1110" t="str">
        <f t="shared" si="170"/>
        <v/>
      </c>
      <c r="AK915" s="982">
        <f>'09월 에너지'!S915</f>
        <v>0</v>
      </c>
      <c r="AL915" s="983">
        <f t="shared" si="171"/>
        <v>0</v>
      </c>
    </row>
    <row r="916" spans="1:38" ht="16.5" customHeight="1">
      <c r="A916" s="999" t="str">
        <f>'09월 에너지'!A916</f>
        <v/>
      </c>
      <c r="B916" s="1002" t="str">
        <f>'09월 조업일지'!B914</f>
        <v/>
      </c>
      <c r="C916" s="1003" t="str">
        <f>'09월 에너지'!C916</f>
        <v/>
      </c>
      <c r="D916" s="1004" t="str">
        <f>'09월 에너지'!D916</f>
        <v/>
      </c>
      <c r="E916" s="1000" t="str">
        <f>'09월 에너지'!E916</f>
        <v/>
      </c>
      <c r="F916" s="1094" t="str">
        <f>'09월 에너지'!F916</f>
        <v/>
      </c>
      <c r="G916" s="980"/>
      <c r="H916" s="978"/>
      <c r="I916" s="978"/>
      <c r="J916" s="978"/>
      <c r="K916" s="978"/>
      <c r="L916" s="978"/>
      <c r="M916" s="978"/>
      <c r="N916" s="978"/>
      <c r="O916" s="1106" t="str">
        <f t="shared" si="167"/>
        <v/>
      </c>
      <c r="P916" s="1108"/>
      <c r="Q916" s="979"/>
      <c r="R916" s="979"/>
      <c r="S916" s="979"/>
      <c r="T916" s="979"/>
      <c r="U916" s="979"/>
      <c r="V916" s="979"/>
      <c r="W916" s="979"/>
      <c r="X916" s="979"/>
      <c r="Y916" s="979"/>
      <c r="Z916" s="979"/>
      <c r="AA916" s="979"/>
      <c r="AB916" s="979"/>
      <c r="AC916" s="979"/>
      <c r="AD916" s="979"/>
      <c r="AE916" s="1109" t="str">
        <f t="shared" si="168"/>
        <v/>
      </c>
      <c r="AF916" s="1113"/>
      <c r="AG916" s="981"/>
      <c r="AH916" s="981"/>
      <c r="AI916" s="1114" t="str">
        <f t="shared" si="169"/>
        <v/>
      </c>
      <c r="AJ916" s="1110" t="str">
        <f t="shared" si="170"/>
        <v/>
      </c>
      <c r="AK916" s="982">
        <f>'09월 에너지'!S916</f>
        <v>0</v>
      </c>
      <c r="AL916" s="983">
        <f t="shared" si="171"/>
        <v>0</v>
      </c>
    </row>
    <row r="917" spans="1:38" ht="16.5" customHeight="1">
      <c r="A917" s="999" t="str">
        <f>'09월 에너지'!A917</f>
        <v/>
      </c>
      <c r="B917" s="1002" t="str">
        <f>'09월 조업일지'!B915</f>
        <v/>
      </c>
      <c r="C917" s="1003" t="str">
        <f>'09월 에너지'!C917</f>
        <v/>
      </c>
      <c r="D917" s="1004" t="str">
        <f>'09월 에너지'!D917</f>
        <v/>
      </c>
      <c r="E917" s="1000" t="str">
        <f>'09월 에너지'!E917</f>
        <v/>
      </c>
      <c r="F917" s="1094" t="str">
        <f>'09월 에너지'!F917</f>
        <v/>
      </c>
      <c r="G917" s="980"/>
      <c r="H917" s="978"/>
      <c r="I917" s="978"/>
      <c r="J917" s="978"/>
      <c r="K917" s="978"/>
      <c r="L917" s="978"/>
      <c r="M917" s="978"/>
      <c r="N917" s="978"/>
      <c r="O917" s="1106" t="str">
        <f t="shared" si="167"/>
        <v/>
      </c>
      <c r="P917" s="1108"/>
      <c r="Q917" s="979"/>
      <c r="R917" s="979"/>
      <c r="S917" s="979"/>
      <c r="T917" s="979"/>
      <c r="U917" s="979"/>
      <c r="V917" s="979"/>
      <c r="W917" s="979"/>
      <c r="X917" s="979"/>
      <c r="Y917" s="979"/>
      <c r="Z917" s="979"/>
      <c r="AA917" s="979"/>
      <c r="AB917" s="979"/>
      <c r="AC917" s="979"/>
      <c r="AD917" s="979"/>
      <c r="AE917" s="1109" t="str">
        <f t="shared" si="168"/>
        <v/>
      </c>
      <c r="AF917" s="1113"/>
      <c r="AG917" s="981"/>
      <c r="AH917" s="981"/>
      <c r="AI917" s="1114" t="str">
        <f t="shared" si="169"/>
        <v/>
      </c>
      <c r="AJ917" s="1110" t="str">
        <f t="shared" si="170"/>
        <v/>
      </c>
      <c r="AK917" s="982">
        <f>'09월 에너지'!S917</f>
        <v>0</v>
      </c>
      <c r="AL917" s="983">
        <f t="shared" si="171"/>
        <v>0</v>
      </c>
    </row>
    <row r="918" spans="1:38" ht="16.5" customHeight="1">
      <c r="A918" s="999" t="str">
        <f>'09월 에너지'!A918</f>
        <v/>
      </c>
      <c r="B918" s="1002" t="str">
        <f>'09월 조업일지'!B916</f>
        <v/>
      </c>
      <c r="C918" s="1003" t="str">
        <f>'09월 에너지'!C918</f>
        <v/>
      </c>
      <c r="D918" s="1004" t="str">
        <f>'09월 에너지'!D918</f>
        <v/>
      </c>
      <c r="E918" s="1000" t="str">
        <f>'09월 에너지'!E918</f>
        <v/>
      </c>
      <c r="F918" s="1094" t="str">
        <f>'09월 에너지'!F918</f>
        <v/>
      </c>
      <c r="G918" s="980"/>
      <c r="H918" s="978"/>
      <c r="I918" s="978"/>
      <c r="J918" s="978"/>
      <c r="K918" s="978"/>
      <c r="L918" s="978"/>
      <c r="M918" s="978"/>
      <c r="N918" s="978"/>
      <c r="O918" s="1106" t="str">
        <f t="shared" si="167"/>
        <v/>
      </c>
      <c r="P918" s="1108"/>
      <c r="Q918" s="979"/>
      <c r="R918" s="979"/>
      <c r="S918" s="979"/>
      <c r="T918" s="979"/>
      <c r="U918" s="979"/>
      <c r="V918" s="979"/>
      <c r="W918" s="979"/>
      <c r="X918" s="979"/>
      <c r="Y918" s="979"/>
      <c r="Z918" s="979"/>
      <c r="AA918" s="979"/>
      <c r="AB918" s="979"/>
      <c r="AC918" s="979"/>
      <c r="AD918" s="979"/>
      <c r="AE918" s="1109" t="str">
        <f t="shared" si="168"/>
        <v/>
      </c>
      <c r="AF918" s="1113"/>
      <c r="AG918" s="981"/>
      <c r="AH918" s="981"/>
      <c r="AI918" s="1114" t="str">
        <f t="shared" si="169"/>
        <v/>
      </c>
      <c r="AJ918" s="1110" t="str">
        <f t="shared" si="170"/>
        <v/>
      </c>
      <c r="AK918" s="982">
        <f>'09월 에너지'!S918</f>
        <v>0</v>
      </c>
      <c r="AL918" s="983">
        <f t="shared" si="171"/>
        <v>0</v>
      </c>
    </row>
    <row r="919" spans="1:38" ht="16.5" customHeight="1">
      <c r="A919" s="999" t="str">
        <f>'09월 에너지'!A919</f>
        <v/>
      </c>
      <c r="B919" s="1002" t="str">
        <f>'09월 조업일지'!B917</f>
        <v/>
      </c>
      <c r="C919" s="1003" t="str">
        <f>'09월 에너지'!C919</f>
        <v/>
      </c>
      <c r="D919" s="1004" t="str">
        <f>'09월 에너지'!D919</f>
        <v/>
      </c>
      <c r="E919" s="1000" t="str">
        <f>'09월 에너지'!E919</f>
        <v/>
      </c>
      <c r="F919" s="1094" t="str">
        <f>'09월 에너지'!F919</f>
        <v/>
      </c>
      <c r="G919" s="980"/>
      <c r="H919" s="978"/>
      <c r="I919" s="978"/>
      <c r="J919" s="978"/>
      <c r="K919" s="978"/>
      <c r="L919" s="978"/>
      <c r="M919" s="978"/>
      <c r="N919" s="978"/>
      <c r="O919" s="1106" t="str">
        <f t="shared" si="167"/>
        <v/>
      </c>
      <c r="P919" s="1108"/>
      <c r="Q919" s="979"/>
      <c r="R919" s="979"/>
      <c r="S919" s="979"/>
      <c r="T919" s="979"/>
      <c r="U919" s="979"/>
      <c r="V919" s="979"/>
      <c r="W919" s="979"/>
      <c r="X919" s="979"/>
      <c r="Y919" s="979"/>
      <c r="Z919" s="979"/>
      <c r="AA919" s="979"/>
      <c r="AB919" s="979"/>
      <c r="AC919" s="979"/>
      <c r="AD919" s="979"/>
      <c r="AE919" s="1109" t="str">
        <f t="shared" si="168"/>
        <v/>
      </c>
      <c r="AF919" s="1113"/>
      <c r="AG919" s="981"/>
      <c r="AH919" s="981"/>
      <c r="AI919" s="1114" t="str">
        <f t="shared" si="169"/>
        <v/>
      </c>
      <c r="AJ919" s="1110" t="str">
        <f t="shared" si="170"/>
        <v/>
      </c>
      <c r="AK919" s="982">
        <f>'09월 에너지'!S919</f>
        <v>0</v>
      </c>
      <c r="AL919" s="983">
        <f t="shared" si="171"/>
        <v>0</v>
      </c>
    </row>
    <row r="920" spans="1:38" ht="16.5" customHeight="1">
      <c r="A920" s="999" t="str">
        <f>'09월 에너지'!A920</f>
        <v/>
      </c>
      <c r="B920" s="1002" t="str">
        <f>'09월 조업일지'!B918</f>
        <v/>
      </c>
      <c r="C920" s="1003" t="str">
        <f>'09월 에너지'!C920</f>
        <v/>
      </c>
      <c r="D920" s="1004" t="str">
        <f>'09월 에너지'!D920</f>
        <v/>
      </c>
      <c r="E920" s="1000" t="str">
        <f>'09월 에너지'!E920</f>
        <v/>
      </c>
      <c r="F920" s="1094" t="str">
        <f>'09월 에너지'!F920</f>
        <v/>
      </c>
      <c r="G920" s="980"/>
      <c r="H920" s="978"/>
      <c r="I920" s="978"/>
      <c r="J920" s="978"/>
      <c r="K920" s="978"/>
      <c r="L920" s="978"/>
      <c r="M920" s="978"/>
      <c r="N920" s="978"/>
      <c r="O920" s="1106" t="str">
        <f t="shared" si="167"/>
        <v/>
      </c>
      <c r="P920" s="1108"/>
      <c r="Q920" s="979"/>
      <c r="R920" s="979"/>
      <c r="S920" s="979"/>
      <c r="T920" s="979"/>
      <c r="U920" s="979"/>
      <c r="V920" s="979"/>
      <c r="W920" s="979"/>
      <c r="X920" s="979"/>
      <c r="Y920" s="979"/>
      <c r="Z920" s="979"/>
      <c r="AA920" s="979"/>
      <c r="AB920" s="979"/>
      <c r="AC920" s="979"/>
      <c r="AD920" s="979"/>
      <c r="AE920" s="1109" t="str">
        <f t="shared" si="168"/>
        <v/>
      </c>
      <c r="AF920" s="1113"/>
      <c r="AG920" s="981"/>
      <c r="AH920" s="981"/>
      <c r="AI920" s="1114" t="str">
        <f t="shared" si="169"/>
        <v/>
      </c>
      <c r="AJ920" s="1110" t="str">
        <f t="shared" si="170"/>
        <v/>
      </c>
      <c r="AK920" s="982">
        <f>'09월 에너지'!S920</f>
        <v>0</v>
      </c>
      <c r="AL920" s="983">
        <f t="shared" si="171"/>
        <v>0</v>
      </c>
    </row>
    <row r="921" spans="1:38" ht="16.5" customHeight="1">
      <c r="A921" s="999" t="str">
        <f>'09월 에너지'!A921</f>
        <v/>
      </c>
      <c r="B921" s="1002" t="str">
        <f>'09월 조업일지'!B919</f>
        <v/>
      </c>
      <c r="C921" s="1003" t="str">
        <f>'09월 에너지'!C921</f>
        <v/>
      </c>
      <c r="D921" s="1004" t="str">
        <f>'09월 에너지'!D921</f>
        <v/>
      </c>
      <c r="E921" s="1000" t="str">
        <f>'09월 에너지'!E921</f>
        <v/>
      </c>
      <c r="F921" s="1094" t="str">
        <f>'09월 에너지'!F921</f>
        <v/>
      </c>
      <c r="G921" s="980"/>
      <c r="H921" s="978"/>
      <c r="I921" s="978"/>
      <c r="J921" s="978"/>
      <c r="K921" s="978"/>
      <c r="L921" s="978"/>
      <c r="M921" s="978"/>
      <c r="N921" s="978"/>
      <c r="O921" s="1106" t="str">
        <f t="shared" si="167"/>
        <v/>
      </c>
      <c r="P921" s="1108"/>
      <c r="Q921" s="979"/>
      <c r="R921" s="979"/>
      <c r="S921" s="979"/>
      <c r="T921" s="979"/>
      <c r="U921" s="979"/>
      <c r="V921" s="979"/>
      <c r="W921" s="979"/>
      <c r="X921" s="979"/>
      <c r="Y921" s="979"/>
      <c r="Z921" s="979"/>
      <c r="AA921" s="979"/>
      <c r="AB921" s="979"/>
      <c r="AC921" s="979"/>
      <c r="AD921" s="979"/>
      <c r="AE921" s="1109" t="str">
        <f t="shared" si="168"/>
        <v/>
      </c>
      <c r="AF921" s="1113"/>
      <c r="AG921" s="981"/>
      <c r="AH921" s="981"/>
      <c r="AI921" s="1114" t="str">
        <f t="shared" si="169"/>
        <v/>
      </c>
      <c r="AJ921" s="1110" t="str">
        <f t="shared" si="170"/>
        <v/>
      </c>
      <c r="AK921" s="982">
        <f>'09월 에너지'!S921</f>
        <v>0</v>
      </c>
      <c r="AL921" s="983">
        <f t="shared" si="171"/>
        <v>0</v>
      </c>
    </row>
    <row r="922" spans="1:38" ht="16.5" customHeight="1">
      <c r="A922" s="999" t="str">
        <f>'09월 에너지'!A922</f>
        <v/>
      </c>
      <c r="B922" s="1002" t="str">
        <f>'09월 조업일지'!B920</f>
        <v/>
      </c>
      <c r="C922" s="1003" t="str">
        <f>'09월 에너지'!C922</f>
        <v/>
      </c>
      <c r="D922" s="1004" t="str">
        <f>'09월 에너지'!D922</f>
        <v/>
      </c>
      <c r="E922" s="1000" t="str">
        <f>'09월 에너지'!E922</f>
        <v/>
      </c>
      <c r="F922" s="1094" t="str">
        <f>'09월 에너지'!F922</f>
        <v/>
      </c>
      <c r="G922" s="980"/>
      <c r="H922" s="978"/>
      <c r="I922" s="978"/>
      <c r="J922" s="978"/>
      <c r="K922" s="978"/>
      <c r="L922" s="978"/>
      <c r="M922" s="978"/>
      <c r="N922" s="978"/>
      <c r="O922" s="1106" t="str">
        <f t="shared" si="167"/>
        <v/>
      </c>
      <c r="P922" s="1108"/>
      <c r="Q922" s="979"/>
      <c r="R922" s="979"/>
      <c r="S922" s="979"/>
      <c r="T922" s="979"/>
      <c r="U922" s="979"/>
      <c r="V922" s="979"/>
      <c r="W922" s="979"/>
      <c r="X922" s="979"/>
      <c r="Y922" s="979"/>
      <c r="Z922" s="979"/>
      <c r="AA922" s="979"/>
      <c r="AB922" s="979"/>
      <c r="AC922" s="979"/>
      <c r="AD922" s="979"/>
      <c r="AE922" s="1109" t="str">
        <f t="shared" si="168"/>
        <v/>
      </c>
      <c r="AF922" s="1113"/>
      <c r="AG922" s="981"/>
      <c r="AH922" s="981"/>
      <c r="AI922" s="1114" t="str">
        <f t="shared" si="169"/>
        <v/>
      </c>
      <c r="AJ922" s="1110" t="str">
        <f t="shared" si="170"/>
        <v/>
      </c>
      <c r="AK922" s="982">
        <f>'09월 에너지'!S922</f>
        <v>0</v>
      </c>
      <c r="AL922" s="983">
        <f t="shared" si="171"/>
        <v>0</v>
      </c>
    </row>
    <row r="923" spans="1:38" ht="16.5" customHeight="1">
      <c r="A923" s="999" t="str">
        <f>'09월 에너지'!A923</f>
        <v/>
      </c>
      <c r="B923" s="1002" t="str">
        <f>'09월 조업일지'!B921</f>
        <v/>
      </c>
      <c r="C923" s="1003" t="str">
        <f>'09월 에너지'!C923</f>
        <v/>
      </c>
      <c r="D923" s="1004" t="str">
        <f>'09월 에너지'!D923</f>
        <v/>
      </c>
      <c r="E923" s="1000" t="str">
        <f>'09월 에너지'!E923</f>
        <v/>
      </c>
      <c r="F923" s="1094" t="str">
        <f>'09월 에너지'!F923</f>
        <v/>
      </c>
      <c r="G923" s="980"/>
      <c r="H923" s="978"/>
      <c r="I923" s="978"/>
      <c r="J923" s="978"/>
      <c r="K923" s="978"/>
      <c r="L923" s="978"/>
      <c r="M923" s="978"/>
      <c r="N923" s="978"/>
      <c r="O923" s="1106" t="str">
        <f t="shared" si="167"/>
        <v/>
      </c>
      <c r="P923" s="1108"/>
      <c r="Q923" s="979"/>
      <c r="R923" s="979"/>
      <c r="S923" s="979"/>
      <c r="T923" s="979"/>
      <c r="U923" s="979"/>
      <c r="V923" s="979"/>
      <c r="W923" s="979"/>
      <c r="X923" s="979"/>
      <c r="Y923" s="979"/>
      <c r="Z923" s="979"/>
      <c r="AA923" s="979"/>
      <c r="AB923" s="979"/>
      <c r="AC923" s="979"/>
      <c r="AD923" s="979"/>
      <c r="AE923" s="1109" t="str">
        <f t="shared" si="168"/>
        <v/>
      </c>
      <c r="AF923" s="1113"/>
      <c r="AG923" s="981"/>
      <c r="AH923" s="981"/>
      <c r="AI923" s="1114" t="str">
        <f t="shared" si="169"/>
        <v/>
      </c>
      <c r="AJ923" s="1110" t="str">
        <f t="shared" si="170"/>
        <v/>
      </c>
      <c r="AK923" s="982">
        <f>'09월 에너지'!S923</f>
        <v>0</v>
      </c>
      <c r="AL923" s="983">
        <f t="shared" si="171"/>
        <v>0</v>
      </c>
    </row>
    <row r="924" spans="1:38" ht="16.5" customHeight="1">
      <c r="A924" s="999" t="str">
        <f>'09월 에너지'!A924</f>
        <v/>
      </c>
      <c r="B924" s="1002" t="str">
        <f>'09월 조업일지'!B922</f>
        <v/>
      </c>
      <c r="C924" s="1003" t="str">
        <f>'09월 에너지'!C924</f>
        <v/>
      </c>
      <c r="D924" s="1004" t="str">
        <f>'09월 에너지'!D924</f>
        <v/>
      </c>
      <c r="E924" s="1000" t="str">
        <f>'09월 에너지'!E924</f>
        <v/>
      </c>
      <c r="F924" s="1094" t="str">
        <f>'09월 에너지'!F924</f>
        <v/>
      </c>
      <c r="G924" s="980"/>
      <c r="H924" s="978"/>
      <c r="I924" s="978"/>
      <c r="J924" s="978"/>
      <c r="K924" s="978"/>
      <c r="L924" s="978"/>
      <c r="M924" s="978"/>
      <c r="N924" s="978"/>
      <c r="O924" s="1106" t="str">
        <f t="shared" si="167"/>
        <v/>
      </c>
      <c r="P924" s="1108"/>
      <c r="Q924" s="979"/>
      <c r="R924" s="979"/>
      <c r="S924" s="979"/>
      <c r="T924" s="979"/>
      <c r="U924" s="979"/>
      <c r="V924" s="979"/>
      <c r="W924" s="979"/>
      <c r="X924" s="979"/>
      <c r="Y924" s="979"/>
      <c r="Z924" s="979"/>
      <c r="AA924" s="979"/>
      <c r="AB924" s="979"/>
      <c r="AC924" s="979"/>
      <c r="AD924" s="979"/>
      <c r="AE924" s="1109" t="str">
        <f t="shared" si="168"/>
        <v/>
      </c>
      <c r="AF924" s="1113"/>
      <c r="AG924" s="981"/>
      <c r="AH924" s="981"/>
      <c r="AI924" s="1114" t="str">
        <f t="shared" si="169"/>
        <v/>
      </c>
      <c r="AJ924" s="1110" t="str">
        <f t="shared" si="170"/>
        <v/>
      </c>
      <c r="AK924" s="982">
        <f>'09월 에너지'!S924</f>
        <v>0</v>
      </c>
      <c r="AL924" s="983">
        <f t="shared" si="171"/>
        <v>0</v>
      </c>
    </row>
    <row r="925" spans="1:38" ht="16.5" customHeight="1">
      <c r="A925" s="999" t="str">
        <f>'09월 에너지'!A925</f>
        <v/>
      </c>
      <c r="B925" s="1002" t="str">
        <f>'09월 조업일지'!B923</f>
        <v/>
      </c>
      <c r="C925" s="1003" t="str">
        <f>'09월 에너지'!C925</f>
        <v/>
      </c>
      <c r="D925" s="1004" t="str">
        <f>'09월 에너지'!D925</f>
        <v/>
      </c>
      <c r="E925" s="1000" t="str">
        <f>'09월 에너지'!E925</f>
        <v/>
      </c>
      <c r="F925" s="1094" t="str">
        <f>'09월 에너지'!F925</f>
        <v/>
      </c>
      <c r="G925" s="980"/>
      <c r="H925" s="978"/>
      <c r="I925" s="978"/>
      <c r="J925" s="978"/>
      <c r="K925" s="978"/>
      <c r="L925" s="978"/>
      <c r="M925" s="978"/>
      <c r="N925" s="978"/>
      <c r="O925" s="1106" t="str">
        <f t="shared" si="167"/>
        <v/>
      </c>
      <c r="P925" s="1108"/>
      <c r="Q925" s="979"/>
      <c r="R925" s="979"/>
      <c r="S925" s="979"/>
      <c r="T925" s="979"/>
      <c r="U925" s="979"/>
      <c r="V925" s="979"/>
      <c r="W925" s="979"/>
      <c r="X925" s="979"/>
      <c r="Y925" s="979"/>
      <c r="Z925" s="979"/>
      <c r="AA925" s="979"/>
      <c r="AB925" s="979"/>
      <c r="AC925" s="979"/>
      <c r="AD925" s="979"/>
      <c r="AE925" s="1109" t="str">
        <f t="shared" si="168"/>
        <v/>
      </c>
      <c r="AF925" s="1113"/>
      <c r="AG925" s="981"/>
      <c r="AH925" s="981"/>
      <c r="AI925" s="1114" t="str">
        <f t="shared" si="169"/>
        <v/>
      </c>
      <c r="AJ925" s="1110" t="str">
        <f t="shared" si="170"/>
        <v/>
      </c>
      <c r="AK925" s="982">
        <f>'09월 에너지'!S925</f>
        <v>0</v>
      </c>
      <c r="AL925" s="983">
        <f t="shared" si="171"/>
        <v>0</v>
      </c>
    </row>
    <row r="926" spans="1:38" ht="16.5" customHeight="1">
      <c r="A926" s="999" t="str">
        <f>'09월 에너지'!A926</f>
        <v/>
      </c>
      <c r="B926" s="1002" t="str">
        <f>'09월 조업일지'!B924</f>
        <v/>
      </c>
      <c r="C926" s="1003" t="str">
        <f>'09월 에너지'!C926</f>
        <v/>
      </c>
      <c r="D926" s="1004" t="str">
        <f>'09월 에너지'!D926</f>
        <v/>
      </c>
      <c r="E926" s="1000" t="str">
        <f>'09월 에너지'!E926</f>
        <v/>
      </c>
      <c r="F926" s="1094" t="str">
        <f>'09월 에너지'!F926</f>
        <v/>
      </c>
      <c r="G926" s="980"/>
      <c r="H926" s="978"/>
      <c r="I926" s="978"/>
      <c r="J926" s="978"/>
      <c r="K926" s="978"/>
      <c r="L926" s="978"/>
      <c r="M926" s="978"/>
      <c r="N926" s="978"/>
      <c r="O926" s="1106" t="str">
        <f t="shared" si="167"/>
        <v/>
      </c>
      <c r="P926" s="1108"/>
      <c r="Q926" s="979"/>
      <c r="R926" s="979"/>
      <c r="S926" s="979"/>
      <c r="T926" s="979"/>
      <c r="U926" s="979"/>
      <c r="V926" s="979"/>
      <c r="W926" s="979"/>
      <c r="X926" s="979"/>
      <c r="Y926" s="979"/>
      <c r="Z926" s="979"/>
      <c r="AA926" s="979"/>
      <c r="AB926" s="979"/>
      <c r="AC926" s="979"/>
      <c r="AD926" s="979"/>
      <c r="AE926" s="1109" t="str">
        <f t="shared" si="168"/>
        <v/>
      </c>
      <c r="AF926" s="1113"/>
      <c r="AG926" s="981"/>
      <c r="AH926" s="981"/>
      <c r="AI926" s="1114" t="str">
        <f t="shared" si="169"/>
        <v/>
      </c>
      <c r="AJ926" s="1110" t="str">
        <f t="shared" si="170"/>
        <v/>
      </c>
      <c r="AK926" s="982">
        <f>'09월 에너지'!S926</f>
        <v>0</v>
      </c>
      <c r="AL926" s="983">
        <f t="shared" si="171"/>
        <v>0</v>
      </c>
    </row>
    <row r="927" spans="1:38" ht="16.5" customHeight="1">
      <c r="A927" s="999" t="str">
        <f>'09월 에너지'!A927</f>
        <v/>
      </c>
      <c r="B927" s="1002" t="str">
        <f>'09월 조업일지'!B925</f>
        <v/>
      </c>
      <c r="C927" s="1003" t="str">
        <f>'09월 에너지'!C927</f>
        <v/>
      </c>
      <c r="D927" s="1004" t="str">
        <f>'09월 에너지'!D927</f>
        <v/>
      </c>
      <c r="E927" s="1000" t="str">
        <f>'09월 에너지'!E927</f>
        <v/>
      </c>
      <c r="F927" s="1094" t="str">
        <f>'09월 에너지'!F927</f>
        <v/>
      </c>
      <c r="G927" s="980"/>
      <c r="H927" s="978"/>
      <c r="I927" s="978"/>
      <c r="J927" s="978"/>
      <c r="K927" s="978"/>
      <c r="L927" s="978"/>
      <c r="M927" s="978"/>
      <c r="N927" s="978"/>
      <c r="O927" s="1106" t="str">
        <f t="shared" si="167"/>
        <v/>
      </c>
      <c r="P927" s="1108"/>
      <c r="Q927" s="979"/>
      <c r="R927" s="979"/>
      <c r="S927" s="979"/>
      <c r="T927" s="979"/>
      <c r="U927" s="979"/>
      <c r="V927" s="979"/>
      <c r="W927" s="979"/>
      <c r="X927" s="979"/>
      <c r="Y927" s="979"/>
      <c r="Z927" s="979"/>
      <c r="AA927" s="979"/>
      <c r="AB927" s="979"/>
      <c r="AC927" s="979"/>
      <c r="AD927" s="979"/>
      <c r="AE927" s="1109" t="str">
        <f t="shared" si="168"/>
        <v/>
      </c>
      <c r="AF927" s="1113"/>
      <c r="AG927" s="981"/>
      <c r="AH927" s="981"/>
      <c r="AI927" s="1114" t="str">
        <f t="shared" si="169"/>
        <v/>
      </c>
      <c r="AJ927" s="1110" t="str">
        <f t="shared" si="170"/>
        <v/>
      </c>
      <c r="AK927" s="982">
        <f>'09월 에너지'!S927</f>
        <v>0</v>
      </c>
      <c r="AL927" s="983">
        <f t="shared" si="171"/>
        <v>0</v>
      </c>
    </row>
    <row r="928" spans="1:38" ht="16.5" customHeight="1">
      <c r="A928" s="999" t="str">
        <f>'09월 에너지'!A928</f>
        <v/>
      </c>
      <c r="B928" s="1002" t="str">
        <f>'09월 조업일지'!B926</f>
        <v/>
      </c>
      <c r="C928" s="1003" t="str">
        <f>'09월 에너지'!C928</f>
        <v/>
      </c>
      <c r="D928" s="1004" t="str">
        <f>'09월 에너지'!D928</f>
        <v/>
      </c>
      <c r="E928" s="1000" t="str">
        <f>'09월 에너지'!E928</f>
        <v/>
      </c>
      <c r="F928" s="1094" t="str">
        <f>'09월 에너지'!F928</f>
        <v/>
      </c>
      <c r="G928" s="980"/>
      <c r="H928" s="978"/>
      <c r="I928" s="978"/>
      <c r="J928" s="978"/>
      <c r="K928" s="978"/>
      <c r="L928" s="978"/>
      <c r="M928" s="978"/>
      <c r="N928" s="978"/>
      <c r="O928" s="1106" t="str">
        <f t="shared" si="167"/>
        <v/>
      </c>
      <c r="P928" s="1108"/>
      <c r="Q928" s="979"/>
      <c r="R928" s="979"/>
      <c r="S928" s="979"/>
      <c r="T928" s="979"/>
      <c r="U928" s="979"/>
      <c r="V928" s="979"/>
      <c r="W928" s="979"/>
      <c r="X928" s="979"/>
      <c r="Y928" s="979"/>
      <c r="Z928" s="979"/>
      <c r="AA928" s="979"/>
      <c r="AB928" s="979"/>
      <c r="AC928" s="979"/>
      <c r="AD928" s="979"/>
      <c r="AE928" s="1109" t="str">
        <f t="shared" si="168"/>
        <v/>
      </c>
      <c r="AF928" s="1113"/>
      <c r="AG928" s="981"/>
      <c r="AH928" s="981"/>
      <c r="AI928" s="1114" t="str">
        <f t="shared" si="169"/>
        <v/>
      </c>
      <c r="AJ928" s="1110" t="str">
        <f t="shared" si="170"/>
        <v/>
      </c>
      <c r="AK928" s="982">
        <f>'09월 에너지'!S928</f>
        <v>0</v>
      </c>
      <c r="AL928" s="983">
        <f t="shared" si="171"/>
        <v>0</v>
      </c>
    </row>
    <row r="929" spans="1:38" ht="16.5" customHeight="1">
      <c r="A929" s="999" t="str">
        <f>'09월 에너지'!A929</f>
        <v/>
      </c>
      <c r="B929" s="1002" t="str">
        <f>'09월 조업일지'!B927</f>
        <v/>
      </c>
      <c r="C929" s="1003" t="str">
        <f>'09월 에너지'!C929</f>
        <v/>
      </c>
      <c r="D929" s="1004" t="str">
        <f>'09월 에너지'!D929</f>
        <v/>
      </c>
      <c r="E929" s="1000" t="str">
        <f>'09월 에너지'!E929</f>
        <v/>
      </c>
      <c r="F929" s="1094" t="str">
        <f>'09월 에너지'!F929</f>
        <v/>
      </c>
      <c r="G929" s="980"/>
      <c r="H929" s="978"/>
      <c r="I929" s="978"/>
      <c r="J929" s="978"/>
      <c r="K929" s="978"/>
      <c r="L929" s="978"/>
      <c r="M929" s="978"/>
      <c r="N929" s="978"/>
      <c r="O929" s="1106" t="str">
        <f t="shared" si="167"/>
        <v/>
      </c>
      <c r="P929" s="1108"/>
      <c r="Q929" s="979"/>
      <c r="R929" s="979"/>
      <c r="S929" s="979"/>
      <c r="T929" s="979"/>
      <c r="U929" s="979"/>
      <c r="V929" s="979"/>
      <c r="W929" s="979"/>
      <c r="X929" s="979"/>
      <c r="Y929" s="979"/>
      <c r="Z929" s="979"/>
      <c r="AA929" s="979"/>
      <c r="AB929" s="979"/>
      <c r="AC929" s="979"/>
      <c r="AD929" s="979"/>
      <c r="AE929" s="1109" t="str">
        <f t="shared" si="168"/>
        <v/>
      </c>
      <c r="AF929" s="1113"/>
      <c r="AG929" s="981"/>
      <c r="AH929" s="981"/>
      <c r="AI929" s="1114" t="str">
        <f t="shared" si="169"/>
        <v/>
      </c>
      <c r="AJ929" s="1110" t="str">
        <f t="shared" si="170"/>
        <v/>
      </c>
      <c r="AK929" s="982">
        <f>'09월 에너지'!S929</f>
        <v>0</v>
      </c>
      <c r="AL929" s="983">
        <f t="shared" si="171"/>
        <v>0</v>
      </c>
    </row>
    <row r="930" spans="1:38" ht="16.5" customHeight="1">
      <c r="A930" s="999" t="str">
        <f>'09월 에너지'!A930</f>
        <v/>
      </c>
      <c r="B930" s="1002" t="str">
        <f>'09월 조업일지'!B928</f>
        <v/>
      </c>
      <c r="C930" s="1003" t="str">
        <f>'09월 에너지'!C930</f>
        <v/>
      </c>
      <c r="D930" s="1004" t="str">
        <f>'09월 에너지'!D930</f>
        <v/>
      </c>
      <c r="E930" s="1000" t="str">
        <f>'09월 에너지'!E930</f>
        <v/>
      </c>
      <c r="F930" s="1094" t="str">
        <f>'09월 에너지'!F930</f>
        <v/>
      </c>
      <c r="G930" s="980"/>
      <c r="H930" s="978"/>
      <c r="I930" s="978"/>
      <c r="J930" s="978"/>
      <c r="K930" s="978"/>
      <c r="L930" s="978"/>
      <c r="M930" s="978"/>
      <c r="N930" s="978"/>
      <c r="O930" s="1106" t="str">
        <f t="shared" si="167"/>
        <v/>
      </c>
      <c r="P930" s="1108"/>
      <c r="Q930" s="979"/>
      <c r="R930" s="979"/>
      <c r="S930" s="979"/>
      <c r="T930" s="979"/>
      <c r="U930" s="979"/>
      <c r="V930" s="979"/>
      <c r="W930" s="979"/>
      <c r="X930" s="979"/>
      <c r="Y930" s="979"/>
      <c r="Z930" s="979"/>
      <c r="AA930" s="979"/>
      <c r="AB930" s="979"/>
      <c r="AC930" s="979"/>
      <c r="AD930" s="979"/>
      <c r="AE930" s="1109" t="str">
        <f t="shared" si="168"/>
        <v/>
      </c>
      <c r="AF930" s="1113"/>
      <c r="AG930" s="981"/>
      <c r="AH930" s="981"/>
      <c r="AI930" s="1114" t="str">
        <f t="shared" si="169"/>
        <v/>
      </c>
      <c r="AJ930" s="1110" t="str">
        <f t="shared" si="170"/>
        <v/>
      </c>
      <c r="AK930" s="982">
        <f>'09월 에너지'!S930</f>
        <v>0</v>
      </c>
      <c r="AL930" s="983">
        <f t="shared" si="171"/>
        <v>0</v>
      </c>
    </row>
    <row r="931" spans="1:38" ht="16.5" customHeight="1">
      <c r="A931" s="999" t="str">
        <f>'09월 에너지'!A931</f>
        <v/>
      </c>
      <c r="B931" s="1002" t="str">
        <f>'09월 조업일지'!B929</f>
        <v/>
      </c>
      <c r="C931" s="1003" t="str">
        <f>'09월 에너지'!C931</f>
        <v/>
      </c>
      <c r="D931" s="1004" t="str">
        <f>'09월 에너지'!D931</f>
        <v/>
      </c>
      <c r="E931" s="1000" t="str">
        <f>'09월 에너지'!E931</f>
        <v/>
      </c>
      <c r="F931" s="1094" t="str">
        <f>'09월 에너지'!F931</f>
        <v/>
      </c>
      <c r="G931" s="980"/>
      <c r="H931" s="978"/>
      <c r="I931" s="978"/>
      <c r="J931" s="978"/>
      <c r="K931" s="978"/>
      <c r="L931" s="978"/>
      <c r="M931" s="978"/>
      <c r="N931" s="978"/>
      <c r="O931" s="1106" t="str">
        <f t="shared" si="167"/>
        <v/>
      </c>
      <c r="P931" s="1108"/>
      <c r="Q931" s="979"/>
      <c r="R931" s="979"/>
      <c r="S931" s="979"/>
      <c r="T931" s="979"/>
      <c r="U931" s="979"/>
      <c r="V931" s="979"/>
      <c r="W931" s="979"/>
      <c r="X931" s="979"/>
      <c r="Y931" s="979"/>
      <c r="Z931" s="979"/>
      <c r="AA931" s="979"/>
      <c r="AB931" s="979"/>
      <c r="AC931" s="979"/>
      <c r="AD931" s="979"/>
      <c r="AE931" s="1109" t="str">
        <f t="shared" si="168"/>
        <v/>
      </c>
      <c r="AF931" s="1113"/>
      <c r="AG931" s="981"/>
      <c r="AH931" s="981"/>
      <c r="AI931" s="1114" t="str">
        <f t="shared" si="169"/>
        <v/>
      </c>
      <c r="AJ931" s="1110" t="str">
        <f t="shared" si="170"/>
        <v/>
      </c>
      <c r="AK931" s="982">
        <f>'09월 에너지'!S931</f>
        <v>0</v>
      </c>
      <c r="AL931" s="983">
        <f t="shared" si="171"/>
        <v>0</v>
      </c>
    </row>
    <row r="932" spans="1:38" ht="16.5" customHeight="1">
      <c r="A932" s="999" t="str">
        <f>'09월 에너지'!A932</f>
        <v/>
      </c>
      <c r="B932" s="1002" t="str">
        <f>'09월 조업일지'!B930</f>
        <v/>
      </c>
      <c r="C932" s="1003" t="str">
        <f>'09월 에너지'!C932</f>
        <v/>
      </c>
      <c r="D932" s="1004" t="str">
        <f>'09월 에너지'!D932</f>
        <v/>
      </c>
      <c r="E932" s="1000" t="str">
        <f>'09월 에너지'!E932</f>
        <v/>
      </c>
      <c r="F932" s="1094" t="str">
        <f>'09월 에너지'!F932</f>
        <v/>
      </c>
      <c r="G932" s="980"/>
      <c r="H932" s="978"/>
      <c r="I932" s="978"/>
      <c r="J932" s="978"/>
      <c r="K932" s="978"/>
      <c r="L932" s="978"/>
      <c r="M932" s="978"/>
      <c r="N932" s="978"/>
      <c r="O932" s="1106" t="str">
        <f t="shared" si="167"/>
        <v/>
      </c>
      <c r="P932" s="1108"/>
      <c r="Q932" s="979"/>
      <c r="R932" s="979"/>
      <c r="S932" s="979"/>
      <c r="T932" s="979"/>
      <c r="U932" s="979"/>
      <c r="V932" s="979"/>
      <c r="W932" s="979"/>
      <c r="X932" s="979"/>
      <c r="Y932" s="979"/>
      <c r="Z932" s="979"/>
      <c r="AA932" s="979"/>
      <c r="AB932" s="979"/>
      <c r="AC932" s="979"/>
      <c r="AD932" s="979"/>
      <c r="AE932" s="1109" t="str">
        <f t="shared" si="168"/>
        <v/>
      </c>
      <c r="AF932" s="1113"/>
      <c r="AG932" s="981"/>
      <c r="AH932" s="981"/>
      <c r="AI932" s="1114" t="str">
        <f t="shared" si="169"/>
        <v/>
      </c>
      <c r="AJ932" s="1110" t="str">
        <f t="shared" si="170"/>
        <v/>
      </c>
      <c r="AK932" s="982">
        <f>'09월 에너지'!S932</f>
        <v>0</v>
      </c>
      <c r="AL932" s="983">
        <f t="shared" si="171"/>
        <v>0</v>
      </c>
    </row>
    <row r="933" spans="1:38" ht="16.5" customHeight="1">
      <c r="A933" s="999" t="str">
        <f>'09월 에너지'!A933</f>
        <v/>
      </c>
      <c r="B933" s="1002" t="str">
        <f>'09월 조업일지'!B931</f>
        <v/>
      </c>
      <c r="C933" s="1003" t="str">
        <f>'09월 에너지'!C933</f>
        <v/>
      </c>
      <c r="D933" s="1004" t="str">
        <f>'09월 에너지'!D933</f>
        <v/>
      </c>
      <c r="E933" s="1000" t="str">
        <f>'09월 에너지'!E933</f>
        <v/>
      </c>
      <c r="F933" s="1094" t="str">
        <f>'09월 에너지'!F933</f>
        <v/>
      </c>
      <c r="G933" s="980"/>
      <c r="H933" s="978"/>
      <c r="I933" s="978"/>
      <c r="J933" s="978"/>
      <c r="K933" s="978"/>
      <c r="L933" s="978"/>
      <c r="M933" s="978"/>
      <c r="N933" s="978"/>
      <c r="O933" s="1106" t="str">
        <f t="shared" si="167"/>
        <v/>
      </c>
      <c r="P933" s="1108"/>
      <c r="Q933" s="979"/>
      <c r="R933" s="979"/>
      <c r="S933" s="979"/>
      <c r="T933" s="979"/>
      <c r="U933" s="979"/>
      <c r="V933" s="979"/>
      <c r="W933" s="979"/>
      <c r="X933" s="979"/>
      <c r="Y933" s="979"/>
      <c r="Z933" s="979"/>
      <c r="AA933" s="979"/>
      <c r="AB933" s="979"/>
      <c r="AC933" s="979"/>
      <c r="AD933" s="979"/>
      <c r="AE933" s="1109" t="str">
        <f t="shared" si="168"/>
        <v/>
      </c>
      <c r="AF933" s="1113"/>
      <c r="AG933" s="981"/>
      <c r="AH933" s="981"/>
      <c r="AI933" s="1114" t="str">
        <f t="shared" si="169"/>
        <v/>
      </c>
      <c r="AJ933" s="1110" t="str">
        <f t="shared" si="170"/>
        <v/>
      </c>
      <c r="AK933" s="982">
        <f>'09월 에너지'!S933</f>
        <v>0</v>
      </c>
      <c r="AL933" s="983">
        <f t="shared" si="171"/>
        <v>0</v>
      </c>
    </row>
    <row r="934" spans="1:38" ht="16.5" customHeight="1">
      <c r="A934" s="999" t="str">
        <f>'09월 에너지'!A934</f>
        <v/>
      </c>
      <c r="B934" s="1002" t="str">
        <f>'09월 조업일지'!B932</f>
        <v/>
      </c>
      <c r="C934" s="1003" t="str">
        <f>'09월 에너지'!C934</f>
        <v/>
      </c>
      <c r="D934" s="1004" t="str">
        <f>'09월 에너지'!D934</f>
        <v/>
      </c>
      <c r="E934" s="1000" t="str">
        <f>'09월 에너지'!E934</f>
        <v/>
      </c>
      <c r="F934" s="1094" t="str">
        <f>'09월 에너지'!F934</f>
        <v/>
      </c>
      <c r="G934" s="980"/>
      <c r="H934" s="978"/>
      <c r="I934" s="978"/>
      <c r="J934" s="978"/>
      <c r="K934" s="978"/>
      <c r="L934" s="978"/>
      <c r="M934" s="978"/>
      <c r="N934" s="978"/>
      <c r="O934" s="1106" t="str">
        <f t="shared" si="167"/>
        <v/>
      </c>
      <c r="P934" s="1108"/>
      <c r="Q934" s="979"/>
      <c r="R934" s="979"/>
      <c r="S934" s="979"/>
      <c r="T934" s="979"/>
      <c r="U934" s="979"/>
      <c r="V934" s="979"/>
      <c r="W934" s="979"/>
      <c r="X934" s="979"/>
      <c r="Y934" s="979"/>
      <c r="Z934" s="979"/>
      <c r="AA934" s="979"/>
      <c r="AB934" s="979"/>
      <c r="AC934" s="979"/>
      <c r="AD934" s="979"/>
      <c r="AE934" s="1109" t="str">
        <f t="shared" si="168"/>
        <v/>
      </c>
      <c r="AF934" s="1113"/>
      <c r="AG934" s="981"/>
      <c r="AH934" s="981"/>
      <c r="AI934" s="1114" t="str">
        <f t="shared" si="169"/>
        <v/>
      </c>
      <c r="AJ934" s="1110" t="str">
        <f t="shared" si="170"/>
        <v/>
      </c>
      <c r="AK934" s="982">
        <f>'09월 에너지'!S934</f>
        <v>0</v>
      </c>
      <c r="AL934" s="983">
        <f t="shared" si="171"/>
        <v>0</v>
      </c>
    </row>
    <row r="935" spans="1:38" ht="16.5" customHeight="1">
      <c r="A935" s="999" t="str">
        <f>'09월 에너지'!A935</f>
        <v/>
      </c>
      <c r="B935" s="1002" t="str">
        <f>'09월 조업일지'!B933</f>
        <v/>
      </c>
      <c r="C935" s="1003" t="str">
        <f>'09월 에너지'!C935</f>
        <v/>
      </c>
      <c r="D935" s="1004" t="str">
        <f>'09월 에너지'!D935</f>
        <v/>
      </c>
      <c r="E935" s="1000" t="str">
        <f>'09월 에너지'!E935</f>
        <v/>
      </c>
      <c r="F935" s="1094" t="str">
        <f>'09월 에너지'!F935</f>
        <v/>
      </c>
      <c r="G935" s="980"/>
      <c r="H935" s="978"/>
      <c r="I935" s="978"/>
      <c r="J935" s="978"/>
      <c r="K935" s="978"/>
      <c r="L935" s="978"/>
      <c r="M935" s="978"/>
      <c r="N935" s="978"/>
      <c r="O935" s="1106" t="str">
        <f t="shared" si="167"/>
        <v/>
      </c>
      <c r="P935" s="1108"/>
      <c r="Q935" s="979"/>
      <c r="R935" s="979"/>
      <c r="S935" s="979"/>
      <c r="T935" s="979"/>
      <c r="U935" s="979"/>
      <c r="V935" s="979"/>
      <c r="W935" s="979"/>
      <c r="X935" s="979"/>
      <c r="Y935" s="979"/>
      <c r="Z935" s="979"/>
      <c r="AA935" s="979"/>
      <c r="AB935" s="979"/>
      <c r="AC935" s="979"/>
      <c r="AD935" s="979"/>
      <c r="AE935" s="1109" t="str">
        <f t="shared" si="168"/>
        <v/>
      </c>
      <c r="AF935" s="1113"/>
      <c r="AG935" s="981"/>
      <c r="AH935" s="981"/>
      <c r="AI935" s="1114" t="str">
        <f t="shared" si="169"/>
        <v/>
      </c>
      <c r="AJ935" s="1110" t="str">
        <f t="shared" si="170"/>
        <v/>
      </c>
      <c r="AK935" s="982">
        <f>'09월 에너지'!S935</f>
        <v>0</v>
      </c>
      <c r="AL935" s="983">
        <f t="shared" si="171"/>
        <v>0</v>
      </c>
    </row>
    <row r="936" spans="1:38" ht="16.5" customHeight="1">
      <c r="A936" s="999" t="str">
        <f>'09월 에너지'!A936</f>
        <v/>
      </c>
      <c r="B936" s="1002" t="str">
        <f>'09월 조업일지'!B934</f>
        <v/>
      </c>
      <c r="C936" s="1003" t="str">
        <f>'09월 에너지'!C936</f>
        <v/>
      </c>
      <c r="D936" s="1004" t="str">
        <f>'09월 에너지'!D936</f>
        <v/>
      </c>
      <c r="E936" s="1000" t="str">
        <f>'09월 에너지'!E936</f>
        <v/>
      </c>
      <c r="F936" s="1094" t="str">
        <f>'09월 에너지'!F936</f>
        <v/>
      </c>
      <c r="G936" s="980"/>
      <c r="H936" s="978"/>
      <c r="I936" s="978"/>
      <c r="J936" s="978"/>
      <c r="K936" s="978"/>
      <c r="L936" s="978"/>
      <c r="M936" s="978"/>
      <c r="N936" s="978"/>
      <c r="O936" s="1106" t="str">
        <f t="shared" si="167"/>
        <v/>
      </c>
      <c r="P936" s="1108"/>
      <c r="Q936" s="979"/>
      <c r="R936" s="979"/>
      <c r="S936" s="979"/>
      <c r="T936" s="979"/>
      <c r="U936" s="979"/>
      <c r="V936" s="979"/>
      <c r="W936" s="979"/>
      <c r="X936" s="979"/>
      <c r="Y936" s="979"/>
      <c r="Z936" s="979"/>
      <c r="AA936" s="979"/>
      <c r="AB936" s="979"/>
      <c r="AC936" s="979"/>
      <c r="AD936" s="979"/>
      <c r="AE936" s="1109" t="str">
        <f t="shared" si="168"/>
        <v/>
      </c>
      <c r="AF936" s="1113"/>
      <c r="AG936" s="981"/>
      <c r="AH936" s="981"/>
      <c r="AI936" s="1114" t="str">
        <f t="shared" si="169"/>
        <v/>
      </c>
      <c r="AJ936" s="1110" t="str">
        <f t="shared" si="170"/>
        <v/>
      </c>
      <c r="AK936" s="982">
        <f>'09월 에너지'!S936</f>
        <v>0</v>
      </c>
      <c r="AL936" s="983">
        <f t="shared" si="171"/>
        <v>0</v>
      </c>
    </row>
    <row r="937" spans="1:38" ht="16.5" customHeight="1">
      <c r="A937" s="999" t="str">
        <f>'09월 에너지'!A937</f>
        <v/>
      </c>
      <c r="B937" s="1002" t="str">
        <f>'09월 조업일지'!B935</f>
        <v/>
      </c>
      <c r="C937" s="1003" t="str">
        <f>'09월 에너지'!C937</f>
        <v/>
      </c>
      <c r="D937" s="1004" t="str">
        <f>'09월 에너지'!D937</f>
        <v/>
      </c>
      <c r="E937" s="1000" t="str">
        <f>'09월 에너지'!E937</f>
        <v/>
      </c>
      <c r="F937" s="1094" t="str">
        <f>'09월 에너지'!F937</f>
        <v/>
      </c>
      <c r="G937" s="980"/>
      <c r="H937" s="978"/>
      <c r="I937" s="978"/>
      <c r="J937" s="978"/>
      <c r="K937" s="978"/>
      <c r="L937" s="978"/>
      <c r="M937" s="978"/>
      <c r="N937" s="978"/>
      <c r="O937" s="1106" t="str">
        <f t="shared" si="167"/>
        <v/>
      </c>
      <c r="P937" s="1108"/>
      <c r="Q937" s="979"/>
      <c r="R937" s="979"/>
      <c r="S937" s="979"/>
      <c r="T937" s="979"/>
      <c r="U937" s="979"/>
      <c r="V937" s="979"/>
      <c r="W937" s="979"/>
      <c r="X937" s="979"/>
      <c r="Y937" s="979"/>
      <c r="Z937" s="979"/>
      <c r="AA937" s="979"/>
      <c r="AB937" s="979"/>
      <c r="AC937" s="979"/>
      <c r="AD937" s="979"/>
      <c r="AE937" s="1109" t="str">
        <f t="shared" si="168"/>
        <v/>
      </c>
      <c r="AF937" s="1113"/>
      <c r="AG937" s="981"/>
      <c r="AH937" s="981"/>
      <c r="AI937" s="1114" t="str">
        <f t="shared" si="169"/>
        <v/>
      </c>
      <c r="AJ937" s="1110" t="str">
        <f t="shared" si="170"/>
        <v/>
      </c>
      <c r="AK937" s="982">
        <f>'09월 에너지'!S937</f>
        <v>0</v>
      </c>
      <c r="AL937" s="983">
        <f t="shared" si="171"/>
        <v>0</v>
      </c>
    </row>
    <row r="938" spans="1:38" ht="16.5" customHeight="1">
      <c r="A938" s="999" t="str">
        <f>'09월 에너지'!A938</f>
        <v/>
      </c>
      <c r="B938" s="1002" t="str">
        <f>'09월 조업일지'!B936</f>
        <v/>
      </c>
      <c r="C938" s="1003" t="str">
        <f>'09월 에너지'!C938</f>
        <v/>
      </c>
      <c r="D938" s="1004" t="str">
        <f>'09월 에너지'!D938</f>
        <v/>
      </c>
      <c r="E938" s="1000" t="str">
        <f>'09월 에너지'!E938</f>
        <v/>
      </c>
      <c r="F938" s="1094" t="str">
        <f>'09월 에너지'!F938</f>
        <v/>
      </c>
      <c r="G938" s="980"/>
      <c r="H938" s="978"/>
      <c r="I938" s="978"/>
      <c r="J938" s="978"/>
      <c r="K938" s="978"/>
      <c r="L938" s="978"/>
      <c r="M938" s="978"/>
      <c r="N938" s="978"/>
      <c r="O938" s="1106" t="str">
        <f t="shared" si="167"/>
        <v/>
      </c>
      <c r="P938" s="1108"/>
      <c r="Q938" s="979"/>
      <c r="R938" s="979"/>
      <c r="S938" s="979"/>
      <c r="T938" s="979"/>
      <c r="U938" s="979"/>
      <c r="V938" s="979"/>
      <c r="W938" s="979"/>
      <c r="X938" s="979"/>
      <c r="Y938" s="979"/>
      <c r="Z938" s="979"/>
      <c r="AA938" s="979"/>
      <c r="AB938" s="979"/>
      <c r="AC938" s="979"/>
      <c r="AD938" s="979"/>
      <c r="AE938" s="1109" t="str">
        <f t="shared" si="168"/>
        <v/>
      </c>
      <c r="AF938" s="1113"/>
      <c r="AG938" s="981"/>
      <c r="AH938" s="981"/>
      <c r="AI938" s="1114" t="str">
        <f t="shared" si="169"/>
        <v/>
      </c>
      <c r="AJ938" s="1110" t="str">
        <f t="shared" si="170"/>
        <v/>
      </c>
      <c r="AK938" s="982">
        <f>'09월 에너지'!S938</f>
        <v>0</v>
      </c>
      <c r="AL938" s="983">
        <f t="shared" si="171"/>
        <v>0</v>
      </c>
    </row>
    <row r="939" spans="1:38" ht="16.5" customHeight="1">
      <c r="A939" s="999" t="str">
        <f>'09월 에너지'!A939</f>
        <v/>
      </c>
      <c r="B939" s="1002" t="str">
        <f>'09월 조업일지'!B937</f>
        <v/>
      </c>
      <c r="C939" s="1003" t="str">
        <f>'09월 에너지'!C939</f>
        <v/>
      </c>
      <c r="D939" s="1004" t="str">
        <f>'09월 에너지'!D939</f>
        <v/>
      </c>
      <c r="E939" s="1000" t="str">
        <f>'09월 에너지'!E939</f>
        <v/>
      </c>
      <c r="F939" s="1094" t="str">
        <f>'09월 에너지'!F939</f>
        <v/>
      </c>
      <c r="G939" s="980"/>
      <c r="H939" s="978"/>
      <c r="I939" s="978"/>
      <c r="J939" s="978"/>
      <c r="K939" s="978"/>
      <c r="L939" s="978"/>
      <c r="M939" s="978"/>
      <c r="N939" s="978"/>
      <c r="O939" s="1106" t="str">
        <f t="shared" si="167"/>
        <v/>
      </c>
      <c r="P939" s="1108"/>
      <c r="Q939" s="979"/>
      <c r="R939" s="979"/>
      <c r="S939" s="979"/>
      <c r="T939" s="979"/>
      <c r="U939" s="979"/>
      <c r="V939" s="979"/>
      <c r="W939" s="979"/>
      <c r="X939" s="979"/>
      <c r="Y939" s="979"/>
      <c r="Z939" s="979"/>
      <c r="AA939" s="979"/>
      <c r="AB939" s="979"/>
      <c r="AC939" s="979"/>
      <c r="AD939" s="979"/>
      <c r="AE939" s="1109" t="str">
        <f t="shared" si="168"/>
        <v/>
      </c>
      <c r="AF939" s="1113"/>
      <c r="AG939" s="981"/>
      <c r="AH939" s="981"/>
      <c r="AI939" s="1114" t="str">
        <f t="shared" si="169"/>
        <v/>
      </c>
      <c r="AJ939" s="1110" t="str">
        <f t="shared" si="170"/>
        <v/>
      </c>
      <c r="AK939" s="982">
        <f>'09월 에너지'!S939</f>
        <v>0</v>
      </c>
      <c r="AL939" s="983">
        <f t="shared" si="171"/>
        <v>0</v>
      </c>
    </row>
    <row r="940" spans="1:38" ht="16.5" customHeight="1">
      <c r="A940" s="999" t="str">
        <f>'09월 에너지'!A940</f>
        <v/>
      </c>
      <c r="B940" s="1002" t="str">
        <f>'09월 조업일지'!B938</f>
        <v/>
      </c>
      <c r="C940" s="1003" t="str">
        <f>'09월 에너지'!C940</f>
        <v/>
      </c>
      <c r="D940" s="1004" t="str">
        <f>'09월 에너지'!D940</f>
        <v/>
      </c>
      <c r="E940" s="1000" t="str">
        <f>'09월 에너지'!E940</f>
        <v/>
      </c>
      <c r="F940" s="1094" t="str">
        <f>'09월 에너지'!F940</f>
        <v/>
      </c>
      <c r="G940" s="980"/>
      <c r="H940" s="978"/>
      <c r="I940" s="978"/>
      <c r="J940" s="978"/>
      <c r="K940" s="978"/>
      <c r="L940" s="978"/>
      <c r="M940" s="978"/>
      <c r="N940" s="978"/>
      <c r="O940" s="1106" t="str">
        <f t="shared" si="167"/>
        <v/>
      </c>
      <c r="P940" s="1108"/>
      <c r="Q940" s="979"/>
      <c r="R940" s="979"/>
      <c r="S940" s="979"/>
      <c r="T940" s="979"/>
      <c r="U940" s="979"/>
      <c r="V940" s="979"/>
      <c r="W940" s="979"/>
      <c r="X940" s="979"/>
      <c r="Y940" s="979"/>
      <c r="Z940" s="979"/>
      <c r="AA940" s="979"/>
      <c r="AB940" s="979"/>
      <c r="AC940" s="979"/>
      <c r="AD940" s="979"/>
      <c r="AE940" s="1109" t="str">
        <f t="shared" si="168"/>
        <v/>
      </c>
      <c r="AF940" s="1113"/>
      <c r="AG940" s="981"/>
      <c r="AH940" s="981"/>
      <c r="AI940" s="1114" t="str">
        <f t="shared" si="169"/>
        <v/>
      </c>
      <c r="AJ940" s="1110" t="str">
        <f t="shared" si="170"/>
        <v/>
      </c>
      <c r="AK940" s="982">
        <f>'09월 에너지'!S940</f>
        <v>0</v>
      </c>
      <c r="AL940" s="983">
        <f t="shared" si="171"/>
        <v>0</v>
      </c>
    </row>
    <row r="941" spans="1:38" ht="16.5" customHeight="1">
      <c r="A941" s="999" t="str">
        <f>'09월 에너지'!A941</f>
        <v/>
      </c>
      <c r="B941" s="1002" t="str">
        <f>'09월 조업일지'!B939</f>
        <v/>
      </c>
      <c r="C941" s="1003" t="str">
        <f>'09월 에너지'!C941</f>
        <v/>
      </c>
      <c r="D941" s="1004" t="str">
        <f>'09월 에너지'!D941</f>
        <v/>
      </c>
      <c r="E941" s="1000" t="str">
        <f>'09월 에너지'!E941</f>
        <v/>
      </c>
      <c r="F941" s="1094" t="str">
        <f>'09월 에너지'!F941</f>
        <v/>
      </c>
      <c r="G941" s="980"/>
      <c r="H941" s="978"/>
      <c r="I941" s="978"/>
      <c r="J941" s="978"/>
      <c r="K941" s="978"/>
      <c r="L941" s="978"/>
      <c r="M941" s="978"/>
      <c r="N941" s="978"/>
      <c r="O941" s="1106" t="str">
        <f t="shared" si="167"/>
        <v/>
      </c>
      <c r="P941" s="1108"/>
      <c r="Q941" s="979"/>
      <c r="R941" s="979"/>
      <c r="S941" s="979"/>
      <c r="T941" s="979"/>
      <c r="U941" s="979"/>
      <c r="V941" s="979"/>
      <c r="W941" s="979"/>
      <c r="X941" s="979"/>
      <c r="Y941" s="979"/>
      <c r="Z941" s="979"/>
      <c r="AA941" s="979"/>
      <c r="AB941" s="979"/>
      <c r="AC941" s="979"/>
      <c r="AD941" s="979"/>
      <c r="AE941" s="1109" t="str">
        <f t="shared" si="168"/>
        <v/>
      </c>
      <c r="AF941" s="1113"/>
      <c r="AG941" s="981"/>
      <c r="AH941" s="981"/>
      <c r="AI941" s="1114" t="str">
        <f t="shared" si="169"/>
        <v/>
      </c>
      <c r="AJ941" s="1110" t="str">
        <f t="shared" si="170"/>
        <v/>
      </c>
      <c r="AK941" s="982">
        <f>'09월 에너지'!S941</f>
        <v>0</v>
      </c>
      <c r="AL941" s="983">
        <f t="shared" si="171"/>
        <v>0</v>
      </c>
    </row>
    <row r="942" spans="1:38" ht="16.5" customHeight="1">
      <c r="A942" s="999" t="str">
        <f>'09월 에너지'!A942</f>
        <v/>
      </c>
      <c r="B942" s="1002" t="str">
        <f>'09월 조업일지'!B940</f>
        <v/>
      </c>
      <c r="C942" s="1003" t="str">
        <f>'09월 에너지'!C942</f>
        <v/>
      </c>
      <c r="D942" s="1004" t="str">
        <f>'09월 에너지'!D942</f>
        <v/>
      </c>
      <c r="E942" s="1000" t="str">
        <f>'09월 에너지'!E942</f>
        <v/>
      </c>
      <c r="F942" s="1094" t="str">
        <f>'09월 에너지'!F942</f>
        <v/>
      </c>
      <c r="G942" s="980"/>
      <c r="H942" s="978"/>
      <c r="I942" s="978"/>
      <c r="J942" s="978"/>
      <c r="K942" s="978"/>
      <c r="L942" s="978"/>
      <c r="M942" s="978"/>
      <c r="N942" s="978"/>
      <c r="O942" s="1106" t="str">
        <f t="shared" si="167"/>
        <v/>
      </c>
      <c r="P942" s="1108"/>
      <c r="Q942" s="979"/>
      <c r="R942" s="979"/>
      <c r="S942" s="979"/>
      <c r="T942" s="979"/>
      <c r="U942" s="979"/>
      <c r="V942" s="979"/>
      <c r="W942" s="979"/>
      <c r="X942" s="979"/>
      <c r="Y942" s="979"/>
      <c r="Z942" s="979"/>
      <c r="AA942" s="979"/>
      <c r="AB942" s="979"/>
      <c r="AC942" s="979"/>
      <c r="AD942" s="979"/>
      <c r="AE942" s="1109" t="str">
        <f t="shared" si="168"/>
        <v/>
      </c>
      <c r="AF942" s="1113"/>
      <c r="AG942" s="981"/>
      <c r="AH942" s="981"/>
      <c r="AI942" s="1114" t="str">
        <f t="shared" si="169"/>
        <v/>
      </c>
      <c r="AJ942" s="1110" t="str">
        <f t="shared" si="170"/>
        <v/>
      </c>
      <c r="AK942" s="982">
        <f>'09월 에너지'!S942</f>
        <v>0</v>
      </c>
      <c r="AL942" s="983">
        <f t="shared" si="171"/>
        <v>0</v>
      </c>
    </row>
    <row r="943" spans="1:38" ht="16.5" customHeight="1">
      <c r="A943" s="999" t="str">
        <f>'09월 에너지'!A943</f>
        <v/>
      </c>
      <c r="B943" s="1002" t="str">
        <f>'09월 조업일지'!B941</f>
        <v/>
      </c>
      <c r="C943" s="1003" t="str">
        <f>'09월 에너지'!C943</f>
        <v/>
      </c>
      <c r="D943" s="1004" t="str">
        <f>'09월 에너지'!D943</f>
        <v/>
      </c>
      <c r="E943" s="1000" t="str">
        <f>'09월 에너지'!E943</f>
        <v/>
      </c>
      <c r="F943" s="1094" t="str">
        <f>'09월 에너지'!F943</f>
        <v/>
      </c>
      <c r="G943" s="980"/>
      <c r="H943" s="978"/>
      <c r="I943" s="978"/>
      <c r="J943" s="978"/>
      <c r="K943" s="978"/>
      <c r="L943" s="978"/>
      <c r="M943" s="978"/>
      <c r="N943" s="978"/>
      <c r="O943" s="1106" t="str">
        <f t="shared" si="167"/>
        <v/>
      </c>
      <c r="P943" s="1108"/>
      <c r="Q943" s="979"/>
      <c r="R943" s="979"/>
      <c r="S943" s="979"/>
      <c r="T943" s="979"/>
      <c r="U943" s="979"/>
      <c r="V943" s="979"/>
      <c r="W943" s="979"/>
      <c r="X943" s="979"/>
      <c r="Y943" s="979"/>
      <c r="Z943" s="979"/>
      <c r="AA943" s="979"/>
      <c r="AB943" s="979"/>
      <c r="AC943" s="979"/>
      <c r="AD943" s="979"/>
      <c r="AE943" s="1109" t="str">
        <f t="shared" si="168"/>
        <v/>
      </c>
      <c r="AF943" s="1113"/>
      <c r="AG943" s="981"/>
      <c r="AH943" s="981"/>
      <c r="AI943" s="1114" t="str">
        <f t="shared" si="169"/>
        <v/>
      </c>
      <c r="AJ943" s="1110" t="str">
        <f t="shared" si="170"/>
        <v/>
      </c>
      <c r="AK943" s="982">
        <f>'09월 에너지'!S943</f>
        <v>0</v>
      </c>
      <c r="AL943" s="983">
        <f t="shared" si="171"/>
        <v>0</v>
      </c>
    </row>
    <row r="944" spans="1:38" ht="16.5" customHeight="1">
      <c r="A944" s="999" t="str">
        <f>'09월 에너지'!A944</f>
        <v/>
      </c>
      <c r="B944" s="1002" t="str">
        <f>'09월 조업일지'!B942</f>
        <v/>
      </c>
      <c r="C944" s="1003" t="str">
        <f>'09월 에너지'!C944</f>
        <v/>
      </c>
      <c r="D944" s="1004" t="str">
        <f>'09월 에너지'!D944</f>
        <v/>
      </c>
      <c r="E944" s="1000" t="str">
        <f>'09월 에너지'!E944</f>
        <v/>
      </c>
      <c r="F944" s="1094" t="str">
        <f>'09월 에너지'!F944</f>
        <v/>
      </c>
      <c r="G944" s="980"/>
      <c r="H944" s="978"/>
      <c r="I944" s="978"/>
      <c r="J944" s="978"/>
      <c r="K944" s="978"/>
      <c r="L944" s="978"/>
      <c r="M944" s="978"/>
      <c r="N944" s="978"/>
      <c r="O944" s="1106" t="str">
        <f t="shared" si="167"/>
        <v/>
      </c>
      <c r="P944" s="1108"/>
      <c r="Q944" s="979"/>
      <c r="R944" s="979"/>
      <c r="S944" s="979"/>
      <c r="T944" s="979"/>
      <c r="U944" s="979"/>
      <c r="V944" s="979"/>
      <c r="W944" s="979"/>
      <c r="X944" s="979"/>
      <c r="Y944" s="979"/>
      <c r="Z944" s="979"/>
      <c r="AA944" s="979"/>
      <c r="AB944" s="979"/>
      <c r="AC944" s="979"/>
      <c r="AD944" s="979"/>
      <c r="AE944" s="1109" t="str">
        <f t="shared" si="168"/>
        <v/>
      </c>
      <c r="AF944" s="1113"/>
      <c r="AG944" s="981"/>
      <c r="AH944" s="981"/>
      <c r="AI944" s="1114" t="str">
        <f t="shared" si="169"/>
        <v/>
      </c>
      <c r="AJ944" s="1110" t="str">
        <f t="shared" si="170"/>
        <v/>
      </c>
      <c r="AK944" s="982">
        <f>'09월 에너지'!S944</f>
        <v>0</v>
      </c>
      <c r="AL944" s="983">
        <f t="shared" si="171"/>
        <v>0</v>
      </c>
    </row>
    <row r="945" spans="1:38" ht="16.5" customHeight="1">
      <c r="A945" s="999" t="str">
        <f>'09월 에너지'!A945</f>
        <v/>
      </c>
      <c r="B945" s="1002" t="str">
        <f>'09월 조업일지'!B943</f>
        <v/>
      </c>
      <c r="C945" s="1003" t="str">
        <f>'09월 에너지'!C945</f>
        <v/>
      </c>
      <c r="D945" s="1004" t="str">
        <f>'09월 에너지'!D945</f>
        <v/>
      </c>
      <c r="E945" s="1000" t="str">
        <f>'09월 에너지'!E945</f>
        <v/>
      </c>
      <c r="F945" s="1094" t="str">
        <f>'09월 에너지'!F945</f>
        <v/>
      </c>
      <c r="G945" s="980"/>
      <c r="H945" s="978"/>
      <c r="I945" s="978"/>
      <c r="J945" s="978"/>
      <c r="K945" s="978"/>
      <c r="L945" s="978"/>
      <c r="M945" s="978"/>
      <c r="N945" s="978"/>
      <c r="O945" s="1106" t="str">
        <f t="shared" si="167"/>
        <v/>
      </c>
      <c r="P945" s="1108"/>
      <c r="Q945" s="979"/>
      <c r="R945" s="979"/>
      <c r="S945" s="979"/>
      <c r="T945" s="979"/>
      <c r="U945" s="979"/>
      <c r="V945" s="979"/>
      <c r="W945" s="979"/>
      <c r="X945" s="979"/>
      <c r="Y945" s="979"/>
      <c r="Z945" s="979"/>
      <c r="AA945" s="979"/>
      <c r="AB945" s="979"/>
      <c r="AC945" s="979"/>
      <c r="AD945" s="979"/>
      <c r="AE945" s="1109" t="str">
        <f t="shared" si="168"/>
        <v/>
      </c>
      <c r="AF945" s="1113"/>
      <c r="AG945" s="981"/>
      <c r="AH945" s="981"/>
      <c r="AI945" s="1114" t="str">
        <f t="shared" si="169"/>
        <v/>
      </c>
      <c r="AJ945" s="1110" t="str">
        <f t="shared" si="170"/>
        <v/>
      </c>
      <c r="AK945" s="982">
        <f>'09월 에너지'!S945</f>
        <v>0</v>
      </c>
      <c r="AL945" s="983">
        <f t="shared" si="171"/>
        <v>0</v>
      </c>
    </row>
    <row r="946" spans="1:38" ht="16.5" customHeight="1">
      <c r="A946" s="999" t="str">
        <f>'09월 에너지'!A946</f>
        <v/>
      </c>
      <c r="B946" s="1002" t="str">
        <f>'09월 조업일지'!B944</f>
        <v/>
      </c>
      <c r="C946" s="1003" t="str">
        <f>'09월 에너지'!C946</f>
        <v/>
      </c>
      <c r="D946" s="1004" t="str">
        <f>'09월 에너지'!D946</f>
        <v/>
      </c>
      <c r="E946" s="1000" t="str">
        <f>'09월 에너지'!E946</f>
        <v/>
      </c>
      <c r="F946" s="1094" t="str">
        <f>'09월 에너지'!F946</f>
        <v/>
      </c>
      <c r="G946" s="980"/>
      <c r="H946" s="978"/>
      <c r="I946" s="978"/>
      <c r="J946" s="978"/>
      <c r="K946" s="978"/>
      <c r="L946" s="978"/>
      <c r="M946" s="978"/>
      <c r="N946" s="978"/>
      <c r="O946" s="1106" t="str">
        <f t="shared" si="167"/>
        <v/>
      </c>
      <c r="P946" s="1108"/>
      <c r="Q946" s="979"/>
      <c r="R946" s="979"/>
      <c r="S946" s="979"/>
      <c r="T946" s="979"/>
      <c r="U946" s="979"/>
      <c r="V946" s="979"/>
      <c r="W946" s="979"/>
      <c r="X946" s="979"/>
      <c r="Y946" s="979"/>
      <c r="Z946" s="979"/>
      <c r="AA946" s="979"/>
      <c r="AB946" s="979"/>
      <c r="AC946" s="979"/>
      <c r="AD946" s="979"/>
      <c r="AE946" s="1109" t="str">
        <f t="shared" si="168"/>
        <v/>
      </c>
      <c r="AF946" s="1113"/>
      <c r="AG946" s="981"/>
      <c r="AH946" s="981"/>
      <c r="AI946" s="1114" t="str">
        <f t="shared" si="169"/>
        <v/>
      </c>
      <c r="AJ946" s="1110" t="str">
        <f t="shared" si="170"/>
        <v/>
      </c>
      <c r="AK946" s="982">
        <f>'09월 에너지'!S946</f>
        <v>0</v>
      </c>
      <c r="AL946" s="983">
        <f t="shared" si="171"/>
        <v>0</v>
      </c>
    </row>
    <row r="947" spans="1:38" ht="16.5" customHeight="1">
      <c r="A947" s="999" t="str">
        <f>'09월 에너지'!A947</f>
        <v/>
      </c>
      <c r="B947" s="1002" t="str">
        <f>'09월 조업일지'!B945</f>
        <v/>
      </c>
      <c r="C947" s="1003" t="str">
        <f>'09월 에너지'!C947</f>
        <v/>
      </c>
      <c r="D947" s="1004" t="str">
        <f>'09월 에너지'!D947</f>
        <v/>
      </c>
      <c r="E947" s="1000" t="str">
        <f>'09월 에너지'!E947</f>
        <v/>
      </c>
      <c r="F947" s="1094" t="str">
        <f>'09월 에너지'!F947</f>
        <v/>
      </c>
      <c r="G947" s="980"/>
      <c r="H947" s="978"/>
      <c r="I947" s="978"/>
      <c r="J947" s="978"/>
      <c r="K947" s="978"/>
      <c r="L947" s="978"/>
      <c r="M947" s="978"/>
      <c r="N947" s="978"/>
      <c r="O947" s="1106" t="str">
        <f t="shared" si="167"/>
        <v/>
      </c>
      <c r="P947" s="1108"/>
      <c r="Q947" s="979"/>
      <c r="R947" s="979"/>
      <c r="S947" s="979"/>
      <c r="T947" s="979"/>
      <c r="U947" s="979"/>
      <c r="V947" s="979"/>
      <c r="W947" s="979"/>
      <c r="X947" s="979"/>
      <c r="Y947" s="979"/>
      <c r="Z947" s="979"/>
      <c r="AA947" s="979"/>
      <c r="AB947" s="979"/>
      <c r="AC947" s="979"/>
      <c r="AD947" s="979"/>
      <c r="AE947" s="1109" t="str">
        <f t="shared" si="168"/>
        <v/>
      </c>
      <c r="AF947" s="1113"/>
      <c r="AG947" s="981"/>
      <c r="AH947" s="981"/>
      <c r="AI947" s="1114" t="str">
        <f t="shared" si="169"/>
        <v/>
      </c>
      <c r="AJ947" s="1110" t="str">
        <f t="shared" si="170"/>
        <v/>
      </c>
      <c r="AK947" s="982">
        <f>'09월 에너지'!S947</f>
        <v>0</v>
      </c>
      <c r="AL947" s="983">
        <f t="shared" si="171"/>
        <v>0</v>
      </c>
    </row>
    <row r="948" spans="1:38" ht="16.5" customHeight="1">
      <c r="A948" s="999" t="str">
        <f>'09월 에너지'!A948</f>
        <v/>
      </c>
      <c r="B948" s="1002" t="str">
        <f>'09월 조업일지'!B946</f>
        <v/>
      </c>
      <c r="C948" s="1003" t="str">
        <f>'09월 에너지'!C948</f>
        <v/>
      </c>
      <c r="D948" s="1004" t="str">
        <f>'09월 에너지'!D948</f>
        <v/>
      </c>
      <c r="E948" s="1000" t="str">
        <f>'09월 에너지'!E948</f>
        <v/>
      </c>
      <c r="F948" s="1094" t="str">
        <f>'09월 에너지'!F948</f>
        <v/>
      </c>
      <c r="G948" s="980"/>
      <c r="H948" s="978"/>
      <c r="I948" s="978"/>
      <c r="J948" s="978"/>
      <c r="K948" s="978"/>
      <c r="L948" s="978"/>
      <c r="M948" s="978"/>
      <c r="N948" s="978"/>
      <c r="O948" s="1106" t="str">
        <f t="shared" si="167"/>
        <v/>
      </c>
      <c r="P948" s="1108"/>
      <c r="Q948" s="979"/>
      <c r="R948" s="979"/>
      <c r="S948" s="979"/>
      <c r="T948" s="979"/>
      <c r="U948" s="979"/>
      <c r="V948" s="979"/>
      <c r="W948" s="979"/>
      <c r="X948" s="979"/>
      <c r="Y948" s="979"/>
      <c r="Z948" s="979"/>
      <c r="AA948" s="979"/>
      <c r="AB948" s="979"/>
      <c r="AC948" s="979"/>
      <c r="AD948" s="979"/>
      <c r="AE948" s="1109" t="str">
        <f t="shared" si="168"/>
        <v/>
      </c>
      <c r="AF948" s="1113"/>
      <c r="AG948" s="981"/>
      <c r="AH948" s="981"/>
      <c r="AI948" s="1114" t="str">
        <f t="shared" si="169"/>
        <v/>
      </c>
      <c r="AJ948" s="1110" t="str">
        <f t="shared" si="170"/>
        <v/>
      </c>
      <c r="AK948" s="982">
        <f>'09월 에너지'!S948</f>
        <v>0</v>
      </c>
      <c r="AL948" s="983">
        <f t="shared" si="171"/>
        <v>0</v>
      </c>
    </row>
    <row r="949" spans="1:38" ht="16.5" customHeight="1">
      <c r="A949" s="999" t="str">
        <f>'09월 에너지'!A949</f>
        <v/>
      </c>
      <c r="B949" s="1002" t="str">
        <f>'09월 조업일지'!B947</f>
        <v/>
      </c>
      <c r="C949" s="1003" t="str">
        <f>'09월 에너지'!C949</f>
        <v/>
      </c>
      <c r="D949" s="1004" t="str">
        <f>'09월 에너지'!D949</f>
        <v/>
      </c>
      <c r="E949" s="1000" t="str">
        <f>'09월 에너지'!E949</f>
        <v/>
      </c>
      <c r="F949" s="1094" t="str">
        <f>'09월 에너지'!F949</f>
        <v/>
      </c>
      <c r="G949" s="980"/>
      <c r="H949" s="978"/>
      <c r="I949" s="978"/>
      <c r="J949" s="978"/>
      <c r="K949" s="978"/>
      <c r="L949" s="978"/>
      <c r="M949" s="978"/>
      <c r="N949" s="978"/>
      <c r="O949" s="1106" t="str">
        <f t="shared" si="167"/>
        <v/>
      </c>
      <c r="P949" s="1108"/>
      <c r="Q949" s="979"/>
      <c r="R949" s="979"/>
      <c r="S949" s="979"/>
      <c r="T949" s="979"/>
      <c r="U949" s="979"/>
      <c r="V949" s="979"/>
      <c r="W949" s="979"/>
      <c r="X949" s="979"/>
      <c r="Y949" s="979"/>
      <c r="Z949" s="979"/>
      <c r="AA949" s="979"/>
      <c r="AB949" s="979"/>
      <c r="AC949" s="979"/>
      <c r="AD949" s="979"/>
      <c r="AE949" s="1109" t="str">
        <f t="shared" si="168"/>
        <v/>
      </c>
      <c r="AF949" s="1113"/>
      <c r="AG949" s="981"/>
      <c r="AH949" s="981"/>
      <c r="AI949" s="1114" t="str">
        <f t="shared" si="169"/>
        <v/>
      </c>
      <c r="AJ949" s="1110" t="str">
        <f t="shared" si="170"/>
        <v/>
      </c>
      <c r="AK949" s="982">
        <f>'09월 에너지'!S949</f>
        <v>0</v>
      </c>
      <c r="AL949" s="983">
        <f t="shared" si="171"/>
        <v>0</v>
      </c>
    </row>
    <row r="950" spans="1:38" ht="16.5" customHeight="1">
      <c r="A950" s="999" t="str">
        <f>'09월 에너지'!A950</f>
        <v/>
      </c>
      <c r="B950" s="1002" t="str">
        <f>'09월 조업일지'!B948</f>
        <v/>
      </c>
      <c r="C950" s="1003" t="str">
        <f>'09월 에너지'!C950</f>
        <v/>
      </c>
      <c r="D950" s="1004" t="str">
        <f>'09월 에너지'!D950</f>
        <v/>
      </c>
      <c r="E950" s="1000" t="str">
        <f>'09월 에너지'!E950</f>
        <v/>
      </c>
      <c r="F950" s="1094" t="str">
        <f>'09월 에너지'!F950</f>
        <v/>
      </c>
      <c r="G950" s="980"/>
      <c r="H950" s="978"/>
      <c r="I950" s="978"/>
      <c r="J950" s="978"/>
      <c r="K950" s="978"/>
      <c r="L950" s="978"/>
      <c r="M950" s="978"/>
      <c r="N950" s="978"/>
      <c r="O950" s="1106" t="str">
        <f t="shared" si="167"/>
        <v/>
      </c>
      <c r="P950" s="1108"/>
      <c r="Q950" s="979"/>
      <c r="R950" s="979"/>
      <c r="S950" s="979"/>
      <c r="T950" s="979"/>
      <c r="U950" s="979"/>
      <c r="V950" s="979"/>
      <c r="W950" s="979"/>
      <c r="X950" s="979"/>
      <c r="Y950" s="979"/>
      <c r="Z950" s="979"/>
      <c r="AA950" s="979"/>
      <c r="AB950" s="979"/>
      <c r="AC950" s="979"/>
      <c r="AD950" s="979"/>
      <c r="AE950" s="1109" t="str">
        <f t="shared" si="168"/>
        <v/>
      </c>
      <c r="AF950" s="1113"/>
      <c r="AG950" s="981"/>
      <c r="AH950" s="981"/>
      <c r="AI950" s="1114" t="str">
        <f t="shared" si="169"/>
        <v/>
      </c>
      <c r="AJ950" s="1110" t="str">
        <f t="shared" si="170"/>
        <v/>
      </c>
      <c r="AK950" s="982">
        <f>'09월 에너지'!S950</f>
        <v>0</v>
      </c>
      <c r="AL950" s="983">
        <f t="shared" si="171"/>
        <v>0</v>
      </c>
    </row>
    <row r="951" spans="1:38" ht="16.5" customHeight="1"/>
    <row r="952" spans="1:38" ht="16.5" customHeight="1"/>
  </sheetData>
  <mergeCells count="43">
    <mergeCell ref="B12:B13"/>
    <mergeCell ref="AE2:AE3"/>
    <mergeCell ref="D9:E9"/>
    <mergeCell ref="P2:T2"/>
    <mergeCell ref="Y2:AB2"/>
    <mergeCell ref="AC2:AD2"/>
    <mergeCell ref="D4:E4"/>
    <mergeCell ref="D5:E5"/>
    <mergeCell ref="D6:E6"/>
    <mergeCell ref="D7:E7"/>
    <mergeCell ref="D8:E8"/>
    <mergeCell ref="G12:H12"/>
    <mergeCell ref="I12:J12"/>
    <mergeCell ref="K12:L12"/>
    <mergeCell ref="O12:O13"/>
    <mergeCell ref="G2:H2"/>
    <mergeCell ref="AL2:AL3"/>
    <mergeCell ref="A12:A13"/>
    <mergeCell ref="C12:C13"/>
    <mergeCell ref="D12:D13"/>
    <mergeCell ref="E12:E13"/>
    <mergeCell ref="F12:F13"/>
    <mergeCell ref="F2:F3"/>
    <mergeCell ref="AL12:AL13"/>
    <mergeCell ref="AF12:AI12"/>
    <mergeCell ref="AJ12:AJ13"/>
    <mergeCell ref="AK12:AK13"/>
    <mergeCell ref="AF2:AI2"/>
    <mergeCell ref="AJ2:AJ3"/>
    <mergeCell ref="AK2:AK3"/>
    <mergeCell ref="D10:E10"/>
    <mergeCell ref="D2:E3"/>
    <mergeCell ref="I2:J2"/>
    <mergeCell ref="K2:L2"/>
    <mergeCell ref="O2:O3"/>
    <mergeCell ref="M12:N12"/>
    <mergeCell ref="M2:N2"/>
    <mergeCell ref="U2:X2"/>
    <mergeCell ref="P12:T12"/>
    <mergeCell ref="Y12:AB12"/>
    <mergeCell ref="AC12:AD12"/>
    <mergeCell ref="AE12:AE13"/>
    <mergeCell ref="U12:X12"/>
  </mergeCells>
  <phoneticPr fontId="5" type="noConversion"/>
  <conditionalFormatting sqref="AR14:AT16 AM14:AM16 I14:O16 I17:AE77 I81:AE81 I78:O80 I84:AE84 I82:O83 I88:AE108 I85:O87 I110:AE110 I109:O109 I112:AE128 I111:O111 I133:AE134 I129:O131 I132:AD132 I138:AE157 I135:O137 I161:AE161 I158:O160 I165:AE180 I162:O164 I182:AE189 I181:O181 I193:AE194 I190:O192 I195:O196 I197:AE266 I270:AE271 I267:O269 I275:AE285 I272:O274 I289:AE290 I286:O288 I296:AE321 I291:O295 I322:O324 AE322:AE327 I325:AD327 I328:AE346 I350:AE378 I382:AE432 I436:AE466 I469:AE485 I488:AE506 I510:AE538 I542:AE609 I539:P541 I613:AE613 I610:O612 I617:AE637 I641:AE644 I648:AE667 I671:AE673 I677:AE697 I702:P702 I703:AE728 I732:AE734 I738:AE773 I775:AE794 I798:AE799 I803:AE827 I833:AE950">
    <cfRule type="expression" dxfId="239" priority="2253">
      <formula>$A14&gt;$A13</formula>
    </cfRule>
  </conditionalFormatting>
  <conditionalFormatting sqref="AJ14:AK77 AJ81:AK81 AK78:AK80 AK82:AK83 AJ84:AK466 AK467:AK468 AJ469:AK538 AJ542:AK637 AK539:AK541 AJ641:AK697 AK638:AK640 AJ702:AK794 AK698:AK701 AJ798:AK799 AK795:AK797 AJ803:AK827 AK800:AK802 AJ831:AK950 AK828:AK830">
    <cfRule type="expression" dxfId="238" priority="1082">
      <formula>$A14&gt;$A13</formula>
    </cfRule>
  </conditionalFormatting>
  <conditionalFormatting sqref="BU14:BZ16 DA14:DF16 EG14:EL16 FM14:FR16 GS14:GX16 HY14:ID16 JE14:JJ16 KK14:KP16 AJ14:AL77 AJ81:AL81 AK78:AL80 AK82:AL83 AJ84:AL466 AK467:AL468 AJ469:AL538 AJ542:AL637 AK539:AL541 AJ641:AL697 AK638:AL640 AJ702:AL794 AK698:AL701 A14:F950 AJ798:AL799 AK795:AL797 AJ803:AL827 AK800:AL802 AJ831:AL950 AK828:AL830">
    <cfRule type="expression" dxfId="237" priority="911">
      <formula>$A14&gt;$A13</formula>
    </cfRule>
  </conditionalFormatting>
  <conditionalFormatting sqref="BT14:BT16 CZ14:CZ16 EF14:EF16 FL14:FL16 GR14:GR16 HX14:HX16 JD14:JD16 KJ14:KJ16">
    <cfRule type="expression" dxfId="236" priority="910">
      <formula>$A14&gt;$A13</formula>
    </cfRule>
  </conditionalFormatting>
  <conditionalFormatting sqref="BT14:BT16 CZ14:CZ16 EF14:EF16 FL14:FL16 GR14:GR16 HX14:HX16 JD14:JD16 KJ14:KJ16">
    <cfRule type="expression" dxfId="235" priority="909">
      <formula>$A14&gt;$A13</formula>
    </cfRule>
  </conditionalFormatting>
  <conditionalFormatting sqref="AU14:AV16 CA14:CB16 DG14:DH16 EM14:EN16 FS14:FT16 GY14:GZ16 IE14:IF16 JK14:JL16 KQ14:KR16">
    <cfRule type="expression" dxfId="234" priority="908">
      <formula>$A14&gt;$A13</formula>
    </cfRule>
  </conditionalFormatting>
  <conditionalFormatting sqref="AN14:AQ16 AW14:BS16 CC14:CY16 DI14:EE16 EO14:FK16 FU14:GQ16 HA14:HW16 IG14:JC16 JM14:KI16 KS14:KZ16">
    <cfRule type="expression" dxfId="233" priority="907">
      <formula>$A14&gt;$A13</formula>
    </cfRule>
  </conditionalFormatting>
  <conditionalFormatting sqref="G14:H950">
    <cfRule type="expression" dxfId="232" priority="802">
      <formula>$A14&gt;$A13</formula>
    </cfRule>
  </conditionalFormatting>
  <conditionalFormatting sqref="AF17:AH77 AF81:AH81 AF84:AH84 AF88:AH108 AF110:AH110 AF112:AH128 AF132:AH134 AF138:AH157 AF161:AH161 AF165:AH180 AF182:AH189 AF193:AH194 AF197:AH266 AF270:AH271 AF275:AH285 AF289:AH290 AF296:AH321 AF325:AH346 AF350:AH378 AF382:AH432 AF436:AH466 AF469:AH485 AF488:AH506 AF510:AH538 AF542:AH609 AF613:AH613 AF617:AH637 AF641:AH644 AF648:AH667 AF671:AH673 AF677:AH697 AF703:AH728 AF732:AH734 AF738:AH773 AF775:AH794 AF798:AH799 AF803:AH827 AF833:AH950">
    <cfRule type="expression" dxfId="231" priority="348">
      <formula>$A17&gt;$A16</formula>
    </cfRule>
  </conditionalFormatting>
  <conditionalFormatting sqref="AI15:AI77 AI81 AI84 AI88:AI108 AI110 AI112:AI128 AI132:AI134 AI138:AI157 AI161 AI165:AI180 AI182:AI189 AI193:AI194 AI197:AI266 AI270:AI271 AI275:AI285 AI289:AI290 AI296:AI321 AI325:AI346 AI350:AI432 AI436:AI466 AI469:AI485 AI488:AI506 AI510:AI538 AI542:AI609 AI613 AI617:AI637 AI641:AI644 AI648:AI667 AI671:AI673 AI677:AI697 AI703:AI728 AI732:AI734 AI738:AI794 AI798:AI799 AI803:AI827 AI833:AI950">
    <cfRule type="expression" dxfId="230" priority="350">
      <formula>$A15&gt;$A14</formula>
    </cfRule>
  </conditionalFormatting>
  <conditionalFormatting sqref="AI15:AI77 AI81 AI84 AI88:AI108 AI110 AI112:AI128 AI132:AI134 AI138:AI157 AI161 AI165:AI180 AI182:AI189 AI193:AI194 AI197:AI266 AI270:AI271 AI275:AI285 AI289:AI290 AI296:AI321 AI325:AI346 AI350:AI432 AI436:AI466 AI469:AI485 AI488:AI506 AI510:AI538 AI542:AI609 AI613 AI617:AI637 AI641:AI644 AI648:AI667 AI671:AI673 AI677:AI697 AI703:AI728 AI732:AI734 AI738:AI794 AI798:AI799 AI803:AI827 AI833:AI950">
    <cfRule type="expression" dxfId="229" priority="349">
      <formula>$A15&gt;$A14</formula>
    </cfRule>
  </conditionalFormatting>
  <conditionalFormatting sqref="P14:AE14">
    <cfRule type="expression" dxfId="228" priority="216">
      <formula>$A14&gt;$A13</formula>
    </cfRule>
  </conditionalFormatting>
  <conditionalFormatting sqref="AF14:AH14">
    <cfRule type="expression" dxfId="227" priority="213">
      <formula>$A14&gt;$A13</formula>
    </cfRule>
  </conditionalFormatting>
  <conditionalFormatting sqref="AI14">
    <cfRule type="expression" dxfId="226" priority="215">
      <formula>$A14&gt;$A13</formula>
    </cfRule>
  </conditionalFormatting>
  <conditionalFormatting sqref="AI14">
    <cfRule type="expression" dxfId="225" priority="214">
      <formula>$A14&gt;$A13</formula>
    </cfRule>
  </conditionalFormatting>
  <conditionalFormatting sqref="P15:AE15">
    <cfRule type="expression" dxfId="224" priority="212">
      <formula>$A15&gt;$A14</formula>
    </cfRule>
  </conditionalFormatting>
  <conditionalFormatting sqref="AF15:AH15">
    <cfRule type="expression" dxfId="223" priority="211">
      <formula>$A15&gt;$A14</formula>
    </cfRule>
  </conditionalFormatting>
  <conditionalFormatting sqref="P16:AE16">
    <cfRule type="expression" dxfId="222" priority="210">
      <formula>$A16&gt;$A15</formula>
    </cfRule>
  </conditionalFormatting>
  <conditionalFormatting sqref="AF16:AH16">
    <cfRule type="expression" dxfId="221" priority="209">
      <formula>$A16&gt;$A15</formula>
    </cfRule>
  </conditionalFormatting>
  <conditionalFormatting sqref="P78:AE80">
    <cfRule type="expression" dxfId="220" priority="208">
      <formula>$A78&gt;$A77</formula>
    </cfRule>
  </conditionalFormatting>
  <conditionalFormatting sqref="AJ78:AJ80">
    <cfRule type="expression" dxfId="219" priority="207">
      <formula>$A78&gt;$A77</formula>
    </cfRule>
  </conditionalFormatting>
  <conditionalFormatting sqref="AJ78:AJ80">
    <cfRule type="expression" dxfId="218" priority="206">
      <formula>$A78&gt;$A77</formula>
    </cfRule>
  </conditionalFormatting>
  <conditionalFormatting sqref="AF78:AH80">
    <cfRule type="expression" dxfId="217" priority="203">
      <formula>$A78&gt;$A77</formula>
    </cfRule>
  </conditionalFormatting>
  <conditionalFormatting sqref="AI78:AI80">
    <cfRule type="expression" dxfId="216" priority="205">
      <formula>$A78&gt;$A77</formula>
    </cfRule>
  </conditionalFormatting>
  <conditionalFormatting sqref="AI78:AI80">
    <cfRule type="expression" dxfId="215" priority="204">
      <formula>$A78&gt;$A77</formula>
    </cfRule>
  </conditionalFormatting>
  <conditionalFormatting sqref="P82:AE83">
    <cfRule type="expression" dxfId="214" priority="202">
      <formula>$A82&gt;$A81</formula>
    </cfRule>
  </conditionalFormatting>
  <conditionalFormatting sqref="AJ82:AJ83">
    <cfRule type="expression" dxfId="213" priority="201">
      <formula>$A82&gt;$A81</formula>
    </cfRule>
  </conditionalFormatting>
  <conditionalFormatting sqref="AJ82:AJ83">
    <cfRule type="expression" dxfId="212" priority="200">
      <formula>$A82&gt;$A81</formula>
    </cfRule>
  </conditionalFormatting>
  <conditionalFormatting sqref="AF82:AH83">
    <cfRule type="expression" dxfId="211" priority="197">
      <formula>$A82&gt;$A81</formula>
    </cfRule>
  </conditionalFormatting>
  <conditionalFormatting sqref="AI82:AI83">
    <cfRule type="expression" dxfId="210" priority="199">
      <formula>$A82&gt;$A81</formula>
    </cfRule>
  </conditionalFormatting>
  <conditionalFormatting sqref="AI82:AI83">
    <cfRule type="expression" dxfId="209" priority="198">
      <formula>$A82&gt;$A81</formula>
    </cfRule>
  </conditionalFormatting>
  <conditionalFormatting sqref="P85:AE87">
    <cfRule type="expression" dxfId="208" priority="196">
      <formula>$A85&gt;$A84</formula>
    </cfRule>
  </conditionalFormatting>
  <conditionalFormatting sqref="AF85:AH87">
    <cfRule type="expression" dxfId="207" priority="193">
      <formula>$A85&gt;$A84</formula>
    </cfRule>
  </conditionalFormatting>
  <conditionalFormatting sqref="AI85:AI87">
    <cfRule type="expression" dxfId="206" priority="195">
      <formula>$A85&gt;$A84</formula>
    </cfRule>
  </conditionalFormatting>
  <conditionalFormatting sqref="AI85:AI87">
    <cfRule type="expression" dxfId="205" priority="194">
      <formula>$A85&gt;$A84</formula>
    </cfRule>
  </conditionalFormatting>
  <conditionalFormatting sqref="P109:AE109">
    <cfRule type="expression" dxfId="204" priority="192">
      <formula>$A109&gt;$A108</formula>
    </cfRule>
  </conditionalFormatting>
  <conditionalFormatting sqref="AF109:AH109">
    <cfRule type="expression" dxfId="203" priority="189">
      <formula>$A109&gt;$A108</formula>
    </cfRule>
  </conditionalFormatting>
  <conditionalFormatting sqref="AI109">
    <cfRule type="expression" dxfId="202" priority="191">
      <formula>$A109&gt;$A108</formula>
    </cfRule>
  </conditionalFormatting>
  <conditionalFormatting sqref="AI109">
    <cfRule type="expression" dxfId="201" priority="190">
      <formula>$A109&gt;$A108</formula>
    </cfRule>
  </conditionalFormatting>
  <conditionalFormatting sqref="P111:AE111">
    <cfRule type="expression" dxfId="200" priority="188">
      <formula>$A111&gt;$A110</formula>
    </cfRule>
  </conditionalFormatting>
  <conditionalFormatting sqref="AF111:AH111">
    <cfRule type="expression" dxfId="199" priority="185">
      <formula>$A111&gt;$A110</formula>
    </cfRule>
  </conditionalFormatting>
  <conditionalFormatting sqref="AI111">
    <cfRule type="expression" dxfId="198" priority="187">
      <formula>$A111&gt;$A110</formula>
    </cfRule>
  </conditionalFormatting>
  <conditionalFormatting sqref="AI111">
    <cfRule type="expression" dxfId="197" priority="186">
      <formula>$A111&gt;$A110</formula>
    </cfRule>
  </conditionalFormatting>
  <conditionalFormatting sqref="P129:AE131 AE132">
    <cfRule type="expression" dxfId="196" priority="184">
      <formula>$A129&gt;$A128</formula>
    </cfRule>
  </conditionalFormatting>
  <conditionalFormatting sqref="AF129:AH131">
    <cfRule type="expression" dxfId="195" priority="181">
      <formula>$A129&gt;$A128</formula>
    </cfRule>
  </conditionalFormatting>
  <conditionalFormatting sqref="AI129:AI131">
    <cfRule type="expression" dxfId="194" priority="183">
      <formula>$A129&gt;$A128</formula>
    </cfRule>
  </conditionalFormatting>
  <conditionalFormatting sqref="AI129:AI131">
    <cfRule type="expression" dxfId="193" priority="182">
      <formula>$A129&gt;$A128</formula>
    </cfRule>
  </conditionalFormatting>
  <conditionalFormatting sqref="P135:AE137">
    <cfRule type="expression" dxfId="192" priority="180">
      <formula>$A135&gt;$A134</formula>
    </cfRule>
  </conditionalFormatting>
  <conditionalFormatting sqref="AF135:AH137">
    <cfRule type="expression" dxfId="191" priority="177">
      <formula>$A135&gt;$A134</formula>
    </cfRule>
  </conditionalFormatting>
  <conditionalFormatting sqref="AI135:AI137">
    <cfRule type="expression" dxfId="190" priority="179">
      <formula>$A135&gt;$A134</formula>
    </cfRule>
  </conditionalFormatting>
  <conditionalFormatting sqref="AI135:AI137">
    <cfRule type="expression" dxfId="189" priority="178">
      <formula>$A135&gt;$A134</formula>
    </cfRule>
  </conditionalFormatting>
  <conditionalFormatting sqref="P160:AE160">
    <cfRule type="expression" dxfId="188" priority="176">
      <formula>$A160&gt;$A159</formula>
    </cfRule>
  </conditionalFormatting>
  <conditionalFormatting sqref="AF160:AH160">
    <cfRule type="expression" dxfId="187" priority="173">
      <formula>$A160&gt;$A159</formula>
    </cfRule>
  </conditionalFormatting>
  <conditionalFormatting sqref="AI160">
    <cfRule type="expression" dxfId="186" priority="175">
      <formula>$A160&gt;$A159</formula>
    </cfRule>
  </conditionalFormatting>
  <conditionalFormatting sqref="AI160">
    <cfRule type="expression" dxfId="185" priority="174">
      <formula>$A160&gt;$A159</formula>
    </cfRule>
  </conditionalFormatting>
  <conditionalFormatting sqref="P158:AE159">
    <cfRule type="expression" dxfId="184" priority="172">
      <formula>$A158&gt;$A157</formula>
    </cfRule>
  </conditionalFormatting>
  <conditionalFormatting sqref="AF158:AH159">
    <cfRule type="expression" dxfId="183" priority="169">
      <formula>$A158&gt;$A157</formula>
    </cfRule>
  </conditionalFormatting>
  <conditionalFormatting sqref="AI158:AI159">
    <cfRule type="expression" dxfId="182" priority="171">
      <formula>$A158&gt;$A157</formula>
    </cfRule>
  </conditionalFormatting>
  <conditionalFormatting sqref="AI158:AI159">
    <cfRule type="expression" dxfId="181" priority="170">
      <formula>$A158&gt;$A157</formula>
    </cfRule>
  </conditionalFormatting>
  <conditionalFormatting sqref="AF379:AH381">
    <cfRule type="expression" dxfId="180" priority="115">
      <formula>$A379&gt;$A378</formula>
    </cfRule>
  </conditionalFormatting>
  <conditionalFormatting sqref="P162:AE164">
    <cfRule type="expression" dxfId="179" priority="168">
      <formula>$A162&gt;$A161</formula>
    </cfRule>
  </conditionalFormatting>
  <conditionalFormatting sqref="AF162:AH164">
    <cfRule type="expression" dxfId="178" priority="165">
      <formula>$A162&gt;$A161</formula>
    </cfRule>
  </conditionalFormatting>
  <conditionalFormatting sqref="AI162:AI164">
    <cfRule type="expression" dxfId="177" priority="167">
      <formula>$A162&gt;$A161</formula>
    </cfRule>
  </conditionalFormatting>
  <conditionalFormatting sqref="AI162:AI164">
    <cfRule type="expression" dxfId="176" priority="166">
      <formula>$A162&gt;$A161</formula>
    </cfRule>
  </conditionalFormatting>
  <conditionalFormatting sqref="P181:AE181">
    <cfRule type="expression" dxfId="175" priority="164">
      <formula>$A181&gt;$A180</formula>
    </cfRule>
  </conditionalFormatting>
  <conditionalFormatting sqref="AF181:AH181">
    <cfRule type="expression" dxfId="174" priority="161">
      <formula>$A181&gt;$A180</formula>
    </cfRule>
  </conditionalFormatting>
  <conditionalFormatting sqref="AI181">
    <cfRule type="expression" dxfId="173" priority="163">
      <formula>$A181&gt;$A180</formula>
    </cfRule>
  </conditionalFormatting>
  <conditionalFormatting sqref="AI181">
    <cfRule type="expression" dxfId="172" priority="162">
      <formula>$A181&gt;$A180</formula>
    </cfRule>
  </conditionalFormatting>
  <conditionalFormatting sqref="P190:AE192">
    <cfRule type="expression" dxfId="171" priority="160">
      <formula>$A190&gt;$A189</formula>
    </cfRule>
  </conditionalFormatting>
  <conditionalFormatting sqref="AF190:AH192">
    <cfRule type="expression" dxfId="170" priority="157">
      <formula>$A190&gt;$A189</formula>
    </cfRule>
  </conditionalFormatting>
  <conditionalFormatting sqref="AI190:AI192">
    <cfRule type="expression" dxfId="169" priority="159">
      <formula>$A190&gt;$A189</formula>
    </cfRule>
  </conditionalFormatting>
  <conditionalFormatting sqref="AI190:AI192">
    <cfRule type="expression" dxfId="168" priority="158">
      <formula>$A190&gt;$A189</formula>
    </cfRule>
  </conditionalFormatting>
  <conditionalFormatting sqref="P195:AE196">
    <cfRule type="expression" dxfId="167" priority="156">
      <formula>$A195&gt;$A194</formula>
    </cfRule>
  </conditionalFormatting>
  <conditionalFormatting sqref="AF195:AH196">
    <cfRule type="expression" dxfId="166" priority="153">
      <formula>$A195&gt;$A194</formula>
    </cfRule>
  </conditionalFormatting>
  <conditionalFormatting sqref="AI195:AI196">
    <cfRule type="expression" dxfId="165" priority="155">
      <formula>$A195&gt;$A194</formula>
    </cfRule>
  </conditionalFormatting>
  <conditionalFormatting sqref="AI195:AI196">
    <cfRule type="expression" dxfId="164" priority="154">
      <formula>$A195&gt;$A194</formula>
    </cfRule>
  </conditionalFormatting>
  <conditionalFormatting sqref="P267:AE269">
    <cfRule type="expression" dxfId="163" priority="152">
      <formula>$A267&gt;$A266</formula>
    </cfRule>
  </conditionalFormatting>
  <conditionalFormatting sqref="AF267:AH269">
    <cfRule type="expression" dxfId="162" priority="149">
      <formula>$A267&gt;$A266</formula>
    </cfRule>
  </conditionalFormatting>
  <conditionalFormatting sqref="AI267:AI269">
    <cfRule type="expression" dxfId="161" priority="151">
      <formula>$A267&gt;$A266</formula>
    </cfRule>
  </conditionalFormatting>
  <conditionalFormatting sqref="AI267:AI269">
    <cfRule type="expression" dxfId="160" priority="150">
      <formula>$A267&gt;$A266</formula>
    </cfRule>
  </conditionalFormatting>
  <conditionalFormatting sqref="P272:AE274">
    <cfRule type="expression" dxfId="159" priority="148">
      <formula>$A272&gt;$A271</formula>
    </cfRule>
  </conditionalFormatting>
  <conditionalFormatting sqref="AF272:AH274">
    <cfRule type="expression" dxfId="158" priority="145">
      <formula>$A272&gt;$A271</formula>
    </cfRule>
  </conditionalFormatting>
  <conditionalFormatting sqref="AI272:AI274">
    <cfRule type="expression" dxfId="157" priority="147">
      <formula>$A272&gt;$A271</formula>
    </cfRule>
  </conditionalFormatting>
  <conditionalFormatting sqref="AI272:AI274">
    <cfRule type="expression" dxfId="156" priority="146">
      <formula>$A272&gt;$A271</formula>
    </cfRule>
  </conditionalFormatting>
  <conditionalFormatting sqref="P286:AE286">
    <cfRule type="expression" dxfId="155" priority="144">
      <formula>$A286&gt;$A285</formula>
    </cfRule>
  </conditionalFormatting>
  <conditionalFormatting sqref="AF286:AH286">
    <cfRule type="expression" dxfId="154" priority="141">
      <formula>$A286&gt;$A285</formula>
    </cfRule>
  </conditionalFormatting>
  <conditionalFormatting sqref="AI286">
    <cfRule type="expression" dxfId="153" priority="143">
      <formula>$A286&gt;$A285</formula>
    </cfRule>
  </conditionalFormatting>
  <conditionalFormatting sqref="AI286">
    <cfRule type="expression" dxfId="152" priority="142">
      <formula>$A286&gt;$A285</formula>
    </cfRule>
  </conditionalFormatting>
  <conditionalFormatting sqref="P287:AE288">
    <cfRule type="expression" dxfId="151" priority="140">
      <formula>$A287&gt;$A286</formula>
    </cfRule>
  </conditionalFormatting>
  <conditionalFormatting sqref="AF287:AH288">
    <cfRule type="expression" dxfId="150" priority="137">
      <formula>$A287&gt;$A286</formula>
    </cfRule>
  </conditionalFormatting>
  <conditionalFormatting sqref="AI287:AI288">
    <cfRule type="expression" dxfId="149" priority="139">
      <formula>$A287&gt;$A286</formula>
    </cfRule>
  </conditionalFormatting>
  <conditionalFormatting sqref="AI287:AI288">
    <cfRule type="expression" dxfId="148" priority="138">
      <formula>$A287&gt;$A286</formula>
    </cfRule>
  </conditionalFormatting>
  <conditionalFormatting sqref="P291:AE293">
    <cfRule type="expression" dxfId="147" priority="136">
      <formula>$A291&gt;$A290</formula>
    </cfRule>
  </conditionalFormatting>
  <conditionalFormatting sqref="AF291:AH293">
    <cfRule type="expression" dxfId="146" priority="133">
      <formula>$A291&gt;$A290</formula>
    </cfRule>
  </conditionalFormatting>
  <conditionalFormatting sqref="AI291:AI293">
    <cfRule type="expression" dxfId="145" priority="135">
      <formula>$A291&gt;$A290</formula>
    </cfRule>
  </conditionalFormatting>
  <conditionalFormatting sqref="AI291:AI293">
    <cfRule type="expression" dxfId="144" priority="134">
      <formula>$A291&gt;$A290</formula>
    </cfRule>
  </conditionalFormatting>
  <conditionalFormatting sqref="P294:AE295">
    <cfRule type="expression" dxfId="143" priority="132">
      <formula>$A294&gt;$A293</formula>
    </cfRule>
  </conditionalFormatting>
  <conditionalFormatting sqref="AF294:AH295">
    <cfRule type="expression" dxfId="142" priority="129">
      <formula>$A294&gt;$A293</formula>
    </cfRule>
  </conditionalFormatting>
  <conditionalFormatting sqref="AI294:AI295">
    <cfRule type="expression" dxfId="141" priority="131">
      <formula>$A294&gt;$A293</formula>
    </cfRule>
  </conditionalFormatting>
  <conditionalFormatting sqref="AI294:AI295">
    <cfRule type="expression" dxfId="140" priority="130">
      <formula>$A294&gt;$A293</formula>
    </cfRule>
  </conditionalFormatting>
  <conditionalFormatting sqref="P322:AD324">
    <cfRule type="expression" dxfId="139" priority="128">
      <formula>$A322&gt;$A321</formula>
    </cfRule>
  </conditionalFormatting>
  <conditionalFormatting sqref="AF322:AH324">
    <cfRule type="expression" dxfId="138" priority="125">
      <formula>$A322&gt;$A321</formula>
    </cfRule>
  </conditionalFormatting>
  <conditionalFormatting sqref="AI322:AI324">
    <cfRule type="expression" dxfId="137" priority="127">
      <formula>$A322&gt;$A321</formula>
    </cfRule>
  </conditionalFormatting>
  <conditionalFormatting sqref="AI322:AI324">
    <cfRule type="expression" dxfId="136" priority="126">
      <formula>$A322&gt;$A321</formula>
    </cfRule>
  </conditionalFormatting>
  <conditionalFormatting sqref="I347:AE347 I348:O349 AE348:AE349">
    <cfRule type="expression" dxfId="135" priority="124">
      <formula>$A347&gt;$A346</formula>
    </cfRule>
  </conditionalFormatting>
  <conditionalFormatting sqref="AF347:AH347">
    <cfRule type="expression" dxfId="134" priority="121">
      <formula>$A347&gt;$A346</formula>
    </cfRule>
  </conditionalFormatting>
  <conditionalFormatting sqref="AI347">
    <cfRule type="expression" dxfId="133" priority="123">
      <formula>$A347&gt;$A346</formula>
    </cfRule>
  </conditionalFormatting>
  <conditionalFormatting sqref="AI347">
    <cfRule type="expression" dxfId="132" priority="122">
      <formula>$A347&gt;$A346</formula>
    </cfRule>
  </conditionalFormatting>
  <conditionalFormatting sqref="P348:AD349">
    <cfRule type="expression" dxfId="131" priority="120">
      <formula>$A348&gt;$A347</formula>
    </cfRule>
  </conditionalFormatting>
  <conditionalFormatting sqref="AF348:AH349">
    <cfRule type="expression" dxfId="130" priority="117">
      <formula>$A348&gt;$A347</formula>
    </cfRule>
  </conditionalFormatting>
  <conditionalFormatting sqref="AI348:AI349">
    <cfRule type="expression" dxfId="129" priority="119">
      <formula>$A348&gt;$A347</formula>
    </cfRule>
  </conditionalFormatting>
  <conditionalFormatting sqref="AI348:AI349">
    <cfRule type="expression" dxfId="128" priority="118">
      <formula>$A348&gt;$A347</formula>
    </cfRule>
  </conditionalFormatting>
  <conditionalFormatting sqref="I379:AE381">
    <cfRule type="expression" dxfId="127" priority="116">
      <formula>$A379&gt;$A378</formula>
    </cfRule>
  </conditionalFormatting>
  <conditionalFormatting sqref="I433:AE435">
    <cfRule type="expression" dxfId="126" priority="114">
      <formula>$A433&gt;$A432</formula>
    </cfRule>
  </conditionalFormatting>
  <conditionalFormatting sqref="AF433:AH435">
    <cfRule type="expression" dxfId="125" priority="111">
      <formula>$A433&gt;$A432</formula>
    </cfRule>
  </conditionalFormatting>
  <conditionalFormatting sqref="AI433:AI435">
    <cfRule type="expression" dxfId="124" priority="113">
      <formula>$A433&gt;$A432</formula>
    </cfRule>
  </conditionalFormatting>
  <conditionalFormatting sqref="AI433:AI435">
    <cfRule type="expression" dxfId="123" priority="112">
      <formula>$A433&gt;$A432</formula>
    </cfRule>
  </conditionalFormatting>
  <conditionalFormatting sqref="I467:AE467">
    <cfRule type="expression" dxfId="122" priority="110">
      <formula>$A467&gt;$A466</formula>
    </cfRule>
  </conditionalFormatting>
  <conditionalFormatting sqref="AJ467">
    <cfRule type="expression" dxfId="121" priority="109">
      <formula>$A467&gt;$A466</formula>
    </cfRule>
  </conditionalFormatting>
  <conditionalFormatting sqref="AJ467">
    <cfRule type="expression" dxfId="120" priority="108">
      <formula>$A467&gt;$A466</formula>
    </cfRule>
  </conditionalFormatting>
  <conditionalFormatting sqref="AF467:AH467">
    <cfRule type="expression" dxfId="119" priority="105">
      <formula>$A467&gt;$A466</formula>
    </cfRule>
  </conditionalFormatting>
  <conditionalFormatting sqref="AI467">
    <cfRule type="expression" dxfId="118" priority="107">
      <formula>$A467&gt;$A466</formula>
    </cfRule>
  </conditionalFormatting>
  <conditionalFormatting sqref="AI467">
    <cfRule type="expression" dxfId="117" priority="106">
      <formula>$A467&gt;$A466</formula>
    </cfRule>
  </conditionalFormatting>
  <conditionalFormatting sqref="I468:AE468">
    <cfRule type="expression" dxfId="116" priority="104">
      <formula>$A468&gt;$A467</formula>
    </cfRule>
  </conditionalFormatting>
  <conditionalFormatting sqref="AJ468">
    <cfRule type="expression" dxfId="115" priority="103">
      <formula>$A468&gt;$A467</formula>
    </cfRule>
  </conditionalFormatting>
  <conditionalFormatting sqref="AJ468">
    <cfRule type="expression" dxfId="114" priority="102">
      <formula>$A468&gt;$A467</formula>
    </cfRule>
  </conditionalFormatting>
  <conditionalFormatting sqref="AF468:AH468">
    <cfRule type="expression" dxfId="113" priority="99">
      <formula>$A468&gt;$A467</formula>
    </cfRule>
  </conditionalFormatting>
  <conditionalFormatting sqref="AI468">
    <cfRule type="expression" dxfId="112" priority="101">
      <formula>$A468&gt;$A467</formula>
    </cfRule>
  </conditionalFormatting>
  <conditionalFormatting sqref="AI468">
    <cfRule type="expression" dxfId="111" priority="100">
      <formula>$A468&gt;$A467</formula>
    </cfRule>
  </conditionalFormatting>
  <conditionalFormatting sqref="I486:AE487">
    <cfRule type="expression" dxfId="110" priority="98">
      <formula>$A486&gt;$A485</formula>
    </cfRule>
  </conditionalFormatting>
  <conditionalFormatting sqref="AF486:AH487">
    <cfRule type="expression" dxfId="109" priority="95">
      <formula>$A486&gt;$A485</formula>
    </cfRule>
  </conditionalFormatting>
  <conditionalFormatting sqref="AI486:AI487">
    <cfRule type="expression" dxfId="108" priority="97">
      <formula>$A486&gt;$A485</formula>
    </cfRule>
  </conditionalFormatting>
  <conditionalFormatting sqref="AI486:AI487">
    <cfRule type="expression" dxfId="107" priority="96">
      <formula>$A486&gt;$A485</formula>
    </cfRule>
  </conditionalFormatting>
  <conditionalFormatting sqref="I507:AE509">
    <cfRule type="expression" dxfId="106" priority="94">
      <formula>$A507&gt;$A506</formula>
    </cfRule>
  </conditionalFormatting>
  <conditionalFormatting sqref="AF507:AH509">
    <cfRule type="expression" dxfId="105" priority="91">
      <formula>$A507&gt;$A506</formula>
    </cfRule>
  </conditionalFormatting>
  <conditionalFormatting sqref="AI507:AI509">
    <cfRule type="expression" dxfId="104" priority="93">
      <formula>$A507&gt;$A506</formula>
    </cfRule>
  </conditionalFormatting>
  <conditionalFormatting sqref="AI507:AI509">
    <cfRule type="expression" dxfId="103" priority="92">
      <formula>$A507&gt;$A506</formula>
    </cfRule>
  </conditionalFormatting>
  <conditionalFormatting sqref="Q539:AE541">
    <cfRule type="expression" dxfId="102" priority="90">
      <formula>$A539&gt;$A538</formula>
    </cfRule>
  </conditionalFormatting>
  <conditionalFormatting sqref="AJ539:AJ541">
    <cfRule type="expression" dxfId="101" priority="89">
      <formula>$A539&gt;$A538</formula>
    </cfRule>
  </conditionalFormatting>
  <conditionalFormatting sqref="AJ539:AJ541">
    <cfRule type="expression" dxfId="100" priority="88">
      <formula>$A539&gt;$A538</formula>
    </cfRule>
  </conditionalFormatting>
  <conditionalFormatting sqref="AF539:AH541">
    <cfRule type="expression" dxfId="99" priority="85">
      <formula>$A539&gt;$A538</formula>
    </cfRule>
  </conditionalFormatting>
  <conditionalFormatting sqref="AI539:AI541">
    <cfRule type="expression" dxfId="98" priority="87">
      <formula>$A539&gt;$A538</formula>
    </cfRule>
  </conditionalFormatting>
  <conditionalFormatting sqref="AI539:AI541">
    <cfRule type="expression" dxfId="97" priority="86">
      <formula>$A539&gt;$A538</formula>
    </cfRule>
  </conditionalFormatting>
  <conditionalFormatting sqref="P610:AE612">
    <cfRule type="expression" dxfId="96" priority="84">
      <formula>$A610&gt;$A609</formula>
    </cfRule>
  </conditionalFormatting>
  <conditionalFormatting sqref="AF610:AH612">
    <cfRule type="expression" dxfId="95" priority="81">
      <formula>$A610&gt;$A609</formula>
    </cfRule>
  </conditionalFormatting>
  <conditionalFormatting sqref="AI610:AI612">
    <cfRule type="expression" dxfId="94" priority="83">
      <formula>$A610&gt;$A609</formula>
    </cfRule>
  </conditionalFormatting>
  <conditionalFormatting sqref="AI610:AI612">
    <cfRule type="expression" dxfId="93" priority="82">
      <formula>$A610&gt;$A609</formula>
    </cfRule>
  </conditionalFormatting>
  <conditionalFormatting sqref="I614:AE616">
    <cfRule type="expression" dxfId="92" priority="80">
      <formula>$A614&gt;$A613</formula>
    </cfRule>
  </conditionalFormatting>
  <conditionalFormatting sqref="AF614:AH616">
    <cfRule type="expression" dxfId="91" priority="77">
      <formula>$A614&gt;$A613</formula>
    </cfRule>
  </conditionalFormatting>
  <conditionalFormatting sqref="AI614:AI616">
    <cfRule type="expression" dxfId="90" priority="79">
      <formula>$A614&gt;$A613</formula>
    </cfRule>
  </conditionalFormatting>
  <conditionalFormatting sqref="AI614:AI616">
    <cfRule type="expression" dxfId="89" priority="78">
      <formula>$A614&gt;$A613</formula>
    </cfRule>
  </conditionalFormatting>
  <conditionalFormatting sqref="I638:AE640">
    <cfRule type="expression" dxfId="88" priority="76">
      <formula>$A638&gt;$A637</formula>
    </cfRule>
  </conditionalFormatting>
  <conditionalFormatting sqref="AJ638:AJ640">
    <cfRule type="expression" dxfId="87" priority="75">
      <formula>$A638&gt;$A637</formula>
    </cfRule>
  </conditionalFormatting>
  <conditionalFormatting sqref="AJ638:AJ640">
    <cfRule type="expression" dxfId="86" priority="74">
      <formula>$A638&gt;$A637</formula>
    </cfRule>
  </conditionalFormatting>
  <conditionalFormatting sqref="AF638:AH640">
    <cfRule type="expression" dxfId="85" priority="71">
      <formula>$A638&gt;$A637</formula>
    </cfRule>
  </conditionalFormatting>
  <conditionalFormatting sqref="AI638:AI640">
    <cfRule type="expression" dxfId="84" priority="73">
      <formula>$A638&gt;$A637</formula>
    </cfRule>
  </conditionalFormatting>
  <conditionalFormatting sqref="AI638:AI640">
    <cfRule type="expression" dxfId="83" priority="72">
      <formula>$A638&gt;$A637</formula>
    </cfRule>
  </conditionalFormatting>
  <conditionalFormatting sqref="I645:AE645">
    <cfRule type="expression" dxfId="82" priority="70">
      <formula>$A645&gt;$A644</formula>
    </cfRule>
  </conditionalFormatting>
  <conditionalFormatting sqref="AF645:AH645">
    <cfRule type="expression" dxfId="81" priority="67">
      <formula>$A645&gt;$A644</formula>
    </cfRule>
  </conditionalFormatting>
  <conditionalFormatting sqref="AI645">
    <cfRule type="expression" dxfId="80" priority="69">
      <formula>$A645&gt;$A644</formula>
    </cfRule>
  </conditionalFormatting>
  <conditionalFormatting sqref="AI645">
    <cfRule type="expression" dxfId="79" priority="68">
      <formula>$A645&gt;$A644</formula>
    </cfRule>
  </conditionalFormatting>
  <conditionalFormatting sqref="I646:AE647">
    <cfRule type="expression" dxfId="78" priority="66">
      <formula>$A646&gt;$A645</formula>
    </cfRule>
  </conditionalFormatting>
  <conditionalFormatting sqref="AF646:AH647">
    <cfRule type="expression" dxfId="77" priority="63">
      <formula>$A646&gt;$A645</formula>
    </cfRule>
  </conditionalFormatting>
  <conditionalFormatting sqref="AI646:AI647">
    <cfRule type="expression" dxfId="76" priority="65">
      <formula>$A646&gt;$A645</formula>
    </cfRule>
  </conditionalFormatting>
  <conditionalFormatting sqref="AI646:AI647">
    <cfRule type="expression" dxfId="75" priority="64">
      <formula>$A646&gt;$A645</formula>
    </cfRule>
  </conditionalFormatting>
  <conditionalFormatting sqref="I668:AE668">
    <cfRule type="expression" dxfId="74" priority="62">
      <formula>$A668&gt;$A667</formula>
    </cfRule>
  </conditionalFormatting>
  <conditionalFormatting sqref="AF668:AH668">
    <cfRule type="expression" dxfId="73" priority="59">
      <formula>$A668&gt;$A667</formula>
    </cfRule>
  </conditionalFormatting>
  <conditionalFormatting sqref="AI668">
    <cfRule type="expression" dxfId="72" priority="61">
      <formula>$A668&gt;$A667</formula>
    </cfRule>
  </conditionalFormatting>
  <conditionalFormatting sqref="AI668">
    <cfRule type="expression" dxfId="71" priority="60">
      <formula>$A668&gt;$A667</formula>
    </cfRule>
  </conditionalFormatting>
  <conditionalFormatting sqref="I669:AE669">
    <cfRule type="expression" dxfId="70" priority="58">
      <formula>$A669&gt;$A668</formula>
    </cfRule>
  </conditionalFormatting>
  <conditionalFormatting sqref="AF669:AH669">
    <cfRule type="expression" dxfId="69" priority="55">
      <formula>$A669&gt;$A668</formula>
    </cfRule>
  </conditionalFormatting>
  <conditionalFormatting sqref="AI669">
    <cfRule type="expression" dxfId="68" priority="57">
      <formula>$A669&gt;$A668</formula>
    </cfRule>
  </conditionalFormatting>
  <conditionalFormatting sqref="AI669">
    <cfRule type="expression" dxfId="67" priority="56">
      <formula>$A669&gt;$A668</formula>
    </cfRule>
  </conditionalFormatting>
  <conditionalFormatting sqref="I670:AE670">
    <cfRule type="expression" dxfId="66" priority="54">
      <formula>$A670&gt;$A669</formula>
    </cfRule>
  </conditionalFormatting>
  <conditionalFormatting sqref="AF670:AH670">
    <cfRule type="expression" dxfId="65" priority="51">
      <formula>$A670&gt;$A669</formula>
    </cfRule>
  </conditionalFormatting>
  <conditionalFormatting sqref="AI670">
    <cfRule type="expression" dxfId="64" priority="53">
      <formula>$A670&gt;$A669</formula>
    </cfRule>
  </conditionalFormatting>
  <conditionalFormatting sqref="AI670">
    <cfRule type="expression" dxfId="63" priority="52">
      <formula>$A670&gt;$A669</formula>
    </cfRule>
  </conditionalFormatting>
  <conditionalFormatting sqref="I674:AE676">
    <cfRule type="expression" dxfId="62" priority="50">
      <formula>$A674&gt;$A673</formula>
    </cfRule>
  </conditionalFormatting>
  <conditionalFormatting sqref="AF674:AH676">
    <cfRule type="expression" dxfId="61" priority="47">
      <formula>$A674&gt;$A673</formula>
    </cfRule>
  </conditionalFormatting>
  <conditionalFormatting sqref="AI674:AI676">
    <cfRule type="expression" dxfId="60" priority="49">
      <formula>$A674&gt;$A673</formula>
    </cfRule>
  </conditionalFormatting>
  <conditionalFormatting sqref="AI674:AI676">
    <cfRule type="expression" dxfId="59" priority="48">
      <formula>$A674&gt;$A673</formula>
    </cfRule>
  </conditionalFormatting>
  <conditionalFormatting sqref="I698:AE701">
    <cfRule type="expression" dxfId="58" priority="46">
      <formula>$A698&gt;$A697</formula>
    </cfRule>
  </conditionalFormatting>
  <conditionalFormatting sqref="AJ698:AJ701">
    <cfRule type="expression" dxfId="57" priority="45">
      <formula>$A698&gt;$A697</formula>
    </cfRule>
  </conditionalFormatting>
  <conditionalFormatting sqref="AJ698:AJ701">
    <cfRule type="expression" dxfId="56" priority="44">
      <formula>$A698&gt;$A697</formula>
    </cfRule>
  </conditionalFormatting>
  <conditionalFormatting sqref="AF698:AH701">
    <cfRule type="expression" dxfId="55" priority="41">
      <formula>$A698&gt;$A697</formula>
    </cfRule>
  </conditionalFormatting>
  <conditionalFormatting sqref="AI698:AI701">
    <cfRule type="expression" dxfId="54" priority="43">
      <formula>$A698&gt;$A697</formula>
    </cfRule>
  </conditionalFormatting>
  <conditionalFormatting sqref="AI698:AI701">
    <cfRule type="expression" dxfId="53" priority="42">
      <formula>$A698&gt;$A697</formula>
    </cfRule>
  </conditionalFormatting>
  <conditionalFormatting sqref="Q702:AE702">
    <cfRule type="expression" dxfId="52" priority="40">
      <formula>$A702&gt;$A701</formula>
    </cfRule>
  </conditionalFormatting>
  <conditionalFormatting sqref="AF702:AH702">
    <cfRule type="expression" dxfId="51" priority="37">
      <formula>$A702&gt;$A701</formula>
    </cfRule>
  </conditionalFormatting>
  <conditionalFormatting sqref="AI702">
    <cfRule type="expression" dxfId="50" priority="39">
      <formula>$A702&gt;$A701</formula>
    </cfRule>
  </conditionalFormatting>
  <conditionalFormatting sqref="AI702">
    <cfRule type="expression" dxfId="49" priority="38">
      <formula>$A702&gt;$A701</formula>
    </cfRule>
  </conditionalFormatting>
  <conditionalFormatting sqref="I729:AE731">
    <cfRule type="expression" dxfId="48" priority="36">
      <formula>$A729&gt;$A728</formula>
    </cfRule>
  </conditionalFormatting>
  <conditionalFormatting sqref="AF729:AH731">
    <cfRule type="expression" dxfId="47" priority="33">
      <formula>$A729&gt;$A728</formula>
    </cfRule>
  </conditionalFormatting>
  <conditionalFormatting sqref="AI729:AI731">
    <cfRule type="expression" dxfId="46" priority="35">
      <formula>$A729&gt;$A728</formula>
    </cfRule>
  </conditionalFormatting>
  <conditionalFormatting sqref="AI729:AI731">
    <cfRule type="expression" dxfId="45" priority="34">
      <formula>$A729&gt;$A728</formula>
    </cfRule>
  </conditionalFormatting>
  <conditionalFormatting sqref="I735:AE737">
    <cfRule type="expression" dxfId="44" priority="32">
      <formula>$A735&gt;$A734</formula>
    </cfRule>
  </conditionalFormatting>
  <conditionalFormatting sqref="AF735:AH737">
    <cfRule type="expression" dxfId="43" priority="29">
      <formula>$A735&gt;$A734</formula>
    </cfRule>
  </conditionalFormatting>
  <conditionalFormatting sqref="AI735:AI737">
    <cfRule type="expression" dxfId="42" priority="31">
      <formula>$A735&gt;$A734</formula>
    </cfRule>
  </conditionalFormatting>
  <conditionalFormatting sqref="AI735:AI737">
    <cfRule type="expression" dxfId="41" priority="30">
      <formula>$A735&gt;$A734</formula>
    </cfRule>
  </conditionalFormatting>
  <conditionalFormatting sqref="I774:AE774">
    <cfRule type="expression" dxfId="40" priority="28">
      <formula>$A774&gt;$A773</formula>
    </cfRule>
  </conditionalFormatting>
  <conditionalFormatting sqref="AF774:AH774">
    <cfRule type="expression" dxfId="39" priority="27">
      <formula>$A774&gt;$A773</formula>
    </cfRule>
  </conditionalFormatting>
  <conditionalFormatting sqref="I795:AE797">
    <cfRule type="expression" dxfId="38" priority="26">
      <formula>$A795&gt;$A794</formula>
    </cfRule>
  </conditionalFormatting>
  <conditionalFormatting sqref="AJ795:AJ797">
    <cfRule type="expression" dxfId="37" priority="25">
      <formula>$A795&gt;$A794</formula>
    </cfRule>
  </conditionalFormatting>
  <conditionalFormatting sqref="AJ795:AJ797">
    <cfRule type="expression" dxfId="36" priority="24">
      <formula>$A795&gt;$A794</formula>
    </cfRule>
  </conditionalFormatting>
  <conditionalFormatting sqref="AF795:AH797">
    <cfRule type="expression" dxfId="35" priority="21">
      <formula>$A795&gt;$A794</formula>
    </cfRule>
  </conditionalFormatting>
  <conditionalFormatting sqref="AI795:AI797">
    <cfRule type="expression" dxfId="34" priority="23">
      <formula>$A795&gt;$A794</formula>
    </cfRule>
  </conditionalFormatting>
  <conditionalFormatting sqref="AI795:AI797">
    <cfRule type="expression" dxfId="33" priority="22">
      <formula>$A795&gt;$A794</formula>
    </cfRule>
  </conditionalFormatting>
  <conditionalFormatting sqref="I800:AE802">
    <cfRule type="expression" dxfId="32" priority="20">
      <formula>$A800&gt;$A799</formula>
    </cfRule>
  </conditionalFormatting>
  <conditionalFormatting sqref="AJ800:AJ802">
    <cfRule type="expression" dxfId="31" priority="19">
      <formula>$A800&gt;$A799</formula>
    </cfRule>
  </conditionalFormatting>
  <conditionalFormatting sqref="AJ800:AJ802">
    <cfRule type="expression" dxfId="30" priority="18">
      <formula>$A800&gt;$A799</formula>
    </cfRule>
  </conditionalFormatting>
  <conditionalFormatting sqref="AF800:AH802">
    <cfRule type="expression" dxfId="29" priority="15">
      <formula>$A800&gt;$A799</formula>
    </cfRule>
  </conditionalFormatting>
  <conditionalFormatting sqref="AI800:AI802">
    <cfRule type="expression" dxfId="28" priority="17">
      <formula>$A800&gt;$A799</formula>
    </cfRule>
  </conditionalFormatting>
  <conditionalFormatting sqref="AI800:AI802">
    <cfRule type="expression" dxfId="27" priority="16">
      <formula>$A800&gt;$A799</formula>
    </cfRule>
  </conditionalFormatting>
  <conditionalFormatting sqref="I828:P828 I829:AE830">
    <cfRule type="expression" dxfId="26" priority="14">
      <formula>$A828&gt;$A827</formula>
    </cfRule>
  </conditionalFormatting>
  <conditionalFormatting sqref="AJ828:AJ830">
    <cfRule type="expression" dxfId="25" priority="13">
      <formula>$A828&gt;$A827</formula>
    </cfRule>
  </conditionalFormatting>
  <conditionalFormatting sqref="AJ828:AJ830">
    <cfRule type="expression" dxfId="24" priority="12">
      <formula>$A828&gt;$A827</formula>
    </cfRule>
  </conditionalFormatting>
  <conditionalFormatting sqref="AF829:AH830">
    <cfRule type="expression" dxfId="23" priority="9">
      <formula>$A829&gt;$A828</formula>
    </cfRule>
  </conditionalFormatting>
  <conditionalFormatting sqref="AI829:AI830">
    <cfRule type="expression" dxfId="22" priority="11">
      <formula>$A829&gt;$A828</formula>
    </cfRule>
  </conditionalFormatting>
  <conditionalFormatting sqref="AI829:AI830">
    <cfRule type="expression" dxfId="21" priority="10">
      <formula>$A829&gt;$A828</formula>
    </cfRule>
  </conditionalFormatting>
  <conditionalFormatting sqref="Q828:AE828">
    <cfRule type="expression" dxfId="20" priority="8">
      <formula>$A828&gt;$A827</formula>
    </cfRule>
  </conditionalFormatting>
  <conditionalFormatting sqref="AF828:AH828">
    <cfRule type="expression" dxfId="19" priority="5">
      <formula>$A828&gt;$A827</formula>
    </cfRule>
  </conditionalFormatting>
  <conditionalFormatting sqref="AI828">
    <cfRule type="expression" dxfId="18" priority="7">
      <formula>$A828&gt;$A827</formula>
    </cfRule>
  </conditionalFormatting>
  <conditionalFormatting sqref="AI828">
    <cfRule type="expression" dxfId="17" priority="6">
      <formula>$A828&gt;$A827</formula>
    </cfRule>
  </conditionalFormatting>
  <conditionalFormatting sqref="I831:AE832">
    <cfRule type="expression" dxfId="16" priority="4">
      <formula>$A831&gt;$A830</formula>
    </cfRule>
  </conditionalFormatting>
  <conditionalFormatting sqref="AF831:AH832">
    <cfRule type="expression" dxfId="15" priority="1">
      <formula>$A831&gt;$A830</formula>
    </cfRule>
  </conditionalFormatting>
  <conditionalFormatting sqref="AI831:AI832">
    <cfRule type="expression" dxfId="14" priority="3">
      <formula>$A831&gt;$A830</formula>
    </cfRule>
  </conditionalFormatting>
  <conditionalFormatting sqref="AI831:AI832">
    <cfRule type="expression" dxfId="13" priority="2">
      <formula>$A831&gt;$A830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R951"/>
  <sheetViews>
    <sheetView zoomScale="110" zoomScaleNormal="110" workbookViewId="0">
      <pane xSplit="6" ySplit="11" topLeftCell="G812" activePane="bottomRight" state="frozen"/>
      <selection activeCell="L22" sqref="L22"/>
      <selection pane="topRight" activeCell="L22" sqref="L22"/>
      <selection pane="bottomLeft" activeCell="L22" sqref="L22"/>
      <selection pane="bottomRight" activeCell="N829" sqref="N829"/>
    </sheetView>
  </sheetViews>
  <sheetFormatPr defaultColWidth="6.3984375" defaultRowHeight="20.25" customHeight="1"/>
  <cols>
    <col min="1" max="1" width="7.59765625" style="551" customWidth="1"/>
    <col min="2" max="2" width="7.59765625" style="551" hidden="1" customWidth="1"/>
    <col min="3" max="3" width="5.3984375" style="664" customWidth="1"/>
    <col min="4" max="5" width="2.69921875" style="664" customWidth="1"/>
    <col min="6" max="6" width="15.296875" style="664" bestFit="1" customWidth="1"/>
    <col min="7" max="13" width="4.296875" style="664" customWidth="1"/>
    <col min="14" max="14" width="6" style="664" customWidth="1"/>
    <col min="15" max="15" width="6" style="664" hidden="1" customWidth="1"/>
    <col min="16" max="17" width="6" style="664" customWidth="1"/>
    <col min="18" max="19" width="6" style="664" hidden="1" customWidth="1"/>
    <col min="20" max="20" width="6" style="664" customWidth="1"/>
    <col min="21" max="21" width="6" style="664" hidden="1" customWidth="1"/>
    <col min="22" max="22" width="6" style="664" customWidth="1"/>
    <col min="23" max="23" width="6" style="664" hidden="1" customWidth="1"/>
    <col min="24" max="26" width="6" style="664" customWidth="1"/>
    <col min="27" max="27" width="6.09765625" style="664" hidden="1" customWidth="1"/>
    <col min="28" max="28" width="6" style="664" customWidth="1"/>
    <col min="29" max="29" width="6" style="664" hidden="1" customWidth="1"/>
    <col min="30" max="39" width="6" style="664" customWidth="1"/>
    <col min="40" max="41" width="6.8984375" style="664" customWidth="1"/>
    <col min="42" max="49" width="6.3984375" style="664" customWidth="1"/>
    <col min="50" max="50" width="1.8984375" style="664" customWidth="1"/>
    <col min="51" max="51" width="6" style="664" customWidth="1"/>
    <col min="52" max="16384" width="6.3984375" style="664"/>
  </cols>
  <sheetData>
    <row r="1" spans="1:42" ht="30.75" customHeight="1" thickBot="1">
      <c r="A1" s="660" t="str">
        <f>LEFT('09월 조업일지'!A1,10)&amp;" 화학 성분 및 부재료 사용현황"</f>
        <v xml:space="preserve"> 2026년 09  화학 성분 및 부재료 사용현황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1"/>
      <c r="O1" s="661"/>
      <c r="P1" s="661"/>
      <c r="Q1" s="662"/>
      <c r="R1" s="662"/>
      <c r="S1" s="662"/>
      <c r="T1" s="662"/>
      <c r="U1" s="662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3"/>
      <c r="AI1" s="663"/>
      <c r="AJ1" s="663"/>
      <c r="AK1" s="663"/>
      <c r="AL1" s="663"/>
      <c r="AM1" s="663"/>
      <c r="AN1" s="663"/>
      <c r="AO1" s="663"/>
      <c r="AP1" s="663"/>
    </row>
    <row r="2" spans="1:42" s="679" customFormat="1" ht="15" customHeight="1" thickTop="1" thickBot="1">
      <c r="A2" s="665"/>
      <c r="B2" s="665"/>
      <c r="C2" s="1621" t="s">
        <v>33</v>
      </c>
      <c r="D2" s="1622"/>
      <c r="E2" s="1622"/>
      <c r="F2" s="1622"/>
      <c r="G2" s="666">
        <f t="shared" ref="G2:T2" si="0">AVERAGE(G12:G949)</f>
        <v>10.373626373626374</v>
      </c>
      <c r="H2" s="667">
        <f t="shared" si="0"/>
        <v>20.347985347985347</v>
      </c>
      <c r="I2" s="667">
        <f t="shared" si="0"/>
        <v>75.726495726495727</v>
      </c>
      <c r="J2" s="667">
        <f t="shared" si="0"/>
        <v>15.410256410256411</v>
      </c>
      <c r="K2" s="667">
        <f t="shared" si="0"/>
        <v>33.098901098901102</v>
      </c>
      <c r="L2" s="667">
        <f t="shared" si="0"/>
        <v>12.929181929181929</v>
      </c>
      <c r="M2" s="668">
        <f t="shared" si="0"/>
        <v>10.229548229548229</v>
      </c>
      <c r="N2" s="669">
        <f t="shared" si="0"/>
        <v>421.03296703296701</v>
      </c>
      <c r="O2" s="670" t="e">
        <f t="shared" si="0"/>
        <v>#DIV/0!</v>
      </c>
      <c r="P2" s="670">
        <f t="shared" si="0"/>
        <v>1035.915750915751</v>
      </c>
      <c r="Q2" s="670">
        <f t="shared" si="0"/>
        <v>957.69230769230774</v>
      </c>
      <c r="R2" s="670" t="e">
        <f t="shared" si="0"/>
        <v>#DIV/0!</v>
      </c>
      <c r="S2" s="671"/>
      <c r="T2" s="670">
        <f t="shared" si="0"/>
        <v>45.400862068965516</v>
      </c>
      <c r="U2" s="671">
        <f t="shared" ref="U2:AP2" si="1">AVERAGE(U12:U949)</f>
        <v>0</v>
      </c>
      <c r="V2" s="669">
        <f t="shared" si="1"/>
        <v>430.31081081081084</v>
      </c>
      <c r="W2" s="672" t="e">
        <f t="shared" si="1"/>
        <v>#DIV/0!</v>
      </c>
      <c r="X2" s="672">
        <f t="shared" si="1"/>
        <v>1015.0674846625767</v>
      </c>
      <c r="Y2" s="673">
        <f t="shared" si="1"/>
        <v>897.34355828220862</v>
      </c>
      <c r="Z2" s="670">
        <f t="shared" si="1"/>
        <v>42.820568927789935</v>
      </c>
      <c r="AA2" s="670" t="e">
        <f t="shared" si="1"/>
        <v>#DIV/0!</v>
      </c>
      <c r="AB2" s="670">
        <f t="shared" si="1"/>
        <v>30.756363636363638</v>
      </c>
      <c r="AC2" s="670" t="e">
        <f t="shared" si="1"/>
        <v>#DIV/0!</v>
      </c>
      <c r="AD2" s="670">
        <f t="shared" si="1"/>
        <v>272.26625766871166</v>
      </c>
      <c r="AE2" s="670">
        <f t="shared" si="1"/>
        <v>327.61349693251532</v>
      </c>
      <c r="AF2" s="674">
        <f t="shared" si="1"/>
        <v>47.602985074626865</v>
      </c>
      <c r="AG2" s="674">
        <f t="shared" si="1"/>
        <v>95.0354505169867</v>
      </c>
      <c r="AH2" s="674">
        <f t="shared" si="1"/>
        <v>1299.6910866910866</v>
      </c>
      <c r="AI2" s="674">
        <f t="shared" si="1"/>
        <v>266.88193456614511</v>
      </c>
      <c r="AJ2" s="674">
        <f t="shared" si="1"/>
        <v>80.106038291605302</v>
      </c>
      <c r="AK2" s="674">
        <f t="shared" si="1"/>
        <v>84.050632911392398</v>
      </c>
      <c r="AL2" s="670">
        <f t="shared" si="1"/>
        <v>124.71690694626474</v>
      </c>
      <c r="AM2" s="675">
        <f t="shared" si="1"/>
        <v>2005.8253968253969</v>
      </c>
      <c r="AN2" s="676">
        <f t="shared" si="1"/>
        <v>0.76307186408823746</v>
      </c>
      <c r="AO2" s="677">
        <f t="shared" si="1"/>
        <v>0.9631945448104694</v>
      </c>
      <c r="AP2" s="678">
        <f t="shared" si="1"/>
        <v>125.47765208110994</v>
      </c>
    </row>
    <row r="3" spans="1:42" s="679" customFormat="1" ht="15" customHeight="1" thickTop="1">
      <c r="A3" s="665"/>
      <c r="B3" s="665"/>
      <c r="C3" s="1623" t="s">
        <v>34</v>
      </c>
      <c r="D3" s="1624"/>
      <c r="E3" s="1625"/>
      <c r="F3" s="680">
        <f>COUNTIF(D$12:D$949,"A")</f>
        <v>207</v>
      </c>
      <c r="G3" s="681">
        <f t="shared" ref="G3:AP3" si="2">IF(COUNTIF($D$12:$D$949,"A")=0,"",SUMIF($D$12:$D$949,"A",G$12:G$949)/COUNTIF($D$12:$D$949,"A"))</f>
        <v>11.164251207729469</v>
      </c>
      <c r="H3" s="681">
        <f t="shared" si="2"/>
        <v>21.492753623188406</v>
      </c>
      <c r="I3" s="681">
        <f t="shared" si="2"/>
        <v>77.415458937198068</v>
      </c>
      <c r="J3" s="681">
        <f t="shared" si="2"/>
        <v>16.231884057971016</v>
      </c>
      <c r="K3" s="681">
        <f t="shared" si="2"/>
        <v>32.961352657004831</v>
      </c>
      <c r="L3" s="681">
        <f t="shared" si="2"/>
        <v>13.246376811594203</v>
      </c>
      <c r="M3" s="682">
        <f t="shared" si="2"/>
        <v>10.565217391304348</v>
      </c>
      <c r="N3" s="683">
        <f t="shared" si="2"/>
        <v>425.9806763285024</v>
      </c>
      <c r="O3" s="683">
        <f t="shared" si="2"/>
        <v>0</v>
      </c>
      <c r="P3" s="683">
        <f t="shared" si="2"/>
        <v>1016.7729468599034</v>
      </c>
      <c r="Q3" s="683">
        <f t="shared" si="2"/>
        <v>958.55555555555554</v>
      </c>
      <c r="R3" s="684">
        <f t="shared" si="2"/>
        <v>0</v>
      </c>
      <c r="S3" s="683">
        <f t="shared" si="2"/>
        <v>0</v>
      </c>
      <c r="T3" s="683"/>
      <c r="U3" s="683">
        <f t="shared" si="2"/>
        <v>0</v>
      </c>
      <c r="V3" s="683">
        <f t="shared" si="2"/>
        <v>437.26570048309179</v>
      </c>
      <c r="W3" s="683">
        <f t="shared" si="2"/>
        <v>0</v>
      </c>
      <c r="X3" s="683">
        <f t="shared" si="2"/>
        <v>1048.3816425120774</v>
      </c>
      <c r="Y3" s="684">
        <f t="shared" si="2"/>
        <v>894.45410628019329</v>
      </c>
      <c r="Z3" s="683">
        <f t="shared" si="2"/>
        <v>28.362318840579711</v>
      </c>
      <c r="AA3" s="683">
        <f t="shared" si="2"/>
        <v>0</v>
      </c>
      <c r="AB3" s="683">
        <f t="shared" si="2"/>
        <v>11.753623188405797</v>
      </c>
      <c r="AC3" s="683">
        <f t="shared" si="2"/>
        <v>0</v>
      </c>
      <c r="AD3" s="683">
        <f t="shared" si="2"/>
        <v>271.35265700483092</v>
      </c>
      <c r="AE3" s="683">
        <f t="shared" si="2"/>
        <v>324.81642512077292</v>
      </c>
      <c r="AF3" s="683">
        <f t="shared" si="2"/>
        <v>18.608695652173914</v>
      </c>
      <c r="AG3" s="683">
        <f t="shared" si="2"/>
        <v>80.178743961352652</v>
      </c>
      <c r="AH3" s="683">
        <f t="shared" si="2"/>
        <v>1303.2415458937198</v>
      </c>
      <c r="AI3" s="683">
        <f t="shared" si="2"/>
        <v>228.32850241545893</v>
      </c>
      <c r="AJ3" s="683">
        <f t="shared" si="2"/>
        <v>67.94202898550725</v>
      </c>
      <c r="AK3" s="683">
        <f t="shared" si="2"/>
        <v>33.309178743961354</v>
      </c>
      <c r="AL3" s="683">
        <f t="shared" si="2"/>
        <v>113.27536231884058</v>
      </c>
      <c r="AM3" s="684">
        <f t="shared" si="2"/>
        <v>2178.3574879227053</v>
      </c>
      <c r="AN3" s="685">
        <f t="shared" si="2"/>
        <v>0.80616148967345258</v>
      </c>
      <c r="AO3" s="685">
        <f t="shared" si="2"/>
        <v>0.98974147328004425</v>
      </c>
      <c r="AP3" s="686">
        <f t="shared" si="2"/>
        <v>144.23333333333332</v>
      </c>
    </row>
    <row r="4" spans="1:42" s="679" customFormat="1" ht="15" customHeight="1">
      <c r="A4" s="665"/>
      <c r="B4" s="665"/>
      <c r="C4" s="1626" t="s">
        <v>35</v>
      </c>
      <c r="D4" s="1627"/>
      <c r="E4" s="1628"/>
      <c r="F4" s="687">
        <f>COUNTIF(D$12:D$949,"B")</f>
        <v>205</v>
      </c>
      <c r="G4" s="688">
        <f t="shared" ref="G4:AP4" si="3">IF(COUNTIF($D$12:$D$949,"B")=0,"",SUMIF($D$12:$D$949,"B",G$12:G$949)/COUNTIF($D$12:$D$949,"B"))</f>
        <v>10.043902439024389</v>
      </c>
      <c r="H4" s="688">
        <f t="shared" si="3"/>
        <v>20.175609756097561</v>
      </c>
      <c r="I4" s="688">
        <f t="shared" si="3"/>
        <v>79.502439024390242</v>
      </c>
      <c r="J4" s="688">
        <f t="shared" si="3"/>
        <v>15.609756097560975</v>
      </c>
      <c r="K4" s="688">
        <f t="shared" si="3"/>
        <v>34.443902439024392</v>
      </c>
      <c r="L4" s="688">
        <f t="shared" si="3"/>
        <v>13.248780487804877</v>
      </c>
      <c r="M4" s="689">
        <f t="shared" si="3"/>
        <v>10.009756097560976</v>
      </c>
      <c r="N4" s="690">
        <f t="shared" si="3"/>
        <v>413.64390243902437</v>
      </c>
      <c r="O4" s="690">
        <f t="shared" si="3"/>
        <v>0</v>
      </c>
      <c r="P4" s="690">
        <f t="shared" si="3"/>
        <v>1059.2487804878049</v>
      </c>
      <c r="Q4" s="690">
        <f t="shared" si="3"/>
        <v>955.08292682926833</v>
      </c>
      <c r="R4" s="691">
        <f t="shared" si="3"/>
        <v>0</v>
      </c>
      <c r="S4" s="690">
        <f t="shared" si="3"/>
        <v>0</v>
      </c>
      <c r="T4" s="690"/>
      <c r="U4" s="690">
        <f t="shared" si="3"/>
        <v>0</v>
      </c>
      <c r="V4" s="690">
        <f t="shared" si="3"/>
        <v>409.42926829268293</v>
      </c>
      <c r="W4" s="690">
        <f t="shared" si="3"/>
        <v>0</v>
      </c>
      <c r="X4" s="690">
        <f t="shared" si="3"/>
        <v>1003.2243902439025</v>
      </c>
      <c r="Y4" s="691">
        <f t="shared" si="3"/>
        <v>895.36097560975611</v>
      </c>
      <c r="Z4" s="690">
        <f t="shared" si="3"/>
        <v>20.809756097560975</v>
      </c>
      <c r="AA4" s="690">
        <f t="shared" si="3"/>
        <v>0</v>
      </c>
      <c r="AB4" s="690">
        <f t="shared" si="3"/>
        <v>7.3609756097560979</v>
      </c>
      <c r="AC4" s="690">
        <f t="shared" si="3"/>
        <v>0</v>
      </c>
      <c r="AD4" s="690">
        <f t="shared" si="3"/>
        <v>274.18048780487806</v>
      </c>
      <c r="AE4" s="690">
        <f t="shared" si="3"/>
        <v>329.94146341463414</v>
      </c>
      <c r="AF4" s="690">
        <f t="shared" si="3"/>
        <v>20.336585365853658</v>
      </c>
      <c r="AG4" s="690">
        <f t="shared" si="3"/>
        <v>76.336585365853665</v>
      </c>
      <c r="AH4" s="690">
        <f t="shared" si="3"/>
        <v>1387.8048780487804</v>
      </c>
      <c r="AI4" s="690">
        <f t="shared" si="3"/>
        <v>217.19024390243902</v>
      </c>
      <c r="AJ4" s="690">
        <f t="shared" si="3"/>
        <v>65.878048780487802</v>
      </c>
      <c r="AK4" s="690">
        <f t="shared" si="3"/>
        <v>29.746341463414634</v>
      </c>
      <c r="AL4" s="690">
        <f t="shared" si="3"/>
        <v>112.2439024390244</v>
      </c>
      <c r="AM4" s="691">
        <f t="shared" si="3"/>
        <v>1899.2829268292683</v>
      </c>
      <c r="AN4" s="692">
        <f t="shared" si="3"/>
        <v>0.75154224035789152</v>
      </c>
      <c r="AO4" s="692">
        <f t="shared" si="3"/>
        <v>0.95805936771296951</v>
      </c>
      <c r="AP4" s="693">
        <f t="shared" si="3"/>
        <v>143.87073170731702</v>
      </c>
    </row>
    <row r="5" spans="1:42" s="679" customFormat="1" ht="15" customHeight="1">
      <c r="A5" s="665"/>
      <c r="B5" s="665"/>
      <c r="C5" s="1626" t="s">
        <v>36</v>
      </c>
      <c r="D5" s="1627"/>
      <c r="E5" s="1628"/>
      <c r="F5" s="687">
        <f>COUNTIF(D$12:D$949,"C")</f>
        <v>194</v>
      </c>
      <c r="G5" s="688">
        <f t="shared" ref="G5:AP5" si="4">IF(COUNTIF($D$12:$D$949,"C")=0,"",SUMIF($D$12:$D$949,"C",G$12:G$949)/COUNTIF($D$12:$D$949,"C"))</f>
        <v>10.025773195876289</v>
      </c>
      <c r="H5" s="688">
        <f t="shared" si="4"/>
        <v>19.381443298969071</v>
      </c>
      <c r="I5" s="688">
        <f t="shared" si="4"/>
        <v>69.824742268041234</v>
      </c>
      <c r="J5" s="688">
        <f t="shared" si="4"/>
        <v>15.195876288659793</v>
      </c>
      <c r="K5" s="688">
        <f t="shared" si="4"/>
        <v>31.469072164948454</v>
      </c>
      <c r="L5" s="688">
        <f t="shared" si="4"/>
        <v>12.345360824742269</v>
      </c>
      <c r="M5" s="689">
        <f t="shared" si="4"/>
        <v>10.128865979381443</v>
      </c>
      <c r="N5" s="690">
        <f t="shared" si="4"/>
        <v>425.01030927835052</v>
      </c>
      <c r="O5" s="690">
        <f t="shared" si="4"/>
        <v>0</v>
      </c>
      <c r="P5" s="690">
        <f t="shared" si="4"/>
        <v>1020.5154639175257</v>
      </c>
      <c r="Q5" s="690">
        <f t="shared" si="4"/>
        <v>972.13402061855675</v>
      </c>
      <c r="R5" s="691">
        <f t="shared" si="4"/>
        <v>0</v>
      </c>
      <c r="S5" s="690">
        <f t="shared" si="4"/>
        <v>0</v>
      </c>
      <c r="T5" s="690"/>
      <c r="U5" s="690">
        <f t="shared" si="4"/>
        <v>0</v>
      </c>
      <c r="V5" s="690">
        <f t="shared" si="4"/>
        <v>426.6958762886598</v>
      </c>
      <c r="W5" s="690">
        <f t="shared" si="4"/>
        <v>0</v>
      </c>
      <c r="X5" s="690">
        <f t="shared" si="4"/>
        <v>980.69587628865975</v>
      </c>
      <c r="Y5" s="691">
        <f t="shared" si="4"/>
        <v>878.90206185567013</v>
      </c>
      <c r="Z5" s="690">
        <f t="shared" si="4"/>
        <v>20.685567010309278</v>
      </c>
      <c r="AA5" s="690">
        <f t="shared" si="4"/>
        <v>0</v>
      </c>
      <c r="AB5" s="690">
        <f t="shared" si="4"/>
        <v>9.6958762886597931</v>
      </c>
      <c r="AC5" s="690">
        <f t="shared" si="4"/>
        <v>0</v>
      </c>
      <c r="AD5" s="690">
        <f t="shared" si="4"/>
        <v>264.61340206185565</v>
      </c>
      <c r="AE5" s="690">
        <f t="shared" si="4"/>
        <v>315.37628865979383</v>
      </c>
      <c r="AF5" s="690">
        <f t="shared" si="4"/>
        <v>17.716494845360824</v>
      </c>
      <c r="AG5" s="690">
        <f t="shared" si="4"/>
        <v>78.123711340206185</v>
      </c>
      <c r="AH5" s="690">
        <f t="shared" si="4"/>
        <v>1163.2113402061855</v>
      </c>
      <c r="AI5" s="690">
        <f t="shared" si="4"/>
        <v>252.38144329896906</v>
      </c>
      <c r="AJ5" s="690">
        <f t="shared" si="4"/>
        <v>65.664948453608247</v>
      </c>
      <c r="AK5" s="690">
        <f t="shared" si="4"/>
        <v>29.742268041237114</v>
      </c>
      <c r="AL5" s="690">
        <f t="shared" si="4"/>
        <v>109.25773195876289</v>
      </c>
      <c r="AM5" s="691">
        <f t="shared" si="4"/>
        <v>2122.6185567010311</v>
      </c>
      <c r="AN5" s="692">
        <f t="shared" si="4"/>
        <v>0.739852952011539</v>
      </c>
      <c r="AO5" s="692">
        <f t="shared" si="4"/>
        <v>0.98005355460645172</v>
      </c>
      <c r="AP5" s="693">
        <f t="shared" si="4"/>
        <v>142.2874226804125</v>
      </c>
    </row>
    <row r="6" spans="1:42" s="679" customFormat="1" ht="15" customHeight="1" thickBot="1">
      <c r="A6" s="665"/>
      <c r="B6" s="665"/>
      <c r="C6" s="1629" t="s">
        <v>37</v>
      </c>
      <c r="D6" s="1630"/>
      <c r="E6" s="1631"/>
      <c r="F6" s="694">
        <f>COUNTIF(D$12:D$949,"D")</f>
        <v>213</v>
      </c>
      <c r="G6" s="695">
        <f t="shared" ref="G6:AP6" si="5">IF(COUNTIF($D$12:$D$949,"D")=0,"",SUMIF($D$12:$D$949,"D",G$12:G$949)/COUNTIF($D$12:$D$949,"D"))</f>
        <v>10.23943661971831</v>
      </c>
      <c r="H6" s="695">
        <f t="shared" si="5"/>
        <v>20.281690140845072</v>
      </c>
      <c r="I6" s="695">
        <f t="shared" si="5"/>
        <v>75.826291079812208</v>
      </c>
      <c r="J6" s="695">
        <f t="shared" si="5"/>
        <v>14.615023474178404</v>
      </c>
      <c r="K6" s="695">
        <f t="shared" si="5"/>
        <v>33.422535211267608</v>
      </c>
      <c r="L6" s="695">
        <f t="shared" si="5"/>
        <v>12.845070422535212</v>
      </c>
      <c r="M6" s="696">
        <f t="shared" si="5"/>
        <v>10.206572769953052</v>
      </c>
      <c r="N6" s="697">
        <f t="shared" si="5"/>
        <v>419.71361502347418</v>
      </c>
      <c r="O6" s="697">
        <f t="shared" si="5"/>
        <v>0</v>
      </c>
      <c r="P6" s="697">
        <f t="shared" si="5"/>
        <v>1046.0892018779343</v>
      </c>
      <c r="Q6" s="697">
        <f t="shared" si="5"/>
        <v>946.21126760563379</v>
      </c>
      <c r="R6" s="698">
        <f t="shared" si="5"/>
        <v>0</v>
      </c>
      <c r="S6" s="697">
        <f t="shared" si="5"/>
        <v>0</v>
      </c>
      <c r="T6" s="697"/>
      <c r="U6" s="697">
        <f t="shared" si="5"/>
        <v>0</v>
      </c>
      <c r="V6" s="697">
        <f t="shared" si="5"/>
        <v>436.84037558685446</v>
      </c>
      <c r="W6" s="697">
        <f t="shared" si="5"/>
        <v>0</v>
      </c>
      <c r="X6" s="697">
        <f t="shared" si="5"/>
        <v>1006.3333333333334</v>
      </c>
      <c r="Y6" s="698">
        <f t="shared" si="5"/>
        <v>902.00469483568077</v>
      </c>
      <c r="Z6" s="697">
        <f t="shared" si="5"/>
        <v>25.441314553990612</v>
      </c>
      <c r="AA6" s="697">
        <f t="shared" si="5"/>
        <v>0</v>
      </c>
      <c r="AB6" s="697">
        <f t="shared" si="5"/>
        <v>12.370892018779342</v>
      </c>
      <c r="AC6" s="697">
        <f t="shared" si="5"/>
        <v>0</v>
      </c>
      <c r="AD6" s="697">
        <f t="shared" si="5"/>
        <v>273.16901408450707</v>
      </c>
      <c r="AE6" s="697">
        <f t="shared" si="5"/>
        <v>333.08450704225351</v>
      </c>
      <c r="AF6" s="697">
        <f t="shared" si="5"/>
        <v>21.07511737089202</v>
      </c>
      <c r="AG6" s="697">
        <f t="shared" si="5"/>
        <v>79.516431924882625</v>
      </c>
      <c r="AH6" s="697">
        <f t="shared" si="5"/>
        <v>1335.7417840375588</v>
      </c>
      <c r="AI6" s="697">
        <f t="shared" si="5"/>
        <v>220.03755868544602</v>
      </c>
      <c r="AJ6" s="697">
        <f t="shared" si="5"/>
        <v>66.122065727699535</v>
      </c>
      <c r="AK6" s="697">
        <f t="shared" si="5"/>
        <v>36.605633802816904</v>
      </c>
      <c r="AL6" s="697">
        <f t="shared" si="5"/>
        <v>129.13145539906102</v>
      </c>
      <c r="AM6" s="698">
        <f t="shared" si="5"/>
        <v>1834.3192488262912</v>
      </c>
      <c r="AN6" s="699">
        <f t="shared" si="5"/>
        <v>0.75344035850824442</v>
      </c>
      <c r="AO6" s="699">
        <f t="shared" si="5"/>
        <v>0.92698256927696965</v>
      </c>
      <c r="AP6" s="700">
        <f t="shared" si="5"/>
        <v>143.75117370892013</v>
      </c>
    </row>
    <row r="7" spans="1:42" s="679" customFormat="1" ht="15" customHeight="1">
      <c r="A7" s="665"/>
      <c r="B7" s="665"/>
      <c r="C7" s="1615" t="s">
        <v>28</v>
      </c>
      <c r="D7" s="1616"/>
      <c r="E7" s="1617"/>
      <c r="F7" s="701">
        <f>COUNTIF(E$12:E$949,"A")</f>
        <v>414</v>
      </c>
      <c r="G7" s="702">
        <f t="shared" ref="G7:AP7" si="6">IF(COUNTIF($E$12:$E$949,"A")=0,"",SUMIF($E$12:$E$949,"A",G$12:G$949)/COUNTIF($E$12:$E$949,"A"))</f>
        <v>10.173913043478262</v>
      </c>
      <c r="H7" s="702">
        <f t="shared" si="6"/>
        <v>19.891304347826086</v>
      </c>
      <c r="I7" s="702">
        <f t="shared" si="6"/>
        <v>73.765700483091791</v>
      </c>
      <c r="J7" s="702">
        <f t="shared" si="6"/>
        <v>15.062801932367149</v>
      </c>
      <c r="K7" s="702">
        <f t="shared" si="6"/>
        <v>34.425120772946862</v>
      </c>
      <c r="L7" s="702">
        <f t="shared" si="6"/>
        <v>13.152173913043478</v>
      </c>
      <c r="M7" s="703">
        <f t="shared" si="6"/>
        <v>10.128019323671497</v>
      </c>
      <c r="N7" s="704">
        <f t="shared" si="6"/>
        <v>425.22705314009664</v>
      </c>
      <c r="O7" s="704">
        <f t="shared" si="6"/>
        <v>0</v>
      </c>
      <c r="P7" s="704">
        <f t="shared" si="6"/>
        <v>1037.1376811594203</v>
      </c>
      <c r="Q7" s="704">
        <f t="shared" si="6"/>
        <v>954.85748792270533</v>
      </c>
      <c r="R7" s="705">
        <f t="shared" si="6"/>
        <v>0</v>
      </c>
      <c r="S7" s="704">
        <f t="shared" si="6"/>
        <v>0</v>
      </c>
      <c r="T7" s="704"/>
      <c r="U7" s="704">
        <f t="shared" si="6"/>
        <v>0</v>
      </c>
      <c r="V7" s="704">
        <f t="shared" si="6"/>
        <v>447.27294685990336</v>
      </c>
      <c r="W7" s="704">
        <f t="shared" si="6"/>
        <v>0</v>
      </c>
      <c r="X7" s="704">
        <f t="shared" si="6"/>
        <v>1023.6207729468599</v>
      </c>
      <c r="Y7" s="705">
        <f t="shared" si="6"/>
        <v>893.95652173913038</v>
      </c>
      <c r="Z7" s="704">
        <f t="shared" si="6"/>
        <v>23.946859903381643</v>
      </c>
      <c r="AA7" s="704">
        <f t="shared" si="6"/>
        <v>0</v>
      </c>
      <c r="AB7" s="704">
        <f t="shared" si="6"/>
        <v>11.683574879227054</v>
      </c>
      <c r="AC7" s="704">
        <f t="shared" si="6"/>
        <v>0</v>
      </c>
      <c r="AD7" s="704">
        <f t="shared" si="6"/>
        <v>270.82850241545896</v>
      </c>
      <c r="AE7" s="704">
        <f t="shared" si="6"/>
        <v>321.49516908212559</v>
      </c>
      <c r="AF7" s="704">
        <f t="shared" si="6"/>
        <v>20.198067632850243</v>
      </c>
      <c r="AG7" s="704">
        <f t="shared" si="6"/>
        <v>78.19806763285024</v>
      </c>
      <c r="AH7" s="704">
        <f t="shared" si="6"/>
        <v>1285.6207729468599</v>
      </c>
      <c r="AI7" s="704">
        <f t="shared" si="6"/>
        <v>232.34299516908212</v>
      </c>
      <c r="AJ7" s="704">
        <f t="shared" si="6"/>
        <v>66.5</v>
      </c>
      <c r="AK7" s="704">
        <f t="shared" si="6"/>
        <v>37.444444444444443</v>
      </c>
      <c r="AL7" s="704">
        <f t="shared" si="6"/>
        <v>114.67149758454106</v>
      </c>
      <c r="AM7" s="705">
        <f t="shared" si="6"/>
        <v>2129.8695652173915</v>
      </c>
      <c r="AN7" s="706">
        <f t="shared" si="6"/>
        <v>0.74076961180795498</v>
      </c>
      <c r="AO7" s="706">
        <f t="shared" si="6"/>
        <v>0.94139931151492151</v>
      </c>
      <c r="AP7" s="707">
        <f t="shared" si="6"/>
        <v>143.53830917874416</v>
      </c>
    </row>
    <row r="8" spans="1:42" s="679" customFormat="1" ht="15" customHeight="1" thickBot="1">
      <c r="A8" s="665"/>
      <c r="B8" s="665"/>
      <c r="C8" s="1618" t="s">
        <v>29</v>
      </c>
      <c r="D8" s="1619"/>
      <c r="E8" s="1620"/>
      <c r="F8" s="708">
        <f>COUNTIF(E$12:E$949,"B")</f>
        <v>405</v>
      </c>
      <c r="G8" s="709">
        <f t="shared" ref="G8:AP8" si="7">IF(COUNTIF($E$12:$E$949,"B")=0,"",SUMIF($E$12:$E$949,"B",G$12:G$949)/COUNTIF($E$12:$E$949,"B"))</f>
        <v>10.577777777777778</v>
      </c>
      <c r="H8" s="709">
        <f t="shared" si="7"/>
        <v>20.814814814814813</v>
      </c>
      <c r="I8" s="709">
        <f t="shared" si="7"/>
        <v>77.730864197530863</v>
      </c>
      <c r="J8" s="709">
        <f t="shared" si="7"/>
        <v>15.765432098765432</v>
      </c>
      <c r="K8" s="709">
        <f t="shared" si="7"/>
        <v>31.743209876543212</v>
      </c>
      <c r="L8" s="709">
        <f t="shared" si="7"/>
        <v>12.701234567901235</v>
      </c>
      <c r="M8" s="710">
        <f t="shared" si="7"/>
        <v>10.333333333333334</v>
      </c>
      <c r="N8" s="711">
        <f t="shared" si="7"/>
        <v>416.7456790123457</v>
      </c>
      <c r="O8" s="711">
        <f t="shared" si="7"/>
        <v>0</v>
      </c>
      <c r="P8" s="711">
        <f t="shared" si="7"/>
        <v>1034.6666666666667</v>
      </c>
      <c r="Q8" s="711">
        <f t="shared" si="7"/>
        <v>960.59012345679014</v>
      </c>
      <c r="R8" s="712">
        <f t="shared" si="7"/>
        <v>0</v>
      </c>
      <c r="S8" s="711">
        <f t="shared" si="7"/>
        <v>0</v>
      </c>
      <c r="T8" s="711"/>
      <c r="U8" s="711">
        <f t="shared" si="7"/>
        <v>0</v>
      </c>
      <c r="V8" s="711">
        <f t="shared" si="7"/>
        <v>407.65925925925927</v>
      </c>
      <c r="W8" s="711">
        <f t="shared" si="7"/>
        <v>0</v>
      </c>
      <c r="X8" s="711">
        <f t="shared" si="7"/>
        <v>996.29876543209878</v>
      </c>
      <c r="Y8" s="712">
        <f t="shared" si="7"/>
        <v>891.94320987654316</v>
      </c>
      <c r="Z8" s="711">
        <f t="shared" si="7"/>
        <v>23.839506172839506</v>
      </c>
      <c r="AA8" s="711">
        <f t="shared" si="7"/>
        <v>0</v>
      </c>
      <c r="AB8" s="711">
        <f t="shared" si="7"/>
        <v>8.9407407407407415</v>
      </c>
      <c r="AC8" s="711">
        <f t="shared" si="7"/>
        <v>0</v>
      </c>
      <c r="AD8" s="711">
        <f t="shared" si="7"/>
        <v>271.04691358024689</v>
      </c>
      <c r="AE8" s="711">
        <f t="shared" si="7"/>
        <v>330.63209876543209</v>
      </c>
      <c r="AF8" s="711">
        <f t="shared" si="7"/>
        <v>18.728395061728396</v>
      </c>
      <c r="AG8" s="711">
        <f t="shared" si="7"/>
        <v>78.925925925925924</v>
      </c>
      <c r="AH8" s="711">
        <f t="shared" si="7"/>
        <v>1314.0740740740741</v>
      </c>
      <c r="AI8" s="711">
        <f t="shared" si="7"/>
        <v>225.74814814814815</v>
      </c>
      <c r="AJ8" s="711">
        <f t="shared" si="7"/>
        <v>66.323456790123458</v>
      </c>
      <c r="AK8" s="711">
        <f t="shared" si="7"/>
        <v>27.303703703703704</v>
      </c>
      <c r="AL8" s="711">
        <f t="shared" si="7"/>
        <v>117.74074074074075</v>
      </c>
      <c r="AM8" s="712">
        <f t="shared" si="7"/>
        <v>1879.0246913580247</v>
      </c>
      <c r="AN8" s="713">
        <f t="shared" si="7"/>
        <v>0.78586972197474914</v>
      </c>
      <c r="AO8" s="713">
        <f t="shared" si="7"/>
        <v>0.98547411662369555</v>
      </c>
      <c r="AP8" s="714">
        <f t="shared" si="7"/>
        <v>143.5745679012345</v>
      </c>
    </row>
    <row r="9" spans="1:42" ht="5.25" customHeight="1" thickBot="1">
      <c r="A9" s="665"/>
      <c r="B9" s="665"/>
      <c r="C9" s="715"/>
      <c r="D9" s="715"/>
      <c r="E9" s="715"/>
      <c r="F9" s="715"/>
      <c r="G9" s="716"/>
      <c r="H9" s="716"/>
      <c r="I9" s="716"/>
      <c r="J9" s="716"/>
      <c r="K9" s="716"/>
      <c r="L9" s="716"/>
      <c r="M9" s="661"/>
      <c r="N9" s="661"/>
      <c r="O9" s="661"/>
      <c r="P9" s="661"/>
      <c r="Q9" s="661"/>
      <c r="R9" s="661"/>
      <c r="S9" s="661"/>
      <c r="T9" s="661"/>
      <c r="U9" s="661"/>
      <c r="V9" s="663"/>
      <c r="W9" s="663"/>
      <c r="X9" s="663"/>
      <c r="Y9" s="663"/>
      <c r="Z9" s="663"/>
      <c r="AA9" s="663"/>
      <c r="AB9" s="717"/>
      <c r="AC9" s="717"/>
      <c r="AD9" s="717"/>
      <c r="AE9" s="717"/>
      <c r="AF9" s="717"/>
      <c r="AG9" s="717"/>
      <c r="AH9" s="718"/>
      <c r="AI9" s="718"/>
      <c r="AJ9" s="718"/>
      <c r="AK9" s="718"/>
      <c r="AL9" s="718"/>
      <c r="AM9" s="663"/>
      <c r="AN9" s="663"/>
      <c r="AO9" s="663"/>
      <c r="AP9" s="663"/>
    </row>
    <row r="10" spans="1:42" s="719" customFormat="1" ht="15" customHeight="1">
      <c r="A10" s="1529" t="s">
        <v>250</v>
      </c>
      <c r="B10" s="1529" t="s">
        <v>419</v>
      </c>
      <c r="C10" s="1609" t="s">
        <v>38</v>
      </c>
      <c r="D10" s="1611" t="s">
        <v>24</v>
      </c>
      <c r="E10" s="1611" t="s">
        <v>39</v>
      </c>
      <c r="F10" s="1613" t="s">
        <v>40</v>
      </c>
      <c r="G10" s="1598" t="s">
        <v>41</v>
      </c>
      <c r="H10" s="1599"/>
      <c r="I10" s="1599"/>
      <c r="J10" s="1599"/>
      <c r="K10" s="1599"/>
      <c r="L10" s="1599"/>
      <c r="M10" s="1600"/>
      <c r="N10" s="1601" t="s">
        <v>42</v>
      </c>
      <c r="O10" s="1602"/>
      <c r="P10" s="1602"/>
      <c r="Q10" s="1602"/>
      <c r="R10" s="1602"/>
      <c r="S10" s="1602"/>
      <c r="T10" s="1602"/>
      <c r="U10" s="1603"/>
      <c r="V10" s="1604" t="s">
        <v>43</v>
      </c>
      <c r="W10" s="1602"/>
      <c r="X10" s="1602"/>
      <c r="Y10" s="1602"/>
      <c r="Z10" s="1602"/>
      <c r="AA10" s="1602"/>
      <c r="AB10" s="1601" t="s">
        <v>44</v>
      </c>
      <c r="AC10" s="1602"/>
      <c r="AD10" s="1602"/>
      <c r="AE10" s="1602"/>
      <c r="AF10" s="1602"/>
      <c r="AG10" s="1602"/>
      <c r="AH10" s="1602"/>
      <c r="AI10" s="1602"/>
      <c r="AJ10" s="1602"/>
      <c r="AK10" s="1602"/>
      <c r="AL10" s="1602"/>
      <c r="AM10" s="1605" t="s">
        <v>45</v>
      </c>
      <c r="AN10" s="1607" t="s">
        <v>46</v>
      </c>
      <c r="AO10" s="1608"/>
      <c r="AP10" s="1596" t="s">
        <v>47</v>
      </c>
    </row>
    <row r="11" spans="1:42" s="719" customFormat="1" ht="15" customHeight="1" thickBot="1">
      <c r="A11" s="1530"/>
      <c r="B11" s="1530"/>
      <c r="C11" s="1610"/>
      <c r="D11" s="1612"/>
      <c r="E11" s="1612"/>
      <c r="F11" s="1614"/>
      <c r="G11" s="720" t="s">
        <v>48</v>
      </c>
      <c r="H11" s="721" t="s">
        <v>49</v>
      </c>
      <c r="I11" s="721" t="s">
        <v>50</v>
      </c>
      <c r="J11" s="721" t="s">
        <v>51</v>
      </c>
      <c r="K11" s="721" t="s">
        <v>52</v>
      </c>
      <c r="L11" s="721" t="s">
        <v>53</v>
      </c>
      <c r="M11" s="722" t="s">
        <v>54</v>
      </c>
      <c r="N11" s="723" t="s">
        <v>55</v>
      </c>
      <c r="O11" s="723" t="s">
        <v>361</v>
      </c>
      <c r="P11" s="723" t="s">
        <v>423</v>
      </c>
      <c r="Q11" s="723" t="s">
        <v>360</v>
      </c>
      <c r="R11" s="724" t="s">
        <v>63</v>
      </c>
      <c r="S11" s="725"/>
      <c r="T11" s="724" t="s">
        <v>58</v>
      </c>
      <c r="U11" s="1171" t="s">
        <v>481</v>
      </c>
      <c r="V11" s="723" t="s">
        <v>55</v>
      </c>
      <c r="W11" s="723" t="s">
        <v>483</v>
      </c>
      <c r="X11" s="723" t="s">
        <v>483</v>
      </c>
      <c r="Y11" s="723" t="s">
        <v>360</v>
      </c>
      <c r="Z11" s="727" t="s">
        <v>484</v>
      </c>
      <c r="AA11" s="727" t="s">
        <v>482</v>
      </c>
      <c r="AB11" s="726" t="s">
        <v>60</v>
      </c>
      <c r="AC11" s="727" t="s">
        <v>420</v>
      </c>
      <c r="AD11" s="727" t="s">
        <v>423</v>
      </c>
      <c r="AE11" s="723" t="s">
        <v>362</v>
      </c>
      <c r="AF11" s="727" t="s">
        <v>201</v>
      </c>
      <c r="AG11" s="727" t="s">
        <v>63</v>
      </c>
      <c r="AH11" s="727" t="s">
        <v>64</v>
      </c>
      <c r="AI11" s="727" t="s">
        <v>65</v>
      </c>
      <c r="AJ11" s="727" t="s">
        <v>66</v>
      </c>
      <c r="AK11" s="727" t="s">
        <v>430</v>
      </c>
      <c r="AL11" s="727" t="s">
        <v>482</v>
      </c>
      <c r="AM11" s="1606"/>
      <c r="AN11" s="728" t="s">
        <v>49</v>
      </c>
      <c r="AO11" s="729" t="s">
        <v>50</v>
      </c>
      <c r="AP11" s="1597"/>
    </row>
    <row r="12" spans="1:42" ht="16.5" customHeight="1">
      <c r="A12" s="999">
        <f>'09월 조업일지'!A12</f>
        <v>46266</v>
      </c>
      <c r="B12" s="1100">
        <f>'09월 조업일지'!B12</f>
        <v>46265</v>
      </c>
      <c r="C12" s="730">
        <f>'09월 조업일지'!G12</f>
        <v>85214</v>
      </c>
      <c r="D12" s="731" t="str">
        <f>'09월 조업일지'!E12</f>
        <v>D</v>
      </c>
      <c r="E12" s="732" t="str">
        <f>'09월 조업일지'!F12</f>
        <v>B</v>
      </c>
      <c r="F12" s="1096" t="str">
        <f>'09월 에너지'!F14</f>
        <v>SHN400(BL)</v>
      </c>
      <c r="G12" s="733">
        <v>8</v>
      </c>
      <c r="H12" s="734">
        <v>22</v>
      </c>
      <c r="I12" s="734">
        <v>58</v>
      </c>
      <c r="J12" s="734">
        <v>14</v>
      </c>
      <c r="K12" s="735">
        <v>28</v>
      </c>
      <c r="L12" s="734">
        <v>14</v>
      </c>
      <c r="M12" s="736">
        <v>11</v>
      </c>
      <c r="N12" s="737">
        <v>418</v>
      </c>
      <c r="O12" s="737"/>
      <c r="P12" s="737">
        <v>1002</v>
      </c>
      <c r="Q12" s="737">
        <v>951</v>
      </c>
      <c r="R12" s="737"/>
      <c r="S12" s="737"/>
      <c r="T12" s="737"/>
      <c r="U12" s="738"/>
      <c r="V12" s="739">
        <v>412</v>
      </c>
      <c r="W12" s="737"/>
      <c r="X12" s="737">
        <v>1002</v>
      </c>
      <c r="Y12" s="737">
        <v>906</v>
      </c>
      <c r="Z12" s="1202"/>
      <c r="AA12" s="740"/>
      <c r="AB12" s="739"/>
      <c r="AC12" s="741"/>
      <c r="AD12" s="741">
        <v>272</v>
      </c>
      <c r="AE12" s="741">
        <v>343</v>
      </c>
      <c r="AF12" s="741"/>
      <c r="AG12" s="741">
        <v>95</v>
      </c>
      <c r="AH12" s="741">
        <v>996</v>
      </c>
      <c r="AI12" s="741">
        <v>276</v>
      </c>
      <c r="AJ12" s="741">
        <v>85</v>
      </c>
      <c r="AK12" s="741"/>
      <c r="AL12" s="741">
        <v>136</v>
      </c>
      <c r="AM12" s="742">
        <v>1675</v>
      </c>
      <c r="AN12" s="743">
        <f t="shared" ref="AN12" si="8">IF(ISBLANK(AH12),"",AP12*1000*H12/10000/(AH12*15%+AI12*75%+AK12*60%))</f>
        <v>0.89074074074074072</v>
      </c>
      <c r="AO12" s="744">
        <f t="shared" ref="AO12" si="9">IF(ISBLANK(AH12),"",AP12*1000*(I12-15)/10000/(AH12*70%))</f>
        <v>0.88997418244406201</v>
      </c>
      <c r="AP12" s="745">
        <f>'09월 에너지'!S14</f>
        <v>144.30000000000001</v>
      </c>
    </row>
    <row r="13" spans="1:42" ht="16.5" customHeight="1">
      <c r="A13" s="999">
        <f>'09월 조업일지'!A13</f>
        <v>46266</v>
      </c>
      <c r="B13" s="1100">
        <f>'09월 조업일지'!B13</f>
        <v>46265</v>
      </c>
      <c r="C13" s="730">
        <f>'09월 조업일지'!G13</f>
        <v>85215</v>
      </c>
      <c r="D13" s="731" t="str">
        <f>'09월 조업일지'!E13</f>
        <v>D</v>
      </c>
      <c r="E13" s="732" t="str">
        <f>'09월 조업일지'!F13</f>
        <v>A</v>
      </c>
      <c r="F13" s="1096" t="str">
        <f>'09월 에너지'!F15</f>
        <v>SHN400(BL)</v>
      </c>
      <c r="G13" s="733">
        <v>9</v>
      </c>
      <c r="H13" s="734">
        <v>21</v>
      </c>
      <c r="I13" s="734">
        <v>61</v>
      </c>
      <c r="J13" s="734">
        <v>16</v>
      </c>
      <c r="K13" s="735">
        <v>22</v>
      </c>
      <c r="L13" s="734">
        <v>14</v>
      </c>
      <c r="M13" s="736">
        <v>9</v>
      </c>
      <c r="N13" s="737">
        <v>415</v>
      </c>
      <c r="O13" s="737"/>
      <c r="P13" s="737">
        <v>1000</v>
      </c>
      <c r="Q13" s="737">
        <v>953</v>
      </c>
      <c r="R13" s="737"/>
      <c r="S13" s="737"/>
      <c r="T13" s="737"/>
      <c r="U13" s="738"/>
      <c r="V13" s="739">
        <v>419</v>
      </c>
      <c r="W13" s="737"/>
      <c r="X13" s="737">
        <v>1001</v>
      </c>
      <c r="Y13" s="737">
        <v>910</v>
      </c>
      <c r="Z13" s="1202"/>
      <c r="AA13" s="740"/>
      <c r="AB13" s="739"/>
      <c r="AC13" s="741"/>
      <c r="AD13" s="741">
        <v>271</v>
      </c>
      <c r="AE13" s="741">
        <v>342</v>
      </c>
      <c r="AF13" s="741"/>
      <c r="AG13" s="741">
        <v>95</v>
      </c>
      <c r="AH13" s="741">
        <v>1004</v>
      </c>
      <c r="AI13" s="741">
        <v>272</v>
      </c>
      <c r="AJ13" s="741">
        <v>85</v>
      </c>
      <c r="AK13" s="741"/>
      <c r="AL13" s="741">
        <v>131</v>
      </c>
      <c r="AM13" s="742">
        <v>2621</v>
      </c>
      <c r="AN13" s="743">
        <f t="shared" ref="AN13:AN76" si="10">IF(ISBLANK(AH13),"",AP13*1000*H13/10000/(AH13*15%+AI13*75%+AK13*60%))</f>
        <v>0.85219966159052452</v>
      </c>
      <c r="AO13" s="744">
        <f t="shared" ref="AO13:AO76" si="11">IF(ISBLANK(AH13),"",AP13*1000*(I13-15)/10000/(AH13*70%))</f>
        <v>0.94186112692088797</v>
      </c>
      <c r="AP13" s="745">
        <f>'09월 에너지'!S15</f>
        <v>143.9</v>
      </c>
    </row>
    <row r="14" spans="1:42" ht="16.5" customHeight="1">
      <c r="A14" s="999">
        <f>'09월 조업일지'!A14</f>
        <v>46266</v>
      </c>
      <c r="B14" s="1100">
        <f>'09월 조업일지'!B14</f>
        <v>46265</v>
      </c>
      <c r="C14" s="730">
        <f>'09월 조업일지'!G14</f>
        <v>85216</v>
      </c>
      <c r="D14" s="731" t="str">
        <f>'09월 조업일지'!E14</f>
        <v>D</v>
      </c>
      <c r="E14" s="732" t="str">
        <f>'09월 조업일지'!F14</f>
        <v>B</v>
      </c>
      <c r="F14" s="1096" t="str">
        <f>'09월 에너지'!F16</f>
        <v>SHN400(BL)</v>
      </c>
      <c r="G14" s="733">
        <v>10</v>
      </c>
      <c r="H14" s="734">
        <v>22</v>
      </c>
      <c r="I14" s="734">
        <v>58</v>
      </c>
      <c r="J14" s="734">
        <v>14</v>
      </c>
      <c r="K14" s="735">
        <v>28</v>
      </c>
      <c r="L14" s="734">
        <v>12</v>
      </c>
      <c r="M14" s="736">
        <v>10</v>
      </c>
      <c r="N14" s="737">
        <v>418</v>
      </c>
      <c r="O14" s="737"/>
      <c r="P14" s="737">
        <v>1002</v>
      </c>
      <c r="Q14" s="737">
        <v>957</v>
      </c>
      <c r="R14" s="737"/>
      <c r="S14" s="737"/>
      <c r="T14" s="737"/>
      <c r="U14" s="738"/>
      <c r="V14" s="739">
        <v>414</v>
      </c>
      <c r="W14" s="737"/>
      <c r="X14" s="737">
        <v>1001</v>
      </c>
      <c r="Y14" s="737">
        <v>903</v>
      </c>
      <c r="Z14" s="1202"/>
      <c r="AA14" s="740"/>
      <c r="AB14" s="739"/>
      <c r="AC14" s="741"/>
      <c r="AD14" s="741">
        <v>271</v>
      </c>
      <c r="AE14" s="741">
        <v>334</v>
      </c>
      <c r="AF14" s="741"/>
      <c r="AG14" s="741">
        <v>95</v>
      </c>
      <c r="AH14" s="741">
        <v>1000</v>
      </c>
      <c r="AI14" s="741">
        <v>281</v>
      </c>
      <c r="AJ14" s="741">
        <v>90</v>
      </c>
      <c r="AK14" s="741"/>
      <c r="AL14" s="741">
        <v>133</v>
      </c>
      <c r="AM14" s="742">
        <v>1560</v>
      </c>
      <c r="AN14" s="743">
        <f t="shared" si="10"/>
        <v>0.88975744975744986</v>
      </c>
      <c r="AO14" s="744">
        <f t="shared" si="11"/>
        <v>0.89624285714285712</v>
      </c>
      <c r="AP14" s="745">
        <f>'09월 에너지'!S16</f>
        <v>145.9</v>
      </c>
    </row>
    <row r="15" spans="1:42" ht="16.5" customHeight="1">
      <c r="A15" s="999">
        <f>'09월 조업일지'!A15</f>
        <v>46266</v>
      </c>
      <c r="B15" s="1100">
        <f>'09월 조업일지'!B15</f>
        <v>46265</v>
      </c>
      <c r="C15" s="730">
        <f>'09월 조업일지'!G15</f>
        <v>85217</v>
      </c>
      <c r="D15" s="731" t="str">
        <f>'09월 조업일지'!E15</f>
        <v>D</v>
      </c>
      <c r="E15" s="732" t="str">
        <f>'09월 조업일지'!F15</f>
        <v>A</v>
      </c>
      <c r="F15" s="1096" t="str">
        <f>'09월 에너지'!F17</f>
        <v>SHN400(BL)</v>
      </c>
      <c r="G15" s="733">
        <v>8</v>
      </c>
      <c r="H15" s="734">
        <v>23</v>
      </c>
      <c r="I15" s="734">
        <v>64</v>
      </c>
      <c r="J15" s="734">
        <v>19</v>
      </c>
      <c r="K15" s="735">
        <v>27</v>
      </c>
      <c r="L15" s="734">
        <v>14</v>
      </c>
      <c r="M15" s="736">
        <v>11</v>
      </c>
      <c r="N15" s="737">
        <v>418</v>
      </c>
      <c r="O15" s="737"/>
      <c r="P15" s="737">
        <v>1002</v>
      </c>
      <c r="Q15" s="737">
        <v>958</v>
      </c>
      <c r="R15" s="737"/>
      <c r="S15" s="737"/>
      <c r="T15" s="737">
        <v>0</v>
      </c>
      <c r="U15" s="738">
        <v>0</v>
      </c>
      <c r="V15" s="739">
        <v>420</v>
      </c>
      <c r="W15" s="737"/>
      <c r="X15" s="737">
        <v>1000</v>
      </c>
      <c r="Y15" s="737">
        <v>906</v>
      </c>
      <c r="Z15" s="1202">
        <v>0</v>
      </c>
      <c r="AA15" s="740"/>
      <c r="AB15" s="739">
        <v>0</v>
      </c>
      <c r="AC15" s="741"/>
      <c r="AD15" s="741">
        <v>272</v>
      </c>
      <c r="AE15" s="741">
        <v>343</v>
      </c>
      <c r="AF15" s="741">
        <v>0</v>
      </c>
      <c r="AG15" s="741">
        <v>95</v>
      </c>
      <c r="AH15" s="741">
        <v>995</v>
      </c>
      <c r="AI15" s="741">
        <v>281</v>
      </c>
      <c r="AJ15" s="741">
        <v>89</v>
      </c>
      <c r="AK15" s="741">
        <v>0</v>
      </c>
      <c r="AL15" s="741">
        <v>139</v>
      </c>
      <c r="AM15" s="742">
        <v>2355</v>
      </c>
      <c r="AN15" s="743">
        <f t="shared" si="10"/>
        <v>0.92447222222222225</v>
      </c>
      <c r="AO15" s="744">
        <f t="shared" si="11"/>
        <v>1.0179899497487437</v>
      </c>
      <c r="AP15" s="745">
        <f>'09월 에너지'!S17</f>
        <v>144.69999999999999</v>
      </c>
    </row>
    <row r="16" spans="1:42" ht="16.5" customHeight="1">
      <c r="A16" s="999">
        <f>'09월 조업일지'!A16</f>
        <v>46266</v>
      </c>
      <c r="B16" s="1100">
        <f>'09월 조업일지'!B16</f>
        <v>46266</v>
      </c>
      <c r="C16" s="730">
        <f>'09월 조업일지'!G16</f>
        <v>85218</v>
      </c>
      <c r="D16" s="731" t="str">
        <f>'09월 조업일지'!E16</f>
        <v>A</v>
      </c>
      <c r="E16" s="732" t="str">
        <f>'09월 조업일지'!F16</f>
        <v>B</v>
      </c>
      <c r="F16" s="1096" t="str">
        <f>'09월 에너지'!F18</f>
        <v>SHN400(BL)</v>
      </c>
      <c r="G16" s="733">
        <v>11</v>
      </c>
      <c r="H16" s="734">
        <v>22</v>
      </c>
      <c r="I16" s="734">
        <v>64</v>
      </c>
      <c r="J16" s="734">
        <v>14</v>
      </c>
      <c r="K16" s="735">
        <v>24</v>
      </c>
      <c r="L16" s="734">
        <v>12</v>
      </c>
      <c r="M16" s="736">
        <v>12</v>
      </c>
      <c r="N16" s="737">
        <v>410</v>
      </c>
      <c r="O16" s="737"/>
      <c r="P16" s="737">
        <v>1001</v>
      </c>
      <c r="Q16" s="737">
        <v>961</v>
      </c>
      <c r="R16" s="737"/>
      <c r="S16" s="737"/>
      <c r="T16" s="737">
        <v>0</v>
      </c>
      <c r="U16" s="738"/>
      <c r="V16" s="739">
        <v>412</v>
      </c>
      <c r="W16" s="737"/>
      <c r="X16" s="737">
        <v>1002</v>
      </c>
      <c r="Y16" s="737">
        <v>907</v>
      </c>
      <c r="Z16" s="1202">
        <v>0</v>
      </c>
      <c r="AA16" s="740"/>
      <c r="AB16" s="739">
        <v>0</v>
      </c>
      <c r="AC16" s="741"/>
      <c r="AD16" s="741">
        <v>271</v>
      </c>
      <c r="AE16" s="741">
        <v>340</v>
      </c>
      <c r="AF16" s="741">
        <v>0</v>
      </c>
      <c r="AG16" s="741">
        <v>95</v>
      </c>
      <c r="AH16" s="741">
        <v>1002</v>
      </c>
      <c r="AI16" s="741">
        <v>275</v>
      </c>
      <c r="AJ16" s="741">
        <v>82</v>
      </c>
      <c r="AK16" s="741">
        <v>0</v>
      </c>
      <c r="AL16" s="741">
        <v>120</v>
      </c>
      <c r="AM16" s="742">
        <v>2144</v>
      </c>
      <c r="AN16" s="743">
        <f t="shared" si="10"/>
        <v>0.91381292946290849</v>
      </c>
      <c r="AO16" s="744">
        <f t="shared" si="11"/>
        <v>1.0346307385229543</v>
      </c>
      <c r="AP16" s="745">
        <f>'09월 에너지'!S18</f>
        <v>148.1</v>
      </c>
    </row>
    <row r="17" spans="1:42" ht="16.5" customHeight="1">
      <c r="A17" s="999">
        <f>'09월 조업일지'!A17</f>
        <v>46266</v>
      </c>
      <c r="B17" s="1100">
        <f>'09월 조업일지'!B17</f>
        <v>46266</v>
      </c>
      <c r="C17" s="730">
        <f>'09월 조업일지'!G17</f>
        <v>85219</v>
      </c>
      <c r="D17" s="731" t="str">
        <f>'09월 조업일지'!E17</f>
        <v>A</v>
      </c>
      <c r="E17" s="732" t="str">
        <f>'09월 조업일지'!F17</f>
        <v>A</v>
      </c>
      <c r="F17" s="1096" t="str">
        <f>'09월 에너지'!F19</f>
        <v>SHN400(BL)</v>
      </c>
      <c r="G17" s="733">
        <v>7</v>
      </c>
      <c r="H17" s="734">
        <v>19</v>
      </c>
      <c r="I17" s="734">
        <v>58</v>
      </c>
      <c r="J17" s="734">
        <v>14</v>
      </c>
      <c r="K17" s="735">
        <v>20</v>
      </c>
      <c r="L17" s="734">
        <v>12</v>
      </c>
      <c r="M17" s="736">
        <v>10</v>
      </c>
      <c r="N17" s="737">
        <v>412</v>
      </c>
      <c r="O17" s="737"/>
      <c r="P17" s="737">
        <v>1003</v>
      </c>
      <c r="Q17" s="737">
        <v>959</v>
      </c>
      <c r="R17" s="737"/>
      <c r="S17" s="737"/>
      <c r="T17" s="737">
        <v>0</v>
      </c>
      <c r="U17" s="738"/>
      <c r="V17" s="739">
        <v>416</v>
      </c>
      <c r="W17" s="737"/>
      <c r="X17" s="737">
        <v>10014</v>
      </c>
      <c r="Y17" s="737">
        <v>902</v>
      </c>
      <c r="Z17" s="1202">
        <v>0</v>
      </c>
      <c r="AA17" s="740"/>
      <c r="AB17" s="739">
        <v>0</v>
      </c>
      <c r="AC17" s="741"/>
      <c r="AD17" s="741">
        <v>271</v>
      </c>
      <c r="AE17" s="741">
        <v>337</v>
      </c>
      <c r="AF17" s="741">
        <v>0</v>
      </c>
      <c r="AG17" s="741">
        <v>95</v>
      </c>
      <c r="AH17" s="741">
        <v>994</v>
      </c>
      <c r="AI17" s="741">
        <v>277</v>
      </c>
      <c r="AJ17" s="741">
        <v>86</v>
      </c>
      <c r="AK17" s="741">
        <v>0</v>
      </c>
      <c r="AL17" s="741">
        <v>133</v>
      </c>
      <c r="AM17" s="742">
        <v>2382</v>
      </c>
      <c r="AN17" s="743">
        <f t="shared" si="10"/>
        <v>0.76244920835084762</v>
      </c>
      <c r="AO17" s="744">
        <f t="shared" si="11"/>
        <v>0.88496694452428859</v>
      </c>
      <c r="AP17" s="745">
        <f>'09월 에너지'!S19</f>
        <v>143.19999999999999</v>
      </c>
    </row>
    <row r="18" spans="1:42" ht="16.5" customHeight="1">
      <c r="A18" s="999">
        <f>'09월 조업일지'!A18</f>
        <v>46266</v>
      </c>
      <c r="B18" s="1100">
        <f>'09월 조업일지'!B18</f>
        <v>46266</v>
      </c>
      <c r="C18" s="730">
        <f>'09월 조업일지'!G18</f>
        <v>85220</v>
      </c>
      <c r="D18" s="731" t="str">
        <f>'09월 조업일지'!E18</f>
        <v>A</v>
      </c>
      <c r="E18" s="732" t="str">
        <f>'09월 조업일지'!F18</f>
        <v>B</v>
      </c>
      <c r="F18" s="1096" t="str">
        <f>'09월 에너지'!F20</f>
        <v>SHN400(BL)</v>
      </c>
      <c r="G18" s="733">
        <v>10</v>
      </c>
      <c r="H18" s="734">
        <v>21</v>
      </c>
      <c r="I18" s="734">
        <v>60</v>
      </c>
      <c r="J18" s="734">
        <v>15</v>
      </c>
      <c r="K18" s="735">
        <v>22</v>
      </c>
      <c r="L18" s="734">
        <v>12</v>
      </c>
      <c r="M18" s="736">
        <v>9</v>
      </c>
      <c r="N18" s="737">
        <v>418</v>
      </c>
      <c r="O18" s="737"/>
      <c r="P18" s="737">
        <v>1001</v>
      </c>
      <c r="Q18" s="737">
        <v>961</v>
      </c>
      <c r="R18" s="737"/>
      <c r="S18" s="737"/>
      <c r="T18" s="737">
        <v>0</v>
      </c>
      <c r="U18" s="738"/>
      <c r="V18" s="739">
        <v>417</v>
      </c>
      <c r="W18" s="737"/>
      <c r="X18" s="737">
        <v>1001</v>
      </c>
      <c r="Y18" s="737">
        <v>911</v>
      </c>
      <c r="Z18" s="1202">
        <v>0</v>
      </c>
      <c r="AA18" s="740"/>
      <c r="AB18" s="739">
        <v>0</v>
      </c>
      <c r="AC18" s="741"/>
      <c r="AD18" s="741">
        <v>272</v>
      </c>
      <c r="AE18" s="741">
        <v>339</v>
      </c>
      <c r="AF18" s="741">
        <v>0</v>
      </c>
      <c r="AG18" s="741">
        <v>96</v>
      </c>
      <c r="AH18" s="741">
        <v>997</v>
      </c>
      <c r="AI18" s="741">
        <v>272</v>
      </c>
      <c r="AJ18" s="741">
        <v>85</v>
      </c>
      <c r="AK18" s="741">
        <v>0</v>
      </c>
      <c r="AL18" s="741">
        <v>133</v>
      </c>
      <c r="AM18" s="742">
        <v>2282</v>
      </c>
      <c r="AN18" s="743">
        <f t="shared" si="10"/>
        <v>0.87908358082308036</v>
      </c>
      <c r="AO18" s="744">
        <f t="shared" si="11"/>
        <v>0.95429144576586911</v>
      </c>
      <c r="AP18" s="745">
        <f>'09월 에너지'!S20</f>
        <v>148</v>
      </c>
    </row>
    <row r="19" spans="1:42" ht="16.5" customHeight="1">
      <c r="A19" s="999">
        <f>'09월 조업일지'!A19</f>
        <v>46266</v>
      </c>
      <c r="B19" s="1100">
        <f>'09월 조업일지'!B19</f>
        <v>46266</v>
      </c>
      <c r="C19" s="730">
        <f>'09월 조업일지'!G19</f>
        <v>85221</v>
      </c>
      <c r="D19" s="731" t="str">
        <f>'09월 조업일지'!E19</f>
        <v>A</v>
      </c>
      <c r="E19" s="732" t="str">
        <f>'09월 조업일지'!F19</f>
        <v>A</v>
      </c>
      <c r="F19" s="1096" t="str">
        <f>'09월 에너지'!F21</f>
        <v>SHN400(BL)</v>
      </c>
      <c r="G19" s="733">
        <v>12</v>
      </c>
      <c r="H19" s="734">
        <v>23</v>
      </c>
      <c r="I19" s="734">
        <v>60</v>
      </c>
      <c r="J19" s="734">
        <v>13</v>
      </c>
      <c r="K19" s="735">
        <v>28</v>
      </c>
      <c r="L19" s="734">
        <v>12</v>
      </c>
      <c r="M19" s="736">
        <v>8</v>
      </c>
      <c r="N19" s="737">
        <v>419</v>
      </c>
      <c r="O19" s="737"/>
      <c r="P19" s="737">
        <v>1001</v>
      </c>
      <c r="Q19" s="737">
        <v>955</v>
      </c>
      <c r="R19" s="737"/>
      <c r="S19" s="737"/>
      <c r="T19" s="737">
        <v>0</v>
      </c>
      <c r="U19" s="738"/>
      <c r="V19" s="739">
        <v>410</v>
      </c>
      <c r="W19" s="737"/>
      <c r="X19" s="737">
        <v>1001</v>
      </c>
      <c r="Y19" s="737">
        <v>902</v>
      </c>
      <c r="Z19" s="1202">
        <v>0</v>
      </c>
      <c r="AA19" s="740"/>
      <c r="AB19" s="739">
        <v>0</v>
      </c>
      <c r="AC19" s="741"/>
      <c r="AD19" s="741">
        <v>270</v>
      </c>
      <c r="AE19" s="741">
        <v>339</v>
      </c>
      <c r="AF19" s="741">
        <v>0</v>
      </c>
      <c r="AG19" s="741">
        <v>95</v>
      </c>
      <c r="AH19" s="741">
        <v>995</v>
      </c>
      <c r="AI19" s="741">
        <v>281</v>
      </c>
      <c r="AJ19" s="741">
        <v>82</v>
      </c>
      <c r="AK19" s="741">
        <v>0</v>
      </c>
      <c r="AL19" s="741">
        <v>119</v>
      </c>
      <c r="AM19" s="742">
        <v>1886</v>
      </c>
      <c r="AN19" s="743">
        <f t="shared" si="10"/>
        <v>0.9436388888888888</v>
      </c>
      <c r="AO19" s="744">
        <f t="shared" si="11"/>
        <v>0.95427135678391961</v>
      </c>
      <c r="AP19" s="745">
        <f>'09월 에너지'!S21</f>
        <v>147.69999999999999</v>
      </c>
    </row>
    <row r="20" spans="1:42" ht="16.5" customHeight="1">
      <c r="A20" s="999">
        <f>'09월 조업일지'!A20</f>
        <v>46266</v>
      </c>
      <c r="B20" s="1100">
        <f>'09월 조업일지'!B20</f>
        <v>46266</v>
      </c>
      <c r="C20" s="730">
        <f>'09월 조업일지'!G20</f>
        <v>85222</v>
      </c>
      <c r="D20" s="731" t="str">
        <f>'09월 조업일지'!E20</f>
        <v>A</v>
      </c>
      <c r="E20" s="732" t="str">
        <f>'09월 조업일지'!F20</f>
        <v>B</v>
      </c>
      <c r="F20" s="1096" t="str">
        <f>'09월 에너지'!F22</f>
        <v>SHN400(BL)</v>
      </c>
      <c r="G20" s="733">
        <v>11</v>
      </c>
      <c r="H20" s="734">
        <v>22</v>
      </c>
      <c r="I20" s="734">
        <v>73</v>
      </c>
      <c r="J20" s="734">
        <v>22</v>
      </c>
      <c r="K20" s="735">
        <v>36</v>
      </c>
      <c r="L20" s="734">
        <v>12</v>
      </c>
      <c r="M20" s="736">
        <v>11</v>
      </c>
      <c r="N20" s="737">
        <v>420</v>
      </c>
      <c r="O20" s="737"/>
      <c r="P20" s="737">
        <v>1002</v>
      </c>
      <c r="Q20" s="737">
        <v>959</v>
      </c>
      <c r="R20" s="737"/>
      <c r="S20" s="737"/>
      <c r="T20" s="737">
        <v>0</v>
      </c>
      <c r="U20" s="738"/>
      <c r="V20" s="739">
        <v>414</v>
      </c>
      <c r="W20" s="737"/>
      <c r="X20" s="737">
        <v>1001</v>
      </c>
      <c r="Y20" s="737">
        <v>905</v>
      </c>
      <c r="Z20" s="1202">
        <v>0</v>
      </c>
      <c r="AA20" s="740"/>
      <c r="AB20" s="739">
        <v>0</v>
      </c>
      <c r="AC20" s="741"/>
      <c r="AD20" s="741">
        <v>271</v>
      </c>
      <c r="AE20" s="741">
        <v>337</v>
      </c>
      <c r="AF20" s="741">
        <v>0</v>
      </c>
      <c r="AG20" s="741">
        <v>95</v>
      </c>
      <c r="AH20" s="741">
        <v>998</v>
      </c>
      <c r="AI20" s="741">
        <v>281</v>
      </c>
      <c r="AJ20" s="741">
        <v>83</v>
      </c>
      <c r="AK20" s="741">
        <v>0</v>
      </c>
      <c r="AL20" s="741">
        <v>128</v>
      </c>
      <c r="AM20" s="742">
        <v>1482</v>
      </c>
      <c r="AN20" s="743">
        <f t="shared" si="10"/>
        <v>0.8990428630878069</v>
      </c>
      <c r="AO20" s="744">
        <f t="shared" si="11"/>
        <v>1.2229315774405958</v>
      </c>
      <c r="AP20" s="745">
        <f>'09월 에너지'!S22</f>
        <v>147.30000000000001</v>
      </c>
    </row>
    <row r="21" spans="1:42" ht="16.5" customHeight="1">
      <c r="A21" s="999">
        <f>'09월 조업일지'!A21</f>
        <v>46266</v>
      </c>
      <c r="B21" s="1100">
        <f>'09월 조업일지'!B21</f>
        <v>46266</v>
      </c>
      <c r="C21" s="730">
        <f>'09월 조업일지'!G21</f>
        <v>85223</v>
      </c>
      <c r="D21" s="731" t="str">
        <f>'09월 조업일지'!E21</f>
        <v>A</v>
      </c>
      <c r="E21" s="732" t="str">
        <f>'09월 조업일지'!F21</f>
        <v>A</v>
      </c>
      <c r="F21" s="1096" t="str">
        <f>'09월 에너지'!F23</f>
        <v>SHN400(BL)</v>
      </c>
      <c r="G21" s="733">
        <v>6</v>
      </c>
      <c r="H21" s="734">
        <v>21</v>
      </c>
      <c r="I21" s="734">
        <v>64</v>
      </c>
      <c r="J21" s="734">
        <v>20</v>
      </c>
      <c r="K21" s="735">
        <v>30</v>
      </c>
      <c r="L21" s="734">
        <v>16</v>
      </c>
      <c r="M21" s="736">
        <v>12</v>
      </c>
      <c r="N21" s="737">
        <v>415</v>
      </c>
      <c r="O21" s="737"/>
      <c r="P21" s="737">
        <v>1001</v>
      </c>
      <c r="Q21" s="737">
        <v>963</v>
      </c>
      <c r="R21" s="737"/>
      <c r="S21" s="737"/>
      <c r="T21" s="737">
        <v>0</v>
      </c>
      <c r="U21" s="738"/>
      <c r="V21" s="739">
        <v>413</v>
      </c>
      <c r="W21" s="737"/>
      <c r="X21" s="737">
        <v>1000</v>
      </c>
      <c r="Y21" s="737">
        <v>904</v>
      </c>
      <c r="Z21" s="1202">
        <v>0</v>
      </c>
      <c r="AA21" s="740"/>
      <c r="AB21" s="739">
        <v>0</v>
      </c>
      <c r="AC21" s="741"/>
      <c r="AD21" s="741">
        <v>271</v>
      </c>
      <c r="AE21" s="741">
        <v>342</v>
      </c>
      <c r="AF21" s="741">
        <v>0</v>
      </c>
      <c r="AG21" s="741">
        <v>95</v>
      </c>
      <c r="AH21" s="741">
        <v>1002</v>
      </c>
      <c r="AI21" s="741">
        <v>281</v>
      </c>
      <c r="AJ21" s="741">
        <v>82</v>
      </c>
      <c r="AK21" s="741">
        <v>0</v>
      </c>
      <c r="AL21" s="741">
        <v>127</v>
      </c>
      <c r="AM21" s="742">
        <v>1717</v>
      </c>
      <c r="AN21" s="743">
        <f t="shared" si="10"/>
        <v>0.86896551724137949</v>
      </c>
      <c r="AO21" s="744">
        <f t="shared" si="11"/>
        <v>1.0437125748502993</v>
      </c>
      <c r="AP21" s="745">
        <f>'09월 에너지'!S23</f>
        <v>149.4</v>
      </c>
    </row>
    <row r="22" spans="1:42" ht="16.5" customHeight="1">
      <c r="A22" s="999">
        <f>'09월 조업일지'!A22</f>
        <v>46266</v>
      </c>
      <c r="B22" s="1100">
        <f>'09월 조업일지'!B22</f>
        <v>46266</v>
      </c>
      <c r="C22" s="730">
        <f>'09월 조업일지'!G22</f>
        <v>85224</v>
      </c>
      <c r="D22" s="731" t="str">
        <f>'09월 조업일지'!E22</f>
        <v>A</v>
      </c>
      <c r="E22" s="732" t="str">
        <f>'09월 조업일지'!F22</f>
        <v>B</v>
      </c>
      <c r="F22" s="1231" t="str">
        <f>'09월 에너지'!F24</f>
        <v>SS400-05</v>
      </c>
      <c r="G22" s="733">
        <v>13</v>
      </c>
      <c r="H22" s="734">
        <v>18</v>
      </c>
      <c r="I22" s="734">
        <v>58</v>
      </c>
      <c r="J22" s="734">
        <v>15</v>
      </c>
      <c r="K22" s="735">
        <v>33</v>
      </c>
      <c r="L22" s="734">
        <v>14</v>
      </c>
      <c r="M22" s="736">
        <v>12</v>
      </c>
      <c r="N22" s="737">
        <v>418</v>
      </c>
      <c r="O22" s="737"/>
      <c r="P22" s="737">
        <v>1000</v>
      </c>
      <c r="Q22" s="737">
        <v>959</v>
      </c>
      <c r="R22" s="737"/>
      <c r="S22" s="737"/>
      <c r="T22" s="737">
        <v>0</v>
      </c>
      <c r="U22" s="738"/>
      <c r="V22" s="739">
        <v>214</v>
      </c>
      <c r="W22" s="737"/>
      <c r="X22" s="737">
        <v>1000</v>
      </c>
      <c r="Y22" s="737">
        <v>908</v>
      </c>
      <c r="Z22" s="1202">
        <v>0</v>
      </c>
      <c r="AA22" s="740"/>
      <c r="AB22" s="739">
        <v>0</v>
      </c>
      <c r="AC22" s="741"/>
      <c r="AD22" s="741">
        <v>271</v>
      </c>
      <c r="AE22" s="741">
        <v>336</v>
      </c>
      <c r="AF22" s="741">
        <v>0</v>
      </c>
      <c r="AG22" s="741">
        <v>110</v>
      </c>
      <c r="AH22" s="741">
        <v>836</v>
      </c>
      <c r="AI22" s="741">
        <v>325</v>
      </c>
      <c r="AJ22" s="741">
        <v>92</v>
      </c>
      <c r="AK22" s="741">
        <v>0</v>
      </c>
      <c r="AL22" s="741">
        <v>129</v>
      </c>
      <c r="AM22" s="742">
        <v>2026</v>
      </c>
      <c r="AN22" s="743">
        <f t="shared" si="10"/>
        <v>0.71824461600975209</v>
      </c>
      <c r="AO22" s="744">
        <f t="shared" si="11"/>
        <v>1.0823479152426523</v>
      </c>
      <c r="AP22" s="745">
        <f>'09월 에너지'!S24</f>
        <v>147.30000000000001</v>
      </c>
    </row>
    <row r="23" spans="1:42" ht="16.5" customHeight="1">
      <c r="A23" s="999">
        <f>'09월 조업일지'!A23</f>
        <v>46266</v>
      </c>
      <c r="B23" s="1100">
        <f>'09월 조업일지'!B23</f>
        <v>46266</v>
      </c>
      <c r="C23" s="730">
        <f>'09월 조업일지'!G23</f>
        <v>85225</v>
      </c>
      <c r="D23" s="731" t="str">
        <f>'09월 조업일지'!E23</f>
        <v>A</v>
      </c>
      <c r="E23" s="732" t="str">
        <f>'09월 조업일지'!F23</f>
        <v>A</v>
      </c>
      <c r="F23" s="1096" t="str">
        <f>'09월 에너지'!F25</f>
        <v>SS400-05</v>
      </c>
      <c r="G23" s="733">
        <v>10</v>
      </c>
      <c r="H23" s="734">
        <v>23</v>
      </c>
      <c r="I23" s="734">
        <v>54</v>
      </c>
      <c r="J23" s="734">
        <v>18</v>
      </c>
      <c r="K23" s="735">
        <v>38</v>
      </c>
      <c r="L23" s="734">
        <v>15</v>
      </c>
      <c r="M23" s="736">
        <v>17</v>
      </c>
      <c r="N23" s="737">
        <v>414</v>
      </c>
      <c r="O23" s="737"/>
      <c r="P23" s="737">
        <v>1000</v>
      </c>
      <c r="Q23" s="737">
        <v>956</v>
      </c>
      <c r="R23" s="737"/>
      <c r="S23" s="737"/>
      <c r="T23" s="737">
        <v>0</v>
      </c>
      <c r="U23" s="738"/>
      <c r="V23" s="739">
        <v>414</v>
      </c>
      <c r="W23" s="737"/>
      <c r="X23" s="737">
        <v>1000</v>
      </c>
      <c r="Y23" s="737">
        <v>905</v>
      </c>
      <c r="Z23" s="1202">
        <v>0</v>
      </c>
      <c r="AA23" s="740"/>
      <c r="AB23" s="739">
        <v>0</v>
      </c>
      <c r="AC23" s="741"/>
      <c r="AD23" s="741">
        <v>271</v>
      </c>
      <c r="AE23" s="741">
        <v>339</v>
      </c>
      <c r="AF23" s="741">
        <v>0</v>
      </c>
      <c r="AG23" s="741">
        <v>110</v>
      </c>
      <c r="AH23" s="741">
        <v>835</v>
      </c>
      <c r="AI23" s="741">
        <v>322</v>
      </c>
      <c r="AJ23" s="741">
        <v>83</v>
      </c>
      <c r="AK23" s="741">
        <v>0</v>
      </c>
      <c r="AL23" s="741">
        <v>122</v>
      </c>
      <c r="AM23" s="742">
        <v>1568</v>
      </c>
      <c r="AN23" s="743">
        <f t="shared" si="10"/>
        <v>0.94006816632583501</v>
      </c>
      <c r="AO23" s="744">
        <f t="shared" si="11"/>
        <v>1.0001881950384945</v>
      </c>
      <c r="AP23" s="745">
        <f>'09월 에너지'!S25</f>
        <v>149.9</v>
      </c>
    </row>
    <row r="24" spans="1:42" ht="16.5" customHeight="1">
      <c r="A24" s="999">
        <f>'09월 조업일지'!A24</f>
        <v>46266</v>
      </c>
      <c r="B24" s="1100">
        <f>'09월 조업일지'!B24</f>
        <v>46266</v>
      </c>
      <c r="C24" s="730">
        <f>'09월 조업일지'!G24</f>
        <v>85226</v>
      </c>
      <c r="D24" s="731" t="str">
        <f>'09월 조업일지'!E24</f>
        <v>A</v>
      </c>
      <c r="E24" s="732" t="str">
        <f>'09월 조업일지'!F24</f>
        <v>B</v>
      </c>
      <c r="F24" s="1096" t="str">
        <f>'09월 에너지'!F26</f>
        <v>SS400-05</v>
      </c>
      <c r="G24" s="733">
        <v>15</v>
      </c>
      <c r="H24" s="734">
        <v>20</v>
      </c>
      <c r="I24" s="734">
        <v>51</v>
      </c>
      <c r="J24" s="734">
        <v>14</v>
      </c>
      <c r="K24" s="735">
        <v>29</v>
      </c>
      <c r="L24" s="734">
        <v>11</v>
      </c>
      <c r="M24" s="736">
        <v>13</v>
      </c>
      <c r="N24" s="737">
        <v>419</v>
      </c>
      <c r="O24" s="737"/>
      <c r="P24" s="737">
        <v>1001</v>
      </c>
      <c r="Q24" s="737">
        <v>956</v>
      </c>
      <c r="R24" s="737"/>
      <c r="S24" s="737"/>
      <c r="T24" s="737">
        <v>0</v>
      </c>
      <c r="U24" s="738"/>
      <c r="V24" s="739">
        <v>217</v>
      </c>
      <c r="W24" s="737"/>
      <c r="X24" s="737">
        <v>1002</v>
      </c>
      <c r="Y24" s="737">
        <v>905</v>
      </c>
      <c r="Z24" s="1202">
        <v>0</v>
      </c>
      <c r="AA24" s="740"/>
      <c r="AB24" s="739">
        <v>0</v>
      </c>
      <c r="AC24" s="741"/>
      <c r="AD24" s="741">
        <v>273</v>
      </c>
      <c r="AE24" s="741">
        <v>341</v>
      </c>
      <c r="AF24" s="741">
        <v>0</v>
      </c>
      <c r="AG24" s="741">
        <v>110</v>
      </c>
      <c r="AH24" s="741">
        <v>841</v>
      </c>
      <c r="AI24" s="741">
        <v>324</v>
      </c>
      <c r="AJ24" s="741">
        <v>79</v>
      </c>
      <c r="AK24" s="741">
        <v>0</v>
      </c>
      <c r="AL24" s="741">
        <v>120</v>
      </c>
      <c r="AM24" s="742">
        <v>1861</v>
      </c>
      <c r="AN24" s="743">
        <f t="shared" si="10"/>
        <v>0.78775565488283905</v>
      </c>
      <c r="AO24" s="744">
        <f t="shared" si="11"/>
        <v>0.88914557499575353</v>
      </c>
      <c r="AP24" s="745">
        <f>'09월 에너지'!S26</f>
        <v>145.4</v>
      </c>
    </row>
    <row r="25" spans="1:42" ht="16.5" customHeight="1">
      <c r="A25" s="999">
        <f>'09월 조업일지'!A25</f>
        <v>46266</v>
      </c>
      <c r="B25" s="1100">
        <f>'09월 조업일지'!B25</f>
        <v>46266</v>
      </c>
      <c r="C25" s="730">
        <f>'09월 조업일지'!G25</f>
        <v>85227</v>
      </c>
      <c r="D25" s="731" t="str">
        <f>'09월 조업일지'!E25</f>
        <v>A</v>
      </c>
      <c r="E25" s="732" t="str">
        <f>'09월 조업일지'!F25</f>
        <v>A</v>
      </c>
      <c r="F25" s="1096" t="str">
        <f>'09월 에너지'!F27</f>
        <v>SS400-05</v>
      </c>
      <c r="G25" s="733">
        <v>8</v>
      </c>
      <c r="H25" s="734">
        <v>16</v>
      </c>
      <c r="I25" s="734">
        <v>44</v>
      </c>
      <c r="J25" s="734">
        <v>14</v>
      </c>
      <c r="K25" s="735">
        <v>28</v>
      </c>
      <c r="L25" s="734">
        <v>15</v>
      </c>
      <c r="M25" s="736">
        <v>14</v>
      </c>
      <c r="N25" s="737">
        <v>415</v>
      </c>
      <c r="O25" s="737"/>
      <c r="P25" s="737">
        <v>1002</v>
      </c>
      <c r="Q25" s="737">
        <v>953</v>
      </c>
      <c r="R25" s="737"/>
      <c r="S25" s="737"/>
      <c r="T25" s="737">
        <v>0</v>
      </c>
      <c r="U25" s="738"/>
      <c r="V25" s="739">
        <v>415</v>
      </c>
      <c r="W25" s="737"/>
      <c r="X25" s="737">
        <v>1001</v>
      </c>
      <c r="Y25" s="737">
        <v>904</v>
      </c>
      <c r="Z25" s="1202">
        <v>0</v>
      </c>
      <c r="AA25" s="740"/>
      <c r="AB25" s="739">
        <v>0</v>
      </c>
      <c r="AC25" s="741"/>
      <c r="AD25" s="741">
        <v>271</v>
      </c>
      <c r="AE25" s="741">
        <v>342</v>
      </c>
      <c r="AF25" s="741">
        <v>0</v>
      </c>
      <c r="AG25" s="741">
        <v>110</v>
      </c>
      <c r="AH25" s="741">
        <v>834</v>
      </c>
      <c r="AI25" s="741">
        <v>330</v>
      </c>
      <c r="AJ25" s="741">
        <v>83</v>
      </c>
      <c r="AK25" s="741">
        <v>0</v>
      </c>
      <c r="AL25" s="741">
        <v>129</v>
      </c>
      <c r="AM25" s="742">
        <v>1409</v>
      </c>
      <c r="AN25" s="743">
        <f t="shared" si="10"/>
        <v>0.6170692431561996</v>
      </c>
      <c r="AO25" s="744">
        <f t="shared" si="11"/>
        <v>0.71382322713257973</v>
      </c>
      <c r="AP25" s="745">
        <f>'09월 에너지'!S27</f>
        <v>143.69999999999999</v>
      </c>
    </row>
    <row r="26" spans="1:42" ht="16.5" customHeight="1">
      <c r="A26" s="999">
        <f>'09월 조업일지'!A26</f>
        <v>46266</v>
      </c>
      <c r="B26" s="1100">
        <f>'09월 조업일지'!B26</f>
        <v>46266</v>
      </c>
      <c r="C26" s="730">
        <f>'09월 조업일지'!G26</f>
        <v>85228</v>
      </c>
      <c r="D26" s="731" t="str">
        <f>'09월 조업일지'!E26</f>
        <v>C</v>
      </c>
      <c r="E26" s="732" t="str">
        <f>'09월 조업일지'!F26</f>
        <v>B</v>
      </c>
      <c r="F26" s="1096" t="str">
        <f>'09월 에너지'!F28</f>
        <v>SS400-05</v>
      </c>
      <c r="G26" s="733">
        <v>10</v>
      </c>
      <c r="H26" s="734">
        <v>15</v>
      </c>
      <c r="I26" s="734">
        <v>53</v>
      </c>
      <c r="J26" s="734">
        <v>15</v>
      </c>
      <c r="K26" s="735">
        <v>28</v>
      </c>
      <c r="L26" s="734">
        <v>8</v>
      </c>
      <c r="M26" s="736">
        <v>8</v>
      </c>
      <c r="N26" s="737">
        <v>419</v>
      </c>
      <c r="O26" s="737"/>
      <c r="P26" s="737">
        <v>1005</v>
      </c>
      <c r="Q26" s="737">
        <v>953</v>
      </c>
      <c r="R26" s="737"/>
      <c r="S26" s="737"/>
      <c r="T26" s="737"/>
      <c r="U26" s="738"/>
      <c r="V26" s="739">
        <v>420</v>
      </c>
      <c r="W26" s="737"/>
      <c r="X26" s="737">
        <v>1001</v>
      </c>
      <c r="Y26" s="737">
        <v>902</v>
      </c>
      <c r="Z26" s="1202"/>
      <c r="AA26" s="740"/>
      <c r="AB26" s="739"/>
      <c r="AC26" s="741"/>
      <c r="AD26" s="741">
        <v>271</v>
      </c>
      <c r="AE26" s="741">
        <v>335</v>
      </c>
      <c r="AF26" s="741"/>
      <c r="AG26" s="741">
        <v>110</v>
      </c>
      <c r="AH26" s="741">
        <v>834</v>
      </c>
      <c r="AI26" s="741">
        <v>324</v>
      </c>
      <c r="AJ26" s="741">
        <v>82</v>
      </c>
      <c r="AK26" s="741"/>
      <c r="AL26" s="741">
        <v>122</v>
      </c>
      <c r="AM26" s="742">
        <v>3171</v>
      </c>
      <c r="AN26" s="743">
        <f t="shared" si="10"/>
        <v>0.58557457212713937</v>
      </c>
      <c r="AO26" s="744">
        <f t="shared" si="11"/>
        <v>0.93535457348406992</v>
      </c>
      <c r="AP26" s="745">
        <f>'09월 에너지'!S28</f>
        <v>143.69999999999999</v>
      </c>
    </row>
    <row r="27" spans="1:42" ht="16.5" customHeight="1">
      <c r="A27" s="999">
        <f>'09월 조업일지'!A27</f>
        <v>46266</v>
      </c>
      <c r="B27" s="1100">
        <f>'09월 조업일지'!B27</f>
        <v>46266</v>
      </c>
      <c r="C27" s="730">
        <f>'09월 조업일지'!G27</f>
        <v>85229</v>
      </c>
      <c r="D27" s="731" t="str">
        <f>'09월 조업일지'!E27</f>
        <v>C</v>
      </c>
      <c r="E27" s="732" t="str">
        <f>'09월 조업일지'!F27</f>
        <v>A</v>
      </c>
      <c r="F27" s="1096" t="str">
        <f>'09월 에너지'!F29</f>
        <v>SS400-05</v>
      </c>
      <c r="G27" s="733">
        <v>8</v>
      </c>
      <c r="H27" s="734">
        <v>14</v>
      </c>
      <c r="I27" s="734">
        <v>44</v>
      </c>
      <c r="J27" s="734">
        <v>13</v>
      </c>
      <c r="K27" s="735">
        <v>27</v>
      </c>
      <c r="L27" s="734">
        <v>16</v>
      </c>
      <c r="M27" s="736">
        <v>8</v>
      </c>
      <c r="N27" s="737">
        <v>414</v>
      </c>
      <c r="O27" s="737"/>
      <c r="P27" s="737">
        <v>1001</v>
      </c>
      <c r="Q27" s="737">
        <v>951</v>
      </c>
      <c r="R27" s="737"/>
      <c r="S27" s="737"/>
      <c r="T27" s="737"/>
      <c r="U27" s="738"/>
      <c r="V27" s="739">
        <v>413</v>
      </c>
      <c r="W27" s="737"/>
      <c r="X27" s="737">
        <v>1000</v>
      </c>
      <c r="Y27" s="737">
        <v>903</v>
      </c>
      <c r="Z27" s="1202"/>
      <c r="AA27" s="740"/>
      <c r="AB27" s="739"/>
      <c r="AC27" s="741"/>
      <c r="AD27" s="741">
        <v>270</v>
      </c>
      <c r="AE27" s="741">
        <v>343</v>
      </c>
      <c r="AF27" s="741"/>
      <c r="AG27" s="741">
        <v>110</v>
      </c>
      <c r="AH27" s="741">
        <v>834</v>
      </c>
      <c r="AI27" s="741">
        <v>439</v>
      </c>
      <c r="AJ27" s="741">
        <v>80</v>
      </c>
      <c r="AK27" s="741"/>
      <c r="AL27" s="741">
        <v>130</v>
      </c>
      <c r="AM27" s="742">
        <v>1998</v>
      </c>
      <c r="AN27" s="743">
        <f t="shared" si="10"/>
        <v>0.44340266314515242</v>
      </c>
      <c r="AO27" s="744">
        <f t="shared" si="11"/>
        <v>0.71481671805412816</v>
      </c>
      <c r="AP27" s="745">
        <f>'09월 에너지'!S29</f>
        <v>143.9</v>
      </c>
    </row>
    <row r="28" spans="1:42" ht="16.5" customHeight="1">
      <c r="A28" s="999">
        <f>'09월 조업일지'!A28</f>
        <v>46266</v>
      </c>
      <c r="B28" s="1100">
        <f>'09월 조업일지'!B28</f>
        <v>46266</v>
      </c>
      <c r="C28" s="730">
        <f>'09월 조업일지'!G28</f>
        <v>85230</v>
      </c>
      <c r="D28" s="731" t="str">
        <f>'09월 조업일지'!E28</f>
        <v>C</v>
      </c>
      <c r="E28" s="732" t="str">
        <f>'09월 조업일지'!F28</f>
        <v>B</v>
      </c>
      <c r="F28" s="1096" t="str">
        <f>'09월 에너지'!F30</f>
        <v>SS400-05</v>
      </c>
      <c r="G28" s="733">
        <v>9</v>
      </c>
      <c r="H28" s="734">
        <v>20</v>
      </c>
      <c r="I28" s="734">
        <v>49</v>
      </c>
      <c r="J28" s="734">
        <v>13</v>
      </c>
      <c r="K28" s="735">
        <v>27</v>
      </c>
      <c r="L28" s="734">
        <v>12</v>
      </c>
      <c r="M28" s="736">
        <v>7</v>
      </c>
      <c r="N28" s="737">
        <v>419</v>
      </c>
      <c r="O28" s="737"/>
      <c r="P28" s="737">
        <v>1002</v>
      </c>
      <c r="Q28" s="737">
        <v>956</v>
      </c>
      <c r="R28" s="737"/>
      <c r="S28" s="737"/>
      <c r="T28" s="737"/>
      <c r="U28" s="738"/>
      <c r="V28" s="739">
        <v>418</v>
      </c>
      <c r="W28" s="737"/>
      <c r="X28" s="737">
        <v>1001</v>
      </c>
      <c r="Y28" s="737">
        <v>901</v>
      </c>
      <c r="Z28" s="1202"/>
      <c r="AA28" s="740"/>
      <c r="AB28" s="739"/>
      <c r="AC28" s="741"/>
      <c r="AD28" s="741">
        <v>274</v>
      </c>
      <c r="AE28" s="741">
        <v>339</v>
      </c>
      <c r="AF28" s="741"/>
      <c r="AG28" s="741">
        <v>110</v>
      </c>
      <c r="AH28" s="741">
        <v>841</v>
      </c>
      <c r="AI28" s="741">
        <v>328</v>
      </c>
      <c r="AJ28" s="741">
        <v>77</v>
      </c>
      <c r="AK28" s="741"/>
      <c r="AL28" s="741">
        <v>131</v>
      </c>
      <c r="AM28" s="742">
        <v>1766</v>
      </c>
      <c r="AN28" s="743">
        <f t="shared" si="10"/>
        <v>0.76689506919252992</v>
      </c>
      <c r="AO28" s="744">
        <f t="shared" si="11"/>
        <v>0.82415491761508419</v>
      </c>
      <c r="AP28" s="745">
        <f>'09월 에너지'!S30</f>
        <v>142.69999999999999</v>
      </c>
    </row>
    <row r="29" spans="1:42" ht="16.5" customHeight="1">
      <c r="A29" s="999">
        <f>'09월 조업일지'!A29</f>
        <v>46266</v>
      </c>
      <c r="B29" s="1100">
        <f>'09월 조업일지'!B29</f>
        <v>46266</v>
      </c>
      <c r="C29" s="730">
        <f>'09월 조업일지'!G29</f>
        <v>85231</v>
      </c>
      <c r="D29" s="731" t="str">
        <f>'09월 조업일지'!E29</f>
        <v>C</v>
      </c>
      <c r="E29" s="732" t="str">
        <f>'09월 조업일지'!F29</f>
        <v>A</v>
      </c>
      <c r="F29" s="1096" t="str">
        <f>'09월 에너지'!F31</f>
        <v>SS400-05</v>
      </c>
      <c r="G29" s="733">
        <v>6</v>
      </c>
      <c r="H29" s="734">
        <v>14</v>
      </c>
      <c r="I29" s="734">
        <v>44</v>
      </c>
      <c r="J29" s="734">
        <v>13</v>
      </c>
      <c r="K29" s="735">
        <v>29</v>
      </c>
      <c r="L29" s="734">
        <v>12</v>
      </c>
      <c r="M29" s="736">
        <v>10</v>
      </c>
      <c r="N29" s="737">
        <v>421</v>
      </c>
      <c r="O29" s="737"/>
      <c r="P29" s="737">
        <v>1003</v>
      </c>
      <c r="Q29" s="737">
        <v>951</v>
      </c>
      <c r="R29" s="737"/>
      <c r="S29" s="737"/>
      <c r="T29" s="737"/>
      <c r="U29" s="738"/>
      <c r="V29" s="739">
        <v>422</v>
      </c>
      <c r="W29" s="737"/>
      <c r="X29" s="737">
        <v>1001</v>
      </c>
      <c r="Y29" s="737">
        <v>904</v>
      </c>
      <c r="Z29" s="1202"/>
      <c r="AA29" s="740"/>
      <c r="AB29" s="739"/>
      <c r="AC29" s="741"/>
      <c r="AD29" s="741">
        <v>271</v>
      </c>
      <c r="AE29" s="741">
        <v>343</v>
      </c>
      <c r="AF29" s="741"/>
      <c r="AG29" s="741">
        <v>110</v>
      </c>
      <c r="AH29" s="741">
        <v>839</v>
      </c>
      <c r="AI29" s="741">
        <v>444</v>
      </c>
      <c r="AJ29" s="741">
        <v>80</v>
      </c>
      <c r="AK29" s="741"/>
      <c r="AL29" s="741">
        <v>124</v>
      </c>
      <c r="AM29" s="742">
        <v>2352</v>
      </c>
      <c r="AN29" s="743">
        <f t="shared" si="10"/>
        <v>0.43417238749046527</v>
      </c>
      <c r="AO29" s="744">
        <f t="shared" si="11"/>
        <v>0.7026562233951984</v>
      </c>
      <c r="AP29" s="745">
        <f>'09월 에너지'!S31</f>
        <v>142.30000000000001</v>
      </c>
    </row>
    <row r="30" spans="1:42" ht="16.5" customHeight="1">
      <c r="A30" s="999">
        <f>'09월 조업일지'!A30</f>
        <v>46266</v>
      </c>
      <c r="B30" s="1100">
        <f>'09월 조업일지'!B30</f>
        <v>46266</v>
      </c>
      <c r="C30" s="730">
        <f>'09월 조업일지'!G30</f>
        <v>85232</v>
      </c>
      <c r="D30" s="731" t="str">
        <f>'09월 조업일지'!E30</f>
        <v>C</v>
      </c>
      <c r="E30" s="732" t="str">
        <f>'09월 조업일지'!F30</f>
        <v>B</v>
      </c>
      <c r="F30" s="1096" t="str">
        <f>'09월 에너지'!F32</f>
        <v>SS400-05</v>
      </c>
      <c r="G30" s="733">
        <v>9</v>
      </c>
      <c r="H30" s="734">
        <v>18</v>
      </c>
      <c r="I30" s="734">
        <v>52</v>
      </c>
      <c r="J30" s="734">
        <v>14</v>
      </c>
      <c r="K30" s="735">
        <v>30</v>
      </c>
      <c r="L30" s="734">
        <v>8</v>
      </c>
      <c r="M30" s="736">
        <v>8</v>
      </c>
      <c r="N30" s="737">
        <v>418</v>
      </c>
      <c r="O30" s="737"/>
      <c r="P30" s="737">
        <v>1002</v>
      </c>
      <c r="Q30" s="737">
        <v>961</v>
      </c>
      <c r="R30" s="737"/>
      <c r="S30" s="737"/>
      <c r="T30" s="737"/>
      <c r="U30" s="738"/>
      <c r="V30" s="739">
        <v>420</v>
      </c>
      <c r="W30" s="737"/>
      <c r="X30" s="737">
        <v>1001</v>
      </c>
      <c r="Y30" s="737">
        <v>904</v>
      </c>
      <c r="Z30" s="1202"/>
      <c r="AA30" s="740"/>
      <c r="AB30" s="739"/>
      <c r="AC30" s="741"/>
      <c r="AD30" s="741">
        <v>271</v>
      </c>
      <c r="AE30" s="741">
        <v>331</v>
      </c>
      <c r="AF30" s="741"/>
      <c r="AG30" s="741">
        <v>110</v>
      </c>
      <c r="AH30" s="741">
        <v>836</v>
      </c>
      <c r="AI30" s="741">
        <v>329</v>
      </c>
      <c r="AJ30" s="741">
        <v>74</v>
      </c>
      <c r="AK30" s="741"/>
      <c r="AL30" s="741">
        <v>125</v>
      </c>
      <c r="AM30" s="742">
        <v>2390</v>
      </c>
      <c r="AN30" s="743">
        <f t="shared" si="10"/>
        <v>0.69697702539298678</v>
      </c>
      <c r="AO30" s="744">
        <f t="shared" si="11"/>
        <v>0.91109022556390984</v>
      </c>
      <c r="AP30" s="745">
        <f>'09월 에너지'!S32</f>
        <v>144.1</v>
      </c>
    </row>
    <row r="31" spans="1:42" ht="16.5" customHeight="1">
      <c r="A31" s="999">
        <f>'09월 조업일지'!A31</f>
        <v>46266</v>
      </c>
      <c r="B31" s="1100">
        <f>'09월 조업일지'!B31</f>
        <v>46266</v>
      </c>
      <c r="C31" s="730">
        <f>'09월 조업일지'!G31</f>
        <v>85233</v>
      </c>
      <c r="D31" s="731" t="str">
        <f>'09월 조업일지'!E31</f>
        <v>C</v>
      </c>
      <c r="E31" s="732" t="str">
        <f>'09월 조업일지'!F31</f>
        <v>A</v>
      </c>
      <c r="F31" s="1096" t="str">
        <f>'09월 에너지'!F33</f>
        <v>SS400-05</v>
      </c>
      <c r="G31" s="733">
        <v>8</v>
      </c>
      <c r="H31" s="734">
        <v>18</v>
      </c>
      <c r="I31" s="734">
        <v>49</v>
      </c>
      <c r="J31" s="734">
        <v>13</v>
      </c>
      <c r="K31" s="735">
        <v>21</v>
      </c>
      <c r="L31" s="734">
        <v>15</v>
      </c>
      <c r="M31" s="736">
        <v>8</v>
      </c>
      <c r="N31" s="737">
        <v>422</v>
      </c>
      <c r="O31" s="737"/>
      <c r="P31" s="737">
        <v>1000</v>
      </c>
      <c r="Q31" s="737">
        <v>962</v>
      </c>
      <c r="R31" s="737"/>
      <c r="S31" s="737"/>
      <c r="T31" s="737"/>
      <c r="U31" s="738"/>
      <c r="V31" s="739">
        <v>422</v>
      </c>
      <c r="W31" s="737"/>
      <c r="X31" s="737">
        <v>1003</v>
      </c>
      <c r="Y31" s="737">
        <v>901</v>
      </c>
      <c r="Z31" s="1202"/>
      <c r="AA31" s="740"/>
      <c r="AB31" s="739"/>
      <c r="AC31" s="741"/>
      <c r="AD31" s="741">
        <v>270</v>
      </c>
      <c r="AE31" s="741">
        <v>336</v>
      </c>
      <c r="AF31" s="741"/>
      <c r="AG31" s="741">
        <v>110</v>
      </c>
      <c r="AH31" s="741">
        <v>837</v>
      </c>
      <c r="AI31" s="741">
        <v>322</v>
      </c>
      <c r="AJ31" s="741">
        <v>76</v>
      </c>
      <c r="AK31" s="741"/>
      <c r="AL31" s="741">
        <v>113</v>
      </c>
      <c r="AM31" s="742">
        <v>3066</v>
      </c>
      <c r="AN31" s="743">
        <f t="shared" si="10"/>
        <v>0.70519002860645674</v>
      </c>
      <c r="AO31" s="744">
        <f t="shared" si="11"/>
        <v>0.83447687318655062</v>
      </c>
      <c r="AP31" s="745">
        <f>'09월 에너지'!S33</f>
        <v>143.80000000000001</v>
      </c>
    </row>
    <row r="32" spans="1:42" ht="16.5" customHeight="1">
      <c r="A32" s="999">
        <f>'09월 조업일지'!A32</f>
        <v>46266</v>
      </c>
      <c r="B32" s="1100">
        <f>'09월 조업일지'!B32</f>
        <v>46266</v>
      </c>
      <c r="C32" s="730">
        <f>'09월 조업일지'!G32</f>
        <v>85234</v>
      </c>
      <c r="D32" s="731" t="str">
        <f>'09월 조업일지'!E32</f>
        <v>C</v>
      </c>
      <c r="E32" s="732" t="str">
        <f>'09월 조업일지'!F32</f>
        <v>B</v>
      </c>
      <c r="F32" s="1096" t="str">
        <f>'09월 에너지'!F34</f>
        <v>SS400-05</v>
      </c>
      <c r="G32" s="733">
        <v>10</v>
      </c>
      <c r="H32" s="734">
        <v>21</v>
      </c>
      <c r="I32" s="734">
        <v>55</v>
      </c>
      <c r="J32" s="734">
        <v>13</v>
      </c>
      <c r="K32" s="735">
        <v>29</v>
      </c>
      <c r="L32" s="734">
        <v>10</v>
      </c>
      <c r="M32" s="736">
        <v>9</v>
      </c>
      <c r="N32" s="737">
        <v>415</v>
      </c>
      <c r="O32" s="737"/>
      <c r="P32" s="737">
        <v>1002</v>
      </c>
      <c r="Q32" s="737">
        <v>954</v>
      </c>
      <c r="R32" s="737"/>
      <c r="S32" s="737"/>
      <c r="T32" s="737"/>
      <c r="U32" s="738"/>
      <c r="V32" s="739">
        <v>412</v>
      </c>
      <c r="W32" s="737"/>
      <c r="X32" s="737">
        <v>1002</v>
      </c>
      <c r="Y32" s="737">
        <v>903</v>
      </c>
      <c r="Z32" s="1202"/>
      <c r="AA32" s="740"/>
      <c r="AB32" s="739"/>
      <c r="AC32" s="741"/>
      <c r="AD32" s="741">
        <v>271</v>
      </c>
      <c r="AE32" s="741">
        <v>339</v>
      </c>
      <c r="AF32" s="741"/>
      <c r="AG32" s="741">
        <v>110</v>
      </c>
      <c r="AH32" s="741">
        <v>836</v>
      </c>
      <c r="AI32" s="741">
        <v>330</v>
      </c>
      <c r="AJ32" s="741">
        <v>79</v>
      </c>
      <c r="AK32" s="741"/>
      <c r="AL32" s="741">
        <v>136</v>
      </c>
      <c r="AM32" s="742">
        <v>1647</v>
      </c>
      <c r="AN32" s="743">
        <f t="shared" si="10"/>
        <v>0.81263073209975867</v>
      </c>
      <c r="AO32" s="744">
        <f t="shared" si="11"/>
        <v>0.98632946001367072</v>
      </c>
      <c r="AP32" s="745">
        <f>'09월 에너지'!S34</f>
        <v>144.30000000000001</v>
      </c>
    </row>
    <row r="33" spans="1:42" ht="16.5" customHeight="1">
      <c r="A33" s="999">
        <f>'09월 조업일지'!A33</f>
        <v>46266</v>
      </c>
      <c r="B33" s="1100">
        <f>'09월 조업일지'!B33</f>
        <v>46266</v>
      </c>
      <c r="C33" s="730">
        <f>'09월 조업일지'!G33</f>
        <v>85235</v>
      </c>
      <c r="D33" s="731" t="str">
        <f>'09월 조업일지'!E33</f>
        <v>C</v>
      </c>
      <c r="E33" s="732" t="str">
        <f>'09월 조업일지'!F33</f>
        <v>A</v>
      </c>
      <c r="F33" s="1096" t="str">
        <f>'09월 에너지'!F35</f>
        <v>SS400-05</v>
      </c>
      <c r="G33" s="733">
        <v>7</v>
      </c>
      <c r="H33" s="734">
        <v>22</v>
      </c>
      <c r="I33" s="734">
        <v>50</v>
      </c>
      <c r="J33" s="734">
        <v>12</v>
      </c>
      <c r="K33" s="735">
        <v>27</v>
      </c>
      <c r="L33" s="734">
        <v>10</v>
      </c>
      <c r="M33" s="736">
        <v>11</v>
      </c>
      <c r="N33" s="737">
        <v>424</v>
      </c>
      <c r="O33" s="737"/>
      <c r="P33" s="737">
        <v>1001</v>
      </c>
      <c r="Q33" s="737">
        <v>961</v>
      </c>
      <c r="R33" s="737"/>
      <c r="S33" s="737"/>
      <c r="T33" s="737"/>
      <c r="U33" s="738"/>
      <c r="V33" s="739">
        <v>412</v>
      </c>
      <c r="W33" s="737"/>
      <c r="X33" s="737">
        <v>1000</v>
      </c>
      <c r="Y33" s="737">
        <v>905</v>
      </c>
      <c r="Z33" s="1202"/>
      <c r="AA33" s="740"/>
      <c r="AB33" s="739"/>
      <c r="AC33" s="741"/>
      <c r="AD33" s="741">
        <v>271</v>
      </c>
      <c r="AE33" s="741">
        <v>336</v>
      </c>
      <c r="AF33" s="741"/>
      <c r="AG33" s="741">
        <v>111</v>
      </c>
      <c r="AH33" s="741">
        <v>837</v>
      </c>
      <c r="AI33" s="741">
        <v>332</v>
      </c>
      <c r="AJ33" s="741">
        <v>80</v>
      </c>
      <c r="AK33" s="741"/>
      <c r="AL33" s="741">
        <v>131</v>
      </c>
      <c r="AM33" s="742">
        <v>3014</v>
      </c>
      <c r="AN33" s="743">
        <f t="shared" si="10"/>
        <v>0.77944199706314243</v>
      </c>
      <c r="AO33" s="744">
        <f t="shared" si="11"/>
        <v>0.79271206690561535</v>
      </c>
      <c r="AP33" s="745">
        <f>'09월 에너지'!S35</f>
        <v>132.69999999999999</v>
      </c>
    </row>
    <row r="34" spans="1:42" ht="16.5" customHeight="1">
      <c r="A34" s="999">
        <f>'09월 조업일지'!A34</f>
        <v>46266</v>
      </c>
      <c r="B34" s="1100">
        <f>'09월 조업일지'!B34</f>
        <v>46266</v>
      </c>
      <c r="C34" s="730">
        <f>'09월 조업일지'!G34</f>
        <v>85236</v>
      </c>
      <c r="D34" s="731" t="str">
        <f>'09월 조업일지'!E34</f>
        <v>C</v>
      </c>
      <c r="E34" s="732" t="str">
        <f>'09월 조업일지'!F34</f>
        <v>B</v>
      </c>
      <c r="F34" s="1096" t="str">
        <f>'09월 에너지'!F36</f>
        <v>SS400-05</v>
      </c>
      <c r="G34" s="733">
        <v>8</v>
      </c>
      <c r="H34" s="734">
        <v>18</v>
      </c>
      <c r="I34" s="734">
        <v>51</v>
      </c>
      <c r="J34" s="734">
        <v>12</v>
      </c>
      <c r="K34" s="735">
        <v>29</v>
      </c>
      <c r="L34" s="734">
        <v>10</v>
      </c>
      <c r="M34" s="736">
        <v>8</v>
      </c>
      <c r="N34" s="737">
        <v>422</v>
      </c>
      <c r="O34" s="737"/>
      <c r="P34" s="737">
        <v>1000</v>
      </c>
      <c r="Q34" s="737">
        <v>959</v>
      </c>
      <c r="R34" s="737"/>
      <c r="S34" s="737"/>
      <c r="T34" s="737"/>
      <c r="U34" s="738"/>
      <c r="V34" s="739">
        <v>416</v>
      </c>
      <c r="W34" s="737"/>
      <c r="X34" s="737">
        <v>1001</v>
      </c>
      <c r="Y34" s="737">
        <v>906</v>
      </c>
      <c r="Z34" s="1202"/>
      <c r="AA34" s="740"/>
      <c r="AB34" s="739"/>
      <c r="AC34" s="741"/>
      <c r="AD34" s="741">
        <v>271</v>
      </c>
      <c r="AE34" s="741">
        <v>340</v>
      </c>
      <c r="AF34" s="741"/>
      <c r="AG34" s="741">
        <v>110</v>
      </c>
      <c r="AH34" s="741">
        <v>842</v>
      </c>
      <c r="AI34" s="741">
        <v>329</v>
      </c>
      <c r="AJ34" s="741">
        <v>76</v>
      </c>
      <c r="AK34" s="741"/>
      <c r="AL34" s="741">
        <v>140</v>
      </c>
      <c r="AM34" s="742">
        <v>2094</v>
      </c>
      <c r="AN34" s="743">
        <f t="shared" si="10"/>
        <v>0.69674306393244878</v>
      </c>
      <c r="AO34" s="744">
        <f t="shared" si="11"/>
        <v>0.8819816762809638</v>
      </c>
      <c r="AP34" s="745">
        <f>'09월 에너지'!S36</f>
        <v>144.4</v>
      </c>
    </row>
    <row r="35" spans="1:42" ht="16.5" customHeight="1">
      <c r="A35" s="999">
        <f>'09월 조업일지'!A35</f>
        <v>46266</v>
      </c>
      <c r="B35" s="1100">
        <f>'09월 조업일지'!B35</f>
        <v>46266</v>
      </c>
      <c r="C35" s="730">
        <f>'09월 조업일지'!G35</f>
        <v>85237</v>
      </c>
      <c r="D35" s="731" t="str">
        <f>'09월 조업일지'!E35</f>
        <v>C</v>
      </c>
      <c r="E35" s="732" t="str">
        <f>'09월 조업일지'!F35</f>
        <v>A</v>
      </c>
      <c r="F35" s="1096" t="str">
        <f>'09월 에너지'!F37</f>
        <v>SS400-05</v>
      </c>
      <c r="G35" s="733">
        <v>8</v>
      </c>
      <c r="H35" s="734">
        <v>22</v>
      </c>
      <c r="I35" s="734">
        <v>52</v>
      </c>
      <c r="J35" s="734">
        <v>17</v>
      </c>
      <c r="K35" s="735">
        <v>47</v>
      </c>
      <c r="L35" s="734">
        <v>14</v>
      </c>
      <c r="M35" s="736">
        <v>8</v>
      </c>
      <c r="N35" s="737">
        <v>420</v>
      </c>
      <c r="O35" s="737"/>
      <c r="P35" s="737">
        <v>1003</v>
      </c>
      <c r="Q35" s="737">
        <v>954</v>
      </c>
      <c r="R35" s="737"/>
      <c r="S35" s="737"/>
      <c r="T35" s="737"/>
      <c r="U35" s="738"/>
      <c r="V35" s="739">
        <v>413</v>
      </c>
      <c r="W35" s="737"/>
      <c r="X35" s="737">
        <v>1000</v>
      </c>
      <c r="Y35" s="737">
        <v>910</v>
      </c>
      <c r="Z35" s="1202"/>
      <c r="AA35" s="740"/>
      <c r="AB35" s="739"/>
      <c r="AC35" s="741"/>
      <c r="AD35" s="741">
        <v>271</v>
      </c>
      <c r="AE35" s="741">
        <v>337</v>
      </c>
      <c r="AF35" s="741"/>
      <c r="AG35" s="741">
        <v>110</v>
      </c>
      <c r="AH35" s="741">
        <v>841</v>
      </c>
      <c r="AI35" s="741">
        <v>328</v>
      </c>
      <c r="AJ35" s="741">
        <v>74</v>
      </c>
      <c r="AK35" s="741"/>
      <c r="AL35" s="741">
        <v>131</v>
      </c>
      <c r="AM35" s="742">
        <v>3004</v>
      </c>
      <c r="AN35" s="743">
        <f t="shared" si="10"/>
        <v>0.8483138519414215</v>
      </c>
      <c r="AO35" s="744">
        <f t="shared" si="11"/>
        <v>0.90190249702734859</v>
      </c>
      <c r="AP35" s="745">
        <f>'09월 에너지'!S37</f>
        <v>143.5</v>
      </c>
    </row>
    <row r="36" spans="1:42" ht="16.5" customHeight="1">
      <c r="A36" s="999">
        <f>'09월 조업일지'!A36</f>
        <v>46266</v>
      </c>
      <c r="B36" s="1100">
        <f>'09월 조업일지'!B36</f>
        <v>46266</v>
      </c>
      <c r="C36" s="730">
        <f>'09월 조업일지'!G36</f>
        <v>85238</v>
      </c>
      <c r="D36" s="731" t="str">
        <f>'09월 조업일지'!E36</f>
        <v>D</v>
      </c>
      <c r="E36" s="732" t="str">
        <f>'09월 조업일지'!F36</f>
        <v>B</v>
      </c>
      <c r="F36" s="1096" t="str">
        <f>'09월 에너지'!F38</f>
        <v>SS400-05</v>
      </c>
      <c r="G36" s="733">
        <v>8</v>
      </c>
      <c r="H36" s="734">
        <v>17</v>
      </c>
      <c r="I36" s="734">
        <v>52</v>
      </c>
      <c r="J36" s="734">
        <v>13</v>
      </c>
      <c r="K36" s="735">
        <v>32</v>
      </c>
      <c r="L36" s="734">
        <v>10</v>
      </c>
      <c r="M36" s="736">
        <v>9</v>
      </c>
      <c r="N36" s="737">
        <v>412</v>
      </c>
      <c r="O36" s="737"/>
      <c r="P36" s="737">
        <v>1001</v>
      </c>
      <c r="Q36" s="737">
        <v>958</v>
      </c>
      <c r="R36" s="737"/>
      <c r="S36" s="737"/>
      <c r="T36" s="737"/>
      <c r="U36" s="738"/>
      <c r="V36" s="739">
        <v>413</v>
      </c>
      <c r="W36" s="737"/>
      <c r="X36" s="737">
        <v>1000</v>
      </c>
      <c r="Y36" s="737">
        <v>906</v>
      </c>
      <c r="Z36" s="1202"/>
      <c r="AA36" s="740"/>
      <c r="AB36" s="739"/>
      <c r="AC36" s="741"/>
      <c r="AD36" s="741">
        <v>270</v>
      </c>
      <c r="AE36" s="741">
        <v>335</v>
      </c>
      <c r="AF36" s="741"/>
      <c r="AG36" s="741">
        <v>110</v>
      </c>
      <c r="AH36" s="741">
        <v>841</v>
      </c>
      <c r="AI36" s="741">
        <v>330</v>
      </c>
      <c r="AJ36" s="741">
        <v>83</v>
      </c>
      <c r="AK36" s="741"/>
      <c r="AL36" s="741">
        <v>139</v>
      </c>
      <c r="AM36" s="742">
        <v>1367</v>
      </c>
      <c r="AN36" s="743">
        <f t="shared" si="10"/>
        <v>0.65652348454435971</v>
      </c>
      <c r="AO36" s="744">
        <f t="shared" si="11"/>
        <v>0.90693052488534065</v>
      </c>
      <c r="AP36" s="745">
        <f>'09월 에너지'!S38</f>
        <v>144.30000000000001</v>
      </c>
    </row>
    <row r="37" spans="1:42" ht="16.5" customHeight="1">
      <c r="A37" s="999">
        <f>'09월 조업일지'!A37</f>
        <v>46266</v>
      </c>
      <c r="B37" s="1100">
        <f>'09월 조업일지'!B37</f>
        <v>46266</v>
      </c>
      <c r="C37" s="730">
        <f>'09월 조업일지'!G37</f>
        <v>85239</v>
      </c>
      <c r="D37" s="731" t="str">
        <f>'09월 조업일지'!E37</f>
        <v>D</v>
      </c>
      <c r="E37" s="732" t="str">
        <f>'09월 조업일지'!F37</f>
        <v>A</v>
      </c>
      <c r="F37" s="1096" t="str">
        <f>'09월 에너지'!F39</f>
        <v>SS400-05</v>
      </c>
      <c r="G37" s="733">
        <v>9</v>
      </c>
      <c r="H37" s="734">
        <v>21</v>
      </c>
      <c r="I37" s="734">
        <v>51</v>
      </c>
      <c r="J37" s="734">
        <v>15</v>
      </c>
      <c r="K37" s="735">
        <v>39</v>
      </c>
      <c r="L37" s="734">
        <v>15</v>
      </c>
      <c r="M37" s="736">
        <v>12</v>
      </c>
      <c r="N37" s="737">
        <v>418</v>
      </c>
      <c r="O37" s="737"/>
      <c r="P37" s="737">
        <v>1000</v>
      </c>
      <c r="Q37" s="737">
        <v>962</v>
      </c>
      <c r="R37" s="737"/>
      <c r="S37" s="737"/>
      <c r="T37" s="737"/>
      <c r="U37" s="738"/>
      <c r="V37" s="739">
        <v>413</v>
      </c>
      <c r="W37" s="737"/>
      <c r="X37" s="737">
        <v>1000</v>
      </c>
      <c r="Y37" s="737">
        <v>908</v>
      </c>
      <c r="Z37" s="1202"/>
      <c r="AA37" s="740"/>
      <c r="AB37" s="739"/>
      <c r="AC37" s="741"/>
      <c r="AD37" s="741">
        <v>271</v>
      </c>
      <c r="AE37" s="741">
        <v>341</v>
      </c>
      <c r="AF37" s="741"/>
      <c r="AG37" s="741">
        <v>110</v>
      </c>
      <c r="AH37" s="741">
        <v>840</v>
      </c>
      <c r="AI37" s="741">
        <v>332</v>
      </c>
      <c r="AJ37" s="741">
        <v>78</v>
      </c>
      <c r="AK37" s="741"/>
      <c r="AL37" s="741">
        <v>123</v>
      </c>
      <c r="AM37" s="742">
        <v>1406</v>
      </c>
      <c r="AN37" s="743">
        <f t="shared" si="10"/>
        <v>0.80360000000000009</v>
      </c>
      <c r="AO37" s="744">
        <f t="shared" si="11"/>
        <v>0.87857142857142856</v>
      </c>
      <c r="AP37" s="745">
        <f>'09월 에너지'!S39</f>
        <v>143.5</v>
      </c>
    </row>
    <row r="38" spans="1:42" ht="16.5" customHeight="1">
      <c r="A38" s="999">
        <f>'09월 조업일지'!A38</f>
        <v>46266</v>
      </c>
      <c r="B38" s="1100">
        <f>'09월 조업일지'!B38</f>
        <v>46266</v>
      </c>
      <c r="C38" s="730">
        <f>'09월 조업일지'!G38</f>
        <v>85240</v>
      </c>
      <c r="D38" s="731" t="str">
        <f>'09월 조업일지'!E38</f>
        <v>D</v>
      </c>
      <c r="E38" s="732" t="str">
        <f>'09월 조업일지'!F38</f>
        <v>B</v>
      </c>
      <c r="F38" s="1096" t="str">
        <f>'09월 에너지'!F40</f>
        <v>SS400-05</v>
      </c>
      <c r="G38" s="733">
        <v>8</v>
      </c>
      <c r="H38" s="734">
        <v>17</v>
      </c>
      <c r="I38" s="734">
        <v>51</v>
      </c>
      <c r="J38" s="734">
        <v>13</v>
      </c>
      <c r="K38" s="735">
        <v>30</v>
      </c>
      <c r="L38" s="734">
        <v>13</v>
      </c>
      <c r="M38" s="736">
        <v>12</v>
      </c>
      <c r="N38" s="737">
        <v>420</v>
      </c>
      <c r="O38" s="737"/>
      <c r="P38" s="737">
        <v>1001</v>
      </c>
      <c r="Q38" s="737">
        <v>901</v>
      </c>
      <c r="R38" s="737"/>
      <c r="S38" s="737"/>
      <c r="T38" s="737"/>
      <c r="U38" s="738"/>
      <c r="V38" s="739">
        <v>418</v>
      </c>
      <c r="W38" s="737"/>
      <c r="X38" s="737">
        <v>1001</v>
      </c>
      <c r="Y38" s="737">
        <v>904</v>
      </c>
      <c r="Z38" s="1202"/>
      <c r="AA38" s="740"/>
      <c r="AB38" s="739"/>
      <c r="AC38" s="741"/>
      <c r="AD38" s="741">
        <v>285</v>
      </c>
      <c r="AE38" s="741">
        <v>342</v>
      </c>
      <c r="AF38" s="741"/>
      <c r="AG38" s="741">
        <v>110</v>
      </c>
      <c r="AH38" s="741">
        <v>838</v>
      </c>
      <c r="AI38" s="741">
        <v>341</v>
      </c>
      <c r="AJ38" s="741">
        <v>76</v>
      </c>
      <c r="AK38" s="741"/>
      <c r="AL38" s="741">
        <v>124</v>
      </c>
      <c r="AM38" s="742">
        <v>1546</v>
      </c>
      <c r="AN38" s="743">
        <f t="shared" si="10"/>
        <v>0.64042469524184031</v>
      </c>
      <c r="AO38" s="744">
        <f t="shared" si="11"/>
        <v>0.88189566996249591</v>
      </c>
      <c r="AP38" s="745">
        <f>'09월 에너지'!S40</f>
        <v>143.69999999999999</v>
      </c>
    </row>
    <row r="39" spans="1:42" ht="16.5" customHeight="1">
      <c r="A39" s="999">
        <f>'09월 조업일지'!A39</f>
        <v>46266</v>
      </c>
      <c r="B39" s="1100">
        <f>'09월 조업일지'!B39</f>
        <v>46266</v>
      </c>
      <c r="C39" s="730">
        <f>'09월 조업일지'!G39</f>
        <v>85241</v>
      </c>
      <c r="D39" s="731" t="str">
        <f>'09월 조업일지'!E39</f>
        <v>D</v>
      </c>
      <c r="E39" s="732" t="str">
        <f>'09월 조업일지'!F39</f>
        <v>A</v>
      </c>
      <c r="F39" s="1096" t="str">
        <f>'09월 에너지'!F41</f>
        <v>SS400-05</v>
      </c>
      <c r="G39" s="733">
        <v>10</v>
      </c>
      <c r="H39" s="734">
        <v>23</v>
      </c>
      <c r="I39" s="734">
        <v>51</v>
      </c>
      <c r="J39" s="734">
        <v>15</v>
      </c>
      <c r="K39" s="735">
        <v>40</v>
      </c>
      <c r="L39" s="734">
        <v>13</v>
      </c>
      <c r="M39" s="736">
        <v>10</v>
      </c>
      <c r="N39" s="737">
        <v>412</v>
      </c>
      <c r="O39" s="737"/>
      <c r="P39" s="737">
        <v>1010</v>
      </c>
      <c r="Q39" s="737">
        <v>955</v>
      </c>
      <c r="R39" s="737"/>
      <c r="S39" s="737"/>
      <c r="T39" s="737"/>
      <c r="U39" s="738"/>
      <c r="V39" s="739">
        <v>411</v>
      </c>
      <c r="W39" s="737"/>
      <c r="X39" s="737">
        <v>1017</v>
      </c>
      <c r="Y39" s="737">
        <v>905</v>
      </c>
      <c r="Z39" s="1202"/>
      <c r="AA39" s="740"/>
      <c r="AB39" s="739"/>
      <c r="AC39" s="741"/>
      <c r="AD39" s="741">
        <v>282</v>
      </c>
      <c r="AE39" s="741">
        <v>337</v>
      </c>
      <c r="AF39" s="741"/>
      <c r="AG39" s="741">
        <v>110</v>
      </c>
      <c r="AH39" s="741">
        <v>842</v>
      </c>
      <c r="AI39" s="741">
        <v>332</v>
      </c>
      <c r="AJ39" s="741">
        <v>80</v>
      </c>
      <c r="AK39" s="741"/>
      <c r="AL39" s="741">
        <v>125</v>
      </c>
      <c r="AM39" s="742">
        <v>1777</v>
      </c>
      <c r="AN39" s="743">
        <f t="shared" si="10"/>
        <v>0.88188116173727693</v>
      </c>
      <c r="AO39" s="744">
        <f t="shared" si="11"/>
        <v>0.87892772310824563</v>
      </c>
      <c r="AP39" s="745">
        <f>'09월 에너지'!S41</f>
        <v>143.9</v>
      </c>
    </row>
    <row r="40" spans="1:42" ht="16.5" customHeight="1">
      <c r="A40" s="999">
        <f>'09월 조업일지'!A40</f>
        <v>46266</v>
      </c>
      <c r="B40" s="1100">
        <f>'09월 조업일지'!B40</f>
        <v>46266</v>
      </c>
      <c r="C40" s="730">
        <f>'09월 조업일지'!G40</f>
        <v>85242</v>
      </c>
      <c r="D40" s="731" t="str">
        <f>'09월 조업일지'!E40</f>
        <v>D</v>
      </c>
      <c r="E40" s="732" t="str">
        <f>'09월 조업일지'!F40</f>
        <v>B</v>
      </c>
      <c r="F40" s="1096" t="str">
        <f>'09월 에너지'!F42</f>
        <v>SS400-05</v>
      </c>
      <c r="G40" s="733">
        <v>8</v>
      </c>
      <c r="H40" s="734">
        <v>20</v>
      </c>
      <c r="I40" s="734">
        <v>51</v>
      </c>
      <c r="J40" s="734">
        <v>13</v>
      </c>
      <c r="K40" s="735">
        <v>28</v>
      </c>
      <c r="L40" s="734">
        <v>9</v>
      </c>
      <c r="M40" s="736">
        <v>12</v>
      </c>
      <c r="N40" s="737">
        <v>419</v>
      </c>
      <c r="O40" s="737"/>
      <c r="P40" s="737">
        <v>1014</v>
      </c>
      <c r="Q40" s="737">
        <v>951</v>
      </c>
      <c r="R40" s="737"/>
      <c r="S40" s="737"/>
      <c r="T40" s="737"/>
      <c r="U40" s="738"/>
      <c r="V40" s="739">
        <v>414</v>
      </c>
      <c r="W40" s="737"/>
      <c r="X40" s="737">
        <v>1015</v>
      </c>
      <c r="Y40" s="737">
        <v>901</v>
      </c>
      <c r="Z40" s="1202"/>
      <c r="AA40" s="740"/>
      <c r="AB40" s="739"/>
      <c r="AC40" s="741"/>
      <c r="AD40" s="741">
        <v>281</v>
      </c>
      <c r="AE40" s="741">
        <v>339</v>
      </c>
      <c r="AF40" s="741"/>
      <c r="AG40" s="741">
        <v>110</v>
      </c>
      <c r="AH40" s="741">
        <v>837</v>
      </c>
      <c r="AI40" s="741">
        <v>357</v>
      </c>
      <c r="AJ40" s="741">
        <v>78</v>
      </c>
      <c r="AK40" s="741"/>
      <c r="AL40" s="741">
        <v>130</v>
      </c>
      <c r="AM40" s="742">
        <v>1512</v>
      </c>
      <c r="AN40" s="743">
        <f t="shared" si="10"/>
        <v>0.73277396389524529</v>
      </c>
      <c r="AO40" s="744">
        <f t="shared" si="11"/>
        <v>0.88540706605222741</v>
      </c>
      <c r="AP40" s="745">
        <f>'09월 에너지'!S42</f>
        <v>144.1</v>
      </c>
    </row>
    <row r="41" spans="1:42" ht="16.5" customHeight="1">
      <c r="A41" s="999">
        <f>'09월 조업일지'!A41</f>
        <v>46266</v>
      </c>
      <c r="B41" s="1100">
        <f>'09월 조업일지'!B41</f>
        <v>46266</v>
      </c>
      <c r="C41" s="730">
        <f>'09월 조업일지'!G41</f>
        <v>85243</v>
      </c>
      <c r="D41" s="731" t="str">
        <f>'09월 조업일지'!E41</f>
        <v>D</v>
      </c>
      <c r="E41" s="732" t="str">
        <f>'09월 조업일지'!F41</f>
        <v>A</v>
      </c>
      <c r="F41" s="1096" t="str">
        <f>'09월 에너지'!F43</f>
        <v>SS400-05</v>
      </c>
      <c r="G41" s="733">
        <v>8</v>
      </c>
      <c r="H41" s="734">
        <v>20</v>
      </c>
      <c r="I41" s="734">
        <v>49</v>
      </c>
      <c r="J41" s="734">
        <v>15</v>
      </c>
      <c r="K41" s="735">
        <v>31</v>
      </c>
      <c r="L41" s="734">
        <v>16</v>
      </c>
      <c r="M41" s="736">
        <v>10</v>
      </c>
      <c r="N41" s="737">
        <v>420</v>
      </c>
      <c r="O41" s="737"/>
      <c r="P41" s="737">
        <v>1012</v>
      </c>
      <c r="Q41" s="737">
        <v>951</v>
      </c>
      <c r="R41" s="737"/>
      <c r="S41" s="737"/>
      <c r="T41" s="737"/>
      <c r="U41" s="738"/>
      <c r="V41" s="739">
        <v>419</v>
      </c>
      <c r="W41" s="737"/>
      <c r="X41" s="737">
        <v>1015</v>
      </c>
      <c r="Y41" s="737">
        <v>900</v>
      </c>
      <c r="Z41" s="1202"/>
      <c r="AA41" s="740"/>
      <c r="AB41" s="739"/>
      <c r="AC41" s="741"/>
      <c r="AD41" s="741">
        <v>279</v>
      </c>
      <c r="AE41" s="741">
        <v>333</v>
      </c>
      <c r="AF41" s="741"/>
      <c r="AG41" s="741">
        <v>110</v>
      </c>
      <c r="AH41" s="741">
        <v>840</v>
      </c>
      <c r="AI41" s="741">
        <v>323</v>
      </c>
      <c r="AJ41" s="741">
        <v>84</v>
      </c>
      <c r="AK41" s="741"/>
      <c r="AL41" s="741">
        <v>127</v>
      </c>
      <c r="AM41" s="742">
        <v>2121</v>
      </c>
      <c r="AN41" s="743">
        <f t="shared" si="10"/>
        <v>0.78153428377460965</v>
      </c>
      <c r="AO41" s="744">
        <f t="shared" si="11"/>
        <v>0.83207482993197279</v>
      </c>
      <c r="AP41" s="745">
        <f>'09월 에너지'!S43</f>
        <v>143.9</v>
      </c>
    </row>
    <row r="42" spans="1:42" ht="16.5" customHeight="1">
      <c r="A42" s="999">
        <f>'09월 조업일지'!A42</f>
        <v>46267</v>
      </c>
      <c r="B42" s="1100">
        <f>'09월 조업일지'!B42</f>
        <v>46266</v>
      </c>
      <c r="C42" s="730">
        <f>'09월 조업일지'!G42</f>
        <v>85244</v>
      </c>
      <c r="D42" s="731" t="str">
        <f>'09월 조업일지'!E42</f>
        <v>D</v>
      </c>
      <c r="E42" s="732" t="str">
        <f>'09월 조업일지'!F42</f>
        <v>B</v>
      </c>
      <c r="F42" s="1096" t="str">
        <f>'09월 에너지'!F44</f>
        <v>SS400-05</v>
      </c>
      <c r="G42" s="733">
        <v>9</v>
      </c>
      <c r="H42" s="734">
        <v>19</v>
      </c>
      <c r="I42" s="734">
        <v>51</v>
      </c>
      <c r="J42" s="734">
        <v>12</v>
      </c>
      <c r="K42" s="735">
        <v>30</v>
      </c>
      <c r="L42" s="734">
        <v>9</v>
      </c>
      <c r="M42" s="736">
        <v>8</v>
      </c>
      <c r="N42" s="737">
        <v>421</v>
      </c>
      <c r="O42" s="737"/>
      <c r="P42" s="737">
        <v>1007</v>
      </c>
      <c r="Q42" s="737">
        <v>951</v>
      </c>
      <c r="R42" s="737"/>
      <c r="S42" s="737"/>
      <c r="T42" s="737"/>
      <c r="U42" s="738"/>
      <c r="V42" s="739">
        <v>416</v>
      </c>
      <c r="W42" s="737"/>
      <c r="X42" s="737">
        <v>1014</v>
      </c>
      <c r="Y42" s="737">
        <v>903</v>
      </c>
      <c r="Z42" s="1202"/>
      <c r="AA42" s="740"/>
      <c r="AB42" s="739"/>
      <c r="AC42" s="741"/>
      <c r="AD42" s="741">
        <v>280</v>
      </c>
      <c r="AE42" s="741">
        <v>342</v>
      </c>
      <c r="AF42" s="741"/>
      <c r="AG42" s="741">
        <v>110</v>
      </c>
      <c r="AH42" s="741">
        <v>841</v>
      </c>
      <c r="AI42" s="741">
        <v>343</v>
      </c>
      <c r="AJ42" s="741">
        <v>86</v>
      </c>
      <c r="AK42" s="741"/>
      <c r="AL42" s="741">
        <v>129</v>
      </c>
      <c r="AM42" s="742">
        <v>2472</v>
      </c>
      <c r="AN42" s="743">
        <f t="shared" si="10"/>
        <v>0.69924360980699007</v>
      </c>
      <c r="AO42" s="744">
        <f t="shared" si="11"/>
        <v>0.86285034822490236</v>
      </c>
      <c r="AP42" s="745">
        <f>'09월 에너지'!S44</f>
        <v>141.1</v>
      </c>
    </row>
    <row r="43" spans="1:42" ht="16.5" customHeight="1">
      <c r="A43" s="999">
        <f>'09월 조업일지'!A43</f>
        <v>46267</v>
      </c>
      <c r="B43" s="1100">
        <f>'09월 조업일지'!B43</f>
        <v>46266</v>
      </c>
      <c r="C43" s="730">
        <f>'09월 조업일지'!G43</f>
        <v>85245</v>
      </c>
      <c r="D43" s="731" t="str">
        <f>'09월 조업일지'!E43</f>
        <v>D</v>
      </c>
      <c r="E43" s="732" t="str">
        <f>'09월 조업일지'!F43</f>
        <v>A</v>
      </c>
      <c r="F43" s="1096" t="str">
        <f>'09월 에너지'!F45</f>
        <v>SS400-05</v>
      </c>
      <c r="G43" s="733">
        <v>9</v>
      </c>
      <c r="H43" s="734">
        <v>22</v>
      </c>
      <c r="I43" s="734">
        <v>54</v>
      </c>
      <c r="J43" s="734">
        <v>17</v>
      </c>
      <c r="K43" s="735">
        <v>41</v>
      </c>
      <c r="L43" s="734">
        <v>14</v>
      </c>
      <c r="M43" s="736">
        <v>8</v>
      </c>
      <c r="N43" s="737">
        <v>413</v>
      </c>
      <c r="O43" s="737"/>
      <c r="P43" s="737">
        <v>1008</v>
      </c>
      <c r="Q43" s="737">
        <v>953</v>
      </c>
      <c r="R43" s="737"/>
      <c r="S43" s="737"/>
      <c r="T43" s="737"/>
      <c r="U43" s="738"/>
      <c r="V43" s="739">
        <v>423</v>
      </c>
      <c r="W43" s="737"/>
      <c r="X43" s="737">
        <v>1010</v>
      </c>
      <c r="Y43" s="737">
        <v>901</v>
      </c>
      <c r="Z43" s="1202"/>
      <c r="AA43" s="740"/>
      <c r="AB43" s="739"/>
      <c r="AC43" s="741"/>
      <c r="AD43" s="741">
        <v>282</v>
      </c>
      <c r="AE43" s="741">
        <v>341</v>
      </c>
      <c r="AF43" s="741"/>
      <c r="AG43" s="741">
        <v>110</v>
      </c>
      <c r="AH43" s="741">
        <v>840</v>
      </c>
      <c r="AI43" s="741">
        <v>323</v>
      </c>
      <c r="AJ43" s="741">
        <v>84</v>
      </c>
      <c r="AK43" s="741"/>
      <c r="AL43" s="741">
        <v>123</v>
      </c>
      <c r="AM43" s="742">
        <v>1817</v>
      </c>
      <c r="AN43" s="743">
        <f t="shared" si="10"/>
        <v>0.85729803122878478</v>
      </c>
      <c r="AO43" s="744">
        <f t="shared" si="11"/>
        <v>0.95178571428571423</v>
      </c>
      <c r="AP43" s="745">
        <f>'09월 에너지'!S45</f>
        <v>143.5</v>
      </c>
    </row>
    <row r="44" spans="1:42" ht="16.5" customHeight="1">
      <c r="A44" s="999">
        <f>'09월 조업일지'!A44</f>
        <v>46267</v>
      </c>
      <c r="B44" s="1100">
        <f>'09월 조업일지'!B44</f>
        <v>46266</v>
      </c>
      <c r="C44" s="730">
        <f>'09월 조업일지'!G44</f>
        <v>85246</v>
      </c>
      <c r="D44" s="731" t="str">
        <f>'09월 조업일지'!E44</f>
        <v>D</v>
      </c>
      <c r="E44" s="732" t="str">
        <f>'09월 조업일지'!F44</f>
        <v>B</v>
      </c>
      <c r="F44" s="1096" t="str">
        <f>'09월 에너지'!F46</f>
        <v>SS400-05</v>
      </c>
      <c r="G44" s="733">
        <v>9</v>
      </c>
      <c r="H44" s="734">
        <v>21</v>
      </c>
      <c r="I44" s="734">
        <v>50</v>
      </c>
      <c r="J44" s="734">
        <v>13</v>
      </c>
      <c r="K44" s="735">
        <v>30</v>
      </c>
      <c r="L44" s="734">
        <v>13</v>
      </c>
      <c r="M44" s="736">
        <v>10</v>
      </c>
      <c r="N44" s="737">
        <v>420</v>
      </c>
      <c r="O44" s="737"/>
      <c r="P44" s="737">
        <v>1012</v>
      </c>
      <c r="Q44" s="737">
        <v>951</v>
      </c>
      <c r="R44" s="737"/>
      <c r="S44" s="737"/>
      <c r="T44" s="737"/>
      <c r="U44" s="738"/>
      <c r="V44" s="739">
        <v>418</v>
      </c>
      <c r="W44" s="737"/>
      <c r="X44" s="737">
        <v>1015</v>
      </c>
      <c r="Y44" s="737">
        <v>906</v>
      </c>
      <c r="Z44" s="1202"/>
      <c r="AA44" s="740"/>
      <c r="AB44" s="739"/>
      <c r="AC44" s="741"/>
      <c r="AD44" s="741">
        <v>280</v>
      </c>
      <c r="AE44" s="741">
        <v>340</v>
      </c>
      <c r="AF44" s="741"/>
      <c r="AG44" s="741">
        <v>110</v>
      </c>
      <c r="AH44" s="741">
        <v>831</v>
      </c>
      <c r="AI44" s="741">
        <v>357</v>
      </c>
      <c r="AJ44" s="741">
        <v>78</v>
      </c>
      <c r="AK44" s="741"/>
      <c r="AL44" s="741">
        <v>127</v>
      </c>
      <c r="AM44" s="742">
        <v>2271</v>
      </c>
      <c r="AN44" s="743">
        <f t="shared" si="10"/>
        <v>0.77278287461773709</v>
      </c>
      <c r="AO44" s="744">
        <f t="shared" si="11"/>
        <v>0.86883273164861619</v>
      </c>
      <c r="AP44" s="745">
        <f>'09월 에너지'!S46</f>
        <v>144.4</v>
      </c>
    </row>
    <row r="45" spans="1:42" ht="16.5" customHeight="1">
      <c r="A45" s="999">
        <f>'09월 조업일지'!A45</f>
        <v>46267</v>
      </c>
      <c r="B45" s="1100">
        <f>'09월 조업일지'!B45</f>
        <v>46266</v>
      </c>
      <c r="C45" s="730">
        <f>'09월 조업일지'!G45</f>
        <v>85247</v>
      </c>
      <c r="D45" s="731" t="str">
        <f>'09월 조업일지'!E45</f>
        <v>D</v>
      </c>
      <c r="E45" s="732" t="str">
        <f>'09월 조업일지'!F45</f>
        <v>A</v>
      </c>
      <c r="F45" s="1096" t="str">
        <f>'09월 에너지'!F47</f>
        <v>SS400-05</v>
      </c>
      <c r="G45" s="733">
        <v>7</v>
      </c>
      <c r="H45" s="734">
        <v>20</v>
      </c>
      <c r="I45" s="734">
        <v>48</v>
      </c>
      <c r="J45" s="734">
        <v>13</v>
      </c>
      <c r="K45" s="735">
        <v>30</v>
      </c>
      <c r="L45" s="734">
        <v>15</v>
      </c>
      <c r="M45" s="736">
        <v>12</v>
      </c>
      <c r="N45" s="737">
        <v>421</v>
      </c>
      <c r="O45" s="737"/>
      <c r="P45" s="737">
        <v>1007</v>
      </c>
      <c r="Q45" s="737">
        <v>951</v>
      </c>
      <c r="R45" s="737"/>
      <c r="S45" s="737"/>
      <c r="T45" s="737"/>
      <c r="U45" s="738"/>
      <c r="V45" s="739">
        <v>421</v>
      </c>
      <c r="W45" s="737"/>
      <c r="X45" s="737">
        <v>1015</v>
      </c>
      <c r="Y45" s="737">
        <v>902</v>
      </c>
      <c r="Z45" s="1202"/>
      <c r="AA45" s="740"/>
      <c r="AB45" s="739"/>
      <c r="AC45" s="741"/>
      <c r="AD45" s="741">
        <v>287</v>
      </c>
      <c r="AE45" s="741">
        <v>341</v>
      </c>
      <c r="AF45" s="741"/>
      <c r="AG45" s="741">
        <v>111</v>
      </c>
      <c r="AH45" s="741">
        <v>843</v>
      </c>
      <c r="AI45" s="741">
        <v>328</v>
      </c>
      <c r="AJ45" s="741">
        <v>84</v>
      </c>
      <c r="AK45" s="741"/>
      <c r="AL45" s="741">
        <v>132</v>
      </c>
      <c r="AM45" s="742">
        <v>1944</v>
      </c>
      <c r="AN45" s="743">
        <f t="shared" si="10"/>
        <v>0.77164720096657269</v>
      </c>
      <c r="AO45" s="744">
        <f t="shared" si="11"/>
        <v>0.80360955770208453</v>
      </c>
      <c r="AP45" s="745">
        <f>'09월 에너지'!S47</f>
        <v>143.69999999999999</v>
      </c>
    </row>
    <row r="46" spans="1:42" ht="16.5" customHeight="1">
      <c r="A46" s="999">
        <f>'09월 조업일지'!A46</f>
        <v>46267</v>
      </c>
      <c r="B46" s="1100">
        <f>'09월 조업일지'!B46</f>
        <v>46267</v>
      </c>
      <c r="C46" s="730">
        <f>'09월 조업일지'!G46</f>
        <v>85248</v>
      </c>
      <c r="D46" s="731" t="str">
        <f>'09월 조업일지'!E46</f>
        <v>A</v>
      </c>
      <c r="E46" s="732" t="str">
        <f>'09월 조업일지'!F46</f>
        <v>B</v>
      </c>
      <c r="F46" s="1096" t="str">
        <f>'09월 에너지'!F48</f>
        <v>SS400-05</v>
      </c>
      <c r="G46" s="733">
        <v>9</v>
      </c>
      <c r="H46" s="734">
        <v>21</v>
      </c>
      <c r="I46" s="734">
        <v>55</v>
      </c>
      <c r="J46" s="734">
        <v>14</v>
      </c>
      <c r="K46" s="735">
        <v>32</v>
      </c>
      <c r="L46" s="734">
        <v>8</v>
      </c>
      <c r="M46" s="736">
        <v>11</v>
      </c>
      <c r="N46" s="737">
        <v>421</v>
      </c>
      <c r="O46" s="737"/>
      <c r="P46" s="737">
        <v>1014</v>
      </c>
      <c r="Q46" s="737">
        <v>951</v>
      </c>
      <c r="R46" s="737"/>
      <c r="S46" s="737"/>
      <c r="T46" s="737">
        <v>0</v>
      </c>
      <c r="U46" s="738"/>
      <c r="V46" s="739">
        <v>417</v>
      </c>
      <c r="W46" s="737"/>
      <c r="X46" s="737">
        <v>1013</v>
      </c>
      <c r="Y46" s="737">
        <v>906</v>
      </c>
      <c r="Z46" s="1202">
        <v>0</v>
      </c>
      <c r="AA46" s="740"/>
      <c r="AB46" s="739">
        <v>0</v>
      </c>
      <c r="AC46" s="741"/>
      <c r="AD46" s="741">
        <v>280</v>
      </c>
      <c r="AE46" s="741">
        <v>338</v>
      </c>
      <c r="AF46" s="741">
        <v>0</v>
      </c>
      <c r="AG46" s="741">
        <v>110</v>
      </c>
      <c r="AH46" s="741">
        <v>833</v>
      </c>
      <c r="AI46" s="741">
        <v>327</v>
      </c>
      <c r="AJ46" s="741">
        <v>84</v>
      </c>
      <c r="AK46" s="741">
        <v>0</v>
      </c>
      <c r="AL46" s="741">
        <v>131</v>
      </c>
      <c r="AM46" s="742">
        <v>2234</v>
      </c>
      <c r="AN46" s="743">
        <f t="shared" si="10"/>
        <v>0.79700162074554304</v>
      </c>
      <c r="AO46" s="744">
        <f t="shared" si="11"/>
        <v>0.96381409706739851</v>
      </c>
      <c r="AP46" s="745">
        <f>'09월 에너지'!S48</f>
        <v>140.5</v>
      </c>
    </row>
    <row r="47" spans="1:42" ht="16.5" customHeight="1">
      <c r="A47" s="999">
        <f>'09월 조업일지'!A47</f>
        <v>46267</v>
      </c>
      <c r="B47" s="1100">
        <f>'09월 조업일지'!B47</f>
        <v>46267</v>
      </c>
      <c r="C47" s="730">
        <f>'09월 조업일지'!G47</f>
        <v>85249</v>
      </c>
      <c r="D47" s="731" t="str">
        <f>'09월 조업일지'!E47</f>
        <v>A</v>
      </c>
      <c r="E47" s="732" t="str">
        <f>'09월 조업일지'!F47</f>
        <v>A</v>
      </c>
      <c r="F47" s="1096" t="str">
        <f>'09월 에너지'!F49</f>
        <v>SS400-05</v>
      </c>
      <c r="G47" s="733">
        <v>8</v>
      </c>
      <c r="H47" s="734">
        <v>23</v>
      </c>
      <c r="I47" s="734">
        <v>49</v>
      </c>
      <c r="J47" s="734">
        <v>14</v>
      </c>
      <c r="K47" s="735">
        <v>33</v>
      </c>
      <c r="L47" s="734">
        <v>17</v>
      </c>
      <c r="M47" s="736">
        <v>18</v>
      </c>
      <c r="N47" s="737">
        <v>418</v>
      </c>
      <c r="O47" s="737"/>
      <c r="P47" s="737">
        <v>1011</v>
      </c>
      <c r="Q47" s="737">
        <v>953</v>
      </c>
      <c r="R47" s="737"/>
      <c r="S47" s="737"/>
      <c r="T47" s="737">
        <v>0</v>
      </c>
      <c r="U47" s="738"/>
      <c r="V47" s="739">
        <v>419</v>
      </c>
      <c r="W47" s="737"/>
      <c r="X47" s="737">
        <v>1014</v>
      </c>
      <c r="Y47" s="737">
        <v>902</v>
      </c>
      <c r="Z47" s="1202">
        <v>0</v>
      </c>
      <c r="AA47" s="740"/>
      <c r="AB47" s="739">
        <v>0</v>
      </c>
      <c r="AC47" s="741"/>
      <c r="AD47" s="741">
        <v>283</v>
      </c>
      <c r="AE47" s="741">
        <v>331</v>
      </c>
      <c r="AF47" s="741">
        <v>0</v>
      </c>
      <c r="AG47" s="741">
        <v>110</v>
      </c>
      <c r="AH47" s="741">
        <v>838</v>
      </c>
      <c r="AI47" s="741">
        <v>435</v>
      </c>
      <c r="AJ47" s="741">
        <v>79</v>
      </c>
      <c r="AK47" s="741">
        <v>0</v>
      </c>
      <c r="AL47" s="741">
        <v>129</v>
      </c>
      <c r="AM47" s="742">
        <v>2028</v>
      </c>
      <c r="AN47" s="743">
        <f t="shared" si="10"/>
        <v>0.71603053435114505</v>
      </c>
      <c r="AO47" s="744">
        <f t="shared" si="11"/>
        <v>0.81551312649164687</v>
      </c>
      <c r="AP47" s="745">
        <f>'09월 에너지'!S49</f>
        <v>140.69999999999999</v>
      </c>
    </row>
    <row r="48" spans="1:42" ht="16.5" customHeight="1">
      <c r="A48" s="999">
        <f>'09월 조업일지'!A48</f>
        <v>46267</v>
      </c>
      <c r="B48" s="1100">
        <f>'09월 조업일지'!B48</f>
        <v>46267</v>
      </c>
      <c r="C48" s="730">
        <f>'09월 조업일지'!G48</f>
        <v>85250</v>
      </c>
      <c r="D48" s="731" t="str">
        <f>'09월 조업일지'!E48</f>
        <v>A</v>
      </c>
      <c r="E48" s="732" t="str">
        <f>'09월 조업일지'!F48</f>
        <v>B</v>
      </c>
      <c r="F48" s="1096" t="str">
        <f>'09월 에너지'!F50</f>
        <v>SS400-05</v>
      </c>
      <c r="G48" s="733">
        <v>10</v>
      </c>
      <c r="H48" s="734">
        <v>17</v>
      </c>
      <c r="I48" s="734">
        <v>53</v>
      </c>
      <c r="J48" s="734">
        <v>12</v>
      </c>
      <c r="K48" s="735">
        <v>32</v>
      </c>
      <c r="L48" s="734">
        <v>7</v>
      </c>
      <c r="M48" s="736">
        <v>7</v>
      </c>
      <c r="N48" s="737">
        <v>421</v>
      </c>
      <c r="O48" s="737"/>
      <c r="P48" s="737">
        <v>1009</v>
      </c>
      <c r="Q48" s="737">
        <v>953</v>
      </c>
      <c r="R48" s="737"/>
      <c r="S48" s="737"/>
      <c r="T48" s="737">
        <v>0</v>
      </c>
      <c r="U48" s="738"/>
      <c r="V48" s="739">
        <v>415</v>
      </c>
      <c r="W48" s="737"/>
      <c r="X48" s="737">
        <v>1017</v>
      </c>
      <c r="Y48" s="737">
        <v>902</v>
      </c>
      <c r="Z48" s="1202">
        <v>0</v>
      </c>
      <c r="AA48" s="740"/>
      <c r="AB48" s="739">
        <v>0</v>
      </c>
      <c r="AC48" s="741"/>
      <c r="AD48" s="741">
        <v>283</v>
      </c>
      <c r="AE48" s="741">
        <v>333</v>
      </c>
      <c r="AF48" s="741">
        <v>0</v>
      </c>
      <c r="AG48" s="741">
        <v>110</v>
      </c>
      <c r="AH48" s="741">
        <v>832</v>
      </c>
      <c r="AI48" s="741">
        <v>332</v>
      </c>
      <c r="AJ48" s="741">
        <v>79</v>
      </c>
      <c r="AK48" s="741">
        <v>0</v>
      </c>
      <c r="AL48" s="741">
        <v>123</v>
      </c>
      <c r="AM48" s="742">
        <v>2460</v>
      </c>
      <c r="AN48" s="743">
        <f t="shared" si="10"/>
        <v>0.65353130016051364</v>
      </c>
      <c r="AO48" s="744">
        <f t="shared" si="11"/>
        <v>0.93760302197802192</v>
      </c>
      <c r="AP48" s="745">
        <f>'09월 에너지'!S50</f>
        <v>143.69999999999999</v>
      </c>
    </row>
    <row r="49" spans="1:42" ht="16.5" customHeight="1">
      <c r="A49" s="999">
        <f>'09월 조업일지'!A49</f>
        <v>46267</v>
      </c>
      <c r="B49" s="1100">
        <f>'09월 조업일지'!B49</f>
        <v>46267</v>
      </c>
      <c r="C49" s="730">
        <f>'09월 조업일지'!G49</f>
        <v>85251</v>
      </c>
      <c r="D49" s="731" t="str">
        <f>'09월 조업일지'!E49</f>
        <v>A</v>
      </c>
      <c r="E49" s="732" t="str">
        <f>'09월 조업일지'!F49</f>
        <v>A</v>
      </c>
      <c r="F49" s="1096" t="str">
        <f>'09월 에너지'!F51</f>
        <v>SS400-05</v>
      </c>
      <c r="G49" s="733">
        <v>8</v>
      </c>
      <c r="H49" s="734">
        <v>17</v>
      </c>
      <c r="I49" s="734">
        <v>52</v>
      </c>
      <c r="J49" s="734">
        <v>15</v>
      </c>
      <c r="K49" s="735">
        <v>62</v>
      </c>
      <c r="L49" s="734">
        <v>14</v>
      </c>
      <c r="M49" s="736">
        <v>11</v>
      </c>
      <c r="N49" s="737">
        <v>417</v>
      </c>
      <c r="O49" s="737"/>
      <c r="P49" s="737">
        <v>1011</v>
      </c>
      <c r="Q49" s="737">
        <v>952</v>
      </c>
      <c r="R49" s="737"/>
      <c r="S49" s="737"/>
      <c r="T49" s="737">
        <v>0</v>
      </c>
      <c r="U49" s="738"/>
      <c r="V49" s="739">
        <v>621</v>
      </c>
      <c r="W49" s="737"/>
      <c r="X49" s="737">
        <v>1014</v>
      </c>
      <c r="Y49" s="737">
        <v>903</v>
      </c>
      <c r="Z49" s="1202">
        <v>0</v>
      </c>
      <c r="AA49" s="740"/>
      <c r="AB49" s="739">
        <v>0</v>
      </c>
      <c r="AC49" s="741"/>
      <c r="AD49" s="741">
        <v>285</v>
      </c>
      <c r="AE49" s="741">
        <v>342</v>
      </c>
      <c r="AF49" s="741">
        <v>0</v>
      </c>
      <c r="AG49" s="741">
        <v>110</v>
      </c>
      <c r="AH49" s="741">
        <v>841</v>
      </c>
      <c r="AI49" s="741">
        <v>326</v>
      </c>
      <c r="AJ49" s="741">
        <v>83</v>
      </c>
      <c r="AK49" s="741">
        <v>0</v>
      </c>
      <c r="AL49" s="741">
        <v>128</v>
      </c>
      <c r="AM49" s="742">
        <v>552</v>
      </c>
      <c r="AN49" s="743">
        <f t="shared" si="10"/>
        <v>0.6544988533657089</v>
      </c>
      <c r="AO49" s="744">
        <f t="shared" si="11"/>
        <v>0.89687446916935631</v>
      </c>
      <c r="AP49" s="745">
        <f>'09월 에너지'!S51</f>
        <v>142.69999999999999</v>
      </c>
    </row>
    <row r="50" spans="1:42" ht="16.5" customHeight="1">
      <c r="A50" s="999">
        <f>'09월 조업일지'!A50</f>
        <v>46267</v>
      </c>
      <c r="B50" s="1100">
        <f>'09월 조업일지'!B50</f>
        <v>46267</v>
      </c>
      <c r="C50" s="730">
        <f>'09월 조업일지'!G50</f>
        <v>85252</v>
      </c>
      <c r="D50" s="731" t="str">
        <f>'09월 조업일지'!E50</f>
        <v>A</v>
      </c>
      <c r="E50" s="732" t="str">
        <f>'09월 조업일지'!F50</f>
        <v>B</v>
      </c>
      <c r="F50" s="1096" t="str">
        <f>'09월 에너지'!F52</f>
        <v>SS400-05</v>
      </c>
      <c r="G50" s="733">
        <v>12</v>
      </c>
      <c r="H50" s="734">
        <v>24</v>
      </c>
      <c r="I50" s="734">
        <v>55</v>
      </c>
      <c r="J50" s="734">
        <v>13</v>
      </c>
      <c r="K50" s="735">
        <v>30</v>
      </c>
      <c r="L50" s="734">
        <v>10</v>
      </c>
      <c r="M50" s="736">
        <v>7</v>
      </c>
      <c r="N50" s="737">
        <v>417</v>
      </c>
      <c r="O50" s="737"/>
      <c r="P50" s="737">
        <v>1005</v>
      </c>
      <c r="Q50" s="737">
        <v>953</v>
      </c>
      <c r="R50" s="737"/>
      <c r="S50" s="737"/>
      <c r="T50" s="737">
        <v>0</v>
      </c>
      <c r="U50" s="738"/>
      <c r="V50" s="739">
        <v>419</v>
      </c>
      <c r="W50" s="737"/>
      <c r="X50" s="737">
        <v>1012</v>
      </c>
      <c r="Y50" s="737">
        <v>902</v>
      </c>
      <c r="Z50" s="1202">
        <v>0</v>
      </c>
      <c r="AA50" s="740"/>
      <c r="AB50" s="739">
        <v>0</v>
      </c>
      <c r="AC50" s="741"/>
      <c r="AD50" s="741">
        <v>283</v>
      </c>
      <c r="AE50" s="741">
        <v>336</v>
      </c>
      <c r="AF50" s="741">
        <v>0</v>
      </c>
      <c r="AG50" s="741">
        <v>110</v>
      </c>
      <c r="AH50" s="741">
        <v>836</v>
      </c>
      <c r="AI50" s="741">
        <v>323</v>
      </c>
      <c r="AJ50" s="741">
        <v>80</v>
      </c>
      <c r="AK50" s="741">
        <v>0</v>
      </c>
      <c r="AL50" s="741">
        <v>132</v>
      </c>
      <c r="AM50" s="742">
        <v>2269</v>
      </c>
      <c r="AN50" s="743">
        <f t="shared" si="10"/>
        <v>0.92892696858425139</v>
      </c>
      <c r="AO50" s="744">
        <f t="shared" si="11"/>
        <v>0.97265892002734122</v>
      </c>
      <c r="AP50" s="745">
        <f>'09월 에너지'!S52</f>
        <v>142.30000000000001</v>
      </c>
    </row>
    <row r="51" spans="1:42" ht="16.5" customHeight="1">
      <c r="A51" s="999">
        <f>'09월 조업일지'!A51</f>
        <v>46267</v>
      </c>
      <c r="B51" s="1100">
        <f>'09월 조업일지'!B51</f>
        <v>46267</v>
      </c>
      <c r="C51" s="730">
        <f>'09월 조업일지'!G51</f>
        <v>85253</v>
      </c>
      <c r="D51" s="731" t="str">
        <f>'09월 조업일지'!E51</f>
        <v>A</v>
      </c>
      <c r="E51" s="732" t="str">
        <f>'09월 조업일지'!F51</f>
        <v>A</v>
      </c>
      <c r="F51" s="1096" t="str">
        <f>'09월 에너지'!F53</f>
        <v>SS400-05</v>
      </c>
      <c r="G51" s="733">
        <v>8</v>
      </c>
      <c r="H51" s="734">
        <v>23</v>
      </c>
      <c r="I51" s="734">
        <v>58</v>
      </c>
      <c r="J51" s="734">
        <v>20</v>
      </c>
      <c r="K51" s="735">
        <v>42</v>
      </c>
      <c r="L51" s="734">
        <v>14</v>
      </c>
      <c r="M51" s="736">
        <v>12</v>
      </c>
      <c r="N51" s="737">
        <v>414</v>
      </c>
      <c r="O51" s="737"/>
      <c r="P51" s="737">
        <v>1017</v>
      </c>
      <c r="Q51" s="737">
        <v>951</v>
      </c>
      <c r="R51" s="737"/>
      <c r="S51" s="737"/>
      <c r="T51" s="737">
        <v>0</v>
      </c>
      <c r="U51" s="738"/>
      <c r="V51" s="739">
        <v>422</v>
      </c>
      <c r="W51" s="737"/>
      <c r="X51" s="737">
        <v>1018</v>
      </c>
      <c r="Y51" s="737">
        <v>902</v>
      </c>
      <c r="Z51" s="1202">
        <v>0</v>
      </c>
      <c r="AA51" s="740"/>
      <c r="AB51" s="739">
        <v>0</v>
      </c>
      <c r="AC51" s="741"/>
      <c r="AD51" s="741">
        <v>283</v>
      </c>
      <c r="AE51" s="741">
        <v>340</v>
      </c>
      <c r="AF51" s="741">
        <v>0</v>
      </c>
      <c r="AG51" s="741">
        <v>110</v>
      </c>
      <c r="AH51" s="741">
        <v>842</v>
      </c>
      <c r="AI51" s="741">
        <v>326</v>
      </c>
      <c r="AJ51" s="741">
        <v>79</v>
      </c>
      <c r="AK51" s="741">
        <v>0</v>
      </c>
      <c r="AL51" s="741">
        <v>124</v>
      </c>
      <c r="AM51" s="742">
        <v>1478</v>
      </c>
      <c r="AN51" s="743">
        <f t="shared" si="10"/>
        <v>0.89258360302049622</v>
      </c>
      <c r="AO51" s="744">
        <f t="shared" si="11"/>
        <v>1.0498303359348491</v>
      </c>
      <c r="AP51" s="745">
        <f>'09월 에너지'!S53</f>
        <v>143.9</v>
      </c>
    </row>
    <row r="52" spans="1:42" ht="16.5" customHeight="1">
      <c r="A52" s="999">
        <f>'09월 조업일지'!A52</f>
        <v>46267</v>
      </c>
      <c r="B52" s="1100">
        <f>'09월 조업일지'!B52</f>
        <v>46267</v>
      </c>
      <c r="C52" s="730">
        <f>'09월 조업일지'!G52</f>
        <v>85254</v>
      </c>
      <c r="D52" s="731" t="str">
        <f>'09월 조업일지'!E52</f>
        <v>A</v>
      </c>
      <c r="E52" s="732" t="str">
        <f>'09월 조업일지'!F52</f>
        <v>B</v>
      </c>
      <c r="F52" s="1096" t="str">
        <f>'09월 에너지'!F54</f>
        <v>SS400-05</v>
      </c>
      <c r="G52" s="733">
        <v>14</v>
      </c>
      <c r="H52" s="734">
        <v>25</v>
      </c>
      <c r="I52" s="734">
        <v>59</v>
      </c>
      <c r="J52" s="734">
        <v>19</v>
      </c>
      <c r="K52" s="735">
        <v>36</v>
      </c>
      <c r="L52" s="734">
        <v>9</v>
      </c>
      <c r="M52" s="736">
        <v>9</v>
      </c>
      <c r="N52" s="737">
        <v>414</v>
      </c>
      <c r="O52" s="737"/>
      <c r="P52" s="737">
        <v>1015</v>
      </c>
      <c r="Q52" s="737">
        <v>953</v>
      </c>
      <c r="R52" s="737"/>
      <c r="S52" s="737"/>
      <c r="T52" s="737">
        <v>0</v>
      </c>
      <c r="U52" s="738"/>
      <c r="V52" s="739">
        <v>421</v>
      </c>
      <c r="W52" s="737"/>
      <c r="X52" s="737">
        <v>1014</v>
      </c>
      <c r="Y52" s="737">
        <v>900</v>
      </c>
      <c r="Z52" s="1202">
        <v>0</v>
      </c>
      <c r="AA52" s="740"/>
      <c r="AB52" s="739">
        <v>0</v>
      </c>
      <c r="AC52" s="741"/>
      <c r="AD52" s="741">
        <v>279</v>
      </c>
      <c r="AE52" s="741">
        <v>339</v>
      </c>
      <c r="AF52" s="741">
        <v>0</v>
      </c>
      <c r="AG52" s="741">
        <v>110</v>
      </c>
      <c r="AH52" s="741">
        <v>829</v>
      </c>
      <c r="AI52" s="741">
        <v>331</v>
      </c>
      <c r="AJ52" s="741">
        <v>84</v>
      </c>
      <c r="AK52" s="741">
        <v>0</v>
      </c>
      <c r="AL52" s="741">
        <v>127</v>
      </c>
      <c r="AM52" s="742">
        <v>2046</v>
      </c>
      <c r="AN52" s="743">
        <f t="shared" si="10"/>
        <v>0.96618357487922701</v>
      </c>
      <c r="AO52" s="744">
        <f t="shared" si="11"/>
        <v>1.0918490435981389</v>
      </c>
      <c r="AP52" s="745">
        <f>'09월 에너지'!S54</f>
        <v>144</v>
      </c>
    </row>
    <row r="53" spans="1:42" ht="16.5" customHeight="1">
      <c r="A53" s="999">
        <f>'09월 조업일지'!A53</f>
        <v>46267</v>
      </c>
      <c r="B53" s="1100">
        <f>'09월 조업일지'!B53</f>
        <v>46267</v>
      </c>
      <c r="C53" s="730">
        <f>'09월 조업일지'!G53</f>
        <v>85255</v>
      </c>
      <c r="D53" s="731" t="str">
        <f>'09월 조업일지'!E53</f>
        <v>A</v>
      </c>
      <c r="E53" s="732" t="str">
        <f>'09월 조업일지'!F53</f>
        <v>A</v>
      </c>
      <c r="F53" s="1096" t="str">
        <f>'09월 에너지'!F55</f>
        <v>SS400-05</v>
      </c>
      <c r="G53" s="733">
        <v>12</v>
      </c>
      <c r="H53" s="734">
        <v>23</v>
      </c>
      <c r="I53" s="734">
        <v>50</v>
      </c>
      <c r="J53" s="734">
        <v>17</v>
      </c>
      <c r="K53" s="735">
        <v>22</v>
      </c>
      <c r="L53" s="734">
        <v>14</v>
      </c>
      <c r="M53" s="736">
        <v>10</v>
      </c>
      <c r="N53" s="737">
        <v>420</v>
      </c>
      <c r="O53" s="737"/>
      <c r="P53" s="737">
        <v>1009</v>
      </c>
      <c r="Q53" s="737">
        <v>953</v>
      </c>
      <c r="R53" s="737"/>
      <c r="S53" s="737"/>
      <c r="T53" s="737">
        <v>0</v>
      </c>
      <c r="U53" s="738"/>
      <c r="V53" s="739">
        <v>413</v>
      </c>
      <c r="W53" s="737"/>
      <c r="X53" s="737">
        <v>1009</v>
      </c>
      <c r="Y53" s="737">
        <v>904</v>
      </c>
      <c r="Z53" s="1202">
        <v>0</v>
      </c>
      <c r="AA53" s="740"/>
      <c r="AB53" s="739">
        <v>0</v>
      </c>
      <c r="AC53" s="741"/>
      <c r="AD53" s="741">
        <v>286</v>
      </c>
      <c r="AE53" s="741">
        <v>344</v>
      </c>
      <c r="AF53" s="741">
        <v>0</v>
      </c>
      <c r="AG53" s="741">
        <v>110</v>
      </c>
      <c r="AH53" s="741">
        <v>840</v>
      </c>
      <c r="AI53" s="741">
        <v>338</v>
      </c>
      <c r="AJ53" s="741">
        <v>82</v>
      </c>
      <c r="AK53" s="741">
        <v>0</v>
      </c>
      <c r="AL53" s="741">
        <v>129</v>
      </c>
      <c r="AM53" s="742">
        <v>1839</v>
      </c>
      <c r="AN53" s="743">
        <f t="shared" si="10"/>
        <v>0.87151515151515158</v>
      </c>
      <c r="AO53" s="744">
        <f t="shared" si="11"/>
        <v>0.85595238095238102</v>
      </c>
      <c r="AP53" s="745">
        <f>'09월 에너지'!S55</f>
        <v>143.80000000000001</v>
      </c>
    </row>
    <row r="54" spans="1:42" ht="16.5" customHeight="1">
      <c r="A54" s="999">
        <f>'09월 조업일지'!A54</f>
        <v>46267</v>
      </c>
      <c r="B54" s="1100">
        <f>'09월 조업일지'!B54</f>
        <v>46267</v>
      </c>
      <c r="C54" s="730">
        <f>'09월 조업일지'!G54</f>
        <v>85256</v>
      </c>
      <c r="D54" s="731" t="str">
        <f>'09월 조업일지'!E54</f>
        <v>A</v>
      </c>
      <c r="E54" s="732" t="str">
        <f>'09월 조업일지'!F54</f>
        <v>B</v>
      </c>
      <c r="F54" s="1096" t="str">
        <f>'09월 에너지'!F56</f>
        <v>SS400-05</v>
      </c>
      <c r="G54" s="733">
        <v>11</v>
      </c>
      <c r="H54" s="734">
        <v>25</v>
      </c>
      <c r="I54" s="734">
        <v>61</v>
      </c>
      <c r="J54" s="734">
        <v>18</v>
      </c>
      <c r="K54" s="735">
        <v>25</v>
      </c>
      <c r="L54" s="734">
        <v>13</v>
      </c>
      <c r="M54" s="736">
        <v>11</v>
      </c>
      <c r="N54" s="737">
        <v>418</v>
      </c>
      <c r="O54" s="737"/>
      <c r="P54" s="737">
        <v>1010</v>
      </c>
      <c r="Q54" s="737">
        <v>951</v>
      </c>
      <c r="R54" s="737"/>
      <c r="S54" s="737"/>
      <c r="T54" s="737">
        <v>0</v>
      </c>
      <c r="U54" s="738"/>
      <c r="V54" s="739">
        <v>416</v>
      </c>
      <c r="W54" s="737"/>
      <c r="X54" s="737">
        <v>1014</v>
      </c>
      <c r="Y54" s="737">
        <v>901</v>
      </c>
      <c r="Z54" s="1202">
        <v>0</v>
      </c>
      <c r="AA54" s="740"/>
      <c r="AB54" s="739">
        <v>0</v>
      </c>
      <c r="AC54" s="741"/>
      <c r="AD54" s="741">
        <v>282</v>
      </c>
      <c r="AE54" s="741">
        <v>341</v>
      </c>
      <c r="AF54" s="741">
        <v>0</v>
      </c>
      <c r="AG54" s="741">
        <v>110</v>
      </c>
      <c r="AH54" s="741">
        <v>845</v>
      </c>
      <c r="AI54" s="741">
        <v>333</v>
      </c>
      <c r="AJ54" s="741">
        <v>81</v>
      </c>
      <c r="AK54" s="741">
        <v>0</v>
      </c>
      <c r="AL54" s="741">
        <v>129</v>
      </c>
      <c r="AM54" s="742">
        <v>1986</v>
      </c>
      <c r="AN54" s="743">
        <f t="shared" si="10"/>
        <v>0.94887118193891107</v>
      </c>
      <c r="AO54" s="744">
        <f t="shared" si="11"/>
        <v>1.1113102282333052</v>
      </c>
      <c r="AP54" s="745">
        <f>'09월 에너지'!S56</f>
        <v>142.9</v>
      </c>
    </row>
    <row r="55" spans="1:42" ht="16.5" customHeight="1">
      <c r="A55" s="999">
        <f>'09월 조업일지'!A55</f>
        <v>46267</v>
      </c>
      <c r="B55" s="1100">
        <f>'09월 조업일지'!B55</f>
        <v>46267</v>
      </c>
      <c r="C55" s="730">
        <f>'09월 조업일지'!G55</f>
        <v>85257</v>
      </c>
      <c r="D55" s="731" t="str">
        <f>'09월 조업일지'!E55</f>
        <v>A</v>
      </c>
      <c r="E55" s="732" t="str">
        <f>'09월 조업일지'!F55</f>
        <v>A</v>
      </c>
      <c r="F55" s="1096" t="str">
        <f>'09월 에너지'!F57</f>
        <v>SS400-05</v>
      </c>
      <c r="G55" s="733">
        <v>9</v>
      </c>
      <c r="H55" s="734">
        <v>23</v>
      </c>
      <c r="I55" s="734">
        <v>56</v>
      </c>
      <c r="J55" s="734">
        <v>16</v>
      </c>
      <c r="K55" s="735">
        <v>34</v>
      </c>
      <c r="L55" s="734">
        <v>11</v>
      </c>
      <c r="M55" s="736">
        <v>9</v>
      </c>
      <c r="N55" s="737">
        <v>426</v>
      </c>
      <c r="O55" s="737"/>
      <c r="P55" s="737">
        <v>1012</v>
      </c>
      <c r="Q55" s="737">
        <v>951</v>
      </c>
      <c r="R55" s="737"/>
      <c r="S55" s="737"/>
      <c r="T55" s="737">
        <v>0</v>
      </c>
      <c r="U55" s="738"/>
      <c r="V55" s="739">
        <v>414</v>
      </c>
      <c r="W55" s="737"/>
      <c r="X55" s="737">
        <v>1007</v>
      </c>
      <c r="Y55" s="737">
        <v>901</v>
      </c>
      <c r="Z55" s="1202">
        <v>0</v>
      </c>
      <c r="AA55" s="740"/>
      <c r="AB55" s="739">
        <v>0</v>
      </c>
      <c r="AC55" s="741"/>
      <c r="AD55" s="741">
        <v>287</v>
      </c>
      <c r="AE55" s="741">
        <v>336</v>
      </c>
      <c r="AF55" s="741">
        <v>0</v>
      </c>
      <c r="AG55" s="741">
        <v>110</v>
      </c>
      <c r="AH55" s="741">
        <v>834</v>
      </c>
      <c r="AI55" s="741">
        <v>326</v>
      </c>
      <c r="AJ55" s="741">
        <v>82</v>
      </c>
      <c r="AK55" s="741">
        <v>0</v>
      </c>
      <c r="AL55" s="741">
        <v>137</v>
      </c>
      <c r="AM55" s="742">
        <v>2118</v>
      </c>
      <c r="AN55" s="743">
        <f t="shared" si="10"/>
        <v>0.89237012987012976</v>
      </c>
      <c r="AO55" s="744">
        <f t="shared" si="11"/>
        <v>1.007091469681398</v>
      </c>
      <c r="AP55" s="745">
        <f>'09월 에너지'!S57</f>
        <v>143.4</v>
      </c>
    </row>
    <row r="56" spans="1:42" ht="16.5" customHeight="1">
      <c r="A56" s="999">
        <f>'09월 조업일지'!A56</f>
        <v>46267</v>
      </c>
      <c r="B56" s="1100">
        <f>'09월 조업일지'!B56</f>
        <v>46267</v>
      </c>
      <c r="C56" s="730">
        <f>'09월 조업일지'!G56</f>
        <v>85258</v>
      </c>
      <c r="D56" s="731" t="str">
        <f>'09월 조업일지'!E56</f>
        <v>C</v>
      </c>
      <c r="E56" s="732" t="str">
        <f>'09월 조업일지'!F56</f>
        <v>B</v>
      </c>
      <c r="F56" s="1096" t="str">
        <f>'09월 에너지'!F58</f>
        <v>SS400-05</v>
      </c>
      <c r="G56" s="733">
        <v>12</v>
      </c>
      <c r="H56" s="734">
        <v>24</v>
      </c>
      <c r="I56" s="734">
        <v>59</v>
      </c>
      <c r="J56" s="734">
        <v>17</v>
      </c>
      <c r="K56" s="735">
        <v>27</v>
      </c>
      <c r="L56" s="734">
        <v>12</v>
      </c>
      <c r="M56" s="736">
        <v>11</v>
      </c>
      <c r="N56" s="737">
        <v>419</v>
      </c>
      <c r="O56" s="737"/>
      <c r="P56" s="737">
        <v>1014</v>
      </c>
      <c r="Q56" s="737">
        <v>951</v>
      </c>
      <c r="R56" s="737"/>
      <c r="S56" s="737"/>
      <c r="T56" s="737"/>
      <c r="U56" s="738"/>
      <c r="V56" s="739">
        <v>417</v>
      </c>
      <c r="W56" s="737"/>
      <c r="X56" s="737">
        <v>1007</v>
      </c>
      <c r="Y56" s="737">
        <v>902</v>
      </c>
      <c r="Z56" s="1202"/>
      <c r="AA56" s="740"/>
      <c r="AB56" s="739"/>
      <c r="AC56" s="741"/>
      <c r="AD56" s="741">
        <v>280</v>
      </c>
      <c r="AE56" s="741">
        <v>335</v>
      </c>
      <c r="AF56" s="741"/>
      <c r="AG56" s="741">
        <v>110</v>
      </c>
      <c r="AH56" s="741">
        <v>840</v>
      </c>
      <c r="AI56" s="741">
        <v>326</v>
      </c>
      <c r="AJ56" s="741">
        <v>78</v>
      </c>
      <c r="AK56" s="741"/>
      <c r="AL56" s="741">
        <v>127</v>
      </c>
      <c r="AM56" s="742">
        <v>3073</v>
      </c>
      <c r="AN56" s="743">
        <f t="shared" si="10"/>
        <v>0.92113360323886628</v>
      </c>
      <c r="AO56" s="744">
        <f t="shared" si="11"/>
        <v>1.0640816326530611</v>
      </c>
      <c r="AP56" s="745">
        <f>'09월 에너지'!S58</f>
        <v>142.19999999999999</v>
      </c>
    </row>
    <row r="57" spans="1:42" ht="16.5" customHeight="1">
      <c r="A57" s="999">
        <f>'09월 조업일지'!A57</f>
        <v>46267</v>
      </c>
      <c r="B57" s="1100">
        <f>'09월 조업일지'!B57</f>
        <v>46267</v>
      </c>
      <c r="C57" s="730">
        <f>'09월 조업일지'!G57</f>
        <v>85259</v>
      </c>
      <c r="D57" s="731" t="str">
        <f>'09월 조업일지'!E57</f>
        <v>C</v>
      </c>
      <c r="E57" s="732" t="str">
        <f>'09월 조업일지'!F57</f>
        <v>A</v>
      </c>
      <c r="F57" s="1096" t="str">
        <f>'09월 에너지'!F59</f>
        <v>SS400-05</v>
      </c>
      <c r="G57" s="733">
        <v>9</v>
      </c>
      <c r="H57" s="734">
        <v>22</v>
      </c>
      <c r="I57" s="734">
        <v>54</v>
      </c>
      <c r="J57" s="734">
        <v>15</v>
      </c>
      <c r="K57" s="735">
        <v>32</v>
      </c>
      <c r="L57" s="734">
        <v>10</v>
      </c>
      <c r="M57" s="736">
        <v>7</v>
      </c>
      <c r="N57" s="737">
        <v>421</v>
      </c>
      <c r="O57" s="737"/>
      <c r="P57" s="737">
        <v>1012</v>
      </c>
      <c r="Q57" s="737">
        <v>952</v>
      </c>
      <c r="R57" s="737"/>
      <c r="S57" s="737"/>
      <c r="T57" s="737"/>
      <c r="U57" s="738"/>
      <c r="V57" s="739">
        <v>420</v>
      </c>
      <c r="W57" s="737"/>
      <c r="X57" s="737">
        <v>1013</v>
      </c>
      <c r="Y57" s="737">
        <v>900</v>
      </c>
      <c r="Z57" s="1202"/>
      <c r="AA57" s="740"/>
      <c r="AB57" s="739"/>
      <c r="AC57" s="741"/>
      <c r="AD57" s="741">
        <v>282</v>
      </c>
      <c r="AE57" s="741">
        <v>345</v>
      </c>
      <c r="AF57" s="741"/>
      <c r="AG57" s="741">
        <v>110</v>
      </c>
      <c r="AH57" s="741">
        <v>844</v>
      </c>
      <c r="AI57" s="741">
        <v>330</v>
      </c>
      <c r="AJ57" s="741">
        <v>78</v>
      </c>
      <c r="AK57" s="741"/>
      <c r="AL57" s="741">
        <v>127</v>
      </c>
      <c r="AM57" s="742">
        <v>1795</v>
      </c>
      <c r="AN57" s="743">
        <f t="shared" si="10"/>
        <v>0.84918470997059603</v>
      </c>
      <c r="AO57" s="744">
        <f t="shared" si="11"/>
        <v>0.95321597833446181</v>
      </c>
      <c r="AP57" s="745">
        <f>'09월 에너지'!S59</f>
        <v>144.4</v>
      </c>
    </row>
    <row r="58" spans="1:42" ht="16.5" customHeight="1">
      <c r="A58" s="999">
        <f>'09월 조업일지'!A58</f>
        <v>46267</v>
      </c>
      <c r="B58" s="1100">
        <f>'09월 조업일지'!B58</f>
        <v>46267</v>
      </c>
      <c r="C58" s="730">
        <f>'09월 조업일지'!G58</f>
        <v>85260</v>
      </c>
      <c r="D58" s="731" t="str">
        <f>'09월 조업일지'!E58</f>
        <v>C</v>
      </c>
      <c r="E58" s="732" t="str">
        <f>'09월 조업일지'!F58</f>
        <v>B</v>
      </c>
      <c r="F58" s="1096" t="str">
        <f>'09월 에너지'!F60</f>
        <v>SS400-05</v>
      </c>
      <c r="G58" s="733">
        <v>10</v>
      </c>
      <c r="H58" s="734">
        <v>23</v>
      </c>
      <c r="I58" s="734">
        <v>56</v>
      </c>
      <c r="J58" s="734">
        <v>20</v>
      </c>
      <c r="K58" s="735">
        <v>30</v>
      </c>
      <c r="L58" s="734">
        <v>16</v>
      </c>
      <c r="M58" s="736">
        <v>10</v>
      </c>
      <c r="N58" s="737">
        <v>414</v>
      </c>
      <c r="O58" s="737"/>
      <c r="P58" s="737">
        <v>1010</v>
      </c>
      <c r="Q58" s="737">
        <v>955</v>
      </c>
      <c r="R58" s="737"/>
      <c r="S58" s="737"/>
      <c r="T58" s="737"/>
      <c r="U58" s="738"/>
      <c r="V58" s="739">
        <v>412</v>
      </c>
      <c r="W58" s="737"/>
      <c r="X58" s="737">
        <v>1008</v>
      </c>
      <c r="Y58" s="737">
        <v>905</v>
      </c>
      <c r="Z58" s="1202"/>
      <c r="AA58" s="740"/>
      <c r="AB58" s="739"/>
      <c r="AC58" s="741"/>
      <c r="AD58" s="741">
        <v>287</v>
      </c>
      <c r="AE58" s="741">
        <v>341</v>
      </c>
      <c r="AF58" s="741"/>
      <c r="AG58" s="741">
        <v>109</v>
      </c>
      <c r="AH58" s="741">
        <v>842</v>
      </c>
      <c r="AI58" s="741">
        <v>322</v>
      </c>
      <c r="AJ58" s="741">
        <v>76</v>
      </c>
      <c r="AK58" s="741"/>
      <c r="AL58" s="741">
        <v>126</v>
      </c>
      <c r="AM58" s="742">
        <v>1639</v>
      </c>
      <c r="AN58" s="743">
        <f t="shared" si="10"/>
        <v>0.89861337683523645</v>
      </c>
      <c r="AO58" s="744">
        <f t="shared" si="11"/>
        <v>0.99960977265015272</v>
      </c>
      <c r="AP58" s="745">
        <f>'09월 에너지'!S60</f>
        <v>143.69999999999999</v>
      </c>
    </row>
    <row r="59" spans="1:42" ht="16.5" customHeight="1">
      <c r="A59" s="999">
        <f>'09월 조업일지'!A59</f>
        <v>46267</v>
      </c>
      <c r="B59" s="1100">
        <f>'09월 조업일지'!B59</f>
        <v>46267</v>
      </c>
      <c r="C59" s="730">
        <f>'09월 조업일지'!G59</f>
        <v>85261</v>
      </c>
      <c r="D59" s="731" t="str">
        <f>'09월 조업일지'!E59</f>
        <v>C</v>
      </c>
      <c r="E59" s="732" t="str">
        <f>'09월 조업일지'!F59</f>
        <v>A</v>
      </c>
      <c r="F59" s="1096" t="str">
        <f>'09월 에너지'!F61</f>
        <v>SS400-05</v>
      </c>
      <c r="G59" s="733">
        <v>9</v>
      </c>
      <c r="H59" s="734">
        <v>20</v>
      </c>
      <c r="I59" s="734">
        <v>50</v>
      </c>
      <c r="J59" s="734">
        <v>12</v>
      </c>
      <c r="K59" s="735">
        <v>30</v>
      </c>
      <c r="L59" s="734">
        <v>12</v>
      </c>
      <c r="M59" s="736">
        <v>8</v>
      </c>
      <c r="N59" s="737">
        <v>422</v>
      </c>
      <c r="O59" s="737"/>
      <c r="P59" s="737">
        <v>1010</v>
      </c>
      <c r="Q59" s="737">
        <v>953</v>
      </c>
      <c r="R59" s="737"/>
      <c r="S59" s="737"/>
      <c r="T59" s="737"/>
      <c r="U59" s="738"/>
      <c r="V59" s="739">
        <v>413</v>
      </c>
      <c r="W59" s="737"/>
      <c r="X59" s="737">
        <v>1016</v>
      </c>
      <c r="Y59" s="737">
        <v>902</v>
      </c>
      <c r="Z59" s="1202"/>
      <c r="AA59" s="740"/>
      <c r="AB59" s="739"/>
      <c r="AC59" s="741"/>
      <c r="AD59" s="741">
        <v>286</v>
      </c>
      <c r="AE59" s="741">
        <v>338</v>
      </c>
      <c r="AF59" s="741"/>
      <c r="AG59" s="741">
        <v>110</v>
      </c>
      <c r="AH59" s="741">
        <v>837</v>
      </c>
      <c r="AI59" s="741">
        <v>330</v>
      </c>
      <c r="AJ59" s="741">
        <v>77</v>
      </c>
      <c r="AK59" s="741"/>
      <c r="AL59" s="741">
        <v>125</v>
      </c>
      <c r="AM59" s="742">
        <v>1641</v>
      </c>
      <c r="AN59" s="743">
        <f t="shared" si="10"/>
        <v>0.77094223294464548</v>
      </c>
      <c r="AO59" s="744">
        <f t="shared" si="11"/>
        <v>0.85902031063321393</v>
      </c>
      <c r="AP59" s="745">
        <f>'09월 에너지'!S61</f>
        <v>143.80000000000001</v>
      </c>
    </row>
    <row r="60" spans="1:42" ht="16.5" customHeight="1">
      <c r="A60" s="999">
        <f>'09월 조업일지'!A60</f>
        <v>46267</v>
      </c>
      <c r="B60" s="1100">
        <f>'09월 조업일지'!B60</f>
        <v>46267</v>
      </c>
      <c r="C60" s="730">
        <f>'09월 조업일지'!G60</f>
        <v>85262</v>
      </c>
      <c r="D60" s="731" t="str">
        <f>'09월 조업일지'!E60</f>
        <v>C</v>
      </c>
      <c r="E60" s="1234" t="str">
        <f>'09월 조업일지'!F60</f>
        <v>A</v>
      </c>
      <c r="F60" s="1096" t="str">
        <f>'09월 에너지'!F62</f>
        <v>SS400-05</v>
      </c>
      <c r="G60" s="733">
        <v>9</v>
      </c>
      <c r="H60" s="734">
        <v>21</v>
      </c>
      <c r="I60" s="734">
        <v>51</v>
      </c>
      <c r="J60" s="734">
        <v>11</v>
      </c>
      <c r="K60" s="735">
        <v>30</v>
      </c>
      <c r="L60" s="734">
        <v>13</v>
      </c>
      <c r="M60" s="736">
        <v>9</v>
      </c>
      <c r="N60" s="737">
        <v>415</v>
      </c>
      <c r="O60" s="737"/>
      <c r="P60" s="737">
        <v>1015</v>
      </c>
      <c r="Q60" s="737">
        <v>950</v>
      </c>
      <c r="R60" s="737"/>
      <c r="S60" s="737"/>
      <c r="T60" s="737"/>
      <c r="U60" s="738"/>
      <c r="V60" s="739">
        <v>421</v>
      </c>
      <c r="W60" s="737"/>
      <c r="X60" s="737">
        <v>1020</v>
      </c>
      <c r="Y60" s="737">
        <v>901</v>
      </c>
      <c r="Z60" s="1202"/>
      <c r="AA60" s="740"/>
      <c r="AB60" s="739"/>
      <c r="AC60" s="741"/>
      <c r="AD60" s="741">
        <v>282</v>
      </c>
      <c r="AE60" s="741">
        <v>343</v>
      </c>
      <c r="AF60" s="741"/>
      <c r="AG60" s="741">
        <v>110</v>
      </c>
      <c r="AH60" s="741">
        <v>846</v>
      </c>
      <c r="AI60" s="741">
        <v>334</v>
      </c>
      <c r="AJ60" s="741">
        <v>81</v>
      </c>
      <c r="AK60" s="741"/>
      <c r="AL60" s="741">
        <v>131</v>
      </c>
      <c r="AM60" s="742">
        <v>1768</v>
      </c>
      <c r="AN60" s="743">
        <f t="shared" si="10"/>
        <v>0.78958664546899848</v>
      </c>
      <c r="AO60" s="744">
        <f t="shared" si="11"/>
        <v>0.86261398176291804</v>
      </c>
      <c r="AP60" s="745">
        <f>'09월 에너지'!S62</f>
        <v>141.9</v>
      </c>
    </row>
    <row r="61" spans="1:42" ht="16.5" customHeight="1">
      <c r="A61" s="999">
        <f>'09월 조업일지'!A61</f>
        <v>46267</v>
      </c>
      <c r="B61" s="1100">
        <f>'09월 조업일지'!B61</f>
        <v>46267</v>
      </c>
      <c r="C61" s="730">
        <f>'09월 조업일지'!G61</f>
        <v>85263</v>
      </c>
      <c r="D61" s="731" t="str">
        <f>'09월 조업일지'!E61</f>
        <v>C</v>
      </c>
      <c r="E61" s="732" t="str">
        <f>'09월 조업일지'!F61</f>
        <v>B</v>
      </c>
      <c r="F61" s="1096" t="str">
        <f>'09월 에너지'!F63</f>
        <v>SS400-05</v>
      </c>
      <c r="G61" s="733">
        <v>9</v>
      </c>
      <c r="H61" s="734">
        <v>23</v>
      </c>
      <c r="I61" s="734">
        <v>55</v>
      </c>
      <c r="J61" s="734">
        <v>18</v>
      </c>
      <c r="K61" s="735">
        <v>34</v>
      </c>
      <c r="L61" s="734">
        <v>13</v>
      </c>
      <c r="M61" s="736">
        <v>11</v>
      </c>
      <c r="N61" s="737">
        <v>424</v>
      </c>
      <c r="O61" s="737"/>
      <c r="P61" s="737">
        <v>1013</v>
      </c>
      <c r="Q61" s="737">
        <v>953</v>
      </c>
      <c r="R61" s="737"/>
      <c r="S61" s="737"/>
      <c r="T61" s="737"/>
      <c r="U61" s="738"/>
      <c r="V61" s="739">
        <v>420</v>
      </c>
      <c r="W61" s="737"/>
      <c r="X61" s="737">
        <v>1011</v>
      </c>
      <c r="Y61" s="737">
        <v>900</v>
      </c>
      <c r="Z61" s="1202"/>
      <c r="AA61" s="740"/>
      <c r="AB61" s="739"/>
      <c r="AC61" s="741"/>
      <c r="AD61" s="741">
        <v>284</v>
      </c>
      <c r="AE61" s="741">
        <v>338</v>
      </c>
      <c r="AF61" s="741"/>
      <c r="AG61" s="741">
        <v>110</v>
      </c>
      <c r="AH61" s="741">
        <v>847</v>
      </c>
      <c r="AI61" s="741">
        <v>331</v>
      </c>
      <c r="AJ61" s="741">
        <v>83</v>
      </c>
      <c r="AK61" s="741"/>
      <c r="AL61" s="741">
        <v>129</v>
      </c>
      <c r="AM61" s="742">
        <v>1690</v>
      </c>
      <c r="AN61" s="743">
        <f t="shared" si="10"/>
        <v>0.88188116173727693</v>
      </c>
      <c r="AO61" s="744">
        <f t="shared" si="11"/>
        <v>0.97082138640580207</v>
      </c>
      <c r="AP61" s="745">
        <f>'09월 에너지'!S63</f>
        <v>143.9</v>
      </c>
    </row>
    <row r="62" spans="1:42" ht="16.5" customHeight="1">
      <c r="A62" s="999">
        <f>'09월 조업일지'!A62</f>
        <v>46267</v>
      </c>
      <c r="B62" s="1100">
        <f>'09월 조업일지'!B62</f>
        <v>46267</v>
      </c>
      <c r="C62" s="730">
        <f>'09월 조업일지'!G62</f>
        <v>85264</v>
      </c>
      <c r="D62" s="731" t="str">
        <f>'09월 조업일지'!E62</f>
        <v>C</v>
      </c>
      <c r="E62" s="732" t="str">
        <f>'09월 조업일지'!F62</f>
        <v>A</v>
      </c>
      <c r="F62" s="1096" t="str">
        <f>'09월 에너지'!F64</f>
        <v>SS400-05</v>
      </c>
      <c r="G62" s="733">
        <v>8</v>
      </c>
      <c r="H62" s="734">
        <v>18</v>
      </c>
      <c r="I62" s="734">
        <v>50</v>
      </c>
      <c r="J62" s="734">
        <v>12</v>
      </c>
      <c r="K62" s="735">
        <v>30</v>
      </c>
      <c r="L62" s="734">
        <v>11</v>
      </c>
      <c r="M62" s="736">
        <v>8</v>
      </c>
      <c r="N62" s="737">
        <v>415</v>
      </c>
      <c r="O62" s="737"/>
      <c r="P62" s="737">
        <v>1015</v>
      </c>
      <c r="Q62" s="737">
        <v>951</v>
      </c>
      <c r="R62" s="737"/>
      <c r="S62" s="737"/>
      <c r="T62" s="737"/>
      <c r="U62" s="738"/>
      <c r="V62" s="739">
        <v>416</v>
      </c>
      <c r="W62" s="737"/>
      <c r="X62" s="737">
        <v>1010</v>
      </c>
      <c r="Y62" s="737">
        <v>901</v>
      </c>
      <c r="Z62" s="1202"/>
      <c r="AA62" s="740"/>
      <c r="AB62" s="739"/>
      <c r="AC62" s="741"/>
      <c r="AD62" s="741">
        <v>282</v>
      </c>
      <c r="AE62" s="741">
        <v>344</v>
      </c>
      <c r="AF62" s="741"/>
      <c r="AG62" s="741">
        <v>110</v>
      </c>
      <c r="AH62" s="741">
        <v>845</v>
      </c>
      <c r="AI62" s="741">
        <v>328</v>
      </c>
      <c r="AJ62" s="741">
        <v>89</v>
      </c>
      <c r="AK62" s="741"/>
      <c r="AL62" s="741">
        <v>133</v>
      </c>
      <c r="AM62" s="742">
        <v>2532</v>
      </c>
      <c r="AN62" s="743">
        <f t="shared" si="10"/>
        <v>0.69102615694164982</v>
      </c>
      <c r="AO62" s="744">
        <f t="shared" si="11"/>
        <v>0.8467455621301776</v>
      </c>
      <c r="AP62" s="745">
        <f>'09월 에너지'!S64</f>
        <v>143.1</v>
      </c>
    </row>
    <row r="63" spans="1:42" ht="16.5" customHeight="1">
      <c r="A63" s="999">
        <f>'09월 조업일지'!A63</f>
        <v>46267</v>
      </c>
      <c r="B63" s="1100">
        <f>'09월 조업일지'!B63</f>
        <v>46267</v>
      </c>
      <c r="C63" s="730">
        <f>'09월 조업일지'!G63</f>
        <v>85265</v>
      </c>
      <c r="D63" s="731" t="str">
        <f>'09월 조업일지'!E63</f>
        <v>C</v>
      </c>
      <c r="E63" s="732" t="str">
        <f>'09월 조업일지'!F63</f>
        <v>B</v>
      </c>
      <c r="F63" s="1096" t="str">
        <f>'09월 에너지'!F65</f>
        <v>SS400-05</v>
      </c>
      <c r="G63" s="733">
        <v>8</v>
      </c>
      <c r="H63" s="734">
        <v>20</v>
      </c>
      <c r="I63" s="734">
        <v>49</v>
      </c>
      <c r="J63" s="734">
        <v>12</v>
      </c>
      <c r="K63" s="735">
        <v>32</v>
      </c>
      <c r="L63" s="734">
        <v>13</v>
      </c>
      <c r="M63" s="736">
        <v>10</v>
      </c>
      <c r="N63" s="737">
        <v>413</v>
      </c>
      <c r="O63" s="737"/>
      <c r="P63" s="737">
        <v>1008</v>
      </c>
      <c r="Q63" s="737">
        <v>951</v>
      </c>
      <c r="R63" s="737"/>
      <c r="S63" s="737"/>
      <c r="T63" s="737"/>
      <c r="U63" s="738"/>
      <c r="V63" s="739">
        <v>413</v>
      </c>
      <c r="W63" s="737"/>
      <c r="X63" s="737">
        <v>1012</v>
      </c>
      <c r="Y63" s="737">
        <v>903</v>
      </c>
      <c r="Z63" s="1202"/>
      <c r="AA63" s="740"/>
      <c r="AB63" s="739"/>
      <c r="AC63" s="741"/>
      <c r="AD63" s="741">
        <v>282</v>
      </c>
      <c r="AE63" s="741">
        <v>343</v>
      </c>
      <c r="AF63" s="741"/>
      <c r="AG63" s="741">
        <v>110</v>
      </c>
      <c r="AH63" s="741">
        <v>845</v>
      </c>
      <c r="AI63" s="741">
        <v>330</v>
      </c>
      <c r="AJ63" s="741">
        <v>78</v>
      </c>
      <c r="AK63" s="741"/>
      <c r="AL63" s="741">
        <v>130</v>
      </c>
      <c r="AM63" s="742">
        <v>899</v>
      </c>
      <c r="AN63" s="743">
        <f t="shared" si="10"/>
        <v>0.76900467601870415</v>
      </c>
      <c r="AO63" s="744">
        <f t="shared" si="11"/>
        <v>0.82715131022823329</v>
      </c>
      <c r="AP63" s="745">
        <f>'09월 에너지'!S65</f>
        <v>143.9</v>
      </c>
    </row>
    <row r="64" spans="1:42" ht="16.5" customHeight="1">
      <c r="A64" s="999">
        <f>'09월 조업일지'!A64</f>
        <v>46267</v>
      </c>
      <c r="B64" s="1100">
        <f>'09월 조업일지'!B64</f>
        <v>46267</v>
      </c>
      <c r="C64" s="730">
        <f>'09월 조업일지'!G64</f>
        <v>85266</v>
      </c>
      <c r="D64" s="731" t="str">
        <f>'09월 조업일지'!E64</f>
        <v>C</v>
      </c>
      <c r="E64" s="732" t="str">
        <f>'09월 조업일지'!F64</f>
        <v>A</v>
      </c>
      <c r="F64" s="1096" t="str">
        <f>'09월 에너지'!F66</f>
        <v>SS400-05</v>
      </c>
      <c r="G64" s="733">
        <v>8</v>
      </c>
      <c r="H64" s="734">
        <v>21</v>
      </c>
      <c r="I64" s="734">
        <v>49</v>
      </c>
      <c r="J64" s="734">
        <v>11</v>
      </c>
      <c r="K64" s="735">
        <v>38</v>
      </c>
      <c r="L64" s="734">
        <v>14</v>
      </c>
      <c r="M64" s="736">
        <v>12</v>
      </c>
      <c r="N64" s="737">
        <v>417</v>
      </c>
      <c r="O64" s="737"/>
      <c r="P64" s="737">
        <v>1008</v>
      </c>
      <c r="Q64" s="737">
        <v>953</v>
      </c>
      <c r="R64" s="737"/>
      <c r="S64" s="737"/>
      <c r="T64" s="737"/>
      <c r="U64" s="738"/>
      <c r="V64" s="739">
        <v>418</v>
      </c>
      <c r="W64" s="737"/>
      <c r="X64" s="737">
        <v>1014</v>
      </c>
      <c r="Y64" s="737">
        <v>901</v>
      </c>
      <c r="Z64" s="1202"/>
      <c r="AA64" s="740"/>
      <c r="AB64" s="739"/>
      <c r="AC64" s="741"/>
      <c r="AD64" s="741">
        <v>280</v>
      </c>
      <c r="AE64" s="741">
        <v>342</v>
      </c>
      <c r="AF64" s="741"/>
      <c r="AG64" s="741">
        <v>110</v>
      </c>
      <c r="AH64" s="741">
        <v>838</v>
      </c>
      <c r="AI64" s="741">
        <v>327</v>
      </c>
      <c r="AJ64" s="741">
        <v>86</v>
      </c>
      <c r="AK64" s="741"/>
      <c r="AL64" s="741">
        <v>134</v>
      </c>
      <c r="AM64" s="742">
        <v>2553</v>
      </c>
      <c r="AN64" s="743">
        <f t="shared" si="10"/>
        <v>0.81746866154468267</v>
      </c>
      <c r="AO64" s="744">
        <f t="shared" si="11"/>
        <v>0.83695874531196734</v>
      </c>
      <c r="AP64" s="745">
        <f>'09월 에너지'!S66</f>
        <v>144.4</v>
      </c>
    </row>
    <row r="65" spans="1:42" ht="16.5" customHeight="1">
      <c r="A65" s="999">
        <f>'09월 조업일지'!A65</f>
        <v>46267</v>
      </c>
      <c r="B65" s="1100">
        <f>'09월 조업일지'!B65</f>
        <v>46267</v>
      </c>
      <c r="C65" s="730">
        <f>'09월 조업일지'!G65</f>
        <v>85267</v>
      </c>
      <c r="D65" s="731" t="str">
        <f>'09월 조업일지'!E65</f>
        <v>C</v>
      </c>
      <c r="E65" s="732" t="str">
        <f>'09월 조업일지'!F65</f>
        <v>B</v>
      </c>
      <c r="F65" s="1096" t="str">
        <f>'09월 에너지'!F67</f>
        <v>SS400-05</v>
      </c>
      <c r="G65" s="733">
        <v>11</v>
      </c>
      <c r="H65" s="734">
        <v>21</v>
      </c>
      <c r="I65" s="734">
        <v>52</v>
      </c>
      <c r="J65" s="734">
        <v>13</v>
      </c>
      <c r="K65" s="735">
        <v>37</v>
      </c>
      <c r="L65" s="734">
        <v>12</v>
      </c>
      <c r="M65" s="736">
        <v>12</v>
      </c>
      <c r="N65" s="737">
        <v>412</v>
      </c>
      <c r="O65" s="737"/>
      <c r="P65" s="737">
        <v>1010</v>
      </c>
      <c r="Q65" s="737">
        <v>953</v>
      </c>
      <c r="R65" s="737"/>
      <c r="S65" s="737"/>
      <c r="T65" s="737"/>
      <c r="U65" s="738"/>
      <c r="V65" s="739">
        <v>415</v>
      </c>
      <c r="W65" s="737"/>
      <c r="X65" s="737">
        <v>1008</v>
      </c>
      <c r="Y65" s="737">
        <v>899</v>
      </c>
      <c r="Z65" s="1202"/>
      <c r="AA65" s="740"/>
      <c r="AB65" s="739"/>
      <c r="AC65" s="741"/>
      <c r="AD65" s="741">
        <v>285</v>
      </c>
      <c r="AE65" s="741">
        <v>339</v>
      </c>
      <c r="AF65" s="741"/>
      <c r="AG65" s="741">
        <v>110</v>
      </c>
      <c r="AH65" s="741">
        <v>831</v>
      </c>
      <c r="AI65" s="741">
        <v>328</v>
      </c>
      <c r="AJ65" s="741">
        <v>83</v>
      </c>
      <c r="AK65" s="741"/>
      <c r="AL65" s="741">
        <v>131</v>
      </c>
      <c r="AM65" s="742">
        <v>849</v>
      </c>
      <c r="AN65" s="743">
        <f t="shared" si="10"/>
        <v>0.81926345609065165</v>
      </c>
      <c r="AO65" s="744">
        <f t="shared" si="11"/>
        <v>0.91975244971634873</v>
      </c>
      <c r="AP65" s="745">
        <f>'09월 에너지'!S67</f>
        <v>144.6</v>
      </c>
    </row>
    <row r="66" spans="1:42" ht="16.5" customHeight="1">
      <c r="A66" s="999">
        <f>'09월 조업일지'!A66</f>
        <v>46267</v>
      </c>
      <c r="B66" s="1100">
        <f>'09월 조업일지'!B66</f>
        <v>46267</v>
      </c>
      <c r="C66" s="730">
        <f>'09월 조업일지'!G66</f>
        <v>85268</v>
      </c>
      <c r="D66" s="731" t="str">
        <f>'09월 조업일지'!E66</f>
        <v>D</v>
      </c>
      <c r="E66" s="732" t="str">
        <f>'09월 조업일지'!F66</f>
        <v>A</v>
      </c>
      <c r="F66" s="1096" t="str">
        <f>'09월 에너지'!F68</f>
        <v>SS400-05</v>
      </c>
      <c r="G66" s="733">
        <v>9</v>
      </c>
      <c r="H66" s="734">
        <v>19</v>
      </c>
      <c r="I66" s="734">
        <v>50</v>
      </c>
      <c r="J66" s="734">
        <v>15</v>
      </c>
      <c r="K66" s="735">
        <v>39</v>
      </c>
      <c r="L66" s="734">
        <v>10</v>
      </c>
      <c r="M66" s="736">
        <v>10</v>
      </c>
      <c r="N66" s="737">
        <v>415</v>
      </c>
      <c r="O66" s="737"/>
      <c r="P66" s="737">
        <v>1016</v>
      </c>
      <c r="Q66" s="737">
        <v>952</v>
      </c>
      <c r="R66" s="737"/>
      <c r="S66" s="737"/>
      <c r="T66" s="737"/>
      <c r="U66" s="738"/>
      <c r="V66" s="739">
        <v>4133</v>
      </c>
      <c r="W66" s="737"/>
      <c r="X66" s="737">
        <v>1012</v>
      </c>
      <c r="Y66" s="737">
        <v>902</v>
      </c>
      <c r="Z66" s="1202"/>
      <c r="AA66" s="740"/>
      <c r="AB66" s="739"/>
      <c r="AC66" s="741"/>
      <c r="AD66" s="741">
        <v>280</v>
      </c>
      <c r="AE66" s="741">
        <v>338</v>
      </c>
      <c r="AF66" s="741"/>
      <c r="AG66" s="741">
        <v>110</v>
      </c>
      <c r="AH66" s="741">
        <v>831</v>
      </c>
      <c r="AI66" s="741">
        <v>332</v>
      </c>
      <c r="AJ66" s="741">
        <v>80</v>
      </c>
      <c r="AK66" s="741"/>
      <c r="AL66" s="741">
        <v>124</v>
      </c>
      <c r="AM66" s="742">
        <v>2761</v>
      </c>
      <c r="AN66" s="743">
        <f t="shared" si="10"/>
        <v>0.73427003880636965</v>
      </c>
      <c r="AO66" s="744">
        <f t="shared" si="11"/>
        <v>0.86883273164861619</v>
      </c>
      <c r="AP66" s="745">
        <f>'09월 에너지'!S68</f>
        <v>144.4</v>
      </c>
    </row>
    <row r="67" spans="1:42" ht="16.5" customHeight="1">
      <c r="A67" s="999">
        <f>'09월 조업일지'!A67</f>
        <v>46267</v>
      </c>
      <c r="B67" s="1100">
        <f>'09월 조업일지'!B67</f>
        <v>46267</v>
      </c>
      <c r="C67" s="730">
        <f>'09월 조업일지'!G67</f>
        <v>85269</v>
      </c>
      <c r="D67" s="731" t="str">
        <f>'09월 조업일지'!E67</f>
        <v>D</v>
      </c>
      <c r="E67" s="732" t="str">
        <f>'09월 조업일지'!F67</f>
        <v>B</v>
      </c>
      <c r="F67" s="1096" t="str">
        <f>'09월 에너지'!F69</f>
        <v>SS400-05</v>
      </c>
      <c r="G67" s="733">
        <v>10</v>
      </c>
      <c r="H67" s="734">
        <v>19</v>
      </c>
      <c r="I67" s="734">
        <v>51</v>
      </c>
      <c r="J67" s="734">
        <v>15</v>
      </c>
      <c r="K67" s="735">
        <v>35</v>
      </c>
      <c r="L67" s="734">
        <v>12</v>
      </c>
      <c r="M67" s="736">
        <v>10</v>
      </c>
      <c r="N67" s="737">
        <v>420</v>
      </c>
      <c r="O67" s="737"/>
      <c r="P67" s="737">
        <v>1015</v>
      </c>
      <c r="Q67" s="737">
        <v>951</v>
      </c>
      <c r="R67" s="737"/>
      <c r="S67" s="737"/>
      <c r="T67" s="737"/>
      <c r="U67" s="738"/>
      <c r="V67" s="739">
        <v>420</v>
      </c>
      <c r="W67" s="737"/>
      <c r="X67" s="737">
        <v>1011</v>
      </c>
      <c r="Y67" s="737">
        <v>904</v>
      </c>
      <c r="Z67" s="1202"/>
      <c r="AA67" s="740"/>
      <c r="AB67" s="739"/>
      <c r="AC67" s="741"/>
      <c r="AD67" s="741">
        <v>271</v>
      </c>
      <c r="AE67" s="741">
        <v>337</v>
      </c>
      <c r="AF67" s="741"/>
      <c r="AG67" s="741">
        <v>110</v>
      </c>
      <c r="AH67" s="741">
        <v>833</v>
      </c>
      <c r="AI67" s="741">
        <v>362</v>
      </c>
      <c r="AJ67" s="741">
        <v>84</v>
      </c>
      <c r="AK67" s="741"/>
      <c r="AL67" s="741">
        <v>119</v>
      </c>
      <c r="AM67" s="742">
        <v>1205</v>
      </c>
      <c r="AN67" s="743">
        <f t="shared" si="10"/>
        <v>0.69491739185269263</v>
      </c>
      <c r="AO67" s="744">
        <f t="shared" si="11"/>
        <v>0.89521522894872252</v>
      </c>
      <c r="AP67" s="745">
        <f>'09월 에너지'!S69</f>
        <v>145</v>
      </c>
    </row>
    <row r="68" spans="1:42" ht="16.5" customHeight="1">
      <c r="A68" s="999">
        <f>'09월 조업일지'!A68</f>
        <v>46267</v>
      </c>
      <c r="B68" s="1100">
        <f>'09월 조업일지'!B68</f>
        <v>46267</v>
      </c>
      <c r="C68" s="730">
        <f>'09월 조업일지'!G68</f>
        <v>85270</v>
      </c>
      <c r="D68" s="731" t="str">
        <f>'09월 조업일지'!E68</f>
        <v>D</v>
      </c>
      <c r="E68" s="732" t="str">
        <f>'09월 조업일지'!F68</f>
        <v>A</v>
      </c>
      <c r="F68" s="1096" t="str">
        <f>'09월 에너지'!F70</f>
        <v>SS400-05</v>
      </c>
      <c r="G68" s="733">
        <v>6</v>
      </c>
      <c r="H68" s="734">
        <v>18</v>
      </c>
      <c r="I68" s="734">
        <v>45</v>
      </c>
      <c r="J68" s="734">
        <v>14</v>
      </c>
      <c r="K68" s="735">
        <v>22</v>
      </c>
      <c r="L68" s="734">
        <v>11</v>
      </c>
      <c r="M68" s="736">
        <v>13</v>
      </c>
      <c r="N68" s="737">
        <v>419</v>
      </c>
      <c r="O68" s="737"/>
      <c r="P68" s="737">
        <v>1021</v>
      </c>
      <c r="Q68" s="737">
        <v>953</v>
      </c>
      <c r="R68" s="737"/>
      <c r="S68" s="737"/>
      <c r="T68" s="737"/>
      <c r="U68" s="738"/>
      <c r="V68" s="739">
        <v>416</v>
      </c>
      <c r="W68" s="737"/>
      <c r="X68" s="737">
        <v>1000</v>
      </c>
      <c r="Y68" s="737">
        <v>914</v>
      </c>
      <c r="Z68" s="1202"/>
      <c r="AA68" s="740"/>
      <c r="AB68" s="739"/>
      <c r="AC68" s="741"/>
      <c r="AD68" s="741">
        <v>270</v>
      </c>
      <c r="AE68" s="741">
        <v>340</v>
      </c>
      <c r="AF68" s="741"/>
      <c r="AG68" s="741">
        <v>111</v>
      </c>
      <c r="AH68" s="741">
        <v>837</v>
      </c>
      <c r="AI68" s="741">
        <v>331</v>
      </c>
      <c r="AJ68" s="741">
        <v>85</v>
      </c>
      <c r="AK68" s="741"/>
      <c r="AL68" s="741">
        <v>128</v>
      </c>
      <c r="AM68" s="742">
        <v>2324</v>
      </c>
      <c r="AN68" s="743">
        <f t="shared" si="10"/>
        <v>0.69871589085072228</v>
      </c>
      <c r="AO68" s="744">
        <f t="shared" si="11"/>
        <v>0.74295954941116238</v>
      </c>
      <c r="AP68" s="745">
        <f>'09월 에너지'!S70</f>
        <v>145.1</v>
      </c>
    </row>
    <row r="69" spans="1:42" ht="16.5" customHeight="1">
      <c r="A69" s="999">
        <f>'09월 조업일지'!A69</f>
        <v>46267</v>
      </c>
      <c r="B69" s="1100">
        <f>'09월 조업일지'!B69</f>
        <v>46267</v>
      </c>
      <c r="C69" s="730">
        <f>'09월 조업일지'!G69</f>
        <v>85271</v>
      </c>
      <c r="D69" s="731" t="str">
        <f>'09월 조업일지'!E69</f>
        <v>D</v>
      </c>
      <c r="E69" s="732" t="str">
        <f>'09월 조업일지'!F69</f>
        <v>B</v>
      </c>
      <c r="F69" s="1096" t="str">
        <f>'09월 에너지'!F71</f>
        <v>SS400-05</v>
      </c>
      <c r="G69" s="733">
        <v>8</v>
      </c>
      <c r="H69" s="734">
        <v>19</v>
      </c>
      <c r="I69" s="734">
        <v>49</v>
      </c>
      <c r="J69" s="734">
        <v>13</v>
      </c>
      <c r="K69" s="735">
        <v>29</v>
      </c>
      <c r="L69" s="734">
        <v>9</v>
      </c>
      <c r="M69" s="736">
        <v>9</v>
      </c>
      <c r="N69" s="737">
        <v>415</v>
      </c>
      <c r="O69" s="737"/>
      <c r="P69" s="737">
        <v>1000</v>
      </c>
      <c r="Q69" s="737">
        <v>956</v>
      </c>
      <c r="R69" s="737"/>
      <c r="S69" s="737"/>
      <c r="T69" s="737"/>
      <c r="U69" s="738"/>
      <c r="V69" s="739">
        <v>421</v>
      </c>
      <c r="W69" s="737"/>
      <c r="X69" s="737">
        <v>1001</v>
      </c>
      <c r="Y69" s="737">
        <v>908</v>
      </c>
      <c r="Z69" s="1202"/>
      <c r="AA69" s="740"/>
      <c r="AB69" s="739"/>
      <c r="AC69" s="741"/>
      <c r="AD69" s="741">
        <v>271</v>
      </c>
      <c r="AE69" s="741">
        <v>338</v>
      </c>
      <c r="AF69" s="741"/>
      <c r="AG69" s="741">
        <v>110</v>
      </c>
      <c r="AH69" s="741">
        <v>835</v>
      </c>
      <c r="AI69" s="741">
        <v>334</v>
      </c>
      <c r="AJ69" s="741">
        <v>81</v>
      </c>
      <c r="AK69" s="741"/>
      <c r="AL69" s="741">
        <v>138</v>
      </c>
      <c r="AM69" s="742">
        <v>1802</v>
      </c>
      <c r="AN69" s="743">
        <f t="shared" si="10"/>
        <v>0.73320026613439782</v>
      </c>
      <c r="AO69" s="744">
        <f t="shared" si="11"/>
        <v>0.84345594525235246</v>
      </c>
      <c r="AP69" s="745">
        <f>'09월 에너지'!S71</f>
        <v>145</v>
      </c>
    </row>
    <row r="70" spans="1:42" ht="16.5" customHeight="1">
      <c r="A70" s="999">
        <f>'09월 조업일지'!A70</f>
        <v>46267</v>
      </c>
      <c r="B70" s="1100">
        <f>'09월 조업일지'!B70</f>
        <v>46267</v>
      </c>
      <c r="C70" s="730">
        <f>'09월 조업일지'!G70</f>
        <v>85272</v>
      </c>
      <c r="D70" s="731" t="str">
        <f>'09월 조업일지'!E70</f>
        <v>D</v>
      </c>
      <c r="E70" s="732" t="str">
        <f>'09월 조업일지'!F70</f>
        <v>A</v>
      </c>
      <c r="F70" s="1096" t="str">
        <f>'09월 에너지'!F72</f>
        <v>SS400-05</v>
      </c>
      <c r="G70" s="733">
        <v>8</v>
      </c>
      <c r="H70" s="734">
        <v>22</v>
      </c>
      <c r="I70" s="734">
        <v>49</v>
      </c>
      <c r="J70" s="734">
        <v>14</v>
      </c>
      <c r="K70" s="735">
        <v>323</v>
      </c>
      <c r="L70" s="734">
        <v>8</v>
      </c>
      <c r="M70" s="736">
        <v>10</v>
      </c>
      <c r="N70" s="737">
        <v>412</v>
      </c>
      <c r="O70" s="737"/>
      <c r="P70" s="737">
        <v>1001</v>
      </c>
      <c r="Q70" s="737">
        <v>954</v>
      </c>
      <c r="R70" s="737"/>
      <c r="S70" s="737"/>
      <c r="T70" s="737"/>
      <c r="U70" s="738"/>
      <c r="V70" s="739">
        <v>414</v>
      </c>
      <c r="W70" s="737"/>
      <c r="X70" s="737">
        <v>1000</v>
      </c>
      <c r="Y70" s="737">
        <v>905</v>
      </c>
      <c r="Z70" s="1202"/>
      <c r="AA70" s="740"/>
      <c r="AB70" s="739"/>
      <c r="AC70" s="741"/>
      <c r="AD70" s="741">
        <v>270</v>
      </c>
      <c r="AE70" s="741">
        <v>340</v>
      </c>
      <c r="AF70" s="741"/>
      <c r="AG70" s="741">
        <v>110</v>
      </c>
      <c r="AH70" s="741">
        <v>849</v>
      </c>
      <c r="AI70" s="741">
        <v>362</v>
      </c>
      <c r="AJ70" s="741">
        <v>79</v>
      </c>
      <c r="AK70" s="741"/>
      <c r="AL70" s="741">
        <v>129</v>
      </c>
      <c r="AM70" s="742">
        <v>2252</v>
      </c>
      <c r="AN70" s="743">
        <f t="shared" si="10"/>
        <v>0.78931929296728087</v>
      </c>
      <c r="AO70" s="744">
        <f t="shared" si="11"/>
        <v>0.81867743563856643</v>
      </c>
      <c r="AP70" s="745">
        <f>'09월 에너지'!S72</f>
        <v>143.1</v>
      </c>
    </row>
    <row r="71" spans="1:42" ht="16.5" customHeight="1">
      <c r="A71" s="999">
        <f>'09월 조업일지'!A71</f>
        <v>46267</v>
      </c>
      <c r="B71" s="1100">
        <f>'09월 조업일지'!B71</f>
        <v>46267</v>
      </c>
      <c r="C71" s="730">
        <f>'09월 조업일지'!G71</f>
        <v>85273</v>
      </c>
      <c r="D71" s="731" t="str">
        <f>'09월 조업일지'!E71</f>
        <v>D</v>
      </c>
      <c r="E71" s="732" t="str">
        <f>'09월 조업일지'!F71</f>
        <v>B</v>
      </c>
      <c r="F71" s="1096" t="str">
        <f>'09월 에너지'!F73</f>
        <v>SS400-05</v>
      </c>
      <c r="G71" s="733">
        <v>7</v>
      </c>
      <c r="H71" s="734">
        <v>11</v>
      </c>
      <c r="I71" s="734">
        <v>42</v>
      </c>
      <c r="J71" s="734">
        <v>15</v>
      </c>
      <c r="K71" s="735">
        <v>35</v>
      </c>
      <c r="L71" s="734">
        <v>10</v>
      </c>
      <c r="M71" s="736">
        <v>7</v>
      </c>
      <c r="N71" s="737">
        <v>417</v>
      </c>
      <c r="O71" s="737"/>
      <c r="P71" s="737">
        <v>1000</v>
      </c>
      <c r="Q71" s="737">
        <v>957</v>
      </c>
      <c r="R71" s="737"/>
      <c r="S71" s="737"/>
      <c r="T71" s="737"/>
      <c r="U71" s="738"/>
      <c r="V71" s="739">
        <v>419</v>
      </c>
      <c r="W71" s="737"/>
      <c r="X71" s="737">
        <v>1001</v>
      </c>
      <c r="Y71" s="737">
        <v>911</v>
      </c>
      <c r="Z71" s="1202"/>
      <c r="AA71" s="740"/>
      <c r="AB71" s="739"/>
      <c r="AC71" s="741"/>
      <c r="AD71" s="741">
        <v>271</v>
      </c>
      <c r="AE71" s="741">
        <v>339</v>
      </c>
      <c r="AF71" s="741"/>
      <c r="AG71" s="741">
        <v>110</v>
      </c>
      <c r="AH71" s="741">
        <v>840</v>
      </c>
      <c r="AI71" s="741">
        <v>357</v>
      </c>
      <c r="AJ71" s="741">
        <v>81</v>
      </c>
      <c r="AK71" s="741"/>
      <c r="AL71" s="741">
        <v>134</v>
      </c>
      <c r="AM71" s="742">
        <v>1725</v>
      </c>
      <c r="AN71" s="743">
        <f t="shared" si="10"/>
        <v>0.4020063492063492</v>
      </c>
      <c r="AO71" s="744">
        <f t="shared" si="11"/>
        <v>0.66076530612244888</v>
      </c>
      <c r="AP71" s="745">
        <f>'09월 에너지'!S73</f>
        <v>143.9</v>
      </c>
    </row>
    <row r="72" spans="1:42" ht="16.5" customHeight="1">
      <c r="A72" s="999">
        <f>'09월 조업일지'!A72</f>
        <v>46267</v>
      </c>
      <c r="B72" s="1100">
        <f>'09월 조업일지'!B72</f>
        <v>46267</v>
      </c>
      <c r="C72" s="730">
        <f>'09월 조업일지'!G72</f>
        <v>85274</v>
      </c>
      <c r="D72" s="731" t="str">
        <f>'09월 조업일지'!E72</f>
        <v>D</v>
      </c>
      <c r="E72" s="732" t="str">
        <f>'09월 조업일지'!F72</f>
        <v>A</v>
      </c>
      <c r="F72" s="1096" t="str">
        <f>'09월 에너지'!F74</f>
        <v>SS400-05</v>
      </c>
      <c r="G72" s="733">
        <v>9</v>
      </c>
      <c r="H72" s="734">
        <v>21</v>
      </c>
      <c r="I72" s="734">
        <v>49</v>
      </c>
      <c r="J72" s="734">
        <v>12</v>
      </c>
      <c r="K72" s="735">
        <v>27</v>
      </c>
      <c r="L72" s="734">
        <v>8</v>
      </c>
      <c r="M72" s="736">
        <v>7</v>
      </c>
      <c r="N72" s="737">
        <v>411</v>
      </c>
      <c r="O72" s="737"/>
      <c r="P72" s="737">
        <v>1001</v>
      </c>
      <c r="Q72" s="737">
        <v>952</v>
      </c>
      <c r="R72" s="737"/>
      <c r="S72" s="737"/>
      <c r="T72" s="737"/>
      <c r="U72" s="738"/>
      <c r="V72" s="739">
        <v>419</v>
      </c>
      <c r="W72" s="737"/>
      <c r="X72" s="737">
        <v>1001</v>
      </c>
      <c r="Y72" s="737">
        <v>904</v>
      </c>
      <c r="Z72" s="1202"/>
      <c r="AA72" s="740"/>
      <c r="AB72" s="739"/>
      <c r="AC72" s="741"/>
      <c r="AD72" s="741">
        <v>271</v>
      </c>
      <c r="AE72" s="741">
        <v>343</v>
      </c>
      <c r="AF72" s="741"/>
      <c r="AG72" s="741">
        <v>110</v>
      </c>
      <c r="AH72" s="741">
        <v>838</v>
      </c>
      <c r="AI72" s="741">
        <v>360</v>
      </c>
      <c r="AJ72" s="741">
        <v>84</v>
      </c>
      <c r="AK72" s="741"/>
      <c r="AL72" s="741">
        <v>140</v>
      </c>
      <c r="AM72" s="742">
        <v>2243</v>
      </c>
      <c r="AN72" s="743">
        <f t="shared" si="10"/>
        <v>0.75890826383623966</v>
      </c>
      <c r="AO72" s="744">
        <f t="shared" si="11"/>
        <v>0.82884418683941363</v>
      </c>
      <c r="AP72" s="745">
        <f>'09월 에너지'!S74</f>
        <v>143</v>
      </c>
    </row>
    <row r="73" spans="1:42" ht="16.5" customHeight="1">
      <c r="A73" s="999">
        <f>'09월 조업일지'!A73</f>
        <v>46268</v>
      </c>
      <c r="B73" s="1100">
        <f>'09월 조업일지'!B73</f>
        <v>46267</v>
      </c>
      <c r="C73" s="730">
        <f>'09월 조업일지'!G73</f>
        <v>85275</v>
      </c>
      <c r="D73" s="731" t="str">
        <f>'09월 조업일지'!E73</f>
        <v>D</v>
      </c>
      <c r="E73" s="732" t="str">
        <f>'09월 조업일지'!F73</f>
        <v>B</v>
      </c>
      <c r="F73" s="1096" t="str">
        <f>'09월 에너지'!F75</f>
        <v>SS400-05</v>
      </c>
      <c r="G73" s="733">
        <v>9</v>
      </c>
      <c r="H73" s="734">
        <v>19</v>
      </c>
      <c r="I73" s="734">
        <v>49</v>
      </c>
      <c r="J73" s="734">
        <v>13</v>
      </c>
      <c r="K73" s="735">
        <v>28</v>
      </c>
      <c r="L73" s="734">
        <v>11</v>
      </c>
      <c r="M73" s="736">
        <v>13</v>
      </c>
      <c r="N73" s="737">
        <v>415</v>
      </c>
      <c r="O73" s="737"/>
      <c r="P73" s="737">
        <v>1001</v>
      </c>
      <c r="Q73" s="737">
        <v>954</v>
      </c>
      <c r="R73" s="737"/>
      <c r="S73" s="737"/>
      <c r="T73" s="737"/>
      <c r="U73" s="738"/>
      <c r="V73" s="739">
        <v>419</v>
      </c>
      <c r="W73" s="737"/>
      <c r="X73" s="737">
        <v>1001</v>
      </c>
      <c r="Y73" s="737">
        <v>908</v>
      </c>
      <c r="Z73" s="1202"/>
      <c r="AA73" s="740"/>
      <c r="AB73" s="739"/>
      <c r="AC73" s="741"/>
      <c r="AD73" s="741">
        <v>271</v>
      </c>
      <c r="AE73" s="741">
        <v>341</v>
      </c>
      <c r="AF73" s="741"/>
      <c r="AG73" s="741">
        <v>110</v>
      </c>
      <c r="AH73" s="741">
        <v>841</v>
      </c>
      <c r="AI73" s="741">
        <v>362</v>
      </c>
      <c r="AJ73" s="741">
        <v>88</v>
      </c>
      <c r="AK73" s="741"/>
      <c r="AL73" s="741">
        <v>132</v>
      </c>
      <c r="AM73" s="742">
        <v>1536</v>
      </c>
      <c r="AN73" s="743">
        <f t="shared" si="10"/>
        <v>0.68374198415692189</v>
      </c>
      <c r="AO73" s="744">
        <f t="shared" si="11"/>
        <v>0.8264650925768644</v>
      </c>
      <c r="AP73" s="745">
        <f>'09월 에너지'!S75</f>
        <v>143.1</v>
      </c>
    </row>
    <row r="74" spans="1:42" ht="16.5" customHeight="1">
      <c r="A74" s="999">
        <f>'09월 조업일지'!A74</f>
        <v>46268</v>
      </c>
      <c r="B74" s="1100">
        <f>'09월 조업일지'!B74</f>
        <v>46267</v>
      </c>
      <c r="C74" s="730">
        <f>'09월 조업일지'!G74</f>
        <v>85276</v>
      </c>
      <c r="D74" s="731" t="str">
        <f>'09월 조업일지'!E74</f>
        <v>D</v>
      </c>
      <c r="E74" s="732" t="str">
        <f>'09월 조업일지'!F74</f>
        <v>A</v>
      </c>
      <c r="F74" s="1096" t="str">
        <f>'09월 에너지'!F76</f>
        <v>SS400-05</v>
      </c>
      <c r="G74" s="733">
        <v>7</v>
      </c>
      <c r="H74" s="734">
        <v>21</v>
      </c>
      <c r="I74" s="734">
        <v>50</v>
      </c>
      <c r="J74" s="734">
        <v>13</v>
      </c>
      <c r="K74" s="735">
        <v>26</v>
      </c>
      <c r="L74" s="734">
        <v>9</v>
      </c>
      <c r="M74" s="736">
        <v>8</v>
      </c>
      <c r="N74" s="737">
        <v>418</v>
      </c>
      <c r="O74" s="737"/>
      <c r="P74" s="737">
        <v>1002</v>
      </c>
      <c r="Q74" s="737">
        <v>956</v>
      </c>
      <c r="R74" s="737"/>
      <c r="S74" s="737"/>
      <c r="T74" s="737"/>
      <c r="U74" s="738"/>
      <c r="V74" s="739">
        <v>418</v>
      </c>
      <c r="W74" s="737"/>
      <c r="X74" s="737">
        <v>1000</v>
      </c>
      <c r="Y74" s="737">
        <v>903</v>
      </c>
      <c r="Z74" s="1202"/>
      <c r="AA74" s="740"/>
      <c r="AB74" s="739"/>
      <c r="AC74" s="741"/>
      <c r="AD74" s="741">
        <v>270</v>
      </c>
      <c r="AE74" s="741">
        <v>339</v>
      </c>
      <c r="AF74" s="741"/>
      <c r="AG74" s="741">
        <v>110</v>
      </c>
      <c r="AH74" s="741">
        <v>835</v>
      </c>
      <c r="AI74" s="741">
        <v>360</v>
      </c>
      <c r="AJ74" s="741">
        <v>79</v>
      </c>
      <c r="AK74" s="741"/>
      <c r="AL74" s="741">
        <v>132</v>
      </c>
      <c r="AM74" s="742">
        <v>2268</v>
      </c>
      <c r="AN74" s="743">
        <f t="shared" si="10"/>
        <v>0.76242884250474385</v>
      </c>
      <c r="AO74" s="744">
        <f t="shared" si="11"/>
        <v>0.85928143712574845</v>
      </c>
      <c r="AP74" s="745">
        <f>'09월 에너지'!S76</f>
        <v>143.5</v>
      </c>
    </row>
    <row r="75" spans="1:42" ht="16.5" customHeight="1">
      <c r="A75" s="999">
        <f>'09월 조업일지'!A75</f>
        <v>46268</v>
      </c>
      <c r="B75" s="1100">
        <f>'09월 조업일지'!B75</f>
        <v>46267</v>
      </c>
      <c r="C75" s="730">
        <f>'09월 조업일지'!G75</f>
        <v>85277</v>
      </c>
      <c r="D75" s="731" t="str">
        <f>'09월 조업일지'!E75</f>
        <v>D</v>
      </c>
      <c r="E75" s="732" t="str">
        <f>'09월 조업일지'!F75</f>
        <v>B</v>
      </c>
      <c r="F75" s="1096" t="str">
        <f>'09월 에너지'!F77</f>
        <v>SS400-05</v>
      </c>
      <c r="G75" s="733">
        <v>9</v>
      </c>
      <c r="H75" s="734">
        <v>19</v>
      </c>
      <c r="I75" s="734">
        <v>50</v>
      </c>
      <c r="J75" s="734">
        <v>14</v>
      </c>
      <c r="K75" s="735">
        <v>30</v>
      </c>
      <c r="L75" s="734">
        <v>10</v>
      </c>
      <c r="M75" s="736">
        <v>9</v>
      </c>
      <c r="N75" s="737">
        <v>416</v>
      </c>
      <c r="O75" s="737"/>
      <c r="P75" s="737">
        <v>1001</v>
      </c>
      <c r="Q75" s="737">
        <v>953</v>
      </c>
      <c r="R75" s="737"/>
      <c r="S75" s="737"/>
      <c r="T75" s="737"/>
      <c r="U75" s="738"/>
      <c r="V75" s="739">
        <v>423</v>
      </c>
      <c r="W75" s="737"/>
      <c r="X75" s="737">
        <v>1000</v>
      </c>
      <c r="Y75" s="737">
        <v>901</v>
      </c>
      <c r="Z75" s="1202"/>
      <c r="AA75" s="740"/>
      <c r="AB75" s="739"/>
      <c r="AC75" s="741"/>
      <c r="AD75" s="741">
        <v>270</v>
      </c>
      <c r="AE75" s="741">
        <v>339</v>
      </c>
      <c r="AF75" s="741"/>
      <c r="AG75" s="741">
        <v>110</v>
      </c>
      <c r="AH75" s="741">
        <v>848</v>
      </c>
      <c r="AI75" s="741">
        <v>463</v>
      </c>
      <c r="AJ75" s="741">
        <v>82</v>
      </c>
      <c r="AK75" s="741"/>
      <c r="AL75" s="741">
        <v>139</v>
      </c>
      <c r="AM75" s="742">
        <v>1858</v>
      </c>
      <c r="AN75" s="743">
        <f t="shared" si="10"/>
        <v>0.57146169248603651</v>
      </c>
      <c r="AO75" s="744">
        <f t="shared" si="11"/>
        <v>0.84139150943396235</v>
      </c>
      <c r="AP75" s="745">
        <f>'09월 에너지'!S77</f>
        <v>142.69999999999999</v>
      </c>
    </row>
    <row r="76" spans="1:42" ht="16.5" customHeight="1">
      <c r="A76" s="999">
        <f>'09월 조업일지'!A76</f>
        <v>46268</v>
      </c>
      <c r="B76" s="1100">
        <f>'09월 조업일지'!B76</f>
        <v>46267</v>
      </c>
      <c r="C76" s="730">
        <f>'09월 조업일지'!G76</f>
        <v>85278</v>
      </c>
      <c r="D76" s="731" t="str">
        <f>'09월 조업일지'!E76</f>
        <v>D</v>
      </c>
      <c r="E76" s="732" t="str">
        <f>'09월 조업일지'!F76</f>
        <v>A</v>
      </c>
      <c r="F76" s="1096" t="str">
        <f>'09월 에너지'!F78</f>
        <v>SS400-05</v>
      </c>
      <c r="G76" s="733">
        <v>9</v>
      </c>
      <c r="H76" s="734">
        <v>20</v>
      </c>
      <c r="I76" s="734">
        <v>48</v>
      </c>
      <c r="J76" s="734">
        <v>13</v>
      </c>
      <c r="K76" s="735">
        <v>21</v>
      </c>
      <c r="L76" s="734">
        <v>10</v>
      </c>
      <c r="M76" s="736">
        <v>7</v>
      </c>
      <c r="N76" s="737">
        <v>415</v>
      </c>
      <c r="O76" s="737"/>
      <c r="P76" s="737">
        <v>1001</v>
      </c>
      <c r="Q76" s="737">
        <v>954</v>
      </c>
      <c r="R76" s="737"/>
      <c r="S76" s="737"/>
      <c r="T76" s="737"/>
      <c r="U76" s="738"/>
      <c r="V76" s="739">
        <v>419</v>
      </c>
      <c r="W76" s="737"/>
      <c r="X76" s="737">
        <v>1001</v>
      </c>
      <c r="Y76" s="737">
        <v>908</v>
      </c>
      <c r="Z76" s="1202"/>
      <c r="AA76" s="740"/>
      <c r="AB76" s="739"/>
      <c r="AC76" s="741"/>
      <c r="AD76" s="741">
        <v>271</v>
      </c>
      <c r="AE76" s="741">
        <v>341</v>
      </c>
      <c r="AF76" s="741"/>
      <c r="AG76" s="741">
        <v>110</v>
      </c>
      <c r="AH76" s="741">
        <v>841</v>
      </c>
      <c r="AI76" s="741">
        <v>362</v>
      </c>
      <c r="AJ76" s="741">
        <v>88</v>
      </c>
      <c r="AK76" s="741"/>
      <c r="AL76" s="741">
        <v>132</v>
      </c>
      <c r="AM76" s="742">
        <v>2588</v>
      </c>
      <c r="AN76" s="743">
        <f t="shared" si="10"/>
        <v>0.72274613353451522</v>
      </c>
      <c r="AO76" s="744">
        <f t="shared" si="11"/>
        <v>0.80552063869543067</v>
      </c>
      <c r="AP76" s="745">
        <f>'09월 에너지'!S78</f>
        <v>143.69999999999999</v>
      </c>
    </row>
    <row r="77" spans="1:42" ht="16.5" customHeight="1">
      <c r="A77" s="999">
        <f>'09월 조업일지'!A77</f>
        <v>46268</v>
      </c>
      <c r="B77" s="1100">
        <f>'09월 조업일지'!B77</f>
        <v>46268</v>
      </c>
      <c r="C77" s="730">
        <f>'09월 조업일지'!G77</f>
        <v>85279</v>
      </c>
      <c r="D77" s="731" t="str">
        <f>'09월 조업일지'!E77</f>
        <v>B</v>
      </c>
      <c r="E77" s="732" t="str">
        <f>'09월 조업일지'!F77</f>
        <v>B</v>
      </c>
      <c r="F77" s="1096" t="str">
        <f>'09월 에너지'!F79</f>
        <v>SS400-05</v>
      </c>
      <c r="G77" s="733">
        <v>7</v>
      </c>
      <c r="H77" s="734">
        <v>18</v>
      </c>
      <c r="I77" s="734">
        <v>51</v>
      </c>
      <c r="J77" s="734">
        <v>14</v>
      </c>
      <c r="K77" s="735">
        <v>28</v>
      </c>
      <c r="L77" s="734">
        <v>14</v>
      </c>
      <c r="M77" s="736">
        <v>10</v>
      </c>
      <c r="N77" s="737">
        <v>418</v>
      </c>
      <c r="O77" s="737"/>
      <c r="P77" s="737">
        <v>1002</v>
      </c>
      <c r="Q77" s="737">
        <v>956</v>
      </c>
      <c r="R77" s="737"/>
      <c r="S77" s="737"/>
      <c r="T77" s="737"/>
      <c r="U77" s="738"/>
      <c r="V77" s="739">
        <v>418</v>
      </c>
      <c r="W77" s="737"/>
      <c r="X77" s="737">
        <v>1000</v>
      </c>
      <c r="Y77" s="737">
        <v>903</v>
      </c>
      <c r="Z77" s="1202"/>
      <c r="AA77" s="740"/>
      <c r="AB77" s="739"/>
      <c r="AC77" s="741"/>
      <c r="AD77" s="741">
        <v>270</v>
      </c>
      <c r="AE77" s="741">
        <v>339</v>
      </c>
      <c r="AF77" s="741"/>
      <c r="AG77" s="741">
        <v>110</v>
      </c>
      <c r="AH77" s="741">
        <v>835</v>
      </c>
      <c r="AI77" s="741">
        <v>360</v>
      </c>
      <c r="AJ77" s="741">
        <v>79</v>
      </c>
      <c r="AK77" s="741"/>
      <c r="AL77" s="741">
        <v>132</v>
      </c>
      <c r="AM77" s="742">
        <v>1126</v>
      </c>
      <c r="AN77" s="743">
        <f t="shared" ref="AN77:AN140" si="12">IF(ISBLANK(AH77),"",AP77*1000*H77/10000/(AH77*15%+AI77*75%+AK77*60%))</f>
        <v>0.64895635673624286</v>
      </c>
      <c r="AO77" s="744">
        <f t="shared" ref="AO77:AO140" si="13">IF(ISBLANK(AH77),"",AP77*1000*(I77-15)/10000/(AH77*70%))</f>
        <v>0.87767322497861422</v>
      </c>
      <c r="AP77" s="745">
        <f>'09월 에너지'!S79</f>
        <v>142.5</v>
      </c>
    </row>
    <row r="78" spans="1:42" ht="16.5" customHeight="1">
      <c r="A78" s="999">
        <f>'09월 조업일지'!A78</f>
        <v>46268</v>
      </c>
      <c r="B78" s="1100">
        <f>'09월 조업일지'!B78</f>
        <v>46268</v>
      </c>
      <c r="C78" s="730">
        <f>'09월 조업일지'!G78</f>
        <v>85280</v>
      </c>
      <c r="D78" s="731" t="str">
        <f>'09월 조업일지'!E78</f>
        <v>B</v>
      </c>
      <c r="E78" s="732" t="str">
        <f>'09월 조업일지'!F78</f>
        <v>A</v>
      </c>
      <c r="F78" s="1096" t="str">
        <f>'09월 에너지'!F80</f>
        <v>SS400-05</v>
      </c>
      <c r="G78" s="733">
        <v>7</v>
      </c>
      <c r="H78" s="734">
        <v>12</v>
      </c>
      <c r="I78" s="734">
        <v>49</v>
      </c>
      <c r="J78" s="734">
        <v>14</v>
      </c>
      <c r="K78" s="735">
        <v>29</v>
      </c>
      <c r="L78" s="734">
        <v>14</v>
      </c>
      <c r="M78" s="736">
        <v>8</v>
      </c>
      <c r="N78" s="737">
        <v>421</v>
      </c>
      <c r="O78" s="737"/>
      <c r="P78" s="737">
        <v>1001</v>
      </c>
      <c r="Q78" s="737">
        <v>953</v>
      </c>
      <c r="R78" s="737"/>
      <c r="S78" s="737"/>
      <c r="T78" s="737"/>
      <c r="U78" s="738"/>
      <c r="V78" s="739">
        <v>422</v>
      </c>
      <c r="W78" s="737"/>
      <c r="X78" s="737">
        <v>1000</v>
      </c>
      <c r="Y78" s="737">
        <v>901</v>
      </c>
      <c r="Z78" s="1202"/>
      <c r="AA78" s="740"/>
      <c r="AB78" s="739"/>
      <c r="AC78" s="741"/>
      <c r="AD78" s="741">
        <v>270</v>
      </c>
      <c r="AE78" s="741">
        <v>339</v>
      </c>
      <c r="AF78" s="741"/>
      <c r="AG78" s="741">
        <v>110</v>
      </c>
      <c r="AH78" s="741">
        <v>841</v>
      </c>
      <c r="AI78" s="741">
        <v>329</v>
      </c>
      <c r="AJ78" s="741">
        <v>80</v>
      </c>
      <c r="AK78" s="741"/>
      <c r="AL78" s="741">
        <v>123</v>
      </c>
      <c r="AM78" s="742">
        <v>1313</v>
      </c>
      <c r="AN78" s="743">
        <f t="shared" si="12"/>
        <v>0.46596942880128722</v>
      </c>
      <c r="AO78" s="744">
        <f t="shared" si="13"/>
        <v>0.83628333616443018</v>
      </c>
      <c r="AP78" s="745">
        <f>'09월 에너지'!S80</f>
        <v>144.80000000000001</v>
      </c>
    </row>
    <row r="79" spans="1:42" ht="16.5" customHeight="1">
      <c r="A79" s="999">
        <f>'09월 조업일지'!A79</f>
        <v>46268</v>
      </c>
      <c r="B79" s="1100">
        <f>'09월 조업일지'!B79</f>
        <v>46268</v>
      </c>
      <c r="C79" s="730">
        <f>'09월 조업일지'!G79</f>
        <v>85281</v>
      </c>
      <c r="D79" s="731" t="str">
        <f>'09월 조업일지'!E79</f>
        <v>B</v>
      </c>
      <c r="E79" s="732" t="str">
        <f>'09월 조업일지'!F79</f>
        <v>B</v>
      </c>
      <c r="F79" s="1096" t="str">
        <f>'09월 에너지'!F81</f>
        <v>SS400-05</v>
      </c>
      <c r="G79" s="733">
        <v>8</v>
      </c>
      <c r="H79" s="734">
        <v>20</v>
      </c>
      <c r="I79" s="734">
        <v>53</v>
      </c>
      <c r="J79" s="734">
        <v>14</v>
      </c>
      <c r="K79" s="735">
        <v>28</v>
      </c>
      <c r="L79" s="734">
        <v>11</v>
      </c>
      <c r="M79" s="736">
        <v>7</v>
      </c>
      <c r="N79" s="737">
        <v>416</v>
      </c>
      <c r="O79" s="737"/>
      <c r="P79" s="737">
        <v>1000</v>
      </c>
      <c r="Q79" s="737">
        <v>953</v>
      </c>
      <c r="R79" s="737"/>
      <c r="S79" s="737"/>
      <c r="T79" s="737"/>
      <c r="U79" s="738"/>
      <c r="V79" s="739">
        <v>421</v>
      </c>
      <c r="W79" s="737"/>
      <c r="X79" s="737">
        <v>1000</v>
      </c>
      <c r="Y79" s="737">
        <v>906</v>
      </c>
      <c r="Z79" s="1202"/>
      <c r="AA79" s="740"/>
      <c r="AB79" s="739"/>
      <c r="AC79" s="741"/>
      <c r="AD79" s="741">
        <v>270</v>
      </c>
      <c r="AE79" s="741">
        <v>339</v>
      </c>
      <c r="AF79" s="741"/>
      <c r="AG79" s="741">
        <v>110</v>
      </c>
      <c r="AH79" s="741">
        <v>840</v>
      </c>
      <c r="AI79" s="741">
        <v>330</v>
      </c>
      <c r="AJ79" s="741">
        <v>85</v>
      </c>
      <c r="AK79" s="741"/>
      <c r="AL79" s="741">
        <v>129</v>
      </c>
      <c r="AM79" s="742">
        <v>1567</v>
      </c>
      <c r="AN79" s="743">
        <f t="shared" si="12"/>
        <v>0.75716198125836687</v>
      </c>
      <c r="AO79" s="744">
        <f t="shared" si="13"/>
        <v>0.91380952380952385</v>
      </c>
      <c r="AP79" s="745">
        <f>'09월 에너지'!S81</f>
        <v>141.4</v>
      </c>
    </row>
    <row r="80" spans="1:42" ht="16.5" customHeight="1">
      <c r="A80" s="999">
        <f>'09월 조업일지'!A80</f>
        <v>46268</v>
      </c>
      <c r="B80" s="1100">
        <f>'09월 조업일지'!B80</f>
        <v>46268</v>
      </c>
      <c r="C80" s="730">
        <f>'09월 조업일지'!G80</f>
        <v>85282</v>
      </c>
      <c r="D80" s="731" t="str">
        <f>'09월 조업일지'!E80</f>
        <v>B</v>
      </c>
      <c r="E80" s="732" t="str">
        <f>'09월 조업일지'!F80</f>
        <v>A</v>
      </c>
      <c r="F80" s="1096" t="str">
        <f>'09월 에너지'!F82</f>
        <v>SS400-05</v>
      </c>
      <c r="G80" s="733">
        <v>7</v>
      </c>
      <c r="H80" s="734">
        <v>21</v>
      </c>
      <c r="I80" s="734">
        <v>54</v>
      </c>
      <c r="J80" s="734">
        <v>17</v>
      </c>
      <c r="K80" s="735">
        <v>48</v>
      </c>
      <c r="L80" s="734">
        <v>17</v>
      </c>
      <c r="M80" s="736">
        <v>10</v>
      </c>
      <c r="N80" s="737">
        <v>422</v>
      </c>
      <c r="O80" s="737"/>
      <c r="P80" s="737">
        <v>1001</v>
      </c>
      <c r="Q80" s="737">
        <v>953</v>
      </c>
      <c r="R80" s="737"/>
      <c r="S80" s="737"/>
      <c r="T80" s="737"/>
      <c r="U80" s="738"/>
      <c r="V80" s="739">
        <v>415</v>
      </c>
      <c r="W80" s="737"/>
      <c r="X80" s="737">
        <v>1000</v>
      </c>
      <c r="Y80" s="737">
        <v>901</v>
      </c>
      <c r="Z80" s="1202"/>
      <c r="AA80" s="740"/>
      <c r="AB80" s="739"/>
      <c r="AC80" s="741"/>
      <c r="AD80" s="741">
        <v>271</v>
      </c>
      <c r="AE80" s="741">
        <v>343</v>
      </c>
      <c r="AF80" s="741"/>
      <c r="AG80" s="741">
        <v>110</v>
      </c>
      <c r="AH80" s="741">
        <v>834</v>
      </c>
      <c r="AI80" s="741">
        <v>326</v>
      </c>
      <c r="AJ80" s="741">
        <v>83</v>
      </c>
      <c r="AK80" s="741"/>
      <c r="AL80" s="741">
        <v>135</v>
      </c>
      <c r="AM80" s="742">
        <v>1205</v>
      </c>
      <c r="AN80" s="743">
        <f t="shared" si="12"/>
        <v>0.81420454545454546</v>
      </c>
      <c r="AO80" s="744">
        <f t="shared" si="13"/>
        <v>0.95729701952723545</v>
      </c>
      <c r="AP80" s="745">
        <f>'09월 에너지'!S82</f>
        <v>143.30000000000001</v>
      </c>
    </row>
    <row r="81" spans="1:42" ht="16.5" customHeight="1">
      <c r="A81" s="999">
        <f>'09월 조업일지'!A81</f>
        <v>46268</v>
      </c>
      <c r="B81" s="1100">
        <f>'09월 조업일지'!B81</f>
        <v>46268</v>
      </c>
      <c r="C81" s="730">
        <f>'09월 조업일지'!G81</f>
        <v>85283</v>
      </c>
      <c r="D81" s="731" t="str">
        <f>'09월 조업일지'!E81</f>
        <v>B</v>
      </c>
      <c r="E81" s="732" t="str">
        <f>'09월 조업일지'!F81</f>
        <v>B</v>
      </c>
      <c r="F81" s="1096" t="str">
        <f>'09월 에너지'!F83</f>
        <v>SS400-05</v>
      </c>
      <c r="G81" s="733">
        <v>7</v>
      </c>
      <c r="H81" s="734">
        <v>18</v>
      </c>
      <c r="I81" s="734">
        <v>59</v>
      </c>
      <c r="J81" s="734">
        <v>18</v>
      </c>
      <c r="K81" s="735">
        <v>37</v>
      </c>
      <c r="L81" s="734">
        <v>12</v>
      </c>
      <c r="M81" s="736">
        <v>8</v>
      </c>
      <c r="N81" s="737">
        <v>437</v>
      </c>
      <c r="O81" s="737"/>
      <c r="P81" s="737">
        <v>1000</v>
      </c>
      <c r="Q81" s="737">
        <v>953</v>
      </c>
      <c r="R81" s="737"/>
      <c r="S81" s="737"/>
      <c r="T81" s="737"/>
      <c r="U81" s="738"/>
      <c r="V81" s="739">
        <v>417</v>
      </c>
      <c r="W81" s="737"/>
      <c r="X81" s="737">
        <v>1000</v>
      </c>
      <c r="Y81" s="737">
        <v>906</v>
      </c>
      <c r="Z81" s="1202"/>
      <c r="AA81" s="740"/>
      <c r="AB81" s="739"/>
      <c r="AC81" s="741"/>
      <c r="AD81" s="741">
        <v>270</v>
      </c>
      <c r="AE81" s="741">
        <v>342</v>
      </c>
      <c r="AF81" s="741"/>
      <c r="AG81" s="741"/>
      <c r="AH81" s="741">
        <v>839</v>
      </c>
      <c r="AI81" s="741">
        <v>321</v>
      </c>
      <c r="AJ81" s="741">
        <v>83</v>
      </c>
      <c r="AK81" s="741"/>
      <c r="AL81" s="741">
        <v>127</v>
      </c>
      <c r="AM81" s="742">
        <v>1960</v>
      </c>
      <c r="AN81" s="743">
        <f t="shared" si="12"/>
        <v>0.70851063829787231</v>
      </c>
      <c r="AO81" s="744">
        <f t="shared" si="13"/>
        <v>1.0810829218457347</v>
      </c>
      <c r="AP81" s="745">
        <f>'09월 에너지'!S83</f>
        <v>144.30000000000001</v>
      </c>
    </row>
    <row r="82" spans="1:42" ht="16.5" customHeight="1">
      <c r="A82" s="999">
        <f>'09월 조업일지'!A82</f>
        <v>46268</v>
      </c>
      <c r="B82" s="1100">
        <f>'09월 조업일지'!B82</f>
        <v>46268</v>
      </c>
      <c r="C82" s="730">
        <f>'09월 조업일지'!G82</f>
        <v>85284</v>
      </c>
      <c r="D82" s="731" t="str">
        <f>'09월 조업일지'!E82</f>
        <v>B</v>
      </c>
      <c r="E82" s="732" t="str">
        <f>'09월 조업일지'!F82</f>
        <v>A</v>
      </c>
      <c r="F82" s="1096" t="str">
        <f>'09월 에너지'!F84</f>
        <v>SS400-05</v>
      </c>
      <c r="G82" s="733">
        <v>10</v>
      </c>
      <c r="H82" s="734">
        <v>21</v>
      </c>
      <c r="I82" s="734">
        <v>54</v>
      </c>
      <c r="J82" s="734">
        <v>16</v>
      </c>
      <c r="K82" s="735">
        <v>38</v>
      </c>
      <c r="L82" s="734">
        <v>11</v>
      </c>
      <c r="M82" s="736">
        <v>9</v>
      </c>
      <c r="N82" s="737">
        <v>413</v>
      </c>
      <c r="O82" s="737"/>
      <c r="P82" s="737">
        <v>1001</v>
      </c>
      <c r="Q82" s="737">
        <v>959</v>
      </c>
      <c r="R82" s="737"/>
      <c r="S82" s="737"/>
      <c r="T82" s="737"/>
      <c r="U82" s="738"/>
      <c r="V82" s="739">
        <v>423</v>
      </c>
      <c r="W82" s="737"/>
      <c r="X82" s="737">
        <v>1002</v>
      </c>
      <c r="Y82" s="737">
        <v>907</v>
      </c>
      <c r="Z82" s="1202"/>
      <c r="AA82" s="740"/>
      <c r="AB82" s="739"/>
      <c r="AC82" s="741"/>
      <c r="AD82" s="741">
        <v>271</v>
      </c>
      <c r="AE82" s="741">
        <v>337</v>
      </c>
      <c r="AF82" s="741"/>
      <c r="AG82" s="741">
        <v>110</v>
      </c>
      <c r="AH82" s="741">
        <v>840</v>
      </c>
      <c r="AI82" s="741">
        <v>325</v>
      </c>
      <c r="AJ82" s="741">
        <v>79</v>
      </c>
      <c r="AK82" s="741"/>
      <c r="AL82" s="741">
        <v>132</v>
      </c>
      <c r="AM82" s="742">
        <v>1090</v>
      </c>
      <c r="AN82" s="743">
        <f t="shared" si="12"/>
        <v>0.80649087221095328</v>
      </c>
      <c r="AO82" s="744">
        <f t="shared" si="13"/>
        <v>0.94183673469387752</v>
      </c>
      <c r="AP82" s="745">
        <f>'09월 에너지'!S84</f>
        <v>142</v>
      </c>
    </row>
    <row r="83" spans="1:42" ht="16.5" customHeight="1">
      <c r="A83" s="999">
        <f>'09월 조업일지'!A83</f>
        <v>46268</v>
      </c>
      <c r="B83" s="1100">
        <f>'09월 조업일지'!B83</f>
        <v>46268</v>
      </c>
      <c r="C83" s="730">
        <f>'09월 조업일지'!G83</f>
        <v>85285</v>
      </c>
      <c r="D83" s="731" t="str">
        <f>'09월 조업일지'!E83</f>
        <v>B</v>
      </c>
      <c r="E83" s="732" t="str">
        <f>'09월 조업일지'!F83</f>
        <v>B</v>
      </c>
      <c r="F83" s="1096" t="str">
        <f>'09월 에너지'!F85</f>
        <v>SS400-05</v>
      </c>
      <c r="G83" s="733">
        <v>8</v>
      </c>
      <c r="H83" s="734">
        <v>22</v>
      </c>
      <c r="I83" s="734">
        <v>59</v>
      </c>
      <c r="J83" s="734">
        <v>21</v>
      </c>
      <c r="K83" s="735">
        <v>33</v>
      </c>
      <c r="L83" s="734">
        <v>14</v>
      </c>
      <c r="M83" s="736">
        <v>13</v>
      </c>
      <c r="N83" s="737">
        <v>423</v>
      </c>
      <c r="O83" s="737"/>
      <c r="P83" s="737">
        <v>1001</v>
      </c>
      <c r="Q83" s="737">
        <v>953</v>
      </c>
      <c r="R83" s="737"/>
      <c r="S83" s="737"/>
      <c r="T83" s="737"/>
      <c r="U83" s="738"/>
      <c r="V83" s="739">
        <v>414</v>
      </c>
      <c r="W83" s="737"/>
      <c r="X83" s="737">
        <v>1000</v>
      </c>
      <c r="Y83" s="737">
        <v>901</v>
      </c>
      <c r="Z83" s="1202"/>
      <c r="AA83" s="740"/>
      <c r="AB83" s="739"/>
      <c r="AC83" s="741"/>
      <c r="AD83" s="741">
        <v>271</v>
      </c>
      <c r="AE83" s="741">
        <v>343</v>
      </c>
      <c r="AF83" s="741"/>
      <c r="AG83" s="741">
        <v>110</v>
      </c>
      <c r="AH83" s="741">
        <v>846</v>
      </c>
      <c r="AI83" s="741">
        <v>328</v>
      </c>
      <c r="AJ83" s="741">
        <v>82</v>
      </c>
      <c r="AK83" s="741"/>
      <c r="AL83" s="741">
        <v>122</v>
      </c>
      <c r="AM83" s="742">
        <v>1147</v>
      </c>
      <c r="AN83" s="743">
        <f t="shared" si="12"/>
        <v>0.8454277286135693</v>
      </c>
      <c r="AO83" s="744">
        <f t="shared" si="13"/>
        <v>1.0647078689631881</v>
      </c>
      <c r="AP83" s="745">
        <f>'09월 에너지'!S85</f>
        <v>143.30000000000001</v>
      </c>
    </row>
    <row r="84" spans="1:42" ht="16.5" customHeight="1">
      <c r="A84" s="999">
        <f>'09월 조업일지'!A84</f>
        <v>46268</v>
      </c>
      <c r="B84" s="1100">
        <f>'09월 조업일지'!B84</f>
        <v>46268</v>
      </c>
      <c r="C84" s="730">
        <f>'09월 조업일지'!G84</f>
        <v>85286</v>
      </c>
      <c r="D84" s="731" t="str">
        <f>'09월 조업일지'!E84</f>
        <v>B</v>
      </c>
      <c r="E84" s="732" t="str">
        <f>'09월 조업일지'!F84</f>
        <v>A</v>
      </c>
      <c r="F84" s="1096" t="str">
        <f>'09월 에너지'!F86</f>
        <v>SS400-05</v>
      </c>
      <c r="G84" s="733">
        <v>9</v>
      </c>
      <c r="H84" s="734">
        <v>19</v>
      </c>
      <c r="I84" s="734">
        <v>50</v>
      </c>
      <c r="J84" s="734">
        <v>12</v>
      </c>
      <c r="K84" s="735">
        <v>32</v>
      </c>
      <c r="L84" s="734">
        <v>9</v>
      </c>
      <c r="M84" s="736">
        <v>7</v>
      </c>
      <c r="N84" s="737">
        <v>416</v>
      </c>
      <c r="O84" s="737"/>
      <c r="P84" s="737">
        <v>1000</v>
      </c>
      <c r="Q84" s="737">
        <v>953</v>
      </c>
      <c r="R84" s="737"/>
      <c r="S84" s="737"/>
      <c r="T84" s="737"/>
      <c r="U84" s="738"/>
      <c r="V84" s="739">
        <v>417</v>
      </c>
      <c r="W84" s="737"/>
      <c r="X84" s="737">
        <v>1000</v>
      </c>
      <c r="Y84" s="737">
        <v>906</v>
      </c>
      <c r="Z84" s="1202"/>
      <c r="AA84" s="740"/>
      <c r="AB84" s="739"/>
      <c r="AC84" s="741"/>
      <c r="AD84" s="741">
        <v>270</v>
      </c>
      <c r="AE84" s="741">
        <v>337</v>
      </c>
      <c r="AF84" s="741"/>
      <c r="AG84" s="741">
        <v>110</v>
      </c>
      <c r="AH84" s="741">
        <v>842</v>
      </c>
      <c r="AI84" s="741">
        <v>326</v>
      </c>
      <c r="AJ84" s="741">
        <v>85</v>
      </c>
      <c r="AK84" s="741"/>
      <c r="AL84" s="741">
        <v>127</v>
      </c>
      <c r="AM84" s="742">
        <v>1172</v>
      </c>
      <c r="AN84" s="743">
        <f t="shared" si="12"/>
        <v>0.73478964401294489</v>
      </c>
      <c r="AO84" s="744">
        <f t="shared" si="13"/>
        <v>0.85154394299287406</v>
      </c>
      <c r="AP84" s="745">
        <f>'09월 에너지'!S86</f>
        <v>143.4</v>
      </c>
    </row>
    <row r="85" spans="1:42" ht="16.5" customHeight="1">
      <c r="A85" s="999">
        <f>'09월 조업일지'!A85</f>
        <v>46268</v>
      </c>
      <c r="B85" s="1100">
        <f>'09월 조업일지'!B85</f>
        <v>46268</v>
      </c>
      <c r="C85" s="730">
        <f>'09월 조업일지'!G85</f>
        <v>85287</v>
      </c>
      <c r="D85" s="731" t="str">
        <f>'09월 조업일지'!E85</f>
        <v>B</v>
      </c>
      <c r="E85" s="732" t="str">
        <f>'09월 조업일지'!F85</f>
        <v>B</v>
      </c>
      <c r="F85" s="1096" t="str">
        <f>'09월 에너지'!F87</f>
        <v>SS400-05</v>
      </c>
      <c r="G85" s="733">
        <v>11</v>
      </c>
      <c r="H85" s="734">
        <v>22</v>
      </c>
      <c r="I85" s="734">
        <v>59</v>
      </c>
      <c r="J85" s="734">
        <v>17</v>
      </c>
      <c r="K85" s="735">
        <v>39</v>
      </c>
      <c r="L85" s="734">
        <v>17</v>
      </c>
      <c r="M85" s="736">
        <v>12</v>
      </c>
      <c r="N85" s="737">
        <v>423</v>
      </c>
      <c r="O85" s="737"/>
      <c r="P85" s="737">
        <v>1001</v>
      </c>
      <c r="Q85" s="737">
        <v>959</v>
      </c>
      <c r="R85" s="737"/>
      <c r="S85" s="737"/>
      <c r="T85" s="737"/>
      <c r="U85" s="738"/>
      <c r="V85" s="739">
        <v>415</v>
      </c>
      <c r="W85" s="737"/>
      <c r="X85" s="737">
        <v>1002</v>
      </c>
      <c r="Y85" s="737">
        <v>907</v>
      </c>
      <c r="Z85" s="1202"/>
      <c r="AA85" s="740"/>
      <c r="AB85" s="739"/>
      <c r="AC85" s="741"/>
      <c r="AD85" s="741">
        <v>273</v>
      </c>
      <c r="AE85" s="741">
        <v>341</v>
      </c>
      <c r="AF85" s="741"/>
      <c r="AG85" s="741">
        <v>110</v>
      </c>
      <c r="AH85" s="741">
        <v>839</v>
      </c>
      <c r="AI85" s="741">
        <v>335</v>
      </c>
      <c r="AJ85" s="741">
        <v>81</v>
      </c>
      <c r="AK85" s="741"/>
      <c r="AL85" s="741">
        <v>119</v>
      </c>
      <c r="AM85" s="742">
        <v>1234</v>
      </c>
      <c r="AN85" s="743">
        <f t="shared" si="12"/>
        <v>0.82609387430389802</v>
      </c>
      <c r="AO85" s="744">
        <f t="shared" si="13"/>
        <v>1.0608547590669164</v>
      </c>
      <c r="AP85" s="745">
        <f>'09월 에너지'!S87</f>
        <v>141.6</v>
      </c>
    </row>
    <row r="86" spans="1:42" ht="16.5" customHeight="1">
      <c r="A86" s="999">
        <f>'09월 조업일지'!A86</f>
        <v>46268</v>
      </c>
      <c r="B86" s="1100">
        <f>'09월 조업일지'!B86</f>
        <v>46268</v>
      </c>
      <c r="C86" s="730">
        <f>'09월 조업일지'!G86</f>
        <v>85288</v>
      </c>
      <c r="D86" s="731" t="str">
        <f>'09월 조업일지'!E86</f>
        <v>B</v>
      </c>
      <c r="E86" s="732" t="str">
        <f>'09월 조업일지'!F86</f>
        <v>A</v>
      </c>
      <c r="F86" s="1096" t="str">
        <f>'09월 에너지'!F88</f>
        <v>SS400-05</v>
      </c>
      <c r="G86" s="733">
        <v>8</v>
      </c>
      <c r="H86" s="734">
        <v>20</v>
      </c>
      <c r="I86" s="734">
        <v>52</v>
      </c>
      <c r="J86" s="734">
        <v>14</v>
      </c>
      <c r="K86" s="735">
        <v>37</v>
      </c>
      <c r="L86" s="734">
        <v>7</v>
      </c>
      <c r="M86" s="736">
        <v>10</v>
      </c>
      <c r="N86" s="737">
        <v>415</v>
      </c>
      <c r="O86" s="737"/>
      <c r="P86" s="737">
        <v>1001</v>
      </c>
      <c r="Q86" s="737">
        <v>958</v>
      </c>
      <c r="R86" s="737"/>
      <c r="S86" s="737"/>
      <c r="T86" s="737"/>
      <c r="U86" s="738"/>
      <c r="V86" s="739">
        <v>414</v>
      </c>
      <c r="W86" s="737"/>
      <c r="X86" s="737">
        <v>1002</v>
      </c>
      <c r="Y86" s="737">
        <v>902</v>
      </c>
      <c r="Z86" s="1202"/>
      <c r="AA86" s="740"/>
      <c r="AB86" s="739"/>
      <c r="AC86" s="741"/>
      <c r="AD86" s="741">
        <v>271</v>
      </c>
      <c r="AE86" s="741">
        <v>339</v>
      </c>
      <c r="AF86" s="741"/>
      <c r="AG86" s="741">
        <v>110</v>
      </c>
      <c r="AH86" s="741">
        <v>838</v>
      </c>
      <c r="AI86" s="741">
        <v>327</v>
      </c>
      <c r="AJ86" s="741">
        <v>78</v>
      </c>
      <c r="AK86" s="741"/>
      <c r="AL86" s="741">
        <v>136</v>
      </c>
      <c r="AM86" s="742">
        <v>1051</v>
      </c>
      <c r="AN86" s="743">
        <f t="shared" si="12"/>
        <v>0.77045423911578381</v>
      </c>
      <c r="AO86" s="744">
        <f t="shared" si="13"/>
        <v>0.90134674394817615</v>
      </c>
      <c r="AP86" s="745">
        <f>'09월 에너지'!S88</f>
        <v>142.9</v>
      </c>
    </row>
    <row r="87" spans="1:42" ht="16.5" customHeight="1">
      <c r="A87" s="999">
        <f>'09월 조업일지'!A87</f>
        <v>46268</v>
      </c>
      <c r="B87" s="1100">
        <f>'09월 조업일지'!B87</f>
        <v>46268</v>
      </c>
      <c r="C87" s="730">
        <f>'09월 조업일지'!G87</f>
        <v>85289</v>
      </c>
      <c r="D87" s="731" t="str">
        <f>'09월 조업일지'!E87</f>
        <v>C</v>
      </c>
      <c r="E87" s="732" t="str">
        <f>'09월 조업일지'!F87</f>
        <v>B</v>
      </c>
      <c r="F87" s="1096" t="str">
        <f>'09월 에너지'!F89</f>
        <v>SS400-05</v>
      </c>
      <c r="G87" s="733">
        <v>10</v>
      </c>
      <c r="H87" s="734">
        <v>22</v>
      </c>
      <c r="I87" s="734">
        <v>63</v>
      </c>
      <c r="J87" s="734">
        <v>21</v>
      </c>
      <c r="K87" s="735">
        <v>36</v>
      </c>
      <c r="L87" s="734">
        <v>13</v>
      </c>
      <c r="M87" s="736">
        <v>9</v>
      </c>
      <c r="N87" s="737">
        <v>411</v>
      </c>
      <c r="O87" s="737"/>
      <c r="P87" s="737">
        <v>1001</v>
      </c>
      <c r="Q87" s="737">
        <v>953</v>
      </c>
      <c r="R87" s="737"/>
      <c r="S87" s="737"/>
      <c r="T87" s="737"/>
      <c r="U87" s="738"/>
      <c r="V87" s="739">
        <v>414</v>
      </c>
      <c r="W87" s="737"/>
      <c r="X87" s="737">
        <v>1001</v>
      </c>
      <c r="Y87" s="737">
        <v>909</v>
      </c>
      <c r="Z87" s="1202"/>
      <c r="AA87" s="740"/>
      <c r="AB87" s="739"/>
      <c r="AC87" s="741"/>
      <c r="AD87" s="741">
        <v>270</v>
      </c>
      <c r="AE87" s="741">
        <v>339</v>
      </c>
      <c r="AF87" s="741"/>
      <c r="AG87" s="741">
        <v>110</v>
      </c>
      <c r="AH87" s="741">
        <v>843</v>
      </c>
      <c r="AI87" s="741">
        <v>330</v>
      </c>
      <c r="AJ87" s="741">
        <v>82</v>
      </c>
      <c r="AK87" s="741"/>
      <c r="AL87" s="741">
        <v>124</v>
      </c>
      <c r="AM87" s="742">
        <v>2140</v>
      </c>
      <c r="AN87" s="743">
        <f t="shared" si="12"/>
        <v>0.85305522128626821</v>
      </c>
      <c r="AO87" s="744">
        <f t="shared" si="13"/>
        <v>1.1794611082867312</v>
      </c>
      <c r="AP87" s="745">
        <f>'09월 에너지'!S89</f>
        <v>145</v>
      </c>
    </row>
    <row r="88" spans="1:42" ht="16.5" customHeight="1">
      <c r="A88" s="999">
        <f>'09월 조업일지'!A88</f>
        <v>46268</v>
      </c>
      <c r="B88" s="1100">
        <f>'09월 조업일지'!B88</f>
        <v>46268</v>
      </c>
      <c r="C88" s="730">
        <f>'09월 조업일지'!G88</f>
        <v>85290</v>
      </c>
      <c r="D88" s="731" t="str">
        <f>'09월 조업일지'!E88</f>
        <v>C</v>
      </c>
      <c r="E88" s="732" t="str">
        <f>'09월 조업일지'!F88</f>
        <v>A</v>
      </c>
      <c r="F88" s="1096" t="str">
        <f>'09월 에너지'!F90</f>
        <v>SS400-05</v>
      </c>
      <c r="G88" s="733">
        <v>10</v>
      </c>
      <c r="H88" s="734">
        <v>24</v>
      </c>
      <c r="I88" s="734">
        <v>62</v>
      </c>
      <c r="J88" s="734">
        <v>18</v>
      </c>
      <c r="K88" s="735">
        <v>29</v>
      </c>
      <c r="L88" s="734">
        <v>7</v>
      </c>
      <c r="M88" s="736">
        <v>7</v>
      </c>
      <c r="N88" s="737">
        <v>413</v>
      </c>
      <c r="O88" s="737"/>
      <c r="P88" s="737">
        <v>1001</v>
      </c>
      <c r="Q88" s="737">
        <v>955</v>
      </c>
      <c r="R88" s="737"/>
      <c r="S88" s="737"/>
      <c r="T88" s="737"/>
      <c r="U88" s="738"/>
      <c r="V88" s="739">
        <v>410</v>
      </c>
      <c r="W88" s="737"/>
      <c r="X88" s="737">
        <v>1002</v>
      </c>
      <c r="Y88" s="737">
        <v>909</v>
      </c>
      <c r="Z88" s="1202"/>
      <c r="AA88" s="740"/>
      <c r="AB88" s="739"/>
      <c r="AC88" s="741"/>
      <c r="AD88" s="741">
        <v>271</v>
      </c>
      <c r="AE88" s="741">
        <v>338</v>
      </c>
      <c r="AF88" s="741"/>
      <c r="AG88" s="741">
        <v>110</v>
      </c>
      <c r="AH88" s="741">
        <v>834</v>
      </c>
      <c r="AI88" s="741">
        <v>336</v>
      </c>
      <c r="AJ88" s="741">
        <v>77</v>
      </c>
      <c r="AK88" s="741"/>
      <c r="AL88" s="741">
        <v>126</v>
      </c>
      <c r="AM88" s="742">
        <v>1804</v>
      </c>
      <c r="AN88" s="743">
        <f t="shared" si="12"/>
        <v>0.91646778042959431</v>
      </c>
      <c r="AO88" s="744">
        <f t="shared" si="13"/>
        <v>1.1593011305241521</v>
      </c>
      <c r="AP88" s="745">
        <f>'09월 에너지'!S90</f>
        <v>144</v>
      </c>
    </row>
    <row r="89" spans="1:42" ht="16.5" customHeight="1">
      <c r="A89" s="999">
        <f>'09월 조업일지'!A89</f>
        <v>46268</v>
      </c>
      <c r="B89" s="1100">
        <f>'09월 조업일지'!B89</f>
        <v>46268</v>
      </c>
      <c r="C89" s="730">
        <f>'09월 조업일지'!G89</f>
        <v>85291</v>
      </c>
      <c r="D89" s="731" t="str">
        <f>'09월 조업일지'!E89</f>
        <v>C</v>
      </c>
      <c r="E89" s="732" t="str">
        <f>'09월 조업일지'!F89</f>
        <v>B</v>
      </c>
      <c r="F89" s="1096" t="str">
        <f>'09월 에너지'!F91</f>
        <v>SS400-05</v>
      </c>
      <c r="G89" s="733">
        <v>10</v>
      </c>
      <c r="H89" s="734">
        <v>23</v>
      </c>
      <c r="I89" s="734">
        <v>67</v>
      </c>
      <c r="J89" s="734">
        <v>21</v>
      </c>
      <c r="K89" s="735">
        <v>40</v>
      </c>
      <c r="L89" s="734">
        <v>11</v>
      </c>
      <c r="M89" s="736">
        <v>8</v>
      </c>
      <c r="N89" s="737">
        <v>414</v>
      </c>
      <c r="O89" s="737"/>
      <c r="P89" s="737">
        <v>1001</v>
      </c>
      <c r="Q89" s="737">
        <v>958</v>
      </c>
      <c r="R89" s="737"/>
      <c r="S89" s="737"/>
      <c r="T89" s="737"/>
      <c r="U89" s="738"/>
      <c r="V89" s="739">
        <v>414</v>
      </c>
      <c r="W89" s="737"/>
      <c r="X89" s="737">
        <v>1001</v>
      </c>
      <c r="Y89" s="737">
        <v>910</v>
      </c>
      <c r="Z89" s="1202"/>
      <c r="AA89" s="740"/>
      <c r="AB89" s="739"/>
      <c r="AC89" s="741"/>
      <c r="AD89" s="741">
        <v>271</v>
      </c>
      <c r="AE89" s="741">
        <v>344</v>
      </c>
      <c r="AF89" s="741"/>
      <c r="AG89" s="741">
        <v>110</v>
      </c>
      <c r="AH89" s="741">
        <v>845</v>
      </c>
      <c r="AI89" s="741">
        <v>332</v>
      </c>
      <c r="AJ89" s="741">
        <v>82</v>
      </c>
      <c r="AK89" s="741"/>
      <c r="AL89" s="741">
        <v>125</v>
      </c>
      <c r="AM89" s="742">
        <v>1419</v>
      </c>
      <c r="AN89" s="743">
        <f t="shared" si="12"/>
        <v>0.87103127079174991</v>
      </c>
      <c r="AO89" s="744">
        <f t="shared" si="13"/>
        <v>1.2509890109890109</v>
      </c>
      <c r="AP89" s="745">
        <f>'09월 에너지'!S91</f>
        <v>142.30000000000001</v>
      </c>
    </row>
    <row r="90" spans="1:42" ht="16.5" customHeight="1">
      <c r="A90" s="999">
        <f>'09월 조업일지'!A90</f>
        <v>46268</v>
      </c>
      <c r="B90" s="1100">
        <f>'09월 조업일지'!B90</f>
        <v>46268</v>
      </c>
      <c r="C90" s="730">
        <f>'09월 조업일지'!G90</f>
        <v>85292</v>
      </c>
      <c r="D90" s="731" t="str">
        <f>'09월 조업일지'!E90</f>
        <v>C</v>
      </c>
      <c r="E90" s="732" t="str">
        <f>'09월 조업일지'!F90</f>
        <v>A</v>
      </c>
      <c r="F90" s="1096" t="str">
        <f>'09월 에너지'!F92</f>
        <v>SS400-05</v>
      </c>
      <c r="G90" s="733">
        <v>7</v>
      </c>
      <c r="H90" s="734">
        <v>17</v>
      </c>
      <c r="I90" s="734">
        <v>50</v>
      </c>
      <c r="J90" s="734">
        <v>12</v>
      </c>
      <c r="K90" s="735">
        <v>23</v>
      </c>
      <c r="L90" s="734">
        <v>10</v>
      </c>
      <c r="M90" s="736">
        <v>7</v>
      </c>
      <c r="N90" s="737">
        <v>411</v>
      </c>
      <c r="O90" s="737"/>
      <c r="P90" s="737">
        <v>1002</v>
      </c>
      <c r="Q90" s="737">
        <v>962</v>
      </c>
      <c r="R90" s="737"/>
      <c r="S90" s="737"/>
      <c r="T90" s="737"/>
      <c r="U90" s="738"/>
      <c r="V90" s="739">
        <v>420</v>
      </c>
      <c r="W90" s="737"/>
      <c r="X90" s="737">
        <v>1001</v>
      </c>
      <c r="Y90" s="737">
        <v>906</v>
      </c>
      <c r="Z90" s="1202"/>
      <c r="AA90" s="740"/>
      <c r="AB90" s="739"/>
      <c r="AC90" s="741"/>
      <c r="AD90" s="741">
        <v>272</v>
      </c>
      <c r="AE90" s="741">
        <v>337</v>
      </c>
      <c r="AF90" s="741"/>
      <c r="AG90" s="741">
        <v>110</v>
      </c>
      <c r="AH90" s="741">
        <v>846</v>
      </c>
      <c r="AI90" s="741">
        <v>337</v>
      </c>
      <c r="AJ90" s="741">
        <v>79</v>
      </c>
      <c r="AK90" s="741"/>
      <c r="AL90" s="741">
        <v>138</v>
      </c>
      <c r="AM90" s="742">
        <v>2174</v>
      </c>
      <c r="AN90" s="743">
        <f t="shared" si="12"/>
        <v>0.65017779533781117</v>
      </c>
      <c r="AO90" s="744">
        <f t="shared" si="13"/>
        <v>0.85815602836879445</v>
      </c>
      <c r="AP90" s="745">
        <f>'09월 에너지'!S92</f>
        <v>145.19999999999999</v>
      </c>
    </row>
    <row r="91" spans="1:42" ht="16.5" customHeight="1">
      <c r="A91" s="999">
        <f>'09월 조업일지'!A91</f>
        <v>46268</v>
      </c>
      <c r="B91" s="1100">
        <f>'09월 조업일지'!B91</f>
        <v>46268</v>
      </c>
      <c r="C91" s="730">
        <f>'09월 조업일지'!G91</f>
        <v>85293</v>
      </c>
      <c r="D91" s="731" t="str">
        <f>'09월 조업일지'!E91</f>
        <v>C</v>
      </c>
      <c r="E91" s="732" t="str">
        <f>'09월 조업일지'!F91</f>
        <v>B</v>
      </c>
      <c r="F91" s="1096" t="str">
        <f>'09월 에너지'!F93</f>
        <v>SS400-05</v>
      </c>
      <c r="G91" s="733">
        <v>9</v>
      </c>
      <c r="H91" s="734">
        <v>23</v>
      </c>
      <c r="I91" s="734">
        <v>56</v>
      </c>
      <c r="J91" s="734">
        <v>15</v>
      </c>
      <c r="K91" s="735">
        <v>26</v>
      </c>
      <c r="L91" s="734">
        <v>13</v>
      </c>
      <c r="M91" s="736">
        <v>8</v>
      </c>
      <c r="N91" s="737">
        <v>416</v>
      </c>
      <c r="O91" s="737"/>
      <c r="P91" s="737">
        <v>1002</v>
      </c>
      <c r="Q91" s="737">
        <v>960</v>
      </c>
      <c r="R91" s="737"/>
      <c r="S91" s="737"/>
      <c r="T91" s="737"/>
      <c r="U91" s="738"/>
      <c r="V91" s="739">
        <v>419</v>
      </c>
      <c r="W91" s="737"/>
      <c r="X91" s="737">
        <v>1001</v>
      </c>
      <c r="Y91" s="737">
        <v>903</v>
      </c>
      <c r="Z91" s="1202"/>
      <c r="AA91" s="740"/>
      <c r="AB91" s="739"/>
      <c r="AC91" s="741"/>
      <c r="AD91" s="741">
        <v>271</v>
      </c>
      <c r="AE91" s="741">
        <v>339</v>
      </c>
      <c r="AF91" s="741"/>
      <c r="AG91" s="741">
        <v>110</v>
      </c>
      <c r="AH91" s="741">
        <v>842</v>
      </c>
      <c r="AI91" s="741">
        <v>330</v>
      </c>
      <c r="AJ91" s="741">
        <v>78</v>
      </c>
      <c r="AK91" s="741"/>
      <c r="AL91" s="741">
        <v>128</v>
      </c>
      <c r="AM91" s="742">
        <v>2112</v>
      </c>
      <c r="AN91" s="743">
        <f t="shared" si="12"/>
        <v>0.86388443017656502</v>
      </c>
      <c r="AO91" s="744">
        <f t="shared" si="13"/>
        <v>0.97665422463522222</v>
      </c>
      <c r="AP91" s="745">
        <f>'09월 에너지'!S93</f>
        <v>140.4</v>
      </c>
    </row>
    <row r="92" spans="1:42" ht="16.5" customHeight="1">
      <c r="A92" s="999">
        <f>'09월 조업일지'!A92</f>
        <v>46268</v>
      </c>
      <c r="B92" s="1100">
        <f>'09월 조업일지'!B92</f>
        <v>46268</v>
      </c>
      <c r="C92" s="730">
        <f>'09월 조업일지'!G92</f>
        <v>85294</v>
      </c>
      <c r="D92" s="731" t="str">
        <f>'09월 조업일지'!E92</f>
        <v>C</v>
      </c>
      <c r="E92" s="732" t="str">
        <f>'09월 조업일지'!F92</f>
        <v>A</v>
      </c>
      <c r="F92" s="1096" t="str">
        <f>'09월 에너지'!F94</f>
        <v>SS400-05</v>
      </c>
      <c r="G92" s="733">
        <v>8</v>
      </c>
      <c r="H92" s="734">
        <v>13</v>
      </c>
      <c r="I92" s="734">
        <v>47</v>
      </c>
      <c r="J92" s="734">
        <v>12</v>
      </c>
      <c r="K92" s="735">
        <v>25</v>
      </c>
      <c r="L92" s="734">
        <v>11</v>
      </c>
      <c r="M92" s="736">
        <v>9</v>
      </c>
      <c r="N92" s="737">
        <v>418</v>
      </c>
      <c r="O92" s="737"/>
      <c r="P92" s="737">
        <v>1001</v>
      </c>
      <c r="Q92" s="737">
        <v>953</v>
      </c>
      <c r="R92" s="737"/>
      <c r="S92" s="737"/>
      <c r="T92" s="737"/>
      <c r="U92" s="738"/>
      <c r="V92" s="739">
        <v>420</v>
      </c>
      <c r="W92" s="737"/>
      <c r="X92" s="737">
        <v>1001</v>
      </c>
      <c r="Y92" s="737">
        <v>904</v>
      </c>
      <c r="Z92" s="1202"/>
      <c r="AA92" s="740"/>
      <c r="AB92" s="739"/>
      <c r="AC92" s="741"/>
      <c r="AD92" s="741">
        <v>277</v>
      </c>
      <c r="AE92" s="741">
        <v>340</v>
      </c>
      <c r="AF92" s="741"/>
      <c r="AG92" s="741">
        <v>110</v>
      </c>
      <c r="AH92" s="741">
        <v>845</v>
      </c>
      <c r="AI92" s="741">
        <v>331</v>
      </c>
      <c r="AJ92" s="741">
        <v>72</v>
      </c>
      <c r="AK92" s="741"/>
      <c r="AL92" s="741">
        <v>121</v>
      </c>
      <c r="AM92" s="742">
        <v>2484</v>
      </c>
      <c r="AN92" s="743">
        <f t="shared" si="12"/>
        <v>0.49608000000000002</v>
      </c>
      <c r="AO92" s="744">
        <f t="shared" si="13"/>
        <v>0.77416737109044809</v>
      </c>
      <c r="AP92" s="745">
        <f>'09월 에너지'!S94</f>
        <v>143.1</v>
      </c>
    </row>
    <row r="93" spans="1:42" ht="16.5" customHeight="1">
      <c r="A93" s="999">
        <f>'09월 조업일지'!A93</f>
        <v>46268</v>
      </c>
      <c r="B93" s="1100">
        <f>'09월 조업일지'!B93</f>
        <v>46268</v>
      </c>
      <c r="C93" s="730">
        <f>'09월 조업일지'!G93</f>
        <v>85295</v>
      </c>
      <c r="D93" s="731" t="str">
        <f>'09월 조업일지'!E93</f>
        <v>C</v>
      </c>
      <c r="E93" s="732" t="str">
        <f>'09월 조업일지'!F93</f>
        <v>B</v>
      </c>
      <c r="F93" s="1096" t="str">
        <f>'09월 에너지'!F95</f>
        <v>SS400-05</v>
      </c>
      <c r="G93" s="733">
        <v>8</v>
      </c>
      <c r="H93" s="734">
        <v>19</v>
      </c>
      <c r="I93" s="734">
        <v>52</v>
      </c>
      <c r="J93" s="734">
        <v>13</v>
      </c>
      <c r="K93" s="735">
        <v>25</v>
      </c>
      <c r="L93" s="734">
        <v>10</v>
      </c>
      <c r="M93" s="736">
        <v>10</v>
      </c>
      <c r="N93" s="737">
        <v>413</v>
      </c>
      <c r="O93" s="737"/>
      <c r="P93" s="737">
        <v>1002</v>
      </c>
      <c r="Q93" s="737">
        <v>955</v>
      </c>
      <c r="R93" s="737"/>
      <c r="S93" s="737"/>
      <c r="T93" s="737"/>
      <c r="U93" s="738"/>
      <c r="V93" s="739">
        <v>411</v>
      </c>
      <c r="W93" s="737"/>
      <c r="X93" s="737">
        <v>1000</v>
      </c>
      <c r="Y93" s="737">
        <v>902</v>
      </c>
      <c r="Z93" s="1202"/>
      <c r="AA93" s="740"/>
      <c r="AB93" s="739"/>
      <c r="AC93" s="741"/>
      <c r="AD93" s="741">
        <v>271</v>
      </c>
      <c r="AE93" s="741">
        <v>340</v>
      </c>
      <c r="AF93" s="741"/>
      <c r="AG93" s="741">
        <v>110</v>
      </c>
      <c r="AH93" s="741">
        <v>836</v>
      </c>
      <c r="AI93" s="741">
        <v>333</v>
      </c>
      <c r="AJ93" s="741">
        <v>83</v>
      </c>
      <c r="AK93" s="741"/>
      <c r="AL93" s="741">
        <v>121</v>
      </c>
      <c r="AM93" s="742">
        <v>2294</v>
      </c>
      <c r="AN93" s="743">
        <f t="shared" si="12"/>
        <v>0.67815540450486478</v>
      </c>
      <c r="AO93" s="744">
        <f t="shared" si="13"/>
        <v>0.84659945317840068</v>
      </c>
      <c r="AP93" s="745">
        <f>'09월 에너지'!S95</f>
        <v>133.9</v>
      </c>
    </row>
    <row r="94" spans="1:42" ht="16.5" customHeight="1">
      <c r="A94" s="999">
        <f>'09월 조업일지'!A94</f>
        <v>46268</v>
      </c>
      <c r="B94" s="1100">
        <f>'09월 조업일지'!B94</f>
        <v>46268</v>
      </c>
      <c r="C94" s="730">
        <f>'09월 조업일지'!G94</f>
        <v>85296</v>
      </c>
      <c r="D94" s="731" t="str">
        <f>'09월 조업일지'!E94</f>
        <v>C</v>
      </c>
      <c r="E94" s="732" t="str">
        <f>'09월 조업일지'!F94</f>
        <v>A</v>
      </c>
      <c r="F94" s="1096" t="str">
        <f>'09월 에너지'!F96</f>
        <v>SS400-05</v>
      </c>
      <c r="G94" s="733">
        <v>7</v>
      </c>
      <c r="H94" s="734">
        <v>22</v>
      </c>
      <c r="I94" s="734">
        <v>51</v>
      </c>
      <c r="J94" s="734">
        <v>14</v>
      </c>
      <c r="K94" s="735">
        <v>31</v>
      </c>
      <c r="L94" s="734">
        <v>10</v>
      </c>
      <c r="M94" s="736">
        <v>12</v>
      </c>
      <c r="N94" s="737">
        <v>416</v>
      </c>
      <c r="O94" s="737"/>
      <c r="P94" s="737">
        <v>1001</v>
      </c>
      <c r="Q94" s="737">
        <v>956</v>
      </c>
      <c r="R94" s="737"/>
      <c r="S94" s="737"/>
      <c r="T94" s="737"/>
      <c r="U94" s="738"/>
      <c r="V94" s="739">
        <v>415</v>
      </c>
      <c r="W94" s="737"/>
      <c r="X94" s="737">
        <v>1000</v>
      </c>
      <c r="Y94" s="737">
        <v>902</v>
      </c>
      <c r="Z94" s="1202"/>
      <c r="AA94" s="740"/>
      <c r="AB94" s="739"/>
      <c r="AC94" s="741"/>
      <c r="AD94" s="741">
        <v>271</v>
      </c>
      <c r="AE94" s="741">
        <v>340</v>
      </c>
      <c r="AF94" s="741"/>
      <c r="AG94" s="741">
        <v>110</v>
      </c>
      <c r="AH94" s="741">
        <v>846</v>
      </c>
      <c r="AI94" s="741">
        <v>431</v>
      </c>
      <c r="AJ94" s="741">
        <v>84</v>
      </c>
      <c r="AK94" s="741"/>
      <c r="AL94" s="741">
        <v>125</v>
      </c>
      <c r="AM94" s="742">
        <v>2275</v>
      </c>
      <c r="AN94" s="743">
        <f t="shared" si="12"/>
        <v>0.69496834388537154</v>
      </c>
      <c r="AO94" s="744">
        <f t="shared" si="13"/>
        <v>0.86443768996960502</v>
      </c>
      <c r="AP94" s="745">
        <f>'09월 에너지'!S96</f>
        <v>142.19999999999999</v>
      </c>
    </row>
    <row r="95" spans="1:42" ht="16.5" customHeight="1">
      <c r="A95" s="999">
        <f>'09월 조업일지'!A95</f>
        <v>46268</v>
      </c>
      <c r="B95" s="1100">
        <f>'09월 조업일지'!B95</f>
        <v>46268</v>
      </c>
      <c r="C95" s="730">
        <f>'09월 조업일지'!G95</f>
        <v>85297</v>
      </c>
      <c r="D95" s="731" t="str">
        <f>'09월 조업일지'!E95</f>
        <v>C</v>
      </c>
      <c r="E95" s="732" t="str">
        <f>'09월 조업일지'!F95</f>
        <v>B</v>
      </c>
      <c r="F95" s="1096" t="str">
        <f>'09월 에너지'!F97</f>
        <v>SS400-05</v>
      </c>
      <c r="G95" s="733">
        <v>7</v>
      </c>
      <c r="H95" s="734">
        <v>20</v>
      </c>
      <c r="I95" s="734">
        <v>53</v>
      </c>
      <c r="J95" s="734">
        <v>18</v>
      </c>
      <c r="K95" s="735">
        <v>37</v>
      </c>
      <c r="L95" s="734">
        <v>14</v>
      </c>
      <c r="M95" s="736">
        <v>11</v>
      </c>
      <c r="N95" s="737">
        <v>420</v>
      </c>
      <c r="O95" s="737"/>
      <c r="P95" s="737">
        <v>1000</v>
      </c>
      <c r="Q95" s="737">
        <v>958</v>
      </c>
      <c r="R95" s="737"/>
      <c r="S95" s="737"/>
      <c r="T95" s="737"/>
      <c r="U95" s="738"/>
      <c r="V95" s="739">
        <v>418</v>
      </c>
      <c r="W95" s="737"/>
      <c r="X95" s="737">
        <v>1001</v>
      </c>
      <c r="Y95" s="737">
        <v>904</v>
      </c>
      <c r="Z95" s="1202"/>
      <c r="AA95" s="740"/>
      <c r="AB95" s="739"/>
      <c r="AC95" s="741"/>
      <c r="AD95" s="741">
        <v>271</v>
      </c>
      <c r="AE95" s="741">
        <v>342</v>
      </c>
      <c r="AF95" s="741"/>
      <c r="AG95" s="741">
        <v>110</v>
      </c>
      <c r="AH95" s="741">
        <v>840</v>
      </c>
      <c r="AI95" s="741">
        <v>326</v>
      </c>
      <c r="AJ95" s="741">
        <v>86</v>
      </c>
      <c r="AK95" s="741"/>
      <c r="AL95" s="741">
        <v>130</v>
      </c>
      <c r="AM95" s="742">
        <v>1909</v>
      </c>
      <c r="AN95" s="743">
        <f t="shared" si="12"/>
        <v>0.77300944669365712</v>
      </c>
      <c r="AO95" s="744">
        <f t="shared" si="13"/>
        <v>0.92544217687074826</v>
      </c>
      <c r="AP95" s="745">
        <f>'09월 에너지'!S97</f>
        <v>143.19999999999999</v>
      </c>
    </row>
    <row r="96" spans="1:42" ht="16.5" customHeight="1">
      <c r="A96" s="999">
        <f>'09월 조업일지'!A96</f>
        <v>46268</v>
      </c>
      <c r="B96" s="1100">
        <f>'09월 조업일지'!B96</f>
        <v>46268</v>
      </c>
      <c r="C96" s="730">
        <f>'09월 조업일지'!G96</f>
        <v>85298</v>
      </c>
      <c r="D96" s="731" t="str">
        <f>'09월 조업일지'!E96</f>
        <v>C</v>
      </c>
      <c r="E96" s="732" t="str">
        <f>'09월 조업일지'!F96</f>
        <v>A</v>
      </c>
      <c r="F96" s="1096" t="str">
        <f>'09월 에너지'!F98</f>
        <v>SS400-05</v>
      </c>
      <c r="G96" s="733">
        <v>13</v>
      </c>
      <c r="H96" s="734">
        <v>23</v>
      </c>
      <c r="I96" s="734">
        <v>54</v>
      </c>
      <c r="J96" s="734">
        <v>17</v>
      </c>
      <c r="K96" s="735">
        <v>42</v>
      </c>
      <c r="L96" s="734">
        <v>10</v>
      </c>
      <c r="M96" s="736">
        <v>10</v>
      </c>
      <c r="N96" s="737">
        <v>416</v>
      </c>
      <c r="O96" s="737"/>
      <c r="P96" s="737">
        <v>1001</v>
      </c>
      <c r="Q96" s="737">
        <v>951</v>
      </c>
      <c r="R96" s="737"/>
      <c r="S96" s="737"/>
      <c r="T96" s="737"/>
      <c r="U96" s="738"/>
      <c r="V96" s="739">
        <v>419</v>
      </c>
      <c r="W96" s="737"/>
      <c r="X96" s="737">
        <v>1000</v>
      </c>
      <c r="Y96" s="737">
        <v>904</v>
      </c>
      <c r="Z96" s="1202"/>
      <c r="AA96" s="740"/>
      <c r="AB96" s="739"/>
      <c r="AC96" s="741"/>
      <c r="AD96" s="741">
        <v>272</v>
      </c>
      <c r="AE96" s="741">
        <v>341</v>
      </c>
      <c r="AF96" s="741"/>
      <c r="AG96" s="741">
        <v>110</v>
      </c>
      <c r="AH96" s="741">
        <v>834</v>
      </c>
      <c r="AI96" s="741">
        <v>321</v>
      </c>
      <c r="AJ96" s="741">
        <v>85</v>
      </c>
      <c r="AK96" s="741"/>
      <c r="AL96" s="741">
        <v>122</v>
      </c>
      <c r="AM96" s="742">
        <v>1870</v>
      </c>
      <c r="AN96" s="743">
        <f t="shared" si="12"/>
        <v>0.89020090200902002</v>
      </c>
      <c r="AO96" s="744">
        <f t="shared" si="13"/>
        <v>0.94594039054470713</v>
      </c>
      <c r="AP96" s="745">
        <f>'09월 에너지'!S98</f>
        <v>141.6</v>
      </c>
    </row>
    <row r="97" spans="1:42" ht="16.5" customHeight="1">
      <c r="A97" s="999">
        <f>'09월 조업일지'!A97</f>
        <v>46268</v>
      </c>
      <c r="B97" s="1100">
        <f>'09월 조업일지'!B97</f>
        <v>46268</v>
      </c>
      <c r="C97" s="730">
        <f>'09월 조업일지'!G97</f>
        <v>85299</v>
      </c>
      <c r="D97" s="731" t="str">
        <f>'09월 조업일지'!E97</f>
        <v>D</v>
      </c>
      <c r="E97" s="732" t="str">
        <f>'09월 조업일지'!F97</f>
        <v>B</v>
      </c>
      <c r="F97" s="1096" t="str">
        <f>'09월 에너지'!F99</f>
        <v>SS400-05</v>
      </c>
      <c r="G97" s="733">
        <v>10</v>
      </c>
      <c r="H97" s="734">
        <v>25</v>
      </c>
      <c r="I97" s="734">
        <v>52</v>
      </c>
      <c r="J97" s="734">
        <v>16</v>
      </c>
      <c r="K97" s="735">
        <v>33</v>
      </c>
      <c r="L97" s="734">
        <v>12</v>
      </c>
      <c r="M97" s="736">
        <v>11</v>
      </c>
      <c r="N97" s="737">
        <v>421</v>
      </c>
      <c r="O97" s="737"/>
      <c r="P97" s="737">
        <v>1002</v>
      </c>
      <c r="Q97" s="737">
        <v>953</v>
      </c>
      <c r="R97" s="737"/>
      <c r="S97" s="737"/>
      <c r="T97" s="737"/>
      <c r="U97" s="738"/>
      <c r="V97" s="739">
        <v>419</v>
      </c>
      <c r="W97" s="737"/>
      <c r="X97" s="737">
        <v>1000</v>
      </c>
      <c r="Y97" s="737">
        <v>905</v>
      </c>
      <c r="Z97" s="1202"/>
      <c r="AA97" s="740"/>
      <c r="AB97" s="739"/>
      <c r="AC97" s="741"/>
      <c r="AD97" s="741">
        <v>272</v>
      </c>
      <c r="AE97" s="741">
        <v>339</v>
      </c>
      <c r="AF97" s="741"/>
      <c r="AG97" s="741">
        <v>110</v>
      </c>
      <c r="AH97" s="741">
        <v>843</v>
      </c>
      <c r="AI97" s="741">
        <v>356</v>
      </c>
      <c r="AJ97" s="741">
        <v>79</v>
      </c>
      <c r="AK97" s="741"/>
      <c r="AL97" s="741">
        <v>127</v>
      </c>
      <c r="AM97" s="742">
        <v>1077</v>
      </c>
      <c r="AN97" s="743">
        <f t="shared" si="12"/>
        <v>0.90862879654339812</v>
      </c>
      <c r="AO97" s="744">
        <f t="shared" si="13"/>
        <v>0.8966276902219964</v>
      </c>
      <c r="AP97" s="745">
        <f>'09월 에너지'!S99</f>
        <v>143</v>
      </c>
    </row>
    <row r="98" spans="1:42" ht="16.5" customHeight="1">
      <c r="A98" s="999">
        <f>'09월 조업일지'!A98</f>
        <v>46268</v>
      </c>
      <c r="B98" s="1100">
        <f>'09월 조업일지'!B98</f>
        <v>46268</v>
      </c>
      <c r="C98" s="730">
        <f>'09월 조업일지'!G98</f>
        <v>85300</v>
      </c>
      <c r="D98" s="731" t="str">
        <f>'09월 조업일지'!E98</f>
        <v>D</v>
      </c>
      <c r="E98" s="732" t="str">
        <f>'09월 조업일지'!F98</f>
        <v>A</v>
      </c>
      <c r="F98" s="1096" t="str">
        <f>'09월 에너지'!F100</f>
        <v>SS400-05</v>
      </c>
      <c r="G98" s="733">
        <v>7</v>
      </c>
      <c r="H98" s="734">
        <v>15</v>
      </c>
      <c r="I98" s="734">
        <v>51</v>
      </c>
      <c r="J98" s="734">
        <v>16</v>
      </c>
      <c r="K98" s="735">
        <v>28</v>
      </c>
      <c r="L98" s="734">
        <v>15</v>
      </c>
      <c r="M98" s="736">
        <v>9</v>
      </c>
      <c r="N98" s="737">
        <v>412</v>
      </c>
      <c r="O98" s="737"/>
      <c r="P98" s="737">
        <v>1000</v>
      </c>
      <c r="Q98" s="737">
        <v>53</v>
      </c>
      <c r="R98" s="737"/>
      <c r="S98" s="737"/>
      <c r="T98" s="737"/>
      <c r="U98" s="738"/>
      <c r="V98" s="739">
        <v>414</v>
      </c>
      <c r="W98" s="737"/>
      <c r="X98" s="737">
        <v>1002</v>
      </c>
      <c r="Y98" s="737">
        <v>902</v>
      </c>
      <c r="Z98" s="1202"/>
      <c r="AA98" s="740"/>
      <c r="AB98" s="739"/>
      <c r="AC98" s="741"/>
      <c r="AD98" s="741">
        <v>271</v>
      </c>
      <c r="AE98" s="741">
        <v>338</v>
      </c>
      <c r="AF98" s="741"/>
      <c r="AG98" s="741">
        <v>110</v>
      </c>
      <c r="AH98" s="741">
        <v>841</v>
      </c>
      <c r="AI98" s="741">
        <v>330</v>
      </c>
      <c r="AJ98" s="741">
        <v>80</v>
      </c>
      <c r="AK98" s="741"/>
      <c r="AL98" s="741">
        <v>119</v>
      </c>
      <c r="AM98" s="742">
        <v>1987</v>
      </c>
      <c r="AN98" s="743">
        <f t="shared" si="12"/>
        <v>0.57486953030911292</v>
      </c>
      <c r="AO98" s="744">
        <f t="shared" si="13"/>
        <v>0.87569220315950402</v>
      </c>
      <c r="AP98" s="745">
        <f>'09월 에너지'!S100</f>
        <v>143.19999999999999</v>
      </c>
    </row>
    <row r="99" spans="1:42" ht="16.5" customHeight="1">
      <c r="A99" s="999">
        <f>'09월 조업일지'!A99</f>
        <v>46268</v>
      </c>
      <c r="B99" s="1100">
        <f>'09월 조업일지'!B99</f>
        <v>46268</v>
      </c>
      <c r="C99" s="730">
        <f>'09월 조업일지'!G99</f>
        <v>85301</v>
      </c>
      <c r="D99" s="731" t="str">
        <f>'09월 조업일지'!E99</f>
        <v>D</v>
      </c>
      <c r="E99" s="732" t="str">
        <f>'09월 조업일지'!F99</f>
        <v>B</v>
      </c>
      <c r="F99" s="1096" t="str">
        <f>'09월 에너지'!F101</f>
        <v>SS400-05</v>
      </c>
      <c r="G99" s="733">
        <v>8</v>
      </c>
      <c r="H99" s="734">
        <v>18</v>
      </c>
      <c r="I99" s="734">
        <v>50</v>
      </c>
      <c r="J99" s="734">
        <v>13</v>
      </c>
      <c r="K99" s="735">
        <v>30</v>
      </c>
      <c r="L99" s="734">
        <v>13</v>
      </c>
      <c r="M99" s="736">
        <v>9</v>
      </c>
      <c r="N99" s="737">
        <v>418</v>
      </c>
      <c r="O99" s="737"/>
      <c r="P99" s="737">
        <v>1011</v>
      </c>
      <c r="Q99" s="737">
        <v>950</v>
      </c>
      <c r="R99" s="737"/>
      <c r="S99" s="737"/>
      <c r="T99" s="737"/>
      <c r="U99" s="738"/>
      <c r="V99" s="739">
        <v>414</v>
      </c>
      <c r="W99" s="737"/>
      <c r="X99" s="737">
        <v>1001</v>
      </c>
      <c r="Y99" s="737">
        <v>902</v>
      </c>
      <c r="Z99" s="1202"/>
      <c r="AA99" s="740"/>
      <c r="AB99" s="739"/>
      <c r="AC99" s="741"/>
      <c r="AD99" s="741">
        <v>270</v>
      </c>
      <c r="AE99" s="741">
        <v>338</v>
      </c>
      <c r="AF99" s="741"/>
      <c r="AG99" s="741">
        <v>110</v>
      </c>
      <c r="AH99" s="741">
        <v>834</v>
      </c>
      <c r="AI99" s="741">
        <v>329</v>
      </c>
      <c r="AJ99" s="741">
        <v>81</v>
      </c>
      <c r="AK99" s="741"/>
      <c r="AL99" s="741">
        <v>122</v>
      </c>
      <c r="AM99" s="742">
        <v>1280</v>
      </c>
      <c r="AN99" s="743">
        <f t="shared" si="12"/>
        <v>0.68688987494957632</v>
      </c>
      <c r="AO99" s="744">
        <f t="shared" si="13"/>
        <v>0.85071942446043169</v>
      </c>
      <c r="AP99" s="745">
        <f>'09월 에너지'!S101</f>
        <v>141.9</v>
      </c>
    </row>
    <row r="100" spans="1:42" ht="16.5" customHeight="1">
      <c r="A100" s="999">
        <f>'09월 조업일지'!A100</f>
        <v>46268</v>
      </c>
      <c r="B100" s="1100">
        <f>'09월 조업일지'!B100</f>
        <v>46268</v>
      </c>
      <c r="C100" s="730">
        <f>'09월 조업일지'!G100</f>
        <v>85302</v>
      </c>
      <c r="D100" s="731" t="str">
        <f>'09월 조업일지'!E100</f>
        <v>D</v>
      </c>
      <c r="E100" s="732" t="str">
        <f>'09월 조업일지'!F100</f>
        <v>A</v>
      </c>
      <c r="F100" s="1096" t="str">
        <f>'09월 에너지'!F102</f>
        <v>SS400-05</v>
      </c>
      <c r="G100" s="733">
        <v>9</v>
      </c>
      <c r="H100" s="734">
        <v>23</v>
      </c>
      <c r="I100" s="734">
        <v>54</v>
      </c>
      <c r="J100" s="734">
        <v>15</v>
      </c>
      <c r="K100" s="735">
        <v>31</v>
      </c>
      <c r="L100" s="734">
        <v>12</v>
      </c>
      <c r="M100" s="736">
        <v>8</v>
      </c>
      <c r="N100" s="737">
        <v>417</v>
      </c>
      <c r="O100" s="737"/>
      <c r="P100" s="737">
        <v>1002</v>
      </c>
      <c r="Q100" s="737">
        <v>953</v>
      </c>
      <c r="R100" s="737"/>
      <c r="S100" s="737"/>
      <c r="T100" s="737"/>
      <c r="U100" s="738"/>
      <c r="V100" s="739">
        <v>411</v>
      </c>
      <c r="W100" s="737"/>
      <c r="X100" s="737">
        <v>1000</v>
      </c>
      <c r="Y100" s="737">
        <v>903</v>
      </c>
      <c r="Z100" s="1202"/>
      <c r="AA100" s="740"/>
      <c r="AB100" s="739"/>
      <c r="AC100" s="741"/>
      <c r="AD100" s="741">
        <v>270</v>
      </c>
      <c r="AE100" s="741">
        <v>336</v>
      </c>
      <c r="AF100" s="741"/>
      <c r="AG100" s="741">
        <v>110</v>
      </c>
      <c r="AH100" s="741">
        <v>842</v>
      </c>
      <c r="AI100" s="741">
        <v>360</v>
      </c>
      <c r="AJ100" s="741">
        <v>81</v>
      </c>
      <c r="AK100" s="741"/>
      <c r="AL100" s="741">
        <v>128</v>
      </c>
      <c r="AM100" s="742">
        <v>2049</v>
      </c>
      <c r="AN100" s="743">
        <f t="shared" si="12"/>
        <v>0.82122129699722424</v>
      </c>
      <c r="AO100" s="744">
        <f t="shared" si="13"/>
        <v>0.93629114353579923</v>
      </c>
      <c r="AP100" s="745">
        <f>'09월 에너지'!S102</f>
        <v>141.5</v>
      </c>
    </row>
    <row r="101" spans="1:42" ht="16.5" customHeight="1">
      <c r="A101" s="999">
        <f>'09월 조업일지'!A101</f>
        <v>46268</v>
      </c>
      <c r="B101" s="1100">
        <f>'09월 조업일지'!B101</f>
        <v>46268</v>
      </c>
      <c r="C101" s="730">
        <f>'09월 조업일지'!G101</f>
        <v>85303</v>
      </c>
      <c r="D101" s="731" t="str">
        <f>'09월 조업일지'!E101</f>
        <v>D</v>
      </c>
      <c r="E101" s="732" t="str">
        <f>'09월 조업일지'!F101</f>
        <v>B</v>
      </c>
      <c r="F101" s="1096" t="str">
        <f>'09월 에너지'!F103</f>
        <v>SS400-05</v>
      </c>
      <c r="G101" s="733">
        <v>8</v>
      </c>
      <c r="H101" s="734">
        <v>18</v>
      </c>
      <c r="I101" s="734">
        <v>51</v>
      </c>
      <c r="J101" s="734">
        <v>14</v>
      </c>
      <c r="K101" s="735">
        <v>29</v>
      </c>
      <c r="L101" s="734">
        <v>11</v>
      </c>
      <c r="M101" s="736">
        <v>12</v>
      </c>
      <c r="N101" s="737">
        <v>419</v>
      </c>
      <c r="O101" s="737"/>
      <c r="P101" s="737">
        <v>1000</v>
      </c>
      <c r="Q101" s="737">
        <v>962</v>
      </c>
      <c r="R101" s="737"/>
      <c r="S101" s="737"/>
      <c r="T101" s="737"/>
      <c r="U101" s="738"/>
      <c r="V101" s="739">
        <v>421</v>
      </c>
      <c r="W101" s="737"/>
      <c r="X101" s="737">
        <v>1000</v>
      </c>
      <c r="Y101" s="737">
        <v>903</v>
      </c>
      <c r="Z101" s="1202"/>
      <c r="AA101" s="740"/>
      <c r="AB101" s="739"/>
      <c r="AC101" s="741"/>
      <c r="AD101" s="741">
        <v>271</v>
      </c>
      <c r="AE101" s="741">
        <v>339</v>
      </c>
      <c r="AF101" s="741"/>
      <c r="AG101" s="741">
        <v>110</v>
      </c>
      <c r="AH101" s="741">
        <v>840</v>
      </c>
      <c r="AI101" s="741">
        <v>367</v>
      </c>
      <c r="AJ101" s="741">
        <v>80</v>
      </c>
      <c r="AK101" s="741"/>
      <c r="AL101" s="741">
        <v>132</v>
      </c>
      <c r="AM101" s="742">
        <v>1897</v>
      </c>
      <c r="AN101" s="743">
        <f t="shared" si="12"/>
        <v>0.63925233644859814</v>
      </c>
      <c r="AO101" s="744">
        <f t="shared" si="13"/>
        <v>0.87244897959183676</v>
      </c>
      <c r="AP101" s="745">
        <f>'09월 에너지'!S103</f>
        <v>142.5</v>
      </c>
    </row>
    <row r="102" spans="1:42" ht="16.5" customHeight="1">
      <c r="A102" s="999">
        <f>'09월 조업일지'!A102</f>
        <v>46268</v>
      </c>
      <c r="B102" s="1100">
        <f>'09월 조업일지'!B102</f>
        <v>46268</v>
      </c>
      <c r="C102" s="730">
        <f>'09월 조업일지'!G102</f>
        <v>85304</v>
      </c>
      <c r="D102" s="731" t="str">
        <f>'09월 조업일지'!E102</f>
        <v>D</v>
      </c>
      <c r="E102" s="732" t="str">
        <f>'09월 조업일지'!F102</f>
        <v>A</v>
      </c>
      <c r="F102" s="1096" t="str">
        <f>'09월 에너지'!F104</f>
        <v>SS400-05</v>
      </c>
      <c r="G102" s="733">
        <v>13</v>
      </c>
      <c r="H102" s="734">
        <v>25</v>
      </c>
      <c r="I102" s="734">
        <v>52</v>
      </c>
      <c r="J102" s="734">
        <v>14</v>
      </c>
      <c r="K102" s="735">
        <v>29</v>
      </c>
      <c r="L102" s="734">
        <v>11</v>
      </c>
      <c r="M102" s="736">
        <v>12</v>
      </c>
      <c r="N102" s="737">
        <v>414</v>
      </c>
      <c r="O102" s="737"/>
      <c r="P102" s="737">
        <v>1000</v>
      </c>
      <c r="Q102" s="737">
        <v>951</v>
      </c>
      <c r="R102" s="737"/>
      <c r="S102" s="737"/>
      <c r="T102" s="737"/>
      <c r="U102" s="738"/>
      <c r="V102" s="739">
        <v>421</v>
      </c>
      <c r="W102" s="737"/>
      <c r="X102" s="737">
        <v>1001</v>
      </c>
      <c r="Y102" s="737">
        <v>902</v>
      </c>
      <c r="Z102" s="1202"/>
      <c r="AA102" s="740"/>
      <c r="AB102" s="739"/>
      <c r="AC102" s="741"/>
      <c r="AD102" s="741">
        <v>270</v>
      </c>
      <c r="AE102" s="741">
        <v>340</v>
      </c>
      <c r="AF102" s="741"/>
      <c r="AG102" s="741">
        <v>110</v>
      </c>
      <c r="AH102" s="741">
        <v>840</v>
      </c>
      <c r="AI102" s="741">
        <v>379</v>
      </c>
      <c r="AJ102" s="741">
        <v>77</v>
      </c>
      <c r="AK102" s="741"/>
      <c r="AL102" s="741">
        <v>120</v>
      </c>
      <c r="AM102" s="742">
        <v>1881</v>
      </c>
      <c r="AN102" s="743">
        <f t="shared" si="12"/>
        <v>0.88665447897623395</v>
      </c>
      <c r="AO102" s="744">
        <f t="shared" si="13"/>
        <v>0.91556122448979593</v>
      </c>
      <c r="AP102" s="745">
        <f>'09월 에너지'!S104</f>
        <v>145.5</v>
      </c>
    </row>
    <row r="103" spans="1:42" ht="16.5" customHeight="1">
      <c r="A103" s="999">
        <f>'09월 조업일지'!A103</f>
        <v>46269</v>
      </c>
      <c r="B103" s="1100">
        <f>'09월 조업일지'!B103</f>
        <v>46268</v>
      </c>
      <c r="C103" s="730">
        <f>'09월 조업일지'!G103</f>
        <v>85305</v>
      </c>
      <c r="D103" s="731" t="str">
        <f>'09월 조업일지'!E103</f>
        <v>D</v>
      </c>
      <c r="E103" s="732" t="str">
        <f>'09월 조업일지'!F103</f>
        <v>B</v>
      </c>
      <c r="F103" s="1096" t="str">
        <f>'09월 에너지'!F105</f>
        <v>SS400-05</v>
      </c>
      <c r="G103" s="733">
        <v>8</v>
      </c>
      <c r="H103" s="734">
        <v>20</v>
      </c>
      <c r="I103" s="734">
        <v>50</v>
      </c>
      <c r="J103" s="734">
        <v>13</v>
      </c>
      <c r="K103" s="735">
        <v>30</v>
      </c>
      <c r="L103" s="734">
        <v>13</v>
      </c>
      <c r="M103" s="736">
        <v>8</v>
      </c>
      <c r="N103" s="737">
        <v>417</v>
      </c>
      <c r="O103" s="737"/>
      <c r="P103" s="737">
        <v>100</v>
      </c>
      <c r="Q103" s="737">
        <v>952</v>
      </c>
      <c r="R103" s="737"/>
      <c r="S103" s="737"/>
      <c r="T103" s="737"/>
      <c r="U103" s="738"/>
      <c r="V103" s="739">
        <v>415</v>
      </c>
      <c r="W103" s="737"/>
      <c r="X103" s="737">
        <v>1001</v>
      </c>
      <c r="Y103" s="737">
        <v>901</v>
      </c>
      <c r="Z103" s="1202"/>
      <c r="AA103" s="740"/>
      <c r="AB103" s="739"/>
      <c r="AC103" s="741"/>
      <c r="AD103" s="741">
        <v>270</v>
      </c>
      <c r="AE103" s="741">
        <v>340</v>
      </c>
      <c r="AF103" s="741"/>
      <c r="AG103" s="741">
        <v>110</v>
      </c>
      <c r="AH103" s="741">
        <v>835</v>
      </c>
      <c r="AI103" s="741">
        <v>361</v>
      </c>
      <c r="AJ103" s="741">
        <v>79</v>
      </c>
      <c r="AK103" s="741"/>
      <c r="AL103" s="741">
        <v>133</v>
      </c>
      <c r="AM103" s="742">
        <v>1945</v>
      </c>
      <c r="AN103" s="743">
        <f t="shared" si="12"/>
        <v>0.71969696969696972</v>
      </c>
      <c r="AO103" s="744">
        <f t="shared" si="13"/>
        <v>0.8532934131736527</v>
      </c>
      <c r="AP103" s="745">
        <f>'09월 에너지'!S105</f>
        <v>142.5</v>
      </c>
    </row>
    <row r="104" spans="1:42" ht="16.5" customHeight="1">
      <c r="A104" s="999">
        <f>'09월 조업일지'!A104</f>
        <v>46269</v>
      </c>
      <c r="B104" s="1100">
        <f>'09월 조업일지'!B104</f>
        <v>46268</v>
      </c>
      <c r="C104" s="730">
        <f>'09월 조업일지'!G104</f>
        <v>85306</v>
      </c>
      <c r="D104" s="731" t="str">
        <f>'09월 조업일지'!E104</f>
        <v>D</v>
      </c>
      <c r="E104" s="732" t="str">
        <f>'09월 조업일지'!F104</f>
        <v>A</v>
      </c>
      <c r="F104" s="1096" t="str">
        <f>'09월 에너지'!F106</f>
        <v>SS400-05</v>
      </c>
      <c r="G104" s="733">
        <v>11</v>
      </c>
      <c r="H104" s="734">
        <v>18</v>
      </c>
      <c r="I104" s="734">
        <v>56</v>
      </c>
      <c r="J104" s="734">
        <v>15</v>
      </c>
      <c r="K104" s="735">
        <v>34</v>
      </c>
      <c r="L104" s="734">
        <v>15</v>
      </c>
      <c r="M104" s="736">
        <v>9</v>
      </c>
      <c r="N104" s="737">
        <v>413</v>
      </c>
      <c r="O104" s="737"/>
      <c r="P104" s="737">
        <v>1001</v>
      </c>
      <c r="Q104" s="737">
        <v>953</v>
      </c>
      <c r="R104" s="737"/>
      <c r="S104" s="737"/>
      <c r="T104" s="737"/>
      <c r="U104" s="738"/>
      <c r="V104" s="739">
        <v>416</v>
      </c>
      <c r="W104" s="737"/>
      <c r="X104" s="737">
        <v>1001</v>
      </c>
      <c r="Y104" s="737">
        <v>900</v>
      </c>
      <c r="Z104" s="1202"/>
      <c r="AA104" s="740"/>
      <c r="AB104" s="739"/>
      <c r="AC104" s="741"/>
      <c r="AD104" s="741">
        <v>271</v>
      </c>
      <c r="AE104" s="741">
        <v>337</v>
      </c>
      <c r="AF104" s="741"/>
      <c r="AG104" s="741">
        <v>110</v>
      </c>
      <c r="AH104" s="741">
        <v>843</v>
      </c>
      <c r="AI104" s="741">
        <v>365</v>
      </c>
      <c r="AJ104" s="741">
        <v>76</v>
      </c>
      <c r="AK104" s="741"/>
      <c r="AL104" s="741">
        <v>126</v>
      </c>
      <c r="AM104" s="742">
        <v>1412</v>
      </c>
      <c r="AN104" s="743">
        <f t="shared" si="12"/>
        <v>0.6436281859070464</v>
      </c>
      <c r="AO104" s="744">
        <f t="shared" si="13"/>
        <v>0.99425521098118985</v>
      </c>
      <c r="AP104" s="745">
        <f>'09월 에너지'!S106</f>
        <v>143.1</v>
      </c>
    </row>
    <row r="105" spans="1:42" ht="16.5" customHeight="1">
      <c r="A105" s="999">
        <f>'09월 조업일지'!A105</f>
        <v>46269</v>
      </c>
      <c r="B105" s="1100">
        <f>'09월 조업일지'!B105</f>
        <v>46268</v>
      </c>
      <c r="C105" s="730">
        <f>'09월 조업일지'!G105</f>
        <v>85307</v>
      </c>
      <c r="D105" s="731" t="str">
        <f>'09월 조업일지'!E105</f>
        <v>D</v>
      </c>
      <c r="E105" s="732" t="str">
        <f>'09월 조업일지'!F105</f>
        <v>B</v>
      </c>
      <c r="F105" s="1096" t="str">
        <f>'09월 에너지'!F107</f>
        <v>SS400-05</v>
      </c>
      <c r="G105" s="733">
        <v>7</v>
      </c>
      <c r="H105" s="734">
        <v>16</v>
      </c>
      <c r="I105" s="734">
        <v>46</v>
      </c>
      <c r="J105" s="734">
        <v>14</v>
      </c>
      <c r="K105" s="735">
        <v>30</v>
      </c>
      <c r="L105" s="734">
        <v>11</v>
      </c>
      <c r="M105" s="736">
        <v>8</v>
      </c>
      <c r="N105" s="737">
        <v>419</v>
      </c>
      <c r="O105" s="737"/>
      <c r="P105" s="737">
        <v>1000</v>
      </c>
      <c r="Q105" s="737">
        <v>952</v>
      </c>
      <c r="R105" s="737"/>
      <c r="S105" s="737"/>
      <c r="T105" s="737"/>
      <c r="U105" s="738"/>
      <c r="V105" s="739">
        <v>416</v>
      </c>
      <c r="W105" s="737"/>
      <c r="X105" s="737">
        <v>1001</v>
      </c>
      <c r="Y105" s="737">
        <v>905</v>
      </c>
      <c r="Z105" s="1202"/>
      <c r="AA105" s="740"/>
      <c r="AB105" s="739"/>
      <c r="AC105" s="741"/>
      <c r="AD105" s="741">
        <v>270</v>
      </c>
      <c r="AE105" s="741">
        <v>337</v>
      </c>
      <c r="AF105" s="741"/>
      <c r="AG105" s="741">
        <v>111</v>
      </c>
      <c r="AH105" s="741">
        <v>834</v>
      </c>
      <c r="AI105" s="741">
        <v>355</v>
      </c>
      <c r="AJ105" s="741">
        <v>79</v>
      </c>
      <c r="AK105" s="741"/>
      <c r="AL105" s="741">
        <v>125</v>
      </c>
      <c r="AM105" s="742">
        <v>1737</v>
      </c>
      <c r="AN105" s="743">
        <f t="shared" si="12"/>
        <v>0.58300753800945437</v>
      </c>
      <c r="AO105" s="744">
        <f t="shared" si="13"/>
        <v>0.75721137375813641</v>
      </c>
      <c r="AP105" s="745">
        <f>'09월 에너지'!S107</f>
        <v>142.6</v>
      </c>
    </row>
    <row r="106" spans="1:42" ht="16.5" customHeight="1">
      <c r="A106" s="999">
        <f>'09월 조업일지'!A106</f>
        <v>46269</v>
      </c>
      <c r="B106" s="1100">
        <f>'09월 조업일지'!B106</f>
        <v>46268</v>
      </c>
      <c r="C106" s="730">
        <f>'09월 조업일지'!G106</f>
        <v>85308</v>
      </c>
      <c r="D106" s="731" t="str">
        <f>'09월 조업일지'!E106</f>
        <v>D</v>
      </c>
      <c r="E106" s="732" t="str">
        <f>'09월 조업일지'!F106</f>
        <v>A</v>
      </c>
      <c r="F106" s="1096" t="str">
        <f>'09월 에너지'!F108</f>
        <v>SS400-05</v>
      </c>
      <c r="G106" s="733">
        <v>11</v>
      </c>
      <c r="H106" s="734">
        <v>23</v>
      </c>
      <c r="I106" s="734">
        <v>53</v>
      </c>
      <c r="J106" s="734">
        <v>15</v>
      </c>
      <c r="K106" s="735">
        <v>43</v>
      </c>
      <c r="L106" s="734">
        <v>13</v>
      </c>
      <c r="M106" s="736">
        <v>11</v>
      </c>
      <c r="N106" s="737">
        <v>418</v>
      </c>
      <c r="O106" s="737"/>
      <c r="P106" s="737">
        <v>1001</v>
      </c>
      <c r="Q106" s="737">
        <v>955</v>
      </c>
      <c r="R106" s="737"/>
      <c r="S106" s="737"/>
      <c r="T106" s="737"/>
      <c r="U106" s="738"/>
      <c r="V106" s="739">
        <v>420</v>
      </c>
      <c r="W106" s="737"/>
      <c r="X106" s="737">
        <v>1000</v>
      </c>
      <c r="Y106" s="737">
        <v>901</v>
      </c>
      <c r="Z106" s="1202"/>
      <c r="AA106" s="740"/>
      <c r="AB106" s="739"/>
      <c r="AC106" s="741"/>
      <c r="AD106" s="741">
        <v>271</v>
      </c>
      <c r="AE106" s="741">
        <v>339</v>
      </c>
      <c r="AF106" s="741"/>
      <c r="AG106" s="741">
        <v>110</v>
      </c>
      <c r="AH106" s="741">
        <v>835</v>
      </c>
      <c r="AI106" s="741">
        <v>369</v>
      </c>
      <c r="AJ106" s="741">
        <v>77</v>
      </c>
      <c r="AK106" s="741"/>
      <c r="AL106" s="741">
        <v>140</v>
      </c>
      <c r="AM106" s="742">
        <v>1824</v>
      </c>
      <c r="AN106" s="743">
        <f t="shared" si="12"/>
        <v>0.8341791044776119</v>
      </c>
      <c r="AO106" s="744">
        <f t="shared" si="13"/>
        <v>0.94788708297690327</v>
      </c>
      <c r="AP106" s="745">
        <f>'09월 에너지'!S108</f>
        <v>145.80000000000001</v>
      </c>
    </row>
    <row r="107" spans="1:42" ht="16.5" customHeight="1">
      <c r="A107" s="999">
        <f>'09월 조업일지'!A107</f>
        <v>46269</v>
      </c>
      <c r="B107" s="1100">
        <f>'09월 조업일지'!B107</f>
        <v>46269</v>
      </c>
      <c r="C107" s="730">
        <f>'09월 조업일지'!G107</f>
        <v>85309</v>
      </c>
      <c r="D107" s="731" t="str">
        <f>'09월 조업일지'!E107</f>
        <v>B</v>
      </c>
      <c r="E107" s="732" t="str">
        <f>'09월 조업일지'!F107</f>
        <v>B</v>
      </c>
      <c r="F107" s="1096" t="str">
        <f>'09월 에너지'!F109</f>
        <v>SS400-05</v>
      </c>
      <c r="G107" s="733">
        <v>7</v>
      </c>
      <c r="H107" s="734">
        <v>22</v>
      </c>
      <c r="I107" s="734">
        <v>63</v>
      </c>
      <c r="J107" s="734">
        <v>16</v>
      </c>
      <c r="K107" s="735">
        <v>26</v>
      </c>
      <c r="L107" s="734">
        <v>9</v>
      </c>
      <c r="M107" s="736">
        <v>10</v>
      </c>
      <c r="N107" s="737">
        <v>418</v>
      </c>
      <c r="O107" s="737"/>
      <c r="P107" s="737">
        <v>1001</v>
      </c>
      <c r="Q107" s="737">
        <v>955</v>
      </c>
      <c r="R107" s="737"/>
      <c r="S107" s="737"/>
      <c r="T107" s="737"/>
      <c r="U107" s="738"/>
      <c r="V107" s="739">
        <v>420</v>
      </c>
      <c r="W107" s="737"/>
      <c r="X107" s="737">
        <v>1000</v>
      </c>
      <c r="Y107" s="737">
        <v>901</v>
      </c>
      <c r="Z107" s="1202"/>
      <c r="AA107" s="740"/>
      <c r="AB107" s="739"/>
      <c r="AC107" s="741"/>
      <c r="AD107" s="741">
        <v>271</v>
      </c>
      <c r="AE107" s="741">
        <v>339</v>
      </c>
      <c r="AF107" s="741"/>
      <c r="AG107" s="741">
        <v>110</v>
      </c>
      <c r="AH107" s="741">
        <v>835</v>
      </c>
      <c r="AI107" s="741">
        <v>369</v>
      </c>
      <c r="AJ107" s="741">
        <v>77</v>
      </c>
      <c r="AK107" s="741"/>
      <c r="AL107" s="741">
        <v>140</v>
      </c>
      <c r="AM107" s="742">
        <v>3950</v>
      </c>
      <c r="AN107" s="743">
        <f t="shared" si="12"/>
        <v>0.78587064676616925</v>
      </c>
      <c r="AO107" s="744">
        <f t="shared" si="13"/>
        <v>1.1792643284858852</v>
      </c>
      <c r="AP107" s="745">
        <f>'09월 에너지'!S109</f>
        <v>143.6</v>
      </c>
    </row>
    <row r="108" spans="1:42" ht="16.5" customHeight="1">
      <c r="A108" s="999">
        <f>'09월 조업일지'!A108</f>
        <v>46269</v>
      </c>
      <c r="B108" s="1100">
        <f>'09월 조업일지'!B108</f>
        <v>46269</v>
      </c>
      <c r="C108" s="730">
        <f>'09월 조업일지'!G108</f>
        <v>85310</v>
      </c>
      <c r="D108" s="731" t="str">
        <f>'09월 조업일지'!E108</f>
        <v>B</v>
      </c>
      <c r="E108" s="732" t="str">
        <f>'09월 조업일지'!F108</f>
        <v>A</v>
      </c>
      <c r="F108" s="1096" t="str">
        <f>'09월 에너지'!F110</f>
        <v>SS400-05</v>
      </c>
      <c r="G108" s="733">
        <v>6</v>
      </c>
      <c r="H108" s="734">
        <v>15</v>
      </c>
      <c r="I108" s="734">
        <v>33</v>
      </c>
      <c r="J108" s="734">
        <v>22</v>
      </c>
      <c r="K108" s="735">
        <v>38</v>
      </c>
      <c r="L108" s="734">
        <v>16</v>
      </c>
      <c r="M108" s="736">
        <v>12</v>
      </c>
      <c r="N108" s="737">
        <v>519</v>
      </c>
      <c r="O108" s="737"/>
      <c r="P108" s="737">
        <v>1301</v>
      </c>
      <c r="Q108" s="737">
        <v>1509</v>
      </c>
      <c r="R108" s="737"/>
      <c r="S108" s="737"/>
      <c r="T108" s="737">
        <v>70</v>
      </c>
      <c r="U108" s="738"/>
      <c r="V108" s="739"/>
      <c r="W108" s="737"/>
      <c r="X108" s="737"/>
      <c r="Y108" s="737"/>
      <c r="Z108" s="1202"/>
      <c r="AA108" s="740"/>
      <c r="AB108" s="739"/>
      <c r="AC108" s="741"/>
      <c r="AD108" s="741"/>
      <c r="AE108" s="741"/>
      <c r="AF108" s="741"/>
      <c r="AG108" s="741"/>
      <c r="AH108" s="741">
        <v>447</v>
      </c>
      <c r="AI108" s="741">
        <v>661</v>
      </c>
      <c r="AJ108" s="741"/>
      <c r="AK108" s="741"/>
      <c r="AL108" s="741"/>
      <c r="AM108" s="742">
        <v>2342</v>
      </c>
      <c r="AN108" s="743">
        <f t="shared" si="12"/>
        <v>0.30676972281449899</v>
      </c>
      <c r="AO108" s="744">
        <f t="shared" si="13"/>
        <v>0.66212847555129439</v>
      </c>
      <c r="AP108" s="745">
        <f>'09월 에너지'!S110</f>
        <v>115.1</v>
      </c>
    </row>
    <row r="109" spans="1:42" ht="16.5" customHeight="1">
      <c r="A109" s="999">
        <f>'09월 조업일지'!A109</f>
        <v>46269</v>
      </c>
      <c r="B109" s="1100">
        <f>'09월 조업일지'!B109</f>
        <v>46269</v>
      </c>
      <c r="C109" s="730">
        <f>'09월 조업일지'!G109</f>
        <v>85311</v>
      </c>
      <c r="D109" s="731" t="str">
        <f>'09월 조업일지'!E109</f>
        <v>B</v>
      </c>
      <c r="E109" s="732" t="str">
        <f>'09월 조업일지'!F109</f>
        <v>B</v>
      </c>
      <c r="F109" s="1096" t="str">
        <f>'09월 에너지'!F111</f>
        <v>SS400-05</v>
      </c>
      <c r="G109" s="733">
        <v>9</v>
      </c>
      <c r="H109" s="734">
        <v>18</v>
      </c>
      <c r="I109" s="734">
        <v>72</v>
      </c>
      <c r="J109" s="734">
        <v>22</v>
      </c>
      <c r="K109" s="735">
        <v>35</v>
      </c>
      <c r="L109" s="734">
        <v>7</v>
      </c>
      <c r="M109" s="736">
        <v>6</v>
      </c>
      <c r="N109" s="737">
        <v>516</v>
      </c>
      <c r="O109" s="737"/>
      <c r="P109" s="737">
        <v>1300</v>
      </c>
      <c r="Q109" s="737">
        <v>1509</v>
      </c>
      <c r="R109" s="737"/>
      <c r="S109" s="737"/>
      <c r="T109" s="737">
        <v>62</v>
      </c>
      <c r="U109" s="738"/>
      <c r="V109" s="739"/>
      <c r="W109" s="737"/>
      <c r="X109" s="737"/>
      <c r="Y109" s="737"/>
      <c r="Z109" s="1202"/>
      <c r="AA109" s="740"/>
      <c r="AB109" s="739"/>
      <c r="AC109" s="741"/>
      <c r="AD109" s="741"/>
      <c r="AE109" s="741"/>
      <c r="AF109" s="741"/>
      <c r="AG109" s="741"/>
      <c r="AH109" s="741">
        <v>446</v>
      </c>
      <c r="AI109" s="741">
        <v>612</v>
      </c>
      <c r="AJ109" s="741"/>
      <c r="AK109" s="741"/>
      <c r="AL109" s="741"/>
      <c r="AM109" s="742">
        <v>2724</v>
      </c>
      <c r="AN109" s="743">
        <f t="shared" si="12"/>
        <v>0.39634911580148319</v>
      </c>
      <c r="AO109" s="744">
        <f t="shared" si="13"/>
        <v>2.1142216527866751</v>
      </c>
      <c r="AP109" s="745">
        <f>'09월 에너지'!S111</f>
        <v>115.8</v>
      </c>
    </row>
    <row r="110" spans="1:42" ht="16.5" customHeight="1">
      <c r="A110" s="999">
        <f>'09월 조업일지'!A110</f>
        <v>46269</v>
      </c>
      <c r="B110" s="1100">
        <f>'09월 조업일지'!B110</f>
        <v>46269</v>
      </c>
      <c r="C110" s="730">
        <f>'09월 조업일지'!G110</f>
        <v>85312</v>
      </c>
      <c r="D110" s="731" t="str">
        <f>'09월 조업일지'!E110</f>
        <v>C</v>
      </c>
      <c r="E110" s="732" t="str">
        <f>'09월 조업일지'!F110</f>
        <v>B</v>
      </c>
      <c r="F110" s="1231" t="str">
        <f>'09월 에너지'!F112</f>
        <v>SS400-04</v>
      </c>
      <c r="G110" s="733">
        <v>6</v>
      </c>
      <c r="H110" s="734">
        <v>17</v>
      </c>
      <c r="I110" s="734">
        <v>53</v>
      </c>
      <c r="J110" s="734">
        <v>11</v>
      </c>
      <c r="K110" s="735">
        <v>18</v>
      </c>
      <c r="L110" s="734">
        <v>6</v>
      </c>
      <c r="M110" s="736">
        <v>11</v>
      </c>
      <c r="N110" s="737">
        <v>615</v>
      </c>
      <c r="O110" s="737"/>
      <c r="P110" s="737">
        <v>1101</v>
      </c>
      <c r="Q110" s="737">
        <v>1004</v>
      </c>
      <c r="R110" s="737"/>
      <c r="S110" s="737"/>
      <c r="T110" s="737">
        <v>65</v>
      </c>
      <c r="U110" s="738"/>
      <c r="V110" s="739">
        <v>616</v>
      </c>
      <c r="W110" s="737"/>
      <c r="X110" s="737">
        <v>1100</v>
      </c>
      <c r="Y110" s="737">
        <v>1002</v>
      </c>
      <c r="Z110" s="1202">
        <v>56</v>
      </c>
      <c r="AA110" s="740"/>
      <c r="AB110" s="739"/>
      <c r="AC110" s="741"/>
      <c r="AD110" s="741">
        <v>251</v>
      </c>
      <c r="AE110" s="741">
        <v>328</v>
      </c>
      <c r="AF110" s="741"/>
      <c r="AG110" s="741">
        <v>95</v>
      </c>
      <c r="AH110" s="741">
        <v>893</v>
      </c>
      <c r="AI110" s="741">
        <v>279</v>
      </c>
      <c r="AJ110" s="741">
        <v>56</v>
      </c>
      <c r="AK110" s="741"/>
      <c r="AL110" s="741"/>
      <c r="AM110" s="742">
        <v>3301</v>
      </c>
      <c r="AN110" s="743">
        <f t="shared" si="12"/>
        <v>0.64889277389277389</v>
      </c>
      <c r="AO110" s="744">
        <f t="shared" si="13"/>
        <v>0.79635258358662631</v>
      </c>
      <c r="AP110" s="745">
        <f>'09월 에너지'!S112</f>
        <v>131</v>
      </c>
    </row>
    <row r="111" spans="1:42" ht="16.5" customHeight="1">
      <c r="A111" s="999">
        <f>'09월 조업일지'!A111</f>
        <v>46269</v>
      </c>
      <c r="B111" s="1100">
        <f>'09월 조업일지'!B111</f>
        <v>46269</v>
      </c>
      <c r="C111" s="730">
        <f>'09월 조업일지'!G111</f>
        <v>85313</v>
      </c>
      <c r="D111" s="731" t="str">
        <f>'09월 조업일지'!E111</f>
        <v>C</v>
      </c>
      <c r="E111" s="1234" t="str">
        <f>'09월 조업일지'!F111</f>
        <v>B</v>
      </c>
      <c r="F111" s="1096" t="str">
        <f>'09월 에너지'!F113</f>
        <v>SS400-04</v>
      </c>
      <c r="G111" s="733">
        <v>7</v>
      </c>
      <c r="H111" s="734">
        <v>16</v>
      </c>
      <c r="I111" s="734">
        <v>68</v>
      </c>
      <c r="J111" s="734">
        <v>10</v>
      </c>
      <c r="K111" s="735">
        <v>19</v>
      </c>
      <c r="L111" s="734">
        <v>7</v>
      </c>
      <c r="M111" s="736">
        <v>6</v>
      </c>
      <c r="N111" s="737">
        <v>416</v>
      </c>
      <c r="O111" s="737"/>
      <c r="P111" s="737">
        <v>1000</v>
      </c>
      <c r="Q111" s="737">
        <v>954</v>
      </c>
      <c r="R111" s="737"/>
      <c r="S111" s="737"/>
      <c r="T111" s="737">
        <v>72</v>
      </c>
      <c r="U111" s="738"/>
      <c r="V111" s="739">
        <v>412</v>
      </c>
      <c r="W111" s="737"/>
      <c r="X111" s="737">
        <v>1001</v>
      </c>
      <c r="Y111" s="737">
        <v>904</v>
      </c>
      <c r="Z111" s="1202">
        <v>75</v>
      </c>
      <c r="AA111" s="740"/>
      <c r="AB111" s="739"/>
      <c r="AC111" s="741"/>
      <c r="AD111" s="741">
        <v>270</v>
      </c>
      <c r="AE111" s="741">
        <v>336</v>
      </c>
      <c r="AF111" s="741"/>
      <c r="AG111" s="741">
        <v>105</v>
      </c>
      <c r="AH111" s="741">
        <v>1299</v>
      </c>
      <c r="AI111" s="741">
        <v>193</v>
      </c>
      <c r="AJ111" s="741">
        <v>83</v>
      </c>
      <c r="AK111" s="741"/>
      <c r="AL111" s="741">
        <v>130</v>
      </c>
      <c r="AM111" s="742">
        <v>3340</v>
      </c>
      <c r="AN111" s="743">
        <f t="shared" si="12"/>
        <v>0.66808009422850412</v>
      </c>
      <c r="AO111" s="744">
        <f t="shared" si="13"/>
        <v>0.82650390410205654</v>
      </c>
      <c r="AP111" s="745">
        <f>'09월 에너지'!S113</f>
        <v>141.80000000000001</v>
      </c>
    </row>
    <row r="112" spans="1:42" ht="16.5" customHeight="1">
      <c r="A112" s="999">
        <f>'09월 조업일지'!A112</f>
        <v>46269</v>
      </c>
      <c r="B112" s="1100">
        <f>'09월 조업일지'!B112</f>
        <v>46269</v>
      </c>
      <c r="C112" s="730">
        <f>'09월 조업일지'!G112</f>
        <v>85314</v>
      </c>
      <c r="D112" s="731" t="str">
        <f>'09월 조업일지'!E112</f>
        <v>C</v>
      </c>
      <c r="E112" s="732" t="str">
        <f>'09월 조업일지'!F112</f>
        <v>A</v>
      </c>
      <c r="F112" s="1096" t="str">
        <f>'09월 에너지'!F114</f>
        <v>SS400-04</v>
      </c>
      <c r="G112" s="733">
        <v>8</v>
      </c>
      <c r="H112" s="734">
        <v>21</v>
      </c>
      <c r="I112" s="734">
        <v>54</v>
      </c>
      <c r="J112" s="734">
        <v>17</v>
      </c>
      <c r="K112" s="735">
        <v>21</v>
      </c>
      <c r="L112" s="734">
        <v>10</v>
      </c>
      <c r="M112" s="736">
        <v>11</v>
      </c>
      <c r="N112" s="737">
        <v>612</v>
      </c>
      <c r="O112" s="737"/>
      <c r="P112" s="737">
        <v>1100</v>
      </c>
      <c r="Q112" s="737">
        <v>1002</v>
      </c>
      <c r="R112" s="737"/>
      <c r="S112" s="737"/>
      <c r="T112" s="737">
        <v>68</v>
      </c>
      <c r="U112" s="738"/>
      <c r="V112" s="739">
        <v>613</v>
      </c>
      <c r="W112" s="737"/>
      <c r="X112" s="737">
        <v>1101</v>
      </c>
      <c r="Y112" s="737">
        <v>1007</v>
      </c>
      <c r="Z112" s="1202">
        <v>64</v>
      </c>
      <c r="AA112" s="740"/>
      <c r="AB112" s="739"/>
      <c r="AC112" s="741"/>
      <c r="AD112" s="741">
        <v>250</v>
      </c>
      <c r="AE112" s="741">
        <v>332</v>
      </c>
      <c r="AF112" s="741"/>
      <c r="AG112" s="741">
        <v>95</v>
      </c>
      <c r="AH112" s="741">
        <v>901</v>
      </c>
      <c r="AI112" s="741">
        <v>279</v>
      </c>
      <c r="AJ112" s="741">
        <v>56</v>
      </c>
      <c r="AK112" s="741"/>
      <c r="AL112" s="741"/>
      <c r="AM112" s="742">
        <v>1670</v>
      </c>
      <c r="AN112" s="743">
        <f t="shared" si="12"/>
        <v>0.7987804878048782</v>
      </c>
      <c r="AO112" s="744">
        <f t="shared" si="13"/>
        <v>0.81005232281591888</v>
      </c>
      <c r="AP112" s="745">
        <f>'09월 에너지'!S114</f>
        <v>131</v>
      </c>
    </row>
    <row r="113" spans="1:42" ht="16.5" customHeight="1">
      <c r="A113" s="999">
        <f>'09월 조업일지'!A113</f>
        <v>46269</v>
      </c>
      <c r="B113" s="1100">
        <f>'09월 조업일지'!B113</f>
        <v>46269</v>
      </c>
      <c r="C113" s="730">
        <f>'09월 조업일지'!G113</f>
        <v>85315</v>
      </c>
      <c r="D113" s="731" t="str">
        <f>'09월 조업일지'!E113</f>
        <v>C</v>
      </c>
      <c r="E113" s="732" t="str">
        <f>'09월 조업일지'!F113</f>
        <v>B</v>
      </c>
      <c r="F113" s="1096" t="str">
        <f>'09월 에너지'!F115</f>
        <v>SS400-04</v>
      </c>
      <c r="G113" s="733">
        <v>10</v>
      </c>
      <c r="H113" s="734">
        <v>20</v>
      </c>
      <c r="I113" s="734">
        <v>69</v>
      </c>
      <c r="J113" s="734">
        <v>12</v>
      </c>
      <c r="K113" s="735">
        <v>26</v>
      </c>
      <c r="L113" s="734">
        <v>9</v>
      </c>
      <c r="M113" s="736">
        <v>8</v>
      </c>
      <c r="N113" s="737">
        <v>415</v>
      </c>
      <c r="O113" s="737"/>
      <c r="P113" s="737">
        <v>1001</v>
      </c>
      <c r="Q113" s="737">
        <v>953</v>
      </c>
      <c r="R113" s="737"/>
      <c r="S113" s="737"/>
      <c r="T113" s="737">
        <v>66</v>
      </c>
      <c r="U113" s="738"/>
      <c r="V113" s="739">
        <v>409</v>
      </c>
      <c r="W113" s="737"/>
      <c r="X113" s="737">
        <v>1000</v>
      </c>
      <c r="Y113" s="737">
        <v>901</v>
      </c>
      <c r="Z113" s="1202">
        <v>72</v>
      </c>
      <c r="AA113" s="740"/>
      <c r="AB113" s="739"/>
      <c r="AC113" s="741"/>
      <c r="AD113" s="741">
        <v>270</v>
      </c>
      <c r="AE113" s="741">
        <v>332</v>
      </c>
      <c r="AF113" s="741"/>
      <c r="AG113" s="741">
        <v>105</v>
      </c>
      <c r="AH113" s="741">
        <v>1290</v>
      </c>
      <c r="AI113" s="741">
        <v>193</v>
      </c>
      <c r="AJ113" s="741">
        <v>87</v>
      </c>
      <c r="AK113" s="741"/>
      <c r="AL113" s="741">
        <v>122</v>
      </c>
      <c r="AM113" s="742">
        <v>3143</v>
      </c>
      <c r="AN113" s="743">
        <f t="shared" si="12"/>
        <v>0.83429416112342936</v>
      </c>
      <c r="AO113" s="744">
        <f t="shared" si="13"/>
        <v>0.84378737541528259</v>
      </c>
      <c r="AP113" s="745">
        <f>'09월 에너지'!S115</f>
        <v>141.1</v>
      </c>
    </row>
    <row r="114" spans="1:42" ht="16.5" customHeight="1">
      <c r="A114" s="999">
        <f>'09월 조업일지'!A114</f>
        <v>46269</v>
      </c>
      <c r="B114" s="1100">
        <f>'09월 조업일지'!B114</f>
        <v>46269</v>
      </c>
      <c r="C114" s="730">
        <f>'09월 조업일지'!G114</f>
        <v>85316</v>
      </c>
      <c r="D114" s="731" t="str">
        <f>'09월 조업일지'!E114</f>
        <v>C</v>
      </c>
      <c r="E114" s="732" t="str">
        <f>'09월 조업일지'!F114</f>
        <v>A</v>
      </c>
      <c r="F114" s="1231" t="str">
        <f>'09월 에너지'!F116</f>
        <v>S355JO-01</v>
      </c>
      <c r="G114" s="733">
        <v>11</v>
      </c>
      <c r="H114" s="734">
        <v>22</v>
      </c>
      <c r="I114" s="734">
        <v>131</v>
      </c>
      <c r="J114" s="734">
        <v>13</v>
      </c>
      <c r="K114" s="735">
        <v>31</v>
      </c>
      <c r="L114" s="734">
        <v>16</v>
      </c>
      <c r="M114" s="736">
        <v>22</v>
      </c>
      <c r="N114" s="737">
        <v>415</v>
      </c>
      <c r="O114" s="737"/>
      <c r="P114" s="737">
        <v>1001</v>
      </c>
      <c r="Q114" s="737">
        <v>951</v>
      </c>
      <c r="R114" s="737"/>
      <c r="S114" s="737"/>
      <c r="T114" s="737"/>
      <c r="U114" s="738"/>
      <c r="V114" s="739">
        <v>411</v>
      </c>
      <c r="W114" s="737"/>
      <c r="X114" s="737">
        <v>1000</v>
      </c>
      <c r="Y114" s="737">
        <v>899</v>
      </c>
      <c r="Z114" s="1202"/>
      <c r="AA114" s="740"/>
      <c r="AB114" s="739"/>
      <c r="AC114" s="741"/>
      <c r="AD114" s="741">
        <v>281</v>
      </c>
      <c r="AE114" s="741">
        <v>339</v>
      </c>
      <c r="AF114" s="741"/>
      <c r="AG114" s="741">
        <v>95</v>
      </c>
      <c r="AH114" s="741">
        <v>2354</v>
      </c>
      <c r="AI114" s="741"/>
      <c r="AJ114" s="741">
        <v>87</v>
      </c>
      <c r="AK114" s="741"/>
      <c r="AL114" s="741">
        <v>130</v>
      </c>
      <c r="AM114" s="742">
        <v>1342</v>
      </c>
      <c r="AN114" s="743">
        <f t="shared" si="12"/>
        <v>0.87601246105919006</v>
      </c>
      <c r="AO114" s="744">
        <f t="shared" si="13"/>
        <v>0.9897803131447992</v>
      </c>
      <c r="AP114" s="745">
        <f>'09월 에너지'!S116</f>
        <v>140.6</v>
      </c>
    </row>
    <row r="115" spans="1:42" ht="16.5" customHeight="1">
      <c r="A115" s="999">
        <f>'09월 조업일지'!A115</f>
        <v>46269</v>
      </c>
      <c r="B115" s="1100">
        <f>'09월 조업일지'!B115</f>
        <v>46269</v>
      </c>
      <c r="C115" s="730">
        <f>'09월 조업일지'!G115</f>
        <v>85317</v>
      </c>
      <c r="D115" s="731" t="str">
        <f>'09월 조업일지'!E115</f>
        <v>A</v>
      </c>
      <c r="E115" s="732" t="str">
        <f>'09월 조업일지'!F115</f>
        <v>B</v>
      </c>
      <c r="F115" s="1096" t="str">
        <f>'09월 에너지'!F117</f>
        <v>S355JO-01</v>
      </c>
      <c r="G115" s="733">
        <v>10</v>
      </c>
      <c r="H115" s="734">
        <v>22</v>
      </c>
      <c r="I115" s="734">
        <v>127</v>
      </c>
      <c r="J115" s="734">
        <v>13</v>
      </c>
      <c r="K115" s="735">
        <v>26</v>
      </c>
      <c r="L115" s="734">
        <v>10</v>
      </c>
      <c r="M115" s="736">
        <v>8</v>
      </c>
      <c r="N115" s="737">
        <v>411</v>
      </c>
      <c r="O115" s="737"/>
      <c r="P115" s="737">
        <v>1001</v>
      </c>
      <c r="Q115" s="737">
        <v>954</v>
      </c>
      <c r="R115" s="737"/>
      <c r="S115" s="737"/>
      <c r="T115" s="737">
        <v>0</v>
      </c>
      <c r="U115" s="738"/>
      <c r="V115" s="739">
        <v>415</v>
      </c>
      <c r="W115" s="737"/>
      <c r="X115" s="737">
        <v>1001</v>
      </c>
      <c r="Y115" s="737">
        <v>902</v>
      </c>
      <c r="Z115" s="1202">
        <v>0</v>
      </c>
      <c r="AA115" s="740"/>
      <c r="AB115" s="739">
        <v>0</v>
      </c>
      <c r="AC115" s="741"/>
      <c r="AD115" s="741">
        <v>280</v>
      </c>
      <c r="AE115" s="741">
        <v>337</v>
      </c>
      <c r="AF115" s="741">
        <v>0</v>
      </c>
      <c r="AG115" s="741">
        <v>95</v>
      </c>
      <c r="AH115" s="741">
        <v>2348</v>
      </c>
      <c r="AI115" s="741">
        <v>0</v>
      </c>
      <c r="AJ115" s="741">
        <v>87</v>
      </c>
      <c r="AK115" s="741">
        <v>0</v>
      </c>
      <c r="AL115" s="741">
        <v>136</v>
      </c>
      <c r="AM115" s="742">
        <v>2784</v>
      </c>
      <c r="AN115" s="743">
        <f t="shared" si="12"/>
        <v>0.90823395797842132</v>
      </c>
      <c r="AO115" s="744">
        <f t="shared" si="13"/>
        <v>0.99080068143100519</v>
      </c>
      <c r="AP115" s="745">
        <f>'09월 에너지'!S117</f>
        <v>145.4</v>
      </c>
    </row>
    <row r="116" spans="1:42" ht="16.5" customHeight="1">
      <c r="A116" s="999">
        <f>'09월 조업일지'!A116</f>
        <v>46269</v>
      </c>
      <c r="B116" s="1100">
        <f>'09월 조업일지'!B116</f>
        <v>46269</v>
      </c>
      <c r="C116" s="730">
        <f>'09월 조업일지'!G116</f>
        <v>85318</v>
      </c>
      <c r="D116" s="731" t="str">
        <f>'09월 조업일지'!E116</f>
        <v>A</v>
      </c>
      <c r="E116" s="732" t="str">
        <f>'09월 조업일지'!F116</f>
        <v>A</v>
      </c>
      <c r="F116" s="1096" t="str">
        <f>'09월 에너지'!F118</f>
        <v>S355JO-01</v>
      </c>
      <c r="G116" s="733">
        <v>11</v>
      </c>
      <c r="H116" s="734">
        <v>21</v>
      </c>
      <c r="I116" s="734">
        <v>128</v>
      </c>
      <c r="J116" s="734">
        <v>13</v>
      </c>
      <c r="K116" s="735">
        <v>30</v>
      </c>
      <c r="L116" s="734">
        <v>13</v>
      </c>
      <c r="M116" s="736">
        <v>11</v>
      </c>
      <c r="N116" s="737">
        <v>410</v>
      </c>
      <c r="O116" s="737"/>
      <c r="P116" s="737">
        <v>1000</v>
      </c>
      <c r="Q116" s="737">
        <v>953</v>
      </c>
      <c r="R116" s="737"/>
      <c r="S116" s="737"/>
      <c r="T116" s="737">
        <v>0</v>
      </c>
      <c r="U116" s="738"/>
      <c r="V116" s="739">
        <v>410</v>
      </c>
      <c r="W116" s="737"/>
      <c r="X116" s="737">
        <v>1000</v>
      </c>
      <c r="Y116" s="737">
        <v>902</v>
      </c>
      <c r="Z116" s="1202">
        <v>0</v>
      </c>
      <c r="AA116" s="740"/>
      <c r="AB116" s="739">
        <v>0</v>
      </c>
      <c r="AC116" s="741"/>
      <c r="AD116" s="741">
        <v>282</v>
      </c>
      <c r="AE116" s="741">
        <v>339</v>
      </c>
      <c r="AF116" s="741">
        <v>0</v>
      </c>
      <c r="AG116" s="741">
        <v>95</v>
      </c>
      <c r="AH116" s="741">
        <v>2356</v>
      </c>
      <c r="AI116" s="741">
        <v>0</v>
      </c>
      <c r="AJ116" s="741">
        <v>86</v>
      </c>
      <c r="AK116" s="741">
        <v>0</v>
      </c>
      <c r="AL116" s="741">
        <v>119</v>
      </c>
      <c r="AM116" s="742">
        <v>1448</v>
      </c>
      <c r="AN116" s="743">
        <f t="shared" si="12"/>
        <v>0.8592529711375213</v>
      </c>
      <c r="AO116" s="744">
        <f t="shared" si="13"/>
        <v>0.99077128304632556</v>
      </c>
      <c r="AP116" s="745">
        <f>'09월 에너지'!S118</f>
        <v>144.6</v>
      </c>
    </row>
    <row r="117" spans="1:42" ht="16.5" customHeight="1">
      <c r="A117" s="999">
        <f>'09월 조업일지'!A117</f>
        <v>46269</v>
      </c>
      <c r="B117" s="1100">
        <f>'09월 조업일지'!B117</f>
        <v>46269</v>
      </c>
      <c r="C117" s="730">
        <f>'09월 조업일지'!G117</f>
        <v>85319</v>
      </c>
      <c r="D117" s="731" t="str">
        <f>'09월 조업일지'!E117</f>
        <v>A</v>
      </c>
      <c r="E117" s="732" t="str">
        <f>'09월 조업일지'!F117</f>
        <v>B</v>
      </c>
      <c r="F117" s="1096" t="str">
        <f>'09월 에너지'!F119</f>
        <v>S355JO-01</v>
      </c>
      <c r="G117" s="733">
        <v>14</v>
      </c>
      <c r="H117" s="734">
        <v>23</v>
      </c>
      <c r="I117" s="734">
        <v>128</v>
      </c>
      <c r="J117" s="734">
        <v>14</v>
      </c>
      <c r="K117" s="735">
        <v>29</v>
      </c>
      <c r="L117" s="734">
        <v>9</v>
      </c>
      <c r="M117" s="736">
        <v>9</v>
      </c>
      <c r="N117" s="737">
        <v>415</v>
      </c>
      <c r="O117" s="737"/>
      <c r="P117" s="737">
        <v>1000</v>
      </c>
      <c r="Q117" s="737">
        <v>952</v>
      </c>
      <c r="R117" s="737"/>
      <c r="S117" s="737"/>
      <c r="T117" s="737">
        <v>0</v>
      </c>
      <c r="U117" s="738"/>
      <c r="V117" s="739">
        <v>411</v>
      </c>
      <c r="W117" s="737"/>
      <c r="X117" s="737">
        <v>1001</v>
      </c>
      <c r="Y117" s="737">
        <v>901</v>
      </c>
      <c r="Z117" s="1202">
        <v>0</v>
      </c>
      <c r="AA117" s="740"/>
      <c r="AB117" s="739">
        <v>0</v>
      </c>
      <c r="AC117" s="741"/>
      <c r="AD117" s="741">
        <v>281</v>
      </c>
      <c r="AE117" s="741">
        <v>337</v>
      </c>
      <c r="AF117" s="741">
        <v>0</v>
      </c>
      <c r="AG117" s="741">
        <v>95</v>
      </c>
      <c r="AH117" s="741">
        <v>2349</v>
      </c>
      <c r="AI117" s="741">
        <v>0</v>
      </c>
      <c r="AJ117" s="741">
        <v>89</v>
      </c>
      <c r="AK117" s="741">
        <v>0</v>
      </c>
      <c r="AL117" s="741">
        <v>129</v>
      </c>
      <c r="AM117" s="742">
        <v>1913</v>
      </c>
      <c r="AN117" s="743">
        <f t="shared" si="12"/>
        <v>0.98044557967929624</v>
      </c>
      <c r="AO117" s="744">
        <f t="shared" si="13"/>
        <v>1.0322082345070851</v>
      </c>
      <c r="AP117" s="745">
        <f>'09월 에너지'!S119</f>
        <v>150.19999999999999</v>
      </c>
    </row>
    <row r="118" spans="1:42" ht="16.5" customHeight="1">
      <c r="A118" s="999">
        <f>'09월 조업일지'!A118</f>
        <v>46269</v>
      </c>
      <c r="B118" s="1100">
        <f>'09월 조업일지'!B118</f>
        <v>46269</v>
      </c>
      <c r="C118" s="730">
        <f>'09월 조업일지'!G118</f>
        <v>85320</v>
      </c>
      <c r="D118" s="731" t="str">
        <f>'09월 조업일지'!E118</f>
        <v>A</v>
      </c>
      <c r="E118" s="732" t="str">
        <f>'09월 조업일지'!F118</f>
        <v>A</v>
      </c>
      <c r="F118" s="1096" t="str">
        <f>'09월 에너지'!F120</f>
        <v>S355JO-01</v>
      </c>
      <c r="G118" s="733">
        <v>10</v>
      </c>
      <c r="H118" s="734">
        <v>20</v>
      </c>
      <c r="I118" s="734">
        <v>127</v>
      </c>
      <c r="J118" s="734">
        <v>14</v>
      </c>
      <c r="K118" s="735">
        <v>31</v>
      </c>
      <c r="L118" s="734">
        <v>16</v>
      </c>
      <c r="M118" s="736">
        <v>9</v>
      </c>
      <c r="N118" s="737">
        <v>415</v>
      </c>
      <c r="O118" s="737"/>
      <c r="P118" s="737">
        <v>1000</v>
      </c>
      <c r="Q118" s="737">
        <v>951</v>
      </c>
      <c r="R118" s="737"/>
      <c r="S118" s="737"/>
      <c r="T118" s="737">
        <v>0</v>
      </c>
      <c r="U118" s="738"/>
      <c r="V118" s="739">
        <v>418</v>
      </c>
      <c r="W118" s="737"/>
      <c r="X118" s="737">
        <v>1001</v>
      </c>
      <c r="Y118" s="737">
        <v>902</v>
      </c>
      <c r="Z118" s="1202">
        <v>0</v>
      </c>
      <c r="AA118" s="740"/>
      <c r="AB118" s="739">
        <v>0</v>
      </c>
      <c r="AC118" s="741"/>
      <c r="AD118" s="741">
        <v>281</v>
      </c>
      <c r="AE118" s="741">
        <v>335</v>
      </c>
      <c r="AF118" s="741">
        <v>0</v>
      </c>
      <c r="AG118" s="741">
        <v>95</v>
      </c>
      <c r="AH118" s="741">
        <v>2351</v>
      </c>
      <c r="AI118" s="741">
        <v>0</v>
      </c>
      <c r="AJ118" s="741">
        <v>86</v>
      </c>
      <c r="AK118" s="741">
        <v>0</v>
      </c>
      <c r="AL118" s="741">
        <v>139</v>
      </c>
      <c r="AM118" s="742">
        <v>1404</v>
      </c>
      <c r="AN118" s="743">
        <f t="shared" si="12"/>
        <v>0.82631504324400962</v>
      </c>
      <c r="AO118" s="744">
        <f t="shared" si="13"/>
        <v>0.99157805189281167</v>
      </c>
      <c r="AP118" s="745">
        <f>'09월 에너지'!S120</f>
        <v>145.69999999999999</v>
      </c>
    </row>
    <row r="119" spans="1:42" ht="16.5" customHeight="1">
      <c r="A119" s="999">
        <f>'09월 조업일지'!A119</f>
        <v>46269</v>
      </c>
      <c r="B119" s="1100">
        <f>'09월 조업일지'!B119</f>
        <v>46269</v>
      </c>
      <c r="C119" s="730">
        <f>'09월 조업일지'!G119</f>
        <v>85321</v>
      </c>
      <c r="D119" s="731" t="str">
        <f>'09월 조업일지'!E119</f>
        <v>A</v>
      </c>
      <c r="E119" s="732" t="str">
        <f>'09월 조업일지'!F119</f>
        <v>B</v>
      </c>
      <c r="F119" s="1096" t="str">
        <f>'09월 에너지'!F121</f>
        <v>S355JO-01</v>
      </c>
      <c r="G119" s="733">
        <v>13</v>
      </c>
      <c r="H119" s="734">
        <v>22</v>
      </c>
      <c r="I119" s="734">
        <v>125</v>
      </c>
      <c r="J119" s="734">
        <v>16</v>
      </c>
      <c r="K119" s="735">
        <v>27</v>
      </c>
      <c r="L119" s="734">
        <v>11</v>
      </c>
      <c r="M119" s="736">
        <v>8</v>
      </c>
      <c r="N119" s="737">
        <v>418</v>
      </c>
      <c r="O119" s="737"/>
      <c r="P119" s="737">
        <v>1000</v>
      </c>
      <c r="Q119" s="737">
        <v>956</v>
      </c>
      <c r="R119" s="737"/>
      <c r="S119" s="737"/>
      <c r="T119" s="737">
        <v>0</v>
      </c>
      <c r="U119" s="738"/>
      <c r="V119" s="739">
        <v>411</v>
      </c>
      <c r="W119" s="737"/>
      <c r="X119" s="737">
        <v>1000</v>
      </c>
      <c r="Y119" s="737">
        <v>901</v>
      </c>
      <c r="Z119" s="1202">
        <v>0</v>
      </c>
      <c r="AA119" s="740"/>
      <c r="AB119" s="739">
        <v>0</v>
      </c>
      <c r="AC119" s="741"/>
      <c r="AD119" s="741">
        <v>280</v>
      </c>
      <c r="AE119" s="741">
        <v>339</v>
      </c>
      <c r="AF119" s="741">
        <v>0</v>
      </c>
      <c r="AG119" s="741">
        <v>95</v>
      </c>
      <c r="AH119" s="741">
        <v>2346</v>
      </c>
      <c r="AI119" s="741">
        <v>0</v>
      </c>
      <c r="AJ119" s="741">
        <v>85</v>
      </c>
      <c r="AK119" s="741">
        <v>0</v>
      </c>
      <c r="AL119" s="741">
        <v>126</v>
      </c>
      <c r="AM119" s="742">
        <v>2494</v>
      </c>
      <c r="AN119" s="743">
        <f t="shared" si="12"/>
        <v>0.93776641091219104</v>
      </c>
      <c r="AO119" s="744">
        <f t="shared" si="13"/>
        <v>1.0047497259773475</v>
      </c>
      <c r="AP119" s="745">
        <f>'09월 에너지'!S121</f>
        <v>150</v>
      </c>
    </row>
    <row r="120" spans="1:42" ht="16.5" customHeight="1">
      <c r="A120" s="999">
        <f>'09월 조업일지'!A120</f>
        <v>46269</v>
      </c>
      <c r="B120" s="1100">
        <f>'09월 조업일지'!B120</f>
        <v>46269</v>
      </c>
      <c r="C120" s="730">
        <f>'09월 조업일지'!G120</f>
        <v>85322</v>
      </c>
      <c r="D120" s="731" t="str">
        <f>'09월 조업일지'!E120</f>
        <v>A</v>
      </c>
      <c r="E120" s="732" t="str">
        <f>'09월 조업일지'!F120</f>
        <v>A</v>
      </c>
      <c r="F120" s="1096" t="str">
        <f>'09월 에너지'!F122</f>
        <v>S355JO-01</v>
      </c>
      <c r="G120" s="733">
        <v>13</v>
      </c>
      <c r="H120" s="734">
        <v>21</v>
      </c>
      <c r="I120" s="734">
        <v>124</v>
      </c>
      <c r="J120" s="734">
        <v>12</v>
      </c>
      <c r="K120" s="735">
        <v>25</v>
      </c>
      <c r="L120" s="734">
        <v>12</v>
      </c>
      <c r="M120" s="736">
        <v>11</v>
      </c>
      <c r="N120" s="737">
        <v>416</v>
      </c>
      <c r="O120" s="737"/>
      <c r="P120" s="737">
        <v>1000</v>
      </c>
      <c r="Q120" s="737">
        <v>952</v>
      </c>
      <c r="R120" s="737"/>
      <c r="S120" s="737"/>
      <c r="T120" s="737">
        <v>0</v>
      </c>
      <c r="U120" s="738"/>
      <c r="V120" s="739">
        <v>415</v>
      </c>
      <c r="W120" s="737"/>
      <c r="X120" s="737">
        <v>1001</v>
      </c>
      <c r="Y120" s="737">
        <v>900</v>
      </c>
      <c r="Z120" s="1202">
        <v>0</v>
      </c>
      <c r="AA120" s="740"/>
      <c r="AB120" s="739">
        <v>0</v>
      </c>
      <c r="AC120" s="741"/>
      <c r="AD120" s="741">
        <v>281</v>
      </c>
      <c r="AE120" s="741">
        <v>338</v>
      </c>
      <c r="AF120" s="741">
        <v>0</v>
      </c>
      <c r="AG120" s="741">
        <v>95</v>
      </c>
      <c r="AH120" s="741">
        <v>2354</v>
      </c>
      <c r="AI120" s="741">
        <v>0</v>
      </c>
      <c r="AJ120" s="741">
        <v>86</v>
      </c>
      <c r="AK120" s="741">
        <v>0</v>
      </c>
      <c r="AL120" s="741">
        <v>134</v>
      </c>
      <c r="AM120" s="742">
        <v>1662</v>
      </c>
      <c r="AN120" s="743">
        <f t="shared" si="12"/>
        <v>0.88139337298215814</v>
      </c>
      <c r="AO120" s="744">
        <f t="shared" si="13"/>
        <v>0.98032528219444115</v>
      </c>
      <c r="AP120" s="745">
        <f>'09월 에너지'!S122</f>
        <v>148.19999999999999</v>
      </c>
    </row>
    <row r="121" spans="1:42" ht="16.5" customHeight="1">
      <c r="A121" s="999">
        <f>'09월 조업일지'!A121</f>
        <v>46269</v>
      </c>
      <c r="B121" s="1100">
        <f>'09월 조업일지'!B121</f>
        <v>46269</v>
      </c>
      <c r="C121" s="730">
        <f>'09월 조업일지'!G121</f>
        <v>85323</v>
      </c>
      <c r="D121" s="731" t="str">
        <f>'09월 조업일지'!E121</f>
        <v>A</v>
      </c>
      <c r="E121" s="732" t="str">
        <f>'09월 조업일지'!F121</f>
        <v>B</v>
      </c>
      <c r="F121" s="1096" t="str">
        <f>'09월 에너지'!F123</f>
        <v>S355JO-01</v>
      </c>
      <c r="G121" s="733">
        <v>15</v>
      </c>
      <c r="H121" s="734">
        <v>22</v>
      </c>
      <c r="I121" s="734">
        <v>122</v>
      </c>
      <c r="J121" s="734">
        <v>13</v>
      </c>
      <c r="K121" s="735">
        <v>27</v>
      </c>
      <c r="L121" s="734">
        <v>9</v>
      </c>
      <c r="M121" s="736">
        <v>11</v>
      </c>
      <c r="N121" s="737">
        <v>417</v>
      </c>
      <c r="O121" s="737"/>
      <c r="P121" s="737">
        <v>1000</v>
      </c>
      <c r="Q121" s="737">
        <v>951</v>
      </c>
      <c r="R121" s="737"/>
      <c r="S121" s="737"/>
      <c r="T121" s="737">
        <v>0</v>
      </c>
      <c r="U121" s="738"/>
      <c r="V121" s="739">
        <v>418</v>
      </c>
      <c r="W121" s="737"/>
      <c r="X121" s="737">
        <v>1001</v>
      </c>
      <c r="Y121" s="737">
        <v>900</v>
      </c>
      <c r="Z121" s="1202">
        <v>0</v>
      </c>
      <c r="AA121" s="740"/>
      <c r="AB121" s="739">
        <v>0</v>
      </c>
      <c r="AC121" s="741"/>
      <c r="AD121" s="741">
        <v>280</v>
      </c>
      <c r="AE121" s="741">
        <v>337</v>
      </c>
      <c r="AF121" s="741">
        <v>0</v>
      </c>
      <c r="AG121" s="741">
        <v>95</v>
      </c>
      <c r="AH121" s="741">
        <v>2352</v>
      </c>
      <c r="AI121" s="741">
        <v>0</v>
      </c>
      <c r="AJ121" s="741">
        <v>88</v>
      </c>
      <c r="AK121" s="741">
        <v>0</v>
      </c>
      <c r="AL121" s="741">
        <v>125</v>
      </c>
      <c r="AM121" s="742">
        <v>2286</v>
      </c>
      <c r="AN121" s="743">
        <f t="shared" si="12"/>
        <v>0.94036281179138315</v>
      </c>
      <c r="AO121" s="744">
        <f t="shared" si="13"/>
        <v>0.98005344995140919</v>
      </c>
      <c r="AP121" s="745">
        <f>'09월 에너지'!S123</f>
        <v>150.80000000000001</v>
      </c>
    </row>
    <row r="122" spans="1:42" ht="16.5" customHeight="1">
      <c r="A122" s="999">
        <f>'09월 조업일지'!A122</f>
        <v>46270</v>
      </c>
      <c r="B122" s="1100">
        <f>'09월 조업일지'!B122</f>
        <v>46269</v>
      </c>
      <c r="C122" s="730">
        <f>'09월 조업일지'!G122</f>
        <v>85324</v>
      </c>
      <c r="D122" s="731" t="str">
        <f>'09월 조업일지'!E122</f>
        <v>A</v>
      </c>
      <c r="E122" s="732" t="str">
        <f>'09월 조업일지'!F122</f>
        <v>A</v>
      </c>
      <c r="F122" s="1096" t="str">
        <f>'09월 에너지'!F124</f>
        <v>S355JO-01</v>
      </c>
      <c r="G122" s="733">
        <v>12</v>
      </c>
      <c r="H122" s="734">
        <v>21</v>
      </c>
      <c r="I122" s="734">
        <v>127</v>
      </c>
      <c r="J122" s="734">
        <v>12</v>
      </c>
      <c r="K122" s="735">
        <v>28</v>
      </c>
      <c r="L122" s="734">
        <v>11</v>
      </c>
      <c r="M122" s="736">
        <v>7</v>
      </c>
      <c r="N122" s="737">
        <v>417</v>
      </c>
      <c r="O122" s="737"/>
      <c r="P122" s="737">
        <v>1003</v>
      </c>
      <c r="Q122" s="737">
        <v>953</v>
      </c>
      <c r="R122" s="737"/>
      <c r="S122" s="737"/>
      <c r="T122" s="737">
        <v>0</v>
      </c>
      <c r="U122" s="738"/>
      <c r="V122" s="739">
        <v>415</v>
      </c>
      <c r="W122" s="737"/>
      <c r="X122" s="737">
        <v>1000</v>
      </c>
      <c r="Y122" s="737">
        <v>902</v>
      </c>
      <c r="Z122" s="1202">
        <v>0</v>
      </c>
      <c r="AA122" s="740"/>
      <c r="AB122" s="739">
        <v>0</v>
      </c>
      <c r="AC122" s="741"/>
      <c r="AD122" s="741">
        <v>280</v>
      </c>
      <c r="AE122" s="741">
        <v>332</v>
      </c>
      <c r="AF122" s="741">
        <v>0</v>
      </c>
      <c r="AG122" s="741">
        <v>95</v>
      </c>
      <c r="AH122" s="741">
        <v>2350</v>
      </c>
      <c r="AI122" s="741">
        <v>0</v>
      </c>
      <c r="AJ122" s="741">
        <v>94</v>
      </c>
      <c r="AK122" s="741">
        <v>0</v>
      </c>
      <c r="AL122" s="741">
        <v>123</v>
      </c>
      <c r="AM122" s="742">
        <v>1560</v>
      </c>
      <c r="AN122" s="743">
        <f t="shared" si="12"/>
        <v>0.86740425531914889</v>
      </c>
      <c r="AO122" s="744">
        <f t="shared" si="13"/>
        <v>0.99131914893617024</v>
      </c>
      <c r="AP122" s="745">
        <f>'09월 에너지'!S124</f>
        <v>145.6</v>
      </c>
    </row>
    <row r="123" spans="1:42" ht="16.5" customHeight="1">
      <c r="A123" s="999">
        <f>'09월 조업일지'!A123</f>
        <v>46270</v>
      </c>
      <c r="B123" s="1100">
        <f>'09월 조업일지'!B123</f>
        <v>46269</v>
      </c>
      <c r="C123" s="730">
        <f>'09월 조업일지'!G123</f>
        <v>85325</v>
      </c>
      <c r="D123" s="731" t="str">
        <f>'09월 조업일지'!E123</f>
        <v>A</v>
      </c>
      <c r="E123" s="732" t="str">
        <f>'09월 조업일지'!F123</f>
        <v>B</v>
      </c>
      <c r="F123" s="1231" t="str">
        <f>'09월 에너지'!F125</f>
        <v>A572-50-01</v>
      </c>
      <c r="G123" s="733">
        <v>12</v>
      </c>
      <c r="H123" s="734">
        <v>24</v>
      </c>
      <c r="I123" s="734">
        <v>121</v>
      </c>
      <c r="J123" s="734">
        <v>14</v>
      </c>
      <c r="K123" s="735">
        <v>27</v>
      </c>
      <c r="L123" s="734">
        <v>10</v>
      </c>
      <c r="M123" s="736">
        <v>8</v>
      </c>
      <c r="N123" s="737">
        <v>416</v>
      </c>
      <c r="O123" s="737"/>
      <c r="P123" s="737">
        <v>1000</v>
      </c>
      <c r="Q123" s="737">
        <v>951</v>
      </c>
      <c r="R123" s="737"/>
      <c r="S123" s="737"/>
      <c r="T123" s="737">
        <v>67</v>
      </c>
      <c r="U123" s="738"/>
      <c r="V123" s="739">
        <v>419</v>
      </c>
      <c r="W123" s="737"/>
      <c r="X123" s="737">
        <v>1000</v>
      </c>
      <c r="Y123" s="737">
        <v>902</v>
      </c>
      <c r="Z123" s="1202">
        <v>73</v>
      </c>
      <c r="AA123" s="740"/>
      <c r="AB123" s="739">
        <v>0</v>
      </c>
      <c r="AC123" s="741"/>
      <c r="AD123" s="741">
        <v>281</v>
      </c>
      <c r="AE123" s="741">
        <v>356</v>
      </c>
      <c r="AF123" s="741">
        <v>0</v>
      </c>
      <c r="AG123" s="741">
        <v>105</v>
      </c>
      <c r="AH123" s="741">
        <v>2345</v>
      </c>
      <c r="AI123" s="741">
        <v>102</v>
      </c>
      <c r="AJ123" s="741">
        <v>100</v>
      </c>
      <c r="AK123" s="741">
        <v>0</v>
      </c>
      <c r="AL123" s="741">
        <v>127</v>
      </c>
      <c r="AM123" s="742">
        <v>2455</v>
      </c>
      <c r="AN123" s="743">
        <f t="shared" si="12"/>
        <v>0.83278458844133096</v>
      </c>
      <c r="AO123" s="744">
        <f t="shared" si="13"/>
        <v>0.9595857447456595</v>
      </c>
      <c r="AP123" s="745">
        <f>'09월 에너지'!S125</f>
        <v>148.6</v>
      </c>
    </row>
    <row r="124" spans="1:42" ht="16.5" customHeight="1">
      <c r="A124" s="999">
        <f>'09월 조업일지'!A124</f>
        <v>46270</v>
      </c>
      <c r="B124" s="1100">
        <f>'09월 조업일지'!B124</f>
        <v>46269</v>
      </c>
      <c r="C124" s="730">
        <f>'09월 조업일지'!G124</f>
        <v>85326</v>
      </c>
      <c r="D124" s="731" t="str">
        <f>'09월 조업일지'!E124</f>
        <v>A</v>
      </c>
      <c r="E124" s="732" t="str">
        <f>'09월 조업일지'!F124</f>
        <v>A</v>
      </c>
      <c r="F124" s="1096" t="str">
        <f>'09월 에너지'!F126</f>
        <v>A572-50-01</v>
      </c>
      <c r="G124" s="733">
        <v>13</v>
      </c>
      <c r="H124" s="734">
        <v>25</v>
      </c>
      <c r="I124" s="734">
        <v>125</v>
      </c>
      <c r="J124" s="734">
        <v>13</v>
      </c>
      <c r="K124" s="735">
        <v>29</v>
      </c>
      <c r="L124" s="734">
        <v>12</v>
      </c>
      <c r="M124" s="736">
        <v>8</v>
      </c>
      <c r="N124" s="737">
        <v>406</v>
      </c>
      <c r="O124" s="737"/>
      <c r="P124" s="737">
        <v>1001</v>
      </c>
      <c r="Q124" s="737">
        <v>959</v>
      </c>
      <c r="R124" s="737"/>
      <c r="S124" s="737"/>
      <c r="T124" s="737">
        <v>67</v>
      </c>
      <c r="U124" s="738"/>
      <c r="V124" s="739">
        <v>406</v>
      </c>
      <c r="W124" s="737"/>
      <c r="X124" s="737">
        <v>1011</v>
      </c>
      <c r="Y124" s="737">
        <v>908</v>
      </c>
      <c r="Z124" s="1202">
        <v>74</v>
      </c>
      <c r="AA124" s="740"/>
      <c r="AB124" s="739">
        <v>0</v>
      </c>
      <c r="AC124" s="741"/>
      <c r="AD124" s="741">
        <v>282</v>
      </c>
      <c r="AE124" s="741">
        <v>359</v>
      </c>
      <c r="AF124" s="741">
        <v>0</v>
      </c>
      <c r="AG124" s="741">
        <v>105</v>
      </c>
      <c r="AH124" s="741">
        <v>2351</v>
      </c>
      <c r="AI124" s="741">
        <v>113</v>
      </c>
      <c r="AJ124" s="741">
        <v>91</v>
      </c>
      <c r="AK124" s="741">
        <v>0</v>
      </c>
      <c r="AL124" s="741">
        <v>134</v>
      </c>
      <c r="AM124" s="742">
        <v>1434</v>
      </c>
      <c r="AN124" s="743">
        <f t="shared" si="12"/>
        <v>0.8516232281664381</v>
      </c>
      <c r="AO124" s="744">
        <f t="shared" si="13"/>
        <v>0.99592878410402874</v>
      </c>
      <c r="AP124" s="745">
        <f>'09월 에너지'!S126</f>
        <v>149</v>
      </c>
    </row>
    <row r="125" spans="1:42" ht="16.5" customHeight="1">
      <c r="A125" s="999">
        <f>'09월 조업일지'!A125</f>
        <v>46270</v>
      </c>
      <c r="B125" s="1100">
        <f>'09월 조업일지'!B125</f>
        <v>46269</v>
      </c>
      <c r="C125" s="730">
        <f>'09월 조업일지'!G125</f>
        <v>85327</v>
      </c>
      <c r="D125" s="731" t="str">
        <f>'09월 조업일지'!E125</f>
        <v>A</v>
      </c>
      <c r="E125" s="732" t="str">
        <f>'09월 조업일지'!F125</f>
        <v>B</v>
      </c>
      <c r="F125" s="1096" t="str">
        <f>'09월 에너지'!F127</f>
        <v>A572-50-01</v>
      </c>
      <c r="G125" s="733">
        <v>13</v>
      </c>
      <c r="H125" s="734">
        <v>26</v>
      </c>
      <c r="I125" s="734">
        <v>126</v>
      </c>
      <c r="J125" s="734">
        <v>16</v>
      </c>
      <c r="K125" s="735">
        <v>29</v>
      </c>
      <c r="L125" s="734">
        <v>13</v>
      </c>
      <c r="M125" s="736">
        <v>10</v>
      </c>
      <c r="N125" s="737">
        <v>410</v>
      </c>
      <c r="O125" s="737"/>
      <c r="P125" s="737">
        <v>1001</v>
      </c>
      <c r="Q125" s="737">
        <v>959</v>
      </c>
      <c r="R125" s="737"/>
      <c r="S125" s="737"/>
      <c r="T125" s="737">
        <v>72</v>
      </c>
      <c r="U125" s="738"/>
      <c r="V125" s="739">
        <v>415</v>
      </c>
      <c r="W125" s="737"/>
      <c r="X125" s="737">
        <v>1003</v>
      </c>
      <c r="Y125" s="737">
        <v>901</v>
      </c>
      <c r="Z125" s="1202">
        <v>73</v>
      </c>
      <c r="AA125" s="740"/>
      <c r="AB125" s="739">
        <v>0</v>
      </c>
      <c r="AC125" s="741"/>
      <c r="AD125" s="741">
        <v>281</v>
      </c>
      <c r="AE125" s="741">
        <v>354</v>
      </c>
      <c r="AF125" s="741">
        <v>0</v>
      </c>
      <c r="AG125" s="741">
        <v>105</v>
      </c>
      <c r="AH125" s="741">
        <v>2347</v>
      </c>
      <c r="AI125" s="741">
        <v>113</v>
      </c>
      <c r="AJ125" s="741">
        <v>96</v>
      </c>
      <c r="AK125" s="741">
        <v>0</v>
      </c>
      <c r="AL125" s="741">
        <v>134</v>
      </c>
      <c r="AM125" s="742">
        <v>2622</v>
      </c>
      <c r="AN125" s="743">
        <f t="shared" si="12"/>
        <v>0.86726190476190468</v>
      </c>
      <c r="AO125" s="744">
        <f t="shared" si="13"/>
        <v>0.98439953740337216</v>
      </c>
      <c r="AP125" s="745">
        <f>'09월 에너지'!S127</f>
        <v>145.69999999999999</v>
      </c>
    </row>
    <row r="126" spans="1:42" ht="16.5" customHeight="1">
      <c r="A126" s="999">
        <f>'09월 조업일지'!A126</f>
        <v>46270</v>
      </c>
      <c r="B126" s="1100">
        <f>'09월 조업일지'!B126</f>
        <v>46270</v>
      </c>
      <c r="C126" s="730">
        <f>'09월 조업일지'!G126</f>
        <v>85328</v>
      </c>
      <c r="D126" s="731" t="str">
        <f>'09월 조업일지'!E126</f>
        <v>B</v>
      </c>
      <c r="E126" s="732" t="str">
        <f>'09월 조업일지'!F126</f>
        <v>A</v>
      </c>
      <c r="F126" s="1096" t="str">
        <f>'09월 에너지'!F128</f>
        <v>A572-50-01</v>
      </c>
      <c r="G126" s="733">
        <v>12</v>
      </c>
      <c r="H126" s="734">
        <v>26</v>
      </c>
      <c r="I126" s="734">
        <v>125</v>
      </c>
      <c r="J126" s="734">
        <v>14</v>
      </c>
      <c r="K126" s="735">
        <v>26</v>
      </c>
      <c r="L126" s="734">
        <v>11</v>
      </c>
      <c r="M126" s="736">
        <v>9</v>
      </c>
      <c r="N126" s="737">
        <v>415</v>
      </c>
      <c r="O126" s="737"/>
      <c r="P126" s="737">
        <v>1000</v>
      </c>
      <c r="Q126" s="737">
        <v>952</v>
      </c>
      <c r="R126" s="737"/>
      <c r="S126" s="737"/>
      <c r="T126" s="737">
        <v>72</v>
      </c>
      <c r="U126" s="738"/>
      <c r="V126" s="739">
        <v>414</v>
      </c>
      <c r="W126" s="737"/>
      <c r="X126" s="737">
        <v>1001</v>
      </c>
      <c r="Y126" s="737">
        <v>903</v>
      </c>
      <c r="Z126" s="1202">
        <v>63</v>
      </c>
      <c r="AA126" s="740"/>
      <c r="AB126" s="739"/>
      <c r="AC126" s="741"/>
      <c r="AD126" s="741">
        <v>280</v>
      </c>
      <c r="AE126" s="741">
        <v>357</v>
      </c>
      <c r="AF126" s="741"/>
      <c r="AG126" s="741">
        <v>105</v>
      </c>
      <c r="AH126" s="741">
        <v>2341</v>
      </c>
      <c r="AI126" s="741">
        <v>101</v>
      </c>
      <c r="AJ126" s="741">
        <v>93</v>
      </c>
      <c r="AK126" s="741"/>
      <c r="AL126" s="741">
        <v>130</v>
      </c>
      <c r="AM126" s="742">
        <v>2127</v>
      </c>
      <c r="AN126" s="743">
        <f t="shared" si="12"/>
        <v>0.88371984071211063</v>
      </c>
      <c r="AO126" s="744">
        <f t="shared" si="13"/>
        <v>0.97400378348691041</v>
      </c>
      <c r="AP126" s="745">
        <f>'09월 에너지'!S128</f>
        <v>145.1</v>
      </c>
    </row>
    <row r="127" spans="1:42" ht="16.5" customHeight="1">
      <c r="A127" s="999">
        <f>'09월 조업일지'!A127</f>
        <v>46270</v>
      </c>
      <c r="B127" s="1100">
        <f>'09월 조업일지'!B127</f>
        <v>46270</v>
      </c>
      <c r="C127" s="730">
        <f>'09월 조업일지'!G127</f>
        <v>85329</v>
      </c>
      <c r="D127" s="731" t="str">
        <f>'09월 조업일지'!E127</f>
        <v>B</v>
      </c>
      <c r="E127" s="732" t="str">
        <f>'09월 조업일지'!F127</f>
        <v>B</v>
      </c>
      <c r="F127" s="1096" t="str">
        <f>'09월 에너지'!F129</f>
        <v>A572-50-01</v>
      </c>
      <c r="G127" s="733">
        <v>11</v>
      </c>
      <c r="H127" s="734">
        <v>21</v>
      </c>
      <c r="I127" s="734">
        <v>123</v>
      </c>
      <c r="J127" s="734">
        <v>16</v>
      </c>
      <c r="K127" s="735">
        <v>33</v>
      </c>
      <c r="L127" s="734">
        <v>13</v>
      </c>
      <c r="M127" s="736">
        <v>10</v>
      </c>
      <c r="N127" s="737">
        <v>417</v>
      </c>
      <c r="O127" s="737"/>
      <c r="P127" s="737">
        <v>1001</v>
      </c>
      <c r="Q127" s="737">
        <v>951</v>
      </c>
      <c r="R127" s="737"/>
      <c r="S127" s="737"/>
      <c r="T127" s="737">
        <v>68</v>
      </c>
      <c r="U127" s="738"/>
      <c r="V127" s="739">
        <v>411</v>
      </c>
      <c r="W127" s="737"/>
      <c r="X127" s="737">
        <v>1001</v>
      </c>
      <c r="Y127" s="737">
        <v>903</v>
      </c>
      <c r="Z127" s="1202">
        <v>66</v>
      </c>
      <c r="AA127" s="740"/>
      <c r="AB127" s="739"/>
      <c r="AC127" s="741"/>
      <c r="AD127" s="741">
        <v>281</v>
      </c>
      <c r="AE127" s="741">
        <v>357</v>
      </c>
      <c r="AF127" s="741"/>
      <c r="AG127" s="741">
        <v>105</v>
      </c>
      <c r="AH127" s="741">
        <v>2353</v>
      </c>
      <c r="AI127" s="741">
        <v>102</v>
      </c>
      <c r="AJ127" s="741">
        <v>98</v>
      </c>
      <c r="AK127" s="741"/>
      <c r="AL127" s="741">
        <v>141</v>
      </c>
      <c r="AM127" s="742">
        <v>1757</v>
      </c>
      <c r="AN127" s="743">
        <f t="shared" si="12"/>
        <v>0.71442542787286067</v>
      </c>
      <c r="AO127" s="744">
        <f t="shared" si="13"/>
        <v>0.95797462206301998</v>
      </c>
      <c r="AP127" s="745">
        <f>'09월 에너지'!S129</f>
        <v>146.1</v>
      </c>
    </row>
    <row r="128" spans="1:42" ht="16.5" customHeight="1">
      <c r="A128" s="999">
        <f>'09월 조업일지'!A128</f>
        <v>46270</v>
      </c>
      <c r="B128" s="1100">
        <f>'09월 조업일지'!B128</f>
        <v>46270</v>
      </c>
      <c r="C128" s="730">
        <f>'09월 조업일지'!G128</f>
        <v>85330</v>
      </c>
      <c r="D128" s="731" t="str">
        <f>'09월 조업일지'!E128</f>
        <v>B</v>
      </c>
      <c r="E128" s="732" t="str">
        <f>'09월 조업일지'!F128</f>
        <v>A</v>
      </c>
      <c r="F128" s="1096" t="str">
        <f>'09월 에너지'!F130</f>
        <v>A572-50-01</v>
      </c>
      <c r="G128" s="733">
        <v>10</v>
      </c>
      <c r="H128" s="734">
        <v>22</v>
      </c>
      <c r="I128" s="734">
        <v>125</v>
      </c>
      <c r="J128" s="734">
        <v>13</v>
      </c>
      <c r="K128" s="735">
        <v>24</v>
      </c>
      <c r="L128" s="734">
        <v>11</v>
      </c>
      <c r="M128" s="736">
        <v>7</v>
      </c>
      <c r="N128" s="737">
        <v>416</v>
      </c>
      <c r="O128" s="737"/>
      <c r="P128" s="737">
        <v>1001</v>
      </c>
      <c r="Q128" s="737">
        <v>951</v>
      </c>
      <c r="R128" s="737"/>
      <c r="S128" s="737"/>
      <c r="T128" s="737">
        <v>71</v>
      </c>
      <c r="U128" s="738"/>
      <c r="V128" s="739">
        <v>419</v>
      </c>
      <c r="W128" s="737"/>
      <c r="X128" s="737">
        <v>1000</v>
      </c>
      <c r="Y128" s="737">
        <v>907</v>
      </c>
      <c r="Z128" s="1202">
        <v>75</v>
      </c>
      <c r="AA128" s="740"/>
      <c r="AB128" s="739"/>
      <c r="AC128" s="741"/>
      <c r="AD128" s="741">
        <v>280</v>
      </c>
      <c r="AE128" s="741">
        <v>360</v>
      </c>
      <c r="AF128" s="741"/>
      <c r="AG128" s="741">
        <v>105</v>
      </c>
      <c r="AH128" s="741">
        <v>2351</v>
      </c>
      <c r="AI128" s="741">
        <v>103</v>
      </c>
      <c r="AJ128" s="741">
        <v>91</v>
      </c>
      <c r="AK128" s="741"/>
      <c r="AL128" s="741">
        <v>132</v>
      </c>
      <c r="AM128" s="742">
        <v>1264</v>
      </c>
      <c r="AN128" s="743">
        <f t="shared" si="12"/>
        <v>0.74612700628053041</v>
      </c>
      <c r="AO128" s="744">
        <f t="shared" si="13"/>
        <v>0.97453970954608993</v>
      </c>
      <c r="AP128" s="745">
        <f>'09월 에너지'!S130</f>
        <v>145.80000000000001</v>
      </c>
    </row>
    <row r="129" spans="1:42" ht="16.5" customHeight="1">
      <c r="A129" s="999">
        <f>'09월 조업일지'!A129</f>
        <v>46270</v>
      </c>
      <c r="B129" s="1100">
        <f>'09월 조업일지'!B129</f>
        <v>46270</v>
      </c>
      <c r="C129" s="730">
        <f>'09월 조업일지'!G129</f>
        <v>85331</v>
      </c>
      <c r="D129" s="731" t="str">
        <f>'09월 조업일지'!E129</f>
        <v>B</v>
      </c>
      <c r="E129" s="732" t="str">
        <f>'09월 조업일지'!F129</f>
        <v>B</v>
      </c>
      <c r="F129" s="1096" t="str">
        <f>'09월 에너지'!F131</f>
        <v>A572-50-01</v>
      </c>
      <c r="G129" s="733">
        <v>11</v>
      </c>
      <c r="H129" s="734">
        <v>28</v>
      </c>
      <c r="I129" s="734">
        <v>133</v>
      </c>
      <c r="J129" s="734">
        <v>21</v>
      </c>
      <c r="K129" s="735">
        <v>34</v>
      </c>
      <c r="L129" s="734">
        <v>12</v>
      </c>
      <c r="M129" s="736">
        <v>7</v>
      </c>
      <c r="N129" s="737">
        <v>407</v>
      </c>
      <c r="O129" s="737"/>
      <c r="P129" s="737">
        <v>1001</v>
      </c>
      <c r="Q129" s="737">
        <v>953</v>
      </c>
      <c r="R129" s="737"/>
      <c r="S129" s="737"/>
      <c r="T129" s="737">
        <v>73</v>
      </c>
      <c r="U129" s="738"/>
      <c r="V129" s="739">
        <v>413</v>
      </c>
      <c r="W129" s="737"/>
      <c r="X129" s="737">
        <v>1000</v>
      </c>
      <c r="Y129" s="737">
        <v>902</v>
      </c>
      <c r="Z129" s="1202">
        <v>72</v>
      </c>
      <c r="AA129" s="740"/>
      <c r="AB129" s="739"/>
      <c r="AC129" s="741"/>
      <c r="AD129" s="741">
        <v>280</v>
      </c>
      <c r="AE129" s="741">
        <v>360</v>
      </c>
      <c r="AF129" s="741"/>
      <c r="AG129" s="741">
        <v>105</v>
      </c>
      <c r="AH129" s="741">
        <v>2351</v>
      </c>
      <c r="AI129" s="741">
        <v>107</v>
      </c>
      <c r="AJ129" s="741">
        <v>94</v>
      </c>
      <c r="AK129" s="741"/>
      <c r="AL129" s="741">
        <v>124</v>
      </c>
      <c r="AM129" s="742">
        <v>1807</v>
      </c>
      <c r="AN129" s="743">
        <f t="shared" si="12"/>
        <v>0.92557172557172562</v>
      </c>
      <c r="AO129" s="744">
        <f t="shared" si="13"/>
        <v>1.0260557817342164</v>
      </c>
      <c r="AP129" s="745">
        <f>'09월 에너지'!S131</f>
        <v>143.1</v>
      </c>
    </row>
    <row r="130" spans="1:42" ht="16.5" customHeight="1">
      <c r="A130" s="999">
        <f>'09월 조업일지'!A130</f>
        <v>46270</v>
      </c>
      <c r="B130" s="1100">
        <f>'09월 조업일지'!B130</f>
        <v>46270</v>
      </c>
      <c r="C130" s="730">
        <f>'09월 조업일지'!G130</f>
        <v>85332</v>
      </c>
      <c r="D130" s="731" t="str">
        <f>'09월 조업일지'!E130</f>
        <v>B</v>
      </c>
      <c r="E130" s="732" t="str">
        <f>'09월 조업일지'!F130</f>
        <v>A</v>
      </c>
      <c r="F130" s="1096" t="str">
        <f>'09월 에너지'!F132</f>
        <v>A572-50-01</v>
      </c>
      <c r="G130" s="733">
        <v>12</v>
      </c>
      <c r="H130" s="734">
        <v>24</v>
      </c>
      <c r="I130" s="734">
        <v>120</v>
      </c>
      <c r="J130" s="734">
        <v>11</v>
      </c>
      <c r="K130" s="735">
        <v>23</v>
      </c>
      <c r="L130" s="734">
        <v>13</v>
      </c>
      <c r="M130" s="736">
        <v>11</v>
      </c>
      <c r="N130" s="737">
        <v>419</v>
      </c>
      <c r="O130" s="737"/>
      <c r="P130" s="737">
        <v>1001</v>
      </c>
      <c r="Q130" s="737">
        <v>952</v>
      </c>
      <c r="R130" s="737"/>
      <c r="S130" s="737"/>
      <c r="T130" s="737">
        <v>73</v>
      </c>
      <c r="U130" s="738"/>
      <c r="V130" s="739">
        <v>414</v>
      </c>
      <c r="W130" s="737"/>
      <c r="X130" s="737">
        <v>1001</v>
      </c>
      <c r="Y130" s="737">
        <v>902</v>
      </c>
      <c r="Z130" s="1202">
        <v>69</v>
      </c>
      <c r="AA130" s="740"/>
      <c r="AB130" s="739"/>
      <c r="AC130" s="741"/>
      <c r="AD130" s="741">
        <v>281</v>
      </c>
      <c r="AE130" s="741">
        <v>355</v>
      </c>
      <c r="AF130" s="741"/>
      <c r="AG130" s="741">
        <v>105</v>
      </c>
      <c r="AH130" s="741">
        <v>2350</v>
      </c>
      <c r="AI130" s="741">
        <v>113</v>
      </c>
      <c r="AJ130" s="741">
        <v>91</v>
      </c>
      <c r="AK130" s="741"/>
      <c r="AL130" s="741">
        <v>136</v>
      </c>
      <c r="AM130" s="742">
        <v>1505</v>
      </c>
      <c r="AN130" s="743">
        <f t="shared" si="12"/>
        <v>0.80082332761578046</v>
      </c>
      <c r="AO130" s="744">
        <f t="shared" si="13"/>
        <v>0.93127659574468091</v>
      </c>
      <c r="AP130" s="745">
        <f>'09월 에너지'!S132</f>
        <v>145.9</v>
      </c>
    </row>
    <row r="131" spans="1:42" ht="16.5" customHeight="1">
      <c r="A131" s="999">
        <f>'09월 조업일지'!A131</f>
        <v>46270</v>
      </c>
      <c r="B131" s="1100">
        <f>'09월 조업일지'!B131</f>
        <v>46270</v>
      </c>
      <c r="C131" s="730">
        <f>'09월 조업일지'!G131</f>
        <v>85333</v>
      </c>
      <c r="D131" s="731" t="str">
        <f>'09월 조업일지'!E131</f>
        <v>B</v>
      </c>
      <c r="E131" s="732" t="str">
        <f>'09월 조업일지'!F131</f>
        <v>B</v>
      </c>
      <c r="F131" s="1096" t="str">
        <f>'09월 에너지'!F133</f>
        <v>A572-50-01</v>
      </c>
      <c r="G131" s="733">
        <v>11</v>
      </c>
      <c r="H131" s="734">
        <v>28</v>
      </c>
      <c r="I131" s="734">
        <v>131</v>
      </c>
      <c r="J131" s="734">
        <v>17</v>
      </c>
      <c r="K131" s="735">
        <v>28</v>
      </c>
      <c r="L131" s="734">
        <v>14</v>
      </c>
      <c r="M131" s="736">
        <v>10</v>
      </c>
      <c r="N131" s="737">
        <v>414</v>
      </c>
      <c r="O131" s="737"/>
      <c r="P131" s="737">
        <v>1000</v>
      </c>
      <c r="Q131" s="737">
        <v>951</v>
      </c>
      <c r="R131" s="737"/>
      <c r="S131" s="737"/>
      <c r="T131" s="737">
        <v>64</v>
      </c>
      <c r="U131" s="738"/>
      <c r="V131" s="739">
        <v>411</v>
      </c>
      <c r="W131" s="737"/>
      <c r="X131" s="737">
        <v>1000</v>
      </c>
      <c r="Y131" s="737">
        <v>903</v>
      </c>
      <c r="Z131" s="1202">
        <v>68</v>
      </c>
      <c r="AA131" s="740"/>
      <c r="AB131" s="739"/>
      <c r="AC131" s="741"/>
      <c r="AD131" s="741">
        <v>281</v>
      </c>
      <c r="AE131" s="741">
        <v>351</v>
      </c>
      <c r="AF131" s="741"/>
      <c r="AG131" s="741">
        <v>105</v>
      </c>
      <c r="AH131" s="741">
        <v>2349</v>
      </c>
      <c r="AI131" s="741">
        <v>106</v>
      </c>
      <c r="AJ131" s="741">
        <v>91</v>
      </c>
      <c r="AK131" s="741"/>
      <c r="AL131" s="741">
        <v>131</v>
      </c>
      <c r="AM131" s="742">
        <v>1468</v>
      </c>
      <c r="AN131" s="743">
        <f t="shared" si="12"/>
        <v>0.93430589324997115</v>
      </c>
      <c r="AO131" s="744">
        <f t="shared" si="13"/>
        <v>1.0165784832451499</v>
      </c>
      <c r="AP131" s="745">
        <f>'09월 에너지'!S133</f>
        <v>144.1</v>
      </c>
    </row>
    <row r="132" spans="1:42" ht="16.5" customHeight="1">
      <c r="A132" s="999">
        <f>'09월 조업일지'!A132</f>
        <v>46270</v>
      </c>
      <c r="B132" s="1100">
        <f>'09월 조업일지'!B132</f>
        <v>46270</v>
      </c>
      <c r="C132" s="730">
        <f>'09월 조업일지'!G132</f>
        <v>85334</v>
      </c>
      <c r="D132" s="731" t="str">
        <f>'09월 조업일지'!E132</f>
        <v>B</v>
      </c>
      <c r="E132" s="732" t="str">
        <f>'09월 조업일지'!F132</f>
        <v>A</v>
      </c>
      <c r="F132" s="1096" t="str">
        <f>'09월 에너지'!F134</f>
        <v>A572-50-01</v>
      </c>
      <c r="G132" s="733">
        <v>10</v>
      </c>
      <c r="H132" s="734">
        <v>23</v>
      </c>
      <c r="I132" s="734">
        <v>124</v>
      </c>
      <c r="J132" s="734">
        <v>14</v>
      </c>
      <c r="K132" s="735">
        <v>38</v>
      </c>
      <c r="L132" s="734">
        <v>13</v>
      </c>
      <c r="M132" s="736">
        <v>11</v>
      </c>
      <c r="N132" s="737">
        <v>404</v>
      </c>
      <c r="O132" s="737"/>
      <c r="P132" s="737">
        <v>1001</v>
      </c>
      <c r="Q132" s="737">
        <v>952</v>
      </c>
      <c r="R132" s="737"/>
      <c r="S132" s="737"/>
      <c r="T132" s="737">
        <v>68</v>
      </c>
      <c r="U132" s="738"/>
      <c r="V132" s="739">
        <v>413</v>
      </c>
      <c r="W132" s="737"/>
      <c r="X132" s="737">
        <v>1002</v>
      </c>
      <c r="Y132" s="737">
        <v>903</v>
      </c>
      <c r="Z132" s="1202">
        <v>72</v>
      </c>
      <c r="AA132" s="740"/>
      <c r="AB132" s="739"/>
      <c r="AC132" s="741"/>
      <c r="AD132" s="741">
        <v>281</v>
      </c>
      <c r="AE132" s="741">
        <v>359</v>
      </c>
      <c r="AF132" s="741"/>
      <c r="AG132" s="741"/>
      <c r="AH132" s="741">
        <v>2351</v>
      </c>
      <c r="AI132" s="741">
        <v>115</v>
      </c>
      <c r="AJ132" s="741">
        <v>94</v>
      </c>
      <c r="AK132" s="741"/>
      <c r="AL132" s="741">
        <v>131</v>
      </c>
      <c r="AM132" s="742">
        <v>1974</v>
      </c>
      <c r="AN132" s="743">
        <f t="shared" si="12"/>
        <v>0.7692868534973798</v>
      </c>
      <c r="AO132" s="744">
        <f t="shared" si="13"/>
        <v>0.97230357902412357</v>
      </c>
      <c r="AP132" s="745">
        <f>'09월 에너지'!S134</f>
        <v>146.80000000000001</v>
      </c>
    </row>
    <row r="133" spans="1:42" ht="16.5" customHeight="1">
      <c r="A133" s="999">
        <f>'09월 조업일지'!A133</f>
        <v>46270</v>
      </c>
      <c r="B133" s="1100">
        <f>'09월 조업일지'!B133</f>
        <v>46270</v>
      </c>
      <c r="C133" s="730">
        <f>'09월 조업일지'!G133</f>
        <v>85335</v>
      </c>
      <c r="D133" s="731" t="str">
        <f>'09월 조업일지'!E133</f>
        <v>B</v>
      </c>
      <c r="E133" s="732" t="str">
        <f>'09월 조업일지'!F133</f>
        <v>B</v>
      </c>
      <c r="F133" s="1096" t="str">
        <f>'09월 에너지'!F135</f>
        <v>A572-50-01</v>
      </c>
      <c r="G133" s="733">
        <v>12</v>
      </c>
      <c r="H133" s="734">
        <v>26</v>
      </c>
      <c r="I133" s="734">
        <v>124</v>
      </c>
      <c r="J133" s="734">
        <v>12</v>
      </c>
      <c r="K133" s="735">
        <v>27</v>
      </c>
      <c r="L133" s="734">
        <v>13</v>
      </c>
      <c r="M133" s="736">
        <v>11</v>
      </c>
      <c r="N133" s="737">
        <v>408</v>
      </c>
      <c r="O133" s="737"/>
      <c r="P133" s="737">
        <v>1000</v>
      </c>
      <c r="Q133" s="737">
        <v>951</v>
      </c>
      <c r="R133" s="737"/>
      <c r="S133" s="737"/>
      <c r="T133" s="737">
        <v>64</v>
      </c>
      <c r="U133" s="738"/>
      <c r="V133" s="739">
        <v>405</v>
      </c>
      <c r="W133" s="737"/>
      <c r="X133" s="737">
        <v>1000</v>
      </c>
      <c r="Y133" s="737">
        <v>903</v>
      </c>
      <c r="Z133" s="1202">
        <v>68</v>
      </c>
      <c r="AA133" s="740"/>
      <c r="AB133" s="739"/>
      <c r="AC133" s="741"/>
      <c r="AD133" s="741">
        <v>281</v>
      </c>
      <c r="AE133" s="741">
        <v>351</v>
      </c>
      <c r="AF133" s="741"/>
      <c r="AG133" s="741">
        <v>105</v>
      </c>
      <c r="AH133" s="741">
        <v>2350</v>
      </c>
      <c r="AI133" s="741">
        <v>104</v>
      </c>
      <c r="AJ133" s="741">
        <v>90</v>
      </c>
      <c r="AK133" s="741"/>
      <c r="AL133" s="741">
        <v>142</v>
      </c>
      <c r="AM133" s="742">
        <v>1640</v>
      </c>
      <c r="AN133" s="743">
        <f t="shared" si="12"/>
        <v>0.87149825783972124</v>
      </c>
      <c r="AO133" s="744">
        <f t="shared" si="13"/>
        <v>0.95615197568389054</v>
      </c>
      <c r="AP133" s="745">
        <f>'09월 에너지'!S135</f>
        <v>144.30000000000001</v>
      </c>
    </row>
    <row r="134" spans="1:42" ht="16.5" customHeight="1">
      <c r="A134" s="999">
        <f>'09월 조업일지'!A134</f>
        <v>46270</v>
      </c>
      <c r="B134" s="1100">
        <f>'09월 조업일지'!B134</f>
        <v>46270</v>
      </c>
      <c r="C134" s="730">
        <f>'09월 조업일지'!G134</f>
        <v>85336</v>
      </c>
      <c r="D134" s="731" t="str">
        <f>'09월 조업일지'!E134</f>
        <v>B</v>
      </c>
      <c r="E134" s="732" t="str">
        <f>'09월 조업일지'!F134</f>
        <v>A</v>
      </c>
      <c r="F134" s="1096" t="str">
        <f>'09월 에너지'!F136</f>
        <v>A572-50-01</v>
      </c>
      <c r="G134" s="733">
        <v>10</v>
      </c>
      <c r="H134" s="734">
        <v>15</v>
      </c>
      <c r="I134" s="734">
        <v>87</v>
      </c>
      <c r="J134" s="734">
        <v>14</v>
      </c>
      <c r="K134" s="735">
        <v>24</v>
      </c>
      <c r="L134" s="734">
        <v>10</v>
      </c>
      <c r="M134" s="736">
        <v>10</v>
      </c>
      <c r="N134" s="737">
        <v>404</v>
      </c>
      <c r="O134" s="737"/>
      <c r="P134" s="737">
        <v>1001</v>
      </c>
      <c r="Q134" s="737">
        <v>952</v>
      </c>
      <c r="R134" s="737"/>
      <c r="S134" s="737"/>
      <c r="T134" s="737">
        <v>68</v>
      </c>
      <c r="U134" s="738"/>
      <c r="V134" s="739">
        <v>413</v>
      </c>
      <c r="W134" s="737"/>
      <c r="X134" s="737">
        <v>1002</v>
      </c>
      <c r="Y134" s="737">
        <v>903</v>
      </c>
      <c r="Z134" s="1202">
        <v>72</v>
      </c>
      <c r="AA134" s="740"/>
      <c r="AB134" s="739"/>
      <c r="AC134" s="741"/>
      <c r="AD134" s="741">
        <v>291</v>
      </c>
      <c r="AE134" s="741">
        <v>359</v>
      </c>
      <c r="AF134" s="741"/>
      <c r="AG134" s="741">
        <v>105</v>
      </c>
      <c r="AH134" s="741">
        <v>2351</v>
      </c>
      <c r="AI134" s="741">
        <v>115</v>
      </c>
      <c r="AJ134" s="741">
        <v>102</v>
      </c>
      <c r="AK134" s="741"/>
      <c r="AL134" s="741">
        <v>119</v>
      </c>
      <c r="AM134" s="742">
        <v>2277</v>
      </c>
      <c r="AN134" s="743">
        <f t="shared" si="12"/>
        <v>0.48222829801777173</v>
      </c>
      <c r="AO134" s="744">
        <f t="shared" si="13"/>
        <v>0.61731785866196764</v>
      </c>
      <c r="AP134" s="745">
        <f>'09월 에너지'!S136</f>
        <v>141.1</v>
      </c>
    </row>
    <row r="135" spans="1:42" ht="16.5" customHeight="1">
      <c r="A135" s="999">
        <f>'09월 조업일지'!A135</f>
        <v>46270</v>
      </c>
      <c r="B135" s="1100">
        <f>'09월 조업일지'!B135</f>
        <v>46270</v>
      </c>
      <c r="C135" s="730">
        <f>'09월 조업일지'!G135</f>
        <v>85337</v>
      </c>
      <c r="D135" s="731" t="str">
        <f>'09월 조업일지'!E135</f>
        <v>B</v>
      </c>
      <c r="E135" s="732" t="str">
        <f>'09월 조업일지'!F135</f>
        <v>B</v>
      </c>
      <c r="F135" s="1096" t="str">
        <f>'09월 에너지'!F137</f>
        <v>A572-50-01</v>
      </c>
      <c r="G135" s="733">
        <v>11</v>
      </c>
      <c r="H135" s="734">
        <v>21</v>
      </c>
      <c r="I135" s="734">
        <v>120</v>
      </c>
      <c r="J135" s="734">
        <v>12</v>
      </c>
      <c r="K135" s="735">
        <v>24</v>
      </c>
      <c r="L135" s="734">
        <v>11</v>
      </c>
      <c r="M135" s="736">
        <v>10</v>
      </c>
      <c r="N135" s="737">
        <v>403</v>
      </c>
      <c r="O135" s="737"/>
      <c r="P135" s="737">
        <v>1001</v>
      </c>
      <c r="Q135" s="737">
        <v>955</v>
      </c>
      <c r="R135" s="737"/>
      <c r="S135" s="737"/>
      <c r="T135" s="737">
        <v>69</v>
      </c>
      <c r="U135" s="738"/>
      <c r="V135" s="739">
        <v>414</v>
      </c>
      <c r="W135" s="737"/>
      <c r="X135" s="737">
        <v>1000</v>
      </c>
      <c r="Y135" s="737">
        <v>905</v>
      </c>
      <c r="Z135" s="1202">
        <v>66</v>
      </c>
      <c r="AA135" s="740"/>
      <c r="AB135" s="739"/>
      <c r="AC135" s="741"/>
      <c r="AD135" s="741">
        <v>280</v>
      </c>
      <c r="AE135" s="741">
        <v>350</v>
      </c>
      <c r="AF135" s="741"/>
      <c r="AG135" s="741">
        <v>105</v>
      </c>
      <c r="AH135" s="741">
        <v>2358</v>
      </c>
      <c r="AI135" s="741">
        <v>106</v>
      </c>
      <c r="AJ135" s="741">
        <v>90</v>
      </c>
      <c r="AK135" s="741"/>
      <c r="AL135" s="741">
        <v>122</v>
      </c>
      <c r="AM135" s="742">
        <v>2505</v>
      </c>
      <c r="AN135" s="743">
        <f t="shared" si="12"/>
        <v>0.69369806094182829</v>
      </c>
      <c r="AO135" s="744">
        <f t="shared" si="13"/>
        <v>0.91030534351145043</v>
      </c>
      <c r="AP135" s="745">
        <f>'09월 에너지'!S137</f>
        <v>143.1</v>
      </c>
    </row>
    <row r="136" spans="1:42" ht="16.5" customHeight="1">
      <c r="A136" s="999">
        <f>'09월 조업일지'!A136</f>
        <v>46270</v>
      </c>
      <c r="B136" s="1100">
        <f>'09월 조업일지'!B136</f>
        <v>46270</v>
      </c>
      <c r="C136" s="730">
        <f>'09월 조업일지'!G136</f>
        <v>85338</v>
      </c>
      <c r="D136" s="731" t="str">
        <f>'09월 조업일지'!E136</f>
        <v>C</v>
      </c>
      <c r="E136" s="732" t="str">
        <f>'09월 조업일지'!F136</f>
        <v>A</v>
      </c>
      <c r="F136" s="1096" t="str">
        <f>'09월 에너지'!F138</f>
        <v>A572-50-01</v>
      </c>
      <c r="G136" s="733">
        <v>9</v>
      </c>
      <c r="H136" s="734">
        <v>16</v>
      </c>
      <c r="I136" s="734">
        <v>120</v>
      </c>
      <c r="J136" s="734">
        <v>13</v>
      </c>
      <c r="K136" s="735">
        <v>40</v>
      </c>
      <c r="L136" s="734">
        <v>12</v>
      </c>
      <c r="M136" s="736">
        <v>8</v>
      </c>
      <c r="N136" s="737">
        <v>409</v>
      </c>
      <c r="O136" s="737"/>
      <c r="P136" s="737">
        <v>1000</v>
      </c>
      <c r="Q136" s="737">
        <v>953</v>
      </c>
      <c r="R136" s="737"/>
      <c r="S136" s="737"/>
      <c r="T136" s="737">
        <v>63</v>
      </c>
      <c r="U136" s="738"/>
      <c r="V136" s="739">
        <v>411</v>
      </c>
      <c r="W136" s="737"/>
      <c r="X136" s="737">
        <v>1002</v>
      </c>
      <c r="Y136" s="737">
        <v>901</v>
      </c>
      <c r="Z136" s="1202">
        <v>66</v>
      </c>
      <c r="AA136" s="740"/>
      <c r="AB136" s="739"/>
      <c r="AC136" s="741"/>
      <c r="AD136" s="741">
        <v>281</v>
      </c>
      <c r="AE136" s="741">
        <v>352</v>
      </c>
      <c r="AF136" s="741"/>
      <c r="AG136" s="741">
        <v>105</v>
      </c>
      <c r="AH136" s="741">
        <v>2358</v>
      </c>
      <c r="AI136" s="741">
        <v>114</v>
      </c>
      <c r="AJ136" s="741">
        <v>99</v>
      </c>
      <c r="AK136" s="741"/>
      <c r="AL136" s="741">
        <v>123</v>
      </c>
      <c r="AM136" s="742">
        <v>2476</v>
      </c>
      <c r="AN136" s="743">
        <f t="shared" si="12"/>
        <v>0.51985428051001825</v>
      </c>
      <c r="AO136" s="744">
        <f t="shared" si="13"/>
        <v>0.90776081424936383</v>
      </c>
      <c r="AP136" s="745">
        <f>'09월 에너지'!S138</f>
        <v>142.69999999999999</v>
      </c>
    </row>
    <row r="137" spans="1:42" ht="16.5" customHeight="1">
      <c r="A137" s="999">
        <f>'09월 조업일지'!A137</f>
        <v>46270</v>
      </c>
      <c r="B137" s="1100">
        <f>'09월 조업일지'!B137</f>
        <v>46270</v>
      </c>
      <c r="C137" s="730">
        <f>'09월 조업일지'!G137</f>
        <v>85339</v>
      </c>
      <c r="D137" s="731" t="str">
        <f>'09월 조업일지'!E137</f>
        <v>C</v>
      </c>
      <c r="E137" s="732" t="str">
        <f>'09월 조업일지'!F137</f>
        <v>B</v>
      </c>
      <c r="F137" s="1096" t="str">
        <f>'09월 에너지'!F139</f>
        <v>A572-50-01</v>
      </c>
      <c r="G137" s="733">
        <v>12</v>
      </c>
      <c r="H137" s="734">
        <v>25</v>
      </c>
      <c r="I137" s="734">
        <v>123</v>
      </c>
      <c r="J137" s="734">
        <v>14</v>
      </c>
      <c r="K137" s="735">
        <v>28</v>
      </c>
      <c r="L137" s="734">
        <v>16</v>
      </c>
      <c r="M137" s="736">
        <v>10</v>
      </c>
      <c r="N137" s="737">
        <v>402</v>
      </c>
      <c r="O137" s="737"/>
      <c r="P137" s="737">
        <v>1001</v>
      </c>
      <c r="Q137" s="737">
        <v>954</v>
      </c>
      <c r="R137" s="737"/>
      <c r="S137" s="737"/>
      <c r="T137" s="737">
        <v>74</v>
      </c>
      <c r="U137" s="738"/>
      <c r="V137" s="739">
        <v>407</v>
      </c>
      <c r="W137" s="737"/>
      <c r="X137" s="737">
        <v>1000</v>
      </c>
      <c r="Y137" s="737">
        <v>903</v>
      </c>
      <c r="Z137" s="1202">
        <v>66</v>
      </c>
      <c r="AA137" s="740"/>
      <c r="AB137" s="739"/>
      <c r="AC137" s="741"/>
      <c r="AD137" s="741">
        <v>282</v>
      </c>
      <c r="AE137" s="741">
        <v>351</v>
      </c>
      <c r="AF137" s="741"/>
      <c r="AG137" s="741">
        <v>105</v>
      </c>
      <c r="AH137" s="741">
        <v>2353</v>
      </c>
      <c r="AI137" s="741">
        <v>111</v>
      </c>
      <c r="AJ137" s="741">
        <v>93</v>
      </c>
      <c r="AK137" s="741"/>
      <c r="AL137" s="741">
        <v>139</v>
      </c>
      <c r="AM137" s="742">
        <v>1691</v>
      </c>
      <c r="AN137" s="743">
        <f t="shared" si="12"/>
        <v>0.8241632278771206</v>
      </c>
      <c r="AO137" s="744">
        <f t="shared" si="13"/>
        <v>0.94289357051787992</v>
      </c>
      <c r="AP137" s="745">
        <f>'09월 에너지'!S139</f>
        <v>143.80000000000001</v>
      </c>
    </row>
    <row r="138" spans="1:42" ht="16.5" customHeight="1">
      <c r="A138" s="999">
        <f>'09월 조업일지'!A138</f>
        <v>46270</v>
      </c>
      <c r="B138" s="1100">
        <f>'09월 조업일지'!B138</f>
        <v>46270</v>
      </c>
      <c r="C138" s="730">
        <f>'09월 조업일지'!G138</f>
        <v>85340</v>
      </c>
      <c r="D138" s="731" t="str">
        <f>'09월 조업일지'!E138</f>
        <v>C</v>
      </c>
      <c r="E138" s="732" t="str">
        <f>'09월 조업일지'!F138</f>
        <v>A</v>
      </c>
      <c r="F138" s="1096" t="str">
        <f>'09월 에너지'!F140</f>
        <v>A572-50-01</v>
      </c>
      <c r="G138" s="733">
        <v>11</v>
      </c>
      <c r="H138" s="734">
        <v>17</v>
      </c>
      <c r="I138" s="734">
        <v>111</v>
      </c>
      <c r="J138" s="734">
        <v>14</v>
      </c>
      <c r="K138" s="735">
        <v>30</v>
      </c>
      <c r="L138" s="734">
        <v>10</v>
      </c>
      <c r="M138" s="736">
        <v>11</v>
      </c>
      <c r="N138" s="737">
        <v>410</v>
      </c>
      <c r="O138" s="737"/>
      <c r="P138" s="737">
        <v>1003</v>
      </c>
      <c r="Q138" s="737">
        <v>955</v>
      </c>
      <c r="R138" s="737"/>
      <c r="S138" s="737"/>
      <c r="T138" s="737">
        <v>68</v>
      </c>
      <c r="U138" s="738"/>
      <c r="V138" s="739">
        <v>411</v>
      </c>
      <c r="W138" s="737"/>
      <c r="X138" s="737">
        <v>1001</v>
      </c>
      <c r="Y138" s="737">
        <v>909</v>
      </c>
      <c r="Z138" s="1202">
        <v>74</v>
      </c>
      <c r="AA138" s="740"/>
      <c r="AB138" s="739"/>
      <c r="AC138" s="741"/>
      <c r="AD138" s="741">
        <v>282</v>
      </c>
      <c r="AE138" s="741">
        <v>351</v>
      </c>
      <c r="AF138" s="741"/>
      <c r="AG138" s="741">
        <v>105</v>
      </c>
      <c r="AH138" s="741">
        <v>2350</v>
      </c>
      <c r="AI138" s="741">
        <v>101</v>
      </c>
      <c r="AJ138" s="741">
        <v>94</v>
      </c>
      <c r="AK138" s="741"/>
      <c r="AL138" s="741">
        <v>127</v>
      </c>
      <c r="AM138" s="742">
        <v>2279</v>
      </c>
      <c r="AN138" s="743">
        <f t="shared" si="12"/>
        <v>0.57678925861062458</v>
      </c>
      <c r="AO138" s="744">
        <f t="shared" si="13"/>
        <v>0.8479513677811551</v>
      </c>
      <c r="AP138" s="745">
        <f>'09월 에너지'!S140</f>
        <v>145.30000000000001</v>
      </c>
    </row>
    <row r="139" spans="1:42" ht="16.5" customHeight="1">
      <c r="A139" s="999">
        <f>'09월 조업일지'!A139</f>
        <v>46270</v>
      </c>
      <c r="B139" s="1100">
        <f>'09월 조업일지'!B139</f>
        <v>46270</v>
      </c>
      <c r="C139" s="730">
        <f>'09월 조업일지'!G139</f>
        <v>85341</v>
      </c>
      <c r="D139" s="731" t="str">
        <f>'09월 조업일지'!E139</f>
        <v>C</v>
      </c>
      <c r="E139" s="732" t="str">
        <f>'09월 조업일지'!F139</f>
        <v>B</v>
      </c>
      <c r="F139" s="1096" t="str">
        <f>'09월 에너지'!F141</f>
        <v>A572-50-01</v>
      </c>
      <c r="G139" s="733">
        <v>13</v>
      </c>
      <c r="H139" s="734">
        <v>25</v>
      </c>
      <c r="I139" s="734">
        <v>127</v>
      </c>
      <c r="J139" s="734">
        <v>17</v>
      </c>
      <c r="K139" s="735">
        <v>37</v>
      </c>
      <c r="L139" s="734">
        <v>13</v>
      </c>
      <c r="M139" s="736">
        <v>11</v>
      </c>
      <c r="N139" s="737">
        <v>417</v>
      </c>
      <c r="O139" s="737"/>
      <c r="P139" s="737">
        <v>1001</v>
      </c>
      <c r="Q139" s="737">
        <v>951</v>
      </c>
      <c r="R139" s="737"/>
      <c r="S139" s="737"/>
      <c r="T139" s="737">
        <v>74</v>
      </c>
      <c r="U139" s="738"/>
      <c r="V139" s="739">
        <v>408</v>
      </c>
      <c r="W139" s="737"/>
      <c r="X139" s="737">
        <v>1002</v>
      </c>
      <c r="Y139" s="737">
        <v>905</v>
      </c>
      <c r="Z139" s="1202">
        <v>65</v>
      </c>
      <c r="AA139" s="740"/>
      <c r="AB139" s="739"/>
      <c r="AC139" s="741"/>
      <c r="AD139" s="741">
        <v>281</v>
      </c>
      <c r="AE139" s="741">
        <v>350</v>
      </c>
      <c r="AF139" s="741"/>
      <c r="AG139" s="741">
        <v>105</v>
      </c>
      <c r="AH139" s="741">
        <v>2352</v>
      </c>
      <c r="AI139" s="741">
        <v>113</v>
      </c>
      <c r="AJ139" s="741">
        <v>96</v>
      </c>
      <c r="AK139" s="741"/>
      <c r="AL139" s="741">
        <v>131</v>
      </c>
      <c r="AM139" s="742">
        <v>1221</v>
      </c>
      <c r="AN139" s="743">
        <f t="shared" si="12"/>
        <v>0.83190492515141123</v>
      </c>
      <c r="AO139" s="744">
        <f t="shared" si="13"/>
        <v>0.99047619047619062</v>
      </c>
      <c r="AP139" s="745">
        <f>'09월 에너지'!S141</f>
        <v>145.6</v>
      </c>
    </row>
    <row r="140" spans="1:42" ht="16.5" customHeight="1">
      <c r="A140" s="999">
        <f>'09월 조업일지'!A140</f>
        <v>46270</v>
      </c>
      <c r="B140" s="1100">
        <f>'09월 조업일지'!B140</f>
        <v>46270</v>
      </c>
      <c r="C140" s="730">
        <f>'09월 조업일지'!G140</f>
        <v>85342</v>
      </c>
      <c r="D140" s="731" t="str">
        <f>'09월 조업일지'!E140</f>
        <v>C</v>
      </c>
      <c r="E140" s="732" t="str">
        <f>'09월 조업일지'!F140</f>
        <v>A</v>
      </c>
      <c r="F140" s="1231" t="str">
        <f>'09월 에너지'!F142</f>
        <v>S355JO-01</v>
      </c>
      <c r="G140" s="733">
        <v>10</v>
      </c>
      <c r="H140" s="734">
        <v>13</v>
      </c>
      <c r="I140" s="734">
        <v>125</v>
      </c>
      <c r="J140" s="734">
        <v>15</v>
      </c>
      <c r="K140" s="735">
        <v>44</v>
      </c>
      <c r="L140" s="734">
        <v>13</v>
      </c>
      <c r="M140" s="736">
        <v>8</v>
      </c>
      <c r="N140" s="737">
        <v>408</v>
      </c>
      <c r="O140" s="737"/>
      <c r="P140" s="737">
        <v>1001</v>
      </c>
      <c r="Q140" s="737">
        <v>954</v>
      </c>
      <c r="R140" s="737"/>
      <c r="S140" s="737"/>
      <c r="T140" s="737"/>
      <c r="U140" s="738"/>
      <c r="V140" s="739">
        <v>411</v>
      </c>
      <c r="W140" s="737"/>
      <c r="X140" s="737">
        <v>1002</v>
      </c>
      <c r="Y140" s="737">
        <v>911</v>
      </c>
      <c r="Z140" s="1202"/>
      <c r="AA140" s="740"/>
      <c r="AB140" s="739"/>
      <c r="AC140" s="741"/>
      <c r="AD140" s="741">
        <v>281</v>
      </c>
      <c r="AE140" s="741">
        <v>331</v>
      </c>
      <c r="AF140" s="741"/>
      <c r="AG140" s="741">
        <v>95</v>
      </c>
      <c r="AH140" s="741">
        <v>2359</v>
      </c>
      <c r="AI140" s="741"/>
      <c r="AJ140" s="741">
        <v>87</v>
      </c>
      <c r="AK140" s="741"/>
      <c r="AL140" s="741">
        <v>121</v>
      </c>
      <c r="AM140" s="742">
        <v>2958</v>
      </c>
      <c r="AN140" s="743">
        <f t="shared" si="12"/>
        <v>0.52756817860675431</v>
      </c>
      <c r="AO140" s="744">
        <f t="shared" si="13"/>
        <v>0.95657966450675225</v>
      </c>
      <c r="AP140" s="745">
        <f>'09월 에너지'!S142</f>
        <v>143.6</v>
      </c>
    </row>
    <row r="141" spans="1:42" ht="16.5" customHeight="1">
      <c r="A141" s="999">
        <f>'09월 조업일지'!A141</f>
        <v>46270</v>
      </c>
      <c r="B141" s="1100">
        <f>'09월 조업일지'!B141</f>
        <v>46270</v>
      </c>
      <c r="C141" s="730">
        <f>'09월 조업일지'!G141</f>
        <v>85343</v>
      </c>
      <c r="D141" s="731" t="str">
        <f>'09월 조업일지'!E141</f>
        <v>C</v>
      </c>
      <c r="E141" s="732" t="str">
        <f>'09월 조업일지'!F141</f>
        <v>B</v>
      </c>
      <c r="F141" s="1231" t="str">
        <f>'09월 에너지'!F143</f>
        <v>SHN275(BB)</v>
      </c>
      <c r="G141" s="733">
        <v>8</v>
      </c>
      <c r="H141" s="734">
        <v>20</v>
      </c>
      <c r="I141" s="734">
        <v>60</v>
      </c>
      <c r="J141" s="734">
        <v>17</v>
      </c>
      <c r="K141" s="735">
        <v>33</v>
      </c>
      <c r="L141" s="734">
        <v>11</v>
      </c>
      <c r="M141" s="736">
        <v>8</v>
      </c>
      <c r="N141" s="737">
        <v>410</v>
      </c>
      <c r="O141" s="737"/>
      <c r="P141" s="737">
        <v>999</v>
      </c>
      <c r="Q141" s="737">
        <v>953</v>
      </c>
      <c r="R141" s="737"/>
      <c r="S141" s="737"/>
      <c r="T141" s="737"/>
      <c r="U141" s="738"/>
      <c r="V141" s="739">
        <v>416</v>
      </c>
      <c r="W141" s="737"/>
      <c r="X141" s="737">
        <v>1000</v>
      </c>
      <c r="Y141" s="737">
        <v>902</v>
      </c>
      <c r="Z141" s="1202"/>
      <c r="AA141" s="740"/>
      <c r="AB141" s="739"/>
      <c r="AC141" s="741"/>
      <c r="AD141" s="741">
        <v>272</v>
      </c>
      <c r="AE141" s="741">
        <v>451</v>
      </c>
      <c r="AF141" s="741"/>
      <c r="AG141" s="741">
        <v>95</v>
      </c>
      <c r="AH141" s="741">
        <v>953</v>
      </c>
      <c r="AI141" s="741">
        <v>293</v>
      </c>
      <c r="AJ141" s="741">
        <v>94</v>
      </c>
      <c r="AK141" s="741"/>
      <c r="AL141" s="741"/>
      <c r="AM141" s="742">
        <v>2498</v>
      </c>
      <c r="AN141" s="743">
        <f t="shared" ref="AN141:AN204" si="14">IF(ISBLANK(AH141),"",AP141*1000*H141/10000/(AH141*15%+AI141*75%+AK141*60%))</f>
        <v>0.79459608491866551</v>
      </c>
      <c r="AO141" s="744">
        <f t="shared" ref="AO141:AO204" si="15">IF(ISBLANK(AH141),"",AP141*1000*(I141-15)/10000/(AH141*70%))</f>
        <v>0.9720431719382403</v>
      </c>
      <c r="AP141" s="745">
        <f>'09월 에너지'!S143</f>
        <v>144.1</v>
      </c>
    </row>
    <row r="142" spans="1:42" ht="16.5" customHeight="1">
      <c r="A142" s="999">
        <f>'09월 조업일지'!A142</f>
        <v>46270</v>
      </c>
      <c r="B142" s="1100">
        <f>'09월 조업일지'!B142</f>
        <v>46270</v>
      </c>
      <c r="C142" s="730">
        <f>'09월 조업일지'!G142</f>
        <v>85344</v>
      </c>
      <c r="D142" s="731" t="str">
        <f>'09월 조업일지'!E142</f>
        <v>C</v>
      </c>
      <c r="E142" s="732" t="str">
        <f>'09월 조업일지'!F142</f>
        <v>A</v>
      </c>
      <c r="F142" s="1096" t="str">
        <f>'09월 에너지'!F144</f>
        <v>SHN275(BB)</v>
      </c>
      <c r="G142" s="733">
        <v>8</v>
      </c>
      <c r="H142" s="734">
        <v>16</v>
      </c>
      <c r="I142" s="734">
        <v>50</v>
      </c>
      <c r="J142" s="734">
        <v>14</v>
      </c>
      <c r="K142" s="735">
        <v>37</v>
      </c>
      <c r="L142" s="734">
        <v>15</v>
      </c>
      <c r="M142" s="736">
        <v>13</v>
      </c>
      <c r="N142" s="737">
        <v>414</v>
      </c>
      <c r="O142" s="737"/>
      <c r="P142" s="737">
        <v>1001</v>
      </c>
      <c r="Q142" s="737">
        <v>953</v>
      </c>
      <c r="R142" s="737"/>
      <c r="S142" s="737"/>
      <c r="T142" s="737"/>
      <c r="U142" s="738"/>
      <c r="V142" s="739">
        <v>412</v>
      </c>
      <c r="W142" s="737"/>
      <c r="X142" s="737">
        <v>1000</v>
      </c>
      <c r="Y142" s="737">
        <v>910</v>
      </c>
      <c r="Z142" s="1202"/>
      <c r="AA142" s="740"/>
      <c r="AB142" s="739"/>
      <c r="AC142" s="741"/>
      <c r="AD142" s="741">
        <v>271</v>
      </c>
      <c r="AE142" s="741">
        <v>40</v>
      </c>
      <c r="AF142" s="741"/>
      <c r="AG142" s="741">
        <v>95</v>
      </c>
      <c r="AH142" s="741">
        <v>956</v>
      </c>
      <c r="AI142" s="741">
        <v>294</v>
      </c>
      <c r="AJ142" s="741">
        <v>91</v>
      </c>
      <c r="AK142" s="741"/>
      <c r="AL142" s="741"/>
      <c r="AM142" s="742">
        <v>1696</v>
      </c>
      <c r="AN142" s="743">
        <f t="shared" si="14"/>
        <v>0.62918384171475683</v>
      </c>
      <c r="AO142" s="744">
        <f t="shared" si="15"/>
        <v>0.74843096234309636</v>
      </c>
      <c r="AP142" s="745">
        <f>'09월 에너지'!S144</f>
        <v>143.1</v>
      </c>
    </row>
    <row r="143" spans="1:42" ht="16.5" customHeight="1">
      <c r="A143" s="999">
        <f>'09월 조업일지'!A143</f>
        <v>46270</v>
      </c>
      <c r="B143" s="1100">
        <f>'09월 조업일지'!B143</f>
        <v>46270</v>
      </c>
      <c r="C143" s="730">
        <f>'09월 조업일지'!G143</f>
        <v>85345</v>
      </c>
      <c r="D143" s="731" t="str">
        <f>'09월 조업일지'!E143</f>
        <v>C</v>
      </c>
      <c r="E143" s="732" t="str">
        <f>'09월 조업일지'!F143</f>
        <v>B</v>
      </c>
      <c r="F143" s="1096" t="str">
        <f>'09월 에너지'!F145</f>
        <v>SHN275(BB)</v>
      </c>
      <c r="G143" s="733">
        <v>8</v>
      </c>
      <c r="H143" s="734">
        <v>19</v>
      </c>
      <c r="I143" s="734">
        <v>56</v>
      </c>
      <c r="J143" s="734">
        <v>12</v>
      </c>
      <c r="K143" s="735">
        <v>32</v>
      </c>
      <c r="L143" s="734">
        <v>12</v>
      </c>
      <c r="M143" s="736">
        <v>10</v>
      </c>
      <c r="N143" s="737">
        <v>407</v>
      </c>
      <c r="O143" s="737"/>
      <c r="P143" s="737">
        <v>1000</v>
      </c>
      <c r="Q143" s="737">
        <v>955</v>
      </c>
      <c r="R143" s="737"/>
      <c r="S143" s="737"/>
      <c r="T143" s="737"/>
      <c r="U143" s="738"/>
      <c r="V143" s="739">
        <v>411</v>
      </c>
      <c r="W143" s="737"/>
      <c r="X143" s="737">
        <v>1000</v>
      </c>
      <c r="Y143" s="737">
        <v>902</v>
      </c>
      <c r="Z143" s="1202"/>
      <c r="AA143" s="740"/>
      <c r="AB143" s="739"/>
      <c r="AC143" s="741"/>
      <c r="AD143" s="741">
        <v>272</v>
      </c>
      <c r="AE143" s="741">
        <v>450</v>
      </c>
      <c r="AF143" s="741"/>
      <c r="AG143" s="741">
        <v>95</v>
      </c>
      <c r="AH143" s="741">
        <v>949</v>
      </c>
      <c r="AI143" s="741">
        <v>299</v>
      </c>
      <c r="AJ143" s="741">
        <v>96</v>
      </c>
      <c r="AK143" s="741"/>
      <c r="AL143" s="741"/>
      <c r="AM143" s="742">
        <v>1721</v>
      </c>
      <c r="AN143" s="743">
        <f t="shared" si="14"/>
        <v>0.75305510092744132</v>
      </c>
      <c r="AO143" s="744">
        <f t="shared" si="15"/>
        <v>0.89677856390185162</v>
      </c>
      <c r="AP143" s="745">
        <f>'09월 에너지'!S145</f>
        <v>145.30000000000001</v>
      </c>
    </row>
    <row r="144" spans="1:42" ht="16.5" customHeight="1">
      <c r="A144" s="999">
        <f>'09월 조업일지'!A144</f>
        <v>46270</v>
      </c>
      <c r="B144" s="1100">
        <f>'09월 조업일지'!B144</f>
        <v>46270</v>
      </c>
      <c r="C144" s="730">
        <f>'09월 조업일지'!G144</f>
        <v>85346</v>
      </c>
      <c r="D144" s="731" t="str">
        <f>'09월 조업일지'!E144</f>
        <v>C</v>
      </c>
      <c r="E144" s="732" t="str">
        <f>'09월 조업일지'!F144</f>
        <v>A</v>
      </c>
      <c r="F144" s="1096" t="str">
        <f>'09월 에너지'!F146</f>
        <v>SHN275(BB)</v>
      </c>
      <c r="G144" s="733">
        <v>8</v>
      </c>
      <c r="H144" s="734">
        <v>19</v>
      </c>
      <c r="I144" s="734">
        <v>53</v>
      </c>
      <c r="J144" s="734">
        <v>16</v>
      </c>
      <c r="K144" s="735">
        <v>32</v>
      </c>
      <c r="L144" s="734">
        <v>13</v>
      </c>
      <c r="M144" s="736">
        <v>9</v>
      </c>
      <c r="N144" s="737">
        <v>417</v>
      </c>
      <c r="O144" s="737"/>
      <c r="P144" s="737">
        <v>1000</v>
      </c>
      <c r="Q144" s="737">
        <v>953</v>
      </c>
      <c r="R144" s="737"/>
      <c r="S144" s="737"/>
      <c r="T144" s="737"/>
      <c r="U144" s="738"/>
      <c r="V144" s="739">
        <v>408</v>
      </c>
      <c r="W144" s="737"/>
      <c r="X144" s="737">
        <v>1000</v>
      </c>
      <c r="Y144" s="737">
        <v>903</v>
      </c>
      <c r="Z144" s="1202"/>
      <c r="AA144" s="740"/>
      <c r="AB144" s="739"/>
      <c r="AC144" s="741"/>
      <c r="AD144" s="741">
        <v>271</v>
      </c>
      <c r="AE144" s="741">
        <v>450</v>
      </c>
      <c r="AF144" s="741"/>
      <c r="AG144" s="741">
        <v>95</v>
      </c>
      <c r="AH144" s="741">
        <v>849</v>
      </c>
      <c r="AI144" s="741">
        <v>288</v>
      </c>
      <c r="AJ144" s="741">
        <v>93</v>
      </c>
      <c r="AK144" s="741"/>
      <c r="AL144" s="741"/>
      <c r="AM144" s="742">
        <v>1864</v>
      </c>
      <c r="AN144" s="743">
        <f t="shared" si="14"/>
        <v>0.79353429445172552</v>
      </c>
      <c r="AO144" s="744">
        <f t="shared" si="15"/>
        <v>0.91691065118626958</v>
      </c>
      <c r="AP144" s="745">
        <f>'09월 에너지'!S146</f>
        <v>143.4</v>
      </c>
    </row>
    <row r="145" spans="1:42" ht="16.5" customHeight="1">
      <c r="A145" s="999">
        <f>'09월 조업일지'!A145</f>
        <v>46270</v>
      </c>
      <c r="B145" s="1100">
        <f>'09월 조업일지'!B145</f>
        <v>46270</v>
      </c>
      <c r="C145" s="730">
        <f>'09월 조업일지'!G145</f>
        <v>85347</v>
      </c>
      <c r="D145" s="731" t="str">
        <f>'09월 조업일지'!E145</f>
        <v>C</v>
      </c>
      <c r="E145" s="732" t="str">
        <f>'09월 조업일지'!F145</f>
        <v>B</v>
      </c>
      <c r="F145" s="1096" t="str">
        <f>'09월 에너지'!F147</f>
        <v>SHN275(BB)</v>
      </c>
      <c r="G145" s="733">
        <v>8</v>
      </c>
      <c r="H145" s="734">
        <v>19</v>
      </c>
      <c r="I145" s="734">
        <v>51</v>
      </c>
      <c r="J145" s="734">
        <v>11</v>
      </c>
      <c r="K145" s="735">
        <v>32</v>
      </c>
      <c r="L145" s="734">
        <v>10</v>
      </c>
      <c r="M145" s="736">
        <v>16</v>
      </c>
      <c r="N145" s="737">
        <v>413</v>
      </c>
      <c r="O145" s="737"/>
      <c r="P145" s="737">
        <v>1001</v>
      </c>
      <c r="Q145" s="737">
        <v>951</v>
      </c>
      <c r="R145" s="737"/>
      <c r="S145" s="737"/>
      <c r="T145" s="737"/>
      <c r="U145" s="738"/>
      <c r="V145" s="739">
        <v>410</v>
      </c>
      <c r="W145" s="737"/>
      <c r="X145" s="737">
        <v>1000</v>
      </c>
      <c r="Y145" s="737">
        <v>905</v>
      </c>
      <c r="Z145" s="1202"/>
      <c r="AA145" s="740"/>
      <c r="AB145" s="739"/>
      <c r="AC145" s="741"/>
      <c r="AD145" s="741">
        <v>270</v>
      </c>
      <c r="AE145" s="741">
        <v>450</v>
      </c>
      <c r="AF145" s="741"/>
      <c r="AG145" s="741">
        <v>95</v>
      </c>
      <c r="AH145" s="741">
        <v>857</v>
      </c>
      <c r="AI145" s="741">
        <v>297</v>
      </c>
      <c r="AJ145" s="741">
        <v>88</v>
      </c>
      <c r="AK145" s="741"/>
      <c r="AL145" s="741"/>
      <c r="AM145" s="742">
        <v>1600</v>
      </c>
      <c r="AN145" s="743">
        <f t="shared" si="14"/>
        <v>0.76367776828921152</v>
      </c>
      <c r="AO145" s="744">
        <f t="shared" si="15"/>
        <v>0.84734122353725627</v>
      </c>
      <c r="AP145" s="745">
        <f>'09월 에너지'!S147</f>
        <v>141.19999999999999</v>
      </c>
    </row>
    <row r="146" spans="1:42" ht="16.5" customHeight="1">
      <c r="A146" s="999">
        <f>'09월 조업일지'!A146</f>
        <v>46270</v>
      </c>
      <c r="B146" s="1100">
        <f>'09월 조업일지'!B146</f>
        <v>46270</v>
      </c>
      <c r="C146" s="730">
        <f>'09월 조업일지'!G146</f>
        <v>85348</v>
      </c>
      <c r="D146" s="731" t="str">
        <f>'09월 조업일지'!E146</f>
        <v>A</v>
      </c>
      <c r="E146" s="732" t="str">
        <f>'09월 조업일지'!F146</f>
        <v>A</v>
      </c>
      <c r="F146" s="1096" t="str">
        <f>'09월 에너지'!F148</f>
        <v>SHN275(BB)</v>
      </c>
      <c r="G146" s="733">
        <v>12</v>
      </c>
      <c r="H146" s="734">
        <v>23</v>
      </c>
      <c r="I146" s="734">
        <v>54</v>
      </c>
      <c r="J146" s="734">
        <v>15</v>
      </c>
      <c r="K146" s="735">
        <v>32</v>
      </c>
      <c r="L146" s="734">
        <v>13</v>
      </c>
      <c r="M146" s="736">
        <v>10</v>
      </c>
      <c r="N146" s="737">
        <v>407</v>
      </c>
      <c r="O146" s="737"/>
      <c r="P146" s="737">
        <v>1001</v>
      </c>
      <c r="Q146" s="737">
        <v>953</v>
      </c>
      <c r="R146" s="737"/>
      <c r="S146" s="737"/>
      <c r="T146" s="737">
        <v>0</v>
      </c>
      <c r="U146" s="738"/>
      <c r="V146" s="739">
        <v>409</v>
      </c>
      <c r="W146" s="737"/>
      <c r="X146" s="737">
        <v>1000</v>
      </c>
      <c r="Y146" s="737">
        <v>903</v>
      </c>
      <c r="Z146" s="1202">
        <v>0</v>
      </c>
      <c r="AA146" s="740"/>
      <c r="AB146" s="739">
        <v>0</v>
      </c>
      <c r="AC146" s="741"/>
      <c r="AD146" s="741">
        <v>279</v>
      </c>
      <c r="AE146" s="741">
        <v>450</v>
      </c>
      <c r="AF146" s="741">
        <v>0</v>
      </c>
      <c r="AG146" s="741">
        <v>95</v>
      </c>
      <c r="AH146" s="741">
        <v>847</v>
      </c>
      <c r="AI146" s="741">
        <v>298</v>
      </c>
      <c r="AJ146" s="741">
        <v>89</v>
      </c>
      <c r="AK146" s="741">
        <v>0</v>
      </c>
      <c r="AL146" s="741">
        <v>0</v>
      </c>
      <c r="AM146" s="742">
        <v>2078</v>
      </c>
      <c r="AN146" s="743">
        <f t="shared" si="14"/>
        <v>0.94414491513336196</v>
      </c>
      <c r="AO146" s="744">
        <f t="shared" si="15"/>
        <v>0.94655085174565701</v>
      </c>
      <c r="AP146" s="745">
        <f>'09월 에너지'!S148</f>
        <v>143.9</v>
      </c>
    </row>
    <row r="147" spans="1:42" ht="16.5" customHeight="1">
      <c r="A147" s="999">
        <f>'09월 조업일지'!A147</f>
        <v>46270</v>
      </c>
      <c r="B147" s="1100">
        <f>'09월 조업일지'!B147</f>
        <v>46270</v>
      </c>
      <c r="C147" s="730">
        <f>'09월 조업일지'!G147</f>
        <v>85349</v>
      </c>
      <c r="D147" s="731" t="str">
        <f>'09월 조업일지'!E147</f>
        <v>A</v>
      </c>
      <c r="E147" s="732" t="str">
        <f>'09월 조업일지'!F147</f>
        <v>B</v>
      </c>
      <c r="F147" s="1096" t="str">
        <f>'09월 에너지'!F149</f>
        <v>SHN275(BB)</v>
      </c>
      <c r="G147" s="733">
        <v>12</v>
      </c>
      <c r="H147" s="734">
        <v>21</v>
      </c>
      <c r="I147" s="734">
        <v>52</v>
      </c>
      <c r="J147" s="734">
        <v>13</v>
      </c>
      <c r="K147" s="735">
        <v>30</v>
      </c>
      <c r="L147" s="734">
        <v>10</v>
      </c>
      <c r="M147" s="736">
        <v>11</v>
      </c>
      <c r="N147" s="737">
        <v>414</v>
      </c>
      <c r="O147" s="737"/>
      <c r="P147" s="737">
        <v>1001</v>
      </c>
      <c r="Q147" s="737">
        <v>951</v>
      </c>
      <c r="R147" s="737"/>
      <c r="S147" s="737"/>
      <c r="T147" s="737">
        <v>0</v>
      </c>
      <c r="U147" s="738"/>
      <c r="V147" s="739">
        <v>412</v>
      </c>
      <c r="W147" s="737"/>
      <c r="X147" s="737">
        <v>1016</v>
      </c>
      <c r="Y147" s="737">
        <v>901</v>
      </c>
      <c r="Z147" s="1202">
        <v>0</v>
      </c>
      <c r="AA147" s="740"/>
      <c r="AB147" s="739">
        <v>0</v>
      </c>
      <c r="AC147" s="741"/>
      <c r="AD147" s="741">
        <v>284</v>
      </c>
      <c r="AE147" s="741">
        <v>451</v>
      </c>
      <c r="AF147" s="741">
        <v>0</v>
      </c>
      <c r="AG147" s="741">
        <v>95</v>
      </c>
      <c r="AH147" s="741">
        <v>849</v>
      </c>
      <c r="AI147" s="741">
        <v>286</v>
      </c>
      <c r="AJ147" s="741">
        <v>93</v>
      </c>
      <c r="AK147" s="741">
        <v>0</v>
      </c>
      <c r="AL147" s="741">
        <v>0</v>
      </c>
      <c r="AM147" s="742">
        <v>2571</v>
      </c>
      <c r="AN147" s="743">
        <f t="shared" si="14"/>
        <v>0.89012724879333038</v>
      </c>
      <c r="AO147" s="744">
        <f t="shared" si="15"/>
        <v>0.9021201413427562</v>
      </c>
      <c r="AP147" s="745">
        <f>'09월 에너지'!S149</f>
        <v>144.9</v>
      </c>
    </row>
    <row r="148" spans="1:42" ht="16.5" customHeight="1">
      <c r="A148" s="999">
        <f>'09월 조업일지'!A148</f>
        <v>46270</v>
      </c>
      <c r="B148" s="1100">
        <f>'09월 조업일지'!B148</f>
        <v>46270</v>
      </c>
      <c r="C148" s="730">
        <f>'09월 조업일지'!G148</f>
        <v>85350</v>
      </c>
      <c r="D148" s="731" t="str">
        <f>'09월 조업일지'!E148</f>
        <v>A</v>
      </c>
      <c r="E148" s="732" t="str">
        <f>'09월 조업일지'!F148</f>
        <v>A</v>
      </c>
      <c r="F148" s="1096" t="str">
        <f>'09월 에너지'!F150</f>
        <v>SHN275(BB)</v>
      </c>
      <c r="G148" s="733">
        <v>10</v>
      </c>
      <c r="H148" s="734">
        <v>20</v>
      </c>
      <c r="I148" s="734">
        <v>54</v>
      </c>
      <c r="J148" s="734">
        <v>15</v>
      </c>
      <c r="K148" s="735">
        <v>32</v>
      </c>
      <c r="L148" s="734">
        <v>14</v>
      </c>
      <c r="M148" s="736">
        <v>9</v>
      </c>
      <c r="N148" s="737">
        <v>413</v>
      </c>
      <c r="O148" s="737"/>
      <c r="P148" s="737">
        <v>1014</v>
      </c>
      <c r="Q148" s="737">
        <v>954</v>
      </c>
      <c r="R148" s="737"/>
      <c r="S148" s="737"/>
      <c r="T148" s="737">
        <v>0</v>
      </c>
      <c r="U148" s="738"/>
      <c r="V148" s="739">
        <v>405</v>
      </c>
      <c r="W148" s="737"/>
      <c r="X148" s="737">
        <v>1015</v>
      </c>
      <c r="Y148" s="737">
        <v>904</v>
      </c>
      <c r="Z148" s="1202">
        <v>0</v>
      </c>
      <c r="AA148" s="740"/>
      <c r="AB148" s="739">
        <v>0</v>
      </c>
      <c r="AC148" s="741"/>
      <c r="AD148" s="741">
        <v>282</v>
      </c>
      <c r="AE148" s="741">
        <v>450</v>
      </c>
      <c r="AF148" s="741">
        <v>0</v>
      </c>
      <c r="AG148" s="741">
        <v>94</v>
      </c>
      <c r="AH148" s="741">
        <v>852</v>
      </c>
      <c r="AI148" s="741">
        <v>287</v>
      </c>
      <c r="AJ148" s="741">
        <v>90</v>
      </c>
      <c r="AK148" s="741">
        <v>0</v>
      </c>
      <c r="AL148" s="741">
        <v>0</v>
      </c>
      <c r="AM148" s="742">
        <v>1600</v>
      </c>
      <c r="AN148" s="743">
        <f t="shared" si="14"/>
        <v>0.83194869552543349</v>
      </c>
      <c r="AO148" s="744">
        <f t="shared" si="15"/>
        <v>0.93314889336016094</v>
      </c>
      <c r="AP148" s="745">
        <f>'09월 에너지'!S150</f>
        <v>142.69999999999999</v>
      </c>
    </row>
    <row r="149" spans="1:42" ht="16.5" customHeight="1">
      <c r="A149" s="999">
        <f>'09월 조업일지'!A149</f>
        <v>46270</v>
      </c>
      <c r="B149" s="1100">
        <f>'09월 조업일지'!B149</f>
        <v>46270</v>
      </c>
      <c r="C149" s="730">
        <f>'09월 조업일지'!G149</f>
        <v>85351</v>
      </c>
      <c r="D149" s="731" t="str">
        <f>'09월 조업일지'!E149</f>
        <v>A</v>
      </c>
      <c r="E149" s="732" t="str">
        <f>'09월 조업일지'!F149</f>
        <v>B</v>
      </c>
      <c r="F149" s="1096" t="str">
        <f>'09월 에너지'!F151</f>
        <v>SHN275(BB)</v>
      </c>
      <c r="G149" s="733">
        <v>13</v>
      </c>
      <c r="H149" s="734">
        <v>21</v>
      </c>
      <c r="I149" s="734">
        <v>56</v>
      </c>
      <c r="J149" s="734">
        <v>13</v>
      </c>
      <c r="K149" s="735">
        <v>26</v>
      </c>
      <c r="L149" s="734">
        <v>11</v>
      </c>
      <c r="M149" s="736">
        <v>9</v>
      </c>
      <c r="N149" s="737">
        <v>411</v>
      </c>
      <c r="O149" s="737"/>
      <c r="P149" s="737">
        <v>1014</v>
      </c>
      <c r="Q149" s="737">
        <v>952</v>
      </c>
      <c r="R149" s="737"/>
      <c r="S149" s="737"/>
      <c r="T149" s="737">
        <v>0</v>
      </c>
      <c r="U149" s="738"/>
      <c r="V149" s="739">
        <v>412</v>
      </c>
      <c r="W149" s="737"/>
      <c r="X149" s="737">
        <v>1012</v>
      </c>
      <c r="Y149" s="737">
        <v>900</v>
      </c>
      <c r="Z149" s="1202">
        <v>0</v>
      </c>
      <c r="AA149" s="740"/>
      <c r="AB149" s="739">
        <v>0</v>
      </c>
      <c r="AC149" s="741"/>
      <c r="AD149" s="741">
        <v>283</v>
      </c>
      <c r="AE149" s="741">
        <v>450</v>
      </c>
      <c r="AF149" s="741">
        <v>0</v>
      </c>
      <c r="AG149" s="741">
        <v>95</v>
      </c>
      <c r="AH149" s="741">
        <v>852</v>
      </c>
      <c r="AI149" s="741">
        <v>291</v>
      </c>
      <c r="AJ149" s="741">
        <v>91</v>
      </c>
      <c r="AK149" s="741">
        <v>0</v>
      </c>
      <c r="AL149" s="741">
        <v>0</v>
      </c>
      <c r="AM149" s="742">
        <v>2588</v>
      </c>
      <c r="AN149" s="743">
        <f t="shared" si="14"/>
        <v>0.88175119202427388</v>
      </c>
      <c r="AO149" s="744">
        <f t="shared" si="15"/>
        <v>0.99887659289067743</v>
      </c>
      <c r="AP149" s="745">
        <f>'09월 에너지'!S151</f>
        <v>145.30000000000001</v>
      </c>
    </row>
    <row r="150" spans="1:42" ht="16.5" customHeight="1">
      <c r="A150" s="999">
        <f>'09월 조업일지'!A150</f>
        <v>46270</v>
      </c>
      <c r="B150" s="1100">
        <f>'09월 조업일지'!B150</f>
        <v>46270</v>
      </c>
      <c r="C150" s="730">
        <f>'09월 조업일지'!G150</f>
        <v>85352</v>
      </c>
      <c r="D150" s="731" t="str">
        <f>'09월 조업일지'!E150</f>
        <v>A</v>
      </c>
      <c r="E150" s="732" t="str">
        <f>'09월 조업일지'!F150</f>
        <v>A</v>
      </c>
      <c r="F150" s="1096" t="str">
        <f>'09월 에너지'!F152</f>
        <v>SHN275(BB)</v>
      </c>
      <c r="G150" s="733">
        <v>9</v>
      </c>
      <c r="H150" s="734">
        <v>27</v>
      </c>
      <c r="I150" s="734">
        <v>54</v>
      </c>
      <c r="J150" s="734">
        <v>13</v>
      </c>
      <c r="K150" s="735">
        <v>29</v>
      </c>
      <c r="L150" s="734">
        <v>15</v>
      </c>
      <c r="M150" s="736">
        <v>10</v>
      </c>
      <c r="N150" s="737">
        <v>404</v>
      </c>
      <c r="O150" s="737"/>
      <c r="P150" s="737">
        <v>1015</v>
      </c>
      <c r="Q150" s="737">
        <v>951</v>
      </c>
      <c r="R150" s="737"/>
      <c r="S150" s="737"/>
      <c r="T150" s="737">
        <v>0</v>
      </c>
      <c r="U150" s="738"/>
      <c r="V150" s="739">
        <v>614</v>
      </c>
      <c r="W150" s="737"/>
      <c r="X150" s="737">
        <v>1014</v>
      </c>
      <c r="Y150" s="737">
        <v>903</v>
      </c>
      <c r="Z150" s="1202">
        <v>0</v>
      </c>
      <c r="AA150" s="740"/>
      <c r="AB150" s="739">
        <v>0</v>
      </c>
      <c r="AC150" s="741"/>
      <c r="AD150" s="741">
        <v>280</v>
      </c>
      <c r="AE150" s="741">
        <v>450</v>
      </c>
      <c r="AF150" s="741">
        <v>0</v>
      </c>
      <c r="AG150" s="741">
        <v>95</v>
      </c>
      <c r="AH150" s="741">
        <v>858</v>
      </c>
      <c r="AI150" s="741">
        <v>397</v>
      </c>
      <c r="AJ150" s="741">
        <v>89</v>
      </c>
      <c r="AK150" s="741">
        <v>0</v>
      </c>
      <c r="AL150" s="741">
        <v>0</v>
      </c>
      <c r="AM150" s="742">
        <v>2364</v>
      </c>
      <c r="AN150" s="743">
        <f t="shared" si="14"/>
        <v>0.87055926837847342</v>
      </c>
      <c r="AO150" s="744">
        <f t="shared" si="15"/>
        <v>0.89285714285714302</v>
      </c>
      <c r="AP150" s="745">
        <f>'09월 에너지'!S152</f>
        <v>137.5</v>
      </c>
    </row>
    <row r="151" spans="1:42" ht="16.5" customHeight="1">
      <c r="A151" s="999">
        <f>'09월 조업일지'!A151</f>
        <v>46270</v>
      </c>
      <c r="B151" s="1100">
        <f>'09월 조업일지'!B151</f>
        <v>46270</v>
      </c>
      <c r="C151" s="730">
        <f>'09월 조업일지'!G151</f>
        <v>85353</v>
      </c>
      <c r="D151" s="731" t="str">
        <f>'09월 조업일지'!E151</f>
        <v>A</v>
      </c>
      <c r="E151" s="732" t="str">
        <f>'09월 조업일지'!F151</f>
        <v>B</v>
      </c>
      <c r="F151" s="1231" t="str">
        <f>'09월 에너지'!F153</f>
        <v>SS400-02</v>
      </c>
      <c r="G151" s="733">
        <v>12</v>
      </c>
      <c r="H151" s="734">
        <v>24</v>
      </c>
      <c r="I151" s="734">
        <v>54</v>
      </c>
      <c r="J151" s="734">
        <v>15</v>
      </c>
      <c r="K151" s="735">
        <v>28</v>
      </c>
      <c r="L151" s="734">
        <v>12</v>
      </c>
      <c r="M151" s="736">
        <v>10</v>
      </c>
      <c r="N151" s="737">
        <v>409</v>
      </c>
      <c r="O151" s="737"/>
      <c r="P151" s="737">
        <v>1013</v>
      </c>
      <c r="Q151" s="737">
        <v>951</v>
      </c>
      <c r="R151" s="737"/>
      <c r="S151" s="737"/>
      <c r="T151" s="737">
        <v>70</v>
      </c>
      <c r="U151" s="738"/>
      <c r="V151" s="739">
        <v>408</v>
      </c>
      <c r="W151" s="737"/>
      <c r="X151" s="737">
        <v>1015</v>
      </c>
      <c r="Y151" s="737">
        <v>904</v>
      </c>
      <c r="Z151" s="1202">
        <v>74</v>
      </c>
      <c r="AA151" s="740"/>
      <c r="AB151" s="739">
        <v>0</v>
      </c>
      <c r="AC151" s="741"/>
      <c r="AD151" s="741">
        <v>281</v>
      </c>
      <c r="AE151" s="741">
        <v>330</v>
      </c>
      <c r="AF151" s="741">
        <v>0</v>
      </c>
      <c r="AG151" s="741">
        <v>110</v>
      </c>
      <c r="AH151" s="741">
        <v>798</v>
      </c>
      <c r="AI151" s="741">
        <v>326</v>
      </c>
      <c r="AJ151" s="741">
        <v>79</v>
      </c>
      <c r="AK151" s="741">
        <v>0</v>
      </c>
      <c r="AL151" s="741">
        <v>136</v>
      </c>
      <c r="AM151" s="742">
        <v>2261</v>
      </c>
      <c r="AN151" s="743">
        <f t="shared" si="14"/>
        <v>0.94233937397034595</v>
      </c>
      <c r="AO151" s="744">
        <f t="shared" si="15"/>
        <v>0.99838882921589711</v>
      </c>
      <c r="AP151" s="745">
        <f>'09월 에너지'!S153</f>
        <v>143</v>
      </c>
    </row>
    <row r="152" spans="1:42" ht="16.5" customHeight="1">
      <c r="A152" s="999">
        <f>'09월 조업일지'!A152</f>
        <v>46270</v>
      </c>
      <c r="B152" s="1100">
        <f>'09월 조업일지'!B152</f>
        <v>46270</v>
      </c>
      <c r="C152" s="730">
        <f>'09월 조업일지'!G152</f>
        <v>85354</v>
      </c>
      <c r="D152" s="731" t="str">
        <f>'09월 조업일지'!E152</f>
        <v>A</v>
      </c>
      <c r="E152" s="732" t="str">
        <f>'09월 조업일지'!F152</f>
        <v>A</v>
      </c>
      <c r="F152" s="1096" t="str">
        <f>'09월 에너지'!F154</f>
        <v>SS400-02</v>
      </c>
      <c r="G152" s="733">
        <v>11</v>
      </c>
      <c r="H152" s="734">
        <v>23</v>
      </c>
      <c r="I152" s="734">
        <v>54</v>
      </c>
      <c r="J152" s="734">
        <v>18</v>
      </c>
      <c r="K152" s="735">
        <v>32</v>
      </c>
      <c r="L152" s="734">
        <v>14</v>
      </c>
      <c r="M152" s="736">
        <v>9</v>
      </c>
      <c r="N152" s="737">
        <v>410</v>
      </c>
      <c r="O152" s="737"/>
      <c r="P152" s="737">
        <v>1012</v>
      </c>
      <c r="Q152" s="737">
        <v>952</v>
      </c>
      <c r="R152" s="737"/>
      <c r="S152" s="737"/>
      <c r="T152" s="737">
        <v>65</v>
      </c>
      <c r="U152" s="738"/>
      <c r="V152" s="739">
        <v>613</v>
      </c>
      <c r="W152" s="737"/>
      <c r="X152" s="737">
        <v>1009</v>
      </c>
      <c r="Y152" s="737">
        <v>906</v>
      </c>
      <c r="Z152" s="1202">
        <v>67</v>
      </c>
      <c r="AA152" s="740"/>
      <c r="AB152" s="739">
        <v>0</v>
      </c>
      <c r="AC152" s="741"/>
      <c r="AD152" s="741">
        <v>279</v>
      </c>
      <c r="AE152" s="741">
        <v>332</v>
      </c>
      <c r="AF152" s="741">
        <v>0</v>
      </c>
      <c r="AG152" s="741">
        <v>110</v>
      </c>
      <c r="AH152" s="741">
        <v>800</v>
      </c>
      <c r="AI152" s="741">
        <v>338</v>
      </c>
      <c r="AJ152" s="741">
        <v>81</v>
      </c>
      <c r="AK152" s="741">
        <v>0</v>
      </c>
      <c r="AL152" s="741">
        <v>135</v>
      </c>
      <c r="AM152" s="742">
        <v>2390</v>
      </c>
      <c r="AN152" s="743">
        <f t="shared" si="14"/>
        <v>0.87319946452476571</v>
      </c>
      <c r="AO152" s="744">
        <f t="shared" si="15"/>
        <v>0.98753571428571429</v>
      </c>
      <c r="AP152" s="745">
        <f>'09월 에너지'!S154</f>
        <v>141.80000000000001</v>
      </c>
    </row>
    <row r="153" spans="1:42" ht="16.5" customHeight="1">
      <c r="A153" s="999">
        <f>'09월 조업일지'!A153</f>
        <v>46271</v>
      </c>
      <c r="B153" s="1100">
        <f>'09월 조업일지'!B153</f>
        <v>46270</v>
      </c>
      <c r="C153" s="730">
        <f>'09월 조업일지'!G153</f>
        <v>85355</v>
      </c>
      <c r="D153" s="731" t="str">
        <f>'09월 조업일지'!E153</f>
        <v>A</v>
      </c>
      <c r="E153" s="732" t="str">
        <f>'09월 조업일지'!F153</f>
        <v>B</v>
      </c>
      <c r="F153" s="1096" t="str">
        <f>'09월 에너지'!F155</f>
        <v>SS400-02</v>
      </c>
      <c r="G153" s="733">
        <v>11</v>
      </c>
      <c r="H153" s="734">
        <v>25</v>
      </c>
      <c r="I153" s="734">
        <v>55</v>
      </c>
      <c r="J153" s="734">
        <v>17</v>
      </c>
      <c r="K153" s="735">
        <v>22</v>
      </c>
      <c r="L153" s="734">
        <v>16</v>
      </c>
      <c r="M153" s="736">
        <v>9</v>
      </c>
      <c r="N153" s="737">
        <v>415</v>
      </c>
      <c r="O153" s="737"/>
      <c r="P153" s="737">
        <v>1016</v>
      </c>
      <c r="Q153" s="737">
        <v>951</v>
      </c>
      <c r="R153" s="737"/>
      <c r="S153" s="737"/>
      <c r="T153" s="737">
        <v>67</v>
      </c>
      <c r="U153" s="738"/>
      <c r="V153" s="739">
        <v>415</v>
      </c>
      <c r="W153" s="737"/>
      <c r="X153" s="737">
        <v>1012</v>
      </c>
      <c r="Y153" s="737">
        <v>903</v>
      </c>
      <c r="Z153" s="1202">
        <v>61</v>
      </c>
      <c r="AA153" s="740"/>
      <c r="AB153" s="739">
        <v>0</v>
      </c>
      <c r="AC153" s="741"/>
      <c r="AD153" s="741">
        <v>279</v>
      </c>
      <c r="AE153" s="741">
        <v>332</v>
      </c>
      <c r="AF153" s="741">
        <v>0</v>
      </c>
      <c r="AG153" s="741">
        <v>110</v>
      </c>
      <c r="AH153" s="741">
        <v>801</v>
      </c>
      <c r="AI153" s="741">
        <v>334</v>
      </c>
      <c r="AJ153" s="741">
        <v>77</v>
      </c>
      <c r="AK153" s="741">
        <v>0</v>
      </c>
      <c r="AL153" s="741">
        <v>141</v>
      </c>
      <c r="AM153" s="742">
        <v>2237</v>
      </c>
      <c r="AN153" s="743">
        <f t="shared" si="14"/>
        <v>0.96047484149467155</v>
      </c>
      <c r="AO153" s="744">
        <f t="shared" si="15"/>
        <v>1.015873015873016</v>
      </c>
      <c r="AP153" s="745">
        <f>'09월 에너지'!S155</f>
        <v>142.4</v>
      </c>
    </row>
    <row r="154" spans="1:42" ht="16.5" customHeight="1">
      <c r="A154" s="999">
        <f>'09월 조업일지'!A154</f>
        <v>46271</v>
      </c>
      <c r="B154" s="1100">
        <f>'09월 조업일지'!B154</f>
        <v>46270</v>
      </c>
      <c r="C154" s="730">
        <f>'09월 조업일지'!G154</f>
        <v>85356</v>
      </c>
      <c r="D154" s="731" t="str">
        <f>'09월 조업일지'!E154</f>
        <v>A</v>
      </c>
      <c r="E154" s="732" t="str">
        <f>'09월 조업일지'!F154</f>
        <v>A</v>
      </c>
      <c r="F154" s="1096" t="str">
        <f>'09월 에너지'!F156</f>
        <v>SS400-02</v>
      </c>
      <c r="G154" s="733">
        <v>10</v>
      </c>
      <c r="H154" s="734">
        <v>24</v>
      </c>
      <c r="I154" s="734">
        <v>55</v>
      </c>
      <c r="J154" s="734">
        <v>20</v>
      </c>
      <c r="K154" s="735">
        <v>33</v>
      </c>
      <c r="L154" s="734">
        <v>15</v>
      </c>
      <c r="M154" s="736">
        <v>9</v>
      </c>
      <c r="N154" s="737">
        <v>406</v>
      </c>
      <c r="O154" s="737"/>
      <c r="P154" s="737">
        <v>1009</v>
      </c>
      <c r="Q154" s="737">
        <v>951</v>
      </c>
      <c r="R154" s="737"/>
      <c r="S154" s="737"/>
      <c r="T154" s="737">
        <v>68</v>
      </c>
      <c r="U154" s="738"/>
      <c r="V154" s="739">
        <v>607</v>
      </c>
      <c r="W154" s="737"/>
      <c r="X154" s="737">
        <v>1009</v>
      </c>
      <c r="Y154" s="737">
        <v>903</v>
      </c>
      <c r="Z154" s="1202">
        <v>60</v>
      </c>
      <c r="AA154" s="740"/>
      <c r="AB154" s="739">
        <v>0</v>
      </c>
      <c r="AC154" s="741"/>
      <c r="AD154" s="741">
        <v>278</v>
      </c>
      <c r="AE154" s="741">
        <v>331</v>
      </c>
      <c r="AF154" s="741">
        <v>0</v>
      </c>
      <c r="AG154" s="741">
        <v>110</v>
      </c>
      <c r="AH154" s="741">
        <v>809</v>
      </c>
      <c r="AI154" s="741">
        <v>330</v>
      </c>
      <c r="AJ154" s="741">
        <v>85</v>
      </c>
      <c r="AK154" s="741">
        <v>0</v>
      </c>
      <c r="AL154" s="741">
        <v>125</v>
      </c>
      <c r="AM154" s="742">
        <v>1597</v>
      </c>
      <c r="AN154" s="743">
        <f t="shared" si="14"/>
        <v>0.93371289141927605</v>
      </c>
      <c r="AO154" s="744">
        <f t="shared" si="15"/>
        <v>1.0135970333745365</v>
      </c>
      <c r="AP154" s="745">
        <f>'09월 에너지'!S156</f>
        <v>143.5</v>
      </c>
    </row>
    <row r="155" spans="1:42" ht="16.5" customHeight="1">
      <c r="A155" s="999">
        <f>'09월 조업일지'!A155</f>
        <v>46271</v>
      </c>
      <c r="B155" s="1100">
        <f>'09월 조업일지'!B155</f>
        <v>46270</v>
      </c>
      <c r="C155" s="730">
        <f>'09월 조업일지'!G155</f>
        <v>85357</v>
      </c>
      <c r="D155" s="731" t="str">
        <f>'09월 조업일지'!E155</f>
        <v>A</v>
      </c>
      <c r="E155" s="732" t="str">
        <f>'09월 조업일지'!F155</f>
        <v>B</v>
      </c>
      <c r="F155" s="1096" t="str">
        <f>'09월 에너지'!F157</f>
        <v>SS400-02</v>
      </c>
      <c r="G155" s="733">
        <v>12</v>
      </c>
      <c r="H155" s="734">
        <v>24</v>
      </c>
      <c r="I155" s="734">
        <v>55</v>
      </c>
      <c r="J155" s="734">
        <v>18</v>
      </c>
      <c r="K155" s="735">
        <v>38</v>
      </c>
      <c r="L155" s="734">
        <v>17</v>
      </c>
      <c r="M155" s="736">
        <v>9</v>
      </c>
      <c r="N155" s="737">
        <v>412</v>
      </c>
      <c r="O155" s="737"/>
      <c r="P155" s="737">
        <v>1012</v>
      </c>
      <c r="Q155" s="737">
        <v>951</v>
      </c>
      <c r="R155" s="737"/>
      <c r="S155" s="737"/>
      <c r="T155" s="737">
        <v>66</v>
      </c>
      <c r="U155" s="738"/>
      <c r="V155" s="739">
        <v>418</v>
      </c>
      <c r="W155" s="737"/>
      <c r="X155" s="737">
        <v>1016</v>
      </c>
      <c r="Y155" s="737">
        <v>900</v>
      </c>
      <c r="Z155" s="1202">
        <v>66</v>
      </c>
      <c r="AA155" s="740"/>
      <c r="AB155" s="739">
        <v>0</v>
      </c>
      <c r="AC155" s="741"/>
      <c r="AD155" s="741">
        <v>283</v>
      </c>
      <c r="AE155" s="741">
        <v>331</v>
      </c>
      <c r="AF155" s="741">
        <v>0</v>
      </c>
      <c r="AG155" s="741">
        <v>110</v>
      </c>
      <c r="AH155" s="741">
        <v>801</v>
      </c>
      <c r="AI155" s="741">
        <v>323</v>
      </c>
      <c r="AJ155" s="741">
        <v>77</v>
      </c>
      <c r="AK155" s="741">
        <v>0</v>
      </c>
      <c r="AL155" s="741">
        <v>135</v>
      </c>
      <c r="AM155" s="742">
        <v>1522</v>
      </c>
      <c r="AN155" s="743">
        <f t="shared" si="14"/>
        <v>0.95231788079470203</v>
      </c>
      <c r="AO155" s="744">
        <f t="shared" si="15"/>
        <v>1.0258605314785092</v>
      </c>
      <c r="AP155" s="745">
        <f>'09월 에너지'!S157</f>
        <v>143.80000000000001</v>
      </c>
    </row>
    <row r="156" spans="1:42" ht="16.5" customHeight="1">
      <c r="A156" s="999">
        <f>'09월 조업일지'!A156</f>
        <v>46271</v>
      </c>
      <c r="B156" s="1100">
        <f>'09월 조업일지'!B156</f>
        <v>46270</v>
      </c>
      <c r="C156" s="730">
        <f>'09월 조업일지'!G156</f>
        <v>85358</v>
      </c>
      <c r="D156" s="731" t="str">
        <f>'09월 조업일지'!E156</f>
        <v>A</v>
      </c>
      <c r="E156" s="732" t="str">
        <f>'09월 조업일지'!F156</f>
        <v>A</v>
      </c>
      <c r="F156" s="1096" t="str">
        <f>'09월 에너지'!F158</f>
        <v>SS400-02</v>
      </c>
      <c r="G156" s="733">
        <v>8</v>
      </c>
      <c r="H156" s="734">
        <v>23</v>
      </c>
      <c r="I156" s="734">
        <v>52</v>
      </c>
      <c r="J156" s="734">
        <v>18</v>
      </c>
      <c r="K156" s="735">
        <v>39</v>
      </c>
      <c r="L156" s="734">
        <v>17</v>
      </c>
      <c r="M156" s="736">
        <v>12</v>
      </c>
      <c r="N156" s="737">
        <v>418</v>
      </c>
      <c r="O156" s="737"/>
      <c r="P156" s="737">
        <v>1009</v>
      </c>
      <c r="Q156" s="737">
        <v>951</v>
      </c>
      <c r="R156" s="737"/>
      <c r="S156" s="737"/>
      <c r="T156" s="737">
        <v>68</v>
      </c>
      <c r="U156" s="738"/>
      <c r="V156" s="739">
        <v>416</v>
      </c>
      <c r="W156" s="737"/>
      <c r="X156" s="737">
        <v>1009</v>
      </c>
      <c r="Y156" s="737">
        <v>903</v>
      </c>
      <c r="Z156" s="1202">
        <v>60</v>
      </c>
      <c r="AA156" s="740"/>
      <c r="AB156" s="739"/>
      <c r="AC156" s="741"/>
      <c r="AD156" s="741">
        <v>278</v>
      </c>
      <c r="AE156" s="741">
        <v>331</v>
      </c>
      <c r="AF156" s="741"/>
      <c r="AG156" s="741">
        <v>110</v>
      </c>
      <c r="AH156" s="741">
        <v>798</v>
      </c>
      <c r="AI156" s="741">
        <v>324</v>
      </c>
      <c r="AJ156" s="741">
        <v>76</v>
      </c>
      <c r="AK156" s="741"/>
      <c r="AL156" s="741">
        <v>133</v>
      </c>
      <c r="AM156" s="742">
        <v>1042</v>
      </c>
      <c r="AN156" s="743">
        <f t="shared" si="14"/>
        <v>0.90998070030328104</v>
      </c>
      <c r="AO156" s="744">
        <f t="shared" si="15"/>
        <v>0.95050125313283229</v>
      </c>
      <c r="AP156" s="745">
        <f>'09월 에너지'!S158</f>
        <v>143.5</v>
      </c>
    </row>
    <row r="157" spans="1:42" ht="16.5" customHeight="1">
      <c r="A157" s="999">
        <f>'09월 조업일지'!A157</f>
        <v>46271</v>
      </c>
      <c r="B157" s="1100">
        <f>'09월 조업일지'!B157</f>
        <v>46271</v>
      </c>
      <c r="C157" s="730">
        <f>'09월 조업일지'!G157</f>
        <v>85359</v>
      </c>
      <c r="D157" s="731" t="str">
        <f>'09월 조업일지'!E157</f>
        <v>B</v>
      </c>
      <c r="E157" s="732" t="str">
        <f>'09월 조업일지'!F157</f>
        <v>B</v>
      </c>
      <c r="F157" s="1096" t="str">
        <f>'09월 에너지'!F159</f>
        <v>SS400-02</v>
      </c>
      <c r="G157" s="733">
        <v>8</v>
      </c>
      <c r="H157" s="734">
        <v>19</v>
      </c>
      <c r="I157" s="734">
        <v>49</v>
      </c>
      <c r="J157" s="734">
        <v>16</v>
      </c>
      <c r="K157" s="735">
        <v>32</v>
      </c>
      <c r="L157" s="734">
        <v>15</v>
      </c>
      <c r="M157" s="736">
        <v>12</v>
      </c>
      <c r="N157" s="737">
        <v>410</v>
      </c>
      <c r="O157" s="737"/>
      <c r="P157" s="737">
        <v>1012</v>
      </c>
      <c r="Q157" s="737">
        <v>951</v>
      </c>
      <c r="R157" s="737"/>
      <c r="S157" s="737"/>
      <c r="T157" s="737">
        <v>66</v>
      </c>
      <c r="U157" s="738"/>
      <c r="V157" s="739">
        <v>412</v>
      </c>
      <c r="W157" s="737"/>
      <c r="X157" s="737">
        <v>1016</v>
      </c>
      <c r="Y157" s="737">
        <v>900</v>
      </c>
      <c r="Z157" s="1202">
        <v>66</v>
      </c>
      <c r="AA157" s="740"/>
      <c r="AB157" s="739"/>
      <c r="AC157" s="741"/>
      <c r="AD157" s="741">
        <v>284</v>
      </c>
      <c r="AE157" s="741">
        <v>331</v>
      </c>
      <c r="AF157" s="741"/>
      <c r="AG157" s="741">
        <v>110</v>
      </c>
      <c r="AH157" s="741">
        <v>802</v>
      </c>
      <c r="AI157" s="741">
        <v>328</v>
      </c>
      <c r="AJ157" s="741">
        <v>78</v>
      </c>
      <c r="AK157" s="741"/>
      <c r="AL157" s="741">
        <v>135</v>
      </c>
      <c r="AM157" s="742">
        <v>1014</v>
      </c>
      <c r="AN157" s="743">
        <f t="shared" si="14"/>
        <v>0.74848484848484853</v>
      </c>
      <c r="AO157" s="744">
        <f t="shared" si="15"/>
        <v>0.87392233701460642</v>
      </c>
      <c r="AP157" s="745">
        <f>'09월 에너지'!S159</f>
        <v>144.30000000000001</v>
      </c>
    </row>
    <row r="158" spans="1:42" ht="16.5" customHeight="1">
      <c r="A158" s="999">
        <f>'09월 조업일지'!A158</f>
        <v>46271</v>
      </c>
      <c r="B158" s="1100">
        <f>'09월 조업일지'!B158</f>
        <v>46271</v>
      </c>
      <c r="C158" s="730">
        <f>'09월 조업일지'!G158</f>
        <v>85360</v>
      </c>
      <c r="D158" s="731" t="str">
        <f>'09월 조업일지'!E158</f>
        <v>B</v>
      </c>
      <c r="E158" s="732" t="str">
        <f>'09월 조업일지'!F158</f>
        <v>A</v>
      </c>
      <c r="F158" s="1096" t="str">
        <f>'09월 에너지'!F160</f>
        <v>SS400-02</v>
      </c>
      <c r="G158" s="733">
        <v>7</v>
      </c>
      <c r="H158" s="734">
        <v>21</v>
      </c>
      <c r="I158" s="734">
        <v>50</v>
      </c>
      <c r="J158" s="734">
        <v>17</v>
      </c>
      <c r="K158" s="735">
        <v>370</v>
      </c>
      <c r="L158" s="734">
        <v>16</v>
      </c>
      <c r="M158" s="736">
        <v>9</v>
      </c>
      <c r="N158" s="737">
        <v>407</v>
      </c>
      <c r="O158" s="737"/>
      <c r="P158" s="737">
        <v>1013</v>
      </c>
      <c r="Q158" s="737">
        <v>950</v>
      </c>
      <c r="R158" s="737"/>
      <c r="S158" s="737"/>
      <c r="T158" s="737">
        <v>70</v>
      </c>
      <c r="U158" s="738"/>
      <c r="V158" s="739">
        <v>413</v>
      </c>
      <c r="W158" s="737"/>
      <c r="X158" s="737">
        <v>1010</v>
      </c>
      <c r="Y158" s="737">
        <v>903</v>
      </c>
      <c r="Z158" s="1202">
        <v>65</v>
      </c>
      <c r="AA158" s="740"/>
      <c r="AB158" s="739"/>
      <c r="AC158" s="741"/>
      <c r="AD158" s="741">
        <v>285</v>
      </c>
      <c r="AE158" s="741">
        <v>331</v>
      </c>
      <c r="AF158" s="741"/>
      <c r="AG158" s="741">
        <v>110</v>
      </c>
      <c r="AH158" s="741">
        <v>799</v>
      </c>
      <c r="AI158" s="741">
        <v>330</v>
      </c>
      <c r="AJ158" s="741">
        <v>85</v>
      </c>
      <c r="AK158" s="741"/>
      <c r="AL158" s="741">
        <v>119</v>
      </c>
      <c r="AM158" s="742">
        <v>1110</v>
      </c>
      <c r="AN158" s="743">
        <f t="shared" si="14"/>
        <v>0.80547162106982428</v>
      </c>
      <c r="AO158" s="744">
        <f t="shared" si="15"/>
        <v>0.88172715894868592</v>
      </c>
      <c r="AP158" s="745">
        <f>'09월 에너지'!S160</f>
        <v>140.9</v>
      </c>
    </row>
    <row r="159" spans="1:42" ht="16.5" customHeight="1">
      <c r="A159" s="999">
        <f>'09월 조업일지'!A159</f>
        <v>46271</v>
      </c>
      <c r="B159" s="1100">
        <f>'09월 조업일지'!B159</f>
        <v>46271</v>
      </c>
      <c r="C159" s="730">
        <f>'09월 조업일지'!G159</f>
        <v>85361</v>
      </c>
      <c r="D159" s="731" t="str">
        <f>'09월 조업일지'!E159</f>
        <v>B</v>
      </c>
      <c r="E159" s="732" t="str">
        <f>'09월 조업일지'!F159</f>
        <v>B</v>
      </c>
      <c r="F159" s="1096" t="str">
        <f>'09월 에너지'!F161</f>
        <v>SS400-02</v>
      </c>
      <c r="G159" s="733">
        <v>12</v>
      </c>
      <c r="H159" s="734">
        <v>22</v>
      </c>
      <c r="I159" s="734">
        <v>80</v>
      </c>
      <c r="J159" s="734">
        <v>19</v>
      </c>
      <c r="K159" s="735">
        <v>28</v>
      </c>
      <c r="L159" s="734">
        <v>14</v>
      </c>
      <c r="M159" s="736">
        <v>7</v>
      </c>
      <c r="N159" s="737">
        <v>404</v>
      </c>
      <c r="O159" s="737"/>
      <c r="P159" s="737">
        <v>1014</v>
      </c>
      <c r="Q159" s="737">
        <v>952</v>
      </c>
      <c r="R159" s="737"/>
      <c r="S159" s="737"/>
      <c r="T159" s="737">
        <v>66</v>
      </c>
      <c r="U159" s="738"/>
      <c r="V159" s="739">
        <v>404</v>
      </c>
      <c r="W159" s="737"/>
      <c r="X159" s="737">
        <v>1015</v>
      </c>
      <c r="Y159" s="737">
        <v>906</v>
      </c>
      <c r="Z159" s="1202">
        <v>63</v>
      </c>
      <c r="AA159" s="740"/>
      <c r="AB159" s="739"/>
      <c r="AC159" s="741"/>
      <c r="AD159" s="741">
        <v>283</v>
      </c>
      <c r="AE159" s="741">
        <v>330</v>
      </c>
      <c r="AF159" s="741"/>
      <c r="AG159" s="741">
        <v>110</v>
      </c>
      <c r="AH159" s="741">
        <v>803</v>
      </c>
      <c r="AI159" s="741">
        <v>321</v>
      </c>
      <c r="AJ159" s="741">
        <v>79</v>
      </c>
      <c r="AK159" s="741"/>
      <c r="AL159" s="741">
        <v>138</v>
      </c>
      <c r="AM159" s="742">
        <v>1738</v>
      </c>
      <c r="AN159" s="743">
        <f t="shared" si="14"/>
        <v>0.86976744186046517</v>
      </c>
      <c r="AO159" s="744">
        <f t="shared" si="15"/>
        <v>1.6513075965130763</v>
      </c>
      <c r="AP159" s="745">
        <f>'09월 에너지'!S161</f>
        <v>142.80000000000001</v>
      </c>
    </row>
    <row r="160" spans="1:42" ht="16.5" customHeight="1">
      <c r="A160" s="999">
        <f>'09월 조업일지'!A160</f>
        <v>46271</v>
      </c>
      <c r="B160" s="1100">
        <f>'09월 조업일지'!B160</f>
        <v>46271</v>
      </c>
      <c r="C160" s="730">
        <f>'09월 조업일지'!G160</f>
        <v>85362</v>
      </c>
      <c r="D160" s="731" t="str">
        <f>'09월 조업일지'!E160</f>
        <v>B</v>
      </c>
      <c r="E160" s="732" t="str">
        <f>'09월 조업일지'!F160</f>
        <v>A</v>
      </c>
      <c r="F160" s="1096" t="str">
        <f>'09월 에너지'!F162</f>
        <v>SS400-02</v>
      </c>
      <c r="G160" s="733">
        <v>7</v>
      </c>
      <c r="H160" s="734">
        <v>21</v>
      </c>
      <c r="I160" s="734">
        <v>50</v>
      </c>
      <c r="J160" s="734">
        <v>17</v>
      </c>
      <c r="K160" s="735">
        <v>37</v>
      </c>
      <c r="L160" s="734">
        <v>16</v>
      </c>
      <c r="M160" s="736">
        <v>9</v>
      </c>
      <c r="N160" s="737">
        <v>408</v>
      </c>
      <c r="O160" s="737"/>
      <c r="P160" s="737">
        <v>1012</v>
      </c>
      <c r="Q160" s="737">
        <v>951</v>
      </c>
      <c r="R160" s="737"/>
      <c r="S160" s="737"/>
      <c r="T160" s="737">
        <v>66</v>
      </c>
      <c r="U160" s="738"/>
      <c r="V160" s="739">
        <v>407</v>
      </c>
      <c r="W160" s="737"/>
      <c r="X160" s="737">
        <v>1016</v>
      </c>
      <c r="Y160" s="737">
        <v>900</v>
      </c>
      <c r="Z160" s="1202">
        <v>66</v>
      </c>
      <c r="AA160" s="740"/>
      <c r="AB160" s="739"/>
      <c r="AC160" s="741"/>
      <c r="AD160" s="741">
        <v>286</v>
      </c>
      <c r="AE160" s="741">
        <v>331</v>
      </c>
      <c r="AF160" s="741"/>
      <c r="AG160" s="741">
        <v>110</v>
      </c>
      <c r="AH160" s="741">
        <v>801</v>
      </c>
      <c r="AI160" s="741">
        <v>335</v>
      </c>
      <c r="AJ160" s="741">
        <v>82</v>
      </c>
      <c r="AK160" s="741"/>
      <c r="AL160" s="741">
        <v>135</v>
      </c>
      <c r="AM160" s="742">
        <v>1123</v>
      </c>
      <c r="AN160" s="743">
        <f t="shared" si="14"/>
        <v>0.81308562197092094</v>
      </c>
      <c r="AO160" s="744">
        <f t="shared" si="15"/>
        <v>0.89762796504369546</v>
      </c>
      <c r="AP160" s="745">
        <f>'09월 에너지'!S162</f>
        <v>143.80000000000001</v>
      </c>
    </row>
    <row r="161" spans="1:42" ht="16.5" customHeight="1">
      <c r="A161" s="999">
        <f>'09월 조업일지'!A161</f>
        <v>46271</v>
      </c>
      <c r="B161" s="1100">
        <f>'09월 조업일지'!B161</f>
        <v>46271</v>
      </c>
      <c r="C161" s="730">
        <f>'09월 조업일지'!G161</f>
        <v>85363</v>
      </c>
      <c r="D161" s="731" t="str">
        <f>'09월 조업일지'!E161</f>
        <v>B</v>
      </c>
      <c r="E161" s="732" t="str">
        <f>'09월 조업일지'!F161</f>
        <v>B</v>
      </c>
      <c r="F161" s="1231" t="str">
        <f>'09월 에너지'!F163</f>
        <v>SS400-04</v>
      </c>
      <c r="G161" s="733">
        <v>12</v>
      </c>
      <c r="H161" s="734">
        <v>22</v>
      </c>
      <c r="I161" s="734">
        <v>80</v>
      </c>
      <c r="J161" s="734">
        <v>18</v>
      </c>
      <c r="K161" s="735">
        <v>28</v>
      </c>
      <c r="L161" s="734">
        <v>14</v>
      </c>
      <c r="M161" s="736">
        <v>7</v>
      </c>
      <c r="N161" s="737">
        <v>410</v>
      </c>
      <c r="O161" s="737"/>
      <c r="P161" s="737">
        <v>1013</v>
      </c>
      <c r="Q161" s="737">
        <v>950</v>
      </c>
      <c r="R161" s="737"/>
      <c r="S161" s="737"/>
      <c r="T161" s="737">
        <v>70</v>
      </c>
      <c r="U161" s="738"/>
      <c r="V161" s="739">
        <v>406</v>
      </c>
      <c r="W161" s="737"/>
      <c r="X161" s="737">
        <v>1010</v>
      </c>
      <c r="Y161" s="737">
        <v>903</v>
      </c>
      <c r="Z161" s="1202">
        <v>65</v>
      </c>
      <c r="AA161" s="740"/>
      <c r="AB161" s="739"/>
      <c r="AC161" s="741"/>
      <c r="AD161" s="741">
        <v>286</v>
      </c>
      <c r="AE161" s="741">
        <v>330</v>
      </c>
      <c r="AF161" s="741"/>
      <c r="AG161" s="741">
        <v>105</v>
      </c>
      <c r="AH161" s="741">
        <v>1298</v>
      </c>
      <c r="AI161" s="741">
        <v>194</v>
      </c>
      <c r="AJ161" s="741">
        <v>82</v>
      </c>
      <c r="AK161" s="741"/>
      <c r="AL161" s="741">
        <v>132</v>
      </c>
      <c r="AM161" s="742">
        <v>1750</v>
      </c>
      <c r="AN161" s="743">
        <f t="shared" si="14"/>
        <v>0.93251028806584368</v>
      </c>
      <c r="AO161" s="744">
        <f t="shared" si="15"/>
        <v>1.0315870570107859</v>
      </c>
      <c r="AP161" s="745">
        <f>'09월 에너지'!S163</f>
        <v>144.19999999999999</v>
      </c>
    </row>
    <row r="162" spans="1:42" ht="16.5" customHeight="1">
      <c r="A162" s="999">
        <f>'09월 조업일지'!A162</f>
        <v>46271</v>
      </c>
      <c r="B162" s="1100">
        <f>'09월 조업일지'!B162</f>
        <v>46271</v>
      </c>
      <c r="C162" s="730">
        <f>'09월 조업일지'!G162</f>
        <v>85364</v>
      </c>
      <c r="D162" s="731" t="str">
        <f>'09월 조업일지'!E162</f>
        <v>B</v>
      </c>
      <c r="E162" s="732" t="str">
        <f>'09월 조업일지'!F162</f>
        <v>A</v>
      </c>
      <c r="F162" s="1096" t="str">
        <f>'09월 에너지'!F164</f>
        <v>SS400-04</v>
      </c>
      <c r="G162" s="733">
        <v>8</v>
      </c>
      <c r="H162" s="734">
        <v>24</v>
      </c>
      <c r="I162" s="734">
        <v>72</v>
      </c>
      <c r="J162" s="734">
        <v>15</v>
      </c>
      <c r="K162" s="735">
        <v>35</v>
      </c>
      <c r="L162" s="734">
        <v>11</v>
      </c>
      <c r="M162" s="736">
        <v>8</v>
      </c>
      <c r="N162" s="737">
        <v>402</v>
      </c>
      <c r="O162" s="737"/>
      <c r="P162" s="737">
        <v>1014</v>
      </c>
      <c r="Q162" s="737">
        <v>952</v>
      </c>
      <c r="R162" s="737"/>
      <c r="S162" s="737"/>
      <c r="T162" s="737">
        <v>62</v>
      </c>
      <c r="U162" s="738"/>
      <c r="V162" s="739">
        <v>414</v>
      </c>
      <c r="W162" s="737"/>
      <c r="X162" s="737">
        <v>1015</v>
      </c>
      <c r="Y162" s="737">
        <v>906</v>
      </c>
      <c r="Z162" s="1202">
        <v>61</v>
      </c>
      <c r="AA162" s="740"/>
      <c r="AB162" s="739"/>
      <c r="AC162" s="741"/>
      <c r="AD162" s="741">
        <v>283</v>
      </c>
      <c r="AE162" s="741">
        <v>330</v>
      </c>
      <c r="AF162" s="741"/>
      <c r="AG162" s="741">
        <v>105</v>
      </c>
      <c r="AH162" s="741">
        <v>1295</v>
      </c>
      <c r="AI162" s="741">
        <v>291</v>
      </c>
      <c r="AJ162" s="741">
        <v>82</v>
      </c>
      <c r="AK162" s="741"/>
      <c r="AL162" s="741">
        <v>128</v>
      </c>
      <c r="AM162" s="742">
        <v>1129</v>
      </c>
      <c r="AN162" s="743">
        <f t="shared" si="14"/>
        <v>0.84770909090909097</v>
      </c>
      <c r="AO162" s="744">
        <f t="shared" si="15"/>
        <v>0.91615002757859909</v>
      </c>
      <c r="AP162" s="745">
        <f>'09월 에너지'!S164</f>
        <v>145.69999999999999</v>
      </c>
    </row>
    <row r="163" spans="1:42" ht="16.5" customHeight="1">
      <c r="A163" s="999">
        <f>'09월 조업일지'!A163</f>
        <v>46271</v>
      </c>
      <c r="B163" s="1100">
        <f>'09월 조업일지'!B163</f>
        <v>46271</v>
      </c>
      <c r="C163" s="730">
        <f>'09월 조업일지'!G163</f>
        <v>85365</v>
      </c>
      <c r="D163" s="731" t="str">
        <f>'09월 조업일지'!E163</f>
        <v>B</v>
      </c>
      <c r="E163" s="732" t="str">
        <f>'09월 조업일지'!F163</f>
        <v>B</v>
      </c>
      <c r="F163" s="1231" t="str">
        <f>'09월 에너지'!F165</f>
        <v>A572-50-01</v>
      </c>
      <c r="G163" s="733">
        <v>13</v>
      </c>
      <c r="H163" s="734">
        <v>26</v>
      </c>
      <c r="I163" s="734">
        <v>124</v>
      </c>
      <c r="J163" s="734">
        <v>16</v>
      </c>
      <c r="K163" s="735">
        <v>29</v>
      </c>
      <c r="L163" s="734">
        <v>13</v>
      </c>
      <c r="M163" s="736">
        <v>9</v>
      </c>
      <c r="N163" s="737">
        <v>405</v>
      </c>
      <c r="O163" s="737"/>
      <c r="P163" s="737">
        <v>1017</v>
      </c>
      <c r="Q163" s="737">
        <v>952</v>
      </c>
      <c r="R163" s="737"/>
      <c r="S163" s="737"/>
      <c r="T163" s="737">
        <v>70</v>
      </c>
      <c r="U163" s="738"/>
      <c r="V163" s="739">
        <v>409</v>
      </c>
      <c r="W163" s="737"/>
      <c r="X163" s="737">
        <v>1013</v>
      </c>
      <c r="Y163" s="737">
        <v>902</v>
      </c>
      <c r="Z163" s="1202">
        <v>70</v>
      </c>
      <c r="AA163" s="740"/>
      <c r="AB163" s="739"/>
      <c r="AC163" s="741"/>
      <c r="AD163" s="741">
        <v>292</v>
      </c>
      <c r="AE163" s="741">
        <v>350</v>
      </c>
      <c r="AF163" s="741"/>
      <c r="AG163" s="741">
        <v>105</v>
      </c>
      <c r="AH163" s="741">
        <v>2350</v>
      </c>
      <c r="AI163" s="741">
        <v>109</v>
      </c>
      <c r="AJ163" s="741">
        <v>94</v>
      </c>
      <c r="AK163" s="741"/>
      <c r="AL163" s="741">
        <v>134</v>
      </c>
      <c r="AM163" s="742">
        <v>1528</v>
      </c>
      <c r="AN163" s="743">
        <f t="shared" si="14"/>
        <v>0.85918249856073692</v>
      </c>
      <c r="AO163" s="744">
        <f t="shared" si="15"/>
        <v>0.95085106382978724</v>
      </c>
      <c r="AP163" s="745">
        <f>'09월 에너지'!S165</f>
        <v>143.5</v>
      </c>
    </row>
    <row r="164" spans="1:42" ht="16.5" customHeight="1">
      <c r="A164" s="999">
        <f>'09월 조업일지'!A164</f>
        <v>46271</v>
      </c>
      <c r="B164" s="1100">
        <f>'09월 조업일지'!B164</f>
        <v>46271</v>
      </c>
      <c r="C164" s="730">
        <f>'09월 조업일지'!G164</f>
        <v>85366</v>
      </c>
      <c r="D164" s="731" t="str">
        <f>'09월 조업일지'!E164</f>
        <v>B</v>
      </c>
      <c r="E164" s="732" t="str">
        <f>'09월 조업일지'!F164</f>
        <v>A</v>
      </c>
      <c r="F164" s="1096" t="str">
        <f>'09월 에너지'!F166</f>
        <v>A572-50-01</v>
      </c>
      <c r="G164" s="733">
        <v>8</v>
      </c>
      <c r="H164" s="734">
        <v>22</v>
      </c>
      <c r="I164" s="734">
        <v>121</v>
      </c>
      <c r="J164" s="734">
        <v>17</v>
      </c>
      <c r="K164" s="735">
        <v>36</v>
      </c>
      <c r="L164" s="734">
        <v>12</v>
      </c>
      <c r="M164" s="736">
        <v>7</v>
      </c>
      <c r="N164" s="737">
        <v>405</v>
      </c>
      <c r="O164" s="737"/>
      <c r="P164" s="737">
        <v>1014</v>
      </c>
      <c r="Q164" s="737">
        <v>951</v>
      </c>
      <c r="R164" s="737"/>
      <c r="S164" s="737"/>
      <c r="T164" s="737">
        <v>59</v>
      </c>
      <c r="U164" s="738"/>
      <c r="V164" s="739">
        <v>414</v>
      </c>
      <c r="W164" s="737"/>
      <c r="X164" s="737">
        <v>1014</v>
      </c>
      <c r="Y164" s="737">
        <v>906</v>
      </c>
      <c r="Z164" s="1202">
        <v>73</v>
      </c>
      <c r="AA164" s="740"/>
      <c r="AB164" s="739"/>
      <c r="AC164" s="741"/>
      <c r="AD164" s="741">
        <v>296</v>
      </c>
      <c r="AE164" s="741">
        <v>351</v>
      </c>
      <c r="AF164" s="741"/>
      <c r="AG164" s="741">
        <v>105</v>
      </c>
      <c r="AH164" s="741">
        <v>2350</v>
      </c>
      <c r="AI164" s="741">
        <v>110</v>
      </c>
      <c r="AJ164" s="741">
        <v>97</v>
      </c>
      <c r="AK164" s="741"/>
      <c r="AL164" s="741">
        <v>131</v>
      </c>
      <c r="AM164" s="742">
        <v>1103</v>
      </c>
      <c r="AN164" s="743">
        <f t="shared" si="14"/>
        <v>0.72726436781609194</v>
      </c>
      <c r="AO164" s="744">
        <f t="shared" si="15"/>
        <v>0.92661398176291787</v>
      </c>
      <c r="AP164" s="745">
        <f>'09월 에너지'!S166</f>
        <v>143.80000000000001</v>
      </c>
    </row>
    <row r="165" spans="1:42" ht="16.5" customHeight="1">
      <c r="A165" s="999">
        <f>'09월 조업일지'!A165</f>
        <v>46271</v>
      </c>
      <c r="B165" s="1100">
        <f>'09월 조업일지'!B165</f>
        <v>46271</v>
      </c>
      <c r="C165" s="730">
        <f>'09월 조업일지'!G165</f>
        <v>85367</v>
      </c>
      <c r="D165" s="731" t="str">
        <f>'09월 조업일지'!E165</f>
        <v>B</v>
      </c>
      <c r="E165" s="732" t="str">
        <f>'09월 조업일지'!F165</f>
        <v>B</v>
      </c>
      <c r="F165" s="1096" t="str">
        <f>'09월 에너지'!F167</f>
        <v>A572-50-01</v>
      </c>
      <c r="G165" s="733">
        <v>15</v>
      </c>
      <c r="H165" s="734">
        <v>31</v>
      </c>
      <c r="I165" s="734">
        <v>126</v>
      </c>
      <c r="J165" s="734">
        <v>17</v>
      </c>
      <c r="K165" s="735">
        <v>28</v>
      </c>
      <c r="L165" s="734">
        <v>16</v>
      </c>
      <c r="M165" s="736">
        <v>9</v>
      </c>
      <c r="N165" s="737">
        <v>409</v>
      </c>
      <c r="O165" s="737"/>
      <c r="P165" s="737">
        <v>1011</v>
      </c>
      <c r="Q165" s="737">
        <v>954</v>
      </c>
      <c r="R165" s="737"/>
      <c r="S165" s="737"/>
      <c r="T165" s="737">
        <v>71</v>
      </c>
      <c r="U165" s="738"/>
      <c r="V165" s="739">
        <v>405</v>
      </c>
      <c r="W165" s="737"/>
      <c r="X165" s="737">
        <v>1018</v>
      </c>
      <c r="Y165" s="737">
        <v>901</v>
      </c>
      <c r="Z165" s="1202">
        <v>69</v>
      </c>
      <c r="AA165" s="740"/>
      <c r="AB165" s="739"/>
      <c r="AC165" s="741"/>
      <c r="AD165" s="741">
        <v>297</v>
      </c>
      <c r="AE165" s="741">
        <v>351</v>
      </c>
      <c r="AF165" s="741"/>
      <c r="AG165" s="741">
        <v>105</v>
      </c>
      <c r="AH165" s="741">
        <v>2354</v>
      </c>
      <c r="AI165" s="741">
        <v>111</v>
      </c>
      <c r="AJ165" s="741">
        <v>99</v>
      </c>
      <c r="AK165" s="741"/>
      <c r="AL165" s="741">
        <v>123</v>
      </c>
      <c r="AM165" s="742">
        <v>1465</v>
      </c>
      <c r="AN165" s="743">
        <f t="shared" si="14"/>
        <v>1.0201902142775297</v>
      </c>
      <c r="AO165" s="744">
        <f t="shared" si="15"/>
        <v>0.96732613181211313</v>
      </c>
      <c r="AP165" s="745">
        <f>'09월 에너지'!S167</f>
        <v>143.6</v>
      </c>
    </row>
    <row r="166" spans="1:42" ht="16.5" customHeight="1">
      <c r="A166" s="999">
        <f>'09월 조업일지'!A166</f>
        <v>46271</v>
      </c>
      <c r="B166" s="1100">
        <f>'09월 조업일지'!B166</f>
        <v>46271</v>
      </c>
      <c r="C166" s="730">
        <f>'09월 조업일지'!G166</f>
        <v>85368</v>
      </c>
      <c r="D166" s="731" t="str">
        <f>'09월 조업일지'!E166</f>
        <v>B</v>
      </c>
      <c r="E166" s="732" t="str">
        <f>'09월 조업일지'!F166</f>
        <v>A</v>
      </c>
      <c r="F166" s="1096" t="str">
        <f>'09월 에너지'!F168</f>
        <v>A572-50-01</v>
      </c>
      <c r="G166" s="733">
        <v>11</v>
      </c>
      <c r="H166" s="734">
        <v>22</v>
      </c>
      <c r="I166" s="734">
        <v>117</v>
      </c>
      <c r="J166" s="734">
        <v>16</v>
      </c>
      <c r="K166" s="735">
        <v>31</v>
      </c>
      <c r="L166" s="734">
        <v>12</v>
      </c>
      <c r="M166" s="736">
        <v>13</v>
      </c>
      <c r="N166" s="737">
        <v>407</v>
      </c>
      <c r="O166" s="737"/>
      <c r="P166" s="737">
        <v>1016</v>
      </c>
      <c r="Q166" s="737">
        <v>952</v>
      </c>
      <c r="R166" s="737"/>
      <c r="S166" s="737"/>
      <c r="T166" s="737">
        <v>61</v>
      </c>
      <c r="U166" s="738"/>
      <c r="V166" s="739">
        <v>401</v>
      </c>
      <c r="W166" s="737"/>
      <c r="X166" s="737">
        <v>1013</v>
      </c>
      <c r="Y166" s="737">
        <v>899</v>
      </c>
      <c r="Z166" s="1202">
        <v>66</v>
      </c>
      <c r="AA166" s="740"/>
      <c r="AB166" s="739"/>
      <c r="AC166" s="741"/>
      <c r="AD166" s="741">
        <v>294</v>
      </c>
      <c r="AE166" s="741">
        <v>351</v>
      </c>
      <c r="AF166" s="741"/>
      <c r="AG166" s="741">
        <v>105</v>
      </c>
      <c r="AH166" s="741">
        <v>2345</v>
      </c>
      <c r="AI166" s="741">
        <v>104</v>
      </c>
      <c r="AJ166" s="741">
        <v>101</v>
      </c>
      <c r="AK166" s="741"/>
      <c r="AL166" s="741">
        <v>123</v>
      </c>
      <c r="AM166" s="742">
        <v>1423</v>
      </c>
      <c r="AN166" s="743">
        <f t="shared" si="14"/>
        <v>0.7351250727166958</v>
      </c>
      <c r="AO166" s="744">
        <f t="shared" si="15"/>
        <v>0.89230581784952789</v>
      </c>
      <c r="AP166" s="745">
        <f>'09월 에너지'!S168</f>
        <v>143.6</v>
      </c>
    </row>
    <row r="167" spans="1:42" ht="16.5" customHeight="1">
      <c r="A167" s="999">
        <f>'09월 조업일지'!A167</f>
        <v>46271</v>
      </c>
      <c r="B167" s="1100">
        <f>'09월 조업일지'!B167</f>
        <v>46271</v>
      </c>
      <c r="C167" s="730">
        <f>'09월 조업일지'!G167</f>
        <v>85369</v>
      </c>
      <c r="D167" s="731" t="str">
        <f>'09월 조업일지'!E167</f>
        <v>D</v>
      </c>
      <c r="E167" s="732" t="str">
        <f>'09월 조업일지'!F167</f>
        <v>B</v>
      </c>
      <c r="F167" s="1096" t="str">
        <f>'09월 에너지'!F169</f>
        <v>A572-50-01</v>
      </c>
      <c r="G167" s="733">
        <v>14</v>
      </c>
      <c r="H167" s="734">
        <v>25</v>
      </c>
      <c r="I167" s="734">
        <v>128</v>
      </c>
      <c r="J167" s="734">
        <v>17</v>
      </c>
      <c r="K167" s="735">
        <v>38</v>
      </c>
      <c r="L167" s="734">
        <v>14</v>
      </c>
      <c r="M167" s="736">
        <v>9</v>
      </c>
      <c r="N167" s="737">
        <v>422</v>
      </c>
      <c r="O167" s="737"/>
      <c r="P167" s="737">
        <v>1013</v>
      </c>
      <c r="Q167" s="737">
        <v>954</v>
      </c>
      <c r="R167" s="737"/>
      <c r="S167" s="737"/>
      <c r="T167" s="737">
        <v>71</v>
      </c>
      <c r="U167" s="738"/>
      <c r="V167" s="739">
        <v>420</v>
      </c>
      <c r="W167" s="737"/>
      <c r="X167" s="737">
        <v>1009</v>
      </c>
      <c r="Y167" s="737">
        <v>902</v>
      </c>
      <c r="Z167" s="1202">
        <v>62</v>
      </c>
      <c r="AA167" s="740"/>
      <c r="AB167" s="739"/>
      <c r="AC167" s="741"/>
      <c r="AD167" s="741">
        <v>290</v>
      </c>
      <c r="AE167" s="741">
        <v>350</v>
      </c>
      <c r="AF167" s="741"/>
      <c r="AG167" s="741">
        <v>105</v>
      </c>
      <c r="AH167" s="741">
        <v>2350</v>
      </c>
      <c r="AI167" s="741">
        <v>107</v>
      </c>
      <c r="AJ167" s="741">
        <v>98</v>
      </c>
      <c r="AK167" s="741"/>
      <c r="AL167" s="741">
        <v>131</v>
      </c>
      <c r="AM167" s="742">
        <v>343</v>
      </c>
      <c r="AN167" s="743">
        <f t="shared" si="14"/>
        <v>0.83939919121894857</v>
      </c>
      <c r="AO167" s="744">
        <f t="shared" si="15"/>
        <v>0.99810942249240131</v>
      </c>
      <c r="AP167" s="745">
        <f>'09월 에너지'!S169</f>
        <v>145.30000000000001</v>
      </c>
    </row>
    <row r="168" spans="1:42" ht="16.5" customHeight="1">
      <c r="A168" s="999">
        <f>'09월 조업일지'!A168</f>
        <v>46271</v>
      </c>
      <c r="B168" s="1100">
        <f>'09월 조업일지'!B168</f>
        <v>46271</v>
      </c>
      <c r="C168" s="730">
        <f>'09월 조업일지'!G168</f>
        <v>85370</v>
      </c>
      <c r="D168" s="731" t="str">
        <f>'09월 조업일지'!E168</f>
        <v>D</v>
      </c>
      <c r="E168" s="732" t="str">
        <f>'09월 조업일지'!F168</f>
        <v>A</v>
      </c>
      <c r="F168" s="1096" t="str">
        <f>'09월 에너지'!F170</f>
        <v>A572-50-01</v>
      </c>
      <c r="G168" s="733">
        <v>10</v>
      </c>
      <c r="H168" s="734">
        <v>27</v>
      </c>
      <c r="I168" s="734">
        <v>127</v>
      </c>
      <c r="J168" s="734">
        <v>16</v>
      </c>
      <c r="K168" s="735">
        <v>40</v>
      </c>
      <c r="L168" s="734">
        <v>12</v>
      </c>
      <c r="M168" s="736">
        <v>8</v>
      </c>
      <c r="N168" s="737">
        <v>406</v>
      </c>
      <c r="O168" s="737"/>
      <c r="P168" s="737">
        <v>1015</v>
      </c>
      <c r="Q168" s="737">
        <v>953</v>
      </c>
      <c r="R168" s="737"/>
      <c r="S168" s="737"/>
      <c r="T168" s="737">
        <v>70</v>
      </c>
      <c r="U168" s="738"/>
      <c r="V168" s="739">
        <v>422</v>
      </c>
      <c r="W168" s="737"/>
      <c r="X168" s="737">
        <v>1014</v>
      </c>
      <c r="Y168" s="737">
        <v>900</v>
      </c>
      <c r="Z168" s="1202">
        <v>65</v>
      </c>
      <c r="AA168" s="740"/>
      <c r="AB168" s="739"/>
      <c r="AC168" s="741"/>
      <c r="AD168" s="741">
        <v>291</v>
      </c>
      <c r="AE168" s="741">
        <v>351</v>
      </c>
      <c r="AF168" s="741"/>
      <c r="AG168" s="741">
        <v>105</v>
      </c>
      <c r="AH168" s="741">
        <v>2357</v>
      </c>
      <c r="AI168" s="741">
        <v>109</v>
      </c>
      <c r="AJ168" s="741">
        <v>97</v>
      </c>
      <c r="AK168" s="741"/>
      <c r="AL168" s="741">
        <v>129</v>
      </c>
      <c r="AM168" s="742">
        <v>691</v>
      </c>
      <c r="AN168" s="743">
        <f t="shared" si="14"/>
        <v>0.88263266712611987</v>
      </c>
      <c r="AO168" s="744">
        <f t="shared" si="15"/>
        <v>0.96597369537547739</v>
      </c>
      <c r="AP168" s="745">
        <f>'09월 에너지'!S170</f>
        <v>142.30000000000001</v>
      </c>
    </row>
    <row r="169" spans="1:42" ht="16.5" customHeight="1">
      <c r="A169" s="999">
        <f>'09월 조업일지'!A169</f>
        <v>46271</v>
      </c>
      <c r="B169" s="1100">
        <f>'09월 조업일지'!B169</f>
        <v>46271</v>
      </c>
      <c r="C169" s="730">
        <f>'09월 조업일지'!G169</f>
        <v>85371</v>
      </c>
      <c r="D169" s="731" t="str">
        <f>'09월 조업일지'!E169</f>
        <v>D</v>
      </c>
      <c r="E169" s="732" t="str">
        <f>'09월 조업일지'!F169</f>
        <v>B</v>
      </c>
      <c r="F169" s="1096" t="str">
        <f>'09월 에너지'!F171</f>
        <v>A572-50-01</v>
      </c>
      <c r="G169" s="733">
        <v>15</v>
      </c>
      <c r="H169" s="734">
        <v>27</v>
      </c>
      <c r="I169" s="734">
        <v>130</v>
      </c>
      <c r="J169" s="734">
        <v>18</v>
      </c>
      <c r="K169" s="735">
        <v>31</v>
      </c>
      <c r="L169" s="734">
        <v>15</v>
      </c>
      <c r="M169" s="736">
        <v>9</v>
      </c>
      <c r="N169" s="737">
        <v>419</v>
      </c>
      <c r="O169" s="737"/>
      <c r="P169" s="737">
        <v>1008</v>
      </c>
      <c r="Q169" s="737">
        <v>951</v>
      </c>
      <c r="R169" s="737"/>
      <c r="S169" s="737"/>
      <c r="T169" s="737">
        <v>71</v>
      </c>
      <c r="U169" s="738"/>
      <c r="V169" s="739">
        <v>414</v>
      </c>
      <c r="W169" s="737"/>
      <c r="X169" s="737">
        <v>1015</v>
      </c>
      <c r="Y169" s="737">
        <v>905</v>
      </c>
      <c r="Z169" s="1202">
        <v>63</v>
      </c>
      <c r="AA169" s="740"/>
      <c r="AB169" s="739"/>
      <c r="AC169" s="741"/>
      <c r="AD169" s="741">
        <v>288</v>
      </c>
      <c r="AE169" s="741">
        <v>350</v>
      </c>
      <c r="AF169" s="741"/>
      <c r="AG169" s="741">
        <v>105</v>
      </c>
      <c r="AH169" s="741">
        <v>2350</v>
      </c>
      <c r="AI169" s="741">
        <v>110</v>
      </c>
      <c r="AJ169" s="741">
        <v>96</v>
      </c>
      <c r="AK169" s="741"/>
      <c r="AL169" s="741">
        <v>131</v>
      </c>
      <c r="AM169" s="742">
        <v>663</v>
      </c>
      <c r="AN169" s="743">
        <f t="shared" si="14"/>
        <v>0.89813793103448281</v>
      </c>
      <c r="AO169" s="744">
        <f t="shared" si="15"/>
        <v>1.0115805471124619</v>
      </c>
      <c r="AP169" s="745">
        <f>'09월 에너지'!S171</f>
        <v>144.69999999999999</v>
      </c>
    </row>
    <row r="170" spans="1:42" ht="16.5" customHeight="1">
      <c r="A170" s="999">
        <f>'09월 조업일지'!A170</f>
        <v>46271</v>
      </c>
      <c r="B170" s="1100">
        <f>'09월 조업일지'!B170</f>
        <v>46271</v>
      </c>
      <c r="C170" s="730">
        <f>'09월 조업일지'!G170</f>
        <v>85372</v>
      </c>
      <c r="D170" s="731" t="str">
        <f>'09월 조업일지'!E170</f>
        <v>D</v>
      </c>
      <c r="E170" s="732" t="str">
        <f>'09월 조업일지'!F170</f>
        <v>A</v>
      </c>
      <c r="F170" s="1096" t="str">
        <f>'09월 에너지'!F172</f>
        <v>A572-50-01</v>
      </c>
      <c r="G170" s="733">
        <v>9</v>
      </c>
      <c r="H170" s="734">
        <v>26</v>
      </c>
      <c r="I170" s="734">
        <v>123</v>
      </c>
      <c r="J170" s="734">
        <v>17</v>
      </c>
      <c r="K170" s="735">
        <v>23</v>
      </c>
      <c r="L170" s="734">
        <v>19</v>
      </c>
      <c r="M170" s="736">
        <v>7</v>
      </c>
      <c r="N170" s="737">
        <v>420</v>
      </c>
      <c r="O170" s="737"/>
      <c r="P170" s="737">
        <v>1012</v>
      </c>
      <c r="Q170" s="737">
        <v>953</v>
      </c>
      <c r="R170" s="737"/>
      <c r="S170" s="737"/>
      <c r="T170" s="737">
        <v>69</v>
      </c>
      <c r="U170" s="738"/>
      <c r="V170" s="739">
        <v>420</v>
      </c>
      <c r="W170" s="737"/>
      <c r="X170" s="737">
        <v>1009</v>
      </c>
      <c r="Y170" s="737">
        <v>901</v>
      </c>
      <c r="Z170" s="1202">
        <v>69</v>
      </c>
      <c r="AA170" s="740"/>
      <c r="AB170" s="739"/>
      <c r="AC170" s="741"/>
      <c r="AD170" s="741">
        <v>292</v>
      </c>
      <c r="AE170" s="741">
        <v>350</v>
      </c>
      <c r="AF170" s="741"/>
      <c r="AG170" s="741">
        <v>105</v>
      </c>
      <c r="AH170" s="741">
        <v>2355</v>
      </c>
      <c r="AI170" s="741">
        <v>111</v>
      </c>
      <c r="AJ170" s="741">
        <v>99</v>
      </c>
      <c r="AK170" s="741"/>
      <c r="AL170" s="741">
        <v>129</v>
      </c>
      <c r="AM170" s="742">
        <v>1518</v>
      </c>
      <c r="AN170" s="743">
        <f t="shared" si="14"/>
        <v>0.84998854524627721</v>
      </c>
      <c r="AO170" s="744">
        <f t="shared" si="15"/>
        <v>0.93488626023657873</v>
      </c>
      <c r="AP170" s="745">
        <f>'09월 에너지'!S172</f>
        <v>142.69999999999999</v>
      </c>
    </row>
    <row r="171" spans="1:42" ht="16.5" customHeight="1">
      <c r="A171" s="999">
        <f>'09월 조업일지'!A171</f>
        <v>46271</v>
      </c>
      <c r="B171" s="1100">
        <f>'09월 조업일지'!B171</f>
        <v>46271</v>
      </c>
      <c r="C171" s="730">
        <f>'09월 조업일지'!G171</f>
        <v>85373</v>
      </c>
      <c r="D171" s="731" t="str">
        <f>'09월 조업일지'!E171</f>
        <v>D</v>
      </c>
      <c r="E171" s="732" t="str">
        <f>'09월 조업일지'!F171</f>
        <v>B</v>
      </c>
      <c r="F171" s="1096" t="str">
        <f>'09월 에너지'!F173</f>
        <v>A572-50-01</v>
      </c>
      <c r="G171" s="733">
        <v>12</v>
      </c>
      <c r="H171" s="734">
        <v>29</v>
      </c>
      <c r="I171" s="734">
        <v>124</v>
      </c>
      <c r="J171" s="734">
        <v>16</v>
      </c>
      <c r="K171" s="735">
        <v>25</v>
      </c>
      <c r="L171" s="734">
        <v>13</v>
      </c>
      <c r="M171" s="736">
        <v>9</v>
      </c>
      <c r="N171" s="737">
        <v>414</v>
      </c>
      <c r="O171" s="737"/>
      <c r="P171" s="737">
        <v>1014</v>
      </c>
      <c r="Q171" s="737">
        <v>952</v>
      </c>
      <c r="R171" s="737"/>
      <c r="S171" s="737"/>
      <c r="T171" s="737">
        <v>61</v>
      </c>
      <c r="U171" s="738"/>
      <c r="V171" s="739">
        <v>418</v>
      </c>
      <c r="W171" s="737"/>
      <c r="X171" s="737">
        <v>521</v>
      </c>
      <c r="Y171" s="737">
        <v>914</v>
      </c>
      <c r="Z171" s="1202">
        <v>68</v>
      </c>
      <c r="AA171" s="740"/>
      <c r="AB171" s="739"/>
      <c r="AC171" s="741"/>
      <c r="AD171" s="741">
        <v>281</v>
      </c>
      <c r="AE171" s="741">
        <v>351</v>
      </c>
      <c r="AF171" s="741"/>
      <c r="AG171" s="741">
        <v>105</v>
      </c>
      <c r="AH171" s="741">
        <v>2353</v>
      </c>
      <c r="AI171" s="741">
        <v>106</v>
      </c>
      <c r="AJ171" s="741">
        <v>96</v>
      </c>
      <c r="AK171" s="741"/>
      <c r="AL171" s="741">
        <v>137</v>
      </c>
      <c r="AM171" s="742">
        <v>999</v>
      </c>
      <c r="AN171" s="743">
        <f t="shared" si="14"/>
        <v>0.96163718348942084</v>
      </c>
      <c r="AO171" s="744">
        <f t="shared" si="15"/>
        <v>0.94897698986096779</v>
      </c>
      <c r="AP171" s="745">
        <f>'09월 에너지'!S173</f>
        <v>143.4</v>
      </c>
    </row>
    <row r="172" spans="1:42" ht="16.5" customHeight="1">
      <c r="A172" s="999">
        <f>'09월 조업일지'!A172</f>
        <v>46271</v>
      </c>
      <c r="B172" s="1100">
        <f>'09월 조업일지'!B172</f>
        <v>46271</v>
      </c>
      <c r="C172" s="730">
        <f>'09월 조업일지'!G172</f>
        <v>85374</v>
      </c>
      <c r="D172" s="731" t="str">
        <f>'09월 조업일지'!E172</f>
        <v>D</v>
      </c>
      <c r="E172" s="732" t="str">
        <f>'09월 조업일지'!F172</f>
        <v>A</v>
      </c>
      <c r="F172" s="1096" t="str">
        <f>'09월 에너지'!F174</f>
        <v>A572-50-01</v>
      </c>
      <c r="G172" s="733">
        <v>11</v>
      </c>
      <c r="H172" s="734">
        <v>25</v>
      </c>
      <c r="I172" s="734">
        <v>121</v>
      </c>
      <c r="J172" s="734">
        <v>16</v>
      </c>
      <c r="K172" s="735">
        <v>21</v>
      </c>
      <c r="L172" s="734">
        <v>15</v>
      </c>
      <c r="M172" s="736">
        <v>7</v>
      </c>
      <c r="N172" s="737">
        <v>414</v>
      </c>
      <c r="O172" s="737"/>
      <c r="P172" s="737">
        <v>1000</v>
      </c>
      <c r="Q172" s="737">
        <v>951</v>
      </c>
      <c r="R172" s="737"/>
      <c r="S172" s="737"/>
      <c r="T172" s="737">
        <v>63</v>
      </c>
      <c r="U172" s="738"/>
      <c r="V172" s="739">
        <v>414</v>
      </c>
      <c r="W172" s="737"/>
      <c r="X172" s="737">
        <v>1001</v>
      </c>
      <c r="Y172" s="737">
        <v>903</v>
      </c>
      <c r="Z172" s="1202">
        <v>64</v>
      </c>
      <c r="AA172" s="740"/>
      <c r="AB172" s="739"/>
      <c r="AC172" s="741"/>
      <c r="AD172" s="741">
        <v>281</v>
      </c>
      <c r="AE172" s="741">
        <v>351</v>
      </c>
      <c r="AF172" s="741"/>
      <c r="AG172" s="741">
        <v>105</v>
      </c>
      <c r="AH172" s="741">
        <v>2359</v>
      </c>
      <c r="AI172" s="741">
        <v>106</v>
      </c>
      <c r="AJ172" s="741">
        <v>97</v>
      </c>
      <c r="AK172" s="741"/>
      <c r="AL172" s="741">
        <v>117</v>
      </c>
      <c r="AM172" s="742">
        <v>1875</v>
      </c>
      <c r="AN172" s="743">
        <f t="shared" si="14"/>
        <v>0.82323756778585444</v>
      </c>
      <c r="AO172" s="744">
        <f t="shared" si="15"/>
        <v>0.91601768303760667</v>
      </c>
      <c r="AP172" s="745">
        <f>'09월 에너지'!S174</f>
        <v>142.69999999999999</v>
      </c>
    </row>
    <row r="173" spans="1:42" ht="16.5" customHeight="1">
      <c r="A173" s="999">
        <f>'09월 조업일지'!A173</f>
        <v>46271</v>
      </c>
      <c r="B173" s="1100">
        <f>'09월 조업일지'!B173</f>
        <v>46271</v>
      </c>
      <c r="C173" s="730">
        <f>'09월 조업일지'!G173</f>
        <v>85375</v>
      </c>
      <c r="D173" s="731" t="str">
        <f>'09월 조업일지'!E173</f>
        <v>D</v>
      </c>
      <c r="E173" s="732" t="str">
        <f>'09월 조업일지'!F173</f>
        <v>B</v>
      </c>
      <c r="F173" s="1096" t="str">
        <f>'09월 에너지'!F175</f>
        <v>A572-50-01</v>
      </c>
      <c r="G173" s="733">
        <v>10</v>
      </c>
      <c r="H173" s="734">
        <v>27</v>
      </c>
      <c r="I173" s="734">
        <v>120</v>
      </c>
      <c r="J173" s="734">
        <v>15</v>
      </c>
      <c r="K173" s="735">
        <v>22</v>
      </c>
      <c r="L173" s="734">
        <v>15</v>
      </c>
      <c r="M173" s="736">
        <v>10</v>
      </c>
      <c r="N173" s="737">
        <v>413</v>
      </c>
      <c r="O173" s="737"/>
      <c r="P173" s="737">
        <v>1000</v>
      </c>
      <c r="Q173" s="737">
        <v>950</v>
      </c>
      <c r="R173" s="737"/>
      <c r="S173" s="737"/>
      <c r="T173" s="737">
        <v>62</v>
      </c>
      <c r="U173" s="738"/>
      <c r="V173" s="739">
        <v>413</v>
      </c>
      <c r="W173" s="737"/>
      <c r="X173" s="737">
        <v>1001</v>
      </c>
      <c r="Y173" s="737">
        <v>902</v>
      </c>
      <c r="Z173" s="1202">
        <v>65</v>
      </c>
      <c r="AA173" s="740"/>
      <c r="AB173" s="739"/>
      <c r="AC173" s="741"/>
      <c r="AD173" s="741">
        <v>280</v>
      </c>
      <c r="AE173" s="741">
        <v>350</v>
      </c>
      <c r="AF173" s="741"/>
      <c r="AG173" s="741">
        <v>105</v>
      </c>
      <c r="AH173" s="741">
        <v>2355</v>
      </c>
      <c r="AI173" s="741">
        <v>111</v>
      </c>
      <c r="AJ173" s="741">
        <v>99</v>
      </c>
      <c r="AK173" s="741"/>
      <c r="AL173" s="741">
        <v>125</v>
      </c>
      <c r="AM173" s="742">
        <v>1287</v>
      </c>
      <c r="AN173" s="743">
        <f t="shared" si="14"/>
        <v>0.88639175257731961</v>
      </c>
      <c r="AO173" s="744">
        <f t="shared" si="15"/>
        <v>0.91273885350318473</v>
      </c>
      <c r="AP173" s="745">
        <f>'09월 에너지'!S175</f>
        <v>143.30000000000001</v>
      </c>
    </row>
    <row r="174" spans="1:42" ht="16.5" customHeight="1">
      <c r="A174" s="999">
        <f>'09월 조업일지'!A174</f>
        <v>46271</v>
      </c>
      <c r="B174" s="1100">
        <f>'09월 조업일지'!B174</f>
        <v>46271</v>
      </c>
      <c r="C174" s="730">
        <f>'09월 조업일지'!G174</f>
        <v>85376</v>
      </c>
      <c r="D174" s="731" t="str">
        <f>'09월 조업일지'!E174</f>
        <v>D</v>
      </c>
      <c r="E174" s="732" t="str">
        <f>'09월 조업일지'!F174</f>
        <v>A</v>
      </c>
      <c r="F174" s="1096" t="str">
        <f>'09월 에너지'!F176</f>
        <v>A572-50-01</v>
      </c>
      <c r="G174" s="733">
        <v>9</v>
      </c>
      <c r="H174" s="734">
        <v>24</v>
      </c>
      <c r="I174" s="734">
        <v>117</v>
      </c>
      <c r="J174" s="734">
        <v>15</v>
      </c>
      <c r="K174" s="735">
        <v>19</v>
      </c>
      <c r="L174" s="734">
        <v>13</v>
      </c>
      <c r="M174" s="736">
        <v>9</v>
      </c>
      <c r="N174" s="737">
        <v>423</v>
      </c>
      <c r="O174" s="737"/>
      <c r="P174" s="737">
        <v>998</v>
      </c>
      <c r="Q174" s="737">
        <v>955</v>
      </c>
      <c r="R174" s="737"/>
      <c r="S174" s="737"/>
      <c r="T174" s="737">
        <v>63</v>
      </c>
      <c r="U174" s="738"/>
      <c r="V174" s="739">
        <v>407</v>
      </c>
      <c r="W174" s="737"/>
      <c r="X174" s="737">
        <v>1002</v>
      </c>
      <c r="Y174" s="737">
        <v>899</v>
      </c>
      <c r="Z174" s="1202">
        <v>60</v>
      </c>
      <c r="AA174" s="740"/>
      <c r="AB174" s="739"/>
      <c r="AC174" s="741"/>
      <c r="AD174" s="741">
        <v>280</v>
      </c>
      <c r="AE174" s="741">
        <v>351</v>
      </c>
      <c r="AF174" s="741"/>
      <c r="AG174" s="741">
        <v>105</v>
      </c>
      <c r="AH174" s="741">
        <v>2346</v>
      </c>
      <c r="AI174" s="741">
        <v>114</v>
      </c>
      <c r="AJ174" s="741">
        <v>99</v>
      </c>
      <c r="AK174" s="741"/>
      <c r="AL174" s="741">
        <v>123</v>
      </c>
      <c r="AM174" s="742">
        <v>2336</v>
      </c>
      <c r="AN174" s="743">
        <f t="shared" si="14"/>
        <v>0.79725651577503442</v>
      </c>
      <c r="AO174" s="744">
        <f t="shared" si="15"/>
        <v>0.90248447204968951</v>
      </c>
      <c r="AP174" s="745">
        <f>'09월 에너지'!S176</f>
        <v>145.30000000000001</v>
      </c>
    </row>
    <row r="175" spans="1:42" ht="16.5" customHeight="1">
      <c r="A175" s="999">
        <f>'09월 조업일지'!A175</f>
        <v>46271</v>
      </c>
      <c r="B175" s="1100">
        <f>'09월 조업일지'!B175</f>
        <v>46271</v>
      </c>
      <c r="C175" s="730">
        <f>'09월 조업일지'!G175</f>
        <v>85377</v>
      </c>
      <c r="D175" s="731" t="str">
        <f>'09월 조업일지'!E175</f>
        <v>D</v>
      </c>
      <c r="E175" s="732" t="str">
        <f>'09월 조업일지'!F175</f>
        <v>B</v>
      </c>
      <c r="F175" s="1231" t="str">
        <f>'09월 에너지'!F177</f>
        <v>SS400-02</v>
      </c>
      <c r="G175" s="733">
        <v>7</v>
      </c>
      <c r="H175" s="734">
        <v>17</v>
      </c>
      <c r="I175" s="734">
        <v>48</v>
      </c>
      <c r="J175" s="734">
        <v>15</v>
      </c>
      <c r="K175" s="735">
        <v>26</v>
      </c>
      <c r="L175" s="734">
        <v>13</v>
      </c>
      <c r="M175" s="736">
        <v>8</v>
      </c>
      <c r="N175" s="737">
        <v>416</v>
      </c>
      <c r="O175" s="737"/>
      <c r="P175" s="737">
        <v>999</v>
      </c>
      <c r="Q175" s="737">
        <v>952</v>
      </c>
      <c r="R175" s="737"/>
      <c r="S175" s="737"/>
      <c r="T175" s="737">
        <v>65</v>
      </c>
      <c r="U175" s="738"/>
      <c r="V175" s="739">
        <v>419</v>
      </c>
      <c r="W175" s="737"/>
      <c r="X175" s="737">
        <v>1001</v>
      </c>
      <c r="Y175" s="737">
        <v>901</v>
      </c>
      <c r="Z175" s="1202">
        <v>73</v>
      </c>
      <c r="AA175" s="740"/>
      <c r="AB175" s="739"/>
      <c r="AC175" s="741"/>
      <c r="AD175" s="741">
        <v>270</v>
      </c>
      <c r="AE175" s="741">
        <v>330</v>
      </c>
      <c r="AF175" s="741"/>
      <c r="AG175" s="741">
        <v>110</v>
      </c>
      <c r="AH175" s="741">
        <v>796</v>
      </c>
      <c r="AI175" s="741">
        <v>327</v>
      </c>
      <c r="AJ175" s="741">
        <v>79</v>
      </c>
      <c r="AK175" s="741"/>
      <c r="AL175" s="741">
        <v>133</v>
      </c>
      <c r="AM175" s="742">
        <v>1809</v>
      </c>
      <c r="AN175" s="743">
        <f t="shared" si="14"/>
        <v>0.6801864801864802</v>
      </c>
      <c r="AO175" s="744">
        <f t="shared" si="15"/>
        <v>0.86408829863603753</v>
      </c>
      <c r="AP175" s="745">
        <f>'09월 에너지'!S177</f>
        <v>145.9</v>
      </c>
    </row>
    <row r="176" spans="1:42" ht="16.5" customHeight="1">
      <c r="A176" s="999">
        <f>'09월 조업일지'!A176</f>
        <v>46271</v>
      </c>
      <c r="B176" s="1100">
        <f>'09월 조업일지'!B176</f>
        <v>46271</v>
      </c>
      <c r="C176" s="730">
        <f>'09월 조업일지'!G176</f>
        <v>85378</v>
      </c>
      <c r="D176" s="731" t="str">
        <f>'09월 조업일지'!E176</f>
        <v>D</v>
      </c>
      <c r="E176" s="732" t="str">
        <f>'09월 조업일지'!F176</f>
        <v>A</v>
      </c>
      <c r="F176" s="1096" t="str">
        <f>'09월 에너지'!F178</f>
        <v>SS400-02</v>
      </c>
      <c r="G176" s="733">
        <v>9</v>
      </c>
      <c r="H176" s="734">
        <v>21</v>
      </c>
      <c r="I176" s="734">
        <v>47</v>
      </c>
      <c r="J176" s="734">
        <v>14</v>
      </c>
      <c r="K176" s="735">
        <v>21</v>
      </c>
      <c r="L176" s="734">
        <v>14</v>
      </c>
      <c r="M176" s="736">
        <v>9</v>
      </c>
      <c r="N176" s="737">
        <v>418</v>
      </c>
      <c r="O176" s="737"/>
      <c r="P176" s="737">
        <v>1001</v>
      </c>
      <c r="Q176" s="737">
        <v>951</v>
      </c>
      <c r="R176" s="737"/>
      <c r="S176" s="737"/>
      <c r="T176" s="737">
        <v>67</v>
      </c>
      <c r="U176" s="738"/>
      <c r="V176" s="739">
        <v>417</v>
      </c>
      <c r="W176" s="737"/>
      <c r="X176" s="737">
        <v>1000</v>
      </c>
      <c r="Y176" s="737">
        <v>901</v>
      </c>
      <c r="Z176" s="1202">
        <v>69</v>
      </c>
      <c r="AA176" s="740"/>
      <c r="AB176" s="739"/>
      <c r="AC176" s="741"/>
      <c r="AD176" s="741">
        <v>270</v>
      </c>
      <c r="AE176" s="741">
        <v>330</v>
      </c>
      <c r="AF176" s="741"/>
      <c r="AG176" s="741">
        <v>110</v>
      </c>
      <c r="AH176" s="741">
        <v>800</v>
      </c>
      <c r="AI176" s="741">
        <v>353</v>
      </c>
      <c r="AJ176" s="741">
        <v>79</v>
      </c>
      <c r="AK176" s="741"/>
      <c r="AL176" s="741">
        <v>121</v>
      </c>
      <c r="AM176" s="742">
        <v>2509</v>
      </c>
      <c r="AN176" s="743">
        <f t="shared" si="14"/>
        <v>0.79196881091617932</v>
      </c>
      <c r="AO176" s="744">
        <f t="shared" si="15"/>
        <v>0.82914285714285718</v>
      </c>
      <c r="AP176" s="745">
        <f>'09월 에너지'!S178</f>
        <v>145.1</v>
      </c>
    </row>
    <row r="177" spans="1:42" ht="16.5" customHeight="1">
      <c r="A177" s="999">
        <f>'09월 조업일지'!A177</f>
        <v>46271</v>
      </c>
      <c r="B177" s="1100">
        <f>'09월 조업일지'!B177</f>
        <v>46271</v>
      </c>
      <c r="C177" s="730">
        <f>'09월 조업일지'!G177</f>
        <v>85379</v>
      </c>
      <c r="D177" s="731" t="str">
        <f>'09월 조업일지'!E177</f>
        <v>A</v>
      </c>
      <c r="E177" s="732" t="str">
        <f>'09월 조업일지'!F177</f>
        <v>B</v>
      </c>
      <c r="F177" s="1096" t="str">
        <f>'09월 에너지'!F179</f>
        <v>SS400-02</v>
      </c>
      <c r="G177" s="733">
        <v>8</v>
      </c>
      <c r="H177" s="734">
        <v>14</v>
      </c>
      <c r="I177" s="734">
        <v>44</v>
      </c>
      <c r="J177" s="734">
        <v>15</v>
      </c>
      <c r="K177" s="735">
        <v>26</v>
      </c>
      <c r="L177" s="734">
        <v>15</v>
      </c>
      <c r="M177" s="736">
        <v>9</v>
      </c>
      <c r="N177" s="737">
        <v>412</v>
      </c>
      <c r="O177" s="737"/>
      <c r="P177" s="737">
        <v>1000</v>
      </c>
      <c r="Q177" s="737">
        <v>950</v>
      </c>
      <c r="R177" s="737"/>
      <c r="S177" s="737"/>
      <c r="T177" s="737">
        <v>65</v>
      </c>
      <c r="U177" s="738"/>
      <c r="V177" s="739">
        <v>417</v>
      </c>
      <c r="W177" s="737"/>
      <c r="X177" s="737">
        <v>1000</v>
      </c>
      <c r="Y177" s="737">
        <v>906</v>
      </c>
      <c r="Z177" s="1202">
        <v>67</v>
      </c>
      <c r="AA177" s="740"/>
      <c r="AB177" s="739">
        <v>0</v>
      </c>
      <c r="AC177" s="741"/>
      <c r="AD177" s="741">
        <v>271</v>
      </c>
      <c r="AE177" s="741">
        <v>331</v>
      </c>
      <c r="AF177" s="741">
        <v>0</v>
      </c>
      <c r="AG177" s="741">
        <v>110</v>
      </c>
      <c r="AH177" s="741">
        <v>795</v>
      </c>
      <c r="AI177" s="741">
        <v>332</v>
      </c>
      <c r="AJ177" s="741">
        <v>84</v>
      </c>
      <c r="AK177" s="741">
        <v>0</v>
      </c>
      <c r="AL177" s="741">
        <v>128</v>
      </c>
      <c r="AM177" s="742">
        <v>1871</v>
      </c>
      <c r="AN177" s="743">
        <f t="shared" si="14"/>
        <v>0.55201629327902235</v>
      </c>
      <c r="AO177" s="744">
        <f t="shared" si="15"/>
        <v>0.75665768194070082</v>
      </c>
      <c r="AP177" s="745">
        <f>'09월 에너지'!S179</f>
        <v>145.19999999999999</v>
      </c>
    </row>
    <row r="178" spans="1:42" ht="16.5" customHeight="1">
      <c r="A178" s="999">
        <f>'09월 조업일지'!A178</f>
        <v>46271</v>
      </c>
      <c r="B178" s="1100">
        <f>'09월 조업일지'!B178</f>
        <v>46271</v>
      </c>
      <c r="C178" s="730">
        <f>'09월 조업일지'!G178</f>
        <v>85380</v>
      </c>
      <c r="D178" s="731" t="str">
        <f>'09월 조업일지'!E178</f>
        <v>A</v>
      </c>
      <c r="E178" s="732" t="str">
        <f>'09월 조업일지'!F178</f>
        <v>A</v>
      </c>
      <c r="F178" s="1231" t="str">
        <f>'09월 에너지'!F180</f>
        <v>SHN275(BB)</v>
      </c>
      <c r="G178" s="733">
        <v>10</v>
      </c>
      <c r="H178" s="734">
        <v>32</v>
      </c>
      <c r="I178" s="734">
        <v>53</v>
      </c>
      <c r="J178" s="734">
        <v>17</v>
      </c>
      <c r="K178" s="735">
        <v>24</v>
      </c>
      <c r="L178" s="734">
        <v>14</v>
      </c>
      <c r="M178" s="736">
        <v>8</v>
      </c>
      <c r="N178" s="737">
        <v>417</v>
      </c>
      <c r="O178" s="737"/>
      <c r="P178" s="737">
        <v>1000</v>
      </c>
      <c r="Q178" s="737">
        <v>955</v>
      </c>
      <c r="R178" s="737"/>
      <c r="S178" s="737"/>
      <c r="T178" s="737">
        <v>0</v>
      </c>
      <c r="U178" s="738"/>
      <c r="V178" s="739">
        <v>418</v>
      </c>
      <c r="W178" s="737"/>
      <c r="X178" s="737">
        <v>1000</v>
      </c>
      <c r="Y178" s="737">
        <v>905</v>
      </c>
      <c r="Z178" s="1202">
        <v>0</v>
      </c>
      <c r="AA178" s="740"/>
      <c r="AB178" s="739">
        <v>0</v>
      </c>
      <c r="AC178" s="741"/>
      <c r="AD178" s="741">
        <v>270</v>
      </c>
      <c r="AE178" s="741">
        <v>450</v>
      </c>
      <c r="AF178" s="741">
        <v>0</v>
      </c>
      <c r="AG178" s="741">
        <v>95</v>
      </c>
      <c r="AH178" s="741">
        <v>850</v>
      </c>
      <c r="AI178" s="741">
        <v>403</v>
      </c>
      <c r="AJ178" s="741">
        <v>88</v>
      </c>
      <c r="AK178" s="741">
        <v>0</v>
      </c>
      <c r="AL178" s="741">
        <v>0</v>
      </c>
      <c r="AM178" s="742">
        <v>4623</v>
      </c>
      <c r="AN178" s="743">
        <f t="shared" si="14"/>
        <v>1.0089586969168121</v>
      </c>
      <c r="AO178" s="744">
        <f t="shared" si="15"/>
        <v>0.86537815126050421</v>
      </c>
      <c r="AP178" s="745">
        <f>'09월 에너지'!S180</f>
        <v>135.5</v>
      </c>
    </row>
    <row r="179" spans="1:42" ht="16.5" customHeight="1">
      <c r="A179" s="999">
        <f>'09월 조업일지'!A179</f>
        <v>46271</v>
      </c>
      <c r="B179" s="1100">
        <f>'09월 조업일지'!B179</f>
        <v>46271</v>
      </c>
      <c r="C179" s="730">
        <f>'09월 조업일지'!G179</f>
        <v>85381</v>
      </c>
      <c r="D179" s="731" t="str">
        <f>'09월 조업일지'!E179</f>
        <v>A</v>
      </c>
      <c r="E179" s="732" t="str">
        <f>'09월 조업일지'!F179</f>
        <v>B</v>
      </c>
      <c r="F179" s="1096" t="str">
        <f>'09월 에너지'!F181</f>
        <v>SHN275(BB)</v>
      </c>
      <c r="G179" s="733">
        <v>9</v>
      </c>
      <c r="H179" s="734">
        <v>21</v>
      </c>
      <c r="I179" s="734">
        <v>54</v>
      </c>
      <c r="J179" s="734">
        <v>17</v>
      </c>
      <c r="K179" s="735">
        <v>28</v>
      </c>
      <c r="L179" s="734">
        <v>15</v>
      </c>
      <c r="M179" s="736">
        <v>8</v>
      </c>
      <c r="N179" s="737">
        <v>408</v>
      </c>
      <c r="O179" s="737"/>
      <c r="P179" s="737">
        <v>1001</v>
      </c>
      <c r="Q179" s="737">
        <v>955</v>
      </c>
      <c r="R179" s="737"/>
      <c r="S179" s="737"/>
      <c r="T179" s="737">
        <v>0</v>
      </c>
      <c r="U179" s="738"/>
      <c r="V179" s="739">
        <v>613</v>
      </c>
      <c r="W179" s="737"/>
      <c r="X179" s="737">
        <v>1000</v>
      </c>
      <c r="Y179" s="737">
        <v>910</v>
      </c>
      <c r="Z179" s="1202">
        <v>0</v>
      </c>
      <c r="AA179" s="740"/>
      <c r="AB179" s="739">
        <v>0</v>
      </c>
      <c r="AC179" s="741"/>
      <c r="AD179" s="741">
        <v>271</v>
      </c>
      <c r="AE179" s="741">
        <v>450</v>
      </c>
      <c r="AF179" s="741">
        <v>0</v>
      </c>
      <c r="AG179" s="741">
        <v>95</v>
      </c>
      <c r="AH179" s="741">
        <v>852</v>
      </c>
      <c r="AI179" s="741">
        <v>295</v>
      </c>
      <c r="AJ179" s="741">
        <v>94</v>
      </c>
      <c r="AK179" s="741">
        <v>0</v>
      </c>
      <c r="AL179" s="741">
        <v>0</v>
      </c>
      <c r="AM179" s="742">
        <v>2731</v>
      </c>
      <c r="AN179" s="743">
        <f t="shared" si="14"/>
        <v>0.85552213149978507</v>
      </c>
      <c r="AO179" s="744">
        <f t="shared" si="15"/>
        <v>0.9298792756539237</v>
      </c>
      <c r="AP179" s="745">
        <f>'09월 에너지'!S181</f>
        <v>142.19999999999999</v>
      </c>
    </row>
    <row r="180" spans="1:42" ht="16.5" customHeight="1">
      <c r="A180" s="999">
        <f>'09월 조업일지'!A180</f>
        <v>46271</v>
      </c>
      <c r="B180" s="1100">
        <f>'09월 조업일지'!B180</f>
        <v>46271</v>
      </c>
      <c r="C180" s="730">
        <f>'09월 조업일지'!G180</f>
        <v>85382</v>
      </c>
      <c r="D180" s="731" t="str">
        <f>'09월 조업일지'!E180</f>
        <v>A</v>
      </c>
      <c r="E180" s="1234" t="str">
        <f>'09월 조업일지'!F180</f>
        <v>B</v>
      </c>
      <c r="F180" s="1231" t="str">
        <f>'09월 에너지'!F182</f>
        <v>SS400-02</v>
      </c>
      <c r="G180" s="733">
        <v>9</v>
      </c>
      <c r="H180" s="734">
        <v>22</v>
      </c>
      <c r="I180" s="734">
        <v>55</v>
      </c>
      <c r="J180" s="734">
        <v>18</v>
      </c>
      <c r="K180" s="735">
        <v>32</v>
      </c>
      <c r="L180" s="734">
        <v>14</v>
      </c>
      <c r="M180" s="736">
        <v>9</v>
      </c>
      <c r="N180" s="737">
        <v>403</v>
      </c>
      <c r="O180" s="737"/>
      <c r="P180" s="737">
        <v>1001</v>
      </c>
      <c r="Q180" s="737">
        <v>952</v>
      </c>
      <c r="R180" s="737"/>
      <c r="S180" s="737"/>
      <c r="T180" s="737">
        <v>0</v>
      </c>
      <c r="U180" s="738"/>
      <c r="V180" s="739">
        <v>404</v>
      </c>
      <c r="W180" s="737"/>
      <c r="X180" s="737">
        <v>1000</v>
      </c>
      <c r="Y180" s="737">
        <v>911</v>
      </c>
      <c r="Z180" s="1202">
        <v>66</v>
      </c>
      <c r="AA180" s="740"/>
      <c r="AB180" s="739">
        <v>0</v>
      </c>
      <c r="AC180" s="741"/>
      <c r="AD180" s="741">
        <v>270</v>
      </c>
      <c r="AE180" s="741">
        <v>330</v>
      </c>
      <c r="AF180" s="741">
        <v>0</v>
      </c>
      <c r="AG180" s="741">
        <v>110</v>
      </c>
      <c r="AH180" s="741">
        <v>803</v>
      </c>
      <c r="AI180" s="741">
        <v>331</v>
      </c>
      <c r="AJ180" s="741">
        <v>80</v>
      </c>
      <c r="AK180" s="741">
        <v>0</v>
      </c>
      <c r="AL180" s="741">
        <v>135</v>
      </c>
      <c r="AM180" s="742">
        <v>1349</v>
      </c>
      <c r="AN180" s="743">
        <f t="shared" si="14"/>
        <v>0.86400867914293467</v>
      </c>
      <c r="AO180" s="744">
        <f t="shared" si="15"/>
        <v>1.0304216331613594</v>
      </c>
      <c r="AP180" s="745">
        <f>'09월 에너지'!S182</f>
        <v>144.80000000000001</v>
      </c>
    </row>
    <row r="181" spans="1:42" ht="16.5" customHeight="1">
      <c r="A181" s="999">
        <f>'09월 조업일지'!A181</f>
        <v>46271</v>
      </c>
      <c r="B181" s="1100">
        <f>'09월 조업일지'!B181</f>
        <v>46271</v>
      </c>
      <c r="C181" s="730">
        <f>'09월 조업일지'!G181</f>
        <v>85383</v>
      </c>
      <c r="D181" s="731" t="str">
        <f>'09월 조업일지'!E181</f>
        <v>A</v>
      </c>
      <c r="E181" s="1234" t="str">
        <f>'09월 조업일지'!F181</f>
        <v>B</v>
      </c>
      <c r="F181" s="1096" t="str">
        <f>'09월 에너지'!F183</f>
        <v>SS400-02</v>
      </c>
      <c r="G181" s="733">
        <v>8</v>
      </c>
      <c r="H181" s="734">
        <v>18</v>
      </c>
      <c r="I181" s="734">
        <v>52</v>
      </c>
      <c r="J181" s="734">
        <v>18</v>
      </c>
      <c r="K181" s="735">
        <v>37</v>
      </c>
      <c r="L181" s="734">
        <v>15</v>
      </c>
      <c r="M181" s="736">
        <v>9</v>
      </c>
      <c r="N181" s="737">
        <v>420</v>
      </c>
      <c r="O181" s="737"/>
      <c r="P181" s="737">
        <v>1001</v>
      </c>
      <c r="Q181" s="737">
        <v>955</v>
      </c>
      <c r="R181" s="737"/>
      <c r="S181" s="737"/>
      <c r="T181" s="737">
        <v>62</v>
      </c>
      <c r="U181" s="738"/>
      <c r="V181" s="739">
        <v>409</v>
      </c>
      <c r="W181" s="737"/>
      <c r="X181" s="737">
        <v>1000</v>
      </c>
      <c r="Y181" s="737">
        <v>902</v>
      </c>
      <c r="Z181" s="1202">
        <v>70</v>
      </c>
      <c r="AA181" s="740"/>
      <c r="AB181" s="739">
        <v>0</v>
      </c>
      <c r="AC181" s="741"/>
      <c r="AD181" s="741">
        <v>270</v>
      </c>
      <c r="AE181" s="741">
        <v>330</v>
      </c>
      <c r="AF181" s="741">
        <v>0</v>
      </c>
      <c r="AG181" s="741">
        <v>110</v>
      </c>
      <c r="AH181" s="741">
        <v>797</v>
      </c>
      <c r="AI181" s="741">
        <v>330</v>
      </c>
      <c r="AJ181" s="741">
        <v>84</v>
      </c>
      <c r="AK181" s="741">
        <v>0</v>
      </c>
      <c r="AL181" s="741">
        <v>121</v>
      </c>
      <c r="AM181" s="742">
        <v>972</v>
      </c>
      <c r="AN181" s="743">
        <f t="shared" si="14"/>
        <v>0.70813240702901514</v>
      </c>
      <c r="AO181" s="744">
        <f t="shared" si="15"/>
        <v>0.95766266355977769</v>
      </c>
      <c r="AP181" s="745">
        <f>'09월 에너지'!S183</f>
        <v>144.4</v>
      </c>
    </row>
    <row r="182" spans="1:42" ht="16.5" customHeight="1">
      <c r="A182" s="999">
        <f>'09월 조업일지'!A182</f>
        <v>46272</v>
      </c>
      <c r="B182" s="1100">
        <f>'09월 조업일지'!B182</f>
        <v>46271</v>
      </c>
      <c r="C182" s="730">
        <f>'09월 조업일지'!G182</f>
        <v>85384</v>
      </c>
      <c r="D182" s="731" t="str">
        <f>'09월 조업일지'!E182</f>
        <v>A</v>
      </c>
      <c r="E182" s="1234" t="str">
        <f>'09월 조업일지'!F182</f>
        <v>B</v>
      </c>
      <c r="F182" s="1096" t="str">
        <f>'09월 에너지'!F184</f>
        <v>SS400-02</v>
      </c>
      <c r="G182" s="733">
        <v>7</v>
      </c>
      <c r="H182" s="734">
        <v>11</v>
      </c>
      <c r="I182" s="734">
        <v>56</v>
      </c>
      <c r="J182" s="734">
        <v>22</v>
      </c>
      <c r="K182" s="735">
        <v>34</v>
      </c>
      <c r="L182" s="734">
        <v>21</v>
      </c>
      <c r="M182" s="736">
        <v>10</v>
      </c>
      <c r="N182" s="737">
        <v>424</v>
      </c>
      <c r="O182" s="737"/>
      <c r="P182" s="737">
        <v>1000</v>
      </c>
      <c r="Q182" s="737">
        <v>954</v>
      </c>
      <c r="R182" s="737"/>
      <c r="S182" s="737"/>
      <c r="T182" s="737">
        <v>65</v>
      </c>
      <c r="U182" s="738"/>
      <c r="V182" s="739">
        <v>222</v>
      </c>
      <c r="W182" s="737"/>
      <c r="X182" s="737">
        <v>1000</v>
      </c>
      <c r="Y182" s="737">
        <v>907</v>
      </c>
      <c r="Z182" s="1202">
        <v>68</v>
      </c>
      <c r="AA182" s="740"/>
      <c r="AB182" s="739">
        <v>0</v>
      </c>
      <c r="AC182" s="741"/>
      <c r="AD182" s="741">
        <v>271</v>
      </c>
      <c r="AE182" s="741">
        <v>331</v>
      </c>
      <c r="AF182" s="741">
        <v>0</v>
      </c>
      <c r="AG182" s="741">
        <v>110</v>
      </c>
      <c r="AH182" s="741">
        <v>797</v>
      </c>
      <c r="AI182" s="741">
        <v>322</v>
      </c>
      <c r="AJ182" s="741">
        <v>85</v>
      </c>
      <c r="AK182" s="741">
        <v>0</v>
      </c>
      <c r="AL182" s="741">
        <v>133</v>
      </c>
      <c r="AM182" s="742">
        <v>753</v>
      </c>
      <c r="AN182" s="743">
        <f t="shared" si="14"/>
        <v>0.43811106494945301</v>
      </c>
      <c r="AO182" s="744">
        <f t="shared" si="15"/>
        <v>1.056784369958774</v>
      </c>
      <c r="AP182" s="745">
        <f>'09월 에너지'!S184</f>
        <v>143.80000000000001</v>
      </c>
    </row>
    <row r="183" spans="1:42" ht="16.5" customHeight="1">
      <c r="A183" s="999">
        <f>'09월 조업일지'!A183</f>
        <v>46272</v>
      </c>
      <c r="B183" s="1100">
        <f>'09월 조업일지'!B183</f>
        <v>46271</v>
      </c>
      <c r="C183" s="730">
        <f>'09월 조업일지'!G183</f>
        <v>85385</v>
      </c>
      <c r="D183" s="731" t="str">
        <f>'09월 조업일지'!E183</f>
        <v>A</v>
      </c>
      <c r="E183" s="732" t="str">
        <f>'09월 조업일지'!F183</f>
        <v>A</v>
      </c>
      <c r="F183" s="1096" t="str">
        <f>'09월 에너지'!F185</f>
        <v>SS400-02</v>
      </c>
      <c r="G183" s="733">
        <v>9</v>
      </c>
      <c r="H183" s="734">
        <v>23</v>
      </c>
      <c r="I183" s="734">
        <v>54</v>
      </c>
      <c r="J183" s="734">
        <v>21</v>
      </c>
      <c r="K183" s="735">
        <v>40</v>
      </c>
      <c r="L183" s="734">
        <v>15</v>
      </c>
      <c r="M183" s="736">
        <v>6</v>
      </c>
      <c r="N183" s="737">
        <v>619</v>
      </c>
      <c r="O183" s="737"/>
      <c r="P183" s="737">
        <v>1002</v>
      </c>
      <c r="Q183" s="737">
        <v>958</v>
      </c>
      <c r="R183" s="737"/>
      <c r="S183" s="737"/>
      <c r="T183" s="737">
        <v>68</v>
      </c>
      <c r="U183" s="738"/>
      <c r="V183" s="739">
        <v>618</v>
      </c>
      <c r="W183" s="737"/>
      <c r="X183" s="737">
        <v>1001</v>
      </c>
      <c r="Y183" s="737">
        <v>902</v>
      </c>
      <c r="Z183" s="1202">
        <v>64</v>
      </c>
      <c r="AA183" s="740"/>
      <c r="AB183" s="739">
        <v>0</v>
      </c>
      <c r="AC183" s="741"/>
      <c r="AD183" s="741">
        <v>271</v>
      </c>
      <c r="AE183" s="741">
        <v>330</v>
      </c>
      <c r="AF183" s="741">
        <v>0</v>
      </c>
      <c r="AG183" s="741">
        <v>111</v>
      </c>
      <c r="AH183" s="741">
        <v>804</v>
      </c>
      <c r="AI183" s="741">
        <v>326</v>
      </c>
      <c r="AJ183" s="741">
        <v>79</v>
      </c>
      <c r="AK183" s="741">
        <v>0</v>
      </c>
      <c r="AL183" s="741">
        <v>120</v>
      </c>
      <c r="AM183" s="742">
        <v>1384</v>
      </c>
      <c r="AN183" s="743">
        <f t="shared" si="14"/>
        <v>0.91344837030950421</v>
      </c>
      <c r="AO183" s="744">
        <f t="shared" si="15"/>
        <v>1.0047974413646057</v>
      </c>
      <c r="AP183" s="745">
        <f>'09월 에너지'!S185</f>
        <v>145</v>
      </c>
    </row>
    <row r="184" spans="1:42" ht="16.5" customHeight="1">
      <c r="A184" s="999">
        <f>'09월 조업일지'!A184</f>
        <v>46272</v>
      </c>
      <c r="B184" s="1100">
        <f>'09월 조업일지'!B184</f>
        <v>46271</v>
      </c>
      <c r="C184" s="730">
        <f>'09월 조업일지'!G184</f>
        <v>85386</v>
      </c>
      <c r="D184" s="731" t="str">
        <f>'09월 조업일지'!E184</f>
        <v>A</v>
      </c>
      <c r="E184" s="732" t="str">
        <f>'09월 조업일지'!F184</f>
        <v>B</v>
      </c>
      <c r="F184" s="1231" t="str">
        <f>'09월 에너지'!F186</f>
        <v>SHN275(BB)</v>
      </c>
      <c r="G184" s="733">
        <v>7</v>
      </c>
      <c r="H184" s="734">
        <v>20</v>
      </c>
      <c r="I184" s="734">
        <v>59</v>
      </c>
      <c r="J184" s="734">
        <v>19</v>
      </c>
      <c r="K184" s="735">
        <v>36</v>
      </c>
      <c r="L184" s="734">
        <v>18</v>
      </c>
      <c r="M184" s="736">
        <v>9</v>
      </c>
      <c r="N184" s="737">
        <v>413</v>
      </c>
      <c r="O184" s="737"/>
      <c r="P184" s="737">
        <v>1000</v>
      </c>
      <c r="Q184" s="737">
        <v>952</v>
      </c>
      <c r="R184" s="737"/>
      <c r="S184" s="737"/>
      <c r="T184" s="737">
        <v>0</v>
      </c>
      <c r="U184" s="738"/>
      <c r="V184" s="739">
        <v>418</v>
      </c>
      <c r="W184" s="737"/>
      <c r="X184" s="737">
        <v>1000</v>
      </c>
      <c r="Y184" s="737">
        <v>901</v>
      </c>
      <c r="Z184" s="1202">
        <v>0</v>
      </c>
      <c r="AA184" s="740"/>
      <c r="AB184" s="739">
        <v>0</v>
      </c>
      <c r="AC184" s="741"/>
      <c r="AD184" s="741">
        <v>270</v>
      </c>
      <c r="AE184" s="741">
        <v>451</v>
      </c>
      <c r="AF184" s="741">
        <v>0</v>
      </c>
      <c r="AG184" s="741">
        <v>95</v>
      </c>
      <c r="AH184" s="741">
        <v>855</v>
      </c>
      <c r="AI184" s="741">
        <v>390</v>
      </c>
      <c r="AJ184" s="741">
        <v>87</v>
      </c>
      <c r="AK184" s="741">
        <v>0</v>
      </c>
      <c r="AL184" s="741">
        <v>0</v>
      </c>
      <c r="AM184" s="742">
        <v>858</v>
      </c>
      <c r="AN184" s="743">
        <f t="shared" si="14"/>
        <v>0.68401663695781345</v>
      </c>
      <c r="AO184" s="744">
        <f t="shared" si="15"/>
        <v>1.0579114452798664</v>
      </c>
      <c r="AP184" s="745">
        <f>'09월 에너지'!S186</f>
        <v>143.9</v>
      </c>
    </row>
    <row r="185" spans="1:42" ht="16.5" customHeight="1">
      <c r="A185" s="999">
        <f>'09월 조업일지'!A185</f>
        <v>46272</v>
      </c>
      <c r="B185" s="1100">
        <f>'09월 조업일지'!B185</f>
        <v>46271</v>
      </c>
      <c r="C185" s="730">
        <f>'09월 조업일지'!G185</f>
        <v>85387</v>
      </c>
      <c r="D185" s="731" t="str">
        <f>'09월 조업일지'!E185</f>
        <v>A</v>
      </c>
      <c r="E185" s="732" t="str">
        <f>'09월 조업일지'!F185</f>
        <v>A</v>
      </c>
      <c r="F185" s="1096" t="str">
        <f>'09월 에너지'!F187</f>
        <v>SHN275(BB)</v>
      </c>
      <c r="G185" s="733">
        <v>9</v>
      </c>
      <c r="H185" s="734">
        <v>21</v>
      </c>
      <c r="I185" s="734">
        <v>55</v>
      </c>
      <c r="J185" s="734">
        <v>19</v>
      </c>
      <c r="K185" s="735">
        <v>35</v>
      </c>
      <c r="L185" s="734">
        <v>15</v>
      </c>
      <c r="M185" s="736">
        <v>6</v>
      </c>
      <c r="N185" s="737">
        <v>413</v>
      </c>
      <c r="O185" s="737"/>
      <c r="P185" s="737">
        <v>1001</v>
      </c>
      <c r="Q185" s="737">
        <v>954</v>
      </c>
      <c r="R185" s="737"/>
      <c r="S185" s="737"/>
      <c r="T185" s="737">
        <v>0</v>
      </c>
      <c r="U185" s="738"/>
      <c r="V185" s="739">
        <v>407</v>
      </c>
      <c r="W185" s="737"/>
      <c r="X185" s="737">
        <v>1000</v>
      </c>
      <c r="Y185" s="737">
        <v>902</v>
      </c>
      <c r="Z185" s="1202">
        <v>0</v>
      </c>
      <c r="AA185" s="740"/>
      <c r="AB185" s="739">
        <v>0</v>
      </c>
      <c r="AC185" s="741"/>
      <c r="AD185" s="741">
        <v>270</v>
      </c>
      <c r="AE185" s="741">
        <v>452</v>
      </c>
      <c r="AF185" s="741">
        <v>0</v>
      </c>
      <c r="AG185" s="741">
        <v>95</v>
      </c>
      <c r="AH185" s="741">
        <v>849</v>
      </c>
      <c r="AI185" s="741">
        <v>295</v>
      </c>
      <c r="AJ185" s="741">
        <v>87</v>
      </c>
      <c r="AK185" s="741">
        <v>0</v>
      </c>
      <c r="AL185" s="741">
        <v>0</v>
      </c>
      <c r="AM185" s="742">
        <v>1219</v>
      </c>
      <c r="AN185" s="743">
        <f t="shared" si="14"/>
        <v>0.86566265060240954</v>
      </c>
      <c r="AO185" s="744">
        <f t="shared" si="15"/>
        <v>0.96718828874305907</v>
      </c>
      <c r="AP185" s="745">
        <f>'09월 에너지'!S187</f>
        <v>143.69999999999999</v>
      </c>
    </row>
    <row r="186" spans="1:42" ht="16.5" customHeight="1">
      <c r="A186" s="999">
        <f>'09월 조업일지'!A186</f>
        <v>46272</v>
      </c>
      <c r="B186" s="1100">
        <f>'09월 조업일지'!B186</f>
        <v>46272</v>
      </c>
      <c r="C186" s="730">
        <f>'09월 조업일지'!G186</f>
        <v>85388</v>
      </c>
      <c r="D186" s="731" t="str">
        <f>'09월 조업일지'!E186</f>
        <v>B</v>
      </c>
      <c r="E186" s="732" t="str">
        <f>'09월 조업일지'!F186</f>
        <v>B</v>
      </c>
      <c r="F186" s="1096" t="str">
        <f>'09월 에너지'!F188</f>
        <v>SHN275(BB)</v>
      </c>
      <c r="G186" s="733">
        <v>8</v>
      </c>
      <c r="H186" s="734">
        <v>20</v>
      </c>
      <c r="I186" s="734">
        <v>55</v>
      </c>
      <c r="J186" s="734">
        <v>17</v>
      </c>
      <c r="K186" s="735">
        <v>28</v>
      </c>
      <c r="L186" s="734">
        <v>19</v>
      </c>
      <c r="M186" s="736">
        <v>8</v>
      </c>
      <c r="N186" s="737">
        <v>419</v>
      </c>
      <c r="O186" s="737"/>
      <c r="P186" s="737">
        <v>1001</v>
      </c>
      <c r="Q186" s="737">
        <v>951</v>
      </c>
      <c r="R186" s="737"/>
      <c r="S186" s="737"/>
      <c r="T186" s="737"/>
      <c r="U186" s="738"/>
      <c r="V186" s="739">
        <v>415</v>
      </c>
      <c r="W186" s="737"/>
      <c r="X186" s="737">
        <v>1000</v>
      </c>
      <c r="Y186" s="737">
        <v>904</v>
      </c>
      <c r="Z186" s="1202"/>
      <c r="AA186" s="740"/>
      <c r="AB186" s="739"/>
      <c r="AC186" s="741"/>
      <c r="AD186" s="741">
        <v>270</v>
      </c>
      <c r="AE186" s="741">
        <v>451</v>
      </c>
      <c r="AF186" s="741"/>
      <c r="AG186" s="741">
        <v>95</v>
      </c>
      <c r="AH186" s="741">
        <v>851</v>
      </c>
      <c r="AI186" s="741">
        <v>290</v>
      </c>
      <c r="AJ186" s="741">
        <v>95</v>
      </c>
      <c r="AK186" s="741"/>
      <c r="AL186" s="741"/>
      <c r="AM186" s="742">
        <v>1969</v>
      </c>
      <c r="AN186" s="743">
        <f t="shared" si="14"/>
        <v>0.82225119513255118</v>
      </c>
      <c r="AO186" s="744">
        <f t="shared" si="15"/>
        <v>0.9528286050025182</v>
      </c>
      <c r="AP186" s="745">
        <f>'09월 에너지'!S188</f>
        <v>141.9</v>
      </c>
    </row>
    <row r="187" spans="1:42" ht="16.5" customHeight="1">
      <c r="A187" s="999">
        <f>'09월 조업일지'!A187</f>
        <v>46272</v>
      </c>
      <c r="B187" s="1100">
        <f>'09월 조업일지'!B187</f>
        <v>46272</v>
      </c>
      <c r="C187" s="730">
        <f>'09월 조업일지'!G187</f>
        <v>85389</v>
      </c>
      <c r="D187" s="731" t="str">
        <f>'09월 조업일지'!E187</f>
        <v>B</v>
      </c>
      <c r="E187" s="732" t="str">
        <f>'09월 조업일지'!F187</f>
        <v>A</v>
      </c>
      <c r="F187" s="1096" t="str">
        <f>'09월 에너지'!F189</f>
        <v>SHN275(BB)</v>
      </c>
      <c r="G187" s="733">
        <v>8</v>
      </c>
      <c r="H187" s="734">
        <v>20</v>
      </c>
      <c r="I187" s="734">
        <v>51</v>
      </c>
      <c r="J187" s="734">
        <v>16</v>
      </c>
      <c r="K187" s="735">
        <v>33</v>
      </c>
      <c r="L187" s="734">
        <v>12</v>
      </c>
      <c r="M187" s="736">
        <v>6</v>
      </c>
      <c r="N187" s="737">
        <v>417</v>
      </c>
      <c r="O187" s="737"/>
      <c r="P187" s="737">
        <v>1000</v>
      </c>
      <c r="Q187" s="737">
        <v>952</v>
      </c>
      <c r="R187" s="737"/>
      <c r="S187" s="737"/>
      <c r="T187" s="737"/>
      <c r="U187" s="738"/>
      <c r="V187" s="739">
        <v>423</v>
      </c>
      <c r="W187" s="737"/>
      <c r="X187" s="737">
        <v>1001</v>
      </c>
      <c r="Y187" s="737">
        <v>903</v>
      </c>
      <c r="Z187" s="1202"/>
      <c r="AA187" s="740"/>
      <c r="AB187" s="739"/>
      <c r="AC187" s="741"/>
      <c r="AD187" s="741">
        <v>271</v>
      </c>
      <c r="AE187" s="741">
        <v>450</v>
      </c>
      <c r="AF187" s="741"/>
      <c r="AG187" s="741">
        <v>95</v>
      </c>
      <c r="AH187" s="741">
        <v>851</v>
      </c>
      <c r="AI187" s="741">
        <v>288</v>
      </c>
      <c r="AJ187" s="741">
        <v>87</v>
      </c>
      <c r="AK187" s="741"/>
      <c r="AL187" s="741"/>
      <c r="AM187" s="742">
        <v>2599</v>
      </c>
      <c r="AN187" s="743">
        <f t="shared" si="14"/>
        <v>0.84213589407827727</v>
      </c>
      <c r="AO187" s="744">
        <f t="shared" si="15"/>
        <v>0.87446701359744838</v>
      </c>
      <c r="AP187" s="745">
        <f>'09월 에너지'!S189</f>
        <v>144.69999999999999</v>
      </c>
    </row>
    <row r="188" spans="1:42" ht="16.5" customHeight="1">
      <c r="A188" s="999">
        <f>'09월 조업일지'!A188</f>
        <v>46272</v>
      </c>
      <c r="B188" s="1100">
        <f>'09월 조업일지'!B188</f>
        <v>46272</v>
      </c>
      <c r="C188" s="730">
        <f>'09월 조업일지'!G188</f>
        <v>85390</v>
      </c>
      <c r="D188" s="731" t="str">
        <f>'09월 조업일지'!E188</f>
        <v>B</v>
      </c>
      <c r="E188" s="732" t="str">
        <f>'09월 조업일지'!F188</f>
        <v>B</v>
      </c>
      <c r="F188" s="1231" t="str">
        <f>'09월 에너지'!F190</f>
        <v>S355JO-03</v>
      </c>
      <c r="G188" s="733">
        <v>13</v>
      </c>
      <c r="H188" s="734">
        <v>24</v>
      </c>
      <c r="I188" s="734">
        <v>127</v>
      </c>
      <c r="J188" s="734">
        <v>22</v>
      </c>
      <c r="K188" s="735">
        <v>30</v>
      </c>
      <c r="L188" s="734">
        <v>18</v>
      </c>
      <c r="M188" s="736">
        <v>10</v>
      </c>
      <c r="N188" s="737">
        <v>410</v>
      </c>
      <c r="O188" s="737"/>
      <c r="P188" s="737">
        <v>1000</v>
      </c>
      <c r="Q188" s="737">
        <v>957</v>
      </c>
      <c r="R188" s="737"/>
      <c r="S188" s="737"/>
      <c r="T188" s="737"/>
      <c r="U188" s="738"/>
      <c r="V188" s="739">
        <v>413</v>
      </c>
      <c r="W188" s="737"/>
      <c r="X188" s="737">
        <v>1001</v>
      </c>
      <c r="Y188" s="737">
        <v>903</v>
      </c>
      <c r="Z188" s="1202"/>
      <c r="AA188" s="740"/>
      <c r="AB188" s="739"/>
      <c r="AC188" s="741"/>
      <c r="AD188" s="741">
        <v>280</v>
      </c>
      <c r="AE188" s="741">
        <v>330</v>
      </c>
      <c r="AF188" s="741"/>
      <c r="AG188" s="741">
        <v>95</v>
      </c>
      <c r="AH188" s="741">
        <v>2347</v>
      </c>
      <c r="AI188" s="741"/>
      <c r="AJ188" s="741">
        <v>80</v>
      </c>
      <c r="AK188" s="741"/>
      <c r="AL188" s="741">
        <v>120</v>
      </c>
      <c r="AM188" s="742">
        <v>1445</v>
      </c>
      <c r="AN188" s="743">
        <f t="shared" si="14"/>
        <v>0.96327226246271835</v>
      </c>
      <c r="AO188" s="744">
        <f t="shared" si="15"/>
        <v>0.96327226246271846</v>
      </c>
      <c r="AP188" s="745">
        <f>'09월 에너지'!S190</f>
        <v>141.30000000000001</v>
      </c>
    </row>
    <row r="189" spans="1:42" ht="16.5" customHeight="1">
      <c r="A189" s="999">
        <f>'09월 조업일지'!A189</f>
        <v>46272</v>
      </c>
      <c r="B189" s="1100">
        <f>'09월 조업일지'!B189</f>
        <v>46272</v>
      </c>
      <c r="C189" s="730">
        <f>'09월 조업일지'!G189</f>
        <v>85391</v>
      </c>
      <c r="D189" s="731" t="str">
        <f>'09월 조업일지'!E189</f>
        <v>B</v>
      </c>
      <c r="E189" s="732" t="str">
        <f>'09월 조업일지'!F189</f>
        <v>A</v>
      </c>
      <c r="F189" s="1096" t="str">
        <f>'09월 에너지'!F191</f>
        <v>S355JO-03</v>
      </c>
      <c r="G189" s="733">
        <v>9</v>
      </c>
      <c r="H189" s="734">
        <v>13</v>
      </c>
      <c r="I189" s="734">
        <v>105</v>
      </c>
      <c r="J189" s="734">
        <v>16</v>
      </c>
      <c r="K189" s="735">
        <v>20</v>
      </c>
      <c r="L189" s="734">
        <v>17</v>
      </c>
      <c r="M189" s="736">
        <v>7</v>
      </c>
      <c r="N189" s="737">
        <v>416</v>
      </c>
      <c r="O189" s="737"/>
      <c r="P189" s="737">
        <v>1001</v>
      </c>
      <c r="Q189" s="737">
        <v>952</v>
      </c>
      <c r="R189" s="737"/>
      <c r="S189" s="737"/>
      <c r="T189" s="737"/>
      <c r="U189" s="738"/>
      <c r="V189" s="739">
        <v>425</v>
      </c>
      <c r="W189" s="737"/>
      <c r="X189" s="737">
        <v>1001</v>
      </c>
      <c r="Y189" s="737">
        <v>907</v>
      </c>
      <c r="Z189" s="1202"/>
      <c r="AA189" s="740"/>
      <c r="AB189" s="739"/>
      <c r="AC189" s="741"/>
      <c r="AD189" s="741">
        <v>282</v>
      </c>
      <c r="AE189" s="741">
        <v>330</v>
      </c>
      <c r="AF189" s="741"/>
      <c r="AG189" s="741">
        <v>95</v>
      </c>
      <c r="AH189" s="741">
        <v>2345</v>
      </c>
      <c r="AI189" s="741"/>
      <c r="AJ189" s="741">
        <v>85</v>
      </c>
      <c r="AK189" s="741"/>
      <c r="AL189" s="741">
        <v>121</v>
      </c>
      <c r="AM189" s="742">
        <v>1629</v>
      </c>
      <c r="AN189" s="743">
        <f t="shared" si="14"/>
        <v>0.53626154939587778</v>
      </c>
      <c r="AO189" s="744">
        <f t="shared" si="15"/>
        <v>0.79555284800487369</v>
      </c>
      <c r="AP189" s="745">
        <f>'09월 에너지'!S191</f>
        <v>145.1</v>
      </c>
    </row>
    <row r="190" spans="1:42" ht="16.5" customHeight="1">
      <c r="A190" s="999">
        <f>'09월 조업일지'!A190</f>
        <v>46272</v>
      </c>
      <c r="B190" s="1100">
        <f>'09월 조업일지'!B190</f>
        <v>46272</v>
      </c>
      <c r="C190" s="730">
        <f>'09월 조업일지'!G190</f>
        <v>85392</v>
      </c>
      <c r="D190" s="731" t="str">
        <f>'09월 조업일지'!E190</f>
        <v>B</v>
      </c>
      <c r="E190" s="732" t="str">
        <f>'09월 조업일지'!F190</f>
        <v>B</v>
      </c>
      <c r="F190" s="1096" t="str">
        <f>'09월 에너지'!F192</f>
        <v>S355JO-03</v>
      </c>
      <c r="G190" s="733">
        <v>13</v>
      </c>
      <c r="H190" s="734">
        <v>22</v>
      </c>
      <c r="I190" s="734">
        <v>123</v>
      </c>
      <c r="J190" s="734">
        <v>20</v>
      </c>
      <c r="K190" s="735">
        <v>37</v>
      </c>
      <c r="L190" s="734">
        <v>12</v>
      </c>
      <c r="M190" s="736">
        <v>11</v>
      </c>
      <c r="N190" s="737">
        <v>413</v>
      </c>
      <c r="O190" s="737"/>
      <c r="P190" s="737">
        <v>1001</v>
      </c>
      <c r="Q190" s="737">
        <v>952</v>
      </c>
      <c r="R190" s="737"/>
      <c r="S190" s="737"/>
      <c r="T190" s="737"/>
      <c r="U190" s="738"/>
      <c r="V190" s="739">
        <v>425</v>
      </c>
      <c r="W190" s="737"/>
      <c r="X190" s="737">
        <v>1001</v>
      </c>
      <c r="Y190" s="737">
        <v>907</v>
      </c>
      <c r="Z190" s="1202"/>
      <c r="AA190" s="740"/>
      <c r="AB190" s="739"/>
      <c r="AC190" s="741"/>
      <c r="AD190" s="741">
        <v>282</v>
      </c>
      <c r="AE190" s="741">
        <v>330</v>
      </c>
      <c r="AF190" s="741"/>
      <c r="AG190" s="741">
        <v>94</v>
      </c>
      <c r="AH190" s="741">
        <v>2346</v>
      </c>
      <c r="AI190" s="741"/>
      <c r="AJ190" s="741">
        <v>84</v>
      </c>
      <c r="AK190" s="741"/>
      <c r="AL190" s="741">
        <v>124</v>
      </c>
      <c r="AM190" s="742">
        <v>1607</v>
      </c>
      <c r="AN190" s="743">
        <f t="shared" si="14"/>
        <v>0.89525433361750506</v>
      </c>
      <c r="AO190" s="744">
        <f t="shared" si="15"/>
        <v>0.94176105224698581</v>
      </c>
      <c r="AP190" s="745">
        <f>'09월 에너지'!S192</f>
        <v>143.19999999999999</v>
      </c>
    </row>
    <row r="191" spans="1:42" ht="16.5" customHeight="1">
      <c r="A191" s="999">
        <f>'09월 조업일지'!A191</f>
        <v>46272</v>
      </c>
      <c r="B191" s="1100">
        <f>'09월 조업일지'!B191</f>
        <v>46272</v>
      </c>
      <c r="C191" s="730">
        <f>'09월 조업일지'!G191</f>
        <v>85393</v>
      </c>
      <c r="D191" s="731" t="str">
        <f>'09월 조업일지'!E191</f>
        <v>B</v>
      </c>
      <c r="E191" s="732" t="str">
        <f>'09월 조업일지'!F191</f>
        <v>A</v>
      </c>
      <c r="F191" s="1096" t="str">
        <f>'09월 에너지'!F193</f>
        <v>S355JO-03</v>
      </c>
      <c r="G191" s="733">
        <v>10</v>
      </c>
      <c r="H191" s="734">
        <v>17</v>
      </c>
      <c r="I191" s="734">
        <v>122</v>
      </c>
      <c r="J191" s="734">
        <v>16</v>
      </c>
      <c r="K191" s="735">
        <v>21</v>
      </c>
      <c r="L191" s="734">
        <v>15</v>
      </c>
      <c r="M191" s="736">
        <v>7</v>
      </c>
      <c r="N191" s="737">
        <v>405</v>
      </c>
      <c r="O191" s="737"/>
      <c r="P191" s="737">
        <v>1003</v>
      </c>
      <c r="Q191" s="737">
        <v>953</v>
      </c>
      <c r="R191" s="737"/>
      <c r="S191" s="737"/>
      <c r="T191" s="737"/>
      <c r="U191" s="738"/>
      <c r="V191" s="739">
        <v>405</v>
      </c>
      <c r="W191" s="737"/>
      <c r="X191" s="737">
        <v>1001</v>
      </c>
      <c r="Y191" s="737">
        <v>909</v>
      </c>
      <c r="Z191" s="1202"/>
      <c r="AA191" s="740"/>
      <c r="AB191" s="739"/>
      <c r="AC191" s="741"/>
      <c r="AD191" s="741">
        <v>282</v>
      </c>
      <c r="AE191" s="741">
        <v>330</v>
      </c>
      <c r="AF191" s="741"/>
      <c r="AG191" s="741">
        <v>95</v>
      </c>
      <c r="AH191" s="741">
        <v>2356</v>
      </c>
      <c r="AI191" s="741"/>
      <c r="AJ191" s="741">
        <v>81</v>
      </c>
      <c r="AK191" s="741"/>
      <c r="AL191" s="741">
        <v>128</v>
      </c>
      <c r="AM191" s="742">
        <v>2920</v>
      </c>
      <c r="AN191" s="743">
        <f t="shared" si="14"/>
        <v>0.68885116015846071</v>
      </c>
      <c r="AO191" s="744">
        <f t="shared" si="15"/>
        <v>0.92908076643220971</v>
      </c>
      <c r="AP191" s="745">
        <f>'09월 에너지'!S193</f>
        <v>143.19999999999999</v>
      </c>
    </row>
    <row r="192" spans="1:42" ht="16.5" customHeight="1">
      <c r="A192" s="999">
        <f>'09월 조업일지'!A192</f>
        <v>46272</v>
      </c>
      <c r="B192" s="1100">
        <f>'09월 조업일지'!B192</f>
        <v>46272</v>
      </c>
      <c r="C192" s="730">
        <f>'09월 조업일지'!G192</f>
        <v>85394</v>
      </c>
      <c r="D192" s="731" t="str">
        <f>'09월 조업일지'!E192</f>
        <v>B</v>
      </c>
      <c r="E192" s="732" t="str">
        <f>'09월 조업일지'!F192</f>
        <v>B</v>
      </c>
      <c r="F192" s="1096" t="str">
        <f>'09월 에너지'!F194</f>
        <v>S355JO-03</v>
      </c>
      <c r="G192" s="733">
        <v>12</v>
      </c>
      <c r="H192" s="734">
        <v>19</v>
      </c>
      <c r="I192" s="734">
        <v>123</v>
      </c>
      <c r="J192" s="734">
        <v>19</v>
      </c>
      <c r="K192" s="735">
        <v>26</v>
      </c>
      <c r="L192" s="734">
        <v>14</v>
      </c>
      <c r="M192" s="736">
        <v>13</v>
      </c>
      <c r="N192" s="737">
        <v>405</v>
      </c>
      <c r="O192" s="737"/>
      <c r="P192" s="737">
        <v>1003</v>
      </c>
      <c r="Q192" s="737">
        <v>952</v>
      </c>
      <c r="R192" s="737"/>
      <c r="S192" s="737"/>
      <c r="T192" s="737"/>
      <c r="U192" s="738"/>
      <c r="V192" s="739">
        <v>420</v>
      </c>
      <c r="W192" s="737"/>
      <c r="X192" s="737">
        <v>1002</v>
      </c>
      <c r="Y192" s="737">
        <v>903</v>
      </c>
      <c r="Z192" s="1202"/>
      <c r="AA192" s="740"/>
      <c r="AB192" s="739"/>
      <c r="AC192" s="741"/>
      <c r="AD192" s="741">
        <v>281</v>
      </c>
      <c r="AE192" s="741">
        <v>330</v>
      </c>
      <c r="AF192" s="741"/>
      <c r="AG192" s="741">
        <v>95</v>
      </c>
      <c r="AH192" s="741">
        <v>2354</v>
      </c>
      <c r="AI192" s="741"/>
      <c r="AJ192" s="741">
        <v>82</v>
      </c>
      <c r="AK192" s="741"/>
      <c r="AL192" s="741">
        <v>121</v>
      </c>
      <c r="AM192" s="742">
        <v>2567</v>
      </c>
      <c r="AN192" s="743">
        <f t="shared" si="14"/>
        <v>0.76408949306145579</v>
      </c>
      <c r="AO192" s="744">
        <f t="shared" si="15"/>
        <v>0.93069547275154751</v>
      </c>
      <c r="AP192" s="745">
        <f>'09월 에너지'!S194</f>
        <v>142</v>
      </c>
    </row>
    <row r="193" spans="1:42" ht="16.5" customHeight="1">
      <c r="A193" s="999">
        <f>'09월 조업일지'!A193</f>
        <v>46272</v>
      </c>
      <c r="B193" s="1100">
        <f>'09월 조업일지'!B193</f>
        <v>46272</v>
      </c>
      <c r="C193" s="730">
        <f>'09월 조업일지'!G193</f>
        <v>85395</v>
      </c>
      <c r="D193" s="731" t="str">
        <f>'09월 조업일지'!E193</f>
        <v>B</v>
      </c>
      <c r="E193" s="732" t="str">
        <f>'09월 조업일지'!F193</f>
        <v>A</v>
      </c>
      <c r="F193" s="1096" t="str">
        <f>'09월 에너지'!F195</f>
        <v>S355JO-03</v>
      </c>
      <c r="G193" s="733">
        <v>10</v>
      </c>
      <c r="H193" s="734">
        <v>17</v>
      </c>
      <c r="I193" s="734">
        <v>120</v>
      </c>
      <c r="J193" s="734">
        <v>16</v>
      </c>
      <c r="K193" s="735">
        <v>24</v>
      </c>
      <c r="L193" s="734">
        <v>15</v>
      </c>
      <c r="M193" s="736">
        <v>6</v>
      </c>
      <c r="N193" s="737">
        <v>417</v>
      </c>
      <c r="O193" s="737"/>
      <c r="P193" s="737">
        <v>1002</v>
      </c>
      <c r="Q193" s="737">
        <v>959</v>
      </c>
      <c r="R193" s="737"/>
      <c r="S193" s="737"/>
      <c r="T193" s="737"/>
      <c r="U193" s="738"/>
      <c r="V193" s="739">
        <v>421</v>
      </c>
      <c r="W193" s="737"/>
      <c r="X193" s="737">
        <v>1001</v>
      </c>
      <c r="Y193" s="737">
        <v>903</v>
      </c>
      <c r="Z193" s="1202"/>
      <c r="AA193" s="740"/>
      <c r="AB193" s="739"/>
      <c r="AC193" s="741"/>
      <c r="AD193" s="741">
        <v>281</v>
      </c>
      <c r="AE193" s="741">
        <v>330</v>
      </c>
      <c r="AF193" s="741"/>
      <c r="AG193" s="741">
        <v>95</v>
      </c>
      <c r="AH193" s="741">
        <v>2359</v>
      </c>
      <c r="AI193" s="741"/>
      <c r="AJ193" s="741">
        <v>84</v>
      </c>
      <c r="AK193" s="741"/>
      <c r="AL193" s="741">
        <v>125</v>
      </c>
      <c r="AM193" s="742">
        <v>2483</v>
      </c>
      <c r="AN193" s="743">
        <f t="shared" si="14"/>
        <v>0.68797513070510108</v>
      </c>
      <c r="AO193" s="744">
        <f t="shared" si="15"/>
        <v>0.91055532005086903</v>
      </c>
      <c r="AP193" s="745">
        <f>'09월 에너지'!S195</f>
        <v>143.19999999999999</v>
      </c>
    </row>
    <row r="194" spans="1:42" ht="16.5" customHeight="1">
      <c r="A194" s="999">
        <f>'09월 조업일지'!A194</f>
        <v>46272</v>
      </c>
      <c r="B194" s="1100">
        <f>'09월 조업일지'!B194</f>
        <v>46272</v>
      </c>
      <c r="C194" s="730">
        <f>'09월 조업일지'!G194</f>
        <v>85396</v>
      </c>
      <c r="D194" s="731" t="str">
        <f>'09월 조업일지'!E194</f>
        <v>B</v>
      </c>
      <c r="E194" s="732" t="str">
        <f>'09월 조업일지'!F194</f>
        <v>B</v>
      </c>
      <c r="F194" s="1096" t="str">
        <f>'09월 에너지'!F196</f>
        <v>S355JO-03</v>
      </c>
      <c r="G194" s="733">
        <v>11</v>
      </c>
      <c r="H194" s="734">
        <v>22</v>
      </c>
      <c r="I194" s="734">
        <v>126</v>
      </c>
      <c r="J194" s="734">
        <v>18</v>
      </c>
      <c r="K194" s="735">
        <v>34</v>
      </c>
      <c r="L194" s="734">
        <v>13</v>
      </c>
      <c r="M194" s="736">
        <v>8</v>
      </c>
      <c r="N194" s="737">
        <v>415</v>
      </c>
      <c r="O194" s="737"/>
      <c r="P194" s="737">
        <v>1001</v>
      </c>
      <c r="Q194" s="737">
        <v>960</v>
      </c>
      <c r="R194" s="737"/>
      <c r="S194" s="737"/>
      <c r="T194" s="737"/>
      <c r="U194" s="738"/>
      <c r="V194" s="739">
        <v>411</v>
      </c>
      <c r="W194" s="737"/>
      <c r="X194" s="737">
        <v>1002</v>
      </c>
      <c r="Y194" s="737">
        <v>903</v>
      </c>
      <c r="Z194" s="1202"/>
      <c r="AA194" s="740"/>
      <c r="AB194" s="739"/>
      <c r="AC194" s="741"/>
      <c r="AD194" s="741">
        <v>282</v>
      </c>
      <c r="AE194" s="741">
        <v>330</v>
      </c>
      <c r="AF194" s="741"/>
      <c r="AG194" s="741">
        <v>95</v>
      </c>
      <c r="AH194" s="741">
        <v>2360</v>
      </c>
      <c r="AI194" s="741"/>
      <c r="AJ194" s="741">
        <v>94</v>
      </c>
      <c r="AK194" s="741"/>
      <c r="AL194" s="741">
        <v>122</v>
      </c>
      <c r="AM194" s="742">
        <v>2590</v>
      </c>
      <c r="AN194" s="743">
        <f t="shared" si="14"/>
        <v>0.89677966101694906</v>
      </c>
      <c r="AO194" s="744">
        <f t="shared" si="15"/>
        <v>0.9695702179176755</v>
      </c>
      <c r="AP194" s="745">
        <f>'09월 에너지'!S196</f>
        <v>144.30000000000001</v>
      </c>
    </row>
    <row r="195" spans="1:42" ht="16.5" customHeight="1">
      <c r="A195" s="999">
        <f>'09월 조업일지'!A195</f>
        <v>46272</v>
      </c>
      <c r="B195" s="1100">
        <f>'09월 조업일지'!B195</f>
        <v>46272</v>
      </c>
      <c r="C195" s="730">
        <f>'09월 조업일지'!G195</f>
        <v>85397</v>
      </c>
      <c r="D195" s="731" t="str">
        <f>'09월 조업일지'!E195</f>
        <v>B</v>
      </c>
      <c r="E195" s="732" t="str">
        <f>'09월 조업일지'!F195</f>
        <v>A</v>
      </c>
      <c r="F195" s="1096" t="str">
        <f>'09월 에너지'!F197</f>
        <v>S355JO-03</v>
      </c>
      <c r="G195" s="733">
        <v>10</v>
      </c>
      <c r="H195" s="734">
        <v>17</v>
      </c>
      <c r="I195" s="734">
        <v>119</v>
      </c>
      <c r="J195" s="734">
        <v>15</v>
      </c>
      <c r="K195" s="735">
        <v>20</v>
      </c>
      <c r="L195" s="734">
        <v>12</v>
      </c>
      <c r="M195" s="736">
        <v>11</v>
      </c>
      <c r="N195" s="737">
        <v>403</v>
      </c>
      <c r="O195" s="737"/>
      <c r="P195" s="737">
        <v>1003</v>
      </c>
      <c r="Q195" s="737">
        <v>956</v>
      </c>
      <c r="R195" s="737"/>
      <c r="S195" s="737"/>
      <c r="T195" s="737"/>
      <c r="U195" s="738"/>
      <c r="V195" s="739">
        <v>411</v>
      </c>
      <c r="W195" s="737"/>
      <c r="X195" s="737">
        <v>1001</v>
      </c>
      <c r="Y195" s="737">
        <v>904</v>
      </c>
      <c r="Z195" s="1202"/>
      <c r="AA195" s="740"/>
      <c r="AB195" s="739"/>
      <c r="AC195" s="741"/>
      <c r="AD195" s="741">
        <v>281</v>
      </c>
      <c r="AE195" s="741">
        <v>330</v>
      </c>
      <c r="AF195" s="741"/>
      <c r="AG195" s="741">
        <v>95</v>
      </c>
      <c r="AH195" s="741">
        <v>2353</v>
      </c>
      <c r="AI195" s="741"/>
      <c r="AJ195" s="741">
        <v>86</v>
      </c>
      <c r="AK195" s="741"/>
      <c r="AL195" s="741">
        <v>128</v>
      </c>
      <c r="AM195" s="742">
        <v>2269</v>
      </c>
      <c r="AN195" s="743">
        <f t="shared" si="14"/>
        <v>0.68876611418047884</v>
      </c>
      <c r="AO195" s="744">
        <f t="shared" si="15"/>
        <v>0.90292028413575387</v>
      </c>
      <c r="AP195" s="745">
        <f>'09월 에너지'!S197</f>
        <v>143</v>
      </c>
    </row>
    <row r="196" spans="1:42" ht="16.5" customHeight="1">
      <c r="A196" s="999">
        <f>'09월 조업일지'!A196</f>
        <v>46272</v>
      </c>
      <c r="B196" s="1100">
        <f>'09월 조업일지'!B196</f>
        <v>46272</v>
      </c>
      <c r="C196" s="730">
        <f>'09월 조업일지'!G196</f>
        <v>85398</v>
      </c>
      <c r="D196" s="731" t="str">
        <f>'09월 조업일지'!E196</f>
        <v>D</v>
      </c>
      <c r="E196" s="732" t="str">
        <f>'09월 조업일지'!F196</f>
        <v>B</v>
      </c>
      <c r="F196" s="1096" t="str">
        <f>'09월 에너지'!F198</f>
        <v>S355JO-03</v>
      </c>
      <c r="G196" s="733">
        <v>10</v>
      </c>
      <c r="H196" s="734">
        <v>19</v>
      </c>
      <c r="I196" s="734">
        <v>120</v>
      </c>
      <c r="J196" s="734">
        <v>15</v>
      </c>
      <c r="K196" s="735">
        <v>34</v>
      </c>
      <c r="L196" s="734">
        <v>14</v>
      </c>
      <c r="M196" s="736">
        <v>9</v>
      </c>
      <c r="N196" s="737">
        <v>411</v>
      </c>
      <c r="O196" s="737"/>
      <c r="P196" s="737">
        <v>1001</v>
      </c>
      <c r="Q196" s="737">
        <v>951</v>
      </c>
      <c r="R196" s="737"/>
      <c r="S196" s="737"/>
      <c r="T196" s="737"/>
      <c r="U196" s="738"/>
      <c r="V196" s="739">
        <v>412</v>
      </c>
      <c r="W196" s="737"/>
      <c r="X196" s="737">
        <v>1002</v>
      </c>
      <c r="Y196" s="737">
        <v>909</v>
      </c>
      <c r="Z196" s="1202"/>
      <c r="AA196" s="740"/>
      <c r="AB196" s="739"/>
      <c r="AC196" s="741"/>
      <c r="AD196" s="741">
        <v>281</v>
      </c>
      <c r="AE196" s="741">
        <v>330</v>
      </c>
      <c r="AF196" s="741"/>
      <c r="AG196" s="741">
        <v>95</v>
      </c>
      <c r="AH196" s="741">
        <v>2351</v>
      </c>
      <c r="AI196" s="741"/>
      <c r="AJ196" s="741">
        <v>82</v>
      </c>
      <c r="AK196" s="741"/>
      <c r="AL196" s="741">
        <v>133</v>
      </c>
      <c r="AM196" s="742">
        <v>611</v>
      </c>
      <c r="AN196" s="743">
        <f t="shared" si="14"/>
        <v>0.77476251240606842</v>
      </c>
      <c r="AO196" s="744">
        <f t="shared" si="15"/>
        <v>0.9174819225861337</v>
      </c>
      <c r="AP196" s="745">
        <f>'09월 에너지'!S198</f>
        <v>143.80000000000001</v>
      </c>
    </row>
    <row r="197" spans="1:42" ht="16.5" customHeight="1">
      <c r="A197" s="999">
        <f>'09월 조업일지'!A197</f>
        <v>46272</v>
      </c>
      <c r="B197" s="1100">
        <f>'09월 조업일지'!B197</f>
        <v>46272</v>
      </c>
      <c r="C197" s="730">
        <f>'09월 조업일지'!G197</f>
        <v>85399</v>
      </c>
      <c r="D197" s="731" t="str">
        <f>'09월 조업일지'!E197</f>
        <v>D</v>
      </c>
      <c r="E197" s="732" t="str">
        <f>'09월 조업일지'!F197</f>
        <v>A</v>
      </c>
      <c r="F197" s="1096" t="str">
        <f>'09월 에너지'!F199</f>
        <v>S355JO-03</v>
      </c>
      <c r="G197" s="733">
        <v>10</v>
      </c>
      <c r="H197" s="734">
        <v>21</v>
      </c>
      <c r="I197" s="734">
        <v>124</v>
      </c>
      <c r="J197" s="734">
        <v>17</v>
      </c>
      <c r="K197" s="735">
        <v>24</v>
      </c>
      <c r="L197" s="734">
        <v>13</v>
      </c>
      <c r="M197" s="736">
        <v>9</v>
      </c>
      <c r="N197" s="737">
        <v>419</v>
      </c>
      <c r="O197" s="737"/>
      <c r="P197" s="737">
        <v>1001</v>
      </c>
      <c r="Q197" s="737">
        <v>951</v>
      </c>
      <c r="R197" s="737"/>
      <c r="S197" s="737"/>
      <c r="T197" s="737"/>
      <c r="U197" s="738"/>
      <c r="V197" s="739">
        <v>421</v>
      </c>
      <c r="W197" s="737"/>
      <c r="X197" s="737">
        <v>1000</v>
      </c>
      <c r="Y197" s="737">
        <v>906</v>
      </c>
      <c r="Z197" s="1202"/>
      <c r="AA197" s="740"/>
      <c r="AB197" s="739"/>
      <c r="AC197" s="741"/>
      <c r="AD197" s="741">
        <v>282</v>
      </c>
      <c r="AE197" s="741">
        <v>330</v>
      </c>
      <c r="AF197" s="741"/>
      <c r="AG197" s="741">
        <v>95</v>
      </c>
      <c r="AH197" s="741">
        <v>2366</v>
      </c>
      <c r="AI197" s="741"/>
      <c r="AJ197" s="741">
        <v>87</v>
      </c>
      <c r="AK197" s="741"/>
      <c r="AL197" s="741">
        <v>133</v>
      </c>
      <c r="AM197" s="742">
        <v>3250</v>
      </c>
      <c r="AN197" s="743">
        <f t="shared" si="14"/>
        <v>0.83846153846153848</v>
      </c>
      <c r="AO197" s="744">
        <f t="shared" si="15"/>
        <v>0.9325745682888541</v>
      </c>
      <c r="AP197" s="745">
        <f>'09월 에너지'!S199</f>
        <v>141.69999999999999</v>
      </c>
    </row>
    <row r="198" spans="1:42" ht="16.5" customHeight="1">
      <c r="A198" s="999">
        <f>'09월 조업일지'!A198</f>
        <v>46272</v>
      </c>
      <c r="B198" s="1100">
        <f>'09월 조업일지'!B198</f>
        <v>46272</v>
      </c>
      <c r="C198" s="730">
        <f>'09월 조업일지'!G198</f>
        <v>85400</v>
      </c>
      <c r="D198" s="731" t="str">
        <f>'09월 조업일지'!E198</f>
        <v>D</v>
      </c>
      <c r="E198" s="732" t="str">
        <f>'09월 조업일지'!F198</f>
        <v>B</v>
      </c>
      <c r="F198" s="1096" t="str">
        <f>'09월 에너지'!F200</f>
        <v>S355JO-03</v>
      </c>
      <c r="G198" s="733">
        <v>10</v>
      </c>
      <c r="H198" s="734">
        <v>22</v>
      </c>
      <c r="I198" s="734">
        <v>126</v>
      </c>
      <c r="J198" s="734">
        <v>17</v>
      </c>
      <c r="K198" s="735">
        <v>26</v>
      </c>
      <c r="L198" s="734">
        <v>13</v>
      </c>
      <c r="M198" s="736">
        <v>8</v>
      </c>
      <c r="N198" s="737">
        <v>413</v>
      </c>
      <c r="O198" s="737"/>
      <c r="P198" s="737">
        <v>1000</v>
      </c>
      <c r="Q198" s="737">
        <v>954</v>
      </c>
      <c r="R198" s="737"/>
      <c r="S198" s="737"/>
      <c r="T198" s="737"/>
      <c r="U198" s="738"/>
      <c r="V198" s="739">
        <v>418</v>
      </c>
      <c r="W198" s="737"/>
      <c r="X198" s="737">
        <v>1003</v>
      </c>
      <c r="Y198" s="737">
        <v>903</v>
      </c>
      <c r="Z198" s="1202"/>
      <c r="AA198" s="740"/>
      <c r="AB198" s="739"/>
      <c r="AC198" s="741"/>
      <c r="AD198" s="741">
        <v>283</v>
      </c>
      <c r="AE198" s="741">
        <v>331</v>
      </c>
      <c r="AF198" s="741"/>
      <c r="AG198" s="741">
        <v>95</v>
      </c>
      <c r="AH198" s="741">
        <v>2355</v>
      </c>
      <c r="AI198" s="741"/>
      <c r="AJ198" s="741">
        <v>84</v>
      </c>
      <c r="AK198" s="741"/>
      <c r="AL198" s="741">
        <v>126</v>
      </c>
      <c r="AM198" s="742">
        <v>1196</v>
      </c>
      <c r="AN198" s="743">
        <f t="shared" si="14"/>
        <v>0.88809624911535745</v>
      </c>
      <c r="AO198" s="744">
        <f t="shared" si="15"/>
        <v>0.960181983621474</v>
      </c>
      <c r="AP198" s="745">
        <f>'09월 에너지'!S200</f>
        <v>142.6</v>
      </c>
    </row>
    <row r="199" spans="1:42" ht="16.5" customHeight="1">
      <c r="A199" s="999">
        <f>'09월 조업일지'!A199</f>
        <v>46272</v>
      </c>
      <c r="B199" s="1100">
        <f>'09월 조업일지'!B199</f>
        <v>46272</v>
      </c>
      <c r="C199" s="730">
        <f>'09월 조업일지'!G199</f>
        <v>85401</v>
      </c>
      <c r="D199" s="731" t="str">
        <f>'09월 조업일지'!E199</f>
        <v>D</v>
      </c>
      <c r="E199" s="732" t="str">
        <f>'09월 조업일지'!F199</f>
        <v>A</v>
      </c>
      <c r="F199" s="1096" t="str">
        <f>'09월 에너지'!F201</f>
        <v>S355JO-03</v>
      </c>
      <c r="G199" s="733">
        <v>12</v>
      </c>
      <c r="H199" s="734">
        <v>20</v>
      </c>
      <c r="I199" s="734">
        <v>128</v>
      </c>
      <c r="J199" s="734">
        <v>16</v>
      </c>
      <c r="K199" s="735">
        <v>33</v>
      </c>
      <c r="L199" s="734">
        <v>15</v>
      </c>
      <c r="M199" s="736">
        <v>11</v>
      </c>
      <c r="N199" s="737">
        <v>422</v>
      </c>
      <c r="O199" s="737"/>
      <c r="P199" s="737">
        <v>1001</v>
      </c>
      <c r="Q199" s="737">
        <v>953</v>
      </c>
      <c r="R199" s="737"/>
      <c r="S199" s="737"/>
      <c r="T199" s="737"/>
      <c r="U199" s="738"/>
      <c r="V199" s="739">
        <v>415</v>
      </c>
      <c r="W199" s="737"/>
      <c r="X199" s="737">
        <v>1001</v>
      </c>
      <c r="Y199" s="737">
        <v>901</v>
      </c>
      <c r="Z199" s="1202"/>
      <c r="AA199" s="740"/>
      <c r="AB199" s="739"/>
      <c r="AC199" s="741"/>
      <c r="AD199" s="741">
        <v>282</v>
      </c>
      <c r="AE199" s="741">
        <v>331</v>
      </c>
      <c r="AF199" s="741"/>
      <c r="AG199" s="741">
        <v>96</v>
      </c>
      <c r="AH199" s="741">
        <v>2355</v>
      </c>
      <c r="AI199" s="741"/>
      <c r="AJ199" s="741">
        <v>82</v>
      </c>
      <c r="AK199" s="741"/>
      <c r="AL199" s="741">
        <v>123</v>
      </c>
      <c r="AM199" s="742">
        <v>4386</v>
      </c>
      <c r="AN199" s="743">
        <f t="shared" si="14"/>
        <v>0.80169851380042456</v>
      </c>
      <c r="AO199" s="744">
        <f t="shared" si="15"/>
        <v>0.97062784349408548</v>
      </c>
      <c r="AP199" s="745">
        <f>'09월 에너지'!S201</f>
        <v>141.6</v>
      </c>
    </row>
    <row r="200" spans="1:42" ht="16.5" customHeight="1">
      <c r="A200" s="999">
        <f>'09월 조업일지'!A200</f>
        <v>46272</v>
      </c>
      <c r="B200" s="1100">
        <f>'09월 조업일지'!B200</f>
        <v>46272</v>
      </c>
      <c r="C200" s="730">
        <f>'09월 조업일지'!G200</f>
        <v>85402</v>
      </c>
      <c r="D200" s="731" t="str">
        <f>'09월 조업일지'!E200</f>
        <v>D</v>
      </c>
      <c r="E200" s="732" t="str">
        <f>'09월 조업일지'!F200</f>
        <v>B</v>
      </c>
      <c r="F200" s="1096" t="str">
        <f>'09월 에너지'!F202</f>
        <v>S355JO-03</v>
      </c>
      <c r="G200" s="733">
        <v>11</v>
      </c>
      <c r="H200" s="734">
        <v>20</v>
      </c>
      <c r="I200" s="734">
        <v>121</v>
      </c>
      <c r="J200" s="734">
        <v>12</v>
      </c>
      <c r="K200" s="735">
        <v>20</v>
      </c>
      <c r="L200" s="734">
        <v>12</v>
      </c>
      <c r="M200" s="736">
        <v>12</v>
      </c>
      <c r="N200" s="737">
        <v>420</v>
      </c>
      <c r="O200" s="737"/>
      <c r="P200" s="737">
        <v>1001</v>
      </c>
      <c r="Q200" s="737">
        <v>951</v>
      </c>
      <c r="R200" s="737"/>
      <c r="S200" s="737"/>
      <c r="T200" s="737"/>
      <c r="U200" s="738"/>
      <c r="V200" s="739">
        <v>418</v>
      </c>
      <c r="W200" s="737"/>
      <c r="X200" s="737">
        <v>1002</v>
      </c>
      <c r="Y200" s="737">
        <v>900</v>
      </c>
      <c r="Z200" s="1202"/>
      <c r="AA200" s="740"/>
      <c r="AB200" s="739"/>
      <c r="AC200" s="741"/>
      <c r="AD200" s="741">
        <v>283</v>
      </c>
      <c r="AE200" s="741">
        <v>330</v>
      </c>
      <c r="AF200" s="741"/>
      <c r="AG200" s="741">
        <v>95</v>
      </c>
      <c r="AH200" s="741">
        <v>2353</v>
      </c>
      <c r="AI200" s="741"/>
      <c r="AJ200" s="741">
        <v>86</v>
      </c>
      <c r="AK200" s="741"/>
      <c r="AL200" s="741">
        <v>126</v>
      </c>
      <c r="AM200" s="742">
        <v>2398</v>
      </c>
      <c r="AN200" s="743">
        <f t="shared" si="14"/>
        <v>0.81484629550927901</v>
      </c>
      <c r="AO200" s="744">
        <f t="shared" si="15"/>
        <v>0.92543257847125249</v>
      </c>
      <c r="AP200" s="745">
        <f>'09월 에너지'!S202</f>
        <v>143.80000000000001</v>
      </c>
    </row>
    <row r="201" spans="1:42" ht="16.5" customHeight="1">
      <c r="A201" s="999">
        <f>'09월 조업일지'!A201</f>
        <v>46272</v>
      </c>
      <c r="B201" s="1100">
        <f>'09월 조업일지'!B201</f>
        <v>46272</v>
      </c>
      <c r="C201" s="730">
        <f>'09월 조업일지'!G201</f>
        <v>85403</v>
      </c>
      <c r="D201" s="731" t="str">
        <f>'09월 조업일지'!E201</f>
        <v>D</v>
      </c>
      <c r="E201" s="732" t="str">
        <f>'09월 조업일지'!F201</f>
        <v>A</v>
      </c>
      <c r="F201" s="1096" t="str">
        <f>'09월 에너지'!F203</f>
        <v>S355JO-03</v>
      </c>
      <c r="G201" s="733">
        <v>9</v>
      </c>
      <c r="H201" s="734">
        <v>21</v>
      </c>
      <c r="I201" s="734">
        <v>126</v>
      </c>
      <c r="J201" s="734">
        <v>15</v>
      </c>
      <c r="K201" s="735">
        <v>28</v>
      </c>
      <c r="L201" s="734">
        <v>16</v>
      </c>
      <c r="M201" s="736">
        <v>13</v>
      </c>
      <c r="N201" s="737">
        <v>417</v>
      </c>
      <c r="O201" s="737"/>
      <c r="P201" s="737">
        <v>1003</v>
      </c>
      <c r="Q201" s="737">
        <v>951</v>
      </c>
      <c r="R201" s="737"/>
      <c r="S201" s="737"/>
      <c r="T201" s="737"/>
      <c r="U201" s="738"/>
      <c r="V201" s="739">
        <v>423</v>
      </c>
      <c r="W201" s="737"/>
      <c r="X201" s="737">
        <v>1001</v>
      </c>
      <c r="Y201" s="737">
        <v>904</v>
      </c>
      <c r="Z201" s="1202"/>
      <c r="AA201" s="740"/>
      <c r="AB201" s="739"/>
      <c r="AC201" s="741"/>
      <c r="AD201" s="741">
        <v>281</v>
      </c>
      <c r="AE201" s="741">
        <v>330</v>
      </c>
      <c r="AF201" s="741"/>
      <c r="AG201" s="741">
        <v>95</v>
      </c>
      <c r="AH201" s="741">
        <v>2354</v>
      </c>
      <c r="AI201" s="741"/>
      <c r="AJ201" s="741">
        <v>86</v>
      </c>
      <c r="AK201" s="741"/>
      <c r="AL201" s="741">
        <v>121</v>
      </c>
      <c r="AM201" s="742">
        <v>2874</v>
      </c>
      <c r="AN201" s="743">
        <f t="shared" si="14"/>
        <v>0.84570943075615979</v>
      </c>
      <c r="AO201" s="744">
        <f t="shared" si="15"/>
        <v>0.95789537565238503</v>
      </c>
      <c r="AP201" s="745">
        <f>'09월 에너지'!S203</f>
        <v>142.19999999999999</v>
      </c>
    </row>
    <row r="202" spans="1:42" ht="16.5" customHeight="1">
      <c r="A202" s="999">
        <f>'09월 조업일지'!A202</f>
        <v>46272</v>
      </c>
      <c r="B202" s="1100">
        <f>'09월 조업일지'!B202</f>
        <v>46272</v>
      </c>
      <c r="C202" s="730">
        <f>'09월 조업일지'!G202</f>
        <v>85404</v>
      </c>
      <c r="D202" s="731" t="str">
        <f>'09월 조업일지'!E202</f>
        <v>D</v>
      </c>
      <c r="E202" s="732" t="str">
        <f>'09월 조업일지'!F202</f>
        <v>B</v>
      </c>
      <c r="F202" s="1096" t="str">
        <f>'09월 에너지'!F204</f>
        <v>S355JO-03</v>
      </c>
      <c r="G202" s="733">
        <v>11</v>
      </c>
      <c r="H202" s="734">
        <v>19</v>
      </c>
      <c r="I202" s="734">
        <v>123</v>
      </c>
      <c r="J202" s="734">
        <v>15</v>
      </c>
      <c r="K202" s="735">
        <v>29</v>
      </c>
      <c r="L202" s="734">
        <v>14</v>
      </c>
      <c r="M202" s="736">
        <v>15</v>
      </c>
      <c r="N202" s="737">
        <v>430</v>
      </c>
      <c r="O202" s="737"/>
      <c r="P202" s="737">
        <v>1003</v>
      </c>
      <c r="Q202" s="737">
        <v>952</v>
      </c>
      <c r="R202" s="737"/>
      <c r="S202" s="737"/>
      <c r="T202" s="737"/>
      <c r="U202" s="738"/>
      <c r="V202" s="739">
        <v>419</v>
      </c>
      <c r="W202" s="737"/>
      <c r="X202" s="737">
        <v>1000</v>
      </c>
      <c r="Y202" s="737">
        <v>902</v>
      </c>
      <c r="Z202" s="1202"/>
      <c r="AA202" s="740"/>
      <c r="AB202" s="739"/>
      <c r="AC202" s="741"/>
      <c r="AD202" s="741">
        <v>282</v>
      </c>
      <c r="AE202" s="741">
        <v>330</v>
      </c>
      <c r="AF202" s="741"/>
      <c r="AG202" s="741">
        <v>95</v>
      </c>
      <c r="AH202" s="741">
        <v>2349</v>
      </c>
      <c r="AI202" s="741"/>
      <c r="AJ202" s="741">
        <v>88</v>
      </c>
      <c r="AK202" s="741"/>
      <c r="AL202" s="741">
        <v>122</v>
      </c>
      <c r="AM202" s="742">
        <v>1353</v>
      </c>
      <c r="AN202" s="743">
        <f t="shared" si="14"/>
        <v>0.77811834823329085</v>
      </c>
      <c r="AO202" s="744">
        <f t="shared" si="15"/>
        <v>0.94778325123152718</v>
      </c>
      <c r="AP202" s="745">
        <f>'09월 에너지'!S204</f>
        <v>144.30000000000001</v>
      </c>
    </row>
    <row r="203" spans="1:42" ht="16.5" customHeight="1">
      <c r="A203" s="999">
        <f>'09월 조업일지'!A203</f>
        <v>46272</v>
      </c>
      <c r="B203" s="1100">
        <f>'09월 조업일지'!B203</f>
        <v>46272</v>
      </c>
      <c r="C203" s="730">
        <f>'09월 조업일지'!G203</f>
        <v>85405</v>
      </c>
      <c r="D203" s="731" t="str">
        <f>'09월 조업일지'!E203</f>
        <v>D</v>
      </c>
      <c r="E203" s="732" t="str">
        <f>'09월 조업일지'!F203</f>
        <v>A</v>
      </c>
      <c r="F203" s="1096" t="str">
        <f>'09월 에너지'!F205</f>
        <v>S355JO-03</v>
      </c>
      <c r="G203" s="733">
        <v>12</v>
      </c>
      <c r="H203" s="734">
        <v>24</v>
      </c>
      <c r="I203" s="734">
        <v>129</v>
      </c>
      <c r="J203" s="734">
        <v>16</v>
      </c>
      <c r="K203" s="735">
        <v>31</v>
      </c>
      <c r="L203" s="734">
        <v>13</v>
      </c>
      <c r="M203" s="736">
        <v>10</v>
      </c>
      <c r="N203" s="737">
        <v>418</v>
      </c>
      <c r="O203" s="737"/>
      <c r="P203" s="737">
        <v>1000</v>
      </c>
      <c r="Q203" s="737">
        <v>951</v>
      </c>
      <c r="R203" s="737"/>
      <c r="S203" s="737"/>
      <c r="T203" s="737"/>
      <c r="U203" s="738"/>
      <c r="V203" s="739">
        <v>426</v>
      </c>
      <c r="W203" s="737"/>
      <c r="X203" s="737">
        <v>1002</v>
      </c>
      <c r="Y203" s="737">
        <v>902</v>
      </c>
      <c r="Z203" s="1202"/>
      <c r="AA203" s="740"/>
      <c r="AB203" s="739"/>
      <c r="AC203" s="741"/>
      <c r="AD203" s="741">
        <v>281</v>
      </c>
      <c r="AE203" s="741">
        <v>330</v>
      </c>
      <c r="AF203" s="741"/>
      <c r="AG203" s="741">
        <v>95</v>
      </c>
      <c r="AH203" s="741">
        <v>2356</v>
      </c>
      <c r="AI203" s="741"/>
      <c r="AJ203" s="741">
        <v>92</v>
      </c>
      <c r="AK203" s="741"/>
      <c r="AL203" s="741">
        <v>129</v>
      </c>
      <c r="AM203" s="742">
        <v>3923</v>
      </c>
      <c r="AN203" s="743">
        <f t="shared" si="14"/>
        <v>0.96910016977928704</v>
      </c>
      <c r="AO203" s="744">
        <f t="shared" si="15"/>
        <v>0.98640552995391717</v>
      </c>
      <c r="AP203" s="745">
        <f>'09월 에너지'!S205</f>
        <v>142.69999999999999</v>
      </c>
    </row>
    <row r="204" spans="1:42" ht="16.5" customHeight="1">
      <c r="A204" s="999">
        <f>'09월 조업일지'!A204</f>
        <v>46272</v>
      </c>
      <c r="B204" s="1100">
        <f>'09월 조업일지'!B204</f>
        <v>46272</v>
      </c>
      <c r="C204" s="730">
        <f>'09월 조업일지'!G204</f>
        <v>85406</v>
      </c>
      <c r="D204" s="731" t="str">
        <f>'09월 조업일지'!E204</f>
        <v>D</v>
      </c>
      <c r="E204" s="732" t="str">
        <f>'09월 조업일지'!F204</f>
        <v>B</v>
      </c>
      <c r="F204" s="1096" t="str">
        <f>'09월 에너지'!F206</f>
        <v>S355JO-03</v>
      </c>
      <c r="G204" s="733">
        <v>10</v>
      </c>
      <c r="H204" s="734">
        <v>19</v>
      </c>
      <c r="I204" s="734">
        <v>125</v>
      </c>
      <c r="J204" s="734">
        <v>15</v>
      </c>
      <c r="K204" s="735">
        <v>32</v>
      </c>
      <c r="L204" s="734">
        <v>15</v>
      </c>
      <c r="M204" s="736">
        <v>10</v>
      </c>
      <c r="N204" s="737">
        <v>423</v>
      </c>
      <c r="O204" s="737"/>
      <c r="P204" s="737">
        <v>1001</v>
      </c>
      <c r="Q204" s="737">
        <v>951</v>
      </c>
      <c r="R204" s="737"/>
      <c r="S204" s="737"/>
      <c r="T204" s="737"/>
      <c r="U204" s="738"/>
      <c r="V204" s="739">
        <v>426</v>
      </c>
      <c r="W204" s="737"/>
      <c r="X204" s="737">
        <v>1002</v>
      </c>
      <c r="Y204" s="737">
        <v>900</v>
      </c>
      <c r="Z204" s="1202"/>
      <c r="AA204" s="740"/>
      <c r="AB204" s="739"/>
      <c r="AC204" s="741"/>
      <c r="AD204" s="741">
        <v>280</v>
      </c>
      <c r="AE204" s="741">
        <v>331</v>
      </c>
      <c r="AF204" s="741"/>
      <c r="AG204" s="741">
        <v>95</v>
      </c>
      <c r="AH204" s="741">
        <v>2349</v>
      </c>
      <c r="AI204" s="741"/>
      <c r="AJ204" s="741">
        <v>81</v>
      </c>
      <c r="AK204" s="741"/>
      <c r="AL204" s="741">
        <v>123</v>
      </c>
      <c r="AM204" s="742">
        <v>1672</v>
      </c>
      <c r="AN204" s="743">
        <f t="shared" si="14"/>
        <v>0.77434369235135514</v>
      </c>
      <c r="AO204" s="744">
        <f t="shared" si="15"/>
        <v>0.96065194915769625</v>
      </c>
      <c r="AP204" s="745">
        <f>'09월 에너지'!S206</f>
        <v>143.6</v>
      </c>
    </row>
    <row r="205" spans="1:42" ht="16.5" customHeight="1">
      <c r="A205" s="999">
        <f>'09월 조업일지'!A205</f>
        <v>46272</v>
      </c>
      <c r="B205" s="1100">
        <f>'09월 조업일지'!B205</f>
        <v>46272</v>
      </c>
      <c r="C205" s="730">
        <f>'09월 조업일지'!G205</f>
        <v>85407</v>
      </c>
      <c r="D205" s="731" t="str">
        <f>'09월 조업일지'!E205</f>
        <v>D</v>
      </c>
      <c r="E205" s="732" t="str">
        <f>'09월 조업일지'!F205</f>
        <v>A</v>
      </c>
      <c r="F205" s="1096" t="str">
        <f>'09월 에너지'!F207</f>
        <v>S355JO-03</v>
      </c>
      <c r="G205" s="733">
        <v>10</v>
      </c>
      <c r="H205" s="734">
        <v>21</v>
      </c>
      <c r="I205" s="734">
        <v>119</v>
      </c>
      <c r="J205" s="734">
        <v>14</v>
      </c>
      <c r="K205" s="735">
        <v>31</v>
      </c>
      <c r="L205" s="734">
        <v>14</v>
      </c>
      <c r="M205" s="736">
        <v>8</v>
      </c>
      <c r="N205" s="737">
        <v>427</v>
      </c>
      <c r="O205" s="737"/>
      <c r="P205" s="737">
        <v>1002</v>
      </c>
      <c r="Q205" s="737">
        <v>956</v>
      </c>
      <c r="R205" s="737"/>
      <c r="S205" s="737"/>
      <c r="T205" s="737"/>
      <c r="U205" s="738"/>
      <c r="V205" s="739">
        <v>425</v>
      </c>
      <c r="W205" s="737"/>
      <c r="X205" s="737">
        <v>1000</v>
      </c>
      <c r="Y205" s="737">
        <v>901</v>
      </c>
      <c r="Z205" s="1202"/>
      <c r="AA205" s="740"/>
      <c r="AB205" s="739"/>
      <c r="AC205" s="741"/>
      <c r="AD205" s="741">
        <v>281</v>
      </c>
      <c r="AE205" s="741">
        <v>330</v>
      </c>
      <c r="AF205" s="741"/>
      <c r="AG205" s="741">
        <v>95</v>
      </c>
      <c r="AH205" s="741">
        <v>2355</v>
      </c>
      <c r="AI205" s="741"/>
      <c r="AJ205" s="741">
        <v>91</v>
      </c>
      <c r="AK205" s="741"/>
      <c r="AL205" s="741">
        <v>120</v>
      </c>
      <c r="AM205" s="742">
        <v>4464</v>
      </c>
      <c r="AN205" s="743">
        <f t="shared" ref="AN205:AN268" si="16">IF(ISBLANK(AH205),"",AP205*1000*H205/10000/(AH205*15%+AI205*75%+AK205*60%))</f>
        <v>0.84356687898089178</v>
      </c>
      <c r="AO205" s="744">
        <f t="shared" ref="AO205:AO268" si="17">IF(ISBLANK(AH205),"",AP205*1000*(I205-15)/10000/(AH205*70%))</f>
        <v>0.89521383075523198</v>
      </c>
      <c r="AP205" s="745">
        <f>'09월 에너지'!S207</f>
        <v>141.9</v>
      </c>
    </row>
    <row r="206" spans="1:42" ht="16.5" customHeight="1">
      <c r="A206" s="999">
        <f>'09월 조업일지'!A206</f>
        <v>46272</v>
      </c>
      <c r="B206" s="1100">
        <f>'09월 조업일지'!B206</f>
        <v>46272</v>
      </c>
      <c r="C206" s="730">
        <f>'09월 조업일지'!G206</f>
        <v>85408</v>
      </c>
      <c r="D206" s="731" t="str">
        <f>'09월 조업일지'!E206</f>
        <v>D</v>
      </c>
      <c r="E206" s="732" t="str">
        <f>'09월 조업일지'!F206</f>
        <v>B</v>
      </c>
      <c r="F206" s="1096" t="str">
        <f>'09월 에너지'!F208</f>
        <v>S355JO-03</v>
      </c>
      <c r="G206" s="733">
        <v>11</v>
      </c>
      <c r="H206" s="734">
        <v>21</v>
      </c>
      <c r="I206" s="734">
        <v>125</v>
      </c>
      <c r="J206" s="734">
        <v>15</v>
      </c>
      <c r="K206" s="735">
        <v>29</v>
      </c>
      <c r="L206" s="734">
        <v>12</v>
      </c>
      <c r="M206" s="736">
        <v>8</v>
      </c>
      <c r="N206" s="737">
        <v>406</v>
      </c>
      <c r="O206" s="737"/>
      <c r="P206" s="737">
        <v>1003</v>
      </c>
      <c r="Q206" s="737">
        <v>950</v>
      </c>
      <c r="R206" s="737"/>
      <c r="S206" s="737"/>
      <c r="T206" s="737">
        <v>0</v>
      </c>
      <c r="U206" s="738"/>
      <c r="V206" s="739">
        <v>401</v>
      </c>
      <c r="W206" s="737"/>
      <c r="X206" s="737">
        <v>1001</v>
      </c>
      <c r="Y206" s="737">
        <v>906</v>
      </c>
      <c r="Z206" s="1202">
        <v>0</v>
      </c>
      <c r="AA206" s="740"/>
      <c r="AB206" s="739">
        <v>0</v>
      </c>
      <c r="AC206" s="741"/>
      <c r="AD206" s="741">
        <v>283</v>
      </c>
      <c r="AE206" s="741">
        <v>330</v>
      </c>
      <c r="AF206" s="741">
        <v>0</v>
      </c>
      <c r="AG206" s="741">
        <v>95</v>
      </c>
      <c r="AH206" s="741">
        <v>2345</v>
      </c>
      <c r="AI206" s="741">
        <v>0</v>
      </c>
      <c r="AJ206" s="741">
        <v>85</v>
      </c>
      <c r="AK206" s="741">
        <v>0</v>
      </c>
      <c r="AL206" s="741">
        <v>119</v>
      </c>
      <c r="AM206" s="742">
        <v>2537</v>
      </c>
      <c r="AN206" s="743">
        <f t="shared" si="16"/>
        <v>0.84955223880597008</v>
      </c>
      <c r="AO206" s="744">
        <f t="shared" si="17"/>
        <v>0.95357904355772161</v>
      </c>
      <c r="AP206" s="745">
        <f>'09월 에너지'!S208</f>
        <v>142.30000000000001</v>
      </c>
    </row>
    <row r="207" spans="1:42" ht="16.5" customHeight="1">
      <c r="A207" s="999">
        <f>'09월 조업일지'!A207</f>
        <v>46272</v>
      </c>
      <c r="B207" s="1100">
        <f>'09월 조업일지'!B207</f>
        <v>46272</v>
      </c>
      <c r="C207" s="730">
        <f>'09월 조업일지'!G207</f>
        <v>85409</v>
      </c>
      <c r="D207" s="731" t="str">
        <f>'09월 조업일지'!E207</f>
        <v>A</v>
      </c>
      <c r="E207" s="732" t="str">
        <f>'09월 조업일지'!F207</f>
        <v>A</v>
      </c>
      <c r="F207" s="1096" t="str">
        <f>'09월 에너지'!F209</f>
        <v>S355JO-03</v>
      </c>
      <c r="G207" s="733">
        <v>12</v>
      </c>
      <c r="H207" s="734">
        <v>26</v>
      </c>
      <c r="I207" s="734">
        <v>130</v>
      </c>
      <c r="J207" s="734">
        <v>15</v>
      </c>
      <c r="K207" s="735">
        <v>37</v>
      </c>
      <c r="L207" s="734">
        <v>12</v>
      </c>
      <c r="M207" s="736">
        <v>10</v>
      </c>
      <c r="N207" s="737">
        <v>417</v>
      </c>
      <c r="O207" s="737"/>
      <c r="P207" s="737">
        <v>1001</v>
      </c>
      <c r="Q207" s="737">
        <v>950</v>
      </c>
      <c r="R207" s="737"/>
      <c r="S207" s="737"/>
      <c r="T207" s="737">
        <v>0</v>
      </c>
      <c r="U207" s="738"/>
      <c r="V207" s="739">
        <v>616</v>
      </c>
      <c r="W207" s="737"/>
      <c r="X207" s="737">
        <v>1004</v>
      </c>
      <c r="Y207" s="737">
        <v>902</v>
      </c>
      <c r="Z207" s="1202">
        <v>0</v>
      </c>
      <c r="AA207" s="740"/>
      <c r="AB207" s="739">
        <v>0</v>
      </c>
      <c r="AC207" s="741"/>
      <c r="AD207" s="741">
        <v>290</v>
      </c>
      <c r="AE207" s="741">
        <v>330</v>
      </c>
      <c r="AF207" s="741">
        <v>0</v>
      </c>
      <c r="AG207" s="741">
        <v>95</v>
      </c>
      <c r="AH207" s="741">
        <v>2350</v>
      </c>
      <c r="AI207" s="741">
        <v>108</v>
      </c>
      <c r="AJ207" s="741">
        <v>87</v>
      </c>
      <c r="AK207" s="741">
        <v>0</v>
      </c>
      <c r="AL207" s="741">
        <v>124</v>
      </c>
      <c r="AM207" s="742">
        <v>3118</v>
      </c>
      <c r="AN207" s="743">
        <f t="shared" si="16"/>
        <v>0.8546712802768166</v>
      </c>
      <c r="AO207" s="744">
        <f t="shared" si="17"/>
        <v>0.99620060790273557</v>
      </c>
      <c r="AP207" s="745">
        <f>'09월 에너지'!S209</f>
        <v>142.5</v>
      </c>
    </row>
    <row r="208" spans="1:42" ht="16.5" customHeight="1">
      <c r="A208" s="999">
        <f>'09월 조업일지'!A208</f>
        <v>46272</v>
      </c>
      <c r="B208" s="1100">
        <f>'09월 조업일지'!B208</f>
        <v>46272</v>
      </c>
      <c r="C208" s="730">
        <f>'09월 조업일지'!G208</f>
        <v>85410</v>
      </c>
      <c r="D208" s="731" t="str">
        <f>'09월 조업일지'!E208</f>
        <v>A</v>
      </c>
      <c r="E208" s="732" t="str">
        <f>'09월 조업일지'!F208</f>
        <v>B</v>
      </c>
      <c r="F208" s="1096" t="str">
        <f>'09월 에너지'!F210</f>
        <v>S355JO-03</v>
      </c>
      <c r="G208" s="733">
        <v>11</v>
      </c>
      <c r="H208" s="734">
        <v>22</v>
      </c>
      <c r="I208" s="734">
        <v>129</v>
      </c>
      <c r="J208" s="734">
        <v>17</v>
      </c>
      <c r="K208" s="735">
        <v>25</v>
      </c>
      <c r="L208" s="734">
        <v>9</v>
      </c>
      <c r="M208" s="736">
        <v>9</v>
      </c>
      <c r="N208" s="737">
        <v>416</v>
      </c>
      <c r="O208" s="737"/>
      <c r="P208" s="737">
        <v>1003</v>
      </c>
      <c r="Q208" s="737">
        <v>962</v>
      </c>
      <c r="R208" s="737"/>
      <c r="S208" s="737"/>
      <c r="T208" s="737">
        <v>0</v>
      </c>
      <c r="U208" s="738"/>
      <c r="V208" s="739">
        <v>607</v>
      </c>
      <c r="W208" s="737"/>
      <c r="X208" s="737">
        <v>1013</v>
      </c>
      <c r="Y208" s="737">
        <v>901</v>
      </c>
      <c r="Z208" s="1202">
        <v>0</v>
      </c>
      <c r="AA208" s="740"/>
      <c r="AB208" s="739">
        <v>0</v>
      </c>
      <c r="AC208" s="741"/>
      <c r="AD208" s="741">
        <v>299</v>
      </c>
      <c r="AE208" s="741">
        <v>330</v>
      </c>
      <c r="AF208" s="741">
        <v>0</v>
      </c>
      <c r="AG208" s="741">
        <v>95</v>
      </c>
      <c r="AH208" s="741">
        <v>2351</v>
      </c>
      <c r="AI208" s="741">
        <v>0</v>
      </c>
      <c r="AJ208" s="741">
        <v>85</v>
      </c>
      <c r="AK208" s="741">
        <v>0</v>
      </c>
      <c r="AL208" s="741">
        <v>118</v>
      </c>
      <c r="AM208" s="742">
        <v>3621</v>
      </c>
      <c r="AN208" s="743">
        <f t="shared" si="16"/>
        <v>0.8952218913937332</v>
      </c>
      <c r="AO208" s="744">
        <f t="shared" si="17"/>
        <v>0.99404508719693763</v>
      </c>
      <c r="AP208" s="745">
        <f>'09월 에너지'!S210</f>
        <v>143.5</v>
      </c>
    </row>
    <row r="209" spans="1:42" ht="16.5" customHeight="1">
      <c r="A209" s="999">
        <f>'09월 조업일지'!A209</f>
        <v>46272</v>
      </c>
      <c r="B209" s="1100">
        <f>'09월 조업일지'!B209</f>
        <v>46272</v>
      </c>
      <c r="C209" s="730">
        <f>'09월 조업일지'!G209</f>
        <v>85411</v>
      </c>
      <c r="D209" s="731" t="str">
        <f>'09월 조업일지'!E209</f>
        <v>A</v>
      </c>
      <c r="E209" s="732" t="str">
        <f>'09월 조업일지'!F209</f>
        <v>B</v>
      </c>
      <c r="F209" s="1096" t="str">
        <f>'09월 에너지'!F211</f>
        <v>S355JO-03</v>
      </c>
      <c r="G209" s="733">
        <v>12</v>
      </c>
      <c r="H209" s="734">
        <v>21</v>
      </c>
      <c r="I209" s="734">
        <v>132</v>
      </c>
      <c r="J209" s="734">
        <v>20</v>
      </c>
      <c r="K209" s="735">
        <v>43</v>
      </c>
      <c r="L209" s="734">
        <v>16</v>
      </c>
      <c r="M209" s="736">
        <v>10</v>
      </c>
      <c r="N209" s="737">
        <v>426</v>
      </c>
      <c r="O209" s="737"/>
      <c r="P209" s="737">
        <v>1012</v>
      </c>
      <c r="Q209" s="737">
        <v>952</v>
      </c>
      <c r="R209" s="737"/>
      <c r="S209" s="737"/>
      <c r="T209" s="737">
        <v>0</v>
      </c>
      <c r="U209" s="738"/>
      <c r="V209" s="739">
        <v>425</v>
      </c>
      <c r="W209" s="737"/>
      <c r="X209" s="737">
        <v>1010</v>
      </c>
      <c r="Y209" s="737">
        <v>902</v>
      </c>
      <c r="Z209" s="1202">
        <v>0</v>
      </c>
      <c r="AA209" s="740"/>
      <c r="AB209" s="739">
        <v>0</v>
      </c>
      <c r="AC209" s="741"/>
      <c r="AD209" s="741">
        <v>296</v>
      </c>
      <c r="AE209" s="741">
        <v>331</v>
      </c>
      <c r="AF209" s="741">
        <v>0</v>
      </c>
      <c r="AG209" s="741">
        <v>95</v>
      </c>
      <c r="AH209" s="741">
        <v>2351</v>
      </c>
      <c r="AI209" s="741">
        <v>0</v>
      </c>
      <c r="AJ209" s="741">
        <v>86</v>
      </c>
      <c r="AK209" s="741">
        <v>0</v>
      </c>
      <c r="AL209" s="741">
        <v>130</v>
      </c>
      <c r="AM209" s="742">
        <v>1735</v>
      </c>
      <c r="AN209" s="743">
        <f t="shared" si="16"/>
        <v>0.8461931093151851</v>
      </c>
      <c r="AO209" s="744">
        <f t="shared" si="17"/>
        <v>1.0102509570395577</v>
      </c>
      <c r="AP209" s="745">
        <f>'09월 에너지'!S211</f>
        <v>142.1</v>
      </c>
    </row>
    <row r="210" spans="1:42" ht="16.5" customHeight="1">
      <c r="A210" s="999">
        <f>'09월 조업일지'!A210</f>
        <v>46272</v>
      </c>
      <c r="B210" s="1100">
        <f>'09월 조업일지'!B210</f>
        <v>46272</v>
      </c>
      <c r="C210" s="730">
        <f>'09월 조업일지'!G210</f>
        <v>85412</v>
      </c>
      <c r="D210" s="731" t="str">
        <f>'09월 조업일지'!E210</f>
        <v>A</v>
      </c>
      <c r="E210" s="732" t="str">
        <f>'09월 조업일지'!F210</f>
        <v>A</v>
      </c>
      <c r="F210" s="1231" t="str">
        <f>'09월 에너지'!F212</f>
        <v>SS400-02</v>
      </c>
      <c r="G210" s="733">
        <v>11</v>
      </c>
      <c r="H210" s="734">
        <v>25</v>
      </c>
      <c r="I210" s="734">
        <v>56</v>
      </c>
      <c r="J210" s="734">
        <v>17</v>
      </c>
      <c r="K210" s="735">
        <v>33</v>
      </c>
      <c r="L210" s="734">
        <v>12</v>
      </c>
      <c r="M210" s="736">
        <v>10</v>
      </c>
      <c r="N210" s="737">
        <v>620</v>
      </c>
      <c r="O210" s="737"/>
      <c r="P210" s="737">
        <v>1014</v>
      </c>
      <c r="Q210" s="737">
        <v>950</v>
      </c>
      <c r="R210" s="737"/>
      <c r="S210" s="737"/>
      <c r="T210" s="737">
        <v>74</v>
      </c>
      <c r="U210" s="738"/>
      <c r="V210" s="739">
        <v>618</v>
      </c>
      <c r="W210" s="737"/>
      <c r="X210" s="737">
        <v>1019</v>
      </c>
      <c r="Y210" s="737">
        <v>902</v>
      </c>
      <c r="Z210" s="1202">
        <v>62</v>
      </c>
      <c r="AA210" s="740"/>
      <c r="AB210" s="739">
        <v>0</v>
      </c>
      <c r="AC210" s="741"/>
      <c r="AD210" s="741">
        <v>287</v>
      </c>
      <c r="AE210" s="741">
        <v>330</v>
      </c>
      <c r="AF210" s="741">
        <v>0</v>
      </c>
      <c r="AG210" s="741">
        <v>110</v>
      </c>
      <c r="AH210" s="741">
        <v>793</v>
      </c>
      <c r="AI210" s="741">
        <v>327</v>
      </c>
      <c r="AJ210" s="741">
        <v>79</v>
      </c>
      <c r="AK210" s="741">
        <v>0</v>
      </c>
      <c r="AL210" s="741">
        <v>118</v>
      </c>
      <c r="AM210" s="742">
        <v>2699</v>
      </c>
      <c r="AN210" s="743">
        <f t="shared" si="16"/>
        <v>0.98778143876990665</v>
      </c>
      <c r="AO210" s="744">
        <f t="shared" si="17"/>
        <v>1.0628535399027204</v>
      </c>
      <c r="AP210" s="745">
        <f>'09월 에너지'!S212</f>
        <v>143.9</v>
      </c>
    </row>
    <row r="211" spans="1:42" ht="16.5" customHeight="1">
      <c r="A211" s="999">
        <f>'09월 조업일지'!A211</f>
        <v>46272</v>
      </c>
      <c r="B211" s="1100">
        <f>'09월 조업일지'!B211</f>
        <v>46272</v>
      </c>
      <c r="C211" s="730">
        <f>'09월 조업일지'!G211</f>
        <v>85413</v>
      </c>
      <c r="D211" s="731" t="str">
        <f>'09월 조업일지'!E211</f>
        <v>A</v>
      </c>
      <c r="E211" s="732" t="str">
        <f>'09월 조업일지'!F211</f>
        <v>B</v>
      </c>
      <c r="F211" s="1231" t="str">
        <f>'09월 에너지'!F213</f>
        <v>A572-50-01</v>
      </c>
      <c r="G211" s="733">
        <v>10</v>
      </c>
      <c r="H211" s="734">
        <v>25</v>
      </c>
      <c r="I211" s="734">
        <v>137</v>
      </c>
      <c r="J211" s="734">
        <v>21</v>
      </c>
      <c r="K211" s="735">
        <v>30</v>
      </c>
      <c r="L211" s="734">
        <v>16</v>
      </c>
      <c r="M211" s="736">
        <v>10</v>
      </c>
      <c r="N211" s="737">
        <v>425</v>
      </c>
      <c r="O211" s="737"/>
      <c r="P211" s="737">
        <v>1016</v>
      </c>
      <c r="Q211" s="737">
        <v>952</v>
      </c>
      <c r="R211" s="737"/>
      <c r="S211" s="737"/>
      <c r="T211" s="737">
        <v>68</v>
      </c>
      <c r="U211" s="738"/>
      <c r="V211" s="739">
        <v>413</v>
      </c>
      <c r="W211" s="737"/>
      <c r="X211" s="737">
        <v>1012</v>
      </c>
      <c r="Y211" s="737">
        <v>901</v>
      </c>
      <c r="Z211" s="1202">
        <v>69</v>
      </c>
      <c r="AA211" s="740"/>
      <c r="AB211" s="739">
        <v>0</v>
      </c>
      <c r="AC211" s="741"/>
      <c r="AD211" s="741">
        <v>291</v>
      </c>
      <c r="AE211" s="741">
        <v>351</v>
      </c>
      <c r="AF211" s="741">
        <v>0</v>
      </c>
      <c r="AG211" s="741">
        <v>105</v>
      </c>
      <c r="AH211" s="741">
        <v>2348</v>
      </c>
      <c r="AI211" s="741">
        <v>103</v>
      </c>
      <c r="AJ211" s="741">
        <v>100</v>
      </c>
      <c r="AK211" s="741">
        <v>0</v>
      </c>
      <c r="AL211" s="741">
        <v>132</v>
      </c>
      <c r="AM211" s="742">
        <v>1383</v>
      </c>
      <c r="AN211" s="743">
        <f t="shared" si="16"/>
        <v>0.83362440330655496</v>
      </c>
      <c r="AO211" s="744">
        <f t="shared" si="17"/>
        <v>1.0629350206862984</v>
      </c>
      <c r="AP211" s="745">
        <f>'09월 에너지'!S213</f>
        <v>143.19999999999999</v>
      </c>
    </row>
    <row r="212" spans="1:42" ht="16.5" customHeight="1">
      <c r="A212" s="999">
        <f>'09월 조업일지'!A212</f>
        <v>46272</v>
      </c>
      <c r="B212" s="1100">
        <f>'09월 조업일지'!B212</f>
        <v>46272</v>
      </c>
      <c r="C212" s="730">
        <f>'09월 조업일지'!G212</f>
        <v>85414</v>
      </c>
      <c r="D212" s="731" t="str">
        <f>'09월 조업일지'!E212</f>
        <v>A</v>
      </c>
      <c r="E212" s="732" t="str">
        <f>'09월 조업일지'!F212</f>
        <v>A</v>
      </c>
      <c r="F212" s="1231" t="str">
        <f>'09월 에너지'!F214</f>
        <v>S355JO-03</v>
      </c>
      <c r="G212" s="733">
        <v>11</v>
      </c>
      <c r="H212" s="734">
        <v>21</v>
      </c>
      <c r="I212" s="734">
        <v>130</v>
      </c>
      <c r="J212" s="734">
        <v>14</v>
      </c>
      <c r="K212" s="735">
        <v>33</v>
      </c>
      <c r="L212" s="734">
        <v>11</v>
      </c>
      <c r="M212" s="736">
        <v>9</v>
      </c>
      <c r="N212" s="737">
        <v>418</v>
      </c>
      <c r="O212" s="737"/>
      <c r="P212" s="737">
        <v>1010</v>
      </c>
      <c r="Q212" s="737">
        <v>951</v>
      </c>
      <c r="R212" s="737"/>
      <c r="S212" s="737"/>
      <c r="T212" s="737">
        <v>0</v>
      </c>
      <c r="U212" s="738"/>
      <c r="V212" s="739">
        <v>619</v>
      </c>
      <c r="W212" s="737"/>
      <c r="X212" s="737">
        <v>1017</v>
      </c>
      <c r="Y212" s="737">
        <v>901</v>
      </c>
      <c r="Z212" s="1202">
        <v>0</v>
      </c>
      <c r="AA212" s="740"/>
      <c r="AB212" s="739">
        <v>0</v>
      </c>
      <c r="AC212" s="741"/>
      <c r="AD212" s="741">
        <v>290</v>
      </c>
      <c r="AE212" s="741">
        <v>327</v>
      </c>
      <c r="AF212" s="741">
        <v>0</v>
      </c>
      <c r="AG212" s="741">
        <v>95</v>
      </c>
      <c r="AH212" s="741">
        <v>2348</v>
      </c>
      <c r="AI212" s="741">
        <v>0</v>
      </c>
      <c r="AJ212" s="741">
        <v>86</v>
      </c>
      <c r="AK212" s="741">
        <v>0</v>
      </c>
      <c r="AL212" s="741">
        <v>120</v>
      </c>
      <c r="AM212" s="742">
        <v>2148</v>
      </c>
      <c r="AN212" s="743">
        <f t="shared" si="16"/>
        <v>0.86158432708688248</v>
      </c>
      <c r="AO212" s="744">
        <f t="shared" si="17"/>
        <v>1.0110428328060357</v>
      </c>
      <c r="AP212" s="745">
        <f>'09월 에너지'!S214</f>
        <v>144.5</v>
      </c>
    </row>
    <row r="213" spans="1:42" ht="16.5" customHeight="1">
      <c r="A213" s="999">
        <f>'09월 조업일지'!A213</f>
        <v>46273</v>
      </c>
      <c r="B213" s="1100">
        <f>'09월 조업일지'!B213</f>
        <v>46272</v>
      </c>
      <c r="C213" s="730">
        <f>'09월 조업일지'!G213</f>
        <v>85415</v>
      </c>
      <c r="D213" s="731" t="str">
        <f>'09월 조업일지'!E213</f>
        <v>A</v>
      </c>
      <c r="E213" s="732" t="str">
        <f>'09월 조업일지'!F213</f>
        <v>B</v>
      </c>
      <c r="F213" s="1231" t="str">
        <f>'09월 에너지'!F215</f>
        <v>A572-50-01</v>
      </c>
      <c r="G213" s="733">
        <v>12</v>
      </c>
      <c r="H213" s="734">
        <v>28</v>
      </c>
      <c r="I213" s="734">
        <v>135</v>
      </c>
      <c r="J213" s="734">
        <v>20</v>
      </c>
      <c r="K213" s="735">
        <v>34</v>
      </c>
      <c r="L213" s="734">
        <v>16</v>
      </c>
      <c r="M213" s="736">
        <v>11</v>
      </c>
      <c r="N213" s="737">
        <v>422</v>
      </c>
      <c r="O213" s="737"/>
      <c r="P213" s="737">
        <v>1015</v>
      </c>
      <c r="Q213" s="737">
        <v>953</v>
      </c>
      <c r="R213" s="737"/>
      <c r="S213" s="737"/>
      <c r="T213" s="737">
        <v>0</v>
      </c>
      <c r="U213" s="738"/>
      <c r="V213" s="739">
        <v>402</v>
      </c>
      <c r="W213" s="737"/>
      <c r="X213" s="737">
        <v>1018</v>
      </c>
      <c r="Y213" s="737">
        <v>902</v>
      </c>
      <c r="Z213" s="1202">
        <v>64</v>
      </c>
      <c r="AA213" s="740"/>
      <c r="AB213" s="739">
        <v>0</v>
      </c>
      <c r="AC213" s="741"/>
      <c r="AD213" s="741">
        <v>295</v>
      </c>
      <c r="AE213" s="741">
        <v>350</v>
      </c>
      <c r="AF213" s="741">
        <v>0</v>
      </c>
      <c r="AG213" s="741">
        <v>105</v>
      </c>
      <c r="AH213" s="741">
        <v>2352</v>
      </c>
      <c r="AI213" s="741">
        <v>112</v>
      </c>
      <c r="AJ213" s="741">
        <v>94</v>
      </c>
      <c r="AK213" s="741">
        <v>0</v>
      </c>
      <c r="AL213" s="741">
        <v>123</v>
      </c>
      <c r="AM213" s="742">
        <v>1241</v>
      </c>
      <c r="AN213" s="743">
        <f t="shared" si="16"/>
        <v>0.92115384615384621</v>
      </c>
      <c r="AO213" s="744">
        <f t="shared" si="17"/>
        <v>1.0473760932944607</v>
      </c>
      <c r="AP213" s="745">
        <f>'09월 에너지'!S215</f>
        <v>143.69999999999999</v>
      </c>
    </row>
    <row r="214" spans="1:42" ht="16.5" customHeight="1">
      <c r="A214" s="999">
        <f>'09월 조업일지'!A214</f>
        <v>46273</v>
      </c>
      <c r="B214" s="1100">
        <f>'09월 조업일지'!B214</f>
        <v>46272</v>
      </c>
      <c r="C214" s="730">
        <f>'09월 조업일지'!G214</f>
        <v>85416</v>
      </c>
      <c r="D214" s="731" t="str">
        <f>'09월 조업일지'!E214</f>
        <v>A</v>
      </c>
      <c r="E214" s="732" t="str">
        <f>'09월 조업일지'!F214</f>
        <v>A</v>
      </c>
      <c r="F214" s="1096" t="str">
        <f>'09월 에너지'!F216</f>
        <v>A572-50-01</v>
      </c>
      <c r="G214" s="733">
        <v>11</v>
      </c>
      <c r="H214" s="734">
        <v>25</v>
      </c>
      <c r="I214" s="734">
        <v>127</v>
      </c>
      <c r="J214" s="734">
        <v>12</v>
      </c>
      <c r="K214" s="735">
        <v>36</v>
      </c>
      <c r="L214" s="734">
        <v>12</v>
      </c>
      <c r="M214" s="736">
        <v>10</v>
      </c>
      <c r="N214" s="737">
        <v>414</v>
      </c>
      <c r="O214" s="737"/>
      <c r="P214" s="737">
        <v>1013</v>
      </c>
      <c r="Q214" s="737">
        <v>952</v>
      </c>
      <c r="R214" s="737"/>
      <c r="S214" s="737"/>
      <c r="T214" s="737">
        <v>63</v>
      </c>
      <c r="U214" s="738"/>
      <c r="V214" s="739">
        <v>621</v>
      </c>
      <c r="W214" s="737"/>
      <c r="X214" s="737">
        <v>1014</v>
      </c>
      <c r="Y214" s="737">
        <v>900</v>
      </c>
      <c r="Z214" s="1202">
        <v>68</v>
      </c>
      <c r="AA214" s="740"/>
      <c r="AB214" s="739">
        <v>0</v>
      </c>
      <c r="AC214" s="741"/>
      <c r="AD214" s="741">
        <v>297</v>
      </c>
      <c r="AE214" s="741">
        <v>351</v>
      </c>
      <c r="AF214" s="741">
        <v>0</v>
      </c>
      <c r="AG214" s="741">
        <v>105</v>
      </c>
      <c r="AH214" s="741">
        <v>2351</v>
      </c>
      <c r="AI214" s="741">
        <v>111</v>
      </c>
      <c r="AJ214" s="741">
        <v>95</v>
      </c>
      <c r="AK214" s="741">
        <v>0</v>
      </c>
      <c r="AL214" s="741">
        <v>121</v>
      </c>
      <c r="AM214" s="742">
        <v>2806</v>
      </c>
      <c r="AN214" s="743">
        <f t="shared" si="16"/>
        <v>0.83218628125716909</v>
      </c>
      <c r="AO214" s="744">
        <f t="shared" si="17"/>
        <v>0.98749468311356869</v>
      </c>
      <c r="AP214" s="745">
        <f>'09월 에너지'!S216</f>
        <v>145.1</v>
      </c>
    </row>
    <row r="215" spans="1:42" ht="16.5" customHeight="1">
      <c r="A215" s="999">
        <f>'09월 조업일지'!A215</f>
        <v>46273</v>
      </c>
      <c r="B215" s="1100">
        <f>'09월 조업일지'!B215</f>
        <v>46272</v>
      </c>
      <c r="C215" s="730">
        <f>'09월 조업일지'!G215</f>
        <v>85417</v>
      </c>
      <c r="D215" s="731" t="str">
        <f>'09월 조업일지'!E215</f>
        <v>A</v>
      </c>
      <c r="E215" s="732" t="str">
        <f>'09월 조업일지'!F215</f>
        <v>B</v>
      </c>
      <c r="F215" s="1096" t="str">
        <f>'09월 에너지'!F217</f>
        <v>A572-50-01</v>
      </c>
      <c r="G215" s="733">
        <v>9</v>
      </c>
      <c r="H215" s="734">
        <v>25</v>
      </c>
      <c r="I215" s="734">
        <v>127</v>
      </c>
      <c r="J215" s="734">
        <v>17</v>
      </c>
      <c r="K215" s="735">
        <v>33</v>
      </c>
      <c r="L215" s="734">
        <v>15</v>
      </c>
      <c r="M215" s="736">
        <v>11</v>
      </c>
      <c r="N215" s="737">
        <v>407</v>
      </c>
      <c r="O215" s="737"/>
      <c r="P215" s="737">
        <v>1015</v>
      </c>
      <c r="Q215" s="737">
        <v>952</v>
      </c>
      <c r="R215" s="737"/>
      <c r="S215" s="737"/>
      <c r="T215" s="737">
        <v>68</v>
      </c>
      <c r="U215" s="738"/>
      <c r="V215" s="739">
        <v>414</v>
      </c>
      <c r="W215" s="737"/>
      <c r="X215" s="737">
        <v>1017</v>
      </c>
      <c r="Y215" s="737">
        <v>902</v>
      </c>
      <c r="Z215" s="1202">
        <v>61</v>
      </c>
      <c r="AA215" s="740"/>
      <c r="AB215" s="739">
        <v>0</v>
      </c>
      <c r="AC215" s="741"/>
      <c r="AD215" s="741">
        <v>281</v>
      </c>
      <c r="AE215" s="741">
        <v>351</v>
      </c>
      <c r="AF215" s="741">
        <v>0</v>
      </c>
      <c r="AG215" s="741">
        <v>95</v>
      </c>
      <c r="AH215" s="741">
        <v>2350</v>
      </c>
      <c r="AI215" s="741">
        <v>111</v>
      </c>
      <c r="AJ215" s="741">
        <v>94</v>
      </c>
      <c r="AK215" s="741">
        <v>0</v>
      </c>
      <c r="AL215" s="741">
        <v>115</v>
      </c>
      <c r="AM215" s="742">
        <v>925</v>
      </c>
      <c r="AN215" s="743">
        <f t="shared" si="16"/>
        <v>0.81526104417670686</v>
      </c>
      <c r="AO215" s="744">
        <f t="shared" si="17"/>
        <v>0.96748936170212763</v>
      </c>
      <c r="AP215" s="745">
        <f>'09월 에너지'!S217</f>
        <v>142.1</v>
      </c>
    </row>
    <row r="216" spans="1:42" ht="16.5" customHeight="1">
      <c r="A216" s="999">
        <f>'09월 조업일지'!A216</f>
        <v>46273</v>
      </c>
      <c r="B216" s="1100">
        <f>'09월 조업일지'!B216</f>
        <v>46272</v>
      </c>
      <c r="C216" s="730">
        <f>'09월 조업일지'!G216</f>
        <v>85418</v>
      </c>
      <c r="D216" s="731" t="str">
        <f>'09월 조업일지'!E216</f>
        <v>A</v>
      </c>
      <c r="E216" s="732" t="str">
        <f>'09월 조업일지'!F216</f>
        <v>A</v>
      </c>
      <c r="F216" s="1096" t="str">
        <f>'09월 에너지'!F218</f>
        <v>A572-50-01</v>
      </c>
      <c r="G216" s="733">
        <v>10</v>
      </c>
      <c r="H216" s="734">
        <v>25</v>
      </c>
      <c r="I216" s="734">
        <v>131</v>
      </c>
      <c r="J216" s="734">
        <v>14</v>
      </c>
      <c r="K216" s="735">
        <v>30</v>
      </c>
      <c r="L216" s="734">
        <v>14</v>
      </c>
      <c r="M216" s="736">
        <v>15</v>
      </c>
      <c r="N216" s="737">
        <v>418</v>
      </c>
      <c r="O216" s="737"/>
      <c r="P216" s="737">
        <v>1011</v>
      </c>
      <c r="Q216" s="737">
        <v>951</v>
      </c>
      <c r="R216" s="737"/>
      <c r="S216" s="737"/>
      <c r="T216" s="737">
        <v>69</v>
      </c>
      <c r="U216" s="738"/>
      <c r="V216" s="739">
        <v>622</v>
      </c>
      <c r="W216" s="737"/>
      <c r="X216" s="737">
        <v>1001</v>
      </c>
      <c r="Y216" s="737">
        <v>902</v>
      </c>
      <c r="Z216" s="1202">
        <v>61</v>
      </c>
      <c r="AA216" s="740"/>
      <c r="AB216" s="739"/>
      <c r="AC216" s="741"/>
      <c r="AD216" s="741">
        <v>280</v>
      </c>
      <c r="AE216" s="741">
        <v>350</v>
      </c>
      <c r="AF216" s="741"/>
      <c r="AG216" s="741">
        <v>105</v>
      </c>
      <c r="AH216" s="741">
        <v>2352</v>
      </c>
      <c r="AI216" s="741">
        <v>101</v>
      </c>
      <c r="AJ216" s="741">
        <v>98</v>
      </c>
      <c r="AK216" s="741"/>
      <c r="AL216" s="741">
        <v>131</v>
      </c>
      <c r="AM216" s="742">
        <v>2194</v>
      </c>
      <c r="AN216" s="743">
        <f t="shared" si="16"/>
        <v>0.83945863959864653</v>
      </c>
      <c r="AO216" s="744">
        <f t="shared" si="17"/>
        <v>1.0138726919339165</v>
      </c>
      <c r="AP216" s="745">
        <f>'09월 에너지'!S218</f>
        <v>143.9</v>
      </c>
    </row>
    <row r="217" spans="1:42" ht="16.5" customHeight="1">
      <c r="A217" s="999">
        <f>'09월 조업일지'!A217</f>
        <v>46273</v>
      </c>
      <c r="B217" s="1100">
        <f>'09월 조업일지'!B217</f>
        <v>46273</v>
      </c>
      <c r="C217" s="730">
        <f>'09월 조업일지'!G217</f>
        <v>85419</v>
      </c>
      <c r="D217" s="731" t="str">
        <f>'09월 조업일지'!E217</f>
        <v>C</v>
      </c>
      <c r="E217" s="732" t="str">
        <f>'09월 조업일지'!F217</f>
        <v>B</v>
      </c>
      <c r="F217" s="1096" t="str">
        <f>'09월 에너지'!F219</f>
        <v>A572-50-01</v>
      </c>
      <c r="G217" s="733">
        <v>12</v>
      </c>
      <c r="H217" s="734">
        <v>28</v>
      </c>
      <c r="I217" s="734">
        <v>133</v>
      </c>
      <c r="J217" s="734">
        <v>17</v>
      </c>
      <c r="K217" s="735">
        <v>31</v>
      </c>
      <c r="L217" s="734">
        <v>14</v>
      </c>
      <c r="M217" s="736">
        <v>8</v>
      </c>
      <c r="N217" s="737">
        <v>418</v>
      </c>
      <c r="O217" s="737"/>
      <c r="P217" s="737">
        <v>1001</v>
      </c>
      <c r="Q217" s="737">
        <v>952</v>
      </c>
      <c r="R217" s="737"/>
      <c r="S217" s="737"/>
      <c r="T217" s="737">
        <v>71</v>
      </c>
      <c r="U217" s="738"/>
      <c r="V217" s="739">
        <v>416</v>
      </c>
      <c r="W217" s="737"/>
      <c r="X217" s="737">
        <v>1000</v>
      </c>
      <c r="Y217" s="737">
        <v>900</v>
      </c>
      <c r="Z217" s="1202">
        <v>64</v>
      </c>
      <c r="AA217" s="740"/>
      <c r="AB217" s="739"/>
      <c r="AC217" s="741"/>
      <c r="AD217" s="741">
        <v>280</v>
      </c>
      <c r="AE217" s="741">
        <v>351</v>
      </c>
      <c r="AF217" s="741"/>
      <c r="AG217" s="741">
        <v>105</v>
      </c>
      <c r="AH217" s="741">
        <v>2350</v>
      </c>
      <c r="AI217" s="741">
        <v>112</v>
      </c>
      <c r="AJ217" s="741">
        <v>98</v>
      </c>
      <c r="AK217" s="741"/>
      <c r="AL217" s="741">
        <v>127</v>
      </c>
      <c r="AM217" s="742">
        <v>1163</v>
      </c>
      <c r="AN217" s="743">
        <f t="shared" si="16"/>
        <v>0.90831615120274922</v>
      </c>
      <c r="AO217" s="744">
        <f t="shared" si="17"/>
        <v>1.0157325227963527</v>
      </c>
      <c r="AP217" s="745">
        <f>'09월 에너지'!S219</f>
        <v>141.6</v>
      </c>
    </row>
    <row r="218" spans="1:42" ht="16.5" customHeight="1">
      <c r="A218" s="999">
        <f>'09월 조업일지'!A218</f>
        <v>46273</v>
      </c>
      <c r="B218" s="1100">
        <f>'09월 조업일지'!B218</f>
        <v>46273</v>
      </c>
      <c r="C218" s="730">
        <f>'09월 조업일지'!G218</f>
        <v>85420</v>
      </c>
      <c r="D218" s="731" t="str">
        <f>'09월 조업일지'!E218</f>
        <v>C</v>
      </c>
      <c r="E218" s="732" t="str">
        <f>'09월 조업일지'!F218</f>
        <v>A</v>
      </c>
      <c r="F218" s="1096" t="str">
        <f>'09월 에너지'!F220</f>
        <v>A572-50-01</v>
      </c>
      <c r="G218" s="733">
        <v>9</v>
      </c>
      <c r="H218" s="734">
        <v>24</v>
      </c>
      <c r="I218" s="734">
        <v>128</v>
      </c>
      <c r="J218" s="734">
        <v>14</v>
      </c>
      <c r="K218" s="735">
        <v>23</v>
      </c>
      <c r="L218" s="734">
        <v>12</v>
      </c>
      <c r="M218" s="736">
        <v>9</v>
      </c>
      <c r="N218" s="737">
        <v>410</v>
      </c>
      <c r="O218" s="737"/>
      <c r="P218" s="737">
        <v>1001</v>
      </c>
      <c r="Q218" s="737">
        <v>951</v>
      </c>
      <c r="R218" s="737"/>
      <c r="S218" s="737"/>
      <c r="T218" s="737">
        <v>70</v>
      </c>
      <c r="U218" s="738"/>
      <c r="V218" s="739">
        <v>416</v>
      </c>
      <c r="W218" s="737"/>
      <c r="X218" s="737">
        <v>1000</v>
      </c>
      <c r="Y218" s="737">
        <v>901</v>
      </c>
      <c r="Z218" s="1202">
        <v>60</v>
      </c>
      <c r="AA218" s="740"/>
      <c r="AB218" s="739"/>
      <c r="AC218" s="741"/>
      <c r="AD218" s="741">
        <v>280</v>
      </c>
      <c r="AE218" s="741">
        <v>351</v>
      </c>
      <c r="AF218" s="741"/>
      <c r="AG218" s="741">
        <v>105</v>
      </c>
      <c r="AH218" s="741">
        <v>2348</v>
      </c>
      <c r="AI218" s="741">
        <v>102</v>
      </c>
      <c r="AJ218" s="741">
        <v>94</v>
      </c>
      <c r="AK218" s="741"/>
      <c r="AL218" s="741">
        <v>129</v>
      </c>
      <c r="AM218" s="742">
        <v>1893</v>
      </c>
      <c r="AN218" s="743">
        <f t="shared" si="16"/>
        <v>0.80279916025192455</v>
      </c>
      <c r="AO218" s="744">
        <f t="shared" si="17"/>
        <v>0.98589681187636902</v>
      </c>
      <c r="AP218" s="745">
        <f>'09월 에너지'!S220</f>
        <v>143.4</v>
      </c>
    </row>
    <row r="219" spans="1:42" ht="16.5" customHeight="1">
      <c r="A219" s="999">
        <f>'09월 조업일지'!A219</f>
        <v>46273</v>
      </c>
      <c r="B219" s="1100">
        <f>'09월 조업일지'!B219</f>
        <v>46273</v>
      </c>
      <c r="C219" s="730">
        <f>'09월 조업일지'!G219</f>
        <v>85421</v>
      </c>
      <c r="D219" s="731" t="str">
        <f>'09월 조업일지'!E219</f>
        <v>C</v>
      </c>
      <c r="E219" s="732" t="str">
        <f>'09월 조업일지'!F219</f>
        <v>B</v>
      </c>
      <c r="F219" s="1231" t="str">
        <f>'09월 에너지'!F221</f>
        <v>S355JO-01</v>
      </c>
      <c r="G219" s="733">
        <v>12</v>
      </c>
      <c r="H219" s="734">
        <v>22</v>
      </c>
      <c r="I219" s="734">
        <v>132</v>
      </c>
      <c r="J219" s="734">
        <v>17</v>
      </c>
      <c r="K219" s="735">
        <v>31</v>
      </c>
      <c r="L219" s="734">
        <v>12</v>
      </c>
      <c r="M219" s="736">
        <v>12</v>
      </c>
      <c r="N219" s="737">
        <v>421</v>
      </c>
      <c r="O219" s="737"/>
      <c r="P219" s="737">
        <v>1000</v>
      </c>
      <c r="Q219" s="737">
        <v>951</v>
      </c>
      <c r="R219" s="737"/>
      <c r="S219" s="737"/>
      <c r="T219" s="737"/>
      <c r="U219" s="738"/>
      <c r="V219" s="739">
        <v>417</v>
      </c>
      <c r="W219" s="737"/>
      <c r="X219" s="737">
        <v>1001</v>
      </c>
      <c r="Y219" s="737">
        <v>901</v>
      </c>
      <c r="Z219" s="1202"/>
      <c r="AA219" s="740"/>
      <c r="AB219" s="739"/>
      <c r="AC219" s="741"/>
      <c r="AD219" s="741">
        <v>281</v>
      </c>
      <c r="AE219" s="741">
        <v>330</v>
      </c>
      <c r="AF219" s="741"/>
      <c r="AG219" s="741">
        <v>95</v>
      </c>
      <c r="AH219" s="741">
        <v>2356</v>
      </c>
      <c r="AI219" s="741"/>
      <c r="AJ219" s="741">
        <v>93</v>
      </c>
      <c r="AK219" s="741"/>
      <c r="AL219" s="741">
        <v>125</v>
      </c>
      <c r="AM219" s="742">
        <v>1149</v>
      </c>
      <c r="AN219" s="743">
        <f t="shared" si="16"/>
        <v>0.90265987549518967</v>
      </c>
      <c r="AO219" s="744">
        <f t="shared" si="17"/>
        <v>1.0286805723987389</v>
      </c>
      <c r="AP219" s="745">
        <f>'09월 에너지'!S221</f>
        <v>145</v>
      </c>
    </row>
    <row r="220" spans="1:42" ht="16.5" customHeight="1">
      <c r="A220" s="999">
        <f>'09월 조업일지'!A220</f>
        <v>46273</v>
      </c>
      <c r="B220" s="1100">
        <f>'09월 조업일지'!B220</f>
        <v>46273</v>
      </c>
      <c r="C220" s="730">
        <f>'09월 조업일지'!G220</f>
        <v>85422</v>
      </c>
      <c r="D220" s="731" t="str">
        <f>'09월 조업일지'!E220</f>
        <v>C</v>
      </c>
      <c r="E220" s="732" t="str">
        <f>'09월 조업일지'!F220</f>
        <v>A</v>
      </c>
      <c r="F220" s="1096" t="str">
        <f>'09월 에너지'!F222</f>
        <v>S355JO-01</v>
      </c>
      <c r="G220" s="733">
        <v>10</v>
      </c>
      <c r="H220" s="734">
        <v>17</v>
      </c>
      <c r="I220" s="734">
        <v>123</v>
      </c>
      <c r="J220" s="734">
        <v>13</v>
      </c>
      <c r="K220" s="735">
        <v>21</v>
      </c>
      <c r="L220" s="734">
        <v>12</v>
      </c>
      <c r="M220" s="736">
        <v>12</v>
      </c>
      <c r="N220" s="737">
        <v>422</v>
      </c>
      <c r="O220" s="737"/>
      <c r="P220" s="737">
        <v>1001</v>
      </c>
      <c r="Q220" s="737">
        <v>952</v>
      </c>
      <c r="R220" s="737"/>
      <c r="S220" s="737"/>
      <c r="T220" s="737"/>
      <c r="U220" s="738"/>
      <c r="V220" s="739">
        <v>423</v>
      </c>
      <c r="W220" s="737"/>
      <c r="X220" s="737">
        <v>999</v>
      </c>
      <c r="Y220" s="737">
        <v>901</v>
      </c>
      <c r="Z220" s="1202"/>
      <c r="AA220" s="740"/>
      <c r="AB220" s="739"/>
      <c r="AC220" s="741"/>
      <c r="AD220" s="741">
        <v>280</v>
      </c>
      <c r="AE220" s="741">
        <v>330</v>
      </c>
      <c r="AF220" s="741"/>
      <c r="AG220" s="741">
        <v>95</v>
      </c>
      <c r="AH220" s="741">
        <v>2348</v>
      </c>
      <c r="AI220" s="741"/>
      <c r="AJ220" s="741">
        <v>90</v>
      </c>
      <c r="AK220" s="741"/>
      <c r="AL220" s="741">
        <v>125</v>
      </c>
      <c r="AM220" s="742">
        <v>2081</v>
      </c>
      <c r="AN220" s="743">
        <f t="shared" si="16"/>
        <v>0.70085178875638843</v>
      </c>
      <c r="AO220" s="744">
        <f t="shared" si="17"/>
        <v>0.95410075444147002</v>
      </c>
      <c r="AP220" s="745">
        <f>'09월 에너지'!S222</f>
        <v>145.19999999999999</v>
      </c>
    </row>
    <row r="221" spans="1:42" ht="16.5" customHeight="1">
      <c r="A221" s="999">
        <f>'09월 조업일지'!A221</f>
        <v>46273</v>
      </c>
      <c r="B221" s="1100">
        <f>'09월 조업일지'!B221</f>
        <v>46273</v>
      </c>
      <c r="C221" s="730">
        <f>'09월 조업일지'!G221</f>
        <v>85423</v>
      </c>
      <c r="D221" s="731" t="str">
        <f>'09월 조업일지'!E221</f>
        <v>C</v>
      </c>
      <c r="E221" s="732" t="str">
        <f>'09월 조업일지'!F221</f>
        <v>B</v>
      </c>
      <c r="F221" s="1096" t="str">
        <f>'09월 에너지'!F223</f>
        <v>S355JO-01</v>
      </c>
      <c r="G221" s="733">
        <v>10</v>
      </c>
      <c r="H221" s="734">
        <v>20</v>
      </c>
      <c r="I221" s="734">
        <v>135</v>
      </c>
      <c r="J221" s="734">
        <v>19</v>
      </c>
      <c r="K221" s="735">
        <v>37</v>
      </c>
      <c r="L221" s="734">
        <v>15</v>
      </c>
      <c r="M221" s="736">
        <v>11</v>
      </c>
      <c r="N221" s="737">
        <v>417</v>
      </c>
      <c r="O221" s="737"/>
      <c r="P221" s="737">
        <v>1001</v>
      </c>
      <c r="Q221" s="737">
        <v>952</v>
      </c>
      <c r="R221" s="737"/>
      <c r="S221" s="737"/>
      <c r="T221" s="737"/>
      <c r="U221" s="738"/>
      <c r="V221" s="739">
        <v>420</v>
      </c>
      <c r="W221" s="737"/>
      <c r="X221" s="737">
        <v>1000</v>
      </c>
      <c r="Y221" s="737">
        <v>902</v>
      </c>
      <c r="Z221" s="1202"/>
      <c r="AA221" s="740"/>
      <c r="AB221" s="739"/>
      <c r="AC221" s="741"/>
      <c r="AD221" s="741">
        <v>280</v>
      </c>
      <c r="AE221" s="741">
        <v>330</v>
      </c>
      <c r="AF221" s="741"/>
      <c r="AG221" s="741">
        <v>96</v>
      </c>
      <c r="AH221" s="741">
        <v>2352</v>
      </c>
      <c r="AI221" s="741"/>
      <c r="AJ221" s="741">
        <v>87</v>
      </c>
      <c r="AK221" s="741"/>
      <c r="AL221" s="741">
        <v>115</v>
      </c>
      <c r="AM221" s="742">
        <v>1229</v>
      </c>
      <c r="AN221" s="743">
        <f t="shared" si="16"/>
        <v>0.80555555555555547</v>
      </c>
      <c r="AO221" s="744">
        <f t="shared" si="17"/>
        <v>1.0357142857142858</v>
      </c>
      <c r="AP221" s="745">
        <f>'09월 에너지'!S223</f>
        <v>142.1</v>
      </c>
    </row>
    <row r="222" spans="1:42" ht="16.5" customHeight="1">
      <c r="A222" s="999">
        <f>'09월 조업일지'!A222</f>
        <v>46273</v>
      </c>
      <c r="B222" s="1100">
        <f>'09월 조업일지'!B222</f>
        <v>46273</v>
      </c>
      <c r="C222" s="730">
        <f>'09월 조업일지'!G222</f>
        <v>85424</v>
      </c>
      <c r="D222" s="731" t="str">
        <f>'09월 조업일지'!E222</f>
        <v>C</v>
      </c>
      <c r="E222" s="732" t="str">
        <f>'09월 조업일지'!F222</f>
        <v>A</v>
      </c>
      <c r="F222" s="1096" t="str">
        <f>'09월 에너지'!F224</f>
        <v>S355JO-01</v>
      </c>
      <c r="G222" s="733">
        <v>12</v>
      </c>
      <c r="H222" s="734">
        <v>23</v>
      </c>
      <c r="I222" s="734">
        <v>126</v>
      </c>
      <c r="J222" s="734">
        <v>16</v>
      </c>
      <c r="K222" s="735">
        <v>22</v>
      </c>
      <c r="L222" s="734">
        <v>14</v>
      </c>
      <c r="M222" s="736">
        <v>10</v>
      </c>
      <c r="N222" s="737">
        <v>415</v>
      </c>
      <c r="O222" s="737"/>
      <c r="P222" s="737">
        <v>1001</v>
      </c>
      <c r="Q222" s="737">
        <v>952</v>
      </c>
      <c r="R222" s="737"/>
      <c r="S222" s="737"/>
      <c r="T222" s="737"/>
      <c r="U222" s="738"/>
      <c r="V222" s="739">
        <v>416</v>
      </c>
      <c r="W222" s="737"/>
      <c r="X222" s="737">
        <v>1000</v>
      </c>
      <c r="Y222" s="737">
        <v>903</v>
      </c>
      <c r="Z222" s="1202"/>
      <c r="AA222" s="740"/>
      <c r="AB222" s="739"/>
      <c r="AC222" s="741"/>
      <c r="AD222" s="741">
        <v>281</v>
      </c>
      <c r="AE222" s="741">
        <v>331</v>
      </c>
      <c r="AF222" s="741"/>
      <c r="AG222" s="741">
        <v>95</v>
      </c>
      <c r="AH222" s="741">
        <v>2357</v>
      </c>
      <c r="AI222" s="741"/>
      <c r="AJ222" s="741">
        <v>84</v>
      </c>
      <c r="AK222" s="741"/>
      <c r="AL222" s="741">
        <v>119</v>
      </c>
      <c r="AM222" s="742">
        <v>3985</v>
      </c>
      <c r="AN222" s="743">
        <f t="shared" si="16"/>
        <v>0.95695092631876677</v>
      </c>
      <c r="AO222" s="744">
        <f t="shared" si="17"/>
        <v>0.98964179647251349</v>
      </c>
      <c r="AP222" s="745">
        <f>'09월 에너지'!S224</f>
        <v>147.1</v>
      </c>
    </row>
    <row r="223" spans="1:42" ht="16.5" customHeight="1">
      <c r="A223" s="999">
        <f>'09월 조업일지'!A223</f>
        <v>46273</v>
      </c>
      <c r="B223" s="1100">
        <f>'09월 조업일지'!B223</f>
        <v>46273</v>
      </c>
      <c r="C223" s="730">
        <f>'09월 조업일지'!G223</f>
        <v>85425</v>
      </c>
      <c r="D223" s="731" t="str">
        <f>'09월 조업일지'!E223</f>
        <v>C</v>
      </c>
      <c r="E223" s="732" t="str">
        <f>'09월 조업일지'!F223</f>
        <v>B</v>
      </c>
      <c r="F223" s="1096" t="str">
        <f>'09월 에너지'!F225</f>
        <v>S355JO-01</v>
      </c>
      <c r="G223" s="733">
        <v>12</v>
      </c>
      <c r="H223" s="734">
        <v>19</v>
      </c>
      <c r="I223" s="734">
        <v>129</v>
      </c>
      <c r="J223" s="734">
        <v>13</v>
      </c>
      <c r="K223" s="735">
        <v>44</v>
      </c>
      <c r="L223" s="734">
        <v>15</v>
      </c>
      <c r="M223" s="736">
        <v>11</v>
      </c>
      <c r="N223" s="737">
        <v>405</v>
      </c>
      <c r="O223" s="737"/>
      <c r="P223" s="737">
        <v>1000</v>
      </c>
      <c r="Q223" s="737">
        <v>951</v>
      </c>
      <c r="R223" s="737"/>
      <c r="S223" s="737"/>
      <c r="T223" s="737"/>
      <c r="U223" s="738"/>
      <c r="V223" s="739">
        <v>413</v>
      </c>
      <c r="W223" s="737"/>
      <c r="X223" s="737">
        <v>1150</v>
      </c>
      <c r="Y223" s="737">
        <v>901</v>
      </c>
      <c r="Z223" s="1202"/>
      <c r="AA223" s="740"/>
      <c r="AB223" s="739"/>
      <c r="AC223" s="741"/>
      <c r="AD223" s="741">
        <v>281</v>
      </c>
      <c r="AE223" s="741">
        <v>330</v>
      </c>
      <c r="AF223" s="741"/>
      <c r="AG223" s="741">
        <v>95</v>
      </c>
      <c r="AH223" s="741">
        <v>2349</v>
      </c>
      <c r="AI223" s="741"/>
      <c r="AJ223" s="741">
        <v>90</v>
      </c>
      <c r="AK223" s="741"/>
      <c r="AL223" s="741">
        <v>120</v>
      </c>
      <c r="AM223" s="742">
        <v>1269</v>
      </c>
      <c r="AN223" s="743">
        <f t="shared" si="16"/>
        <v>0.77542216546047982</v>
      </c>
      <c r="AO223" s="744">
        <f t="shared" si="17"/>
        <v>0.99697135559204519</v>
      </c>
      <c r="AP223" s="745">
        <f>'09월 에너지'!S225</f>
        <v>143.80000000000001</v>
      </c>
    </row>
    <row r="224" spans="1:42" ht="16.5" customHeight="1">
      <c r="A224" s="999">
        <f>'09월 조업일지'!A224</f>
        <v>46273</v>
      </c>
      <c r="B224" s="1100">
        <f>'09월 조업일지'!B224</f>
        <v>46273</v>
      </c>
      <c r="C224" s="730">
        <f>'09월 조업일지'!G224</f>
        <v>85426</v>
      </c>
      <c r="D224" s="731" t="str">
        <f>'09월 조업일지'!E224</f>
        <v>C</v>
      </c>
      <c r="E224" s="732" t="str">
        <f>'09월 조업일지'!F224</f>
        <v>B</v>
      </c>
      <c r="F224" s="1231" t="str">
        <f>'09월 에너지'!F226</f>
        <v>A572-50-03</v>
      </c>
      <c r="G224" s="733">
        <v>11</v>
      </c>
      <c r="H224" s="734">
        <v>28</v>
      </c>
      <c r="I224" s="734">
        <v>133</v>
      </c>
      <c r="J224" s="734">
        <v>15</v>
      </c>
      <c r="K224" s="735">
        <v>41</v>
      </c>
      <c r="L224" s="734">
        <v>11</v>
      </c>
      <c r="M224" s="736">
        <v>8</v>
      </c>
      <c r="N224" s="737">
        <v>423</v>
      </c>
      <c r="O224" s="737"/>
      <c r="P224" s="737">
        <v>1151</v>
      </c>
      <c r="Q224" s="737">
        <v>950</v>
      </c>
      <c r="R224" s="737"/>
      <c r="S224" s="737"/>
      <c r="T224" s="737">
        <v>59</v>
      </c>
      <c r="U224" s="738"/>
      <c r="V224" s="739">
        <v>416</v>
      </c>
      <c r="W224" s="737"/>
      <c r="X224" s="737">
        <v>1150</v>
      </c>
      <c r="Y224" s="737">
        <v>900</v>
      </c>
      <c r="Z224" s="1202">
        <v>63</v>
      </c>
      <c r="AA224" s="740"/>
      <c r="AB224" s="739"/>
      <c r="AC224" s="741"/>
      <c r="AD224" s="741">
        <v>282</v>
      </c>
      <c r="AE224" s="741">
        <v>350</v>
      </c>
      <c r="AF224" s="741"/>
      <c r="AG224" s="741">
        <v>105</v>
      </c>
      <c r="AH224" s="741">
        <v>2353</v>
      </c>
      <c r="AI224" s="741">
        <v>111</v>
      </c>
      <c r="AJ224" s="741">
        <v>92</v>
      </c>
      <c r="AK224" s="741"/>
      <c r="AL224" s="741">
        <v>119</v>
      </c>
      <c r="AM224" s="742">
        <v>1744</v>
      </c>
      <c r="AN224" s="743">
        <f t="shared" si="16"/>
        <v>0.94232003668042186</v>
      </c>
      <c r="AO224" s="744">
        <f t="shared" si="17"/>
        <v>1.0516908505858782</v>
      </c>
      <c r="AP224" s="745">
        <f>'09월 에너지'!S226</f>
        <v>146.80000000000001</v>
      </c>
    </row>
    <row r="225" spans="1:42" ht="16.5" customHeight="1">
      <c r="A225" s="999">
        <f>'09월 조업일지'!A225</f>
        <v>46273</v>
      </c>
      <c r="B225" s="1100">
        <f>'09월 조업일지'!B225</f>
        <v>46273</v>
      </c>
      <c r="C225" s="730">
        <f>'09월 조업일지'!G225</f>
        <v>85427</v>
      </c>
      <c r="D225" s="731" t="str">
        <f>'09월 조업일지'!E225</f>
        <v>D</v>
      </c>
      <c r="E225" s="732" t="str">
        <f>'09월 조업일지'!F225</f>
        <v>A</v>
      </c>
      <c r="F225" s="1096" t="str">
        <f>'09월 에너지'!F227</f>
        <v>A572-50-03</v>
      </c>
      <c r="G225" s="733">
        <v>10</v>
      </c>
      <c r="H225" s="734">
        <v>27</v>
      </c>
      <c r="I225" s="734">
        <v>126</v>
      </c>
      <c r="J225" s="734">
        <v>14</v>
      </c>
      <c r="K225" s="735">
        <v>23</v>
      </c>
      <c r="L225" s="734">
        <v>10</v>
      </c>
      <c r="M225" s="736">
        <v>11</v>
      </c>
      <c r="N225" s="737">
        <v>422</v>
      </c>
      <c r="O225" s="737"/>
      <c r="P225" s="737">
        <v>1001</v>
      </c>
      <c r="Q225" s="737">
        <v>950</v>
      </c>
      <c r="R225" s="737"/>
      <c r="S225" s="737"/>
      <c r="T225" s="737">
        <v>65</v>
      </c>
      <c r="U225" s="738"/>
      <c r="V225" s="739">
        <v>402</v>
      </c>
      <c r="W225" s="737"/>
      <c r="X225" s="737">
        <v>1150</v>
      </c>
      <c r="Y225" s="737">
        <v>901</v>
      </c>
      <c r="Z225" s="1202">
        <v>66</v>
      </c>
      <c r="AA225" s="740"/>
      <c r="AB225" s="739"/>
      <c r="AC225" s="741"/>
      <c r="AD225" s="741">
        <v>280</v>
      </c>
      <c r="AE225" s="741">
        <v>350</v>
      </c>
      <c r="AF225" s="741"/>
      <c r="AG225" s="741">
        <v>105</v>
      </c>
      <c r="AH225" s="741">
        <v>2359</v>
      </c>
      <c r="AI225" s="741">
        <v>107</v>
      </c>
      <c r="AJ225" s="741">
        <v>95</v>
      </c>
      <c r="AK225" s="741"/>
      <c r="AL225" s="741">
        <v>129</v>
      </c>
      <c r="AM225" s="742">
        <v>2868</v>
      </c>
      <c r="AN225" s="743">
        <f t="shared" si="16"/>
        <v>0.90932964754664836</v>
      </c>
      <c r="AO225" s="744">
        <f t="shared" si="17"/>
        <v>0.98275298249863741</v>
      </c>
      <c r="AP225" s="745">
        <f>'09월 에너지'!S227</f>
        <v>146.19999999999999</v>
      </c>
    </row>
    <row r="226" spans="1:42" ht="16.5" customHeight="1">
      <c r="A226" s="999">
        <f>'09월 조업일지'!A226</f>
        <v>46273</v>
      </c>
      <c r="B226" s="1100">
        <f>'09월 조업일지'!B226</f>
        <v>46273</v>
      </c>
      <c r="C226" s="730">
        <f>'09월 조업일지'!G226</f>
        <v>85428</v>
      </c>
      <c r="D226" s="731" t="str">
        <f>'09월 조업일지'!E226</f>
        <v>D</v>
      </c>
      <c r="E226" s="732" t="str">
        <f>'09월 조업일지'!F226</f>
        <v>A</v>
      </c>
      <c r="F226" s="1096" t="str">
        <f>'09월 에너지'!F228</f>
        <v>A572-50-03</v>
      </c>
      <c r="G226" s="733">
        <v>10</v>
      </c>
      <c r="H226" s="734">
        <v>26</v>
      </c>
      <c r="I226" s="734">
        <v>123</v>
      </c>
      <c r="J226" s="734">
        <v>13</v>
      </c>
      <c r="K226" s="735">
        <v>18</v>
      </c>
      <c r="L226" s="734">
        <v>11</v>
      </c>
      <c r="M226" s="736">
        <v>9</v>
      </c>
      <c r="N226" s="737">
        <v>417</v>
      </c>
      <c r="O226" s="737"/>
      <c r="P226" s="737">
        <v>1150</v>
      </c>
      <c r="Q226" s="737">
        <v>951</v>
      </c>
      <c r="R226" s="737"/>
      <c r="S226" s="737"/>
      <c r="T226" s="737">
        <v>59</v>
      </c>
      <c r="U226" s="738"/>
      <c r="V226" s="739">
        <v>406</v>
      </c>
      <c r="W226" s="737"/>
      <c r="X226" s="737">
        <v>1150</v>
      </c>
      <c r="Y226" s="737">
        <v>902</v>
      </c>
      <c r="Z226" s="1202">
        <v>68</v>
      </c>
      <c r="AA226" s="740"/>
      <c r="AB226" s="739"/>
      <c r="AC226" s="741"/>
      <c r="AD226" s="741">
        <v>281</v>
      </c>
      <c r="AE226" s="741">
        <v>351</v>
      </c>
      <c r="AF226" s="741"/>
      <c r="AG226" s="741">
        <v>105</v>
      </c>
      <c r="AH226" s="741">
        <v>2347</v>
      </c>
      <c r="AI226" s="741">
        <v>104</v>
      </c>
      <c r="AJ226" s="741">
        <v>95</v>
      </c>
      <c r="AK226" s="741"/>
      <c r="AL226" s="741">
        <v>125</v>
      </c>
      <c r="AM226" s="742">
        <v>2907</v>
      </c>
      <c r="AN226" s="743">
        <f t="shared" si="16"/>
        <v>0.88994302988024654</v>
      </c>
      <c r="AO226" s="744">
        <f t="shared" si="17"/>
        <v>0.96765475683243052</v>
      </c>
      <c r="AP226" s="745">
        <f>'09월 에너지'!S228</f>
        <v>147.19999999999999</v>
      </c>
    </row>
    <row r="227" spans="1:42" ht="16.5" customHeight="1">
      <c r="A227" s="999">
        <f>'09월 조업일지'!A227</f>
        <v>46273</v>
      </c>
      <c r="B227" s="1100">
        <f>'09월 조업일지'!B227</f>
        <v>46273</v>
      </c>
      <c r="C227" s="730">
        <f>'09월 조업일지'!G227</f>
        <v>85429</v>
      </c>
      <c r="D227" s="731" t="str">
        <f>'09월 조업일지'!E227</f>
        <v>D</v>
      </c>
      <c r="E227" s="732" t="str">
        <f>'09월 조업일지'!F227</f>
        <v>A</v>
      </c>
      <c r="F227" s="1096" t="str">
        <f>'09월 에너지'!F229</f>
        <v>A572-50-03</v>
      </c>
      <c r="G227" s="733">
        <v>10</v>
      </c>
      <c r="H227" s="734">
        <v>27</v>
      </c>
      <c r="I227" s="734">
        <v>130</v>
      </c>
      <c r="J227" s="734">
        <v>14</v>
      </c>
      <c r="K227" s="735">
        <v>23</v>
      </c>
      <c r="L227" s="734">
        <v>13</v>
      </c>
      <c r="M227" s="736">
        <v>12</v>
      </c>
      <c r="N227" s="737">
        <v>411</v>
      </c>
      <c r="O227" s="737"/>
      <c r="P227" s="737">
        <v>1150</v>
      </c>
      <c r="Q227" s="737">
        <v>952</v>
      </c>
      <c r="R227" s="737"/>
      <c r="S227" s="737"/>
      <c r="T227" s="737">
        <v>71</v>
      </c>
      <c r="U227" s="738"/>
      <c r="V227" s="739">
        <v>404</v>
      </c>
      <c r="W227" s="737"/>
      <c r="X227" s="737">
        <v>1150</v>
      </c>
      <c r="Y227" s="737">
        <v>902</v>
      </c>
      <c r="Z227" s="1202">
        <v>70</v>
      </c>
      <c r="AA227" s="740"/>
      <c r="AB227" s="739"/>
      <c r="AC227" s="741"/>
      <c r="AD227" s="741">
        <v>281</v>
      </c>
      <c r="AE227" s="741">
        <v>350</v>
      </c>
      <c r="AF227" s="741"/>
      <c r="AG227" s="741">
        <v>106</v>
      </c>
      <c r="AH227" s="741">
        <v>2356</v>
      </c>
      <c r="AI227" s="741">
        <v>110</v>
      </c>
      <c r="AJ227" s="741">
        <v>94</v>
      </c>
      <c r="AK227" s="741"/>
      <c r="AL227" s="741">
        <v>124</v>
      </c>
      <c r="AM227" s="742">
        <v>2049</v>
      </c>
      <c r="AN227" s="743">
        <f t="shared" si="16"/>
        <v>0.89318651066758425</v>
      </c>
      <c r="AO227" s="744">
        <f t="shared" si="17"/>
        <v>1.0055178268251275</v>
      </c>
      <c r="AP227" s="745">
        <f>'09월 에너지'!S229</f>
        <v>144.19999999999999</v>
      </c>
    </row>
    <row r="228" spans="1:42" ht="16.5" customHeight="1">
      <c r="A228" s="999">
        <f>'09월 조업일지'!A228</f>
        <v>46273</v>
      </c>
      <c r="B228" s="1100">
        <f>'09월 조업일지'!B228</f>
        <v>46273</v>
      </c>
      <c r="C228" s="730">
        <f>'09월 조업일지'!G228</f>
        <v>85430</v>
      </c>
      <c r="D228" s="731" t="str">
        <f>'09월 조업일지'!E228</f>
        <v>D</v>
      </c>
      <c r="E228" s="732" t="str">
        <f>'09월 조업일지'!F228</f>
        <v>A</v>
      </c>
      <c r="F228" s="1231" t="str">
        <f>'09월 에너지'!F230</f>
        <v>A272-50-01</v>
      </c>
      <c r="G228" s="733">
        <v>10</v>
      </c>
      <c r="H228" s="734">
        <v>29</v>
      </c>
      <c r="I228" s="734">
        <v>131</v>
      </c>
      <c r="J228" s="734">
        <v>12</v>
      </c>
      <c r="K228" s="735">
        <v>23</v>
      </c>
      <c r="L228" s="734">
        <v>11</v>
      </c>
      <c r="M228" s="736">
        <v>9</v>
      </c>
      <c r="N228" s="737">
        <v>404</v>
      </c>
      <c r="O228" s="737"/>
      <c r="P228" s="737">
        <v>1150</v>
      </c>
      <c r="Q228" s="737">
        <v>951</v>
      </c>
      <c r="R228" s="737"/>
      <c r="S228" s="737"/>
      <c r="T228" s="737">
        <v>64</v>
      </c>
      <c r="U228" s="738"/>
      <c r="V228" s="739">
        <v>420</v>
      </c>
      <c r="W228" s="737"/>
      <c r="X228" s="737">
        <v>1150</v>
      </c>
      <c r="Y228" s="737">
        <v>902</v>
      </c>
      <c r="Z228" s="1202">
        <v>62</v>
      </c>
      <c r="AA228" s="740"/>
      <c r="AB228" s="739"/>
      <c r="AC228" s="741"/>
      <c r="AD228" s="741">
        <v>283</v>
      </c>
      <c r="AE228" s="741">
        <v>351</v>
      </c>
      <c r="AF228" s="741"/>
      <c r="AG228" s="741">
        <v>105</v>
      </c>
      <c r="AH228" s="741">
        <v>2350</v>
      </c>
      <c r="AI228" s="741">
        <v>111</v>
      </c>
      <c r="AJ228" s="741">
        <v>96</v>
      </c>
      <c r="AK228" s="741"/>
      <c r="AL228" s="741">
        <v>118</v>
      </c>
      <c r="AM228" s="742">
        <v>2260</v>
      </c>
      <c r="AN228" s="743">
        <f t="shared" si="16"/>
        <v>0.95834767641996566</v>
      </c>
      <c r="AO228" s="744">
        <f t="shared" si="17"/>
        <v>1.0154407294832828</v>
      </c>
      <c r="AP228" s="745">
        <f>'09월 에너지'!S230</f>
        <v>144</v>
      </c>
    </row>
    <row r="229" spans="1:42" ht="16.5" customHeight="1">
      <c r="A229" s="999">
        <f>'09월 조업일지'!A229</f>
        <v>46273</v>
      </c>
      <c r="B229" s="1100">
        <f>'09월 조업일지'!B229</f>
        <v>46273</v>
      </c>
      <c r="C229" s="730">
        <f>'09월 조업일지'!G229</f>
        <v>85431</v>
      </c>
      <c r="D229" s="731" t="str">
        <f>'09월 조업일지'!E229</f>
        <v>D</v>
      </c>
      <c r="E229" s="732" t="str">
        <f>'09월 조업일지'!F229</f>
        <v>B</v>
      </c>
      <c r="F229" s="1096" t="str">
        <f>'09월 에너지'!F231</f>
        <v>A272-50-01</v>
      </c>
      <c r="G229" s="733">
        <v>11</v>
      </c>
      <c r="H229" s="734">
        <v>26</v>
      </c>
      <c r="I229" s="734">
        <v>122</v>
      </c>
      <c r="J229" s="734">
        <v>14</v>
      </c>
      <c r="K229" s="735">
        <v>30</v>
      </c>
      <c r="L229" s="734">
        <v>12</v>
      </c>
      <c r="M229" s="736">
        <v>12</v>
      </c>
      <c r="N229" s="737">
        <v>411</v>
      </c>
      <c r="O229" s="737"/>
      <c r="P229" s="737">
        <v>1001</v>
      </c>
      <c r="Q229" s="737">
        <v>951</v>
      </c>
      <c r="R229" s="737"/>
      <c r="S229" s="737"/>
      <c r="T229" s="737">
        <v>65</v>
      </c>
      <c r="U229" s="738"/>
      <c r="V229" s="739">
        <v>414</v>
      </c>
      <c r="W229" s="737"/>
      <c r="X229" s="737">
        <v>1001</v>
      </c>
      <c r="Y229" s="737">
        <v>901</v>
      </c>
      <c r="Z229" s="1202">
        <v>68</v>
      </c>
      <c r="AA229" s="740"/>
      <c r="AB229" s="739"/>
      <c r="AC229" s="741"/>
      <c r="AD229" s="741">
        <v>281</v>
      </c>
      <c r="AE229" s="741">
        <v>351</v>
      </c>
      <c r="AF229" s="741"/>
      <c r="AG229" s="741">
        <v>106</v>
      </c>
      <c r="AH229" s="741">
        <v>2351</v>
      </c>
      <c r="AI229" s="741">
        <v>111</v>
      </c>
      <c r="AJ229" s="741">
        <v>96</v>
      </c>
      <c r="AK229" s="741"/>
      <c r="AL229" s="741">
        <v>127</v>
      </c>
      <c r="AM229" s="742">
        <v>2175</v>
      </c>
      <c r="AN229" s="743">
        <f t="shared" si="16"/>
        <v>0.88336774489561831</v>
      </c>
      <c r="AO229" s="744">
        <f t="shared" si="17"/>
        <v>0.96291547669684652</v>
      </c>
      <c r="AP229" s="745">
        <f>'09월 에너지'!S231</f>
        <v>148.1</v>
      </c>
    </row>
    <row r="230" spans="1:42" ht="16.5" customHeight="1">
      <c r="A230" s="999">
        <f>'09월 조업일지'!A230</f>
        <v>46273</v>
      </c>
      <c r="B230" s="1100">
        <f>'09월 조업일지'!B230</f>
        <v>46273</v>
      </c>
      <c r="C230" s="730">
        <f>'09월 조업일지'!G230</f>
        <v>85432</v>
      </c>
      <c r="D230" s="731" t="str">
        <f>'09월 조업일지'!E230</f>
        <v>D</v>
      </c>
      <c r="E230" s="732" t="str">
        <f>'09월 조업일지'!F230</f>
        <v>A</v>
      </c>
      <c r="F230" s="1096" t="str">
        <f>'09월 에너지'!F232</f>
        <v>A272-50-01</v>
      </c>
      <c r="G230" s="733">
        <v>9</v>
      </c>
      <c r="H230" s="734">
        <v>23</v>
      </c>
      <c r="I230" s="734">
        <v>121</v>
      </c>
      <c r="J230" s="734">
        <v>13</v>
      </c>
      <c r="K230" s="735">
        <v>26</v>
      </c>
      <c r="L230" s="734">
        <v>12</v>
      </c>
      <c r="M230" s="736">
        <v>11</v>
      </c>
      <c r="N230" s="737">
        <v>418</v>
      </c>
      <c r="O230" s="737"/>
      <c r="P230" s="737">
        <v>1001</v>
      </c>
      <c r="Q230" s="737">
        <v>951</v>
      </c>
      <c r="R230" s="737"/>
      <c r="S230" s="737"/>
      <c r="T230" s="737">
        <v>72</v>
      </c>
      <c r="U230" s="738"/>
      <c r="V230" s="739">
        <v>404</v>
      </c>
      <c r="W230" s="737"/>
      <c r="X230" s="737">
        <v>1000</v>
      </c>
      <c r="Y230" s="737">
        <v>903</v>
      </c>
      <c r="Z230" s="1202">
        <v>65</v>
      </c>
      <c r="AA230" s="740"/>
      <c r="AB230" s="739"/>
      <c r="AC230" s="741"/>
      <c r="AD230" s="741">
        <v>280</v>
      </c>
      <c r="AE230" s="741">
        <v>350</v>
      </c>
      <c r="AF230" s="741"/>
      <c r="AG230" s="741">
        <v>105</v>
      </c>
      <c r="AH230" s="741">
        <v>2352</v>
      </c>
      <c r="AI230" s="741">
        <v>109</v>
      </c>
      <c r="AJ230" s="741">
        <v>101</v>
      </c>
      <c r="AK230" s="741"/>
      <c r="AL230" s="741">
        <v>133</v>
      </c>
      <c r="AM230" s="742">
        <v>2362</v>
      </c>
      <c r="AN230" s="743">
        <f t="shared" si="16"/>
        <v>0.7738119894143366</v>
      </c>
      <c r="AO230" s="744">
        <f t="shared" si="17"/>
        <v>0.94127793974732765</v>
      </c>
      <c r="AP230" s="745">
        <f>'09월 에너지'!S232</f>
        <v>146.19999999999999</v>
      </c>
    </row>
    <row r="231" spans="1:42" ht="16.5" customHeight="1">
      <c r="A231" s="999">
        <f>'09월 조업일지'!A231</f>
        <v>46273</v>
      </c>
      <c r="B231" s="1100">
        <f>'09월 조업일지'!B231</f>
        <v>46273</v>
      </c>
      <c r="C231" s="730">
        <f>'09월 조업일지'!G231</f>
        <v>85433</v>
      </c>
      <c r="D231" s="731" t="str">
        <f>'09월 조업일지'!E231</f>
        <v>D</v>
      </c>
      <c r="E231" s="732" t="str">
        <f>'09월 조업일지'!F231</f>
        <v>B</v>
      </c>
      <c r="F231" s="1096" t="str">
        <f>'09월 에너지'!F233</f>
        <v>A272-50-01</v>
      </c>
      <c r="G231" s="733">
        <v>10</v>
      </c>
      <c r="H231" s="734">
        <v>24</v>
      </c>
      <c r="I231" s="734">
        <v>123</v>
      </c>
      <c r="J231" s="734">
        <v>12</v>
      </c>
      <c r="K231" s="735">
        <v>29</v>
      </c>
      <c r="L231" s="734">
        <v>9</v>
      </c>
      <c r="M231" s="736">
        <v>8</v>
      </c>
      <c r="N231" s="737">
        <v>402</v>
      </c>
      <c r="O231" s="737"/>
      <c r="P231" s="737">
        <v>1000</v>
      </c>
      <c r="Q231" s="737">
        <v>950</v>
      </c>
      <c r="R231" s="737"/>
      <c r="S231" s="737"/>
      <c r="T231" s="737">
        <v>69</v>
      </c>
      <c r="U231" s="738"/>
      <c r="V231" s="739">
        <v>418</v>
      </c>
      <c r="W231" s="737"/>
      <c r="X231" s="737">
        <v>1000</v>
      </c>
      <c r="Y231" s="737">
        <v>900</v>
      </c>
      <c r="Z231" s="1202">
        <v>64</v>
      </c>
      <c r="AA231" s="740"/>
      <c r="AB231" s="739"/>
      <c r="AC231" s="741"/>
      <c r="AD231" s="741">
        <v>280</v>
      </c>
      <c r="AE231" s="741">
        <v>350</v>
      </c>
      <c r="AF231" s="741"/>
      <c r="AG231" s="741">
        <v>106</v>
      </c>
      <c r="AH231" s="741">
        <v>2351</v>
      </c>
      <c r="AI231" s="741">
        <v>107</v>
      </c>
      <c r="AJ231" s="741">
        <v>102</v>
      </c>
      <c r="AK231" s="741"/>
      <c r="AL231" s="741">
        <v>120</v>
      </c>
      <c r="AM231" s="742">
        <v>2077</v>
      </c>
      <c r="AN231" s="743">
        <f t="shared" si="16"/>
        <v>0.81829521829521834</v>
      </c>
      <c r="AO231" s="744">
        <f t="shared" si="17"/>
        <v>0.96863340827611355</v>
      </c>
      <c r="AP231" s="745">
        <f>'09월 에너지'!S233</f>
        <v>147.6</v>
      </c>
    </row>
    <row r="232" spans="1:42" ht="16.5" customHeight="1">
      <c r="A232" s="999">
        <f>'09월 조업일지'!A232</f>
        <v>46273</v>
      </c>
      <c r="B232" s="1100">
        <f>'09월 조업일지'!B232</f>
        <v>46273</v>
      </c>
      <c r="C232" s="730">
        <f>'09월 조업일지'!G232</f>
        <v>85434</v>
      </c>
      <c r="D232" s="731" t="str">
        <f>'09월 조업일지'!E232</f>
        <v>D</v>
      </c>
      <c r="E232" s="732" t="str">
        <f>'09월 조업일지'!F232</f>
        <v>A</v>
      </c>
      <c r="F232" s="1096" t="str">
        <f>'09월 에너지'!F234</f>
        <v>A272-50-01</v>
      </c>
      <c r="G232" s="733">
        <v>12</v>
      </c>
      <c r="H232" s="734">
        <v>29</v>
      </c>
      <c r="I232" s="734">
        <v>128</v>
      </c>
      <c r="J232" s="734">
        <v>15</v>
      </c>
      <c r="K232" s="735">
        <v>38</v>
      </c>
      <c r="L232" s="734">
        <v>14</v>
      </c>
      <c r="M232" s="736">
        <v>11</v>
      </c>
      <c r="N232" s="737">
        <v>408</v>
      </c>
      <c r="O232" s="737"/>
      <c r="P232" s="737">
        <v>1001</v>
      </c>
      <c r="Q232" s="737">
        <v>952</v>
      </c>
      <c r="R232" s="737"/>
      <c r="S232" s="737"/>
      <c r="T232" s="737">
        <v>72</v>
      </c>
      <c r="U232" s="738"/>
      <c r="V232" s="739">
        <v>416</v>
      </c>
      <c r="W232" s="737"/>
      <c r="X232" s="737">
        <v>1000</v>
      </c>
      <c r="Y232" s="737">
        <v>901</v>
      </c>
      <c r="Z232" s="1202">
        <v>70</v>
      </c>
      <c r="AA232" s="740"/>
      <c r="AB232" s="739"/>
      <c r="AC232" s="741"/>
      <c r="AD232" s="741">
        <v>281</v>
      </c>
      <c r="AE232" s="741">
        <v>352</v>
      </c>
      <c r="AF232" s="741"/>
      <c r="AG232" s="741">
        <v>106</v>
      </c>
      <c r="AH232" s="741">
        <v>2356</v>
      </c>
      <c r="AI232" s="741">
        <v>108</v>
      </c>
      <c r="AJ232" s="741">
        <v>99</v>
      </c>
      <c r="AK232" s="741"/>
      <c r="AL232" s="741">
        <v>115</v>
      </c>
      <c r="AM232" s="742">
        <v>2085</v>
      </c>
      <c r="AN232" s="743">
        <f t="shared" si="16"/>
        <v>0.97401012891344396</v>
      </c>
      <c r="AO232" s="744">
        <f t="shared" si="17"/>
        <v>0.99967863206403118</v>
      </c>
      <c r="AP232" s="745">
        <f>'09월 에너지'!S234</f>
        <v>145.9</v>
      </c>
    </row>
    <row r="233" spans="1:42" ht="16.5" customHeight="1">
      <c r="A233" s="999">
        <f>'09월 조업일지'!A233</f>
        <v>46273</v>
      </c>
      <c r="B233" s="1100">
        <f>'09월 조업일지'!B233</f>
        <v>46273</v>
      </c>
      <c r="C233" s="730">
        <f>'09월 조업일지'!G233</f>
        <v>85435</v>
      </c>
      <c r="D233" s="731" t="str">
        <f>'09월 조업일지'!E233</f>
        <v>D</v>
      </c>
      <c r="E233" s="732" t="str">
        <f>'09월 조업일지'!F233</f>
        <v>B</v>
      </c>
      <c r="F233" s="1096" t="str">
        <f>'09월 에너지'!F235</f>
        <v>A272-50-01</v>
      </c>
      <c r="G233" s="733">
        <v>10</v>
      </c>
      <c r="H233" s="734">
        <v>28</v>
      </c>
      <c r="I233" s="734">
        <v>129</v>
      </c>
      <c r="J233" s="734">
        <v>16</v>
      </c>
      <c r="K233" s="735">
        <v>32</v>
      </c>
      <c r="L233" s="734">
        <v>11</v>
      </c>
      <c r="M233" s="736">
        <v>11</v>
      </c>
      <c r="N233" s="737">
        <v>421</v>
      </c>
      <c r="O233" s="737"/>
      <c r="P233" s="737">
        <v>1001</v>
      </c>
      <c r="Q233" s="737">
        <v>951</v>
      </c>
      <c r="R233" s="737"/>
      <c r="S233" s="737"/>
      <c r="T233" s="737">
        <v>63</v>
      </c>
      <c r="U233" s="738"/>
      <c r="V233" s="739">
        <v>407</v>
      </c>
      <c r="W233" s="737"/>
      <c r="X233" s="737">
        <v>1000</v>
      </c>
      <c r="Y233" s="737">
        <v>901</v>
      </c>
      <c r="Z233" s="1202">
        <v>70</v>
      </c>
      <c r="AA233" s="740"/>
      <c r="AB233" s="739"/>
      <c r="AC233" s="741"/>
      <c r="AD233" s="741">
        <v>280</v>
      </c>
      <c r="AE233" s="741">
        <v>3540</v>
      </c>
      <c r="AF233" s="741"/>
      <c r="AG233" s="741">
        <v>105</v>
      </c>
      <c r="AH233" s="741">
        <v>2350</v>
      </c>
      <c r="AI233" s="741">
        <v>103</v>
      </c>
      <c r="AJ233" s="741">
        <v>99</v>
      </c>
      <c r="AK233" s="741"/>
      <c r="AL233" s="741">
        <v>118</v>
      </c>
      <c r="AM233" s="742">
        <v>2144</v>
      </c>
      <c r="AN233" s="743">
        <f t="shared" si="16"/>
        <v>0.95125072716695758</v>
      </c>
      <c r="AO233" s="744">
        <f t="shared" si="17"/>
        <v>1.0117933130699088</v>
      </c>
      <c r="AP233" s="745">
        <f>'09월 에너지'!S235</f>
        <v>146</v>
      </c>
    </row>
    <row r="234" spans="1:42" ht="16.5" customHeight="1">
      <c r="A234" s="999">
        <f>'09월 조업일지'!A234</f>
        <v>46273</v>
      </c>
      <c r="B234" s="1100">
        <f>'09월 조업일지'!B234</f>
        <v>46273</v>
      </c>
      <c r="C234" s="730">
        <f>'09월 조업일지'!G234</f>
        <v>85436</v>
      </c>
      <c r="D234" s="731" t="str">
        <f>'09월 조업일지'!E234</f>
        <v>A</v>
      </c>
      <c r="E234" s="732" t="str">
        <f>'09월 조업일지'!F234</f>
        <v>A</v>
      </c>
      <c r="F234" s="1096" t="str">
        <f>'09월 에너지'!F236</f>
        <v>A272-50-01</v>
      </c>
      <c r="G234" s="733">
        <v>12</v>
      </c>
      <c r="H234" s="734">
        <v>27</v>
      </c>
      <c r="I234" s="734">
        <v>132</v>
      </c>
      <c r="J234" s="734">
        <v>15</v>
      </c>
      <c r="K234" s="735">
        <v>39</v>
      </c>
      <c r="L234" s="734">
        <v>13</v>
      </c>
      <c r="M234" s="736">
        <v>9</v>
      </c>
      <c r="N234" s="737">
        <v>412</v>
      </c>
      <c r="O234" s="737"/>
      <c r="P234" s="737">
        <v>1000</v>
      </c>
      <c r="Q234" s="737">
        <v>952</v>
      </c>
      <c r="R234" s="737"/>
      <c r="S234" s="737"/>
      <c r="T234" s="737">
        <v>62</v>
      </c>
      <c r="U234" s="738"/>
      <c r="V234" s="739">
        <v>421</v>
      </c>
      <c r="W234" s="737"/>
      <c r="X234" s="737">
        <v>1000</v>
      </c>
      <c r="Y234" s="737">
        <v>901</v>
      </c>
      <c r="Z234" s="1202">
        <v>65</v>
      </c>
      <c r="AA234" s="740"/>
      <c r="AB234" s="739">
        <v>0</v>
      </c>
      <c r="AC234" s="741"/>
      <c r="AD234" s="741">
        <v>280</v>
      </c>
      <c r="AE234" s="741">
        <v>350</v>
      </c>
      <c r="AF234" s="741">
        <v>0</v>
      </c>
      <c r="AG234" s="741">
        <v>105</v>
      </c>
      <c r="AH234" s="741">
        <v>2350</v>
      </c>
      <c r="AI234" s="741">
        <v>105</v>
      </c>
      <c r="AJ234" s="741">
        <v>94</v>
      </c>
      <c r="AK234" s="741">
        <v>0</v>
      </c>
      <c r="AL234" s="741">
        <v>124</v>
      </c>
      <c r="AM234" s="742">
        <v>2166</v>
      </c>
      <c r="AN234" s="743">
        <f t="shared" si="16"/>
        <v>0.90720000000000001</v>
      </c>
      <c r="AO234" s="744">
        <f t="shared" si="17"/>
        <v>1.0305957446808509</v>
      </c>
      <c r="AP234" s="745">
        <f>'09월 에너지'!S236</f>
        <v>144.9</v>
      </c>
    </row>
    <row r="235" spans="1:42" ht="16.5" customHeight="1">
      <c r="A235" s="999">
        <f>'09월 조업일지'!A235</f>
        <v>46273</v>
      </c>
      <c r="B235" s="1100">
        <f>'09월 조업일지'!B235</f>
        <v>46273</v>
      </c>
      <c r="C235" s="730">
        <f>'09월 조업일지'!G235</f>
        <v>85437</v>
      </c>
      <c r="D235" s="731" t="str">
        <f>'09월 조업일지'!E235</f>
        <v>A</v>
      </c>
      <c r="E235" s="732" t="str">
        <f>'09월 조업일지'!F235</f>
        <v>B</v>
      </c>
      <c r="F235" s="1096" t="str">
        <f>'09월 에너지'!F237</f>
        <v>A272-50-01</v>
      </c>
      <c r="G235" s="733">
        <v>11</v>
      </c>
      <c r="H235" s="734">
        <v>28</v>
      </c>
      <c r="I235" s="734">
        <v>129</v>
      </c>
      <c r="J235" s="734">
        <v>16</v>
      </c>
      <c r="K235" s="735">
        <v>26</v>
      </c>
      <c r="L235" s="734">
        <v>10</v>
      </c>
      <c r="M235" s="736">
        <v>11</v>
      </c>
      <c r="N235" s="737">
        <v>401</v>
      </c>
      <c r="O235" s="737"/>
      <c r="P235" s="737">
        <v>1000</v>
      </c>
      <c r="Q235" s="737">
        <v>952</v>
      </c>
      <c r="R235" s="737"/>
      <c r="S235" s="737"/>
      <c r="T235" s="737">
        <v>69</v>
      </c>
      <c r="U235" s="738"/>
      <c r="V235" s="739">
        <v>417</v>
      </c>
      <c r="W235" s="737"/>
      <c r="X235" s="737">
        <v>1000</v>
      </c>
      <c r="Y235" s="737">
        <v>901</v>
      </c>
      <c r="Z235" s="1202">
        <v>71</v>
      </c>
      <c r="AA235" s="740"/>
      <c r="AB235" s="739">
        <v>0</v>
      </c>
      <c r="AC235" s="741"/>
      <c r="AD235" s="741">
        <v>281</v>
      </c>
      <c r="AE235" s="741">
        <v>350</v>
      </c>
      <c r="AF235" s="741">
        <v>0</v>
      </c>
      <c r="AG235" s="741">
        <v>105</v>
      </c>
      <c r="AH235" s="741">
        <v>2348</v>
      </c>
      <c r="AI235" s="741">
        <v>111</v>
      </c>
      <c r="AJ235" s="741">
        <v>95</v>
      </c>
      <c r="AK235" s="741">
        <v>0</v>
      </c>
      <c r="AL235" s="741">
        <v>119</v>
      </c>
      <c r="AM235" s="742">
        <v>2334</v>
      </c>
      <c r="AN235" s="743">
        <f t="shared" si="16"/>
        <v>0.93429785279595812</v>
      </c>
      <c r="AO235" s="744">
        <f t="shared" si="17"/>
        <v>1.0077999513263569</v>
      </c>
      <c r="AP235" s="745">
        <f>'09월 에너지'!S237</f>
        <v>145.30000000000001</v>
      </c>
    </row>
    <row r="236" spans="1:42" ht="16.5" customHeight="1">
      <c r="A236" s="999">
        <f>'09월 조업일지'!A236</f>
        <v>46273</v>
      </c>
      <c r="B236" s="1100">
        <f>'09월 조업일지'!B236</f>
        <v>46273</v>
      </c>
      <c r="C236" s="730">
        <f>'09월 조업일지'!G236</f>
        <v>85438</v>
      </c>
      <c r="D236" s="731" t="str">
        <f>'09월 조업일지'!E236</f>
        <v>A</v>
      </c>
      <c r="E236" s="732" t="str">
        <f>'09월 조업일지'!F236</f>
        <v>A</v>
      </c>
      <c r="F236" s="1096" t="str">
        <f>'09월 에너지'!F238</f>
        <v>A272-50-01</v>
      </c>
      <c r="G236" s="733">
        <v>14</v>
      </c>
      <c r="H236" s="734">
        <v>29</v>
      </c>
      <c r="I236" s="734">
        <v>135</v>
      </c>
      <c r="J236" s="734">
        <v>15</v>
      </c>
      <c r="K236" s="735">
        <v>29</v>
      </c>
      <c r="L236" s="734">
        <v>10</v>
      </c>
      <c r="M236" s="736">
        <v>10</v>
      </c>
      <c r="N236" s="737">
        <v>411</v>
      </c>
      <c r="O236" s="737"/>
      <c r="P236" s="737">
        <v>1000</v>
      </c>
      <c r="Q236" s="737">
        <v>950</v>
      </c>
      <c r="R236" s="737"/>
      <c r="S236" s="737"/>
      <c r="T236" s="737">
        <v>68</v>
      </c>
      <c r="U236" s="738"/>
      <c r="V236" s="739">
        <v>411</v>
      </c>
      <c r="W236" s="737"/>
      <c r="X236" s="737">
        <v>1000</v>
      </c>
      <c r="Y236" s="737">
        <v>901</v>
      </c>
      <c r="Z236" s="1202">
        <v>71</v>
      </c>
      <c r="AA236" s="740"/>
      <c r="AB236" s="739">
        <v>0</v>
      </c>
      <c r="AC236" s="741"/>
      <c r="AD236" s="741">
        <v>280</v>
      </c>
      <c r="AE236" s="741">
        <v>351</v>
      </c>
      <c r="AF236" s="741">
        <v>0</v>
      </c>
      <c r="AG236" s="741">
        <v>105</v>
      </c>
      <c r="AH236" s="741">
        <v>2354</v>
      </c>
      <c r="AI236" s="741">
        <v>107</v>
      </c>
      <c r="AJ236" s="741">
        <v>98</v>
      </c>
      <c r="AK236" s="741">
        <v>0</v>
      </c>
      <c r="AL236" s="741">
        <v>131</v>
      </c>
      <c r="AM236" s="742">
        <v>2430</v>
      </c>
      <c r="AN236" s="743">
        <f t="shared" si="16"/>
        <v>0.96767047421253027</v>
      </c>
      <c r="AO236" s="744">
        <f t="shared" si="17"/>
        <v>1.053040417526399</v>
      </c>
      <c r="AP236" s="745">
        <f>'09월 에너지'!S238</f>
        <v>144.6</v>
      </c>
    </row>
    <row r="237" spans="1:42" ht="16.5" customHeight="1">
      <c r="A237" s="999">
        <f>'09월 조업일지'!A237</f>
        <v>46273</v>
      </c>
      <c r="B237" s="1100">
        <f>'09월 조업일지'!B237</f>
        <v>46273</v>
      </c>
      <c r="C237" s="730">
        <f>'09월 조업일지'!G237</f>
        <v>85439</v>
      </c>
      <c r="D237" s="731" t="str">
        <f>'09월 조업일지'!E237</f>
        <v>A</v>
      </c>
      <c r="E237" s="732" t="str">
        <f>'09월 조업일지'!F237</f>
        <v>B</v>
      </c>
      <c r="F237" s="1231" t="str">
        <f>'09월 에너지'!F239</f>
        <v>S355JO-01</v>
      </c>
      <c r="G237" s="733">
        <v>13</v>
      </c>
      <c r="H237" s="734">
        <v>23</v>
      </c>
      <c r="I237" s="734">
        <v>137</v>
      </c>
      <c r="J237" s="734">
        <v>19</v>
      </c>
      <c r="K237" s="735">
        <v>41</v>
      </c>
      <c r="L237" s="734">
        <v>10</v>
      </c>
      <c r="M237" s="736">
        <v>7</v>
      </c>
      <c r="N237" s="737">
        <v>416</v>
      </c>
      <c r="O237" s="737"/>
      <c r="P237" s="737">
        <v>1001</v>
      </c>
      <c r="Q237" s="737">
        <v>951</v>
      </c>
      <c r="R237" s="737"/>
      <c r="S237" s="737"/>
      <c r="T237" s="737">
        <v>0</v>
      </c>
      <c r="U237" s="738"/>
      <c r="V237" s="739">
        <v>215</v>
      </c>
      <c r="W237" s="737"/>
      <c r="X237" s="737">
        <v>1000</v>
      </c>
      <c r="Y237" s="737">
        <v>902</v>
      </c>
      <c r="Z237" s="1202">
        <v>0</v>
      </c>
      <c r="AA237" s="740"/>
      <c r="AB237" s="739">
        <v>0</v>
      </c>
      <c r="AC237" s="741"/>
      <c r="AD237" s="741">
        <v>280</v>
      </c>
      <c r="AE237" s="741">
        <v>330</v>
      </c>
      <c r="AF237" s="741">
        <v>0</v>
      </c>
      <c r="AG237" s="741">
        <v>95</v>
      </c>
      <c r="AH237" s="741">
        <v>2350</v>
      </c>
      <c r="AI237" s="741">
        <v>0</v>
      </c>
      <c r="AJ237" s="741">
        <v>85</v>
      </c>
      <c r="AK237" s="741">
        <v>0</v>
      </c>
      <c r="AL237" s="741">
        <v>120</v>
      </c>
      <c r="AM237" s="742">
        <v>919</v>
      </c>
      <c r="AN237" s="743">
        <f t="shared" si="16"/>
        <v>0.9434893617021276</v>
      </c>
      <c r="AO237" s="744">
        <f t="shared" si="17"/>
        <v>1.0724133738601822</v>
      </c>
      <c r="AP237" s="745">
        <f>'09월 에너지'!S239</f>
        <v>144.6</v>
      </c>
    </row>
    <row r="238" spans="1:42" ht="16.5" customHeight="1">
      <c r="A238" s="999">
        <f>'09월 조업일지'!A238</f>
        <v>46273</v>
      </c>
      <c r="B238" s="1100">
        <f>'09월 조업일지'!B238</f>
        <v>46273</v>
      </c>
      <c r="C238" s="730">
        <f>'09월 조업일지'!G238</f>
        <v>85440</v>
      </c>
      <c r="D238" s="731" t="str">
        <f>'09월 조업일지'!E238</f>
        <v>A</v>
      </c>
      <c r="E238" s="732" t="str">
        <f>'09월 조업일지'!F238</f>
        <v>A</v>
      </c>
      <c r="F238" s="1096" t="str">
        <f>'09월 에너지'!F240</f>
        <v>S355JO-01</v>
      </c>
      <c r="G238" s="733">
        <v>12</v>
      </c>
      <c r="H238" s="734">
        <v>22</v>
      </c>
      <c r="I238" s="734">
        <v>135</v>
      </c>
      <c r="J238" s="734">
        <v>15</v>
      </c>
      <c r="K238" s="735">
        <v>39</v>
      </c>
      <c r="L238" s="734">
        <v>10</v>
      </c>
      <c r="M238" s="736">
        <v>12</v>
      </c>
      <c r="N238" s="737">
        <v>419</v>
      </c>
      <c r="O238" s="737"/>
      <c r="P238" s="737">
        <v>1001</v>
      </c>
      <c r="Q238" s="737">
        <v>952</v>
      </c>
      <c r="R238" s="737"/>
      <c r="S238" s="737"/>
      <c r="T238" s="737">
        <v>0</v>
      </c>
      <c r="U238" s="738"/>
      <c r="V238" s="739">
        <v>415</v>
      </c>
      <c r="W238" s="737"/>
      <c r="X238" s="737">
        <v>1000</v>
      </c>
      <c r="Y238" s="737">
        <v>902</v>
      </c>
      <c r="Z238" s="1202">
        <v>0</v>
      </c>
      <c r="AA238" s="740"/>
      <c r="AB238" s="739">
        <v>0</v>
      </c>
      <c r="AC238" s="741"/>
      <c r="AD238" s="741">
        <v>280</v>
      </c>
      <c r="AE238" s="741">
        <v>330</v>
      </c>
      <c r="AF238" s="741">
        <v>0</v>
      </c>
      <c r="AG238" s="741">
        <v>95</v>
      </c>
      <c r="AH238" s="741">
        <v>2352</v>
      </c>
      <c r="AI238" s="741">
        <v>0</v>
      </c>
      <c r="AJ238" s="741">
        <v>84</v>
      </c>
      <c r="AK238" s="741">
        <v>0</v>
      </c>
      <c r="AL238" s="741">
        <v>129</v>
      </c>
      <c r="AM238" s="742">
        <v>2567</v>
      </c>
      <c r="AN238" s="743">
        <f t="shared" si="16"/>
        <v>0.89608843537414962</v>
      </c>
      <c r="AO238" s="744">
        <f t="shared" si="17"/>
        <v>1.0473760932944607</v>
      </c>
      <c r="AP238" s="745">
        <f>'09월 에너지'!S240</f>
        <v>143.69999999999999</v>
      </c>
    </row>
    <row r="239" spans="1:42" ht="16.5" customHeight="1">
      <c r="A239" s="999">
        <f>'09월 조업일지'!A239</f>
        <v>46273</v>
      </c>
      <c r="B239" s="1100">
        <f>'09월 조업일지'!B239</f>
        <v>46273</v>
      </c>
      <c r="C239" s="730">
        <f>'09월 조업일지'!G239</f>
        <v>85441</v>
      </c>
      <c r="D239" s="731" t="str">
        <f>'09월 조업일지'!E239</f>
        <v>A</v>
      </c>
      <c r="E239" s="732" t="str">
        <f>'09월 조업일지'!F239</f>
        <v>B</v>
      </c>
      <c r="F239" s="1096" t="str">
        <f>'09월 에너지'!F241</f>
        <v>S355JO-01</v>
      </c>
      <c r="G239" s="733">
        <v>14</v>
      </c>
      <c r="H239" s="734">
        <v>21</v>
      </c>
      <c r="I239" s="734">
        <v>133</v>
      </c>
      <c r="J239" s="734">
        <v>17</v>
      </c>
      <c r="K239" s="735">
        <v>31</v>
      </c>
      <c r="L239" s="734">
        <v>12</v>
      </c>
      <c r="M239" s="736">
        <v>10</v>
      </c>
      <c r="N239" s="737">
        <v>419</v>
      </c>
      <c r="O239" s="737"/>
      <c r="P239" s="737">
        <v>1001</v>
      </c>
      <c r="Q239" s="737">
        <v>950</v>
      </c>
      <c r="R239" s="737"/>
      <c r="S239" s="737"/>
      <c r="T239" s="737">
        <v>0</v>
      </c>
      <c r="U239" s="738"/>
      <c r="V239" s="739">
        <v>408</v>
      </c>
      <c r="W239" s="737"/>
      <c r="X239" s="737">
        <v>1000</v>
      </c>
      <c r="Y239" s="737">
        <v>901</v>
      </c>
      <c r="Z239" s="1202">
        <v>0</v>
      </c>
      <c r="AA239" s="740"/>
      <c r="AB239" s="739">
        <v>0</v>
      </c>
      <c r="AC239" s="741"/>
      <c r="AD239" s="741">
        <v>281</v>
      </c>
      <c r="AE239" s="741">
        <v>331</v>
      </c>
      <c r="AF239" s="741">
        <v>0</v>
      </c>
      <c r="AG239" s="741">
        <v>95</v>
      </c>
      <c r="AH239" s="741">
        <v>2347</v>
      </c>
      <c r="AI239" s="741">
        <v>0</v>
      </c>
      <c r="AJ239" s="741">
        <v>85</v>
      </c>
      <c r="AK239" s="741">
        <v>0</v>
      </c>
      <c r="AL239" s="741">
        <v>132</v>
      </c>
      <c r="AM239" s="742">
        <v>1095</v>
      </c>
      <c r="AN239" s="743">
        <f t="shared" si="16"/>
        <v>0.8768640818065615</v>
      </c>
      <c r="AO239" s="744">
        <f t="shared" si="17"/>
        <v>1.0558159352364722</v>
      </c>
      <c r="AP239" s="745">
        <f>'09월 에너지'!S241</f>
        <v>147</v>
      </c>
    </row>
    <row r="240" spans="1:42" ht="16.5" customHeight="1">
      <c r="A240" s="999">
        <f>'09월 조업일지'!A240</f>
        <v>46273</v>
      </c>
      <c r="B240" s="1100">
        <f>'09월 조업일지'!B240</f>
        <v>46273</v>
      </c>
      <c r="C240" s="730">
        <f>'09월 조업일지'!G240</f>
        <v>85442</v>
      </c>
      <c r="D240" s="731" t="str">
        <f>'09월 조업일지'!E240</f>
        <v>A</v>
      </c>
      <c r="E240" s="732" t="str">
        <f>'09월 조업일지'!F240</f>
        <v>A</v>
      </c>
      <c r="F240" s="1096" t="str">
        <f>'09월 에너지'!F242</f>
        <v>S355JO-01</v>
      </c>
      <c r="G240" s="733">
        <v>9</v>
      </c>
      <c r="H240" s="734">
        <v>18</v>
      </c>
      <c r="I240" s="734">
        <v>128</v>
      </c>
      <c r="J240" s="734">
        <v>17</v>
      </c>
      <c r="K240" s="735">
        <v>39</v>
      </c>
      <c r="L240" s="734">
        <v>11</v>
      </c>
      <c r="M240" s="736">
        <v>9</v>
      </c>
      <c r="N240" s="737">
        <v>406</v>
      </c>
      <c r="O240" s="737"/>
      <c r="P240" s="737">
        <v>1004</v>
      </c>
      <c r="Q240" s="737">
        <v>955</v>
      </c>
      <c r="R240" s="737"/>
      <c r="S240" s="737"/>
      <c r="T240" s="737">
        <v>0</v>
      </c>
      <c r="U240" s="738"/>
      <c r="V240" s="739">
        <v>414</v>
      </c>
      <c r="W240" s="737"/>
      <c r="X240" s="737">
        <v>1002</v>
      </c>
      <c r="Y240" s="737">
        <v>903</v>
      </c>
      <c r="Z240" s="1202">
        <v>0</v>
      </c>
      <c r="AA240" s="740"/>
      <c r="AB240" s="739">
        <v>0</v>
      </c>
      <c r="AC240" s="741"/>
      <c r="AD240" s="741">
        <v>282</v>
      </c>
      <c r="AE240" s="741">
        <v>331</v>
      </c>
      <c r="AF240" s="741">
        <v>0</v>
      </c>
      <c r="AG240" s="741">
        <v>96</v>
      </c>
      <c r="AH240" s="741">
        <v>2351</v>
      </c>
      <c r="AI240" s="741">
        <v>0</v>
      </c>
      <c r="AJ240" s="741">
        <v>92</v>
      </c>
      <c r="AK240" s="741">
        <v>0</v>
      </c>
      <c r="AL240" s="741">
        <v>129</v>
      </c>
      <c r="AM240" s="742">
        <v>1953</v>
      </c>
      <c r="AN240" s="743">
        <f t="shared" si="16"/>
        <v>0.76205869842620166</v>
      </c>
      <c r="AO240" s="744">
        <f t="shared" si="17"/>
        <v>1.0251503919304856</v>
      </c>
      <c r="AP240" s="745">
        <f>'09월 에너지'!S242</f>
        <v>149.30000000000001</v>
      </c>
    </row>
    <row r="241" spans="1:42" ht="16.5" customHeight="1">
      <c r="A241" s="999">
        <f>'09월 조업일지'!A241</f>
        <v>46274</v>
      </c>
      <c r="B241" s="1100">
        <f>'09월 조업일지'!B241</f>
        <v>46273</v>
      </c>
      <c r="C241" s="730">
        <f>'09월 조업일지'!G241</f>
        <v>85443</v>
      </c>
      <c r="D241" s="731" t="str">
        <f>'09월 조업일지'!E241</f>
        <v>A</v>
      </c>
      <c r="E241" s="732" t="str">
        <f>'09월 조업일지'!F241</f>
        <v>B</v>
      </c>
      <c r="F241" s="1096" t="str">
        <f>'09월 에너지'!F243</f>
        <v>S355JO-01</v>
      </c>
      <c r="G241" s="733">
        <v>14</v>
      </c>
      <c r="H241" s="734">
        <v>22</v>
      </c>
      <c r="I241" s="734">
        <v>134</v>
      </c>
      <c r="J241" s="734">
        <v>17</v>
      </c>
      <c r="K241" s="735">
        <v>37</v>
      </c>
      <c r="L241" s="734">
        <v>12</v>
      </c>
      <c r="M241" s="736">
        <v>11</v>
      </c>
      <c r="N241" s="737">
        <v>405</v>
      </c>
      <c r="O241" s="737"/>
      <c r="P241" s="737">
        <v>1000</v>
      </c>
      <c r="Q241" s="737">
        <v>955</v>
      </c>
      <c r="R241" s="737"/>
      <c r="S241" s="737"/>
      <c r="T241" s="737">
        <v>0</v>
      </c>
      <c r="U241" s="738"/>
      <c r="V241" s="739">
        <v>222</v>
      </c>
      <c r="W241" s="737"/>
      <c r="X241" s="737">
        <v>1003</v>
      </c>
      <c r="Y241" s="737">
        <v>904</v>
      </c>
      <c r="Z241" s="1202">
        <v>0</v>
      </c>
      <c r="AA241" s="740"/>
      <c r="AB241" s="739">
        <v>0</v>
      </c>
      <c r="AC241" s="741"/>
      <c r="AD241" s="741">
        <v>281</v>
      </c>
      <c r="AE241" s="741">
        <v>330</v>
      </c>
      <c r="AF241" s="741">
        <v>0</v>
      </c>
      <c r="AG241" s="741">
        <v>95</v>
      </c>
      <c r="AH241" s="741">
        <v>2350</v>
      </c>
      <c r="AI241" s="741">
        <v>0</v>
      </c>
      <c r="AJ241" s="741">
        <v>90</v>
      </c>
      <c r="AK241" s="741">
        <v>0</v>
      </c>
      <c r="AL241" s="741">
        <v>116</v>
      </c>
      <c r="AM241" s="742">
        <v>1402</v>
      </c>
      <c r="AN241" s="743">
        <f t="shared" si="16"/>
        <v>0.92618439716312062</v>
      </c>
      <c r="AO241" s="744">
        <f t="shared" si="17"/>
        <v>1.0735319148936171</v>
      </c>
      <c r="AP241" s="745">
        <f>'09월 에너지'!S243</f>
        <v>148.4</v>
      </c>
    </row>
    <row r="242" spans="1:42" ht="16.5" customHeight="1">
      <c r="A242" s="999">
        <f>'09월 조업일지'!A242</f>
        <v>46274</v>
      </c>
      <c r="B242" s="1100">
        <f>'09월 조업일지'!B242</f>
        <v>46273</v>
      </c>
      <c r="C242" s="730">
        <f>'09월 조업일지'!G242</f>
        <v>85444</v>
      </c>
      <c r="D242" s="731" t="str">
        <f>'09월 조업일지'!E242</f>
        <v>A</v>
      </c>
      <c r="E242" s="732" t="str">
        <f>'09월 조업일지'!F242</f>
        <v>A</v>
      </c>
      <c r="F242" s="1096" t="str">
        <f>'09월 에너지'!F244</f>
        <v>S355JO-01</v>
      </c>
      <c r="G242" s="733">
        <v>12</v>
      </c>
      <c r="H242" s="734">
        <v>15</v>
      </c>
      <c r="I242" s="734">
        <v>128</v>
      </c>
      <c r="J242" s="734">
        <v>16</v>
      </c>
      <c r="K242" s="735">
        <v>51</v>
      </c>
      <c r="L242" s="734">
        <v>13</v>
      </c>
      <c r="M242" s="736">
        <v>8</v>
      </c>
      <c r="N242" s="737">
        <v>411</v>
      </c>
      <c r="O242" s="737"/>
      <c r="P242" s="737">
        <v>1002</v>
      </c>
      <c r="Q242" s="737">
        <v>952</v>
      </c>
      <c r="R242" s="737"/>
      <c r="S242" s="737"/>
      <c r="T242" s="737">
        <v>0</v>
      </c>
      <c r="U242" s="738"/>
      <c r="V242" s="739">
        <v>407</v>
      </c>
      <c r="W242" s="737"/>
      <c r="X242" s="737">
        <v>1001</v>
      </c>
      <c r="Y242" s="737">
        <v>901</v>
      </c>
      <c r="Z242" s="1202">
        <v>0</v>
      </c>
      <c r="AA242" s="740"/>
      <c r="AB242" s="739">
        <v>0</v>
      </c>
      <c r="AC242" s="741"/>
      <c r="AD242" s="741">
        <v>282</v>
      </c>
      <c r="AE242" s="741">
        <v>331</v>
      </c>
      <c r="AF242" s="741">
        <v>0</v>
      </c>
      <c r="AG242" s="741">
        <v>95</v>
      </c>
      <c r="AH242" s="741">
        <v>2352</v>
      </c>
      <c r="AI242" s="741">
        <v>0</v>
      </c>
      <c r="AJ242" s="741">
        <v>88</v>
      </c>
      <c r="AK242" s="741">
        <v>0</v>
      </c>
      <c r="AL242" s="741">
        <v>129</v>
      </c>
      <c r="AM242" s="742">
        <v>1823</v>
      </c>
      <c r="AN242" s="743">
        <f t="shared" si="16"/>
        <v>0.63988095238095233</v>
      </c>
      <c r="AO242" s="744">
        <f t="shared" si="17"/>
        <v>1.0329506802721089</v>
      </c>
      <c r="AP242" s="745">
        <f>'09월 에너지'!S244</f>
        <v>150.5</v>
      </c>
    </row>
    <row r="243" spans="1:42" ht="16.5" customHeight="1">
      <c r="A243" s="999">
        <f>'09월 조업일지'!A243</f>
        <v>46274</v>
      </c>
      <c r="B243" s="1100">
        <f>'09월 조업일지'!B243</f>
        <v>46273</v>
      </c>
      <c r="C243" s="730">
        <f>'09월 조업일지'!G243</f>
        <v>85445</v>
      </c>
      <c r="D243" s="731" t="str">
        <f>'09월 조업일지'!E243</f>
        <v>A</v>
      </c>
      <c r="E243" s="732" t="str">
        <f>'09월 조업일지'!F243</f>
        <v>B</v>
      </c>
      <c r="F243" s="1096" t="str">
        <f>'09월 에너지'!F245</f>
        <v>S355JO-01</v>
      </c>
      <c r="G243" s="733">
        <v>15</v>
      </c>
      <c r="H243" s="734">
        <v>22</v>
      </c>
      <c r="I243" s="734">
        <v>130</v>
      </c>
      <c r="J243" s="734">
        <v>14</v>
      </c>
      <c r="K243" s="735">
        <v>30</v>
      </c>
      <c r="L243" s="734">
        <v>9</v>
      </c>
      <c r="M243" s="736">
        <v>7</v>
      </c>
      <c r="N243" s="737">
        <v>410</v>
      </c>
      <c r="O243" s="737"/>
      <c r="P243" s="737">
        <v>1003</v>
      </c>
      <c r="Q243" s="737">
        <v>951</v>
      </c>
      <c r="R243" s="737"/>
      <c r="S243" s="737"/>
      <c r="T243" s="737">
        <v>0</v>
      </c>
      <c r="U243" s="738"/>
      <c r="V243" s="739">
        <v>413</v>
      </c>
      <c r="W243" s="737"/>
      <c r="X243" s="737">
        <v>1002</v>
      </c>
      <c r="Y243" s="737">
        <v>909</v>
      </c>
      <c r="Z243" s="1202">
        <v>0</v>
      </c>
      <c r="AA243" s="740"/>
      <c r="AB243" s="739">
        <v>0</v>
      </c>
      <c r="AC243" s="741"/>
      <c r="AD243" s="741">
        <v>282</v>
      </c>
      <c r="AE243" s="741">
        <v>330</v>
      </c>
      <c r="AF243" s="741">
        <v>0</v>
      </c>
      <c r="AG243" s="741">
        <v>95</v>
      </c>
      <c r="AH243" s="741">
        <v>2351</v>
      </c>
      <c r="AI243" s="741">
        <v>0</v>
      </c>
      <c r="AJ243" s="741">
        <v>88</v>
      </c>
      <c r="AK243" s="741">
        <v>0</v>
      </c>
      <c r="AL243" s="741">
        <v>130</v>
      </c>
      <c r="AM243" s="742">
        <v>2102</v>
      </c>
      <c r="AN243" s="743">
        <f t="shared" si="16"/>
        <v>0.93140507585424637</v>
      </c>
      <c r="AO243" s="744">
        <f t="shared" si="17"/>
        <v>1.0432946466549191</v>
      </c>
      <c r="AP243" s="745">
        <f>'09월 에너지'!S245</f>
        <v>149.30000000000001</v>
      </c>
    </row>
    <row r="244" spans="1:42" ht="16.5" customHeight="1">
      <c r="A244" s="999">
        <f>'09월 조업일지'!A244</f>
        <v>46274</v>
      </c>
      <c r="B244" s="1100">
        <f>'09월 조업일지'!B244</f>
        <v>46273</v>
      </c>
      <c r="C244" s="730">
        <f>'09월 조업일지'!G244</f>
        <v>85446</v>
      </c>
      <c r="D244" s="731" t="str">
        <f>'09월 조업일지'!E244</f>
        <v>A</v>
      </c>
      <c r="E244" s="732" t="str">
        <f>'09월 조업일지'!F244</f>
        <v>A</v>
      </c>
      <c r="F244" s="1096" t="str">
        <f>'09월 에너지'!F246</f>
        <v>S355JO-01</v>
      </c>
      <c r="G244" s="733">
        <v>12</v>
      </c>
      <c r="H244" s="734">
        <v>21</v>
      </c>
      <c r="I244" s="734">
        <v>131</v>
      </c>
      <c r="J244" s="734">
        <v>16</v>
      </c>
      <c r="K244" s="735">
        <v>40</v>
      </c>
      <c r="L244" s="734">
        <v>12</v>
      </c>
      <c r="M244" s="736">
        <v>9</v>
      </c>
      <c r="N244" s="737">
        <v>403</v>
      </c>
      <c r="O244" s="737"/>
      <c r="P244" s="737">
        <v>1001</v>
      </c>
      <c r="Q244" s="737">
        <v>955</v>
      </c>
      <c r="R244" s="737"/>
      <c r="S244" s="737"/>
      <c r="T244" s="737">
        <v>0</v>
      </c>
      <c r="U244" s="738"/>
      <c r="V244" s="739">
        <v>418</v>
      </c>
      <c r="W244" s="737"/>
      <c r="X244" s="737">
        <v>1004</v>
      </c>
      <c r="Y244" s="737">
        <v>902</v>
      </c>
      <c r="Z244" s="1202">
        <v>0</v>
      </c>
      <c r="AA244" s="740"/>
      <c r="AB244" s="739">
        <v>0</v>
      </c>
      <c r="AC244" s="741"/>
      <c r="AD244" s="741">
        <v>281</v>
      </c>
      <c r="AE244" s="741">
        <v>330</v>
      </c>
      <c r="AF244" s="741">
        <v>0</v>
      </c>
      <c r="AG244" s="741">
        <v>95</v>
      </c>
      <c r="AH244" s="741">
        <v>2348</v>
      </c>
      <c r="AI244" s="741">
        <v>0</v>
      </c>
      <c r="AJ244" s="741">
        <v>84</v>
      </c>
      <c r="AK244" s="741">
        <v>0</v>
      </c>
      <c r="AL244" s="741">
        <v>128</v>
      </c>
      <c r="AM244" s="742">
        <v>1786</v>
      </c>
      <c r="AN244" s="743">
        <f t="shared" si="16"/>
        <v>0.86218057921635449</v>
      </c>
      <c r="AO244" s="744">
        <f t="shared" si="17"/>
        <v>1.0205402774397663</v>
      </c>
      <c r="AP244" s="745">
        <f>'09월 에너지'!S246</f>
        <v>144.6</v>
      </c>
    </row>
    <row r="245" spans="1:42" ht="16.5" customHeight="1">
      <c r="A245" s="999">
        <f>'09월 조업일지'!A245</f>
        <v>46274</v>
      </c>
      <c r="B245" s="1100">
        <f>'09월 조업일지'!B245</f>
        <v>46274</v>
      </c>
      <c r="C245" s="730">
        <f>'09월 조업일지'!G245</f>
        <v>85447</v>
      </c>
      <c r="D245" s="731" t="str">
        <f>'09월 조업일지'!E245</f>
        <v>C</v>
      </c>
      <c r="E245" s="732" t="str">
        <f>'09월 조업일지'!F245</f>
        <v>B</v>
      </c>
      <c r="F245" s="1096" t="str">
        <f>'09월 에너지'!F247</f>
        <v>S355JO-01</v>
      </c>
      <c r="G245" s="733">
        <v>13</v>
      </c>
      <c r="H245" s="734">
        <v>21</v>
      </c>
      <c r="I245" s="734">
        <v>134</v>
      </c>
      <c r="J245" s="734">
        <v>14</v>
      </c>
      <c r="K245" s="735">
        <v>29</v>
      </c>
      <c r="L245" s="734">
        <v>10</v>
      </c>
      <c r="M245" s="736">
        <v>6</v>
      </c>
      <c r="N245" s="737">
        <v>420</v>
      </c>
      <c r="O245" s="737"/>
      <c r="P245" s="737">
        <v>1001</v>
      </c>
      <c r="Q245" s="737">
        <v>953</v>
      </c>
      <c r="R245" s="737"/>
      <c r="S245" s="737"/>
      <c r="T245" s="737"/>
      <c r="U245" s="738"/>
      <c r="V245" s="739">
        <v>419</v>
      </c>
      <c r="W245" s="737"/>
      <c r="X245" s="737">
        <v>1002</v>
      </c>
      <c r="Y245" s="737">
        <v>903</v>
      </c>
      <c r="Z245" s="1202"/>
      <c r="AA245" s="740"/>
      <c r="AB245" s="739"/>
      <c r="AC245" s="741"/>
      <c r="AD245" s="741">
        <v>282</v>
      </c>
      <c r="AE245" s="741">
        <v>330</v>
      </c>
      <c r="AF245" s="741"/>
      <c r="AG245" s="741">
        <v>95</v>
      </c>
      <c r="AH245" s="741">
        <v>2355</v>
      </c>
      <c r="AI245" s="741"/>
      <c r="AJ245" s="741">
        <v>80</v>
      </c>
      <c r="AK245" s="741"/>
      <c r="AL245" s="741">
        <v>131</v>
      </c>
      <c r="AM245" s="742">
        <v>1334</v>
      </c>
      <c r="AN245" s="743">
        <f t="shared" si="16"/>
        <v>0.86199575371549897</v>
      </c>
      <c r="AO245" s="744">
        <f t="shared" si="17"/>
        <v>1.0467091295116773</v>
      </c>
      <c r="AP245" s="745">
        <f>'09월 에너지'!S247</f>
        <v>145</v>
      </c>
    </row>
    <row r="246" spans="1:42" ht="16.5" customHeight="1">
      <c r="A246" s="999">
        <f>'09월 조업일지'!A246</f>
        <v>46274</v>
      </c>
      <c r="B246" s="1100">
        <f>'09월 조업일지'!B246</f>
        <v>46274</v>
      </c>
      <c r="C246" s="730">
        <f>'09월 조업일지'!G246</f>
        <v>85448</v>
      </c>
      <c r="D246" s="731" t="str">
        <f>'09월 조업일지'!E246</f>
        <v>C</v>
      </c>
      <c r="E246" s="732" t="str">
        <f>'09월 조업일지'!F246</f>
        <v>A</v>
      </c>
      <c r="F246" s="1096" t="str">
        <f>'09월 에너지'!F248</f>
        <v>S355JO-01</v>
      </c>
      <c r="G246" s="733">
        <v>9</v>
      </c>
      <c r="H246" s="734">
        <v>19</v>
      </c>
      <c r="I246" s="734">
        <v>133</v>
      </c>
      <c r="J246" s="734">
        <v>18</v>
      </c>
      <c r="K246" s="735">
        <v>35</v>
      </c>
      <c r="L246" s="734">
        <v>10</v>
      </c>
      <c r="M246" s="736">
        <v>14</v>
      </c>
      <c r="N246" s="737">
        <v>409</v>
      </c>
      <c r="O246" s="737"/>
      <c r="P246" s="737">
        <v>1002</v>
      </c>
      <c r="Q246" s="737">
        <v>951</v>
      </c>
      <c r="R246" s="737"/>
      <c r="S246" s="737"/>
      <c r="T246" s="737"/>
      <c r="U246" s="738"/>
      <c r="V246" s="739">
        <v>411</v>
      </c>
      <c r="W246" s="737"/>
      <c r="X246" s="737">
        <v>1004</v>
      </c>
      <c r="Y246" s="737">
        <v>903</v>
      </c>
      <c r="Z246" s="1202"/>
      <c r="AA246" s="740"/>
      <c r="AB246" s="739"/>
      <c r="AC246" s="741"/>
      <c r="AD246" s="741">
        <v>282</v>
      </c>
      <c r="AE246" s="741">
        <v>331</v>
      </c>
      <c r="AF246" s="741"/>
      <c r="AG246" s="741">
        <v>95</v>
      </c>
      <c r="AH246" s="741">
        <v>2353</v>
      </c>
      <c r="AI246" s="741"/>
      <c r="AJ246" s="741">
        <v>83</v>
      </c>
      <c r="AK246" s="741"/>
      <c r="AL246" s="741">
        <v>125</v>
      </c>
      <c r="AM246" s="742">
        <v>1393</v>
      </c>
      <c r="AN246" s="743">
        <f t="shared" si="16"/>
        <v>0.78110213911318882</v>
      </c>
      <c r="AO246" s="744">
        <f t="shared" si="17"/>
        <v>1.0395118693461236</v>
      </c>
      <c r="AP246" s="745">
        <f>'09월 에너지'!S248</f>
        <v>145.1</v>
      </c>
    </row>
    <row r="247" spans="1:42" ht="16.5" customHeight="1">
      <c r="A247" s="999">
        <f>'09월 조업일지'!A247</f>
        <v>46274</v>
      </c>
      <c r="B247" s="1100">
        <f>'09월 조업일지'!B247</f>
        <v>46274</v>
      </c>
      <c r="C247" s="730">
        <f>'09월 조업일지'!G247</f>
        <v>85449</v>
      </c>
      <c r="D247" s="731" t="str">
        <f>'09월 조업일지'!E247</f>
        <v>C</v>
      </c>
      <c r="E247" s="732" t="str">
        <f>'09월 조업일지'!F247</f>
        <v>B</v>
      </c>
      <c r="F247" s="1096" t="str">
        <f>'09월 에너지'!F249</f>
        <v>S355JO-01</v>
      </c>
      <c r="G247" s="733">
        <v>11</v>
      </c>
      <c r="H247" s="734">
        <v>20</v>
      </c>
      <c r="I247" s="734">
        <v>129</v>
      </c>
      <c r="J247" s="734">
        <v>14</v>
      </c>
      <c r="K247" s="735">
        <v>29</v>
      </c>
      <c r="L247" s="734">
        <v>12</v>
      </c>
      <c r="M247" s="736">
        <v>15</v>
      </c>
      <c r="N247" s="737">
        <v>406</v>
      </c>
      <c r="O247" s="737"/>
      <c r="P247" s="737">
        <v>1004</v>
      </c>
      <c r="Q247" s="737">
        <v>951</v>
      </c>
      <c r="R247" s="737"/>
      <c r="S247" s="737"/>
      <c r="T247" s="737"/>
      <c r="U247" s="738"/>
      <c r="V247" s="739">
        <v>405</v>
      </c>
      <c r="W247" s="737"/>
      <c r="X247" s="737">
        <v>1001</v>
      </c>
      <c r="Y247" s="737">
        <v>905</v>
      </c>
      <c r="Z247" s="1202"/>
      <c r="AA247" s="740"/>
      <c r="AB247" s="739"/>
      <c r="AC247" s="741"/>
      <c r="AD247" s="741">
        <v>282</v>
      </c>
      <c r="AE247" s="741">
        <v>331</v>
      </c>
      <c r="AF247" s="741"/>
      <c r="AG247" s="741">
        <v>96</v>
      </c>
      <c r="AH247" s="741">
        <v>2355</v>
      </c>
      <c r="AI247" s="741"/>
      <c r="AJ247" s="741">
        <v>86</v>
      </c>
      <c r="AK247" s="741"/>
      <c r="AL247" s="741">
        <v>121</v>
      </c>
      <c r="AM247" s="742">
        <v>1952</v>
      </c>
      <c r="AN247" s="743">
        <f t="shared" si="16"/>
        <v>0.82491153573956111</v>
      </c>
      <c r="AO247" s="744">
        <f t="shared" si="17"/>
        <v>1.0075705186533213</v>
      </c>
      <c r="AP247" s="745">
        <f>'09월 에너지'!S249</f>
        <v>145.69999999999999</v>
      </c>
    </row>
    <row r="248" spans="1:42" ht="16.5" customHeight="1">
      <c r="A248" s="999">
        <f>'09월 조업일지'!A248</f>
        <v>46274</v>
      </c>
      <c r="B248" s="1100">
        <f>'09월 조업일지'!B248</f>
        <v>46274</v>
      </c>
      <c r="C248" s="730">
        <f>'09월 조업일지'!G248</f>
        <v>85450</v>
      </c>
      <c r="D248" s="731" t="str">
        <f>'09월 조업일지'!E248</f>
        <v>C</v>
      </c>
      <c r="E248" s="732" t="str">
        <f>'09월 조업일지'!F248</f>
        <v>A</v>
      </c>
      <c r="F248" s="1096" t="str">
        <f>'09월 에너지'!F250</f>
        <v>S355JO-01</v>
      </c>
      <c r="G248" s="733">
        <v>10</v>
      </c>
      <c r="H248" s="734">
        <v>21</v>
      </c>
      <c r="I248" s="734">
        <v>131</v>
      </c>
      <c r="J248" s="734">
        <v>15</v>
      </c>
      <c r="K248" s="735">
        <v>30</v>
      </c>
      <c r="L248" s="734">
        <v>15</v>
      </c>
      <c r="M248" s="736">
        <v>14</v>
      </c>
      <c r="N248" s="737">
        <v>409</v>
      </c>
      <c r="O248" s="737"/>
      <c r="P248" s="737">
        <v>1001</v>
      </c>
      <c r="Q248" s="737">
        <v>953</v>
      </c>
      <c r="R248" s="737"/>
      <c r="S248" s="737"/>
      <c r="T248" s="737"/>
      <c r="U248" s="738"/>
      <c r="V248" s="739">
        <v>406</v>
      </c>
      <c r="W248" s="737"/>
      <c r="X248" s="737">
        <v>1002</v>
      </c>
      <c r="Y248" s="737">
        <v>905</v>
      </c>
      <c r="Z248" s="1202"/>
      <c r="AA248" s="740"/>
      <c r="AB248" s="739"/>
      <c r="AC248" s="741"/>
      <c r="AD248" s="741">
        <v>281</v>
      </c>
      <c r="AE248" s="741">
        <v>330</v>
      </c>
      <c r="AF248" s="741"/>
      <c r="AG248" s="741">
        <v>96</v>
      </c>
      <c r="AH248" s="741">
        <v>2346</v>
      </c>
      <c r="AI248" s="741"/>
      <c r="AJ248" s="741">
        <v>88</v>
      </c>
      <c r="AK248" s="741"/>
      <c r="AL248" s="741">
        <v>131</v>
      </c>
      <c r="AM248" s="742">
        <v>1540</v>
      </c>
      <c r="AN248" s="743">
        <f t="shared" si="16"/>
        <v>0.84023870417732316</v>
      </c>
      <c r="AO248" s="744">
        <f t="shared" si="17"/>
        <v>0.99456826208744376</v>
      </c>
      <c r="AP248" s="745">
        <f>'09월 에너지'!S250</f>
        <v>140.80000000000001</v>
      </c>
    </row>
    <row r="249" spans="1:42" ht="16.5" customHeight="1">
      <c r="A249" s="999">
        <f>'09월 조업일지'!A249</f>
        <v>46274</v>
      </c>
      <c r="B249" s="1100">
        <f>'09월 조업일지'!B249</f>
        <v>46274</v>
      </c>
      <c r="C249" s="730">
        <f>'09월 조업일지'!G249</f>
        <v>85451</v>
      </c>
      <c r="D249" s="731" t="str">
        <f>'09월 조업일지'!E249</f>
        <v>C</v>
      </c>
      <c r="E249" s="732" t="str">
        <f>'09월 조업일지'!F249</f>
        <v>B</v>
      </c>
      <c r="F249" s="1096" t="str">
        <f>'09월 에너지'!F251</f>
        <v>S355JO-01</v>
      </c>
      <c r="G249" s="733">
        <v>12</v>
      </c>
      <c r="H249" s="734">
        <v>21</v>
      </c>
      <c r="I249" s="734">
        <v>129</v>
      </c>
      <c r="J249" s="734">
        <v>13</v>
      </c>
      <c r="K249" s="735">
        <v>32</v>
      </c>
      <c r="L249" s="734">
        <v>10</v>
      </c>
      <c r="M249" s="736">
        <v>7</v>
      </c>
      <c r="N249" s="737">
        <v>406</v>
      </c>
      <c r="O249" s="737"/>
      <c r="P249" s="737">
        <v>1002</v>
      </c>
      <c r="Q249" s="737">
        <v>954</v>
      </c>
      <c r="R249" s="737"/>
      <c r="S249" s="737"/>
      <c r="T249" s="737"/>
      <c r="U249" s="738"/>
      <c r="V249" s="739">
        <v>413</v>
      </c>
      <c r="W249" s="737"/>
      <c r="X249" s="737">
        <v>1001</v>
      </c>
      <c r="Y249" s="737">
        <v>904</v>
      </c>
      <c r="Z249" s="1202"/>
      <c r="AA249" s="740"/>
      <c r="AB249" s="739"/>
      <c r="AC249" s="741"/>
      <c r="AD249" s="741">
        <v>281</v>
      </c>
      <c r="AE249" s="741">
        <v>330</v>
      </c>
      <c r="AF249" s="741"/>
      <c r="AG249" s="741">
        <v>95</v>
      </c>
      <c r="AH249" s="741">
        <v>2354</v>
      </c>
      <c r="AI249" s="741"/>
      <c r="AJ249" s="741">
        <v>89</v>
      </c>
      <c r="AK249" s="741"/>
      <c r="AL249" s="741">
        <v>128</v>
      </c>
      <c r="AM249" s="742">
        <v>1468</v>
      </c>
      <c r="AN249" s="743">
        <f t="shared" si="16"/>
        <v>0.86890399320305867</v>
      </c>
      <c r="AO249" s="744">
        <f t="shared" si="17"/>
        <v>1.0107658696443744</v>
      </c>
      <c r="AP249" s="745">
        <f>'09월 에너지'!S251</f>
        <v>146.1</v>
      </c>
    </row>
    <row r="250" spans="1:42" ht="16.5" customHeight="1">
      <c r="A250" s="999">
        <f>'09월 조업일지'!A250</f>
        <v>46274</v>
      </c>
      <c r="B250" s="1100">
        <f>'09월 조업일지'!B250</f>
        <v>46274</v>
      </c>
      <c r="C250" s="730">
        <f>'09월 조업일지'!G250</f>
        <v>85452</v>
      </c>
      <c r="D250" s="731" t="str">
        <f>'09월 조업일지'!E250</f>
        <v>C</v>
      </c>
      <c r="E250" s="732" t="str">
        <f>'09월 조업일지'!F250</f>
        <v>A</v>
      </c>
      <c r="F250" s="1231" t="str">
        <f>'09월 에너지'!F252</f>
        <v>SHN275(BB)</v>
      </c>
      <c r="G250" s="733">
        <v>9</v>
      </c>
      <c r="H250" s="734">
        <v>17</v>
      </c>
      <c r="I250" s="734">
        <v>51</v>
      </c>
      <c r="J250" s="734">
        <v>13</v>
      </c>
      <c r="K250" s="735">
        <v>20</v>
      </c>
      <c r="L250" s="734">
        <v>18</v>
      </c>
      <c r="M250" s="736">
        <v>8</v>
      </c>
      <c r="N250" s="737">
        <v>412</v>
      </c>
      <c r="O250" s="737"/>
      <c r="P250" s="737">
        <v>1001</v>
      </c>
      <c r="Q250" s="737">
        <v>952</v>
      </c>
      <c r="R250" s="737"/>
      <c r="S250" s="737"/>
      <c r="T250" s="737"/>
      <c r="U250" s="738"/>
      <c r="V250" s="739">
        <v>406</v>
      </c>
      <c r="W250" s="737"/>
      <c r="X250" s="737">
        <v>1000</v>
      </c>
      <c r="Y250" s="737">
        <v>902</v>
      </c>
      <c r="Z250" s="1202"/>
      <c r="AA250" s="740"/>
      <c r="AB250" s="739"/>
      <c r="AC250" s="741"/>
      <c r="AD250" s="741">
        <v>273</v>
      </c>
      <c r="AE250" s="741">
        <v>450</v>
      </c>
      <c r="AF250" s="741"/>
      <c r="AG250" s="741">
        <v>96</v>
      </c>
      <c r="AH250" s="741">
        <v>845</v>
      </c>
      <c r="AI250" s="741">
        <v>291</v>
      </c>
      <c r="AJ250" s="741">
        <v>86</v>
      </c>
      <c r="AK250" s="741"/>
      <c r="AL250" s="741"/>
      <c r="AM250" s="742">
        <v>1569</v>
      </c>
      <c r="AN250" s="743">
        <f t="shared" si="16"/>
        <v>0.71626666666666661</v>
      </c>
      <c r="AO250" s="744">
        <f t="shared" si="17"/>
        <v>0.88469315300084539</v>
      </c>
      <c r="AP250" s="745">
        <f>'09월 에너지'!S252</f>
        <v>145.36000000000001</v>
      </c>
    </row>
    <row r="251" spans="1:42" ht="16.5" customHeight="1">
      <c r="A251" s="999">
        <f>'09월 조업일지'!A251</f>
        <v>46274</v>
      </c>
      <c r="B251" s="1100">
        <f>'09월 조업일지'!B251</f>
        <v>46274</v>
      </c>
      <c r="C251" s="730">
        <f>'09월 조업일지'!G251</f>
        <v>85453</v>
      </c>
      <c r="D251" s="731" t="str">
        <f>'09월 조업일지'!E251</f>
        <v>C</v>
      </c>
      <c r="E251" s="732" t="str">
        <f>'09월 조업일지'!F251</f>
        <v>B</v>
      </c>
      <c r="F251" s="1096" t="str">
        <f>'09월 에너지'!F253</f>
        <v>SHN275(BB)</v>
      </c>
      <c r="G251" s="733">
        <v>11</v>
      </c>
      <c r="H251" s="734">
        <v>21</v>
      </c>
      <c r="I251" s="734">
        <v>53</v>
      </c>
      <c r="J251" s="734">
        <v>14</v>
      </c>
      <c r="K251" s="735">
        <v>38</v>
      </c>
      <c r="L251" s="734">
        <v>11</v>
      </c>
      <c r="M251" s="736">
        <v>12</v>
      </c>
      <c r="N251" s="737">
        <v>408</v>
      </c>
      <c r="O251" s="737"/>
      <c r="P251" s="737">
        <v>1001</v>
      </c>
      <c r="Q251" s="737">
        <v>958</v>
      </c>
      <c r="R251" s="737"/>
      <c r="S251" s="737"/>
      <c r="T251" s="737"/>
      <c r="U251" s="738"/>
      <c r="V251" s="739">
        <v>417</v>
      </c>
      <c r="W251" s="737"/>
      <c r="X251" s="737">
        <v>1001</v>
      </c>
      <c r="Y251" s="737">
        <v>902</v>
      </c>
      <c r="Z251" s="1202"/>
      <c r="AA251" s="740"/>
      <c r="AB251" s="739"/>
      <c r="AC251" s="741"/>
      <c r="AD251" s="741">
        <v>272</v>
      </c>
      <c r="AE251" s="741">
        <v>452</v>
      </c>
      <c r="AF251" s="741"/>
      <c r="AG251" s="741">
        <v>95</v>
      </c>
      <c r="AH251" s="741">
        <v>858</v>
      </c>
      <c r="AI251" s="741">
        <v>296</v>
      </c>
      <c r="AJ251" s="741">
        <v>87</v>
      </c>
      <c r="AK251" s="741"/>
      <c r="AL251" s="741"/>
      <c r="AM251" s="742">
        <v>1437</v>
      </c>
      <c r="AN251" s="743">
        <f t="shared" si="16"/>
        <v>0.87425149700598814</v>
      </c>
      <c r="AO251" s="744">
        <f t="shared" si="17"/>
        <v>0.92374292374292377</v>
      </c>
      <c r="AP251" s="745">
        <f>'09월 에너지'!S253</f>
        <v>146</v>
      </c>
    </row>
    <row r="252" spans="1:42" ht="16.5" customHeight="1">
      <c r="A252" s="999">
        <f>'09월 조업일지'!A252</f>
        <v>46274</v>
      </c>
      <c r="B252" s="1100">
        <f>'09월 조업일지'!B252</f>
        <v>46274</v>
      </c>
      <c r="C252" s="730">
        <f>'09월 조업일지'!G252</f>
        <v>85454</v>
      </c>
      <c r="D252" s="731" t="str">
        <f>'09월 조업일지'!E252</f>
        <v>C</v>
      </c>
      <c r="E252" s="732" t="str">
        <f>'09월 조업일지'!F252</f>
        <v>A</v>
      </c>
      <c r="F252" s="1096" t="str">
        <f>'09월 에너지'!F254</f>
        <v>SHN275(BB)</v>
      </c>
      <c r="G252" s="733">
        <v>10</v>
      </c>
      <c r="H252" s="734">
        <v>21</v>
      </c>
      <c r="I252" s="734">
        <v>55</v>
      </c>
      <c r="J252" s="734">
        <v>15</v>
      </c>
      <c r="K252" s="735">
        <v>34</v>
      </c>
      <c r="L252" s="734">
        <v>11</v>
      </c>
      <c r="M252" s="736">
        <v>10</v>
      </c>
      <c r="N252" s="737">
        <v>406</v>
      </c>
      <c r="O252" s="737"/>
      <c r="P252" s="737">
        <v>1001</v>
      </c>
      <c r="Q252" s="737">
        <v>955</v>
      </c>
      <c r="R252" s="737"/>
      <c r="S252" s="737"/>
      <c r="T252" s="737"/>
      <c r="U252" s="738"/>
      <c r="V252" s="739">
        <v>422</v>
      </c>
      <c r="W252" s="737"/>
      <c r="X252" s="737">
        <v>1003</v>
      </c>
      <c r="Y252" s="737">
        <v>902</v>
      </c>
      <c r="Z252" s="1202"/>
      <c r="AA252" s="740"/>
      <c r="AB252" s="739"/>
      <c r="AC252" s="741"/>
      <c r="AD252" s="741">
        <v>271</v>
      </c>
      <c r="AE252" s="741">
        <v>451</v>
      </c>
      <c r="AF252" s="741"/>
      <c r="AG252" s="741">
        <v>95</v>
      </c>
      <c r="AH252" s="741">
        <v>856</v>
      </c>
      <c r="AI252" s="741">
        <v>294</v>
      </c>
      <c r="AJ252" s="741">
        <v>92</v>
      </c>
      <c r="AK252" s="741"/>
      <c r="AL252" s="741"/>
      <c r="AM252" s="742">
        <v>2499</v>
      </c>
      <c r="AN252" s="743">
        <f t="shared" si="16"/>
        <v>0.86732588134135868</v>
      </c>
      <c r="AO252" s="744">
        <f t="shared" si="17"/>
        <v>0.96194926568758354</v>
      </c>
      <c r="AP252" s="745">
        <f>'09월 에너지'!S254</f>
        <v>144.1</v>
      </c>
    </row>
    <row r="253" spans="1:42" ht="16.5" customHeight="1">
      <c r="A253" s="999">
        <f>'09월 조업일지'!A253</f>
        <v>46274</v>
      </c>
      <c r="B253" s="1100">
        <f>'09월 조업일지'!B253</f>
        <v>46274</v>
      </c>
      <c r="C253" s="730">
        <f>'09월 조업일지'!G253</f>
        <v>85455</v>
      </c>
      <c r="D253" s="731" t="str">
        <f>'09월 조업일지'!E253</f>
        <v>C</v>
      </c>
      <c r="E253" s="732" t="str">
        <f>'09월 조업일지'!F253</f>
        <v>B</v>
      </c>
      <c r="F253" s="1231" t="str">
        <f>'09월 에너지'!F255</f>
        <v>SHP275W</v>
      </c>
      <c r="G253" s="733">
        <v>15</v>
      </c>
      <c r="H253" s="734">
        <v>23</v>
      </c>
      <c r="I253" s="734">
        <v>56</v>
      </c>
      <c r="J253" s="734">
        <v>15</v>
      </c>
      <c r="K253" s="735">
        <v>34</v>
      </c>
      <c r="L253" s="734">
        <v>12</v>
      </c>
      <c r="M253" s="736">
        <v>11</v>
      </c>
      <c r="N253" s="737">
        <v>417</v>
      </c>
      <c r="O253" s="737"/>
      <c r="P253" s="737">
        <v>1002</v>
      </c>
      <c r="Q253" s="737">
        <v>956</v>
      </c>
      <c r="R253" s="737"/>
      <c r="S253" s="737"/>
      <c r="T253" s="737"/>
      <c r="U253" s="738"/>
      <c r="V253" s="739">
        <v>419</v>
      </c>
      <c r="W253" s="737"/>
      <c r="X253" s="737">
        <v>1003</v>
      </c>
      <c r="Y253" s="737">
        <v>910</v>
      </c>
      <c r="Z253" s="1202"/>
      <c r="AA253" s="740"/>
      <c r="AB253" s="739"/>
      <c r="AC253" s="741"/>
      <c r="AD253" s="741">
        <v>270</v>
      </c>
      <c r="AE253" s="741">
        <v>331</v>
      </c>
      <c r="AF253" s="741"/>
      <c r="AG253" s="741">
        <v>95</v>
      </c>
      <c r="AH253" s="741">
        <v>803</v>
      </c>
      <c r="AI253" s="741">
        <v>320</v>
      </c>
      <c r="AJ253" s="741">
        <v>84</v>
      </c>
      <c r="AK253" s="741"/>
      <c r="AL253" s="741">
        <v>129</v>
      </c>
      <c r="AM253" s="742">
        <v>1515</v>
      </c>
      <c r="AN253" s="743">
        <f t="shared" si="16"/>
        <v>0.92587043972811767</v>
      </c>
      <c r="AO253" s="744">
        <f t="shared" si="17"/>
        <v>1.0583703967265612</v>
      </c>
      <c r="AP253" s="745">
        <f>'09월 에너지'!S255</f>
        <v>145.1</v>
      </c>
    </row>
    <row r="254" spans="1:42" ht="16.5" customHeight="1">
      <c r="A254" s="999">
        <f>'09월 조업일지'!A254</f>
        <v>46274</v>
      </c>
      <c r="B254" s="1100">
        <f>'09월 조업일지'!B254</f>
        <v>46274</v>
      </c>
      <c r="C254" s="730">
        <f>'09월 조업일지'!G254</f>
        <v>85456</v>
      </c>
      <c r="D254" s="731" t="str">
        <f>'09월 조업일지'!E254</f>
        <v>C</v>
      </c>
      <c r="E254" s="732" t="str">
        <f>'09월 조업일지'!F254</f>
        <v>A</v>
      </c>
      <c r="F254" s="1096" t="str">
        <f>'09월 에너지'!F256</f>
        <v>SHP275W</v>
      </c>
      <c r="G254" s="733">
        <v>7</v>
      </c>
      <c r="H254" s="734">
        <v>20</v>
      </c>
      <c r="I254" s="734">
        <v>51</v>
      </c>
      <c r="J254" s="734">
        <v>15</v>
      </c>
      <c r="K254" s="735">
        <v>43</v>
      </c>
      <c r="L254" s="734">
        <v>12</v>
      </c>
      <c r="M254" s="736">
        <v>10</v>
      </c>
      <c r="N254" s="737">
        <v>419</v>
      </c>
      <c r="O254" s="737"/>
      <c r="P254" s="737">
        <v>1002</v>
      </c>
      <c r="Q254" s="737">
        <v>953</v>
      </c>
      <c r="R254" s="737"/>
      <c r="S254" s="737"/>
      <c r="T254" s="737"/>
      <c r="U254" s="738"/>
      <c r="V254" s="739">
        <v>418</v>
      </c>
      <c r="W254" s="737"/>
      <c r="X254" s="737">
        <v>1001</v>
      </c>
      <c r="Y254" s="737">
        <v>904</v>
      </c>
      <c r="Z254" s="1202"/>
      <c r="AA254" s="740"/>
      <c r="AB254" s="739"/>
      <c r="AC254" s="741"/>
      <c r="AD254" s="741">
        <v>270</v>
      </c>
      <c r="AE254" s="741">
        <v>331</v>
      </c>
      <c r="AF254" s="741"/>
      <c r="AG254" s="741">
        <v>95</v>
      </c>
      <c r="AH254" s="741">
        <v>800</v>
      </c>
      <c r="AI254" s="741">
        <v>320</v>
      </c>
      <c r="AJ254" s="741">
        <v>83</v>
      </c>
      <c r="AK254" s="741"/>
      <c r="AL254" s="741">
        <v>123</v>
      </c>
      <c r="AM254" s="742">
        <v>2584</v>
      </c>
      <c r="AN254" s="743">
        <f t="shared" si="16"/>
        <v>0.79833333333333323</v>
      </c>
      <c r="AO254" s="744">
        <f t="shared" si="17"/>
        <v>0.92378571428571432</v>
      </c>
      <c r="AP254" s="745">
        <f>'09월 에너지'!S256</f>
        <v>143.69999999999999</v>
      </c>
    </row>
    <row r="255" spans="1:42" ht="16.5" customHeight="1">
      <c r="A255" s="999">
        <f>'09월 조업일지'!A255</f>
        <v>46274</v>
      </c>
      <c r="B255" s="1100">
        <f>'09월 조업일지'!B255</f>
        <v>46274</v>
      </c>
      <c r="C255" s="730">
        <f>'09월 조업일지'!G255</f>
        <v>85457</v>
      </c>
      <c r="D255" s="731" t="str">
        <f>'09월 조업일지'!E255</f>
        <v>D</v>
      </c>
      <c r="E255" s="732" t="str">
        <f>'09월 조업일지'!F255</f>
        <v>B</v>
      </c>
      <c r="F255" s="1096" t="str">
        <f>'09월 에너지'!F257</f>
        <v>SHP275W</v>
      </c>
      <c r="G255" s="733">
        <v>9</v>
      </c>
      <c r="H255" s="734">
        <v>22</v>
      </c>
      <c r="I255" s="734">
        <v>54</v>
      </c>
      <c r="J255" s="734">
        <v>15</v>
      </c>
      <c r="K255" s="735">
        <v>39</v>
      </c>
      <c r="L255" s="734">
        <v>10</v>
      </c>
      <c r="M255" s="736">
        <v>10</v>
      </c>
      <c r="N255" s="737">
        <v>409</v>
      </c>
      <c r="O255" s="737"/>
      <c r="P255" s="737">
        <v>1001</v>
      </c>
      <c r="Q255" s="737">
        <v>953</v>
      </c>
      <c r="R255" s="737"/>
      <c r="S255" s="737"/>
      <c r="T255" s="737"/>
      <c r="U255" s="738"/>
      <c r="V255" s="739">
        <v>402</v>
      </c>
      <c r="W255" s="737"/>
      <c r="X255" s="737">
        <v>1001</v>
      </c>
      <c r="Y255" s="737">
        <v>903</v>
      </c>
      <c r="Z255" s="1202"/>
      <c r="AA255" s="740"/>
      <c r="AB255" s="739"/>
      <c r="AC255" s="741"/>
      <c r="AD255" s="741">
        <v>271</v>
      </c>
      <c r="AE255" s="741">
        <v>330</v>
      </c>
      <c r="AF255" s="741"/>
      <c r="AG255" s="741">
        <v>95</v>
      </c>
      <c r="AH255" s="741">
        <v>799</v>
      </c>
      <c r="AI255" s="741">
        <v>317</v>
      </c>
      <c r="AJ255" s="741">
        <v>81</v>
      </c>
      <c r="AK255" s="741"/>
      <c r="AL255" s="741">
        <v>124</v>
      </c>
      <c r="AM255" s="742">
        <v>534</v>
      </c>
      <c r="AN255" s="743">
        <f t="shared" si="16"/>
        <v>0.90313199105145403</v>
      </c>
      <c r="AO255" s="744">
        <f t="shared" si="17"/>
        <v>1.0236366887180404</v>
      </c>
      <c r="AP255" s="745">
        <f>'09월 에너지'!S257</f>
        <v>146.80000000000001</v>
      </c>
    </row>
    <row r="256" spans="1:42" ht="16.5" customHeight="1">
      <c r="A256" s="999">
        <f>'09월 조업일지'!A256</f>
        <v>46274</v>
      </c>
      <c r="B256" s="1100">
        <f>'09월 조업일지'!B256</f>
        <v>46274</v>
      </c>
      <c r="C256" s="730">
        <f>'09월 조업일지'!G256</f>
        <v>85458</v>
      </c>
      <c r="D256" s="731" t="str">
        <f>'09월 조업일지'!E256</f>
        <v>D</v>
      </c>
      <c r="E256" s="732" t="str">
        <f>'09월 조업일지'!F256</f>
        <v>A</v>
      </c>
      <c r="F256" s="1096" t="str">
        <f>'09월 에너지'!F258</f>
        <v>SHP275W</v>
      </c>
      <c r="G256" s="733">
        <v>10</v>
      </c>
      <c r="H256" s="734">
        <v>24</v>
      </c>
      <c r="I256" s="734">
        <v>52</v>
      </c>
      <c r="J256" s="734">
        <v>15</v>
      </c>
      <c r="K256" s="735">
        <v>46</v>
      </c>
      <c r="L256" s="734">
        <v>10</v>
      </c>
      <c r="M256" s="736">
        <v>8</v>
      </c>
      <c r="N256" s="737">
        <v>415</v>
      </c>
      <c r="O256" s="737"/>
      <c r="P256" s="737">
        <v>1001</v>
      </c>
      <c r="Q256" s="737">
        <v>953</v>
      </c>
      <c r="R256" s="737"/>
      <c r="S256" s="737"/>
      <c r="T256" s="737"/>
      <c r="U256" s="738"/>
      <c r="V256" s="739">
        <v>413</v>
      </c>
      <c r="W256" s="737"/>
      <c r="X256" s="737">
        <v>1001</v>
      </c>
      <c r="Y256" s="737">
        <v>909</v>
      </c>
      <c r="Z256" s="1202"/>
      <c r="AA256" s="740"/>
      <c r="AB256" s="739"/>
      <c r="AC256" s="741"/>
      <c r="AD256" s="741">
        <v>274</v>
      </c>
      <c r="AE256" s="741">
        <v>330</v>
      </c>
      <c r="AF256" s="741"/>
      <c r="AG256" s="741">
        <v>95</v>
      </c>
      <c r="AH256" s="741">
        <v>801</v>
      </c>
      <c r="AI256" s="741">
        <v>317</v>
      </c>
      <c r="AJ256" s="741">
        <v>89</v>
      </c>
      <c r="AK256" s="741"/>
      <c r="AL256" s="741">
        <v>118</v>
      </c>
      <c r="AM256" s="742">
        <v>1644</v>
      </c>
      <c r="AN256" s="743">
        <f t="shared" si="16"/>
        <v>0.95959765297569155</v>
      </c>
      <c r="AO256" s="744">
        <f t="shared" si="17"/>
        <v>0.94430176565008039</v>
      </c>
      <c r="AP256" s="745">
        <f>'09월 에너지'!S258</f>
        <v>143.1</v>
      </c>
    </row>
    <row r="257" spans="1:42" ht="16.5" customHeight="1">
      <c r="A257" s="999">
        <f>'09월 조업일지'!A257</f>
        <v>46274</v>
      </c>
      <c r="B257" s="1100">
        <f>'09월 조업일지'!B257</f>
        <v>46274</v>
      </c>
      <c r="C257" s="730">
        <f>'09월 조업일지'!G257</f>
        <v>85459</v>
      </c>
      <c r="D257" s="731" t="str">
        <f>'09월 조업일지'!E257</f>
        <v>D</v>
      </c>
      <c r="E257" s="732" t="str">
        <f>'09월 조업일지'!F257</f>
        <v>B</v>
      </c>
      <c r="F257" s="1231" t="str">
        <f>'09월 에너지'!F259</f>
        <v>SS400-02</v>
      </c>
      <c r="G257" s="733">
        <v>9</v>
      </c>
      <c r="H257" s="734">
        <v>21</v>
      </c>
      <c r="I257" s="734">
        <v>49</v>
      </c>
      <c r="J257" s="734">
        <v>13</v>
      </c>
      <c r="K257" s="735">
        <v>32</v>
      </c>
      <c r="L257" s="734">
        <v>10</v>
      </c>
      <c r="M257" s="736">
        <v>9</v>
      </c>
      <c r="N257" s="737">
        <v>414</v>
      </c>
      <c r="O257" s="737"/>
      <c r="P257" s="737">
        <v>1002</v>
      </c>
      <c r="Q257" s="737">
        <v>959</v>
      </c>
      <c r="R257" s="737"/>
      <c r="S257" s="737"/>
      <c r="T257" s="737">
        <v>69</v>
      </c>
      <c r="U257" s="738"/>
      <c r="V257" s="739">
        <v>411</v>
      </c>
      <c r="W257" s="737"/>
      <c r="X257" s="737">
        <v>1000</v>
      </c>
      <c r="Y257" s="737">
        <v>910</v>
      </c>
      <c r="Z257" s="1202">
        <v>68</v>
      </c>
      <c r="AA257" s="740"/>
      <c r="AB257" s="739"/>
      <c r="AC257" s="741"/>
      <c r="AD257" s="741">
        <v>270</v>
      </c>
      <c r="AE257" s="741">
        <v>330</v>
      </c>
      <c r="AF257" s="741"/>
      <c r="AG257" s="741">
        <v>110</v>
      </c>
      <c r="AH257" s="741">
        <v>801</v>
      </c>
      <c r="AI257" s="741">
        <v>331</v>
      </c>
      <c r="AJ257" s="741">
        <v>82</v>
      </c>
      <c r="AK257" s="741"/>
      <c r="AL257" s="741">
        <v>128</v>
      </c>
      <c r="AM257" s="742">
        <v>1289</v>
      </c>
      <c r="AN257" s="743">
        <f t="shared" si="16"/>
        <v>0.82882736156351788</v>
      </c>
      <c r="AO257" s="744">
        <f t="shared" si="17"/>
        <v>0.88168360977349758</v>
      </c>
      <c r="AP257" s="745">
        <f>'09월 에너지'!S259</f>
        <v>145.4</v>
      </c>
    </row>
    <row r="258" spans="1:42" ht="16.5" customHeight="1">
      <c r="A258" s="999">
        <f>'09월 조업일지'!A258</f>
        <v>46274</v>
      </c>
      <c r="B258" s="1100">
        <f>'09월 조업일지'!B258</f>
        <v>46274</v>
      </c>
      <c r="C258" s="730">
        <f>'09월 조업일지'!G258</f>
        <v>85460</v>
      </c>
      <c r="D258" s="731" t="str">
        <f>'09월 조업일지'!E258</f>
        <v>D</v>
      </c>
      <c r="E258" s="732" t="str">
        <f>'09월 조업일지'!F258</f>
        <v>A</v>
      </c>
      <c r="F258" s="1231" t="str">
        <f>'09월 에너지'!F260</f>
        <v>A572-50-01</v>
      </c>
      <c r="G258" s="733">
        <v>11</v>
      </c>
      <c r="H258" s="734">
        <v>28</v>
      </c>
      <c r="I258" s="734">
        <v>127</v>
      </c>
      <c r="J258" s="734">
        <v>17</v>
      </c>
      <c r="K258" s="735">
        <v>32</v>
      </c>
      <c r="L258" s="734">
        <v>12</v>
      </c>
      <c r="M258" s="736">
        <v>19</v>
      </c>
      <c r="N258" s="737">
        <v>405</v>
      </c>
      <c r="O258" s="737"/>
      <c r="P258" s="737">
        <v>1001</v>
      </c>
      <c r="Q258" s="737">
        <v>957</v>
      </c>
      <c r="R258" s="737"/>
      <c r="S258" s="737"/>
      <c r="T258" s="737">
        <v>65</v>
      </c>
      <c r="U258" s="738"/>
      <c r="V258" s="739">
        <v>419</v>
      </c>
      <c r="W258" s="737"/>
      <c r="X258" s="737">
        <v>1001</v>
      </c>
      <c r="Y258" s="737">
        <v>909</v>
      </c>
      <c r="Z258" s="1202">
        <v>67</v>
      </c>
      <c r="AA258" s="740"/>
      <c r="AB258" s="739"/>
      <c r="AC258" s="741"/>
      <c r="AD258" s="741">
        <v>283</v>
      </c>
      <c r="AE258" s="741">
        <v>350</v>
      </c>
      <c r="AF258" s="741"/>
      <c r="AG258" s="741">
        <v>106</v>
      </c>
      <c r="AH258" s="741">
        <v>2358</v>
      </c>
      <c r="AI258" s="741">
        <v>101</v>
      </c>
      <c r="AJ258" s="741">
        <v>100</v>
      </c>
      <c r="AK258" s="741"/>
      <c r="AL258" s="741">
        <v>117</v>
      </c>
      <c r="AM258" s="742">
        <v>1567</v>
      </c>
      <c r="AN258" s="743">
        <f t="shared" si="16"/>
        <v>0.94409127954360228</v>
      </c>
      <c r="AO258" s="744">
        <f t="shared" si="17"/>
        <v>0.98252756573367261</v>
      </c>
      <c r="AP258" s="745">
        <f>'09월 에너지'!S260</f>
        <v>144.80000000000001</v>
      </c>
    </row>
    <row r="259" spans="1:42" ht="16.5" customHeight="1">
      <c r="A259" s="999">
        <f>'09월 조업일지'!A259</f>
        <v>46274</v>
      </c>
      <c r="B259" s="1100">
        <f>'09월 조업일지'!B259</f>
        <v>46274</v>
      </c>
      <c r="C259" s="730">
        <f>'09월 조업일지'!G259</f>
        <v>85461</v>
      </c>
      <c r="D259" s="731" t="str">
        <f>'09월 조업일지'!E259</f>
        <v>D</v>
      </c>
      <c r="E259" s="732" t="str">
        <f>'09월 조업일지'!F259</f>
        <v>B</v>
      </c>
      <c r="F259" s="1231" t="str">
        <f>'09월 에너지'!F261</f>
        <v>SHP355W</v>
      </c>
      <c r="G259" s="733">
        <v>11</v>
      </c>
      <c r="H259" s="734">
        <v>20</v>
      </c>
      <c r="I259" s="734">
        <v>123</v>
      </c>
      <c r="J259" s="734">
        <v>15</v>
      </c>
      <c r="K259" s="735">
        <v>30</v>
      </c>
      <c r="L259" s="734">
        <v>14</v>
      </c>
      <c r="M259" s="736">
        <v>11</v>
      </c>
      <c r="N259" s="737">
        <v>408</v>
      </c>
      <c r="O259" s="737"/>
      <c r="P259" s="737">
        <v>1001</v>
      </c>
      <c r="Q259" s="737">
        <v>951</v>
      </c>
      <c r="R259" s="737"/>
      <c r="S259" s="737"/>
      <c r="T259" s="737"/>
      <c r="U259" s="738"/>
      <c r="V259" s="739">
        <v>408</v>
      </c>
      <c r="W259" s="737"/>
      <c r="X259" s="737">
        <v>1003</v>
      </c>
      <c r="Y259" s="737">
        <v>911</v>
      </c>
      <c r="Z259" s="1202"/>
      <c r="AA259" s="740"/>
      <c r="AB259" s="739"/>
      <c r="AC259" s="741"/>
      <c r="AD259" s="741">
        <v>281</v>
      </c>
      <c r="AE259" s="741">
        <v>330</v>
      </c>
      <c r="AF259" s="741"/>
      <c r="AG259" s="741">
        <v>95</v>
      </c>
      <c r="AH259" s="741">
        <v>2354</v>
      </c>
      <c r="AI259" s="741"/>
      <c r="AJ259" s="741">
        <v>91</v>
      </c>
      <c r="AK259" s="741"/>
      <c r="AL259" s="741">
        <v>123</v>
      </c>
      <c r="AM259" s="742">
        <v>1328</v>
      </c>
      <c r="AN259" s="743">
        <f t="shared" si="16"/>
        <v>0.82299631832342124</v>
      </c>
      <c r="AO259" s="744">
        <f t="shared" si="17"/>
        <v>0.95232431120281591</v>
      </c>
      <c r="AP259" s="745">
        <f>'09월 에너지'!S261</f>
        <v>145.30000000000001</v>
      </c>
    </row>
    <row r="260" spans="1:42" ht="16.5" customHeight="1">
      <c r="A260" s="999">
        <f>'09월 조업일지'!A260</f>
        <v>46274</v>
      </c>
      <c r="B260" s="1100">
        <f>'09월 조업일지'!B260</f>
        <v>46274</v>
      </c>
      <c r="C260" s="730">
        <f>'09월 조업일지'!G260</f>
        <v>85462</v>
      </c>
      <c r="D260" s="731" t="str">
        <f>'09월 조업일지'!E260</f>
        <v>D</v>
      </c>
      <c r="E260" s="732" t="str">
        <f>'09월 조업일지'!F260</f>
        <v>A</v>
      </c>
      <c r="F260" s="1096" t="str">
        <f>'09월 에너지'!F262</f>
        <v>SHP355W</v>
      </c>
      <c r="G260" s="733">
        <v>11</v>
      </c>
      <c r="H260" s="734">
        <v>23</v>
      </c>
      <c r="I260" s="734">
        <v>132</v>
      </c>
      <c r="J260" s="734">
        <v>20</v>
      </c>
      <c r="K260" s="735">
        <v>32</v>
      </c>
      <c r="L260" s="734">
        <v>16</v>
      </c>
      <c r="M260" s="736">
        <v>12</v>
      </c>
      <c r="N260" s="737">
        <v>413</v>
      </c>
      <c r="O260" s="737"/>
      <c r="P260" s="737">
        <v>1002</v>
      </c>
      <c r="Q260" s="737">
        <v>956</v>
      </c>
      <c r="R260" s="737"/>
      <c r="S260" s="737"/>
      <c r="T260" s="737"/>
      <c r="U260" s="738"/>
      <c r="V260" s="739">
        <v>417</v>
      </c>
      <c r="W260" s="737"/>
      <c r="X260" s="737">
        <v>1002</v>
      </c>
      <c r="Y260" s="737">
        <v>905</v>
      </c>
      <c r="Z260" s="1202"/>
      <c r="AA260" s="740"/>
      <c r="AB260" s="739"/>
      <c r="AC260" s="741"/>
      <c r="AD260" s="741">
        <v>282</v>
      </c>
      <c r="AE260" s="741">
        <v>330</v>
      </c>
      <c r="AF260" s="741"/>
      <c r="AG260" s="741">
        <v>95</v>
      </c>
      <c r="AH260" s="741">
        <v>2356</v>
      </c>
      <c r="AI260" s="741"/>
      <c r="AJ260" s="741">
        <v>92</v>
      </c>
      <c r="AK260" s="741"/>
      <c r="AL260" s="741">
        <v>130</v>
      </c>
      <c r="AM260" s="742">
        <v>1661</v>
      </c>
      <c r="AN260" s="743">
        <f t="shared" si="16"/>
        <v>0.95149971703452185</v>
      </c>
      <c r="AO260" s="744">
        <f t="shared" si="17"/>
        <v>1.0371937909289353</v>
      </c>
      <c r="AP260" s="745">
        <f>'09월 에너지'!S262</f>
        <v>146.19999999999999</v>
      </c>
    </row>
    <row r="261" spans="1:42" ht="16.5" customHeight="1">
      <c r="A261" s="999">
        <f>'09월 조업일지'!A261</f>
        <v>46274</v>
      </c>
      <c r="B261" s="1100">
        <f>'09월 조업일지'!B261</f>
        <v>46274</v>
      </c>
      <c r="C261" s="730">
        <f>'09월 조업일지'!G261</f>
        <v>85463</v>
      </c>
      <c r="D261" s="731" t="str">
        <f>'09월 조업일지'!E261</f>
        <v>D</v>
      </c>
      <c r="E261" s="732" t="str">
        <f>'09월 조업일지'!F261</f>
        <v>B</v>
      </c>
      <c r="F261" s="1096" t="str">
        <f>'09월 에너지'!F263</f>
        <v>SHP355W</v>
      </c>
      <c r="G261" s="733">
        <v>10</v>
      </c>
      <c r="H261" s="734">
        <v>18</v>
      </c>
      <c r="I261" s="734">
        <v>119</v>
      </c>
      <c r="J261" s="734">
        <v>14</v>
      </c>
      <c r="K261" s="735">
        <v>27</v>
      </c>
      <c r="L261" s="734">
        <v>11</v>
      </c>
      <c r="M261" s="736">
        <v>9</v>
      </c>
      <c r="N261" s="737">
        <v>415</v>
      </c>
      <c r="O261" s="737"/>
      <c r="P261" s="737">
        <v>1002</v>
      </c>
      <c r="Q261" s="737">
        <v>960</v>
      </c>
      <c r="R261" s="737"/>
      <c r="S261" s="737"/>
      <c r="T261" s="737"/>
      <c r="U261" s="738"/>
      <c r="V261" s="739">
        <v>415</v>
      </c>
      <c r="W261" s="737"/>
      <c r="X261" s="737">
        <v>1010</v>
      </c>
      <c r="Y261" s="737">
        <v>907</v>
      </c>
      <c r="Z261" s="1202"/>
      <c r="AA261" s="740"/>
      <c r="AB261" s="739"/>
      <c r="AC261" s="741"/>
      <c r="AD261" s="741">
        <v>280</v>
      </c>
      <c r="AE261" s="741">
        <v>331</v>
      </c>
      <c r="AF261" s="741"/>
      <c r="AG261" s="741">
        <v>96</v>
      </c>
      <c r="AH261" s="741">
        <v>2353</v>
      </c>
      <c r="AI261" s="741"/>
      <c r="AJ261" s="741">
        <v>89</v>
      </c>
      <c r="AK261" s="741"/>
      <c r="AL261" s="741">
        <v>136</v>
      </c>
      <c r="AM261" s="742">
        <v>1737</v>
      </c>
      <c r="AN261" s="743">
        <f t="shared" si="16"/>
        <v>0.74407139821504464</v>
      </c>
      <c r="AO261" s="744">
        <f t="shared" si="17"/>
        <v>0.92123125493291236</v>
      </c>
      <c r="AP261" s="745">
        <f>'09월 에너지'!S263</f>
        <v>145.9</v>
      </c>
    </row>
    <row r="262" spans="1:42" ht="16.5" customHeight="1">
      <c r="A262" s="999">
        <f>'09월 조업일지'!A262</f>
        <v>46274</v>
      </c>
      <c r="B262" s="1100">
        <f>'09월 조업일지'!B262</f>
        <v>46274</v>
      </c>
      <c r="C262" s="730">
        <f>'09월 조업일지'!G262</f>
        <v>85464</v>
      </c>
      <c r="D262" s="731" t="str">
        <f>'09월 조업일지'!E262</f>
        <v>D</v>
      </c>
      <c r="E262" s="732" t="str">
        <f>'09월 조업일지'!F262</f>
        <v>A</v>
      </c>
      <c r="F262" s="1096" t="str">
        <f>'09월 에너지'!F264</f>
        <v>SHP355W</v>
      </c>
      <c r="G262" s="733">
        <v>12</v>
      </c>
      <c r="H262" s="734">
        <v>22</v>
      </c>
      <c r="I262" s="734">
        <v>126</v>
      </c>
      <c r="J262" s="734">
        <v>13</v>
      </c>
      <c r="K262" s="735">
        <v>28</v>
      </c>
      <c r="L262" s="734">
        <v>13</v>
      </c>
      <c r="M262" s="736">
        <v>11</v>
      </c>
      <c r="N262" s="737">
        <v>405</v>
      </c>
      <c r="O262" s="737"/>
      <c r="P262" s="737">
        <v>101</v>
      </c>
      <c r="Q262" s="737">
        <v>956</v>
      </c>
      <c r="R262" s="737"/>
      <c r="S262" s="737"/>
      <c r="T262" s="737"/>
      <c r="U262" s="738"/>
      <c r="V262" s="739">
        <v>412</v>
      </c>
      <c r="W262" s="737"/>
      <c r="X262" s="737">
        <v>1001</v>
      </c>
      <c r="Y262" s="737">
        <v>902</v>
      </c>
      <c r="Z262" s="1202"/>
      <c r="AA262" s="740"/>
      <c r="AB262" s="739"/>
      <c r="AC262" s="741"/>
      <c r="AD262" s="741">
        <v>280</v>
      </c>
      <c r="AE262" s="741">
        <v>331</v>
      </c>
      <c r="AF262" s="741"/>
      <c r="AG262" s="741">
        <v>95</v>
      </c>
      <c r="AH262" s="741">
        <v>2354</v>
      </c>
      <c r="AI262" s="741"/>
      <c r="AJ262" s="741">
        <v>85</v>
      </c>
      <c r="AK262" s="741"/>
      <c r="AL262" s="741">
        <v>128</v>
      </c>
      <c r="AM262" s="742">
        <v>2018</v>
      </c>
      <c r="AN262" s="743">
        <f t="shared" si="16"/>
        <v>0.89906542056074767</v>
      </c>
      <c r="AO262" s="744">
        <f t="shared" si="17"/>
        <v>0.97204150989197724</v>
      </c>
      <c r="AP262" s="745">
        <f>'09월 에너지'!S264</f>
        <v>144.30000000000001</v>
      </c>
    </row>
    <row r="263" spans="1:42" ht="16.5" customHeight="1">
      <c r="A263" s="999">
        <f>'09월 조업일지'!A263</f>
        <v>46274</v>
      </c>
      <c r="B263" s="1100">
        <f>'09월 조업일지'!B263</f>
        <v>46274</v>
      </c>
      <c r="C263" s="730">
        <f>'09월 조업일지'!G263</f>
        <v>85465</v>
      </c>
      <c r="D263" s="731" t="str">
        <f>'09월 조업일지'!E263</f>
        <v>D</v>
      </c>
      <c r="E263" s="732" t="str">
        <f>'09월 조업일지'!F263</f>
        <v>B</v>
      </c>
      <c r="F263" s="1096" t="str">
        <f>'09월 에너지'!F265</f>
        <v>SHP355W</v>
      </c>
      <c r="G263" s="733">
        <v>11</v>
      </c>
      <c r="H263" s="734">
        <v>19</v>
      </c>
      <c r="I263" s="734">
        <v>123</v>
      </c>
      <c r="J263" s="734">
        <v>13</v>
      </c>
      <c r="K263" s="735">
        <v>28</v>
      </c>
      <c r="L263" s="734">
        <v>10</v>
      </c>
      <c r="M263" s="736">
        <v>8</v>
      </c>
      <c r="N263" s="737">
        <v>405</v>
      </c>
      <c r="O263" s="737"/>
      <c r="P263" s="737">
        <v>1001</v>
      </c>
      <c r="Q263" s="737">
        <v>958</v>
      </c>
      <c r="R263" s="737"/>
      <c r="S263" s="737"/>
      <c r="T263" s="737"/>
      <c r="U263" s="738"/>
      <c r="V263" s="739">
        <v>404</v>
      </c>
      <c r="W263" s="737"/>
      <c r="X263" s="737">
        <v>1001</v>
      </c>
      <c r="Y263" s="737">
        <v>901</v>
      </c>
      <c r="Z263" s="1202"/>
      <c r="AA263" s="740"/>
      <c r="AB263" s="739"/>
      <c r="AC263" s="741"/>
      <c r="AD263" s="741">
        <v>281</v>
      </c>
      <c r="AE263" s="741">
        <v>331</v>
      </c>
      <c r="AF263" s="741"/>
      <c r="AG263" s="741">
        <v>95</v>
      </c>
      <c r="AH263" s="741">
        <v>2354</v>
      </c>
      <c r="AI263" s="741"/>
      <c r="AJ263" s="741">
        <v>91</v>
      </c>
      <c r="AK263" s="741"/>
      <c r="AL263" s="741">
        <v>130</v>
      </c>
      <c r="AM263" s="742">
        <v>2659</v>
      </c>
      <c r="AN263" s="743">
        <f t="shared" si="16"/>
        <v>0.77054658736901727</v>
      </c>
      <c r="AO263" s="744">
        <f t="shared" si="17"/>
        <v>0.93856050491564513</v>
      </c>
      <c r="AP263" s="745">
        <f>'09월 에너지'!S265</f>
        <v>143.19999999999999</v>
      </c>
    </row>
    <row r="264" spans="1:42" ht="16.5" customHeight="1">
      <c r="A264" s="999">
        <f>'09월 조업일지'!A264</f>
        <v>46274</v>
      </c>
      <c r="B264" s="1100">
        <f>'09월 조업일지'!B264</f>
        <v>46274</v>
      </c>
      <c r="C264" s="730">
        <f>'09월 조업일지'!G264</f>
        <v>85466</v>
      </c>
      <c r="D264" s="731" t="str">
        <f>'09월 조업일지'!E264</f>
        <v>D</v>
      </c>
      <c r="E264" s="732" t="str">
        <f>'09월 조업일지'!F264</f>
        <v>A</v>
      </c>
      <c r="F264" s="1096" t="str">
        <f>'09월 에너지'!F266</f>
        <v>SHP355W</v>
      </c>
      <c r="G264" s="733">
        <v>11</v>
      </c>
      <c r="H264" s="734">
        <v>22</v>
      </c>
      <c r="I264" s="734">
        <v>132</v>
      </c>
      <c r="J264" s="734">
        <v>17</v>
      </c>
      <c r="K264" s="735">
        <v>30</v>
      </c>
      <c r="L264" s="734">
        <v>12</v>
      </c>
      <c r="M264" s="736">
        <v>11</v>
      </c>
      <c r="N264" s="737">
        <v>422</v>
      </c>
      <c r="O264" s="737"/>
      <c r="P264" s="737">
        <v>1001</v>
      </c>
      <c r="Q264" s="737">
        <v>955</v>
      </c>
      <c r="R264" s="737"/>
      <c r="S264" s="737"/>
      <c r="T264" s="737"/>
      <c r="U264" s="738"/>
      <c r="V264" s="739">
        <v>414</v>
      </c>
      <c r="W264" s="737"/>
      <c r="X264" s="737">
        <v>1000</v>
      </c>
      <c r="Y264" s="737">
        <v>906</v>
      </c>
      <c r="Z264" s="1202"/>
      <c r="AA264" s="740"/>
      <c r="AB264" s="739"/>
      <c r="AC264" s="741"/>
      <c r="AD264" s="741">
        <v>280</v>
      </c>
      <c r="AE264" s="741">
        <v>330</v>
      </c>
      <c r="AF264" s="741"/>
      <c r="AG264" s="741">
        <v>96</v>
      </c>
      <c r="AH264" s="741">
        <v>2359</v>
      </c>
      <c r="AI264" s="741"/>
      <c r="AJ264" s="741">
        <v>91</v>
      </c>
      <c r="AK264" s="741"/>
      <c r="AL264" s="741">
        <v>132</v>
      </c>
      <c r="AM264" s="742">
        <v>1253</v>
      </c>
      <c r="AN264" s="743">
        <f t="shared" si="16"/>
        <v>0.89467288399039147</v>
      </c>
      <c r="AO264" s="744">
        <f t="shared" si="17"/>
        <v>1.019578513898141</v>
      </c>
      <c r="AP264" s="745">
        <f>'09월 에너지'!S266</f>
        <v>143.9</v>
      </c>
    </row>
    <row r="265" spans="1:42" ht="16.5" customHeight="1">
      <c r="A265" s="999">
        <f>'09월 조업일지'!A265</f>
        <v>46274</v>
      </c>
      <c r="B265" s="1100">
        <f>'09월 조업일지'!B265</f>
        <v>46274</v>
      </c>
      <c r="C265" s="730">
        <f>'09월 조업일지'!G265</f>
        <v>85467</v>
      </c>
      <c r="D265" s="731" t="str">
        <f>'09월 조업일지'!E265</f>
        <v>D</v>
      </c>
      <c r="E265" s="732" t="str">
        <f>'09월 조업일지'!F265</f>
        <v>B</v>
      </c>
      <c r="F265" s="1096" t="str">
        <f>'09월 에너지'!F267</f>
        <v>SHP355W</v>
      </c>
      <c r="G265" s="733">
        <v>10</v>
      </c>
      <c r="H265" s="734">
        <v>19</v>
      </c>
      <c r="I265" s="734">
        <v>125</v>
      </c>
      <c r="J265" s="734">
        <v>15</v>
      </c>
      <c r="K265" s="735">
        <v>33</v>
      </c>
      <c r="L265" s="734">
        <v>13</v>
      </c>
      <c r="M265" s="736">
        <v>10</v>
      </c>
      <c r="N265" s="737">
        <v>417</v>
      </c>
      <c r="O265" s="737"/>
      <c r="P265" s="737">
        <v>1001</v>
      </c>
      <c r="Q265" s="737">
        <v>960</v>
      </c>
      <c r="R265" s="737"/>
      <c r="S265" s="737"/>
      <c r="T265" s="737"/>
      <c r="U265" s="738"/>
      <c r="V265" s="739">
        <v>413</v>
      </c>
      <c r="W265" s="737"/>
      <c r="X265" s="737">
        <v>1001</v>
      </c>
      <c r="Y265" s="737">
        <v>903</v>
      </c>
      <c r="Z265" s="1202"/>
      <c r="AA265" s="740"/>
      <c r="AB265" s="739"/>
      <c r="AC265" s="741"/>
      <c r="AD265" s="741">
        <v>281</v>
      </c>
      <c r="AE265" s="741">
        <v>330</v>
      </c>
      <c r="AF265" s="741"/>
      <c r="AG265" s="741">
        <v>95</v>
      </c>
      <c r="AH265" s="741">
        <v>2401</v>
      </c>
      <c r="AI265" s="741"/>
      <c r="AJ265" s="741">
        <v>87</v>
      </c>
      <c r="AK265" s="741"/>
      <c r="AL265" s="741">
        <v>130</v>
      </c>
      <c r="AM265" s="742">
        <v>2240</v>
      </c>
      <c r="AN265" s="743">
        <f t="shared" si="16"/>
        <v>0.76654171872830767</v>
      </c>
      <c r="AO265" s="744">
        <f t="shared" si="17"/>
        <v>0.95097280894865244</v>
      </c>
      <c r="AP265" s="745">
        <f>'09월 에너지'!S267</f>
        <v>145.30000000000001</v>
      </c>
    </row>
    <row r="266" spans="1:42" ht="16.5" customHeight="1">
      <c r="A266" s="999">
        <f>'09월 조업일지'!A266</f>
        <v>46274</v>
      </c>
      <c r="B266" s="1100">
        <f>'09월 조업일지'!B266</f>
        <v>46274</v>
      </c>
      <c r="C266" s="730">
        <f>'09월 조업일지'!G266</f>
        <v>85468</v>
      </c>
      <c r="D266" s="731" t="str">
        <f>'09월 조업일지'!E266</f>
        <v>B</v>
      </c>
      <c r="E266" s="732" t="str">
        <f>'09월 조업일지'!F266</f>
        <v>A</v>
      </c>
      <c r="F266" s="1096" t="str">
        <f>'09월 에너지'!F268</f>
        <v>SHP355W</v>
      </c>
      <c r="G266" s="733">
        <v>11</v>
      </c>
      <c r="H266" s="734">
        <v>21</v>
      </c>
      <c r="I266" s="734">
        <v>131</v>
      </c>
      <c r="J266" s="734">
        <v>14</v>
      </c>
      <c r="K266" s="735">
        <v>20</v>
      </c>
      <c r="L266" s="734">
        <v>13</v>
      </c>
      <c r="M266" s="736">
        <v>8</v>
      </c>
      <c r="N266" s="737">
        <v>411</v>
      </c>
      <c r="O266" s="737"/>
      <c r="P266" s="737">
        <v>902</v>
      </c>
      <c r="Q266" s="737">
        <v>964</v>
      </c>
      <c r="R266" s="737"/>
      <c r="S266" s="737"/>
      <c r="T266" s="737"/>
      <c r="U266" s="738"/>
      <c r="V266" s="739">
        <v>414</v>
      </c>
      <c r="W266" s="737"/>
      <c r="X266" s="737">
        <v>1000</v>
      </c>
      <c r="Y266" s="737">
        <v>902</v>
      </c>
      <c r="Z266" s="1202"/>
      <c r="AA266" s="740"/>
      <c r="AB266" s="739"/>
      <c r="AC266" s="741"/>
      <c r="AD266" s="741">
        <v>281</v>
      </c>
      <c r="AE266" s="741">
        <v>330</v>
      </c>
      <c r="AF266" s="741"/>
      <c r="AG266" s="741">
        <v>95</v>
      </c>
      <c r="AH266" s="741">
        <v>2356</v>
      </c>
      <c r="AI266" s="741"/>
      <c r="AJ266" s="741">
        <v>89</v>
      </c>
      <c r="AK266" s="741"/>
      <c r="AL266" s="741">
        <v>126</v>
      </c>
      <c r="AM266" s="742">
        <v>2898</v>
      </c>
      <c r="AN266" s="743">
        <f t="shared" si="16"/>
        <v>0.8592529711375213</v>
      </c>
      <c r="AO266" s="744">
        <f t="shared" si="17"/>
        <v>1.0170749454280863</v>
      </c>
      <c r="AP266" s="745">
        <f>'09월 에너지'!S268</f>
        <v>144.6</v>
      </c>
    </row>
    <row r="267" spans="1:42" ht="16.5" customHeight="1">
      <c r="A267" s="999">
        <f>'09월 조업일지'!A267</f>
        <v>46274</v>
      </c>
      <c r="B267" s="1100">
        <f>'09월 조업일지'!B267</f>
        <v>46274</v>
      </c>
      <c r="C267" s="730">
        <f>'09월 조업일지'!G267</f>
        <v>85469</v>
      </c>
      <c r="D267" s="731" t="str">
        <f>'09월 조업일지'!E267</f>
        <v>B</v>
      </c>
      <c r="E267" s="732" t="str">
        <f>'09월 조업일지'!F267</f>
        <v>B</v>
      </c>
      <c r="F267" s="1096" t="str">
        <f>'09월 에너지'!F269</f>
        <v>SHP355W</v>
      </c>
      <c r="G267" s="733">
        <v>14</v>
      </c>
      <c r="H267" s="734">
        <v>21</v>
      </c>
      <c r="I267" s="734">
        <v>125</v>
      </c>
      <c r="J267" s="734">
        <v>18</v>
      </c>
      <c r="K267" s="735">
        <v>27</v>
      </c>
      <c r="L267" s="734">
        <v>11</v>
      </c>
      <c r="M267" s="736">
        <v>9</v>
      </c>
      <c r="N267" s="737">
        <v>414</v>
      </c>
      <c r="O267" s="737"/>
      <c r="P267" s="737">
        <v>1000</v>
      </c>
      <c r="Q267" s="737">
        <v>951</v>
      </c>
      <c r="R267" s="737"/>
      <c r="S267" s="737"/>
      <c r="T267" s="737"/>
      <c r="U267" s="738"/>
      <c r="V267" s="739">
        <v>417</v>
      </c>
      <c r="W267" s="737"/>
      <c r="X267" s="737">
        <v>1000</v>
      </c>
      <c r="Y267" s="737">
        <v>901</v>
      </c>
      <c r="Z267" s="1202"/>
      <c r="AA267" s="740"/>
      <c r="AB267" s="739"/>
      <c r="AC267" s="741"/>
      <c r="AD267" s="741">
        <v>281</v>
      </c>
      <c r="AE267" s="741">
        <v>330</v>
      </c>
      <c r="AF267" s="741"/>
      <c r="AG267" s="741">
        <v>95</v>
      </c>
      <c r="AH267" s="741">
        <v>2348</v>
      </c>
      <c r="AI267" s="741"/>
      <c r="AJ267" s="741">
        <v>83</v>
      </c>
      <c r="AK267" s="741"/>
      <c r="AL267" s="741">
        <v>131</v>
      </c>
      <c r="AM267" s="742">
        <v>4044</v>
      </c>
      <c r="AN267" s="743">
        <f t="shared" si="16"/>
        <v>0.85502555366269162</v>
      </c>
      <c r="AO267" s="744">
        <f t="shared" si="17"/>
        <v>0.95972256023363356</v>
      </c>
      <c r="AP267" s="745">
        <f>'09월 에너지'!S269</f>
        <v>143.4</v>
      </c>
    </row>
    <row r="268" spans="1:42" ht="16.5" customHeight="1">
      <c r="A268" s="999">
        <f>'09월 조업일지'!A268</f>
        <v>46274</v>
      </c>
      <c r="B268" s="1100">
        <f>'09월 조업일지'!B268</f>
        <v>46274</v>
      </c>
      <c r="C268" s="730">
        <f>'09월 조업일지'!G268</f>
        <v>85470</v>
      </c>
      <c r="D268" s="731" t="str">
        <f>'09월 조업일지'!E268</f>
        <v>B</v>
      </c>
      <c r="E268" s="732" t="str">
        <f>'09월 조업일지'!F268</f>
        <v>A</v>
      </c>
      <c r="F268" s="1096" t="str">
        <f>'09월 에너지'!F270</f>
        <v>SHP355W</v>
      </c>
      <c r="G268" s="733">
        <v>10</v>
      </c>
      <c r="H268" s="734">
        <v>18</v>
      </c>
      <c r="I268" s="734">
        <v>119</v>
      </c>
      <c r="J268" s="734">
        <v>16</v>
      </c>
      <c r="K268" s="735">
        <v>27</v>
      </c>
      <c r="L268" s="734">
        <v>17</v>
      </c>
      <c r="M268" s="736">
        <v>12</v>
      </c>
      <c r="N268" s="737">
        <v>414</v>
      </c>
      <c r="O268" s="737"/>
      <c r="P268" s="737">
        <v>1001</v>
      </c>
      <c r="Q268" s="737">
        <v>955</v>
      </c>
      <c r="R268" s="737"/>
      <c r="S268" s="737"/>
      <c r="T268" s="737"/>
      <c r="U268" s="738"/>
      <c r="V268" s="739">
        <v>405</v>
      </c>
      <c r="W268" s="737"/>
      <c r="X268" s="737">
        <v>1001</v>
      </c>
      <c r="Y268" s="737">
        <v>902</v>
      </c>
      <c r="Z268" s="1202"/>
      <c r="AA268" s="740"/>
      <c r="AB268" s="739"/>
      <c r="AC268" s="741"/>
      <c r="AD268" s="741">
        <v>280</v>
      </c>
      <c r="AE268" s="741">
        <v>331</v>
      </c>
      <c r="AF268" s="741"/>
      <c r="AG268" s="741">
        <v>95</v>
      </c>
      <c r="AH268" s="741">
        <v>2351</v>
      </c>
      <c r="AI268" s="741">
        <v>108</v>
      </c>
      <c r="AJ268" s="741">
        <v>91</v>
      </c>
      <c r="AK268" s="741"/>
      <c r="AL268" s="741">
        <v>124</v>
      </c>
      <c r="AM268" s="742">
        <v>2776</v>
      </c>
      <c r="AN268" s="743">
        <f t="shared" si="16"/>
        <v>0.59771705292286403</v>
      </c>
      <c r="AO268" s="744">
        <f t="shared" si="17"/>
        <v>0.91000789937412652</v>
      </c>
      <c r="AP268" s="745">
        <f>'09월 에너지'!S270</f>
        <v>144</v>
      </c>
    </row>
    <row r="269" spans="1:42" ht="16.5" customHeight="1">
      <c r="A269" s="999">
        <f>'09월 조업일지'!A269</f>
        <v>46274</v>
      </c>
      <c r="B269" s="1100">
        <f>'09월 조업일지'!B269</f>
        <v>46274</v>
      </c>
      <c r="C269" s="730">
        <f>'09월 조업일지'!G269</f>
        <v>85471</v>
      </c>
      <c r="D269" s="731" t="str">
        <f>'09월 조업일지'!E269</f>
        <v>B</v>
      </c>
      <c r="E269" s="732" t="str">
        <f>'09월 조업일지'!F269</f>
        <v>B</v>
      </c>
      <c r="F269" s="1096" t="str">
        <f>'09월 에너지'!F271</f>
        <v>SHP355W</v>
      </c>
      <c r="G269" s="733">
        <v>13</v>
      </c>
      <c r="H269" s="734">
        <v>23</v>
      </c>
      <c r="I269" s="734">
        <v>139</v>
      </c>
      <c r="J269" s="734">
        <v>23</v>
      </c>
      <c r="K269" s="735">
        <v>43</v>
      </c>
      <c r="L269" s="734">
        <v>13</v>
      </c>
      <c r="M269" s="736">
        <v>10</v>
      </c>
      <c r="N269" s="737">
        <v>418</v>
      </c>
      <c r="O269" s="737"/>
      <c r="P269" s="737">
        <v>1000</v>
      </c>
      <c r="Q269" s="737">
        <v>952</v>
      </c>
      <c r="R269" s="737"/>
      <c r="S269" s="737"/>
      <c r="T269" s="737"/>
      <c r="U269" s="738"/>
      <c r="V269" s="739">
        <v>410</v>
      </c>
      <c r="W269" s="737"/>
      <c r="X269" s="737">
        <v>1001</v>
      </c>
      <c r="Y269" s="737">
        <v>904</v>
      </c>
      <c r="Z269" s="1202"/>
      <c r="AA269" s="740"/>
      <c r="AB269" s="739"/>
      <c r="AC269" s="741"/>
      <c r="AD269" s="741">
        <v>281</v>
      </c>
      <c r="AE269" s="741">
        <v>331</v>
      </c>
      <c r="AF269" s="741"/>
      <c r="AG269" s="741">
        <v>95</v>
      </c>
      <c r="AH269" s="741">
        <v>2351</v>
      </c>
      <c r="AI269" s="741"/>
      <c r="AJ269" s="741">
        <v>83</v>
      </c>
      <c r="AK269" s="741"/>
      <c r="AL269" s="741">
        <v>136</v>
      </c>
      <c r="AM269" s="742">
        <v>2990</v>
      </c>
      <c r="AN269" s="743">
        <f t="shared" ref="AN269:AN332" si="18">IF(ISBLANK(AH269),"",AP269*1000*H269/10000/(AH269*15%+AI269*75%+AK269*60%))</f>
        <v>0.90721678718275922</v>
      </c>
      <c r="AO269" s="744">
        <f t="shared" ref="AO269:AO332" si="19">IF(ISBLANK(AH269),"",AP269*1000*(I269-15)/10000/(AH269*70%))</f>
        <v>1.0480889591055478</v>
      </c>
      <c r="AP269" s="745">
        <f>'09월 에너지'!S271</f>
        <v>139.1</v>
      </c>
    </row>
    <row r="270" spans="1:42" ht="16.5" customHeight="1">
      <c r="A270" s="999">
        <f>'09월 조업일지'!A270</f>
        <v>46274</v>
      </c>
      <c r="B270" s="1100">
        <f>'09월 조업일지'!B270</f>
        <v>46274</v>
      </c>
      <c r="C270" s="730">
        <f>'09월 조업일지'!G270</f>
        <v>85472</v>
      </c>
      <c r="D270" s="731" t="str">
        <f>'09월 조업일지'!E270</f>
        <v>B</v>
      </c>
      <c r="E270" s="732" t="str">
        <f>'09월 조업일지'!F270</f>
        <v>A</v>
      </c>
      <c r="F270" s="1096" t="str">
        <f>'09월 에너지'!F272</f>
        <v>SHP355W</v>
      </c>
      <c r="G270" s="733">
        <v>12</v>
      </c>
      <c r="H270" s="734">
        <v>26</v>
      </c>
      <c r="I270" s="734">
        <v>128</v>
      </c>
      <c r="J270" s="734">
        <v>16</v>
      </c>
      <c r="K270" s="735">
        <v>39</v>
      </c>
      <c r="L270" s="734">
        <v>19</v>
      </c>
      <c r="M270" s="736">
        <v>9</v>
      </c>
      <c r="N270" s="737">
        <v>410</v>
      </c>
      <c r="O270" s="737"/>
      <c r="P270" s="737">
        <v>1001</v>
      </c>
      <c r="Q270" s="737">
        <v>952</v>
      </c>
      <c r="R270" s="737"/>
      <c r="S270" s="737"/>
      <c r="T270" s="737"/>
      <c r="U270" s="738"/>
      <c r="V270" s="739">
        <v>415</v>
      </c>
      <c r="W270" s="737"/>
      <c r="X270" s="737">
        <v>1001</v>
      </c>
      <c r="Y270" s="737">
        <v>902</v>
      </c>
      <c r="Z270" s="1202"/>
      <c r="AA270" s="740"/>
      <c r="AB270" s="739"/>
      <c r="AC270" s="741"/>
      <c r="AD270" s="741">
        <v>281</v>
      </c>
      <c r="AE270" s="741">
        <v>330</v>
      </c>
      <c r="AF270" s="741"/>
      <c r="AG270" s="741">
        <v>95</v>
      </c>
      <c r="AH270" s="741">
        <v>2348</v>
      </c>
      <c r="AI270" s="741">
        <v>108</v>
      </c>
      <c r="AJ270" s="741">
        <v>88</v>
      </c>
      <c r="AK270" s="741"/>
      <c r="AL270" s="741">
        <v>130</v>
      </c>
      <c r="AM270" s="742">
        <v>1660</v>
      </c>
      <c r="AN270" s="743">
        <f t="shared" si="18"/>
        <v>0.8648661126500462</v>
      </c>
      <c r="AO270" s="744">
        <f t="shared" si="19"/>
        <v>0.99070941834996351</v>
      </c>
      <c r="AP270" s="745">
        <f>'09월 에너지'!S272</f>
        <v>144.1</v>
      </c>
    </row>
    <row r="271" spans="1:42" ht="16.5" customHeight="1">
      <c r="A271" s="999">
        <f>'09월 조업일지'!A271</f>
        <v>46274</v>
      </c>
      <c r="B271" s="1100">
        <f>'09월 조업일지'!B271</f>
        <v>46274</v>
      </c>
      <c r="C271" s="730">
        <f>'09월 조업일지'!G271</f>
        <v>85473</v>
      </c>
      <c r="D271" s="731" t="str">
        <f>'09월 조업일지'!E271</f>
        <v>B</v>
      </c>
      <c r="E271" s="732" t="str">
        <f>'09월 조업일지'!F271</f>
        <v>B</v>
      </c>
      <c r="F271" s="1096" t="str">
        <f>'09월 에너지'!F273</f>
        <v>SHP355W</v>
      </c>
      <c r="G271" s="733">
        <v>11</v>
      </c>
      <c r="H271" s="734">
        <v>18</v>
      </c>
      <c r="I271" s="734">
        <v>127</v>
      </c>
      <c r="J271" s="734">
        <v>13</v>
      </c>
      <c r="K271" s="735">
        <v>18</v>
      </c>
      <c r="L271" s="734">
        <v>12</v>
      </c>
      <c r="M271" s="736">
        <v>7</v>
      </c>
      <c r="N271" s="737">
        <v>408</v>
      </c>
      <c r="O271" s="737"/>
      <c r="P271" s="737">
        <v>1000</v>
      </c>
      <c r="Q271" s="737">
        <v>952</v>
      </c>
      <c r="R271" s="737"/>
      <c r="S271" s="737"/>
      <c r="T271" s="737"/>
      <c r="U271" s="738"/>
      <c r="V271" s="739">
        <v>410</v>
      </c>
      <c r="W271" s="737"/>
      <c r="X271" s="737">
        <v>1000</v>
      </c>
      <c r="Y271" s="737">
        <v>901</v>
      </c>
      <c r="Z271" s="1202"/>
      <c r="AA271" s="740"/>
      <c r="AB271" s="739"/>
      <c r="AC271" s="741"/>
      <c r="AD271" s="741">
        <v>281</v>
      </c>
      <c r="AE271" s="741">
        <v>331</v>
      </c>
      <c r="AF271" s="741"/>
      <c r="AG271" s="741">
        <v>95</v>
      </c>
      <c r="AH271" s="741">
        <v>2349</v>
      </c>
      <c r="AI271" s="741"/>
      <c r="AJ271" s="741">
        <v>82</v>
      </c>
      <c r="AK271" s="741"/>
      <c r="AL271" s="741">
        <v>121</v>
      </c>
      <c r="AM271" s="742">
        <v>1743</v>
      </c>
      <c r="AN271" s="743">
        <f t="shared" si="18"/>
        <v>0.72234993614303966</v>
      </c>
      <c r="AO271" s="744">
        <f t="shared" si="19"/>
        <v>0.96313324819071955</v>
      </c>
      <c r="AP271" s="745">
        <f>'09월 에너지'!S273</f>
        <v>141.4</v>
      </c>
    </row>
    <row r="272" spans="1:42" ht="16.5" customHeight="1">
      <c r="A272" s="999">
        <f>'09월 조업일지'!A272</f>
        <v>46275</v>
      </c>
      <c r="B272" s="1100">
        <f>'09월 조업일지'!B272</f>
        <v>46274</v>
      </c>
      <c r="C272" s="730">
        <f>'09월 조업일지'!G272</f>
        <v>85474</v>
      </c>
      <c r="D272" s="731" t="str">
        <f>'09월 조업일지'!E272</f>
        <v>B</v>
      </c>
      <c r="E272" s="732" t="str">
        <f>'09월 조업일지'!F272</f>
        <v>A</v>
      </c>
      <c r="F272" s="1096" t="str">
        <f>'09월 에너지'!F274</f>
        <v>SHP355W</v>
      </c>
      <c r="G272" s="733">
        <v>12</v>
      </c>
      <c r="H272" s="734">
        <v>19</v>
      </c>
      <c r="I272" s="734">
        <v>128</v>
      </c>
      <c r="J272" s="734">
        <v>18</v>
      </c>
      <c r="K272" s="735">
        <v>32</v>
      </c>
      <c r="L272" s="734">
        <v>20</v>
      </c>
      <c r="M272" s="736">
        <v>9</v>
      </c>
      <c r="N272" s="737">
        <v>414</v>
      </c>
      <c r="O272" s="737"/>
      <c r="P272" s="737">
        <v>1000</v>
      </c>
      <c r="Q272" s="737">
        <v>952</v>
      </c>
      <c r="R272" s="737"/>
      <c r="S272" s="737"/>
      <c r="T272" s="737"/>
      <c r="U272" s="738"/>
      <c r="V272" s="739">
        <v>411</v>
      </c>
      <c r="W272" s="737"/>
      <c r="X272" s="737">
        <v>1001</v>
      </c>
      <c r="Y272" s="737">
        <v>901</v>
      </c>
      <c r="Z272" s="1202"/>
      <c r="AA272" s="740"/>
      <c r="AB272" s="739"/>
      <c r="AC272" s="741"/>
      <c r="AD272" s="741">
        <v>280</v>
      </c>
      <c r="AE272" s="741">
        <v>331</v>
      </c>
      <c r="AF272" s="741"/>
      <c r="AG272" s="741">
        <v>95</v>
      </c>
      <c r="AH272" s="741">
        <v>2350</v>
      </c>
      <c r="AI272" s="741"/>
      <c r="AJ272" s="741">
        <v>90</v>
      </c>
      <c r="AK272" s="741"/>
      <c r="AL272" s="741">
        <v>136</v>
      </c>
      <c r="AM272" s="742">
        <v>1888</v>
      </c>
      <c r="AN272" s="743">
        <f t="shared" si="18"/>
        <v>0.77994326241134748</v>
      </c>
      <c r="AO272" s="744">
        <f t="shared" si="19"/>
        <v>0.99398784194528866</v>
      </c>
      <c r="AP272" s="745">
        <f>'09월 에너지'!S274</f>
        <v>144.69999999999999</v>
      </c>
    </row>
    <row r="273" spans="1:42" ht="16.5" customHeight="1">
      <c r="A273" s="999">
        <f>'09월 조업일지'!A273</f>
        <v>46275</v>
      </c>
      <c r="B273" s="1100">
        <f>'09월 조업일지'!B273</f>
        <v>46274</v>
      </c>
      <c r="C273" s="730">
        <f>'09월 조업일지'!G273</f>
        <v>85475</v>
      </c>
      <c r="D273" s="731" t="str">
        <f>'09월 조업일지'!E273</f>
        <v>B</v>
      </c>
      <c r="E273" s="732" t="str">
        <f>'09월 조업일지'!F273</f>
        <v>B</v>
      </c>
      <c r="F273" s="1231" t="str">
        <f>'09월 에너지'!F275</f>
        <v>S355JO-01</v>
      </c>
      <c r="G273" s="733">
        <v>10</v>
      </c>
      <c r="H273" s="734">
        <v>14</v>
      </c>
      <c r="I273" s="734">
        <v>122</v>
      </c>
      <c r="J273" s="734">
        <v>14</v>
      </c>
      <c r="K273" s="735">
        <v>33</v>
      </c>
      <c r="L273" s="734">
        <v>12</v>
      </c>
      <c r="M273" s="736">
        <v>9</v>
      </c>
      <c r="N273" s="737">
        <v>401</v>
      </c>
      <c r="O273" s="737"/>
      <c r="P273" s="737">
        <v>1000</v>
      </c>
      <c r="Q273" s="737">
        <v>953</v>
      </c>
      <c r="R273" s="737"/>
      <c r="S273" s="737"/>
      <c r="T273" s="737"/>
      <c r="U273" s="738"/>
      <c r="V273" s="739">
        <v>419</v>
      </c>
      <c r="W273" s="737"/>
      <c r="X273" s="737">
        <v>1001</v>
      </c>
      <c r="Y273" s="737">
        <v>903</v>
      </c>
      <c r="Z273" s="1202"/>
      <c r="AA273" s="740"/>
      <c r="AB273" s="739"/>
      <c r="AC273" s="741"/>
      <c r="AD273" s="741">
        <v>281</v>
      </c>
      <c r="AE273" s="741">
        <v>330</v>
      </c>
      <c r="AF273" s="741"/>
      <c r="AG273" s="741">
        <v>95</v>
      </c>
      <c r="AH273" s="741">
        <v>2349</v>
      </c>
      <c r="AI273" s="741"/>
      <c r="AJ273" s="741">
        <v>86</v>
      </c>
      <c r="AK273" s="741"/>
      <c r="AL273" s="741">
        <v>122</v>
      </c>
      <c r="AM273" s="742">
        <v>2929</v>
      </c>
      <c r="AN273" s="743">
        <f t="shared" si="18"/>
        <v>0.56699304668653339</v>
      </c>
      <c r="AO273" s="744">
        <f t="shared" si="19"/>
        <v>0.92859575503253677</v>
      </c>
      <c r="AP273" s="745">
        <f>'09월 에너지'!S275</f>
        <v>142.69999999999999</v>
      </c>
    </row>
    <row r="274" spans="1:42" ht="16.5" customHeight="1">
      <c r="A274" s="999">
        <f>'09월 조업일지'!A274</f>
        <v>46275</v>
      </c>
      <c r="B274" s="1100">
        <f>'09월 조업일지'!B274</f>
        <v>46274</v>
      </c>
      <c r="C274" s="730">
        <f>'09월 조업일지'!G274</f>
        <v>85476</v>
      </c>
      <c r="D274" s="731" t="str">
        <f>'09월 조업일지'!E274</f>
        <v>B</v>
      </c>
      <c r="E274" s="732" t="str">
        <f>'09월 조업일지'!F274</f>
        <v>A</v>
      </c>
      <c r="F274" s="1096" t="str">
        <f>'09월 에너지'!F276</f>
        <v>S355JO-01</v>
      </c>
      <c r="G274" s="733">
        <v>12</v>
      </c>
      <c r="H274" s="734">
        <v>21</v>
      </c>
      <c r="I274" s="734">
        <v>123</v>
      </c>
      <c r="J274" s="734">
        <v>16</v>
      </c>
      <c r="K274" s="735">
        <v>29</v>
      </c>
      <c r="L274" s="734">
        <v>13</v>
      </c>
      <c r="M274" s="736">
        <v>12</v>
      </c>
      <c r="N274" s="737">
        <v>419</v>
      </c>
      <c r="O274" s="737"/>
      <c r="P274" s="737">
        <v>1000</v>
      </c>
      <c r="Q274" s="737">
        <v>953</v>
      </c>
      <c r="R274" s="737"/>
      <c r="S274" s="737"/>
      <c r="T274" s="737"/>
      <c r="U274" s="738"/>
      <c r="V274" s="739">
        <v>402</v>
      </c>
      <c r="W274" s="737"/>
      <c r="X274" s="737">
        <v>1000</v>
      </c>
      <c r="Y274" s="737">
        <v>902</v>
      </c>
      <c r="Z274" s="1202"/>
      <c r="AA274" s="740"/>
      <c r="AB274" s="739"/>
      <c r="AC274" s="741"/>
      <c r="AD274" s="741">
        <v>281</v>
      </c>
      <c r="AE274" s="741">
        <v>331</v>
      </c>
      <c r="AF274" s="741"/>
      <c r="AG274" s="741">
        <v>96</v>
      </c>
      <c r="AH274" s="741">
        <v>2351</v>
      </c>
      <c r="AI274" s="741"/>
      <c r="AJ274" s="741">
        <v>88</v>
      </c>
      <c r="AK274" s="741"/>
      <c r="AL274" s="741">
        <v>118</v>
      </c>
      <c r="AM274" s="742">
        <v>1683</v>
      </c>
      <c r="AN274" s="743">
        <f t="shared" si="18"/>
        <v>0.85988940876222897</v>
      </c>
      <c r="AO274" s="744">
        <f t="shared" si="19"/>
        <v>0.94763322598286448</v>
      </c>
      <c r="AP274" s="745">
        <f>'09월 에너지'!S276</f>
        <v>144.4</v>
      </c>
    </row>
    <row r="275" spans="1:42" ht="16.5" customHeight="1">
      <c r="A275" s="999">
        <f>'09월 조업일지'!A275</f>
        <v>46275</v>
      </c>
      <c r="B275" s="1100">
        <f>'09월 조업일지'!B275</f>
        <v>46275</v>
      </c>
      <c r="C275" s="730">
        <f>'09월 조업일지'!G275</f>
        <v>85477</v>
      </c>
      <c r="D275" s="731" t="str">
        <f>'09월 조업일지'!E275</f>
        <v>C</v>
      </c>
      <c r="E275" s="732" t="str">
        <f>'09월 조업일지'!F275</f>
        <v>B</v>
      </c>
      <c r="F275" s="1096" t="str">
        <f>'09월 에너지'!F277</f>
        <v>S355JO-01</v>
      </c>
      <c r="G275" s="733">
        <v>10</v>
      </c>
      <c r="H275" s="734">
        <v>15</v>
      </c>
      <c r="I275" s="734">
        <v>124</v>
      </c>
      <c r="J275" s="734">
        <v>14</v>
      </c>
      <c r="K275" s="735">
        <v>36</v>
      </c>
      <c r="L275" s="734">
        <v>12</v>
      </c>
      <c r="M275" s="736">
        <v>10</v>
      </c>
      <c r="N275" s="737">
        <v>411</v>
      </c>
      <c r="O275" s="737"/>
      <c r="P275" s="737">
        <v>1000</v>
      </c>
      <c r="Q275" s="737">
        <v>954</v>
      </c>
      <c r="R275" s="737"/>
      <c r="S275" s="737"/>
      <c r="T275" s="737"/>
      <c r="U275" s="738"/>
      <c r="V275" s="739">
        <v>419</v>
      </c>
      <c r="W275" s="737"/>
      <c r="X275" s="737">
        <v>1001</v>
      </c>
      <c r="Y275" s="737">
        <v>901</v>
      </c>
      <c r="Z275" s="1202"/>
      <c r="AA275" s="740"/>
      <c r="AB275" s="739"/>
      <c r="AC275" s="741"/>
      <c r="AD275" s="741">
        <v>280</v>
      </c>
      <c r="AE275" s="741">
        <v>330</v>
      </c>
      <c r="AF275" s="741"/>
      <c r="AG275" s="741">
        <v>95</v>
      </c>
      <c r="AH275" s="741">
        <v>2355</v>
      </c>
      <c r="AI275" s="741"/>
      <c r="AJ275" s="741">
        <v>89</v>
      </c>
      <c r="AK275" s="741"/>
      <c r="AL275" s="741">
        <v>132</v>
      </c>
      <c r="AM275" s="742">
        <v>1857</v>
      </c>
      <c r="AN275" s="743">
        <f t="shared" si="18"/>
        <v>0.61698513800424626</v>
      </c>
      <c r="AO275" s="744">
        <f t="shared" si="19"/>
        <v>0.96073400060661207</v>
      </c>
      <c r="AP275" s="745">
        <f>'09월 에너지'!S277</f>
        <v>145.30000000000001</v>
      </c>
    </row>
    <row r="276" spans="1:42" ht="16.5" customHeight="1">
      <c r="A276" s="999">
        <f>'09월 조업일지'!A276</f>
        <v>46275</v>
      </c>
      <c r="B276" s="1100">
        <f>'09월 조업일지'!B276</f>
        <v>46275</v>
      </c>
      <c r="C276" s="730">
        <f>'09월 조업일지'!G276</f>
        <v>85478</v>
      </c>
      <c r="D276" s="731" t="str">
        <f>'09월 조업일지'!E276</f>
        <v>C</v>
      </c>
      <c r="E276" s="732" t="str">
        <f>'09월 조업일지'!F276</f>
        <v>A</v>
      </c>
      <c r="F276" s="1231" t="str">
        <f>'09월 에너지'!F278</f>
        <v>SHP275W</v>
      </c>
      <c r="G276" s="733">
        <v>7</v>
      </c>
      <c r="H276" s="734">
        <v>19</v>
      </c>
      <c r="I276" s="734">
        <v>53</v>
      </c>
      <c r="J276" s="734">
        <v>20</v>
      </c>
      <c r="K276" s="735">
        <v>47</v>
      </c>
      <c r="L276" s="734">
        <v>13</v>
      </c>
      <c r="M276" s="736">
        <v>11</v>
      </c>
      <c r="N276" s="737">
        <v>402</v>
      </c>
      <c r="O276" s="737"/>
      <c r="P276" s="737">
        <v>1000</v>
      </c>
      <c r="Q276" s="737">
        <v>952</v>
      </c>
      <c r="R276" s="737"/>
      <c r="S276" s="737"/>
      <c r="T276" s="737"/>
      <c r="U276" s="738"/>
      <c r="V276" s="739">
        <v>418</v>
      </c>
      <c r="W276" s="737"/>
      <c r="X276" s="737">
        <v>1000</v>
      </c>
      <c r="Y276" s="737">
        <v>902</v>
      </c>
      <c r="Z276" s="1202"/>
      <c r="AA276" s="740"/>
      <c r="AB276" s="739"/>
      <c r="AC276" s="741"/>
      <c r="AD276" s="741">
        <v>281</v>
      </c>
      <c r="AE276" s="741">
        <v>330</v>
      </c>
      <c r="AF276" s="741"/>
      <c r="AG276" s="741">
        <v>95</v>
      </c>
      <c r="AH276" s="741">
        <v>796</v>
      </c>
      <c r="AI276" s="741"/>
      <c r="AJ276" s="741">
        <v>316</v>
      </c>
      <c r="AK276" s="741"/>
      <c r="AL276" s="741">
        <v>117</v>
      </c>
      <c r="AM276" s="742">
        <v>1906</v>
      </c>
      <c r="AN276" s="743">
        <f t="shared" si="18"/>
        <v>2.2994137353433839</v>
      </c>
      <c r="AO276" s="744">
        <f t="shared" si="19"/>
        <v>0.98546302943287889</v>
      </c>
      <c r="AP276" s="745">
        <f>'09월 에너지'!S278</f>
        <v>144.5</v>
      </c>
    </row>
    <row r="277" spans="1:42" ht="16.5" customHeight="1">
      <c r="A277" s="999">
        <f>'09월 조업일지'!A277</f>
        <v>46275</v>
      </c>
      <c r="B277" s="1100">
        <f>'09월 조업일지'!B277</f>
        <v>46275</v>
      </c>
      <c r="C277" s="730">
        <f>'09월 조업일지'!G277</f>
        <v>85479</v>
      </c>
      <c r="D277" s="731" t="str">
        <f>'09월 조업일지'!E277</f>
        <v>C</v>
      </c>
      <c r="E277" s="732" t="str">
        <f>'09월 조업일지'!F277</f>
        <v>B</v>
      </c>
      <c r="F277" s="1231" t="str">
        <f>'09월 에너지'!F279</f>
        <v>SS400-01</v>
      </c>
      <c r="G277" s="733">
        <v>10</v>
      </c>
      <c r="H277" s="734">
        <v>12</v>
      </c>
      <c r="I277" s="734">
        <v>70</v>
      </c>
      <c r="J277" s="734">
        <v>30</v>
      </c>
      <c r="K277" s="735">
        <v>43</v>
      </c>
      <c r="L277" s="734">
        <v>8</v>
      </c>
      <c r="M277" s="736">
        <v>9</v>
      </c>
      <c r="N277" s="737">
        <v>509</v>
      </c>
      <c r="O277" s="737"/>
      <c r="P277" s="737">
        <v>1301</v>
      </c>
      <c r="Q277" s="737">
        <v>1501</v>
      </c>
      <c r="R277" s="737"/>
      <c r="S277" s="737"/>
      <c r="T277" s="737">
        <v>62</v>
      </c>
      <c r="U277" s="738"/>
      <c r="V277" s="739">
        <v>0</v>
      </c>
      <c r="W277" s="737"/>
      <c r="X277" s="737">
        <v>0</v>
      </c>
      <c r="Y277" s="737">
        <v>0</v>
      </c>
      <c r="Z277" s="1202"/>
      <c r="AA277" s="740"/>
      <c r="AB277" s="739"/>
      <c r="AC277" s="741"/>
      <c r="AD277" s="741">
        <v>0</v>
      </c>
      <c r="AE277" s="741">
        <v>0</v>
      </c>
      <c r="AF277" s="741"/>
      <c r="AG277" s="741">
        <v>0</v>
      </c>
      <c r="AH277" s="741">
        <v>452</v>
      </c>
      <c r="AI277" s="741">
        <v>612</v>
      </c>
      <c r="AJ277" s="741">
        <v>0</v>
      </c>
      <c r="AK277" s="741"/>
      <c r="AL277" s="741">
        <v>0</v>
      </c>
      <c r="AM277" s="742">
        <v>3683</v>
      </c>
      <c r="AN277" s="743">
        <f t="shared" si="18"/>
        <v>0.29225512528473813</v>
      </c>
      <c r="AO277" s="744">
        <f t="shared" si="19"/>
        <v>2.2302465233881166</v>
      </c>
      <c r="AP277" s="745">
        <f>'09월 에너지'!S279</f>
        <v>128.30000000000001</v>
      </c>
    </row>
    <row r="278" spans="1:42" ht="16.5" customHeight="1">
      <c r="A278" s="999">
        <f>'09월 조업일지'!A278</f>
        <v>46275</v>
      </c>
      <c r="B278" s="1100">
        <f>'09월 조업일지'!B278</f>
        <v>46275</v>
      </c>
      <c r="C278" s="730">
        <f>'09월 조업일지'!G278</f>
        <v>85480</v>
      </c>
      <c r="D278" s="731" t="str">
        <f>'09월 조업일지'!E278</f>
        <v>C</v>
      </c>
      <c r="E278" s="732" t="str">
        <f>'09월 조업일지'!F278</f>
        <v>A</v>
      </c>
      <c r="F278" s="1231" t="str">
        <f>'09월 에너지'!F280</f>
        <v>SHP275W</v>
      </c>
      <c r="G278" s="733">
        <v>8</v>
      </c>
      <c r="H278" s="734">
        <v>21</v>
      </c>
      <c r="I278" s="734">
        <v>52</v>
      </c>
      <c r="J278" s="734">
        <v>17</v>
      </c>
      <c r="K278" s="735">
        <v>36</v>
      </c>
      <c r="L278" s="734">
        <v>14</v>
      </c>
      <c r="M278" s="736">
        <v>9</v>
      </c>
      <c r="N278" s="737">
        <v>411</v>
      </c>
      <c r="O278" s="737"/>
      <c r="P278" s="737">
        <v>1000</v>
      </c>
      <c r="Q278" s="737">
        <v>951</v>
      </c>
      <c r="R278" s="737"/>
      <c r="S278" s="737"/>
      <c r="T278" s="737"/>
      <c r="U278" s="738"/>
      <c r="V278" s="739">
        <v>413</v>
      </c>
      <c r="W278" s="737"/>
      <c r="X278" s="737">
        <v>1001</v>
      </c>
      <c r="Y278" s="737">
        <v>901</v>
      </c>
      <c r="Z278" s="1202"/>
      <c r="AA278" s="740"/>
      <c r="AB278" s="739"/>
      <c r="AC278" s="741"/>
      <c r="AD278" s="741">
        <v>271</v>
      </c>
      <c r="AE278" s="741">
        <v>332</v>
      </c>
      <c r="AF278" s="741"/>
      <c r="AG278" s="741">
        <v>95</v>
      </c>
      <c r="AH278" s="741">
        <v>804</v>
      </c>
      <c r="AI278" s="741">
        <v>325</v>
      </c>
      <c r="AJ278" s="741">
        <v>87</v>
      </c>
      <c r="AK278" s="741"/>
      <c r="AL278" s="741">
        <v>120</v>
      </c>
      <c r="AM278" s="742">
        <v>2622</v>
      </c>
      <c r="AN278" s="743">
        <f t="shared" si="18"/>
        <v>0.83515850144092219</v>
      </c>
      <c r="AO278" s="744">
        <f t="shared" si="19"/>
        <v>0.95261194029850749</v>
      </c>
      <c r="AP278" s="745">
        <f>'09월 에너지'!S280</f>
        <v>144.9</v>
      </c>
    </row>
    <row r="279" spans="1:42" ht="16.5" customHeight="1">
      <c r="A279" s="999">
        <f>'09월 조업일지'!A279</f>
        <v>46275</v>
      </c>
      <c r="B279" s="1100">
        <f>'09월 조업일지'!B279</f>
        <v>46275</v>
      </c>
      <c r="C279" s="730">
        <f>'09월 조업일지'!G279</f>
        <v>85481</v>
      </c>
      <c r="D279" s="731" t="str">
        <f>'09월 조업일지'!E279</f>
        <v>C</v>
      </c>
      <c r="E279" s="1234" t="str">
        <f>'09월 조업일지'!F279</f>
        <v>A</v>
      </c>
      <c r="F279" s="1231" t="str">
        <f>'09월 에너지'!F281</f>
        <v>SS400-01</v>
      </c>
      <c r="G279" s="733">
        <v>7</v>
      </c>
      <c r="H279" s="734">
        <v>4</v>
      </c>
      <c r="I279" s="734">
        <v>24</v>
      </c>
      <c r="J279" s="734">
        <v>20</v>
      </c>
      <c r="K279" s="735">
        <v>36</v>
      </c>
      <c r="L279" s="734">
        <v>8</v>
      </c>
      <c r="M279" s="736">
        <v>7</v>
      </c>
      <c r="N279" s="737">
        <v>506</v>
      </c>
      <c r="O279" s="737"/>
      <c r="P279" s="737">
        <v>1300</v>
      </c>
      <c r="Q279" s="737">
        <v>1510</v>
      </c>
      <c r="R279" s="737"/>
      <c r="S279" s="737"/>
      <c r="T279" s="737">
        <v>67</v>
      </c>
      <c r="U279" s="738"/>
      <c r="V279" s="739">
        <v>0</v>
      </c>
      <c r="W279" s="737"/>
      <c r="X279" s="737">
        <v>0</v>
      </c>
      <c r="Y279" s="737">
        <v>0</v>
      </c>
      <c r="Z279" s="1202"/>
      <c r="AA279" s="740"/>
      <c r="AB279" s="739"/>
      <c r="AC279" s="741"/>
      <c r="AD279" s="741">
        <v>0</v>
      </c>
      <c r="AE279" s="741">
        <v>0</v>
      </c>
      <c r="AF279" s="741"/>
      <c r="AG279" s="741">
        <v>0</v>
      </c>
      <c r="AH279" s="741">
        <v>452</v>
      </c>
      <c r="AI279" s="741">
        <v>626</v>
      </c>
      <c r="AJ279" s="741">
        <v>0</v>
      </c>
      <c r="AK279" s="741"/>
      <c r="AL279" s="741">
        <v>0</v>
      </c>
      <c r="AM279" s="742">
        <v>3018</v>
      </c>
      <c r="AN279" s="743">
        <f t="shared" si="18"/>
        <v>9.1196724362553522E-2</v>
      </c>
      <c r="AO279" s="744">
        <f t="shared" si="19"/>
        <v>0.34845132743362833</v>
      </c>
      <c r="AP279" s="745">
        <f>'09월 에너지'!S281</f>
        <v>122.5</v>
      </c>
    </row>
    <row r="280" spans="1:42" ht="16.5" customHeight="1">
      <c r="A280" s="999">
        <f>'09월 조업일지'!A280</f>
        <v>46275</v>
      </c>
      <c r="B280" s="1100">
        <f>'09월 조업일지'!B280</f>
        <v>46275</v>
      </c>
      <c r="C280" s="730">
        <f>'09월 조업일지'!G280</f>
        <v>85482</v>
      </c>
      <c r="D280" s="731" t="str">
        <f>'09월 조업일지'!E280</f>
        <v>D</v>
      </c>
      <c r="E280" s="732" t="str">
        <f>'09월 조업일지'!F280</f>
        <v>A</v>
      </c>
      <c r="F280" s="1231" t="str">
        <f>'09월 에너지'!F282</f>
        <v>SS400-02</v>
      </c>
      <c r="G280" s="733">
        <v>7</v>
      </c>
      <c r="H280" s="734">
        <v>16</v>
      </c>
      <c r="I280" s="734">
        <v>49</v>
      </c>
      <c r="J280" s="734">
        <v>12</v>
      </c>
      <c r="K280" s="735">
        <v>26</v>
      </c>
      <c r="L280" s="734">
        <v>8</v>
      </c>
      <c r="M280" s="736">
        <v>7</v>
      </c>
      <c r="N280" s="737">
        <v>619</v>
      </c>
      <c r="O280" s="737"/>
      <c r="P280" s="737">
        <v>1101</v>
      </c>
      <c r="Q280" s="737">
        <v>1005</v>
      </c>
      <c r="R280" s="737"/>
      <c r="S280" s="737"/>
      <c r="T280" s="737">
        <v>71</v>
      </c>
      <c r="U280" s="738"/>
      <c r="V280" s="739">
        <v>602</v>
      </c>
      <c r="W280" s="737"/>
      <c r="X280" s="737">
        <v>1101</v>
      </c>
      <c r="Y280" s="737">
        <v>1001</v>
      </c>
      <c r="Z280" s="1202">
        <v>57</v>
      </c>
      <c r="AA280" s="740"/>
      <c r="AB280" s="739"/>
      <c r="AC280" s="741"/>
      <c r="AD280" s="741">
        <v>250</v>
      </c>
      <c r="AE280" s="741">
        <v>327</v>
      </c>
      <c r="AF280" s="741"/>
      <c r="AG280" s="741">
        <v>95</v>
      </c>
      <c r="AH280" s="741">
        <v>754</v>
      </c>
      <c r="AI280" s="741">
        <v>271</v>
      </c>
      <c r="AJ280" s="741">
        <v>56</v>
      </c>
      <c r="AK280" s="741"/>
      <c r="AL280" s="741"/>
      <c r="AM280" s="742">
        <v>3045</v>
      </c>
      <c r="AN280" s="743">
        <f t="shared" si="18"/>
        <v>0.67671882408724515</v>
      </c>
      <c r="AO280" s="744">
        <f t="shared" si="19"/>
        <v>0.86191739295187586</v>
      </c>
      <c r="AP280" s="745">
        <f>'09월 에너지'!S282</f>
        <v>133.80000000000001</v>
      </c>
    </row>
    <row r="281" spans="1:42" ht="16.5" customHeight="1">
      <c r="A281" s="999">
        <f>'09월 조업일지'!A281</f>
        <v>46275</v>
      </c>
      <c r="B281" s="1100">
        <f>'09월 조업일지'!B281</f>
        <v>46275</v>
      </c>
      <c r="C281" s="730">
        <f>'09월 조업일지'!G281</f>
        <v>85483</v>
      </c>
      <c r="D281" s="731" t="str">
        <f>'09월 조업일지'!E281</f>
        <v>D</v>
      </c>
      <c r="E281" s="732" t="str">
        <f>'09월 조업일지'!F281</f>
        <v>A</v>
      </c>
      <c r="F281" s="1096" t="str">
        <f>'09월 에너지'!F283</f>
        <v>SS400-02</v>
      </c>
      <c r="G281" s="733">
        <v>8</v>
      </c>
      <c r="H281" s="734">
        <v>23</v>
      </c>
      <c r="I281" s="734">
        <v>51</v>
      </c>
      <c r="J281" s="734">
        <v>13</v>
      </c>
      <c r="K281" s="735">
        <v>26</v>
      </c>
      <c r="L281" s="734">
        <v>15</v>
      </c>
      <c r="M281" s="736">
        <v>10</v>
      </c>
      <c r="N281" s="737">
        <v>419</v>
      </c>
      <c r="O281" s="737"/>
      <c r="P281" s="737">
        <v>1150</v>
      </c>
      <c r="Q281" s="737">
        <v>951</v>
      </c>
      <c r="R281" s="737"/>
      <c r="S281" s="737"/>
      <c r="T281" s="737">
        <v>68</v>
      </c>
      <c r="U281" s="738"/>
      <c r="V281" s="739">
        <v>412</v>
      </c>
      <c r="W281" s="737"/>
      <c r="X281" s="737">
        <v>1150</v>
      </c>
      <c r="Y281" s="737">
        <v>902</v>
      </c>
      <c r="Z281" s="1202">
        <v>62</v>
      </c>
      <c r="AA281" s="740"/>
      <c r="AB281" s="739"/>
      <c r="AC281" s="741"/>
      <c r="AD281" s="741">
        <v>270</v>
      </c>
      <c r="AE281" s="741">
        <v>342</v>
      </c>
      <c r="AF281" s="741"/>
      <c r="AG281" s="741">
        <v>110</v>
      </c>
      <c r="AH281" s="741">
        <v>808</v>
      </c>
      <c r="AI281" s="741">
        <v>333</v>
      </c>
      <c r="AJ281" s="741">
        <v>81</v>
      </c>
      <c r="AK281" s="741"/>
      <c r="AL281" s="741">
        <v>120</v>
      </c>
      <c r="AM281" s="742">
        <v>2557</v>
      </c>
      <c r="AN281" s="743">
        <f t="shared" si="18"/>
        <v>0.86432133710742687</v>
      </c>
      <c r="AO281" s="744">
        <f t="shared" si="19"/>
        <v>0.88727015558698741</v>
      </c>
      <c r="AP281" s="745">
        <f>'09월 에너지'!S283</f>
        <v>139.4</v>
      </c>
    </row>
    <row r="282" spans="1:42" ht="16.5" customHeight="1">
      <c r="A282" s="999">
        <f>'09월 조업일지'!A282</f>
        <v>46275</v>
      </c>
      <c r="B282" s="1100">
        <f>'09월 조업일지'!B282</f>
        <v>46275</v>
      </c>
      <c r="C282" s="730">
        <f>'09월 조업일지'!G282</f>
        <v>85484</v>
      </c>
      <c r="D282" s="731" t="str">
        <f>'09월 조업일지'!E282</f>
        <v>D</v>
      </c>
      <c r="E282" s="732" t="str">
        <f>'09월 조업일지'!F282</f>
        <v>A</v>
      </c>
      <c r="F282" s="1096" t="str">
        <f>'09월 에너지'!F284</f>
        <v>SS400-02</v>
      </c>
      <c r="G282" s="733">
        <v>6</v>
      </c>
      <c r="H282" s="734">
        <v>21</v>
      </c>
      <c r="I282" s="734">
        <v>49</v>
      </c>
      <c r="J282" s="734">
        <v>12</v>
      </c>
      <c r="K282" s="735">
        <v>25</v>
      </c>
      <c r="L282" s="734">
        <v>11</v>
      </c>
      <c r="M282" s="736">
        <v>11</v>
      </c>
      <c r="N282" s="737">
        <v>416</v>
      </c>
      <c r="O282" s="737"/>
      <c r="P282" s="737">
        <v>1151</v>
      </c>
      <c r="Q282" s="737">
        <v>952</v>
      </c>
      <c r="R282" s="737"/>
      <c r="S282" s="737"/>
      <c r="T282" s="737">
        <v>67</v>
      </c>
      <c r="U282" s="738"/>
      <c r="V282" s="739">
        <v>415</v>
      </c>
      <c r="W282" s="737"/>
      <c r="X282" s="737">
        <v>1150</v>
      </c>
      <c r="Y282" s="737">
        <v>900</v>
      </c>
      <c r="Z282" s="1202">
        <v>65</v>
      </c>
      <c r="AA282" s="740"/>
      <c r="AB282" s="739"/>
      <c r="AC282" s="741"/>
      <c r="AD282" s="741">
        <v>270</v>
      </c>
      <c r="AE282" s="741">
        <v>338</v>
      </c>
      <c r="AF282" s="741"/>
      <c r="AG282" s="741">
        <v>110</v>
      </c>
      <c r="AH282" s="741">
        <v>811</v>
      </c>
      <c r="AI282" s="741">
        <v>330</v>
      </c>
      <c r="AJ282" s="741">
        <v>81</v>
      </c>
      <c r="AK282" s="741"/>
      <c r="AL282" s="741">
        <v>138</v>
      </c>
      <c r="AM282" s="742">
        <v>3334</v>
      </c>
      <c r="AN282" s="743">
        <f t="shared" si="18"/>
        <v>0.82486793986184481</v>
      </c>
      <c r="AO282" s="744">
        <f t="shared" si="19"/>
        <v>0.86841641712171935</v>
      </c>
      <c r="AP282" s="745">
        <f>'09월 에너지'!S284</f>
        <v>145</v>
      </c>
    </row>
    <row r="283" spans="1:42" ht="16.5" customHeight="1">
      <c r="A283" s="999">
        <f>'09월 조업일지'!A283</f>
        <v>46275</v>
      </c>
      <c r="B283" s="1100">
        <f>'09월 조업일지'!B283</f>
        <v>46275</v>
      </c>
      <c r="C283" s="730">
        <f>'09월 조업일지'!G283</f>
        <v>85485</v>
      </c>
      <c r="D283" s="731" t="str">
        <f>'09월 조업일지'!E283</f>
        <v>D</v>
      </c>
      <c r="E283" s="732" t="str">
        <f>'09월 조업일지'!F283</f>
        <v>B</v>
      </c>
      <c r="F283" s="1096" t="str">
        <f>'09월 에너지'!F285</f>
        <v>SS400-02</v>
      </c>
      <c r="G283" s="733">
        <v>9</v>
      </c>
      <c r="H283" s="734">
        <v>22</v>
      </c>
      <c r="I283" s="734">
        <v>57</v>
      </c>
      <c r="J283" s="734">
        <v>15</v>
      </c>
      <c r="K283" s="735">
        <v>28</v>
      </c>
      <c r="L283" s="734">
        <v>8</v>
      </c>
      <c r="M283" s="736">
        <v>8</v>
      </c>
      <c r="N283" s="737">
        <v>609</v>
      </c>
      <c r="O283" s="737"/>
      <c r="P283" s="737">
        <v>1100</v>
      </c>
      <c r="Q283" s="737">
        <v>1001</v>
      </c>
      <c r="R283" s="737"/>
      <c r="S283" s="737"/>
      <c r="T283" s="737">
        <v>65</v>
      </c>
      <c r="U283" s="738"/>
      <c r="V283" s="739">
        <v>608</v>
      </c>
      <c r="W283" s="737"/>
      <c r="X283" s="737">
        <v>1100</v>
      </c>
      <c r="Y283" s="737">
        <v>1003</v>
      </c>
      <c r="Z283" s="1202">
        <v>60</v>
      </c>
      <c r="AA283" s="740"/>
      <c r="AB283" s="739"/>
      <c r="AC283" s="741"/>
      <c r="AD283" s="741">
        <v>250</v>
      </c>
      <c r="AE283" s="741">
        <v>329</v>
      </c>
      <c r="AF283" s="741"/>
      <c r="AG283" s="741">
        <v>95</v>
      </c>
      <c r="AH283" s="741">
        <v>759</v>
      </c>
      <c r="AI283" s="741">
        <v>276</v>
      </c>
      <c r="AJ283" s="741">
        <v>53</v>
      </c>
      <c r="AK283" s="741"/>
      <c r="AL283" s="741">
        <v>117</v>
      </c>
      <c r="AM283" s="742">
        <v>2918</v>
      </c>
      <c r="AN283" s="743">
        <f t="shared" si="18"/>
        <v>0.91743805516596533</v>
      </c>
      <c r="AO283" s="744">
        <f t="shared" si="19"/>
        <v>1.057707509881423</v>
      </c>
      <c r="AP283" s="745">
        <f>'09월 에너지'!S285</f>
        <v>133.80000000000001</v>
      </c>
    </row>
    <row r="284" spans="1:42" ht="16.5" customHeight="1">
      <c r="A284" s="999">
        <f>'09월 조업일지'!A284</f>
        <v>46275</v>
      </c>
      <c r="B284" s="1100">
        <f>'09월 조업일지'!B284</f>
        <v>46275</v>
      </c>
      <c r="C284" s="730">
        <f>'09월 조업일지'!G284</f>
        <v>85486</v>
      </c>
      <c r="D284" s="731" t="str">
        <f>'09월 조업일지'!E284</f>
        <v>D</v>
      </c>
      <c r="E284" s="732" t="str">
        <f>'09월 조업일지'!F284</f>
        <v>A</v>
      </c>
      <c r="F284" s="1231" t="str">
        <f>'09월 에너지'!F286</f>
        <v>SHN275(BB)</v>
      </c>
      <c r="G284" s="733">
        <v>7</v>
      </c>
      <c r="H284" s="734">
        <v>18</v>
      </c>
      <c r="I284" s="734">
        <v>48</v>
      </c>
      <c r="J284" s="734">
        <v>14</v>
      </c>
      <c r="K284" s="735">
        <v>25</v>
      </c>
      <c r="L284" s="734">
        <v>11</v>
      </c>
      <c r="M284" s="736">
        <v>11</v>
      </c>
      <c r="N284" s="737">
        <v>412</v>
      </c>
      <c r="O284" s="737"/>
      <c r="P284" s="737">
        <v>1001</v>
      </c>
      <c r="Q284" s="737">
        <v>951</v>
      </c>
      <c r="R284" s="737"/>
      <c r="S284" s="737"/>
      <c r="T284" s="737"/>
      <c r="U284" s="738"/>
      <c r="V284" s="739">
        <v>411</v>
      </c>
      <c r="W284" s="737"/>
      <c r="X284" s="737">
        <v>1001</v>
      </c>
      <c r="Y284" s="737">
        <v>905</v>
      </c>
      <c r="Z284" s="1202"/>
      <c r="AA284" s="740"/>
      <c r="AB284" s="739"/>
      <c r="AC284" s="741"/>
      <c r="AD284" s="741">
        <v>270</v>
      </c>
      <c r="AE284" s="741">
        <v>458</v>
      </c>
      <c r="AF284" s="741"/>
      <c r="AG284" s="741">
        <v>95</v>
      </c>
      <c r="AH284" s="741">
        <v>853</v>
      </c>
      <c r="AI284" s="741">
        <v>293</v>
      </c>
      <c r="AJ284" s="741">
        <v>90</v>
      </c>
      <c r="AK284" s="741"/>
      <c r="AL284" s="741"/>
      <c r="AM284" s="742">
        <v>2369</v>
      </c>
      <c r="AN284" s="743">
        <f t="shared" si="18"/>
        <v>0.74805867126833481</v>
      </c>
      <c r="AO284" s="744">
        <f t="shared" si="19"/>
        <v>0.79860994808239838</v>
      </c>
      <c r="AP284" s="745">
        <f>'09월 에너지'!S286</f>
        <v>144.5</v>
      </c>
    </row>
    <row r="285" spans="1:42" ht="16.5" customHeight="1">
      <c r="A285" s="999">
        <f>'09월 조업일지'!A285</f>
        <v>46275</v>
      </c>
      <c r="B285" s="1100">
        <f>'09월 조업일지'!B285</f>
        <v>46275</v>
      </c>
      <c r="C285" s="730">
        <f>'09월 조업일지'!G285</f>
        <v>85487</v>
      </c>
      <c r="D285" s="731" t="str">
        <f>'09월 조업일지'!E285</f>
        <v>B</v>
      </c>
      <c r="E285" s="732" t="str">
        <f>'09월 조업일지'!F285</f>
        <v>B</v>
      </c>
      <c r="F285" s="1096" t="str">
        <f>'09월 에너지'!F287</f>
        <v>SHN275(BB)</v>
      </c>
      <c r="G285" s="733">
        <v>8</v>
      </c>
      <c r="H285" s="734">
        <v>21</v>
      </c>
      <c r="I285" s="734">
        <v>53</v>
      </c>
      <c r="J285" s="734">
        <v>13</v>
      </c>
      <c r="K285" s="735">
        <v>25</v>
      </c>
      <c r="L285" s="734">
        <v>12</v>
      </c>
      <c r="M285" s="736">
        <v>9</v>
      </c>
      <c r="N285" s="737">
        <v>402</v>
      </c>
      <c r="O285" s="737"/>
      <c r="P285" s="737">
        <v>1000</v>
      </c>
      <c r="Q285" s="737">
        <v>952</v>
      </c>
      <c r="R285" s="737"/>
      <c r="S285" s="737"/>
      <c r="T285" s="737"/>
      <c r="U285" s="738"/>
      <c r="V285" s="739">
        <v>416</v>
      </c>
      <c r="W285" s="737"/>
      <c r="X285" s="737">
        <v>1000</v>
      </c>
      <c r="Y285" s="737">
        <v>903</v>
      </c>
      <c r="Z285" s="1202"/>
      <c r="AA285" s="740"/>
      <c r="AB285" s="739"/>
      <c r="AC285" s="741"/>
      <c r="AD285" s="741">
        <v>270</v>
      </c>
      <c r="AE285" s="741">
        <v>460</v>
      </c>
      <c r="AF285" s="741"/>
      <c r="AG285" s="741">
        <v>95</v>
      </c>
      <c r="AH285" s="741">
        <v>862</v>
      </c>
      <c r="AI285" s="741">
        <v>296</v>
      </c>
      <c r="AJ285" s="741">
        <v>90</v>
      </c>
      <c r="AK285" s="741"/>
      <c r="AL285" s="741"/>
      <c r="AM285" s="742">
        <v>2027</v>
      </c>
      <c r="AN285" s="743">
        <f t="shared" si="18"/>
        <v>0.86319385140905225</v>
      </c>
      <c r="AO285" s="744">
        <f t="shared" si="19"/>
        <v>0.90938017898574752</v>
      </c>
      <c r="AP285" s="745">
        <f>'09월 에너지'!S287</f>
        <v>144.4</v>
      </c>
    </row>
    <row r="286" spans="1:42" ht="16.5" customHeight="1">
      <c r="A286" s="999">
        <f>'09월 조업일지'!A286</f>
        <v>46275</v>
      </c>
      <c r="B286" s="1100">
        <f>'09월 조업일지'!B286</f>
        <v>46275</v>
      </c>
      <c r="C286" s="730">
        <f>'09월 조업일지'!G286</f>
        <v>85488</v>
      </c>
      <c r="D286" s="731" t="str">
        <f>'09월 조업일지'!E286</f>
        <v>B</v>
      </c>
      <c r="E286" s="732" t="str">
        <f>'09월 조업일지'!F286</f>
        <v>A</v>
      </c>
      <c r="F286" s="1096" t="str">
        <f>'09월 에너지'!F288</f>
        <v>SHN275(BB)</v>
      </c>
      <c r="G286" s="733">
        <v>7</v>
      </c>
      <c r="H286" s="734">
        <v>17</v>
      </c>
      <c r="I286" s="734">
        <v>50</v>
      </c>
      <c r="J286" s="734">
        <v>14</v>
      </c>
      <c r="K286" s="735">
        <v>31</v>
      </c>
      <c r="L286" s="734">
        <v>10</v>
      </c>
      <c r="M286" s="736">
        <v>9</v>
      </c>
      <c r="N286" s="737">
        <v>408</v>
      </c>
      <c r="O286" s="737"/>
      <c r="P286" s="737">
        <v>1001</v>
      </c>
      <c r="Q286" s="737">
        <v>951</v>
      </c>
      <c r="R286" s="737"/>
      <c r="S286" s="737"/>
      <c r="T286" s="737"/>
      <c r="U286" s="738"/>
      <c r="V286" s="739">
        <v>413</v>
      </c>
      <c r="W286" s="737"/>
      <c r="X286" s="737">
        <v>1001</v>
      </c>
      <c r="Y286" s="737">
        <v>902</v>
      </c>
      <c r="Z286" s="1202"/>
      <c r="AA286" s="740"/>
      <c r="AB286" s="739"/>
      <c r="AC286" s="741"/>
      <c r="AD286" s="741">
        <v>271</v>
      </c>
      <c r="AE286" s="741">
        <v>460</v>
      </c>
      <c r="AF286" s="741"/>
      <c r="AG286" s="741">
        <v>95</v>
      </c>
      <c r="AH286" s="741">
        <v>855</v>
      </c>
      <c r="AI286" s="741">
        <v>287</v>
      </c>
      <c r="AJ286" s="741">
        <v>92</v>
      </c>
      <c r="AK286" s="741"/>
      <c r="AL286" s="741"/>
      <c r="AM286" s="742">
        <v>2170</v>
      </c>
      <c r="AN286" s="743">
        <f t="shared" si="18"/>
        <v>0.72800582241630274</v>
      </c>
      <c r="AO286" s="744">
        <f t="shared" si="19"/>
        <v>0.86023391812865502</v>
      </c>
      <c r="AP286" s="745">
        <f>'09월 에너지'!S288</f>
        <v>147.1</v>
      </c>
    </row>
    <row r="287" spans="1:42" ht="16.5" customHeight="1">
      <c r="A287" s="999">
        <f>'09월 조업일지'!A287</f>
        <v>46275</v>
      </c>
      <c r="B287" s="1100">
        <f>'09월 조업일지'!B287</f>
        <v>46275</v>
      </c>
      <c r="C287" s="730">
        <f>'09월 조업일지'!G287</f>
        <v>85489</v>
      </c>
      <c r="D287" s="731" t="str">
        <f>'09월 조업일지'!E287</f>
        <v>B</v>
      </c>
      <c r="E287" s="732" t="str">
        <f>'09월 조업일지'!F287</f>
        <v>B</v>
      </c>
      <c r="F287" s="1096" t="str">
        <f>'09월 에너지'!F289</f>
        <v>SHN275(BB)</v>
      </c>
      <c r="G287" s="733">
        <v>9</v>
      </c>
      <c r="H287" s="734">
        <v>21</v>
      </c>
      <c r="I287" s="734">
        <v>51</v>
      </c>
      <c r="J287" s="734">
        <v>11</v>
      </c>
      <c r="K287" s="735">
        <v>29</v>
      </c>
      <c r="L287" s="734">
        <v>8</v>
      </c>
      <c r="M287" s="736">
        <v>8</v>
      </c>
      <c r="N287" s="737">
        <v>415</v>
      </c>
      <c r="O287" s="737"/>
      <c r="P287" s="737">
        <v>1000</v>
      </c>
      <c r="Q287" s="737">
        <v>951</v>
      </c>
      <c r="R287" s="737"/>
      <c r="S287" s="737"/>
      <c r="T287" s="737"/>
      <c r="U287" s="738"/>
      <c r="V287" s="739">
        <v>412</v>
      </c>
      <c r="W287" s="737"/>
      <c r="X287" s="737">
        <v>1000</v>
      </c>
      <c r="Y287" s="737">
        <v>902</v>
      </c>
      <c r="Z287" s="1202"/>
      <c r="AA287" s="740"/>
      <c r="AB287" s="739"/>
      <c r="AC287" s="741"/>
      <c r="AD287" s="741">
        <v>270</v>
      </c>
      <c r="AE287" s="741">
        <v>463</v>
      </c>
      <c r="AF287" s="741"/>
      <c r="AG287" s="741">
        <v>96</v>
      </c>
      <c r="AH287" s="741">
        <v>856</v>
      </c>
      <c r="AI287" s="741">
        <v>287</v>
      </c>
      <c r="AJ287" s="741">
        <v>99</v>
      </c>
      <c r="AK287" s="741"/>
      <c r="AL287" s="741"/>
      <c r="AM287" s="742">
        <v>1367</v>
      </c>
      <c r="AN287" s="743">
        <f t="shared" si="18"/>
        <v>0.88913138367525102</v>
      </c>
      <c r="AO287" s="744">
        <f t="shared" si="19"/>
        <v>0.87416555407209617</v>
      </c>
      <c r="AP287" s="745">
        <f>'09월 에너지'!S289</f>
        <v>145.5</v>
      </c>
    </row>
    <row r="288" spans="1:42" ht="16.5" customHeight="1">
      <c r="A288" s="999">
        <f>'09월 조업일지'!A288</f>
        <v>46275</v>
      </c>
      <c r="B288" s="1100">
        <f>'09월 조업일지'!B288</f>
        <v>46275</v>
      </c>
      <c r="C288" s="730">
        <f>'09월 조업일지'!G288</f>
        <v>85490</v>
      </c>
      <c r="D288" s="731" t="str">
        <f>'09월 조업일지'!E288</f>
        <v>B</v>
      </c>
      <c r="E288" s="732" t="str">
        <f>'09월 조업일지'!F288</f>
        <v>A</v>
      </c>
      <c r="F288" s="1096" t="str">
        <f>'09월 에너지'!F290</f>
        <v>SHN275(BB)</v>
      </c>
      <c r="G288" s="733">
        <v>7</v>
      </c>
      <c r="H288" s="734">
        <v>25</v>
      </c>
      <c r="I288" s="734">
        <v>49</v>
      </c>
      <c r="J288" s="734">
        <v>14</v>
      </c>
      <c r="K288" s="735">
        <v>28</v>
      </c>
      <c r="L288" s="734">
        <v>11</v>
      </c>
      <c r="M288" s="736">
        <v>9</v>
      </c>
      <c r="N288" s="737">
        <v>410</v>
      </c>
      <c r="O288" s="737"/>
      <c r="P288" s="737">
        <v>1000</v>
      </c>
      <c r="Q288" s="737">
        <v>952</v>
      </c>
      <c r="R288" s="737"/>
      <c r="S288" s="737"/>
      <c r="T288" s="737"/>
      <c r="U288" s="738"/>
      <c r="V288" s="739">
        <v>413</v>
      </c>
      <c r="W288" s="737"/>
      <c r="X288" s="737">
        <v>998</v>
      </c>
      <c r="Y288" s="737">
        <v>902</v>
      </c>
      <c r="Z288" s="1202"/>
      <c r="AA288" s="740"/>
      <c r="AB288" s="739"/>
      <c r="AC288" s="741"/>
      <c r="AD288" s="741">
        <v>270</v>
      </c>
      <c r="AE288" s="741">
        <v>456</v>
      </c>
      <c r="AF288" s="741"/>
      <c r="AG288" s="741">
        <v>95</v>
      </c>
      <c r="AH288" s="741">
        <v>852</v>
      </c>
      <c r="AI288" s="741">
        <v>399</v>
      </c>
      <c r="AJ288" s="741">
        <v>93</v>
      </c>
      <c r="AK288" s="741"/>
      <c r="AL288" s="741"/>
      <c r="AM288" s="742">
        <v>2410</v>
      </c>
      <c r="AN288" s="743">
        <f t="shared" si="18"/>
        <v>0.86465285095422084</v>
      </c>
      <c r="AO288" s="744">
        <f t="shared" si="19"/>
        <v>0.84201877934272307</v>
      </c>
      <c r="AP288" s="745">
        <f>'09월 에너지'!S290</f>
        <v>147.69999999999999</v>
      </c>
    </row>
    <row r="289" spans="1:42" ht="16.5" customHeight="1">
      <c r="A289" s="999">
        <f>'09월 조업일지'!A289</f>
        <v>46275</v>
      </c>
      <c r="B289" s="1100">
        <f>'09월 조업일지'!B289</f>
        <v>46275</v>
      </c>
      <c r="C289" s="730">
        <f>'09월 조업일지'!G289</f>
        <v>85491</v>
      </c>
      <c r="D289" s="731" t="str">
        <f>'09월 조업일지'!E289</f>
        <v>B</v>
      </c>
      <c r="E289" s="732" t="str">
        <f>'09월 조업일지'!F289</f>
        <v>B</v>
      </c>
      <c r="F289" s="1096" t="str">
        <f>'09월 에너지'!F291</f>
        <v>SHN275(BB)</v>
      </c>
      <c r="G289" s="733">
        <v>11</v>
      </c>
      <c r="H289" s="734">
        <v>20</v>
      </c>
      <c r="I289" s="734">
        <v>53</v>
      </c>
      <c r="J289" s="734">
        <v>14</v>
      </c>
      <c r="K289" s="735">
        <v>24</v>
      </c>
      <c r="L289" s="734">
        <v>8</v>
      </c>
      <c r="M289" s="736">
        <v>9</v>
      </c>
      <c r="N289" s="737">
        <v>416</v>
      </c>
      <c r="O289" s="737"/>
      <c r="P289" s="737">
        <v>1001</v>
      </c>
      <c r="Q289" s="737">
        <v>953</v>
      </c>
      <c r="R289" s="737"/>
      <c r="S289" s="737"/>
      <c r="T289" s="737"/>
      <c r="U289" s="738"/>
      <c r="V289" s="739">
        <v>407</v>
      </c>
      <c r="W289" s="737"/>
      <c r="X289" s="737">
        <v>1001</v>
      </c>
      <c r="Y289" s="737">
        <v>902</v>
      </c>
      <c r="Z289" s="1202"/>
      <c r="AA289" s="740"/>
      <c r="AB289" s="739"/>
      <c r="AC289" s="741"/>
      <c r="AD289" s="741">
        <v>271</v>
      </c>
      <c r="AE289" s="741">
        <v>461</v>
      </c>
      <c r="AF289" s="741"/>
      <c r="AG289" s="741">
        <v>95</v>
      </c>
      <c r="AH289" s="741">
        <v>853</v>
      </c>
      <c r="AI289" s="741">
        <v>288</v>
      </c>
      <c r="AJ289" s="741">
        <v>91</v>
      </c>
      <c r="AK289" s="741"/>
      <c r="AL289" s="741"/>
      <c r="AM289" s="742">
        <v>1986</v>
      </c>
      <c r="AN289" s="743">
        <f t="shared" si="18"/>
        <v>0.83849396714638746</v>
      </c>
      <c r="AO289" s="744">
        <f t="shared" si="19"/>
        <v>0.91770222743259111</v>
      </c>
      <c r="AP289" s="745">
        <f>'09월 에너지'!S291</f>
        <v>144.19999999999999</v>
      </c>
    </row>
    <row r="290" spans="1:42" ht="16.5" customHeight="1">
      <c r="A290" s="999">
        <f>'09월 조업일지'!A290</f>
        <v>46275</v>
      </c>
      <c r="B290" s="1100">
        <f>'09월 조업일지'!B290</f>
        <v>46275</v>
      </c>
      <c r="C290" s="730">
        <f>'09월 조업일지'!G290</f>
        <v>85492</v>
      </c>
      <c r="D290" s="731" t="str">
        <f>'09월 조업일지'!E290</f>
        <v>B</v>
      </c>
      <c r="E290" s="732" t="str">
        <f>'09월 조업일지'!F290</f>
        <v>A</v>
      </c>
      <c r="F290" s="1096" t="str">
        <f>'09월 에너지'!F292</f>
        <v>SHN275(BB)</v>
      </c>
      <c r="G290" s="733">
        <v>6</v>
      </c>
      <c r="H290" s="734">
        <v>18</v>
      </c>
      <c r="I290" s="734">
        <v>48</v>
      </c>
      <c r="J290" s="734">
        <v>13</v>
      </c>
      <c r="K290" s="735">
        <v>34</v>
      </c>
      <c r="L290" s="734">
        <v>10</v>
      </c>
      <c r="M290" s="736">
        <v>10</v>
      </c>
      <c r="N290" s="737">
        <v>418</v>
      </c>
      <c r="O290" s="737"/>
      <c r="P290" s="737">
        <v>1001</v>
      </c>
      <c r="Q290" s="737">
        <v>952</v>
      </c>
      <c r="R290" s="737"/>
      <c r="S290" s="737"/>
      <c r="T290" s="737"/>
      <c r="U290" s="738"/>
      <c r="V290" s="739">
        <v>412</v>
      </c>
      <c r="W290" s="737"/>
      <c r="X290" s="737">
        <v>1001</v>
      </c>
      <c r="Y290" s="737">
        <v>901</v>
      </c>
      <c r="Z290" s="1202"/>
      <c r="AA290" s="740"/>
      <c r="AB290" s="739"/>
      <c r="AC290" s="741"/>
      <c r="AD290" s="741">
        <v>271</v>
      </c>
      <c r="AE290" s="741">
        <v>458</v>
      </c>
      <c r="AF290" s="741"/>
      <c r="AG290" s="741">
        <v>96</v>
      </c>
      <c r="AH290" s="741">
        <v>847</v>
      </c>
      <c r="AI290" s="741">
        <v>288</v>
      </c>
      <c r="AJ290" s="741">
        <v>89</v>
      </c>
      <c r="AK290" s="741"/>
      <c r="AL290" s="741"/>
      <c r="AM290" s="742">
        <v>1665</v>
      </c>
      <c r="AN290" s="743">
        <f t="shared" si="18"/>
        <v>0.76659379099256675</v>
      </c>
      <c r="AO290" s="744">
        <f t="shared" si="19"/>
        <v>0.81317254174397036</v>
      </c>
      <c r="AP290" s="745">
        <f>'09월 에너지'!S292</f>
        <v>146.1</v>
      </c>
    </row>
    <row r="291" spans="1:42" ht="16.5" customHeight="1">
      <c r="A291" s="999">
        <f>'09월 조업일지'!A291</f>
        <v>46276</v>
      </c>
      <c r="B291" s="1100">
        <f>'09월 조업일지'!B291</f>
        <v>46275</v>
      </c>
      <c r="C291" s="730">
        <f>'09월 조업일지'!G291</f>
        <v>85493</v>
      </c>
      <c r="D291" s="731" t="str">
        <f>'09월 조업일지'!E291</f>
        <v>B</v>
      </c>
      <c r="E291" s="732" t="str">
        <f>'09월 조업일지'!F291</f>
        <v>B</v>
      </c>
      <c r="F291" s="1096" t="str">
        <f>'09월 에너지'!F293</f>
        <v>SHN275(BB)</v>
      </c>
      <c r="G291" s="733">
        <v>6</v>
      </c>
      <c r="H291" s="734">
        <v>18</v>
      </c>
      <c r="I291" s="734">
        <v>53</v>
      </c>
      <c r="J291" s="734">
        <v>14</v>
      </c>
      <c r="K291" s="735">
        <v>32</v>
      </c>
      <c r="L291" s="734">
        <v>10</v>
      </c>
      <c r="M291" s="736">
        <v>11</v>
      </c>
      <c r="N291" s="737">
        <v>407</v>
      </c>
      <c r="O291" s="737"/>
      <c r="P291" s="737">
        <v>1002</v>
      </c>
      <c r="Q291" s="737">
        <v>953</v>
      </c>
      <c r="R291" s="737"/>
      <c r="S291" s="737"/>
      <c r="T291" s="737"/>
      <c r="U291" s="738"/>
      <c r="V291" s="739">
        <v>417</v>
      </c>
      <c r="W291" s="737"/>
      <c r="X291" s="737">
        <v>1000</v>
      </c>
      <c r="Y291" s="737">
        <v>900</v>
      </c>
      <c r="Z291" s="1202"/>
      <c r="AA291" s="740"/>
      <c r="AB291" s="739"/>
      <c r="AC291" s="741"/>
      <c r="AD291" s="741">
        <v>270</v>
      </c>
      <c r="AE291" s="741">
        <v>460</v>
      </c>
      <c r="AF291" s="741"/>
      <c r="AG291" s="741">
        <v>95</v>
      </c>
      <c r="AH291" s="741">
        <v>846</v>
      </c>
      <c r="AI291" s="741">
        <v>288</v>
      </c>
      <c r="AJ291" s="741">
        <v>95</v>
      </c>
      <c r="AK291" s="741"/>
      <c r="AL291" s="741"/>
      <c r="AM291" s="742">
        <v>2879</v>
      </c>
      <c r="AN291" s="743">
        <f t="shared" si="18"/>
        <v>0.75748031496062995</v>
      </c>
      <c r="AO291" s="744">
        <f t="shared" si="19"/>
        <v>0.925937183383992</v>
      </c>
      <c r="AP291" s="745">
        <f>'09월 에너지'!S293</f>
        <v>144.30000000000001</v>
      </c>
    </row>
    <row r="292" spans="1:42" ht="16.5" customHeight="1">
      <c r="A292" s="999">
        <f>'09월 조업일지'!A292</f>
        <v>46276</v>
      </c>
      <c r="B292" s="1100">
        <f>'09월 조업일지'!B292</f>
        <v>46275</v>
      </c>
      <c r="C292" s="730">
        <f>'09월 조업일지'!G292</f>
        <v>85494</v>
      </c>
      <c r="D292" s="731" t="str">
        <f>'09월 조업일지'!E292</f>
        <v>B</v>
      </c>
      <c r="E292" s="732" t="str">
        <f>'09월 조업일지'!F292</f>
        <v>A</v>
      </c>
      <c r="F292" s="1096" t="str">
        <f>'09월 에너지'!F294</f>
        <v>SHN275(BB)</v>
      </c>
      <c r="G292" s="733">
        <v>7</v>
      </c>
      <c r="H292" s="734">
        <v>15</v>
      </c>
      <c r="I292" s="734">
        <v>52</v>
      </c>
      <c r="J292" s="734">
        <v>14</v>
      </c>
      <c r="K292" s="735">
        <v>37</v>
      </c>
      <c r="L292" s="734">
        <v>13</v>
      </c>
      <c r="M292" s="736">
        <v>11</v>
      </c>
      <c r="N292" s="737">
        <v>410</v>
      </c>
      <c r="O292" s="737"/>
      <c r="P292" s="737">
        <v>1001</v>
      </c>
      <c r="Q292" s="737">
        <v>951</v>
      </c>
      <c r="R292" s="737"/>
      <c r="S292" s="737"/>
      <c r="T292" s="737"/>
      <c r="U292" s="738"/>
      <c r="V292" s="739">
        <v>409</v>
      </c>
      <c r="W292" s="737"/>
      <c r="X292" s="737">
        <v>1000</v>
      </c>
      <c r="Y292" s="737">
        <v>902</v>
      </c>
      <c r="Z292" s="1202"/>
      <c r="AA292" s="740"/>
      <c r="AB292" s="739"/>
      <c r="AC292" s="741"/>
      <c r="AD292" s="741">
        <v>270</v>
      </c>
      <c r="AE292" s="741">
        <v>459</v>
      </c>
      <c r="AF292" s="741"/>
      <c r="AG292" s="741">
        <v>95</v>
      </c>
      <c r="AH292" s="741">
        <v>849</v>
      </c>
      <c r="AI292" s="741">
        <v>291</v>
      </c>
      <c r="AJ292" s="741">
        <v>87</v>
      </c>
      <c r="AK292" s="741"/>
      <c r="AL292" s="741"/>
      <c r="AM292" s="742">
        <v>1902</v>
      </c>
      <c r="AN292" s="743">
        <f t="shared" si="18"/>
        <v>0.63585069444444442</v>
      </c>
      <c r="AO292" s="744">
        <f t="shared" si="19"/>
        <v>0.91208144034999161</v>
      </c>
      <c r="AP292" s="745">
        <f>'09월 에너지'!S294</f>
        <v>146.5</v>
      </c>
    </row>
    <row r="293" spans="1:42" ht="16.5" customHeight="1">
      <c r="A293" s="999">
        <f>'09월 조업일지'!A293</f>
        <v>46276</v>
      </c>
      <c r="B293" s="1100">
        <f>'09월 조업일지'!B293</f>
        <v>46275</v>
      </c>
      <c r="C293" s="730">
        <f>'09월 조업일지'!G293</f>
        <v>85495</v>
      </c>
      <c r="D293" s="731" t="str">
        <f>'09월 조업일지'!E293</f>
        <v>B</v>
      </c>
      <c r="E293" s="732" t="str">
        <f>'09월 조업일지'!F293</f>
        <v>B</v>
      </c>
      <c r="F293" s="1096" t="str">
        <f>'09월 에너지'!F295</f>
        <v>SHN275(BB)</v>
      </c>
      <c r="G293" s="733">
        <v>8</v>
      </c>
      <c r="H293" s="734">
        <v>20</v>
      </c>
      <c r="I293" s="734">
        <v>49</v>
      </c>
      <c r="J293" s="734">
        <v>13</v>
      </c>
      <c r="K293" s="735">
        <v>27</v>
      </c>
      <c r="L293" s="734">
        <v>10</v>
      </c>
      <c r="M293" s="736">
        <v>11</v>
      </c>
      <c r="N293" s="737">
        <v>411</v>
      </c>
      <c r="O293" s="737"/>
      <c r="P293" s="737">
        <v>1000</v>
      </c>
      <c r="Q293" s="737">
        <v>952</v>
      </c>
      <c r="R293" s="737"/>
      <c r="S293" s="737"/>
      <c r="T293" s="737"/>
      <c r="U293" s="738"/>
      <c r="V293" s="739">
        <v>430</v>
      </c>
      <c r="W293" s="737"/>
      <c r="X293" s="737">
        <v>1000</v>
      </c>
      <c r="Y293" s="737">
        <v>903</v>
      </c>
      <c r="Z293" s="1202"/>
      <c r="AA293" s="740"/>
      <c r="AB293" s="739"/>
      <c r="AC293" s="741"/>
      <c r="AD293" s="741">
        <v>273</v>
      </c>
      <c r="AE293" s="741">
        <v>463</v>
      </c>
      <c r="AF293" s="741"/>
      <c r="AG293" s="741">
        <v>95</v>
      </c>
      <c r="AH293" s="741">
        <v>855</v>
      </c>
      <c r="AI293" s="741">
        <v>298</v>
      </c>
      <c r="AJ293" s="741">
        <v>92</v>
      </c>
      <c r="AK293" s="741"/>
      <c r="AL293" s="741"/>
      <c r="AM293" s="742">
        <v>1806</v>
      </c>
      <c r="AN293" s="743">
        <f t="shared" si="18"/>
        <v>0.82331201137171295</v>
      </c>
      <c r="AO293" s="744">
        <f t="shared" si="19"/>
        <v>0.82258980785296576</v>
      </c>
      <c r="AP293" s="745">
        <f>'09월 에너지'!S295</f>
        <v>144.80000000000001</v>
      </c>
    </row>
    <row r="294" spans="1:42" ht="16.5" customHeight="1">
      <c r="A294" s="999">
        <f>'09월 조업일지'!A294</f>
        <v>46276</v>
      </c>
      <c r="B294" s="1100">
        <f>'09월 조업일지'!B294</f>
        <v>46275</v>
      </c>
      <c r="C294" s="730">
        <f>'09월 조업일지'!G294</f>
        <v>85496</v>
      </c>
      <c r="D294" s="731" t="str">
        <f>'09월 조업일지'!E294</f>
        <v>B</v>
      </c>
      <c r="E294" s="732" t="str">
        <f>'09월 조업일지'!F294</f>
        <v>A</v>
      </c>
      <c r="F294" s="1096" t="str">
        <f>'09월 에너지'!F296</f>
        <v>SHN275(BB)</v>
      </c>
      <c r="G294" s="733">
        <v>8</v>
      </c>
      <c r="H294" s="734">
        <v>18</v>
      </c>
      <c r="I294" s="734">
        <v>51</v>
      </c>
      <c r="J294" s="734">
        <v>10</v>
      </c>
      <c r="K294" s="735">
        <v>28</v>
      </c>
      <c r="L294" s="734">
        <v>12</v>
      </c>
      <c r="M294" s="736">
        <v>12</v>
      </c>
      <c r="N294" s="737">
        <v>415</v>
      </c>
      <c r="O294" s="737"/>
      <c r="P294" s="737">
        <v>1004</v>
      </c>
      <c r="Q294" s="737">
        <v>952</v>
      </c>
      <c r="R294" s="737"/>
      <c r="S294" s="737"/>
      <c r="T294" s="737"/>
      <c r="U294" s="738"/>
      <c r="V294" s="739">
        <v>407</v>
      </c>
      <c r="W294" s="737"/>
      <c r="X294" s="737">
        <v>1005</v>
      </c>
      <c r="Y294" s="737">
        <v>901</v>
      </c>
      <c r="Z294" s="1202"/>
      <c r="AA294" s="740"/>
      <c r="AB294" s="739"/>
      <c r="AC294" s="741"/>
      <c r="AD294" s="741">
        <v>273</v>
      </c>
      <c r="AE294" s="741">
        <v>461</v>
      </c>
      <c r="AF294" s="741"/>
      <c r="AG294" s="741">
        <v>95</v>
      </c>
      <c r="AH294" s="741">
        <v>853</v>
      </c>
      <c r="AI294" s="741">
        <v>293</v>
      </c>
      <c r="AJ294" s="741">
        <v>87</v>
      </c>
      <c r="AK294" s="741"/>
      <c r="AL294" s="741"/>
      <c r="AM294" s="742">
        <v>1631</v>
      </c>
      <c r="AN294" s="743">
        <f t="shared" si="18"/>
        <v>0.76048317515099229</v>
      </c>
      <c r="AO294" s="744">
        <f t="shared" si="19"/>
        <v>0.88568079048735571</v>
      </c>
      <c r="AP294" s="745">
        <f>'09월 에너지'!S296</f>
        <v>146.9</v>
      </c>
    </row>
    <row r="295" spans="1:42" ht="16.5" customHeight="1">
      <c r="A295" s="999">
        <f>'09월 조업일지'!A295</f>
        <v>46276</v>
      </c>
      <c r="B295" s="1100">
        <f>'09월 조업일지'!B295</f>
        <v>46276</v>
      </c>
      <c r="C295" s="730">
        <f>'09월 조업일지'!G295</f>
        <v>85497</v>
      </c>
      <c r="D295" s="731" t="str">
        <f>'09월 조업일지'!E295</f>
        <v>C</v>
      </c>
      <c r="E295" s="732" t="str">
        <f>'09월 조업일지'!F295</f>
        <v>B</v>
      </c>
      <c r="F295" s="1096" t="str">
        <f>'09월 에너지'!F297</f>
        <v>SHN275(BB)</v>
      </c>
      <c r="G295" s="733">
        <v>8</v>
      </c>
      <c r="H295" s="734">
        <v>21</v>
      </c>
      <c r="I295" s="734">
        <v>50</v>
      </c>
      <c r="J295" s="734">
        <v>12</v>
      </c>
      <c r="K295" s="735">
        <v>31</v>
      </c>
      <c r="L295" s="734">
        <v>9</v>
      </c>
      <c r="M295" s="736">
        <v>12</v>
      </c>
      <c r="N295" s="737">
        <v>400</v>
      </c>
      <c r="O295" s="737"/>
      <c r="P295" s="737">
        <v>1003</v>
      </c>
      <c r="Q295" s="737">
        <v>951</v>
      </c>
      <c r="R295" s="737"/>
      <c r="S295" s="737"/>
      <c r="T295" s="737"/>
      <c r="U295" s="738"/>
      <c r="V295" s="739">
        <v>393</v>
      </c>
      <c r="W295" s="737"/>
      <c r="X295" s="737">
        <v>1002</v>
      </c>
      <c r="Y295" s="737">
        <v>901</v>
      </c>
      <c r="Z295" s="1202"/>
      <c r="AA295" s="740"/>
      <c r="AB295" s="739"/>
      <c r="AC295" s="741"/>
      <c r="AD295" s="741">
        <v>272</v>
      </c>
      <c r="AE295" s="741">
        <v>459</v>
      </c>
      <c r="AF295" s="741"/>
      <c r="AG295" s="741">
        <v>95</v>
      </c>
      <c r="AH295" s="741">
        <v>849</v>
      </c>
      <c r="AI295" s="741">
        <v>298</v>
      </c>
      <c r="AJ295" s="741">
        <v>90</v>
      </c>
      <c r="AK295" s="741"/>
      <c r="AL295" s="741"/>
      <c r="AM295" s="742">
        <v>2345</v>
      </c>
      <c r="AN295" s="743">
        <f t="shared" si="18"/>
        <v>0.8577169730654125</v>
      </c>
      <c r="AO295" s="744">
        <f t="shared" si="19"/>
        <v>0.84393404004711436</v>
      </c>
      <c r="AP295" s="745">
        <f>'09월 에너지'!S297</f>
        <v>143.30000000000001</v>
      </c>
    </row>
    <row r="296" spans="1:42" ht="16.5" customHeight="1">
      <c r="A296" s="999">
        <f>'09월 조업일지'!A296</f>
        <v>46276</v>
      </c>
      <c r="B296" s="1100">
        <f>'09월 조업일지'!B296</f>
        <v>46276</v>
      </c>
      <c r="C296" s="730">
        <f>'09월 조업일지'!G296</f>
        <v>85498</v>
      </c>
      <c r="D296" s="731" t="str">
        <f>'09월 조업일지'!E296</f>
        <v>C</v>
      </c>
      <c r="E296" s="732" t="str">
        <f>'09월 조업일지'!F296</f>
        <v>A</v>
      </c>
      <c r="F296" s="1096" t="str">
        <f>'09월 에너지'!F298</f>
        <v>SHN275(BB)</v>
      </c>
      <c r="G296" s="733">
        <v>10</v>
      </c>
      <c r="H296" s="734">
        <v>20</v>
      </c>
      <c r="I296" s="734">
        <v>51</v>
      </c>
      <c r="J296" s="734">
        <v>11</v>
      </c>
      <c r="K296" s="735">
        <v>22</v>
      </c>
      <c r="L296" s="734">
        <v>9</v>
      </c>
      <c r="M296" s="736">
        <v>10</v>
      </c>
      <c r="N296" s="737">
        <v>418</v>
      </c>
      <c r="O296" s="737"/>
      <c r="P296" s="737">
        <v>1001</v>
      </c>
      <c r="Q296" s="737">
        <v>951</v>
      </c>
      <c r="R296" s="737"/>
      <c r="S296" s="737"/>
      <c r="T296" s="737"/>
      <c r="U296" s="738"/>
      <c r="V296" s="739">
        <v>421</v>
      </c>
      <c r="W296" s="737"/>
      <c r="X296" s="737">
        <v>1002</v>
      </c>
      <c r="Y296" s="737">
        <v>903</v>
      </c>
      <c r="Z296" s="1202"/>
      <c r="AA296" s="740"/>
      <c r="AB296" s="739"/>
      <c r="AC296" s="741"/>
      <c r="AD296" s="741">
        <v>272</v>
      </c>
      <c r="AE296" s="741">
        <v>451</v>
      </c>
      <c r="AF296" s="741"/>
      <c r="AG296" s="741">
        <v>95</v>
      </c>
      <c r="AH296" s="741">
        <v>852</v>
      </c>
      <c r="AI296" s="741">
        <v>293</v>
      </c>
      <c r="AJ296" s="741">
        <v>87</v>
      </c>
      <c r="AK296" s="741"/>
      <c r="AL296" s="741"/>
      <c r="AM296" s="742">
        <v>1929</v>
      </c>
      <c r="AN296" s="743">
        <f t="shared" si="18"/>
        <v>0.8326859444684217</v>
      </c>
      <c r="AO296" s="744">
        <f t="shared" si="19"/>
        <v>0.87344064386317899</v>
      </c>
      <c r="AP296" s="745">
        <f>'09월 에너지'!S298</f>
        <v>144.69999999999999</v>
      </c>
    </row>
    <row r="297" spans="1:42" ht="16.5" customHeight="1">
      <c r="A297" s="999">
        <f>'09월 조업일지'!A297</f>
        <v>46276</v>
      </c>
      <c r="B297" s="1100">
        <f>'09월 조업일지'!B297</f>
        <v>46276</v>
      </c>
      <c r="C297" s="730">
        <f>'09월 조업일지'!G297</f>
        <v>85499</v>
      </c>
      <c r="D297" s="731" t="str">
        <f>'09월 조업일지'!E297</f>
        <v>C</v>
      </c>
      <c r="E297" s="732" t="str">
        <f>'09월 조업일지'!F297</f>
        <v>B</v>
      </c>
      <c r="F297" s="1096" t="str">
        <f>'09월 에너지'!F299</f>
        <v>SHN275(BB)</v>
      </c>
      <c r="G297" s="733">
        <v>7</v>
      </c>
      <c r="H297" s="734">
        <v>15</v>
      </c>
      <c r="I297" s="734">
        <v>50</v>
      </c>
      <c r="J297" s="734">
        <v>13</v>
      </c>
      <c r="K297" s="735">
        <v>34</v>
      </c>
      <c r="L297" s="734">
        <v>9</v>
      </c>
      <c r="M297" s="736">
        <v>12</v>
      </c>
      <c r="N297" s="737">
        <v>414</v>
      </c>
      <c r="O297" s="737"/>
      <c r="P297" s="737">
        <v>1001</v>
      </c>
      <c r="Q297" s="737">
        <v>954</v>
      </c>
      <c r="R297" s="737"/>
      <c r="S297" s="737"/>
      <c r="T297" s="737"/>
      <c r="U297" s="738"/>
      <c r="V297" s="739">
        <v>418</v>
      </c>
      <c r="W297" s="737"/>
      <c r="X297" s="737">
        <v>1003</v>
      </c>
      <c r="Y297" s="737">
        <v>903</v>
      </c>
      <c r="Z297" s="1202"/>
      <c r="AA297" s="740"/>
      <c r="AB297" s="739"/>
      <c r="AC297" s="741"/>
      <c r="AD297" s="741">
        <v>273</v>
      </c>
      <c r="AE297" s="741">
        <v>461</v>
      </c>
      <c r="AF297" s="741"/>
      <c r="AG297" s="741">
        <v>96</v>
      </c>
      <c r="AH297" s="741">
        <v>851</v>
      </c>
      <c r="AI297" s="741">
        <v>293</v>
      </c>
      <c r="AJ297" s="741">
        <v>94</v>
      </c>
      <c r="AK297" s="741"/>
      <c r="AL297" s="741"/>
      <c r="AM297" s="742">
        <v>1572</v>
      </c>
      <c r="AN297" s="743">
        <f t="shared" si="18"/>
        <v>0.62046632124352341</v>
      </c>
      <c r="AO297" s="744">
        <f t="shared" si="19"/>
        <v>0.84430082256169225</v>
      </c>
      <c r="AP297" s="745">
        <f>'09월 에너지'!S299</f>
        <v>143.69999999999999</v>
      </c>
    </row>
    <row r="298" spans="1:42" ht="16.5" customHeight="1">
      <c r="A298" s="999">
        <f>'09월 조업일지'!A298</f>
        <v>46276</v>
      </c>
      <c r="B298" s="1100">
        <f>'09월 조업일지'!B298</f>
        <v>46276</v>
      </c>
      <c r="C298" s="730">
        <f>'09월 조업일지'!G298</f>
        <v>85500</v>
      </c>
      <c r="D298" s="731" t="str">
        <f>'09월 조업일지'!E298</f>
        <v>C</v>
      </c>
      <c r="E298" s="732" t="str">
        <f>'09월 조업일지'!F298</f>
        <v>A</v>
      </c>
      <c r="F298" s="1096" t="str">
        <f>'09월 에너지'!F300</f>
        <v>SHN275(BB)</v>
      </c>
      <c r="G298" s="733">
        <v>10</v>
      </c>
      <c r="H298" s="734">
        <v>22</v>
      </c>
      <c r="I298" s="734">
        <v>55</v>
      </c>
      <c r="J298" s="734">
        <v>11</v>
      </c>
      <c r="K298" s="735">
        <v>26</v>
      </c>
      <c r="L298" s="734">
        <v>13</v>
      </c>
      <c r="M298" s="736">
        <v>9</v>
      </c>
      <c r="N298" s="737">
        <v>420</v>
      </c>
      <c r="O298" s="737"/>
      <c r="P298" s="737">
        <v>1002</v>
      </c>
      <c r="Q298" s="737">
        <v>950</v>
      </c>
      <c r="R298" s="737"/>
      <c r="S298" s="737"/>
      <c r="T298" s="737"/>
      <c r="U298" s="738"/>
      <c r="V298" s="739">
        <v>418</v>
      </c>
      <c r="W298" s="737"/>
      <c r="X298" s="737">
        <v>1001</v>
      </c>
      <c r="Y298" s="737">
        <v>907</v>
      </c>
      <c r="Z298" s="1202"/>
      <c r="AA298" s="740"/>
      <c r="AB298" s="739"/>
      <c r="AC298" s="741"/>
      <c r="AD298" s="741">
        <v>270</v>
      </c>
      <c r="AE298" s="741">
        <v>460</v>
      </c>
      <c r="AF298" s="741"/>
      <c r="AG298" s="741">
        <v>95</v>
      </c>
      <c r="AH298" s="741">
        <v>950</v>
      </c>
      <c r="AI298" s="741">
        <v>295</v>
      </c>
      <c r="AJ298" s="741">
        <v>91</v>
      </c>
      <c r="AK298" s="741"/>
      <c r="AL298" s="741"/>
      <c r="AM298" s="742">
        <v>3088</v>
      </c>
      <c r="AN298" s="743">
        <f t="shared" si="18"/>
        <v>0.8763711340206185</v>
      </c>
      <c r="AO298" s="744">
        <f t="shared" si="19"/>
        <v>0.87157894736842112</v>
      </c>
      <c r="AP298" s="745">
        <f>'09월 에너지'!S300</f>
        <v>144.9</v>
      </c>
    </row>
    <row r="299" spans="1:42" ht="16.5" customHeight="1">
      <c r="A299" s="999">
        <f>'09월 조업일지'!A299</f>
        <v>46276</v>
      </c>
      <c r="B299" s="1100">
        <f>'09월 조업일지'!B299</f>
        <v>46276</v>
      </c>
      <c r="C299" s="730">
        <f>'09월 조업일지'!G299</f>
        <v>85501</v>
      </c>
      <c r="D299" s="731" t="str">
        <f>'09월 조업일지'!E299</f>
        <v>C</v>
      </c>
      <c r="E299" s="732" t="str">
        <f>'09월 조업일지'!F299</f>
        <v>B</v>
      </c>
      <c r="F299" s="1096" t="str">
        <f>'09월 에너지'!F301</f>
        <v>SHN275(BB)</v>
      </c>
      <c r="G299" s="733">
        <v>10</v>
      </c>
      <c r="H299" s="734">
        <v>21</v>
      </c>
      <c r="I299" s="734">
        <v>51</v>
      </c>
      <c r="J299" s="734">
        <v>12</v>
      </c>
      <c r="K299" s="735">
        <v>32</v>
      </c>
      <c r="L299" s="734">
        <v>11</v>
      </c>
      <c r="M299" s="736">
        <v>8</v>
      </c>
      <c r="N299" s="737">
        <v>415</v>
      </c>
      <c r="O299" s="737"/>
      <c r="P299" s="737">
        <v>1002</v>
      </c>
      <c r="Q299" s="737">
        <v>953</v>
      </c>
      <c r="R299" s="737"/>
      <c r="S299" s="737"/>
      <c r="T299" s="737"/>
      <c r="U299" s="738"/>
      <c r="V299" s="739">
        <v>416</v>
      </c>
      <c r="W299" s="737"/>
      <c r="X299" s="737">
        <v>1001</v>
      </c>
      <c r="Y299" s="737">
        <v>902</v>
      </c>
      <c r="Z299" s="1202"/>
      <c r="AA299" s="740"/>
      <c r="AB299" s="739"/>
      <c r="AC299" s="741"/>
      <c r="AD299" s="741">
        <v>272</v>
      </c>
      <c r="AE299" s="741">
        <v>453</v>
      </c>
      <c r="AF299" s="741"/>
      <c r="AG299" s="741">
        <v>95</v>
      </c>
      <c r="AH299" s="741">
        <v>860</v>
      </c>
      <c r="AI299" s="741">
        <v>289</v>
      </c>
      <c r="AJ299" s="741">
        <v>88</v>
      </c>
      <c r="AK299" s="741"/>
      <c r="AL299" s="741"/>
      <c r="AM299" s="742">
        <v>1793</v>
      </c>
      <c r="AN299" s="743">
        <f t="shared" si="18"/>
        <v>0.89223427331887206</v>
      </c>
      <c r="AO299" s="744">
        <f t="shared" si="19"/>
        <v>0.87847176079734224</v>
      </c>
      <c r="AP299" s="745">
        <f>'09월 에너지'!S301</f>
        <v>146.9</v>
      </c>
    </row>
    <row r="300" spans="1:42" ht="16.5" customHeight="1">
      <c r="A300" s="999">
        <f>'09월 조업일지'!A300</f>
        <v>46276</v>
      </c>
      <c r="B300" s="1100">
        <f>'09월 조업일지'!B300</f>
        <v>46276</v>
      </c>
      <c r="C300" s="730">
        <f>'09월 조업일지'!G300</f>
        <v>85502</v>
      </c>
      <c r="D300" s="731" t="str">
        <f>'09월 조업일지'!E300</f>
        <v>C</v>
      </c>
      <c r="E300" s="732" t="str">
        <f>'09월 조업일지'!F300</f>
        <v>A</v>
      </c>
      <c r="F300" s="1096" t="str">
        <f>'09월 에너지'!F302</f>
        <v>SHN275(BB)</v>
      </c>
      <c r="G300" s="733">
        <v>9</v>
      </c>
      <c r="H300" s="734">
        <v>19</v>
      </c>
      <c r="I300" s="734">
        <v>53</v>
      </c>
      <c r="J300" s="734">
        <v>12</v>
      </c>
      <c r="K300" s="735">
        <v>29</v>
      </c>
      <c r="L300" s="734">
        <v>10</v>
      </c>
      <c r="M300" s="736">
        <v>8</v>
      </c>
      <c r="N300" s="737">
        <v>412</v>
      </c>
      <c r="O300" s="737"/>
      <c r="P300" s="737">
        <v>1003</v>
      </c>
      <c r="Q300" s="737">
        <v>954</v>
      </c>
      <c r="R300" s="737"/>
      <c r="S300" s="737"/>
      <c r="T300" s="737"/>
      <c r="U300" s="738"/>
      <c r="V300" s="739">
        <v>412</v>
      </c>
      <c r="W300" s="737"/>
      <c r="X300" s="737">
        <v>1002</v>
      </c>
      <c r="Y300" s="737">
        <v>909</v>
      </c>
      <c r="Z300" s="1202"/>
      <c r="AA300" s="740"/>
      <c r="AB300" s="739"/>
      <c r="AC300" s="741"/>
      <c r="AD300" s="741">
        <v>273</v>
      </c>
      <c r="AE300" s="741">
        <v>456</v>
      </c>
      <c r="AF300" s="741"/>
      <c r="AG300" s="741">
        <v>95</v>
      </c>
      <c r="AH300" s="741">
        <v>851</v>
      </c>
      <c r="AI300" s="741">
        <v>289</v>
      </c>
      <c r="AJ300" s="741">
        <v>86</v>
      </c>
      <c r="AK300" s="741"/>
      <c r="AL300" s="741"/>
      <c r="AM300" s="742">
        <v>2044</v>
      </c>
      <c r="AN300" s="743">
        <f t="shared" si="18"/>
        <v>0.80711382113821151</v>
      </c>
      <c r="AO300" s="744">
        <f t="shared" si="19"/>
        <v>0.93325499412455959</v>
      </c>
      <c r="AP300" s="745">
        <f>'09월 에너지'!S302</f>
        <v>146.30000000000001</v>
      </c>
    </row>
    <row r="301" spans="1:42" ht="16.5" customHeight="1">
      <c r="A301" s="999">
        <f>'09월 조업일지'!A301</f>
        <v>46276</v>
      </c>
      <c r="B301" s="1100">
        <f>'09월 조업일지'!B301</f>
        <v>46276</v>
      </c>
      <c r="C301" s="730">
        <f>'09월 조업일지'!G301</f>
        <v>85503</v>
      </c>
      <c r="D301" s="731" t="str">
        <f>'09월 조업일지'!E301</f>
        <v>C</v>
      </c>
      <c r="E301" s="732" t="str">
        <f>'09월 조업일지'!F301</f>
        <v>B</v>
      </c>
      <c r="F301" s="1231" t="str">
        <f>'09월 에너지'!F303</f>
        <v>SS400-02</v>
      </c>
      <c r="G301" s="733">
        <v>9</v>
      </c>
      <c r="H301" s="734">
        <v>23</v>
      </c>
      <c r="I301" s="734">
        <v>56</v>
      </c>
      <c r="J301" s="734">
        <v>18</v>
      </c>
      <c r="K301" s="735">
        <v>32</v>
      </c>
      <c r="L301" s="734">
        <v>17</v>
      </c>
      <c r="M301" s="736">
        <v>10</v>
      </c>
      <c r="N301" s="737">
        <v>422</v>
      </c>
      <c r="O301" s="737"/>
      <c r="P301" s="737">
        <v>1006</v>
      </c>
      <c r="Q301" s="737">
        <v>953</v>
      </c>
      <c r="R301" s="737"/>
      <c r="S301" s="737"/>
      <c r="T301" s="737">
        <v>61</v>
      </c>
      <c r="U301" s="738"/>
      <c r="V301" s="739">
        <v>422</v>
      </c>
      <c r="W301" s="737"/>
      <c r="X301" s="737">
        <v>1001</v>
      </c>
      <c r="Y301" s="737">
        <v>901</v>
      </c>
      <c r="Z301" s="1202">
        <v>61</v>
      </c>
      <c r="AA301" s="740"/>
      <c r="AB301" s="739"/>
      <c r="AC301" s="741"/>
      <c r="AD301" s="741">
        <v>270</v>
      </c>
      <c r="AE301" s="741">
        <v>337</v>
      </c>
      <c r="AF301" s="741"/>
      <c r="AG301" s="741">
        <v>110</v>
      </c>
      <c r="AH301" s="741">
        <v>797</v>
      </c>
      <c r="AI301" s="741">
        <v>329</v>
      </c>
      <c r="AJ301" s="741">
        <v>79</v>
      </c>
      <c r="AK301" s="741"/>
      <c r="AL301" s="741">
        <v>118</v>
      </c>
      <c r="AM301" s="742">
        <v>3791</v>
      </c>
      <c r="AN301" s="743">
        <f t="shared" si="18"/>
        <v>0.9148512148512149</v>
      </c>
      <c r="AO301" s="744">
        <f t="shared" si="19"/>
        <v>1.0707474457788135</v>
      </c>
      <c r="AP301" s="745">
        <f>'09월 에너지'!S303</f>
        <v>145.69999999999999</v>
      </c>
    </row>
    <row r="302" spans="1:42" ht="16.5" customHeight="1">
      <c r="A302" s="999">
        <f>'09월 조업일지'!A302</f>
        <v>46276</v>
      </c>
      <c r="B302" s="1100">
        <f>'09월 조업일지'!B302</f>
        <v>46276</v>
      </c>
      <c r="C302" s="730">
        <f>'09월 조업일지'!G302</f>
        <v>85504</v>
      </c>
      <c r="D302" s="731" t="str">
        <f>'09월 조업일지'!E302</f>
        <v>C</v>
      </c>
      <c r="E302" s="732" t="str">
        <f>'09월 조업일지'!F302</f>
        <v>A</v>
      </c>
      <c r="F302" s="1096" t="str">
        <f>'09월 에너지'!F304</f>
        <v>SS400-02</v>
      </c>
      <c r="G302" s="733">
        <v>9</v>
      </c>
      <c r="H302" s="734">
        <v>21</v>
      </c>
      <c r="I302" s="734">
        <v>51</v>
      </c>
      <c r="J302" s="734">
        <v>12</v>
      </c>
      <c r="K302" s="735">
        <v>35</v>
      </c>
      <c r="L302" s="734">
        <v>14</v>
      </c>
      <c r="M302" s="736">
        <v>11</v>
      </c>
      <c r="N302" s="737">
        <v>412</v>
      </c>
      <c r="O302" s="737"/>
      <c r="P302" s="737">
        <v>1002</v>
      </c>
      <c r="Q302" s="737">
        <v>955</v>
      </c>
      <c r="R302" s="737"/>
      <c r="S302" s="737"/>
      <c r="T302" s="737">
        <v>69</v>
      </c>
      <c r="U302" s="738"/>
      <c r="V302" s="739">
        <v>414</v>
      </c>
      <c r="W302" s="737"/>
      <c r="X302" s="737">
        <v>1002</v>
      </c>
      <c r="Y302" s="737">
        <v>906</v>
      </c>
      <c r="Z302" s="1202">
        <v>66</v>
      </c>
      <c r="AA302" s="740"/>
      <c r="AB302" s="739"/>
      <c r="AC302" s="741"/>
      <c r="AD302" s="741">
        <v>272</v>
      </c>
      <c r="AE302" s="741">
        <v>337</v>
      </c>
      <c r="AF302" s="741"/>
      <c r="AG302" s="741">
        <v>110</v>
      </c>
      <c r="AH302" s="741">
        <v>802</v>
      </c>
      <c r="AI302" s="741">
        <v>328</v>
      </c>
      <c r="AJ302" s="741">
        <v>78</v>
      </c>
      <c r="AK302" s="741"/>
      <c r="AL302" s="741">
        <v>115</v>
      </c>
      <c r="AM302" s="742">
        <v>2021</v>
      </c>
      <c r="AN302" s="743">
        <f t="shared" si="18"/>
        <v>0.83988533988533975</v>
      </c>
      <c r="AO302" s="744">
        <f t="shared" si="19"/>
        <v>0.93943712148200931</v>
      </c>
      <c r="AP302" s="745">
        <f>'09월 에너지'!S304</f>
        <v>146.5</v>
      </c>
    </row>
    <row r="303" spans="1:42" ht="16.5" customHeight="1">
      <c r="A303" s="999">
        <f>'09월 조업일지'!A303</f>
        <v>46276</v>
      </c>
      <c r="B303" s="1100">
        <f>'09월 조업일지'!B303</f>
        <v>46276</v>
      </c>
      <c r="C303" s="730">
        <f>'09월 조업일지'!G303</f>
        <v>85505</v>
      </c>
      <c r="D303" s="731" t="str">
        <f>'09월 조업일지'!E303</f>
        <v>C</v>
      </c>
      <c r="E303" s="732" t="str">
        <f>'09월 조업일지'!F303</f>
        <v>B</v>
      </c>
      <c r="F303" s="1096" t="str">
        <f>'09월 에너지'!F305</f>
        <v>SS400-02</v>
      </c>
      <c r="G303" s="733">
        <v>9</v>
      </c>
      <c r="H303" s="734">
        <v>22</v>
      </c>
      <c r="I303" s="734">
        <v>48</v>
      </c>
      <c r="J303" s="734">
        <v>14</v>
      </c>
      <c r="K303" s="735">
        <v>29</v>
      </c>
      <c r="L303" s="734">
        <v>10</v>
      </c>
      <c r="M303" s="736">
        <v>11</v>
      </c>
      <c r="N303" s="737">
        <v>416</v>
      </c>
      <c r="O303" s="737"/>
      <c r="P303" s="737">
        <v>1002</v>
      </c>
      <c r="Q303" s="737">
        <v>953</v>
      </c>
      <c r="R303" s="737"/>
      <c r="S303" s="737"/>
      <c r="T303" s="737">
        <v>66</v>
      </c>
      <c r="U303" s="738"/>
      <c r="V303" s="739">
        <v>412</v>
      </c>
      <c r="W303" s="737"/>
      <c r="X303" s="737">
        <v>1002</v>
      </c>
      <c r="Y303" s="737">
        <v>902</v>
      </c>
      <c r="Z303" s="1202">
        <v>69</v>
      </c>
      <c r="AA303" s="740"/>
      <c r="AB303" s="739"/>
      <c r="AC303" s="741"/>
      <c r="AD303" s="741">
        <v>271</v>
      </c>
      <c r="AE303" s="741">
        <v>341</v>
      </c>
      <c r="AF303" s="741"/>
      <c r="AG303" s="741">
        <v>110</v>
      </c>
      <c r="AH303" s="741">
        <v>800</v>
      </c>
      <c r="AI303" s="741">
        <v>335</v>
      </c>
      <c r="AJ303" s="741">
        <v>83</v>
      </c>
      <c r="AK303" s="741"/>
      <c r="AL303" s="741">
        <v>127</v>
      </c>
      <c r="AM303" s="742">
        <v>1778</v>
      </c>
      <c r="AN303" s="743">
        <f t="shared" si="18"/>
        <v>0.86340740740740751</v>
      </c>
      <c r="AO303" s="744">
        <f t="shared" si="19"/>
        <v>0.85858928571428572</v>
      </c>
      <c r="AP303" s="745">
        <f>'09월 에너지'!S305</f>
        <v>145.69999999999999</v>
      </c>
    </row>
    <row r="304" spans="1:42" ht="16.5" customHeight="1">
      <c r="A304" s="999">
        <f>'09월 조업일지'!A304</f>
        <v>46276</v>
      </c>
      <c r="B304" s="1100">
        <f>'09월 조업일지'!B304</f>
        <v>46276</v>
      </c>
      <c r="C304" s="730">
        <f>'09월 조업일지'!G304</f>
        <v>85506</v>
      </c>
      <c r="D304" s="731" t="str">
        <f>'09월 조업일지'!E304</f>
        <v>C</v>
      </c>
      <c r="E304" s="732" t="str">
        <f>'09월 조업일지'!F304</f>
        <v>A</v>
      </c>
      <c r="F304" s="1096" t="str">
        <f>'09월 에너지'!F306</f>
        <v>SS400-02</v>
      </c>
      <c r="G304" s="733">
        <v>10</v>
      </c>
      <c r="H304" s="734">
        <v>22</v>
      </c>
      <c r="I304" s="734">
        <v>51</v>
      </c>
      <c r="J304" s="734">
        <v>13</v>
      </c>
      <c r="K304" s="735">
        <v>33</v>
      </c>
      <c r="L304" s="734">
        <v>13</v>
      </c>
      <c r="M304" s="736">
        <v>10</v>
      </c>
      <c r="N304" s="737">
        <v>419</v>
      </c>
      <c r="O304" s="737"/>
      <c r="P304" s="737">
        <v>1001</v>
      </c>
      <c r="Q304" s="737">
        <v>954</v>
      </c>
      <c r="R304" s="737"/>
      <c r="S304" s="737"/>
      <c r="T304" s="737">
        <v>69</v>
      </c>
      <c r="U304" s="738"/>
      <c r="V304" s="739">
        <v>420</v>
      </c>
      <c r="W304" s="737"/>
      <c r="X304" s="737">
        <v>1002</v>
      </c>
      <c r="Y304" s="737">
        <v>904</v>
      </c>
      <c r="Z304" s="1202">
        <v>69</v>
      </c>
      <c r="AA304" s="740"/>
      <c r="AB304" s="739"/>
      <c r="AC304" s="741"/>
      <c r="AD304" s="741">
        <v>272</v>
      </c>
      <c r="AE304" s="741">
        <v>342</v>
      </c>
      <c r="AF304" s="741"/>
      <c r="AG304" s="741">
        <v>110</v>
      </c>
      <c r="AH304" s="741">
        <v>800</v>
      </c>
      <c r="AI304" s="741">
        <v>329</v>
      </c>
      <c r="AJ304" s="741">
        <v>83</v>
      </c>
      <c r="AK304" s="741"/>
      <c r="AL304" s="741">
        <v>122</v>
      </c>
      <c r="AM304" s="742">
        <v>1672</v>
      </c>
      <c r="AN304" s="743">
        <f t="shared" si="18"/>
        <v>0.87520109066121343</v>
      </c>
      <c r="AO304" s="744">
        <f t="shared" si="19"/>
        <v>0.93792857142857144</v>
      </c>
      <c r="AP304" s="745">
        <f>'09월 에너지'!S306</f>
        <v>145.9</v>
      </c>
    </row>
    <row r="305" spans="1:42" ht="16.5" customHeight="1">
      <c r="A305" s="999">
        <f>'09월 조업일지'!A305</f>
        <v>46276</v>
      </c>
      <c r="B305" s="1100">
        <f>'09월 조업일지'!B305</f>
        <v>46276</v>
      </c>
      <c r="C305" s="730">
        <f>'09월 조업일지'!G305</f>
        <v>85507</v>
      </c>
      <c r="D305" s="731" t="str">
        <f>'09월 조업일지'!E305</f>
        <v>A</v>
      </c>
      <c r="E305" s="732" t="str">
        <f>'09월 조업일지'!F305</f>
        <v>B</v>
      </c>
      <c r="F305" s="1096" t="str">
        <f>'09월 에너지'!F307</f>
        <v>SS400-02</v>
      </c>
      <c r="G305" s="733">
        <v>12</v>
      </c>
      <c r="H305" s="734">
        <v>24</v>
      </c>
      <c r="I305" s="734">
        <v>48</v>
      </c>
      <c r="J305" s="734">
        <v>15</v>
      </c>
      <c r="K305" s="735">
        <v>35</v>
      </c>
      <c r="L305" s="734">
        <v>11</v>
      </c>
      <c r="M305" s="736">
        <v>9</v>
      </c>
      <c r="N305" s="737">
        <v>412</v>
      </c>
      <c r="O305" s="737"/>
      <c r="P305" s="737">
        <v>1001</v>
      </c>
      <c r="Q305" s="737">
        <v>952</v>
      </c>
      <c r="R305" s="737"/>
      <c r="S305" s="737"/>
      <c r="T305" s="737">
        <v>68</v>
      </c>
      <c r="U305" s="738"/>
      <c r="V305" s="739">
        <v>415</v>
      </c>
      <c r="W305" s="737"/>
      <c r="X305" s="737">
        <v>1001</v>
      </c>
      <c r="Y305" s="737">
        <v>901</v>
      </c>
      <c r="Z305" s="1202">
        <v>70</v>
      </c>
      <c r="AA305" s="740"/>
      <c r="AB305" s="739">
        <v>0</v>
      </c>
      <c r="AC305" s="741"/>
      <c r="AD305" s="741">
        <v>271</v>
      </c>
      <c r="AE305" s="741">
        <v>334</v>
      </c>
      <c r="AF305" s="741">
        <v>0</v>
      </c>
      <c r="AG305" s="741">
        <v>110</v>
      </c>
      <c r="AH305" s="741">
        <v>797</v>
      </c>
      <c r="AI305" s="741">
        <v>332</v>
      </c>
      <c r="AJ305" s="741">
        <v>82</v>
      </c>
      <c r="AK305" s="741">
        <v>0</v>
      </c>
      <c r="AL305" s="741">
        <v>133</v>
      </c>
      <c r="AM305" s="742">
        <v>2017</v>
      </c>
      <c r="AN305" s="743">
        <f t="shared" si="18"/>
        <v>0.96507936507936509</v>
      </c>
      <c r="AO305" s="744">
        <f t="shared" si="19"/>
        <v>0.87660871123857331</v>
      </c>
      <c r="AP305" s="745">
        <f>'09월 에너지'!S307</f>
        <v>148.19999999999999</v>
      </c>
    </row>
    <row r="306" spans="1:42" ht="16.5" customHeight="1">
      <c r="A306" s="999">
        <f>'09월 조업일지'!A306</f>
        <v>46276</v>
      </c>
      <c r="B306" s="1100">
        <f>'09월 조업일지'!B306</f>
        <v>46276</v>
      </c>
      <c r="C306" s="730">
        <f>'09월 조업일지'!G306</f>
        <v>85508</v>
      </c>
      <c r="D306" s="731" t="str">
        <f>'09월 조업일지'!E306</f>
        <v>A</v>
      </c>
      <c r="E306" s="732" t="str">
        <f>'09월 조업일지'!F306</f>
        <v>A</v>
      </c>
      <c r="F306" s="1096" t="str">
        <f>'09월 에너지'!F308</f>
        <v>SS400-02</v>
      </c>
      <c r="G306" s="733">
        <v>7</v>
      </c>
      <c r="H306" s="734">
        <v>18</v>
      </c>
      <c r="I306" s="734">
        <v>48</v>
      </c>
      <c r="J306" s="734">
        <v>14</v>
      </c>
      <c r="K306" s="735">
        <v>34</v>
      </c>
      <c r="L306" s="734">
        <v>13</v>
      </c>
      <c r="M306" s="736">
        <v>10</v>
      </c>
      <c r="N306" s="737">
        <v>415</v>
      </c>
      <c r="O306" s="737"/>
      <c r="P306" s="737">
        <v>1003</v>
      </c>
      <c r="Q306" s="737">
        <v>954</v>
      </c>
      <c r="R306" s="737"/>
      <c r="S306" s="737"/>
      <c r="T306" s="737">
        <v>63</v>
      </c>
      <c r="U306" s="738"/>
      <c r="V306" s="739">
        <v>422</v>
      </c>
      <c r="W306" s="737"/>
      <c r="X306" s="737">
        <v>1000</v>
      </c>
      <c r="Y306" s="737">
        <v>904</v>
      </c>
      <c r="Z306" s="1202">
        <v>67</v>
      </c>
      <c r="AA306" s="740"/>
      <c r="AB306" s="739">
        <v>0</v>
      </c>
      <c r="AC306" s="741"/>
      <c r="AD306" s="741">
        <v>271</v>
      </c>
      <c r="AE306" s="741">
        <v>338</v>
      </c>
      <c r="AF306" s="741">
        <v>0</v>
      </c>
      <c r="AG306" s="741">
        <v>110</v>
      </c>
      <c r="AH306" s="741">
        <v>798</v>
      </c>
      <c r="AI306" s="741">
        <v>328</v>
      </c>
      <c r="AJ306" s="741">
        <v>78</v>
      </c>
      <c r="AK306" s="741">
        <v>0</v>
      </c>
      <c r="AL306" s="741">
        <v>122</v>
      </c>
      <c r="AM306" s="742">
        <v>2590</v>
      </c>
      <c r="AN306" s="743">
        <f t="shared" si="18"/>
        <v>0.71665299425758822</v>
      </c>
      <c r="AO306" s="744">
        <f t="shared" si="19"/>
        <v>0.86015037593984978</v>
      </c>
      <c r="AP306" s="745">
        <f>'09월 에너지'!S308</f>
        <v>145.6</v>
      </c>
    </row>
    <row r="307" spans="1:42" ht="16.5" customHeight="1">
      <c r="A307" s="999">
        <f>'09월 조업일지'!A307</f>
        <v>46276</v>
      </c>
      <c r="B307" s="1100">
        <f>'09월 조업일지'!B307</f>
        <v>46276</v>
      </c>
      <c r="C307" s="730">
        <f>'09월 조업일지'!G307</f>
        <v>85509</v>
      </c>
      <c r="D307" s="731" t="str">
        <f>'09월 조업일지'!E307</f>
        <v>A</v>
      </c>
      <c r="E307" s="732" t="str">
        <f>'09월 조업일지'!F307</f>
        <v>B</v>
      </c>
      <c r="F307" s="1096" t="str">
        <f>'09월 에너지'!F309</f>
        <v>SS400-02</v>
      </c>
      <c r="G307" s="733">
        <v>11</v>
      </c>
      <c r="H307" s="734">
        <v>23</v>
      </c>
      <c r="I307" s="734">
        <v>50</v>
      </c>
      <c r="J307" s="734">
        <v>14</v>
      </c>
      <c r="K307" s="735">
        <v>39</v>
      </c>
      <c r="L307" s="734">
        <v>13</v>
      </c>
      <c r="M307" s="736">
        <v>25</v>
      </c>
      <c r="N307" s="737">
        <v>419</v>
      </c>
      <c r="O307" s="737"/>
      <c r="P307" s="737">
        <v>1002</v>
      </c>
      <c r="Q307" s="737">
        <v>953</v>
      </c>
      <c r="R307" s="737"/>
      <c r="S307" s="737"/>
      <c r="T307" s="737">
        <v>61</v>
      </c>
      <c r="U307" s="738"/>
      <c r="V307" s="739">
        <v>422</v>
      </c>
      <c r="W307" s="737"/>
      <c r="X307" s="737">
        <v>1001</v>
      </c>
      <c r="Y307" s="737">
        <v>903</v>
      </c>
      <c r="Z307" s="1202">
        <v>69</v>
      </c>
      <c r="AA307" s="740"/>
      <c r="AB307" s="739">
        <v>0</v>
      </c>
      <c r="AC307" s="741"/>
      <c r="AD307" s="741">
        <v>271</v>
      </c>
      <c r="AE307" s="741">
        <v>342</v>
      </c>
      <c r="AF307" s="741">
        <v>0</v>
      </c>
      <c r="AG307" s="741">
        <v>110</v>
      </c>
      <c r="AH307" s="741">
        <v>799</v>
      </c>
      <c r="AI307" s="741">
        <v>328</v>
      </c>
      <c r="AJ307" s="741">
        <v>79</v>
      </c>
      <c r="AK307" s="741">
        <v>0</v>
      </c>
      <c r="AL307" s="741">
        <v>129</v>
      </c>
      <c r="AM307" s="742">
        <v>2406</v>
      </c>
      <c r="AN307" s="743">
        <f t="shared" si="18"/>
        <v>0.92163454967883007</v>
      </c>
      <c r="AO307" s="744">
        <f t="shared" si="19"/>
        <v>0.9173967459324156</v>
      </c>
      <c r="AP307" s="745">
        <f>'09월 에너지'!S309</f>
        <v>146.6</v>
      </c>
    </row>
    <row r="308" spans="1:42" ht="16.5" customHeight="1">
      <c r="A308" s="999">
        <f>'09월 조업일지'!A308</f>
        <v>46276</v>
      </c>
      <c r="B308" s="1100">
        <f>'09월 조업일지'!B308</f>
        <v>46276</v>
      </c>
      <c r="C308" s="730">
        <f>'09월 조업일지'!G308</f>
        <v>85510</v>
      </c>
      <c r="D308" s="731" t="str">
        <f>'09월 조업일지'!E308</f>
        <v>A</v>
      </c>
      <c r="E308" s="732" t="str">
        <f>'09월 조업일지'!F308</f>
        <v>A</v>
      </c>
      <c r="F308" s="1096" t="str">
        <f>'09월 에너지'!F310</f>
        <v>SS400-02</v>
      </c>
      <c r="G308" s="733">
        <v>8</v>
      </c>
      <c r="H308" s="734">
        <v>25</v>
      </c>
      <c r="I308" s="734">
        <v>47</v>
      </c>
      <c r="J308" s="734">
        <v>13</v>
      </c>
      <c r="K308" s="735">
        <v>28</v>
      </c>
      <c r="L308" s="734">
        <v>11</v>
      </c>
      <c r="M308" s="736">
        <v>8</v>
      </c>
      <c r="N308" s="737">
        <v>412</v>
      </c>
      <c r="O308" s="737"/>
      <c r="P308" s="737">
        <v>1001</v>
      </c>
      <c r="Q308" s="737">
        <v>951</v>
      </c>
      <c r="R308" s="737"/>
      <c r="S308" s="737"/>
      <c r="T308" s="737">
        <v>70</v>
      </c>
      <c r="U308" s="738"/>
      <c r="V308" s="739">
        <v>413</v>
      </c>
      <c r="W308" s="737"/>
      <c r="X308" s="737">
        <v>1002</v>
      </c>
      <c r="Y308" s="737">
        <v>910</v>
      </c>
      <c r="Z308" s="1202">
        <v>63</v>
      </c>
      <c r="AA308" s="740"/>
      <c r="AB308" s="739">
        <v>0</v>
      </c>
      <c r="AC308" s="741"/>
      <c r="AD308" s="741">
        <v>272</v>
      </c>
      <c r="AE308" s="741">
        <v>339</v>
      </c>
      <c r="AF308" s="741">
        <v>0</v>
      </c>
      <c r="AG308" s="741">
        <v>110</v>
      </c>
      <c r="AH308" s="741">
        <v>800</v>
      </c>
      <c r="AI308" s="741">
        <v>425</v>
      </c>
      <c r="AJ308" s="741">
        <v>82</v>
      </c>
      <c r="AK308" s="741">
        <v>0</v>
      </c>
      <c r="AL308" s="741">
        <v>122</v>
      </c>
      <c r="AM308" s="742">
        <v>2482</v>
      </c>
      <c r="AN308" s="743">
        <f t="shared" si="18"/>
        <v>0.84330484330484334</v>
      </c>
      <c r="AO308" s="744">
        <f t="shared" si="19"/>
        <v>0.84571428571428575</v>
      </c>
      <c r="AP308" s="745">
        <f>'09월 에너지'!S310</f>
        <v>148</v>
      </c>
    </row>
    <row r="309" spans="1:42" ht="16.5" customHeight="1">
      <c r="A309" s="999">
        <f>'09월 조업일지'!A309</f>
        <v>46276</v>
      </c>
      <c r="B309" s="1100">
        <f>'09월 조업일지'!B309</f>
        <v>46276</v>
      </c>
      <c r="C309" s="730">
        <f>'09월 조업일지'!G309</f>
        <v>85511</v>
      </c>
      <c r="D309" s="731" t="str">
        <f>'09월 조업일지'!E309</f>
        <v>A</v>
      </c>
      <c r="E309" s="732" t="str">
        <f>'09월 조업일지'!F309</f>
        <v>B</v>
      </c>
      <c r="F309" s="1096" t="str">
        <f>'09월 에너지'!F311</f>
        <v>SS400-02</v>
      </c>
      <c r="G309" s="733">
        <v>9</v>
      </c>
      <c r="H309" s="734">
        <v>22</v>
      </c>
      <c r="I309" s="734">
        <v>54</v>
      </c>
      <c r="J309" s="734">
        <v>16</v>
      </c>
      <c r="K309" s="735">
        <v>39</v>
      </c>
      <c r="L309" s="734">
        <v>13</v>
      </c>
      <c r="M309" s="736">
        <v>13</v>
      </c>
      <c r="N309" s="737">
        <v>416</v>
      </c>
      <c r="O309" s="737"/>
      <c r="P309" s="737">
        <v>1002</v>
      </c>
      <c r="Q309" s="737">
        <v>953</v>
      </c>
      <c r="R309" s="737"/>
      <c r="S309" s="737"/>
      <c r="T309" s="737">
        <v>66</v>
      </c>
      <c r="U309" s="738"/>
      <c r="V309" s="739">
        <v>414</v>
      </c>
      <c r="W309" s="737"/>
      <c r="X309" s="737">
        <v>1002</v>
      </c>
      <c r="Y309" s="737">
        <v>901</v>
      </c>
      <c r="Z309" s="1202">
        <v>62</v>
      </c>
      <c r="AA309" s="740"/>
      <c r="AB309" s="739">
        <v>0</v>
      </c>
      <c r="AC309" s="741"/>
      <c r="AD309" s="741">
        <v>272</v>
      </c>
      <c r="AE309" s="741">
        <v>338</v>
      </c>
      <c r="AF309" s="741">
        <v>0</v>
      </c>
      <c r="AG309" s="741">
        <v>111</v>
      </c>
      <c r="AH309" s="741">
        <v>804</v>
      </c>
      <c r="AI309" s="741">
        <v>333</v>
      </c>
      <c r="AJ309" s="741">
        <v>82</v>
      </c>
      <c r="AK309" s="741">
        <v>0</v>
      </c>
      <c r="AL309" s="741">
        <v>116</v>
      </c>
      <c r="AM309" s="742">
        <v>2488</v>
      </c>
      <c r="AN309" s="743">
        <f t="shared" si="18"/>
        <v>0.87738625624409339</v>
      </c>
      <c r="AO309" s="744">
        <f t="shared" si="19"/>
        <v>1.0235074626865672</v>
      </c>
      <c r="AP309" s="745">
        <f>'09월 에너지'!S311</f>
        <v>147.69999999999999</v>
      </c>
    </row>
    <row r="310" spans="1:42" ht="16.5" customHeight="1">
      <c r="A310" s="999">
        <f>'09월 조업일지'!A310</f>
        <v>46276</v>
      </c>
      <c r="B310" s="1100">
        <f>'09월 조업일지'!B310</f>
        <v>46276</v>
      </c>
      <c r="C310" s="730">
        <f>'09월 조업일지'!G310</f>
        <v>85512</v>
      </c>
      <c r="D310" s="731" t="str">
        <f>'09월 조업일지'!E310</f>
        <v>A</v>
      </c>
      <c r="E310" s="732" t="str">
        <f>'09월 조업일지'!F310</f>
        <v>A</v>
      </c>
      <c r="F310" s="1096" t="str">
        <f>'09월 에너지'!F312</f>
        <v>SS400-02</v>
      </c>
      <c r="G310" s="733">
        <v>8</v>
      </c>
      <c r="H310" s="734">
        <v>23</v>
      </c>
      <c r="I310" s="734">
        <v>46</v>
      </c>
      <c r="J310" s="734">
        <v>14</v>
      </c>
      <c r="K310" s="735">
        <v>29</v>
      </c>
      <c r="L310" s="734">
        <v>13</v>
      </c>
      <c r="M310" s="736">
        <v>11</v>
      </c>
      <c r="N310" s="737">
        <v>614</v>
      </c>
      <c r="O310" s="737"/>
      <c r="P310" s="737">
        <v>1003</v>
      </c>
      <c r="Q310" s="737">
        <v>957</v>
      </c>
      <c r="R310" s="737"/>
      <c r="S310" s="737"/>
      <c r="T310" s="737">
        <v>73</v>
      </c>
      <c r="U310" s="738"/>
      <c r="V310" s="739">
        <v>620</v>
      </c>
      <c r="W310" s="737"/>
      <c r="X310" s="737">
        <v>1002</v>
      </c>
      <c r="Y310" s="737">
        <v>906</v>
      </c>
      <c r="Z310" s="1202">
        <v>68</v>
      </c>
      <c r="AA310" s="740"/>
      <c r="AB310" s="739">
        <v>0</v>
      </c>
      <c r="AC310" s="741"/>
      <c r="AD310" s="741">
        <v>271</v>
      </c>
      <c r="AE310" s="741">
        <v>340</v>
      </c>
      <c r="AF310" s="741">
        <v>0</v>
      </c>
      <c r="AG310" s="741">
        <v>110</v>
      </c>
      <c r="AH310" s="741">
        <v>799</v>
      </c>
      <c r="AI310" s="741">
        <v>436</v>
      </c>
      <c r="AJ310" s="741">
        <v>78</v>
      </c>
      <c r="AK310" s="741">
        <v>0</v>
      </c>
      <c r="AL310" s="741">
        <v>133</v>
      </c>
      <c r="AM310" s="742">
        <v>2455</v>
      </c>
      <c r="AN310" s="743">
        <f t="shared" si="18"/>
        <v>0.74324717466711421</v>
      </c>
      <c r="AO310" s="744">
        <f t="shared" si="19"/>
        <v>0.80035758984444849</v>
      </c>
      <c r="AP310" s="745">
        <f>'09월 에너지'!S312</f>
        <v>144.4</v>
      </c>
    </row>
    <row r="311" spans="1:42" ht="16.5" customHeight="1">
      <c r="A311" s="999">
        <f>'09월 조업일지'!A311</f>
        <v>46276</v>
      </c>
      <c r="B311" s="1100">
        <f>'09월 조업일지'!B311</f>
        <v>46276</v>
      </c>
      <c r="C311" s="730">
        <f>'09월 조업일지'!G311</f>
        <v>85513</v>
      </c>
      <c r="D311" s="731" t="str">
        <f>'09월 조업일지'!E311</f>
        <v>A</v>
      </c>
      <c r="E311" s="732" t="str">
        <f>'09월 조업일지'!F311</f>
        <v>B</v>
      </c>
      <c r="F311" s="1096" t="str">
        <f>'09월 에너지'!F313</f>
        <v>SS400-02</v>
      </c>
      <c r="G311" s="733">
        <v>9</v>
      </c>
      <c r="H311" s="734">
        <v>21</v>
      </c>
      <c r="I311" s="734">
        <v>50</v>
      </c>
      <c r="J311" s="734">
        <v>18</v>
      </c>
      <c r="K311" s="735">
        <v>45</v>
      </c>
      <c r="L311" s="734">
        <v>15</v>
      </c>
      <c r="M311" s="736">
        <v>17</v>
      </c>
      <c r="N311" s="737">
        <v>415</v>
      </c>
      <c r="O311" s="737"/>
      <c r="P311" s="737">
        <v>1001</v>
      </c>
      <c r="Q311" s="737">
        <v>955</v>
      </c>
      <c r="R311" s="737"/>
      <c r="S311" s="737"/>
      <c r="T311" s="737">
        <v>68</v>
      </c>
      <c r="U311" s="738"/>
      <c r="V311" s="739">
        <v>421</v>
      </c>
      <c r="W311" s="737"/>
      <c r="X311" s="737">
        <v>1001</v>
      </c>
      <c r="Y311" s="737">
        <v>901</v>
      </c>
      <c r="Z311" s="1202">
        <v>68</v>
      </c>
      <c r="AA311" s="740"/>
      <c r="AB311" s="739">
        <v>0</v>
      </c>
      <c r="AC311" s="741"/>
      <c r="AD311" s="741">
        <v>273</v>
      </c>
      <c r="AE311" s="741">
        <v>336</v>
      </c>
      <c r="AF311" s="741">
        <v>0</v>
      </c>
      <c r="AG311" s="741">
        <v>110</v>
      </c>
      <c r="AH311" s="741">
        <v>801</v>
      </c>
      <c r="AI311" s="741">
        <v>321</v>
      </c>
      <c r="AJ311" s="741">
        <v>77</v>
      </c>
      <c r="AK311" s="741">
        <v>0</v>
      </c>
      <c r="AL311" s="741">
        <v>130</v>
      </c>
      <c r="AM311" s="742">
        <v>2590</v>
      </c>
      <c r="AN311" s="743">
        <f t="shared" si="18"/>
        <v>0.8483790523690774</v>
      </c>
      <c r="AO311" s="744">
        <f t="shared" si="19"/>
        <v>0.91011235955056191</v>
      </c>
      <c r="AP311" s="745">
        <f>'09월 에너지'!S313</f>
        <v>145.80000000000001</v>
      </c>
    </row>
    <row r="312" spans="1:42" ht="16.5" customHeight="1">
      <c r="A312" s="999">
        <f>'09월 조업일지'!A312</f>
        <v>46276</v>
      </c>
      <c r="B312" s="1100">
        <f>'09월 조업일지'!B312</f>
        <v>46276</v>
      </c>
      <c r="C312" s="730">
        <f>'09월 조업일지'!G312</f>
        <v>85514</v>
      </c>
      <c r="D312" s="731" t="str">
        <f>'09월 조업일지'!E312</f>
        <v>A</v>
      </c>
      <c r="E312" s="732" t="str">
        <f>'09월 조업일지'!F312</f>
        <v>A</v>
      </c>
      <c r="F312" s="1096" t="str">
        <f>'09월 에너지'!F314</f>
        <v>SS400-02</v>
      </c>
      <c r="G312" s="733">
        <v>10</v>
      </c>
      <c r="H312" s="734">
        <v>20</v>
      </c>
      <c r="I312" s="734">
        <v>46</v>
      </c>
      <c r="J312" s="734">
        <v>14</v>
      </c>
      <c r="K312" s="735">
        <v>26</v>
      </c>
      <c r="L312" s="734">
        <v>13</v>
      </c>
      <c r="M312" s="736">
        <v>14</v>
      </c>
      <c r="N312" s="737">
        <v>616</v>
      </c>
      <c r="O312" s="737"/>
      <c r="P312" s="737">
        <v>1002</v>
      </c>
      <c r="Q312" s="737">
        <v>957</v>
      </c>
      <c r="R312" s="737"/>
      <c r="S312" s="737"/>
      <c r="T312" s="737">
        <v>67</v>
      </c>
      <c r="U312" s="738"/>
      <c r="V312" s="739">
        <v>614</v>
      </c>
      <c r="W312" s="737"/>
      <c r="X312" s="737">
        <v>1001</v>
      </c>
      <c r="Y312" s="737">
        <v>903</v>
      </c>
      <c r="Z312" s="1202">
        <v>65</v>
      </c>
      <c r="AA312" s="740"/>
      <c r="AB312" s="739">
        <v>0</v>
      </c>
      <c r="AC312" s="741"/>
      <c r="AD312" s="741">
        <v>270</v>
      </c>
      <c r="AE312" s="741">
        <v>339</v>
      </c>
      <c r="AF312" s="741">
        <v>0</v>
      </c>
      <c r="AG312" s="741">
        <v>110</v>
      </c>
      <c r="AH312" s="741">
        <v>795</v>
      </c>
      <c r="AI312" s="741">
        <v>330</v>
      </c>
      <c r="AJ312" s="741">
        <v>81</v>
      </c>
      <c r="AK312" s="741">
        <v>0</v>
      </c>
      <c r="AL312" s="741">
        <v>117</v>
      </c>
      <c r="AM312" s="742">
        <v>2545</v>
      </c>
      <c r="AN312" s="743">
        <f t="shared" si="18"/>
        <v>0.81036128152692566</v>
      </c>
      <c r="AO312" s="744">
        <f t="shared" si="19"/>
        <v>0.82778077268643313</v>
      </c>
      <c r="AP312" s="745">
        <f>'09월 에너지'!S314</f>
        <v>148.6</v>
      </c>
    </row>
    <row r="313" spans="1:42" ht="16.5" customHeight="1">
      <c r="A313" s="999">
        <f>'09월 조업일지'!A313</f>
        <v>46276</v>
      </c>
      <c r="B313" s="1100">
        <f>'09월 조업일지'!B313</f>
        <v>46276</v>
      </c>
      <c r="C313" s="730">
        <f>'09월 조업일지'!G313</f>
        <v>85515</v>
      </c>
      <c r="D313" s="731" t="str">
        <f>'09월 조업일지'!E313</f>
        <v>A</v>
      </c>
      <c r="E313" s="732" t="str">
        <f>'09월 조업일지'!F313</f>
        <v>B</v>
      </c>
      <c r="F313" s="1231" t="str">
        <f>'09월 에너지'!F315</f>
        <v>SHP355W</v>
      </c>
      <c r="G313" s="733">
        <v>12</v>
      </c>
      <c r="H313" s="734">
        <v>23</v>
      </c>
      <c r="I313" s="734">
        <v>127</v>
      </c>
      <c r="J313" s="734">
        <v>19</v>
      </c>
      <c r="K313" s="735">
        <v>32</v>
      </c>
      <c r="L313" s="734">
        <v>15</v>
      </c>
      <c r="M313" s="736">
        <v>18</v>
      </c>
      <c r="N313" s="737">
        <v>416</v>
      </c>
      <c r="O313" s="737"/>
      <c r="P313" s="737">
        <v>1002</v>
      </c>
      <c r="Q313" s="737">
        <v>954</v>
      </c>
      <c r="R313" s="737"/>
      <c r="S313" s="737"/>
      <c r="T313" s="737">
        <v>0</v>
      </c>
      <c r="U313" s="738"/>
      <c r="V313" s="739">
        <v>422</v>
      </c>
      <c r="W313" s="737"/>
      <c r="X313" s="737">
        <v>1002</v>
      </c>
      <c r="Y313" s="737">
        <v>905</v>
      </c>
      <c r="Z313" s="1202">
        <v>0</v>
      </c>
      <c r="AA313" s="740"/>
      <c r="AB313" s="739">
        <v>0</v>
      </c>
      <c r="AC313" s="741"/>
      <c r="AD313" s="741">
        <v>282</v>
      </c>
      <c r="AE313" s="741">
        <v>342</v>
      </c>
      <c r="AF313" s="741">
        <v>0</v>
      </c>
      <c r="AG313" s="741">
        <v>95</v>
      </c>
      <c r="AH313" s="741">
        <v>2350</v>
      </c>
      <c r="AI313" s="741">
        <v>0</v>
      </c>
      <c r="AJ313" s="741">
        <v>89</v>
      </c>
      <c r="AK313" s="741">
        <v>0</v>
      </c>
      <c r="AL313" s="741">
        <v>118</v>
      </c>
      <c r="AM313" s="742">
        <v>2634</v>
      </c>
      <c r="AN313" s="743">
        <f t="shared" si="18"/>
        <v>0.94283687943262418</v>
      </c>
      <c r="AO313" s="744">
        <f t="shared" si="19"/>
        <v>0.98382978723404257</v>
      </c>
      <c r="AP313" s="745">
        <f>'09월 에너지'!S315</f>
        <v>144.5</v>
      </c>
    </row>
    <row r="314" spans="1:42" ht="16.5" customHeight="1">
      <c r="A314" s="999">
        <f>'09월 조업일지'!A314</f>
        <v>46276</v>
      </c>
      <c r="B314" s="1100">
        <f>'09월 조업일지'!B314</f>
        <v>46276</v>
      </c>
      <c r="C314" s="730">
        <f>'09월 조업일지'!G314</f>
        <v>85516</v>
      </c>
      <c r="D314" s="731" t="str">
        <f>'09월 조업일지'!E314</f>
        <v>A</v>
      </c>
      <c r="E314" s="732" t="str">
        <f>'09월 조업일지'!F314</f>
        <v>A</v>
      </c>
      <c r="F314" s="1096" t="str">
        <f>'09월 에너지'!F316</f>
        <v>SHP355W</v>
      </c>
      <c r="G314" s="733">
        <v>13</v>
      </c>
      <c r="H314" s="734">
        <v>21</v>
      </c>
      <c r="I314" s="734">
        <v>120</v>
      </c>
      <c r="J314" s="734">
        <v>15</v>
      </c>
      <c r="K314" s="735">
        <v>32</v>
      </c>
      <c r="L314" s="734">
        <v>11</v>
      </c>
      <c r="M314" s="736">
        <v>10</v>
      </c>
      <c r="N314" s="737">
        <v>616</v>
      </c>
      <c r="O314" s="737"/>
      <c r="P314" s="737">
        <v>1003</v>
      </c>
      <c r="Q314" s="737">
        <v>959</v>
      </c>
      <c r="R314" s="737"/>
      <c r="S314" s="737"/>
      <c r="T314" s="737">
        <v>0</v>
      </c>
      <c r="U314" s="738"/>
      <c r="V314" s="739">
        <v>615</v>
      </c>
      <c r="W314" s="737"/>
      <c r="X314" s="737">
        <v>1002</v>
      </c>
      <c r="Y314" s="737">
        <v>910</v>
      </c>
      <c r="Z314" s="1202">
        <v>0</v>
      </c>
      <c r="AA314" s="740"/>
      <c r="AB314" s="739">
        <v>0</v>
      </c>
      <c r="AC314" s="741"/>
      <c r="AD314" s="741">
        <v>281</v>
      </c>
      <c r="AE314" s="741">
        <v>343</v>
      </c>
      <c r="AF314" s="741">
        <v>0</v>
      </c>
      <c r="AG314" s="741">
        <v>95</v>
      </c>
      <c r="AH314" s="741">
        <v>2342</v>
      </c>
      <c r="AI314" s="741">
        <v>0</v>
      </c>
      <c r="AJ314" s="741">
        <v>86</v>
      </c>
      <c r="AK314" s="741">
        <v>0</v>
      </c>
      <c r="AL314" s="741">
        <v>118</v>
      </c>
      <c r="AM314" s="742">
        <v>2758</v>
      </c>
      <c r="AN314" s="743">
        <f t="shared" si="18"/>
        <v>0.87694278394534586</v>
      </c>
      <c r="AO314" s="744">
        <f t="shared" si="19"/>
        <v>0.93958155422715628</v>
      </c>
      <c r="AP314" s="745">
        <f>'09월 에너지'!S316</f>
        <v>146.69999999999999</v>
      </c>
    </row>
    <row r="315" spans="1:42" ht="16.5" customHeight="1">
      <c r="A315" s="999">
        <f>'09월 조업일지'!A315</f>
        <v>46276</v>
      </c>
      <c r="B315" s="1100">
        <f>'09월 조업일지'!B315</f>
        <v>46276</v>
      </c>
      <c r="C315" s="730">
        <f>'09월 조업일지'!G315</f>
        <v>85517</v>
      </c>
      <c r="D315" s="731" t="str">
        <f>'09월 조업일지'!E315</f>
        <v>B</v>
      </c>
      <c r="E315" s="732" t="str">
        <f>'09월 조업일지'!F315</f>
        <v>B</v>
      </c>
      <c r="F315" s="1231" t="str">
        <f>'09월 에너지'!F317</f>
        <v>S355JO-01</v>
      </c>
      <c r="G315" s="733">
        <v>16</v>
      </c>
      <c r="H315" s="734">
        <v>24</v>
      </c>
      <c r="I315" s="734">
        <v>126</v>
      </c>
      <c r="J315" s="734">
        <v>19</v>
      </c>
      <c r="K315" s="735">
        <v>42</v>
      </c>
      <c r="L315" s="734">
        <v>16</v>
      </c>
      <c r="M315" s="736">
        <v>12</v>
      </c>
      <c r="N315" s="737">
        <v>416</v>
      </c>
      <c r="O315" s="737"/>
      <c r="P315" s="737">
        <v>1001</v>
      </c>
      <c r="Q315" s="737">
        <v>955</v>
      </c>
      <c r="R315" s="737"/>
      <c r="S315" s="737"/>
      <c r="T315" s="737"/>
      <c r="U315" s="738"/>
      <c r="V315" s="739">
        <v>415</v>
      </c>
      <c r="W315" s="737"/>
      <c r="X315" s="737">
        <v>1001</v>
      </c>
      <c r="Y315" s="737">
        <v>903</v>
      </c>
      <c r="Z315" s="1202"/>
      <c r="AA315" s="740"/>
      <c r="AB315" s="739"/>
      <c r="AC315" s="741"/>
      <c r="AD315" s="741">
        <v>281</v>
      </c>
      <c r="AE315" s="741">
        <v>339</v>
      </c>
      <c r="AF315" s="741"/>
      <c r="AG315" s="741">
        <v>95</v>
      </c>
      <c r="AH315" s="741">
        <v>2353</v>
      </c>
      <c r="AI315" s="741"/>
      <c r="AJ315" s="741">
        <v>84</v>
      </c>
      <c r="AK315" s="741"/>
      <c r="AL315" s="741">
        <v>122</v>
      </c>
      <c r="AM315" s="742">
        <v>2608</v>
      </c>
      <c r="AN315" s="743">
        <f t="shared" si="18"/>
        <v>0.9676158096047599</v>
      </c>
      <c r="AO315" s="744">
        <f t="shared" si="19"/>
        <v>0.95897638273328889</v>
      </c>
      <c r="AP315" s="745">
        <f>'09월 에너지'!S317</f>
        <v>142.30000000000001</v>
      </c>
    </row>
    <row r="316" spans="1:42" ht="16.5" customHeight="1">
      <c r="A316" s="999">
        <f>'09월 조업일지'!A316</f>
        <v>46276</v>
      </c>
      <c r="B316" s="1100">
        <f>'09월 조업일지'!B316</f>
        <v>46276</v>
      </c>
      <c r="C316" s="730">
        <f>'09월 조업일지'!G316</f>
        <v>85518</v>
      </c>
      <c r="D316" s="731" t="str">
        <f>'09월 조업일지'!E316</f>
        <v>B</v>
      </c>
      <c r="E316" s="732" t="str">
        <f>'09월 조업일지'!F316</f>
        <v>A</v>
      </c>
      <c r="F316" s="1096" t="str">
        <f>'09월 에너지'!F318</f>
        <v>S355JO-01</v>
      </c>
      <c r="G316" s="733">
        <v>11</v>
      </c>
      <c r="H316" s="734">
        <v>25</v>
      </c>
      <c r="I316" s="734">
        <v>123</v>
      </c>
      <c r="J316" s="734">
        <v>15</v>
      </c>
      <c r="K316" s="735">
        <v>32</v>
      </c>
      <c r="L316" s="734">
        <v>10</v>
      </c>
      <c r="M316" s="736">
        <v>11</v>
      </c>
      <c r="N316" s="737">
        <v>418</v>
      </c>
      <c r="O316" s="737"/>
      <c r="P316" s="737">
        <v>1001</v>
      </c>
      <c r="Q316" s="737">
        <v>951</v>
      </c>
      <c r="R316" s="737"/>
      <c r="S316" s="737"/>
      <c r="T316" s="737"/>
      <c r="U316" s="738"/>
      <c r="V316" s="739">
        <v>419</v>
      </c>
      <c r="W316" s="737"/>
      <c r="X316" s="737">
        <v>1001</v>
      </c>
      <c r="Y316" s="737">
        <v>905</v>
      </c>
      <c r="Z316" s="1202"/>
      <c r="AA316" s="740"/>
      <c r="AB316" s="739"/>
      <c r="AC316" s="741"/>
      <c r="AD316" s="741">
        <v>280</v>
      </c>
      <c r="AE316" s="741">
        <v>335</v>
      </c>
      <c r="AF316" s="741"/>
      <c r="AG316" s="741">
        <v>94</v>
      </c>
      <c r="AH316" s="741">
        <v>2345</v>
      </c>
      <c r="AI316" s="741">
        <v>103</v>
      </c>
      <c r="AJ316" s="741">
        <v>88</v>
      </c>
      <c r="AK316" s="741"/>
      <c r="AL316" s="741">
        <v>132</v>
      </c>
      <c r="AM316" s="742">
        <v>1686</v>
      </c>
      <c r="AN316" s="743">
        <f t="shared" si="18"/>
        <v>0.85198135198135194</v>
      </c>
      <c r="AO316" s="744">
        <f t="shared" si="19"/>
        <v>0.961900700578739</v>
      </c>
      <c r="AP316" s="745">
        <f>'09월 에너지'!S318</f>
        <v>146.19999999999999</v>
      </c>
    </row>
    <row r="317" spans="1:42" ht="16.5" customHeight="1">
      <c r="A317" s="999">
        <f>'09월 조업일지'!A317</f>
        <v>46276</v>
      </c>
      <c r="B317" s="1100">
        <f>'09월 조업일지'!B317</f>
        <v>46276</v>
      </c>
      <c r="C317" s="730">
        <f>'09월 조업일지'!G317</f>
        <v>85519</v>
      </c>
      <c r="D317" s="731" t="str">
        <f>'09월 조업일지'!E317</f>
        <v>B</v>
      </c>
      <c r="E317" s="732" t="str">
        <f>'09월 조업일지'!F317</f>
        <v>B</v>
      </c>
      <c r="F317" s="1096" t="str">
        <f>'09월 에너지'!F319</f>
        <v>S355JO-01</v>
      </c>
      <c r="G317" s="733">
        <v>14</v>
      </c>
      <c r="H317" s="734">
        <v>24</v>
      </c>
      <c r="I317" s="734">
        <v>132</v>
      </c>
      <c r="J317" s="734">
        <v>19</v>
      </c>
      <c r="K317" s="735">
        <v>52</v>
      </c>
      <c r="L317" s="734">
        <v>13</v>
      </c>
      <c r="M317" s="736">
        <v>11</v>
      </c>
      <c r="N317" s="737">
        <v>418</v>
      </c>
      <c r="O317" s="737"/>
      <c r="P317" s="737">
        <v>1001</v>
      </c>
      <c r="Q317" s="737">
        <v>959</v>
      </c>
      <c r="R317" s="737"/>
      <c r="S317" s="737"/>
      <c r="T317" s="737"/>
      <c r="U317" s="738"/>
      <c r="V317" s="739">
        <v>418</v>
      </c>
      <c r="W317" s="737"/>
      <c r="X317" s="737">
        <v>1001</v>
      </c>
      <c r="Y317" s="737">
        <v>910</v>
      </c>
      <c r="Z317" s="1202"/>
      <c r="AA317" s="740"/>
      <c r="AB317" s="739"/>
      <c r="AC317" s="741"/>
      <c r="AD317" s="741">
        <v>280</v>
      </c>
      <c r="AE317" s="741">
        <v>339</v>
      </c>
      <c r="AF317" s="741"/>
      <c r="AG317" s="741">
        <v>96</v>
      </c>
      <c r="AH317" s="741">
        <v>2348</v>
      </c>
      <c r="AI317" s="741"/>
      <c r="AJ317" s="741">
        <v>88</v>
      </c>
      <c r="AK317" s="741"/>
      <c r="AL317" s="741">
        <v>118</v>
      </c>
      <c r="AM317" s="742">
        <v>1962</v>
      </c>
      <c r="AN317" s="743">
        <f t="shared" si="18"/>
        <v>0.95741056218057918</v>
      </c>
      <c r="AO317" s="744">
        <f t="shared" si="19"/>
        <v>1.0001521051350695</v>
      </c>
      <c r="AP317" s="745">
        <f>'09월 에너지'!S319</f>
        <v>140.5</v>
      </c>
    </row>
    <row r="318" spans="1:42" ht="16.5" customHeight="1">
      <c r="A318" s="999">
        <f>'09월 조업일지'!A318</f>
        <v>46276</v>
      </c>
      <c r="B318" s="1100">
        <f>'09월 조업일지'!B318</f>
        <v>46276</v>
      </c>
      <c r="C318" s="730">
        <f>'09월 조업일지'!G318</f>
        <v>85520</v>
      </c>
      <c r="D318" s="731" t="str">
        <f>'09월 조업일지'!E318</f>
        <v>B</v>
      </c>
      <c r="E318" s="732" t="str">
        <f>'09월 조업일지'!F318</f>
        <v>A</v>
      </c>
      <c r="F318" s="1096" t="str">
        <f>'09월 에너지'!F320</f>
        <v>S355JO-01</v>
      </c>
      <c r="G318" s="733">
        <v>12</v>
      </c>
      <c r="H318" s="734">
        <v>19</v>
      </c>
      <c r="I318" s="734">
        <v>123</v>
      </c>
      <c r="J318" s="734">
        <v>13</v>
      </c>
      <c r="K318" s="735">
        <v>34</v>
      </c>
      <c r="L318" s="734">
        <v>11</v>
      </c>
      <c r="M318" s="736">
        <v>9</v>
      </c>
      <c r="N318" s="737">
        <v>416</v>
      </c>
      <c r="O318" s="737"/>
      <c r="P318" s="737">
        <v>1002</v>
      </c>
      <c r="Q318" s="737">
        <v>959</v>
      </c>
      <c r="R318" s="737"/>
      <c r="S318" s="737"/>
      <c r="T318" s="737"/>
      <c r="U318" s="738"/>
      <c r="V318" s="739">
        <v>424</v>
      </c>
      <c r="W318" s="737"/>
      <c r="X318" s="737">
        <v>1002</v>
      </c>
      <c r="Y318" s="737">
        <v>905</v>
      </c>
      <c r="Z318" s="1202"/>
      <c r="AA318" s="740"/>
      <c r="AB318" s="739"/>
      <c r="AC318" s="741"/>
      <c r="AD318" s="741">
        <v>296</v>
      </c>
      <c r="AE318" s="741">
        <v>339</v>
      </c>
      <c r="AF318" s="741"/>
      <c r="AG318" s="741">
        <v>95</v>
      </c>
      <c r="AH318" s="741">
        <v>2346</v>
      </c>
      <c r="AI318" s="741"/>
      <c r="AJ318" s="741">
        <v>83</v>
      </c>
      <c r="AK318" s="741"/>
      <c r="AL318" s="741">
        <v>121</v>
      </c>
      <c r="AM318" s="742">
        <v>1276</v>
      </c>
      <c r="AN318" s="743">
        <f t="shared" si="18"/>
        <v>0.79099175902244967</v>
      </c>
      <c r="AO318" s="744">
        <f t="shared" si="19"/>
        <v>0.96346364632809656</v>
      </c>
      <c r="AP318" s="745">
        <f>'09월 에너지'!S320</f>
        <v>146.5</v>
      </c>
    </row>
    <row r="319" spans="1:42" ht="16.5" customHeight="1">
      <c r="A319" s="999">
        <f>'09월 조업일지'!A319</f>
        <v>46276</v>
      </c>
      <c r="B319" s="1100">
        <f>'09월 조업일지'!B319</f>
        <v>46276</v>
      </c>
      <c r="C319" s="730">
        <f>'09월 조업일지'!G319</f>
        <v>85521</v>
      </c>
      <c r="D319" s="731" t="str">
        <f>'09월 조업일지'!E319</f>
        <v>B</v>
      </c>
      <c r="E319" s="732" t="str">
        <f>'09월 조업일지'!F319</f>
        <v>B</v>
      </c>
      <c r="F319" s="1096" t="str">
        <f>'09월 에너지'!F321</f>
        <v>S355JO-01</v>
      </c>
      <c r="G319" s="733">
        <v>11</v>
      </c>
      <c r="H319" s="734">
        <v>23</v>
      </c>
      <c r="I319" s="734">
        <v>129</v>
      </c>
      <c r="J319" s="734">
        <v>16</v>
      </c>
      <c r="K319" s="735">
        <v>36</v>
      </c>
      <c r="L319" s="734">
        <v>10</v>
      </c>
      <c r="M319" s="736">
        <v>15</v>
      </c>
      <c r="N319" s="737">
        <v>432</v>
      </c>
      <c r="O319" s="737"/>
      <c r="P319" s="737">
        <v>1002</v>
      </c>
      <c r="Q319" s="737">
        <v>954</v>
      </c>
      <c r="R319" s="737"/>
      <c r="S319" s="737"/>
      <c r="T319" s="737"/>
      <c r="U319" s="738"/>
      <c r="V319" s="739">
        <v>419</v>
      </c>
      <c r="W319" s="737"/>
      <c r="X319" s="737">
        <v>1016</v>
      </c>
      <c r="Y319" s="737">
        <v>905</v>
      </c>
      <c r="Z319" s="1202"/>
      <c r="AA319" s="740"/>
      <c r="AB319" s="739"/>
      <c r="AC319" s="741"/>
      <c r="AD319" s="741">
        <v>293</v>
      </c>
      <c r="AE319" s="741">
        <v>339</v>
      </c>
      <c r="AF319" s="741"/>
      <c r="AG319" s="741">
        <v>95</v>
      </c>
      <c r="AH319" s="741">
        <v>2346</v>
      </c>
      <c r="AI319" s="741"/>
      <c r="AJ319" s="741">
        <v>88</v>
      </c>
      <c r="AK319" s="741"/>
      <c r="AL319" s="741">
        <v>126</v>
      </c>
      <c r="AM319" s="742">
        <v>1779</v>
      </c>
      <c r="AN319" s="743">
        <f t="shared" si="18"/>
        <v>0.92941176470588238</v>
      </c>
      <c r="AO319" s="744">
        <f t="shared" si="19"/>
        <v>0.98713920350749007</v>
      </c>
      <c r="AP319" s="745">
        <f>'09월 에너지'!S321</f>
        <v>142.19999999999999</v>
      </c>
    </row>
    <row r="320" spans="1:42" ht="16.5" customHeight="1">
      <c r="A320" s="999">
        <f>'09월 조업일지'!A320</f>
        <v>46276</v>
      </c>
      <c r="B320" s="1100">
        <f>'09월 조업일지'!B320</f>
        <v>46276</v>
      </c>
      <c r="C320" s="730">
        <f>'09월 조업일지'!G320</f>
        <v>85522</v>
      </c>
      <c r="D320" s="731" t="str">
        <f>'09월 조업일지'!E320</f>
        <v>B</v>
      </c>
      <c r="E320" s="732" t="str">
        <f>'09월 조업일지'!F320</f>
        <v>A</v>
      </c>
      <c r="F320" s="1096" t="str">
        <f>'09월 에너지'!F322</f>
        <v>S355JO-01</v>
      </c>
      <c r="G320" s="733">
        <v>10</v>
      </c>
      <c r="H320" s="734">
        <v>28</v>
      </c>
      <c r="I320" s="734">
        <v>124</v>
      </c>
      <c r="J320" s="734">
        <v>16</v>
      </c>
      <c r="K320" s="735">
        <v>37</v>
      </c>
      <c r="L320" s="734">
        <v>11</v>
      </c>
      <c r="M320" s="736">
        <v>11</v>
      </c>
      <c r="N320" s="737">
        <v>418</v>
      </c>
      <c r="O320" s="737"/>
      <c r="P320" s="737">
        <v>1001</v>
      </c>
      <c r="Q320" s="737">
        <v>959</v>
      </c>
      <c r="R320" s="737"/>
      <c r="S320" s="737"/>
      <c r="T320" s="737"/>
      <c r="U320" s="738"/>
      <c r="V320" s="739">
        <v>418</v>
      </c>
      <c r="W320" s="737"/>
      <c r="X320" s="737">
        <v>1001</v>
      </c>
      <c r="Y320" s="737">
        <v>910</v>
      </c>
      <c r="Z320" s="1202"/>
      <c r="AA320" s="740"/>
      <c r="AB320" s="739"/>
      <c r="AC320" s="741"/>
      <c r="AD320" s="741">
        <v>280</v>
      </c>
      <c r="AE320" s="741">
        <v>339</v>
      </c>
      <c r="AF320" s="741"/>
      <c r="AG320" s="741">
        <v>96</v>
      </c>
      <c r="AH320" s="741">
        <v>2348</v>
      </c>
      <c r="AI320" s="741"/>
      <c r="AJ320" s="741">
        <v>88</v>
      </c>
      <c r="AK320" s="741"/>
      <c r="AL320" s="741">
        <v>118</v>
      </c>
      <c r="AM320" s="742">
        <v>1414</v>
      </c>
      <c r="AN320" s="743">
        <f t="shared" si="18"/>
        <v>1.1646791595684269</v>
      </c>
      <c r="AO320" s="744">
        <f t="shared" si="19"/>
        <v>0.97155633974202971</v>
      </c>
      <c r="AP320" s="745">
        <f>'09월 에너지'!S322</f>
        <v>146.5</v>
      </c>
    </row>
    <row r="321" spans="1:42" ht="16.5" customHeight="1">
      <c r="A321" s="999">
        <f>'09월 조업일지'!A321</f>
        <v>46277</v>
      </c>
      <c r="B321" s="1100">
        <f>'09월 조업일지'!B321</f>
        <v>46276</v>
      </c>
      <c r="C321" s="730">
        <f>'09월 조업일지'!G321</f>
        <v>85523</v>
      </c>
      <c r="D321" s="731" t="str">
        <f>'09월 조업일지'!E321</f>
        <v>B</v>
      </c>
      <c r="E321" s="732" t="str">
        <f>'09월 조업일지'!F321</f>
        <v>B</v>
      </c>
      <c r="F321" s="1096" t="str">
        <f>'09월 에너지'!F323</f>
        <v>S355JO-01</v>
      </c>
      <c r="G321" s="733">
        <v>11</v>
      </c>
      <c r="H321" s="734">
        <v>19</v>
      </c>
      <c r="I321" s="734">
        <v>125</v>
      </c>
      <c r="J321" s="734">
        <v>13</v>
      </c>
      <c r="K321" s="735">
        <v>34</v>
      </c>
      <c r="L321" s="734">
        <v>10</v>
      </c>
      <c r="M321" s="736">
        <v>10</v>
      </c>
      <c r="N321" s="737">
        <v>420</v>
      </c>
      <c r="O321" s="737"/>
      <c r="P321" s="737">
        <v>1002</v>
      </c>
      <c r="Q321" s="737">
        <v>959</v>
      </c>
      <c r="R321" s="737"/>
      <c r="S321" s="737"/>
      <c r="T321" s="737"/>
      <c r="U321" s="738"/>
      <c r="V321" s="739">
        <v>440</v>
      </c>
      <c r="W321" s="737"/>
      <c r="X321" s="737">
        <v>1002</v>
      </c>
      <c r="Y321" s="737">
        <v>905</v>
      </c>
      <c r="Z321" s="1202"/>
      <c r="AA321" s="740"/>
      <c r="AB321" s="739"/>
      <c r="AC321" s="741"/>
      <c r="AD321" s="741">
        <v>287</v>
      </c>
      <c r="AE321" s="741">
        <v>339</v>
      </c>
      <c r="AF321" s="741"/>
      <c r="AG321" s="741">
        <v>95</v>
      </c>
      <c r="AH321" s="741">
        <v>2355</v>
      </c>
      <c r="AI321" s="741"/>
      <c r="AJ321" s="741">
        <v>83</v>
      </c>
      <c r="AK321" s="741"/>
      <c r="AL321" s="741">
        <v>121</v>
      </c>
      <c r="AM321" s="742">
        <v>1261</v>
      </c>
      <c r="AN321" s="743">
        <f t="shared" si="18"/>
        <v>0.78904458598726124</v>
      </c>
      <c r="AO321" s="744">
        <f t="shared" si="19"/>
        <v>0.97888989990900821</v>
      </c>
      <c r="AP321" s="745">
        <f>'09월 에너지'!S323</f>
        <v>146.69999999999999</v>
      </c>
    </row>
    <row r="322" spans="1:42" ht="16.5" customHeight="1">
      <c r="A322" s="999">
        <f>'09월 조업일지'!A322</f>
        <v>46277</v>
      </c>
      <c r="B322" s="1100">
        <f>'09월 조업일지'!B322</f>
        <v>46276</v>
      </c>
      <c r="C322" s="730">
        <f>'09월 조업일지'!G322</f>
        <v>85524</v>
      </c>
      <c r="D322" s="731" t="str">
        <f>'09월 조업일지'!E322</f>
        <v>B</v>
      </c>
      <c r="E322" s="732" t="str">
        <f>'09월 조업일지'!F322</f>
        <v>A</v>
      </c>
      <c r="F322" s="1096" t="str">
        <f>'09월 에너지'!F324</f>
        <v>S355JO-01</v>
      </c>
      <c r="G322" s="733">
        <v>9</v>
      </c>
      <c r="H322" s="734">
        <v>14</v>
      </c>
      <c r="I322" s="734">
        <v>122</v>
      </c>
      <c r="J322" s="734">
        <v>13</v>
      </c>
      <c r="K322" s="735">
        <v>24</v>
      </c>
      <c r="L322" s="734">
        <v>12</v>
      </c>
      <c r="M322" s="736">
        <v>10</v>
      </c>
      <c r="N322" s="737">
        <v>423</v>
      </c>
      <c r="O322" s="737"/>
      <c r="P322" s="737">
        <v>1002</v>
      </c>
      <c r="Q322" s="737">
        <v>954</v>
      </c>
      <c r="R322" s="737"/>
      <c r="S322" s="737"/>
      <c r="T322" s="737"/>
      <c r="U322" s="738"/>
      <c r="V322" s="739">
        <v>414</v>
      </c>
      <c r="W322" s="737"/>
      <c r="X322" s="737">
        <v>1016</v>
      </c>
      <c r="Y322" s="737">
        <v>905</v>
      </c>
      <c r="Z322" s="1202"/>
      <c r="AA322" s="740"/>
      <c r="AB322" s="739"/>
      <c r="AC322" s="741"/>
      <c r="AD322" s="741">
        <v>288</v>
      </c>
      <c r="AE322" s="741">
        <v>338</v>
      </c>
      <c r="AF322" s="741"/>
      <c r="AG322" s="741">
        <v>95</v>
      </c>
      <c r="AH322" s="741">
        <v>2345</v>
      </c>
      <c r="AI322" s="741"/>
      <c r="AJ322" s="741">
        <v>82</v>
      </c>
      <c r="AK322" s="741"/>
      <c r="AL322" s="741">
        <v>125</v>
      </c>
      <c r="AM322" s="742">
        <v>1458</v>
      </c>
      <c r="AN322" s="743">
        <f t="shared" si="18"/>
        <v>0.58388059701492534</v>
      </c>
      <c r="AO322" s="744">
        <f t="shared" si="19"/>
        <v>0.95625342674383185</v>
      </c>
      <c r="AP322" s="745">
        <f>'09월 에너지'!S324</f>
        <v>146.69999999999999</v>
      </c>
    </row>
    <row r="323" spans="1:42" ht="16.5" customHeight="1">
      <c r="A323" s="999">
        <f>'09월 조업일지'!A323</f>
        <v>46277</v>
      </c>
      <c r="B323" s="1100">
        <f>'09월 조업일지'!B323</f>
        <v>46276</v>
      </c>
      <c r="C323" s="730">
        <f>'09월 조업일지'!G323</f>
        <v>85525</v>
      </c>
      <c r="D323" s="731" t="str">
        <f>'09월 조업일지'!E323</f>
        <v>B</v>
      </c>
      <c r="E323" s="732" t="str">
        <f>'09월 조업일지'!F323</f>
        <v>B</v>
      </c>
      <c r="F323" s="1096" t="str">
        <f>'09월 에너지'!F325</f>
        <v>S355JO-01</v>
      </c>
      <c r="G323" s="733">
        <v>10</v>
      </c>
      <c r="H323" s="734">
        <v>21</v>
      </c>
      <c r="I323" s="734">
        <v>125</v>
      </c>
      <c r="J323" s="734">
        <v>12</v>
      </c>
      <c r="K323" s="735">
        <v>29</v>
      </c>
      <c r="L323" s="734">
        <v>11</v>
      </c>
      <c r="M323" s="736">
        <v>9</v>
      </c>
      <c r="N323" s="737">
        <v>421</v>
      </c>
      <c r="O323" s="737"/>
      <c r="P323" s="737">
        <v>1012</v>
      </c>
      <c r="Q323" s="737">
        <v>956</v>
      </c>
      <c r="R323" s="737"/>
      <c r="S323" s="737"/>
      <c r="T323" s="737"/>
      <c r="U323" s="738"/>
      <c r="V323" s="739">
        <v>423</v>
      </c>
      <c r="W323" s="737"/>
      <c r="X323" s="737">
        <v>1010</v>
      </c>
      <c r="Y323" s="737">
        <v>905</v>
      </c>
      <c r="Z323" s="1202"/>
      <c r="AA323" s="740"/>
      <c r="AB323" s="739"/>
      <c r="AC323" s="741"/>
      <c r="AD323" s="741">
        <v>289</v>
      </c>
      <c r="AE323" s="741">
        <v>344</v>
      </c>
      <c r="AF323" s="741"/>
      <c r="AG323" s="741">
        <v>95</v>
      </c>
      <c r="AH323" s="741">
        <v>2353</v>
      </c>
      <c r="AI323" s="741"/>
      <c r="AJ323" s="741">
        <v>83</v>
      </c>
      <c r="AK323" s="741"/>
      <c r="AL323" s="741">
        <v>122</v>
      </c>
      <c r="AM323" s="742">
        <v>1591</v>
      </c>
      <c r="AN323" s="743">
        <f t="shared" si="18"/>
        <v>0.84071398215044635</v>
      </c>
      <c r="AO323" s="744">
        <f t="shared" si="19"/>
        <v>0.94365855139335808</v>
      </c>
      <c r="AP323" s="745">
        <f>'09월 에너지'!S325</f>
        <v>141.30000000000001</v>
      </c>
    </row>
    <row r="324" spans="1:42" ht="16.5" customHeight="1">
      <c r="A324" s="999">
        <f>'09월 조업일지'!A324</f>
        <v>46277</v>
      </c>
      <c r="B324" s="1100">
        <f>'09월 조업일지'!B324</f>
        <v>46276</v>
      </c>
      <c r="C324" s="730">
        <f>'09월 조업일지'!G324</f>
        <v>85526</v>
      </c>
      <c r="D324" s="731" t="str">
        <f>'09월 조업일지'!E324</f>
        <v>B</v>
      </c>
      <c r="E324" s="732" t="str">
        <f>'09월 조업일지'!F324</f>
        <v>A</v>
      </c>
      <c r="F324" s="1096" t="str">
        <f>'09월 에너지'!F326</f>
        <v>S355JO-01</v>
      </c>
      <c r="G324" s="733">
        <v>12</v>
      </c>
      <c r="H324" s="734">
        <v>26</v>
      </c>
      <c r="I324" s="734">
        <v>124</v>
      </c>
      <c r="J324" s="734">
        <v>12</v>
      </c>
      <c r="K324" s="735">
        <v>36</v>
      </c>
      <c r="L324" s="734">
        <v>14</v>
      </c>
      <c r="M324" s="736">
        <v>9</v>
      </c>
      <c r="N324" s="737">
        <v>422</v>
      </c>
      <c r="O324" s="737"/>
      <c r="P324" s="737">
        <v>1012</v>
      </c>
      <c r="Q324" s="737">
        <v>953</v>
      </c>
      <c r="R324" s="737"/>
      <c r="S324" s="737"/>
      <c r="T324" s="737"/>
      <c r="U324" s="738"/>
      <c r="V324" s="739">
        <v>421</v>
      </c>
      <c r="W324" s="737"/>
      <c r="X324" s="737">
        <v>1009</v>
      </c>
      <c r="Y324" s="737">
        <v>902</v>
      </c>
      <c r="Z324" s="1202"/>
      <c r="AA324" s="740"/>
      <c r="AB324" s="739"/>
      <c r="AC324" s="741"/>
      <c r="AD324" s="741">
        <v>288</v>
      </c>
      <c r="AE324" s="741">
        <v>337</v>
      </c>
      <c r="AF324" s="741"/>
      <c r="AG324" s="741">
        <v>95</v>
      </c>
      <c r="AH324" s="741">
        <v>2345</v>
      </c>
      <c r="AI324" s="741">
        <v>112</v>
      </c>
      <c r="AJ324" s="741">
        <v>89</v>
      </c>
      <c r="AK324" s="741"/>
      <c r="AL324" s="741">
        <v>118</v>
      </c>
      <c r="AM324" s="742">
        <v>1368</v>
      </c>
      <c r="AN324" s="743">
        <f t="shared" si="18"/>
        <v>0.8717383820998279</v>
      </c>
      <c r="AO324" s="744">
        <f t="shared" si="19"/>
        <v>0.97014316174230886</v>
      </c>
      <c r="AP324" s="745">
        <f>'09월 에너지'!S326</f>
        <v>146.1</v>
      </c>
    </row>
    <row r="325" spans="1:42" ht="16.5" customHeight="1">
      <c r="A325" s="999">
        <f>'09월 조업일지'!A325</f>
        <v>46277</v>
      </c>
      <c r="B325" s="1100">
        <f>'09월 조업일지'!B325</f>
        <v>46277</v>
      </c>
      <c r="C325" s="730">
        <f>'09월 조업일지'!G325</f>
        <v>85527</v>
      </c>
      <c r="D325" s="731" t="str">
        <f>'09월 조업일지'!E325</f>
        <v>C</v>
      </c>
      <c r="E325" s="732" t="str">
        <f>'09월 조업일지'!F325</f>
        <v>B</v>
      </c>
      <c r="F325" s="1096" t="str">
        <f>'09월 에너지'!F327</f>
        <v>S355JO-01</v>
      </c>
      <c r="G325" s="733">
        <v>12</v>
      </c>
      <c r="H325" s="734">
        <v>22</v>
      </c>
      <c r="I325" s="734">
        <v>125</v>
      </c>
      <c r="J325" s="734">
        <v>14</v>
      </c>
      <c r="K325" s="735">
        <v>34</v>
      </c>
      <c r="L325" s="734">
        <v>12</v>
      </c>
      <c r="M325" s="736">
        <v>11</v>
      </c>
      <c r="N325" s="737">
        <v>416</v>
      </c>
      <c r="O325" s="737"/>
      <c r="P325" s="737">
        <v>1010</v>
      </c>
      <c r="Q325" s="737">
        <v>951</v>
      </c>
      <c r="R325" s="737"/>
      <c r="S325" s="737"/>
      <c r="T325" s="737"/>
      <c r="U325" s="738"/>
      <c r="V325" s="739">
        <v>418</v>
      </c>
      <c r="W325" s="737"/>
      <c r="X325" s="737">
        <v>1014</v>
      </c>
      <c r="Y325" s="737">
        <v>901</v>
      </c>
      <c r="Z325" s="1202"/>
      <c r="AA325" s="740"/>
      <c r="AB325" s="739"/>
      <c r="AC325" s="741"/>
      <c r="AD325" s="741">
        <v>293</v>
      </c>
      <c r="AE325" s="741">
        <v>340</v>
      </c>
      <c r="AF325" s="741"/>
      <c r="AG325" s="741">
        <v>95</v>
      </c>
      <c r="AH325" s="741">
        <v>2351</v>
      </c>
      <c r="AI325" s="741"/>
      <c r="AJ325" s="741">
        <v>86</v>
      </c>
      <c r="AK325" s="741"/>
      <c r="AL325" s="741">
        <v>121</v>
      </c>
      <c r="AM325" s="742">
        <v>2427</v>
      </c>
      <c r="AN325" s="743">
        <f t="shared" si="18"/>
        <v>0.88461647525875509</v>
      </c>
      <c r="AO325" s="744">
        <f t="shared" si="19"/>
        <v>0.94780336634866624</v>
      </c>
      <c r="AP325" s="745">
        <f>'09월 에너지'!S327</f>
        <v>141.80000000000001</v>
      </c>
    </row>
    <row r="326" spans="1:42" ht="16.5" customHeight="1">
      <c r="A326" s="999">
        <f>'09월 조업일지'!A326</f>
        <v>46277</v>
      </c>
      <c r="B326" s="1100">
        <f>'09월 조업일지'!B326</f>
        <v>46277</v>
      </c>
      <c r="C326" s="730">
        <f>'09월 조업일지'!G326</f>
        <v>85528</v>
      </c>
      <c r="D326" s="731" t="str">
        <f>'09월 조업일지'!E326</f>
        <v>C</v>
      </c>
      <c r="E326" s="732" t="str">
        <f>'09월 조업일지'!F326</f>
        <v>A</v>
      </c>
      <c r="F326" s="1096" t="str">
        <f>'09월 에너지'!F328</f>
        <v>S355JO-01</v>
      </c>
      <c r="G326" s="733">
        <v>12</v>
      </c>
      <c r="H326" s="734">
        <v>19</v>
      </c>
      <c r="I326" s="734">
        <v>131</v>
      </c>
      <c r="J326" s="734">
        <v>15</v>
      </c>
      <c r="K326" s="735">
        <v>38</v>
      </c>
      <c r="L326" s="734">
        <v>12</v>
      </c>
      <c r="M326" s="736">
        <v>11</v>
      </c>
      <c r="N326" s="737">
        <v>421</v>
      </c>
      <c r="O326" s="737"/>
      <c r="P326" s="737">
        <v>1009</v>
      </c>
      <c r="Q326" s="737">
        <v>954</v>
      </c>
      <c r="R326" s="737"/>
      <c r="S326" s="737"/>
      <c r="T326" s="737"/>
      <c r="U326" s="738"/>
      <c r="V326" s="739">
        <v>415</v>
      </c>
      <c r="W326" s="737"/>
      <c r="X326" s="737">
        <v>1007</v>
      </c>
      <c r="Y326" s="737">
        <v>901</v>
      </c>
      <c r="Z326" s="1202"/>
      <c r="AA326" s="740"/>
      <c r="AB326" s="739"/>
      <c r="AC326" s="741"/>
      <c r="AD326" s="741">
        <v>289</v>
      </c>
      <c r="AE326" s="741">
        <v>342</v>
      </c>
      <c r="AF326" s="741"/>
      <c r="AG326" s="741">
        <v>96</v>
      </c>
      <c r="AH326" s="741">
        <v>2355</v>
      </c>
      <c r="AI326" s="741"/>
      <c r="AJ326" s="741">
        <v>86</v>
      </c>
      <c r="AK326" s="741"/>
      <c r="AL326" s="741">
        <v>116</v>
      </c>
      <c r="AM326" s="742">
        <v>1570</v>
      </c>
      <c r="AN326" s="743">
        <f t="shared" si="18"/>
        <v>0.76968152866242034</v>
      </c>
      <c r="AO326" s="744">
        <f t="shared" si="19"/>
        <v>1.0069517743403094</v>
      </c>
      <c r="AP326" s="745">
        <f>'09월 에너지'!S328</f>
        <v>143.1</v>
      </c>
    </row>
    <row r="327" spans="1:42" ht="16.5" customHeight="1">
      <c r="A327" s="999">
        <f>'09월 조업일지'!A327</f>
        <v>46277</v>
      </c>
      <c r="B327" s="1100">
        <f>'09월 조업일지'!B327</f>
        <v>46277</v>
      </c>
      <c r="C327" s="730">
        <f>'09월 조업일지'!G327</f>
        <v>85529</v>
      </c>
      <c r="D327" s="731" t="str">
        <f>'09월 조업일지'!E327</f>
        <v>C</v>
      </c>
      <c r="E327" s="732" t="str">
        <f>'09월 조업일지'!F327</f>
        <v>B</v>
      </c>
      <c r="F327" s="1096" t="str">
        <f>'09월 에너지'!F329</f>
        <v>S355JO-01</v>
      </c>
      <c r="G327" s="733">
        <v>11</v>
      </c>
      <c r="H327" s="734">
        <v>20</v>
      </c>
      <c r="I327" s="734">
        <v>122</v>
      </c>
      <c r="J327" s="734">
        <v>13</v>
      </c>
      <c r="K327" s="735">
        <v>26</v>
      </c>
      <c r="L327" s="734">
        <v>12</v>
      </c>
      <c r="M327" s="736">
        <v>9</v>
      </c>
      <c r="N327" s="737">
        <v>415</v>
      </c>
      <c r="O327" s="737"/>
      <c r="P327" s="737">
        <v>1010</v>
      </c>
      <c r="Q327" s="737">
        <v>954</v>
      </c>
      <c r="R327" s="737"/>
      <c r="S327" s="737"/>
      <c r="T327" s="737"/>
      <c r="U327" s="738"/>
      <c r="V327" s="739">
        <v>424</v>
      </c>
      <c r="W327" s="737"/>
      <c r="X327" s="737">
        <v>1015</v>
      </c>
      <c r="Y327" s="737">
        <v>903</v>
      </c>
      <c r="Z327" s="1202"/>
      <c r="AA327" s="740"/>
      <c r="AB327" s="739"/>
      <c r="AC327" s="741"/>
      <c r="AD327" s="741">
        <v>293</v>
      </c>
      <c r="AE327" s="741">
        <v>340</v>
      </c>
      <c r="AF327" s="741"/>
      <c r="AG327" s="741">
        <v>95</v>
      </c>
      <c r="AH327" s="741">
        <v>2357</v>
      </c>
      <c r="AI327" s="741"/>
      <c r="AJ327" s="741">
        <v>83</v>
      </c>
      <c r="AK327" s="741"/>
      <c r="AL327" s="741">
        <v>124</v>
      </c>
      <c r="AM327" s="742">
        <v>2116</v>
      </c>
      <c r="AN327" s="743">
        <f t="shared" si="18"/>
        <v>0.82025173242822791</v>
      </c>
      <c r="AO327" s="744">
        <f t="shared" si="19"/>
        <v>0.94036002181950429</v>
      </c>
      <c r="AP327" s="745">
        <f>'09월 에너지'!S329</f>
        <v>145</v>
      </c>
    </row>
    <row r="328" spans="1:42" ht="16.5" customHeight="1">
      <c r="A328" s="999">
        <f>'09월 조업일지'!A328</f>
        <v>46277</v>
      </c>
      <c r="B328" s="1100">
        <f>'09월 조업일지'!B328</f>
        <v>46277</v>
      </c>
      <c r="C328" s="730">
        <f>'09월 조업일지'!G328</f>
        <v>85530</v>
      </c>
      <c r="D328" s="731" t="str">
        <f>'09월 조업일지'!E328</f>
        <v>C</v>
      </c>
      <c r="E328" s="732" t="str">
        <f>'09월 조업일지'!F328</f>
        <v>A</v>
      </c>
      <c r="F328" s="1096" t="str">
        <f>'09월 에너지'!F330</f>
        <v>S355JO-01</v>
      </c>
      <c r="G328" s="733">
        <v>14</v>
      </c>
      <c r="H328" s="734">
        <v>22</v>
      </c>
      <c r="I328" s="734">
        <v>131</v>
      </c>
      <c r="J328" s="734">
        <v>14</v>
      </c>
      <c r="K328" s="735">
        <v>33</v>
      </c>
      <c r="L328" s="734">
        <v>10</v>
      </c>
      <c r="M328" s="736">
        <v>7</v>
      </c>
      <c r="N328" s="737">
        <v>416</v>
      </c>
      <c r="O328" s="737"/>
      <c r="P328" s="737">
        <v>1008</v>
      </c>
      <c r="Q328" s="737">
        <v>956</v>
      </c>
      <c r="R328" s="737"/>
      <c r="S328" s="737"/>
      <c r="T328" s="737"/>
      <c r="U328" s="738"/>
      <c r="V328" s="739">
        <v>418</v>
      </c>
      <c r="W328" s="737"/>
      <c r="X328" s="737">
        <v>1010</v>
      </c>
      <c r="Y328" s="737">
        <v>902</v>
      </c>
      <c r="Z328" s="1202"/>
      <c r="AA328" s="740"/>
      <c r="AB328" s="739"/>
      <c r="AC328" s="741"/>
      <c r="AD328" s="741">
        <v>290</v>
      </c>
      <c r="AE328" s="741">
        <v>337</v>
      </c>
      <c r="AF328" s="741"/>
      <c r="AG328" s="741">
        <v>95</v>
      </c>
      <c r="AH328" s="741">
        <v>2349</v>
      </c>
      <c r="AI328" s="741"/>
      <c r="AJ328" s="741">
        <v>86</v>
      </c>
      <c r="AK328" s="741"/>
      <c r="AL328" s="741">
        <v>123</v>
      </c>
      <c r="AM328" s="742">
        <v>1994</v>
      </c>
      <c r="AN328" s="743">
        <f t="shared" si="18"/>
        <v>0.90035476089115951</v>
      </c>
      <c r="AO328" s="744">
        <f t="shared" si="19"/>
        <v>1.0172839506172839</v>
      </c>
      <c r="AP328" s="745">
        <f>'09월 에너지'!S330</f>
        <v>144.19999999999999</v>
      </c>
    </row>
    <row r="329" spans="1:42" ht="16.5" customHeight="1">
      <c r="A329" s="999">
        <f>'09월 조업일지'!A329</f>
        <v>46277</v>
      </c>
      <c r="B329" s="1100">
        <f>'09월 조업일지'!B329</f>
        <v>46277</v>
      </c>
      <c r="C329" s="730">
        <f>'09월 조업일지'!G329</f>
        <v>85531</v>
      </c>
      <c r="D329" s="731" t="str">
        <f>'09월 조업일지'!E329</f>
        <v>C</v>
      </c>
      <c r="E329" s="732" t="str">
        <f>'09월 조업일지'!F329</f>
        <v>B</v>
      </c>
      <c r="F329" s="1096" t="str">
        <f>'09월 에너지'!F331</f>
        <v>S355JO-01</v>
      </c>
      <c r="G329" s="733">
        <v>11</v>
      </c>
      <c r="H329" s="734">
        <v>21</v>
      </c>
      <c r="I329" s="734">
        <v>130</v>
      </c>
      <c r="J329" s="734">
        <v>18</v>
      </c>
      <c r="K329" s="735">
        <v>46</v>
      </c>
      <c r="L329" s="734">
        <v>15</v>
      </c>
      <c r="M329" s="736">
        <v>10</v>
      </c>
      <c r="N329" s="737">
        <v>417</v>
      </c>
      <c r="O329" s="737"/>
      <c r="P329" s="737">
        <v>1008</v>
      </c>
      <c r="Q329" s="737">
        <v>953</v>
      </c>
      <c r="R329" s="737"/>
      <c r="S329" s="737"/>
      <c r="T329" s="737"/>
      <c r="U329" s="738"/>
      <c r="V329" s="739">
        <v>417</v>
      </c>
      <c r="W329" s="737"/>
      <c r="X329" s="737">
        <v>1014</v>
      </c>
      <c r="Y329" s="737">
        <v>901</v>
      </c>
      <c r="Z329" s="1202"/>
      <c r="AA329" s="740"/>
      <c r="AB329" s="739"/>
      <c r="AC329" s="741"/>
      <c r="AD329" s="741">
        <v>298</v>
      </c>
      <c r="AE329" s="741">
        <v>338</v>
      </c>
      <c r="AF329" s="741"/>
      <c r="AG329" s="741">
        <v>95</v>
      </c>
      <c r="AH329" s="741">
        <v>2351</v>
      </c>
      <c r="AI329" s="741"/>
      <c r="AJ329" s="741">
        <v>96</v>
      </c>
      <c r="AK329" s="741"/>
      <c r="AL329" s="741">
        <v>120</v>
      </c>
      <c r="AM329" s="742">
        <v>2370</v>
      </c>
      <c r="AN329" s="743">
        <f t="shared" si="18"/>
        <v>0.85036154827732879</v>
      </c>
      <c r="AO329" s="744">
        <f t="shared" si="19"/>
        <v>0.9978732454274778</v>
      </c>
      <c r="AP329" s="745">
        <f>'09월 에너지'!S331</f>
        <v>142.80000000000001</v>
      </c>
    </row>
    <row r="330" spans="1:42" ht="16.5" customHeight="1">
      <c r="A330" s="999">
        <f>'09월 조업일지'!A330</f>
        <v>46277</v>
      </c>
      <c r="B330" s="1100">
        <f>'09월 조업일지'!B330</f>
        <v>46277</v>
      </c>
      <c r="C330" s="730">
        <f>'09월 조업일지'!G330</f>
        <v>85532</v>
      </c>
      <c r="D330" s="731" t="str">
        <f>'09월 조업일지'!E330</f>
        <v>C</v>
      </c>
      <c r="E330" s="732" t="str">
        <f>'09월 조업일지'!F330</f>
        <v>A</v>
      </c>
      <c r="F330" s="1096" t="str">
        <f>'09월 에너지'!F332</f>
        <v>S355JO-01</v>
      </c>
      <c r="G330" s="733">
        <v>11</v>
      </c>
      <c r="H330" s="734">
        <v>17</v>
      </c>
      <c r="I330" s="734">
        <v>126</v>
      </c>
      <c r="J330" s="734">
        <v>14</v>
      </c>
      <c r="K330" s="735">
        <v>49</v>
      </c>
      <c r="L330" s="734">
        <v>11</v>
      </c>
      <c r="M330" s="736">
        <v>10</v>
      </c>
      <c r="N330" s="737">
        <v>416</v>
      </c>
      <c r="O330" s="737"/>
      <c r="P330" s="737">
        <v>1013</v>
      </c>
      <c r="Q330" s="737">
        <v>951</v>
      </c>
      <c r="R330" s="737"/>
      <c r="S330" s="737"/>
      <c r="T330" s="737"/>
      <c r="U330" s="738"/>
      <c r="V330" s="739">
        <v>418</v>
      </c>
      <c r="W330" s="737"/>
      <c r="X330" s="737">
        <v>1011</v>
      </c>
      <c r="Y330" s="737">
        <v>902</v>
      </c>
      <c r="Z330" s="1202"/>
      <c r="AA330" s="740"/>
      <c r="AB330" s="739"/>
      <c r="AC330" s="741"/>
      <c r="AD330" s="741">
        <v>290</v>
      </c>
      <c r="AE330" s="741">
        <v>342</v>
      </c>
      <c r="AF330" s="741"/>
      <c r="AG330" s="741">
        <v>95</v>
      </c>
      <c r="AH330" s="741">
        <v>2349</v>
      </c>
      <c r="AI330" s="741"/>
      <c r="AJ330" s="741">
        <v>89</v>
      </c>
      <c r="AK330" s="741"/>
      <c r="AL330" s="741">
        <v>132</v>
      </c>
      <c r="AM330" s="742">
        <v>912</v>
      </c>
      <c r="AN330" s="743">
        <f t="shared" si="18"/>
        <v>0.69862352774230174</v>
      </c>
      <c r="AO330" s="744">
        <f t="shared" si="19"/>
        <v>0.97748586024448092</v>
      </c>
      <c r="AP330" s="745">
        <f>'09월 에너지'!S332</f>
        <v>144.80000000000001</v>
      </c>
    </row>
    <row r="331" spans="1:42" ht="16.5" customHeight="1">
      <c r="A331" s="999">
        <f>'09월 조업일지'!A331</f>
        <v>46277</v>
      </c>
      <c r="B331" s="1100">
        <f>'09월 조업일지'!B331</f>
        <v>46277</v>
      </c>
      <c r="C331" s="730">
        <f>'09월 조업일지'!G331</f>
        <v>85533</v>
      </c>
      <c r="D331" s="731" t="str">
        <f>'09월 조업일지'!E331</f>
        <v>C</v>
      </c>
      <c r="E331" s="732" t="str">
        <f>'09월 조업일지'!F331</f>
        <v>B</v>
      </c>
      <c r="F331" s="1231" t="str">
        <f>'09월 에너지'!F333</f>
        <v>SS400-01</v>
      </c>
      <c r="G331" s="733">
        <v>10</v>
      </c>
      <c r="H331" s="734">
        <v>23</v>
      </c>
      <c r="I331" s="734">
        <v>51</v>
      </c>
      <c r="J331" s="734">
        <v>14</v>
      </c>
      <c r="K331" s="735">
        <v>37</v>
      </c>
      <c r="L331" s="734">
        <v>11</v>
      </c>
      <c r="M331" s="736">
        <v>10</v>
      </c>
      <c r="N331" s="737">
        <v>422</v>
      </c>
      <c r="O331" s="737"/>
      <c r="P331" s="737">
        <v>1013</v>
      </c>
      <c r="Q331" s="737">
        <v>952</v>
      </c>
      <c r="R331" s="737"/>
      <c r="S331" s="737"/>
      <c r="T331" s="737">
        <v>66</v>
      </c>
      <c r="U331" s="738"/>
      <c r="V331" s="739">
        <v>418</v>
      </c>
      <c r="W331" s="737"/>
      <c r="X331" s="737">
        <v>1013</v>
      </c>
      <c r="Y331" s="737">
        <v>901</v>
      </c>
      <c r="Z331" s="1202">
        <v>60</v>
      </c>
      <c r="AA331" s="740"/>
      <c r="AB331" s="739"/>
      <c r="AC331" s="741"/>
      <c r="AD331" s="741">
        <v>282</v>
      </c>
      <c r="AE331" s="741">
        <v>337</v>
      </c>
      <c r="AF331" s="741"/>
      <c r="AG331" s="741">
        <v>110</v>
      </c>
      <c r="AH331" s="741">
        <v>790</v>
      </c>
      <c r="AI331" s="741">
        <v>337</v>
      </c>
      <c r="AJ331" s="741">
        <v>80</v>
      </c>
      <c r="AK331" s="741"/>
      <c r="AL331" s="741">
        <v>119</v>
      </c>
      <c r="AM331" s="742">
        <v>1415</v>
      </c>
      <c r="AN331" s="743">
        <f t="shared" si="18"/>
        <v>0.89707744107744114</v>
      </c>
      <c r="AO331" s="744">
        <f t="shared" si="19"/>
        <v>0.94264014466546109</v>
      </c>
      <c r="AP331" s="745">
        <f>'09월 에너지'!S333</f>
        <v>144.80000000000001</v>
      </c>
    </row>
    <row r="332" spans="1:42" ht="16.5" customHeight="1">
      <c r="A332" s="999">
        <f>'09월 조업일지'!A332</f>
        <v>46277</v>
      </c>
      <c r="B332" s="1100">
        <f>'09월 조업일지'!B332</f>
        <v>46277</v>
      </c>
      <c r="C332" s="730">
        <f>'09월 조업일지'!G332</f>
        <v>85534</v>
      </c>
      <c r="D332" s="731" t="str">
        <f>'09월 조업일지'!E332</f>
        <v>C</v>
      </c>
      <c r="E332" s="732" t="str">
        <f>'09월 조업일지'!F332</f>
        <v>A</v>
      </c>
      <c r="F332" s="1231" t="str">
        <f>'09월 에너지'!F334</f>
        <v>A572-50-01</v>
      </c>
      <c r="G332" s="733">
        <v>13</v>
      </c>
      <c r="H332" s="734">
        <v>28</v>
      </c>
      <c r="I332" s="734">
        <v>128</v>
      </c>
      <c r="J332" s="734">
        <v>14</v>
      </c>
      <c r="K332" s="735">
        <v>34</v>
      </c>
      <c r="L332" s="734">
        <v>10</v>
      </c>
      <c r="M332" s="736">
        <v>11</v>
      </c>
      <c r="N332" s="737">
        <v>414</v>
      </c>
      <c r="O332" s="737"/>
      <c r="P332" s="737">
        <v>1016</v>
      </c>
      <c r="Q332" s="737">
        <v>950</v>
      </c>
      <c r="R332" s="737"/>
      <c r="S332" s="737"/>
      <c r="T332" s="737">
        <v>60</v>
      </c>
      <c r="U332" s="738"/>
      <c r="V332" s="739">
        <v>419</v>
      </c>
      <c r="W332" s="737"/>
      <c r="X332" s="737">
        <v>1012</v>
      </c>
      <c r="Y332" s="737">
        <v>903</v>
      </c>
      <c r="Z332" s="1202">
        <v>65</v>
      </c>
      <c r="AA332" s="740"/>
      <c r="AB332" s="739"/>
      <c r="AC332" s="741"/>
      <c r="AD332" s="741">
        <v>295</v>
      </c>
      <c r="AE332" s="741">
        <v>361</v>
      </c>
      <c r="AF332" s="741"/>
      <c r="AG332" s="741">
        <v>105</v>
      </c>
      <c r="AH332" s="741">
        <v>2351</v>
      </c>
      <c r="AI332" s="741">
        <v>111</v>
      </c>
      <c r="AJ332" s="741">
        <v>107</v>
      </c>
      <c r="AK332" s="741"/>
      <c r="AL332" s="741">
        <v>117</v>
      </c>
      <c r="AM332" s="742">
        <v>1705</v>
      </c>
      <c r="AN332" s="743">
        <f t="shared" si="18"/>
        <v>0.9307639366827255</v>
      </c>
      <c r="AO332" s="744">
        <f t="shared" si="19"/>
        <v>0.99493832411739691</v>
      </c>
      <c r="AP332" s="745">
        <f>'09월 에너지'!S334</f>
        <v>144.9</v>
      </c>
    </row>
    <row r="333" spans="1:42" ht="16.5" customHeight="1">
      <c r="A333" s="999">
        <f>'09월 조업일지'!A333</f>
        <v>46277</v>
      </c>
      <c r="B333" s="1100">
        <f>'09월 조업일지'!B333</f>
        <v>46277</v>
      </c>
      <c r="C333" s="730">
        <f>'09월 조업일지'!G333</f>
        <v>85535</v>
      </c>
      <c r="D333" s="731" t="str">
        <f>'09월 조업일지'!E333</f>
        <v>C</v>
      </c>
      <c r="E333" s="732" t="str">
        <f>'09월 조업일지'!F333</f>
        <v>B</v>
      </c>
      <c r="F333" s="1231" t="str">
        <f>'09월 에너지'!F335</f>
        <v>A572-50-03</v>
      </c>
      <c r="G333" s="733">
        <v>12</v>
      </c>
      <c r="H333" s="734">
        <v>29</v>
      </c>
      <c r="I333" s="734">
        <v>131</v>
      </c>
      <c r="J333" s="734">
        <v>16</v>
      </c>
      <c r="K333" s="735">
        <v>34</v>
      </c>
      <c r="L333" s="734">
        <v>16</v>
      </c>
      <c r="M333" s="736">
        <v>11</v>
      </c>
      <c r="N333" s="737">
        <v>422</v>
      </c>
      <c r="O333" s="737"/>
      <c r="P333" s="737">
        <v>1009</v>
      </c>
      <c r="Q333" s="737">
        <v>952</v>
      </c>
      <c r="R333" s="737"/>
      <c r="S333" s="737"/>
      <c r="T333" s="737">
        <v>65</v>
      </c>
      <c r="U333" s="738"/>
      <c r="V333" s="739">
        <v>414</v>
      </c>
      <c r="W333" s="737"/>
      <c r="X333" s="737">
        <v>1007</v>
      </c>
      <c r="Y333" s="737">
        <v>907</v>
      </c>
      <c r="Z333" s="1202">
        <v>63</v>
      </c>
      <c r="AA333" s="740"/>
      <c r="AB333" s="739"/>
      <c r="AC333" s="741"/>
      <c r="AD333" s="741">
        <v>293</v>
      </c>
      <c r="AE333" s="741">
        <v>360</v>
      </c>
      <c r="AF333" s="741"/>
      <c r="AG333" s="741">
        <v>105</v>
      </c>
      <c r="AH333" s="741">
        <v>2361</v>
      </c>
      <c r="AI333" s="741">
        <v>111</v>
      </c>
      <c r="AJ333" s="741">
        <v>97</v>
      </c>
      <c r="AK333" s="741"/>
      <c r="AL333" s="741">
        <v>124</v>
      </c>
      <c r="AM333" s="742">
        <v>1385</v>
      </c>
      <c r="AN333" s="743">
        <f t="shared" ref="AN333:AN396" si="20">IF(ISBLANK(AH333),"",AP333*1000*H333/10000/(AH333*15%+AI333*75%+AK333*60%))</f>
        <v>0.94080932784636495</v>
      </c>
      <c r="AO333" s="744">
        <f t="shared" ref="AO333:AO396" si="21">IF(ISBLANK(AH333),"",AP333*1000*(I333-15)/10000/(AH333*70%))</f>
        <v>0.99597023053185707</v>
      </c>
      <c r="AP333" s="745">
        <f>'09월 에너지'!S335</f>
        <v>141.9</v>
      </c>
    </row>
    <row r="334" spans="1:42" ht="16.5" customHeight="1">
      <c r="A334" s="999">
        <f>'09월 조업일지'!A334</f>
        <v>46277</v>
      </c>
      <c r="B334" s="1100">
        <f>'09월 조업일지'!B334</f>
        <v>46277</v>
      </c>
      <c r="C334" s="730">
        <f>'09월 조업일지'!G334</f>
        <v>85536</v>
      </c>
      <c r="D334" s="731" t="str">
        <f>'09월 조업일지'!E334</f>
        <v>C</v>
      </c>
      <c r="E334" s="732" t="str">
        <f>'09월 조업일지'!F334</f>
        <v>A</v>
      </c>
      <c r="F334" s="1096" t="str">
        <f>'09월 에너지'!F336</f>
        <v>A572-50-03</v>
      </c>
      <c r="G334" s="733">
        <v>11</v>
      </c>
      <c r="H334" s="734">
        <v>24</v>
      </c>
      <c r="I334" s="734">
        <v>123</v>
      </c>
      <c r="J334" s="734">
        <v>13</v>
      </c>
      <c r="K334" s="735">
        <v>34</v>
      </c>
      <c r="L334" s="734">
        <v>10</v>
      </c>
      <c r="M334" s="736">
        <v>11</v>
      </c>
      <c r="N334" s="737">
        <v>426</v>
      </c>
      <c r="O334" s="737"/>
      <c r="P334" s="737">
        <v>1016</v>
      </c>
      <c r="Q334" s="737">
        <v>952</v>
      </c>
      <c r="R334" s="737"/>
      <c r="S334" s="737"/>
      <c r="T334" s="737">
        <v>69</v>
      </c>
      <c r="U334" s="738"/>
      <c r="V334" s="739">
        <v>422</v>
      </c>
      <c r="W334" s="737"/>
      <c r="X334" s="737">
        <v>1010</v>
      </c>
      <c r="Y334" s="737">
        <v>900</v>
      </c>
      <c r="Z334" s="1202">
        <v>61</v>
      </c>
      <c r="AA334" s="740"/>
      <c r="AB334" s="739"/>
      <c r="AC334" s="741"/>
      <c r="AD334" s="741">
        <v>294</v>
      </c>
      <c r="AE334" s="741">
        <v>363</v>
      </c>
      <c r="AF334" s="741"/>
      <c r="AG334" s="741">
        <v>105</v>
      </c>
      <c r="AH334" s="741">
        <v>2356</v>
      </c>
      <c r="AI334" s="741">
        <v>109</v>
      </c>
      <c r="AJ334" s="741">
        <v>105</v>
      </c>
      <c r="AK334" s="741"/>
      <c r="AL334" s="741">
        <v>122</v>
      </c>
      <c r="AM334" s="742">
        <v>1578</v>
      </c>
      <c r="AN334" s="743">
        <f t="shared" si="20"/>
        <v>0.80579110651499486</v>
      </c>
      <c r="AO334" s="744">
        <f t="shared" si="21"/>
        <v>0.95675479020130993</v>
      </c>
      <c r="AP334" s="745">
        <f>'09월 에너지'!S336</f>
        <v>146.1</v>
      </c>
    </row>
    <row r="335" spans="1:42" ht="16.5" customHeight="1">
      <c r="A335" s="999">
        <f>'09월 조업일지'!A335</f>
        <v>46277</v>
      </c>
      <c r="B335" s="1100">
        <f>'09월 조업일지'!B335</f>
        <v>46277</v>
      </c>
      <c r="C335" s="730">
        <f>'09월 조업일지'!G335</f>
        <v>85537</v>
      </c>
      <c r="D335" s="731" t="str">
        <f>'09월 조업일지'!E335</f>
        <v>C</v>
      </c>
      <c r="E335" s="732" t="str">
        <f>'09월 조업일지'!F335</f>
        <v>B</v>
      </c>
      <c r="F335" s="1096" t="str">
        <f>'09월 에너지'!F337</f>
        <v>A572-50-03</v>
      </c>
      <c r="G335" s="733">
        <v>15</v>
      </c>
      <c r="H335" s="734">
        <v>30</v>
      </c>
      <c r="I335" s="734">
        <v>129</v>
      </c>
      <c r="J335" s="734">
        <v>16</v>
      </c>
      <c r="K335" s="735">
        <v>31</v>
      </c>
      <c r="L335" s="734">
        <v>15</v>
      </c>
      <c r="M335" s="736">
        <v>10</v>
      </c>
      <c r="N335" s="737">
        <v>414</v>
      </c>
      <c r="O335" s="737"/>
      <c r="P335" s="737">
        <v>1008</v>
      </c>
      <c r="Q335" s="737">
        <v>951</v>
      </c>
      <c r="R335" s="737"/>
      <c r="S335" s="737"/>
      <c r="T335" s="737">
        <v>63</v>
      </c>
      <c r="U335" s="738"/>
      <c r="V335" s="739">
        <v>419</v>
      </c>
      <c r="W335" s="737"/>
      <c r="X335" s="737">
        <v>1015</v>
      </c>
      <c r="Y335" s="737">
        <v>902</v>
      </c>
      <c r="Z335" s="1202">
        <v>67</v>
      </c>
      <c r="AA335" s="740"/>
      <c r="AB335" s="739">
        <v>0</v>
      </c>
      <c r="AC335" s="741"/>
      <c r="AD335" s="741">
        <v>296</v>
      </c>
      <c r="AE335" s="741">
        <v>361</v>
      </c>
      <c r="AF335" s="741">
        <v>0</v>
      </c>
      <c r="AG335" s="741">
        <v>105</v>
      </c>
      <c r="AH335" s="741">
        <v>2350</v>
      </c>
      <c r="AI335" s="741">
        <v>112</v>
      </c>
      <c r="AJ335" s="741">
        <v>93</v>
      </c>
      <c r="AK335" s="741">
        <v>0</v>
      </c>
      <c r="AL335" s="741">
        <v>124</v>
      </c>
      <c r="AM335" s="742">
        <v>532</v>
      </c>
      <c r="AN335" s="743">
        <f t="shared" si="20"/>
        <v>0.99312714776632305</v>
      </c>
      <c r="AO335" s="744">
        <f t="shared" si="21"/>
        <v>1.0013981762917934</v>
      </c>
      <c r="AP335" s="745">
        <f>'09월 에너지'!S337</f>
        <v>144.5</v>
      </c>
    </row>
    <row r="336" spans="1:42" ht="16.5" customHeight="1">
      <c r="A336" s="999">
        <f>'09월 조업일지'!A336</f>
        <v>46277</v>
      </c>
      <c r="B336" s="1100">
        <f>'09월 조업일지'!B336</f>
        <v>46277</v>
      </c>
      <c r="C336" s="730">
        <f>'09월 조업일지'!G336</f>
        <v>85538</v>
      </c>
      <c r="D336" s="731" t="str">
        <f>'09월 조업일지'!E336</f>
        <v>A</v>
      </c>
      <c r="E336" s="732" t="str">
        <f>'09월 조업일지'!F336</f>
        <v>A</v>
      </c>
      <c r="F336" s="1096" t="str">
        <f>'09월 에너지'!F338</f>
        <v>A572-50-03</v>
      </c>
      <c r="G336" s="733">
        <v>12</v>
      </c>
      <c r="H336" s="734">
        <v>27</v>
      </c>
      <c r="I336" s="734">
        <v>121</v>
      </c>
      <c r="J336" s="734">
        <v>14</v>
      </c>
      <c r="K336" s="735">
        <v>23</v>
      </c>
      <c r="L336" s="734">
        <v>10</v>
      </c>
      <c r="M336" s="736">
        <v>11</v>
      </c>
      <c r="N336" s="737">
        <v>425</v>
      </c>
      <c r="O336" s="737"/>
      <c r="P336" s="737">
        <v>1013</v>
      </c>
      <c r="Q336" s="737">
        <v>950</v>
      </c>
      <c r="R336" s="737"/>
      <c r="S336" s="737"/>
      <c r="T336" s="737">
        <v>66</v>
      </c>
      <c r="U336" s="738"/>
      <c r="V336" s="739">
        <v>417</v>
      </c>
      <c r="W336" s="737"/>
      <c r="X336" s="737">
        <v>1012</v>
      </c>
      <c r="Y336" s="737">
        <v>901</v>
      </c>
      <c r="Z336" s="1202">
        <v>61</v>
      </c>
      <c r="AA336" s="740"/>
      <c r="AB336" s="739">
        <v>0</v>
      </c>
      <c r="AC336" s="741"/>
      <c r="AD336" s="741">
        <v>298</v>
      </c>
      <c r="AE336" s="741">
        <v>363</v>
      </c>
      <c r="AF336" s="741">
        <v>0</v>
      </c>
      <c r="AG336" s="741">
        <v>105</v>
      </c>
      <c r="AH336" s="741">
        <v>2343</v>
      </c>
      <c r="AI336" s="741">
        <v>105</v>
      </c>
      <c r="AJ336" s="741">
        <v>94</v>
      </c>
      <c r="AK336" s="741">
        <v>0</v>
      </c>
      <c r="AL336" s="741">
        <v>125</v>
      </c>
      <c r="AM336" s="742">
        <v>3018</v>
      </c>
      <c r="AN336" s="743">
        <f t="shared" si="20"/>
        <v>0.92510460251046034</v>
      </c>
      <c r="AO336" s="744">
        <f t="shared" si="21"/>
        <v>0.95264922870556679</v>
      </c>
      <c r="AP336" s="745">
        <f>'09월 에너지'!S338</f>
        <v>147.4</v>
      </c>
    </row>
    <row r="337" spans="1:42" ht="16.5" customHeight="1">
      <c r="A337" s="999">
        <f>'09월 조업일지'!A337</f>
        <v>46277</v>
      </c>
      <c r="B337" s="1100">
        <f>'09월 조업일지'!B337</f>
        <v>46277</v>
      </c>
      <c r="C337" s="730">
        <f>'09월 조업일지'!G337</f>
        <v>85539</v>
      </c>
      <c r="D337" s="731" t="str">
        <f>'09월 조업일지'!E337</f>
        <v>A</v>
      </c>
      <c r="E337" s="732" t="str">
        <f>'09월 조업일지'!F337</f>
        <v>B</v>
      </c>
      <c r="F337" s="1096" t="str">
        <f>'09월 에너지'!F339</f>
        <v>A572-50-03</v>
      </c>
      <c r="G337" s="733">
        <v>12</v>
      </c>
      <c r="H337" s="734">
        <v>27</v>
      </c>
      <c r="I337" s="734">
        <v>126</v>
      </c>
      <c r="J337" s="734">
        <v>21</v>
      </c>
      <c r="K337" s="735">
        <v>50</v>
      </c>
      <c r="L337" s="734">
        <v>14</v>
      </c>
      <c r="M337" s="736">
        <v>11</v>
      </c>
      <c r="N337" s="737">
        <v>424</v>
      </c>
      <c r="O337" s="737"/>
      <c r="P337" s="737">
        <v>1011</v>
      </c>
      <c r="Q337" s="737">
        <v>953</v>
      </c>
      <c r="R337" s="737"/>
      <c r="S337" s="737"/>
      <c r="T337" s="737">
        <v>64</v>
      </c>
      <c r="U337" s="738"/>
      <c r="V337" s="739">
        <v>424</v>
      </c>
      <c r="W337" s="737"/>
      <c r="X337" s="737">
        <v>1012</v>
      </c>
      <c r="Y337" s="737">
        <v>900</v>
      </c>
      <c r="Z337" s="1202">
        <v>65</v>
      </c>
      <c r="AA337" s="740"/>
      <c r="AB337" s="739">
        <v>0</v>
      </c>
      <c r="AC337" s="741"/>
      <c r="AD337" s="741">
        <v>294</v>
      </c>
      <c r="AE337" s="741">
        <v>359</v>
      </c>
      <c r="AF337" s="741">
        <v>0</v>
      </c>
      <c r="AG337" s="741">
        <v>105</v>
      </c>
      <c r="AH337" s="741">
        <v>2346</v>
      </c>
      <c r="AI337" s="741">
        <v>105</v>
      </c>
      <c r="AJ337" s="741">
        <v>95</v>
      </c>
      <c r="AK337" s="741">
        <v>0</v>
      </c>
      <c r="AL337" s="741">
        <v>122</v>
      </c>
      <c r="AM337" s="742">
        <v>1643</v>
      </c>
      <c r="AN337" s="743">
        <f t="shared" si="20"/>
        <v>0.90971786833855794</v>
      </c>
      <c r="AO337" s="744">
        <f t="shared" si="21"/>
        <v>0.98076360979174282</v>
      </c>
      <c r="AP337" s="745">
        <f>'09월 에너지'!S339</f>
        <v>145.1</v>
      </c>
    </row>
    <row r="338" spans="1:42" ht="16.5" customHeight="1">
      <c r="A338" s="999">
        <f>'09월 조업일지'!A338</f>
        <v>46277</v>
      </c>
      <c r="B338" s="1100">
        <f>'09월 조업일지'!B338</f>
        <v>46277</v>
      </c>
      <c r="C338" s="730">
        <f>'09월 조업일지'!G338</f>
        <v>85540</v>
      </c>
      <c r="D338" s="731" t="str">
        <f>'09월 조업일지'!E338</f>
        <v>A</v>
      </c>
      <c r="E338" s="732" t="str">
        <f>'09월 조업일지'!F338</f>
        <v>A</v>
      </c>
      <c r="F338" s="1096" t="str">
        <f>'09월 에너지'!F340</f>
        <v>A572-50-03</v>
      </c>
      <c r="G338" s="733">
        <v>9</v>
      </c>
      <c r="H338" s="734">
        <v>30</v>
      </c>
      <c r="I338" s="734">
        <v>124</v>
      </c>
      <c r="J338" s="734">
        <v>16</v>
      </c>
      <c r="K338" s="735">
        <v>24</v>
      </c>
      <c r="L338" s="734">
        <v>11</v>
      </c>
      <c r="M338" s="736">
        <v>8</v>
      </c>
      <c r="N338" s="737">
        <v>418</v>
      </c>
      <c r="O338" s="737"/>
      <c r="P338" s="737">
        <v>1014</v>
      </c>
      <c r="Q338" s="737">
        <v>954</v>
      </c>
      <c r="R338" s="737"/>
      <c r="S338" s="737"/>
      <c r="T338" s="737">
        <v>71</v>
      </c>
      <c r="U338" s="738"/>
      <c r="V338" s="739">
        <v>425</v>
      </c>
      <c r="W338" s="737"/>
      <c r="X338" s="737">
        <v>1015</v>
      </c>
      <c r="Y338" s="737">
        <v>901</v>
      </c>
      <c r="Z338" s="1202">
        <v>69</v>
      </c>
      <c r="AA338" s="740"/>
      <c r="AB338" s="739">
        <v>0</v>
      </c>
      <c r="AC338" s="741"/>
      <c r="AD338" s="741">
        <v>288</v>
      </c>
      <c r="AE338" s="741">
        <v>356</v>
      </c>
      <c r="AF338" s="741">
        <v>0</v>
      </c>
      <c r="AG338" s="741">
        <v>105</v>
      </c>
      <c r="AH338" s="741">
        <v>2348</v>
      </c>
      <c r="AI338" s="741">
        <v>221</v>
      </c>
      <c r="AJ338" s="741">
        <v>100</v>
      </c>
      <c r="AK338" s="741">
        <v>0</v>
      </c>
      <c r="AL338" s="741">
        <v>122</v>
      </c>
      <c r="AM338" s="742">
        <v>2496</v>
      </c>
      <c r="AN338" s="743">
        <f t="shared" si="20"/>
        <v>0.84448305821025182</v>
      </c>
      <c r="AO338" s="744">
        <f t="shared" si="21"/>
        <v>0.96691409101971293</v>
      </c>
      <c r="AP338" s="745">
        <f>'09월 에너지'!S340</f>
        <v>145.80000000000001</v>
      </c>
    </row>
    <row r="339" spans="1:42" ht="16.5" customHeight="1">
      <c r="A339" s="999">
        <f>'09월 조업일지'!A339</f>
        <v>46277</v>
      </c>
      <c r="B339" s="1100">
        <f>'09월 조업일지'!B339</f>
        <v>46277</v>
      </c>
      <c r="C339" s="730">
        <f>'09월 조업일지'!G339</f>
        <v>85541</v>
      </c>
      <c r="D339" s="731" t="str">
        <f>'09월 조업일지'!E339</f>
        <v>A</v>
      </c>
      <c r="E339" s="732" t="str">
        <f>'09월 조업일지'!F339</f>
        <v>B</v>
      </c>
      <c r="F339" s="1096" t="str">
        <f>'09월 에너지'!F341</f>
        <v>A572-50-03</v>
      </c>
      <c r="G339" s="733">
        <v>12</v>
      </c>
      <c r="H339" s="734">
        <v>29</v>
      </c>
      <c r="I339" s="734">
        <v>128</v>
      </c>
      <c r="J339" s="734">
        <v>18</v>
      </c>
      <c r="K339" s="735">
        <v>31</v>
      </c>
      <c r="L339" s="734">
        <v>12</v>
      </c>
      <c r="M339" s="736">
        <v>11</v>
      </c>
      <c r="N339" s="737">
        <v>421</v>
      </c>
      <c r="O339" s="737"/>
      <c r="P339" s="737">
        <v>1013</v>
      </c>
      <c r="Q339" s="737">
        <v>953</v>
      </c>
      <c r="R339" s="737"/>
      <c r="S339" s="737"/>
      <c r="T339" s="737">
        <v>66</v>
      </c>
      <c r="U339" s="738"/>
      <c r="V339" s="739">
        <v>417</v>
      </c>
      <c r="W339" s="737"/>
      <c r="X339" s="737">
        <v>1009</v>
      </c>
      <c r="Y339" s="737">
        <v>902</v>
      </c>
      <c r="Z339" s="1202">
        <v>71</v>
      </c>
      <c r="AA339" s="740"/>
      <c r="AB339" s="739">
        <v>0</v>
      </c>
      <c r="AC339" s="741"/>
      <c r="AD339" s="741">
        <v>290</v>
      </c>
      <c r="AE339" s="741">
        <v>360</v>
      </c>
      <c r="AF339" s="741">
        <v>0</v>
      </c>
      <c r="AG339" s="741">
        <v>105</v>
      </c>
      <c r="AH339" s="741">
        <v>2351</v>
      </c>
      <c r="AI339" s="741">
        <v>105</v>
      </c>
      <c r="AJ339" s="741">
        <v>98</v>
      </c>
      <c r="AK339" s="741">
        <v>0</v>
      </c>
      <c r="AL339" s="741">
        <v>123</v>
      </c>
      <c r="AM339" s="742">
        <v>1644</v>
      </c>
      <c r="AN339" s="743">
        <f t="shared" si="20"/>
        <v>0.99422809457579986</v>
      </c>
      <c r="AO339" s="744">
        <f t="shared" si="21"/>
        <v>1.0155374612626846</v>
      </c>
      <c r="AP339" s="745">
        <f>'09월 에너지'!S341</f>
        <v>147.9</v>
      </c>
    </row>
    <row r="340" spans="1:42" ht="16.5" customHeight="1">
      <c r="A340" s="999">
        <f>'09월 조업일지'!A340</f>
        <v>46277</v>
      </c>
      <c r="B340" s="1100">
        <f>'09월 조업일지'!B340</f>
        <v>46277</v>
      </c>
      <c r="C340" s="730">
        <f>'09월 조업일지'!G340</f>
        <v>85542</v>
      </c>
      <c r="D340" s="731" t="str">
        <f>'09월 조업일지'!E340</f>
        <v>A</v>
      </c>
      <c r="E340" s="732" t="str">
        <f>'09월 조업일지'!F340</f>
        <v>A</v>
      </c>
      <c r="F340" s="1096" t="str">
        <f>'09월 에너지'!F342</f>
        <v>A572-50-03</v>
      </c>
      <c r="G340" s="733">
        <v>14</v>
      </c>
      <c r="H340" s="734">
        <v>29</v>
      </c>
      <c r="I340" s="734">
        <v>126</v>
      </c>
      <c r="J340" s="734">
        <v>17</v>
      </c>
      <c r="K340" s="735">
        <v>32</v>
      </c>
      <c r="L340" s="734">
        <v>15</v>
      </c>
      <c r="M340" s="736">
        <v>11</v>
      </c>
      <c r="N340" s="737">
        <v>424</v>
      </c>
      <c r="O340" s="737"/>
      <c r="P340" s="737">
        <v>1000</v>
      </c>
      <c r="Q340" s="737">
        <v>952</v>
      </c>
      <c r="R340" s="737"/>
      <c r="S340" s="737"/>
      <c r="T340" s="737">
        <v>66</v>
      </c>
      <c r="U340" s="738"/>
      <c r="V340" s="739">
        <v>425</v>
      </c>
      <c r="W340" s="737"/>
      <c r="X340" s="737">
        <v>1001</v>
      </c>
      <c r="Y340" s="737">
        <v>917</v>
      </c>
      <c r="Z340" s="1202">
        <v>69</v>
      </c>
      <c r="AA340" s="740"/>
      <c r="AB340" s="739">
        <v>0</v>
      </c>
      <c r="AC340" s="741"/>
      <c r="AD340" s="741">
        <v>281</v>
      </c>
      <c r="AE340" s="741">
        <v>358</v>
      </c>
      <c r="AF340" s="741">
        <v>0</v>
      </c>
      <c r="AG340" s="741">
        <v>105</v>
      </c>
      <c r="AH340" s="741">
        <v>2352</v>
      </c>
      <c r="AI340" s="741">
        <v>108</v>
      </c>
      <c r="AJ340" s="741">
        <v>95</v>
      </c>
      <c r="AK340" s="741">
        <v>0</v>
      </c>
      <c r="AL340" s="741">
        <v>130</v>
      </c>
      <c r="AM340" s="742">
        <v>1939</v>
      </c>
      <c r="AN340" s="743">
        <f t="shared" si="20"/>
        <v>0.98672199170124486</v>
      </c>
      <c r="AO340" s="744">
        <f t="shared" si="21"/>
        <v>0.99511661807580176</v>
      </c>
      <c r="AP340" s="745">
        <f>'09월 에너지'!S342</f>
        <v>147.6</v>
      </c>
    </row>
    <row r="341" spans="1:42" ht="16.5" customHeight="1">
      <c r="A341" s="999">
        <f>'09월 조업일지'!A341</f>
        <v>46277</v>
      </c>
      <c r="B341" s="1100">
        <f>'09월 조업일지'!B341</f>
        <v>46277</v>
      </c>
      <c r="C341" s="730">
        <f>'09월 조업일지'!G341</f>
        <v>85543</v>
      </c>
      <c r="D341" s="731" t="str">
        <f>'09월 조업일지'!E341</f>
        <v>A</v>
      </c>
      <c r="E341" s="732" t="str">
        <f>'09월 조업일지'!F341</f>
        <v>B</v>
      </c>
      <c r="F341" s="1096" t="str">
        <f>'09월 에너지'!F343</f>
        <v>A572-50-03</v>
      </c>
      <c r="G341" s="733">
        <v>13</v>
      </c>
      <c r="H341" s="734">
        <v>30</v>
      </c>
      <c r="I341" s="734">
        <v>128</v>
      </c>
      <c r="J341" s="734">
        <v>18</v>
      </c>
      <c r="K341" s="735">
        <v>34</v>
      </c>
      <c r="L341" s="734">
        <v>15</v>
      </c>
      <c r="M341" s="736">
        <v>13</v>
      </c>
      <c r="N341" s="737">
        <v>417</v>
      </c>
      <c r="O341" s="737"/>
      <c r="P341" s="737">
        <v>1001</v>
      </c>
      <c r="Q341" s="737">
        <v>951</v>
      </c>
      <c r="R341" s="737"/>
      <c r="S341" s="737"/>
      <c r="T341" s="737">
        <v>60</v>
      </c>
      <c r="U341" s="738"/>
      <c r="V341" s="739">
        <v>423</v>
      </c>
      <c r="W341" s="737"/>
      <c r="X341" s="737">
        <v>1001</v>
      </c>
      <c r="Y341" s="737">
        <v>903</v>
      </c>
      <c r="Z341" s="1202">
        <v>67</v>
      </c>
      <c r="AA341" s="740"/>
      <c r="AB341" s="739">
        <v>0</v>
      </c>
      <c r="AC341" s="741"/>
      <c r="AD341" s="741">
        <v>281</v>
      </c>
      <c r="AE341" s="741">
        <v>360</v>
      </c>
      <c r="AF341" s="741">
        <v>0</v>
      </c>
      <c r="AG341" s="741">
        <v>105</v>
      </c>
      <c r="AH341" s="741">
        <v>2350</v>
      </c>
      <c r="AI341" s="741">
        <v>110</v>
      </c>
      <c r="AJ341" s="741">
        <v>94</v>
      </c>
      <c r="AK341" s="741">
        <v>0</v>
      </c>
      <c r="AL341" s="741">
        <v>120</v>
      </c>
      <c r="AM341" s="742">
        <v>983</v>
      </c>
      <c r="AN341" s="743">
        <f t="shared" si="20"/>
        <v>1.0006896551724138</v>
      </c>
      <c r="AO341" s="744">
        <f t="shared" si="21"/>
        <v>0.99673556231003047</v>
      </c>
      <c r="AP341" s="745">
        <f>'09월 에너지'!S343</f>
        <v>145.1</v>
      </c>
    </row>
    <row r="342" spans="1:42" ht="16.5" customHeight="1">
      <c r="A342" s="999">
        <f>'09월 조업일지'!A342</f>
        <v>46277</v>
      </c>
      <c r="B342" s="1100">
        <f>'09월 조업일지'!B342</f>
        <v>46277</v>
      </c>
      <c r="C342" s="730">
        <f>'09월 조업일지'!G342</f>
        <v>85544</v>
      </c>
      <c r="D342" s="731" t="str">
        <f>'09월 조업일지'!E342</f>
        <v>A</v>
      </c>
      <c r="E342" s="732" t="str">
        <f>'09월 조업일지'!F342</f>
        <v>A</v>
      </c>
      <c r="F342" s="1096" t="str">
        <f>'09월 에너지'!F344</f>
        <v>A572-50-03</v>
      </c>
      <c r="G342" s="733">
        <v>12</v>
      </c>
      <c r="H342" s="734">
        <v>25</v>
      </c>
      <c r="I342" s="734">
        <v>124</v>
      </c>
      <c r="J342" s="734">
        <v>14</v>
      </c>
      <c r="K342" s="735">
        <v>33</v>
      </c>
      <c r="L342" s="734">
        <v>15</v>
      </c>
      <c r="M342" s="736">
        <v>10</v>
      </c>
      <c r="N342" s="737">
        <v>414</v>
      </c>
      <c r="O342" s="737"/>
      <c r="P342" s="737">
        <v>1001</v>
      </c>
      <c r="Q342" s="737">
        <v>951</v>
      </c>
      <c r="R342" s="737"/>
      <c r="S342" s="737"/>
      <c r="T342" s="737">
        <v>68</v>
      </c>
      <c r="U342" s="738"/>
      <c r="V342" s="739">
        <v>420</v>
      </c>
      <c r="W342" s="737"/>
      <c r="X342" s="737">
        <v>1000</v>
      </c>
      <c r="Y342" s="737">
        <v>901</v>
      </c>
      <c r="Z342" s="1202">
        <v>68</v>
      </c>
      <c r="AA342" s="740"/>
      <c r="AB342" s="739">
        <v>0</v>
      </c>
      <c r="AC342" s="741"/>
      <c r="AD342" s="741">
        <v>280</v>
      </c>
      <c r="AE342" s="741">
        <v>361</v>
      </c>
      <c r="AF342" s="741">
        <v>0</v>
      </c>
      <c r="AG342" s="741">
        <v>105</v>
      </c>
      <c r="AH342" s="741">
        <v>2350</v>
      </c>
      <c r="AI342" s="741">
        <v>101</v>
      </c>
      <c r="AJ342" s="741">
        <v>93</v>
      </c>
      <c r="AK342" s="741">
        <v>0</v>
      </c>
      <c r="AL342" s="741">
        <v>118</v>
      </c>
      <c r="AM342" s="742">
        <v>1535</v>
      </c>
      <c r="AN342" s="743">
        <f t="shared" si="20"/>
        <v>0.85755983654407475</v>
      </c>
      <c r="AO342" s="744">
        <f t="shared" si="21"/>
        <v>0.97337993920972643</v>
      </c>
      <c r="AP342" s="745">
        <f>'09월 에너지'!S344</f>
        <v>146.9</v>
      </c>
    </row>
    <row r="343" spans="1:42" ht="16.5" customHeight="1">
      <c r="A343" s="999">
        <f>'09월 조업일지'!A343</f>
        <v>46277</v>
      </c>
      <c r="B343" s="1100">
        <f>'09월 조업일지'!B343</f>
        <v>46277</v>
      </c>
      <c r="C343" s="730">
        <f>'09월 조업일지'!G343</f>
        <v>85545</v>
      </c>
      <c r="D343" s="731" t="str">
        <f>'09월 조업일지'!E343</f>
        <v>A</v>
      </c>
      <c r="E343" s="732" t="str">
        <f>'09월 조업일지'!F343</f>
        <v>B</v>
      </c>
      <c r="F343" s="1096" t="str">
        <f>'09월 에너지'!F345</f>
        <v>S355JO-01</v>
      </c>
      <c r="G343" s="733">
        <v>13</v>
      </c>
      <c r="H343" s="734">
        <v>23</v>
      </c>
      <c r="I343" s="734">
        <v>129</v>
      </c>
      <c r="J343" s="734">
        <v>17</v>
      </c>
      <c r="K343" s="735">
        <v>33</v>
      </c>
      <c r="L343" s="734">
        <v>16</v>
      </c>
      <c r="M343" s="736">
        <v>11</v>
      </c>
      <c r="N343" s="737">
        <v>420</v>
      </c>
      <c r="O343" s="737"/>
      <c r="P343" s="737">
        <v>1000</v>
      </c>
      <c r="Q343" s="737">
        <v>952</v>
      </c>
      <c r="R343" s="737"/>
      <c r="S343" s="737"/>
      <c r="T343" s="737">
        <v>0</v>
      </c>
      <c r="U343" s="738"/>
      <c r="V343" s="739">
        <v>418</v>
      </c>
      <c r="W343" s="737"/>
      <c r="X343" s="737">
        <v>1000</v>
      </c>
      <c r="Y343" s="737">
        <v>901</v>
      </c>
      <c r="Z343" s="1202">
        <v>0</v>
      </c>
      <c r="AA343" s="740"/>
      <c r="AB343" s="739">
        <v>0</v>
      </c>
      <c r="AC343" s="741"/>
      <c r="AD343" s="741">
        <v>280</v>
      </c>
      <c r="AE343" s="741">
        <v>338</v>
      </c>
      <c r="AF343" s="741">
        <v>0</v>
      </c>
      <c r="AG343" s="741">
        <v>95</v>
      </c>
      <c r="AH343" s="741">
        <v>2351</v>
      </c>
      <c r="AI343" s="741">
        <v>0</v>
      </c>
      <c r="AJ343" s="741">
        <v>86</v>
      </c>
      <c r="AK343" s="741">
        <v>0</v>
      </c>
      <c r="AL343" s="741">
        <v>128</v>
      </c>
      <c r="AM343" s="742">
        <v>2966</v>
      </c>
      <c r="AN343" s="743">
        <f t="shared" si="20"/>
        <v>0.93395718134127337</v>
      </c>
      <c r="AO343" s="744">
        <f t="shared" si="21"/>
        <v>0.99196694415750153</v>
      </c>
      <c r="AP343" s="745">
        <f>'09월 에너지'!S345</f>
        <v>143.19999999999999</v>
      </c>
    </row>
    <row r="344" spans="1:42" ht="16.5" customHeight="1">
      <c r="A344" s="999">
        <f>'09월 조업일지'!A344</f>
        <v>46277</v>
      </c>
      <c r="B344" s="1100">
        <f>'09월 조업일지'!B344</f>
        <v>46277</v>
      </c>
      <c r="C344" s="730">
        <f>'09월 조업일지'!G344</f>
        <v>85546</v>
      </c>
      <c r="D344" s="731" t="str">
        <f>'09월 조업일지'!E344</f>
        <v>A</v>
      </c>
      <c r="E344" s="732" t="str">
        <f>'09월 조업일지'!F344</f>
        <v>A</v>
      </c>
      <c r="F344" s="1096" t="str">
        <f>'09월 에너지'!F346</f>
        <v>S355JO-01</v>
      </c>
      <c r="G344" s="733">
        <v>10</v>
      </c>
      <c r="H344" s="734">
        <v>22</v>
      </c>
      <c r="I344" s="734">
        <v>123</v>
      </c>
      <c r="J344" s="734">
        <v>16</v>
      </c>
      <c r="K344" s="735">
        <v>45</v>
      </c>
      <c r="L344" s="734">
        <v>14</v>
      </c>
      <c r="M344" s="736">
        <v>9</v>
      </c>
      <c r="N344" s="737">
        <v>422</v>
      </c>
      <c r="O344" s="737"/>
      <c r="P344" s="737">
        <v>1001</v>
      </c>
      <c r="Q344" s="737">
        <v>954</v>
      </c>
      <c r="R344" s="737"/>
      <c r="S344" s="737"/>
      <c r="T344" s="737">
        <v>0</v>
      </c>
      <c r="U344" s="738"/>
      <c r="V344" s="739">
        <v>415</v>
      </c>
      <c r="W344" s="737"/>
      <c r="X344" s="737">
        <v>1001</v>
      </c>
      <c r="Y344" s="737">
        <v>911</v>
      </c>
      <c r="Z344" s="1202">
        <v>0</v>
      </c>
      <c r="AA344" s="740"/>
      <c r="AB344" s="739">
        <v>0</v>
      </c>
      <c r="AC344" s="741"/>
      <c r="AD344" s="741">
        <v>281</v>
      </c>
      <c r="AE344" s="741">
        <v>341</v>
      </c>
      <c r="AF344" s="741">
        <v>0</v>
      </c>
      <c r="AG344" s="741">
        <v>95</v>
      </c>
      <c r="AH344" s="741">
        <v>2346</v>
      </c>
      <c r="AI344" s="741">
        <v>0</v>
      </c>
      <c r="AJ344" s="741">
        <v>82</v>
      </c>
      <c r="AK344" s="741">
        <v>0</v>
      </c>
      <c r="AL344" s="741">
        <v>131</v>
      </c>
      <c r="AM344" s="742">
        <v>2150</v>
      </c>
      <c r="AN344" s="743">
        <f t="shared" si="20"/>
        <v>0.90525717533390171</v>
      </c>
      <c r="AO344" s="744">
        <f t="shared" si="21"/>
        <v>0.95228352210449407</v>
      </c>
      <c r="AP344" s="745">
        <f>'09월 에너지'!S346</f>
        <v>144.80000000000001</v>
      </c>
    </row>
    <row r="345" spans="1:42" ht="16.5" customHeight="1">
      <c r="A345" s="999">
        <f>'09월 조업일지'!A345</f>
        <v>46277</v>
      </c>
      <c r="B345" s="1100">
        <f>'09월 조업일지'!B345</f>
        <v>46277</v>
      </c>
      <c r="C345" s="730">
        <f>'09월 조업일지'!G345</f>
        <v>85547</v>
      </c>
      <c r="D345" s="731" t="str">
        <f>'09월 조업일지'!E345</f>
        <v>A</v>
      </c>
      <c r="E345" s="732" t="str">
        <f>'09월 조업일지'!F345</f>
        <v>B</v>
      </c>
      <c r="F345" s="1096" t="str">
        <f>'09월 에너지'!F347</f>
        <v>S355JO-01</v>
      </c>
      <c r="G345" s="733">
        <v>14</v>
      </c>
      <c r="H345" s="734">
        <v>23</v>
      </c>
      <c r="I345" s="734">
        <v>130</v>
      </c>
      <c r="J345" s="734">
        <v>18</v>
      </c>
      <c r="K345" s="735">
        <v>33</v>
      </c>
      <c r="L345" s="734">
        <v>13</v>
      </c>
      <c r="M345" s="736">
        <v>8</v>
      </c>
      <c r="N345" s="737">
        <v>420</v>
      </c>
      <c r="O345" s="737"/>
      <c r="P345" s="737">
        <v>1000</v>
      </c>
      <c r="Q345" s="737">
        <v>952</v>
      </c>
      <c r="R345" s="737"/>
      <c r="S345" s="737"/>
      <c r="T345" s="737"/>
      <c r="U345" s="738"/>
      <c r="V345" s="739">
        <v>424</v>
      </c>
      <c r="W345" s="737"/>
      <c r="X345" s="737">
        <v>1000</v>
      </c>
      <c r="Y345" s="737">
        <v>901</v>
      </c>
      <c r="Z345" s="1202"/>
      <c r="AA345" s="740"/>
      <c r="AB345" s="739"/>
      <c r="AC345" s="741"/>
      <c r="AD345" s="741">
        <v>280</v>
      </c>
      <c r="AE345" s="741">
        <v>338</v>
      </c>
      <c r="AF345" s="741"/>
      <c r="AG345" s="741">
        <v>96</v>
      </c>
      <c r="AH345" s="741">
        <v>2351</v>
      </c>
      <c r="AI345" s="741"/>
      <c r="AJ345" s="741">
        <v>83</v>
      </c>
      <c r="AK345" s="741"/>
      <c r="AL345" s="741">
        <v>119</v>
      </c>
      <c r="AM345" s="742">
        <v>1826</v>
      </c>
      <c r="AN345" s="743">
        <f t="shared" si="20"/>
        <v>0.93982702396143492</v>
      </c>
      <c r="AO345" s="744">
        <f t="shared" si="21"/>
        <v>1.0069575256729661</v>
      </c>
      <c r="AP345" s="745">
        <f>'09월 에너지'!S347</f>
        <v>144.1</v>
      </c>
    </row>
    <row r="346" spans="1:42" ht="16.5" customHeight="1">
      <c r="A346" s="999">
        <f>'09월 조업일지'!A346</f>
        <v>46277</v>
      </c>
      <c r="B346" s="1100">
        <f>'09월 조업일지'!B346</f>
        <v>46277</v>
      </c>
      <c r="C346" s="730">
        <f>'09월 조업일지'!G346</f>
        <v>85548</v>
      </c>
      <c r="D346" s="731" t="str">
        <f>'09월 조업일지'!E346</f>
        <v>B</v>
      </c>
      <c r="E346" s="732" t="str">
        <f>'09월 조업일지'!F346</f>
        <v>A</v>
      </c>
      <c r="F346" s="1096" t="str">
        <f>'09월 에너지'!F348</f>
        <v>S355JO-01</v>
      </c>
      <c r="G346" s="733">
        <v>10</v>
      </c>
      <c r="H346" s="734">
        <v>17</v>
      </c>
      <c r="I346" s="734">
        <v>123</v>
      </c>
      <c r="J346" s="734">
        <v>15</v>
      </c>
      <c r="K346" s="735">
        <v>38</v>
      </c>
      <c r="L346" s="734">
        <v>16</v>
      </c>
      <c r="M346" s="736">
        <v>10</v>
      </c>
      <c r="N346" s="737">
        <v>415</v>
      </c>
      <c r="O346" s="737"/>
      <c r="P346" s="737">
        <v>1001</v>
      </c>
      <c r="Q346" s="737">
        <v>954</v>
      </c>
      <c r="R346" s="737"/>
      <c r="S346" s="737"/>
      <c r="T346" s="737"/>
      <c r="U346" s="738"/>
      <c r="V346" s="739">
        <v>426</v>
      </c>
      <c r="W346" s="737"/>
      <c r="X346" s="737">
        <v>1001</v>
      </c>
      <c r="Y346" s="737">
        <v>911</v>
      </c>
      <c r="Z346" s="1202"/>
      <c r="AA346" s="740"/>
      <c r="AB346" s="739"/>
      <c r="AC346" s="741"/>
      <c r="AD346" s="741">
        <v>281</v>
      </c>
      <c r="AE346" s="741">
        <v>341</v>
      </c>
      <c r="AF346" s="741"/>
      <c r="AG346" s="741">
        <v>95</v>
      </c>
      <c r="AH346" s="741">
        <v>2345</v>
      </c>
      <c r="AI346" s="741"/>
      <c r="AJ346" s="741">
        <v>83</v>
      </c>
      <c r="AK346" s="741"/>
      <c r="AL346" s="741">
        <v>118</v>
      </c>
      <c r="AM346" s="742">
        <v>2526</v>
      </c>
      <c r="AN346" s="743">
        <f t="shared" si="20"/>
        <v>0.7114143567874911</v>
      </c>
      <c r="AO346" s="744">
        <f t="shared" si="21"/>
        <v>0.96848004873591231</v>
      </c>
      <c r="AP346" s="745">
        <f>'09월 에너지'!S348</f>
        <v>147.19999999999999</v>
      </c>
    </row>
    <row r="347" spans="1:42" ht="16.5" customHeight="1">
      <c r="A347" s="999">
        <f>'09월 조업일지'!A347</f>
        <v>46277</v>
      </c>
      <c r="B347" s="1100">
        <f>'09월 조업일지'!B347</f>
        <v>46277</v>
      </c>
      <c r="C347" s="730">
        <f>'09월 조업일지'!G347</f>
        <v>85549</v>
      </c>
      <c r="D347" s="731" t="str">
        <f>'09월 조업일지'!E347</f>
        <v>B</v>
      </c>
      <c r="E347" s="732" t="str">
        <f>'09월 조업일지'!F347</f>
        <v>B</v>
      </c>
      <c r="F347" s="1096" t="str">
        <f>'09월 에너지'!F349</f>
        <v>S355JO-01</v>
      </c>
      <c r="G347" s="733">
        <v>11</v>
      </c>
      <c r="H347" s="734">
        <v>23</v>
      </c>
      <c r="I347" s="734">
        <v>126</v>
      </c>
      <c r="J347" s="734">
        <v>16</v>
      </c>
      <c r="K347" s="735">
        <v>33</v>
      </c>
      <c r="L347" s="734">
        <v>15</v>
      </c>
      <c r="M347" s="736">
        <v>12</v>
      </c>
      <c r="N347" s="737">
        <v>423</v>
      </c>
      <c r="O347" s="737"/>
      <c r="P347" s="737">
        <v>1000</v>
      </c>
      <c r="Q347" s="737">
        <v>955</v>
      </c>
      <c r="R347" s="737"/>
      <c r="S347" s="737"/>
      <c r="T347" s="737"/>
      <c r="U347" s="738"/>
      <c r="V347" s="739">
        <v>421</v>
      </c>
      <c r="W347" s="737"/>
      <c r="X347" s="737">
        <v>1001</v>
      </c>
      <c r="Y347" s="737">
        <v>906</v>
      </c>
      <c r="Z347" s="1202"/>
      <c r="AA347" s="740"/>
      <c r="AB347" s="739"/>
      <c r="AC347" s="741"/>
      <c r="AD347" s="741">
        <v>281</v>
      </c>
      <c r="AE347" s="741">
        <v>338</v>
      </c>
      <c r="AF347" s="741"/>
      <c r="AG347" s="741">
        <v>95</v>
      </c>
      <c r="AH347" s="741">
        <v>2350</v>
      </c>
      <c r="AI347" s="741"/>
      <c r="AJ347" s="741">
        <v>86</v>
      </c>
      <c r="AK347" s="741"/>
      <c r="AL347" s="741">
        <v>121</v>
      </c>
      <c r="AM347" s="742">
        <v>1012</v>
      </c>
      <c r="AN347" s="743">
        <f t="shared" si="20"/>
        <v>0.92717730496453898</v>
      </c>
      <c r="AO347" s="744">
        <f t="shared" si="21"/>
        <v>0.95885106382978724</v>
      </c>
      <c r="AP347" s="745">
        <f>'09월 에너지'!S349</f>
        <v>142.1</v>
      </c>
    </row>
    <row r="348" spans="1:42" ht="16.5" customHeight="1">
      <c r="A348" s="999">
        <f>'09월 조업일지'!A348</f>
        <v>46277</v>
      </c>
      <c r="B348" s="1100">
        <f>'09월 조업일지'!B348</f>
        <v>46277</v>
      </c>
      <c r="C348" s="730">
        <f>'09월 조업일지'!G348</f>
        <v>85550</v>
      </c>
      <c r="D348" s="731" t="str">
        <f>'09월 조업일지'!E348</f>
        <v>B</v>
      </c>
      <c r="E348" s="732" t="str">
        <f>'09월 조업일지'!F348</f>
        <v>A</v>
      </c>
      <c r="F348" s="1096" t="str">
        <f>'09월 에너지'!F350</f>
        <v>S355JO-01</v>
      </c>
      <c r="G348" s="733">
        <v>15</v>
      </c>
      <c r="H348" s="734">
        <v>15</v>
      </c>
      <c r="I348" s="734">
        <v>118</v>
      </c>
      <c r="J348" s="734">
        <v>15</v>
      </c>
      <c r="K348" s="735">
        <v>39</v>
      </c>
      <c r="L348" s="734">
        <v>12</v>
      </c>
      <c r="M348" s="736">
        <v>10</v>
      </c>
      <c r="N348" s="737">
        <v>424</v>
      </c>
      <c r="O348" s="737"/>
      <c r="P348" s="737">
        <v>1001</v>
      </c>
      <c r="Q348" s="737">
        <v>953</v>
      </c>
      <c r="R348" s="737"/>
      <c r="S348" s="737"/>
      <c r="T348" s="737"/>
      <c r="U348" s="738"/>
      <c r="V348" s="739">
        <v>420</v>
      </c>
      <c r="W348" s="737"/>
      <c r="X348" s="737">
        <v>1000</v>
      </c>
      <c r="Y348" s="737">
        <v>901</v>
      </c>
      <c r="Z348" s="1202"/>
      <c r="AA348" s="740"/>
      <c r="AB348" s="739"/>
      <c r="AC348" s="741"/>
      <c r="AD348" s="741">
        <v>281</v>
      </c>
      <c r="AE348" s="741">
        <v>336</v>
      </c>
      <c r="AF348" s="741"/>
      <c r="AG348" s="741">
        <v>95</v>
      </c>
      <c r="AH348" s="741">
        <v>2360</v>
      </c>
      <c r="AI348" s="741"/>
      <c r="AJ348" s="741">
        <v>88</v>
      </c>
      <c r="AK348" s="741"/>
      <c r="AL348" s="741">
        <v>129</v>
      </c>
      <c r="AM348" s="742">
        <v>1706</v>
      </c>
      <c r="AN348" s="743">
        <f t="shared" si="20"/>
        <v>0.62881355932203387</v>
      </c>
      <c r="AO348" s="744">
        <f t="shared" si="21"/>
        <v>0.92525423728813561</v>
      </c>
      <c r="AP348" s="745">
        <f>'09월 에너지'!S350</f>
        <v>148.4</v>
      </c>
    </row>
    <row r="349" spans="1:42" ht="16.5" customHeight="1">
      <c r="A349" s="999">
        <f>'09월 조업일지'!A349</f>
        <v>46277</v>
      </c>
      <c r="B349" s="1100">
        <f>'09월 조업일지'!B349</f>
        <v>46277</v>
      </c>
      <c r="C349" s="730">
        <f>'09월 조업일지'!G349</f>
        <v>85551</v>
      </c>
      <c r="D349" s="731" t="str">
        <f>'09월 조업일지'!E349</f>
        <v>B</v>
      </c>
      <c r="E349" s="732" t="str">
        <f>'09월 조업일지'!F349</f>
        <v>B</v>
      </c>
      <c r="F349" s="1096" t="str">
        <f>'09월 에너지'!F351</f>
        <v>S355JO-01</v>
      </c>
      <c r="G349" s="733">
        <v>11</v>
      </c>
      <c r="H349" s="734">
        <v>21</v>
      </c>
      <c r="I349" s="734">
        <v>123</v>
      </c>
      <c r="J349" s="734">
        <v>14</v>
      </c>
      <c r="K349" s="735">
        <v>33</v>
      </c>
      <c r="L349" s="734">
        <v>13</v>
      </c>
      <c r="M349" s="736">
        <v>14</v>
      </c>
      <c r="N349" s="737">
        <v>423</v>
      </c>
      <c r="O349" s="737"/>
      <c r="P349" s="737">
        <v>1001</v>
      </c>
      <c r="Q349" s="737">
        <v>952</v>
      </c>
      <c r="R349" s="737"/>
      <c r="S349" s="737"/>
      <c r="T349" s="737"/>
      <c r="U349" s="738"/>
      <c r="V349" s="739">
        <v>414</v>
      </c>
      <c r="W349" s="737"/>
      <c r="X349" s="737">
        <v>1000</v>
      </c>
      <c r="Y349" s="737">
        <v>902</v>
      </c>
      <c r="Z349" s="1202"/>
      <c r="AA349" s="740"/>
      <c r="AB349" s="739"/>
      <c r="AC349" s="741"/>
      <c r="AD349" s="741">
        <v>281</v>
      </c>
      <c r="AE349" s="741">
        <v>343</v>
      </c>
      <c r="AF349" s="741"/>
      <c r="AG349" s="741">
        <v>96</v>
      </c>
      <c r="AH349" s="741">
        <v>2356</v>
      </c>
      <c r="AI349" s="741"/>
      <c r="AJ349" s="741">
        <v>82</v>
      </c>
      <c r="AK349" s="741"/>
      <c r="AL349" s="741">
        <v>126</v>
      </c>
      <c r="AM349" s="742">
        <v>1423</v>
      </c>
      <c r="AN349" s="743">
        <f t="shared" si="20"/>
        <v>0.85449915110356545</v>
      </c>
      <c r="AO349" s="744">
        <f t="shared" si="21"/>
        <v>0.94169294203250065</v>
      </c>
      <c r="AP349" s="745">
        <f>'09월 에너지'!S351</f>
        <v>143.80000000000001</v>
      </c>
    </row>
    <row r="350" spans="1:42" ht="16.5" customHeight="1">
      <c r="A350" s="999">
        <f>'09월 조업일지'!A350</f>
        <v>46277</v>
      </c>
      <c r="B350" s="1100">
        <f>'09월 조업일지'!B350</f>
        <v>46277</v>
      </c>
      <c r="C350" s="730">
        <f>'09월 조업일지'!G350</f>
        <v>85552</v>
      </c>
      <c r="D350" s="731" t="str">
        <f>'09월 조업일지'!E350</f>
        <v>B</v>
      </c>
      <c r="E350" s="732" t="str">
        <f>'09월 조업일지'!F350</f>
        <v>A</v>
      </c>
      <c r="F350" s="1096" t="str">
        <f>'09월 에너지'!F352</f>
        <v>S355JO-01</v>
      </c>
      <c r="G350" s="733">
        <v>10</v>
      </c>
      <c r="H350" s="734">
        <v>15</v>
      </c>
      <c r="I350" s="734">
        <v>120</v>
      </c>
      <c r="J350" s="734">
        <v>16</v>
      </c>
      <c r="K350" s="735">
        <v>46</v>
      </c>
      <c r="L350" s="734">
        <v>16</v>
      </c>
      <c r="M350" s="736">
        <v>12</v>
      </c>
      <c r="N350" s="737">
        <v>420</v>
      </c>
      <c r="O350" s="737"/>
      <c r="P350" s="737">
        <v>1000</v>
      </c>
      <c r="Q350" s="737">
        <v>954</v>
      </c>
      <c r="R350" s="737"/>
      <c r="S350" s="737"/>
      <c r="T350" s="737"/>
      <c r="U350" s="738"/>
      <c r="V350" s="739">
        <v>423</v>
      </c>
      <c r="W350" s="737"/>
      <c r="X350" s="737">
        <v>1001</v>
      </c>
      <c r="Y350" s="737">
        <v>901</v>
      </c>
      <c r="Z350" s="1202"/>
      <c r="AA350" s="740"/>
      <c r="AB350" s="739"/>
      <c r="AC350" s="741"/>
      <c r="AD350" s="741">
        <v>281</v>
      </c>
      <c r="AE350" s="741">
        <v>343</v>
      </c>
      <c r="AF350" s="741"/>
      <c r="AG350" s="741">
        <v>95</v>
      </c>
      <c r="AH350" s="741">
        <v>2358</v>
      </c>
      <c r="AI350" s="741"/>
      <c r="AJ350" s="741">
        <v>81</v>
      </c>
      <c r="AK350" s="741"/>
      <c r="AL350" s="741">
        <v>119</v>
      </c>
      <c r="AM350" s="742">
        <v>1952</v>
      </c>
      <c r="AN350" s="743">
        <f t="shared" si="20"/>
        <v>0.62637828668363027</v>
      </c>
      <c r="AO350" s="744">
        <f t="shared" si="21"/>
        <v>0.93956743002544529</v>
      </c>
      <c r="AP350" s="745">
        <f>'09월 에너지'!S352</f>
        <v>147.69999999999999</v>
      </c>
    </row>
    <row r="351" spans="1:42" ht="16.5" customHeight="1">
      <c r="A351" s="999">
        <f>'09월 조업일지'!A351</f>
        <v>46277</v>
      </c>
      <c r="B351" s="1100">
        <f>'09월 조업일지'!B351</f>
        <v>46277</v>
      </c>
      <c r="C351" s="730">
        <f>'09월 조업일지'!G351</f>
        <v>85553</v>
      </c>
      <c r="D351" s="731" t="str">
        <f>'09월 조업일지'!E351</f>
        <v>B</v>
      </c>
      <c r="E351" s="732" t="str">
        <f>'09월 조업일지'!F351</f>
        <v>B</v>
      </c>
      <c r="F351" s="1096" t="str">
        <f>'09월 에너지'!F353</f>
        <v>S355JO-01</v>
      </c>
      <c r="G351" s="733">
        <v>13</v>
      </c>
      <c r="H351" s="734">
        <v>23</v>
      </c>
      <c r="I351" s="734">
        <v>130</v>
      </c>
      <c r="J351" s="734">
        <v>16</v>
      </c>
      <c r="K351" s="735">
        <v>28</v>
      </c>
      <c r="L351" s="734">
        <v>13</v>
      </c>
      <c r="M351" s="736">
        <v>8</v>
      </c>
      <c r="N351" s="737">
        <v>416</v>
      </c>
      <c r="O351" s="737"/>
      <c r="P351" s="737">
        <v>1001</v>
      </c>
      <c r="Q351" s="737">
        <v>953</v>
      </c>
      <c r="R351" s="737"/>
      <c r="S351" s="737"/>
      <c r="T351" s="737"/>
      <c r="U351" s="738"/>
      <c r="V351" s="739">
        <v>413</v>
      </c>
      <c r="W351" s="737"/>
      <c r="X351" s="737">
        <v>1000</v>
      </c>
      <c r="Y351" s="737">
        <v>906</v>
      </c>
      <c r="Z351" s="1202"/>
      <c r="AA351" s="740"/>
      <c r="AB351" s="739"/>
      <c r="AC351" s="741"/>
      <c r="AD351" s="741">
        <v>280</v>
      </c>
      <c r="AE351" s="741">
        <v>343</v>
      </c>
      <c r="AF351" s="741"/>
      <c r="AG351" s="741">
        <v>95</v>
      </c>
      <c r="AH351" s="741">
        <v>2360</v>
      </c>
      <c r="AI351" s="741"/>
      <c r="AJ351" s="741">
        <v>81</v>
      </c>
      <c r="AK351" s="741"/>
      <c r="AL351" s="741">
        <v>118</v>
      </c>
      <c r="AM351" s="742">
        <v>1596</v>
      </c>
      <c r="AN351" s="743">
        <f t="shared" si="20"/>
        <v>0.93949152542372882</v>
      </c>
      <c r="AO351" s="744">
        <f t="shared" si="21"/>
        <v>1.0065980629539952</v>
      </c>
      <c r="AP351" s="745">
        <f>'09월 에너지'!S353</f>
        <v>144.6</v>
      </c>
    </row>
    <row r="352" spans="1:42" ht="16.5" customHeight="1">
      <c r="A352" s="999">
        <f>'09월 조업일지'!A352</f>
        <v>46278</v>
      </c>
      <c r="B352" s="1100">
        <f>'09월 조업일지'!B352</f>
        <v>46277</v>
      </c>
      <c r="C352" s="730">
        <f>'09월 조업일지'!G352</f>
        <v>85554</v>
      </c>
      <c r="D352" s="731" t="str">
        <f>'09월 조업일지'!E352</f>
        <v>B</v>
      </c>
      <c r="E352" s="732" t="str">
        <f>'09월 조업일지'!F352</f>
        <v>A</v>
      </c>
      <c r="F352" s="1096" t="str">
        <f>'09월 에너지'!F354</f>
        <v>S355JO-01</v>
      </c>
      <c r="G352" s="733">
        <v>10</v>
      </c>
      <c r="H352" s="734">
        <v>18</v>
      </c>
      <c r="I352" s="734">
        <v>121</v>
      </c>
      <c r="J352" s="734">
        <v>15</v>
      </c>
      <c r="K352" s="735">
        <v>43</v>
      </c>
      <c r="L352" s="734">
        <v>13</v>
      </c>
      <c r="M352" s="736">
        <v>8</v>
      </c>
      <c r="N352" s="737">
        <v>419</v>
      </c>
      <c r="O352" s="737"/>
      <c r="P352" s="737">
        <v>1001</v>
      </c>
      <c r="Q352" s="737">
        <v>956</v>
      </c>
      <c r="R352" s="737"/>
      <c r="S352" s="737"/>
      <c r="T352" s="737"/>
      <c r="U352" s="738"/>
      <c r="V352" s="739">
        <v>426</v>
      </c>
      <c r="W352" s="737"/>
      <c r="X352" s="737">
        <v>1001</v>
      </c>
      <c r="Y352" s="737">
        <v>905</v>
      </c>
      <c r="Z352" s="1202"/>
      <c r="AA352" s="740"/>
      <c r="AB352" s="739"/>
      <c r="AC352" s="741"/>
      <c r="AD352" s="741">
        <v>280</v>
      </c>
      <c r="AE352" s="741">
        <v>342</v>
      </c>
      <c r="AF352" s="741"/>
      <c r="AG352" s="741">
        <v>96</v>
      </c>
      <c r="AH352" s="741">
        <v>2356</v>
      </c>
      <c r="AI352" s="741">
        <v>106</v>
      </c>
      <c r="AJ352" s="741">
        <v>87</v>
      </c>
      <c r="AK352" s="741"/>
      <c r="AL352" s="741">
        <v>118</v>
      </c>
      <c r="AM352" s="742">
        <v>2215</v>
      </c>
      <c r="AN352" s="743">
        <f t="shared" si="20"/>
        <v>0.59833679833679831</v>
      </c>
      <c r="AO352" s="744">
        <f t="shared" si="21"/>
        <v>0.92489691971865151</v>
      </c>
      <c r="AP352" s="745">
        <f>'09월 에너지'!S354</f>
        <v>143.9</v>
      </c>
    </row>
    <row r="353" spans="1:42" ht="16.5" customHeight="1">
      <c r="A353" s="999">
        <f>'09월 조업일지'!A353</f>
        <v>46278</v>
      </c>
      <c r="B353" s="1100">
        <f>'09월 조업일지'!B353</f>
        <v>46277</v>
      </c>
      <c r="C353" s="730">
        <f>'09월 조업일지'!G353</f>
        <v>85555</v>
      </c>
      <c r="D353" s="731" t="str">
        <f>'09월 조업일지'!E353</f>
        <v>B</v>
      </c>
      <c r="E353" s="732" t="str">
        <f>'09월 조업일지'!F353</f>
        <v>B</v>
      </c>
      <c r="F353" s="1096" t="str">
        <f>'09월 에너지'!F355</f>
        <v>S355JO-01</v>
      </c>
      <c r="G353" s="733">
        <v>9</v>
      </c>
      <c r="H353" s="734">
        <v>18</v>
      </c>
      <c r="I353" s="734">
        <v>125</v>
      </c>
      <c r="J353" s="734">
        <v>17</v>
      </c>
      <c r="K353" s="735">
        <v>36</v>
      </c>
      <c r="L353" s="734">
        <v>12</v>
      </c>
      <c r="M353" s="736">
        <v>10</v>
      </c>
      <c r="N353" s="737">
        <v>421</v>
      </c>
      <c r="O353" s="737"/>
      <c r="P353" s="737">
        <v>1000</v>
      </c>
      <c r="Q353" s="737">
        <v>951</v>
      </c>
      <c r="R353" s="737"/>
      <c r="S353" s="737"/>
      <c r="T353" s="737"/>
      <c r="U353" s="738"/>
      <c r="V353" s="739">
        <v>420</v>
      </c>
      <c r="W353" s="737"/>
      <c r="X353" s="737">
        <v>1000</v>
      </c>
      <c r="Y353" s="737">
        <v>904</v>
      </c>
      <c r="Z353" s="1202"/>
      <c r="AA353" s="740"/>
      <c r="AB353" s="739"/>
      <c r="AC353" s="741"/>
      <c r="AD353" s="741">
        <v>281</v>
      </c>
      <c r="AE353" s="741">
        <v>341</v>
      </c>
      <c r="AF353" s="741"/>
      <c r="AG353" s="741">
        <v>95</v>
      </c>
      <c r="AH353" s="741">
        <v>2356</v>
      </c>
      <c r="AI353" s="741"/>
      <c r="AJ353" s="741">
        <v>94</v>
      </c>
      <c r="AK353" s="741"/>
      <c r="AL353" s="741">
        <v>125</v>
      </c>
      <c r="AM353" s="742">
        <v>2011</v>
      </c>
      <c r="AN353" s="743">
        <f t="shared" si="20"/>
        <v>0.73650254668930393</v>
      </c>
      <c r="AO353" s="744">
        <f t="shared" si="21"/>
        <v>0.96446762066456471</v>
      </c>
      <c r="AP353" s="745">
        <f>'09월 에너지'!S355</f>
        <v>144.6</v>
      </c>
    </row>
    <row r="354" spans="1:42" ht="16.5" customHeight="1">
      <c r="A354" s="999">
        <f>'09월 조업일지'!A354</f>
        <v>46278</v>
      </c>
      <c r="B354" s="1100">
        <f>'09월 조업일지'!B354</f>
        <v>46277</v>
      </c>
      <c r="C354" s="730">
        <f>'09월 조업일지'!G354</f>
        <v>85556</v>
      </c>
      <c r="D354" s="731" t="str">
        <f>'09월 조업일지'!E354</f>
        <v>B</v>
      </c>
      <c r="E354" s="732" t="str">
        <f>'09월 조업일지'!F354</f>
        <v>A</v>
      </c>
      <c r="F354" s="1096" t="str">
        <f>'09월 에너지'!F356</f>
        <v>S355JO-01</v>
      </c>
      <c r="G354" s="733">
        <v>10</v>
      </c>
      <c r="H354" s="734">
        <v>18</v>
      </c>
      <c r="I354" s="734">
        <v>127</v>
      </c>
      <c r="J354" s="734">
        <v>17</v>
      </c>
      <c r="K354" s="735">
        <v>36</v>
      </c>
      <c r="L354" s="734">
        <v>12</v>
      </c>
      <c r="M354" s="736">
        <v>11</v>
      </c>
      <c r="N354" s="737">
        <v>423</v>
      </c>
      <c r="O354" s="737"/>
      <c r="P354" s="737">
        <v>1001</v>
      </c>
      <c r="Q354" s="737">
        <v>954</v>
      </c>
      <c r="R354" s="737"/>
      <c r="S354" s="737"/>
      <c r="T354" s="737"/>
      <c r="U354" s="738"/>
      <c r="V354" s="739">
        <v>418</v>
      </c>
      <c r="W354" s="737"/>
      <c r="X354" s="737">
        <v>1000</v>
      </c>
      <c r="Y354" s="737">
        <v>907</v>
      </c>
      <c r="Z354" s="1202"/>
      <c r="AA354" s="740"/>
      <c r="AB354" s="739"/>
      <c r="AC354" s="741"/>
      <c r="AD354" s="741">
        <v>280</v>
      </c>
      <c r="AE354" s="741">
        <v>339</v>
      </c>
      <c r="AF354" s="741"/>
      <c r="AG354" s="741">
        <v>95</v>
      </c>
      <c r="AH354" s="741">
        <v>2354</v>
      </c>
      <c r="AI354" s="741"/>
      <c r="AJ354" s="741">
        <v>87</v>
      </c>
      <c r="AK354" s="741"/>
      <c r="AL354" s="741">
        <v>119</v>
      </c>
      <c r="AM354" s="742">
        <v>3208</v>
      </c>
      <c r="AN354" s="743">
        <f t="shared" si="20"/>
        <v>0.73916737468139349</v>
      </c>
      <c r="AO354" s="744">
        <f t="shared" si="21"/>
        <v>0.9855564995751912</v>
      </c>
      <c r="AP354" s="745">
        <f>'09월 에너지'!S356</f>
        <v>145</v>
      </c>
    </row>
    <row r="355" spans="1:42" ht="16.5" customHeight="1">
      <c r="A355" s="999">
        <f>'09월 조업일지'!A355</f>
        <v>46278</v>
      </c>
      <c r="B355" s="1100">
        <f>'09월 조업일지'!B355</f>
        <v>46277</v>
      </c>
      <c r="C355" s="730">
        <f>'09월 조업일지'!G355</f>
        <v>85557</v>
      </c>
      <c r="D355" s="731" t="str">
        <f>'09월 조업일지'!E355</f>
        <v>B</v>
      </c>
      <c r="E355" s="732" t="str">
        <f>'09월 조업일지'!F355</f>
        <v>B</v>
      </c>
      <c r="F355" s="1096" t="str">
        <f>'09월 에너지'!F357</f>
        <v>S355JO-01</v>
      </c>
      <c r="G355" s="733">
        <v>10</v>
      </c>
      <c r="H355" s="734">
        <v>22</v>
      </c>
      <c r="I355" s="734">
        <v>128</v>
      </c>
      <c r="J355" s="734">
        <v>16</v>
      </c>
      <c r="K355" s="735">
        <v>45</v>
      </c>
      <c r="L355" s="734">
        <v>14</v>
      </c>
      <c r="M355" s="736">
        <v>11</v>
      </c>
      <c r="N355" s="737">
        <v>421</v>
      </c>
      <c r="O355" s="737"/>
      <c r="P355" s="737">
        <v>994</v>
      </c>
      <c r="Q355" s="737">
        <v>960</v>
      </c>
      <c r="R355" s="737"/>
      <c r="S355" s="737"/>
      <c r="T355" s="737"/>
      <c r="U355" s="738"/>
      <c r="V355" s="739">
        <v>416</v>
      </c>
      <c r="W355" s="737"/>
      <c r="X355" s="737">
        <v>1002</v>
      </c>
      <c r="Y355" s="737">
        <v>903</v>
      </c>
      <c r="Z355" s="1202"/>
      <c r="AA355" s="740"/>
      <c r="AB355" s="739"/>
      <c r="AC355" s="741"/>
      <c r="AD355" s="741">
        <v>280</v>
      </c>
      <c r="AE355" s="741">
        <v>338</v>
      </c>
      <c r="AF355" s="741"/>
      <c r="AG355" s="741">
        <v>96</v>
      </c>
      <c r="AH355" s="741">
        <v>2359</v>
      </c>
      <c r="AI355" s="741"/>
      <c r="AJ355" s="741">
        <v>87</v>
      </c>
      <c r="AK355" s="741"/>
      <c r="AL355" s="741">
        <v>131</v>
      </c>
      <c r="AM355" s="742">
        <v>2117</v>
      </c>
      <c r="AN355" s="743">
        <f t="shared" si="20"/>
        <v>0.90959446092977259</v>
      </c>
      <c r="AO355" s="744">
        <f t="shared" si="21"/>
        <v>1.0011445527766003</v>
      </c>
      <c r="AP355" s="745">
        <f>'09월 에너지'!S357</f>
        <v>146.30000000000001</v>
      </c>
    </row>
    <row r="356" spans="1:42" ht="16.5" customHeight="1">
      <c r="A356" s="999">
        <f>'09월 조업일지'!A356</f>
        <v>46278</v>
      </c>
      <c r="B356" s="1100">
        <f>'09월 조업일지'!B356</f>
        <v>46278</v>
      </c>
      <c r="C356" s="730">
        <f>'09월 조업일지'!G356</f>
        <v>85558</v>
      </c>
      <c r="D356" s="731" t="str">
        <f>'09월 조업일지'!E356</f>
        <v>D</v>
      </c>
      <c r="E356" s="732" t="str">
        <f>'09월 조업일지'!F356</f>
        <v>A</v>
      </c>
      <c r="F356" s="1240" t="str">
        <f>'09월 에너지'!F358</f>
        <v>A572-50-03</v>
      </c>
      <c r="G356" s="733">
        <v>13</v>
      </c>
      <c r="H356" s="734">
        <v>28</v>
      </c>
      <c r="I356" s="734">
        <v>129</v>
      </c>
      <c r="J356" s="734">
        <v>15</v>
      </c>
      <c r="K356" s="735">
        <v>37</v>
      </c>
      <c r="L356" s="734">
        <v>13</v>
      </c>
      <c r="M356" s="736">
        <v>8</v>
      </c>
      <c r="N356" s="737">
        <v>415</v>
      </c>
      <c r="O356" s="737"/>
      <c r="P356" s="737">
        <v>1001</v>
      </c>
      <c r="Q356" s="737">
        <v>955</v>
      </c>
      <c r="R356" s="737"/>
      <c r="S356" s="737"/>
      <c r="T356" s="737">
        <v>60</v>
      </c>
      <c r="U356" s="738"/>
      <c r="V356" s="739">
        <v>424</v>
      </c>
      <c r="W356" s="737"/>
      <c r="X356" s="737">
        <v>1001</v>
      </c>
      <c r="Y356" s="737">
        <v>903</v>
      </c>
      <c r="Z356" s="1202">
        <v>69</v>
      </c>
      <c r="AA356" s="740"/>
      <c r="AB356" s="739"/>
      <c r="AC356" s="741"/>
      <c r="AD356" s="741">
        <v>280</v>
      </c>
      <c r="AE356" s="741">
        <v>358</v>
      </c>
      <c r="AF356" s="741"/>
      <c r="AG356" s="741">
        <v>105</v>
      </c>
      <c r="AH356" s="741">
        <v>2350</v>
      </c>
      <c r="AI356" s="741">
        <v>108</v>
      </c>
      <c r="AJ356" s="741">
        <v>97</v>
      </c>
      <c r="AK356" s="741"/>
      <c r="AL356" s="741">
        <v>133</v>
      </c>
      <c r="AM356" s="742">
        <v>1874</v>
      </c>
      <c r="AN356" s="743">
        <f t="shared" si="20"/>
        <v>0.93333333333333335</v>
      </c>
      <c r="AO356" s="744">
        <f t="shared" si="21"/>
        <v>1.0013981762917934</v>
      </c>
      <c r="AP356" s="745">
        <f>'09월 에너지'!S358</f>
        <v>144.5</v>
      </c>
    </row>
    <row r="357" spans="1:42" ht="16.5" customHeight="1">
      <c r="A357" s="999">
        <f>'09월 조업일지'!A357</f>
        <v>46278</v>
      </c>
      <c r="B357" s="1100">
        <f>'09월 조업일지'!B357</f>
        <v>46278</v>
      </c>
      <c r="C357" s="730">
        <f>'09월 조업일지'!G357</f>
        <v>85559</v>
      </c>
      <c r="D357" s="731" t="str">
        <f>'09월 조업일지'!E357</f>
        <v>D</v>
      </c>
      <c r="E357" s="732" t="str">
        <f>'09월 조업일지'!F357</f>
        <v>B</v>
      </c>
      <c r="F357" s="1096" t="str">
        <f>'09월 에너지'!F359</f>
        <v>A572-50-03</v>
      </c>
      <c r="G357" s="733">
        <v>10</v>
      </c>
      <c r="H357" s="734">
        <v>28</v>
      </c>
      <c r="I357" s="734">
        <v>129</v>
      </c>
      <c r="J357" s="734">
        <v>19</v>
      </c>
      <c r="K357" s="735">
        <v>42</v>
      </c>
      <c r="L357" s="734">
        <v>14</v>
      </c>
      <c r="M357" s="736">
        <v>10</v>
      </c>
      <c r="N357" s="737">
        <v>422</v>
      </c>
      <c r="O357" s="737"/>
      <c r="P357" s="737">
        <v>1000</v>
      </c>
      <c r="Q357" s="737">
        <v>959</v>
      </c>
      <c r="R357" s="737"/>
      <c r="S357" s="737"/>
      <c r="T357" s="737">
        <v>66</v>
      </c>
      <c r="U357" s="738"/>
      <c r="V357" s="739">
        <v>426</v>
      </c>
      <c r="W357" s="737"/>
      <c r="X357" s="737">
        <v>1001</v>
      </c>
      <c r="Y357" s="737">
        <v>906</v>
      </c>
      <c r="Z357" s="1202">
        <v>71</v>
      </c>
      <c r="AA357" s="740"/>
      <c r="AB357" s="739"/>
      <c r="AC357" s="741"/>
      <c r="AD357" s="741">
        <v>280</v>
      </c>
      <c r="AE357" s="741">
        <v>356</v>
      </c>
      <c r="AF357" s="741"/>
      <c r="AG357" s="741">
        <v>105</v>
      </c>
      <c r="AH357" s="741">
        <v>2361</v>
      </c>
      <c r="AI357" s="741">
        <v>110</v>
      </c>
      <c r="AJ357" s="741">
        <v>98</v>
      </c>
      <c r="AK357" s="741"/>
      <c r="AL357" s="741">
        <v>133</v>
      </c>
      <c r="AM357" s="742">
        <v>1084</v>
      </c>
      <c r="AN357" s="743">
        <f t="shared" si="20"/>
        <v>0.92467651437077758</v>
      </c>
      <c r="AO357" s="744">
        <f t="shared" si="21"/>
        <v>0.9946632782719188</v>
      </c>
      <c r="AP357" s="745">
        <f>'09월 에너지'!S359</f>
        <v>144.19999999999999</v>
      </c>
    </row>
    <row r="358" spans="1:42" ht="16.5" customHeight="1">
      <c r="A358" s="999">
        <f>'09월 조업일지'!A358</f>
        <v>46278</v>
      </c>
      <c r="B358" s="1100">
        <f>'09월 조업일지'!B358</f>
        <v>46278</v>
      </c>
      <c r="C358" s="730">
        <f>'09월 조업일지'!G358</f>
        <v>85560</v>
      </c>
      <c r="D358" s="731" t="str">
        <f>'09월 조업일지'!E358</f>
        <v>D</v>
      </c>
      <c r="E358" s="732" t="str">
        <f>'09월 조업일지'!F358</f>
        <v>A</v>
      </c>
      <c r="F358" s="1096" t="str">
        <f>'09월 에너지'!F360</f>
        <v>A572-50-03</v>
      </c>
      <c r="G358" s="733">
        <v>12</v>
      </c>
      <c r="H358" s="734">
        <v>26</v>
      </c>
      <c r="I358" s="734">
        <v>126</v>
      </c>
      <c r="J358" s="734">
        <v>15</v>
      </c>
      <c r="K358" s="735">
        <v>35</v>
      </c>
      <c r="L358" s="734">
        <v>15</v>
      </c>
      <c r="M358" s="736">
        <v>12</v>
      </c>
      <c r="N358" s="737">
        <v>425</v>
      </c>
      <c r="O358" s="737"/>
      <c r="P358" s="737">
        <v>1000</v>
      </c>
      <c r="Q358" s="737">
        <v>955</v>
      </c>
      <c r="R358" s="737"/>
      <c r="S358" s="737"/>
      <c r="T358" s="737">
        <v>70</v>
      </c>
      <c r="U358" s="738"/>
      <c r="V358" s="739">
        <v>426</v>
      </c>
      <c r="W358" s="737"/>
      <c r="X358" s="737">
        <v>1001</v>
      </c>
      <c r="Y358" s="737">
        <v>905</v>
      </c>
      <c r="Z358" s="1202">
        <v>70</v>
      </c>
      <c r="AA358" s="740"/>
      <c r="AB358" s="739"/>
      <c r="AC358" s="741"/>
      <c r="AD358" s="741">
        <v>281</v>
      </c>
      <c r="AE358" s="741">
        <v>358</v>
      </c>
      <c r="AF358" s="741"/>
      <c r="AG358" s="741">
        <v>105</v>
      </c>
      <c r="AH358" s="741">
        <v>2359</v>
      </c>
      <c r="AI358" s="741">
        <v>112</v>
      </c>
      <c r="AJ358" s="741">
        <v>91</v>
      </c>
      <c r="AK358" s="741"/>
      <c r="AL358" s="741">
        <v>125</v>
      </c>
      <c r="AM358" s="742">
        <v>2042</v>
      </c>
      <c r="AN358" s="743">
        <f t="shared" si="20"/>
        <v>0.85271211602146868</v>
      </c>
      <c r="AO358" s="744">
        <f t="shared" si="21"/>
        <v>0.96527584327499549</v>
      </c>
      <c r="AP358" s="745">
        <f>'09월 에너지'!S360</f>
        <v>143.6</v>
      </c>
    </row>
    <row r="359" spans="1:42" ht="16.5" customHeight="1">
      <c r="A359" s="999">
        <f>'09월 조업일지'!A359</f>
        <v>46278</v>
      </c>
      <c r="B359" s="1100">
        <f>'09월 조업일지'!B359</f>
        <v>46278</v>
      </c>
      <c r="C359" s="730">
        <f>'09월 조업일지'!G359</f>
        <v>85561</v>
      </c>
      <c r="D359" s="731" t="str">
        <f>'09월 조업일지'!E359</f>
        <v>D</v>
      </c>
      <c r="E359" s="732" t="str">
        <f>'09월 조업일지'!F359</f>
        <v>B</v>
      </c>
      <c r="F359" s="1096" t="str">
        <f>'09월 에너지'!F361</f>
        <v>A572-50-03</v>
      </c>
      <c r="G359" s="733">
        <v>14</v>
      </c>
      <c r="H359" s="734">
        <v>27</v>
      </c>
      <c r="I359" s="734">
        <v>127</v>
      </c>
      <c r="J359" s="734">
        <v>15</v>
      </c>
      <c r="K359" s="735">
        <v>29</v>
      </c>
      <c r="L359" s="734">
        <v>12</v>
      </c>
      <c r="M359" s="736">
        <v>10</v>
      </c>
      <c r="N359" s="737">
        <v>419</v>
      </c>
      <c r="O359" s="737"/>
      <c r="P359" s="737">
        <v>1001</v>
      </c>
      <c r="Q359" s="737">
        <v>955</v>
      </c>
      <c r="R359" s="737"/>
      <c r="S359" s="737"/>
      <c r="T359" s="737">
        <v>68</v>
      </c>
      <c r="U359" s="738"/>
      <c r="V359" s="739">
        <v>425</v>
      </c>
      <c r="W359" s="737"/>
      <c r="X359" s="737">
        <v>1001</v>
      </c>
      <c r="Y359" s="737">
        <v>903</v>
      </c>
      <c r="Z359" s="1202">
        <v>60</v>
      </c>
      <c r="AA359" s="740"/>
      <c r="AB359" s="739"/>
      <c r="AC359" s="741"/>
      <c r="AD359" s="741">
        <v>280</v>
      </c>
      <c r="AE359" s="741">
        <v>358</v>
      </c>
      <c r="AF359" s="741"/>
      <c r="AG359" s="741">
        <v>104</v>
      </c>
      <c r="AH359" s="741">
        <v>2349</v>
      </c>
      <c r="AI359" s="741">
        <v>106</v>
      </c>
      <c r="AJ359" s="741">
        <v>93</v>
      </c>
      <c r="AK359" s="741"/>
      <c r="AL359" s="741">
        <v>125</v>
      </c>
      <c r="AM359" s="742">
        <v>999</v>
      </c>
      <c r="AN359" s="743">
        <f t="shared" si="20"/>
        <v>0.91406738450850999</v>
      </c>
      <c r="AO359" s="744">
        <f t="shared" si="21"/>
        <v>0.99582801191996595</v>
      </c>
      <c r="AP359" s="745">
        <f>'09월 에너지'!S361</f>
        <v>146.19999999999999</v>
      </c>
    </row>
    <row r="360" spans="1:42" ht="16.5" customHeight="1">
      <c r="A360" s="999">
        <f>'09월 조업일지'!A360</f>
        <v>46278</v>
      </c>
      <c r="B360" s="1100">
        <f>'09월 조업일지'!B360</f>
        <v>46278</v>
      </c>
      <c r="C360" s="730">
        <f>'09월 조업일지'!G360</f>
        <v>85562</v>
      </c>
      <c r="D360" s="731" t="str">
        <f>'09월 조업일지'!E360</f>
        <v>D</v>
      </c>
      <c r="E360" s="732" t="str">
        <f>'09월 조업일지'!F360</f>
        <v>A</v>
      </c>
      <c r="F360" s="1096" t="str">
        <f>'09월 에너지'!F362</f>
        <v>A572-50-03</v>
      </c>
      <c r="G360" s="733">
        <v>12</v>
      </c>
      <c r="H360" s="734">
        <v>26</v>
      </c>
      <c r="I360" s="734">
        <v>123</v>
      </c>
      <c r="J360" s="734">
        <v>14</v>
      </c>
      <c r="K360" s="735">
        <v>27</v>
      </c>
      <c r="L360" s="734">
        <v>16</v>
      </c>
      <c r="M360" s="736">
        <v>11</v>
      </c>
      <c r="N360" s="737">
        <v>422</v>
      </c>
      <c r="O360" s="737"/>
      <c r="P360" s="737">
        <v>1001</v>
      </c>
      <c r="Q360" s="737">
        <v>955</v>
      </c>
      <c r="R360" s="737"/>
      <c r="S360" s="737"/>
      <c r="T360" s="737">
        <v>62</v>
      </c>
      <c r="U360" s="738"/>
      <c r="V360" s="739">
        <v>424</v>
      </c>
      <c r="W360" s="737"/>
      <c r="X360" s="737">
        <v>1001</v>
      </c>
      <c r="Y360" s="737">
        <v>904</v>
      </c>
      <c r="Z360" s="1202">
        <v>62</v>
      </c>
      <c r="AA360" s="740"/>
      <c r="AB360" s="739"/>
      <c r="AC360" s="741"/>
      <c r="AD360" s="741">
        <v>281</v>
      </c>
      <c r="AE360" s="741">
        <v>358</v>
      </c>
      <c r="AF360" s="741"/>
      <c r="AG360" s="741">
        <v>105</v>
      </c>
      <c r="AH360" s="741">
        <v>2356</v>
      </c>
      <c r="AI360" s="741">
        <v>110</v>
      </c>
      <c r="AJ360" s="741">
        <v>95</v>
      </c>
      <c r="AK360" s="741"/>
      <c r="AL360" s="741">
        <v>133</v>
      </c>
      <c r="AM360" s="742">
        <v>1828</v>
      </c>
      <c r="AN360" s="743">
        <f t="shared" si="20"/>
        <v>0.86607019958706122</v>
      </c>
      <c r="AO360" s="744">
        <f t="shared" si="21"/>
        <v>0.95086102352655844</v>
      </c>
      <c r="AP360" s="745">
        <f>'09월 에너지'!S362</f>
        <v>145.19999999999999</v>
      </c>
    </row>
    <row r="361" spans="1:42" ht="16.5" customHeight="1">
      <c r="A361" s="999">
        <f>'09월 조업일지'!A361</f>
        <v>46278</v>
      </c>
      <c r="B361" s="1100">
        <f>'09월 조업일지'!B361</f>
        <v>46278</v>
      </c>
      <c r="C361" s="730">
        <f>'09월 조업일지'!G361</f>
        <v>85563</v>
      </c>
      <c r="D361" s="731" t="str">
        <f>'09월 조업일지'!E361</f>
        <v>D</v>
      </c>
      <c r="E361" s="732" t="str">
        <f>'09월 조업일지'!F361</f>
        <v>B</v>
      </c>
      <c r="F361" s="1096" t="str">
        <f>'09월 에너지'!F363</f>
        <v>A572-50-03</v>
      </c>
      <c r="G361" s="733">
        <v>10</v>
      </c>
      <c r="H361" s="734">
        <v>23</v>
      </c>
      <c r="I361" s="734">
        <v>127</v>
      </c>
      <c r="J361" s="734">
        <v>14</v>
      </c>
      <c r="K361" s="735">
        <v>32</v>
      </c>
      <c r="L361" s="734">
        <v>11</v>
      </c>
      <c r="M361" s="736">
        <v>12</v>
      </c>
      <c r="N361" s="737">
        <v>413</v>
      </c>
      <c r="O361" s="737"/>
      <c r="P361" s="737">
        <v>1000</v>
      </c>
      <c r="Q361" s="737">
        <v>951</v>
      </c>
      <c r="R361" s="737"/>
      <c r="S361" s="737"/>
      <c r="T361" s="737">
        <v>61</v>
      </c>
      <c r="U361" s="738"/>
      <c r="V361" s="739">
        <v>424</v>
      </c>
      <c r="W361" s="737"/>
      <c r="X361" s="737">
        <v>1001</v>
      </c>
      <c r="Y361" s="737">
        <v>903</v>
      </c>
      <c r="Z361" s="1202">
        <v>63</v>
      </c>
      <c r="AA361" s="740"/>
      <c r="AB361" s="739"/>
      <c r="AC361" s="741"/>
      <c r="AD361" s="741">
        <v>280</v>
      </c>
      <c r="AE361" s="741">
        <v>359</v>
      </c>
      <c r="AF361" s="741"/>
      <c r="AG361" s="741">
        <v>105</v>
      </c>
      <c r="AH361" s="741">
        <v>2358</v>
      </c>
      <c r="AI361" s="741">
        <v>101</v>
      </c>
      <c r="AJ361" s="741">
        <v>107</v>
      </c>
      <c r="AK361" s="741"/>
      <c r="AL361" s="741">
        <v>132</v>
      </c>
      <c r="AM361" s="742">
        <v>966</v>
      </c>
      <c r="AN361" s="743">
        <f t="shared" si="20"/>
        <v>0.78514378856677147</v>
      </c>
      <c r="AO361" s="744">
        <f t="shared" si="21"/>
        <v>0.99474130619168799</v>
      </c>
      <c r="AP361" s="745">
        <f>'09월 에너지'!S363</f>
        <v>146.6</v>
      </c>
    </row>
    <row r="362" spans="1:42" ht="16.5" customHeight="1">
      <c r="A362" s="999">
        <f>'09월 조업일지'!A362</f>
        <v>46278</v>
      </c>
      <c r="B362" s="1100">
        <f>'09월 조업일지'!B362</f>
        <v>46278</v>
      </c>
      <c r="C362" s="730">
        <f>'09월 조업일지'!G362</f>
        <v>85564</v>
      </c>
      <c r="D362" s="731" t="str">
        <f>'09월 조업일지'!E362</f>
        <v>D</v>
      </c>
      <c r="E362" s="732" t="str">
        <f>'09월 조업일지'!F362</f>
        <v>A</v>
      </c>
      <c r="F362" s="1096" t="str">
        <f>'09월 에너지'!F364</f>
        <v>A572-50-03</v>
      </c>
      <c r="G362" s="733">
        <v>11</v>
      </c>
      <c r="H362" s="734">
        <v>27</v>
      </c>
      <c r="I362" s="734">
        <v>125</v>
      </c>
      <c r="J362" s="734">
        <v>14</v>
      </c>
      <c r="K362" s="735">
        <v>30</v>
      </c>
      <c r="L362" s="734">
        <v>16</v>
      </c>
      <c r="M362" s="736">
        <v>12</v>
      </c>
      <c r="N362" s="737">
        <v>420</v>
      </c>
      <c r="O362" s="737"/>
      <c r="P362" s="737">
        <v>1001</v>
      </c>
      <c r="Q362" s="737">
        <v>951</v>
      </c>
      <c r="R362" s="737"/>
      <c r="S362" s="737"/>
      <c r="T362" s="737">
        <v>63</v>
      </c>
      <c r="U362" s="738"/>
      <c r="V362" s="739">
        <v>424</v>
      </c>
      <c r="W362" s="737"/>
      <c r="X362" s="737">
        <v>1000</v>
      </c>
      <c r="Y362" s="737">
        <v>902</v>
      </c>
      <c r="Z362" s="1202">
        <v>65</v>
      </c>
      <c r="AA362" s="740"/>
      <c r="AB362" s="739"/>
      <c r="AC362" s="741"/>
      <c r="AD362" s="741">
        <v>280</v>
      </c>
      <c r="AE362" s="741">
        <v>361</v>
      </c>
      <c r="AF362" s="741"/>
      <c r="AG362" s="741">
        <v>105</v>
      </c>
      <c r="AH362" s="741">
        <v>2349</v>
      </c>
      <c r="AI362" s="741">
        <v>128</v>
      </c>
      <c r="AJ362" s="741">
        <v>91</v>
      </c>
      <c r="AK362" s="741"/>
      <c r="AL362" s="741">
        <v>136</v>
      </c>
      <c r="AM362" s="742">
        <v>2159</v>
      </c>
      <c r="AN362" s="743">
        <f t="shared" si="20"/>
        <v>0.87079290732686532</v>
      </c>
      <c r="AO362" s="744">
        <f t="shared" si="21"/>
        <v>0.96734172596241563</v>
      </c>
      <c r="AP362" s="745">
        <f>'09월 에너지'!S364</f>
        <v>144.6</v>
      </c>
    </row>
    <row r="363" spans="1:42" ht="16.5" customHeight="1">
      <c r="A363" s="999">
        <f>'09월 조업일지'!A363</f>
        <v>46278</v>
      </c>
      <c r="B363" s="1100">
        <f>'09월 조업일지'!B363</f>
        <v>46278</v>
      </c>
      <c r="C363" s="730">
        <f>'09월 조업일지'!G363</f>
        <v>85565</v>
      </c>
      <c r="D363" s="731" t="str">
        <f>'09월 조업일지'!E363</f>
        <v>D</v>
      </c>
      <c r="E363" s="732" t="str">
        <f>'09월 조업일지'!F363</f>
        <v>B</v>
      </c>
      <c r="F363" s="1096" t="str">
        <f>'09월 에너지'!F365</f>
        <v>A572-50-03</v>
      </c>
      <c r="G363" s="733">
        <v>11</v>
      </c>
      <c r="H363" s="734">
        <v>26</v>
      </c>
      <c r="I363" s="734">
        <v>123</v>
      </c>
      <c r="J363" s="734">
        <v>13</v>
      </c>
      <c r="K363" s="735">
        <v>27</v>
      </c>
      <c r="L363" s="734">
        <v>13</v>
      </c>
      <c r="M363" s="736">
        <v>11</v>
      </c>
      <c r="N363" s="737">
        <v>416</v>
      </c>
      <c r="O363" s="737"/>
      <c r="P363" s="737">
        <v>1000</v>
      </c>
      <c r="Q363" s="737">
        <v>955</v>
      </c>
      <c r="R363" s="737"/>
      <c r="S363" s="737"/>
      <c r="T363" s="737">
        <v>67</v>
      </c>
      <c r="U363" s="738"/>
      <c r="V363" s="739">
        <v>420</v>
      </c>
      <c r="W363" s="737"/>
      <c r="X363" s="737">
        <v>1000</v>
      </c>
      <c r="Y363" s="737">
        <v>905</v>
      </c>
      <c r="Z363" s="1202">
        <v>64</v>
      </c>
      <c r="AA363" s="740"/>
      <c r="AB363" s="739"/>
      <c r="AC363" s="741"/>
      <c r="AD363" s="741">
        <v>281</v>
      </c>
      <c r="AE363" s="741">
        <v>360</v>
      </c>
      <c r="AF363" s="741"/>
      <c r="AG363" s="741">
        <v>105</v>
      </c>
      <c r="AH363" s="741">
        <v>2350</v>
      </c>
      <c r="AI363" s="741">
        <v>114</v>
      </c>
      <c r="AJ363" s="741">
        <v>91</v>
      </c>
      <c r="AK363" s="741"/>
      <c r="AL363" s="741">
        <v>874</v>
      </c>
      <c r="AM363" s="742">
        <v>874</v>
      </c>
      <c r="AN363" s="743">
        <f t="shared" si="20"/>
        <v>0.86726027397260275</v>
      </c>
      <c r="AO363" s="744">
        <f t="shared" si="21"/>
        <v>0.95919756838905779</v>
      </c>
      <c r="AP363" s="745">
        <f>'09월 에너지'!S365</f>
        <v>146.1</v>
      </c>
    </row>
    <row r="364" spans="1:42" ht="16.5" customHeight="1">
      <c r="A364" s="999">
        <f>'09월 조업일지'!A364</f>
        <v>46278</v>
      </c>
      <c r="B364" s="1100">
        <f>'09월 조업일지'!B364</f>
        <v>46278</v>
      </c>
      <c r="C364" s="730">
        <f>'09월 조업일지'!G364</f>
        <v>85566</v>
      </c>
      <c r="D364" s="731" t="str">
        <f>'09월 조업일지'!E364</f>
        <v>D</v>
      </c>
      <c r="E364" s="732" t="str">
        <f>'09월 조업일지'!F364</f>
        <v>A</v>
      </c>
      <c r="F364" s="1096" t="str">
        <f>'09월 에너지'!F366</f>
        <v>A572-50-03</v>
      </c>
      <c r="G364" s="733">
        <v>15</v>
      </c>
      <c r="H364" s="734">
        <v>28</v>
      </c>
      <c r="I364" s="734">
        <v>130</v>
      </c>
      <c r="J364" s="734">
        <v>17</v>
      </c>
      <c r="K364" s="735">
        <v>39</v>
      </c>
      <c r="L364" s="734">
        <v>17</v>
      </c>
      <c r="M364" s="736">
        <v>13</v>
      </c>
      <c r="N364" s="737">
        <v>420</v>
      </c>
      <c r="O364" s="737"/>
      <c r="P364" s="737">
        <v>1000</v>
      </c>
      <c r="Q364" s="737">
        <v>951</v>
      </c>
      <c r="R364" s="737"/>
      <c r="S364" s="737"/>
      <c r="T364" s="737">
        <v>66</v>
      </c>
      <c r="U364" s="738"/>
      <c r="V364" s="739">
        <v>425</v>
      </c>
      <c r="W364" s="737"/>
      <c r="X364" s="737">
        <v>100</v>
      </c>
      <c r="Y364" s="737">
        <v>901</v>
      </c>
      <c r="Z364" s="1202">
        <v>65</v>
      </c>
      <c r="AA364" s="740"/>
      <c r="AB364" s="739"/>
      <c r="AC364" s="741"/>
      <c r="AD364" s="741">
        <v>281</v>
      </c>
      <c r="AE364" s="741">
        <v>358</v>
      </c>
      <c r="AF364" s="741"/>
      <c r="AG364" s="741">
        <v>105</v>
      </c>
      <c r="AH364" s="741">
        <v>2353</v>
      </c>
      <c r="AI364" s="741">
        <v>126</v>
      </c>
      <c r="AJ364" s="741">
        <v>92</v>
      </c>
      <c r="AK364" s="741"/>
      <c r="AL364" s="741">
        <v>128</v>
      </c>
      <c r="AM364" s="742">
        <v>1507</v>
      </c>
      <c r="AN364" s="743">
        <f t="shared" si="20"/>
        <v>0.91487317018661307</v>
      </c>
      <c r="AO364" s="744">
        <f t="shared" si="21"/>
        <v>1.0207637666201201</v>
      </c>
      <c r="AP364" s="745">
        <f>'09월 에너지'!S366</f>
        <v>146.19999999999999</v>
      </c>
    </row>
    <row r="365" spans="1:42" ht="16.5" customHeight="1">
      <c r="A365" s="999">
        <f>'09월 조업일지'!A365</f>
        <v>46278</v>
      </c>
      <c r="B365" s="1100">
        <f>'09월 조업일지'!B365</f>
        <v>46278</v>
      </c>
      <c r="C365" s="730">
        <f>'09월 조업일지'!G365</f>
        <v>85567</v>
      </c>
      <c r="D365" s="731" t="str">
        <f>'09월 조업일지'!E365</f>
        <v>D</v>
      </c>
      <c r="E365" s="732" t="str">
        <f>'09월 조업일지'!F365</f>
        <v>B</v>
      </c>
      <c r="F365" s="1096" t="str">
        <f>'09월 에너지'!F367</f>
        <v>A572-50-03</v>
      </c>
      <c r="G365" s="733">
        <v>14</v>
      </c>
      <c r="H365" s="734">
        <v>27</v>
      </c>
      <c r="I365" s="734">
        <v>123</v>
      </c>
      <c r="J365" s="734">
        <v>12</v>
      </c>
      <c r="K365" s="735">
        <v>21</v>
      </c>
      <c r="L365" s="734">
        <v>10</v>
      </c>
      <c r="M365" s="736">
        <v>12</v>
      </c>
      <c r="N365" s="737">
        <v>420</v>
      </c>
      <c r="O365" s="737"/>
      <c r="P365" s="737">
        <v>1006</v>
      </c>
      <c r="Q365" s="737">
        <v>955</v>
      </c>
      <c r="R365" s="737"/>
      <c r="S365" s="737"/>
      <c r="T365" s="737">
        <v>70</v>
      </c>
      <c r="U365" s="738"/>
      <c r="V365" s="739">
        <v>415</v>
      </c>
      <c r="W365" s="737"/>
      <c r="X365" s="737">
        <v>1000</v>
      </c>
      <c r="Y365" s="737">
        <v>902</v>
      </c>
      <c r="Z365" s="1202">
        <v>61</v>
      </c>
      <c r="AA365" s="740"/>
      <c r="AB365" s="739"/>
      <c r="AC365" s="741"/>
      <c r="AD365" s="741">
        <v>280</v>
      </c>
      <c r="AE365" s="741">
        <v>362</v>
      </c>
      <c r="AF365" s="741"/>
      <c r="AG365" s="741">
        <v>105</v>
      </c>
      <c r="AH365" s="741">
        <v>2350</v>
      </c>
      <c r="AI365" s="741">
        <v>126</v>
      </c>
      <c r="AJ365" s="741">
        <v>96</v>
      </c>
      <c r="AK365" s="741"/>
      <c r="AL365" s="741">
        <v>115</v>
      </c>
      <c r="AM365" s="742">
        <v>1362</v>
      </c>
      <c r="AN365" s="743">
        <f t="shared" si="20"/>
        <v>0.88731543624161069</v>
      </c>
      <c r="AO365" s="744">
        <f t="shared" si="21"/>
        <v>0.9644498480243161</v>
      </c>
      <c r="AP365" s="745">
        <f>'09월 에너지'!S367</f>
        <v>146.9</v>
      </c>
    </row>
    <row r="366" spans="1:42" ht="16.5" customHeight="1">
      <c r="A366" s="999">
        <f>'09월 조업일지'!A366</f>
        <v>46278</v>
      </c>
      <c r="B366" s="1100">
        <f>'09월 조업일지'!B366</f>
        <v>46278</v>
      </c>
      <c r="C366" s="730">
        <f>'09월 조업일지'!G366</f>
        <v>85568</v>
      </c>
      <c r="D366" s="731" t="str">
        <f>'09월 조업일지'!E366</f>
        <v>A</v>
      </c>
      <c r="E366" s="732" t="str">
        <f>'09월 조업일지'!F366</f>
        <v>A</v>
      </c>
      <c r="F366" s="1096" t="str">
        <f>'09월 에너지'!F368</f>
        <v>A572-50-03</v>
      </c>
      <c r="G366" s="733">
        <v>16</v>
      </c>
      <c r="H366" s="734">
        <v>28</v>
      </c>
      <c r="I366" s="734">
        <v>133</v>
      </c>
      <c r="J366" s="734">
        <v>17</v>
      </c>
      <c r="K366" s="735">
        <v>46</v>
      </c>
      <c r="L366" s="734">
        <v>13</v>
      </c>
      <c r="M366" s="736">
        <v>10</v>
      </c>
      <c r="N366" s="737">
        <v>420</v>
      </c>
      <c r="O366" s="737"/>
      <c r="P366" s="737">
        <v>1001</v>
      </c>
      <c r="Q366" s="737">
        <v>954</v>
      </c>
      <c r="R366" s="737"/>
      <c r="S366" s="737"/>
      <c r="T366" s="737">
        <v>62</v>
      </c>
      <c r="U366" s="738"/>
      <c r="V366" s="739">
        <v>425</v>
      </c>
      <c r="W366" s="737"/>
      <c r="X366" s="737">
        <v>1001</v>
      </c>
      <c r="Y366" s="737">
        <v>903</v>
      </c>
      <c r="Z366" s="1202">
        <v>60</v>
      </c>
      <c r="AA366" s="740"/>
      <c r="AB366" s="739">
        <v>0</v>
      </c>
      <c r="AC366" s="741"/>
      <c r="AD366" s="741">
        <v>280</v>
      </c>
      <c r="AE366" s="741">
        <v>362</v>
      </c>
      <c r="AF366" s="741">
        <v>0</v>
      </c>
      <c r="AG366" s="741">
        <v>105</v>
      </c>
      <c r="AH366" s="741">
        <v>2348</v>
      </c>
      <c r="AI366" s="741">
        <v>110</v>
      </c>
      <c r="AJ366" s="741">
        <v>94</v>
      </c>
      <c r="AK366" s="741">
        <v>0</v>
      </c>
      <c r="AL366" s="741">
        <v>118</v>
      </c>
      <c r="AM366" s="742">
        <v>1781</v>
      </c>
      <c r="AN366" s="743">
        <f t="shared" si="20"/>
        <v>0.94428341384863135</v>
      </c>
      <c r="AO366" s="744">
        <f t="shared" si="21"/>
        <v>1.0524945242151376</v>
      </c>
      <c r="AP366" s="745">
        <f>'09월 에너지'!S368</f>
        <v>146.6</v>
      </c>
    </row>
    <row r="367" spans="1:42" ht="16.5" customHeight="1">
      <c r="A367" s="999">
        <f>'09월 조업일지'!A367</f>
        <v>46278</v>
      </c>
      <c r="B367" s="1100">
        <f>'09월 조업일지'!B367</f>
        <v>46278</v>
      </c>
      <c r="C367" s="730">
        <f>'09월 조업일지'!G367</f>
        <v>85569</v>
      </c>
      <c r="D367" s="731" t="str">
        <f>'09월 조업일지'!E367</f>
        <v>A</v>
      </c>
      <c r="E367" s="732" t="str">
        <f>'09월 조업일지'!F367</f>
        <v>B</v>
      </c>
      <c r="F367" s="1231" t="str">
        <f>'09월 에너지'!F369</f>
        <v>SHN275(BB)</v>
      </c>
      <c r="G367" s="733">
        <v>8</v>
      </c>
      <c r="H367" s="734">
        <v>20</v>
      </c>
      <c r="I367" s="734">
        <v>59</v>
      </c>
      <c r="J367" s="734">
        <v>18</v>
      </c>
      <c r="K367" s="735">
        <v>33</v>
      </c>
      <c r="L367" s="734">
        <v>13</v>
      </c>
      <c r="M367" s="736">
        <v>11</v>
      </c>
      <c r="N367" s="737">
        <v>425</v>
      </c>
      <c r="O367" s="737"/>
      <c r="P367" s="737">
        <v>999</v>
      </c>
      <c r="Q367" s="737">
        <v>955</v>
      </c>
      <c r="R367" s="737"/>
      <c r="S367" s="737"/>
      <c r="T367" s="737">
        <v>0</v>
      </c>
      <c r="U367" s="738"/>
      <c r="V367" s="739">
        <v>418</v>
      </c>
      <c r="W367" s="737"/>
      <c r="X367" s="737">
        <v>1001</v>
      </c>
      <c r="Y367" s="737">
        <v>903</v>
      </c>
      <c r="Z367" s="1202">
        <v>0</v>
      </c>
      <c r="AA367" s="740"/>
      <c r="AB367" s="739">
        <v>0</v>
      </c>
      <c r="AC367" s="741"/>
      <c r="AD367" s="741">
        <v>271</v>
      </c>
      <c r="AE367" s="741">
        <v>457</v>
      </c>
      <c r="AF367" s="741">
        <v>0</v>
      </c>
      <c r="AG367" s="741">
        <v>95</v>
      </c>
      <c r="AH367" s="741">
        <v>859</v>
      </c>
      <c r="AI367" s="741">
        <v>297</v>
      </c>
      <c r="AJ367" s="741">
        <v>90</v>
      </c>
      <c r="AK367" s="741">
        <v>0</v>
      </c>
      <c r="AL367" s="741">
        <v>0</v>
      </c>
      <c r="AM367" s="742">
        <v>1706</v>
      </c>
      <c r="AN367" s="743">
        <f t="shared" si="20"/>
        <v>0.81740614334470973</v>
      </c>
      <c r="AO367" s="744">
        <f t="shared" si="21"/>
        <v>1.0515217029768835</v>
      </c>
      <c r="AP367" s="745">
        <f>'09월 에너지'!S369</f>
        <v>143.69999999999999</v>
      </c>
    </row>
    <row r="368" spans="1:42" ht="16.5" customHeight="1">
      <c r="A368" s="999">
        <f>'09월 조업일지'!A368</f>
        <v>46278</v>
      </c>
      <c r="B368" s="1100">
        <f>'09월 조업일지'!B368</f>
        <v>46278</v>
      </c>
      <c r="C368" s="730">
        <f>'09월 조업일지'!G368</f>
        <v>85570</v>
      </c>
      <c r="D368" s="731" t="str">
        <f>'09월 조업일지'!E368</f>
        <v>A</v>
      </c>
      <c r="E368" s="732" t="str">
        <f>'09월 조업일지'!F368</f>
        <v>A</v>
      </c>
      <c r="F368" s="1096" t="str">
        <f>'09월 에너지'!F370</f>
        <v>SHN275(BB)</v>
      </c>
      <c r="G368" s="733">
        <v>9</v>
      </c>
      <c r="H368" s="734">
        <v>26</v>
      </c>
      <c r="I368" s="734">
        <v>56</v>
      </c>
      <c r="J368" s="734">
        <v>15</v>
      </c>
      <c r="K368" s="735">
        <v>25</v>
      </c>
      <c r="L368" s="734">
        <v>12</v>
      </c>
      <c r="M368" s="736">
        <v>11</v>
      </c>
      <c r="N368" s="737">
        <v>425</v>
      </c>
      <c r="O368" s="737"/>
      <c r="P368" s="737">
        <v>1001</v>
      </c>
      <c r="Q368" s="737">
        <v>962</v>
      </c>
      <c r="R368" s="737"/>
      <c r="S368" s="737"/>
      <c r="T368" s="737">
        <v>0</v>
      </c>
      <c r="U368" s="738"/>
      <c r="V368" s="739">
        <v>414</v>
      </c>
      <c r="W368" s="737"/>
      <c r="X368" s="737">
        <v>1001</v>
      </c>
      <c r="Y368" s="737">
        <v>910</v>
      </c>
      <c r="Z368" s="1202">
        <v>0</v>
      </c>
      <c r="AA368" s="740"/>
      <c r="AB368" s="739">
        <v>0</v>
      </c>
      <c r="AC368" s="741"/>
      <c r="AD368" s="741">
        <v>271</v>
      </c>
      <c r="AE368" s="741">
        <v>458</v>
      </c>
      <c r="AF368" s="741">
        <v>0</v>
      </c>
      <c r="AG368" s="741">
        <v>95</v>
      </c>
      <c r="AH368" s="741">
        <v>849</v>
      </c>
      <c r="AI368" s="741">
        <v>403</v>
      </c>
      <c r="AJ368" s="741">
        <v>87</v>
      </c>
      <c r="AK368" s="741">
        <v>0</v>
      </c>
      <c r="AL368" s="741">
        <v>0</v>
      </c>
      <c r="AM368" s="742">
        <v>2118</v>
      </c>
      <c r="AN368" s="743">
        <f t="shared" si="20"/>
        <v>0.87998137802607079</v>
      </c>
      <c r="AO368" s="744">
        <f t="shared" si="21"/>
        <v>1.0030960794211679</v>
      </c>
      <c r="AP368" s="745">
        <f>'09월 에너지'!S370</f>
        <v>145.4</v>
      </c>
    </row>
    <row r="369" spans="1:42" ht="16.5" customHeight="1">
      <c r="A369" s="999">
        <f>'09월 조업일지'!A369</f>
        <v>46278</v>
      </c>
      <c r="B369" s="1100">
        <f>'09월 조업일지'!B369</f>
        <v>46278</v>
      </c>
      <c r="C369" s="730">
        <f>'09월 조업일지'!G369</f>
        <v>85571</v>
      </c>
      <c r="D369" s="731" t="str">
        <f>'09월 조업일지'!E369</f>
        <v>A</v>
      </c>
      <c r="E369" s="732" t="str">
        <f>'09월 조업일지'!F369</f>
        <v>B</v>
      </c>
      <c r="F369" s="1096" t="str">
        <f>'09월 에너지'!F371</f>
        <v>SHN275(BB)</v>
      </c>
      <c r="G369" s="733">
        <v>12</v>
      </c>
      <c r="H369" s="734">
        <v>22</v>
      </c>
      <c r="I369" s="734">
        <v>53</v>
      </c>
      <c r="J369" s="734">
        <v>14</v>
      </c>
      <c r="K369" s="735">
        <v>48</v>
      </c>
      <c r="L369" s="734">
        <v>17</v>
      </c>
      <c r="M369" s="736">
        <v>14</v>
      </c>
      <c r="N369" s="737">
        <v>423</v>
      </c>
      <c r="O369" s="737"/>
      <c r="P369" s="737">
        <v>1001</v>
      </c>
      <c r="Q369" s="737">
        <v>955</v>
      </c>
      <c r="R369" s="737"/>
      <c r="S369" s="737"/>
      <c r="T369" s="737">
        <v>0</v>
      </c>
      <c r="U369" s="738"/>
      <c r="V369" s="739">
        <v>215</v>
      </c>
      <c r="W369" s="737"/>
      <c r="X369" s="737">
        <v>1001</v>
      </c>
      <c r="Y369" s="737">
        <v>902</v>
      </c>
      <c r="Z369" s="1202">
        <v>0</v>
      </c>
      <c r="AA369" s="740"/>
      <c r="AB369" s="739">
        <v>0</v>
      </c>
      <c r="AC369" s="741"/>
      <c r="AD369" s="741">
        <v>270</v>
      </c>
      <c r="AE369" s="741">
        <v>462</v>
      </c>
      <c r="AF369" s="741">
        <v>0</v>
      </c>
      <c r="AG369" s="741">
        <v>95</v>
      </c>
      <c r="AH369" s="741">
        <v>849</v>
      </c>
      <c r="AI369" s="741">
        <v>300</v>
      </c>
      <c r="AJ369" s="741">
        <v>94</v>
      </c>
      <c r="AK369" s="741">
        <v>0</v>
      </c>
      <c r="AL369" s="741">
        <v>0</v>
      </c>
      <c r="AM369" s="742">
        <v>1568</v>
      </c>
      <c r="AN369" s="743">
        <f t="shared" si="20"/>
        <v>0.88599404001702853</v>
      </c>
      <c r="AO369" s="744">
        <f t="shared" si="21"/>
        <v>0.90731953558808698</v>
      </c>
      <c r="AP369" s="745">
        <f>'09월 에너지'!S371</f>
        <v>141.9</v>
      </c>
    </row>
    <row r="370" spans="1:42" ht="16.5" customHeight="1">
      <c r="A370" s="999">
        <f>'09월 조업일지'!A370</f>
        <v>46278</v>
      </c>
      <c r="B370" s="1100">
        <f>'09월 조업일지'!B370</f>
        <v>46278</v>
      </c>
      <c r="C370" s="730">
        <f>'09월 조업일지'!G370</f>
        <v>85572</v>
      </c>
      <c r="D370" s="731" t="str">
        <f>'09월 조업일지'!E370</f>
        <v>A</v>
      </c>
      <c r="E370" s="732" t="str">
        <f>'09월 조업일지'!F370</f>
        <v>A</v>
      </c>
      <c r="F370" s="1096" t="str">
        <f>'09월 에너지'!F372</f>
        <v>SHN275(BB)</v>
      </c>
      <c r="G370" s="733">
        <v>9</v>
      </c>
      <c r="H370" s="734">
        <v>21</v>
      </c>
      <c r="I370" s="734">
        <v>52</v>
      </c>
      <c r="J370" s="734">
        <v>15</v>
      </c>
      <c r="K370" s="735">
        <v>35</v>
      </c>
      <c r="L370" s="734">
        <v>18</v>
      </c>
      <c r="M370" s="736">
        <v>11</v>
      </c>
      <c r="N370" s="737">
        <v>418</v>
      </c>
      <c r="O370" s="737"/>
      <c r="P370" s="737">
        <v>1000</v>
      </c>
      <c r="Q370" s="737">
        <v>954</v>
      </c>
      <c r="R370" s="737"/>
      <c r="S370" s="737"/>
      <c r="T370" s="737">
        <v>0</v>
      </c>
      <c r="U370" s="738"/>
      <c r="V370" s="739">
        <v>415</v>
      </c>
      <c r="W370" s="737"/>
      <c r="X370" s="737">
        <v>1003</v>
      </c>
      <c r="Y370" s="737">
        <v>904</v>
      </c>
      <c r="Z370" s="1202">
        <v>0</v>
      </c>
      <c r="AA370" s="740"/>
      <c r="AB370" s="739">
        <v>0</v>
      </c>
      <c r="AC370" s="741"/>
      <c r="AD370" s="741">
        <v>271</v>
      </c>
      <c r="AE370" s="741">
        <v>460</v>
      </c>
      <c r="AF370" s="741">
        <v>0</v>
      </c>
      <c r="AG370" s="741">
        <v>95</v>
      </c>
      <c r="AH370" s="741">
        <v>854</v>
      </c>
      <c r="AI370" s="741">
        <v>287</v>
      </c>
      <c r="AJ370" s="741">
        <v>86</v>
      </c>
      <c r="AK370" s="741">
        <v>0</v>
      </c>
      <c r="AL370" s="741">
        <v>0</v>
      </c>
      <c r="AM370" s="742">
        <v>2200</v>
      </c>
      <c r="AN370" s="743">
        <f t="shared" si="20"/>
        <v>0.87339449541284397</v>
      </c>
      <c r="AO370" s="744">
        <f t="shared" si="21"/>
        <v>0.88384074941451995</v>
      </c>
      <c r="AP370" s="745">
        <f>'09월 에너지'!S372</f>
        <v>142.80000000000001</v>
      </c>
    </row>
    <row r="371" spans="1:42" ht="16.5" customHeight="1">
      <c r="A371" s="999">
        <f>'09월 조업일지'!A371</f>
        <v>46278</v>
      </c>
      <c r="B371" s="1100">
        <f>'09월 조업일지'!B371</f>
        <v>46278</v>
      </c>
      <c r="C371" s="730">
        <f>'09월 조업일지'!G371</f>
        <v>85573</v>
      </c>
      <c r="D371" s="731" t="str">
        <f>'09월 조업일지'!E371</f>
        <v>A</v>
      </c>
      <c r="E371" s="732" t="str">
        <f>'09월 조업일지'!F371</f>
        <v>B</v>
      </c>
      <c r="F371" s="1096" t="str">
        <f>'09월 에너지'!F373</f>
        <v>SHN275(BB)</v>
      </c>
      <c r="G371" s="733">
        <v>8</v>
      </c>
      <c r="H371" s="734">
        <v>21</v>
      </c>
      <c r="I371" s="734">
        <v>53</v>
      </c>
      <c r="J371" s="734">
        <v>18</v>
      </c>
      <c r="K371" s="735">
        <v>40</v>
      </c>
      <c r="L371" s="734">
        <v>18</v>
      </c>
      <c r="M371" s="736">
        <v>12</v>
      </c>
      <c r="N371" s="737">
        <v>419</v>
      </c>
      <c r="O371" s="737"/>
      <c r="P371" s="737">
        <v>1000</v>
      </c>
      <c r="Q371" s="737">
        <v>952</v>
      </c>
      <c r="R371" s="737"/>
      <c r="S371" s="737"/>
      <c r="T371" s="737">
        <v>0</v>
      </c>
      <c r="U371" s="738"/>
      <c r="V371" s="739">
        <v>424</v>
      </c>
      <c r="W371" s="737"/>
      <c r="X371" s="737">
        <v>1000</v>
      </c>
      <c r="Y371" s="737">
        <v>901</v>
      </c>
      <c r="Z371" s="1202">
        <v>0</v>
      </c>
      <c r="AA371" s="740"/>
      <c r="AB371" s="739">
        <v>0</v>
      </c>
      <c r="AC371" s="741"/>
      <c r="AD371" s="741">
        <v>271</v>
      </c>
      <c r="AE371" s="741">
        <v>462</v>
      </c>
      <c r="AF371" s="741">
        <v>0</v>
      </c>
      <c r="AG371" s="741">
        <v>95</v>
      </c>
      <c r="AH371" s="741">
        <v>850</v>
      </c>
      <c r="AI371" s="741">
        <v>299</v>
      </c>
      <c r="AJ371" s="741">
        <v>86</v>
      </c>
      <c r="AK371" s="741">
        <v>0</v>
      </c>
      <c r="AL371" s="741">
        <v>0</v>
      </c>
      <c r="AM371" s="742">
        <v>1362</v>
      </c>
      <c r="AN371" s="743">
        <f t="shared" si="20"/>
        <v>0.87044776119402989</v>
      </c>
      <c r="AO371" s="744">
        <f t="shared" si="21"/>
        <v>0.93115966386554616</v>
      </c>
      <c r="AP371" s="745">
        <f>'09월 에너지'!S373</f>
        <v>145.80000000000001</v>
      </c>
    </row>
    <row r="372" spans="1:42" ht="16.5" customHeight="1">
      <c r="A372" s="999">
        <f>'09월 조업일지'!A372</f>
        <v>46278</v>
      </c>
      <c r="B372" s="1100">
        <f>'09월 조업일지'!B372</f>
        <v>46278</v>
      </c>
      <c r="C372" s="730">
        <f>'09월 조업일지'!G372</f>
        <v>85574</v>
      </c>
      <c r="D372" s="731" t="str">
        <f>'09월 조업일지'!E372</f>
        <v>A</v>
      </c>
      <c r="E372" s="732" t="str">
        <f>'09월 조업일지'!F372</f>
        <v>A</v>
      </c>
      <c r="F372" s="1096" t="str">
        <f>'09월 에너지'!F374</f>
        <v>SHN275(BB)</v>
      </c>
      <c r="G372" s="733">
        <v>13</v>
      </c>
      <c r="H372" s="734">
        <v>15</v>
      </c>
      <c r="I372" s="734">
        <v>56</v>
      </c>
      <c r="J372" s="734">
        <v>19</v>
      </c>
      <c r="K372" s="735">
        <v>40</v>
      </c>
      <c r="L372" s="734">
        <v>16</v>
      </c>
      <c r="M372" s="736">
        <v>11</v>
      </c>
      <c r="N372" s="737">
        <v>421</v>
      </c>
      <c r="O372" s="737"/>
      <c r="P372" s="737">
        <v>1000</v>
      </c>
      <c r="Q372" s="737">
        <v>952</v>
      </c>
      <c r="R372" s="737"/>
      <c r="S372" s="737"/>
      <c r="T372" s="737">
        <v>0</v>
      </c>
      <c r="U372" s="738"/>
      <c r="V372" s="739">
        <v>425</v>
      </c>
      <c r="W372" s="737"/>
      <c r="X372" s="737">
        <v>1000</v>
      </c>
      <c r="Y372" s="737">
        <v>901</v>
      </c>
      <c r="Z372" s="1202">
        <v>0</v>
      </c>
      <c r="AA372" s="740"/>
      <c r="AB372" s="739">
        <v>0</v>
      </c>
      <c r="AC372" s="741"/>
      <c r="AD372" s="741">
        <v>270</v>
      </c>
      <c r="AE372" s="741">
        <v>460</v>
      </c>
      <c r="AF372" s="741">
        <v>0</v>
      </c>
      <c r="AG372" s="741">
        <v>95</v>
      </c>
      <c r="AH372" s="741">
        <v>844</v>
      </c>
      <c r="AI372" s="741">
        <v>287</v>
      </c>
      <c r="AJ372" s="741">
        <v>92</v>
      </c>
      <c r="AK372" s="741">
        <v>0</v>
      </c>
      <c r="AL372" s="741">
        <v>0</v>
      </c>
      <c r="AM372" s="742">
        <v>1958</v>
      </c>
      <c r="AN372" s="743">
        <f t="shared" si="20"/>
        <v>0.63448881088196574</v>
      </c>
      <c r="AO372" s="744">
        <f t="shared" si="21"/>
        <v>1.0034867975626272</v>
      </c>
      <c r="AP372" s="745">
        <f>'09월 에너지'!S374</f>
        <v>144.6</v>
      </c>
    </row>
    <row r="373" spans="1:42" ht="16.5" customHeight="1">
      <c r="A373" s="999">
        <f>'09월 조업일지'!A373</f>
        <v>46278</v>
      </c>
      <c r="B373" s="1100">
        <f>'09월 조업일지'!B373</f>
        <v>46278</v>
      </c>
      <c r="C373" s="730">
        <f>'09월 조업일지'!G373</f>
        <v>85575</v>
      </c>
      <c r="D373" s="731" t="str">
        <f>'09월 조업일지'!E373</f>
        <v>A</v>
      </c>
      <c r="E373" s="732" t="str">
        <f>'09월 조업일지'!F373</f>
        <v>B</v>
      </c>
      <c r="F373" s="1096" t="str">
        <f>'09월 에너지'!F375</f>
        <v>SHN275(BB)</v>
      </c>
      <c r="G373" s="733">
        <v>13</v>
      </c>
      <c r="H373" s="734">
        <v>24</v>
      </c>
      <c r="I373" s="734">
        <v>57</v>
      </c>
      <c r="J373" s="734">
        <v>27</v>
      </c>
      <c r="K373" s="735">
        <v>41</v>
      </c>
      <c r="L373" s="734">
        <v>17</v>
      </c>
      <c r="M373" s="736">
        <v>11</v>
      </c>
      <c r="N373" s="737">
        <v>422</v>
      </c>
      <c r="O373" s="737"/>
      <c r="P373" s="737">
        <v>1001</v>
      </c>
      <c r="Q373" s="737">
        <v>953</v>
      </c>
      <c r="R373" s="737"/>
      <c r="S373" s="737"/>
      <c r="T373" s="737">
        <v>0</v>
      </c>
      <c r="U373" s="738"/>
      <c r="V373" s="739">
        <v>422</v>
      </c>
      <c r="W373" s="737"/>
      <c r="X373" s="737">
        <v>1003</v>
      </c>
      <c r="Y373" s="737">
        <v>903</v>
      </c>
      <c r="Z373" s="1202">
        <v>0</v>
      </c>
      <c r="AA373" s="740"/>
      <c r="AB373" s="739">
        <v>0</v>
      </c>
      <c r="AC373" s="741"/>
      <c r="AD373" s="741">
        <v>271</v>
      </c>
      <c r="AE373" s="741">
        <v>457</v>
      </c>
      <c r="AF373" s="741">
        <v>0</v>
      </c>
      <c r="AG373" s="741">
        <v>95</v>
      </c>
      <c r="AH373" s="741">
        <v>856</v>
      </c>
      <c r="AI373" s="741">
        <v>296</v>
      </c>
      <c r="AJ373" s="741">
        <v>94</v>
      </c>
      <c r="AK373" s="741">
        <v>0</v>
      </c>
      <c r="AL373" s="741">
        <v>0</v>
      </c>
      <c r="AM373" s="742">
        <v>1205</v>
      </c>
      <c r="AN373" s="743">
        <f t="shared" si="20"/>
        <v>0.96986301369863015</v>
      </c>
      <c r="AO373" s="744">
        <f t="shared" si="21"/>
        <v>0.99252336448598144</v>
      </c>
      <c r="AP373" s="745">
        <f>'09월 에너지'!S375</f>
        <v>141.6</v>
      </c>
    </row>
    <row r="374" spans="1:42" ht="16.5" customHeight="1">
      <c r="A374" s="999">
        <f>'09월 조업일지'!A374</f>
        <v>46278</v>
      </c>
      <c r="B374" s="1100">
        <f>'09월 조업일지'!B374</f>
        <v>46278</v>
      </c>
      <c r="C374" s="730">
        <f>'09월 조업일지'!G374</f>
        <v>85576</v>
      </c>
      <c r="D374" s="731" t="str">
        <f>'09월 조업일지'!E374</f>
        <v>A</v>
      </c>
      <c r="E374" s="732" t="str">
        <f>'09월 조업일지'!F374</f>
        <v>A</v>
      </c>
      <c r="F374" s="1096" t="str">
        <f>'09월 에너지'!F376</f>
        <v>SHN275(BB)</v>
      </c>
      <c r="G374" s="733">
        <v>12</v>
      </c>
      <c r="H374" s="734">
        <v>22</v>
      </c>
      <c r="I374" s="734">
        <v>56</v>
      </c>
      <c r="J374" s="734">
        <v>16</v>
      </c>
      <c r="K374" s="735">
        <v>42</v>
      </c>
      <c r="L374" s="734">
        <v>14</v>
      </c>
      <c r="M374" s="736">
        <v>9</v>
      </c>
      <c r="N374" s="737">
        <v>414</v>
      </c>
      <c r="O374" s="737"/>
      <c r="P374" s="737">
        <v>1000</v>
      </c>
      <c r="Q374" s="737">
        <v>951</v>
      </c>
      <c r="R374" s="737"/>
      <c r="S374" s="737"/>
      <c r="T374" s="737">
        <v>0</v>
      </c>
      <c r="U374" s="738"/>
      <c r="V374" s="739">
        <v>420</v>
      </c>
      <c r="W374" s="737"/>
      <c r="X374" s="737">
        <v>1001</v>
      </c>
      <c r="Y374" s="737">
        <v>901</v>
      </c>
      <c r="Z374" s="1202">
        <v>0</v>
      </c>
      <c r="AA374" s="740"/>
      <c r="AB374" s="739">
        <v>0</v>
      </c>
      <c r="AC374" s="741"/>
      <c r="AD374" s="741">
        <v>274</v>
      </c>
      <c r="AE374" s="741">
        <v>459</v>
      </c>
      <c r="AF374" s="741">
        <v>0</v>
      </c>
      <c r="AG374" s="741">
        <v>95</v>
      </c>
      <c r="AH374" s="741">
        <v>851</v>
      </c>
      <c r="AI374" s="741">
        <v>287</v>
      </c>
      <c r="AJ374" s="741">
        <v>89</v>
      </c>
      <c r="AK374" s="741">
        <v>0</v>
      </c>
      <c r="AL374" s="741">
        <v>0</v>
      </c>
      <c r="AM374" s="742">
        <v>2037</v>
      </c>
      <c r="AN374" s="743">
        <f t="shared" si="20"/>
        <v>0.91618547681539819</v>
      </c>
      <c r="AO374" s="744">
        <f t="shared" si="21"/>
        <v>0.98284371327849607</v>
      </c>
      <c r="AP374" s="745">
        <f>'09월 에너지'!S376</f>
        <v>142.80000000000001</v>
      </c>
    </row>
    <row r="375" spans="1:42" ht="16.5" customHeight="1">
      <c r="A375" s="999">
        <f>'09월 조업일지'!A375</f>
        <v>46278</v>
      </c>
      <c r="B375" s="1100">
        <f>'09월 조업일지'!B375</f>
        <v>46278</v>
      </c>
      <c r="C375" s="730">
        <f>'09월 조업일지'!G375</f>
        <v>85577</v>
      </c>
      <c r="D375" s="731" t="str">
        <f>'09월 조업일지'!E375</f>
        <v>A</v>
      </c>
      <c r="E375" s="732" t="str">
        <f>'09월 조업일지'!F375</f>
        <v>B</v>
      </c>
      <c r="F375" s="1096" t="str">
        <f>'09월 에너지'!F377</f>
        <v>SHN275(BB)</v>
      </c>
      <c r="G375" s="733">
        <v>9</v>
      </c>
      <c r="H375" s="734">
        <v>21</v>
      </c>
      <c r="I375" s="734">
        <v>54</v>
      </c>
      <c r="J375" s="734">
        <v>21</v>
      </c>
      <c r="K375" s="735">
        <v>40</v>
      </c>
      <c r="L375" s="734">
        <v>16</v>
      </c>
      <c r="M375" s="736">
        <v>26</v>
      </c>
      <c r="N375" s="737">
        <v>423</v>
      </c>
      <c r="O375" s="737"/>
      <c r="P375" s="737">
        <v>1004</v>
      </c>
      <c r="Q375" s="737">
        <v>951</v>
      </c>
      <c r="R375" s="737"/>
      <c r="S375" s="737"/>
      <c r="T375" s="737">
        <v>0</v>
      </c>
      <c r="U375" s="738"/>
      <c r="V375" s="739">
        <v>414</v>
      </c>
      <c r="W375" s="737"/>
      <c r="X375" s="737">
        <v>1007</v>
      </c>
      <c r="Y375" s="737">
        <v>906</v>
      </c>
      <c r="Z375" s="1202">
        <v>0</v>
      </c>
      <c r="AA375" s="740"/>
      <c r="AB375" s="739">
        <v>0</v>
      </c>
      <c r="AC375" s="741"/>
      <c r="AD375" s="741">
        <v>271</v>
      </c>
      <c r="AE375" s="741">
        <v>458</v>
      </c>
      <c r="AF375" s="741">
        <v>0</v>
      </c>
      <c r="AG375" s="741">
        <v>95</v>
      </c>
      <c r="AH375" s="741">
        <v>838</v>
      </c>
      <c r="AI375" s="741">
        <v>294</v>
      </c>
      <c r="AJ375" s="741">
        <v>92</v>
      </c>
      <c r="AK375" s="741">
        <v>0</v>
      </c>
      <c r="AL375" s="741">
        <v>0</v>
      </c>
      <c r="AM375" s="742">
        <v>1667</v>
      </c>
      <c r="AN375" s="743">
        <f t="shared" si="20"/>
        <v>0.87833622183708837</v>
      </c>
      <c r="AO375" s="744">
        <f t="shared" si="21"/>
        <v>0.96270030685305163</v>
      </c>
      <c r="AP375" s="745">
        <f>'09월 에너지'!S377</f>
        <v>144.80000000000001</v>
      </c>
    </row>
    <row r="376" spans="1:42" ht="16.5" customHeight="1">
      <c r="A376" s="999">
        <f>'09월 조업일지'!A376</f>
        <v>46278</v>
      </c>
      <c r="B376" s="1100">
        <f>'09월 조업일지'!B376</f>
        <v>46278</v>
      </c>
      <c r="C376" s="730">
        <f>'09월 조업일지'!G376</f>
        <v>85578</v>
      </c>
      <c r="D376" s="731" t="str">
        <f>'09월 조업일지'!E376</f>
        <v>A</v>
      </c>
      <c r="E376" s="732" t="str">
        <f>'09월 조업일지'!F376</f>
        <v>A</v>
      </c>
      <c r="F376" s="1096" t="str">
        <f>'09월 에너지'!F378</f>
        <v>SHN275(BB)</v>
      </c>
      <c r="G376" s="733">
        <v>11</v>
      </c>
      <c r="H376" s="734">
        <v>20</v>
      </c>
      <c r="I376" s="734">
        <v>56</v>
      </c>
      <c r="J376" s="734">
        <v>15</v>
      </c>
      <c r="K376" s="735">
        <v>33</v>
      </c>
      <c r="L376" s="734">
        <v>13</v>
      </c>
      <c r="M376" s="736">
        <v>7</v>
      </c>
      <c r="N376" s="737">
        <v>417</v>
      </c>
      <c r="O376" s="737"/>
      <c r="P376" s="737">
        <v>1002</v>
      </c>
      <c r="Q376" s="737">
        <v>951</v>
      </c>
      <c r="R376" s="737"/>
      <c r="S376" s="737"/>
      <c r="T376" s="737">
        <v>0</v>
      </c>
      <c r="U376" s="738"/>
      <c r="V376" s="739">
        <v>417</v>
      </c>
      <c r="W376" s="737"/>
      <c r="X376" s="737">
        <v>1016</v>
      </c>
      <c r="Y376" s="737">
        <v>903</v>
      </c>
      <c r="Z376" s="1202">
        <v>0</v>
      </c>
      <c r="AA376" s="740"/>
      <c r="AB376" s="739">
        <v>0</v>
      </c>
      <c r="AC376" s="741"/>
      <c r="AD376" s="741">
        <v>271</v>
      </c>
      <c r="AE376" s="741">
        <v>463</v>
      </c>
      <c r="AF376" s="741">
        <v>0</v>
      </c>
      <c r="AG376" s="741">
        <v>95</v>
      </c>
      <c r="AH376" s="741">
        <v>850</v>
      </c>
      <c r="AI376" s="741">
        <v>295</v>
      </c>
      <c r="AJ376" s="741">
        <v>89</v>
      </c>
      <c r="AK376" s="741">
        <v>0</v>
      </c>
      <c r="AL376" s="741">
        <v>0</v>
      </c>
      <c r="AM376" s="742">
        <v>2136</v>
      </c>
      <c r="AN376" s="743">
        <f t="shared" si="20"/>
        <v>0.82293906810035844</v>
      </c>
      <c r="AO376" s="744">
        <f t="shared" si="21"/>
        <v>0.98882352941176477</v>
      </c>
      <c r="AP376" s="745">
        <f>'09월 에너지'!S378</f>
        <v>143.5</v>
      </c>
    </row>
    <row r="377" spans="1:42" ht="16.5" customHeight="1">
      <c r="A377" s="999">
        <f>'09월 조업일지'!A377</f>
        <v>46278</v>
      </c>
      <c r="B377" s="1100">
        <f>'09월 조업일지'!B377</f>
        <v>46278</v>
      </c>
      <c r="C377" s="730">
        <f>'09월 조업일지'!G377</f>
        <v>85579</v>
      </c>
      <c r="D377" s="731" t="str">
        <f>'09월 조업일지'!E377</f>
        <v>B</v>
      </c>
      <c r="E377" s="732" t="str">
        <f>'09월 조업일지'!F377</f>
        <v>B</v>
      </c>
      <c r="F377" s="1096" t="str">
        <f>'09월 에너지'!F379</f>
        <v>SHN275(BB)</v>
      </c>
      <c r="G377" s="733">
        <v>10</v>
      </c>
      <c r="H377" s="734">
        <v>23</v>
      </c>
      <c r="I377" s="734">
        <v>62</v>
      </c>
      <c r="J377" s="734">
        <v>23</v>
      </c>
      <c r="K377" s="735">
        <v>32</v>
      </c>
      <c r="L377" s="734">
        <v>15</v>
      </c>
      <c r="M377" s="736">
        <v>11</v>
      </c>
      <c r="N377" s="737">
        <v>420</v>
      </c>
      <c r="O377" s="737"/>
      <c r="P377" s="737">
        <v>1003</v>
      </c>
      <c r="Q377" s="737">
        <v>953</v>
      </c>
      <c r="R377" s="737"/>
      <c r="S377" s="737"/>
      <c r="T377" s="737"/>
      <c r="U377" s="738"/>
      <c r="V377" s="739">
        <v>414</v>
      </c>
      <c r="W377" s="737"/>
      <c r="X377" s="737">
        <v>1003</v>
      </c>
      <c r="Y377" s="737">
        <v>905</v>
      </c>
      <c r="Z377" s="1202"/>
      <c r="AA377" s="740"/>
      <c r="AB377" s="739"/>
      <c r="AC377" s="741"/>
      <c r="AD377" s="741">
        <v>271</v>
      </c>
      <c r="AE377" s="741">
        <v>464</v>
      </c>
      <c r="AF377" s="741"/>
      <c r="AG377" s="741">
        <v>95</v>
      </c>
      <c r="AH377" s="741">
        <v>850</v>
      </c>
      <c r="AI377" s="741">
        <v>299</v>
      </c>
      <c r="AJ377" s="741">
        <v>90</v>
      </c>
      <c r="AK377" s="741"/>
      <c r="AL377" s="741"/>
      <c r="AM377" s="742">
        <v>2320</v>
      </c>
      <c r="AN377" s="743">
        <f t="shared" si="20"/>
        <v>0.93111584932480451</v>
      </c>
      <c r="AO377" s="744">
        <f t="shared" si="21"/>
        <v>1.1248403361344537</v>
      </c>
      <c r="AP377" s="745">
        <f>'09월 에너지'!S379</f>
        <v>142.4</v>
      </c>
    </row>
    <row r="378" spans="1:42" ht="16.5" customHeight="1">
      <c r="A378" s="999">
        <f>'09월 조업일지'!A378</f>
        <v>46278</v>
      </c>
      <c r="B378" s="1100">
        <f>'09월 조업일지'!B378</f>
        <v>46278</v>
      </c>
      <c r="C378" s="730">
        <f>'09월 조업일지'!G378</f>
        <v>85580</v>
      </c>
      <c r="D378" s="731" t="str">
        <f>'09월 조업일지'!E378</f>
        <v>B</v>
      </c>
      <c r="E378" s="732" t="str">
        <f>'09월 조업일지'!F378</f>
        <v>A</v>
      </c>
      <c r="F378" s="1096" t="str">
        <f>'09월 에너지'!F380</f>
        <v>SHN275(BB)</v>
      </c>
      <c r="G378" s="733">
        <v>10</v>
      </c>
      <c r="H378" s="734">
        <v>18</v>
      </c>
      <c r="I378" s="734">
        <v>57</v>
      </c>
      <c r="J378" s="734">
        <v>18</v>
      </c>
      <c r="K378" s="735">
        <v>40</v>
      </c>
      <c r="L378" s="734">
        <v>14</v>
      </c>
      <c r="M378" s="736">
        <v>11</v>
      </c>
      <c r="N378" s="737">
        <v>424</v>
      </c>
      <c r="O378" s="737"/>
      <c r="P378" s="737">
        <v>1003</v>
      </c>
      <c r="Q378" s="737">
        <v>950</v>
      </c>
      <c r="R378" s="737"/>
      <c r="S378" s="737"/>
      <c r="T378" s="737"/>
      <c r="U378" s="738"/>
      <c r="V378" s="739">
        <v>417</v>
      </c>
      <c r="W378" s="737"/>
      <c r="X378" s="737">
        <v>1002</v>
      </c>
      <c r="Y378" s="737">
        <v>902</v>
      </c>
      <c r="Z378" s="1202"/>
      <c r="AA378" s="740"/>
      <c r="AB378" s="739"/>
      <c r="AC378" s="741"/>
      <c r="AD378" s="741">
        <v>273</v>
      </c>
      <c r="AE378" s="741">
        <v>460</v>
      </c>
      <c r="AF378" s="741"/>
      <c r="AG378" s="741">
        <v>94</v>
      </c>
      <c r="AH378" s="741">
        <v>843</v>
      </c>
      <c r="AI378" s="741">
        <v>286</v>
      </c>
      <c r="AJ378" s="741">
        <v>94</v>
      </c>
      <c r="AK378" s="741"/>
      <c r="AL378" s="741"/>
      <c r="AM378" s="742">
        <v>2071</v>
      </c>
      <c r="AN378" s="743">
        <f t="shared" si="20"/>
        <v>0.77659480862296515</v>
      </c>
      <c r="AO378" s="744">
        <f t="shared" si="21"/>
        <v>1.0469750889679719</v>
      </c>
      <c r="AP378" s="745">
        <f>'09월 에너지'!S380</f>
        <v>147.1</v>
      </c>
    </row>
    <row r="379" spans="1:42" ht="16.5" customHeight="1">
      <c r="A379" s="999">
        <f>'09월 조업일지'!A379</f>
        <v>46278</v>
      </c>
      <c r="B379" s="1100">
        <f>'09월 조업일지'!B379</f>
        <v>46278</v>
      </c>
      <c r="C379" s="730">
        <f>'09월 조업일지'!G379</f>
        <v>85581</v>
      </c>
      <c r="D379" s="731" t="str">
        <f>'09월 조업일지'!E379</f>
        <v>B</v>
      </c>
      <c r="E379" s="732" t="str">
        <f>'09월 조업일지'!F379</f>
        <v>B</v>
      </c>
      <c r="F379" s="1096" t="str">
        <f>'09월 에너지'!F381</f>
        <v>SHN275(BB)</v>
      </c>
      <c r="G379" s="733">
        <v>10</v>
      </c>
      <c r="H379" s="734">
        <v>23</v>
      </c>
      <c r="I379" s="734">
        <v>61</v>
      </c>
      <c r="J379" s="734">
        <v>21</v>
      </c>
      <c r="K379" s="735">
        <v>41</v>
      </c>
      <c r="L379" s="734">
        <v>15</v>
      </c>
      <c r="M379" s="736">
        <v>10</v>
      </c>
      <c r="N379" s="737">
        <v>418</v>
      </c>
      <c r="O379" s="737"/>
      <c r="P379" s="737">
        <v>1002</v>
      </c>
      <c r="Q379" s="737">
        <v>952</v>
      </c>
      <c r="R379" s="737"/>
      <c r="S379" s="737"/>
      <c r="T379" s="737"/>
      <c r="U379" s="738"/>
      <c r="V379" s="739">
        <v>424</v>
      </c>
      <c r="W379" s="737"/>
      <c r="X379" s="737">
        <v>1002</v>
      </c>
      <c r="Y379" s="737">
        <v>900</v>
      </c>
      <c r="Z379" s="1202"/>
      <c r="AA379" s="740"/>
      <c r="AB379" s="739"/>
      <c r="AC379" s="741"/>
      <c r="AD379" s="741">
        <v>271</v>
      </c>
      <c r="AE379" s="741">
        <v>464</v>
      </c>
      <c r="AF379" s="741"/>
      <c r="AG379" s="741">
        <v>95</v>
      </c>
      <c r="AH379" s="741">
        <v>851</v>
      </c>
      <c r="AI379" s="741">
        <v>292</v>
      </c>
      <c r="AJ379" s="741">
        <v>91</v>
      </c>
      <c r="AK379" s="741"/>
      <c r="AL379" s="741"/>
      <c r="AM379" s="742">
        <v>2538</v>
      </c>
      <c r="AN379" s="743">
        <f t="shared" si="20"/>
        <v>0.95609404298283585</v>
      </c>
      <c r="AO379" s="744">
        <f t="shared" si="21"/>
        <v>1.1127413127413128</v>
      </c>
      <c r="AP379" s="745">
        <f>'09월 에너지'!S381</f>
        <v>144.1</v>
      </c>
    </row>
    <row r="380" spans="1:42" ht="16.5" customHeight="1">
      <c r="A380" s="999">
        <f>'09월 조업일지'!A380</f>
        <v>46278</v>
      </c>
      <c r="B380" s="1100">
        <f>'09월 조업일지'!B380</f>
        <v>46278</v>
      </c>
      <c r="C380" s="730">
        <f>'09월 조업일지'!G380</f>
        <v>85582</v>
      </c>
      <c r="D380" s="731" t="str">
        <f>'09월 조업일지'!E380</f>
        <v>B</v>
      </c>
      <c r="E380" s="732" t="str">
        <f>'09월 조업일지'!F380</f>
        <v>A</v>
      </c>
      <c r="F380" s="1096" t="str">
        <f>'09월 에너지'!F382</f>
        <v>SHN275(BB)</v>
      </c>
      <c r="G380" s="733">
        <v>11</v>
      </c>
      <c r="H380" s="734">
        <v>13</v>
      </c>
      <c r="I380" s="734">
        <v>55</v>
      </c>
      <c r="J380" s="734">
        <v>16</v>
      </c>
      <c r="K380" s="735">
        <v>29</v>
      </c>
      <c r="L380" s="734">
        <v>15</v>
      </c>
      <c r="M380" s="736">
        <v>12</v>
      </c>
      <c r="N380" s="737">
        <v>418</v>
      </c>
      <c r="O380" s="737"/>
      <c r="P380" s="737">
        <v>1001</v>
      </c>
      <c r="Q380" s="737">
        <v>953</v>
      </c>
      <c r="R380" s="737"/>
      <c r="S380" s="737"/>
      <c r="T380" s="737"/>
      <c r="U380" s="738"/>
      <c r="V380" s="739">
        <v>424</v>
      </c>
      <c r="W380" s="737"/>
      <c r="X380" s="737">
        <v>1001</v>
      </c>
      <c r="Y380" s="737">
        <v>902</v>
      </c>
      <c r="Z380" s="1202"/>
      <c r="AA380" s="740"/>
      <c r="AB380" s="739"/>
      <c r="AC380" s="741"/>
      <c r="AD380" s="741">
        <v>273</v>
      </c>
      <c r="AE380" s="741">
        <v>459</v>
      </c>
      <c r="AF380" s="741"/>
      <c r="AG380" s="741">
        <v>95</v>
      </c>
      <c r="AH380" s="741">
        <v>851</v>
      </c>
      <c r="AI380" s="741">
        <v>291</v>
      </c>
      <c r="AJ380" s="741">
        <v>90</v>
      </c>
      <c r="AK380" s="741"/>
      <c r="AL380" s="741"/>
      <c r="AM380" s="742">
        <v>1658</v>
      </c>
      <c r="AN380" s="743">
        <f t="shared" si="20"/>
        <v>0.54871350101185323</v>
      </c>
      <c r="AO380" s="744">
        <f t="shared" si="21"/>
        <v>0.98035924122880658</v>
      </c>
      <c r="AP380" s="745">
        <f>'09월 에너지'!S382</f>
        <v>146</v>
      </c>
    </row>
    <row r="381" spans="1:42" ht="16.5" customHeight="1">
      <c r="A381" s="999">
        <f>'09월 조업일지'!A381</f>
        <v>46278</v>
      </c>
      <c r="B381" s="1100">
        <f>'09월 조업일지'!B381</f>
        <v>46278</v>
      </c>
      <c r="C381" s="730">
        <f>'09월 조업일지'!G381</f>
        <v>85583</v>
      </c>
      <c r="D381" s="731" t="str">
        <f>'09월 조업일지'!E381</f>
        <v>B</v>
      </c>
      <c r="E381" s="732" t="str">
        <f>'09월 조업일지'!F381</f>
        <v>B</v>
      </c>
      <c r="F381" s="1096" t="str">
        <f>'09월 에너지'!F383</f>
        <v>SHN275(BB)</v>
      </c>
      <c r="G381" s="733">
        <v>7</v>
      </c>
      <c r="H381" s="734">
        <v>18</v>
      </c>
      <c r="I381" s="734">
        <v>51</v>
      </c>
      <c r="J381" s="734">
        <v>14</v>
      </c>
      <c r="K381" s="735">
        <v>38</v>
      </c>
      <c r="L381" s="734">
        <v>14</v>
      </c>
      <c r="M381" s="736">
        <v>9</v>
      </c>
      <c r="N381" s="737">
        <v>418</v>
      </c>
      <c r="O381" s="737"/>
      <c r="P381" s="737">
        <v>1001</v>
      </c>
      <c r="Q381" s="737">
        <v>953</v>
      </c>
      <c r="R381" s="737"/>
      <c r="S381" s="737"/>
      <c r="T381" s="737"/>
      <c r="U381" s="738"/>
      <c r="V381" s="739">
        <v>422</v>
      </c>
      <c r="W381" s="737"/>
      <c r="X381" s="737">
        <v>1003</v>
      </c>
      <c r="Y381" s="737">
        <v>906</v>
      </c>
      <c r="Z381" s="1202"/>
      <c r="AA381" s="740"/>
      <c r="AB381" s="739"/>
      <c r="AC381" s="741"/>
      <c r="AD381" s="741">
        <v>272</v>
      </c>
      <c r="AE381" s="741">
        <v>459</v>
      </c>
      <c r="AF381" s="741"/>
      <c r="AG381" s="741">
        <v>95</v>
      </c>
      <c r="AH381" s="741">
        <v>851</v>
      </c>
      <c r="AI381" s="741">
        <v>286</v>
      </c>
      <c r="AJ381" s="741">
        <v>85</v>
      </c>
      <c r="AK381" s="741"/>
      <c r="AL381" s="741"/>
      <c r="AM381" s="742">
        <v>1161</v>
      </c>
      <c r="AN381" s="743">
        <f t="shared" si="20"/>
        <v>0.73546690048224461</v>
      </c>
      <c r="AO381" s="744">
        <f t="shared" si="21"/>
        <v>0.84485479268087971</v>
      </c>
      <c r="AP381" s="745">
        <f>'09월 에너지'!S383</f>
        <v>139.80000000000001</v>
      </c>
    </row>
    <row r="382" spans="1:42" ht="16.5" customHeight="1">
      <c r="A382" s="999">
        <f>'09월 조업일지'!A382</f>
        <v>46278</v>
      </c>
      <c r="B382" s="1100">
        <f>'09월 조업일지'!B382</f>
        <v>46278</v>
      </c>
      <c r="C382" s="730">
        <f>'09월 조업일지'!G382</f>
        <v>85584</v>
      </c>
      <c r="D382" s="731" t="str">
        <f>'09월 조업일지'!E382</f>
        <v>B</v>
      </c>
      <c r="E382" s="732" t="str">
        <f>'09월 조업일지'!F382</f>
        <v>A</v>
      </c>
      <c r="F382" s="1096" t="str">
        <f>'09월 에너지'!F384</f>
        <v>SHN275(BB)</v>
      </c>
      <c r="G382" s="733">
        <v>12</v>
      </c>
      <c r="H382" s="734">
        <v>24</v>
      </c>
      <c r="I382" s="734">
        <v>59</v>
      </c>
      <c r="J382" s="734">
        <v>16</v>
      </c>
      <c r="K382" s="735">
        <v>40</v>
      </c>
      <c r="L382" s="734">
        <v>16</v>
      </c>
      <c r="M382" s="736">
        <v>11</v>
      </c>
      <c r="N382" s="737">
        <v>417</v>
      </c>
      <c r="O382" s="737"/>
      <c r="P382" s="737">
        <v>1001</v>
      </c>
      <c r="Q382" s="737">
        <v>952</v>
      </c>
      <c r="R382" s="737"/>
      <c r="S382" s="737"/>
      <c r="T382" s="737"/>
      <c r="U382" s="738"/>
      <c r="V382" s="739">
        <v>422</v>
      </c>
      <c r="W382" s="737"/>
      <c r="X382" s="737">
        <v>1001</v>
      </c>
      <c r="Y382" s="737">
        <v>900</v>
      </c>
      <c r="Z382" s="1202"/>
      <c r="AA382" s="740"/>
      <c r="AB382" s="739"/>
      <c r="AC382" s="741"/>
      <c r="AD382" s="741">
        <v>271</v>
      </c>
      <c r="AE382" s="741">
        <v>461</v>
      </c>
      <c r="AF382" s="741"/>
      <c r="AG382" s="741">
        <v>96</v>
      </c>
      <c r="AH382" s="741">
        <v>853</v>
      </c>
      <c r="AI382" s="741">
        <v>399</v>
      </c>
      <c r="AJ382" s="741">
        <v>89</v>
      </c>
      <c r="AK382" s="741"/>
      <c r="AL382" s="741"/>
      <c r="AM382" s="742">
        <v>1418</v>
      </c>
      <c r="AN382" s="743">
        <f t="shared" si="20"/>
        <v>0.8314606741573034</v>
      </c>
      <c r="AO382" s="744">
        <f t="shared" si="21"/>
        <v>1.0906045888460896</v>
      </c>
      <c r="AP382" s="745">
        <f>'09월 에너지'!S384</f>
        <v>148</v>
      </c>
    </row>
    <row r="383" spans="1:42" ht="16.5" customHeight="1">
      <c r="A383" s="999">
        <f>'09월 조업일지'!A383</f>
        <v>46279</v>
      </c>
      <c r="B383" s="1100">
        <f>'09월 조업일지'!B383</f>
        <v>46278</v>
      </c>
      <c r="C383" s="730">
        <f>'09월 조업일지'!G383</f>
        <v>85585</v>
      </c>
      <c r="D383" s="731" t="str">
        <f>'09월 조업일지'!E383</f>
        <v>B</v>
      </c>
      <c r="E383" s="732" t="str">
        <f>'09월 조업일지'!F383</f>
        <v>B</v>
      </c>
      <c r="F383" s="1231" t="str">
        <f>'09월 에너지'!F385</f>
        <v>SS400(ToMok)</v>
      </c>
      <c r="G383" s="733">
        <v>13</v>
      </c>
      <c r="H383" s="734">
        <v>17</v>
      </c>
      <c r="I383" s="734">
        <v>57</v>
      </c>
      <c r="J383" s="734">
        <v>19</v>
      </c>
      <c r="K383" s="735">
        <v>46</v>
      </c>
      <c r="L383" s="734">
        <v>13</v>
      </c>
      <c r="M383" s="736">
        <v>10</v>
      </c>
      <c r="N383" s="737">
        <v>425</v>
      </c>
      <c r="O383" s="737"/>
      <c r="P383" s="737">
        <v>1003</v>
      </c>
      <c r="Q383" s="737">
        <v>954</v>
      </c>
      <c r="R383" s="737"/>
      <c r="S383" s="737"/>
      <c r="T383" s="737">
        <v>66</v>
      </c>
      <c r="U383" s="738"/>
      <c r="V383" s="739">
        <v>419</v>
      </c>
      <c r="W383" s="737"/>
      <c r="X383" s="737">
        <v>1002</v>
      </c>
      <c r="Y383" s="737">
        <v>901</v>
      </c>
      <c r="Z383" s="1202">
        <v>64</v>
      </c>
      <c r="AA383" s="740"/>
      <c r="AB383" s="739"/>
      <c r="AC383" s="741"/>
      <c r="AD383" s="741">
        <v>271</v>
      </c>
      <c r="AE383" s="741">
        <v>337</v>
      </c>
      <c r="AF383" s="741"/>
      <c r="AG383" s="741">
        <v>110</v>
      </c>
      <c r="AH383" s="741">
        <v>704</v>
      </c>
      <c r="AI383" s="741">
        <v>339</v>
      </c>
      <c r="AJ383" s="741">
        <v>80</v>
      </c>
      <c r="AK383" s="741"/>
      <c r="AL383" s="741">
        <v>120</v>
      </c>
      <c r="AM383" s="742">
        <v>1993</v>
      </c>
      <c r="AN383" s="743">
        <f t="shared" si="20"/>
        <v>0.68359038488258994</v>
      </c>
      <c r="AO383" s="744">
        <f t="shared" si="21"/>
        <v>1.2332386363636365</v>
      </c>
      <c r="AP383" s="745">
        <f>'09월 에너지'!S385</f>
        <v>144.69999999999999</v>
      </c>
    </row>
    <row r="384" spans="1:42" ht="16.5" customHeight="1">
      <c r="A384" s="999">
        <f>'09월 조업일지'!A384</f>
        <v>46279</v>
      </c>
      <c r="B384" s="1100">
        <f>'09월 조업일지'!B384</f>
        <v>46278</v>
      </c>
      <c r="C384" s="730">
        <f>'09월 조업일지'!G384</f>
        <v>85586</v>
      </c>
      <c r="D384" s="731" t="str">
        <f>'09월 조업일지'!E384</f>
        <v>B</v>
      </c>
      <c r="E384" s="732" t="str">
        <f>'09월 조업일지'!F384</f>
        <v>A</v>
      </c>
      <c r="F384" s="1096" t="str">
        <f>'09월 에너지'!F386</f>
        <v>SS400(ToMok)</v>
      </c>
      <c r="G384" s="733">
        <v>11</v>
      </c>
      <c r="H384" s="734">
        <v>24</v>
      </c>
      <c r="I384" s="734">
        <v>50</v>
      </c>
      <c r="J384" s="734">
        <v>17</v>
      </c>
      <c r="K384" s="735">
        <v>47</v>
      </c>
      <c r="L384" s="734">
        <v>15</v>
      </c>
      <c r="M384" s="736">
        <v>10</v>
      </c>
      <c r="N384" s="737">
        <v>516</v>
      </c>
      <c r="O384" s="737"/>
      <c r="P384" s="737">
        <v>1002</v>
      </c>
      <c r="Q384" s="737">
        <v>951</v>
      </c>
      <c r="R384" s="737"/>
      <c r="S384" s="737"/>
      <c r="T384" s="737">
        <v>61</v>
      </c>
      <c r="U384" s="738"/>
      <c r="V384" s="739">
        <v>523</v>
      </c>
      <c r="W384" s="737"/>
      <c r="X384" s="737">
        <v>1001</v>
      </c>
      <c r="Y384" s="737">
        <v>905</v>
      </c>
      <c r="Z384" s="1202">
        <v>60</v>
      </c>
      <c r="AA384" s="740"/>
      <c r="AB384" s="739"/>
      <c r="AC384" s="741"/>
      <c r="AD384" s="741">
        <v>272</v>
      </c>
      <c r="AE384" s="741">
        <v>341</v>
      </c>
      <c r="AF384" s="741"/>
      <c r="AG384" s="741">
        <v>110</v>
      </c>
      <c r="AH384" s="741">
        <v>710</v>
      </c>
      <c r="AI384" s="741">
        <v>345</v>
      </c>
      <c r="AJ384" s="741">
        <v>77</v>
      </c>
      <c r="AK384" s="741"/>
      <c r="AL384" s="741">
        <v>115</v>
      </c>
      <c r="AM384" s="742">
        <v>1813</v>
      </c>
      <c r="AN384" s="743">
        <f t="shared" si="20"/>
        <v>0.94685831622176586</v>
      </c>
      <c r="AO384" s="744">
        <f t="shared" si="21"/>
        <v>1.0147887323943663</v>
      </c>
      <c r="AP384" s="745">
        <f>'09월 에너지'!S386</f>
        <v>144.1</v>
      </c>
    </row>
    <row r="385" spans="1:42" ht="16.5" customHeight="1">
      <c r="A385" s="999">
        <f>'09월 조업일지'!A385</f>
        <v>46279</v>
      </c>
      <c r="B385" s="1100">
        <f>'09월 조업일지'!B385</f>
        <v>46278</v>
      </c>
      <c r="C385" s="730">
        <f>'09월 조업일지'!G385</f>
        <v>85587</v>
      </c>
      <c r="D385" s="731" t="str">
        <f>'09월 조업일지'!E385</f>
        <v>B</v>
      </c>
      <c r="E385" s="732" t="str">
        <f>'09월 조업일지'!F385</f>
        <v>B</v>
      </c>
      <c r="F385" s="1096" t="str">
        <f>'09월 에너지'!F387</f>
        <v>SS400(ToMok)</v>
      </c>
      <c r="G385" s="733">
        <v>10</v>
      </c>
      <c r="H385" s="734">
        <v>23</v>
      </c>
      <c r="I385" s="734">
        <v>48</v>
      </c>
      <c r="J385" s="734">
        <v>15</v>
      </c>
      <c r="K385" s="735">
        <v>34</v>
      </c>
      <c r="L385" s="734">
        <v>13</v>
      </c>
      <c r="M385" s="736">
        <v>10</v>
      </c>
      <c r="N385" s="737">
        <v>420</v>
      </c>
      <c r="O385" s="737"/>
      <c r="P385" s="737">
        <v>1003</v>
      </c>
      <c r="Q385" s="737">
        <v>953</v>
      </c>
      <c r="R385" s="737"/>
      <c r="S385" s="737"/>
      <c r="T385" s="737">
        <v>69</v>
      </c>
      <c r="U385" s="738"/>
      <c r="V385" s="739">
        <v>414</v>
      </c>
      <c r="W385" s="737"/>
      <c r="X385" s="737">
        <v>1006</v>
      </c>
      <c r="Y385" s="737">
        <v>901</v>
      </c>
      <c r="Z385" s="1202">
        <v>65</v>
      </c>
      <c r="AA385" s="740"/>
      <c r="AB385" s="739"/>
      <c r="AC385" s="741"/>
      <c r="AD385" s="741">
        <v>272</v>
      </c>
      <c r="AE385" s="741">
        <v>339</v>
      </c>
      <c r="AF385" s="741"/>
      <c r="AG385" s="741">
        <v>110</v>
      </c>
      <c r="AH385" s="741">
        <v>706</v>
      </c>
      <c r="AI385" s="741">
        <v>347</v>
      </c>
      <c r="AJ385" s="741">
        <v>75</v>
      </c>
      <c r="AK385" s="741"/>
      <c r="AL385" s="741">
        <v>123</v>
      </c>
      <c r="AM385" s="742">
        <v>1600</v>
      </c>
      <c r="AN385" s="743">
        <f t="shared" si="20"/>
        <v>0.8863307387682644</v>
      </c>
      <c r="AO385" s="744">
        <f t="shared" si="21"/>
        <v>0.94218939700526105</v>
      </c>
      <c r="AP385" s="745">
        <f>'09월 에너지'!S387</f>
        <v>141.1</v>
      </c>
    </row>
    <row r="386" spans="1:42" ht="16.5" customHeight="1">
      <c r="A386" s="999">
        <f>'09월 조업일지'!A386</f>
        <v>46279</v>
      </c>
      <c r="B386" s="1100">
        <f>'09월 조업일지'!B386</f>
        <v>46278</v>
      </c>
      <c r="C386" s="730">
        <f>'09월 조업일지'!G386</f>
        <v>85588</v>
      </c>
      <c r="D386" s="731" t="str">
        <f>'09월 조업일지'!E386</f>
        <v>B</v>
      </c>
      <c r="E386" s="732" t="str">
        <f>'09월 조업일지'!F386</f>
        <v>A</v>
      </c>
      <c r="F386" s="1096" t="str">
        <f>'09월 에너지'!F388</f>
        <v>SS400(ToMok)</v>
      </c>
      <c r="G386" s="733">
        <v>10</v>
      </c>
      <c r="H386" s="734">
        <v>24</v>
      </c>
      <c r="I386" s="734">
        <v>58</v>
      </c>
      <c r="J386" s="734">
        <v>19</v>
      </c>
      <c r="K386" s="735">
        <v>53</v>
      </c>
      <c r="L386" s="734">
        <v>21</v>
      </c>
      <c r="M386" s="736">
        <v>11</v>
      </c>
      <c r="N386" s="737">
        <v>413</v>
      </c>
      <c r="O386" s="737"/>
      <c r="P386" s="737">
        <v>1001</v>
      </c>
      <c r="Q386" s="737">
        <v>921</v>
      </c>
      <c r="R386" s="737"/>
      <c r="S386" s="737"/>
      <c r="T386" s="737">
        <v>62</v>
      </c>
      <c r="U386" s="738"/>
      <c r="V386" s="739">
        <v>421</v>
      </c>
      <c r="W386" s="737"/>
      <c r="X386" s="737">
        <v>1001</v>
      </c>
      <c r="Y386" s="737">
        <v>901</v>
      </c>
      <c r="Z386" s="1202">
        <v>62</v>
      </c>
      <c r="AA386" s="740"/>
      <c r="AB386" s="739"/>
      <c r="AC386" s="741"/>
      <c r="AD386" s="741">
        <v>270</v>
      </c>
      <c r="AE386" s="741">
        <v>342</v>
      </c>
      <c r="AF386" s="741"/>
      <c r="AG386" s="741">
        <v>110</v>
      </c>
      <c r="AH386" s="741">
        <v>702</v>
      </c>
      <c r="AI386" s="741">
        <v>341</v>
      </c>
      <c r="AJ386" s="741">
        <v>82</v>
      </c>
      <c r="AK386" s="741"/>
      <c r="AL386" s="741">
        <v>122</v>
      </c>
      <c r="AM386" s="742">
        <v>1611</v>
      </c>
      <c r="AN386" s="743">
        <f t="shared" si="20"/>
        <v>0.94923140839218945</v>
      </c>
      <c r="AO386" s="744">
        <f t="shared" si="21"/>
        <v>1.2495726495726496</v>
      </c>
      <c r="AP386" s="745">
        <f>'09월 에너지'!S388</f>
        <v>142.80000000000001</v>
      </c>
    </row>
    <row r="387" spans="1:42" ht="16.5" customHeight="1">
      <c r="A387" s="999">
        <f>'09월 조업일지'!A387</f>
        <v>46279</v>
      </c>
      <c r="B387" s="1100">
        <f>'09월 조업일지'!B387</f>
        <v>46279</v>
      </c>
      <c r="C387" s="730">
        <f>'09월 조업일지'!G387</f>
        <v>85589</v>
      </c>
      <c r="D387" s="731" t="str">
        <f>'09월 조업일지'!E387</f>
        <v>D</v>
      </c>
      <c r="E387" s="732" t="str">
        <f>'09월 조업일지'!F387</f>
        <v>B</v>
      </c>
      <c r="F387" s="1096" t="str">
        <f>'09월 에너지'!F389</f>
        <v>SS400(ToMok)</v>
      </c>
      <c r="G387" s="733">
        <v>11</v>
      </c>
      <c r="H387" s="734">
        <v>20</v>
      </c>
      <c r="I387" s="734">
        <v>46</v>
      </c>
      <c r="J387" s="734">
        <v>14</v>
      </c>
      <c r="K387" s="735">
        <v>35</v>
      </c>
      <c r="L387" s="734">
        <v>15</v>
      </c>
      <c r="M387" s="736">
        <v>12</v>
      </c>
      <c r="N387" s="737">
        <v>418</v>
      </c>
      <c r="O387" s="737"/>
      <c r="P387" s="737">
        <v>1001</v>
      </c>
      <c r="Q387" s="737">
        <v>953</v>
      </c>
      <c r="R387" s="737"/>
      <c r="S387" s="737"/>
      <c r="T387" s="737">
        <v>63</v>
      </c>
      <c r="U387" s="738"/>
      <c r="V387" s="739">
        <v>420</v>
      </c>
      <c r="W387" s="737"/>
      <c r="X387" s="737">
        <v>1003</v>
      </c>
      <c r="Y387" s="737">
        <v>902</v>
      </c>
      <c r="Z387" s="1202">
        <v>69</v>
      </c>
      <c r="AA387" s="740"/>
      <c r="AB387" s="739"/>
      <c r="AC387" s="741"/>
      <c r="AD387" s="741">
        <v>272</v>
      </c>
      <c r="AE387" s="741">
        <v>337</v>
      </c>
      <c r="AF387" s="741"/>
      <c r="AG387" s="741">
        <v>110</v>
      </c>
      <c r="AH387" s="741">
        <v>711</v>
      </c>
      <c r="AI387" s="741">
        <v>345</v>
      </c>
      <c r="AJ387" s="741">
        <v>82</v>
      </c>
      <c r="AK387" s="741"/>
      <c r="AL387" s="741">
        <v>115</v>
      </c>
      <c r="AM387" s="742">
        <v>1310</v>
      </c>
      <c r="AN387" s="743">
        <f t="shared" si="20"/>
        <v>0.79802955665024644</v>
      </c>
      <c r="AO387" s="744">
        <f t="shared" si="21"/>
        <v>0.9081374321880652</v>
      </c>
      <c r="AP387" s="745">
        <f>'09월 에너지'!S389</f>
        <v>145.80000000000001</v>
      </c>
    </row>
    <row r="388" spans="1:42" ht="16.5" customHeight="1">
      <c r="A388" s="999">
        <f>'09월 조업일지'!A388</f>
        <v>46279</v>
      </c>
      <c r="B388" s="1100">
        <f>'09월 조업일지'!B388</f>
        <v>46279</v>
      </c>
      <c r="C388" s="730">
        <f>'09월 조업일지'!G388</f>
        <v>85590</v>
      </c>
      <c r="D388" s="731" t="str">
        <f>'09월 조업일지'!E388</f>
        <v>D</v>
      </c>
      <c r="E388" s="732" t="str">
        <f>'09월 조업일지'!F388</f>
        <v>A</v>
      </c>
      <c r="F388" s="1096" t="str">
        <f>'09월 에너지'!F390</f>
        <v>SS400(ToMok)</v>
      </c>
      <c r="G388" s="733">
        <v>9</v>
      </c>
      <c r="H388" s="734">
        <v>21</v>
      </c>
      <c r="I388" s="734">
        <v>50</v>
      </c>
      <c r="J388" s="734">
        <v>16</v>
      </c>
      <c r="K388" s="735">
        <v>35</v>
      </c>
      <c r="L388" s="734">
        <v>17</v>
      </c>
      <c r="M388" s="736">
        <v>11</v>
      </c>
      <c r="N388" s="737">
        <v>421</v>
      </c>
      <c r="O388" s="737"/>
      <c r="P388" s="737">
        <v>1002</v>
      </c>
      <c r="Q388" s="737">
        <v>951</v>
      </c>
      <c r="R388" s="737"/>
      <c r="S388" s="737"/>
      <c r="T388" s="737">
        <v>69</v>
      </c>
      <c r="U388" s="738"/>
      <c r="V388" s="739">
        <v>419</v>
      </c>
      <c r="W388" s="737"/>
      <c r="X388" s="737">
        <v>1001</v>
      </c>
      <c r="Y388" s="737">
        <v>903</v>
      </c>
      <c r="Z388" s="1202">
        <v>66</v>
      </c>
      <c r="AA388" s="740"/>
      <c r="AB388" s="739"/>
      <c r="AC388" s="741"/>
      <c r="AD388" s="741">
        <v>270</v>
      </c>
      <c r="AE388" s="741">
        <v>341</v>
      </c>
      <c r="AF388" s="741"/>
      <c r="AG388" s="741">
        <v>110</v>
      </c>
      <c r="AH388" s="741">
        <v>706</v>
      </c>
      <c r="AI388" s="741">
        <v>341</v>
      </c>
      <c r="AJ388" s="741">
        <v>82</v>
      </c>
      <c r="AK388" s="741"/>
      <c r="AL388" s="741">
        <v>129</v>
      </c>
      <c r="AM388" s="742">
        <v>1089</v>
      </c>
      <c r="AN388" s="743">
        <f t="shared" si="20"/>
        <v>0.83558689340522607</v>
      </c>
      <c r="AO388" s="744">
        <f t="shared" si="21"/>
        <v>1.0191218130311614</v>
      </c>
      <c r="AP388" s="745">
        <f>'09월 에너지'!S390</f>
        <v>143.9</v>
      </c>
    </row>
    <row r="389" spans="1:42" ht="16.5" customHeight="1">
      <c r="A389" s="999">
        <f>'09월 조업일지'!A389</f>
        <v>46279</v>
      </c>
      <c r="B389" s="1100">
        <f>'09월 조업일지'!B389</f>
        <v>46279</v>
      </c>
      <c r="C389" s="730">
        <f>'09월 조업일지'!G389</f>
        <v>85591</v>
      </c>
      <c r="D389" s="731" t="str">
        <f>'09월 조업일지'!E389</f>
        <v>D</v>
      </c>
      <c r="E389" s="732" t="str">
        <f>'09월 조업일지'!F389</f>
        <v>B</v>
      </c>
      <c r="F389" s="1231" t="str">
        <f>'09월 에너지'!F391</f>
        <v>SHP275W</v>
      </c>
      <c r="G389" s="733">
        <v>9</v>
      </c>
      <c r="H389" s="734">
        <v>21</v>
      </c>
      <c r="I389" s="734">
        <v>50</v>
      </c>
      <c r="J389" s="734">
        <v>13</v>
      </c>
      <c r="K389" s="735">
        <v>31</v>
      </c>
      <c r="L389" s="734">
        <v>14</v>
      </c>
      <c r="M389" s="736">
        <v>10</v>
      </c>
      <c r="N389" s="737">
        <v>413</v>
      </c>
      <c r="O389" s="737"/>
      <c r="P389" s="737">
        <v>1001</v>
      </c>
      <c r="Q389" s="737">
        <v>952</v>
      </c>
      <c r="R389" s="737"/>
      <c r="S389" s="737"/>
      <c r="T389" s="737"/>
      <c r="U389" s="738"/>
      <c r="V389" s="739">
        <v>413</v>
      </c>
      <c r="W389" s="737"/>
      <c r="X389" s="737">
        <v>1005</v>
      </c>
      <c r="Y389" s="737">
        <v>902</v>
      </c>
      <c r="Z389" s="1202"/>
      <c r="AA389" s="740"/>
      <c r="AB389" s="739"/>
      <c r="AC389" s="741"/>
      <c r="AD389" s="741">
        <v>272</v>
      </c>
      <c r="AE389" s="741">
        <v>340</v>
      </c>
      <c r="AF389" s="741"/>
      <c r="AG389" s="741">
        <v>95</v>
      </c>
      <c r="AH389" s="741">
        <v>806</v>
      </c>
      <c r="AI389" s="741">
        <v>322</v>
      </c>
      <c r="AJ389" s="741">
        <v>85</v>
      </c>
      <c r="AK389" s="741"/>
      <c r="AL389" s="741">
        <v>132</v>
      </c>
      <c r="AM389" s="742">
        <v>927</v>
      </c>
      <c r="AN389" s="743">
        <f t="shared" si="20"/>
        <v>0.82632450331125828</v>
      </c>
      <c r="AO389" s="744">
        <f t="shared" si="21"/>
        <v>0.8846153846153848</v>
      </c>
      <c r="AP389" s="745">
        <f>'09월 에너지'!S391</f>
        <v>142.6</v>
      </c>
    </row>
    <row r="390" spans="1:42" ht="16.5" customHeight="1">
      <c r="A390" s="999">
        <f>'09월 조업일지'!A390</f>
        <v>46279</v>
      </c>
      <c r="B390" s="1100">
        <f>'09월 조업일지'!B390</f>
        <v>46279</v>
      </c>
      <c r="C390" s="730">
        <f>'09월 조업일지'!G390</f>
        <v>85592</v>
      </c>
      <c r="D390" s="731" t="str">
        <f>'09월 조업일지'!E390</f>
        <v>D</v>
      </c>
      <c r="E390" s="732" t="str">
        <f>'09월 조업일지'!F390</f>
        <v>A</v>
      </c>
      <c r="F390" s="1096" t="str">
        <f>'09월 에너지'!F392</f>
        <v>SHP275W</v>
      </c>
      <c r="G390" s="733">
        <v>9</v>
      </c>
      <c r="H390" s="734">
        <v>17</v>
      </c>
      <c r="I390" s="734">
        <v>51</v>
      </c>
      <c r="J390" s="734">
        <v>15</v>
      </c>
      <c r="K390" s="735">
        <v>32</v>
      </c>
      <c r="L390" s="734">
        <v>16</v>
      </c>
      <c r="M390" s="736">
        <v>10</v>
      </c>
      <c r="N390" s="737">
        <v>415</v>
      </c>
      <c r="O390" s="737"/>
      <c r="P390" s="737">
        <v>1001</v>
      </c>
      <c r="Q390" s="737">
        <v>952</v>
      </c>
      <c r="R390" s="737"/>
      <c r="S390" s="737"/>
      <c r="T390" s="737"/>
      <c r="U390" s="738"/>
      <c r="V390" s="739">
        <v>417</v>
      </c>
      <c r="W390" s="737"/>
      <c r="X390" s="737">
        <v>1019</v>
      </c>
      <c r="Y390" s="737">
        <v>901</v>
      </c>
      <c r="Z390" s="1202"/>
      <c r="AA390" s="740"/>
      <c r="AB390" s="739"/>
      <c r="AC390" s="741"/>
      <c r="AD390" s="741">
        <v>279</v>
      </c>
      <c r="AE390" s="741">
        <v>343</v>
      </c>
      <c r="AF390" s="741"/>
      <c r="AG390" s="741">
        <v>95</v>
      </c>
      <c r="AH390" s="741">
        <v>801</v>
      </c>
      <c r="AI390" s="741">
        <v>325</v>
      </c>
      <c r="AJ390" s="741">
        <v>81</v>
      </c>
      <c r="AK390" s="741"/>
      <c r="AL390" s="741">
        <v>123</v>
      </c>
      <c r="AM390" s="742">
        <v>1381</v>
      </c>
      <c r="AN390" s="743">
        <f t="shared" si="20"/>
        <v>0.6848584776037373</v>
      </c>
      <c r="AO390" s="744">
        <f t="shared" si="21"/>
        <v>0.94125200642054585</v>
      </c>
      <c r="AP390" s="745">
        <f>'09월 에너지'!S392</f>
        <v>146.6</v>
      </c>
    </row>
    <row r="391" spans="1:42" ht="16.5" customHeight="1">
      <c r="A391" s="999">
        <f>'09월 조업일지'!A391</f>
        <v>46279</v>
      </c>
      <c r="B391" s="1100">
        <f>'09월 조업일지'!B391</f>
        <v>46279</v>
      </c>
      <c r="C391" s="730">
        <f>'09월 조업일지'!G391</f>
        <v>85593</v>
      </c>
      <c r="D391" s="731" t="str">
        <f>'09월 조업일지'!E391</f>
        <v>D</v>
      </c>
      <c r="E391" s="732" t="str">
        <f>'09월 조업일지'!F391</f>
        <v>B</v>
      </c>
      <c r="F391" s="1096" t="str">
        <f>'09월 에너지'!F393</f>
        <v>SHP275W</v>
      </c>
      <c r="G391" s="733">
        <v>8</v>
      </c>
      <c r="H391" s="734">
        <v>14</v>
      </c>
      <c r="I391" s="734">
        <v>48</v>
      </c>
      <c r="J391" s="734">
        <v>14</v>
      </c>
      <c r="K391" s="735">
        <v>33</v>
      </c>
      <c r="L391" s="734">
        <v>14</v>
      </c>
      <c r="M391" s="736">
        <v>12</v>
      </c>
      <c r="N391" s="737">
        <v>418</v>
      </c>
      <c r="O391" s="737"/>
      <c r="P391" s="737">
        <v>1000</v>
      </c>
      <c r="Q391" s="737">
        <v>951</v>
      </c>
      <c r="R391" s="737"/>
      <c r="S391" s="737"/>
      <c r="T391" s="737"/>
      <c r="U391" s="738"/>
      <c r="V391" s="739">
        <v>415</v>
      </c>
      <c r="W391" s="737"/>
      <c r="X391" s="737">
        <v>1019</v>
      </c>
      <c r="Y391" s="737">
        <v>902</v>
      </c>
      <c r="Z391" s="1202"/>
      <c r="AA391" s="740"/>
      <c r="AB391" s="739"/>
      <c r="AC391" s="741"/>
      <c r="AD391" s="741">
        <v>288</v>
      </c>
      <c r="AE391" s="741">
        <v>337</v>
      </c>
      <c r="AF391" s="741"/>
      <c r="AG391" s="741">
        <v>95</v>
      </c>
      <c r="AH391" s="741">
        <v>800</v>
      </c>
      <c r="AI391" s="741">
        <v>313</v>
      </c>
      <c r="AJ391" s="741">
        <v>86</v>
      </c>
      <c r="AK391" s="741"/>
      <c r="AL391" s="741">
        <v>117</v>
      </c>
      <c r="AM391" s="742">
        <v>1499</v>
      </c>
      <c r="AN391" s="743">
        <f t="shared" si="20"/>
        <v>0.57223396758280476</v>
      </c>
      <c r="AO391" s="744">
        <f t="shared" si="21"/>
        <v>0.85446428571428568</v>
      </c>
      <c r="AP391" s="745">
        <f>'09월 에너지'!S393</f>
        <v>145</v>
      </c>
    </row>
    <row r="392" spans="1:42" ht="16.5" customHeight="1">
      <c r="A392" s="999">
        <f>'09월 조업일지'!A392</f>
        <v>46279</v>
      </c>
      <c r="B392" s="1100">
        <f>'09월 조업일지'!B392</f>
        <v>46279</v>
      </c>
      <c r="C392" s="730">
        <f>'09월 조업일지'!G392</f>
        <v>85594</v>
      </c>
      <c r="D392" s="731" t="str">
        <f>'09월 조업일지'!E392</f>
        <v>D</v>
      </c>
      <c r="E392" s="732" t="str">
        <f>'09월 조업일지'!F392</f>
        <v>A</v>
      </c>
      <c r="F392" s="1096" t="str">
        <f>'09월 에너지'!F394</f>
        <v>SHP275W</v>
      </c>
      <c r="G392" s="733">
        <v>9</v>
      </c>
      <c r="H392" s="734">
        <v>25</v>
      </c>
      <c r="I392" s="734">
        <v>54</v>
      </c>
      <c r="J392" s="734">
        <v>17</v>
      </c>
      <c r="K392" s="735">
        <v>30</v>
      </c>
      <c r="L392" s="734">
        <v>12</v>
      </c>
      <c r="M392" s="736">
        <v>10</v>
      </c>
      <c r="N392" s="737">
        <v>419</v>
      </c>
      <c r="O392" s="737"/>
      <c r="P392" s="737">
        <v>1016</v>
      </c>
      <c r="Q392" s="737">
        <v>951</v>
      </c>
      <c r="R392" s="737"/>
      <c r="S392" s="737"/>
      <c r="T392" s="737"/>
      <c r="U392" s="738"/>
      <c r="V392" s="739">
        <v>423</v>
      </c>
      <c r="W392" s="737"/>
      <c r="X392" s="737">
        <v>1011</v>
      </c>
      <c r="Y392" s="737">
        <v>903</v>
      </c>
      <c r="Z392" s="1202"/>
      <c r="AA392" s="740"/>
      <c r="AB392" s="739"/>
      <c r="AC392" s="741"/>
      <c r="AD392" s="741">
        <v>282</v>
      </c>
      <c r="AE392" s="741">
        <v>342</v>
      </c>
      <c r="AF392" s="741"/>
      <c r="AG392" s="741">
        <v>95</v>
      </c>
      <c r="AH392" s="741">
        <v>793</v>
      </c>
      <c r="AI392" s="741">
        <v>376</v>
      </c>
      <c r="AJ392" s="741">
        <v>82</v>
      </c>
      <c r="AK392" s="741"/>
      <c r="AL392" s="741">
        <v>125</v>
      </c>
      <c r="AM392" s="742">
        <v>2215</v>
      </c>
      <c r="AN392" s="743">
        <f t="shared" si="20"/>
        <v>0.87791495198902614</v>
      </c>
      <c r="AO392" s="744">
        <f t="shared" si="21"/>
        <v>0.98922716627634677</v>
      </c>
      <c r="AP392" s="745">
        <f>'09월 에너지'!S394</f>
        <v>140.80000000000001</v>
      </c>
    </row>
    <row r="393" spans="1:42" ht="16.5" customHeight="1">
      <c r="A393" s="999">
        <f>'09월 조업일지'!A393</f>
        <v>46279</v>
      </c>
      <c r="B393" s="1100">
        <f>'09월 조업일지'!B393</f>
        <v>46279</v>
      </c>
      <c r="C393" s="730">
        <f>'09월 조업일지'!G393</f>
        <v>85595</v>
      </c>
      <c r="D393" s="731" t="str">
        <f>'09월 조업일지'!E393</f>
        <v>D</v>
      </c>
      <c r="E393" s="732" t="str">
        <f>'09월 조업일지'!F393</f>
        <v>B</v>
      </c>
      <c r="F393" s="1096" t="str">
        <f>'09월 에너지'!F395</f>
        <v>SHP275W</v>
      </c>
      <c r="G393" s="733">
        <v>9</v>
      </c>
      <c r="H393" s="734">
        <v>14</v>
      </c>
      <c r="I393" s="734">
        <v>53</v>
      </c>
      <c r="J393" s="734">
        <v>16</v>
      </c>
      <c r="K393" s="735">
        <v>37</v>
      </c>
      <c r="L393" s="734">
        <v>11</v>
      </c>
      <c r="M393" s="736">
        <v>10</v>
      </c>
      <c r="N393" s="737">
        <v>416</v>
      </c>
      <c r="O393" s="737"/>
      <c r="P393" s="737">
        <v>1015</v>
      </c>
      <c r="Q393" s="737">
        <v>954</v>
      </c>
      <c r="R393" s="737"/>
      <c r="S393" s="737"/>
      <c r="T393" s="737"/>
      <c r="U393" s="738"/>
      <c r="V393" s="739">
        <v>419</v>
      </c>
      <c r="W393" s="737"/>
      <c r="X393" s="737">
        <v>1016</v>
      </c>
      <c r="Y393" s="737">
        <v>904</v>
      </c>
      <c r="Z393" s="1202"/>
      <c r="AA393" s="740"/>
      <c r="AB393" s="739"/>
      <c r="AC393" s="741"/>
      <c r="AD393" s="741">
        <v>286</v>
      </c>
      <c r="AE393" s="741">
        <v>343</v>
      </c>
      <c r="AF393" s="741"/>
      <c r="AG393" s="741">
        <v>95</v>
      </c>
      <c r="AH393" s="741">
        <v>788</v>
      </c>
      <c r="AI393" s="741">
        <v>318</v>
      </c>
      <c r="AJ393" s="741">
        <v>87</v>
      </c>
      <c r="AK393" s="741"/>
      <c r="AL393" s="741">
        <v>122</v>
      </c>
      <c r="AM393" s="742">
        <v>2329</v>
      </c>
      <c r="AN393" s="743">
        <f t="shared" si="20"/>
        <v>0.56007849733669757</v>
      </c>
      <c r="AO393" s="744">
        <f t="shared" si="21"/>
        <v>0.98306744017403935</v>
      </c>
      <c r="AP393" s="745">
        <f>'09월 에너지'!S395</f>
        <v>142.69999999999999</v>
      </c>
    </row>
    <row r="394" spans="1:42" ht="16.5" customHeight="1">
      <c r="A394" s="999">
        <f>'09월 조업일지'!A394</f>
        <v>46279</v>
      </c>
      <c r="B394" s="1100">
        <f>'09월 조업일지'!B394</f>
        <v>46279</v>
      </c>
      <c r="C394" s="730">
        <f>'09월 조업일지'!G394</f>
        <v>85596</v>
      </c>
      <c r="D394" s="731" t="str">
        <f>'09월 조업일지'!E394</f>
        <v>D</v>
      </c>
      <c r="E394" s="732" t="str">
        <f>'09월 조업일지'!F394</f>
        <v>A</v>
      </c>
      <c r="F394" s="1096" t="str">
        <f>'09월 에너지'!F396</f>
        <v>SHP275W</v>
      </c>
      <c r="G394" s="733">
        <v>10</v>
      </c>
      <c r="H394" s="734">
        <v>18</v>
      </c>
      <c r="I394" s="734">
        <v>48</v>
      </c>
      <c r="J394" s="734">
        <v>15</v>
      </c>
      <c r="K394" s="735">
        <v>29</v>
      </c>
      <c r="L394" s="734">
        <v>14</v>
      </c>
      <c r="M394" s="736">
        <v>10</v>
      </c>
      <c r="N394" s="737">
        <v>424</v>
      </c>
      <c r="O394" s="737"/>
      <c r="P394" s="737">
        <v>1014</v>
      </c>
      <c r="Q394" s="737">
        <v>952</v>
      </c>
      <c r="R394" s="737"/>
      <c r="S394" s="737"/>
      <c r="T394" s="737"/>
      <c r="U394" s="738"/>
      <c r="V394" s="739">
        <v>423</v>
      </c>
      <c r="W394" s="737"/>
      <c r="X394" s="737">
        <v>1012</v>
      </c>
      <c r="Y394" s="737">
        <v>901</v>
      </c>
      <c r="Z394" s="1202"/>
      <c r="AA394" s="740"/>
      <c r="AB394" s="739"/>
      <c r="AC394" s="741"/>
      <c r="AD394" s="741">
        <v>281</v>
      </c>
      <c r="AE394" s="741">
        <v>342</v>
      </c>
      <c r="AF394" s="741"/>
      <c r="AG394" s="741">
        <v>95</v>
      </c>
      <c r="AH394" s="741">
        <v>800</v>
      </c>
      <c r="AI394" s="741">
        <v>317</v>
      </c>
      <c r="AJ394" s="741">
        <v>86</v>
      </c>
      <c r="AK394" s="741"/>
      <c r="AL394" s="741">
        <v>126</v>
      </c>
      <c r="AM394" s="742">
        <v>1605</v>
      </c>
      <c r="AN394" s="743">
        <f t="shared" si="20"/>
        <v>0.71547169811320754</v>
      </c>
      <c r="AO394" s="744">
        <f t="shared" si="21"/>
        <v>0.83796428571428572</v>
      </c>
      <c r="AP394" s="745">
        <f>'09월 에너지'!S396</f>
        <v>142.19999999999999</v>
      </c>
    </row>
    <row r="395" spans="1:42" ht="16.5" customHeight="1">
      <c r="A395" s="999">
        <f>'09월 조업일지'!A395</f>
        <v>46279</v>
      </c>
      <c r="B395" s="1100">
        <f>'09월 조업일지'!B395</f>
        <v>46279</v>
      </c>
      <c r="C395" s="730">
        <f>'09월 조업일지'!G395</f>
        <v>85597</v>
      </c>
      <c r="D395" s="731" t="str">
        <f>'09월 조업일지'!E395</f>
        <v>D</v>
      </c>
      <c r="E395" s="732" t="str">
        <f>'09월 조업일지'!F395</f>
        <v>B</v>
      </c>
      <c r="F395" s="1096" t="str">
        <f>'09월 에너지'!F397</f>
        <v>SHP275W</v>
      </c>
      <c r="G395" s="733">
        <v>10</v>
      </c>
      <c r="H395" s="734">
        <v>13</v>
      </c>
      <c r="I395" s="734">
        <v>46</v>
      </c>
      <c r="J395" s="734">
        <v>14</v>
      </c>
      <c r="K395" s="735">
        <v>31</v>
      </c>
      <c r="L395" s="734">
        <v>21</v>
      </c>
      <c r="M395" s="736">
        <v>8</v>
      </c>
      <c r="N395" s="737">
        <v>426</v>
      </c>
      <c r="O395" s="737"/>
      <c r="P395" s="737">
        <v>1016</v>
      </c>
      <c r="Q395" s="737">
        <v>952</v>
      </c>
      <c r="R395" s="737"/>
      <c r="S395" s="737"/>
      <c r="T395" s="737"/>
      <c r="U395" s="738"/>
      <c r="V395" s="739">
        <v>423</v>
      </c>
      <c r="W395" s="737"/>
      <c r="X395" s="737">
        <v>1011</v>
      </c>
      <c r="Y395" s="737">
        <v>900</v>
      </c>
      <c r="Z395" s="1202"/>
      <c r="AA395" s="740"/>
      <c r="AB395" s="739"/>
      <c r="AC395" s="741"/>
      <c r="AD395" s="741">
        <v>287</v>
      </c>
      <c r="AE395" s="741">
        <v>337</v>
      </c>
      <c r="AF395" s="741"/>
      <c r="AG395" s="741">
        <v>95</v>
      </c>
      <c r="AH395" s="741">
        <v>797</v>
      </c>
      <c r="AI395" s="741">
        <v>319</v>
      </c>
      <c r="AJ395" s="741">
        <v>92</v>
      </c>
      <c r="AK395" s="741"/>
      <c r="AL395" s="741">
        <v>124</v>
      </c>
      <c r="AM395" s="742">
        <v>1475</v>
      </c>
      <c r="AN395" s="743">
        <f t="shared" si="20"/>
        <v>0.52210144927536228</v>
      </c>
      <c r="AO395" s="744">
        <f t="shared" si="21"/>
        <v>0.80069905000896213</v>
      </c>
      <c r="AP395" s="745">
        <f>'09월 에너지'!S397</f>
        <v>144.1</v>
      </c>
    </row>
    <row r="396" spans="1:42" ht="16.5" customHeight="1">
      <c r="A396" s="999">
        <f>'09월 조업일지'!A396</f>
        <v>46279</v>
      </c>
      <c r="B396" s="1100">
        <f>'09월 조업일지'!B396</f>
        <v>46279</v>
      </c>
      <c r="C396" s="730">
        <f>'09월 조업일지'!G396</f>
        <v>85598</v>
      </c>
      <c r="D396" s="731" t="str">
        <f>'09월 조업일지'!E396</f>
        <v>D</v>
      </c>
      <c r="E396" s="732" t="str">
        <f>'09월 조업일지'!F396</f>
        <v>A</v>
      </c>
      <c r="F396" s="1096" t="str">
        <f>'09월 에너지'!F398</f>
        <v>SHP275W</v>
      </c>
      <c r="G396" s="733">
        <v>11</v>
      </c>
      <c r="H396" s="734">
        <v>21</v>
      </c>
      <c r="I396" s="734">
        <v>48</v>
      </c>
      <c r="J396" s="734">
        <v>18</v>
      </c>
      <c r="K396" s="735">
        <v>29</v>
      </c>
      <c r="L396" s="734">
        <v>12</v>
      </c>
      <c r="M396" s="736">
        <v>13</v>
      </c>
      <c r="N396" s="737">
        <v>417</v>
      </c>
      <c r="O396" s="737"/>
      <c r="P396" s="737">
        <v>1013</v>
      </c>
      <c r="Q396" s="737">
        <v>951</v>
      </c>
      <c r="R396" s="737"/>
      <c r="S396" s="737"/>
      <c r="T396" s="737"/>
      <c r="U396" s="738"/>
      <c r="V396" s="739">
        <v>420</v>
      </c>
      <c r="W396" s="737"/>
      <c r="X396" s="737">
        <v>1010</v>
      </c>
      <c r="Y396" s="737">
        <v>901</v>
      </c>
      <c r="Z396" s="1202"/>
      <c r="AA396" s="740"/>
      <c r="AB396" s="739"/>
      <c r="AC396" s="741"/>
      <c r="AD396" s="741">
        <v>278</v>
      </c>
      <c r="AE396" s="741">
        <v>336</v>
      </c>
      <c r="AF396" s="741"/>
      <c r="AG396" s="741">
        <v>96</v>
      </c>
      <c r="AH396" s="741">
        <v>799</v>
      </c>
      <c r="AI396" s="741">
        <v>319</v>
      </c>
      <c r="AJ396" s="741">
        <v>81</v>
      </c>
      <c r="AK396" s="741"/>
      <c r="AL396" s="741">
        <v>122</v>
      </c>
      <c r="AM396" s="742">
        <v>2856</v>
      </c>
      <c r="AN396" s="743">
        <f t="shared" si="20"/>
        <v>0.82397660818713436</v>
      </c>
      <c r="AO396" s="744">
        <f t="shared" si="21"/>
        <v>0.83134274986590395</v>
      </c>
      <c r="AP396" s="745">
        <f>'09월 에너지'!S398</f>
        <v>140.9</v>
      </c>
    </row>
    <row r="397" spans="1:42" ht="16.5" customHeight="1">
      <c r="A397" s="999">
        <f>'09월 조업일지'!A397</f>
        <v>46279</v>
      </c>
      <c r="B397" s="1100">
        <f>'09월 조업일지'!B397</f>
        <v>46279</v>
      </c>
      <c r="C397" s="730">
        <f>'09월 조업일지'!G397</f>
        <v>85599</v>
      </c>
      <c r="D397" s="731" t="str">
        <f>'09월 조업일지'!E397</f>
        <v>A</v>
      </c>
      <c r="E397" s="732" t="str">
        <f>'09월 조업일지'!F397</f>
        <v>B</v>
      </c>
      <c r="F397" s="1096" t="str">
        <f>'09월 에너지'!F399</f>
        <v>SHP275W</v>
      </c>
      <c r="G397" s="733">
        <v>11</v>
      </c>
      <c r="H397" s="734">
        <v>15</v>
      </c>
      <c r="I397" s="734">
        <v>48</v>
      </c>
      <c r="J397" s="734">
        <v>15</v>
      </c>
      <c r="K397" s="735">
        <v>35</v>
      </c>
      <c r="L397" s="734">
        <v>14</v>
      </c>
      <c r="M397" s="736">
        <v>8</v>
      </c>
      <c r="N397" s="737">
        <v>415</v>
      </c>
      <c r="O397" s="737"/>
      <c r="P397" s="737">
        <v>1008</v>
      </c>
      <c r="Q397" s="737">
        <v>951</v>
      </c>
      <c r="R397" s="737"/>
      <c r="S397" s="737"/>
      <c r="T397" s="737">
        <v>0</v>
      </c>
      <c r="U397" s="738"/>
      <c r="V397" s="739">
        <v>415</v>
      </c>
      <c r="W397" s="737"/>
      <c r="X397" s="737">
        <v>1013</v>
      </c>
      <c r="Y397" s="737">
        <v>903</v>
      </c>
      <c r="Z397" s="1202">
        <v>0</v>
      </c>
      <c r="AA397" s="740"/>
      <c r="AB397" s="739">
        <v>0</v>
      </c>
      <c r="AC397" s="741"/>
      <c r="AD397" s="741">
        <v>280</v>
      </c>
      <c r="AE397" s="741">
        <v>338</v>
      </c>
      <c r="AF397" s="741">
        <v>0</v>
      </c>
      <c r="AG397" s="741">
        <v>95</v>
      </c>
      <c r="AH397" s="741">
        <v>795</v>
      </c>
      <c r="AI397" s="741">
        <v>318</v>
      </c>
      <c r="AJ397" s="741">
        <v>86</v>
      </c>
      <c r="AK397" s="741">
        <v>0</v>
      </c>
      <c r="AL397" s="741">
        <v>130</v>
      </c>
      <c r="AM397" s="742">
        <v>2355</v>
      </c>
      <c r="AN397" s="743">
        <f t="shared" ref="AN397:AN460" si="22">IF(ISBLANK(AH397),"",AP397*1000*H397/10000/(AH397*15%+AI397*75%+AK397*60%))</f>
        <v>0.58867924528301885</v>
      </c>
      <c r="AO397" s="744">
        <f t="shared" ref="AO397:AO460" si="23">IF(ISBLANK(AH397),"",AP397*1000*(I397-15)/10000/(AH397*70%))</f>
        <v>0.83256064690026954</v>
      </c>
      <c r="AP397" s="745">
        <f>'09월 에너지'!S399</f>
        <v>140.4</v>
      </c>
    </row>
    <row r="398" spans="1:42" ht="16.5" customHeight="1">
      <c r="A398" s="999">
        <f>'09월 조업일지'!A398</f>
        <v>46279</v>
      </c>
      <c r="B398" s="1100">
        <f>'09월 조업일지'!B398</f>
        <v>46279</v>
      </c>
      <c r="C398" s="730">
        <f>'09월 조업일지'!G398</f>
        <v>85600</v>
      </c>
      <c r="D398" s="731" t="str">
        <f>'09월 조업일지'!E398</f>
        <v>A</v>
      </c>
      <c r="E398" s="732" t="str">
        <f>'09월 조업일지'!F398</f>
        <v>A</v>
      </c>
      <c r="F398" s="1096" t="str">
        <f>'09월 에너지'!F400</f>
        <v>SHP275W</v>
      </c>
      <c r="G398" s="733">
        <v>7</v>
      </c>
      <c r="H398" s="734">
        <v>22</v>
      </c>
      <c r="I398" s="734">
        <v>45</v>
      </c>
      <c r="J398" s="734">
        <v>15</v>
      </c>
      <c r="K398" s="735">
        <v>23</v>
      </c>
      <c r="L398" s="734">
        <v>15</v>
      </c>
      <c r="M398" s="736">
        <v>8</v>
      </c>
      <c r="N398" s="737">
        <v>420</v>
      </c>
      <c r="O398" s="737"/>
      <c r="P398" s="737">
        <v>1009</v>
      </c>
      <c r="Q398" s="737">
        <v>953</v>
      </c>
      <c r="R398" s="737"/>
      <c r="S398" s="737"/>
      <c r="T398" s="737">
        <v>0</v>
      </c>
      <c r="U398" s="738"/>
      <c r="V398" s="739">
        <v>415</v>
      </c>
      <c r="W398" s="737"/>
      <c r="X398" s="737">
        <v>1014</v>
      </c>
      <c r="Y398" s="737">
        <v>901</v>
      </c>
      <c r="Z398" s="1202">
        <v>0</v>
      </c>
      <c r="AA398" s="740"/>
      <c r="AB398" s="739">
        <v>0</v>
      </c>
      <c r="AC398" s="741"/>
      <c r="AD398" s="741">
        <v>284</v>
      </c>
      <c r="AE398" s="741">
        <v>343</v>
      </c>
      <c r="AF398" s="741">
        <v>0</v>
      </c>
      <c r="AG398" s="741">
        <v>95</v>
      </c>
      <c r="AH398" s="741">
        <v>794</v>
      </c>
      <c r="AI398" s="741">
        <v>427</v>
      </c>
      <c r="AJ398" s="741">
        <v>88</v>
      </c>
      <c r="AK398" s="741">
        <v>0</v>
      </c>
      <c r="AL398" s="741">
        <v>122</v>
      </c>
      <c r="AM398" s="742">
        <v>2293</v>
      </c>
      <c r="AN398" s="743">
        <f t="shared" si="22"/>
        <v>0.71105041538636615</v>
      </c>
      <c r="AO398" s="744">
        <f t="shared" si="23"/>
        <v>0.76646275638718975</v>
      </c>
      <c r="AP398" s="745">
        <f>'09월 에너지'!S400</f>
        <v>142</v>
      </c>
    </row>
    <row r="399" spans="1:42" ht="16.5" customHeight="1">
      <c r="A399" s="999">
        <f>'09월 조업일지'!A399</f>
        <v>46279</v>
      </c>
      <c r="B399" s="1100">
        <f>'09월 조업일지'!B399</f>
        <v>46279</v>
      </c>
      <c r="C399" s="730">
        <f>'09월 조업일지'!G399</f>
        <v>85601</v>
      </c>
      <c r="D399" s="731" t="str">
        <f>'09월 조업일지'!E399</f>
        <v>A</v>
      </c>
      <c r="E399" s="732" t="str">
        <f>'09월 조업일지'!F399</f>
        <v>B</v>
      </c>
      <c r="F399" s="1096" t="str">
        <f>'09월 에너지'!F401</f>
        <v>SHP275W</v>
      </c>
      <c r="G399" s="733">
        <v>11</v>
      </c>
      <c r="H399" s="734">
        <v>22</v>
      </c>
      <c r="I399" s="734">
        <v>52</v>
      </c>
      <c r="J399" s="734">
        <v>16</v>
      </c>
      <c r="K399" s="735">
        <v>38</v>
      </c>
      <c r="L399" s="734">
        <v>15</v>
      </c>
      <c r="M399" s="736">
        <v>13</v>
      </c>
      <c r="N399" s="737">
        <v>415</v>
      </c>
      <c r="O399" s="737"/>
      <c r="P399" s="737">
        <v>1009</v>
      </c>
      <c r="Q399" s="737">
        <v>951</v>
      </c>
      <c r="R399" s="737"/>
      <c r="S399" s="737"/>
      <c r="T399" s="737">
        <v>0</v>
      </c>
      <c r="U399" s="738"/>
      <c r="V399" s="739">
        <v>414</v>
      </c>
      <c r="W399" s="737"/>
      <c r="X399" s="737">
        <v>1018</v>
      </c>
      <c r="Y399" s="737">
        <v>903</v>
      </c>
      <c r="Z399" s="1202">
        <v>0</v>
      </c>
      <c r="AA399" s="740"/>
      <c r="AB399" s="739">
        <v>0</v>
      </c>
      <c r="AC399" s="741"/>
      <c r="AD399" s="741">
        <v>287</v>
      </c>
      <c r="AE399" s="741">
        <v>340</v>
      </c>
      <c r="AF399" s="741">
        <v>0</v>
      </c>
      <c r="AG399" s="741">
        <v>95</v>
      </c>
      <c r="AH399" s="741">
        <v>795</v>
      </c>
      <c r="AI399" s="741">
        <v>326</v>
      </c>
      <c r="AJ399" s="741">
        <v>90</v>
      </c>
      <c r="AK399" s="741">
        <v>0</v>
      </c>
      <c r="AL399" s="741">
        <v>128</v>
      </c>
      <c r="AM399" s="742">
        <v>2489</v>
      </c>
      <c r="AN399" s="743">
        <f t="shared" si="22"/>
        <v>0.86185567010309283</v>
      </c>
      <c r="AO399" s="744">
        <f t="shared" si="23"/>
        <v>0.94743935309973049</v>
      </c>
      <c r="AP399" s="745">
        <f>'09월 에너지'!S401</f>
        <v>142.5</v>
      </c>
    </row>
    <row r="400" spans="1:42" ht="16.5" customHeight="1">
      <c r="A400" s="999">
        <f>'09월 조업일지'!A400</f>
        <v>46279</v>
      </c>
      <c r="B400" s="1100">
        <f>'09월 조업일지'!B400</f>
        <v>46279</v>
      </c>
      <c r="C400" s="730">
        <f>'09월 조업일지'!G400</f>
        <v>85602</v>
      </c>
      <c r="D400" s="731" t="str">
        <f>'09월 조업일지'!E400</f>
        <v>A</v>
      </c>
      <c r="E400" s="732" t="str">
        <f>'09월 조업일지'!F400</f>
        <v>A</v>
      </c>
      <c r="F400" s="1096" t="str">
        <f>'09월 에너지'!F402</f>
        <v>SHP275W</v>
      </c>
      <c r="G400" s="733">
        <v>9</v>
      </c>
      <c r="H400" s="734">
        <v>25</v>
      </c>
      <c r="I400" s="734">
        <v>48</v>
      </c>
      <c r="J400" s="734">
        <v>15</v>
      </c>
      <c r="K400" s="735">
        <v>24</v>
      </c>
      <c r="L400" s="734">
        <v>10</v>
      </c>
      <c r="M400" s="736">
        <v>15</v>
      </c>
      <c r="N400" s="737">
        <v>415</v>
      </c>
      <c r="O400" s="737"/>
      <c r="P400" s="737">
        <v>1016</v>
      </c>
      <c r="Q400" s="737">
        <v>952</v>
      </c>
      <c r="R400" s="737"/>
      <c r="S400" s="737"/>
      <c r="T400" s="737">
        <v>0</v>
      </c>
      <c r="U400" s="738"/>
      <c r="V400" s="739">
        <v>613</v>
      </c>
      <c r="W400" s="737"/>
      <c r="X400" s="737">
        <v>1015</v>
      </c>
      <c r="Y400" s="737">
        <v>902</v>
      </c>
      <c r="Z400" s="1202">
        <v>0</v>
      </c>
      <c r="AA400" s="740"/>
      <c r="AB400" s="739">
        <v>0</v>
      </c>
      <c r="AC400" s="741"/>
      <c r="AD400" s="741">
        <v>287</v>
      </c>
      <c r="AE400" s="741">
        <v>341</v>
      </c>
      <c r="AF400" s="741">
        <v>0</v>
      </c>
      <c r="AG400" s="741">
        <v>95</v>
      </c>
      <c r="AH400" s="741">
        <v>801</v>
      </c>
      <c r="AI400" s="741">
        <v>424</v>
      </c>
      <c r="AJ400" s="741">
        <v>84</v>
      </c>
      <c r="AK400" s="741">
        <v>0</v>
      </c>
      <c r="AL400" s="741">
        <v>122</v>
      </c>
      <c r="AM400" s="742">
        <v>4893</v>
      </c>
      <c r="AN400" s="743">
        <f t="shared" si="22"/>
        <v>0.82505991098938725</v>
      </c>
      <c r="AO400" s="744">
        <f t="shared" si="23"/>
        <v>0.85104333868378823</v>
      </c>
      <c r="AP400" s="745">
        <f>'09월 에너지'!S402</f>
        <v>144.6</v>
      </c>
    </row>
    <row r="401" spans="1:42" ht="16.5" customHeight="1">
      <c r="A401" s="999">
        <f>'09월 조업일지'!A401</f>
        <v>46279</v>
      </c>
      <c r="B401" s="1100">
        <f>'09월 조업일지'!B401</f>
        <v>46279</v>
      </c>
      <c r="C401" s="730">
        <f>'09월 조업일지'!G401</f>
        <v>85603</v>
      </c>
      <c r="D401" s="731" t="str">
        <f>'09월 조업일지'!E401</f>
        <v>A</v>
      </c>
      <c r="E401" s="732" t="str">
        <f>'09월 조업일지'!F401</f>
        <v>B</v>
      </c>
      <c r="F401" s="1096" t="str">
        <f>'09월 에너지'!F403</f>
        <v>SHP275W</v>
      </c>
      <c r="G401" s="733">
        <v>9</v>
      </c>
      <c r="H401" s="734">
        <v>21</v>
      </c>
      <c r="I401" s="734">
        <v>50</v>
      </c>
      <c r="J401" s="734">
        <v>17</v>
      </c>
      <c r="K401" s="735">
        <v>37</v>
      </c>
      <c r="L401" s="734">
        <v>15</v>
      </c>
      <c r="M401" s="736">
        <v>21</v>
      </c>
      <c r="N401" s="737">
        <v>415</v>
      </c>
      <c r="O401" s="737"/>
      <c r="P401" s="737">
        <v>1010</v>
      </c>
      <c r="Q401" s="737">
        <v>951</v>
      </c>
      <c r="R401" s="737"/>
      <c r="S401" s="737"/>
      <c r="T401" s="737">
        <v>0</v>
      </c>
      <c r="U401" s="738"/>
      <c r="V401" s="739">
        <v>419</v>
      </c>
      <c r="W401" s="737"/>
      <c r="X401" s="737">
        <v>1008</v>
      </c>
      <c r="Y401" s="737">
        <v>901</v>
      </c>
      <c r="Z401" s="1202">
        <v>0</v>
      </c>
      <c r="AA401" s="740"/>
      <c r="AB401" s="739">
        <v>0</v>
      </c>
      <c r="AC401" s="741"/>
      <c r="AD401" s="741">
        <v>283</v>
      </c>
      <c r="AE401" s="741">
        <v>337</v>
      </c>
      <c r="AF401" s="741">
        <v>0</v>
      </c>
      <c r="AG401" s="741">
        <v>95</v>
      </c>
      <c r="AH401" s="741">
        <v>790</v>
      </c>
      <c r="AI401" s="741">
        <v>317</v>
      </c>
      <c r="AJ401" s="741">
        <v>86</v>
      </c>
      <c r="AK401" s="741">
        <v>0</v>
      </c>
      <c r="AL401" s="741">
        <v>128</v>
      </c>
      <c r="AM401" s="742">
        <v>2802</v>
      </c>
      <c r="AN401" s="743">
        <f t="shared" si="22"/>
        <v>0.83351578947368421</v>
      </c>
      <c r="AO401" s="744">
        <f t="shared" si="23"/>
        <v>0.89493670886075949</v>
      </c>
      <c r="AP401" s="745">
        <f>'09월 에너지'!S403</f>
        <v>141.4</v>
      </c>
    </row>
    <row r="402" spans="1:42" ht="16.5" customHeight="1">
      <c r="A402" s="999">
        <f>'09월 조업일지'!A402</f>
        <v>46279</v>
      </c>
      <c r="B402" s="1100">
        <f>'09월 조업일지'!B402</f>
        <v>46279</v>
      </c>
      <c r="C402" s="730">
        <f>'09월 조업일지'!G402</f>
        <v>85604</v>
      </c>
      <c r="D402" s="731" t="str">
        <f>'09월 조업일지'!E402</f>
        <v>A</v>
      </c>
      <c r="E402" s="732" t="str">
        <f>'09월 조업일지'!F402</f>
        <v>A</v>
      </c>
      <c r="F402" s="1096" t="str">
        <f>'09월 에너지'!F404</f>
        <v>SHP275W</v>
      </c>
      <c r="G402" s="733">
        <v>9</v>
      </c>
      <c r="H402" s="734">
        <v>22</v>
      </c>
      <c r="I402" s="734">
        <v>47</v>
      </c>
      <c r="J402" s="734">
        <v>14</v>
      </c>
      <c r="K402" s="735">
        <v>28</v>
      </c>
      <c r="L402" s="734">
        <v>11</v>
      </c>
      <c r="M402" s="736">
        <v>13</v>
      </c>
      <c r="N402" s="737">
        <v>616</v>
      </c>
      <c r="O402" s="737"/>
      <c r="P402" s="737">
        <v>1011</v>
      </c>
      <c r="Q402" s="737">
        <v>951</v>
      </c>
      <c r="R402" s="737"/>
      <c r="S402" s="737"/>
      <c r="T402" s="737">
        <v>0</v>
      </c>
      <c r="U402" s="738"/>
      <c r="V402" s="739">
        <v>617</v>
      </c>
      <c r="W402" s="737"/>
      <c r="X402" s="737">
        <v>1010</v>
      </c>
      <c r="Y402" s="737">
        <v>901</v>
      </c>
      <c r="Z402" s="1202">
        <v>0</v>
      </c>
      <c r="AA402" s="740"/>
      <c r="AB402" s="739">
        <v>0</v>
      </c>
      <c r="AC402" s="741"/>
      <c r="AD402" s="741">
        <v>285</v>
      </c>
      <c r="AE402" s="741">
        <v>338</v>
      </c>
      <c r="AF402" s="741">
        <v>0</v>
      </c>
      <c r="AG402" s="741">
        <v>95</v>
      </c>
      <c r="AH402" s="741">
        <v>795</v>
      </c>
      <c r="AI402" s="741">
        <v>313</v>
      </c>
      <c r="AJ402" s="741">
        <v>89</v>
      </c>
      <c r="AK402" s="741">
        <v>0</v>
      </c>
      <c r="AL402" s="741">
        <v>122</v>
      </c>
      <c r="AM402" s="742">
        <v>2688</v>
      </c>
      <c r="AN402" s="743">
        <f t="shared" si="22"/>
        <v>0.90112994350282483</v>
      </c>
      <c r="AO402" s="744">
        <f t="shared" si="23"/>
        <v>0.83378256963162622</v>
      </c>
      <c r="AP402" s="745">
        <f>'09월 에너지'!S404</f>
        <v>145</v>
      </c>
    </row>
    <row r="403" spans="1:42" ht="16.5" customHeight="1">
      <c r="A403" s="999">
        <f>'09월 조업일지'!A403</f>
        <v>46279</v>
      </c>
      <c r="B403" s="1100">
        <f>'09월 조업일지'!B403</f>
        <v>46279</v>
      </c>
      <c r="C403" s="730">
        <f>'09월 조업일지'!G403</f>
        <v>85605</v>
      </c>
      <c r="D403" s="731" t="str">
        <f>'09월 조업일지'!E403</f>
        <v>A</v>
      </c>
      <c r="E403" s="732" t="str">
        <f>'09월 조업일지'!F403</f>
        <v>B</v>
      </c>
      <c r="F403" s="1096" t="str">
        <f>'09월 에너지'!F405</f>
        <v>SHP275W</v>
      </c>
      <c r="G403" s="733">
        <v>11</v>
      </c>
      <c r="H403" s="734">
        <v>23</v>
      </c>
      <c r="I403" s="734">
        <v>50</v>
      </c>
      <c r="J403" s="734">
        <v>15</v>
      </c>
      <c r="K403" s="735">
        <v>25</v>
      </c>
      <c r="L403" s="734">
        <v>13</v>
      </c>
      <c r="M403" s="736">
        <v>16</v>
      </c>
      <c r="N403" s="737">
        <v>415</v>
      </c>
      <c r="O403" s="737"/>
      <c r="P403" s="737">
        <v>1009</v>
      </c>
      <c r="Q403" s="737">
        <v>951</v>
      </c>
      <c r="R403" s="737"/>
      <c r="S403" s="737"/>
      <c r="T403" s="737">
        <v>0</v>
      </c>
      <c r="U403" s="738"/>
      <c r="V403" s="739">
        <v>413</v>
      </c>
      <c r="W403" s="737"/>
      <c r="X403" s="737">
        <v>1017</v>
      </c>
      <c r="Y403" s="737">
        <v>901</v>
      </c>
      <c r="Z403" s="1202">
        <v>0</v>
      </c>
      <c r="AA403" s="740"/>
      <c r="AB403" s="739">
        <v>0</v>
      </c>
      <c r="AC403" s="741"/>
      <c r="AD403" s="741">
        <v>281</v>
      </c>
      <c r="AE403" s="741">
        <v>339</v>
      </c>
      <c r="AF403" s="741">
        <v>0</v>
      </c>
      <c r="AG403" s="741">
        <v>95</v>
      </c>
      <c r="AH403" s="741">
        <v>803</v>
      </c>
      <c r="AI403" s="741">
        <v>321</v>
      </c>
      <c r="AJ403" s="741">
        <v>87</v>
      </c>
      <c r="AK403" s="741">
        <v>0</v>
      </c>
      <c r="AL403" s="741">
        <v>122</v>
      </c>
      <c r="AM403" s="742">
        <v>2753</v>
      </c>
      <c r="AN403" s="743">
        <f t="shared" si="22"/>
        <v>0.90739202657807316</v>
      </c>
      <c r="AO403" s="744">
        <f t="shared" si="23"/>
        <v>0.88729763387297644</v>
      </c>
      <c r="AP403" s="745">
        <f>'09월 에너지'!S405</f>
        <v>142.5</v>
      </c>
    </row>
    <row r="404" spans="1:42" ht="16.5" customHeight="1">
      <c r="A404" s="999">
        <f>'09월 조업일지'!A404</f>
        <v>46279</v>
      </c>
      <c r="B404" s="1100">
        <f>'09월 조업일지'!B404</f>
        <v>46279</v>
      </c>
      <c r="C404" s="730">
        <f>'09월 조업일지'!G404</f>
        <v>85606</v>
      </c>
      <c r="D404" s="731" t="str">
        <f>'09월 조업일지'!E404</f>
        <v>A</v>
      </c>
      <c r="E404" s="732" t="str">
        <f>'09월 조업일지'!F404</f>
        <v>A</v>
      </c>
      <c r="F404" s="1096" t="str">
        <f>'09월 에너지'!F406</f>
        <v>SHP275W</v>
      </c>
      <c r="G404" s="733">
        <v>10</v>
      </c>
      <c r="H404" s="734">
        <v>24</v>
      </c>
      <c r="I404" s="734">
        <v>49</v>
      </c>
      <c r="J404" s="734">
        <v>16</v>
      </c>
      <c r="K404" s="735">
        <v>29</v>
      </c>
      <c r="L404" s="734">
        <v>10</v>
      </c>
      <c r="M404" s="736">
        <v>9</v>
      </c>
      <c r="N404" s="737">
        <v>614</v>
      </c>
      <c r="O404" s="737"/>
      <c r="P404" s="737">
        <v>1012</v>
      </c>
      <c r="Q404" s="737">
        <v>951</v>
      </c>
      <c r="R404" s="737"/>
      <c r="S404" s="737"/>
      <c r="T404" s="737">
        <v>0</v>
      </c>
      <c r="U404" s="738"/>
      <c r="V404" s="739">
        <v>613</v>
      </c>
      <c r="W404" s="737"/>
      <c r="X404" s="737">
        <v>1013</v>
      </c>
      <c r="Y404" s="737">
        <v>901</v>
      </c>
      <c r="Z404" s="1202">
        <v>0</v>
      </c>
      <c r="AA404" s="740"/>
      <c r="AB404" s="739">
        <v>0</v>
      </c>
      <c r="AC404" s="741"/>
      <c r="AD404" s="741">
        <v>279</v>
      </c>
      <c r="AE404" s="741">
        <v>342</v>
      </c>
      <c r="AF404" s="741">
        <v>0</v>
      </c>
      <c r="AG404" s="741">
        <v>95</v>
      </c>
      <c r="AH404" s="741">
        <v>799</v>
      </c>
      <c r="AI404" s="741">
        <v>433</v>
      </c>
      <c r="AJ404" s="741">
        <v>80</v>
      </c>
      <c r="AK404" s="741">
        <v>0</v>
      </c>
      <c r="AL404" s="741">
        <v>121</v>
      </c>
      <c r="AM404" s="742">
        <v>3151</v>
      </c>
      <c r="AN404" s="743">
        <f t="shared" si="22"/>
        <v>0.78110661268555992</v>
      </c>
      <c r="AO404" s="744">
        <f t="shared" si="23"/>
        <v>0.87963525835866274</v>
      </c>
      <c r="AP404" s="745">
        <f>'09월 에너지'!S406</f>
        <v>144.69999999999999</v>
      </c>
    </row>
    <row r="405" spans="1:42" ht="16.5" customHeight="1">
      <c r="A405" s="999">
        <f>'09월 조업일지'!A405</f>
        <v>46279</v>
      </c>
      <c r="B405" s="1100">
        <f>'09월 조업일지'!B405</f>
        <v>46279</v>
      </c>
      <c r="C405" s="730">
        <f>'09월 조업일지'!G405</f>
        <v>85607</v>
      </c>
      <c r="D405" s="731" t="str">
        <f>'09월 조업일지'!E405</f>
        <v>A</v>
      </c>
      <c r="E405" s="732" t="str">
        <f>'09월 조업일지'!F405</f>
        <v>B</v>
      </c>
      <c r="F405" s="1096" t="str">
        <f>'09월 에너지'!F407</f>
        <v>SHP275W</v>
      </c>
      <c r="G405" s="733">
        <v>9</v>
      </c>
      <c r="H405" s="734">
        <v>23</v>
      </c>
      <c r="I405" s="734">
        <v>54</v>
      </c>
      <c r="J405" s="734">
        <v>19</v>
      </c>
      <c r="K405" s="735">
        <v>23</v>
      </c>
      <c r="L405" s="734">
        <v>14</v>
      </c>
      <c r="M405" s="736">
        <v>11</v>
      </c>
      <c r="N405" s="737">
        <v>414</v>
      </c>
      <c r="O405" s="737"/>
      <c r="P405" s="737">
        <v>1014</v>
      </c>
      <c r="Q405" s="737">
        <v>953</v>
      </c>
      <c r="R405" s="737"/>
      <c r="S405" s="737"/>
      <c r="T405" s="737">
        <v>0</v>
      </c>
      <c r="U405" s="738"/>
      <c r="V405" s="739">
        <v>417</v>
      </c>
      <c r="W405" s="737"/>
      <c r="X405" s="737">
        <v>1009</v>
      </c>
      <c r="Y405" s="737">
        <v>903</v>
      </c>
      <c r="Z405" s="1202">
        <v>0</v>
      </c>
      <c r="AA405" s="740"/>
      <c r="AB405" s="739">
        <v>0</v>
      </c>
      <c r="AC405" s="741"/>
      <c r="AD405" s="741">
        <v>286</v>
      </c>
      <c r="AE405" s="741">
        <v>339</v>
      </c>
      <c r="AF405" s="741">
        <v>0</v>
      </c>
      <c r="AG405" s="741">
        <v>95</v>
      </c>
      <c r="AH405" s="741">
        <v>797</v>
      </c>
      <c r="AI405" s="741">
        <v>317</v>
      </c>
      <c r="AJ405" s="741">
        <v>79</v>
      </c>
      <c r="AK405" s="741">
        <v>0</v>
      </c>
      <c r="AL405" s="741">
        <v>122</v>
      </c>
      <c r="AM405" s="742">
        <v>2718</v>
      </c>
      <c r="AN405" s="743">
        <f t="shared" si="22"/>
        <v>0.91729638958858095</v>
      </c>
      <c r="AO405" s="744">
        <f t="shared" si="23"/>
        <v>0.99614626277110596</v>
      </c>
      <c r="AP405" s="745">
        <f>'09월 에너지'!S407</f>
        <v>142.5</v>
      </c>
    </row>
    <row r="406" spans="1:42" ht="16.5" customHeight="1">
      <c r="A406" s="999">
        <f>'09월 조업일지'!A406</f>
        <v>46279</v>
      </c>
      <c r="B406" s="1100">
        <f>'09월 조업일지'!B406</f>
        <v>46279</v>
      </c>
      <c r="C406" s="730">
        <f>'09월 조업일지'!G406</f>
        <v>85608</v>
      </c>
      <c r="D406" s="731" t="str">
        <f>'09월 조업일지'!E406</f>
        <v>A</v>
      </c>
      <c r="E406" s="732" t="str">
        <f>'09월 조업일지'!F406</f>
        <v>A</v>
      </c>
      <c r="F406" s="1096" t="str">
        <f>'09월 에너지'!F408</f>
        <v>SHP275W</v>
      </c>
      <c r="G406" s="733">
        <v>10</v>
      </c>
      <c r="H406" s="734">
        <v>23</v>
      </c>
      <c r="I406" s="734">
        <v>44</v>
      </c>
      <c r="J406" s="734">
        <v>14</v>
      </c>
      <c r="K406" s="735">
        <v>27</v>
      </c>
      <c r="L406" s="734">
        <v>11</v>
      </c>
      <c r="M406" s="736">
        <v>7</v>
      </c>
      <c r="N406" s="737">
        <v>612</v>
      </c>
      <c r="O406" s="737"/>
      <c r="P406" s="737">
        <v>1012</v>
      </c>
      <c r="Q406" s="737">
        <v>952</v>
      </c>
      <c r="R406" s="737"/>
      <c r="S406" s="737"/>
      <c r="T406" s="737">
        <v>0</v>
      </c>
      <c r="U406" s="738"/>
      <c r="V406" s="739">
        <v>621</v>
      </c>
      <c r="W406" s="737"/>
      <c r="X406" s="737">
        <v>1015</v>
      </c>
      <c r="Y406" s="737">
        <v>903</v>
      </c>
      <c r="Z406" s="1202">
        <v>0</v>
      </c>
      <c r="AA406" s="740"/>
      <c r="AB406" s="739">
        <v>0</v>
      </c>
      <c r="AC406" s="741"/>
      <c r="AD406" s="741">
        <v>283</v>
      </c>
      <c r="AE406" s="741">
        <v>341</v>
      </c>
      <c r="AF406" s="741">
        <v>0</v>
      </c>
      <c r="AG406" s="741">
        <v>95</v>
      </c>
      <c r="AH406" s="741">
        <v>798</v>
      </c>
      <c r="AI406" s="741">
        <v>433</v>
      </c>
      <c r="AJ406" s="741">
        <v>88</v>
      </c>
      <c r="AK406" s="741">
        <v>0</v>
      </c>
      <c r="AL406" s="741">
        <v>125</v>
      </c>
      <c r="AM406" s="742">
        <v>2442</v>
      </c>
      <c r="AN406" s="743">
        <f t="shared" si="22"/>
        <v>0.75554055574305323</v>
      </c>
      <c r="AO406" s="744">
        <f t="shared" si="23"/>
        <v>0.75796634443250988</v>
      </c>
      <c r="AP406" s="745">
        <f>'09월 에너지'!S408</f>
        <v>146</v>
      </c>
    </row>
    <row r="407" spans="1:42" ht="16.5" customHeight="1">
      <c r="A407" s="999">
        <f>'09월 조업일지'!A407</f>
        <v>46279</v>
      </c>
      <c r="B407" s="1100">
        <f>'09월 조업일지'!B407</f>
        <v>46279</v>
      </c>
      <c r="C407" s="730">
        <f>'09월 조업일지'!G407</f>
        <v>85609</v>
      </c>
      <c r="D407" s="731" t="str">
        <f>'09월 조업일지'!E407</f>
        <v>A</v>
      </c>
      <c r="E407" s="732" t="str">
        <f>'09월 조업일지'!F407</f>
        <v>B</v>
      </c>
      <c r="F407" s="1096" t="str">
        <f>'09월 에너지'!F409</f>
        <v>SHP275W</v>
      </c>
      <c r="G407" s="733">
        <v>11</v>
      </c>
      <c r="H407" s="734">
        <v>23</v>
      </c>
      <c r="I407" s="734">
        <v>55</v>
      </c>
      <c r="J407" s="734">
        <v>18</v>
      </c>
      <c r="K407" s="735">
        <v>32</v>
      </c>
      <c r="L407" s="734">
        <v>14</v>
      </c>
      <c r="M407" s="736">
        <v>10</v>
      </c>
      <c r="N407" s="737">
        <v>413</v>
      </c>
      <c r="O407" s="737"/>
      <c r="P407" s="737">
        <v>1009</v>
      </c>
      <c r="Q407" s="737">
        <v>955</v>
      </c>
      <c r="R407" s="737"/>
      <c r="S407" s="737"/>
      <c r="T407" s="737"/>
      <c r="U407" s="738"/>
      <c r="V407" s="739">
        <v>414</v>
      </c>
      <c r="W407" s="737"/>
      <c r="X407" s="737">
        <v>1010</v>
      </c>
      <c r="Y407" s="737">
        <v>902</v>
      </c>
      <c r="Z407" s="1202"/>
      <c r="AA407" s="740"/>
      <c r="AB407" s="739"/>
      <c r="AC407" s="741"/>
      <c r="AD407" s="741">
        <v>278</v>
      </c>
      <c r="AE407" s="741">
        <v>336</v>
      </c>
      <c r="AF407" s="741"/>
      <c r="AG407" s="741">
        <v>95</v>
      </c>
      <c r="AH407" s="741">
        <v>798</v>
      </c>
      <c r="AI407" s="741">
        <v>321</v>
      </c>
      <c r="AJ407" s="741">
        <v>82</v>
      </c>
      <c r="AK407" s="741"/>
      <c r="AL407" s="741">
        <v>119</v>
      </c>
      <c r="AM407" s="742">
        <v>2455</v>
      </c>
      <c r="AN407" s="743">
        <f t="shared" si="22"/>
        <v>0.91693716188098207</v>
      </c>
      <c r="AO407" s="744">
        <f t="shared" si="23"/>
        <v>1.0290010741138562</v>
      </c>
      <c r="AP407" s="745">
        <f>'09월 에너지'!S409</f>
        <v>143.69999999999999</v>
      </c>
    </row>
    <row r="408" spans="1:42" ht="16.5" customHeight="1">
      <c r="A408" s="999">
        <f>'09월 조업일지'!A408</f>
        <v>46279</v>
      </c>
      <c r="B408" s="1100">
        <f>'09월 조업일지'!B408</f>
        <v>46279</v>
      </c>
      <c r="C408" s="730">
        <f>'09월 조업일지'!G408</f>
        <v>85610</v>
      </c>
      <c r="D408" s="731" t="str">
        <f>'09월 조업일지'!E408</f>
        <v>C</v>
      </c>
      <c r="E408" s="732" t="str">
        <f>'09월 조업일지'!F408</f>
        <v>A</v>
      </c>
      <c r="F408" s="1096" t="str">
        <f>'09월 에너지'!F410</f>
        <v>SHP275W</v>
      </c>
      <c r="G408" s="733">
        <v>10</v>
      </c>
      <c r="H408" s="734">
        <v>15</v>
      </c>
      <c r="I408" s="734">
        <v>51</v>
      </c>
      <c r="J408" s="734">
        <v>16</v>
      </c>
      <c r="K408" s="735">
        <v>40</v>
      </c>
      <c r="L408" s="734">
        <v>12</v>
      </c>
      <c r="M408" s="736">
        <v>9</v>
      </c>
      <c r="N408" s="737">
        <v>421</v>
      </c>
      <c r="O408" s="737"/>
      <c r="P408" s="737">
        <v>1011</v>
      </c>
      <c r="Q408" s="737">
        <v>950</v>
      </c>
      <c r="R408" s="737"/>
      <c r="S408" s="737"/>
      <c r="T408" s="737"/>
      <c r="U408" s="738"/>
      <c r="V408" s="739">
        <v>417</v>
      </c>
      <c r="W408" s="737"/>
      <c r="X408" s="737">
        <v>1010</v>
      </c>
      <c r="Y408" s="737">
        <v>912</v>
      </c>
      <c r="Z408" s="1202"/>
      <c r="AA408" s="740"/>
      <c r="AB408" s="739"/>
      <c r="AC408" s="741"/>
      <c r="AD408" s="741">
        <v>271</v>
      </c>
      <c r="AE408" s="741">
        <v>341</v>
      </c>
      <c r="AF408" s="741"/>
      <c r="AG408" s="741">
        <v>95</v>
      </c>
      <c r="AH408" s="741">
        <v>800</v>
      </c>
      <c r="AI408" s="741">
        <v>312</v>
      </c>
      <c r="AJ408" s="741">
        <v>93</v>
      </c>
      <c r="AK408" s="741"/>
      <c r="AL408" s="741">
        <v>133</v>
      </c>
      <c r="AM408" s="742">
        <v>1751</v>
      </c>
      <c r="AN408" s="743">
        <f t="shared" si="22"/>
        <v>0.61652542372881358</v>
      </c>
      <c r="AO408" s="744">
        <f t="shared" si="23"/>
        <v>0.93535714285714278</v>
      </c>
      <c r="AP408" s="745">
        <f>'09월 에너지'!S410</f>
        <v>145.5</v>
      </c>
    </row>
    <row r="409" spans="1:42" ht="16.5" customHeight="1">
      <c r="A409" s="999">
        <f>'09월 조업일지'!A409</f>
        <v>46279</v>
      </c>
      <c r="B409" s="1100">
        <f>'09월 조업일지'!B409</f>
        <v>46279</v>
      </c>
      <c r="C409" s="730">
        <f>'09월 조업일지'!G409</f>
        <v>85611</v>
      </c>
      <c r="D409" s="731" t="str">
        <f>'09월 조업일지'!E409</f>
        <v>C</v>
      </c>
      <c r="E409" s="732" t="str">
        <f>'09월 조업일지'!F409</f>
        <v>B</v>
      </c>
      <c r="F409" s="1096" t="str">
        <f>'09월 에너지'!F411</f>
        <v>SHP275W</v>
      </c>
      <c r="G409" s="733">
        <v>11</v>
      </c>
      <c r="H409" s="734">
        <v>23</v>
      </c>
      <c r="I409" s="734">
        <v>54</v>
      </c>
      <c r="J409" s="734">
        <v>22</v>
      </c>
      <c r="K409" s="735">
        <v>31</v>
      </c>
      <c r="L409" s="734">
        <v>15</v>
      </c>
      <c r="M409" s="736">
        <v>12</v>
      </c>
      <c r="N409" s="737">
        <v>415</v>
      </c>
      <c r="O409" s="737"/>
      <c r="P409" s="737">
        <v>1000</v>
      </c>
      <c r="Q409" s="737">
        <v>951</v>
      </c>
      <c r="R409" s="737"/>
      <c r="S409" s="737"/>
      <c r="T409" s="737"/>
      <c r="U409" s="738"/>
      <c r="V409" s="739">
        <v>419</v>
      </c>
      <c r="W409" s="737"/>
      <c r="X409" s="737">
        <v>1000</v>
      </c>
      <c r="Y409" s="737">
        <v>901</v>
      </c>
      <c r="Z409" s="1202"/>
      <c r="AA409" s="740"/>
      <c r="AB409" s="739"/>
      <c r="AC409" s="741"/>
      <c r="AD409" s="741">
        <v>270</v>
      </c>
      <c r="AE409" s="741">
        <v>336</v>
      </c>
      <c r="AF409" s="741"/>
      <c r="AG409" s="741">
        <v>95</v>
      </c>
      <c r="AH409" s="741">
        <v>801</v>
      </c>
      <c r="AI409" s="741">
        <v>321</v>
      </c>
      <c r="AJ409" s="741">
        <v>84</v>
      </c>
      <c r="AK409" s="741"/>
      <c r="AL409" s="741">
        <v>136</v>
      </c>
      <c r="AM409" s="742">
        <v>1628</v>
      </c>
      <c r="AN409" s="743">
        <f t="shared" si="22"/>
        <v>0.9126073704627321</v>
      </c>
      <c r="AO409" s="744">
        <f t="shared" si="23"/>
        <v>0.99604066345639397</v>
      </c>
      <c r="AP409" s="745">
        <f>'09월 에너지'!S411</f>
        <v>143.19999999999999</v>
      </c>
    </row>
    <row r="410" spans="1:42" ht="16.5" customHeight="1">
      <c r="A410" s="999">
        <f>'09월 조업일지'!A410</f>
        <v>46279</v>
      </c>
      <c r="B410" s="1100">
        <f>'09월 조업일지'!B410</f>
        <v>46279</v>
      </c>
      <c r="C410" s="730">
        <f>'09월 조업일지'!G410</f>
        <v>85612</v>
      </c>
      <c r="D410" s="731" t="str">
        <f>'09월 조업일지'!E410</f>
        <v>C</v>
      </c>
      <c r="E410" s="732" t="str">
        <f>'09월 조업일지'!F410</f>
        <v>A</v>
      </c>
      <c r="F410" s="1096" t="str">
        <f>'09월 에너지'!F412</f>
        <v>SHP275W</v>
      </c>
      <c r="G410" s="733">
        <v>7</v>
      </c>
      <c r="H410" s="734">
        <v>14</v>
      </c>
      <c r="I410" s="734">
        <v>49</v>
      </c>
      <c r="J410" s="734">
        <v>15</v>
      </c>
      <c r="K410" s="735">
        <v>39</v>
      </c>
      <c r="L410" s="734">
        <v>11</v>
      </c>
      <c r="M410" s="736">
        <v>9</v>
      </c>
      <c r="N410" s="737">
        <v>412</v>
      </c>
      <c r="O410" s="737"/>
      <c r="P410" s="737">
        <v>1001</v>
      </c>
      <c r="Q410" s="737">
        <v>952</v>
      </c>
      <c r="R410" s="737"/>
      <c r="S410" s="737"/>
      <c r="T410" s="737"/>
      <c r="U410" s="738"/>
      <c r="V410" s="739">
        <v>421</v>
      </c>
      <c r="W410" s="737"/>
      <c r="X410" s="737">
        <v>1001</v>
      </c>
      <c r="Y410" s="737">
        <v>904</v>
      </c>
      <c r="Z410" s="1202"/>
      <c r="AA410" s="740"/>
      <c r="AB410" s="739"/>
      <c r="AC410" s="741"/>
      <c r="AD410" s="741">
        <v>270</v>
      </c>
      <c r="AE410" s="741">
        <v>335</v>
      </c>
      <c r="AF410" s="741"/>
      <c r="AG410" s="741">
        <v>96</v>
      </c>
      <c r="AH410" s="741">
        <v>802</v>
      </c>
      <c r="AI410" s="741">
        <v>321</v>
      </c>
      <c r="AJ410" s="741">
        <v>84</v>
      </c>
      <c r="AK410" s="741"/>
      <c r="AL410" s="741">
        <v>127</v>
      </c>
      <c r="AM410" s="742">
        <v>1981</v>
      </c>
      <c r="AN410" s="743">
        <f t="shared" si="22"/>
        <v>0.56108572219914143</v>
      </c>
      <c r="AO410" s="744">
        <f t="shared" si="23"/>
        <v>0.87634485215532609</v>
      </c>
      <c r="AP410" s="745">
        <f>'09월 에너지'!S412</f>
        <v>144.69999999999999</v>
      </c>
    </row>
    <row r="411" spans="1:42" ht="16.5" customHeight="1">
      <c r="A411" s="999">
        <f>'09월 조업일지'!A411</f>
        <v>46279</v>
      </c>
      <c r="B411" s="1100">
        <f>'09월 조업일지'!B411</f>
        <v>46279</v>
      </c>
      <c r="C411" s="730">
        <f>'09월 조업일지'!G411</f>
        <v>85613</v>
      </c>
      <c r="D411" s="731" t="str">
        <f>'09월 조업일지'!E411</f>
        <v>C</v>
      </c>
      <c r="E411" s="732" t="str">
        <f>'09월 조업일지'!F411</f>
        <v>B</v>
      </c>
      <c r="F411" s="1096" t="str">
        <f>'09월 에너지'!F413</f>
        <v>SHP275W</v>
      </c>
      <c r="G411" s="733">
        <v>9</v>
      </c>
      <c r="H411" s="734">
        <v>21</v>
      </c>
      <c r="I411" s="734">
        <v>52</v>
      </c>
      <c r="J411" s="734">
        <v>19</v>
      </c>
      <c r="K411" s="735">
        <v>31</v>
      </c>
      <c r="L411" s="734">
        <v>13</v>
      </c>
      <c r="M411" s="736">
        <v>16</v>
      </c>
      <c r="N411" s="737">
        <v>416</v>
      </c>
      <c r="O411" s="737"/>
      <c r="P411" s="737">
        <v>1001</v>
      </c>
      <c r="Q411" s="737">
        <v>952</v>
      </c>
      <c r="R411" s="737"/>
      <c r="S411" s="737"/>
      <c r="T411" s="737"/>
      <c r="U411" s="738"/>
      <c r="V411" s="739">
        <v>422</v>
      </c>
      <c r="W411" s="737"/>
      <c r="X411" s="737">
        <v>1000</v>
      </c>
      <c r="Y411" s="737">
        <v>910</v>
      </c>
      <c r="Z411" s="1202"/>
      <c r="AA411" s="740"/>
      <c r="AB411" s="739"/>
      <c r="AC411" s="741"/>
      <c r="AD411" s="741">
        <v>270</v>
      </c>
      <c r="AE411" s="741">
        <v>332</v>
      </c>
      <c r="AF411" s="741"/>
      <c r="AG411" s="741">
        <v>96</v>
      </c>
      <c r="AH411" s="741">
        <v>808</v>
      </c>
      <c r="AI411" s="741">
        <v>315</v>
      </c>
      <c r="AJ411" s="741">
        <v>85</v>
      </c>
      <c r="AK411" s="741"/>
      <c r="AL411" s="741">
        <v>136</v>
      </c>
      <c r="AM411" s="742">
        <v>1691</v>
      </c>
      <c r="AN411" s="743">
        <f t="shared" si="22"/>
        <v>0.83189257238774661</v>
      </c>
      <c r="AO411" s="744">
        <f t="shared" si="23"/>
        <v>0.92630834512022642</v>
      </c>
      <c r="AP411" s="745">
        <f>'09월 에너지'!S413</f>
        <v>141.6</v>
      </c>
    </row>
    <row r="412" spans="1:42" ht="16.5" customHeight="1">
      <c r="A412" s="999">
        <f>'09월 조업일지'!A412</f>
        <v>46279</v>
      </c>
      <c r="B412" s="1100">
        <f>'09월 조업일지'!B412</f>
        <v>46279</v>
      </c>
      <c r="C412" s="730">
        <f>'09월 조업일지'!G412</f>
        <v>85614</v>
      </c>
      <c r="D412" s="731" t="str">
        <f>'09월 조업일지'!E412</f>
        <v>C</v>
      </c>
      <c r="E412" s="732" t="str">
        <f>'09월 조업일지'!F412</f>
        <v>A</v>
      </c>
      <c r="F412" s="1096" t="str">
        <f>'09월 에너지'!F414</f>
        <v>SHP275W</v>
      </c>
      <c r="G412" s="733">
        <v>8</v>
      </c>
      <c r="H412" s="734">
        <v>16</v>
      </c>
      <c r="I412" s="734">
        <v>50</v>
      </c>
      <c r="J412" s="734">
        <v>15</v>
      </c>
      <c r="K412" s="735">
        <v>36</v>
      </c>
      <c r="L412" s="734">
        <v>11</v>
      </c>
      <c r="M412" s="736">
        <v>8</v>
      </c>
      <c r="N412" s="737">
        <v>417</v>
      </c>
      <c r="O412" s="737"/>
      <c r="P412" s="737">
        <v>1000</v>
      </c>
      <c r="Q412" s="737">
        <v>951</v>
      </c>
      <c r="R412" s="737"/>
      <c r="S412" s="737"/>
      <c r="T412" s="737"/>
      <c r="U412" s="738"/>
      <c r="V412" s="739">
        <v>421</v>
      </c>
      <c r="W412" s="737"/>
      <c r="X412" s="737">
        <v>1002</v>
      </c>
      <c r="Y412" s="737">
        <v>912</v>
      </c>
      <c r="Z412" s="1202"/>
      <c r="AA412" s="740"/>
      <c r="AB412" s="739"/>
      <c r="AC412" s="741"/>
      <c r="AD412" s="741">
        <v>276</v>
      </c>
      <c r="AE412" s="741">
        <v>261</v>
      </c>
      <c r="AF412" s="741"/>
      <c r="AG412" s="741">
        <v>96</v>
      </c>
      <c r="AH412" s="741">
        <v>797</v>
      </c>
      <c r="AI412" s="741">
        <v>414</v>
      </c>
      <c r="AJ412" s="741">
        <v>84</v>
      </c>
      <c r="AK412" s="741"/>
      <c r="AL412" s="741">
        <v>133</v>
      </c>
      <c r="AM412" s="742">
        <v>1699</v>
      </c>
      <c r="AN412" s="743">
        <f t="shared" si="22"/>
        <v>0.5502615974886641</v>
      </c>
      <c r="AO412" s="744">
        <f t="shared" si="23"/>
        <v>0.92785445420326218</v>
      </c>
      <c r="AP412" s="745">
        <f>'09월 에너지'!S414</f>
        <v>147.9</v>
      </c>
    </row>
    <row r="413" spans="1:42" ht="16.5" customHeight="1">
      <c r="A413" s="999">
        <f>'09월 조업일지'!A413</f>
        <v>46280</v>
      </c>
      <c r="B413" s="1100">
        <f>'09월 조업일지'!B413</f>
        <v>46279</v>
      </c>
      <c r="C413" s="730">
        <f>'09월 조업일지'!G413</f>
        <v>85615</v>
      </c>
      <c r="D413" s="731" t="str">
        <f>'09월 조업일지'!E413</f>
        <v>C</v>
      </c>
      <c r="E413" s="732" t="str">
        <f>'09월 조업일지'!F413</f>
        <v>B</v>
      </c>
      <c r="F413" s="1096" t="str">
        <f>'09월 에너지'!F415</f>
        <v>SHP275W</v>
      </c>
      <c r="G413" s="733">
        <v>10</v>
      </c>
      <c r="H413" s="734">
        <v>22</v>
      </c>
      <c r="I413" s="734">
        <v>57</v>
      </c>
      <c r="J413" s="734">
        <v>22</v>
      </c>
      <c r="K413" s="735">
        <v>29</v>
      </c>
      <c r="L413" s="734">
        <v>17</v>
      </c>
      <c r="M413" s="736">
        <v>11</v>
      </c>
      <c r="N413" s="737">
        <v>412</v>
      </c>
      <c r="O413" s="737"/>
      <c r="P413" s="737">
        <v>1000</v>
      </c>
      <c r="Q413" s="737">
        <v>955</v>
      </c>
      <c r="R413" s="737"/>
      <c r="S413" s="737"/>
      <c r="T413" s="737"/>
      <c r="U413" s="738"/>
      <c r="V413" s="739">
        <v>414</v>
      </c>
      <c r="W413" s="737"/>
      <c r="X413" s="737">
        <v>1001</v>
      </c>
      <c r="Y413" s="737">
        <v>906</v>
      </c>
      <c r="Z413" s="1202"/>
      <c r="AA413" s="740"/>
      <c r="AB413" s="739"/>
      <c r="AC413" s="741"/>
      <c r="AD413" s="741">
        <v>270</v>
      </c>
      <c r="AE413" s="741">
        <v>332</v>
      </c>
      <c r="AF413" s="741"/>
      <c r="AG413" s="741">
        <v>95</v>
      </c>
      <c r="AH413" s="741">
        <v>803</v>
      </c>
      <c r="AI413" s="741">
        <v>321</v>
      </c>
      <c r="AJ413" s="741">
        <v>87</v>
      </c>
      <c r="AK413" s="741"/>
      <c r="AL413" s="741">
        <v>122</v>
      </c>
      <c r="AM413" s="742">
        <v>1888</v>
      </c>
      <c r="AN413" s="743">
        <f t="shared" si="22"/>
        <v>0.85088593576965665</v>
      </c>
      <c r="AO413" s="744">
        <f t="shared" si="23"/>
        <v>1.0438356164383564</v>
      </c>
      <c r="AP413" s="745">
        <f>'09월 에너지'!S415</f>
        <v>139.69999999999999</v>
      </c>
    </row>
    <row r="414" spans="1:42" ht="16.5" customHeight="1">
      <c r="A414" s="999">
        <f>'09월 조업일지'!A414</f>
        <v>46280</v>
      </c>
      <c r="B414" s="1100">
        <f>'09월 조업일지'!B414</f>
        <v>46279</v>
      </c>
      <c r="C414" s="730">
        <f>'09월 조업일지'!G414</f>
        <v>85616</v>
      </c>
      <c r="D414" s="731" t="str">
        <f>'09월 조업일지'!E414</f>
        <v>C</v>
      </c>
      <c r="E414" s="732" t="str">
        <f>'09월 조업일지'!F414</f>
        <v>A</v>
      </c>
      <c r="F414" s="1231" t="str">
        <f>'09월 에너지'!F416</f>
        <v>SS400(ToMok)</v>
      </c>
      <c r="G414" s="733">
        <v>10</v>
      </c>
      <c r="H414" s="734">
        <v>21</v>
      </c>
      <c r="I414" s="734">
        <v>49</v>
      </c>
      <c r="J414" s="734">
        <v>15</v>
      </c>
      <c r="K414" s="735">
        <v>36</v>
      </c>
      <c r="L414" s="734">
        <v>12</v>
      </c>
      <c r="M414" s="736">
        <v>10</v>
      </c>
      <c r="N414" s="737">
        <v>412</v>
      </c>
      <c r="O414" s="737"/>
      <c r="P414" s="737">
        <v>1001</v>
      </c>
      <c r="Q414" s="737">
        <v>954</v>
      </c>
      <c r="R414" s="737"/>
      <c r="S414" s="737"/>
      <c r="T414" s="737">
        <v>63</v>
      </c>
      <c r="U414" s="738"/>
      <c r="V414" s="739">
        <v>411</v>
      </c>
      <c r="W414" s="737"/>
      <c r="X414" s="737">
        <v>1001</v>
      </c>
      <c r="Y414" s="737">
        <v>904</v>
      </c>
      <c r="Z414" s="1202">
        <v>68</v>
      </c>
      <c r="AA414" s="740"/>
      <c r="AB414" s="739"/>
      <c r="AC414" s="741"/>
      <c r="AD414" s="741">
        <v>270</v>
      </c>
      <c r="AE414" s="741">
        <v>330</v>
      </c>
      <c r="AF414" s="741"/>
      <c r="AG414" s="741">
        <v>110</v>
      </c>
      <c r="AH414" s="741">
        <v>710</v>
      </c>
      <c r="AI414" s="741">
        <v>347</v>
      </c>
      <c r="AJ414" s="741">
        <v>82</v>
      </c>
      <c r="AK414" s="741"/>
      <c r="AL414" s="741">
        <v>131</v>
      </c>
      <c r="AM414" s="742">
        <v>1774</v>
      </c>
      <c r="AN414" s="743">
        <f t="shared" si="22"/>
        <v>0.80965235173824135</v>
      </c>
      <c r="AO414" s="744">
        <f t="shared" si="23"/>
        <v>0.96732394366197194</v>
      </c>
      <c r="AP414" s="745">
        <f>'09월 에너지'!S416</f>
        <v>141.4</v>
      </c>
    </row>
    <row r="415" spans="1:42" ht="16.5" customHeight="1">
      <c r="A415" s="999">
        <f>'09월 조업일지'!A415</f>
        <v>46280</v>
      </c>
      <c r="B415" s="1100">
        <f>'09월 조업일지'!B415</f>
        <v>46279</v>
      </c>
      <c r="C415" s="730">
        <f>'09월 조업일지'!G415</f>
        <v>85617</v>
      </c>
      <c r="D415" s="731" t="str">
        <f>'09월 조업일지'!E415</f>
        <v>C</v>
      </c>
      <c r="E415" s="732" t="str">
        <f>'09월 조업일지'!F415</f>
        <v>B</v>
      </c>
      <c r="F415" s="1096" t="str">
        <f>'09월 에너지'!F417</f>
        <v>SS400(ToMok)</v>
      </c>
      <c r="G415" s="733">
        <v>10</v>
      </c>
      <c r="H415" s="734">
        <v>14</v>
      </c>
      <c r="I415" s="734">
        <v>49</v>
      </c>
      <c r="J415" s="734">
        <v>25</v>
      </c>
      <c r="K415" s="735">
        <v>28</v>
      </c>
      <c r="L415" s="734">
        <v>12</v>
      </c>
      <c r="M415" s="736">
        <v>10</v>
      </c>
      <c r="N415" s="737">
        <v>513</v>
      </c>
      <c r="O415" s="737"/>
      <c r="P415" s="737">
        <v>1301</v>
      </c>
      <c r="Q415" s="737">
        <v>1501</v>
      </c>
      <c r="R415" s="737"/>
      <c r="S415" s="737"/>
      <c r="T415" s="737">
        <v>60</v>
      </c>
      <c r="U415" s="738"/>
      <c r="V415" s="739">
        <v>0</v>
      </c>
      <c r="W415" s="737"/>
      <c r="X415" s="737">
        <v>0</v>
      </c>
      <c r="Y415" s="737">
        <v>0</v>
      </c>
      <c r="Z415" s="1202">
        <v>0</v>
      </c>
      <c r="AA415" s="740"/>
      <c r="AB415" s="739"/>
      <c r="AC415" s="741"/>
      <c r="AD415" s="741">
        <v>0</v>
      </c>
      <c r="AE415" s="741">
        <v>0</v>
      </c>
      <c r="AF415" s="741"/>
      <c r="AG415" s="741">
        <v>0</v>
      </c>
      <c r="AH415" s="741">
        <v>450</v>
      </c>
      <c r="AI415" s="741">
        <v>665</v>
      </c>
      <c r="AJ415" s="741">
        <v>0</v>
      </c>
      <c r="AK415" s="741"/>
      <c r="AL415" s="741">
        <v>0</v>
      </c>
      <c r="AM415" s="742">
        <v>3380</v>
      </c>
      <c r="AN415" s="743">
        <f t="shared" si="22"/>
        <v>0.28556291390728472</v>
      </c>
      <c r="AO415" s="744">
        <f t="shared" si="23"/>
        <v>1.2466666666666666</v>
      </c>
      <c r="AP415" s="745">
        <f>'09월 에너지'!S417</f>
        <v>115.5</v>
      </c>
    </row>
    <row r="416" spans="1:42" ht="16.5" customHeight="1">
      <c r="A416" s="999">
        <f>'09월 조업일지'!A416</f>
        <v>46280</v>
      </c>
      <c r="B416" s="1100">
        <f>'09월 조업일지'!B416</f>
        <v>46279</v>
      </c>
      <c r="C416" s="730">
        <f>'09월 조업일지'!G416</f>
        <v>85618</v>
      </c>
      <c r="D416" s="731" t="str">
        <f>'09월 조업일지'!E416</f>
        <v>C</v>
      </c>
      <c r="E416" s="732" t="str">
        <f>'09월 조업일지'!F416</f>
        <v>A</v>
      </c>
      <c r="F416" s="1096" t="str">
        <f>'09월 에너지'!F418</f>
        <v>SS400(ToMok)</v>
      </c>
      <c r="G416" s="733">
        <v>7</v>
      </c>
      <c r="H416" s="734">
        <v>18</v>
      </c>
      <c r="I416" s="734">
        <v>29</v>
      </c>
      <c r="J416" s="734">
        <v>18</v>
      </c>
      <c r="K416" s="735">
        <v>30</v>
      </c>
      <c r="L416" s="734">
        <v>11</v>
      </c>
      <c r="M416" s="736">
        <v>8</v>
      </c>
      <c r="N416" s="737">
        <v>513</v>
      </c>
      <c r="O416" s="737"/>
      <c r="P416" s="737">
        <v>1300</v>
      </c>
      <c r="Q416" s="737">
        <v>1501</v>
      </c>
      <c r="R416" s="737"/>
      <c r="S416" s="737"/>
      <c r="T416" s="737">
        <v>63</v>
      </c>
      <c r="U416" s="738"/>
      <c r="V416" s="739">
        <v>0</v>
      </c>
      <c r="W416" s="737"/>
      <c r="X416" s="737">
        <v>0</v>
      </c>
      <c r="Y416" s="737">
        <v>0</v>
      </c>
      <c r="Z416" s="1202">
        <v>0</v>
      </c>
      <c r="AA416" s="740"/>
      <c r="AB416" s="739"/>
      <c r="AC416" s="741"/>
      <c r="AD416" s="741">
        <v>0</v>
      </c>
      <c r="AE416" s="741">
        <v>0</v>
      </c>
      <c r="AF416" s="741"/>
      <c r="AG416" s="741">
        <v>0</v>
      </c>
      <c r="AH416" s="741">
        <v>43</v>
      </c>
      <c r="AI416" s="741">
        <v>763</v>
      </c>
      <c r="AJ416" s="741">
        <v>0</v>
      </c>
      <c r="AK416" s="741"/>
      <c r="AL416" s="741">
        <v>0</v>
      </c>
      <c r="AM416" s="742">
        <v>2971</v>
      </c>
      <c r="AN416" s="743">
        <f t="shared" si="22"/>
        <v>0.38444790046656296</v>
      </c>
      <c r="AO416" s="744">
        <f t="shared" si="23"/>
        <v>5.7488372093023257</v>
      </c>
      <c r="AP416" s="745">
        <f>'09월 에너지'!S418</f>
        <v>123.6</v>
      </c>
    </row>
    <row r="417" spans="1:42" ht="16.5" customHeight="1">
      <c r="A417" s="999">
        <f>'09월 조업일지'!A417</f>
        <v>46280</v>
      </c>
      <c r="B417" s="1100">
        <f>'09월 조업일지'!B417</f>
        <v>46280</v>
      </c>
      <c r="C417" s="730">
        <f>'09월 조업일지'!G417</f>
        <v>85619</v>
      </c>
      <c r="D417" s="731" t="str">
        <f>'09월 조업일지'!E417</f>
        <v>C</v>
      </c>
      <c r="E417" s="732" t="str">
        <f>'09월 조업일지'!F417</f>
        <v>B</v>
      </c>
      <c r="F417" s="1231" t="str">
        <f>'09월 에너지'!F419</f>
        <v>AS500N(QTB.C10)</v>
      </c>
      <c r="G417" s="733">
        <v>8</v>
      </c>
      <c r="H417" s="734">
        <v>19</v>
      </c>
      <c r="I417" s="734">
        <v>65</v>
      </c>
      <c r="J417" s="734">
        <v>13</v>
      </c>
      <c r="K417" s="735">
        <v>26</v>
      </c>
      <c r="L417" s="734">
        <v>8</v>
      </c>
      <c r="M417" s="736">
        <v>10</v>
      </c>
      <c r="N417" s="737">
        <v>613</v>
      </c>
      <c r="O417" s="737"/>
      <c r="P417" s="737">
        <v>1100</v>
      </c>
      <c r="Q417" s="737">
        <v>1051</v>
      </c>
      <c r="R417" s="737"/>
      <c r="S417" s="737"/>
      <c r="T417" s="737">
        <v>69</v>
      </c>
      <c r="U417" s="738"/>
      <c r="V417" s="739">
        <v>606</v>
      </c>
      <c r="W417" s="737"/>
      <c r="X417" s="737">
        <v>1100</v>
      </c>
      <c r="Y417" s="737">
        <v>1005</v>
      </c>
      <c r="Z417" s="1202">
        <v>61</v>
      </c>
      <c r="AA417" s="740"/>
      <c r="AB417" s="739"/>
      <c r="AC417" s="741"/>
      <c r="AD417" s="741">
        <v>200</v>
      </c>
      <c r="AE417" s="741">
        <v>302</v>
      </c>
      <c r="AF417" s="741">
        <v>73</v>
      </c>
      <c r="AG417" s="741"/>
      <c r="AH417" s="741">
        <v>1054</v>
      </c>
      <c r="AI417" s="741">
        <v>257</v>
      </c>
      <c r="AJ417" s="741"/>
      <c r="AK417" s="741"/>
      <c r="AL417" s="741"/>
      <c r="AM417" s="742">
        <v>3753</v>
      </c>
      <c r="AN417" s="743">
        <f t="shared" si="22"/>
        <v>0.71321077383497211</v>
      </c>
      <c r="AO417" s="744">
        <f t="shared" si="23"/>
        <v>0.89251829764163737</v>
      </c>
      <c r="AP417" s="745">
        <f>'09월 에너지'!S419</f>
        <v>131.69999999999999</v>
      </c>
    </row>
    <row r="418" spans="1:42" ht="16.5" customHeight="1">
      <c r="A418" s="999">
        <f>'09월 조업일지'!A418</f>
        <v>46280</v>
      </c>
      <c r="B418" s="1100">
        <f>'09월 조업일지'!B418</f>
        <v>46280</v>
      </c>
      <c r="C418" s="730">
        <f>'09월 조업일지'!G418</f>
        <v>85620</v>
      </c>
      <c r="D418" s="731" t="str">
        <f>'09월 조업일지'!E418</f>
        <v>C</v>
      </c>
      <c r="E418" s="1234" t="str">
        <f>'09월 조업일지'!F418</f>
        <v>B</v>
      </c>
      <c r="F418" s="1096" t="str">
        <f>'09월 에너지'!F420</f>
        <v>AS500N(QTB.C10)</v>
      </c>
      <c r="G418" s="733">
        <v>9</v>
      </c>
      <c r="H418" s="734">
        <v>23</v>
      </c>
      <c r="I418" s="734">
        <v>82</v>
      </c>
      <c r="J418" s="734">
        <v>19</v>
      </c>
      <c r="K418" s="735">
        <v>36</v>
      </c>
      <c r="L418" s="734">
        <v>11</v>
      </c>
      <c r="M418" s="736">
        <v>13</v>
      </c>
      <c r="N418" s="737">
        <v>411</v>
      </c>
      <c r="O418" s="737"/>
      <c r="P418" s="737">
        <v>1000</v>
      </c>
      <c r="Q418" s="737">
        <v>956</v>
      </c>
      <c r="R418" s="737"/>
      <c r="S418" s="737"/>
      <c r="T418" s="737">
        <v>51</v>
      </c>
      <c r="U418" s="738"/>
      <c r="V418" s="739">
        <v>409</v>
      </c>
      <c r="W418" s="737"/>
      <c r="X418" s="737">
        <v>1001</v>
      </c>
      <c r="Y418" s="737">
        <v>902</v>
      </c>
      <c r="Z418" s="1202">
        <v>44</v>
      </c>
      <c r="AA418" s="740"/>
      <c r="AB418" s="739"/>
      <c r="AC418" s="741"/>
      <c r="AD418" s="741">
        <v>230</v>
      </c>
      <c r="AE418" s="741">
        <v>200</v>
      </c>
      <c r="AF418" s="741">
        <v>56</v>
      </c>
      <c r="AG418" s="741"/>
      <c r="AH418" s="741">
        <v>1197</v>
      </c>
      <c r="AI418" s="741">
        <v>292</v>
      </c>
      <c r="AJ418" s="741"/>
      <c r="AK418" s="741"/>
      <c r="AL418" s="741">
        <v>150</v>
      </c>
      <c r="AM418" s="742">
        <v>2845</v>
      </c>
      <c r="AN418" s="743">
        <f t="shared" si="22"/>
        <v>0.80966001756366834</v>
      </c>
      <c r="AO418" s="744">
        <f t="shared" si="23"/>
        <v>1.1218641842701993</v>
      </c>
      <c r="AP418" s="745">
        <f>'09월 에너지'!S420</f>
        <v>140.30000000000001</v>
      </c>
    </row>
    <row r="419" spans="1:42" ht="16.5" customHeight="1">
      <c r="A419" s="999">
        <f>'09월 조업일지'!A419</f>
        <v>46280</v>
      </c>
      <c r="B419" s="1100">
        <f>'09월 조업일지'!B419</f>
        <v>46280</v>
      </c>
      <c r="C419" s="730">
        <f>'09월 조업일지'!G419</f>
        <v>85621</v>
      </c>
      <c r="D419" s="731" t="str">
        <f>'09월 조업일지'!E419</f>
        <v>C</v>
      </c>
      <c r="E419" s="1234" t="str">
        <f>'09월 조업일지'!F419</f>
        <v>B</v>
      </c>
      <c r="F419" s="1096" t="str">
        <f>'09월 에너지'!F421</f>
        <v>AS500N(QTB.C10)</v>
      </c>
      <c r="G419" s="733">
        <v>10</v>
      </c>
      <c r="H419" s="734">
        <v>24</v>
      </c>
      <c r="I419" s="734">
        <v>87</v>
      </c>
      <c r="J419" s="734">
        <v>19</v>
      </c>
      <c r="K419" s="735">
        <v>34</v>
      </c>
      <c r="L419" s="734">
        <v>12</v>
      </c>
      <c r="M419" s="736">
        <v>12</v>
      </c>
      <c r="N419" s="737">
        <v>415</v>
      </c>
      <c r="O419" s="737"/>
      <c r="P419" s="737">
        <v>1000</v>
      </c>
      <c r="Q419" s="737">
        <v>954</v>
      </c>
      <c r="R419" s="737"/>
      <c r="S419" s="737"/>
      <c r="T419" s="737">
        <v>51</v>
      </c>
      <c r="U419" s="738"/>
      <c r="V419" s="739">
        <v>412</v>
      </c>
      <c r="W419" s="737"/>
      <c r="X419" s="737">
        <v>1001</v>
      </c>
      <c r="Y419" s="737">
        <v>902</v>
      </c>
      <c r="Z419" s="1202">
        <v>47</v>
      </c>
      <c r="AA419" s="740"/>
      <c r="AB419" s="739"/>
      <c r="AC419" s="741"/>
      <c r="AD419" s="741">
        <v>230</v>
      </c>
      <c r="AE419" s="741">
        <v>200</v>
      </c>
      <c r="AF419" s="741">
        <v>71</v>
      </c>
      <c r="AG419" s="741"/>
      <c r="AH419" s="741">
        <v>1207</v>
      </c>
      <c r="AI419" s="741">
        <v>302</v>
      </c>
      <c r="AJ419" s="741"/>
      <c r="AK419" s="741"/>
      <c r="AL419" s="741">
        <v>148</v>
      </c>
      <c r="AM419" s="742">
        <v>2341</v>
      </c>
      <c r="AN419" s="743">
        <f t="shared" si="22"/>
        <v>0.83209422156790591</v>
      </c>
      <c r="AO419" s="744">
        <f t="shared" si="23"/>
        <v>1.2041188306308439</v>
      </c>
      <c r="AP419" s="745">
        <f>'09월 에너지'!S421</f>
        <v>141.30000000000001</v>
      </c>
    </row>
    <row r="420" spans="1:42" ht="16.5" customHeight="1">
      <c r="A420" s="999">
        <f>'09월 조업일지'!A420</f>
        <v>46281</v>
      </c>
      <c r="B420" s="1100">
        <f>'09월 조업일지'!B420</f>
        <v>46280</v>
      </c>
      <c r="C420" s="730">
        <f>'09월 조업일지'!G420</f>
        <v>85622</v>
      </c>
      <c r="D420" s="731" t="str">
        <f>'09월 조업일지'!E420</f>
        <v>C</v>
      </c>
      <c r="E420" s="1234" t="str">
        <f>'09월 조업일지'!F420</f>
        <v>B</v>
      </c>
      <c r="F420" s="1096" t="str">
        <f>'09월 에너지'!F422</f>
        <v>AS500N(QTB.C10)</v>
      </c>
      <c r="G420" s="733">
        <v>8</v>
      </c>
      <c r="H420" s="734">
        <v>18</v>
      </c>
      <c r="I420" s="734">
        <v>72</v>
      </c>
      <c r="J420" s="734">
        <v>12</v>
      </c>
      <c r="K420" s="735">
        <v>28</v>
      </c>
      <c r="L420" s="734">
        <v>11</v>
      </c>
      <c r="M420" s="736">
        <v>8</v>
      </c>
      <c r="N420" s="737">
        <v>410</v>
      </c>
      <c r="O420" s="737"/>
      <c r="P420" s="737">
        <v>1000</v>
      </c>
      <c r="Q420" s="737">
        <v>954</v>
      </c>
      <c r="R420" s="737"/>
      <c r="S420" s="737"/>
      <c r="T420" s="737">
        <v>49</v>
      </c>
      <c r="U420" s="738"/>
      <c r="V420" s="739">
        <v>411</v>
      </c>
      <c r="W420" s="737"/>
      <c r="X420" s="737">
        <v>1001</v>
      </c>
      <c r="Y420" s="737">
        <v>904</v>
      </c>
      <c r="Z420" s="1202">
        <v>40</v>
      </c>
      <c r="AA420" s="740"/>
      <c r="AB420" s="739"/>
      <c r="AC420" s="741"/>
      <c r="AD420" s="741">
        <v>230</v>
      </c>
      <c r="AE420" s="741">
        <v>201</v>
      </c>
      <c r="AF420" s="741">
        <v>72</v>
      </c>
      <c r="AG420" s="741"/>
      <c r="AH420" s="741">
        <v>1199</v>
      </c>
      <c r="AI420" s="741">
        <v>296</v>
      </c>
      <c r="AJ420" s="741"/>
      <c r="AK420" s="741"/>
      <c r="AL420" s="741">
        <v>136</v>
      </c>
      <c r="AM420" s="742">
        <v>2156</v>
      </c>
      <c r="AN420" s="743">
        <f t="shared" si="22"/>
        <v>0.64860022396416561</v>
      </c>
      <c r="AO420" s="744">
        <f t="shared" si="23"/>
        <v>0.98339092100559999</v>
      </c>
      <c r="AP420" s="745">
        <f>'09월 에너지'!S422</f>
        <v>144.80000000000001</v>
      </c>
    </row>
    <row r="421" spans="1:42" ht="16.5" customHeight="1">
      <c r="A421" s="999">
        <f>'09월 조업일지'!A421</f>
        <v>46281</v>
      </c>
      <c r="B421" s="1100">
        <f>'09월 조업일지'!B421</f>
        <v>46280</v>
      </c>
      <c r="C421" s="730">
        <f>'09월 조업일지'!G421</f>
        <v>85623</v>
      </c>
      <c r="D421" s="731" t="str">
        <f>'09월 조업일지'!E421</f>
        <v>C</v>
      </c>
      <c r="E421" s="1234" t="str">
        <f>'09월 조업일지'!F421</f>
        <v>B</v>
      </c>
      <c r="F421" s="1096" t="str">
        <f>'09월 에너지'!F423</f>
        <v>AS500N(QTB.C10)</v>
      </c>
      <c r="G421" s="733">
        <v>10</v>
      </c>
      <c r="H421" s="734">
        <v>23</v>
      </c>
      <c r="I421" s="734">
        <v>74</v>
      </c>
      <c r="J421" s="734">
        <v>14</v>
      </c>
      <c r="K421" s="735">
        <v>34</v>
      </c>
      <c r="L421" s="734">
        <v>13</v>
      </c>
      <c r="M421" s="736">
        <v>12</v>
      </c>
      <c r="N421" s="737">
        <v>411</v>
      </c>
      <c r="O421" s="737"/>
      <c r="P421" s="737">
        <v>1000</v>
      </c>
      <c r="Q421" s="737">
        <v>952</v>
      </c>
      <c r="R421" s="737"/>
      <c r="S421" s="737"/>
      <c r="T421" s="737">
        <v>50</v>
      </c>
      <c r="U421" s="738"/>
      <c r="V421" s="739">
        <v>417</v>
      </c>
      <c r="W421" s="737"/>
      <c r="X421" s="737">
        <v>1000</v>
      </c>
      <c r="Y421" s="737">
        <v>901</v>
      </c>
      <c r="Z421" s="1202">
        <v>40</v>
      </c>
      <c r="AA421" s="740"/>
      <c r="AB421" s="739"/>
      <c r="AC421" s="741"/>
      <c r="AD421" s="741">
        <v>230</v>
      </c>
      <c r="AE421" s="741">
        <v>201</v>
      </c>
      <c r="AF421" s="741">
        <v>81</v>
      </c>
      <c r="AG421" s="741"/>
      <c r="AH421" s="741">
        <v>1200</v>
      </c>
      <c r="AI421" s="741">
        <v>299</v>
      </c>
      <c r="AJ421" s="741"/>
      <c r="AK421" s="741"/>
      <c r="AL421" s="741">
        <v>139</v>
      </c>
      <c r="AM421" s="742">
        <v>1868</v>
      </c>
      <c r="AN421" s="743">
        <f t="shared" si="22"/>
        <v>0.82839826839826836</v>
      </c>
      <c r="AO421" s="744">
        <f t="shared" si="23"/>
        <v>1.0226666666666666</v>
      </c>
      <c r="AP421" s="745">
        <f>'09월 에너지'!S423</f>
        <v>145.6</v>
      </c>
    </row>
    <row r="422" spans="1:42" ht="16.5" customHeight="1">
      <c r="A422" s="999">
        <f>'09월 조업일지'!A422</f>
        <v>46281</v>
      </c>
      <c r="B422" s="1100">
        <f>'09월 조업일지'!B422</f>
        <v>46281</v>
      </c>
      <c r="C422" s="730">
        <f>'09월 조업일지'!G422</f>
        <v>85624</v>
      </c>
      <c r="D422" s="731" t="str">
        <f>'09월 조업일지'!E422</f>
        <v>D</v>
      </c>
      <c r="E422" s="1234" t="str">
        <f>'09월 조업일지'!F422</f>
        <v>B</v>
      </c>
      <c r="F422" s="1096" t="str">
        <f>'09월 에너지'!F424</f>
        <v>AS500N(QTB.C10)</v>
      </c>
      <c r="G422" s="733">
        <v>10</v>
      </c>
      <c r="H422" s="734">
        <v>23</v>
      </c>
      <c r="I422" s="734">
        <v>72</v>
      </c>
      <c r="J422" s="734">
        <v>14</v>
      </c>
      <c r="K422" s="735">
        <v>38</v>
      </c>
      <c r="L422" s="734">
        <v>14</v>
      </c>
      <c r="M422" s="736">
        <v>10</v>
      </c>
      <c r="N422" s="737">
        <v>413</v>
      </c>
      <c r="O422" s="737"/>
      <c r="P422" s="737">
        <v>1000</v>
      </c>
      <c r="Q422" s="737">
        <v>952</v>
      </c>
      <c r="R422" s="737"/>
      <c r="S422" s="737"/>
      <c r="T422" s="737">
        <v>50</v>
      </c>
      <c r="U422" s="738"/>
      <c r="V422" s="739">
        <v>410</v>
      </c>
      <c r="W422" s="737"/>
      <c r="X422" s="737">
        <v>1001</v>
      </c>
      <c r="Y422" s="737">
        <v>909</v>
      </c>
      <c r="Z422" s="1202">
        <v>42</v>
      </c>
      <c r="AA422" s="740"/>
      <c r="AB422" s="739"/>
      <c r="AC422" s="741"/>
      <c r="AD422" s="741">
        <v>231</v>
      </c>
      <c r="AE422" s="741">
        <v>201</v>
      </c>
      <c r="AF422" s="741">
        <v>76</v>
      </c>
      <c r="AG422" s="741"/>
      <c r="AH422" s="741">
        <v>1200</v>
      </c>
      <c r="AI422" s="741">
        <v>292</v>
      </c>
      <c r="AJ422" s="741"/>
      <c r="AK422" s="741"/>
      <c r="AL422" s="741">
        <v>149</v>
      </c>
      <c r="AM422" s="742">
        <v>1477</v>
      </c>
      <c r="AN422" s="743">
        <f t="shared" si="22"/>
        <v>0.83122807017543865</v>
      </c>
      <c r="AO422" s="744">
        <f t="shared" si="23"/>
        <v>0.97850000000000004</v>
      </c>
      <c r="AP422" s="745">
        <f>'09월 에너지'!S424</f>
        <v>144.19999999999999</v>
      </c>
    </row>
    <row r="423" spans="1:42" ht="16.5" customHeight="1">
      <c r="A423" s="999">
        <f>'09월 조업일지'!A423</f>
        <v>46281</v>
      </c>
      <c r="B423" s="1100">
        <f>'09월 조업일지'!B423</f>
        <v>46281</v>
      </c>
      <c r="C423" s="730">
        <f>'09월 조업일지'!G423</f>
        <v>85625</v>
      </c>
      <c r="D423" s="731" t="str">
        <f>'09월 조업일지'!E423</f>
        <v>D</v>
      </c>
      <c r="E423" s="1234" t="str">
        <f>'09월 조업일지'!F423</f>
        <v>B</v>
      </c>
      <c r="F423" s="1096" t="str">
        <f>'09월 에너지'!F425</f>
        <v>AS500N(QTB.C10)</v>
      </c>
      <c r="G423" s="733">
        <v>7</v>
      </c>
      <c r="H423" s="734">
        <v>21</v>
      </c>
      <c r="I423" s="734">
        <v>67</v>
      </c>
      <c r="J423" s="734">
        <v>11</v>
      </c>
      <c r="K423" s="735">
        <v>25</v>
      </c>
      <c r="L423" s="734">
        <v>12</v>
      </c>
      <c r="M423" s="736">
        <v>9</v>
      </c>
      <c r="N423" s="737">
        <v>409</v>
      </c>
      <c r="O423" s="737"/>
      <c r="P423" s="737">
        <v>1001</v>
      </c>
      <c r="Q423" s="737">
        <v>961</v>
      </c>
      <c r="R423" s="737"/>
      <c r="S423" s="737"/>
      <c r="T423" s="737">
        <v>53</v>
      </c>
      <c r="U423" s="738"/>
      <c r="V423" s="739">
        <v>411</v>
      </c>
      <c r="W423" s="737"/>
      <c r="X423" s="737">
        <v>1201</v>
      </c>
      <c r="Y423" s="737">
        <v>901</v>
      </c>
      <c r="Z423" s="1202">
        <v>39</v>
      </c>
      <c r="AA423" s="740"/>
      <c r="AB423" s="739"/>
      <c r="AC423" s="741"/>
      <c r="AD423" s="741">
        <v>231</v>
      </c>
      <c r="AE423" s="741">
        <v>200</v>
      </c>
      <c r="AF423" s="741">
        <v>82</v>
      </c>
      <c r="AG423" s="741"/>
      <c r="AH423" s="741">
        <v>1200</v>
      </c>
      <c r="AI423" s="741">
        <v>295</v>
      </c>
      <c r="AJ423" s="741"/>
      <c r="AK423" s="741"/>
      <c r="AL423" s="741">
        <v>136</v>
      </c>
      <c r="AM423" s="742">
        <v>1735</v>
      </c>
      <c r="AN423" s="743">
        <f t="shared" si="22"/>
        <v>0.76254205607476644</v>
      </c>
      <c r="AO423" s="744">
        <f t="shared" si="23"/>
        <v>0.90195238095238095</v>
      </c>
      <c r="AP423" s="745">
        <f>'09월 에너지'!S425</f>
        <v>145.69999999999999</v>
      </c>
    </row>
    <row r="424" spans="1:42" ht="16.5" customHeight="1">
      <c r="A424" s="999">
        <f>'09월 조업일지'!A424</f>
        <v>46281</v>
      </c>
      <c r="B424" s="1100">
        <f>'09월 조업일지'!B424</f>
        <v>46281</v>
      </c>
      <c r="C424" s="730">
        <f>'09월 조업일지'!G424</f>
        <v>85626</v>
      </c>
      <c r="D424" s="731" t="str">
        <f>'09월 조업일지'!E424</f>
        <v>D</v>
      </c>
      <c r="E424" s="1234" t="str">
        <f>'09월 조업일지'!F424</f>
        <v>B</v>
      </c>
      <c r="F424" s="1096" t="str">
        <f>'09월 에너지'!F426</f>
        <v>AS500N(QTB.C10)</v>
      </c>
      <c r="G424" s="733">
        <v>11</v>
      </c>
      <c r="H424" s="734">
        <v>21</v>
      </c>
      <c r="I424" s="734">
        <v>68</v>
      </c>
      <c r="J424" s="734">
        <v>11</v>
      </c>
      <c r="K424" s="735">
        <v>26</v>
      </c>
      <c r="L424" s="734">
        <v>10</v>
      </c>
      <c r="M424" s="736">
        <v>8</v>
      </c>
      <c r="N424" s="737">
        <v>411</v>
      </c>
      <c r="O424" s="737"/>
      <c r="P424" s="737">
        <v>11500</v>
      </c>
      <c r="Q424" s="737">
        <v>959</v>
      </c>
      <c r="R424" s="737"/>
      <c r="S424" s="737"/>
      <c r="T424" s="737">
        <v>48</v>
      </c>
      <c r="U424" s="738"/>
      <c r="V424" s="739">
        <v>417</v>
      </c>
      <c r="W424" s="737"/>
      <c r="X424" s="737">
        <v>1151</v>
      </c>
      <c r="Y424" s="737">
        <v>907</v>
      </c>
      <c r="Z424" s="1202">
        <v>41</v>
      </c>
      <c r="AA424" s="740"/>
      <c r="AB424" s="739"/>
      <c r="AC424" s="741"/>
      <c r="AD424" s="741">
        <v>230</v>
      </c>
      <c r="AE424" s="741">
        <v>200</v>
      </c>
      <c r="AF424" s="741">
        <v>73</v>
      </c>
      <c r="AG424" s="741"/>
      <c r="AH424" s="741">
        <v>1193</v>
      </c>
      <c r="AI424" s="741">
        <v>296</v>
      </c>
      <c r="AJ424" s="741"/>
      <c r="AK424" s="741"/>
      <c r="AL424" s="741">
        <v>141</v>
      </c>
      <c r="AM424" s="742">
        <v>1718</v>
      </c>
      <c r="AN424" s="743">
        <f t="shared" si="22"/>
        <v>0.76520763187429852</v>
      </c>
      <c r="AO424" s="744">
        <f t="shared" si="23"/>
        <v>0.92723027182373385</v>
      </c>
      <c r="AP424" s="745">
        <f>'09월 에너지'!S426</f>
        <v>146.1</v>
      </c>
    </row>
    <row r="425" spans="1:42" ht="16.5" customHeight="1">
      <c r="A425" s="999">
        <f>'09월 조업일지'!A425</f>
        <v>46281</v>
      </c>
      <c r="B425" s="1100">
        <f>'09월 조업일지'!B425</f>
        <v>46281</v>
      </c>
      <c r="C425" s="730">
        <f>'09월 조업일지'!G425</f>
        <v>85627</v>
      </c>
      <c r="D425" s="731" t="str">
        <f>'09월 조업일지'!E425</f>
        <v>D</v>
      </c>
      <c r="E425" s="732" t="str">
        <f>'09월 조업일지'!F425</f>
        <v>B</v>
      </c>
      <c r="F425" s="1096" t="str">
        <f>'09월 에너지'!F427</f>
        <v>AS500N(QTB.C10)</v>
      </c>
      <c r="G425" s="733">
        <v>8</v>
      </c>
      <c r="H425" s="734">
        <v>18</v>
      </c>
      <c r="I425" s="734">
        <v>64</v>
      </c>
      <c r="J425" s="734">
        <v>13</v>
      </c>
      <c r="K425" s="735">
        <v>36</v>
      </c>
      <c r="L425" s="734">
        <v>18</v>
      </c>
      <c r="M425" s="736">
        <v>14</v>
      </c>
      <c r="N425" s="737">
        <v>418</v>
      </c>
      <c r="O425" s="737"/>
      <c r="P425" s="737">
        <v>1150</v>
      </c>
      <c r="Q425" s="737">
        <v>956</v>
      </c>
      <c r="R425" s="737"/>
      <c r="S425" s="737"/>
      <c r="T425" s="737">
        <v>49</v>
      </c>
      <c r="U425" s="738"/>
      <c r="V425" s="739">
        <v>419</v>
      </c>
      <c r="W425" s="737"/>
      <c r="X425" s="737">
        <v>1151</v>
      </c>
      <c r="Y425" s="737">
        <v>902</v>
      </c>
      <c r="Z425" s="1202">
        <v>42</v>
      </c>
      <c r="AA425" s="740"/>
      <c r="AB425" s="739"/>
      <c r="AC425" s="741"/>
      <c r="AD425" s="741">
        <v>230</v>
      </c>
      <c r="AE425" s="741">
        <v>200</v>
      </c>
      <c r="AF425" s="741">
        <v>86</v>
      </c>
      <c r="AG425" s="741"/>
      <c r="AH425" s="741">
        <v>1201</v>
      </c>
      <c r="AI425" s="741">
        <v>291</v>
      </c>
      <c r="AJ425" s="741"/>
      <c r="AK425" s="741"/>
      <c r="AL425" s="741">
        <v>141</v>
      </c>
      <c r="AM425" s="742">
        <v>833</v>
      </c>
      <c r="AN425" s="743">
        <f t="shared" si="22"/>
        <v>0.66822289156626513</v>
      </c>
      <c r="AO425" s="744">
        <f t="shared" si="23"/>
        <v>0.86203164029975032</v>
      </c>
      <c r="AP425" s="745">
        <f>'09월 에너지'!S427</f>
        <v>147.9</v>
      </c>
    </row>
    <row r="426" spans="1:42" ht="16.5" customHeight="1">
      <c r="A426" s="999">
        <f>'09월 조업일지'!A426</f>
        <v>46281</v>
      </c>
      <c r="B426" s="1100">
        <f>'09월 조업일지'!B426</f>
        <v>46281</v>
      </c>
      <c r="C426" s="730">
        <f>'09월 조업일지'!G426</f>
        <v>85628</v>
      </c>
      <c r="D426" s="731" t="str">
        <f>'09월 조업일지'!E426</f>
        <v>D</v>
      </c>
      <c r="E426" s="732" t="str">
        <f>'09월 조업일지'!F426</f>
        <v>B</v>
      </c>
      <c r="F426" s="1096" t="str">
        <f>'09월 에너지'!F428</f>
        <v>AS500N(QTB.C10)</v>
      </c>
      <c r="G426" s="733">
        <v>8</v>
      </c>
      <c r="H426" s="734">
        <v>21</v>
      </c>
      <c r="I426" s="734">
        <v>69</v>
      </c>
      <c r="J426" s="734">
        <v>12</v>
      </c>
      <c r="K426" s="735">
        <v>29</v>
      </c>
      <c r="L426" s="734">
        <v>11</v>
      </c>
      <c r="M426" s="736">
        <v>9</v>
      </c>
      <c r="N426" s="737">
        <v>414</v>
      </c>
      <c r="O426" s="737"/>
      <c r="P426" s="737">
        <v>1150</v>
      </c>
      <c r="Q426" s="737">
        <v>959</v>
      </c>
      <c r="R426" s="737"/>
      <c r="S426" s="737"/>
      <c r="T426" s="737">
        <v>51</v>
      </c>
      <c r="U426" s="738"/>
      <c r="V426" s="739">
        <v>418</v>
      </c>
      <c r="W426" s="737"/>
      <c r="X426" s="737">
        <v>1150</v>
      </c>
      <c r="Y426" s="737">
        <v>901</v>
      </c>
      <c r="Z426" s="1202">
        <v>50</v>
      </c>
      <c r="AA426" s="740"/>
      <c r="AB426" s="739"/>
      <c r="AC426" s="741"/>
      <c r="AD426" s="741">
        <v>230</v>
      </c>
      <c r="AE426" s="741">
        <v>200</v>
      </c>
      <c r="AF426" s="741">
        <v>80</v>
      </c>
      <c r="AG426" s="741"/>
      <c r="AH426" s="741">
        <v>1194</v>
      </c>
      <c r="AI426" s="741">
        <v>299</v>
      </c>
      <c r="AJ426" s="741"/>
      <c r="AK426" s="741"/>
      <c r="AL426" s="741">
        <v>149</v>
      </c>
      <c r="AM426" s="742">
        <v>1620</v>
      </c>
      <c r="AN426" s="743">
        <f t="shared" si="22"/>
        <v>0.74555596876162145</v>
      </c>
      <c r="AO426" s="744">
        <f t="shared" si="23"/>
        <v>0.92519741564967695</v>
      </c>
      <c r="AP426" s="745">
        <f>'09월 에너지'!S428</f>
        <v>143.19999999999999</v>
      </c>
    </row>
    <row r="427" spans="1:42" ht="16.5" customHeight="1">
      <c r="A427" s="999">
        <f>'09월 조업일지'!A427</f>
        <v>46281</v>
      </c>
      <c r="B427" s="1100">
        <f>'09월 조업일지'!B427</f>
        <v>46281</v>
      </c>
      <c r="C427" s="730">
        <f>'09월 조업일지'!G427</f>
        <v>85629</v>
      </c>
      <c r="D427" s="731" t="str">
        <f>'09월 조업일지'!E427</f>
        <v>D</v>
      </c>
      <c r="E427" s="732" t="str">
        <f>'09월 조업일지'!F427</f>
        <v>B</v>
      </c>
      <c r="F427" s="1096" t="str">
        <f>'09월 에너지'!F429</f>
        <v>AS500N(QTB.C10)</v>
      </c>
      <c r="G427" s="733">
        <v>10</v>
      </c>
      <c r="H427" s="734">
        <v>23</v>
      </c>
      <c r="I427" s="734">
        <v>69</v>
      </c>
      <c r="J427" s="734">
        <v>11</v>
      </c>
      <c r="K427" s="735">
        <v>27</v>
      </c>
      <c r="L427" s="734">
        <v>12</v>
      </c>
      <c r="M427" s="736">
        <v>9</v>
      </c>
      <c r="N427" s="737">
        <v>421</v>
      </c>
      <c r="O427" s="737"/>
      <c r="P427" s="737">
        <v>1150</v>
      </c>
      <c r="Q427" s="737">
        <v>959</v>
      </c>
      <c r="R427" s="737"/>
      <c r="S427" s="737"/>
      <c r="T427" s="737">
        <v>53</v>
      </c>
      <c r="U427" s="738"/>
      <c r="V427" s="739">
        <v>412</v>
      </c>
      <c r="W427" s="737"/>
      <c r="X427" s="737">
        <v>1151</v>
      </c>
      <c r="Y427" s="737">
        <v>902</v>
      </c>
      <c r="Z427" s="1202">
        <v>43</v>
      </c>
      <c r="AA427" s="740"/>
      <c r="AB427" s="739"/>
      <c r="AC427" s="741"/>
      <c r="AD427" s="741">
        <v>231</v>
      </c>
      <c r="AE427" s="741">
        <v>201</v>
      </c>
      <c r="AF427" s="741">
        <v>83</v>
      </c>
      <c r="AG427" s="741"/>
      <c r="AH427" s="741">
        <v>1196</v>
      </c>
      <c r="AI427" s="741">
        <v>292</v>
      </c>
      <c r="AJ427" s="741"/>
      <c r="AK427" s="741"/>
      <c r="AL427" s="741">
        <v>144</v>
      </c>
      <c r="AM427" s="742">
        <v>893</v>
      </c>
      <c r="AN427" s="743">
        <f t="shared" si="22"/>
        <v>0.82555220883534131</v>
      </c>
      <c r="AO427" s="744">
        <f t="shared" si="23"/>
        <v>0.9223602484472051</v>
      </c>
      <c r="AP427" s="745">
        <f>'09월 에너지'!S429</f>
        <v>143</v>
      </c>
    </row>
    <row r="428" spans="1:42" ht="16.5" customHeight="1">
      <c r="A428" s="999">
        <f>'09월 조업일지'!A428</f>
        <v>46281</v>
      </c>
      <c r="B428" s="1100">
        <f>'09월 조업일지'!B428</f>
        <v>46281</v>
      </c>
      <c r="C428" s="730">
        <f>'09월 조업일지'!G428</f>
        <v>85630</v>
      </c>
      <c r="D428" s="731" t="str">
        <f>'09월 조업일지'!E428</f>
        <v>D</v>
      </c>
      <c r="E428" s="732" t="str">
        <f>'09월 조업일지'!F428</f>
        <v>B</v>
      </c>
      <c r="F428" s="1096" t="str">
        <f>'09월 에너지'!F430</f>
        <v>AS500N(QTB.C10)</v>
      </c>
      <c r="G428" s="733">
        <v>11</v>
      </c>
      <c r="H428" s="734">
        <v>23</v>
      </c>
      <c r="I428" s="734">
        <v>68</v>
      </c>
      <c r="J428" s="734">
        <v>12</v>
      </c>
      <c r="K428" s="735">
        <v>31</v>
      </c>
      <c r="L428" s="734">
        <v>11</v>
      </c>
      <c r="M428" s="736">
        <v>11</v>
      </c>
      <c r="N428" s="737">
        <v>416</v>
      </c>
      <c r="O428" s="737"/>
      <c r="P428" s="737">
        <v>1151</v>
      </c>
      <c r="Q428" s="737">
        <v>953</v>
      </c>
      <c r="R428" s="737"/>
      <c r="S428" s="737"/>
      <c r="T428" s="737">
        <v>51</v>
      </c>
      <c r="U428" s="738"/>
      <c r="V428" s="739">
        <v>413</v>
      </c>
      <c r="W428" s="737"/>
      <c r="X428" s="737">
        <v>1150</v>
      </c>
      <c r="Y428" s="737">
        <v>902</v>
      </c>
      <c r="Z428" s="1202">
        <v>62</v>
      </c>
      <c r="AA428" s="740"/>
      <c r="AB428" s="739"/>
      <c r="AC428" s="741"/>
      <c r="AD428" s="741">
        <v>230</v>
      </c>
      <c r="AE428" s="741">
        <v>200</v>
      </c>
      <c r="AF428" s="741">
        <v>81</v>
      </c>
      <c r="AG428" s="741"/>
      <c r="AH428" s="741">
        <v>1201</v>
      </c>
      <c r="AI428" s="741">
        <v>300</v>
      </c>
      <c r="AJ428" s="741"/>
      <c r="AK428" s="741"/>
      <c r="AL428" s="741">
        <v>150</v>
      </c>
      <c r="AM428" s="742">
        <v>1413</v>
      </c>
      <c r="AN428" s="743">
        <f t="shared" si="22"/>
        <v>0.81690731827718144</v>
      </c>
      <c r="AO428" s="744">
        <f t="shared" si="23"/>
        <v>0.90718448911621274</v>
      </c>
      <c r="AP428" s="745">
        <f>'09월 에너지'!S430</f>
        <v>143.9</v>
      </c>
    </row>
    <row r="429" spans="1:42" ht="16.5" customHeight="1">
      <c r="A429" s="999">
        <f>'09월 조업일지'!A429</f>
        <v>46281</v>
      </c>
      <c r="B429" s="1100">
        <f>'09월 조업일지'!B429</f>
        <v>46281</v>
      </c>
      <c r="C429" s="730">
        <f>'09월 조업일지'!G429</f>
        <v>85631</v>
      </c>
      <c r="D429" s="731" t="str">
        <f>'09월 조업일지'!E429</f>
        <v>B</v>
      </c>
      <c r="E429" s="732" t="str">
        <f>'09월 조업일지'!F429</f>
        <v>B</v>
      </c>
      <c r="F429" s="1096" t="str">
        <f>'09월 에너지'!F431</f>
        <v>AS500N(QTB.C10)</v>
      </c>
      <c r="G429" s="733">
        <v>9</v>
      </c>
      <c r="H429" s="734">
        <v>23</v>
      </c>
      <c r="I429" s="734">
        <v>71</v>
      </c>
      <c r="J429" s="734">
        <v>14</v>
      </c>
      <c r="K429" s="735">
        <v>34</v>
      </c>
      <c r="L429" s="734">
        <v>12</v>
      </c>
      <c r="M429" s="736">
        <v>15</v>
      </c>
      <c r="N429" s="737">
        <v>417</v>
      </c>
      <c r="O429" s="737"/>
      <c r="P429" s="737">
        <v>1150</v>
      </c>
      <c r="Q429" s="737">
        <v>955</v>
      </c>
      <c r="R429" s="737"/>
      <c r="S429" s="737"/>
      <c r="T429" s="737">
        <v>53</v>
      </c>
      <c r="U429" s="738"/>
      <c r="V429" s="739">
        <v>417</v>
      </c>
      <c r="W429" s="737"/>
      <c r="X429" s="737">
        <v>1150</v>
      </c>
      <c r="Y429" s="737">
        <v>904</v>
      </c>
      <c r="Z429" s="1202">
        <v>50</v>
      </c>
      <c r="AA429" s="740"/>
      <c r="AB429" s="739"/>
      <c r="AC429" s="741"/>
      <c r="AD429" s="741">
        <v>231</v>
      </c>
      <c r="AE429" s="741">
        <v>200</v>
      </c>
      <c r="AF429" s="741">
        <v>82</v>
      </c>
      <c r="AG429" s="741"/>
      <c r="AH429" s="741">
        <v>1192</v>
      </c>
      <c r="AI429" s="741">
        <v>301</v>
      </c>
      <c r="AJ429" s="741"/>
      <c r="AK429" s="741"/>
      <c r="AL429" s="741">
        <v>137</v>
      </c>
      <c r="AM429" s="742">
        <v>2486</v>
      </c>
      <c r="AN429" s="743">
        <f t="shared" si="22"/>
        <v>0.81641329872698065</v>
      </c>
      <c r="AO429" s="744">
        <f t="shared" si="23"/>
        <v>0.96375838926174495</v>
      </c>
      <c r="AP429" s="745">
        <f>'09월 에너지'!S431</f>
        <v>143.6</v>
      </c>
    </row>
    <row r="430" spans="1:42" ht="16.5" customHeight="1">
      <c r="A430" s="999">
        <f>'09월 조업일지'!A430</f>
        <v>46281</v>
      </c>
      <c r="B430" s="1100">
        <f>'09월 조업일지'!B430</f>
        <v>46281</v>
      </c>
      <c r="C430" s="730">
        <f>'09월 조업일지'!G430</f>
        <v>85632</v>
      </c>
      <c r="D430" s="731" t="str">
        <f>'09월 조업일지'!E430</f>
        <v>B</v>
      </c>
      <c r="E430" s="732" t="str">
        <f>'09월 조업일지'!F430</f>
        <v>B</v>
      </c>
      <c r="F430" s="1096" t="str">
        <f>'09월 에너지'!F432</f>
        <v>AS500N(QTB.C10)</v>
      </c>
      <c r="G430" s="733">
        <v>9</v>
      </c>
      <c r="H430" s="734">
        <v>23</v>
      </c>
      <c r="I430" s="734">
        <v>71</v>
      </c>
      <c r="J430" s="734">
        <v>15</v>
      </c>
      <c r="K430" s="735">
        <v>36</v>
      </c>
      <c r="L430" s="734">
        <v>12</v>
      </c>
      <c r="M430" s="736">
        <v>10</v>
      </c>
      <c r="N430" s="737">
        <v>420</v>
      </c>
      <c r="O430" s="737"/>
      <c r="P430" s="737">
        <v>1151</v>
      </c>
      <c r="Q430" s="737">
        <v>951</v>
      </c>
      <c r="R430" s="737"/>
      <c r="S430" s="737"/>
      <c r="T430" s="737">
        <v>49</v>
      </c>
      <c r="U430" s="738"/>
      <c r="V430" s="739">
        <v>416</v>
      </c>
      <c r="W430" s="737"/>
      <c r="X430" s="737">
        <v>1150</v>
      </c>
      <c r="Y430" s="737">
        <v>901</v>
      </c>
      <c r="Z430" s="1202">
        <v>45</v>
      </c>
      <c r="AA430" s="740"/>
      <c r="AB430" s="739"/>
      <c r="AC430" s="741"/>
      <c r="AD430" s="741">
        <v>230</v>
      </c>
      <c r="AE430" s="741">
        <v>200</v>
      </c>
      <c r="AF430" s="741">
        <v>81</v>
      </c>
      <c r="AG430" s="741"/>
      <c r="AH430" s="741">
        <v>1200</v>
      </c>
      <c r="AI430" s="741">
        <v>294</v>
      </c>
      <c r="AJ430" s="741"/>
      <c r="AK430" s="741"/>
      <c r="AL430" s="741">
        <v>142</v>
      </c>
      <c r="AM430" s="742">
        <v>2491</v>
      </c>
      <c r="AN430" s="743">
        <f t="shared" si="22"/>
        <v>0.82294631710362043</v>
      </c>
      <c r="AO430" s="744">
        <f t="shared" si="23"/>
        <v>0.95533333333333337</v>
      </c>
      <c r="AP430" s="745">
        <f>'09월 에너지'!S432</f>
        <v>143.30000000000001</v>
      </c>
    </row>
    <row r="431" spans="1:42" ht="16.5" customHeight="1">
      <c r="A431" s="999">
        <f>'09월 조업일지'!A431</f>
        <v>46281</v>
      </c>
      <c r="B431" s="1100">
        <f>'09월 조업일지'!B431</f>
        <v>46281</v>
      </c>
      <c r="C431" s="730">
        <f>'09월 조업일지'!G431</f>
        <v>85633</v>
      </c>
      <c r="D431" s="731" t="str">
        <f>'09월 조업일지'!E431</f>
        <v>B</v>
      </c>
      <c r="E431" s="732" t="str">
        <f>'09월 조업일지'!F431</f>
        <v>B</v>
      </c>
      <c r="F431" s="1096" t="str">
        <f>'09월 에너지'!F433</f>
        <v>AS500N(QTB.C10)</v>
      </c>
      <c r="G431" s="733">
        <v>9</v>
      </c>
      <c r="H431" s="734">
        <v>22</v>
      </c>
      <c r="I431" s="734">
        <v>68</v>
      </c>
      <c r="J431" s="734">
        <v>19</v>
      </c>
      <c r="K431" s="735">
        <v>39</v>
      </c>
      <c r="L431" s="734">
        <v>13</v>
      </c>
      <c r="M431" s="736">
        <v>12</v>
      </c>
      <c r="N431" s="737">
        <v>412</v>
      </c>
      <c r="O431" s="737"/>
      <c r="P431" s="737">
        <v>1150</v>
      </c>
      <c r="Q431" s="737">
        <v>955</v>
      </c>
      <c r="R431" s="737"/>
      <c r="S431" s="737"/>
      <c r="T431" s="737">
        <v>53</v>
      </c>
      <c r="U431" s="738"/>
      <c r="V431" s="739">
        <v>419</v>
      </c>
      <c r="W431" s="737"/>
      <c r="X431" s="737">
        <v>1150</v>
      </c>
      <c r="Y431" s="737">
        <v>904</v>
      </c>
      <c r="Z431" s="1202">
        <v>50</v>
      </c>
      <c r="AA431" s="740"/>
      <c r="AB431" s="739"/>
      <c r="AC431" s="741"/>
      <c r="AD431" s="741">
        <v>231</v>
      </c>
      <c r="AE431" s="741">
        <v>200</v>
      </c>
      <c r="AF431" s="741">
        <v>82</v>
      </c>
      <c r="AG431" s="741"/>
      <c r="AH431" s="741">
        <v>1192</v>
      </c>
      <c r="AI431" s="741">
        <v>301</v>
      </c>
      <c r="AJ431" s="741"/>
      <c r="AK431" s="741"/>
      <c r="AL431" s="741">
        <v>137</v>
      </c>
      <c r="AM431" s="742">
        <v>2160</v>
      </c>
      <c r="AN431" s="743">
        <f t="shared" si="22"/>
        <v>0.78907428006426905</v>
      </c>
      <c r="AO431" s="744">
        <f t="shared" si="23"/>
        <v>0.92165627996164912</v>
      </c>
      <c r="AP431" s="745">
        <f>'09월 에너지'!S433</f>
        <v>145.1</v>
      </c>
    </row>
    <row r="432" spans="1:42" ht="16.5" customHeight="1">
      <c r="A432" s="999">
        <f>'09월 조업일지'!A432</f>
        <v>46281</v>
      </c>
      <c r="B432" s="1100">
        <f>'09월 조업일지'!B432</f>
        <v>46281</v>
      </c>
      <c r="C432" s="730">
        <f>'09월 조업일지'!G432</f>
        <v>85634</v>
      </c>
      <c r="D432" s="731" t="str">
        <f>'09월 조업일지'!E432</f>
        <v>B</v>
      </c>
      <c r="E432" s="732" t="str">
        <f>'09월 조업일지'!F432</f>
        <v>B</v>
      </c>
      <c r="F432" s="1096" t="str">
        <f>'09월 에너지'!F434</f>
        <v>AS500N(QTB.C10)</v>
      </c>
      <c r="G432" s="733">
        <v>11</v>
      </c>
      <c r="H432" s="734">
        <v>27</v>
      </c>
      <c r="I432" s="734">
        <v>77</v>
      </c>
      <c r="J432" s="734">
        <v>21</v>
      </c>
      <c r="K432" s="735">
        <v>46</v>
      </c>
      <c r="L432" s="734">
        <v>13</v>
      </c>
      <c r="M432" s="736">
        <v>11</v>
      </c>
      <c r="N432" s="737">
        <v>417</v>
      </c>
      <c r="O432" s="737"/>
      <c r="P432" s="737">
        <v>1151</v>
      </c>
      <c r="Q432" s="737">
        <v>951</v>
      </c>
      <c r="R432" s="737"/>
      <c r="S432" s="737"/>
      <c r="T432" s="737">
        <v>49</v>
      </c>
      <c r="U432" s="738"/>
      <c r="V432" s="739">
        <v>413</v>
      </c>
      <c r="W432" s="737"/>
      <c r="X432" s="737">
        <v>1150</v>
      </c>
      <c r="Y432" s="737">
        <v>901</v>
      </c>
      <c r="Z432" s="1202">
        <v>45</v>
      </c>
      <c r="AA432" s="740"/>
      <c r="AB432" s="739"/>
      <c r="AC432" s="741"/>
      <c r="AD432" s="741">
        <v>230</v>
      </c>
      <c r="AE432" s="741">
        <v>200</v>
      </c>
      <c r="AF432" s="741">
        <v>81</v>
      </c>
      <c r="AG432" s="741"/>
      <c r="AH432" s="741">
        <v>1202</v>
      </c>
      <c r="AI432" s="741">
        <v>299</v>
      </c>
      <c r="AJ432" s="741"/>
      <c r="AK432" s="741"/>
      <c r="AL432" s="741">
        <v>142</v>
      </c>
      <c r="AM432" s="742">
        <v>2183</v>
      </c>
      <c r="AN432" s="743">
        <f t="shared" si="22"/>
        <v>0.96440489432703014</v>
      </c>
      <c r="AO432" s="744">
        <f t="shared" si="23"/>
        <v>1.0647729973853102</v>
      </c>
      <c r="AP432" s="745">
        <f>'09월 에너지'!S434</f>
        <v>144.5</v>
      </c>
    </row>
    <row r="433" spans="1:42" ht="16.5" customHeight="1">
      <c r="A433" s="999">
        <f>'09월 조업일지'!A433</f>
        <v>46281</v>
      </c>
      <c r="B433" s="1100">
        <f>'09월 조업일지'!B433</f>
        <v>46281</v>
      </c>
      <c r="C433" s="730">
        <f>'09월 조업일지'!G433</f>
        <v>85635</v>
      </c>
      <c r="D433" s="731" t="str">
        <f>'09월 조업일지'!E433</f>
        <v>B</v>
      </c>
      <c r="E433" s="732" t="str">
        <f>'09월 조업일지'!F433</f>
        <v>A</v>
      </c>
      <c r="F433" s="1096" t="str">
        <f>'09월 에너지'!F435</f>
        <v>AS500N(QTB.C10)</v>
      </c>
      <c r="G433" s="733">
        <v>5</v>
      </c>
      <c r="H433" s="734">
        <v>10</v>
      </c>
      <c r="I433" s="734">
        <v>38</v>
      </c>
      <c r="J433" s="734">
        <v>12</v>
      </c>
      <c r="K433" s="735">
        <v>25</v>
      </c>
      <c r="L433" s="734">
        <v>12</v>
      </c>
      <c r="M433" s="736">
        <v>14</v>
      </c>
      <c r="N433" s="737">
        <v>722</v>
      </c>
      <c r="O433" s="737"/>
      <c r="P433" s="737">
        <v>1100</v>
      </c>
      <c r="Q433" s="737">
        <v>1054</v>
      </c>
      <c r="R433" s="737"/>
      <c r="S433" s="737"/>
      <c r="T433" s="737">
        <v>61</v>
      </c>
      <c r="U433" s="738"/>
      <c r="V433" s="739">
        <v>613</v>
      </c>
      <c r="W433" s="737"/>
      <c r="X433" s="737">
        <v>1100</v>
      </c>
      <c r="Y433" s="737">
        <v>1059</v>
      </c>
      <c r="Z433" s="1202">
        <v>67</v>
      </c>
      <c r="AA433" s="740"/>
      <c r="AB433" s="739"/>
      <c r="AC433" s="741"/>
      <c r="AD433" s="741">
        <v>250</v>
      </c>
      <c r="AE433" s="741">
        <v>320</v>
      </c>
      <c r="AF433" s="741"/>
      <c r="AG433" s="741"/>
      <c r="AH433" s="741">
        <v>746</v>
      </c>
      <c r="AI433" s="741">
        <v>271</v>
      </c>
      <c r="AJ433" s="741"/>
      <c r="AK433" s="741"/>
      <c r="AL433" s="741"/>
      <c r="AM433" s="742">
        <v>3812</v>
      </c>
      <c r="AN433" s="743">
        <f t="shared" si="22"/>
        <v>0.42329049658892598</v>
      </c>
      <c r="AO433" s="744">
        <f t="shared" si="23"/>
        <v>0.58755266181539645</v>
      </c>
      <c r="AP433" s="745">
        <f>'09월 에너지'!S435</f>
        <v>133.4</v>
      </c>
    </row>
    <row r="434" spans="1:42" ht="16.5" customHeight="1">
      <c r="A434" s="999">
        <f>'09월 조업일지'!A434</f>
        <v>46281</v>
      </c>
      <c r="B434" s="1100">
        <f>'09월 조업일지'!B434</f>
        <v>46281</v>
      </c>
      <c r="C434" s="730">
        <f>'09월 조업일지'!G434</f>
        <v>85636</v>
      </c>
      <c r="D434" s="731" t="str">
        <f>'09월 조업일지'!E434</f>
        <v>B</v>
      </c>
      <c r="E434" s="732" t="str">
        <f>'09월 조업일지'!F434</f>
        <v>B</v>
      </c>
      <c r="F434" s="1096" t="str">
        <f>'09월 에너지'!F436</f>
        <v>AS500N(QTB.C10)</v>
      </c>
      <c r="G434" s="733">
        <v>9</v>
      </c>
      <c r="H434" s="734">
        <v>21</v>
      </c>
      <c r="I434" s="734">
        <v>66</v>
      </c>
      <c r="J434" s="734">
        <v>14</v>
      </c>
      <c r="K434" s="735">
        <v>34</v>
      </c>
      <c r="L434" s="734">
        <v>12</v>
      </c>
      <c r="M434" s="736">
        <v>9</v>
      </c>
      <c r="N434" s="737">
        <v>414</v>
      </c>
      <c r="O434" s="737"/>
      <c r="P434" s="737">
        <v>1150</v>
      </c>
      <c r="Q434" s="737">
        <v>954</v>
      </c>
      <c r="R434" s="737"/>
      <c r="S434" s="737"/>
      <c r="T434" s="737">
        <v>51</v>
      </c>
      <c r="U434" s="738"/>
      <c r="V434" s="739">
        <v>419</v>
      </c>
      <c r="W434" s="737"/>
      <c r="X434" s="737">
        <v>1150</v>
      </c>
      <c r="Y434" s="737">
        <v>901</v>
      </c>
      <c r="Z434" s="1202">
        <v>41</v>
      </c>
      <c r="AA434" s="740"/>
      <c r="AB434" s="739"/>
      <c r="AC434" s="741"/>
      <c r="AD434" s="741">
        <v>230</v>
      </c>
      <c r="AE434" s="741">
        <v>200</v>
      </c>
      <c r="AF434" s="741">
        <v>75</v>
      </c>
      <c r="AG434" s="741"/>
      <c r="AH434" s="741">
        <v>1200</v>
      </c>
      <c r="AI434" s="741">
        <v>294</v>
      </c>
      <c r="AJ434" s="741"/>
      <c r="AK434" s="741"/>
      <c r="AL434" s="741">
        <v>140</v>
      </c>
      <c r="AM434" s="742">
        <v>2552</v>
      </c>
      <c r="AN434" s="743">
        <f t="shared" si="22"/>
        <v>0.75138576779026223</v>
      </c>
      <c r="AO434" s="744">
        <f t="shared" si="23"/>
        <v>0.87003571428571436</v>
      </c>
      <c r="AP434" s="745">
        <f>'09월 에너지'!S436</f>
        <v>143.30000000000001</v>
      </c>
    </row>
    <row r="435" spans="1:42" ht="16.5" customHeight="1">
      <c r="A435" s="999">
        <f>'09월 조업일지'!A435</f>
        <v>46281</v>
      </c>
      <c r="B435" s="1100">
        <f>'09월 조업일지'!B435</f>
        <v>46281</v>
      </c>
      <c r="C435" s="730">
        <f>'09월 조업일지'!G435</f>
        <v>85637</v>
      </c>
      <c r="D435" s="731" t="str">
        <f>'09월 조업일지'!E435</f>
        <v>B</v>
      </c>
      <c r="E435" s="732" t="str">
        <f>'09월 조업일지'!F435</f>
        <v>A</v>
      </c>
      <c r="F435" s="1096" t="str">
        <f>'09월 에너지'!F437</f>
        <v>AS500N(QTB.C10)</v>
      </c>
      <c r="G435" s="733">
        <v>7</v>
      </c>
      <c r="H435" s="734">
        <v>11</v>
      </c>
      <c r="I435" s="734">
        <v>59</v>
      </c>
      <c r="J435" s="734">
        <v>13</v>
      </c>
      <c r="K435" s="735">
        <v>34</v>
      </c>
      <c r="L435" s="734">
        <v>10</v>
      </c>
      <c r="M435" s="736">
        <v>9</v>
      </c>
      <c r="N435" s="737">
        <v>417</v>
      </c>
      <c r="O435" s="737"/>
      <c r="P435" s="737">
        <v>1152</v>
      </c>
      <c r="Q435" s="737">
        <v>953</v>
      </c>
      <c r="R435" s="737"/>
      <c r="S435" s="737"/>
      <c r="T435" s="737">
        <v>51</v>
      </c>
      <c r="U435" s="738"/>
      <c r="V435" s="739">
        <v>420</v>
      </c>
      <c r="W435" s="737"/>
      <c r="X435" s="737">
        <v>1150</v>
      </c>
      <c r="Y435" s="737">
        <v>903</v>
      </c>
      <c r="Z435" s="1202">
        <v>47</v>
      </c>
      <c r="AA435" s="740"/>
      <c r="AB435" s="739"/>
      <c r="AC435" s="741"/>
      <c r="AD435" s="741">
        <v>231</v>
      </c>
      <c r="AE435" s="741">
        <v>200</v>
      </c>
      <c r="AF435" s="741">
        <v>74</v>
      </c>
      <c r="AG435" s="741"/>
      <c r="AH435" s="741">
        <v>1197</v>
      </c>
      <c r="AI435" s="741">
        <v>302</v>
      </c>
      <c r="AJ435" s="741"/>
      <c r="AK435" s="741"/>
      <c r="AL435" s="741">
        <v>149</v>
      </c>
      <c r="AM435" s="742">
        <v>2172</v>
      </c>
      <c r="AN435" s="743">
        <f t="shared" si="22"/>
        <v>0.39362147518778484</v>
      </c>
      <c r="AO435" s="744">
        <f t="shared" si="23"/>
        <v>0.76300274495763221</v>
      </c>
      <c r="AP435" s="745">
        <f>'09월 에너지'!S437</f>
        <v>145.30000000000001</v>
      </c>
    </row>
    <row r="436" spans="1:42" ht="16.5" customHeight="1">
      <c r="A436" s="999">
        <f>'09월 조업일지'!A436</f>
        <v>46281</v>
      </c>
      <c r="B436" s="1100">
        <f>'09월 조업일지'!B436</f>
        <v>46281</v>
      </c>
      <c r="C436" s="730">
        <f>'09월 조업일지'!G436</f>
        <v>85638</v>
      </c>
      <c r="D436" s="731" t="str">
        <f>'09월 조업일지'!E436</f>
        <v>B</v>
      </c>
      <c r="E436" s="732" t="str">
        <f>'09월 조업일지'!F436</f>
        <v>B</v>
      </c>
      <c r="F436" s="1231" t="str">
        <f>'09월 에너지'!F438</f>
        <v>SS275[CS공장]</v>
      </c>
      <c r="G436" s="733">
        <v>11</v>
      </c>
      <c r="H436" s="734">
        <v>26</v>
      </c>
      <c r="I436" s="734">
        <v>61</v>
      </c>
      <c r="J436" s="734">
        <v>21</v>
      </c>
      <c r="K436" s="735">
        <v>33</v>
      </c>
      <c r="L436" s="734">
        <v>14</v>
      </c>
      <c r="M436" s="736">
        <v>9</v>
      </c>
      <c r="N436" s="737">
        <v>417</v>
      </c>
      <c r="O436" s="737"/>
      <c r="P436" s="737">
        <v>1000</v>
      </c>
      <c r="Q436" s="737">
        <v>959</v>
      </c>
      <c r="R436" s="737"/>
      <c r="S436" s="737"/>
      <c r="T436" s="737">
        <v>45</v>
      </c>
      <c r="U436" s="738"/>
      <c r="V436" s="739">
        <v>414</v>
      </c>
      <c r="W436" s="737"/>
      <c r="X436" s="737">
        <v>1000</v>
      </c>
      <c r="Y436" s="737">
        <v>910</v>
      </c>
      <c r="Z436" s="1202">
        <v>48</v>
      </c>
      <c r="AA436" s="740"/>
      <c r="AB436" s="739"/>
      <c r="AC436" s="741"/>
      <c r="AD436" s="741">
        <v>281</v>
      </c>
      <c r="AE436" s="741">
        <v>330</v>
      </c>
      <c r="AF436" s="741">
        <v>94</v>
      </c>
      <c r="AG436" s="741"/>
      <c r="AH436" s="741">
        <v>900</v>
      </c>
      <c r="AI436" s="741">
        <v>331</v>
      </c>
      <c r="AJ436" s="741"/>
      <c r="AK436" s="741">
        <v>106</v>
      </c>
      <c r="AL436" s="741">
        <v>117</v>
      </c>
      <c r="AM436" s="742">
        <v>2342</v>
      </c>
      <c r="AN436" s="743">
        <f t="shared" si="22"/>
        <v>0.83786505538771394</v>
      </c>
      <c r="AO436" s="744">
        <f t="shared" si="23"/>
        <v>1.0514285714285714</v>
      </c>
      <c r="AP436" s="745">
        <f>'09월 에너지'!S438</f>
        <v>144</v>
      </c>
    </row>
    <row r="437" spans="1:42" ht="16.5" customHeight="1">
      <c r="A437" s="999">
        <f>'09월 조업일지'!A437</f>
        <v>46281</v>
      </c>
      <c r="B437" s="1100">
        <f>'09월 조업일지'!B437</f>
        <v>46281</v>
      </c>
      <c r="C437" s="730">
        <f>'09월 조업일지'!G437</f>
        <v>85639</v>
      </c>
      <c r="D437" s="731" t="str">
        <f>'09월 조업일지'!E437</f>
        <v>B</v>
      </c>
      <c r="E437" s="732" t="str">
        <f>'09월 조업일지'!F437</f>
        <v>A</v>
      </c>
      <c r="F437" s="1096" t="str">
        <f>'09월 에너지'!F439</f>
        <v>SS275[CS공장]</v>
      </c>
      <c r="G437" s="733">
        <v>7</v>
      </c>
      <c r="H437" s="734">
        <v>13</v>
      </c>
      <c r="I437" s="734">
        <v>41</v>
      </c>
      <c r="J437" s="734">
        <v>13</v>
      </c>
      <c r="K437" s="735">
        <v>30</v>
      </c>
      <c r="L437" s="734">
        <v>15</v>
      </c>
      <c r="M437" s="736">
        <v>12</v>
      </c>
      <c r="N437" s="737">
        <v>419</v>
      </c>
      <c r="O437" s="737"/>
      <c r="P437" s="737">
        <v>1001</v>
      </c>
      <c r="Q437" s="737">
        <v>953</v>
      </c>
      <c r="R437" s="737"/>
      <c r="S437" s="737"/>
      <c r="T437" s="737">
        <v>49</v>
      </c>
      <c r="U437" s="738"/>
      <c r="V437" s="739">
        <v>412</v>
      </c>
      <c r="W437" s="737"/>
      <c r="X437" s="737">
        <v>1001</v>
      </c>
      <c r="Y437" s="737">
        <v>905</v>
      </c>
      <c r="Z437" s="1202">
        <v>46</v>
      </c>
      <c r="AA437" s="740"/>
      <c r="AB437" s="739"/>
      <c r="AC437" s="741"/>
      <c r="AD437" s="741">
        <v>280</v>
      </c>
      <c r="AE437" s="741">
        <v>330</v>
      </c>
      <c r="AF437" s="741">
        <v>97</v>
      </c>
      <c r="AG437" s="741"/>
      <c r="AH437" s="741">
        <v>891</v>
      </c>
      <c r="AI437" s="741">
        <v>334</v>
      </c>
      <c r="AJ437" s="741"/>
      <c r="AK437" s="741">
        <v>114</v>
      </c>
      <c r="AL437" s="741">
        <v>127</v>
      </c>
      <c r="AM437" s="742">
        <v>2641</v>
      </c>
      <c r="AN437" s="743">
        <f t="shared" si="22"/>
        <v>0.41451773284719923</v>
      </c>
      <c r="AO437" s="744">
        <f t="shared" si="23"/>
        <v>0.6015392015392016</v>
      </c>
      <c r="AP437" s="745">
        <f>'09월 에너지'!S439</f>
        <v>144.30000000000001</v>
      </c>
    </row>
    <row r="438" spans="1:42" ht="16.5" customHeight="1">
      <c r="A438" s="999">
        <f>'09월 조업일지'!A438</f>
        <v>46281</v>
      </c>
      <c r="B438" s="1100">
        <f>'09월 조업일지'!B438</f>
        <v>46281</v>
      </c>
      <c r="C438" s="730">
        <f>'09월 조업일지'!G438</f>
        <v>85640</v>
      </c>
      <c r="D438" s="731" t="str">
        <f>'09월 조업일지'!E438</f>
        <v>C</v>
      </c>
      <c r="E438" s="732" t="str">
        <f>'09월 조업일지'!F438</f>
        <v>B</v>
      </c>
      <c r="F438" s="1096" t="str">
        <f>'09월 에너지'!F440</f>
        <v>SS275[CS공장]</v>
      </c>
      <c r="G438" s="733">
        <v>8</v>
      </c>
      <c r="H438" s="734">
        <v>21</v>
      </c>
      <c r="I438" s="734">
        <v>57</v>
      </c>
      <c r="J438" s="734">
        <v>17</v>
      </c>
      <c r="K438" s="735">
        <v>35</v>
      </c>
      <c r="L438" s="734">
        <v>13</v>
      </c>
      <c r="M438" s="736">
        <v>8</v>
      </c>
      <c r="N438" s="737">
        <v>417</v>
      </c>
      <c r="O438" s="737"/>
      <c r="P438" s="737">
        <v>1001</v>
      </c>
      <c r="Q438" s="737">
        <v>953</v>
      </c>
      <c r="R438" s="737"/>
      <c r="S438" s="737"/>
      <c r="T438" s="737">
        <v>53</v>
      </c>
      <c r="U438" s="738"/>
      <c r="V438" s="739">
        <v>418</v>
      </c>
      <c r="W438" s="737"/>
      <c r="X438" s="737">
        <v>1000</v>
      </c>
      <c r="Y438" s="737">
        <v>904</v>
      </c>
      <c r="Z438" s="1202">
        <v>43</v>
      </c>
      <c r="AA438" s="740"/>
      <c r="AB438" s="739"/>
      <c r="AC438" s="741"/>
      <c r="AD438" s="741">
        <v>281</v>
      </c>
      <c r="AE438" s="741">
        <v>331</v>
      </c>
      <c r="AF438" s="741">
        <v>96</v>
      </c>
      <c r="AG438" s="741"/>
      <c r="AH438" s="741">
        <v>902</v>
      </c>
      <c r="AI438" s="741">
        <v>326</v>
      </c>
      <c r="AJ438" s="741"/>
      <c r="AK438" s="741">
        <v>105</v>
      </c>
      <c r="AL438" s="741">
        <v>113</v>
      </c>
      <c r="AM438" s="742">
        <v>2543</v>
      </c>
      <c r="AN438" s="743">
        <f t="shared" si="22"/>
        <v>0.68197831978319789</v>
      </c>
      <c r="AO438" s="744">
        <f t="shared" si="23"/>
        <v>0.95654101995565421</v>
      </c>
      <c r="AP438" s="745">
        <f>'09월 에너지'!S440</f>
        <v>143.80000000000001</v>
      </c>
    </row>
    <row r="439" spans="1:42" ht="16.5" customHeight="1">
      <c r="A439" s="999">
        <f>'09월 조업일지'!A439</f>
        <v>46281</v>
      </c>
      <c r="B439" s="1100">
        <f>'09월 조업일지'!B439</f>
        <v>46281</v>
      </c>
      <c r="C439" s="730">
        <f>'09월 조업일지'!G439</f>
        <v>85641</v>
      </c>
      <c r="D439" s="731" t="str">
        <f>'09월 조업일지'!E439</f>
        <v>C</v>
      </c>
      <c r="E439" s="732" t="str">
        <f>'09월 조업일지'!F439</f>
        <v>A</v>
      </c>
      <c r="F439" s="1096" t="str">
        <f>'09월 에너지'!F441</f>
        <v>SS275[CS공장]</v>
      </c>
      <c r="G439" s="733">
        <v>8</v>
      </c>
      <c r="H439" s="734">
        <v>14</v>
      </c>
      <c r="I439" s="734">
        <v>51</v>
      </c>
      <c r="J439" s="734">
        <v>14</v>
      </c>
      <c r="K439" s="735">
        <v>37</v>
      </c>
      <c r="L439" s="734">
        <v>19</v>
      </c>
      <c r="M439" s="736">
        <v>13</v>
      </c>
      <c r="N439" s="737">
        <v>413</v>
      </c>
      <c r="O439" s="737"/>
      <c r="P439" s="737">
        <v>999</v>
      </c>
      <c r="Q439" s="737">
        <v>951</v>
      </c>
      <c r="R439" s="737"/>
      <c r="S439" s="737"/>
      <c r="T439" s="737">
        <v>48</v>
      </c>
      <c r="U439" s="738"/>
      <c r="V439" s="739">
        <v>415</v>
      </c>
      <c r="W439" s="737"/>
      <c r="X439" s="737">
        <v>1000</v>
      </c>
      <c r="Y439" s="737">
        <v>911</v>
      </c>
      <c r="Z439" s="1202">
        <v>48</v>
      </c>
      <c r="AA439" s="740"/>
      <c r="AB439" s="739"/>
      <c r="AC439" s="741"/>
      <c r="AD439" s="741">
        <v>280</v>
      </c>
      <c r="AE439" s="741">
        <v>330</v>
      </c>
      <c r="AF439" s="741">
        <v>98</v>
      </c>
      <c r="AG439" s="741"/>
      <c r="AH439" s="741">
        <v>893</v>
      </c>
      <c r="AI439" s="741">
        <v>330</v>
      </c>
      <c r="AJ439" s="741"/>
      <c r="AK439" s="741">
        <v>109</v>
      </c>
      <c r="AL439" s="741">
        <v>128</v>
      </c>
      <c r="AM439" s="742">
        <v>2223</v>
      </c>
      <c r="AN439" s="743">
        <f t="shared" si="22"/>
        <v>0.44583193465368698</v>
      </c>
      <c r="AO439" s="744">
        <f t="shared" si="23"/>
        <v>0.81951687729963218</v>
      </c>
      <c r="AP439" s="745">
        <f>'09월 에너지'!S441</f>
        <v>142.30000000000001</v>
      </c>
    </row>
    <row r="440" spans="1:42" ht="16.5" customHeight="1">
      <c r="A440" s="999">
        <f>'09월 조업일지'!A440</f>
        <v>46281</v>
      </c>
      <c r="B440" s="1100">
        <f>'09월 조업일지'!B440</f>
        <v>46281</v>
      </c>
      <c r="C440" s="730">
        <f>'09월 조업일지'!G440</f>
        <v>85642</v>
      </c>
      <c r="D440" s="731" t="str">
        <f>'09월 조업일지'!E440</f>
        <v>C</v>
      </c>
      <c r="E440" s="732" t="str">
        <f>'09월 조업일지'!F440</f>
        <v>B</v>
      </c>
      <c r="F440" s="1096" t="str">
        <f>'09월 에너지'!F442</f>
        <v>SS275[CS공장]</v>
      </c>
      <c r="G440" s="733">
        <v>9</v>
      </c>
      <c r="H440" s="734">
        <v>21</v>
      </c>
      <c r="I440" s="734">
        <v>53</v>
      </c>
      <c r="J440" s="734">
        <v>27</v>
      </c>
      <c r="K440" s="735">
        <v>40</v>
      </c>
      <c r="L440" s="734">
        <v>16</v>
      </c>
      <c r="M440" s="736">
        <v>11</v>
      </c>
      <c r="N440" s="737">
        <v>412</v>
      </c>
      <c r="O440" s="737"/>
      <c r="P440" s="737">
        <v>1001</v>
      </c>
      <c r="Q440" s="737">
        <v>957</v>
      </c>
      <c r="R440" s="737"/>
      <c r="S440" s="737"/>
      <c r="T440" s="737">
        <v>49</v>
      </c>
      <c r="U440" s="738"/>
      <c r="V440" s="739">
        <v>419</v>
      </c>
      <c r="W440" s="737"/>
      <c r="X440" s="737">
        <v>1001</v>
      </c>
      <c r="Y440" s="737">
        <v>903</v>
      </c>
      <c r="Z440" s="1202">
        <v>42</v>
      </c>
      <c r="AA440" s="740"/>
      <c r="AB440" s="739"/>
      <c r="AC440" s="741"/>
      <c r="AD440" s="741">
        <v>280</v>
      </c>
      <c r="AE440" s="741">
        <v>330</v>
      </c>
      <c r="AF440" s="741">
        <v>92</v>
      </c>
      <c r="AG440" s="741"/>
      <c r="AH440" s="741">
        <v>900</v>
      </c>
      <c r="AI440" s="741">
        <v>334</v>
      </c>
      <c r="AJ440" s="741"/>
      <c r="AK440" s="741">
        <v>106</v>
      </c>
      <c r="AL440" s="741">
        <v>122</v>
      </c>
      <c r="AM440" s="742">
        <v>2703</v>
      </c>
      <c r="AN440" s="743">
        <f t="shared" si="22"/>
        <v>0.66726786907147628</v>
      </c>
      <c r="AO440" s="744">
        <f t="shared" si="23"/>
        <v>0.86073015873015868</v>
      </c>
      <c r="AP440" s="745">
        <f>'09월 에너지'!S442</f>
        <v>142.69999999999999</v>
      </c>
    </row>
    <row r="441" spans="1:42" ht="16.5" customHeight="1">
      <c r="A441" s="999">
        <f>'09월 조업일지'!A441</f>
        <v>46281</v>
      </c>
      <c r="B441" s="1100">
        <f>'09월 조업일지'!B441</f>
        <v>46281</v>
      </c>
      <c r="C441" s="730">
        <f>'09월 조업일지'!G441</f>
        <v>85643</v>
      </c>
      <c r="D441" s="731" t="str">
        <f>'09월 조업일지'!E441</f>
        <v>C</v>
      </c>
      <c r="E441" s="732" t="str">
        <f>'09월 조업일지'!F441</f>
        <v>A</v>
      </c>
      <c r="F441" s="1096" t="str">
        <f>'09월 에너지'!F443</f>
        <v>SS275[CS공장]</v>
      </c>
      <c r="G441" s="733">
        <v>9</v>
      </c>
      <c r="H441" s="734">
        <v>21</v>
      </c>
      <c r="I441" s="734">
        <v>56</v>
      </c>
      <c r="J441" s="734">
        <v>22</v>
      </c>
      <c r="K441" s="735">
        <v>35</v>
      </c>
      <c r="L441" s="734">
        <v>19</v>
      </c>
      <c r="M441" s="736">
        <v>11</v>
      </c>
      <c r="N441" s="737">
        <v>421</v>
      </c>
      <c r="O441" s="737"/>
      <c r="P441" s="737">
        <v>1000</v>
      </c>
      <c r="Q441" s="737">
        <v>955</v>
      </c>
      <c r="R441" s="737"/>
      <c r="S441" s="737"/>
      <c r="T441" s="737">
        <v>45</v>
      </c>
      <c r="U441" s="738"/>
      <c r="V441" s="739">
        <v>414</v>
      </c>
      <c r="W441" s="737"/>
      <c r="X441" s="737">
        <v>1002</v>
      </c>
      <c r="Y441" s="737">
        <v>905</v>
      </c>
      <c r="Z441" s="1202">
        <v>48</v>
      </c>
      <c r="AA441" s="740"/>
      <c r="AB441" s="739"/>
      <c r="AC441" s="741"/>
      <c r="AD441" s="741">
        <v>293</v>
      </c>
      <c r="AE441" s="741">
        <v>330</v>
      </c>
      <c r="AF441" s="741">
        <v>89</v>
      </c>
      <c r="AG441" s="741"/>
      <c r="AH441" s="741">
        <v>900</v>
      </c>
      <c r="AI441" s="741">
        <v>327</v>
      </c>
      <c r="AJ441" s="741"/>
      <c r="AK441" s="741">
        <v>108</v>
      </c>
      <c r="AL441" s="741">
        <v>113</v>
      </c>
      <c r="AM441" s="742">
        <v>2113</v>
      </c>
      <c r="AN441" s="743">
        <f t="shared" si="22"/>
        <v>0.6686215032018874</v>
      </c>
      <c r="AO441" s="744">
        <f t="shared" si="23"/>
        <v>0.9221746031746032</v>
      </c>
      <c r="AP441" s="745">
        <f>'09월 에너지'!S443</f>
        <v>141.69999999999999</v>
      </c>
    </row>
    <row r="442" spans="1:42" ht="16.5" customHeight="1">
      <c r="A442" s="999">
        <f>'09월 조업일지'!A442</f>
        <v>46281</v>
      </c>
      <c r="B442" s="1100">
        <f>'09월 조업일지'!B442</f>
        <v>46281</v>
      </c>
      <c r="C442" s="730">
        <f>'09월 조업일지'!G442</f>
        <v>85644</v>
      </c>
      <c r="D442" s="731" t="str">
        <f>'09월 조업일지'!E442</f>
        <v>C</v>
      </c>
      <c r="E442" s="732" t="str">
        <f>'09월 조업일지'!F442</f>
        <v>B</v>
      </c>
      <c r="F442" s="1096" t="str">
        <f>'09월 에너지'!F444</f>
        <v>SS275[CS공장]</v>
      </c>
      <c r="G442" s="733">
        <v>10</v>
      </c>
      <c r="H442" s="734">
        <v>22</v>
      </c>
      <c r="I442" s="734">
        <v>58</v>
      </c>
      <c r="J442" s="734">
        <v>20</v>
      </c>
      <c r="K442" s="735">
        <v>45</v>
      </c>
      <c r="L442" s="734">
        <v>12</v>
      </c>
      <c r="M442" s="736">
        <v>11</v>
      </c>
      <c r="N442" s="737">
        <v>415</v>
      </c>
      <c r="O442" s="737"/>
      <c r="P442" s="737">
        <v>1011</v>
      </c>
      <c r="Q442" s="737">
        <v>953</v>
      </c>
      <c r="R442" s="737"/>
      <c r="S442" s="737"/>
      <c r="T442" s="737">
        <v>50</v>
      </c>
      <c r="U442" s="738"/>
      <c r="V442" s="739"/>
      <c r="W442" s="737"/>
      <c r="X442" s="737">
        <v>1008</v>
      </c>
      <c r="Y442" s="737">
        <v>902</v>
      </c>
      <c r="Z442" s="1202">
        <v>44</v>
      </c>
      <c r="AA442" s="740"/>
      <c r="AB442" s="739"/>
      <c r="AC442" s="741"/>
      <c r="AD442" s="741">
        <v>298</v>
      </c>
      <c r="AE442" s="741">
        <v>330</v>
      </c>
      <c r="AF442" s="741">
        <v>93</v>
      </c>
      <c r="AG442" s="741"/>
      <c r="AH442" s="741">
        <v>897</v>
      </c>
      <c r="AI442" s="741">
        <v>322</v>
      </c>
      <c r="AJ442" s="741"/>
      <c r="AK442" s="741">
        <v>103</v>
      </c>
      <c r="AL442" s="741">
        <v>116</v>
      </c>
      <c r="AM442" s="742">
        <v>1506</v>
      </c>
      <c r="AN442" s="743">
        <f t="shared" si="22"/>
        <v>0.72705264359940613</v>
      </c>
      <c r="AO442" s="744">
        <f t="shared" si="23"/>
        <v>0.99093804745978664</v>
      </c>
      <c r="AP442" s="745">
        <f>'09월 에너지'!S444</f>
        <v>144.69999999999999</v>
      </c>
    </row>
    <row r="443" spans="1:42" ht="16.5" customHeight="1">
      <c r="A443" s="999">
        <f>'09월 조업일지'!A443</f>
        <v>46281</v>
      </c>
      <c r="B443" s="1100">
        <f>'09월 조업일지'!B443</f>
        <v>46281</v>
      </c>
      <c r="C443" s="730">
        <f>'09월 조업일지'!G443</f>
        <v>85645</v>
      </c>
      <c r="D443" s="731" t="str">
        <f>'09월 조업일지'!E443</f>
        <v>C</v>
      </c>
      <c r="E443" s="732" t="str">
        <f>'09월 조업일지'!F443</f>
        <v>A</v>
      </c>
      <c r="F443" s="1096" t="str">
        <f>'09월 에너지'!F445</f>
        <v>SS275[CS공장]</v>
      </c>
      <c r="G443" s="733">
        <v>10</v>
      </c>
      <c r="H443" s="734">
        <v>22</v>
      </c>
      <c r="I443" s="734">
        <v>58</v>
      </c>
      <c r="J443" s="734">
        <v>21</v>
      </c>
      <c r="K443" s="735">
        <v>31</v>
      </c>
      <c r="L443" s="734">
        <v>17</v>
      </c>
      <c r="M443" s="736">
        <v>12</v>
      </c>
      <c r="N443" s="737">
        <v>420</v>
      </c>
      <c r="O443" s="737"/>
      <c r="P443" s="737">
        <v>1014</v>
      </c>
      <c r="Q443" s="737">
        <v>952</v>
      </c>
      <c r="R443" s="737"/>
      <c r="S443" s="737"/>
      <c r="T443" s="737">
        <v>46</v>
      </c>
      <c r="U443" s="738"/>
      <c r="V443" s="739">
        <v>416</v>
      </c>
      <c r="W443" s="737"/>
      <c r="X443" s="737">
        <v>1014</v>
      </c>
      <c r="Y443" s="737">
        <v>903</v>
      </c>
      <c r="Z443" s="1202">
        <v>44</v>
      </c>
      <c r="AA443" s="740"/>
      <c r="AB443" s="739"/>
      <c r="AC443" s="741"/>
      <c r="AD443" s="741">
        <v>290</v>
      </c>
      <c r="AE443" s="741">
        <v>330</v>
      </c>
      <c r="AF443" s="741">
        <v>92</v>
      </c>
      <c r="AG443" s="741"/>
      <c r="AH443" s="741">
        <v>901</v>
      </c>
      <c r="AI443" s="741">
        <v>328</v>
      </c>
      <c r="AJ443" s="741"/>
      <c r="AK443" s="741">
        <v>105</v>
      </c>
      <c r="AL443" s="741">
        <v>118</v>
      </c>
      <c r="AM443" s="742">
        <v>1403</v>
      </c>
      <c r="AN443" s="743">
        <f t="shared" si="22"/>
        <v>0.71673984014409542</v>
      </c>
      <c r="AO443" s="744">
        <f t="shared" si="23"/>
        <v>0.9865387664499764</v>
      </c>
      <c r="AP443" s="745">
        <f>'09월 에너지'!S445</f>
        <v>144.69999999999999</v>
      </c>
    </row>
    <row r="444" spans="1:42" ht="16.5" customHeight="1">
      <c r="A444" s="999">
        <f>'09월 조업일지'!A444</f>
        <v>46282</v>
      </c>
      <c r="B444" s="1100">
        <f>'09월 조업일지'!B444</f>
        <v>46281</v>
      </c>
      <c r="C444" s="730">
        <f>'09월 조업일지'!G444</f>
        <v>85646</v>
      </c>
      <c r="D444" s="731" t="str">
        <f>'09월 조업일지'!E444</f>
        <v>C</v>
      </c>
      <c r="E444" s="732" t="str">
        <f>'09월 조업일지'!F444</f>
        <v>B</v>
      </c>
      <c r="F444" s="1096" t="str">
        <f>'09월 에너지'!F446</f>
        <v>SS275[CS공장]</v>
      </c>
      <c r="G444" s="733">
        <v>8</v>
      </c>
      <c r="H444" s="734">
        <v>16</v>
      </c>
      <c r="I444" s="734">
        <v>48</v>
      </c>
      <c r="J444" s="734">
        <v>12</v>
      </c>
      <c r="K444" s="735">
        <v>28</v>
      </c>
      <c r="L444" s="734">
        <v>13</v>
      </c>
      <c r="M444" s="736">
        <v>13</v>
      </c>
      <c r="N444" s="737">
        <v>417</v>
      </c>
      <c r="O444" s="737"/>
      <c r="P444" s="737">
        <v>1013</v>
      </c>
      <c r="Q444" s="737">
        <v>954</v>
      </c>
      <c r="R444" s="737"/>
      <c r="S444" s="737"/>
      <c r="T444" s="737">
        <v>49</v>
      </c>
      <c r="U444" s="738"/>
      <c r="V444" s="739">
        <v>418</v>
      </c>
      <c r="W444" s="737"/>
      <c r="X444" s="737">
        <v>1013</v>
      </c>
      <c r="Y444" s="737">
        <v>904</v>
      </c>
      <c r="Z444" s="1202">
        <v>47</v>
      </c>
      <c r="AA444" s="740"/>
      <c r="AB444" s="739"/>
      <c r="AC444" s="741"/>
      <c r="AD444" s="741">
        <v>290</v>
      </c>
      <c r="AE444" s="741">
        <v>330</v>
      </c>
      <c r="AF444" s="741">
        <v>90</v>
      </c>
      <c r="AG444" s="741"/>
      <c r="AH444" s="741">
        <v>900</v>
      </c>
      <c r="AI444" s="741">
        <v>325</v>
      </c>
      <c r="AJ444" s="741"/>
      <c r="AK444" s="741">
        <v>111</v>
      </c>
      <c r="AL444" s="741">
        <v>126</v>
      </c>
      <c r="AM444" s="742">
        <v>1368</v>
      </c>
      <c r="AN444" s="743">
        <f t="shared" si="22"/>
        <v>0.51519029976423036</v>
      </c>
      <c r="AO444" s="744">
        <f t="shared" si="23"/>
        <v>0.75114285714285722</v>
      </c>
      <c r="AP444" s="745">
        <f>'09월 에너지'!S446</f>
        <v>143.4</v>
      </c>
    </row>
    <row r="445" spans="1:42" ht="16.5" customHeight="1">
      <c r="A445" s="999">
        <f>'09월 조업일지'!A445</f>
        <v>46282</v>
      </c>
      <c r="B445" s="1100">
        <f>'09월 조업일지'!B445</f>
        <v>46281</v>
      </c>
      <c r="C445" s="730">
        <f>'09월 조업일지'!G445</f>
        <v>85647</v>
      </c>
      <c r="D445" s="731" t="str">
        <f>'09월 조업일지'!E445</f>
        <v>C</v>
      </c>
      <c r="E445" s="732" t="str">
        <f>'09월 조업일지'!F445</f>
        <v>A</v>
      </c>
      <c r="F445" s="1096" t="str">
        <f>'09월 에너지'!F447</f>
        <v>SS275[CS공장]</v>
      </c>
      <c r="G445" s="733">
        <v>11</v>
      </c>
      <c r="H445" s="734">
        <v>22</v>
      </c>
      <c r="I445" s="734">
        <v>58</v>
      </c>
      <c r="J445" s="734">
        <v>17</v>
      </c>
      <c r="K445" s="735">
        <v>34</v>
      </c>
      <c r="L445" s="734">
        <v>16</v>
      </c>
      <c r="M445" s="736">
        <v>12</v>
      </c>
      <c r="N445" s="737">
        <v>412</v>
      </c>
      <c r="O445" s="737"/>
      <c r="P445" s="737">
        <v>1008</v>
      </c>
      <c r="Q445" s="737">
        <v>951</v>
      </c>
      <c r="R445" s="737"/>
      <c r="S445" s="737"/>
      <c r="T445" s="737">
        <v>53</v>
      </c>
      <c r="U445" s="738"/>
      <c r="V445" s="739">
        <v>421</v>
      </c>
      <c r="W445" s="737"/>
      <c r="X445" s="737">
        <v>1016</v>
      </c>
      <c r="Y445" s="737">
        <v>903</v>
      </c>
      <c r="Z445" s="1202">
        <v>44</v>
      </c>
      <c r="AA445" s="740"/>
      <c r="AB445" s="739"/>
      <c r="AC445" s="741"/>
      <c r="AD445" s="741">
        <v>293</v>
      </c>
      <c r="AE445" s="741">
        <v>330</v>
      </c>
      <c r="AF445" s="741">
        <v>88</v>
      </c>
      <c r="AG445" s="741"/>
      <c r="AH445" s="741">
        <v>900</v>
      </c>
      <c r="AI445" s="741">
        <v>328</v>
      </c>
      <c r="AJ445" s="741"/>
      <c r="AK445" s="741">
        <v>103</v>
      </c>
      <c r="AL445" s="741">
        <v>115</v>
      </c>
      <c r="AM445" s="742">
        <v>1564</v>
      </c>
      <c r="AN445" s="743">
        <f t="shared" si="22"/>
        <v>0.7079945799457994</v>
      </c>
      <c r="AO445" s="744">
        <f t="shared" si="23"/>
        <v>0.97261904761904761</v>
      </c>
      <c r="AP445" s="745">
        <f>'09월 에너지'!S447</f>
        <v>142.5</v>
      </c>
    </row>
    <row r="446" spans="1:42" ht="16.5" customHeight="1">
      <c r="A446" s="999">
        <f>'09월 조업일지'!A446</f>
        <v>46282</v>
      </c>
      <c r="B446" s="1100">
        <f>'09월 조업일지'!B446</f>
        <v>46281</v>
      </c>
      <c r="C446" s="730">
        <f>'09월 조업일지'!G446</f>
        <v>85648</v>
      </c>
      <c r="D446" s="731" t="str">
        <f>'09월 조업일지'!E446</f>
        <v>C</v>
      </c>
      <c r="E446" s="732" t="str">
        <f>'09월 조업일지'!F446</f>
        <v>B</v>
      </c>
      <c r="F446" s="1096" t="str">
        <f>'09월 에너지'!F448</f>
        <v>SS275[CS공장]</v>
      </c>
      <c r="G446" s="733">
        <v>11</v>
      </c>
      <c r="H446" s="734">
        <v>19</v>
      </c>
      <c r="I446" s="734">
        <v>53</v>
      </c>
      <c r="J446" s="734">
        <v>17</v>
      </c>
      <c r="K446" s="735">
        <v>43</v>
      </c>
      <c r="L446" s="734">
        <v>13</v>
      </c>
      <c r="M446" s="736">
        <v>12</v>
      </c>
      <c r="N446" s="737">
        <v>418</v>
      </c>
      <c r="O446" s="737"/>
      <c r="P446" s="737">
        <v>1012</v>
      </c>
      <c r="Q446" s="737">
        <v>955</v>
      </c>
      <c r="R446" s="737"/>
      <c r="S446" s="737"/>
      <c r="T446" s="737">
        <v>47</v>
      </c>
      <c r="U446" s="738"/>
      <c r="V446" s="739">
        <v>417</v>
      </c>
      <c r="W446" s="737"/>
      <c r="X446" s="737">
        <v>1016</v>
      </c>
      <c r="Y446" s="737">
        <v>901</v>
      </c>
      <c r="Z446" s="1202">
        <v>39</v>
      </c>
      <c r="AA446" s="740"/>
      <c r="AB446" s="739"/>
      <c r="AC446" s="741"/>
      <c r="AD446" s="741">
        <v>290</v>
      </c>
      <c r="AE446" s="741">
        <v>330</v>
      </c>
      <c r="AF446" s="741">
        <v>92</v>
      </c>
      <c r="AG446" s="741"/>
      <c r="AH446" s="741">
        <v>901</v>
      </c>
      <c r="AI446" s="741">
        <v>336</v>
      </c>
      <c r="AJ446" s="741"/>
      <c r="AK446" s="741">
        <v>103</v>
      </c>
      <c r="AL446" s="741">
        <v>125</v>
      </c>
      <c r="AM446" s="742">
        <v>2169</v>
      </c>
      <c r="AN446" s="743">
        <f t="shared" si="22"/>
        <v>0.60645951664996101</v>
      </c>
      <c r="AO446" s="744">
        <f t="shared" si="23"/>
        <v>0.86338988425558905</v>
      </c>
      <c r="AP446" s="745">
        <f>'09월 에너지'!S448</f>
        <v>143.30000000000001</v>
      </c>
    </row>
    <row r="447" spans="1:42" ht="16.5" customHeight="1">
      <c r="A447" s="999">
        <f>'09월 조업일지'!A447</f>
        <v>46282</v>
      </c>
      <c r="B447" s="1100">
        <f>'09월 조업일지'!B447</f>
        <v>46281</v>
      </c>
      <c r="C447" s="730">
        <f>'09월 조업일지'!G447</f>
        <v>85649</v>
      </c>
      <c r="D447" s="731" t="str">
        <f>'09월 조업일지'!E447</f>
        <v>C</v>
      </c>
      <c r="E447" s="732" t="str">
        <f>'09월 조업일지'!F447</f>
        <v>A</v>
      </c>
      <c r="F447" s="1096" t="str">
        <f>'09월 에너지'!F449</f>
        <v>SS275[CS공장]</v>
      </c>
      <c r="G447" s="733">
        <v>11</v>
      </c>
      <c r="H447" s="734">
        <v>22</v>
      </c>
      <c r="I447" s="734">
        <v>56</v>
      </c>
      <c r="J447" s="734">
        <v>16</v>
      </c>
      <c r="K447" s="735">
        <v>30</v>
      </c>
      <c r="L447" s="734">
        <v>17</v>
      </c>
      <c r="M447" s="736">
        <v>12</v>
      </c>
      <c r="N447" s="737">
        <v>419</v>
      </c>
      <c r="O447" s="737"/>
      <c r="P447" s="737">
        <v>1017</v>
      </c>
      <c r="Q447" s="737">
        <v>953</v>
      </c>
      <c r="R447" s="737"/>
      <c r="S447" s="737"/>
      <c r="T447" s="737">
        <v>51</v>
      </c>
      <c r="U447" s="738"/>
      <c r="V447" s="739">
        <v>418</v>
      </c>
      <c r="W447" s="737"/>
      <c r="X447" s="737">
        <v>1014</v>
      </c>
      <c r="Y447" s="737">
        <v>903</v>
      </c>
      <c r="Z447" s="1202">
        <v>44</v>
      </c>
      <c r="AA447" s="740"/>
      <c r="AB447" s="739"/>
      <c r="AC447" s="741"/>
      <c r="AD447" s="741">
        <v>290</v>
      </c>
      <c r="AE447" s="741">
        <v>330</v>
      </c>
      <c r="AF447" s="741">
        <v>90</v>
      </c>
      <c r="AG447" s="741"/>
      <c r="AH447" s="741">
        <v>897</v>
      </c>
      <c r="AI447" s="741">
        <v>329</v>
      </c>
      <c r="AJ447" s="741"/>
      <c r="AK447" s="741">
        <v>107</v>
      </c>
      <c r="AL447" s="741">
        <v>113</v>
      </c>
      <c r="AM447" s="742">
        <v>1135</v>
      </c>
      <c r="AN447" s="743">
        <f t="shared" si="22"/>
        <v>0.70962962962962972</v>
      </c>
      <c r="AO447" s="744">
        <f t="shared" si="23"/>
        <v>0.93831820353559481</v>
      </c>
      <c r="AP447" s="745">
        <f>'09월 에너지'!S449</f>
        <v>143.69999999999999</v>
      </c>
    </row>
    <row r="448" spans="1:42" ht="16.5" customHeight="1">
      <c r="A448" s="999">
        <f>'09월 조업일지'!A448</f>
        <v>46282</v>
      </c>
      <c r="B448" s="1100">
        <f>'09월 조업일지'!B448</f>
        <v>46282</v>
      </c>
      <c r="C448" s="730">
        <f>'09월 조업일지'!G448</f>
        <v>85650</v>
      </c>
      <c r="D448" s="731" t="str">
        <f>'09월 조업일지'!E448</f>
        <v>D</v>
      </c>
      <c r="E448" s="732" t="str">
        <f>'09월 조업일지'!F448</f>
        <v>B</v>
      </c>
      <c r="F448" s="1096" t="str">
        <f>'09월 에너지'!F450</f>
        <v>SS275[CS공장]</v>
      </c>
      <c r="G448" s="733">
        <v>16</v>
      </c>
      <c r="H448" s="734">
        <v>23</v>
      </c>
      <c r="I448" s="734">
        <v>55</v>
      </c>
      <c r="J448" s="734">
        <v>13</v>
      </c>
      <c r="K448" s="735">
        <v>35</v>
      </c>
      <c r="L448" s="734">
        <v>15</v>
      </c>
      <c r="M448" s="736">
        <v>11</v>
      </c>
      <c r="N448" s="737">
        <v>421</v>
      </c>
      <c r="O448" s="737"/>
      <c r="P448" s="737">
        <v>1014</v>
      </c>
      <c r="Q448" s="737">
        <v>960</v>
      </c>
      <c r="R448" s="737"/>
      <c r="S448" s="737"/>
      <c r="T448" s="737">
        <v>46</v>
      </c>
      <c r="U448" s="738"/>
      <c r="V448" s="739">
        <v>412</v>
      </c>
      <c r="W448" s="737"/>
      <c r="X448" s="737">
        <v>1016</v>
      </c>
      <c r="Y448" s="737">
        <v>902</v>
      </c>
      <c r="Z448" s="1202">
        <v>43</v>
      </c>
      <c r="AA448" s="740"/>
      <c r="AB448" s="739"/>
      <c r="AC448" s="741"/>
      <c r="AD448" s="741">
        <v>290</v>
      </c>
      <c r="AE448" s="741">
        <v>330</v>
      </c>
      <c r="AF448" s="741">
        <v>89</v>
      </c>
      <c r="AG448" s="741"/>
      <c r="AH448" s="741">
        <v>901</v>
      </c>
      <c r="AI448" s="741">
        <v>332</v>
      </c>
      <c r="AJ448" s="741"/>
      <c r="AK448" s="741">
        <v>106</v>
      </c>
      <c r="AL448" s="741">
        <v>117</v>
      </c>
      <c r="AM448" s="742">
        <v>737</v>
      </c>
      <c r="AN448" s="743">
        <f t="shared" si="22"/>
        <v>0.74072585147962033</v>
      </c>
      <c r="AO448" s="744">
        <f t="shared" si="23"/>
        <v>0.91453940066592676</v>
      </c>
      <c r="AP448" s="745">
        <f>'09월 에너지'!S450</f>
        <v>144.19999999999999</v>
      </c>
    </row>
    <row r="449" spans="1:42" ht="16.5" customHeight="1">
      <c r="A449" s="999">
        <f>'09월 조업일지'!A449</f>
        <v>46282</v>
      </c>
      <c r="B449" s="1100">
        <f>'09월 조업일지'!B449</f>
        <v>46282</v>
      </c>
      <c r="C449" s="730">
        <f>'09월 조업일지'!G449</f>
        <v>85651</v>
      </c>
      <c r="D449" s="731" t="str">
        <f>'09월 조업일지'!E449</f>
        <v>D</v>
      </c>
      <c r="E449" s="732" t="str">
        <f>'09월 조업일지'!F449</f>
        <v>A</v>
      </c>
      <c r="F449" s="1096" t="str">
        <f>'09월 에너지'!F451</f>
        <v>SS275[CS공장]</v>
      </c>
      <c r="G449" s="733">
        <v>10</v>
      </c>
      <c r="H449" s="734">
        <v>16</v>
      </c>
      <c r="I449" s="734">
        <v>50</v>
      </c>
      <c r="J449" s="734">
        <v>16</v>
      </c>
      <c r="K449" s="735">
        <v>38</v>
      </c>
      <c r="L449" s="734">
        <v>14</v>
      </c>
      <c r="M449" s="736">
        <v>11</v>
      </c>
      <c r="N449" s="737">
        <v>419</v>
      </c>
      <c r="O449" s="737"/>
      <c r="P449" s="737">
        <v>1019</v>
      </c>
      <c r="Q449" s="737">
        <v>502</v>
      </c>
      <c r="R449" s="737"/>
      <c r="S449" s="737"/>
      <c r="T449" s="737">
        <v>53</v>
      </c>
      <c r="U449" s="738"/>
      <c r="V449" s="739">
        <v>412</v>
      </c>
      <c r="W449" s="737"/>
      <c r="X449" s="737">
        <v>1015</v>
      </c>
      <c r="Y449" s="737">
        <v>903</v>
      </c>
      <c r="Z449" s="1202">
        <v>40</v>
      </c>
      <c r="AA449" s="740"/>
      <c r="AB449" s="739"/>
      <c r="AC449" s="741"/>
      <c r="AD449" s="741">
        <v>296</v>
      </c>
      <c r="AE449" s="741">
        <v>330</v>
      </c>
      <c r="AF449" s="741">
        <v>94</v>
      </c>
      <c r="AG449" s="741"/>
      <c r="AH449" s="741">
        <v>897</v>
      </c>
      <c r="AI449" s="741">
        <v>326</v>
      </c>
      <c r="AJ449" s="741"/>
      <c r="AK449" s="741">
        <v>113</v>
      </c>
      <c r="AL449" s="741">
        <v>120</v>
      </c>
      <c r="AM449" s="742">
        <v>964</v>
      </c>
      <c r="AN449" s="743">
        <f t="shared" si="22"/>
        <v>0.51883182275931528</v>
      </c>
      <c r="AO449" s="744">
        <f t="shared" si="23"/>
        <v>0.80769230769230771</v>
      </c>
      <c r="AP449" s="745">
        <f>'09월 에너지'!S451</f>
        <v>144.9</v>
      </c>
    </row>
    <row r="450" spans="1:42" ht="16.5" customHeight="1">
      <c r="A450" s="999">
        <f>'09월 조업일지'!A450</f>
        <v>46282</v>
      </c>
      <c r="B450" s="1100">
        <f>'09월 조업일지'!B450</f>
        <v>46282</v>
      </c>
      <c r="C450" s="730">
        <f>'09월 조업일지'!G450</f>
        <v>85652</v>
      </c>
      <c r="D450" s="731" t="str">
        <f>'09월 조업일지'!E450</f>
        <v>D</v>
      </c>
      <c r="E450" s="732" t="str">
        <f>'09월 조업일지'!F450</f>
        <v>B</v>
      </c>
      <c r="F450" s="1096" t="str">
        <f>'09월 에너지'!F452</f>
        <v>SS275[CS공장]</v>
      </c>
      <c r="G450" s="733">
        <v>8</v>
      </c>
      <c r="H450" s="734">
        <v>15</v>
      </c>
      <c r="I450" s="734">
        <v>51</v>
      </c>
      <c r="J450" s="734">
        <v>15</v>
      </c>
      <c r="K450" s="735">
        <v>31</v>
      </c>
      <c r="L450" s="734">
        <v>17</v>
      </c>
      <c r="M450" s="736">
        <v>11</v>
      </c>
      <c r="N450" s="737">
        <v>413</v>
      </c>
      <c r="O450" s="737"/>
      <c r="P450" s="737">
        <v>1011</v>
      </c>
      <c r="Q450" s="737">
        <v>953</v>
      </c>
      <c r="R450" s="737"/>
      <c r="S450" s="737"/>
      <c r="T450" s="737">
        <v>46</v>
      </c>
      <c r="U450" s="738"/>
      <c r="V450" s="739">
        <v>414</v>
      </c>
      <c r="W450" s="737"/>
      <c r="X450" s="737">
        <v>1009</v>
      </c>
      <c r="Y450" s="737">
        <v>904</v>
      </c>
      <c r="Z450" s="1202">
        <v>44</v>
      </c>
      <c r="AA450" s="740"/>
      <c r="AB450" s="739"/>
      <c r="AC450" s="741"/>
      <c r="AD450" s="741">
        <v>296</v>
      </c>
      <c r="AE450" s="741">
        <v>330</v>
      </c>
      <c r="AF450" s="741">
        <v>89</v>
      </c>
      <c r="AG450" s="741"/>
      <c r="AH450" s="741">
        <v>900</v>
      </c>
      <c r="AI450" s="741">
        <v>327</v>
      </c>
      <c r="AJ450" s="741"/>
      <c r="AK450" s="741">
        <v>102</v>
      </c>
      <c r="AL450" s="741">
        <v>129</v>
      </c>
      <c r="AM450" s="742">
        <v>868</v>
      </c>
      <c r="AN450" s="743">
        <f t="shared" si="22"/>
        <v>0.48657832144070678</v>
      </c>
      <c r="AO450" s="744">
        <f t="shared" si="23"/>
        <v>0.81828571428571428</v>
      </c>
      <c r="AP450" s="745">
        <f>'09월 에너지'!S452</f>
        <v>143.19999999999999</v>
      </c>
    </row>
    <row r="451" spans="1:42" ht="16.5" customHeight="1">
      <c r="A451" s="999">
        <f>'09월 조업일지'!A451</f>
        <v>46282</v>
      </c>
      <c r="B451" s="1100">
        <f>'09월 조업일지'!B451</f>
        <v>46282</v>
      </c>
      <c r="C451" s="730">
        <f>'09월 조업일지'!G451</f>
        <v>85653</v>
      </c>
      <c r="D451" s="731" t="str">
        <f>'09월 조업일지'!E451</f>
        <v>D</v>
      </c>
      <c r="E451" s="732" t="str">
        <f>'09월 조업일지'!F451</f>
        <v>A</v>
      </c>
      <c r="F451" s="1096" t="str">
        <f>'09월 에너지'!F453</f>
        <v>SS275[CS공장]</v>
      </c>
      <c r="G451" s="733">
        <v>9</v>
      </c>
      <c r="H451" s="734">
        <v>19</v>
      </c>
      <c r="I451" s="734">
        <v>53</v>
      </c>
      <c r="J451" s="734">
        <v>16</v>
      </c>
      <c r="K451" s="735">
        <v>33</v>
      </c>
      <c r="L451" s="734">
        <v>15</v>
      </c>
      <c r="M451" s="736">
        <v>9</v>
      </c>
      <c r="N451" s="737">
        <v>414</v>
      </c>
      <c r="O451" s="737"/>
      <c r="P451" s="737">
        <v>1013</v>
      </c>
      <c r="Q451" s="737">
        <v>953</v>
      </c>
      <c r="R451" s="737"/>
      <c r="S451" s="737"/>
      <c r="T451" s="737">
        <v>50</v>
      </c>
      <c r="U451" s="738"/>
      <c r="V451" s="739">
        <v>417</v>
      </c>
      <c r="W451" s="737"/>
      <c r="X451" s="737">
        <v>1012</v>
      </c>
      <c r="Y451" s="737">
        <v>901</v>
      </c>
      <c r="Z451" s="1202">
        <v>48</v>
      </c>
      <c r="AA451" s="740"/>
      <c r="AB451" s="739"/>
      <c r="AC451" s="741"/>
      <c r="AD451" s="741">
        <v>291</v>
      </c>
      <c r="AE451" s="741">
        <v>331</v>
      </c>
      <c r="AF451" s="741">
        <v>98</v>
      </c>
      <c r="AG451" s="741"/>
      <c r="AH451" s="741">
        <v>900</v>
      </c>
      <c r="AI451" s="741">
        <v>342</v>
      </c>
      <c r="AJ451" s="741"/>
      <c r="AK451" s="741">
        <v>105</v>
      </c>
      <c r="AL451" s="741">
        <v>127</v>
      </c>
      <c r="AM451" s="742">
        <v>1264</v>
      </c>
      <c r="AN451" s="743">
        <f t="shared" si="22"/>
        <v>0.60239823982398244</v>
      </c>
      <c r="AO451" s="744">
        <f t="shared" si="23"/>
        <v>0.86917460317460327</v>
      </c>
      <c r="AP451" s="745">
        <f>'09월 에너지'!S453</f>
        <v>144.1</v>
      </c>
    </row>
    <row r="452" spans="1:42" ht="16.5" customHeight="1">
      <c r="A452" s="999">
        <f>'09월 조업일지'!A452</f>
        <v>46282</v>
      </c>
      <c r="B452" s="1100">
        <f>'09월 조업일지'!B452</f>
        <v>46282</v>
      </c>
      <c r="C452" s="730">
        <f>'09월 조업일지'!G452</f>
        <v>85654</v>
      </c>
      <c r="D452" s="731" t="str">
        <f>'09월 조업일지'!E452</f>
        <v>D</v>
      </c>
      <c r="E452" s="732" t="str">
        <f>'09월 조업일지'!F452</f>
        <v>B</v>
      </c>
      <c r="F452" s="1096" t="str">
        <f>'09월 에너지'!F454</f>
        <v>SS275[CS공장]</v>
      </c>
      <c r="G452" s="733">
        <v>8</v>
      </c>
      <c r="H452" s="734">
        <v>22</v>
      </c>
      <c r="I452" s="734">
        <v>56</v>
      </c>
      <c r="J452" s="734">
        <v>16</v>
      </c>
      <c r="K452" s="735">
        <v>34</v>
      </c>
      <c r="L452" s="734">
        <v>13</v>
      </c>
      <c r="M452" s="736">
        <v>16</v>
      </c>
      <c r="N452" s="737">
        <v>416</v>
      </c>
      <c r="O452" s="737"/>
      <c r="P452" s="737">
        <v>1008</v>
      </c>
      <c r="Q452" s="737">
        <v>952</v>
      </c>
      <c r="R452" s="737"/>
      <c r="S452" s="737"/>
      <c r="T452" s="737">
        <v>53</v>
      </c>
      <c r="U452" s="738"/>
      <c r="V452" s="739">
        <v>414</v>
      </c>
      <c r="W452" s="737"/>
      <c r="X452" s="737">
        <v>1009</v>
      </c>
      <c r="Y452" s="737">
        <v>900</v>
      </c>
      <c r="Z452" s="1202">
        <v>45</v>
      </c>
      <c r="AA452" s="740"/>
      <c r="AB452" s="739"/>
      <c r="AC452" s="741"/>
      <c r="AD452" s="741">
        <v>295</v>
      </c>
      <c r="AE452" s="741">
        <v>330</v>
      </c>
      <c r="AF452" s="741">
        <v>90</v>
      </c>
      <c r="AG452" s="741"/>
      <c r="AH452" s="741">
        <v>898</v>
      </c>
      <c r="AI452" s="741">
        <v>353</v>
      </c>
      <c r="AJ452" s="741"/>
      <c r="AK452" s="741">
        <v>103</v>
      </c>
      <c r="AL452" s="741">
        <v>124</v>
      </c>
      <c r="AM452" s="742">
        <v>1029</v>
      </c>
      <c r="AN452" s="743">
        <f t="shared" si="22"/>
        <v>0.67490514905149057</v>
      </c>
      <c r="AO452" s="744">
        <f t="shared" si="23"/>
        <v>0.92292395800190907</v>
      </c>
      <c r="AP452" s="745">
        <f>'09월 에너지'!S454</f>
        <v>141.5</v>
      </c>
    </row>
    <row r="453" spans="1:42" ht="16.5" customHeight="1">
      <c r="A453" s="999">
        <f>'09월 조업일지'!A453</f>
        <v>46282</v>
      </c>
      <c r="B453" s="1100">
        <f>'09월 조업일지'!B453</f>
        <v>46282</v>
      </c>
      <c r="C453" s="730">
        <f>'09월 조업일지'!G453</f>
        <v>85655</v>
      </c>
      <c r="D453" s="731" t="str">
        <f>'09월 조업일지'!E453</f>
        <v>D</v>
      </c>
      <c r="E453" s="732" t="str">
        <f>'09월 조업일지'!F453</f>
        <v>A</v>
      </c>
      <c r="F453" s="1096" t="str">
        <f>'09월 에너지'!F455</f>
        <v>SS275[CS공장]</v>
      </c>
      <c r="G453" s="733">
        <v>7</v>
      </c>
      <c r="H453" s="734">
        <v>21</v>
      </c>
      <c r="I453" s="734">
        <v>53</v>
      </c>
      <c r="J453" s="734">
        <v>19</v>
      </c>
      <c r="K453" s="735">
        <v>33</v>
      </c>
      <c r="L453" s="734">
        <v>12</v>
      </c>
      <c r="M453" s="736">
        <v>10</v>
      </c>
      <c r="N453" s="737">
        <v>418</v>
      </c>
      <c r="O453" s="737"/>
      <c r="P453" s="737">
        <v>1010</v>
      </c>
      <c r="Q453" s="737">
        <v>952</v>
      </c>
      <c r="R453" s="737"/>
      <c r="S453" s="737"/>
      <c r="T453" s="737">
        <v>49</v>
      </c>
      <c r="U453" s="738"/>
      <c r="V453" s="739">
        <v>419</v>
      </c>
      <c r="W453" s="737"/>
      <c r="X453" s="737">
        <v>1014</v>
      </c>
      <c r="Y453" s="737">
        <v>902</v>
      </c>
      <c r="Z453" s="1202">
        <v>41</v>
      </c>
      <c r="AA453" s="740"/>
      <c r="AB453" s="739"/>
      <c r="AC453" s="741"/>
      <c r="AD453" s="741">
        <v>291</v>
      </c>
      <c r="AE453" s="741">
        <v>330</v>
      </c>
      <c r="AF453" s="741">
        <v>92</v>
      </c>
      <c r="AG453" s="741"/>
      <c r="AH453" s="741">
        <v>901</v>
      </c>
      <c r="AI453" s="741">
        <v>341</v>
      </c>
      <c r="AJ453" s="741"/>
      <c r="AK453" s="741">
        <v>109</v>
      </c>
      <c r="AL453" s="741">
        <v>127</v>
      </c>
      <c r="AM453" s="742">
        <v>1705</v>
      </c>
      <c r="AN453" s="743">
        <f t="shared" si="22"/>
        <v>0.65904010519395151</v>
      </c>
      <c r="AO453" s="744">
        <f t="shared" si="23"/>
        <v>0.86278737910258452</v>
      </c>
      <c r="AP453" s="745">
        <f>'09월 에너지'!S455</f>
        <v>143.19999999999999</v>
      </c>
    </row>
    <row r="454" spans="1:42" ht="16.5" customHeight="1">
      <c r="A454" s="999">
        <f>'09월 조업일지'!A454</f>
        <v>46282</v>
      </c>
      <c r="B454" s="1100">
        <f>'09월 조업일지'!B454</f>
        <v>46282</v>
      </c>
      <c r="C454" s="730">
        <f>'09월 조업일지'!G454</f>
        <v>85656</v>
      </c>
      <c r="D454" s="731" t="str">
        <f>'09월 조업일지'!E454</f>
        <v>D</v>
      </c>
      <c r="E454" s="732" t="str">
        <f>'09월 조업일지'!F454</f>
        <v>B</v>
      </c>
      <c r="F454" s="1096" t="str">
        <f>'09월 에너지'!F456</f>
        <v>SS275[CS공장]</v>
      </c>
      <c r="G454" s="733">
        <v>12</v>
      </c>
      <c r="H454" s="734">
        <v>24</v>
      </c>
      <c r="I454" s="734">
        <v>58</v>
      </c>
      <c r="J454" s="734">
        <v>20</v>
      </c>
      <c r="K454" s="735">
        <v>29</v>
      </c>
      <c r="L454" s="734">
        <v>12</v>
      </c>
      <c r="M454" s="736">
        <v>9</v>
      </c>
      <c r="N454" s="737">
        <v>420</v>
      </c>
      <c r="O454" s="737"/>
      <c r="P454" s="737">
        <v>1012</v>
      </c>
      <c r="Q454" s="737">
        <v>953</v>
      </c>
      <c r="R454" s="737"/>
      <c r="S454" s="737"/>
      <c r="T454" s="737">
        <v>49</v>
      </c>
      <c r="U454" s="738"/>
      <c r="V454" s="739">
        <v>413</v>
      </c>
      <c r="W454" s="737"/>
      <c r="X454" s="737">
        <v>1014</v>
      </c>
      <c r="Y454" s="737">
        <v>902</v>
      </c>
      <c r="Z454" s="1202">
        <v>38</v>
      </c>
      <c r="AA454" s="740"/>
      <c r="AB454" s="739"/>
      <c r="AC454" s="741"/>
      <c r="AD454" s="741">
        <v>289</v>
      </c>
      <c r="AE454" s="741">
        <v>330</v>
      </c>
      <c r="AF454" s="741">
        <v>85</v>
      </c>
      <c r="AG454" s="741"/>
      <c r="AH454" s="741">
        <v>897</v>
      </c>
      <c r="AI454" s="741">
        <v>349</v>
      </c>
      <c r="AJ454" s="741"/>
      <c r="AK454" s="741">
        <v>112</v>
      </c>
      <c r="AL454" s="741">
        <v>112</v>
      </c>
      <c r="AM454" s="742">
        <v>1162</v>
      </c>
      <c r="AN454" s="743">
        <f t="shared" si="22"/>
        <v>0.73061488673139163</v>
      </c>
      <c r="AO454" s="744">
        <f t="shared" si="23"/>
        <v>0.96628444019748372</v>
      </c>
      <c r="AP454" s="745">
        <f>'09월 에너지'!S456</f>
        <v>141.1</v>
      </c>
    </row>
    <row r="455" spans="1:42" ht="16.5" customHeight="1">
      <c r="A455" s="999">
        <f>'09월 조업일지'!A455</f>
        <v>46282</v>
      </c>
      <c r="B455" s="1100">
        <f>'09월 조업일지'!B455</f>
        <v>46282</v>
      </c>
      <c r="C455" s="730">
        <f>'09월 조업일지'!G455</f>
        <v>85657</v>
      </c>
      <c r="D455" s="731" t="str">
        <f>'09월 조업일지'!E455</f>
        <v>D</v>
      </c>
      <c r="E455" s="732" t="str">
        <f>'09월 조업일지'!F455</f>
        <v>A</v>
      </c>
      <c r="F455" s="1096" t="str">
        <f>'09월 에너지'!F457</f>
        <v>SS275[CS공장]</v>
      </c>
      <c r="G455" s="733">
        <v>8</v>
      </c>
      <c r="H455" s="734">
        <v>22</v>
      </c>
      <c r="I455" s="734">
        <v>58</v>
      </c>
      <c r="J455" s="734">
        <v>21</v>
      </c>
      <c r="K455" s="735">
        <v>31</v>
      </c>
      <c r="L455" s="734">
        <v>11</v>
      </c>
      <c r="M455" s="736">
        <v>11</v>
      </c>
      <c r="N455" s="737">
        <v>411</v>
      </c>
      <c r="O455" s="737"/>
      <c r="P455" s="737">
        <v>1011</v>
      </c>
      <c r="Q455" s="737">
        <v>952</v>
      </c>
      <c r="R455" s="737"/>
      <c r="S455" s="737"/>
      <c r="T455" s="737">
        <v>43</v>
      </c>
      <c r="U455" s="738"/>
      <c r="V455" s="739">
        <v>419</v>
      </c>
      <c r="W455" s="737"/>
      <c r="X455" s="737">
        <v>1014</v>
      </c>
      <c r="Y455" s="737">
        <v>901</v>
      </c>
      <c r="Z455" s="1202">
        <v>46</v>
      </c>
      <c r="AA455" s="740"/>
      <c r="AB455" s="739"/>
      <c r="AC455" s="741"/>
      <c r="AD455" s="741">
        <v>293</v>
      </c>
      <c r="AE455" s="741">
        <v>330</v>
      </c>
      <c r="AF455" s="741">
        <v>86</v>
      </c>
      <c r="AG455" s="741"/>
      <c r="AH455" s="741">
        <v>904</v>
      </c>
      <c r="AI455" s="741">
        <v>333</v>
      </c>
      <c r="AJ455" s="741"/>
      <c r="AK455" s="741">
        <v>112</v>
      </c>
      <c r="AL455" s="741">
        <v>127</v>
      </c>
      <c r="AM455" s="742">
        <v>2261</v>
      </c>
      <c r="AN455" s="743">
        <f t="shared" si="22"/>
        <v>0.6937134018340515</v>
      </c>
      <c r="AO455" s="744">
        <f t="shared" si="23"/>
        <v>0.96967446270543622</v>
      </c>
      <c r="AP455" s="745">
        <f>'09월 에너지'!S457</f>
        <v>142.69999999999999</v>
      </c>
    </row>
    <row r="456" spans="1:42" ht="16.5" customHeight="1">
      <c r="A456" s="999">
        <f>'09월 조업일지'!A456</f>
        <v>46282</v>
      </c>
      <c r="B456" s="1100">
        <f>'09월 조업일지'!B456</f>
        <v>46282</v>
      </c>
      <c r="C456" s="730">
        <f>'09월 조업일지'!G456</f>
        <v>85658</v>
      </c>
      <c r="D456" s="731" t="str">
        <f>'09월 조업일지'!E456</f>
        <v>D</v>
      </c>
      <c r="E456" s="732" t="str">
        <f>'09월 조업일지'!F456</f>
        <v>B</v>
      </c>
      <c r="F456" s="1096" t="str">
        <f>'09월 에너지'!F458</f>
        <v>SS275[CS공장]</v>
      </c>
      <c r="G456" s="733">
        <v>10</v>
      </c>
      <c r="H456" s="734">
        <v>22</v>
      </c>
      <c r="I456" s="734">
        <v>56</v>
      </c>
      <c r="J456" s="734">
        <v>21</v>
      </c>
      <c r="K456" s="735">
        <v>36</v>
      </c>
      <c r="L456" s="734">
        <v>23</v>
      </c>
      <c r="M456" s="736">
        <v>15</v>
      </c>
      <c r="N456" s="737">
        <v>418</v>
      </c>
      <c r="O456" s="737"/>
      <c r="P456" s="737">
        <v>1013</v>
      </c>
      <c r="Q456" s="737">
        <v>952</v>
      </c>
      <c r="R456" s="737"/>
      <c r="S456" s="737"/>
      <c r="T456" s="737">
        <v>52</v>
      </c>
      <c r="U456" s="738"/>
      <c r="V456" s="739">
        <v>412</v>
      </c>
      <c r="W456" s="737"/>
      <c r="X456" s="737">
        <v>1011</v>
      </c>
      <c r="Y456" s="737">
        <v>903</v>
      </c>
      <c r="Z456" s="1202">
        <v>45</v>
      </c>
      <c r="AA456" s="740"/>
      <c r="AB456" s="739"/>
      <c r="AC456" s="741"/>
      <c r="AD456" s="741">
        <v>294</v>
      </c>
      <c r="AE456" s="741">
        <v>330</v>
      </c>
      <c r="AF456" s="741">
        <v>90</v>
      </c>
      <c r="AG456" s="741"/>
      <c r="AH456" s="741">
        <v>907</v>
      </c>
      <c r="AI456" s="741">
        <v>344</v>
      </c>
      <c r="AJ456" s="741"/>
      <c r="AK456" s="741">
        <v>107</v>
      </c>
      <c r="AL456" s="741">
        <v>117</v>
      </c>
      <c r="AM456" s="742">
        <v>1008</v>
      </c>
      <c r="AN456" s="743">
        <f t="shared" si="22"/>
        <v>0.69084560829241681</v>
      </c>
      <c r="AO456" s="744">
        <f t="shared" si="23"/>
        <v>0.9292644510946606</v>
      </c>
      <c r="AP456" s="745">
        <f>'09월 에너지'!S458</f>
        <v>143.9</v>
      </c>
    </row>
    <row r="457" spans="1:42" ht="16.5" customHeight="1">
      <c r="A457" s="999">
        <f>'09월 조업일지'!A457</f>
        <v>46282</v>
      </c>
      <c r="B457" s="1100">
        <f>'09월 조업일지'!B457</f>
        <v>46282</v>
      </c>
      <c r="C457" s="730">
        <f>'09월 조업일지'!G457</f>
        <v>85659</v>
      </c>
      <c r="D457" s="731" t="str">
        <f>'09월 조업일지'!E457</f>
        <v>D</v>
      </c>
      <c r="E457" s="732" t="str">
        <f>'09월 조업일지'!F457</f>
        <v>A</v>
      </c>
      <c r="F457" s="1096" t="str">
        <f>'09월 에너지'!F459</f>
        <v>SS275[CS공장]</v>
      </c>
      <c r="G457" s="733">
        <v>11</v>
      </c>
      <c r="H457" s="734">
        <v>22</v>
      </c>
      <c r="I457" s="734">
        <v>49</v>
      </c>
      <c r="J457" s="734">
        <v>14</v>
      </c>
      <c r="K457" s="735">
        <v>24</v>
      </c>
      <c r="L457" s="734">
        <v>11</v>
      </c>
      <c r="M457" s="736">
        <v>10</v>
      </c>
      <c r="N457" s="737">
        <v>419</v>
      </c>
      <c r="O457" s="737"/>
      <c r="P457" s="737">
        <v>1011</v>
      </c>
      <c r="Q457" s="737">
        <v>950</v>
      </c>
      <c r="R457" s="737"/>
      <c r="S457" s="737"/>
      <c r="T457" s="737">
        <v>51</v>
      </c>
      <c r="U457" s="738"/>
      <c r="V457" s="739">
        <v>413</v>
      </c>
      <c r="W457" s="737"/>
      <c r="X457" s="737">
        <v>1010</v>
      </c>
      <c r="Y457" s="737">
        <v>904</v>
      </c>
      <c r="Z457" s="1202">
        <v>50</v>
      </c>
      <c r="AA457" s="740"/>
      <c r="AB457" s="739"/>
      <c r="AC457" s="741"/>
      <c r="AD457" s="741">
        <v>296</v>
      </c>
      <c r="AE457" s="741">
        <v>331</v>
      </c>
      <c r="AF457" s="741">
        <v>95</v>
      </c>
      <c r="AG457" s="741"/>
      <c r="AH457" s="741">
        <v>900</v>
      </c>
      <c r="AI457" s="741">
        <v>331</v>
      </c>
      <c r="AJ457" s="741"/>
      <c r="AK457" s="741">
        <v>108</v>
      </c>
      <c r="AL457" s="741">
        <v>114</v>
      </c>
      <c r="AM457" s="742">
        <v>1773</v>
      </c>
      <c r="AN457" s="743">
        <f t="shared" si="22"/>
        <v>0.70068072759736633</v>
      </c>
      <c r="AO457" s="744">
        <f t="shared" si="23"/>
        <v>0.7701269841269841</v>
      </c>
      <c r="AP457" s="745">
        <f>'09월 에너지'!S459</f>
        <v>142.69999999999999</v>
      </c>
    </row>
    <row r="458" spans="1:42" ht="16.5" customHeight="1">
      <c r="A458" s="999">
        <f>'09월 조업일지'!A458</f>
        <v>46282</v>
      </c>
      <c r="B458" s="1100">
        <f>'09월 조업일지'!B458</f>
        <v>46282</v>
      </c>
      <c r="C458" s="730">
        <f>'09월 조업일지'!G458</f>
        <v>85660</v>
      </c>
      <c r="D458" s="731" t="str">
        <f>'09월 조업일지'!E458</f>
        <v>B</v>
      </c>
      <c r="E458" s="732" t="str">
        <f>'09월 조업일지'!F458</f>
        <v>B</v>
      </c>
      <c r="F458" s="1096" t="str">
        <f>'09월 에너지'!F460</f>
        <v>SS275[CS공장]</v>
      </c>
      <c r="G458" s="733">
        <v>9</v>
      </c>
      <c r="H458" s="734">
        <v>23</v>
      </c>
      <c r="I458" s="734">
        <v>60</v>
      </c>
      <c r="J458" s="734">
        <v>21</v>
      </c>
      <c r="K458" s="735">
        <v>29</v>
      </c>
      <c r="L458" s="734">
        <v>14</v>
      </c>
      <c r="M458" s="736">
        <v>14</v>
      </c>
      <c r="N458" s="737">
        <v>415</v>
      </c>
      <c r="O458" s="737"/>
      <c r="P458" s="737">
        <v>1011</v>
      </c>
      <c r="Q458" s="737">
        <v>951</v>
      </c>
      <c r="R458" s="737"/>
      <c r="S458" s="737"/>
      <c r="T458" s="737">
        <v>51</v>
      </c>
      <c r="U458" s="738"/>
      <c r="V458" s="739">
        <v>418</v>
      </c>
      <c r="W458" s="737"/>
      <c r="X458" s="737">
        <v>1014</v>
      </c>
      <c r="Y458" s="737">
        <v>906</v>
      </c>
      <c r="Z458" s="1202">
        <v>50</v>
      </c>
      <c r="AA458" s="740"/>
      <c r="AB458" s="739"/>
      <c r="AC458" s="741"/>
      <c r="AD458" s="741">
        <v>289</v>
      </c>
      <c r="AE458" s="741">
        <v>331</v>
      </c>
      <c r="AF458" s="741">
        <v>93</v>
      </c>
      <c r="AG458" s="741"/>
      <c r="AH458" s="741">
        <v>902</v>
      </c>
      <c r="AI458" s="741">
        <v>334</v>
      </c>
      <c r="AJ458" s="741"/>
      <c r="AK458" s="741">
        <v>109</v>
      </c>
      <c r="AL458" s="741">
        <v>128</v>
      </c>
      <c r="AM458" s="742">
        <v>1980</v>
      </c>
      <c r="AN458" s="743">
        <f t="shared" si="22"/>
        <v>0.74117907801418459</v>
      </c>
      <c r="AO458" s="744">
        <f t="shared" si="23"/>
        <v>1.0362686094393412</v>
      </c>
      <c r="AP458" s="745">
        <f>'09월 에너지'!S460</f>
        <v>145.4</v>
      </c>
    </row>
    <row r="459" spans="1:42" ht="16.5" customHeight="1">
      <c r="A459" s="999">
        <f>'09월 조업일지'!A459</f>
        <v>46282</v>
      </c>
      <c r="B459" s="1100">
        <f>'09월 조업일지'!B459</f>
        <v>46282</v>
      </c>
      <c r="C459" s="730">
        <f>'09월 조업일지'!G459</f>
        <v>85661</v>
      </c>
      <c r="D459" s="731" t="str">
        <f>'09월 조업일지'!E459</f>
        <v>B</v>
      </c>
      <c r="E459" s="732" t="str">
        <f>'09월 조업일지'!F459</f>
        <v>A</v>
      </c>
      <c r="F459" s="1096" t="str">
        <f>'09월 에너지'!F461</f>
        <v>SS275[CS공장]</v>
      </c>
      <c r="G459" s="733">
        <v>10</v>
      </c>
      <c r="H459" s="734">
        <v>20</v>
      </c>
      <c r="I459" s="734">
        <v>51</v>
      </c>
      <c r="J459" s="734">
        <v>12</v>
      </c>
      <c r="K459" s="735">
        <v>29</v>
      </c>
      <c r="L459" s="734">
        <v>16</v>
      </c>
      <c r="M459" s="736">
        <v>12</v>
      </c>
      <c r="N459" s="737">
        <v>421</v>
      </c>
      <c r="O459" s="737"/>
      <c r="P459" s="737">
        <v>1013</v>
      </c>
      <c r="Q459" s="737">
        <v>953</v>
      </c>
      <c r="R459" s="737"/>
      <c r="S459" s="737"/>
      <c r="T459" s="737">
        <v>48</v>
      </c>
      <c r="U459" s="738"/>
      <c r="V459" s="739">
        <v>419</v>
      </c>
      <c r="W459" s="737"/>
      <c r="X459" s="737">
        <v>1012</v>
      </c>
      <c r="Y459" s="737">
        <v>900</v>
      </c>
      <c r="Z459" s="1202">
        <v>47</v>
      </c>
      <c r="AA459" s="740"/>
      <c r="AB459" s="739"/>
      <c r="AC459" s="741"/>
      <c r="AD459" s="741">
        <v>296</v>
      </c>
      <c r="AE459" s="741">
        <v>331</v>
      </c>
      <c r="AF459" s="741">
        <v>94</v>
      </c>
      <c r="AG459" s="741"/>
      <c r="AH459" s="741">
        <v>899</v>
      </c>
      <c r="AI459" s="741">
        <v>321</v>
      </c>
      <c r="AJ459" s="741"/>
      <c r="AK459" s="741">
        <v>107</v>
      </c>
      <c r="AL459" s="741">
        <v>112</v>
      </c>
      <c r="AM459" s="742">
        <v>1951</v>
      </c>
      <c r="AN459" s="743">
        <f t="shared" si="22"/>
        <v>0.66848567530695768</v>
      </c>
      <c r="AO459" s="744">
        <f t="shared" si="23"/>
        <v>0.84093437152391559</v>
      </c>
      <c r="AP459" s="745">
        <f>'09월 에너지'!S461</f>
        <v>147</v>
      </c>
    </row>
    <row r="460" spans="1:42" ht="16.5" customHeight="1">
      <c r="A460" s="999">
        <f>'09월 조업일지'!A460</f>
        <v>46282</v>
      </c>
      <c r="B460" s="1100">
        <f>'09월 조업일지'!B460</f>
        <v>46282</v>
      </c>
      <c r="C460" s="730">
        <f>'09월 조업일지'!G460</f>
        <v>85662</v>
      </c>
      <c r="D460" s="731" t="str">
        <f>'09월 조업일지'!E460</f>
        <v>B</v>
      </c>
      <c r="E460" s="732" t="str">
        <f>'09월 조업일지'!F460</f>
        <v>B</v>
      </c>
      <c r="F460" s="1096" t="str">
        <f>'09월 에너지'!F462</f>
        <v>SS275[CS공장]</v>
      </c>
      <c r="G460" s="733">
        <v>10</v>
      </c>
      <c r="H460" s="734">
        <v>19</v>
      </c>
      <c r="I460" s="734">
        <v>56</v>
      </c>
      <c r="J460" s="734">
        <v>16</v>
      </c>
      <c r="K460" s="735">
        <v>30</v>
      </c>
      <c r="L460" s="734">
        <v>12</v>
      </c>
      <c r="M460" s="736">
        <v>11</v>
      </c>
      <c r="N460" s="737">
        <v>0</v>
      </c>
      <c r="O460" s="737"/>
      <c r="P460" s="737">
        <v>1011</v>
      </c>
      <c r="Q460" s="737">
        <v>952</v>
      </c>
      <c r="R460" s="737"/>
      <c r="S460" s="737"/>
      <c r="T460" s="737">
        <v>48</v>
      </c>
      <c r="U460" s="738"/>
      <c r="V460" s="739">
        <v>0</v>
      </c>
      <c r="W460" s="737"/>
      <c r="X460" s="737">
        <v>1010</v>
      </c>
      <c r="Y460" s="737">
        <v>901</v>
      </c>
      <c r="Z460" s="1202">
        <v>46</v>
      </c>
      <c r="AA460" s="740"/>
      <c r="AB460" s="739"/>
      <c r="AC460" s="741"/>
      <c r="AD460" s="741">
        <v>295</v>
      </c>
      <c r="AE460" s="741">
        <v>330</v>
      </c>
      <c r="AF460" s="741">
        <v>101</v>
      </c>
      <c r="AG460" s="741"/>
      <c r="AH460" s="741">
        <v>902</v>
      </c>
      <c r="AI460" s="741">
        <v>332</v>
      </c>
      <c r="AJ460" s="741"/>
      <c r="AK460" s="741">
        <v>105</v>
      </c>
      <c r="AL460" s="741">
        <v>115</v>
      </c>
      <c r="AM460" s="742">
        <v>1649</v>
      </c>
      <c r="AN460" s="743">
        <f t="shared" si="22"/>
        <v>0.62228929130337596</v>
      </c>
      <c r="AO460" s="744">
        <f t="shared" si="23"/>
        <v>0.95129870129870131</v>
      </c>
      <c r="AP460" s="745">
        <f>'09월 에너지'!S462</f>
        <v>146.5</v>
      </c>
    </row>
    <row r="461" spans="1:42" ht="16.5" customHeight="1">
      <c r="A461" s="999">
        <f>'09월 조업일지'!A461</f>
        <v>46282</v>
      </c>
      <c r="B461" s="1100">
        <f>'09월 조업일지'!B461</f>
        <v>46282</v>
      </c>
      <c r="C461" s="730">
        <f>'09월 조업일지'!G461</f>
        <v>85663</v>
      </c>
      <c r="D461" s="731" t="str">
        <f>'09월 조업일지'!E461</f>
        <v>B</v>
      </c>
      <c r="E461" s="732" t="str">
        <f>'09월 조업일지'!F461</f>
        <v>A</v>
      </c>
      <c r="F461" s="1096" t="str">
        <f>'09월 에너지'!F463</f>
        <v>SS275[CS공장]</v>
      </c>
      <c r="G461" s="733">
        <v>9</v>
      </c>
      <c r="H461" s="734">
        <v>18</v>
      </c>
      <c r="I461" s="734">
        <v>50</v>
      </c>
      <c r="J461" s="734">
        <v>15</v>
      </c>
      <c r="K461" s="735">
        <v>31</v>
      </c>
      <c r="L461" s="734">
        <v>15</v>
      </c>
      <c r="M461" s="736">
        <v>9</v>
      </c>
      <c r="N461" s="737">
        <v>416</v>
      </c>
      <c r="O461" s="737"/>
      <c r="P461" s="737">
        <v>1015</v>
      </c>
      <c r="Q461" s="737">
        <v>952</v>
      </c>
      <c r="R461" s="737"/>
      <c r="S461" s="737"/>
      <c r="T461" s="737">
        <v>45</v>
      </c>
      <c r="U461" s="738"/>
      <c r="V461" s="739">
        <v>416</v>
      </c>
      <c r="W461" s="737"/>
      <c r="X461" s="737">
        <v>1009</v>
      </c>
      <c r="Y461" s="737">
        <v>902</v>
      </c>
      <c r="Z461" s="1202">
        <v>41</v>
      </c>
      <c r="AA461" s="740"/>
      <c r="AB461" s="739"/>
      <c r="AC461" s="741"/>
      <c r="AD461" s="741">
        <v>297</v>
      </c>
      <c r="AE461" s="741">
        <v>331</v>
      </c>
      <c r="AF461" s="741">
        <v>105</v>
      </c>
      <c r="AG461" s="741"/>
      <c r="AH461" s="741">
        <v>905</v>
      </c>
      <c r="AI461" s="741">
        <v>332</v>
      </c>
      <c r="AJ461" s="741"/>
      <c r="AK461" s="741">
        <v>115</v>
      </c>
      <c r="AL461" s="741">
        <v>115</v>
      </c>
      <c r="AM461" s="742">
        <v>2495</v>
      </c>
      <c r="AN461" s="743">
        <f t="shared" ref="AN461:AN524" si="24">IF(ISBLANK(AH461),"",AP461*1000*H461/10000/(AH461*15%+AI461*75%+AK461*60%))</f>
        <v>0.5807603305785124</v>
      </c>
      <c r="AO461" s="744">
        <f t="shared" ref="AO461:AO524" si="25">IF(ISBLANK(AH461),"",AP461*1000*(I461-15)/10000/(AH461*70%))</f>
        <v>0.80883977900552484</v>
      </c>
      <c r="AP461" s="745">
        <f>'09월 에너지'!S463</f>
        <v>146.4</v>
      </c>
    </row>
    <row r="462" spans="1:42" ht="16.5" customHeight="1">
      <c r="A462" s="999">
        <f>'09월 조업일지'!A462</f>
        <v>46282</v>
      </c>
      <c r="B462" s="1100">
        <f>'09월 조업일지'!B462</f>
        <v>46282</v>
      </c>
      <c r="C462" s="730">
        <f>'09월 조업일지'!G462</f>
        <v>85664</v>
      </c>
      <c r="D462" s="731" t="str">
        <f>'09월 조업일지'!E462</f>
        <v>B</v>
      </c>
      <c r="E462" s="732" t="str">
        <f>'09월 조업일지'!F462</f>
        <v>B</v>
      </c>
      <c r="F462" s="1096" t="str">
        <f>'09월 에너지'!F464</f>
        <v>SS275[CS공장]</v>
      </c>
      <c r="G462" s="733">
        <v>9</v>
      </c>
      <c r="H462" s="734">
        <v>18</v>
      </c>
      <c r="I462" s="734">
        <v>61</v>
      </c>
      <c r="J462" s="734">
        <v>19</v>
      </c>
      <c r="K462" s="735">
        <v>35</v>
      </c>
      <c r="L462" s="734">
        <v>17</v>
      </c>
      <c r="M462" s="736">
        <v>12</v>
      </c>
      <c r="N462" s="737">
        <v>0</v>
      </c>
      <c r="O462" s="737"/>
      <c r="P462" s="737">
        <v>1012</v>
      </c>
      <c r="Q462" s="737">
        <v>952</v>
      </c>
      <c r="R462" s="737"/>
      <c r="S462" s="737"/>
      <c r="T462" s="737">
        <v>52</v>
      </c>
      <c r="U462" s="738"/>
      <c r="V462" s="739">
        <v>0</v>
      </c>
      <c r="W462" s="737"/>
      <c r="X462" s="737">
        <v>1016</v>
      </c>
      <c r="Y462" s="737">
        <v>901</v>
      </c>
      <c r="Z462" s="1202">
        <v>46</v>
      </c>
      <c r="AA462" s="740"/>
      <c r="AB462" s="739"/>
      <c r="AC462" s="741"/>
      <c r="AD462" s="741">
        <v>298</v>
      </c>
      <c r="AE462" s="741">
        <v>330</v>
      </c>
      <c r="AF462" s="741">
        <v>91</v>
      </c>
      <c r="AG462" s="741"/>
      <c r="AH462" s="741">
        <v>898</v>
      </c>
      <c r="AI462" s="741">
        <v>331</v>
      </c>
      <c r="AJ462" s="741"/>
      <c r="AK462" s="741">
        <v>111</v>
      </c>
      <c r="AL462" s="741">
        <v>119</v>
      </c>
      <c r="AM462" s="742">
        <v>1434</v>
      </c>
      <c r="AN462" s="743">
        <f t="shared" si="24"/>
        <v>0.57897897897897899</v>
      </c>
      <c r="AO462" s="744">
        <f t="shared" si="25"/>
        <v>1.0581609926821509</v>
      </c>
      <c r="AP462" s="745">
        <f>'09월 에너지'!S464</f>
        <v>144.6</v>
      </c>
    </row>
    <row r="463" spans="1:42" ht="16.5" customHeight="1">
      <c r="A463" s="999">
        <f>'09월 조업일지'!A463</f>
        <v>46282</v>
      </c>
      <c r="B463" s="1100">
        <f>'09월 조업일지'!B463</f>
        <v>46282</v>
      </c>
      <c r="C463" s="730">
        <f>'09월 조업일지'!G463</f>
        <v>85665</v>
      </c>
      <c r="D463" s="731" t="str">
        <f>'09월 조업일지'!E463</f>
        <v>B</v>
      </c>
      <c r="E463" s="732" t="str">
        <f>'09월 조업일지'!F463</f>
        <v>A</v>
      </c>
      <c r="F463" s="1096" t="str">
        <f>'09월 에너지'!F465</f>
        <v>SS275[CS공장]</v>
      </c>
      <c r="G463" s="733">
        <v>10</v>
      </c>
      <c r="H463" s="734">
        <v>16</v>
      </c>
      <c r="I463" s="734">
        <v>49</v>
      </c>
      <c r="J463" s="734">
        <v>14</v>
      </c>
      <c r="K463" s="735">
        <v>24</v>
      </c>
      <c r="L463" s="734">
        <v>16</v>
      </c>
      <c r="M463" s="736">
        <v>13</v>
      </c>
      <c r="N463" s="737">
        <v>420</v>
      </c>
      <c r="O463" s="737"/>
      <c r="P463" s="737">
        <v>1014</v>
      </c>
      <c r="Q463" s="737">
        <v>951</v>
      </c>
      <c r="R463" s="737"/>
      <c r="S463" s="737"/>
      <c r="T463" s="737">
        <v>55</v>
      </c>
      <c r="U463" s="738"/>
      <c r="V463" s="739">
        <v>413</v>
      </c>
      <c r="W463" s="737"/>
      <c r="X463" s="737">
        <v>1011</v>
      </c>
      <c r="Y463" s="737">
        <v>900</v>
      </c>
      <c r="Z463" s="1202">
        <v>47</v>
      </c>
      <c r="AA463" s="740"/>
      <c r="AB463" s="739"/>
      <c r="AC463" s="741"/>
      <c r="AD463" s="741">
        <v>296</v>
      </c>
      <c r="AE463" s="741">
        <v>330</v>
      </c>
      <c r="AF463" s="741">
        <v>97</v>
      </c>
      <c r="AG463" s="741"/>
      <c r="AH463" s="741">
        <v>900</v>
      </c>
      <c r="AI463" s="741">
        <v>334</v>
      </c>
      <c r="AJ463" s="741"/>
      <c r="AK463" s="741">
        <v>111</v>
      </c>
      <c r="AL463" s="741">
        <v>116</v>
      </c>
      <c r="AM463" s="742">
        <v>2009</v>
      </c>
      <c r="AN463" s="743">
        <f t="shared" si="24"/>
        <v>0.51740765317407644</v>
      </c>
      <c r="AO463" s="744">
        <f t="shared" si="25"/>
        <v>0.78901587301587295</v>
      </c>
      <c r="AP463" s="745">
        <f>'09월 에너지'!S465</f>
        <v>146.19999999999999</v>
      </c>
    </row>
    <row r="464" spans="1:42" ht="16.5" customHeight="1">
      <c r="A464" s="999">
        <f>'09월 조업일지'!A464</f>
        <v>46282</v>
      </c>
      <c r="B464" s="1100">
        <f>'09월 조업일지'!B464</f>
        <v>46282</v>
      </c>
      <c r="C464" s="730">
        <f>'09월 조업일지'!G464</f>
        <v>85666</v>
      </c>
      <c r="D464" s="731" t="str">
        <f>'09월 조업일지'!E464</f>
        <v>B</v>
      </c>
      <c r="E464" s="732" t="str">
        <f>'09월 조업일지'!F464</f>
        <v>B</v>
      </c>
      <c r="F464" s="1096" t="str">
        <f>'09월 에너지'!F466</f>
        <v>SS275[CS공장]</v>
      </c>
      <c r="G464" s="733">
        <v>9</v>
      </c>
      <c r="H464" s="734">
        <v>20</v>
      </c>
      <c r="I464" s="734">
        <v>54</v>
      </c>
      <c r="J464" s="734">
        <v>14</v>
      </c>
      <c r="K464" s="735">
        <v>26</v>
      </c>
      <c r="L464" s="734">
        <v>13</v>
      </c>
      <c r="M464" s="736">
        <v>11</v>
      </c>
      <c r="N464" s="737">
        <v>0</v>
      </c>
      <c r="O464" s="737"/>
      <c r="P464" s="737">
        <v>1007</v>
      </c>
      <c r="Q464" s="737">
        <v>952</v>
      </c>
      <c r="R464" s="737"/>
      <c r="S464" s="737"/>
      <c r="T464" s="737">
        <v>47</v>
      </c>
      <c r="U464" s="738"/>
      <c r="V464" s="739">
        <v>0</v>
      </c>
      <c r="W464" s="737"/>
      <c r="X464" s="737">
        <v>1014</v>
      </c>
      <c r="Y464" s="737">
        <v>902</v>
      </c>
      <c r="Z464" s="1202">
        <v>48</v>
      </c>
      <c r="AA464" s="740"/>
      <c r="AB464" s="739"/>
      <c r="AC464" s="741"/>
      <c r="AD464" s="741">
        <v>289</v>
      </c>
      <c r="AE464" s="741">
        <v>330</v>
      </c>
      <c r="AF464" s="741">
        <v>89</v>
      </c>
      <c r="AG464" s="741"/>
      <c r="AH464" s="741">
        <v>906</v>
      </c>
      <c r="AI464" s="741">
        <v>328</v>
      </c>
      <c r="AJ464" s="741"/>
      <c r="AK464" s="741">
        <v>107</v>
      </c>
      <c r="AL464" s="741">
        <v>117</v>
      </c>
      <c r="AM464" s="742">
        <v>1427</v>
      </c>
      <c r="AN464" s="743">
        <f t="shared" si="24"/>
        <v>0.63842187850257792</v>
      </c>
      <c r="AO464" s="744">
        <f t="shared" si="25"/>
        <v>0.87568590350047315</v>
      </c>
      <c r="AP464" s="745">
        <f>'09월 에너지'!S466</f>
        <v>142.4</v>
      </c>
    </row>
    <row r="465" spans="1:44" ht="16.5" customHeight="1">
      <c r="A465" s="999">
        <f>'09월 조업일지'!A465</f>
        <v>46282</v>
      </c>
      <c r="B465" s="1100">
        <f>'09월 조업일지'!B465</f>
        <v>46282</v>
      </c>
      <c r="C465" s="730">
        <f>'09월 조업일지'!G465</f>
        <v>85667</v>
      </c>
      <c r="D465" s="731" t="str">
        <f>'09월 조업일지'!E465</f>
        <v>B</v>
      </c>
      <c r="E465" s="732" t="str">
        <f>'09월 조업일지'!F465</f>
        <v>A</v>
      </c>
      <c r="F465" s="1096" t="str">
        <f>'09월 에너지'!F467</f>
        <v>SS275[CS공장]</v>
      </c>
      <c r="G465" s="733">
        <v>10</v>
      </c>
      <c r="H465" s="734">
        <v>22</v>
      </c>
      <c r="I465" s="734">
        <v>53</v>
      </c>
      <c r="J465" s="734">
        <v>16</v>
      </c>
      <c r="K465" s="735">
        <v>39</v>
      </c>
      <c r="L465" s="734">
        <v>12</v>
      </c>
      <c r="M465" s="736">
        <v>10</v>
      </c>
      <c r="N465" s="737">
        <v>422</v>
      </c>
      <c r="O465" s="737"/>
      <c r="P465" s="737">
        <v>1015</v>
      </c>
      <c r="Q465" s="737">
        <v>953</v>
      </c>
      <c r="R465" s="737"/>
      <c r="S465" s="737"/>
      <c r="T465" s="737">
        <v>56</v>
      </c>
      <c r="U465" s="738"/>
      <c r="V465" s="739">
        <v>415</v>
      </c>
      <c r="W465" s="737"/>
      <c r="X465" s="737">
        <v>1014</v>
      </c>
      <c r="Y465" s="737">
        <v>905</v>
      </c>
      <c r="Z465" s="1202">
        <v>45</v>
      </c>
      <c r="AA465" s="740"/>
      <c r="AB465" s="739"/>
      <c r="AC465" s="741"/>
      <c r="AD465" s="741">
        <v>288</v>
      </c>
      <c r="AE465" s="741">
        <v>330</v>
      </c>
      <c r="AF465" s="741">
        <v>107</v>
      </c>
      <c r="AG465" s="741"/>
      <c r="AH465" s="741">
        <v>905</v>
      </c>
      <c r="AI465" s="741">
        <v>328</v>
      </c>
      <c r="AJ465" s="741"/>
      <c r="AK465" s="741">
        <v>100</v>
      </c>
      <c r="AL465" s="741">
        <v>114</v>
      </c>
      <c r="AM465" s="742">
        <v>2030</v>
      </c>
      <c r="AN465" s="743">
        <f t="shared" si="24"/>
        <v>0.72561403508771938</v>
      </c>
      <c r="AO465" s="744">
        <f t="shared" si="25"/>
        <v>0.87397000789265977</v>
      </c>
      <c r="AP465" s="745">
        <f>'09월 에너지'!S467</f>
        <v>145.69999999999999</v>
      </c>
    </row>
    <row r="466" spans="1:44" ht="16.5" customHeight="1">
      <c r="A466" s="999">
        <f>'09월 조업일지'!A466</f>
        <v>46282</v>
      </c>
      <c r="B466" s="1100">
        <f>'09월 조업일지'!B466</f>
        <v>46282</v>
      </c>
      <c r="C466" s="730">
        <f>'09월 조업일지'!G466</f>
        <v>85668</v>
      </c>
      <c r="D466" s="731" t="str">
        <f>'09월 조업일지'!E466</f>
        <v>B</v>
      </c>
      <c r="E466" s="1234" t="str">
        <f>'09월 조업일지'!F466</f>
        <v>A</v>
      </c>
      <c r="F466" s="1096" t="str">
        <f>'09월 에너지'!F468</f>
        <v>SS275[CS공장]</v>
      </c>
      <c r="G466" s="733">
        <v>7</v>
      </c>
      <c r="H466" s="734">
        <v>17</v>
      </c>
      <c r="I466" s="734">
        <v>53</v>
      </c>
      <c r="J466" s="734">
        <v>17</v>
      </c>
      <c r="K466" s="735">
        <v>27</v>
      </c>
      <c r="L466" s="734">
        <v>15</v>
      </c>
      <c r="M466" s="736">
        <v>13</v>
      </c>
      <c r="N466" s="737">
        <v>412</v>
      </c>
      <c r="O466" s="737"/>
      <c r="P466" s="737">
        <v>1017</v>
      </c>
      <c r="Q466" s="737">
        <v>951</v>
      </c>
      <c r="R466" s="737"/>
      <c r="S466" s="737"/>
      <c r="T466" s="737">
        <v>50</v>
      </c>
      <c r="U466" s="738"/>
      <c r="V466" s="739">
        <v>418</v>
      </c>
      <c r="W466" s="737"/>
      <c r="X466" s="737">
        <v>1015</v>
      </c>
      <c r="Y466" s="737">
        <v>903</v>
      </c>
      <c r="Z466" s="1202">
        <v>42</v>
      </c>
      <c r="AA466" s="740"/>
      <c r="AB466" s="739"/>
      <c r="AC466" s="741"/>
      <c r="AD466" s="741">
        <v>291</v>
      </c>
      <c r="AE466" s="741">
        <v>331</v>
      </c>
      <c r="AF466" s="741">
        <v>93</v>
      </c>
      <c r="AG466" s="741"/>
      <c r="AH466" s="741">
        <v>901</v>
      </c>
      <c r="AI466" s="741">
        <v>329</v>
      </c>
      <c r="AJ466" s="741"/>
      <c r="AK466" s="741">
        <v>108</v>
      </c>
      <c r="AL466" s="741">
        <v>111</v>
      </c>
      <c r="AM466" s="742">
        <v>3042</v>
      </c>
      <c r="AN466" s="743">
        <f t="shared" si="24"/>
        <v>0.55334676516677861</v>
      </c>
      <c r="AO466" s="744">
        <f t="shared" si="25"/>
        <v>0.87604249246868571</v>
      </c>
      <c r="AP466" s="745">
        <f>'09월 에너지'!S468</f>
        <v>145.4</v>
      </c>
    </row>
    <row r="467" spans="1:44" ht="16.5" customHeight="1">
      <c r="A467" s="999">
        <f>'09월 조업일지'!A467</f>
        <v>46282</v>
      </c>
      <c r="B467" s="1100">
        <f>'09월 조업일지'!B467</f>
        <v>46282</v>
      </c>
      <c r="C467" s="730">
        <f>'09월 조업일지'!G467</f>
        <v>85669</v>
      </c>
      <c r="D467" s="731" t="str">
        <f>'09월 조업일지'!E467</f>
        <v>C</v>
      </c>
      <c r="E467" s="1234" t="str">
        <f>'09월 조업일지'!F467</f>
        <v>A</v>
      </c>
      <c r="F467" s="1231" t="str">
        <f>'09월 에너지'!F469</f>
        <v>DKOIL</v>
      </c>
      <c r="G467" s="733">
        <v>8</v>
      </c>
      <c r="H467" s="734">
        <v>11</v>
      </c>
      <c r="I467" s="734">
        <v>46</v>
      </c>
      <c r="J467" s="734">
        <v>20</v>
      </c>
      <c r="K467" s="735">
        <v>37</v>
      </c>
      <c r="L467" s="734">
        <v>14</v>
      </c>
      <c r="M467" s="736">
        <v>8</v>
      </c>
      <c r="N467" s="737">
        <v>416</v>
      </c>
      <c r="O467" s="737"/>
      <c r="P467" s="737">
        <v>1015</v>
      </c>
      <c r="Q467" s="737">
        <v>950</v>
      </c>
      <c r="R467" s="737"/>
      <c r="S467" s="737"/>
      <c r="T467" s="737">
        <v>47</v>
      </c>
      <c r="U467" s="738"/>
      <c r="V467" s="739">
        <v>421</v>
      </c>
      <c r="W467" s="737"/>
      <c r="X467" s="737">
        <v>1013</v>
      </c>
      <c r="Y467" s="737">
        <v>904</v>
      </c>
      <c r="Z467" s="1202">
        <v>50</v>
      </c>
      <c r="AA467" s="740"/>
      <c r="AB467" s="739"/>
      <c r="AC467" s="741"/>
      <c r="AD467" s="741">
        <v>293</v>
      </c>
      <c r="AE467" s="741">
        <v>330</v>
      </c>
      <c r="AF467" s="741">
        <v>100</v>
      </c>
      <c r="AG467" s="741"/>
      <c r="AH467" s="741">
        <v>653</v>
      </c>
      <c r="AI467" s="741">
        <v>338</v>
      </c>
      <c r="AJ467" s="741"/>
      <c r="AK467" s="741">
        <v>111</v>
      </c>
      <c r="AL467" s="741">
        <v>121</v>
      </c>
      <c r="AM467" s="742">
        <v>1666</v>
      </c>
      <c r="AN467" s="743">
        <f t="shared" si="24"/>
        <v>0.20576486066260019</v>
      </c>
      <c r="AO467" s="744">
        <f t="shared" si="25"/>
        <v>0.53034346970028445</v>
      </c>
      <c r="AP467" s="745">
        <f>'09월 에너지'!S469</f>
        <v>78.2</v>
      </c>
    </row>
    <row r="468" spans="1:44" ht="16.5" customHeight="1">
      <c r="A468" s="999">
        <f>'09월 조업일지'!A468</f>
        <v>46282</v>
      </c>
      <c r="B468" s="1100">
        <f>'09월 조업일지'!B468</f>
        <v>46282</v>
      </c>
      <c r="C468" s="730">
        <f>'09월 조업일지'!G468</f>
        <v>85670</v>
      </c>
      <c r="D468" s="731" t="str">
        <f>'09월 조업일지'!E468</f>
        <v>C</v>
      </c>
      <c r="E468" s="1234" t="str">
        <f>'09월 조업일지'!F468</f>
        <v>A</v>
      </c>
      <c r="F468" s="1096" t="str">
        <f>'09월 에너지'!F470</f>
        <v>DKOIL</v>
      </c>
      <c r="G468" s="733">
        <v>12</v>
      </c>
      <c r="H468" s="734">
        <v>10</v>
      </c>
      <c r="I468" s="734">
        <v>46</v>
      </c>
      <c r="J468" s="734">
        <v>17</v>
      </c>
      <c r="K468" s="735">
        <v>32</v>
      </c>
      <c r="L468" s="734">
        <v>15</v>
      </c>
      <c r="M468" s="736">
        <v>10</v>
      </c>
      <c r="N468" s="737">
        <v>422</v>
      </c>
      <c r="O468" s="737"/>
      <c r="P468" s="737">
        <v>1000</v>
      </c>
      <c r="Q468" s="737">
        <v>964</v>
      </c>
      <c r="R468" s="737"/>
      <c r="S468" s="737"/>
      <c r="T468" s="737">
        <v>47</v>
      </c>
      <c r="U468" s="738"/>
      <c r="V468" s="739">
        <v>415</v>
      </c>
      <c r="W468" s="737"/>
      <c r="X468" s="737">
        <v>1000</v>
      </c>
      <c r="Y468" s="737">
        <v>903</v>
      </c>
      <c r="Z468" s="1202">
        <v>47</v>
      </c>
      <c r="AA468" s="740"/>
      <c r="AB468" s="739">
        <v>87</v>
      </c>
      <c r="AC468" s="741"/>
      <c r="AD468" s="741">
        <v>250</v>
      </c>
      <c r="AE468" s="741">
        <v>200</v>
      </c>
      <c r="AF468" s="741">
        <v>87</v>
      </c>
      <c r="AG468" s="741"/>
      <c r="AH468" s="741">
        <v>767</v>
      </c>
      <c r="AI468" s="741">
        <v>183</v>
      </c>
      <c r="AJ468" s="741"/>
      <c r="AK468" s="741">
        <v>222</v>
      </c>
      <c r="AL468" s="741">
        <v>139</v>
      </c>
      <c r="AM468" s="742">
        <v>865</v>
      </c>
      <c r="AN468" s="743">
        <f t="shared" si="24"/>
        <v>0.36861219195849543</v>
      </c>
      <c r="AO468" s="744">
        <f t="shared" si="25"/>
        <v>0.82046936114732727</v>
      </c>
      <c r="AP468" s="745">
        <f>'09월 에너지'!S470</f>
        <v>142.1</v>
      </c>
    </row>
    <row r="469" spans="1:44" ht="16.5" customHeight="1">
      <c r="A469" s="999">
        <f>'09월 조업일지'!A469</f>
        <v>46282</v>
      </c>
      <c r="B469" s="1100">
        <f>'09월 조업일지'!B469</f>
        <v>46282</v>
      </c>
      <c r="C469" s="730">
        <f>'09월 조업일지'!G469</f>
        <v>85671</v>
      </c>
      <c r="D469" s="731" t="str">
        <f>'09월 조업일지'!E469</f>
        <v>C</v>
      </c>
      <c r="E469" s="1234" t="str">
        <f>'09월 조업일지'!F469</f>
        <v>A</v>
      </c>
      <c r="F469" s="1096" t="str">
        <f>'09월 에너지'!F471</f>
        <v>DKOIL</v>
      </c>
      <c r="G469" s="733">
        <v>16</v>
      </c>
      <c r="H469" s="734">
        <v>16</v>
      </c>
      <c r="I469" s="734">
        <v>54</v>
      </c>
      <c r="J469" s="734">
        <v>19</v>
      </c>
      <c r="K469" s="735">
        <v>35</v>
      </c>
      <c r="L469" s="734">
        <v>16</v>
      </c>
      <c r="M469" s="736">
        <v>20</v>
      </c>
      <c r="N469" s="737">
        <v>419</v>
      </c>
      <c r="O469" s="737"/>
      <c r="P469" s="737">
        <v>1198</v>
      </c>
      <c r="Q469" s="737">
        <v>953</v>
      </c>
      <c r="R469" s="737"/>
      <c r="S469" s="737"/>
      <c r="T469" s="737">
        <v>52</v>
      </c>
      <c r="U469" s="738"/>
      <c r="V469" s="739">
        <v>4132</v>
      </c>
      <c r="W469" s="737"/>
      <c r="X469" s="737">
        <v>1201</v>
      </c>
      <c r="Y469" s="737">
        <v>902</v>
      </c>
      <c r="Z469" s="1202">
        <v>41</v>
      </c>
      <c r="AA469" s="740"/>
      <c r="AB469" s="739">
        <v>83</v>
      </c>
      <c r="AC469" s="741"/>
      <c r="AD469" s="741">
        <v>251</v>
      </c>
      <c r="AE469" s="741">
        <v>201</v>
      </c>
      <c r="AF469" s="741">
        <v>93</v>
      </c>
      <c r="AG469" s="741"/>
      <c r="AH469" s="741">
        <v>770</v>
      </c>
      <c r="AI469" s="741">
        <v>187</v>
      </c>
      <c r="AJ469" s="741"/>
      <c r="AK469" s="741">
        <v>216</v>
      </c>
      <c r="AL469" s="741">
        <v>136</v>
      </c>
      <c r="AM469" s="742">
        <v>823</v>
      </c>
      <c r="AN469" s="743">
        <f t="shared" si="24"/>
        <v>0.61118463734267547</v>
      </c>
      <c r="AO469" s="744">
        <f t="shared" si="25"/>
        <v>1.0650834879406308</v>
      </c>
      <c r="AP469" s="745">
        <f>'09월 에너지'!S471</f>
        <v>147.19999999999999</v>
      </c>
    </row>
    <row r="470" spans="1:44" ht="16.5" customHeight="1">
      <c r="A470" s="999">
        <f>'09월 조업일지'!A470</f>
        <v>46283</v>
      </c>
      <c r="B470" s="1100">
        <f>'09월 조업일지'!B470</f>
        <v>46282</v>
      </c>
      <c r="C470" s="730">
        <f>'09월 조업일지'!G470</f>
        <v>85672</v>
      </c>
      <c r="D470" s="731" t="str">
        <f>'09월 조업일지'!E470</f>
        <v>C</v>
      </c>
      <c r="E470" s="1234" t="str">
        <f>'09월 조업일지'!F470</f>
        <v>A</v>
      </c>
      <c r="F470" s="1096" t="str">
        <f>'09월 에너지'!F472</f>
        <v>DKOIL</v>
      </c>
      <c r="G470" s="733">
        <v>25</v>
      </c>
      <c r="H470" s="734">
        <v>11</v>
      </c>
      <c r="I470" s="734">
        <v>51</v>
      </c>
      <c r="J470" s="734">
        <v>14</v>
      </c>
      <c r="K470" s="735">
        <v>28</v>
      </c>
      <c r="L470" s="734">
        <v>13</v>
      </c>
      <c r="M470" s="736">
        <v>10</v>
      </c>
      <c r="N470" s="737">
        <v>413</v>
      </c>
      <c r="O470" s="737"/>
      <c r="P470" s="737">
        <v>1200</v>
      </c>
      <c r="Q470" s="737">
        <v>952</v>
      </c>
      <c r="R470" s="737"/>
      <c r="S470" s="737"/>
      <c r="T470" s="737">
        <v>46</v>
      </c>
      <c r="U470" s="738"/>
      <c r="V470" s="739">
        <v>417</v>
      </c>
      <c r="W470" s="737"/>
      <c r="X470" s="737">
        <v>1201</v>
      </c>
      <c r="Y470" s="737">
        <v>903</v>
      </c>
      <c r="Z470" s="1202">
        <v>41</v>
      </c>
      <c r="AA470" s="740"/>
      <c r="AB470" s="739">
        <v>85</v>
      </c>
      <c r="AC470" s="741"/>
      <c r="AD470" s="741">
        <v>250</v>
      </c>
      <c r="AE470" s="741">
        <v>200</v>
      </c>
      <c r="AF470" s="741">
        <v>98</v>
      </c>
      <c r="AG470" s="741"/>
      <c r="AH470" s="741">
        <v>762</v>
      </c>
      <c r="AI470" s="741">
        <v>176</v>
      </c>
      <c r="AJ470" s="741"/>
      <c r="AK470" s="741">
        <v>217</v>
      </c>
      <c r="AL470" s="741">
        <v>137</v>
      </c>
      <c r="AM470" s="742">
        <v>1778</v>
      </c>
      <c r="AN470" s="743">
        <f t="shared" si="24"/>
        <v>0.42860557768924307</v>
      </c>
      <c r="AO470" s="744">
        <f t="shared" si="25"/>
        <v>0.99010123734533184</v>
      </c>
      <c r="AP470" s="745">
        <f>'09월 에너지'!S472</f>
        <v>146.69999999999999</v>
      </c>
    </row>
    <row r="471" spans="1:44" ht="16.5" customHeight="1">
      <c r="A471" s="999">
        <f>'09월 조업일지'!A471</f>
        <v>46283</v>
      </c>
      <c r="B471" s="1100">
        <f>'09월 조업일지'!B471</f>
        <v>46282</v>
      </c>
      <c r="C471" s="730">
        <f>'09월 조업일지'!G471</f>
        <v>85673</v>
      </c>
      <c r="D471" s="731" t="str">
        <f>'09월 조업일지'!E471</f>
        <v>C</v>
      </c>
      <c r="E471" s="1234" t="str">
        <f>'09월 조업일지'!F471</f>
        <v>A</v>
      </c>
      <c r="F471" s="1096" t="str">
        <f>'09월 에너지'!F473</f>
        <v>DKOIL</v>
      </c>
      <c r="G471" s="733">
        <v>13</v>
      </c>
      <c r="H471" s="734">
        <v>14</v>
      </c>
      <c r="I471" s="734">
        <v>46</v>
      </c>
      <c r="J471" s="734">
        <v>15</v>
      </c>
      <c r="K471" s="735">
        <v>30</v>
      </c>
      <c r="L471" s="734">
        <v>11</v>
      </c>
      <c r="M471" s="736">
        <v>12</v>
      </c>
      <c r="N471" s="737">
        <v>412</v>
      </c>
      <c r="O471" s="737"/>
      <c r="P471" s="737">
        <v>1201</v>
      </c>
      <c r="Q471" s="737">
        <v>950</v>
      </c>
      <c r="R471" s="737"/>
      <c r="S471" s="737"/>
      <c r="T471" s="737">
        <v>52</v>
      </c>
      <c r="U471" s="738"/>
      <c r="V471" s="739">
        <v>414</v>
      </c>
      <c r="W471" s="737"/>
      <c r="X471" s="737">
        <v>1202</v>
      </c>
      <c r="Y471" s="737">
        <v>902</v>
      </c>
      <c r="Z471" s="1202">
        <v>43</v>
      </c>
      <c r="AA471" s="740"/>
      <c r="AB471" s="739">
        <v>84</v>
      </c>
      <c r="AC471" s="741"/>
      <c r="AD471" s="741">
        <v>250</v>
      </c>
      <c r="AE471" s="741">
        <v>201</v>
      </c>
      <c r="AF471" s="741">
        <v>97</v>
      </c>
      <c r="AG471" s="741"/>
      <c r="AH471" s="741">
        <v>768</v>
      </c>
      <c r="AI471" s="741">
        <v>183</v>
      </c>
      <c r="AJ471" s="741"/>
      <c r="AK471" s="741">
        <v>217</v>
      </c>
      <c r="AL471" s="741">
        <v>148</v>
      </c>
      <c r="AM471" s="742">
        <v>1702</v>
      </c>
      <c r="AN471" s="743">
        <f t="shared" si="24"/>
        <v>0.54258460734352543</v>
      </c>
      <c r="AO471" s="744">
        <f t="shared" si="25"/>
        <v>0.85515252976190492</v>
      </c>
      <c r="AP471" s="745">
        <f>'09월 에너지'!S473</f>
        <v>148.30000000000001</v>
      </c>
    </row>
    <row r="472" spans="1:44" ht="16.5" customHeight="1">
      <c r="A472" s="999">
        <f>'09월 조업일지'!A472</f>
        <v>46283</v>
      </c>
      <c r="B472" s="1100">
        <f>'09월 조업일지'!B472</f>
        <v>46283</v>
      </c>
      <c r="C472" s="730">
        <f>'09월 조업일지'!G472</f>
        <v>85674</v>
      </c>
      <c r="D472" s="731" t="str">
        <f>'09월 조업일지'!E472</f>
        <v>A</v>
      </c>
      <c r="E472" s="1234" t="str">
        <f>'09월 조업일지'!F472</f>
        <v>A</v>
      </c>
      <c r="F472" s="1096" t="str">
        <f>'09월 에너지'!F474</f>
        <v>DKOIL</v>
      </c>
      <c r="G472" s="733">
        <v>16</v>
      </c>
      <c r="H472" s="734">
        <v>16</v>
      </c>
      <c r="I472" s="734">
        <v>54</v>
      </c>
      <c r="J472" s="734">
        <v>22</v>
      </c>
      <c r="K472" s="735">
        <v>37</v>
      </c>
      <c r="L472" s="734">
        <v>11</v>
      </c>
      <c r="M472" s="736">
        <v>12</v>
      </c>
      <c r="N472" s="737">
        <v>415</v>
      </c>
      <c r="O472" s="737"/>
      <c r="P472" s="737">
        <v>1201</v>
      </c>
      <c r="Q472" s="737">
        <v>953</v>
      </c>
      <c r="R472" s="737"/>
      <c r="S472" s="737"/>
      <c r="T472" s="737">
        <v>51</v>
      </c>
      <c r="U472" s="738"/>
      <c r="V472" s="739">
        <v>421</v>
      </c>
      <c r="W472" s="737"/>
      <c r="X472" s="737">
        <v>1199</v>
      </c>
      <c r="Y472" s="737">
        <v>906</v>
      </c>
      <c r="Z472" s="1202">
        <v>44</v>
      </c>
      <c r="AA472" s="740"/>
      <c r="AB472" s="739">
        <v>87</v>
      </c>
      <c r="AC472" s="741"/>
      <c r="AD472" s="741">
        <v>250</v>
      </c>
      <c r="AE472" s="741">
        <v>201</v>
      </c>
      <c r="AF472" s="741">
        <v>97</v>
      </c>
      <c r="AG472" s="741">
        <v>0</v>
      </c>
      <c r="AH472" s="741">
        <v>775</v>
      </c>
      <c r="AI472" s="741">
        <v>187</v>
      </c>
      <c r="AJ472" s="741">
        <v>0</v>
      </c>
      <c r="AK472" s="741">
        <v>226</v>
      </c>
      <c r="AL472" s="741">
        <v>141</v>
      </c>
      <c r="AM472" s="742">
        <v>2422</v>
      </c>
      <c r="AN472" s="743">
        <f t="shared" si="24"/>
        <v>0.59495026778882931</v>
      </c>
      <c r="AO472" s="744">
        <f t="shared" si="25"/>
        <v>1.048147465437788</v>
      </c>
      <c r="AP472" s="745">
        <f>'09월 에너지'!S474</f>
        <v>145.80000000000001</v>
      </c>
    </row>
    <row r="473" spans="1:44" ht="16.5" customHeight="1">
      <c r="A473" s="999">
        <f>'09월 조업일지'!A473</f>
        <v>46283</v>
      </c>
      <c r="B473" s="1100">
        <f>'09월 조업일지'!B473</f>
        <v>46283</v>
      </c>
      <c r="C473" s="730">
        <f>'09월 조업일지'!G473</f>
        <v>85675</v>
      </c>
      <c r="D473" s="731" t="str">
        <f>'09월 조업일지'!E473</f>
        <v>A</v>
      </c>
      <c r="E473" s="1234" t="str">
        <f>'09월 조업일지'!F473</f>
        <v>A</v>
      </c>
      <c r="F473" s="1096" t="str">
        <f>'09월 에너지'!F475</f>
        <v>DKOIL</v>
      </c>
      <c r="G473" s="733">
        <v>19</v>
      </c>
      <c r="H473" s="734">
        <v>19</v>
      </c>
      <c r="I473" s="734">
        <v>55</v>
      </c>
      <c r="J473" s="734">
        <v>16</v>
      </c>
      <c r="K473" s="735">
        <v>31</v>
      </c>
      <c r="L473" s="734">
        <v>11</v>
      </c>
      <c r="M473" s="736">
        <v>10</v>
      </c>
      <c r="N473" s="737">
        <v>414</v>
      </c>
      <c r="O473" s="737"/>
      <c r="P473" s="737">
        <v>1103</v>
      </c>
      <c r="Q473" s="737">
        <v>952</v>
      </c>
      <c r="R473" s="737"/>
      <c r="S473" s="737"/>
      <c r="T473" s="737">
        <v>54</v>
      </c>
      <c r="U473" s="738"/>
      <c r="V473" s="739">
        <v>418</v>
      </c>
      <c r="W473" s="737"/>
      <c r="X473" s="737">
        <v>1101</v>
      </c>
      <c r="Y473" s="737">
        <v>902</v>
      </c>
      <c r="Z473" s="1202">
        <v>42</v>
      </c>
      <c r="AA473" s="740"/>
      <c r="AB473" s="739">
        <v>85</v>
      </c>
      <c r="AC473" s="741"/>
      <c r="AD473" s="741">
        <v>250</v>
      </c>
      <c r="AE473" s="741">
        <v>200</v>
      </c>
      <c r="AF473" s="741">
        <v>84</v>
      </c>
      <c r="AG473" s="741">
        <v>0</v>
      </c>
      <c r="AH473" s="741">
        <v>762</v>
      </c>
      <c r="AI473" s="741">
        <v>183</v>
      </c>
      <c r="AJ473" s="741">
        <v>0</v>
      </c>
      <c r="AK473" s="741">
        <v>217</v>
      </c>
      <c r="AL473" s="741">
        <v>145</v>
      </c>
      <c r="AM473" s="742">
        <v>2233</v>
      </c>
      <c r="AN473" s="743">
        <f t="shared" si="24"/>
        <v>0.70774066797642443</v>
      </c>
      <c r="AO473" s="744">
        <f t="shared" si="25"/>
        <v>1.0663667041619798</v>
      </c>
      <c r="AP473" s="745">
        <f>'09월 에너지'!S475</f>
        <v>142.19999999999999</v>
      </c>
    </row>
    <row r="474" spans="1:44" ht="16.5" customHeight="1">
      <c r="A474" s="999">
        <f>'09월 조업일지'!A474</f>
        <v>46283</v>
      </c>
      <c r="B474" s="1100">
        <f>'09월 조업일지'!B474</f>
        <v>46283</v>
      </c>
      <c r="C474" s="730">
        <f>'09월 조업일지'!G474</f>
        <v>85676</v>
      </c>
      <c r="D474" s="731" t="str">
        <f>'09월 조업일지'!E474</f>
        <v>A</v>
      </c>
      <c r="E474" s="1234" t="str">
        <f>'09월 조업일지'!F474</f>
        <v>A</v>
      </c>
      <c r="F474" s="1096" t="str">
        <f>'09월 에너지'!F476</f>
        <v>DKOIL</v>
      </c>
      <c r="G474" s="733">
        <v>12</v>
      </c>
      <c r="H474" s="734">
        <v>16</v>
      </c>
      <c r="I474" s="734">
        <v>52</v>
      </c>
      <c r="J474" s="734">
        <v>14</v>
      </c>
      <c r="K474" s="735">
        <v>24</v>
      </c>
      <c r="L474" s="734">
        <v>10</v>
      </c>
      <c r="M474" s="736">
        <v>10</v>
      </c>
      <c r="N474" s="737">
        <v>419</v>
      </c>
      <c r="O474" s="737"/>
      <c r="P474" s="737">
        <v>1100</v>
      </c>
      <c r="Q474" s="737">
        <v>952</v>
      </c>
      <c r="R474" s="737"/>
      <c r="S474" s="737"/>
      <c r="T474" s="737">
        <v>55</v>
      </c>
      <c r="U474" s="738"/>
      <c r="V474" s="739">
        <v>417</v>
      </c>
      <c r="W474" s="737"/>
      <c r="X474" s="737">
        <v>1150</v>
      </c>
      <c r="Y474" s="737">
        <v>902</v>
      </c>
      <c r="Z474" s="1202">
        <v>45</v>
      </c>
      <c r="AA474" s="740"/>
      <c r="AB474" s="739">
        <v>0</v>
      </c>
      <c r="AC474" s="741"/>
      <c r="AD474" s="741">
        <v>251</v>
      </c>
      <c r="AE474" s="741">
        <v>200</v>
      </c>
      <c r="AF474" s="741">
        <v>84</v>
      </c>
      <c r="AG474" s="741">
        <v>0</v>
      </c>
      <c r="AH474" s="741">
        <v>780</v>
      </c>
      <c r="AI474" s="741">
        <v>180</v>
      </c>
      <c r="AJ474" s="741">
        <v>0</v>
      </c>
      <c r="AK474" s="741">
        <v>221</v>
      </c>
      <c r="AL474" s="741">
        <v>152</v>
      </c>
      <c r="AM474" s="742">
        <v>3032</v>
      </c>
      <c r="AN474" s="743">
        <f t="shared" si="24"/>
        <v>0.60239209568382734</v>
      </c>
      <c r="AO474" s="744">
        <f t="shared" si="25"/>
        <v>0.98124542124542125</v>
      </c>
      <c r="AP474" s="745">
        <f>'09월 에너지'!S476</f>
        <v>144.80000000000001</v>
      </c>
      <c r="AR474" s="664" t="s">
        <v>424</v>
      </c>
    </row>
    <row r="475" spans="1:44" ht="16.5" customHeight="1">
      <c r="A475" s="999">
        <f>'09월 조업일지'!A475</f>
        <v>46283</v>
      </c>
      <c r="B475" s="1100">
        <f>'09월 조업일지'!B475</f>
        <v>46283</v>
      </c>
      <c r="C475" s="730">
        <f>'09월 조업일지'!G475</f>
        <v>85677</v>
      </c>
      <c r="D475" s="731" t="str">
        <f>'09월 조업일지'!E475</f>
        <v>A</v>
      </c>
      <c r="E475" s="1234" t="str">
        <f>'09월 조업일지'!F475</f>
        <v>A</v>
      </c>
      <c r="F475" s="1096" t="str">
        <f>'09월 에너지'!F477</f>
        <v>DKOIL</v>
      </c>
      <c r="G475" s="733">
        <v>13</v>
      </c>
      <c r="H475" s="734">
        <v>17</v>
      </c>
      <c r="I475" s="734">
        <v>59</v>
      </c>
      <c r="J475" s="734">
        <v>18</v>
      </c>
      <c r="K475" s="735">
        <v>30</v>
      </c>
      <c r="L475" s="734">
        <v>8</v>
      </c>
      <c r="M475" s="736">
        <v>8</v>
      </c>
      <c r="N475" s="737">
        <v>418</v>
      </c>
      <c r="O475" s="737"/>
      <c r="P475" s="737">
        <v>1151</v>
      </c>
      <c r="Q475" s="737">
        <v>951</v>
      </c>
      <c r="R475" s="737"/>
      <c r="S475" s="737"/>
      <c r="T475" s="737">
        <v>53</v>
      </c>
      <c r="U475" s="738"/>
      <c r="V475" s="739">
        <v>617</v>
      </c>
      <c r="W475" s="737"/>
      <c r="X475" s="737">
        <v>1150</v>
      </c>
      <c r="Y475" s="737">
        <v>902</v>
      </c>
      <c r="Z475" s="1202">
        <v>48</v>
      </c>
      <c r="AA475" s="740"/>
      <c r="AB475" s="739">
        <v>0</v>
      </c>
      <c r="AC475" s="741"/>
      <c r="AD475" s="741">
        <v>250</v>
      </c>
      <c r="AE475" s="741">
        <v>200</v>
      </c>
      <c r="AF475" s="741">
        <v>102</v>
      </c>
      <c r="AG475" s="741">
        <v>0</v>
      </c>
      <c r="AH475" s="741">
        <v>767</v>
      </c>
      <c r="AI475" s="741">
        <v>182</v>
      </c>
      <c r="AJ475" s="741">
        <v>0</v>
      </c>
      <c r="AK475" s="741">
        <v>224</v>
      </c>
      <c r="AL475" s="741">
        <v>144</v>
      </c>
      <c r="AM475" s="742">
        <v>2239</v>
      </c>
      <c r="AN475" s="743">
        <f t="shared" si="24"/>
        <v>0.64440989765513657</v>
      </c>
      <c r="AO475" s="744">
        <f t="shared" si="25"/>
        <v>1.1989569752281617</v>
      </c>
      <c r="AP475" s="745">
        <f>'09월 에너지'!S477</f>
        <v>146.30000000000001</v>
      </c>
    </row>
    <row r="476" spans="1:44" ht="16.5" customHeight="1">
      <c r="A476" s="999">
        <f>'09월 조업일지'!A476</f>
        <v>46283</v>
      </c>
      <c r="B476" s="1100">
        <f>'09월 조업일지'!B476</f>
        <v>46283</v>
      </c>
      <c r="C476" s="730">
        <f>'09월 조업일지'!G476</f>
        <v>85678</v>
      </c>
      <c r="D476" s="731" t="str">
        <f>'09월 조업일지'!E476</f>
        <v>A</v>
      </c>
      <c r="E476" s="1234" t="str">
        <f>'09월 조업일지'!F476</f>
        <v>A</v>
      </c>
      <c r="F476" s="1096" t="str">
        <f>'09월 에너지'!F478</f>
        <v>DKOIL</v>
      </c>
      <c r="G476" s="733">
        <v>11</v>
      </c>
      <c r="H476" s="734">
        <v>15</v>
      </c>
      <c r="I476" s="734">
        <v>49</v>
      </c>
      <c r="J476" s="734">
        <v>13</v>
      </c>
      <c r="K476" s="735">
        <v>32</v>
      </c>
      <c r="L476" s="734">
        <v>11</v>
      </c>
      <c r="M476" s="736">
        <v>10</v>
      </c>
      <c r="N476" s="737">
        <v>411</v>
      </c>
      <c r="O476" s="737"/>
      <c r="P476" s="737">
        <v>1150</v>
      </c>
      <c r="Q476" s="737">
        <v>954</v>
      </c>
      <c r="R476" s="737"/>
      <c r="S476" s="737"/>
      <c r="T476" s="737">
        <v>53</v>
      </c>
      <c r="U476" s="738"/>
      <c r="V476" s="739">
        <v>415</v>
      </c>
      <c r="W476" s="737"/>
      <c r="X476" s="737">
        <v>1151</v>
      </c>
      <c r="Y476" s="737">
        <v>901</v>
      </c>
      <c r="Z476" s="1202">
        <v>39</v>
      </c>
      <c r="AA476" s="740"/>
      <c r="AB476" s="739">
        <v>0</v>
      </c>
      <c r="AC476" s="741"/>
      <c r="AD476" s="741">
        <v>251</v>
      </c>
      <c r="AE476" s="741">
        <v>200</v>
      </c>
      <c r="AF476" s="741">
        <v>96</v>
      </c>
      <c r="AG476" s="741">
        <v>0</v>
      </c>
      <c r="AH476" s="741">
        <v>767</v>
      </c>
      <c r="AI476" s="741">
        <v>178</v>
      </c>
      <c r="AJ476" s="741">
        <v>0</v>
      </c>
      <c r="AK476" s="741">
        <v>215</v>
      </c>
      <c r="AL476" s="741">
        <v>143</v>
      </c>
      <c r="AM476" s="742">
        <v>1874</v>
      </c>
      <c r="AN476" s="743">
        <f t="shared" si="24"/>
        <v>0.56058800158919353</v>
      </c>
      <c r="AO476" s="744">
        <f t="shared" si="25"/>
        <v>0.89353697150307321</v>
      </c>
      <c r="AP476" s="745">
        <f>'09월 에너지'!S478</f>
        <v>141.1</v>
      </c>
    </row>
    <row r="477" spans="1:44" ht="16.5" customHeight="1">
      <c r="A477" s="999">
        <f>'09월 조업일지'!A477</f>
        <v>46283</v>
      </c>
      <c r="B477" s="1100">
        <f>'09월 조업일지'!B477</f>
        <v>46283</v>
      </c>
      <c r="C477" s="730">
        <f>'09월 조업일지'!G477</f>
        <v>85679</v>
      </c>
      <c r="D477" s="731" t="str">
        <f>'09월 조업일지'!E477</f>
        <v>A</v>
      </c>
      <c r="E477" s="1234" t="str">
        <f>'09월 조업일지'!F477</f>
        <v>A</v>
      </c>
      <c r="F477" s="1096" t="str">
        <f>'09월 에너지'!F479</f>
        <v>DKOIL</v>
      </c>
      <c r="G477" s="733">
        <v>10</v>
      </c>
      <c r="H477" s="734">
        <v>16</v>
      </c>
      <c r="I477" s="734">
        <v>57</v>
      </c>
      <c r="J477" s="734">
        <v>16</v>
      </c>
      <c r="K477" s="735">
        <v>32</v>
      </c>
      <c r="L477" s="734">
        <v>11</v>
      </c>
      <c r="M477" s="736">
        <v>6</v>
      </c>
      <c r="N477" s="737">
        <v>416</v>
      </c>
      <c r="O477" s="737"/>
      <c r="P477" s="737">
        <v>1150</v>
      </c>
      <c r="Q477" s="737">
        <v>951</v>
      </c>
      <c r="R477" s="737"/>
      <c r="S477" s="737"/>
      <c r="T477" s="737">
        <v>50</v>
      </c>
      <c r="U477" s="738"/>
      <c r="V477" s="739">
        <v>418</v>
      </c>
      <c r="W477" s="737"/>
      <c r="X477" s="737">
        <v>1150</v>
      </c>
      <c r="Y477" s="737">
        <v>902</v>
      </c>
      <c r="Z477" s="1202">
        <v>39</v>
      </c>
      <c r="AA477" s="740"/>
      <c r="AB477" s="739">
        <v>0</v>
      </c>
      <c r="AC477" s="741"/>
      <c r="AD477" s="741">
        <v>250</v>
      </c>
      <c r="AE477" s="741">
        <v>200</v>
      </c>
      <c r="AF477" s="741">
        <v>98</v>
      </c>
      <c r="AG477" s="741">
        <v>0</v>
      </c>
      <c r="AH477" s="741">
        <v>769</v>
      </c>
      <c r="AI477" s="741">
        <v>181</v>
      </c>
      <c r="AJ477" s="741">
        <v>0</v>
      </c>
      <c r="AK477" s="741">
        <v>224</v>
      </c>
      <c r="AL477" s="741">
        <v>148</v>
      </c>
      <c r="AM477" s="742">
        <v>2068</v>
      </c>
      <c r="AN477" s="743">
        <f t="shared" si="24"/>
        <v>0.60845654993514919</v>
      </c>
      <c r="AO477" s="744">
        <f t="shared" si="25"/>
        <v>1.1438231469440834</v>
      </c>
      <c r="AP477" s="745">
        <f>'09월 에너지'!S479</f>
        <v>146.6</v>
      </c>
    </row>
    <row r="478" spans="1:44" ht="16.5" customHeight="1">
      <c r="A478" s="999">
        <f>'09월 조업일지'!A478</f>
        <v>46283</v>
      </c>
      <c r="B478" s="1100">
        <f>'09월 조업일지'!B478</f>
        <v>46283</v>
      </c>
      <c r="C478" s="730">
        <f>'09월 조업일지'!G478</f>
        <v>85680</v>
      </c>
      <c r="D478" s="731" t="str">
        <f>'09월 조업일지'!E478</f>
        <v>A</v>
      </c>
      <c r="E478" s="1234" t="str">
        <f>'09월 조업일지'!F478</f>
        <v>A</v>
      </c>
      <c r="F478" s="1096" t="str">
        <f>'09월 에너지'!F480</f>
        <v>DKOIL</v>
      </c>
      <c r="G478" s="733">
        <v>9</v>
      </c>
      <c r="H478" s="734">
        <v>16</v>
      </c>
      <c r="I478" s="734">
        <v>49</v>
      </c>
      <c r="J478" s="734">
        <v>13</v>
      </c>
      <c r="K478" s="735">
        <v>26</v>
      </c>
      <c r="L478" s="734">
        <v>9</v>
      </c>
      <c r="M478" s="736">
        <v>9</v>
      </c>
      <c r="N478" s="737">
        <v>418</v>
      </c>
      <c r="O478" s="737"/>
      <c r="P478" s="737">
        <v>1150</v>
      </c>
      <c r="Q478" s="737">
        <v>952</v>
      </c>
      <c r="R478" s="737"/>
      <c r="S478" s="737"/>
      <c r="T478" s="737">
        <v>46</v>
      </c>
      <c r="U478" s="738"/>
      <c r="V478" s="739">
        <v>414</v>
      </c>
      <c r="W478" s="737"/>
      <c r="X478" s="737">
        <v>1150</v>
      </c>
      <c r="Y478" s="737">
        <v>900</v>
      </c>
      <c r="Z478" s="1202">
        <v>41</v>
      </c>
      <c r="AA478" s="740"/>
      <c r="AB478" s="739">
        <v>0</v>
      </c>
      <c r="AC478" s="741"/>
      <c r="AD478" s="741">
        <v>250</v>
      </c>
      <c r="AE478" s="741">
        <v>201</v>
      </c>
      <c r="AF478" s="741">
        <v>92</v>
      </c>
      <c r="AG478" s="741">
        <v>0</v>
      </c>
      <c r="AH478" s="741">
        <v>769</v>
      </c>
      <c r="AI478" s="741">
        <v>182</v>
      </c>
      <c r="AJ478" s="741">
        <v>0</v>
      </c>
      <c r="AK478" s="741">
        <v>219</v>
      </c>
      <c r="AL478" s="741">
        <v>133</v>
      </c>
      <c r="AM478" s="742">
        <v>2289</v>
      </c>
      <c r="AN478" s="743">
        <f t="shared" si="24"/>
        <v>0.60952380952380947</v>
      </c>
      <c r="AO478" s="744">
        <f t="shared" si="25"/>
        <v>0.92216236299461274</v>
      </c>
      <c r="AP478" s="745">
        <f>'09월 에너지'!S480</f>
        <v>146</v>
      </c>
    </row>
    <row r="479" spans="1:44" ht="16.5" customHeight="1">
      <c r="A479" s="999">
        <f>'09월 조업일지'!A479</f>
        <v>46283</v>
      </c>
      <c r="B479" s="1100">
        <f>'09월 조업일지'!B479</f>
        <v>46283</v>
      </c>
      <c r="C479" s="730">
        <f>'09월 조업일지'!G479</f>
        <v>85681</v>
      </c>
      <c r="D479" s="731" t="str">
        <f>'09월 조업일지'!E479</f>
        <v>B</v>
      </c>
      <c r="E479" s="1234" t="str">
        <f>'09월 조업일지'!F479</f>
        <v>A</v>
      </c>
      <c r="F479" s="1096" t="str">
        <f>'09월 에너지'!F481</f>
        <v>DKOIL</v>
      </c>
      <c r="G479" s="733">
        <v>13</v>
      </c>
      <c r="H479" s="734">
        <v>15</v>
      </c>
      <c r="I479" s="734">
        <v>50</v>
      </c>
      <c r="J479" s="734">
        <v>14</v>
      </c>
      <c r="K479" s="735">
        <v>34</v>
      </c>
      <c r="L479" s="734">
        <v>10</v>
      </c>
      <c r="M479" s="736">
        <v>8</v>
      </c>
      <c r="N479" s="737">
        <v>422</v>
      </c>
      <c r="O479" s="737"/>
      <c r="P479" s="737">
        <v>1150</v>
      </c>
      <c r="Q479" s="737">
        <v>951</v>
      </c>
      <c r="R479" s="737"/>
      <c r="S479" s="737"/>
      <c r="T479" s="737">
        <v>49</v>
      </c>
      <c r="U479" s="738"/>
      <c r="V479" s="739">
        <v>417</v>
      </c>
      <c r="W479" s="737"/>
      <c r="X479" s="737">
        <v>1150</v>
      </c>
      <c r="Y479" s="737">
        <v>902</v>
      </c>
      <c r="Z479" s="1202">
        <v>49</v>
      </c>
      <c r="AA479" s="740"/>
      <c r="AB479" s="739">
        <v>86</v>
      </c>
      <c r="AC479" s="741"/>
      <c r="AD479" s="741">
        <v>250</v>
      </c>
      <c r="AE479" s="741">
        <v>201</v>
      </c>
      <c r="AF479" s="741">
        <v>91</v>
      </c>
      <c r="AG479" s="741"/>
      <c r="AH479" s="741">
        <v>772</v>
      </c>
      <c r="AI479" s="741">
        <v>184</v>
      </c>
      <c r="AJ479" s="741"/>
      <c r="AK479" s="741">
        <v>215</v>
      </c>
      <c r="AL479" s="741">
        <v>139</v>
      </c>
      <c r="AM479" s="742">
        <v>2372</v>
      </c>
      <c r="AN479" s="743">
        <f t="shared" si="24"/>
        <v>0.57523510971786829</v>
      </c>
      <c r="AO479" s="744">
        <f t="shared" si="25"/>
        <v>0.9507772020725388</v>
      </c>
      <c r="AP479" s="745">
        <f>'09월 에너지'!S481</f>
        <v>146.80000000000001</v>
      </c>
    </row>
    <row r="480" spans="1:44" ht="16.5" customHeight="1">
      <c r="A480" s="999">
        <f>'09월 조업일지'!A480</f>
        <v>46283</v>
      </c>
      <c r="B480" s="1100">
        <f>'09월 조업일지'!B480</f>
        <v>46283</v>
      </c>
      <c r="C480" s="730">
        <f>'09월 조업일지'!G480</f>
        <v>85682</v>
      </c>
      <c r="D480" s="731" t="str">
        <f>'09월 조업일지'!E480</f>
        <v>B</v>
      </c>
      <c r="E480" s="1234" t="str">
        <f>'09월 조업일지'!F480</f>
        <v>A</v>
      </c>
      <c r="F480" s="1096" t="str">
        <f>'09월 에너지'!F482</f>
        <v>DKOIL</v>
      </c>
      <c r="G480" s="733">
        <v>12</v>
      </c>
      <c r="H480" s="734">
        <v>14</v>
      </c>
      <c r="I480" s="734">
        <v>49</v>
      </c>
      <c r="J480" s="734">
        <v>16</v>
      </c>
      <c r="K480" s="735">
        <v>50</v>
      </c>
      <c r="L480" s="734">
        <v>12</v>
      </c>
      <c r="M480" s="736">
        <v>12</v>
      </c>
      <c r="N480" s="737">
        <v>413</v>
      </c>
      <c r="O480" s="737"/>
      <c r="P480" s="737">
        <v>1151</v>
      </c>
      <c r="Q480" s="737">
        <v>953</v>
      </c>
      <c r="R480" s="737"/>
      <c r="S480" s="737"/>
      <c r="T480" s="737">
        <v>52</v>
      </c>
      <c r="U480" s="738"/>
      <c r="V480" s="739">
        <v>416</v>
      </c>
      <c r="W480" s="737"/>
      <c r="X480" s="737">
        <v>1151</v>
      </c>
      <c r="Y480" s="737">
        <v>902</v>
      </c>
      <c r="Z480" s="1202">
        <v>47</v>
      </c>
      <c r="AA480" s="740"/>
      <c r="AB480" s="739">
        <v>84</v>
      </c>
      <c r="AC480" s="741"/>
      <c r="AD480" s="741">
        <v>250</v>
      </c>
      <c r="AE480" s="741">
        <v>200</v>
      </c>
      <c r="AF480" s="741">
        <v>88</v>
      </c>
      <c r="AG480" s="741"/>
      <c r="AH480" s="741">
        <v>770</v>
      </c>
      <c r="AI480" s="741">
        <v>178</v>
      </c>
      <c r="AJ480" s="741"/>
      <c r="AK480" s="741">
        <v>216</v>
      </c>
      <c r="AL480" s="741">
        <v>137</v>
      </c>
      <c r="AM480" s="742">
        <v>2112</v>
      </c>
      <c r="AN480" s="743">
        <f t="shared" si="24"/>
        <v>0.5217643951399894</v>
      </c>
      <c r="AO480" s="744">
        <f t="shared" si="25"/>
        <v>0.89005565862708724</v>
      </c>
      <c r="AP480" s="745">
        <f>'09월 에너지'!S482</f>
        <v>141.1</v>
      </c>
    </row>
    <row r="481" spans="1:42" ht="16.5" customHeight="1">
      <c r="A481" s="999">
        <f>'09월 조업일지'!A481</f>
        <v>46283</v>
      </c>
      <c r="B481" s="1100">
        <f>'09월 조업일지'!B481</f>
        <v>46283</v>
      </c>
      <c r="C481" s="730">
        <f>'09월 조업일지'!G481</f>
        <v>85683</v>
      </c>
      <c r="D481" s="731" t="str">
        <f>'09월 조업일지'!E481</f>
        <v>B</v>
      </c>
      <c r="E481" s="1234" t="str">
        <f>'09월 조업일지'!F481</f>
        <v>A</v>
      </c>
      <c r="F481" s="1096" t="str">
        <f>'09월 에너지'!F483</f>
        <v>DKOIL</v>
      </c>
      <c r="G481" s="733">
        <v>13</v>
      </c>
      <c r="H481" s="734">
        <v>13</v>
      </c>
      <c r="I481" s="734">
        <v>39</v>
      </c>
      <c r="J481" s="734">
        <v>14</v>
      </c>
      <c r="K481" s="735">
        <v>37</v>
      </c>
      <c r="L481" s="734">
        <v>14</v>
      </c>
      <c r="M481" s="736">
        <v>9</v>
      </c>
      <c r="N481" s="737">
        <v>415</v>
      </c>
      <c r="O481" s="737"/>
      <c r="P481" s="737">
        <v>1151</v>
      </c>
      <c r="Q481" s="737">
        <v>951</v>
      </c>
      <c r="R481" s="737"/>
      <c r="S481" s="737"/>
      <c r="T481" s="737">
        <v>55</v>
      </c>
      <c r="U481" s="738"/>
      <c r="V481" s="739">
        <v>416</v>
      </c>
      <c r="W481" s="737"/>
      <c r="X481" s="737">
        <v>1151</v>
      </c>
      <c r="Y481" s="737">
        <v>901</v>
      </c>
      <c r="Z481" s="1202">
        <v>46</v>
      </c>
      <c r="AA481" s="740"/>
      <c r="AB481" s="739">
        <v>83</v>
      </c>
      <c r="AC481" s="741"/>
      <c r="AD481" s="741">
        <v>251</v>
      </c>
      <c r="AE481" s="741">
        <v>201</v>
      </c>
      <c r="AF481" s="741">
        <v>87</v>
      </c>
      <c r="AG481" s="741"/>
      <c r="AH481" s="741">
        <v>773</v>
      </c>
      <c r="AI481" s="741">
        <v>176</v>
      </c>
      <c r="AJ481" s="741"/>
      <c r="AK481" s="741">
        <v>219</v>
      </c>
      <c r="AL481" s="741">
        <v>135</v>
      </c>
      <c r="AM481" s="742">
        <v>2364</v>
      </c>
      <c r="AN481" s="743">
        <f t="shared" si="24"/>
        <v>0.5013575853433504</v>
      </c>
      <c r="AO481" s="744">
        <f t="shared" si="25"/>
        <v>0.6489003880983184</v>
      </c>
      <c r="AP481" s="745">
        <f>'09월 에너지'!S483</f>
        <v>146.30000000000001</v>
      </c>
    </row>
    <row r="482" spans="1:42" ht="16.5" customHeight="1">
      <c r="A482" s="999">
        <f>'09월 조업일지'!A482</f>
        <v>46283</v>
      </c>
      <c r="B482" s="1100">
        <f>'09월 조업일지'!B482</f>
        <v>46283</v>
      </c>
      <c r="C482" s="730">
        <f>'09월 조업일지'!G482</f>
        <v>85684</v>
      </c>
      <c r="D482" s="731" t="str">
        <f>'09월 조업일지'!E482</f>
        <v>B</v>
      </c>
      <c r="E482" s="732" t="str">
        <f>'09월 조업일지'!F482</f>
        <v>A</v>
      </c>
      <c r="F482" s="1096" t="str">
        <f>'09월 에너지'!F484</f>
        <v>DKOIL</v>
      </c>
      <c r="G482" s="733">
        <v>17</v>
      </c>
      <c r="H482" s="734">
        <v>18</v>
      </c>
      <c r="I482" s="734">
        <v>51</v>
      </c>
      <c r="J482" s="734">
        <v>20</v>
      </c>
      <c r="K482" s="735">
        <v>41</v>
      </c>
      <c r="L482" s="734">
        <v>13</v>
      </c>
      <c r="M482" s="736">
        <v>9</v>
      </c>
      <c r="N482" s="737">
        <v>417</v>
      </c>
      <c r="O482" s="737"/>
      <c r="P482" s="737">
        <v>1151</v>
      </c>
      <c r="Q482" s="737">
        <v>953</v>
      </c>
      <c r="R482" s="737"/>
      <c r="S482" s="737"/>
      <c r="T482" s="737">
        <v>49</v>
      </c>
      <c r="U482" s="738"/>
      <c r="V482" s="739">
        <v>412</v>
      </c>
      <c r="W482" s="737"/>
      <c r="X482" s="737">
        <v>1150</v>
      </c>
      <c r="Y482" s="737">
        <v>901</v>
      </c>
      <c r="Z482" s="1202">
        <v>48</v>
      </c>
      <c r="AA482" s="740"/>
      <c r="AB482" s="739">
        <v>87</v>
      </c>
      <c r="AC482" s="741"/>
      <c r="AD482" s="741">
        <v>250</v>
      </c>
      <c r="AE482" s="741">
        <v>200</v>
      </c>
      <c r="AF482" s="741">
        <v>96</v>
      </c>
      <c r="AG482" s="741"/>
      <c r="AH482" s="741">
        <v>765</v>
      </c>
      <c r="AI482" s="741">
        <v>177</v>
      </c>
      <c r="AJ482" s="741"/>
      <c r="AK482" s="741">
        <v>222</v>
      </c>
      <c r="AL482" s="741">
        <v>139</v>
      </c>
      <c r="AM482" s="742">
        <v>2035</v>
      </c>
      <c r="AN482" s="743">
        <f t="shared" si="24"/>
        <v>0.69787234042553192</v>
      </c>
      <c r="AO482" s="744">
        <f t="shared" si="25"/>
        <v>0.99226890756302522</v>
      </c>
      <c r="AP482" s="745">
        <f>'09월 에너지'!S484</f>
        <v>147.6</v>
      </c>
    </row>
    <row r="483" spans="1:42" ht="16.5" customHeight="1">
      <c r="A483" s="999">
        <f>'09월 조업일지'!A483</f>
        <v>46283</v>
      </c>
      <c r="B483" s="1100">
        <f>'09월 조업일지'!B483</f>
        <v>46283</v>
      </c>
      <c r="C483" s="730">
        <f>'09월 조업일지'!G483</f>
        <v>85685</v>
      </c>
      <c r="D483" s="731" t="str">
        <f>'09월 조업일지'!E483</f>
        <v>B</v>
      </c>
      <c r="E483" s="732" t="str">
        <f>'09월 조업일지'!F483</f>
        <v>A</v>
      </c>
      <c r="F483" s="1096" t="str">
        <f>'09월 에너지'!F485</f>
        <v>DKOIL</v>
      </c>
      <c r="G483" s="733">
        <v>16</v>
      </c>
      <c r="H483" s="734">
        <v>17</v>
      </c>
      <c r="I483" s="734">
        <v>54</v>
      </c>
      <c r="J483" s="734">
        <v>19</v>
      </c>
      <c r="K483" s="735">
        <v>42</v>
      </c>
      <c r="L483" s="734">
        <v>11</v>
      </c>
      <c r="M483" s="736">
        <v>9</v>
      </c>
      <c r="N483" s="737">
        <v>420</v>
      </c>
      <c r="O483" s="737"/>
      <c r="P483" s="737">
        <v>1151</v>
      </c>
      <c r="Q483" s="737">
        <v>953</v>
      </c>
      <c r="R483" s="737"/>
      <c r="S483" s="737"/>
      <c r="T483" s="737">
        <v>56</v>
      </c>
      <c r="U483" s="738"/>
      <c r="V483" s="739">
        <v>419</v>
      </c>
      <c r="W483" s="737"/>
      <c r="X483" s="737">
        <v>1150</v>
      </c>
      <c r="Y483" s="737">
        <v>903</v>
      </c>
      <c r="Z483" s="1202">
        <v>44</v>
      </c>
      <c r="AA483" s="740"/>
      <c r="AB483" s="739">
        <v>94</v>
      </c>
      <c r="AC483" s="741"/>
      <c r="AD483" s="741">
        <v>250</v>
      </c>
      <c r="AE483" s="741">
        <v>200</v>
      </c>
      <c r="AF483" s="741">
        <v>94</v>
      </c>
      <c r="AG483" s="741"/>
      <c r="AH483" s="741">
        <v>772</v>
      </c>
      <c r="AI483" s="741">
        <v>180</v>
      </c>
      <c r="AJ483" s="741"/>
      <c r="AK483" s="741">
        <v>215</v>
      </c>
      <c r="AL483" s="741">
        <v>145</v>
      </c>
      <c r="AM483" s="742">
        <v>2013</v>
      </c>
      <c r="AN483" s="743">
        <f t="shared" si="24"/>
        <v>0.65215903106898365</v>
      </c>
      <c r="AO483" s="744">
        <f t="shared" si="25"/>
        <v>1.0514988897113251</v>
      </c>
      <c r="AP483" s="745">
        <f>'09월 에너지'!S485</f>
        <v>145.69999999999999</v>
      </c>
    </row>
    <row r="484" spans="1:42" ht="16.5" customHeight="1">
      <c r="A484" s="999">
        <f>'09월 조업일지'!A484</f>
        <v>46283</v>
      </c>
      <c r="B484" s="1100">
        <f>'09월 조업일지'!B484</f>
        <v>46283</v>
      </c>
      <c r="C484" s="730">
        <f>'09월 조업일지'!G484</f>
        <v>85686</v>
      </c>
      <c r="D484" s="731" t="str">
        <f>'09월 조업일지'!E484</f>
        <v>B</v>
      </c>
      <c r="E484" s="732" t="str">
        <f>'09월 조업일지'!F484</f>
        <v>A</v>
      </c>
      <c r="F484" s="1096" t="str">
        <f>'09월 에너지'!F486</f>
        <v>DKOIL</v>
      </c>
      <c r="G484" s="733">
        <v>14</v>
      </c>
      <c r="H484" s="734">
        <v>15</v>
      </c>
      <c r="I484" s="734">
        <v>56</v>
      </c>
      <c r="J484" s="734">
        <v>15</v>
      </c>
      <c r="K484" s="735">
        <v>30</v>
      </c>
      <c r="L484" s="734">
        <v>9</v>
      </c>
      <c r="M484" s="736">
        <v>6</v>
      </c>
      <c r="N484" s="737">
        <v>417</v>
      </c>
      <c r="O484" s="737"/>
      <c r="P484" s="737">
        <v>1151</v>
      </c>
      <c r="Q484" s="737">
        <v>953</v>
      </c>
      <c r="R484" s="737"/>
      <c r="S484" s="737"/>
      <c r="T484" s="737">
        <v>49</v>
      </c>
      <c r="U484" s="738"/>
      <c r="V484" s="739">
        <v>412</v>
      </c>
      <c r="W484" s="737"/>
      <c r="X484" s="737">
        <v>1150</v>
      </c>
      <c r="Y484" s="737">
        <v>901</v>
      </c>
      <c r="Z484" s="1202">
        <v>48</v>
      </c>
      <c r="AA484" s="740"/>
      <c r="AB484" s="739">
        <v>87</v>
      </c>
      <c r="AC484" s="741"/>
      <c r="AD484" s="741">
        <v>250</v>
      </c>
      <c r="AE484" s="741">
        <v>200</v>
      </c>
      <c r="AF484" s="741">
        <v>96</v>
      </c>
      <c r="AG484" s="741"/>
      <c r="AH484" s="741">
        <v>765</v>
      </c>
      <c r="AI484" s="741">
        <v>177</v>
      </c>
      <c r="AJ484" s="741"/>
      <c r="AK484" s="741">
        <v>222</v>
      </c>
      <c r="AL484" s="741">
        <v>139</v>
      </c>
      <c r="AM484" s="742">
        <v>1873</v>
      </c>
      <c r="AN484" s="743">
        <f t="shared" si="24"/>
        <v>0.59259259259259256</v>
      </c>
      <c r="AO484" s="744">
        <f t="shared" si="25"/>
        <v>1.1515219421101774</v>
      </c>
      <c r="AP484" s="745">
        <f>'09월 에너지'!S486</f>
        <v>150.4</v>
      </c>
    </row>
    <row r="485" spans="1:42" ht="16.5" customHeight="1">
      <c r="A485" s="999">
        <f>'09월 조업일지'!A485</f>
        <v>46283</v>
      </c>
      <c r="B485" s="1100">
        <f>'09월 조업일지'!B485</f>
        <v>46283</v>
      </c>
      <c r="C485" s="730">
        <f>'09월 조업일지'!G485</f>
        <v>85687</v>
      </c>
      <c r="D485" s="731" t="str">
        <f>'09월 조업일지'!E485</f>
        <v>B</v>
      </c>
      <c r="E485" s="732" t="str">
        <f>'09월 조업일지'!F485</f>
        <v>A</v>
      </c>
      <c r="F485" s="1096" t="str">
        <f>'09월 에너지'!F487</f>
        <v>DKOIL</v>
      </c>
      <c r="G485" s="733">
        <v>13</v>
      </c>
      <c r="H485" s="734">
        <v>16</v>
      </c>
      <c r="I485" s="734">
        <v>54</v>
      </c>
      <c r="J485" s="734">
        <v>14</v>
      </c>
      <c r="K485" s="735">
        <v>28</v>
      </c>
      <c r="L485" s="734">
        <v>9</v>
      </c>
      <c r="M485" s="736">
        <v>7</v>
      </c>
      <c r="N485" s="737">
        <v>415</v>
      </c>
      <c r="O485" s="737"/>
      <c r="P485" s="737">
        <v>1150</v>
      </c>
      <c r="Q485" s="737">
        <v>953</v>
      </c>
      <c r="R485" s="737"/>
      <c r="S485" s="737"/>
      <c r="T485" s="737">
        <v>46</v>
      </c>
      <c r="U485" s="738"/>
      <c r="V485" s="739">
        <v>419</v>
      </c>
      <c r="W485" s="737"/>
      <c r="X485" s="737">
        <v>1151</v>
      </c>
      <c r="Y485" s="737">
        <v>903</v>
      </c>
      <c r="Z485" s="1202">
        <v>46</v>
      </c>
      <c r="AA485" s="740"/>
      <c r="AB485" s="739">
        <v>87</v>
      </c>
      <c r="AC485" s="741"/>
      <c r="AD485" s="741">
        <v>250</v>
      </c>
      <c r="AE485" s="741">
        <v>201</v>
      </c>
      <c r="AF485" s="741">
        <v>98</v>
      </c>
      <c r="AG485" s="741"/>
      <c r="AH485" s="741">
        <v>771</v>
      </c>
      <c r="AI485" s="741">
        <v>177</v>
      </c>
      <c r="AJ485" s="741"/>
      <c r="AK485" s="741">
        <v>220</v>
      </c>
      <c r="AL485" s="741">
        <v>135</v>
      </c>
      <c r="AM485" s="742">
        <v>2357</v>
      </c>
      <c r="AN485" s="743">
        <f t="shared" si="24"/>
        <v>0.59936908517350163</v>
      </c>
      <c r="AO485" s="744">
        <f t="shared" si="25"/>
        <v>1.029738743746526</v>
      </c>
      <c r="AP485" s="745">
        <f>'09월 에너지'!S487</f>
        <v>142.5</v>
      </c>
    </row>
    <row r="486" spans="1:42" ht="16.5" customHeight="1">
      <c r="A486" s="999">
        <f>'09월 조업일지'!A486</f>
        <v>46283</v>
      </c>
      <c r="B486" s="1100">
        <f>'09월 조업일지'!B486</f>
        <v>46283</v>
      </c>
      <c r="C486" s="730">
        <f>'09월 조업일지'!G486</f>
        <v>85688</v>
      </c>
      <c r="D486" s="731" t="str">
        <f>'09월 조업일지'!E486</f>
        <v>C</v>
      </c>
      <c r="E486" s="732" t="str">
        <f>'09월 조업일지'!F486</f>
        <v>A</v>
      </c>
      <c r="F486" s="1096" t="str">
        <f>'09월 에너지'!F488</f>
        <v>DKOIL</v>
      </c>
      <c r="G486" s="733">
        <v>12</v>
      </c>
      <c r="H486" s="734">
        <v>12</v>
      </c>
      <c r="I486" s="734">
        <v>41</v>
      </c>
      <c r="J486" s="734">
        <v>12</v>
      </c>
      <c r="K486" s="735">
        <v>27</v>
      </c>
      <c r="L486" s="734">
        <v>12</v>
      </c>
      <c r="M486" s="736">
        <v>9</v>
      </c>
      <c r="N486" s="737">
        <v>423</v>
      </c>
      <c r="O486" s="737"/>
      <c r="P486" s="737">
        <v>1150</v>
      </c>
      <c r="Q486" s="737">
        <v>956</v>
      </c>
      <c r="R486" s="737"/>
      <c r="S486" s="737"/>
      <c r="T486" s="737">
        <v>49</v>
      </c>
      <c r="U486" s="738"/>
      <c r="V486" s="739">
        <v>414</v>
      </c>
      <c r="W486" s="737"/>
      <c r="X486" s="737">
        <v>1000</v>
      </c>
      <c r="Y486" s="737">
        <v>903</v>
      </c>
      <c r="Z486" s="1202">
        <v>48</v>
      </c>
      <c r="AA486" s="740"/>
      <c r="AB486" s="739">
        <v>82</v>
      </c>
      <c r="AC486" s="741"/>
      <c r="AD486" s="741">
        <v>250</v>
      </c>
      <c r="AE486" s="741">
        <v>200</v>
      </c>
      <c r="AF486" s="741">
        <v>92</v>
      </c>
      <c r="AG486" s="741"/>
      <c r="AH486" s="741">
        <v>767</v>
      </c>
      <c r="AI486" s="741">
        <v>180</v>
      </c>
      <c r="AJ486" s="741"/>
      <c r="AK486" s="741">
        <v>215</v>
      </c>
      <c r="AL486" s="741">
        <v>141</v>
      </c>
      <c r="AM486" s="742">
        <v>2988</v>
      </c>
      <c r="AN486" s="743">
        <f t="shared" si="24"/>
        <v>0.4542936288088642</v>
      </c>
      <c r="AO486" s="744">
        <f t="shared" si="25"/>
        <v>0.69491525423728817</v>
      </c>
      <c r="AP486" s="745">
        <f>'09월 에너지'!S488</f>
        <v>143.5</v>
      </c>
    </row>
    <row r="487" spans="1:42" ht="16.5" customHeight="1">
      <c r="A487" s="999">
        <f>'09월 조업일지'!A487</f>
        <v>46283</v>
      </c>
      <c r="B487" s="1100">
        <f>'09월 조업일지'!B487</f>
        <v>46283</v>
      </c>
      <c r="C487" s="730">
        <f>'09월 조업일지'!G487</f>
        <v>85689</v>
      </c>
      <c r="D487" s="731" t="str">
        <f>'09월 조업일지'!E487</f>
        <v>C</v>
      </c>
      <c r="E487" s="732" t="str">
        <f>'09월 조업일지'!F487</f>
        <v>B</v>
      </c>
      <c r="F487" s="1096" t="str">
        <f>'09월 에너지'!F489</f>
        <v>DKOIL</v>
      </c>
      <c r="G487" s="733">
        <v>16</v>
      </c>
      <c r="H487" s="734">
        <v>21</v>
      </c>
      <c r="I487" s="734">
        <v>67</v>
      </c>
      <c r="J487" s="734">
        <v>17</v>
      </c>
      <c r="K487" s="735">
        <v>33</v>
      </c>
      <c r="L487" s="734">
        <v>11</v>
      </c>
      <c r="M487" s="736">
        <v>11</v>
      </c>
      <c r="N487" s="737">
        <v>714</v>
      </c>
      <c r="O487" s="737"/>
      <c r="P487" s="737">
        <v>1100</v>
      </c>
      <c r="Q487" s="737">
        <v>1052</v>
      </c>
      <c r="R487" s="737"/>
      <c r="S487" s="737"/>
      <c r="T487" s="737">
        <v>70</v>
      </c>
      <c r="U487" s="738"/>
      <c r="V487" s="739">
        <v>623</v>
      </c>
      <c r="W487" s="737"/>
      <c r="X487" s="737">
        <v>1100</v>
      </c>
      <c r="Y487" s="737">
        <v>1055</v>
      </c>
      <c r="Z487" s="1202">
        <v>67</v>
      </c>
      <c r="AA487" s="740"/>
      <c r="AB487" s="739"/>
      <c r="AC487" s="741"/>
      <c r="AD487" s="741">
        <v>250</v>
      </c>
      <c r="AE487" s="741">
        <v>320</v>
      </c>
      <c r="AF487" s="741"/>
      <c r="AG487" s="741"/>
      <c r="AH487" s="741">
        <v>756</v>
      </c>
      <c r="AI487" s="741">
        <v>282</v>
      </c>
      <c r="AJ487" s="741"/>
      <c r="AK487" s="741"/>
      <c r="AL487" s="741"/>
      <c r="AM487" s="742">
        <v>2742</v>
      </c>
      <c r="AN487" s="743">
        <f t="shared" si="24"/>
        <v>0.83508771929824543</v>
      </c>
      <c r="AO487" s="744">
        <f t="shared" si="25"/>
        <v>1.2695389266817838</v>
      </c>
      <c r="AP487" s="745">
        <f>'09월 에너지'!S489</f>
        <v>129.19999999999999</v>
      </c>
    </row>
    <row r="488" spans="1:42" ht="16.5" customHeight="1">
      <c r="A488" s="999">
        <f>'09월 조업일지'!A488</f>
        <v>46283</v>
      </c>
      <c r="B488" s="1100">
        <f>'09월 조업일지'!B488</f>
        <v>46283</v>
      </c>
      <c r="C488" s="730">
        <f>'09월 조업일지'!G488</f>
        <v>85690</v>
      </c>
      <c r="D488" s="731" t="str">
        <f>'09월 조업일지'!E488</f>
        <v>C</v>
      </c>
      <c r="E488" s="732" t="str">
        <f>'09월 조업일지'!F488</f>
        <v>A</v>
      </c>
      <c r="F488" s="1096" t="str">
        <f>'09월 에너지'!F490</f>
        <v>DKOIL</v>
      </c>
      <c r="G488" s="733">
        <v>15</v>
      </c>
      <c r="H488" s="734">
        <v>17</v>
      </c>
      <c r="I488" s="734">
        <v>56</v>
      </c>
      <c r="J488" s="734">
        <v>19</v>
      </c>
      <c r="K488" s="735">
        <v>39</v>
      </c>
      <c r="L488" s="734">
        <v>15</v>
      </c>
      <c r="M488" s="736">
        <v>10</v>
      </c>
      <c r="N488" s="737">
        <v>420</v>
      </c>
      <c r="O488" s="737"/>
      <c r="P488" s="737">
        <v>1001</v>
      </c>
      <c r="Q488" s="737">
        <v>952</v>
      </c>
      <c r="R488" s="737"/>
      <c r="S488" s="737"/>
      <c r="T488" s="737">
        <v>57</v>
      </c>
      <c r="U488" s="738"/>
      <c r="V488" s="739">
        <v>422</v>
      </c>
      <c r="W488" s="737"/>
      <c r="X488" s="737">
        <v>1000</v>
      </c>
      <c r="Y488" s="737">
        <v>902</v>
      </c>
      <c r="Z488" s="1202">
        <v>42</v>
      </c>
      <c r="AA488" s="740"/>
      <c r="AB488" s="739">
        <v>87</v>
      </c>
      <c r="AC488" s="741"/>
      <c r="AD488" s="741">
        <v>250</v>
      </c>
      <c r="AE488" s="741">
        <v>201</v>
      </c>
      <c r="AF488" s="741">
        <v>103</v>
      </c>
      <c r="AG488" s="741"/>
      <c r="AH488" s="741">
        <v>769</v>
      </c>
      <c r="AI488" s="741">
        <v>192</v>
      </c>
      <c r="AJ488" s="741"/>
      <c r="AK488" s="741">
        <v>223</v>
      </c>
      <c r="AL488" s="741">
        <v>150</v>
      </c>
      <c r="AM488" s="742">
        <v>2169</v>
      </c>
      <c r="AN488" s="743">
        <f t="shared" si="24"/>
        <v>0.60796133791173856</v>
      </c>
      <c r="AO488" s="744">
        <f t="shared" si="25"/>
        <v>1.0708898383800856</v>
      </c>
      <c r="AP488" s="745">
        <f>'09월 에너지'!S490</f>
        <v>140.6</v>
      </c>
    </row>
    <row r="489" spans="1:42" ht="16.5" customHeight="1">
      <c r="A489" s="999">
        <f>'09월 조업일지'!A489</f>
        <v>46283</v>
      </c>
      <c r="B489" s="1100">
        <f>'09월 조업일지'!B489</f>
        <v>46283</v>
      </c>
      <c r="C489" s="730">
        <f>'09월 조업일지'!G489</f>
        <v>85691</v>
      </c>
      <c r="D489" s="731" t="str">
        <f>'09월 조업일지'!E489</f>
        <v>C</v>
      </c>
      <c r="E489" s="732" t="str">
        <f>'09월 조업일지'!F489</f>
        <v>B</v>
      </c>
      <c r="F489" s="1096" t="str">
        <f>'09월 에너지'!F491</f>
        <v>DKOIL</v>
      </c>
      <c r="G489" s="733">
        <v>14</v>
      </c>
      <c r="H489" s="734">
        <v>18</v>
      </c>
      <c r="I489" s="734">
        <v>54</v>
      </c>
      <c r="J489" s="734">
        <v>14</v>
      </c>
      <c r="K489" s="735">
        <v>33</v>
      </c>
      <c r="L489" s="734">
        <v>14</v>
      </c>
      <c r="M489" s="736">
        <v>8</v>
      </c>
      <c r="N489" s="737">
        <v>414</v>
      </c>
      <c r="O489" s="737"/>
      <c r="P489" s="737">
        <v>1001</v>
      </c>
      <c r="Q489" s="737">
        <v>952</v>
      </c>
      <c r="R489" s="737"/>
      <c r="S489" s="737"/>
      <c r="T489" s="737">
        <v>55</v>
      </c>
      <c r="U489" s="738"/>
      <c r="V489" s="739">
        <v>416</v>
      </c>
      <c r="W489" s="737"/>
      <c r="X489" s="737">
        <v>1001</v>
      </c>
      <c r="Y489" s="737">
        <v>904</v>
      </c>
      <c r="Z489" s="1202">
        <v>41</v>
      </c>
      <c r="AA489" s="740"/>
      <c r="AB489" s="739">
        <v>86</v>
      </c>
      <c r="AC489" s="741"/>
      <c r="AD489" s="741">
        <v>251</v>
      </c>
      <c r="AE489" s="741">
        <v>200</v>
      </c>
      <c r="AF489" s="741">
        <v>89</v>
      </c>
      <c r="AG489" s="741"/>
      <c r="AH489" s="741">
        <v>769</v>
      </c>
      <c r="AI489" s="741">
        <v>184</v>
      </c>
      <c r="AJ489" s="741"/>
      <c r="AK489" s="741">
        <v>224</v>
      </c>
      <c r="AL489" s="741">
        <v>133</v>
      </c>
      <c r="AM489" s="742">
        <v>1651</v>
      </c>
      <c r="AN489" s="743">
        <f t="shared" si="24"/>
        <v>0.67729206963249522</v>
      </c>
      <c r="AO489" s="744">
        <f t="shared" si="25"/>
        <v>1.0570499721344975</v>
      </c>
      <c r="AP489" s="745">
        <f>'09월 에너지'!S491</f>
        <v>145.9</v>
      </c>
    </row>
    <row r="490" spans="1:42" ht="16.5" customHeight="1">
      <c r="A490" s="999">
        <f>'09월 조업일지'!A490</f>
        <v>46283</v>
      </c>
      <c r="B490" s="1100">
        <f>'09월 조업일지'!B490</f>
        <v>46283</v>
      </c>
      <c r="C490" s="730">
        <f>'09월 조업일지'!G490</f>
        <v>85692</v>
      </c>
      <c r="D490" s="731" t="str">
        <f>'09월 조업일지'!E490</f>
        <v>C</v>
      </c>
      <c r="E490" s="732" t="str">
        <f>'09월 조업일지'!F490</f>
        <v>A</v>
      </c>
      <c r="F490" s="1096" t="str">
        <f>'09월 에너지'!F492</f>
        <v>DKOIL</v>
      </c>
      <c r="G490" s="733">
        <v>15</v>
      </c>
      <c r="H490" s="734">
        <v>13</v>
      </c>
      <c r="I490" s="734">
        <v>47</v>
      </c>
      <c r="J490" s="734">
        <v>14</v>
      </c>
      <c r="K490" s="735">
        <v>31</v>
      </c>
      <c r="L490" s="734">
        <v>12</v>
      </c>
      <c r="M490" s="736">
        <v>9</v>
      </c>
      <c r="N490" s="737">
        <v>417</v>
      </c>
      <c r="O490" s="737"/>
      <c r="P490" s="737">
        <v>1000</v>
      </c>
      <c r="Q490" s="737">
        <v>952</v>
      </c>
      <c r="R490" s="737"/>
      <c r="S490" s="737"/>
      <c r="T490" s="737">
        <v>46</v>
      </c>
      <c r="U490" s="738"/>
      <c r="V490" s="739">
        <v>418</v>
      </c>
      <c r="W490" s="737"/>
      <c r="X490" s="737">
        <v>1001</v>
      </c>
      <c r="Y490" s="737">
        <v>903</v>
      </c>
      <c r="Z490" s="1202">
        <v>47</v>
      </c>
      <c r="AA490" s="740"/>
      <c r="AB490" s="739">
        <v>86</v>
      </c>
      <c r="AC490" s="741"/>
      <c r="AD490" s="741">
        <v>251</v>
      </c>
      <c r="AE490" s="741">
        <v>201</v>
      </c>
      <c r="AF490" s="741">
        <v>89</v>
      </c>
      <c r="AG490" s="741"/>
      <c r="AH490" s="741">
        <v>767</v>
      </c>
      <c r="AI490" s="741">
        <v>181</v>
      </c>
      <c r="AJ490" s="741"/>
      <c r="AK490" s="741">
        <v>219</v>
      </c>
      <c r="AL490" s="741">
        <v>138</v>
      </c>
      <c r="AM490" s="742">
        <v>1696</v>
      </c>
      <c r="AN490" s="743">
        <f t="shared" si="24"/>
        <v>0.48197278911564623</v>
      </c>
      <c r="AO490" s="744">
        <f t="shared" si="25"/>
        <v>0.84455205811138012</v>
      </c>
      <c r="AP490" s="745">
        <f>'09월 에너지'!S492</f>
        <v>141.69999999999999</v>
      </c>
    </row>
    <row r="491" spans="1:42" ht="16.5" customHeight="1">
      <c r="A491" s="999">
        <f>'09월 조업일지'!A491</f>
        <v>46283</v>
      </c>
      <c r="B491" s="1100">
        <f>'09월 조업일지'!B491</f>
        <v>46283</v>
      </c>
      <c r="C491" s="730">
        <f>'09월 조업일지'!G491</f>
        <v>85693</v>
      </c>
      <c r="D491" s="731" t="str">
        <f>'09월 조업일지'!E491</f>
        <v>C</v>
      </c>
      <c r="E491" s="732" t="str">
        <f>'09월 조업일지'!F491</f>
        <v>B</v>
      </c>
      <c r="F491" s="1096" t="str">
        <f>'09월 에너지'!F493</f>
        <v>DKOIL</v>
      </c>
      <c r="G491" s="733">
        <v>17</v>
      </c>
      <c r="H491" s="734">
        <v>19</v>
      </c>
      <c r="I491" s="734">
        <v>57</v>
      </c>
      <c r="J491" s="734">
        <v>16</v>
      </c>
      <c r="K491" s="735">
        <v>34</v>
      </c>
      <c r="L491" s="734">
        <v>12</v>
      </c>
      <c r="M491" s="736">
        <v>9</v>
      </c>
      <c r="N491" s="737">
        <v>415</v>
      </c>
      <c r="O491" s="737"/>
      <c r="P491" s="737">
        <v>1003</v>
      </c>
      <c r="Q491" s="737">
        <v>951</v>
      </c>
      <c r="R491" s="737"/>
      <c r="S491" s="737"/>
      <c r="T491" s="737">
        <v>50</v>
      </c>
      <c r="U491" s="738"/>
      <c r="V491" s="739">
        <v>418</v>
      </c>
      <c r="W491" s="737"/>
      <c r="X491" s="737">
        <v>1001</v>
      </c>
      <c r="Y491" s="737">
        <v>901</v>
      </c>
      <c r="Z491" s="1202">
        <v>41</v>
      </c>
      <c r="AA491" s="740"/>
      <c r="AB491" s="739">
        <v>87</v>
      </c>
      <c r="AC491" s="741"/>
      <c r="AD491" s="741">
        <v>252</v>
      </c>
      <c r="AE491" s="741">
        <v>201</v>
      </c>
      <c r="AF491" s="741">
        <v>96</v>
      </c>
      <c r="AG491" s="741"/>
      <c r="AH491" s="741">
        <v>767</v>
      </c>
      <c r="AI491" s="741">
        <v>183</v>
      </c>
      <c r="AJ491" s="741"/>
      <c r="AK491" s="741">
        <v>221</v>
      </c>
      <c r="AL491" s="741">
        <v>144</v>
      </c>
      <c r="AM491" s="742">
        <v>1776</v>
      </c>
      <c r="AN491" s="743">
        <f t="shared" si="24"/>
        <v>0.71823850350740448</v>
      </c>
      <c r="AO491" s="744">
        <f t="shared" si="25"/>
        <v>1.1382007822685789</v>
      </c>
      <c r="AP491" s="745">
        <f>'09월 에너지'!S493</f>
        <v>145.5</v>
      </c>
    </row>
    <row r="492" spans="1:42" ht="16.5" customHeight="1">
      <c r="A492" s="999">
        <f>'09월 조업일지'!A492</f>
        <v>46284</v>
      </c>
      <c r="B492" s="1100">
        <f>'09월 조업일지'!B492</f>
        <v>46283</v>
      </c>
      <c r="C492" s="730">
        <f>'09월 조업일지'!G492</f>
        <v>85694</v>
      </c>
      <c r="D492" s="731" t="str">
        <f>'09월 조업일지'!E492</f>
        <v>C</v>
      </c>
      <c r="E492" s="732" t="str">
        <f>'09월 조업일지'!F492</f>
        <v>A</v>
      </c>
      <c r="F492" s="1096" t="str">
        <f>'09월 에너지'!F494</f>
        <v>DKOIL</v>
      </c>
      <c r="G492" s="733">
        <v>14</v>
      </c>
      <c r="H492" s="734">
        <v>13</v>
      </c>
      <c r="I492" s="734">
        <v>46</v>
      </c>
      <c r="J492" s="734">
        <v>13</v>
      </c>
      <c r="K492" s="735">
        <v>29</v>
      </c>
      <c r="L492" s="734">
        <v>13</v>
      </c>
      <c r="M492" s="736">
        <v>9</v>
      </c>
      <c r="N492" s="737">
        <v>415</v>
      </c>
      <c r="O492" s="737"/>
      <c r="P492" s="737">
        <v>1002</v>
      </c>
      <c r="Q492" s="737">
        <v>952</v>
      </c>
      <c r="R492" s="737"/>
      <c r="S492" s="737"/>
      <c r="T492" s="737">
        <v>51</v>
      </c>
      <c r="U492" s="738"/>
      <c r="V492" s="739">
        <v>413</v>
      </c>
      <c r="W492" s="737"/>
      <c r="X492" s="737">
        <v>1003</v>
      </c>
      <c r="Y492" s="737">
        <v>901</v>
      </c>
      <c r="Z492" s="1202">
        <v>41</v>
      </c>
      <c r="AA492" s="740"/>
      <c r="AB492" s="739">
        <v>88</v>
      </c>
      <c r="AC492" s="741"/>
      <c r="AD492" s="741">
        <v>252</v>
      </c>
      <c r="AE492" s="741">
        <v>201</v>
      </c>
      <c r="AF492" s="741">
        <v>85</v>
      </c>
      <c r="AG492" s="741"/>
      <c r="AH492" s="741">
        <v>772</v>
      </c>
      <c r="AI492" s="741">
        <v>185</v>
      </c>
      <c r="AJ492" s="741"/>
      <c r="AK492" s="741">
        <v>222</v>
      </c>
      <c r="AL492" s="741">
        <v>137</v>
      </c>
      <c r="AM492" s="742">
        <v>1923</v>
      </c>
      <c r="AN492" s="743">
        <f t="shared" si="24"/>
        <v>0.47205673758865246</v>
      </c>
      <c r="AO492" s="744">
        <f t="shared" si="25"/>
        <v>0.80769800148038495</v>
      </c>
      <c r="AP492" s="745">
        <f>'09월 에너지'!S494</f>
        <v>140.80000000000001</v>
      </c>
    </row>
    <row r="493" spans="1:42" ht="16.5" customHeight="1">
      <c r="A493" s="999">
        <f>'09월 조업일지'!A493</f>
        <v>46284</v>
      </c>
      <c r="B493" s="1100">
        <f>'09월 조업일지'!B493</f>
        <v>46283</v>
      </c>
      <c r="C493" s="730">
        <f>'09월 조업일지'!G493</f>
        <v>85695</v>
      </c>
      <c r="D493" s="731" t="str">
        <f>'09월 조업일지'!E493</f>
        <v>C</v>
      </c>
      <c r="E493" s="732" t="str">
        <f>'09월 조업일지'!F493</f>
        <v>B</v>
      </c>
      <c r="F493" s="1096" t="str">
        <f>'09월 에너지'!F495</f>
        <v>DKOIL</v>
      </c>
      <c r="G493" s="733">
        <v>16</v>
      </c>
      <c r="H493" s="734">
        <v>16</v>
      </c>
      <c r="I493" s="734">
        <v>54</v>
      </c>
      <c r="J493" s="734">
        <v>14</v>
      </c>
      <c r="K493" s="735">
        <v>34</v>
      </c>
      <c r="L493" s="734">
        <v>10</v>
      </c>
      <c r="M493" s="736">
        <v>8</v>
      </c>
      <c r="N493" s="737">
        <v>422</v>
      </c>
      <c r="O493" s="737"/>
      <c r="P493" s="737">
        <v>1001</v>
      </c>
      <c r="Q493" s="737">
        <v>952</v>
      </c>
      <c r="R493" s="737"/>
      <c r="S493" s="737"/>
      <c r="T493" s="737">
        <v>46</v>
      </c>
      <c r="U493" s="738"/>
      <c r="V493" s="739">
        <v>414</v>
      </c>
      <c r="W493" s="737"/>
      <c r="X493" s="737">
        <v>1001</v>
      </c>
      <c r="Y493" s="737">
        <v>902</v>
      </c>
      <c r="Z493" s="1202">
        <v>50</v>
      </c>
      <c r="AA493" s="740"/>
      <c r="AB493" s="739">
        <v>93</v>
      </c>
      <c r="AC493" s="741"/>
      <c r="AD493" s="741">
        <v>252</v>
      </c>
      <c r="AE493" s="741">
        <v>201</v>
      </c>
      <c r="AF493" s="741">
        <v>103</v>
      </c>
      <c r="AG493" s="741"/>
      <c r="AH493" s="741">
        <v>770</v>
      </c>
      <c r="AI493" s="741">
        <v>187</v>
      </c>
      <c r="AJ493" s="741"/>
      <c r="AK493" s="741">
        <v>217</v>
      </c>
      <c r="AL493" s="741">
        <v>141</v>
      </c>
      <c r="AM493" s="742">
        <v>1389</v>
      </c>
      <c r="AN493" s="743">
        <f t="shared" si="24"/>
        <v>0.6073325560305739</v>
      </c>
      <c r="AO493" s="744">
        <f t="shared" si="25"/>
        <v>1.0600185528756958</v>
      </c>
      <c r="AP493" s="745">
        <f>'09월 에너지'!S495</f>
        <v>146.5</v>
      </c>
    </row>
    <row r="494" spans="1:42" ht="16.5" customHeight="1">
      <c r="A494" s="999">
        <f>'09월 조업일지'!A494</f>
        <v>46284</v>
      </c>
      <c r="B494" s="1100">
        <f>'09월 조업일지'!B494</f>
        <v>46283</v>
      </c>
      <c r="C494" s="730">
        <f>'09월 조업일지'!G494</f>
        <v>85696</v>
      </c>
      <c r="D494" s="731" t="str">
        <f>'09월 조업일지'!E494</f>
        <v>C</v>
      </c>
      <c r="E494" s="732" t="str">
        <f>'09월 조업일지'!F494</f>
        <v>A</v>
      </c>
      <c r="F494" s="1096" t="str">
        <f>'09월 에너지'!F496</f>
        <v>DKOIL</v>
      </c>
      <c r="G494" s="733">
        <v>13</v>
      </c>
      <c r="H494" s="734">
        <v>11</v>
      </c>
      <c r="I494" s="734">
        <v>48</v>
      </c>
      <c r="J494" s="734">
        <v>14</v>
      </c>
      <c r="K494" s="735">
        <v>34</v>
      </c>
      <c r="L494" s="734">
        <v>13</v>
      </c>
      <c r="M494" s="736">
        <v>8</v>
      </c>
      <c r="N494" s="737">
        <v>413</v>
      </c>
      <c r="O494" s="737"/>
      <c r="P494" s="737">
        <v>1002</v>
      </c>
      <c r="Q494" s="737">
        <v>951</v>
      </c>
      <c r="R494" s="737"/>
      <c r="S494" s="737"/>
      <c r="T494" s="737">
        <v>51</v>
      </c>
      <c r="U494" s="738"/>
      <c r="V494" s="739">
        <v>417</v>
      </c>
      <c r="W494" s="737"/>
      <c r="X494" s="737">
        <v>1002</v>
      </c>
      <c r="Y494" s="737">
        <v>901</v>
      </c>
      <c r="Z494" s="1202">
        <v>41</v>
      </c>
      <c r="AA494" s="740"/>
      <c r="AB494" s="739">
        <v>88</v>
      </c>
      <c r="AC494" s="741"/>
      <c r="AD494" s="741">
        <v>251</v>
      </c>
      <c r="AE494" s="741">
        <v>200</v>
      </c>
      <c r="AF494" s="741">
        <v>95</v>
      </c>
      <c r="AG494" s="741"/>
      <c r="AH494" s="741">
        <v>769</v>
      </c>
      <c r="AI494" s="741">
        <v>190</v>
      </c>
      <c r="AJ494" s="741"/>
      <c r="AK494" s="741">
        <v>224</v>
      </c>
      <c r="AL494" s="741">
        <v>137</v>
      </c>
      <c r="AM494" s="742">
        <v>1799</v>
      </c>
      <c r="AN494" s="743">
        <f t="shared" si="24"/>
        <v>0.40382409177820267</v>
      </c>
      <c r="AO494" s="744">
        <f t="shared" si="25"/>
        <v>0.88277911945012077</v>
      </c>
      <c r="AP494" s="745">
        <f>'09월 에너지'!S496</f>
        <v>144</v>
      </c>
    </row>
    <row r="495" spans="1:42" ht="16.5" customHeight="1">
      <c r="A495" s="999">
        <f>'09월 조업일지'!A495</f>
        <v>46284</v>
      </c>
      <c r="B495" s="1100">
        <f>'09월 조업일지'!B495</f>
        <v>46283</v>
      </c>
      <c r="C495" s="730">
        <f>'09월 조업일지'!G495</f>
        <v>85697</v>
      </c>
      <c r="D495" s="731" t="str">
        <f>'09월 조업일지'!E495</f>
        <v>C</v>
      </c>
      <c r="E495" s="732" t="str">
        <f>'09월 조업일지'!F495</f>
        <v>B</v>
      </c>
      <c r="F495" s="1231" t="str">
        <f>'09월 에너지'!F497</f>
        <v>SS540</v>
      </c>
      <c r="G495" s="733">
        <v>18</v>
      </c>
      <c r="H495" s="734">
        <v>25</v>
      </c>
      <c r="I495" s="734">
        <v>110</v>
      </c>
      <c r="J495" s="734">
        <v>15</v>
      </c>
      <c r="K495" s="735">
        <v>30</v>
      </c>
      <c r="L495" s="734">
        <v>12</v>
      </c>
      <c r="M495" s="736">
        <v>10</v>
      </c>
      <c r="N495" s="737">
        <v>419</v>
      </c>
      <c r="O495" s="737"/>
      <c r="P495" s="737">
        <v>993</v>
      </c>
      <c r="Q495" s="737">
        <v>951</v>
      </c>
      <c r="R495" s="737"/>
      <c r="S495" s="737"/>
      <c r="T495" s="737">
        <v>52</v>
      </c>
      <c r="U495" s="738"/>
      <c r="V495" s="739">
        <v>418</v>
      </c>
      <c r="W495" s="737"/>
      <c r="X495" s="737">
        <v>1002</v>
      </c>
      <c r="Y495" s="737">
        <v>903</v>
      </c>
      <c r="Z495" s="1202">
        <v>48</v>
      </c>
      <c r="AA495" s="740"/>
      <c r="AB495" s="739">
        <v>88</v>
      </c>
      <c r="AC495" s="741"/>
      <c r="AD495" s="741">
        <v>282</v>
      </c>
      <c r="AE495" s="741">
        <v>350</v>
      </c>
      <c r="AF495" s="741">
        <v>102</v>
      </c>
      <c r="AG495" s="741"/>
      <c r="AH495" s="741">
        <v>2003</v>
      </c>
      <c r="AI495" s="741">
        <v>162</v>
      </c>
      <c r="AJ495" s="741"/>
      <c r="AK495" s="741"/>
      <c r="AL495" s="741">
        <v>121</v>
      </c>
      <c r="AM495" s="742">
        <v>1631</v>
      </c>
      <c r="AN495" s="743">
        <f t="shared" si="24"/>
        <v>0.86977129991705182</v>
      </c>
      <c r="AO495" s="744">
        <f t="shared" si="25"/>
        <v>0.99465088082162467</v>
      </c>
      <c r="AP495" s="745">
        <f>'09월 에너지'!S497</f>
        <v>146.80000000000001</v>
      </c>
    </row>
    <row r="496" spans="1:42" ht="16.5" customHeight="1">
      <c r="A496" s="999">
        <f>'09월 조업일지'!A496</f>
        <v>46284</v>
      </c>
      <c r="B496" s="1100">
        <f>'09월 조업일지'!B496</f>
        <v>46284</v>
      </c>
      <c r="C496" s="730">
        <f>'09월 조업일지'!G496</f>
        <v>85698</v>
      </c>
      <c r="D496" s="731" t="str">
        <f>'09월 조업일지'!E496</f>
        <v>A</v>
      </c>
      <c r="E496" s="732" t="str">
        <f>'09월 조업일지'!F496</f>
        <v>A</v>
      </c>
      <c r="F496" s="1096" t="str">
        <f>'09월 에너지'!F498</f>
        <v>SS540</v>
      </c>
      <c r="G496" s="733">
        <v>15</v>
      </c>
      <c r="H496" s="734">
        <v>19</v>
      </c>
      <c r="I496" s="734">
        <v>109</v>
      </c>
      <c r="J496" s="734">
        <v>15</v>
      </c>
      <c r="K496" s="735">
        <v>31</v>
      </c>
      <c r="L496" s="734">
        <v>12</v>
      </c>
      <c r="M496" s="736">
        <v>8</v>
      </c>
      <c r="N496" s="737">
        <v>416</v>
      </c>
      <c r="O496" s="737"/>
      <c r="P496" s="737">
        <v>1002</v>
      </c>
      <c r="Q496" s="737">
        <v>951</v>
      </c>
      <c r="R496" s="737"/>
      <c r="S496" s="737"/>
      <c r="T496" s="737">
        <v>53</v>
      </c>
      <c r="U496" s="738"/>
      <c r="V496" s="739">
        <v>421</v>
      </c>
      <c r="W496" s="737"/>
      <c r="X496" s="737">
        <v>1004</v>
      </c>
      <c r="Y496" s="737">
        <v>903</v>
      </c>
      <c r="Z496" s="1202">
        <v>41</v>
      </c>
      <c r="AA496" s="740"/>
      <c r="AB496" s="739">
        <v>83</v>
      </c>
      <c r="AC496" s="741"/>
      <c r="AD496" s="741">
        <v>281</v>
      </c>
      <c r="AE496" s="741">
        <v>350</v>
      </c>
      <c r="AF496" s="741">
        <v>93</v>
      </c>
      <c r="AG496" s="741">
        <v>0</v>
      </c>
      <c r="AH496" s="741">
        <v>2006</v>
      </c>
      <c r="AI496" s="741">
        <v>169</v>
      </c>
      <c r="AJ496" s="741">
        <v>0</v>
      </c>
      <c r="AK496" s="741">
        <v>0</v>
      </c>
      <c r="AL496" s="741">
        <v>129</v>
      </c>
      <c r="AM496" s="742">
        <v>2542</v>
      </c>
      <c r="AN496" s="743">
        <f t="shared" si="24"/>
        <v>0.63311118905647146</v>
      </c>
      <c r="AO496" s="744">
        <f t="shared" si="25"/>
        <v>0.95392394245833945</v>
      </c>
      <c r="AP496" s="745">
        <f>'09월 에너지'!S498</f>
        <v>142.5</v>
      </c>
    </row>
    <row r="497" spans="1:42" ht="16.5" customHeight="1">
      <c r="A497" s="999">
        <f>'09월 조업일지'!A497</f>
        <v>46284</v>
      </c>
      <c r="B497" s="1100">
        <f>'09월 조업일지'!B497</f>
        <v>46284</v>
      </c>
      <c r="C497" s="730">
        <f>'09월 조업일지'!G497</f>
        <v>85699</v>
      </c>
      <c r="D497" s="731" t="str">
        <f>'09월 조업일지'!E497</f>
        <v>A</v>
      </c>
      <c r="E497" s="732" t="str">
        <f>'09월 조업일지'!F497</f>
        <v>B</v>
      </c>
      <c r="F497" s="1096" t="str">
        <f>'09월 에너지'!F499</f>
        <v>SS540</v>
      </c>
      <c r="G497" s="733">
        <v>15</v>
      </c>
      <c r="H497" s="734">
        <v>21</v>
      </c>
      <c r="I497" s="734">
        <v>113</v>
      </c>
      <c r="J497" s="734">
        <v>16</v>
      </c>
      <c r="K497" s="735">
        <v>30</v>
      </c>
      <c r="L497" s="734">
        <v>12</v>
      </c>
      <c r="M497" s="736">
        <v>9</v>
      </c>
      <c r="N497" s="737">
        <v>415</v>
      </c>
      <c r="O497" s="737"/>
      <c r="P497" s="737">
        <v>1001</v>
      </c>
      <c r="Q497" s="737">
        <v>950</v>
      </c>
      <c r="R497" s="737"/>
      <c r="S497" s="737"/>
      <c r="T497" s="737">
        <v>45</v>
      </c>
      <c r="U497" s="738"/>
      <c r="V497" s="739">
        <v>415</v>
      </c>
      <c r="W497" s="737"/>
      <c r="X497" s="737">
        <v>1001</v>
      </c>
      <c r="Y497" s="737">
        <v>901</v>
      </c>
      <c r="Z497" s="1202">
        <v>49</v>
      </c>
      <c r="AA497" s="740"/>
      <c r="AB497" s="739">
        <v>87</v>
      </c>
      <c r="AC497" s="741"/>
      <c r="AD497" s="741">
        <v>282</v>
      </c>
      <c r="AE497" s="741">
        <v>351</v>
      </c>
      <c r="AF497" s="741">
        <v>96</v>
      </c>
      <c r="AG497" s="741">
        <v>0</v>
      </c>
      <c r="AH497" s="741">
        <v>2003</v>
      </c>
      <c r="AI497" s="741">
        <v>161</v>
      </c>
      <c r="AJ497" s="741">
        <v>0</v>
      </c>
      <c r="AK497" s="741">
        <v>0</v>
      </c>
      <c r="AL497" s="741">
        <v>124</v>
      </c>
      <c r="AM497" s="742">
        <v>2362</v>
      </c>
      <c r="AN497" s="743">
        <f t="shared" si="24"/>
        <v>0.72742165242165235</v>
      </c>
      <c r="AO497" s="744">
        <f t="shared" si="25"/>
        <v>1.0197703444832751</v>
      </c>
      <c r="AP497" s="745">
        <f>'09월 에너지'!S499</f>
        <v>145.9</v>
      </c>
    </row>
    <row r="498" spans="1:42" ht="16.5" customHeight="1">
      <c r="A498" s="999">
        <f>'09월 조업일지'!A498</f>
        <v>46284</v>
      </c>
      <c r="B498" s="1100">
        <f>'09월 조업일지'!B498</f>
        <v>46284</v>
      </c>
      <c r="C498" s="730">
        <f>'09월 조업일지'!G498</f>
        <v>85700</v>
      </c>
      <c r="D498" s="731" t="str">
        <f>'09월 조업일지'!E498</f>
        <v>A</v>
      </c>
      <c r="E498" s="732" t="str">
        <f>'09월 조업일지'!F498</f>
        <v>A</v>
      </c>
      <c r="F498" s="1096" t="str">
        <f>'09월 에너지'!F500</f>
        <v>SS540</v>
      </c>
      <c r="G498" s="733">
        <v>16</v>
      </c>
      <c r="H498" s="734">
        <v>23</v>
      </c>
      <c r="I498" s="734">
        <v>111</v>
      </c>
      <c r="J498" s="734">
        <v>16</v>
      </c>
      <c r="K498" s="735">
        <v>39</v>
      </c>
      <c r="L498" s="734">
        <v>12</v>
      </c>
      <c r="M498" s="736">
        <v>8</v>
      </c>
      <c r="N498" s="737">
        <v>414</v>
      </c>
      <c r="O498" s="737"/>
      <c r="P498" s="737">
        <v>1000</v>
      </c>
      <c r="Q498" s="737">
        <v>952</v>
      </c>
      <c r="R498" s="737"/>
      <c r="S498" s="737"/>
      <c r="T498" s="737">
        <v>55</v>
      </c>
      <c r="U498" s="738"/>
      <c r="V498" s="739">
        <v>418</v>
      </c>
      <c r="W498" s="737"/>
      <c r="X498" s="737">
        <v>1000</v>
      </c>
      <c r="Y498" s="737">
        <v>902</v>
      </c>
      <c r="Z498" s="1202">
        <v>43</v>
      </c>
      <c r="AA498" s="740"/>
      <c r="AB498" s="739">
        <v>92</v>
      </c>
      <c r="AC498" s="741"/>
      <c r="AD498" s="741">
        <v>282</v>
      </c>
      <c r="AE498" s="741">
        <v>350</v>
      </c>
      <c r="AF498" s="741">
        <v>101</v>
      </c>
      <c r="AG498" s="741">
        <v>0</v>
      </c>
      <c r="AH498" s="741">
        <v>2000</v>
      </c>
      <c r="AI498" s="741">
        <v>165</v>
      </c>
      <c r="AJ498" s="741">
        <v>0</v>
      </c>
      <c r="AK498" s="741">
        <v>0</v>
      </c>
      <c r="AL498" s="741">
        <v>116</v>
      </c>
      <c r="AM498" s="742">
        <v>2994</v>
      </c>
      <c r="AN498" s="743">
        <f t="shared" si="24"/>
        <v>0.78267846607669622</v>
      </c>
      <c r="AO498" s="744">
        <f t="shared" si="25"/>
        <v>0.9887999999999999</v>
      </c>
      <c r="AP498" s="745">
        <f>'09월 에너지'!S500</f>
        <v>144.19999999999999</v>
      </c>
    </row>
    <row r="499" spans="1:42" ht="16.5" customHeight="1">
      <c r="A499" s="999">
        <f>'09월 조업일지'!A499</f>
        <v>46284</v>
      </c>
      <c r="B499" s="1100">
        <f>'09월 조업일지'!B499</f>
        <v>46284</v>
      </c>
      <c r="C499" s="730">
        <f>'09월 조업일지'!G499</f>
        <v>85701</v>
      </c>
      <c r="D499" s="731" t="str">
        <f>'09월 조업일지'!E499</f>
        <v>A</v>
      </c>
      <c r="E499" s="732" t="str">
        <f>'09월 조업일지'!F499</f>
        <v>B</v>
      </c>
      <c r="F499" s="1231" t="str">
        <f>'09월 에너지'!F501</f>
        <v>AS500N(QTB,C10)</v>
      </c>
      <c r="G499" s="733">
        <v>12</v>
      </c>
      <c r="H499" s="734">
        <v>23</v>
      </c>
      <c r="I499" s="734">
        <v>71</v>
      </c>
      <c r="J499" s="734">
        <v>17</v>
      </c>
      <c r="K499" s="735">
        <v>38</v>
      </c>
      <c r="L499" s="734">
        <v>13</v>
      </c>
      <c r="M499" s="736">
        <v>10</v>
      </c>
      <c r="N499" s="737">
        <v>416</v>
      </c>
      <c r="O499" s="737"/>
      <c r="P499" s="737">
        <v>1151</v>
      </c>
      <c r="Q499" s="737">
        <v>950</v>
      </c>
      <c r="R499" s="737"/>
      <c r="S499" s="737"/>
      <c r="T499" s="737">
        <v>49</v>
      </c>
      <c r="U499" s="738"/>
      <c r="V499" s="739">
        <v>416</v>
      </c>
      <c r="W499" s="737"/>
      <c r="X499" s="737">
        <v>1151</v>
      </c>
      <c r="Y499" s="737">
        <v>903</v>
      </c>
      <c r="Z499" s="1202">
        <v>45</v>
      </c>
      <c r="AA499" s="740"/>
      <c r="AB499" s="739">
        <v>0</v>
      </c>
      <c r="AC499" s="741"/>
      <c r="AD499" s="741">
        <v>232</v>
      </c>
      <c r="AE499" s="741">
        <v>200</v>
      </c>
      <c r="AF499" s="741">
        <v>83</v>
      </c>
      <c r="AG499" s="741">
        <v>0</v>
      </c>
      <c r="AH499" s="741">
        <v>1191</v>
      </c>
      <c r="AI499" s="741">
        <v>294</v>
      </c>
      <c r="AJ499" s="741">
        <v>0</v>
      </c>
      <c r="AK499" s="741">
        <v>0</v>
      </c>
      <c r="AL499" s="741">
        <v>139</v>
      </c>
      <c r="AM499" s="742">
        <v>1832</v>
      </c>
      <c r="AN499" s="743">
        <f t="shared" si="24"/>
        <v>0.85108355254916701</v>
      </c>
      <c r="AO499" s="744">
        <f t="shared" si="25"/>
        <v>0.99210747271200683</v>
      </c>
      <c r="AP499" s="745">
        <f>'09월 에너지'!S501</f>
        <v>147.69999999999999</v>
      </c>
    </row>
    <row r="500" spans="1:42" ht="16.5" customHeight="1">
      <c r="A500" s="999">
        <f>'09월 조업일지'!A500</f>
        <v>46284</v>
      </c>
      <c r="B500" s="1100">
        <f>'09월 조업일지'!B500</f>
        <v>46284</v>
      </c>
      <c r="C500" s="730">
        <f>'09월 조업일지'!G500</f>
        <v>85702</v>
      </c>
      <c r="D500" s="731" t="str">
        <f>'09월 조업일지'!E500</f>
        <v>A</v>
      </c>
      <c r="E500" s="732" t="str">
        <f>'09월 조업일지'!F500</f>
        <v>A</v>
      </c>
      <c r="F500" s="1096" t="str">
        <f>'09월 에너지'!F502</f>
        <v>AS500N(QTB,C10)</v>
      </c>
      <c r="G500" s="733">
        <v>10</v>
      </c>
      <c r="H500" s="734">
        <v>22</v>
      </c>
      <c r="I500" s="734">
        <v>76</v>
      </c>
      <c r="J500" s="734">
        <v>17</v>
      </c>
      <c r="K500" s="735">
        <v>48</v>
      </c>
      <c r="L500" s="734">
        <v>16</v>
      </c>
      <c r="M500" s="736">
        <v>10</v>
      </c>
      <c r="N500" s="737">
        <v>413</v>
      </c>
      <c r="O500" s="737"/>
      <c r="P500" s="737">
        <v>1150</v>
      </c>
      <c r="Q500" s="737">
        <v>952</v>
      </c>
      <c r="R500" s="737"/>
      <c r="S500" s="737"/>
      <c r="T500" s="737">
        <v>46</v>
      </c>
      <c r="U500" s="738"/>
      <c r="V500" s="739">
        <v>413</v>
      </c>
      <c r="W500" s="737"/>
      <c r="X500" s="737">
        <v>1151</v>
      </c>
      <c r="Y500" s="737">
        <v>900</v>
      </c>
      <c r="Z500" s="1202">
        <v>42</v>
      </c>
      <c r="AA500" s="740"/>
      <c r="AB500" s="739">
        <v>0</v>
      </c>
      <c r="AC500" s="741"/>
      <c r="AD500" s="741">
        <v>232</v>
      </c>
      <c r="AE500" s="741">
        <v>201</v>
      </c>
      <c r="AF500" s="741">
        <v>85</v>
      </c>
      <c r="AG500" s="741">
        <v>0</v>
      </c>
      <c r="AH500" s="741">
        <v>1202</v>
      </c>
      <c r="AI500" s="741">
        <v>302</v>
      </c>
      <c r="AJ500" s="741">
        <v>0</v>
      </c>
      <c r="AK500" s="741">
        <v>0</v>
      </c>
      <c r="AL500" s="741">
        <v>142</v>
      </c>
      <c r="AM500" s="742">
        <v>1748</v>
      </c>
      <c r="AN500" s="743">
        <f t="shared" si="24"/>
        <v>0.77281219272369728</v>
      </c>
      <c r="AO500" s="744">
        <f t="shared" si="25"/>
        <v>1.0359995246018541</v>
      </c>
      <c r="AP500" s="745">
        <f>'09월 에너지'!S502</f>
        <v>142.9</v>
      </c>
    </row>
    <row r="501" spans="1:42" ht="16.5" customHeight="1">
      <c r="A501" s="999">
        <f>'09월 조업일지'!A501</f>
        <v>46284</v>
      </c>
      <c r="B501" s="1100">
        <f>'09월 조업일지'!B501</f>
        <v>46284</v>
      </c>
      <c r="C501" s="730">
        <f>'09월 조업일지'!G501</f>
        <v>85703</v>
      </c>
      <c r="D501" s="731" t="str">
        <f>'09월 조업일지'!E501</f>
        <v>A</v>
      </c>
      <c r="E501" s="732" t="str">
        <f>'09월 조업일지'!F501</f>
        <v>B</v>
      </c>
      <c r="F501" s="1096" t="str">
        <f>'09월 에너지'!F503</f>
        <v>AS500N(QTB,C10)</v>
      </c>
      <c r="G501" s="733">
        <v>10</v>
      </c>
      <c r="H501" s="734">
        <v>22</v>
      </c>
      <c r="I501" s="734">
        <v>64</v>
      </c>
      <c r="J501" s="734">
        <v>14</v>
      </c>
      <c r="K501" s="735">
        <v>25</v>
      </c>
      <c r="L501" s="734">
        <v>13</v>
      </c>
      <c r="M501" s="736">
        <v>10</v>
      </c>
      <c r="N501" s="737">
        <v>418</v>
      </c>
      <c r="O501" s="737"/>
      <c r="P501" s="737">
        <v>1151</v>
      </c>
      <c r="Q501" s="737">
        <v>952</v>
      </c>
      <c r="R501" s="737"/>
      <c r="S501" s="737"/>
      <c r="T501" s="737">
        <v>46</v>
      </c>
      <c r="U501" s="738"/>
      <c r="V501" s="739">
        <v>416</v>
      </c>
      <c r="W501" s="737"/>
      <c r="X501" s="737">
        <v>1151</v>
      </c>
      <c r="Y501" s="737">
        <v>900</v>
      </c>
      <c r="Z501" s="1202">
        <v>51</v>
      </c>
      <c r="AA501" s="740"/>
      <c r="AB501" s="739">
        <v>0</v>
      </c>
      <c r="AC501" s="741"/>
      <c r="AD501" s="741">
        <v>230</v>
      </c>
      <c r="AE501" s="741">
        <v>200</v>
      </c>
      <c r="AF501" s="741">
        <v>75</v>
      </c>
      <c r="AG501" s="741">
        <v>0</v>
      </c>
      <c r="AH501" s="741">
        <v>1196</v>
      </c>
      <c r="AI501" s="741">
        <v>406</v>
      </c>
      <c r="AJ501" s="741">
        <v>0</v>
      </c>
      <c r="AK501" s="741">
        <v>0</v>
      </c>
      <c r="AL501" s="741">
        <v>142</v>
      </c>
      <c r="AM501" s="742">
        <v>2566</v>
      </c>
      <c r="AN501" s="743">
        <f t="shared" si="24"/>
        <v>0.65422607976854719</v>
      </c>
      <c r="AO501" s="744">
        <f t="shared" si="25"/>
        <v>0.84222408026755857</v>
      </c>
      <c r="AP501" s="745">
        <f>'09월 에너지'!S503</f>
        <v>143.9</v>
      </c>
    </row>
    <row r="502" spans="1:42" ht="16.5" customHeight="1">
      <c r="A502" s="999">
        <f>'09월 조업일지'!A502</f>
        <v>46284</v>
      </c>
      <c r="B502" s="1100">
        <f>'09월 조업일지'!B502</f>
        <v>46284</v>
      </c>
      <c r="C502" s="730">
        <f>'09월 조업일지'!G502</f>
        <v>85704</v>
      </c>
      <c r="D502" s="731" t="str">
        <f>'09월 조업일지'!E502</f>
        <v>A</v>
      </c>
      <c r="E502" s="732" t="str">
        <f>'09월 조업일지'!F502</f>
        <v>A</v>
      </c>
      <c r="F502" s="1096" t="str">
        <f>'09월 에너지'!F504</f>
        <v>AS500N(QTB,C10)</v>
      </c>
      <c r="G502" s="733">
        <v>12</v>
      </c>
      <c r="H502" s="734">
        <v>23</v>
      </c>
      <c r="I502" s="734">
        <v>76</v>
      </c>
      <c r="J502" s="734">
        <v>22</v>
      </c>
      <c r="K502" s="735">
        <v>59</v>
      </c>
      <c r="L502" s="734">
        <v>21</v>
      </c>
      <c r="M502" s="736">
        <v>12</v>
      </c>
      <c r="N502" s="737">
        <v>418</v>
      </c>
      <c r="O502" s="737"/>
      <c r="P502" s="737">
        <v>1150</v>
      </c>
      <c r="Q502" s="737">
        <v>953</v>
      </c>
      <c r="R502" s="737"/>
      <c r="S502" s="737"/>
      <c r="T502" s="737">
        <v>46</v>
      </c>
      <c r="U502" s="738"/>
      <c r="V502" s="739">
        <v>414</v>
      </c>
      <c r="W502" s="737"/>
      <c r="X502" s="737">
        <v>1151</v>
      </c>
      <c r="Y502" s="737">
        <v>902</v>
      </c>
      <c r="Z502" s="1202">
        <v>42</v>
      </c>
      <c r="AA502" s="740"/>
      <c r="AB502" s="739">
        <v>0</v>
      </c>
      <c r="AC502" s="741"/>
      <c r="AD502" s="741">
        <v>230</v>
      </c>
      <c r="AE502" s="741">
        <v>200</v>
      </c>
      <c r="AF502" s="741">
        <v>86</v>
      </c>
      <c r="AG502" s="741">
        <v>0</v>
      </c>
      <c r="AH502" s="741">
        <v>1189</v>
      </c>
      <c r="AI502" s="741">
        <v>299</v>
      </c>
      <c r="AJ502" s="741">
        <v>0</v>
      </c>
      <c r="AK502" s="741">
        <v>0</v>
      </c>
      <c r="AL502" s="741">
        <v>133</v>
      </c>
      <c r="AM502" s="742">
        <v>1527</v>
      </c>
      <c r="AN502" s="743">
        <f t="shared" si="24"/>
        <v>0.82379533035270747</v>
      </c>
      <c r="AO502" s="744">
        <f t="shared" si="25"/>
        <v>1.0568544995794786</v>
      </c>
      <c r="AP502" s="745">
        <f>'09월 에너지'!S504</f>
        <v>144.19999999999999</v>
      </c>
    </row>
    <row r="503" spans="1:42" ht="16.5" customHeight="1">
      <c r="A503" s="999">
        <f>'09월 조업일지'!A503</f>
        <v>46284</v>
      </c>
      <c r="B503" s="1100">
        <f>'09월 조업일지'!B503</f>
        <v>46284</v>
      </c>
      <c r="C503" s="730">
        <f>'09월 조업일지'!G503</f>
        <v>85705</v>
      </c>
      <c r="D503" s="731" t="str">
        <f>'09월 조업일지'!E503</f>
        <v>A</v>
      </c>
      <c r="E503" s="732" t="str">
        <f>'09월 조업일지'!F503</f>
        <v>B</v>
      </c>
      <c r="F503" s="1096" t="str">
        <f>'09월 에너지'!F505</f>
        <v>AS500N(QTB,C10)</v>
      </c>
      <c r="G503" s="733">
        <v>10</v>
      </c>
      <c r="H503" s="734">
        <v>22</v>
      </c>
      <c r="I503" s="734">
        <v>68</v>
      </c>
      <c r="J503" s="734">
        <v>17</v>
      </c>
      <c r="K503" s="735">
        <v>44</v>
      </c>
      <c r="L503" s="734">
        <v>11</v>
      </c>
      <c r="M503" s="736">
        <v>10</v>
      </c>
      <c r="N503" s="737">
        <v>415</v>
      </c>
      <c r="O503" s="737"/>
      <c r="P503" s="737">
        <v>1152</v>
      </c>
      <c r="Q503" s="737">
        <v>952</v>
      </c>
      <c r="R503" s="737"/>
      <c r="S503" s="737"/>
      <c r="T503" s="737">
        <v>47</v>
      </c>
      <c r="U503" s="738"/>
      <c r="V503" s="739">
        <v>419</v>
      </c>
      <c r="W503" s="737"/>
      <c r="X503" s="737">
        <v>1152</v>
      </c>
      <c r="Y503" s="737">
        <v>903</v>
      </c>
      <c r="Z503" s="1202">
        <v>46</v>
      </c>
      <c r="AA503" s="740"/>
      <c r="AB503" s="739">
        <v>0</v>
      </c>
      <c r="AC503" s="741"/>
      <c r="AD503" s="741">
        <v>232</v>
      </c>
      <c r="AE503" s="741">
        <v>200</v>
      </c>
      <c r="AF503" s="741">
        <v>82</v>
      </c>
      <c r="AG503" s="741">
        <v>0</v>
      </c>
      <c r="AH503" s="741">
        <v>1202</v>
      </c>
      <c r="AI503" s="741">
        <v>297</v>
      </c>
      <c r="AJ503" s="741">
        <v>0</v>
      </c>
      <c r="AK503" s="741">
        <v>0</v>
      </c>
      <c r="AL503" s="741">
        <v>132</v>
      </c>
      <c r="AM503" s="742">
        <v>2540</v>
      </c>
      <c r="AN503" s="743">
        <f t="shared" si="24"/>
        <v>0.79746929661332355</v>
      </c>
      <c r="AO503" s="744">
        <f t="shared" si="25"/>
        <v>0.9202876158782981</v>
      </c>
      <c r="AP503" s="745">
        <f>'09월 에너지'!S505</f>
        <v>146.1</v>
      </c>
    </row>
    <row r="504" spans="1:42" ht="16.5" customHeight="1">
      <c r="A504" s="999">
        <f>'09월 조업일지'!A504</f>
        <v>46284</v>
      </c>
      <c r="B504" s="1100">
        <f>'09월 조업일지'!B504</f>
        <v>46284</v>
      </c>
      <c r="C504" s="730">
        <f>'09월 조업일지'!G504</f>
        <v>85706</v>
      </c>
      <c r="D504" s="731" t="str">
        <f>'09월 조업일지'!E504</f>
        <v>A</v>
      </c>
      <c r="E504" s="732" t="str">
        <f>'09월 조업일지'!F504</f>
        <v>A</v>
      </c>
      <c r="F504" s="1096" t="str">
        <f>'09월 에너지'!F506</f>
        <v>AS500N(QTB,C10)</v>
      </c>
      <c r="G504" s="733">
        <v>12</v>
      </c>
      <c r="H504" s="734">
        <v>22</v>
      </c>
      <c r="I504" s="734">
        <v>65</v>
      </c>
      <c r="J504" s="734">
        <v>17</v>
      </c>
      <c r="K504" s="735">
        <v>54</v>
      </c>
      <c r="L504" s="734">
        <v>17</v>
      </c>
      <c r="M504" s="736">
        <v>10</v>
      </c>
      <c r="N504" s="737">
        <v>417</v>
      </c>
      <c r="O504" s="737"/>
      <c r="P504" s="737">
        <v>1150</v>
      </c>
      <c r="Q504" s="737">
        <v>951</v>
      </c>
      <c r="R504" s="737"/>
      <c r="S504" s="737"/>
      <c r="T504" s="737">
        <v>57</v>
      </c>
      <c r="U504" s="738"/>
      <c r="V504" s="739">
        <v>423</v>
      </c>
      <c r="W504" s="737"/>
      <c r="X504" s="737">
        <v>1153</v>
      </c>
      <c r="Y504" s="737">
        <v>904</v>
      </c>
      <c r="Z504" s="1202">
        <v>43</v>
      </c>
      <c r="AA504" s="740"/>
      <c r="AB504" s="739">
        <v>0</v>
      </c>
      <c r="AC504" s="741"/>
      <c r="AD504" s="741">
        <v>230</v>
      </c>
      <c r="AE504" s="741">
        <v>201</v>
      </c>
      <c r="AF504" s="741">
        <v>74</v>
      </c>
      <c r="AG504" s="741">
        <v>0</v>
      </c>
      <c r="AH504" s="741">
        <v>1196</v>
      </c>
      <c r="AI504" s="741">
        <v>301</v>
      </c>
      <c r="AJ504" s="741">
        <v>0</v>
      </c>
      <c r="AK504" s="741">
        <v>0</v>
      </c>
      <c r="AL504" s="741">
        <v>134</v>
      </c>
      <c r="AM504" s="742">
        <v>1543</v>
      </c>
      <c r="AN504" s="743">
        <f t="shared" si="24"/>
        <v>0.77487350364062701</v>
      </c>
      <c r="AO504" s="744">
        <f t="shared" si="25"/>
        <v>0.85224558050645016</v>
      </c>
      <c r="AP504" s="745">
        <f>'09월 에너지'!S506</f>
        <v>142.69999999999999</v>
      </c>
    </row>
    <row r="505" spans="1:42" ht="16.5" customHeight="1">
      <c r="A505" s="999">
        <f>'09월 조업일지'!A505</f>
        <v>46284</v>
      </c>
      <c r="B505" s="1100">
        <f>'09월 조업일지'!B505</f>
        <v>46284</v>
      </c>
      <c r="C505" s="730">
        <f>'09월 조업일지'!G505</f>
        <v>85707</v>
      </c>
      <c r="D505" s="731" t="str">
        <f>'09월 조업일지'!E505</f>
        <v>A</v>
      </c>
      <c r="E505" s="732" t="str">
        <f>'09월 조업일지'!F505</f>
        <v>B</v>
      </c>
      <c r="F505" s="1231" t="str">
        <f>'09월 에너지'!F507</f>
        <v>SS275[CS공장]</v>
      </c>
      <c r="G505" s="733">
        <v>10</v>
      </c>
      <c r="H505" s="734">
        <v>21</v>
      </c>
      <c r="I505" s="734">
        <v>51</v>
      </c>
      <c r="J505" s="734">
        <v>15</v>
      </c>
      <c r="K505" s="735">
        <v>31</v>
      </c>
      <c r="L505" s="734">
        <v>14</v>
      </c>
      <c r="M505" s="736">
        <v>11</v>
      </c>
      <c r="N505" s="737">
        <v>419</v>
      </c>
      <c r="O505" s="737"/>
      <c r="P505" s="737">
        <v>1001</v>
      </c>
      <c r="Q505" s="737">
        <v>952</v>
      </c>
      <c r="R505" s="737"/>
      <c r="S505" s="737"/>
      <c r="T505" s="737">
        <v>51</v>
      </c>
      <c r="U505" s="738"/>
      <c r="V505" s="739">
        <v>417</v>
      </c>
      <c r="W505" s="737"/>
      <c r="X505" s="737">
        <v>1002</v>
      </c>
      <c r="Y505" s="737">
        <v>902</v>
      </c>
      <c r="Z505" s="1202">
        <v>51</v>
      </c>
      <c r="AA505" s="740"/>
      <c r="AB505" s="739"/>
      <c r="AC505" s="741"/>
      <c r="AD505" s="741">
        <v>281</v>
      </c>
      <c r="AE505" s="741">
        <v>330</v>
      </c>
      <c r="AF505" s="741">
        <v>104</v>
      </c>
      <c r="AG505" s="741"/>
      <c r="AH505" s="741">
        <v>899</v>
      </c>
      <c r="AI505" s="741">
        <v>321</v>
      </c>
      <c r="AJ505" s="741"/>
      <c r="AK505" s="741">
        <v>112</v>
      </c>
      <c r="AL505" s="741">
        <v>123</v>
      </c>
      <c r="AM505" s="742">
        <v>2880</v>
      </c>
      <c r="AN505" s="743">
        <f t="shared" si="24"/>
        <v>0.68672086720867198</v>
      </c>
      <c r="AO505" s="744">
        <f t="shared" si="25"/>
        <v>0.82834895916097251</v>
      </c>
      <c r="AP505" s="745">
        <f>'09월 에너지'!S507</f>
        <v>144.80000000000001</v>
      </c>
    </row>
    <row r="506" spans="1:42" ht="16.5" customHeight="1">
      <c r="A506" s="999">
        <f>'09월 조업일지'!A506</f>
        <v>46284</v>
      </c>
      <c r="B506" s="1100">
        <f>'09월 조업일지'!B506</f>
        <v>46284</v>
      </c>
      <c r="C506" s="730">
        <f>'09월 조업일지'!G506</f>
        <v>85708</v>
      </c>
      <c r="D506" s="731" t="str">
        <f>'09월 조업일지'!E506</f>
        <v>B</v>
      </c>
      <c r="E506" s="732" t="str">
        <f>'09월 조업일지'!F506</f>
        <v>A</v>
      </c>
      <c r="F506" s="1096" t="str">
        <f>'09월 에너지'!F508</f>
        <v>SS275[CS공장]</v>
      </c>
      <c r="G506" s="733">
        <v>9</v>
      </c>
      <c r="H506" s="734">
        <v>16</v>
      </c>
      <c r="I506" s="734">
        <v>48</v>
      </c>
      <c r="J506" s="734">
        <v>16</v>
      </c>
      <c r="K506" s="735">
        <v>47</v>
      </c>
      <c r="L506" s="734">
        <v>15</v>
      </c>
      <c r="M506" s="736">
        <v>13</v>
      </c>
      <c r="N506" s="737">
        <v>414</v>
      </c>
      <c r="O506" s="737"/>
      <c r="P506" s="737">
        <v>1001</v>
      </c>
      <c r="Q506" s="737">
        <v>951</v>
      </c>
      <c r="R506" s="737"/>
      <c r="S506" s="737"/>
      <c r="T506" s="737">
        <v>51</v>
      </c>
      <c r="U506" s="738"/>
      <c r="V506" s="739">
        <v>419</v>
      </c>
      <c r="W506" s="737"/>
      <c r="X506" s="737">
        <v>1001</v>
      </c>
      <c r="Y506" s="737">
        <v>904</v>
      </c>
      <c r="Z506" s="1202">
        <v>51</v>
      </c>
      <c r="AA506" s="740"/>
      <c r="AB506" s="739"/>
      <c r="AC506" s="741"/>
      <c r="AD506" s="741">
        <v>280</v>
      </c>
      <c r="AE506" s="741">
        <v>330</v>
      </c>
      <c r="AF506" s="741">
        <v>107</v>
      </c>
      <c r="AG506" s="741"/>
      <c r="AH506" s="741">
        <v>894</v>
      </c>
      <c r="AI506" s="741">
        <v>323</v>
      </c>
      <c r="AJ506" s="741"/>
      <c r="AK506" s="741">
        <v>106</v>
      </c>
      <c r="AL506" s="741">
        <v>126</v>
      </c>
      <c r="AM506" s="742">
        <v>1655</v>
      </c>
      <c r="AN506" s="743">
        <f t="shared" si="24"/>
        <v>0.53206046141607</v>
      </c>
      <c r="AO506" s="744">
        <f t="shared" si="25"/>
        <v>0.77147651006711415</v>
      </c>
      <c r="AP506" s="745">
        <f>'09월 에너지'!S508</f>
        <v>146.30000000000001</v>
      </c>
    </row>
    <row r="507" spans="1:42" ht="16.5" customHeight="1">
      <c r="A507" s="999">
        <f>'09월 조업일지'!A507</f>
        <v>46284</v>
      </c>
      <c r="B507" s="1100">
        <f>'09월 조업일지'!B507</f>
        <v>46284</v>
      </c>
      <c r="C507" s="730">
        <f>'09월 조업일지'!G507</f>
        <v>85709</v>
      </c>
      <c r="D507" s="731" t="str">
        <f>'09월 조업일지'!E507</f>
        <v>B</v>
      </c>
      <c r="E507" s="732" t="str">
        <f>'09월 조업일지'!F507</f>
        <v>B</v>
      </c>
      <c r="F507" s="1096" t="str">
        <f>'09월 에너지'!F509</f>
        <v>SS275[CS공장]</v>
      </c>
      <c r="G507" s="733">
        <v>10</v>
      </c>
      <c r="H507" s="734">
        <v>19</v>
      </c>
      <c r="I507" s="734">
        <v>52</v>
      </c>
      <c r="J507" s="734">
        <v>17</v>
      </c>
      <c r="K507" s="735">
        <v>37</v>
      </c>
      <c r="L507" s="734">
        <v>15</v>
      </c>
      <c r="M507" s="736">
        <v>14</v>
      </c>
      <c r="N507" s="737">
        <v>415</v>
      </c>
      <c r="O507" s="737"/>
      <c r="P507" s="737">
        <v>1001</v>
      </c>
      <c r="Q507" s="737">
        <v>950</v>
      </c>
      <c r="R507" s="737"/>
      <c r="S507" s="737"/>
      <c r="T507" s="737">
        <v>57</v>
      </c>
      <c r="U507" s="738"/>
      <c r="V507" s="739">
        <v>416</v>
      </c>
      <c r="W507" s="737"/>
      <c r="X507" s="737">
        <v>1002</v>
      </c>
      <c r="Y507" s="737">
        <v>902</v>
      </c>
      <c r="Z507" s="1202">
        <v>48</v>
      </c>
      <c r="AA507" s="740"/>
      <c r="AB507" s="739"/>
      <c r="AC507" s="741"/>
      <c r="AD507" s="741">
        <v>281</v>
      </c>
      <c r="AE507" s="741">
        <v>330</v>
      </c>
      <c r="AF507" s="741">
        <v>104</v>
      </c>
      <c r="AG507" s="741"/>
      <c r="AH507" s="741">
        <v>901</v>
      </c>
      <c r="AI507" s="741">
        <v>324</v>
      </c>
      <c r="AJ507" s="741"/>
      <c r="AK507" s="741">
        <v>103</v>
      </c>
      <c r="AL507" s="741">
        <v>130</v>
      </c>
      <c r="AM507" s="742">
        <v>2456</v>
      </c>
      <c r="AN507" s="743">
        <f t="shared" si="24"/>
        <v>0.63354926696215486</v>
      </c>
      <c r="AO507" s="744">
        <f t="shared" si="25"/>
        <v>0.86061518947201521</v>
      </c>
      <c r="AP507" s="745">
        <f>'09월 에너지'!S509</f>
        <v>146.69999999999999</v>
      </c>
    </row>
    <row r="508" spans="1:42" ht="16.5" customHeight="1">
      <c r="A508" s="999">
        <f>'09월 조업일지'!A508</f>
        <v>46284</v>
      </c>
      <c r="B508" s="1100">
        <f>'09월 조업일지'!B508</f>
        <v>46284</v>
      </c>
      <c r="C508" s="730">
        <f>'09월 조업일지'!G508</f>
        <v>85710</v>
      </c>
      <c r="D508" s="731" t="str">
        <f>'09월 조업일지'!E508</f>
        <v>B</v>
      </c>
      <c r="E508" s="732" t="str">
        <f>'09월 조업일지'!F508</f>
        <v>A</v>
      </c>
      <c r="F508" s="1096" t="str">
        <f>'09월 에너지'!F510</f>
        <v>SS275[CS공장]</v>
      </c>
      <c r="G508" s="733">
        <v>11</v>
      </c>
      <c r="H508" s="734">
        <v>22</v>
      </c>
      <c r="I508" s="734">
        <v>55</v>
      </c>
      <c r="J508" s="734">
        <v>19</v>
      </c>
      <c r="K508" s="735">
        <v>46</v>
      </c>
      <c r="L508" s="734">
        <v>18</v>
      </c>
      <c r="M508" s="736">
        <v>10</v>
      </c>
      <c r="N508" s="737">
        <v>416</v>
      </c>
      <c r="O508" s="737"/>
      <c r="P508" s="737">
        <v>1001</v>
      </c>
      <c r="Q508" s="737">
        <v>951</v>
      </c>
      <c r="R508" s="737"/>
      <c r="S508" s="737"/>
      <c r="T508" s="737">
        <v>56</v>
      </c>
      <c r="U508" s="738"/>
      <c r="V508" s="739">
        <v>416</v>
      </c>
      <c r="W508" s="737"/>
      <c r="X508" s="737">
        <v>1002</v>
      </c>
      <c r="Y508" s="737">
        <v>901</v>
      </c>
      <c r="Z508" s="1202">
        <v>43</v>
      </c>
      <c r="AA508" s="740"/>
      <c r="AB508" s="739"/>
      <c r="AC508" s="741"/>
      <c r="AD508" s="741">
        <v>281</v>
      </c>
      <c r="AE508" s="741">
        <v>330</v>
      </c>
      <c r="AF508" s="741">
        <v>94</v>
      </c>
      <c r="AG508" s="741"/>
      <c r="AH508" s="741">
        <v>894</v>
      </c>
      <c r="AI508" s="741">
        <v>327</v>
      </c>
      <c r="AJ508" s="741"/>
      <c r="AK508" s="741">
        <v>108</v>
      </c>
      <c r="AL508" s="741">
        <v>118</v>
      </c>
      <c r="AM508" s="742">
        <v>1664</v>
      </c>
      <c r="AN508" s="743">
        <f t="shared" si="24"/>
        <v>0.70138466734211402</v>
      </c>
      <c r="AO508" s="744">
        <f t="shared" si="25"/>
        <v>0.90508149568552254</v>
      </c>
      <c r="AP508" s="745">
        <f>'09월 에너지'!S510</f>
        <v>141.6</v>
      </c>
    </row>
    <row r="509" spans="1:42" ht="16.5" customHeight="1">
      <c r="A509" s="999">
        <f>'09월 조업일지'!A509</f>
        <v>46284</v>
      </c>
      <c r="B509" s="1100">
        <f>'09월 조업일지'!B509</f>
        <v>46284</v>
      </c>
      <c r="C509" s="730">
        <f>'09월 조업일지'!G509</f>
        <v>85711</v>
      </c>
      <c r="D509" s="731" t="str">
        <f>'09월 조업일지'!E509</f>
        <v>B</v>
      </c>
      <c r="E509" s="732" t="str">
        <f>'09월 조업일지'!F509</f>
        <v>B</v>
      </c>
      <c r="F509" s="1096" t="str">
        <f>'09월 에너지'!F511</f>
        <v>SS275[CS공장]</v>
      </c>
      <c r="G509" s="733">
        <v>10</v>
      </c>
      <c r="H509" s="734">
        <v>24</v>
      </c>
      <c r="I509" s="734">
        <v>63</v>
      </c>
      <c r="J509" s="734">
        <v>20</v>
      </c>
      <c r="K509" s="735">
        <v>40</v>
      </c>
      <c r="L509" s="734">
        <v>14</v>
      </c>
      <c r="M509" s="736">
        <v>11</v>
      </c>
      <c r="N509" s="737">
        <v>421</v>
      </c>
      <c r="O509" s="737"/>
      <c r="P509" s="737">
        <v>1000</v>
      </c>
      <c r="Q509" s="737">
        <v>952</v>
      </c>
      <c r="R509" s="737"/>
      <c r="S509" s="737"/>
      <c r="T509" s="737">
        <v>58</v>
      </c>
      <c r="U509" s="738"/>
      <c r="V509" s="739">
        <v>419</v>
      </c>
      <c r="W509" s="737"/>
      <c r="X509" s="737">
        <v>1003</v>
      </c>
      <c r="Y509" s="737">
        <v>901</v>
      </c>
      <c r="Z509" s="1202">
        <v>53</v>
      </c>
      <c r="AA509" s="740"/>
      <c r="AB509" s="739"/>
      <c r="AC509" s="741"/>
      <c r="AD509" s="741">
        <v>281</v>
      </c>
      <c r="AE509" s="741">
        <v>331</v>
      </c>
      <c r="AF509" s="741">
        <v>94</v>
      </c>
      <c r="AG509" s="741"/>
      <c r="AH509" s="741">
        <v>902</v>
      </c>
      <c r="AI509" s="741">
        <v>331</v>
      </c>
      <c r="AJ509" s="741"/>
      <c r="AK509" s="741">
        <v>104</v>
      </c>
      <c r="AL509" s="741">
        <v>131</v>
      </c>
      <c r="AM509" s="742">
        <v>1950</v>
      </c>
      <c r="AN509" s="743">
        <f t="shared" si="24"/>
        <v>0.78896737302388165</v>
      </c>
      <c r="AO509" s="744">
        <f t="shared" si="25"/>
        <v>1.1144757681343047</v>
      </c>
      <c r="AP509" s="745">
        <f>'09월 에너지'!S511</f>
        <v>146.6</v>
      </c>
    </row>
    <row r="510" spans="1:42" ht="16.5" customHeight="1">
      <c r="A510" s="999">
        <f>'09월 조업일지'!A510</f>
        <v>46284</v>
      </c>
      <c r="B510" s="1100">
        <f>'09월 조업일지'!B510</f>
        <v>46284</v>
      </c>
      <c r="C510" s="730">
        <f>'09월 조업일지'!G510</f>
        <v>85712</v>
      </c>
      <c r="D510" s="731" t="str">
        <f>'09월 조업일지'!E510</f>
        <v>B</v>
      </c>
      <c r="E510" s="732" t="str">
        <f>'09월 조업일지'!F510</f>
        <v>A</v>
      </c>
      <c r="F510" s="1096" t="str">
        <f>'09월 에너지'!F512</f>
        <v>SS275[CS공장]</v>
      </c>
      <c r="G510" s="733">
        <v>10</v>
      </c>
      <c r="H510" s="734">
        <v>14</v>
      </c>
      <c r="I510" s="734">
        <v>47</v>
      </c>
      <c r="J510" s="734">
        <v>14</v>
      </c>
      <c r="K510" s="735">
        <v>38</v>
      </c>
      <c r="L510" s="734">
        <v>11</v>
      </c>
      <c r="M510" s="736">
        <v>10</v>
      </c>
      <c r="N510" s="737">
        <v>419</v>
      </c>
      <c r="O510" s="737"/>
      <c r="P510" s="737">
        <v>1001</v>
      </c>
      <c r="Q510" s="737">
        <v>951</v>
      </c>
      <c r="R510" s="737"/>
      <c r="S510" s="737"/>
      <c r="T510" s="737">
        <v>56</v>
      </c>
      <c r="U510" s="738"/>
      <c r="V510" s="739">
        <v>416</v>
      </c>
      <c r="W510" s="737"/>
      <c r="X510" s="737">
        <v>1001</v>
      </c>
      <c r="Y510" s="737">
        <v>902</v>
      </c>
      <c r="Z510" s="1202">
        <v>49</v>
      </c>
      <c r="AA510" s="740"/>
      <c r="AB510" s="739"/>
      <c r="AC510" s="741"/>
      <c r="AD510" s="741">
        <v>281</v>
      </c>
      <c r="AE510" s="741">
        <v>330</v>
      </c>
      <c r="AF510" s="741">
        <v>98</v>
      </c>
      <c r="AG510" s="741"/>
      <c r="AH510" s="741">
        <v>895</v>
      </c>
      <c r="AI510" s="741">
        <v>323</v>
      </c>
      <c r="AJ510" s="741"/>
      <c r="AK510" s="741">
        <v>108</v>
      </c>
      <c r="AL510" s="741">
        <v>116</v>
      </c>
      <c r="AM510" s="742">
        <v>1765</v>
      </c>
      <c r="AN510" s="743">
        <f t="shared" si="24"/>
        <v>0.45048719691819628</v>
      </c>
      <c r="AO510" s="744">
        <f t="shared" si="25"/>
        <v>0.72529928172386271</v>
      </c>
      <c r="AP510" s="745">
        <f>'09월 에너지'!S512</f>
        <v>142</v>
      </c>
    </row>
    <row r="511" spans="1:42" ht="16.5" customHeight="1">
      <c r="A511" s="999">
        <f>'09월 조업일지'!A511</f>
        <v>46284</v>
      </c>
      <c r="B511" s="1100">
        <f>'09월 조업일지'!B511</f>
        <v>46284</v>
      </c>
      <c r="C511" s="730">
        <f>'09월 조업일지'!G511</f>
        <v>85713</v>
      </c>
      <c r="D511" s="731" t="str">
        <f>'09월 조업일지'!E511</f>
        <v>B</v>
      </c>
      <c r="E511" s="732" t="str">
        <f>'09월 조업일지'!F511</f>
        <v>B</v>
      </c>
      <c r="F511" s="1096" t="str">
        <f>'09월 에너지'!F513</f>
        <v>SS275[CS공장]</v>
      </c>
      <c r="G511" s="733">
        <v>10</v>
      </c>
      <c r="H511" s="734">
        <v>21</v>
      </c>
      <c r="I511" s="734">
        <v>60</v>
      </c>
      <c r="J511" s="734">
        <v>17</v>
      </c>
      <c r="K511" s="735">
        <v>38</v>
      </c>
      <c r="L511" s="734">
        <v>13</v>
      </c>
      <c r="M511" s="736">
        <v>9</v>
      </c>
      <c r="N511" s="737">
        <v>414</v>
      </c>
      <c r="O511" s="737"/>
      <c r="P511" s="737">
        <v>1000</v>
      </c>
      <c r="Q511" s="737">
        <v>957</v>
      </c>
      <c r="R511" s="737"/>
      <c r="S511" s="737"/>
      <c r="T511" s="737">
        <v>49</v>
      </c>
      <c r="U511" s="738"/>
      <c r="V511" s="739">
        <v>412</v>
      </c>
      <c r="W511" s="737"/>
      <c r="X511" s="737">
        <v>1001</v>
      </c>
      <c r="Y511" s="737">
        <v>900</v>
      </c>
      <c r="Z511" s="1202">
        <v>43</v>
      </c>
      <c r="AA511" s="740"/>
      <c r="AB511" s="739"/>
      <c r="AC511" s="741"/>
      <c r="AD511" s="741">
        <v>281</v>
      </c>
      <c r="AE511" s="741">
        <v>330</v>
      </c>
      <c r="AF511" s="741">
        <v>98</v>
      </c>
      <c r="AG511" s="741"/>
      <c r="AH511" s="741">
        <v>901</v>
      </c>
      <c r="AI511" s="741">
        <v>322</v>
      </c>
      <c r="AJ511" s="741"/>
      <c r="AK511" s="741">
        <v>113</v>
      </c>
      <c r="AL511" s="741">
        <v>131</v>
      </c>
      <c r="AM511" s="742">
        <v>1228</v>
      </c>
      <c r="AN511" s="743">
        <f t="shared" si="24"/>
        <v>0.68795140060749238</v>
      </c>
      <c r="AO511" s="744">
        <f t="shared" si="25"/>
        <v>1.0388457269700335</v>
      </c>
      <c r="AP511" s="745">
        <f>'09월 에너지'!S513</f>
        <v>145.6</v>
      </c>
    </row>
    <row r="512" spans="1:42" ht="16.5" customHeight="1">
      <c r="A512" s="999">
        <f>'09월 조업일지'!A512</f>
        <v>46284</v>
      </c>
      <c r="B512" s="1100">
        <f>'09월 조업일지'!B512</f>
        <v>46284</v>
      </c>
      <c r="C512" s="730">
        <f>'09월 조업일지'!G512</f>
        <v>85714</v>
      </c>
      <c r="D512" s="731" t="str">
        <f>'09월 조업일지'!E512</f>
        <v>B</v>
      </c>
      <c r="E512" s="732" t="str">
        <f>'09월 조업일지'!F512</f>
        <v>A</v>
      </c>
      <c r="F512" s="1096" t="str">
        <f>'09월 에너지'!F514</f>
        <v>SS275[CS공장]</v>
      </c>
      <c r="G512" s="733">
        <v>9</v>
      </c>
      <c r="H512" s="734">
        <v>19</v>
      </c>
      <c r="I512" s="734">
        <v>52</v>
      </c>
      <c r="J512" s="734">
        <v>14</v>
      </c>
      <c r="K512" s="735">
        <v>47</v>
      </c>
      <c r="L512" s="734">
        <v>11</v>
      </c>
      <c r="M512" s="736">
        <v>6</v>
      </c>
      <c r="N512" s="737">
        <v>412</v>
      </c>
      <c r="O512" s="737"/>
      <c r="P512" s="737">
        <v>1002</v>
      </c>
      <c r="Q512" s="737">
        <v>953</v>
      </c>
      <c r="R512" s="737"/>
      <c r="S512" s="737"/>
      <c r="T512" s="737">
        <v>46</v>
      </c>
      <c r="U512" s="738"/>
      <c r="V512" s="739">
        <v>415</v>
      </c>
      <c r="W512" s="737"/>
      <c r="X512" s="737">
        <v>1000</v>
      </c>
      <c r="Y512" s="737">
        <v>904</v>
      </c>
      <c r="Z512" s="1202">
        <v>47</v>
      </c>
      <c r="AA512" s="740"/>
      <c r="AB512" s="739"/>
      <c r="AC512" s="741"/>
      <c r="AD512" s="741">
        <v>281</v>
      </c>
      <c r="AE512" s="741">
        <v>330</v>
      </c>
      <c r="AF512" s="741">
        <v>94</v>
      </c>
      <c r="AG512" s="741"/>
      <c r="AH512" s="741">
        <v>898</v>
      </c>
      <c r="AI512" s="741">
        <v>330</v>
      </c>
      <c r="AJ512" s="741"/>
      <c r="AK512" s="741">
        <v>105</v>
      </c>
      <c r="AL512" s="741">
        <v>119</v>
      </c>
      <c r="AM512" s="742">
        <v>1659</v>
      </c>
      <c r="AN512" s="743">
        <f t="shared" si="24"/>
        <v>0.60303234501347713</v>
      </c>
      <c r="AO512" s="744">
        <f t="shared" si="25"/>
        <v>0.83170537702831693</v>
      </c>
      <c r="AP512" s="745">
        <f>'09월 에너지'!S514</f>
        <v>141.30000000000001</v>
      </c>
    </row>
    <row r="513" spans="1:42" ht="16.5" customHeight="1">
      <c r="A513" s="999">
        <f>'09월 조업일지'!A513</f>
        <v>46284</v>
      </c>
      <c r="B513" s="1100">
        <f>'09월 조업일지'!B513</f>
        <v>46284</v>
      </c>
      <c r="C513" s="730">
        <f>'09월 조업일지'!G513</f>
        <v>85715</v>
      </c>
      <c r="D513" s="731" t="str">
        <f>'09월 조업일지'!E513</f>
        <v>B</v>
      </c>
      <c r="E513" s="732" t="str">
        <f>'09월 조업일지'!F513</f>
        <v>B</v>
      </c>
      <c r="F513" s="1096" t="str">
        <f>'09월 에너지'!F515</f>
        <v>SS275[CS공장]</v>
      </c>
      <c r="G513" s="733">
        <v>10</v>
      </c>
      <c r="H513" s="734">
        <v>22</v>
      </c>
      <c r="I513" s="734">
        <v>59</v>
      </c>
      <c r="J513" s="734">
        <v>16</v>
      </c>
      <c r="K513" s="735">
        <v>39</v>
      </c>
      <c r="L513" s="734">
        <v>14</v>
      </c>
      <c r="M513" s="736">
        <v>11</v>
      </c>
      <c r="N513" s="737">
        <v>424</v>
      </c>
      <c r="O513" s="737"/>
      <c r="P513" s="737">
        <v>1000</v>
      </c>
      <c r="Q513" s="737">
        <v>951</v>
      </c>
      <c r="R513" s="737"/>
      <c r="S513" s="737"/>
      <c r="T513" s="737">
        <v>48</v>
      </c>
      <c r="U513" s="738"/>
      <c r="V513" s="739">
        <v>422</v>
      </c>
      <c r="W513" s="737"/>
      <c r="X513" s="737">
        <v>1001</v>
      </c>
      <c r="Y513" s="737">
        <v>903</v>
      </c>
      <c r="Z513" s="1202">
        <v>45</v>
      </c>
      <c r="AA513" s="740"/>
      <c r="AB513" s="739"/>
      <c r="AC513" s="741"/>
      <c r="AD513" s="741">
        <v>282</v>
      </c>
      <c r="AE513" s="741">
        <v>330</v>
      </c>
      <c r="AF513" s="741">
        <v>93</v>
      </c>
      <c r="AG513" s="741"/>
      <c r="AH513" s="741">
        <v>905</v>
      </c>
      <c r="AI513" s="741">
        <v>329</v>
      </c>
      <c r="AJ513" s="741"/>
      <c r="AK513" s="741">
        <v>106</v>
      </c>
      <c r="AL513" s="741">
        <v>124</v>
      </c>
      <c r="AM513" s="742">
        <v>1494</v>
      </c>
      <c r="AN513" s="743">
        <f t="shared" si="24"/>
        <v>0.72347007397444518</v>
      </c>
      <c r="AO513" s="744">
        <f t="shared" si="25"/>
        <v>1.0189108129439621</v>
      </c>
      <c r="AP513" s="745">
        <f>'09월 에너지'!S515</f>
        <v>146.69999999999999</v>
      </c>
    </row>
    <row r="514" spans="1:42" ht="16.5" customHeight="1">
      <c r="A514" s="999">
        <f>'09월 조업일지'!A514</f>
        <v>46284</v>
      </c>
      <c r="B514" s="1100">
        <f>'09월 조업일지'!B514</f>
        <v>46284</v>
      </c>
      <c r="C514" s="730">
        <f>'09월 조업일지'!G514</f>
        <v>85716</v>
      </c>
      <c r="D514" s="731" t="str">
        <f>'09월 조업일지'!E514</f>
        <v>B</v>
      </c>
      <c r="E514" s="732" t="str">
        <f>'09월 조업일지'!F514</f>
        <v>A</v>
      </c>
      <c r="F514" s="1096" t="str">
        <f>'09월 에너지'!F516</f>
        <v>SS275[CS공장]</v>
      </c>
      <c r="G514" s="733">
        <v>9</v>
      </c>
      <c r="H514" s="734">
        <v>14</v>
      </c>
      <c r="I514" s="734">
        <v>51</v>
      </c>
      <c r="J514" s="734">
        <v>15</v>
      </c>
      <c r="K514" s="735">
        <v>38</v>
      </c>
      <c r="L514" s="734">
        <v>13</v>
      </c>
      <c r="M514" s="736">
        <v>8</v>
      </c>
      <c r="N514" s="737">
        <v>417</v>
      </c>
      <c r="O514" s="737"/>
      <c r="P514" s="737">
        <v>1000</v>
      </c>
      <c r="Q514" s="737">
        <v>952</v>
      </c>
      <c r="R514" s="737"/>
      <c r="S514" s="737"/>
      <c r="T514" s="737">
        <v>50</v>
      </c>
      <c r="U514" s="738"/>
      <c r="V514" s="739">
        <v>421</v>
      </c>
      <c r="W514" s="737"/>
      <c r="X514" s="737">
        <v>1000</v>
      </c>
      <c r="Y514" s="737">
        <v>902</v>
      </c>
      <c r="Z514" s="1202">
        <v>48</v>
      </c>
      <c r="AA514" s="740"/>
      <c r="AB514" s="739"/>
      <c r="AC514" s="741"/>
      <c r="AD514" s="741">
        <v>281</v>
      </c>
      <c r="AE514" s="741">
        <v>330</v>
      </c>
      <c r="AF514" s="741">
        <v>96</v>
      </c>
      <c r="AG514" s="741"/>
      <c r="AH514" s="741">
        <v>896</v>
      </c>
      <c r="AI514" s="741">
        <v>321</v>
      </c>
      <c r="AJ514" s="741"/>
      <c r="AK514" s="741">
        <v>110</v>
      </c>
      <c r="AL514" s="741">
        <v>126</v>
      </c>
      <c r="AM514" s="742">
        <v>1984</v>
      </c>
      <c r="AN514" s="743">
        <f t="shared" si="24"/>
        <v>0.4604782953643885</v>
      </c>
      <c r="AO514" s="744">
        <f t="shared" si="25"/>
        <v>0.83284438775510217</v>
      </c>
      <c r="AP514" s="745">
        <f>'09월 에너지'!S516</f>
        <v>145.1</v>
      </c>
    </row>
    <row r="515" spans="1:42" ht="16.5" customHeight="1">
      <c r="A515" s="999">
        <f>'09월 조업일지'!A515</f>
        <v>46284</v>
      </c>
      <c r="B515" s="1100">
        <f>'09월 조업일지'!B515</f>
        <v>46284</v>
      </c>
      <c r="C515" s="730">
        <f>'09월 조업일지'!G515</f>
        <v>85717</v>
      </c>
      <c r="D515" s="731" t="str">
        <f>'09월 조업일지'!E515</f>
        <v>B</v>
      </c>
      <c r="E515" s="732" t="str">
        <f>'09월 조업일지'!F515</f>
        <v>B</v>
      </c>
      <c r="F515" s="1231" t="str">
        <f>'09월 에너지'!F517</f>
        <v>DKOIL</v>
      </c>
      <c r="G515" s="733">
        <v>17</v>
      </c>
      <c r="H515" s="734">
        <v>11</v>
      </c>
      <c r="I515" s="734">
        <v>57</v>
      </c>
      <c r="J515" s="734">
        <v>20</v>
      </c>
      <c r="K515" s="735">
        <v>40</v>
      </c>
      <c r="L515" s="734">
        <v>15</v>
      </c>
      <c r="M515" s="736">
        <v>13</v>
      </c>
      <c r="N515" s="737">
        <v>412</v>
      </c>
      <c r="O515" s="737"/>
      <c r="P515" s="737">
        <v>1000</v>
      </c>
      <c r="Q515" s="737">
        <v>951</v>
      </c>
      <c r="R515" s="737"/>
      <c r="S515" s="737"/>
      <c r="T515" s="737">
        <v>50</v>
      </c>
      <c r="U515" s="738"/>
      <c r="V515" s="739">
        <v>413</v>
      </c>
      <c r="W515" s="737"/>
      <c r="X515" s="737">
        <v>1002</v>
      </c>
      <c r="Y515" s="737">
        <v>902</v>
      </c>
      <c r="Z515" s="1202">
        <v>48</v>
      </c>
      <c r="AA515" s="740"/>
      <c r="AB515" s="739">
        <v>86</v>
      </c>
      <c r="AC515" s="741"/>
      <c r="AD515" s="741">
        <v>251</v>
      </c>
      <c r="AE515" s="741">
        <v>200</v>
      </c>
      <c r="AF515" s="741">
        <v>90</v>
      </c>
      <c r="AG515" s="741"/>
      <c r="AH515" s="741">
        <v>769</v>
      </c>
      <c r="AI515" s="741">
        <v>180</v>
      </c>
      <c r="AJ515" s="741"/>
      <c r="AK515" s="741">
        <v>214</v>
      </c>
      <c r="AL515" s="741">
        <v>137</v>
      </c>
      <c r="AM515" s="742">
        <v>1515</v>
      </c>
      <c r="AN515" s="743">
        <f t="shared" si="24"/>
        <v>0.41676567656765673</v>
      </c>
      <c r="AO515" s="744">
        <f t="shared" si="25"/>
        <v>1.1196358907672304</v>
      </c>
      <c r="AP515" s="745">
        <f>'09월 에너지'!S517</f>
        <v>143.5</v>
      </c>
    </row>
    <row r="516" spans="1:42" ht="16.5" customHeight="1">
      <c r="A516" s="999">
        <f>'09월 조업일지'!A516</f>
        <v>46284</v>
      </c>
      <c r="B516" s="1100">
        <f>'09월 조업일지'!B516</f>
        <v>46284</v>
      </c>
      <c r="C516" s="730">
        <f>'09월 조업일지'!G516</f>
        <v>85718</v>
      </c>
      <c r="D516" s="731" t="str">
        <f>'09월 조업일지'!E516</f>
        <v>D</v>
      </c>
      <c r="E516" s="732" t="str">
        <f>'09월 조업일지'!F516</f>
        <v>A</v>
      </c>
      <c r="F516" s="1096" t="str">
        <f>'09월 에너지'!F518</f>
        <v>DKOIL</v>
      </c>
      <c r="G516" s="733">
        <v>15</v>
      </c>
      <c r="H516" s="734">
        <v>16</v>
      </c>
      <c r="I516" s="734">
        <v>55</v>
      </c>
      <c r="J516" s="734">
        <v>16</v>
      </c>
      <c r="K516" s="735">
        <v>39</v>
      </c>
      <c r="L516" s="734">
        <v>12</v>
      </c>
      <c r="M516" s="736">
        <v>9</v>
      </c>
      <c r="N516" s="737">
        <v>422</v>
      </c>
      <c r="O516" s="737"/>
      <c r="P516" s="737">
        <v>1000</v>
      </c>
      <c r="Q516" s="737">
        <v>953</v>
      </c>
      <c r="R516" s="737"/>
      <c r="S516" s="737"/>
      <c r="T516" s="737">
        <v>57</v>
      </c>
      <c r="U516" s="738"/>
      <c r="V516" s="739">
        <v>419</v>
      </c>
      <c r="W516" s="737"/>
      <c r="X516" s="737">
        <v>1000</v>
      </c>
      <c r="Y516" s="737">
        <v>903</v>
      </c>
      <c r="Z516" s="1202">
        <v>49</v>
      </c>
      <c r="AA516" s="740"/>
      <c r="AB516" s="739">
        <v>88</v>
      </c>
      <c r="AC516" s="741"/>
      <c r="AD516" s="741">
        <v>251</v>
      </c>
      <c r="AE516" s="741">
        <v>201</v>
      </c>
      <c r="AF516" s="741">
        <v>97</v>
      </c>
      <c r="AG516" s="741"/>
      <c r="AH516" s="741">
        <v>770</v>
      </c>
      <c r="AI516" s="741">
        <v>184</v>
      </c>
      <c r="AJ516" s="741"/>
      <c r="AK516" s="741">
        <v>218</v>
      </c>
      <c r="AL516" s="741">
        <v>137</v>
      </c>
      <c r="AM516" s="742">
        <v>1416</v>
      </c>
      <c r="AN516" s="743">
        <f t="shared" si="24"/>
        <v>0.58787405672651583</v>
      </c>
      <c r="AO516" s="744">
        <f t="shared" si="25"/>
        <v>1.0478664192949907</v>
      </c>
      <c r="AP516" s="745">
        <f>'09월 에너지'!S518</f>
        <v>141.19999999999999</v>
      </c>
    </row>
    <row r="517" spans="1:42" ht="16.5" customHeight="1">
      <c r="A517" s="999">
        <f>'09월 조업일지'!A517</f>
        <v>46284</v>
      </c>
      <c r="B517" s="1100">
        <f>'09월 조업일지'!B517</f>
        <v>46284</v>
      </c>
      <c r="C517" s="730">
        <f>'09월 조업일지'!G517</f>
        <v>85719</v>
      </c>
      <c r="D517" s="731" t="str">
        <f>'09월 조업일지'!E517</f>
        <v>D</v>
      </c>
      <c r="E517" s="732" t="str">
        <f>'09월 조업일지'!F517</f>
        <v>B</v>
      </c>
      <c r="F517" s="1096" t="str">
        <f>'09월 에너지'!F519</f>
        <v>DKOIL</v>
      </c>
      <c r="G517" s="733">
        <v>17</v>
      </c>
      <c r="H517" s="734">
        <v>15</v>
      </c>
      <c r="I517" s="734">
        <v>56</v>
      </c>
      <c r="J517" s="734">
        <v>19</v>
      </c>
      <c r="K517" s="735">
        <v>45</v>
      </c>
      <c r="L517" s="734">
        <v>14</v>
      </c>
      <c r="M517" s="736">
        <v>11</v>
      </c>
      <c r="N517" s="737">
        <v>416</v>
      </c>
      <c r="O517" s="737"/>
      <c r="P517" s="737">
        <v>252</v>
      </c>
      <c r="Q517" s="737">
        <v>773</v>
      </c>
      <c r="R517" s="737"/>
      <c r="S517" s="737"/>
      <c r="T517" s="737">
        <v>55</v>
      </c>
      <c r="U517" s="738"/>
      <c r="V517" s="739">
        <v>414</v>
      </c>
      <c r="W517" s="737"/>
      <c r="X517" s="737">
        <v>1001</v>
      </c>
      <c r="Y517" s="737">
        <v>905</v>
      </c>
      <c r="Z517" s="1202">
        <v>49</v>
      </c>
      <c r="AA517" s="740"/>
      <c r="AB517" s="739">
        <v>89</v>
      </c>
      <c r="AC517" s="741"/>
      <c r="AD517" s="741">
        <v>250</v>
      </c>
      <c r="AE517" s="741">
        <v>201</v>
      </c>
      <c r="AF517" s="741">
        <v>97</v>
      </c>
      <c r="AG517" s="741"/>
      <c r="AH517" s="741">
        <v>767</v>
      </c>
      <c r="AI517" s="741">
        <v>186</v>
      </c>
      <c r="AJ517" s="741"/>
      <c r="AK517" s="741">
        <v>219</v>
      </c>
      <c r="AL517" s="741">
        <v>150</v>
      </c>
      <c r="AM517" s="742">
        <v>1101</v>
      </c>
      <c r="AN517" s="743">
        <f t="shared" si="24"/>
        <v>0.57015157403808781</v>
      </c>
      <c r="AO517" s="744">
        <f t="shared" si="25"/>
        <v>1.1202644812814306</v>
      </c>
      <c r="AP517" s="745">
        <f>'09월 에너지'!S519</f>
        <v>146.69999999999999</v>
      </c>
    </row>
    <row r="518" spans="1:42" ht="16.5" customHeight="1">
      <c r="A518" s="999">
        <f>'09월 조업일지'!A518</f>
        <v>46284</v>
      </c>
      <c r="B518" s="1100">
        <f>'09월 조업일지'!B518</f>
        <v>46284</v>
      </c>
      <c r="C518" s="730">
        <f>'09월 조업일지'!G518</f>
        <v>85720</v>
      </c>
      <c r="D518" s="731" t="str">
        <f>'09월 조업일지'!E518</f>
        <v>D</v>
      </c>
      <c r="E518" s="732" t="str">
        <f>'09월 조업일지'!F518</f>
        <v>A</v>
      </c>
      <c r="F518" s="1096" t="str">
        <f>'09월 에너지'!F520</f>
        <v>DKOIL</v>
      </c>
      <c r="G518" s="733">
        <v>17</v>
      </c>
      <c r="H518" s="734">
        <v>18</v>
      </c>
      <c r="I518" s="734">
        <v>64</v>
      </c>
      <c r="J518" s="734">
        <v>21</v>
      </c>
      <c r="K518" s="735">
        <v>39</v>
      </c>
      <c r="L518" s="734">
        <v>13</v>
      </c>
      <c r="M518" s="736">
        <v>8</v>
      </c>
      <c r="N518" s="737">
        <v>419</v>
      </c>
      <c r="O518" s="737"/>
      <c r="P518" s="737">
        <v>1000</v>
      </c>
      <c r="Q518" s="737">
        <v>957</v>
      </c>
      <c r="R518" s="737"/>
      <c r="S518" s="737"/>
      <c r="T518" s="737">
        <v>49</v>
      </c>
      <c r="U518" s="738"/>
      <c r="V518" s="739">
        <v>413</v>
      </c>
      <c r="W518" s="737"/>
      <c r="X518" s="737">
        <v>1001</v>
      </c>
      <c r="Y518" s="737">
        <v>906</v>
      </c>
      <c r="Z518" s="1202">
        <v>50</v>
      </c>
      <c r="AA518" s="740"/>
      <c r="AB518" s="739">
        <v>90</v>
      </c>
      <c r="AC518" s="741"/>
      <c r="AD518" s="741">
        <v>251</v>
      </c>
      <c r="AE518" s="741">
        <v>201</v>
      </c>
      <c r="AF518" s="741">
        <v>100</v>
      </c>
      <c r="AG518" s="741"/>
      <c r="AH518" s="741">
        <v>768</v>
      </c>
      <c r="AI518" s="741">
        <v>185</v>
      </c>
      <c r="AJ518" s="741"/>
      <c r="AK518" s="741">
        <v>214</v>
      </c>
      <c r="AL518" s="741">
        <v>143</v>
      </c>
      <c r="AM518" s="742">
        <v>1991</v>
      </c>
      <c r="AN518" s="743">
        <f t="shared" si="24"/>
        <v>0.6746174970576696</v>
      </c>
      <c r="AO518" s="744">
        <f t="shared" si="25"/>
        <v>1.3061197916666669</v>
      </c>
      <c r="AP518" s="745">
        <f>'09월 에너지'!S520</f>
        <v>143.30000000000001</v>
      </c>
    </row>
    <row r="519" spans="1:42" ht="16.5" customHeight="1">
      <c r="A519" s="999">
        <f>'09월 조업일지'!A519</f>
        <v>46284</v>
      </c>
      <c r="B519" s="1100">
        <f>'09월 조업일지'!B519</f>
        <v>46284</v>
      </c>
      <c r="C519" s="730">
        <f>'09월 조업일지'!G519</f>
        <v>85721</v>
      </c>
      <c r="D519" s="731" t="str">
        <f>'09월 조업일지'!E519</f>
        <v>D</v>
      </c>
      <c r="E519" s="732" t="str">
        <f>'09월 조업일지'!F519</f>
        <v>B</v>
      </c>
      <c r="F519" s="1096" t="str">
        <f>'09월 에너지'!F521</f>
        <v>DKOIL</v>
      </c>
      <c r="G519" s="733">
        <v>15</v>
      </c>
      <c r="H519" s="734">
        <v>16</v>
      </c>
      <c r="I519" s="734">
        <v>55</v>
      </c>
      <c r="J519" s="734">
        <v>17</v>
      </c>
      <c r="K519" s="735">
        <v>30</v>
      </c>
      <c r="L519" s="734">
        <v>12</v>
      </c>
      <c r="M519" s="736">
        <v>10</v>
      </c>
      <c r="N519" s="737">
        <v>418</v>
      </c>
      <c r="O519" s="737"/>
      <c r="P519" s="737">
        <v>1000</v>
      </c>
      <c r="Q519" s="737">
        <v>956</v>
      </c>
      <c r="R519" s="737"/>
      <c r="S519" s="737"/>
      <c r="T519" s="737">
        <v>55</v>
      </c>
      <c r="U519" s="738"/>
      <c r="V519" s="739">
        <v>422</v>
      </c>
      <c r="W519" s="737"/>
      <c r="X519" s="737">
        <v>1001</v>
      </c>
      <c r="Y519" s="737">
        <v>912</v>
      </c>
      <c r="Z519" s="1202">
        <v>51</v>
      </c>
      <c r="AA519" s="740"/>
      <c r="AB519" s="739">
        <v>91</v>
      </c>
      <c r="AC519" s="741"/>
      <c r="AD519" s="741">
        <v>251</v>
      </c>
      <c r="AE519" s="741">
        <v>200</v>
      </c>
      <c r="AF519" s="741">
        <v>95</v>
      </c>
      <c r="AG519" s="741"/>
      <c r="AH519" s="741">
        <v>766</v>
      </c>
      <c r="AI519" s="741">
        <v>185</v>
      </c>
      <c r="AJ519" s="741"/>
      <c r="AK519" s="741">
        <v>221</v>
      </c>
      <c r="AL519" s="741">
        <v>140</v>
      </c>
      <c r="AM519" s="742">
        <v>1736</v>
      </c>
      <c r="AN519" s="743">
        <f t="shared" si="24"/>
        <v>0.59899029126213599</v>
      </c>
      <c r="AO519" s="744">
        <f t="shared" si="25"/>
        <v>1.0787019768743007</v>
      </c>
      <c r="AP519" s="745">
        <f>'09월 에너지'!S521</f>
        <v>144.6</v>
      </c>
    </row>
    <row r="520" spans="1:42" ht="16.5" customHeight="1">
      <c r="A520" s="999">
        <f>'09월 조업일지'!A520</f>
        <v>46284</v>
      </c>
      <c r="B520" s="1100">
        <f>'09월 조업일지'!B520</f>
        <v>46284</v>
      </c>
      <c r="C520" s="730">
        <f>'09월 조업일지'!G520</f>
        <v>85722</v>
      </c>
      <c r="D520" s="731" t="str">
        <f>'09월 조업일지'!E520</f>
        <v>D</v>
      </c>
      <c r="E520" s="732" t="str">
        <f>'09월 조업일지'!F520</f>
        <v>A</v>
      </c>
      <c r="F520" s="1096" t="str">
        <f>'09월 에너지'!F522</f>
        <v>DKOIL</v>
      </c>
      <c r="G520" s="733">
        <v>13</v>
      </c>
      <c r="H520" s="734">
        <v>16</v>
      </c>
      <c r="I520" s="734">
        <v>61</v>
      </c>
      <c r="J520" s="734">
        <v>20</v>
      </c>
      <c r="K520" s="735">
        <v>42</v>
      </c>
      <c r="L520" s="734">
        <v>14</v>
      </c>
      <c r="M520" s="736">
        <v>9</v>
      </c>
      <c r="N520" s="737">
        <v>422</v>
      </c>
      <c r="O520" s="737"/>
      <c r="P520" s="737">
        <v>1001</v>
      </c>
      <c r="Q520" s="737">
        <v>956</v>
      </c>
      <c r="R520" s="737"/>
      <c r="S520" s="737"/>
      <c r="T520" s="737">
        <v>80</v>
      </c>
      <c r="U520" s="738"/>
      <c r="V520" s="739">
        <v>414</v>
      </c>
      <c r="W520" s="737"/>
      <c r="X520" s="737">
        <v>1000</v>
      </c>
      <c r="Y520" s="737">
        <v>902</v>
      </c>
      <c r="Z520" s="1202">
        <v>41</v>
      </c>
      <c r="AA520" s="740"/>
      <c r="AB520" s="739">
        <v>87</v>
      </c>
      <c r="AC520" s="741"/>
      <c r="AD520" s="741">
        <v>250</v>
      </c>
      <c r="AE520" s="741">
        <v>201</v>
      </c>
      <c r="AF520" s="741">
        <v>98</v>
      </c>
      <c r="AG520" s="741"/>
      <c r="AH520" s="741">
        <v>771</v>
      </c>
      <c r="AI520" s="741">
        <v>189</v>
      </c>
      <c r="AJ520" s="741"/>
      <c r="AK520" s="741">
        <v>216</v>
      </c>
      <c r="AL520" s="741">
        <v>148</v>
      </c>
      <c r="AM520" s="742">
        <v>1263</v>
      </c>
      <c r="AN520" s="743">
        <f t="shared" si="24"/>
        <v>0.58914728682170547</v>
      </c>
      <c r="AO520" s="744">
        <f t="shared" si="25"/>
        <v>1.2145636464702614</v>
      </c>
      <c r="AP520" s="745">
        <f>'09월 에너지'!S522</f>
        <v>142.5</v>
      </c>
    </row>
    <row r="521" spans="1:42" ht="16.5" customHeight="1">
      <c r="A521" s="999">
        <f>'09월 조업일지'!A521</f>
        <v>46284</v>
      </c>
      <c r="B521" s="1100">
        <f>'09월 조업일지'!B521</f>
        <v>46284</v>
      </c>
      <c r="C521" s="730">
        <f>'09월 조업일지'!G521</f>
        <v>85723</v>
      </c>
      <c r="D521" s="731" t="str">
        <f>'09월 조업일지'!E521</f>
        <v>D</v>
      </c>
      <c r="E521" s="732" t="str">
        <f>'09월 조업일지'!F521</f>
        <v>B</v>
      </c>
      <c r="F521" s="1096" t="str">
        <f>'09월 에너지'!F523</f>
        <v>DKOIL</v>
      </c>
      <c r="G521" s="733">
        <v>15</v>
      </c>
      <c r="H521" s="734">
        <v>14</v>
      </c>
      <c r="I521" s="734">
        <v>52</v>
      </c>
      <c r="J521" s="734">
        <v>14</v>
      </c>
      <c r="K521" s="735">
        <v>34</v>
      </c>
      <c r="L521" s="734">
        <v>13</v>
      </c>
      <c r="M521" s="736">
        <v>9</v>
      </c>
      <c r="N521" s="737">
        <v>417</v>
      </c>
      <c r="O521" s="737"/>
      <c r="P521" s="737">
        <v>1001</v>
      </c>
      <c r="Q521" s="737">
        <v>957</v>
      </c>
      <c r="R521" s="737"/>
      <c r="S521" s="737"/>
      <c r="T521" s="737">
        <v>45</v>
      </c>
      <c r="U521" s="738"/>
      <c r="V521" s="739">
        <v>414</v>
      </c>
      <c r="W521" s="737"/>
      <c r="X521" s="737">
        <v>1000</v>
      </c>
      <c r="Y521" s="737">
        <v>902</v>
      </c>
      <c r="Z521" s="1202">
        <v>45</v>
      </c>
      <c r="AA521" s="740"/>
      <c r="AB521" s="739">
        <v>84</v>
      </c>
      <c r="AC521" s="741"/>
      <c r="AD521" s="741">
        <v>251</v>
      </c>
      <c r="AE521" s="741">
        <v>197</v>
      </c>
      <c r="AF521" s="741">
        <v>91</v>
      </c>
      <c r="AG521" s="741"/>
      <c r="AH521" s="741">
        <v>769</v>
      </c>
      <c r="AI521" s="741">
        <v>176</v>
      </c>
      <c r="AJ521" s="741"/>
      <c r="AK521" s="741">
        <v>211</v>
      </c>
      <c r="AL521" s="741">
        <v>140</v>
      </c>
      <c r="AM521" s="742">
        <v>1500</v>
      </c>
      <c r="AN521" s="743">
        <f t="shared" si="24"/>
        <v>0.5424789410348978</v>
      </c>
      <c r="AO521" s="744">
        <f t="shared" si="25"/>
        <v>0.99596879063719124</v>
      </c>
      <c r="AP521" s="745">
        <f>'09월 에너지'!S523</f>
        <v>144.9</v>
      </c>
    </row>
    <row r="522" spans="1:42" ht="16.5" customHeight="1">
      <c r="A522" s="999">
        <f>'09월 조업일지'!A522</f>
        <v>46285</v>
      </c>
      <c r="B522" s="1100">
        <f>'09월 조업일지'!B522</f>
        <v>46284</v>
      </c>
      <c r="C522" s="730">
        <f>'09월 조업일지'!G522</f>
        <v>85724</v>
      </c>
      <c r="D522" s="731" t="str">
        <f>'09월 조업일지'!E522</f>
        <v>D</v>
      </c>
      <c r="E522" s="732" t="str">
        <f>'09월 조업일지'!F522</f>
        <v>A</v>
      </c>
      <c r="F522" s="1096" t="str">
        <f>'09월 에너지'!F524</f>
        <v>DKOIL</v>
      </c>
      <c r="G522" s="733">
        <v>14</v>
      </c>
      <c r="H522" s="734">
        <v>15</v>
      </c>
      <c r="I522" s="734">
        <v>55</v>
      </c>
      <c r="J522" s="734">
        <v>16</v>
      </c>
      <c r="K522" s="735">
        <v>45</v>
      </c>
      <c r="L522" s="734">
        <v>12</v>
      </c>
      <c r="M522" s="736">
        <v>10</v>
      </c>
      <c r="N522" s="737">
        <v>412</v>
      </c>
      <c r="O522" s="737"/>
      <c r="P522" s="737">
        <v>1001</v>
      </c>
      <c r="Q522" s="737">
        <v>963</v>
      </c>
      <c r="R522" s="737"/>
      <c r="S522" s="737"/>
      <c r="T522" s="737">
        <v>54</v>
      </c>
      <c r="U522" s="738"/>
      <c r="V522" s="739">
        <v>414</v>
      </c>
      <c r="W522" s="737"/>
      <c r="X522" s="737">
        <v>1000</v>
      </c>
      <c r="Y522" s="737">
        <v>909</v>
      </c>
      <c r="Z522" s="1202">
        <v>41</v>
      </c>
      <c r="AA522" s="740"/>
      <c r="AB522" s="739">
        <v>86</v>
      </c>
      <c r="AC522" s="741"/>
      <c r="AD522" s="741">
        <v>250</v>
      </c>
      <c r="AE522" s="741">
        <v>201</v>
      </c>
      <c r="AF522" s="741">
        <v>91</v>
      </c>
      <c r="AG522" s="741"/>
      <c r="AH522" s="741">
        <v>768</v>
      </c>
      <c r="AI522" s="741">
        <v>186</v>
      </c>
      <c r="AJ522" s="741"/>
      <c r="AK522" s="741">
        <v>213</v>
      </c>
      <c r="AL522" s="741">
        <v>137</v>
      </c>
      <c r="AM522" s="742">
        <v>1177</v>
      </c>
      <c r="AN522" s="743">
        <f t="shared" si="24"/>
        <v>0.56745098039215691</v>
      </c>
      <c r="AO522" s="744">
        <f t="shared" si="25"/>
        <v>1.0766369047619049</v>
      </c>
      <c r="AP522" s="745">
        <f>'09월 에너지'!S524</f>
        <v>144.69999999999999</v>
      </c>
    </row>
    <row r="523" spans="1:42" ht="16.5" customHeight="1">
      <c r="A523" s="999">
        <f>'09월 조업일지'!A523</f>
        <v>46285</v>
      </c>
      <c r="B523" s="1100">
        <f>'09월 조업일지'!B523</f>
        <v>46284</v>
      </c>
      <c r="C523" s="730">
        <f>'09월 조업일지'!G523</f>
        <v>85725</v>
      </c>
      <c r="D523" s="731" t="str">
        <f>'09월 조업일지'!E523</f>
        <v>D</v>
      </c>
      <c r="E523" s="732" t="str">
        <f>'09월 조업일지'!F523</f>
        <v>B</v>
      </c>
      <c r="F523" s="1096" t="str">
        <f>'09월 에너지'!F525</f>
        <v>DKOIL</v>
      </c>
      <c r="G523" s="733">
        <v>14</v>
      </c>
      <c r="H523" s="734">
        <v>11</v>
      </c>
      <c r="I523" s="734">
        <v>47</v>
      </c>
      <c r="J523" s="734">
        <v>14</v>
      </c>
      <c r="K523" s="735">
        <v>34</v>
      </c>
      <c r="L523" s="734">
        <v>13</v>
      </c>
      <c r="M523" s="736">
        <v>8</v>
      </c>
      <c r="N523" s="737">
        <v>414</v>
      </c>
      <c r="O523" s="737"/>
      <c r="P523" s="737">
        <v>1001</v>
      </c>
      <c r="Q523" s="737">
        <v>952</v>
      </c>
      <c r="R523" s="737"/>
      <c r="S523" s="737"/>
      <c r="T523" s="737">
        <v>44</v>
      </c>
      <c r="U523" s="738"/>
      <c r="V523" s="739">
        <v>422</v>
      </c>
      <c r="W523" s="737"/>
      <c r="X523" s="737">
        <v>1000</v>
      </c>
      <c r="Y523" s="737">
        <v>908</v>
      </c>
      <c r="Z523" s="1202">
        <v>41</v>
      </c>
      <c r="AA523" s="740"/>
      <c r="AB523" s="739">
        <v>84</v>
      </c>
      <c r="AC523" s="741"/>
      <c r="AD523" s="741">
        <v>250</v>
      </c>
      <c r="AE523" s="741">
        <v>200</v>
      </c>
      <c r="AF523" s="741">
        <v>97</v>
      </c>
      <c r="AG523" s="741"/>
      <c r="AH523" s="741">
        <v>765</v>
      </c>
      <c r="AI523" s="741">
        <v>182</v>
      </c>
      <c r="AJ523" s="741"/>
      <c r="AK523" s="741">
        <v>211</v>
      </c>
      <c r="AL523" s="741">
        <v>150</v>
      </c>
      <c r="AM523" s="742">
        <v>1458</v>
      </c>
      <c r="AN523" s="743">
        <f t="shared" si="24"/>
        <v>0.42212518195050941</v>
      </c>
      <c r="AO523" s="744">
        <f t="shared" si="25"/>
        <v>0.86647992530345475</v>
      </c>
      <c r="AP523" s="745">
        <f>'09월 에너지'!S525</f>
        <v>145</v>
      </c>
    </row>
    <row r="524" spans="1:42" ht="16.5" customHeight="1">
      <c r="A524" s="999">
        <f>'09월 조업일지'!A524</f>
        <v>46285</v>
      </c>
      <c r="B524" s="1100">
        <f>'09월 조업일지'!B524</f>
        <v>46284</v>
      </c>
      <c r="C524" s="730">
        <f>'09월 조업일지'!G524</f>
        <v>85726</v>
      </c>
      <c r="D524" s="731" t="str">
        <f>'09월 조업일지'!E524</f>
        <v>D</v>
      </c>
      <c r="E524" s="732" t="str">
        <f>'09월 조업일지'!F524</f>
        <v>A</v>
      </c>
      <c r="F524" s="1096" t="str">
        <f>'09월 에너지'!F526</f>
        <v>DKOIL</v>
      </c>
      <c r="G524" s="733">
        <v>16</v>
      </c>
      <c r="H524" s="734">
        <v>17</v>
      </c>
      <c r="I524" s="734">
        <v>54</v>
      </c>
      <c r="J524" s="734">
        <v>15</v>
      </c>
      <c r="K524" s="735">
        <v>37</v>
      </c>
      <c r="L524" s="734">
        <v>13</v>
      </c>
      <c r="M524" s="736">
        <v>10</v>
      </c>
      <c r="N524" s="737">
        <v>415</v>
      </c>
      <c r="O524" s="737"/>
      <c r="P524" s="737">
        <v>1001</v>
      </c>
      <c r="Q524" s="737">
        <v>953</v>
      </c>
      <c r="R524" s="737"/>
      <c r="S524" s="737"/>
      <c r="T524" s="737">
        <v>55</v>
      </c>
      <c r="U524" s="738"/>
      <c r="V524" s="739">
        <v>417</v>
      </c>
      <c r="W524" s="737"/>
      <c r="X524" s="737">
        <v>1001</v>
      </c>
      <c r="Y524" s="737">
        <v>909</v>
      </c>
      <c r="Z524" s="1202">
        <v>42</v>
      </c>
      <c r="AA524" s="740"/>
      <c r="AB524" s="739">
        <v>88</v>
      </c>
      <c r="AC524" s="741"/>
      <c r="AD524" s="741">
        <v>248</v>
      </c>
      <c r="AE524" s="741">
        <v>201</v>
      </c>
      <c r="AF524" s="741">
        <v>104</v>
      </c>
      <c r="AG524" s="741"/>
      <c r="AH524" s="741">
        <v>776</v>
      </c>
      <c r="AI524" s="741">
        <v>181</v>
      </c>
      <c r="AJ524" s="741"/>
      <c r="AK524" s="741">
        <v>219</v>
      </c>
      <c r="AL524" s="741">
        <v>155</v>
      </c>
      <c r="AM524" s="742">
        <v>1203</v>
      </c>
      <c r="AN524" s="743">
        <f t="shared" si="24"/>
        <v>0.63603180810846049</v>
      </c>
      <c r="AO524" s="744">
        <f t="shared" si="25"/>
        <v>1.0302835051546393</v>
      </c>
      <c r="AP524" s="745">
        <f>'09월 에너지'!S526</f>
        <v>143.5</v>
      </c>
    </row>
    <row r="525" spans="1:42" ht="16.5" customHeight="1">
      <c r="A525" s="999">
        <f>'09월 조업일지'!A525</f>
        <v>46285</v>
      </c>
      <c r="B525" s="1100">
        <f>'09월 조업일지'!B525</f>
        <v>46284</v>
      </c>
      <c r="C525" s="730">
        <f>'09월 조업일지'!G525</f>
        <v>85727</v>
      </c>
      <c r="D525" s="731" t="str">
        <f>'09월 조업일지'!E525</f>
        <v>D</v>
      </c>
      <c r="E525" s="732" t="str">
        <f>'09월 조업일지'!F525</f>
        <v>B</v>
      </c>
      <c r="F525" s="1096" t="str">
        <f>'09월 에너지'!F527</f>
        <v>DKOIL</v>
      </c>
      <c r="G525" s="733">
        <v>15</v>
      </c>
      <c r="H525" s="734">
        <v>11</v>
      </c>
      <c r="I525" s="734">
        <v>46</v>
      </c>
      <c r="J525" s="734">
        <v>17</v>
      </c>
      <c r="K525" s="735">
        <v>31</v>
      </c>
      <c r="L525" s="734">
        <v>14</v>
      </c>
      <c r="M525" s="736">
        <v>9</v>
      </c>
      <c r="N525" s="737">
        <v>414</v>
      </c>
      <c r="O525" s="737"/>
      <c r="P525" s="737">
        <v>1001</v>
      </c>
      <c r="Q525" s="737">
        <v>954</v>
      </c>
      <c r="R525" s="737"/>
      <c r="S525" s="737"/>
      <c r="T525" s="737">
        <v>47</v>
      </c>
      <c r="U525" s="738"/>
      <c r="V525" s="739">
        <v>413</v>
      </c>
      <c r="W525" s="737"/>
      <c r="X525" s="737">
        <v>1000</v>
      </c>
      <c r="Y525" s="737">
        <v>901</v>
      </c>
      <c r="Z525" s="1202">
        <v>42</v>
      </c>
      <c r="AA525" s="740"/>
      <c r="AB525" s="739">
        <v>87</v>
      </c>
      <c r="AC525" s="741"/>
      <c r="AD525" s="741">
        <v>251</v>
      </c>
      <c r="AE525" s="741">
        <v>301</v>
      </c>
      <c r="AF525" s="741">
        <v>100</v>
      </c>
      <c r="AG525" s="741"/>
      <c r="AH525" s="741">
        <v>773</v>
      </c>
      <c r="AI525" s="741">
        <v>187</v>
      </c>
      <c r="AJ525" s="741"/>
      <c r="AK525" s="741">
        <v>214</v>
      </c>
      <c r="AL525" s="741">
        <v>143</v>
      </c>
      <c r="AM525" s="742">
        <v>1224</v>
      </c>
      <c r="AN525" s="743">
        <f t="shared" ref="AN525:AN588" si="26">IF(ISBLANK(AH525),"",AP525*1000*H525/10000/(AH525*15%+AI525*75%+AK525*60%))</f>
        <v>0.40728029121164838</v>
      </c>
      <c r="AO525" s="744">
        <f t="shared" ref="AO525:AO588" si="27">IF(ISBLANK(AH525),"",AP525*1000*(I525-15)/10000/(AH525*70%))</f>
        <v>0.81581962668637975</v>
      </c>
      <c r="AP525" s="745">
        <f>'09월 에너지'!S527</f>
        <v>142.4</v>
      </c>
    </row>
    <row r="526" spans="1:42" ht="16.5" customHeight="1">
      <c r="A526" s="999">
        <f>'09월 조업일지'!A526</f>
        <v>46285</v>
      </c>
      <c r="B526" s="1100">
        <f>'09월 조업일지'!B526</f>
        <v>46285</v>
      </c>
      <c r="C526" s="730">
        <f>'09월 조업일지'!G526</f>
        <v>85728</v>
      </c>
      <c r="D526" s="731" t="str">
        <f>'09월 조업일지'!E526</f>
        <v>A</v>
      </c>
      <c r="E526" s="732" t="str">
        <f>'09월 조업일지'!F526</f>
        <v>A</v>
      </c>
      <c r="F526" s="1096" t="str">
        <f>'09월 에너지'!F528</f>
        <v>DKOIL</v>
      </c>
      <c r="G526" s="733">
        <v>15</v>
      </c>
      <c r="H526" s="734">
        <v>18</v>
      </c>
      <c r="I526" s="734">
        <v>54</v>
      </c>
      <c r="J526" s="734">
        <v>15</v>
      </c>
      <c r="K526" s="735">
        <v>40</v>
      </c>
      <c r="L526" s="734">
        <v>12</v>
      </c>
      <c r="M526" s="736">
        <v>7</v>
      </c>
      <c r="N526" s="737">
        <v>416</v>
      </c>
      <c r="O526" s="737"/>
      <c r="P526" s="737">
        <v>1001</v>
      </c>
      <c r="Q526" s="737">
        <v>959</v>
      </c>
      <c r="R526" s="737"/>
      <c r="S526" s="737"/>
      <c r="T526" s="737">
        <v>56</v>
      </c>
      <c r="U526" s="738"/>
      <c r="V526" s="739">
        <v>418</v>
      </c>
      <c r="W526" s="737"/>
      <c r="X526" s="737">
        <v>1001</v>
      </c>
      <c r="Y526" s="737">
        <v>905</v>
      </c>
      <c r="Z526" s="1202">
        <v>49</v>
      </c>
      <c r="AA526" s="740"/>
      <c r="AB526" s="739">
        <v>86</v>
      </c>
      <c r="AC526" s="741"/>
      <c r="AD526" s="741">
        <v>250</v>
      </c>
      <c r="AE526" s="741">
        <v>201</v>
      </c>
      <c r="AF526" s="741">
        <v>98</v>
      </c>
      <c r="AG526" s="741">
        <v>0</v>
      </c>
      <c r="AH526" s="741">
        <v>774</v>
      </c>
      <c r="AI526" s="741">
        <v>178</v>
      </c>
      <c r="AJ526" s="741">
        <v>0</v>
      </c>
      <c r="AK526" s="741">
        <v>216</v>
      </c>
      <c r="AL526" s="741">
        <v>149</v>
      </c>
      <c r="AM526" s="742">
        <v>1661</v>
      </c>
      <c r="AN526" s="743">
        <f t="shared" si="26"/>
        <v>0.68164556962025324</v>
      </c>
      <c r="AO526" s="744">
        <f t="shared" si="27"/>
        <v>1.0336655592469546</v>
      </c>
      <c r="AP526" s="745">
        <f>'09월 에너지'!S528</f>
        <v>143.6</v>
      </c>
    </row>
    <row r="527" spans="1:42" ht="16.5" customHeight="1">
      <c r="A527" s="999">
        <f>'09월 조업일지'!A527</f>
        <v>46285</v>
      </c>
      <c r="B527" s="1100">
        <f>'09월 조업일지'!B527</f>
        <v>46285</v>
      </c>
      <c r="C527" s="730">
        <f>'09월 조업일지'!G527</f>
        <v>85729</v>
      </c>
      <c r="D527" s="731" t="str">
        <f>'09월 조업일지'!E527</f>
        <v>A</v>
      </c>
      <c r="E527" s="732" t="str">
        <f>'09월 조업일지'!F527</f>
        <v>B</v>
      </c>
      <c r="F527" s="1096" t="str">
        <f>'09월 에너지'!F529</f>
        <v>DKOIL</v>
      </c>
      <c r="G527" s="733">
        <v>15</v>
      </c>
      <c r="H527" s="734">
        <v>16</v>
      </c>
      <c r="I527" s="734">
        <v>55</v>
      </c>
      <c r="J527" s="734">
        <v>18</v>
      </c>
      <c r="K527" s="735">
        <v>28</v>
      </c>
      <c r="L527" s="734">
        <v>13</v>
      </c>
      <c r="M527" s="736">
        <v>9</v>
      </c>
      <c r="N527" s="737">
        <v>417</v>
      </c>
      <c r="O527" s="737"/>
      <c r="P527" s="737">
        <v>1001</v>
      </c>
      <c r="Q527" s="737">
        <v>951</v>
      </c>
      <c r="R527" s="737"/>
      <c r="S527" s="737"/>
      <c r="T527" s="737">
        <v>50</v>
      </c>
      <c r="U527" s="738"/>
      <c r="V527" s="739">
        <v>420</v>
      </c>
      <c r="W527" s="737"/>
      <c r="X527" s="737">
        <v>1000</v>
      </c>
      <c r="Y527" s="737">
        <v>902</v>
      </c>
      <c r="Z527" s="1202">
        <v>40</v>
      </c>
      <c r="AA527" s="740"/>
      <c r="AB527" s="739">
        <v>83</v>
      </c>
      <c r="AC527" s="741"/>
      <c r="AD527" s="741">
        <v>250</v>
      </c>
      <c r="AE527" s="741">
        <v>200</v>
      </c>
      <c r="AF527" s="741">
        <v>98</v>
      </c>
      <c r="AG527" s="741">
        <v>0</v>
      </c>
      <c r="AH527" s="741">
        <v>762</v>
      </c>
      <c r="AI527" s="741">
        <v>179</v>
      </c>
      <c r="AJ527" s="741">
        <v>0</v>
      </c>
      <c r="AK527" s="741">
        <v>228</v>
      </c>
      <c r="AL527" s="741">
        <v>152</v>
      </c>
      <c r="AM527" s="742">
        <v>2092</v>
      </c>
      <c r="AN527" s="743">
        <f t="shared" si="26"/>
        <v>0.59831322174646417</v>
      </c>
      <c r="AO527" s="744">
        <f t="shared" si="27"/>
        <v>1.0806149231346083</v>
      </c>
      <c r="AP527" s="745">
        <f>'09월 에너지'!S529</f>
        <v>144.1</v>
      </c>
    </row>
    <row r="528" spans="1:42" ht="16.5" customHeight="1">
      <c r="A528" s="999">
        <f>'09월 조업일지'!A528</f>
        <v>46285</v>
      </c>
      <c r="B528" s="1100">
        <f>'09월 조업일지'!B528</f>
        <v>46285</v>
      </c>
      <c r="C528" s="730">
        <f>'09월 조업일지'!G528</f>
        <v>85730</v>
      </c>
      <c r="D528" s="731" t="str">
        <f>'09월 조업일지'!E528</f>
        <v>A</v>
      </c>
      <c r="E528" s="732" t="str">
        <f>'09월 조업일지'!F528</f>
        <v>A</v>
      </c>
      <c r="F528" s="1096" t="str">
        <f>'09월 에너지'!F530</f>
        <v>DKOIL</v>
      </c>
      <c r="G528" s="733">
        <v>14</v>
      </c>
      <c r="H528" s="734">
        <v>13</v>
      </c>
      <c r="I528" s="734">
        <v>51</v>
      </c>
      <c r="J528" s="734">
        <v>5</v>
      </c>
      <c r="K528" s="735">
        <v>38</v>
      </c>
      <c r="L528" s="734">
        <v>11</v>
      </c>
      <c r="M528" s="736">
        <v>8</v>
      </c>
      <c r="N528" s="737">
        <v>420</v>
      </c>
      <c r="O528" s="737"/>
      <c r="P528" s="737">
        <v>1001</v>
      </c>
      <c r="Q528" s="737">
        <v>955</v>
      </c>
      <c r="R528" s="737"/>
      <c r="S528" s="737"/>
      <c r="T528" s="737">
        <v>57</v>
      </c>
      <c r="U528" s="738"/>
      <c r="V528" s="739">
        <v>418</v>
      </c>
      <c r="W528" s="737"/>
      <c r="X528" s="737">
        <v>1001</v>
      </c>
      <c r="Y528" s="737">
        <v>902</v>
      </c>
      <c r="Z528" s="1202">
        <v>50</v>
      </c>
      <c r="AA528" s="740"/>
      <c r="AB528" s="739">
        <v>85</v>
      </c>
      <c r="AC528" s="741"/>
      <c r="AD528" s="741">
        <v>251</v>
      </c>
      <c r="AE528" s="741">
        <v>201</v>
      </c>
      <c r="AF528" s="741">
        <v>96</v>
      </c>
      <c r="AG528" s="741">
        <v>0</v>
      </c>
      <c r="AH528" s="741">
        <v>771</v>
      </c>
      <c r="AI528" s="741">
        <v>187</v>
      </c>
      <c r="AJ528" s="741">
        <v>0</v>
      </c>
      <c r="AK528" s="741">
        <v>217</v>
      </c>
      <c r="AL528" s="741">
        <v>155</v>
      </c>
      <c r="AM528" s="742">
        <v>1854</v>
      </c>
      <c r="AN528" s="743">
        <f t="shared" si="26"/>
        <v>0.4838383838383839</v>
      </c>
      <c r="AO528" s="744">
        <f t="shared" si="27"/>
        <v>0.95853251806559225</v>
      </c>
      <c r="AP528" s="745">
        <f>'09월 에너지'!S530</f>
        <v>143.69999999999999</v>
      </c>
    </row>
    <row r="529" spans="1:42" ht="16.5" customHeight="1">
      <c r="A529" s="999">
        <f>'09월 조업일지'!A529</f>
        <v>46285</v>
      </c>
      <c r="B529" s="1100">
        <f>'09월 조업일지'!B529</f>
        <v>46285</v>
      </c>
      <c r="C529" s="730">
        <f>'09월 조업일지'!G529</f>
        <v>85731</v>
      </c>
      <c r="D529" s="731" t="str">
        <f>'09월 조업일지'!E529</f>
        <v>A</v>
      </c>
      <c r="E529" s="732" t="str">
        <f>'09월 조업일지'!F529</f>
        <v>B</v>
      </c>
      <c r="F529" s="1096" t="str">
        <f>'09월 에너지'!F531</f>
        <v>DKOIL</v>
      </c>
      <c r="G529" s="733">
        <v>16</v>
      </c>
      <c r="H529" s="734">
        <v>18</v>
      </c>
      <c r="I529" s="734">
        <v>57</v>
      </c>
      <c r="J529" s="734">
        <v>21</v>
      </c>
      <c r="K529" s="735">
        <v>42</v>
      </c>
      <c r="L529" s="734">
        <v>14</v>
      </c>
      <c r="M529" s="736">
        <v>10</v>
      </c>
      <c r="N529" s="737">
        <v>416</v>
      </c>
      <c r="O529" s="737"/>
      <c r="P529" s="737">
        <v>1000</v>
      </c>
      <c r="Q529" s="737">
        <v>960</v>
      </c>
      <c r="R529" s="737"/>
      <c r="S529" s="737"/>
      <c r="T529" s="737">
        <v>52</v>
      </c>
      <c r="U529" s="738"/>
      <c r="V529" s="739">
        <v>417</v>
      </c>
      <c r="W529" s="737"/>
      <c r="X529" s="737">
        <v>1000</v>
      </c>
      <c r="Y529" s="737">
        <v>901</v>
      </c>
      <c r="Z529" s="1202">
        <v>51</v>
      </c>
      <c r="AA529" s="740"/>
      <c r="AB529" s="739">
        <v>83</v>
      </c>
      <c r="AC529" s="741"/>
      <c r="AD529" s="741">
        <v>250</v>
      </c>
      <c r="AE529" s="741">
        <v>200</v>
      </c>
      <c r="AF529" s="741">
        <v>97</v>
      </c>
      <c r="AG529" s="741">
        <v>0</v>
      </c>
      <c r="AH529" s="741">
        <v>768</v>
      </c>
      <c r="AI529" s="741">
        <v>177</v>
      </c>
      <c r="AJ529" s="741">
        <v>0</v>
      </c>
      <c r="AK529" s="741">
        <v>214</v>
      </c>
      <c r="AL529" s="741">
        <v>135</v>
      </c>
      <c r="AM529" s="742">
        <v>1963</v>
      </c>
      <c r="AN529" s="743">
        <f t="shared" si="26"/>
        <v>0.68585093662813867</v>
      </c>
      <c r="AO529" s="744">
        <f t="shared" si="27"/>
        <v>1.1203125</v>
      </c>
      <c r="AP529" s="745">
        <f>'09월 에너지'!S531</f>
        <v>143.4</v>
      </c>
    </row>
    <row r="530" spans="1:42" ht="16.5" customHeight="1">
      <c r="A530" s="999">
        <f>'09월 조업일지'!A530</f>
        <v>46285</v>
      </c>
      <c r="B530" s="1100">
        <f>'09월 조업일지'!B530</f>
        <v>46285</v>
      </c>
      <c r="C530" s="730">
        <f>'09월 조업일지'!G530</f>
        <v>85732</v>
      </c>
      <c r="D530" s="731" t="str">
        <f>'09월 조업일지'!E530</f>
        <v>A</v>
      </c>
      <c r="E530" s="732" t="str">
        <f>'09월 조업일지'!F530</f>
        <v>A</v>
      </c>
      <c r="F530" s="1096" t="str">
        <f>'09월 에너지'!F532</f>
        <v>DKOIL</v>
      </c>
      <c r="G530" s="733">
        <v>16</v>
      </c>
      <c r="H530" s="734">
        <v>16</v>
      </c>
      <c r="I530" s="734">
        <v>55</v>
      </c>
      <c r="J530" s="734">
        <v>16</v>
      </c>
      <c r="K530" s="735">
        <v>44</v>
      </c>
      <c r="L530" s="734">
        <v>14</v>
      </c>
      <c r="M530" s="736">
        <v>8</v>
      </c>
      <c r="N530" s="737">
        <v>414</v>
      </c>
      <c r="O530" s="737"/>
      <c r="P530" s="737">
        <v>1000</v>
      </c>
      <c r="Q530" s="737">
        <v>958</v>
      </c>
      <c r="R530" s="737"/>
      <c r="S530" s="737"/>
      <c r="T530" s="737">
        <v>46</v>
      </c>
      <c r="U530" s="738"/>
      <c r="V530" s="739">
        <v>417</v>
      </c>
      <c r="W530" s="737"/>
      <c r="X530" s="737">
        <v>1000</v>
      </c>
      <c r="Y530" s="737">
        <v>902</v>
      </c>
      <c r="Z530" s="1202">
        <v>48</v>
      </c>
      <c r="AA530" s="740"/>
      <c r="AB530" s="739">
        <v>78</v>
      </c>
      <c r="AC530" s="741"/>
      <c r="AD530" s="741">
        <v>250</v>
      </c>
      <c r="AE530" s="741">
        <v>200</v>
      </c>
      <c r="AF530" s="741">
        <v>99</v>
      </c>
      <c r="AG530" s="741">
        <v>0</v>
      </c>
      <c r="AH530" s="741">
        <v>773</v>
      </c>
      <c r="AI530" s="741">
        <v>182</v>
      </c>
      <c r="AJ530" s="741">
        <v>0</v>
      </c>
      <c r="AK530" s="741">
        <v>216</v>
      </c>
      <c r="AL530" s="741">
        <v>139</v>
      </c>
      <c r="AM530" s="742">
        <v>1509</v>
      </c>
      <c r="AN530" s="743">
        <f t="shared" si="26"/>
        <v>0.59887449286742578</v>
      </c>
      <c r="AO530" s="744">
        <f t="shared" si="27"/>
        <v>1.0571058953982631</v>
      </c>
      <c r="AP530" s="745">
        <f>'09월 에너지'!S532</f>
        <v>143</v>
      </c>
    </row>
    <row r="531" spans="1:42" ht="16.5" customHeight="1">
      <c r="A531" s="999">
        <f>'09월 조업일지'!A531</f>
        <v>46285</v>
      </c>
      <c r="B531" s="1100">
        <f>'09월 조업일지'!B531</f>
        <v>46285</v>
      </c>
      <c r="C531" s="730">
        <f>'09월 조업일지'!G531</f>
        <v>85733</v>
      </c>
      <c r="D531" s="731" t="str">
        <f>'09월 조업일지'!E531</f>
        <v>A</v>
      </c>
      <c r="E531" s="732" t="str">
        <f>'09월 조업일지'!F531</f>
        <v>B</v>
      </c>
      <c r="F531" s="1096" t="str">
        <f>'09월 에너지'!F533</f>
        <v>DKOIL</v>
      </c>
      <c r="G531" s="733">
        <v>16</v>
      </c>
      <c r="H531" s="734">
        <v>17</v>
      </c>
      <c r="I531" s="734">
        <v>57</v>
      </c>
      <c r="J531" s="734">
        <v>18</v>
      </c>
      <c r="K531" s="735">
        <v>37</v>
      </c>
      <c r="L531" s="734">
        <v>12</v>
      </c>
      <c r="M531" s="736">
        <v>11</v>
      </c>
      <c r="N531" s="737">
        <v>408</v>
      </c>
      <c r="O531" s="737"/>
      <c r="P531" s="737">
        <v>1011</v>
      </c>
      <c r="Q531" s="737">
        <v>953</v>
      </c>
      <c r="R531" s="737"/>
      <c r="S531" s="737"/>
      <c r="T531" s="737">
        <v>58</v>
      </c>
      <c r="U531" s="738"/>
      <c r="V531" s="739">
        <v>410</v>
      </c>
      <c r="W531" s="737"/>
      <c r="X531" s="737">
        <v>1000</v>
      </c>
      <c r="Y531" s="737">
        <v>903</v>
      </c>
      <c r="Z531" s="1202">
        <v>53</v>
      </c>
      <c r="AA531" s="740"/>
      <c r="AB531" s="739">
        <v>85</v>
      </c>
      <c r="AC531" s="741"/>
      <c r="AD531" s="741">
        <v>250</v>
      </c>
      <c r="AE531" s="741">
        <v>200</v>
      </c>
      <c r="AF531" s="741">
        <v>94</v>
      </c>
      <c r="AG531" s="741">
        <v>0</v>
      </c>
      <c r="AH531" s="741">
        <v>774</v>
      </c>
      <c r="AI531" s="741">
        <v>182</v>
      </c>
      <c r="AJ531" s="741">
        <v>0</v>
      </c>
      <c r="AK531" s="741">
        <v>216</v>
      </c>
      <c r="AL531" s="741">
        <v>153</v>
      </c>
      <c r="AM531" s="742">
        <v>1475</v>
      </c>
      <c r="AN531" s="743">
        <f t="shared" si="26"/>
        <v>0.63472004186289899</v>
      </c>
      <c r="AO531" s="744">
        <f t="shared" si="27"/>
        <v>1.106201550387597</v>
      </c>
      <c r="AP531" s="745">
        <f>'09월 에너지'!S533</f>
        <v>142.69999999999999</v>
      </c>
    </row>
    <row r="532" spans="1:42" ht="16.5" customHeight="1">
      <c r="A532" s="999">
        <f>'09월 조업일지'!A532</f>
        <v>46285</v>
      </c>
      <c r="B532" s="1100">
        <f>'09월 조업일지'!B532</f>
        <v>46285</v>
      </c>
      <c r="C532" s="730">
        <f>'09월 조업일지'!G532</f>
        <v>85734</v>
      </c>
      <c r="D532" s="731" t="str">
        <f>'09월 조업일지'!E532</f>
        <v>A</v>
      </c>
      <c r="E532" s="732" t="str">
        <f>'09월 조업일지'!F532</f>
        <v>A</v>
      </c>
      <c r="F532" s="1096" t="str">
        <f>'09월 에너지'!F534</f>
        <v>DKOIL</v>
      </c>
      <c r="G532" s="733">
        <v>17</v>
      </c>
      <c r="H532" s="734">
        <v>17</v>
      </c>
      <c r="I532" s="734">
        <v>58</v>
      </c>
      <c r="J532" s="734">
        <v>18</v>
      </c>
      <c r="K532" s="735">
        <v>48</v>
      </c>
      <c r="L532" s="734">
        <v>13</v>
      </c>
      <c r="M532" s="736">
        <v>14</v>
      </c>
      <c r="N532" s="737">
        <v>417</v>
      </c>
      <c r="O532" s="737"/>
      <c r="P532" s="737">
        <v>1000</v>
      </c>
      <c r="Q532" s="737">
        <v>957</v>
      </c>
      <c r="R532" s="737"/>
      <c r="S532" s="737"/>
      <c r="T532" s="737">
        <v>45</v>
      </c>
      <c r="U532" s="738"/>
      <c r="V532" s="739">
        <v>419</v>
      </c>
      <c r="W532" s="737"/>
      <c r="X532" s="737">
        <v>1000</v>
      </c>
      <c r="Y532" s="737">
        <v>905</v>
      </c>
      <c r="Z532" s="1202">
        <v>44</v>
      </c>
      <c r="AA532" s="740"/>
      <c r="AB532" s="739">
        <v>85</v>
      </c>
      <c r="AC532" s="741"/>
      <c r="AD532" s="741">
        <v>250</v>
      </c>
      <c r="AE532" s="741">
        <v>200</v>
      </c>
      <c r="AF532" s="741">
        <v>97</v>
      </c>
      <c r="AG532" s="741">
        <v>0</v>
      </c>
      <c r="AH532" s="741">
        <v>769</v>
      </c>
      <c r="AI532" s="741">
        <v>182</v>
      </c>
      <c r="AJ532" s="741">
        <v>0</v>
      </c>
      <c r="AK532" s="741">
        <v>217</v>
      </c>
      <c r="AL532" s="741">
        <v>147</v>
      </c>
      <c r="AM532" s="742">
        <v>1418</v>
      </c>
      <c r="AN532" s="743">
        <f t="shared" si="26"/>
        <v>0.63986389216071204</v>
      </c>
      <c r="AO532" s="744">
        <f t="shared" si="27"/>
        <v>1.1486903213821291</v>
      </c>
      <c r="AP532" s="745">
        <f>'09월 에너지'!S534</f>
        <v>143.80000000000001</v>
      </c>
    </row>
    <row r="533" spans="1:42" ht="16.5" customHeight="1">
      <c r="A533" s="999">
        <f>'09월 조업일지'!A533</f>
        <v>46285</v>
      </c>
      <c r="B533" s="1100">
        <f>'09월 조업일지'!B533</f>
        <v>46285</v>
      </c>
      <c r="C533" s="730">
        <f>'09월 조업일지'!G533</f>
        <v>85735</v>
      </c>
      <c r="D533" s="731" t="str">
        <f>'09월 조업일지'!E533</f>
        <v>A</v>
      </c>
      <c r="E533" s="732" t="str">
        <f>'09월 조업일지'!F533</f>
        <v>B</v>
      </c>
      <c r="F533" s="1096" t="str">
        <f>'09월 에너지'!F535</f>
        <v>DKOIL</v>
      </c>
      <c r="G533" s="733">
        <v>14</v>
      </c>
      <c r="H533" s="734">
        <v>16</v>
      </c>
      <c r="I533" s="734">
        <v>54</v>
      </c>
      <c r="J533" s="734">
        <v>18</v>
      </c>
      <c r="K533" s="735">
        <v>33</v>
      </c>
      <c r="L533" s="734">
        <v>15</v>
      </c>
      <c r="M533" s="736">
        <v>12</v>
      </c>
      <c r="N533" s="737">
        <v>415</v>
      </c>
      <c r="O533" s="737"/>
      <c r="P533" s="737">
        <v>1000</v>
      </c>
      <c r="Q533" s="737">
        <v>954</v>
      </c>
      <c r="R533" s="737"/>
      <c r="S533" s="737"/>
      <c r="T533" s="737">
        <v>50</v>
      </c>
      <c r="U533" s="738"/>
      <c r="V533" s="739">
        <v>414</v>
      </c>
      <c r="W533" s="737"/>
      <c r="X533" s="737">
        <v>1000</v>
      </c>
      <c r="Y533" s="737">
        <v>903</v>
      </c>
      <c r="Z533" s="1202">
        <v>42</v>
      </c>
      <c r="AA533" s="740"/>
      <c r="AB533" s="739">
        <v>80</v>
      </c>
      <c r="AC533" s="741"/>
      <c r="AD533" s="741">
        <v>251</v>
      </c>
      <c r="AE533" s="741">
        <v>200</v>
      </c>
      <c r="AF533" s="741">
        <v>92</v>
      </c>
      <c r="AG533" s="741">
        <v>0</v>
      </c>
      <c r="AH533" s="741">
        <v>773</v>
      </c>
      <c r="AI533" s="741">
        <v>179</v>
      </c>
      <c r="AJ533" s="741">
        <v>0</v>
      </c>
      <c r="AK533" s="741">
        <v>214</v>
      </c>
      <c r="AL533" s="741">
        <v>135</v>
      </c>
      <c r="AM533" s="742">
        <v>1954</v>
      </c>
      <c r="AN533" s="743">
        <f t="shared" si="26"/>
        <v>0.60517696777601693</v>
      </c>
      <c r="AO533" s="744">
        <f t="shared" si="27"/>
        <v>1.032119756052486</v>
      </c>
      <c r="AP533" s="745">
        <f>'09월 에너지'!S535</f>
        <v>143.19999999999999</v>
      </c>
    </row>
    <row r="534" spans="1:42" ht="16.5" customHeight="1">
      <c r="A534" s="999">
        <f>'09월 조업일지'!A534</f>
        <v>46285</v>
      </c>
      <c r="B534" s="1100">
        <f>'09월 조업일지'!B534</f>
        <v>46285</v>
      </c>
      <c r="C534" s="730">
        <f>'09월 조업일지'!G534</f>
        <v>85736</v>
      </c>
      <c r="D534" s="731" t="str">
        <f>'09월 조업일지'!E534</f>
        <v>A</v>
      </c>
      <c r="E534" s="732" t="str">
        <f>'09월 조업일지'!F534</f>
        <v>A</v>
      </c>
      <c r="F534" s="1096" t="str">
        <f>'09월 에너지'!F536</f>
        <v>DKOIL</v>
      </c>
      <c r="G534" s="733">
        <v>13</v>
      </c>
      <c r="H534" s="734">
        <v>14</v>
      </c>
      <c r="I534" s="734">
        <v>52</v>
      </c>
      <c r="J534" s="734">
        <v>15</v>
      </c>
      <c r="K534" s="735">
        <v>38</v>
      </c>
      <c r="L534" s="734">
        <v>14</v>
      </c>
      <c r="M534" s="736">
        <v>11</v>
      </c>
      <c r="N534" s="737">
        <v>413</v>
      </c>
      <c r="O534" s="737"/>
      <c r="P534" s="737">
        <v>1002</v>
      </c>
      <c r="Q534" s="737">
        <v>955</v>
      </c>
      <c r="R534" s="737"/>
      <c r="S534" s="737"/>
      <c r="T534" s="737">
        <v>51</v>
      </c>
      <c r="U534" s="738"/>
      <c r="V534" s="739">
        <v>407</v>
      </c>
      <c r="W534" s="737"/>
      <c r="X534" s="737">
        <v>1000</v>
      </c>
      <c r="Y534" s="737">
        <v>904</v>
      </c>
      <c r="Z534" s="1202">
        <v>45</v>
      </c>
      <c r="AA534" s="740"/>
      <c r="AB534" s="739">
        <v>80</v>
      </c>
      <c r="AC534" s="741"/>
      <c r="AD534" s="741">
        <v>250</v>
      </c>
      <c r="AE534" s="741">
        <v>202</v>
      </c>
      <c r="AF534" s="741">
        <v>94</v>
      </c>
      <c r="AG534" s="741">
        <v>0</v>
      </c>
      <c r="AH534" s="741">
        <v>765</v>
      </c>
      <c r="AI534" s="741">
        <v>186</v>
      </c>
      <c r="AJ534" s="741">
        <v>0</v>
      </c>
      <c r="AK534" s="741">
        <v>214</v>
      </c>
      <c r="AL534" s="741">
        <v>145</v>
      </c>
      <c r="AM534" s="742">
        <v>1363</v>
      </c>
      <c r="AN534" s="743">
        <f t="shared" si="26"/>
        <v>0.52648634522409521</v>
      </c>
      <c r="AO534" s="744">
        <f t="shared" si="27"/>
        <v>0.99426704014939304</v>
      </c>
      <c r="AP534" s="745">
        <f>'09월 에너지'!S536</f>
        <v>143.9</v>
      </c>
    </row>
    <row r="535" spans="1:42" ht="16.5" customHeight="1">
      <c r="A535" s="999">
        <f>'09월 조업일지'!A535</f>
        <v>46285</v>
      </c>
      <c r="B535" s="1100">
        <f>'09월 조업일지'!B535</f>
        <v>46285</v>
      </c>
      <c r="C535" s="730">
        <f>'09월 조업일지'!G535</f>
        <v>85737</v>
      </c>
      <c r="D535" s="731" t="str">
        <f>'09월 조업일지'!E535</f>
        <v>A</v>
      </c>
      <c r="E535" s="732" t="str">
        <f>'09월 조업일지'!F535</f>
        <v>B</v>
      </c>
      <c r="F535" s="1096" t="str">
        <f>'09월 에너지'!F537</f>
        <v>DKOIL</v>
      </c>
      <c r="G535" s="733">
        <v>15</v>
      </c>
      <c r="H535" s="734">
        <v>15</v>
      </c>
      <c r="I535" s="734">
        <v>56</v>
      </c>
      <c r="J535" s="734">
        <v>19</v>
      </c>
      <c r="K535" s="735">
        <v>40</v>
      </c>
      <c r="L535" s="734">
        <v>15</v>
      </c>
      <c r="M535" s="736">
        <v>10</v>
      </c>
      <c r="N535" s="737">
        <v>415</v>
      </c>
      <c r="O535" s="737"/>
      <c r="P535" s="737">
        <v>1000</v>
      </c>
      <c r="Q535" s="737">
        <v>958</v>
      </c>
      <c r="R535" s="737"/>
      <c r="S535" s="737"/>
      <c r="T535" s="737">
        <v>57</v>
      </c>
      <c r="U535" s="738"/>
      <c r="V535" s="739">
        <v>403</v>
      </c>
      <c r="W535" s="737"/>
      <c r="X535" s="737">
        <v>1000</v>
      </c>
      <c r="Y535" s="737">
        <v>905</v>
      </c>
      <c r="Z535" s="1202">
        <v>53</v>
      </c>
      <c r="AA535" s="740"/>
      <c r="AB535" s="739">
        <v>79</v>
      </c>
      <c r="AC535" s="741"/>
      <c r="AD535" s="741">
        <v>251</v>
      </c>
      <c r="AE535" s="741">
        <v>200</v>
      </c>
      <c r="AF535" s="741">
        <v>103</v>
      </c>
      <c r="AG535" s="741">
        <v>0</v>
      </c>
      <c r="AH535" s="741">
        <v>777</v>
      </c>
      <c r="AI535" s="741">
        <v>190</v>
      </c>
      <c r="AJ535" s="741">
        <v>0</v>
      </c>
      <c r="AK535" s="741">
        <v>229</v>
      </c>
      <c r="AL535" s="741">
        <v>155</v>
      </c>
      <c r="AM535" s="742">
        <v>1059</v>
      </c>
      <c r="AN535" s="743">
        <f t="shared" si="26"/>
        <v>0.5437003405221339</v>
      </c>
      <c r="AO535" s="744">
        <f t="shared" si="27"/>
        <v>1.0832322118036404</v>
      </c>
      <c r="AP535" s="745">
        <f>'09월 에너지'!S537</f>
        <v>143.69999999999999</v>
      </c>
    </row>
    <row r="536" spans="1:42" ht="16.5" customHeight="1">
      <c r="A536" s="999">
        <f>'09월 조업일지'!A536</f>
        <v>46285</v>
      </c>
      <c r="B536" s="1100">
        <f>'09월 조업일지'!B536</f>
        <v>46285</v>
      </c>
      <c r="C536" s="730">
        <f>'09월 조업일지'!G536</f>
        <v>85738</v>
      </c>
      <c r="D536" s="731" t="str">
        <f>'09월 조업일지'!E536</f>
        <v>A</v>
      </c>
      <c r="E536" s="732" t="str">
        <f>'09월 조업일지'!F536</f>
        <v>A</v>
      </c>
      <c r="F536" s="1096" t="str">
        <f>'09월 에너지'!F538</f>
        <v>DKOIL</v>
      </c>
      <c r="G536" s="733">
        <v>18</v>
      </c>
      <c r="H536" s="734">
        <v>18</v>
      </c>
      <c r="I536" s="734">
        <v>54</v>
      </c>
      <c r="J536" s="734">
        <v>16</v>
      </c>
      <c r="K536" s="735">
        <v>36</v>
      </c>
      <c r="L536" s="734">
        <v>14</v>
      </c>
      <c r="M536" s="736">
        <v>11</v>
      </c>
      <c r="N536" s="737">
        <v>415</v>
      </c>
      <c r="O536" s="737"/>
      <c r="P536" s="737">
        <v>1001</v>
      </c>
      <c r="Q536" s="737">
        <v>960</v>
      </c>
      <c r="R536" s="737"/>
      <c r="S536" s="737"/>
      <c r="T536" s="737">
        <v>48</v>
      </c>
      <c r="U536" s="738"/>
      <c r="V536" s="739">
        <v>404</v>
      </c>
      <c r="W536" s="737"/>
      <c r="X536" s="737">
        <v>1000</v>
      </c>
      <c r="Y536" s="737">
        <v>902</v>
      </c>
      <c r="Z536" s="1202">
        <v>51</v>
      </c>
      <c r="AA536" s="740"/>
      <c r="AB536" s="739">
        <v>86</v>
      </c>
      <c r="AC536" s="741"/>
      <c r="AD536" s="741">
        <v>250</v>
      </c>
      <c r="AE536" s="741">
        <v>201</v>
      </c>
      <c r="AF536" s="741">
        <v>100</v>
      </c>
      <c r="AG536" s="741">
        <v>0</v>
      </c>
      <c r="AH536" s="741">
        <v>769</v>
      </c>
      <c r="AI536" s="741">
        <v>183</v>
      </c>
      <c r="AJ536" s="741">
        <v>0</v>
      </c>
      <c r="AK536" s="741">
        <v>233</v>
      </c>
      <c r="AL536" s="741">
        <v>145</v>
      </c>
      <c r="AM536" s="742">
        <v>2287</v>
      </c>
      <c r="AN536" s="743">
        <f t="shared" si="26"/>
        <v>0.65733944954128443</v>
      </c>
      <c r="AO536" s="744">
        <f t="shared" si="27"/>
        <v>1.0382128924391605</v>
      </c>
      <c r="AP536" s="745">
        <f>'09월 에너지'!S538</f>
        <v>143.30000000000001</v>
      </c>
    </row>
    <row r="537" spans="1:42" ht="16.5" customHeight="1">
      <c r="A537" s="999">
        <f>'09월 조업일지'!A537</f>
        <v>46285</v>
      </c>
      <c r="B537" s="1100">
        <f>'09월 조업일지'!B537</f>
        <v>46285</v>
      </c>
      <c r="C537" s="730">
        <f>'09월 조업일지'!G537</f>
        <v>85739</v>
      </c>
      <c r="D537" s="731" t="str">
        <f>'09월 조업일지'!E537</f>
        <v>B</v>
      </c>
      <c r="E537" s="732" t="str">
        <f>'09월 조업일지'!F537</f>
        <v>B</v>
      </c>
      <c r="F537" s="1096" t="str">
        <f>'09월 에너지'!F539</f>
        <v>DKOIL</v>
      </c>
      <c r="G537" s="733">
        <v>15</v>
      </c>
      <c r="H537" s="734">
        <v>15</v>
      </c>
      <c r="I537" s="734">
        <v>62</v>
      </c>
      <c r="J537" s="734">
        <v>21</v>
      </c>
      <c r="K537" s="735">
        <v>35</v>
      </c>
      <c r="L537" s="734">
        <v>17</v>
      </c>
      <c r="M537" s="736">
        <v>10</v>
      </c>
      <c r="N537" s="737">
        <v>414</v>
      </c>
      <c r="O537" s="737"/>
      <c r="P537" s="737">
        <v>1001</v>
      </c>
      <c r="Q537" s="737">
        <v>954</v>
      </c>
      <c r="R537" s="737"/>
      <c r="S537" s="737"/>
      <c r="T537" s="737">
        <v>47</v>
      </c>
      <c r="U537" s="738"/>
      <c r="V537" s="739">
        <v>415</v>
      </c>
      <c r="W537" s="737"/>
      <c r="X537" s="737">
        <v>1001</v>
      </c>
      <c r="Y537" s="737">
        <v>902</v>
      </c>
      <c r="Z537" s="1202">
        <v>47</v>
      </c>
      <c r="AA537" s="740"/>
      <c r="AB537" s="739">
        <v>81</v>
      </c>
      <c r="AC537" s="741"/>
      <c r="AD537" s="741">
        <v>251</v>
      </c>
      <c r="AE537" s="741">
        <v>201</v>
      </c>
      <c r="AF537" s="741">
        <v>105</v>
      </c>
      <c r="AG537" s="741"/>
      <c r="AH537" s="741">
        <v>772</v>
      </c>
      <c r="AI537" s="741">
        <v>186</v>
      </c>
      <c r="AJ537" s="741"/>
      <c r="AK537" s="741">
        <v>221</v>
      </c>
      <c r="AL537" s="741">
        <v>139</v>
      </c>
      <c r="AM537" s="742">
        <v>2056</v>
      </c>
      <c r="AN537" s="743">
        <f t="shared" si="26"/>
        <v>0.55452436194895594</v>
      </c>
      <c r="AO537" s="744">
        <f t="shared" si="27"/>
        <v>1.2471872686898595</v>
      </c>
      <c r="AP537" s="745">
        <f>'09월 에너지'!S539</f>
        <v>143.4</v>
      </c>
    </row>
    <row r="538" spans="1:42" ht="16.5" customHeight="1">
      <c r="A538" s="999">
        <f>'09월 조업일지'!A538</f>
        <v>46285</v>
      </c>
      <c r="B538" s="1100">
        <f>'09월 조업일지'!B538</f>
        <v>46285</v>
      </c>
      <c r="C538" s="730">
        <f>'09월 조업일지'!G538</f>
        <v>85740</v>
      </c>
      <c r="D538" s="731" t="str">
        <f>'09월 조업일지'!E538</f>
        <v>B</v>
      </c>
      <c r="E538" s="732" t="str">
        <f>'09월 조업일지'!F538</f>
        <v>A</v>
      </c>
      <c r="F538" s="1096" t="str">
        <f>'09월 에너지'!F540</f>
        <v>DKOIL</v>
      </c>
      <c r="G538" s="733">
        <v>11</v>
      </c>
      <c r="H538" s="734">
        <v>10</v>
      </c>
      <c r="I538" s="734">
        <v>38</v>
      </c>
      <c r="J538" s="734">
        <v>14</v>
      </c>
      <c r="K538" s="735">
        <v>31</v>
      </c>
      <c r="L538" s="734">
        <v>14</v>
      </c>
      <c r="M538" s="736">
        <v>8</v>
      </c>
      <c r="N538" s="737">
        <v>417</v>
      </c>
      <c r="O538" s="737"/>
      <c r="P538" s="737">
        <v>10001</v>
      </c>
      <c r="Q538" s="737">
        <v>952</v>
      </c>
      <c r="R538" s="737"/>
      <c r="S538" s="737"/>
      <c r="T538" s="737">
        <v>52</v>
      </c>
      <c r="U538" s="738"/>
      <c r="V538" s="739">
        <v>408</v>
      </c>
      <c r="W538" s="737"/>
      <c r="X538" s="737">
        <v>1001</v>
      </c>
      <c r="Y538" s="737">
        <v>904</v>
      </c>
      <c r="Z538" s="1202">
        <v>54</v>
      </c>
      <c r="AA538" s="740"/>
      <c r="AB538" s="739">
        <v>79</v>
      </c>
      <c r="AC538" s="741"/>
      <c r="AD538" s="741">
        <v>251</v>
      </c>
      <c r="AE538" s="741">
        <v>201</v>
      </c>
      <c r="AF538" s="741">
        <v>107</v>
      </c>
      <c r="AG538" s="741"/>
      <c r="AH538" s="741">
        <v>768</v>
      </c>
      <c r="AI538" s="741">
        <v>183</v>
      </c>
      <c r="AJ538" s="741"/>
      <c r="AK538" s="741">
        <v>220</v>
      </c>
      <c r="AL538" s="741">
        <v>135</v>
      </c>
      <c r="AM538" s="742">
        <v>2790</v>
      </c>
      <c r="AN538" s="743">
        <f t="shared" si="26"/>
        <v>0.37820262712966579</v>
      </c>
      <c r="AO538" s="744">
        <f t="shared" si="27"/>
        <v>0.62206101190476204</v>
      </c>
      <c r="AP538" s="745">
        <f>'09월 에너지'!S540</f>
        <v>145.4</v>
      </c>
    </row>
    <row r="539" spans="1:42" ht="16.5" customHeight="1">
      <c r="A539" s="999">
        <f>'09월 조업일지'!A539</f>
        <v>46285</v>
      </c>
      <c r="B539" s="1100">
        <f>'09월 조업일지'!B539</f>
        <v>46285</v>
      </c>
      <c r="C539" s="730">
        <f>'09월 조업일지'!G539</f>
        <v>85741</v>
      </c>
      <c r="D539" s="731" t="str">
        <f>'09월 조업일지'!E539</f>
        <v>B</v>
      </c>
      <c r="E539" s="732" t="str">
        <f>'09월 조업일지'!F539</f>
        <v>B</v>
      </c>
      <c r="F539" s="1096" t="str">
        <f>'09월 에너지'!F541</f>
        <v>DKOIL</v>
      </c>
      <c r="G539" s="733">
        <v>16</v>
      </c>
      <c r="H539" s="734">
        <v>16</v>
      </c>
      <c r="I539" s="734">
        <v>54</v>
      </c>
      <c r="J539" s="734">
        <v>14</v>
      </c>
      <c r="K539" s="735">
        <v>39</v>
      </c>
      <c r="L539" s="734">
        <v>14</v>
      </c>
      <c r="M539" s="736">
        <v>11</v>
      </c>
      <c r="N539" s="737">
        <v>408</v>
      </c>
      <c r="O539" s="737"/>
      <c r="P539" s="737">
        <v>1001</v>
      </c>
      <c r="Q539" s="737">
        <v>953</v>
      </c>
      <c r="R539" s="737"/>
      <c r="S539" s="737"/>
      <c r="T539" s="737">
        <v>55</v>
      </c>
      <c r="U539" s="738"/>
      <c r="V539" s="739">
        <v>414</v>
      </c>
      <c r="W539" s="737"/>
      <c r="X539" s="737">
        <v>1000</v>
      </c>
      <c r="Y539" s="737">
        <v>908</v>
      </c>
      <c r="Z539" s="1202">
        <v>49</v>
      </c>
      <c r="AA539" s="740"/>
      <c r="AB539" s="739">
        <v>80</v>
      </c>
      <c r="AC539" s="741"/>
      <c r="AD539" s="741">
        <v>250</v>
      </c>
      <c r="AE539" s="741">
        <v>200</v>
      </c>
      <c r="AF539" s="741">
        <v>105</v>
      </c>
      <c r="AG539" s="741"/>
      <c r="AH539" s="741">
        <v>766</v>
      </c>
      <c r="AI539" s="741">
        <v>190</v>
      </c>
      <c r="AJ539" s="741"/>
      <c r="AK539" s="741">
        <v>215</v>
      </c>
      <c r="AL539" s="741">
        <v>149</v>
      </c>
      <c r="AM539" s="742">
        <v>1097</v>
      </c>
      <c r="AN539" s="743">
        <f t="shared" si="26"/>
        <v>0.58964803312629399</v>
      </c>
      <c r="AO539" s="744">
        <f t="shared" si="27"/>
        <v>1.035732935471839</v>
      </c>
      <c r="AP539" s="745">
        <f>'09월 에너지'!S541</f>
        <v>142.4</v>
      </c>
    </row>
    <row r="540" spans="1:42" ht="16.5" customHeight="1">
      <c r="A540" s="999">
        <f>'09월 조업일지'!A540</f>
        <v>46285</v>
      </c>
      <c r="B540" s="1100">
        <f>'09월 조업일지'!B540</f>
        <v>46285</v>
      </c>
      <c r="C540" s="730">
        <f>'09월 조업일지'!G540</f>
        <v>85742</v>
      </c>
      <c r="D540" s="731" t="str">
        <f>'09월 조업일지'!E540</f>
        <v>B</v>
      </c>
      <c r="E540" s="732" t="str">
        <f>'09월 조업일지'!F540</f>
        <v>A</v>
      </c>
      <c r="F540" s="1096" t="str">
        <f>'09월 에너지'!F542</f>
        <v>DKOIL</v>
      </c>
      <c r="G540" s="733">
        <v>13</v>
      </c>
      <c r="H540" s="734">
        <v>14</v>
      </c>
      <c r="I540" s="734">
        <v>48</v>
      </c>
      <c r="J540" s="734">
        <v>14</v>
      </c>
      <c r="K540" s="735">
        <v>39</v>
      </c>
      <c r="L540" s="734">
        <v>13</v>
      </c>
      <c r="M540" s="736">
        <v>8</v>
      </c>
      <c r="N540" s="737">
        <v>407</v>
      </c>
      <c r="O540" s="737"/>
      <c r="P540" s="737">
        <v>1001</v>
      </c>
      <c r="Q540" s="737">
        <v>953</v>
      </c>
      <c r="R540" s="737"/>
      <c r="S540" s="737"/>
      <c r="T540" s="737">
        <v>51</v>
      </c>
      <c r="U540" s="738"/>
      <c r="V540" s="739">
        <v>412</v>
      </c>
      <c r="W540" s="737"/>
      <c r="X540" s="737">
        <v>1000</v>
      </c>
      <c r="Y540" s="737">
        <v>909</v>
      </c>
      <c r="Z540" s="1202">
        <v>49</v>
      </c>
      <c r="AA540" s="740"/>
      <c r="AB540" s="739">
        <v>80</v>
      </c>
      <c r="AC540" s="741"/>
      <c r="AD540" s="741">
        <v>251</v>
      </c>
      <c r="AE540" s="741">
        <v>200</v>
      </c>
      <c r="AF540" s="741">
        <v>106</v>
      </c>
      <c r="AG540" s="741"/>
      <c r="AH540" s="741">
        <v>768</v>
      </c>
      <c r="AI540" s="741">
        <v>188</v>
      </c>
      <c r="AJ540" s="741"/>
      <c r="AK540" s="741">
        <v>219</v>
      </c>
      <c r="AL540" s="741">
        <v>142</v>
      </c>
      <c r="AM540" s="742">
        <v>2041</v>
      </c>
      <c r="AN540" s="743">
        <f t="shared" si="26"/>
        <v>0.51362229102167178</v>
      </c>
      <c r="AO540" s="744">
        <f t="shared" si="27"/>
        <v>0.87287946428571439</v>
      </c>
      <c r="AP540" s="745">
        <f>'09월 에너지'!S542</f>
        <v>142.19999999999999</v>
      </c>
    </row>
    <row r="541" spans="1:42" ht="16.5" customHeight="1">
      <c r="A541" s="999">
        <f>'09월 조업일지'!A541</f>
        <v>46285</v>
      </c>
      <c r="B541" s="1100">
        <f>'09월 조업일지'!B541</f>
        <v>46285</v>
      </c>
      <c r="C541" s="730">
        <f>'09월 조업일지'!G541</f>
        <v>85743</v>
      </c>
      <c r="D541" s="731" t="str">
        <f>'09월 조업일지'!E541</f>
        <v>B</v>
      </c>
      <c r="E541" s="732" t="str">
        <f>'09월 조업일지'!F541</f>
        <v>B</v>
      </c>
      <c r="F541" s="1096" t="str">
        <f>'09월 에너지'!F543</f>
        <v>DKOIL</v>
      </c>
      <c r="G541" s="733">
        <v>17</v>
      </c>
      <c r="H541" s="734">
        <v>11</v>
      </c>
      <c r="I541" s="734">
        <v>51</v>
      </c>
      <c r="J541" s="734">
        <v>13</v>
      </c>
      <c r="K541" s="735">
        <v>33</v>
      </c>
      <c r="L541" s="734">
        <v>12</v>
      </c>
      <c r="M541" s="736">
        <v>8</v>
      </c>
      <c r="N541" s="737">
        <v>403</v>
      </c>
      <c r="O541" s="737"/>
      <c r="P541" s="737">
        <v>1001</v>
      </c>
      <c r="Q541" s="737">
        <v>951</v>
      </c>
      <c r="R541" s="737"/>
      <c r="S541" s="737"/>
      <c r="T541" s="737">
        <v>51</v>
      </c>
      <c r="U541" s="738"/>
      <c r="V541" s="739">
        <v>403</v>
      </c>
      <c r="W541" s="737"/>
      <c r="X541" s="737">
        <v>1000</v>
      </c>
      <c r="Y541" s="737">
        <v>905</v>
      </c>
      <c r="Z541" s="1202">
        <v>43</v>
      </c>
      <c r="AA541" s="740"/>
      <c r="AB541" s="739">
        <v>82</v>
      </c>
      <c r="AC541" s="741"/>
      <c r="AD541" s="741">
        <v>251</v>
      </c>
      <c r="AE541" s="741">
        <v>200</v>
      </c>
      <c r="AF541" s="741">
        <v>100</v>
      </c>
      <c r="AG541" s="741"/>
      <c r="AH541" s="741">
        <v>765</v>
      </c>
      <c r="AI541" s="741">
        <v>178</v>
      </c>
      <c r="AJ541" s="741"/>
      <c r="AK541" s="741">
        <v>217</v>
      </c>
      <c r="AL541" s="741">
        <v>136</v>
      </c>
      <c r="AM541" s="742">
        <v>1252</v>
      </c>
      <c r="AN541" s="743">
        <f t="shared" si="26"/>
        <v>0.42145593869731801</v>
      </c>
      <c r="AO541" s="744">
        <f t="shared" si="27"/>
        <v>0.97478991596638653</v>
      </c>
      <c r="AP541" s="745">
        <f>'09월 에너지'!S543</f>
        <v>145</v>
      </c>
    </row>
    <row r="542" spans="1:42" ht="16.5" customHeight="1">
      <c r="A542" s="999">
        <f>'09월 조업일지'!A542</f>
        <v>46285</v>
      </c>
      <c r="B542" s="1100">
        <f>'09월 조업일지'!B542</f>
        <v>46285</v>
      </c>
      <c r="C542" s="730">
        <f>'09월 조업일지'!G542</f>
        <v>85744</v>
      </c>
      <c r="D542" s="731" t="str">
        <f>'09월 조업일지'!E542</f>
        <v>B</v>
      </c>
      <c r="E542" s="732" t="str">
        <f>'09월 조업일지'!F542</f>
        <v>A</v>
      </c>
      <c r="F542" s="1096" t="str">
        <f>'09월 에너지'!F544</f>
        <v>DKOIL</v>
      </c>
      <c r="G542" s="733">
        <v>12</v>
      </c>
      <c r="H542" s="734">
        <v>10</v>
      </c>
      <c r="I542" s="734">
        <v>39</v>
      </c>
      <c r="J542" s="734">
        <v>15</v>
      </c>
      <c r="K542" s="735">
        <v>41</v>
      </c>
      <c r="L542" s="734">
        <v>12</v>
      </c>
      <c r="M542" s="736">
        <v>8</v>
      </c>
      <c r="N542" s="737">
        <v>413</v>
      </c>
      <c r="O542" s="737"/>
      <c r="P542" s="737">
        <v>1000</v>
      </c>
      <c r="Q542" s="737">
        <v>952</v>
      </c>
      <c r="R542" s="737"/>
      <c r="S542" s="737"/>
      <c r="T542" s="737">
        <v>51</v>
      </c>
      <c r="U542" s="738"/>
      <c r="V542" s="739">
        <v>404</v>
      </c>
      <c r="W542" s="737"/>
      <c r="X542" s="737">
        <v>1001</v>
      </c>
      <c r="Y542" s="737">
        <v>903</v>
      </c>
      <c r="Z542" s="1202">
        <v>49</v>
      </c>
      <c r="AA542" s="740"/>
      <c r="AB542" s="739">
        <v>81</v>
      </c>
      <c r="AC542" s="741"/>
      <c r="AD542" s="741">
        <v>251</v>
      </c>
      <c r="AE542" s="741">
        <v>200</v>
      </c>
      <c r="AF542" s="741">
        <v>94</v>
      </c>
      <c r="AG542" s="741"/>
      <c r="AH542" s="741">
        <v>774</v>
      </c>
      <c r="AI542" s="741">
        <v>188</v>
      </c>
      <c r="AJ542" s="741"/>
      <c r="AK542" s="741">
        <v>217</v>
      </c>
      <c r="AL542" s="741">
        <v>154</v>
      </c>
      <c r="AM542" s="742">
        <v>2048</v>
      </c>
      <c r="AN542" s="743">
        <f t="shared" si="26"/>
        <v>0.36819003356571128</v>
      </c>
      <c r="AO542" s="744">
        <f t="shared" si="27"/>
        <v>0.63167220376522704</v>
      </c>
      <c r="AP542" s="745">
        <f>'09월 에너지'!S544</f>
        <v>142.6</v>
      </c>
    </row>
    <row r="543" spans="1:42" ht="16.5" customHeight="1">
      <c r="A543" s="999">
        <f>'09월 조업일지'!A543</f>
        <v>46285</v>
      </c>
      <c r="B543" s="1100">
        <f>'09월 조업일지'!B543</f>
        <v>46285</v>
      </c>
      <c r="C543" s="730">
        <f>'09월 조업일지'!G543</f>
        <v>85745</v>
      </c>
      <c r="D543" s="731" t="str">
        <f>'09월 조업일지'!E543</f>
        <v>B</v>
      </c>
      <c r="E543" s="732" t="str">
        <f>'09월 조업일지'!F543</f>
        <v>B</v>
      </c>
      <c r="F543" s="1096" t="str">
        <f>'09월 에너지'!F545</f>
        <v>DKOIL</v>
      </c>
      <c r="G543" s="733">
        <v>16</v>
      </c>
      <c r="H543" s="734">
        <v>11</v>
      </c>
      <c r="I543" s="734">
        <v>45</v>
      </c>
      <c r="J543" s="734">
        <v>12</v>
      </c>
      <c r="K543" s="735">
        <v>39</v>
      </c>
      <c r="L543" s="734">
        <v>12</v>
      </c>
      <c r="M543" s="736">
        <v>7</v>
      </c>
      <c r="N543" s="737">
        <v>401</v>
      </c>
      <c r="O543" s="737"/>
      <c r="P543" s="737">
        <v>1001</v>
      </c>
      <c r="Q543" s="737">
        <v>958</v>
      </c>
      <c r="R543" s="737"/>
      <c r="S543" s="737"/>
      <c r="T543" s="737">
        <v>54</v>
      </c>
      <c r="U543" s="738"/>
      <c r="V543" s="739">
        <v>428</v>
      </c>
      <c r="W543" s="737"/>
      <c r="X543" s="737">
        <v>1001</v>
      </c>
      <c r="Y543" s="737">
        <v>919</v>
      </c>
      <c r="Z543" s="1202">
        <v>48</v>
      </c>
      <c r="AA543" s="740"/>
      <c r="AB543" s="739">
        <v>84</v>
      </c>
      <c r="AC543" s="741"/>
      <c r="AD543" s="741">
        <v>251</v>
      </c>
      <c r="AE543" s="741">
        <v>200</v>
      </c>
      <c r="AF543" s="741">
        <v>95</v>
      </c>
      <c r="AG543" s="741"/>
      <c r="AH543" s="741">
        <v>768</v>
      </c>
      <c r="AI543" s="741">
        <v>181</v>
      </c>
      <c r="AJ543" s="741"/>
      <c r="AK543" s="741">
        <v>224</v>
      </c>
      <c r="AL543" s="741">
        <v>146</v>
      </c>
      <c r="AM543" s="742">
        <v>1528</v>
      </c>
      <c r="AN543" s="743">
        <f t="shared" si="26"/>
        <v>0.40420397041650441</v>
      </c>
      <c r="AO543" s="744">
        <f t="shared" si="27"/>
        <v>0.79017857142857162</v>
      </c>
      <c r="AP543" s="745">
        <f>'09월 에너지'!S545</f>
        <v>141.6</v>
      </c>
    </row>
    <row r="544" spans="1:42" ht="16.5" customHeight="1">
      <c r="A544" s="999">
        <f>'09월 조업일지'!A544</f>
        <v>46285</v>
      </c>
      <c r="B544" s="1100">
        <f>'09월 조업일지'!B544</f>
        <v>46285</v>
      </c>
      <c r="C544" s="730">
        <f>'09월 조업일지'!G544</f>
        <v>85746</v>
      </c>
      <c r="D544" s="731" t="str">
        <f>'09월 조업일지'!E544</f>
        <v>B</v>
      </c>
      <c r="E544" s="732" t="str">
        <f>'09월 조업일지'!F544</f>
        <v>A</v>
      </c>
      <c r="F544" s="1096" t="str">
        <f>'09월 에너지'!F546</f>
        <v>DKOIL</v>
      </c>
      <c r="G544" s="733">
        <v>11</v>
      </c>
      <c r="H544" s="734">
        <v>12</v>
      </c>
      <c r="I544" s="734">
        <v>45</v>
      </c>
      <c r="J544" s="734">
        <v>14</v>
      </c>
      <c r="K544" s="735">
        <v>37</v>
      </c>
      <c r="L544" s="734">
        <v>12</v>
      </c>
      <c r="M544" s="736">
        <v>8</v>
      </c>
      <c r="N544" s="737">
        <v>401</v>
      </c>
      <c r="O544" s="737"/>
      <c r="P544" s="737">
        <v>1003</v>
      </c>
      <c r="Q544" s="737">
        <v>954</v>
      </c>
      <c r="R544" s="737"/>
      <c r="S544" s="737"/>
      <c r="T544" s="737">
        <v>46</v>
      </c>
      <c r="U544" s="738"/>
      <c r="V544" s="739">
        <v>408</v>
      </c>
      <c r="W544" s="737"/>
      <c r="X544" s="737">
        <v>1002</v>
      </c>
      <c r="Y544" s="737">
        <v>906</v>
      </c>
      <c r="Z544" s="1202">
        <v>43</v>
      </c>
      <c r="AA544" s="740"/>
      <c r="AB544" s="739">
        <v>83</v>
      </c>
      <c r="AC544" s="741"/>
      <c r="AD544" s="741">
        <v>253</v>
      </c>
      <c r="AE544" s="741">
        <v>200</v>
      </c>
      <c r="AF544" s="741">
        <v>103</v>
      </c>
      <c r="AG544" s="741"/>
      <c r="AH544" s="741">
        <v>772</v>
      </c>
      <c r="AI544" s="741">
        <v>185</v>
      </c>
      <c r="AJ544" s="741"/>
      <c r="AK544" s="741">
        <v>218</v>
      </c>
      <c r="AL544" s="741">
        <v>144</v>
      </c>
      <c r="AM544" s="742">
        <v>2029</v>
      </c>
      <c r="AN544" s="743">
        <f t="shared" si="26"/>
        <v>0.44094978590891393</v>
      </c>
      <c r="AO544" s="744">
        <f t="shared" si="27"/>
        <v>0.7860843819393043</v>
      </c>
      <c r="AP544" s="745">
        <f>'09월 에너지'!S546</f>
        <v>141.6</v>
      </c>
    </row>
    <row r="545" spans="1:42" ht="16.5" customHeight="1">
      <c r="A545" s="999">
        <f>'09월 조업일지'!A545</f>
        <v>46285</v>
      </c>
      <c r="B545" s="1100">
        <f>'09월 조업일지'!B545</f>
        <v>46285</v>
      </c>
      <c r="C545" s="730">
        <f>'09월 조업일지'!G545</f>
        <v>85747</v>
      </c>
      <c r="D545" s="731" t="str">
        <f>'09월 조업일지'!E545</f>
        <v>B</v>
      </c>
      <c r="E545" s="732" t="str">
        <f>'09월 조업일지'!F545</f>
        <v>B</v>
      </c>
      <c r="F545" s="1096" t="str">
        <f>'09월 에너지'!F547</f>
        <v>DKOIL</v>
      </c>
      <c r="G545" s="733">
        <v>13</v>
      </c>
      <c r="H545" s="734">
        <v>13</v>
      </c>
      <c r="I545" s="734">
        <v>55</v>
      </c>
      <c r="J545" s="734">
        <v>18</v>
      </c>
      <c r="K545" s="735">
        <v>37</v>
      </c>
      <c r="L545" s="734">
        <v>14</v>
      </c>
      <c r="M545" s="736">
        <v>10</v>
      </c>
      <c r="N545" s="737">
        <v>405</v>
      </c>
      <c r="O545" s="737"/>
      <c r="P545" s="737">
        <v>1000</v>
      </c>
      <c r="Q545" s="737">
        <v>951</v>
      </c>
      <c r="R545" s="737"/>
      <c r="S545" s="737"/>
      <c r="T545" s="737">
        <v>51</v>
      </c>
      <c r="U545" s="738"/>
      <c r="V545" s="739">
        <v>403</v>
      </c>
      <c r="W545" s="737"/>
      <c r="X545" s="737">
        <v>1004</v>
      </c>
      <c r="Y545" s="737">
        <v>902</v>
      </c>
      <c r="Z545" s="1202">
        <v>40</v>
      </c>
      <c r="AA545" s="740"/>
      <c r="AB545" s="739">
        <v>79</v>
      </c>
      <c r="AC545" s="741"/>
      <c r="AD545" s="741">
        <v>251</v>
      </c>
      <c r="AE545" s="741">
        <v>200</v>
      </c>
      <c r="AF545" s="741">
        <v>103</v>
      </c>
      <c r="AG545" s="741"/>
      <c r="AH545" s="741">
        <v>776</v>
      </c>
      <c r="AI545" s="741">
        <v>176</v>
      </c>
      <c r="AJ545" s="741"/>
      <c r="AK545" s="741">
        <v>226</v>
      </c>
      <c r="AL545" s="741">
        <v>152</v>
      </c>
      <c r="AM545" s="742">
        <v>1554</v>
      </c>
      <c r="AN545" s="743">
        <f t="shared" si="26"/>
        <v>0.48445312499999998</v>
      </c>
      <c r="AO545" s="744">
        <f t="shared" si="27"/>
        <v>1.0537555228276878</v>
      </c>
      <c r="AP545" s="745">
        <f>'09월 에너지'!S547</f>
        <v>143.1</v>
      </c>
    </row>
    <row r="546" spans="1:42" ht="16.5" customHeight="1">
      <c r="A546" s="999">
        <f>'09월 조업일지'!A546</f>
        <v>46285</v>
      </c>
      <c r="B546" s="1100">
        <f>'09월 조업일지'!B546</f>
        <v>46285</v>
      </c>
      <c r="C546" s="730">
        <f>'09월 조업일지'!G546</f>
        <v>85748</v>
      </c>
      <c r="D546" s="731" t="str">
        <f>'09월 조업일지'!E546</f>
        <v>B</v>
      </c>
      <c r="E546" s="732" t="str">
        <f>'09월 조업일지'!F546</f>
        <v>A</v>
      </c>
      <c r="F546" s="1096" t="str">
        <f>'09월 에너지'!F548</f>
        <v>DKOIL</v>
      </c>
      <c r="G546" s="733">
        <v>15</v>
      </c>
      <c r="H546" s="734">
        <v>16</v>
      </c>
      <c r="I546" s="734">
        <v>52</v>
      </c>
      <c r="J546" s="734">
        <v>16</v>
      </c>
      <c r="K546" s="735">
        <v>37</v>
      </c>
      <c r="L546" s="734">
        <v>9</v>
      </c>
      <c r="M546" s="736">
        <v>10</v>
      </c>
      <c r="N546" s="737">
        <v>409</v>
      </c>
      <c r="O546" s="737"/>
      <c r="P546" s="737">
        <v>1003</v>
      </c>
      <c r="Q546" s="737">
        <v>953</v>
      </c>
      <c r="R546" s="737"/>
      <c r="S546" s="737"/>
      <c r="T546" s="737">
        <v>50</v>
      </c>
      <c r="U546" s="738"/>
      <c r="V546" s="739">
        <v>404</v>
      </c>
      <c r="W546" s="737"/>
      <c r="X546" s="737">
        <v>1002</v>
      </c>
      <c r="Y546" s="737">
        <v>909</v>
      </c>
      <c r="Z546" s="1202">
        <v>46</v>
      </c>
      <c r="AA546" s="740"/>
      <c r="AB546" s="739">
        <v>86</v>
      </c>
      <c r="AC546" s="741"/>
      <c r="AD546" s="741">
        <v>251</v>
      </c>
      <c r="AE546" s="741">
        <v>200</v>
      </c>
      <c r="AF546" s="741">
        <v>97</v>
      </c>
      <c r="AG546" s="741"/>
      <c r="AH546" s="741">
        <v>774</v>
      </c>
      <c r="AI546" s="741">
        <v>189</v>
      </c>
      <c r="AJ546" s="741"/>
      <c r="AK546" s="741">
        <v>222</v>
      </c>
      <c r="AL546" s="741">
        <v>150</v>
      </c>
      <c r="AM546" s="742">
        <v>1884</v>
      </c>
      <c r="AN546" s="743">
        <f t="shared" si="26"/>
        <v>0.57854494310190518</v>
      </c>
      <c r="AO546" s="744">
        <f t="shared" si="27"/>
        <v>0.96563307493540051</v>
      </c>
      <c r="AP546" s="745">
        <f>'09월 에너지'!S548</f>
        <v>141.4</v>
      </c>
    </row>
    <row r="547" spans="1:42" ht="16.5" customHeight="1">
      <c r="A547" s="999">
        <f>'09월 조업일지'!A547</f>
        <v>46285</v>
      </c>
      <c r="B547" s="1100">
        <f>'09월 조업일지'!B547</f>
        <v>46285</v>
      </c>
      <c r="C547" s="730">
        <f>'09월 조업일지'!G547</f>
        <v>85749</v>
      </c>
      <c r="D547" s="731" t="str">
        <f>'09월 조업일지'!E547</f>
        <v>D</v>
      </c>
      <c r="E547" s="732" t="str">
        <f>'09월 조업일지'!F547</f>
        <v>B</v>
      </c>
      <c r="F547" s="1096" t="str">
        <f>'09월 에너지'!F549</f>
        <v>DKOIL</v>
      </c>
      <c r="G547" s="733">
        <v>13</v>
      </c>
      <c r="H547" s="734">
        <v>12</v>
      </c>
      <c r="I547" s="734">
        <v>49</v>
      </c>
      <c r="J547" s="734">
        <v>13</v>
      </c>
      <c r="K547" s="735">
        <v>32</v>
      </c>
      <c r="L547" s="734">
        <v>12</v>
      </c>
      <c r="M547" s="736">
        <v>9</v>
      </c>
      <c r="N547" s="737">
        <v>413</v>
      </c>
      <c r="O547" s="737"/>
      <c r="P547" s="737">
        <v>1001</v>
      </c>
      <c r="Q547" s="737">
        <v>961</v>
      </c>
      <c r="R547" s="737"/>
      <c r="S547" s="737"/>
      <c r="T547" s="737">
        <v>53</v>
      </c>
      <c r="U547" s="738"/>
      <c r="V547" s="739">
        <v>405</v>
      </c>
      <c r="W547" s="737"/>
      <c r="X547" s="737">
        <v>1001</v>
      </c>
      <c r="Y547" s="737">
        <v>901</v>
      </c>
      <c r="Z547" s="1202">
        <v>49</v>
      </c>
      <c r="AA547" s="740"/>
      <c r="AB547" s="739">
        <v>84</v>
      </c>
      <c r="AC547" s="741"/>
      <c r="AD547" s="741">
        <v>251</v>
      </c>
      <c r="AE547" s="741">
        <v>201</v>
      </c>
      <c r="AF547" s="741">
        <v>94</v>
      </c>
      <c r="AG547" s="741"/>
      <c r="AH547" s="741">
        <v>766</v>
      </c>
      <c r="AI547" s="741">
        <v>179</v>
      </c>
      <c r="AJ547" s="741"/>
      <c r="AK547" s="741">
        <v>216</v>
      </c>
      <c r="AL547" s="741">
        <v>152</v>
      </c>
      <c r="AM547" s="742">
        <v>1240</v>
      </c>
      <c r="AN547" s="743">
        <f t="shared" si="26"/>
        <v>0.45655445544554452</v>
      </c>
      <c r="AO547" s="744">
        <f t="shared" si="27"/>
        <v>0.91372622155911987</v>
      </c>
      <c r="AP547" s="745">
        <f>'09월 에너지'!S549</f>
        <v>144.1</v>
      </c>
    </row>
    <row r="548" spans="1:42" ht="16.5" customHeight="1">
      <c r="A548" s="999">
        <f>'09월 조업일지'!A548</f>
        <v>46285</v>
      </c>
      <c r="B548" s="1100">
        <f>'09월 조업일지'!B548</f>
        <v>46285</v>
      </c>
      <c r="C548" s="730">
        <f>'09월 조업일지'!G548</f>
        <v>85750</v>
      </c>
      <c r="D548" s="731" t="str">
        <f>'09월 조업일지'!E548</f>
        <v>D</v>
      </c>
      <c r="E548" s="732" t="str">
        <f>'09월 조업일지'!F548</f>
        <v>A</v>
      </c>
      <c r="F548" s="1096" t="str">
        <f>'09월 에너지'!F550</f>
        <v>DKOIL</v>
      </c>
      <c r="G548" s="733">
        <v>14</v>
      </c>
      <c r="H548" s="734">
        <v>12</v>
      </c>
      <c r="I548" s="734">
        <v>50</v>
      </c>
      <c r="J548" s="734">
        <v>14</v>
      </c>
      <c r="K548" s="735">
        <v>48</v>
      </c>
      <c r="L548" s="734">
        <v>12</v>
      </c>
      <c r="M548" s="736">
        <v>9</v>
      </c>
      <c r="N548" s="737">
        <v>418</v>
      </c>
      <c r="O548" s="737"/>
      <c r="P548" s="737">
        <v>1001</v>
      </c>
      <c r="Q548" s="737">
        <v>954</v>
      </c>
      <c r="R548" s="737"/>
      <c r="S548" s="737"/>
      <c r="T548" s="737">
        <v>47</v>
      </c>
      <c r="U548" s="738"/>
      <c r="V548" s="739">
        <v>413</v>
      </c>
      <c r="W548" s="737"/>
      <c r="X548" s="737">
        <v>1001</v>
      </c>
      <c r="Y548" s="737">
        <v>906</v>
      </c>
      <c r="Z548" s="1202">
        <v>47</v>
      </c>
      <c r="AA548" s="740"/>
      <c r="AB548" s="739">
        <v>82</v>
      </c>
      <c r="AC548" s="741"/>
      <c r="AD548" s="741">
        <v>250</v>
      </c>
      <c r="AE548" s="741">
        <v>201</v>
      </c>
      <c r="AF548" s="741">
        <v>97</v>
      </c>
      <c r="AG548" s="741"/>
      <c r="AH548" s="741">
        <v>766</v>
      </c>
      <c r="AI548" s="741">
        <v>188</v>
      </c>
      <c r="AJ548" s="741"/>
      <c r="AK548" s="741">
        <v>216</v>
      </c>
      <c r="AL548" s="741">
        <v>153</v>
      </c>
      <c r="AM548" s="742">
        <v>929</v>
      </c>
      <c r="AN548" s="743">
        <f t="shared" si="26"/>
        <v>0.44793774319066149</v>
      </c>
      <c r="AO548" s="744">
        <f t="shared" si="27"/>
        <v>0.93929503916449097</v>
      </c>
      <c r="AP548" s="745">
        <f>'09월 에너지'!S550</f>
        <v>143.9</v>
      </c>
    </row>
    <row r="549" spans="1:42" ht="16.5" customHeight="1">
      <c r="A549" s="999">
        <f>'09월 조업일지'!A549</f>
        <v>46285</v>
      </c>
      <c r="B549" s="1100">
        <f>'09월 조업일지'!B549</f>
        <v>46285</v>
      </c>
      <c r="C549" s="730">
        <f>'09월 조업일지'!G549</f>
        <v>85751</v>
      </c>
      <c r="D549" s="731" t="str">
        <f>'09월 조업일지'!E549</f>
        <v>D</v>
      </c>
      <c r="E549" s="732" t="str">
        <f>'09월 조업일지'!F549</f>
        <v>B</v>
      </c>
      <c r="F549" s="1096" t="str">
        <f>'09월 에너지'!F551</f>
        <v>DKOIL</v>
      </c>
      <c r="G549" s="733">
        <v>14</v>
      </c>
      <c r="H549" s="734">
        <v>13</v>
      </c>
      <c r="I549" s="734">
        <v>49</v>
      </c>
      <c r="J549" s="734">
        <v>12</v>
      </c>
      <c r="K549" s="735">
        <v>27</v>
      </c>
      <c r="L549" s="734">
        <v>13</v>
      </c>
      <c r="M549" s="736">
        <v>9</v>
      </c>
      <c r="N549" s="737">
        <v>406</v>
      </c>
      <c r="O549" s="737"/>
      <c r="P549" s="737">
        <v>1001</v>
      </c>
      <c r="Q549" s="737">
        <v>951</v>
      </c>
      <c r="R549" s="737"/>
      <c r="S549" s="737"/>
      <c r="T549" s="737">
        <v>47</v>
      </c>
      <c r="U549" s="738"/>
      <c r="V549" s="739">
        <v>412</v>
      </c>
      <c r="W549" s="737"/>
      <c r="X549" s="737">
        <v>1003</v>
      </c>
      <c r="Y549" s="737">
        <v>907</v>
      </c>
      <c r="Z549" s="1202">
        <v>43</v>
      </c>
      <c r="AA549" s="740"/>
      <c r="AB549" s="739">
        <v>74</v>
      </c>
      <c r="AC549" s="741"/>
      <c r="AD549" s="741">
        <v>252</v>
      </c>
      <c r="AE549" s="741">
        <v>201</v>
      </c>
      <c r="AF549" s="741">
        <v>100</v>
      </c>
      <c r="AG549" s="741"/>
      <c r="AH549" s="741">
        <v>773</v>
      </c>
      <c r="AI549" s="741">
        <v>189</v>
      </c>
      <c r="AJ549" s="741"/>
      <c r="AK549" s="741">
        <v>213</v>
      </c>
      <c r="AL549" s="741">
        <v>144</v>
      </c>
      <c r="AM549" s="742">
        <v>1293</v>
      </c>
      <c r="AN549" s="743">
        <f t="shared" si="26"/>
        <v>0.48324254215304796</v>
      </c>
      <c r="AO549" s="744">
        <f t="shared" si="27"/>
        <v>0.90042506006283518</v>
      </c>
      <c r="AP549" s="745">
        <f>'09월 에너지'!S551</f>
        <v>143.30000000000001</v>
      </c>
    </row>
    <row r="550" spans="1:42" ht="16.5" customHeight="1">
      <c r="A550" s="999">
        <f>'09월 조업일지'!A550</f>
        <v>46285</v>
      </c>
      <c r="B550" s="1100">
        <f>'09월 조업일지'!B550</f>
        <v>46285</v>
      </c>
      <c r="C550" s="730">
        <f>'09월 조업일지'!G550</f>
        <v>85752</v>
      </c>
      <c r="D550" s="731" t="str">
        <f>'09월 조업일지'!E550</f>
        <v>D</v>
      </c>
      <c r="E550" s="732" t="str">
        <f>'09월 조업일지'!F550</f>
        <v>A</v>
      </c>
      <c r="F550" s="1096" t="str">
        <f>'09월 에너지'!F552</f>
        <v>DKOIL</v>
      </c>
      <c r="G550" s="733">
        <v>15</v>
      </c>
      <c r="H550" s="734">
        <v>16</v>
      </c>
      <c r="I550" s="734">
        <v>50</v>
      </c>
      <c r="J550" s="734">
        <v>16</v>
      </c>
      <c r="K550" s="735">
        <v>55</v>
      </c>
      <c r="L550" s="734">
        <v>12</v>
      </c>
      <c r="M550" s="736">
        <v>9</v>
      </c>
      <c r="N550" s="737">
        <v>412</v>
      </c>
      <c r="O550" s="737"/>
      <c r="P550" s="737">
        <v>1001</v>
      </c>
      <c r="Q550" s="737">
        <v>958</v>
      </c>
      <c r="R550" s="737"/>
      <c r="S550" s="737"/>
      <c r="T550" s="737">
        <v>51</v>
      </c>
      <c r="U550" s="738"/>
      <c r="V550" s="739">
        <v>408</v>
      </c>
      <c r="W550" s="737"/>
      <c r="X550" s="737">
        <v>1000</v>
      </c>
      <c r="Y550" s="737">
        <v>902</v>
      </c>
      <c r="Z550" s="1202">
        <v>44</v>
      </c>
      <c r="AA550" s="740"/>
      <c r="AB550" s="739">
        <v>75</v>
      </c>
      <c r="AC550" s="741"/>
      <c r="AD550" s="741">
        <v>251</v>
      </c>
      <c r="AE550" s="741">
        <v>201</v>
      </c>
      <c r="AF550" s="741">
        <v>97</v>
      </c>
      <c r="AG550" s="741"/>
      <c r="AH550" s="741">
        <v>773</v>
      </c>
      <c r="AI550" s="741">
        <v>194</v>
      </c>
      <c r="AJ550" s="741"/>
      <c r="AK550" s="741">
        <v>214</v>
      </c>
      <c r="AL550" s="741">
        <v>151</v>
      </c>
      <c r="AM550" s="742">
        <v>1369</v>
      </c>
      <c r="AN550" s="743">
        <f t="shared" si="26"/>
        <v>0.58319866615364879</v>
      </c>
      <c r="AO550" s="744">
        <f t="shared" si="27"/>
        <v>0.91914618369987078</v>
      </c>
      <c r="AP550" s="745">
        <f>'09월 에너지'!S552</f>
        <v>142.1</v>
      </c>
    </row>
    <row r="551" spans="1:42" ht="16.5" customHeight="1">
      <c r="A551" s="999">
        <f>'09월 조업일지'!A551</f>
        <v>46285</v>
      </c>
      <c r="B551" s="1100">
        <f>'09월 조업일지'!B551</f>
        <v>46285</v>
      </c>
      <c r="C551" s="730">
        <f>'09월 조업일지'!G551</f>
        <v>85753</v>
      </c>
      <c r="D551" s="731" t="str">
        <f>'09월 조업일지'!E551</f>
        <v>D</v>
      </c>
      <c r="E551" s="732" t="str">
        <f>'09월 조업일지'!F551</f>
        <v>B</v>
      </c>
      <c r="F551" s="1096" t="str">
        <f>'09월 에너지'!F553</f>
        <v>DKOIL</v>
      </c>
      <c r="G551" s="733">
        <v>17</v>
      </c>
      <c r="H551" s="734">
        <v>13</v>
      </c>
      <c r="I551" s="734">
        <v>54</v>
      </c>
      <c r="J551" s="734">
        <v>13</v>
      </c>
      <c r="K551" s="735">
        <v>27</v>
      </c>
      <c r="L551" s="734">
        <v>15</v>
      </c>
      <c r="M551" s="736">
        <v>10</v>
      </c>
      <c r="N551" s="737">
        <v>417</v>
      </c>
      <c r="O551" s="737"/>
      <c r="P551" s="737">
        <v>1002</v>
      </c>
      <c r="Q551" s="737">
        <v>950</v>
      </c>
      <c r="R551" s="737"/>
      <c r="S551" s="737"/>
      <c r="T551" s="737">
        <v>46</v>
      </c>
      <c r="U551" s="738"/>
      <c r="V551" s="739">
        <v>415</v>
      </c>
      <c r="W551" s="737"/>
      <c r="X551" s="737">
        <v>1003</v>
      </c>
      <c r="Y551" s="737">
        <v>901</v>
      </c>
      <c r="Z551" s="1202">
        <v>47</v>
      </c>
      <c r="AA551" s="740"/>
      <c r="AB551" s="739">
        <v>75</v>
      </c>
      <c r="AC551" s="741"/>
      <c r="AD551" s="741">
        <v>251</v>
      </c>
      <c r="AE551" s="741">
        <v>201</v>
      </c>
      <c r="AF551" s="741">
        <v>97</v>
      </c>
      <c r="AG551" s="741"/>
      <c r="AH551" s="741">
        <v>771</v>
      </c>
      <c r="AI551" s="741">
        <v>199</v>
      </c>
      <c r="AJ551" s="741"/>
      <c r="AK551" s="741">
        <v>212</v>
      </c>
      <c r="AL551" s="741">
        <v>150</v>
      </c>
      <c r="AM551" s="742">
        <v>1429</v>
      </c>
      <c r="AN551" s="743">
        <f t="shared" si="26"/>
        <v>0.47610303494006639</v>
      </c>
      <c r="AO551" s="744">
        <f t="shared" si="27"/>
        <v>1.0376876042245693</v>
      </c>
      <c r="AP551" s="745">
        <f>'09월 에너지'!S553</f>
        <v>143.6</v>
      </c>
    </row>
    <row r="552" spans="1:42" ht="16.5" customHeight="1">
      <c r="A552" s="999">
        <f>'09월 조업일지'!A552</f>
        <v>46285</v>
      </c>
      <c r="B552" s="1100">
        <f>'09월 조업일지'!B552</f>
        <v>46285</v>
      </c>
      <c r="C552" s="730">
        <f>'09월 조업일지'!G552</f>
        <v>85754</v>
      </c>
      <c r="D552" s="731" t="str">
        <f>'09월 조업일지'!E552</f>
        <v>D</v>
      </c>
      <c r="E552" s="732" t="str">
        <f>'09월 조업일지'!F552</f>
        <v>A</v>
      </c>
      <c r="F552" s="1096" t="str">
        <f>'09월 에너지'!F554</f>
        <v>DKOIL</v>
      </c>
      <c r="G552" s="733">
        <v>14</v>
      </c>
      <c r="H552" s="734">
        <v>14</v>
      </c>
      <c r="I552" s="734">
        <v>49</v>
      </c>
      <c r="J552" s="734">
        <v>15</v>
      </c>
      <c r="K552" s="735">
        <v>34</v>
      </c>
      <c r="L552" s="734">
        <v>13</v>
      </c>
      <c r="M552" s="736">
        <v>10</v>
      </c>
      <c r="N552" s="737">
        <v>408</v>
      </c>
      <c r="O552" s="737"/>
      <c r="P552" s="737">
        <v>1002</v>
      </c>
      <c r="Q552" s="737">
        <v>950</v>
      </c>
      <c r="R552" s="737"/>
      <c r="S552" s="737"/>
      <c r="T552" s="737">
        <v>47</v>
      </c>
      <c r="U552" s="738"/>
      <c r="V552" s="739">
        <v>414</v>
      </c>
      <c r="W552" s="737"/>
      <c r="X552" s="737">
        <v>1002</v>
      </c>
      <c r="Y552" s="737">
        <v>903</v>
      </c>
      <c r="Z552" s="1202">
        <v>50</v>
      </c>
      <c r="AA552" s="740"/>
      <c r="AB552" s="739">
        <v>82</v>
      </c>
      <c r="AC552" s="741"/>
      <c r="AD552" s="741">
        <v>251</v>
      </c>
      <c r="AE552" s="741">
        <v>201</v>
      </c>
      <c r="AF552" s="741">
        <v>92</v>
      </c>
      <c r="AG552" s="741"/>
      <c r="AH552" s="741">
        <v>777</v>
      </c>
      <c r="AI552" s="741">
        <v>194</v>
      </c>
      <c r="AJ552" s="741"/>
      <c r="AK552" s="741">
        <v>223</v>
      </c>
      <c r="AL552" s="741">
        <v>154</v>
      </c>
      <c r="AM552" s="742">
        <v>2069</v>
      </c>
      <c r="AN552" s="743">
        <f t="shared" si="26"/>
        <v>0.50503978779840841</v>
      </c>
      <c r="AO552" s="744">
        <f t="shared" si="27"/>
        <v>0.89266409266409263</v>
      </c>
      <c r="AP552" s="745">
        <f>'09월 에너지'!S554</f>
        <v>142.80000000000001</v>
      </c>
    </row>
    <row r="553" spans="1:42" ht="16.5" customHeight="1">
      <c r="A553" s="999">
        <f>'09월 조업일지'!A553</f>
        <v>46286</v>
      </c>
      <c r="B553" s="1100">
        <f>'09월 조업일지'!B553</f>
        <v>46285</v>
      </c>
      <c r="C553" s="730">
        <f>'09월 조업일지'!G553</f>
        <v>85755</v>
      </c>
      <c r="D553" s="731" t="str">
        <f>'09월 조업일지'!E553</f>
        <v>D</v>
      </c>
      <c r="E553" s="732" t="str">
        <f>'09월 조업일지'!F553</f>
        <v>B</v>
      </c>
      <c r="F553" s="1096" t="str">
        <f>'09월 에너지'!F555</f>
        <v>DKOIL</v>
      </c>
      <c r="G553" s="733">
        <v>13</v>
      </c>
      <c r="H553" s="734">
        <v>11</v>
      </c>
      <c r="I553" s="734">
        <v>56</v>
      </c>
      <c r="J553" s="734">
        <v>15</v>
      </c>
      <c r="K553" s="735">
        <v>33</v>
      </c>
      <c r="L553" s="734">
        <v>13</v>
      </c>
      <c r="M553" s="736">
        <v>9</v>
      </c>
      <c r="N553" s="737">
        <v>402</v>
      </c>
      <c r="O553" s="737"/>
      <c r="P553" s="737">
        <v>1001</v>
      </c>
      <c r="Q553" s="737">
        <v>952</v>
      </c>
      <c r="R553" s="737"/>
      <c r="S553" s="737"/>
      <c r="T553" s="737">
        <v>47</v>
      </c>
      <c r="U553" s="738"/>
      <c r="V553" s="739">
        <v>403</v>
      </c>
      <c r="W553" s="737"/>
      <c r="X553" s="737">
        <v>1001</v>
      </c>
      <c r="Y553" s="737">
        <v>905</v>
      </c>
      <c r="Z553" s="1202">
        <v>50</v>
      </c>
      <c r="AA553" s="740"/>
      <c r="AB553" s="739">
        <v>86</v>
      </c>
      <c r="AC553" s="741"/>
      <c r="AD553" s="741">
        <v>252</v>
      </c>
      <c r="AE553" s="741">
        <v>198</v>
      </c>
      <c r="AF553" s="741">
        <v>97</v>
      </c>
      <c r="AG553" s="741"/>
      <c r="AH553" s="741">
        <v>768</v>
      </c>
      <c r="AI553" s="741">
        <v>194</v>
      </c>
      <c r="AJ553" s="741"/>
      <c r="AK553" s="741">
        <v>216</v>
      </c>
      <c r="AL553" s="741">
        <v>155</v>
      </c>
      <c r="AM553" s="742">
        <v>1350</v>
      </c>
      <c r="AN553" s="743">
        <f t="shared" si="26"/>
        <v>0.40076863950807073</v>
      </c>
      <c r="AO553" s="744">
        <f t="shared" si="27"/>
        <v>1.0844866071428574</v>
      </c>
      <c r="AP553" s="745">
        <f>'09월 에너지'!S555</f>
        <v>142.19999999999999</v>
      </c>
    </row>
    <row r="554" spans="1:42" ht="16.5" customHeight="1">
      <c r="A554" s="999">
        <f>'09월 조업일지'!A554</f>
        <v>46286</v>
      </c>
      <c r="B554" s="1100">
        <f>'09월 조업일지'!B554</f>
        <v>46285</v>
      </c>
      <c r="C554" s="730">
        <f>'09월 조업일지'!G554</f>
        <v>85756</v>
      </c>
      <c r="D554" s="731" t="str">
        <f>'09월 조업일지'!E554</f>
        <v>D</v>
      </c>
      <c r="E554" s="732" t="str">
        <f>'09월 조업일지'!F554</f>
        <v>A</v>
      </c>
      <c r="F554" s="1096" t="str">
        <f>'09월 에너지'!F556</f>
        <v>DKOIL</v>
      </c>
      <c r="G554" s="733">
        <v>16</v>
      </c>
      <c r="H554" s="734">
        <v>16</v>
      </c>
      <c r="I554" s="734">
        <v>53</v>
      </c>
      <c r="J554" s="734">
        <v>18</v>
      </c>
      <c r="K554" s="735">
        <v>450</v>
      </c>
      <c r="L554" s="734">
        <v>13</v>
      </c>
      <c r="M554" s="736">
        <v>10</v>
      </c>
      <c r="N554" s="737">
        <v>418</v>
      </c>
      <c r="O554" s="737"/>
      <c r="P554" s="737">
        <v>1002</v>
      </c>
      <c r="Q554" s="737">
        <v>954</v>
      </c>
      <c r="R554" s="737"/>
      <c r="S554" s="737"/>
      <c r="T554" s="737">
        <v>55</v>
      </c>
      <c r="U554" s="738"/>
      <c r="V554" s="739">
        <v>415</v>
      </c>
      <c r="W554" s="737"/>
      <c r="X554" s="737">
        <v>1001</v>
      </c>
      <c r="Y554" s="737">
        <v>899</v>
      </c>
      <c r="Z554" s="1202">
        <v>45</v>
      </c>
      <c r="AA554" s="740"/>
      <c r="AB554" s="739">
        <v>87</v>
      </c>
      <c r="AC554" s="741"/>
      <c r="AD554" s="741">
        <v>252</v>
      </c>
      <c r="AE554" s="741">
        <v>197</v>
      </c>
      <c r="AF554" s="741">
        <v>101</v>
      </c>
      <c r="AG554" s="741"/>
      <c r="AH554" s="741">
        <v>767</v>
      </c>
      <c r="AI554" s="741">
        <v>201</v>
      </c>
      <c r="AJ554" s="741"/>
      <c r="AK554" s="741">
        <v>214</v>
      </c>
      <c r="AL554" s="741">
        <v>151</v>
      </c>
      <c r="AM554" s="742">
        <v>2476</v>
      </c>
      <c r="AN554" s="743">
        <f t="shared" si="26"/>
        <v>0.58082191780821912</v>
      </c>
      <c r="AO554" s="744">
        <f t="shared" si="27"/>
        <v>1.012814304339728</v>
      </c>
      <c r="AP554" s="745">
        <f>'09월 에너지'!S556</f>
        <v>143.1</v>
      </c>
    </row>
    <row r="555" spans="1:42" ht="16.5" customHeight="1">
      <c r="A555" s="999">
        <f>'09월 조업일지'!A555</f>
        <v>46286</v>
      </c>
      <c r="B555" s="1100">
        <f>'09월 조업일지'!B555</f>
        <v>46285</v>
      </c>
      <c r="C555" s="730">
        <f>'09월 조업일지'!G555</f>
        <v>85757</v>
      </c>
      <c r="D555" s="731" t="str">
        <f>'09월 조업일지'!E555</f>
        <v>D</v>
      </c>
      <c r="E555" s="732" t="str">
        <f>'09월 조업일지'!F555</f>
        <v>B</v>
      </c>
      <c r="F555" s="1096" t="str">
        <f>'09월 에너지'!F557</f>
        <v>DKOIL</v>
      </c>
      <c r="G555" s="733">
        <v>13</v>
      </c>
      <c r="H555" s="734">
        <v>12</v>
      </c>
      <c r="I555" s="734">
        <v>49</v>
      </c>
      <c r="J555" s="734">
        <v>14</v>
      </c>
      <c r="K555" s="735">
        <v>30</v>
      </c>
      <c r="L555" s="734">
        <v>13</v>
      </c>
      <c r="M555" s="736">
        <v>13</v>
      </c>
      <c r="N555" s="737">
        <v>411</v>
      </c>
      <c r="O555" s="737"/>
      <c r="P555" s="737">
        <v>1003</v>
      </c>
      <c r="Q555" s="737">
        <v>952</v>
      </c>
      <c r="R555" s="737"/>
      <c r="S555" s="737"/>
      <c r="T555" s="737">
        <v>49</v>
      </c>
      <c r="U555" s="738"/>
      <c r="V555" s="739">
        <v>417</v>
      </c>
      <c r="W555" s="737"/>
      <c r="X555" s="737">
        <v>1001</v>
      </c>
      <c r="Y555" s="737">
        <v>901</v>
      </c>
      <c r="Z555" s="1202">
        <v>51</v>
      </c>
      <c r="AA555" s="740"/>
      <c r="AB555" s="739">
        <v>80</v>
      </c>
      <c r="AC555" s="741"/>
      <c r="AD555" s="741">
        <v>251</v>
      </c>
      <c r="AE555" s="741">
        <v>200</v>
      </c>
      <c r="AF555" s="741">
        <v>89</v>
      </c>
      <c r="AG555" s="741"/>
      <c r="AH555" s="741">
        <v>769</v>
      </c>
      <c r="AI555" s="741">
        <v>193</v>
      </c>
      <c r="AJ555" s="741"/>
      <c r="AK555" s="741">
        <v>219</v>
      </c>
      <c r="AL555" s="741">
        <v>151</v>
      </c>
      <c r="AM555" s="742">
        <v>1224</v>
      </c>
      <c r="AN555" s="743">
        <f t="shared" si="26"/>
        <v>0.43923371647509579</v>
      </c>
      <c r="AO555" s="744">
        <f t="shared" si="27"/>
        <v>0.90510867545978091</v>
      </c>
      <c r="AP555" s="745">
        <f>'09월 에너지'!S557</f>
        <v>143.30000000000001</v>
      </c>
    </row>
    <row r="556" spans="1:42" ht="16.5" customHeight="1">
      <c r="A556" s="999">
        <f>'09월 조업일지'!A556</f>
        <v>46286</v>
      </c>
      <c r="B556" s="1100">
        <f>'09월 조업일지'!B556</f>
        <v>46285</v>
      </c>
      <c r="C556" s="730">
        <f>'09월 조업일지'!G556</f>
        <v>85758</v>
      </c>
      <c r="D556" s="731" t="str">
        <f>'09월 조업일지'!E556</f>
        <v>D</v>
      </c>
      <c r="E556" s="732" t="str">
        <f>'09월 조업일지'!F556</f>
        <v>A</v>
      </c>
      <c r="F556" s="1096" t="str">
        <f>'09월 에너지'!F558</f>
        <v>DKOIL</v>
      </c>
      <c r="G556" s="733">
        <v>15</v>
      </c>
      <c r="H556" s="734">
        <v>15</v>
      </c>
      <c r="I556" s="734">
        <v>52</v>
      </c>
      <c r="J556" s="734">
        <v>15</v>
      </c>
      <c r="K556" s="735">
        <v>49</v>
      </c>
      <c r="L556" s="734">
        <v>16</v>
      </c>
      <c r="M556" s="736">
        <v>9</v>
      </c>
      <c r="N556" s="737">
        <v>415</v>
      </c>
      <c r="O556" s="737"/>
      <c r="P556" s="737">
        <v>1000</v>
      </c>
      <c r="Q556" s="737">
        <v>951</v>
      </c>
      <c r="R556" s="737"/>
      <c r="S556" s="737"/>
      <c r="T556" s="737">
        <v>47</v>
      </c>
      <c r="U556" s="738"/>
      <c r="V556" s="739">
        <v>418</v>
      </c>
      <c r="W556" s="737"/>
      <c r="X556" s="737">
        <v>1001</v>
      </c>
      <c r="Y556" s="737">
        <v>905</v>
      </c>
      <c r="Z556" s="1202">
        <v>39</v>
      </c>
      <c r="AA556" s="740"/>
      <c r="AB556" s="739">
        <v>82</v>
      </c>
      <c r="AC556" s="741"/>
      <c r="AD556" s="741">
        <v>255</v>
      </c>
      <c r="AE556" s="741">
        <v>201</v>
      </c>
      <c r="AF556" s="741">
        <v>89</v>
      </c>
      <c r="AG556" s="741"/>
      <c r="AH556" s="741">
        <v>774</v>
      </c>
      <c r="AI556" s="741">
        <v>207</v>
      </c>
      <c r="AJ556" s="741"/>
      <c r="AK556" s="741">
        <v>215</v>
      </c>
      <c r="AL556" s="741">
        <v>139</v>
      </c>
      <c r="AM556" s="742">
        <v>1187</v>
      </c>
      <c r="AN556" s="743">
        <f t="shared" si="26"/>
        <v>0.53653053578119148</v>
      </c>
      <c r="AO556" s="744">
        <f t="shared" si="27"/>
        <v>0.97792543373938734</v>
      </c>
      <c r="AP556" s="745">
        <f>'09월 에너지'!S558</f>
        <v>143.19999999999999</v>
      </c>
    </row>
    <row r="557" spans="1:42" ht="16.5" customHeight="1">
      <c r="A557" s="999">
        <f>'09월 조업일지'!A557</f>
        <v>46286</v>
      </c>
      <c r="B557" s="1100">
        <f>'09월 조업일지'!B557</f>
        <v>46286</v>
      </c>
      <c r="C557" s="730">
        <f>'09월 조업일지'!G557</f>
        <v>85759</v>
      </c>
      <c r="D557" s="731" t="str">
        <f>'09월 조업일지'!E557</f>
        <v>A</v>
      </c>
      <c r="E557" s="732" t="str">
        <f>'09월 조업일지'!F557</f>
        <v>B</v>
      </c>
      <c r="F557" s="1096" t="str">
        <f>'09월 에너지'!F559</f>
        <v>DKOIL</v>
      </c>
      <c r="G557" s="733">
        <v>16</v>
      </c>
      <c r="H557" s="734">
        <v>16</v>
      </c>
      <c r="I557" s="734">
        <v>57</v>
      </c>
      <c r="J557" s="734">
        <v>17</v>
      </c>
      <c r="K557" s="735">
        <v>31</v>
      </c>
      <c r="L557" s="734">
        <v>13</v>
      </c>
      <c r="M557" s="736">
        <v>10</v>
      </c>
      <c r="N557" s="737">
        <v>418</v>
      </c>
      <c r="O557" s="737"/>
      <c r="P557" s="737">
        <v>1001</v>
      </c>
      <c r="Q557" s="737">
        <v>953</v>
      </c>
      <c r="R557" s="737"/>
      <c r="S557" s="737"/>
      <c r="T557" s="737">
        <v>47</v>
      </c>
      <c r="U557" s="738"/>
      <c r="V557" s="739">
        <v>419</v>
      </c>
      <c r="W557" s="737"/>
      <c r="X557" s="737">
        <v>1003</v>
      </c>
      <c r="Y557" s="737">
        <v>900</v>
      </c>
      <c r="Z557" s="1202">
        <v>51</v>
      </c>
      <c r="AA557" s="740"/>
      <c r="AB557" s="739">
        <v>81</v>
      </c>
      <c r="AC557" s="741"/>
      <c r="AD557" s="741">
        <v>250</v>
      </c>
      <c r="AE557" s="741">
        <v>201</v>
      </c>
      <c r="AF557" s="741">
        <v>106</v>
      </c>
      <c r="AG557" s="741">
        <v>0</v>
      </c>
      <c r="AH557" s="741">
        <v>765</v>
      </c>
      <c r="AI557" s="741">
        <v>185</v>
      </c>
      <c r="AJ557" s="741">
        <v>0</v>
      </c>
      <c r="AK557" s="741">
        <v>214</v>
      </c>
      <c r="AL557" s="741">
        <v>146</v>
      </c>
      <c r="AM557" s="742">
        <v>1918</v>
      </c>
      <c r="AN557" s="743">
        <f t="shared" si="26"/>
        <v>0.59575805184603303</v>
      </c>
      <c r="AO557" s="744">
        <f t="shared" si="27"/>
        <v>1.1152941176470588</v>
      </c>
      <c r="AP557" s="745">
        <f>'09월 에너지'!S559</f>
        <v>142.19999999999999</v>
      </c>
    </row>
    <row r="558" spans="1:42" ht="16.5" customHeight="1">
      <c r="A558" s="999">
        <f>'09월 조업일지'!A558</f>
        <v>46286</v>
      </c>
      <c r="B558" s="1100">
        <f>'09월 조업일지'!B558</f>
        <v>46286</v>
      </c>
      <c r="C558" s="730">
        <f>'09월 조업일지'!G558</f>
        <v>85760</v>
      </c>
      <c r="D558" s="731" t="str">
        <f>'09월 조업일지'!E558</f>
        <v>A</v>
      </c>
      <c r="E558" s="732" t="str">
        <f>'09월 조업일지'!F558</f>
        <v>A</v>
      </c>
      <c r="F558" s="1096" t="str">
        <f>'09월 에너지'!F560</f>
        <v>DKOIL</v>
      </c>
      <c r="G558" s="733">
        <v>15</v>
      </c>
      <c r="H558" s="734">
        <v>16</v>
      </c>
      <c r="I558" s="734">
        <v>51</v>
      </c>
      <c r="J558" s="734">
        <v>15</v>
      </c>
      <c r="K558" s="735">
        <v>40</v>
      </c>
      <c r="L558" s="734">
        <v>19</v>
      </c>
      <c r="M558" s="736">
        <v>11</v>
      </c>
      <c r="N558" s="737">
        <v>412</v>
      </c>
      <c r="O558" s="737"/>
      <c r="P558" s="737">
        <v>1001</v>
      </c>
      <c r="Q558" s="737">
        <v>953</v>
      </c>
      <c r="R558" s="737"/>
      <c r="S558" s="737"/>
      <c r="T558" s="737">
        <v>47</v>
      </c>
      <c r="U558" s="738"/>
      <c r="V558" s="739">
        <v>414</v>
      </c>
      <c r="W558" s="737"/>
      <c r="X558" s="737">
        <v>1000</v>
      </c>
      <c r="Y558" s="737">
        <v>902</v>
      </c>
      <c r="Z558" s="1202">
        <v>44</v>
      </c>
      <c r="AA558" s="740"/>
      <c r="AB558" s="739">
        <v>82</v>
      </c>
      <c r="AC558" s="741"/>
      <c r="AD558" s="741">
        <v>252</v>
      </c>
      <c r="AE558" s="741">
        <v>200</v>
      </c>
      <c r="AF558" s="741">
        <v>95</v>
      </c>
      <c r="AG558" s="741">
        <v>0</v>
      </c>
      <c r="AH558" s="741">
        <v>769</v>
      </c>
      <c r="AI558" s="741">
        <v>185</v>
      </c>
      <c r="AJ558" s="741">
        <v>0</v>
      </c>
      <c r="AK558" s="741">
        <v>212</v>
      </c>
      <c r="AL558" s="741">
        <v>141</v>
      </c>
      <c r="AM558" s="742">
        <v>1765</v>
      </c>
      <c r="AN558" s="743">
        <f t="shared" si="26"/>
        <v>0.58662470495672703</v>
      </c>
      <c r="AO558" s="744">
        <f t="shared" si="27"/>
        <v>0.93494334014490066</v>
      </c>
      <c r="AP558" s="745">
        <f>'09월 에너지'!S560</f>
        <v>139.80000000000001</v>
      </c>
    </row>
    <row r="559" spans="1:42" ht="16.5" customHeight="1">
      <c r="A559" s="999">
        <f>'09월 조업일지'!A559</f>
        <v>46286</v>
      </c>
      <c r="B559" s="1100">
        <f>'09월 조업일지'!B559</f>
        <v>46286</v>
      </c>
      <c r="C559" s="730">
        <f>'09월 조업일지'!G559</f>
        <v>85761</v>
      </c>
      <c r="D559" s="731" t="str">
        <f>'09월 조업일지'!E559</f>
        <v>A</v>
      </c>
      <c r="E559" s="732" t="str">
        <f>'09월 조업일지'!F559</f>
        <v>B</v>
      </c>
      <c r="F559" s="1096" t="str">
        <f>'09월 에너지'!F561</f>
        <v>DKOIL</v>
      </c>
      <c r="G559" s="733">
        <v>16</v>
      </c>
      <c r="H559" s="734">
        <v>13</v>
      </c>
      <c r="I559" s="734">
        <v>47</v>
      </c>
      <c r="J559" s="734">
        <v>13</v>
      </c>
      <c r="K559" s="735">
        <v>27</v>
      </c>
      <c r="L559" s="734">
        <v>11</v>
      </c>
      <c r="M559" s="736">
        <v>11</v>
      </c>
      <c r="N559" s="737">
        <v>416</v>
      </c>
      <c r="O559" s="737"/>
      <c r="P559" s="737">
        <v>1001</v>
      </c>
      <c r="Q559" s="737">
        <v>950</v>
      </c>
      <c r="R559" s="737"/>
      <c r="S559" s="737"/>
      <c r="T559" s="737">
        <v>45</v>
      </c>
      <c r="U559" s="738"/>
      <c r="V559" s="739">
        <v>413</v>
      </c>
      <c r="W559" s="737"/>
      <c r="X559" s="737">
        <v>1002</v>
      </c>
      <c r="Y559" s="737">
        <v>902</v>
      </c>
      <c r="Z559" s="1202">
        <v>43</v>
      </c>
      <c r="AA559" s="740"/>
      <c r="AB559" s="739">
        <v>83</v>
      </c>
      <c r="AC559" s="741"/>
      <c r="AD559" s="741">
        <v>251</v>
      </c>
      <c r="AE559" s="741">
        <v>201</v>
      </c>
      <c r="AF559" s="741">
        <v>92</v>
      </c>
      <c r="AG559" s="741">
        <v>0</v>
      </c>
      <c r="AH559" s="741">
        <v>762</v>
      </c>
      <c r="AI559" s="741">
        <v>185</v>
      </c>
      <c r="AJ559" s="741">
        <v>0</v>
      </c>
      <c r="AK559" s="741">
        <v>217</v>
      </c>
      <c r="AL559" s="741">
        <v>152</v>
      </c>
      <c r="AM559" s="742">
        <v>2378</v>
      </c>
      <c r="AN559" s="743">
        <f t="shared" si="26"/>
        <v>0.49015003261578605</v>
      </c>
      <c r="AO559" s="744">
        <f t="shared" si="27"/>
        <v>0.86689163854518181</v>
      </c>
      <c r="AP559" s="745">
        <f>'09월 에너지'!S561</f>
        <v>144.5</v>
      </c>
    </row>
    <row r="560" spans="1:42" ht="16.5" customHeight="1">
      <c r="A560" s="999">
        <f>'09월 조업일지'!A560</f>
        <v>46286</v>
      </c>
      <c r="B560" s="1100">
        <f>'09월 조업일지'!B560</f>
        <v>46286</v>
      </c>
      <c r="C560" s="730">
        <f>'09월 조업일지'!G560</f>
        <v>85762</v>
      </c>
      <c r="D560" s="731" t="str">
        <f>'09월 조업일지'!E560</f>
        <v>A</v>
      </c>
      <c r="E560" s="732" t="str">
        <f>'09월 조업일지'!F560</f>
        <v>A</v>
      </c>
      <c r="F560" s="1096" t="str">
        <f>'09월 에너지'!F562</f>
        <v>DKOIL</v>
      </c>
      <c r="G560" s="733">
        <v>15</v>
      </c>
      <c r="H560" s="734">
        <v>13</v>
      </c>
      <c r="I560" s="734">
        <v>46</v>
      </c>
      <c r="J560" s="734">
        <v>13</v>
      </c>
      <c r="K560" s="735">
        <v>39</v>
      </c>
      <c r="L560" s="734">
        <v>14</v>
      </c>
      <c r="M560" s="736">
        <v>10</v>
      </c>
      <c r="N560" s="737">
        <v>406</v>
      </c>
      <c r="O560" s="737"/>
      <c r="P560" s="737">
        <v>1001</v>
      </c>
      <c r="Q560" s="737">
        <v>951</v>
      </c>
      <c r="R560" s="737"/>
      <c r="S560" s="737"/>
      <c r="T560" s="737">
        <v>49</v>
      </c>
      <c r="U560" s="738"/>
      <c r="V560" s="739">
        <v>415</v>
      </c>
      <c r="W560" s="737"/>
      <c r="X560" s="737">
        <v>1003</v>
      </c>
      <c r="Y560" s="737">
        <v>901</v>
      </c>
      <c r="Z560" s="1202">
        <v>49</v>
      </c>
      <c r="AA560" s="740"/>
      <c r="AB560" s="739">
        <v>79</v>
      </c>
      <c r="AC560" s="741"/>
      <c r="AD560" s="741">
        <v>267</v>
      </c>
      <c r="AE560" s="741">
        <v>201</v>
      </c>
      <c r="AF560" s="741">
        <v>90</v>
      </c>
      <c r="AG560" s="741">
        <v>0</v>
      </c>
      <c r="AH560" s="741">
        <v>772</v>
      </c>
      <c r="AI560" s="741">
        <v>184</v>
      </c>
      <c r="AJ560" s="741">
        <v>0</v>
      </c>
      <c r="AK560" s="741">
        <v>222</v>
      </c>
      <c r="AL560" s="741">
        <v>152</v>
      </c>
      <c r="AM560" s="742">
        <v>1925</v>
      </c>
      <c r="AN560" s="743">
        <f t="shared" si="26"/>
        <v>0.48741602067183459</v>
      </c>
      <c r="AO560" s="744">
        <f t="shared" si="27"/>
        <v>0.83236491487786823</v>
      </c>
      <c r="AP560" s="745">
        <f>'09월 에너지'!S562</f>
        <v>145.1</v>
      </c>
    </row>
    <row r="561" spans="1:42" ht="16.5" customHeight="1">
      <c r="A561" s="999">
        <f>'09월 조업일지'!A561</f>
        <v>46286</v>
      </c>
      <c r="B561" s="1100">
        <f>'09월 조업일지'!B561</f>
        <v>46286</v>
      </c>
      <c r="C561" s="730">
        <f>'09월 조업일지'!G561</f>
        <v>85763</v>
      </c>
      <c r="D561" s="731" t="str">
        <f>'09월 조업일지'!E561</f>
        <v>A</v>
      </c>
      <c r="E561" s="732" t="str">
        <f>'09월 조업일지'!F561</f>
        <v>B</v>
      </c>
      <c r="F561" s="1096" t="str">
        <f>'09월 에너지'!F563</f>
        <v>DKOIL</v>
      </c>
      <c r="G561" s="733">
        <v>14</v>
      </c>
      <c r="H561" s="734">
        <v>14</v>
      </c>
      <c r="I561" s="734">
        <v>51</v>
      </c>
      <c r="J561" s="734">
        <v>16</v>
      </c>
      <c r="K561" s="735">
        <v>44</v>
      </c>
      <c r="L561" s="734">
        <v>15</v>
      </c>
      <c r="M561" s="736">
        <v>12</v>
      </c>
      <c r="N561" s="737">
        <v>406</v>
      </c>
      <c r="O561" s="737"/>
      <c r="P561" s="737">
        <v>1003</v>
      </c>
      <c r="Q561" s="737">
        <v>952</v>
      </c>
      <c r="R561" s="737"/>
      <c r="S561" s="737"/>
      <c r="T561" s="737">
        <v>47</v>
      </c>
      <c r="U561" s="738"/>
      <c r="V561" s="739">
        <v>415</v>
      </c>
      <c r="W561" s="737"/>
      <c r="X561" s="737">
        <v>1011</v>
      </c>
      <c r="Y561" s="737">
        <v>904</v>
      </c>
      <c r="Z561" s="1202">
        <v>42</v>
      </c>
      <c r="AA561" s="740"/>
      <c r="AB561" s="739">
        <v>80</v>
      </c>
      <c r="AC561" s="741"/>
      <c r="AD561" s="741">
        <v>266</v>
      </c>
      <c r="AE561" s="741">
        <v>201</v>
      </c>
      <c r="AF561" s="741">
        <v>94</v>
      </c>
      <c r="AG561" s="741">
        <v>0</v>
      </c>
      <c r="AH561" s="741">
        <v>772</v>
      </c>
      <c r="AI561" s="741">
        <v>294</v>
      </c>
      <c r="AJ561" s="741">
        <v>0</v>
      </c>
      <c r="AK561" s="741">
        <v>220</v>
      </c>
      <c r="AL561" s="741">
        <v>156</v>
      </c>
      <c r="AM561" s="742">
        <v>1854</v>
      </c>
      <c r="AN561" s="743">
        <f t="shared" si="26"/>
        <v>0.42421524663677129</v>
      </c>
      <c r="AO561" s="744">
        <f t="shared" si="27"/>
        <v>0.94529977794226494</v>
      </c>
      <c r="AP561" s="745">
        <f>'09월 에너지'!S563</f>
        <v>141.9</v>
      </c>
    </row>
    <row r="562" spans="1:42" ht="16.5" customHeight="1">
      <c r="A562" s="999">
        <f>'09월 조업일지'!A562</f>
        <v>46286</v>
      </c>
      <c r="B562" s="1100">
        <f>'09월 조업일지'!B562</f>
        <v>46286</v>
      </c>
      <c r="C562" s="730">
        <f>'09월 조업일지'!G562</f>
        <v>85764</v>
      </c>
      <c r="D562" s="731" t="str">
        <f>'09월 조업일지'!E562</f>
        <v>A</v>
      </c>
      <c r="E562" s="732" t="str">
        <f>'09월 조업일지'!F562</f>
        <v>A</v>
      </c>
      <c r="F562" s="1096" t="str">
        <f>'09월 에너지'!F564</f>
        <v>DKOIL</v>
      </c>
      <c r="G562" s="733">
        <v>14</v>
      </c>
      <c r="H562" s="734">
        <v>11</v>
      </c>
      <c r="I562" s="734">
        <v>45</v>
      </c>
      <c r="J562" s="734">
        <v>15</v>
      </c>
      <c r="K562" s="735">
        <v>30</v>
      </c>
      <c r="L562" s="734">
        <v>14</v>
      </c>
      <c r="M562" s="736">
        <v>18</v>
      </c>
      <c r="N562" s="737">
        <v>411</v>
      </c>
      <c r="O562" s="737"/>
      <c r="P562" s="737">
        <v>1010</v>
      </c>
      <c r="Q562" s="737">
        <v>951</v>
      </c>
      <c r="R562" s="737"/>
      <c r="S562" s="737"/>
      <c r="T562" s="737">
        <v>55</v>
      </c>
      <c r="U562" s="738"/>
      <c r="V562" s="739">
        <v>410</v>
      </c>
      <c r="W562" s="737"/>
      <c r="X562" s="737">
        <v>1013</v>
      </c>
      <c r="Y562" s="737">
        <v>903</v>
      </c>
      <c r="Z562" s="1202">
        <v>48</v>
      </c>
      <c r="AA562" s="740"/>
      <c r="AB562" s="739">
        <v>83</v>
      </c>
      <c r="AC562" s="741"/>
      <c r="AD562" s="741">
        <v>260</v>
      </c>
      <c r="AE562" s="741">
        <v>200</v>
      </c>
      <c r="AF562" s="741">
        <v>95</v>
      </c>
      <c r="AG562" s="741">
        <v>0</v>
      </c>
      <c r="AH562" s="741">
        <v>770</v>
      </c>
      <c r="AI562" s="741">
        <v>186</v>
      </c>
      <c r="AJ562" s="741">
        <v>0</v>
      </c>
      <c r="AK562" s="741">
        <v>213</v>
      </c>
      <c r="AL562" s="741">
        <v>145</v>
      </c>
      <c r="AM562" s="742">
        <v>2251</v>
      </c>
      <c r="AN562" s="743">
        <f t="shared" si="26"/>
        <v>0.41293103448275859</v>
      </c>
      <c r="AO562" s="744">
        <f t="shared" si="27"/>
        <v>0.79981447124304272</v>
      </c>
      <c r="AP562" s="745">
        <f>'09월 에너지'!S564</f>
        <v>143.69999999999999</v>
      </c>
    </row>
    <row r="563" spans="1:42" ht="16.5" customHeight="1">
      <c r="A563" s="999">
        <f>'09월 조업일지'!A563</f>
        <v>46286</v>
      </c>
      <c r="B563" s="1100">
        <f>'09월 조업일지'!B563</f>
        <v>46286</v>
      </c>
      <c r="C563" s="730">
        <f>'09월 조업일지'!G563</f>
        <v>85765</v>
      </c>
      <c r="D563" s="731" t="str">
        <f>'09월 조업일지'!E563</f>
        <v>A</v>
      </c>
      <c r="E563" s="732" t="str">
        <f>'09월 조업일지'!F563</f>
        <v>B</v>
      </c>
      <c r="F563" s="1096" t="str">
        <f>'09월 에너지'!F565</f>
        <v>DKOIL</v>
      </c>
      <c r="G563" s="733">
        <v>16</v>
      </c>
      <c r="H563" s="734">
        <v>14</v>
      </c>
      <c r="I563" s="734">
        <v>56</v>
      </c>
      <c r="J563" s="734">
        <v>19</v>
      </c>
      <c r="K563" s="735">
        <v>32</v>
      </c>
      <c r="L563" s="734">
        <v>12</v>
      </c>
      <c r="M563" s="736">
        <v>12</v>
      </c>
      <c r="N563" s="737">
        <v>419</v>
      </c>
      <c r="O563" s="737"/>
      <c r="P563" s="737">
        <v>1019</v>
      </c>
      <c r="Q563" s="737">
        <v>952</v>
      </c>
      <c r="R563" s="737"/>
      <c r="S563" s="737"/>
      <c r="T563" s="737">
        <v>48</v>
      </c>
      <c r="U563" s="738"/>
      <c r="V563" s="739">
        <v>408</v>
      </c>
      <c r="W563" s="737"/>
      <c r="X563" s="737">
        <v>1015</v>
      </c>
      <c r="Y563" s="737">
        <v>903</v>
      </c>
      <c r="Z563" s="1202">
        <v>41</v>
      </c>
      <c r="AA563" s="740"/>
      <c r="AB563" s="739">
        <v>87</v>
      </c>
      <c r="AC563" s="741"/>
      <c r="AD563" s="741">
        <v>261</v>
      </c>
      <c r="AE563" s="741">
        <v>200</v>
      </c>
      <c r="AF563" s="741">
        <v>93</v>
      </c>
      <c r="AG563" s="741">
        <v>0</v>
      </c>
      <c r="AH563" s="741">
        <v>770</v>
      </c>
      <c r="AI563" s="741">
        <v>177</v>
      </c>
      <c r="AJ563" s="741">
        <v>0</v>
      </c>
      <c r="AK563" s="741">
        <v>220</v>
      </c>
      <c r="AL563" s="741">
        <v>157</v>
      </c>
      <c r="AM563" s="742">
        <v>1711</v>
      </c>
      <c r="AN563" s="743">
        <f t="shared" si="26"/>
        <v>0.5180276134122288</v>
      </c>
      <c r="AO563" s="744">
        <f t="shared" si="27"/>
        <v>1.0702597402597402</v>
      </c>
      <c r="AP563" s="745">
        <f>'09월 에너지'!S565</f>
        <v>140.69999999999999</v>
      </c>
    </row>
    <row r="564" spans="1:42" ht="16.5" customHeight="1">
      <c r="A564" s="999">
        <f>'09월 조업일지'!A564</f>
        <v>46286</v>
      </c>
      <c r="B564" s="1100">
        <f>'09월 조업일지'!B564</f>
        <v>46286</v>
      </c>
      <c r="C564" s="730">
        <f>'09월 조업일지'!G564</f>
        <v>85766</v>
      </c>
      <c r="D564" s="731" t="str">
        <f>'09월 조업일지'!E564</f>
        <v>A</v>
      </c>
      <c r="E564" s="732" t="str">
        <f>'09월 조업일지'!F564</f>
        <v>A</v>
      </c>
      <c r="F564" s="1096" t="str">
        <f>'09월 에너지'!F566</f>
        <v>DKOIL</v>
      </c>
      <c r="G564" s="733">
        <v>16</v>
      </c>
      <c r="H564" s="734">
        <v>17</v>
      </c>
      <c r="I564" s="734">
        <v>52</v>
      </c>
      <c r="J564" s="734">
        <v>16</v>
      </c>
      <c r="K564" s="735">
        <v>29</v>
      </c>
      <c r="L564" s="734">
        <v>14</v>
      </c>
      <c r="M564" s="736">
        <v>16</v>
      </c>
      <c r="N564" s="737">
        <v>411</v>
      </c>
      <c r="O564" s="737"/>
      <c r="P564" s="737">
        <v>1013</v>
      </c>
      <c r="Q564" s="737">
        <v>951</v>
      </c>
      <c r="R564" s="737"/>
      <c r="S564" s="737"/>
      <c r="T564" s="737">
        <v>48</v>
      </c>
      <c r="U564" s="738"/>
      <c r="V564" s="739">
        <v>412</v>
      </c>
      <c r="W564" s="737"/>
      <c r="X564" s="737">
        <v>1014</v>
      </c>
      <c r="Y564" s="737">
        <v>903</v>
      </c>
      <c r="Z564" s="1202">
        <v>38</v>
      </c>
      <c r="AA564" s="740"/>
      <c r="AB564" s="739">
        <v>85</v>
      </c>
      <c r="AC564" s="741"/>
      <c r="AD564" s="741">
        <v>260</v>
      </c>
      <c r="AE564" s="741">
        <v>200</v>
      </c>
      <c r="AF564" s="741">
        <v>97</v>
      </c>
      <c r="AG564" s="741">
        <v>0</v>
      </c>
      <c r="AH564" s="741">
        <v>773</v>
      </c>
      <c r="AI564" s="741">
        <v>184</v>
      </c>
      <c r="AJ564" s="741">
        <v>0</v>
      </c>
      <c r="AK564" s="741">
        <v>222</v>
      </c>
      <c r="AL564" s="741">
        <v>148</v>
      </c>
      <c r="AM564" s="742">
        <v>2555</v>
      </c>
      <c r="AN564" s="743">
        <f t="shared" si="26"/>
        <v>0.61826165568900948</v>
      </c>
      <c r="AO564" s="744">
        <f t="shared" si="27"/>
        <v>0.96277952319349491</v>
      </c>
      <c r="AP564" s="745">
        <f>'09월 에너지'!S566</f>
        <v>140.80000000000001</v>
      </c>
    </row>
    <row r="565" spans="1:42" ht="16.5" customHeight="1">
      <c r="A565" s="999">
        <f>'09월 조업일지'!A565</f>
        <v>46286</v>
      </c>
      <c r="B565" s="1100">
        <f>'09월 조업일지'!B565</f>
        <v>46286</v>
      </c>
      <c r="C565" s="730">
        <f>'09월 조업일지'!G565</f>
        <v>85767</v>
      </c>
      <c r="D565" s="731" t="str">
        <f>'09월 조업일지'!E565</f>
        <v>A</v>
      </c>
      <c r="E565" s="732" t="str">
        <f>'09월 조업일지'!F565</f>
        <v>B</v>
      </c>
      <c r="F565" s="1096" t="str">
        <f>'09월 에너지'!F567</f>
        <v>DKOIL</v>
      </c>
      <c r="G565" s="733">
        <v>14</v>
      </c>
      <c r="H565" s="734">
        <v>22</v>
      </c>
      <c r="I565" s="734">
        <v>55</v>
      </c>
      <c r="J565" s="734">
        <v>18</v>
      </c>
      <c r="K565" s="735">
        <v>26</v>
      </c>
      <c r="L565" s="734">
        <v>10</v>
      </c>
      <c r="M565" s="736">
        <v>9</v>
      </c>
      <c r="N565" s="737">
        <v>407</v>
      </c>
      <c r="O565" s="737"/>
      <c r="P565" s="737">
        <v>1015</v>
      </c>
      <c r="Q565" s="737">
        <v>951</v>
      </c>
      <c r="R565" s="737"/>
      <c r="S565" s="737"/>
      <c r="T565" s="737">
        <v>51</v>
      </c>
      <c r="U565" s="738"/>
      <c r="V565" s="739">
        <v>416</v>
      </c>
      <c r="W565" s="737"/>
      <c r="X565" s="737">
        <v>1009</v>
      </c>
      <c r="Y565" s="737">
        <v>903</v>
      </c>
      <c r="Z565" s="1202">
        <v>43</v>
      </c>
      <c r="AA565" s="740"/>
      <c r="AB565" s="739">
        <v>77</v>
      </c>
      <c r="AC565" s="741"/>
      <c r="AD565" s="741">
        <v>262</v>
      </c>
      <c r="AE565" s="741">
        <v>200</v>
      </c>
      <c r="AF565" s="741">
        <v>99</v>
      </c>
      <c r="AG565" s="741">
        <v>0</v>
      </c>
      <c r="AH565" s="741">
        <v>775</v>
      </c>
      <c r="AI565" s="741">
        <v>293</v>
      </c>
      <c r="AJ565" s="741">
        <v>0</v>
      </c>
      <c r="AK565" s="741">
        <v>212</v>
      </c>
      <c r="AL565" s="741">
        <v>155</v>
      </c>
      <c r="AM565" s="742">
        <v>2348</v>
      </c>
      <c r="AN565" s="743">
        <f t="shared" si="26"/>
        <v>0.67918825561312612</v>
      </c>
      <c r="AO565" s="744">
        <f t="shared" si="27"/>
        <v>1.0543778801843318</v>
      </c>
      <c r="AP565" s="745">
        <f>'09월 에너지'!S567</f>
        <v>143</v>
      </c>
    </row>
    <row r="566" spans="1:42" ht="16.5" customHeight="1">
      <c r="A566" s="999">
        <f>'09월 조업일지'!A566</f>
        <v>46286</v>
      </c>
      <c r="B566" s="1100">
        <f>'09월 조업일지'!B566</f>
        <v>46286</v>
      </c>
      <c r="C566" s="730">
        <f>'09월 조업일지'!G566</f>
        <v>85768</v>
      </c>
      <c r="D566" s="731" t="str">
        <f>'09월 조업일지'!E566</f>
        <v>A</v>
      </c>
      <c r="E566" s="732" t="str">
        <f>'09월 조업일지'!F566</f>
        <v>A</v>
      </c>
      <c r="F566" s="1096" t="str">
        <f>'09월 에너지'!F568</f>
        <v>DKOIL</v>
      </c>
      <c r="G566" s="733">
        <v>18</v>
      </c>
      <c r="H566" s="734">
        <v>18</v>
      </c>
      <c r="I566" s="734">
        <v>49</v>
      </c>
      <c r="J566" s="734">
        <v>15</v>
      </c>
      <c r="K566" s="735">
        <v>27</v>
      </c>
      <c r="L566" s="734">
        <v>14</v>
      </c>
      <c r="M566" s="736">
        <v>24</v>
      </c>
      <c r="N566" s="737">
        <v>410</v>
      </c>
      <c r="O566" s="737"/>
      <c r="P566" s="737">
        <v>1012</v>
      </c>
      <c r="Q566" s="737">
        <v>951</v>
      </c>
      <c r="R566" s="737"/>
      <c r="S566" s="737"/>
      <c r="T566" s="737">
        <v>46</v>
      </c>
      <c r="U566" s="738"/>
      <c r="V566" s="739">
        <v>418</v>
      </c>
      <c r="W566" s="737"/>
      <c r="X566" s="737">
        <v>1013</v>
      </c>
      <c r="Y566" s="737">
        <v>902</v>
      </c>
      <c r="Z566" s="1202">
        <v>45</v>
      </c>
      <c r="AA566" s="740"/>
      <c r="AB566" s="739">
        <v>89</v>
      </c>
      <c r="AC566" s="741"/>
      <c r="AD566" s="741">
        <v>259</v>
      </c>
      <c r="AE566" s="741">
        <v>201</v>
      </c>
      <c r="AF566" s="741">
        <v>91</v>
      </c>
      <c r="AG566" s="741">
        <v>0</v>
      </c>
      <c r="AH566" s="741">
        <v>765</v>
      </c>
      <c r="AI566" s="741">
        <v>176</v>
      </c>
      <c r="AJ566" s="741">
        <v>0</v>
      </c>
      <c r="AK566" s="741">
        <v>225</v>
      </c>
      <c r="AL566" s="741">
        <v>141</v>
      </c>
      <c r="AM566" s="742">
        <v>2976</v>
      </c>
      <c r="AN566" s="743">
        <f t="shared" si="26"/>
        <v>0.68133595284872306</v>
      </c>
      <c r="AO566" s="744">
        <f t="shared" si="27"/>
        <v>0.91746031746031753</v>
      </c>
      <c r="AP566" s="745">
        <f>'09월 에너지'!S568</f>
        <v>144.5</v>
      </c>
    </row>
    <row r="567" spans="1:42" ht="16.5" customHeight="1">
      <c r="A567" s="999">
        <f>'09월 조업일지'!A567</f>
        <v>46286</v>
      </c>
      <c r="B567" s="1100">
        <f>'09월 조업일지'!B567</f>
        <v>46286</v>
      </c>
      <c r="C567" s="730">
        <f>'09월 조업일지'!G567</f>
        <v>85769</v>
      </c>
      <c r="D567" s="731" t="str">
        <f>'09월 조업일지'!E567</f>
        <v>A</v>
      </c>
      <c r="E567" s="732" t="str">
        <f>'09월 조업일지'!F567</f>
        <v>B</v>
      </c>
      <c r="F567" s="1096" t="str">
        <f>'09월 에너지'!F569</f>
        <v>DKOIL</v>
      </c>
      <c r="G567" s="733">
        <v>14</v>
      </c>
      <c r="H567" s="734">
        <v>21</v>
      </c>
      <c r="I567" s="734">
        <v>59</v>
      </c>
      <c r="J567" s="734">
        <v>14</v>
      </c>
      <c r="K567" s="735">
        <v>39</v>
      </c>
      <c r="L567" s="734">
        <v>16</v>
      </c>
      <c r="M567" s="736">
        <v>10</v>
      </c>
      <c r="N567" s="737">
        <v>412</v>
      </c>
      <c r="O567" s="737"/>
      <c r="P567" s="737">
        <v>1011</v>
      </c>
      <c r="Q567" s="737">
        <v>952</v>
      </c>
      <c r="R567" s="737"/>
      <c r="S567" s="737"/>
      <c r="T567" s="737">
        <v>53</v>
      </c>
      <c r="U567" s="738"/>
      <c r="V567" s="739">
        <v>405</v>
      </c>
      <c r="W567" s="737"/>
      <c r="X567" s="737">
        <v>1007</v>
      </c>
      <c r="Y567" s="737">
        <v>903</v>
      </c>
      <c r="Z567" s="1202">
        <v>42</v>
      </c>
      <c r="AA567" s="740"/>
      <c r="AB567" s="739">
        <v>85</v>
      </c>
      <c r="AC567" s="741"/>
      <c r="AD567" s="741">
        <v>267</v>
      </c>
      <c r="AE567" s="741">
        <v>201</v>
      </c>
      <c r="AF567" s="741">
        <v>96</v>
      </c>
      <c r="AG567" s="741"/>
      <c r="AH567" s="741">
        <v>770</v>
      </c>
      <c r="AI567" s="741">
        <v>298</v>
      </c>
      <c r="AJ567" s="741"/>
      <c r="AK567" s="741">
        <v>220</v>
      </c>
      <c r="AL567" s="741">
        <v>139</v>
      </c>
      <c r="AM567" s="742">
        <v>2489</v>
      </c>
      <c r="AN567" s="743">
        <f t="shared" si="26"/>
        <v>0.63222929936305727</v>
      </c>
      <c r="AO567" s="744">
        <f t="shared" si="27"/>
        <v>1.1575510204081632</v>
      </c>
      <c r="AP567" s="745">
        <f>'09월 에너지'!S569</f>
        <v>141.80000000000001</v>
      </c>
    </row>
    <row r="568" spans="1:42" ht="16.5" customHeight="1">
      <c r="A568" s="999">
        <f>'09월 조업일지'!A568</f>
        <v>46286</v>
      </c>
      <c r="B568" s="1100">
        <f>'09월 조업일지'!B568</f>
        <v>46286</v>
      </c>
      <c r="C568" s="730">
        <f>'09월 조업일지'!G568</f>
        <v>85770</v>
      </c>
      <c r="D568" s="731" t="str">
        <f>'09월 조업일지'!E568</f>
        <v>C</v>
      </c>
      <c r="E568" s="732" t="str">
        <f>'09월 조업일지'!F568</f>
        <v>A</v>
      </c>
      <c r="F568" s="1096" t="str">
        <f>'09월 에너지'!F570</f>
        <v>DKOIL</v>
      </c>
      <c r="G568" s="733">
        <v>16</v>
      </c>
      <c r="H568" s="734">
        <v>16</v>
      </c>
      <c r="I568" s="734">
        <v>51</v>
      </c>
      <c r="J568" s="734">
        <v>16</v>
      </c>
      <c r="K568" s="735">
        <v>37</v>
      </c>
      <c r="L568" s="734">
        <v>13</v>
      </c>
      <c r="M568" s="736">
        <v>17</v>
      </c>
      <c r="N568" s="737">
        <v>416</v>
      </c>
      <c r="O568" s="737"/>
      <c r="P568" s="737">
        <v>1015</v>
      </c>
      <c r="Q568" s="737">
        <v>952</v>
      </c>
      <c r="R568" s="737"/>
      <c r="S568" s="737"/>
      <c r="T568" s="737">
        <v>45</v>
      </c>
      <c r="U568" s="738"/>
      <c r="V568" s="739">
        <v>405</v>
      </c>
      <c r="W568" s="737"/>
      <c r="X568" s="737">
        <v>1011</v>
      </c>
      <c r="Y568" s="737">
        <v>901</v>
      </c>
      <c r="Z568" s="1202">
        <v>48</v>
      </c>
      <c r="AA568" s="740"/>
      <c r="AB568" s="739">
        <v>86</v>
      </c>
      <c r="AC568" s="741"/>
      <c r="AD568" s="741">
        <v>260</v>
      </c>
      <c r="AE568" s="741">
        <v>201</v>
      </c>
      <c r="AF568" s="741">
        <v>91</v>
      </c>
      <c r="AG568" s="741"/>
      <c r="AH568" s="741">
        <v>773</v>
      </c>
      <c r="AI568" s="741">
        <v>188</v>
      </c>
      <c r="AJ568" s="741"/>
      <c r="AK568" s="741">
        <v>215</v>
      </c>
      <c r="AL568" s="741">
        <v>141</v>
      </c>
      <c r="AM568" s="742">
        <v>2057</v>
      </c>
      <c r="AN568" s="743">
        <f t="shared" si="26"/>
        <v>0.58162974478559393</v>
      </c>
      <c r="AO568" s="744">
        <f t="shared" si="27"/>
        <v>0.93343189798558501</v>
      </c>
      <c r="AP568" s="745">
        <f>'09월 에너지'!S570</f>
        <v>140.30000000000001</v>
      </c>
    </row>
    <row r="569" spans="1:42" ht="16.5" customHeight="1">
      <c r="A569" s="999">
        <f>'09월 조업일지'!A569</f>
        <v>46286</v>
      </c>
      <c r="B569" s="1100">
        <f>'09월 조업일지'!B569</f>
        <v>46286</v>
      </c>
      <c r="C569" s="730">
        <f>'09월 조업일지'!G569</f>
        <v>85771</v>
      </c>
      <c r="D569" s="731" t="str">
        <f>'09월 조업일지'!E569</f>
        <v>C</v>
      </c>
      <c r="E569" s="732" t="str">
        <f>'09월 조업일지'!F569</f>
        <v>B</v>
      </c>
      <c r="F569" s="1096" t="str">
        <f>'09월 에너지'!F571</f>
        <v>DKOIL</v>
      </c>
      <c r="G569" s="733">
        <v>23</v>
      </c>
      <c r="H569" s="734">
        <v>17</v>
      </c>
      <c r="I569" s="734">
        <v>61</v>
      </c>
      <c r="J569" s="734">
        <v>17</v>
      </c>
      <c r="K569" s="735">
        <v>44</v>
      </c>
      <c r="L569" s="734">
        <v>13</v>
      </c>
      <c r="M569" s="736">
        <v>7</v>
      </c>
      <c r="N569" s="737">
        <v>416</v>
      </c>
      <c r="O569" s="737"/>
      <c r="P569" s="737">
        <v>1018</v>
      </c>
      <c r="Q569" s="737">
        <v>951</v>
      </c>
      <c r="R569" s="737"/>
      <c r="S569" s="737"/>
      <c r="T569" s="737">
        <v>49</v>
      </c>
      <c r="U569" s="738"/>
      <c r="V569" s="739">
        <v>420</v>
      </c>
      <c r="W569" s="737"/>
      <c r="X569" s="737">
        <v>1009</v>
      </c>
      <c r="Y569" s="737">
        <v>902</v>
      </c>
      <c r="Z569" s="1202">
        <v>46</v>
      </c>
      <c r="AA569" s="740"/>
      <c r="AB569" s="739">
        <v>90</v>
      </c>
      <c r="AC569" s="741"/>
      <c r="AD569" s="741">
        <v>266</v>
      </c>
      <c r="AE569" s="741">
        <v>200</v>
      </c>
      <c r="AF569" s="741">
        <v>98</v>
      </c>
      <c r="AG569" s="741"/>
      <c r="AH569" s="741">
        <v>767</v>
      </c>
      <c r="AI569" s="741">
        <v>184</v>
      </c>
      <c r="AJ569" s="741"/>
      <c r="AK569" s="741">
        <v>216</v>
      </c>
      <c r="AL569" s="741">
        <v>154</v>
      </c>
      <c r="AM569" s="742">
        <v>2185</v>
      </c>
      <c r="AN569" s="743">
        <f t="shared" si="26"/>
        <v>0.63486214556383125</v>
      </c>
      <c r="AO569" s="744">
        <f t="shared" si="27"/>
        <v>1.2243248277146583</v>
      </c>
      <c r="AP569" s="745">
        <f>'09월 에너지'!S571</f>
        <v>142.9</v>
      </c>
    </row>
    <row r="570" spans="1:42" ht="16.5" customHeight="1">
      <c r="A570" s="999">
        <f>'09월 조업일지'!A570</f>
        <v>46286</v>
      </c>
      <c r="B570" s="1100">
        <f>'09월 조업일지'!B570</f>
        <v>46286</v>
      </c>
      <c r="C570" s="730">
        <f>'09월 조업일지'!G570</f>
        <v>85772</v>
      </c>
      <c r="D570" s="731" t="str">
        <f>'09월 조업일지'!E570</f>
        <v>C</v>
      </c>
      <c r="E570" s="732" t="str">
        <f>'09월 조업일지'!F570</f>
        <v>A</v>
      </c>
      <c r="F570" s="1096" t="str">
        <f>'09월 에너지'!F572</f>
        <v>DKOIL</v>
      </c>
      <c r="G570" s="733">
        <v>14</v>
      </c>
      <c r="H570" s="734">
        <v>17</v>
      </c>
      <c r="I570" s="734">
        <v>55</v>
      </c>
      <c r="J570" s="734">
        <v>16</v>
      </c>
      <c r="K570" s="735">
        <v>36</v>
      </c>
      <c r="L570" s="734">
        <v>14</v>
      </c>
      <c r="M570" s="736">
        <v>11</v>
      </c>
      <c r="N570" s="737">
        <v>406</v>
      </c>
      <c r="O570" s="737"/>
      <c r="P570" s="737">
        <v>1014</v>
      </c>
      <c r="Q570" s="737">
        <v>951</v>
      </c>
      <c r="R570" s="737"/>
      <c r="S570" s="737"/>
      <c r="T570" s="737">
        <v>48</v>
      </c>
      <c r="U570" s="738"/>
      <c r="V570" s="739">
        <v>412</v>
      </c>
      <c r="W570" s="737"/>
      <c r="X570" s="737">
        <v>1014</v>
      </c>
      <c r="Y570" s="737">
        <v>902</v>
      </c>
      <c r="Z570" s="1202">
        <v>47</v>
      </c>
      <c r="AA570" s="740"/>
      <c r="AB570" s="739">
        <v>85</v>
      </c>
      <c r="AC570" s="741"/>
      <c r="AD570" s="741">
        <v>263</v>
      </c>
      <c r="AE570" s="741">
        <v>200</v>
      </c>
      <c r="AF570" s="741">
        <v>91</v>
      </c>
      <c r="AG570" s="741"/>
      <c r="AH570" s="741">
        <v>775</v>
      </c>
      <c r="AI570" s="741">
        <v>190</v>
      </c>
      <c r="AJ570" s="741"/>
      <c r="AK570" s="741">
        <v>216</v>
      </c>
      <c r="AL570" s="741">
        <v>152</v>
      </c>
      <c r="AM570" s="742">
        <v>2788</v>
      </c>
      <c r="AN570" s="743">
        <f t="shared" si="26"/>
        <v>0.63429895712630358</v>
      </c>
      <c r="AO570" s="744">
        <f t="shared" si="27"/>
        <v>1.0683870967741935</v>
      </c>
      <c r="AP570" s="745">
        <f>'09월 에너지'!S572</f>
        <v>144.9</v>
      </c>
    </row>
    <row r="571" spans="1:42" ht="16.5" customHeight="1">
      <c r="A571" s="999">
        <f>'09월 조업일지'!A571</f>
        <v>46286</v>
      </c>
      <c r="B571" s="1100">
        <f>'09월 조업일지'!B571</f>
        <v>46286</v>
      </c>
      <c r="C571" s="730">
        <f>'09월 조업일지'!G571</f>
        <v>85773</v>
      </c>
      <c r="D571" s="731" t="str">
        <f>'09월 조업일지'!E571</f>
        <v>C</v>
      </c>
      <c r="E571" s="732" t="str">
        <f>'09월 조업일지'!F571</f>
        <v>B</v>
      </c>
      <c r="F571" s="1096" t="str">
        <f>'09월 에너지'!F573</f>
        <v>DKOIL</v>
      </c>
      <c r="G571" s="733">
        <v>13</v>
      </c>
      <c r="H571" s="734">
        <v>12</v>
      </c>
      <c r="I571" s="734">
        <v>47</v>
      </c>
      <c r="J571" s="734">
        <v>13</v>
      </c>
      <c r="K571" s="735">
        <v>31</v>
      </c>
      <c r="L571" s="734">
        <v>11</v>
      </c>
      <c r="M571" s="736">
        <v>8</v>
      </c>
      <c r="N571" s="737">
        <v>411</v>
      </c>
      <c r="O571" s="737"/>
      <c r="P571" s="737">
        <v>1011</v>
      </c>
      <c r="Q571" s="737">
        <v>951</v>
      </c>
      <c r="R571" s="737"/>
      <c r="S571" s="737"/>
      <c r="T571" s="737">
        <v>53</v>
      </c>
      <c r="U571" s="738"/>
      <c r="V571" s="739">
        <v>412</v>
      </c>
      <c r="W571" s="737"/>
      <c r="X571" s="737">
        <v>1016</v>
      </c>
      <c r="Y571" s="737">
        <v>901</v>
      </c>
      <c r="Z571" s="1202">
        <v>42</v>
      </c>
      <c r="AA571" s="740"/>
      <c r="AB571" s="739">
        <v>77</v>
      </c>
      <c r="AC571" s="741"/>
      <c r="AD571" s="741">
        <v>263</v>
      </c>
      <c r="AE571" s="741">
        <v>201</v>
      </c>
      <c r="AF571" s="741">
        <v>87</v>
      </c>
      <c r="AG571" s="741"/>
      <c r="AH571" s="741">
        <v>768</v>
      </c>
      <c r="AI571" s="741">
        <v>182</v>
      </c>
      <c r="AJ571" s="741"/>
      <c r="AK571" s="741">
        <v>216</v>
      </c>
      <c r="AL571" s="741">
        <v>138</v>
      </c>
      <c r="AM571" s="742">
        <v>1267</v>
      </c>
      <c r="AN571" s="743">
        <f t="shared" si="26"/>
        <v>0.44626278520849727</v>
      </c>
      <c r="AO571" s="744">
        <f t="shared" si="27"/>
        <v>0.84404761904761916</v>
      </c>
      <c r="AP571" s="745">
        <f>'09월 에너지'!S573</f>
        <v>141.80000000000001</v>
      </c>
    </row>
    <row r="572" spans="1:42" ht="16.5" customHeight="1">
      <c r="A572" s="999">
        <f>'09월 조업일지'!A572</f>
        <v>46286</v>
      </c>
      <c r="B572" s="1100">
        <f>'09월 조업일지'!B572</f>
        <v>46286</v>
      </c>
      <c r="C572" s="730">
        <f>'09월 조업일지'!G572</f>
        <v>85774</v>
      </c>
      <c r="D572" s="731" t="str">
        <f>'09월 조업일지'!E572</f>
        <v>C</v>
      </c>
      <c r="E572" s="732" t="str">
        <f>'09월 조업일지'!F572</f>
        <v>A</v>
      </c>
      <c r="F572" s="1096" t="str">
        <f>'09월 에너지'!F574</f>
        <v>DKOIL</v>
      </c>
      <c r="G572" s="733">
        <v>13</v>
      </c>
      <c r="H572" s="734">
        <v>12</v>
      </c>
      <c r="I572" s="734">
        <v>45</v>
      </c>
      <c r="J572" s="734">
        <v>12</v>
      </c>
      <c r="K572" s="735">
        <v>32</v>
      </c>
      <c r="L572" s="734">
        <v>12</v>
      </c>
      <c r="M572" s="736">
        <v>13</v>
      </c>
      <c r="N572" s="737">
        <v>421</v>
      </c>
      <c r="O572" s="737"/>
      <c r="P572" s="737">
        <v>1017</v>
      </c>
      <c r="Q572" s="737">
        <v>954</v>
      </c>
      <c r="R572" s="737"/>
      <c r="S572" s="737"/>
      <c r="T572" s="737">
        <v>46</v>
      </c>
      <c r="U572" s="738"/>
      <c r="V572" s="739">
        <v>418</v>
      </c>
      <c r="W572" s="737"/>
      <c r="X572" s="737">
        <v>1013</v>
      </c>
      <c r="Y572" s="737">
        <v>905</v>
      </c>
      <c r="Z572" s="1202">
        <v>43</v>
      </c>
      <c r="AA572" s="740"/>
      <c r="AB572" s="739">
        <v>87</v>
      </c>
      <c r="AC572" s="741"/>
      <c r="AD572" s="741">
        <v>267</v>
      </c>
      <c r="AE572" s="741">
        <v>200</v>
      </c>
      <c r="AF572" s="741">
        <v>92</v>
      </c>
      <c r="AG572" s="741"/>
      <c r="AH572" s="741">
        <v>772</v>
      </c>
      <c r="AI572" s="741">
        <v>183</v>
      </c>
      <c r="AJ572" s="741"/>
      <c r="AK572" s="741">
        <v>219</v>
      </c>
      <c r="AL572" s="741">
        <v>137</v>
      </c>
      <c r="AM572" s="742">
        <v>3495</v>
      </c>
      <c r="AN572" s="743">
        <f t="shared" si="26"/>
        <v>0.4582130316035895</v>
      </c>
      <c r="AO572" s="744">
        <f t="shared" si="27"/>
        <v>0.81495188749074754</v>
      </c>
      <c r="AP572" s="745">
        <f>'09월 에너지'!S574</f>
        <v>146.80000000000001</v>
      </c>
    </row>
    <row r="573" spans="1:42" ht="16.5" customHeight="1">
      <c r="A573" s="999">
        <f>'09월 조업일지'!A573</f>
        <v>46286</v>
      </c>
      <c r="B573" s="1100">
        <f>'09월 조업일지'!B573</f>
        <v>46286</v>
      </c>
      <c r="C573" s="730">
        <f>'09월 조업일지'!G573</f>
        <v>85775</v>
      </c>
      <c r="D573" s="731" t="str">
        <f>'09월 조업일지'!E573</f>
        <v>C</v>
      </c>
      <c r="E573" s="732" t="str">
        <f>'09월 조업일지'!F573</f>
        <v>B</v>
      </c>
      <c r="F573" s="1096" t="str">
        <f>'09월 에너지'!F575</f>
        <v>DKOIL</v>
      </c>
      <c r="G573" s="733">
        <v>14</v>
      </c>
      <c r="H573" s="734">
        <v>16</v>
      </c>
      <c r="I573" s="734">
        <v>49</v>
      </c>
      <c r="J573" s="734">
        <v>15</v>
      </c>
      <c r="K573" s="735">
        <v>39</v>
      </c>
      <c r="L573" s="734">
        <v>13</v>
      </c>
      <c r="M573" s="736">
        <v>10</v>
      </c>
      <c r="N573" s="737">
        <v>421</v>
      </c>
      <c r="O573" s="737"/>
      <c r="P573" s="737">
        <v>1009</v>
      </c>
      <c r="Q573" s="737">
        <v>950</v>
      </c>
      <c r="R573" s="737"/>
      <c r="S573" s="737"/>
      <c r="T573" s="737">
        <v>51</v>
      </c>
      <c r="U573" s="738"/>
      <c r="V573" s="739">
        <v>417</v>
      </c>
      <c r="W573" s="737"/>
      <c r="X573" s="737">
        <v>1010</v>
      </c>
      <c r="Y573" s="737">
        <v>901</v>
      </c>
      <c r="Z573" s="1202">
        <v>47</v>
      </c>
      <c r="AA573" s="740"/>
      <c r="AB573" s="739">
        <v>92</v>
      </c>
      <c r="AC573" s="741"/>
      <c r="AD573" s="741">
        <v>261</v>
      </c>
      <c r="AE573" s="741">
        <v>202</v>
      </c>
      <c r="AF573" s="741">
        <v>94</v>
      </c>
      <c r="AG573" s="741"/>
      <c r="AH573" s="741">
        <v>765</v>
      </c>
      <c r="AI573" s="741">
        <v>294</v>
      </c>
      <c r="AJ573" s="741"/>
      <c r="AK573" s="741">
        <v>229</v>
      </c>
      <c r="AL573" s="741">
        <v>155</v>
      </c>
      <c r="AM573" s="742">
        <v>2505</v>
      </c>
      <c r="AN573" s="743">
        <f t="shared" si="26"/>
        <v>0.47019993652808634</v>
      </c>
      <c r="AO573" s="744">
        <f t="shared" si="27"/>
        <v>0.88190476190476186</v>
      </c>
      <c r="AP573" s="745">
        <f>'09월 에너지'!S575</f>
        <v>138.9</v>
      </c>
    </row>
    <row r="574" spans="1:42" ht="16.5" customHeight="1">
      <c r="A574" s="999">
        <f>'09월 조업일지'!A574</f>
        <v>46286</v>
      </c>
      <c r="B574" s="1100">
        <f>'09월 조업일지'!B574</f>
        <v>46286</v>
      </c>
      <c r="C574" s="730">
        <f>'09월 조업일지'!G574</f>
        <v>85776</v>
      </c>
      <c r="D574" s="731" t="str">
        <f>'09월 조업일지'!E574</f>
        <v>C</v>
      </c>
      <c r="E574" s="732" t="str">
        <f>'09월 조업일지'!F574</f>
        <v>A</v>
      </c>
      <c r="F574" s="1096" t="str">
        <f>'09월 에너지'!F576</f>
        <v>DKOIL</v>
      </c>
      <c r="G574" s="733">
        <v>15</v>
      </c>
      <c r="H574" s="734">
        <v>13</v>
      </c>
      <c r="I574" s="734">
        <v>49</v>
      </c>
      <c r="J574" s="734">
        <v>15</v>
      </c>
      <c r="K574" s="735">
        <v>33</v>
      </c>
      <c r="L574" s="734">
        <v>14</v>
      </c>
      <c r="M574" s="736">
        <v>12</v>
      </c>
      <c r="N574" s="737">
        <v>406</v>
      </c>
      <c r="O574" s="737"/>
      <c r="P574" s="737">
        <v>1015</v>
      </c>
      <c r="Q574" s="737">
        <v>951</v>
      </c>
      <c r="R574" s="737"/>
      <c r="S574" s="737"/>
      <c r="T574" s="737">
        <v>45</v>
      </c>
      <c r="U574" s="738"/>
      <c r="V574" s="739">
        <v>407</v>
      </c>
      <c r="W574" s="737"/>
      <c r="X574" s="737">
        <v>1016</v>
      </c>
      <c r="Y574" s="737">
        <v>901</v>
      </c>
      <c r="Z574" s="1202">
        <v>46</v>
      </c>
      <c r="AA574" s="740"/>
      <c r="AB574" s="739">
        <v>72</v>
      </c>
      <c r="AC574" s="741"/>
      <c r="AD574" s="741">
        <v>261</v>
      </c>
      <c r="AE574" s="741">
        <v>200</v>
      </c>
      <c r="AF574" s="741">
        <v>98</v>
      </c>
      <c r="AG574" s="741"/>
      <c r="AH574" s="741">
        <v>771</v>
      </c>
      <c r="AI574" s="741">
        <v>176</v>
      </c>
      <c r="AJ574" s="741"/>
      <c r="AK574" s="741">
        <v>214</v>
      </c>
      <c r="AL574" s="741">
        <v>143</v>
      </c>
      <c r="AM574" s="742">
        <v>3063</v>
      </c>
      <c r="AN574" s="743">
        <f t="shared" si="26"/>
        <v>0.50783140539821836</v>
      </c>
      <c r="AO574" s="744">
        <f t="shared" si="27"/>
        <v>0.92544005929219941</v>
      </c>
      <c r="AP574" s="745">
        <f>'09월 에너지'!S576</f>
        <v>146.9</v>
      </c>
    </row>
    <row r="575" spans="1:42" ht="16.5" customHeight="1">
      <c r="A575" s="999">
        <f>'09월 조업일지'!A575</f>
        <v>46286</v>
      </c>
      <c r="B575" s="1100">
        <f>'09월 조업일지'!B575</f>
        <v>46286</v>
      </c>
      <c r="C575" s="730">
        <f>'09월 조업일지'!G575</f>
        <v>85777</v>
      </c>
      <c r="D575" s="731" t="str">
        <f>'09월 조업일지'!E575</f>
        <v>C</v>
      </c>
      <c r="E575" s="732" t="str">
        <f>'09월 조업일지'!F575</f>
        <v>B</v>
      </c>
      <c r="F575" s="1096" t="str">
        <f>'09월 에너지'!F577</f>
        <v>DKOIL</v>
      </c>
      <c r="G575" s="733">
        <v>15</v>
      </c>
      <c r="H575" s="734">
        <v>16</v>
      </c>
      <c r="I575" s="734">
        <v>55</v>
      </c>
      <c r="J575" s="734">
        <v>21</v>
      </c>
      <c r="K575" s="735">
        <v>49</v>
      </c>
      <c r="L575" s="734">
        <v>14</v>
      </c>
      <c r="M575" s="736">
        <v>14</v>
      </c>
      <c r="N575" s="737">
        <v>417</v>
      </c>
      <c r="O575" s="737"/>
      <c r="P575" s="737">
        <v>1019</v>
      </c>
      <c r="Q575" s="737">
        <v>953</v>
      </c>
      <c r="R575" s="737"/>
      <c r="S575" s="737"/>
      <c r="T575" s="737">
        <v>47</v>
      </c>
      <c r="U575" s="738"/>
      <c r="V575" s="739">
        <v>419</v>
      </c>
      <c r="W575" s="737"/>
      <c r="X575" s="737">
        <v>1012</v>
      </c>
      <c r="Y575" s="737">
        <v>901</v>
      </c>
      <c r="Z575" s="1202">
        <v>41</v>
      </c>
      <c r="AA575" s="740"/>
      <c r="AB575" s="739">
        <v>75</v>
      </c>
      <c r="AC575" s="741"/>
      <c r="AD575" s="741">
        <v>262</v>
      </c>
      <c r="AE575" s="741">
        <v>201</v>
      </c>
      <c r="AF575" s="741">
        <v>93</v>
      </c>
      <c r="AG575" s="741"/>
      <c r="AH575" s="741">
        <v>765</v>
      </c>
      <c r="AI575" s="741">
        <v>183</v>
      </c>
      <c r="AJ575" s="741"/>
      <c r="AK575" s="741">
        <v>216</v>
      </c>
      <c r="AL575" s="741">
        <v>154</v>
      </c>
      <c r="AM575" s="742">
        <v>1905</v>
      </c>
      <c r="AN575" s="743">
        <f t="shared" si="26"/>
        <v>0.60712788259958073</v>
      </c>
      <c r="AO575" s="744">
        <f t="shared" si="27"/>
        <v>1.0816059757236229</v>
      </c>
      <c r="AP575" s="745">
        <f>'09월 에너지'!S577</f>
        <v>144.80000000000001</v>
      </c>
    </row>
    <row r="576" spans="1:42" ht="16.5" customHeight="1">
      <c r="A576" s="999">
        <f>'09월 조업일지'!A576</f>
        <v>46286</v>
      </c>
      <c r="B576" s="1100">
        <f>'09월 조업일지'!B576</f>
        <v>46286</v>
      </c>
      <c r="C576" s="730">
        <f>'09월 조업일지'!G576</f>
        <v>85778</v>
      </c>
      <c r="D576" s="731" t="str">
        <f>'09월 조업일지'!E576</f>
        <v>C</v>
      </c>
      <c r="E576" s="732" t="str">
        <f>'09월 조업일지'!F576</f>
        <v>A</v>
      </c>
      <c r="F576" s="1096" t="str">
        <f>'09월 에너지'!F578</f>
        <v>DKOIL</v>
      </c>
      <c r="G576" s="733">
        <v>15</v>
      </c>
      <c r="H576" s="734">
        <v>16</v>
      </c>
      <c r="I576" s="734">
        <v>55</v>
      </c>
      <c r="J576" s="734">
        <v>17</v>
      </c>
      <c r="K576" s="735">
        <v>42</v>
      </c>
      <c r="L576" s="734">
        <v>15</v>
      </c>
      <c r="M576" s="736">
        <v>9</v>
      </c>
      <c r="N576" s="737">
        <v>419</v>
      </c>
      <c r="O576" s="737"/>
      <c r="P576" s="737">
        <v>1014</v>
      </c>
      <c r="Q576" s="737">
        <v>950</v>
      </c>
      <c r="R576" s="737"/>
      <c r="S576" s="737"/>
      <c r="T576" s="737">
        <v>47</v>
      </c>
      <c r="U576" s="738"/>
      <c r="V576" s="739">
        <v>414</v>
      </c>
      <c r="W576" s="737"/>
      <c r="X576" s="737">
        <v>1009</v>
      </c>
      <c r="Y576" s="737">
        <v>904</v>
      </c>
      <c r="Z576" s="1202">
        <v>48</v>
      </c>
      <c r="AA576" s="740"/>
      <c r="AB576" s="739">
        <v>93</v>
      </c>
      <c r="AC576" s="741"/>
      <c r="AD576" s="741">
        <v>267</v>
      </c>
      <c r="AE576" s="741">
        <v>200</v>
      </c>
      <c r="AF576" s="741">
        <v>91</v>
      </c>
      <c r="AG576" s="741"/>
      <c r="AH576" s="741">
        <v>777</v>
      </c>
      <c r="AI576" s="741">
        <v>178</v>
      </c>
      <c r="AJ576" s="741"/>
      <c r="AK576" s="741">
        <v>221</v>
      </c>
      <c r="AL576" s="741">
        <v>138</v>
      </c>
      <c r="AM576" s="742">
        <v>1700</v>
      </c>
      <c r="AN576" s="743">
        <f t="shared" si="26"/>
        <v>0.60295309029138899</v>
      </c>
      <c r="AO576" s="744">
        <f t="shared" si="27"/>
        <v>1.0604890604890604</v>
      </c>
      <c r="AP576" s="745">
        <f>'09월 에너지'!S578</f>
        <v>144.19999999999999</v>
      </c>
    </row>
    <row r="577" spans="1:42" ht="16.5" customHeight="1">
      <c r="A577" s="999">
        <f>'09월 조업일지'!A577</f>
        <v>46286</v>
      </c>
      <c r="B577" s="1100">
        <f>'09월 조업일지'!B577</f>
        <v>46286</v>
      </c>
      <c r="C577" s="730">
        <f>'09월 조업일지'!G577</f>
        <v>85779</v>
      </c>
      <c r="D577" s="731" t="str">
        <f>'09월 조업일지'!E577</f>
        <v>D</v>
      </c>
      <c r="E577" s="732" t="str">
        <f>'09월 조업일지'!F577</f>
        <v>B</v>
      </c>
      <c r="F577" s="1096" t="str">
        <f>'09월 에너지'!F579</f>
        <v>DKOIL</v>
      </c>
      <c r="G577" s="733">
        <v>16</v>
      </c>
      <c r="H577" s="734">
        <v>13</v>
      </c>
      <c r="I577" s="734">
        <v>49</v>
      </c>
      <c r="J577" s="734">
        <v>13</v>
      </c>
      <c r="K577" s="735">
        <v>34</v>
      </c>
      <c r="L577" s="734">
        <v>14</v>
      </c>
      <c r="M577" s="736">
        <v>8</v>
      </c>
      <c r="N577" s="737">
        <v>421</v>
      </c>
      <c r="O577" s="737"/>
      <c r="P577" s="737">
        <v>1019</v>
      </c>
      <c r="Q577" s="737">
        <v>954</v>
      </c>
      <c r="R577" s="737"/>
      <c r="S577" s="737"/>
      <c r="T577" s="737">
        <v>48</v>
      </c>
      <c r="U577" s="738"/>
      <c r="V577" s="739">
        <v>412</v>
      </c>
      <c r="W577" s="737"/>
      <c r="X577" s="737">
        <v>1012</v>
      </c>
      <c r="Y577" s="737">
        <v>901</v>
      </c>
      <c r="Z577" s="1202">
        <v>47</v>
      </c>
      <c r="AA577" s="740"/>
      <c r="AB577" s="739">
        <v>91</v>
      </c>
      <c r="AC577" s="741"/>
      <c r="AD577" s="741">
        <v>265</v>
      </c>
      <c r="AE577" s="741">
        <v>200</v>
      </c>
      <c r="AF577" s="741">
        <v>102</v>
      </c>
      <c r="AG577" s="741"/>
      <c r="AH577" s="741">
        <v>772</v>
      </c>
      <c r="AI577" s="741">
        <v>183</v>
      </c>
      <c r="AJ577" s="741"/>
      <c r="AK577" s="741">
        <v>216</v>
      </c>
      <c r="AL577" s="741">
        <v>156</v>
      </c>
      <c r="AM577" s="742">
        <v>774</v>
      </c>
      <c r="AN577" s="743">
        <f t="shared" si="26"/>
        <v>0.49329674637397097</v>
      </c>
      <c r="AO577" s="744">
        <f t="shared" si="27"/>
        <v>0.91354552183567728</v>
      </c>
      <c r="AP577" s="745">
        <f>'09월 에너지'!S579</f>
        <v>145.19999999999999</v>
      </c>
    </row>
    <row r="578" spans="1:42" ht="16.5" customHeight="1">
      <c r="A578" s="999">
        <f>'09월 조업일지'!A578</f>
        <v>46286</v>
      </c>
      <c r="B578" s="1100">
        <f>'09월 조업일지'!B578</f>
        <v>46286</v>
      </c>
      <c r="C578" s="730">
        <f>'09월 조업일지'!G578</f>
        <v>85780</v>
      </c>
      <c r="D578" s="731" t="str">
        <f>'09월 조업일지'!E578</f>
        <v>D</v>
      </c>
      <c r="E578" s="732" t="str">
        <f>'09월 조업일지'!F578</f>
        <v>A</v>
      </c>
      <c r="F578" s="1096" t="str">
        <f>'09월 에너지'!F580</f>
        <v>DKOIL</v>
      </c>
      <c r="G578" s="733">
        <v>13</v>
      </c>
      <c r="H578" s="734">
        <v>12</v>
      </c>
      <c r="I578" s="734">
        <v>55</v>
      </c>
      <c r="J578" s="734">
        <v>17</v>
      </c>
      <c r="K578" s="735">
        <v>48</v>
      </c>
      <c r="L578" s="734">
        <v>14</v>
      </c>
      <c r="M578" s="736">
        <v>15</v>
      </c>
      <c r="N578" s="737">
        <v>419</v>
      </c>
      <c r="O578" s="737"/>
      <c r="P578" s="737">
        <v>1010</v>
      </c>
      <c r="Q578" s="737">
        <v>777</v>
      </c>
      <c r="R578" s="737"/>
      <c r="S578" s="737"/>
      <c r="T578" s="737">
        <v>53</v>
      </c>
      <c r="U578" s="738"/>
      <c r="V578" s="739">
        <v>413</v>
      </c>
      <c r="W578" s="737"/>
      <c r="X578" s="737">
        <v>1010</v>
      </c>
      <c r="Y578" s="737">
        <v>906</v>
      </c>
      <c r="Z578" s="1202">
        <v>44</v>
      </c>
      <c r="AA578" s="740"/>
      <c r="AB578" s="739">
        <v>86</v>
      </c>
      <c r="AC578" s="741"/>
      <c r="AD578" s="741">
        <v>262</v>
      </c>
      <c r="AE578" s="741">
        <v>200</v>
      </c>
      <c r="AF578" s="741">
        <v>103</v>
      </c>
      <c r="AG578" s="741"/>
      <c r="AH578" s="741">
        <v>769</v>
      </c>
      <c r="AI578" s="741">
        <v>183</v>
      </c>
      <c r="AJ578" s="741"/>
      <c r="AK578" s="741">
        <v>232</v>
      </c>
      <c r="AL578" s="741">
        <v>154</v>
      </c>
      <c r="AM578" s="742">
        <v>1225</v>
      </c>
      <c r="AN578" s="743">
        <f t="shared" si="26"/>
        <v>0.44196018376722823</v>
      </c>
      <c r="AO578" s="744">
        <f t="shared" si="27"/>
        <v>1.0722645365038084</v>
      </c>
      <c r="AP578" s="745">
        <f>'09월 에너지'!S580</f>
        <v>144.30000000000001</v>
      </c>
    </row>
    <row r="579" spans="1:42" ht="16.5" customHeight="1">
      <c r="A579" s="999">
        <f>'09월 조업일지'!A579</f>
        <v>46286</v>
      </c>
      <c r="B579" s="1100">
        <f>'09월 조업일지'!B579</f>
        <v>46286</v>
      </c>
      <c r="C579" s="730">
        <f>'09월 조업일지'!G579</f>
        <v>85781</v>
      </c>
      <c r="D579" s="731" t="str">
        <f>'09월 조업일지'!E579</f>
        <v>D</v>
      </c>
      <c r="E579" s="732" t="str">
        <f>'09월 조업일지'!F579</f>
        <v>B</v>
      </c>
      <c r="F579" s="1096" t="str">
        <f>'09월 에너지'!F581</f>
        <v>DKOIL</v>
      </c>
      <c r="G579" s="733">
        <v>15</v>
      </c>
      <c r="H579" s="734">
        <v>13</v>
      </c>
      <c r="I579" s="734">
        <v>49</v>
      </c>
      <c r="J579" s="734">
        <v>14</v>
      </c>
      <c r="K579" s="735">
        <v>32</v>
      </c>
      <c r="L579" s="734">
        <v>12</v>
      </c>
      <c r="M579" s="736">
        <v>8</v>
      </c>
      <c r="N579" s="737">
        <v>403</v>
      </c>
      <c r="O579" s="737"/>
      <c r="P579" s="737">
        <v>1007</v>
      </c>
      <c r="Q579" s="737">
        <v>953</v>
      </c>
      <c r="R579" s="737"/>
      <c r="S579" s="737"/>
      <c r="T579" s="737">
        <v>54</v>
      </c>
      <c r="U579" s="738"/>
      <c r="V579" s="739">
        <v>411</v>
      </c>
      <c r="W579" s="737"/>
      <c r="X579" s="737">
        <v>1008</v>
      </c>
      <c r="Y579" s="737">
        <v>910</v>
      </c>
      <c r="Z579" s="1202">
        <v>45</v>
      </c>
      <c r="AA579" s="740"/>
      <c r="AB579" s="739">
        <v>92</v>
      </c>
      <c r="AC579" s="741"/>
      <c r="AD579" s="741">
        <v>270</v>
      </c>
      <c r="AE579" s="741">
        <v>301</v>
      </c>
      <c r="AF579" s="741">
        <v>93</v>
      </c>
      <c r="AG579" s="741"/>
      <c r="AH579" s="741">
        <v>770</v>
      </c>
      <c r="AI579" s="741">
        <v>195</v>
      </c>
      <c r="AJ579" s="741"/>
      <c r="AK579" s="741">
        <v>221</v>
      </c>
      <c r="AL579" s="741">
        <v>154</v>
      </c>
      <c r="AM579" s="742">
        <v>1172</v>
      </c>
      <c r="AN579" s="743">
        <f t="shared" si="26"/>
        <v>0.46613414479523263</v>
      </c>
      <c r="AO579" s="744">
        <f t="shared" si="27"/>
        <v>0.89194805194805193</v>
      </c>
      <c r="AP579" s="745">
        <f>'09월 에너지'!S581</f>
        <v>141.4</v>
      </c>
    </row>
    <row r="580" spans="1:42" ht="16.5" customHeight="1">
      <c r="A580" s="999">
        <f>'09월 조업일지'!A580</f>
        <v>46286</v>
      </c>
      <c r="B580" s="1100">
        <f>'09월 조업일지'!B580</f>
        <v>46286</v>
      </c>
      <c r="C580" s="730">
        <f>'09월 조업일지'!G580</f>
        <v>85782</v>
      </c>
      <c r="D580" s="731" t="str">
        <f>'09월 조업일지'!E580</f>
        <v>D</v>
      </c>
      <c r="E580" s="732" t="str">
        <f>'09월 조업일지'!F580</f>
        <v>A</v>
      </c>
      <c r="F580" s="1096" t="str">
        <f>'09월 에너지'!F582</f>
        <v>DKOIL</v>
      </c>
      <c r="G580" s="733">
        <v>15</v>
      </c>
      <c r="H580" s="734">
        <v>16</v>
      </c>
      <c r="I580" s="734">
        <v>54</v>
      </c>
      <c r="J580" s="734">
        <v>14</v>
      </c>
      <c r="K580" s="735">
        <v>34</v>
      </c>
      <c r="L580" s="734">
        <v>15</v>
      </c>
      <c r="M580" s="736">
        <v>15</v>
      </c>
      <c r="N580" s="737">
        <v>412</v>
      </c>
      <c r="O580" s="737"/>
      <c r="P580" s="737">
        <v>1016</v>
      </c>
      <c r="Q580" s="737">
        <v>957</v>
      </c>
      <c r="R580" s="737"/>
      <c r="S580" s="737"/>
      <c r="T580" s="737">
        <v>52</v>
      </c>
      <c r="U580" s="738"/>
      <c r="V580" s="739">
        <v>422</v>
      </c>
      <c r="W580" s="737"/>
      <c r="X580" s="737">
        <v>1012</v>
      </c>
      <c r="Y580" s="737">
        <v>908</v>
      </c>
      <c r="Z580" s="1202">
        <v>44</v>
      </c>
      <c r="AA580" s="740"/>
      <c r="AB580" s="739">
        <v>87</v>
      </c>
      <c r="AC580" s="741"/>
      <c r="AD580" s="741">
        <v>250</v>
      </c>
      <c r="AE580" s="741">
        <v>201</v>
      </c>
      <c r="AF580" s="741">
        <v>102</v>
      </c>
      <c r="AG580" s="741"/>
      <c r="AH580" s="741">
        <v>777</v>
      </c>
      <c r="AI580" s="741">
        <v>203</v>
      </c>
      <c r="AJ580" s="741"/>
      <c r="AK580" s="741">
        <v>216</v>
      </c>
      <c r="AL580" s="741">
        <v>150</v>
      </c>
      <c r="AM580" s="742">
        <v>975</v>
      </c>
      <c r="AN580" s="743">
        <f t="shared" si="26"/>
        <v>0.57148594377510042</v>
      </c>
      <c r="AO580" s="744">
        <f t="shared" si="27"/>
        <v>1.0203530060672918</v>
      </c>
      <c r="AP580" s="745">
        <f>'09월 에너지'!S582</f>
        <v>142.30000000000001</v>
      </c>
    </row>
    <row r="581" spans="1:42" ht="16.5" customHeight="1">
      <c r="A581" s="999">
        <f>'09월 조업일지'!A581</f>
        <v>46286</v>
      </c>
      <c r="B581" s="1100">
        <f>'09월 조업일지'!B581</f>
        <v>46286</v>
      </c>
      <c r="C581" s="730">
        <f>'09월 조업일지'!G581</f>
        <v>85783</v>
      </c>
      <c r="D581" s="731" t="str">
        <f>'09월 조업일지'!E581</f>
        <v>D</v>
      </c>
      <c r="E581" s="732" t="str">
        <f>'09월 조업일지'!F581</f>
        <v>B</v>
      </c>
      <c r="F581" s="1096" t="str">
        <f>'09월 에너지'!F583</f>
        <v>DKOIL</v>
      </c>
      <c r="G581" s="733">
        <v>14</v>
      </c>
      <c r="H581" s="734">
        <v>11</v>
      </c>
      <c r="I581" s="734">
        <v>50</v>
      </c>
      <c r="J581" s="734">
        <v>14</v>
      </c>
      <c r="K581" s="735">
        <v>26</v>
      </c>
      <c r="L581" s="734">
        <v>11</v>
      </c>
      <c r="M581" s="736">
        <v>9</v>
      </c>
      <c r="N581" s="737">
        <v>403</v>
      </c>
      <c r="O581" s="737"/>
      <c r="P581" s="737">
        <v>841</v>
      </c>
      <c r="Q581" s="737">
        <v>972</v>
      </c>
      <c r="R581" s="737"/>
      <c r="S581" s="737"/>
      <c r="T581" s="737">
        <v>53</v>
      </c>
      <c r="U581" s="738"/>
      <c r="V581" s="739">
        <v>420</v>
      </c>
      <c r="W581" s="737"/>
      <c r="X581" s="737">
        <v>1000</v>
      </c>
      <c r="Y581" s="737">
        <v>905</v>
      </c>
      <c r="Z581" s="1202">
        <v>43</v>
      </c>
      <c r="AA581" s="740"/>
      <c r="AB581" s="739">
        <v>82</v>
      </c>
      <c r="AC581" s="741"/>
      <c r="AD581" s="741">
        <v>250</v>
      </c>
      <c r="AE581" s="741">
        <v>200</v>
      </c>
      <c r="AF581" s="741">
        <v>96</v>
      </c>
      <c r="AG581" s="741"/>
      <c r="AH581" s="741">
        <v>768</v>
      </c>
      <c r="AI581" s="741">
        <v>196</v>
      </c>
      <c r="AJ581" s="741"/>
      <c r="AK581" s="741">
        <v>214</v>
      </c>
      <c r="AL581" s="741">
        <v>155</v>
      </c>
      <c r="AM581" s="742">
        <v>1872</v>
      </c>
      <c r="AN581" s="743">
        <f t="shared" si="26"/>
        <v>0.40186891961085508</v>
      </c>
      <c r="AO581" s="744">
        <f t="shared" si="27"/>
        <v>0.92903645833333348</v>
      </c>
      <c r="AP581" s="745">
        <f>'09월 에너지'!S583</f>
        <v>142.69999999999999</v>
      </c>
    </row>
    <row r="582" spans="1:42" ht="16.5" customHeight="1">
      <c r="A582" s="999">
        <f>'09월 조업일지'!A582</f>
        <v>46286</v>
      </c>
      <c r="B582" s="1100">
        <f>'09월 조업일지'!B582</f>
        <v>46286</v>
      </c>
      <c r="C582" s="730">
        <f>'09월 조업일지'!G582</f>
        <v>85784</v>
      </c>
      <c r="D582" s="731" t="str">
        <f>'09월 조업일지'!E582</f>
        <v>D</v>
      </c>
      <c r="E582" s="732" t="str">
        <f>'09월 조업일지'!F582</f>
        <v>A</v>
      </c>
      <c r="F582" s="1096" t="str">
        <f>'09월 에너지'!F584</f>
        <v>DKOIL</v>
      </c>
      <c r="G582" s="733">
        <v>17</v>
      </c>
      <c r="H582" s="734">
        <v>17</v>
      </c>
      <c r="I582" s="734">
        <v>56</v>
      </c>
      <c r="J582" s="734">
        <v>16</v>
      </c>
      <c r="K582" s="735">
        <v>44</v>
      </c>
      <c r="L582" s="734">
        <v>16</v>
      </c>
      <c r="M582" s="736">
        <v>13</v>
      </c>
      <c r="N582" s="737">
        <v>412</v>
      </c>
      <c r="O582" s="737"/>
      <c r="P582" s="737">
        <v>1000</v>
      </c>
      <c r="Q582" s="737">
        <v>955</v>
      </c>
      <c r="R582" s="737"/>
      <c r="S582" s="737"/>
      <c r="T582" s="737">
        <v>49</v>
      </c>
      <c r="U582" s="738"/>
      <c r="V582" s="739">
        <v>406</v>
      </c>
      <c r="W582" s="737"/>
      <c r="X582" s="737">
        <v>1001</v>
      </c>
      <c r="Y582" s="737">
        <v>910</v>
      </c>
      <c r="Z582" s="1202">
        <v>52</v>
      </c>
      <c r="AA582" s="740"/>
      <c r="AB582" s="739">
        <v>90</v>
      </c>
      <c r="AC582" s="741"/>
      <c r="AD582" s="741">
        <v>251</v>
      </c>
      <c r="AE582" s="741">
        <v>201</v>
      </c>
      <c r="AF582" s="741">
        <v>102</v>
      </c>
      <c r="AG582" s="741"/>
      <c r="AH582" s="741">
        <v>774</v>
      </c>
      <c r="AI582" s="741">
        <v>201</v>
      </c>
      <c r="AJ582" s="741"/>
      <c r="AK582" s="741">
        <v>214</v>
      </c>
      <c r="AL582" s="741">
        <v>140</v>
      </c>
      <c r="AM582" s="742">
        <v>1495</v>
      </c>
      <c r="AN582" s="743">
        <f t="shared" si="26"/>
        <v>0.6172043010752688</v>
      </c>
      <c r="AO582" s="744">
        <f t="shared" si="27"/>
        <v>1.0859173126614989</v>
      </c>
      <c r="AP582" s="745">
        <f>'09월 에너지'!S584</f>
        <v>143.5</v>
      </c>
    </row>
    <row r="583" spans="1:42" ht="16.5" customHeight="1">
      <c r="A583" s="999">
        <f>'09월 조업일지'!A583</f>
        <v>46286</v>
      </c>
      <c r="B583" s="1100">
        <f>'09월 조업일지'!B583</f>
        <v>46286</v>
      </c>
      <c r="C583" s="730">
        <f>'09월 조업일지'!G583</f>
        <v>85785</v>
      </c>
      <c r="D583" s="731" t="str">
        <f>'09월 조업일지'!E583</f>
        <v>D</v>
      </c>
      <c r="E583" s="732" t="str">
        <f>'09월 조업일지'!F583</f>
        <v>B</v>
      </c>
      <c r="F583" s="1096" t="str">
        <f>'09월 에너지'!F585</f>
        <v>DKOIL</v>
      </c>
      <c r="G583" s="733">
        <v>10</v>
      </c>
      <c r="H583" s="734">
        <v>13</v>
      </c>
      <c r="I583" s="734">
        <v>50</v>
      </c>
      <c r="J583" s="734">
        <v>17</v>
      </c>
      <c r="K583" s="735">
        <v>27</v>
      </c>
      <c r="L583" s="734">
        <v>12</v>
      </c>
      <c r="M583" s="736">
        <v>10</v>
      </c>
      <c r="N583" s="737">
        <v>417</v>
      </c>
      <c r="O583" s="737"/>
      <c r="P583" s="737">
        <v>990</v>
      </c>
      <c r="Q583" s="737">
        <v>955</v>
      </c>
      <c r="R583" s="737"/>
      <c r="S583" s="737"/>
      <c r="T583" s="737">
        <v>53</v>
      </c>
      <c r="U583" s="738"/>
      <c r="V583" s="739">
        <v>418</v>
      </c>
      <c r="W583" s="737"/>
      <c r="X583" s="737">
        <v>1001</v>
      </c>
      <c r="Y583" s="737">
        <v>901</v>
      </c>
      <c r="Z583" s="1202">
        <v>51</v>
      </c>
      <c r="AA583" s="740"/>
      <c r="AB583" s="739">
        <v>87</v>
      </c>
      <c r="AC583" s="741"/>
      <c r="AD583" s="741">
        <v>251</v>
      </c>
      <c r="AE583" s="741">
        <v>201</v>
      </c>
      <c r="AF583" s="741">
        <v>98</v>
      </c>
      <c r="AG583" s="741"/>
      <c r="AH583" s="741">
        <v>775</v>
      </c>
      <c r="AI583" s="741">
        <v>207</v>
      </c>
      <c r="AJ583" s="741"/>
      <c r="AK583" s="741">
        <v>215</v>
      </c>
      <c r="AL583" s="741">
        <v>146</v>
      </c>
      <c r="AM583" s="742">
        <v>1502</v>
      </c>
      <c r="AN583" s="743">
        <f t="shared" si="26"/>
        <v>0.46546816479400743</v>
      </c>
      <c r="AO583" s="744">
        <f t="shared" si="27"/>
        <v>0.92516129032258065</v>
      </c>
      <c r="AP583" s="745">
        <f>'09월 에너지'!S585</f>
        <v>143.4</v>
      </c>
    </row>
    <row r="584" spans="1:42" ht="16.5" customHeight="1">
      <c r="A584" s="999">
        <f>'09월 조업일지'!A584</f>
        <v>46287</v>
      </c>
      <c r="B584" s="1100">
        <f>'09월 조업일지'!B584</f>
        <v>46286</v>
      </c>
      <c r="C584" s="730">
        <f>'09월 조업일지'!G584</f>
        <v>85786</v>
      </c>
      <c r="D584" s="731" t="str">
        <f>'09월 조업일지'!E584</f>
        <v>D</v>
      </c>
      <c r="E584" s="732" t="str">
        <f>'09월 조업일지'!F584</f>
        <v>A</v>
      </c>
      <c r="F584" s="1096" t="str">
        <f>'09월 에너지'!F586</f>
        <v>DKOIL</v>
      </c>
      <c r="G584" s="733">
        <v>14</v>
      </c>
      <c r="H584" s="734">
        <v>16</v>
      </c>
      <c r="I584" s="734">
        <v>64</v>
      </c>
      <c r="J584" s="734">
        <v>20</v>
      </c>
      <c r="K584" s="735">
        <v>33</v>
      </c>
      <c r="L584" s="734">
        <v>15</v>
      </c>
      <c r="M584" s="736">
        <v>14</v>
      </c>
      <c r="N584" s="737">
        <v>413</v>
      </c>
      <c r="O584" s="737"/>
      <c r="P584" s="737">
        <v>1000</v>
      </c>
      <c r="Q584" s="737">
        <v>954</v>
      </c>
      <c r="R584" s="737"/>
      <c r="S584" s="737"/>
      <c r="T584" s="737">
        <v>59</v>
      </c>
      <c r="U584" s="738"/>
      <c r="V584" s="739">
        <v>416</v>
      </c>
      <c r="W584" s="737"/>
      <c r="X584" s="737">
        <v>1001</v>
      </c>
      <c r="Y584" s="737">
        <v>910</v>
      </c>
      <c r="Z584" s="1202">
        <v>44</v>
      </c>
      <c r="AA584" s="740"/>
      <c r="AB584" s="739">
        <v>79</v>
      </c>
      <c r="AC584" s="741"/>
      <c r="AD584" s="741">
        <v>251</v>
      </c>
      <c r="AE584" s="741">
        <v>201</v>
      </c>
      <c r="AF584" s="741">
        <v>99</v>
      </c>
      <c r="AG584" s="741"/>
      <c r="AH584" s="741">
        <v>763</v>
      </c>
      <c r="AI584" s="741">
        <v>192</v>
      </c>
      <c r="AJ584" s="741"/>
      <c r="AK584" s="741">
        <v>220</v>
      </c>
      <c r="AL584" s="741">
        <v>141</v>
      </c>
      <c r="AM584" s="742">
        <v>1374</v>
      </c>
      <c r="AN584" s="743">
        <f t="shared" si="26"/>
        <v>0.59992316557817904</v>
      </c>
      <c r="AO584" s="744">
        <f t="shared" si="27"/>
        <v>1.3431192660550459</v>
      </c>
      <c r="AP584" s="745">
        <f>'09월 에너지'!S586</f>
        <v>146.4</v>
      </c>
    </row>
    <row r="585" spans="1:42" ht="16.5" customHeight="1">
      <c r="A585" s="999">
        <f>'09월 조업일지'!A585</f>
        <v>46287</v>
      </c>
      <c r="B585" s="1100">
        <f>'09월 조업일지'!B585</f>
        <v>46286</v>
      </c>
      <c r="C585" s="730">
        <f>'09월 조업일지'!G585</f>
        <v>85787</v>
      </c>
      <c r="D585" s="731" t="str">
        <f>'09월 조업일지'!E585</f>
        <v>D</v>
      </c>
      <c r="E585" s="732" t="str">
        <f>'09월 조업일지'!F585</f>
        <v>B</v>
      </c>
      <c r="F585" s="1096" t="str">
        <f>'09월 에너지'!F587</f>
        <v>DKOIL</v>
      </c>
      <c r="G585" s="733">
        <v>18</v>
      </c>
      <c r="H585" s="734">
        <v>17</v>
      </c>
      <c r="I585" s="734">
        <v>65</v>
      </c>
      <c r="J585" s="734">
        <v>20</v>
      </c>
      <c r="K585" s="735">
        <v>28</v>
      </c>
      <c r="L585" s="734">
        <v>13</v>
      </c>
      <c r="M585" s="736">
        <v>11</v>
      </c>
      <c r="N585" s="737">
        <v>405</v>
      </c>
      <c r="O585" s="737"/>
      <c r="P585" s="737">
        <v>1001</v>
      </c>
      <c r="Q585" s="737">
        <v>955</v>
      </c>
      <c r="R585" s="737"/>
      <c r="S585" s="737"/>
      <c r="T585" s="737">
        <v>59</v>
      </c>
      <c r="U585" s="738"/>
      <c r="V585" s="739">
        <v>359</v>
      </c>
      <c r="W585" s="737"/>
      <c r="X585" s="737">
        <v>1000</v>
      </c>
      <c r="Y585" s="737">
        <v>911</v>
      </c>
      <c r="Z585" s="1202">
        <v>48</v>
      </c>
      <c r="AA585" s="740"/>
      <c r="AB585" s="739">
        <v>91</v>
      </c>
      <c r="AC585" s="741"/>
      <c r="AD585" s="741">
        <v>251</v>
      </c>
      <c r="AE585" s="741">
        <v>200</v>
      </c>
      <c r="AF585" s="741">
        <v>106</v>
      </c>
      <c r="AG585" s="741"/>
      <c r="AH585" s="741">
        <v>771</v>
      </c>
      <c r="AI585" s="741">
        <v>193</v>
      </c>
      <c r="AJ585" s="741"/>
      <c r="AK585" s="741">
        <v>222</v>
      </c>
      <c r="AL585" s="741">
        <v>156</v>
      </c>
      <c r="AM585" s="742">
        <v>2442</v>
      </c>
      <c r="AN585" s="743">
        <f t="shared" si="26"/>
        <v>0.61979166666666674</v>
      </c>
      <c r="AO585" s="744">
        <f t="shared" si="27"/>
        <v>1.3294422827496759</v>
      </c>
      <c r="AP585" s="745">
        <f>'09월 에너지'!S587</f>
        <v>143.5</v>
      </c>
    </row>
    <row r="586" spans="1:42" ht="16.5" customHeight="1">
      <c r="A586" s="999">
        <f>'09월 조업일지'!A586</f>
        <v>46287</v>
      </c>
      <c r="B586" s="1100">
        <f>'09월 조업일지'!B586</f>
        <v>46286</v>
      </c>
      <c r="C586" s="730">
        <f>'09월 조업일지'!G586</f>
        <v>85788</v>
      </c>
      <c r="D586" s="731" t="str">
        <f>'09월 조업일지'!E586</f>
        <v>D</v>
      </c>
      <c r="E586" s="732" t="str">
        <f>'09월 조업일지'!F586</f>
        <v>A</v>
      </c>
      <c r="F586" s="1096" t="str">
        <f>'09월 에너지'!F588</f>
        <v>DKOIL</v>
      </c>
      <c r="G586" s="733">
        <v>13</v>
      </c>
      <c r="H586" s="734">
        <v>14</v>
      </c>
      <c r="I586" s="734">
        <v>58</v>
      </c>
      <c r="J586" s="734">
        <v>20</v>
      </c>
      <c r="K586" s="735">
        <v>35</v>
      </c>
      <c r="L586" s="734">
        <v>15</v>
      </c>
      <c r="M586" s="736">
        <v>15</v>
      </c>
      <c r="N586" s="737">
        <v>414</v>
      </c>
      <c r="O586" s="737"/>
      <c r="P586" s="737">
        <v>1001</v>
      </c>
      <c r="Q586" s="737">
        <v>960</v>
      </c>
      <c r="R586" s="737"/>
      <c r="S586" s="737"/>
      <c r="T586" s="737">
        <v>48</v>
      </c>
      <c r="U586" s="738"/>
      <c r="V586" s="739">
        <v>417</v>
      </c>
      <c r="W586" s="737"/>
      <c r="X586" s="737">
        <v>1001</v>
      </c>
      <c r="Y586" s="737">
        <v>909</v>
      </c>
      <c r="Z586" s="1202">
        <v>52</v>
      </c>
      <c r="AA586" s="740"/>
      <c r="AB586" s="739">
        <v>84</v>
      </c>
      <c r="AC586" s="741"/>
      <c r="AD586" s="741">
        <v>250</v>
      </c>
      <c r="AE586" s="741">
        <v>200</v>
      </c>
      <c r="AF586" s="741">
        <v>103</v>
      </c>
      <c r="AG586" s="741"/>
      <c r="AH586" s="741">
        <v>764</v>
      </c>
      <c r="AI586" s="741">
        <v>186</v>
      </c>
      <c r="AJ586" s="741"/>
      <c r="AK586" s="741">
        <v>223</v>
      </c>
      <c r="AL586" s="741">
        <v>143</v>
      </c>
      <c r="AM586" s="742">
        <v>1215</v>
      </c>
      <c r="AN586" s="743">
        <f t="shared" si="26"/>
        <v>0.52621809744779591</v>
      </c>
      <c r="AO586" s="744">
        <f t="shared" si="27"/>
        <v>1.1722887060583398</v>
      </c>
      <c r="AP586" s="745">
        <f>'09월 에너지'!S588</f>
        <v>145.80000000000001</v>
      </c>
    </row>
    <row r="587" spans="1:42" ht="16.5" customHeight="1">
      <c r="A587" s="999">
        <f>'09월 조업일지'!A587</f>
        <v>46287</v>
      </c>
      <c r="B587" s="1100">
        <f>'09월 조업일지'!B587</f>
        <v>46286</v>
      </c>
      <c r="C587" s="730">
        <f>'09월 조업일지'!G587</f>
        <v>85789</v>
      </c>
      <c r="D587" s="731" t="str">
        <f>'09월 조업일지'!E587</f>
        <v>D</v>
      </c>
      <c r="E587" s="732" t="str">
        <f>'09월 조업일지'!F587</f>
        <v>B</v>
      </c>
      <c r="F587" s="1096" t="str">
        <f>'09월 에너지'!F589</f>
        <v>DKOIL</v>
      </c>
      <c r="G587" s="733">
        <v>11</v>
      </c>
      <c r="H587" s="734">
        <v>9</v>
      </c>
      <c r="I587" s="734">
        <v>45</v>
      </c>
      <c r="J587" s="734">
        <v>14</v>
      </c>
      <c r="K587" s="735">
        <v>24</v>
      </c>
      <c r="L587" s="734">
        <v>11</v>
      </c>
      <c r="M587" s="736">
        <v>10</v>
      </c>
      <c r="N587" s="737">
        <v>425</v>
      </c>
      <c r="O587" s="737"/>
      <c r="P587" s="737">
        <v>1001</v>
      </c>
      <c r="Q587" s="737">
        <v>952</v>
      </c>
      <c r="R587" s="737"/>
      <c r="S587" s="737"/>
      <c r="T587" s="737">
        <v>51</v>
      </c>
      <c r="U587" s="738"/>
      <c r="V587" s="739">
        <v>412</v>
      </c>
      <c r="W587" s="737"/>
      <c r="X587" s="737">
        <v>1001</v>
      </c>
      <c r="Y587" s="737">
        <v>912</v>
      </c>
      <c r="Z587" s="1202">
        <v>43</v>
      </c>
      <c r="AA587" s="740"/>
      <c r="AB587" s="739">
        <v>85</v>
      </c>
      <c r="AC587" s="741"/>
      <c r="AD587" s="741">
        <v>251</v>
      </c>
      <c r="AE587" s="741">
        <v>201</v>
      </c>
      <c r="AF587" s="741">
        <v>93</v>
      </c>
      <c r="AG587" s="741"/>
      <c r="AH587" s="741">
        <v>771</v>
      </c>
      <c r="AI587" s="741">
        <v>181</v>
      </c>
      <c r="AJ587" s="741"/>
      <c r="AK587" s="741">
        <v>213</v>
      </c>
      <c r="AL587" s="741">
        <v>144</v>
      </c>
      <c r="AM587" s="742">
        <v>1474</v>
      </c>
      <c r="AN587" s="743">
        <f t="shared" si="26"/>
        <v>0.33844936708860762</v>
      </c>
      <c r="AO587" s="744">
        <f t="shared" si="27"/>
        <v>0.79266259032796005</v>
      </c>
      <c r="AP587" s="745">
        <f>'09월 에너지'!S589</f>
        <v>142.6</v>
      </c>
    </row>
    <row r="588" spans="1:42" ht="16.5" customHeight="1">
      <c r="A588" s="999">
        <f>'09월 조업일지'!A588</f>
        <v>46287</v>
      </c>
      <c r="B588" s="1100">
        <f>'09월 조업일지'!B588</f>
        <v>46287</v>
      </c>
      <c r="C588" s="730">
        <f>'09월 조업일지'!G588</f>
        <v>85790</v>
      </c>
      <c r="D588" s="731" t="str">
        <f>'09월 조업일지'!E588</f>
        <v>A</v>
      </c>
      <c r="E588" s="732" t="str">
        <f>'09월 조업일지'!F588</f>
        <v>A</v>
      </c>
      <c r="F588" s="1096" t="str">
        <f>'09월 에너지'!F590</f>
        <v>DKOIL</v>
      </c>
      <c r="G588" s="733">
        <v>15</v>
      </c>
      <c r="H588" s="734">
        <v>16</v>
      </c>
      <c r="I588" s="734">
        <v>61</v>
      </c>
      <c r="J588" s="734">
        <v>22</v>
      </c>
      <c r="K588" s="735">
        <v>40</v>
      </c>
      <c r="L588" s="734">
        <v>16</v>
      </c>
      <c r="M588" s="736">
        <v>18</v>
      </c>
      <c r="N588" s="737">
        <v>415</v>
      </c>
      <c r="O588" s="737"/>
      <c r="P588" s="737">
        <v>1001</v>
      </c>
      <c r="Q588" s="737">
        <v>954</v>
      </c>
      <c r="R588" s="737"/>
      <c r="S588" s="737"/>
      <c r="T588" s="737">
        <v>54</v>
      </c>
      <c r="U588" s="738"/>
      <c r="V588" s="739">
        <v>414</v>
      </c>
      <c r="W588" s="737"/>
      <c r="X588" s="737">
        <v>1000</v>
      </c>
      <c r="Y588" s="737">
        <v>909</v>
      </c>
      <c r="Z588" s="1202">
        <v>49</v>
      </c>
      <c r="AA588" s="740"/>
      <c r="AB588" s="739">
        <v>89</v>
      </c>
      <c r="AC588" s="741"/>
      <c r="AD588" s="741">
        <v>250</v>
      </c>
      <c r="AE588" s="741">
        <v>200</v>
      </c>
      <c r="AF588" s="741">
        <v>106</v>
      </c>
      <c r="AG588" s="741"/>
      <c r="AH588" s="741">
        <v>772</v>
      </c>
      <c r="AI588" s="741">
        <v>187</v>
      </c>
      <c r="AJ588" s="741"/>
      <c r="AK588" s="741">
        <v>215</v>
      </c>
      <c r="AL588" s="741">
        <v>147</v>
      </c>
      <c r="AM588" s="742">
        <v>2282</v>
      </c>
      <c r="AN588" s="743">
        <f t="shared" si="26"/>
        <v>0.58298922217893778</v>
      </c>
      <c r="AO588" s="744">
        <f t="shared" si="27"/>
        <v>1.1942635085122133</v>
      </c>
      <c r="AP588" s="745">
        <f>'09월 에너지'!S590</f>
        <v>140.30000000000001</v>
      </c>
    </row>
    <row r="589" spans="1:42" ht="16.5" customHeight="1">
      <c r="A589" s="999">
        <f>'09월 조업일지'!A589</f>
        <v>46287</v>
      </c>
      <c r="B589" s="1100">
        <f>'09월 조업일지'!B589</f>
        <v>46287</v>
      </c>
      <c r="C589" s="730">
        <f>'09월 조업일지'!G589</f>
        <v>85791</v>
      </c>
      <c r="D589" s="731" t="str">
        <f>'09월 조업일지'!E589</f>
        <v>A</v>
      </c>
      <c r="E589" s="732" t="str">
        <f>'09월 조업일지'!F589</f>
        <v>B</v>
      </c>
      <c r="F589" s="1096" t="str">
        <f>'09월 에너지'!F591</f>
        <v>DKOIL</v>
      </c>
      <c r="G589" s="733">
        <v>13</v>
      </c>
      <c r="H589" s="734">
        <v>13</v>
      </c>
      <c r="I589" s="734">
        <v>51</v>
      </c>
      <c r="J589" s="734">
        <v>15</v>
      </c>
      <c r="K589" s="735">
        <v>30</v>
      </c>
      <c r="L589" s="734">
        <v>13</v>
      </c>
      <c r="M589" s="736">
        <v>12</v>
      </c>
      <c r="N589" s="737">
        <v>414</v>
      </c>
      <c r="O589" s="737"/>
      <c r="P589" s="737">
        <v>1000</v>
      </c>
      <c r="Q589" s="737">
        <v>951</v>
      </c>
      <c r="R589" s="737"/>
      <c r="S589" s="737"/>
      <c r="T589" s="737">
        <v>50</v>
      </c>
      <c r="U589" s="738"/>
      <c r="V589" s="739">
        <v>415</v>
      </c>
      <c r="W589" s="737"/>
      <c r="X589" s="737">
        <v>1001</v>
      </c>
      <c r="Y589" s="737">
        <v>905</v>
      </c>
      <c r="Z589" s="1202">
        <v>48</v>
      </c>
      <c r="AA589" s="740"/>
      <c r="AB589" s="739">
        <v>89</v>
      </c>
      <c r="AC589" s="741"/>
      <c r="AD589" s="741">
        <v>251</v>
      </c>
      <c r="AE589" s="741">
        <v>200</v>
      </c>
      <c r="AF589" s="741">
        <v>98</v>
      </c>
      <c r="AG589" s="741"/>
      <c r="AH589" s="741">
        <v>763</v>
      </c>
      <c r="AI589" s="741">
        <v>178</v>
      </c>
      <c r="AJ589" s="741"/>
      <c r="AK589" s="741">
        <v>211</v>
      </c>
      <c r="AL589" s="741">
        <v>154</v>
      </c>
      <c r="AM589" s="742">
        <v>2158</v>
      </c>
      <c r="AN589" s="743">
        <f t="shared" ref="AN589:AN652" si="28">IF(ISBLANK(AH589),"",AP589*1000*H589/10000/(AH589*15%+AI589*75%+AK589*60%))</f>
        <v>0.4793218528901349</v>
      </c>
      <c r="AO589" s="744">
        <f t="shared" ref="AO589:AO652" si="29">IF(ISBLANK(AH589),"",AP589*1000*(I589-15)/10000/(AH589*70%))</f>
        <v>0.93083692192473322</v>
      </c>
      <c r="AP589" s="745">
        <f>'09월 에너지'!S591</f>
        <v>138.1</v>
      </c>
    </row>
    <row r="590" spans="1:42" ht="16.5" customHeight="1">
      <c r="A590" s="999">
        <f>'09월 조업일지'!A590</f>
        <v>46287</v>
      </c>
      <c r="B590" s="1100">
        <f>'09월 조업일지'!B590</f>
        <v>46287</v>
      </c>
      <c r="C590" s="730">
        <f>'09월 조업일지'!G590</f>
        <v>85792</v>
      </c>
      <c r="D590" s="731" t="str">
        <f>'09월 조업일지'!E590</f>
        <v>A</v>
      </c>
      <c r="E590" s="732" t="str">
        <f>'09월 조업일지'!F590</f>
        <v>A</v>
      </c>
      <c r="F590" s="1096" t="str">
        <f>'09월 에너지'!F592</f>
        <v>DKOIL</v>
      </c>
      <c r="G590" s="733">
        <v>7</v>
      </c>
      <c r="H590" s="734">
        <v>13</v>
      </c>
      <c r="I590" s="734">
        <v>31</v>
      </c>
      <c r="J590" s="734">
        <v>21</v>
      </c>
      <c r="K590" s="735">
        <v>36</v>
      </c>
      <c r="L590" s="734">
        <v>15</v>
      </c>
      <c r="M590" s="736">
        <v>15</v>
      </c>
      <c r="N590" s="737">
        <v>519</v>
      </c>
      <c r="O590" s="737"/>
      <c r="P590" s="737">
        <v>1300</v>
      </c>
      <c r="Q590" s="737">
        <v>1500</v>
      </c>
      <c r="R590" s="737"/>
      <c r="S590" s="737"/>
      <c r="T590" s="737">
        <v>73</v>
      </c>
      <c r="U590" s="738"/>
      <c r="V590" s="739"/>
      <c r="W590" s="737"/>
      <c r="X590" s="737"/>
      <c r="Y590" s="737"/>
      <c r="Z590" s="1202"/>
      <c r="AA590" s="740"/>
      <c r="AB590" s="739"/>
      <c r="AC590" s="741"/>
      <c r="AD590" s="741"/>
      <c r="AE590" s="741"/>
      <c r="AF590" s="741"/>
      <c r="AG590" s="741"/>
      <c r="AH590" s="741">
        <v>446</v>
      </c>
      <c r="AI590" s="741">
        <v>760</v>
      </c>
      <c r="AJ590" s="741"/>
      <c r="AK590" s="741"/>
      <c r="AL590" s="741"/>
      <c r="AM590" s="742">
        <v>1873</v>
      </c>
      <c r="AN590" s="743">
        <f t="shared" si="28"/>
        <v>0.2961689433192024</v>
      </c>
      <c r="AO590" s="744">
        <f t="shared" si="29"/>
        <v>0.74362588084561176</v>
      </c>
      <c r="AP590" s="745">
        <f>'09월 에너지'!S592</f>
        <v>145.1</v>
      </c>
    </row>
    <row r="591" spans="1:42" ht="16.5" customHeight="1">
      <c r="A591" s="999">
        <f>'09월 조업일지'!A591</f>
        <v>46287</v>
      </c>
      <c r="B591" s="1100">
        <f>'09월 조업일지'!B591</f>
        <v>46287</v>
      </c>
      <c r="C591" s="730">
        <f>'09월 조업일지'!G591</f>
        <v>85793</v>
      </c>
      <c r="D591" s="731" t="str">
        <f>'09월 조업일지'!E591</f>
        <v>A</v>
      </c>
      <c r="E591" s="732" t="str">
        <f>'09월 조업일지'!F591</f>
        <v>B</v>
      </c>
      <c r="F591" s="1096" t="str">
        <f>'09월 에너지'!F593</f>
        <v>DKOIL</v>
      </c>
      <c r="G591" s="733">
        <v>9</v>
      </c>
      <c r="H591" s="734">
        <v>29</v>
      </c>
      <c r="I591" s="734">
        <v>54</v>
      </c>
      <c r="J591" s="734">
        <v>26</v>
      </c>
      <c r="K591" s="735">
        <v>37</v>
      </c>
      <c r="L591" s="734">
        <v>14</v>
      </c>
      <c r="M591" s="736">
        <v>14</v>
      </c>
      <c r="N591" s="737">
        <v>513</v>
      </c>
      <c r="O591" s="737"/>
      <c r="P591" s="737">
        <v>1300</v>
      </c>
      <c r="Q591" s="737">
        <v>1501</v>
      </c>
      <c r="R591" s="737"/>
      <c r="S591" s="737"/>
      <c r="T591" s="737">
        <v>65</v>
      </c>
      <c r="U591" s="738"/>
      <c r="V591" s="739"/>
      <c r="W591" s="737"/>
      <c r="X591" s="737"/>
      <c r="Y591" s="737"/>
      <c r="Z591" s="1202"/>
      <c r="AA591" s="740"/>
      <c r="AB591" s="739"/>
      <c r="AC591" s="741"/>
      <c r="AD591" s="741"/>
      <c r="AE591" s="741"/>
      <c r="AF591" s="741"/>
      <c r="AG591" s="741"/>
      <c r="AH591" s="741">
        <v>448</v>
      </c>
      <c r="AI591" s="741">
        <v>769</v>
      </c>
      <c r="AJ591" s="741"/>
      <c r="AK591" s="741"/>
      <c r="AL591" s="741"/>
      <c r="AM591" s="742">
        <v>2394</v>
      </c>
      <c r="AN591" s="743">
        <f t="shared" si="28"/>
        <v>0.5296063358956441</v>
      </c>
      <c r="AO591" s="744">
        <f t="shared" si="29"/>
        <v>1.4625000000000001</v>
      </c>
      <c r="AP591" s="745">
        <f>'09월 에너지'!S593</f>
        <v>117.6</v>
      </c>
    </row>
    <row r="592" spans="1:42" ht="16.5" customHeight="1">
      <c r="A592" s="999">
        <f>'09월 조업일지'!A592</f>
        <v>46287</v>
      </c>
      <c r="B592" s="1100">
        <f>'09월 조업일지'!B592</f>
        <v>46287</v>
      </c>
      <c r="C592" s="730">
        <f>'09월 조업일지'!G592</f>
        <v>85794</v>
      </c>
      <c r="D592" s="731" t="str">
        <f>'09월 조업일지'!E592</f>
        <v>C</v>
      </c>
      <c r="E592" s="732" t="str">
        <f>'09월 조업일지'!F592</f>
        <v>B</v>
      </c>
      <c r="F592" s="1231" t="str">
        <f>'09월 에너지'!F594</f>
        <v>SS400-01</v>
      </c>
      <c r="G592" s="733">
        <v>5</v>
      </c>
      <c r="H592" s="734">
        <v>22</v>
      </c>
      <c r="I592" s="734">
        <v>63</v>
      </c>
      <c r="J592" s="734">
        <v>16</v>
      </c>
      <c r="K592" s="735">
        <v>21</v>
      </c>
      <c r="L592" s="734">
        <v>8</v>
      </c>
      <c r="M592" s="736">
        <v>15</v>
      </c>
      <c r="N592" s="737">
        <v>419</v>
      </c>
      <c r="O592" s="737"/>
      <c r="P592" s="737">
        <v>1001</v>
      </c>
      <c r="Q592" s="737">
        <v>959</v>
      </c>
      <c r="R592" s="737"/>
      <c r="S592" s="737"/>
      <c r="T592" s="737">
        <v>78</v>
      </c>
      <c r="U592" s="738"/>
      <c r="V592" s="739">
        <v>614</v>
      </c>
      <c r="W592" s="737"/>
      <c r="X592" s="737">
        <v>1100</v>
      </c>
      <c r="Y592" s="737">
        <v>1004</v>
      </c>
      <c r="Z592" s="1202">
        <v>69</v>
      </c>
      <c r="AA592" s="740"/>
      <c r="AB592" s="739"/>
      <c r="AC592" s="741"/>
      <c r="AD592" s="741">
        <v>250</v>
      </c>
      <c r="AE592" s="741">
        <v>319</v>
      </c>
      <c r="AF592" s="741"/>
      <c r="AG592" s="741">
        <v>95</v>
      </c>
      <c r="AH592" s="741">
        <v>753</v>
      </c>
      <c r="AI592" s="741">
        <v>287</v>
      </c>
      <c r="AJ592" s="741">
        <v>58</v>
      </c>
      <c r="AK592" s="741"/>
      <c r="AL592" s="741"/>
      <c r="AM592" s="742">
        <v>3237</v>
      </c>
      <c r="AN592" s="743">
        <f t="shared" si="28"/>
        <v>0.85131017672151121</v>
      </c>
      <c r="AO592" s="744">
        <f t="shared" si="29"/>
        <v>1.1565167899829254</v>
      </c>
      <c r="AP592" s="745">
        <f>'09월 에너지'!S594</f>
        <v>127</v>
      </c>
    </row>
    <row r="593" spans="1:42" ht="16.5" customHeight="1">
      <c r="A593" s="999">
        <f>'09월 조업일지'!A593</f>
        <v>46287</v>
      </c>
      <c r="B593" s="1100">
        <f>'09월 조업일지'!B593</f>
        <v>46287</v>
      </c>
      <c r="C593" s="730">
        <f>'09월 조업일지'!G593</f>
        <v>85795</v>
      </c>
      <c r="D593" s="731" t="str">
        <f>'09월 조업일지'!E593</f>
        <v>C</v>
      </c>
      <c r="E593" s="732" t="str">
        <f>'09월 조업일지'!F593</f>
        <v>A</v>
      </c>
      <c r="F593" s="1096" t="str">
        <f>'09월 에너지'!F595</f>
        <v>SS400-01</v>
      </c>
      <c r="G593" s="733">
        <v>7</v>
      </c>
      <c r="H593" s="734">
        <v>22</v>
      </c>
      <c r="I593" s="734">
        <v>58</v>
      </c>
      <c r="J593" s="734">
        <v>17</v>
      </c>
      <c r="K593" s="735">
        <v>24</v>
      </c>
      <c r="L593" s="734">
        <v>14</v>
      </c>
      <c r="M593" s="736">
        <v>13</v>
      </c>
      <c r="N593" s="737">
        <v>618</v>
      </c>
      <c r="O593" s="737"/>
      <c r="P593" s="737">
        <v>1101</v>
      </c>
      <c r="Q593" s="737">
        <v>1010</v>
      </c>
      <c r="R593" s="737"/>
      <c r="S593" s="737"/>
      <c r="T593" s="737">
        <v>74</v>
      </c>
      <c r="U593" s="738"/>
      <c r="V593" s="739">
        <v>614</v>
      </c>
      <c r="W593" s="737"/>
      <c r="X593" s="737">
        <v>1101</v>
      </c>
      <c r="Y593" s="737">
        <v>1005</v>
      </c>
      <c r="Z593" s="1202">
        <v>62</v>
      </c>
      <c r="AA593" s="740"/>
      <c r="AB593" s="739"/>
      <c r="AC593" s="741"/>
      <c r="AD593" s="741">
        <v>251</v>
      </c>
      <c r="AE593" s="741">
        <v>318</v>
      </c>
      <c r="AF593" s="741"/>
      <c r="AG593" s="741">
        <v>95</v>
      </c>
      <c r="AH593" s="741">
        <v>750</v>
      </c>
      <c r="AI593" s="741">
        <v>281</v>
      </c>
      <c r="AJ593" s="741">
        <v>58</v>
      </c>
      <c r="AK593" s="741"/>
      <c r="AL593" s="741"/>
      <c r="AM593" s="742">
        <v>3822</v>
      </c>
      <c r="AN593" s="743">
        <f t="shared" si="28"/>
        <v>0.86638824439288475</v>
      </c>
      <c r="AO593" s="744">
        <f t="shared" si="29"/>
        <v>1.042647619047619</v>
      </c>
      <c r="AP593" s="745">
        <f>'09월 에너지'!S595</f>
        <v>127.3</v>
      </c>
    </row>
    <row r="594" spans="1:42" ht="16.5" customHeight="1">
      <c r="A594" s="999">
        <f>'09월 조업일지'!A594</f>
        <v>46287</v>
      </c>
      <c r="B594" s="1100">
        <f>'09월 조업일지'!B594</f>
        <v>46287</v>
      </c>
      <c r="C594" s="730">
        <f>'09월 조업일지'!G594</f>
        <v>85796</v>
      </c>
      <c r="D594" s="731" t="str">
        <f>'09월 조업일지'!E594</f>
        <v>C</v>
      </c>
      <c r="E594" s="732" t="str">
        <f>'09월 조업일지'!F594</f>
        <v>B</v>
      </c>
      <c r="F594" s="1231" t="str">
        <f>'09월 에너지'!F596</f>
        <v>SY300</v>
      </c>
      <c r="G594" s="733">
        <v>9</v>
      </c>
      <c r="H594" s="734">
        <v>29</v>
      </c>
      <c r="I594" s="734">
        <v>103</v>
      </c>
      <c r="J594" s="734">
        <v>13</v>
      </c>
      <c r="K594" s="735">
        <v>19</v>
      </c>
      <c r="L594" s="734">
        <v>11</v>
      </c>
      <c r="M594" s="736">
        <v>11</v>
      </c>
      <c r="N594" s="737">
        <v>416</v>
      </c>
      <c r="O594" s="737"/>
      <c r="P594" s="737">
        <v>1004</v>
      </c>
      <c r="Q594" s="737">
        <v>953</v>
      </c>
      <c r="R594" s="737"/>
      <c r="S594" s="737"/>
      <c r="T594" s="737"/>
      <c r="U594" s="738"/>
      <c r="V594" s="739">
        <v>414</v>
      </c>
      <c r="W594" s="737"/>
      <c r="X594" s="737">
        <v>1000</v>
      </c>
      <c r="Y594" s="737">
        <v>904</v>
      </c>
      <c r="Z594" s="1202"/>
      <c r="AA594" s="740"/>
      <c r="AB594" s="739"/>
      <c r="AC594" s="741"/>
      <c r="AD594" s="741">
        <v>281</v>
      </c>
      <c r="AE594" s="741">
        <v>351</v>
      </c>
      <c r="AF594" s="741"/>
      <c r="AG594" s="741">
        <v>95</v>
      </c>
      <c r="AH594" s="741">
        <v>1803</v>
      </c>
      <c r="AI594" s="741">
        <v>248</v>
      </c>
      <c r="AJ594" s="741">
        <v>81</v>
      </c>
      <c r="AK594" s="741"/>
      <c r="AL594" s="741">
        <v>131</v>
      </c>
      <c r="AM594" s="742">
        <v>4236</v>
      </c>
      <c r="AN594" s="743">
        <f t="shared" si="28"/>
        <v>0.86977763172308031</v>
      </c>
      <c r="AO594" s="744">
        <f t="shared" si="29"/>
        <v>0.95453609064257994</v>
      </c>
      <c r="AP594" s="745">
        <f>'09월 에너지'!S596</f>
        <v>136.9</v>
      </c>
    </row>
    <row r="595" spans="1:42" ht="16.5" customHeight="1">
      <c r="A595" s="999">
        <f>'09월 조업일지'!A595</f>
        <v>46287</v>
      </c>
      <c r="B595" s="1100">
        <f>'09월 조업일지'!B595</f>
        <v>46287</v>
      </c>
      <c r="C595" s="730">
        <f>'09월 조업일지'!G595</f>
        <v>85797</v>
      </c>
      <c r="D595" s="731" t="str">
        <f>'09월 조업일지'!E595</f>
        <v>C</v>
      </c>
      <c r="E595" s="732" t="str">
        <f>'09월 조업일지'!F595</f>
        <v>A</v>
      </c>
      <c r="F595" s="1096" t="str">
        <f>'09월 에너지'!F597</f>
        <v>SY300</v>
      </c>
      <c r="G595" s="733">
        <v>8</v>
      </c>
      <c r="H595" s="734">
        <v>27</v>
      </c>
      <c r="I595" s="734">
        <v>103</v>
      </c>
      <c r="J595" s="734">
        <v>16</v>
      </c>
      <c r="K595" s="735">
        <v>36</v>
      </c>
      <c r="L595" s="734">
        <v>13</v>
      </c>
      <c r="M595" s="736">
        <v>12</v>
      </c>
      <c r="N595" s="737">
        <v>424</v>
      </c>
      <c r="O595" s="737"/>
      <c r="P595" s="737">
        <v>1001</v>
      </c>
      <c r="Q595" s="737">
        <v>953</v>
      </c>
      <c r="R595" s="737"/>
      <c r="S595" s="737"/>
      <c r="T595" s="737"/>
      <c r="U595" s="738"/>
      <c r="V595" s="739">
        <v>416</v>
      </c>
      <c r="W595" s="737"/>
      <c r="X595" s="737">
        <v>1001</v>
      </c>
      <c r="Y595" s="737">
        <v>903</v>
      </c>
      <c r="Z595" s="1202"/>
      <c r="AA595" s="740"/>
      <c r="AB595" s="739"/>
      <c r="AC595" s="741"/>
      <c r="AD595" s="741">
        <v>280</v>
      </c>
      <c r="AE595" s="741">
        <v>350</v>
      </c>
      <c r="AF595" s="741"/>
      <c r="AG595" s="741">
        <v>95</v>
      </c>
      <c r="AH595" s="741">
        <v>1799</v>
      </c>
      <c r="AI595" s="741">
        <v>244</v>
      </c>
      <c r="AJ595" s="741">
        <v>80</v>
      </c>
      <c r="AK595" s="741"/>
      <c r="AL595" s="741">
        <v>120</v>
      </c>
      <c r="AM595" s="742">
        <v>2678</v>
      </c>
      <c r="AN595" s="743">
        <f t="shared" si="28"/>
        <v>0.8108645246770454</v>
      </c>
      <c r="AO595" s="744">
        <f t="shared" si="29"/>
        <v>0.9503692527594696</v>
      </c>
      <c r="AP595" s="745">
        <f>'09월 에너지'!S597</f>
        <v>136</v>
      </c>
    </row>
    <row r="596" spans="1:42" ht="16.5" customHeight="1">
      <c r="A596" s="999">
        <f>'09월 조업일지'!A596</f>
        <v>46287</v>
      </c>
      <c r="B596" s="1100">
        <f>'09월 조업일지'!B596</f>
        <v>46287</v>
      </c>
      <c r="C596" s="730">
        <f>'09월 조업일지'!G596</f>
        <v>85798</v>
      </c>
      <c r="D596" s="731" t="str">
        <f>'09월 조업일지'!E596</f>
        <v>D</v>
      </c>
      <c r="E596" s="732" t="str">
        <f>'09월 조업일지'!F596</f>
        <v>B</v>
      </c>
      <c r="F596" s="1096" t="str">
        <f>'09월 에너지'!F598</f>
        <v>SY300</v>
      </c>
      <c r="G596" s="733">
        <v>10</v>
      </c>
      <c r="H596" s="734">
        <v>30</v>
      </c>
      <c r="I596" s="734">
        <v>97</v>
      </c>
      <c r="J596" s="734">
        <v>11</v>
      </c>
      <c r="K596" s="735">
        <v>19</v>
      </c>
      <c r="L596" s="734">
        <v>11</v>
      </c>
      <c r="M596" s="736">
        <v>13</v>
      </c>
      <c r="N596" s="737">
        <v>421</v>
      </c>
      <c r="O596" s="737"/>
      <c r="P596" s="737">
        <v>1000</v>
      </c>
      <c r="Q596" s="737">
        <v>952</v>
      </c>
      <c r="R596" s="737"/>
      <c r="S596" s="737"/>
      <c r="T596" s="737"/>
      <c r="U596" s="738"/>
      <c r="V596" s="739">
        <v>416</v>
      </c>
      <c r="W596" s="737"/>
      <c r="X596" s="737">
        <v>1001</v>
      </c>
      <c r="Y596" s="737">
        <v>904</v>
      </c>
      <c r="Z596" s="1202"/>
      <c r="AA596" s="740"/>
      <c r="AB596" s="739"/>
      <c r="AC596" s="741"/>
      <c r="AD596" s="741">
        <v>293</v>
      </c>
      <c r="AE596" s="741">
        <v>349</v>
      </c>
      <c r="AF596" s="741"/>
      <c r="AG596" s="741">
        <v>95</v>
      </c>
      <c r="AH596" s="741">
        <v>1796</v>
      </c>
      <c r="AI596" s="741">
        <v>245</v>
      </c>
      <c r="AJ596" s="741">
        <v>74</v>
      </c>
      <c r="AK596" s="741"/>
      <c r="AL596" s="741">
        <v>134</v>
      </c>
      <c r="AM596" s="742">
        <v>2058</v>
      </c>
      <c r="AN596" s="743">
        <f t="shared" si="28"/>
        <v>0.94736842105263164</v>
      </c>
      <c r="AO596" s="744">
        <f t="shared" si="29"/>
        <v>0.93335984727966925</v>
      </c>
      <c r="AP596" s="745">
        <f>'09월 에너지'!S598</f>
        <v>143.1</v>
      </c>
    </row>
    <row r="597" spans="1:42" ht="16.5" customHeight="1">
      <c r="A597" s="999">
        <f>'09월 조업일지'!A597</f>
        <v>46287</v>
      </c>
      <c r="B597" s="1100">
        <f>'09월 조업일지'!B597</f>
        <v>46287</v>
      </c>
      <c r="C597" s="730">
        <f>'09월 조업일지'!G597</f>
        <v>85799</v>
      </c>
      <c r="D597" s="731" t="str">
        <f>'09월 조업일지'!E597</f>
        <v>D</v>
      </c>
      <c r="E597" s="732" t="str">
        <f>'09월 조업일지'!F597</f>
        <v>A</v>
      </c>
      <c r="F597" s="1231" t="str">
        <f>'09월 에너지'!F599</f>
        <v>SY400</v>
      </c>
      <c r="G597" s="733">
        <v>11</v>
      </c>
      <c r="H597" s="734">
        <v>21</v>
      </c>
      <c r="I597" s="734">
        <v>123</v>
      </c>
      <c r="J597" s="734">
        <v>11</v>
      </c>
      <c r="K597" s="735">
        <v>30</v>
      </c>
      <c r="L597" s="734">
        <v>14</v>
      </c>
      <c r="M597" s="736">
        <v>10</v>
      </c>
      <c r="N597" s="737">
        <v>417</v>
      </c>
      <c r="O597" s="737"/>
      <c r="P597" s="737">
        <v>1000</v>
      </c>
      <c r="Q597" s="737">
        <v>952</v>
      </c>
      <c r="R597" s="737"/>
      <c r="S597" s="737"/>
      <c r="T597" s="737"/>
      <c r="U597" s="738"/>
      <c r="V597" s="739">
        <v>414</v>
      </c>
      <c r="W597" s="737"/>
      <c r="X597" s="737">
        <v>1011</v>
      </c>
      <c r="Y597" s="737">
        <v>906</v>
      </c>
      <c r="Z597" s="1202"/>
      <c r="AA597" s="740"/>
      <c r="AB597" s="739"/>
      <c r="AC597" s="741"/>
      <c r="AD597" s="741">
        <v>293</v>
      </c>
      <c r="AE597" s="741">
        <v>330</v>
      </c>
      <c r="AF597" s="741"/>
      <c r="AG597" s="741">
        <v>95</v>
      </c>
      <c r="AH597" s="741">
        <v>2347</v>
      </c>
      <c r="AI597" s="741"/>
      <c r="AJ597" s="741">
        <v>85</v>
      </c>
      <c r="AK597" s="741"/>
      <c r="AL597" s="741">
        <v>122</v>
      </c>
      <c r="AM597" s="742">
        <v>2117</v>
      </c>
      <c r="AN597" s="743">
        <f t="shared" si="28"/>
        <v>0.83212611844908391</v>
      </c>
      <c r="AO597" s="744">
        <f t="shared" si="29"/>
        <v>0.91703694686225579</v>
      </c>
      <c r="AP597" s="745">
        <f>'09월 에너지'!S599</f>
        <v>139.5</v>
      </c>
    </row>
    <row r="598" spans="1:42" ht="16.5" customHeight="1">
      <c r="A598" s="999">
        <f>'09월 조업일지'!A598</f>
        <v>46287</v>
      </c>
      <c r="B598" s="1100">
        <f>'09월 조업일지'!B598</f>
        <v>46287</v>
      </c>
      <c r="C598" s="730">
        <f>'09월 조업일지'!G598</f>
        <v>85800</v>
      </c>
      <c r="D598" s="731" t="str">
        <f>'09월 조업일지'!E598</f>
        <v>D</v>
      </c>
      <c r="E598" s="732" t="str">
        <f>'09월 조업일지'!F598</f>
        <v>B</v>
      </c>
      <c r="F598" s="1096" t="str">
        <f>'09월 에너지'!F600</f>
        <v>SY400</v>
      </c>
      <c r="G598" s="733">
        <v>11</v>
      </c>
      <c r="H598" s="734">
        <v>22</v>
      </c>
      <c r="I598" s="734">
        <v>125</v>
      </c>
      <c r="J598" s="734">
        <v>13</v>
      </c>
      <c r="K598" s="735">
        <v>26</v>
      </c>
      <c r="L598" s="734">
        <v>13</v>
      </c>
      <c r="M598" s="736">
        <v>13</v>
      </c>
      <c r="N598" s="737">
        <v>419</v>
      </c>
      <c r="O598" s="737"/>
      <c r="P598" s="737">
        <v>1008</v>
      </c>
      <c r="Q598" s="737">
        <v>953</v>
      </c>
      <c r="R598" s="737"/>
      <c r="S598" s="737"/>
      <c r="T598" s="737"/>
      <c r="U598" s="738"/>
      <c r="V598" s="739">
        <v>417</v>
      </c>
      <c r="W598" s="737"/>
      <c r="X598" s="737">
        <v>1008</v>
      </c>
      <c r="Y598" s="737">
        <v>909</v>
      </c>
      <c r="Z598" s="1202"/>
      <c r="AA598" s="740"/>
      <c r="AB598" s="739"/>
      <c r="AC598" s="741"/>
      <c r="AD598" s="741">
        <v>291</v>
      </c>
      <c r="AE598" s="741">
        <v>331</v>
      </c>
      <c r="AF598" s="741"/>
      <c r="AG598" s="741">
        <v>95</v>
      </c>
      <c r="AH598" s="741">
        <v>2352</v>
      </c>
      <c r="AI598" s="741"/>
      <c r="AJ598" s="741">
        <v>82</v>
      </c>
      <c r="AK598" s="741"/>
      <c r="AL598" s="741">
        <v>126</v>
      </c>
      <c r="AM598" s="742">
        <v>1881</v>
      </c>
      <c r="AN598" s="743">
        <f t="shared" si="28"/>
        <v>0.90668934240362808</v>
      </c>
      <c r="AO598" s="744">
        <f t="shared" si="29"/>
        <v>0.97145286686103027</v>
      </c>
      <c r="AP598" s="745">
        <f>'09월 에너지'!S600</f>
        <v>145.4</v>
      </c>
    </row>
    <row r="599" spans="1:42" ht="16.5" customHeight="1">
      <c r="A599" s="999">
        <f>'09월 조업일지'!A599</f>
        <v>46287</v>
      </c>
      <c r="B599" s="1100">
        <f>'09월 조업일지'!B599</f>
        <v>46287</v>
      </c>
      <c r="C599" s="730">
        <f>'09월 조업일지'!G599</f>
        <v>85801</v>
      </c>
      <c r="D599" s="731" t="str">
        <f>'09월 조업일지'!E599</f>
        <v>D</v>
      </c>
      <c r="E599" s="732" t="str">
        <f>'09월 조업일지'!F599</f>
        <v>A</v>
      </c>
      <c r="F599" s="1096" t="str">
        <f>'09월 에너지'!F601</f>
        <v>SY400</v>
      </c>
      <c r="G599" s="733">
        <v>11</v>
      </c>
      <c r="H599" s="734">
        <v>21</v>
      </c>
      <c r="I599" s="734">
        <v>122</v>
      </c>
      <c r="J599" s="734">
        <v>12</v>
      </c>
      <c r="K599" s="735">
        <v>27</v>
      </c>
      <c r="L599" s="734">
        <v>13</v>
      </c>
      <c r="M599" s="736">
        <v>13</v>
      </c>
      <c r="N599" s="737">
        <v>417</v>
      </c>
      <c r="O599" s="737"/>
      <c r="P599" s="737">
        <v>1018</v>
      </c>
      <c r="Q599" s="737">
        <v>954</v>
      </c>
      <c r="R599" s="737"/>
      <c r="S599" s="737"/>
      <c r="T599" s="737"/>
      <c r="U599" s="738"/>
      <c r="V599" s="739">
        <v>414</v>
      </c>
      <c r="W599" s="737"/>
      <c r="X599" s="737">
        <v>1012</v>
      </c>
      <c r="Y599" s="737">
        <v>903</v>
      </c>
      <c r="Z599" s="1202"/>
      <c r="AA599" s="740"/>
      <c r="AB599" s="739"/>
      <c r="AC599" s="741"/>
      <c r="AD599" s="741">
        <v>295</v>
      </c>
      <c r="AE599" s="741">
        <v>329</v>
      </c>
      <c r="AF599" s="741"/>
      <c r="AG599" s="741">
        <v>96</v>
      </c>
      <c r="AH599" s="741">
        <v>2350</v>
      </c>
      <c r="AI599" s="741"/>
      <c r="AJ599" s="741">
        <v>82</v>
      </c>
      <c r="AK599" s="741"/>
      <c r="AL599" s="741">
        <v>117</v>
      </c>
      <c r="AM599" s="742">
        <v>2321</v>
      </c>
      <c r="AN599" s="743">
        <f t="shared" si="28"/>
        <v>0.84178723404255329</v>
      </c>
      <c r="AO599" s="744">
        <f t="shared" si="29"/>
        <v>0.91909422492401216</v>
      </c>
      <c r="AP599" s="745">
        <f>'09월 에너지'!S601</f>
        <v>141.30000000000001</v>
      </c>
    </row>
    <row r="600" spans="1:42" ht="16.5" customHeight="1">
      <c r="A600" s="999">
        <f>'09월 조업일지'!A600</f>
        <v>46287</v>
      </c>
      <c r="B600" s="1100">
        <f>'09월 조업일지'!B600</f>
        <v>46287</v>
      </c>
      <c r="C600" s="730">
        <f>'09월 조업일지'!G600</f>
        <v>85802</v>
      </c>
      <c r="D600" s="731" t="str">
        <f>'09월 조업일지'!E600</f>
        <v>D</v>
      </c>
      <c r="E600" s="732" t="str">
        <f>'09월 조업일지'!F600</f>
        <v>B</v>
      </c>
      <c r="F600" s="1231" t="str">
        <f>'09월 에너지'!F602</f>
        <v>SHP355W</v>
      </c>
      <c r="G600" s="733">
        <v>8</v>
      </c>
      <c r="H600" s="734">
        <v>17</v>
      </c>
      <c r="I600" s="734">
        <v>121</v>
      </c>
      <c r="J600" s="734">
        <v>13</v>
      </c>
      <c r="K600" s="735">
        <v>22</v>
      </c>
      <c r="L600" s="734">
        <v>10</v>
      </c>
      <c r="M600" s="736">
        <v>10</v>
      </c>
      <c r="N600" s="737">
        <v>415</v>
      </c>
      <c r="O600" s="737"/>
      <c r="P600" s="737">
        <v>1013</v>
      </c>
      <c r="Q600" s="737">
        <v>951</v>
      </c>
      <c r="R600" s="737"/>
      <c r="S600" s="737"/>
      <c r="T600" s="737"/>
      <c r="U600" s="738"/>
      <c r="V600" s="739">
        <v>415</v>
      </c>
      <c r="W600" s="737"/>
      <c r="X600" s="737">
        <v>1013</v>
      </c>
      <c r="Y600" s="737">
        <v>902</v>
      </c>
      <c r="Z600" s="1202"/>
      <c r="AA600" s="740"/>
      <c r="AB600" s="739"/>
      <c r="AC600" s="741"/>
      <c r="AD600" s="741">
        <v>289</v>
      </c>
      <c r="AE600" s="741">
        <v>330</v>
      </c>
      <c r="AF600" s="741"/>
      <c r="AG600" s="741">
        <v>95</v>
      </c>
      <c r="AH600" s="741">
        <v>2350</v>
      </c>
      <c r="AI600" s="741"/>
      <c r="AJ600" s="741">
        <v>91</v>
      </c>
      <c r="AK600" s="741"/>
      <c r="AL600" s="741">
        <v>121</v>
      </c>
      <c r="AM600" s="742">
        <v>1955</v>
      </c>
      <c r="AN600" s="743">
        <f t="shared" si="28"/>
        <v>0.70121985815602839</v>
      </c>
      <c r="AO600" s="744">
        <f t="shared" si="29"/>
        <v>0.93692401215805476</v>
      </c>
      <c r="AP600" s="745">
        <f>'09월 에너지'!S602</f>
        <v>145.4</v>
      </c>
    </row>
    <row r="601" spans="1:42" ht="16.5" customHeight="1">
      <c r="A601" s="999">
        <f>'09월 조업일지'!A601</f>
        <v>46287</v>
      </c>
      <c r="B601" s="1100">
        <f>'09월 조업일지'!B601</f>
        <v>46287</v>
      </c>
      <c r="C601" s="730">
        <f>'09월 조업일지'!G601</f>
        <v>85803</v>
      </c>
      <c r="D601" s="731" t="str">
        <f>'09월 조업일지'!E601</f>
        <v>D</v>
      </c>
      <c r="E601" s="732" t="str">
        <f>'09월 조업일지'!F601</f>
        <v>A</v>
      </c>
      <c r="F601" s="1096" t="str">
        <f>'09월 에너지'!F603</f>
        <v>SHP355W</v>
      </c>
      <c r="G601" s="733">
        <v>11</v>
      </c>
      <c r="H601" s="734">
        <v>19</v>
      </c>
      <c r="I601" s="734">
        <v>121</v>
      </c>
      <c r="J601" s="734">
        <v>14</v>
      </c>
      <c r="K601" s="735">
        <v>32</v>
      </c>
      <c r="L601" s="734">
        <v>11</v>
      </c>
      <c r="M601" s="736">
        <v>8</v>
      </c>
      <c r="N601" s="737">
        <v>425</v>
      </c>
      <c r="O601" s="737"/>
      <c r="P601" s="737">
        <v>1010</v>
      </c>
      <c r="Q601" s="737">
        <v>952</v>
      </c>
      <c r="R601" s="737"/>
      <c r="S601" s="737"/>
      <c r="T601" s="737"/>
      <c r="U601" s="738"/>
      <c r="V601" s="739">
        <v>417</v>
      </c>
      <c r="W601" s="737"/>
      <c r="X601" s="737">
        <v>1012</v>
      </c>
      <c r="Y601" s="737">
        <v>907</v>
      </c>
      <c r="Z601" s="1202"/>
      <c r="AA601" s="740"/>
      <c r="AB601" s="739"/>
      <c r="AC601" s="741"/>
      <c r="AD601" s="741">
        <v>294</v>
      </c>
      <c r="AE601" s="741">
        <v>328</v>
      </c>
      <c r="AF601" s="741"/>
      <c r="AG601" s="741">
        <v>95</v>
      </c>
      <c r="AH601" s="741">
        <v>2340</v>
      </c>
      <c r="AI601" s="741"/>
      <c r="AJ601" s="741">
        <v>89</v>
      </c>
      <c r="AK601" s="741"/>
      <c r="AL601" s="741">
        <v>122</v>
      </c>
      <c r="AM601" s="742">
        <v>2479</v>
      </c>
      <c r="AN601" s="743">
        <f t="shared" si="28"/>
        <v>0.77407407407407403</v>
      </c>
      <c r="AO601" s="744">
        <f t="shared" si="29"/>
        <v>0.92539682539682533</v>
      </c>
      <c r="AP601" s="745">
        <f>'09월 에너지'!S603</f>
        <v>143</v>
      </c>
    </row>
    <row r="602" spans="1:42" ht="16.5" customHeight="1">
      <c r="A602" s="999">
        <f>'09월 조업일지'!A602</f>
        <v>46288</v>
      </c>
      <c r="B602" s="1100">
        <f>'09월 조업일지'!B602</f>
        <v>46287</v>
      </c>
      <c r="C602" s="730">
        <f>'09월 조업일지'!G602</f>
        <v>85804</v>
      </c>
      <c r="D602" s="731" t="str">
        <f>'09월 조업일지'!E602</f>
        <v>D</v>
      </c>
      <c r="E602" s="732" t="str">
        <f>'09월 조업일지'!F602</f>
        <v>B</v>
      </c>
      <c r="F602" s="1096" t="str">
        <f>'09월 에너지'!F604</f>
        <v>SHP355W</v>
      </c>
      <c r="G602" s="733">
        <v>8</v>
      </c>
      <c r="H602" s="734">
        <v>17</v>
      </c>
      <c r="I602" s="734">
        <v>117</v>
      </c>
      <c r="J602" s="734">
        <v>11</v>
      </c>
      <c r="K602" s="735">
        <v>20</v>
      </c>
      <c r="L602" s="734">
        <v>10</v>
      </c>
      <c r="M602" s="736">
        <v>8</v>
      </c>
      <c r="N602" s="737">
        <v>418</v>
      </c>
      <c r="O602" s="737"/>
      <c r="P602" s="737">
        <v>1010</v>
      </c>
      <c r="Q602" s="737">
        <v>951</v>
      </c>
      <c r="R602" s="737"/>
      <c r="S602" s="737"/>
      <c r="T602" s="737"/>
      <c r="U602" s="738"/>
      <c r="V602" s="739">
        <v>420</v>
      </c>
      <c r="W602" s="737"/>
      <c r="X602" s="737">
        <v>1015</v>
      </c>
      <c r="Y602" s="737">
        <v>904</v>
      </c>
      <c r="Z602" s="1202"/>
      <c r="AA602" s="740"/>
      <c r="AB602" s="739"/>
      <c r="AC602" s="741"/>
      <c r="AD602" s="741">
        <v>290</v>
      </c>
      <c r="AE602" s="741">
        <v>328</v>
      </c>
      <c r="AF602" s="741"/>
      <c r="AG602" s="741">
        <v>95</v>
      </c>
      <c r="AH602" s="741">
        <v>2350</v>
      </c>
      <c r="AI602" s="741"/>
      <c r="AJ602" s="741">
        <v>82</v>
      </c>
      <c r="AK602" s="741"/>
      <c r="AL602" s="741">
        <v>119</v>
      </c>
      <c r="AM602" s="742">
        <v>1313</v>
      </c>
      <c r="AN602" s="743">
        <f t="shared" si="28"/>
        <v>0.69929078014184398</v>
      </c>
      <c r="AO602" s="744">
        <f t="shared" si="29"/>
        <v>0.89908814589665653</v>
      </c>
      <c r="AP602" s="745">
        <f>'09월 에너지'!S604</f>
        <v>145</v>
      </c>
    </row>
    <row r="603" spans="1:42" ht="16.5" customHeight="1">
      <c r="A603" s="999">
        <f>'09월 조업일지'!A603</f>
        <v>46288</v>
      </c>
      <c r="B603" s="1100">
        <f>'09월 조업일지'!B603</f>
        <v>46287</v>
      </c>
      <c r="C603" s="730">
        <f>'09월 조업일지'!G603</f>
        <v>85805</v>
      </c>
      <c r="D603" s="731" t="str">
        <f>'09월 조업일지'!E603</f>
        <v>D</v>
      </c>
      <c r="E603" s="732" t="str">
        <f>'09월 조업일지'!F603</f>
        <v>A</v>
      </c>
      <c r="F603" s="1096" t="str">
        <f>'09월 에너지'!F605</f>
        <v>SHP355W</v>
      </c>
      <c r="G603" s="733">
        <v>11</v>
      </c>
      <c r="H603" s="734">
        <v>21</v>
      </c>
      <c r="I603" s="734">
        <v>118</v>
      </c>
      <c r="J603" s="734">
        <v>14</v>
      </c>
      <c r="K603" s="735">
        <v>36</v>
      </c>
      <c r="L603" s="734">
        <v>11</v>
      </c>
      <c r="M603" s="736">
        <v>12</v>
      </c>
      <c r="N603" s="737">
        <v>418</v>
      </c>
      <c r="O603" s="737"/>
      <c r="P603" s="737">
        <v>1013</v>
      </c>
      <c r="Q603" s="737">
        <v>952</v>
      </c>
      <c r="R603" s="737"/>
      <c r="S603" s="737"/>
      <c r="T603" s="737"/>
      <c r="U603" s="738"/>
      <c r="V603" s="739">
        <v>422</v>
      </c>
      <c r="W603" s="737"/>
      <c r="X603" s="737">
        <v>1014</v>
      </c>
      <c r="Y603" s="737">
        <v>903</v>
      </c>
      <c r="Z603" s="1202"/>
      <c r="AA603" s="740"/>
      <c r="AB603" s="739"/>
      <c r="AC603" s="741"/>
      <c r="AD603" s="741">
        <v>287</v>
      </c>
      <c r="AE603" s="741">
        <v>331</v>
      </c>
      <c r="AF603" s="741"/>
      <c r="AG603" s="741">
        <v>96</v>
      </c>
      <c r="AH603" s="741">
        <v>2351</v>
      </c>
      <c r="AI603" s="741"/>
      <c r="AJ603" s="741">
        <v>86</v>
      </c>
      <c r="AK603" s="741"/>
      <c r="AL603" s="741">
        <v>121</v>
      </c>
      <c r="AM603" s="742">
        <v>2790</v>
      </c>
      <c r="AN603" s="743">
        <f t="shared" si="28"/>
        <v>0.85095703955763502</v>
      </c>
      <c r="AO603" s="744">
        <f t="shared" si="29"/>
        <v>0.89437321504526957</v>
      </c>
      <c r="AP603" s="745">
        <f>'09월 에너지'!S605</f>
        <v>142.9</v>
      </c>
    </row>
    <row r="604" spans="1:42" ht="16.5" customHeight="1">
      <c r="A604" s="999">
        <f>'09월 조업일지'!A604</f>
        <v>46288</v>
      </c>
      <c r="B604" s="1100">
        <f>'09월 조업일지'!B604</f>
        <v>46287</v>
      </c>
      <c r="C604" s="730">
        <f>'09월 조업일지'!G604</f>
        <v>85806</v>
      </c>
      <c r="D604" s="731" t="str">
        <f>'09월 조업일지'!E604</f>
        <v>D</v>
      </c>
      <c r="E604" s="732" t="str">
        <f>'09월 조업일지'!F604</f>
        <v>B</v>
      </c>
      <c r="F604" s="1096" t="str">
        <f>'09월 에너지'!F606</f>
        <v>SHP355W</v>
      </c>
      <c r="G604" s="733">
        <v>9</v>
      </c>
      <c r="H604" s="734">
        <v>17</v>
      </c>
      <c r="I604" s="734">
        <v>119</v>
      </c>
      <c r="J604" s="734">
        <v>13</v>
      </c>
      <c r="K604" s="735">
        <v>27</v>
      </c>
      <c r="L604" s="734">
        <v>12</v>
      </c>
      <c r="M604" s="736">
        <v>10</v>
      </c>
      <c r="N604" s="737">
        <v>425</v>
      </c>
      <c r="O604" s="737"/>
      <c r="P604" s="737">
        <v>1017</v>
      </c>
      <c r="Q604" s="737">
        <v>955</v>
      </c>
      <c r="R604" s="737"/>
      <c r="S604" s="737"/>
      <c r="T604" s="737"/>
      <c r="U604" s="738"/>
      <c r="V604" s="739">
        <v>420</v>
      </c>
      <c r="W604" s="737"/>
      <c r="X604" s="737">
        <v>1011</v>
      </c>
      <c r="Y604" s="737">
        <v>904</v>
      </c>
      <c r="Z604" s="1202"/>
      <c r="AA604" s="740"/>
      <c r="AB604" s="739"/>
      <c r="AC604" s="741"/>
      <c r="AD604" s="741">
        <v>293</v>
      </c>
      <c r="AE604" s="741">
        <v>331</v>
      </c>
      <c r="AF604" s="741"/>
      <c r="AG604" s="741">
        <v>96</v>
      </c>
      <c r="AH604" s="741">
        <v>2398</v>
      </c>
      <c r="AI604" s="741"/>
      <c r="AJ604" s="741">
        <v>82</v>
      </c>
      <c r="AK604" s="741"/>
      <c r="AL604" s="741">
        <v>125</v>
      </c>
      <c r="AM604" s="742">
        <v>2002</v>
      </c>
      <c r="AN604" s="743">
        <f t="shared" si="28"/>
        <v>0.69332777314428684</v>
      </c>
      <c r="AO604" s="744">
        <f t="shared" si="29"/>
        <v>0.90890027403788876</v>
      </c>
      <c r="AP604" s="745">
        <f>'09월 에너지'!S606</f>
        <v>146.69999999999999</v>
      </c>
    </row>
    <row r="605" spans="1:42" ht="16.5" customHeight="1">
      <c r="A605" s="999">
        <f>'09월 조업일지'!A605</f>
        <v>46288</v>
      </c>
      <c r="B605" s="1100">
        <f>'09월 조업일지'!B605</f>
        <v>46287</v>
      </c>
      <c r="C605" s="730">
        <f>'09월 조업일지'!G605</f>
        <v>85807</v>
      </c>
      <c r="D605" s="731" t="str">
        <f>'09월 조업일지'!E605</f>
        <v>D</v>
      </c>
      <c r="E605" s="732" t="str">
        <f>'09월 조업일지'!F605</f>
        <v>A</v>
      </c>
      <c r="F605" s="1231" t="str">
        <f>'09월 에너지'!F607</f>
        <v>S355JO-01</v>
      </c>
      <c r="G605" s="733">
        <v>14</v>
      </c>
      <c r="H605" s="734">
        <v>24</v>
      </c>
      <c r="I605" s="734">
        <v>127</v>
      </c>
      <c r="J605" s="734">
        <v>15</v>
      </c>
      <c r="K605" s="735">
        <v>31</v>
      </c>
      <c r="L605" s="734">
        <v>12</v>
      </c>
      <c r="M605" s="736">
        <v>10</v>
      </c>
      <c r="N605" s="737">
        <v>425</v>
      </c>
      <c r="O605" s="737"/>
      <c r="P605" s="737">
        <v>1014</v>
      </c>
      <c r="Q605" s="737">
        <v>952</v>
      </c>
      <c r="R605" s="737"/>
      <c r="S605" s="737"/>
      <c r="T605" s="737"/>
      <c r="U605" s="738"/>
      <c r="V605" s="739">
        <v>420</v>
      </c>
      <c r="W605" s="737"/>
      <c r="X605" s="737">
        <v>1007</v>
      </c>
      <c r="Y605" s="737">
        <v>904</v>
      </c>
      <c r="Z605" s="1202"/>
      <c r="AA605" s="740"/>
      <c r="AB605" s="739"/>
      <c r="AC605" s="741"/>
      <c r="AD605" s="741">
        <v>296</v>
      </c>
      <c r="AE605" s="741">
        <v>331</v>
      </c>
      <c r="AF605" s="741"/>
      <c r="AG605" s="741">
        <v>95</v>
      </c>
      <c r="AH605" s="741">
        <v>2402</v>
      </c>
      <c r="AI605" s="741"/>
      <c r="AJ605" s="741">
        <v>85</v>
      </c>
      <c r="AK605" s="741"/>
      <c r="AL605" s="741">
        <v>131</v>
      </c>
      <c r="AM605" s="742">
        <v>1886</v>
      </c>
      <c r="AN605" s="743">
        <f t="shared" si="28"/>
        <v>0.94321398834304737</v>
      </c>
      <c r="AO605" s="744">
        <f t="shared" si="29"/>
        <v>0.94321398834304759</v>
      </c>
      <c r="AP605" s="745">
        <f>'09월 에너지'!S607</f>
        <v>141.6</v>
      </c>
    </row>
    <row r="606" spans="1:42" ht="16.5" customHeight="1">
      <c r="A606" s="999">
        <f>'09월 조업일지'!A606</f>
        <v>46288</v>
      </c>
      <c r="B606" s="1100">
        <f>'09월 조업일지'!B606</f>
        <v>46288</v>
      </c>
      <c r="C606" s="730">
        <f>'09월 조업일지'!G606</f>
        <v>85808</v>
      </c>
      <c r="D606" s="731" t="str">
        <f>'09월 조업일지'!E606</f>
        <v>B</v>
      </c>
      <c r="E606" s="732" t="str">
        <f>'09월 조업일지'!F606</f>
        <v>B</v>
      </c>
      <c r="F606" s="1096" t="str">
        <f>'09월 에너지'!F608</f>
        <v>S355JO-01</v>
      </c>
      <c r="G606" s="733">
        <v>10</v>
      </c>
      <c r="H606" s="734">
        <v>18</v>
      </c>
      <c r="I606" s="734">
        <v>124</v>
      </c>
      <c r="J606" s="734">
        <v>14</v>
      </c>
      <c r="K606" s="735">
        <v>24</v>
      </c>
      <c r="L606" s="734">
        <v>11</v>
      </c>
      <c r="M606" s="736">
        <v>13</v>
      </c>
      <c r="N606" s="737">
        <v>417</v>
      </c>
      <c r="O606" s="737"/>
      <c r="P606" s="737">
        <v>1012</v>
      </c>
      <c r="Q606" s="737">
        <v>955</v>
      </c>
      <c r="R606" s="737"/>
      <c r="S606" s="737"/>
      <c r="T606" s="737"/>
      <c r="U606" s="738"/>
      <c r="V606" s="739">
        <v>418</v>
      </c>
      <c r="W606" s="737"/>
      <c r="X606" s="737">
        <v>1011</v>
      </c>
      <c r="Y606" s="737">
        <v>906</v>
      </c>
      <c r="Z606" s="1202"/>
      <c r="AA606" s="740"/>
      <c r="AB606" s="739"/>
      <c r="AC606" s="741"/>
      <c r="AD606" s="741">
        <v>290</v>
      </c>
      <c r="AE606" s="741">
        <v>330</v>
      </c>
      <c r="AF606" s="741"/>
      <c r="AG606" s="741">
        <v>95</v>
      </c>
      <c r="AH606" s="741">
        <v>2351</v>
      </c>
      <c r="AI606" s="741"/>
      <c r="AJ606" s="741">
        <v>82</v>
      </c>
      <c r="AK606" s="741"/>
      <c r="AL606" s="741">
        <v>122</v>
      </c>
      <c r="AM606" s="742">
        <v>1772</v>
      </c>
      <c r="AN606" s="743">
        <f t="shared" si="28"/>
        <v>0.7447043811144195</v>
      </c>
      <c r="AO606" s="744">
        <f t="shared" si="29"/>
        <v>0.96634258977942522</v>
      </c>
      <c r="AP606" s="745">
        <f>'09월 에너지'!S608</f>
        <v>145.9</v>
      </c>
    </row>
    <row r="607" spans="1:42" ht="16.5" customHeight="1">
      <c r="A607" s="999">
        <f>'09월 조업일지'!A607</f>
        <v>46288</v>
      </c>
      <c r="B607" s="1100">
        <f>'09월 조업일지'!B607</f>
        <v>46288</v>
      </c>
      <c r="C607" s="730">
        <f>'09월 조업일지'!G607</f>
        <v>85809</v>
      </c>
      <c r="D607" s="731" t="str">
        <f>'09월 조업일지'!E607</f>
        <v>B</v>
      </c>
      <c r="E607" s="732" t="str">
        <f>'09월 조업일지'!F607</f>
        <v>A</v>
      </c>
      <c r="F607" s="1096" t="str">
        <f>'09월 에너지'!F609</f>
        <v>S355JO-01</v>
      </c>
      <c r="G607" s="733">
        <v>10</v>
      </c>
      <c r="H607" s="734">
        <v>19</v>
      </c>
      <c r="I607" s="734">
        <v>122</v>
      </c>
      <c r="J607" s="734">
        <v>14</v>
      </c>
      <c r="K607" s="735">
        <v>25</v>
      </c>
      <c r="L607" s="734">
        <v>11</v>
      </c>
      <c r="M607" s="736">
        <v>9</v>
      </c>
      <c r="N607" s="737">
        <v>417</v>
      </c>
      <c r="O607" s="737"/>
      <c r="P607" s="737">
        <v>1014</v>
      </c>
      <c r="Q607" s="737">
        <v>953</v>
      </c>
      <c r="R607" s="737"/>
      <c r="S607" s="737"/>
      <c r="T607" s="737"/>
      <c r="U607" s="738"/>
      <c r="V607" s="739">
        <v>420</v>
      </c>
      <c r="W607" s="737"/>
      <c r="X607" s="737">
        <v>1010</v>
      </c>
      <c r="Y607" s="737">
        <v>901</v>
      </c>
      <c r="Z607" s="1202"/>
      <c r="AA607" s="740"/>
      <c r="AB607" s="739"/>
      <c r="AC607" s="741"/>
      <c r="AD607" s="741">
        <v>297</v>
      </c>
      <c r="AE607" s="741">
        <v>330</v>
      </c>
      <c r="AF607" s="741"/>
      <c r="AG607" s="741">
        <v>95</v>
      </c>
      <c r="AH607" s="741">
        <v>2353</v>
      </c>
      <c r="AI607" s="741"/>
      <c r="AJ607" s="741">
        <v>84</v>
      </c>
      <c r="AK607" s="741"/>
      <c r="AL607" s="741">
        <v>123</v>
      </c>
      <c r="AM607" s="742">
        <v>2523</v>
      </c>
      <c r="AN607" s="743">
        <f t="shared" si="28"/>
        <v>0.78217877886386178</v>
      </c>
      <c r="AO607" s="744">
        <f t="shared" si="29"/>
        <v>0.94390747374172801</v>
      </c>
      <c r="AP607" s="745">
        <f>'09월 에너지'!S609</f>
        <v>145.30000000000001</v>
      </c>
    </row>
    <row r="608" spans="1:42" ht="16.5" customHeight="1">
      <c r="A608" s="999">
        <f>'09월 조업일지'!A608</f>
        <v>46288</v>
      </c>
      <c r="B608" s="1100">
        <f>'09월 조업일지'!B608</f>
        <v>46288</v>
      </c>
      <c r="C608" s="730">
        <f>'09월 조업일지'!G608</f>
        <v>85810</v>
      </c>
      <c r="D608" s="731" t="str">
        <f>'09월 조업일지'!E608</f>
        <v>B</v>
      </c>
      <c r="E608" s="732" t="str">
        <f>'09월 조업일지'!F608</f>
        <v>B</v>
      </c>
      <c r="F608" s="1231" t="str">
        <f>'09월 에너지'!F610</f>
        <v>SS400-01</v>
      </c>
      <c r="G608" s="733">
        <v>9</v>
      </c>
      <c r="H608" s="734">
        <v>21</v>
      </c>
      <c r="I608" s="734">
        <v>51</v>
      </c>
      <c r="J608" s="734">
        <v>13</v>
      </c>
      <c r="K608" s="735">
        <v>28</v>
      </c>
      <c r="L608" s="734">
        <v>11</v>
      </c>
      <c r="M608" s="736">
        <v>9</v>
      </c>
      <c r="N608" s="737">
        <v>423</v>
      </c>
      <c r="O608" s="737"/>
      <c r="P608" s="737">
        <v>1010</v>
      </c>
      <c r="Q608" s="737">
        <v>958</v>
      </c>
      <c r="R608" s="737"/>
      <c r="S608" s="737"/>
      <c r="T608" s="737">
        <v>62</v>
      </c>
      <c r="U608" s="738"/>
      <c r="V608" s="739">
        <v>422</v>
      </c>
      <c r="W608" s="737"/>
      <c r="X608" s="737">
        <v>1010</v>
      </c>
      <c r="Y608" s="737">
        <v>902</v>
      </c>
      <c r="Z608" s="1202">
        <v>66</v>
      </c>
      <c r="AA608" s="740"/>
      <c r="AB608" s="739"/>
      <c r="AC608" s="741"/>
      <c r="AD608" s="741">
        <v>280</v>
      </c>
      <c r="AE608" s="741">
        <v>329</v>
      </c>
      <c r="AF608" s="741"/>
      <c r="AG608" s="741">
        <v>110</v>
      </c>
      <c r="AH608" s="741">
        <v>782</v>
      </c>
      <c r="AI608" s="741">
        <v>344</v>
      </c>
      <c r="AJ608" s="741">
        <v>79</v>
      </c>
      <c r="AK608" s="741"/>
      <c r="AL608" s="741">
        <v>123</v>
      </c>
      <c r="AM608" s="742">
        <v>1702</v>
      </c>
      <c r="AN608" s="743">
        <f t="shared" si="28"/>
        <v>0.82478017585931263</v>
      </c>
      <c r="AO608" s="744">
        <f t="shared" si="29"/>
        <v>0.96938253562294485</v>
      </c>
      <c r="AP608" s="745">
        <f>'09월 에너지'!S610</f>
        <v>147.4</v>
      </c>
    </row>
    <row r="609" spans="1:42" ht="16.5" customHeight="1">
      <c r="A609" s="999">
        <f>'09월 조업일지'!A609</f>
        <v>46288</v>
      </c>
      <c r="B609" s="1100">
        <f>'09월 조업일지'!B609</f>
        <v>46288</v>
      </c>
      <c r="C609" s="730">
        <f>'09월 조업일지'!G609</f>
        <v>85811</v>
      </c>
      <c r="D609" s="731" t="str">
        <f>'09월 조업일지'!E609</f>
        <v>B</v>
      </c>
      <c r="E609" s="732" t="str">
        <f>'09월 조업일지'!F609</f>
        <v>A</v>
      </c>
      <c r="F609" s="1096" t="str">
        <f>'09월 에너지'!F611</f>
        <v>SS400-01</v>
      </c>
      <c r="G609" s="733">
        <v>8</v>
      </c>
      <c r="H609" s="734">
        <v>22</v>
      </c>
      <c r="I609" s="734">
        <v>55</v>
      </c>
      <c r="J609" s="734">
        <v>17</v>
      </c>
      <c r="K609" s="735">
        <v>41</v>
      </c>
      <c r="L609" s="734">
        <v>12</v>
      </c>
      <c r="M609" s="736">
        <v>9</v>
      </c>
      <c r="N609" s="737">
        <v>417</v>
      </c>
      <c r="O609" s="737"/>
      <c r="P609" s="737">
        <v>1012</v>
      </c>
      <c r="Q609" s="737">
        <v>953</v>
      </c>
      <c r="R609" s="737"/>
      <c r="S609" s="737"/>
      <c r="T609" s="737">
        <v>64</v>
      </c>
      <c r="U609" s="738"/>
      <c r="V609" s="739">
        <v>422</v>
      </c>
      <c r="W609" s="737"/>
      <c r="X609" s="737">
        <v>1013</v>
      </c>
      <c r="Y609" s="737">
        <v>901</v>
      </c>
      <c r="Z609" s="1202">
        <v>64</v>
      </c>
      <c r="AA609" s="740"/>
      <c r="AB609" s="739"/>
      <c r="AC609" s="741"/>
      <c r="AD609" s="741">
        <v>283</v>
      </c>
      <c r="AE609" s="741">
        <v>331</v>
      </c>
      <c r="AF609" s="741"/>
      <c r="AG609" s="741">
        <v>110</v>
      </c>
      <c r="AH609" s="741">
        <v>794</v>
      </c>
      <c r="AI609" s="741">
        <v>338</v>
      </c>
      <c r="AJ609" s="741">
        <v>83</v>
      </c>
      <c r="AK609" s="741"/>
      <c r="AL609" s="741">
        <v>123</v>
      </c>
      <c r="AM609" s="742">
        <v>1319</v>
      </c>
      <c r="AN609" s="743">
        <f t="shared" si="28"/>
        <v>0.86441223832528169</v>
      </c>
      <c r="AO609" s="744">
        <f t="shared" si="29"/>
        <v>1.053616408780137</v>
      </c>
      <c r="AP609" s="745">
        <f>'09월 에너지'!S611</f>
        <v>146.4</v>
      </c>
    </row>
    <row r="610" spans="1:42" ht="16.5" customHeight="1">
      <c r="A610" s="999">
        <f>'09월 조업일지'!A610</f>
        <v>46288</v>
      </c>
      <c r="B610" s="1100">
        <f>'09월 조업일지'!B610</f>
        <v>46288</v>
      </c>
      <c r="C610" s="730">
        <f>'09월 조업일지'!G610</f>
        <v>85812</v>
      </c>
      <c r="D610" s="731" t="str">
        <f>'09월 조업일지'!E610</f>
        <v>B</v>
      </c>
      <c r="E610" s="732" t="str">
        <f>'09월 조업일지'!F610</f>
        <v>B</v>
      </c>
      <c r="F610" s="1096" t="str">
        <f>'09월 에너지'!F612</f>
        <v>SS400-01</v>
      </c>
      <c r="G610" s="733">
        <v>8</v>
      </c>
      <c r="H610" s="734">
        <v>19</v>
      </c>
      <c r="I610" s="734">
        <v>52</v>
      </c>
      <c r="J610" s="734">
        <v>13</v>
      </c>
      <c r="K610" s="735">
        <v>32</v>
      </c>
      <c r="L610" s="734">
        <v>12</v>
      </c>
      <c r="M610" s="736">
        <v>9</v>
      </c>
      <c r="N610" s="737">
        <v>417</v>
      </c>
      <c r="O610" s="737"/>
      <c r="P610" s="737">
        <v>1016</v>
      </c>
      <c r="Q610" s="737">
        <v>953</v>
      </c>
      <c r="R610" s="737"/>
      <c r="S610" s="737"/>
      <c r="T610" s="737">
        <v>66</v>
      </c>
      <c r="U610" s="738"/>
      <c r="V610" s="739">
        <v>424</v>
      </c>
      <c r="W610" s="737"/>
      <c r="X610" s="737">
        <v>1013</v>
      </c>
      <c r="Y610" s="737">
        <v>901</v>
      </c>
      <c r="Z610" s="1202">
        <v>70</v>
      </c>
      <c r="AA610" s="740"/>
      <c r="AB610" s="739"/>
      <c r="AC610" s="741"/>
      <c r="AD610" s="741">
        <v>285</v>
      </c>
      <c r="AE610" s="741">
        <v>330</v>
      </c>
      <c r="AF610" s="741"/>
      <c r="AG610" s="741">
        <v>110</v>
      </c>
      <c r="AH610" s="741">
        <v>795</v>
      </c>
      <c r="AI610" s="741">
        <v>335</v>
      </c>
      <c r="AJ610" s="741">
        <v>79</v>
      </c>
      <c r="AK610" s="741"/>
      <c r="AL610" s="741">
        <v>121</v>
      </c>
      <c r="AM610" s="742">
        <v>985</v>
      </c>
      <c r="AN610" s="743">
        <f t="shared" si="28"/>
        <v>0.75743589743589745</v>
      </c>
      <c r="AO610" s="744">
        <f t="shared" si="29"/>
        <v>0.98201257861635227</v>
      </c>
      <c r="AP610" s="745">
        <f>'09월 에너지'!S612</f>
        <v>147.69999999999999</v>
      </c>
    </row>
    <row r="611" spans="1:42" ht="16.5" customHeight="1">
      <c r="A611" s="999">
        <f>'09월 조업일지'!A611</f>
        <v>46288</v>
      </c>
      <c r="B611" s="1100">
        <f>'09월 조업일지'!B611</f>
        <v>46288</v>
      </c>
      <c r="C611" s="730">
        <f>'09월 조업일지'!G611</f>
        <v>85813</v>
      </c>
      <c r="D611" s="731" t="str">
        <f>'09월 조업일지'!E611</f>
        <v>B</v>
      </c>
      <c r="E611" s="732" t="str">
        <f>'09월 조업일지'!F611</f>
        <v>A</v>
      </c>
      <c r="F611" s="1096" t="str">
        <f>'09월 에너지'!F613</f>
        <v>SS400-01</v>
      </c>
      <c r="G611" s="733">
        <v>10</v>
      </c>
      <c r="H611" s="734">
        <v>24</v>
      </c>
      <c r="I611" s="734">
        <v>54</v>
      </c>
      <c r="J611" s="734">
        <v>14</v>
      </c>
      <c r="K611" s="735">
        <v>41</v>
      </c>
      <c r="L611" s="734">
        <v>14</v>
      </c>
      <c r="M611" s="736">
        <v>11</v>
      </c>
      <c r="N611" s="737">
        <v>416</v>
      </c>
      <c r="O611" s="737"/>
      <c r="P611" s="737">
        <v>1017</v>
      </c>
      <c r="Q611" s="737">
        <v>958</v>
      </c>
      <c r="R611" s="737"/>
      <c r="S611" s="737"/>
      <c r="T611" s="737">
        <v>62</v>
      </c>
      <c r="U611" s="738"/>
      <c r="V611" s="739">
        <v>422</v>
      </c>
      <c r="W611" s="737"/>
      <c r="X611" s="737">
        <v>1010</v>
      </c>
      <c r="Y611" s="737">
        <v>905</v>
      </c>
      <c r="Z611" s="1202">
        <v>69</v>
      </c>
      <c r="AA611" s="740"/>
      <c r="AB611" s="739"/>
      <c r="AC611" s="741"/>
      <c r="AD611" s="741">
        <v>282</v>
      </c>
      <c r="AE611" s="741">
        <v>331</v>
      </c>
      <c r="AF611" s="741"/>
      <c r="AG611" s="741">
        <v>110</v>
      </c>
      <c r="AH611" s="741">
        <v>793</v>
      </c>
      <c r="AI611" s="741">
        <v>342</v>
      </c>
      <c r="AJ611" s="741">
        <v>78</v>
      </c>
      <c r="AK611" s="741"/>
      <c r="AL611" s="741">
        <v>120</v>
      </c>
      <c r="AM611" s="742">
        <v>957</v>
      </c>
      <c r="AN611" s="743">
        <f t="shared" si="28"/>
        <v>0.93455852976428289</v>
      </c>
      <c r="AO611" s="744">
        <f t="shared" si="29"/>
        <v>1.0271662763466043</v>
      </c>
      <c r="AP611" s="745">
        <f>'09월 에너지'!S613</f>
        <v>146.19999999999999</v>
      </c>
    </row>
    <row r="612" spans="1:42" ht="16.5" customHeight="1">
      <c r="A612" s="999">
        <f>'09월 조업일지'!A612</f>
        <v>46288</v>
      </c>
      <c r="B612" s="1100">
        <f>'09월 조업일지'!B612</f>
        <v>46288</v>
      </c>
      <c r="C612" s="730">
        <f>'09월 조업일지'!G612</f>
        <v>85814</v>
      </c>
      <c r="D612" s="731" t="str">
        <f>'09월 조업일지'!E612</f>
        <v>B</v>
      </c>
      <c r="E612" s="732" t="str">
        <f>'09월 조업일지'!F612</f>
        <v>B</v>
      </c>
      <c r="F612" s="1096" t="str">
        <f>'09월 에너지'!F614</f>
        <v>SS400-01</v>
      </c>
      <c r="G612" s="733">
        <v>9</v>
      </c>
      <c r="H612" s="734">
        <v>23</v>
      </c>
      <c r="I612" s="734">
        <v>54</v>
      </c>
      <c r="J612" s="734">
        <v>15</v>
      </c>
      <c r="K612" s="735">
        <v>33</v>
      </c>
      <c r="L612" s="734">
        <v>15</v>
      </c>
      <c r="M612" s="736">
        <v>16</v>
      </c>
      <c r="N612" s="737">
        <v>416</v>
      </c>
      <c r="O612" s="737"/>
      <c r="P612" s="737">
        <v>1012</v>
      </c>
      <c r="Q612" s="737">
        <v>953</v>
      </c>
      <c r="R612" s="737"/>
      <c r="S612" s="737"/>
      <c r="T612" s="737">
        <v>64</v>
      </c>
      <c r="U612" s="738"/>
      <c r="V612" s="739">
        <v>423</v>
      </c>
      <c r="W612" s="737"/>
      <c r="X612" s="737">
        <v>1013</v>
      </c>
      <c r="Y612" s="737">
        <v>901</v>
      </c>
      <c r="Z612" s="1202">
        <v>64</v>
      </c>
      <c r="AA612" s="740"/>
      <c r="AB612" s="739"/>
      <c r="AC612" s="741"/>
      <c r="AD612" s="741">
        <v>283</v>
      </c>
      <c r="AE612" s="741">
        <v>331</v>
      </c>
      <c r="AF612" s="741"/>
      <c r="AG612" s="741">
        <v>110</v>
      </c>
      <c r="AH612" s="741">
        <v>793</v>
      </c>
      <c r="AI612" s="741">
        <v>342</v>
      </c>
      <c r="AJ612" s="741">
        <v>78</v>
      </c>
      <c r="AK612" s="741"/>
      <c r="AL612" s="741">
        <v>122</v>
      </c>
      <c r="AM612" s="742">
        <v>1653</v>
      </c>
      <c r="AN612" s="743">
        <f t="shared" si="28"/>
        <v>0.89745638567052866</v>
      </c>
      <c r="AO612" s="744">
        <f t="shared" si="29"/>
        <v>1.0292740046838409</v>
      </c>
      <c r="AP612" s="745">
        <f>'09월 에너지'!S614</f>
        <v>146.5</v>
      </c>
    </row>
    <row r="613" spans="1:42" ht="16.5" customHeight="1">
      <c r="A613" s="999">
        <f>'09월 조업일지'!A613</f>
        <v>46288</v>
      </c>
      <c r="B613" s="1100">
        <f>'09월 조업일지'!B613</f>
        <v>46288</v>
      </c>
      <c r="C613" s="730">
        <f>'09월 조업일지'!G613</f>
        <v>85815</v>
      </c>
      <c r="D613" s="731" t="str">
        <f>'09월 조업일지'!E613</f>
        <v>B</v>
      </c>
      <c r="E613" s="732" t="str">
        <f>'09월 조업일지'!F613</f>
        <v>A</v>
      </c>
      <c r="F613" s="1096" t="str">
        <f>'09월 에너지'!F615</f>
        <v>SS400-01</v>
      </c>
      <c r="G613" s="733">
        <v>10</v>
      </c>
      <c r="H613" s="734">
        <v>24</v>
      </c>
      <c r="I613" s="734">
        <v>63</v>
      </c>
      <c r="J613" s="734">
        <v>20</v>
      </c>
      <c r="K613" s="735">
        <v>49</v>
      </c>
      <c r="L613" s="734">
        <v>12</v>
      </c>
      <c r="M613" s="736">
        <v>7</v>
      </c>
      <c r="N613" s="737">
        <v>417</v>
      </c>
      <c r="O613" s="737"/>
      <c r="P613" s="737">
        <v>1016</v>
      </c>
      <c r="Q613" s="737">
        <v>953</v>
      </c>
      <c r="R613" s="737"/>
      <c r="S613" s="737"/>
      <c r="T613" s="737">
        <v>66</v>
      </c>
      <c r="U613" s="738"/>
      <c r="V613" s="739">
        <v>418</v>
      </c>
      <c r="W613" s="737"/>
      <c r="X613" s="737">
        <v>1013</v>
      </c>
      <c r="Y613" s="737">
        <v>901</v>
      </c>
      <c r="Z613" s="1202">
        <v>70</v>
      </c>
      <c r="AA613" s="740"/>
      <c r="AB613" s="739"/>
      <c r="AC613" s="741"/>
      <c r="AD613" s="741">
        <v>285</v>
      </c>
      <c r="AE613" s="741">
        <v>330</v>
      </c>
      <c r="AF613" s="741"/>
      <c r="AG613" s="741">
        <v>110</v>
      </c>
      <c r="AH613" s="741">
        <v>792</v>
      </c>
      <c r="AI613" s="741">
        <v>336</v>
      </c>
      <c r="AJ613" s="741">
        <v>79</v>
      </c>
      <c r="AK613" s="741"/>
      <c r="AL613" s="741">
        <v>126</v>
      </c>
      <c r="AM613" s="742">
        <v>1485</v>
      </c>
      <c r="AN613" s="743">
        <f t="shared" si="28"/>
        <v>0.94757281553398054</v>
      </c>
      <c r="AO613" s="744">
        <f t="shared" si="29"/>
        <v>1.2675324675324677</v>
      </c>
      <c r="AP613" s="745">
        <f>'09월 에너지'!S615</f>
        <v>146.4</v>
      </c>
    </row>
    <row r="614" spans="1:42" ht="16.5" customHeight="1">
      <c r="A614" s="999">
        <f>'09월 조업일지'!A614</f>
        <v>46288</v>
      </c>
      <c r="B614" s="1100">
        <f>'09월 조업일지'!B614</f>
        <v>46288</v>
      </c>
      <c r="C614" s="730">
        <f>'09월 조업일지'!G614</f>
        <v>85816</v>
      </c>
      <c r="D614" s="731" t="str">
        <f>'09월 조업일지'!E614</f>
        <v>B</v>
      </c>
      <c r="E614" s="732" t="str">
        <f>'09월 조업일지'!F614</f>
        <v>B</v>
      </c>
      <c r="F614" s="1096" t="str">
        <f>'09월 에너지'!F616</f>
        <v>SS400-01</v>
      </c>
      <c r="G614" s="733">
        <v>8</v>
      </c>
      <c r="H614" s="734">
        <v>21</v>
      </c>
      <c r="I614" s="734">
        <v>50</v>
      </c>
      <c r="J614" s="734">
        <v>15</v>
      </c>
      <c r="K614" s="735">
        <v>28</v>
      </c>
      <c r="L614" s="734">
        <v>12</v>
      </c>
      <c r="M614" s="736">
        <v>11</v>
      </c>
      <c r="N614" s="737">
        <v>421</v>
      </c>
      <c r="O614" s="737"/>
      <c r="P614" s="737">
        <v>1017</v>
      </c>
      <c r="Q614" s="737">
        <v>958</v>
      </c>
      <c r="R614" s="737"/>
      <c r="S614" s="737"/>
      <c r="T614" s="737">
        <v>68</v>
      </c>
      <c r="U614" s="738"/>
      <c r="V614" s="739">
        <v>418</v>
      </c>
      <c r="W614" s="737"/>
      <c r="X614" s="737">
        <v>1010</v>
      </c>
      <c r="Y614" s="737">
        <v>905</v>
      </c>
      <c r="Z614" s="1202">
        <v>64</v>
      </c>
      <c r="AA614" s="740"/>
      <c r="AB614" s="739"/>
      <c r="AC614" s="741"/>
      <c r="AD614" s="741">
        <v>278</v>
      </c>
      <c r="AE614" s="741">
        <v>331</v>
      </c>
      <c r="AF614" s="741"/>
      <c r="AG614" s="741">
        <v>110</v>
      </c>
      <c r="AH614" s="741">
        <v>785</v>
      </c>
      <c r="AI614" s="741">
        <v>342</v>
      </c>
      <c r="AJ614" s="741">
        <v>80</v>
      </c>
      <c r="AK614" s="741"/>
      <c r="AL614" s="741">
        <v>122</v>
      </c>
      <c r="AM614" s="742">
        <v>1638</v>
      </c>
      <c r="AN614" s="743">
        <f t="shared" si="28"/>
        <v>0.82260521042084167</v>
      </c>
      <c r="AO614" s="744">
        <f t="shared" si="29"/>
        <v>0.93375796178343951</v>
      </c>
      <c r="AP614" s="745">
        <f>'09월 에너지'!S616</f>
        <v>146.6</v>
      </c>
    </row>
    <row r="615" spans="1:42" ht="16.5" customHeight="1">
      <c r="A615" s="999">
        <f>'09월 조업일지'!A615</f>
        <v>46288</v>
      </c>
      <c r="B615" s="1100">
        <f>'09월 조업일지'!B615</f>
        <v>46288</v>
      </c>
      <c r="C615" s="730">
        <f>'09월 조업일지'!G615</f>
        <v>85817</v>
      </c>
      <c r="D615" s="731" t="str">
        <f>'09월 조업일지'!E615</f>
        <v>B</v>
      </c>
      <c r="E615" s="732" t="str">
        <f>'09월 조업일지'!F615</f>
        <v>A</v>
      </c>
      <c r="F615" s="1096" t="str">
        <f>'09월 에너지'!F617</f>
        <v>SS400-01</v>
      </c>
      <c r="G615" s="733">
        <v>10</v>
      </c>
      <c r="H615" s="734">
        <v>23</v>
      </c>
      <c r="I615" s="734">
        <v>61</v>
      </c>
      <c r="J615" s="734">
        <v>16</v>
      </c>
      <c r="K615" s="735">
        <v>39</v>
      </c>
      <c r="L615" s="734">
        <v>18</v>
      </c>
      <c r="M615" s="736">
        <v>14</v>
      </c>
      <c r="N615" s="737">
        <v>415</v>
      </c>
      <c r="O615" s="737"/>
      <c r="P615" s="737">
        <v>1010</v>
      </c>
      <c r="Q615" s="737">
        <v>960</v>
      </c>
      <c r="R615" s="737"/>
      <c r="S615" s="737"/>
      <c r="T615" s="737">
        <v>67</v>
      </c>
      <c r="U615" s="738"/>
      <c r="V615" s="739">
        <v>423</v>
      </c>
      <c r="W615" s="737"/>
      <c r="X615" s="737">
        <v>1009</v>
      </c>
      <c r="Y615" s="737">
        <v>904</v>
      </c>
      <c r="Z615" s="1202">
        <v>71</v>
      </c>
      <c r="AA615" s="740"/>
      <c r="AB615" s="739"/>
      <c r="AC615" s="741"/>
      <c r="AD615" s="741">
        <v>280</v>
      </c>
      <c r="AE615" s="741">
        <v>331</v>
      </c>
      <c r="AF615" s="741"/>
      <c r="AG615" s="741">
        <v>111</v>
      </c>
      <c r="AH615" s="741">
        <v>787</v>
      </c>
      <c r="AI615" s="741">
        <v>340</v>
      </c>
      <c r="AJ615" s="741">
        <v>82</v>
      </c>
      <c r="AK615" s="741"/>
      <c r="AL615" s="741">
        <v>118</v>
      </c>
      <c r="AM615" s="742">
        <v>668</v>
      </c>
      <c r="AN615" s="743">
        <f t="shared" si="28"/>
        <v>0.87548585980431581</v>
      </c>
      <c r="AO615" s="744">
        <f t="shared" si="29"/>
        <v>1.1856961335995644</v>
      </c>
      <c r="AP615" s="745">
        <f>'09월 에너지'!S617</f>
        <v>142</v>
      </c>
    </row>
    <row r="616" spans="1:42" ht="16.5" customHeight="1">
      <c r="A616" s="999">
        <f>'09월 조업일지'!A616</f>
        <v>46288</v>
      </c>
      <c r="B616" s="1100">
        <f>'09월 조업일지'!B616</f>
        <v>46288</v>
      </c>
      <c r="C616" s="730">
        <f>'09월 조업일지'!G616</f>
        <v>85818</v>
      </c>
      <c r="D616" s="731" t="str">
        <f>'09월 조업일지'!E616</f>
        <v>C</v>
      </c>
      <c r="E616" s="732" t="str">
        <f>'09월 조업일지'!F616</f>
        <v>B</v>
      </c>
      <c r="F616" s="1096" t="str">
        <f>'09월 에너지'!F618</f>
        <v>SS400-01</v>
      </c>
      <c r="G616" s="733">
        <v>8</v>
      </c>
      <c r="H616" s="734">
        <v>23</v>
      </c>
      <c r="I616" s="734">
        <v>53</v>
      </c>
      <c r="J616" s="734">
        <v>13</v>
      </c>
      <c r="K616" s="735">
        <v>31</v>
      </c>
      <c r="L616" s="734">
        <v>13</v>
      </c>
      <c r="M616" s="736">
        <v>9</v>
      </c>
      <c r="N616" s="737">
        <v>418</v>
      </c>
      <c r="O616" s="737"/>
      <c r="P616" s="737">
        <v>1014</v>
      </c>
      <c r="Q616" s="737">
        <v>954</v>
      </c>
      <c r="R616" s="737"/>
      <c r="S616" s="737"/>
      <c r="T616" s="737">
        <v>68</v>
      </c>
      <c r="U616" s="738"/>
      <c r="V616" s="739">
        <v>416</v>
      </c>
      <c r="W616" s="737"/>
      <c r="X616" s="737">
        <v>1018</v>
      </c>
      <c r="Y616" s="737">
        <v>905</v>
      </c>
      <c r="Z616" s="1202">
        <v>64</v>
      </c>
      <c r="AA616" s="740"/>
      <c r="AB616" s="739"/>
      <c r="AC616" s="741"/>
      <c r="AD616" s="741">
        <v>284</v>
      </c>
      <c r="AE616" s="741">
        <v>330</v>
      </c>
      <c r="AF616" s="741"/>
      <c r="AG616" s="741">
        <v>110</v>
      </c>
      <c r="AH616" s="741">
        <v>800</v>
      </c>
      <c r="AI616" s="741">
        <v>345</v>
      </c>
      <c r="AJ616" s="741">
        <v>81</v>
      </c>
      <c r="AK616" s="741"/>
      <c r="AL616" s="741">
        <v>117</v>
      </c>
      <c r="AM616" s="742">
        <v>1645</v>
      </c>
      <c r="AN616" s="743">
        <f t="shared" si="28"/>
        <v>0.87202640264026399</v>
      </c>
      <c r="AO616" s="744">
        <f t="shared" si="29"/>
        <v>0.97442857142857131</v>
      </c>
      <c r="AP616" s="745">
        <f>'09월 에너지'!S618</f>
        <v>143.6</v>
      </c>
    </row>
    <row r="617" spans="1:42" ht="16.5" customHeight="1">
      <c r="A617" s="999">
        <f>'09월 조업일지'!A617</f>
        <v>46288</v>
      </c>
      <c r="B617" s="1100">
        <f>'09월 조업일지'!B617</f>
        <v>46288</v>
      </c>
      <c r="C617" s="730">
        <f>'09월 조업일지'!G617</f>
        <v>85819</v>
      </c>
      <c r="D617" s="731" t="str">
        <f>'09월 조업일지'!E617</f>
        <v>C</v>
      </c>
      <c r="E617" s="732" t="str">
        <f>'09월 조업일지'!F617</f>
        <v>A</v>
      </c>
      <c r="F617" s="1096" t="str">
        <f>'09월 에너지'!F619</f>
        <v>SS400-01</v>
      </c>
      <c r="G617" s="733">
        <v>7</v>
      </c>
      <c r="H617" s="734">
        <v>14</v>
      </c>
      <c r="I617" s="734">
        <v>54</v>
      </c>
      <c r="J617" s="734">
        <v>13</v>
      </c>
      <c r="K617" s="735">
        <v>34</v>
      </c>
      <c r="L617" s="734">
        <v>14</v>
      </c>
      <c r="M617" s="736">
        <v>11</v>
      </c>
      <c r="N617" s="737">
        <v>423</v>
      </c>
      <c r="O617" s="737"/>
      <c r="P617" s="737">
        <v>1009</v>
      </c>
      <c r="Q617" s="737">
        <v>956</v>
      </c>
      <c r="R617" s="737"/>
      <c r="S617" s="737"/>
      <c r="T617" s="737">
        <v>68</v>
      </c>
      <c r="U617" s="738"/>
      <c r="V617" s="739">
        <v>418</v>
      </c>
      <c r="W617" s="737"/>
      <c r="X617" s="737">
        <v>1013</v>
      </c>
      <c r="Y617" s="737">
        <v>911</v>
      </c>
      <c r="Z617" s="1202">
        <v>73</v>
      </c>
      <c r="AA617" s="740"/>
      <c r="AB617" s="739"/>
      <c r="AC617" s="741"/>
      <c r="AD617" s="741">
        <v>281</v>
      </c>
      <c r="AE617" s="741">
        <v>330</v>
      </c>
      <c r="AF617" s="741"/>
      <c r="AG617" s="741">
        <v>110</v>
      </c>
      <c r="AH617" s="741">
        <v>793</v>
      </c>
      <c r="AI617" s="741">
        <v>337</v>
      </c>
      <c r="AJ617" s="741">
        <v>80</v>
      </c>
      <c r="AK617" s="741"/>
      <c r="AL617" s="741">
        <v>123</v>
      </c>
      <c r="AM617" s="742">
        <v>1864</v>
      </c>
      <c r="AN617" s="743">
        <f t="shared" si="28"/>
        <v>0.54086629001883235</v>
      </c>
      <c r="AO617" s="744">
        <f t="shared" si="29"/>
        <v>1.0088992974238877</v>
      </c>
      <c r="AP617" s="745">
        <f>'09월 에너지'!S619</f>
        <v>143.6</v>
      </c>
    </row>
    <row r="618" spans="1:42" ht="16.5" customHeight="1">
      <c r="A618" s="999">
        <f>'09월 조업일지'!A618</f>
        <v>46288</v>
      </c>
      <c r="B618" s="1100">
        <f>'09월 조업일지'!B618</f>
        <v>46288</v>
      </c>
      <c r="C618" s="730">
        <f>'09월 조업일지'!G618</f>
        <v>85820</v>
      </c>
      <c r="D618" s="731" t="str">
        <f>'09월 조업일지'!E618</f>
        <v>C</v>
      </c>
      <c r="E618" s="732" t="str">
        <f>'09월 조업일지'!F618</f>
        <v>B</v>
      </c>
      <c r="F618" s="1096" t="str">
        <f>'09월 에너지'!F620</f>
        <v>SS400-01</v>
      </c>
      <c r="G618" s="733">
        <v>9</v>
      </c>
      <c r="H618" s="734">
        <v>21</v>
      </c>
      <c r="I618" s="734">
        <v>57</v>
      </c>
      <c r="J618" s="734">
        <v>14</v>
      </c>
      <c r="K618" s="735">
        <v>31</v>
      </c>
      <c r="L618" s="734">
        <v>11</v>
      </c>
      <c r="M618" s="736">
        <v>10</v>
      </c>
      <c r="N618" s="737">
        <v>421</v>
      </c>
      <c r="O618" s="737"/>
      <c r="P618" s="737">
        <v>1009</v>
      </c>
      <c r="Q618" s="737">
        <v>955</v>
      </c>
      <c r="R618" s="737"/>
      <c r="S618" s="737"/>
      <c r="T618" s="737">
        <v>66</v>
      </c>
      <c r="U618" s="738"/>
      <c r="V618" s="739">
        <v>421</v>
      </c>
      <c r="W618" s="737"/>
      <c r="X618" s="737">
        <v>1010</v>
      </c>
      <c r="Y618" s="737">
        <v>902</v>
      </c>
      <c r="Z618" s="1202">
        <v>64</v>
      </c>
      <c r="AA618" s="740"/>
      <c r="AB618" s="739"/>
      <c r="AC618" s="741"/>
      <c r="AD618" s="741">
        <v>278</v>
      </c>
      <c r="AE618" s="741">
        <v>331</v>
      </c>
      <c r="AF618" s="741"/>
      <c r="AG618" s="741">
        <v>110</v>
      </c>
      <c r="AH618" s="741">
        <v>806</v>
      </c>
      <c r="AI618" s="741">
        <v>341</v>
      </c>
      <c r="AJ618" s="741">
        <v>79</v>
      </c>
      <c r="AK618" s="741"/>
      <c r="AL618" s="741">
        <v>126</v>
      </c>
      <c r="AM618" s="742">
        <v>2019</v>
      </c>
      <c r="AN618" s="743">
        <f t="shared" si="28"/>
        <v>0.80230983671843892</v>
      </c>
      <c r="AO618" s="744">
        <f t="shared" si="29"/>
        <v>1.0712158808933003</v>
      </c>
      <c r="AP618" s="745">
        <f>'09월 에너지'!S620</f>
        <v>143.9</v>
      </c>
    </row>
    <row r="619" spans="1:42" ht="16.5" customHeight="1">
      <c r="A619" s="999">
        <f>'09월 조업일지'!A619</f>
        <v>46288</v>
      </c>
      <c r="B619" s="1100">
        <f>'09월 조업일지'!B619</f>
        <v>46288</v>
      </c>
      <c r="C619" s="730">
        <f>'09월 조업일지'!G619</f>
        <v>85821</v>
      </c>
      <c r="D619" s="731" t="str">
        <f>'09월 조업일지'!E619</f>
        <v>C</v>
      </c>
      <c r="E619" s="732" t="str">
        <f>'09월 조업일지'!F619</f>
        <v>A</v>
      </c>
      <c r="F619" s="1096" t="str">
        <f>'09월 에너지'!F621</f>
        <v>SS400-01</v>
      </c>
      <c r="G619" s="733">
        <v>10</v>
      </c>
      <c r="H619" s="734">
        <v>24</v>
      </c>
      <c r="I619" s="734">
        <v>53</v>
      </c>
      <c r="J619" s="734">
        <v>14</v>
      </c>
      <c r="K619" s="735">
        <v>27</v>
      </c>
      <c r="L619" s="734">
        <v>11</v>
      </c>
      <c r="M619" s="736">
        <v>10</v>
      </c>
      <c r="N619" s="737">
        <v>416</v>
      </c>
      <c r="O619" s="737"/>
      <c r="P619" s="737">
        <v>1008</v>
      </c>
      <c r="Q619" s="737">
        <v>951</v>
      </c>
      <c r="R619" s="737"/>
      <c r="S619" s="737"/>
      <c r="T619" s="737">
        <v>70</v>
      </c>
      <c r="U619" s="738"/>
      <c r="V619" s="739">
        <v>426</v>
      </c>
      <c r="W619" s="737"/>
      <c r="X619" s="737">
        <v>1012</v>
      </c>
      <c r="Y619" s="737">
        <v>905</v>
      </c>
      <c r="Z619" s="1202">
        <v>67</v>
      </c>
      <c r="AA619" s="740"/>
      <c r="AB619" s="739"/>
      <c r="AC619" s="741"/>
      <c r="AD619" s="741">
        <v>279</v>
      </c>
      <c r="AE619" s="741">
        <v>331</v>
      </c>
      <c r="AF619" s="741"/>
      <c r="AG619" s="741">
        <v>110</v>
      </c>
      <c r="AH619" s="741">
        <v>796</v>
      </c>
      <c r="AI619" s="741">
        <v>342</v>
      </c>
      <c r="AJ619" s="741">
        <v>82</v>
      </c>
      <c r="AK619" s="741"/>
      <c r="AL619" s="741">
        <v>125</v>
      </c>
      <c r="AM619" s="742">
        <v>2283</v>
      </c>
      <c r="AN619" s="743">
        <f t="shared" si="28"/>
        <v>0.90726256983240239</v>
      </c>
      <c r="AO619" s="744">
        <f t="shared" si="29"/>
        <v>0.9690954773869348</v>
      </c>
      <c r="AP619" s="745">
        <f>'09월 에너지'!S621</f>
        <v>142.1</v>
      </c>
    </row>
    <row r="620" spans="1:42" ht="16.5" customHeight="1">
      <c r="A620" s="999">
        <f>'09월 조업일지'!A620</f>
        <v>46288</v>
      </c>
      <c r="B620" s="1100">
        <f>'09월 조업일지'!B620</f>
        <v>46288</v>
      </c>
      <c r="C620" s="730">
        <f>'09월 조업일지'!G620</f>
        <v>85822</v>
      </c>
      <c r="D620" s="731" t="str">
        <f>'09월 조업일지'!E620</f>
        <v>C</v>
      </c>
      <c r="E620" s="732" t="str">
        <f>'09월 조업일지'!F620</f>
        <v>B</v>
      </c>
      <c r="F620" s="1096" t="str">
        <f>'09월 에너지'!F622</f>
        <v>SS400-01</v>
      </c>
      <c r="G620" s="733">
        <v>10</v>
      </c>
      <c r="H620" s="734">
        <v>25</v>
      </c>
      <c r="I620" s="734">
        <v>54</v>
      </c>
      <c r="J620" s="734">
        <v>14</v>
      </c>
      <c r="K620" s="735">
        <v>33</v>
      </c>
      <c r="L620" s="734">
        <v>10</v>
      </c>
      <c r="M620" s="736">
        <v>10</v>
      </c>
      <c r="N620" s="737">
        <v>415</v>
      </c>
      <c r="O620" s="737"/>
      <c r="P620" s="737">
        <v>1014</v>
      </c>
      <c r="Q620" s="737">
        <v>953</v>
      </c>
      <c r="R620" s="737"/>
      <c r="S620" s="737"/>
      <c r="T620" s="737">
        <v>68</v>
      </c>
      <c r="U620" s="738"/>
      <c r="V620" s="739">
        <v>416</v>
      </c>
      <c r="W620" s="737"/>
      <c r="X620" s="737">
        <v>1009</v>
      </c>
      <c r="Y620" s="737">
        <v>903</v>
      </c>
      <c r="Z620" s="1202">
        <v>75</v>
      </c>
      <c r="AA620" s="740"/>
      <c r="AB620" s="739"/>
      <c r="AC620" s="741"/>
      <c r="AD620" s="741">
        <v>279</v>
      </c>
      <c r="AE620" s="741">
        <v>330</v>
      </c>
      <c r="AF620" s="741"/>
      <c r="AG620" s="741">
        <v>110</v>
      </c>
      <c r="AH620" s="741">
        <v>786</v>
      </c>
      <c r="AI620" s="741">
        <v>339</v>
      </c>
      <c r="AJ620" s="741">
        <v>79</v>
      </c>
      <c r="AK620" s="741"/>
      <c r="AL620" s="741">
        <v>126</v>
      </c>
      <c r="AM620" s="742">
        <v>2091</v>
      </c>
      <c r="AN620" s="743">
        <f t="shared" si="28"/>
        <v>0.96332124143490538</v>
      </c>
      <c r="AO620" s="744">
        <f t="shared" si="29"/>
        <v>1.0164667393675029</v>
      </c>
      <c r="AP620" s="745">
        <f>'09월 에너지'!S622</f>
        <v>143.4</v>
      </c>
    </row>
    <row r="621" spans="1:42" ht="16.5" customHeight="1">
      <c r="A621" s="999">
        <f>'09월 조업일지'!A621</f>
        <v>46288</v>
      </c>
      <c r="B621" s="1100">
        <f>'09월 조업일지'!B621</f>
        <v>46288</v>
      </c>
      <c r="C621" s="730">
        <f>'09월 조업일지'!G621</f>
        <v>85823</v>
      </c>
      <c r="D621" s="731" t="str">
        <f>'09월 조업일지'!E621</f>
        <v>C</v>
      </c>
      <c r="E621" s="732" t="str">
        <f>'09월 조업일지'!F621</f>
        <v>A</v>
      </c>
      <c r="F621" s="1096" t="str">
        <f>'09월 에너지'!F623</f>
        <v>SS400-01</v>
      </c>
      <c r="G621" s="733">
        <v>7</v>
      </c>
      <c r="H621" s="734">
        <v>22</v>
      </c>
      <c r="I621" s="734">
        <v>49</v>
      </c>
      <c r="J621" s="734">
        <v>13</v>
      </c>
      <c r="K621" s="735">
        <v>21</v>
      </c>
      <c r="L621" s="734">
        <v>11</v>
      </c>
      <c r="M621" s="736">
        <v>9</v>
      </c>
      <c r="N621" s="737">
        <v>423</v>
      </c>
      <c r="O621" s="737"/>
      <c r="P621" s="737">
        <v>1013</v>
      </c>
      <c r="Q621" s="737">
        <v>955</v>
      </c>
      <c r="R621" s="737"/>
      <c r="S621" s="737"/>
      <c r="T621" s="737">
        <v>71</v>
      </c>
      <c r="U621" s="738"/>
      <c r="V621" s="739">
        <v>425</v>
      </c>
      <c r="W621" s="737"/>
      <c r="X621" s="737">
        <v>1012</v>
      </c>
      <c r="Y621" s="737">
        <v>910</v>
      </c>
      <c r="Z621" s="1202">
        <v>64</v>
      </c>
      <c r="AA621" s="740"/>
      <c r="AB621" s="739"/>
      <c r="AC621" s="741"/>
      <c r="AD621" s="741">
        <v>277</v>
      </c>
      <c r="AE621" s="741">
        <v>331</v>
      </c>
      <c r="AF621" s="741"/>
      <c r="AG621" s="741">
        <v>111</v>
      </c>
      <c r="AH621" s="741">
        <v>791</v>
      </c>
      <c r="AI621" s="741">
        <v>338</v>
      </c>
      <c r="AJ621" s="741">
        <v>81</v>
      </c>
      <c r="AK621" s="741"/>
      <c r="AL621" s="741">
        <v>124</v>
      </c>
      <c r="AM621" s="742">
        <v>2237</v>
      </c>
      <c r="AN621" s="743">
        <f t="shared" si="28"/>
        <v>0.84476689506919256</v>
      </c>
      <c r="AO621" s="744">
        <f t="shared" si="29"/>
        <v>0.87747877912226846</v>
      </c>
      <c r="AP621" s="745">
        <f>'09월 에너지'!S623</f>
        <v>142.9</v>
      </c>
    </row>
    <row r="622" spans="1:42" ht="16.5" customHeight="1">
      <c r="A622" s="999">
        <f>'09월 조업일지'!A622</f>
        <v>46288</v>
      </c>
      <c r="B622" s="1100">
        <f>'09월 조업일지'!B622</f>
        <v>46288</v>
      </c>
      <c r="C622" s="730">
        <f>'09월 조업일지'!G622</f>
        <v>85824</v>
      </c>
      <c r="D622" s="731" t="str">
        <f>'09월 조업일지'!E622</f>
        <v>C</v>
      </c>
      <c r="E622" s="732" t="str">
        <f>'09월 조업일지'!F622</f>
        <v>B</v>
      </c>
      <c r="F622" s="1096" t="str">
        <f>'09월 에너지'!F624</f>
        <v>SS400-01</v>
      </c>
      <c r="G622" s="733">
        <v>9</v>
      </c>
      <c r="H622" s="734">
        <v>18</v>
      </c>
      <c r="I622" s="734">
        <v>56</v>
      </c>
      <c r="J622" s="734">
        <v>16</v>
      </c>
      <c r="K622" s="735">
        <v>44</v>
      </c>
      <c r="L622" s="734">
        <v>10</v>
      </c>
      <c r="M622" s="736">
        <v>10</v>
      </c>
      <c r="N622" s="737">
        <v>413</v>
      </c>
      <c r="O622" s="737"/>
      <c r="P622" s="737">
        <v>1010</v>
      </c>
      <c r="Q622" s="737">
        <v>951</v>
      </c>
      <c r="R622" s="737"/>
      <c r="S622" s="737"/>
      <c r="T622" s="737">
        <v>76</v>
      </c>
      <c r="U622" s="738"/>
      <c r="V622" s="739">
        <v>421</v>
      </c>
      <c r="W622" s="737"/>
      <c r="X622" s="737">
        <v>1011</v>
      </c>
      <c r="Y622" s="737">
        <v>903</v>
      </c>
      <c r="Z622" s="1202">
        <v>70</v>
      </c>
      <c r="AA622" s="740"/>
      <c r="AB622" s="739"/>
      <c r="AC622" s="741"/>
      <c r="AD622" s="741">
        <v>280</v>
      </c>
      <c r="AE622" s="741">
        <v>330</v>
      </c>
      <c r="AF622" s="741"/>
      <c r="AG622" s="741">
        <v>110</v>
      </c>
      <c r="AH622" s="741">
        <v>797</v>
      </c>
      <c r="AI622" s="741">
        <v>338</v>
      </c>
      <c r="AJ622" s="741">
        <v>80</v>
      </c>
      <c r="AK622" s="741"/>
      <c r="AL622" s="741">
        <v>124</v>
      </c>
      <c r="AM622" s="742">
        <v>2075</v>
      </c>
      <c r="AN622" s="743">
        <f t="shared" si="28"/>
        <v>0.69191797346200246</v>
      </c>
      <c r="AO622" s="744">
        <f t="shared" si="29"/>
        <v>1.0538447750492921</v>
      </c>
      <c r="AP622" s="745">
        <f>'09월 에너지'!S624</f>
        <v>143.4</v>
      </c>
    </row>
    <row r="623" spans="1:42" ht="16.5" customHeight="1">
      <c r="A623" s="999">
        <f>'09월 조업일지'!A623</f>
        <v>46288</v>
      </c>
      <c r="B623" s="1100">
        <f>'09월 조업일지'!B623</f>
        <v>46288</v>
      </c>
      <c r="C623" s="730">
        <f>'09월 조업일지'!G623</f>
        <v>85825</v>
      </c>
      <c r="D623" s="731" t="str">
        <f>'09월 조업일지'!E623</f>
        <v>C</v>
      </c>
      <c r="E623" s="732" t="str">
        <f>'09월 조업일지'!F623</f>
        <v>A</v>
      </c>
      <c r="F623" s="1096" t="str">
        <f>'09월 에너지'!F625</f>
        <v>SS400-01</v>
      </c>
      <c r="G623" s="733">
        <v>10</v>
      </c>
      <c r="H623" s="734">
        <v>21</v>
      </c>
      <c r="I623" s="734">
        <v>46</v>
      </c>
      <c r="J623" s="734">
        <v>12</v>
      </c>
      <c r="K623" s="735">
        <v>24</v>
      </c>
      <c r="L623" s="734">
        <v>11</v>
      </c>
      <c r="M623" s="736">
        <v>6</v>
      </c>
      <c r="N623" s="737">
        <v>416</v>
      </c>
      <c r="O623" s="737"/>
      <c r="P623" s="737">
        <v>1014</v>
      </c>
      <c r="Q623" s="737">
        <v>951</v>
      </c>
      <c r="R623" s="737"/>
      <c r="S623" s="737"/>
      <c r="T623" s="737">
        <v>67</v>
      </c>
      <c r="U623" s="738"/>
      <c r="V623" s="739">
        <v>415</v>
      </c>
      <c r="W623" s="737"/>
      <c r="X623" s="737">
        <v>1016</v>
      </c>
      <c r="Y623" s="737">
        <v>903</v>
      </c>
      <c r="Z623" s="1202">
        <v>70</v>
      </c>
      <c r="AA623" s="740"/>
      <c r="AB623" s="739"/>
      <c r="AC623" s="741"/>
      <c r="AD623" s="741">
        <v>278</v>
      </c>
      <c r="AE623" s="741">
        <v>330</v>
      </c>
      <c r="AF623" s="741"/>
      <c r="AG623" s="741">
        <v>110</v>
      </c>
      <c r="AH623" s="741">
        <v>795</v>
      </c>
      <c r="AI623" s="741">
        <v>341</v>
      </c>
      <c r="AJ623" s="741">
        <v>82</v>
      </c>
      <c r="AK623" s="741"/>
      <c r="AL623" s="741">
        <v>120</v>
      </c>
      <c r="AM623" s="742">
        <v>2931</v>
      </c>
      <c r="AN623" s="743">
        <f t="shared" si="28"/>
        <v>0.81032000000000004</v>
      </c>
      <c r="AO623" s="744">
        <f t="shared" si="29"/>
        <v>0.80605570530098836</v>
      </c>
      <c r="AP623" s="745">
        <f>'09월 에너지'!S625</f>
        <v>144.69999999999999</v>
      </c>
    </row>
    <row r="624" spans="1:42" ht="16.5" customHeight="1">
      <c r="A624" s="999">
        <f>'09월 조업일지'!A624</f>
        <v>46288</v>
      </c>
      <c r="B624" s="1100">
        <f>'09월 조업일지'!B624</f>
        <v>46288</v>
      </c>
      <c r="C624" s="730">
        <f>'09월 조업일지'!G624</f>
        <v>85826</v>
      </c>
      <c r="D624" s="731" t="str">
        <f>'09월 조업일지'!E624</f>
        <v>C</v>
      </c>
      <c r="E624" s="732" t="str">
        <f>'09월 조업일지'!F624</f>
        <v>B</v>
      </c>
      <c r="F624" s="1096" t="str">
        <f>'09월 에너지'!F626</f>
        <v>SS400-01</v>
      </c>
      <c r="G624" s="733">
        <v>7</v>
      </c>
      <c r="H624" s="734">
        <v>22</v>
      </c>
      <c r="I624" s="734">
        <v>53</v>
      </c>
      <c r="J624" s="734">
        <v>15</v>
      </c>
      <c r="K624" s="735">
        <v>36</v>
      </c>
      <c r="L624" s="734">
        <v>11</v>
      </c>
      <c r="M624" s="736">
        <v>8</v>
      </c>
      <c r="N624" s="737">
        <v>416</v>
      </c>
      <c r="O624" s="737"/>
      <c r="P624" s="737">
        <v>1014</v>
      </c>
      <c r="Q624" s="737">
        <v>953</v>
      </c>
      <c r="R624" s="737"/>
      <c r="S624" s="737"/>
      <c r="T624" s="737">
        <v>63</v>
      </c>
      <c r="U624" s="738"/>
      <c r="V624" s="739">
        <v>418</v>
      </c>
      <c r="W624" s="737"/>
      <c r="X624" s="737">
        <v>1014</v>
      </c>
      <c r="Y624" s="737">
        <v>904</v>
      </c>
      <c r="Z624" s="1202">
        <v>61</v>
      </c>
      <c r="AA624" s="740"/>
      <c r="AB624" s="739"/>
      <c r="AC624" s="741"/>
      <c r="AD624" s="741">
        <v>284</v>
      </c>
      <c r="AE624" s="741">
        <v>330</v>
      </c>
      <c r="AF624" s="741"/>
      <c r="AG624" s="741">
        <v>110</v>
      </c>
      <c r="AH624" s="741">
        <v>796</v>
      </c>
      <c r="AI624" s="741">
        <v>336</v>
      </c>
      <c r="AJ624" s="741">
        <v>83</v>
      </c>
      <c r="AK624" s="741"/>
      <c r="AL624" s="741">
        <v>122</v>
      </c>
      <c r="AM624" s="742">
        <v>1323</v>
      </c>
      <c r="AN624" s="743">
        <f t="shared" si="28"/>
        <v>0.85180398492191711</v>
      </c>
      <c r="AO624" s="744">
        <f t="shared" si="29"/>
        <v>0.98068916008614526</v>
      </c>
      <c r="AP624" s="745">
        <f>'09월 에너지'!S626</f>
        <v>143.80000000000001</v>
      </c>
    </row>
    <row r="625" spans="1:42" ht="16.5" customHeight="1">
      <c r="A625" s="999">
        <f>'09월 조업일지'!A625</f>
        <v>46288</v>
      </c>
      <c r="B625" s="1100">
        <f>'09월 조업일지'!B625</f>
        <v>46288</v>
      </c>
      <c r="C625" s="730">
        <f>'09월 조업일지'!G625</f>
        <v>85827</v>
      </c>
      <c r="D625" s="731" t="str">
        <f>'09월 조업일지'!E625</f>
        <v>C</v>
      </c>
      <c r="E625" s="732" t="str">
        <f>'09월 조업일지'!F625</f>
        <v>A</v>
      </c>
      <c r="F625" s="1096" t="str">
        <f>'09월 에너지'!F627</f>
        <v>SS400-01</v>
      </c>
      <c r="G625" s="733">
        <v>9</v>
      </c>
      <c r="H625" s="734">
        <v>24</v>
      </c>
      <c r="I625" s="734">
        <v>53</v>
      </c>
      <c r="J625" s="734">
        <v>18</v>
      </c>
      <c r="K625" s="735">
        <v>34</v>
      </c>
      <c r="L625" s="734">
        <v>13</v>
      </c>
      <c r="M625" s="736">
        <v>8</v>
      </c>
      <c r="N625" s="737">
        <v>425</v>
      </c>
      <c r="O625" s="737"/>
      <c r="P625" s="737">
        <v>1013</v>
      </c>
      <c r="Q625" s="737">
        <v>953</v>
      </c>
      <c r="R625" s="737"/>
      <c r="S625" s="737"/>
      <c r="T625" s="737">
        <v>63</v>
      </c>
      <c r="U625" s="738"/>
      <c r="V625" s="739">
        <v>427</v>
      </c>
      <c r="W625" s="737"/>
      <c r="X625" s="737">
        <v>1016</v>
      </c>
      <c r="Y625" s="737">
        <v>907</v>
      </c>
      <c r="Z625" s="1202">
        <v>65</v>
      </c>
      <c r="AA625" s="740"/>
      <c r="AB625" s="739"/>
      <c r="AC625" s="741"/>
      <c r="AD625" s="741">
        <v>280</v>
      </c>
      <c r="AE625" s="741">
        <v>330</v>
      </c>
      <c r="AF625" s="741"/>
      <c r="AG625" s="741">
        <v>110</v>
      </c>
      <c r="AH625" s="741">
        <v>803</v>
      </c>
      <c r="AI625" s="741">
        <v>344</v>
      </c>
      <c r="AJ625" s="741">
        <v>86</v>
      </c>
      <c r="AK625" s="741"/>
      <c r="AL625" s="741">
        <v>136</v>
      </c>
      <c r="AM625" s="742">
        <v>2519</v>
      </c>
      <c r="AN625" s="743">
        <f t="shared" si="28"/>
        <v>0.90622275069361868</v>
      </c>
      <c r="AO625" s="744">
        <f t="shared" si="29"/>
        <v>0.96605586194627302</v>
      </c>
      <c r="AP625" s="745">
        <f>'09월 에너지'!S627</f>
        <v>142.9</v>
      </c>
    </row>
    <row r="626" spans="1:42" ht="16.5" customHeight="1">
      <c r="A626" s="999">
        <f>'09월 조업일지'!A626</f>
        <v>46288</v>
      </c>
      <c r="B626" s="1100">
        <f>'09월 조업일지'!B626</f>
        <v>46288</v>
      </c>
      <c r="C626" s="730">
        <f>'09월 조업일지'!G626</f>
        <v>85828</v>
      </c>
      <c r="D626" s="731" t="str">
        <f>'09월 조업일지'!E626</f>
        <v>D</v>
      </c>
      <c r="E626" s="732" t="str">
        <f>'09월 조업일지'!F626</f>
        <v>B</v>
      </c>
      <c r="F626" s="1096" t="str">
        <f>'09월 에너지'!F628</f>
        <v>SS400-01</v>
      </c>
      <c r="G626" s="733">
        <v>13</v>
      </c>
      <c r="H626" s="734">
        <v>24</v>
      </c>
      <c r="I626" s="734">
        <v>55</v>
      </c>
      <c r="J626" s="734">
        <v>13</v>
      </c>
      <c r="K626" s="735">
        <v>30</v>
      </c>
      <c r="L626" s="734">
        <v>11</v>
      </c>
      <c r="M626" s="736">
        <v>9</v>
      </c>
      <c r="N626" s="737">
        <v>421</v>
      </c>
      <c r="O626" s="737"/>
      <c r="P626" s="737">
        <v>1013</v>
      </c>
      <c r="Q626" s="737">
        <v>959</v>
      </c>
      <c r="R626" s="737"/>
      <c r="S626" s="737"/>
      <c r="T626" s="737">
        <v>61</v>
      </c>
      <c r="U626" s="738"/>
      <c r="V626" s="739">
        <v>417</v>
      </c>
      <c r="W626" s="737"/>
      <c r="X626" s="737">
        <v>1012</v>
      </c>
      <c r="Y626" s="737">
        <v>905</v>
      </c>
      <c r="Z626" s="1202">
        <v>70</v>
      </c>
      <c r="AA626" s="740"/>
      <c r="AB626" s="739"/>
      <c r="AC626" s="741"/>
      <c r="AD626" s="741">
        <v>285</v>
      </c>
      <c r="AE626" s="741">
        <v>330</v>
      </c>
      <c r="AF626" s="741"/>
      <c r="AG626" s="741">
        <v>110</v>
      </c>
      <c r="AH626" s="741">
        <v>803</v>
      </c>
      <c r="AI626" s="741">
        <v>331</v>
      </c>
      <c r="AJ626" s="741">
        <v>80</v>
      </c>
      <c r="AK626" s="741"/>
      <c r="AL626" s="741">
        <v>124</v>
      </c>
      <c r="AM626" s="742">
        <v>1323</v>
      </c>
      <c r="AN626" s="743">
        <f t="shared" si="28"/>
        <v>0.93083807973962573</v>
      </c>
      <c r="AO626" s="744">
        <f t="shared" si="29"/>
        <v>1.0176125244618397</v>
      </c>
      <c r="AP626" s="745">
        <f>'09월 에너지'!S628</f>
        <v>143</v>
      </c>
    </row>
    <row r="627" spans="1:42" ht="16.5" customHeight="1">
      <c r="A627" s="999">
        <f>'09월 조업일지'!A627</f>
        <v>46288</v>
      </c>
      <c r="B627" s="1100">
        <f>'09월 조업일지'!B627</f>
        <v>46288</v>
      </c>
      <c r="C627" s="730">
        <f>'09월 조업일지'!G627</f>
        <v>85829</v>
      </c>
      <c r="D627" s="731" t="str">
        <f>'09월 조업일지'!E627</f>
        <v>D</v>
      </c>
      <c r="E627" s="732" t="str">
        <f>'09월 조업일지'!F627</f>
        <v>A</v>
      </c>
      <c r="F627" s="1231" t="str">
        <f>'09월 에너지'!F629</f>
        <v>S355JO-01</v>
      </c>
      <c r="G627" s="733">
        <v>13</v>
      </c>
      <c r="H627" s="734">
        <v>25</v>
      </c>
      <c r="I627" s="734">
        <v>125</v>
      </c>
      <c r="J627" s="734">
        <v>15</v>
      </c>
      <c r="K627" s="735">
        <v>31</v>
      </c>
      <c r="L627" s="734">
        <v>14</v>
      </c>
      <c r="M627" s="736">
        <v>8</v>
      </c>
      <c r="N627" s="737">
        <v>425</v>
      </c>
      <c r="O627" s="737"/>
      <c r="P627" s="737">
        <v>1009</v>
      </c>
      <c r="Q627" s="737">
        <v>959</v>
      </c>
      <c r="R627" s="737"/>
      <c r="S627" s="737"/>
      <c r="T627" s="737"/>
      <c r="U627" s="738"/>
      <c r="V627" s="739">
        <v>423</v>
      </c>
      <c r="W627" s="737"/>
      <c r="X627" s="737">
        <v>1010</v>
      </c>
      <c r="Y627" s="737">
        <v>904</v>
      </c>
      <c r="Z627" s="1202"/>
      <c r="AA627" s="740"/>
      <c r="AB627" s="739"/>
      <c r="AC627" s="741"/>
      <c r="AD627" s="741">
        <v>291</v>
      </c>
      <c r="AE627" s="741">
        <v>330</v>
      </c>
      <c r="AF627" s="741"/>
      <c r="AG627" s="741">
        <v>95</v>
      </c>
      <c r="AH627" s="741">
        <v>2353</v>
      </c>
      <c r="AI627" s="741"/>
      <c r="AJ627" s="741">
        <v>81</v>
      </c>
      <c r="AK627" s="741"/>
      <c r="AL627" s="741">
        <v>120</v>
      </c>
      <c r="AM627" s="742">
        <v>1472</v>
      </c>
      <c r="AN627" s="743">
        <f t="shared" si="28"/>
        <v>0.99730840062331783</v>
      </c>
      <c r="AO627" s="744">
        <f t="shared" si="29"/>
        <v>0.94031934915912818</v>
      </c>
      <c r="AP627" s="745">
        <f>'09월 에너지'!S629</f>
        <v>140.80000000000001</v>
      </c>
    </row>
    <row r="628" spans="1:42" ht="16.5" customHeight="1">
      <c r="A628" s="999">
        <f>'09월 조업일지'!A628</f>
        <v>46288</v>
      </c>
      <c r="B628" s="1100">
        <f>'09월 조업일지'!B628</f>
        <v>46288</v>
      </c>
      <c r="C628" s="730">
        <f>'09월 조업일지'!G628</f>
        <v>85830</v>
      </c>
      <c r="D628" s="731" t="str">
        <f>'09월 조업일지'!E628</f>
        <v>D</v>
      </c>
      <c r="E628" s="732" t="str">
        <f>'09월 조업일지'!F628</f>
        <v>B</v>
      </c>
      <c r="F628" s="1096" t="str">
        <f>'09월 에너지'!F630</f>
        <v>S355JO-01</v>
      </c>
      <c r="G628" s="733">
        <v>12</v>
      </c>
      <c r="H628" s="734">
        <v>21</v>
      </c>
      <c r="I628" s="734">
        <v>125</v>
      </c>
      <c r="J628" s="734">
        <v>13</v>
      </c>
      <c r="K628" s="735">
        <v>28</v>
      </c>
      <c r="L628" s="734">
        <v>12</v>
      </c>
      <c r="M628" s="736">
        <v>10</v>
      </c>
      <c r="N628" s="737">
        <v>415</v>
      </c>
      <c r="O628" s="737"/>
      <c r="P628" s="737">
        <v>1012</v>
      </c>
      <c r="Q628" s="737">
        <v>954</v>
      </c>
      <c r="R628" s="737"/>
      <c r="S628" s="737"/>
      <c r="T628" s="737"/>
      <c r="U628" s="738"/>
      <c r="V628" s="739">
        <v>423</v>
      </c>
      <c r="W628" s="737"/>
      <c r="X628" s="737">
        <v>1010</v>
      </c>
      <c r="Y628" s="737">
        <v>903</v>
      </c>
      <c r="Z628" s="1202"/>
      <c r="AA628" s="740"/>
      <c r="AB628" s="739"/>
      <c r="AC628" s="741"/>
      <c r="AD628" s="741">
        <v>291</v>
      </c>
      <c r="AE628" s="741">
        <v>331</v>
      </c>
      <c r="AF628" s="741"/>
      <c r="AG628" s="741">
        <v>95</v>
      </c>
      <c r="AH628" s="741">
        <v>2361</v>
      </c>
      <c r="AI628" s="741"/>
      <c r="AJ628" s="741">
        <v>88</v>
      </c>
      <c r="AK628" s="741"/>
      <c r="AL628" s="741">
        <v>127</v>
      </c>
      <c r="AM628" s="742">
        <v>1141</v>
      </c>
      <c r="AN628" s="743">
        <f t="shared" si="28"/>
        <v>0.84201609487505291</v>
      </c>
      <c r="AO628" s="744">
        <f t="shared" si="29"/>
        <v>0.94512010649240652</v>
      </c>
      <c r="AP628" s="745">
        <f>'09월 에너지'!S630</f>
        <v>142</v>
      </c>
    </row>
    <row r="629" spans="1:42" ht="16.5" customHeight="1">
      <c r="A629" s="999">
        <f>'09월 조업일지'!A629</f>
        <v>46288</v>
      </c>
      <c r="B629" s="1100">
        <f>'09월 조업일지'!B629</f>
        <v>46288</v>
      </c>
      <c r="C629" s="730">
        <f>'09월 조업일지'!G629</f>
        <v>85831</v>
      </c>
      <c r="D629" s="731" t="str">
        <f>'09월 조업일지'!E629</f>
        <v>D</v>
      </c>
      <c r="E629" s="732" t="str">
        <f>'09월 조업일지'!F629</f>
        <v>A</v>
      </c>
      <c r="F629" s="1096" t="str">
        <f>'09월 에너지'!F631</f>
        <v>S355JO-01</v>
      </c>
      <c r="G629" s="733">
        <v>10</v>
      </c>
      <c r="H629" s="734">
        <v>23</v>
      </c>
      <c r="I629" s="734">
        <v>128</v>
      </c>
      <c r="J629" s="734">
        <v>20</v>
      </c>
      <c r="K629" s="735">
        <v>41</v>
      </c>
      <c r="L629" s="734">
        <v>14</v>
      </c>
      <c r="M629" s="736">
        <v>9</v>
      </c>
      <c r="N629" s="737">
        <v>425</v>
      </c>
      <c r="O629" s="737"/>
      <c r="P629" s="737">
        <v>1012</v>
      </c>
      <c r="Q629" s="737">
        <v>952</v>
      </c>
      <c r="R629" s="737"/>
      <c r="S629" s="737"/>
      <c r="T629" s="737"/>
      <c r="U629" s="738"/>
      <c r="V629" s="739">
        <v>418</v>
      </c>
      <c r="W629" s="737"/>
      <c r="X629" s="737">
        <v>1017</v>
      </c>
      <c r="Y629" s="737">
        <v>903</v>
      </c>
      <c r="Z629" s="1202"/>
      <c r="AA629" s="740"/>
      <c r="AB629" s="739"/>
      <c r="AC629" s="741"/>
      <c r="AD629" s="741">
        <v>296</v>
      </c>
      <c r="AE629" s="741">
        <v>330</v>
      </c>
      <c r="AF629" s="741"/>
      <c r="AG629" s="741">
        <v>95</v>
      </c>
      <c r="AH629" s="741">
        <v>2360</v>
      </c>
      <c r="AI629" s="741"/>
      <c r="AJ629" s="741">
        <v>85</v>
      </c>
      <c r="AK629" s="741"/>
      <c r="AL629" s="741">
        <v>124</v>
      </c>
      <c r="AM629" s="742">
        <v>1388</v>
      </c>
      <c r="AN629" s="743">
        <f t="shared" si="28"/>
        <v>0.92779661016949155</v>
      </c>
      <c r="AO629" s="744">
        <f t="shared" si="29"/>
        <v>0.97677966101694924</v>
      </c>
      <c r="AP629" s="745">
        <f>'09월 에너지'!S631</f>
        <v>142.80000000000001</v>
      </c>
    </row>
    <row r="630" spans="1:42" ht="16.5" customHeight="1">
      <c r="A630" s="999">
        <f>'09월 조업일지'!A630</f>
        <v>46288</v>
      </c>
      <c r="B630" s="1100">
        <f>'09월 조업일지'!B630</f>
        <v>46288</v>
      </c>
      <c r="C630" s="730">
        <f>'09월 조업일지'!G630</f>
        <v>85832</v>
      </c>
      <c r="D630" s="731" t="str">
        <f>'09월 조업일지'!E630</f>
        <v>D</v>
      </c>
      <c r="E630" s="732" t="str">
        <f>'09월 조업일지'!F630</f>
        <v>B</v>
      </c>
      <c r="F630" s="1096" t="str">
        <f>'09월 에너지'!F632</f>
        <v>S355JO-01</v>
      </c>
      <c r="G630" s="733">
        <v>10</v>
      </c>
      <c r="H630" s="734">
        <v>20</v>
      </c>
      <c r="I630" s="734">
        <v>122</v>
      </c>
      <c r="J630" s="734">
        <v>13</v>
      </c>
      <c r="K630" s="735">
        <v>29</v>
      </c>
      <c r="L630" s="734">
        <v>10</v>
      </c>
      <c r="M630" s="736">
        <v>10</v>
      </c>
      <c r="N630" s="737">
        <v>422</v>
      </c>
      <c r="O630" s="737"/>
      <c r="P630" s="737">
        <v>1008</v>
      </c>
      <c r="Q630" s="737">
        <v>952</v>
      </c>
      <c r="R630" s="737"/>
      <c r="S630" s="737"/>
      <c r="T630" s="737"/>
      <c r="U630" s="738"/>
      <c r="V630" s="739">
        <v>425</v>
      </c>
      <c r="W630" s="737"/>
      <c r="X630" s="737">
        <v>1015</v>
      </c>
      <c r="Y630" s="737">
        <v>906</v>
      </c>
      <c r="Z630" s="1202"/>
      <c r="AA630" s="740"/>
      <c r="AB630" s="739"/>
      <c r="AC630" s="741"/>
      <c r="AD630" s="741">
        <v>289</v>
      </c>
      <c r="AE630" s="741">
        <v>330</v>
      </c>
      <c r="AF630" s="741"/>
      <c r="AG630" s="741">
        <v>95</v>
      </c>
      <c r="AH630" s="741">
        <v>2352</v>
      </c>
      <c r="AI630" s="741"/>
      <c r="AJ630" s="741">
        <v>83</v>
      </c>
      <c r="AK630" s="741"/>
      <c r="AL630" s="741">
        <v>122</v>
      </c>
      <c r="AM630" s="742">
        <v>1766</v>
      </c>
      <c r="AN630" s="743">
        <f t="shared" si="28"/>
        <v>0.81689342403628107</v>
      </c>
      <c r="AO630" s="744">
        <f t="shared" si="29"/>
        <v>0.93650996112730811</v>
      </c>
      <c r="AP630" s="745">
        <f>'09월 에너지'!S632</f>
        <v>144.1</v>
      </c>
    </row>
    <row r="631" spans="1:42" ht="16.5" customHeight="1">
      <c r="A631" s="999">
        <f>'09월 조업일지'!A631</f>
        <v>46288</v>
      </c>
      <c r="B631" s="1100">
        <f>'09월 조업일지'!B631</f>
        <v>46288</v>
      </c>
      <c r="C631" s="730">
        <f>'09월 조업일지'!G631</f>
        <v>85833</v>
      </c>
      <c r="D631" s="731" t="str">
        <f>'09월 조업일지'!E631</f>
        <v>D</v>
      </c>
      <c r="E631" s="732" t="str">
        <f>'09월 조업일지'!F631</f>
        <v>A</v>
      </c>
      <c r="F631" s="1096" t="str">
        <f>'09월 에너지'!F633</f>
        <v>S355JO-01</v>
      </c>
      <c r="G631" s="733">
        <v>10</v>
      </c>
      <c r="H631" s="734">
        <v>21</v>
      </c>
      <c r="I631" s="734">
        <v>125</v>
      </c>
      <c r="J631" s="734">
        <v>16</v>
      </c>
      <c r="K631" s="735">
        <v>29</v>
      </c>
      <c r="L631" s="734">
        <v>14</v>
      </c>
      <c r="M631" s="736">
        <v>11</v>
      </c>
      <c r="N631" s="737">
        <v>421</v>
      </c>
      <c r="O631" s="737"/>
      <c r="P631" s="737">
        <v>1014</v>
      </c>
      <c r="Q631" s="737">
        <v>950</v>
      </c>
      <c r="R631" s="737"/>
      <c r="S631" s="737"/>
      <c r="T631" s="737"/>
      <c r="U631" s="738"/>
      <c r="V631" s="739">
        <v>419</v>
      </c>
      <c r="W631" s="737"/>
      <c r="X631" s="737">
        <v>1009</v>
      </c>
      <c r="Y631" s="737">
        <v>902</v>
      </c>
      <c r="Z631" s="1202"/>
      <c r="AA631" s="740"/>
      <c r="AB631" s="739"/>
      <c r="AC631" s="741"/>
      <c r="AD631" s="741">
        <v>287</v>
      </c>
      <c r="AE631" s="741">
        <v>330</v>
      </c>
      <c r="AF631" s="741"/>
      <c r="AG631" s="741">
        <v>95</v>
      </c>
      <c r="AH631" s="741">
        <v>2357</v>
      </c>
      <c r="AI631" s="741"/>
      <c r="AJ631" s="741">
        <v>85</v>
      </c>
      <c r="AK631" s="741"/>
      <c r="AL631" s="741">
        <v>123</v>
      </c>
      <c r="AM631" s="742">
        <v>2114</v>
      </c>
      <c r="AN631" s="743">
        <f t="shared" si="28"/>
        <v>0.84997878659312676</v>
      </c>
      <c r="AO631" s="744">
        <f t="shared" si="29"/>
        <v>0.95405782168616282</v>
      </c>
      <c r="AP631" s="745">
        <f>'09월 에너지'!S633</f>
        <v>143.1</v>
      </c>
    </row>
    <row r="632" spans="1:42" ht="16.5" customHeight="1">
      <c r="A632" s="999">
        <f>'09월 조업일지'!A632</f>
        <v>46289</v>
      </c>
      <c r="B632" s="1100">
        <f>'09월 조업일지'!B632</f>
        <v>46288</v>
      </c>
      <c r="C632" s="730">
        <f>'09월 조업일지'!G632</f>
        <v>85834</v>
      </c>
      <c r="D632" s="731" t="str">
        <f>'09월 조업일지'!E632</f>
        <v>D</v>
      </c>
      <c r="E632" s="732" t="str">
        <f>'09월 조업일지'!F632</f>
        <v>B</v>
      </c>
      <c r="F632" s="1096" t="str">
        <f>'09월 에너지'!F634</f>
        <v>S355JO-01</v>
      </c>
      <c r="G632" s="733">
        <v>12</v>
      </c>
      <c r="H632" s="734">
        <v>23</v>
      </c>
      <c r="I632" s="734">
        <v>127</v>
      </c>
      <c r="J632" s="734">
        <v>15</v>
      </c>
      <c r="K632" s="735">
        <v>35</v>
      </c>
      <c r="L632" s="734">
        <v>12</v>
      </c>
      <c r="M632" s="736">
        <v>9</v>
      </c>
      <c r="N632" s="737">
        <v>420</v>
      </c>
      <c r="O632" s="737"/>
      <c r="P632" s="737">
        <v>1011</v>
      </c>
      <c r="Q632" s="737">
        <v>953</v>
      </c>
      <c r="R632" s="737"/>
      <c r="S632" s="737"/>
      <c r="T632" s="737"/>
      <c r="U632" s="738"/>
      <c r="V632" s="739">
        <v>419</v>
      </c>
      <c r="W632" s="737"/>
      <c r="X632" s="737">
        <v>1018</v>
      </c>
      <c r="Y632" s="737">
        <v>904</v>
      </c>
      <c r="Z632" s="1202"/>
      <c r="AA632" s="740"/>
      <c r="AB632" s="739"/>
      <c r="AC632" s="741"/>
      <c r="AD632" s="741">
        <v>292</v>
      </c>
      <c r="AE632" s="741">
        <v>330</v>
      </c>
      <c r="AF632" s="741"/>
      <c r="AG632" s="741">
        <v>96</v>
      </c>
      <c r="AH632" s="741">
        <v>2359</v>
      </c>
      <c r="AI632" s="741"/>
      <c r="AJ632" s="741">
        <v>91</v>
      </c>
      <c r="AK632" s="741"/>
      <c r="AL632" s="741">
        <v>137</v>
      </c>
      <c r="AM632" s="742">
        <v>2036</v>
      </c>
      <c r="AN632" s="743">
        <f t="shared" si="28"/>
        <v>0.93468984032782265</v>
      </c>
      <c r="AO632" s="744">
        <f t="shared" si="29"/>
        <v>0.97532852903772782</v>
      </c>
      <c r="AP632" s="745">
        <f>'09월 에너지'!S634</f>
        <v>143.80000000000001</v>
      </c>
    </row>
    <row r="633" spans="1:42" ht="16.5" customHeight="1">
      <c r="A633" s="999">
        <f>'09월 조업일지'!A633</f>
        <v>46289</v>
      </c>
      <c r="B633" s="1100">
        <f>'09월 조업일지'!B633</f>
        <v>46288</v>
      </c>
      <c r="C633" s="730">
        <f>'09월 조업일지'!G633</f>
        <v>85835</v>
      </c>
      <c r="D633" s="731" t="str">
        <f>'09월 조업일지'!E633</f>
        <v>D</v>
      </c>
      <c r="E633" s="732" t="str">
        <f>'09월 조업일지'!F633</f>
        <v>A</v>
      </c>
      <c r="F633" s="1096" t="str">
        <f>'09월 에너지'!F635</f>
        <v>S355JO-01</v>
      </c>
      <c r="G633" s="733">
        <v>11</v>
      </c>
      <c r="H633" s="734">
        <v>24</v>
      </c>
      <c r="I633" s="734">
        <v>127</v>
      </c>
      <c r="J633" s="734">
        <v>14</v>
      </c>
      <c r="K633" s="735">
        <v>26</v>
      </c>
      <c r="L633" s="734">
        <v>12</v>
      </c>
      <c r="M633" s="736">
        <v>13</v>
      </c>
      <c r="N633" s="737">
        <v>422</v>
      </c>
      <c r="O633" s="737"/>
      <c r="P633" s="737">
        <v>1016</v>
      </c>
      <c r="Q633" s="737">
        <v>950</v>
      </c>
      <c r="R633" s="737"/>
      <c r="S633" s="737"/>
      <c r="T633" s="737"/>
      <c r="U633" s="738"/>
      <c r="V633" s="739">
        <v>424</v>
      </c>
      <c r="W633" s="737"/>
      <c r="X633" s="737">
        <v>1016</v>
      </c>
      <c r="Y633" s="737">
        <v>900</v>
      </c>
      <c r="Z633" s="1202"/>
      <c r="AA633" s="740"/>
      <c r="AB633" s="739"/>
      <c r="AC633" s="741"/>
      <c r="AD633" s="741">
        <v>292</v>
      </c>
      <c r="AE633" s="741">
        <v>330</v>
      </c>
      <c r="AF633" s="741"/>
      <c r="AG633" s="741">
        <v>95</v>
      </c>
      <c r="AH633" s="741">
        <v>2359</v>
      </c>
      <c r="AI633" s="741"/>
      <c r="AJ633" s="741">
        <v>88</v>
      </c>
      <c r="AK633" s="741"/>
      <c r="AL633" s="741">
        <v>125</v>
      </c>
      <c r="AM633" s="742">
        <v>2093</v>
      </c>
      <c r="AN633" s="743">
        <f t="shared" si="28"/>
        <v>0.97058075455701576</v>
      </c>
      <c r="AO633" s="744">
        <f t="shared" si="29"/>
        <v>0.97058075455701576</v>
      </c>
      <c r="AP633" s="745">
        <f>'09월 에너지'!S635</f>
        <v>143.1</v>
      </c>
    </row>
    <row r="634" spans="1:42" ht="16.5" customHeight="1">
      <c r="A634" s="999">
        <f>'09월 조업일지'!A634</f>
        <v>46289</v>
      </c>
      <c r="B634" s="1100">
        <f>'09월 조업일지'!B634</f>
        <v>46288</v>
      </c>
      <c r="C634" s="730">
        <f>'09월 조업일지'!G634</f>
        <v>85836</v>
      </c>
      <c r="D634" s="731" t="str">
        <f>'09월 조업일지'!E634</f>
        <v>D</v>
      </c>
      <c r="E634" s="732" t="str">
        <f>'09월 조업일지'!F634</f>
        <v>B</v>
      </c>
      <c r="F634" s="1096" t="str">
        <f>'09월 에너지'!F636</f>
        <v>S355JO-01</v>
      </c>
      <c r="G634" s="733">
        <v>9</v>
      </c>
      <c r="H634" s="734">
        <v>21</v>
      </c>
      <c r="I634" s="734">
        <v>124</v>
      </c>
      <c r="J634" s="734">
        <v>16</v>
      </c>
      <c r="K634" s="735">
        <v>27</v>
      </c>
      <c r="L634" s="734">
        <v>12</v>
      </c>
      <c r="M634" s="736">
        <v>11</v>
      </c>
      <c r="N634" s="737">
        <v>416</v>
      </c>
      <c r="O634" s="737"/>
      <c r="P634" s="737">
        <v>851</v>
      </c>
      <c r="Q634" s="737">
        <v>966</v>
      </c>
      <c r="R634" s="737"/>
      <c r="S634" s="737"/>
      <c r="T634" s="737"/>
      <c r="U634" s="738"/>
      <c r="V634" s="739">
        <v>425</v>
      </c>
      <c r="W634" s="737"/>
      <c r="X634" s="737">
        <v>1001</v>
      </c>
      <c r="Y634" s="737">
        <v>901</v>
      </c>
      <c r="Z634" s="1202"/>
      <c r="AA634" s="740"/>
      <c r="AB634" s="739"/>
      <c r="AC634" s="741"/>
      <c r="AD634" s="741">
        <v>280</v>
      </c>
      <c r="AE634" s="741">
        <v>331</v>
      </c>
      <c r="AF634" s="741"/>
      <c r="AG634" s="741">
        <v>95</v>
      </c>
      <c r="AH634" s="741">
        <v>2352</v>
      </c>
      <c r="AI634" s="741"/>
      <c r="AJ634" s="741">
        <v>86</v>
      </c>
      <c r="AK634" s="741"/>
      <c r="AL634" s="741">
        <v>131</v>
      </c>
      <c r="AM634" s="742">
        <v>1398</v>
      </c>
      <c r="AN634" s="743">
        <f t="shared" si="28"/>
        <v>0.85535714285714282</v>
      </c>
      <c r="AO634" s="744">
        <f t="shared" si="29"/>
        <v>0.95136661807580181</v>
      </c>
      <c r="AP634" s="745">
        <f>'09월 에너지'!S636</f>
        <v>143.69999999999999</v>
      </c>
    </row>
    <row r="635" spans="1:42" ht="16.5" customHeight="1">
      <c r="A635" s="999">
        <f>'09월 조업일지'!A635</f>
        <v>46289</v>
      </c>
      <c r="B635" s="1100">
        <f>'09월 조업일지'!B635</f>
        <v>46288</v>
      </c>
      <c r="C635" s="730">
        <f>'09월 조업일지'!G635</f>
        <v>85837</v>
      </c>
      <c r="D635" s="731" t="str">
        <f>'09월 조업일지'!E635</f>
        <v>D</v>
      </c>
      <c r="E635" s="732" t="str">
        <f>'09월 조업일지'!F635</f>
        <v>A</v>
      </c>
      <c r="F635" s="1096" t="str">
        <f>'09월 에너지'!F637</f>
        <v>S355JO-01</v>
      </c>
      <c r="G635" s="733">
        <v>12</v>
      </c>
      <c r="H635" s="734">
        <v>22</v>
      </c>
      <c r="I635" s="734">
        <v>123</v>
      </c>
      <c r="J635" s="734">
        <v>14</v>
      </c>
      <c r="K635" s="735">
        <v>28</v>
      </c>
      <c r="L635" s="734">
        <v>10</v>
      </c>
      <c r="M635" s="736">
        <v>8</v>
      </c>
      <c r="N635" s="737">
        <v>416</v>
      </c>
      <c r="O635" s="737"/>
      <c r="P635" s="737">
        <v>1000</v>
      </c>
      <c r="Q635" s="737">
        <v>954</v>
      </c>
      <c r="R635" s="737"/>
      <c r="S635" s="737"/>
      <c r="T635" s="737"/>
      <c r="U635" s="738"/>
      <c r="V635" s="739">
        <v>427</v>
      </c>
      <c r="W635" s="737"/>
      <c r="X635" s="737">
        <v>1000</v>
      </c>
      <c r="Y635" s="737">
        <v>902</v>
      </c>
      <c r="Z635" s="1202"/>
      <c r="AA635" s="740"/>
      <c r="AB635" s="739"/>
      <c r="AC635" s="741"/>
      <c r="AD635" s="741">
        <v>281</v>
      </c>
      <c r="AE635" s="741">
        <v>331</v>
      </c>
      <c r="AF635" s="741"/>
      <c r="AG635" s="741">
        <v>95</v>
      </c>
      <c r="AH635" s="741">
        <v>2362</v>
      </c>
      <c r="AI635" s="741"/>
      <c r="AJ635" s="741">
        <v>88</v>
      </c>
      <c r="AK635" s="741"/>
      <c r="AL635" s="741">
        <v>129</v>
      </c>
      <c r="AM635" s="742">
        <v>2161</v>
      </c>
      <c r="AN635" s="743">
        <f t="shared" si="28"/>
        <v>0.89043183742591026</v>
      </c>
      <c r="AO635" s="744">
        <f t="shared" si="29"/>
        <v>0.93668803677271084</v>
      </c>
      <c r="AP635" s="745">
        <f>'09월 에너지'!S637</f>
        <v>143.4</v>
      </c>
    </row>
    <row r="636" spans="1:42" ht="16.5" customHeight="1">
      <c r="A636" s="999">
        <f>'09월 조업일지'!A636</f>
        <v>46289</v>
      </c>
      <c r="B636" s="1100">
        <f>'09월 조업일지'!B636</f>
        <v>46289</v>
      </c>
      <c r="C636" s="730">
        <f>'09월 조업일지'!G636</f>
        <v>85838</v>
      </c>
      <c r="D636" s="731" t="str">
        <f>'09월 조업일지'!E636</f>
        <v>B</v>
      </c>
      <c r="E636" s="732" t="str">
        <f>'09월 조업일지'!F636</f>
        <v>B</v>
      </c>
      <c r="F636" s="1096" t="str">
        <f>'09월 에너지'!F638</f>
        <v>S355JO-01</v>
      </c>
      <c r="G636" s="733">
        <v>11</v>
      </c>
      <c r="H636" s="734">
        <v>20</v>
      </c>
      <c r="I636" s="734">
        <v>128</v>
      </c>
      <c r="J636" s="734">
        <v>19</v>
      </c>
      <c r="K636" s="735">
        <v>29</v>
      </c>
      <c r="L636" s="734">
        <v>13</v>
      </c>
      <c r="M636" s="736">
        <v>11</v>
      </c>
      <c r="N636" s="737">
        <v>426</v>
      </c>
      <c r="O636" s="737"/>
      <c r="P636" s="737">
        <v>1016</v>
      </c>
      <c r="Q636" s="737">
        <v>950</v>
      </c>
      <c r="R636" s="737"/>
      <c r="S636" s="737"/>
      <c r="T636" s="737"/>
      <c r="U636" s="738"/>
      <c r="V636" s="739">
        <v>423</v>
      </c>
      <c r="W636" s="737"/>
      <c r="X636" s="737">
        <v>1016</v>
      </c>
      <c r="Y636" s="737">
        <v>900</v>
      </c>
      <c r="Z636" s="1202"/>
      <c r="AA636" s="740"/>
      <c r="AB636" s="739"/>
      <c r="AC636" s="741"/>
      <c r="AD636" s="741">
        <v>280</v>
      </c>
      <c r="AE636" s="741">
        <v>330</v>
      </c>
      <c r="AF636" s="741"/>
      <c r="AG636" s="741">
        <v>95</v>
      </c>
      <c r="AH636" s="741">
        <v>2349</v>
      </c>
      <c r="AI636" s="741"/>
      <c r="AJ636" s="741">
        <v>89</v>
      </c>
      <c r="AK636" s="741"/>
      <c r="AL636" s="741">
        <v>124</v>
      </c>
      <c r="AM636" s="742">
        <v>1761</v>
      </c>
      <c r="AN636" s="743">
        <f t="shared" si="28"/>
        <v>0.82361288491556695</v>
      </c>
      <c r="AO636" s="744">
        <f t="shared" si="29"/>
        <v>0.99715988566563285</v>
      </c>
      <c r="AP636" s="745">
        <f>'09월 에너지'!S638</f>
        <v>145.1</v>
      </c>
    </row>
    <row r="637" spans="1:42" ht="16.5" customHeight="1">
      <c r="A637" s="999">
        <f>'09월 조업일지'!A637</f>
        <v>46289</v>
      </c>
      <c r="B637" s="1100">
        <f>'09월 조업일지'!B637</f>
        <v>46289</v>
      </c>
      <c r="C637" s="730">
        <f>'09월 조업일지'!G637</f>
        <v>85839</v>
      </c>
      <c r="D637" s="731" t="str">
        <f>'09월 조업일지'!E637</f>
        <v>B</v>
      </c>
      <c r="E637" s="732" t="str">
        <f>'09월 조업일지'!F637</f>
        <v>A</v>
      </c>
      <c r="F637" s="1096" t="str">
        <f>'09월 에너지'!F639</f>
        <v>S355JO-01</v>
      </c>
      <c r="G637" s="733">
        <v>11</v>
      </c>
      <c r="H637" s="734">
        <v>23</v>
      </c>
      <c r="I637" s="734">
        <v>126</v>
      </c>
      <c r="J637" s="734">
        <v>14</v>
      </c>
      <c r="K637" s="735">
        <v>26</v>
      </c>
      <c r="L637" s="734">
        <v>12</v>
      </c>
      <c r="M637" s="736">
        <v>9</v>
      </c>
      <c r="N637" s="737">
        <v>420</v>
      </c>
      <c r="O637" s="737"/>
      <c r="P637" s="737">
        <v>1000</v>
      </c>
      <c r="Q637" s="737">
        <v>966</v>
      </c>
      <c r="R637" s="737"/>
      <c r="S637" s="737"/>
      <c r="T637" s="737"/>
      <c r="U637" s="738"/>
      <c r="V637" s="739">
        <v>423</v>
      </c>
      <c r="W637" s="737"/>
      <c r="X637" s="737">
        <v>1001</v>
      </c>
      <c r="Y637" s="737">
        <v>901</v>
      </c>
      <c r="Z637" s="1202"/>
      <c r="AA637" s="740"/>
      <c r="AB637" s="739"/>
      <c r="AC637" s="741"/>
      <c r="AD637" s="741">
        <v>280</v>
      </c>
      <c r="AE637" s="741">
        <v>331</v>
      </c>
      <c r="AF637" s="741"/>
      <c r="AG637" s="741">
        <v>95</v>
      </c>
      <c r="AH637" s="741">
        <v>2355</v>
      </c>
      <c r="AI637" s="741"/>
      <c r="AJ637" s="741">
        <v>83</v>
      </c>
      <c r="AK637" s="741"/>
      <c r="AL637" s="741">
        <v>128</v>
      </c>
      <c r="AM637" s="742">
        <v>1393</v>
      </c>
      <c r="AN637" s="743">
        <f t="shared" si="28"/>
        <v>0.9408351026185422</v>
      </c>
      <c r="AO637" s="744">
        <f t="shared" si="29"/>
        <v>0.97297543221110105</v>
      </c>
      <c r="AP637" s="745">
        <f>'09월 에너지'!S639</f>
        <v>144.5</v>
      </c>
    </row>
    <row r="638" spans="1:42" ht="16.5" customHeight="1">
      <c r="A638" s="999">
        <f>'09월 조업일지'!A638</f>
        <v>46289</v>
      </c>
      <c r="B638" s="1100">
        <f>'09월 조업일지'!B638</f>
        <v>46289</v>
      </c>
      <c r="C638" s="730">
        <f>'09월 조업일지'!G638</f>
        <v>85840</v>
      </c>
      <c r="D638" s="731" t="str">
        <f>'09월 조업일지'!E638</f>
        <v>B</v>
      </c>
      <c r="E638" s="732" t="str">
        <f>'09월 조업일지'!F638</f>
        <v>B</v>
      </c>
      <c r="F638" s="1096" t="str">
        <f>'09월 에너지'!F640</f>
        <v>S355JO-01</v>
      </c>
      <c r="G638" s="733">
        <v>10</v>
      </c>
      <c r="H638" s="734">
        <v>20</v>
      </c>
      <c r="I638" s="734">
        <v>130</v>
      </c>
      <c r="J638" s="734">
        <v>16</v>
      </c>
      <c r="K638" s="735">
        <v>25</v>
      </c>
      <c r="L638" s="734">
        <v>10</v>
      </c>
      <c r="M638" s="736">
        <v>9</v>
      </c>
      <c r="N638" s="737">
        <v>427</v>
      </c>
      <c r="O638" s="737"/>
      <c r="P638" s="737">
        <v>1000</v>
      </c>
      <c r="Q638" s="737">
        <v>954</v>
      </c>
      <c r="R638" s="737"/>
      <c r="S638" s="737"/>
      <c r="T638" s="737"/>
      <c r="U638" s="738"/>
      <c r="V638" s="739">
        <v>428</v>
      </c>
      <c r="W638" s="737"/>
      <c r="X638" s="737">
        <v>1000</v>
      </c>
      <c r="Y638" s="737">
        <v>902</v>
      </c>
      <c r="Z638" s="1202"/>
      <c r="AA638" s="740"/>
      <c r="AB638" s="739"/>
      <c r="AC638" s="741"/>
      <c r="AD638" s="741">
        <v>281</v>
      </c>
      <c r="AE638" s="741">
        <v>331</v>
      </c>
      <c r="AF638" s="741"/>
      <c r="AG638" s="741">
        <v>95</v>
      </c>
      <c r="AH638" s="741">
        <v>2355</v>
      </c>
      <c r="AI638" s="741"/>
      <c r="AJ638" s="741">
        <v>86</v>
      </c>
      <c r="AK638" s="741"/>
      <c r="AL638" s="741">
        <v>134</v>
      </c>
      <c r="AM638" s="742">
        <v>1545</v>
      </c>
      <c r="AN638" s="743">
        <f t="shared" si="28"/>
        <v>0.82264685067232846</v>
      </c>
      <c r="AO638" s="744">
        <f t="shared" si="29"/>
        <v>1.013618441006976</v>
      </c>
      <c r="AP638" s="745">
        <f>'09월 에너지'!S640</f>
        <v>145.30000000000001</v>
      </c>
    </row>
    <row r="639" spans="1:42" ht="16.5" customHeight="1">
      <c r="A639" s="999">
        <f>'09월 조업일지'!A639</f>
        <v>46289</v>
      </c>
      <c r="B639" s="1100">
        <f>'09월 조업일지'!B639</f>
        <v>46289</v>
      </c>
      <c r="C639" s="730">
        <f>'09월 조업일지'!G639</f>
        <v>85841</v>
      </c>
      <c r="D639" s="731" t="str">
        <f>'09월 조업일지'!E639</f>
        <v>B</v>
      </c>
      <c r="E639" s="732" t="str">
        <f>'09월 조업일지'!F639</f>
        <v>A</v>
      </c>
      <c r="F639" s="1096" t="str">
        <f>'09월 에너지'!F641</f>
        <v>S355JO-01</v>
      </c>
      <c r="G639" s="733">
        <v>11</v>
      </c>
      <c r="H639" s="734">
        <v>21</v>
      </c>
      <c r="I639" s="734">
        <v>124</v>
      </c>
      <c r="J639" s="734">
        <v>14</v>
      </c>
      <c r="K639" s="735">
        <v>31</v>
      </c>
      <c r="L639" s="734">
        <v>12</v>
      </c>
      <c r="M639" s="736">
        <v>10</v>
      </c>
      <c r="N639" s="737">
        <v>416</v>
      </c>
      <c r="O639" s="737"/>
      <c r="P639" s="737">
        <v>1001</v>
      </c>
      <c r="Q639" s="737">
        <v>954</v>
      </c>
      <c r="R639" s="737"/>
      <c r="S639" s="737"/>
      <c r="T639" s="737"/>
      <c r="U639" s="738"/>
      <c r="V639" s="739">
        <v>420</v>
      </c>
      <c r="W639" s="737"/>
      <c r="X639" s="737">
        <v>1002</v>
      </c>
      <c r="Y639" s="737">
        <v>901</v>
      </c>
      <c r="Z639" s="1202"/>
      <c r="AA639" s="740"/>
      <c r="AB639" s="739"/>
      <c r="AC639" s="741"/>
      <c r="AD639" s="741">
        <v>281</v>
      </c>
      <c r="AE639" s="741">
        <v>330</v>
      </c>
      <c r="AF639" s="741"/>
      <c r="AG639" s="741">
        <v>95</v>
      </c>
      <c r="AH639" s="741">
        <v>2351</v>
      </c>
      <c r="AI639" s="741"/>
      <c r="AJ639" s="741">
        <v>84</v>
      </c>
      <c r="AK639" s="741"/>
      <c r="AL639" s="741">
        <v>132</v>
      </c>
      <c r="AM639" s="742">
        <v>1597</v>
      </c>
      <c r="AN639" s="743">
        <f t="shared" si="28"/>
        <v>0.86405784772437255</v>
      </c>
      <c r="AO639" s="744">
        <f t="shared" si="29"/>
        <v>0.96104393267302668</v>
      </c>
      <c r="AP639" s="745">
        <f>'09월 에너지'!S641</f>
        <v>145.1</v>
      </c>
    </row>
    <row r="640" spans="1:42" ht="16.5" customHeight="1">
      <c r="A640" s="999">
        <f>'09월 조업일지'!A640</f>
        <v>46289</v>
      </c>
      <c r="B640" s="1100">
        <f>'09월 조업일지'!B640</f>
        <v>46289</v>
      </c>
      <c r="C640" s="730">
        <f>'09월 조업일지'!G640</f>
        <v>85842</v>
      </c>
      <c r="D640" s="731" t="str">
        <f>'09월 조업일지'!E640</f>
        <v>B</v>
      </c>
      <c r="E640" s="732" t="str">
        <f>'09월 조업일지'!F640</f>
        <v>B</v>
      </c>
      <c r="F640" s="1096" t="str">
        <f>'09월 에너지'!F642</f>
        <v>S355JO-01</v>
      </c>
      <c r="G640" s="733">
        <v>11</v>
      </c>
      <c r="H640" s="734">
        <v>21</v>
      </c>
      <c r="I640" s="734">
        <v>125</v>
      </c>
      <c r="J640" s="734">
        <v>15</v>
      </c>
      <c r="K640" s="735">
        <v>31</v>
      </c>
      <c r="L640" s="734">
        <v>12</v>
      </c>
      <c r="M640" s="736">
        <v>10</v>
      </c>
      <c r="N640" s="737">
        <v>418</v>
      </c>
      <c r="O640" s="737"/>
      <c r="P640" s="737">
        <v>1000</v>
      </c>
      <c r="Q640" s="737">
        <v>952</v>
      </c>
      <c r="R640" s="737"/>
      <c r="S640" s="737"/>
      <c r="T640" s="737"/>
      <c r="U640" s="738"/>
      <c r="V640" s="739">
        <v>421</v>
      </c>
      <c r="W640" s="737"/>
      <c r="X640" s="737">
        <v>1000</v>
      </c>
      <c r="Y640" s="737">
        <v>903</v>
      </c>
      <c r="Z640" s="1202"/>
      <c r="AA640" s="740"/>
      <c r="AB640" s="739"/>
      <c r="AC640" s="741"/>
      <c r="AD640" s="741">
        <v>281</v>
      </c>
      <c r="AE640" s="741">
        <v>330</v>
      </c>
      <c r="AF640" s="741"/>
      <c r="AG640" s="741">
        <v>95</v>
      </c>
      <c r="AH640" s="741">
        <v>2353</v>
      </c>
      <c r="AI640" s="741"/>
      <c r="AJ640" s="741">
        <v>86</v>
      </c>
      <c r="AK640" s="741"/>
      <c r="AL640" s="741">
        <v>127</v>
      </c>
      <c r="AM640" s="742">
        <v>1797</v>
      </c>
      <c r="AN640" s="743">
        <f t="shared" si="28"/>
        <v>0.86391840203994907</v>
      </c>
      <c r="AO640" s="744">
        <f t="shared" si="29"/>
        <v>0.96970432882035096</v>
      </c>
      <c r="AP640" s="745">
        <f>'09월 에너지'!S642</f>
        <v>145.19999999999999</v>
      </c>
    </row>
    <row r="641" spans="1:42" ht="16.5" customHeight="1">
      <c r="A641" s="999">
        <f>'09월 조업일지'!A641</f>
        <v>46289</v>
      </c>
      <c r="B641" s="1100">
        <f>'09월 조업일지'!B641</f>
        <v>46289</v>
      </c>
      <c r="C641" s="730">
        <f>'09월 조업일지'!G641</f>
        <v>85843</v>
      </c>
      <c r="D641" s="731" t="str">
        <f>'09월 조업일지'!E641</f>
        <v>B</v>
      </c>
      <c r="E641" s="732" t="str">
        <f>'09월 조업일지'!F641</f>
        <v>A</v>
      </c>
      <c r="F641" s="1096" t="str">
        <f>'09월 에너지'!F643</f>
        <v>S355JO-01</v>
      </c>
      <c r="G641" s="733">
        <v>9</v>
      </c>
      <c r="H641" s="734">
        <v>16</v>
      </c>
      <c r="I641" s="734">
        <v>118</v>
      </c>
      <c r="J641" s="734">
        <v>14</v>
      </c>
      <c r="K641" s="735">
        <v>27</v>
      </c>
      <c r="L641" s="734">
        <v>12</v>
      </c>
      <c r="M641" s="736">
        <v>17</v>
      </c>
      <c r="N641" s="737">
        <v>425</v>
      </c>
      <c r="O641" s="737"/>
      <c r="P641" s="737">
        <v>1001</v>
      </c>
      <c r="Q641" s="737">
        <v>952</v>
      </c>
      <c r="R641" s="737"/>
      <c r="S641" s="737"/>
      <c r="T641" s="737"/>
      <c r="U641" s="738"/>
      <c r="V641" s="739">
        <v>421</v>
      </c>
      <c r="W641" s="737"/>
      <c r="X641" s="737">
        <v>1000</v>
      </c>
      <c r="Y641" s="737">
        <v>901</v>
      </c>
      <c r="Z641" s="1202"/>
      <c r="AA641" s="740"/>
      <c r="AB641" s="739"/>
      <c r="AC641" s="741"/>
      <c r="AD641" s="741">
        <v>281</v>
      </c>
      <c r="AE641" s="741">
        <v>330</v>
      </c>
      <c r="AF641" s="741"/>
      <c r="AG641" s="741">
        <v>95</v>
      </c>
      <c r="AH641" s="741">
        <v>2358</v>
      </c>
      <c r="AI641" s="741"/>
      <c r="AJ641" s="741">
        <v>86</v>
      </c>
      <c r="AK641" s="741"/>
      <c r="AL641" s="741">
        <v>124</v>
      </c>
      <c r="AM641" s="742">
        <v>1972</v>
      </c>
      <c r="AN641" s="743">
        <f t="shared" si="28"/>
        <v>0.65547073791348609</v>
      </c>
      <c r="AO641" s="744">
        <f t="shared" si="29"/>
        <v>0.90419847328244285</v>
      </c>
      <c r="AP641" s="745">
        <f>'09월 에너지'!S643</f>
        <v>144.9</v>
      </c>
    </row>
    <row r="642" spans="1:42" ht="16.5" customHeight="1">
      <c r="A642" s="999">
        <f>'09월 조업일지'!A642</f>
        <v>46289</v>
      </c>
      <c r="B642" s="1100">
        <f>'09월 조업일지'!B642</f>
        <v>46289</v>
      </c>
      <c r="C642" s="730">
        <f>'09월 조업일지'!G642</f>
        <v>85844</v>
      </c>
      <c r="D642" s="731" t="str">
        <f>'09월 조업일지'!E642</f>
        <v>B</v>
      </c>
      <c r="E642" s="732" t="str">
        <f>'09월 조업일지'!F642</f>
        <v>B</v>
      </c>
      <c r="F642" s="1096" t="str">
        <f>'09월 에너지'!F644</f>
        <v>S355JO-01</v>
      </c>
      <c r="G642" s="733">
        <v>10</v>
      </c>
      <c r="H642" s="734">
        <v>17</v>
      </c>
      <c r="I642" s="734">
        <v>134</v>
      </c>
      <c r="J642" s="734">
        <v>19</v>
      </c>
      <c r="K642" s="735">
        <v>37</v>
      </c>
      <c r="L642" s="734">
        <v>15</v>
      </c>
      <c r="M642" s="736">
        <v>9</v>
      </c>
      <c r="N642" s="737">
        <v>420</v>
      </c>
      <c r="O642" s="737"/>
      <c r="P642" s="737">
        <v>1000</v>
      </c>
      <c r="Q642" s="737">
        <v>951</v>
      </c>
      <c r="R642" s="737"/>
      <c r="S642" s="737"/>
      <c r="T642" s="737"/>
      <c r="U642" s="738"/>
      <c r="V642" s="739">
        <v>422</v>
      </c>
      <c r="W642" s="737"/>
      <c r="X642" s="737">
        <v>1001</v>
      </c>
      <c r="Y642" s="737">
        <v>901</v>
      </c>
      <c r="Z642" s="1202"/>
      <c r="AA642" s="740"/>
      <c r="AB642" s="739"/>
      <c r="AC642" s="741"/>
      <c r="AD642" s="741">
        <v>280</v>
      </c>
      <c r="AE642" s="741">
        <v>330</v>
      </c>
      <c r="AF642" s="741"/>
      <c r="AG642" s="741">
        <v>94</v>
      </c>
      <c r="AH642" s="741">
        <v>2353</v>
      </c>
      <c r="AI642" s="741"/>
      <c r="AJ642" s="741">
        <v>84</v>
      </c>
      <c r="AK642" s="741"/>
      <c r="AL642" s="741">
        <v>119</v>
      </c>
      <c r="AM642" s="742">
        <v>1595</v>
      </c>
      <c r="AN642" s="743">
        <f t="shared" si="28"/>
        <v>0.69550927893469328</v>
      </c>
      <c r="AO642" s="744">
        <f t="shared" si="29"/>
        <v>1.04326391840204</v>
      </c>
      <c r="AP642" s="745">
        <f>'09월 에너지'!S644</f>
        <v>144.4</v>
      </c>
    </row>
    <row r="643" spans="1:42" ht="16.5" customHeight="1">
      <c r="A643" s="999">
        <f>'09월 조업일지'!A643</f>
        <v>46289</v>
      </c>
      <c r="B643" s="1100">
        <f>'09월 조업일지'!B643</f>
        <v>46289</v>
      </c>
      <c r="C643" s="730">
        <f>'09월 조업일지'!G643</f>
        <v>85845</v>
      </c>
      <c r="D643" s="731" t="str">
        <f>'09월 조업일지'!E643</f>
        <v>B</v>
      </c>
      <c r="E643" s="732" t="str">
        <f>'09월 조업일지'!F643</f>
        <v>A</v>
      </c>
      <c r="F643" s="1231" t="str">
        <f>'09월 에너지'!F645</f>
        <v>SS400-01</v>
      </c>
      <c r="G643" s="733">
        <v>9</v>
      </c>
      <c r="H643" s="734">
        <v>21</v>
      </c>
      <c r="I643" s="734">
        <v>50</v>
      </c>
      <c r="J643" s="734">
        <v>13</v>
      </c>
      <c r="K643" s="735">
        <v>25</v>
      </c>
      <c r="L643" s="734">
        <v>10</v>
      </c>
      <c r="M643" s="736">
        <v>9</v>
      </c>
      <c r="N643" s="737">
        <v>416</v>
      </c>
      <c r="O643" s="737"/>
      <c r="P643" s="737">
        <v>1002</v>
      </c>
      <c r="Q643" s="737">
        <v>952</v>
      </c>
      <c r="R643" s="737"/>
      <c r="S643" s="737"/>
      <c r="T643" s="737"/>
      <c r="U643" s="738"/>
      <c r="V643" s="739">
        <v>427</v>
      </c>
      <c r="W643" s="737"/>
      <c r="X643" s="737">
        <v>1001</v>
      </c>
      <c r="Y643" s="737">
        <v>901</v>
      </c>
      <c r="Z643" s="1202"/>
      <c r="AA643" s="740"/>
      <c r="AB643" s="739"/>
      <c r="AC643" s="741"/>
      <c r="AD643" s="741">
        <v>271</v>
      </c>
      <c r="AE643" s="741">
        <v>331</v>
      </c>
      <c r="AF643" s="741"/>
      <c r="AG643" s="741">
        <v>110</v>
      </c>
      <c r="AH643" s="741">
        <v>796</v>
      </c>
      <c r="AI643" s="741">
        <v>332</v>
      </c>
      <c r="AJ643" s="741">
        <v>83</v>
      </c>
      <c r="AK643" s="741"/>
      <c r="AL643" s="741">
        <v>127</v>
      </c>
      <c r="AM643" s="742">
        <v>2493</v>
      </c>
      <c r="AN643" s="743">
        <f t="shared" si="28"/>
        <v>0.83167752442996745</v>
      </c>
      <c r="AO643" s="744">
        <f t="shared" si="29"/>
        <v>0.91645728643216084</v>
      </c>
      <c r="AP643" s="745">
        <f>'09월 에너지'!S645</f>
        <v>145.9</v>
      </c>
    </row>
    <row r="644" spans="1:42" ht="16.5" customHeight="1">
      <c r="A644" s="999">
        <f>'09월 조업일지'!A644</f>
        <v>46289</v>
      </c>
      <c r="B644" s="1100">
        <f>'09월 조업일지'!B644</f>
        <v>46289</v>
      </c>
      <c r="C644" s="730">
        <f>'09월 조업일지'!G644</f>
        <v>85846</v>
      </c>
      <c r="D644" s="731" t="str">
        <f>'09월 조업일지'!E644</f>
        <v>B</v>
      </c>
      <c r="E644" s="732" t="str">
        <f>'09월 조업일지'!F644</f>
        <v>B</v>
      </c>
      <c r="F644" s="1231" t="str">
        <f>'09월 에너지'!F646</f>
        <v>SY300</v>
      </c>
      <c r="G644" s="733">
        <v>11</v>
      </c>
      <c r="H644" s="734">
        <v>31</v>
      </c>
      <c r="I644" s="734">
        <v>107</v>
      </c>
      <c r="J644" s="734">
        <v>16</v>
      </c>
      <c r="K644" s="735">
        <v>36</v>
      </c>
      <c r="L644" s="734">
        <v>11</v>
      </c>
      <c r="M644" s="736">
        <v>12</v>
      </c>
      <c r="N644" s="737">
        <v>427</v>
      </c>
      <c r="O644" s="737"/>
      <c r="P644" s="737">
        <v>1000</v>
      </c>
      <c r="Q644" s="737">
        <v>950</v>
      </c>
      <c r="R644" s="737"/>
      <c r="S644" s="737"/>
      <c r="T644" s="737"/>
      <c r="U644" s="738"/>
      <c r="V644" s="739">
        <v>417</v>
      </c>
      <c r="W644" s="737"/>
      <c r="X644" s="737">
        <v>1000</v>
      </c>
      <c r="Y644" s="737">
        <v>901</v>
      </c>
      <c r="Z644" s="1202"/>
      <c r="AA644" s="740"/>
      <c r="AB644" s="739"/>
      <c r="AC644" s="741"/>
      <c r="AD644" s="741">
        <v>280</v>
      </c>
      <c r="AE644" s="741">
        <v>351</v>
      </c>
      <c r="AF644" s="741"/>
      <c r="AG644" s="741">
        <v>96</v>
      </c>
      <c r="AH644" s="741">
        <v>1805</v>
      </c>
      <c r="AI644" s="741">
        <v>244</v>
      </c>
      <c r="AJ644" s="741">
        <v>81</v>
      </c>
      <c r="AK644" s="741"/>
      <c r="AL644" s="741">
        <v>120</v>
      </c>
      <c r="AM644" s="742">
        <v>1981</v>
      </c>
      <c r="AN644" s="743">
        <f t="shared" si="28"/>
        <v>0.98038567493112949</v>
      </c>
      <c r="AO644" s="744">
        <f t="shared" si="29"/>
        <v>1.0448753462603879</v>
      </c>
      <c r="AP644" s="745">
        <f>'09월 에너지'!S646</f>
        <v>143.5</v>
      </c>
    </row>
    <row r="645" spans="1:42" ht="16.5" customHeight="1">
      <c r="A645" s="999">
        <f>'09월 조업일지'!A645</f>
        <v>46289</v>
      </c>
      <c r="B645" s="1100">
        <f>'09월 조업일지'!B645</f>
        <v>46289</v>
      </c>
      <c r="C645" s="730">
        <f>'09월 조업일지'!G645</f>
        <v>85847</v>
      </c>
      <c r="D645" s="731" t="str">
        <f>'09월 조업일지'!E645</f>
        <v>B</v>
      </c>
      <c r="E645" s="732" t="str">
        <f>'09월 조업일지'!F645</f>
        <v>A</v>
      </c>
      <c r="F645" s="1096" t="str">
        <f>'09월 에너지'!F647</f>
        <v>SY300</v>
      </c>
      <c r="G645" s="733">
        <v>10</v>
      </c>
      <c r="H645" s="734">
        <v>27</v>
      </c>
      <c r="I645" s="734">
        <v>103</v>
      </c>
      <c r="J645" s="734">
        <v>14</v>
      </c>
      <c r="K645" s="735">
        <v>32</v>
      </c>
      <c r="L645" s="734">
        <v>16</v>
      </c>
      <c r="M645" s="736">
        <v>9</v>
      </c>
      <c r="N645" s="737">
        <v>420</v>
      </c>
      <c r="O645" s="737"/>
      <c r="P645" s="737">
        <v>1000</v>
      </c>
      <c r="Q645" s="737">
        <v>952</v>
      </c>
      <c r="R645" s="737"/>
      <c r="S645" s="737"/>
      <c r="T645" s="737"/>
      <c r="U645" s="738"/>
      <c r="V645" s="739">
        <v>417</v>
      </c>
      <c r="W645" s="737"/>
      <c r="X645" s="737">
        <v>1001</v>
      </c>
      <c r="Y645" s="737">
        <v>902</v>
      </c>
      <c r="Z645" s="1202"/>
      <c r="AA645" s="740"/>
      <c r="AB645" s="739"/>
      <c r="AC645" s="741"/>
      <c r="AD645" s="741">
        <v>280</v>
      </c>
      <c r="AE645" s="741">
        <v>350</v>
      </c>
      <c r="AF645" s="741"/>
      <c r="AG645" s="741">
        <v>95</v>
      </c>
      <c r="AH645" s="741">
        <v>1799</v>
      </c>
      <c r="AI645" s="741">
        <v>249</v>
      </c>
      <c r="AJ645" s="741">
        <v>80</v>
      </c>
      <c r="AK645" s="741"/>
      <c r="AL645" s="741">
        <v>118</v>
      </c>
      <c r="AM645" s="742">
        <v>2416</v>
      </c>
      <c r="AN645" s="743">
        <f t="shared" si="28"/>
        <v>0.85624178712220766</v>
      </c>
      <c r="AO645" s="744">
        <f t="shared" si="29"/>
        <v>1.0118637338203764</v>
      </c>
      <c r="AP645" s="745">
        <f>'09월 에너지'!S647</f>
        <v>144.80000000000001</v>
      </c>
    </row>
    <row r="646" spans="1:42" ht="16.5" customHeight="1">
      <c r="A646" s="999">
        <f>'09월 조업일지'!A646</f>
        <v>46289</v>
      </c>
      <c r="B646" s="1100">
        <f>'09월 조업일지'!B646</f>
        <v>46289</v>
      </c>
      <c r="C646" s="730">
        <f>'09월 조업일지'!G646</f>
        <v>85848</v>
      </c>
      <c r="D646" s="731" t="str">
        <f>'09월 조업일지'!E646</f>
        <v>C</v>
      </c>
      <c r="E646" s="732" t="str">
        <f>'09월 조업일지'!F646</f>
        <v>B</v>
      </c>
      <c r="F646" s="1231" t="str">
        <f>'09월 에너지'!F648</f>
        <v>S355JO-01</v>
      </c>
      <c r="G646" s="733">
        <v>9</v>
      </c>
      <c r="H646" s="734">
        <v>23</v>
      </c>
      <c r="I646" s="734">
        <v>136</v>
      </c>
      <c r="J646" s="734">
        <v>19</v>
      </c>
      <c r="K646" s="735">
        <v>27</v>
      </c>
      <c r="L646" s="734">
        <v>11</v>
      </c>
      <c r="M646" s="736">
        <v>8</v>
      </c>
      <c r="N646" s="737">
        <v>419</v>
      </c>
      <c r="O646" s="737"/>
      <c r="P646" s="737">
        <v>1001</v>
      </c>
      <c r="Q646" s="737">
        <v>950</v>
      </c>
      <c r="R646" s="737"/>
      <c r="S646" s="737"/>
      <c r="T646" s="737"/>
      <c r="U646" s="738"/>
      <c r="V646" s="739">
        <v>425</v>
      </c>
      <c r="W646" s="737"/>
      <c r="X646" s="737">
        <v>1000</v>
      </c>
      <c r="Y646" s="737">
        <v>904</v>
      </c>
      <c r="Z646" s="1202"/>
      <c r="AA646" s="740"/>
      <c r="AB646" s="739"/>
      <c r="AC646" s="741"/>
      <c r="AD646" s="741">
        <v>280</v>
      </c>
      <c r="AE646" s="741">
        <v>331</v>
      </c>
      <c r="AF646" s="741"/>
      <c r="AG646" s="741">
        <v>95</v>
      </c>
      <c r="AH646" s="741">
        <v>2359</v>
      </c>
      <c r="AI646" s="741"/>
      <c r="AJ646" s="741">
        <v>87</v>
      </c>
      <c r="AK646" s="741"/>
      <c r="AL646" s="741">
        <v>120</v>
      </c>
      <c r="AM646" s="742">
        <v>2783</v>
      </c>
      <c r="AN646" s="743">
        <f t="shared" si="28"/>
        <v>0.92883990391408799</v>
      </c>
      <c r="AO646" s="744">
        <f t="shared" si="29"/>
        <v>1.0471083388845153</v>
      </c>
      <c r="AP646" s="745">
        <f>'09월 에너지'!S648</f>
        <v>142.9</v>
      </c>
    </row>
    <row r="647" spans="1:42" ht="16.5" customHeight="1">
      <c r="A647" s="999">
        <f>'09월 조업일지'!A647</f>
        <v>46289</v>
      </c>
      <c r="B647" s="1100">
        <f>'09월 조업일지'!B647</f>
        <v>46289</v>
      </c>
      <c r="C647" s="730">
        <f>'09월 조업일지'!G647</f>
        <v>85849</v>
      </c>
      <c r="D647" s="731" t="str">
        <f>'09월 조업일지'!E647</f>
        <v>C</v>
      </c>
      <c r="E647" s="732" t="str">
        <f>'09월 조업일지'!F647</f>
        <v>A</v>
      </c>
      <c r="F647" s="1096" t="str">
        <f>'09월 에너지'!F649</f>
        <v>S355JO-01</v>
      </c>
      <c r="G647" s="733">
        <v>10</v>
      </c>
      <c r="H647" s="734">
        <v>23</v>
      </c>
      <c r="I647" s="734">
        <v>129</v>
      </c>
      <c r="J647" s="734">
        <v>15</v>
      </c>
      <c r="K647" s="735">
        <v>33</v>
      </c>
      <c r="L647" s="734">
        <v>11</v>
      </c>
      <c r="M647" s="736">
        <v>13</v>
      </c>
      <c r="N647" s="737">
        <v>419</v>
      </c>
      <c r="O647" s="737"/>
      <c r="P647" s="737">
        <v>1001</v>
      </c>
      <c r="Q647" s="737">
        <v>954</v>
      </c>
      <c r="R647" s="737"/>
      <c r="S647" s="737"/>
      <c r="T647" s="737"/>
      <c r="U647" s="738"/>
      <c r="V647" s="739">
        <v>422</v>
      </c>
      <c r="W647" s="737"/>
      <c r="X647" s="737">
        <v>1001</v>
      </c>
      <c r="Y647" s="737">
        <v>903</v>
      </c>
      <c r="Z647" s="1202"/>
      <c r="AA647" s="740"/>
      <c r="AB647" s="739"/>
      <c r="AC647" s="741"/>
      <c r="AD647" s="741">
        <v>281</v>
      </c>
      <c r="AE647" s="741">
        <v>331</v>
      </c>
      <c r="AF647" s="741"/>
      <c r="AG647" s="741">
        <v>95</v>
      </c>
      <c r="AH647" s="741">
        <v>2352</v>
      </c>
      <c r="AI647" s="741"/>
      <c r="AJ647" s="741">
        <v>84</v>
      </c>
      <c r="AK647" s="741"/>
      <c r="AL647" s="741">
        <v>118</v>
      </c>
      <c r="AM647" s="742">
        <v>1595</v>
      </c>
      <c r="AN647" s="743">
        <f t="shared" si="28"/>
        <v>0.94203514739229033</v>
      </c>
      <c r="AO647" s="744">
        <f t="shared" si="29"/>
        <v>1.0005466472303208</v>
      </c>
      <c r="AP647" s="745">
        <f>'09월 에너지'!S649</f>
        <v>144.5</v>
      </c>
    </row>
    <row r="648" spans="1:42" ht="16.5" customHeight="1">
      <c r="A648" s="999">
        <f>'09월 조업일지'!A648</f>
        <v>46289</v>
      </c>
      <c r="B648" s="1100">
        <f>'09월 조업일지'!B648</f>
        <v>46289</v>
      </c>
      <c r="C648" s="730">
        <f>'09월 조업일지'!G648</f>
        <v>85850</v>
      </c>
      <c r="D648" s="731" t="str">
        <f>'09월 조업일지'!E648</f>
        <v>C</v>
      </c>
      <c r="E648" s="732" t="str">
        <f>'09월 조업일지'!F648</f>
        <v>B</v>
      </c>
      <c r="F648" s="1096" t="str">
        <f>'09월 에너지'!F650</f>
        <v>S355JO-01</v>
      </c>
      <c r="G648" s="733">
        <v>12</v>
      </c>
      <c r="H648" s="734">
        <v>23</v>
      </c>
      <c r="I648" s="734">
        <v>126</v>
      </c>
      <c r="J648" s="734">
        <v>14</v>
      </c>
      <c r="K648" s="735">
        <v>28</v>
      </c>
      <c r="L648" s="734">
        <v>12</v>
      </c>
      <c r="M648" s="736">
        <v>11</v>
      </c>
      <c r="N648" s="737">
        <v>417</v>
      </c>
      <c r="O648" s="737"/>
      <c r="P648" s="737">
        <v>1000</v>
      </c>
      <c r="Q648" s="737">
        <v>952</v>
      </c>
      <c r="R648" s="737"/>
      <c r="S648" s="737"/>
      <c r="T648" s="737"/>
      <c r="U648" s="738"/>
      <c r="V648" s="739">
        <v>417</v>
      </c>
      <c r="W648" s="737"/>
      <c r="X648" s="737">
        <v>1001</v>
      </c>
      <c r="Y648" s="737">
        <v>900</v>
      </c>
      <c r="Z648" s="1202"/>
      <c r="AA648" s="740"/>
      <c r="AB648" s="739"/>
      <c r="AC648" s="741"/>
      <c r="AD648" s="741">
        <v>281</v>
      </c>
      <c r="AE648" s="741">
        <v>329</v>
      </c>
      <c r="AF648" s="741"/>
      <c r="AG648" s="741">
        <v>95</v>
      </c>
      <c r="AH648" s="741">
        <v>2355</v>
      </c>
      <c r="AI648" s="741"/>
      <c r="AJ648" s="741">
        <v>82</v>
      </c>
      <c r="AK648" s="741"/>
      <c r="AL648" s="741">
        <v>134</v>
      </c>
      <c r="AM648" s="742">
        <v>1552</v>
      </c>
      <c r="AN648" s="743">
        <f t="shared" si="28"/>
        <v>0.94343949044585984</v>
      </c>
      <c r="AO648" s="744">
        <f t="shared" si="29"/>
        <v>0.97566878980891725</v>
      </c>
      <c r="AP648" s="745">
        <f>'09월 에너지'!S650</f>
        <v>144.9</v>
      </c>
    </row>
    <row r="649" spans="1:42" ht="16.5" customHeight="1">
      <c r="A649" s="999">
        <f>'09월 조업일지'!A649</f>
        <v>46289</v>
      </c>
      <c r="B649" s="1100">
        <f>'09월 조업일지'!B649</f>
        <v>46289</v>
      </c>
      <c r="C649" s="730">
        <f>'09월 조업일지'!G649</f>
        <v>85851</v>
      </c>
      <c r="D649" s="731" t="str">
        <f>'09월 조업일지'!E649</f>
        <v>C</v>
      </c>
      <c r="E649" s="732" t="str">
        <f>'09월 조업일지'!F649</f>
        <v>A</v>
      </c>
      <c r="F649" s="1096" t="str">
        <f>'09월 에너지'!F651</f>
        <v>S355JO-01</v>
      </c>
      <c r="G649" s="733">
        <v>10</v>
      </c>
      <c r="H649" s="734">
        <v>22</v>
      </c>
      <c r="I649" s="734">
        <v>126</v>
      </c>
      <c r="J649" s="734">
        <v>14</v>
      </c>
      <c r="K649" s="735">
        <v>32</v>
      </c>
      <c r="L649" s="734">
        <v>10</v>
      </c>
      <c r="M649" s="736">
        <v>10</v>
      </c>
      <c r="N649" s="737">
        <v>423</v>
      </c>
      <c r="O649" s="737"/>
      <c r="P649" s="737">
        <v>1001</v>
      </c>
      <c r="Q649" s="737">
        <v>952</v>
      </c>
      <c r="R649" s="737"/>
      <c r="S649" s="737"/>
      <c r="T649" s="737"/>
      <c r="U649" s="738"/>
      <c r="V649" s="739">
        <v>418</v>
      </c>
      <c r="W649" s="737"/>
      <c r="X649" s="737">
        <v>1001</v>
      </c>
      <c r="Y649" s="737">
        <v>903</v>
      </c>
      <c r="Z649" s="1202"/>
      <c r="AA649" s="740"/>
      <c r="AB649" s="739"/>
      <c r="AC649" s="741"/>
      <c r="AD649" s="741">
        <v>281</v>
      </c>
      <c r="AE649" s="741">
        <v>331</v>
      </c>
      <c r="AF649" s="741"/>
      <c r="AG649" s="741">
        <v>95</v>
      </c>
      <c r="AH649" s="741">
        <v>2357</v>
      </c>
      <c r="AI649" s="741"/>
      <c r="AJ649" s="741">
        <v>81</v>
      </c>
      <c r="AK649" s="741"/>
      <c r="AL649" s="741">
        <v>136</v>
      </c>
      <c r="AM649" s="742">
        <v>2249</v>
      </c>
      <c r="AN649" s="743">
        <f t="shared" si="28"/>
        <v>0.89978786593126858</v>
      </c>
      <c r="AO649" s="744">
        <f t="shared" si="29"/>
        <v>0.97282259530880666</v>
      </c>
      <c r="AP649" s="745">
        <f>'09월 에너지'!S651</f>
        <v>144.6</v>
      </c>
    </row>
    <row r="650" spans="1:42" ht="16.5" customHeight="1">
      <c r="A650" s="999">
        <f>'09월 조업일지'!A650</f>
        <v>46289</v>
      </c>
      <c r="B650" s="1100">
        <f>'09월 조업일지'!B650</f>
        <v>46289</v>
      </c>
      <c r="C650" s="730">
        <f>'09월 조업일지'!G650</f>
        <v>85852</v>
      </c>
      <c r="D650" s="731" t="str">
        <f>'09월 조업일지'!E650</f>
        <v>C</v>
      </c>
      <c r="E650" s="732" t="str">
        <f>'09월 조업일지'!F650</f>
        <v>B</v>
      </c>
      <c r="F650" s="1096" t="str">
        <f>'09월 에너지'!F652</f>
        <v>S355JO-01</v>
      </c>
      <c r="G650" s="733">
        <v>8</v>
      </c>
      <c r="H650" s="734">
        <v>17</v>
      </c>
      <c r="I650" s="734">
        <v>122</v>
      </c>
      <c r="J650" s="734">
        <v>11</v>
      </c>
      <c r="K650" s="735">
        <v>31</v>
      </c>
      <c r="L650" s="734">
        <v>12</v>
      </c>
      <c r="M650" s="736">
        <v>9</v>
      </c>
      <c r="N650" s="737">
        <v>421</v>
      </c>
      <c r="O650" s="737"/>
      <c r="P650" s="737">
        <v>1001</v>
      </c>
      <c r="Q650" s="737">
        <v>955</v>
      </c>
      <c r="R650" s="737"/>
      <c r="S650" s="737"/>
      <c r="T650" s="737"/>
      <c r="U650" s="738"/>
      <c r="V650" s="739">
        <v>418</v>
      </c>
      <c r="W650" s="737"/>
      <c r="X650" s="737">
        <v>1000</v>
      </c>
      <c r="Y650" s="737">
        <v>901</v>
      </c>
      <c r="Z650" s="1202"/>
      <c r="AA650" s="740"/>
      <c r="AB650" s="739"/>
      <c r="AC650" s="741"/>
      <c r="AD650" s="741">
        <v>281</v>
      </c>
      <c r="AE650" s="741">
        <v>331</v>
      </c>
      <c r="AF650" s="741"/>
      <c r="AG650" s="741">
        <v>95</v>
      </c>
      <c r="AH650" s="741">
        <v>2354</v>
      </c>
      <c r="AI650" s="741"/>
      <c r="AJ650" s="741">
        <v>89</v>
      </c>
      <c r="AK650" s="741"/>
      <c r="AL650" s="741">
        <v>124</v>
      </c>
      <c r="AM650" s="742">
        <v>1165</v>
      </c>
      <c r="AN650" s="743">
        <f t="shared" si="28"/>
        <v>0.70147267063154917</v>
      </c>
      <c r="AO650" s="744">
        <f t="shared" si="29"/>
        <v>0.94610389610389611</v>
      </c>
      <c r="AP650" s="745">
        <f>'09월 에너지'!S652</f>
        <v>145.69999999999999</v>
      </c>
    </row>
    <row r="651" spans="1:42" ht="16.5" customHeight="1">
      <c r="A651" s="999">
        <f>'09월 조업일지'!A651</f>
        <v>46289</v>
      </c>
      <c r="B651" s="1100">
        <f>'09월 조업일지'!B651</f>
        <v>46289</v>
      </c>
      <c r="C651" s="730">
        <f>'09월 조업일지'!G651</f>
        <v>85853</v>
      </c>
      <c r="D651" s="731" t="str">
        <f>'09월 조업일지'!E651</f>
        <v>C</v>
      </c>
      <c r="E651" s="732" t="str">
        <f>'09월 조업일지'!F651</f>
        <v>A</v>
      </c>
      <c r="F651" s="1096" t="str">
        <f>'09월 에너지'!F653</f>
        <v>S355JO-01</v>
      </c>
      <c r="G651" s="733">
        <v>11</v>
      </c>
      <c r="H651" s="734">
        <v>21</v>
      </c>
      <c r="I651" s="734">
        <v>125</v>
      </c>
      <c r="J651" s="734">
        <v>12</v>
      </c>
      <c r="K651" s="735">
        <v>26</v>
      </c>
      <c r="L651" s="734">
        <v>10</v>
      </c>
      <c r="M651" s="736">
        <v>8</v>
      </c>
      <c r="N651" s="737">
        <v>417</v>
      </c>
      <c r="O651" s="737"/>
      <c r="P651" s="737">
        <v>1001</v>
      </c>
      <c r="Q651" s="737">
        <v>952</v>
      </c>
      <c r="R651" s="737"/>
      <c r="S651" s="737"/>
      <c r="T651" s="737"/>
      <c r="U651" s="738"/>
      <c r="V651" s="739">
        <v>415</v>
      </c>
      <c r="W651" s="737"/>
      <c r="X651" s="737">
        <v>1000</v>
      </c>
      <c r="Y651" s="737">
        <v>905</v>
      </c>
      <c r="Z651" s="1202"/>
      <c r="AA651" s="740"/>
      <c r="AB651" s="739"/>
      <c r="AC651" s="741"/>
      <c r="AD651" s="741">
        <v>279</v>
      </c>
      <c r="AE651" s="741">
        <v>330</v>
      </c>
      <c r="AF651" s="741"/>
      <c r="AG651" s="741">
        <v>95</v>
      </c>
      <c r="AH651" s="741">
        <v>2354</v>
      </c>
      <c r="AI651" s="741"/>
      <c r="AJ651" s="741">
        <v>95</v>
      </c>
      <c r="AK651" s="741"/>
      <c r="AL651" s="741">
        <v>127</v>
      </c>
      <c r="AM651" s="742">
        <v>4422</v>
      </c>
      <c r="AN651" s="743">
        <f t="shared" si="28"/>
        <v>0.86117247238742567</v>
      </c>
      <c r="AO651" s="744">
        <f t="shared" si="29"/>
        <v>0.96662216288384517</v>
      </c>
      <c r="AP651" s="745">
        <f>'09월 에너지'!S653</f>
        <v>144.80000000000001</v>
      </c>
    </row>
    <row r="652" spans="1:42" ht="16.5" customHeight="1">
      <c r="A652" s="999">
        <f>'09월 조업일지'!A652</f>
        <v>46289</v>
      </c>
      <c r="B652" s="1100">
        <f>'09월 조업일지'!B652</f>
        <v>46289</v>
      </c>
      <c r="C652" s="730">
        <f>'09월 조업일지'!G652</f>
        <v>85854</v>
      </c>
      <c r="D652" s="731" t="str">
        <f>'09월 조업일지'!E652</f>
        <v>C</v>
      </c>
      <c r="E652" s="732" t="str">
        <f>'09월 조업일지'!F652</f>
        <v>B</v>
      </c>
      <c r="F652" s="1096" t="str">
        <f>'09월 에너지'!F654</f>
        <v>S355JO-01</v>
      </c>
      <c r="G652" s="733">
        <v>10</v>
      </c>
      <c r="H652" s="734">
        <v>14</v>
      </c>
      <c r="I652" s="734">
        <v>126</v>
      </c>
      <c r="J652" s="734">
        <v>15</v>
      </c>
      <c r="K652" s="735">
        <v>38</v>
      </c>
      <c r="L652" s="734">
        <v>11</v>
      </c>
      <c r="M652" s="736">
        <v>10</v>
      </c>
      <c r="N652" s="737">
        <v>414</v>
      </c>
      <c r="O652" s="737"/>
      <c r="P652" s="737">
        <v>1000</v>
      </c>
      <c r="Q652" s="737">
        <v>950</v>
      </c>
      <c r="R652" s="737"/>
      <c r="S652" s="737"/>
      <c r="T652" s="737"/>
      <c r="U652" s="738"/>
      <c r="V652" s="739">
        <v>421</v>
      </c>
      <c r="W652" s="737"/>
      <c r="X652" s="737">
        <v>1000</v>
      </c>
      <c r="Y652" s="737">
        <v>902</v>
      </c>
      <c r="Z652" s="1202"/>
      <c r="AA652" s="740"/>
      <c r="AB652" s="739"/>
      <c r="AC652" s="741"/>
      <c r="AD652" s="741">
        <v>280</v>
      </c>
      <c r="AE652" s="741">
        <v>330</v>
      </c>
      <c r="AF652" s="741"/>
      <c r="AG652" s="741">
        <v>94</v>
      </c>
      <c r="AH652" s="741">
        <v>2354</v>
      </c>
      <c r="AI652" s="741"/>
      <c r="AJ652" s="741">
        <v>86</v>
      </c>
      <c r="AK652" s="741"/>
      <c r="AL652" s="741">
        <v>130</v>
      </c>
      <c r="AM652" s="742">
        <v>1046</v>
      </c>
      <c r="AN652" s="743">
        <f t="shared" si="28"/>
        <v>0.56856414613423967</v>
      </c>
      <c r="AO652" s="744">
        <f t="shared" si="29"/>
        <v>0.96597888093215201</v>
      </c>
      <c r="AP652" s="745">
        <f>'09월 에너지'!S654</f>
        <v>143.4</v>
      </c>
    </row>
    <row r="653" spans="1:42" ht="16.5" customHeight="1">
      <c r="A653" s="999">
        <f>'09월 조업일지'!A653</f>
        <v>46289</v>
      </c>
      <c r="B653" s="1100">
        <f>'09월 조업일지'!B653</f>
        <v>46289</v>
      </c>
      <c r="C653" s="730">
        <f>'09월 조업일지'!G653</f>
        <v>85855</v>
      </c>
      <c r="D653" s="731" t="str">
        <f>'09월 조업일지'!E653</f>
        <v>C</v>
      </c>
      <c r="E653" s="732" t="str">
        <f>'09월 조업일지'!F653</f>
        <v>A</v>
      </c>
      <c r="F653" s="1096" t="str">
        <f>'09월 에너지'!F655</f>
        <v>S355JO-01</v>
      </c>
      <c r="G653" s="733">
        <v>11</v>
      </c>
      <c r="H653" s="734">
        <v>17</v>
      </c>
      <c r="I653" s="734">
        <v>127</v>
      </c>
      <c r="J653" s="734">
        <v>13</v>
      </c>
      <c r="K653" s="735">
        <v>25</v>
      </c>
      <c r="L653" s="734">
        <v>12</v>
      </c>
      <c r="M653" s="736">
        <v>7</v>
      </c>
      <c r="N653" s="737">
        <v>418</v>
      </c>
      <c r="O653" s="737"/>
      <c r="P653" s="737">
        <v>1001</v>
      </c>
      <c r="Q653" s="737">
        <v>951</v>
      </c>
      <c r="R653" s="737"/>
      <c r="S653" s="737"/>
      <c r="T653" s="737"/>
      <c r="U653" s="738"/>
      <c r="V653" s="739">
        <v>420</v>
      </c>
      <c r="W653" s="737"/>
      <c r="X653" s="737">
        <v>1001</v>
      </c>
      <c r="Y653" s="737">
        <v>900</v>
      </c>
      <c r="Z653" s="1202"/>
      <c r="AA653" s="740"/>
      <c r="AB653" s="739"/>
      <c r="AC653" s="741"/>
      <c r="AD653" s="741">
        <v>280</v>
      </c>
      <c r="AE653" s="741">
        <v>331</v>
      </c>
      <c r="AF653" s="741"/>
      <c r="AG653" s="741">
        <v>95</v>
      </c>
      <c r="AH653" s="741">
        <v>2362</v>
      </c>
      <c r="AI653" s="741"/>
      <c r="AJ653" s="741">
        <v>84</v>
      </c>
      <c r="AK653" s="741"/>
      <c r="AL653" s="741">
        <v>127</v>
      </c>
      <c r="AM653" s="742">
        <v>2602</v>
      </c>
      <c r="AN653" s="743">
        <f t="shared" ref="AN653:AN716" si="30">IF(ISBLANK(AH653),"",AP653*1000*H653/10000/(AH653*15%+AI653*75%+AK653*60%))</f>
        <v>0.68614168783516793</v>
      </c>
      <c r="AO653" s="744">
        <f t="shared" ref="AO653:AO716" si="31">IF(ISBLANK(AH653),"",AP653*1000*(I653-15)/10000/(AH653*70%))</f>
        <v>0.96867061812023714</v>
      </c>
      <c r="AP653" s="745">
        <f>'09월 에너지'!S655</f>
        <v>143</v>
      </c>
    </row>
    <row r="654" spans="1:42" ht="16.5" customHeight="1">
      <c r="A654" s="999">
        <f>'09월 조업일지'!A654</f>
        <v>46289</v>
      </c>
      <c r="B654" s="1100">
        <f>'09월 조업일지'!B654</f>
        <v>46289</v>
      </c>
      <c r="C654" s="730">
        <f>'09월 조업일지'!G654</f>
        <v>85856</v>
      </c>
      <c r="D654" s="731" t="str">
        <f>'09월 조업일지'!E654</f>
        <v>C</v>
      </c>
      <c r="E654" s="732" t="str">
        <f>'09월 조업일지'!F654</f>
        <v>B</v>
      </c>
      <c r="F654" s="1096" t="str">
        <f>'09월 에너지'!F656</f>
        <v>S355JO-01</v>
      </c>
      <c r="G654" s="733">
        <v>13</v>
      </c>
      <c r="H654" s="734">
        <v>23</v>
      </c>
      <c r="I654" s="734">
        <v>129</v>
      </c>
      <c r="J654" s="734">
        <v>13</v>
      </c>
      <c r="K654" s="735">
        <v>31</v>
      </c>
      <c r="L654" s="734">
        <v>10</v>
      </c>
      <c r="M654" s="736">
        <v>8</v>
      </c>
      <c r="N654" s="737">
        <v>420</v>
      </c>
      <c r="O654" s="737"/>
      <c r="P654" s="737">
        <v>1000</v>
      </c>
      <c r="Q654" s="737">
        <v>952</v>
      </c>
      <c r="R654" s="737"/>
      <c r="S654" s="737"/>
      <c r="T654" s="737"/>
      <c r="U654" s="738"/>
      <c r="V654" s="739">
        <v>419</v>
      </c>
      <c r="W654" s="737"/>
      <c r="X654" s="737">
        <v>1000</v>
      </c>
      <c r="Y654" s="737">
        <v>904</v>
      </c>
      <c r="Z654" s="1202"/>
      <c r="AA654" s="740"/>
      <c r="AB654" s="739"/>
      <c r="AC654" s="741"/>
      <c r="AD654" s="741">
        <v>280</v>
      </c>
      <c r="AE654" s="741">
        <v>330</v>
      </c>
      <c r="AF654" s="741"/>
      <c r="AG654" s="741">
        <v>96</v>
      </c>
      <c r="AH654" s="741">
        <v>2358</v>
      </c>
      <c r="AI654" s="741"/>
      <c r="AJ654" s="741">
        <v>82</v>
      </c>
      <c r="AK654" s="741"/>
      <c r="AL654" s="741">
        <v>132</v>
      </c>
      <c r="AM654" s="742">
        <v>1919</v>
      </c>
      <c r="AN654" s="743">
        <f t="shared" si="30"/>
        <v>0.93898784280463676</v>
      </c>
      <c r="AO654" s="744">
        <f t="shared" si="31"/>
        <v>0.99731006906579434</v>
      </c>
      <c r="AP654" s="745">
        <f>'09월 에너지'!S656</f>
        <v>144.4</v>
      </c>
    </row>
    <row r="655" spans="1:42" ht="16.5" customHeight="1">
      <c r="A655" s="999">
        <f>'09월 조업일지'!A655</f>
        <v>46289</v>
      </c>
      <c r="B655" s="1100">
        <f>'09월 조업일지'!B655</f>
        <v>46289</v>
      </c>
      <c r="C655" s="730">
        <f>'09월 조업일지'!G655</f>
        <v>85857</v>
      </c>
      <c r="D655" s="731" t="str">
        <f>'09월 조업일지'!E655</f>
        <v>C</v>
      </c>
      <c r="E655" s="732" t="str">
        <f>'09월 조업일지'!F655</f>
        <v>A</v>
      </c>
      <c r="F655" s="1096" t="str">
        <f>'09월 에너지'!F657</f>
        <v>S355JO-01</v>
      </c>
      <c r="G655" s="733">
        <v>12</v>
      </c>
      <c r="H655" s="734">
        <v>19</v>
      </c>
      <c r="I655" s="734">
        <v>127</v>
      </c>
      <c r="J655" s="734">
        <v>14</v>
      </c>
      <c r="K655" s="735">
        <v>34</v>
      </c>
      <c r="L655" s="734">
        <v>11</v>
      </c>
      <c r="M655" s="736">
        <v>9</v>
      </c>
      <c r="N655" s="737">
        <v>413</v>
      </c>
      <c r="O655" s="737"/>
      <c r="P655" s="737">
        <v>1000</v>
      </c>
      <c r="Q655" s="737">
        <v>951</v>
      </c>
      <c r="R655" s="737"/>
      <c r="S655" s="737"/>
      <c r="T655" s="737"/>
      <c r="U655" s="738"/>
      <c r="V655" s="739">
        <v>423</v>
      </c>
      <c r="W655" s="737"/>
      <c r="X655" s="737">
        <v>1001</v>
      </c>
      <c r="Y655" s="737">
        <v>904</v>
      </c>
      <c r="Z655" s="1202"/>
      <c r="AA655" s="740"/>
      <c r="AB655" s="739"/>
      <c r="AC655" s="741"/>
      <c r="AD655" s="741">
        <v>280</v>
      </c>
      <c r="AE655" s="741">
        <v>331</v>
      </c>
      <c r="AF655" s="741"/>
      <c r="AG655" s="741">
        <v>95</v>
      </c>
      <c r="AH655" s="741">
        <v>2350</v>
      </c>
      <c r="AI655" s="741"/>
      <c r="AJ655" s="741">
        <v>82</v>
      </c>
      <c r="AK655" s="741"/>
      <c r="AL655" s="741">
        <v>121</v>
      </c>
      <c r="AM655" s="742">
        <v>1969</v>
      </c>
      <c r="AN655" s="743">
        <f t="shared" si="30"/>
        <v>0.76862411347517734</v>
      </c>
      <c r="AO655" s="744">
        <f t="shared" si="31"/>
        <v>0.97089361702127652</v>
      </c>
      <c r="AP655" s="745">
        <f>'09월 에너지'!S657</f>
        <v>142.6</v>
      </c>
    </row>
    <row r="656" spans="1:42" ht="16.5" customHeight="1">
      <c r="A656" s="999">
        <f>'09월 조업일지'!A656</f>
        <v>46289</v>
      </c>
      <c r="B656" s="1100">
        <f>'09월 조업일지'!B656</f>
        <v>46289</v>
      </c>
      <c r="C656" s="730">
        <f>'09월 조업일지'!G656</f>
        <v>85858</v>
      </c>
      <c r="D656" s="731" t="str">
        <f>'09월 조업일지'!E656</f>
        <v>A</v>
      </c>
      <c r="E656" s="732" t="str">
        <f>'09월 조업일지'!F656</f>
        <v>B</v>
      </c>
      <c r="F656" s="1096" t="str">
        <f>'09월 에너지'!F658</f>
        <v>S355JO-01</v>
      </c>
      <c r="G656" s="733">
        <v>12</v>
      </c>
      <c r="H656" s="734">
        <v>22</v>
      </c>
      <c r="I656" s="734">
        <v>127</v>
      </c>
      <c r="J656" s="734">
        <v>15</v>
      </c>
      <c r="K656" s="735">
        <v>33</v>
      </c>
      <c r="L656" s="734">
        <v>13</v>
      </c>
      <c r="M656" s="736">
        <v>12</v>
      </c>
      <c r="N656" s="737">
        <v>419</v>
      </c>
      <c r="O656" s="737"/>
      <c r="P656" s="737">
        <v>1001</v>
      </c>
      <c r="Q656" s="737">
        <v>951</v>
      </c>
      <c r="R656" s="737"/>
      <c r="S656" s="737"/>
      <c r="T656" s="737">
        <v>0</v>
      </c>
      <c r="U656" s="738"/>
      <c r="V656" s="739">
        <v>418</v>
      </c>
      <c r="W656" s="737"/>
      <c r="X656" s="737">
        <v>1002</v>
      </c>
      <c r="Y656" s="737">
        <v>901</v>
      </c>
      <c r="Z656" s="1202">
        <v>0</v>
      </c>
      <c r="AA656" s="740"/>
      <c r="AB656" s="739">
        <v>0</v>
      </c>
      <c r="AC656" s="741"/>
      <c r="AD656" s="741">
        <v>281</v>
      </c>
      <c r="AE656" s="741">
        <v>330</v>
      </c>
      <c r="AF656" s="741">
        <v>0</v>
      </c>
      <c r="AG656" s="741">
        <v>94</v>
      </c>
      <c r="AH656" s="741">
        <v>2355</v>
      </c>
      <c r="AI656" s="741">
        <v>0</v>
      </c>
      <c r="AJ656" s="741">
        <v>87</v>
      </c>
      <c r="AK656" s="741">
        <v>0</v>
      </c>
      <c r="AL656" s="741">
        <v>133</v>
      </c>
      <c r="AM656" s="742">
        <v>2003</v>
      </c>
      <c r="AN656" s="743">
        <f t="shared" si="30"/>
        <v>0.9117622080679405</v>
      </c>
      <c r="AO656" s="744">
        <f t="shared" si="31"/>
        <v>0.99464968152866251</v>
      </c>
      <c r="AP656" s="745">
        <f>'09월 에너지'!S658</f>
        <v>146.4</v>
      </c>
    </row>
    <row r="657" spans="1:42" ht="16.5" customHeight="1">
      <c r="A657" s="999">
        <f>'09월 조업일지'!A657</f>
        <v>46289</v>
      </c>
      <c r="B657" s="1100">
        <f>'09월 조업일지'!B657</f>
        <v>46289</v>
      </c>
      <c r="C657" s="730">
        <f>'09월 조업일지'!G657</f>
        <v>85859</v>
      </c>
      <c r="D657" s="731" t="str">
        <f>'09월 조업일지'!E657</f>
        <v>A</v>
      </c>
      <c r="E657" s="732" t="str">
        <f>'09월 조업일지'!F657</f>
        <v>A</v>
      </c>
      <c r="F657" s="1096" t="str">
        <f>'09월 에너지'!F659</f>
        <v>S355JO-01</v>
      </c>
      <c r="G657" s="733">
        <v>12</v>
      </c>
      <c r="H657" s="734">
        <v>26</v>
      </c>
      <c r="I657" s="734">
        <v>124</v>
      </c>
      <c r="J657" s="734">
        <v>14</v>
      </c>
      <c r="K657" s="735">
        <v>25</v>
      </c>
      <c r="L657" s="734">
        <v>10</v>
      </c>
      <c r="M657" s="736">
        <v>9</v>
      </c>
      <c r="N657" s="737">
        <v>420</v>
      </c>
      <c r="O657" s="737"/>
      <c r="P657" s="737">
        <v>1012</v>
      </c>
      <c r="Q657" s="737">
        <v>952</v>
      </c>
      <c r="R657" s="737"/>
      <c r="S657" s="737"/>
      <c r="T657" s="737">
        <v>0</v>
      </c>
      <c r="U657" s="738"/>
      <c r="V657" s="739">
        <v>424</v>
      </c>
      <c r="W657" s="737"/>
      <c r="X657" s="737">
        <v>1000</v>
      </c>
      <c r="Y657" s="737">
        <v>903</v>
      </c>
      <c r="Z657" s="1202">
        <v>0</v>
      </c>
      <c r="AA657" s="740"/>
      <c r="AB657" s="739">
        <v>0</v>
      </c>
      <c r="AC657" s="741"/>
      <c r="AD657" s="741">
        <v>280</v>
      </c>
      <c r="AE657" s="741">
        <v>330</v>
      </c>
      <c r="AF657" s="741">
        <v>0</v>
      </c>
      <c r="AG657" s="741">
        <v>97</v>
      </c>
      <c r="AH657" s="741">
        <v>2351</v>
      </c>
      <c r="AI657" s="741">
        <v>111</v>
      </c>
      <c r="AJ657" s="741">
        <v>86</v>
      </c>
      <c r="AK657" s="741">
        <v>0</v>
      </c>
      <c r="AL657" s="741">
        <v>118</v>
      </c>
      <c r="AM657" s="742">
        <v>3154</v>
      </c>
      <c r="AN657" s="743">
        <f t="shared" si="30"/>
        <v>0.87919247533838041</v>
      </c>
      <c r="AO657" s="744">
        <f t="shared" si="31"/>
        <v>0.9762775718539225</v>
      </c>
      <c r="AP657" s="745">
        <f>'09월 에너지'!S659</f>
        <v>147.4</v>
      </c>
    </row>
    <row r="658" spans="1:42" ht="16.5" customHeight="1">
      <c r="A658" s="999">
        <f>'09월 조업일지'!A658</f>
        <v>46289</v>
      </c>
      <c r="B658" s="1100">
        <f>'09월 조업일지'!B658</f>
        <v>46289</v>
      </c>
      <c r="C658" s="730">
        <f>'09월 조업일지'!G658</f>
        <v>85860</v>
      </c>
      <c r="D658" s="731" t="str">
        <f>'09월 조업일지'!E658</f>
        <v>A</v>
      </c>
      <c r="E658" s="732" t="str">
        <f>'09월 조업일지'!F658</f>
        <v>B</v>
      </c>
      <c r="F658" s="1096" t="str">
        <f>'09월 에너지'!F660</f>
        <v>S355JO-01</v>
      </c>
      <c r="G658" s="733">
        <v>11</v>
      </c>
      <c r="H658" s="734">
        <v>24</v>
      </c>
      <c r="I658" s="734">
        <v>137</v>
      </c>
      <c r="J658" s="734">
        <v>19</v>
      </c>
      <c r="K658" s="735">
        <v>30</v>
      </c>
      <c r="L658" s="734">
        <v>11</v>
      </c>
      <c r="M658" s="736">
        <v>9</v>
      </c>
      <c r="N658" s="737">
        <v>420</v>
      </c>
      <c r="O658" s="737"/>
      <c r="P658" s="737">
        <v>1001</v>
      </c>
      <c r="Q658" s="737">
        <v>953</v>
      </c>
      <c r="R658" s="737"/>
      <c r="S658" s="737"/>
      <c r="T658" s="737">
        <v>0</v>
      </c>
      <c r="U658" s="738"/>
      <c r="V658" s="739">
        <v>424</v>
      </c>
      <c r="W658" s="737"/>
      <c r="X658" s="737">
        <v>1000</v>
      </c>
      <c r="Y658" s="737">
        <v>899</v>
      </c>
      <c r="Z658" s="1202">
        <v>0</v>
      </c>
      <c r="AA658" s="740"/>
      <c r="AB658" s="739">
        <v>0</v>
      </c>
      <c r="AC658" s="741"/>
      <c r="AD658" s="741">
        <v>280</v>
      </c>
      <c r="AE658" s="741">
        <v>331</v>
      </c>
      <c r="AF658" s="741">
        <v>0</v>
      </c>
      <c r="AG658" s="741">
        <v>95</v>
      </c>
      <c r="AH658" s="741">
        <v>2357</v>
      </c>
      <c r="AI658" s="741">
        <v>0</v>
      </c>
      <c r="AJ658" s="741">
        <v>82</v>
      </c>
      <c r="AK658" s="741">
        <v>0</v>
      </c>
      <c r="AL658" s="741">
        <v>123</v>
      </c>
      <c r="AM658" s="742">
        <v>2758</v>
      </c>
      <c r="AN658" s="743">
        <f t="shared" si="30"/>
        <v>0.98022910479422998</v>
      </c>
      <c r="AO658" s="744">
        <f t="shared" si="31"/>
        <v>1.0677495605794292</v>
      </c>
      <c r="AP658" s="745">
        <f>'09월 에너지'!S660</f>
        <v>144.4</v>
      </c>
    </row>
    <row r="659" spans="1:42" ht="16.5" customHeight="1">
      <c r="A659" s="999">
        <f>'09월 조업일지'!A659</f>
        <v>46289</v>
      </c>
      <c r="B659" s="1100">
        <f>'09월 조업일지'!B659</f>
        <v>46289</v>
      </c>
      <c r="C659" s="730">
        <f>'09월 조업일지'!G659</f>
        <v>85861</v>
      </c>
      <c r="D659" s="731" t="str">
        <f>'09월 조업일지'!E659</f>
        <v>A</v>
      </c>
      <c r="E659" s="732" t="str">
        <f>'09월 조업일지'!F659</f>
        <v>A</v>
      </c>
      <c r="F659" s="1096" t="str">
        <f>'09월 에너지'!F661</f>
        <v>S355JO-01</v>
      </c>
      <c r="G659" s="733">
        <v>12</v>
      </c>
      <c r="H659" s="734">
        <v>25</v>
      </c>
      <c r="I659" s="734">
        <v>131</v>
      </c>
      <c r="J659" s="734">
        <v>15</v>
      </c>
      <c r="K659" s="735">
        <v>37</v>
      </c>
      <c r="L659" s="734">
        <v>11</v>
      </c>
      <c r="M659" s="736">
        <v>10</v>
      </c>
      <c r="N659" s="737">
        <v>424</v>
      </c>
      <c r="O659" s="737"/>
      <c r="P659" s="737">
        <v>1001</v>
      </c>
      <c r="Q659" s="737">
        <v>952</v>
      </c>
      <c r="R659" s="737"/>
      <c r="S659" s="737"/>
      <c r="T659" s="737">
        <v>0</v>
      </c>
      <c r="U659" s="738"/>
      <c r="V659" s="739">
        <v>619</v>
      </c>
      <c r="W659" s="737"/>
      <c r="X659" s="737">
        <v>1001</v>
      </c>
      <c r="Y659" s="737">
        <v>900</v>
      </c>
      <c r="Z659" s="1202">
        <v>0</v>
      </c>
      <c r="AA659" s="740"/>
      <c r="AB659" s="739">
        <v>0</v>
      </c>
      <c r="AC659" s="741"/>
      <c r="AD659" s="741">
        <v>281</v>
      </c>
      <c r="AE659" s="741">
        <v>330</v>
      </c>
      <c r="AF659" s="741">
        <v>0</v>
      </c>
      <c r="AG659" s="741">
        <v>95</v>
      </c>
      <c r="AH659" s="741">
        <v>2362</v>
      </c>
      <c r="AI659" s="741">
        <v>0</v>
      </c>
      <c r="AJ659" s="741">
        <v>89</v>
      </c>
      <c r="AK659" s="741">
        <v>0</v>
      </c>
      <c r="AL659" s="741">
        <v>129</v>
      </c>
      <c r="AM659" s="742">
        <v>2135</v>
      </c>
      <c r="AN659" s="743">
        <f t="shared" si="30"/>
        <v>1.0090318938752469</v>
      </c>
      <c r="AO659" s="744">
        <f t="shared" si="31"/>
        <v>1.0032659973388169</v>
      </c>
      <c r="AP659" s="745">
        <f>'09월 에너지'!S661</f>
        <v>143</v>
      </c>
    </row>
    <row r="660" spans="1:42" ht="16.5" customHeight="1">
      <c r="A660" s="999">
        <f>'09월 조업일지'!A660</f>
        <v>46289</v>
      </c>
      <c r="B660" s="1100">
        <f>'09월 조업일지'!B660</f>
        <v>46289</v>
      </c>
      <c r="C660" s="730">
        <f>'09월 조업일지'!G660</f>
        <v>85862</v>
      </c>
      <c r="D660" s="731" t="str">
        <f>'09월 조업일지'!E660</f>
        <v>A</v>
      </c>
      <c r="E660" s="732" t="str">
        <f>'09월 조업일지'!F660</f>
        <v>B</v>
      </c>
      <c r="F660" s="1096" t="str">
        <f>'09월 에너지'!F662</f>
        <v>S355JO-01</v>
      </c>
      <c r="G660" s="733">
        <v>11</v>
      </c>
      <c r="H660" s="734">
        <v>23</v>
      </c>
      <c r="I660" s="734">
        <v>131</v>
      </c>
      <c r="J660" s="734">
        <v>15</v>
      </c>
      <c r="K660" s="735">
        <v>34</v>
      </c>
      <c r="L660" s="734">
        <v>12</v>
      </c>
      <c r="M660" s="736">
        <v>9</v>
      </c>
      <c r="N660" s="737">
        <v>415</v>
      </c>
      <c r="O660" s="737"/>
      <c r="P660" s="737">
        <v>1002</v>
      </c>
      <c r="Q660" s="737">
        <v>964</v>
      </c>
      <c r="R660" s="737"/>
      <c r="S660" s="737"/>
      <c r="T660" s="737">
        <v>0</v>
      </c>
      <c r="U660" s="738"/>
      <c r="V660" s="739">
        <v>422</v>
      </c>
      <c r="W660" s="737"/>
      <c r="X660" s="737">
        <v>1000</v>
      </c>
      <c r="Y660" s="737">
        <v>910</v>
      </c>
      <c r="Z660" s="1202">
        <v>0</v>
      </c>
      <c r="AA660" s="740"/>
      <c r="AB660" s="739">
        <v>0</v>
      </c>
      <c r="AC660" s="741"/>
      <c r="AD660" s="741">
        <v>281</v>
      </c>
      <c r="AE660" s="741">
        <v>331</v>
      </c>
      <c r="AF660" s="741">
        <v>0</v>
      </c>
      <c r="AG660" s="741">
        <v>95</v>
      </c>
      <c r="AH660" s="741">
        <v>2353</v>
      </c>
      <c r="AI660" s="741">
        <v>0</v>
      </c>
      <c r="AJ660" s="741">
        <v>86</v>
      </c>
      <c r="AK660" s="741">
        <v>0</v>
      </c>
      <c r="AL660" s="741">
        <v>125</v>
      </c>
      <c r="AM660" s="742">
        <v>1697</v>
      </c>
      <c r="AN660" s="743">
        <f t="shared" si="30"/>
        <v>0.94163479246352189</v>
      </c>
      <c r="AO660" s="744">
        <f t="shared" si="31"/>
        <v>1.0176674154574707</v>
      </c>
      <c r="AP660" s="745">
        <f>'09월 에너지'!S662</f>
        <v>144.5</v>
      </c>
    </row>
    <row r="661" spans="1:42" ht="16.5" customHeight="1">
      <c r="A661" s="999">
        <f>'09월 조업일지'!A661</f>
        <v>46289</v>
      </c>
      <c r="B661" s="1100">
        <f>'09월 조업일지'!B661</f>
        <v>46289</v>
      </c>
      <c r="C661" s="730">
        <f>'09월 조업일지'!G661</f>
        <v>85863</v>
      </c>
      <c r="D661" s="731" t="str">
        <f>'09월 조업일지'!E661</f>
        <v>A</v>
      </c>
      <c r="E661" s="732" t="str">
        <f>'09월 조업일지'!F661</f>
        <v>A</v>
      </c>
      <c r="F661" s="1096" t="str">
        <f>'09월 에너지'!F663</f>
        <v>S355JO-01</v>
      </c>
      <c r="G661" s="733">
        <v>10</v>
      </c>
      <c r="H661" s="734">
        <v>22</v>
      </c>
      <c r="I661" s="734">
        <v>117</v>
      </c>
      <c r="J661" s="734">
        <v>14</v>
      </c>
      <c r="K661" s="735">
        <v>30</v>
      </c>
      <c r="L661" s="734">
        <v>13</v>
      </c>
      <c r="M661" s="736">
        <v>10</v>
      </c>
      <c r="N661" s="737">
        <v>423</v>
      </c>
      <c r="O661" s="737"/>
      <c r="P661" s="737">
        <v>1002</v>
      </c>
      <c r="Q661" s="737">
        <v>958</v>
      </c>
      <c r="R661" s="737"/>
      <c r="S661" s="737"/>
      <c r="T661" s="737">
        <v>0</v>
      </c>
      <c r="U661" s="738"/>
      <c r="V661" s="739">
        <v>616</v>
      </c>
      <c r="W661" s="737"/>
      <c r="X661" s="737">
        <v>1001</v>
      </c>
      <c r="Y661" s="737">
        <v>902</v>
      </c>
      <c r="Z661" s="1202">
        <v>0</v>
      </c>
      <c r="AA661" s="740"/>
      <c r="AB661" s="739">
        <v>0</v>
      </c>
      <c r="AC661" s="741"/>
      <c r="AD661" s="741">
        <v>283</v>
      </c>
      <c r="AE661" s="741">
        <v>330</v>
      </c>
      <c r="AF661" s="741">
        <v>0</v>
      </c>
      <c r="AG661" s="741">
        <v>96</v>
      </c>
      <c r="AH661" s="741">
        <v>2360</v>
      </c>
      <c r="AI661" s="741">
        <v>0</v>
      </c>
      <c r="AJ661" s="741">
        <v>84</v>
      </c>
      <c r="AK661" s="741">
        <v>0</v>
      </c>
      <c r="AL661" s="741">
        <v>125</v>
      </c>
      <c r="AM661" s="742">
        <v>2246</v>
      </c>
      <c r="AN661" s="743">
        <f t="shared" si="30"/>
        <v>0.88870056497175143</v>
      </c>
      <c r="AO661" s="744">
        <f t="shared" si="31"/>
        <v>0.88292978208232442</v>
      </c>
      <c r="AP661" s="745">
        <f>'09월 에너지'!S663</f>
        <v>143</v>
      </c>
    </row>
    <row r="662" spans="1:42" ht="16.5" customHeight="1">
      <c r="A662" s="999">
        <f>'09월 조업일지'!A662</f>
        <v>46290</v>
      </c>
      <c r="B662" s="1100">
        <f>'09월 조업일지'!B662</f>
        <v>46289</v>
      </c>
      <c r="C662" s="730">
        <f>'09월 조업일지'!G662</f>
        <v>85864</v>
      </c>
      <c r="D662" s="731" t="str">
        <f>'09월 조업일지'!E662</f>
        <v>A</v>
      </c>
      <c r="E662" s="732" t="str">
        <f>'09월 조업일지'!F662</f>
        <v>B</v>
      </c>
      <c r="F662" s="1096" t="str">
        <f>'09월 에너지'!F664</f>
        <v>S355JO-01</v>
      </c>
      <c r="G662" s="733">
        <v>11</v>
      </c>
      <c r="H662" s="734">
        <v>21</v>
      </c>
      <c r="I662" s="734">
        <v>126</v>
      </c>
      <c r="J662" s="734">
        <v>15</v>
      </c>
      <c r="K662" s="735">
        <v>35</v>
      </c>
      <c r="L662" s="734">
        <v>12</v>
      </c>
      <c r="M662" s="736">
        <v>13</v>
      </c>
      <c r="N662" s="737">
        <v>417</v>
      </c>
      <c r="O662" s="737"/>
      <c r="P662" s="737">
        <v>1003</v>
      </c>
      <c r="Q662" s="737">
        <v>960</v>
      </c>
      <c r="R662" s="737"/>
      <c r="S662" s="737"/>
      <c r="T662" s="737">
        <v>0</v>
      </c>
      <c r="U662" s="738"/>
      <c r="V662" s="739">
        <v>419</v>
      </c>
      <c r="W662" s="737"/>
      <c r="X662" s="737">
        <v>1003</v>
      </c>
      <c r="Y662" s="737">
        <v>910</v>
      </c>
      <c r="Z662" s="1202">
        <v>0</v>
      </c>
      <c r="AA662" s="740"/>
      <c r="AB662" s="739">
        <v>0</v>
      </c>
      <c r="AC662" s="741"/>
      <c r="AD662" s="741">
        <v>280</v>
      </c>
      <c r="AE662" s="741">
        <v>332</v>
      </c>
      <c r="AF662" s="741">
        <v>0</v>
      </c>
      <c r="AG662" s="741">
        <v>95</v>
      </c>
      <c r="AH662" s="741">
        <v>2349</v>
      </c>
      <c r="AI662" s="741">
        <v>0</v>
      </c>
      <c r="AJ662" s="741">
        <v>85</v>
      </c>
      <c r="AK662" s="741">
        <v>0</v>
      </c>
      <c r="AL662" s="741">
        <v>121</v>
      </c>
      <c r="AM662" s="742">
        <v>2609</v>
      </c>
      <c r="AN662" s="743">
        <f t="shared" si="30"/>
        <v>0.87015751383567486</v>
      </c>
      <c r="AO662" s="744">
        <f t="shared" si="31"/>
        <v>0.98558657179346831</v>
      </c>
      <c r="AP662" s="745">
        <f>'09월 에너지'!S664</f>
        <v>146</v>
      </c>
    </row>
    <row r="663" spans="1:42" ht="16.5" customHeight="1">
      <c r="A663" s="999">
        <f>'09월 조업일지'!A663</f>
        <v>46290</v>
      </c>
      <c r="B663" s="1100">
        <f>'09월 조업일지'!B663</f>
        <v>46289</v>
      </c>
      <c r="C663" s="730">
        <f>'09월 조업일지'!G663</f>
        <v>85865</v>
      </c>
      <c r="D663" s="731" t="str">
        <f>'09월 조업일지'!E663</f>
        <v>A</v>
      </c>
      <c r="E663" s="732" t="str">
        <f>'09월 조업일지'!F663</f>
        <v>A</v>
      </c>
      <c r="F663" s="1231" t="str">
        <f>'09월 에너지'!F665</f>
        <v>SS400(ToMok)</v>
      </c>
      <c r="G663" s="733">
        <v>10</v>
      </c>
      <c r="H663" s="734">
        <v>23</v>
      </c>
      <c r="I663" s="734">
        <v>51</v>
      </c>
      <c r="J663" s="734">
        <v>17</v>
      </c>
      <c r="K663" s="735">
        <v>34</v>
      </c>
      <c r="L663" s="734">
        <v>13</v>
      </c>
      <c r="M663" s="736">
        <v>10</v>
      </c>
      <c r="N663" s="737">
        <v>423</v>
      </c>
      <c r="O663" s="737"/>
      <c r="P663" s="737">
        <v>1001</v>
      </c>
      <c r="Q663" s="737">
        <v>955</v>
      </c>
      <c r="R663" s="737"/>
      <c r="S663" s="737"/>
      <c r="T663" s="737">
        <v>64</v>
      </c>
      <c r="U663" s="738"/>
      <c r="V663" s="739">
        <v>620</v>
      </c>
      <c r="W663" s="737"/>
      <c r="X663" s="737">
        <v>1000</v>
      </c>
      <c r="Y663" s="737">
        <v>911</v>
      </c>
      <c r="Z663" s="1202">
        <v>72</v>
      </c>
      <c r="AA663" s="740"/>
      <c r="AB663" s="739">
        <v>0</v>
      </c>
      <c r="AC663" s="741"/>
      <c r="AD663" s="741">
        <v>271</v>
      </c>
      <c r="AE663" s="741">
        <v>330</v>
      </c>
      <c r="AF663" s="741">
        <v>0</v>
      </c>
      <c r="AG663" s="741">
        <v>110</v>
      </c>
      <c r="AH663" s="741">
        <v>714</v>
      </c>
      <c r="AI663" s="741">
        <v>346</v>
      </c>
      <c r="AJ663" s="741">
        <v>80</v>
      </c>
      <c r="AK663" s="741">
        <v>0</v>
      </c>
      <c r="AL663" s="741">
        <v>122</v>
      </c>
      <c r="AM663" s="742">
        <v>2392</v>
      </c>
      <c r="AN663" s="743">
        <f t="shared" si="30"/>
        <v>0.89904528096017444</v>
      </c>
      <c r="AO663" s="744">
        <f t="shared" si="31"/>
        <v>1.032172869147659</v>
      </c>
      <c r="AP663" s="745">
        <f>'09월 에너지'!S665</f>
        <v>143.30000000000001</v>
      </c>
    </row>
    <row r="664" spans="1:42" ht="16.5" customHeight="1">
      <c r="A664" s="999">
        <f>'09월 조업일지'!A664</f>
        <v>46290</v>
      </c>
      <c r="B664" s="1100">
        <f>'09월 조업일지'!B664</f>
        <v>46289</v>
      </c>
      <c r="C664" s="730">
        <f>'09월 조업일지'!G664</f>
        <v>85866</v>
      </c>
      <c r="D664" s="731" t="str">
        <f>'09월 조업일지'!E664</f>
        <v>A</v>
      </c>
      <c r="E664" s="732" t="str">
        <f>'09월 조업일지'!F664</f>
        <v>B</v>
      </c>
      <c r="F664" s="1096" t="str">
        <f>'09월 에너지'!F666</f>
        <v>SS400(ToMok)</v>
      </c>
      <c r="G664" s="733">
        <v>8</v>
      </c>
      <c r="H664" s="734">
        <v>23</v>
      </c>
      <c r="I664" s="734">
        <v>58</v>
      </c>
      <c r="J664" s="734">
        <v>18</v>
      </c>
      <c r="K664" s="735">
        <v>30</v>
      </c>
      <c r="L664" s="734">
        <v>12</v>
      </c>
      <c r="M664" s="736">
        <v>10</v>
      </c>
      <c r="N664" s="737">
        <v>414</v>
      </c>
      <c r="O664" s="737"/>
      <c r="P664" s="737">
        <v>1001</v>
      </c>
      <c r="Q664" s="737">
        <v>955</v>
      </c>
      <c r="R664" s="737"/>
      <c r="S664" s="737"/>
      <c r="T664" s="737">
        <v>69</v>
      </c>
      <c r="U664" s="738"/>
      <c r="V664" s="739">
        <v>421</v>
      </c>
      <c r="W664" s="737"/>
      <c r="X664" s="737">
        <v>1001</v>
      </c>
      <c r="Y664" s="737">
        <v>906</v>
      </c>
      <c r="Z664" s="1202">
        <v>60</v>
      </c>
      <c r="AA664" s="740"/>
      <c r="AB664" s="739">
        <v>0</v>
      </c>
      <c r="AC664" s="741"/>
      <c r="AD664" s="741">
        <v>271</v>
      </c>
      <c r="AE664" s="741">
        <v>331</v>
      </c>
      <c r="AF664" s="741">
        <v>0</v>
      </c>
      <c r="AG664" s="741">
        <v>110</v>
      </c>
      <c r="AH664" s="741">
        <v>712</v>
      </c>
      <c r="AI664" s="741">
        <v>352</v>
      </c>
      <c r="AJ664" s="741">
        <v>83</v>
      </c>
      <c r="AK664" s="741">
        <v>0</v>
      </c>
      <c r="AL664" s="741">
        <v>127</v>
      </c>
      <c r="AM664" s="742">
        <v>2983</v>
      </c>
      <c r="AN664" s="743">
        <f t="shared" si="30"/>
        <v>0.89072276159654795</v>
      </c>
      <c r="AO664" s="744">
        <f t="shared" si="31"/>
        <v>1.23892455858748</v>
      </c>
      <c r="AP664" s="745">
        <f>'09월 에너지'!S666</f>
        <v>143.6</v>
      </c>
    </row>
    <row r="665" spans="1:42" ht="16.5" customHeight="1">
      <c r="A665" s="999">
        <f>'09월 조업일지'!A665</f>
        <v>46290</v>
      </c>
      <c r="B665" s="1100">
        <f>'09월 조업일지'!B665</f>
        <v>46289</v>
      </c>
      <c r="C665" s="730">
        <f>'09월 조업일지'!G665</f>
        <v>85867</v>
      </c>
      <c r="D665" s="731" t="str">
        <f>'09월 조업일지'!E665</f>
        <v>A</v>
      </c>
      <c r="E665" s="732" t="str">
        <f>'09월 조업일지'!F665</f>
        <v>A</v>
      </c>
      <c r="F665" s="1096" t="str">
        <f>'09월 에너지'!F667</f>
        <v>SS400(ToMok)</v>
      </c>
      <c r="G665" s="733">
        <v>13</v>
      </c>
      <c r="H665" s="734">
        <v>24</v>
      </c>
      <c r="I665" s="734">
        <v>52</v>
      </c>
      <c r="J665" s="734">
        <v>16</v>
      </c>
      <c r="K665" s="735">
        <v>25</v>
      </c>
      <c r="L665" s="734">
        <v>13</v>
      </c>
      <c r="M665" s="736">
        <v>9</v>
      </c>
      <c r="N665" s="737">
        <v>423</v>
      </c>
      <c r="O665" s="737"/>
      <c r="P665" s="737">
        <v>1000</v>
      </c>
      <c r="Q665" s="737">
        <v>959</v>
      </c>
      <c r="R665" s="737"/>
      <c r="S665" s="737"/>
      <c r="T665" s="737">
        <v>64</v>
      </c>
      <c r="U665" s="738"/>
      <c r="V665" s="739">
        <v>623</v>
      </c>
      <c r="W665" s="737"/>
      <c r="X665" s="737">
        <v>1000</v>
      </c>
      <c r="Y665" s="737">
        <v>903</v>
      </c>
      <c r="Z665" s="1202">
        <v>69</v>
      </c>
      <c r="AA665" s="740"/>
      <c r="AB665" s="739">
        <v>0</v>
      </c>
      <c r="AC665" s="741"/>
      <c r="AD665" s="741">
        <v>273</v>
      </c>
      <c r="AE665" s="741">
        <v>331</v>
      </c>
      <c r="AF665" s="741">
        <v>0</v>
      </c>
      <c r="AG665" s="741">
        <v>110</v>
      </c>
      <c r="AH665" s="741">
        <v>720</v>
      </c>
      <c r="AI665" s="741">
        <v>345</v>
      </c>
      <c r="AJ665" s="741">
        <v>81</v>
      </c>
      <c r="AK665" s="741">
        <v>0</v>
      </c>
      <c r="AL665" s="741">
        <v>134</v>
      </c>
      <c r="AM665" s="742">
        <v>2591</v>
      </c>
      <c r="AN665" s="743">
        <f t="shared" si="30"/>
        <v>0.93840490797546017</v>
      </c>
      <c r="AO665" s="744">
        <f t="shared" si="31"/>
        <v>1.0527380952380954</v>
      </c>
      <c r="AP665" s="745">
        <f>'09월 에너지'!S667</f>
        <v>143.4</v>
      </c>
    </row>
    <row r="666" spans="1:42" ht="16.5" customHeight="1">
      <c r="A666" s="999">
        <f>'09월 조업일지'!A666</f>
        <v>46290</v>
      </c>
      <c r="B666" s="1100">
        <f>'09월 조업일지'!B666</f>
        <v>46290</v>
      </c>
      <c r="C666" s="730">
        <f>'09월 조업일지'!G666</f>
        <v>85868</v>
      </c>
      <c r="D666" s="731" t="str">
        <f>'09월 조업일지'!E666</f>
        <v>B</v>
      </c>
      <c r="E666" s="732" t="str">
        <f>'09월 조업일지'!F666</f>
        <v>B</v>
      </c>
      <c r="F666" s="1231" t="str">
        <f>'09월 에너지'!F668</f>
        <v>SHP275W</v>
      </c>
      <c r="G666" s="733">
        <v>12</v>
      </c>
      <c r="H666" s="734">
        <v>22</v>
      </c>
      <c r="I666" s="734">
        <v>53</v>
      </c>
      <c r="J666" s="734">
        <v>12</v>
      </c>
      <c r="K666" s="735">
        <v>28</v>
      </c>
      <c r="L666" s="734">
        <v>14</v>
      </c>
      <c r="M666" s="736">
        <v>9</v>
      </c>
      <c r="N666" s="737">
        <v>418</v>
      </c>
      <c r="O666" s="737"/>
      <c r="P666" s="737">
        <v>1001</v>
      </c>
      <c r="Q666" s="737">
        <v>953</v>
      </c>
      <c r="R666" s="737"/>
      <c r="S666" s="737"/>
      <c r="T666" s="737"/>
      <c r="U666" s="738"/>
      <c r="V666" s="739">
        <v>417</v>
      </c>
      <c r="W666" s="737"/>
      <c r="X666" s="737">
        <v>1002</v>
      </c>
      <c r="Y666" s="737">
        <v>901</v>
      </c>
      <c r="Z666" s="1202"/>
      <c r="AA666" s="740"/>
      <c r="AB666" s="739"/>
      <c r="AC666" s="741"/>
      <c r="AD666" s="741">
        <v>272</v>
      </c>
      <c r="AE666" s="741">
        <v>331</v>
      </c>
      <c r="AF666" s="741"/>
      <c r="AG666" s="741">
        <v>95</v>
      </c>
      <c r="AH666" s="741">
        <v>803</v>
      </c>
      <c r="AI666" s="741">
        <v>320</v>
      </c>
      <c r="AJ666" s="741">
        <v>85</v>
      </c>
      <c r="AK666" s="741"/>
      <c r="AL666" s="741">
        <v>124</v>
      </c>
      <c r="AM666" s="742">
        <v>2184</v>
      </c>
      <c r="AN666" s="743">
        <f t="shared" si="30"/>
        <v>0.88073241781106948</v>
      </c>
      <c r="AO666" s="744">
        <f t="shared" si="31"/>
        <v>0.97552037004091818</v>
      </c>
      <c r="AP666" s="745">
        <f>'09월 에너지'!S668</f>
        <v>144.30000000000001</v>
      </c>
    </row>
    <row r="667" spans="1:42" ht="16.5" customHeight="1">
      <c r="A667" s="999">
        <f>'09월 조업일지'!A667</f>
        <v>46290</v>
      </c>
      <c r="B667" s="1100">
        <f>'09월 조업일지'!B667</f>
        <v>46290</v>
      </c>
      <c r="C667" s="730">
        <f>'09월 조업일지'!G667</f>
        <v>85869</v>
      </c>
      <c r="D667" s="731" t="str">
        <f>'09월 조업일지'!E667</f>
        <v>B</v>
      </c>
      <c r="E667" s="732" t="str">
        <f>'09월 조업일지'!F667</f>
        <v>A</v>
      </c>
      <c r="F667" s="1096" t="str">
        <f>'09월 에너지'!F669</f>
        <v>SHP275W</v>
      </c>
      <c r="G667" s="733">
        <v>7</v>
      </c>
      <c r="H667" s="734">
        <v>17</v>
      </c>
      <c r="I667" s="734">
        <v>55</v>
      </c>
      <c r="J667" s="734">
        <v>14</v>
      </c>
      <c r="K667" s="735">
        <v>25</v>
      </c>
      <c r="L667" s="734">
        <v>19</v>
      </c>
      <c r="M667" s="736">
        <v>11</v>
      </c>
      <c r="N667" s="737">
        <v>414</v>
      </c>
      <c r="O667" s="737"/>
      <c r="P667" s="737">
        <v>1001</v>
      </c>
      <c r="Q667" s="737">
        <v>954</v>
      </c>
      <c r="R667" s="737"/>
      <c r="S667" s="737"/>
      <c r="T667" s="737"/>
      <c r="U667" s="738"/>
      <c r="V667" s="739">
        <v>423</v>
      </c>
      <c r="W667" s="737"/>
      <c r="X667" s="737">
        <v>1000</v>
      </c>
      <c r="Y667" s="737">
        <v>911</v>
      </c>
      <c r="Z667" s="1202"/>
      <c r="AA667" s="740"/>
      <c r="AB667" s="739"/>
      <c r="AC667" s="741"/>
      <c r="AD667" s="741">
        <v>272</v>
      </c>
      <c r="AE667" s="741">
        <v>331</v>
      </c>
      <c r="AF667" s="741"/>
      <c r="AG667" s="741">
        <v>95</v>
      </c>
      <c r="AH667" s="741">
        <v>802</v>
      </c>
      <c r="AI667" s="741">
        <v>321</v>
      </c>
      <c r="AJ667" s="741">
        <v>95</v>
      </c>
      <c r="AK667" s="741"/>
      <c r="AL667" s="741">
        <v>124</v>
      </c>
      <c r="AM667" s="742">
        <v>1615</v>
      </c>
      <c r="AN667" s="743">
        <f t="shared" si="30"/>
        <v>0.67284309652402718</v>
      </c>
      <c r="AO667" s="744">
        <f t="shared" si="31"/>
        <v>1.0181688635553974</v>
      </c>
      <c r="AP667" s="745">
        <f>'09월 에너지'!S669</f>
        <v>142.9</v>
      </c>
    </row>
    <row r="668" spans="1:42" ht="16.5" customHeight="1">
      <c r="A668" s="999">
        <f>'09월 조업일지'!A668</f>
        <v>46290</v>
      </c>
      <c r="B668" s="1100">
        <f>'09월 조업일지'!B668</f>
        <v>46290</v>
      </c>
      <c r="C668" s="730">
        <f>'09월 조업일지'!G668</f>
        <v>85870</v>
      </c>
      <c r="D668" s="731" t="str">
        <f>'09월 조업일지'!E668</f>
        <v>B</v>
      </c>
      <c r="E668" s="732" t="str">
        <f>'09월 조업일지'!F668</f>
        <v>B</v>
      </c>
      <c r="F668" s="1096" t="str">
        <f>'09월 에너지'!F670</f>
        <v>SHP275W</v>
      </c>
      <c r="G668" s="733">
        <v>9</v>
      </c>
      <c r="H668" s="734">
        <v>16</v>
      </c>
      <c r="I668" s="734">
        <v>56</v>
      </c>
      <c r="J668" s="734">
        <v>16</v>
      </c>
      <c r="K668" s="735">
        <v>37</v>
      </c>
      <c r="L668" s="734">
        <v>16</v>
      </c>
      <c r="M668" s="736">
        <v>9</v>
      </c>
      <c r="N668" s="737">
        <v>425</v>
      </c>
      <c r="O668" s="737"/>
      <c r="P668" s="737">
        <v>1002</v>
      </c>
      <c r="Q668" s="737">
        <v>951</v>
      </c>
      <c r="R668" s="737"/>
      <c r="S668" s="737"/>
      <c r="T668" s="737"/>
      <c r="U668" s="738"/>
      <c r="V668" s="739">
        <v>417</v>
      </c>
      <c r="W668" s="737"/>
      <c r="X668" s="737">
        <v>1001</v>
      </c>
      <c r="Y668" s="737">
        <v>902</v>
      </c>
      <c r="Z668" s="1202"/>
      <c r="AA668" s="740"/>
      <c r="AB668" s="739"/>
      <c r="AC668" s="741"/>
      <c r="AD668" s="741">
        <v>723</v>
      </c>
      <c r="AE668" s="741">
        <v>331</v>
      </c>
      <c r="AF668" s="741"/>
      <c r="AG668" s="741">
        <v>95</v>
      </c>
      <c r="AH668" s="741">
        <v>800</v>
      </c>
      <c r="AI668" s="741">
        <v>318</v>
      </c>
      <c r="AJ668" s="741">
        <v>89</v>
      </c>
      <c r="AK668" s="741"/>
      <c r="AL668" s="741">
        <v>124</v>
      </c>
      <c r="AM668" s="742">
        <v>1516</v>
      </c>
      <c r="AN668" s="743">
        <f t="shared" si="30"/>
        <v>0.63598326359832635</v>
      </c>
      <c r="AO668" s="744">
        <f t="shared" si="31"/>
        <v>1.0433035714285714</v>
      </c>
      <c r="AP668" s="745">
        <f>'09월 에너지'!S670</f>
        <v>142.5</v>
      </c>
    </row>
    <row r="669" spans="1:42" ht="16.5" customHeight="1">
      <c r="A669" s="999">
        <f>'09월 조업일지'!A669</f>
        <v>46290</v>
      </c>
      <c r="B669" s="1100">
        <f>'09월 조업일지'!B669</f>
        <v>46290</v>
      </c>
      <c r="C669" s="730">
        <f>'09월 조업일지'!G669</f>
        <v>85871</v>
      </c>
      <c r="D669" s="731" t="str">
        <f>'09월 조업일지'!E669</f>
        <v>B</v>
      </c>
      <c r="E669" s="732" t="str">
        <f>'09월 조업일지'!F669</f>
        <v>A</v>
      </c>
      <c r="F669" s="1096" t="str">
        <f>'09월 에너지'!F671</f>
        <v>SHP275W</v>
      </c>
      <c r="G669" s="733">
        <v>8</v>
      </c>
      <c r="H669" s="734">
        <v>21</v>
      </c>
      <c r="I669" s="734">
        <v>54</v>
      </c>
      <c r="J669" s="734">
        <v>14</v>
      </c>
      <c r="K669" s="735">
        <v>34</v>
      </c>
      <c r="L669" s="734">
        <v>19</v>
      </c>
      <c r="M669" s="736">
        <v>8</v>
      </c>
      <c r="N669" s="737">
        <v>415</v>
      </c>
      <c r="O669" s="737"/>
      <c r="P669" s="737">
        <v>1003</v>
      </c>
      <c r="Q669" s="737">
        <v>955</v>
      </c>
      <c r="R669" s="737"/>
      <c r="S669" s="737"/>
      <c r="T669" s="737"/>
      <c r="U669" s="738"/>
      <c r="V669" s="739">
        <v>424</v>
      </c>
      <c r="W669" s="737"/>
      <c r="X669" s="737">
        <v>1002</v>
      </c>
      <c r="Y669" s="737">
        <v>908</v>
      </c>
      <c r="Z669" s="1202"/>
      <c r="AA669" s="740"/>
      <c r="AB669" s="739"/>
      <c r="AC669" s="741"/>
      <c r="AD669" s="741">
        <v>272</v>
      </c>
      <c r="AE669" s="741">
        <v>330</v>
      </c>
      <c r="AF669" s="741"/>
      <c r="AG669" s="741">
        <v>96</v>
      </c>
      <c r="AH669" s="741">
        <v>800</v>
      </c>
      <c r="AI669" s="741">
        <v>314</v>
      </c>
      <c r="AJ669" s="741">
        <v>89</v>
      </c>
      <c r="AK669" s="741"/>
      <c r="AL669" s="741">
        <v>127</v>
      </c>
      <c r="AM669" s="742">
        <v>1840</v>
      </c>
      <c r="AN669" s="743">
        <f t="shared" si="30"/>
        <v>0.85713080168776368</v>
      </c>
      <c r="AO669" s="744">
        <f t="shared" si="31"/>
        <v>1.010517857142857</v>
      </c>
      <c r="AP669" s="745">
        <f>'09월 에너지'!S671</f>
        <v>145.1</v>
      </c>
    </row>
    <row r="670" spans="1:42" s="746" customFormat="1" ht="16.5" customHeight="1">
      <c r="A670" s="999">
        <f>'09월 조업일지'!A670</f>
        <v>46290</v>
      </c>
      <c r="B670" s="1100">
        <f>'09월 조업일지'!B670</f>
        <v>46290</v>
      </c>
      <c r="C670" s="730">
        <f>'09월 조업일지'!G670</f>
        <v>85872</v>
      </c>
      <c r="D670" s="731" t="str">
        <f>'09월 조업일지'!E670</f>
        <v>B</v>
      </c>
      <c r="E670" s="732" t="str">
        <f>'09월 조업일지'!F670</f>
        <v>B</v>
      </c>
      <c r="F670" s="1096" t="str">
        <f>'09월 에너지'!F672</f>
        <v>SHP275W</v>
      </c>
      <c r="G670" s="733">
        <v>10</v>
      </c>
      <c r="H670" s="734">
        <v>17</v>
      </c>
      <c r="I670" s="734">
        <v>55</v>
      </c>
      <c r="J670" s="734">
        <v>16</v>
      </c>
      <c r="K670" s="735">
        <v>42</v>
      </c>
      <c r="L670" s="734">
        <v>12</v>
      </c>
      <c r="M670" s="736">
        <v>10</v>
      </c>
      <c r="N670" s="737">
        <v>415</v>
      </c>
      <c r="O670" s="737"/>
      <c r="P670" s="737">
        <v>1004</v>
      </c>
      <c r="Q670" s="737">
        <v>953</v>
      </c>
      <c r="R670" s="737"/>
      <c r="S670" s="737"/>
      <c r="T670" s="737"/>
      <c r="U670" s="738"/>
      <c r="V670" s="739">
        <v>421</v>
      </c>
      <c r="W670" s="737"/>
      <c r="X670" s="737">
        <v>1001</v>
      </c>
      <c r="Y670" s="737">
        <v>904</v>
      </c>
      <c r="Z670" s="1202"/>
      <c r="AA670" s="740"/>
      <c r="AB670" s="739"/>
      <c r="AC670" s="741"/>
      <c r="AD670" s="741">
        <v>271</v>
      </c>
      <c r="AE670" s="741">
        <v>330</v>
      </c>
      <c r="AF670" s="741"/>
      <c r="AG670" s="741">
        <v>95</v>
      </c>
      <c r="AH670" s="741">
        <v>797</v>
      </c>
      <c r="AI670" s="741">
        <v>316</v>
      </c>
      <c r="AJ670" s="741">
        <v>87</v>
      </c>
      <c r="AK670" s="741"/>
      <c r="AL670" s="741">
        <v>134</v>
      </c>
      <c r="AM670" s="742">
        <v>1716</v>
      </c>
      <c r="AN670" s="743">
        <f t="shared" si="30"/>
        <v>0.67322956107137844</v>
      </c>
      <c r="AO670" s="744">
        <f t="shared" si="31"/>
        <v>1.0123678078508693</v>
      </c>
      <c r="AP670" s="745">
        <f>'09월 에너지'!S672</f>
        <v>141.19999999999999</v>
      </c>
    </row>
    <row r="671" spans="1:42" s="746" customFormat="1" ht="16.5" customHeight="1">
      <c r="A671" s="999">
        <f>'09월 조업일지'!A671</f>
        <v>46290</v>
      </c>
      <c r="B671" s="1100">
        <f>'09월 조업일지'!B671</f>
        <v>46290</v>
      </c>
      <c r="C671" s="730">
        <f>'09월 조업일지'!G671</f>
        <v>85873</v>
      </c>
      <c r="D671" s="731" t="str">
        <f>'09월 조업일지'!E671</f>
        <v>B</v>
      </c>
      <c r="E671" s="732" t="str">
        <f>'09월 조업일지'!F671</f>
        <v>A</v>
      </c>
      <c r="F671" s="1096" t="str">
        <f>'09월 에너지'!F673</f>
        <v>SHP275W</v>
      </c>
      <c r="G671" s="733">
        <v>9</v>
      </c>
      <c r="H671" s="734">
        <v>25</v>
      </c>
      <c r="I671" s="734">
        <v>56</v>
      </c>
      <c r="J671" s="734">
        <v>15</v>
      </c>
      <c r="K671" s="735">
        <v>28</v>
      </c>
      <c r="L671" s="734">
        <v>14</v>
      </c>
      <c r="M671" s="736">
        <v>10</v>
      </c>
      <c r="N671" s="737">
        <v>418</v>
      </c>
      <c r="O671" s="737"/>
      <c r="P671" s="737">
        <v>1001</v>
      </c>
      <c r="Q671" s="737">
        <v>952</v>
      </c>
      <c r="R671" s="737"/>
      <c r="S671" s="737"/>
      <c r="T671" s="737"/>
      <c r="U671" s="738"/>
      <c r="V671" s="739">
        <v>416</v>
      </c>
      <c r="W671" s="737"/>
      <c r="X671" s="737">
        <v>998</v>
      </c>
      <c r="Y671" s="737">
        <v>903</v>
      </c>
      <c r="Z671" s="1202"/>
      <c r="AA671" s="740"/>
      <c r="AB671" s="739"/>
      <c r="AC671" s="741"/>
      <c r="AD671" s="741">
        <v>270</v>
      </c>
      <c r="AE671" s="741">
        <v>330</v>
      </c>
      <c r="AF671" s="741"/>
      <c r="AG671" s="741">
        <v>95</v>
      </c>
      <c r="AH671" s="741">
        <v>800</v>
      </c>
      <c r="AI671" s="741">
        <v>432</v>
      </c>
      <c r="AJ671" s="741">
        <v>86</v>
      </c>
      <c r="AK671" s="741"/>
      <c r="AL671" s="741">
        <v>121</v>
      </c>
      <c r="AM671" s="742">
        <v>2168</v>
      </c>
      <c r="AN671" s="743">
        <f t="shared" si="30"/>
        <v>0.81644144144144148</v>
      </c>
      <c r="AO671" s="744">
        <f t="shared" si="31"/>
        <v>1.0616071428571427</v>
      </c>
      <c r="AP671" s="745">
        <f>'09월 에너지'!S673</f>
        <v>145</v>
      </c>
    </row>
    <row r="672" spans="1:42" s="746" customFormat="1" ht="16.5" customHeight="1">
      <c r="A672" s="999">
        <f>'09월 조업일지'!A672</f>
        <v>46290</v>
      </c>
      <c r="B672" s="1100">
        <f>'09월 조업일지'!B672</f>
        <v>46290</v>
      </c>
      <c r="C672" s="730">
        <f>'09월 조업일지'!G672</f>
        <v>85874</v>
      </c>
      <c r="D672" s="731" t="str">
        <f>'09월 조업일지'!E672</f>
        <v>B</v>
      </c>
      <c r="E672" s="732" t="str">
        <f>'09월 조업일지'!F672</f>
        <v>B</v>
      </c>
      <c r="F672" s="1096" t="str">
        <f>'09월 에너지'!F674</f>
        <v>SHP275W</v>
      </c>
      <c r="G672" s="733">
        <v>9</v>
      </c>
      <c r="H672" s="734">
        <v>19</v>
      </c>
      <c r="I672" s="734">
        <v>56</v>
      </c>
      <c r="J672" s="734">
        <v>16</v>
      </c>
      <c r="K672" s="735">
        <v>37</v>
      </c>
      <c r="L672" s="734">
        <v>13</v>
      </c>
      <c r="M672" s="736">
        <v>9</v>
      </c>
      <c r="N672" s="737">
        <v>417</v>
      </c>
      <c r="O672" s="737"/>
      <c r="P672" s="737">
        <v>1002</v>
      </c>
      <c r="Q672" s="737">
        <v>955</v>
      </c>
      <c r="R672" s="737"/>
      <c r="S672" s="737"/>
      <c r="T672" s="737"/>
      <c r="U672" s="738"/>
      <c r="V672" s="739">
        <v>419</v>
      </c>
      <c r="W672" s="737"/>
      <c r="X672" s="737">
        <v>1003</v>
      </c>
      <c r="Y672" s="737">
        <v>909</v>
      </c>
      <c r="Z672" s="1202"/>
      <c r="AA672" s="740"/>
      <c r="AB672" s="739"/>
      <c r="AC672" s="741"/>
      <c r="AD672" s="741">
        <v>271</v>
      </c>
      <c r="AE672" s="741">
        <v>331</v>
      </c>
      <c r="AF672" s="741"/>
      <c r="AG672" s="741">
        <v>95</v>
      </c>
      <c r="AH672" s="741">
        <v>800</v>
      </c>
      <c r="AI672" s="741">
        <v>320</v>
      </c>
      <c r="AJ672" s="741">
        <v>82</v>
      </c>
      <c r="AK672" s="741"/>
      <c r="AL672" s="741">
        <v>121</v>
      </c>
      <c r="AM672" s="742">
        <v>1567</v>
      </c>
      <c r="AN672" s="743">
        <f t="shared" si="30"/>
        <v>0.74416666666666664</v>
      </c>
      <c r="AO672" s="744">
        <f t="shared" si="31"/>
        <v>1.0323214285714286</v>
      </c>
      <c r="AP672" s="745">
        <f>'09월 에너지'!S674</f>
        <v>141</v>
      </c>
    </row>
    <row r="673" spans="1:42" s="746" customFormat="1" ht="16.5" customHeight="1">
      <c r="A673" s="999">
        <f>'09월 조업일지'!A673</f>
        <v>46290</v>
      </c>
      <c r="B673" s="1100">
        <f>'09월 조업일지'!B673</f>
        <v>46290</v>
      </c>
      <c r="C673" s="730">
        <f>'09월 조업일지'!G673</f>
        <v>85875</v>
      </c>
      <c r="D673" s="731" t="str">
        <f>'09월 조업일지'!E673</f>
        <v>B</v>
      </c>
      <c r="E673" s="732" t="str">
        <f>'09월 조업일지'!F673</f>
        <v>A</v>
      </c>
      <c r="F673" s="1096" t="str">
        <f>'09월 에너지'!F675</f>
        <v>SHP275W</v>
      </c>
      <c r="G673" s="733">
        <v>11</v>
      </c>
      <c r="H673" s="734">
        <v>22</v>
      </c>
      <c r="I673" s="734">
        <v>56</v>
      </c>
      <c r="J673" s="734">
        <v>16</v>
      </c>
      <c r="K673" s="735">
        <v>33</v>
      </c>
      <c r="L673" s="734">
        <v>17</v>
      </c>
      <c r="M673" s="736">
        <v>11</v>
      </c>
      <c r="N673" s="737">
        <v>415</v>
      </c>
      <c r="O673" s="737"/>
      <c r="P673" s="737">
        <v>1004</v>
      </c>
      <c r="Q673" s="737">
        <v>953</v>
      </c>
      <c r="R673" s="737"/>
      <c r="S673" s="737"/>
      <c r="T673" s="737"/>
      <c r="U673" s="738"/>
      <c r="V673" s="739">
        <v>420</v>
      </c>
      <c r="W673" s="737"/>
      <c r="X673" s="737">
        <v>1001</v>
      </c>
      <c r="Y673" s="737">
        <v>904</v>
      </c>
      <c r="Z673" s="1202"/>
      <c r="AA673" s="740"/>
      <c r="AB673" s="739"/>
      <c r="AC673" s="741"/>
      <c r="AD673" s="741">
        <v>271</v>
      </c>
      <c r="AE673" s="741">
        <v>330</v>
      </c>
      <c r="AF673" s="741"/>
      <c r="AG673" s="741">
        <v>95</v>
      </c>
      <c r="AH673" s="741">
        <v>797</v>
      </c>
      <c r="AI673" s="741">
        <v>316</v>
      </c>
      <c r="AJ673" s="741">
        <v>87</v>
      </c>
      <c r="AK673" s="741"/>
      <c r="AL673" s="741">
        <v>127</v>
      </c>
      <c r="AM673" s="742">
        <v>2264</v>
      </c>
      <c r="AN673" s="743">
        <f t="shared" si="30"/>
        <v>0.89962137147665122</v>
      </c>
      <c r="AO673" s="744">
        <f t="shared" si="31"/>
        <v>1.0714823445061838</v>
      </c>
      <c r="AP673" s="745">
        <f>'09월 에너지'!S675</f>
        <v>145.80000000000001</v>
      </c>
    </row>
    <row r="674" spans="1:42" s="746" customFormat="1" ht="16.5" customHeight="1">
      <c r="A674" s="999">
        <f>'09월 조업일지'!A674</f>
        <v>46290</v>
      </c>
      <c r="B674" s="1100">
        <f>'09월 조업일지'!B674</f>
        <v>46290</v>
      </c>
      <c r="C674" s="730">
        <f>'09월 조업일지'!G674</f>
        <v>85876</v>
      </c>
      <c r="D674" s="731" t="str">
        <f>'09월 조업일지'!E674</f>
        <v>B</v>
      </c>
      <c r="E674" s="732" t="str">
        <f>'09월 조업일지'!F674</f>
        <v>B</v>
      </c>
      <c r="F674" s="1096" t="str">
        <f>'09월 에너지'!F676</f>
        <v>SHP275W</v>
      </c>
      <c r="G674" s="733">
        <v>10</v>
      </c>
      <c r="H674" s="734">
        <v>23</v>
      </c>
      <c r="I674" s="734">
        <v>56</v>
      </c>
      <c r="J674" s="734">
        <v>14</v>
      </c>
      <c r="K674" s="735">
        <v>33</v>
      </c>
      <c r="L674" s="734">
        <v>10</v>
      </c>
      <c r="M674" s="736">
        <v>9</v>
      </c>
      <c r="N674" s="737">
        <v>413</v>
      </c>
      <c r="O674" s="737"/>
      <c r="P674" s="737">
        <v>1001</v>
      </c>
      <c r="Q674" s="737">
        <v>952</v>
      </c>
      <c r="R674" s="737"/>
      <c r="S674" s="737"/>
      <c r="T674" s="737"/>
      <c r="U674" s="738"/>
      <c r="V674" s="739">
        <v>419</v>
      </c>
      <c r="W674" s="737"/>
      <c r="X674" s="737">
        <v>998</v>
      </c>
      <c r="Y674" s="737">
        <v>903</v>
      </c>
      <c r="Z674" s="1202"/>
      <c r="AA674" s="740"/>
      <c r="AB674" s="739"/>
      <c r="AC674" s="741"/>
      <c r="AD674" s="741">
        <v>273</v>
      </c>
      <c r="AE674" s="741">
        <v>330</v>
      </c>
      <c r="AF674" s="741"/>
      <c r="AG674" s="741">
        <v>96</v>
      </c>
      <c r="AH674" s="741">
        <v>800</v>
      </c>
      <c r="AI674" s="741">
        <v>320</v>
      </c>
      <c r="AJ674" s="741">
        <v>87</v>
      </c>
      <c r="AK674" s="741"/>
      <c r="AL674" s="741">
        <v>123</v>
      </c>
      <c r="AM674" s="742">
        <v>1231</v>
      </c>
      <c r="AN674" s="743">
        <f t="shared" si="30"/>
        <v>0.89444444444444449</v>
      </c>
      <c r="AO674" s="744">
        <f t="shared" si="31"/>
        <v>1.0249999999999999</v>
      </c>
      <c r="AP674" s="745">
        <f>'09월 에너지'!S676</f>
        <v>140</v>
      </c>
    </row>
    <row r="675" spans="1:42" s="746" customFormat="1" ht="16.5" customHeight="1">
      <c r="A675" s="999">
        <f>'09월 조업일지'!A675</f>
        <v>46290</v>
      </c>
      <c r="B675" s="1100">
        <f>'09월 조업일지'!B675</f>
        <v>46290</v>
      </c>
      <c r="C675" s="730">
        <f>'09월 조업일지'!G675</f>
        <v>85877</v>
      </c>
      <c r="D675" s="731" t="str">
        <f>'09월 조업일지'!E675</f>
        <v>B</v>
      </c>
      <c r="E675" s="732" t="str">
        <f>'09월 조업일지'!F675</f>
        <v>A</v>
      </c>
      <c r="F675" s="1096" t="str">
        <f>'09월 에너지'!F677</f>
        <v>SHP275W</v>
      </c>
      <c r="G675" s="733">
        <v>8</v>
      </c>
      <c r="H675" s="734">
        <v>23</v>
      </c>
      <c r="I675" s="734">
        <v>60</v>
      </c>
      <c r="J675" s="734">
        <v>17</v>
      </c>
      <c r="K675" s="735">
        <v>26</v>
      </c>
      <c r="L675" s="734">
        <v>20</v>
      </c>
      <c r="M675" s="736">
        <v>11</v>
      </c>
      <c r="N675" s="737">
        <v>414</v>
      </c>
      <c r="O675" s="737"/>
      <c r="P675" s="737">
        <v>1002</v>
      </c>
      <c r="Q675" s="737">
        <v>955</v>
      </c>
      <c r="R675" s="737"/>
      <c r="S675" s="737"/>
      <c r="T675" s="737"/>
      <c r="U675" s="738"/>
      <c r="V675" s="739">
        <v>421</v>
      </c>
      <c r="W675" s="737"/>
      <c r="X675" s="737">
        <v>1003</v>
      </c>
      <c r="Y675" s="737">
        <v>909</v>
      </c>
      <c r="Z675" s="1202"/>
      <c r="AA675" s="740"/>
      <c r="AB675" s="739"/>
      <c r="AC675" s="741"/>
      <c r="AD675" s="741">
        <v>271</v>
      </c>
      <c r="AE675" s="741">
        <v>331</v>
      </c>
      <c r="AF675" s="741"/>
      <c r="AG675" s="741">
        <v>95</v>
      </c>
      <c r="AH675" s="741">
        <v>801</v>
      </c>
      <c r="AI675" s="741">
        <v>321</v>
      </c>
      <c r="AJ675" s="741">
        <v>83</v>
      </c>
      <c r="AK675" s="741"/>
      <c r="AL675" s="741">
        <v>138</v>
      </c>
      <c r="AM675" s="742">
        <v>2020</v>
      </c>
      <c r="AN675" s="743">
        <f t="shared" si="30"/>
        <v>0.89603768356885571</v>
      </c>
      <c r="AO675" s="744">
        <f t="shared" si="31"/>
        <v>1.128410914927769</v>
      </c>
      <c r="AP675" s="745">
        <f>'09월 에너지'!S677</f>
        <v>140.6</v>
      </c>
    </row>
    <row r="676" spans="1:42" s="746" customFormat="1" ht="16.5" customHeight="1">
      <c r="A676" s="999">
        <f>'09월 조업일지'!A676</f>
        <v>46290</v>
      </c>
      <c r="B676" s="1100">
        <f>'09월 조업일지'!B676</f>
        <v>46290</v>
      </c>
      <c r="C676" s="730">
        <f>'09월 조업일지'!G676</f>
        <v>85878</v>
      </c>
      <c r="D676" s="731" t="str">
        <f>'09월 조업일지'!E676</f>
        <v>B</v>
      </c>
      <c r="E676" s="732" t="str">
        <f>'09월 조업일지'!F676</f>
        <v>B</v>
      </c>
      <c r="F676" s="1096" t="str">
        <f>'09월 에너지'!F678</f>
        <v>SHP275W</v>
      </c>
      <c r="G676" s="733">
        <v>7</v>
      </c>
      <c r="H676" s="734">
        <v>15</v>
      </c>
      <c r="I676" s="734">
        <v>50</v>
      </c>
      <c r="J676" s="734">
        <v>14</v>
      </c>
      <c r="K676" s="735">
        <v>38</v>
      </c>
      <c r="L676" s="734">
        <v>12</v>
      </c>
      <c r="M676" s="736">
        <v>10</v>
      </c>
      <c r="N676" s="737">
        <v>420</v>
      </c>
      <c r="O676" s="737"/>
      <c r="P676" s="737">
        <v>1001</v>
      </c>
      <c r="Q676" s="737">
        <v>960</v>
      </c>
      <c r="R676" s="737"/>
      <c r="S676" s="737"/>
      <c r="T676" s="737"/>
      <c r="U676" s="738"/>
      <c r="V676" s="739">
        <v>419</v>
      </c>
      <c r="W676" s="737"/>
      <c r="X676" s="737">
        <v>1001</v>
      </c>
      <c r="Y676" s="737">
        <v>905</v>
      </c>
      <c r="Z676" s="1202"/>
      <c r="AA676" s="740"/>
      <c r="AB676" s="739"/>
      <c r="AC676" s="741"/>
      <c r="AD676" s="741">
        <v>272</v>
      </c>
      <c r="AE676" s="741">
        <v>331</v>
      </c>
      <c r="AF676" s="741"/>
      <c r="AG676" s="741">
        <v>96</v>
      </c>
      <c r="AH676" s="741">
        <v>801</v>
      </c>
      <c r="AI676" s="741">
        <v>314</v>
      </c>
      <c r="AJ676" s="741">
        <v>89</v>
      </c>
      <c r="AK676" s="741"/>
      <c r="AL676" s="741">
        <v>121</v>
      </c>
      <c r="AM676" s="742">
        <v>1618</v>
      </c>
      <c r="AN676" s="743">
        <f t="shared" si="30"/>
        <v>0.60565162378743154</v>
      </c>
      <c r="AO676" s="744">
        <f t="shared" si="31"/>
        <v>0.89637952559300893</v>
      </c>
      <c r="AP676" s="745">
        <f>'09월 에너지'!S678</f>
        <v>143.6</v>
      </c>
    </row>
    <row r="677" spans="1:42" s="746" customFormat="1" ht="16.5" customHeight="1">
      <c r="A677" s="999">
        <f>'09월 조업일지'!A677</f>
        <v>46290</v>
      </c>
      <c r="B677" s="1100">
        <f>'09월 조업일지'!B677</f>
        <v>46290</v>
      </c>
      <c r="C677" s="730">
        <f>'09월 조업일지'!G677</f>
        <v>85879</v>
      </c>
      <c r="D677" s="731" t="str">
        <f>'09월 조업일지'!E677</f>
        <v>C</v>
      </c>
      <c r="E677" s="732" t="str">
        <f>'09월 조업일지'!F677</f>
        <v>A</v>
      </c>
      <c r="F677" s="1096" t="str">
        <f>'09월 에너지'!F679</f>
        <v>SHP275W</v>
      </c>
      <c r="G677" s="733">
        <v>10</v>
      </c>
      <c r="H677" s="734">
        <v>19</v>
      </c>
      <c r="I677" s="734">
        <v>52</v>
      </c>
      <c r="J677" s="734">
        <v>13</v>
      </c>
      <c r="K677" s="735">
        <v>24</v>
      </c>
      <c r="L677" s="734">
        <v>13</v>
      </c>
      <c r="M677" s="736">
        <v>11</v>
      </c>
      <c r="N677" s="737">
        <v>416</v>
      </c>
      <c r="O677" s="737"/>
      <c r="P677" s="737">
        <v>1000</v>
      </c>
      <c r="Q677" s="737">
        <v>952</v>
      </c>
      <c r="R677" s="737"/>
      <c r="S677" s="737"/>
      <c r="T677" s="737"/>
      <c r="U677" s="738"/>
      <c r="V677" s="739">
        <v>421</v>
      </c>
      <c r="W677" s="737"/>
      <c r="X677" s="737">
        <v>1002</v>
      </c>
      <c r="Y677" s="737">
        <v>908</v>
      </c>
      <c r="Z677" s="1202"/>
      <c r="AA677" s="740"/>
      <c r="AB677" s="739"/>
      <c r="AC677" s="741"/>
      <c r="AD677" s="741">
        <v>278</v>
      </c>
      <c r="AE677" s="741">
        <v>330</v>
      </c>
      <c r="AF677" s="741"/>
      <c r="AG677" s="741">
        <v>95</v>
      </c>
      <c r="AH677" s="741">
        <v>806</v>
      </c>
      <c r="AI677" s="741">
        <v>321</v>
      </c>
      <c r="AJ677" s="741">
        <v>83</v>
      </c>
      <c r="AK677" s="741"/>
      <c r="AL677" s="741">
        <v>123</v>
      </c>
      <c r="AM677" s="742">
        <v>3287</v>
      </c>
      <c r="AN677" s="743">
        <f t="shared" si="30"/>
        <v>0.75495644960597263</v>
      </c>
      <c r="AO677" s="744">
        <f t="shared" si="31"/>
        <v>0.94237858915278294</v>
      </c>
      <c r="AP677" s="745">
        <f>'09월 에너지'!S679</f>
        <v>143.69999999999999</v>
      </c>
    </row>
    <row r="678" spans="1:42" s="746" customFormat="1" ht="16.5" customHeight="1">
      <c r="A678" s="999">
        <f>'09월 조업일지'!A678</f>
        <v>46290</v>
      </c>
      <c r="B678" s="1100">
        <f>'09월 조업일지'!B678</f>
        <v>46290</v>
      </c>
      <c r="C678" s="730">
        <f>'09월 조업일지'!G678</f>
        <v>85880</v>
      </c>
      <c r="D678" s="731" t="str">
        <f>'09월 조업일지'!E678</f>
        <v>C</v>
      </c>
      <c r="E678" s="732" t="str">
        <f>'09월 조업일지'!F678</f>
        <v>B</v>
      </c>
      <c r="F678" s="1096" t="str">
        <f>'09월 에너지'!F680</f>
        <v>SHP275W</v>
      </c>
      <c r="G678" s="733">
        <v>8</v>
      </c>
      <c r="H678" s="734">
        <v>15</v>
      </c>
      <c r="I678" s="734">
        <v>54</v>
      </c>
      <c r="J678" s="734">
        <v>16</v>
      </c>
      <c r="K678" s="735">
        <v>30</v>
      </c>
      <c r="L678" s="734">
        <v>14</v>
      </c>
      <c r="M678" s="736">
        <v>13</v>
      </c>
      <c r="N678" s="737">
        <v>417</v>
      </c>
      <c r="O678" s="737"/>
      <c r="P678" s="737">
        <v>1001</v>
      </c>
      <c r="Q678" s="737">
        <v>960</v>
      </c>
      <c r="R678" s="737"/>
      <c r="S678" s="737"/>
      <c r="T678" s="737"/>
      <c r="U678" s="738"/>
      <c r="V678" s="739">
        <v>415</v>
      </c>
      <c r="W678" s="737"/>
      <c r="X678" s="737">
        <v>1002</v>
      </c>
      <c r="Y678" s="737">
        <v>903</v>
      </c>
      <c r="Z678" s="1202"/>
      <c r="AA678" s="740"/>
      <c r="AB678" s="739"/>
      <c r="AC678" s="741"/>
      <c r="AD678" s="741">
        <v>272</v>
      </c>
      <c r="AE678" s="741">
        <v>330</v>
      </c>
      <c r="AF678" s="741"/>
      <c r="AG678" s="741">
        <v>95</v>
      </c>
      <c r="AH678" s="741">
        <v>800</v>
      </c>
      <c r="AI678" s="741">
        <v>416</v>
      </c>
      <c r="AJ678" s="741">
        <v>88</v>
      </c>
      <c r="AK678" s="741"/>
      <c r="AL678" s="741">
        <v>120</v>
      </c>
      <c r="AM678" s="742">
        <v>2318</v>
      </c>
      <c r="AN678" s="743">
        <f t="shared" si="30"/>
        <v>0.49236111111111108</v>
      </c>
      <c r="AO678" s="744">
        <f t="shared" si="31"/>
        <v>0.98753571428571429</v>
      </c>
      <c r="AP678" s="745">
        <f>'09월 에너지'!S680</f>
        <v>141.80000000000001</v>
      </c>
    </row>
    <row r="679" spans="1:42" s="746" customFormat="1" ht="16.5" customHeight="1">
      <c r="A679" s="999">
        <f>'09월 조업일지'!A679</f>
        <v>46290</v>
      </c>
      <c r="B679" s="1100">
        <f>'09월 조업일지'!B679</f>
        <v>46290</v>
      </c>
      <c r="C679" s="730">
        <f>'09월 조업일지'!G679</f>
        <v>85881</v>
      </c>
      <c r="D679" s="731" t="str">
        <f>'09월 조업일지'!E679</f>
        <v>C</v>
      </c>
      <c r="E679" s="732" t="str">
        <f>'09월 조업일지'!F679</f>
        <v>A</v>
      </c>
      <c r="F679" s="1096" t="str">
        <f>'09월 에너지'!F681</f>
        <v>SHP275W</v>
      </c>
      <c r="G679" s="733">
        <v>7</v>
      </c>
      <c r="H679" s="734">
        <v>11</v>
      </c>
      <c r="I679" s="734">
        <v>45</v>
      </c>
      <c r="J679" s="734">
        <v>12</v>
      </c>
      <c r="K679" s="735">
        <v>22</v>
      </c>
      <c r="L679" s="734">
        <v>10</v>
      </c>
      <c r="M679" s="736">
        <v>9</v>
      </c>
      <c r="N679" s="737">
        <v>422</v>
      </c>
      <c r="O679" s="737"/>
      <c r="P679" s="737">
        <v>1001</v>
      </c>
      <c r="Q679" s="737">
        <v>956</v>
      </c>
      <c r="R679" s="737"/>
      <c r="S679" s="737"/>
      <c r="T679" s="737"/>
      <c r="U679" s="738"/>
      <c r="V679" s="739">
        <v>412</v>
      </c>
      <c r="W679" s="737"/>
      <c r="X679" s="737">
        <v>1003</v>
      </c>
      <c r="Y679" s="737">
        <v>902</v>
      </c>
      <c r="Z679" s="1202"/>
      <c r="AA679" s="740"/>
      <c r="AB679" s="739"/>
      <c r="AC679" s="741"/>
      <c r="AD679" s="741">
        <v>271</v>
      </c>
      <c r="AE679" s="741">
        <v>330</v>
      </c>
      <c r="AF679" s="741"/>
      <c r="AG679" s="741">
        <v>95</v>
      </c>
      <c r="AH679" s="741">
        <v>801</v>
      </c>
      <c r="AI679" s="741">
        <v>322</v>
      </c>
      <c r="AJ679" s="741">
        <v>92</v>
      </c>
      <c r="AK679" s="741"/>
      <c r="AL679" s="741">
        <v>123</v>
      </c>
      <c r="AM679" s="742">
        <v>2510</v>
      </c>
      <c r="AN679" s="743">
        <f t="shared" si="30"/>
        <v>0.44042582607493436</v>
      </c>
      <c r="AO679" s="744">
        <f t="shared" si="31"/>
        <v>0.77474585339753888</v>
      </c>
      <c r="AP679" s="745">
        <f>'09월 에너지'!S681</f>
        <v>144.80000000000001</v>
      </c>
    </row>
    <row r="680" spans="1:42" s="746" customFormat="1" ht="16.5" customHeight="1">
      <c r="A680" s="999">
        <f>'09월 조업일지'!A680</f>
        <v>46290</v>
      </c>
      <c r="B680" s="1100">
        <f>'09월 조업일지'!B680</f>
        <v>46290</v>
      </c>
      <c r="C680" s="730">
        <f>'09월 조업일지'!G680</f>
        <v>85882</v>
      </c>
      <c r="D680" s="731" t="str">
        <f>'09월 조업일지'!E680</f>
        <v>C</v>
      </c>
      <c r="E680" s="732" t="str">
        <f>'09월 조업일지'!F680</f>
        <v>B</v>
      </c>
      <c r="F680" s="1096" t="str">
        <f>'09월 에너지'!F682</f>
        <v>SHP275W</v>
      </c>
      <c r="G680" s="733">
        <v>8</v>
      </c>
      <c r="H680" s="734">
        <v>15</v>
      </c>
      <c r="I680" s="734">
        <v>58</v>
      </c>
      <c r="J680" s="734">
        <v>16</v>
      </c>
      <c r="K680" s="735">
        <v>42</v>
      </c>
      <c r="L680" s="734">
        <v>12</v>
      </c>
      <c r="M680" s="736">
        <v>8</v>
      </c>
      <c r="N680" s="737">
        <v>426</v>
      </c>
      <c r="O680" s="737"/>
      <c r="P680" s="737">
        <v>1002</v>
      </c>
      <c r="Q680" s="737">
        <v>956</v>
      </c>
      <c r="R680" s="737"/>
      <c r="S680" s="737"/>
      <c r="T680" s="737"/>
      <c r="U680" s="738"/>
      <c r="V680" s="739">
        <v>418</v>
      </c>
      <c r="W680" s="737"/>
      <c r="X680" s="737">
        <v>1001</v>
      </c>
      <c r="Y680" s="737">
        <v>902</v>
      </c>
      <c r="Z680" s="1202"/>
      <c r="AA680" s="740"/>
      <c r="AB680" s="739"/>
      <c r="AC680" s="741"/>
      <c r="AD680" s="741">
        <v>273</v>
      </c>
      <c r="AE680" s="741">
        <v>330</v>
      </c>
      <c r="AF680" s="741"/>
      <c r="AG680" s="741">
        <v>95</v>
      </c>
      <c r="AH680" s="741">
        <v>804</v>
      </c>
      <c r="AI680" s="741">
        <v>319</v>
      </c>
      <c r="AJ680" s="741">
        <v>84</v>
      </c>
      <c r="AK680" s="741"/>
      <c r="AL680" s="741">
        <v>121</v>
      </c>
      <c r="AM680" s="742">
        <v>2619</v>
      </c>
      <c r="AN680" s="743">
        <f t="shared" si="30"/>
        <v>0.59774906210921208</v>
      </c>
      <c r="AO680" s="744">
        <f t="shared" si="31"/>
        <v>1.095628997867804</v>
      </c>
      <c r="AP680" s="745">
        <f>'09월 에너지'!S682</f>
        <v>143.4</v>
      </c>
    </row>
    <row r="681" spans="1:42" s="746" customFormat="1" ht="16.5" customHeight="1">
      <c r="A681" s="999">
        <f>'09월 조업일지'!A681</f>
        <v>46290</v>
      </c>
      <c r="B681" s="1100">
        <f>'09월 조업일지'!B681</f>
        <v>46290</v>
      </c>
      <c r="C681" s="730">
        <f>'09월 조업일지'!G681</f>
        <v>85883</v>
      </c>
      <c r="D681" s="731" t="str">
        <f>'09월 조업일지'!E681</f>
        <v>C</v>
      </c>
      <c r="E681" s="732" t="str">
        <f>'09월 조업일지'!F681</f>
        <v>A</v>
      </c>
      <c r="F681" s="1096" t="str">
        <f>'09월 에너지'!F683</f>
        <v>SHP275W</v>
      </c>
      <c r="G681" s="733">
        <v>7</v>
      </c>
      <c r="H681" s="734">
        <v>12</v>
      </c>
      <c r="I681" s="734">
        <v>50</v>
      </c>
      <c r="J681" s="734">
        <v>14</v>
      </c>
      <c r="K681" s="735">
        <v>24</v>
      </c>
      <c r="L681" s="734">
        <v>10</v>
      </c>
      <c r="M681" s="736">
        <v>10</v>
      </c>
      <c r="N681" s="737">
        <v>420</v>
      </c>
      <c r="O681" s="737"/>
      <c r="P681" s="737">
        <v>1003</v>
      </c>
      <c r="Q681" s="737">
        <v>954</v>
      </c>
      <c r="R681" s="737"/>
      <c r="S681" s="737"/>
      <c r="T681" s="737"/>
      <c r="U681" s="738"/>
      <c r="V681" s="739">
        <v>422</v>
      </c>
      <c r="W681" s="737"/>
      <c r="X681" s="737">
        <v>1001</v>
      </c>
      <c r="Y681" s="737">
        <v>906</v>
      </c>
      <c r="Z681" s="1202"/>
      <c r="AA681" s="740"/>
      <c r="AB681" s="739"/>
      <c r="AC681" s="741"/>
      <c r="AD681" s="741">
        <v>270</v>
      </c>
      <c r="AE681" s="741">
        <v>330</v>
      </c>
      <c r="AF681" s="741"/>
      <c r="AG681" s="741">
        <v>95</v>
      </c>
      <c r="AH681" s="741">
        <v>797</v>
      </c>
      <c r="AI681" s="741">
        <v>316</v>
      </c>
      <c r="AJ681" s="741">
        <v>88</v>
      </c>
      <c r="AK681" s="741"/>
      <c r="AL681" s="741">
        <v>125</v>
      </c>
      <c r="AM681" s="742">
        <v>3504</v>
      </c>
      <c r="AN681" s="743">
        <f t="shared" si="30"/>
        <v>0.49777029869583506</v>
      </c>
      <c r="AO681" s="744">
        <f t="shared" si="31"/>
        <v>0.92785445420326218</v>
      </c>
      <c r="AP681" s="745">
        <f>'09월 에너지'!S683</f>
        <v>147.9</v>
      </c>
    </row>
    <row r="682" spans="1:42" ht="16.5" customHeight="1">
      <c r="A682" s="999">
        <f>'09월 조업일지'!A682</f>
        <v>46290</v>
      </c>
      <c r="B682" s="1100">
        <f>'09월 조업일지'!B682</f>
        <v>46290</v>
      </c>
      <c r="C682" s="730">
        <f>'09월 조업일지'!G682</f>
        <v>85884</v>
      </c>
      <c r="D682" s="731" t="str">
        <f>'09월 조업일지'!E682</f>
        <v>C</v>
      </c>
      <c r="E682" s="732" t="str">
        <f>'09월 조업일지'!F682</f>
        <v>B</v>
      </c>
      <c r="F682" s="1096" t="str">
        <f>'09월 에너지'!F684</f>
        <v>SHP275W</v>
      </c>
      <c r="G682" s="733">
        <v>8</v>
      </c>
      <c r="H682" s="734">
        <v>17</v>
      </c>
      <c r="I682" s="734">
        <v>54</v>
      </c>
      <c r="J682" s="734">
        <v>14</v>
      </c>
      <c r="K682" s="735">
        <v>31</v>
      </c>
      <c r="L682" s="734">
        <v>12</v>
      </c>
      <c r="M682" s="736">
        <v>10</v>
      </c>
      <c r="N682" s="737">
        <v>419</v>
      </c>
      <c r="O682" s="737"/>
      <c r="P682" s="737">
        <v>1001</v>
      </c>
      <c r="Q682" s="737">
        <v>961</v>
      </c>
      <c r="R682" s="737"/>
      <c r="S682" s="737"/>
      <c r="T682" s="737"/>
      <c r="U682" s="738"/>
      <c r="V682" s="739">
        <v>412</v>
      </c>
      <c r="W682" s="737"/>
      <c r="X682" s="737">
        <v>1001</v>
      </c>
      <c r="Y682" s="737">
        <v>904</v>
      </c>
      <c r="Z682" s="1202"/>
      <c r="AA682" s="740"/>
      <c r="AB682" s="739"/>
      <c r="AC682" s="741"/>
      <c r="AD682" s="741">
        <v>273</v>
      </c>
      <c r="AE682" s="741">
        <v>330</v>
      </c>
      <c r="AF682" s="741"/>
      <c r="AG682" s="741">
        <v>95</v>
      </c>
      <c r="AH682" s="741">
        <v>803</v>
      </c>
      <c r="AI682" s="741">
        <v>318</v>
      </c>
      <c r="AJ682" s="741">
        <v>84</v>
      </c>
      <c r="AK682" s="741"/>
      <c r="AL682" s="741">
        <v>124</v>
      </c>
      <c r="AM682" s="742">
        <v>2495</v>
      </c>
      <c r="AN682" s="743">
        <f t="shared" si="30"/>
        <v>0.67820030644936624</v>
      </c>
      <c r="AO682" s="744">
        <f t="shared" si="31"/>
        <v>0.99355986479274172</v>
      </c>
      <c r="AP682" s="745">
        <f>'09월 에너지'!S684</f>
        <v>143.19999999999999</v>
      </c>
    </row>
    <row r="683" spans="1:42" ht="16.5" customHeight="1">
      <c r="A683" s="999">
        <f>'09월 조업일지'!A683</f>
        <v>46290</v>
      </c>
      <c r="B683" s="1100">
        <f>'09월 조업일지'!B683</f>
        <v>46290</v>
      </c>
      <c r="C683" s="730">
        <f>'09월 조업일지'!G683</f>
        <v>85885</v>
      </c>
      <c r="D683" s="731" t="str">
        <f>'09월 조업일지'!E683</f>
        <v>C</v>
      </c>
      <c r="E683" s="732" t="str">
        <f>'09월 조업일지'!F683</f>
        <v>A</v>
      </c>
      <c r="F683" s="1096" t="str">
        <f>'09월 에너지'!F685</f>
        <v>SHP275W</v>
      </c>
      <c r="G683" s="733">
        <v>8</v>
      </c>
      <c r="H683" s="734">
        <v>20</v>
      </c>
      <c r="I683" s="734">
        <v>51</v>
      </c>
      <c r="J683" s="734">
        <v>13</v>
      </c>
      <c r="K683" s="735">
        <v>24</v>
      </c>
      <c r="L683" s="734">
        <v>12</v>
      </c>
      <c r="M683" s="736">
        <v>9</v>
      </c>
      <c r="N683" s="737">
        <v>422</v>
      </c>
      <c r="O683" s="737"/>
      <c r="P683" s="737">
        <v>1001</v>
      </c>
      <c r="Q683" s="737">
        <v>958</v>
      </c>
      <c r="R683" s="737"/>
      <c r="S683" s="737"/>
      <c r="T683" s="737"/>
      <c r="U683" s="738"/>
      <c r="V683" s="739">
        <v>420</v>
      </c>
      <c r="W683" s="737"/>
      <c r="X683" s="737">
        <v>1002</v>
      </c>
      <c r="Y683" s="737">
        <v>907</v>
      </c>
      <c r="Z683" s="1202"/>
      <c r="AA683" s="740"/>
      <c r="AB683" s="739"/>
      <c r="AC683" s="741"/>
      <c r="AD683" s="741">
        <v>272</v>
      </c>
      <c r="AE683" s="741">
        <v>331</v>
      </c>
      <c r="AF683" s="741"/>
      <c r="AG683" s="741">
        <v>95</v>
      </c>
      <c r="AH683" s="741">
        <v>805</v>
      </c>
      <c r="AI683" s="741">
        <v>322</v>
      </c>
      <c r="AJ683" s="741">
        <v>87</v>
      </c>
      <c r="AK683" s="741"/>
      <c r="AL683" s="741">
        <v>140</v>
      </c>
      <c r="AM683" s="742">
        <v>2165</v>
      </c>
      <c r="AN683" s="743">
        <f t="shared" si="30"/>
        <v>0.79171842650103519</v>
      </c>
      <c r="AO683" s="744">
        <f t="shared" si="31"/>
        <v>0.91613132209405501</v>
      </c>
      <c r="AP683" s="745">
        <f>'09월 에너지'!S685</f>
        <v>143.4</v>
      </c>
    </row>
    <row r="684" spans="1:42" ht="16.5" customHeight="1">
      <c r="A684" s="999">
        <f>'09월 조업일지'!A684</f>
        <v>46290</v>
      </c>
      <c r="B684" s="1100">
        <f>'09월 조업일지'!B684</f>
        <v>46290</v>
      </c>
      <c r="C684" s="730">
        <f>'09월 조업일지'!G684</f>
        <v>85886</v>
      </c>
      <c r="D684" s="731" t="str">
        <f>'09월 조업일지'!E684</f>
        <v>C</v>
      </c>
      <c r="E684" s="732" t="str">
        <f>'09월 조업일지'!F684</f>
        <v>B</v>
      </c>
      <c r="F684" s="1096" t="str">
        <f>'09월 에너지'!F686</f>
        <v>SHP275W</v>
      </c>
      <c r="G684" s="733">
        <v>7</v>
      </c>
      <c r="H684" s="734">
        <v>12</v>
      </c>
      <c r="I684" s="734">
        <v>46</v>
      </c>
      <c r="J684" s="734">
        <v>14</v>
      </c>
      <c r="K684" s="735">
        <v>33</v>
      </c>
      <c r="L684" s="734">
        <v>13</v>
      </c>
      <c r="M684" s="736">
        <v>9</v>
      </c>
      <c r="N684" s="737">
        <v>419</v>
      </c>
      <c r="O684" s="737"/>
      <c r="P684" s="737">
        <v>1001</v>
      </c>
      <c r="Q684" s="737">
        <v>961</v>
      </c>
      <c r="R684" s="737"/>
      <c r="S684" s="737"/>
      <c r="T684" s="737"/>
      <c r="U684" s="738"/>
      <c r="V684" s="739">
        <v>418</v>
      </c>
      <c r="W684" s="737"/>
      <c r="X684" s="737">
        <v>1002</v>
      </c>
      <c r="Y684" s="737">
        <v>901</v>
      </c>
      <c r="Z684" s="1202"/>
      <c r="AA684" s="740"/>
      <c r="AB684" s="739"/>
      <c r="AC684" s="741"/>
      <c r="AD684" s="741">
        <v>270</v>
      </c>
      <c r="AE684" s="741">
        <v>331</v>
      </c>
      <c r="AF684" s="741"/>
      <c r="AG684" s="741">
        <v>95</v>
      </c>
      <c r="AH684" s="741">
        <v>808</v>
      </c>
      <c r="AI684" s="741">
        <v>323</v>
      </c>
      <c r="AJ684" s="741">
        <v>86</v>
      </c>
      <c r="AK684" s="741"/>
      <c r="AL684" s="741">
        <v>122</v>
      </c>
      <c r="AM684" s="742">
        <v>1772</v>
      </c>
      <c r="AN684" s="743">
        <f t="shared" si="30"/>
        <v>0.48039620305406522</v>
      </c>
      <c r="AO684" s="744">
        <f t="shared" si="31"/>
        <v>0.79747171145686013</v>
      </c>
      <c r="AP684" s="745">
        <f>'09월 에너지'!S686</f>
        <v>145.5</v>
      </c>
    </row>
    <row r="685" spans="1:42" ht="16.5" customHeight="1">
      <c r="A685" s="999">
        <f>'09월 조업일지'!A685</f>
        <v>46290</v>
      </c>
      <c r="B685" s="1100">
        <f>'09월 조업일지'!B685</f>
        <v>46290</v>
      </c>
      <c r="C685" s="730">
        <f>'09월 조업일지'!G685</f>
        <v>85887</v>
      </c>
      <c r="D685" s="731" t="str">
        <f>'09월 조업일지'!E685</f>
        <v>C</v>
      </c>
      <c r="E685" s="732" t="str">
        <f>'09월 조업일지'!F685</f>
        <v>A</v>
      </c>
      <c r="F685" s="1096" t="str">
        <f>'09월 에너지'!F687</f>
        <v>SHP275W</v>
      </c>
      <c r="G685" s="733">
        <v>6</v>
      </c>
      <c r="H685" s="734">
        <v>15</v>
      </c>
      <c r="I685" s="734">
        <v>51</v>
      </c>
      <c r="J685" s="734">
        <v>14</v>
      </c>
      <c r="K685" s="735">
        <v>29</v>
      </c>
      <c r="L685" s="734">
        <v>13</v>
      </c>
      <c r="M685" s="736">
        <v>9</v>
      </c>
      <c r="N685" s="737">
        <v>415</v>
      </c>
      <c r="O685" s="737"/>
      <c r="P685" s="737">
        <v>1001</v>
      </c>
      <c r="Q685" s="737">
        <v>956</v>
      </c>
      <c r="R685" s="737"/>
      <c r="S685" s="737"/>
      <c r="T685" s="737"/>
      <c r="U685" s="738"/>
      <c r="V685" s="739">
        <v>415</v>
      </c>
      <c r="W685" s="737"/>
      <c r="X685" s="737">
        <v>1000</v>
      </c>
      <c r="Y685" s="737">
        <v>902</v>
      </c>
      <c r="Z685" s="1202"/>
      <c r="AA685" s="740"/>
      <c r="AB685" s="739"/>
      <c r="AC685" s="741"/>
      <c r="AD685" s="741">
        <v>271</v>
      </c>
      <c r="AE685" s="741">
        <v>331</v>
      </c>
      <c r="AF685" s="741"/>
      <c r="AG685" s="741">
        <v>96</v>
      </c>
      <c r="AH685" s="741">
        <v>798</v>
      </c>
      <c r="AI685" s="741">
        <v>324</v>
      </c>
      <c r="AJ685" s="741">
        <v>82</v>
      </c>
      <c r="AK685" s="741"/>
      <c r="AL685" s="741">
        <v>134</v>
      </c>
      <c r="AM685" s="742">
        <v>2239</v>
      </c>
      <c r="AN685" s="743">
        <f t="shared" si="30"/>
        <v>0.59718775847808103</v>
      </c>
      <c r="AO685" s="744">
        <f t="shared" si="31"/>
        <v>0.93061224489795935</v>
      </c>
      <c r="AP685" s="745">
        <f>'09월 에너지'!S687</f>
        <v>144.4</v>
      </c>
    </row>
    <row r="686" spans="1:42" ht="16.5" customHeight="1">
      <c r="A686" s="999">
        <f>'09월 조업일지'!A686</f>
        <v>46290</v>
      </c>
      <c r="B686" s="1100">
        <f>'09월 조업일지'!B686</f>
        <v>46290</v>
      </c>
      <c r="C686" s="730">
        <f>'09월 조업일지'!G686</f>
        <v>85888</v>
      </c>
      <c r="D686" s="731" t="str">
        <f>'09월 조업일지'!E686</f>
        <v>A</v>
      </c>
      <c r="E686" s="732" t="str">
        <f>'09월 조업일지'!F686</f>
        <v>B</v>
      </c>
      <c r="F686" s="1096" t="str">
        <f>'09월 에너지'!F688</f>
        <v>SHP275W</v>
      </c>
      <c r="G686" s="733">
        <v>10</v>
      </c>
      <c r="H686" s="734">
        <v>23</v>
      </c>
      <c r="I686" s="734">
        <v>57</v>
      </c>
      <c r="J686" s="734">
        <v>16</v>
      </c>
      <c r="K686" s="735">
        <v>33</v>
      </c>
      <c r="L686" s="734">
        <v>13</v>
      </c>
      <c r="M686" s="736">
        <v>10</v>
      </c>
      <c r="N686" s="737">
        <v>425</v>
      </c>
      <c r="O686" s="737"/>
      <c r="P686" s="737">
        <v>1001</v>
      </c>
      <c r="Q686" s="737">
        <v>960</v>
      </c>
      <c r="R686" s="737"/>
      <c r="S686" s="737"/>
      <c r="T686" s="737">
        <v>0</v>
      </c>
      <c r="U686" s="738"/>
      <c r="V686" s="739">
        <v>421</v>
      </c>
      <c r="W686" s="737"/>
      <c r="X686" s="737">
        <v>1001</v>
      </c>
      <c r="Y686" s="737">
        <v>901</v>
      </c>
      <c r="Z686" s="1202">
        <v>0</v>
      </c>
      <c r="AA686" s="740"/>
      <c r="AB686" s="739">
        <v>0</v>
      </c>
      <c r="AC686" s="741"/>
      <c r="AD686" s="741">
        <v>271</v>
      </c>
      <c r="AE686" s="741">
        <v>331</v>
      </c>
      <c r="AF686" s="741">
        <v>0</v>
      </c>
      <c r="AG686" s="741">
        <v>95</v>
      </c>
      <c r="AH686" s="741">
        <v>806</v>
      </c>
      <c r="AI686" s="741">
        <v>317</v>
      </c>
      <c r="AJ686" s="741">
        <v>82</v>
      </c>
      <c r="AK686" s="741">
        <v>0</v>
      </c>
      <c r="AL686" s="741">
        <v>135</v>
      </c>
      <c r="AM686" s="742">
        <v>2461</v>
      </c>
      <c r="AN686" s="743">
        <f t="shared" si="30"/>
        <v>0.93051721734281345</v>
      </c>
      <c r="AO686" s="744">
        <f t="shared" si="31"/>
        <v>1.0801488833746899</v>
      </c>
      <c r="AP686" s="745">
        <f>'09월 에너지'!S688</f>
        <v>145.1</v>
      </c>
    </row>
    <row r="687" spans="1:42" ht="16.5" customHeight="1">
      <c r="A687" s="999">
        <f>'09월 조업일지'!A687</f>
        <v>46290</v>
      </c>
      <c r="B687" s="1100">
        <f>'09월 조업일지'!B687</f>
        <v>46290</v>
      </c>
      <c r="C687" s="730">
        <f>'09월 조업일지'!G687</f>
        <v>85889</v>
      </c>
      <c r="D687" s="731" t="str">
        <f>'09월 조업일지'!E687</f>
        <v>A</v>
      </c>
      <c r="E687" s="732" t="str">
        <f>'09월 조업일지'!F687</f>
        <v>A</v>
      </c>
      <c r="F687" s="1231" t="str">
        <f>'09월 에너지'!F689</f>
        <v>SHN275(BB)</v>
      </c>
      <c r="G687" s="733">
        <v>8</v>
      </c>
      <c r="H687" s="734">
        <v>17</v>
      </c>
      <c r="I687" s="734">
        <v>55</v>
      </c>
      <c r="J687" s="734">
        <v>14</v>
      </c>
      <c r="K687" s="735">
        <v>32</v>
      </c>
      <c r="L687" s="734">
        <v>12</v>
      </c>
      <c r="M687" s="736">
        <v>9</v>
      </c>
      <c r="N687" s="737">
        <v>423</v>
      </c>
      <c r="O687" s="737"/>
      <c r="P687" s="737">
        <v>1000</v>
      </c>
      <c r="Q687" s="737">
        <v>955</v>
      </c>
      <c r="R687" s="737"/>
      <c r="S687" s="737"/>
      <c r="T687" s="737">
        <v>0</v>
      </c>
      <c r="U687" s="738"/>
      <c r="V687" s="739">
        <v>555</v>
      </c>
      <c r="W687" s="737"/>
      <c r="X687" s="737">
        <v>1001</v>
      </c>
      <c r="Y687" s="737">
        <v>916</v>
      </c>
      <c r="Z687" s="1202">
        <v>0</v>
      </c>
      <c r="AA687" s="740"/>
      <c r="AB687" s="739">
        <v>0</v>
      </c>
      <c r="AC687" s="741"/>
      <c r="AD687" s="741">
        <v>271</v>
      </c>
      <c r="AE687" s="741">
        <v>451</v>
      </c>
      <c r="AF687" s="741">
        <v>0</v>
      </c>
      <c r="AG687" s="741">
        <v>95</v>
      </c>
      <c r="AH687" s="741">
        <v>864</v>
      </c>
      <c r="AI687" s="741">
        <v>295</v>
      </c>
      <c r="AJ687" s="741">
        <v>88</v>
      </c>
      <c r="AK687" s="741">
        <v>0</v>
      </c>
      <c r="AL687" s="741">
        <v>0</v>
      </c>
      <c r="AM687" s="742">
        <v>2436</v>
      </c>
      <c r="AN687" s="743">
        <f t="shared" si="30"/>
        <v>0.70064129970072675</v>
      </c>
      <c r="AO687" s="744">
        <f t="shared" si="31"/>
        <v>0.95634920634920639</v>
      </c>
      <c r="AP687" s="745">
        <f>'09월 에너지'!S689</f>
        <v>144.6</v>
      </c>
    </row>
    <row r="688" spans="1:42" ht="16.5" customHeight="1">
      <c r="A688" s="999">
        <f>'09월 조업일지'!A688</f>
        <v>46290</v>
      </c>
      <c r="B688" s="1100">
        <f>'09월 조업일지'!B688</f>
        <v>46290</v>
      </c>
      <c r="C688" s="730">
        <f>'09월 조업일지'!G688</f>
        <v>85890</v>
      </c>
      <c r="D688" s="731" t="str">
        <f>'09월 조업일지'!E688</f>
        <v>A</v>
      </c>
      <c r="E688" s="732" t="str">
        <f>'09월 조업일지'!F688</f>
        <v>B</v>
      </c>
      <c r="F688" s="1096" t="str">
        <f>'09월 에너지'!F690</f>
        <v>SHN275(BB)</v>
      </c>
      <c r="G688" s="733">
        <v>9</v>
      </c>
      <c r="H688" s="734">
        <v>16</v>
      </c>
      <c r="I688" s="734">
        <v>60</v>
      </c>
      <c r="J688" s="734">
        <v>15</v>
      </c>
      <c r="K688" s="735">
        <v>35</v>
      </c>
      <c r="L688" s="734">
        <v>13</v>
      </c>
      <c r="M688" s="736">
        <v>11</v>
      </c>
      <c r="N688" s="737">
        <v>411</v>
      </c>
      <c r="O688" s="737"/>
      <c r="P688" s="737">
        <v>1000</v>
      </c>
      <c r="Q688" s="737">
        <v>952</v>
      </c>
      <c r="R688" s="737"/>
      <c r="S688" s="737"/>
      <c r="T688" s="737">
        <v>0</v>
      </c>
      <c r="U688" s="738"/>
      <c r="V688" s="739">
        <v>420</v>
      </c>
      <c r="W688" s="737"/>
      <c r="X688" s="737">
        <v>1000</v>
      </c>
      <c r="Y688" s="737">
        <v>905</v>
      </c>
      <c r="Z688" s="1202">
        <v>0</v>
      </c>
      <c r="AA688" s="740"/>
      <c r="AB688" s="739">
        <v>0</v>
      </c>
      <c r="AC688" s="741"/>
      <c r="AD688" s="741">
        <v>270</v>
      </c>
      <c r="AE688" s="741">
        <v>450</v>
      </c>
      <c r="AF688" s="741">
        <v>0</v>
      </c>
      <c r="AG688" s="741">
        <v>95</v>
      </c>
      <c r="AH688" s="741">
        <v>865</v>
      </c>
      <c r="AI688" s="741">
        <v>295</v>
      </c>
      <c r="AJ688" s="741">
        <v>86</v>
      </c>
      <c r="AK688" s="741">
        <v>0</v>
      </c>
      <c r="AL688" s="741">
        <v>0</v>
      </c>
      <c r="AM688" s="742">
        <v>2102</v>
      </c>
      <c r="AN688" s="743">
        <f t="shared" si="30"/>
        <v>0.65960113960113964</v>
      </c>
      <c r="AO688" s="744">
        <f t="shared" si="31"/>
        <v>1.0753922378199834</v>
      </c>
      <c r="AP688" s="745">
        <f>'09월 에너지'!S690</f>
        <v>144.69999999999999</v>
      </c>
    </row>
    <row r="689" spans="1:42" ht="16.5" customHeight="1">
      <c r="A689" s="999">
        <f>'09월 조업일지'!A689</f>
        <v>46290</v>
      </c>
      <c r="B689" s="1100">
        <f>'09월 조업일지'!B689</f>
        <v>46290</v>
      </c>
      <c r="C689" s="730">
        <f>'09월 조업일지'!G689</f>
        <v>85891</v>
      </c>
      <c r="D689" s="731" t="str">
        <f>'09월 조업일지'!E689</f>
        <v>A</v>
      </c>
      <c r="E689" s="732" t="str">
        <f>'09월 조업일지'!F689</f>
        <v>A</v>
      </c>
      <c r="F689" s="1096" t="str">
        <f>'09월 에너지'!F691</f>
        <v>SHN275(BB)</v>
      </c>
      <c r="G689" s="733">
        <v>8</v>
      </c>
      <c r="H689" s="734">
        <v>16</v>
      </c>
      <c r="I689" s="734">
        <v>55</v>
      </c>
      <c r="J689" s="734">
        <v>14</v>
      </c>
      <c r="K689" s="735">
        <v>32</v>
      </c>
      <c r="L689" s="734">
        <v>12</v>
      </c>
      <c r="M689" s="736">
        <v>10</v>
      </c>
      <c r="N689" s="737">
        <v>423</v>
      </c>
      <c r="O689" s="737"/>
      <c r="P689" s="737">
        <v>1000</v>
      </c>
      <c r="Q689" s="737">
        <v>957</v>
      </c>
      <c r="R689" s="737"/>
      <c r="S689" s="737"/>
      <c r="T689" s="737">
        <v>0</v>
      </c>
      <c r="U689" s="738"/>
      <c r="V689" s="739">
        <v>417</v>
      </c>
      <c r="W689" s="737"/>
      <c r="X689" s="737">
        <v>1001</v>
      </c>
      <c r="Y689" s="737">
        <v>905</v>
      </c>
      <c r="Z689" s="1202">
        <v>0</v>
      </c>
      <c r="AA689" s="740"/>
      <c r="AB689" s="739">
        <v>0</v>
      </c>
      <c r="AC689" s="741"/>
      <c r="AD689" s="741">
        <v>270</v>
      </c>
      <c r="AE689" s="741">
        <v>450</v>
      </c>
      <c r="AF689" s="741">
        <v>0</v>
      </c>
      <c r="AG689" s="741">
        <v>95</v>
      </c>
      <c r="AH689" s="741">
        <v>854</v>
      </c>
      <c r="AI689" s="741">
        <v>296</v>
      </c>
      <c r="AJ689" s="741">
        <v>92</v>
      </c>
      <c r="AK689" s="741">
        <v>0</v>
      </c>
      <c r="AL689" s="741">
        <v>0</v>
      </c>
      <c r="AM689" s="742">
        <v>2104</v>
      </c>
      <c r="AN689" s="743">
        <f t="shared" si="30"/>
        <v>0.65809768637532129</v>
      </c>
      <c r="AO689" s="744">
        <f t="shared" si="31"/>
        <v>0.96353295416527274</v>
      </c>
      <c r="AP689" s="745">
        <f>'09월 에너지'!S691</f>
        <v>144</v>
      </c>
    </row>
    <row r="690" spans="1:42" ht="16.5" customHeight="1">
      <c r="A690" s="999">
        <f>'09월 조업일지'!A690</f>
        <v>46290</v>
      </c>
      <c r="B690" s="1100">
        <f>'09월 조업일지'!B690</f>
        <v>46290</v>
      </c>
      <c r="C690" s="730">
        <f>'09월 조업일지'!G690</f>
        <v>85892</v>
      </c>
      <c r="D690" s="731" t="str">
        <f>'09월 조업일지'!E690</f>
        <v>A</v>
      </c>
      <c r="E690" s="732" t="str">
        <f>'09월 조업일지'!F690</f>
        <v>B</v>
      </c>
      <c r="F690" s="1231" t="str">
        <f>'09월 에너지'!F692</f>
        <v>SS400(ToMok)</v>
      </c>
      <c r="G690" s="733">
        <v>10</v>
      </c>
      <c r="H690" s="734">
        <v>24</v>
      </c>
      <c r="I690" s="734">
        <v>62</v>
      </c>
      <c r="J690" s="734">
        <v>19</v>
      </c>
      <c r="K690" s="735">
        <v>32</v>
      </c>
      <c r="L690" s="734">
        <v>13</v>
      </c>
      <c r="M690" s="736">
        <v>9</v>
      </c>
      <c r="N690" s="737">
        <v>415</v>
      </c>
      <c r="O690" s="737"/>
      <c r="P690" s="737">
        <v>1001</v>
      </c>
      <c r="Q690" s="737">
        <v>951</v>
      </c>
      <c r="R690" s="737"/>
      <c r="S690" s="737"/>
      <c r="T690" s="737">
        <v>74</v>
      </c>
      <c r="U690" s="738"/>
      <c r="V690" s="739">
        <v>422</v>
      </c>
      <c r="W690" s="737"/>
      <c r="X690" s="737">
        <v>1000</v>
      </c>
      <c r="Y690" s="737">
        <v>906</v>
      </c>
      <c r="Z690" s="1202">
        <v>61</v>
      </c>
      <c r="AA690" s="740"/>
      <c r="AB690" s="739">
        <v>0</v>
      </c>
      <c r="AC690" s="741"/>
      <c r="AD690" s="741">
        <v>271</v>
      </c>
      <c r="AE690" s="741">
        <v>331</v>
      </c>
      <c r="AF690" s="741">
        <v>0</v>
      </c>
      <c r="AG690" s="741">
        <v>111</v>
      </c>
      <c r="AH690" s="741">
        <v>718</v>
      </c>
      <c r="AI690" s="741">
        <v>342</v>
      </c>
      <c r="AJ690" s="741">
        <v>84</v>
      </c>
      <c r="AK690" s="741">
        <v>0</v>
      </c>
      <c r="AL690" s="741">
        <v>133</v>
      </c>
      <c r="AM690" s="742">
        <v>2113</v>
      </c>
      <c r="AN690" s="743">
        <f t="shared" si="30"/>
        <v>0.94365733113673811</v>
      </c>
      <c r="AO690" s="744">
        <f t="shared" si="31"/>
        <v>1.3391165937126941</v>
      </c>
      <c r="AP690" s="745">
        <f>'09월 에너지'!S692</f>
        <v>143.19999999999999</v>
      </c>
    </row>
    <row r="691" spans="1:42" ht="16.5" customHeight="1">
      <c r="A691" s="999">
        <f>'09월 조업일지'!A691</f>
        <v>46290</v>
      </c>
      <c r="B691" s="1100">
        <f>'09월 조업일지'!B691</f>
        <v>46290</v>
      </c>
      <c r="C691" s="730">
        <f>'09월 조업일지'!G691</f>
        <v>85893</v>
      </c>
      <c r="D691" s="731" t="str">
        <f>'09월 조업일지'!E691</f>
        <v>A</v>
      </c>
      <c r="E691" s="732" t="str">
        <f>'09월 조업일지'!F691</f>
        <v>A</v>
      </c>
      <c r="F691" s="1096" t="str">
        <f>'09월 에너지'!F693</f>
        <v>SS400(ToMok)</v>
      </c>
      <c r="G691" s="733">
        <v>8</v>
      </c>
      <c r="H691" s="734">
        <v>22</v>
      </c>
      <c r="I691" s="734">
        <v>53</v>
      </c>
      <c r="J691" s="734">
        <v>17</v>
      </c>
      <c r="K691" s="735">
        <v>34</v>
      </c>
      <c r="L691" s="734">
        <v>16</v>
      </c>
      <c r="M691" s="736">
        <v>11</v>
      </c>
      <c r="N691" s="737">
        <v>423</v>
      </c>
      <c r="O691" s="737"/>
      <c r="P691" s="737">
        <v>1001</v>
      </c>
      <c r="Q691" s="737">
        <v>953</v>
      </c>
      <c r="R691" s="737"/>
      <c r="S691" s="737"/>
      <c r="T691" s="737">
        <v>72</v>
      </c>
      <c r="U691" s="738"/>
      <c r="V691" s="739">
        <v>416</v>
      </c>
      <c r="W691" s="737"/>
      <c r="X691" s="737">
        <v>1001</v>
      </c>
      <c r="Y691" s="737">
        <v>903</v>
      </c>
      <c r="Z691" s="1202">
        <v>61</v>
      </c>
      <c r="AA691" s="740"/>
      <c r="AB691" s="739">
        <v>0</v>
      </c>
      <c r="AC691" s="741"/>
      <c r="AD691" s="741">
        <v>271</v>
      </c>
      <c r="AE691" s="741">
        <v>330</v>
      </c>
      <c r="AF691" s="741">
        <v>0</v>
      </c>
      <c r="AG691" s="741">
        <v>110</v>
      </c>
      <c r="AH691" s="741">
        <v>710</v>
      </c>
      <c r="AI691" s="741">
        <v>348</v>
      </c>
      <c r="AJ691" s="741">
        <v>79</v>
      </c>
      <c r="AK691" s="741">
        <v>0</v>
      </c>
      <c r="AL691" s="741">
        <v>135</v>
      </c>
      <c r="AM691" s="742">
        <v>2153</v>
      </c>
      <c r="AN691" s="743">
        <f t="shared" si="30"/>
        <v>0.85665306122448981</v>
      </c>
      <c r="AO691" s="744">
        <f t="shared" si="31"/>
        <v>1.0941247484909458</v>
      </c>
      <c r="AP691" s="745">
        <f>'09월 에너지'!S693</f>
        <v>143.1</v>
      </c>
    </row>
    <row r="692" spans="1:42" ht="16.5" customHeight="1">
      <c r="A692" s="999">
        <f>'09월 조업일지'!A692</f>
        <v>46290</v>
      </c>
      <c r="B692" s="1100">
        <f>'09월 조업일지'!B692</f>
        <v>46290</v>
      </c>
      <c r="C692" s="730">
        <f>'09월 조업일지'!G692</f>
        <v>85894</v>
      </c>
      <c r="D692" s="731" t="str">
        <f>'09월 조업일지'!E692</f>
        <v>A</v>
      </c>
      <c r="E692" s="732" t="str">
        <f>'09월 조업일지'!F692</f>
        <v>B</v>
      </c>
      <c r="F692" s="1096" t="str">
        <f>'09월 에너지'!F694</f>
        <v>SS400(ToMok)</v>
      </c>
      <c r="G692" s="733">
        <v>12</v>
      </c>
      <c r="H692" s="734">
        <v>24</v>
      </c>
      <c r="I692" s="734">
        <v>55</v>
      </c>
      <c r="J692" s="734">
        <v>16</v>
      </c>
      <c r="K692" s="735">
        <v>40</v>
      </c>
      <c r="L692" s="734">
        <v>15</v>
      </c>
      <c r="M692" s="736">
        <v>8</v>
      </c>
      <c r="N692" s="737">
        <v>420</v>
      </c>
      <c r="O692" s="737"/>
      <c r="P692" s="737">
        <v>999</v>
      </c>
      <c r="Q692" s="737">
        <v>954</v>
      </c>
      <c r="R692" s="737"/>
      <c r="S692" s="737"/>
      <c r="T692" s="737">
        <v>62</v>
      </c>
      <c r="U692" s="738"/>
      <c r="V692" s="739">
        <v>423</v>
      </c>
      <c r="W692" s="737"/>
      <c r="X692" s="737">
        <v>1001</v>
      </c>
      <c r="Y692" s="737">
        <v>902</v>
      </c>
      <c r="Z692" s="1202">
        <v>69</v>
      </c>
      <c r="AA692" s="740"/>
      <c r="AB692" s="739">
        <v>0</v>
      </c>
      <c r="AC692" s="741"/>
      <c r="AD692" s="741">
        <v>270</v>
      </c>
      <c r="AE692" s="741">
        <v>330</v>
      </c>
      <c r="AF692" s="741">
        <v>0</v>
      </c>
      <c r="AG692" s="741">
        <v>110</v>
      </c>
      <c r="AH692" s="741">
        <v>714</v>
      </c>
      <c r="AI692" s="741">
        <v>344</v>
      </c>
      <c r="AJ692" s="741">
        <v>79</v>
      </c>
      <c r="AK692" s="741">
        <v>0</v>
      </c>
      <c r="AL692" s="741">
        <v>130</v>
      </c>
      <c r="AM692" s="742">
        <v>2289</v>
      </c>
      <c r="AN692" s="743">
        <f t="shared" si="30"/>
        <v>0.94461791290057506</v>
      </c>
      <c r="AO692" s="744">
        <f t="shared" si="31"/>
        <v>1.1500600240096039</v>
      </c>
      <c r="AP692" s="745">
        <f>'09월 에너지'!S694</f>
        <v>143.69999999999999</v>
      </c>
    </row>
    <row r="693" spans="1:42" ht="16.5" customHeight="1">
      <c r="A693" s="999">
        <f>'09월 조업일지'!A693</f>
        <v>46291</v>
      </c>
      <c r="B693" s="1100">
        <f>'09월 조업일지'!B693</f>
        <v>46290</v>
      </c>
      <c r="C693" s="730">
        <f>'09월 조업일지'!G693</f>
        <v>85895</v>
      </c>
      <c r="D693" s="731" t="str">
        <f>'09월 조업일지'!E693</f>
        <v>A</v>
      </c>
      <c r="E693" s="732" t="str">
        <f>'09월 조업일지'!F693</f>
        <v>A</v>
      </c>
      <c r="F693" s="1231" t="str">
        <f>'09월 에너지'!F695</f>
        <v>SS400-01</v>
      </c>
      <c r="G693" s="733">
        <v>11</v>
      </c>
      <c r="H693" s="734">
        <v>22</v>
      </c>
      <c r="I693" s="734">
        <v>53</v>
      </c>
      <c r="J693" s="734">
        <v>14</v>
      </c>
      <c r="K693" s="735">
        <v>24</v>
      </c>
      <c r="L693" s="734">
        <v>16</v>
      </c>
      <c r="M693" s="736">
        <v>10</v>
      </c>
      <c r="N693" s="737">
        <v>418</v>
      </c>
      <c r="O693" s="737"/>
      <c r="P693" s="737">
        <v>1000</v>
      </c>
      <c r="Q693" s="737">
        <v>951</v>
      </c>
      <c r="R693" s="737"/>
      <c r="S693" s="737"/>
      <c r="T693" s="737">
        <v>65</v>
      </c>
      <c r="U693" s="738"/>
      <c r="V693" s="739">
        <v>425</v>
      </c>
      <c r="W693" s="737"/>
      <c r="X693" s="737">
        <v>1001</v>
      </c>
      <c r="Y693" s="737">
        <v>902</v>
      </c>
      <c r="Z693" s="1202">
        <v>68</v>
      </c>
      <c r="AA693" s="740"/>
      <c r="AB693" s="739">
        <v>0</v>
      </c>
      <c r="AC693" s="741"/>
      <c r="AD693" s="741">
        <v>271</v>
      </c>
      <c r="AE693" s="741">
        <v>330</v>
      </c>
      <c r="AF693" s="741">
        <v>0</v>
      </c>
      <c r="AG693" s="741">
        <v>110</v>
      </c>
      <c r="AH693" s="741">
        <v>791</v>
      </c>
      <c r="AI693" s="741">
        <v>331</v>
      </c>
      <c r="AJ693" s="741">
        <v>79</v>
      </c>
      <c r="AK693" s="741">
        <v>0</v>
      </c>
      <c r="AL693" s="741">
        <v>120</v>
      </c>
      <c r="AM693" s="742">
        <v>2856</v>
      </c>
      <c r="AN693" s="743">
        <f t="shared" si="30"/>
        <v>0.86105205778141192</v>
      </c>
      <c r="AO693" s="744">
        <f t="shared" si="31"/>
        <v>0.98551562217807476</v>
      </c>
      <c r="AP693" s="745">
        <f>'09월 에너지'!S695</f>
        <v>143.6</v>
      </c>
    </row>
    <row r="694" spans="1:42" ht="16.5" customHeight="1">
      <c r="A694" s="999">
        <f>'09월 조업일지'!A694</f>
        <v>46291</v>
      </c>
      <c r="B694" s="1100">
        <f>'09월 조업일지'!B694</f>
        <v>46290</v>
      </c>
      <c r="C694" s="730">
        <f>'09월 조업일지'!G694</f>
        <v>85896</v>
      </c>
      <c r="D694" s="731" t="str">
        <f>'09월 조업일지'!E694</f>
        <v>A</v>
      </c>
      <c r="E694" s="732" t="str">
        <f>'09월 조업일지'!F694</f>
        <v>B</v>
      </c>
      <c r="F694" s="1231" t="str">
        <f>'09월 에너지'!F696</f>
        <v>SY300</v>
      </c>
      <c r="G694" s="733">
        <v>9</v>
      </c>
      <c r="H694" s="734">
        <v>27</v>
      </c>
      <c r="I694" s="734">
        <v>104</v>
      </c>
      <c r="J694" s="734">
        <v>18</v>
      </c>
      <c r="K694" s="735">
        <v>39</v>
      </c>
      <c r="L694" s="734">
        <v>15</v>
      </c>
      <c r="M694" s="736">
        <v>11</v>
      </c>
      <c r="N694" s="737">
        <v>425</v>
      </c>
      <c r="O694" s="737"/>
      <c r="P694" s="737">
        <v>1000</v>
      </c>
      <c r="Q694" s="737">
        <v>952</v>
      </c>
      <c r="R694" s="737"/>
      <c r="S694" s="737"/>
      <c r="T694" s="737">
        <v>0</v>
      </c>
      <c r="U694" s="738"/>
      <c r="V694" s="739">
        <v>425</v>
      </c>
      <c r="W694" s="737"/>
      <c r="X694" s="737">
        <v>1001</v>
      </c>
      <c r="Y694" s="737">
        <v>905</v>
      </c>
      <c r="Z694" s="1202">
        <v>0</v>
      </c>
      <c r="AA694" s="740"/>
      <c r="AB694" s="739">
        <v>0</v>
      </c>
      <c r="AC694" s="741"/>
      <c r="AD694" s="741">
        <v>281</v>
      </c>
      <c r="AE694" s="741">
        <v>350</v>
      </c>
      <c r="AF694" s="741">
        <v>0</v>
      </c>
      <c r="AG694" s="741">
        <v>96</v>
      </c>
      <c r="AH694" s="741">
        <v>1805</v>
      </c>
      <c r="AI694" s="741">
        <v>255</v>
      </c>
      <c r="AJ694" s="741">
        <v>77</v>
      </c>
      <c r="AK694" s="741">
        <v>0</v>
      </c>
      <c r="AL694" s="741">
        <v>140</v>
      </c>
      <c r="AM694" s="742">
        <v>1882</v>
      </c>
      <c r="AN694" s="743">
        <f t="shared" si="30"/>
        <v>0.86376623376623374</v>
      </c>
      <c r="AO694" s="744">
        <f t="shared" si="31"/>
        <v>1.0410922041946973</v>
      </c>
      <c r="AP694" s="745">
        <f>'09월 에너지'!S696</f>
        <v>147.80000000000001</v>
      </c>
    </row>
    <row r="695" spans="1:42" ht="16.5" customHeight="1">
      <c r="A695" s="999">
        <f>'09월 조업일지'!A695</f>
        <v>46291</v>
      </c>
      <c r="B695" s="1100">
        <f>'09월 조업일지'!B695</f>
        <v>46290</v>
      </c>
      <c r="C695" s="730">
        <f>'09월 조업일지'!G695</f>
        <v>85897</v>
      </c>
      <c r="D695" s="731" t="str">
        <f>'09월 조업일지'!E695</f>
        <v>A</v>
      </c>
      <c r="E695" s="732" t="str">
        <f>'09월 조업일지'!F695</f>
        <v>A</v>
      </c>
      <c r="F695" s="1096" t="str">
        <f>'09월 에너지'!F697</f>
        <v>SY300</v>
      </c>
      <c r="G695" s="733">
        <v>8</v>
      </c>
      <c r="H695" s="734">
        <v>30</v>
      </c>
      <c r="I695" s="734">
        <v>101</v>
      </c>
      <c r="J695" s="734">
        <v>16</v>
      </c>
      <c r="K695" s="735">
        <v>31</v>
      </c>
      <c r="L695" s="734">
        <v>17</v>
      </c>
      <c r="M695" s="736">
        <v>11</v>
      </c>
      <c r="N695" s="737">
        <v>418</v>
      </c>
      <c r="O695" s="737"/>
      <c r="P695" s="737">
        <v>1000</v>
      </c>
      <c r="Q695" s="737">
        <v>951</v>
      </c>
      <c r="R695" s="737"/>
      <c r="S695" s="737"/>
      <c r="T695" s="737">
        <v>0</v>
      </c>
      <c r="U695" s="738"/>
      <c r="V695" s="739">
        <v>419</v>
      </c>
      <c r="W695" s="737"/>
      <c r="X695" s="737">
        <v>1001</v>
      </c>
      <c r="Y695" s="737">
        <v>904</v>
      </c>
      <c r="Z695" s="1202">
        <v>0</v>
      </c>
      <c r="AA695" s="740"/>
      <c r="AB695" s="739">
        <v>0</v>
      </c>
      <c r="AC695" s="741"/>
      <c r="AD695" s="741">
        <v>281</v>
      </c>
      <c r="AE695" s="741">
        <v>350</v>
      </c>
      <c r="AF695" s="741">
        <v>0</v>
      </c>
      <c r="AG695" s="741">
        <v>95</v>
      </c>
      <c r="AH695" s="741">
        <v>1808</v>
      </c>
      <c r="AI695" s="741">
        <v>357</v>
      </c>
      <c r="AJ695" s="741">
        <v>82</v>
      </c>
      <c r="AK695" s="741">
        <v>0</v>
      </c>
      <c r="AL695" s="741">
        <v>142</v>
      </c>
      <c r="AM695" s="742">
        <v>2095</v>
      </c>
      <c r="AN695" s="743">
        <f t="shared" si="30"/>
        <v>0.79543556916225988</v>
      </c>
      <c r="AO695" s="744">
        <f t="shared" si="31"/>
        <v>0.97103350189633386</v>
      </c>
      <c r="AP695" s="745">
        <f>'09월 에너지'!S697</f>
        <v>142.9</v>
      </c>
    </row>
    <row r="696" spans="1:42" ht="16.5" customHeight="1">
      <c r="A696" s="999">
        <f>'09월 조업일지'!A696</f>
        <v>46291</v>
      </c>
      <c r="B696" s="1100">
        <f>'09월 조업일지'!B696</f>
        <v>46290</v>
      </c>
      <c r="C696" s="730">
        <f>'09월 조업일지'!G696</f>
        <v>85898</v>
      </c>
      <c r="D696" s="731" t="str">
        <f>'09월 조업일지'!E696</f>
        <v>A</v>
      </c>
      <c r="E696" s="732" t="str">
        <f>'09월 조업일지'!F696</f>
        <v>B</v>
      </c>
      <c r="F696" s="1231" t="str">
        <f>'09월 에너지'!F698</f>
        <v>S355JO-01</v>
      </c>
      <c r="G696" s="733">
        <v>12</v>
      </c>
      <c r="H696" s="734">
        <v>24</v>
      </c>
      <c r="I696" s="734">
        <v>140</v>
      </c>
      <c r="J696" s="734">
        <v>20</v>
      </c>
      <c r="K696" s="735">
        <v>37</v>
      </c>
      <c r="L696" s="734">
        <v>16</v>
      </c>
      <c r="M696" s="736">
        <v>11</v>
      </c>
      <c r="N696" s="737">
        <v>419</v>
      </c>
      <c r="O696" s="737"/>
      <c r="P696" s="737">
        <v>1001</v>
      </c>
      <c r="Q696" s="737">
        <v>951</v>
      </c>
      <c r="R696" s="737"/>
      <c r="S696" s="737"/>
      <c r="T696" s="737"/>
      <c r="U696" s="738"/>
      <c r="V696" s="739">
        <v>419</v>
      </c>
      <c r="W696" s="737"/>
      <c r="X696" s="737">
        <v>1000</v>
      </c>
      <c r="Y696" s="737">
        <v>902</v>
      </c>
      <c r="Z696" s="1202"/>
      <c r="AA696" s="740"/>
      <c r="AB696" s="739"/>
      <c r="AC696" s="741"/>
      <c r="AD696" s="741">
        <v>281</v>
      </c>
      <c r="AE696" s="741">
        <v>331</v>
      </c>
      <c r="AF696" s="741"/>
      <c r="AG696" s="741">
        <v>95</v>
      </c>
      <c r="AH696" s="741">
        <v>2363</v>
      </c>
      <c r="AI696" s="741"/>
      <c r="AJ696" s="741">
        <v>84</v>
      </c>
      <c r="AK696" s="741"/>
      <c r="AL696" s="741">
        <v>139</v>
      </c>
      <c r="AM696" s="742">
        <v>2141</v>
      </c>
      <c r="AN696" s="743">
        <f t="shared" si="30"/>
        <v>0.96961489631823961</v>
      </c>
      <c r="AO696" s="744">
        <f t="shared" si="31"/>
        <v>1.0821594824980352</v>
      </c>
      <c r="AP696" s="745">
        <f>'09월 에너지'!S698</f>
        <v>143.19999999999999</v>
      </c>
    </row>
    <row r="697" spans="1:42" ht="16.5" customHeight="1">
      <c r="A697" s="999">
        <f>'09월 조업일지'!A697</f>
        <v>46291</v>
      </c>
      <c r="B697" s="1100">
        <f>'09월 조업일지'!B697</f>
        <v>46291</v>
      </c>
      <c r="C697" s="730">
        <f>'09월 조업일지'!G697</f>
        <v>85899</v>
      </c>
      <c r="D697" s="731" t="str">
        <f>'09월 조업일지'!E697</f>
        <v>B</v>
      </c>
      <c r="E697" s="732" t="str">
        <f>'09월 조업일지'!F697</f>
        <v>A</v>
      </c>
      <c r="F697" s="1096" t="str">
        <f>'09월 에너지'!F699</f>
        <v>S355JO-01</v>
      </c>
      <c r="G697" s="733">
        <v>10</v>
      </c>
      <c r="H697" s="734">
        <v>26</v>
      </c>
      <c r="I697" s="734">
        <v>128</v>
      </c>
      <c r="J697" s="734">
        <v>16</v>
      </c>
      <c r="K697" s="735">
        <v>29</v>
      </c>
      <c r="L697" s="734">
        <v>15</v>
      </c>
      <c r="M697" s="736">
        <v>13</v>
      </c>
      <c r="N697" s="737">
        <v>417</v>
      </c>
      <c r="O697" s="737"/>
      <c r="P697" s="737">
        <v>1000</v>
      </c>
      <c r="Q697" s="737">
        <v>951</v>
      </c>
      <c r="R697" s="737"/>
      <c r="S697" s="737"/>
      <c r="T697" s="737"/>
      <c r="U697" s="738"/>
      <c r="V697" s="739">
        <v>420</v>
      </c>
      <c r="W697" s="737"/>
      <c r="X697" s="737">
        <v>1001</v>
      </c>
      <c r="Y697" s="737">
        <v>901</v>
      </c>
      <c r="Z697" s="1202"/>
      <c r="AA697" s="740"/>
      <c r="AB697" s="739"/>
      <c r="AC697" s="741"/>
      <c r="AD697" s="741">
        <v>280</v>
      </c>
      <c r="AE697" s="741">
        <v>330</v>
      </c>
      <c r="AF697" s="741"/>
      <c r="AG697" s="741">
        <v>95</v>
      </c>
      <c r="AH697" s="741">
        <v>2355</v>
      </c>
      <c r="AI697" s="741">
        <v>108</v>
      </c>
      <c r="AJ697" s="741">
        <v>88</v>
      </c>
      <c r="AK697" s="741"/>
      <c r="AL697" s="741">
        <v>133</v>
      </c>
      <c r="AM697" s="742">
        <v>1877</v>
      </c>
      <c r="AN697" s="743">
        <f t="shared" si="30"/>
        <v>0.84840529648819807</v>
      </c>
      <c r="AO697" s="744">
        <f t="shared" si="31"/>
        <v>0.97131331513497121</v>
      </c>
      <c r="AP697" s="745">
        <f>'09월 에너지'!S699</f>
        <v>141.69999999999999</v>
      </c>
    </row>
    <row r="698" spans="1:42" ht="16.5" customHeight="1">
      <c r="A698" s="999">
        <f>'09월 조업일지'!A698</f>
        <v>46291</v>
      </c>
      <c r="B698" s="1100">
        <f>'09월 조업일지'!B698</f>
        <v>46291</v>
      </c>
      <c r="C698" s="730">
        <f>'09월 조업일지'!G698</f>
        <v>85900</v>
      </c>
      <c r="D698" s="731" t="str">
        <f>'09월 조업일지'!E698</f>
        <v>B</v>
      </c>
      <c r="E698" s="732" t="str">
        <f>'09월 조업일지'!F698</f>
        <v>B</v>
      </c>
      <c r="F698" s="1096" t="str">
        <f>'09월 에너지'!F700</f>
        <v>S355JO-01</v>
      </c>
      <c r="G698" s="733">
        <v>12</v>
      </c>
      <c r="H698" s="734">
        <v>24</v>
      </c>
      <c r="I698" s="734">
        <v>133</v>
      </c>
      <c r="J698" s="734">
        <v>19</v>
      </c>
      <c r="K698" s="735">
        <v>37</v>
      </c>
      <c r="L698" s="734">
        <v>15</v>
      </c>
      <c r="M698" s="736">
        <v>11</v>
      </c>
      <c r="N698" s="737">
        <v>427</v>
      </c>
      <c r="O698" s="737"/>
      <c r="P698" s="737">
        <v>1000</v>
      </c>
      <c r="Q698" s="737">
        <v>952</v>
      </c>
      <c r="R698" s="737"/>
      <c r="S698" s="737"/>
      <c r="T698" s="737"/>
      <c r="U698" s="738"/>
      <c r="V698" s="739">
        <v>421</v>
      </c>
      <c r="W698" s="737"/>
      <c r="X698" s="737">
        <v>1000</v>
      </c>
      <c r="Y698" s="737">
        <v>901</v>
      </c>
      <c r="Z698" s="1202"/>
      <c r="AA698" s="740"/>
      <c r="AB698" s="739"/>
      <c r="AC698" s="741"/>
      <c r="AD698" s="741">
        <v>280</v>
      </c>
      <c r="AE698" s="741">
        <v>331</v>
      </c>
      <c r="AF698" s="741"/>
      <c r="AG698" s="741">
        <v>95</v>
      </c>
      <c r="AH698" s="741">
        <v>2356</v>
      </c>
      <c r="AI698" s="741"/>
      <c r="AJ698" s="741">
        <v>81</v>
      </c>
      <c r="AK698" s="741"/>
      <c r="AL698" s="741">
        <v>120</v>
      </c>
      <c r="AM698" s="742">
        <v>1654</v>
      </c>
      <c r="AN698" s="743">
        <f t="shared" si="30"/>
        <v>0.96298811544991514</v>
      </c>
      <c r="AO698" s="744">
        <f t="shared" si="31"/>
        <v>1.0145767644918751</v>
      </c>
      <c r="AP698" s="745">
        <f>'09월 에너지'!S700</f>
        <v>141.80000000000001</v>
      </c>
    </row>
    <row r="699" spans="1:42" ht="16.5" customHeight="1">
      <c r="A699" s="999">
        <f>'09월 조업일지'!A699</f>
        <v>46291</v>
      </c>
      <c r="B699" s="1100">
        <f>'09월 조업일지'!B699</f>
        <v>46291</v>
      </c>
      <c r="C699" s="730">
        <f>'09월 조업일지'!G699</f>
        <v>85901</v>
      </c>
      <c r="D699" s="731" t="str">
        <f>'09월 조업일지'!E699</f>
        <v>B</v>
      </c>
      <c r="E699" s="732" t="str">
        <f>'09월 조업일지'!F699</f>
        <v>B</v>
      </c>
      <c r="F699" s="1096" t="str">
        <f>'09월 에너지'!F701</f>
        <v>S355JO-01</v>
      </c>
      <c r="G699" s="733">
        <v>12</v>
      </c>
      <c r="H699" s="734">
        <v>25</v>
      </c>
      <c r="I699" s="734">
        <v>132</v>
      </c>
      <c r="J699" s="734">
        <v>17</v>
      </c>
      <c r="K699" s="735">
        <v>34</v>
      </c>
      <c r="L699" s="734">
        <v>13</v>
      </c>
      <c r="M699" s="736">
        <v>11</v>
      </c>
      <c r="N699" s="737">
        <v>424</v>
      </c>
      <c r="O699" s="737"/>
      <c r="P699" s="737">
        <v>1000</v>
      </c>
      <c r="Q699" s="737">
        <v>956</v>
      </c>
      <c r="R699" s="737"/>
      <c r="S699" s="737"/>
      <c r="T699" s="737"/>
      <c r="U699" s="738"/>
      <c r="V699" s="739">
        <v>421</v>
      </c>
      <c r="W699" s="737"/>
      <c r="X699" s="737">
        <v>1001</v>
      </c>
      <c r="Y699" s="737">
        <v>901</v>
      </c>
      <c r="Z699" s="1202"/>
      <c r="AA699" s="740"/>
      <c r="AB699" s="739"/>
      <c r="AC699" s="741"/>
      <c r="AD699" s="741">
        <v>280</v>
      </c>
      <c r="AE699" s="741">
        <v>330</v>
      </c>
      <c r="AF699" s="741"/>
      <c r="AG699" s="741">
        <v>95</v>
      </c>
      <c r="AH699" s="741">
        <v>2357</v>
      </c>
      <c r="AI699" s="741"/>
      <c r="AJ699" s="741">
        <v>83</v>
      </c>
      <c r="AK699" s="741"/>
      <c r="AL699" s="741">
        <v>133</v>
      </c>
      <c r="AM699" s="742">
        <v>1678</v>
      </c>
      <c r="AN699" s="743">
        <f t="shared" si="30"/>
        <v>1.0140008485362748</v>
      </c>
      <c r="AO699" s="744">
        <f t="shared" si="31"/>
        <v>1.0168979938178071</v>
      </c>
      <c r="AP699" s="745">
        <f>'09월 에너지'!S701</f>
        <v>143.4</v>
      </c>
    </row>
    <row r="700" spans="1:42" ht="16.5" customHeight="1">
      <c r="A700" s="999">
        <f>'09월 조업일지'!A700</f>
        <v>46291</v>
      </c>
      <c r="B700" s="1100">
        <f>'09월 조업일지'!B700</f>
        <v>46291</v>
      </c>
      <c r="C700" s="730">
        <f>'09월 조업일지'!G700</f>
        <v>85902</v>
      </c>
      <c r="D700" s="731" t="str">
        <f>'09월 조업일지'!E700</f>
        <v>B</v>
      </c>
      <c r="E700" s="732" t="str">
        <f>'09월 조업일지'!F700</f>
        <v>A</v>
      </c>
      <c r="F700" s="1096" t="str">
        <f>'09월 에너지'!F702</f>
        <v>S355JO-01</v>
      </c>
      <c r="G700" s="733">
        <v>8</v>
      </c>
      <c r="H700" s="734">
        <v>21</v>
      </c>
      <c r="I700" s="734">
        <v>126</v>
      </c>
      <c r="J700" s="734">
        <v>14</v>
      </c>
      <c r="K700" s="735">
        <v>30</v>
      </c>
      <c r="L700" s="734">
        <v>13</v>
      </c>
      <c r="M700" s="736">
        <v>10</v>
      </c>
      <c r="N700" s="737">
        <v>423</v>
      </c>
      <c r="O700" s="737"/>
      <c r="P700" s="737">
        <v>1001</v>
      </c>
      <c r="Q700" s="737">
        <v>952</v>
      </c>
      <c r="R700" s="737"/>
      <c r="S700" s="737"/>
      <c r="T700" s="737"/>
      <c r="U700" s="738"/>
      <c r="V700" s="739">
        <v>418</v>
      </c>
      <c r="W700" s="737"/>
      <c r="X700" s="737">
        <v>1000</v>
      </c>
      <c r="Y700" s="737">
        <v>902</v>
      </c>
      <c r="Z700" s="1202"/>
      <c r="AA700" s="740"/>
      <c r="AB700" s="739"/>
      <c r="AC700" s="741"/>
      <c r="AD700" s="741">
        <v>281</v>
      </c>
      <c r="AE700" s="741">
        <v>330</v>
      </c>
      <c r="AF700" s="741"/>
      <c r="AG700" s="741">
        <v>95</v>
      </c>
      <c r="AH700" s="741">
        <v>2349</v>
      </c>
      <c r="AI700" s="741">
        <v>111</v>
      </c>
      <c r="AJ700" s="741">
        <v>80</v>
      </c>
      <c r="AK700" s="741"/>
      <c r="AL700" s="741">
        <v>132</v>
      </c>
      <c r="AM700" s="742">
        <v>1638</v>
      </c>
      <c r="AN700" s="743">
        <f t="shared" si="30"/>
        <v>0.69084022038567505</v>
      </c>
      <c r="AO700" s="744">
        <f t="shared" si="31"/>
        <v>0.96735997080824676</v>
      </c>
      <c r="AP700" s="745">
        <f>'09월 에너지'!S702</f>
        <v>143.30000000000001</v>
      </c>
    </row>
    <row r="701" spans="1:42" ht="16.5" customHeight="1">
      <c r="A701" s="999">
        <f>'09월 조업일지'!A701</f>
        <v>46291</v>
      </c>
      <c r="B701" s="1100">
        <f>'09월 조업일지'!B701</f>
        <v>46291</v>
      </c>
      <c r="C701" s="730">
        <f>'09월 조업일지'!G701</f>
        <v>85903</v>
      </c>
      <c r="D701" s="731" t="str">
        <f>'09월 조업일지'!E701</f>
        <v>B</v>
      </c>
      <c r="E701" s="732" t="str">
        <f>'09월 조업일지'!F701</f>
        <v>B</v>
      </c>
      <c r="F701" s="1096" t="str">
        <f>'09월 에너지'!F703</f>
        <v>S355JO-01</v>
      </c>
      <c r="G701" s="733">
        <v>13</v>
      </c>
      <c r="H701" s="734">
        <v>24</v>
      </c>
      <c r="I701" s="734">
        <v>135</v>
      </c>
      <c r="J701" s="734">
        <v>19</v>
      </c>
      <c r="K701" s="735">
        <v>40</v>
      </c>
      <c r="L701" s="734">
        <v>17</v>
      </c>
      <c r="M701" s="736">
        <v>12</v>
      </c>
      <c r="N701" s="737">
        <v>419</v>
      </c>
      <c r="O701" s="737"/>
      <c r="P701" s="737">
        <v>1000</v>
      </c>
      <c r="Q701" s="737">
        <v>952</v>
      </c>
      <c r="R701" s="737"/>
      <c r="S701" s="737"/>
      <c r="T701" s="737"/>
      <c r="U701" s="738"/>
      <c r="V701" s="739">
        <v>424</v>
      </c>
      <c r="W701" s="737"/>
      <c r="X701" s="737">
        <v>1001</v>
      </c>
      <c r="Y701" s="737">
        <v>903</v>
      </c>
      <c r="Z701" s="1202"/>
      <c r="AA701" s="740"/>
      <c r="AB701" s="739"/>
      <c r="AC701" s="741"/>
      <c r="AD701" s="741">
        <v>280</v>
      </c>
      <c r="AE701" s="741">
        <v>330</v>
      </c>
      <c r="AF701" s="741"/>
      <c r="AG701" s="741">
        <v>95</v>
      </c>
      <c r="AH701" s="741">
        <v>2350</v>
      </c>
      <c r="AI701" s="741"/>
      <c r="AJ701" s="741">
        <v>83</v>
      </c>
      <c r="AK701" s="741"/>
      <c r="AL701" s="741">
        <v>127</v>
      </c>
      <c r="AM701" s="742">
        <v>1577</v>
      </c>
      <c r="AN701" s="743">
        <f t="shared" si="30"/>
        <v>0.97429787234042553</v>
      </c>
      <c r="AO701" s="744">
        <f t="shared" si="31"/>
        <v>1.0438905775075988</v>
      </c>
      <c r="AP701" s="745">
        <f>'09월 에너지'!S703</f>
        <v>143.1</v>
      </c>
    </row>
    <row r="702" spans="1:42" ht="16.5" customHeight="1">
      <c r="A702" s="999">
        <f>'09월 조업일지'!A702</f>
        <v>46291</v>
      </c>
      <c r="B702" s="1100">
        <f>'09월 조업일지'!B702</f>
        <v>46291</v>
      </c>
      <c r="C702" s="730">
        <f>'09월 조업일지'!G702</f>
        <v>85904</v>
      </c>
      <c r="D702" s="731" t="str">
        <f>'09월 조업일지'!E702</f>
        <v>B</v>
      </c>
      <c r="E702" s="732" t="str">
        <f>'09월 조업일지'!F702</f>
        <v>A</v>
      </c>
      <c r="F702" s="1096" t="str">
        <f>'09월 에너지'!F704</f>
        <v>S355JO-01</v>
      </c>
      <c r="G702" s="733">
        <v>9</v>
      </c>
      <c r="H702" s="734">
        <v>24</v>
      </c>
      <c r="I702" s="734">
        <v>121</v>
      </c>
      <c r="J702" s="734">
        <v>13</v>
      </c>
      <c r="K702" s="735">
        <v>24</v>
      </c>
      <c r="L702" s="734">
        <v>13</v>
      </c>
      <c r="M702" s="736">
        <v>8</v>
      </c>
      <c r="N702" s="737">
        <v>424</v>
      </c>
      <c r="O702" s="737"/>
      <c r="P702" s="737">
        <v>1000</v>
      </c>
      <c r="Q702" s="737">
        <v>950</v>
      </c>
      <c r="R702" s="737"/>
      <c r="S702" s="737"/>
      <c r="T702" s="737"/>
      <c r="U702" s="738"/>
      <c r="V702" s="739">
        <v>417</v>
      </c>
      <c r="W702" s="737"/>
      <c r="X702" s="737">
        <v>1000</v>
      </c>
      <c r="Y702" s="737">
        <v>902</v>
      </c>
      <c r="Z702" s="1202"/>
      <c r="AA702" s="740"/>
      <c r="AB702" s="739"/>
      <c r="AC702" s="741"/>
      <c r="AD702" s="741">
        <v>280</v>
      </c>
      <c r="AE702" s="741">
        <v>330</v>
      </c>
      <c r="AF702" s="741"/>
      <c r="AG702" s="741">
        <v>96</v>
      </c>
      <c r="AH702" s="741">
        <v>2351</v>
      </c>
      <c r="AI702" s="741">
        <v>114</v>
      </c>
      <c r="AJ702" s="741">
        <v>85</v>
      </c>
      <c r="AK702" s="741"/>
      <c r="AL702" s="741">
        <v>133</v>
      </c>
      <c r="AM702" s="742">
        <v>2577</v>
      </c>
      <c r="AN702" s="743">
        <f t="shared" si="30"/>
        <v>0.77672030126668956</v>
      </c>
      <c r="AO702" s="744">
        <f t="shared" si="31"/>
        <v>0.91333778939053301</v>
      </c>
      <c r="AP702" s="745">
        <f>'09월 에너지'!S704</f>
        <v>141.80000000000001</v>
      </c>
    </row>
    <row r="703" spans="1:42" ht="16.5" customHeight="1">
      <c r="A703" s="999">
        <f>'09월 조업일지'!A703</f>
        <v>46291</v>
      </c>
      <c r="B703" s="1100">
        <f>'09월 조업일지'!B703</f>
        <v>46291</v>
      </c>
      <c r="C703" s="730">
        <f>'09월 조업일지'!G703</f>
        <v>85905</v>
      </c>
      <c r="D703" s="731" t="str">
        <f>'09월 조업일지'!E703</f>
        <v>B</v>
      </c>
      <c r="E703" s="732" t="str">
        <f>'09월 조업일지'!F703</f>
        <v>B</v>
      </c>
      <c r="F703" s="1096" t="str">
        <f>'09월 에너지'!F705</f>
        <v>S355JO-01</v>
      </c>
      <c r="G703" s="733">
        <v>9</v>
      </c>
      <c r="H703" s="734">
        <v>16</v>
      </c>
      <c r="I703" s="734">
        <v>124</v>
      </c>
      <c r="J703" s="734">
        <v>14</v>
      </c>
      <c r="K703" s="735">
        <v>33</v>
      </c>
      <c r="L703" s="734">
        <v>16</v>
      </c>
      <c r="M703" s="736">
        <v>12</v>
      </c>
      <c r="N703" s="737">
        <v>417</v>
      </c>
      <c r="O703" s="737"/>
      <c r="P703" s="737">
        <v>1006</v>
      </c>
      <c r="Q703" s="737">
        <v>953</v>
      </c>
      <c r="R703" s="737"/>
      <c r="S703" s="737"/>
      <c r="T703" s="737"/>
      <c r="U703" s="738"/>
      <c r="V703" s="739">
        <v>411</v>
      </c>
      <c r="W703" s="737"/>
      <c r="X703" s="737">
        <v>1000</v>
      </c>
      <c r="Y703" s="737">
        <v>907</v>
      </c>
      <c r="Z703" s="1202"/>
      <c r="AA703" s="740"/>
      <c r="AB703" s="739"/>
      <c r="AC703" s="741"/>
      <c r="AD703" s="741">
        <v>280</v>
      </c>
      <c r="AE703" s="741">
        <v>330</v>
      </c>
      <c r="AF703" s="741"/>
      <c r="AG703" s="741">
        <v>95</v>
      </c>
      <c r="AH703" s="741">
        <v>2353</v>
      </c>
      <c r="AI703" s="741"/>
      <c r="AJ703" s="741">
        <v>84</v>
      </c>
      <c r="AK703" s="741"/>
      <c r="AL703" s="741">
        <v>136</v>
      </c>
      <c r="AM703" s="742">
        <v>1076</v>
      </c>
      <c r="AN703" s="743">
        <f t="shared" si="30"/>
        <v>0.65187703640742323</v>
      </c>
      <c r="AO703" s="744">
        <f t="shared" si="31"/>
        <v>0.95162406654119369</v>
      </c>
      <c r="AP703" s="745">
        <f>'09월 에너지'!S705</f>
        <v>143.80000000000001</v>
      </c>
    </row>
    <row r="704" spans="1:42" ht="16.5" customHeight="1">
      <c r="A704" s="999">
        <f>'09월 조업일지'!A704</f>
        <v>46291</v>
      </c>
      <c r="B704" s="1100">
        <f>'09월 조업일지'!B704</f>
        <v>46291</v>
      </c>
      <c r="C704" s="730">
        <f>'09월 조업일지'!G704</f>
        <v>85906</v>
      </c>
      <c r="D704" s="731" t="str">
        <f>'09월 조업일지'!E704</f>
        <v>B</v>
      </c>
      <c r="E704" s="732" t="str">
        <f>'09월 조업일지'!F704</f>
        <v>A</v>
      </c>
      <c r="F704" s="1096" t="str">
        <f>'09월 에너지'!F706</f>
        <v>S355JO-01</v>
      </c>
      <c r="G704" s="733">
        <v>10</v>
      </c>
      <c r="H704" s="734">
        <v>20</v>
      </c>
      <c r="I704" s="734">
        <v>116</v>
      </c>
      <c r="J704" s="734">
        <v>13</v>
      </c>
      <c r="K704" s="735">
        <v>21</v>
      </c>
      <c r="L704" s="734">
        <v>14</v>
      </c>
      <c r="M704" s="736">
        <v>10</v>
      </c>
      <c r="N704" s="737">
        <v>426</v>
      </c>
      <c r="O704" s="737"/>
      <c r="P704" s="737">
        <v>1001</v>
      </c>
      <c r="Q704" s="737">
        <v>953</v>
      </c>
      <c r="R704" s="737"/>
      <c r="S704" s="737"/>
      <c r="T704" s="737"/>
      <c r="U704" s="738"/>
      <c r="V704" s="739">
        <v>424</v>
      </c>
      <c r="W704" s="737"/>
      <c r="X704" s="737">
        <v>1000</v>
      </c>
      <c r="Y704" s="737">
        <v>904</v>
      </c>
      <c r="Z704" s="1202"/>
      <c r="AA704" s="740"/>
      <c r="AB704" s="739"/>
      <c r="AC704" s="741"/>
      <c r="AD704" s="741">
        <v>280</v>
      </c>
      <c r="AE704" s="741">
        <v>331</v>
      </c>
      <c r="AF704" s="741"/>
      <c r="AG704" s="741">
        <v>95</v>
      </c>
      <c r="AH704" s="741">
        <v>2352</v>
      </c>
      <c r="AI704" s="741">
        <v>112</v>
      </c>
      <c r="AJ704" s="741">
        <v>82</v>
      </c>
      <c r="AK704" s="741"/>
      <c r="AL704" s="741">
        <v>126</v>
      </c>
      <c r="AM704" s="742">
        <v>2435</v>
      </c>
      <c r="AN704" s="743">
        <f t="shared" si="30"/>
        <v>0.65109890109890101</v>
      </c>
      <c r="AO704" s="744">
        <f t="shared" si="31"/>
        <v>0.87233965014577264</v>
      </c>
      <c r="AP704" s="745">
        <f>'09월 에너지'!S706</f>
        <v>142.19999999999999</v>
      </c>
    </row>
    <row r="705" spans="1:42" ht="16.5" customHeight="1">
      <c r="A705" s="999">
        <f>'09월 조업일지'!A705</f>
        <v>46291</v>
      </c>
      <c r="B705" s="1100">
        <f>'09월 조업일지'!B705</f>
        <v>46291</v>
      </c>
      <c r="C705" s="730">
        <f>'09월 조업일지'!G705</f>
        <v>85907</v>
      </c>
      <c r="D705" s="731" t="str">
        <f>'09월 조업일지'!E705</f>
        <v>B</v>
      </c>
      <c r="E705" s="732" t="str">
        <f>'09월 조업일지'!F705</f>
        <v>B</v>
      </c>
      <c r="F705" s="1096" t="str">
        <f>'09월 에너지'!F707</f>
        <v>S355JO-01</v>
      </c>
      <c r="G705" s="733">
        <v>11</v>
      </c>
      <c r="H705" s="734">
        <v>22</v>
      </c>
      <c r="I705" s="734">
        <v>126</v>
      </c>
      <c r="J705" s="734">
        <v>14</v>
      </c>
      <c r="K705" s="735">
        <v>26</v>
      </c>
      <c r="L705" s="734">
        <v>14</v>
      </c>
      <c r="M705" s="736">
        <v>9</v>
      </c>
      <c r="N705" s="737">
        <v>420</v>
      </c>
      <c r="O705" s="737"/>
      <c r="P705" s="737">
        <v>1000</v>
      </c>
      <c r="Q705" s="737">
        <v>952</v>
      </c>
      <c r="R705" s="737"/>
      <c r="S705" s="737"/>
      <c r="T705" s="737"/>
      <c r="U705" s="738"/>
      <c r="V705" s="739">
        <v>422</v>
      </c>
      <c r="W705" s="737"/>
      <c r="X705" s="737">
        <v>1001</v>
      </c>
      <c r="Y705" s="737">
        <v>901</v>
      </c>
      <c r="Z705" s="1202"/>
      <c r="AA705" s="740"/>
      <c r="AB705" s="739"/>
      <c r="AC705" s="741"/>
      <c r="AD705" s="741">
        <v>280</v>
      </c>
      <c r="AE705" s="741">
        <v>330</v>
      </c>
      <c r="AF705" s="741"/>
      <c r="AG705" s="741">
        <v>95</v>
      </c>
      <c r="AH705" s="741">
        <v>2347</v>
      </c>
      <c r="AI705" s="741"/>
      <c r="AJ705" s="741">
        <v>84</v>
      </c>
      <c r="AK705" s="741"/>
      <c r="AL705" s="741">
        <v>128</v>
      </c>
      <c r="AM705" s="742">
        <v>2432</v>
      </c>
      <c r="AN705" s="743">
        <f t="shared" si="30"/>
        <v>0.89174833120295405</v>
      </c>
      <c r="AO705" s="744">
        <f t="shared" si="31"/>
        <v>0.96413050094345376</v>
      </c>
      <c r="AP705" s="745">
        <f>'09월 에너지'!S707</f>
        <v>142.69999999999999</v>
      </c>
    </row>
    <row r="706" spans="1:42" ht="16.5" customHeight="1">
      <c r="A706" s="999">
        <f>'09월 조업일지'!A706</f>
        <v>46291</v>
      </c>
      <c r="B706" s="1100">
        <f>'09월 조업일지'!B706</f>
        <v>46291</v>
      </c>
      <c r="C706" s="730">
        <f>'09월 조업일지'!G706</f>
        <v>85908</v>
      </c>
      <c r="D706" s="731" t="str">
        <f>'09월 조업일지'!E706</f>
        <v>B</v>
      </c>
      <c r="E706" s="732" t="str">
        <f>'09월 조업일지'!F706</f>
        <v>A</v>
      </c>
      <c r="F706" s="1096" t="str">
        <f>'09월 에너지'!F708</f>
        <v>S355JO-01</v>
      </c>
      <c r="G706" s="733">
        <v>10</v>
      </c>
      <c r="H706" s="734">
        <v>15</v>
      </c>
      <c r="I706" s="734">
        <v>111</v>
      </c>
      <c r="J706" s="734">
        <v>13</v>
      </c>
      <c r="K706" s="735">
        <v>23</v>
      </c>
      <c r="L706" s="734">
        <v>10</v>
      </c>
      <c r="M706" s="736">
        <v>7</v>
      </c>
      <c r="N706" s="737">
        <v>425</v>
      </c>
      <c r="O706" s="737"/>
      <c r="P706" s="737">
        <v>1001</v>
      </c>
      <c r="Q706" s="737">
        <v>95</v>
      </c>
      <c r="R706" s="737"/>
      <c r="S706" s="737"/>
      <c r="T706" s="737"/>
      <c r="U706" s="738"/>
      <c r="V706" s="739">
        <v>416</v>
      </c>
      <c r="W706" s="737"/>
      <c r="X706" s="737">
        <v>1000</v>
      </c>
      <c r="Y706" s="737">
        <v>903</v>
      </c>
      <c r="Z706" s="1202"/>
      <c r="AA706" s="740"/>
      <c r="AB706" s="739"/>
      <c r="AC706" s="741"/>
      <c r="AD706" s="741">
        <v>281</v>
      </c>
      <c r="AE706" s="741">
        <v>330</v>
      </c>
      <c r="AF706" s="741"/>
      <c r="AG706" s="741">
        <v>95</v>
      </c>
      <c r="AH706" s="741">
        <v>2351</v>
      </c>
      <c r="AI706" s="741"/>
      <c r="AJ706" s="741">
        <v>86</v>
      </c>
      <c r="AK706" s="741"/>
      <c r="AL706" s="741">
        <v>123</v>
      </c>
      <c r="AM706" s="742">
        <v>2668</v>
      </c>
      <c r="AN706" s="743">
        <f t="shared" si="30"/>
        <v>0.60569970225435987</v>
      </c>
      <c r="AO706" s="744">
        <f t="shared" si="31"/>
        <v>0.83067387737740783</v>
      </c>
      <c r="AP706" s="745">
        <f>'09월 에너지'!S708</f>
        <v>142.4</v>
      </c>
    </row>
    <row r="707" spans="1:42" ht="16.5" customHeight="1">
      <c r="A707" s="999">
        <f>'09월 조업일지'!A707</f>
        <v>46291</v>
      </c>
      <c r="B707" s="1100">
        <f>'09월 조업일지'!B707</f>
        <v>46291</v>
      </c>
      <c r="C707" s="730">
        <f>'09월 조업일지'!G707</f>
        <v>85909</v>
      </c>
      <c r="D707" s="731" t="str">
        <f>'09월 조업일지'!E707</f>
        <v>D</v>
      </c>
      <c r="E707" s="732" t="str">
        <f>'09월 조업일지'!F707</f>
        <v>B</v>
      </c>
      <c r="F707" s="1096" t="str">
        <f>'09월 에너지'!F709</f>
        <v>S355JO-01</v>
      </c>
      <c r="G707" s="733">
        <v>11</v>
      </c>
      <c r="H707" s="734">
        <v>21</v>
      </c>
      <c r="I707" s="734">
        <v>127</v>
      </c>
      <c r="J707" s="734">
        <v>15</v>
      </c>
      <c r="K707" s="735">
        <v>33</v>
      </c>
      <c r="L707" s="734">
        <v>15</v>
      </c>
      <c r="M707" s="736">
        <v>12</v>
      </c>
      <c r="N707" s="737">
        <v>413</v>
      </c>
      <c r="O707" s="737"/>
      <c r="P707" s="737">
        <v>1001</v>
      </c>
      <c r="Q707" s="737">
        <v>951</v>
      </c>
      <c r="R707" s="737"/>
      <c r="S707" s="737"/>
      <c r="T707" s="737"/>
      <c r="U707" s="738"/>
      <c r="V707" s="739">
        <v>413</v>
      </c>
      <c r="W707" s="737"/>
      <c r="X707" s="737">
        <v>1000</v>
      </c>
      <c r="Y707" s="737">
        <v>901</v>
      </c>
      <c r="Z707" s="1202"/>
      <c r="AA707" s="740"/>
      <c r="AB707" s="739"/>
      <c r="AC707" s="741"/>
      <c r="AD707" s="741">
        <v>280</v>
      </c>
      <c r="AE707" s="741">
        <v>331</v>
      </c>
      <c r="AF707" s="741"/>
      <c r="AG707" s="741">
        <v>95</v>
      </c>
      <c r="AH707" s="741">
        <v>2353</v>
      </c>
      <c r="AI707" s="741"/>
      <c r="AJ707" s="741">
        <v>86</v>
      </c>
      <c r="AK707" s="741"/>
      <c r="AL707" s="741">
        <v>122</v>
      </c>
      <c r="AM707" s="742">
        <v>1610</v>
      </c>
      <c r="AN707" s="743">
        <f t="shared" si="30"/>
        <v>0.86451338716532089</v>
      </c>
      <c r="AO707" s="744">
        <f t="shared" si="31"/>
        <v>0.98801529961750956</v>
      </c>
      <c r="AP707" s="745">
        <f>'09월 에너지'!S709</f>
        <v>145.30000000000001</v>
      </c>
    </row>
    <row r="708" spans="1:42" ht="16.5" customHeight="1">
      <c r="A708" s="999">
        <f>'09월 조업일지'!A708</f>
        <v>46291</v>
      </c>
      <c r="B708" s="1100">
        <f>'09월 조업일지'!B708</f>
        <v>46291</v>
      </c>
      <c r="C708" s="730">
        <f>'09월 조업일지'!G708</f>
        <v>85910</v>
      </c>
      <c r="D708" s="731" t="str">
        <f>'09월 조업일지'!E708</f>
        <v>D</v>
      </c>
      <c r="E708" s="732" t="str">
        <f>'09월 조업일지'!F708</f>
        <v>A</v>
      </c>
      <c r="F708" s="1096" t="str">
        <f>'09월 에너지'!F710</f>
        <v>S355JO-01</v>
      </c>
      <c r="G708" s="733">
        <v>11</v>
      </c>
      <c r="H708" s="734">
        <v>13</v>
      </c>
      <c r="I708" s="734">
        <v>108</v>
      </c>
      <c r="J708" s="734">
        <v>14</v>
      </c>
      <c r="K708" s="735">
        <v>36</v>
      </c>
      <c r="L708" s="734">
        <v>11</v>
      </c>
      <c r="M708" s="736">
        <v>10</v>
      </c>
      <c r="N708" s="737">
        <v>417</v>
      </c>
      <c r="O708" s="737"/>
      <c r="P708" s="737">
        <v>1000</v>
      </c>
      <c r="Q708" s="737">
        <v>951</v>
      </c>
      <c r="R708" s="737"/>
      <c r="S708" s="737"/>
      <c r="T708" s="737"/>
      <c r="U708" s="738"/>
      <c r="V708" s="739">
        <v>414</v>
      </c>
      <c r="W708" s="737"/>
      <c r="X708" s="737">
        <v>1001</v>
      </c>
      <c r="Y708" s="737">
        <v>904</v>
      </c>
      <c r="Z708" s="1202"/>
      <c r="AA708" s="740"/>
      <c r="AB708" s="739"/>
      <c r="AC708" s="741"/>
      <c r="AD708" s="741">
        <v>280</v>
      </c>
      <c r="AE708" s="741">
        <v>331</v>
      </c>
      <c r="AF708" s="741"/>
      <c r="AG708" s="741">
        <v>95</v>
      </c>
      <c r="AH708" s="741">
        <v>2352</v>
      </c>
      <c r="AI708" s="741"/>
      <c r="AJ708" s="741">
        <v>82</v>
      </c>
      <c r="AK708" s="741"/>
      <c r="AL708" s="741">
        <v>134</v>
      </c>
      <c r="AM708" s="742">
        <v>2510</v>
      </c>
      <c r="AN708" s="743">
        <f t="shared" si="30"/>
        <v>0.5048185941043084</v>
      </c>
      <c r="AO708" s="744">
        <f t="shared" si="31"/>
        <v>0.77387026239067058</v>
      </c>
      <c r="AP708" s="745">
        <f>'09월 에너지'!S710</f>
        <v>137</v>
      </c>
    </row>
    <row r="709" spans="1:42" ht="16.5" customHeight="1">
      <c r="A709" s="999">
        <f>'09월 조업일지'!A709</f>
        <v>46291</v>
      </c>
      <c r="B709" s="1100">
        <f>'09월 조업일지'!B709</f>
        <v>46291</v>
      </c>
      <c r="C709" s="730">
        <f>'09월 조업일지'!G709</f>
        <v>85911</v>
      </c>
      <c r="D709" s="731" t="str">
        <f>'09월 조업일지'!E709</f>
        <v>D</v>
      </c>
      <c r="E709" s="732" t="str">
        <f>'09월 조업일지'!F709</f>
        <v>B</v>
      </c>
      <c r="F709" s="1231" t="str">
        <f>'09월 에너지'!F711</f>
        <v>SY300</v>
      </c>
      <c r="G709" s="733">
        <v>9</v>
      </c>
      <c r="H709" s="734">
        <v>28</v>
      </c>
      <c r="I709" s="734">
        <v>104</v>
      </c>
      <c r="J709" s="734">
        <v>16</v>
      </c>
      <c r="K709" s="735">
        <v>32</v>
      </c>
      <c r="L709" s="734">
        <v>14</v>
      </c>
      <c r="M709" s="736">
        <v>12</v>
      </c>
      <c r="N709" s="737">
        <v>422</v>
      </c>
      <c r="O709" s="737"/>
      <c r="P709" s="737">
        <v>1001</v>
      </c>
      <c r="Q709" s="737">
        <v>951</v>
      </c>
      <c r="R709" s="737"/>
      <c r="S709" s="737"/>
      <c r="T709" s="737"/>
      <c r="U709" s="738"/>
      <c r="V709" s="739">
        <v>424</v>
      </c>
      <c r="W709" s="737"/>
      <c r="X709" s="737">
        <v>1001</v>
      </c>
      <c r="Y709" s="737">
        <v>901</v>
      </c>
      <c r="Z709" s="1202"/>
      <c r="AA709" s="740"/>
      <c r="AB709" s="739"/>
      <c r="AC709" s="741"/>
      <c r="AD709" s="741">
        <v>280</v>
      </c>
      <c r="AE709" s="741">
        <v>350</v>
      </c>
      <c r="AF709" s="741"/>
      <c r="AG709" s="741">
        <v>96</v>
      </c>
      <c r="AH709" s="741">
        <v>1804</v>
      </c>
      <c r="AI709" s="741">
        <v>249</v>
      </c>
      <c r="AJ709" s="741">
        <v>77</v>
      </c>
      <c r="AK709" s="741"/>
      <c r="AL709" s="741">
        <v>119</v>
      </c>
      <c r="AM709" s="742">
        <v>1217</v>
      </c>
      <c r="AN709" s="743">
        <f t="shared" si="30"/>
        <v>0.8944571990816661</v>
      </c>
      <c r="AO709" s="744">
        <f t="shared" si="31"/>
        <v>1.0296879949318973</v>
      </c>
      <c r="AP709" s="745">
        <f>'09월 에너지'!S711</f>
        <v>146.1</v>
      </c>
    </row>
    <row r="710" spans="1:42" ht="16.5" customHeight="1">
      <c r="A710" s="999">
        <f>'09월 조업일지'!A710</f>
        <v>46291</v>
      </c>
      <c r="B710" s="1100">
        <f>'09월 조업일지'!B710</f>
        <v>46291</v>
      </c>
      <c r="C710" s="730">
        <f>'09월 조업일지'!G710</f>
        <v>85912</v>
      </c>
      <c r="D710" s="731" t="str">
        <f>'09월 조업일지'!E710</f>
        <v>D</v>
      </c>
      <c r="E710" s="732" t="str">
        <f>'09월 조업일지'!F710</f>
        <v>A</v>
      </c>
      <c r="F710" s="1096" t="str">
        <f>'09월 에너지'!F712</f>
        <v>SY300</v>
      </c>
      <c r="G710" s="733">
        <v>9</v>
      </c>
      <c r="H710" s="734">
        <v>25</v>
      </c>
      <c r="I710" s="734">
        <v>94</v>
      </c>
      <c r="J710" s="734">
        <v>12</v>
      </c>
      <c r="K710" s="735">
        <v>26</v>
      </c>
      <c r="L710" s="734">
        <v>11</v>
      </c>
      <c r="M710" s="736">
        <v>8</v>
      </c>
      <c r="N710" s="737">
        <v>423</v>
      </c>
      <c r="O710" s="737"/>
      <c r="P710" s="737">
        <v>1001</v>
      </c>
      <c r="Q710" s="737">
        <v>951</v>
      </c>
      <c r="R710" s="737"/>
      <c r="S710" s="737"/>
      <c r="T710" s="737"/>
      <c r="U710" s="738"/>
      <c r="V710" s="739">
        <v>418</v>
      </c>
      <c r="W710" s="737"/>
      <c r="X710" s="737">
        <v>1001</v>
      </c>
      <c r="Y710" s="737">
        <v>902</v>
      </c>
      <c r="Z710" s="1202"/>
      <c r="AA710" s="740"/>
      <c r="AB710" s="739"/>
      <c r="AC710" s="741"/>
      <c r="AD710" s="741">
        <v>281</v>
      </c>
      <c r="AE710" s="741">
        <v>350</v>
      </c>
      <c r="AF710" s="741"/>
      <c r="AG710" s="741">
        <v>96</v>
      </c>
      <c r="AH710" s="741">
        <v>1809</v>
      </c>
      <c r="AI710" s="741">
        <v>250</v>
      </c>
      <c r="AJ710" s="741">
        <v>82</v>
      </c>
      <c r="AK710" s="741"/>
      <c r="AL710" s="741">
        <v>130</v>
      </c>
      <c r="AM710" s="742">
        <v>2079</v>
      </c>
      <c r="AN710" s="743">
        <f t="shared" si="30"/>
        <v>0.78620464203988238</v>
      </c>
      <c r="AO710" s="744">
        <f t="shared" si="31"/>
        <v>0.90023691068467193</v>
      </c>
      <c r="AP710" s="745">
        <f>'09월 에너지'!S712</f>
        <v>144.30000000000001</v>
      </c>
    </row>
    <row r="711" spans="1:42" ht="16.5" customHeight="1">
      <c r="A711" s="999">
        <f>'09월 조업일지'!A711</f>
        <v>46291</v>
      </c>
      <c r="B711" s="1100">
        <f>'09월 조업일지'!B711</f>
        <v>46291</v>
      </c>
      <c r="C711" s="730">
        <f>'09월 조업일지'!G711</f>
        <v>85913</v>
      </c>
      <c r="D711" s="731" t="str">
        <f>'09월 조업일지'!E711</f>
        <v>D</v>
      </c>
      <c r="E711" s="732" t="str">
        <f>'09월 조업일지'!F711</f>
        <v>B</v>
      </c>
      <c r="F711" s="1231" t="str">
        <f>'09월 에너지'!F713</f>
        <v>SHN275(BB)</v>
      </c>
      <c r="G711" s="733">
        <v>9</v>
      </c>
      <c r="H711" s="734">
        <v>21</v>
      </c>
      <c r="I711" s="734">
        <v>56</v>
      </c>
      <c r="J711" s="734">
        <v>13</v>
      </c>
      <c r="K711" s="735">
        <v>30</v>
      </c>
      <c r="L711" s="734">
        <v>13</v>
      </c>
      <c r="M711" s="736">
        <v>15</v>
      </c>
      <c r="N711" s="737">
        <v>415</v>
      </c>
      <c r="O711" s="737"/>
      <c r="P711" s="737">
        <v>1000</v>
      </c>
      <c r="Q711" s="737">
        <v>952</v>
      </c>
      <c r="R711" s="737"/>
      <c r="S711" s="737"/>
      <c r="T711" s="737"/>
      <c r="U711" s="738"/>
      <c r="V711" s="739">
        <v>420</v>
      </c>
      <c r="W711" s="737"/>
      <c r="X711" s="737">
        <v>1000</v>
      </c>
      <c r="Y711" s="737">
        <v>905</v>
      </c>
      <c r="Z711" s="1202"/>
      <c r="AA711" s="740"/>
      <c r="AB711" s="739"/>
      <c r="AC711" s="741"/>
      <c r="AD711" s="741">
        <v>271</v>
      </c>
      <c r="AE711" s="741">
        <v>450</v>
      </c>
      <c r="AF711" s="741"/>
      <c r="AG711" s="741">
        <v>95</v>
      </c>
      <c r="AH711" s="741">
        <v>856</v>
      </c>
      <c r="AI711" s="741">
        <v>288</v>
      </c>
      <c r="AJ711" s="741">
        <v>87</v>
      </c>
      <c r="AK711" s="741"/>
      <c r="AL711" s="741"/>
      <c r="AM711" s="742">
        <v>1715</v>
      </c>
      <c r="AN711" s="743">
        <f t="shared" si="30"/>
        <v>0.87865853658536597</v>
      </c>
      <c r="AO711" s="744">
        <f t="shared" si="31"/>
        <v>0.985997997329773</v>
      </c>
      <c r="AP711" s="745">
        <f>'09월 에너지'!S713</f>
        <v>144.1</v>
      </c>
    </row>
    <row r="712" spans="1:42" ht="16.5" customHeight="1">
      <c r="A712" s="999">
        <f>'09월 조업일지'!A712</f>
        <v>46291</v>
      </c>
      <c r="B712" s="1100">
        <f>'09월 조업일지'!B712</f>
        <v>46291</v>
      </c>
      <c r="C712" s="730">
        <f>'09월 조업일지'!G712</f>
        <v>85914</v>
      </c>
      <c r="D712" s="731" t="str">
        <f>'09월 조업일지'!E712</f>
        <v>D</v>
      </c>
      <c r="E712" s="732" t="str">
        <f>'09월 조업일지'!F712</f>
        <v>A</v>
      </c>
      <c r="F712" s="1096" t="str">
        <f>'09월 에너지'!F714</f>
        <v>SHN275(BB)</v>
      </c>
      <c r="G712" s="733">
        <v>7</v>
      </c>
      <c r="H712" s="734">
        <v>9</v>
      </c>
      <c r="I712" s="734">
        <v>41</v>
      </c>
      <c r="J712" s="734">
        <v>15</v>
      </c>
      <c r="K712" s="735">
        <v>32</v>
      </c>
      <c r="L712" s="734">
        <v>12</v>
      </c>
      <c r="M712" s="736">
        <v>8</v>
      </c>
      <c r="N712" s="737">
        <v>416</v>
      </c>
      <c r="O712" s="737"/>
      <c r="P712" s="737">
        <v>1000</v>
      </c>
      <c r="Q712" s="737">
        <v>952</v>
      </c>
      <c r="R712" s="737"/>
      <c r="S712" s="737"/>
      <c r="T712" s="737"/>
      <c r="U712" s="738"/>
      <c r="V712" s="739">
        <v>421</v>
      </c>
      <c r="W712" s="737"/>
      <c r="X712" s="737">
        <v>1000</v>
      </c>
      <c r="Y712" s="737">
        <v>903</v>
      </c>
      <c r="Z712" s="1202"/>
      <c r="AA712" s="740"/>
      <c r="AB712" s="739"/>
      <c r="AC712" s="741"/>
      <c r="AD712" s="741">
        <v>270</v>
      </c>
      <c r="AE712" s="741">
        <v>451</v>
      </c>
      <c r="AF712" s="741"/>
      <c r="AG712" s="741">
        <v>95</v>
      </c>
      <c r="AH712" s="741">
        <v>851</v>
      </c>
      <c r="AI712" s="741">
        <v>296</v>
      </c>
      <c r="AJ712" s="741">
        <v>99</v>
      </c>
      <c r="AK712" s="741"/>
      <c r="AL712" s="741"/>
      <c r="AM712" s="742">
        <v>2306</v>
      </c>
      <c r="AN712" s="743">
        <f t="shared" si="30"/>
        <v>0.36344916344916345</v>
      </c>
      <c r="AO712" s="744">
        <f t="shared" si="31"/>
        <v>0.61628336410945117</v>
      </c>
      <c r="AP712" s="745">
        <f>'09월 에너지'!S714</f>
        <v>141.19999999999999</v>
      </c>
    </row>
    <row r="713" spans="1:42" ht="16.5" customHeight="1">
      <c r="A713" s="999">
        <f>'09월 조업일지'!A713</f>
        <v>46291</v>
      </c>
      <c r="B713" s="1100">
        <f>'09월 조업일지'!B713</f>
        <v>46291</v>
      </c>
      <c r="C713" s="730">
        <f>'09월 조업일지'!G713</f>
        <v>85915</v>
      </c>
      <c r="D713" s="731" t="str">
        <f>'09월 조업일지'!E713</f>
        <v>D</v>
      </c>
      <c r="E713" s="732" t="str">
        <f>'09월 조업일지'!F713</f>
        <v>B</v>
      </c>
      <c r="F713" s="1096" t="str">
        <f>'09월 에너지'!F715</f>
        <v>SHN275(BB)</v>
      </c>
      <c r="G713" s="733">
        <v>7</v>
      </c>
      <c r="H713" s="734">
        <v>17</v>
      </c>
      <c r="I713" s="734">
        <v>56</v>
      </c>
      <c r="J713" s="734">
        <v>14</v>
      </c>
      <c r="K713" s="735">
        <v>29</v>
      </c>
      <c r="L713" s="734">
        <v>11</v>
      </c>
      <c r="M713" s="736">
        <v>8</v>
      </c>
      <c r="N713" s="737">
        <v>421</v>
      </c>
      <c r="O713" s="737"/>
      <c r="P713" s="737">
        <v>1000</v>
      </c>
      <c r="Q713" s="737">
        <v>954</v>
      </c>
      <c r="R713" s="737"/>
      <c r="S713" s="737"/>
      <c r="T713" s="737"/>
      <c r="U713" s="738"/>
      <c r="V713" s="739">
        <v>424</v>
      </c>
      <c r="W713" s="737"/>
      <c r="X713" s="737">
        <v>423</v>
      </c>
      <c r="Y713" s="737">
        <v>914</v>
      </c>
      <c r="Z713" s="1202"/>
      <c r="AA713" s="740"/>
      <c r="AB713" s="739"/>
      <c r="AC713" s="741"/>
      <c r="AD713" s="741">
        <v>271</v>
      </c>
      <c r="AE713" s="741">
        <v>451</v>
      </c>
      <c r="AF713" s="741"/>
      <c r="AG713" s="741">
        <v>95</v>
      </c>
      <c r="AH713" s="741">
        <v>861</v>
      </c>
      <c r="AI713" s="741">
        <v>301</v>
      </c>
      <c r="AJ713" s="741">
        <v>91</v>
      </c>
      <c r="AK713" s="741"/>
      <c r="AL713" s="741"/>
      <c r="AM713" s="742">
        <v>2064</v>
      </c>
      <c r="AN713" s="743">
        <f t="shared" si="30"/>
        <v>0.68689771766694852</v>
      </c>
      <c r="AO713" s="744">
        <f t="shared" si="31"/>
        <v>0.9755102040816328</v>
      </c>
      <c r="AP713" s="745">
        <f>'09월 에너지'!S715</f>
        <v>143.4</v>
      </c>
    </row>
    <row r="714" spans="1:42" ht="16.5" customHeight="1">
      <c r="A714" s="999">
        <f>'09월 조업일지'!A714</f>
        <v>46291</v>
      </c>
      <c r="B714" s="1100">
        <f>'09월 조업일지'!B714</f>
        <v>46291</v>
      </c>
      <c r="C714" s="730">
        <f>'09월 조업일지'!G714</f>
        <v>85916</v>
      </c>
      <c r="D714" s="731" t="str">
        <f>'09월 조업일지'!E714</f>
        <v>D</v>
      </c>
      <c r="E714" s="732" t="str">
        <f>'09월 조업일지'!F714</f>
        <v>A</v>
      </c>
      <c r="F714" s="1096" t="str">
        <f>'09월 에너지'!F716</f>
        <v>SHN275(BB)</v>
      </c>
      <c r="G714" s="733">
        <v>9</v>
      </c>
      <c r="H714" s="734">
        <v>26</v>
      </c>
      <c r="I714" s="734">
        <v>60</v>
      </c>
      <c r="J714" s="734">
        <v>14</v>
      </c>
      <c r="K714" s="735">
        <v>30</v>
      </c>
      <c r="L714" s="734">
        <v>11</v>
      </c>
      <c r="M714" s="736">
        <v>10</v>
      </c>
      <c r="N714" s="737">
        <v>419</v>
      </c>
      <c r="O714" s="737"/>
      <c r="P714" s="737">
        <v>1001</v>
      </c>
      <c r="Q714" s="737">
        <v>951</v>
      </c>
      <c r="R714" s="737"/>
      <c r="S714" s="737"/>
      <c r="T714" s="737"/>
      <c r="U714" s="738"/>
      <c r="V714" s="739">
        <v>419</v>
      </c>
      <c r="W714" s="737"/>
      <c r="X714" s="737">
        <v>1001</v>
      </c>
      <c r="Y714" s="737">
        <v>902</v>
      </c>
      <c r="Z714" s="1202"/>
      <c r="AA714" s="740"/>
      <c r="AB714" s="739"/>
      <c r="AC714" s="741"/>
      <c r="AD714" s="741">
        <v>272</v>
      </c>
      <c r="AE714" s="741">
        <v>451</v>
      </c>
      <c r="AF714" s="741"/>
      <c r="AG714" s="741">
        <v>95</v>
      </c>
      <c r="AH714" s="741">
        <v>860</v>
      </c>
      <c r="AI714" s="741">
        <v>294</v>
      </c>
      <c r="AJ714" s="741">
        <v>88</v>
      </c>
      <c r="AK714" s="741"/>
      <c r="AL714" s="741"/>
      <c r="AM714" s="742">
        <v>2510</v>
      </c>
      <c r="AN714" s="743">
        <f t="shared" si="30"/>
        <v>1.0757081545064378</v>
      </c>
      <c r="AO714" s="744">
        <f t="shared" si="31"/>
        <v>1.0808970099667774</v>
      </c>
      <c r="AP714" s="745">
        <f>'09월 에너지'!S716</f>
        <v>144.6</v>
      </c>
    </row>
    <row r="715" spans="1:42" ht="16.5" customHeight="1">
      <c r="A715" s="999">
        <f>'09월 조업일지'!A715</f>
        <v>46291</v>
      </c>
      <c r="B715" s="1100">
        <f>'09월 조업일지'!B715</f>
        <v>46291</v>
      </c>
      <c r="C715" s="730">
        <f>'09월 조업일지'!G715</f>
        <v>85917</v>
      </c>
      <c r="D715" s="731" t="str">
        <f>'09월 조업일지'!E715</f>
        <v>D</v>
      </c>
      <c r="E715" s="732" t="str">
        <f>'09월 조업일지'!F715</f>
        <v>B</v>
      </c>
      <c r="F715" s="1096" t="str">
        <f>'09월 에너지'!F717</f>
        <v>SHN275(BB)</v>
      </c>
      <c r="G715" s="733">
        <v>7</v>
      </c>
      <c r="H715" s="734">
        <v>21</v>
      </c>
      <c r="I715" s="734">
        <v>53</v>
      </c>
      <c r="J715" s="734">
        <v>15</v>
      </c>
      <c r="K715" s="735">
        <v>32</v>
      </c>
      <c r="L715" s="734">
        <v>15</v>
      </c>
      <c r="M715" s="736">
        <v>11</v>
      </c>
      <c r="N715" s="737">
        <v>424</v>
      </c>
      <c r="O715" s="737"/>
      <c r="P715" s="737">
        <v>1000</v>
      </c>
      <c r="Q715" s="737">
        <v>951</v>
      </c>
      <c r="R715" s="737"/>
      <c r="S715" s="737"/>
      <c r="T715" s="737"/>
      <c r="U715" s="738"/>
      <c r="V715" s="739">
        <v>413</v>
      </c>
      <c r="W715" s="737"/>
      <c r="X715" s="737">
        <v>1002</v>
      </c>
      <c r="Y715" s="737">
        <v>234</v>
      </c>
      <c r="Z715" s="1202"/>
      <c r="AA715" s="740"/>
      <c r="AB715" s="739"/>
      <c r="AC715" s="741"/>
      <c r="AD715" s="741">
        <v>272</v>
      </c>
      <c r="AE715" s="741">
        <v>451</v>
      </c>
      <c r="AF715" s="741"/>
      <c r="AG715" s="741">
        <v>95</v>
      </c>
      <c r="AH715" s="741">
        <v>861</v>
      </c>
      <c r="AI715" s="741">
        <v>308</v>
      </c>
      <c r="AJ715" s="741">
        <v>93</v>
      </c>
      <c r="AK715" s="741"/>
      <c r="AL715" s="741"/>
      <c r="AM715" s="742">
        <v>1628</v>
      </c>
      <c r="AN715" s="743">
        <f t="shared" si="30"/>
        <v>0.83556851311953362</v>
      </c>
      <c r="AO715" s="744">
        <f t="shared" si="31"/>
        <v>0.90350091256014609</v>
      </c>
      <c r="AP715" s="745">
        <f>'09월 에너지'!S717</f>
        <v>143.30000000000001</v>
      </c>
    </row>
    <row r="716" spans="1:42" ht="16.5" customHeight="1">
      <c r="A716" s="999">
        <f>'09월 조업일지'!A716</f>
        <v>46291</v>
      </c>
      <c r="B716" s="1100">
        <f>'09월 조업일지'!B716</f>
        <v>46291</v>
      </c>
      <c r="C716" s="730">
        <f>'09월 조업일지'!G716</f>
        <v>85918</v>
      </c>
      <c r="D716" s="731" t="str">
        <f>'09월 조업일지'!E716</f>
        <v>D</v>
      </c>
      <c r="E716" s="732" t="str">
        <f>'09월 조업일지'!F716</f>
        <v>A</v>
      </c>
      <c r="F716" s="1096" t="str">
        <f>'09월 에너지'!F718</f>
        <v>SHN275(BB)</v>
      </c>
      <c r="G716" s="733">
        <v>9</v>
      </c>
      <c r="H716" s="734">
        <v>23</v>
      </c>
      <c r="I716" s="734">
        <v>58</v>
      </c>
      <c r="J716" s="734">
        <v>13</v>
      </c>
      <c r="K716" s="735">
        <v>28</v>
      </c>
      <c r="L716" s="734">
        <v>15</v>
      </c>
      <c r="M716" s="736">
        <v>11</v>
      </c>
      <c r="N716" s="737">
        <v>413</v>
      </c>
      <c r="O716" s="737"/>
      <c r="P716" s="737">
        <v>1001</v>
      </c>
      <c r="Q716" s="737">
        <v>952</v>
      </c>
      <c r="R716" s="737"/>
      <c r="S716" s="737"/>
      <c r="T716" s="737">
        <v>0</v>
      </c>
      <c r="U716" s="738"/>
      <c r="V716" s="739">
        <v>412</v>
      </c>
      <c r="W716" s="737"/>
      <c r="X716" s="737">
        <v>1002</v>
      </c>
      <c r="Y716" s="737">
        <v>906</v>
      </c>
      <c r="Z716" s="1202">
        <v>0</v>
      </c>
      <c r="AA716" s="740"/>
      <c r="AB716" s="739">
        <v>0</v>
      </c>
      <c r="AC716" s="741"/>
      <c r="AD716" s="741">
        <v>271</v>
      </c>
      <c r="AE716" s="741">
        <v>451</v>
      </c>
      <c r="AF716" s="741">
        <v>0</v>
      </c>
      <c r="AG716" s="741">
        <v>95</v>
      </c>
      <c r="AH716" s="741">
        <v>855</v>
      </c>
      <c r="AI716" s="741">
        <v>293</v>
      </c>
      <c r="AJ716" s="741">
        <v>93</v>
      </c>
      <c r="AK716" s="741">
        <v>0</v>
      </c>
      <c r="AL716" s="741">
        <v>0</v>
      </c>
      <c r="AM716" s="742">
        <v>2247</v>
      </c>
      <c r="AN716" s="743">
        <f t="shared" si="30"/>
        <v>0.93387931034482763</v>
      </c>
      <c r="AO716" s="744">
        <f t="shared" si="31"/>
        <v>1.0151879699248121</v>
      </c>
      <c r="AP716" s="745">
        <f>'09월 에너지'!S718</f>
        <v>141.30000000000001</v>
      </c>
    </row>
    <row r="717" spans="1:42" ht="16.5" customHeight="1">
      <c r="A717" s="999">
        <f>'09월 조업일지'!A717</f>
        <v>46291</v>
      </c>
      <c r="B717" s="1100">
        <f>'09월 조업일지'!B717</f>
        <v>46291</v>
      </c>
      <c r="C717" s="730">
        <f>'09월 조업일지'!G717</f>
        <v>85919</v>
      </c>
      <c r="D717" s="731" t="str">
        <f>'09월 조업일지'!E717</f>
        <v>A</v>
      </c>
      <c r="E717" s="732" t="str">
        <f>'09월 조업일지'!F717</f>
        <v>B</v>
      </c>
      <c r="F717" s="1231" t="str">
        <f>'09월 에너지'!F719</f>
        <v>SS400-02</v>
      </c>
      <c r="G717" s="733">
        <v>9</v>
      </c>
      <c r="H717" s="734">
        <v>23</v>
      </c>
      <c r="I717" s="734">
        <v>60</v>
      </c>
      <c r="J717" s="734">
        <v>18</v>
      </c>
      <c r="K717" s="735">
        <v>34</v>
      </c>
      <c r="L717" s="734">
        <v>13</v>
      </c>
      <c r="M717" s="736">
        <v>9</v>
      </c>
      <c r="N717" s="737">
        <v>425</v>
      </c>
      <c r="O717" s="737"/>
      <c r="P717" s="737">
        <v>1001</v>
      </c>
      <c r="Q717" s="737">
        <v>953</v>
      </c>
      <c r="R717" s="737"/>
      <c r="S717" s="737"/>
      <c r="T717" s="737">
        <v>69</v>
      </c>
      <c r="U717" s="738"/>
      <c r="V717" s="739">
        <v>417</v>
      </c>
      <c r="W717" s="737"/>
      <c r="X717" s="737">
        <v>1001</v>
      </c>
      <c r="Y717" s="737">
        <v>901</v>
      </c>
      <c r="Z717" s="1202">
        <v>69</v>
      </c>
      <c r="AA717" s="740"/>
      <c r="AB717" s="739">
        <v>0</v>
      </c>
      <c r="AC717" s="741"/>
      <c r="AD717" s="741">
        <v>271</v>
      </c>
      <c r="AE717" s="741">
        <v>331</v>
      </c>
      <c r="AF717" s="741">
        <v>0</v>
      </c>
      <c r="AG717" s="741">
        <v>110</v>
      </c>
      <c r="AH717" s="741">
        <v>801</v>
      </c>
      <c r="AI717" s="741">
        <v>330</v>
      </c>
      <c r="AJ717" s="741">
        <v>78</v>
      </c>
      <c r="AK717" s="741">
        <v>0</v>
      </c>
      <c r="AL717" s="741">
        <v>125</v>
      </c>
      <c r="AM717" s="742">
        <v>2898</v>
      </c>
      <c r="AN717" s="743">
        <f t="shared" ref="AN717:AN780" si="32">IF(ISBLANK(AH717),"",AP717*1000*H717/10000/(AH717*15%+AI717*75%+AK717*60%))</f>
        <v>0.89209846321229436</v>
      </c>
      <c r="AO717" s="744">
        <f t="shared" ref="AO717:AO780" si="33">IF(ISBLANK(AH717),"",AP717*1000*(I717-15)/10000/(AH717*70%))</f>
        <v>1.1444622792937402</v>
      </c>
      <c r="AP717" s="745">
        <f>'09월 에너지'!S719</f>
        <v>142.6</v>
      </c>
    </row>
    <row r="718" spans="1:42" ht="16.5" customHeight="1">
      <c r="A718" s="999">
        <f>'09월 조업일지'!A718</f>
        <v>46291</v>
      </c>
      <c r="B718" s="1100">
        <f>'09월 조업일지'!B718</f>
        <v>46291</v>
      </c>
      <c r="C718" s="730">
        <f>'09월 조업일지'!G718</f>
        <v>85920</v>
      </c>
      <c r="D718" s="731" t="str">
        <f>'09월 조업일지'!E718</f>
        <v>A</v>
      </c>
      <c r="E718" s="732" t="str">
        <f>'09월 조업일지'!F718</f>
        <v>A</v>
      </c>
      <c r="F718" s="1096" t="str">
        <f>'09월 에너지'!F720</f>
        <v>SS400-02</v>
      </c>
      <c r="G718" s="733">
        <v>8</v>
      </c>
      <c r="H718" s="734">
        <v>20</v>
      </c>
      <c r="I718" s="734">
        <v>54</v>
      </c>
      <c r="J718" s="734">
        <v>13</v>
      </c>
      <c r="K718" s="735">
        <v>28</v>
      </c>
      <c r="L718" s="734">
        <v>14</v>
      </c>
      <c r="M718" s="736">
        <v>10</v>
      </c>
      <c r="N718" s="737">
        <v>415</v>
      </c>
      <c r="O718" s="737"/>
      <c r="P718" s="737">
        <v>1002</v>
      </c>
      <c r="Q718" s="737">
        <v>951</v>
      </c>
      <c r="R718" s="737"/>
      <c r="S718" s="737"/>
      <c r="T718" s="737">
        <v>73</v>
      </c>
      <c r="U718" s="738"/>
      <c r="V718" s="739">
        <v>423</v>
      </c>
      <c r="W718" s="737"/>
      <c r="X718" s="737">
        <v>1001</v>
      </c>
      <c r="Y718" s="737">
        <v>903</v>
      </c>
      <c r="Z718" s="1202">
        <v>71</v>
      </c>
      <c r="AA718" s="740"/>
      <c r="AB718" s="739">
        <v>0</v>
      </c>
      <c r="AC718" s="741"/>
      <c r="AD718" s="741">
        <v>270</v>
      </c>
      <c r="AE718" s="741">
        <v>330</v>
      </c>
      <c r="AF718" s="741">
        <v>0</v>
      </c>
      <c r="AG718" s="741">
        <v>110</v>
      </c>
      <c r="AH718" s="741">
        <v>803</v>
      </c>
      <c r="AI718" s="741">
        <v>325</v>
      </c>
      <c r="AJ718" s="741">
        <v>79</v>
      </c>
      <c r="AK718" s="741">
        <v>0</v>
      </c>
      <c r="AL718" s="741">
        <v>122</v>
      </c>
      <c r="AM718" s="742">
        <v>2534</v>
      </c>
      <c r="AN718" s="743">
        <f t="shared" si="32"/>
        <v>0.7874794069192752</v>
      </c>
      <c r="AO718" s="744">
        <f t="shared" si="33"/>
        <v>0.99494751823518957</v>
      </c>
      <c r="AP718" s="745">
        <f>'09월 에너지'!S720</f>
        <v>143.4</v>
      </c>
    </row>
    <row r="719" spans="1:42" ht="16.5" customHeight="1">
      <c r="A719" s="999">
        <f>'09월 조업일지'!A719</f>
        <v>46291</v>
      </c>
      <c r="B719" s="1100">
        <f>'09월 조업일지'!B719</f>
        <v>46291</v>
      </c>
      <c r="C719" s="730">
        <f>'09월 조업일지'!G719</f>
        <v>85921</v>
      </c>
      <c r="D719" s="731" t="str">
        <f>'09월 조업일지'!E719</f>
        <v>A</v>
      </c>
      <c r="E719" s="732" t="str">
        <f>'09월 조업일지'!F719</f>
        <v>B</v>
      </c>
      <c r="F719" s="1096" t="str">
        <f>'09월 에너지'!F721</f>
        <v>SS400-02</v>
      </c>
      <c r="G719" s="733">
        <v>9</v>
      </c>
      <c r="H719" s="734">
        <v>22</v>
      </c>
      <c r="I719" s="734">
        <v>64</v>
      </c>
      <c r="J719" s="734">
        <v>18</v>
      </c>
      <c r="K719" s="735">
        <v>39</v>
      </c>
      <c r="L719" s="734">
        <v>15</v>
      </c>
      <c r="M719" s="736">
        <v>9</v>
      </c>
      <c r="N719" s="737">
        <v>423</v>
      </c>
      <c r="O719" s="737"/>
      <c r="P719" s="737">
        <v>1001</v>
      </c>
      <c r="Q719" s="737">
        <v>952</v>
      </c>
      <c r="R719" s="737"/>
      <c r="S719" s="737"/>
      <c r="T719" s="737">
        <v>61</v>
      </c>
      <c r="U719" s="738"/>
      <c r="V719" s="739">
        <v>417</v>
      </c>
      <c r="W719" s="737"/>
      <c r="X719" s="737">
        <v>1002</v>
      </c>
      <c r="Y719" s="737">
        <v>903</v>
      </c>
      <c r="Z719" s="1202">
        <v>70</v>
      </c>
      <c r="AA719" s="740"/>
      <c r="AB719" s="739">
        <v>0</v>
      </c>
      <c r="AC719" s="741"/>
      <c r="AD719" s="741">
        <v>270</v>
      </c>
      <c r="AE719" s="741">
        <v>331</v>
      </c>
      <c r="AF719" s="741">
        <v>0</v>
      </c>
      <c r="AG719" s="741">
        <v>110</v>
      </c>
      <c r="AH719" s="741">
        <v>800</v>
      </c>
      <c r="AI719" s="741">
        <v>324</v>
      </c>
      <c r="AJ719" s="741">
        <v>82</v>
      </c>
      <c r="AK719" s="741">
        <v>0</v>
      </c>
      <c r="AL719" s="741">
        <v>134</v>
      </c>
      <c r="AM719" s="742">
        <v>1912</v>
      </c>
      <c r="AN719" s="743">
        <f t="shared" si="32"/>
        <v>0.86969696969696964</v>
      </c>
      <c r="AO719" s="744">
        <f t="shared" si="33"/>
        <v>1.255625</v>
      </c>
      <c r="AP719" s="745">
        <f>'09월 에너지'!S721</f>
        <v>143.5</v>
      </c>
    </row>
    <row r="720" spans="1:42" ht="16.5" customHeight="1">
      <c r="A720" s="999">
        <f>'09월 조업일지'!A720</f>
        <v>46291</v>
      </c>
      <c r="B720" s="1100">
        <f>'09월 조업일지'!B720</f>
        <v>46291</v>
      </c>
      <c r="C720" s="730">
        <f>'09월 조업일지'!G720</f>
        <v>85922</v>
      </c>
      <c r="D720" s="731" t="str">
        <f>'09월 조업일지'!E720</f>
        <v>A</v>
      </c>
      <c r="E720" s="732" t="str">
        <f>'09월 조업일지'!F720</f>
        <v>A</v>
      </c>
      <c r="F720" s="1096" t="str">
        <f>'09월 에너지'!F722</f>
        <v>SS400-02</v>
      </c>
      <c r="G720" s="733">
        <v>10</v>
      </c>
      <c r="H720" s="734">
        <v>22</v>
      </c>
      <c r="I720" s="734">
        <v>56</v>
      </c>
      <c r="J720" s="734">
        <v>15</v>
      </c>
      <c r="K720" s="735">
        <v>31</v>
      </c>
      <c r="L720" s="734">
        <v>14</v>
      </c>
      <c r="M720" s="736">
        <v>9</v>
      </c>
      <c r="N720" s="737">
        <v>414</v>
      </c>
      <c r="O720" s="737"/>
      <c r="P720" s="737">
        <v>1002</v>
      </c>
      <c r="Q720" s="737">
        <v>956</v>
      </c>
      <c r="R720" s="737"/>
      <c r="S720" s="737"/>
      <c r="T720" s="737">
        <v>71</v>
      </c>
      <c r="U720" s="738"/>
      <c r="V720" s="739">
        <v>421</v>
      </c>
      <c r="W720" s="737"/>
      <c r="X720" s="737">
        <v>1001</v>
      </c>
      <c r="Y720" s="737">
        <v>905</v>
      </c>
      <c r="Z720" s="1202">
        <v>71</v>
      </c>
      <c r="AA720" s="740"/>
      <c r="AB720" s="739">
        <v>0</v>
      </c>
      <c r="AC720" s="741"/>
      <c r="AD720" s="741">
        <v>271</v>
      </c>
      <c r="AE720" s="741">
        <v>330</v>
      </c>
      <c r="AF720" s="741">
        <v>0</v>
      </c>
      <c r="AG720" s="741">
        <v>110</v>
      </c>
      <c r="AH720" s="741">
        <v>799</v>
      </c>
      <c r="AI720" s="741">
        <v>330</v>
      </c>
      <c r="AJ720" s="741">
        <v>77</v>
      </c>
      <c r="AK720" s="741">
        <v>0</v>
      </c>
      <c r="AL720" s="741">
        <v>125</v>
      </c>
      <c r="AM720" s="742">
        <v>2621</v>
      </c>
      <c r="AN720" s="743">
        <f t="shared" si="32"/>
        <v>0.8653872328841703</v>
      </c>
      <c r="AO720" s="744">
        <f t="shared" si="33"/>
        <v>1.0592705167173253</v>
      </c>
      <c r="AP720" s="745">
        <f>'09월 에너지'!S722</f>
        <v>144.5</v>
      </c>
    </row>
    <row r="721" spans="1:42" ht="16.5" customHeight="1">
      <c r="A721" s="999">
        <f>'09월 조업일지'!A721</f>
        <v>46291</v>
      </c>
      <c r="B721" s="1100">
        <f>'09월 조업일지'!B721</f>
        <v>46291</v>
      </c>
      <c r="C721" s="730">
        <f>'09월 조업일지'!G721</f>
        <v>85923</v>
      </c>
      <c r="D721" s="731" t="str">
        <f>'09월 조업일지'!E721</f>
        <v>A</v>
      </c>
      <c r="E721" s="732" t="str">
        <f>'09월 조업일지'!F721</f>
        <v>B</v>
      </c>
      <c r="F721" s="1096" t="str">
        <f>'09월 에너지'!F723</f>
        <v>SS400-02</v>
      </c>
      <c r="G721" s="733">
        <v>10</v>
      </c>
      <c r="H721" s="734">
        <v>25</v>
      </c>
      <c r="I721" s="734">
        <v>64</v>
      </c>
      <c r="J721" s="734">
        <v>19</v>
      </c>
      <c r="K721" s="735">
        <v>35</v>
      </c>
      <c r="L721" s="734">
        <v>15</v>
      </c>
      <c r="M721" s="736">
        <v>13</v>
      </c>
      <c r="N721" s="737">
        <v>422</v>
      </c>
      <c r="O721" s="737"/>
      <c r="P721" s="737">
        <v>1002</v>
      </c>
      <c r="Q721" s="737">
        <v>953</v>
      </c>
      <c r="R721" s="737"/>
      <c r="S721" s="737"/>
      <c r="T721" s="737">
        <v>66</v>
      </c>
      <c r="U721" s="738"/>
      <c r="V721" s="739">
        <v>415</v>
      </c>
      <c r="W721" s="737"/>
      <c r="X721" s="737">
        <v>1002</v>
      </c>
      <c r="Y721" s="737">
        <v>904</v>
      </c>
      <c r="Z721" s="1202">
        <v>64</v>
      </c>
      <c r="AA721" s="740"/>
      <c r="AB721" s="739">
        <v>0</v>
      </c>
      <c r="AC721" s="741"/>
      <c r="AD721" s="741">
        <v>271</v>
      </c>
      <c r="AE721" s="741">
        <v>330</v>
      </c>
      <c r="AF721" s="741">
        <v>0</v>
      </c>
      <c r="AG721" s="741">
        <v>111</v>
      </c>
      <c r="AH721" s="741">
        <v>809</v>
      </c>
      <c r="AI721" s="741">
        <v>335</v>
      </c>
      <c r="AJ721" s="741">
        <v>81</v>
      </c>
      <c r="AK721" s="741">
        <v>0</v>
      </c>
      <c r="AL721" s="741">
        <v>126</v>
      </c>
      <c r="AM721" s="742">
        <v>2000</v>
      </c>
      <c r="AN721" s="743">
        <f t="shared" si="32"/>
        <v>0.94068706387546963</v>
      </c>
      <c r="AO721" s="744">
        <f t="shared" si="33"/>
        <v>1.2131025957972807</v>
      </c>
      <c r="AP721" s="745">
        <f>'09월 에너지'!S723</f>
        <v>140.19999999999999</v>
      </c>
    </row>
    <row r="722" spans="1:42" ht="16.5" customHeight="1">
      <c r="A722" s="999">
        <f>'09월 조업일지'!A722</f>
        <v>46291</v>
      </c>
      <c r="B722" s="1100">
        <f>'09월 조업일지'!B722</f>
        <v>46291</v>
      </c>
      <c r="C722" s="730">
        <f>'09월 조업일지'!G722</f>
        <v>85924</v>
      </c>
      <c r="D722" s="731" t="str">
        <f>'09월 조업일지'!E722</f>
        <v>A</v>
      </c>
      <c r="E722" s="732" t="str">
        <f>'09월 조업일지'!F722</f>
        <v>A</v>
      </c>
      <c r="F722" s="1096" t="str">
        <f>'09월 에너지'!F724</f>
        <v>SS400-02</v>
      </c>
      <c r="G722" s="733">
        <v>10</v>
      </c>
      <c r="H722" s="734">
        <v>23</v>
      </c>
      <c r="I722" s="734">
        <v>55</v>
      </c>
      <c r="J722" s="734">
        <v>13</v>
      </c>
      <c r="K722" s="735">
        <v>30</v>
      </c>
      <c r="L722" s="734">
        <v>13</v>
      </c>
      <c r="M722" s="736">
        <v>9</v>
      </c>
      <c r="N722" s="737">
        <v>417</v>
      </c>
      <c r="O722" s="737"/>
      <c r="P722" s="737">
        <v>1002</v>
      </c>
      <c r="Q722" s="737">
        <v>952</v>
      </c>
      <c r="R722" s="737"/>
      <c r="S722" s="737"/>
      <c r="T722" s="737">
        <v>61</v>
      </c>
      <c r="U722" s="738"/>
      <c r="V722" s="739">
        <v>415</v>
      </c>
      <c r="W722" s="737"/>
      <c r="X722" s="737">
        <v>1002</v>
      </c>
      <c r="Y722" s="737">
        <v>902</v>
      </c>
      <c r="Z722" s="1202">
        <v>63</v>
      </c>
      <c r="AA722" s="740"/>
      <c r="AB722" s="739">
        <v>0</v>
      </c>
      <c r="AC722" s="741"/>
      <c r="AD722" s="741">
        <v>272</v>
      </c>
      <c r="AE722" s="741">
        <v>330</v>
      </c>
      <c r="AF722" s="741">
        <v>0</v>
      </c>
      <c r="AG722" s="741">
        <v>110</v>
      </c>
      <c r="AH722" s="741">
        <v>806</v>
      </c>
      <c r="AI722" s="741">
        <v>333</v>
      </c>
      <c r="AJ722" s="741">
        <v>79</v>
      </c>
      <c r="AK722" s="741">
        <v>0</v>
      </c>
      <c r="AL722" s="741">
        <v>141</v>
      </c>
      <c r="AM722" s="742">
        <v>2505</v>
      </c>
      <c r="AN722" s="743">
        <f t="shared" si="32"/>
        <v>0.89542695265074868</v>
      </c>
      <c r="AO722" s="744">
        <f t="shared" si="33"/>
        <v>1.0230414746543781</v>
      </c>
      <c r="AP722" s="745">
        <f>'09월 에너지'!S724</f>
        <v>144.30000000000001</v>
      </c>
    </row>
    <row r="723" spans="1:42" ht="16.5" customHeight="1">
      <c r="A723" s="999">
        <f>'09월 조업일지'!A723</f>
        <v>46292</v>
      </c>
      <c r="B723" s="1100">
        <f>'09월 조업일지'!B723</f>
        <v>46291</v>
      </c>
      <c r="C723" s="730">
        <f>'09월 조업일지'!G723</f>
        <v>85925</v>
      </c>
      <c r="D723" s="731" t="str">
        <f>'09월 조업일지'!E723</f>
        <v>A</v>
      </c>
      <c r="E723" s="732" t="str">
        <f>'09월 조업일지'!F723</f>
        <v>B</v>
      </c>
      <c r="F723" s="1096" t="str">
        <f>'09월 에너지'!F725</f>
        <v>SS400-02</v>
      </c>
      <c r="G723" s="733">
        <v>9</v>
      </c>
      <c r="H723" s="734">
        <v>25</v>
      </c>
      <c r="I723" s="734">
        <v>68</v>
      </c>
      <c r="J723" s="734">
        <v>21</v>
      </c>
      <c r="K723" s="735">
        <v>43</v>
      </c>
      <c r="L723" s="734">
        <v>18</v>
      </c>
      <c r="M723" s="736">
        <v>12</v>
      </c>
      <c r="N723" s="737">
        <v>411</v>
      </c>
      <c r="O723" s="737"/>
      <c r="P723" s="737">
        <v>1001</v>
      </c>
      <c r="Q723" s="737">
        <v>952</v>
      </c>
      <c r="R723" s="737"/>
      <c r="S723" s="737"/>
      <c r="T723" s="737">
        <v>62</v>
      </c>
      <c r="U723" s="738"/>
      <c r="V723" s="739">
        <v>420</v>
      </c>
      <c r="W723" s="737"/>
      <c r="X723" s="737">
        <v>1001</v>
      </c>
      <c r="Y723" s="737">
        <v>906</v>
      </c>
      <c r="Z723" s="1202">
        <v>62</v>
      </c>
      <c r="AA723" s="740"/>
      <c r="AB723" s="739">
        <v>0</v>
      </c>
      <c r="AC723" s="741"/>
      <c r="AD723" s="741">
        <v>272</v>
      </c>
      <c r="AE723" s="741">
        <v>331</v>
      </c>
      <c r="AF723" s="741">
        <v>0</v>
      </c>
      <c r="AG723" s="741">
        <v>110</v>
      </c>
      <c r="AH723" s="741">
        <v>803</v>
      </c>
      <c r="AI723" s="741">
        <v>440</v>
      </c>
      <c r="AJ723" s="741">
        <v>84</v>
      </c>
      <c r="AK723" s="741">
        <v>0</v>
      </c>
      <c r="AL723" s="741">
        <v>129</v>
      </c>
      <c r="AM723" s="742">
        <v>852</v>
      </c>
      <c r="AN723" s="743">
        <f t="shared" si="32"/>
        <v>0.78588078588078591</v>
      </c>
      <c r="AO723" s="744">
        <f t="shared" si="33"/>
        <v>1.3351360967799326</v>
      </c>
      <c r="AP723" s="745">
        <f>'09월 에너지'!S725</f>
        <v>141.6</v>
      </c>
    </row>
    <row r="724" spans="1:42" ht="16.5" customHeight="1">
      <c r="A724" s="999">
        <f>'09월 조업일지'!A724</f>
        <v>46292</v>
      </c>
      <c r="B724" s="1100">
        <f>'09월 조업일지'!B724</f>
        <v>46291</v>
      </c>
      <c r="C724" s="730">
        <f>'09월 조업일지'!G724</f>
        <v>85926</v>
      </c>
      <c r="D724" s="731" t="str">
        <f>'09월 조업일지'!E724</f>
        <v>A</v>
      </c>
      <c r="E724" s="732" t="str">
        <f>'09월 조업일지'!F724</f>
        <v>A</v>
      </c>
      <c r="F724" s="1096" t="str">
        <f>'09월 에너지'!F726</f>
        <v>SS400-02</v>
      </c>
      <c r="G724" s="733">
        <v>8</v>
      </c>
      <c r="H724" s="734">
        <v>15</v>
      </c>
      <c r="I724" s="734">
        <v>57</v>
      </c>
      <c r="J724" s="734">
        <v>14</v>
      </c>
      <c r="K724" s="735">
        <v>36</v>
      </c>
      <c r="L724" s="734">
        <v>11</v>
      </c>
      <c r="M724" s="736">
        <v>9</v>
      </c>
      <c r="N724" s="737">
        <v>422</v>
      </c>
      <c r="O724" s="737"/>
      <c r="P724" s="737">
        <v>1000</v>
      </c>
      <c r="Q724" s="737">
        <v>956</v>
      </c>
      <c r="R724" s="737"/>
      <c r="S724" s="737"/>
      <c r="T724" s="737">
        <v>69</v>
      </c>
      <c r="U724" s="738"/>
      <c r="V724" s="739">
        <v>413</v>
      </c>
      <c r="W724" s="737"/>
      <c r="X724" s="737">
        <v>1001</v>
      </c>
      <c r="Y724" s="737">
        <v>901</v>
      </c>
      <c r="Z724" s="1202">
        <v>76</v>
      </c>
      <c r="AA724" s="740"/>
      <c r="AB724" s="739">
        <v>0</v>
      </c>
      <c r="AC724" s="741"/>
      <c r="AD724" s="741">
        <v>271</v>
      </c>
      <c r="AE724" s="741">
        <v>331</v>
      </c>
      <c r="AF724" s="741">
        <v>0</v>
      </c>
      <c r="AG724" s="741">
        <v>111</v>
      </c>
      <c r="AH724" s="741">
        <v>800</v>
      </c>
      <c r="AI724" s="741">
        <v>330</v>
      </c>
      <c r="AJ724" s="741">
        <v>84</v>
      </c>
      <c r="AK724" s="741">
        <v>0</v>
      </c>
      <c r="AL724" s="741">
        <v>131</v>
      </c>
      <c r="AM724" s="742">
        <v>2479</v>
      </c>
      <c r="AN724" s="743">
        <f t="shared" si="32"/>
        <v>0.58775510204081638</v>
      </c>
      <c r="AO724" s="744">
        <f t="shared" si="33"/>
        <v>1.0799999999999998</v>
      </c>
      <c r="AP724" s="745">
        <f>'09월 에너지'!S726</f>
        <v>144</v>
      </c>
    </row>
    <row r="725" spans="1:42" ht="16.5" customHeight="1">
      <c r="A725" s="999">
        <f>'09월 조업일지'!A725</f>
        <v>46292</v>
      </c>
      <c r="B725" s="1100">
        <f>'09월 조업일지'!B725</f>
        <v>46291</v>
      </c>
      <c r="C725" s="730">
        <f>'09월 조업일지'!G725</f>
        <v>85927</v>
      </c>
      <c r="D725" s="731" t="str">
        <f>'09월 조업일지'!E725</f>
        <v>A</v>
      </c>
      <c r="E725" s="732" t="str">
        <f>'09월 조업일지'!F725</f>
        <v>B</v>
      </c>
      <c r="F725" s="1231" t="str">
        <f>'09월 에너지'!F727</f>
        <v>SY300</v>
      </c>
      <c r="G725" s="733">
        <v>11</v>
      </c>
      <c r="H725" s="734">
        <v>31</v>
      </c>
      <c r="I725" s="734">
        <v>111</v>
      </c>
      <c r="J725" s="734">
        <v>19</v>
      </c>
      <c r="K725" s="735">
        <v>33</v>
      </c>
      <c r="L725" s="734">
        <v>17</v>
      </c>
      <c r="M725" s="736">
        <v>8</v>
      </c>
      <c r="N725" s="737">
        <v>421</v>
      </c>
      <c r="O725" s="737"/>
      <c r="P725" s="737">
        <v>1002</v>
      </c>
      <c r="Q725" s="737">
        <v>951</v>
      </c>
      <c r="R725" s="737"/>
      <c r="S725" s="737"/>
      <c r="T725" s="737">
        <v>0</v>
      </c>
      <c r="U725" s="738"/>
      <c r="V725" s="739">
        <v>417</v>
      </c>
      <c r="W725" s="737"/>
      <c r="X725" s="737">
        <v>1003</v>
      </c>
      <c r="Y725" s="737">
        <v>902</v>
      </c>
      <c r="Z725" s="1202">
        <v>0</v>
      </c>
      <c r="AA725" s="740"/>
      <c r="AB725" s="739">
        <v>0</v>
      </c>
      <c r="AC725" s="741"/>
      <c r="AD725" s="741">
        <v>280</v>
      </c>
      <c r="AE725" s="741">
        <v>351</v>
      </c>
      <c r="AF725" s="741">
        <v>0</v>
      </c>
      <c r="AG725" s="741">
        <v>95</v>
      </c>
      <c r="AH725" s="741">
        <v>1808</v>
      </c>
      <c r="AI725" s="741">
        <v>249</v>
      </c>
      <c r="AJ725" s="741">
        <v>79</v>
      </c>
      <c r="AK725" s="741">
        <v>0</v>
      </c>
      <c r="AL725" s="741">
        <v>123</v>
      </c>
      <c r="AM725" s="742">
        <v>1889</v>
      </c>
      <c r="AN725" s="743">
        <f t="shared" si="32"/>
        <v>0.97274811660661653</v>
      </c>
      <c r="AO725" s="744">
        <f t="shared" si="33"/>
        <v>1.0900126422250316</v>
      </c>
      <c r="AP725" s="745">
        <f>'09월 에너지'!S727</f>
        <v>143.69999999999999</v>
      </c>
    </row>
    <row r="726" spans="1:42" ht="16.5" customHeight="1">
      <c r="A726" s="999">
        <f>'09월 조업일지'!A726</f>
        <v>46292</v>
      </c>
      <c r="B726" s="1100">
        <f>'09월 조업일지'!B726</f>
        <v>46291</v>
      </c>
      <c r="C726" s="730">
        <f>'09월 조업일지'!G726</f>
        <v>85928</v>
      </c>
      <c r="D726" s="731" t="str">
        <f>'09월 조업일지'!E726</f>
        <v>A</v>
      </c>
      <c r="E726" s="732" t="str">
        <f>'09월 조업일지'!F726</f>
        <v>A</v>
      </c>
      <c r="F726" s="1096" t="str">
        <f>'09월 에너지'!F728</f>
        <v>SY300</v>
      </c>
      <c r="G726" s="733">
        <v>10</v>
      </c>
      <c r="H726" s="734">
        <v>28</v>
      </c>
      <c r="I726" s="734">
        <v>103</v>
      </c>
      <c r="J726" s="734">
        <v>13</v>
      </c>
      <c r="K726" s="735">
        <v>27</v>
      </c>
      <c r="L726" s="734">
        <v>11</v>
      </c>
      <c r="M726" s="736">
        <v>7</v>
      </c>
      <c r="N726" s="737">
        <v>421</v>
      </c>
      <c r="O726" s="737"/>
      <c r="P726" s="737">
        <v>1000</v>
      </c>
      <c r="Q726" s="737">
        <v>955</v>
      </c>
      <c r="R726" s="737"/>
      <c r="S726" s="737"/>
      <c r="T726" s="737">
        <v>0</v>
      </c>
      <c r="U726" s="738"/>
      <c r="V726" s="739">
        <v>425</v>
      </c>
      <c r="W726" s="737"/>
      <c r="X726" s="737">
        <v>1005</v>
      </c>
      <c r="Y726" s="737">
        <v>912</v>
      </c>
      <c r="Z726" s="1202">
        <v>0</v>
      </c>
      <c r="AA726" s="740"/>
      <c r="AB726" s="739">
        <v>0</v>
      </c>
      <c r="AC726" s="741"/>
      <c r="AD726" s="741">
        <v>282</v>
      </c>
      <c r="AE726" s="741">
        <v>350</v>
      </c>
      <c r="AF726" s="741">
        <v>0</v>
      </c>
      <c r="AG726" s="741">
        <v>95</v>
      </c>
      <c r="AH726" s="741">
        <v>1803</v>
      </c>
      <c r="AI726" s="741">
        <v>245</v>
      </c>
      <c r="AJ726" s="741">
        <v>79</v>
      </c>
      <c r="AK726" s="741">
        <v>0</v>
      </c>
      <c r="AL726" s="741">
        <v>128</v>
      </c>
      <c r="AM726" s="742">
        <v>3991</v>
      </c>
      <c r="AN726" s="743">
        <f t="shared" si="32"/>
        <v>0.87230295024218407</v>
      </c>
      <c r="AO726" s="744">
        <f t="shared" si="33"/>
        <v>0.98660961888915311</v>
      </c>
      <c r="AP726" s="745">
        <f>'09월 에너지'!S728</f>
        <v>141.5</v>
      </c>
    </row>
    <row r="727" spans="1:42" ht="16.5" customHeight="1">
      <c r="A727" s="999">
        <f>'09월 조업일지'!A727</f>
        <v>46292</v>
      </c>
      <c r="B727" s="1100">
        <f>'09월 조업일지'!B727</f>
        <v>46292</v>
      </c>
      <c r="C727" s="730">
        <f>'09월 조업일지'!G727</f>
        <v>85929</v>
      </c>
      <c r="D727" s="731" t="str">
        <f>'09월 조업일지'!E727</f>
        <v>B</v>
      </c>
      <c r="E727" s="732" t="str">
        <f>'09월 조업일지'!F727</f>
        <v>B</v>
      </c>
      <c r="F727" s="1096" t="str">
        <f>'09월 에너지'!F729</f>
        <v>SY300</v>
      </c>
      <c r="G727" s="733">
        <v>8</v>
      </c>
      <c r="H727" s="734">
        <v>25</v>
      </c>
      <c r="I727" s="734">
        <v>100</v>
      </c>
      <c r="J727" s="734">
        <v>16</v>
      </c>
      <c r="K727" s="735">
        <v>34</v>
      </c>
      <c r="L727" s="734">
        <v>15</v>
      </c>
      <c r="M727" s="736">
        <v>12</v>
      </c>
      <c r="N727" s="737">
        <v>417</v>
      </c>
      <c r="O727" s="737"/>
      <c r="P727" s="737">
        <v>1000</v>
      </c>
      <c r="Q727" s="737">
        <v>951</v>
      </c>
      <c r="R727" s="737"/>
      <c r="S727" s="737"/>
      <c r="T727" s="737"/>
      <c r="U727" s="738"/>
      <c r="V727" s="739">
        <v>418</v>
      </c>
      <c r="W727" s="737"/>
      <c r="X727" s="737">
        <v>1000</v>
      </c>
      <c r="Y727" s="737">
        <v>906</v>
      </c>
      <c r="Z727" s="1202"/>
      <c r="AA727" s="740"/>
      <c r="AB727" s="739"/>
      <c r="AC727" s="741"/>
      <c r="AD727" s="741">
        <v>280</v>
      </c>
      <c r="AE727" s="741">
        <v>351</v>
      </c>
      <c r="AF727" s="741"/>
      <c r="AG727" s="741">
        <v>95</v>
      </c>
      <c r="AH727" s="741">
        <v>1802</v>
      </c>
      <c r="AI727" s="741">
        <v>253</v>
      </c>
      <c r="AJ727" s="741">
        <v>89</v>
      </c>
      <c r="AK727" s="741"/>
      <c r="AL727" s="741">
        <v>126</v>
      </c>
      <c r="AM727" s="742">
        <v>1286</v>
      </c>
      <c r="AN727" s="743">
        <f t="shared" si="32"/>
        <v>0.78034996196065642</v>
      </c>
      <c r="AO727" s="744">
        <f t="shared" si="33"/>
        <v>0.96765498652291104</v>
      </c>
      <c r="AP727" s="745">
        <f>'09월 에너지'!S729</f>
        <v>143.6</v>
      </c>
    </row>
    <row r="728" spans="1:42" ht="16.5" customHeight="1">
      <c r="A728" s="999">
        <f>'09월 조업일지'!A728</f>
        <v>46292</v>
      </c>
      <c r="B728" s="1100">
        <f>'09월 조업일지'!B728</f>
        <v>46292</v>
      </c>
      <c r="C728" s="730">
        <f>'09월 조업일지'!G728</f>
        <v>85930</v>
      </c>
      <c r="D728" s="731" t="str">
        <f>'09월 조업일지'!E728</f>
        <v>B</v>
      </c>
      <c r="E728" s="732" t="str">
        <f>'09월 조업일지'!F728</f>
        <v>A</v>
      </c>
      <c r="F728" s="1096" t="str">
        <f>'09월 에너지'!F730</f>
        <v>SY300</v>
      </c>
      <c r="G728" s="733">
        <v>8</v>
      </c>
      <c r="H728" s="734">
        <v>27</v>
      </c>
      <c r="I728" s="734">
        <v>103</v>
      </c>
      <c r="J728" s="734">
        <v>14</v>
      </c>
      <c r="K728" s="735">
        <v>28</v>
      </c>
      <c r="L728" s="734">
        <v>17</v>
      </c>
      <c r="M728" s="736">
        <v>9</v>
      </c>
      <c r="N728" s="737">
        <v>424</v>
      </c>
      <c r="O728" s="737"/>
      <c r="P728" s="737">
        <v>1002</v>
      </c>
      <c r="Q728" s="737">
        <v>955</v>
      </c>
      <c r="R728" s="737"/>
      <c r="S728" s="737"/>
      <c r="T728" s="737"/>
      <c r="U728" s="738"/>
      <c r="V728" s="739">
        <v>418</v>
      </c>
      <c r="W728" s="737"/>
      <c r="X728" s="737">
        <v>1001</v>
      </c>
      <c r="Y728" s="737">
        <v>903</v>
      </c>
      <c r="Z728" s="1202"/>
      <c r="AA728" s="740"/>
      <c r="AB728" s="739"/>
      <c r="AC728" s="741"/>
      <c r="AD728" s="741">
        <v>282</v>
      </c>
      <c r="AE728" s="741">
        <v>351</v>
      </c>
      <c r="AF728" s="741"/>
      <c r="AG728" s="741">
        <v>96</v>
      </c>
      <c r="AH728" s="741">
        <v>1798</v>
      </c>
      <c r="AI728" s="741">
        <v>361</v>
      </c>
      <c r="AJ728" s="741">
        <v>79</v>
      </c>
      <c r="AK728" s="741"/>
      <c r="AL728" s="741">
        <v>121</v>
      </c>
      <c r="AM728" s="742">
        <v>2282</v>
      </c>
      <c r="AN728" s="743">
        <f t="shared" si="32"/>
        <v>0.71740216486261443</v>
      </c>
      <c r="AO728" s="744">
        <f t="shared" si="33"/>
        <v>1.0040362307325601</v>
      </c>
      <c r="AP728" s="745">
        <f>'09월 에너지'!S730</f>
        <v>143.6</v>
      </c>
    </row>
    <row r="729" spans="1:42" ht="16.5" customHeight="1">
      <c r="A729" s="999">
        <f>'09월 조업일지'!A729</f>
        <v>46292</v>
      </c>
      <c r="B729" s="1100">
        <f>'09월 조업일지'!B729</f>
        <v>46292</v>
      </c>
      <c r="C729" s="730">
        <f>'09월 조업일지'!G729</f>
        <v>85931</v>
      </c>
      <c r="D729" s="731" t="str">
        <f>'09월 조업일지'!E729</f>
        <v>B</v>
      </c>
      <c r="E729" s="732" t="str">
        <f>'09월 조업일지'!F729</f>
        <v>B</v>
      </c>
      <c r="F729" s="1096" t="str">
        <f>'09월 에너지'!F731</f>
        <v>SY300</v>
      </c>
      <c r="G729" s="733">
        <v>7</v>
      </c>
      <c r="H729" s="734">
        <v>29</v>
      </c>
      <c r="I729" s="734">
        <v>103</v>
      </c>
      <c r="J729" s="734">
        <v>12</v>
      </c>
      <c r="K729" s="735">
        <v>24</v>
      </c>
      <c r="L729" s="734">
        <v>12</v>
      </c>
      <c r="M729" s="736">
        <v>10</v>
      </c>
      <c r="N729" s="737">
        <v>424</v>
      </c>
      <c r="O729" s="737"/>
      <c r="P729" s="737">
        <v>1002</v>
      </c>
      <c r="Q729" s="737">
        <v>952</v>
      </c>
      <c r="R729" s="737"/>
      <c r="S729" s="737"/>
      <c r="T729" s="737"/>
      <c r="U729" s="738"/>
      <c r="V729" s="739">
        <v>423</v>
      </c>
      <c r="W729" s="737"/>
      <c r="X729" s="737">
        <v>1000</v>
      </c>
      <c r="Y729" s="737">
        <v>904</v>
      </c>
      <c r="Z729" s="1202"/>
      <c r="AA729" s="740"/>
      <c r="AB729" s="739"/>
      <c r="AC729" s="741"/>
      <c r="AD729" s="741">
        <v>281</v>
      </c>
      <c r="AE729" s="741">
        <v>350</v>
      </c>
      <c r="AF729" s="741"/>
      <c r="AG729" s="741">
        <v>95</v>
      </c>
      <c r="AH729" s="741">
        <v>1793</v>
      </c>
      <c r="AI729" s="741">
        <v>252</v>
      </c>
      <c r="AJ729" s="741">
        <v>82</v>
      </c>
      <c r="AK729" s="741"/>
      <c r="AL729" s="741">
        <v>134</v>
      </c>
      <c r="AM729" s="742">
        <v>1317</v>
      </c>
      <c r="AN729" s="743">
        <f t="shared" si="32"/>
        <v>0.88719292499181135</v>
      </c>
      <c r="AO729" s="744">
        <f t="shared" si="33"/>
        <v>0.9822962313759861</v>
      </c>
      <c r="AP729" s="745">
        <f>'09월 에너지'!S731</f>
        <v>140.1</v>
      </c>
    </row>
    <row r="730" spans="1:42" ht="16.5" customHeight="1">
      <c r="A730" s="999">
        <f>'09월 조업일지'!A730</f>
        <v>46292</v>
      </c>
      <c r="B730" s="1100">
        <f>'09월 조업일지'!B730</f>
        <v>46292</v>
      </c>
      <c r="C730" s="730">
        <f>'09월 조업일지'!G730</f>
        <v>85932</v>
      </c>
      <c r="D730" s="731" t="str">
        <f>'09월 조업일지'!E730</f>
        <v>B</v>
      </c>
      <c r="E730" s="732" t="str">
        <f>'09월 조업일지'!F730</f>
        <v>A</v>
      </c>
      <c r="F730" s="1096" t="str">
        <f>'09월 에너지'!F732</f>
        <v>SY300</v>
      </c>
      <c r="G730" s="733">
        <v>9</v>
      </c>
      <c r="H730" s="734">
        <v>24</v>
      </c>
      <c r="I730" s="734">
        <v>106</v>
      </c>
      <c r="J730" s="734">
        <v>14</v>
      </c>
      <c r="K730" s="735">
        <v>33</v>
      </c>
      <c r="L730" s="734">
        <v>19</v>
      </c>
      <c r="M730" s="736">
        <v>9</v>
      </c>
      <c r="N730" s="737">
        <v>426</v>
      </c>
      <c r="O730" s="737"/>
      <c r="P730" s="737">
        <v>1002</v>
      </c>
      <c r="Q730" s="737">
        <v>955</v>
      </c>
      <c r="R730" s="737"/>
      <c r="S730" s="737"/>
      <c r="T730" s="737"/>
      <c r="U730" s="738"/>
      <c r="V730" s="739">
        <v>416</v>
      </c>
      <c r="W730" s="737"/>
      <c r="X730" s="737">
        <v>1001</v>
      </c>
      <c r="Y730" s="737">
        <v>905</v>
      </c>
      <c r="Z730" s="1202"/>
      <c r="AA730" s="740"/>
      <c r="AB730" s="739"/>
      <c r="AC730" s="741"/>
      <c r="AD730" s="741">
        <v>282</v>
      </c>
      <c r="AE730" s="741">
        <v>351</v>
      </c>
      <c r="AF730" s="741"/>
      <c r="AG730" s="741">
        <v>95</v>
      </c>
      <c r="AH730" s="741">
        <v>1797</v>
      </c>
      <c r="AI730" s="741">
        <v>360</v>
      </c>
      <c r="AJ730" s="741">
        <v>79</v>
      </c>
      <c r="AK730" s="741"/>
      <c r="AL730" s="741">
        <v>140</v>
      </c>
      <c r="AM730" s="742">
        <v>1274</v>
      </c>
      <c r="AN730" s="743">
        <f t="shared" si="32"/>
        <v>0.64409229913817068</v>
      </c>
      <c r="AO730" s="744">
        <f t="shared" si="33"/>
        <v>1.0475236505286591</v>
      </c>
      <c r="AP730" s="745">
        <f>'09월 에너지'!S732</f>
        <v>144.80000000000001</v>
      </c>
    </row>
    <row r="731" spans="1:42" ht="16.5" customHeight="1">
      <c r="A731" s="999">
        <f>'09월 조업일지'!A731</f>
        <v>46292</v>
      </c>
      <c r="B731" s="1100">
        <f>'09월 조업일지'!B731</f>
        <v>46292</v>
      </c>
      <c r="C731" s="730">
        <f>'09월 조업일지'!G731</f>
        <v>85933</v>
      </c>
      <c r="D731" s="731" t="str">
        <f>'09월 조업일지'!E731</f>
        <v>B</v>
      </c>
      <c r="E731" s="732" t="str">
        <f>'09월 조업일지'!F731</f>
        <v>B</v>
      </c>
      <c r="F731" s="1096" t="str">
        <f>'09월 에너지'!F733</f>
        <v>SHP275W</v>
      </c>
      <c r="G731" s="733">
        <v>8</v>
      </c>
      <c r="H731" s="734">
        <v>19</v>
      </c>
      <c r="I731" s="734">
        <v>51</v>
      </c>
      <c r="J731" s="734">
        <v>13</v>
      </c>
      <c r="K731" s="735">
        <v>33</v>
      </c>
      <c r="L731" s="734">
        <v>13</v>
      </c>
      <c r="M731" s="736">
        <v>9</v>
      </c>
      <c r="N731" s="737">
        <v>422</v>
      </c>
      <c r="O731" s="737"/>
      <c r="P731" s="737">
        <v>1001</v>
      </c>
      <c r="Q731" s="737">
        <v>951</v>
      </c>
      <c r="R731" s="737"/>
      <c r="S731" s="737"/>
      <c r="T731" s="737"/>
      <c r="U731" s="738"/>
      <c r="V731" s="739">
        <v>418</v>
      </c>
      <c r="W731" s="737"/>
      <c r="X731" s="737">
        <v>1002</v>
      </c>
      <c r="Y731" s="737">
        <v>905</v>
      </c>
      <c r="Z731" s="1202"/>
      <c r="AA731" s="740"/>
      <c r="AB731" s="739"/>
      <c r="AC731" s="741"/>
      <c r="AD731" s="741">
        <v>271</v>
      </c>
      <c r="AE731" s="741">
        <v>331</v>
      </c>
      <c r="AF731" s="741"/>
      <c r="AG731" s="741">
        <v>95</v>
      </c>
      <c r="AH731" s="741">
        <v>802</v>
      </c>
      <c r="AI731" s="741">
        <v>324</v>
      </c>
      <c r="AJ731" s="741">
        <v>80</v>
      </c>
      <c r="AK731" s="741"/>
      <c r="AL731" s="741">
        <v>129</v>
      </c>
      <c r="AM731" s="742">
        <v>1907</v>
      </c>
      <c r="AN731" s="743">
        <f t="shared" si="32"/>
        <v>0.76355628956785015</v>
      </c>
      <c r="AO731" s="744">
        <f t="shared" si="33"/>
        <v>0.93623085144282159</v>
      </c>
      <c r="AP731" s="745">
        <f>'09월 에너지'!S733</f>
        <v>146</v>
      </c>
    </row>
    <row r="732" spans="1:42" ht="16.5" customHeight="1">
      <c r="A732" s="999">
        <f>'09월 조업일지'!A732</f>
        <v>46292</v>
      </c>
      <c r="B732" s="1100">
        <f>'09월 조업일지'!B732</f>
        <v>46292</v>
      </c>
      <c r="C732" s="730">
        <f>'09월 조업일지'!G732</f>
        <v>85934</v>
      </c>
      <c r="D732" s="731" t="str">
        <f>'09월 조업일지'!E732</f>
        <v>B</v>
      </c>
      <c r="E732" s="732" t="str">
        <f>'09월 조업일지'!F732</f>
        <v>A</v>
      </c>
      <c r="F732" s="1096" t="str">
        <f>'09월 에너지'!F734</f>
        <v>SHP275W</v>
      </c>
      <c r="G732" s="733">
        <v>7</v>
      </c>
      <c r="H732" s="734">
        <v>22</v>
      </c>
      <c r="I732" s="734">
        <v>56</v>
      </c>
      <c r="J732" s="734">
        <v>13</v>
      </c>
      <c r="K732" s="735">
        <v>31</v>
      </c>
      <c r="L732" s="734">
        <v>18</v>
      </c>
      <c r="M732" s="736">
        <v>8</v>
      </c>
      <c r="N732" s="737">
        <v>419</v>
      </c>
      <c r="O732" s="737"/>
      <c r="P732" s="737">
        <v>1001</v>
      </c>
      <c r="Q732" s="737">
        <v>955</v>
      </c>
      <c r="R732" s="737"/>
      <c r="S732" s="737"/>
      <c r="T732" s="737"/>
      <c r="U732" s="738"/>
      <c r="V732" s="739">
        <v>414</v>
      </c>
      <c r="W732" s="737"/>
      <c r="X732" s="737">
        <v>1002</v>
      </c>
      <c r="Y732" s="737">
        <v>903</v>
      </c>
      <c r="Z732" s="1202"/>
      <c r="AA732" s="740"/>
      <c r="AB732" s="739"/>
      <c r="AC732" s="741"/>
      <c r="AD732" s="741">
        <v>273</v>
      </c>
      <c r="AE732" s="741">
        <v>330</v>
      </c>
      <c r="AF732" s="741"/>
      <c r="AG732" s="741">
        <v>95</v>
      </c>
      <c r="AH732" s="741">
        <v>794</v>
      </c>
      <c r="AI732" s="741">
        <v>312</v>
      </c>
      <c r="AJ732" s="741">
        <v>88</v>
      </c>
      <c r="AK732" s="741"/>
      <c r="AL732" s="741">
        <v>121</v>
      </c>
      <c r="AM732" s="742">
        <v>1848</v>
      </c>
      <c r="AN732" s="743">
        <f t="shared" si="32"/>
        <v>0.88971962616822431</v>
      </c>
      <c r="AO732" s="744">
        <f t="shared" si="33"/>
        <v>1.0534005037783376</v>
      </c>
      <c r="AP732" s="745">
        <f>'09월 에너지'!S734</f>
        <v>142.80000000000001</v>
      </c>
    </row>
    <row r="733" spans="1:42" ht="16.5" customHeight="1">
      <c r="A733" s="999">
        <f>'09월 조업일지'!A733</f>
        <v>46292</v>
      </c>
      <c r="B733" s="1100">
        <f>'09월 조업일지'!B733</f>
        <v>46292</v>
      </c>
      <c r="C733" s="730">
        <f>'09월 조업일지'!G733</f>
        <v>85935</v>
      </c>
      <c r="D733" s="731" t="str">
        <f>'09월 조업일지'!E733</f>
        <v>B</v>
      </c>
      <c r="E733" s="732" t="str">
        <f>'09월 조업일지'!F733</f>
        <v>B</v>
      </c>
      <c r="F733" s="1096" t="str">
        <f>'09월 에너지'!F735</f>
        <v>SHP275(BB)</v>
      </c>
      <c r="G733" s="733">
        <v>9</v>
      </c>
      <c r="H733" s="734">
        <v>23</v>
      </c>
      <c r="I733" s="734">
        <v>59</v>
      </c>
      <c r="J733" s="734">
        <v>15</v>
      </c>
      <c r="K733" s="735">
        <v>31</v>
      </c>
      <c r="L733" s="734">
        <v>13</v>
      </c>
      <c r="M733" s="736">
        <v>16</v>
      </c>
      <c r="N733" s="737">
        <v>422</v>
      </c>
      <c r="O733" s="737"/>
      <c r="P733" s="737">
        <v>1002</v>
      </c>
      <c r="Q733" s="737">
        <v>958</v>
      </c>
      <c r="R733" s="737"/>
      <c r="S733" s="737"/>
      <c r="T733" s="737"/>
      <c r="U733" s="738"/>
      <c r="V733" s="739">
        <v>424</v>
      </c>
      <c r="W733" s="737"/>
      <c r="X733" s="737">
        <v>1002</v>
      </c>
      <c r="Y733" s="737">
        <v>903</v>
      </c>
      <c r="Z733" s="1202"/>
      <c r="AA733" s="740"/>
      <c r="AB733" s="739"/>
      <c r="AC733" s="741"/>
      <c r="AD733" s="741">
        <v>271</v>
      </c>
      <c r="AE733" s="741">
        <v>451</v>
      </c>
      <c r="AF733" s="741"/>
      <c r="AG733" s="741">
        <v>95</v>
      </c>
      <c r="AH733" s="741">
        <v>853</v>
      </c>
      <c r="AI733" s="741">
        <v>403</v>
      </c>
      <c r="AJ733" s="741">
        <v>96</v>
      </c>
      <c r="AK733" s="741"/>
      <c r="AL733" s="741"/>
      <c r="AM733" s="742">
        <v>2119</v>
      </c>
      <c r="AN733" s="743">
        <f t="shared" si="32"/>
        <v>0.73138075313807527</v>
      </c>
      <c r="AO733" s="744">
        <f t="shared" si="33"/>
        <v>1.0080723496901693</v>
      </c>
      <c r="AP733" s="745">
        <f>'09월 에너지'!S735</f>
        <v>136.80000000000001</v>
      </c>
    </row>
    <row r="734" spans="1:42" ht="16.5" customHeight="1">
      <c r="A734" s="999">
        <f>'09월 조업일지'!A734</f>
        <v>46292</v>
      </c>
      <c r="B734" s="1100">
        <f>'09월 조업일지'!B734</f>
        <v>46292</v>
      </c>
      <c r="C734" s="730">
        <f>'09월 조업일지'!G734</f>
        <v>85936</v>
      </c>
      <c r="D734" s="731" t="str">
        <f>'09월 조업일지'!E734</f>
        <v>B</v>
      </c>
      <c r="E734" s="732" t="str">
        <f>'09월 조업일지'!F734</f>
        <v>A</v>
      </c>
      <c r="F734" s="1096" t="str">
        <f>'09월 에너지'!F736</f>
        <v>SHP275(BB)</v>
      </c>
      <c r="G734" s="733">
        <v>7</v>
      </c>
      <c r="H734" s="734">
        <v>25</v>
      </c>
      <c r="I734" s="734">
        <v>57</v>
      </c>
      <c r="J734" s="734">
        <v>13</v>
      </c>
      <c r="K734" s="735">
        <v>33</v>
      </c>
      <c r="L734" s="734">
        <v>10</v>
      </c>
      <c r="M734" s="736">
        <v>11</v>
      </c>
      <c r="N734" s="737">
        <v>420</v>
      </c>
      <c r="O734" s="737"/>
      <c r="P734" s="737">
        <v>1001</v>
      </c>
      <c r="Q734" s="737">
        <v>951</v>
      </c>
      <c r="R734" s="737"/>
      <c r="S734" s="737"/>
      <c r="T734" s="737"/>
      <c r="U734" s="738"/>
      <c r="V734" s="739">
        <v>422</v>
      </c>
      <c r="W734" s="737"/>
      <c r="X734" s="737">
        <v>1001</v>
      </c>
      <c r="Y734" s="737">
        <v>908</v>
      </c>
      <c r="Z734" s="1202"/>
      <c r="AA734" s="740"/>
      <c r="AB734" s="739"/>
      <c r="AC734" s="741"/>
      <c r="AD734" s="741">
        <v>270</v>
      </c>
      <c r="AE734" s="741">
        <v>451</v>
      </c>
      <c r="AF734" s="741"/>
      <c r="AG734" s="741">
        <v>95</v>
      </c>
      <c r="AH734" s="741">
        <v>846</v>
      </c>
      <c r="AI734" s="741">
        <v>406</v>
      </c>
      <c r="AJ734" s="741">
        <v>88</v>
      </c>
      <c r="AK734" s="741"/>
      <c r="AL734" s="741"/>
      <c r="AM734" s="742">
        <v>1903</v>
      </c>
      <c r="AN734" s="743">
        <f t="shared" si="32"/>
        <v>0.82290217895224849</v>
      </c>
      <c r="AO734" s="744">
        <f t="shared" si="33"/>
        <v>1.0070921985815604</v>
      </c>
      <c r="AP734" s="745">
        <f>'09월 에너지'!S736</f>
        <v>142</v>
      </c>
    </row>
    <row r="735" spans="1:42" ht="16.5" customHeight="1">
      <c r="A735" s="999">
        <f>'09월 조업일지'!A735</f>
        <v>46292</v>
      </c>
      <c r="B735" s="1100">
        <f>'09월 조업일지'!B735</f>
        <v>46292</v>
      </c>
      <c r="C735" s="730">
        <f>'09월 조업일지'!G735</f>
        <v>85937</v>
      </c>
      <c r="D735" s="731" t="str">
        <f>'09월 조업일지'!E735</f>
        <v>B</v>
      </c>
      <c r="E735" s="732" t="str">
        <f>'09월 조업일지'!F735</f>
        <v>B</v>
      </c>
      <c r="F735" s="1096" t="str">
        <f>'09월 에너지'!F737</f>
        <v>SHP275(BB)</v>
      </c>
      <c r="G735" s="733">
        <v>8</v>
      </c>
      <c r="H735" s="734">
        <v>23</v>
      </c>
      <c r="I735" s="734">
        <v>56</v>
      </c>
      <c r="J735" s="734">
        <v>15</v>
      </c>
      <c r="K735" s="735">
        <v>21</v>
      </c>
      <c r="L735" s="734">
        <v>13</v>
      </c>
      <c r="M735" s="736">
        <v>10</v>
      </c>
      <c r="N735" s="737">
        <v>416</v>
      </c>
      <c r="O735" s="737"/>
      <c r="P735" s="737">
        <v>1001</v>
      </c>
      <c r="Q735" s="737">
        <v>952</v>
      </c>
      <c r="R735" s="737"/>
      <c r="S735" s="737"/>
      <c r="T735" s="737"/>
      <c r="U735" s="738"/>
      <c r="V735" s="739">
        <v>415</v>
      </c>
      <c r="W735" s="737"/>
      <c r="X735" s="737">
        <v>1002</v>
      </c>
      <c r="Y735" s="737">
        <v>904</v>
      </c>
      <c r="Z735" s="1202"/>
      <c r="AA735" s="740"/>
      <c r="AB735" s="739"/>
      <c r="AC735" s="741"/>
      <c r="AD735" s="741">
        <v>271</v>
      </c>
      <c r="AE735" s="741">
        <v>451</v>
      </c>
      <c r="AF735" s="741"/>
      <c r="AG735" s="741">
        <v>95</v>
      </c>
      <c r="AH735" s="741">
        <v>856</v>
      </c>
      <c r="AI735" s="741">
        <v>290</v>
      </c>
      <c r="AJ735" s="741">
        <v>88</v>
      </c>
      <c r="AK735" s="741"/>
      <c r="AL735" s="741"/>
      <c r="AM735" s="742">
        <v>2129</v>
      </c>
      <c r="AN735" s="743">
        <f t="shared" si="32"/>
        <v>0.92824515755998849</v>
      </c>
      <c r="AO735" s="744">
        <f t="shared" si="33"/>
        <v>0.95520694259012029</v>
      </c>
      <c r="AP735" s="745">
        <f>'09월 에너지'!S737</f>
        <v>139.6</v>
      </c>
    </row>
    <row r="736" spans="1:42" ht="16.5" customHeight="1">
      <c r="A736" s="999">
        <f>'09월 조업일지'!A736</f>
        <v>46292</v>
      </c>
      <c r="B736" s="1100">
        <f>'09월 조업일지'!B736</f>
        <v>46292</v>
      </c>
      <c r="C736" s="730">
        <f>'09월 조업일지'!G736</f>
        <v>85938</v>
      </c>
      <c r="D736" s="731" t="str">
        <f>'09월 조업일지'!E736</f>
        <v>B</v>
      </c>
      <c r="E736" s="732" t="str">
        <f>'09월 조업일지'!F736</f>
        <v>A</v>
      </c>
      <c r="F736" s="1096" t="str">
        <f>'09월 에너지'!F738</f>
        <v>SHP275(BB)</v>
      </c>
      <c r="G736" s="733">
        <v>9</v>
      </c>
      <c r="H736" s="734">
        <v>27</v>
      </c>
      <c r="I736" s="734">
        <v>56</v>
      </c>
      <c r="J736" s="734">
        <v>13</v>
      </c>
      <c r="K736" s="735">
        <v>27</v>
      </c>
      <c r="L736" s="734">
        <v>11</v>
      </c>
      <c r="M736" s="736">
        <v>10</v>
      </c>
      <c r="N736" s="737">
        <v>414</v>
      </c>
      <c r="O736" s="737"/>
      <c r="P736" s="737">
        <v>1002</v>
      </c>
      <c r="Q736" s="737">
        <v>951</v>
      </c>
      <c r="R736" s="737"/>
      <c r="S736" s="737"/>
      <c r="T736" s="737"/>
      <c r="U736" s="738"/>
      <c r="V736" s="739">
        <v>419</v>
      </c>
      <c r="W736" s="737"/>
      <c r="X736" s="737">
        <v>1001</v>
      </c>
      <c r="Y736" s="737">
        <v>905</v>
      </c>
      <c r="Z736" s="1202"/>
      <c r="AA736" s="740"/>
      <c r="AB736" s="739"/>
      <c r="AC736" s="741"/>
      <c r="AD736" s="741">
        <v>271</v>
      </c>
      <c r="AE736" s="741">
        <v>451</v>
      </c>
      <c r="AF736" s="741"/>
      <c r="AG736" s="741">
        <v>95</v>
      </c>
      <c r="AH736" s="741">
        <v>850</v>
      </c>
      <c r="AI736" s="741">
        <v>391</v>
      </c>
      <c r="AJ736" s="741">
        <v>100</v>
      </c>
      <c r="AK736" s="741"/>
      <c r="AL736" s="741"/>
      <c r="AM736" s="742">
        <v>2301</v>
      </c>
      <c r="AN736" s="743">
        <f t="shared" si="32"/>
        <v>0.91443850267379678</v>
      </c>
      <c r="AO736" s="744">
        <f t="shared" si="33"/>
        <v>0.98193277310924365</v>
      </c>
      <c r="AP736" s="745">
        <f>'09월 에너지'!S738</f>
        <v>142.5</v>
      </c>
    </row>
    <row r="737" spans="1:42" ht="16.5" customHeight="1">
      <c r="A737" s="999">
        <f>'09월 조업일지'!A737</f>
        <v>46292</v>
      </c>
      <c r="B737" s="1100">
        <f>'09월 조업일지'!B737</f>
        <v>46292</v>
      </c>
      <c r="C737" s="730">
        <f>'09월 조업일지'!G737</f>
        <v>85939</v>
      </c>
      <c r="D737" s="731" t="str">
        <f>'09월 조업일지'!E737</f>
        <v>D</v>
      </c>
      <c r="E737" s="732" t="str">
        <f>'09월 조업일지'!F737</f>
        <v>B</v>
      </c>
      <c r="F737" s="1231" t="str">
        <f>'09월 에너지'!F739</f>
        <v>SS400-01</v>
      </c>
      <c r="G737" s="733">
        <v>7</v>
      </c>
      <c r="H737" s="734">
        <v>18</v>
      </c>
      <c r="I737" s="734">
        <v>48</v>
      </c>
      <c r="J737" s="734">
        <v>13</v>
      </c>
      <c r="K737" s="735">
        <v>28</v>
      </c>
      <c r="L737" s="734">
        <v>14</v>
      </c>
      <c r="M737" s="736">
        <v>10</v>
      </c>
      <c r="N737" s="737">
        <v>420</v>
      </c>
      <c r="O737" s="737"/>
      <c r="P737" s="737">
        <v>1000</v>
      </c>
      <c r="Q737" s="737">
        <v>959</v>
      </c>
      <c r="R737" s="737"/>
      <c r="S737" s="737"/>
      <c r="T737" s="737">
        <v>66</v>
      </c>
      <c r="U737" s="738"/>
      <c r="V737" s="739">
        <v>422</v>
      </c>
      <c r="W737" s="737"/>
      <c r="X737" s="737">
        <v>1002</v>
      </c>
      <c r="Y737" s="737">
        <v>905</v>
      </c>
      <c r="Z737" s="1202">
        <v>64</v>
      </c>
      <c r="AA737" s="740"/>
      <c r="AB737" s="739"/>
      <c r="AC737" s="741"/>
      <c r="AD737" s="741">
        <v>270</v>
      </c>
      <c r="AE737" s="741">
        <v>330</v>
      </c>
      <c r="AF737" s="741"/>
      <c r="AG737" s="741">
        <v>111</v>
      </c>
      <c r="AH737" s="741">
        <v>786</v>
      </c>
      <c r="AI737" s="741">
        <v>333</v>
      </c>
      <c r="AJ737" s="741">
        <v>83</v>
      </c>
      <c r="AK737" s="741"/>
      <c r="AL737" s="741">
        <v>122</v>
      </c>
      <c r="AM737" s="742">
        <v>1509</v>
      </c>
      <c r="AN737" s="743">
        <f t="shared" si="32"/>
        <v>0.70893512851897189</v>
      </c>
      <c r="AO737" s="744">
        <f t="shared" si="33"/>
        <v>0.86848418756815715</v>
      </c>
      <c r="AP737" s="745">
        <f>'09월 에너지'!S739</f>
        <v>144.80000000000001</v>
      </c>
    </row>
    <row r="738" spans="1:42" ht="16.5" customHeight="1">
      <c r="A738" s="999">
        <f>'09월 조업일지'!A738</f>
        <v>46292</v>
      </c>
      <c r="B738" s="1100">
        <f>'09월 조업일지'!B738</f>
        <v>46292</v>
      </c>
      <c r="C738" s="730">
        <f>'09월 조업일지'!G738</f>
        <v>85940</v>
      </c>
      <c r="D738" s="731" t="str">
        <f>'09월 조업일지'!E738</f>
        <v>D</v>
      </c>
      <c r="E738" s="732" t="str">
        <f>'09월 조업일지'!F738</f>
        <v>A</v>
      </c>
      <c r="F738" s="1096" t="str">
        <f>'09월 에너지'!F740</f>
        <v>SS400-01</v>
      </c>
      <c r="G738" s="733">
        <v>9</v>
      </c>
      <c r="H738" s="734">
        <v>18</v>
      </c>
      <c r="I738" s="734">
        <v>50</v>
      </c>
      <c r="J738" s="734">
        <v>12</v>
      </c>
      <c r="K738" s="735">
        <v>22</v>
      </c>
      <c r="L738" s="734">
        <v>13</v>
      </c>
      <c r="M738" s="736">
        <v>9</v>
      </c>
      <c r="N738" s="737">
        <v>421</v>
      </c>
      <c r="O738" s="737"/>
      <c r="P738" s="737">
        <v>1001</v>
      </c>
      <c r="Q738" s="737">
        <v>958</v>
      </c>
      <c r="R738" s="737"/>
      <c r="S738" s="737"/>
      <c r="T738" s="737">
        <v>69</v>
      </c>
      <c r="U738" s="738"/>
      <c r="V738" s="739">
        <v>423</v>
      </c>
      <c r="W738" s="737"/>
      <c r="X738" s="737">
        <v>1000</v>
      </c>
      <c r="Y738" s="737">
        <v>902</v>
      </c>
      <c r="Z738" s="1202">
        <v>67</v>
      </c>
      <c r="AA738" s="740"/>
      <c r="AB738" s="739"/>
      <c r="AC738" s="741"/>
      <c r="AD738" s="741">
        <v>271</v>
      </c>
      <c r="AE738" s="741">
        <v>330</v>
      </c>
      <c r="AF738" s="741"/>
      <c r="AG738" s="741">
        <v>110</v>
      </c>
      <c r="AH738" s="741">
        <v>792</v>
      </c>
      <c r="AI738" s="741">
        <v>362</v>
      </c>
      <c r="AJ738" s="741">
        <v>80</v>
      </c>
      <c r="AK738" s="741"/>
      <c r="AL738" s="741">
        <v>132</v>
      </c>
      <c r="AM738" s="742">
        <v>2972</v>
      </c>
      <c r="AN738" s="743">
        <f t="shared" si="32"/>
        <v>0.66594926979246738</v>
      </c>
      <c r="AO738" s="744">
        <f t="shared" si="33"/>
        <v>0.91161616161616166</v>
      </c>
      <c r="AP738" s="745">
        <f>'09월 에너지'!S740</f>
        <v>144.4</v>
      </c>
    </row>
    <row r="739" spans="1:42" ht="16.5" customHeight="1">
      <c r="A739" s="999">
        <f>'09월 조업일지'!A739</f>
        <v>46292</v>
      </c>
      <c r="B739" s="1100">
        <f>'09월 조업일지'!B739</f>
        <v>46292</v>
      </c>
      <c r="C739" s="730">
        <f>'09월 조업일지'!G739</f>
        <v>85941</v>
      </c>
      <c r="D739" s="731" t="str">
        <f>'09월 조업일지'!E739</f>
        <v>D</v>
      </c>
      <c r="E739" s="732" t="str">
        <f>'09월 조업일지'!F739</f>
        <v>B</v>
      </c>
      <c r="F739" s="1096" t="str">
        <f>'09월 에너지'!F741</f>
        <v>SS400-01</v>
      </c>
      <c r="G739" s="733">
        <v>7</v>
      </c>
      <c r="H739" s="734">
        <v>18</v>
      </c>
      <c r="I739" s="734">
        <v>46</v>
      </c>
      <c r="J739" s="734">
        <v>14</v>
      </c>
      <c r="K739" s="735">
        <v>26</v>
      </c>
      <c r="L739" s="734">
        <v>12</v>
      </c>
      <c r="M739" s="736">
        <v>12</v>
      </c>
      <c r="N739" s="737">
        <v>423</v>
      </c>
      <c r="O739" s="737"/>
      <c r="P739" s="737">
        <v>1001</v>
      </c>
      <c r="Q739" s="737">
        <v>952</v>
      </c>
      <c r="R739" s="737"/>
      <c r="S739" s="737"/>
      <c r="T739" s="737">
        <v>70</v>
      </c>
      <c r="U739" s="738"/>
      <c r="V739" s="739">
        <v>416</v>
      </c>
      <c r="W739" s="737"/>
      <c r="X739" s="737">
        <v>1001</v>
      </c>
      <c r="Y739" s="737">
        <v>911</v>
      </c>
      <c r="Z739" s="1202">
        <v>71</v>
      </c>
      <c r="AA739" s="740"/>
      <c r="AB739" s="739"/>
      <c r="AC739" s="741"/>
      <c r="AD739" s="741">
        <v>270</v>
      </c>
      <c r="AE739" s="741">
        <v>330</v>
      </c>
      <c r="AF739" s="741"/>
      <c r="AG739" s="741">
        <v>110</v>
      </c>
      <c r="AH739" s="741">
        <v>787</v>
      </c>
      <c r="AI739" s="741">
        <v>372</v>
      </c>
      <c r="AJ739" s="741">
        <v>82</v>
      </c>
      <c r="AK739" s="741"/>
      <c r="AL739" s="741">
        <v>133</v>
      </c>
      <c r="AM739" s="742">
        <v>2088</v>
      </c>
      <c r="AN739" s="743">
        <f t="shared" si="32"/>
        <v>0.66278806195693241</v>
      </c>
      <c r="AO739" s="744">
        <f t="shared" si="33"/>
        <v>0.82269014340170643</v>
      </c>
      <c r="AP739" s="745">
        <f>'09월 에너지'!S741</f>
        <v>146.19999999999999</v>
      </c>
    </row>
    <row r="740" spans="1:42" ht="16.5" customHeight="1">
      <c r="A740" s="999">
        <f>'09월 조업일지'!A740</f>
        <v>46292</v>
      </c>
      <c r="B740" s="1100">
        <f>'09월 조업일지'!B740</f>
        <v>46292</v>
      </c>
      <c r="C740" s="730">
        <f>'09월 조업일지'!G740</f>
        <v>85942</v>
      </c>
      <c r="D740" s="731" t="str">
        <f>'09월 조업일지'!E740</f>
        <v>D</v>
      </c>
      <c r="E740" s="732" t="str">
        <f>'09월 조업일지'!F740</f>
        <v>A</v>
      </c>
      <c r="F740" s="1096" t="str">
        <f>'09월 에너지'!F742</f>
        <v>SS400-01</v>
      </c>
      <c r="G740" s="733">
        <v>8</v>
      </c>
      <c r="H740" s="734">
        <v>25</v>
      </c>
      <c r="I740" s="734">
        <v>55</v>
      </c>
      <c r="J740" s="734">
        <v>15</v>
      </c>
      <c r="K740" s="735">
        <v>29</v>
      </c>
      <c r="L740" s="734">
        <v>12</v>
      </c>
      <c r="M740" s="736">
        <v>9</v>
      </c>
      <c r="N740" s="737">
        <v>417</v>
      </c>
      <c r="O740" s="737"/>
      <c r="P740" s="737">
        <v>1001</v>
      </c>
      <c r="Q740" s="737">
        <v>955</v>
      </c>
      <c r="R740" s="737"/>
      <c r="S740" s="737"/>
      <c r="T740" s="737">
        <v>71</v>
      </c>
      <c r="U740" s="738"/>
      <c r="V740" s="739">
        <v>418</v>
      </c>
      <c r="W740" s="737"/>
      <c r="X740" s="737">
        <v>1002</v>
      </c>
      <c r="Y740" s="737">
        <v>901</v>
      </c>
      <c r="Z740" s="1202">
        <v>74</v>
      </c>
      <c r="AA740" s="740"/>
      <c r="AB740" s="739"/>
      <c r="AC740" s="741"/>
      <c r="AD740" s="741">
        <v>271</v>
      </c>
      <c r="AE740" s="741">
        <v>330</v>
      </c>
      <c r="AF740" s="741"/>
      <c r="AG740" s="741">
        <v>110</v>
      </c>
      <c r="AH740" s="741">
        <v>793</v>
      </c>
      <c r="AI740" s="741">
        <v>399</v>
      </c>
      <c r="AJ740" s="741">
        <v>88</v>
      </c>
      <c r="AK740" s="741"/>
      <c r="AL740" s="741">
        <v>121</v>
      </c>
      <c r="AM740" s="742">
        <v>2074</v>
      </c>
      <c r="AN740" s="743">
        <f t="shared" si="32"/>
        <v>0.85963653754184599</v>
      </c>
      <c r="AO740" s="744">
        <f t="shared" si="33"/>
        <v>1.0362096919473971</v>
      </c>
      <c r="AP740" s="745">
        <f>'09월 에너지'!S742</f>
        <v>143.80000000000001</v>
      </c>
    </row>
    <row r="741" spans="1:42" ht="16.5" customHeight="1">
      <c r="A741" s="999">
        <f>'09월 조업일지'!A741</f>
        <v>46292</v>
      </c>
      <c r="B741" s="1100">
        <f>'09월 조업일지'!B741</f>
        <v>46292</v>
      </c>
      <c r="C741" s="730">
        <f>'09월 조업일지'!G741</f>
        <v>85943</v>
      </c>
      <c r="D741" s="731" t="str">
        <f>'09월 조업일지'!E741</f>
        <v>D</v>
      </c>
      <c r="E741" s="732" t="str">
        <f>'09월 조업일지'!F741</f>
        <v>B</v>
      </c>
      <c r="F741" s="1096" t="str">
        <f>'09월 에너지'!F743</f>
        <v>SS400-01</v>
      </c>
      <c r="G741" s="733">
        <v>6</v>
      </c>
      <c r="H741" s="734">
        <v>19</v>
      </c>
      <c r="I741" s="734">
        <v>48</v>
      </c>
      <c r="J741" s="734">
        <v>13</v>
      </c>
      <c r="K741" s="735">
        <v>23</v>
      </c>
      <c r="L741" s="734">
        <v>12</v>
      </c>
      <c r="M741" s="736">
        <v>10</v>
      </c>
      <c r="N741" s="737">
        <v>418</v>
      </c>
      <c r="O741" s="737"/>
      <c r="P741" s="737">
        <v>1001</v>
      </c>
      <c r="Q741" s="737">
        <v>952</v>
      </c>
      <c r="R741" s="737"/>
      <c r="S741" s="737"/>
      <c r="T741" s="737">
        <v>73</v>
      </c>
      <c r="U741" s="738"/>
      <c r="V741" s="739">
        <v>416</v>
      </c>
      <c r="W741" s="737"/>
      <c r="X741" s="737">
        <v>1001</v>
      </c>
      <c r="Y741" s="737">
        <v>904</v>
      </c>
      <c r="Z741" s="1202">
        <v>62</v>
      </c>
      <c r="AA741" s="740"/>
      <c r="AB741" s="739"/>
      <c r="AC741" s="741"/>
      <c r="AD741" s="741">
        <v>270</v>
      </c>
      <c r="AE741" s="741">
        <v>331</v>
      </c>
      <c r="AF741" s="741"/>
      <c r="AG741" s="741">
        <v>110</v>
      </c>
      <c r="AH741" s="741">
        <v>794</v>
      </c>
      <c r="AI741" s="741">
        <v>373</v>
      </c>
      <c r="AJ741" s="741">
        <v>77</v>
      </c>
      <c r="AK741" s="741"/>
      <c r="AL741" s="741">
        <v>136</v>
      </c>
      <c r="AM741" s="742">
        <v>1671</v>
      </c>
      <c r="AN741" s="743">
        <f t="shared" si="32"/>
        <v>0.68835401780117833</v>
      </c>
      <c r="AO741" s="744">
        <f t="shared" si="33"/>
        <v>0.85795250089960429</v>
      </c>
      <c r="AP741" s="745">
        <f>'09월 에너지'!S743</f>
        <v>144.5</v>
      </c>
    </row>
    <row r="742" spans="1:42" ht="16.5" customHeight="1">
      <c r="A742" s="999">
        <f>'09월 조업일지'!A742</f>
        <v>46292</v>
      </c>
      <c r="B742" s="1100">
        <f>'09월 조업일지'!B742</f>
        <v>46292</v>
      </c>
      <c r="C742" s="730">
        <f>'09월 조업일지'!G742</f>
        <v>85944</v>
      </c>
      <c r="D742" s="731" t="str">
        <f>'09월 조업일지'!E742</f>
        <v>D</v>
      </c>
      <c r="E742" s="732" t="str">
        <f>'09월 조업일지'!F742</f>
        <v>A</v>
      </c>
      <c r="F742" s="1096" t="str">
        <f>'09월 에너지'!F744</f>
        <v>SS400-01</v>
      </c>
      <c r="G742" s="733">
        <v>9</v>
      </c>
      <c r="H742" s="734">
        <v>18</v>
      </c>
      <c r="I742" s="734">
        <v>52</v>
      </c>
      <c r="J742" s="734">
        <v>14</v>
      </c>
      <c r="K742" s="735">
        <v>23</v>
      </c>
      <c r="L742" s="734">
        <v>15</v>
      </c>
      <c r="M742" s="736">
        <v>10</v>
      </c>
      <c r="N742" s="737">
        <v>420</v>
      </c>
      <c r="O742" s="737"/>
      <c r="P742" s="737">
        <v>1002</v>
      </c>
      <c r="Q742" s="737">
        <v>960</v>
      </c>
      <c r="R742" s="737"/>
      <c r="S742" s="737"/>
      <c r="T742" s="737">
        <v>62</v>
      </c>
      <c r="U742" s="738"/>
      <c r="V742" s="739">
        <v>416</v>
      </c>
      <c r="W742" s="737"/>
      <c r="X742" s="737">
        <v>1000</v>
      </c>
      <c r="Y742" s="737">
        <v>906</v>
      </c>
      <c r="Z742" s="1202">
        <v>75</v>
      </c>
      <c r="AA742" s="740"/>
      <c r="AB742" s="739"/>
      <c r="AC742" s="741"/>
      <c r="AD742" s="741">
        <v>271</v>
      </c>
      <c r="AE742" s="741">
        <v>331</v>
      </c>
      <c r="AF742" s="741"/>
      <c r="AG742" s="741">
        <v>110</v>
      </c>
      <c r="AH742" s="741">
        <v>792</v>
      </c>
      <c r="AI742" s="741">
        <v>377</v>
      </c>
      <c r="AJ742" s="741">
        <v>80</v>
      </c>
      <c r="AK742" s="741"/>
      <c r="AL742" s="741">
        <v>121</v>
      </c>
      <c r="AM742" s="742">
        <v>1960</v>
      </c>
      <c r="AN742" s="743">
        <f t="shared" si="32"/>
        <v>0.65446395218528208</v>
      </c>
      <c r="AO742" s="744">
        <f t="shared" si="33"/>
        <v>0.97438672438672447</v>
      </c>
      <c r="AP742" s="745">
        <f>'09월 에너지'!S744</f>
        <v>146</v>
      </c>
    </row>
    <row r="743" spans="1:42" ht="16.5" customHeight="1">
      <c r="A743" s="999">
        <f>'09월 조업일지'!A743</f>
        <v>46292</v>
      </c>
      <c r="B743" s="1100">
        <f>'09월 조업일지'!B743</f>
        <v>46292</v>
      </c>
      <c r="C743" s="730">
        <f>'09월 조업일지'!G743</f>
        <v>85945</v>
      </c>
      <c r="D743" s="731" t="str">
        <f>'09월 조업일지'!E743</f>
        <v>D</v>
      </c>
      <c r="E743" s="732" t="str">
        <f>'09월 조업일지'!F743</f>
        <v>B</v>
      </c>
      <c r="F743" s="1096" t="str">
        <f>'09월 에너지'!F745</f>
        <v>SS400-01</v>
      </c>
      <c r="G743" s="733">
        <v>7</v>
      </c>
      <c r="H743" s="734">
        <v>23</v>
      </c>
      <c r="I743" s="734">
        <v>50</v>
      </c>
      <c r="J743" s="734">
        <v>16</v>
      </c>
      <c r="K743" s="735">
        <v>26</v>
      </c>
      <c r="L743" s="734">
        <v>13</v>
      </c>
      <c r="M743" s="736">
        <v>10</v>
      </c>
      <c r="N743" s="737">
        <v>418</v>
      </c>
      <c r="O743" s="737"/>
      <c r="P743" s="737">
        <v>1001</v>
      </c>
      <c r="Q743" s="737">
        <v>955</v>
      </c>
      <c r="R743" s="737"/>
      <c r="S743" s="737"/>
      <c r="T743" s="737">
        <v>69</v>
      </c>
      <c r="U743" s="738"/>
      <c r="V743" s="739">
        <v>422</v>
      </c>
      <c r="W743" s="737"/>
      <c r="X743" s="737">
        <v>1001</v>
      </c>
      <c r="Y743" s="737">
        <v>902</v>
      </c>
      <c r="Z743" s="1202">
        <v>70</v>
      </c>
      <c r="AA743" s="740"/>
      <c r="AB743" s="739"/>
      <c r="AC743" s="741"/>
      <c r="AD743" s="741">
        <v>272</v>
      </c>
      <c r="AE743" s="741">
        <v>330</v>
      </c>
      <c r="AF743" s="741"/>
      <c r="AG743" s="741">
        <v>110</v>
      </c>
      <c r="AH743" s="741">
        <v>796</v>
      </c>
      <c r="AI743" s="741">
        <v>372</v>
      </c>
      <c r="AJ743" s="741">
        <v>75</v>
      </c>
      <c r="AK743" s="741"/>
      <c r="AL743" s="741">
        <v>134</v>
      </c>
      <c r="AM743" s="742">
        <v>2290</v>
      </c>
      <c r="AN743" s="743">
        <f t="shared" si="32"/>
        <v>0.85326305220883536</v>
      </c>
      <c r="AO743" s="744">
        <f t="shared" si="33"/>
        <v>0.92839195979899503</v>
      </c>
      <c r="AP743" s="745">
        <f>'09월 에너지'!S745</f>
        <v>147.80000000000001</v>
      </c>
    </row>
    <row r="744" spans="1:42" ht="16.5" customHeight="1">
      <c r="A744" s="999">
        <f>'09월 조업일지'!A744</f>
        <v>46292</v>
      </c>
      <c r="B744" s="1100">
        <f>'09월 조업일지'!B744</f>
        <v>46292</v>
      </c>
      <c r="C744" s="730">
        <f>'09월 조업일지'!G744</f>
        <v>85946</v>
      </c>
      <c r="D744" s="731" t="str">
        <f>'09월 조업일지'!E744</f>
        <v>D</v>
      </c>
      <c r="E744" s="732" t="str">
        <f>'09월 조업일지'!F744</f>
        <v>A</v>
      </c>
      <c r="F744" s="1096" t="str">
        <f>'09월 에너지'!F746</f>
        <v>SS400-01</v>
      </c>
      <c r="G744" s="733">
        <v>7</v>
      </c>
      <c r="H744" s="734">
        <v>22</v>
      </c>
      <c r="I744" s="734">
        <v>51</v>
      </c>
      <c r="J744" s="734">
        <v>13</v>
      </c>
      <c r="K744" s="735">
        <v>31</v>
      </c>
      <c r="L744" s="734">
        <v>13</v>
      </c>
      <c r="M744" s="736">
        <v>10</v>
      </c>
      <c r="N744" s="737">
        <v>415</v>
      </c>
      <c r="O744" s="737"/>
      <c r="P744" s="737">
        <v>1001</v>
      </c>
      <c r="Q744" s="737">
        <v>952</v>
      </c>
      <c r="R744" s="737"/>
      <c r="S744" s="737"/>
      <c r="T744" s="737">
        <v>71</v>
      </c>
      <c r="U744" s="738"/>
      <c r="V744" s="739">
        <v>425</v>
      </c>
      <c r="W744" s="737"/>
      <c r="X744" s="737">
        <v>1000</v>
      </c>
      <c r="Y744" s="737">
        <v>903</v>
      </c>
      <c r="Z744" s="1202">
        <v>64</v>
      </c>
      <c r="AA744" s="740"/>
      <c r="AB744" s="739"/>
      <c r="AC744" s="741"/>
      <c r="AD744" s="741">
        <v>270</v>
      </c>
      <c r="AE744" s="741">
        <v>330</v>
      </c>
      <c r="AF744" s="741"/>
      <c r="AG744" s="741">
        <v>110</v>
      </c>
      <c r="AH744" s="741">
        <v>787</v>
      </c>
      <c r="AI744" s="741">
        <v>371</v>
      </c>
      <c r="AJ744" s="741">
        <v>83</v>
      </c>
      <c r="AK744" s="741"/>
      <c r="AL744" s="741">
        <v>138</v>
      </c>
      <c r="AM744" s="742">
        <v>1476</v>
      </c>
      <c r="AN744" s="743">
        <f t="shared" si="32"/>
        <v>0.79550845319202623</v>
      </c>
      <c r="AO744" s="744">
        <f t="shared" si="33"/>
        <v>0.93643129424577964</v>
      </c>
      <c r="AP744" s="745">
        <f>'09월 에너지'!S746</f>
        <v>143.30000000000001</v>
      </c>
    </row>
    <row r="745" spans="1:42" ht="16.5" customHeight="1">
      <c r="A745" s="999">
        <f>'09월 조업일지'!A745</f>
        <v>46292</v>
      </c>
      <c r="B745" s="1100">
        <f>'09월 조업일지'!B745</f>
        <v>46292</v>
      </c>
      <c r="C745" s="730">
        <f>'09월 조업일지'!G745</f>
        <v>85947</v>
      </c>
      <c r="D745" s="731" t="str">
        <f>'09월 조업일지'!E745</f>
        <v>D</v>
      </c>
      <c r="E745" s="732" t="str">
        <f>'09월 조업일지'!F745</f>
        <v>B</v>
      </c>
      <c r="F745" s="1096" t="str">
        <f>'09월 에너지'!F747</f>
        <v>SS400-01</v>
      </c>
      <c r="G745" s="733">
        <v>7</v>
      </c>
      <c r="H745" s="734">
        <v>21</v>
      </c>
      <c r="I745" s="734">
        <v>53</v>
      </c>
      <c r="J745" s="734">
        <v>16</v>
      </c>
      <c r="K745" s="735">
        <v>27</v>
      </c>
      <c r="L745" s="734">
        <v>14</v>
      </c>
      <c r="M745" s="736">
        <v>11</v>
      </c>
      <c r="N745" s="737">
        <v>416</v>
      </c>
      <c r="O745" s="737"/>
      <c r="P745" s="737">
        <v>1000</v>
      </c>
      <c r="Q745" s="737">
        <v>955</v>
      </c>
      <c r="R745" s="737"/>
      <c r="S745" s="737"/>
      <c r="T745" s="737">
        <v>71</v>
      </c>
      <c r="U745" s="738"/>
      <c r="V745" s="739">
        <v>422</v>
      </c>
      <c r="W745" s="737"/>
      <c r="X745" s="737">
        <v>1000</v>
      </c>
      <c r="Y745" s="737">
        <v>913</v>
      </c>
      <c r="Z745" s="1202">
        <v>66</v>
      </c>
      <c r="AA745" s="740"/>
      <c r="AB745" s="739"/>
      <c r="AC745" s="741"/>
      <c r="AD745" s="741">
        <v>285</v>
      </c>
      <c r="AE745" s="741">
        <v>331</v>
      </c>
      <c r="AF745" s="741"/>
      <c r="AG745" s="741">
        <v>110</v>
      </c>
      <c r="AH745" s="741">
        <v>786</v>
      </c>
      <c r="AI745" s="741">
        <v>361</v>
      </c>
      <c r="AJ745" s="741">
        <v>82</v>
      </c>
      <c r="AK745" s="741"/>
      <c r="AL745" s="741">
        <v>126</v>
      </c>
      <c r="AM745" s="742">
        <v>2191</v>
      </c>
      <c r="AN745" s="743">
        <f t="shared" si="32"/>
        <v>0.77267464299498267</v>
      </c>
      <c r="AO745" s="744">
        <f t="shared" si="33"/>
        <v>0.98764085786986555</v>
      </c>
      <c r="AP745" s="745">
        <f>'09월 에너지'!S747</f>
        <v>143</v>
      </c>
    </row>
    <row r="746" spans="1:42" ht="16.5" customHeight="1">
      <c r="A746" s="999">
        <f>'09월 조업일지'!A746</f>
        <v>46292</v>
      </c>
      <c r="B746" s="1100">
        <f>'09월 조업일지'!B746</f>
        <v>46292</v>
      </c>
      <c r="C746" s="730">
        <f>'09월 조업일지'!G746</f>
        <v>85948</v>
      </c>
      <c r="D746" s="731" t="str">
        <f>'09월 조업일지'!E746</f>
        <v>D</v>
      </c>
      <c r="E746" s="732" t="str">
        <f>'09월 조업일지'!F746</f>
        <v>A</v>
      </c>
      <c r="F746" s="1096" t="str">
        <f>'09월 에너지'!F748</f>
        <v>SS400-01</v>
      </c>
      <c r="G746" s="733">
        <v>10</v>
      </c>
      <c r="H746" s="734">
        <v>17</v>
      </c>
      <c r="I746" s="734">
        <v>50</v>
      </c>
      <c r="J746" s="734">
        <v>14</v>
      </c>
      <c r="K746" s="735">
        <v>27</v>
      </c>
      <c r="L746" s="734">
        <v>14</v>
      </c>
      <c r="M746" s="736">
        <v>11</v>
      </c>
      <c r="N746" s="737">
        <v>420</v>
      </c>
      <c r="O746" s="737"/>
      <c r="P746" s="737">
        <v>1013</v>
      </c>
      <c r="Q746" s="737">
        <v>951</v>
      </c>
      <c r="R746" s="737"/>
      <c r="S746" s="737"/>
      <c r="T746" s="737">
        <v>65</v>
      </c>
      <c r="U746" s="738"/>
      <c r="V746" s="739">
        <v>418</v>
      </c>
      <c r="W746" s="737"/>
      <c r="X746" s="737">
        <v>1015</v>
      </c>
      <c r="Y746" s="737">
        <v>904</v>
      </c>
      <c r="Z746" s="1202">
        <v>65</v>
      </c>
      <c r="AA746" s="740"/>
      <c r="AB746" s="739"/>
      <c r="AC746" s="741"/>
      <c r="AD746" s="741">
        <v>288</v>
      </c>
      <c r="AE746" s="741">
        <v>331</v>
      </c>
      <c r="AF746" s="741"/>
      <c r="AG746" s="741">
        <v>110</v>
      </c>
      <c r="AH746" s="741">
        <v>792</v>
      </c>
      <c r="AI746" s="741">
        <v>382</v>
      </c>
      <c r="AJ746" s="741">
        <v>80</v>
      </c>
      <c r="AK746" s="741"/>
      <c r="AL746" s="741">
        <v>126</v>
      </c>
      <c r="AM746" s="742">
        <v>3064</v>
      </c>
      <c r="AN746" s="743">
        <f t="shared" si="32"/>
        <v>0.60735257833703427</v>
      </c>
      <c r="AO746" s="744">
        <f t="shared" si="33"/>
        <v>0.91414141414141425</v>
      </c>
      <c r="AP746" s="745">
        <f>'09월 에너지'!S748</f>
        <v>144.80000000000001</v>
      </c>
    </row>
    <row r="747" spans="1:42" ht="16.5" customHeight="1">
      <c r="A747" s="999">
        <f>'09월 조업일지'!A747</f>
        <v>46292</v>
      </c>
      <c r="B747" s="1100">
        <f>'09월 조업일지'!B747</f>
        <v>46292</v>
      </c>
      <c r="C747" s="730">
        <f>'09월 조업일지'!G747</f>
        <v>85949</v>
      </c>
      <c r="D747" s="731" t="str">
        <f>'09월 조업일지'!E747</f>
        <v>A</v>
      </c>
      <c r="E747" s="732" t="str">
        <f>'09월 조업일지'!F747</f>
        <v>B</v>
      </c>
      <c r="F747" s="1096" t="str">
        <f>'09월 에너지'!F749</f>
        <v>SS400-01</v>
      </c>
      <c r="G747" s="733">
        <v>7</v>
      </c>
      <c r="H747" s="734">
        <v>23</v>
      </c>
      <c r="I747" s="734">
        <v>53</v>
      </c>
      <c r="J747" s="734">
        <v>17</v>
      </c>
      <c r="K747" s="735">
        <v>27</v>
      </c>
      <c r="L747" s="734">
        <v>14</v>
      </c>
      <c r="M747" s="736">
        <v>10</v>
      </c>
      <c r="N747" s="737">
        <v>416</v>
      </c>
      <c r="O747" s="737"/>
      <c r="P747" s="737">
        <v>1019</v>
      </c>
      <c r="Q747" s="737">
        <v>952</v>
      </c>
      <c r="R747" s="737"/>
      <c r="S747" s="737"/>
      <c r="T747" s="737">
        <v>64</v>
      </c>
      <c r="U747" s="738"/>
      <c r="V747" s="739">
        <v>416</v>
      </c>
      <c r="W747" s="737"/>
      <c r="X747" s="737">
        <v>1010</v>
      </c>
      <c r="Y747" s="737">
        <v>901</v>
      </c>
      <c r="Z747" s="1202">
        <v>69</v>
      </c>
      <c r="AA747" s="740"/>
      <c r="AB747" s="739">
        <v>0</v>
      </c>
      <c r="AC747" s="741"/>
      <c r="AD747" s="741">
        <v>279</v>
      </c>
      <c r="AE747" s="741">
        <v>330</v>
      </c>
      <c r="AF747" s="741">
        <v>0</v>
      </c>
      <c r="AG747" s="741">
        <v>111</v>
      </c>
      <c r="AH747" s="741">
        <v>792</v>
      </c>
      <c r="AI747" s="741">
        <v>336</v>
      </c>
      <c r="AJ747" s="741">
        <v>84</v>
      </c>
      <c r="AK747" s="741">
        <v>0</v>
      </c>
      <c r="AL747" s="741">
        <v>134</v>
      </c>
      <c r="AM747" s="742">
        <v>2575</v>
      </c>
      <c r="AN747" s="743">
        <f t="shared" si="32"/>
        <v>0.88762135922330088</v>
      </c>
      <c r="AO747" s="744">
        <f t="shared" si="33"/>
        <v>0.98084415584415585</v>
      </c>
      <c r="AP747" s="745">
        <f>'09월 에너지'!S749</f>
        <v>143.1</v>
      </c>
    </row>
    <row r="748" spans="1:42" ht="16.5" customHeight="1">
      <c r="A748" s="999">
        <f>'09월 조업일지'!A748</f>
        <v>46292</v>
      </c>
      <c r="B748" s="1100">
        <f>'09월 조업일지'!B748</f>
        <v>46292</v>
      </c>
      <c r="C748" s="730">
        <f>'09월 조업일지'!G748</f>
        <v>85950</v>
      </c>
      <c r="D748" s="731" t="str">
        <f>'09월 조업일지'!E748</f>
        <v>A</v>
      </c>
      <c r="E748" s="732" t="str">
        <f>'09월 조업일지'!F748</f>
        <v>A</v>
      </c>
      <c r="F748" s="1096" t="str">
        <f>'09월 에너지'!F750</f>
        <v>SS400-01</v>
      </c>
      <c r="G748" s="733">
        <v>7</v>
      </c>
      <c r="H748" s="734">
        <v>18</v>
      </c>
      <c r="I748" s="734">
        <v>51</v>
      </c>
      <c r="J748" s="734">
        <v>16</v>
      </c>
      <c r="K748" s="735">
        <v>29</v>
      </c>
      <c r="L748" s="734">
        <v>14</v>
      </c>
      <c r="M748" s="736">
        <v>11</v>
      </c>
      <c r="N748" s="737">
        <v>414</v>
      </c>
      <c r="O748" s="737"/>
      <c r="P748" s="737">
        <v>1016</v>
      </c>
      <c r="Q748" s="737">
        <v>950</v>
      </c>
      <c r="R748" s="737"/>
      <c r="S748" s="737"/>
      <c r="T748" s="737">
        <v>67</v>
      </c>
      <c r="U748" s="738"/>
      <c r="V748" s="739">
        <v>422</v>
      </c>
      <c r="W748" s="737"/>
      <c r="X748" s="737">
        <v>1011</v>
      </c>
      <c r="Y748" s="737">
        <v>902</v>
      </c>
      <c r="Z748" s="1202">
        <v>68</v>
      </c>
      <c r="AA748" s="740"/>
      <c r="AB748" s="739">
        <v>0</v>
      </c>
      <c r="AC748" s="741"/>
      <c r="AD748" s="741">
        <v>280</v>
      </c>
      <c r="AE748" s="741">
        <v>330</v>
      </c>
      <c r="AF748" s="741">
        <v>0</v>
      </c>
      <c r="AG748" s="741">
        <v>110</v>
      </c>
      <c r="AH748" s="741">
        <v>796</v>
      </c>
      <c r="AI748" s="741">
        <v>336</v>
      </c>
      <c r="AJ748" s="741">
        <v>79</v>
      </c>
      <c r="AK748" s="741">
        <v>0</v>
      </c>
      <c r="AL748" s="741">
        <v>132</v>
      </c>
      <c r="AM748" s="742">
        <v>2338</v>
      </c>
      <c r="AN748" s="743">
        <f t="shared" si="32"/>
        <v>0.69256865912762533</v>
      </c>
      <c r="AO748" s="744">
        <f t="shared" si="33"/>
        <v>0.92325915290739435</v>
      </c>
      <c r="AP748" s="745">
        <f>'09월 에너지'!S750</f>
        <v>142.9</v>
      </c>
    </row>
    <row r="749" spans="1:42" ht="16.5" customHeight="1">
      <c r="A749" s="999">
        <f>'09월 조업일지'!A749</f>
        <v>46292</v>
      </c>
      <c r="B749" s="1100">
        <f>'09월 조업일지'!B749</f>
        <v>46292</v>
      </c>
      <c r="C749" s="730">
        <f>'09월 조업일지'!G749</f>
        <v>85951</v>
      </c>
      <c r="D749" s="731" t="str">
        <f>'09월 조업일지'!E749</f>
        <v>A</v>
      </c>
      <c r="E749" s="732" t="str">
        <f>'09월 조업일지'!F749</f>
        <v>B</v>
      </c>
      <c r="F749" s="1096" t="str">
        <f>'09월 에너지'!F751</f>
        <v>SS400-01</v>
      </c>
      <c r="G749" s="733">
        <v>9</v>
      </c>
      <c r="H749" s="734">
        <v>24</v>
      </c>
      <c r="I749" s="734">
        <v>54</v>
      </c>
      <c r="J749" s="734">
        <v>18</v>
      </c>
      <c r="K749" s="735">
        <v>28</v>
      </c>
      <c r="L749" s="734">
        <v>16</v>
      </c>
      <c r="M749" s="736">
        <v>10</v>
      </c>
      <c r="N749" s="737">
        <v>419</v>
      </c>
      <c r="O749" s="737"/>
      <c r="P749" s="737">
        <v>1012</v>
      </c>
      <c r="Q749" s="737">
        <v>953</v>
      </c>
      <c r="R749" s="737"/>
      <c r="S749" s="737"/>
      <c r="T749" s="737">
        <v>72</v>
      </c>
      <c r="U749" s="738"/>
      <c r="V749" s="739">
        <v>421</v>
      </c>
      <c r="W749" s="737"/>
      <c r="X749" s="737">
        <v>1013</v>
      </c>
      <c r="Y749" s="737">
        <v>903</v>
      </c>
      <c r="Z749" s="1202">
        <v>69</v>
      </c>
      <c r="AA749" s="740"/>
      <c r="AB749" s="739">
        <v>0</v>
      </c>
      <c r="AC749" s="741"/>
      <c r="AD749" s="741">
        <v>279</v>
      </c>
      <c r="AE749" s="741">
        <v>330</v>
      </c>
      <c r="AF749" s="741">
        <v>0</v>
      </c>
      <c r="AG749" s="741">
        <v>110</v>
      </c>
      <c r="AH749" s="741">
        <v>792</v>
      </c>
      <c r="AI749" s="741">
        <v>332</v>
      </c>
      <c r="AJ749" s="741">
        <v>81</v>
      </c>
      <c r="AK749" s="741">
        <v>0</v>
      </c>
      <c r="AL749" s="741">
        <v>127</v>
      </c>
      <c r="AM749" s="742">
        <v>2312</v>
      </c>
      <c r="AN749" s="743">
        <f t="shared" si="32"/>
        <v>0.91810766721044046</v>
      </c>
      <c r="AO749" s="744">
        <f t="shared" si="33"/>
        <v>0.98977272727272736</v>
      </c>
      <c r="AP749" s="745">
        <f>'09월 에너지'!S751</f>
        <v>140.69999999999999</v>
      </c>
    </row>
    <row r="750" spans="1:42" ht="16.5" customHeight="1">
      <c r="A750" s="999">
        <f>'09월 조업일지'!A750</f>
        <v>46292</v>
      </c>
      <c r="B750" s="1100">
        <f>'09월 조업일지'!B750</f>
        <v>46292</v>
      </c>
      <c r="C750" s="730">
        <f>'09월 조업일지'!G750</f>
        <v>85952</v>
      </c>
      <c r="D750" s="731" t="str">
        <f>'09월 조업일지'!E750</f>
        <v>A</v>
      </c>
      <c r="E750" s="732" t="str">
        <f>'09월 조업일지'!F750</f>
        <v>A</v>
      </c>
      <c r="F750" s="1096" t="str">
        <f>'09월 에너지'!F752</f>
        <v>SS400-01</v>
      </c>
      <c r="G750" s="733">
        <v>7</v>
      </c>
      <c r="H750" s="734">
        <v>21</v>
      </c>
      <c r="I750" s="734">
        <v>46</v>
      </c>
      <c r="J750" s="734">
        <v>16</v>
      </c>
      <c r="K750" s="735">
        <v>26</v>
      </c>
      <c r="L750" s="734">
        <v>15</v>
      </c>
      <c r="M750" s="736">
        <v>9</v>
      </c>
      <c r="N750" s="737">
        <v>419</v>
      </c>
      <c r="O750" s="737"/>
      <c r="P750" s="737">
        <v>1011</v>
      </c>
      <c r="Q750" s="737">
        <v>955</v>
      </c>
      <c r="R750" s="737"/>
      <c r="S750" s="737"/>
      <c r="T750" s="737">
        <v>70</v>
      </c>
      <c r="U750" s="738"/>
      <c r="V750" s="739">
        <v>415</v>
      </c>
      <c r="W750" s="737"/>
      <c r="X750" s="737">
        <v>1018</v>
      </c>
      <c r="Y750" s="737">
        <v>903</v>
      </c>
      <c r="Z750" s="1202">
        <v>65</v>
      </c>
      <c r="AA750" s="740"/>
      <c r="AB750" s="739">
        <v>0</v>
      </c>
      <c r="AC750" s="741"/>
      <c r="AD750" s="741">
        <v>286</v>
      </c>
      <c r="AE750" s="741">
        <v>330</v>
      </c>
      <c r="AF750" s="741">
        <v>0</v>
      </c>
      <c r="AG750" s="741">
        <v>110</v>
      </c>
      <c r="AH750" s="741">
        <v>786</v>
      </c>
      <c r="AI750" s="741">
        <v>443</v>
      </c>
      <c r="AJ750" s="741">
        <v>85</v>
      </c>
      <c r="AK750" s="741">
        <v>0</v>
      </c>
      <c r="AL750" s="741">
        <v>133</v>
      </c>
      <c r="AM750" s="742">
        <v>2741</v>
      </c>
      <c r="AN750" s="743">
        <f t="shared" si="32"/>
        <v>0.65404865044985017</v>
      </c>
      <c r="AO750" s="744">
        <f t="shared" si="33"/>
        <v>0.78993093420574345</v>
      </c>
      <c r="AP750" s="745">
        <f>'09월 에너지'!S752</f>
        <v>140.19999999999999</v>
      </c>
    </row>
    <row r="751" spans="1:42" ht="16.5" customHeight="1">
      <c r="A751" s="999">
        <f>'09월 조업일지'!A751</f>
        <v>46292</v>
      </c>
      <c r="B751" s="1100">
        <f>'09월 조업일지'!B751</f>
        <v>46292</v>
      </c>
      <c r="C751" s="730">
        <f>'09월 조업일지'!G751</f>
        <v>85953</v>
      </c>
      <c r="D751" s="731" t="str">
        <f>'09월 조업일지'!E751</f>
        <v>A</v>
      </c>
      <c r="E751" s="732" t="str">
        <f>'09월 조업일지'!F751</f>
        <v>B</v>
      </c>
      <c r="F751" s="1096" t="str">
        <f>'09월 에너지'!F753</f>
        <v>SS400-01</v>
      </c>
      <c r="G751" s="733">
        <v>8</v>
      </c>
      <c r="H751" s="734">
        <v>22</v>
      </c>
      <c r="I751" s="734">
        <v>54</v>
      </c>
      <c r="J751" s="734">
        <v>19</v>
      </c>
      <c r="K751" s="735">
        <v>34</v>
      </c>
      <c r="L751" s="734">
        <v>14</v>
      </c>
      <c r="M751" s="736">
        <v>10</v>
      </c>
      <c r="N751" s="737">
        <v>424</v>
      </c>
      <c r="O751" s="737"/>
      <c r="P751" s="737">
        <v>1013</v>
      </c>
      <c r="Q751" s="737">
        <v>951</v>
      </c>
      <c r="R751" s="737"/>
      <c r="S751" s="737"/>
      <c r="T751" s="737">
        <v>74</v>
      </c>
      <c r="U751" s="738"/>
      <c r="V751" s="739">
        <v>418</v>
      </c>
      <c r="W751" s="737"/>
      <c r="X751" s="737">
        <v>1015</v>
      </c>
      <c r="Y751" s="737">
        <v>903</v>
      </c>
      <c r="Z751" s="1202">
        <v>68</v>
      </c>
      <c r="AA751" s="740"/>
      <c r="AB751" s="739">
        <v>0</v>
      </c>
      <c r="AC751" s="741"/>
      <c r="AD751" s="741">
        <v>280</v>
      </c>
      <c r="AE751" s="741">
        <v>331</v>
      </c>
      <c r="AF751" s="741">
        <v>0</v>
      </c>
      <c r="AG751" s="741">
        <v>110</v>
      </c>
      <c r="AH751" s="741">
        <v>788</v>
      </c>
      <c r="AI751" s="741">
        <v>331</v>
      </c>
      <c r="AJ751" s="741">
        <v>78</v>
      </c>
      <c r="AK751" s="741">
        <v>0</v>
      </c>
      <c r="AL751" s="741">
        <v>130</v>
      </c>
      <c r="AM751" s="742">
        <v>1619</v>
      </c>
      <c r="AN751" s="743">
        <f t="shared" si="32"/>
        <v>0.85550552599263208</v>
      </c>
      <c r="AO751" s="744">
        <f t="shared" si="33"/>
        <v>1.0075235678027559</v>
      </c>
      <c r="AP751" s="745">
        <f>'09월 에너지'!S753</f>
        <v>142.5</v>
      </c>
    </row>
    <row r="752" spans="1:42" ht="16.5" customHeight="1">
      <c r="A752" s="999">
        <f>'09월 조업일지'!A752</f>
        <v>46292</v>
      </c>
      <c r="B752" s="1100">
        <f>'09월 조업일지'!B752</f>
        <v>46292</v>
      </c>
      <c r="C752" s="730">
        <f>'09월 조업일지'!G752</f>
        <v>85954</v>
      </c>
      <c r="D752" s="731" t="str">
        <f>'09월 조업일지'!E752</f>
        <v>A</v>
      </c>
      <c r="E752" s="732" t="str">
        <f>'09월 조업일지'!F752</f>
        <v>A</v>
      </c>
      <c r="F752" s="1096" t="str">
        <f>'09월 에너지'!F754</f>
        <v>SS400-01</v>
      </c>
      <c r="G752" s="733">
        <v>12</v>
      </c>
      <c r="H752" s="734">
        <v>24</v>
      </c>
      <c r="I752" s="734">
        <v>53</v>
      </c>
      <c r="J752" s="734">
        <v>17</v>
      </c>
      <c r="K752" s="735">
        <v>37</v>
      </c>
      <c r="L752" s="734">
        <v>16</v>
      </c>
      <c r="M752" s="736">
        <v>9</v>
      </c>
      <c r="N752" s="737">
        <v>623</v>
      </c>
      <c r="O752" s="737"/>
      <c r="P752" s="737">
        <v>1014</v>
      </c>
      <c r="Q752" s="737">
        <v>953</v>
      </c>
      <c r="R752" s="737"/>
      <c r="S752" s="737"/>
      <c r="T752" s="737">
        <v>67</v>
      </c>
      <c r="U752" s="738"/>
      <c r="V752" s="739">
        <v>618</v>
      </c>
      <c r="W752" s="737"/>
      <c r="X752" s="737">
        <v>1010</v>
      </c>
      <c r="Y752" s="737">
        <v>904</v>
      </c>
      <c r="Z752" s="1202">
        <v>69</v>
      </c>
      <c r="AA752" s="740"/>
      <c r="AB752" s="739">
        <v>0</v>
      </c>
      <c r="AC752" s="741"/>
      <c r="AD752" s="741">
        <v>280</v>
      </c>
      <c r="AE752" s="741">
        <v>331</v>
      </c>
      <c r="AF752" s="741">
        <v>0</v>
      </c>
      <c r="AG752" s="741">
        <v>111</v>
      </c>
      <c r="AH752" s="741">
        <v>796</v>
      </c>
      <c r="AI752" s="741">
        <v>338</v>
      </c>
      <c r="AJ752" s="741">
        <v>81</v>
      </c>
      <c r="AK752" s="741">
        <v>0</v>
      </c>
      <c r="AL752" s="741">
        <v>144</v>
      </c>
      <c r="AM752" s="742">
        <v>2287</v>
      </c>
      <c r="AN752" s="743">
        <f t="shared" si="32"/>
        <v>0.91842316975060345</v>
      </c>
      <c r="AO752" s="744">
        <f t="shared" si="33"/>
        <v>0.97318736539842077</v>
      </c>
      <c r="AP752" s="745">
        <f>'09월 에너지'!S754</f>
        <v>142.69999999999999</v>
      </c>
    </row>
    <row r="753" spans="1:42" ht="16.5" customHeight="1">
      <c r="A753" s="999">
        <f>'09월 조업일지'!A753</f>
        <v>46293</v>
      </c>
      <c r="B753" s="1100">
        <f>'09월 조업일지'!B753</f>
        <v>46292</v>
      </c>
      <c r="C753" s="730">
        <f>'09월 조업일지'!G753</f>
        <v>85955</v>
      </c>
      <c r="D753" s="731" t="str">
        <f>'09월 조업일지'!E753</f>
        <v>A</v>
      </c>
      <c r="E753" s="732" t="str">
        <f>'09월 조업일지'!F753</f>
        <v>B</v>
      </c>
      <c r="F753" s="1231" t="str">
        <f>'09월 에너지'!F755</f>
        <v>SHN275(BB)</v>
      </c>
      <c r="G753" s="733">
        <v>10</v>
      </c>
      <c r="H753" s="734">
        <v>21</v>
      </c>
      <c r="I753" s="734">
        <v>55</v>
      </c>
      <c r="J753" s="734">
        <v>15</v>
      </c>
      <c r="K753" s="735">
        <v>23</v>
      </c>
      <c r="L753" s="734">
        <v>15</v>
      </c>
      <c r="M753" s="736">
        <v>11</v>
      </c>
      <c r="N753" s="737">
        <v>417</v>
      </c>
      <c r="O753" s="737"/>
      <c r="P753" s="737">
        <v>1008</v>
      </c>
      <c r="Q753" s="737">
        <v>951</v>
      </c>
      <c r="R753" s="737"/>
      <c r="S753" s="737"/>
      <c r="T753" s="737">
        <v>0</v>
      </c>
      <c r="U753" s="738"/>
      <c r="V753" s="739">
        <v>421</v>
      </c>
      <c r="W753" s="737"/>
      <c r="X753" s="737">
        <v>1016</v>
      </c>
      <c r="Y753" s="737">
        <v>906</v>
      </c>
      <c r="Z753" s="1202">
        <v>0</v>
      </c>
      <c r="AA753" s="740"/>
      <c r="AB753" s="739">
        <v>0</v>
      </c>
      <c r="AC753" s="741"/>
      <c r="AD753" s="741">
        <v>280</v>
      </c>
      <c r="AE753" s="741">
        <v>450</v>
      </c>
      <c r="AF753" s="741">
        <v>0</v>
      </c>
      <c r="AG753" s="741">
        <v>95</v>
      </c>
      <c r="AH753" s="741">
        <v>858</v>
      </c>
      <c r="AI753" s="741">
        <v>295</v>
      </c>
      <c r="AJ753" s="741">
        <v>94</v>
      </c>
      <c r="AK753" s="741">
        <v>0</v>
      </c>
      <c r="AL753" s="741">
        <v>0</v>
      </c>
      <c r="AM753" s="742">
        <v>2494</v>
      </c>
      <c r="AN753" s="743">
        <f t="shared" si="32"/>
        <v>0.86892413201885987</v>
      </c>
      <c r="AO753" s="744">
        <f t="shared" si="33"/>
        <v>0.96436896436896458</v>
      </c>
      <c r="AP753" s="745">
        <f>'09월 에너지'!S755</f>
        <v>144.80000000000001</v>
      </c>
    </row>
    <row r="754" spans="1:42" ht="16.5" customHeight="1">
      <c r="A754" s="999">
        <f>'09월 조업일지'!A754</f>
        <v>46293</v>
      </c>
      <c r="B754" s="1100">
        <f>'09월 조업일지'!B754</f>
        <v>46292</v>
      </c>
      <c r="C754" s="730">
        <f>'09월 조업일지'!G754</f>
        <v>85956</v>
      </c>
      <c r="D754" s="731" t="str">
        <f>'09월 조업일지'!E754</f>
        <v>A</v>
      </c>
      <c r="E754" s="732" t="str">
        <f>'09월 조업일지'!F754</f>
        <v>A</v>
      </c>
      <c r="F754" s="1096" t="str">
        <f>'09월 에너지'!F756</f>
        <v>SHN275(BB)</v>
      </c>
      <c r="G754" s="733">
        <v>8</v>
      </c>
      <c r="H754" s="734">
        <v>13</v>
      </c>
      <c r="I754" s="734">
        <v>51</v>
      </c>
      <c r="J754" s="734">
        <v>16</v>
      </c>
      <c r="K754" s="735">
        <v>26</v>
      </c>
      <c r="L754" s="734">
        <v>14</v>
      </c>
      <c r="M754" s="736">
        <v>9</v>
      </c>
      <c r="N754" s="737">
        <v>420</v>
      </c>
      <c r="O754" s="737"/>
      <c r="P754" s="737">
        <v>1012</v>
      </c>
      <c r="Q754" s="737">
        <v>954</v>
      </c>
      <c r="R754" s="737"/>
      <c r="S754" s="737"/>
      <c r="T754" s="737">
        <v>0</v>
      </c>
      <c r="U754" s="738"/>
      <c r="V754" s="739">
        <v>615</v>
      </c>
      <c r="W754" s="737"/>
      <c r="X754" s="737">
        <v>1018</v>
      </c>
      <c r="Y754" s="737">
        <v>901</v>
      </c>
      <c r="Z754" s="1202">
        <v>0</v>
      </c>
      <c r="AA754" s="740"/>
      <c r="AB754" s="739">
        <v>0</v>
      </c>
      <c r="AC754" s="741"/>
      <c r="AD754" s="741">
        <v>283</v>
      </c>
      <c r="AE754" s="741">
        <v>450</v>
      </c>
      <c r="AF754" s="741">
        <v>0</v>
      </c>
      <c r="AG754" s="741">
        <v>95</v>
      </c>
      <c r="AH754" s="741">
        <v>856</v>
      </c>
      <c r="AI754" s="741">
        <v>288</v>
      </c>
      <c r="AJ754" s="741">
        <v>95</v>
      </c>
      <c r="AK754" s="741">
        <v>0</v>
      </c>
      <c r="AL754" s="741">
        <v>0</v>
      </c>
      <c r="AM754" s="742">
        <v>2629</v>
      </c>
      <c r="AN754" s="743">
        <f t="shared" si="32"/>
        <v>0.54355400696864109</v>
      </c>
      <c r="AO754" s="744">
        <f t="shared" si="33"/>
        <v>0.86515353805073436</v>
      </c>
      <c r="AP754" s="745">
        <f>'09월 에너지'!S756</f>
        <v>144</v>
      </c>
    </row>
    <row r="755" spans="1:42" ht="16.5" customHeight="1">
      <c r="A755" s="999">
        <f>'09월 조업일지'!A755</f>
        <v>46293</v>
      </c>
      <c r="B755" s="1100">
        <f>'09월 조업일지'!B755</f>
        <v>46292</v>
      </c>
      <c r="C755" s="730">
        <f>'09월 조업일지'!G755</f>
        <v>85957</v>
      </c>
      <c r="D755" s="731" t="str">
        <f>'09월 조업일지'!E755</f>
        <v>A</v>
      </c>
      <c r="E755" s="732" t="str">
        <f>'09월 조업일지'!F755</f>
        <v>B</v>
      </c>
      <c r="F755" s="1096" t="str">
        <f>'09월 에너지'!F757</f>
        <v>SHN275(BB)</v>
      </c>
      <c r="G755" s="733">
        <v>8</v>
      </c>
      <c r="H755" s="734">
        <v>22</v>
      </c>
      <c r="I755" s="734">
        <v>59</v>
      </c>
      <c r="J755" s="734">
        <v>17</v>
      </c>
      <c r="K755" s="735">
        <v>29</v>
      </c>
      <c r="L755" s="734">
        <v>14</v>
      </c>
      <c r="M755" s="736">
        <v>10</v>
      </c>
      <c r="N755" s="737">
        <v>422</v>
      </c>
      <c r="O755" s="737"/>
      <c r="P755" s="737">
        <v>1012</v>
      </c>
      <c r="Q755" s="737">
        <v>953</v>
      </c>
      <c r="R755" s="737"/>
      <c r="S755" s="737"/>
      <c r="T755" s="737">
        <v>0</v>
      </c>
      <c r="U755" s="738"/>
      <c r="V755" s="739">
        <v>424</v>
      </c>
      <c r="W755" s="737"/>
      <c r="X755" s="737">
        <v>1017</v>
      </c>
      <c r="Y755" s="737">
        <v>900</v>
      </c>
      <c r="Z755" s="1202">
        <v>0</v>
      </c>
      <c r="AA755" s="740"/>
      <c r="AB755" s="739">
        <v>0</v>
      </c>
      <c r="AC755" s="741"/>
      <c r="AD755" s="741">
        <v>279</v>
      </c>
      <c r="AE755" s="741">
        <v>451</v>
      </c>
      <c r="AF755" s="741">
        <v>0</v>
      </c>
      <c r="AG755" s="741">
        <v>96</v>
      </c>
      <c r="AH755" s="741">
        <v>851</v>
      </c>
      <c r="AI755" s="741">
        <v>303</v>
      </c>
      <c r="AJ755" s="741">
        <v>91</v>
      </c>
      <c r="AK755" s="741">
        <v>0</v>
      </c>
      <c r="AL755" s="741">
        <v>0</v>
      </c>
      <c r="AM755" s="742">
        <v>2153</v>
      </c>
      <c r="AN755" s="743">
        <f t="shared" si="32"/>
        <v>0.88830656522964213</v>
      </c>
      <c r="AO755" s="744">
        <f t="shared" si="33"/>
        <v>1.0584522410609367</v>
      </c>
      <c r="AP755" s="745">
        <f>'09월 에너지'!S757</f>
        <v>143.30000000000001</v>
      </c>
    </row>
    <row r="756" spans="1:42" ht="16.5" customHeight="1">
      <c r="A756" s="999">
        <f>'09월 조업일지'!A756</f>
        <v>46293</v>
      </c>
      <c r="B756" s="1100">
        <f>'09월 조업일지'!B756</f>
        <v>46292</v>
      </c>
      <c r="C756" s="730">
        <f>'09월 조업일지'!G756</f>
        <v>85958</v>
      </c>
      <c r="D756" s="731" t="str">
        <f>'09월 조업일지'!E756</f>
        <v>A</v>
      </c>
      <c r="E756" s="732" t="str">
        <f>'09월 조업일지'!F756</f>
        <v>A</v>
      </c>
      <c r="F756" s="1096" t="str">
        <f>'09월 에너지'!F758</f>
        <v>SHN275(BB)</v>
      </c>
      <c r="G756" s="733">
        <v>8</v>
      </c>
      <c r="H756" s="734">
        <v>22</v>
      </c>
      <c r="I756" s="734">
        <v>56</v>
      </c>
      <c r="J756" s="734">
        <v>18</v>
      </c>
      <c r="K756" s="735">
        <v>49</v>
      </c>
      <c r="L756" s="734">
        <v>18</v>
      </c>
      <c r="M756" s="736">
        <v>12</v>
      </c>
      <c r="N756" s="737">
        <v>419</v>
      </c>
      <c r="O756" s="737"/>
      <c r="P756" s="737">
        <v>1015</v>
      </c>
      <c r="Q756" s="737">
        <v>953</v>
      </c>
      <c r="R756" s="737"/>
      <c r="S756" s="737"/>
      <c r="T756" s="737">
        <v>0</v>
      </c>
      <c r="U756" s="738"/>
      <c r="V756" s="739">
        <v>623</v>
      </c>
      <c r="W756" s="737"/>
      <c r="X756" s="737">
        <v>1016</v>
      </c>
      <c r="Y756" s="737">
        <v>902</v>
      </c>
      <c r="Z756" s="1202">
        <v>0</v>
      </c>
      <c r="AA756" s="740"/>
      <c r="AB756" s="739">
        <v>0</v>
      </c>
      <c r="AC756" s="741"/>
      <c r="AD756" s="741">
        <v>282</v>
      </c>
      <c r="AE756" s="741">
        <v>451</v>
      </c>
      <c r="AF756" s="741">
        <v>0</v>
      </c>
      <c r="AG756" s="741">
        <v>95</v>
      </c>
      <c r="AH756" s="741">
        <v>847</v>
      </c>
      <c r="AI756" s="741">
        <v>394</v>
      </c>
      <c r="AJ756" s="741">
        <v>96</v>
      </c>
      <c r="AK756" s="741">
        <v>0</v>
      </c>
      <c r="AL756" s="741">
        <v>0</v>
      </c>
      <c r="AM756" s="742">
        <v>1814</v>
      </c>
      <c r="AN756" s="743">
        <f t="shared" si="32"/>
        <v>0.73619689977517444</v>
      </c>
      <c r="AO756" s="744">
        <f t="shared" si="33"/>
        <v>0.97780401416765061</v>
      </c>
      <c r="AP756" s="745">
        <f>'09월 에너지'!S758</f>
        <v>141.4</v>
      </c>
    </row>
    <row r="757" spans="1:42" ht="16.5" customHeight="1">
      <c r="A757" s="999">
        <f>'09월 조업일지'!A757</f>
        <v>46293</v>
      </c>
      <c r="B757" s="1100">
        <f>'09월 조업일지'!B757</f>
        <v>46293</v>
      </c>
      <c r="C757" s="730">
        <f>'09월 조업일지'!G757</f>
        <v>85959</v>
      </c>
      <c r="D757" s="731" t="str">
        <f>'09월 조업일지'!E757</f>
        <v>C</v>
      </c>
      <c r="E757" s="732" t="str">
        <f>'09월 조업일지'!F757</f>
        <v>B</v>
      </c>
      <c r="F757" s="1096" t="str">
        <f>'09월 에너지'!F759</f>
        <v>SHN275(BB)</v>
      </c>
      <c r="G757" s="733">
        <v>7</v>
      </c>
      <c r="H757" s="734">
        <v>17</v>
      </c>
      <c r="I757" s="734">
        <v>57</v>
      </c>
      <c r="J757" s="734">
        <v>17</v>
      </c>
      <c r="K757" s="735">
        <v>23</v>
      </c>
      <c r="L757" s="734">
        <v>15</v>
      </c>
      <c r="M757" s="736">
        <v>10</v>
      </c>
      <c r="N757" s="737">
        <v>420</v>
      </c>
      <c r="O757" s="737"/>
      <c r="P757" s="737">
        <v>1009</v>
      </c>
      <c r="Q757" s="737">
        <v>953</v>
      </c>
      <c r="R757" s="737"/>
      <c r="S757" s="737"/>
      <c r="T757" s="737"/>
      <c r="U757" s="738"/>
      <c r="V757" s="739">
        <v>421</v>
      </c>
      <c r="W757" s="737"/>
      <c r="X757" s="737">
        <v>1009</v>
      </c>
      <c r="Y757" s="737">
        <v>904</v>
      </c>
      <c r="Z757" s="1202"/>
      <c r="AA757" s="740"/>
      <c r="AB757" s="739"/>
      <c r="AC757" s="741"/>
      <c r="AD757" s="741">
        <v>287</v>
      </c>
      <c r="AE757" s="741">
        <v>451</v>
      </c>
      <c r="AF757" s="741"/>
      <c r="AG757" s="741">
        <v>95</v>
      </c>
      <c r="AH757" s="741">
        <v>844</v>
      </c>
      <c r="AI757" s="741">
        <v>293</v>
      </c>
      <c r="AJ757" s="741">
        <v>91</v>
      </c>
      <c r="AK757" s="741"/>
      <c r="AL757" s="741"/>
      <c r="AM757" s="742">
        <v>3073</v>
      </c>
      <c r="AN757" s="743">
        <f t="shared" si="32"/>
        <v>0.70729031326692648</v>
      </c>
      <c r="AO757" s="744">
        <f t="shared" si="33"/>
        <v>1.0244075829383887</v>
      </c>
      <c r="AP757" s="745">
        <f>'09월 에너지'!S759</f>
        <v>144.1</v>
      </c>
    </row>
    <row r="758" spans="1:42" ht="16.5" customHeight="1">
      <c r="A758" s="999">
        <f>'09월 조업일지'!A758</f>
        <v>46293</v>
      </c>
      <c r="B758" s="1100">
        <f>'09월 조업일지'!B758</f>
        <v>46293</v>
      </c>
      <c r="C758" s="730">
        <f>'09월 조업일지'!G758</f>
        <v>85960</v>
      </c>
      <c r="D758" s="731" t="str">
        <f>'09월 조업일지'!E758</f>
        <v>C</v>
      </c>
      <c r="E758" s="732" t="str">
        <f>'09월 조업일지'!F758</f>
        <v>A</v>
      </c>
      <c r="F758" s="1096" t="str">
        <f>'09월 에너지'!F760</f>
        <v>SHN275(BB)</v>
      </c>
      <c r="G758" s="733">
        <v>10</v>
      </c>
      <c r="H758" s="734">
        <v>16</v>
      </c>
      <c r="I758" s="734">
        <v>57</v>
      </c>
      <c r="J758" s="734">
        <v>17</v>
      </c>
      <c r="K758" s="735">
        <v>37</v>
      </c>
      <c r="L758" s="734">
        <v>15</v>
      </c>
      <c r="M758" s="736">
        <v>11</v>
      </c>
      <c r="N758" s="737">
        <v>415</v>
      </c>
      <c r="O758" s="737"/>
      <c r="P758" s="737">
        <v>1015</v>
      </c>
      <c r="Q758" s="737">
        <v>951</v>
      </c>
      <c r="R758" s="737"/>
      <c r="S758" s="737"/>
      <c r="T758" s="737"/>
      <c r="U758" s="738"/>
      <c r="V758" s="739">
        <v>419</v>
      </c>
      <c r="W758" s="737"/>
      <c r="X758" s="737">
        <v>1012</v>
      </c>
      <c r="Y758" s="737">
        <v>904</v>
      </c>
      <c r="Z758" s="1202"/>
      <c r="AA758" s="740"/>
      <c r="AB758" s="739"/>
      <c r="AC758" s="741"/>
      <c r="AD758" s="741">
        <v>278</v>
      </c>
      <c r="AE758" s="741">
        <v>450</v>
      </c>
      <c r="AF758" s="741"/>
      <c r="AG758" s="741">
        <v>95</v>
      </c>
      <c r="AH758" s="741">
        <v>849</v>
      </c>
      <c r="AI758" s="741">
        <v>300</v>
      </c>
      <c r="AJ758" s="741">
        <v>88</v>
      </c>
      <c r="AK758" s="741"/>
      <c r="AL758" s="741"/>
      <c r="AM758" s="742">
        <v>1741</v>
      </c>
      <c r="AN758" s="743">
        <f t="shared" si="32"/>
        <v>0.64435930183056611</v>
      </c>
      <c r="AO758" s="744">
        <f t="shared" si="33"/>
        <v>1.002826855123675</v>
      </c>
      <c r="AP758" s="745">
        <f>'09월 에너지'!S760</f>
        <v>141.9</v>
      </c>
    </row>
    <row r="759" spans="1:42" ht="16.5" customHeight="1">
      <c r="A759" s="999">
        <f>'09월 조업일지'!A759</f>
        <v>46293</v>
      </c>
      <c r="B759" s="1100">
        <f>'09월 조업일지'!B759</f>
        <v>46293</v>
      </c>
      <c r="C759" s="730">
        <f>'09월 조업일지'!G759</f>
        <v>85961</v>
      </c>
      <c r="D759" s="731" t="str">
        <f>'09월 조업일지'!E759</f>
        <v>C</v>
      </c>
      <c r="E759" s="732" t="str">
        <f>'09월 조업일지'!F759</f>
        <v>B</v>
      </c>
      <c r="F759" s="1231" t="str">
        <f>'09월 에너지'!F761</f>
        <v>SS400-01</v>
      </c>
      <c r="G759" s="733">
        <v>7</v>
      </c>
      <c r="H759" s="734">
        <v>18</v>
      </c>
      <c r="I759" s="734">
        <v>52</v>
      </c>
      <c r="J759" s="734">
        <v>14</v>
      </c>
      <c r="K759" s="735">
        <v>23</v>
      </c>
      <c r="L759" s="734">
        <v>15</v>
      </c>
      <c r="M759" s="736">
        <v>8</v>
      </c>
      <c r="N759" s="737">
        <v>422</v>
      </c>
      <c r="O759" s="737"/>
      <c r="P759" s="737">
        <v>1011</v>
      </c>
      <c r="Q759" s="737">
        <v>952</v>
      </c>
      <c r="R759" s="737"/>
      <c r="S759" s="737"/>
      <c r="T759" s="737">
        <v>71</v>
      </c>
      <c r="U759" s="738"/>
      <c r="V759" s="739">
        <v>423</v>
      </c>
      <c r="W759" s="737"/>
      <c r="X759" s="737">
        <v>1011</v>
      </c>
      <c r="Y759" s="737">
        <v>902</v>
      </c>
      <c r="Z759" s="1202">
        <v>64</v>
      </c>
      <c r="AA759" s="740"/>
      <c r="AB759" s="739"/>
      <c r="AC759" s="741"/>
      <c r="AD759" s="741">
        <v>283</v>
      </c>
      <c r="AE759" s="741">
        <v>331</v>
      </c>
      <c r="AF759" s="741"/>
      <c r="AG759" s="741">
        <v>111</v>
      </c>
      <c r="AH759" s="741">
        <v>798</v>
      </c>
      <c r="AI759" s="741">
        <v>331</v>
      </c>
      <c r="AJ759" s="741">
        <v>81</v>
      </c>
      <c r="AK759" s="741"/>
      <c r="AL759" s="741">
        <v>126</v>
      </c>
      <c r="AM759" s="742">
        <v>1671</v>
      </c>
      <c r="AN759" s="743">
        <f t="shared" si="32"/>
        <v>0.71275988585405625</v>
      </c>
      <c r="AO759" s="744">
        <f t="shared" si="33"/>
        <v>0.96507339778016488</v>
      </c>
      <c r="AP759" s="745">
        <f>'09월 에너지'!S761</f>
        <v>145.69999999999999</v>
      </c>
    </row>
    <row r="760" spans="1:42" ht="16.5" customHeight="1">
      <c r="A760" s="999">
        <f>'09월 조업일지'!A760</f>
        <v>46293</v>
      </c>
      <c r="B760" s="1100">
        <f>'09월 조업일지'!B760</f>
        <v>46293</v>
      </c>
      <c r="C760" s="730">
        <f>'09월 조업일지'!G760</f>
        <v>85962</v>
      </c>
      <c r="D760" s="731" t="str">
        <f>'09월 조업일지'!E760</f>
        <v>C</v>
      </c>
      <c r="E760" s="732" t="str">
        <f>'09월 조업일지'!F760</f>
        <v>A</v>
      </c>
      <c r="F760" s="1096" t="str">
        <f>'09월 에너지'!F762</f>
        <v>SS400-01</v>
      </c>
      <c r="G760" s="733">
        <v>6</v>
      </c>
      <c r="H760" s="734">
        <v>5</v>
      </c>
      <c r="I760" s="734">
        <v>37</v>
      </c>
      <c r="J760" s="734">
        <v>25</v>
      </c>
      <c r="K760" s="735">
        <v>31</v>
      </c>
      <c r="L760" s="734">
        <v>14</v>
      </c>
      <c r="M760" s="736">
        <v>10</v>
      </c>
      <c r="N760" s="737">
        <v>520</v>
      </c>
      <c r="O760" s="737"/>
      <c r="P760" s="737">
        <v>1309</v>
      </c>
      <c r="Q760" s="737">
        <v>1501</v>
      </c>
      <c r="R760" s="737"/>
      <c r="S760" s="737"/>
      <c r="T760" s="737">
        <v>65</v>
      </c>
      <c r="U760" s="738"/>
      <c r="V760" s="739">
        <v>0</v>
      </c>
      <c r="W760" s="737"/>
      <c r="X760" s="737">
        <v>0</v>
      </c>
      <c r="Y760" s="737">
        <v>0</v>
      </c>
      <c r="Z760" s="1202">
        <v>0</v>
      </c>
      <c r="AA760" s="740"/>
      <c r="AB760" s="739"/>
      <c r="AC760" s="741"/>
      <c r="AD760" s="741">
        <v>0</v>
      </c>
      <c r="AE760" s="741">
        <v>0</v>
      </c>
      <c r="AF760" s="741"/>
      <c r="AG760" s="741">
        <v>0</v>
      </c>
      <c r="AH760" s="741">
        <v>448</v>
      </c>
      <c r="AI760" s="741">
        <v>606</v>
      </c>
      <c r="AJ760" s="741">
        <v>0</v>
      </c>
      <c r="AK760" s="741"/>
      <c r="AL760" s="741">
        <v>0</v>
      </c>
      <c r="AM760" s="742">
        <v>3229</v>
      </c>
      <c r="AN760" s="743">
        <f t="shared" si="32"/>
        <v>0.11337933678359209</v>
      </c>
      <c r="AO760" s="744">
        <f t="shared" si="33"/>
        <v>0.82991071428571439</v>
      </c>
      <c r="AP760" s="745">
        <f>'09월 에너지'!S762</f>
        <v>118.3</v>
      </c>
    </row>
    <row r="761" spans="1:42" ht="16.5" customHeight="1">
      <c r="A761" s="999">
        <f>'09월 조업일지'!A761</f>
        <v>46293</v>
      </c>
      <c r="B761" s="1100">
        <f>'09월 조업일지'!B761</f>
        <v>46293</v>
      </c>
      <c r="C761" s="730">
        <f>'09월 조업일지'!G761</f>
        <v>85963</v>
      </c>
      <c r="D761" s="731" t="str">
        <f>'09월 조업일지'!E761</f>
        <v>C</v>
      </c>
      <c r="E761" s="732" t="str">
        <f>'09월 조업일지'!F761</f>
        <v>B</v>
      </c>
      <c r="F761" s="1096" t="str">
        <f>'09월 에너지'!F763</f>
        <v>SS400-01</v>
      </c>
      <c r="G761" s="733">
        <v>8</v>
      </c>
      <c r="H761" s="734">
        <v>13</v>
      </c>
      <c r="I761" s="734">
        <v>52</v>
      </c>
      <c r="J761" s="734">
        <v>24</v>
      </c>
      <c r="K761" s="735">
        <v>28</v>
      </c>
      <c r="L761" s="734">
        <v>11</v>
      </c>
      <c r="M761" s="736">
        <v>8</v>
      </c>
      <c r="N761" s="737">
        <v>517</v>
      </c>
      <c r="O761" s="737"/>
      <c r="P761" s="737">
        <v>1310</v>
      </c>
      <c r="Q761" s="737">
        <v>1500</v>
      </c>
      <c r="R761" s="737"/>
      <c r="S761" s="737"/>
      <c r="T761" s="737">
        <v>0</v>
      </c>
      <c r="U761" s="738"/>
      <c r="V761" s="739">
        <v>0</v>
      </c>
      <c r="W761" s="737"/>
      <c r="X761" s="737">
        <v>0</v>
      </c>
      <c r="Y761" s="737">
        <v>0</v>
      </c>
      <c r="Z761" s="1202">
        <v>0</v>
      </c>
      <c r="AA761" s="740"/>
      <c r="AB761" s="739"/>
      <c r="AC761" s="741"/>
      <c r="AD761" s="741">
        <v>0</v>
      </c>
      <c r="AE761" s="741">
        <v>0</v>
      </c>
      <c r="AF761" s="741"/>
      <c r="AG761" s="741">
        <v>0</v>
      </c>
      <c r="AH761" s="741">
        <v>451</v>
      </c>
      <c r="AI761" s="741">
        <v>617</v>
      </c>
      <c r="AJ761" s="741">
        <v>0</v>
      </c>
      <c r="AK761" s="741"/>
      <c r="AL761" s="741">
        <v>0</v>
      </c>
      <c r="AM761" s="742">
        <v>3768</v>
      </c>
      <c r="AN761" s="743">
        <f t="shared" si="32"/>
        <v>0.28823529411764709</v>
      </c>
      <c r="AO761" s="744">
        <f t="shared" si="33"/>
        <v>1.3782705099778272</v>
      </c>
      <c r="AP761" s="745">
        <f>'09월 에너지'!S763</f>
        <v>117.6</v>
      </c>
    </row>
    <row r="762" spans="1:42" ht="16.5" customHeight="1">
      <c r="A762" s="999">
        <f>'09월 조업일지'!A762</f>
        <v>46293</v>
      </c>
      <c r="B762" s="1100">
        <f>'09월 조업일지'!B762</f>
        <v>46293</v>
      </c>
      <c r="C762" s="730">
        <f>'09월 조업일지'!G762</f>
        <v>85964</v>
      </c>
      <c r="D762" s="731" t="str">
        <f>'09월 조업일지'!E762</f>
        <v>D</v>
      </c>
      <c r="E762" s="732" t="str">
        <f>'09월 조업일지'!F762</f>
        <v>A</v>
      </c>
      <c r="F762" s="1231" t="str">
        <f>'09월 에너지'!F764</f>
        <v>SS400-05</v>
      </c>
      <c r="G762" s="733">
        <v>7</v>
      </c>
      <c r="H762" s="734">
        <v>19</v>
      </c>
      <c r="I762" s="734">
        <v>51</v>
      </c>
      <c r="J762" s="734">
        <v>13</v>
      </c>
      <c r="K762" s="735">
        <v>16</v>
      </c>
      <c r="L762" s="734">
        <v>8</v>
      </c>
      <c r="M762" s="736">
        <v>6</v>
      </c>
      <c r="N762" s="737">
        <v>618</v>
      </c>
      <c r="O762" s="737"/>
      <c r="P762" s="737">
        <v>1114</v>
      </c>
      <c r="Q762" s="737">
        <v>1005</v>
      </c>
      <c r="R762" s="737"/>
      <c r="S762" s="737"/>
      <c r="T762" s="737">
        <v>67</v>
      </c>
      <c r="U762" s="738"/>
      <c r="V762" s="739">
        <v>619</v>
      </c>
      <c r="W762" s="737"/>
      <c r="X762" s="737">
        <v>1113</v>
      </c>
      <c r="Y762" s="737">
        <v>1001</v>
      </c>
      <c r="Z762" s="1202">
        <v>58</v>
      </c>
      <c r="AA762" s="740"/>
      <c r="AB762" s="739"/>
      <c r="AC762" s="741"/>
      <c r="AD762" s="741">
        <v>270</v>
      </c>
      <c r="AE762" s="741">
        <v>317</v>
      </c>
      <c r="AF762" s="741"/>
      <c r="AG762" s="741">
        <v>95</v>
      </c>
      <c r="AH762" s="741">
        <v>745</v>
      </c>
      <c r="AI762" s="741">
        <v>281</v>
      </c>
      <c r="AJ762" s="741">
        <v>59</v>
      </c>
      <c r="AK762" s="741"/>
      <c r="AL762" s="741">
        <v>135</v>
      </c>
      <c r="AM762" s="742">
        <v>2973</v>
      </c>
      <c r="AN762" s="743">
        <f t="shared" si="32"/>
        <v>0.78651162790697671</v>
      </c>
      <c r="AO762" s="744">
        <f t="shared" si="33"/>
        <v>0.92157238734419944</v>
      </c>
      <c r="AP762" s="745">
        <f>'09월 에너지'!S764</f>
        <v>133.5</v>
      </c>
    </row>
    <row r="763" spans="1:42" ht="16.5" customHeight="1">
      <c r="A763" s="999">
        <f>'09월 조업일지'!A763</f>
        <v>46293</v>
      </c>
      <c r="B763" s="1100">
        <f>'09월 조업일지'!B763</f>
        <v>46293</v>
      </c>
      <c r="C763" s="730">
        <f>'09월 조업일지'!G763</f>
        <v>85965</v>
      </c>
      <c r="D763" s="731" t="str">
        <f>'09월 조업일지'!E763</f>
        <v>D</v>
      </c>
      <c r="E763" s="732" t="str">
        <f>'09월 조업일지'!F763</f>
        <v>A</v>
      </c>
      <c r="F763" s="1096" t="str">
        <f>'09월 에너지'!F765</f>
        <v>SS400-05</v>
      </c>
      <c r="G763" s="733">
        <v>9</v>
      </c>
      <c r="H763" s="734">
        <v>23</v>
      </c>
      <c r="I763" s="734">
        <v>52</v>
      </c>
      <c r="J763" s="734">
        <v>15</v>
      </c>
      <c r="K763" s="735">
        <v>24</v>
      </c>
      <c r="L763" s="734">
        <v>14</v>
      </c>
      <c r="M763" s="736">
        <v>15</v>
      </c>
      <c r="N763" s="737">
        <v>420</v>
      </c>
      <c r="O763" s="737"/>
      <c r="P763" s="737">
        <v>1015</v>
      </c>
      <c r="Q763" s="737">
        <v>951</v>
      </c>
      <c r="R763" s="737"/>
      <c r="S763" s="737"/>
      <c r="T763" s="737"/>
      <c r="U763" s="738"/>
      <c r="V763" s="739">
        <v>417</v>
      </c>
      <c r="W763" s="737"/>
      <c r="X763" s="737">
        <v>1017</v>
      </c>
      <c r="Y763" s="737">
        <v>899</v>
      </c>
      <c r="Z763" s="1202"/>
      <c r="AA763" s="740"/>
      <c r="AB763" s="739"/>
      <c r="AC763" s="741"/>
      <c r="AD763" s="741">
        <v>282</v>
      </c>
      <c r="AE763" s="741">
        <v>328</v>
      </c>
      <c r="AF763" s="741"/>
      <c r="AG763" s="741">
        <v>110</v>
      </c>
      <c r="AH763" s="741">
        <v>841</v>
      </c>
      <c r="AI763" s="741">
        <v>328</v>
      </c>
      <c r="AJ763" s="741">
        <v>80</v>
      </c>
      <c r="AK763" s="741"/>
      <c r="AL763" s="741">
        <v>133</v>
      </c>
      <c r="AM763" s="742">
        <v>2794</v>
      </c>
      <c r="AN763" s="743">
        <f t="shared" si="32"/>
        <v>0.84484750772537964</v>
      </c>
      <c r="AO763" s="744">
        <f t="shared" si="33"/>
        <v>0.85916426023441494</v>
      </c>
      <c r="AP763" s="745">
        <f>'09월 에너지'!S765</f>
        <v>136.69999999999999</v>
      </c>
    </row>
    <row r="764" spans="1:42" ht="16.5" customHeight="1">
      <c r="A764" s="999">
        <f>'09월 조업일지'!A764</f>
        <v>46293</v>
      </c>
      <c r="B764" s="1100">
        <f>'09월 조업일지'!B764</f>
        <v>46293</v>
      </c>
      <c r="C764" s="730">
        <f>'09월 조업일지'!G764</f>
        <v>85966</v>
      </c>
      <c r="D764" s="731" t="str">
        <f>'09월 조업일지'!E764</f>
        <v>D</v>
      </c>
      <c r="E764" s="732" t="str">
        <f>'09월 조업일지'!F764</f>
        <v>B</v>
      </c>
      <c r="F764" s="1096" t="str">
        <f>'09월 에너지'!F766</f>
        <v>SS400-05</v>
      </c>
      <c r="G764" s="733">
        <v>9</v>
      </c>
      <c r="H764" s="734">
        <v>23</v>
      </c>
      <c r="I764" s="734">
        <v>58</v>
      </c>
      <c r="J764" s="734">
        <v>15</v>
      </c>
      <c r="K764" s="735">
        <v>20</v>
      </c>
      <c r="L764" s="734">
        <v>6</v>
      </c>
      <c r="M764" s="736">
        <v>7</v>
      </c>
      <c r="N764" s="737">
        <v>420</v>
      </c>
      <c r="O764" s="737"/>
      <c r="P764" s="737">
        <v>1015</v>
      </c>
      <c r="Q764" s="737">
        <v>951</v>
      </c>
      <c r="R764" s="737"/>
      <c r="S764" s="737"/>
      <c r="T764" s="737"/>
      <c r="U764" s="738"/>
      <c r="V764" s="739">
        <v>417</v>
      </c>
      <c r="W764" s="737"/>
      <c r="X764" s="737">
        <v>1017</v>
      </c>
      <c r="Y764" s="737">
        <v>899</v>
      </c>
      <c r="Z764" s="1202"/>
      <c r="AA764" s="740"/>
      <c r="AB764" s="739"/>
      <c r="AC764" s="741"/>
      <c r="AD764" s="741">
        <v>282</v>
      </c>
      <c r="AE764" s="741">
        <v>328</v>
      </c>
      <c r="AF764" s="741"/>
      <c r="AG764" s="741">
        <v>110</v>
      </c>
      <c r="AH764" s="741">
        <v>841</v>
      </c>
      <c r="AI764" s="741">
        <v>326</v>
      </c>
      <c r="AJ764" s="741">
        <v>80</v>
      </c>
      <c r="AK764" s="741"/>
      <c r="AL764" s="741">
        <v>133</v>
      </c>
      <c r="AM764" s="742">
        <v>2794</v>
      </c>
      <c r="AN764" s="743">
        <f t="shared" si="32"/>
        <v>0.83151220828274652</v>
      </c>
      <c r="AO764" s="744">
        <f t="shared" si="33"/>
        <v>0.97876677424834402</v>
      </c>
      <c r="AP764" s="745">
        <f>'09월 에너지'!S766</f>
        <v>134</v>
      </c>
    </row>
    <row r="765" spans="1:42" ht="16.5" customHeight="1">
      <c r="A765" s="999">
        <f>'09월 조업일지'!A765</f>
        <v>46293</v>
      </c>
      <c r="B765" s="1100">
        <f>'09월 조업일지'!B765</f>
        <v>46293</v>
      </c>
      <c r="C765" s="730">
        <f>'09월 조업일지'!G765</f>
        <v>85967</v>
      </c>
      <c r="D765" s="731" t="str">
        <f>'09월 조업일지'!E765</f>
        <v>D</v>
      </c>
      <c r="E765" s="732" t="str">
        <f>'09월 조업일지'!F765</f>
        <v>A</v>
      </c>
      <c r="F765" s="1231" t="str">
        <f>'09월 에너지'!F767</f>
        <v>S355JO/JR(BL)</v>
      </c>
      <c r="G765" s="733">
        <v>9</v>
      </c>
      <c r="H765" s="734">
        <v>18</v>
      </c>
      <c r="I765" s="734">
        <v>115</v>
      </c>
      <c r="J765" s="734">
        <v>15</v>
      </c>
      <c r="K765" s="735">
        <v>27</v>
      </c>
      <c r="L765" s="734">
        <v>16</v>
      </c>
      <c r="M765" s="736">
        <v>10</v>
      </c>
      <c r="N765" s="737">
        <v>425</v>
      </c>
      <c r="O765" s="737"/>
      <c r="P765" s="737">
        <v>1009</v>
      </c>
      <c r="Q765" s="737">
        <v>953</v>
      </c>
      <c r="R765" s="737"/>
      <c r="S765" s="737"/>
      <c r="T765" s="737">
        <v>0</v>
      </c>
      <c r="U765" s="738"/>
      <c r="V765" s="739">
        <v>419</v>
      </c>
      <c r="W765" s="737"/>
      <c r="X765" s="737">
        <v>1008</v>
      </c>
      <c r="Y765" s="737">
        <v>902</v>
      </c>
      <c r="Z765" s="1202">
        <v>0</v>
      </c>
      <c r="AA765" s="740"/>
      <c r="AB765" s="739">
        <v>0</v>
      </c>
      <c r="AC765" s="741"/>
      <c r="AD765" s="741">
        <v>286</v>
      </c>
      <c r="AE765" s="741">
        <v>328</v>
      </c>
      <c r="AF765" s="741">
        <v>0</v>
      </c>
      <c r="AG765" s="741">
        <v>95</v>
      </c>
      <c r="AH765" s="741">
        <v>2351</v>
      </c>
      <c r="AI765" s="741">
        <v>0</v>
      </c>
      <c r="AJ765" s="741">
        <v>89</v>
      </c>
      <c r="AK765" s="741">
        <v>0</v>
      </c>
      <c r="AL765" s="741">
        <v>127</v>
      </c>
      <c r="AM765" s="742">
        <v>2529</v>
      </c>
      <c r="AN765" s="743">
        <f t="shared" si="32"/>
        <v>0.73500638026371756</v>
      </c>
      <c r="AO765" s="744">
        <f t="shared" si="33"/>
        <v>0.87500759555204477</v>
      </c>
      <c r="AP765" s="745">
        <f>'09월 에너지'!S767</f>
        <v>144</v>
      </c>
    </row>
    <row r="766" spans="1:42" ht="16.5" customHeight="1">
      <c r="A766" s="999">
        <f>'09월 조업일지'!A766</f>
        <v>46293</v>
      </c>
      <c r="B766" s="1100">
        <f>'09월 조업일지'!B766</f>
        <v>46293</v>
      </c>
      <c r="C766" s="730">
        <f>'09월 조업일지'!G766</f>
        <v>85968</v>
      </c>
      <c r="D766" s="731" t="str">
        <f>'09월 조업일지'!E766</f>
        <v>A</v>
      </c>
      <c r="E766" s="732" t="str">
        <f>'09월 조업일지'!F766</f>
        <v>B</v>
      </c>
      <c r="F766" s="1096" t="str">
        <f>'09월 에너지'!F768</f>
        <v>S355JO/JR(BL)</v>
      </c>
      <c r="G766" s="733">
        <v>10</v>
      </c>
      <c r="H766" s="734">
        <v>23</v>
      </c>
      <c r="I766" s="734">
        <v>125</v>
      </c>
      <c r="J766" s="734">
        <v>11</v>
      </c>
      <c r="K766" s="735">
        <v>18</v>
      </c>
      <c r="L766" s="734">
        <v>8</v>
      </c>
      <c r="M766" s="736">
        <v>8</v>
      </c>
      <c r="N766" s="737">
        <v>424</v>
      </c>
      <c r="O766" s="737"/>
      <c r="P766" s="737">
        <v>1015</v>
      </c>
      <c r="Q766" s="737">
        <v>950</v>
      </c>
      <c r="R766" s="737"/>
      <c r="S766" s="737"/>
      <c r="T766" s="737">
        <v>0</v>
      </c>
      <c r="U766" s="738"/>
      <c r="V766" s="739">
        <v>411</v>
      </c>
      <c r="W766" s="737"/>
      <c r="X766" s="737">
        <v>1009</v>
      </c>
      <c r="Y766" s="737">
        <v>902</v>
      </c>
      <c r="Z766" s="1202">
        <v>0</v>
      </c>
      <c r="AA766" s="740"/>
      <c r="AB766" s="739">
        <v>0</v>
      </c>
      <c r="AC766" s="741"/>
      <c r="AD766" s="741">
        <v>291</v>
      </c>
      <c r="AE766" s="741">
        <v>329</v>
      </c>
      <c r="AF766" s="741">
        <v>0</v>
      </c>
      <c r="AG766" s="741">
        <v>95</v>
      </c>
      <c r="AH766" s="741">
        <v>2349</v>
      </c>
      <c r="AI766" s="741">
        <v>0</v>
      </c>
      <c r="AJ766" s="741">
        <v>85</v>
      </c>
      <c r="AK766" s="741">
        <v>0</v>
      </c>
      <c r="AL766" s="741">
        <v>126</v>
      </c>
      <c r="AM766" s="742">
        <v>2708</v>
      </c>
      <c r="AN766" s="743">
        <f t="shared" si="32"/>
        <v>0.92561373634170574</v>
      </c>
      <c r="AO766" s="744">
        <f t="shared" si="33"/>
        <v>0.94861035090920143</v>
      </c>
      <c r="AP766" s="745">
        <f>'09월 에너지'!S768</f>
        <v>141.80000000000001</v>
      </c>
    </row>
    <row r="767" spans="1:42" ht="16.5" customHeight="1">
      <c r="A767" s="999">
        <f>'09월 조업일지'!A767</f>
        <v>46293</v>
      </c>
      <c r="B767" s="1100">
        <f>'09월 조업일지'!B767</f>
        <v>46293</v>
      </c>
      <c r="C767" s="730">
        <f>'09월 조업일지'!G767</f>
        <v>85969</v>
      </c>
      <c r="D767" s="731" t="str">
        <f>'09월 조업일지'!E767</f>
        <v>A</v>
      </c>
      <c r="E767" s="732" t="str">
        <f>'09월 조업일지'!F767</f>
        <v>A</v>
      </c>
      <c r="F767" s="1096" t="str">
        <f>'09월 에너지'!F769</f>
        <v>S355JO/JR(BL)</v>
      </c>
      <c r="G767" s="733">
        <v>9</v>
      </c>
      <c r="H767" s="734">
        <v>18</v>
      </c>
      <c r="I767" s="734">
        <v>111</v>
      </c>
      <c r="J767" s="734">
        <v>16</v>
      </c>
      <c r="K767" s="735">
        <v>20</v>
      </c>
      <c r="L767" s="734">
        <v>18</v>
      </c>
      <c r="M767" s="736">
        <v>9</v>
      </c>
      <c r="N767" s="737">
        <v>421</v>
      </c>
      <c r="O767" s="737"/>
      <c r="P767" s="737">
        <v>1009</v>
      </c>
      <c r="Q767" s="737">
        <v>952</v>
      </c>
      <c r="R767" s="737"/>
      <c r="S767" s="737"/>
      <c r="T767" s="737">
        <v>0</v>
      </c>
      <c r="U767" s="738"/>
      <c r="V767" s="739">
        <v>415</v>
      </c>
      <c r="W767" s="737"/>
      <c r="X767" s="737">
        <v>1017</v>
      </c>
      <c r="Y767" s="737">
        <v>901</v>
      </c>
      <c r="Z767" s="1202">
        <v>0</v>
      </c>
      <c r="AA767" s="740"/>
      <c r="AB767" s="739">
        <v>0</v>
      </c>
      <c r="AC767" s="741"/>
      <c r="AD767" s="741">
        <v>296</v>
      </c>
      <c r="AE767" s="741">
        <v>333</v>
      </c>
      <c r="AF767" s="741">
        <v>0</v>
      </c>
      <c r="AG767" s="741">
        <v>95</v>
      </c>
      <c r="AH767" s="741">
        <v>2348</v>
      </c>
      <c r="AI767" s="741">
        <v>0</v>
      </c>
      <c r="AJ767" s="741">
        <v>85</v>
      </c>
      <c r="AK767" s="741">
        <v>0</v>
      </c>
      <c r="AL767" s="741">
        <v>139</v>
      </c>
      <c r="AM767" s="742">
        <v>3064</v>
      </c>
      <c r="AN767" s="743">
        <f t="shared" si="32"/>
        <v>0.75076660988074961</v>
      </c>
      <c r="AO767" s="744">
        <f t="shared" si="33"/>
        <v>0.85801898272085675</v>
      </c>
      <c r="AP767" s="745">
        <f>'09월 에너지'!S769</f>
        <v>146.9</v>
      </c>
    </row>
    <row r="768" spans="1:42" ht="16.5" customHeight="1">
      <c r="A768" s="999">
        <f>'09월 조업일지'!A768</f>
        <v>46293</v>
      </c>
      <c r="B768" s="1100">
        <f>'09월 조업일지'!B768</f>
        <v>46293</v>
      </c>
      <c r="C768" s="730">
        <f>'09월 조업일지'!G768</f>
        <v>85970</v>
      </c>
      <c r="D768" s="731" t="str">
        <f>'09월 조업일지'!E768</f>
        <v>A</v>
      </c>
      <c r="E768" s="732" t="str">
        <f>'09월 조업일지'!F768</f>
        <v>B</v>
      </c>
      <c r="F768" s="1096" t="str">
        <f>'09월 에너지'!F770</f>
        <v>S355JO/JR(BL)</v>
      </c>
      <c r="G768" s="733">
        <v>11</v>
      </c>
      <c r="H768" s="734">
        <v>22</v>
      </c>
      <c r="I768" s="734">
        <v>116</v>
      </c>
      <c r="J768" s="734">
        <v>13</v>
      </c>
      <c r="K768" s="735">
        <v>24</v>
      </c>
      <c r="L768" s="734">
        <v>9</v>
      </c>
      <c r="M768" s="736">
        <v>10</v>
      </c>
      <c r="N768" s="737">
        <v>414</v>
      </c>
      <c r="O768" s="737"/>
      <c r="P768" s="737">
        <v>1016</v>
      </c>
      <c r="Q768" s="737">
        <v>954</v>
      </c>
      <c r="R768" s="737"/>
      <c r="S768" s="737"/>
      <c r="T768" s="737">
        <v>0</v>
      </c>
      <c r="U768" s="738"/>
      <c r="V768" s="739">
        <v>418</v>
      </c>
      <c r="W768" s="737"/>
      <c r="X768" s="737">
        <v>1017</v>
      </c>
      <c r="Y768" s="737">
        <v>903</v>
      </c>
      <c r="Z768" s="1202">
        <v>0</v>
      </c>
      <c r="AA768" s="740"/>
      <c r="AB768" s="739">
        <v>0</v>
      </c>
      <c r="AC768" s="741"/>
      <c r="AD768" s="741">
        <v>306</v>
      </c>
      <c r="AE768" s="741">
        <v>332</v>
      </c>
      <c r="AF768" s="741">
        <v>0</v>
      </c>
      <c r="AG768" s="741">
        <v>95</v>
      </c>
      <c r="AH768" s="741">
        <v>2350</v>
      </c>
      <c r="AI768" s="741">
        <v>0</v>
      </c>
      <c r="AJ768" s="741">
        <v>83</v>
      </c>
      <c r="AK768" s="741">
        <v>0</v>
      </c>
      <c r="AL768" s="741">
        <v>133</v>
      </c>
      <c r="AM768" s="742">
        <v>2986</v>
      </c>
      <c r="AN768" s="743">
        <f t="shared" si="32"/>
        <v>0.9430354609929078</v>
      </c>
      <c r="AO768" s="744">
        <f t="shared" si="33"/>
        <v>0.92772644376899693</v>
      </c>
      <c r="AP768" s="745">
        <f>'09월 에너지'!S770</f>
        <v>151.1</v>
      </c>
    </row>
    <row r="769" spans="1:42" ht="16.5" customHeight="1">
      <c r="A769" s="999">
        <f>'09월 조업일지'!A769</f>
        <v>46293</v>
      </c>
      <c r="B769" s="1100">
        <f>'09월 조업일지'!B769</f>
        <v>46293</v>
      </c>
      <c r="C769" s="730">
        <f>'09월 조업일지'!G769</f>
        <v>85971</v>
      </c>
      <c r="D769" s="731" t="str">
        <f>'09월 조업일지'!E769</f>
        <v>A</v>
      </c>
      <c r="E769" s="732" t="str">
        <f>'09월 조업일지'!F769</f>
        <v>A</v>
      </c>
      <c r="F769" s="1096" t="str">
        <f>'09월 에너지'!F771</f>
        <v>S355JO/JR(BL)</v>
      </c>
      <c r="G769" s="733">
        <v>9</v>
      </c>
      <c r="H769" s="734">
        <v>17</v>
      </c>
      <c r="I769" s="734">
        <v>121</v>
      </c>
      <c r="J769" s="734">
        <v>16</v>
      </c>
      <c r="K769" s="735">
        <v>33</v>
      </c>
      <c r="L769" s="734">
        <v>13</v>
      </c>
      <c r="M769" s="736">
        <v>10</v>
      </c>
      <c r="N769" s="737">
        <v>422</v>
      </c>
      <c r="O769" s="737"/>
      <c r="P769" s="737">
        <v>1014</v>
      </c>
      <c r="Q769" s="737">
        <v>951</v>
      </c>
      <c r="R769" s="737"/>
      <c r="S769" s="737"/>
      <c r="T769" s="737">
        <v>0</v>
      </c>
      <c r="U769" s="738"/>
      <c r="V769" s="739">
        <v>614</v>
      </c>
      <c r="W769" s="737"/>
      <c r="X769" s="737">
        <v>1017</v>
      </c>
      <c r="Y769" s="737">
        <v>902</v>
      </c>
      <c r="Z769" s="1202">
        <v>0</v>
      </c>
      <c r="AA769" s="740"/>
      <c r="AB769" s="739">
        <v>0</v>
      </c>
      <c r="AC769" s="741"/>
      <c r="AD769" s="741">
        <v>293</v>
      </c>
      <c r="AE769" s="741">
        <v>339</v>
      </c>
      <c r="AF769" s="741">
        <v>0</v>
      </c>
      <c r="AG769" s="741">
        <v>95</v>
      </c>
      <c r="AH769" s="741">
        <v>2351</v>
      </c>
      <c r="AI769" s="741">
        <v>102</v>
      </c>
      <c r="AJ769" s="741">
        <v>81</v>
      </c>
      <c r="AK769" s="741">
        <v>0</v>
      </c>
      <c r="AL769" s="741">
        <v>132</v>
      </c>
      <c r="AM769" s="742">
        <v>2357</v>
      </c>
      <c r="AN769" s="743">
        <f t="shared" si="32"/>
        <v>0.57756029360363514</v>
      </c>
      <c r="AO769" s="744">
        <f t="shared" si="33"/>
        <v>0.93910190192623211</v>
      </c>
      <c r="AP769" s="745">
        <f>'09월 에너지'!S771</f>
        <v>145.80000000000001</v>
      </c>
    </row>
    <row r="770" spans="1:42" ht="16.5" customHeight="1">
      <c r="A770" s="999">
        <f>'09월 조업일지'!A770</f>
        <v>46293</v>
      </c>
      <c r="B770" s="1100">
        <f>'09월 조업일지'!B770</f>
        <v>46293</v>
      </c>
      <c r="C770" s="730">
        <f>'09월 조업일지'!G770</f>
        <v>85972</v>
      </c>
      <c r="D770" s="731" t="str">
        <f>'09월 조업일지'!E770</f>
        <v>A</v>
      </c>
      <c r="E770" s="732" t="str">
        <f>'09월 조업일지'!F770</f>
        <v>B</v>
      </c>
      <c r="F770" s="1096" t="str">
        <f>'09월 에너지'!F772</f>
        <v>S355JO/JR(BL)</v>
      </c>
      <c r="G770" s="733">
        <v>16</v>
      </c>
      <c r="H770" s="734">
        <v>23</v>
      </c>
      <c r="I770" s="734">
        <v>114</v>
      </c>
      <c r="J770" s="734">
        <v>16</v>
      </c>
      <c r="K770" s="735">
        <v>24</v>
      </c>
      <c r="L770" s="734">
        <v>10</v>
      </c>
      <c r="M770" s="736">
        <v>10</v>
      </c>
      <c r="N770" s="737">
        <v>414</v>
      </c>
      <c r="O770" s="737"/>
      <c r="P770" s="737">
        <v>1008</v>
      </c>
      <c r="Q770" s="737">
        <v>955</v>
      </c>
      <c r="R770" s="737"/>
      <c r="S770" s="737"/>
      <c r="T770" s="737">
        <v>0</v>
      </c>
      <c r="U770" s="738"/>
      <c r="V770" s="739">
        <v>413</v>
      </c>
      <c r="W770" s="737"/>
      <c r="X770" s="737">
        <v>1013</v>
      </c>
      <c r="Y770" s="737">
        <v>901</v>
      </c>
      <c r="Z770" s="1202">
        <v>0</v>
      </c>
      <c r="AA770" s="740"/>
      <c r="AB770" s="739">
        <v>0</v>
      </c>
      <c r="AC770" s="741"/>
      <c r="AD770" s="741">
        <v>291</v>
      </c>
      <c r="AE770" s="741">
        <v>339</v>
      </c>
      <c r="AF770" s="741">
        <v>0</v>
      </c>
      <c r="AG770" s="741">
        <v>95</v>
      </c>
      <c r="AH770" s="741">
        <v>2356</v>
      </c>
      <c r="AI770" s="741">
        <v>0</v>
      </c>
      <c r="AJ770" s="741">
        <v>81</v>
      </c>
      <c r="AK770" s="741">
        <v>0</v>
      </c>
      <c r="AL770" s="741">
        <v>139</v>
      </c>
      <c r="AM770" s="742">
        <v>3479</v>
      </c>
      <c r="AN770" s="743">
        <f t="shared" si="32"/>
        <v>0.97948500282965478</v>
      </c>
      <c r="AO770" s="744">
        <f t="shared" si="33"/>
        <v>0.90343803056027172</v>
      </c>
      <c r="AP770" s="745">
        <f>'09월 에너지'!S772</f>
        <v>150.5</v>
      </c>
    </row>
    <row r="771" spans="1:42" ht="16.5" customHeight="1">
      <c r="A771" s="999">
        <f>'09월 조업일지'!A771</f>
        <v>46293</v>
      </c>
      <c r="B771" s="1100">
        <f>'09월 조업일지'!B771</f>
        <v>46293</v>
      </c>
      <c r="C771" s="730">
        <f>'09월 조업일지'!G771</f>
        <v>85973</v>
      </c>
      <c r="D771" s="731" t="str">
        <f>'09월 조업일지'!E771</f>
        <v>A</v>
      </c>
      <c r="E771" s="732" t="str">
        <f>'09월 조업일지'!F771</f>
        <v>A</v>
      </c>
      <c r="F771" s="1096" t="str">
        <f>'09월 에너지'!F773</f>
        <v>S355JO/JR(BL)</v>
      </c>
      <c r="G771" s="733">
        <v>10</v>
      </c>
      <c r="H771" s="734">
        <v>23</v>
      </c>
      <c r="I771" s="734">
        <v>112</v>
      </c>
      <c r="J771" s="734">
        <v>16</v>
      </c>
      <c r="K771" s="735">
        <v>30</v>
      </c>
      <c r="L771" s="734">
        <v>13</v>
      </c>
      <c r="M771" s="736">
        <v>11</v>
      </c>
      <c r="N771" s="737">
        <v>421</v>
      </c>
      <c r="O771" s="737"/>
      <c r="P771" s="737">
        <v>1010</v>
      </c>
      <c r="Q771" s="737">
        <v>952</v>
      </c>
      <c r="R771" s="737"/>
      <c r="S771" s="737"/>
      <c r="T771" s="737">
        <v>0</v>
      </c>
      <c r="U771" s="738"/>
      <c r="V771" s="739">
        <v>618</v>
      </c>
      <c r="W771" s="737"/>
      <c r="X771" s="737">
        <v>1013</v>
      </c>
      <c r="Y771" s="737">
        <v>903</v>
      </c>
      <c r="Z771" s="1202">
        <v>0</v>
      </c>
      <c r="AA771" s="740"/>
      <c r="AB771" s="739">
        <v>0</v>
      </c>
      <c r="AC771" s="741"/>
      <c r="AD771" s="741">
        <v>296</v>
      </c>
      <c r="AE771" s="741">
        <v>340</v>
      </c>
      <c r="AF771" s="741">
        <v>0</v>
      </c>
      <c r="AG771" s="741">
        <v>95</v>
      </c>
      <c r="AH771" s="741">
        <v>2351</v>
      </c>
      <c r="AI771" s="741">
        <v>107</v>
      </c>
      <c r="AJ771" s="741">
        <v>83</v>
      </c>
      <c r="AK771" s="741">
        <v>0</v>
      </c>
      <c r="AL771" s="741">
        <v>128</v>
      </c>
      <c r="AM771" s="742">
        <v>3641</v>
      </c>
      <c r="AN771" s="743">
        <f t="shared" si="32"/>
        <v>0.76507276507276512</v>
      </c>
      <c r="AO771" s="744">
        <f t="shared" si="33"/>
        <v>0.84875736768548349</v>
      </c>
      <c r="AP771" s="745">
        <f>'09월 에너지'!S773</f>
        <v>144</v>
      </c>
    </row>
    <row r="772" spans="1:42" ht="16.5" customHeight="1">
      <c r="A772" s="999">
        <f>'09월 조업일지'!A772</f>
        <v>46294</v>
      </c>
      <c r="B772" s="1100">
        <f>'09월 조업일지'!B772</f>
        <v>46293</v>
      </c>
      <c r="C772" s="730">
        <f>'09월 조업일지'!G772</f>
        <v>85974</v>
      </c>
      <c r="D772" s="731" t="str">
        <f>'09월 조업일지'!E772</f>
        <v>A</v>
      </c>
      <c r="E772" s="1234" t="str">
        <f>'09월 조업일지'!F772</f>
        <v>A</v>
      </c>
      <c r="F772" s="1096" t="str">
        <f>'09월 에너지'!F774</f>
        <v>S355JO/JR(BL)</v>
      </c>
      <c r="G772" s="733">
        <v>10</v>
      </c>
      <c r="H772" s="734">
        <v>26</v>
      </c>
      <c r="I772" s="734">
        <v>122</v>
      </c>
      <c r="J772" s="734">
        <v>14</v>
      </c>
      <c r="K772" s="735">
        <v>23</v>
      </c>
      <c r="L772" s="734">
        <v>11</v>
      </c>
      <c r="M772" s="736">
        <v>7</v>
      </c>
      <c r="N772" s="737">
        <v>412</v>
      </c>
      <c r="O772" s="737"/>
      <c r="P772" s="737">
        <v>1008</v>
      </c>
      <c r="Q772" s="737">
        <v>954</v>
      </c>
      <c r="R772" s="737"/>
      <c r="S772" s="737"/>
      <c r="T772" s="737">
        <v>0</v>
      </c>
      <c r="U772" s="738"/>
      <c r="V772" s="739">
        <v>615</v>
      </c>
      <c r="W772" s="737"/>
      <c r="X772" s="737">
        <v>1001</v>
      </c>
      <c r="Y772" s="737">
        <v>901</v>
      </c>
      <c r="Z772" s="1202">
        <v>0</v>
      </c>
      <c r="AA772" s="740"/>
      <c r="AB772" s="739">
        <v>0</v>
      </c>
      <c r="AC772" s="741"/>
      <c r="AD772" s="741">
        <v>294</v>
      </c>
      <c r="AE772" s="741">
        <v>340</v>
      </c>
      <c r="AF772" s="741">
        <v>0</v>
      </c>
      <c r="AG772" s="741">
        <v>95</v>
      </c>
      <c r="AH772" s="741">
        <v>2354</v>
      </c>
      <c r="AI772" s="741">
        <v>118</v>
      </c>
      <c r="AJ772" s="741">
        <v>86</v>
      </c>
      <c r="AK772" s="741">
        <v>0</v>
      </c>
      <c r="AL772" s="741">
        <v>127</v>
      </c>
      <c r="AM772" s="742">
        <v>3885</v>
      </c>
      <c r="AN772" s="743">
        <f t="shared" si="32"/>
        <v>0.83958333333333335</v>
      </c>
      <c r="AO772" s="744">
        <f t="shared" si="33"/>
        <v>0.925974025974026</v>
      </c>
      <c r="AP772" s="745">
        <f>'09월 에너지'!S774</f>
        <v>142.6</v>
      </c>
    </row>
    <row r="773" spans="1:42" ht="16.5" customHeight="1">
      <c r="A773" s="999">
        <f>'09월 조업일지'!A773</f>
        <v>46294</v>
      </c>
      <c r="B773" s="1100">
        <f>'09월 조업일지'!B773</f>
        <v>46293</v>
      </c>
      <c r="C773" s="730">
        <f>'09월 조업일지'!G773</f>
        <v>85975</v>
      </c>
      <c r="D773" s="731" t="str">
        <f>'09월 조업일지'!E773</f>
        <v>A</v>
      </c>
      <c r="E773" s="732" t="str">
        <f>'09월 조업일지'!F773</f>
        <v>B</v>
      </c>
      <c r="F773" s="1096" t="str">
        <f>'09월 에너지'!F775</f>
        <v>S355JO/JR(BL)</v>
      </c>
      <c r="G773" s="733">
        <v>13</v>
      </c>
      <c r="H773" s="734">
        <v>24</v>
      </c>
      <c r="I773" s="734">
        <v>127</v>
      </c>
      <c r="J773" s="734">
        <v>19</v>
      </c>
      <c r="K773" s="735">
        <v>26</v>
      </c>
      <c r="L773" s="734">
        <v>11</v>
      </c>
      <c r="M773" s="736">
        <v>16</v>
      </c>
      <c r="N773" s="737">
        <v>415</v>
      </c>
      <c r="O773" s="737"/>
      <c r="P773" s="737">
        <v>1017</v>
      </c>
      <c r="Q773" s="737">
        <v>952</v>
      </c>
      <c r="R773" s="737"/>
      <c r="S773" s="737"/>
      <c r="T773" s="737">
        <v>0</v>
      </c>
      <c r="U773" s="738"/>
      <c r="V773" s="739">
        <v>421</v>
      </c>
      <c r="W773" s="737"/>
      <c r="X773" s="737">
        <v>1009</v>
      </c>
      <c r="Y773" s="737">
        <v>903</v>
      </c>
      <c r="Z773" s="1202">
        <v>0</v>
      </c>
      <c r="AA773" s="740"/>
      <c r="AB773" s="739">
        <v>0</v>
      </c>
      <c r="AC773" s="741"/>
      <c r="AD773" s="741">
        <v>293</v>
      </c>
      <c r="AE773" s="741">
        <v>339</v>
      </c>
      <c r="AF773" s="741">
        <v>0</v>
      </c>
      <c r="AG773" s="741">
        <v>94</v>
      </c>
      <c r="AH773" s="741">
        <v>2350</v>
      </c>
      <c r="AI773" s="741">
        <v>0</v>
      </c>
      <c r="AJ773" s="741">
        <v>84</v>
      </c>
      <c r="AK773" s="741">
        <v>0</v>
      </c>
      <c r="AL773" s="741">
        <v>133</v>
      </c>
      <c r="AM773" s="742">
        <v>3467</v>
      </c>
      <c r="AN773" s="743">
        <f t="shared" si="32"/>
        <v>0.99812765957446803</v>
      </c>
      <c r="AO773" s="744">
        <f t="shared" si="33"/>
        <v>0.99812765957446814</v>
      </c>
      <c r="AP773" s="745">
        <f>'09월 에너지'!S775</f>
        <v>146.6</v>
      </c>
    </row>
    <row r="774" spans="1:42" ht="16.5" customHeight="1">
      <c r="A774" s="999">
        <f>'09월 조업일지'!A774</f>
        <v>46294</v>
      </c>
      <c r="B774" s="1100">
        <f>'09월 조업일지'!B774</f>
        <v>46293</v>
      </c>
      <c r="C774" s="730">
        <f>'09월 조업일지'!G774</f>
        <v>85976</v>
      </c>
      <c r="D774" s="731" t="str">
        <f>'09월 조업일지'!E774</f>
        <v>A</v>
      </c>
      <c r="E774" s="732" t="str">
        <f>'09월 조업일지'!F774</f>
        <v>A</v>
      </c>
      <c r="F774" s="1231" t="str">
        <f>'09월 에너지'!F776</f>
        <v>SHN400(BL)</v>
      </c>
      <c r="G774" s="733">
        <v>7</v>
      </c>
      <c r="H774" s="734">
        <v>25</v>
      </c>
      <c r="I774" s="734">
        <v>58</v>
      </c>
      <c r="J774" s="734">
        <v>16</v>
      </c>
      <c r="K774" s="735">
        <v>23</v>
      </c>
      <c r="L774" s="734">
        <v>14</v>
      </c>
      <c r="M774" s="736">
        <v>8</v>
      </c>
      <c r="N774" s="737">
        <v>418</v>
      </c>
      <c r="O774" s="737"/>
      <c r="P774" s="737">
        <v>1007</v>
      </c>
      <c r="Q774" s="737">
        <v>951</v>
      </c>
      <c r="R774" s="737"/>
      <c r="S774" s="737"/>
      <c r="T774" s="737">
        <v>0</v>
      </c>
      <c r="U774" s="738"/>
      <c r="V774" s="739">
        <v>621</v>
      </c>
      <c r="W774" s="737"/>
      <c r="X774" s="737">
        <v>1001</v>
      </c>
      <c r="Y774" s="737">
        <v>912</v>
      </c>
      <c r="Z774" s="1202">
        <v>0</v>
      </c>
      <c r="AA774" s="740"/>
      <c r="AB774" s="739">
        <v>0</v>
      </c>
      <c r="AC774" s="741"/>
      <c r="AD774" s="741">
        <v>271</v>
      </c>
      <c r="AE774" s="741">
        <v>341</v>
      </c>
      <c r="AF774" s="741">
        <v>0</v>
      </c>
      <c r="AG774" s="741">
        <v>95</v>
      </c>
      <c r="AH774" s="741">
        <v>992</v>
      </c>
      <c r="AI774" s="741">
        <v>392</v>
      </c>
      <c r="AJ774" s="741">
        <v>89</v>
      </c>
      <c r="AK774" s="741">
        <v>0</v>
      </c>
      <c r="AL774" s="741">
        <v>122</v>
      </c>
      <c r="AM774" s="742">
        <v>3059</v>
      </c>
      <c r="AN774" s="743">
        <f t="shared" si="32"/>
        <v>0.81300813008130091</v>
      </c>
      <c r="AO774" s="744">
        <f t="shared" si="33"/>
        <v>0.89170506912442404</v>
      </c>
      <c r="AP774" s="745">
        <f>'09월 에너지'!S776</f>
        <v>144</v>
      </c>
    </row>
    <row r="775" spans="1:42" ht="16.5" customHeight="1">
      <c r="A775" s="999">
        <f>'09월 조업일지'!A775</f>
        <v>46294</v>
      </c>
      <c r="B775" s="1100">
        <f>'09월 조업일지'!B775</f>
        <v>46294</v>
      </c>
      <c r="C775" s="730">
        <f>'09월 조업일지'!G775</f>
        <v>85977</v>
      </c>
      <c r="D775" s="731" t="str">
        <f>'09월 조업일지'!E775</f>
        <v>C</v>
      </c>
      <c r="E775" s="732" t="str">
        <f>'09월 조업일지'!F775</f>
        <v>B</v>
      </c>
      <c r="F775" s="1096" t="str">
        <f>'09월 에너지'!F777</f>
        <v>SHN400(BL)</v>
      </c>
      <c r="G775" s="733">
        <v>10</v>
      </c>
      <c r="H775" s="734">
        <v>24</v>
      </c>
      <c r="I775" s="734">
        <v>60</v>
      </c>
      <c r="J775" s="734">
        <v>12</v>
      </c>
      <c r="K775" s="735">
        <v>18</v>
      </c>
      <c r="L775" s="734">
        <v>10</v>
      </c>
      <c r="M775" s="736">
        <v>10</v>
      </c>
      <c r="N775" s="737">
        <v>416</v>
      </c>
      <c r="O775" s="737"/>
      <c r="P775" s="737">
        <v>1000</v>
      </c>
      <c r="Q775" s="737">
        <v>952</v>
      </c>
      <c r="R775" s="737"/>
      <c r="S775" s="737"/>
      <c r="T775" s="737"/>
      <c r="U775" s="738"/>
      <c r="V775" s="739">
        <v>420</v>
      </c>
      <c r="W775" s="737"/>
      <c r="X775" s="737">
        <v>1000</v>
      </c>
      <c r="Y775" s="737">
        <v>901</v>
      </c>
      <c r="Z775" s="1202"/>
      <c r="AA775" s="740"/>
      <c r="AB775" s="739"/>
      <c r="AC775" s="741"/>
      <c r="AD775" s="741">
        <v>270</v>
      </c>
      <c r="AE775" s="741">
        <v>342</v>
      </c>
      <c r="AF775" s="741"/>
      <c r="AG775" s="741">
        <v>95</v>
      </c>
      <c r="AH775" s="741">
        <v>1005</v>
      </c>
      <c r="AI775" s="741">
        <v>278</v>
      </c>
      <c r="AJ775" s="741">
        <v>83</v>
      </c>
      <c r="AK775" s="741"/>
      <c r="AL775" s="741">
        <v>123</v>
      </c>
      <c r="AM775" s="742">
        <v>1565</v>
      </c>
      <c r="AN775" s="743">
        <f t="shared" si="32"/>
        <v>0.93728601252609611</v>
      </c>
      <c r="AO775" s="744">
        <f t="shared" si="33"/>
        <v>0.89744136460554369</v>
      </c>
      <c r="AP775" s="745">
        <f>'09월 에너지'!S777</f>
        <v>140.30000000000001</v>
      </c>
    </row>
    <row r="776" spans="1:42" ht="16.5" customHeight="1">
      <c r="A776" s="999">
        <f>'09월 조업일지'!A776</f>
        <v>46294</v>
      </c>
      <c r="B776" s="1100">
        <f>'09월 조업일지'!B776</f>
        <v>46294</v>
      </c>
      <c r="C776" s="730">
        <f>'09월 조업일지'!G776</f>
        <v>85978</v>
      </c>
      <c r="D776" s="731" t="str">
        <f>'09월 조업일지'!E776</f>
        <v>C</v>
      </c>
      <c r="E776" s="732" t="str">
        <f>'09월 조업일지'!F776</f>
        <v>A</v>
      </c>
      <c r="F776" s="1096" t="str">
        <f>'09월 에너지'!F778</f>
        <v>SHN400(BL)</v>
      </c>
      <c r="G776" s="733">
        <v>9</v>
      </c>
      <c r="H776" s="734">
        <v>16</v>
      </c>
      <c r="I776" s="734">
        <v>57</v>
      </c>
      <c r="J776" s="734">
        <v>13</v>
      </c>
      <c r="K776" s="735">
        <v>18</v>
      </c>
      <c r="L776" s="734">
        <v>15</v>
      </c>
      <c r="M776" s="736">
        <v>10</v>
      </c>
      <c r="N776" s="737">
        <v>418</v>
      </c>
      <c r="O776" s="737"/>
      <c r="P776" s="737">
        <v>1001</v>
      </c>
      <c r="Q776" s="737">
        <v>953</v>
      </c>
      <c r="R776" s="737"/>
      <c r="S776" s="737"/>
      <c r="T776" s="737"/>
      <c r="U776" s="738"/>
      <c r="V776" s="739">
        <v>423</v>
      </c>
      <c r="W776" s="737"/>
      <c r="X776" s="737">
        <v>1000</v>
      </c>
      <c r="Y776" s="737">
        <v>901</v>
      </c>
      <c r="Z776" s="1202"/>
      <c r="AA776" s="740"/>
      <c r="AB776" s="739"/>
      <c r="AC776" s="741"/>
      <c r="AD776" s="741">
        <v>272</v>
      </c>
      <c r="AE776" s="741">
        <v>347</v>
      </c>
      <c r="AF776" s="741"/>
      <c r="AG776" s="741">
        <v>95</v>
      </c>
      <c r="AH776" s="741">
        <v>999</v>
      </c>
      <c r="AI776" s="741">
        <v>277</v>
      </c>
      <c r="AJ776" s="741">
        <v>79</v>
      </c>
      <c r="AK776" s="741"/>
      <c r="AL776" s="741">
        <v>116</v>
      </c>
      <c r="AM776" s="742">
        <v>2202</v>
      </c>
      <c r="AN776" s="743">
        <f t="shared" si="32"/>
        <v>0.64384787472035787</v>
      </c>
      <c r="AO776" s="744">
        <f t="shared" si="33"/>
        <v>0.86426426426426428</v>
      </c>
      <c r="AP776" s="745">
        <f>'09월 에너지'!S778</f>
        <v>143.9</v>
      </c>
    </row>
    <row r="777" spans="1:42" ht="16.5" customHeight="1">
      <c r="A777" s="999">
        <f>'09월 조업일지'!A777</f>
        <v>46294</v>
      </c>
      <c r="B777" s="1100">
        <f>'09월 조업일지'!B777</f>
        <v>46294</v>
      </c>
      <c r="C777" s="730">
        <f>'09월 조업일지'!G777</f>
        <v>85979</v>
      </c>
      <c r="D777" s="731" t="str">
        <f>'09월 조업일지'!E777</f>
        <v>C</v>
      </c>
      <c r="E777" s="732" t="str">
        <f>'09월 조업일지'!F777</f>
        <v>B</v>
      </c>
      <c r="F777" s="1096" t="str">
        <f>'09월 에너지'!F779</f>
        <v>SHN400(BL)</v>
      </c>
      <c r="G777" s="733">
        <v>8</v>
      </c>
      <c r="H777" s="734">
        <v>23</v>
      </c>
      <c r="I777" s="734">
        <v>59</v>
      </c>
      <c r="J777" s="734">
        <v>13</v>
      </c>
      <c r="K777" s="735">
        <v>20</v>
      </c>
      <c r="L777" s="734">
        <v>11</v>
      </c>
      <c r="M777" s="736">
        <v>8</v>
      </c>
      <c r="N777" s="737">
        <v>415</v>
      </c>
      <c r="O777" s="737"/>
      <c r="P777" s="737">
        <v>1000</v>
      </c>
      <c r="Q777" s="737">
        <v>952</v>
      </c>
      <c r="R777" s="737"/>
      <c r="S777" s="737"/>
      <c r="T777" s="737"/>
      <c r="U777" s="738"/>
      <c r="V777" s="739">
        <v>415</v>
      </c>
      <c r="W777" s="737"/>
      <c r="X777" s="737">
        <v>1001</v>
      </c>
      <c r="Y777" s="737">
        <v>902</v>
      </c>
      <c r="Z777" s="1202"/>
      <c r="AA777" s="740"/>
      <c r="AB777" s="739"/>
      <c r="AC777" s="741"/>
      <c r="AD777" s="741">
        <v>271</v>
      </c>
      <c r="AE777" s="741">
        <v>335</v>
      </c>
      <c r="AF777" s="741"/>
      <c r="AG777" s="741">
        <v>96</v>
      </c>
      <c r="AH777" s="741">
        <v>996</v>
      </c>
      <c r="AI777" s="741">
        <v>280</v>
      </c>
      <c r="AJ777" s="741">
        <v>80</v>
      </c>
      <c r="AK777" s="741"/>
      <c r="AL777" s="741">
        <v>131</v>
      </c>
      <c r="AM777" s="742">
        <v>2676</v>
      </c>
      <c r="AN777" s="743">
        <f t="shared" si="32"/>
        <v>0.93945464663327771</v>
      </c>
      <c r="AO777" s="744">
        <f t="shared" si="33"/>
        <v>0.92644865174985658</v>
      </c>
      <c r="AP777" s="745">
        <f>'09월 에너지'!S779</f>
        <v>146.80000000000001</v>
      </c>
    </row>
    <row r="778" spans="1:42" ht="16.5" customHeight="1">
      <c r="A778" s="999">
        <f>'09월 조업일지'!A778</f>
        <v>46294</v>
      </c>
      <c r="B778" s="1100">
        <f>'09월 조업일지'!B778</f>
        <v>46294</v>
      </c>
      <c r="C778" s="730">
        <f>'09월 조업일지'!G778</f>
        <v>85980</v>
      </c>
      <c r="D778" s="731" t="str">
        <f>'09월 조업일지'!E778</f>
        <v>C</v>
      </c>
      <c r="E778" s="732" t="str">
        <f>'09월 조업일지'!F778</f>
        <v>A</v>
      </c>
      <c r="F778" s="1096" t="str">
        <f>'09월 에너지'!F780</f>
        <v>SHN400(BL)</v>
      </c>
      <c r="G778" s="733">
        <v>7</v>
      </c>
      <c r="H778" s="734">
        <v>24</v>
      </c>
      <c r="I778" s="734">
        <v>64</v>
      </c>
      <c r="J778" s="734">
        <v>15</v>
      </c>
      <c r="K778" s="735">
        <v>28</v>
      </c>
      <c r="L778" s="734">
        <v>15</v>
      </c>
      <c r="M778" s="736">
        <v>11</v>
      </c>
      <c r="N778" s="737">
        <v>417</v>
      </c>
      <c r="O778" s="737"/>
      <c r="P778" s="737">
        <v>1001</v>
      </c>
      <c r="Q778" s="737">
        <v>951</v>
      </c>
      <c r="R778" s="737"/>
      <c r="S778" s="737"/>
      <c r="T778" s="737"/>
      <c r="U778" s="738"/>
      <c r="V778" s="739">
        <v>420</v>
      </c>
      <c r="W778" s="737"/>
      <c r="X778" s="737">
        <v>1001</v>
      </c>
      <c r="Y778" s="737">
        <v>902</v>
      </c>
      <c r="Z778" s="1202"/>
      <c r="AA778" s="740"/>
      <c r="AB778" s="739"/>
      <c r="AC778" s="741"/>
      <c r="AD778" s="741">
        <v>271</v>
      </c>
      <c r="AE778" s="741">
        <v>337</v>
      </c>
      <c r="AF778" s="741"/>
      <c r="AG778" s="741">
        <v>96</v>
      </c>
      <c r="AH778" s="741">
        <v>1003</v>
      </c>
      <c r="AI778" s="741">
        <v>271</v>
      </c>
      <c r="AJ778" s="741">
        <v>85</v>
      </c>
      <c r="AK778" s="741"/>
      <c r="AL778" s="741">
        <v>133</v>
      </c>
      <c r="AM778" s="742">
        <v>2030</v>
      </c>
      <c r="AN778" s="743">
        <f t="shared" si="32"/>
        <v>0.9730279898218831</v>
      </c>
      <c r="AO778" s="744">
        <f t="shared" si="33"/>
        <v>1.0007976071784648</v>
      </c>
      <c r="AP778" s="745">
        <f>'09월 에너지'!S780</f>
        <v>143.4</v>
      </c>
    </row>
    <row r="779" spans="1:42" ht="16.5" customHeight="1">
      <c r="A779" s="999">
        <f>'09월 조업일지'!A779</f>
        <v>46294</v>
      </c>
      <c r="B779" s="1100">
        <f>'09월 조업일지'!B779</f>
        <v>46294</v>
      </c>
      <c r="C779" s="730">
        <f>'09월 조업일지'!G779</f>
        <v>85981</v>
      </c>
      <c r="D779" s="731" t="str">
        <f>'09월 조업일지'!E779</f>
        <v>C</v>
      </c>
      <c r="E779" s="732" t="str">
        <f>'09월 조업일지'!F779</f>
        <v>B</v>
      </c>
      <c r="F779" s="1096" t="str">
        <f>'09월 에너지'!F781</f>
        <v>SHN400(BL)</v>
      </c>
      <c r="G779" s="733">
        <v>11</v>
      </c>
      <c r="H779" s="734">
        <v>24</v>
      </c>
      <c r="I779" s="734">
        <v>61</v>
      </c>
      <c r="J779" s="734">
        <v>15</v>
      </c>
      <c r="K779" s="735">
        <v>22</v>
      </c>
      <c r="L779" s="734">
        <v>12</v>
      </c>
      <c r="M779" s="736">
        <v>10</v>
      </c>
      <c r="N779" s="737">
        <v>417</v>
      </c>
      <c r="O779" s="737"/>
      <c r="P779" s="737">
        <v>1001</v>
      </c>
      <c r="Q779" s="737">
        <v>950</v>
      </c>
      <c r="R779" s="737"/>
      <c r="S779" s="737"/>
      <c r="T779" s="737"/>
      <c r="U779" s="738"/>
      <c r="V779" s="739">
        <v>419</v>
      </c>
      <c r="W779" s="737"/>
      <c r="X779" s="737">
        <v>1000</v>
      </c>
      <c r="Y779" s="737">
        <v>902</v>
      </c>
      <c r="Z779" s="1202"/>
      <c r="AA779" s="740"/>
      <c r="AB779" s="739"/>
      <c r="AC779" s="741"/>
      <c r="AD779" s="741">
        <v>270</v>
      </c>
      <c r="AE779" s="741">
        <v>336</v>
      </c>
      <c r="AF779" s="741"/>
      <c r="AG779" s="741">
        <v>95</v>
      </c>
      <c r="AH779" s="741">
        <v>1000</v>
      </c>
      <c r="AI779" s="741">
        <v>271</v>
      </c>
      <c r="AJ779" s="741">
        <v>84</v>
      </c>
      <c r="AK779" s="741"/>
      <c r="AL779" s="741">
        <v>126</v>
      </c>
      <c r="AM779" s="742">
        <v>2904</v>
      </c>
      <c r="AN779" s="743">
        <f t="shared" si="32"/>
        <v>0.9851380042462845</v>
      </c>
      <c r="AO779" s="744">
        <f t="shared" si="33"/>
        <v>0.95285714285714285</v>
      </c>
      <c r="AP779" s="745">
        <f>'09월 에너지'!S781</f>
        <v>145</v>
      </c>
    </row>
    <row r="780" spans="1:42" ht="16.5" customHeight="1">
      <c r="A780" s="999">
        <f>'09월 조업일지'!A780</f>
        <v>46294</v>
      </c>
      <c r="B780" s="1100">
        <f>'09월 조업일지'!B780</f>
        <v>46294</v>
      </c>
      <c r="C780" s="730">
        <f>'09월 조업일지'!G780</f>
        <v>85982</v>
      </c>
      <c r="D780" s="731" t="str">
        <f>'09월 조업일지'!E780</f>
        <v>C</v>
      </c>
      <c r="E780" s="732" t="str">
        <f>'09월 조업일지'!F780</f>
        <v>A</v>
      </c>
      <c r="F780" s="1096" t="str">
        <f>'09월 에너지'!F782</f>
        <v>SHN400(BL)</v>
      </c>
      <c r="G780" s="733">
        <v>7</v>
      </c>
      <c r="H780" s="734">
        <v>15</v>
      </c>
      <c r="I780" s="734">
        <v>55</v>
      </c>
      <c r="J780" s="734">
        <v>13</v>
      </c>
      <c r="K780" s="735">
        <v>16</v>
      </c>
      <c r="L780" s="734">
        <v>11</v>
      </c>
      <c r="M780" s="736">
        <v>8</v>
      </c>
      <c r="N780" s="737">
        <v>422</v>
      </c>
      <c r="O780" s="737"/>
      <c r="P780" s="737">
        <v>1000</v>
      </c>
      <c r="Q780" s="737">
        <v>950</v>
      </c>
      <c r="R780" s="737"/>
      <c r="S780" s="737"/>
      <c r="T780" s="737"/>
      <c r="U780" s="738"/>
      <c r="V780" s="739">
        <v>417</v>
      </c>
      <c r="W780" s="737"/>
      <c r="X780" s="737">
        <v>1003</v>
      </c>
      <c r="Y780" s="737">
        <v>900</v>
      </c>
      <c r="Z780" s="1202"/>
      <c r="AA780" s="740"/>
      <c r="AB780" s="739"/>
      <c r="AC780" s="741"/>
      <c r="AD780" s="741">
        <v>271</v>
      </c>
      <c r="AE780" s="741">
        <v>334</v>
      </c>
      <c r="AF780" s="741"/>
      <c r="AG780" s="741">
        <v>95</v>
      </c>
      <c r="AH780" s="741">
        <v>1003</v>
      </c>
      <c r="AI780" s="741">
        <v>280</v>
      </c>
      <c r="AJ780" s="741">
        <v>80</v>
      </c>
      <c r="AK780" s="741"/>
      <c r="AL780" s="741">
        <v>119</v>
      </c>
      <c r="AM780" s="742">
        <v>1964</v>
      </c>
      <c r="AN780" s="743">
        <f t="shared" si="32"/>
        <v>0.59467332501040371</v>
      </c>
      <c r="AO780" s="744">
        <f t="shared" si="33"/>
        <v>0.81412904144708742</v>
      </c>
      <c r="AP780" s="745">
        <f>'09월 에너지'!S782</f>
        <v>142.9</v>
      </c>
    </row>
    <row r="781" spans="1:42" ht="16.5" customHeight="1">
      <c r="A781" s="999">
        <f>'09월 조업일지'!A781</f>
        <v>46294</v>
      </c>
      <c r="B781" s="1100">
        <f>'09월 조업일지'!B781</f>
        <v>46294</v>
      </c>
      <c r="C781" s="730">
        <f>'09월 조업일지'!G781</f>
        <v>85983</v>
      </c>
      <c r="D781" s="731" t="str">
        <f>'09월 조업일지'!E781</f>
        <v>C</v>
      </c>
      <c r="E781" s="732" t="str">
        <f>'09월 조업일지'!F781</f>
        <v>B</v>
      </c>
      <c r="F781" s="1096" t="str">
        <f>'09월 에너지'!F783</f>
        <v>SHN400(BL)</v>
      </c>
      <c r="G781" s="733">
        <v>10</v>
      </c>
      <c r="H781" s="734">
        <v>23</v>
      </c>
      <c r="I781" s="734">
        <v>66</v>
      </c>
      <c r="J781" s="734">
        <v>17</v>
      </c>
      <c r="K781" s="735">
        <v>32</v>
      </c>
      <c r="L781" s="734">
        <v>11</v>
      </c>
      <c r="M781" s="736">
        <v>9</v>
      </c>
      <c r="N781" s="737">
        <v>417</v>
      </c>
      <c r="O781" s="737"/>
      <c r="P781" s="737">
        <v>1001</v>
      </c>
      <c r="Q781" s="737">
        <v>951</v>
      </c>
      <c r="R781" s="737"/>
      <c r="S781" s="737"/>
      <c r="T781" s="737"/>
      <c r="U781" s="738"/>
      <c r="V781" s="739">
        <v>415</v>
      </c>
      <c r="W781" s="737"/>
      <c r="X781" s="737">
        <v>1000</v>
      </c>
      <c r="Y781" s="737">
        <v>900</v>
      </c>
      <c r="Z781" s="1202"/>
      <c r="AA781" s="740"/>
      <c r="AB781" s="739"/>
      <c r="AC781" s="741"/>
      <c r="AD781" s="741">
        <v>270</v>
      </c>
      <c r="AE781" s="741">
        <v>341</v>
      </c>
      <c r="AF781" s="741"/>
      <c r="AG781" s="741">
        <v>95</v>
      </c>
      <c r="AH781" s="741">
        <v>1006</v>
      </c>
      <c r="AI781" s="741">
        <v>280</v>
      </c>
      <c r="AJ781" s="741">
        <v>81</v>
      </c>
      <c r="AK781" s="741"/>
      <c r="AL781" s="741">
        <v>122</v>
      </c>
      <c r="AM781" s="742">
        <v>2045</v>
      </c>
      <c r="AN781" s="743">
        <f t="shared" ref="AN781:AN844" si="34">IF(ISBLANK(AH781),"",AP781*1000*H781/10000/(AH781*15%+AI781*75%+AK781*60%))</f>
        <v>0.92089221390967035</v>
      </c>
      <c r="AO781" s="744">
        <f t="shared" ref="AO781:AO844" si="35">IF(ISBLANK(AH781),"",AP781*1000*(I781-15)/10000/(AH781*70%))</f>
        <v>1.0465066742402729</v>
      </c>
      <c r="AP781" s="745">
        <f>'09월 에너지'!S783</f>
        <v>144.5</v>
      </c>
    </row>
    <row r="782" spans="1:42" ht="16.5" customHeight="1">
      <c r="A782" s="999">
        <f>'09월 조업일지'!A782</f>
        <v>46294</v>
      </c>
      <c r="B782" s="1100">
        <f>'09월 조업일지'!B782</f>
        <v>46294</v>
      </c>
      <c r="C782" s="730">
        <f>'09월 조업일지'!G782</f>
        <v>85984</v>
      </c>
      <c r="D782" s="731" t="str">
        <f>'09월 조업일지'!E782</f>
        <v>C</v>
      </c>
      <c r="E782" s="732" t="str">
        <f>'09월 조업일지'!F782</f>
        <v>A</v>
      </c>
      <c r="F782" s="1096" t="str">
        <f>'09월 에너지'!F784</f>
        <v>SHN400(BL)</v>
      </c>
      <c r="G782" s="733">
        <v>6</v>
      </c>
      <c r="H782" s="734">
        <v>15</v>
      </c>
      <c r="I782" s="734">
        <v>54</v>
      </c>
      <c r="J782" s="734">
        <v>12</v>
      </c>
      <c r="K782" s="735">
        <v>16</v>
      </c>
      <c r="L782" s="734">
        <v>11</v>
      </c>
      <c r="M782" s="736">
        <v>11</v>
      </c>
      <c r="N782" s="737">
        <v>425</v>
      </c>
      <c r="O782" s="737"/>
      <c r="P782" s="737">
        <v>1000</v>
      </c>
      <c r="Q782" s="737">
        <v>951</v>
      </c>
      <c r="R782" s="737"/>
      <c r="S782" s="737"/>
      <c r="T782" s="737"/>
      <c r="U782" s="738"/>
      <c r="V782" s="739">
        <v>416</v>
      </c>
      <c r="W782" s="737"/>
      <c r="X782" s="737">
        <v>1000</v>
      </c>
      <c r="Y782" s="737">
        <v>902</v>
      </c>
      <c r="Z782" s="1202"/>
      <c r="AA782" s="740"/>
      <c r="AB782" s="739"/>
      <c r="AC782" s="741"/>
      <c r="AD782" s="741">
        <v>271</v>
      </c>
      <c r="AE782" s="741">
        <v>340</v>
      </c>
      <c r="AF782" s="741"/>
      <c r="AG782" s="741">
        <v>95</v>
      </c>
      <c r="AH782" s="741">
        <v>1002</v>
      </c>
      <c r="AI782" s="741">
        <v>285</v>
      </c>
      <c r="AJ782" s="741">
        <v>82</v>
      </c>
      <c r="AK782" s="741"/>
      <c r="AL782" s="741">
        <v>119</v>
      </c>
      <c r="AM782" s="742">
        <v>3321</v>
      </c>
      <c r="AN782" s="743">
        <f t="shared" si="34"/>
        <v>0.59414915533580559</v>
      </c>
      <c r="AO782" s="744">
        <f t="shared" si="35"/>
        <v>0.80179640718562872</v>
      </c>
      <c r="AP782" s="745">
        <f>'09월 에너지'!S784</f>
        <v>144.19999999999999</v>
      </c>
    </row>
    <row r="783" spans="1:42" ht="16.5" customHeight="1">
      <c r="A783" s="999">
        <f>'09월 조업일지'!A783</f>
        <v>46294</v>
      </c>
      <c r="B783" s="1100">
        <f>'09월 조업일지'!B783</f>
        <v>46294</v>
      </c>
      <c r="C783" s="730">
        <f>'09월 조업일지'!G783</f>
        <v>85985</v>
      </c>
      <c r="D783" s="731" t="str">
        <f>'09월 조업일지'!E783</f>
        <v>C</v>
      </c>
      <c r="E783" s="732" t="str">
        <f>'09월 조업일지'!F783</f>
        <v>B</v>
      </c>
      <c r="F783" s="1096" t="str">
        <f>'09월 에너지'!F785</f>
        <v>SHN400(BL)</v>
      </c>
      <c r="G783" s="733">
        <v>9</v>
      </c>
      <c r="H783" s="734">
        <v>24</v>
      </c>
      <c r="I783" s="734">
        <v>64</v>
      </c>
      <c r="J783" s="734">
        <v>19</v>
      </c>
      <c r="K783" s="735">
        <v>27</v>
      </c>
      <c r="L783" s="734">
        <v>16</v>
      </c>
      <c r="M783" s="736">
        <v>12</v>
      </c>
      <c r="N783" s="737">
        <v>420</v>
      </c>
      <c r="O783" s="737"/>
      <c r="P783" s="737">
        <v>1001</v>
      </c>
      <c r="Q783" s="737">
        <v>950</v>
      </c>
      <c r="R783" s="737"/>
      <c r="S783" s="737"/>
      <c r="T783" s="737"/>
      <c r="U783" s="738"/>
      <c r="V783" s="739">
        <v>411</v>
      </c>
      <c r="W783" s="737"/>
      <c r="X783" s="737">
        <v>1000</v>
      </c>
      <c r="Y783" s="737">
        <v>901</v>
      </c>
      <c r="Z783" s="1202"/>
      <c r="AA783" s="740"/>
      <c r="AB783" s="739"/>
      <c r="AC783" s="741"/>
      <c r="AD783" s="741">
        <v>270</v>
      </c>
      <c r="AE783" s="741">
        <v>340</v>
      </c>
      <c r="AF783" s="741"/>
      <c r="AG783" s="741">
        <v>95</v>
      </c>
      <c r="AH783" s="741">
        <v>999</v>
      </c>
      <c r="AI783" s="741">
        <v>276</v>
      </c>
      <c r="AJ783" s="741">
        <v>80</v>
      </c>
      <c r="AK783" s="741"/>
      <c r="AL783" s="741">
        <v>124</v>
      </c>
      <c r="AM783" s="742">
        <v>2880</v>
      </c>
      <c r="AN783" s="743">
        <f t="shared" si="34"/>
        <v>0.9651113913408994</v>
      </c>
      <c r="AO783" s="744">
        <f t="shared" si="35"/>
        <v>1.0055055055055055</v>
      </c>
      <c r="AP783" s="745">
        <f>'09월 에너지'!S785</f>
        <v>143.5</v>
      </c>
    </row>
    <row r="784" spans="1:42" ht="16.5" customHeight="1">
      <c r="A784" s="999">
        <f>'09월 조업일지'!A784</f>
        <v>46294</v>
      </c>
      <c r="B784" s="1100">
        <f>'09월 조업일지'!B784</f>
        <v>46294</v>
      </c>
      <c r="C784" s="730">
        <f>'09월 조업일지'!G784</f>
        <v>85986</v>
      </c>
      <c r="D784" s="731" t="str">
        <f>'09월 조업일지'!E784</f>
        <v>D</v>
      </c>
      <c r="E784" s="732" t="str">
        <f>'09월 조업일지'!F784</f>
        <v>A</v>
      </c>
      <c r="F784" s="1096" t="str">
        <f>'09월 에너지'!F786</f>
        <v>SHN400(BL)</v>
      </c>
      <c r="G784" s="733">
        <v>7</v>
      </c>
      <c r="H784" s="734">
        <v>19</v>
      </c>
      <c r="I784" s="734">
        <v>57</v>
      </c>
      <c r="J784" s="734">
        <v>12</v>
      </c>
      <c r="K784" s="735">
        <v>21</v>
      </c>
      <c r="L784" s="734">
        <v>10</v>
      </c>
      <c r="M784" s="736">
        <v>8</v>
      </c>
      <c r="N784" s="737">
        <v>421</v>
      </c>
      <c r="O784" s="737"/>
      <c r="P784" s="737">
        <v>1000</v>
      </c>
      <c r="Q784" s="737">
        <v>951</v>
      </c>
      <c r="R784" s="737"/>
      <c r="S784" s="737"/>
      <c r="T784" s="737"/>
      <c r="U784" s="738"/>
      <c r="V784" s="739">
        <v>419</v>
      </c>
      <c r="W784" s="737"/>
      <c r="X784" s="737">
        <v>1000</v>
      </c>
      <c r="Y784" s="737">
        <v>903</v>
      </c>
      <c r="Z784" s="1202"/>
      <c r="AA784" s="740"/>
      <c r="AB784" s="739"/>
      <c r="AC784" s="741"/>
      <c r="AD784" s="741">
        <v>272</v>
      </c>
      <c r="AE784" s="741">
        <v>338</v>
      </c>
      <c r="AF784" s="741"/>
      <c r="AG784" s="741">
        <v>96</v>
      </c>
      <c r="AH784" s="741">
        <v>997</v>
      </c>
      <c r="AI784" s="741">
        <v>285</v>
      </c>
      <c r="AJ784" s="741">
        <v>85</v>
      </c>
      <c r="AK784" s="741"/>
      <c r="AL784" s="741">
        <v>125</v>
      </c>
      <c r="AM784" s="742">
        <v>3662</v>
      </c>
      <c r="AN784" s="743">
        <f t="shared" si="34"/>
        <v>0.75309661436829078</v>
      </c>
      <c r="AO784" s="744">
        <f t="shared" si="35"/>
        <v>0.86659979939819454</v>
      </c>
      <c r="AP784" s="745">
        <f>'09월 에너지'!S786</f>
        <v>144</v>
      </c>
    </row>
    <row r="785" spans="1:42" ht="16.5" customHeight="1">
      <c r="A785" s="999">
        <f>'09월 조업일지'!A785</f>
        <v>46294</v>
      </c>
      <c r="B785" s="1100">
        <f>'09월 조업일지'!B785</f>
        <v>46294</v>
      </c>
      <c r="C785" s="730">
        <f>'09월 조업일지'!G785</f>
        <v>85987</v>
      </c>
      <c r="D785" s="731" t="str">
        <f>'09월 조업일지'!E785</f>
        <v>D</v>
      </c>
      <c r="E785" s="732" t="str">
        <f>'09월 조업일지'!F785</f>
        <v>A</v>
      </c>
      <c r="F785" s="1096" t="str">
        <f>'09월 에너지'!F787</f>
        <v>SHN400(BL)</v>
      </c>
      <c r="G785" s="733">
        <v>7</v>
      </c>
      <c r="H785" s="734">
        <v>18</v>
      </c>
      <c r="I785" s="734">
        <v>59</v>
      </c>
      <c r="J785" s="734">
        <v>15</v>
      </c>
      <c r="K785" s="735">
        <v>22</v>
      </c>
      <c r="L785" s="734">
        <v>14</v>
      </c>
      <c r="M785" s="736">
        <v>8</v>
      </c>
      <c r="N785" s="737">
        <v>415</v>
      </c>
      <c r="O785" s="737"/>
      <c r="P785" s="737">
        <v>1150</v>
      </c>
      <c r="Q785" s="737">
        <v>951</v>
      </c>
      <c r="R785" s="737"/>
      <c r="S785" s="737"/>
      <c r="T785" s="737"/>
      <c r="U785" s="738"/>
      <c r="V785" s="739">
        <v>416</v>
      </c>
      <c r="W785" s="737"/>
      <c r="X785" s="737">
        <v>1150</v>
      </c>
      <c r="Y785" s="737">
        <v>901</v>
      </c>
      <c r="Z785" s="1202"/>
      <c r="AA785" s="740"/>
      <c r="AB785" s="739"/>
      <c r="AC785" s="741"/>
      <c r="AD785" s="741">
        <v>271</v>
      </c>
      <c r="AE785" s="741">
        <v>341</v>
      </c>
      <c r="AF785" s="741"/>
      <c r="AG785" s="741">
        <v>95</v>
      </c>
      <c r="AH785" s="741">
        <v>1005</v>
      </c>
      <c r="AI785" s="741">
        <v>282</v>
      </c>
      <c r="AJ785" s="741">
        <v>90</v>
      </c>
      <c r="AK785" s="741"/>
      <c r="AL785" s="741">
        <v>139</v>
      </c>
      <c r="AM785" s="742">
        <v>2660</v>
      </c>
      <c r="AN785" s="743">
        <f t="shared" si="34"/>
        <v>0.71701863354037265</v>
      </c>
      <c r="AO785" s="744">
        <f t="shared" si="35"/>
        <v>0.90251599147121531</v>
      </c>
      <c r="AP785" s="745">
        <f>'09월 에너지'!S787</f>
        <v>144.30000000000001</v>
      </c>
    </row>
    <row r="786" spans="1:42" ht="16.5" customHeight="1">
      <c r="A786" s="999">
        <f>'09월 조업일지'!A786</f>
        <v>46294</v>
      </c>
      <c r="B786" s="1100">
        <f>'09월 조업일지'!B786</f>
        <v>46294</v>
      </c>
      <c r="C786" s="730">
        <f>'09월 조업일지'!G786</f>
        <v>85988</v>
      </c>
      <c r="D786" s="731" t="str">
        <f>'09월 조업일지'!E786</f>
        <v>D</v>
      </c>
      <c r="E786" s="732" t="str">
        <f>'09월 조업일지'!F786</f>
        <v>A</v>
      </c>
      <c r="F786" s="1096" t="str">
        <f>'09월 에너지'!F788</f>
        <v>SHN400(BL)</v>
      </c>
      <c r="G786" s="733">
        <v>8</v>
      </c>
      <c r="H786" s="734">
        <v>20</v>
      </c>
      <c r="I786" s="734">
        <v>57</v>
      </c>
      <c r="J786" s="734">
        <v>14</v>
      </c>
      <c r="K786" s="735">
        <v>21</v>
      </c>
      <c r="L786" s="734">
        <v>16</v>
      </c>
      <c r="M786" s="736">
        <v>9</v>
      </c>
      <c r="N786" s="737">
        <v>421</v>
      </c>
      <c r="O786" s="737"/>
      <c r="P786" s="737">
        <v>1151</v>
      </c>
      <c r="Q786" s="737">
        <v>952</v>
      </c>
      <c r="R786" s="737"/>
      <c r="S786" s="737"/>
      <c r="T786" s="737"/>
      <c r="U786" s="738"/>
      <c r="V786" s="739">
        <v>422</v>
      </c>
      <c r="W786" s="737"/>
      <c r="X786" s="737">
        <v>1151</v>
      </c>
      <c r="Y786" s="737">
        <v>900</v>
      </c>
      <c r="Z786" s="1202"/>
      <c r="AA786" s="740"/>
      <c r="AB786" s="739"/>
      <c r="AC786" s="741"/>
      <c r="AD786" s="741">
        <v>270</v>
      </c>
      <c r="AE786" s="741">
        <v>340</v>
      </c>
      <c r="AF786" s="741"/>
      <c r="AG786" s="741">
        <v>95</v>
      </c>
      <c r="AH786" s="741">
        <v>1001</v>
      </c>
      <c r="AI786" s="741">
        <v>307</v>
      </c>
      <c r="AJ786" s="741">
        <v>82</v>
      </c>
      <c r="AK786" s="741"/>
      <c r="AL786" s="741">
        <v>119</v>
      </c>
      <c r="AM786" s="742">
        <v>1759</v>
      </c>
      <c r="AN786" s="743">
        <f t="shared" si="34"/>
        <v>0.75972660357518407</v>
      </c>
      <c r="AO786" s="744">
        <f t="shared" si="35"/>
        <v>0.86613386613386623</v>
      </c>
      <c r="AP786" s="745">
        <f>'09월 에너지'!S788</f>
        <v>144.5</v>
      </c>
    </row>
    <row r="787" spans="1:42" ht="16.5" customHeight="1">
      <c r="A787" s="999">
        <f>'09월 조업일지'!A787</f>
        <v>46294</v>
      </c>
      <c r="B787" s="1100">
        <f>'09월 조업일지'!B787</f>
        <v>46294</v>
      </c>
      <c r="C787" s="730">
        <f>'09월 조업일지'!G787</f>
        <v>85989</v>
      </c>
      <c r="D787" s="731" t="str">
        <f>'09월 조업일지'!E787</f>
        <v>D</v>
      </c>
      <c r="E787" s="732" t="str">
        <f>'09월 조업일지'!F787</f>
        <v>B</v>
      </c>
      <c r="F787" s="1096" t="str">
        <f>'09월 에너지'!F789</f>
        <v>SHN400(BL)</v>
      </c>
      <c r="G787" s="733">
        <v>9</v>
      </c>
      <c r="H787" s="734">
        <v>22</v>
      </c>
      <c r="I787" s="734">
        <v>59</v>
      </c>
      <c r="J787" s="734">
        <v>13</v>
      </c>
      <c r="K787" s="735">
        <v>27</v>
      </c>
      <c r="L787" s="734">
        <v>10</v>
      </c>
      <c r="M787" s="736">
        <v>10</v>
      </c>
      <c r="N787" s="737">
        <v>416</v>
      </c>
      <c r="O787" s="737"/>
      <c r="P787" s="737">
        <v>1151</v>
      </c>
      <c r="Q787" s="737">
        <v>953</v>
      </c>
      <c r="R787" s="737"/>
      <c r="S787" s="737"/>
      <c r="T787" s="737"/>
      <c r="U787" s="738"/>
      <c r="V787" s="739">
        <v>424</v>
      </c>
      <c r="W787" s="737"/>
      <c r="X787" s="737">
        <v>1000</v>
      </c>
      <c r="Y787" s="737">
        <v>900</v>
      </c>
      <c r="Z787" s="1202"/>
      <c r="AA787" s="740"/>
      <c r="AB787" s="739"/>
      <c r="AC787" s="741"/>
      <c r="AD787" s="741">
        <v>271</v>
      </c>
      <c r="AE787" s="741">
        <v>338</v>
      </c>
      <c r="AF787" s="741"/>
      <c r="AG787" s="741">
        <v>95</v>
      </c>
      <c r="AH787" s="741">
        <v>1002</v>
      </c>
      <c r="AI787" s="741">
        <v>279</v>
      </c>
      <c r="AJ787" s="741">
        <v>94</v>
      </c>
      <c r="AK787" s="741"/>
      <c r="AL787" s="741">
        <v>124</v>
      </c>
      <c r="AM787" s="742">
        <v>2394</v>
      </c>
      <c r="AN787" s="743">
        <f t="shared" si="34"/>
        <v>0.88844388819357545</v>
      </c>
      <c r="AO787" s="744">
        <f t="shared" si="35"/>
        <v>0.91086398631308818</v>
      </c>
      <c r="AP787" s="745">
        <f>'09월 에너지'!S789</f>
        <v>145.19999999999999</v>
      </c>
    </row>
    <row r="788" spans="1:42" ht="16.5" customHeight="1">
      <c r="A788" s="999">
        <f>'09월 조업일지'!A788</f>
        <v>46294</v>
      </c>
      <c r="B788" s="1100">
        <f>'09월 조업일지'!B788</f>
        <v>46294</v>
      </c>
      <c r="C788" s="730">
        <f>'09월 조업일지'!G788</f>
        <v>85990</v>
      </c>
      <c r="D788" s="731" t="str">
        <f>'09월 조업일지'!E788</f>
        <v>D</v>
      </c>
      <c r="E788" s="732" t="str">
        <f>'09월 조업일지'!F788</f>
        <v>A</v>
      </c>
      <c r="F788" s="1096" t="str">
        <f>'09월 에너지'!F790</f>
        <v>SHN400(BL)</v>
      </c>
      <c r="G788" s="733">
        <v>6</v>
      </c>
      <c r="H788" s="734">
        <v>21</v>
      </c>
      <c r="I788" s="734">
        <v>53</v>
      </c>
      <c r="J788" s="734">
        <v>14</v>
      </c>
      <c r="K788" s="735">
        <v>21</v>
      </c>
      <c r="L788" s="734">
        <v>16</v>
      </c>
      <c r="M788" s="736">
        <v>11</v>
      </c>
      <c r="N788" s="737">
        <v>418</v>
      </c>
      <c r="O788" s="737"/>
      <c r="P788" s="737">
        <v>1001</v>
      </c>
      <c r="Q788" s="737">
        <v>951</v>
      </c>
      <c r="R788" s="737"/>
      <c r="S788" s="737"/>
      <c r="T788" s="737"/>
      <c r="U788" s="738"/>
      <c r="V788" s="739">
        <v>419</v>
      </c>
      <c r="W788" s="737"/>
      <c r="X788" s="737">
        <v>1001</v>
      </c>
      <c r="Y788" s="737">
        <v>901</v>
      </c>
      <c r="Z788" s="1202"/>
      <c r="AA788" s="740"/>
      <c r="AB788" s="739"/>
      <c r="AC788" s="741"/>
      <c r="AD788" s="741">
        <v>271</v>
      </c>
      <c r="AE788" s="741">
        <v>336</v>
      </c>
      <c r="AF788" s="741"/>
      <c r="AG788" s="741">
        <v>95</v>
      </c>
      <c r="AH788" s="741">
        <v>1007</v>
      </c>
      <c r="AI788" s="741">
        <v>311</v>
      </c>
      <c r="AJ788" s="741">
        <v>85</v>
      </c>
      <c r="AK788" s="741"/>
      <c r="AL788" s="741">
        <v>122</v>
      </c>
      <c r="AM788" s="742">
        <v>2063</v>
      </c>
      <c r="AN788" s="743">
        <f t="shared" si="34"/>
        <v>0.7885245901639345</v>
      </c>
      <c r="AO788" s="744">
        <f t="shared" si="35"/>
        <v>0.7778975741239893</v>
      </c>
      <c r="AP788" s="745">
        <f>'09월 에너지'!S790</f>
        <v>144.30000000000001</v>
      </c>
    </row>
    <row r="789" spans="1:42" ht="16.5" customHeight="1">
      <c r="A789" s="999">
        <f>'09월 조업일지'!A789</f>
        <v>46294</v>
      </c>
      <c r="B789" s="1100">
        <f>'09월 조업일지'!B789</f>
        <v>46294</v>
      </c>
      <c r="C789" s="730">
        <f>'09월 조업일지'!G789</f>
        <v>85991</v>
      </c>
      <c r="D789" s="731" t="str">
        <f>'09월 조업일지'!E789</f>
        <v>D</v>
      </c>
      <c r="E789" s="732" t="str">
        <f>'09월 조업일지'!F789</f>
        <v>B</v>
      </c>
      <c r="F789" s="1096" t="str">
        <f>'09월 에너지'!F791</f>
        <v>SHN400(BL)</v>
      </c>
      <c r="G789" s="733">
        <v>8</v>
      </c>
      <c r="H789" s="734">
        <v>21</v>
      </c>
      <c r="I789" s="734">
        <v>56</v>
      </c>
      <c r="J789" s="734">
        <v>13</v>
      </c>
      <c r="K789" s="735">
        <v>25</v>
      </c>
      <c r="L789" s="734">
        <v>13</v>
      </c>
      <c r="M789" s="736">
        <v>8</v>
      </c>
      <c r="N789" s="737">
        <v>416</v>
      </c>
      <c r="O789" s="737"/>
      <c r="P789" s="737">
        <v>1001</v>
      </c>
      <c r="Q789" s="737">
        <v>952</v>
      </c>
      <c r="R789" s="737"/>
      <c r="S789" s="737"/>
      <c r="T789" s="737"/>
      <c r="U789" s="738"/>
      <c r="V789" s="739">
        <v>417</v>
      </c>
      <c r="W789" s="737"/>
      <c r="X789" s="737">
        <v>1000</v>
      </c>
      <c r="Y789" s="737">
        <v>903</v>
      </c>
      <c r="Z789" s="1202"/>
      <c r="AA789" s="740"/>
      <c r="AB789" s="739"/>
      <c r="AC789" s="741"/>
      <c r="AD789" s="741">
        <v>271</v>
      </c>
      <c r="AE789" s="741">
        <v>337</v>
      </c>
      <c r="AF789" s="741"/>
      <c r="AG789" s="741">
        <v>95</v>
      </c>
      <c r="AH789" s="741">
        <v>1005</v>
      </c>
      <c r="AI789" s="741">
        <v>279</v>
      </c>
      <c r="AJ789" s="741">
        <v>86</v>
      </c>
      <c r="AK789" s="741"/>
      <c r="AL789" s="741">
        <v>142</v>
      </c>
      <c r="AM789" s="742">
        <v>922</v>
      </c>
      <c r="AN789" s="743">
        <f t="shared" si="34"/>
        <v>0.85516666666666674</v>
      </c>
      <c r="AO789" s="744">
        <f t="shared" si="35"/>
        <v>0.85438521677327639</v>
      </c>
      <c r="AP789" s="745">
        <f>'09월 에너지'!S791</f>
        <v>146.6</v>
      </c>
    </row>
    <row r="790" spans="1:42" ht="16.5" customHeight="1">
      <c r="A790" s="999">
        <f>'09월 조업일지'!A790</f>
        <v>46294</v>
      </c>
      <c r="B790" s="1100">
        <f>'09월 조업일지'!B790</f>
        <v>46294</v>
      </c>
      <c r="C790" s="730">
        <f>'09월 조업일지'!G790</f>
        <v>85992</v>
      </c>
      <c r="D790" s="731" t="str">
        <f>'09월 조업일지'!E790</f>
        <v>D</v>
      </c>
      <c r="E790" s="732" t="str">
        <f>'09월 조업일지'!F790</f>
        <v>A</v>
      </c>
      <c r="F790" s="1096" t="str">
        <f>'09월 에너지'!F792</f>
        <v>SHN400(BL)</v>
      </c>
      <c r="G790" s="733">
        <v>8</v>
      </c>
      <c r="H790" s="734">
        <v>17</v>
      </c>
      <c r="I790" s="734">
        <v>52</v>
      </c>
      <c r="J790" s="734">
        <v>15</v>
      </c>
      <c r="K790" s="735">
        <v>27</v>
      </c>
      <c r="L790" s="734">
        <v>14</v>
      </c>
      <c r="M790" s="736">
        <v>11</v>
      </c>
      <c r="N790" s="737">
        <v>420</v>
      </c>
      <c r="O790" s="737"/>
      <c r="P790" s="737">
        <v>1001</v>
      </c>
      <c r="Q790" s="737">
        <v>952</v>
      </c>
      <c r="R790" s="737"/>
      <c r="S790" s="737"/>
      <c r="T790" s="737"/>
      <c r="U790" s="738"/>
      <c r="V790" s="739">
        <v>415</v>
      </c>
      <c r="W790" s="737"/>
      <c r="X790" s="737">
        <v>1001</v>
      </c>
      <c r="Y790" s="737">
        <v>902</v>
      </c>
      <c r="Z790" s="1202"/>
      <c r="AA790" s="740"/>
      <c r="AB790" s="739"/>
      <c r="AC790" s="741"/>
      <c r="AD790" s="741">
        <v>270</v>
      </c>
      <c r="AE790" s="741">
        <v>341</v>
      </c>
      <c r="AF790" s="741"/>
      <c r="AG790" s="741">
        <v>95</v>
      </c>
      <c r="AH790" s="741">
        <v>1015</v>
      </c>
      <c r="AI790" s="741">
        <v>312</v>
      </c>
      <c r="AJ790" s="741">
        <v>81</v>
      </c>
      <c r="AK790" s="741"/>
      <c r="AL790" s="741">
        <v>139</v>
      </c>
      <c r="AM790" s="742">
        <v>2431</v>
      </c>
      <c r="AN790" s="743">
        <f t="shared" si="34"/>
        <v>0.62982524271844664</v>
      </c>
      <c r="AO790" s="744">
        <f t="shared" si="35"/>
        <v>0.74520760028149191</v>
      </c>
      <c r="AP790" s="745">
        <f>'09월 에너지'!S792</f>
        <v>143.1</v>
      </c>
    </row>
    <row r="791" spans="1:42" ht="16.5" customHeight="1">
      <c r="A791" s="999">
        <f>'09월 조업일지'!A791</f>
        <v>46294</v>
      </c>
      <c r="B791" s="1100">
        <f>'09월 조업일지'!B791</f>
        <v>46294</v>
      </c>
      <c r="C791" s="730">
        <f>'09월 조업일지'!G791</f>
        <v>85993</v>
      </c>
      <c r="D791" s="731" t="str">
        <f>'09월 조업일지'!E791</f>
        <v>D</v>
      </c>
      <c r="E791" s="732" t="str">
        <f>'09월 조업일지'!F791</f>
        <v>B</v>
      </c>
      <c r="F791" s="1231" t="str">
        <f>'09월 에너지'!F793</f>
        <v>SS400-05</v>
      </c>
      <c r="G791" s="733">
        <v>9</v>
      </c>
      <c r="H791" s="734">
        <v>23</v>
      </c>
      <c r="I791" s="734">
        <v>47</v>
      </c>
      <c r="J791" s="734">
        <v>13</v>
      </c>
      <c r="K791" s="735">
        <v>20</v>
      </c>
      <c r="L791" s="734">
        <v>12</v>
      </c>
      <c r="M791" s="736">
        <v>13</v>
      </c>
      <c r="N791" s="737">
        <v>424</v>
      </c>
      <c r="O791" s="737"/>
      <c r="P791" s="737">
        <v>1000</v>
      </c>
      <c r="Q791" s="737">
        <v>952</v>
      </c>
      <c r="R791" s="737"/>
      <c r="S791" s="737"/>
      <c r="T791" s="737"/>
      <c r="U791" s="738"/>
      <c r="V791" s="739">
        <v>423</v>
      </c>
      <c r="W791" s="737"/>
      <c r="X791" s="737">
        <v>1000</v>
      </c>
      <c r="Y791" s="737">
        <v>901</v>
      </c>
      <c r="Z791" s="1202"/>
      <c r="AA791" s="740"/>
      <c r="AB791" s="739"/>
      <c r="AC791" s="741"/>
      <c r="AD791" s="741">
        <v>270</v>
      </c>
      <c r="AE791" s="741">
        <v>339</v>
      </c>
      <c r="AF791" s="741"/>
      <c r="AG791" s="741">
        <v>111</v>
      </c>
      <c r="AH791" s="741">
        <v>841</v>
      </c>
      <c r="AI791" s="741">
        <v>328</v>
      </c>
      <c r="AJ791" s="741">
        <v>79</v>
      </c>
      <c r="AK791" s="741"/>
      <c r="AL791" s="741">
        <v>122</v>
      </c>
      <c r="AM791" s="742">
        <v>1444</v>
      </c>
      <c r="AN791" s="743">
        <f t="shared" si="34"/>
        <v>0.89058175466881639</v>
      </c>
      <c r="AO791" s="744">
        <f t="shared" si="35"/>
        <v>0.78328520468829632</v>
      </c>
      <c r="AP791" s="745">
        <f>'09월 에너지'!S793</f>
        <v>144.1</v>
      </c>
    </row>
    <row r="792" spans="1:42" ht="16.5" customHeight="1">
      <c r="A792" s="999">
        <f>'09월 조업일지'!A792</f>
        <v>46294</v>
      </c>
      <c r="B792" s="1100">
        <f>'09월 조업일지'!B792</f>
        <v>46294</v>
      </c>
      <c r="C792" s="730">
        <f>'09월 조업일지'!G792</f>
        <v>85994</v>
      </c>
      <c r="D792" s="731" t="str">
        <f>'09월 조업일지'!E792</f>
        <v>D</v>
      </c>
      <c r="E792" s="732" t="str">
        <f>'09월 조업일지'!F792</f>
        <v>A</v>
      </c>
      <c r="F792" s="1096" t="str">
        <f>'09월 에너지'!F794</f>
        <v>SS400-05</v>
      </c>
      <c r="G792" s="733">
        <v>9</v>
      </c>
      <c r="H792" s="734">
        <v>24</v>
      </c>
      <c r="I792" s="734">
        <v>47</v>
      </c>
      <c r="J792" s="734">
        <v>14</v>
      </c>
      <c r="K792" s="735">
        <v>23</v>
      </c>
      <c r="L792" s="734">
        <v>16</v>
      </c>
      <c r="M792" s="736">
        <v>10</v>
      </c>
      <c r="N792" s="737">
        <v>416</v>
      </c>
      <c r="O792" s="737"/>
      <c r="P792" s="737">
        <v>1000</v>
      </c>
      <c r="Q792" s="737">
        <v>949</v>
      </c>
      <c r="R792" s="737"/>
      <c r="S792" s="737"/>
      <c r="T792" s="737">
        <v>110</v>
      </c>
      <c r="U792" s="738"/>
      <c r="V792" s="739">
        <v>419</v>
      </c>
      <c r="W792" s="737"/>
      <c r="X792" s="737">
        <v>1000</v>
      </c>
      <c r="Y792" s="737">
        <v>901</v>
      </c>
      <c r="Z792" s="1202"/>
      <c r="AA792" s="740"/>
      <c r="AB792" s="739"/>
      <c r="AC792" s="741"/>
      <c r="AD792" s="741">
        <v>271</v>
      </c>
      <c r="AE792" s="741">
        <v>336</v>
      </c>
      <c r="AF792" s="741"/>
      <c r="AG792" s="741">
        <v>110</v>
      </c>
      <c r="AH792" s="741">
        <v>847</v>
      </c>
      <c r="AI792" s="741">
        <v>353</v>
      </c>
      <c r="AJ792" s="741">
        <v>79</v>
      </c>
      <c r="AK792" s="741"/>
      <c r="AL792" s="741">
        <v>132</v>
      </c>
      <c r="AM792" s="742">
        <v>1889</v>
      </c>
      <c r="AN792" s="743">
        <f t="shared" si="34"/>
        <v>0.88085758039816231</v>
      </c>
      <c r="AO792" s="744">
        <f t="shared" si="35"/>
        <v>0.7761173891044022</v>
      </c>
      <c r="AP792" s="745">
        <f>'09월 에너지'!S794</f>
        <v>143.80000000000001</v>
      </c>
    </row>
    <row r="793" spans="1:42" ht="16.5" customHeight="1">
      <c r="A793" s="999">
        <f>'09월 조업일지'!A793</f>
        <v>46294</v>
      </c>
      <c r="B793" s="1100">
        <f>'09월 조업일지'!B793</f>
        <v>46294</v>
      </c>
      <c r="C793" s="730">
        <f>'09월 조업일지'!G793</f>
        <v>85995</v>
      </c>
      <c r="D793" s="731" t="str">
        <f>'09월 조업일지'!E793</f>
        <v>D</v>
      </c>
      <c r="E793" s="732" t="str">
        <f>'09월 조업일지'!F793</f>
        <v>B</v>
      </c>
      <c r="F793" s="1096" t="str">
        <f>'09월 에너지'!F795</f>
        <v>SS400-05</v>
      </c>
      <c r="G793" s="733">
        <v>11</v>
      </c>
      <c r="H793" s="734">
        <v>23</v>
      </c>
      <c r="I793" s="734">
        <v>49</v>
      </c>
      <c r="J793" s="734">
        <v>15</v>
      </c>
      <c r="K793" s="735">
        <v>25</v>
      </c>
      <c r="L793" s="734">
        <v>14</v>
      </c>
      <c r="M793" s="736">
        <v>10</v>
      </c>
      <c r="N793" s="737">
        <v>420</v>
      </c>
      <c r="O793" s="737"/>
      <c r="P793" s="737">
        <v>1001</v>
      </c>
      <c r="Q793" s="737">
        <v>953</v>
      </c>
      <c r="R793" s="737"/>
      <c r="S793" s="737"/>
      <c r="T793" s="737"/>
      <c r="U793" s="738"/>
      <c r="V793" s="739">
        <v>414</v>
      </c>
      <c r="W793" s="737"/>
      <c r="X793" s="737">
        <v>1001</v>
      </c>
      <c r="Y793" s="737">
        <v>901</v>
      </c>
      <c r="Z793" s="1202"/>
      <c r="AA793" s="740"/>
      <c r="AB793" s="739"/>
      <c r="AC793" s="741"/>
      <c r="AD793" s="741">
        <v>270</v>
      </c>
      <c r="AE793" s="741">
        <v>336</v>
      </c>
      <c r="AF793" s="741"/>
      <c r="AG793" s="741">
        <v>110</v>
      </c>
      <c r="AH793" s="741">
        <v>835</v>
      </c>
      <c r="AI793" s="741">
        <v>325</v>
      </c>
      <c r="AJ793" s="741">
        <v>82</v>
      </c>
      <c r="AK793" s="741"/>
      <c r="AL793" s="741">
        <v>133</v>
      </c>
      <c r="AM793" s="742">
        <v>2423</v>
      </c>
      <c r="AN793" s="743">
        <f t="shared" si="34"/>
        <v>0.9212466124661246</v>
      </c>
      <c r="AO793" s="744">
        <f t="shared" si="35"/>
        <v>0.85974337040205295</v>
      </c>
      <c r="AP793" s="745">
        <f>'09월 에너지'!S795</f>
        <v>147.80000000000001</v>
      </c>
    </row>
    <row r="794" spans="1:42" ht="16.5" customHeight="1">
      <c r="A794" s="999">
        <f>'09월 조업일지'!A794</f>
        <v>46294</v>
      </c>
      <c r="B794" s="1100">
        <f>'09월 조업일지'!B794</f>
        <v>46294</v>
      </c>
      <c r="C794" s="730">
        <f>'09월 조업일지'!G794</f>
        <v>85996</v>
      </c>
      <c r="D794" s="731" t="str">
        <f>'09월 조업일지'!E794</f>
        <v>B</v>
      </c>
      <c r="E794" s="732" t="str">
        <f>'09월 조업일지'!F794</f>
        <v>A</v>
      </c>
      <c r="F794" s="1096" t="str">
        <f>'09월 에너지'!F796</f>
        <v>SS400-05</v>
      </c>
      <c r="G794" s="733">
        <v>7</v>
      </c>
      <c r="H794" s="734">
        <v>16</v>
      </c>
      <c r="I794" s="734">
        <v>48</v>
      </c>
      <c r="J794" s="734">
        <v>16</v>
      </c>
      <c r="K794" s="735">
        <v>29</v>
      </c>
      <c r="L794" s="734">
        <v>18</v>
      </c>
      <c r="M794" s="736">
        <v>10</v>
      </c>
      <c r="N794" s="737">
        <v>418</v>
      </c>
      <c r="O794" s="737"/>
      <c r="P794" s="737">
        <v>1001</v>
      </c>
      <c r="Q794" s="737">
        <v>951</v>
      </c>
      <c r="R794" s="737"/>
      <c r="S794" s="737"/>
      <c r="T794" s="737"/>
      <c r="U794" s="738"/>
      <c r="V794" s="739">
        <v>418</v>
      </c>
      <c r="W794" s="737"/>
      <c r="X794" s="737">
        <v>1001</v>
      </c>
      <c r="Y794" s="737">
        <v>901</v>
      </c>
      <c r="Z794" s="1202"/>
      <c r="AA794" s="740"/>
      <c r="AB794" s="739"/>
      <c r="AC794" s="741"/>
      <c r="AD794" s="741">
        <v>271</v>
      </c>
      <c r="AE794" s="741">
        <v>335</v>
      </c>
      <c r="AF794" s="741"/>
      <c r="AG794" s="741">
        <v>110</v>
      </c>
      <c r="AH794" s="741">
        <v>843</v>
      </c>
      <c r="AI794" s="741">
        <v>331</v>
      </c>
      <c r="AJ794" s="741">
        <v>76</v>
      </c>
      <c r="AK794" s="741"/>
      <c r="AL794" s="741">
        <v>137</v>
      </c>
      <c r="AM794" s="742">
        <v>1472</v>
      </c>
      <c r="AN794" s="743">
        <f t="shared" si="34"/>
        <v>0.62215105417667471</v>
      </c>
      <c r="AO794" s="744">
        <f t="shared" si="35"/>
        <v>0.81479410269445873</v>
      </c>
      <c r="AP794" s="745">
        <f>'09월 에너지'!S796</f>
        <v>145.69999999999999</v>
      </c>
    </row>
    <row r="795" spans="1:42" ht="16.5" customHeight="1">
      <c r="A795" s="999">
        <f>'09월 조업일지'!A795</f>
        <v>46294</v>
      </c>
      <c r="B795" s="1100">
        <f>'09월 조업일지'!B795</f>
        <v>46294</v>
      </c>
      <c r="C795" s="730">
        <f>'09월 조업일지'!G795</f>
        <v>85997</v>
      </c>
      <c r="D795" s="731" t="str">
        <f>'09월 조업일지'!E795</f>
        <v>B</v>
      </c>
      <c r="E795" s="732" t="str">
        <f>'09월 조업일지'!F795</f>
        <v>B</v>
      </c>
      <c r="F795" s="1096" t="str">
        <f>'09월 에너지'!F797</f>
        <v>SS400-05</v>
      </c>
      <c r="G795" s="733">
        <v>9</v>
      </c>
      <c r="H795" s="734">
        <v>22</v>
      </c>
      <c r="I795" s="734">
        <v>49</v>
      </c>
      <c r="J795" s="734">
        <v>14</v>
      </c>
      <c r="K795" s="735">
        <v>26</v>
      </c>
      <c r="L795" s="734">
        <v>11</v>
      </c>
      <c r="M795" s="736">
        <v>8</v>
      </c>
      <c r="N795" s="737">
        <v>420</v>
      </c>
      <c r="O795" s="737"/>
      <c r="P795" s="737">
        <v>1000</v>
      </c>
      <c r="Q795" s="737">
        <v>952</v>
      </c>
      <c r="R795" s="737"/>
      <c r="S795" s="737"/>
      <c r="T795" s="737"/>
      <c r="U795" s="738"/>
      <c r="V795" s="739">
        <v>416</v>
      </c>
      <c r="W795" s="737"/>
      <c r="X795" s="737">
        <v>1001</v>
      </c>
      <c r="Y795" s="737">
        <v>900</v>
      </c>
      <c r="Z795" s="1202"/>
      <c r="AA795" s="740"/>
      <c r="AB795" s="739"/>
      <c r="AC795" s="741"/>
      <c r="AD795" s="741">
        <v>271</v>
      </c>
      <c r="AE795" s="741">
        <v>337</v>
      </c>
      <c r="AF795" s="741"/>
      <c r="AG795" s="741">
        <v>111</v>
      </c>
      <c r="AH795" s="741">
        <v>842</v>
      </c>
      <c r="AI795" s="741">
        <v>330</v>
      </c>
      <c r="AJ795" s="741">
        <v>83</v>
      </c>
      <c r="AK795" s="741"/>
      <c r="AL795" s="741">
        <v>136</v>
      </c>
      <c r="AM795" s="742">
        <v>1741</v>
      </c>
      <c r="AN795" s="743">
        <f t="shared" si="34"/>
        <v>0.85516318887105403</v>
      </c>
      <c r="AO795" s="744">
        <f t="shared" si="35"/>
        <v>0.83817441465897524</v>
      </c>
      <c r="AP795" s="745">
        <f>'09월 에너지'!S797</f>
        <v>145.30000000000001</v>
      </c>
    </row>
    <row r="796" spans="1:42" ht="16.5" customHeight="1">
      <c r="A796" s="999">
        <f>'09월 조업일지'!A796</f>
        <v>46294</v>
      </c>
      <c r="B796" s="1100">
        <f>'09월 조업일지'!B796</f>
        <v>46294</v>
      </c>
      <c r="C796" s="730">
        <f>'09월 조업일지'!G796</f>
        <v>85998</v>
      </c>
      <c r="D796" s="731" t="str">
        <f>'09월 조업일지'!E796</f>
        <v>B</v>
      </c>
      <c r="E796" s="732" t="str">
        <f>'09월 조업일지'!F796</f>
        <v>A</v>
      </c>
      <c r="F796" s="1096" t="str">
        <f>'09월 에너지'!F798</f>
        <v>SS400-05</v>
      </c>
      <c r="G796" s="733">
        <v>10</v>
      </c>
      <c r="H796" s="734">
        <v>24</v>
      </c>
      <c r="I796" s="734">
        <v>53</v>
      </c>
      <c r="J796" s="734">
        <v>15</v>
      </c>
      <c r="K796" s="735">
        <v>25</v>
      </c>
      <c r="L796" s="734">
        <v>15</v>
      </c>
      <c r="M796" s="736">
        <v>11</v>
      </c>
      <c r="N796" s="737">
        <v>414</v>
      </c>
      <c r="O796" s="737"/>
      <c r="P796" s="737">
        <v>1000</v>
      </c>
      <c r="Q796" s="737">
        <v>950</v>
      </c>
      <c r="R796" s="737"/>
      <c r="S796" s="737"/>
      <c r="T796" s="737"/>
      <c r="U796" s="738"/>
      <c r="V796" s="739">
        <v>432</v>
      </c>
      <c r="W796" s="737"/>
      <c r="X796" s="737">
        <v>1001</v>
      </c>
      <c r="Y796" s="737">
        <v>901</v>
      </c>
      <c r="Z796" s="1202"/>
      <c r="AA796" s="740"/>
      <c r="AB796" s="739"/>
      <c r="AC796" s="741"/>
      <c r="AD796" s="741">
        <v>271</v>
      </c>
      <c r="AE796" s="741">
        <v>337</v>
      </c>
      <c r="AF796" s="741"/>
      <c r="AG796" s="741">
        <v>111</v>
      </c>
      <c r="AH796" s="741">
        <v>846</v>
      </c>
      <c r="AI796" s="741">
        <v>328</v>
      </c>
      <c r="AJ796" s="741">
        <v>87</v>
      </c>
      <c r="AK796" s="741"/>
      <c r="AL796" s="741">
        <v>127</v>
      </c>
      <c r="AM796" s="742">
        <v>2013</v>
      </c>
      <c r="AN796" s="743">
        <f t="shared" si="34"/>
        <v>0.93386967015285605</v>
      </c>
      <c r="AO796" s="744">
        <f t="shared" si="35"/>
        <v>0.93107058426207367</v>
      </c>
      <c r="AP796" s="745">
        <f>'09월 에너지'!S798</f>
        <v>145.1</v>
      </c>
    </row>
    <row r="797" spans="1:42" ht="16.5" customHeight="1">
      <c r="A797" s="999">
        <f>'09월 조업일지'!A797</f>
        <v>46294</v>
      </c>
      <c r="B797" s="1100">
        <f>'09월 조업일지'!B797</f>
        <v>46294</v>
      </c>
      <c r="C797" s="730">
        <f>'09월 조업일지'!G797</f>
        <v>85999</v>
      </c>
      <c r="D797" s="731" t="str">
        <f>'09월 조업일지'!E797</f>
        <v>B</v>
      </c>
      <c r="E797" s="732" t="str">
        <f>'09월 조업일지'!F797</f>
        <v>B</v>
      </c>
      <c r="F797" s="1096" t="str">
        <f>'09월 에너지'!F799</f>
        <v>SS400-05</v>
      </c>
      <c r="G797" s="733">
        <v>9</v>
      </c>
      <c r="H797" s="734">
        <v>22</v>
      </c>
      <c r="I797" s="734">
        <v>53</v>
      </c>
      <c r="J797" s="734">
        <v>15</v>
      </c>
      <c r="K797" s="735">
        <v>30</v>
      </c>
      <c r="L797" s="734">
        <v>12</v>
      </c>
      <c r="M797" s="736">
        <v>9</v>
      </c>
      <c r="N797" s="737">
        <v>423</v>
      </c>
      <c r="O797" s="737"/>
      <c r="P797" s="737">
        <v>1001</v>
      </c>
      <c r="Q797" s="737">
        <v>950</v>
      </c>
      <c r="R797" s="737"/>
      <c r="S797" s="737"/>
      <c r="T797" s="737"/>
      <c r="U797" s="738"/>
      <c r="V797" s="739">
        <v>436</v>
      </c>
      <c r="W797" s="737"/>
      <c r="X797" s="737">
        <v>1015</v>
      </c>
      <c r="Y797" s="737">
        <v>900</v>
      </c>
      <c r="Z797" s="1202"/>
      <c r="AA797" s="740"/>
      <c r="AB797" s="739"/>
      <c r="AC797" s="741"/>
      <c r="AD797" s="741">
        <v>272</v>
      </c>
      <c r="AE797" s="741">
        <v>339</v>
      </c>
      <c r="AF797" s="741"/>
      <c r="AG797" s="741">
        <v>110</v>
      </c>
      <c r="AH797" s="741">
        <v>847</v>
      </c>
      <c r="AI797" s="741">
        <v>330</v>
      </c>
      <c r="AJ797" s="741">
        <v>80</v>
      </c>
      <c r="AK797" s="741"/>
      <c r="AL797" s="741">
        <v>128</v>
      </c>
      <c r="AM797" s="742">
        <v>1675</v>
      </c>
      <c r="AN797" s="743">
        <f t="shared" si="34"/>
        <v>0.86578560939794413</v>
      </c>
      <c r="AO797" s="744">
        <f t="shared" si="35"/>
        <v>0.94471243042671615</v>
      </c>
      <c r="AP797" s="745">
        <f>'09월 에너지'!S799</f>
        <v>147.4</v>
      </c>
    </row>
    <row r="798" spans="1:42" ht="16.5" customHeight="1">
      <c r="A798" s="999">
        <f>'09월 조업일지'!A798</f>
        <v>46294</v>
      </c>
      <c r="B798" s="1100">
        <f>'09월 조업일지'!B798</f>
        <v>46294</v>
      </c>
      <c r="C798" s="730">
        <f>'09월 조업일지'!G798</f>
        <v>86000</v>
      </c>
      <c r="D798" s="731" t="str">
        <f>'09월 조업일지'!E798</f>
        <v>B</v>
      </c>
      <c r="E798" s="732" t="str">
        <f>'09월 조업일지'!F798</f>
        <v>A</v>
      </c>
      <c r="F798" s="1096" t="str">
        <f>'09월 에너지'!F800</f>
        <v>SS400-05</v>
      </c>
      <c r="G798" s="733">
        <v>9</v>
      </c>
      <c r="H798" s="734">
        <v>24</v>
      </c>
      <c r="I798" s="734">
        <v>61</v>
      </c>
      <c r="J798" s="734">
        <v>18</v>
      </c>
      <c r="K798" s="735">
        <v>34</v>
      </c>
      <c r="L798" s="734">
        <v>13</v>
      </c>
      <c r="M798" s="736">
        <v>11</v>
      </c>
      <c r="N798" s="737">
        <v>418</v>
      </c>
      <c r="O798" s="737"/>
      <c r="P798" s="737">
        <v>1000</v>
      </c>
      <c r="Q798" s="737">
        <v>952</v>
      </c>
      <c r="R798" s="737"/>
      <c r="S798" s="737"/>
      <c r="T798" s="737"/>
      <c r="U798" s="738"/>
      <c r="V798" s="739">
        <v>422</v>
      </c>
      <c r="W798" s="737"/>
      <c r="X798" s="737">
        <v>1001</v>
      </c>
      <c r="Y798" s="737">
        <v>900</v>
      </c>
      <c r="Z798" s="1202"/>
      <c r="AA798" s="740"/>
      <c r="AB798" s="739"/>
      <c r="AC798" s="741"/>
      <c r="AD798" s="741">
        <v>273</v>
      </c>
      <c r="AE798" s="741">
        <v>337</v>
      </c>
      <c r="AF798" s="741"/>
      <c r="AG798" s="741">
        <v>111</v>
      </c>
      <c r="AH798" s="741">
        <v>845</v>
      </c>
      <c r="AI798" s="741">
        <v>337</v>
      </c>
      <c r="AJ798" s="741">
        <v>75</v>
      </c>
      <c r="AK798" s="741"/>
      <c r="AL798" s="741">
        <v>126</v>
      </c>
      <c r="AM798" s="742">
        <v>1216</v>
      </c>
      <c r="AN798" s="743">
        <f t="shared" si="34"/>
        <v>0.91889328063241116</v>
      </c>
      <c r="AO798" s="744">
        <f t="shared" si="35"/>
        <v>1.1299746407438716</v>
      </c>
      <c r="AP798" s="745">
        <f>'09월 에너지'!S800</f>
        <v>145.30000000000001</v>
      </c>
    </row>
    <row r="799" spans="1:42" ht="16.5" customHeight="1">
      <c r="A799" s="999">
        <f>'09월 조업일지'!A799</f>
        <v>46294</v>
      </c>
      <c r="B799" s="1100">
        <f>'09월 조업일지'!B799</f>
        <v>46294</v>
      </c>
      <c r="C799" s="730">
        <f>'09월 조업일지'!G799</f>
        <v>86001</v>
      </c>
      <c r="D799" s="731" t="str">
        <f>'09월 조업일지'!E799</f>
        <v>B</v>
      </c>
      <c r="E799" s="732" t="str">
        <f>'09월 조업일지'!F799</f>
        <v>B</v>
      </c>
      <c r="F799" s="1096" t="str">
        <f>'09월 에너지'!F801</f>
        <v>SS400-05</v>
      </c>
      <c r="G799" s="733">
        <v>11</v>
      </c>
      <c r="H799" s="734">
        <v>23</v>
      </c>
      <c r="I799" s="734">
        <v>52</v>
      </c>
      <c r="J799" s="734">
        <v>14</v>
      </c>
      <c r="K799" s="735">
        <v>34</v>
      </c>
      <c r="L799" s="734">
        <v>13</v>
      </c>
      <c r="M799" s="736">
        <v>10</v>
      </c>
      <c r="N799" s="737">
        <v>413</v>
      </c>
      <c r="O799" s="737"/>
      <c r="P799" s="737">
        <v>1000</v>
      </c>
      <c r="Q799" s="737">
        <v>950</v>
      </c>
      <c r="R799" s="737"/>
      <c r="S799" s="737"/>
      <c r="T799" s="737"/>
      <c r="U799" s="738"/>
      <c r="V799" s="739">
        <v>416</v>
      </c>
      <c r="W799" s="737"/>
      <c r="X799" s="737">
        <v>1001</v>
      </c>
      <c r="Y799" s="737">
        <v>903</v>
      </c>
      <c r="Z799" s="1202"/>
      <c r="AA799" s="740"/>
      <c r="AB799" s="739"/>
      <c r="AC799" s="741"/>
      <c r="AD799" s="741">
        <v>273</v>
      </c>
      <c r="AE799" s="741">
        <v>338</v>
      </c>
      <c r="AF799" s="741"/>
      <c r="AG799" s="741">
        <v>110</v>
      </c>
      <c r="AH799" s="741">
        <v>847</v>
      </c>
      <c r="AI799" s="741">
        <v>325</v>
      </c>
      <c r="AJ799" s="741">
        <v>75</v>
      </c>
      <c r="AK799" s="741"/>
      <c r="AL799" s="741">
        <v>127</v>
      </c>
      <c r="AM799" s="742">
        <v>1407</v>
      </c>
      <c r="AN799" s="743">
        <f t="shared" si="34"/>
        <v>0.90126752966558787</v>
      </c>
      <c r="AO799" s="744">
        <f t="shared" si="35"/>
        <v>0.90674650025299386</v>
      </c>
      <c r="AP799" s="745">
        <f>'09월 에너지'!S801</f>
        <v>145.30000000000001</v>
      </c>
    </row>
    <row r="800" spans="1:42" ht="16.5" customHeight="1">
      <c r="A800" s="999">
        <f>'09월 조업일지'!A800</f>
        <v>46295</v>
      </c>
      <c r="B800" s="1100">
        <f>'09월 조업일지'!B800</f>
        <v>46294</v>
      </c>
      <c r="C800" s="730">
        <f>'09월 조업일지'!G800</f>
        <v>86002</v>
      </c>
      <c r="D800" s="731" t="str">
        <f>'09월 조업일지'!E800</f>
        <v>B</v>
      </c>
      <c r="E800" s="732" t="str">
        <f>'09월 조업일지'!F800</f>
        <v>A</v>
      </c>
      <c r="F800" s="1096" t="str">
        <f>'09월 에너지'!F802</f>
        <v>SS400-05</v>
      </c>
      <c r="G800" s="733">
        <v>10</v>
      </c>
      <c r="H800" s="734">
        <v>24</v>
      </c>
      <c r="I800" s="734">
        <v>57</v>
      </c>
      <c r="J800" s="734">
        <v>14</v>
      </c>
      <c r="K800" s="735">
        <v>32</v>
      </c>
      <c r="L800" s="734">
        <v>15</v>
      </c>
      <c r="M800" s="736">
        <v>9</v>
      </c>
      <c r="N800" s="737">
        <v>417</v>
      </c>
      <c r="O800" s="737"/>
      <c r="P800" s="737">
        <v>1001</v>
      </c>
      <c r="Q800" s="737">
        <v>950</v>
      </c>
      <c r="R800" s="737"/>
      <c r="S800" s="737"/>
      <c r="T800" s="737"/>
      <c r="U800" s="738"/>
      <c r="V800" s="739">
        <v>421</v>
      </c>
      <c r="W800" s="737"/>
      <c r="X800" s="737">
        <v>1015</v>
      </c>
      <c r="Y800" s="737">
        <v>900</v>
      </c>
      <c r="Z800" s="1202"/>
      <c r="AA800" s="740"/>
      <c r="AB800" s="739"/>
      <c r="AC800" s="741"/>
      <c r="AD800" s="741">
        <v>272</v>
      </c>
      <c r="AE800" s="741">
        <v>339</v>
      </c>
      <c r="AF800" s="741"/>
      <c r="AG800" s="741">
        <v>111</v>
      </c>
      <c r="AH800" s="741">
        <v>848</v>
      </c>
      <c r="AI800" s="741">
        <v>334</v>
      </c>
      <c r="AJ800" s="741">
        <v>87</v>
      </c>
      <c r="AK800" s="741"/>
      <c r="AL800" s="741">
        <v>128</v>
      </c>
      <c r="AM800" s="742">
        <v>1590</v>
      </c>
      <c r="AN800" s="743">
        <f t="shared" si="34"/>
        <v>0.92581413820492464</v>
      </c>
      <c r="AO800" s="744">
        <f t="shared" si="35"/>
        <v>1.0308962264150945</v>
      </c>
      <c r="AP800" s="745">
        <f>'09월 에너지'!S802</f>
        <v>145.69999999999999</v>
      </c>
    </row>
    <row r="801" spans="1:42" ht="16.5" customHeight="1">
      <c r="A801" s="999">
        <f>'09월 조업일지'!A801</f>
        <v>46295</v>
      </c>
      <c r="B801" s="1100">
        <f>'09월 조업일지'!B801</f>
        <v>46294</v>
      </c>
      <c r="C801" s="730">
        <f>'09월 조업일지'!G801</f>
        <v>86003</v>
      </c>
      <c r="D801" s="731" t="str">
        <f>'09월 조업일지'!E801</f>
        <v>B</v>
      </c>
      <c r="E801" s="732" t="str">
        <f>'09월 조업일지'!F801</f>
        <v>B</v>
      </c>
      <c r="F801" s="1096" t="str">
        <f>'09월 에너지'!F803</f>
        <v>SS400-05</v>
      </c>
      <c r="G801" s="733">
        <v>11</v>
      </c>
      <c r="H801" s="734">
        <v>19</v>
      </c>
      <c r="I801" s="734">
        <v>53</v>
      </c>
      <c r="J801" s="734">
        <v>16</v>
      </c>
      <c r="K801" s="735">
        <v>27</v>
      </c>
      <c r="L801" s="734">
        <v>13</v>
      </c>
      <c r="M801" s="736">
        <v>11</v>
      </c>
      <c r="N801" s="737">
        <v>420</v>
      </c>
      <c r="O801" s="737"/>
      <c r="P801" s="737">
        <v>1001</v>
      </c>
      <c r="Q801" s="737">
        <v>954</v>
      </c>
      <c r="R801" s="737"/>
      <c r="S801" s="737"/>
      <c r="T801" s="737"/>
      <c r="U801" s="738"/>
      <c r="V801" s="739">
        <v>416</v>
      </c>
      <c r="W801" s="737"/>
      <c r="X801" s="737">
        <v>1002</v>
      </c>
      <c r="Y801" s="737">
        <v>908</v>
      </c>
      <c r="Z801" s="1202"/>
      <c r="AA801" s="740"/>
      <c r="AB801" s="739"/>
      <c r="AC801" s="741"/>
      <c r="AD801" s="741">
        <v>270</v>
      </c>
      <c r="AE801" s="741">
        <v>341</v>
      </c>
      <c r="AF801" s="741"/>
      <c r="AG801" s="741">
        <v>110</v>
      </c>
      <c r="AH801" s="741">
        <v>842</v>
      </c>
      <c r="AI801" s="741">
        <v>329</v>
      </c>
      <c r="AJ801" s="741">
        <v>76</v>
      </c>
      <c r="AK801" s="741"/>
      <c r="AL801" s="741">
        <v>122</v>
      </c>
      <c r="AM801" s="742">
        <v>2198</v>
      </c>
      <c r="AN801" s="743">
        <f t="shared" si="34"/>
        <v>0.74767457445382657</v>
      </c>
      <c r="AO801" s="744">
        <f t="shared" si="35"/>
        <v>0.9464540210383442</v>
      </c>
      <c r="AP801" s="745">
        <f>'09월 에너지'!S803</f>
        <v>146.80000000000001</v>
      </c>
    </row>
    <row r="802" spans="1:42" ht="16.5" customHeight="1">
      <c r="A802" s="999">
        <f>'09월 조업일지'!A802</f>
        <v>46295</v>
      </c>
      <c r="B802" s="1100">
        <f>'09월 조업일지'!B802</f>
        <v>46294</v>
      </c>
      <c r="C802" s="730">
        <f>'09월 조업일지'!G802</f>
        <v>86004</v>
      </c>
      <c r="D802" s="731" t="str">
        <f>'09월 조업일지'!E802</f>
        <v>B</v>
      </c>
      <c r="E802" s="732" t="str">
        <f>'09월 조업일지'!F802</f>
        <v>A</v>
      </c>
      <c r="F802" s="1096" t="str">
        <f>'09월 에너지'!F804</f>
        <v>SS400-05</v>
      </c>
      <c r="G802" s="733">
        <v>8</v>
      </c>
      <c r="H802" s="734">
        <v>14</v>
      </c>
      <c r="I802" s="734">
        <v>50</v>
      </c>
      <c r="J802" s="734">
        <v>15</v>
      </c>
      <c r="K802" s="735">
        <v>23</v>
      </c>
      <c r="L802" s="734">
        <v>14</v>
      </c>
      <c r="M802" s="736">
        <v>12</v>
      </c>
      <c r="N802" s="737">
        <v>414</v>
      </c>
      <c r="O802" s="737"/>
      <c r="P802" s="737">
        <v>1002</v>
      </c>
      <c r="Q802" s="737">
        <v>959</v>
      </c>
      <c r="R802" s="737"/>
      <c r="S802" s="737"/>
      <c r="T802" s="737"/>
      <c r="U802" s="738"/>
      <c r="V802" s="739">
        <v>418</v>
      </c>
      <c r="W802" s="737"/>
      <c r="X802" s="737">
        <v>1002</v>
      </c>
      <c r="Y802" s="737">
        <v>907</v>
      </c>
      <c r="Z802" s="1202"/>
      <c r="AA802" s="740"/>
      <c r="AB802" s="739"/>
      <c r="AC802" s="741"/>
      <c r="AD802" s="741">
        <v>272</v>
      </c>
      <c r="AE802" s="741">
        <v>338</v>
      </c>
      <c r="AF802" s="741"/>
      <c r="AG802" s="741">
        <v>110</v>
      </c>
      <c r="AH802" s="741">
        <v>842</v>
      </c>
      <c r="AI802" s="741">
        <v>330</v>
      </c>
      <c r="AJ802" s="741">
        <v>84</v>
      </c>
      <c r="AK802" s="741"/>
      <c r="AL802" s="741">
        <v>129</v>
      </c>
      <c r="AM802" s="742">
        <v>1957</v>
      </c>
      <c r="AN802" s="743">
        <f t="shared" si="34"/>
        <v>0.54831460674157306</v>
      </c>
      <c r="AO802" s="744">
        <f t="shared" si="35"/>
        <v>0.86935866983372923</v>
      </c>
      <c r="AP802" s="745">
        <f>'09월 에너지'!S804</f>
        <v>146.4</v>
      </c>
    </row>
    <row r="803" spans="1:42" ht="16.5" customHeight="1">
      <c r="A803" s="999">
        <f>'09월 조업일지'!A803</f>
        <v>46295</v>
      </c>
      <c r="B803" s="1100">
        <f>'09월 조업일지'!B803</f>
        <v>46294</v>
      </c>
      <c r="C803" s="730">
        <f>'09월 조업일지'!G803</f>
        <v>86005</v>
      </c>
      <c r="D803" s="731" t="str">
        <f>'09월 조업일지'!E803</f>
        <v>B</v>
      </c>
      <c r="E803" s="732" t="str">
        <f>'09월 조업일지'!F803</f>
        <v>B</v>
      </c>
      <c r="F803" s="1096" t="str">
        <f>'09월 에너지'!F805</f>
        <v>SS400-05</v>
      </c>
      <c r="G803" s="733">
        <v>8</v>
      </c>
      <c r="H803" s="734">
        <v>23</v>
      </c>
      <c r="I803" s="734">
        <v>53</v>
      </c>
      <c r="J803" s="734">
        <v>14</v>
      </c>
      <c r="K803" s="735">
        <v>30</v>
      </c>
      <c r="L803" s="734">
        <v>13</v>
      </c>
      <c r="M803" s="736">
        <v>8</v>
      </c>
      <c r="N803" s="737">
        <v>423</v>
      </c>
      <c r="O803" s="737"/>
      <c r="P803" s="737">
        <v>1002</v>
      </c>
      <c r="Q803" s="737">
        <v>959</v>
      </c>
      <c r="R803" s="737"/>
      <c r="S803" s="737"/>
      <c r="T803" s="737"/>
      <c r="U803" s="738"/>
      <c r="V803" s="739">
        <v>420</v>
      </c>
      <c r="W803" s="737"/>
      <c r="X803" s="737">
        <v>1002</v>
      </c>
      <c r="Y803" s="737">
        <v>912</v>
      </c>
      <c r="Z803" s="1202"/>
      <c r="AA803" s="740"/>
      <c r="AB803" s="739"/>
      <c r="AC803" s="741"/>
      <c r="AD803" s="741">
        <v>270</v>
      </c>
      <c r="AE803" s="741">
        <v>334</v>
      </c>
      <c r="AF803" s="741"/>
      <c r="AG803" s="741">
        <v>110</v>
      </c>
      <c r="AH803" s="741">
        <v>842</v>
      </c>
      <c r="AI803" s="741">
        <v>328</v>
      </c>
      <c r="AJ803" s="741">
        <v>78</v>
      </c>
      <c r="AK803" s="741"/>
      <c r="AL803" s="741">
        <v>118</v>
      </c>
      <c r="AM803" s="742">
        <v>1866</v>
      </c>
      <c r="AN803" s="743">
        <f t="shared" si="34"/>
        <v>0.89392962664517861</v>
      </c>
      <c r="AO803" s="744">
        <f t="shared" si="35"/>
        <v>0.9329148286392942</v>
      </c>
      <c r="AP803" s="745">
        <f>'09월 에너지'!S805</f>
        <v>144.69999999999999</v>
      </c>
    </row>
    <row r="804" spans="1:42" ht="16.5" customHeight="1">
      <c r="A804" s="999">
        <f>'09월 조업일지'!A804</f>
        <v>46295</v>
      </c>
      <c r="B804" s="1100">
        <f>'09월 조업일지'!B804</f>
        <v>46295</v>
      </c>
      <c r="C804" s="730">
        <f>'09월 조업일지'!G804</f>
        <v>86006</v>
      </c>
      <c r="D804" s="731" t="str">
        <f>'09월 조업일지'!E804</f>
        <v>C</v>
      </c>
      <c r="E804" s="732" t="str">
        <f>'09월 조업일지'!F804</f>
        <v>A</v>
      </c>
      <c r="F804" s="1096" t="str">
        <f>'09월 에너지'!F806</f>
        <v>SS400-05</v>
      </c>
      <c r="G804" s="733">
        <v>8</v>
      </c>
      <c r="H804" s="734">
        <v>16</v>
      </c>
      <c r="I804" s="734">
        <v>52</v>
      </c>
      <c r="J804" s="734">
        <v>13</v>
      </c>
      <c r="K804" s="735">
        <v>29</v>
      </c>
      <c r="L804" s="734">
        <v>13</v>
      </c>
      <c r="M804" s="736">
        <v>9</v>
      </c>
      <c r="N804" s="737">
        <v>424</v>
      </c>
      <c r="O804" s="737"/>
      <c r="P804" s="737">
        <v>1001</v>
      </c>
      <c r="Q804" s="737">
        <v>953</v>
      </c>
      <c r="R804" s="737"/>
      <c r="S804" s="737"/>
      <c r="T804" s="737"/>
      <c r="U804" s="738"/>
      <c r="V804" s="739">
        <v>422</v>
      </c>
      <c r="W804" s="737"/>
      <c r="X804" s="737">
        <v>1001</v>
      </c>
      <c r="Y804" s="737">
        <v>903</v>
      </c>
      <c r="Z804" s="1202"/>
      <c r="AA804" s="740"/>
      <c r="AB804" s="739"/>
      <c r="AC804" s="741"/>
      <c r="AD804" s="741">
        <v>272</v>
      </c>
      <c r="AE804" s="741">
        <v>341</v>
      </c>
      <c r="AF804" s="741"/>
      <c r="AG804" s="741">
        <v>110</v>
      </c>
      <c r="AH804" s="741">
        <v>841</v>
      </c>
      <c r="AI804" s="741">
        <v>323</v>
      </c>
      <c r="AJ804" s="741">
        <v>74</v>
      </c>
      <c r="AK804" s="741"/>
      <c r="AL804" s="741">
        <v>123</v>
      </c>
      <c r="AM804" s="742">
        <v>1419</v>
      </c>
      <c r="AN804" s="743">
        <f t="shared" si="34"/>
        <v>0.62671009771986974</v>
      </c>
      <c r="AO804" s="744">
        <f t="shared" si="35"/>
        <v>0.90693052488534065</v>
      </c>
      <c r="AP804" s="745">
        <f>'09월 에너지'!S806</f>
        <v>144.30000000000001</v>
      </c>
    </row>
    <row r="805" spans="1:42" ht="16.5" customHeight="1">
      <c r="A805" s="999">
        <f>'09월 조업일지'!A805</f>
        <v>46295</v>
      </c>
      <c r="B805" s="1100">
        <f>'09월 조업일지'!B805</f>
        <v>46295</v>
      </c>
      <c r="C805" s="730">
        <f>'09월 조업일지'!G805</f>
        <v>86007</v>
      </c>
      <c r="D805" s="731" t="str">
        <f>'09월 조업일지'!E805</f>
        <v>C</v>
      </c>
      <c r="E805" s="732" t="str">
        <f>'09월 조업일지'!F805</f>
        <v>B</v>
      </c>
      <c r="F805" s="1096" t="str">
        <f>'09월 에너지'!F807</f>
        <v>SS400-05</v>
      </c>
      <c r="G805" s="733">
        <v>10</v>
      </c>
      <c r="H805" s="734">
        <v>24</v>
      </c>
      <c r="I805" s="734">
        <v>58</v>
      </c>
      <c r="J805" s="734">
        <v>17</v>
      </c>
      <c r="K805" s="735">
        <v>31</v>
      </c>
      <c r="L805" s="734">
        <v>13</v>
      </c>
      <c r="M805" s="736">
        <v>11</v>
      </c>
      <c r="N805" s="737">
        <v>420</v>
      </c>
      <c r="O805" s="737"/>
      <c r="P805" s="737">
        <v>1001</v>
      </c>
      <c r="Q805" s="737">
        <v>956</v>
      </c>
      <c r="R805" s="737"/>
      <c r="S805" s="737"/>
      <c r="T805" s="737"/>
      <c r="U805" s="738"/>
      <c r="V805" s="739">
        <v>422</v>
      </c>
      <c r="W805" s="737"/>
      <c r="X805" s="737">
        <v>1001</v>
      </c>
      <c r="Y805" s="737">
        <v>903</v>
      </c>
      <c r="Z805" s="1202"/>
      <c r="AA805" s="740"/>
      <c r="AB805" s="739"/>
      <c r="AC805" s="741"/>
      <c r="AD805" s="741">
        <v>271</v>
      </c>
      <c r="AE805" s="741">
        <v>334</v>
      </c>
      <c r="AF805" s="741"/>
      <c r="AG805" s="741">
        <v>111</v>
      </c>
      <c r="AH805" s="741">
        <v>840</v>
      </c>
      <c r="AI805" s="741">
        <v>327</v>
      </c>
      <c r="AJ805" s="741">
        <v>80</v>
      </c>
      <c r="AK805" s="741"/>
      <c r="AL805" s="741">
        <v>121</v>
      </c>
      <c r="AM805" s="742">
        <v>1314</v>
      </c>
      <c r="AN805" s="743">
        <f t="shared" si="34"/>
        <v>0.93866666666666676</v>
      </c>
      <c r="AO805" s="744">
        <f t="shared" si="35"/>
        <v>1.0618367346938775</v>
      </c>
      <c r="AP805" s="745">
        <f>'09월 에너지'!S807</f>
        <v>145.19999999999999</v>
      </c>
    </row>
    <row r="806" spans="1:42" ht="16.5" customHeight="1">
      <c r="A806" s="999">
        <f>'09월 조업일지'!A806</f>
        <v>46295</v>
      </c>
      <c r="B806" s="1100">
        <f>'09월 조업일지'!B806</f>
        <v>46295</v>
      </c>
      <c r="C806" s="730">
        <f>'09월 조업일지'!G806</f>
        <v>86008</v>
      </c>
      <c r="D806" s="731" t="str">
        <f>'09월 조업일지'!E806</f>
        <v>C</v>
      </c>
      <c r="E806" s="732" t="str">
        <f>'09월 조업일지'!F806</f>
        <v>A</v>
      </c>
      <c r="F806" s="1096" t="str">
        <f>'09월 에너지'!F808</f>
        <v>SS400-05</v>
      </c>
      <c r="G806" s="733">
        <v>10</v>
      </c>
      <c r="H806" s="734">
        <v>20</v>
      </c>
      <c r="I806" s="734">
        <v>57</v>
      </c>
      <c r="J806" s="734">
        <v>15</v>
      </c>
      <c r="K806" s="735">
        <v>28</v>
      </c>
      <c r="L806" s="734">
        <v>16</v>
      </c>
      <c r="M806" s="736">
        <v>12</v>
      </c>
      <c r="N806" s="737">
        <v>422</v>
      </c>
      <c r="O806" s="737"/>
      <c r="P806" s="737">
        <v>1003</v>
      </c>
      <c r="Q806" s="737">
        <v>951</v>
      </c>
      <c r="R806" s="737"/>
      <c r="S806" s="737"/>
      <c r="T806" s="737"/>
      <c r="U806" s="738"/>
      <c r="V806" s="739">
        <v>418</v>
      </c>
      <c r="W806" s="737"/>
      <c r="X806" s="737">
        <v>1002</v>
      </c>
      <c r="Y806" s="737">
        <v>910</v>
      </c>
      <c r="Z806" s="1202"/>
      <c r="AA806" s="740"/>
      <c r="AB806" s="739"/>
      <c r="AC806" s="741"/>
      <c r="AD806" s="741">
        <v>272</v>
      </c>
      <c r="AE806" s="741">
        <v>337</v>
      </c>
      <c r="AF806" s="741"/>
      <c r="AG806" s="741">
        <v>110</v>
      </c>
      <c r="AH806" s="741">
        <v>835</v>
      </c>
      <c r="AI806" s="741">
        <v>329</v>
      </c>
      <c r="AJ806" s="741">
        <v>87</v>
      </c>
      <c r="AK806" s="741"/>
      <c r="AL806" s="741">
        <v>123</v>
      </c>
      <c r="AM806" s="742">
        <v>2249</v>
      </c>
      <c r="AN806" s="743">
        <f t="shared" si="34"/>
        <v>0.77043010752688179</v>
      </c>
      <c r="AO806" s="744">
        <f t="shared" si="35"/>
        <v>1.0297005988023953</v>
      </c>
      <c r="AP806" s="745">
        <f>'09월 에너지'!S808</f>
        <v>143.30000000000001</v>
      </c>
    </row>
    <row r="807" spans="1:42" ht="16.5" customHeight="1">
      <c r="A807" s="999">
        <f>'09월 조업일지'!A807</f>
        <v>46295</v>
      </c>
      <c r="B807" s="1100">
        <f>'09월 조업일지'!B807</f>
        <v>46295</v>
      </c>
      <c r="C807" s="730">
        <f>'09월 조업일지'!G807</f>
        <v>86009</v>
      </c>
      <c r="D807" s="731" t="str">
        <f>'09월 조업일지'!E807</f>
        <v>C</v>
      </c>
      <c r="E807" s="732" t="str">
        <f>'09월 조업일지'!F807</f>
        <v>B</v>
      </c>
      <c r="F807" s="1096" t="str">
        <f>'09월 에너지'!F809</f>
        <v>SS400-05</v>
      </c>
      <c r="G807" s="733">
        <v>9</v>
      </c>
      <c r="H807" s="734">
        <v>22</v>
      </c>
      <c r="I807" s="734">
        <v>55</v>
      </c>
      <c r="J807" s="734">
        <v>15</v>
      </c>
      <c r="K807" s="735">
        <v>36</v>
      </c>
      <c r="L807" s="734">
        <v>15</v>
      </c>
      <c r="M807" s="736">
        <v>12</v>
      </c>
      <c r="N807" s="737">
        <v>419</v>
      </c>
      <c r="O807" s="737"/>
      <c r="P807" s="737">
        <v>1001</v>
      </c>
      <c r="Q807" s="737">
        <v>956</v>
      </c>
      <c r="R807" s="737"/>
      <c r="S807" s="737"/>
      <c r="T807" s="737"/>
      <c r="U807" s="738"/>
      <c r="V807" s="739">
        <v>420</v>
      </c>
      <c r="W807" s="737"/>
      <c r="X807" s="737">
        <v>1001</v>
      </c>
      <c r="Y807" s="737">
        <v>907</v>
      </c>
      <c r="Z807" s="1202"/>
      <c r="AA807" s="740"/>
      <c r="AB807" s="739"/>
      <c r="AC807" s="741"/>
      <c r="AD807" s="741">
        <v>271</v>
      </c>
      <c r="AE807" s="741">
        <v>337</v>
      </c>
      <c r="AF807" s="741"/>
      <c r="AG807" s="741">
        <v>110</v>
      </c>
      <c r="AH807" s="741">
        <v>841</v>
      </c>
      <c r="AI807" s="741">
        <v>329</v>
      </c>
      <c r="AJ807" s="741">
        <v>74</v>
      </c>
      <c r="AK807" s="741"/>
      <c r="AL807" s="741">
        <v>124</v>
      </c>
      <c r="AM807" s="742">
        <v>1154</v>
      </c>
      <c r="AN807" s="743">
        <f t="shared" si="34"/>
        <v>0.85604719764011816</v>
      </c>
      <c r="AO807" s="744">
        <f t="shared" si="35"/>
        <v>0.98590113810090041</v>
      </c>
      <c r="AP807" s="745">
        <f>'09월 에너지'!S809</f>
        <v>145.1</v>
      </c>
    </row>
    <row r="808" spans="1:42" ht="16.5" customHeight="1">
      <c r="A808" s="999">
        <f>'09월 조업일지'!A808</f>
        <v>46295</v>
      </c>
      <c r="B808" s="1100">
        <f>'09월 조업일지'!B808</f>
        <v>46295</v>
      </c>
      <c r="C808" s="730">
        <f>'09월 조업일지'!G808</f>
        <v>86010</v>
      </c>
      <c r="D808" s="731" t="str">
        <f>'09월 조업일지'!E808</f>
        <v>C</v>
      </c>
      <c r="E808" s="732" t="str">
        <f>'09월 조업일지'!F808</f>
        <v>A</v>
      </c>
      <c r="F808" s="1096" t="str">
        <f>'09월 에너지'!F810</f>
        <v>SS400-05</v>
      </c>
      <c r="G808" s="733">
        <v>8</v>
      </c>
      <c r="H808" s="734">
        <v>17</v>
      </c>
      <c r="I808" s="734">
        <v>53</v>
      </c>
      <c r="J808" s="734">
        <v>14</v>
      </c>
      <c r="K808" s="735">
        <v>26</v>
      </c>
      <c r="L808" s="734">
        <v>15</v>
      </c>
      <c r="M808" s="736">
        <v>11</v>
      </c>
      <c r="N808" s="737">
        <v>427</v>
      </c>
      <c r="O808" s="737"/>
      <c r="P808" s="737">
        <v>1002</v>
      </c>
      <c r="Q808" s="737">
        <v>954</v>
      </c>
      <c r="R808" s="737"/>
      <c r="S808" s="737"/>
      <c r="T808" s="737"/>
      <c r="U808" s="738"/>
      <c r="V808" s="739">
        <v>417</v>
      </c>
      <c r="W808" s="737"/>
      <c r="X808" s="737">
        <v>1000</v>
      </c>
      <c r="Y808" s="737">
        <v>908</v>
      </c>
      <c r="Z808" s="1202"/>
      <c r="AA808" s="740"/>
      <c r="AB808" s="739"/>
      <c r="AC808" s="741"/>
      <c r="AD808" s="741">
        <v>270</v>
      </c>
      <c r="AE808" s="741">
        <v>340</v>
      </c>
      <c r="AF808" s="741"/>
      <c r="AG808" s="741">
        <v>110</v>
      </c>
      <c r="AH808" s="741">
        <v>843</v>
      </c>
      <c r="AI808" s="741">
        <v>331</v>
      </c>
      <c r="AJ808" s="741">
        <v>80</v>
      </c>
      <c r="AK808" s="741"/>
      <c r="AL808" s="741">
        <v>119</v>
      </c>
      <c r="AM808" s="742">
        <v>1565</v>
      </c>
      <c r="AN808" s="743">
        <f t="shared" si="34"/>
        <v>0.65695222844942625</v>
      </c>
      <c r="AO808" s="744">
        <f t="shared" si="35"/>
        <v>0.93245212675817679</v>
      </c>
      <c r="AP808" s="745">
        <f>'09월 에너지'!S810</f>
        <v>144.80000000000001</v>
      </c>
    </row>
    <row r="809" spans="1:42" ht="16.5" customHeight="1">
      <c r="A809" s="999">
        <f>'09월 조업일지'!A809</f>
        <v>46295</v>
      </c>
      <c r="B809" s="1100">
        <f>'09월 조업일지'!B809</f>
        <v>46295</v>
      </c>
      <c r="C809" s="730">
        <f>'09월 조업일지'!G809</f>
        <v>86011</v>
      </c>
      <c r="D809" s="731" t="str">
        <f>'09월 조업일지'!E809</f>
        <v>C</v>
      </c>
      <c r="E809" s="732" t="str">
        <f>'09월 조업일지'!F809</f>
        <v>B</v>
      </c>
      <c r="F809" s="1096" t="str">
        <f>'09월 에너지'!F811</f>
        <v>SS400-05</v>
      </c>
      <c r="G809" s="733">
        <v>12</v>
      </c>
      <c r="H809" s="734">
        <v>24</v>
      </c>
      <c r="I809" s="734">
        <v>53</v>
      </c>
      <c r="J809" s="734">
        <v>13</v>
      </c>
      <c r="K809" s="735">
        <v>31</v>
      </c>
      <c r="L809" s="734">
        <v>15</v>
      </c>
      <c r="M809" s="736">
        <v>11</v>
      </c>
      <c r="N809" s="737">
        <v>418</v>
      </c>
      <c r="O809" s="737"/>
      <c r="P809" s="737">
        <v>1001</v>
      </c>
      <c r="Q809" s="737">
        <v>961</v>
      </c>
      <c r="R809" s="737"/>
      <c r="S809" s="737"/>
      <c r="T809" s="737"/>
      <c r="U809" s="738"/>
      <c r="V809" s="739">
        <v>419</v>
      </c>
      <c r="W809" s="737"/>
      <c r="X809" s="737">
        <v>1003</v>
      </c>
      <c r="Y809" s="737">
        <v>905</v>
      </c>
      <c r="Z809" s="1202"/>
      <c r="AA809" s="740"/>
      <c r="AB809" s="739"/>
      <c r="AC809" s="741"/>
      <c r="AD809" s="741">
        <v>271</v>
      </c>
      <c r="AE809" s="741">
        <v>339</v>
      </c>
      <c r="AF809" s="741"/>
      <c r="AG809" s="741">
        <v>111</v>
      </c>
      <c r="AH809" s="741">
        <v>837</v>
      </c>
      <c r="AI809" s="741">
        <v>331</v>
      </c>
      <c r="AJ809" s="741">
        <v>78</v>
      </c>
      <c r="AK809" s="741"/>
      <c r="AL809" s="741">
        <v>125</v>
      </c>
      <c r="AM809" s="742">
        <v>1414</v>
      </c>
      <c r="AN809" s="743">
        <f t="shared" si="34"/>
        <v>0.93226324237560199</v>
      </c>
      <c r="AO809" s="744">
        <f t="shared" si="35"/>
        <v>0.94173067076292882</v>
      </c>
      <c r="AP809" s="745">
        <f>'09월 에너지'!S811</f>
        <v>145.19999999999999</v>
      </c>
    </row>
    <row r="810" spans="1:42" ht="16.5" customHeight="1">
      <c r="A810" s="999">
        <f>'09월 조업일지'!A810</f>
        <v>46295</v>
      </c>
      <c r="B810" s="1100">
        <f>'09월 조업일지'!B810</f>
        <v>46295</v>
      </c>
      <c r="C810" s="730">
        <f>'09월 조업일지'!G810</f>
        <v>86012</v>
      </c>
      <c r="D810" s="731" t="str">
        <f>'09월 조업일지'!E810</f>
        <v>C</v>
      </c>
      <c r="E810" s="732" t="str">
        <f>'09월 조업일지'!F810</f>
        <v>A</v>
      </c>
      <c r="F810" s="1096" t="str">
        <f>'09월 에너지'!F812</f>
        <v>SS400-05</v>
      </c>
      <c r="G810" s="733">
        <v>7</v>
      </c>
      <c r="H810" s="734">
        <v>20</v>
      </c>
      <c r="I810" s="734">
        <v>49</v>
      </c>
      <c r="J810" s="734">
        <v>13</v>
      </c>
      <c r="K810" s="735">
        <v>20</v>
      </c>
      <c r="L810" s="734">
        <v>13</v>
      </c>
      <c r="M810" s="736">
        <v>12</v>
      </c>
      <c r="N810" s="737">
        <v>418</v>
      </c>
      <c r="O810" s="737"/>
      <c r="P810" s="737">
        <v>1001</v>
      </c>
      <c r="Q810" s="737">
        <v>955</v>
      </c>
      <c r="R810" s="737"/>
      <c r="S810" s="737"/>
      <c r="T810" s="737"/>
      <c r="U810" s="738"/>
      <c r="V810" s="739">
        <v>420</v>
      </c>
      <c r="W810" s="737"/>
      <c r="X810" s="737">
        <v>1001</v>
      </c>
      <c r="Y810" s="737">
        <v>908</v>
      </c>
      <c r="Z810" s="1202"/>
      <c r="AA810" s="740"/>
      <c r="AB810" s="739"/>
      <c r="AC810" s="741"/>
      <c r="AD810" s="741">
        <v>273</v>
      </c>
      <c r="AE810" s="741">
        <v>341</v>
      </c>
      <c r="AF810" s="741"/>
      <c r="AG810" s="741">
        <v>110</v>
      </c>
      <c r="AH810" s="741">
        <v>834</v>
      </c>
      <c r="AI810" s="741">
        <v>332</v>
      </c>
      <c r="AJ810" s="741">
        <v>77</v>
      </c>
      <c r="AK810" s="741"/>
      <c r="AL810" s="741">
        <v>119</v>
      </c>
      <c r="AM810" s="742">
        <v>1717</v>
      </c>
      <c r="AN810" s="743">
        <f t="shared" si="34"/>
        <v>0.7789361133386794</v>
      </c>
      <c r="AO810" s="744">
        <f t="shared" si="35"/>
        <v>0.84854402192531697</v>
      </c>
      <c r="AP810" s="745">
        <f>'09월 에너지'!S812</f>
        <v>145.69999999999999</v>
      </c>
    </row>
    <row r="811" spans="1:42" ht="16.5" customHeight="1">
      <c r="A811" s="999">
        <f>'09월 조업일지'!A811</f>
        <v>46295</v>
      </c>
      <c r="B811" s="1100">
        <f>'09월 조업일지'!B811</f>
        <v>46295</v>
      </c>
      <c r="C811" s="730">
        <f>'09월 조업일지'!G811</f>
        <v>86013</v>
      </c>
      <c r="D811" s="731" t="str">
        <f>'09월 조업일지'!E811</f>
        <v>C</v>
      </c>
      <c r="E811" s="732" t="str">
        <f>'09월 조업일지'!F811</f>
        <v>B</v>
      </c>
      <c r="F811" s="1096" t="str">
        <f>'09월 에너지'!F813</f>
        <v>SS400-05</v>
      </c>
      <c r="G811" s="733">
        <v>11</v>
      </c>
      <c r="H811" s="734">
        <v>26</v>
      </c>
      <c r="I811" s="734">
        <v>62</v>
      </c>
      <c r="J811" s="734">
        <v>19</v>
      </c>
      <c r="K811" s="735">
        <v>25</v>
      </c>
      <c r="L811" s="734">
        <v>17</v>
      </c>
      <c r="M811" s="736">
        <v>11</v>
      </c>
      <c r="N811" s="737">
        <v>420</v>
      </c>
      <c r="O811" s="737"/>
      <c r="P811" s="737">
        <v>1003</v>
      </c>
      <c r="Q811" s="737">
        <v>958</v>
      </c>
      <c r="R811" s="737"/>
      <c r="S811" s="737"/>
      <c r="T811" s="737"/>
      <c r="U811" s="738"/>
      <c r="V811" s="739">
        <v>416</v>
      </c>
      <c r="W811" s="737"/>
      <c r="X811" s="737">
        <v>1001</v>
      </c>
      <c r="Y811" s="737">
        <v>902</v>
      </c>
      <c r="Z811" s="1202"/>
      <c r="AA811" s="740"/>
      <c r="AB811" s="739"/>
      <c r="AC811" s="741"/>
      <c r="AD811" s="741">
        <v>272</v>
      </c>
      <c r="AE811" s="741">
        <v>340</v>
      </c>
      <c r="AF811" s="741"/>
      <c r="AG811" s="741">
        <v>110</v>
      </c>
      <c r="AH811" s="741">
        <v>842</v>
      </c>
      <c r="AI811" s="741">
        <v>336</v>
      </c>
      <c r="AJ811" s="741">
        <v>80</v>
      </c>
      <c r="AK811" s="741"/>
      <c r="AL811" s="741">
        <v>125</v>
      </c>
      <c r="AM811" s="742">
        <v>3250</v>
      </c>
      <c r="AN811" s="743">
        <f t="shared" si="34"/>
        <v>1.0151202749140893</v>
      </c>
      <c r="AO811" s="744">
        <f t="shared" si="35"/>
        <v>1.177790973871734</v>
      </c>
      <c r="AP811" s="745">
        <f>'09월 에너지'!S813</f>
        <v>147.69999999999999</v>
      </c>
    </row>
    <row r="812" spans="1:42" ht="16.5" customHeight="1">
      <c r="A812" s="999">
        <f>'09월 조업일지'!A812</f>
        <v>46295</v>
      </c>
      <c r="B812" s="1100">
        <f>'09월 조업일지'!B812</f>
        <v>46295</v>
      </c>
      <c r="C812" s="730">
        <f>'09월 조업일지'!G812</f>
        <v>86014</v>
      </c>
      <c r="D812" s="731" t="str">
        <f>'09월 조업일지'!E812</f>
        <v>C</v>
      </c>
      <c r="E812" s="732" t="str">
        <f>'09월 조업일지'!F812</f>
        <v>A</v>
      </c>
      <c r="F812" s="1096" t="str">
        <f>'09월 에너지'!F814</f>
        <v>SS400-05</v>
      </c>
      <c r="G812" s="733">
        <v>9</v>
      </c>
      <c r="H812" s="734">
        <v>21</v>
      </c>
      <c r="I812" s="734">
        <v>51</v>
      </c>
      <c r="J812" s="734">
        <v>13</v>
      </c>
      <c r="K812" s="735">
        <v>20</v>
      </c>
      <c r="L812" s="734">
        <v>13</v>
      </c>
      <c r="M812" s="736">
        <v>9</v>
      </c>
      <c r="N812" s="737">
        <v>419</v>
      </c>
      <c r="O812" s="737"/>
      <c r="P812" s="737">
        <v>1002</v>
      </c>
      <c r="Q812" s="737">
        <v>958</v>
      </c>
      <c r="R812" s="737"/>
      <c r="S812" s="737"/>
      <c r="T812" s="737"/>
      <c r="U812" s="738"/>
      <c r="V812" s="739">
        <v>418</v>
      </c>
      <c r="W812" s="737"/>
      <c r="X812" s="737">
        <v>1002</v>
      </c>
      <c r="Y812" s="737">
        <v>907</v>
      </c>
      <c r="Z812" s="1202"/>
      <c r="AA812" s="740"/>
      <c r="AB812" s="739"/>
      <c r="AC812" s="741"/>
      <c r="AD812" s="741">
        <v>272</v>
      </c>
      <c r="AE812" s="741">
        <v>342</v>
      </c>
      <c r="AF812" s="741"/>
      <c r="AG812" s="741">
        <v>110</v>
      </c>
      <c r="AH812" s="741">
        <v>838</v>
      </c>
      <c r="AI812" s="741">
        <v>334</v>
      </c>
      <c r="AJ812" s="741">
        <v>82</v>
      </c>
      <c r="AK812" s="741"/>
      <c r="AL812" s="741">
        <v>131</v>
      </c>
      <c r="AM812" s="742">
        <v>3017</v>
      </c>
      <c r="AN812" s="743">
        <f t="shared" si="34"/>
        <v>0.8116427432216905</v>
      </c>
      <c r="AO812" s="744">
        <f t="shared" si="35"/>
        <v>0.89232867371292213</v>
      </c>
      <c r="AP812" s="745">
        <f>'09월 에너지'!S814</f>
        <v>145.4</v>
      </c>
    </row>
    <row r="813" spans="1:42" ht="16.5" customHeight="1">
      <c r="A813" s="999">
        <f>'09월 조업일지'!A813</f>
        <v>46295</v>
      </c>
      <c r="B813" s="1100">
        <f>'09월 조업일지'!B813</f>
        <v>46295</v>
      </c>
      <c r="C813" s="730">
        <f>'09월 조업일지'!G813</f>
        <v>86015</v>
      </c>
      <c r="D813" s="731" t="str">
        <f>'09월 조업일지'!E813</f>
        <v>C</v>
      </c>
      <c r="E813" s="732" t="str">
        <f>'09월 조업일지'!F813</f>
        <v>B</v>
      </c>
      <c r="F813" s="1096" t="str">
        <f>'09월 에너지'!F815</f>
        <v>SS400-05</v>
      </c>
      <c r="G813" s="733">
        <v>10</v>
      </c>
      <c r="H813" s="734">
        <v>25</v>
      </c>
      <c r="I813" s="734">
        <v>57</v>
      </c>
      <c r="J813" s="734">
        <v>15</v>
      </c>
      <c r="K813" s="735">
        <v>37</v>
      </c>
      <c r="L813" s="734">
        <v>14</v>
      </c>
      <c r="M813" s="736">
        <v>11</v>
      </c>
      <c r="N813" s="737">
        <v>419</v>
      </c>
      <c r="O813" s="737"/>
      <c r="P813" s="737">
        <v>1001</v>
      </c>
      <c r="Q813" s="737">
        <v>954</v>
      </c>
      <c r="R813" s="737"/>
      <c r="S813" s="737"/>
      <c r="T813" s="737"/>
      <c r="U813" s="738"/>
      <c r="V813" s="739">
        <v>414</v>
      </c>
      <c r="W813" s="737"/>
      <c r="X813" s="737">
        <v>1002</v>
      </c>
      <c r="Y813" s="737">
        <v>910</v>
      </c>
      <c r="Z813" s="1202"/>
      <c r="AA813" s="740"/>
      <c r="AB813" s="739"/>
      <c r="AC813" s="741"/>
      <c r="AD813" s="741">
        <v>271</v>
      </c>
      <c r="AE813" s="741">
        <v>335</v>
      </c>
      <c r="AF813" s="741"/>
      <c r="AG813" s="741">
        <v>110</v>
      </c>
      <c r="AH813" s="741">
        <v>835</v>
      </c>
      <c r="AI813" s="741">
        <v>323</v>
      </c>
      <c r="AJ813" s="741">
        <v>78</v>
      </c>
      <c r="AK813" s="741"/>
      <c r="AL813" s="741">
        <v>118</v>
      </c>
      <c r="AM813" s="742">
        <v>1284</v>
      </c>
      <c r="AN813" s="743">
        <f t="shared" si="34"/>
        <v>0.99115646258503398</v>
      </c>
      <c r="AO813" s="744">
        <f t="shared" si="35"/>
        <v>1.0469461077844313</v>
      </c>
      <c r="AP813" s="745">
        <f>'09월 에너지'!S815</f>
        <v>145.69999999999999</v>
      </c>
    </row>
    <row r="814" spans="1:42" ht="16.5" customHeight="1">
      <c r="A814" s="999">
        <f>'09월 조업일지'!A814</f>
        <v>46295</v>
      </c>
      <c r="B814" s="1100">
        <f>'09월 조업일지'!B814</f>
        <v>46295</v>
      </c>
      <c r="C814" s="730">
        <f>'09월 조업일지'!G814</f>
        <v>86016</v>
      </c>
      <c r="D814" s="731" t="str">
        <f>'09월 조업일지'!E814</f>
        <v>D</v>
      </c>
      <c r="E814" s="732" t="str">
        <f>'09월 조업일지'!F814</f>
        <v>A</v>
      </c>
      <c r="F814" s="1096" t="str">
        <f>'09월 에너지'!F816</f>
        <v>SS400-05</v>
      </c>
      <c r="G814" s="733">
        <v>9</v>
      </c>
      <c r="H814" s="734">
        <v>21</v>
      </c>
      <c r="I814" s="734">
        <v>52</v>
      </c>
      <c r="J814" s="734">
        <v>13</v>
      </c>
      <c r="K814" s="735">
        <v>28</v>
      </c>
      <c r="L814" s="734">
        <v>14</v>
      </c>
      <c r="M814" s="736">
        <v>13</v>
      </c>
      <c r="N814" s="737">
        <v>413</v>
      </c>
      <c r="O814" s="737"/>
      <c r="P814" s="737">
        <v>1005</v>
      </c>
      <c r="Q814" s="737">
        <v>958</v>
      </c>
      <c r="R814" s="737"/>
      <c r="S814" s="737"/>
      <c r="T814" s="737"/>
      <c r="U814" s="738"/>
      <c r="V814" s="739">
        <v>422</v>
      </c>
      <c r="W814" s="737"/>
      <c r="X814" s="737">
        <v>1002</v>
      </c>
      <c r="Y814" s="737">
        <v>903</v>
      </c>
      <c r="Z814" s="1202"/>
      <c r="AA814" s="740"/>
      <c r="AB814" s="739"/>
      <c r="AC814" s="741"/>
      <c r="AD814" s="741">
        <v>272</v>
      </c>
      <c r="AE814" s="741">
        <v>342</v>
      </c>
      <c r="AF814" s="741"/>
      <c r="AG814" s="741">
        <v>110</v>
      </c>
      <c r="AH814" s="741">
        <v>834</v>
      </c>
      <c r="AI814" s="741">
        <v>328</v>
      </c>
      <c r="AJ814" s="741">
        <v>78</v>
      </c>
      <c r="AK814" s="741"/>
      <c r="AL814" s="741">
        <v>121</v>
      </c>
      <c r="AM814" s="742">
        <v>2457</v>
      </c>
      <c r="AN814" s="743">
        <f t="shared" si="34"/>
        <v>0.82166531932093778</v>
      </c>
      <c r="AO814" s="744">
        <f t="shared" si="35"/>
        <v>0.9202466598150052</v>
      </c>
      <c r="AP814" s="745">
        <f>'09월 에너지'!S816</f>
        <v>145.19999999999999</v>
      </c>
    </row>
    <row r="815" spans="1:42" ht="16.5" customHeight="1">
      <c r="A815" s="999">
        <f>'09월 조업일지'!A815</f>
        <v>46295</v>
      </c>
      <c r="B815" s="1100">
        <f>'09월 조업일지'!B815</f>
        <v>46295</v>
      </c>
      <c r="C815" s="730">
        <f>'09월 조업일지'!G815</f>
        <v>86017</v>
      </c>
      <c r="D815" s="731" t="str">
        <f>'09월 조업일지'!E815</f>
        <v>D</v>
      </c>
      <c r="E815" s="732" t="str">
        <f>'09월 조업일지'!F815</f>
        <v>B</v>
      </c>
      <c r="F815" s="1096" t="str">
        <f>'09월 에너지'!F817</f>
        <v>SS400-05</v>
      </c>
      <c r="G815" s="733">
        <v>8</v>
      </c>
      <c r="H815" s="734">
        <v>22</v>
      </c>
      <c r="I815" s="734">
        <v>53</v>
      </c>
      <c r="J815" s="734">
        <v>12</v>
      </c>
      <c r="K815" s="735">
        <v>32</v>
      </c>
      <c r="L815" s="734">
        <v>15</v>
      </c>
      <c r="M815" s="736">
        <v>11</v>
      </c>
      <c r="N815" s="737">
        <v>425</v>
      </c>
      <c r="O815" s="737"/>
      <c r="P815" s="737">
        <v>1000</v>
      </c>
      <c r="Q815" s="737">
        <v>959</v>
      </c>
      <c r="R815" s="737"/>
      <c r="S815" s="737"/>
      <c r="T815" s="737"/>
      <c r="U815" s="738"/>
      <c r="V815" s="739">
        <v>420</v>
      </c>
      <c r="W815" s="737"/>
      <c r="X815" s="737">
        <v>1002</v>
      </c>
      <c r="Y815" s="737">
        <v>901</v>
      </c>
      <c r="Z815" s="1202"/>
      <c r="AA815" s="740"/>
      <c r="AB815" s="739"/>
      <c r="AC815" s="741"/>
      <c r="AD815" s="741">
        <v>270</v>
      </c>
      <c r="AE815" s="741">
        <v>341</v>
      </c>
      <c r="AF815" s="741"/>
      <c r="AG815" s="741">
        <v>110</v>
      </c>
      <c r="AH815" s="741">
        <v>841</v>
      </c>
      <c r="AI815" s="741">
        <v>330</v>
      </c>
      <c r="AJ815" s="741">
        <v>88</v>
      </c>
      <c r="AK815" s="741"/>
      <c r="AL815" s="741">
        <v>135</v>
      </c>
      <c r="AM815" s="742">
        <v>685</v>
      </c>
      <c r="AN815" s="743">
        <f t="shared" si="34"/>
        <v>0.85315134484142907</v>
      </c>
      <c r="AO815" s="744">
        <f t="shared" si="35"/>
        <v>0.9353151010701547</v>
      </c>
      <c r="AP815" s="745">
        <f>'09월 에너지'!S817</f>
        <v>144.9</v>
      </c>
    </row>
    <row r="816" spans="1:42" ht="16.5" customHeight="1">
      <c r="A816" s="999">
        <f>'09월 조업일지'!A816</f>
        <v>46295</v>
      </c>
      <c r="B816" s="1100">
        <f>'09월 조업일지'!B816</f>
        <v>46295</v>
      </c>
      <c r="C816" s="730">
        <f>'09월 조업일지'!G816</f>
        <v>86018</v>
      </c>
      <c r="D816" s="731" t="str">
        <f>'09월 조업일지'!E816</f>
        <v>D</v>
      </c>
      <c r="E816" s="732" t="str">
        <f>'09월 조업일지'!F816</f>
        <v>A</v>
      </c>
      <c r="F816" s="1096" t="str">
        <f>'09월 에너지'!F818</f>
        <v>SS400-05</v>
      </c>
      <c r="G816" s="733">
        <v>8</v>
      </c>
      <c r="H816" s="734">
        <v>22</v>
      </c>
      <c r="I816" s="734">
        <v>52</v>
      </c>
      <c r="J816" s="734">
        <v>13</v>
      </c>
      <c r="K816" s="735">
        <v>26</v>
      </c>
      <c r="L816" s="734">
        <v>16</v>
      </c>
      <c r="M816" s="736">
        <v>13</v>
      </c>
      <c r="N816" s="737">
        <v>416</v>
      </c>
      <c r="O816" s="737"/>
      <c r="P816" s="737">
        <v>1000</v>
      </c>
      <c r="Q816" s="737">
        <v>952</v>
      </c>
      <c r="R816" s="737"/>
      <c r="S816" s="737"/>
      <c r="T816" s="737"/>
      <c r="U816" s="738"/>
      <c r="V816" s="739">
        <v>426</v>
      </c>
      <c r="W816" s="737"/>
      <c r="X816" s="737">
        <v>1001</v>
      </c>
      <c r="Y816" s="737">
        <v>904</v>
      </c>
      <c r="Z816" s="1202"/>
      <c r="AA816" s="740"/>
      <c r="AB816" s="739"/>
      <c r="AC816" s="741"/>
      <c r="AD816" s="741">
        <v>270</v>
      </c>
      <c r="AE816" s="741">
        <v>342</v>
      </c>
      <c r="AF816" s="741"/>
      <c r="AG816" s="741">
        <v>110</v>
      </c>
      <c r="AH816" s="741">
        <v>839</v>
      </c>
      <c r="AI816" s="741">
        <v>344</v>
      </c>
      <c r="AJ816" s="741">
        <v>77</v>
      </c>
      <c r="AK816" s="741"/>
      <c r="AL816" s="741">
        <v>119</v>
      </c>
      <c r="AM816" s="742">
        <v>2198</v>
      </c>
      <c r="AN816" s="743">
        <f t="shared" si="34"/>
        <v>0.8270418132082844</v>
      </c>
      <c r="AO816" s="744">
        <f t="shared" si="35"/>
        <v>0.90909245700664054</v>
      </c>
      <c r="AP816" s="745">
        <f>'09월 에너지'!S818</f>
        <v>144.30000000000001</v>
      </c>
    </row>
    <row r="817" spans="1:42" ht="16.5" customHeight="1">
      <c r="A817" s="999">
        <f>'09월 조업일지'!A817</f>
        <v>46295</v>
      </c>
      <c r="B817" s="1100">
        <f>'09월 조업일지'!B817</f>
        <v>46295</v>
      </c>
      <c r="C817" s="730">
        <f>'09월 조업일지'!G817</f>
        <v>86019</v>
      </c>
      <c r="D817" s="731" t="str">
        <f>'09월 조업일지'!E817</f>
        <v>D</v>
      </c>
      <c r="E817" s="732" t="str">
        <f>'09월 조업일지'!F817</f>
        <v>B</v>
      </c>
      <c r="F817" s="1096" t="str">
        <f>'09월 에너지'!F819</f>
        <v>SS400-05</v>
      </c>
      <c r="G817" s="733">
        <v>8</v>
      </c>
      <c r="H817" s="734">
        <v>22</v>
      </c>
      <c r="I817" s="734">
        <v>50</v>
      </c>
      <c r="J817" s="734">
        <v>12</v>
      </c>
      <c r="K817" s="735">
        <v>25</v>
      </c>
      <c r="L817" s="734">
        <v>16</v>
      </c>
      <c r="M817" s="736">
        <v>9</v>
      </c>
      <c r="N817" s="737">
        <v>424</v>
      </c>
      <c r="O817" s="737"/>
      <c r="P817" s="737">
        <v>1001</v>
      </c>
      <c r="Q817" s="737">
        <v>960</v>
      </c>
      <c r="R817" s="737"/>
      <c r="S817" s="737"/>
      <c r="T817" s="737"/>
      <c r="U817" s="738"/>
      <c r="V817" s="739">
        <v>419</v>
      </c>
      <c r="W817" s="737"/>
      <c r="X817" s="737">
        <v>1003</v>
      </c>
      <c r="Y817" s="737">
        <v>903</v>
      </c>
      <c r="Z817" s="1202"/>
      <c r="AA817" s="740"/>
      <c r="AB817" s="739"/>
      <c r="AC817" s="741"/>
      <c r="AD817" s="741">
        <v>271</v>
      </c>
      <c r="AE817" s="741">
        <v>342</v>
      </c>
      <c r="AF817" s="741"/>
      <c r="AG817" s="741">
        <v>111</v>
      </c>
      <c r="AH817" s="741">
        <v>845</v>
      </c>
      <c r="AI817" s="741">
        <v>332</v>
      </c>
      <c r="AJ817" s="741">
        <v>79</v>
      </c>
      <c r="AK817" s="741"/>
      <c r="AL817" s="741">
        <v>119</v>
      </c>
      <c r="AM817" s="742">
        <v>1351</v>
      </c>
      <c r="AN817" s="743">
        <f t="shared" si="34"/>
        <v>0.84779773785761814</v>
      </c>
      <c r="AO817" s="744">
        <f t="shared" si="35"/>
        <v>0.85680473372781063</v>
      </c>
      <c r="AP817" s="745">
        <f>'09월 에너지'!S819</f>
        <v>144.80000000000001</v>
      </c>
    </row>
    <row r="818" spans="1:42" ht="16.5" customHeight="1">
      <c r="A818" s="999">
        <f>'09월 조업일지'!A818</f>
        <v>46295</v>
      </c>
      <c r="B818" s="1100">
        <f>'09월 조업일지'!B818</f>
        <v>46295</v>
      </c>
      <c r="C818" s="730">
        <f>'09월 조업일지'!G818</f>
        <v>86020</v>
      </c>
      <c r="D818" s="731" t="str">
        <f>'09월 조업일지'!E818</f>
        <v>D</v>
      </c>
      <c r="E818" s="732" t="str">
        <f>'09월 조업일지'!F818</f>
        <v>A</v>
      </c>
      <c r="F818" s="1096" t="str">
        <f>'09월 에너지'!F820</f>
        <v>SS400-05</v>
      </c>
      <c r="G818" s="733">
        <v>10</v>
      </c>
      <c r="H818" s="734">
        <v>22</v>
      </c>
      <c r="I818" s="734">
        <v>52</v>
      </c>
      <c r="J818" s="734">
        <v>13</v>
      </c>
      <c r="K818" s="735">
        <v>20</v>
      </c>
      <c r="L818" s="734">
        <v>11</v>
      </c>
      <c r="M818" s="736">
        <v>9</v>
      </c>
      <c r="N818" s="737">
        <v>420</v>
      </c>
      <c r="O818" s="737"/>
      <c r="P818" s="737">
        <v>1002</v>
      </c>
      <c r="Q818" s="737">
        <v>958</v>
      </c>
      <c r="R818" s="737"/>
      <c r="S818" s="737"/>
      <c r="T818" s="737"/>
      <c r="U818" s="738"/>
      <c r="V818" s="739">
        <v>423</v>
      </c>
      <c r="W818" s="737"/>
      <c r="X818" s="737">
        <v>1002</v>
      </c>
      <c r="Y818" s="737">
        <v>902</v>
      </c>
      <c r="Z818" s="1202"/>
      <c r="AA818" s="740"/>
      <c r="AB818" s="739"/>
      <c r="AC818" s="741"/>
      <c r="AD818" s="741">
        <v>270</v>
      </c>
      <c r="AE818" s="741">
        <v>342</v>
      </c>
      <c r="AF818" s="741"/>
      <c r="AG818" s="741">
        <v>110</v>
      </c>
      <c r="AH818" s="741">
        <v>842</v>
      </c>
      <c r="AI818" s="741">
        <v>351</v>
      </c>
      <c r="AJ818" s="741">
        <v>78</v>
      </c>
      <c r="AK818" s="741"/>
      <c r="AL818" s="741">
        <v>123</v>
      </c>
      <c r="AM818" s="742">
        <v>3007</v>
      </c>
      <c r="AN818" s="743">
        <f t="shared" si="34"/>
        <v>0.80533949428828144</v>
      </c>
      <c r="AO818" s="744">
        <f t="shared" si="35"/>
        <v>0.89518154054971166</v>
      </c>
      <c r="AP818" s="745">
        <f>'09월 에너지'!S820</f>
        <v>142.6</v>
      </c>
    </row>
    <row r="819" spans="1:42" ht="16.5" customHeight="1">
      <c r="A819" s="999">
        <f>'09월 조업일지'!A819</f>
        <v>46295</v>
      </c>
      <c r="B819" s="1100">
        <f>'09월 조업일지'!B819</f>
        <v>46295</v>
      </c>
      <c r="C819" s="730">
        <f>'09월 조업일지'!G819</f>
        <v>86021</v>
      </c>
      <c r="D819" s="731" t="str">
        <f>'09월 조업일지'!E819</f>
        <v>D</v>
      </c>
      <c r="E819" s="732" t="str">
        <f>'09월 조업일지'!F819</f>
        <v>B</v>
      </c>
      <c r="F819" s="1096" t="str">
        <f>'09월 에너지'!F821</f>
        <v>SS400-05</v>
      </c>
      <c r="G819" s="733">
        <v>10</v>
      </c>
      <c r="H819" s="734">
        <v>21</v>
      </c>
      <c r="I819" s="734">
        <v>50</v>
      </c>
      <c r="J819" s="734">
        <v>14</v>
      </c>
      <c r="K819" s="735">
        <v>31</v>
      </c>
      <c r="L819" s="734">
        <v>14</v>
      </c>
      <c r="M819" s="736">
        <v>10</v>
      </c>
      <c r="N819" s="737">
        <v>423</v>
      </c>
      <c r="O819" s="737"/>
      <c r="P819" s="737">
        <v>1000</v>
      </c>
      <c r="Q819" s="737">
        <v>960</v>
      </c>
      <c r="R819" s="737"/>
      <c r="S819" s="737"/>
      <c r="T819" s="737"/>
      <c r="U819" s="738"/>
      <c r="V819" s="739">
        <v>423</v>
      </c>
      <c r="W819" s="737"/>
      <c r="X819" s="737">
        <v>1001</v>
      </c>
      <c r="Y819" s="737">
        <v>909</v>
      </c>
      <c r="Z819" s="1202"/>
      <c r="AA819" s="740"/>
      <c r="AB819" s="739"/>
      <c r="AC819" s="741"/>
      <c r="AD819" s="741">
        <v>271</v>
      </c>
      <c r="AE819" s="741">
        <v>340</v>
      </c>
      <c r="AF819" s="741"/>
      <c r="AG819" s="741">
        <v>111</v>
      </c>
      <c r="AH819" s="741">
        <v>846</v>
      </c>
      <c r="AI819" s="741">
        <v>329</v>
      </c>
      <c r="AJ819" s="741">
        <v>76</v>
      </c>
      <c r="AK819" s="741"/>
      <c r="AL819" s="741">
        <v>120</v>
      </c>
      <c r="AM819" s="742">
        <v>1375</v>
      </c>
      <c r="AN819" s="743">
        <f t="shared" si="34"/>
        <v>0.82111601766358899</v>
      </c>
      <c r="AO819" s="744">
        <f t="shared" si="35"/>
        <v>0.8634751773049647</v>
      </c>
      <c r="AP819" s="745">
        <f>'09월 에너지'!S821</f>
        <v>146.1</v>
      </c>
    </row>
    <row r="820" spans="1:42" ht="16.5" customHeight="1">
      <c r="A820" s="999">
        <f>'09월 조업일지'!A820</f>
        <v>46295</v>
      </c>
      <c r="B820" s="1100">
        <f>'09월 조업일지'!B820</f>
        <v>46295</v>
      </c>
      <c r="C820" s="730">
        <f>'09월 조업일지'!G820</f>
        <v>86022</v>
      </c>
      <c r="D820" s="731" t="str">
        <f>'09월 조업일지'!E820</f>
        <v>D</v>
      </c>
      <c r="E820" s="732" t="str">
        <f>'09월 조업일지'!F820</f>
        <v>A</v>
      </c>
      <c r="F820" s="1096" t="str">
        <f>'09월 에너지'!F822</f>
        <v>SS400-05</v>
      </c>
      <c r="G820" s="733">
        <v>7</v>
      </c>
      <c r="H820" s="734">
        <v>18</v>
      </c>
      <c r="I820" s="734">
        <v>48</v>
      </c>
      <c r="J820" s="734">
        <v>13</v>
      </c>
      <c r="K820" s="735">
        <v>20</v>
      </c>
      <c r="L820" s="734">
        <v>13</v>
      </c>
      <c r="M820" s="736">
        <v>10</v>
      </c>
      <c r="N820" s="737">
        <v>422</v>
      </c>
      <c r="O820" s="737"/>
      <c r="P820" s="737">
        <v>1000</v>
      </c>
      <c r="Q820" s="737">
        <v>952</v>
      </c>
      <c r="R820" s="737"/>
      <c r="S820" s="737"/>
      <c r="T820" s="737"/>
      <c r="U820" s="738"/>
      <c r="V820" s="739">
        <v>418</v>
      </c>
      <c r="W820" s="737"/>
      <c r="X820" s="737">
        <v>1002</v>
      </c>
      <c r="Y820" s="737">
        <v>905</v>
      </c>
      <c r="Z820" s="1202"/>
      <c r="AA820" s="740"/>
      <c r="AB820" s="739"/>
      <c r="AC820" s="741"/>
      <c r="AD820" s="741">
        <v>270</v>
      </c>
      <c r="AE820" s="741">
        <v>339</v>
      </c>
      <c r="AF820" s="741"/>
      <c r="AG820" s="741">
        <v>110</v>
      </c>
      <c r="AH820" s="741">
        <v>835</v>
      </c>
      <c r="AI820" s="741">
        <v>347</v>
      </c>
      <c r="AJ820" s="741">
        <v>76</v>
      </c>
      <c r="AK820" s="741"/>
      <c r="AL820" s="741">
        <v>136</v>
      </c>
      <c r="AM820" s="742">
        <v>1973</v>
      </c>
      <c r="AN820" s="743">
        <f t="shared" si="34"/>
        <v>0.68264591439688727</v>
      </c>
      <c r="AO820" s="744">
        <f t="shared" si="35"/>
        <v>0.8254234388366124</v>
      </c>
      <c r="AP820" s="745">
        <f>'09월 에너지'!S822</f>
        <v>146.19999999999999</v>
      </c>
    </row>
    <row r="821" spans="1:42" ht="16.5" customHeight="1">
      <c r="A821" s="999">
        <f>'09월 조업일지'!A821</f>
        <v>46295</v>
      </c>
      <c r="B821" s="1100">
        <f>'09월 조업일지'!B821</f>
        <v>46295</v>
      </c>
      <c r="C821" s="730">
        <f>'09월 조업일지'!G821</f>
        <v>86023</v>
      </c>
      <c r="D821" s="731" t="str">
        <f>'09월 조업일지'!E821</f>
        <v>D</v>
      </c>
      <c r="E821" s="732" t="str">
        <f>'09월 조업일지'!F821</f>
        <v>B</v>
      </c>
      <c r="F821" s="1096" t="str">
        <f>'09월 에너지'!F823</f>
        <v>SS400-05</v>
      </c>
      <c r="G821" s="733">
        <v>8</v>
      </c>
      <c r="H821" s="734">
        <v>23</v>
      </c>
      <c r="I821" s="734">
        <v>49</v>
      </c>
      <c r="J821" s="734">
        <v>15</v>
      </c>
      <c r="K821" s="735">
        <v>36</v>
      </c>
      <c r="L821" s="734">
        <v>18</v>
      </c>
      <c r="M821" s="736">
        <v>12</v>
      </c>
      <c r="N821" s="737">
        <v>415</v>
      </c>
      <c r="O821" s="737"/>
      <c r="P821" s="737">
        <v>1001</v>
      </c>
      <c r="Q821" s="737">
        <v>956</v>
      </c>
      <c r="R821" s="737"/>
      <c r="S821" s="737"/>
      <c r="T821" s="737"/>
      <c r="U821" s="738"/>
      <c r="V821" s="739">
        <v>418</v>
      </c>
      <c r="W821" s="737"/>
      <c r="X821" s="737">
        <v>1001</v>
      </c>
      <c r="Y821" s="737">
        <v>904</v>
      </c>
      <c r="Z821" s="1202"/>
      <c r="AA821" s="740"/>
      <c r="AB821" s="739"/>
      <c r="AC821" s="741"/>
      <c r="AD821" s="741">
        <v>271</v>
      </c>
      <c r="AE821" s="741">
        <v>339</v>
      </c>
      <c r="AF821" s="741"/>
      <c r="AG821" s="741">
        <v>110</v>
      </c>
      <c r="AH821" s="741">
        <v>844</v>
      </c>
      <c r="AI821" s="741">
        <v>354</v>
      </c>
      <c r="AJ821" s="741">
        <v>83</v>
      </c>
      <c r="AK821" s="741"/>
      <c r="AL821" s="741">
        <v>120</v>
      </c>
      <c r="AM821" s="742">
        <v>1336</v>
      </c>
      <c r="AN821" s="743">
        <f t="shared" si="34"/>
        <v>0.84702881917878092</v>
      </c>
      <c r="AO821" s="744">
        <f t="shared" si="35"/>
        <v>0.83100880162491542</v>
      </c>
      <c r="AP821" s="745">
        <f>'09월 에너지'!S823</f>
        <v>144.4</v>
      </c>
    </row>
    <row r="822" spans="1:42" ht="16.5" customHeight="1">
      <c r="A822" s="999">
        <f>'09월 조업일지'!A822</f>
        <v>46295</v>
      </c>
      <c r="B822" s="1100">
        <f>'09월 조업일지'!B822</f>
        <v>46295</v>
      </c>
      <c r="C822" s="730">
        <f>'09월 조업일지'!G822</f>
        <v>86024</v>
      </c>
      <c r="D822" s="731" t="str">
        <f>'09월 조업일지'!E822</f>
        <v>D</v>
      </c>
      <c r="E822" s="732" t="str">
        <f>'09월 조업일지'!F822</f>
        <v>A</v>
      </c>
      <c r="F822" s="1096" t="str">
        <f>'09월 에너지'!F824</f>
        <v>SS400-05</v>
      </c>
      <c r="G822" s="733">
        <v>6</v>
      </c>
      <c r="H822" s="734">
        <v>12</v>
      </c>
      <c r="I822" s="734">
        <v>34</v>
      </c>
      <c r="J822" s="734">
        <v>13</v>
      </c>
      <c r="K822" s="735">
        <v>23</v>
      </c>
      <c r="L822" s="734">
        <v>11</v>
      </c>
      <c r="M822" s="736">
        <v>10</v>
      </c>
      <c r="N822" s="737">
        <v>420</v>
      </c>
      <c r="O822" s="737"/>
      <c r="P822" s="737">
        <v>251</v>
      </c>
      <c r="Q822" s="737">
        <v>963</v>
      </c>
      <c r="R822" s="737"/>
      <c r="S822" s="737"/>
      <c r="T822" s="737"/>
      <c r="U822" s="738"/>
      <c r="V822" s="739">
        <v>414</v>
      </c>
      <c r="W822" s="737"/>
      <c r="X822" s="737">
        <v>1001</v>
      </c>
      <c r="Y822" s="737">
        <v>907</v>
      </c>
      <c r="Z822" s="1202"/>
      <c r="AA822" s="740"/>
      <c r="AB822" s="739"/>
      <c r="AC822" s="741"/>
      <c r="AD822" s="741">
        <v>270</v>
      </c>
      <c r="AE822" s="741">
        <v>341</v>
      </c>
      <c r="AF822" s="741"/>
      <c r="AG822" s="741">
        <v>110</v>
      </c>
      <c r="AH822" s="741">
        <v>840</v>
      </c>
      <c r="AI822" s="741">
        <v>357</v>
      </c>
      <c r="AJ822" s="741">
        <v>81</v>
      </c>
      <c r="AK822" s="741"/>
      <c r="AL822" s="741">
        <v>131</v>
      </c>
      <c r="AM822" s="742">
        <v>3390</v>
      </c>
      <c r="AN822" s="743">
        <f t="shared" si="34"/>
        <v>0.44220952380952383</v>
      </c>
      <c r="AO822" s="744">
        <f t="shared" si="35"/>
        <v>0.46886054421768708</v>
      </c>
      <c r="AP822" s="745">
        <f>'09월 에너지'!S824</f>
        <v>145.1</v>
      </c>
    </row>
    <row r="823" spans="1:42" ht="16.5" customHeight="1">
      <c r="A823" s="999">
        <f>'09월 조업일지'!A823</f>
        <v>46295</v>
      </c>
      <c r="B823" s="1100">
        <f>'09월 조업일지'!B823</f>
        <v>46295</v>
      </c>
      <c r="C823" s="730">
        <f>'09월 조업일지'!G823</f>
        <v>86025</v>
      </c>
      <c r="D823" s="731" t="str">
        <f>'09월 조업일지'!E823</f>
        <v>D</v>
      </c>
      <c r="E823" s="732" t="str">
        <f>'09월 조업일지'!F823</f>
        <v>B</v>
      </c>
      <c r="F823" s="1096" t="str">
        <f>'09월 에너지'!F825</f>
        <v>SS400-05</v>
      </c>
      <c r="G823" s="733">
        <v>9</v>
      </c>
      <c r="H823" s="734">
        <v>21</v>
      </c>
      <c r="I823" s="734">
        <v>49</v>
      </c>
      <c r="J823" s="734">
        <v>14</v>
      </c>
      <c r="K823" s="735">
        <v>32</v>
      </c>
      <c r="L823" s="734">
        <v>11</v>
      </c>
      <c r="M823" s="736">
        <v>10</v>
      </c>
      <c r="N823" s="737">
        <v>420</v>
      </c>
      <c r="O823" s="737"/>
      <c r="P823" s="737">
        <v>1000</v>
      </c>
      <c r="Q823" s="737">
        <v>962</v>
      </c>
      <c r="R823" s="737"/>
      <c r="S823" s="737"/>
      <c r="T823" s="737"/>
      <c r="U823" s="738"/>
      <c r="V823" s="739">
        <v>421</v>
      </c>
      <c r="W823" s="737"/>
      <c r="X823" s="737">
        <v>1001</v>
      </c>
      <c r="Y823" s="737">
        <v>902</v>
      </c>
      <c r="Z823" s="1202"/>
      <c r="AA823" s="740"/>
      <c r="AB823" s="739"/>
      <c r="AC823" s="741"/>
      <c r="AD823" s="741">
        <v>271</v>
      </c>
      <c r="AE823" s="741">
        <v>342</v>
      </c>
      <c r="AF823" s="741"/>
      <c r="AG823" s="741">
        <v>110</v>
      </c>
      <c r="AH823" s="741">
        <v>837</v>
      </c>
      <c r="AI823" s="741">
        <v>340</v>
      </c>
      <c r="AJ823" s="741">
        <v>82</v>
      </c>
      <c r="AK823" s="741"/>
      <c r="AL823" s="741">
        <v>119</v>
      </c>
      <c r="AM823" s="742">
        <v>1461</v>
      </c>
      <c r="AN823" s="743">
        <f t="shared" si="34"/>
        <v>0.79795033504138746</v>
      </c>
      <c r="AO823" s="744">
        <f t="shared" si="35"/>
        <v>0.83911930363543263</v>
      </c>
      <c r="AP823" s="745">
        <f>'09월 에너지'!S825</f>
        <v>144.6</v>
      </c>
    </row>
    <row r="824" spans="1:42" ht="16.5" customHeight="1">
      <c r="A824" s="999">
        <f>'09월 조업일지'!A824</f>
        <v>46295</v>
      </c>
      <c r="B824" s="1100">
        <f>'09월 조업일지'!B824</f>
        <v>46295</v>
      </c>
      <c r="C824" s="730">
        <f>'09월 조업일지'!G824</f>
        <v>86026</v>
      </c>
      <c r="D824" s="731" t="str">
        <f>'09월 조업일지'!E824</f>
        <v>B</v>
      </c>
      <c r="E824" s="732" t="str">
        <f>'09월 조업일지'!F824</f>
        <v>A</v>
      </c>
      <c r="F824" s="1096" t="str">
        <f>'09월 에너지'!F826</f>
        <v>SS400-05</v>
      </c>
      <c r="G824" s="733">
        <v>6</v>
      </c>
      <c r="H824" s="734">
        <v>12</v>
      </c>
      <c r="I824" s="734">
        <v>34</v>
      </c>
      <c r="J824" s="734">
        <v>15</v>
      </c>
      <c r="K824" s="735">
        <v>27</v>
      </c>
      <c r="L824" s="734">
        <v>14</v>
      </c>
      <c r="M824" s="736">
        <v>9</v>
      </c>
      <c r="N824" s="737">
        <v>413</v>
      </c>
      <c r="O824" s="737"/>
      <c r="P824" s="737">
        <v>1001</v>
      </c>
      <c r="Q824" s="737">
        <v>960</v>
      </c>
      <c r="R824" s="737"/>
      <c r="S824" s="737"/>
      <c r="T824" s="737"/>
      <c r="U824" s="738"/>
      <c r="V824" s="739">
        <v>421</v>
      </c>
      <c r="W824" s="737"/>
      <c r="X824" s="737">
        <v>1001</v>
      </c>
      <c r="Y824" s="737">
        <v>907</v>
      </c>
      <c r="Z824" s="1202"/>
      <c r="AA824" s="740"/>
      <c r="AB824" s="739"/>
      <c r="AC824" s="741"/>
      <c r="AD824" s="741">
        <v>271</v>
      </c>
      <c r="AE824" s="741">
        <v>341</v>
      </c>
      <c r="AF824" s="741"/>
      <c r="AG824" s="741">
        <v>110</v>
      </c>
      <c r="AH824" s="741">
        <v>837</v>
      </c>
      <c r="AI824" s="741">
        <v>428</v>
      </c>
      <c r="AJ824" s="741">
        <v>83</v>
      </c>
      <c r="AK824" s="741"/>
      <c r="AL824" s="741">
        <v>133</v>
      </c>
      <c r="AM824" s="742">
        <v>3420</v>
      </c>
      <c r="AN824" s="743">
        <f t="shared" si="34"/>
        <v>0.39637218676519986</v>
      </c>
      <c r="AO824" s="744">
        <f t="shared" si="35"/>
        <v>0.47832394606588158</v>
      </c>
      <c r="AP824" s="745">
        <f>'09월 에너지'!S826</f>
        <v>147.5</v>
      </c>
    </row>
    <row r="825" spans="1:42" ht="16.5" customHeight="1">
      <c r="A825" s="999">
        <f>'09월 조업일지'!A825</f>
        <v>46295</v>
      </c>
      <c r="B825" s="1100">
        <f>'09월 조업일지'!B825</f>
        <v>46295</v>
      </c>
      <c r="C825" s="730">
        <f>'09월 조업일지'!G825</f>
        <v>86027</v>
      </c>
      <c r="D825" s="731" t="str">
        <f>'09월 조업일지'!E825</f>
        <v>B</v>
      </c>
      <c r="E825" s="732" t="str">
        <f>'09월 조업일지'!F825</f>
        <v>B</v>
      </c>
      <c r="F825" s="1096" t="str">
        <f>'09월 에너지'!F827</f>
        <v>SS400-05</v>
      </c>
      <c r="G825" s="733">
        <v>8</v>
      </c>
      <c r="H825" s="734">
        <v>23</v>
      </c>
      <c r="I825" s="734">
        <v>56</v>
      </c>
      <c r="J825" s="734">
        <v>18</v>
      </c>
      <c r="K825" s="735">
        <v>32</v>
      </c>
      <c r="L825" s="734">
        <v>11</v>
      </c>
      <c r="M825" s="736">
        <v>9</v>
      </c>
      <c r="N825" s="737">
        <v>417</v>
      </c>
      <c r="O825" s="737"/>
      <c r="P825" s="737">
        <v>1001</v>
      </c>
      <c r="Q825" s="737">
        <v>961</v>
      </c>
      <c r="R825" s="737"/>
      <c r="S825" s="737"/>
      <c r="T825" s="737"/>
      <c r="U825" s="738"/>
      <c r="V825" s="739">
        <v>423</v>
      </c>
      <c r="W825" s="737"/>
      <c r="X825" s="737">
        <v>1000</v>
      </c>
      <c r="Y825" s="737">
        <v>906</v>
      </c>
      <c r="Z825" s="1202"/>
      <c r="AA825" s="740"/>
      <c r="AB825" s="739"/>
      <c r="AC825" s="741"/>
      <c r="AD825" s="741">
        <v>270</v>
      </c>
      <c r="AE825" s="741">
        <v>338</v>
      </c>
      <c r="AF825" s="741"/>
      <c r="AG825" s="741">
        <v>111</v>
      </c>
      <c r="AH825" s="741">
        <v>842</v>
      </c>
      <c r="AI825" s="741">
        <v>322</v>
      </c>
      <c r="AJ825" s="741">
        <v>80</v>
      </c>
      <c r="AK825" s="741"/>
      <c r="AL825" s="741">
        <v>135</v>
      </c>
      <c r="AM825" s="742">
        <v>1544</v>
      </c>
      <c r="AN825" s="743">
        <f t="shared" si="34"/>
        <v>0.90361609570418711</v>
      </c>
      <c r="AO825" s="744">
        <f t="shared" si="35"/>
        <v>1.0051747539871057</v>
      </c>
      <c r="AP825" s="745">
        <f>'09월 에너지'!S827</f>
        <v>144.5</v>
      </c>
    </row>
    <row r="826" spans="1:42" ht="16.5" customHeight="1">
      <c r="A826" s="999">
        <f>'09월 조업일지'!A826</f>
        <v>46295</v>
      </c>
      <c r="B826" s="1100">
        <f>'09월 조업일지'!B826</f>
        <v>46295</v>
      </c>
      <c r="C826" s="730">
        <f>'09월 조업일지'!G826</f>
        <v>86028</v>
      </c>
      <c r="D826" s="731" t="str">
        <f>'09월 조업일지'!E826</f>
        <v>B</v>
      </c>
      <c r="E826" s="732" t="str">
        <f>'09월 조업일지'!F826</f>
        <v>A</v>
      </c>
      <c r="F826" s="1096" t="str">
        <f>'09월 에너지'!F828</f>
        <v>SS400-05</v>
      </c>
      <c r="G826" s="733">
        <v>7</v>
      </c>
      <c r="H826" s="734">
        <v>22</v>
      </c>
      <c r="I826" s="734">
        <v>42</v>
      </c>
      <c r="J826" s="734">
        <v>15</v>
      </c>
      <c r="K826" s="735">
        <v>43</v>
      </c>
      <c r="L826" s="734">
        <v>18</v>
      </c>
      <c r="M826" s="736">
        <v>12</v>
      </c>
      <c r="N826" s="737">
        <v>521</v>
      </c>
      <c r="O826" s="737"/>
      <c r="P826" s="737">
        <v>1000</v>
      </c>
      <c r="Q826" s="737">
        <v>962</v>
      </c>
      <c r="R826" s="737"/>
      <c r="S826" s="737"/>
      <c r="T826" s="737"/>
      <c r="U826" s="738"/>
      <c r="V826" s="739">
        <v>518</v>
      </c>
      <c r="W826" s="737"/>
      <c r="X826" s="737">
        <v>1001</v>
      </c>
      <c r="Y826" s="737">
        <v>902</v>
      </c>
      <c r="Z826" s="1202"/>
      <c r="AA826" s="740"/>
      <c r="AB826" s="739"/>
      <c r="AC826" s="741"/>
      <c r="AD826" s="741">
        <v>271</v>
      </c>
      <c r="AE826" s="741">
        <v>342</v>
      </c>
      <c r="AF826" s="741"/>
      <c r="AG826" s="741">
        <v>110</v>
      </c>
      <c r="AH826" s="741">
        <v>836</v>
      </c>
      <c r="AI826" s="741">
        <v>437</v>
      </c>
      <c r="AJ826" s="741">
        <v>87</v>
      </c>
      <c r="AK826" s="741"/>
      <c r="AL826" s="741">
        <v>120</v>
      </c>
      <c r="AM826" s="742">
        <v>2339</v>
      </c>
      <c r="AN826" s="743">
        <f t="shared" si="34"/>
        <v>0.68211409025708936</v>
      </c>
      <c r="AO826" s="744">
        <f t="shared" si="35"/>
        <v>0.64823991797676017</v>
      </c>
      <c r="AP826" s="745">
        <f>'09월 에너지'!S828</f>
        <v>140.5</v>
      </c>
    </row>
    <row r="827" spans="1:42" ht="16.5" customHeight="1">
      <c r="A827" s="999">
        <f>'09월 조업일지'!A827</f>
        <v>46295</v>
      </c>
      <c r="B827" s="1100">
        <f>'09월 조업일지'!B827</f>
        <v>46295</v>
      </c>
      <c r="C827" s="730">
        <f>'09월 조업일지'!G827</f>
        <v>86029</v>
      </c>
      <c r="D827" s="731" t="str">
        <f>'09월 조업일지'!E827</f>
        <v>B</v>
      </c>
      <c r="E827" s="732" t="str">
        <f>'09월 조업일지'!F827</f>
        <v>B</v>
      </c>
      <c r="F827" s="1096" t="str">
        <f>'09월 에너지'!F829</f>
        <v>SS400-05</v>
      </c>
      <c r="G827" s="733">
        <v>10</v>
      </c>
      <c r="H827" s="734">
        <v>23</v>
      </c>
      <c r="I827" s="734">
        <v>57</v>
      </c>
      <c r="J827" s="734">
        <v>14</v>
      </c>
      <c r="K827" s="735">
        <v>29</v>
      </c>
      <c r="L827" s="734">
        <v>10</v>
      </c>
      <c r="M827" s="736">
        <v>8</v>
      </c>
      <c r="N827" s="737">
        <v>418</v>
      </c>
      <c r="O827" s="737"/>
      <c r="P827" s="737">
        <v>1001</v>
      </c>
      <c r="Q827" s="737">
        <v>960</v>
      </c>
      <c r="R827" s="737"/>
      <c r="S827" s="737"/>
      <c r="T827" s="737"/>
      <c r="U827" s="738"/>
      <c r="V827" s="739">
        <v>416</v>
      </c>
      <c r="W827" s="737"/>
      <c r="X827" s="737">
        <v>1001</v>
      </c>
      <c r="Y827" s="737">
        <v>907</v>
      </c>
      <c r="Z827" s="1202"/>
      <c r="AA827" s="740"/>
      <c r="AB827" s="739"/>
      <c r="AC827" s="741"/>
      <c r="AD827" s="741">
        <v>271</v>
      </c>
      <c r="AE827" s="741">
        <v>332</v>
      </c>
      <c r="AF827" s="741"/>
      <c r="AG827" s="741">
        <v>110</v>
      </c>
      <c r="AH827" s="741">
        <v>838</v>
      </c>
      <c r="AI827" s="741">
        <v>326</v>
      </c>
      <c r="AJ827" s="741">
        <v>81</v>
      </c>
      <c r="AK827" s="741"/>
      <c r="AL827" s="741">
        <v>132</v>
      </c>
      <c r="AM827" s="742">
        <v>1864</v>
      </c>
      <c r="AN827" s="743">
        <f t="shared" si="34"/>
        <v>0.89340896812533765</v>
      </c>
      <c r="AO827" s="744">
        <f t="shared" si="35"/>
        <v>1.0295942720763724</v>
      </c>
      <c r="AP827" s="745">
        <f>'09월 에너지'!S829</f>
        <v>143.80000000000001</v>
      </c>
    </row>
    <row r="828" spans="1:42" ht="16.5" customHeight="1">
      <c r="A828" s="999">
        <f>'09월 조업일지'!A828</f>
        <v>46295</v>
      </c>
      <c r="B828" s="1100">
        <f>'09월 조업일지'!B828</f>
        <v>46295</v>
      </c>
      <c r="C828" s="730">
        <f>'09월 조업일지'!G828</f>
        <v>86030</v>
      </c>
      <c r="D828" s="731" t="str">
        <f>'09월 조업일지'!E828</f>
        <v>B</v>
      </c>
      <c r="E828" s="732" t="str">
        <f>'09월 조업일지'!F828</f>
        <v>A</v>
      </c>
      <c r="F828" s="1096" t="str">
        <f>'09월 에너지'!F830</f>
        <v>SS400-05</v>
      </c>
      <c r="G828" s="733">
        <v>7</v>
      </c>
      <c r="H828" s="734">
        <v>21</v>
      </c>
      <c r="I828" s="734">
        <v>48</v>
      </c>
      <c r="J828" s="734">
        <v>14</v>
      </c>
      <c r="K828" s="735">
        <v>26</v>
      </c>
      <c r="L828" s="734">
        <v>11</v>
      </c>
      <c r="M828" s="736">
        <v>9</v>
      </c>
      <c r="N828" s="737">
        <v>416</v>
      </c>
      <c r="O828" s="737"/>
      <c r="P828" s="737">
        <v>1001</v>
      </c>
      <c r="Q828" s="737">
        <v>961</v>
      </c>
      <c r="R828" s="737"/>
      <c r="S828" s="737"/>
      <c r="T828" s="737"/>
      <c r="U828" s="738"/>
      <c r="V828" s="739">
        <v>420</v>
      </c>
      <c r="W828" s="737"/>
      <c r="X828" s="737">
        <v>1000</v>
      </c>
      <c r="Y828" s="737">
        <v>906</v>
      </c>
      <c r="Z828" s="1202"/>
      <c r="AA828" s="740"/>
      <c r="AB828" s="739"/>
      <c r="AC828" s="741"/>
      <c r="AD828" s="741">
        <v>270</v>
      </c>
      <c r="AE828" s="741">
        <v>338</v>
      </c>
      <c r="AF828" s="741"/>
      <c r="AG828" s="741">
        <v>111</v>
      </c>
      <c r="AH828" s="741">
        <v>846</v>
      </c>
      <c r="AI828" s="741">
        <v>429</v>
      </c>
      <c r="AJ828" s="741">
        <v>80</v>
      </c>
      <c r="AK828" s="741"/>
      <c r="AL828" s="741">
        <v>135</v>
      </c>
      <c r="AM828" s="742">
        <v>3444</v>
      </c>
      <c r="AN828" s="743">
        <f t="shared" si="34"/>
        <v>0.69414911400869284</v>
      </c>
      <c r="AO828" s="744">
        <f t="shared" si="35"/>
        <v>0.82639311043566366</v>
      </c>
      <c r="AP828" s="745">
        <f>'09월 에너지'!S830</f>
        <v>148.30000000000001</v>
      </c>
    </row>
    <row r="829" spans="1:42" ht="16.5" customHeight="1">
      <c r="A829" s="999">
        <f>'09월 조업일지'!A829</f>
        <v>46295</v>
      </c>
      <c r="B829" s="1100">
        <f>'09월 조업일지'!B829</f>
        <v>46295</v>
      </c>
      <c r="C829" s="730">
        <f>'09월 조업일지'!G829</f>
        <v>86031</v>
      </c>
      <c r="D829" s="731" t="str">
        <f>'09월 조업일지'!E829</f>
        <v>B</v>
      </c>
      <c r="E829" s="732" t="str">
        <f>'09월 조업일지'!F829</f>
        <v>B</v>
      </c>
      <c r="F829" s="1096" t="str">
        <f>'09월 에너지'!F831</f>
        <v>SS400-05</v>
      </c>
      <c r="G829" s="733">
        <v>9</v>
      </c>
      <c r="H829" s="734">
        <v>23</v>
      </c>
      <c r="I829" s="734">
        <v>56</v>
      </c>
      <c r="J829" s="734">
        <v>16</v>
      </c>
      <c r="K829" s="735">
        <v>23</v>
      </c>
      <c r="L829" s="734">
        <v>13</v>
      </c>
      <c r="M829" s="736">
        <v>14</v>
      </c>
      <c r="N829" s="737">
        <v>418</v>
      </c>
      <c r="O829" s="737"/>
      <c r="P829" s="737">
        <v>1001</v>
      </c>
      <c r="Q829" s="737">
        <v>960</v>
      </c>
      <c r="R829" s="737"/>
      <c r="S829" s="737"/>
      <c r="T829" s="737"/>
      <c r="U829" s="738"/>
      <c r="V829" s="739">
        <v>424</v>
      </c>
      <c r="W829" s="737"/>
      <c r="X829" s="737">
        <v>1000</v>
      </c>
      <c r="Y829" s="737">
        <v>901</v>
      </c>
      <c r="Z829" s="1202"/>
      <c r="AA829" s="740"/>
      <c r="AB829" s="739"/>
      <c r="AC829" s="741"/>
      <c r="AD829" s="741">
        <v>271</v>
      </c>
      <c r="AE829" s="741">
        <v>333</v>
      </c>
      <c r="AF829" s="741"/>
      <c r="AG829" s="741">
        <v>110</v>
      </c>
      <c r="AH829" s="741">
        <v>833</v>
      </c>
      <c r="AI829" s="741">
        <v>330</v>
      </c>
      <c r="AJ829" s="741">
        <v>80</v>
      </c>
      <c r="AK829" s="741"/>
      <c r="AL829" s="741">
        <v>124</v>
      </c>
      <c r="AM829" s="742">
        <v>1995</v>
      </c>
      <c r="AN829" s="743">
        <f t="shared" si="34"/>
        <v>0.8873942811115586</v>
      </c>
      <c r="AO829" s="744">
        <f t="shared" si="35"/>
        <v>1.0104098782370092</v>
      </c>
      <c r="AP829" s="745">
        <f>'09월 에너지'!S831</f>
        <v>143.69999999999999</v>
      </c>
    </row>
    <row r="830" spans="1:42" ht="16.5" customHeight="1">
      <c r="A830" s="999">
        <f>'09월 조업일지'!A830</f>
        <v>46296</v>
      </c>
      <c r="B830" s="1100">
        <f>'09월 조업일지'!B830</f>
        <v>46295</v>
      </c>
      <c r="C830" s="730">
        <f>'09월 조업일지'!G830</f>
        <v>86032</v>
      </c>
      <c r="D830" s="731" t="str">
        <f>'09월 조업일지'!E830</f>
        <v>B</v>
      </c>
      <c r="E830" s="732" t="str">
        <f>'09월 조업일지'!F830</f>
        <v>A</v>
      </c>
      <c r="F830" s="1096" t="str">
        <f>'09월 에너지'!F832</f>
        <v>SS400-05</v>
      </c>
      <c r="G830" s="733">
        <v>9</v>
      </c>
      <c r="H830" s="734">
        <v>25</v>
      </c>
      <c r="I830" s="734">
        <v>51</v>
      </c>
      <c r="J830" s="734">
        <v>16</v>
      </c>
      <c r="K830" s="735">
        <v>26</v>
      </c>
      <c r="L830" s="734">
        <v>11</v>
      </c>
      <c r="M830" s="736">
        <v>9</v>
      </c>
      <c r="N830" s="737">
        <v>421</v>
      </c>
      <c r="O830" s="737"/>
      <c r="P830" s="737">
        <v>1001</v>
      </c>
      <c r="Q830" s="737">
        <v>957</v>
      </c>
      <c r="R830" s="737"/>
      <c r="S830" s="737"/>
      <c r="T830" s="737"/>
      <c r="U830" s="738"/>
      <c r="V830" s="739">
        <v>525</v>
      </c>
      <c r="W830" s="737"/>
      <c r="X830" s="737">
        <v>1001</v>
      </c>
      <c r="Y830" s="737">
        <v>902</v>
      </c>
      <c r="Z830" s="1202"/>
      <c r="AA830" s="740"/>
      <c r="AB830" s="739"/>
      <c r="AC830" s="741"/>
      <c r="AD830" s="741">
        <v>271</v>
      </c>
      <c r="AE830" s="741">
        <v>337</v>
      </c>
      <c r="AF830" s="741"/>
      <c r="AG830" s="741">
        <v>111</v>
      </c>
      <c r="AH830" s="741">
        <v>842</v>
      </c>
      <c r="AI830" s="741">
        <v>489</v>
      </c>
      <c r="AJ830" s="741">
        <v>80</v>
      </c>
      <c r="AK830" s="741"/>
      <c r="AL830" s="741">
        <v>134</v>
      </c>
      <c r="AM830" s="742">
        <v>2540</v>
      </c>
      <c r="AN830" s="743">
        <f t="shared" si="34"/>
        <v>0.73724774363654799</v>
      </c>
      <c r="AO830" s="744">
        <f t="shared" si="35"/>
        <v>0.88808958262639981</v>
      </c>
      <c r="AP830" s="745">
        <f>'09월 에너지'!S832</f>
        <v>145.4</v>
      </c>
    </row>
    <row r="831" spans="1:42" ht="16.5" customHeight="1">
      <c r="A831" s="999" t="str">
        <f>'09월 조업일지'!A831</f>
        <v/>
      </c>
      <c r="B831" s="1100" t="str">
        <f>'09월 조업일지'!B831</f>
        <v/>
      </c>
      <c r="C831" s="730" t="str">
        <f>'09월 조업일지'!G831</f>
        <v/>
      </c>
      <c r="D831" s="731" t="str">
        <f>'09월 조업일지'!E831</f>
        <v/>
      </c>
      <c r="E831" s="732" t="str">
        <f>'09월 조업일지'!F831</f>
        <v/>
      </c>
      <c r="F831" s="1096" t="str">
        <f>'09월 에너지'!F833</f>
        <v/>
      </c>
      <c r="G831" s="733"/>
      <c r="H831" s="734"/>
      <c r="I831" s="734"/>
      <c r="J831" s="734"/>
      <c r="K831" s="735"/>
      <c r="L831" s="734"/>
      <c r="M831" s="736"/>
      <c r="N831" s="737"/>
      <c r="O831" s="737"/>
      <c r="P831" s="737"/>
      <c r="Q831" s="737"/>
      <c r="R831" s="737"/>
      <c r="S831" s="737"/>
      <c r="T831" s="737"/>
      <c r="U831" s="738"/>
      <c r="V831" s="739"/>
      <c r="W831" s="737"/>
      <c r="X831" s="737"/>
      <c r="Y831" s="737"/>
      <c r="Z831" s="1202"/>
      <c r="AA831" s="740"/>
      <c r="AB831" s="739"/>
      <c r="AC831" s="741"/>
      <c r="AD831" s="741"/>
      <c r="AE831" s="741"/>
      <c r="AF831" s="741"/>
      <c r="AG831" s="741"/>
      <c r="AH831" s="741"/>
      <c r="AI831" s="741"/>
      <c r="AJ831" s="741"/>
      <c r="AK831" s="741"/>
      <c r="AL831" s="741"/>
      <c r="AM831" s="742"/>
      <c r="AN831" s="743" t="str">
        <f t="shared" si="34"/>
        <v/>
      </c>
      <c r="AO831" s="744" t="str">
        <f t="shared" si="35"/>
        <v/>
      </c>
      <c r="AP831" s="745">
        <f>'09월 에너지'!S833</f>
        <v>0</v>
      </c>
    </row>
    <row r="832" spans="1:42" ht="16.5" customHeight="1">
      <c r="A832" s="999" t="str">
        <f>'09월 조업일지'!A832</f>
        <v/>
      </c>
      <c r="B832" s="1100" t="str">
        <f>'09월 조업일지'!B832</f>
        <v/>
      </c>
      <c r="C832" s="730" t="str">
        <f>'09월 조업일지'!G832</f>
        <v/>
      </c>
      <c r="D832" s="731" t="str">
        <f>'09월 조업일지'!E832</f>
        <v/>
      </c>
      <c r="E832" s="732" t="str">
        <f>'09월 조업일지'!F832</f>
        <v/>
      </c>
      <c r="F832" s="1096" t="str">
        <f>'09월 에너지'!F834</f>
        <v/>
      </c>
      <c r="G832" s="733"/>
      <c r="H832" s="734"/>
      <c r="I832" s="734"/>
      <c r="J832" s="734"/>
      <c r="K832" s="735"/>
      <c r="L832" s="734"/>
      <c r="M832" s="736"/>
      <c r="N832" s="737"/>
      <c r="O832" s="737"/>
      <c r="P832" s="737"/>
      <c r="Q832" s="737"/>
      <c r="R832" s="737"/>
      <c r="S832" s="737"/>
      <c r="T832" s="737"/>
      <c r="U832" s="738"/>
      <c r="V832" s="739"/>
      <c r="W832" s="737"/>
      <c r="X832" s="737"/>
      <c r="Y832" s="737"/>
      <c r="Z832" s="1202"/>
      <c r="AA832" s="740"/>
      <c r="AB832" s="739"/>
      <c r="AC832" s="741"/>
      <c r="AD832" s="741"/>
      <c r="AE832" s="741"/>
      <c r="AF832" s="741"/>
      <c r="AG832" s="741"/>
      <c r="AH832" s="741"/>
      <c r="AI832" s="741"/>
      <c r="AJ832" s="741"/>
      <c r="AK832" s="741"/>
      <c r="AL832" s="741"/>
      <c r="AM832" s="742"/>
      <c r="AN832" s="743" t="str">
        <f t="shared" si="34"/>
        <v/>
      </c>
      <c r="AO832" s="744" t="str">
        <f t="shared" si="35"/>
        <v/>
      </c>
      <c r="AP832" s="745">
        <f>'09월 에너지'!S834</f>
        <v>0</v>
      </c>
    </row>
    <row r="833" spans="1:42" ht="16.5" customHeight="1">
      <c r="A833" s="999" t="str">
        <f>'09월 조업일지'!A833</f>
        <v/>
      </c>
      <c r="B833" s="1100" t="str">
        <f>'09월 조업일지'!B833</f>
        <v/>
      </c>
      <c r="C833" s="730" t="str">
        <f>'09월 조업일지'!G833</f>
        <v/>
      </c>
      <c r="D833" s="731" t="str">
        <f>'09월 조업일지'!E833</f>
        <v/>
      </c>
      <c r="E833" s="732" t="str">
        <f>'09월 조업일지'!F833</f>
        <v/>
      </c>
      <c r="F833" s="1096" t="str">
        <f>'09월 에너지'!F835</f>
        <v/>
      </c>
      <c r="G833" s="733"/>
      <c r="H833" s="734"/>
      <c r="I833" s="734"/>
      <c r="J833" s="734"/>
      <c r="K833" s="735"/>
      <c r="L833" s="734"/>
      <c r="M833" s="736"/>
      <c r="N833" s="737"/>
      <c r="O833" s="737"/>
      <c r="P833" s="737"/>
      <c r="Q833" s="737"/>
      <c r="R833" s="737"/>
      <c r="S833" s="737"/>
      <c r="T833" s="737"/>
      <c r="U833" s="738"/>
      <c r="V833" s="739"/>
      <c r="W833" s="737"/>
      <c r="X833" s="737"/>
      <c r="Y833" s="737"/>
      <c r="Z833" s="1202"/>
      <c r="AA833" s="740"/>
      <c r="AB833" s="739"/>
      <c r="AC833" s="741"/>
      <c r="AD833" s="741"/>
      <c r="AE833" s="741"/>
      <c r="AF833" s="741"/>
      <c r="AG833" s="741"/>
      <c r="AH833" s="741"/>
      <c r="AI833" s="741"/>
      <c r="AJ833" s="741"/>
      <c r="AK833" s="741"/>
      <c r="AL833" s="741"/>
      <c r="AM833" s="742"/>
      <c r="AN833" s="743" t="str">
        <f t="shared" si="34"/>
        <v/>
      </c>
      <c r="AO833" s="744" t="str">
        <f t="shared" si="35"/>
        <v/>
      </c>
      <c r="AP833" s="745">
        <f>'09월 에너지'!S835</f>
        <v>0</v>
      </c>
    </row>
    <row r="834" spans="1:42" ht="16.5" customHeight="1">
      <c r="A834" s="999" t="str">
        <f>'09월 조업일지'!A834</f>
        <v/>
      </c>
      <c r="B834" s="1100" t="str">
        <f>'09월 조업일지'!B834</f>
        <v/>
      </c>
      <c r="C834" s="730" t="str">
        <f>'09월 조업일지'!G834</f>
        <v/>
      </c>
      <c r="D834" s="731" t="str">
        <f>'09월 조업일지'!E834</f>
        <v/>
      </c>
      <c r="E834" s="732" t="str">
        <f>'09월 조업일지'!F834</f>
        <v/>
      </c>
      <c r="F834" s="1096" t="str">
        <f>'09월 에너지'!F836</f>
        <v/>
      </c>
      <c r="G834" s="733"/>
      <c r="H834" s="734"/>
      <c r="I834" s="734"/>
      <c r="J834" s="734"/>
      <c r="K834" s="735"/>
      <c r="L834" s="734"/>
      <c r="M834" s="736"/>
      <c r="N834" s="737"/>
      <c r="O834" s="737"/>
      <c r="P834" s="737"/>
      <c r="Q834" s="737"/>
      <c r="R834" s="737"/>
      <c r="S834" s="737"/>
      <c r="T834" s="737"/>
      <c r="U834" s="738"/>
      <c r="V834" s="739"/>
      <c r="W834" s="737"/>
      <c r="X834" s="737"/>
      <c r="Y834" s="737"/>
      <c r="Z834" s="1202"/>
      <c r="AA834" s="740"/>
      <c r="AB834" s="739"/>
      <c r="AC834" s="741"/>
      <c r="AD834" s="741"/>
      <c r="AE834" s="741"/>
      <c r="AF834" s="741"/>
      <c r="AG834" s="741"/>
      <c r="AH834" s="741"/>
      <c r="AI834" s="741"/>
      <c r="AJ834" s="741"/>
      <c r="AK834" s="741"/>
      <c r="AL834" s="741"/>
      <c r="AM834" s="742"/>
      <c r="AN834" s="743" t="str">
        <f t="shared" si="34"/>
        <v/>
      </c>
      <c r="AO834" s="744" t="str">
        <f t="shared" si="35"/>
        <v/>
      </c>
      <c r="AP834" s="745">
        <f>'09월 에너지'!S836</f>
        <v>0</v>
      </c>
    </row>
    <row r="835" spans="1:42" ht="16.5" customHeight="1">
      <c r="A835" s="999" t="str">
        <f>'09월 조업일지'!A835</f>
        <v/>
      </c>
      <c r="B835" s="1100" t="str">
        <f>'09월 조업일지'!B835</f>
        <v/>
      </c>
      <c r="C835" s="730" t="str">
        <f>'09월 조업일지'!G835</f>
        <v/>
      </c>
      <c r="D835" s="731" t="str">
        <f>'09월 조업일지'!E835</f>
        <v/>
      </c>
      <c r="E835" s="732" t="str">
        <f>'09월 조업일지'!F835</f>
        <v/>
      </c>
      <c r="F835" s="1096" t="str">
        <f>'09월 에너지'!F837</f>
        <v/>
      </c>
      <c r="G835" s="733"/>
      <c r="H835" s="734"/>
      <c r="I835" s="734"/>
      <c r="J835" s="734"/>
      <c r="K835" s="735"/>
      <c r="L835" s="734"/>
      <c r="M835" s="736"/>
      <c r="N835" s="737"/>
      <c r="O835" s="737"/>
      <c r="P835" s="737"/>
      <c r="Q835" s="737"/>
      <c r="R835" s="737"/>
      <c r="S835" s="737"/>
      <c r="T835" s="737"/>
      <c r="U835" s="738"/>
      <c r="V835" s="739"/>
      <c r="W835" s="737"/>
      <c r="X835" s="737"/>
      <c r="Y835" s="737"/>
      <c r="Z835" s="1202"/>
      <c r="AA835" s="740"/>
      <c r="AB835" s="739"/>
      <c r="AC835" s="741"/>
      <c r="AD835" s="741"/>
      <c r="AE835" s="741"/>
      <c r="AF835" s="741"/>
      <c r="AG835" s="741"/>
      <c r="AH835" s="741"/>
      <c r="AI835" s="741"/>
      <c r="AJ835" s="741"/>
      <c r="AK835" s="741"/>
      <c r="AL835" s="741"/>
      <c r="AM835" s="742"/>
      <c r="AN835" s="743" t="str">
        <f t="shared" si="34"/>
        <v/>
      </c>
      <c r="AO835" s="744" t="str">
        <f t="shared" si="35"/>
        <v/>
      </c>
      <c r="AP835" s="745">
        <f>'09월 에너지'!S837</f>
        <v>0</v>
      </c>
    </row>
    <row r="836" spans="1:42" ht="16.5" customHeight="1">
      <c r="A836" s="999" t="str">
        <f>'09월 조업일지'!A836</f>
        <v/>
      </c>
      <c r="B836" s="1100" t="str">
        <f>'09월 조업일지'!B836</f>
        <v/>
      </c>
      <c r="C836" s="730" t="str">
        <f>'09월 조업일지'!G836</f>
        <v/>
      </c>
      <c r="D836" s="731" t="str">
        <f>'09월 조업일지'!E836</f>
        <v/>
      </c>
      <c r="E836" s="732" t="str">
        <f>'09월 조업일지'!F836</f>
        <v/>
      </c>
      <c r="F836" s="1096" t="str">
        <f>'09월 에너지'!F838</f>
        <v/>
      </c>
      <c r="G836" s="733"/>
      <c r="H836" s="734"/>
      <c r="I836" s="734"/>
      <c r="J836" s="734"/>
      <c r="K836" s="735"/>
      <c r="L836" s="734"/>
      <c r="M836" s="736"/>
      <c r="N836" s="737"/>
      <c r="O836" s="737"/>
      <c r="P836" s="737"/>
      <c r="Q836" s="737"/>
      <c r="R836" s="737"/>
      <c r="S836" s="737"/>
      <c r="T836" s="737"/>
      <c r="U836" s="738"/>
      <c r="V836" s="739"/>
      <c r="W836" s="737"/>
      <c r="X836" s="737"/>
      <c r="Y836" s="737"/>
      <c r="Z836" s="1202"/>
      <c r="AA836" s="740"/>
      <c r="AB836" s="739"/>
      <c r="AC836" s="741"/>
      <c r="AD836" s="741"/>
      <c r="AE836" s="741"/>
      <c r="AF836" s="741"/>
      <c r="AG836" s="741"/>
      <c r="AH836" s="741"/>
      <c r="AI836" s="741"/>
      <c r="AJ836" s="741"/>
      <c r="AK836" s="741"/>
      <c r="AL836" s="741"/>
      <c r="AM836" s="742"/>
      <c r="AN836" s="743" t="str">
        <f t="shared" si="34"/>
        <v/>
      </c>
      <c r="AO836" s="744" t="str">
        <f t="shared" si="35"/>
        <v/>
      </c>
      <c r="AP836" s="745">
        <f>'09월 에너지'!S838</f>
        <v>0</v>
      </c>
    </row>
    <row r="837" spans="1:42" ht="16.5" customHeight="1">
      <c r="A837" s="999" t="str">
        <f>'09월 조업일지'!A837</f>
        <v/>
      </c>
      <c r="B837" s="1100" t="str">
        <f>'09월 조업일지'!B837</f>
        <v/>
      </c>
      <c r="C837" s="730" t="str">
        <f>'09월 조업일지'!G837</f>
        <v/>
      </c>
      <c r="D837" s="731" t="str">
        <f>'09월 조업일지'!E837</f>
        <v/>
      </c>
      <c r="E837" s="732" t="str">
        <f>'09월 조업일지'!F837</f>
        <v/>
      </c>
      <c r="F837" s="1096" t="str">
        <f>'09월 에너지'!F839</f>
        <v/>
      </c>
      <c r="G837" s="733"/>
      <c r="H837" s="734"/>
      <c r="I837" s="734"/>
      <c r="J837" s="734"/>
      <c r="K837" s="735"/>
      <c r="L837" s="734"/>
      <c r="M837" s="736"/>
      <c r="N837" s="737"/>
      <c r="O837" s="737"/>
      <c r="P837" s="737"/>
      <c r="Q837" s="737"/>
      <c r="R837" s="737"/>
      <c r="S837" s="737"/>
      <c r="T837" s="737"/>
      <c r="U837" s="738"/>
      <c r="V837" s="739"/>
      <c r="W837" s="737"/>
      <c r="X837" s="737"/>
      <c r="Y837" s="737"/>
      <c r="Z837" s="1202"/>
      <c r="AA837" s="740"/>
      <c r="AB837" s="739"/>
      <c r="AC837" s="741"/>
      <c r="AD837" s="741"/>
      <c r="AE837" s="741"/>
      <c r="AF837" s="741"/>
      <c r="AG837" s="741"/>
      <c r="AH837" s="741"/>
      <c r="AI837" s="741"/>
      <c r="AJ837" s="741"/>
      <c r="AK837" s="741"/>
      <c r="AL837" s="741"/>
      <c r="AM837" s="742"/>
      <c r="AN837" s="743" t="str">
        <f t="shared" si="34"/>
        <v/>
      </c>
      <c r="AO837" s="744" t="str">
        <f t="shared" si="35"/>
        <v/>
      </c>
      <c r="AP837" s="745">
        <f>'09월 에너지'!S839</f>
        <v>0</v>
      </c>
    </row>
    <row r="838" spans="1:42" ht="16.5" customHeight="1">
      <c r="A838" s="999" t="str">
        <f>'09월 조업일지'!A838</f>
        <v/>
      </c>
      <c r="B838" s="1100" t="str">
        <f>'09월 조업일지'!B838</f>
        <v/>
      </c>
      <c r="C838" s="730" t="str">
        <f>'09월 조업일지'!G838</f>
        <v/>
      </c>
      <c r="D838" s="731" t="str">
        <f>'09월 조업일지'!E838</f>
        <v/>
      </c>
      <c r="E838" s="732" t="str">
        <f>'09월 조업일지'!F838</f>
        <v/>
      </c>
      <c r="F838" s="1096" t="str">
        <f>'09월 에너지'!F840</f>
        <v/>
      </c>
      <c r="G838" s="733"/>
      <c r="H838" s="734"/>
      <c r="I838" s="734"/>
      <c r="J838" s="734"/>
      <c r="K838" s="735"/>
      <c r="L838" s="734"/>
      <c r="M838" s="736"/>
      <c r="N838" s="737"/>
      <c r="O838" s="737"/>
      <c r="P838" s="737"/>
      <c r="Q838" s="737"/>
      <c r="R838" s="737"/>
      <c r="S838" s="737"/>
      <c r="T838" s="737"/>
      <c r="U838" s="738"/>
      <c r="V838" s="739"/>
      <c r="W838" s="737"/>
      <c r="X838" s="737"/>
      <c r="Y838" s="737"/>
      <c r="Z838" s="1202"/>
      <c r="AA838" s="740"/>
      <c r="AB838" s="739"/>
      <c r="AC838" s="741"/>
      <c r="AD838" s="741"/>
      <c r="AE838" s="741"/>
      <c r="AF838" s="741"/>
      <c r="AG838" s="741"/>
      <c r="AH838" s="741"/>
      <c r="AI838" s="741"/>
      <c r="AJ838" s="741"/>
      <c r="AK838" s="741"/>
      <c r="AL838" s="741"/>
      <c r="AM838" s="742"/>
      <c r="AN838" s="743" t="str">
        <f t="shared" si="34"/>
        <v/>
      </c>
      <c r="AO838" s="744" t="str">
        <f t="shared" si="35"/>
        <v/>
      </c>
      <c r="AP838" s="745">
        <f>'09월 에너지'!S840</f>
        <v>0</v>
      </c>
    </row>
    <row r="839" spans="1:42" ht="16.5" customHeight="1">
      <c r="A839" s="999" t="str">
        <f>'09월 조업일지'!A839</f>
        <v/>
      </c>
      <c r="B839" s="1100" t="str">
        <f>'09월 조업일지'!B839</f>
        <v/>
      </c>
      <c r="C839" s="730" t="str">
        <f>'09월 조업일지'!G839</f>
        <v/>
      </c>
      <c r="D839" s="731" t="str">
        <f>'09월 조업일지'!E839</f>
        <v/>
      </c>
      <c r="E839" s="732" t="str">
        <f>'09월 조업일지'!F839</f>
        <v/>
      </c>
      <c r="F839" s="1096" t="str">
        <f>'09월 에너지'!F841</f>
        <v/>
      </c>
      <c r="G839" s="733"/>
      <c r="H839" s="734"/>
      <c r="I839" s="734"/>
      <c r="J839" s="734"/>
      <c r="K839" s="735"/>
      <c r="L839" s="734"/>
      <c r="M839" s="736"/>
      <c r="N839" s="737"/>
      <c r="O839" s="737"/>
      <c r="P839" s="737"/>
      <c r="Q839" s="737"/>
      <c r="R839" s="737"/>
      <c r="S839" s="737"/>
      <c r="T839" s="737"/>
      <c r="U839" s="738"/>
      <c r="V839" s="739"/>
      <c r="W839" s="737"/>
      <c r="X839" s="737"/>
      <c r="Y839" s="737"/>
      <c r="Z839" s="1202"/>
      <c r="AA839" s="740"/>
      <c r="AB839" s="739"/>
      <c r="AC839" s="741"/>
      <c r="AD839" s="741"/>
      <c r="AE839" s="741"/>
      <c r="AF839" s="741"/>
      <c r="AG839" s="741"/>
      <c r="AH839" s="741"/>
      <c r="AI839" s="741"/>
      <c r="AJ839" s="741"/>
      <c r="AK839" s="741"/>
      <c r="AL839" s="741"/>
      <c r="AM839" s="742"/>
      <c r="AN839" s="743" t="str">
        <f t="shared" si="34"/>
        <v/>
      </c>
      <c r="AO839" s="744" t="str">
        <f t="shared" si="35"/>
        <v/>
      </c>
      <c r="AP839" s="745">
        <f>'09월 에너지'!S841</f>
        <v>0</v>
      </c>
    </row>
    <row r="840" spans="1:42" ht="16.5" customHeight="1">
      <c r="A840" s="999" t="str">
        <f>'09월 조업일지'!A840</f>
        <v/>
      </c>
      <c r="B840" s="1100" t="str">
        <f>'09월 조업일지'!B840</f>
        <v/>
      </c>
      <c r="C840" s="730" t="str">
        <f>'09월 조업일지'!G840</f>
        <v/>
      </c>
      <c r="D840" s="731" t="str">
        <f>'09월 조업일지'!E840</f>
        <v/>
      </c>
      <c r="E840" s="732" t="str">
        <f>'09월 조업일지'!F840</f>
        <v/>
      </c>
      <c r="F840" s="1096" t="str">
        <f>'09월 에너지'!F842</f>
        <v/>
      </c>
      <c r="G840" s="733"/>
      <c r="H840" s="734"/>
      <c r="I840" s="734"/>
      <c r="J840" s="734"/>
      <c r="K840" s="735"/>
      <c r="L840" s="734"/>
      <c r="M840" s="736"/>
      <c r="N840" s="737"/>
      <c r="O840" s="737"/>
      <c r="P840" s="737"/>
      <c r="Q840" s="737"/>
      <c r="R840" s="737"/>
      <c r="S840" s="737"/>
      <c r="T840" s="737"/>
      <c r="U840" s="738"/>
      <c r="V840" s="739"/>
      <c r="W840" s="737"/>
      <c r="X840" s="737"/>
      <c r="Y840" s="737"/>
      <c r="Z840" s="1202"/>
      <c r="AA840" s="740"/>
      <c r="AB840" s="739"/>
      <c r="AC840" s="741"/>
      <c r="AD840" s="741"/>
      <c r="AE840" s="741"/>
      <c r="AF840" s="741"/>
      <c r="AG840" s="741"/>
      <c r="AH840" s="741"/>
      <c r="AI840" s="741"/>
      <c r="AJ840" s="741"/>
      <c r="AK840" s="741"/>
      <c r="AL840" s="741"/>
      <c r="AM840" s="742"/>
      <c r="AN840" s="743" t="str">
        <f t="shared" si="34"/>
        <v/>
      </c>
      <c r="AO840" s="744" t="str">
        <f t="shared" si="35"/>
        <v/>
      </c>
      <c r="AP840" s="745">
        <f>'09월 에너지'!S842</f>
        <v>0</v>
      </c>
    </row>
    <row r="841" spans="1:42" ht="16.5" customHeight="1">
      <c r="A841" s="999" t="str">
        <f>'09월 조업일지'!A841</f>
        <v/>
      </c>
      <c r="B841" s="1100" t="str">
        <f>'09월 조업일지'!B841</f>
        <v/>
      </c>
      <c r="C841" s="730" t="str">
        <f>'09월 조업일지'!G841</f>
        <v/>
      </c>
      <c r="D841" s="731" t="str">
        <f>'09월 조업일지'!E841</f>
        <v/>
      </c>
      <c r="E841" s="732" t="str">
        <f>'09월 조업일지'!F841</f>
        <v/>
      </c>
      <c r="F841" s="1096" t="str">
        <f>'09월 에너지'!F843</f>
        <v/>
      </c>
      <c r="G841" s="733"/>
      <c r="H841" s="734"/>
      <c r="I841" s="734"/>
      <c r="J841" s="734"/>
      <c r="K841" s="735"/>
      <c r="L841" s="734"/>
      <c r="M841" s="736"/>
      <c r="N841" s="737"/>
      <c r="O841" s="737"/>
      <c r="P841" s="737"/>
      <c r="Q841" s="737"/>
      <c r="R841" s="737"/>
      <c r="S841" s="737"/>
      <c r="T841" s="737"/>
      <c r="U841" s="738"/>
      <c r="V841" s="739"/>
      <c r="W841" s="737"/>
      <c r="X841" s="737"/>
      <c r="Y841" s="737"/>
      <c r="Z841" s="1202"/>
      <c r="AA841" s="740"/>
      <c r="AB841" s="739"/>
      <c r="AC841" s="741"/>
      <c r="AD841" s="741"/>
      <c r="AE841" s="741"/>
      <c r="AF841" s="741"/>
      <c r="AG841" s="741"/>
      <c r="AH841" s="741"/>
      <c r="AI841" s="741"/>
      <c r="AJ841" s="741"/>
      <c r="AK841" s="741"/>
      <c r="AL841" s="741"/>
      <c r="AM841" s="742"/>
      <c r="AN841" s="743" t="str">
        <f t="shared" si="34"/>
        <v/>
      </c>
      <c r="AO841" s="744" t="str">
        <f t="shared" si="35"/>
        <v/>
      </c>
      <c r="AP841" s="745">
        <f>'09월 에너지'!S843</f>
        <v>0</v>
      </c>
    </row>
    <row r="842" spans="1:42" ht="16.5" customHeight="1">
      <c r="A842" s="999" t="str">
        <f>'09월 조업일지'!A842</f>
        <v/>
      </c>
      <c r="B842" s="1100" t="str">
        <f>'09월 조업일지'!B842</f>
        <v/>
      </c>
      <c r="C842" s="730" t="str">
        <f>'09월 조업일지'!G842</f>
        <v/>
      </c>
      <c r="D842" s="731" t="str">
        <f>'09월 조업일지'!E842</f>
        <v/>
      </c>
      <c r="E842" s="732" t="str">
        <f>'09월 조업일지'!F842</f>
        <v/>
      </c>
      <c r="F842" s="1096" t="str">
        <f>'09월 에너지'!F844</f>
        <v/>
      </c>
      <c r="G842" s="733"/>
      <c r="H842" s="734"/>
      <c r="I842" s="734"/>
      <c r="J842" s="734"/>
      <c r="K842" s="735"/>
      <c r="L842" s="734"/>
      <c r="M842" s="736"/>
      <c r="N842" s="737"/>
      <c r="O842" s="737"/>
      <c r="P842" s="737"/>
      <c r="Q842" s="737"/>
      <c r="R842" s="737"/>
      <c r="S842" s="737"/>
      <c r="T842" s="737"/>
      <c r="U842" s="738"/>
      <c r="V842" s="739"/>
      <c r="W842" s="737"/>
      <c r="X842" s="737"/>
      <c r="Y842" s="737"/>
      <c r="Z842" s="1202"/>
      <c r="AA842" s="740"/>
      <c r="AB842" s="739"/>
      <c r="AC842" s="741"/>
      <c r="AD842" s="741"/>
      <c r="AE842" s="741"/>
      <c r="AF842" s="741"/>
      <c r="AG842" s="741"/>
      <c r="AH842" s="741"/>
      <c r="AI842" s="741"/>
      <c r="AJ842" s="741"/>
      <c r="AK842" s="741"/>
      <c r="AL842" s="741"/>
      <c r="AM842" s="742"/>
      <c r="AN842" s="743" t="str">
        <f t="shared" si="34"/>
        <v/>
      </c>
      <c r="AO842" s="744" t="str">
        <f t="shared" si="35"/>
        <v/>
      </c>
      <c r="AP842" s="745">
        <f>'09월 에너지'!S844</f>
        <v>0</v>
      </c>
    </row>
    <row r="843" spans="1:42" ht="16.5" customHeight="1">
      <c r="A843" s="999" t="str">
        <f>'09월 조업일지'!A843</f>
        <v/>
      </c>
      <c r="B843" s="1100" t="str">
        <f>'09월 조업일지'!B843</f>
        <v/>
      </c>
      <c r="C843" s="730" t="str">
        <f>'09월 조업일지'!G843</f>
        <v/>
      </c>
      <c r="D843" s="731" t="str">
        <f>'09월 조업일지'!E843</f>
        <v/>
      </c>
      <c r="E843" s="732" t="str">
        <f>'09월 조업일지'!F843</f>
        <v/>
      </c>
      <c r="F843" s="1096" t="str">
        <f>'09월 에너지'!F845</f>
        <v/>
      </c>
      <c r="G843" s="733"/>
      <c r="H843" s="734"/>
      <c r="I843" s="734"/>
      <c r="J843" s="734"/>
      <c r="K843" s="735"/>
      <c r="L843" s="734"/>
      <c r="M843" s="736"/>
      <c r="N843" s="737"/>
      <c r="O843" s="737"/>
      <c r="P843" s="737"/>
      <c r="Q843" s="737"/>
      <c r="R843" s="737"/>
      <c r="S843" s="737"/>
      <c r="T843" s="737"/>
      <c r="U843" s="738"/>
      <c r="V843" s="739"/>
      <c r="W843" s="737"/>
      <c r="X843" s="737"/>
      <c r="Y843" s="737"/>
      <c r="Z843" s="1202"/>
      <c r="AA843" s="740"/>
      <c r="AB843" s="739"/>
      <c r="AC843" s="741"/>
      <c r="AD843" s="741"/>
      <c r="AE843" s="741"/>
      <c r="AF843" s="741"/>
      <c r="AG843" s="741"/>
      <c r="AH843" s="741"/>
      <c r="AI843" s="741"/>
      <c r="AJ843" s="741"/>
      <c r="AK843" s="741"/>
      <c r="AL843" s="741"/>
      <c r="AM843" s="742"/>
      <c r="AN843" s="743" t="str">
        <f t="shared" si="34"/>
        <v/>
      </c>
      <c r="AO843" s="744" t="str">
        <f t="shared" si="35"/>
        <v/>
      </c>
      <c r="AP843" s="745">
        <f>'09월 에너지'!S845</f>
        <v>0</v>
      </c>
    </row>
    <row r="844" spans="1:42" ht="16.5" customHeight="1">
      <c r="A844" s="999" t="str">
        <f>'09월 조업일지'!A844</f>
        <v/>
      </c>
      <c r="B844" s="1100" t="str">
        <f>'09월 조업일지'!B844</f>
        <v/>
      </c>
      <c r="C844" s="730" t="str">
        <f>'09월 조업일지'!G844</f>
        <v/>
      </c>
      <c r="D844" s="731" t="str">
        <f>'09월 조업일지'!E844</f>
        <v/>
      </c>
      <c r="E844" s="732" t="str">
        <f>'09월 조업일지'!F844</f>
        <v/>
      </c>
      <c r="F844" s="1096" t="str">
        <f>'09월 에너지'!F846</f>
        <v/>
      </c>
      <c r="G844" s="733"/>
      <c r="H844" s="734"/>
      <c r="I844" s="734"/>
      <c r="J844" s="734"/>
      <c r="K844" s="735"/>
      <c r="L844" s="734"/>
      <c r="M844" s="736"/>
      <c r="N844" s="737"/>
      <c r="O844" s="737"/>
      <c r="P844" s="737"/>
      <c r="Q844" s="737"/>
      <c r="R844" s="737"/>
      <c r="S844" s="737"/>
      <c r="T844" s="737"/>
      <c r="U844" s="738"/>
      <c r="V844" s="739"/>
      <c r="W844" s="737"/>
      <c r="X844" s="737"/>
      <c r="Y844" s="737"/>
      <c r="Z844" s="1202"/>
      <c r="AA844" s="740"/>
      <c r="AB844" s="739"/>
      <c r="AC844" s="741"/>
      <c r="AD844" s="741"/>
      <c r="AE844" s="741"/>
      <c r="AF844" s="741"/>
      <c r="AG844" s="741"/>
      <c r="AH844" s="741"/>
      <c r="AI844" s="741"/>
      <c r="AJ844" s="741"/>
      <c r="AK844" s="741"/>
      <c r="AL844" s="741"/>
      <c r="AM844" s="742"/>
      <c r="AN844" s="743" t="str">
        <f t="shared" si="34"/>
        <v/>
      </c>
      <c r="AO844" s="744" t="str">
        <f t="shared" si="35"/>
        <v/>
      </c>
      <c r="AP844" s="745">
        <f>'09월 에너지'!S846</f>
        <v>0</v>
      </c>
    </row>
    <row r="845" spans="1:42" ht="16.5" customHeight="1">
      <c r="A845" s="999" t="str">
        <f>'09월 조업일지'!A845</f>
        <v/>
      </c>
      <c r="B845" s="1100" t="str">
        <f>'09월 조업일지'!B845</f>
        <v/>
      </c>
      <c r="C845" s="730" t="str">
        <f>'09월 조업일지'!G845</f>
        <v/>
      </c>
      <c r="D845" s="731" t="str">
        <f>'09월 조업일지'!E845</f>
        <v/>
      </c>
      <c r="E845" s="732" t="str">
        <f>'09월 조업일지'!F845</f>
        <v/>
      </c>
      <c r="F845" s="1096" t="str">
        <f>'09월 에너지'!F847</f>
        <v/>
      </c>
      <c r="G845" s="733"/>
      <c r="H845" s="734"/>
      <c r="I845" s="734"/>
      <c r="J845" s="734"/>
      <c r="K845" s="735"/>
      <c r="L845" s="734"/>
      <c r="M845" s="736"/>
      <c r="N845" s="737"/>
      <c r="O845" s="737"/>
      <c r="P845" s="737"/>
      <c r="Q845" s="737"/>
      <c r="R845" s="737"/>
      <c r="S845" s="737"/>
      <c r="T845" s="737"/>
      <c r="U845" s="738"/>
      <c r="V845" s="739"/>
      <c r="W845" s="737"/>
      <c r="X845" s="737"/>
      <c r="Y845" s="737"/>
      <c r="Z845" s="1202"/>
      <c r="AA845" s="740"/>
      <c r="AB845" s="739"/>
      <c r="AC845" s="741"/>
      <c r="AD845" s="741"/>
      <c r="AE845" s="741"/>
      <c r="AF845" s="741"/>
      <c r="AG845" s="741"/>
      <c r="AH845" s="741"/>
      <c r="AI845" s="741"/>
      <c r="AJ845" s="741"/>
      <c r="AK845" s="741"/>
      <c r="AL845" s="741"/>
      <c r="AM845" s="742"/>
      <c r="AN845" s="743" t="str">
        <f t="shared" ref="AN845:AN908" si="36">IF(ISBLANK(AH845),"",AP845*1000*H845/10000/(AH845*15%+AI845*75%+AK845*60%))</f>
        <v/>
      </c>
      <c r="AO845" s="744" t="str">
        <f t="shared" ref="AO845:AO908" si="37">IF(ISBLANK(AH845),"",AP845*1000*(I845-15)/10000/(AH845*70%))</f>
        <v/>
      </c>
      <c r="AP845" s="745">
        <f>'09월 에너지'!S847</f>
        <v>0</v>
      </c>
    </row>
    <row r="846" spans="1:42" ht="16.5" customHeight="1">
      <c r="A846" s="999" t="str">
        <f>'09월 조업일지'!A846</f>
        <v/>
      </c>
      <c r="B846" s="1100" t="str">
        <f>'09월 조업일지'!B846</f>
        <v/>
      </c>
      <c r="C846" s="730" t="str">
        <f>'09월 조업일지'!G846</f>
        <v/>
      </c>
      <c r="D846" s="731" t="str">
        <f>'09월 조업일지'!E846</f>
        <v/>
      </c>
      <c r="E846" s="732" t="str">
        <f>'09월 조업일지'!F846</f>
        <v/>
      </c>
      <c r="F846" s="1096" t="str">
        <f>'09월 에너지'!F848</f>
        <v/>
      </c>
      <c r="G846" s="733"/>
      <c r="H846" s="734"/>
      <c r="I846" s="734"/>
      <c r="J846" s="734"/>
      <c r="K846" s="735"/>
      <c r="L846" s="734"/>
      <c r="M846" s="736"/>
      <c r="N846" s="737"/>
      <c r="O846" s="737"/>
      <c r="P846" s="737"/>
      <c r="Q846" s="737"/>
      <c r="R846" s="737"/>
      <c r="S846" s="737"/>
      <c r="T846" s="737"/>
      <c r="U846" s="738"/>
      <c r="V846" s="739"/>
      <c r="W846" s="737"/>
      <c r="X846" s="737"/>
      <c r="Y846" s="737"/>
      <c r="Z846" s="1202"/>
      <c r="AA846" s="740"/>
      <c r="AB846" s="739"/>
      <c r="AC846" s="741"/>
      <c r="AD846" s="741"/>
      <c r="AE846" s="741"/>
      <c r="AF846" s="741"/>
      <c r="AG846" s="741"/>
      <c r="AH846" s="741"/>
      <c r="AI846" s="741"/>
      <c r="AJ846" s="741"/>
      <c r="AK846" s="741"/>
      <c r="AL846" s="741"/>
      <c r="AM846" s="742"/>
      <c r="AN846" s="743" t="str">
        <f t="shared" si="36"/>
        <v/>
      </c>
      <c r="AO846" s="744" t="str">
        <f t="shared" si="37"/>
        <v/>
      </c>
      <c r="AP846" s="745">
        <f>'09월 에너지'!S848</f>
        <v>0</v>
      </c>
    </row>
    <row r="847" spans="1:42" ht="16.5" customHeight="1">
      <c r="A847" s="999" t="str">
        <f>'09월 조업일지'!A847</f>
        <v/>
      </c>
      <c r="B847" s="1100" t="str">
        <f>'09월 조업일지'!B847</f>
        <v/>
      </c>
      <c r="C847" s="730" t="str">
        <f>'09월 조업일지'!G847</f>
        <v/>
      </c>
      <c r="D847" s="731" t="str">
        <f>'09월 조업일지'!E847</f>
        <v/>
      </c>
      <c r="E847" s="732" t="str">
        <f>'09월 조업일지'!F847</f>
        <v/>
      </c>
      <c r="F847" s="1096" t="str">
        <f>'09월 에너지'!F849</f>
        <v/>
      </c>
      <c r="G847" s="733"/>
      <c r="H847" s="734"/>
      <c r="I847" s="734"/>
      <c r="J847" s="734"/>
      <c r="K847" s="735"/>
      <c r="L847" s="734"/>
      <c r="M847" s="736"/>
      <c r="N847" s="737"/>
      <c r="O847" s="737"/>
      <c r="P847" s="737"/>
      <c r="Q847" s="737"/>
      <c r="R847" s="737"/>
      <c r="S847" s="737"/>
      <c r="T847" s="737"/>
      <c r="U847" s="738"/>
      <c r="V847" s="739"/>
      <c r="W847" s="737"/>
      <c r="X847" s="737"/>
      <c r="Y847" s="737"/>
      <c r="Z847" s="1202"/>
      <c r="AA847" s="740"/>
      <c r="AB847" s="739"/>
      <c r="AC847" s="741"/>
      <c r="AD847" s="741"/>
      <c r="AE847" s="741"/>
      <c r="AF847" s="741"/>
      <c r="AG847" s="741"/>
      <c r="AH847" s="741"/>
      <c r="AI847" s="741"/>
      <c r="AJ847" s="741"/>
      <c r="AK847" s="741"/>
      <c r="AL847" s="741"/>
      <c r="AM847" s="742"/>
      <c r="AN847" s="743" t="str">
        <f t="shared" si="36"/>
        <v/>
      </c>
      <c r="AO847" s="744" t="str">
        <f t="shared" si="37"/>
        <v/>
      </c>
      <c r="AP847" s="745">
        <f>'09월 에너지'!S849</f>
        <v>0</v>
      </c>
    </row>
    <row r="848" spans="1:42" ht="16.5" customHeight="1">
      <c r="A848" s="999" t="str">
        <f>'09월 조업일지'!A848</f>
        <v/>
      </c>
      <c r="B848" s="1100" t="str">
        <f>'09월 조업일지'!B848</f>
        <v/>
      </c>
      <c r="C848" s="730" t="str">
        <f>'09월 조업일지'!G848</f>
        <v/>
      </c>
      <c r="D848" s="731" t="str">
        <f>'09월 조업일지'!E848</f>
        <v/>
      </c>
      <c r="E848" s="732" t="str">
        <f>'09월 조업일지'!F848</f>
        <v/>
      </c>
      <c r="F848" s="1096" t="str">
        <f>'09월 에너지'!F850</f>
        <v/>
      </c>
      <c r="G848" s="733"/>
      <c r="H848" s="734"/>
      <c r="I848" s="734"/>
      <c r="J848" s="734"/>
      <c r="K848" s="735"/>
      <c r="L848" s="734"/>
      <c r="M848" s="736"/>
      <c r="N848" s="737"/>
      <c r="O848" s="737"/>
      <c r="P848" s="737"/>
      <c r="Q848" s="737"/>
      <c r="R848" s="737"/>
      <c r="S848" s="737"/>
      <c r="T848" s="737"/>
      <c r="U848" s="738"/>
      <c r="V848" s="739"/>
      <c r="W848" s="737"/>
      <c r="X848" s="737"/>
      <c r="Y848" s="737"/>
      <c r="Z848" s="1202"/>
      <c r="AA848" s="740"/>
      <c r="AB848" s="739"/>
      <c r="AC848" s="741"/>
      <c r="AD848" s="741"/>
      <c r="AE848" s="741"/>
      <c r="AF848" s="741"/>
      <c r="AG848" s="741"/>
      <c r="AH848" s="741"/>
      <c r="AI848" s="741"/>
      <c r="AJ848" s="741"/>
      <c r="AK848" s="741"/>
      <c r="AL848" s="741"/>
      <c r="AM848" s="742"/>
      <c r="AN848" s="743" t="str">
        <f t="shared" si="36"/>
        <v/>
      </c>
      <c r="AO848" s="744" t="str">
        <f t="shared" si="37"/>
        <v/>
      </c>
      <c r="AP848" s="745">
        <f>'09월 에너지'!S850</f>
        <v>0</v>
      </c>
    </row>
    <row r="849" spans="1:42" ht="16.5" customHeight="1">
      <c r="A849" s="999" t="str">
        <f>'09월 조업일지'!A849</f>
        <v/>
      </c>
      <c r="B849" s="1100" t="str">
        <f>'09월 조업일지'!B849</f>
        <v/>
      </c>
      <c r="C849" s="730" t="str">
        <f>'09월 조업일지'!G849</f>
        <v/>
      </c>
      <c r="D849" s="731" t="str">
        <f>'09월 조업일지'!E849</f>
        <v/>
      </c>
      <c r="E849" s="732" t="str">
        <f>'09월 조업일지'!F849</f>
        <v/>
      </c>
      <c r="F849" s="1096" t="str">
        <f>'09월 에너지'!F851</f>
        <v/>
      </c>
      <c r="G849" s="733"/>
      <c r="H849" s="734"/>
      <c r="I849" s="734"/>
      <c r="J849" s="734"/>
      <c r="K849" s="735"/>
      <c r="L849" s="734"/>
      <c r="M849" s="736"/>
      <c r="N849" s="737"/>
      <c r="O849" s="737"/>
      <c r="P849" s="737"/>
      <c r="Q849" s="737"/>
      <c r="R849" s="737"/>
      <c r="S849" s="737"/>
      <c r="T849" s="737"/>
      <c r="U849" s="738"/>
      <c r="V849" s="739"/>
      <c r="W849" s="737"/>
      <c r="X849" s="737"/>
      <c r="Y849" s="737"/>
      <c r="Z849" s="1202"/>
      <c r="AA849" s="740"/>
      <c r="AB849" s="739"/>
      <c r="AC849" s="741"/>
      <c r="AD849" s="741"/>
      <c r="AE849" s="741"/>
      <c r="AF849" s="741"/>
      <c r="AG849" s="741"/>
      <c r="AH849" s="741"/>
      <c r="AI849" s="741"/>
      <c r="AJ849" s="741"/>
      <c r="AK849" s="741"/>
      <c r="AL849" s="741"/>
      <c r="AM849" s="742"/>
      <c r="AN849" s="743" t="str">
        <f t="shared" si="36"/>
        <v/>
      </c>
      <c r="AO849" s="744" t="str">
        <f t="shared" si="37"/>
        <v/>
      </c>
      <c r="AP849" s="745">
        <f>'09월 에너지'!S851</f>
        <v>0</v>
      </c>
    </row>
    <row r="850" spans="1:42" ht="16.5" customHeight="1">
      <c r="A850" s="999" t="str">
        <f>'09월 조업일지'!A850</f>
        <v/>
      </c>
      <c r="B850" s="1100" t="str">
        <f>'09월 조업일지'!B850</f>
        <v/>
      </c>
      <c r="C850" s="730" t="str">
        <f>'09월 조업일지'!G850</f>
        <v/>
      </c>
      <c r="D850" s="731" t="str">
        <f>'09월 조업일지'!E850</f>
        <v/>
      </c>
      <c r="E850" s="732" t="str">
        <f>'09월 조업일지'!F850</f>
        <v/>
      </c>
      <c r="F850" s="1096" t="str">
        <f>'09월 에너지'!F852</f>
        <v/>
      </c>
      <c r="G850" s="733"/>
      <c r="H850" s="734"/>
      <c r="I850" s="734"/>
      <c r="J850" s="734"/>
      <c r="K850" s="735"/>
      <c r="L850" s="734"/>
      <c r="M850" s="736"/>
      <c r="N850" s="737"/>
      <c r="O850" s="737"/>
      <c r="P850" s="737"/>
      <c r="Q850" s="737"/>
      <c r="R850" s="737"/>
      <c r="S850" s="737"/>
      <c r="T850" s="737"/>
      <c r="U850" s="738"/>
      <c r="V850" s="739"/>
      <c r="W850" s="737"/>
      <c r="X850" s="737"/>
      <c r="Y850" s="737"/>
      <c r="Z850" s="1202"/>
      <c r="AA850" s="740"/>
      <c r="AB850" s="739"/>
      <c r="AC850" s="741"/>
      <c r="AD850" s="741"/>
      <c r="AE850" s="741"/>
      <c r="AF850" s="741"/>
      <c r="AG850" s="741"/>
      <c r="AH850" s="741"/>
      <c r="AI850" s="741"/>
      <c r="AJ850" s="741"/>
      <c r="AK850" s="741"/>
      <c r="AL850" s="741"/>
      <c r="AM850" s="742"/>
      <c r="AN850" s="743" t="str">
        <f t="shared" si="36"/>
        <v/>
      </c>
      <c r="AO850" s="744" t="str">
        <f t="shared" si="37"/>
        <v/>
      </c>
      <c r="AP850" s="745">
        <f>'09월 에너지'!S852</f>
        <v>0</v>
      </c>
    </row>
    <row r="851" spans="1:42" ht="16.5" customHeight="1">
      <c r="A851" s="999" t="str">
        <f>'09월 조업일지'!A851</f>
        <v/>
      </c>
      <c r="B851" s="1100" t="str">
        <f>'09월 조업일지'!B851</f>
        <v/>
      </c>
      <c r="C851" s="730" t="str">
        <f>'09월 조업일지'!G851</f>
        <v/>
      </c>
      <c r="D851" s="731" t="str">
        <f>'09월 조업일지'!E851</f>
        <v/>
      </c>
      <c r="E851" s="732" t="str">
        <f>'09월 조업일지'!F851</f>
        <v/>
      </c>
      <c r="F851" s="1096" t="str">
        <f>'09월 에너지'!F853</f>
        <v/>
      </c>
      <c r="G851" s="733"/>
      <c r="H851" s="734"/>
      <c r="I851" s="734"/>
      <c r="J851" s="734"/>
      <c r="K851" s="735"/>
      <c r="L851" s="734"/>
      <c r="M851" s="736"/>
      <c r="N851" s="737"/>
      <c r="O851" s="737"/>
      <c r="P851" s="737"/>
      <c r="Q851" s="737"/>
      <c r="R851" s="737"/>
      <c r="S851" s="737"/>
      <c r="T851" s="737"/>
      <c r="U851" s="738"/>
      <c r="V851" s="739"/>
      <c r="W851" s="737"/>
      <c r="X851" s="737"/>
      <c r="Y851" s="737"/>
      <c r="Z851" s="1202"/>
      <c r="AA851" s="740"/>
      <c r="AB851" s="739"/>
      <c r="AC851" s="741"/>
      <c r="AD851" s="741"/>
      <c r="AE851" s="741"/>
      <c r="AF851" s="741"/>
      <c r="AG851" s="741"/>
      <c r="AH851" s="741"/>
      <c r="AI851" s="741"/>
      <c r="AJ851" s="741"/>
      <c r="AK851" s="741"/>
      <c r="AL851" s="741"/>
      <c r="AM851" s="742"/>
      <c r="AN851" s="743" t="str">
        <f t="shared" si="36"/>
        <v/>
      </c>
      <c r="AO851" s="744" t="str">
        <f t="shared" si="37"/>
        <v/>
      </c>
      <c r="AP851" s="745">
        <f>'09월 에너지'!S853</f>
        <v>0</v>
      </c>
    </row>
    <row r="852" spans="1:42" ht="16.5" customHeight="1">
      <c r="A852" s="999" t="str">
        <f>'09월 조업일지'!A852</f>
        <v/>
      </c>
      <c r="B852" s="1100" t="str">
        <f>'09월 조업일지'!B852</f>
        <v/>
      </c>
      <c r="C852" s="730" t="str">
        <f>'09월 조업일지'!G852</f>
        <v/>
      </c>
      <c r="D852" s="731" t="str">
        <f>'09월 조업일지'!E852</f>
        <v/>
      </c>
      <c r="E852" s="732" t="str">
        <f>'09월 조업일지'!F852</f>
        <v/>
      </c>
      <c r="F852" s="1096" t="str">
        <f>'09월 에너지'!F854</f>
        <v/>
      </c>
      <c r="G852" s="733"/>
      <c r="H852" s="734"/>
      <c r="I852" s="734"/>
      <c r="J852" s="734"/>
      <c r="K852" s="735"/>
      <c r="L852" s="734"/>
      <c r="M852" s="736"/>
      <c r="N852" s="737"/>
      <c r="O852" s="737"/>
      <c r="P852" s="737"/>
      <c r="Q852" s="737"/>
      <c r="R852" s="737"/>
      <c r="S852" s="737"/>
      <c r="T852" s="737"/>
      <c r="U852" s="738"/>
      <c r="V852" s="739"/>
      <c r="W852" s="737"/>
      <c r="X852" s="737"/>
      <c r="Y852" s="737"/>
      <c r="Z852" s="1202"/>
      <c r="AA852" s="740"/>
      <c r="AB852" s="739"/>
      <c r="AC852" s="741"/>
      <c r="AD852" s="741"/>
      <c r="AE852" s="741"/>
      <c r="AF852" s="741"/>
      <c r="AG852" s="741"/>
      <c r="AH852" s="741"/>
      <c r="AI852" s="741"/>
      <c r="AJ852" s="741"/>
      <c r="AK852" s="741"/>
      <c r="AL852" s="741"/>
      <c r="AM852" s="742"/>
      <c r="AN852" s="743" t="str">
        <f t="shared" si="36"/>
        <v/>
      </c>
      <c r="AO852" s="744" t="str">
        <f t="shared" si="37"/>
        <v/>
      </c>
      <c r="AP852" s="745">
        <f>'09월 에너지'!S854</f>
        <v>0</v>
      </c>
    </row>
    <row r="853" spans="1:42" ht="16.5" customHeight="1">
      <c r="A853" s="999" t="str">
        <f>'09월 조업일지'!A853</f>
        <v/>
      </c>
      <c r="B853" s="1100" t="str">
        <f>'09월 조업일지'!B853</f>
        <v/>
      </c>
      <c r="C853" s="730" t="str">
        <f>'09월 조업일지'!G853</f>
        <v/>
      </c>
      <c r="D853" s="731" t="str">
        <f>'09월 조업일지'!E853</f>
        <v/>
      </c>
      <c r="E853" s="732" t="str">
        <f>'09월 조업일지'!F853</f>
        <v/>
      </c>
      <c r="F853" s="1096" t="str">
        <f>'09월 에너지'!F855</f>
        <v/>
      </c>
      <c r="G853" s="733"/>
      <c r="H853" s="734"/>
      <c r="I853" s="734"/>
      <c r="J853" s="734"/>
      <c r="K853" s="735"/>
      <c r="L853" s="734"/>
      <c r="M853" s="736"/>
      <c r="N853" s="737"/>
      <c r="O853" s="737"/>
      <c r="P853" s="737"/>
      <c r="Q853" s="737"/>
      <c r="R853" s="737"/>
      <c r="S853" s="737"/>
      <c r="T853" s="737"/>
      <c r="U853" s="738"/>
      <c r="V853" s="739"/>
      <c r="W853" s="737"/>
      <c r="X853" s="737"/>
      <c r="Y853" s="737"/>
      <c r="Z853" s="1202"/>
      <c r="AA853" s="740"/>
      <c r="AB853" s="739"/>
      <c r="AC853" s="741"/>
      <c r="AD853" s="741"/>
      <c r="AE853" s="741"/>
      <c r="AF853" s="741"/>
      <c r="AG853" s="741"/>
      <c r="AH853" s="741"/>
      <c r="AI853" s="741"/>
      <c r="AJ853" s="741"/>
      <c r="AK853" s="741"/>
      <c r="AL853" s="741"/>
      <c r="AM853" s="742"/>
      <c r="AN853" s="743" t="str">
        <f t="shared" si="36"/>
        <v/>
      </c>
      <c r="AO853" s="744" t="str">
        <f t="shared" si="37"/>
        <v/>
      </c>
      <c r="AP853" s="745">
        <f>'09월 에너지'!S855</f>
        <v>0</v>
      </c>
    </row>
    <row r="854" spans="1:42" ht="16.5" customHeight="1">
      <c r="A854" s="999" t="str">
        <f>'09월 조업일지'!A854</f>
        <v/>
      </c>
      <c r="B854" s="1100" t="str">
        <f>'09월 조업일지'!B854</f>
        <v/>
      </c>
      <c r="C854" s="730" t="str">
        <f>'09월 조업일지'!G854</f>
        <v/>
      </c>
      <c r="D854" s="731" t="str">
        <f>'09월 조업일지'!E854</f>
        <v/>
      </c>
      <c r="E854" s="732" t="str">
        <f>'09월 조업일지'!F854</f>
        <v/>
      </c>
      <c r="F854" s="1096" t="str">
        <f>'09월 에너지'!F856</f>
        <v/>
      </c>
      <c r="G854" s="733"/>
      <c r="H854" s="734"/>
      <c r="I854" s="734"/>
      <c r="J854" s="734"/>
      <c r="K854" s="735"/>
      <c r="L854" s="734"/>
      <c r="M854" s="736"/>
      <c r="N854" s="737"/>
      <c r="O854" s="737"/>
      <c r="P854" s="737"/>
      <c r="Q854" s="737"/>
      <c r="R854" s="737"/>
      <c r="S854" s="737"/>
      <c r="T854" s="737"/>
      <c r="U854" s="738"/>
      <c r="V854" s="739"/>
      <c r="W854" s="737"/>
      <c r="X854" s="737"/>
      <c r="Y854" s="737"/>
      <c r="Z854" s="1202"/>
      <c r="AA854" s="740"/>
      <c r="AB854" s="739"/>
      <c r="AC854" s="741"/>
      <c r="AD854" s="741"/>
      <c r="AE854" s="741"/>
      <c r="AF854" s="741"/>
      <c r="AG854" s="741"/>
      <c r="AH854" s="741"/>
      <c r="AI854" s="741"/>
      <c r="AJ854" s="741"/>
      <c r="AK854" s="741"/>
      <c r="AL854" s="741"/>
      <c r="AM854" s="742"/>
      <c r="AN854" s="743" t="str">
        <f t="shared" si="36"/>
        <v/>
      </c>
      <c r="AO854" s="744" t="str">
        <f t="shared" si="37"/>
        <v/>
      </c>
      <c r="AP854" s="745">
        <f>'09월 에너지'!S856</f>
        <v>0</v>
      </c>
    </row>
    <row r="855" spans="1:42" ht="16.5" customHeight="1">
      <c r="A855" s="999" t="str">
        <f>'09월 조업일지'!A855</f>
        <v/>
      </c>
      <c r="B855" s="1100" t="str">
        <f>'09월 조업일지'!B855</f>
        <v/>
      </c>
      <c r="C855" s="730" t="str">
        <f>'09월 조업일지'!G855</f>
        <v/>
      </c>
      <c r="D855" s="731" t="str">
        <f>'09월 조업일지'!E855</f>
        <v/>
      </c>
      <c r="E855" s="732" t="str">
        <f>'09월 조업일지'!F855</f>
        <v/>
      </c>
      <c r="F855" s="1096" t="str">
        <f>'09월 에너지'!F857</f>
        <v/>
      </c>
      <c r="G855" s="733"/>
      <c r="H855" s="734"/>
      <c r="I855" s="734"/>
      <c r="J855" s="734"/>
      <c r="K855" s="735"/>
      <c r="L855" s="734"/>
      <c r="M855" s="736"/>
      <c r="N855" s="737"/>
      <c r="O855" s="737"/>
      <c r="P855" s="737"/>
      <c r="Q855" s="737"/>
      <c r="R855" s="737"/>
      <c r="S855" s="737"/>
      <c r="T855" s="737"/>
      <c r="U855" s="738"/>
      <c r="V855" s="739"/>
      <c r="W855" s="737"/>
      <c r="X855" s="737"/>
      <c r="Y855" s="737"/>
      <c r="Z855" s="1202"/>
      <c r="AA855" s="740"/>
      <c r="AB855" s="739"/>
      <c r="AC855" s="741"/>
      <c r="AD855" s="741"/>
      <c r="AE855" s="741"/>
      <c r="AF855" s="741"/>
      <c r="AG855" s="741"/>
      <c r="AH855" s="741"/>
      <c r="AI855" s="741"/>
      <c r="AJ855" s="741"/>
      <c r="AK855" s="741"/>
      <c r="AL855" s="741"/>
      <c r="AM855" s="742"/>
      <c r="AN855" s="743" t="str">
        <f t="shared" si="36"/>
        <v/>
      </c>
      <c r="AO855" s="744" t="str">
        <f t="shared" si="37"/>
        <v/>
      </c>
      <c r="AP855" s="745">
        <f>'09월 에너지'!S857</f>
        <v>0</v>
      </c>
    </row>
    <row r="856" spans="1:42" ht="16.5" customHeight="1">
      <c r="A856" s="999" t="str">
        <f>'09월 조업일지'!A856</f>
        <v/>
      </c>
      <c r="B856" s="1100" t="str">
        <f>'09월 조업일지'!B856</f>
        <v/>
      </c>
      <c r="C856" s="730" t="str">
        <f>'09월 조업일지'!G856</f>
        <v/>
      </c>
      <c r="D856" s="731" t="str">
        <f>'09월 조업일지'!E856</f>
        <v/>
      </c>
      <c r="E856" s="732" t="str">
        <f>'09월 조업일지'!F856</f>
        <v/>
      </c>
      <c r="F856" s="1096" t="str">
        <f>'09월 에너지'!F858</f>
        <v/>
      </c>
      <c r="G856" s="733"/>
      <c r="H856" s="734"/>
      <c r="I856" s="734"/>
      <c r="J856" s="734"/>
      <c r="K856" s="735"/>
      <c r="L856" s="734"/>
      <c r="M856" s="736"/>
      <c r="N856" s="737"/>
      <c r="O856" s="737"/>
      <c r="P856" s="737"/>
      <c r="Q856" s="737"/>
      <c r="R856" s="737"/>
      <c r="S856" s="737"/>
      <c r="T856" s="737"/>
      <c r="U856" s="738"/>
      <c r="V856" s="739"/>
      <c r="W856" s="737"/>
      <c r="X856" s="737"/>
      <c r="Y856" s="737"/>
      <c r="Z856" s="1202"/>
      <c r="AA856" s="740"/>
      <c r="AB856" s="739"/>
      <c r="AC856" s="741"/>
      <c r="AD856" s="741"/>
      <c r="AE856" s="741"/>
      <c r="AF856" s="741"/>
      <c r="AG856" s="741"/>
      <c r="AH856" s="741"/>
      <c r="AI856" s="741"/>
      <c r="AJ856" s="741"/>
      <c r="AK856" s="741"/>
      <c r="AL856" s="741"/>
      <c r="AM856" s="742"/>
      <c r="AN856" s="743" t="str">
        <f t="shared" si="36"/>
        <v/>
      </c>
      <c r="AO856" s="744" t="str">
        <f t="shared" si="37"/>
        <v/>
      </c>
      <c r="AP856" s="745">
        <f>'09월 에너지'!S858</f>
        <v>0</v>
      </c>
    </row>
    <row r="857" spans="1:42" ht="16.5" customHeight="1">
      <c r="A857" s="999" t="str">
        <f>'09월 조업일지'!A857</f>
        <v/>
      </c>
      <c r="B857" s="1100" t="str">
        <f>'09월 조업일지'!B857</f>
        <v/>
      </c>
      <c r="C857" s="730" t="str">
        <f>'09월 조업일지'!G857</f>
        <v/>
      </c>
      <c r="D857" s="731" t="str">
        <f>'09월 조업일지'!E857</f>
        <v/>
      </c>
      <c r="E857" s="732" t="str">
        <f>'09월 조업일지'!F857</f>
        <v/>
      </c>
      <c r="F857" s="1096" t="str">
        <f>'09월 에너지'!F859</f>
        <v/>
      </c>
      <c r="G857" s="733"/>
      <c r="H857" s="734"/>
      <c r="I857" s="734"/>
      <c r="J857" s="734"/>
      <c r="K857" s="735"/>
      <c r="L857" s="734"/>
      <c r="M857" s="736"/>
      <c r="N857" s="737"/>
      <c r="O857" s="737"/>
      <c r="P857" s="737"/>
      <c r="Q857" s="737"/>
      <c r="R857" s="737"/>
      <c r="S857" s="737"/>
      <c r="T857" s="737"/>
      <c r="U857" s="738"/>
      <c r="V857" s="739"/>
      <c r="W857" s="737"/>
      <c r="X857" s="737"/>
      <c r="Y857" s="737"/>
      <c r="Z857" s="1202"/>
      <c r="AA857" s="740"/>
      <c r="AB857" s="739"/>
      <c r="AC857" s="741"/>
      <c r="AD857" s="741"/>
      <c r="AE857" s="741"/>
      <c r="AF857" s="741"/>
      <c r="AG857" s="741"/>
      <c r="AH857" s="741"/>
      <c r="AI857" s="741"/>
      <c r="AJ857" s="741"/>
      <c r="AK857" s="741"/>
      <c r="AL857" s="741"/>
      <c r="AM857" s="742"/>
      <c r="AN857" s="743" t="str">
        <f t="shared" si="36"/>
        <v/>
      </c>
      <c r="AO857" s="744" t="str">
        <f t="shared" si="37"/>
        <v/>
      </c>
      <c r="AP857" s="745">
        <f>'09월 에너지'!S859</f>
        <v>0</v>
      </c>
    </row>
    <row r="858" spans="1:42" ht="16.5" customHeight="1">
      <c r="A858" s="999" t="str">
        <f>'09월 조업일지'!A858</f>
        <v/>
      </c>
      <c r="B858" s="1100" t="str">
        <f>'09월 조업일지'!B858</f>
        <v/>
      </c>
      <c r="C858" s="730" t="str">
        <f>'09월 조업일지'!G858</f>
        <v/>
      </c>
      <c r="D858" s="731" t="str">
        <f>'09월 조업일지'!E858</f>
        <v/>
      </c>
      <c r="E858" s="732" t="str">
        <f>'09월 조업일지'!F858</f>
        <v/>
      </c>
      <c r="F858" s="1096" t="str">
        <f>'09월 에너지'!F860</f>
        <v/>
      </c>
      <c r="G858" s="733"/>
      <c r="H858" s="734"/>
      <c r="I858" s="734"/>
      <c r="J858" s="734"/>
      <c r="K858" s="735"/>
      <c r="L858" s="734"/>
      <c r="M858" s="736"/>
      <c r="N858" s="737"/>
      <c r="O858" s="737"/>
      <c r="P858" s="737"/>
      <c r="Q858" s="737"/>
      <c r="R858" s="737"/>
      <c r="S858" s="737"/>
      <c r="T858" s="737"/>
      <c r="U858" s="738"/>
      <c r="V858" s="739"/>
      <c r="W858" s="737"/>
      <c r="X858" s="737"/>
      <c r="Y858" s="737"/>
      <c r="Z858" s="1202"/>
      <c r="AA858" s="740"/>
      <c r="AB858" s="739"/>
      <c r="AC858" s="741"/>
      <c r="AD858" s="741"/>
      <c r="AE858" s="741"/>
      <c r="AF858" s="741"/>
      <c r="AG858" s="741"/>
      <c r="AH858" s="741"/>
      <c r="AI858" s="741"/>
      <c r="AJ858" s="741"/>
      <c r="AK858" s="741"/>
      <c r="AL858" s="741"/>
      <c r="AM858" s="742"/>
      <c r="AN858" s="743" t="str">
        <f t="shared" si="36"/>
        <v/>
      </c>
      <c r="AO858" s="744" t="str">
        <f t="shared" si="37"/>
        <v/>
      </c>
      <c r="AP858" s="745">
        <f>'09월 에너지'!S860</f>
        <v>0</v>
      </c>
    </row>
    <row r="859" spans="1:42" ht="16.5" customHeight="1">
      <c r="A859" s="999" t="str">
        <f>'09월 조업일지'!A859</f>
        <v/>
      </c>
      <c r="B859" s="1100" t="str">
        <f>'09월 조업일지'!B859</f>
        <v/>
      </c>
      <c r="C859" s="730" t="str">
        <f>'09월 조업일지'!G859</f>
        <v/>
      </c>
      <c r="D859" s="731" t="str">
        <f>'09월 조업일지'!E859</f>
        <v/>
      </c>
      <c r="E859" s="732" t="str">
        <f>'09월 조업일지'!F859</f>
        <v/>
      </c>
      <c r="F859" s="1096" t="str">
        <f>'09월 에너지'!F861</f>
        <v/>
      </c>
      <c r="G859" s="733"/>
      <c r="H859" s="734"/>
      <c r="I859" s="734"/>
      <c r="J859" s="734"/>
      <c r="K859" s="735"/>
      <c r="L859" s="734"/>
      <c r="M859" s="736"/>
      <c r="N859" s="737"/>
      <c r="O859" s="737"/>
      <c r="P859" s="737"/>
      <c r="Q859" s="737"/>
      <c r="R859" s="737"/>
      <c r="S859" s="737"/>
      <c r="T859" s="737"/>
      <c r="U859" s="738"/>
      <c r="V859" s="739"/>
      <c r="W859" s="737"/>
      <c r="X859" s="737"/>
      <c r="Y859" s="737"/>
      <c r="Z859" s="1202"/>
      <c r="AA859" s="740"/>
      <c r="AB859" s="739"/>
      <c r="AC859" s="741"/>
      <c r="AD859" s="741"/>
      <c r="AE859" s="741"/>
      <c r="AF859" s="741"/>
      <c r="AG859" s="741"/>
      <c r="AH859" s="741"/>
      <c r="AI859" s="741"/>
      <c r="AJ859" s="741"/>
      <c r="AK859" s="741"/>
      <c r="AL859" s="741"/>
      <c r="AM859" s="742"/>
      <c r="AN859" s="743" t="str">
        <f t="shared" si="36"/>
        <v/>
      </c>
      <c r="AO859" s="744" t="str">
        <f t="shared" si="37"/>
        <v/>
      </c>
      <c r="AP859" s="745">
        <f>'09월 에너지'!S861</f>
        <v>0</v>
      </c>
    </row>
    <row r="860" spans="1:42" ht="16.5" customHeight="1">
      <c r="A860" s="999" t="str">
        <f>'09월 조업일지'!A860</f>
        <v/>
      </c>
      <c r="B860" s="1100" t="str">
        <f>'09월 조업일지'!B860</f>
        <v/>
      </c>
      <c r="C860" s="730" t="str">
        <f>'09월 조업일지'!G860</f>
        <v/>
      </c>
      <c r="D860" s="731" t="str">
        <f>'09월 조업일지'!E860</f>
        <v/>
      </c>
      <c r="E860" s="732" t="str">
        <f>'09월 조업일지'!F860</f>
        <v/>
      </c>
      <c r="F860" s="1096" t="str">
        <f>'09월 에너지'!F862</f>
        <v/>
      </c>
      <c r="G860" s="733"/>
      <c r="H860" s="734"/>
      <c r="I860" s="734"/>
      <c r="J860" s="734"/>
      <c r="K860" s="735"/>
      <c r="L860" s="734"/>
      <c r="M860" s="736"/>
      <c r="N860" s="737"/>
      <c r="O860" s="737"/>
      <c r="P860" s="737"/>
      <c r="Q860" s="737"/>
      <c r="R860" s="737"/>
      <c r="S860" s="737"/>
      <c r="T860" s="737"/>
      <c r="U860" s="738"/>
      <c r="V860" s="739"/>
      <c r="W860" s="737"/>
      <c r="X860" s="737"/>
      <c r="Y860" s="737"/>
      <c r="Z860" s="1202"/>
      <c r="AA860" s="740"/>
      <c r="AB860" s="739"/>
      <c r="AC860" s="741"/>
      <c r="AD860" s="741"/>
      <c r="AE860" s="741"/>
      <c r="AF860" s="741"/>
      <c r="AG860" s="741"/>
      <c r="AH860" s="741"/>
      <c r="AI860" s="741"/>
      <c r="AJ860" s="741"/>
      <c r="AK860" s="741"/>
      <c r="AL860" s="741"/>
      <c r="AM860" s="742"/>
      <c r="AN860" s="743" t="str">
        <f t="shared" si="36"/>
        <v/>
      </c>
      <c r="AO860" s="744" t="str">
        <f t="shared" si="37"/>
        <v/>
      </c>
      <c r="AP860" s="745">
        <f>'09월 에너지'!S862</f>
        <v>0</v>
      </c>
    </row>
    <row r="861" spans="1:42" ht="16.5" customHeight="1">
      <c r="A861" s="999" t="str">
        <f>'09월 조업일지'!A861</f>
        <v/>
      </c>
      <c r="B861" s="1100" t="str">
        <f>'09월 조업일지'!B861</f>
        <v/>
      </c>
      <c r="C861" s="730" t="str">
        <f>'09월 조업일지'!G861</f>
        <v/>
      </c>
      <c r="D861" s="731" t="str">
        <f>'09월 조업일지'!E861</f>
        <v/>
      </c>
      <c r="E861" s="732" t="str">
        <f>'09월 조업일지'!F861</f>
        <v/>
      </c>
      <c r="F861" s="1096" t="str">
        <f>'09월 에너지'!F863</f>
        <v/>
      </c>
      <c r="G861" s="733"/>
      <c r="H861" s="734"/>
      <c r="I861" s="734"/>
      <c r="J861" s="734"/>
      <c r="K861" s="735"/>
      <c r="L861" s="734"/>
      <c r="M861" s="736"/>
      <c r="N861" s="737"/>
      <c r="O861" s="737"/>
      <c r="P861" s="737"/>
      <c r="Q861" s="737"/>
      <c r="R861" s="737"/>
      <c r="S861" s="737"/>
      <c r="T861" s="737"/>
      <c r="U861" s="738"/>
      <c r="V861" s="739"/>
      <c r="W861" s="737"/>
      <c r="X861" s="737"/>
      <c r="Y861" s="737"/>
      <c r="Z861" s="1202"/>
      <c r="AA861" s="740"/>
      <c r="AB861" s="739"/>
      <c r="AC861" s="741"/>
      <c r="AD861" s="741"/>
      <c r="AE861" s="741"/>
      <c r="AF861" s="741"/>
      <c r="AG861" s="741"/>
      <c r="AH861" s="741"/>
      <c r="AI861" s="741"/>
      <c r="AJ861" s="741"/>
      <c r="AK861" s="741"/>
      <c r="AL861" s="741"/>
      <c r="AM861" s="742"/>
      <c r="AN861" s="743" t="str">
        <f t="shared" si="36"/>
        <v/>
      </c>
      <c r="AO861" s="744" t="str">
        <f t="shared" si="37"/>
        <v/>
      </c>
      <c r="AP861" s="745">
        <f>'09월 에너지'!S863</f>
        <v>0</v>
      </c>
    </row>
    <row r="862" spans="1:42" ht="16.5" customHeight="1">
      <c r="A862" s="999" t="str">
        <f>'09월 조업일지'!A862</f>
        <v/>
      </c>
      <c r="B862" s="1100" t="str">
        <f>'09월 조업일지'!B862</f>
        <v/>
      </c>
      <c r="C862" s="730" t="str">
        <f>'09월 조업일지'!G862</f>
        <v/>
      </c>
      <c r="D862" s="731" t="str">
        <f>'09월 조업일지'!E862</f>
        <v/>
      </c>
      <c r="E862" s="732" t="str">
        <f>'09월 조업일지'!F862</f>
        <v/>
      </c>
      <c r="F862" s="1096" t="str">
        <f>'09월 에너지'!F864</f>
        <v/>
      </c>
      <c r="G862" s="733"/>
      <c r="H862" s="734"/>
      <c r="I862" s="734"/>
      <c r="J862" s="734"/>
      <c r="K862" s="735"/>
      <c r="L862" s="734"/>
      <c r="M862" s="736"/>
      <c r="N862" s="737"/>
      <c r="O862" s="737"/>
      <c r="P862" s="737"/>
      <c r="Q862" s="737"/>
      <c r="R862" s="737"/>
      <c r="S862" s="737"/>
      <c r="T862" s="737"/>
      <c r="U862" s="738"/>
      <c r="V862" s="739"/>
      <c r="W862" s="737"/>
      <c r="X862" s="737"/>
      <c r="Y862" s="737"/>
      <c r="Z862" s="1202"/>
      <c r="AA862" s="740"/>
      <c r="AB862" s="739"/>
      <c r="AC862" s="741"/>
      <c r="AD862" s="741"/>
      <c r="AE862" s="741"/>
      <c r="AF862" s="741"/>
      <c r="AG862" s="741"/>
      <c r="AH862" s="741"/>
      <c r="AI862" s="741"/>
      <c r="AJ862" s="741"/>
      <c r="AK862" s="741"/>
      <c r="AL862" s="741"/>
      <c r="AM862" s="742"/>
      <c r="AN862" s="743" t="str">
        <f t="shared" si="36"/>
        <v/>
      </c>
      <c r="AO862" s="744" t="str">
        <f t="shared" si="37"/>
        <v/>
      </c>
      <c r="AP862" s="745">
        <f>'09월 에너지'!S864</f>
        <v>0</v>
      </c>
    </row>
    <row r="863" spans="1:42" ht="16.5" customHeight="1">
      <c r="A863" s="999" t="str">
        <f>'09월 조업일지'!A863</f>
        <v/>
      </c>
      <c r="B863" s="1100" t="str">
        <f>'09월 조업일지'!B863</f>
        <v/>
      </c>
      <c r="C863" s="730" t="str">
        <f>'09월 조업일지'!G863</f>
        <v/>
      </c>
      <c r="D863" s="731" t="str">
        <f>'09월 조업일지'!E863</f>
        <v/>
      </c>
      <c r="E863" s="732" t="str">
        <f>'09월 조업일지'!F863</f>
        <v/>
      </c>
      <c r="F863" s="1096" t="str">
        <f>'09월 에너지'!F865</f>
        <v/>
      </c>
      <c r="G863" s="733"/>
      <c r="H863" s="734"/>
      <c r="I863" s="734"/>
      <c r="J863" s="734"/>
      <c r="K863" s="735"/>
      <c r="L863" s="734"/>
      <c r="M863" s="736"/>
      <c r="N863" s="737"/>
      <c r="O863" s="737"/>
      <c r="P863" s="737"/>
      <c r="Q863" s="737"/>
      <c r="R863" s="737"/>
      <c r="S863" s="737"/>
      <c r="T863" s="737"/>
      <c r="U863" s="738"/>
      <c r="V863" s="739"/>
      <c r="W863" s="737"/>
      <c r="X863" s="737"/>
      <c r="Y863" s="737"/>
      <c r="Z863" s="1202"/>
      <c r="AA863" s="740"/>
      <c r="AB863" s="739"/>
      <c r="AC863" s="741"/>
      <c r="AD863" s="741"/>
      <c r="AE863" s="741"/>
      <c r="AF863" s="741"/>
      <c r="AG863" s="741"/>
      <c r="AH863" s="741"/>
      <c r="AI863" s="741"/>
      <c r="AJ863" s="741"/>
      <c r="AK863" s="741"/>
      <c r="AL863" s="741"/>
      <c r="AM863" s="742"/>
      <c r="AN863" s="743" t="str">
        <f t="shared" si="36"/>
        <v/>
      </c>
      <c r="AO863" s="744" t="str">
        <f t="shared" si="37"/>
        <v/>
      </c>
      <c r="AP863" s="745">
        <f>'09월 에너지'!S865</f>
        <v>0</v>
      </c>
    </row>
    <row r="864" spans="1:42" ht="16.5" customHeight="1">
      <c r="A864" s="999" t="str">
        <f>'09월 조업일지'!A864</f>
        <v/>
      </c>
      <c r="B864" s="1100" t="str">
        <f>'09월 조업일지'!B864</f>
        <v/>
      </c>
      <c r="C864" s="730" t="str">
        <f>'09월 조업일지'!G864</f>
        <v/>
      </c>
      <c r="D864" s="731" t="str">
        <f>'09월 조업일지'!E864</f>
        <v/>
      </c>
      <c r="E864" s="732" t="str">
        <f>'09월 조업일지'!F864</f>
        <v/>
      </c>
      <c r="F864" s="1096" t="str">
        <f>'09월 에너지'!F866</f>
        <v/>
      </c>
      <c r="G864" s="733"/>
      <c r="H864" s="734"/>
      <c r="I864" s="734"/>
      <c r="J864" s="734"/>
      <c r="K864" s="735"/>
      <c r="L864" s="734"/>
      <c r="M864" s="736"/>
      <c r="N864" s="737"/>
      <c r="O864" s="737"/>
      <c r="P864" s="737"/>
      <c r="Q864" s="737"/>
      <c r="R864" s="737"/>
      <c r="S864" s="737"/>
      <c r="T864" s="737"/>
      <c r="U864" s="738"/>
      <c r="V864" s="739"/>
      <c r="W864" s="737"/>
      <c r="X864" s="737"/>
      <c r="Y864" s="737"/>
      <c r="Z864" s="1202"/>
      <c r="AA864" s="740"/>
      <c r="AB864" s="739"/>
      <c r="AC864" s="741"/>
      <c r="AD864" s="741"/>
      <c r="AE864" s="741"/>
      <c r="AF864" s="741"/>
      <c r="AG864" s="741"/>
      <c r="AH864" s="741"/>
      <c r="AI864" s="741"/>
      <c r="AJ864" s="741"/>
      <c r="AK864" s="741"/>
      <c r="AL864" s="741"/>
      <c r="AM864" s="742"/>
      <c r="AN864" s="743" t="str">
        <f t="shared" si="36"/>
        <v/>
      </c>
      <c r="AO864" s="744" t="str">
        <f t="shared" si="37"/>
        <v/>
      </c>
      <c r="AP864" s="745">
        <f>'09월 에너지'!S866</f>
        <v>0</v>
      </c>
    </row>
    <row r="865" spans="1:42" ht="16.5" customHeight="1">
      <c r="A865" s="999" t="str">
        <f>'09월 조업일지'!A865</f>
        <v/>
      </c>
      <c r="B865" s="1100" t="str">
        <f>'09월 조업일지'!B865</f>
        <v/>
      </c>
      <c r="C865" s="730" t="str">
        <f>'09월 조업일지'!G865</f>
        <v/>
      </c>
      <c r="D865" s="731" t="str">
        <f>'09월 조업일지'!E865</f>
        <v/>
      </c>
      <c r="E865" s="732" t="str">
        <f>'09월 조업일지'!F865</f>
        <v/>
      </c>
      <c r="F865" s="1096" t="str">
        <f>'09월 에너지'!F867</f>
        <v/>
      </c>
      <c r="G865" s="733"/>
      <c r="H865" s="734"/>
      <c r="I865" s="734"/>
      <c r="J865" s="734"/>
      <c r="K865" s="735"/>
      <c r="L865" s="734"/>
      <c r="M865" s="736"/>
      <c r="N865" s="737"/>
      <c r="O865" s="737"/>
      <c r="P865" s="737"/>
      <c r="Q865" s="737"/>
      <c r="R865" s="737"/>
      <c r="S865" s="737"/>
      <c r="T865" s="737"/>
      <c r="U865" s="738"/>
      <c r="V865" s="739"/>
      <c r="W865" s="737"/>
      <c r="X865" s="737"/>
      <c r="Y865" s="737"/>
      <c r="Z865" s="1202"/>
      <c r="AA865" s="740"/>
      <c r="AB865" s="739"/>
      <c r="AC865" s="741"/>
      <c r="AD865" s="741"/>
      <c r="AE865" s="741"/>
      <c r="AF865" s="741"/>
      <c r="AG865" s="741"/>
      <c r="AH865" s="741"/>
      <c r="AI865" s="741"/>
      <c r="AJ865" s="741"/>
      <c r="AK865" s="741"/>
      <c r="AL865" s="741"/>
      <c r="AM865" s="742"/>
      <c r="AN865" s="743" t="str">
        <f t="shared" si="36"/>
        <v/>
      </c>
      <c r="AO865" s="744" t="str">
        <f t="shared" si="37"/>
        <v/>
      </c>
      <c r="AP865" s="745">
        <f>'09월 에너지'!S867</f>
        <v>0</v>
      </c>
    </row>
    <row r="866" spans="1:42" ht="16.5" customHeight="1">
      <c r="A866" s="999" t="str">
        <f>'09월 조업일지'!A866</f>
        <v/>
      </c>
      <c r="B866" s="1100" t="str">
        <f>'09월 조업일지'!B866</f>
        <v/>
      </c>
      <c r="C866" s="730" t="str">
        <f>'09월 조업일지'!G866</f>
        <v/>
      </c>
      <c r="D866" s="731" t="str">
        <f>'09월 조업일지'!E866</f>
        <v/>
      </c>
      <c r="E866" s="732" t="str">
        <f>'09월 조업일지'!F866</f>
        <v/>
      </c>
      <c r="F866" s="1096" t="str">
        <f>'09월 에너지'!F868</f>
        <v/>
      </c>
      <c r="G866" s="733"/>
      <c r="H866" s="734"/>
      <c r="I866" s="734"/>
      <c r="J866" s="734"/>
      <c r="K866" s="735"/>
      <c r="L866" s="734"/>
      <c r="M866" s="736"/>
      <c r="N866" s="737"/>
      <c r="O866" s="737"/>
      <c r="P866" s="737"/>
      <c r="Q866" s="737"/>
      <c r="R866" s="737"/>
      <c r="S866" s="737"/>
      <c r="T866" s="737"/>
      <c r="U866" s="738"/>
      <c r="V866" s="739"/>
      <c r="W866" s="737"/>
      <c r="X866" s="737"/>
      <c r="Y866" s="737"/>
      <c r="Z866" s="1202"/>
      <c r="AA866" s="740"/>
      <c r="AB866" s="739"/>
      <c r="AC866" s="741"/>
      <c r="AD866" s="741"/>
      <c r="AE866" s="741"/>
      <c r="AF866" s="741"/>
      <c r="AG866" s="741"/>
      <c r="AH866" s="741"/>
      <c r="AI866" s="741"/>
      <c r="AJ866" s="741"/>
      <c r="AK866" s="741"/>
      <c r="AL866" s="741"/>
      <c r="AM866" s="742"/>
      <c r="AN866" s="743" t="str">
        <f t="shared" si="36"/>
        <v/>
      </c>
      <c r="AO866" s="744" t="str">
        <f t="shared" si="37"/>
        <v/>
      </c>
      <c r="AP866" s="745">
        <f>'09월 에너지'!S868</f>
        <v>0</v>
      </c>
    </row>
    <row r="867" spans="1:42" ht="16.5" customHeight="1">
      <c r="A867" s="999" t="str">
        <f>'09월 조업일지'!A867</f>
        <v/>
      </c>
      <c r="B867" s="1100" t="str">
        <f>'09월 조업일지'!B867</f>
        <v/>
      </c>
      <c r="C867" s="730" t="str">
        <f>'09월 조업일지'!G867</f>
        <v/>
      </c>
      <c r="D867" s="731" t="str">
        <f>'09월 조업일지'!E867</f>
        <v/>
      </c>
      <c r="E867" s="732" t="str">
        <f>'09월 조업일지'!F867</f>
        <v/>
      </c>
      <c r="F867" s="1096" t="str">
        <f>'09월 에너지'!F869</f>
        <v/>
      </c>
      <c r="G867" s="733"/>
      <c r="H867" s="734"/>
      <c r="I867" s="734"/>
      <c r="J867" s="734"/>
      <c r="K867" s="735"/>
      <c r="L867" s="734"/>
      <c r="M867" s="736"/>
      <c r="N867" s="737"/>
      <c r="O867" s="737"/>
      <c r="P867" s="737"/>
      <c r="Q867" s="737"/>
      <c r="R867" s="737"/>
      <c r="S867" s="737"/>
      <c r="T867" s="737"/>
      <c r="U867" s="738"/>
      <c r="V867" s="739"/>
      <c r="W867" s="737"/>
      <c r="X867" s="737"/>
      <c r="Y867" s="737"/>
      <c r="Z867" s="1202"/>
      <c r="AA867" s="740"/>
      <c r="AB867" s="739"/>
      <c r="AC867" s="741"/>
      <c r="AD867" s="741"/>
      <c r="AE867" s="741"/>
      <c r="AF867" s="741"/>
      <c r="AG867" s="741"/>
      <c r="AH867" s="741"/>
      <c r="AI867" s="741"/>
      <c r="AJ867" s="741"/>
      <c r="AK867" s="741"/>
      <c r="AL867" s="741"/>
      <c r="AM867" s="742"/>
      <c r="AN867" s="743" t="str">
        <f t="shared" si="36"/>
        <v/>
      </c>
      <c r="AO867" s="744" t="str">
        <f t="shared" si="37"/>
        <v/>
      </c>
      <c r="AP867" s="745">
        <f>'09월 에너지'!S869</f>
        <v>0</v>
      </c>
    </row>
    <row r="868" spans="1:42" ht="16.5" customHeight="1">
      <c r="A868" s="999" t="str">
        <f>'09월 조업일지'!A868</f>
        <v/>
      </c>
      <c r="B868" s="1100" t="str">
        <f>'09월 조업일지'!B868</f>
        <v/>
      </c>
      <c r="C868" s="730" t="str">
        <f>'09월 조업일지'!G868</f>
        <v/>
      </c>
      <c r="D868" s="731" t="str">
        <f>'09월 조업일지'!E868</f>
        <v/>
      </c>
      <c r="E868" s="732" t="str">
        <f>'09월 조업일지'!F868</f>
        <v/>
      </c>
      <c r="F868" s="1096" t="str">
        <f>'09월 에너지'!F870</f>
        <v/>
      </c>
      <c r="G868" s="733"/>
      <c r="H868" s="734"/>
      <c r="I868" s="734"/>
      <c r="J868" s="734"/>
      <c r="K868" s="735"/>
      <c r="L868" s="734"/>
      <c r="M868" s="736"/>
      <c r="N868" s="737"/>
      <c r="O868" s="737"/>
      <c r="P868" s="737"/>
      <c r="Q868" s="737"/>
      <c r="R868" s="737"/>
      <c r="S868" s="737"/>
      <c r="T868" s="737"/>
      <c r="U868" s="738"/>
      <c r="V868" s="739"/>
      <c r="W868" s="737"/>
      <c r="X868" s="737"/>
      <c r="Y868" s="737"/>
      <c r="Z868" s="1202"/>
      <c r="AA868" s="740"/>
      <c r="AB868" s="739"/>
      <c r="AC868" s="741"/>
      <c r="AD868" s="741"/>
      <c r="AE868" s="741"/>
      <c r="AF868" s="741"/>
      <c r="AG868" s="741"/>
      <c r="AH868" s="741"/>
      <c r="AI868" s="741"/>
      <c r="AJ868" s="741"/>
      <c r="AK868" s="741"/>
      <c r="AL868" s="741"/>
      <c r="AM868" s="742"/>
      <c r="AN868" s="743" t="str">
        <f t="shared" si="36"/>
        <v/>
      </c>
      <c r="AO868" s="744" t="str">
        <f t="shared" si="37"/>
        <v/>
      </c>
      <c r="AP868" s="745">
        <f>'09월 에너지'!S870</f>
        <v>0</v>
      </c>
    </row>
    <row r="869" spans="1:42" ht="16.5" customHeight="1">
      <c r="A869" s="999" t="str">
        <f>'09월 조업일지'!A869</f>
        <v/>
      </c>
      <c r="B869" s="1100" t="str">
        <f>'09월 조업일지'!B869</f>
        <v/>
      </c>
      <c r="C869" s="730" t="str">
        <f>'09월 조업일지'!G869</f>
        <v/>
      </c>
      <c r="D869" s="731" t="str">
        <f>'09월 조업일지'!E869</f>
        <v/>
      </c>
      <c r="E869" s="732" t="str">
        <f>'09월 조업일지'!F869</f>
        <v/>
      </c>
      <c r="F869" s="1096" t="str">
        <f>'09월 에너지'!F871</f>
        <v/>
      </c>
      <c r="G869" s="733"/>
      <c r="H869" s="734"/>
      <c r="I869" s="734"/>
      <c r="J869" s="734"/>
      <c r="K869" s="735"/>
      <c r="L869" s="734"/>
      <c r="M869" s="736"/>
      <c r="N869" s="737"/>
      <c r="O869" s="737"/>
      <c r="P869" s="737"/>
      <c r="Q869" s="737"/>
      <c r="R869" s="737"/>
      <c r="S869" s="737"/>
      <c r="T869" s="737"/>
      <c r="U869" s="738"/>
      <c r="V869" s="739"/>
      <c r="W869" s="737"/>
      <c r="X869" s="737"/>
      <c r="Y869" s="737"/>
      <c r="Z869" s="1202"/>
      <c r="AA869" s="740"/>
      <c r="AB869" s="739"/>
      <c r="AC869" s="741"/>
      <c r="AD869" s="741"/>
      <c r="AE869" s="741"/>
      <c r="AF869" s="741"/>
      <c r="AG869" s="741"/>
      <c r="AH869" s="741"/>
      <c r="AI869" s="741"/>
      <c r="AJ869" s="741"/>
      <c r="AK869" s="741"/>
      <c r="AL869" s="741"/>
      <c r="AM869" s="742"/>
      <c r="AN869" s="743" t="str">
        <f t="shared" si="36"/>
        <v/>
      </c>
      <c r="AO869" s="744" t="str">
        <f t="shared" si="37"/>
        <v/>
      </c>
      <c r="AP869" s="745">
        <f>'09월 에너지'!S871</f>
        <v>0</v>
      </c>
    </row>
    <row r="870" spans="1:42" ht="16.5" customHeight="1">
      <c r="A870" s="999" t="str">
        <f>'09월 조업일지'!A870</f>
        <v/>
      </c>
      <c r="B870" s="1100" t="str">
        <f>'09월 조업일지'!B870</f>
        <v/>
      </c>
      <c r="C870" s="730" t="str">
        <f>'09월 조업일지'!G870</f>
        <v/>
      </c>
      <c r="D870" s="731" t="str">
        <f>'09월 조업일지'!E870</f>
        <v/>
      </c>
      <c r="E870" s="732" t="str">
        <f>'09월 조업일지'!F870</f>
        <v/>
      </c>
      <c r="F870" s="1096" t="str">
        <f>'09월 에너지'!F872</f>
        <v/>
      </c>
      <c r="G870" s="733"/>
      <c r="H870" s="734"/>
      <c r="I870" s="734"/>
      <c r="J870" s="734"/>
      <c r="K870" s="735"/>
      <c r="L870" s="734"/>
      <c r="M870" s="736"/>
      <c r="N870" s="737"/>
      <c r="O870" s="737"/>
      <c r="P870" s="737"/>
      <c r="Q870" s="737"/>
      <c r="R870" s="737"/>
      <c r="S870" s="737"/>
      <c r="T870" s="737"/>
      <c r="U870" s="738"/>
      <c r="V870" s="739"/>
      <c r="W870" s="737"/>
      <c r="X870" s="737"/>
      <c r="Y870" s="737"/>
      <c r="Z870" s="1202"/>
      <c r="AA870" s="740"/>
      <c r="AB870" s="739"/>
      <c r="AC870" s="741"/>
      <c r="AD870" s="741"/>
      <c r="AE870" s="741"/>
      <c r="AF870" s="741"/>
      <c r="AG870" s="741"/>
      <c r="AH870" s="741"/>
      <c r="AI870" s="741"/>
      <c r="AJ870" s="741"/>
      <c r="AK870" s="741"/>
      <c r="AL870" s="741"/>
      <c r="AM870" s="742"/>
      <c r="AN870" s="743" t="str">
        <f t="shared" si="36"/>
        <v/>
      </c>
      <c r="AO870" s="744" t="str">
        <f t="shared" si="37"/>
        <v/>
      </c>
      <c r="AP870" s="745">
        <f>'09월 에너지'!S872</f>
        <v>0</v>
      </c>
    </row>
    <row r="871" spans="1:42" ht="16.5" customHeight="1">
      <c r="A871" s="999" t="str">
        <f>'09월 조업일지'!A871</f>
        <v/>
      </c>
      <c r="B871" s="1100" t="str">
        <f>'09월 조업일지'!B871</f>
        <v/>
      </c>
      <c r="C871" s="730" t="str">
        <f>'09월 조업일지'!G871</f>
        <v/>
      </c>
      <c r="D871" s="731" t="str">
        <f>'09월 조업일지'!E871</f>
        <v/>
      </c>
      <c r="E871" s="732" t="str">
        <f>'09월 조업일지'!F871</f>
        <v/>
      </c>
      <c r="F871" s="1096" t="str">
        <f>'09월 에너지'!F873</f>
        <v/>
      </c>
      <c r="G871" s="733"/>
      <c r="H871" s="734"/>
      <c r="I871" s="734"/>
      <c r="J871" s="734"/>
      <c r="K871" s="735"/>
      <c r="L871" s="734"/>
      <c r="M871" s="736"/>
      <c r="N871" s="737"/>
      <c r="O871" s="737"/>
      <c r="P871" s="737"/>
      <c r="Q871" s="737"/>
      <c r="R871" s="737"/>
      <c r="S871" s="737"/>
      <c r="T871" s="737"/>
      <c r="U871" s="738"/>
      <c r="V871" s="739"/>
      <c r="W871" s="737"/>
      <c r="X871" s="737"/>
      <c r="Y871" s="737"/>
      <c r="Z871" s="1202"/>
      <c r="AA871" s="740"/>
      <c r="AB871" s="739"/>
      <c r="AC871" s="741"/>
      <c r="AD871" s="741"/>
      <c r="AE871" s="741"/>
      <c r="AF871" s="741"/>
      <c r="AG871" s="741"/>
      <c r="AH871" s="741"/>
      <c r="AI871" s="741"/>
      <c r="AJ871" s="741"/>
      <c r="AK871" s="741"/>
      <c r="AL871" s="741"/>
      <c r="AM871" s="742"/>
      <c r="AN871" s="743" t="str">
        <f t="shared" si="36"/>
        <v/>
      </c>
      <c r="AO871" s="744" t="str">
        <f t="shared" si="37"/>
        <v/>
      </c>
      <c r="AP871" s="745">
        <f>'09월 에너지'!S873</f>
        <v>0</v>
      </c>
    </row>
    <row r="872" spans="1:42" ht="16.5" customHeight="1">
      <c r="A872" s="999" t="str">
        <f>'09월 조업일지'!A872</f>
        <v/>
      </c>
      <c r="B872" s="1100" t="str">
        <f>'09월 조업일지'!B872</f>
        <v/>
      </c>
      <c r="C872" s="730" t="str">
        <f>'09월 조업일지'!G872</f>
        <v/>
      </c>
      <c r="D872" s="731" t="str">
        <f>'09월 조업일지'!E872</f>
        <v/>
      </c>
      <c r="E872" s="732" t="str">
        <f>'09월 조업일지'!F872</f>
        <v/>
      </c>
      <c r="F872" s="1096" t="str">
        <f>'09월 에너지'!F874</f>
        <v/>
      </c>
      <c r="G872" s="733"/>
      <c r="H872" s="734"/>
      <c r="I872" s="734"/>
      <c r="J872" s="734"/>
      <c r="K872" s="735"/>
      <c r="L872" s="734"/>
      <c r="M872" s="736"/>
      <c r="N872" s="737"/>
      <c r="O872" s="737"/>
      <c r="P872" s="737"/>
      <c r="Q872" s="737"/>
      <c r="R872" s="737"/>
      <c r="S872" s="737"/>
      <c r="T872" s="737"/>
      <c r="U872" s="738"/>
      <c r="V872" s="739"/>
      <c r="W872" s="737"/>
      <c r="X872" s="737"/>
      <c r="Y872" s="737"/>
      <c r="Z872" s="1202"/>
      <c r="AA872" s="740"/>
      <c r="AB872" s="739"/>
      <c r="AC872" s="741"/>
      <c r="AD872" s="741"/>
      <c r="AE872" s="741"/>
      <c r="AF872" s="741"/>
      <c r="AG872" s="741"/>
      <c r="AH872" s="741"/>
      <c r="AI872" s="741"/>
      <c r="AJ872" s="741"/>
      <c r="AK872" s="741"/>
      <c r="AL872" s="741"/>
      <c r="AM872" s="742"/>
      <c r="AN872" s="743" t="str">
        <f t="shared" si="36"/>
        <v/>
      </c>
      <c r="AO872" s="744" t="str">
        <f t="shared" si="37"/>
        <v/>
      </c>
      <c r="AP872" s="745">
        <f>'09월 에너지'!S874</f>
        <v>0</v>
      </c>
    </row>
    <row r="873" spans="1:42" ht="16.5" customHeight="1">
      <c r="A873" s="999" t="str">
        <f>'09월 조업일지'!A873</f>
        <v/>
      </c>
      <c r="B873" s="1100" t="str">
        <f>'09월 조업일지'!B873</f>
        <v/>
      </c>
      <c r="C873" s="730" t="str">
        <f>'09월 조업일지'!G873</f>
        <v/>
      </c>
      <c r="D873" s="731" t="str">
        <f>'09월 조업일지'!E873</f>
        <v/>
      </c>
      <c r="E873" s="732" t="str">
        <f>'09월 조업일지'!F873</f>
        <v/>
      </c>
      <c r="F873" s="1096" t="str">
        <f>'09월 에너지'!F875</f>
        <v/>
      </c>
      <c r="G873" s="733"/>
      <c r="H873" s="734"/>
      <c r="I873" s="734"/>
      <c r="J873" s="734"/>
      <c r="K873" s="735"/>
      <c r="L873" s="734"/>
      <c r="M873" s="736"/>
      <c r="N873" s="737"/>
      <c r="O873" s="737"/>
      <c r="P873" s="737"/>
      <c r="Q873" s="737"/>
      <c r="R873" s="737"/>
      <c r="S873" s="737"/>
      <c r="T873" s="737"/>
      <c r="U873" s="738"/>
      <c r="V873" s="739"/>
      <c r="W873" s="737"/>
      <c r="X873" s="737"/>
      <c r="Y873" s="737"/>
      <c r="Z873" s="1202"/>
      <c r="AA873" s="740"/>
      <c r="AB873" s="739"/>
      <c r="AC873" s="741"/>
      <c r="AD873" s="741"/>
      <c r="AE873" s="741"/>
      <c r="AF873" s="741"/>
      <c r="AG873" s="741"/>
      <c r="AH873" s="741"/>
      <c r="AI873" s="741"/>
      <c r="AJ873" s="741"/>
      <c r="AK873" s="741"/>
      <c r="AL873" s="741"/>
      <c r="AM873" s="742"/>
      <c r="AN873" s="743" t="str">
        <f t="shared" si="36"/>
        <v/>
      </c>
      <c r="AO873" s="744" t="str">
        <f t="shared" si="37"/>
        <v/>
      </c>
      <c r="AP873" s="745">
        <f>'09월 에너지'!S875</f>
        <v>0</v>
      </c>
    </row>
    <row r="874" spans="1:42" ht="16.5" customHeight="1">
      <c r="A874" s="999" t="str">
        <f>'09월 조업일지'!A874</f>
        <v/>
      </c>
      <c r="B874" s="1100" t="str">
        <f>'09월 조업일지'!B874</f>
        <v/>
      </c>
      <c r="C874" s="730" t="str">
        <f>'09월 조업일지'!G874</f>
        <v/>
      </c>
      <c r="D874" s="731" t="str">
        <f>'09월 조업일지'!E874</f>
        <v/>
      </c>
      <c r="E874" s="732" t="str">
        <f>'09월 조업일지'!F874</f>
        <v/>
      </c>
      <c r="F874" s="1096" t="str">
        <f>'09월 에너지'!F876</f>
        <v/>
      </c>
      <c r="G874" s="733"/>
      <c r="H874" s="734"/>
      <c r="I874" s="734"/>
      <c r="J874" s="734"/>
      <c r="K874" s="735"/>
      <c r="L874" s="734"/>
      <c r="M874" s="736"/>
      <c r="N874" s="737"/>
      <c r="O874" s="737"/>
      <c r="P874" s="737"/>
      <c r="Q874" s="737"/>
      <c r="R874" s="737"/>
      <c r="S874" s="737"/>
      <c r="T874" s="737"/>
      <c r="U874" s="738"/>
      <c r="V874" s="739"/>
      <c r="W874" s="737"/>
      <c r="X874" s="737"/>
      <c r="Y874" s="737"/>
      <c r="Z874" s="1202"/>
      <c r="AA874" s="740"/>
      <c r="AB874" s="739"/>
      <c r="AC874" s="741"/>
      <c r="AD874" s="741"/>
      <c r="AE874" s="741"/>
      <c r="AF874" s="741"/>
      <c r="AG874" s="741"/>
      <c r="AH874" s="741"/>
      <c r="AI874" s="741"/>
      <c r="AJ874" s="741"/>
      <c r="AK874" s="741"/>
      <c r="AL874" s="741"/>
      <c r="AM874" s="742"/>
      <c r="AN874" s="743" t="str">
        <f t="shared" si="36"/>
        <v/>
      </c>
      <c r="AO874" s="744" t="str">
        <f t="shared" si="37"/>
        <v/>
      </c>
      <c r="AP874" s="745">
        <f>'09월 에너지'!S876</f>
        <v>0</v>
      </c>
    </row>
    <row r="875" spans="1:42" ht="16.5" customHeight="1">
      <c r="A875" s="999" t="str">
        <f>'09월 조업일지'!A875</f>
        <v/>
      </c>
      <c r="B875" s="1100" t="str">
        <f>'09월 조업일지'!B875</f>
        <v/>
      </c>
      <c r="C875" s="730" t="str">
        <f>'09월 조업일지'!G875</f>
        <v/>
      </c>
      <c r="D875" s="731" t="str">
        <f>'09월 조업일지'!E875</f>
        <v/>
      </c>
      <c r="E875" s="732" t="str">
        <f>'09월 조업일지'!F875</f>
        <v/>
      </c>
      <c r="F875" s="1096" t="str">
        <f>'09월 에너지'!F877</f>
        <v/>
      </c>
      <c r="G875" s="733"/>
      <c r="H875" s="734"/>
      <c r="I875" s="734"/>
      <c r="J875" s="734"/>
      <c r="K875" s="735"/>
      <c r="L875" s="734"/>
      <c r="M875" s="736"/>
      <c r="N875" s="737"/>
      <c r="O875" s="737"/>
      <c r="P875" s="737"/>
      <c r="Q875" s="737"/>
      <c r="R875" s="737"/>
      <c r="S875" s="737"/>
      <c r="T875" s="737"/>
      <c r="U875" s="738"/>
      <c r="V875" s="739"/>
      <c r="W875" s="737"/>
      <c r="X875" s="737"/>
      <c r="Y875" s="737"/>
      <c r="Z875" s="1202"/>
      <c r="AA875" s="740"/>
      <c r="AB875" s="739"/>
      <c r="AC875" s="741"/>
      <c r="AD875" s="741"/>
      <c r="AE875" s="741"/>
      <c r="AF875" s="741"/>
      <c r="AG875" s="741"/>
      <c r="AH875" s="741"/>
      <c r="AI875" s="741"/>
      <c r="AJ875" s="741"/>
      <c r="AK875" s="741"/>
      <c r="AL875" s="741"/>
      <c r="AM875" s="742"/>
      <c r="AN875" s="743" t="str">
        <f t="shared" si="36"/>
        <v/>
      </c>
      <c r="AO875" s="744" t="str">
        <f t="shared" si="37"/>
        <v/>
      </c>
      <c r="AP875" s="745">
        <f>'09월 에너지'!S877</f>
        <v>0</v>
      </c>
    </row>
    <row r="876" spans="1:42" ht="16.5" customHeight="1">
      <c r="A876" s="999" t="str">
        <f>'09월 조업일지'!A876</f>
        <v/>
      </c>
      <c r="B876" s="1100" t="str">
        <f>'09월 조업일지'!B876</f>
        <v/>
      </c>
      <c r="C876" s="730" t="str">
        <f>'09월 조업일지'!G876</f>
        <v/>
      </c>
      <c r="D876" s="731" t="str">
        <f>'09월 조업일지'!E876</f>
        <v/>
      </c>
      <c r="E876" s="732" t="str">
        <f>'09월 조업일지'!F876</f>
        <v/>
      </c>
      <c r="F876" s="1096" t="str">
        <f>'09월 에너지'!F878</f>
        <v/>
      </c>
      <c r="G876" s="733"/>
      <c r="H876" s="734"/>
      <c r="I876" s="734"/>
      <c r="J876" s="734"/>
      <c r="K876" s="735"/>
      <c r="L876" s="734"/>
      <c r="M876" s="736"/>
      <c r="N876" s="737"/>
      <c r="O876" s="737"/>
      <c r="P876" s="737"/>
      <c r="Q876" s="737"/>
      <c r="R876" s="737"/>
      <c r="S876" s="737"/>
      <c r="T876" s="737"/>
      <c r="U876" s="738"/>
      <c r="V876" s="739"/>
      <c r="W876" s="737"/>
      <c r="X876" s="737"/>
      <c r="Y876" s="737"/>
      <c r="Z876" s="1202"/>
      <c r="AA876" s="740"/>
      <c r="AB876" s="739"/>
      <c r="AC876" s="741"/>
      <c r="AD876" s="741"/>
      <c r="AE876" s="741"/>
      <c r="AF876" s="741"/>
      <c r="AG876" s="741"/>
      <c r="AH876" s="741"/>
      <c r="AI876" s="741"/>
      <c r="AJ876" s="741"/>
      <c r="AK876" s="741"/>
      <c r="AL876" s="741"/>
      <c r="AM876" s="742"/>
      <c r="AN876" s="743" t="str">
        <f t="shared" si="36"/>
        <v/>
      </c>
      <c r="AO876" s="744" t="str">
        <f t="shared" si="37"/>
        <v/>
      </c>
      <c r="AP876" s="745">
        <f>'09월 에너지'!S878</f>
        <v>0</v>
      </c>
    </row>
    <row r="877" spans="1:42" ht="16.5" customHeight="1">
      <c r="A877" s="999" t="str">
        <f>'09월 조업일지'!A877</f>
        <v/>
      </c>
      <c r="B877" s="1100" t="str">
        <f>'09월 조업일지'!B877</f>
        <v/>
      </c>
      <c r="C877" s="730" t="str">
        <f>'09월 조업일지'!G877</f>
        <v/>
      </c>
      <c r="D877" s="731" t="str">
        <f>'09월 조업일지'!E877</f>
        <v/>
      </c>
      <c r="E877" s="732" t="str">
        <f>'09월 조업일지'!F877</f>
        <v/>
      </c>
      <c r="F877" s="1096" t="str">
        <f>'09월 에너지'!F879</f>
        <v/>
      </c>
      <c r="G877" s="733"/>
      <c r="H877" s="734"/>
      <c r="I877" s="734"/>
      <c r="J877" s="734"/>
      <c r="K877" s="735"/>
      <c r="L877" s="734"/>
      <c r="M877" s="736"/>
      <c r="N877" s="737"/>
      <c r="O877" s="737"/>
      <c r="P877" s="737"/>
      <c r="Q877" s="737"/>
      <c r="R877" s="737"/>
      <c r="S877" s="737"/>
      <c r="T877" s="737"/>
      <c r="U877" s="738"/>
      <c r="V877" s="739"/>
      <c r="W877" s="737"/>
      <c r="X877" s="737"/>
      <c r="Y877" s="737"/>
      <c r="Z877" s="1202"/>
      <c r="AA877" s="740"/>
      <c r="AB877" s="739"/>
      <c r="AC877" s="741"/>
      <c r="AD877" s="741"/>
      <c r="AE877" s="741"/>
      <c r="AF877" s="741"/>
      <c r="AG877" s="741"/>
      <c r="AH877" s="741"/>
      <c r="AI877" s="741"/>
      <c r="AJ877" s="741"/>
      <c r="AK877" s="741"/>
      <c r="AL877" s="741"/>
      <c r="AM877" s="742"/>
      <c r="AN877" s="743" t="str">
        <f t="shared" si="36"/>
        <v/>
      </c>
      <c r="AO877" s="744" t="str">
        <f t="shared" si="37"/>
        <v/>
      </c>
      <c r="AP877" s="745">
        <f>'09월 에너지'!S879</f>
        <v>0</v>
      </c>
    </row>
    <row r="878" spans="1:42" ht="16.5" customHeight="1">
      <c r="A878" s="999" t="str">
        <f>'09월 조업일지'!A878</f>
        <v/>
      </c>
      <c r="B878" s="1100" t="str">
        <f>'09월 조업일지'!B878</f>
        <v/>
      </c>
      <c r="C878" s="730" t="str">
        <f>'09월 조업일지'!G878</f>
        <v/>
      </c>
      <c r="D878" s="731" t="str">
        <f>'09월 조업일지'!E878</f>
        <v/>
      </c>
      <c r="E878" s="732" t="str">
        <f>'09월 조업일지'!F878</f>
        <v/>
      </c>
      <c r="F878" s="1096" t="str">
        <f>'09월 에너지'!F880</f>
        <v/>
      </c>
      <c r="G878" s="733"/>
      <c r="H878" s="734"/>
      <c r="I878" s="734"/>
      <c r="J878" s="734"/>
      <c r="K878" s="735"/>
      <c r="L878" s="734"/>
      <c r="M878" s="736"/>
      <c r="N878" s="737"/>
      <c r="O878" s="737"/>
      <c r="P878" s="737"/>
      <c r="Q878" s="737"/>
      <c r="R878" s="737"/>
      <c r="S878" s="737"/>
      <c r="T878" s="737"/>
      <c r="U878" s="738"/>
      <c r="V878" s="739"/>
      <c r="W878" s="737"/>
      <c r="X878" s="737"/>
      <c r="Y878" s="737"/>
      <c r="Z878" s="1202"/>
      <c r="AA878" s="740"/>
      <c r="AB878" s="739"/>
      <c r="AC878" s="741"/>
      <c r="AD878" s="741"/>
      <c r="AE878" s="741"/>
      <c r="AF878" s="741"/>
      <c r="AG878" s="741"/>
      <c r="AH878" s="741"/>
      <c r="AI878" s="741"/>
      <c r="AJ878" s="741"/>
      <c r="AK878" s="741"/>
      <c r="AL878" s="741"/>
      <c r="AM878" s="742"/>
      <c r="AN878" s="743" t="str">
        <f t="shared" si="36"/>
        <v/>
      </c>
      <c r="AO878" s="744" t="str">
        <f t="shared" si="37"/>
        <v/>
      </c>
      <c r="AP878" s="745">
        <f>'09월 에너지'!S880</f>
        <v>0</v>
      </c>
    </row>
    <row r="879" spans="1:42" ht="16.5" customHeight="1">
      <c r="A879" s="999" t="str">
        <f>'09월 조업일지'!A879</f>
        <v/>
      </c>
      <c r="B879" s="1100" t="str">
        <f>'09월 조업일지'!B879</f>
        <v/>
      </c>
      <c r="C879" s="730" t="str">
        <f>'09월 조업일지'!G879</f>
        <v/>
      </c>
      <c r="D879" s="731" t="str">
        <f>'09월 조업일지'!E879</f>
        <v/>
      </c>
      <c r="E879" s="732" t="str">
        <f>'09월 조업일지'!F879</f>
        <v/>
      </c>
      <c r="F879" s="1096" t="str">
        <f>'09월 에너지'!F881</f>
        <v/>
      </c>
      <c r="G879" s="733"/>
      <c r="H879" s="734"/>
      <c r="I879" s="734"/>
      <c r="J879" s="734"/>
      <c r="K879" s="735"/>
      <c r="L879" s="734"/>
      <c r="M879" s="736"/>
      <c r="N879" s="737"/>
      <c r="O879" s="737"/>
      <c r="P879" s="737"/>
      <c r="Q879" s="737"/>
      <c r="R879" s="737"/>
      <c r="S879" s="737"/>
      <c r="T879" s="737"/>
      <c r="U879" s="738"/>
      <c r="V879" s="739"/>
      <c r="W879" s="737"/>
      <c r="X879" s="737"/>
      <c r="Y879" s="737"/>
      <c r="Z879" s="1202"/>
      <c r="AA879" s="740"/>
      <c r="AB879" s="739"/>
      <c r="AC879" s="741"/>
      <c r="AD879" s="741"/>
      <c r="AE879" s="741"/>
      <c r="AF879" s="741"/>
      <c r="AG879" s="741"/>
      <c r="AH879" s="741"/>
      <c r="AI879" s="741"/>
      <c r="AJ879" s="741"/>
      <c r="AK879" s="741"/>
      <c r="AL879" s="741"/>
      <c r="AM879" s="742"/>
      <c r="AN879" s="743" t="str">
        <f t="shared" si="36"/>
        <v/>
      </c>
      <c r="AO879" s="744" t="str">
        <f t="shared" si="37"/>
        <v/>
      </c>
      <c r="AP879" s="745">
        <f>'09월 에너지'!S881</f>
        <v>0</v>
      </c>
    </row>
    <row r="880" spans="1:42" ht="16.5" customHeight="1">
      <c r="A880" s="999" t="str">
        <f>'09월 조업일지'!A880</f>
        <v/>
      </c>
      <c r="B880" s="1100" t="str">
        <f>'09월 조업일지'!B880</f>
        <v/>
      </c>
      <c r="C880" s="730" t="str">
        <f>'09월 조업일지'!G880</f>
        <v/>
      </c>
      <c r="D880" s="731" t="str">
        <f>'09월 조업일지'!E880</f>
        <v/>
      </c>
      <c r="E880" s="732" t="str">
        <f>'09월 조업일지'!F880</f>
        <v/>
      </c>
      <c r="F880" s="1096" t="str">
        <f>'09월 에너지'!F882</f>
        <v/>
      </c>
      <c r="G880" s="733"/>
      <c r="H880" s="734"/>
      <c r="I880" s="734"/>
      <c r="J880" s="734"/>
      <c r="K880" s="735"/>
      <c r="L880" s="734"/>
      <c r="M880" s="736"/>
      <c r="N880" s="737"/>
      <c r="O880" s="737"/>
      <c r="P880" s="737"/>
      <c r="Q880" s="737"/>
      <c r="R880" s="737"/>
      <c r="S880" s="737"/>
      <c r="T880" s="737"/>
      <c r="U880" s="738"/>
      <c r="V880" s="739"/>
      <c r="W880" s="737"/>
      <c r="X880" s="737"/>
      <c r="Y880" s="737"/>
      <c r="Z880" s="1202"/>
      <c r="AA880" s="740"/>
      <c r="AB880" s="739"/>
      <c r="AC880" s="741"/>
      <c r="AD880" s="741"/>
      <c r="AE880" s="741"/>
      <c r="AF880" s="741"/>
      <c r="AG880" s="741"/>
      <c r="AH880" s="741"/>
      <c r="AI880" s="741"/>
      <c r="AJ880" s="741"/>
      <c r="AK880" s="741"/>
      <c r="AL880" s="741"/>
      <c r="AM880" s="742"/>
      <c r="AN880" s="743" t="str">
        <f t="shared" si="36"/>
        <v/>
      </c>
      <c r="AO880" s="744" t="str">
        <f t="shared" si="37"/>
        <v/>
      </c>
      <c r="AP880" s="745">
        <f>'09월 에너지'!S882</f>
        <v>0</v>
      </c>
    </row>
    <row r="881" spans="1:42" ht="16.5" customHeight="1">
      <c r="A881" s="999" t="str">
        <f>'09월 조업일지'!A881</f>
        <v/>
      </c>
      <c r="B881" s="1100" t="str">
        <f>'09월 조업일지'!B881</f>
        <v/>
      </c>
      <c r="C881" s="730" t="str">
        <f>'09월 조업일지'!G881</f>
        <v/>
      </c>
      <c r="D881" s="731" t="str">
        <f>'09월 조업일지'!E881</f>
        <v/>
      </c>
      <c r="E881" s="732" t="str">
        <f>'09월 조업일지'!F881</f>
        <v/>
      </c>
      <c r="F881" s="1096" t="str">
        <f>'09월 에너지'!F883</f>
        <v/>
      </c>
      <c r="G881" s="733"/>
      <c r="H881" s="734"/>
      <c r="I881" s="734"/>
      <c r="J881" s="734"/>
      <c r="K881" s="735"/>
      <c r="L881" s="734"/>
      <c r="M881" s="736"/>
      <c r="N881" s="737"/>
      <c r="O881" s="737"/>
      <c r="P881" s="737"/>
      <c r="Q881" s="737"/>
      <c r="R881" s="737"/>
      <c r="S881" s="737"/>
      <c r="T881" s="737"/>
      <c r="U881" s="738"/>
      <c r="V881" s="739"/>
      <c r="W881" s="737"/>
      <c r="X881" s="737"/>
      <c r="Y881" s="737"/>
      <c r="Z881" s="1202"/>
      <c r="AA881" s="740"/>
      <c r="AB881" s="739"/>
      <c r="AC881" s="741"/>
      <c r="AD881" s="741"/>
      <c r="AE881" s="741"/>
      <c r="AF881" s="741"/>
      <c r="AG881" s="741"/>
      <c r="AH881" s="741"/>
      <c r="AI881" s="741"/>
      <c r="AJ881" s="741"/>
      <c r="AK881" s="741"/>
      <c r="AL881" s="741"/>
      <c r="AM881" s="742"/>
      <c r="AN881" s="743" t="str">
        <f t="shared" si="36"/>
        <v/>
      </c>
      <c r="AO881" s="744" t="str">
        <f t="shared" si="37"/>
        <v/>
      </c>
      <c r="AP881" s="745">
        <f>'09월 에너지'!S883</f>
        <v>0</v>
      </c>
    </row>
    <row r="882" spans="1:42" ht="16.5" customHeight="1">
      <c r="A882" s="999" t="str">
        <f>'09월 조업일지'!A882</f>
        <v/>
      </c>
      <c r="B882" s="1100" t="str">
        <f>'09월 조업일지'!B882</f>
        <v/>
      </c>
      <c r="C882" s="730" t="str">
        <f>'09월 조업일지'!G882</f>
        <v/>
      </c>
      <c r="D882" s="731" t="str">
        <f>'09월 조업일지'!E882</f>
        <v/>
      </c>
      <c r="E882" s="732" t="str">
        <f>'09월 조업일지'!F882</f>
        <v/>
      </c>
      <c r="F882" s="1096" t="str">
        <f>'09월 에너지'!F884</f>
        <v/>
      </c>
      <c r="G882" s="733"/>
      <c r="H882" s="734"/>
      <c r="I882" s="734"/>
      <c r="J882" s="734"/>
      <c r="K882" s="735"/>
      <c r="L882" s="734"/>
      <c r="M882" s="736"/>
      <c r="N882" s="737"/>
      <c r="O882" s="737"/>
      <c r="P882" s="737"/>
      <c r="Q882" s="737"/>
      <c r="R882" s="737"/>
      <c r="S882" s="737"/>
      <c r="T882" s="737"/>
      <c r="U882" s="738"/>
      <c r="V882" s="739"/>
      <c r="W882" s="737"/>
      <c r="X882" s="737"/>
      <c r="Y882" s="737"/>
      <c r="Z882" s="1202"/>
      <c r="AA882" s="740"/>
      <c r="AB882" s="739"/>
      <c r="AC882" s="741"/>
      <c r="AD882" s="741"/>
      <c r="AE882" s="741"/>
      <c r="AF882" s="741"/>
      <c r="AG882" s="741"/>
      <c r="AH882" s="741"/>
      <c r="AI882" s="741"/>
      <c r="AJ882" s="741"/>
      <c r="AK882" s="741"/>
      <c r="AL882" s="741"/>
      <c r="AM882" s="742"/>
      <c r="AN882" s="743" t="str">
        <f t="shared" si="36"/>
        <v/>
      </c>
      <c r="AO882" s="744" t="str">
        <f t="shared" si="37"/>
        <v/>
      </c>
      <c r="AP882" s="745">
        <f>'09월 에너지'!S884</f>
        <v>0</v>
      </c>
    </row>
    <row r="883" spans="1:42" ht="16.5" customHeight="1">
      <c r="A883" s="999" t="str">
        <f>'09월 조업일지'!A883</f>
        <v/>
      </c>
      <c r="B883" s="1100" t="str">
        <f>'09월 조업일지'!B883</f>
        <v/>
      </c>
      <c r="C883" s="730" t="str">
        <f>'09월 조업일지'!G883</f>
        <v/>
      </c>
      <c r="D883" s="731" t="str">
        <f>'09월 조업일지'!E883</f>
        <v/>
      </c>
      <c r="E883" s="732" t="str">
        <f>'09월 조업일지'!F883</f>
        <v/>
      </c>
      <c r="F883" s="1096" t="str">
        <f>'09월 에너지'!F885</f>
        <v/>
      </c>
      <c r="G883" s="733"/>
      <c r="H883" s="734"/>
      <c r="I883" s="734"/>
      <c r="J883" s="734"/>
      <c r="K883" s="735"/>
      <c r="L883" s="734"/>
      <c r="M883" s="736"/>
      <c r="N883" s="737"/>
      <c r="O883" s="737"/>
      <c r="P883" s="737"/>
      <c r="Q883" s="737"/>
      <c r="R883" s="737"/>
      <c r="S883" s="737"/>
      <c r="T883" s="737"/>
      <c r="U883" s="738"/>
      <c r="V883" s="739"/>
      <c r="W883" s="737"/>
      <c r="X883" s="737"/>
      <c r="Y883" s="737"/>
      <c r="Z883" s="1202"/>
      <c r="AA883" s="740"/>
      <c r="AB883" s="739"/>
      <c r="AC883" s="741"/>
      <c r="AD883" s="741"/>
      <c r="AE883" s="741"/>
      <c r="AF883" s="741"/>
      <c r="AG883" s="741"/>
      <c r="AH883" s="741"/>
      <c r="AI883" s="741"/>
      <c r="AJ883" s="741"/>
      <c r="AK883" s="741"/>
      <c r="AL883" s="741"/>
      <c r="AM883" s="742"/>
      <c r="AN883" s="743" t="str">
        <f t="shared" si="36"/>
        <v/>
      </c>
      <c r="AO883" s="744" t="str">
        <f t="shared" si="37"/>
        <v/>
      </c>
      <c r="AP883" s="745">
        <f>'09월 에너지'!S885</f>
        <v>0</v>
      </c>
    </row>
    <row r="884" spans="1:42" ht="16.5" customHeight="1">
      <c r="A884" s="999" t="str">
        <f>'09월 조업일지'!A884</f>
        <v/>
      </c>
      <c r="B884" s="1100" t="str">
        <f>'09월 조업일지'!B884</f>
        <v/>
      </c>
      <c r="C884" s="730" t="str">
        <f>'09월 조업일지'!G884</f>
        <v/>
      </c>
      <c r="D884" s="731" t="str">
        <f>'09월 조업일지'!E884</f>
        <v/>
      </c>
      <c r="E884" s="732" t="str">
        <f>'09월 조업일지'!F884</f>
        <v/>
      </c>
      <c r="F884" s="1096" t="str">
        <f>'09월 에너지'!F886</f>
        <v/>
      </c>
      <c r="G884" s="733"/>
      <c r="H884" s="734"/>
      <c r="I884" s="734"/>
      <c r="J884" s="734"/>
      <c r="K884" s="735"/>
      <c r="L884" s="734"/>
      <c r="M884" s="736"/>
      <c r="N884" s="737"/>
      <c r="O884" s="737"/>
      <c r="P884" s="737"/>
      <c r="Q884" s="737"/>
      <c r="R884" s="737"/>
      <c r="S884" s="737"/>
      <c r="T884" s="737"/>
      <c r="U884" s="738"/>
      <c r="V884" s="739"/>
      <c r="W884" s="737"/>
      <c r="X884" s="737"/>
      <c r="Y884" s="737"/>
      <c r="Z884" s="1202"/>
      <c r="AA884" s="740"/>
      <c r="AB884" s="739"/>
      <c r="AC884" s="741"/>
      <c r="AD884" s="741"/>
      <c r="AE884" s="741"/>
      <c r="AF884" s="741"/>
      <c r="AG884" s="741"/>
      <c r="AH884" s="741"/>
      <c r="AI884" s="741"/>
      <c r="AJ884" s="741"/>
      <c r="AK884" s="741"/>
      <c r="AL884" s="741"/>
      <c r="AM884" s="742"/>
      <c r="AN884" s="743" t="str">
        <f t="shared" si="36"/>
        <v/>
      </c>
      <c r="AO884" s="744" t="str">
        <f t="shared" si="37"/>
        <v/>
      </c>
      <c r="AP884" s="745">
        <f>'09월 에너지'!S886</f>
        <v>0</v>
      </c>
    </row>
    <row r="885" spans="1:42" ht="16.5" customHeight="1">
      <c r="A885" s="999" t="str">
        <f>'09월 조업일지'!A885</f>
        <v/>
      </c>
      <c r="B885" s="1100" t="str">
        <f>'09월 조업일지'!B885</f>
        <v/>
      </c>
      <c r="C885" s="730" t="str">
        <f>'09월 조업일지'!G885</f>
        <v/>
      </c>
      <c r="D885" s="731" t="str">
        <f>'09월 조업일지'!E885</f>
        <v/>
      </c>
      <c r="E885" s="732" t="str">
        <f>'09월 조업일지'!F885</f>
        <v/>
      </c>
      <c r="F885" s="1096" t="str">
        <f>'09월 에너지'!F887</f>
        <v/>
      </c>
      <c r="G885" s="733"/>
      <c r="H885" s="734"/>
      <c r="I885" s="734"/>
      <c r="J885" s="734"/>
      <c r="K885" s="735"/>
      <c r="L885" s="734"/>
      <c r="M885" s="736"/>
      <c r="N885" s="737"/>
      <c r="O885" s="737"/>
      <c r="P885" s="737"/>
      <c r="Q885" s="737"/>
      <c r="R885" s="737"/>
      <c r="S885" s="737"/>
      <c r="T885" s="737"/>
      <c r="U885" s="738"/>
      <c r="V885" s="739"/>
      <c r="W885" s="737"/>
      <c r="X885" s="737"/>
      <c r="Y885" s="737"/>
      <c r="Z885" s="1202"/>
      <c r="AA885" s="740"/>
      <c r="AB885" s="739"/>
      <c r="AC885" s="741"/>
      <c r="AD885" s="741"/>
      <c r="AE885" s="741"/>
      <c r="AF885" s="741"/>
      <c r="AG885" s="741"/>
      <c r="AH885" s="741"/>
      <c r="AI885" s="741"/>
      <c r="AJ885" s="741"/>
      <c r="AK885" s="741"/>
      <c r="AL885" s="741"/>
      <c r="AM885" s="742"/>
      <c r="AN885" s="743" t="str">
        <f t="shared" si="36"/>
        <v/>
      </c>
      <c r="AO885" s="744" t="str">
        <f t="shared" si="37"/>
        <v/>
      </c>
      <c r="AP885" s="745">
        <f>'09월 에너지'!S887</f>
        <v>0</v>
      </c>
    </row>
    <row r="886" spans="1:42" ht="16.5" customHeight="1">
      <c r="A886" s="999" t="str">
        <f>'09월 조업일지'!A886</f>
        <v/>
      </c>
      <c r="B886" s="1100" t="str">
        <f>'09월 조업일지'!B886</f>
        <v/>
      </c>
      <c r="C886" s="730" t="str">
        <f>'09월 조업일지'!G886</f>
        <v/>
      </c>
      <c r="D886" s="731" t="str">
        <f>'09월 조업일지'!E886</f>
        <v/>
      </c>
      <c r="E886" s="732" t="str">
        <f>'09월 조업일지'!F886</f>
        <v/>
      </c>
      <c r="F886" s="1096" t="str">
        <f>'09월 에너지'!F888</f>
        <v/>
      </c>
      <c r="G886" s="733"/>
      <c r="H886" s="734"/>
      <c r="I886" s="734"/>
      <c r="J886" s="734"/>
      <c r="K886" s="735"/>
      <c r="L886" s="734"/>
      <c r="M886" s="736"/>
      <c r="N886" s="737"/>
      <c r="O886" s="737"/>
      <c r="P886" s="737"/>
      <c r="Q886" s="737"/>
      <c r="R886" s="737"/>
      <c r="S886" s="737"/>
      <c r="T886" s="737"/>
      <c r="U886" s="738"/>
      <c r="V886" s="739"/>
      <c r="W886" s="737"/>
      <c r="X886" s="737"/>
      <c r="Y886" s="737"/>
      <c r="Z886" s="1202"/>
      <c r="AA886" s="740"/>
      <c r="AB886" s="739"/>
      <c r="AC886" s="741"/>
      <c r="AD886" s="741"/>
      <c r="AE886" s="741"/>
      <c r="AF886" s="741"/>
      <c r="AG886" s="741"/>
      <c r="AH886" s="741"/>
      <c r="AI886" s="741"/>
      <c r="AJ886" s="741"/>
      <c r="AK886" s="741"/>
      <c r="AL886" s="741"/>
      <c r="AM886" s="742"/>
      <c r="AN886" s="743" t="str">
        <f t="shared" si="36"/>
        <v/>
      </c>
      <c r="AO886" s="744" t="str">
        <f t="shared" si="37"/>
        <v/>
      </c>
      <c r="AP886" s="745">
        <f>'09월 에너지'!S888</f>
        <v>0</v>
      </c>
    </row>
    <row r="887" spans="1:42" ht="16.5" customHeight="1">
      <c r="A887" s="999" t="str">
        <f>'09월 조업일지'!A887</f>
        <v/>
      </c>
      <c r="B887" s="1100" t="str">
        <f>'09월 조업일지'!B887</f>
        <v/>
      </c>
      <c r="C887" s="730" t="str">
        <f>'09월 조업일지'!G887</f>
        <v/>
      </c>
      <c r="D887" s="731" t="str">
        <f>'09월 조업일지'!E887</f>
        <v/>
      </c>
      <c r="E887" s="732" t="str">
        <f>'09월 조업일지'!F887</f>
        <v/>
      </c>
      <c r="F887" s="1096" t="str">
        <f>'09월 에너지'!F889</f>
        <v/>
      </c>
      <c r="G887" s="733"/>
      <c r="H887" s="734"/>
      <c r="I887" s="734"/>
      <c r="J887" s="734"/>
      <c r="K887" s="735"/>
      <c r="L887" s="734"/>
      <c r="M887" s="736"/>
      <c r="N887" s="737"/>
      <c r="O887" s="737"/>
      <c r="P887" s="737"/>
      <c r="Q887" s="737"/>
      <c r="R887" s="737"/>
      <c r="S887" s="737"/>
      <c r="T887" s="737"/>
      <c r="U887" s="738"/>
      <c r="V887" s="739"/>
      <c r="W887" s="737"/>
      <c r="X887" s="737"/>
      <c r="Y887" s="737"/>
      <c r="Z887" s="1202"/>
      <c r="AA887" s="740"/>
      <c r="AB887" s="739"/>
      <c r="AC887" s="741"/>
      <c r="AD887" s="741"/>
      <c r="AE887" s="741"/>
      <c r="AF887" s="741"/>
      <c r="AG887" s="741"/>
      <c r="AH887" s="741"/>
      <c r="AI887" s="741"/>
      <c r="AJ887" s="741"/>
      <c r="AK887" s="741"/>
      <c r="AL887" s="741"/>
      <c r="AM887" s="742"/>
      <c r="AN887" s="743" t="str">
        <f t="shared" si="36"/>
        <v/>
      </c>
      <c r="AO887" s="744" t="str">
        <f t="shared" si="37"/>
        <v/>
      </c>
      <c r="AP887" s="745">
        <f>'09월 에너지'!S889</f>
        <v>0</v>
      </c>
    </row>
    <row r="888" spans="1:42" ht="16.5" customHeight="1">
      <c r="A888" s="999" t="str">
        <f>'09월 조업일지'!A888</f>
        <v/>
      </c>
      <c r="B888" s="1100" t="str">
        <f>'09월 조업일지'!B888</f>
        <v/>
      </c>
      <c r="C888" s="730" t="str">
        <f>'09월 조업일지'!G888</f>
        <v/>
      </c>
      <c r="D888" s="731" t="str">
        <f>'09월 조업일지'!E888</f>
        <v/>
      </c>
      <c r="E888" s="732" t="str">
        <f>'09월 조업일지'!F888</f>
        <v/>
      </c>
      <c r="F888" s="1096" t="str">
        <f>'09월 에너지'!F890</f>
        <v/>
      </c>
      <c r="G888" s="733"/>
      <c r="H888" s="734"/>
      <c r="I888" s="734"/>
      <c r="J888" s="734"/>
      <c r="K888" s="735"/>
      <c r="L888" s="734"/>
      <c r="M888" s="736"/>
      <c r="N888" s="737"/>
      <c r="O888" s="737"/>
      <c r="P888" s="737"/>
      <c r="Q888" s="737"/>
      <c r="R888" s="737"/>
      <c r="S888" s="737"/>
      <c r="T888" s="737"/>
      <c r="U888" s="738"/>
      <c r="V888" s="739"/>
      <c r="W888" s="737"/>
      <c r="X888" s="737"/>
      <c r="Y888" s="737"/>
      <c r="Z888" s="1202"/>
      <c r="AA888" s="740"/>
      <c r="AB888" s="739"/>
      <c r="AC888" s="741"/>
      <c r="AD888" s="741"/>
      <c r="AE888" s="741"/>
      <c r="AF888" s="741"/>
      <c r="AG888" s="741"/>
      <c r="AH888" s="741"/>
      <c r="AI888" s="741"/>
      <c r="AJ888" s="741"/>
      <c r="AK888" s="741"/>
      <c r="AL888" s="741"/>
      <c r="AM888" s="742"/>
      <c r="AN888" s="743" t="str">
        <f t="shared" si="36"/>
        <v/>
      </c>
      <c r="AO888" s="744" t="str">
        <f t="shared" si="37"/>
        <v/>
      </c>
      <c r="AP888" s="745">
        <f>'09월 에너지'!S890</f>
        <v>0</v>
      </c>
    </row>
    <row r="889" spans="1:42" ht="16.5" customHeight="1">
      <c r="A889" s="999" t="str">
        <f>'09월 조업일지'!A889</f>
        <v/>
      </c>
      <c r="B889" s="1100" t="str">
        <f>'09월 조업일지'!B889</f>
        <v/>
      </c>
      <c r="C889" s="730" t="str">
        <f>'09월 조업일지'!G889</f>
        <v/>
      </c>
      <c r="D889" s="731" t="str">
        <f>'09월 조업일지'!E889</f>
        <v/>
      </c>
      <c r="E889" s="732" t="str">
        <f>'09월 조업일지'!F889</f>
        <v/>
      </c>
      <c r="F889" s="1096" t="str">
        <f>'09월 에너지'!F891</f>
        <v/>
      </c>
      <c r="G889" s="733"/>
      <c r="H889" s="734"/>
      <c r="I889" s="734"/>
      <c r="J889" s="734"/>
      <c r="K889" s="735"/>
      <c r="L889" s="734"/>
      <c r="M889" s="736"/>
      <c r="N889" s="737"/>
      <c r="O889" s="737"/>
      <c r="P889" s="737"/>
      <c r="Q889" s="737"/>
      <c r="R889" s="737"/>
      <c r="S889" s="737"/>
      <c r="T889" s="737"/>
      <c r="U889" s="738"/>
      <c r="V889" s="739"/>
      <c r="W889" s="737"/>
      <c r="X889" s="737"/>
      <c r="Y889" s="737"/>
      <c r="Z889" s="1202"/>
      <c r="AA889" s="740"/>
      <c r="AB889" s="739"/>
      <c r="AC889" s="741"/>
      <c r="AD889" s="741"/>
      <c r="AE889" s="741"/>
      <c r="AF889" s="741"/>
      <c r="AG889" s="741"/>
      <c r="AH889" s="741"/>
      <c r="AI889" s="741"/>
      <c r="AJ889" s="741"/>
      <c r="AK889" s="741"/>
      <c r="AL889" s="741"/>
      <c r="AM889" s="742"/>
      <c r="AN889" s="743" t="str">
        <f t="shared" si="36"/>
        <v/>
      </c>
      <c r="AO889" s="744" t="str">
        <f t="shared" si="37"/>
        <v/>
      </c>
      <c r="AP889" s="745">
        <f>'09월 에너지'!S891</f>
        <v>0</v>
      </c>
    </row>
    <row r="890" spans="1:42" ht="16.5" customHeight="1">
      <c r="A890" s="999" t="str">
        <f>'09월 조업일지'!A890</f>
        <v/>
      </c>
      <c r="B890" s="1100" t="str">
        <f>'09월 조업일지'!B890</f>
        <v/>
      </c>
      <c r="C890" s="730" t="str">
        <f>'09월 조업일지'!G890</f>
        <v/>
      </c>
      <c r="D890" s="731" t="str">
        <f>'09월 조업일지'!E890</f>
        <v/>
      </c>
      <c r="E890" s="732" t="str">
        <f>'09월 조업일지'!F890</f>
        <v/>
      </c>
      <c r="F890" s="1096" t="str">
        <f>'09월 에너지'!F892</f>
        <v/>
      </c>
      <c r="G890" s="733"/>
      <c r="H890" s="734"/>
      <c r="I890" s="734"/>
      <c r="J890" s="734"/>
      <c r="K890" s="735"/>
      <c r="L890" s="734"/>
      <c r="M890" s="736"/>
      <c r="N890" s="737"/>
      <c r="O890" s="737"/>
      <c r="P890" s="737"/>
      <c r="Q890" s="737"/>
      <c r="R890" s="737"/>
      <c r="S890" s="737"/>
      <c r="T890" s="737"/>
      <c r="U890" s="738"/>
      <c r="V890" s="739"/>
      <c r="W890" s="737"/>
      <c r="X890" s="737"/>
      <c r="Y890" s="737"/>
      <c r="Z890" s="1202"/>
      <c r="AA890" s="740"/>
      <c r="AB890" s="739"/>
      <c r="AC890" s="741"/>
      <c r="AD890" s="741"/>
      <c r="AE890" s="741"/>
      <c r="AF890" s="741"/>
      <c r="AG890" s="741"/>
      <c r="AH890" s="741"/>
      <c r="AI890" s="741"/>
      <c r="AJ890" s="741"/>
      <c r="AK890" s="741"/>
      <c r="AL890" s="741"/>
      <c r="AM890" s="742"/>
      <c r="AN890" s="743" t="str">
        <f t="shared" si="36"/>
        <v/>
      </c>
      <c r="AO890" s="744" t="str">
        <f t="shared" si="37"/>
        <v/>
      </c>
      <c r="AP890" s="745">
        <f>'09월 에너지'!S892</f>
        <v>0</v>
      </c>
    </row>
    <row r="891" spans="1:42" ht="16.5" customHeight="1">
      <c r="A891" s="999" t="str">
        <f>'09월 조업일지'!A891</f>
        <v/>
      </c>
      <c r="B891" s="1100" t="str">
        <f>'09월 조업일지'!B891</f>
        <v/>
      </c>
      <c r="C891" s="730" t="str">
        <f>'09월 조업일지'!G891</f>
        <v/>
      </c>
      <c r="D891" s="731" t="str">
        <f>'09월 조업일지'!E891</f>
        <v/>
      </c>
      <c r="E891" s="732" t="str">
        <f>'09월 조업일지'!F891</f>
        <v/>
      </c>
      <c r="F891" s="1096" t="str">
        <f>'09월 에너지'!F893</f>
        <v/>
      </c>
      <c r="G891" s="733"/>
      <c r="H891" s="734"/>
      <c r="I891" s="734"/>
      <c r="J891" s="734"/>
      <c r="K891" s="735"/>
      <c r="L891" s="734"/>
      <c r="M891" s="736"/>
      <c r="N891" s="737"/>
      <c r="O891" s="737"/>
      <c r="P891" s="737"/>
      <c r="Q891" s="737"/>
      <c r="R891" s="737"/>
      <c r="S891" s="737"/>
      <c r="T891" s="737"/>
      <c r="U891" s="738"/>
      <c r="V891" s="739"/>
      <c r="W891" s="737"/>
      <c r="X891" s="737"/>
      <c r="Y891" s="737"/>
      <c r="Z891" s="1202"/>
      <c r="AA891" s="740"/>
      <c r="AB891" s="739"/>
      <c r="AC891" s="741"/>
      <c r="AD891" s="741"/>
      <c r="AE891" s="741"/>
      <c r="AF891" s="741"/>
      <c r="AG891" s="741"/>
      <c r="AH891" s="741"/>
      <c r="AI891" s="741"/>
      <c r="AJ891" s="741"/>
      <c r="AK891" s="741"/>
      <c r="AL891" s="741"/>
      <c r="AM891" s="742"/>
      <c r="AN891" s="743" t="str">
        <f t="shared" si="36"/>
        <v/>
      </c>
      <c r="AO891" s="744" t="str">
        <f t="shared" si="37"/>
        <v/>
      </c>
      <c r="AP891" s="745">
        <f>'09월 에너지'!S893</f>
        <v>0</v>
      </c>
    </row>
    <row r="892" spans="1:42" ht="16.5" customHeight="1">
      <c r="A892" s="999" t="str">
        <f>'09월 조업일지'!A892</f>
        <v/>
      </c>
      <c r="B892" s="1100" t="str">
        <f>'09월 조업일지'!B892</f>
        <v/>
      </c>
      <c r="C892" s="730" t="str">
        <f>'09월 조업일지'!G892</f>
        <v/>
      </c>
      <c r="D892" s="731" t="str">
        <f>'09월 조업일지'!E892</f>
        <v/>
      </c>
      <c r="E892" s="732" t="str">
        <f>'09월 조업일지'!F892</f>
        <v/>
      </c>
      <c r="F892" s="1096" t="str">
        <f>'09월 에너지'!F894</f>
        <v/>
      </c>
      <c r="G892" s="733"/>
      <c r="H892" s="734"/>
      <c r="I892" s="734"/>
      <c r="J892" s="734"/>
      <c r="K892" s="735"/>
      <c r="L892" s="734"/>
      <c r="M892" s="736"/>
      <c r="N892" s="737"/>
      <c r="O892" s="737"/>
      <c r="P892" s="737"/>
      <c r="Q892" s="737"/>
      <c r="R892" s="737"/>
      <c r="S892" s="737"/>
      <c r="T892" s="737"/>
      <c r="U892" s="738"/>
      <c r="V892" s="739"/>
      <c r="W892" s="737"/>
      <c r="X892" s="737"/>
      <c r="Y892" s="737"/>
      <c r="Z892" s="1202"/>
      <c r="AA892" s="740"/>
      <c r="AB892" s="739"/>
      <c r="AC892" s="741"/>
      <c r="AD892" s="741"/>
      <c r="AE892" s="741"/>
      <c r="AF892" s="741"/>
      <c r="AG892" s="741"/>
      <c r="AH892" s="741"/>
      <c r="AI892" s="741"/>
      <c r="AJ892" s="741"/>
      <c r="AK892" s="741"/>
      <c r="AL892" s="741"/>
      <c r="AM892" s="742"/>
      <c r="AN892" s="743" t="str">
        <f t="shared" si="36"/>
        <v/>
      </c>
      <c r="AO892" s="744" t="str">
        <f t="shared" si="37"/>
        <v/>
      </c>
      <c r="AP892" s="745">
        <f>'09월 에너지'!S894</f>
        <v>0</v>
      </c>
    </row>
    <row r="893" spans="1:42" ht="16.5" customHeight="1">
      <c r="A893" s="999" t="str">
        <f>'09월 조업일지'!A893</f>
        <v/>
      </c>
      <c r="B893" s="1100" t="str">
        <f>'09월 조업일지'!B893</f>
        <v/>
      </c>
      <c r="C893" s="730" t="str">
        <f>'09월 조업일지'!G893</f>
        <v/>
      </c>
      <c r="D893" s="731" t="str">
        <f>'09월 조업일지'!E893</f>
        <v/>
      </c>
      <c r="E893" s="732" t="str">
        <f>'09월 조업일지'!F893</f>
        <v/>
      </c>
      <c r="F893" s="1096" t="str">
        <f>'09월 에너지'!F895</f>
        <v/>
      </c>
      <c r="G893" s="733"/>
      <c r="H893" s="734"/>
      <c r="I893" s="734"/>
      <c r="J893" s="734"/>
      <c r="K893" s="735"/>
      <c r="L893" s="734"/>
      <c r="M893" s="736"/>
      <c r="N893" s="737"/>
      <c r="O893" s="737"/>
      <c r="P893" s="737"/>
      <c r="Q893" s="737"/>
      <c r="R893" s="737"/>
      <c r="S893" s="737"/>
      <c r="T893" s="737"/>
      <c r="U893" s="738"/>
      <c r="V893" s="739"/>
      <c r="W893" s="737"/>
      <c r="X893" s="737"/>
      <c r="Y893" s="737"/>
      <c r="Z893" s="1202"/>
      <c r="AA893" s="740"/>
      <c r="AB893" s="739"/>
      <c r="AC893" s="741"/>
      <c r="AD893" s="741"/>
      <c r="AE893" s="741"/>
      <c r="AF893" s="741"/>
      <c r="AG893" s="741"/>
      <c r="AH893" s="741"/>
      <c r="AI893" s="741"/>
      <c r="AJ893" s="741"/>
      <c r="AK893" s="741"/>
      <c r="AL893" s="741"/>
      <c r="AM893" s="742"/>
      <c r="AN893" s="743" t="str">
        <f t="shared" si="36"/>
        <v/>
      </c>
      <c r="AO893" s="744" t="str">
        <f t="shared" si="37"/>
        <v/>
      </c>
      <c r="AP893" s="745">
        <f>'09월 에너지'!S895</f>
        <v>0</v>
      </c>
    </row>
    <row r="894" spans="1:42" ht="16.5" customHeight="1">
      <c r="A894" s="999" t="str">
        <f>'09월 조업일지'!A894</f>
        <v/>
      </c>
      <c r="B894" s="1100" t="str">
        <f>'09월 조업일지'!B894</f>
        <v/>
      </c>
      <c r="C894" s="730" t="str">
        <f>'09월 조업일지'!G894</f>
        <v/>
      </c>
      <c r="D894" s="731" t="str">
        <f>'09월 조업일지'!E894</f>
        <v/>
      </c>
      <c r="E894" s="732" t="str">
        <f>'09월 조업일지'!F894</f>
        <v/>
      </c>
      <c r="F894" s="1096" t="str">
        <f>'09월 에너지'!F896</f>
        <v/>
      </c>
      <c r="G894" s="733"/>
      <c r="H894" s="734"/>
      <c r="I894" s="734"/>
      <c r="J894" s="734"/>
      <c r="K894" s="735"/>
      <c r="L894" s="734"/>
      <c r="M894" s="736"/>
      <c r="N894" s="737"/>
      <c r="O894" s="737"/>
      <c r="P894" s="737"/>
      <c r="Q894" s="737"/>
      <c r="R894" s="737"/>
      <c r="S894" s="737"/>
      <c r="T894" s="737"/>
      <c r="U894" s="738"/>
      <c r="V894" s="739"/>
      <c r="W894" s="737"/>
      <c r="X894" s="737"/>
      <c r="Y894" s="737"/>
      <c r="Z894" s="1202"/>
      <c r="AA894" s="740"/>
      <c r="AB894" s="739"/>
      <c r="AC894" s="741"/>
      <c r="AD894" s="741"/>
      <c r="AE894" s="741"/>
      <c r="AF894" s="741"/>
      <c r="AG894" s="741"/>
      <c r="AH894" s="741"/>
      <c r="AI894" s="741"/>
      <c r="AJ894" s="741"/>
      <c r="AK894" s="741"/>
      <c r="AL894" s="741"/>
      <c r="AM894" s="742"/>
      <c r="AN894" s="743" t="str">
        <f t="shared" si="36"/>
        <v/>
      </c>
      <c r="AO894" s="744" t="str">
        <f t="shared" si="37"/>
        <v/>
      </c>
      <c r="AP894" s="745">
        <f>'09월 에너지'!S896</f>
        <v>0</v>
      </c>
    </row>
    <row r="895" spans="1:42" ht="16.5" customHeight="1">
      <c r="A895" s="999" t="str">
        <f>'09월 조업일지'!A895</f>
        <v/>
      </c>
      <c r="B895" s="1100" t="str">
        <f>'09월 조업일지'!B895</f>
        <v/>
      </c>
      <c r="C895" s="730" t="str">
        <f>'09월 조업일지'!G895</f>
        <v/>
      </c>
      <c r="D895" s="731" t="str">
        <f>'09월 조업일지'!E895</f>
        <v/>
      </c>
      <c r="E895" s="732" t="str">
        <f>'09월 조업일지'!F895</f>
        <v/>
      </c>
      <c r="F895" s="1096" t="str">
        <f>'09월 에너지'!F897</f>
        <v/>
      </c>
      <c r="G895" s="733"/>
      <c r="H895" s="734"/>
      <c r="I895" s="734"/>
      <c r="J895" s="734"/>
      <c r="K895" s="735"/>
      <c r="L895" s="734"/>
      <c r="M895" s="736"/>
      <c r="N895" s="737"/>
      <c r="O895" s="737"/>
      <c r="P895" s="737"/>
      <c r="Q895" s="737"/>
      <c r="R895" s="737"/>
      <c r="S895" s="737"/>
      <c r="T895" s="737"/>
      <c r="U895" s="738"/>
      <c r="V895" s="739"/>
      <c r="W895" s="737"/>
      <c r="X895" s="737"/>
      <c r="Y895" s="737"/>
      <c r="Z895" s="1202"/>
      <c r="AA895" s="740"/>
      <c r="AB895" s="739"/>
      <c r="AC895" s="741"/>
      <c r="AD895" s="741"/>
      <c r="AE895" s="741"/>
      <c r="AF895" s="741"/>
      <c r="AG895" s="741"/>
      <c r="AH895" s="741"/>
      <c r="AI895" s="741"/>
      <c r="AJ895" s="741"/>
      <c r="AK895" s="741"/>
      <c r="AL895" s="741"/>
      <c r="AM895" s="742"/>
      <c r="AN895" s="743" t="str">
        <f t="shared" si="36"/>
        <v/>
      </c>
      <c r="AO895" s="744" t="str">
        <f t="shared" si="37"/>
        <v/>
      </c>
      <c r="AP895" s="745">
        <f>'09월 에너지'!S897</f>
        <v>0</v>
      </c>
    </row>
    <row r="896" spans="1:42" ht="16.5" customHeight="1">
      <c r="A896" s="999" t="str">
        <f>'09월 조업일지'!A896</f>
        <v/>
      </c>
      <c r="B896" s="1100" t="str">
        <f>'09월 조업일지'!B896</f>
        <v/>
      </c>
      <c r="C896" s="730" t="str">
        <f>'09월 조업일지'!G896</f>
        <v/>
      </c>
      <c r="D896" s="731" t="str">
        <f>'09월 조업일지'!E896</f>
        <v/>
      </c>
      <c r="E896" s="732" t="str">
        <f>'09월 조업일지'!F896</f>
        <v/>
      </c>
      <c r="F896" s="1096" t="str">
        <f>'09월 에너지'!F898</f>
        <v/>
      </c>
      <c r="G896" s="733"/>
      <c r="H896" s="734"/>
      <c r="I896" s="734"/>
      <c r="J896" s="734"/>
      <c r="K896" s="735"/>
      <c r="L896" s="734"/>
      <c r="M896" s="736"/>
      <c r="N896" s="737"/>
      <c r="O896" s="737"/>
      <c r="P896" s="737"/>
      <c r="Q896" s="737"/>
      <c r="R896" s="737"/>
      <c r="S896" s="737"/>
      <c r="T896" s="737"/>
      <c r="U896" s="738"/>
      <c r="V896" s="739"/>
      <c r="W896" s="737"/>
      <c r="X896" s="737"/>
      <c r="Y896" s="737"/>
      <c r="Z896" s="1202"/>
      <c r="AA896" s="740"/>
      <c r="AB896" s="739"/>
      <c r="AC896" s="741"/>
      <c r="AD896" s="741"/>
      <c r="AE896" s="741"/>
      <c r="AF896" s="741"/>
      <c r="AG896" s="741"/>
      <c r="AH896" s="741"/>
      <c r="AI896" s="741"/>
      <c r="AJ896" s="741"/>
      <c r="AK896" s="741"/>
      <c r="AL896" s="741"/>
      <c r="AM896" s="742"/>
      <c r="AN896" s="743" t="str">
        <f t="shared" si="36"/>
        <v/>
      </c>
      <c r="AO896" s="744" t="str">
        <f t="shared" si="37"/>
        <v/>
      </c>
      <c r="AP896" s="745">
        <f>'09월 에너지'!S898</f>
        <v>0</v>
      </c>
    </row>
    <row r="897" spans="1:42" ht="16.5" customHeight="1">
      <c r="A897" s="999" t="str">
        <f>'09월 조업일지'!A897</f>
        <v/>
      </c>
      <c r="B897" s="1100" t="str">
        <f>'09월 조업일지'!B897</f>
        <v/>
      </c>
      <c r="C897" s="730" t="str">
        <f>'09월 조업일지'!G897</f>
        <v/>
      </c>
      <c r="D897" s="731" t="str">
        <f>'09월 조업일지'!E897</f>
        <v/>
      </c>
      <c r="E897" s="732" t="str">
        <f>'09월 조업일지'!F897</f>
        <v/>
      </c>
      <c r="F897" s="1096" t="str">
        <f>'09월 에너지'!F899</f>
        <v/>
      </c>
      <c r="G897" s="733"/>
      <c r="H897" s="734"/>
      <c r="I897" s="734"/>
      <c r="J897" s="734"/>
      <c r="K897" s="735"/>
      <c r="L897" s="734"/>
      <c r="M897" s="736"/>
      <c r="N897" s="737"/>
      <c r="O897" s="737"/>
      <c r="P897" s="737"/>
      <c r="Q897" s="737"/>
      <c r="R897" s="737"/>
      <c r="S897" s="737"/>
      <c r="T897" s="737"/>
      <c r="U897" s="738"/>
      <c r="V897" s="739"/>
      <c r="W897" s="737"/>
      <c r="X897" s="737"/>
      <c r="Y897" s="737"/>
      <c r="Z897" s="1202"/>
      <c r="AA897" s="740"/>
      <c r="AB897" s="739"/>
      <c r="AC897" s="741"/>
      <c r="AD897" s="741"/>
      <c r="AE897" s="741"/>
      <c r="AF897" s="741"/>
      <c r="AG897" s="741"/>
      <c r="AH897" s="741"/>
      <c r="AI897" s="741"/>
      <c r="AJ897" s="741"/>
      <c r="AK897" s="741"/>
      <c r="AL897" s="741"/>
      <c r="AM897" s="742"/>
      <c r="AN897" s="743" t="str">
        <f t="shared" si="36"/>
        <v/>
      </c>
      <c r="AO897" s="744" t="str">
        <f t="shared" si="37"/>
        <v/>
      </c>
      <c r="AP897" s="745">
        <f>'09월 에너지'!S899</f>
        <v>0</v>
      </c>
    </row>
    <row r="898" spans="1:42" ht="16.5" customHeight="1">
      <c r="A898" s="999" t="str">
        <f>'09월 조업일지'!A898</f>
        <v/>
      </c>
      <c r="B898" s="1100" t="str">
        <f>'09월 조업일지'!B898</f>
        <v/>
      </c>
      <c r="C898" s="730" t="str">
        <f>'09월 조업일지'!G898</f>
        <v/>
      </c>
      <c r="D898" s="731" t="str">
        <f>'09월 조업일지'!E898</f>
        <v/>
      </c>
      <c r="E898" s="732" t="str">
        <f>'09월 조업일지'!F898</f>
        <v/>
      </c>
      <c r="F898" s="1096" t="str">
        <f>'09월 에너지'!F900</f>
        <v/>
      </c>
      <c r="G898" s="733"/>
      <c r="H898" s="734"/>
      <c r="I898" s="734"/>
      <c r="J898" s="734"/>
      <c r="K898" s="735"/>
      <c r="L898" s="734"/>
      <c r="M898" s="736"/>
      <c r="N898" s="737"/>
      <c r="O898" s="737"/>
      <c r="P898" s="737"/>
      <c r="Q898" s="737"/>
      <c r="R898" s="737"/>
      <c r="S898" s="737"/>
      <c r="T898" s="737"/>
      <c r="U898" s="738"/>
      <c r="V898" s="739"/>
      <c r="W898" s="737"/>
      <c r="X898" s="737"/>
      <c r="Y898" s="737"/>
      <c r="Z898" s="1202"/>
      <c r="AA898" s="740"/>
      <c r="AB898" s="739"/>
      <c r="AC898" s="741"/>
      <c r="AD898" s="741"/>
      <c r="AE898" s="741"/>
      <c r="AF898" s="741"/>
      <c r="AG898" s="741"/>
      <c r="AH898" s="741"/>
      <c r="AI898" s="741"/>
      <c r="AJ898" s="741"/>
      <c r="AK898" s="741"/>
      <c r="AL898" s="741"/>
      <c r="AM898" s="742"/>
      <c r="AN898" s="743" t="str">
        <f t="shared" si="36"/>
        <v/>
      </c>
      <c r="AO898" s="744" t="str">
        <f t="shared" si="37"/>
        <v/>
      </c>
      <c r="AP898" s="745">
        <f>'09월 에너지'!S900</f>
        <v>0</v>
      </c>
    </row>
    <row r="899" spans="1:42" ht="16.5" customHeight="1">
      <c r="A899" s="999" t="str">
        <f>'09월 조업일지'!A899</f>
        <v/>
      </c>
      <c r="B899" s="1100" t="str">
        <f>'09월 조업일지'!B899</f>
        <v/>
      </c>
      <c r="C899" s="730" t="str">
        <f>'09월 조업일지'!G899</f>
        <v/>
      </c>
      <c r="D899" s="731" t="str">
        <f>'09월 조업일지'!E899</f>
        <v/>
      </c>
      <c r="E899" s="732" t="str">
        <f>'09월 조업일지'!F899</f>
        <v/>
      </c>
      <c r="F899" s="1096" t="str">
        <f>'09월 에너지'!F901</f>
        <v/>
      </c>
      <c r="G899" s="733"/>
      <c r="H899" s="734"/>
      <c r="I899" s="734"/>
      <c r="J899" s="734"/>
      <c r="K899" s="735"/>
      <c r="L899" s="734"/>
      <c r="M899" s="736"/>
      <c r="N899" s="737"/>
      <c r="O899" s="737"/>
      <c r="P899" s="737"/>
      <c r="Q899" s="737"/>
      <c r="R899" s="737"/>
      <c r="S899" s="737"/>
      <c r="T899" s="737"/>
      <c r="U899" s="738"/>
      <c r="V899" s="739"/>
      <c r="W899" s="737"/>
      <c r="X899" s="737"/>
      <c r="Y899" s="737"/>
      <c r="Z899" s="1202"/>
      <c r="AA899" s="740"/>
      <c r="AB899" s="739"/>
      <c r="AC899" s="741"/>
      <c r="AD899" s="741"/>
      <c r="AE899" s="741"/>
      <c r="AF899" s="741"/>
      <c r="AG899" s="741"/>
      <c r="AH899" s="741"/>
      <c r="AI899" s="741"/>
      <c r="AJ899" s="741"/>
      <c r="AK899" s="741"/>
      <c r="AL899" s="741"/>
      <c r="AM899" s="742"/>
      <c r="AN899" s="743" t="str">
        <f t="shared" si="36"/>
        <v/>
      </c>
      <c r="AO899" s="744" t="str">
        <f t="shared" si="37"/>
        <v/>
      </c>
      <c r="AP899" s="745">
        <f>'09월 에너지'!S901</f>
        <v>0</v>
      </c>
    </row>
    <row r="900" spans="1:42" ht="16.5" customHeight="1">
      <c r="A900" s="999" t="str">
        <f>'09월 조업일지'!A900</f>
        <v/>
      </c>
      <c r="B900" s="1100" t="str">
        <f>'09월 조업일지'!B900</f>
        <v/>
      </c>
      <c r="C900" s="730" t="str">
        <f>'09월 조업일지'!G900</f>
        <v/>
      </c>
      <c r="D900" s="731" t="str">
        <f>'09월 조업일지'!E900</f>
        <v/>
      </c>
      <c r="E900" s="732" t="str">
        <f>'09월 조업일지'!F900</f>
        <v/>
      </c>
      <c r="F900" s="1096" t="str">
        <f>'09월 에너지'!F902</f>
        <v/>
      </c>
      <c r="G900" s="733"/>
      <c r="H900" s="734"/>
      <c r="I900" s="734"/>
      <c r="J900" s="734"/>
      <c r="K900" s="735"/>
      <c r="L900" s="734"/>
      <c r="M900" s="736"/>
      <c r="N900" s="737"/>
      <c r="O900" s="737"/>
      <c r="P900" s="737"/>
      <c r="Q900" s="737"/>
      <c r="R900" s="737"/>
      <c r="S900" s="737"/>
      <c r="T900" s="737"/>
      <c r="U900" s="738"/>
      <c r="V900" s="739"/>
      <c r="W900" s="737"/>
      <c r="X900" s="737"/>
      <c r="Y900" s="737"/>
      <c r="Z900" s="1202"/>
      <c r="AA900" s="740"/>
      <c r="AB900" s="739"/>
      <c r="AC900" s="741"/>
      <c r="AD900" s="741"/>
      <c r="AE900" s="741"/>
      <c r="AF900" s="741"/>
      <c r="AG900" s="741"/>
      <c r="AH900" s="741"/>
      <c r="AI900" s="741"/>
      <c r="AJ900" s="741"/>
      <c r="AK900" s="741"/>
      <c r="AL900" s="741"/>
      <c r="AM900" s="742"/>
      <c r="AN900" s="743" t="str">
        <f t="shared" si="36"/>
        <v/>
      </c>
      <c r="AO900" s="744" t="str">
        <f t="shared" si="37"/>
        <v/>
      </c>
      <c r="AP900" s="745">
        <f>'09월 에너지'!S902</f>
        <v>0</v>
      </c>
    </row>
    <row r="901" spans="1:42" ht="16.5" customHeight="1">
      <c r="A901" s="999" t="str">
        <f>'09월 조업일지'!A901</f>
        <v/>
      </c>
      <c r="B901" s="1100" t="str">
        <f>'09월 조업일지'!B901</f>
        <v/>
      </c>
      <c r="C901" s="730" t="str">
        <f>'09월 조업일지'!G901</f>
        <v/>
      </c>
      <c r="D901" s="731" t="str">
        <f>'09월 조업일지'!E901</f>
        <v/>
      </c>
      <c r="E901" s="732" t="str">
        <f>'09월 조업일지'!F901</f>
        <v/>
      </c>
      <c r="F901" s="1096" t="str">
        <f>'09월 에너지'!F903</f>
        <v/>
      </c>
      <c r="G901" s="733"/>
      <c r="H901" s="734"/>
      <c r="I901" s="734"/>
      <c r="J901" s="734"/>
      <c r="K901" s="735"/>
      <c r="L901" s="734"/>
      <c r="M901" s="736"/>
      <c r="N901" s="737"/>
      <c r="O901" s="737"/>
      <c r="P901" s="737"/>
      <c r="Q901" s="737"/>
      <c r="R901" s="737"/>
      <c r="S901" s="737"/>
      <c r="T901" s="737"/>
      <c r="U901" s="738"/>
      <c r="V901" s="739"/>
      <c r="W901" s="737"/>
      <c r="X901" s="737"/>
      <c r="Y901" s="737"/>
      <c r="Z901" s="1202"/>
      <c r="AA901" s="740"/>
      <c r="AB901" s="739"/>
      <c r="AC901" s="741"/>
      <c r="AD901" s="741"/>
      <c r="AE901" s="741"/>
      <c r="AF901" s="741"/>
      <c r="AG901" s="741"/>
      <c r="AH901" s="741"/>
      <c r="AI901" s="741"/>
      <c r="AJ901" s="741"/>
      <c r="AK901" s="741"/>
      <c r="AL901" s="741"/>
      <c r="AM901" s="742"/>
      <c r="AN901" s="743" t="str">
        <f t="shared" si="36"/>
        <v/>
      </c>
      <c r="AO901" s="744" t="str">
        <f t="shared" si="37"/>
        <v/>
      </c>
      <c r="AP901" s="745">
        <f>'09월 에너지'!S903</f>
        <v>0</v>
      </c>
    </row>
    <row r="902" spans="1:42" ht="16.5" customHeight="1">
      <c r="A902" s="999" t="str">
        <f>'09월 조업일지'!A902</f>
        <v/>
      </c>
      <c r="B902" s="1100" t="str">
        <f>'09월 조업일지'!B902</f>
        <v/>
      </c>
      <c r="C902" s="730" t="str">
        <f>'09월 조업일지'!G902</f>
        <v/>
      </c>
      <c r="D902" s="731" t="str">
        <f>'09월 조업일지'!E902</f>
        <v/>
      </c>
      <c r="E902" s="732" t="str">
        <f>'09월 조업일지'!F902</f>
        <v/>
      </c>
      <c r="F902" s="1096" t="str">
        <f>'09월 에너지'!F904</f>
        <v/>
      </c>
      <c r="G902" s="733"/>
      <c r="H902" s="734"/>
      <c r="I902" s="734"/>
      <c r="J902" s="734"/>
      <c r="K902" s="735"/>
      <c r="L902" s="734"/>
      <c r="M902" s="736"/>
      <c r="N902" s="737"/>
      <c r="O902" s="737"/>
      <c r="P902" s="737"/>
      <c r="Q902" s="737"/>
      <c r="R902" s="737"/>
      <c r="S902" s="737"/>
      <c r="T902" s="737"/>
      <c r="U902" s="738"/>
      <c r="V902" s="739"/>
      <c r="W902" s="737"/>
      <c r="X902" s="737"/>
      <c r="Y902" s="737"/>
      <c r="Z902" s="1202"/>
      <c r="AA902" s="740"/>
      <c r="AB902" s="739"/>
      <c r="AC902" s="741"/>
      <c r="AD902" s="741"/>
      <c r="AE902" s="741"/>
      <c r="AF902" s="741"/>
      <c r="AG902" s="741"/>
      <c r="AH902" s="741"/>
      <c r="AI902" s="741"/>
      <c r="AJ902" s="741"/>
      <c r="AK902" s="741"/>
      <c r="AL902" s="741"/>
      <c r="AM902" s="742"/>
      <c r="AN902" s="743" t="str">
        <f t="shared" si="36"/>
        <v/>
      </c>
      <c r="AO902" s="744" t="str">
        <f t="shared" si="37"/>
        <v/>
      </c>
      <c r="AP902" s="745">
        <f>'09월 에너지'!S904</f>
        <v>0</v>
      </c>
    </row>
    <row r="903" spans="1:42" ht="16.5" customHeight="1">
      <c r="A903" s="999" t="str">
        <f>'09월 조업일지'!A903</f>
        <v/>
      </c>
      <c r="B903" s="1100" t="str">
        <f>'09월 조업일지'!B903</f>
        <v/>
      </c>
      <c r="C903" s="730" t="str">
        <f>'09월 조업일지'!G903</f>
        <v/>
      </c>
      <c r="D903" s="731" t="str">
        <f>'09월 조업일지'!E903</f>
        <v/>
      </c>
      <c r="E903" s="732" t="str">
        <f>'09월 조업일지'!F903</f>
        <v/>
      </c>
      <c r="F903" s="1096" t="str">
        <f>'09월 에너지'!F905</f>
        <v/>
      </c>
      <c r="G903" s="733"/>
      <c r="H903" s="734"/>
      <c r="I903" s="734"/>
      <c r="J903" s="734"/>
      <c r="K903" s="735"/>
      <c r="L903" s="734"/>
      <c r="M903" s="736"/>
      <c r="N903" s="737"/>
      <c r="O903" s="737"/>
      <c r="P903" s="737"/>
      <c r="Q903" s="737"/>
      <c r="R903" s="737"/>
      <c r="S903" s="737"/>
      <c r="T903" s="737"/>
      <c r="U903" s="738"/>
      <c r="V903" s="739"/>
      <c r="W903" s="737"/>
      <c r="X903" s="737"/>
      <c r="Y903" s="737"/>
      <c r="Z903" s="1202"/>
      <c r="AA903" s="740"/>
      <c r="AB903" s="739"/>
      <c r="AC903" s="741"/>
      <c r="AD903" s="741"/>
      <c r="AE903" s="741"/>
      <c r="AF903" s="741"/>
      <c r="AG903" s="741"/>
      <c r="AH903" s="741"/>
      <c r="AI903" s="741"/>
      <c r="AJ903" s="741"/>
      <c r="AK903" s="741"/>
      <c r="AL903" s="741"/>
      <c r="AM903" s="742"/>
      <c r="AN903" s="743" t="str">
        <f t="shared" si="36"/>
        <v/>
      </c>
      <c r="AO903" s="744" t="str">
        <f t="shared" si="37"/>
        <v/>
      </c>
      <c r="AP903" s="745">
        <f>'09월 에너지'!S905</f>
        <v>0</v>
      </c>
    </row>
    <row r="904" spans="1:42" ht="16.5" customHeight="1">
      <c r="A904" s="999" t="str">
        <f>'09월 조업일지'!A904</f>
        <v/>
      </c>
      <c r="B904" s="1100" t="str">
        <f>'09월 조업일지'!B904</f>
        <v/>
      </c>
      <c r="C904" s="730" t="str">
        <f>'09월 조업일지'!G904</f>
        <v/>
      </c>
      <c r="D904" s="731" t="str">
        <f>'09월 조업일지'!E904</f>
        <v/>
      </c>
      <c r="E904" s="732" t="str">
        <f>'09월 조업일지'!F904</f>
        <v/>
      </c>
      <c r="F904" s="1096" t="str">
        <f>'09월 에너지'!F906</f>
        <v/>
      </c>
      <c r="G904" s="733"/>
      <c r="H904" s="734"/>
      <c r="I904" s="734"/>
      <c r="J904" s="734"/>
      <c r="K904" s="735"/>
      <c r="L904" s="734"/>
      <c r="M904" s="736"/>
      <c r="N904" s="737"/>
      <c r="O904" s="737"/>
      <c r="P904" s="737"/>
      <c r="Q904" s="737"/>
      <c r="R904" s="737"/>
      <c r="S904" s="737"/>
      <c r="T904" s="737"/>
      <c r="U904" s="738"/>
      <c r="V904" s="739"/>
      <c r="W904" s="737"/>
      <c r="X904" s="737"/>
      <c r="Y904" s="737"/>
      <c r="Z904" s="1202"/>
      <c r="AA904" s="740"/>
      <c r="AB904" s="739"/>
      <c r="AC904" s="741"/>
      <c r="AD904" s="741"/>
      <c r="AE904" s="741"/>
      <c r="AF904" s="741"/>
      <c r="AG904" s="741"/>
      <c r="AH904" s="741"/>
      <c r="AI904" s="741"/>
      <c r="AJ904" s="741"/>
      <c r="AK904" s="741"/>
      <c r="AL904" s="741"/>
      <c r="AM904" s="742"/>
      <c r="AN904" s="743" t="str">
        <f t="shared" si="36"/>
        <v/>
      </c>
      <c r="AO904" s="744" t="str">
        <f t="shared" si="37"/>
        <v/>
      </c>
      <c r="AP904" s="745">
        <f>'09월 에너지'!S906</f>
        <v>0</v>
      </c>
    </row>
    <row r="905" spans="1:42" ht="16.5" customHeight="1">
      <c r="A905" s="999" t="str">
        <f>'09월 조업일지'!A905</f>
        <v/>
      </c>
      <c r="B905" s="1100" t="str">
        <f>'09월 조업일지'!B905</f>
        <v/>
      </c>
      <c r="C905" s="730" t="str">
        <f>'09월 조업일지'!G905</f>
        <v/>
      </c>
      <c r="D905" s="731" t="str">
        <f>'09월 조업일지'!E905</f>
        <v/>
      </c>
      <c r="E905" s="732" t="str">
        <f>'09월 조업일지'!F905</f>
        <v/>
      </c>
      <c r="F905" s="1096" t="str">
        <f>'09월 에너지'!F907</f>
        <v/>
      </c>
      <c r="G905" s="733"/>
      <c r="H905" s="734"/>
      <c r="I905" s="734"/>
      <c r="J905" s="734"/>
      <c r="K905" s="735"/>
      <c r="L905" s="734"/>
      <c r="M905" s="736"/>
      <c r="N905" s="737"/>
      <c r="O905" s="737"/>
      <c r="P905" s="737"/>
      <c r="Q905" s="737"/>
      <c r="R905" s="737"/>
      <c r="S905" s="737"/>
      <c r="T905" s="737"/>
      <c r="U905" s="738"/>
      <c r="V905" s="739"/>
      <c r="W905" s="737"/>
      <c r="X905" s="737"/>
      <c r="Y905" s="737"/>
      <c r="Z905" s="1202"/>
      <c r="AA905" s="740"/>
      <c r="AB905" s="739"/>
      <c r="AC905" s="741"/>
      <c r="AD905" s="741"/>
      <c r="AE905" s="741"/>
      <c r="AF905" s="741"/>
      <c r="AG905" s="741"/>
      <c r="AH905" s="741"/>
      <c r="AI905" s="741"/>
      <c r="AJ905" s="741"/>
      <c r="AK905" s="741"/>
      <c r="AL905" s="741"/>
      <c r="AM905" s="742"/>
      <c r="AN905" s="743" t="str">
        <f t="shared" si="36"/>
        <v/>
      </c>
      <c r="AO905" s="744" t="str">
        <f t="shared" si="37"/>
        <v/>
      </c>
      <c r="AP905" s="745">
        <f>'09월 에너지'!S907</f>
        <v>0</v>
      </c>
    </row>
    <row r="906" spans="1:42" ht="16.5" customHeight="1">
      <c r="A906" s="999" t="str">
        <f>'09월 조업일지'!A906</f>
        <v/>
      </c>
      <c r="B906" s="1100" t="str">
        <f>'09월 조업일지'!B906</f>
        <v/>
      </c>
      <c r="C906" s="730" t="str">
        <f>'09월 조업일지'!G906</f>
        <v/>
      </c>
      <c r="D906" s="731" t="str">
        <f>'09월 조업일지'!E906</f>
        <v/>
      </c>
      <c r="E906" s="732" t="str">
        <f>'09월 조업일지'!F906</f>
        <v/>
      </c>
      <c r="F906" s="1096" t="str">
        <f>'09월 에너지'!F908</f>
        <v/>
      </c>
      <c r="G906" s="733"/>
      <c r="H906" s="734"/>
      <c r="I906" s="734"/>
      <c r="J906" s="734"/>
      <c r="K906" s="735"/>
      <c r="L906" s="734"/>
      <c r="M906" s="736"/>
      <c r="N906" s="737"/>
      <c r="O906" s="737"/>
      <c r="P906" s="737"/>
      <c r="Q906" s="737"/>
      <c r="R906" s="737"/>
      <c r="S906" s="737"/>
      <c r="T906" s="737"/>
      <c r="U906" s="738"/>
      <c r="V906" s="739"/>
      <c r="W906" s="737"/>
      <c r="X906" s="737"/>
      <c r="Y906" s="737"/>
      <c r="Z906" s="1202"/>
      <c r="AA906" s="740"/>
      <c r="AB906" s="739"/>
      <c r="AC906" s="741"/>
      <c r="AD906" s="741"/>
      <c r="AE906" s="741"/>
      <c r="AF906" s="741"/>
      <c r="AG906" s="741"/>
      <c r="AH906" s="741"/>
      <c r="AI906" s="741"/>
      <c r="AJ906" s="741"/>
      <c r="AK906" s="741"/>
      <c r="AL906" s="741"/>
      <c r="AM906" s="742"/>
      <c r="AN906" s="743" t="str">
        <f t="shared" si="36"/>
        <v/>
      </c>
      <c r="AO906" s="744" t="str">
        <f t="shared" si="37"/>
        <v/>
      </c>
      <c r="AP906" s="745">
        <f>'09월 에너지'!S908</f>
        <v>0</v>
      </c>
    </row>
    <row r="907" spans="1:42" ht="16.5" customHeight="1">
      <c r="A907" s="999" t="str">
        <f>'09월 조업일지'!A907</f>
        <v/>
      </c>
      <c r="B907" s="1100" t="str">
        <f>'09월 조업일지'!B907</f>
        <v/>
      </c>
      <c r="C907" s="730" t="str">
        <f>'09월 조업일지'!G907</f>
        <v/>
      </c>
      <c r="D907" s="731" t="str">
        <f>'09월 조업일지'!E907</f>
        <v/>
      </c>
      <c r="E907" s="732" t="str">
        <f>'09월 조업일지'!F907</f>
        <v/>
      </c>
      <c r="F907" s="1096" t="str">
        <f>'09월 에너지'!F909</f>
        <v/>
      </c>
      <c r="G907" s="733"/>
      <c r="H907" s="734"/>
      <c r="I907" s="734"/>
      <c r="J907" s="734"/>
      <c r="K907" s="735"/>
      <c r="L907" s="734"/>
      <c r="M907" s="736"/>
      <c r="N907" s="737"/>
      <c r="O907" s="737"/>
      <c r="P907" s="737"/>
      <c r="Q907" s="737"/>
      <c r="R907" s="737"/>
      <c r="S907" s="737"/>
      <c r="T907" s="737"/>
      <c r="U907" s="738"/>
      <c r="V907" s="739"/>
      <c r="W907" s="737"/>
      <c r="X907" s="737"/>
      <c r="Y907" s="737"/>
      <c r="Z907" s="1202"/>
      <c r="AA907" s="740"/>
      <c r="AB907" s="739"/>
      <c r="AC907" s="741"/>
      <c r="AD907" s="741"/>
      <c r="AE907" s="741"/>
      <c r="AF907" s="741"/>
      <c r="AG907" s="741"/>
      <c r="AH907" s="741"/>
      <c r="AI907" s="741"/>
      <c r="AJ907" s="741"/>
      <c r="AK907" s="741"/>
      <c r="AL907" s="741"/>
      <c r="AM907" s="742"/>
      <c r="AN907" s="743" t="str">
        <f t="shared" si="36"/>
        <v/>
      </c>
      <c r="AO907" s="744" t="str">
        <f t="shared" si="37"/>
        <v/>
      </c>
      <c r="AP907" s="745">
        <f>'09월 에너지'!S909</f>
        <v>0</v>
      </c>
    </row>
    <row r="908" spans="1:42" ht="16.5" customHeight="1">
      <c r="A908" s="999" t="str">
        <f>'09월 조업일지'!A908</f>
        <v/>
      </c>
      <c r="B908" s="1100" t="str">
        <f>'09월 조업일지'!B908</f>
        <v/>
      </c>
      <c r="C908" s="730" t="str">
        <f>'09월 조업일지'!G908</f>
        <v/>
      </c>
      <c r="D908" s="731" t="str">
        <f>'09월 조업일지'!E908</f>
        <v/>
      </c>
      <c r="E908" s="732" t="str">
        <f>'09월 조업일지'!F908</f>
        <v/>
      </c>
      <c r="F908" s="1096" t="str">
        <f>'09월 에너지'!F910</f>
        <v/>
      </c>
      <c r="G908" s="733"/>
      <c r="H908" s="734"/>
      <c r="I908" s="734"/>
      <c r="J908" s="734"/>
      <c r="K908" s="735"/>
      <c r="L908" s="734"/>
      <c r="M908" s="736"/>
      <c r="N908" s="737"/>
      <c r="O908" s="737"/>
      <c r="P908" s="737"/>
      <c r="Q908" s="737"/>
      <c r="R908" s="737"/>
      <c r="S908" s="737"/>
      <c r="T908" s="737"/>
      <c r="U908" s="738"/>
      <c r="V908" s="739"/>
      <c r="W908" s="737"/>
      <c r="X908" s="737"/>
      <c r="Y908" s="737"/>
      <c r="Z908" s="1202"/>
      <c r="AA908" s="740"/>
      <c r="AB908" s="739"/>
      <c r="AC908" s="741"/>
      <c r="AD908" s="741"/>
      <c r="AE908" s="741"/>
      <c r="AF908" s="741"/>
      <c r="AG908" s="741"/>
      <c r="AH908" s="741"/>
      <c r="AI908" s="741"/>
      <c r="AJ908" s="741"/>
      <c r="AK908" s="741"/>
      <c r="AL908" s="741"/>
      <c r="AM908" s="742"/>
      <c r="AN908" s="743" t="str">
        <f t="shared" si="36"/>
        <v/>
      </c>
      <c r="AO908" s="744" t="str">
        <f t="shared" si="37"/>
        <v/>
      </c>
      <c r="AP908" s="745">
        <f>'09월 에너지'!S910</f>
        <v>0</v>
      </c>
    </row>
    <row r="909" spans="1:42" ht="16.5" customHeight="1">
      <c r="A909" s="999" t="str">
        <f>'09월 조업일지'!A909</f>
        <v/>
      </c>
      <c r="B909" s="1100" t="str">
        <f>'09월 조업일지'!B909</f>
        <v/>
      </c>
      <c r="C909" s="730" t="str">
        <f>'09월 조업일지'!G909</f>
        <v/>
      </c>
      <c r="D909" s="731" t="str">
        <f>'09월 조업일지'!E909</f>
        <v/>
      </c>
      <c r="E909" s="732" t="str">
        <f>'09월 조업일지'!F909</f>
        <v/>
      </c>
      <c r="F909" s="1096" t="str">
        <f>'09월 에너지'!F911</f>
        <v/>
      </c>
      <c r="G909" s="733"/>
      <c r="H909" s="734"/>
      <c r="I909" s="734"/>
      <c r="J909" s="734"/>
      <c r="K909" s="735"/>
      <c r="L909" s="734"/>
      <c r="M909" s="736"/>
      <c r="N909" s="737"/>
      <c r="O909" s="737"/>
      <c r="P909" s="737"/>
      <c r="Q909" s="737"/>
      <c r="R909" s="737"/>
      <c r="S909" s="737"/>
      <c r="T909" s="737"/>
      <c r="U909" s="738"/>
      <c r="V909" s="739"/>
      <c r="W909" s="737"/>
      <c r="X909" s="737"/>
      <c r="Y909" s="737"/>
      <c r="Z909" s="1202"/>
      <c r="AA909" s="740"/>
      <c r="AB909" s="739"/>
      <c r="AC909" s="741"/>
      <c r="AD909" s="741"/>
      <c r="AE909" s="741"/>
      <c r="AF909" s="741"/>
      <c r="AG909" s="741"/>
      <c r="AH909" s="741"/>
      <c r="AI909" s="741"/>
      <c r="AJ909" s="741"/>
      <c r="AK909" s="741"/>
      <c r="AL909" s="741"/>
      <c r="AM909" s="742"/>
      <c r="AN909" s="743" t="str">
        <f t="shared" ref="AN909:AN948" si="38">IF(ISBLANK(AH909),"",AP909*1000*H909/10000/(AH909*15%+AI909*75%+AK909*60%))</f>
        <v/>
      </c>
      <c r="AO909" s="744" t="str">
        <f t="shared" ref="AO909:AO948" si="39">IF(ISBLANK(AH909),"",AP909*1000*(I909-15)/10000/(AH909*70%))</f>
        <v/>
      </c>
      <c r="AP909" s="745">
        <f>'09월 에너지'!S911</f>
        <v>0</v>
      </c>
    </row>
    <row r="910" spans="1:42" ht="16.5" customHeight="1">
      <c r="A910" s="999" t="str">
        <f>'09월 조업일지'!A910</f>
        <v/>
      </c>
      <c r="B910" s="1100" t="str">
        <f>'09월 조업일지'!B910</f>
        <v/>
      </c>
      <c r="C910" s="730" t="str">
        <f>'09월 조업일지'!G910</f>
        <v/>
      </c>
      <c r="D910" s="731" t="str">
        <f>'09월 조업일지'!E910</f>
        <v/>
      </c>
      <c r="E910" s="732" t="str">
        <f>'09월 조업일지'!F910</f>
        <v/>
      </c>
      <c r="F910" s="1096" t="str">
        <f>'09월 에너지'!F912</f>
        <v/>
      </c>
      <c r="G910" s="733"/>
      <c r="H910" s="734"/>
      <c r="I910" s="734"/>
      <c r="J910" s="734"/>
      <c r="K910" s="735"/>
      <c r="L910" s="734"/>
      <c r="M910" s="736"/>
      <c r="N910" s="737"/>
      <c r="O910" s="737"/>
      <c r="P910" s="737"/>
      <c r="Q910" s="737"/>
      <c r="R910" s="737"/>
      <c r="S910" s="737"/>
      <c r="T910" s="737"/>
      <c r="U910" s="738"/>
      <c r="V910" s="739"/>
      <c r="W910" s="737"/>
      <c r="X910" s="737"/>
      <c r="Y910" s="737"/>
      <c r="Z910" s="1202"/>
      <c r="AA910" s="740"/>
      <c r="AB910" s="739"/>
      <c r="AC910" s="741"/>
      <c r="AD910" s="741"/>
      <c r="AE910" s="741"/>
      <c r="AF910" s="741"/>
      <c r="AG910" s="741"/>
      <c r="AH910" s="741"/>
      <c r="AI910" s="741"/>
      <c r="AJ910" s="741"/>
      <c r="AK910" s="741"/>
      <c r="AL910" s="741"/>
      <c r="AM910" s="742"/>
      <c r="AN910" s="743" t="str">
        <f t="shared" si="38"/>
        <v/>
      </c>
      <c r="AO910" s="744" t="str">
        <f t="shared" si="39"/>
        <v/>
      </c>
      <c r="AP910" s="745">
        <f>'09월 에너지'!S912</f>
        <v>0</v>
      </c>
    </row>
    <row r="911" spans="1:42" ht="16.5" customHeight="1">
      <c r="A911" s="999" t="str">
        <f>'09월 조업일지'!A911</f>
        <v/>
      </c>
      <c r="B911" s="1100" t="str">
        <f>'09월 조업일지'!B911</f>
        <v/>
      </c>
      <c r="C911" s="730" t="str">
        <f>'09월 조업일지'!G911</f>
        <v/>
      </c>
      <c r="D911" s="731" t="str">
        <f>'09월 조업일지'!E911</f>
        <v/>
      </c>
      <c r="E911" s="732" t="str">
        <f>'09월 조업일지'!F911</f>
        <v/>
      </c>
      <c r="F911" s="1096" t="str">
        <f>'09월 에너지'!F913</f>
        <v/>
      </c>
      <c r="G911" s="733"/>
      <c r="H911" s="734"/>
      <c r="I911" s="734"/>
      <c r="J911" s="734"/>
      <c r="K911" s="735"/>
      <c r="L911" s="734"/>
      <c r="M911" s="736"/>
      <c r="N911" s="737"/>
      <c r="O911" s="737"/>
      <c r="P911" s="737"/>
      <c r="Q911" s="737"/>
      <c r="R911" s="737"/>
      <c r="S911" s="737"/>
      <c r="T911" s="737"/>
      <c r="U911" s="738"/>
      <c r="V911" s="739"/>
      <c r="W911" s="737"/>
      <c r="X911" s="737"/>
      <c r="Y911" s="737"/>
      <c r="Z911" s="1202"/>
      <c r="AA911" s="740"/>
      <c r="AB911" s="739"/>
      <c r="AC911" s="741"/>
      <c r="AD911" s="741"/>
      <c r="AE911" s="741"/>
      <c r="AF911" s="741"/>
      <c r="AG911" s="741"/>
      <c r="AH911" s="741"/>
      <c r="AI911" s="741"/>
      <c r="AJ911" s="741"/>
      <c r="AK911" s="741"/>
      <c r="AL911" s="741"/>
      <c r="AM911" s="742"/>
      <c r="AN911" s="743" t="str">
        <f t="shared" si="38"/>
        <v/>
      </c>
      <c r="AO911" s="744" t="str">
        <f t="shared" si="39"/>
        <v/>
      </c>
      <c r="AP911" s="745">
        <f>'09월 에너지'!S913</f>
        <v>0</v>
      </c>
    </row>
    <row r="912" spans="1:42" ht="16.5" customHeight="1">
      <c r="A912" s="999" t="str">
        <f>'09월 조업일지'!A912</f>
        <v/>
      </c>
      <c r="B912" s="1100" t="str">
        <f>'09월 조업일지'!B912</f>
        <v/>
      </c>
      <c r="C912" s="730" t="str">
        <f>'09월 조업일지'!G912</f>
        <v/>
      </c>
      <c r="D912" s="731" t="str">
        <f>'09월 조업일지'!E912</f>
        <v/>
      </c>
      <c r="E912" s="732" t="str">
        <f>'09월 조업일지'!F912</f>
        <v/>
      </c>
      <c r="F912" s="1096" t="str">
        <f>'09월 에너지'!F914</f>
        <v/>
      </c>
      <c r="G912" s="733"/>
      <c r="H912" s="734"/>
      <c r="I912" s="734"/>
      <c r="J912" s="734"/>
      <c r="K912" s="735"/>
      <c r="L912" s="734"/>
      <c r="M912" s="736"/>
      <c r="N912" s="737"/>
      <c r="O912" s="737"/>
      <c r="P912" s="737"/>
      <c r="Q912" s="737"/>
      <c r="R912" s="737"/>
      <c r="S912" s="737"/>
      <c r="T912" s="737"/>
      <c r="U912" s="738"/>
      <c r="V912" s="739"/>
      <c r="W912" s="737"/>
      <c r="X912" s="737"/>
      <c r="Y912" s="737"/>
      <c r="Z912" s="1202"/>
      <c r="AA912" s="740"/>
      <c r="AB912" s="739"/>
      <c r="AC912" s="741"/>
      <c r="AD912" s="741"/>
      <c r="AE912" s="741"/>
      <c r="AF912" s="741"/>
      <c r="AG912" s="741"/>
      <c r="AH912" s="741"/>
      <c r="AI912" s="741"/>
      <c r="AJ912" s="741"/>
      <c r="AK912" s="741"/>
      <c r="AL912" s="741"/>
      <c r="AM912" s="742"/>
      <c r="AN912" s="743" t="str">
        <f t="shared" si="38"/>
        <v/>
      </c>
      <c r="AO912" s="744" t="str">
        <f t="shared" si="39"/>
        <v/>
      </c>
      <c r="AP912" s="745">
        <f>'09월 에너지'!S914</f>
        <v>0</v>
      </c>
    </row>
    <row r="913" spans="1:42" ht="16.5" customHeight="1">
      <c r="A913" s="999" t="str">
        <f>'09월 조업일지'!A913</f>
        <v/>
      </c>
      <c r="B913" s="1100" t="str">
        <f>'09월 조업일지'!B913</f>
        <v/>
      </c>
      <c r="C913" s="730" t="str">
        <f>'09월 조업일지'!G913</f>
        <v/>
      </c>
      <c r="D913" s="731" t="str">
        <f>'09월 조업일지'!E913</f>
        <v/>
      </c>
      <c r="E913" s="732" t="str">
        <f>'09월 조업일지'!F913</f>
        <v/>
      </c>
      <c r="F913" s="1096" t="str">
        <f>'09월 에너지'!F915</f>
        <v/>
      </c>
      <c r="G913" s="733"/>
      <c r="H913" s="734"/>
      <c r="I913" s="734"/>
      <c r="J913" s="734"/>
      <c r="K913" s="735"/>
      <c r="L913" s="734"/>
      <c r="M913" s="736"/>
      <c r="N913" s="737"/>
      <c r="O913" s="737"/>
      <c r="P913" s="737"/>
      <c r="Q913" s="737"/>
      <c r="R913" s="737"/>
      <c r="S913" s="737"/>
      <c r="T913" s="737"/>
      <c r="U913" s="738"/>
      <c r="V913" s="739"/>
      <c r="W913" s="737"/>
      <c r="X913" s="737"/>
      <c r="Y913" s="737"/>
      <c r="Z913" s="1202"/>
      <c r="AA913" s="740"/>
      <c r="AB913" s="739"/>
      <c r="AC913" s="741"/>
      <c r="AD913" s="741"/>
      <c r="AE913" s="741"/>
      <c r="AF913" s="741"/>
      <c r="AG913" s="741"/>
      <c r="AH913" s="741"/>
      <c r="AI913" s="741"/>
      <c r="AJ913" s="741"/>
      <c r="AK913" s="741"/>
      <c r="AL913" s="741"/>
      <c r="AM913" s="742"/>
      <c r="AN913" s="743" t="str">
        <f t="shared" si="38"/>
        <v/>
      </c>
      <c r="AO913" s="744" t="str">
        <f t="shared" si="39"/>
        <v/>
      </c>
      <c r="AP913" s="745">
        <f>'09월 에너지'!S915</f>
        <v>0</v>
      </c>
    </row>
    <row r="914" spans="1:42" ht="16.5" customHeight="1">
      <c r="A914" s="999" t="str">
        <f>'09월 조업일지'!A914</f>
        <v/>
      </c>
      <c r="B914" s="1100" t="str">
        <f>'09월 조업일지'!B914</f>
        <v/>
      </c>
      <c r="C914" s="730" t="str">
        <f>'09월 조업일지'!G914</f>
        <v/>
      </c>
      <c r="D914" s="731" t="str">
        <f>'09월 조업일지'!E914</f>
        <v/>
      </c>
      <c r="E914" s="732" t="str">
        <f>'09월 조업일지'!F914</f>
        <v/>
      </c>
      <c r="F914" s="1096" t="str">
        <f>'09월 에너지'!F916</f>
        <v/>
      </c>
      <c r="G914" s="733"/>
      <c r="H914" s="734"/>
      <c r="I914" s="734"/>
      <c r="J914" s="734"/>
      <c r="K914" s="735"/>
      <c r="L914" s="734"/>
      <c r="M914" s="736"/>
      <c r="N914" s="737"/>
      <c r="O914" s="737"/>
      <c r="P914" s="737"/>
      <c r="Q914" s="737"/>
      <c r="R914" s="737"/>
      <c r="S914" s="737"/>
      <c r="T914" s="737"/>
      <c r="U914" s="738"/>
      <c r="V914" s="739"/>
      <c r="W914" s="737"/>
      <c r="X914" s="737"/>
      <c r="Y914" s="737"/>
      <c r="Z914" s="1202"/>
      <c r="AA914" s="740"/>
      <c r="AB914" s="739"/>
      <c r="AC914" s="741"/>
      <c r="AD914" s="741"/>
      <c r="AE914" s="741"/>
      <c r="AF914" s="741"/>
      <c r="AG914" s="741"/>
      <c r="AH914" s="741"/>
      <c r="AI914" s="741"/>
      <c r="AJ914" s="741"/>
      <c r="AK914" s="741"/>
      <c r="AL914" s="741"/>
      <c r="AM914" s="742"/>
      <c r="AN914" s="743" t="str">
        <f t="shared" si="38"/>
        <v/>
      </c>
      <c r="AO914" s="744" t="str">
        <f t="shared" si="39"/>
        <v/>
      </c>
      <c r="AP914" s="745">
        <f>'09월 에너지'!S916</f>
        <v>0</v>
      </c>
    </row>
    <row r="915" spans="1:42" ht="16.5" customHeight="1">
      <c r="A915" s="999" t="str">
        <f>'09월 조업일지'!A915</f>
        <v/>
      </c>
      <c r="B915" s="1100" t="str">
        <f>'09월 조업일지'!B915</f>
        <v/>
      </c>
      <c r="C915" s="730" t="str">
        <f>'09월 조업일지'!G915</f>
        <v/>
      </c>
      <c r="D915" s="731" t="str">
        <f>'09월 조업일지'!E915</f>
        <v/>
      </c>
      <c r="E915" s="732" t="str">
        <f>'09월 조업일지'!F915</f>
        <v/>
      </c>
      <c r="F915" s="1096" t="str">
        <f>'09월 에너지'!F917</f>
        <v/>
      </c>
      <c r="G915" s="733"/>
      <c r="H915" s="734"/>
      <c r="I915" s="734"/>
      <c r="J915" s="734"/>
      <c r="K915" s="735"/>
      <c r="L915" s="734"/>
      <c r="M915" s="736"/>
      <c r="N915" s="737"/>
      <c r="O915" s="737"/>
      <c r="P915" s="737"/>
      <c r="Q915" s="737"/>
      <c r="R915" s="737"/>
      <c r="S915" s="737"/>
      <c r="T915" s="737"/>
      <c r="U915" s="738"/>
      <c r="V915" s="739"/>
      <c r="W915" s="737"/>
      <c r="X915" s="737"/>
      <c r="Y915" s="737"/>
      <c r="Z915" s="1202"/>
      <c r="AA915" s="740"/>
      <c r="AB915" s="739"/>
      <c r="AC915" s="741"/>
      <c r="AD915" s="741"/>
      <c r="AE915" s="741"/>
      <c r="AF915" s="741"/>
      <c r="AG915" s="741"/>
      <c r="AH915" s="741"/>
      <c r="AI915" s="741"/>
      <c r="AJ915" s="741"/>
      <c r="AK915" s="741"/>
      <c r="AL915" s="741"/>
      <c r="AM915" s="742"/>
      <c r="AN915" s="743" t="str">
        <f t="shared" si="38"/>
        <v/>
      </c>
      <c r="AO915" s="744" t="str">
        <f t="shared" si="39"/>
        <v/>
      </c>
      <c r="AP915" s="745">
        <f>'09월 에너지'!S917</f>
        <v>0</v>
      </c>
    </row>
    <row r="916" spans="1:42" ht="16.5" customHeight="1">
      <c r="A916" s="999" t="str">
        <f>'09월 조업일지'!A916</f>
        <v/>
      </c>
      <c r="B916" s="1100" t="str">
        <f>'09월 조업일지'!B916</f>
        <v/>
      </c>
      <c r="C916" s="730" t="str">
        <f>'09월 조업일지'!G916</f>
        <v/>
      </c>
      <c r="D916" s="731" t="str">
        <f>'09월 조업일지'!E916</f>
        <v/>
      </c>
      <c r="E916" s="732" t="str">
        <f>'09월 조업일지'!F916</f>
        <v/>
      </c>
      <c r="F916" s="1096" t="str">
        <f>'09월 에너지'!F918</f>
        <v/>
      </c>
      <c r="G916" s="733"/>
      <c r="H916" s="734"/>
      <c r="I916" s="734"/>
      <c r="J916" s="734"/>
      <c r="K916" s="735"/>
      <c r="L916" s="734"/>
      <c r="M916" s="736"/>
      <c r="N916" s="737"/>
      <c r="O916" s="737"/>
      <c r="P916" s="737"/>
      <c r="Q916" s="737"/>
      <c r="R916" s="737"/>
      <c r="S916" s="737"/>
      <c r="T916" s="737"/>
      <c r="U916" s="738"/>
      <c r="V916" s="739"/>
      <c r="W916" s="737"/>
      <c r="X916" s="737"/>
      <c r="Y916" s="737"/>
      <c r="Z916" s="1202"/>
      <c r="AA916" s="740"/>
      <c r="AB916" s="739"/>
      <c r="AC916" s="741"/>
      <c r="AD916" s="741"/>
      <c r="AE916" s="741"/>
      <c r="AF916" s="741"/>
      <c r="AG916" s="741"/>
      <c r="AH916" s="741"/>
      <c r="AI916" s="741"/>
      <c r="AJ916" s="741"/>
      <c r="AK916" s="741"/>
      <c r="AL916" s="741"/>
      <c r="AM916" s="742"/>
      <c r="AN916" s="743" t="str">
        <f t="shared" si="38"/>
        <v/>
      </c>
      <c r="AO916" s="744" t="str">
        <f t="shared" si="39"/>
        <v/>
      </c>
      <c r="AP916" s="745">
        <f>'09월 에너지'!S918</f>
        <v>0</v>
      </c>
    </row>
    <row r="917" spans="1:42" ht="16.5" customHeight="1">
      <c r="A917" s="999" t="str">
        <f>'09월 조업일지'!A917</f>
        <v/>
      </c>
      <c r="B917" s="1100" t="str">
        <f>'09월 조업일지'!B917</f>
        <v/>
      </c>
      <c r="C917" s="730" t="str">
        <f>'09월 조업일지'!G917</f>
        <v/>
      </c>
      <c r="D917" s="731" t="str">
        <f>'09월 조업일지'!E917</f>
        <v/>
      </c>
      <c r="E917" s="732" t="str">
        <f>'09월 조업일지'!F917</f>
        <v/>
      </c>
      <c r="F917" s="1096" t="str">
        <f>'09월 에너지'!F919</f>
        <v/>
      </c>
      <c r="G917" s="733"/>
      <c r="H917" s="734"/>
      <c r="I917" s="734"/>
      <c r="J917" s="734"/>
      <c r="K917" s="735"/>
      <c r="L917" s="734"/>
      <c r="M917" s="736"/>
      <c r="N917" s="737"/>
      <c r="O917" s="737"/>
      <c r="P917" s="737"/>
      <c r="Q917" s="737"/>
      <c r="R917" s="737"/>
      <c r="S917" s="737"/>
      <c r="T917" s="737"/>
      <c r="U917" s="738"/>
      <c r="V917" s="739"/>
      <c r="W917" s="737"/>
      <c r="X917" s="737"/>
      <c r="Y917" s="737"/>
      <c r="Z917" s="1202"/>
      <c r="AA917" s="740"/>
      <c r="AB917" s="739"/>
      <c r="AC917" s="741"/>
      <c r="AD917" s="741"/>
      <c r="AE917" s="741"/>
      <c r="AF917" s="741"/>
      <c r="AG917" s="741"/>
      <c r="AH917" s="741"/>
      <c r="AI917" s="741"/>
      <c r="AJ917" s="741"/>
      <c r="AK917" s="741"/>
      <c r="AL917" s="741"/>
      <c r="AM917" s="742"/>
      <c r="AN917" s="743" t="str">
        <f t="shared" si="38"/>
        <v/>
      </c>
      <c r="AO917" s="744" t="str">
        <f t="shared" si="39"/>
        <v/>
      </c>
      <c r="AP917" s="745">
        <f>'09월 에너지'!S919</f>
        <v>0</v>
      </c>
    </row>
    <row r="918" spans="1:42" ht="16.5" customHeight="1">
      <c r="A918" s="999" t="str">
        <f>'09월 조업일지'!A918</f>
        <v/>
      </c>
      <c r="B918" s="1100" t="str">
        <f>'09월 조업일지'!B918</f>
        <v/>
      </c>
      <c r="C918" s="730" t="str">
        <f>'09월 조업일지'!G918</f>
        <v/>
      </c>
      <c r="D918" s="731" t="str">
        <f>'09월 조업일지'!E918</f>
        <v/>
      </c>
      <c r="E918" s="732" t="str">
        <f>'09월 조업일지'!F918</f>
        <v/>
      </c>
      <c r="F918" s="1096" t="str">
        <f>'09월 에너지'!F920</f>
        <v/>
      </c>
      <c r="G918" s="733"/>
      <c r="H918" s="734"/>
      <c r="I918" s="734"/>
      <c r="J918" s="734"/>
      <c r="K918" s="735"/>
      <c r="L918" s="734"/>
      <c r="M918" s="736"/>
      <c r="N918" s="737"/>
      <c r="O918" s="737"/>
      <c r="P918" s="737"/>
      <c r="Q918" s="737"/>
      <c r="R918" s="737"/>
      <c r="S918" s="737"/>
      <c r="T918" s="737"/>
      <c r="U918" s="738"/>
      <c r="V918" s="739"/>
      <c r="W918" s="737"/>
      <c r="X918" s="737"/>
      <c r="Y918" s="737"/>
      <c r="Z918" s="1202"/>
      <c r="AA918" s="740"/>
      <c r="AB918" s="739"/>
      <c r="AC918" s="741"/>
      <c r="AD918" s="741"/>
      <c r="AE918" s="741"/>
      <c r="AF918" s="741"/>
      <c r="AG918" s="741"/>
      <c r="AH918" s="741"/>
      <c r="AI918" s="741"/>
      <c r="AJ918" s="741"/>
      <c r="AK918" s="741"/>
      <c r="AL918" s="741"/>
      <c r="AM918" s="742"/>
      <c r="AN918" s="743" t="str">
        <f t="shared" si="38"/>
        <v/>
      </c>
      <c r="AO918" s="744" t="str">
        <f t="shared" si="39"/>
        <v/>
      </c>
      <c r="AP918" s="745">
        <f>'09월 에너지'!S920</f>
        <v>0</v>
      </c>
    </row>
    <row r="919" spans="1:42" ht="16.5" customHeight="1">
      <c r="A919" s="999" t="str">
        <f>'09월 조업일지'!A919</f>
        <v/>
      </c>
      <c r="B919" s="1100" t="str">
        <f>'09월 조업일지'!B919</f>
        <v/>
      </c>
      <c r="C919" s="730" t="str">
        <f>'09월 조업일지'!G919</f>
        <v/>
      </c>
      <c r="D919" s="731" t="str">
        <f>'09월 조업일지'!E919</f>
        <v/>
      </c>
      <c r="E919" s="732" t="str">
        <f>'09월 조업일지'!F919</f>
        <v/>
      </c>
      <c r="F919" s="1096" t="str">
        <f>'09월 에너지'!F921</f>
        <v/>
      </c>
      <c r="G919" s="733"/>
      <c r="H919" s="734"/>
      <c r="I919" s="734"/>
      <c r="J919" s="734"/>
      <c r="K919" s="735"/>
      <c r="L919" s="734"/>
      <c r="M919" s="736"/>
      <c r="N919" s="737"/>
      <c r="O919" s="737"/>
      <c r="P919" s="737"/>
      <c r="Q919" s="737"/>
      <c r="R919" s="737"/>
      <c r="S919" s="737"/>
      <c r="T919" s="737"/>
      <c r="U919" s="738"/>
      <c r="V919" s="739"/>
      <c r="W919" s="737"/>
      <c r="X919" s="737"/>
      <c r="Y919" s="737"/>
      <c r="Z919" s="1202"/>
      <c r="AA919" s="740"/>
      <c r="AB919" s="739"/>
      <c r="AC919" s="741"/>
      <c r="AD919" s="741"/>
      <c r="AE919" s="741"/>
      <c r="AF919" s="741"/>
      <c r="AG919" s="741"/>
      <c r="AH919" s="741"/>
      <c r="AI919" s="741"/>
      <c r="AJ919" s="741"/>
      <c r="AK919" s="741"/>
      <c r="AL919" s="741"/>
      <c r="AM919" s="742"/>
      <c r="AN919" s="743" t="str">
        <f t="shared" si="38"/>
        <v/>
      </c>
      <c r="AO919" s="744" t="str">
        <f t="shared" si="39"/>
        <v/>
      </c>
      <c r="AP919" s="745">
        <f>'09월 에너지'!S921</f>
        <v>0</v>
      </c>
    </row>
    <row r="920" spans="1:42" ht="16.5" customHeight="1">
      <c r="A920" s="999" t="str">
        <f>'09월 조업일지'!A920</f>
        <v/>
      </c>
      <c r="B920" s="1100" t="str">
        <f>'09월 조업일지'!B920</f>
        <v/>
      </c>
      <c r="C920" s="730" t="str">
        <f>'09월 조업일지'!G920</f>
        <v/>
      </c>
      <c r="D920" s="731" t="str">
        <f>'09월 조업일지'!E920</f>
        <v/>
      </c>
      <c r="E920" s="732" t="str">
        <f>'09월 조업일지'!F920</f>
        <v/>
      </c>
      <c r="F920" s="1096" t="str">
        <f>'09월 에너지'!F922</f>
        <v/>
      </c>
      <c r="G920" s="733"/>
      <c r="H920" s="734"/>
      <c r="I920" s="734"/>
      <c r="J920" s="734"/>
      <c r="K920" s="735"/>
      <c r="L920" s="734"/>
      <c r="M920" s="736"/>
      <c r="N920" s="737"/>
      <c r="O920" s="737"/>
      <c r="P920" s="737"/>
      <c r="Q920" s="737"/>
      <c r="R920" s="737"/>
      <c r="S920" s="737"/>
      <c r="T920" s="737"/>
      <c r="U920" s="738"/>
      <c r="V920" s="739"/>
      <c r="W920" s="737"/>
      <c r="X920" s="737"/>
      <c r="Y920" s="737"/>
      <c r="Z920" s="1202"/>
      <c r="AA920" s="740"/>
      <c r="AB920" s="739"/>
      <c r="AC920" s="741"/>
      <c r="AD920" s="741"/>
      <c r="AE920" s="741"/>
      <c r="AF920" s="741"/>
      <c r="AG920" s="741"/>
      <c r="AH920" s="741"/>
      <c r="AI920" s="741"/>
      <c r="AJ920" s="741"/>
      <c r="AK920" s="741"/>
      <c r="AL920" s="741"/>
      <c r="AM920" s="742"/>
      <c r="AN920" s="743" t="str">
        <f t="shared" si="38"/>
        <v/>
      </c>
      <c r="AO920" s="744" t="str">
        <f t="shared" si="39"/>
        <v/>
      </c>
      <c r="AP920" s="745">
        <f>'09월 에너지'!S922</f>
        <v>0</v>
      </c>
    </row>
    <row r="921" spans="1:42" ht="16.5" customHeight="1">
      <c r="A921" s="999" t="str">
        <f>'09월 조업일지'!A921</f>
        <v/>
      </c>
      <c r="B921" s="1100" t="str">
        <f>'09월 조업일지'!B921</f>
        <v/>
      </c>
      <c r="C921" s="730" t="str">
        <f>'09월 조업일지'!G921</f>
        <v/>
      </c>
      <c r="D921" s="731" t="str">
        <f>'09월 조업일지'!E921</f>
        <v/>
      </c>
      <c r="E921" s="732" t="str">
        <f>'09월 조업일지'!F921</f>
        <v/>
      </c>
      <c r="F921" s="1096" t="str">
        <f>'09월 에너지'!F923</f>
        <v/>
      </c>
      <c r="G921" s="733"/>
      <c r="H921" s="734"/>
      <c r="I921" s="734"/>
      <c r="J921" s="734"/>
      <c r="K921" s="735"/>
      <c r="L921" s="734"/>
      <c r="M921" s="736"/>
      <c r="N921" s="737"/>
      <c r="O921" s="737"/>
      <c r="P921" s="737"/>
      <c r="Q921" s="737"/>
      <c r="R921" s="737"/>
      <c r="S921" s="737"/>
      <c r="T921" s="737"/>
      <c r="U921" s="738"/>
      <c r="V921" s="739"/>
      <c r="W921" s="737"/>
      <c r="X921" s="737"/>
      <c r="Y921" s="737"/>
      <c r="Z921" s="1202"/>
      <c r="AA921" s="740"/>
      <c r="AB921" s="739"/>
      <c r="AC921" s="741"/>
      <c r="AD921" s="741"/>
      <c r="AE921" s="741"/>
      <c r="AF921" s="741"/>
      <c r="AG921" s="741"/>
      <c r="AH921" s="741"/>
      <c r="AI921" s="741"/>
      <c r="AJ921" s="741"/>
      <c r="AK921" s="741"/>
      <c r="AL921" s="741"/>
      <c r="AM921" s="742"/>
      <c r="AN921" s="743" t="str">
        <f t="shared" si="38"/>
        <v/>
      </c>
      <c r="AO921" s="744" t="str">
        <f t="shared" si="39"/>
        <v/>
      </c>
      <c r="AP921" s="745">
        <f>'09월 에너지'!S923</f>
        <v>0</v>
      </c>
    </row>
    <row r="922" spans="1:42" ht="16.5" customHeight="1">
      <c r="A922" s="999" t="str">
        <f>'09월 조업일지'!A922</f>
        <v/>
      </c>
      <c r="B922" s="1100" t="str">
        <f>'09월 조업일지'!B922</f>
        <v/>
      </c>
      <c r="C922" s="730" t="str">
        <f>'09월 조업일지'!G922</f>
        <v/>
      </c>
      <c r="D922" s="731" t="str">
        <f>'09월 조업일지'!E922</f>
        <v/>
      </c>
      <c r="E922" s="732" t="str">
        <f>'09월 조업일지'!F922</f>
        <v/>
      </c>
      <c r="F922" s="1096" t="str">
        <f>'09월 에너지'!F924</f>
        <v/>
      </c>
      <c r="G922" s="733"/>
      <c r="H922" s="734"/>
      <c r="I922" s="734"/>
      <c r="J922" s="734"/>
      <c r="K922" s="735"/>
      <c r="L922" s="734"/>
      <c r="M922" s="736"/>
      <c r="N922" s="737"/>
      <c r="O922" s="737"/>
      <c r="P922" s="737"/>
      <c r="Q922" s="737"/>
      <c r="R922" s="737"/>
      <c r="S922" s="737"/>
      <c r="T922" s="737"/>
      <c r="U922" s="738"/>
      <c r="V922" s="739"/>
      <c r="W922" s="737"/>
      <c r="X922" s="737"/>
      <c r="Y922" s="737"/>
      <c r="Z922" s="1202"/>
      <c r="AA922" s="740"/>
      <c r="AB922" s="739"/>
      <c r="AC922" s="741"/>
      <c r="AD922" s="741"/>
      <c r="AE922" s="741"/>
      <c r="AF922" s="741"/>
      <c r="AG922" s="741"/>
      <c r="AH922" s="741"/>
      <c r="AI922" s="741"/>
      <c r="AJ922" s="741"/>
      <c r="AK922" s="741"/>
      <c r="AL922" s="741"/>
      <c r="AM922" s="742"/>
      <c r="AN922" s="743" t="str">
        <f t="shared" si="38"/>
        <v/>
      </c>
      <c r="AO922" s="744" t="str">
        <f t="shared" si="39"/>
        <v/>
      </c>
      <c r="AP922" s="745">
        <f>'09월 에너지'!S924</f>
        <v>0</v>
      </c>
    </row>
    <row r="923" spans="1:42" ht="16.5" customHeight="1">
      <c r="A923" s="999" t="str">
        <f>'09월 조업일지'!A923</f>
        <v/>
      </c>
      <c r="B923" s="1100" t="str">
        <f>'09월 조업일지'!B923</f>
        <v/>
      </c>
      <c r="C923" s="730" t="str">
        <f>'09월 조업일지'!G923</f>
        <v/>
      </c>
      <c r="D923" s="731" t="str">
        <f>'09월 조업일지'!E923</f>
        <v/>
      </c>
      <c r="E923" s="732" t="str">
        <f>'09월 조업일지'!F923</f>
        <v/>
      </c>
      <c r="F923" s="1096" t="str">
        <f>'09월 에너지'!F925</f>
        <v/>
      </c>
      <c r="G923" s="733"/>
      <c r="H923" s="734"/>
      <c r="I923" s="734"/>
      <c r="J923" s="734"/>
      <c r="K923" s="735"/>
      <c r="L923" s="734"/>
      <c r="M923" s="736"/>
      <c r="N923" s="737"/>
      <c r="O923" s="737"/>
      <c r="P923" s="737"/>
      <c r="Q923" s="737"/>
      <c r="R923" s="737"/>
      <c r="S923" s="737"/>
      <c r="T923" s="737"/>
      <c r="U923" s="738"/>
      <c r="V923" s="739"/>
      <c r="W923" s="737"/>
      <c r="X923" s="737"/>
      <c r="Y923" s="737"/>
      <c r="Z923" s="1202"/>
      <c r="AA923" s="740"/>
      <c r="AB923" s="739"/>
      <c r="AC923" s="741"/>
      <c r="AD923" s="741"/>
      <c r="AE923" s="741"/>
      <c r="AF923" s="741"/>
      <c r="AG923" s="741"/>
      <c r="AH923" s="741"/>
      <c r="AI923" s="741"/>
      <c r="AJ923" s="741"/>
      <c r="AK923" s="741"/>
      <c r="AL923" s="741"/>
      <c r="AM923" s="742"/>
      <c r="AN923" s="743" t="str">
        <f t="shared" si="38"/>
        <v/>
      </c>
      <c r="AO923" s="744" t="str">
        <f t="shared" si="39"/>
        <v/>
      </c>
      <c r="AP923" s="745">
        <f>'09월 에너지'!S925</f>
        <v>0</v>
      </c>
    </row>
    <row r="924" spans="1:42" ht="16.5" customHeight="1">
      <c r="A924" s="999" t="str">
        <f>'09월 조업일지'!A924</f>
        <v/>
      </c>
      <c r="B924" s="1100" t="str">
        <f>'09월 조업일지'!B924</f>
        <v/>
      </c>
      <c r="C924" s="730" t="str">
        <f>'09월 조업일지'!G924</f>
        <v/>
      </c>
      <c r="D924" s="731" t="str">
        <f>'09월 조업일지'!E924</f>
        <v/>
      </c>
      <c r="E924" s="732" t="str">
        <f>'09월 조업일지'!F924</f>
        <v/>
      </c>
      <c r="F924" s="1096" t="str">
        <f>'09월 에너지'!F926</f>
        <v/>
      </c>
      <c r="G924" s="733"/>
      <c r="H924" s="734"/>
      <c r="I924" s="734"/>
      <c r="J924" s="734"/>
      <c r="K924" s="735"/>
      <c r="L924" s="734"/>
      <c r="M924" s="736"/>
      <c r="N924" s="737"/>
      <c r="O924" s="737"/>
      <c r="P924" s="737"/>
      <c r="Q924" s="737"/>
      <c r="R924" s="737"/>
      <c r="S924" s="737"/>
      <c r="T924" s="737"/>
      <c r="U924" s="738"/>
      <c r="V924" s="739"/>
      <c r="W924" s="737"/>
      <c r="X924" s="737"/>
      <c r="Y924" s="737"/>
      <c r="Z924" s="1202"/>
      <c r="AA924" s="740"/>
      <c r="AB924" s="739"/>
      <c r="AC924" s="741"/>
      <c r="AD924" s="741"/>
      <c r="AE924" s="741"/>
      <c r="AF924" s="741"/>
      <c r="AG924" s="741"/>
      <c r="AH924" s="741"/>
      <c r="AI924" s="741"/>
      <c r="AJ924" s="741"/>
      <c r="AK924" s="741"/>
      <c r="AL924" s="741"/>
      <c r="AM924" s="742"/>
      <c r="AN924" s="743" t="str">
        <f t="shared" si="38"/>
        <v/>
      </c>
      <c r="AO924" s="744" t="str">
        <f t="shared" si="39"/>
        <v/>
      </c>
      <c r="AP924" s="745">
        <f>'09월 에너지'!S926</f>
        <v>0</v>
      </c>
    </row>
    <row r="925" spans="1:42" ht="16.5" customHeight="1">
      <c r="A925" s="999" t="str">
        <f>'09월 조업일지'!A925</f>
        <v/>
      </c>
      <c r="B925" s="1100" t="str">
        <f>'09월 조업일지'!B925</f>
        <v/>
      </c>
      <c r="C925" s="730" t="str">
        <f>'09월 조업일지'!G925</f>
        <v/>
      </c>
      <c r="D925" s="731" t="str">
        <f>'09월 조업일지'!E925</f>
        <v/>
      </c>
      <c r="E925" s="732" t="str">
        <f>'09월 조업일지'!F925</f>
        <v/>
      </c>
      <c r="F925" s="1096" t="str">
        <f>'09월 에너지'!F927</f>
        <v/>
      </c>
      <c r="G925" s="733"/>
      <c r="H925" s="734"/>
      <c r="I925" s="734"/>
      <c r="J925" s="734"/>
      <c r="K925" s="735"/>
      <c r="L925" s="734"/>
      <c r="M925" s="736"/>
      <c r="N925" s="737"/>
      <c r="O925" s="737"/>
      <c r="P925" s="737"/>
      <c r="Q925" s="737"/>
      <c r="R925" s="737"/>
      <c r="S925" s="737"/>
      <c r="T925" s="737"/>
      <c r="U925" s="738"/>
      <c r="V925" s="739"/>
      <c r="W925" s="737"/>
      <c r="X925" s="737"/>
      <c r="Y925" s="737"/>
      <c r="Z925" s="1202"/>
      <c r="AA925" s="740"/>
      <c r="AB925" s="739"/>
      <c r="AC925" s="741"/>
      <c r="AD925" s="741"/>
      <c r="AE925" s="741"/>
      <c r="AF925" s="741"/>
      <c r="AG925" s="741"/>
      <c r="AH925" s="741"/>
      <c r="AI925" s="741"/>
      <c r="AJ925" s="741"/>
      <c r="AK925" s="741"/>
      <c r="AL925" s="741"/>
      <c r="AM925" s="742"/>
      <c r="AN925" s="743" t="str">
        <f t="shared" si="38"/>
        <v/>
      </c>
      <c r="AO925" s="744" t="str">
        <f t="shared" si="39"/>
        <v/>
      </c>
      <c r="AP925" s="745">
        <f>'09월 에너지'!S927</f>
        <v>0</v>
      </c>
    </row>
    <row r="926" spans="1:42" ht="16.5" customHeight="1">
      <c r="A926" s="999" t="str">
        <f>'09월 조업일지'!A926</f>
        <v/>
      </c>
      <c r="B926" s="1100" t="str">
        <f>'09월 조업일지'!B926</f>
        <v/>
      </c>
      <c r="C926" s="730" t="str">
        <f>'09월 조업일지'!G926</f>
        <v/>
      </c>
      <c r="D926" s="731" t="str">
        <f>'09월 조업일지'!E926</f>
        <v/>
      </c>
      <c r="E926" s="732" t="str">
        <f>'09월 조업일지'!F926</f>
        <v/>
      </c>
      <c r="F926" s="1096" t="str">
        <f>'09월 에너지'!F928</f>
        <v/>
      </c>
      <c r="G926" s="733"/>
      <c r="H926" s="734"/>
      <c r="I926" s="734"/>
      <c r="J926" s="734"/>
      <c r="K926" s="735"/>
      <c r="L926" s="734"/>
      <c r="M926" s="736"/>
      <c r="N926" s="737"/>
      <c r="O926" s="737"/>
      <c r="P926" s="737"/>
      <c r="Q926" s="737"/>
      <c r="R926" s="737"/>
      <c r="S926" s="737"/>
      <c r="T926" s="737"/>
      <c r="U926" s="738"/>
      <c r="V926" s="739"/>
      <c r="W926" s="737"/>
      <c r="X926" s="737"/>
      <c r="Y926" s="737"/>
      <c r="Z926" s="1202"/>
      <c r="AA926" s="740"/>
      <c r="AB926" s="739"/>
      <c r="AC926" s="741"/>
      <c r="AD926" s="741"/>
      <c r="AE926" s="741"/>
      <c r="AF926" s="741"/>
      <c r="AG926" s="741"/>
      <c r="AH926" s="741"/>
      <c r="AI926" s="741"/>
      <c r="AJ926" s="741"/>
      <c r="AK926" s="741"/>
      <c r="AL926" s="741"/>
      <c r="AM926" s="742"/>
      <c r="AN926" s="743" t="str">
        <f t="shared" si="38"/>
        <v/>
      </c>
      <c r="AO926" s="744" t="str">
        <f t="shared" si="39"/>
        <v/>
      </c>
      <c r="AP926" s="745">
        <f>'09월 에너지'!S928</f>
        <v>0</v>
      </c>
    </row>
    <row r="927" spans="1:42" ht="16.5" customHeight="1">
      <c r="A927" s="999" t="str">
        <f>'09월 조업일지'!A927</f>
        <v/>
      </c>
      <c r="B927" s="1100" t="str">
        <f>'09월 조업일지'!B927</f>
        <v/>
      </c>
      <c r="C927" s="730" t="str">
        <f>'09월 조업일지'!G927</f>
        <v/>
      </c>
      <c r="D927" s="731" t="str">
        <f>'09월 조업일지'!E927</f>
        <v/>
      </c>
      <c r="E927" s="732" t="str">
        <f>'09월 조업일지'!F927</f>
        <v/>
      </c>
      <c r="F927" s="1096" t="str">
        <f>'09월 에너지'!F929</f>
        <v/>
      </c>
      <c r="G927" s="733"/>
      <c r="H927" s="734"/>
      <c r="I927" s="734"/>
      <c r="J927" s="734"/>
      <c r="K927" s="735"/>
      <c r="L927" s="734"/>
      <c r="M927" s="736"/>
      <c r="N927" s="737"/>
      <c r="O927" s="737"/>
      <c r="P927" s="737"/>
      <c r="Q927" s="737"/>
      <c r="R927" s="737"/>
      <c r="S927" s="737"/>
      <c r="T927" s="737"/>
      <c r="U927" s="738"/>
      <c r="V927" s="739"/>
      <c r="W927" s="737"/>
      <c r="X927" s="737"/>
      <c r="Y927" s="737"/>
      <c r="Z927" s="1202"/>
      <c r="AA927" s="740"/>
      <c r="AB927" s="739"/>
      <c r="AC927" s="741"/>
      <c r="AD927" s="741"/>
      <c r="AE927" s="741"/>
      <c r="AF927" s="741"/>
      <c r="AG927" s="741"/>
      <c r="AH927" s="741"/>
      <c r="AI927" s="741"/>
      <c r="AJ927" s="741"/>
      <c r="AK927" s="741"/>
      <c r="AL927" s="741"/>
      <c r="AM927" s="742"/>
      <c r="AN927" s="743" t="str">
        <f t="shared" si="38"/>
        <v/>
      </c>
      <c r="AO927" s="744" t="str">
        <f t="shared" si="39"/>
        <v/>
      </c>
      <c r="AP927" s="745">
        <f>'09월 에너지'!S929</f>
        <v>0</v>
      </c>
    </row>
    <row r="928" spans="1:42" ht="16.5" customHeight="1">
      <c r="A928" s="999" t="str">
        <f>'09월 조업일지'!A928</f>
        <v/>
      </c>
      <c r="B928" s="1100" t="str">
        <f>'09월 조업일지'!B928</f>
        <v/>
      </c>
      <c r="C928" s="730" t="str">
        <f>'09월 조업일지'!G928</f>
        <v/>
      </c>
      <c r="D928" s="731" t="str">
        <f>'09월 조업일지'!E928</f>
        <v/>
      </c>
      <c r="E928" s="732" t="str">
        <f>'09월 조업일지'!F928</f>
        <v/>
      </c>
      <c r="F928" s="1096" t="str">
        <f>'09월 에너지'!F930</f>
        <v/>
      </c>
      <c r="G928" s="733"/>
      <c r="H928" s="734"/>
      <c r="I928" s="734"/>
      <c r="J928" s="734"/>
      <c r="K928" s="735"/>
      <c r="L928" s="734"/>
      <c r="M928" s="736"/>
      <c r="N928" s="737"/>
      <c r="O928" s="737"/>
      <c r="P928" s="737"/>
      <c r="Q928" s="737"/>
      <c r="R928" s="737"/>
      <c r="S928" s="737"/>
      <c r="T928" s="737"/>
      <c r="U928" s="738"/>
      <c r="V928" s="739"/>
      <c r="W928" s="737"/>
      <c r="X928" s="737"/>
      <c r="Y928" s="737"/>
      <c r="Z928" s="1202"/>
      <c r="AA928" s="740"/>
      <c r="AB928" s="739"/>
      <c r="AC928" s="741"/>
      <c r="AD928" s="741"/>
      <c r="AE928" s="741"/>
      <c r="AF928" s="741"/>
      <c r="AG928" s="741"/>
      <c r="AH928" s="741"/>
      <c r="AI928" s="741"/>
      <c r="AJ928" s="741"/>
      <c r="AK928" s="741"/>
      <c r="AL928" s="741"/>
      <c r="AM928" s="742"/>
      <c r="AN928" s="743" t="str">
        <f t="shared" si="38"/>
        <v/>
      </c>
      <c r="AO928" s="744" t="str">
        <f t="shared" si="39"/>
        <v/>
      </c>
      <c r="AP928" s="745">
        <f>'09월 에너지'!S930</f>
        <v>0</v>
      </c>
    </row>
    <row r="929" spans="1:42" ht="16.5" customHeight="1">
      <c r="A929" s="999" t="str">
        <f>'09월 조업일지'!A929</f>
        <v/>
      </c>
      <c r="B929" s="1100" t="str">
        <f>'09월 조업일지'!B929</f>
        <v/>
      </c>
      <c r="C929" s="730" t="str">
        <f>'09월 조업일지'!G929</f>
        <v/>
      </c>
      <c r="D929" s="731" t="str">
        <f>'09월 조업일지'!E929</f>
        <v/>
      </c>
      <c r="E929" s="732" t="str">
        <f>'09월 조업일지'!F929</f>
        <v/>
      </c>
      <c r="F929" s="1096" t="str">
        <f>'09월 에너지'!F931</f>
        <v/>
      </c>
      <c r="G929" s="733"/>
      <c r="H929" s="734"/>
      <c r="I929" s="734"/>
      <c r="J929" s="734"/>
      <c r="K929" s="735"/>
      <c r="L929" s="734"/>
      <c r="M929" s="736"/>
      <c r="N929" s="737"/>
      <c r="O929" s="737"/>
      <c r="P929" s="737"/>
      <c r="Q929" s="737"/>
      <c r="R929" s="737"/>
      <c r="S929" s="737"/>
      <c r="T929" s="737"/>
      <c r="U929" s="738"/>
      <c r="V929" s="739"/>
      <c r="W929" s="737"/>
      <c r="X929" s="737"/>
      <c r="Y929" s="737"/>
      <c r="Z929" s="1202"/>
      <c r="AA929" s="740"/>
      <c r="AB929" s="739"/>
      <c r="AC929" s="741"/>
      <c r="AD929" s="741"/>
      <c r="AE929" s="741"/>
      <c r="AF929" s="741"/>
      <c r="AG929" s="741"/>
      <c r="AH929" s="741"/>
      <c r="AI929" s="741"/>
      <c r="AJ929" s="741"/>
      <c r="AK929" s="741"/>
      <c r="AL929" s="741"/>
      <c r="AM929" s="742"/>
      <c r="AN929" s="743" t="str">
        <f t="shared" si="38"/>
        <v/>
      </c>
      <c r="AO929" s="744" t="str">
        <f t="shared" si="39"/>
        <v/>
      </c>
      <c r="AP929" s="745">
        <f>'09월 에너지'!S931</f>
        <v>0</v>
      </c>
    </row>
    <row r="930" spans="1:42" ht="16.5" customHeight="1">
      <c r="A930" s="999" t="str">
        <f>'09월 조업일지'!A930</f>
        <v/>
      </c>
      <c r="B930" s="1100" t="str">
        <f>'09월 조업일지'!B930</f>
        <v/>
      </c>
      <c r="C930" s="730" t="str">
        <f>'09월 조업일지'!G930</f>
        <v/>
      </c>
      <c r="D930" s="731" t="str">
        <f>'09월 조업일지'!E930</f>
        <v/>
      </c>
      <c r="E930" s="732" t="str">
        <f>'09월 조업일지'!F930</f>
        <v/>
      </c>
      <c r="F930" s="1096" t="str">
        <f>'09월 에너지'!F932</f>
        <v/>
      </c>
      <c r="G930" s="733"/>
      <c r="H930" s="734"/>
      <c r="I930" s="734"/>
      <c r="J930" s="734"/>
      <c r="K930" s="735"/>
      <c r="L930" s="734"/>
      <c r="M930" s="736"/>
      <c r="N930" s="737"/>
      <c r="O930" s="737"/>
      <c r="P930" s="737"/>
      <c r="Q930" s="737"/>
      <c r="R930" s="737"/>
      <c r="S930" s="737"/>
      <c r="T930" s="737"/>
      <c r="U930" s="738"/>
      <c r="V930" s="739"/>
      <c r="W930" s="737"/>
      <c r="X930" s="737"/>
      <c r="Y930" s="737"/>
      <c r="Z930" s="1202"/>
      <c r="AA930" s="740"/>
      <c r="AB930" s="739"/>
      <c r="AC930" s="741"/>
      <c r="AD930" s="741"/>
      <c r="AE930" s="741"/>
      <c r="AF930" s="741"/>
      <c r="AG930" s="741"/>
      <c r="AH930" s="741"/>
      <c r="AI930" s="741"/>
      <c r="AJ930" s="741"/>
      <c r="AK930" s="741"/>
      <c r="AL930" s="741"/>
      <c r="AM930" s="742"/>
      <c r="AN930" s="743" t="str">
        <f t="shared" si="38"/>
        <v/>
      </c>
      <c r="AO930" s="744" t="str">
        <f t="shared" si="39"/>
        <v/>
      </c>
      <c r="AP930" s="745">
        <f>'09월 에너지'!S932</f>
        <v>0</v>
      </c>
    </row>
    <row r="931" spans="1:42" ht="16.5" customHeight="1">
      <c r="A931" s="999" t="str">
        <f>'09월 조업일지'!A931</f>
        <v/>
      </c>
      <c r="B931" s="1100" t="str">
        <f>'09월 조업일지'!B931</f>
        <v/>
      </c>
      <c r="C931" s="730" t="str">
        <f>'09월 조업일지'!G931</f>
        <v/>
      </c>
      <c r="D931" s="731" t="str">
        <f>'09월 조업일지'!E931</f>
        <v/>
      </c>
      <c r="E931" s="732" t="str">
        <f>'09월 조업일지'!F931</f>
        <v/>
      </c>
      <c r="F931" s="1096" t="str">
        <f>'09월 에너지'!F933</f>
        <v/>
      </c>
      <c r="G931" s="733"/>
      <c r="H931" s="734"/>
      <c r="I931" s="734"/>
      <c r="J931" s="734"/>
      <c r="K931" s="735"/>
      <c r="L931" s="734"/>
      <c r="M931" s="736"/>
      <c r="N931" s="737"/>
      <c r="O931" s="737"/>
      <c r="P931" s="737"/>
      <c r="Q931" s="737"/>
      <c r="R931" s="737"/>
      <c r="S931" s="737"/>
      <c r="T931" s="737"/>
      <c r="U931" s="738"/>
      <c r="V931" s="739"/>
      <c r="W931" s="737"/>
      <c r="X931" s="737"/>
      <c r="Y931" s="737"/>
      <c r="Z931" s="1202"/>
      <c r="AA931" s="740"/>
      <c r="AB931" s="739"/>
      <c r="AC931" s="741"/>
      <c r="AD931" s="741"/>
      <c r="AE931" s="741"/>
      <c r="AF931" s="741"/>
      <c r="AG931" s="741"/>
      <c r="AH931" s="741"/>
      <c r="AI931" s="741"/>
      <c r="AJ931" s="741"/>
      <c r="AK931" s="741"/>
      <c r="AL931" s="741"/>
      <c r="AM931" s="742"/>
      <c r="AN931" s="743" t="str">
        <f t="shared" si="38"/>
        <v/>
      </c>
      <c r="AO931" s="744" t="str">
        <f t="shared" si="39"/>
        <v/>
      </c>
      <c r="AP931" s="745">
        <f>'09월 에너지'!S933</f>
        <v>0</v>
      </c>
    </row>
    <row r="932" spans="1:42" ht="16.5" customHeight="1">
      <c r="A932" s="999" t="str">
        <f>'09월 조업일지'!A932</f>
        <v/>
      </c>
      <c r="B932" s="1100" t="str">
        <f>'09월 조업일지'!B932</f>
        <v/>
      </c>
      <c r="C932" s="730" t="str">
        <f>'09월 조업일지'!G932</f>
        <v/>
      </c>
      <c r="D932" s="731" t="str">
        <f>'09월 조업일지'!E932</f>
        <v/>
      </c>
      <c r="E932" s="732" t="str">
        <f>'09월 조업일지'!F932</f>
        <v/>
      </c>
      <c r="F932" s="1096" t="str">
        <f>'09월 에너지'!F934</f>
        <v/>
      </c>
      <c r="G932" s="733"/>
      <c r="H932" s="734"/>
      <c r="I932" s="734"/>
      <c r="J932" s="734"/>
      <c r="K932" s="735"/>
      <c r="L932" s="734"/>
      <c r="M932" s="736"/>
      <c r="N932" s="737"/>
      <c r="O932" s="737"/>
      <c r="P932" s="737"/>
      <c r="Q932" s="737"/>
      <c r="R932" s="737"/>
      <c r="S932" s="737"/>
      <c r="T932" s="737"/>
      <c r="U932" s="738"/>
      <c r="V932" s="739"/>
      <c r="W932" s="737"/>
      <c r="X932" s="737"/>
      <c r="Y932" s="737"/>
      <c r="Z932" s="1202"/>
      <c r="AA932" s="740"/>
      <c r="AB932" s="739"/>
      <c r="AC932" s="741"/>
      <c r="AD932" s="741"/>
      <c r="AE932" s="741"/>
      <c r="AF932" s="741"/>
      <c r="AG932" s="741"/>
      <c r="AH932" s="741"/>
      <c r="AI932" s="741"/>
      <c r="AJ932" s="741"/>
      <c r="AK932" s="741"/>
      <c r="AL932" s="741"/>
      <c r="AM932" s="742"/>
      <c r="AN932" s="743" t="str">
        <f t="shared" si="38"/>
        <v/>
      </c>
      <c r="AO932" s="744" t="str">
        <f t="shared" si="39"/>
        <v/>
      </c>
      <c r="AP932" s="745">
        <f>'09월 에너지'!S934</f>
        <v>0</v>
      </c>
    </row>
    <row r="933" spans="1:42" ht="16.5" customHeight="1">
      <c r="A933" s="999" t="str">
        <f>'09월 조업일지'!A933</f>
        <v/>
      </c>
      <c r="B933" s="1100" t="str">
        <f>'09월 조업일지'!B933</f>
        <v/>
      </c>
      <c r="C933" s="730" t="str">
        <f>'09월 조업일지'!G933</f>
        <v/>
      </c>
      <c r="D933" s="731" t="str">
        <f>'09월 조업일지'!E933</f>
        <v/>
      </c>
      <c r="E933" s="732" t="str">
        <f>'09월 조업일지'!F933</f>
        <v/>
      </c>
      <c r="F933" s="1096" t="str">
        <f>'09월 에너지'!F935</f>
        <v/>
      </c>
      <c r="G933" s="733"/>
      <c r="H933" s="734"/>
      <c r="I933" s="734"/>
      <c r="J933" s="734"/>
      <c r="K933" s="735"/>
      <c r="L933" s="734"/>
      <c r="M933" s="736"/>
      <c r="N933" s="737"/>
      <c r="O933" s="737"/>
      <c r="P933" s="737"/>
      <c r="Q933" s="737"/>
      <c r="R933" s="737"/>
      <c r="S933" s="737"/>
      <c r="T933" s="737"/>
      <c r="U933" s="738"/>
      <c r="V933" s="739"/>
      <c r="W933" s="737"/>
      <c r="X933" s="737"/>
      <c r="Y933" s="737"/>
      <c r="Z933" s="1202"/>
      <c r="AA933" s="740"/>
      <c r="AB933" s="739"/>
      <c r="AC933" s="741"/>
      <c r="AD933" s="741"/>
      <c r="AE933" s="741"/>
      <c r="AF933" s="741"/>
      <c r="AG933" s="741"/>
      <c r="AH933" s="741"/>
      <c r="AI933" s="741"/>
      <c r="AJ933" s="741"/>
      <c r="AK933" s="741"/>
      <c r="AL933" s="741"/>
      <c r="AM933" s="742"/>
      <c r="AN933" s="743" t="str">
        <f t="shared" si="38"/>
        <v/>
      </c>
      <c r="AO933" s="744" t="str">
        <f t="shared" si="39"/>
        <v/>
      </c>
      <c r="AP933" s="745">
        <f>'09월 에너지'!S935</f>
        <v>0</v>
      </c>
    </row>
    <row r="934" spans="1:42" ht="16.5" customHeight="1">
      <c r="A934" s="999" t="str">
        <f>'09월 조업일지'!A934</f>
        <v/>
      </c>
      <c r="B934" s="1100" t="str">
        <f>'09월 조업일지'!B934</f>
        <v/>
      </c>
      <c r="C934" s="730" t="str">
        <f>'09월 조업일지'!G934</f>
        <v/>
      </c>
      <c r="D934" s="731" t="str">
        <f>'09월 조업일지'!E934</f>
        <v/>
      </c>
      <c r="E934" s="732" t="str">
        <f>'09월 조업일지'!F934</f>
        <v/>
      </c>
      <c r="F934" s="1096" t="str">
        <f>'09월 에너지'!F936</f>
        <v/>
      </c>
      <c r="G934" s="733"/>
      <c r="H934" s="734"/>
      <c r="I934" s="734"/>
      <c r="J934" s="734"/>
      <c r="K934" s="735"/>
      <c r="L934" s="734"/>
      <c r="M934" s="736"/>
      <c r="N934" s="737"/>
      <c r="O934" s="737"/>
      <c r="P934" s="737"/>
      <c r="Q934" s="737"/>
      <c r="R934" s="737"/>
      <c r="S934" s="737"/>
      <c r="T934" s="737"/>
      <c r="U934" s="738"/>
      <c r="V934" s="739"/>
      <c r="W934" s="737"/>
      <c r="X934" s="737"/>
      <c r="Y934" s="737"/>
      <c r="Z934" s="1202"/>
      <c r="AA934" s="740"/>
      <c r="AB934" s="739"/>
      <c r="AC934" s="741"/>
      <c r="AD934" s="741"/>
      <c r="AE934" s="741"/>
      <c r="AF934" s="741"/>
      <c r="AG934" s="741"/>
      <c r="AH934" s="741"/>
      <c r="AI934" s="741"/>
      <c r="AJ934" s="741"/>
      <c r="AK934" s="741"/>
      <c r="AL934" s="741"/>
      <c r="AM934" s="742"/>
      <c r="AN934" s="743" t="str">
        <f t="shared" si="38"/>
        <v/>
      </c>
      <c r="AO934" s="744" t="str">
        <f t="shared" si="39"/>
        <v/>
      </c>
      <c r="AP934" s="745">
        <f>'09월 에너지'!S936</f>
        <v>0</v>
      </c>
    </row>
    <row r="935" spans="1:42" ht="16.5" customHeight="1">
      <c r="A935" s="999" t="str">
        <f>'09월 조업일지'!A935</f>
        <v/>
      </c>
      <c r="B935" s="1100" t="str">
        <f>'09월 조업일지'!B935</f>
        <v/>
      </c>
      <c r="C935" s="730" t="str">
        <f>'09월 조업일지'!G935</f>
        <v/>
      </c>
      <c r="D935" s="731" t="str">
        <f>'09월 조업일지'!E935</f>
        <v/>
      </c>
      <c r="E935" s="732" t="str">
        <f>'09월 조업일지'!F935</f>
        <v/>
      </c>
      <c r="F935" s="1096" t="str">
        <f>'09월 에너지'!F937</f>
        <v/>
      </c>
      <c r="G935" s="733"/>
      <c r="H935" s="734"/>
      <c r="I935" s="734"/>
      <c r="J935" s="734"/>
      <c r="K935" s="735"/>
      <c r="L935" s="734"/>
      <c r="M935" s="736"/>
      <c r="N935" s="737"/>
      <c r="O935" s="737"/>
      <c r="P935" s="737"/>
      <c r="Q935" s="737"/>
      <c r="R935" s="737"/>
      <c r="S935" s="737"/>
      <c r="T935" s="737"/>
      <c r="U935" s="738"/>
      <c r="V935" s="739"/>
      <c r="W935" s="737"/>
      <c r="X935" s="737"/>
      <c r="Y935" s="737"/>
      <c r="Z935" s="1202"/>
      <c r="AA935" s="740"/>
      <c r="AB935" s="739"/>
      <c r="AC935" s="741"/>
      <c r="AD935" s="741"/>
      <c r="AE935" s="741"/>
      <c r="AF935" s="741"/>
      <c r="AG935" s="741"/>
      <c r="AH935" s="741"/>
      <c r="AI935" s="741"/>
      <c r="AJ935" s="741"/>
      <c r="AK935" s="741"/>
      <c r="AL935" s="741"/>
      <c r="AM935" s="742"/>
      <c r="AN935" s="743" t="str">
        <f t="shared" si="38"/>
        <v/>
      </c>
      <c r="AO935" s="744" t="str">
        <f t="shared" si="39"/>
        <v/>
      </c>
      <c r="AP935" s="745">
        <f>'09월 에너지'!S937</f>
        <v>0</v>
      </c>
    </row>
    <row r="936" spans="1:42" ht="16.5" customHeight="1">
      <c r="A936" s="999" t="str">
        <f>'09월 조업일지'!A936</f>
        <v/>
      </c>
      <c r="B936" s="1100" t="str">
        <f>'09월 조업일지'!B936</f>
        <v/>
      </c>
      <c r="C936" s="730" t="str">
        <f>'09월 조업일지'!G936</f>
        <v/>
      </c>
      <c r="D936" s="731" t="str">
        <f>'09월 조업일지'!E936</f>
        <v/>
      </c>
      <c r="E936" s="732" t="str">
        <f>'09월 조업일지'!F936</f>
        <v/>
      </c>
      <c r="F936" s="1096" t="str">
        <f>'09월 에너지'!F938</f>
        <v/>
      </c>
      <c r="G936" s="733"/>
      <c r="H936" s="734"/>
      <c r="I936" s="734"/>
      <c r="J936" s="734"/>
      <c r="K936" s="735"/>
      <c r="L936" s="734"/>
      <c r="M936" s="736"/>
      <c r="N936" s="737"/>
      <c r="O936" s="737"/>
      <c r="P936" s="737"/>
      <c r="Q936" s="737"/>
      <c r="R936" s="737"/>
      <c r="S936" s="737"/>
      <c r="T936" s="737"/>
      <c r="U936" s="738"/>
      <c r="V936" s="739"/>
      <c r="W936" s="737"/>
      <c r="X936" s="737"/>
      <c r="Y936" s="737"/>
      <c r="Z936" s="1202"/>
      <c r="AA936" s="740"/>
      <c r="AB936" s="739"/>
      <c r="AC936" s="741"/>
      <c r="AD936" s="741"/>
      <c r="AE936" s="741"/>
      <c r="AF936" s="741"/>
      <c r="AG936" s="741"/>
      <c r="AH936" s="741"/>
      <c r="AI936" s="741"/>
      <c r="AJ936" s="741"/>
      <c r="AK936" s="741"/>
      <c r="AL936" s="741"/>
      <c r="AM936" s="742"/>
      <c r="AN936" s="743" t="str">
        <f t="shared" si="38"/>
        <v/>
      </c>
      <c r="AO936" s="744" t="str">
        <f t="shared" si="39"/>
        <v/>
      </c>
      <c r="AP936" s="745">
        <f>'09월 에너지'!S938</f>
        <v>0</v>
      </c>
    </row>
    <row r="937" spans="1:42" ht="16.5" customHeight="1">
      <c r="A937" s="999" t="str">
        <f>'09월 조업일지'!A937</f>
        <v/>
      </c>
      <c r="B937" s="1100" t="str">
        <f>'09월 조업일지'!B937</f>
        <v/>
      </c>
      <c r="C937" s="730" t="str">
        <f>'09월 조업일지'!G937</f>
        <v/>
      </c>
      <c r="D937" s="731" t="str">
        <f>'09월 조업일지'!E937</f>
        <v/>
      </c>
      <c r="E937" s="732" t="str">
        <f>'09월 조업일지'!F937</f>
        <v/>
      </c>
      <c r="F937" s="1096" t="str">
        <f>'09월 에너지'!F939</f>
        <v/>
      </c>
      <c r="G937" s="733"/>
      <c r="H937" s="734"/>
      <c r="I937" s="734"/>
      <c r="J937" s="734"/>
      <c r="K937" s="735"/>
      <c r="L937" s="734"/>
      <c r="M937" s="736"/>
      <c r="N937" s="737"/>
      <c r="O937" s="737"/>
      <c r="P937" s="737"/>
      <c r="Q937" s="737"/>
      <c r="R937" s="737"/>
      <c r="S937" s="737"/>
      <c r="T937" s="737"/>
      <c r="U937" s="738"/>
      <c r="V937" s="739"/>
      <c r="W937" s="737"/>
      <c r="X937" s="737"/>
      <c r="Y937" s="737"/>
      <c r="Z937" s="1202"/>
      <c r="AA937" s="740"/>
      <c r="AB937" s="739"/>
      <c r="AC937" s="741"/>
      <c r="AD937" s="741"/>
      <c r="AE937" s="741"/>
      <c r="AF937" s="741"/>
      <c r="AG937" s="741"/>
      <c r="AH937" s="741"/>
      <c r="AI937" s="741"/>
      <c r="AJ937" s="741"/>
      <c r="AK937" s="741"/>
      <c r="AL937" s="741"/>
      <c r="AM937" s="742"/>
      <c r="AN937" s="743" t="str">
        <f t="shared" si="38"/>
        <v/>
      </c>
      <c r="AO937" s="744" t="str">
        <f t="shared" si="39"/>
        <v/>
      </c>
      <c r="AP937" s="745">
        <f>'09월 에너지'!S939</f>
        <v>0</v>
      </c>
    </row>
    <row r="938" spans="1:42" ht="16.5" customHeight="1">
      <c r="A938" s="999" t="str">
        <f>'09월 조업일지'!A938</f>
        <v/>
      </c>
      <c r="B938" s="1100" t="str">
        <f>'09월 조업일지'!B938</f>
        <v/>
      </c>
      <c r="C938" s="730" t="str">
        <f>'09월 조업일지'!G938</f>
        <v/>
      </c>
      <c r="D938" s="731" t="str">
        <f>'09월 조업일지'!E938</f>
        <v/>
      </c>
      <c r="E938" s="732" t="str">
        <f>'09월 조업일지'!F938</f>
        <v/>
      </c>
      <c r="F938" s="1096" t="str">
        <f>'09월 에너지'!F940</f>
        <v/>
      </c>
      <c r="G938" s="733"/>
      <c r="H938" s="734"/>
      <c r="I938" s="734"/>
      <c r="J938" s="734"/>
      <c r="K938" s="735"/>
      <c r="L938" s="734"/>
      <c r="M938" s="736"/>
      <c r="N938" s="737"/>
      <c r="O938" s="737"/>
      <c r="P938" s="737"/>
      <c r="Q938" s="737"/>
      <c r="R938" s="737"/>
      <c r="S938" s="737"/>
      <c r="T938" s="737"/>
      <c r="U938" s="738"/>
      <c r="V938" s="739"/>
      <c r="W938" s="737"/>
      <c r="X938" s="737"/>
      <c r="Y938" s="737"/>
      <c r="Z938" s="1202"/>
      <c r="AA938" s="740"/>
      <c r="AB938" s="739"/>
      <c r="AC938" s="741"/>
      <c r="AD938" s="741"/>
      <c r="AE938" s="741"/>
      <c r="AF938" s="741"/>
      <c r="AG938" s="741"/>
      <c r="AH938" s="741"/>
      <c r="AI938" s="741"/>
      <c r="AJ938" s="741"/>
      <c r="AK938" s="741"/>
      <c r="AL938" s="741"/>
      <c r="AM938" s="742"/>
      <c r="AN938" s="743" t="str">
        <f t="shared" si="38"/>
        <v/>
      </c>
      <c r="AO938" s="744" t="str">
        <f t="shared" si="39"/>
        <v/>
      </c>
      <c r="AP938" s="745">
        <f>'09월 에너지'!S940</f>
        <v>0</v>
      </c>
    </row>
    <row r="939" spans="1:42" ht="16.5" customHeight="1">
      <c r="A939" s="999" t="str">
        <f>'09월 조업일지'!A939</f>
        <v/>
      </c>
      <c r="B939" s="1100" t="str">
        <f>'09월 조업일지'!B939</f>
        <v/>
      </c>
      <c r="C939" s="730" t="str">
        <f>'09월 조업일지'!G939</f>
        <v/>
      </c>
      <c r="D939" s="731" t="str">
        <f>'09월 조업일지'!E939</f>
        <v/>
      </c>
      <c r="E939" s="732" t="str">
        <f>'09월 조업일지'!F939</f>
        <v/>
      </c>
      <c r="F939" s="1096" t="str">
        <f>'09월 에너지'!F941</f>
        <v/>
      </c>
      <c r="G939" s="733"/>
      <c r="H939" s="734"/>
      <c r="I939" s="734"/>
      <c r="J939" s="734"/>
      <c r="K939" s="735"/>
      <c r="L939" s="734"/>
      <c r="M939" s="736"/>
      <c r="N939" s="737"/>
      <c r="O939" s="737"/>
      <c r="P939" s="737"/>
      <c r="Q939" s="737"/>
      <c r="R939" s="737"/>
      <c r="S939" s="737"/>
      <c r="T939" s="737"/>
      <c r="U939" s="738"/>
      <c r="V939" s="739"/>
      <c r="W939" s="737"/>
      <c r="X939" s="737"/>
      <c r="Y939" s="737"/>
      <c r="Z939" s="1202"/>
      <c r="AA939" s="740"/>
      <c r="AB939" s="739"/>
      <c r="AC939" s="741"/>
      <c r="AD939" s="741"/>
      <c r="AE939" s="741"/>
      <c r="AF939" s="741"/>
      <c r="AG939" s="741"/>
      <c r="AH939" s="741"/>
      <c r="AI939" s="741"/>
      <c r="AJ939" s="741"/>
      <c r="AK939" s="741"/>
      <c r="AL939" s="741"/>
      <c r="AM939" s="742"/>
      <c r="AN939" s="743" t="str">
        <f t="shared" si="38"/>
        <v/>
      </c>
      <c r="AO939" s="744" t="str">
        <f t="shared" si="39"/>
        <v/>
      </c>
      <c r="AP939" s="745">
        <f>'09월 에너지'!S941</f>
        <v>0</v>
      </c>
    </row>
    <row r="940" spans="1:42" ht="16.5" customHeight="1">
      <c r="A940" s="999" t="str">
        <f>'09월 조업일지'!A940</f>
        <v/>
      </c>
      <c r="B940" s="1100" t="str">
        <f>'09월 조업일지'!B940</f>
        <v/>
      </c>
      <c r="C940" s="730" t="str">
        <f>'09월 조업일지'!G940</f>
        <v/>
      </c>
      <c r="D940" s="731" t="str">
        <f>'09월 조업일지'!E940</f>
        <v/>
      </c>
      <c r="E940" s="732" t="str">
        <f>'09월 조업일지'!F940</f>
        <v/>
      </c>
      <c r="F940" s="1096" t="str">
        <f>'09월 에너지'!F942</f>
        <v/>
      </c>
      <c r="G940" s="733"/>
      <c r="H940" s="734"/>
      <c r="I940" s="734"/>
      <c r="J940" s="734"/>
      <c r="K940" s="735"/>
      <c r="L940" s="734"/>
      <c r="M940" s="736"/>
      <c r="N940" s="737"/>
      <c r="O940" s="737"/>
      <c r="P940" s="737"/>
      <c r="Q940" s="737"/>
      <c r="R940" s="737"/>
      <c r="S940" s="737"/>
      <c r="T940" s="737"/>
      <c r="U940" s="738"/>
      <c r="V940" s="739"/>
      <c r="W940" s="737"/>
      <c r="X940" s="737"/>
      <c r="Y940" s="737"/>
      <c r="Z940" s="1202"/>
      <c r="AA940" s="740"/>
      <c r="AB940" s="739"/>
      <c r="AC940" s="741"/>
      <c r="AD940" s="741"/>
      <c r="AE940" s="741"/>
      <c r="AF940" s="741"/>
      <c r="AG940" s="741"/>
      <c r="AH940" s="741"/>
      <c r="AI940" s="741"/>
      <c r="AJ940" s="741"/>
      <c r="AK940" s="741"/>
      <c r="AL940" s="741"/>
      <c r="AM940" s="742"/>
      <c r="AN940" s="743" t="str">
        <f t="shared" si="38"/>
        <v/>
      </c>
      <c r="AO940" s="744" t="str">
        <f t="shared" si="39"/>
        <v/>
      </c>
      <c r="AP940" s="745">
        <f>'09월 에너지'!S942</f>
        <v>0</v>
      </c>
    </row>
    <row r="941" spans="1:42" ht="16.5" customHeight="1">
      <c r="A941" s="999" t="str">
        <f>'09월 조업일지'!A941</f>
        <v/>
      </c>
      <c r="B941" s="1100" t="str">
        <f>'09월 조업일지'!B941</f>
        <v/>
      </c>
      <c r="C941" s="730" t="str">
        <f>'09월 조업일지'!G941</f>
        <v/>
      </c>
      <c r="D941" s="731" t="str">
        <f>'09월 조업일지'!E941</f>
        <v/>
      </c>
      <c r="E941" s="732" t="str">
        <f>'09월 조업일지'!F941</f>
        <v/>
      </c>
      <c r="F941" s="1096" t="str">
        <f>'09월 에너지'!F943</f>
        <v/>
      </c>
      <c r="G941" s="733"/>
      <c r="H941" s="734"/>
      <c r="I941" s="734"/>
      <c r="J941" s="734"/>
      <c r="K941" s="735"/>
      <c r="L941" s="734"/>
      <c r="M941" s="736"/>
      <c r="N941" s="737"/>
      <c r="O941" s="737"/>
      <c r="P941" s="737"/>
      <c r="Q941" s="737"/>
      <c r="R941" s="737"/>
      <c r="S941" s="737"/>
      <c r="T941" s="737"/>
      <c r="U941" s="738"/>
      <c r="V941" s="739"/>
      <c r="W941" s="737"/>
      <c r="X941" s="737"/>
      <c r="Y941" s="737"/>
      <c r="Z941" s="1202"/>
      <c r="AA941" s="740"/>
      <c r="AB941" s="739"/>
      <c r="AC941" s="741"/>
      <c r="AD941" s="741"/>
      <c r="AE941" s="741"/>
      <c r="AF941" s="741"/>
      <c r="AG941" s="741"/>
      <c r="AH941" s="741"/>
      <c r="AI941" s="741"/>
      <c r="AJ941" s="741"/>
      <c r="AK941" s="741"/>
      <c r="AL941" s="741"/>
      <c r="AM941" s="742"/>
      <c r="AN941" s="743" t="str">
        <f t="shared" si="38"/>
        <v/>
      </c>
      <c r="AO941" s="744" t="str">
        <f t="shared" si="39"/>
        <v/>
      </c>
      <c r="AP941" s="745">
        <f>'09월 에너지'!S943</f>
        <v>0</v>
      </c>
    </row>
    <row r="942" spans="1:42" ht="16.5" customHeight="1">
      <c r="A942" s="999" t="str">
        <f>'09월 조업일지'!A942</f>
        <v/>
      </c>
      <c r="B942" s="1100" t="str">
        <f>'09월 조업일지'!B942</f>
        <v/>
      </c>
      <c r="C942" s="730" t="str">
        <f>'09월 조업일지'!G942</f>
        <v/>
      </c>
      <c r="D942" s="731" t="str">
        <f>'09월 조업일지'!E942</f>
        <v/>
      </c>
      <c r="E942" s="732" t="str">
        <f>'09월 조업일지'!F942</f>
        <v/>
      </c>
      <c r="F942" s="1096" t="str">
        <f>'09월 에너지'!F944</f>
        <v/>
      </c>
      <c r="G942" s="733"/>
      <c r="H942" s="734"/>
      <c r="I942" s="734"/>
      <c r="J942" s="734"/>
      <c r="K942" s="735"/>
      <c r="L942" s="734"/>
      <c r="M942" s="736"/>
      <c r="N942" s="737"/>
      <c r="O942" s="737"/>
      <c r="P942" s="737"/>
      <c r="Q942" s="737"/>
      <c r="R942" s="737"/>
      <c r="S942" s="737"/>
      <c r="T942" s="737"/>
      <c r="U942" s="738"/>
      <c r="V942" s="739"/>
      <c r="W942" s="737"/>
      <c r="X942" s="737"/>
      <c r="Y942" s="737"/>
      <c r="Z942" s="1202"/>
      <c r="AA942" s="740"/>
      <c r="AB942" s="739"/>
      <c r="AC942" s="741"/>
      <c r="AD942" s="741"/>
      <c r="AE942" s="741"/>
      <c r="AF942" s="741"/>
      <c r="AG942" s="741"/>
      <c r="AH942" s="741"/>
      <c r="AI942" s="741"/>
      <c r="AJ942" s="741"/>
      <c r="AK942" s="741"/>
      <c r="AL942" s="741"/>
      <c r="AM942" s="742"/>
      <c r="AN942" s="743" t="str">
        <f t="shared" si="38"/>
        <v/>
      </c>
      <c r="AO942" s="744" t="str">
        <f t="shared" si="39"/>
        <v/>
      </c>
      <c r="AP942" s="745">
        <f>'09월 에너지'!S944</f>
        <v>0</v>
      </c>
    </row>
    <row r="943" spans="1:42" ht="16.5" customHeight="1">
      <c r="A943" s="999" t="str">
        <f>'09월 조업일지'!A943</f>
        <v/>
      </c>
      <c r="B943" s="1100" t="str">
        <f>'09월 조업일지'!B943</f>
        <v/>
      </c>
      <c r="C943" s="730" t="str">
        <f>'09월 조업일지'!G943</f>
        <v/>
      </c>
      <c r="D943" s="731" t="str">
        <f>'09월 조업일지'!E943</f>
        <v/>
      </c>
      <c r="E943" s="732" t="str">
        <f>'09월 조업일지'!F943</f>
        <v/>
      </c>
      <c r="F943" s="1096" t="str">
        <f>'09월 에너지'!F945</f>
        <v/>
      </c>
      <c r="G943" s="733"/>
      <c r="H943" s="734"/>
      <c r="I943" s="734"/>
      <c r="J943" s="734"/>
      <c r="K943" s="735"/>
      <c r="L943" s="734"/>
      <c r="M943" s="736"/>
      <c r="N943" s="737"/>
      <c r="O943" s="737"/>
      <c r="P943" s="737"/>
      <c r="Q943" s="737"/>
      <c r="R943" s="737"/>
      <c r="S943" s="737"/>
      <c r="T943" s="737"/>
      <c r="U943" s="738"/>
      <c r="V943" s="739"/>
      <c r="W943" s="737"/>
      <c r="X943" s="737"/>
      <c r="Y943" s="737"/>
      <c r="Z943" s="1202"/>
      <c r="AA943" s="740"/>
      <c r="AB943" s="739"/>
      <c r="AC943" s="741"/>
      <c r="AD943" s="741"/>
      <c r="AE943" s="741"/>
      <c r="AF943" s="741"/>
      <c r="AG943" s="741"/>
      <c r="AH943" s="741"/>
      <c r="AI943" s="741"/>
      <c r="AJ943" s="741"/>
      <c r="AK943" s="741"/>
      <c r="AL943" s="741"/>
      <c r="AM943" s="742"/>
      <c r="AN943" s="743" t="str">
        <f t="shared" si="38"/>
        <v/>
      </c>
      <c r="AO943" s="744" t="str">
        <f t="shared" si="39"/>
        <v/>
      </c>
      <c r="AP943" s="745">
        <f>'09월 에너지'!S945</f>
        <v>0</v>
      </c>
    </row>
    <row r="944" spans="1:42" ht="16.5" customHeight="1">
      <c r="A944" s="999" t="str">
        <f>'09월 조업일지'!A944</f>
        <v/>
      </c>
      <c r="B944" s="1100" t="str">
        <f>'09월 조업일지'!B944</f>
        <v/>
      </c>
      <c r="C944" s="730" t="str">
        <f>'09월 조업일지'!G944</f>
        <v/>
      </c>
      <c r="D944" s="731" t="str">
        <f>'09월 조업일지'!E944</f>
        <v/>
      </c>
      <c r="E944" s="732" t="str">
        <f>'09월 조업일지'!F944</f>
        <v/>
      </c>
      <c r="F944" s="1096" t="str">
        <f>'09월 에너지'!F946</f>
        <v/>
      </c>
      <c r="G944" s="733"/>
      <c r="H944" s="734"/>
      <c r="I944" s="734"/>
      <c r="J944" s="734"/>
      <c r="K944" s="735"/>
      <c r="L944" s="734"/>
      <c r="M944" s="736"/>
      <c r="N944" s="737"/>
      <c r="O944" s="737"/>
      <c r="P944" s="737"/>
      <c r="Q944" s="737"/>
      <c r="R944" s="737"/>
      <c r="S944" s="737"/>
      <c r="T944" s="737"/>
      <c r="U944" s="738"/>
      <c r="V944" s="739"/>
      <c r="W944" s="737"/>
      <c r="X944" s="737"/>
      <c r="Y944" s="737"/>
      <c r="Z944" s="1202"/>
      <c r="AA944" s="740"/>
      <c r="AB944" s="739"/>
      <c r="AC944" s="741"/>
      <c r="AD944" s="741"/>
      <c r="AE944" s="741"/>
      <c r="AF944" s="741"/>
      <c r="AG944" s="741"/>
      <c r="AH944" s="741"/>
      <c r="AI944" s="741"/>
      <c r="AJ944" s="741"/>
      <c r="AK944" s="741"/>
      <c r="AL944" s="741"/>
      <c r="AM944" s="742"/>
      <c r="AN944" s="743" t="str">
        <f t="shared" si="38"/>
        <v/>
      </c>
      <c r="AO944" s="744" t="str">
        <f t="shared" si="39"/>
        <v/>
      </c>
      <c r="AP944" s="745">
        <f>'09월 에너지'!S946</f>
        <v>0</v>
      </c>
    </row>
    <row r="945" spans="1:42" ht="16.5" customHeight="1">
      <c r="A945" s="999" t="str">
        <f>'09월 조업일지'!A945</f>
        <v/>
      </c>
      <c r="B945" s="1100" t="str">
        <f>'09월 조업일지'!B945</f>
        <v/>
      </c>
      <c r="C945" s="730" t="str">
        <f>'09월 조업일지'!G945</f>
        <v/>
      </c>
      <c r="D945" s="731" t="str">
        <f>'09월 조업일지'!E945</f>
        <v/>
      </c>
      <c r="E945" s="732" t="str">
        <f>'09월 조업일지'!F945</f>
        <v/>
      </c>
      <c r="F945" s="1096" t="str">
        <f>'09월 에너지'!F947</f>
        <v/>
      </c>
      <c r="G945" s="733"/>
      <c r="H945" s="734"/>
      <c r="I945" s="734"/>
      <c r="J945" s="734"/>
      <c r="K945" s="735"/>
      <c r="L945" s="734"/>
      <c r="M945" s="736"/>
      <c r="N945" s="737"/>
      <c r="O945" s="737"/>
      <c r="P945" s="737"/>
      <c r="Q945" s="737"/>
      <c r="R945" s="737"/>
      <c r="S945" s="737"/>
      <c r="T945" s="737"/>
      <c r="U945" s="738"/>
      <c r="V945" s="739"/>
      <c r="W945" s="737"/>
      <c r="X945" s="737"/>
      <c r="Y945" s="737"/>
      <c r="Z945" s="1202"/>
      <c r="AA945" s="740"/>
      <c r="AB945" s="739"/>
      <c r="AC945" s="741"/>
      <c r="AD945" s="741"/>
      <c r="AE945" s="741"/>
      <c r="AF945" s="741"/>
      <c r="AG945" s="741"/>
      <c r="AH945" s="741"/>
      <c r="AI945" s="741"/>
      <c r="AJ945" s="741"/>
      <c r="AK945" s="741"/>
      <c r="AL945" s="741"/>
      <c r="AM945" s="742"/>
      <c r="AN945" s="743" t="str">
        <f t="shared" si="38"/>
        <v/>
      </c>
      <c r="AO945" s="744" t="str">
        <f t="shared" si="39"/>
        <v/>
      </c>
      <c r="AP945" s="745">
        <f>'09월 에너지'!S947</f>
        <v>0</v>
      </c>
    </row>
    <row r="946" spans="1:42" ht="16.5" customHeight="1">
      <c r="A946" s="999" t="str">
        <f>'09월 조업일지'!A946</f>
        <v/>
      </c>
      <c r="B946" s="1100" t="str">
        <f>'09월 조업일지'!B946</f>
        <v/>
      </c>
      <c r="C946" s="730" t="str">
        <f>'09월 조업일지'!G946</f>
        <v/>
      </c>
      <c r="D946" s="731" t="str">
        <f>'09월 조업일지'!E946</f>
        <v/>
      </c>
      <c r="E946" s="732" t="str">
        <f>'09월 조업일지'!F946</f>
        <v/>
      </c>
      <c r="F946" s="1096" t="str">
        <f>'09월 에너지'!F948</f>
        <v/>
      </c>
      <c r="G946" s="733"/>
      <c r="H946" s="734"/>
      <c r="I946" s="734"/>
      <c r="J946" s="734"/>
      <c r="K946" s="735"/>
      <c r="L946" s="734"/>
      <c r="M946" s="736"/>
      <c r="N946" s="737"/>
      <c r="O946" s="737"/>
      <c r="P946" s="737"/>
      <c r="Q946" s="737"/>
      <c r="R946" s="737"/>
      <c r="S946" s="737"/>
      <c r="T946" s="737"/>
      <c r="U946" s="738"/>
      <c r="V946" s="739"/>
      <c r="W946" s="737"/>
      <c r="X946" s="737"/>
      <c r="Y946" s="737"/>
      <c r="Z946" s="1202"/>
      <c r="AA946" s="740"/>
      <c r="AB946" s="739"/>
      <c r="AC946" s="741"/>
      <c r="AD946" s="741"/>
      <c r="AE946" s="741"/>
      <c r="AF946" s="741"/>
      <c r="AG946" s="741"/>
      <c r="AH946" s="741"/>
      <c r="AI946" s="741"/>
      <c r="AJ946" s="741"/>
      <c r="AK946" s="741"/>
      <c r="AL946" s="741"/>
      <c r="AM946" s="742"/>
      <c r="AN946" s="743" t="str">
        <f t="shared" si="38"/>
        <v/>
      </c>
      <c r="AO946" s="744" t="str">
        <f t="shared" si="39"/>
        <v/>
      </c>
      <c r="AP946" s="745">
        <f>'09월 에너지'!S948</f>
        <v>0</v>
      </c>
    </row>
    <row r="947" spans="1:42" ht="16.5" customHeight="1">
      <c r="A947" s="999" t="str">
        <f>'09월 조업일지'!A947</f>
        <v/>
      </c>
      <c r="B947" s="1100" t="str">
        <f>'09월 조업일지'!B947</f>
        <v/>
      </c>
      <c r="C947" s="730" t="str">
        <f>'09월 조업일지'!G947</f>
        <v/>
      </c>
      <c r="D947" s="731" t="str">
        <f>'09월 조업일지'!E947</f>
        <v/>
      </c>
      <c r="E947" s="732" t="str">
        <f>'09월 조업일지'!F947</f>
        <v/>
      </c>
      <c r="F947" s="1096" t="str">
        <f>'09월 에너지'!F949</f>
        <v/>
      </c>
      <c r="G947" s="733"/>
      <c r="H947" s="734"/>
      <c r="I947" s="734"/>
      <c r="J947" s="734"/>
      <c r="K947" s="735"/>
      <c r="L947" s="734"/>
      <c r="M947" s="736"/>
      <c r="N947" s="737"/>
      <c r="O947" s="737"/>
      <c r="P947" s="737"/>
      <c r="Q947" s="737"/>
      <c r="R947" s="737"/>
      <c r="S947" s="737"/>
      <c r="T947" s="737"/>
      <c r="U947" s="738"/>
      <c r="V947" s="739"/>
      <c r="W947" s="737"/>
      <c r="X947" s="737"/>
      <c r="Y947" s="737"/>
      <c r="Z947" s="1202"/>
      <c r="AA947" s="740"/>
      <c r="AB947" s="739"/>
      <c r="AC947" s="741"/>
      <c r="AD947" s="741"/>
      <c r="AE947" s="741"/>
      <c r="AF947" s="741"/>
      <c r="AG947" s="741"/>
      <c r="AH947" s="741"/>
      <c r="AI947" s="741"/>
      <c r="AJ947" s="741"/>
      <c r="AK947" s="741"/>
      <c r="AL947" s="741"/>
      <c r="AM947" s="742"/>
      <c r="AN947" s="743" t="str">
        <f t="shared" si="38"/>
        <v/>
      </c>
      <c r="AO947" s="744" t="str">
        <f t="shared" si="39"/>
        <v/>
      </c>
      <c r="AP947" s="745">
        <f>'09월 에너지'!S949</f>
        <v>0</v>
      </c>
    </row>
    <row r="948" spans="1:42" ht="16.5" customHeight="1">
      <c r="A948" s="999" t="str">
        <f>'09월 조업일지'!A948</f>
        <v/>
      </c>
      <c r="B948" s="1100" t="str">
        <f>'09월 조업일지'!B948</f>
        <v/>
      </c>
      <c r="C948" s="730" t="str">
        <f>'09월 조업일지'!G948</f>
        <v/>
      </c>
      <c r="D948" s="731" t="str">
        <f>'09월 조업일지'!E948</f>
        <v/>
      </c>
      <c r="E948" s="732" t="str">
        <f>'09월 조업일지'!F948</f>
        <v/>
      </c>
      <c r="F948" s="1096" t="str">
        <f>'09월 에너지'!F950</f>
        <v/>
      </c>
      <c r="G948" s="733"/>
      <c r="H948" s="734"/>
      <c r="I948" s="734"/>
      <c r="J948" s="734"/>
      <c r="K948" s="735"/>
      <c r="L948" s="734"/>
      <c r="M948" s="736"/>
      <c r="N948" s="737"/>
      <c r="O948" s="737"/>
      <c r="P948" s="737"/>
      <c r="Q948" s="737"/>
      <c r="R948" s="737"/>
      <c r="S948" s="737"/>
      <c r="T948" s="737"/>
      <c r="U948" s="738"/>
      <c r="V948" s="739"/>
      <c r="W948" s="737"/>
      <c r="X948" s="737"/>
      <c r="Y948" s="737"/>
      <c r="Z948" s="1202"/>
      <c r="AA948" s="740"/>
      <c r="AB948" s="739"/>
      <c r="AC948" s="741"/>
      <c r="AD948" s="741"/>
      <c r="AE948" s="741"/>
      <c r="AF948" s="741"/>
      <c r="AG948" s="741"/>
      <c r="AH948" s="741"/>
      <c r="AI948" s="741"/>
      <c r="AJ948" s="741"/>
      <c r="AK948" s="741"/>
      <c r="AL948" s="741"/>
      <c r="AM948" s="742"/>
      <c r="AN948" s="743" t="str">
        <f t="shared" si="38"/>
        <v/>
      </c>
      <c r="AO948" s="744" t="str">
        <f t="shared" si="39"/>
        <v/>
      </c>
      <c r="AP948" s="745">
        <f>'09월 에너지'!S950</f>
        <v>0</v>
      </c>
    </row>
    <row r="949" spans="1:42" ht="16.5" customHeight="1"/>
    <row r="950" spans="1:42" ht="18.75" customHeight="1"/>
    <row r="951" spans="1:42" ht="18.75" customHeight="1"/>
  </sheetData>
  <mergeCells count="20">
    <mergeCell ref="C7:E7"/>
    <mergeCell ref="C8:E8"/>
    <mergeCell ref="C2:F2"/>
    <mergeCell ref="C3:E3"/>
    <mergeCell ref="C4:E4"/>
    <mergeCell ref="C5:E5"/>
    <mergeCell ref="C6:E6"/>
    <mergeCell ref="A10:A11"/>
    <mergeCell ref="C10:C11"/>
    <mergeCell ref="D10:D11"/>
    <mergeCell ref="E10:E11"/>
    <mergeCell ref="F10:F11"/>
    <mergeCell ref="B10:B11"/>
    <mergeCell ref="AP10:AP11"/>
    <mergeCell ref="G10:M10"/>
    <mergeCell ref="N10:U10"/>
    <mergeCell ref="V10:AA10"/>
    <mergeCell ref="AB10:AL10"/>
    <mergeCell ref="AM10:AM11"/>
    <mergeCell ref="AN10:AO10"/>
  </mergeCells>
  <phoneticPr fontId="5" type="noConversion"/>
  <conditionalFormatting sqref="AP12:AP948">
    <cfRule type="expression" dxfId="12" priority="59">
      <formula>$A12&gt;$A11</formula>
    </cfRule>
  </conditionalFormatting>
  <conditionalFormatting sqref="G12:M12 G14:M948">
    <cfRule type="expression" dxfId="11" priority="25">
      <formula>$A12&gt;$A11</formula>
    </cfRule>
  </conditionalFormatting>
  <conditionalFormatting sqref="G12:M12 G14:M948">
    <cfRule type="expression" dxfId="10" priority="24">
      <formula>$F12&lt;&gt;$F11</formula>
    </cfRule>
  </conditionalFormatting>
  <conditionalFormatting sqref="L12 L14:L948">
    <cfRule type="cellIs" dxfId="9" priority="23" operator="greaterThanOrEqual">
      <formula>30</formula>
    </cfRule>
  </conditionalFormatting>
  <conditionalFormatting sqref="M12 M14:M948">
    <cfRule type="cellIs" dxfId="8" priority="22" operator="greaterThanOrEqual">
      <formula>20</formula>
    </cfRule>
  </conditionalFormatting>
  <conditionalFormatting sqref="N15:AM948">
    <cfRule type="expression" dxfId="7" priority="21">
      <formula>$A15&gt;$A14</formula>
    </cfRule>
  </conditionalFormatting>
  <conditionalFormatting sqref="N14:AM14">
    <cfRule type="expression" dxfId="6" priority="1">
      <formula>$A14&gt;$A13</formula>
    </cfRule>
  </conditionalFormatting>
  <conditionalFormatting sqref="N12:AM12">
    <cfRule type="expression" dxfId="5" priority="7">
      <formula>$A12&gt;$A11</formula>
    </cfRule>
  </conditionalFormatting>
  <conditionalFormatting sqref="G13:M13">
    <cfRule type="expression" dxfId="4" priority="6">
      <formula>$A13&gt;$A12</formula>
    </cfRule>
  </conditionalFormatting>
  <conditionalFormatting sqref="G13:M13">
    <cfRule type="expression" dxfId="3" priority="5">
      <formula>$F13&lt;&gt;$F12</formula>
    </cfRule>
  </conditionalFormatting>
  <conditionalFormatting sqref="L13">
    <cfRule type="cellIs" dxfId="2" priority="4" operator="greaterThanOrEqual">
      <formula>30</formula>
    </cfRule>
  </conditionalFormatting>
  <conditionalFormatting sqref="M13">
    <cfRule type="cellIs" dxfId="1" priority="3" operator="greaterThanOrEqual">
      <formula>20</formula>
    </cfRule>
  </conditionalFormatting>
  <conditionalFormatting sqref="N13:AM13">
    <cfRule type="expression" dxfId="0" priority="2">
      <formula>$A13&gt;$A12</formula>
    </cfRule>
  </conditionalFormatting>
  <printOptions horizontalCentered="1" verticalCentered="1"/>
  <pageMargins left="0.39" right="0.28000000000000003" top="0.46" bottom="0.53" header="0.51" footer="0.51"/>
  <pageSetup paperSize="9" scale="1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I136"/>
  <sheetViews>
    <sheetView zoomScale="120" zoomScaleNormal="120" workbookViewId="0">
      <pane xSplit="3" ySplit="4" topLeftCell="D110" activePane="bottomRight" state="frozen"/>
      <selection pane="topRight" activeCell="C1" sqref="C1"/>
      <selection pane="bottomLeft" activeCell="A5" sqref="A5"/>
      <selection pane="bottomRight" activeCell="F124" sqref="F124"/>
    </sheetView>
  </sheetViews>
  <sheetFormatPr defaultColWidth="8.8984375" defaultRowHeight="13.2"/>
  <cols>
    <col min="1" max="1" width="9.19921875" style="750" customWidth="1"/>
    <col min="2" max="2" width="3.796875" style="750" customWidth="1"/>
    <col min="3" max="3" width="5.69921875" style="750" customWidth="1"/>
    <col min="4" max="9" width="7.296875" style="750" customWidth="1"/>
    <col min="10" max="16" width="7.296875" style="750" hidden="1" customWidth="1"/>
    <col min="17" max="20" width="7.296875" style="750" customWidth="1"/>
    <col min="21" max="21" width="7.296875" style="750" hidden="1" customWidth="1"/>
    <col min="22" max="23" width="7.296875" style="750" customWidth="1"/>
    <col min="24" max="26" width="7.296875" style="750" hidden="1" customWidth="1"/>
    <col min="27" max="27" width="7.296875" style="750" customWidth="1"/>
    <col min="28" max="29" width="7.296875" style="750" hidden="1" customWidth="1"/>
    <col min="30" max="33" width="7.296875" style="750" customWidth="1"/>
    <col min="34" max="16384" width="8.8984375" style="750"/>
  </cols>
  <sheetData>
    <row r="1" spans="1:33" ht="30">
      <c r="A1" s="747" t="s">
        <v>162</v>
      </c>
      <c r="B1" s="748"/>
      <c r="C1" s="748"/>
      <c r="D1" s="748"/>
      <c r="E1" s="748"/>
      <c r="F1" s="749"/>
      <c r="G1" s="749"/>
      <c r="H1" s="749"/>
      <c r="I1" s="749"/>
      <c r="J1" s="749"/>
    </row>
    <row r="2" spans="1:33" ht="5.25" customHeight="1" thickBot="1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1"/>
      <c r="W2" s="751"/>
      <c r="X2" s="751"/>
      <c r="Y2" s="751"/>
      <c r="Z2" s="751"/>
      <c r="AA2" s="751"/>
      <c r="AB2" s="751"/>
      <c r="AC2" s="751"/>
      <c r="AD2" s="751"/>
      <c r="AE2" s="751"/>
      <c r="AF2" s="751"/>
      <c r="AG2" s="751"/>
    </row>
    <row r="3" spans="1:33" ht="15" customHeight="1">
      <c r="A3" s="1651" t="s">
        <v>30</v>
      </c>
      <c r="B3" s="1653" t="s">
        <v>163</v>
      </c>
      <c r="C3" s="1655" t="s">
        <v>164</v>
      </c>
      <c r="D3" s="1657" t="s">
        <v>165</v>
      </c>
      <c r="E3" s="1658"/>
      <c r="F3" s="1659"/>
      <c r="G3" s="1649" t="s">
        <v>187</v>
      </c>
      <c r="H3" s="1641" t="s">
        <v>193</v>
      </c>
      <c r="I3" s="752" t="s">
        <v>184</v>
      </c>
      <c r="J3" s="1645" t="s">
        <v>166</v>
      </c>
      <c r="K3" s="1645"/>
      <c r="L3" s="1645"/>
      <c r="M3" s="1645"/>
      <c r="N3" s="1645"/>
      <c r="O3" s="1645"/>
      <c r="P3" s="1646"/>
      <c r="Q3" s="753" t="s">
        <v>189</v>
      </c>
      <c r="R3" s="1647" t="s">
        <v>191</v>
      </c>
      <c r="S3" s="1648"/>
      <c r="T3" s="1643" t="s">
        <v>186</v>
      </c>
      <c r="U3" s="1633" t="s">
        <v>181</v>
      </c>
      <c r="V3" s="1633"/>
      <c r="W3" s="1633"/>
      <c r="X3" s="1634" t="s">
        <v>211</v>
      </c>
      <c r="Y3" s="1635"/>
      <c r="Z3" s="1635"/>
      <c r="AA3" s="1636"/>
      <c r="AB3" s="754" t="s">
        <v>167</v>
      </c>
      <c r="AC3" s="755" t="s">
        <v>182</v>
      </c>
      <c r="AD3" s="1637" t="s">
        <v>168</v>
      </c>
      <c r="AE3" s="1637"/>
      <c r="AF3" s="1638" t="s">
        <v>440</v>
      </c>
      <c r="AG3" s="1504"/>
    </row>
    <row r="4" spans="1:33" ht="15" customHeight="1" thickBot="1">
      <c r="A4" s="1652"/>
      <c r="B4" s="1654"/>
      <c r="C4" s="1656"/>
      <c r="D4" s="756" t="s">
        <v>169</v>
      </c>
      <c r="E4" s="757" t="s">
        <v>170</v>
      </c>
      <c r="F4" s="758" t="s">
        <v>171</v>
      </c>
      <c r="G4" s="1650"/>
      <c r="H4" s="1642"/>
      <c r="I4" s="759" t="s">
        <v>185</v>
      </c>
      <c r="J4" s="760" t="s">
        <v>172</v>
      </c>
      <c r="K4" s="761" t="s">
        <v>173</v>
      </c>
      <c r="L4" s="761" t="s">
        <v>174</v>
      </c>
      <c r="M4" s="761" t="s">
        <v>175</v>
      </c>
      <c r="N4" s="761" t="s">
        <v>176</v>
      </c>
      <c r="O4" s="761" t="s">
        <v>177</v>
      </c>
      <c r="P4" s="761" t="s">
        <v>178</v>
      </c>
      <c r="Q4" s="762" t="s">
        <v>190</v>
      </c>
      <c r="R4" s="761" t="s">
        <v>188</v>
      </c>
      <c r="S4" s="763" t="s">
        <v>192</v>
      </c>
      <c r="T4" s="1644"/>
      <c r="U4" s="764" t="s">
        <v>441</v>
      </c>
      <c r="V4" s="765" t="s">
        <v>133</v>
      </c>
      <c r="W4" s="766" t="s">
        <v>134</v>
      </c>
      <c r="X4" s="767" t="s">
        <v>70</v>
      </c>
      <c r="Y4" s="768" t="s">
        <v>43</v>
      </c>
      <c r="Z4" s="768" t="s">
        <v>71</v>
      </c>
      <c r="AA4" s="769" t="s">
        <v>72</v>
      </c>
      <c r="AB4" s="770" t="s">
        <v>73</v>
      </c>
      <c r="AC4" s="771" t="s">
        <v>73</v>
      </c>
      <c r="AD4" s="772" t="s">
        <v>179</v>
      </c>
      <c r="AE4" s="772" t="s">
        <v>180</v>
      </c>
      <c r="AF4" s="773" t="s">
        <v>72</v>
      </c>
      <c r="AG4" s="774" t="s">
        <v>73</v>
      </c>
    </row>
    <row r="5" spans="1:33" ht="16.5" customHeight="1" thickTop="1">
      <c r="A5" s="1632">
        <f>'09월 조업일지'!A12</f>
        <v>46266</v>
      </c>
      <c r="B5" s="775" t="s">
        <v>128</v>
      </c>
      <c r="C5" s="776">
        <f>COUNTIFS('09월 조업일지'!$B$12:$B$952,A5,'09월 조업일지'!$E$12:$E$952,B5)</f>
        <v>10</v>
      </c>
      <c r="D5" s="1026">
        <f>IF(C5&lt;1,"",F5-E5)</f>
        <v>46.3</v>
      </c>
      <c r="E5" s="1027">
        <f>IF($C5&lt;1,"",(SUMIFS('09월 조업일지'!$K$12:$K$954,'09월 조업일지'!$B$12:$B$954,$A5,'09월 조업일지'!$E$12:$E$954,$B5)/$C5))</f>
        <v>0</v>
      </c>
      <c r="F5" s="1028">
        <f>IF($C5&lt;1,"",(AVERAGEIFS('09월 조업일지'!$J$12:$J$954,'09월 조업일지'!$B$12:$B$954,$A5,'09월 조업일지'!$E$12:$E$954,$B5)))</f>
        <v>46.3</v>
      </c>
      <c r="G5" s="1029">
        <f>IF($C5&lt;1,"",(AVERAGEIFS('09월 에너지'!$M$14:$M$950,'09월 에너지'!$B$14:$B$950,$A5,'09월 에너지'!$C$14:$C$950,$B5)))</f>
        <v>45.11999999999999</v>
      </c>
      <c r="H5" s="1030">
        <f>IF($C5&lt;1,"",(AVERAGEIFS('09월 조업일지'!$AJ$12:$AJ$954,'09월 조업일지'!$B$12:$B$954,$A5,'09월 조업일지'!$E$12:$E$954,$B5)))</f>
        <v>33.5</v>
      </c>
      <c r="I5" s="1031">
        <f>IF($C5&lt;1,"",(AVERAGEIFS('09월 조업일지'!$AL$12:$AL$954,'09월 조업일지'!$B$12:$B$954,$A5,'09월 조업일지'!$E$12:$E$954,$B5)))</f>
        <v>9.8000000000000007</v>
      </c>
      <c r="J5" s="1032">
        <f>IF($C5&lt;1,"",(AVERAGEIFS('09월 화학성분'!G$12:G$950,'09월 화학성분'!$B$12:$B$950,$A5,'09월 화학성분'!$D$12:$D$950,$B5)))</f>
        <v>10.3</v>
      </c>
      <c r="K5" s="1033">
        <f>IF($C5&lt;1,"",(AVERAGEIFS('09월 화학성분'!H$12:H$950,'09월 화학성분'!$B$12:$B$950,$A5,'09월 화학성분'!$D$12:$D$950,$B5)))</f>
        <v>20.5</v>
      </c>
      <c r="L5" s="1033">
        <f>IF($C5&lt;1,"",(AVERAGEIFS('09월 화학성분'!I$12:I$950,'09월 화학성분'!$B$12:$B$950,$A5,'09월 화학성분'!$D$12:$D$950,$B5)))</f>
        <v>58.6</v>
      </c>
      <c r="M5" s="1033">
        <f>IF($C5&lt;1,"",(AVERAGEIFS('09월 화학성분'!J$12:J$950,'09월 화학성분'!$B$12:$B$950,$A5,'09월 화학성분'!$D$12:$D$950,$B5)))</f>
        <v>15.9</v>
      </c>
      <c r="N5" s="1033">
        <f>IF($C5&lt;1,"",(AVERAGEIFS('09월 화학성분'!K$12:K$950,'09월 화학성분'!$B$12:$B$950,$A5,'09월 화학성분'!$D$12:$D$950,$B5)))</f>
        <v>28.8</v>
      </c>
      <c r="O5" s="1033">
        <f>IF($C5&lt;1,"",(AVERAGEIFS('09월 화학성분'!L$12:L$950,'09월 화학성분'!$B$12:$B$950,$A5,'09월 화학성분'!$D$12:$D$950,$B5)))</f>
        <v>13.1</v>
      </c>
      <c r="P5" s="1033">
        <f>IF($C5&lt;1,"",(AVERAGEIFS('09월 화학성분'!M$12:M$950,'09월 화학성분'!$B$12:$B$950,$A5,'09월 화학성분'!$D$12:$D$950,$B5)))</f>
        <v>11.8</v>
      </c>
      <c r="Q5" s="1033">
        <f>IF($C5&lt;1,"",(AVERAGEIFS('09월 조업일지'!$AK$12:$AK$954,'09월 조업일지'!$B$12:$B$954,$A5,'09월 조업일지'!$E$12:$E$954,$B5)))</f>
        <v>489.5</v>
      </c>
      <c r="R5" s="1033">
        <f>IF($C5&lt;1,"",(AVERAGEIFS('09월 화학성분'!$G$12:$G$950,'09월 화학성분'!$B$12:$B$950,$A5,'09월 화학성분'!$D$12:$D$950,$B5)))</f>
        <v>10.3</v>
      </c>
      <c r="S5" s="1034">
        <f>IF($C5&lt;1,"",(AVERAGEIFS('09월 조업일지'!$AI$12:$AI$954,'09월 조업일지'!$B$12:$B$954,$A5,'09월 조업일지'!$E$12:$E$954,$B5)))</f>
        <v>1566.6</v>
      </c>
      <c r="T5" s="1035">
        <f>IF($C5&lt;1,"",(AVERAGEIFS('09월 화학성분'!$AM$12:$AM$949,'09월 화학성분'!$B$12:$B$949,$A5,'09월 화학성분'!$D$12:$D$949,$B5)))</f>
        <v>1875.7</v>
      </c>
      <c r="U5" s="1036">
        <f>IF($C5&lt;1,"",(AVERAGEIFS('09월 고철장입'!$AJ$14:$AJ$949,'09월 고철장입'!$B$14:$B$949,$A5,'09월 고철장입'!$C$14:$C$949,$B5))/1000)</f>
        <v>158.49</v>
      </c>
      <c r="V5" s="1101">
        <f>IF($C5&lt;1,"",(AVERAGEIFS('09월 고철장입'!$AK$14:$AK$949,'09월 고철장입'!$B$14:$B$949,$A5,'09월 고철장입'!$C$14:$C$949,$B5)))</f>
        <v>147.00000000000003</v>
      </c>
      <c r="W5" s="1037">
        <f t="shared" ref="W5:W8" si="0">IF(C5&lt;1,"",V5/U5*100)</f>
        <v>92.750331251183056</v>
      </c>
      <c r="X5" s="1038">
        <f>IF($C5&lt;1,"",(AVERAGEIFS('09월 에너지'!$O$14:$O$949,'09월 에너지'!$A$14:$A$949,$A5,'09월 에너지'!$C$14:$C$949,$B5)))</f>
        <v>157.5696414622177</v>
      </c>
      <c r="Y5" s="1039">
        <f>IF($C5&lt;1,"",(AVERAGEIFS('09월 에너지'!$P$14:$P$949,'09월 에너지'!$A$14:$A$949,$A5,'09월 에너지'!$C$14:$C$949,$B5)))</f>
        <v>139.89392157961669</v>
      </c>
      <c r="Z5" s="1039">
        <f>IF($C5&lt;1,"",(AVERAGEIFS('09월 에너지'!$Q$14:$Q$949,'09월 에너지'!$A$14:$A$949,$A5,'09월 에너지'!$C$14:$C$949,$B5)))</f>
        <v>75.830630999073804</v>
      </c>
      <c r="AA5" s="1040">
        <f>IF($C5&lt;1,"",(AVERAGEIFS('09월 에너지'!$R$14:$R$949,'09월 에너지'!$B$14:$B$949,$A5,'09월 에너지'!$C$14:$C$949,$B5)))</f>
        <v>373.29419404090822</v>
      </c>
      <c r="AB5" s="1041">
        <f>IF($C5&lt;1,"",(AVERAGEIFS('09월 에너지'!$X$14:$X$949,'09월 에너지'!$A$14:$A$949,$A5,'09월 에너지'!$C$14:$C$949,$B5)))</f>
        <v>2.3777763283984146</v>
      </c>
      <c r="AC5" s="1042">
        <f>IF($C5&lt;1,"",(AVERAGEIFS('09월 에너지'!$AC$14:$AC$949,'09월 에너지'!$A$14:$A$949,$A5,'09월 에너지'!$C$14:$C$949,$B5)))</f>
        <v>25.679005935109338</v>
      </c>
      <c r="AD5" s="1043">
        <f>IF($C5&lt;1,"",(AVERAGEIFS('09월 에너지'!$AD$14:$AD$949,'09월 에너지'!$B$14:$B$949,$A5,'09월 에너지'!$C$14:$C$949,$B5)))</f>
        <v>4123.3</v>
      </c>
      <c r="AE5" s="1044">
        <f>IF($C5&lt;1,"",(AVERAGEIFS('09월 에너지'!$AE$14:$AE$949,'09월 에너지'!$B$14:$B$949,$A5,'09월 에너지'!$C$14:$C$949,$B5)))</f>
        <v>28.056782263507749</v>
      </c>
      <c r="AF5" s="1045">
        <f>IF($C5&lt;1,"",(AVERAGEIFS('09월 에너지'!$AI$14:$AI$949,'09월 에너지'!$B$14:$B$949,$A5,'09월 에너지'!$C$14:$C$949,$B5)))</f>
        <v>151.80000000000001</v>
      </c>
      <c r="AG5" s="1046">
        <f>IF($C5&lt;1,"",(AVERAGEIFS('09월 에너지'!$AJ$14:$AJ$949,'09월 에너지'!$B$14:$B$949,$A5,'09월 에너지'!$C$14:$C$949,$B5)))</f>
        <v>1.033208031458837</v>
      </c>
    </row>
    <row r="6" spans="1:33" ht="16.5" customHeight="1">
      <c r="A6" s="1639"/>
      <c r="B6" s="777" t="s">
        <v>100</v>
      </c>
      <c r="C6" s="778">
        <f>COUNTIFS('09월 조업일지'!$B$12:$B$952,A5,'09월 조업일지'!$E$12:$E$952,B6)</f>
        <v>0</v>
      </c>
      <c r="D6" s="1047" t="str">
        <f>IF(C6&lt;1,"",F6-E6)</f>
        <v/>
      </c>
      <c r="E6" s="1048" t="str">
        <f>IF($C6&lt;1,"",(SUMIFS('09월 조업일지'!$K$12:$K$954,'09월 조업일지'!$B$12:$B$954,$A5,'09월 조업일지'!$E$12:$E$954,$B6)/$C6))</f>
        <v/>
      </c>
      <c r="F6" s="1049" t="str">
        <f>IF($C6&lt;1,"",(AVERAGEIFS('09월 조업일지'!$J$12:$J$954,'09월 조업일지'!$B$12:$B$954,$A5,'09월 조업일지'!$E$12:$E$954,$B6)))</f>
        <v/>
      </c>
      <c r="G6" s="1050" t="str">
        <f>IF($C6&lt;1,"",(AVERAGEIFS('09월 에너지'!$M$14:$M$950,'09월 에너지'!$B$14:$B$950,$A5,'09월 에너지'!$C$14:$C$950,$B6)))</f>
        <v/>
      </c>
      <c r="H6" s="1051" t="str">
        <f>IF($C6&lt;1,"",(AVERAGEIFS('09월 조업일지'!$AJ$12:$AJ$954,'09월 조업일지'!$B$12:$B$954,$A5,'09월 조업일지'!$E$12:$E$954,$B6)))</f>
        <v/>
      </c>
      <c r="I6" s="1052" t="str">
        <f>IF($C6&lt;1,"",(AVERAGEIFS('09월 조업일지'!$AL$12:$AL$954,'09월 조업일지'!$B$12:$B$954,$A5,'09월 조업일지'!$E$12:$E$954,$B6)))</f>
        <v/>
      </c>
      <c r="J6" s="1053" t="str">
        <f>IF($C6&lt;1,"",(AVERAGEIFS('09월 화학성분'!G$12:G$950,'09월 화학성분'!$B$12:$B$950,$A5,'09월 화학성분'!$D$12:$D$950,$B6)))</f>
        <v/>
      </c>
      <c r="K6" s="1054" t="str">
        <f>IF($C6&lt;1,"",(AVERAGEIFS('09월 화학성분'!H$12:H$950,'09월 화학성분'!$B$12:$B$950,$A5,'09월 화학성분'!$D$12:$D$950,$B6)))</f>
        <v/>
      </c>
      <c r="L6" s="1054" t="str">
        <f>IF($C6&lt;1,"",(AVERAGEIFS('09월 화학성분'!I$12:I$950,'09월 화학성분'!$B$12:$B$950,$A5,'09월 화학성분'!$D$12:$D$950,$B6)))</f>
        <v/>
      </c>
      <c r="M6" s="1054" t="str">
        <f>IF($C6&lt;1,"",(AVERAGEIFS('09월 화학성분'!J$12:J$950,'09월 화학성분'!$B$12:$B$950,$A5,'09월 화학성분'!$D$12:$D$950,$B6)))</f>
        <v/>
      </c>
      <c r="N6" s="1054" t="str">
        <f>IF($C6&lt;1,"",(AVERAGEIFS('09월 화학성분'!K$12:K$950,'09월 화학성분'!$B$12:$B$950,$A5,'09월 화학성분'!$D$12:$D$950,$B6)))</f>
        <v/>
      </c>
      <c r="O6" s="1054" t="str">
        <f>IF($C6&lt;1,"",(AVERAGEIFS('09월 화학성분'!L$12:L$950,'09월 화학성분'!$B$12:$B$950,$A5,'09월 화학성분'!$D$12:$D$950,$B6)))</f>
        <v/>
      </c>
      <c r="P6" s="1054" t="str">
        <f>IF($C6&lt;1,"",(AVERAGEIFS('09월 화학성분'!M$12:M$950,'09월 화학성분'!$B$12:$B$950,$A5,'09월 화학성분'!$D$12:$D$950,$B6)))</f>
        <v/>
      </c>
      <c r="Q6" s="1054" t="str">
        <f>IF($C6&lt;1,"",(AVERAGEIFS('09월 조업일지'!$AK$12:$AK$954,'09월 조업일지'!$B$12:$B$954,$A5,'09월 조업일지'!$E$12:$E$954,$B6)))</f>
        <v/>
      </c>
      <c r="R6" s="1054" t="str">
        <f>IF($C6&lt;1,"",(AVERAGEIFS('09월 화학성분'!$G$12:$G$950,'09월 화학성분'!$B$12:$B$950,$A5,'09월 화학성분'!$D$12:$D$950,$B6)))</f>
        <v/>
      </c>
      <c r="S6" s="1055" t="str">
        <f>IF($C6&lt;1,"",(AVERAGEIFS('09월 조업일지'!$AI$12:$AI$954,'09월 조업일지'!$B$12:$B$954,$A5,'09월 조업일지'!$E$12:$E$954,$B6)))</f>
        <v/>
      </c>
      <c r="T6" s="1056" t="str">
        <f>IF($C6&lt;1,"",(AVERAGEIFS('09월 화학성분'!$AM$12:$AM$949,'09월 화학성분'!$B$12:$B$949,$A5,'09월 화학성분'!$D$12:$D$949,$B6)))</f>
        <v/>
      </c>
      <c r="U6" s="1057" t="str">
        <f>IF($C6&lt;1,"",(AVERAGEIFS('09월 고철장입'!$AJ$14:$AJ$949,'09월 고철장입'!$B$14:$B$949,$A5,'09월 고철장입'!$C$14:$C$949,$B6))/1000)</f>
        <v/>
      </c>
      <c r="V6" s="1102" t="str">
        <f>IF($C6&lt;1,"",(AVERAGEIFS('09월 고철장입'!$AK$14:$AK$949,'09월 고철장입'!$B$14:$B$949,$A5,'09월 고철장입'!$C$14:$C$949,$B6)))</f>
        <v/>
      </c>
      <c r="W6" s="1058" t="str">
        <f t="shared" si="0"/>
        <v/>
      </c>
      <c r="X6" s="1059" t="str">
        <f>IF($C6&lt;1,"",(AVERAGEIFS('09월 에너지'!$O$14:$O$949,'09월 에너지'!$A$14:$A$949,$A5,'09월 에너지'!$C$14:$C$949,$B6)))</f>
        <v/>
      </c>
      <c r="Y6" s="1060" t="str">
        <f>IF($C6&lt;1,"",(AVERAGEIFS('09월 에너지'!$P$14:$P$949,'09월 에너지'!$A$14:$A$949,$A5,'09월 에너지'!$C$14:$C$949,$B6)))</f>
        <v/>
      </c>
      <c r="Z6" s="1060" t="str">
        <f>IF($C6&lt;1,"",(AVERAGEIFS('09월 에너지'!$Q$14:$Q$949,'09월 에너지'!$A$14:$A$949,$A5,'09월 에너지'!$C$14:$C$949,$B6)))</f>
        <v/>
      </c>
      <c r="AA6" s="1061" t="str">
        <f>IF($C6&lt;1,"",(AVERAGEIFS('09월 에너지'!$R$14:$R$949,'09월 에너지'!$B$14:$B$949,$A5,'09월 에너지'!$C$14:$C$949,$B6)))</f>
        <v/>
      </c>
      <c r="AB6" s="1062" t="str">
        <f>IF($C6&lt;1,"",(AVERAGEIFS('09월 에너지'!$X$14:$X$949,'09월 에너지'!$A$14:$A$949,$A5,'09월 에너지'!$C$14:$C$949,$B6)))</f>
        <v/>
      </c>
      <c r="AC6" s="1063" t="str">
        <f>IF($C6&lt;1,"",(AVERAGEIFS('09월 에너지'!$AC$14:$AC$949,'09월 에너지'!$A$14:$A$949,$A5,'09월 에너지'!$C$14:$C$949,$B6)))</f>
        <v/>
      </c>
      <c r="AD6" s="1064" t="str">
        <f>IF($C6&lt;1,"",(AVERAGEIFS('09월 에너지'!$AD$14:$AD$949,'09월 에너지'!$B$14:$B$949,$A5,'09월 에너지'!$C$14:$C$949,$B6)))</f>
        <v/>
      </c>
      <c r="AE6" s="1065" t="str">
        <f>IF($C6&lt;1,"",(AVERAGEIFS('09월 에너지'!$AE$14:$AE$949,'09월 에너지'!$B$14:$B$949,$A5,'09월 에너지'!$C$14:$C$949,$B6)))</f>
        <v/>
      </c>
      <c r="AF6" s="1066" t="str">
        <f>IF($C6&lt;1,"",(AVERAGEIFS('09월 에너지'!$AI$14:$AI$949,'09월 에너지'!$B$14:$B$949,$A5,'09월 에너지'!$C$14:$C$949,$B6)))</f>
        <v/>
      </c>
      <c r="AG6" s="1067" t="str">
        <f>IF($C6&lt;1,"",(AVERAGEIFS('09월 에너지'!$AJ$14:$AJ$949,'09월 에너지'!$B$14:$B$949,$A5,'09월 에너지'!$C$14:$C$949,$B6)))</f>
        <v/>
      </c>
    </row>
    <row r="7" spans="1:33" ht="16.5" customHeight="1">
      <c r="A7" s="1639"/>
      <c r="B7" s="777" t="s">
        <v>93</v>
      </c>
      <c r="C7" s="778">
        <f>COUNTIFS('09월 조업일지'!$B$12:$B$952,A5,'09월 조업일지'!$E$12:$E$952,B7)</f>
        <v>10</v>
      </c>
      <c r="D7" s="1047">
        <f t="shared" ref="D7:D10" si="1">IF(C7&lt;1,"",F7-E7)</f>
        <v>49.6</v>
      </c>
      <c r="E7" s="1048">
        <f>IF($C7&lt;1,"",(SUMIFS('09월 조업일지'!$K$12:$K$954,'09월 조업일지'!$B$12:$B$954,$A5,'09월 조업일지'!$E$12:$E$954,$B7)/$C7))</f>
        <v>0.6</v>
      </c>
      <c r="F7" s="1049">
        <f>IF($C7&lt;1,"",(AVERAGEIFS('09월 조업일지'!$J$12:$J$954,'09월 조업일지'!$B$12:$B$954,$A5,'09월 조업일지'!$E$12:$E$954,$B7)))</f>
        <v>50.2</v>
      </c>
      <c r="G7" s="1050">
        <f>IF($C7&lt;1,"",(AVERAGEIFS('09월 에너지'!$M$14:$M$950,'09월 에너지'!$B$14:$B$950,$A5,'09월 에너지'!$C$14:$C$950,$B7)))</f>
        <v>47.66</v>
      </c>
      <c r="H7" s="1051">
        <f>IF($C7&lt;1,"",(AVERAGEIFS('09월 조업일지'!$AJ$12:$AJ$954,'09월 조업일지'!$B$12:$B$954,$A5,'09월 조업일지'!$E$12:$E$954,$B7)))</f>
        <v>59.2</v>
      </c>
      <c r="I7" s="1052">
        <f>IF($C7&lt;1,"",(AVERAGEIFS('09월 조업일지'!$AL$12:$AL$954,'09월 조업일지'!$B$12:$B$954,$A5,'09월 조업일지'!$E$12:$E$954,$B7)))</f>
        <v>11.2</v>
      </c>
      <c r="J7" s="1053">
        <f>IF($C7&lt;1,"",(AVERAGEIFS('09월 화학성분'!G$12:G$950,'09월 화학성분'!$B$12:$B$950,$A5,'09월 화학성분'!$D$12:$D$950,$B7)))</f>
        <v>8.3000000000000007</v>
      </c>
      <c r="K7" s="1054">
        <f>IF($C7&lt;1,"",(AVERAGEIFS('09월 화학성분'!H$12:H$950,'09월 화학성분'!$B$12:$B$950,$A5,'09월 화학성분'!$D$12:$D$950,$B7)))</f>
        <v>18.2</v>
      </c>
      <c r="L7" s="1054">
        <f>IF($C7&lt;1,"",(AVERAGEIFS('09월 화학성분'!I$12:I$950,'09월 화학성분'!$B$12:$B$950,$A5,'09월 화학성분'!$D$12:$D$950,$B7)))</f>
        <v>49.9</v>
      </c>
      <c r="M7" s="1054">
        <f>IF($C7&lt;1,"",(AVERAGEIFS('09월 화학성분'!J$12:J$950,'09월 화학성분'!$B$12:$B$950,$A5,'09월 화학성분'!$D$12:$D$950,$B7)))</f>
        <v>13.5</v>
      </c>
      <c r="N7" s="1054">
        <f>IF($C7&lt;1,"",(AVERAGEIFS('09월 화학성분'!K$12:K$950,'09월 화학성분'!$B$12:$B$950,$A5,'09월 화학성분'!$D$12:$D$950,$B7)))</f>
        <v>29.4</v>
      </c>
      <c r="O7" s="1054">
        <f>IF($C7&lt;1,"",(AVERAGEIFS('09월 화학성분'!L$12:L$950,'09월 화학성분'!$B$12:$B$950,$A5,'09월 화학성분'!$D$12:$D$950,$B7)))</f>
        <v>11.5</v>
      </c>
      <c r="P7" s="1054">
        <f>IF($C7&lt;1,"",(AVERAGEIFS('09월 화학성분'!M$12:M$950,'09월 화학성분'!$B$12:$B$950,$A5,'09월 화학성분'!$D$12:$D$950,$B7)))</f>
        <v>8.5</v>
      </c>
      <c r="Q7" s="1054">
        <f>IF($C7&lt;1,"",(AVERAGEIFS('09월 조업일지'!$AK$12:$AK$954,'09월 조업일지'!$B$12:$B$954,$A5,'09월 조업일지'!$E$12:$E$954,$B7)))</f>
        <v>657</v>
      </c>
      <c r="R7" s="1054">
        <f>IF($C7&lt;1,"",(AVERAGEIFS('09월 화학성분'!$G$12:$G$950,'09월 화학성분'!$B$12:$B$950,$A5,'09월 화학성분'!$D$12:$D$950,$B7)))</f>
        <v>8.3000000000000007</v>
      </c>
      <c r="S7" s="1055">
        <f>IF($C7&lt;1,"",(AVERAGEIFS('09월 조업일지'!$AI$12:$AI$954,'09월 조업일지'!$B$12:$B$954,$A5,'09월 조업일지'!$E$12:$E$954,$B7)))</f>
        <v>1568.9</v>
      </c>
      <c r="T7" s="1056">
        <f>IF($C7&lt;1,"",(AVERAGEIFS('09월 화학성분'!$AM$12:$AM$949,'09월 화학성분'!$B$12:$B$949,$A5,'09월 화학성분'!$D$12:$D$949,$B7)))</f>
        <v>2450.1999999999998</v>
      </c>
      <c r="U7" s="1057">
        <f>IF($C7&lt;1,"",(AVERAGEIFS('09월 고철장입'!$AJ$14:$AJ$949,'09월 고철장입'!$B$14:$B$949,$A5,'09월 고철장입'!$C$14:$C$949,$B7))/1000)</f>
        <v>160.01</v>
      </c>
      <c r="V7" s="1102">
        <f>IF($C7&lt;1,"",(AVERAGEIFS('09월 고철장입'!$AK$14:$AK$949,'09월 고철장입'!$B$14:$B$949,$A5,'09월 고철장입'!$C$14:$C$949,$B7)))</f>
        <v>142.54000000000002</v>
      </c>
      <c r="W7" s="1058">
        <f t="shared" si="0"/>
        <v>89.081932379226316</v>
      </c>
      <c r="X7" s="1059">
        <f>IF($C7&lt;1,"",(AVERAGEIFS('09월 에너지'!$O$14:$O$949,'09월 에너지'!$A$14:$A$949,$A5,'09월 에너지'!$C$14:$C$949,$B7)))</f>
        <v>164.5764861973567</v>
      </c>
      <c r="Y7" s="1060">
        <f>IF($C7&lt;1,"",(AVERAGEIFS('09월 에너지'!$P$14:$P$949,'09월 에너지'!$A$14:$A$949,$A5,'09월 에너지'!$C$14:$C$949,$B7)))</f>
        <v>144.76516013164445</v>
      </c>
      <c r="Z7" s="1060">
        <f>IF($C7&lt;1,"",(AVERAGEIFS('09월 에너지'!$Q$14:$Q$949,'09월 에너지'!$A$14:$A$949,$A5,'09월 에너지'!$C$14:$C$949,$B7)))</f>
        <v>89.188500292851657</v>
      </c>
      <c r="AA7" s="1061">
        <f>IF($C7&lt;1,"",(AVERAGEIFS('09월 에너지'!$R$14:$R$949,'09월 에너지'!$B$14:$B$949,$A5,'09월 에너지'!$C$14:$C$949,$B7)))</f>
        <v>398.53014662185285</v>
      </c>
      <c r="AB7" s="1062">
        <f>IF($C7&lt;1,"",(AVERAGEIFS('09월 에너지'!$X$14:$X$949,'09월 에너지'!$A$14:$A$949,$A5,'09월 에너지'!$C$14:$C$949,$B7)))</f>
        <v>2.4351135563887434</v>
      </c>
      <c r="AC7" s="1063">
        <f>IF($C7&lt;1,"",(AVERAGEIFS('09월 에너지'!$AC$14:$AC$949,'09월 에너지'!$A$14:$A$949,$A5,'09월 에너지'!$C$14:$C$949,$B7)))</f>
        <v>28.405884383598266</v>
      </c>
      <c r="AD7" s="1064">
        <f>IF($C7&lt;1,"",(AVERAGEIFS('09월 에너지'!$AD$14:$AD$949,'09월 에너지'!$B$14:$B$949,$A5,'09월 에너지'!$C$14:$C$949,$B7)))</f>
        <v>4395</v>
      </c>
      <c r="AE7" s="1065">
        <f>IF($C7&lt;1,"",(AVERAGEIFS('09월 에너지'!$AE$14:$AE$949,'09월 에너지'!$B$14:$B$949,$A5,'09월 에너지'!$C$14:$C$949,$B7)))</f>
        <v>30.840997939987005</v>
      </c>
      <c r="AF7" s="1066">
        <f>IF($C7&lt;1,"",(AVERAGEIFS('09월 에너지'!$AI$14:$AI$949,'09월 에너지'!$B$14:$B$949,$A5,'09월 에너지'!$C$14:$C$949,$B7)))</f>
        <v>170.8</v>
      </c>
      <c r="AG7" s="1067">
        <f>IF($C7&lt;1,"",(AVERAGEIFS('09월 에너지'!$AJ$14:$AJ$949,'09월 에너지'!$B$14:$B$949,$A5,'09월 에너지'!$C$14:$C$949,$B7)))</f>
        <v>1.1982693457073226</v>
      </c>
    </row>
    <row r="8" spans="1:33" ht="16.5" customHeight="1" thickBot="1">
      <c r="A8" s="1640"/>
      <c r="B8" s="779" t="s">
        <v>94</v>
      </c>
      <c r="C8" s="780">
        <f>COUNTIFS('09월 조업일지'!$B$12:$B$952,A5,'09월 조업일지'!$E$12:$E$952,B8)</f>
        <v>10</v>
      </c>
      <c r="D8" s="1068">
        <f t="shared" si="1"/>
        <v>46.000000000000007</v>
      </c>
      <c r="E8" s="1069">
        <f>IF($C8&lt;1,"",(SUMIFS('09월 조업일지'!$K$12:$K$954,'09월 조업일지'!$B$12:$B$954,$A5,'09월 조업일지'!$E$12:$E$954,$B8)/$C8))</f>
        <v>0</v>
      </c>
      <c r="F8" s="1070">
        <f>IF($C8&lt;1,"",(AVERAGEIFS('09월 조업일지'!$J$12:$J$954,'09월 조업일지'!$B$12:$B$954,$A5,'09월 조업일지'!$E$12:$E$954,$B8)))</f>
        <v>46.000000000000007</v>
      </c>
      <c r="G8" s="1071">
        <f>IF($C8&lt;1,"",(AVERAGEIFS('09월 에너지'!$M$14:$M$950,'09월 에너지'!$B$14:$B$950,$A5,'09월 에너지'!$C$14:$C$950,$B8)))</f>
        <v>44.94</v>
      </c>
      <c r="H8" s="1072">
        <f>IF($C8&lt;1,"",(AVERAGEIFS('09월 조업일지'!$AJ$12:$AJ$954,'09월 조업일지'!$B$12:$B$954,$A5,'09월 조업일지'!$E$12:$E$954,$B8)))</f>
        <v>31.3</v>
      </c>
      <c r="I8" s="1073">
        <f>IF($C8&lt;1,"",(AVERAGEIFS('09월 조업일지'!$AL$12:$AL$954,'09월 조업일지'!$B$12:$B$954,$A5,'09월 조업일지'!$E$12:$E$954,$B8)))</f>
        <v>5.875</v>
      </c>
      <c r="J8" s="1074">
        <f>IF($C8&lt;1,"",(AVERAGEIFS('09월 화학성분'!G$12:G$950,'09월 화학성분'!$B$12:$B$950,$A5,'09월 화학성분'!$D$12:$D$950,$B8)))</f>
        <v>8.5</v>
      </c>
      <c r="K8" s="1075">
        <f>IF($C8&lt;1,"",(AVERAGEIFS('09월 화학성분'!H$12:H$950,'09월 화학성분'!$B$12:$B$950,$A5,'09월 화학성분'!$D$12:$D$950,$B8)))</f>
        <v>20</v>
      </c>
      <c r="L8" s="1075">
        <f>IF($C8&lt;1,"",(AVERAGEIFS('09월 화학성분'!I$12:I$950,'09월 화학성분'!$B$12:$B$950,$A5,'09월 화학성분'!$D$12:$D$950,$B8)))</f>
        <v>50.8</v>
      </c>
      <c r="M8" s="1075">
        <f>IF($C8&lt;1,"",(AVERAGEIFS('09월 화학성분'!J$12:J$950,'09월 화학성분'!$B$12:$B$950,$A5,'09월 화학성분'!$D$12:$D$950,$B8)))</f>
        <v>13.9</v>
      </c>
      <c r="N8" s="1075">
        <f>IF($C8&lt;1,"",(AVERAGEIFS('09월 화학성분'!K$12:K$950,'09월 화학성분'!$B$12:$B$950,$A5,'09월 화학성분'!$D$12:$D$950,$B8)))</f>
        <v>33.1</v>
      </c>
      <c r="O8" s="1075">
        <f>IF($C8&lt;1,"",(AVERAGEIFS('09월 화학성분'!L$12:L$950,'09월 화학성분'!$B$12:$B$950,$A5,'09월 화학성분'!$D$12:$D$950,$B8)))</f>
        <v>12.7</v>
      </c>
      <c r="P8" s="1075">
        <f>IF($C8&lt;1,"",(AVERAGEIFS('09월 화학성분'!M$12:M$950,'09월 화학성분'!$B$12:$B$950,$A5,'09월 화학성분'!$D$12:$D$950,$B8)))</f>
        <v>10.3</v>
      </c>
      <c r="Q8" s="1075">
        <f>IF($C8&lt;1,"",(AVERAGEIFS('09월 조업일지'!$AK$12:$AK$954,'09월 조업일지'!$B$12:$B$954,$A5,'09월 조업일지'!$E$12:$E$954,$B8)))</f>
        <v>668.25</v>
      </c>
      <c r="R8" s="1075">
        <f>IF($C8&lt;1,"",(AVERAGEIFS('09월 화학성분'!$G$12:$G$950,'09월 화학성분'!$B$12:$B$950,$A5,'09월 화학성분'!$D$12:$D$950,$B8)))</f>
        <v>8.5</v>
      </c>
      <c r="S8" s="1076">
        <f>IF($C8&lt;1,"",(AVERAGEIFS('09월 조업일지'!$AI$12:$AI$954,'09월 조업일지'!$B$12:$B$954,$A5,'09월 조업일지'!$E$12:$E$954,$B8)))</f>
        <v>1588.8</v>
      </c>
      <c r="T8" s="1077">
        <f>IF($C8&lt;1,"",(AVERAGEIFS('09월 화학성분'!$AM$12:$AM$949,'09월 화학성분'!$B$12:$B$949,$A5,'09월 화학성분'!$D$12:$D$949,$B8)))</f>
        <v>1823.3</v>
      </c>
      <c r="U8" s="1078">
        <f>IF($C8&lt;1,"",(AVERAGEIFS('09월 고철장입'!$AJ$14:$AJ$949,'09월 고철장입'!$B$14:$B$949,$A5,'09월 고철장입'!$C$14:$C$949,$B8))/1000)</f>
        <v>159.33000000000001</v>
      </c>
      <c r="V8" s="1103">
        <f>IF($C8&lt;1,"",(AVERAGEIFS('09월 고철장입'!$AK$14:$AK$949,'09월 고철장입'!$B$14:$B$949,$A5,'09월 고철장입'!$C$14:$C$949,$B8)))</f>
        <v>143.61000000000001</v>
      </c>
      <c r="W8" s="1079">
        <f t="shared" si="0"/>
        <v>90.133684805121447</v>
      </c>
      <c r="X8" s="1080">
        <f>IF($C8&lt;1,"",(AVERAGEIFS('09월 에너지'!$O$14:$O$949,'09월 에너지'!$A$14:$A$949,$A5,'09월 에너지'!$C$14:$C$949,$B8)))</f>
        <v>156.70118388621924</v>
      </c>
      <c r="Y8" s="1081">
        <f>IF($C8&lt;1,"",(AVERAGEIFS('09월 에너지'!$P$14:$P$949,'09월 에너지'!$A$14:$A$949,$A5,'09월 에너지'!$C$14:$C$949,$B8)))</f>
        <v>142.7736556388715</v>
      </c>
      <c r="Z8" s="1081">
        <f>IF($C8&lt;1,"",(AVERAGEIFS('09월 에너지'!$Q$14:$Q$949,'09월 에너지'!$A$14:$A$949,$A5,'09월 에너지'!$C$14:$C$949,$B8)))</f>
        <v>76.261108257087898</v>
      </c>
      <c r="AA8" s="1082">
        <f>IF($C8&lt;1,"",(AVERAGEIFS('09월 에너지'!$R$14:$R$949,'09월 에너지'!$B$14:$B$949,$A5,'09월 에너지'!$C$14:$C$949,$B8)))</f>
        <v>381.33954862640906</v>
      </c>
      <c r="AB8" s="1083">
        <f>IF($C8&lt;1,"",(AVERAGEIFS('09월 에너지'!$X$14:$X$949,'09월 에너지'!$A$14:$A$949,$A5,'09월 에너지'!$C$14:$C$949,$B8)))</f>
        <v>2.3199075426636209</v>
      </c>
      <c r="AC8" s="1084">
        <f>IF($C8&lt;1,"",(AVERAGEIFS('09월 에너지'!$AC$14:$AC$949,'09월 에너지'!$A$14:$A$949,$A5,'09월 에너지'!$C$14:$C$949,$B8)))</f>
        <v>26.154676477417098</v>
      </c>
      <c r="AD8" s="1085">
        <f>IF($C8&lt;1,"",(AVERAGEIFS('09월 에너지'!$AD$14:$AD$949,'09월 에너지'!$B$14:$B$949,$A5,'09월 에너지'!$C$14:$C$949,$B8)))</f>
        <v>4107.7</v>
      </c>
      <c r="AE8" s="1086">
        <f>IF($C8&lt;1,"",(AVERAGEIFS('09월 에너지'!$AE$14:$AE$949,'09월 에너지'!$B$14:$B$949,$A5,'09월 에너지'!$C$14:$C$949,$B8)))</f>
        <v>28.602239396799877</v>
      </c>
      <c r="AF8" s="1087">
        <f>IF($C8&lt;1,"",(AVERAGEIFS('09월 에너지'!$AI$14:$AI$949,'09월 에너지'!$B$14:$B$949,$A5,'09월 에너지'!$C$14:$C$949,$B8)))</f>
        <v>154.69999999999999</v>
      </c>
      <c r="AG8" s="1088">
        <f>IF($C8&lt;1,"",(AVERAGEIFS('09월 에너지'!$AJ$14:$AJ$949,'09월 에너지'!$B$14:$B$949,$A5,'09월 에너지'!$C$14:$C$949,$B8)))</f>
        <v>1.0771784338792245</v>
      </c>
    </row>
    <row r="9" spans="1:33" ht="16.5" customHeight="1" thickTop="1" thickBot="1">
      <c r="A9" s="1632">
        <f>A5+1</f>
        <v>46267</v>
      </c>
      <c r="B9" s="775" t="s">
        <v>128</v>
      </c>
      <c r="C9" s="776">
        <f>COUNTIFS('09월 조업일지'!$B$12:$B$952,A9,'09월 조업일지'!$E$12:$E$952,B9)</f>
        <v>10</v>
      </c>
      <c r="D9" s="1026">
        <f t="shared" si="1"/>
        <v>45.600000000000009</v>
      </c>
      <c r="E9" s="1027">
        <f>IF($C9&lt;1,"",(SUMIFS('09월 조업일지'!$K$12:$K$954,'09월 조업일지'!$B$12:$B$954,$A9,'09월 조업일지'!$E$12:$E$954,$B9)/$C9))</f>
        <v>0</v>
      </c>
      <c r="F9" s="1028">
        <f>IF($C9&lt;1,"",(AVERAGEIFS('09월 조업일지'!$J$12:$J$954,'09월 조업일지'!$B$12:$B$954,$A9,'09월 조업일지'!$E$12:$E$954,$B9)))</f>
        <v>45.600000000000009</v>
      </c>
      <c r="G9" s="1029">
        <f>IF($C9&lt;1,"",(AVERAGEIFS('09월 에너지'!$M$14:$M$950,'09월 에너지'!$B$14:$B$950,$A9,'09월 에너지'!$C$14:$C$950,$B9)))</f>
        <v>44.81</v>
      </c>
      <c r="H9" s="1030">
        <f>IF($C9&lt;1,"",(AVERAGEIFS('09월 조업일지'!$AJ$12:$AJ$954,'09월 조업일지'!$B$12:$B$954,$A9,'09월 조업일지'!$E$12:$E$954,$B9)))</f>
        <v>21.1</v>
      </c>
      <c r="I9" s="1031">
        <f>IF($C9&lt;1,"",(AVERAGEIFS('09월 조업일지'!$AL$12:$AL$954,'09월 조업일지'!$B$12:$B$954,$A9,'09월 조업일지'!$E$12:$E$954,$B9)))</f>
        <v>8.4</v>
      </c>
      <c r="J9" s="1032">
        <f>IF($C9&lt;1,"",(AVERAGEIFS('09월 화학성분'!G$12:G$950,'09월 화학성분'!$B$12:$B$950,$A9,'09월 화학성분'!$D$12:$D$950,$B9)))</f>
        <v>10.1</v>
      </c>
      <c r="K9" s="1033">
        <f>IF($C9&lt;1,"",(AVERAGEIFS('09월 화학성분'!H$12:H$950,'09월 화학성분'!$B$12:$B$950,$A9,'09월 화학성분'!$D$12:$D$950,$B9)))</f>
        <v>22.1</v>
      </c>
      <c r="L9" s="1033">
        <f>IF($C9&lt;1,"",(AVERAGEIFS('09월 화학성분'!I$12:I$950,'09월 화학성분'!$B$12:$B$950,$A9,'09월 화학성분'!$D$12:$D$950,$B9)))</f>
        <v>54.8</v>
      </c>
      <c r="M9" s="1033">
        <f>IF($C9&lt;1,"",(AVERAGEIFS('09월 화학성분'!J$12:J$950,'09월 화학성분'!$B$12:$B$950,$A9,'09월 화학성분'!$D$12:$D$950,$B9)))</f>
        <v>15.8</v>
      </c>
      <c r="N9" s="1033">
        <f>IF($C9&lt;1,"",(AVERAGEIFS('09월 화학성분'!K$12:K$950,'09월 화학성분'!$B$12:$B$950,$A9,'09월 화학성분'!$D$12:$D$950,$B9)))</f>
        <v>34.799999999999997</v>
      </c>
      <c r="O9" s="1033">
        <f>IF($C9&lt;1,"",(AVERAGEIFS('09월 화학성분'!L$12:L$950,'09월 화학성분'!$B$12:$B$950,$A9,'09월 화학성분'!$D$12:$D$950,$B9)))</f>
        <v>11.7</v>
      </c>
      <c r="P9" s="1033">
        <f>IF($C9&lt;1,"",(AVERAGEIFS('09월 화학성분'!M$12:M$950,'09월 화학성분'!$B$12:$B$950,$A9,'09월 화학성분'!$D$12:$D$950,$B9)))</f>
        <v>10.5</v>
      </c>
      <c r="Q9" s="1033">
        <f>IF($C9&lt;1,"",(AVERAGEIFS('09월 조업일지'!$AK$12:$AK$954,'09월 조업일지'!$B$12:$B$954,$A9,'09월 조업일지'!$E$12:$E$954,$B9)))</f>
        <v>540.1</v>
      </c>
      <c r="R9" s="1033">
        <f>IF($C9&lt;1,"",(AVERAGEIFS('09월 화학성분'!$G$12:$G$950,'09월 화학성분'!$B$12:$B$950,$A9,'09월 화학성분'!$D$12:$D$950,$B9)))</f>
        <v>10.1</v>
      </c>
      <c r="S9" s="1034">
        <f>IF($C9&lt;1,"",(AVERAGEIFS('09월 조업일지'!$AI$12:$AI$954,'09월 조업일지'!$B$12:$B$954,$A9,'09월 조업일지'!$E$12:$E$954,$B9)))</f>
        <v>1573.4</v>
      </c>
      <c r="T9" s="1035">
        <f>IF($C9&lt;1,"",(AVERAGEIFS('09월 화학성분'!$AM$12:$AM$949,'09월 화학성분'!$B$12:$B$949,$A9,'09월 화학성분'!$D$12:$D$949,$B9)))</f>
        <v>1901</v>
      </c>
      <c r="U9" s="1036">
        <f>IF($C9&lt;1,"",(AVERAGEIFS('09월 고철장입'!$AJ$14:$AJ$949,'09월 고철장입'!$B$14:$B$949,$A9,'09월 고철장입'!$C$14:$C$949,$B9))/1000)</f>
        <v>158.44999999999999</v>
      </c>
      <c r="V9" s="1101">
        <f>IF($C9&lt;1,"",(AVERAGEIFS('09월 고철장입'!$AK$14:$AK$949,'09월 고철장입'!$B$14:$B$949,$A9,'09월 고철장입'!$C$14:$C$949,$B9)))</f>
        <v>142.79000000000002</v>
      </c>
      <c r="W9" s="1037">
        <f t="shared" ref="W9:W72" si="2">IF(C9&lt;1,"",V9/U9*100)</f>
        <v>90.116756074471454</v>
      </c>
      <c r="X9" s="1038">
        <f>IF($C9&lt;1,"",(AVERAGEIFS('09월 에너지'!$O$14:$O$949,'09월 에너지'!$A$14:$A$949,$A9,'09월 에너지'!$C$14:$C$949,$B9)))</f>
        <v>161.37537946288543</v>
      </c>
      <c r="Y9" s="1039">
        <f>IF($C9&lt;1,"",(AVERAGEIFS('09월 에너지'!$P$14:$P$949,'09월 에너지'!$A$14:$A$949,$A9,'09월 에너지'!$C$14:$C$949,$B9)))</f>
        <v>144.98331360298511</v>
      </c>
      <c r="Z9" s="1039">
        <f>IF($C9&lt;1,"",(AVERAGEIFS('09월 에너지'!$Q$14:$Q$949,'09월 에너지'!$A$14:$A$949,$A9,'09월 에너지'!$C$14:$C$949,$B9)))</f>
        <v>80.913629593965169</v>
      </c>
      <c r="AA9" s="1040">
        <f>IF($C9&lt;1,"",(AVERAGEIFS('09월 에너지'!$R$14:$R$949,'09월 에너지'!$B$14:$B$949,$A9,'09월 에너지'!$C$14:$C$949,$B9)))</f>
        <v>387.27232265983565</v>
      </c>
      <c r="AB9" s="1041">
        <f>IF($C9&lt;1,"",(AVERAGEIFS('09월 에너지'!$X$14:$X$949,'09월 에너지'!$A$14:$A$949,$A9,'09월 에너지'!$C$14:$C$949,$B9)))</f>
        <v>2.5538932516793307</v>
      </c>
      <c r="AC9" s="1042">
        <f>IF($C9&lt;1,"",(AVERAGEIFS('09월 에너지'!$AC$14:$AC$949,'09월 에너지'!$A$14:$A$949,$A9,'09월 에너지'!$C$14:$C$949,$B9)))</f>
        <v>25.514045634883278</v>
      </c>
      <c r="AD9" s="1043">
        <f>IF($C9&lt;1,"",(AVERAGEIFS('09월 에너지'!$AD$14:$AD$949,'09월 에너지'!$B$14:$B$949,$A9,'09월 에너지'!$C$14:$C$949,$B9)))</f>
        <v>4007.2</v>
      </c>
      <c r="AE9" s="1044">
        <f>IF($C9&lt;1,"",(AVERAGEIFS('09월 에너지'!$AE$14:$AE$949,'09월 에너지'!$B$14:$B$949,$A9,'09월 에너지'!$C$14:$C$949,$B9)))</f>
        <v>28.067938886562604</v>
      </c>
      <c r="AF9" s="1045">
        <f>IF($C9&lt;1,"",(AVERAGEIFS('09월 에너지'!$AI$14:$AI$949,'09월 에너지'!$B$14:$B$949,$A9,'09월 에너지'!$C$14:$C$949,$B9)))</f>
        <v>149</v>
      </c>
      <c r="AG9" s="1046">
        <f>IF($C9&lt;1,"",(AVERAGEIFS('09월 에너지'!$AJ$14:$AJ$949,'09월 에너지'!$B$14:$B$949,$A9,'09월 에너지'!$C$14:$C$949,$B9)))</f>
        <v>1.0436564193122924</v>
      </c>
    </row>
    <row r="10" spans="1:33" ht="16.5" customHeight="1" thickTop="1" thickBot="1">
      <c r="A10" s="1632"/>
      <c r="B10" s="781" t="s">
        <v>100</v>
      </c>
      <c r="C10" s="782">
        <f>COUNTIFS('09월 조업일지'!$B$12:$B$952,A9,'09월 조업일지'!$E$12:$E$952,B10)</f>
        <v>0</v>
      </c>
      <c r="D10" s="1047" t="str">
        <f t="shared" si="1"/>
        <v/>
      </c>
      <c r="E10" s="1048" t="str">
        <f>IF($C10&lt;1,"",(SUMIFS('09월 조업일지'!$K$12:$K$954,'09월 조업일지'!$B$12:$B$954,$A9,'09월 조업일지'!$E$12:$E$954,$B10)/$C10))</f>
        <v/>
      </c>
      <c r="F10" s="1049" t="str">
        <f>IF($C10&lt;1,"",(AVERAGEIFS('09월 조업일지'!$J$12:$J$954,'09월 조업일지'!$B$12:$B$954,$A9,'09월 조업일지'!$E$12:$E$954,$B10)))</f>
        <v/>
      </c>
      <c r="G10" s="1050" t="str">
        <f>IF($C10&lt;1,"",(AVERAGEIFS('09월 에너지'!$M$14:$M$950,'09월 에너지'!$B$14:$B$950,$A9,'09월 에너지'!$C$14:$C$950,$B10)))</f>
        <v/>
      </c>
      <c r="H10" s="1051" t="str">
        <f>IF($C10&lt;1,"",(AVERAGEIFS('09월 조업일지'!$AJ$12:$AJ$954,'09월 조업일지'!$B$12:$B$954,$A9,'09월 조업일지'!$E$12:$E$954,$B10)))</f>
        <v/>
      </c>
      <c r="I10" s="1052" t="str">
        <f>IF($C10&lt;1,"",(AVERAGEIFS('09월 조업일지'!$AL$12:$AL$954,'09월 조업일지'!$B$12:$B$954,$A9,'09월 조업일지'!$E$12:$E$954,$B10)))</f>
        <v/>
      </c>
      <c r="J10" s="1053" t="str">
        <f>IF($C10&lt;1,"",(AVERAGEIFS('09월 화학성분'!G$12:G$950,'09월 화학성분'!$B$12:$B$950,$A9,'09월 화학성분'!$D$12:$D$950,$B10)))</f>
        <v/>
      </c>
      <c r="K10" s="1054" t="str">
        <f>IF($C10&lt;1,"",(AVERAGEIFS('09월 화학성분'!H$12:H$950,'09월 화학성분'!$B$12:$B$950,$A9,'09월 화학성분'!$D$12:$D$950,$B10)))</f>
        <v/>
      </c>
      <c r="L10" s="1054" t="str">
        <f>IF($C10&lt;1,"",(AVERAGEIFS('09월 화학성분'!I$12:I$950,'09월 화학성분'!$B$12:$B$950,$A9,'09월 화학성분'!$D$12:$D$950,$B10)))</f>
        <v/>
      </c>
      <c r="M10" s="1054" t="str">
        <f>IF($C10&lt;1,"",(AVERAGEIFS('09월 화학성분'!J$12:J$950,'09월 화학성분'!$B$12:$B$950,$A9,'09월 화학성분'!$D$12:$D$950,$B10)))</f>
        <v/>
      </c>
      <c r="N10" s="1054" t="str">
        <f>IF($C10&lt;1,"",(AVERAGEIFS('09월 화학성분'!K$12:K$950,'09월 화학성분'!$B$12:$B$950,$A9,'09월 화학성분'!$D$12:$D$950,$B10)))</f>
        <v/>
      </c>
      <c r="O10" s="1054" t="str">
        <f>IF($C10&lt;1,"",(AVERAGEIFS('09월 화학성분'!L$12:L$950,'09월 화학성분'!$B$12:$B$950,$A9,'09월 화학성분'!$D$12:$D$950,$B10)))</f>
        <v/>
      </c>
      <c r="P10" s="1054" t="str">
        <f>IF($C10&lt;1,"",(AVERAGEIFS('09월 화학성분'!M$12:M$950,'09월 화학성분'!$B$12:$B$950,$A9,'09월 화학성분'!$D$12:$D$950,$B10)))</f>
        <v/>
      </c>
      <c r="Q10" s="1054" t="str">
        <f>IF($C10&lt;1,"",(AVERAGEIFS('09월 조업일지'!$AK$12:$AK$954,'09월 조업일지'!$B$12:$B$954,$A9,'09월 조업일지'!$E$12:$E$954,$B10)))</f>
        <v/>
      </c>
      <c r="R10" s="1054" t="str">
        <f>IF($C10&lt;1,"",(AVERAGEIFS('09월 화학성분'!$G$12:$G$950,'09월 화학성분'!$B$12:$B$950,$A9,'09월 화학성분'!$D$12:$D$950,$B10)))</f>
        <v/>
      </c>
      <c r="S10" s="1055" t="str">
        <f>IF($C10&lt;1,"",(AVERAGEIFS('09월 조업일지'!$AI$12:$AI$954,'09월 조업일지'!$B$12:$B$954,$A9,'09월 조업일지'!$E$12:$E$954,$B10)))</f>
        <v/>
      </c>
      <c r="T10" s="1056" t="str">
        <f>IF($C10&lt;1,"",(AVERAGEIFS('09월 화학성분'!$AM$12:$AM$949,'09월 화학성분'!$B$12:$B$949,$A9,'09월 화학성분'!$D$12:$D$949,$B10)))</f>
        <v/>
      </c>
      <c r="U10" s="1057" t="str">
        <f>IF($C10&lt;1,"",(AVERAGEIFS('09월 고철장입'!$AJ$14:$AJ$949,'09월 고철장입'!$B$14:$B$949,$A9,'09월 고철장입'!$C$14:$C$949,$B10))/1000)</f>
        <v/>
      </c>
      <c r="V10" s="1102" t="str">
        <f>IF($C10&lt;1,"",(AVERAGEIFS('09월 고철장입'!$AK$14:$AK$949,'09월 고철장입'!$B$14:$B$949,$A9,'09월 고철장입'!$C$14:$C$949,$B10)))</f>
        <v/>
      </c>
      <c r="W10" s="1058" t="str">
        <f t="shared" si="2"/>
        <v/>
      </c>
      <c r="X10" s="1059" t="str">
        <f>IF($C10&lt;1,"",(AVERAGEIFS('09월 에너지'!$O$14:$O$949,'09월 에너지'!$A$14:$A$949,$A9,'09월 에너지'!$C$14:$C$949,$B10)))</f>
        <v/>
      </c>
      <c r="Y10" s="1060" t="str">
        <f>IF($C10&lt;1,"",(AVERAGEIFS('09월 에너지'!$P$14:$P$949,'09월 에너지'!$A$14:$A$949,$A9,'09월 에너지'!$C$14:$C$949,$B10)))</f>
        <v/>
      </c>
      <c r="Z10" s="1060" t="str">
        <f>IF($C10&lt;1,"",(AVERAGEIFS('09월 에너지'!$Q$14:$Q$949,'09월 에너지'!$A$14:$A$949,$A9,'09월 에너지'!$C$14:$C$949,$B10)))</f>
        <v/>
      </c>
      <c r="AA10" s="1061" t="str">
        <f>IF($C10&lt;1,"",(AVERAGEIFS('09월 에너지'!$R$14:$R$949,'09월 에너지'!$B$14:$B$949,$A9,'09월 에너지'!$C$14:$C$949,$B10)))</f>
        <v/>
      </c>
      <c r="AB10" s="1062" t="str">
        <f>IF($C10&lt;1,"",(AVERAGEIFS('09월 에너지'!$X$14:$X$949,'09월 에너지'!$A$14:$A$949,$A9,'09월 에너지'!$C$14:$C$949,$B10)))</f>
        <v/>
      </c>
      <c r="AC10" s="1063" t="str">
        <f>IF($C10&lt;1,"",(AVERAGEIFS('09월 에너지'!$AC$14:$AC$949,'09월 에너지'!$A$14:$A$949,$A9,'09월 에너지'!$C$14:$C$949,$B10)))</f>
        <v/>
      </c>
      <c r="AD10" s="1064" t="str">
        <f>IF($C10&lt;1,"",(AVERAGEIFS('09월 에너지'!$AD$14:$AD$949,'09월 에너지'!$B$14:$B$949,$A9,'09월 에너지'!$C$14:$C$949,$B10)))</f>
        <v/>
      </c>
      <c r="AE10" s="1065" t="str">
        <f>IF($C10&lt;1,"",(AVERAGEIFS('09월 에너지'!$AE$14:$AE$949,'09월 에너지'!$B$14:$B$949,$A9,'09월 에너지'!$C$14:$C$949,$B10)))</f>
        <v/>
      </c>
      <c r="AF10" s="1066" t="str">
        <f>IF($C10&lt;1,"",(AVERAGEIFS('09월 에너지'!$AI$14:$AI$949,'09월 에너지'!$B$14:$B$949,$A9,'09월 에너지'!$C$14:$C$949,$B10)))</f>
        <v/>
      </c>
      <c r="AG10" s="1067" t="str">
        <f>IF($C10&lt;1,"",(AVERAGEIFS('09월 에너지'!$AJ$14:$AJ$949,'09월 에너지'!$B$14:$B$949,$A9,'09월 에너지'!$C$14:$C$949,$B10)))</f>
        <v/>
      </c>
    </row>
    <row r="11" spans="1:33" ht="16.5" customHeight="1" thickTop="1" thickBot="1">
      <c r="A11" s="1632"/>
      <c r="B11" s="781" t="s">
        <v>93</v>
      </c>
      <c r="C11" s="782">
        <f>COUNTIFS('09월 조업일지'!$B$12:$B$952,A9,'09월 조업일지'!$E$12:$E$952,B11)</f>
        <v>10</v>
      </c>
      <c r="D11" s="1047">
        <f t="shared" ref="D11:D74" si="3">IF(C11&lt;1,"",F11-E11)</f>
        <v>48.499999999999986</v>
      </c>
      <c r="E11" s="1048">
        <f>IF($C11&lt;1,"",(SUMIFS('09월 조업일지'!$K$12:$K$954,'09월 조업일지'!$B$12:$B$954,$A9,'09월 조업일지'!$E$12:$E$954,$B11)/$C11))</f>
        <v>1</v>
      </c>
      <c r="F11" s="1049">
        <f>IF($C11&lt;1,"",(AVERAGEIFS('09월 조업일지'!$J$12:$J$954,'09월 조업일지'!$B$12:$B$954,$A9,'09월 조업일지'!$E$12:$E$954,$B11)))</f>
        <v>49.499999999999986</v>
      </c>
      <c r="G11" s="1050">
        <f>IF($C11&lt;1,"",(AVERAGEIFS('09월 에너지'!$M$14:$M$950,'09월 에너지'!$B$14:$B$950,$A9,'09월 에너지'!$C$14:$C$950,$B11)))</f>
        <v>46.72</v>
      </c>
      <c r="H11" s="1051">
        <f>IF($C11&lt;1,"",(AVERAGEIFS('09월 조업일지'!$AJ$12:$AJ$954,'09월 조업일지'!$B$12:$B$954,$A9,'09월 조업일지'!$E$12:$E$954,$B11)))</f>
        <v>5.4</v>
      </c>
      <c r="I11" s="1052">
        <f>IF($C11&lt;1,"",(AVERAGEIFS('09월 조업일지'!$AL$12:$AL$954,'09월 조업일지'!$B$12:$B$954,$A9,'09월 조업일지'!$E$12:$E$954,$B11)))</f>
        <v>6.1111111111111107</v>
      </c>
      <c r="J11" s="1053">
        <f>IF($C11&lt;1,"",(AVERAGEIFS('09월 화학성분'!G$12:G$950,'09월 화학성분'!$B$12:$B$950,$A9,'09월 화학성분'!$D$12:$D$950,$B11)))</f>
        <v>9.3000000000000007</v>
      </c>
      <c r="K11" s="1054">
        <f>IF($C11&lt;1,"",(AVERAGEIFS('09월 화학성분'!H$12:H$950,'09월 화학성분'!$B$12:$B$950,$A9,'09월 화학성분'!$D$12:$D$950,$B11)))</f>
        <v>21.3</v>
      </c>
      <c r="L11" s="1054">
        <f>IF($C11&lt;1,"",(AVERAGEIFS('09월 화학성분'!I$12:I$950,'09월 화학성분'!$B$12:$B$950,$A9,'09월 화학성분'!$D$12:$D$950,$B11)))</f>
        <v>52.5</v>
      </c>
      <c r="M11" s="1054">
        <f>IF($C11&lt;1,"",(AVERAGEIFS('09월 화학성분'!J$12:J$950,'09월 화학성분'!$B$12:$B$950,$A9,'09월 화학성분'!$D$12:$D$950,$B11)))</f>
        <v>14.1</v>
      </c>
      <c r="N11" s="1054">
        <f>IF($C11&lt;1,"",(AVERAGEIFS('09월 화학성분'!K$12:K$950,'09월 화학성분'!$B$12:$B$950,$A9,'09월 화학성분'!$D$12:$D$950,$B11)))</f>
        <v>32</v>
      </c>
      <c r="O11" s="1054">
        <f>IF($C11&lt;1,"",(AVERAGEIFS('09월 화학성분'!L$12:L$950,'09월 화학성분'!$B$12:$B$950,$A9,'09월 화학성분'!$D$12:$D$950,$B11)))</f>
        <v>12.6</v>
      </c>
      <c r="P11" s="1054">
        <f>IF($C11&lt;1,"",(AVERAGEIFS('09월 화학성분'!M$12:M$950,'09월 화학성분'!$B$12:$B$950,$A9,'09월 화학성분'!$D$12:$D$950,$B11)))</f>
        <v>9.8000000000000007</v>
      </c>
      <c r="Q11" s="1054">
        <f>IF($C11&lt;1,"",(AVERAGEIFS('09월 조업일지'!$AK$12:$AK$954,'09월 조업일지'!$B$12:$B$954,$A9,'09월 조업일지'!$E$12:$E$954,$B11)))</f>
        <v>643.33333333333337</v>
      </c>
      <c r="R11" s="1054">
        <f>IF($C11&lt;1,"",(AVERAGEIFS('09월 화학성분'!$G$12:$G$950,'09월 화학성분'!$B$12:$B$950,$A9,'09월 화학성분'!$D$12:$D$950,$B11)))</f>
        <v>9.3000000000000007</v>
      </c>
      <c r="S11" s="1055">
        <f>IF($C11&lt;1,"",(AVERAGEIFS('09월 조업일지'!$AI$12:$AI$954,'09월 조업일지'!$B$12:$B$954,$A9,'09월 조업일지'!$E$12:$E$954,$B11)))</f>
        <v>1574.1</v>
      </c>
      <c r="T11" s="1056">
        <f>IF($C11&lt;1,"",(AVERAGEIFS('09월 화학성분'!$AM$12:$AM$949,'09월 화학성분'!$B$12:$B$949,$A9,'09월 화학성분'!$D$12:$D$949,$B11)))</f>
        <v>1843.9</v>
      </c>
      <c r="U11" s="1057">
        <f>IF($C11&lt;1,"",(AVERAGEIFS('09월 고철장입'!$AJ$14:$AJ$949,'09월 고철장입'!$B$14:$B$949,$A9,'09월 고철장입'!$C$14:$C$949,$B11))/1000)</f>
        <v>159.62</v>
      </c>
      <c r="V11" s="1102">
        <f>IF($C11&lt;1,"",(AVERAGEIFS('09월 고철장입'!$AK$14:$AK$949,'09월 고철장입'!$B$14:$B$949,$A9,'09월 고철장입'!$C$14:$C$949,$B11)))</f>
        <v>143.59</v>
      </c>
      <c r="W11" s="1058">
        <f t="shared" si="2"/>
        <v>89.957398822202734</v>
      </c>
      <c r="X11" s="1059">
        <f>IF($C11&lt;1,"",(AVERAGEIFS('09월 에너지'!$O$14:$O$949,'09월 에너지'!$A$14:$A$949,$A9,'09월 에너지'!$C$14:$C$949,$B11)))</f>
        <v>164.78666295534759</v>
      </c>
      <c r="Y11" s="1060">
        <f>IF($C11&lt;1,"",(AVERAGEIFS('09월 에너지'!$P$14:$P$949,'09월 에너지'!$A$14:$A$949,$A9,'09월 에너지'!$C$14:$C$949,$B11)))</f>
        <v>143.74913319753509</v>
      </c>
      <c r="Z11" s="1060">
        <f>IF($C11&lt;1,"",(AVERAGEIFS('09월 에너지'!$Q$14:$Q$949,'09월 에너지'!$A$14:$A$949,$A9,'09월 에너지'!$C$14:$C$949,$B11)))</f>
        <v>86.380721647071056</v>
      </c>
      <c r="AA11" s="1061">
        <f>IF($C11&lt;1,"",(AVERAGEIFS('09월 에너지'!$R$14:$R$949,'09월 에너지'!$B$14:$B$949,$A9,'09월 에너지'!$C$14:$C$949,$B11)))</f>
        <v>394.91651779995379</v>
      </c>
      <c r="AB11" s="1062">
        <f>IF($C11&lt;1,"",(AVERAGEIFS('09월 에너지'!$X$14:$X$949,'09월 에너지'!$A$14:$A$949,$A9,'09월 에너지'!$C$14:$C$949,$B11)))</f>
        <v>2.6075198959904182</v>
      </c>
      <c r="AC11" s="1063">
        <f>IF($C11&lt;1,"",(AVERAGEIFS('09월 에너지'!$AC$14:$AC$949,'09월 에너지'!$A$14:$A$949,$A9,'09월 에너지'!$C$14:$C$949,$B11)))</f>
        <v>25.762740664823042</v>
      </c>
      <c r="AD11" s="1064">
        <f>IF($C11&lt;1,"",(AVERAGEIFS('09월 에너지'!$AD$14:$AD$949,'09월 에너지'!$B$14:$B$949,$A9,'09월 에너지'!$C$14:$C$949,$B11)))</f>
        <v>4072.8</v>
      </c>
      <c r="AE11" s="1065">
        <f>IF($C11&lt;1,"",(AVERAGEIFS('09월 에너지'!$AE$14:$AE$949,'09월 에너지'!$B$14:$B$949,$A9,'09월 에너지'!$C$14:$C$949,$B11)))</f>
        <v>28.370260560813456</v>
      </c>
      <c r="AF11" s="1066">
        <f>IF($C11&lt;1,"",(AVERAGEIFS('09월 에너지'!$AI$14:$AI$949,'09월 에너지'!$B$14:$B$949,$A9,'09월 에너지'!$C$14:$C$949,$B11)))</f>
        <v>153.4</v>
      </c>
      <c r="AG11" s="1067">
        <f>IF($C11&lt;1,"",(AVERAGEIFS('09월 에너지'!$AJ$14:$AJ$949,'09월 에너지'!$B$14:$B$949,$A9,'09월 에너지'!$C$14:$C$949,$B11)))</f>
        <v>1.0684557782953452</v>
      </c>
    </row>
    <row r="12" spans="1:33" ht="16.5" customHeight="1" thickTop="1" thickBot="1">
      <c r="A12" s="1632"/>
      <c r="B12" s="783" t="s">
        <v>94</v>
      </c>
      <c r="C12" s="784">
        <f>COUNTIFS('09월 조업일지'!$B$12:$B$952,A9,'09월 조업일지'!$E$12:$E$952,B12)</f>
        <v>11</v>
      </c>
      <c r="D12" s="1068">
        <f t="shared" si="3"/>
        <v>45.909090909090907</v>
      </c>
      <c r="E12" s="1069">
        <f>IF($C12&lt;1,"",(SUMIFS('09월 조업일지'!$K$12:$K$954,'09월 조업일지'!$B$12:$B$954,$A9,'09월 조업일지'!$E$12:$E$954,$B12)/$C12))</f>
        <v>0</v>
      </c>
      <c r="F12" s="1070">
        <f>IF($C12&lt;1,"",(AVERAGEIFS('09월 조업일지'!$J$12:$J$954,'09월 조업일지'!$B$12:$B$954,$A9,'09월 조업일지'!$E$12:$E$954,$B12)))</f>
        <v>45.909090909090907</v>
      </c>
      <c r="G12" s="1071">
        <f>IF($C12&lt;1,"",(AVERAGEIFS('09월 에너지'!$M$14:$M$950,'09월 에너지'!$B$14:$B$950,$A9,'09월 에너지'!$C$14:$C$950,$B12)))</f>
        <v>44.590909090909093</v>
      </c>
      <c r="H12" s="1072">
        <f>IF($C12&lt;1,"",(AVERAGEIFS('09월 조업일지'!$AJ$12:$AJ$954,'09월 조업일지'!$B$12:$B$954,$A9,'09월 조업일지'!$E$12:$E$954,$B12)))</f>
        <v>54.272727272727273</v>
      </c>
      <c r="I12" s="1073">
        <f>IF($C12&lt;1,"",(AVERAGEIFS('09월 조업일지'!$AL$12:$AL$954,'09월 조업일지'!$B$12:$B$954,$A9,'09월 조업일지'!$E$12:$E$954,$B12)))</f>
        <v>5.8888888888888893</v>
      </c>
      <c r="J12" s="1074">
        <f>IF($C12&lt;1,"",(AVERAGEIFS('09월 화학성분'!G$12:G$950,'09월 화학성분'!$B$12:$B$950,$A9,'09월 화학성분'!$D$12:$D$950,$B12)))</f>
        <v>8.2727272727272734</v>
      </c>
      <c r="K12" s="1075">
        <f>IF($C12&lt;1,"",(AVERAGEIFS('09월 화학성분'!H$12:H$950,'09월 화학성분'!$B$12:$B$950,$A9,'09월 화학성분'!$D$12:$D$950,$B12)))</f>
        <v>18.90909090909091</v>
      </c>
      <c r="L12" s="1075">
        <f>IF($C12&lt;1,"",(AVERAGEIFS('09월 화학성분'!I$12:I$950,'09월 화학성분'!$B$12:$B$950,$A9,'09월 화학성분'!$D$12:$D$950,$B12)))</f>
        <v>48.363636363636367</v>
      </c>
      <c r="M12" s="1075">
        <f>IF($C12&lt;1,"",(AVERAGEIFS('09월 화학성분'!J$12:J$950,'09월 화학성분'!$B$12:$B$950,$A9,'09월 화학성분'!$D$12:$D$950,$B12)))</f>
        <v>13.727272727272727</v>
      </c>
      <c r="N12" s="1075">
        <f>IF($C12&lt;1,"",(AVERAGEIFS('09월 화학성분'!K$12:K$950,'09월 화학성분'!$B$12:$B$950,$A9,'09월 화학성분'!$D$12:$D$950,$B12)))</f>
        <v>55.909090909090907</v>
      </c>
      <c r="O12" s="1075">
        <f>IF($C12&lt;1,"",(AVERAGEIFS('09월 화학성분'!L$12:L$950,'09월 화학성분'!$B$12:$B$950,$A9,'09월 화학성분'!$D$12:$D$950,$B12)))</f>
        <v>9.8181818181818183</v>
      </c>
      <c r="P12" s="1075">
        <f>IF($C12&lt;1,"",(AVERAGEIFS('09월 화학성분'!M$12:M$950,'09월 화학성분'!$B$12:$B$950,$A9,'09월 화학성분'!$D$12:$D$950,$B12)))</f>
        <v>9.3636363636363633</v>
      </c>
      <c r="Q12" s="1075">
        <f>IF($C12&lt;1,"",(AVERAGEIFS('09월 조업일지'!$AK$12:$AK$954,'09월 조업일지'!$B$12:$B$954,$A9,'09월 조업일지'!$E$12:$E$954,$B12)))</f>
        <v>702.11111111111109</v>
      </c>
      <c r="R12" s="1075">
        <f>IF($C12&lt;1,"",(AVERAGEIFS('09월 화학성분'!$G$12:$G$950,'09월 화학성분'!$B$12:$B$950,$A9,'09월 화학성분'!$D$12:$D$950,$B12)))</f>
        <v>8.2727272727272734</v>
      </c>
      <c r="S12" s="1076">
        <f>IF($C12&lt;1,"",(AVERAGEIFS('09월 조업일지'!$AI$12:$AI$954,'09월 조업일지'!$B$12:$B$954,$A9,'09월 조업일지'!$E$12:$E$954,$B12)))</f>
        <v>1589.090909090909</v>
      </c>
      <c r="T12" s="1077">
        <f>IF($C12&lt;1,"",(AVERAGEIFS('09월 화학성분'!$AM$12:$AM$949,'09월 화학성분'!$B$12:$B$949,$A9,'09월 화학성분'!$D$12:$D$949,$B12)))</f>
        <v>2051.090909090909</v>
      </c>
      <c r="U12" s="1078">
        <f>IF($C12&lt;1,"",(AVERAGEIFS('09월 고철장입'!$AJ$14:$AJ$949,'09월 고철장입'!$B$14:$B$949,$A9,'09월 고철장입'!$C$14:$C$949,$B12))/1000)</f>
        <v>159.38181818181818</v>
      </c>
      <c r="V12" s="1103">
        <f>IF($C12&lt;1,"",(AVERAGEIFS('09월 고철장입'!$AK$14:$AK$949,'09월 고철장입'!$B$14:$B$949,$A9,'09월 고철장입'!$C$14:$C$949,$B12)))</f>
        <v>143.86363636363637</v>
      </c>
      <c r="W12" s="1079">
        <f t="shared" si="2"/>
        <v>90.263518138261475</v>
      </c>
      <c r="X12" s="1080">
        <f>IF($C12&lt;1,"",(AVERAGEIFS('09월 에너지'!$O$14:$O$949,'09월 에너지'!$A$14:$A$949,$A9,'09월 에너지'!$C$14:$C$949,$B12)))</f>
        <v>159.09535155045828</v>
      </c>
      <c r="Y12" s="1081">
        <f>IF($C12&lt;1,"",(AVERAGEIFS('09월 에너지'!$P$14:$P$949,'09월 에너지'!$A$14:$A$949,$A9,'09월 에너지'!$C$14:$C$949,$B12)))</f>
        <v>143.54925305305878</v>
      </c>
      <c r="Z12" s="1081">
        <f>IF($C12&lt;1,"",(AVERAGEIFS('09월 에너지'!$Q$14:$Q$949,'09월 에너지'!$A$14:$A$949,$A9,'09월 에너지'!$C$14:$C$949,$B12)))</f>
        <v>81.353107137761469</v>
      </c>
      <c r="AA12" s="1082">
        <f>IF($C12&lt;1,"",(AVERAGEIFS('09월 에너지'!$R$14:$R$949,'09월 에너지'!$B$14:$B$949,$A9,'09월 에너지'!$C$14:$C$949,$B12)))</f>
        <v>381.51061226231195</v>
      </c>
      <c r="AB12" s="1083">
        <f>IF($C12&lt;1,"",(AVERAGEIFS('09월 에너지'!$X$14:$X$949,'09월 에너지'!$A$14:$A$949,$A9,'09월 에너지'!$C$14:$C$949,$B12)))</f>
        <v>2.3467977287692565</v>
      </c>
      <c r="AC12" s="1084">
        <f>IF($C12&lt;1,"",(AVERAGEIFS('09월 에너지'!$AC$14:$AC$949,'09월 에너지'!$A$14:$A$949,$A9,'09월 에너지'!$C$14:$C$949,$B12)))</f>
        <v>25.964007810197529</v>
      </c>
      <c r="AD12" s="1085">
        <f>IF($C12&lt;1,"",(AVERAGEIFS('09월 에너지'!$AD$14:$AD$949,'09월 에너지'!$B$14:$B$949,$A9,'09월 에너지'!$C$14:$C$949,$B12)))</f>
        <v>4012.4545454545455</v>
      </c>
      <c r="AE12" s="1086">
        <f>IF($C12&lt;1,"",(AVERAGEIFS('09월 에너지'!$AE$14:$AE$949,'09월 에너지'!$B$14:$B$949,$A9,'09월 에너지'!$C$14:$C$949,$B12)))</f>
        <v>27.891223262030977</v>
      </c>
      <c r="AF12" s="1087">
        <f>IF($C12&lt;1,"",(AVERAGEIFS('09월 에너지'!$AI$14:$AI$949,'09월 에너지'!$B$14:$B$949,$A9,'09월 에너지'!$C$14:$C$949,$B12)))</f>
        <v>149.27272727272728</v>
      </c>
      <c r="AG12" s="1088">
        <f>IF($C12&lt;1,"",(AVERAGEIFS('09월 에너지'!$AJ$14:$AJ$949,'09월 에너지'!$B$14:$B$949,$A9,'09월 에너지'!$C$14:$C$949,$B12)))</f>
        <v>1.0375734340173104</v>
      </c>
    </row>
    <row r="13" spans="1:33" ht="16.5" customHeight="1" thickTop="1" thickBot="1">
      <c r="A13" s="1632">
        <f t="shared" ref="A13" si="4">A9+1</f>
        <v>46268</v>
      </c>
      <c r="B13" s="775" t="s">
        <v>128</v>
      </c>
      <c r="C13" s="776">
        <f>COUNTIFS('09월 조업일지'!$B$12:$B$952,A13,'09월 조업일지'!$E$12:$E$952,B13)</f>
        <v>0</v>
      </c>
      <c r="D13" s="1026" t="str">
        <f t="shared" si="3"/>
        <v/>
      </c>
      <c r="E13" s="1027" t="str">
        <f>IF($C13&lt;1,"",(SUMIFS('09월 조업일지'!$K$12:$K$954,'09월 조업일지'!$B$12:$B$954,$A13,'09월 조업일지'!$E$12:$E$954,$B13)/$C13))</f>
        <v/>
      </c>
      <c r="F13" s="1028" t="str">
        <f>IF($C13&lt;1,"",(AVERAGEIFS('09월 조업일지'!$J$12:$J$954,'09월 조업일지'!$B$12:$B$954,$A13,'09월 조업일지'!$E$12:$E$954,$B13)))</f>
        <v/>
      </c>
      <c r="G13" s="1029" t="str">
        <f>IF($C13&lt;1,"",(AVERAGEIFS('09월 에너지'!$M$14:$M$950,'09월 에너지'!$B$14:$B$950,$A13,'09월 에너지'!$C$14:$C$950,$B13)))</f>
        <v/>
      </c>
      <c r="H13" s="1030" t="str">
        <f>IF($C13&lt;1,"",(AVERAGEIFS('09월 조업일지'!$AJ$12:$AJ$954,'09월 조업일지'!$B$12:$B$954,$A13,'09월 조업일지'!$E$12:$E$954,$B13)))</f>
        <v/>
      </c>
      <c r="I13" s="1031" t="str">
        <f>IF($C13&lt;1,"",(AVERAGEIFS('09월 조업일지'!$AL$12:$AL$954,'09월 조업일지'!$B$12:$B$954,$A13,'09월 조업일지'!$E$12:$E$954,$B13)))</f>
        <v/>
      </c>
      <c r="J13" s="1032" t="str">
        <f>IF($C13&lt;1,"",(AVERAGEIFS('09월 화학성분'!G$12:G$950,'09월 화학성분'!$B$12:$B$950,$A13,'09월 화학성분'!$D$12:$D$950,$B13)))</f>
        <v/>
      </c>
      <c r="K13" s="1033" t="str">
        <f>IF($C13&lt;1,"",(AVERAGEIFS('09월 화학성분'!H$12:H$950,'09월 화학성분'!$B$12:$B$950,$A13,'09월 화학성분'!$D$12:$D$950,$B13)))</f>
        <v/>
      </c>
      <c r="L13" s="1033" t="str">
        <f>IF($C13&lt;1,"",(AVERAGEIFS('09월 화학성분'!I$12:I$950,'09월 화학성분'!$B$12:$B$950,$A13,'09월 화학성분'!$D$12:$D$950,$B13)))</f>
        <v/>
      </c>
      <c r="M13" s="1033" t="str">
        <f>IF($C13&lt;1,"",(AVERAGEIFS('09월 화학성분'!J$12:J$950,'09월 화학성분'!$B$12:$B$950,$A13,'09월 화학성분'!$D$12:$D$950,$B13)))</f>
        <v/>
      </c>
      <c r="N13" s="1033" t="str">
        <f>IF($C13&lt;1,"",(AVERAGEIFS('09월 화학성분'!K$12:K$950,'09월 화학성분'!$B$12:$B$950,$A13,'09월 화학성분'!$D$12:$D$950,$B13)))</f>
        <v/>
      </c>
      <c r="O13" s="1033" t="str">
        <f>IF($C13&lt;1,"",(AVERAGEIFS('09월 화학성분'!L$12:L$950,'09월 화학성분'!$B$12:$B$950,$A13,'09월 화학성분'!$D$12:$D$950,$B13)))</f>
        <v/>
      </c>
      <c r="P13" s="1033" t="str">
        <f>IF($C13&lt;1,"",(AVERAGEIFS('09월 화학성분'!M$12:M$950,'09월 화학성분'!$B$12:$B$950,$A13,'09월 화학성분'!$D$12:$D$950,$B13)))</f>
        <v/>
      </c>
      <c r="Q13" s="1033" t="str">
        <f>IF($C13&lt;1,"",(AVERAGEIFS('09월 조업일지'!$AK$12:$AK$954,'09월 조업일지'!$B$12:$B$954,$A13,'09월 조업일지'!$E$12:$E$954,$B13)))</f>
        <v/>
      </c>
      <c r="R13" s="1033" t="str">
        <f>IF($C13&lt;1,"",(AVERAGEIFS('09월 화학성분'!$G$12:$G$950,'09월 화학성분'!$B$12:$B$950,$A13,'09월 화학성분'!$D$12:$D$950,$B13)))</f>
        <v/>
      </c>
      <c r="S13" s="1034" t="str">
        <f>IF($C13&lt;1,"",(AVERAGEIFS('09월 조업일지'!$AI$12:$AI$954,'09월 조업일지'!$B$12:$B$954,$A13,'09월 조업일지'!$E$12:$E$954,$B13)))</f>
        <v/>
      </c>
      <c r="T13" s="1035" t="str">
        <f>IF($C13&lt;1,"",(AVERAGEIFS('09월 화학성분'!$AM$12:$AM$949,'09월 화학성분'!$B$12:$B$949,$A13,'09월 화학성분'!$D$12:$D$949,$B13)))</f>
        <v/>
      </c>
      <c r="U13" s="1036" t="str">
        <f>IF($C13&lt;1,"",(AVERAGEIFS('09월 고철장입'!$AJ$14:$AJ$949,'09월 고철장입'!$B$14:$B$949,$A13,'09월 고철장입'!$C$14:$C$949,$B13))/1000)</f>
        <v/>
      </c>
      <c r="V13" s="1101" t="str">
        <f>IF($C13&lt;1,"",(AVERAGEIFS('09월 고철장입'!$AK$14:$AK$949,'09월 고철장입'!$B$14:$B$949,$A13,'09월 고철장입'!$C$14:$C$949,$B13)))</f>
        <v/>
      </c>
      <c r="W13" s="1037" t="str">
        <f t="shared" si="2"/>
        <v/>
      </c>
      <c r="X13" s="1038" t="str">
        <f>IF($C13&lt;1,"",(AVERAGEIFS('09월 에너지'!$O$14:$O$949,'09월 에너지'!$A$14:$A$949,$A13,'09월 에너지'!$C$14:$C$949,$B13)))</f>
        <v/>
      </c>
      <c r="Y13" s="1039" t="str">
        <f>IF($C13&lt;1,"",(AVERAGEIFS('09월 에너지'!$P$14:$P$949,'09월 에너지'!$A$14:$A$949,$A13,'09월 에너지'!$C$14:$C$949,$B13)))</f>
        <v/>
      </c>
      <c r="Z13" s="1039" t="str">
        <f>IF($C13&lt;1,"",(AVERAGEIFS('09월 에너지'!$Q$14:$Q$949,'09월 에너지'!$A$14:$A$949,$A13,'09월 에너지'!$C$14:$C$949,$B13)))</f>
        <v/>
      </c>
      <c r="AA13" s="1040" t="str">
        <f>IF($C13&lt;1,"",(AVERAGEIFS('09월 에너지'!$R$14:$R$949,'09월 에너지'!$B$14:$B$949,$A13,'09월 에너지'!$C$14:$C$949,$B13)))</f>
        <v/>
      </c>
      <c r="AB13" s="1041" t="str">
        <f>IF($C13&lt;1,"",(AVERAGEIFS('09월 에너지'!$X$14:$X$949,'09월 에너지'!$A$14:$A$949,$A13,'09월 에너지'!$C$14:$C$949,$B13)))</f>
        <v/>
      </c>
      <c r="AC13" s="1042" t="str">
        <f>IF($C13&lt;1,"",(AVERAGEIFS('09월 에너지'!$AC$14:$AC$949,'09월 에너지'!$A$14:$A$949,$A13,'09월 에너지'!$C$14:$C$949,$B13)))</f>
        <v/>
      </c>
      <c r="AD13" s="1043" t="str">
        <f>IF($C13&lt;1,"",(AVERAGEIFS('09월 에너지'!$AD$14:$AD$949,'09월 에너지'!$B$14:$B$949,$A13,'09월 에너지'!$C$14:$C$949,$B13)))</f>
        <v/>
      </c>
      <c r="AE13" s="1044" t="str">
        <f>IF($C13&lt;1,"",(AVERAGEIFS('09월 에너지'!$AE$14:$AE$949,'09월 에너지'!$B$14:$B$949,$A13,'09월 에너지'!$C$14:$C$949,$B13)))</f>
        <v/>
      </c>
      <c r="AF13" s="1045" t="str">
        <f>IF($C13&lt;1,"",(AVERAGEIFS('09월 에너지'!$AI$14:$AI$949,'09월 에너지'!$B$14:$B$949,$A13,'09월 에너지'!$C$14:$C$949,$B13)))</f>
        <v/>
      </c>
      <c r="AG13" s="1046" t="str">
        <f>IF($C13&lt;1,"",(AVERAGEIFS('09월 에너지'!$AJ$14:$AJ$949,'09월 에너지'!$B$14:$B$949,$A13,'09월 에너지'!$C$14:$C$949,$B13)))</f>
        <v/>
      </c>
    </row>
    <row r="14" spans="1:33" ht="16.5" customHeight="1" thickTop="1" thickBot="1">
      <c r="A14" s="1632"/>
      <c r="B14" s="781" t="s">
        <v>100</v>
      </c>
      <c r="C14" s="782">
        <f>COUNTIFS('09월 조업일지'!$B$12:$B$952,A13,'09월 조업일지'!$E$12:$E$952,B14)</f>
        <v>10</v>
      </c>
      <c r="D14" s="1047">
        <f t="shared" si="3"/>
        <v>47.000000000000007</v>
      </c>
      <c r="E14" s="1048">
        <f>IF($C14&lt;1,"",(SUMIFS('09월 조업일지'!$K$12:$K$954,'09월 조업일지'!$B$12:$B$954,$A13,'09월 조업일지'!$E$12:$E$954,$B14)/$C14))</f>
        <v>0</v>
      </c>
      <c r="F14" s="1049">
        <f>IF($C14&lt;1,"",(AVERAGEIFS('09월 조업일지'!$J$12:$J$954,'09월 조업일지'!$B$12:$B$954,$A13,'09월 조업일지'!$E$12:$E$954,$B14)))</f>
        <v>47.000000000000007</v>
      </c>
      <c r="G14" s="1050">
        <f>IF($C14&lt;1,"",(AVERAGEIFS('09월 에너지'!$M$14:$M$950,'09월 에너지'!$B$14:$B$950,$A13,'09월 에너지'!$C$14:$C$950,$B14)))</f>
        <v>45.8</v>
      </c>
      <c r="H14" s="1051">
        <f>IF($C14&lt;1,"",(AVERAGEIFS('09월 조업일지'!$AJ$12:$AJ$954,'09월 조업일지'!$B$12:$B$954,$A13,'09월 조업일지'!$E$12:$E$954,$B14)))</f>
        <v>43.8</v>
      </c>
      <c r="I14" s="1052">
        <f>IF($C14&lt;1,"",(AVERAGEIFS('09월 조업일지'!$AL$12:$AL$954,'09월 조업일지'!$B$12:$B$954,$A13,'09월 조업일지'!$E$12:$E$954,$B14)))</f>
        <v>7.3</v>
      </c>
      <c r="J14" s="1053">
        <f>IF($C14&lt;1,"",(AVERAGEIFS('09월 화학성분'!G$12:G$950,'09월 화학성분'!$B$12:$B$950,$A13,'09월 화학성분'!$D$12:$D$950,$B14)))</f>
        <v>8.1999999999999993</v>
      </c>
      <c r="K14" s="1054">
        <f>IF($C14&lt;1,"",(AVERAGEIFS('09월 화학성분'!H$12:H$950,'09월 화학성분'!$B$12:$B$950,$A13,'09월 화학성분'!$D$12:$D$950,$B14)))</f>
        <v>19.3</v>
      </c>
      <c r="L14" s="1054">
        <f>IF($C14&lt;1,"",(AVERAGEIFS('09월 화학성분'!I$12:I$950,'09월 화학성분'!$B$12:$B$950,$A13,'09월 화학성분'!$D$12:$D$950,$B14)))</f>
        <v>54</v>
      </c>
      <c r="M14" s="1054">
        <f>IF($C14&lt;1,"",(AVERAGEIFS('09월 화학성분'!J$12:J$950,'09월 화학성분'!$B$12:$B$950,$A13,'09월 화학성분'!$D$12:$D$950,$B14)))</f>
        <v>15.7</v>
      </c>
      <c r="N14" s="1054">
        <f>IF($C14&lt;1,"",(AVERAGEIFS('09월 화학성분'!K$12:K$950,'09월 화학성분'!$B$12:$B$950,$A13,'09월 화학성분'!$D$12:$D$950,$B14)))</f>
        <v>34.9</v>
      </c>
      <c r="O14" s="1054">
        <f>IF($C14&lt;1,"",(AVERAGEIFS('09월 화학성분'!L$12:L$950,'09월 화학성분'!$B$12:$B$950,$A13,'09월 화학성분'!$D$12:$D$950,$B14)))</f>
        <v>12.6</v>
      </c>
      <c r="P14" s="1054">
        <f>IF($C14&lt;1,"",(AVERAGEIFS('09월 화학성분'!M$12:M$950,'09월 화학성분'!$B$12:$B$950,$A13,'09월 화학성분'!$D$12:$D$950,$B14)))</f>
        <v>9.4</v>
      </c>
      <c r="Q14" s="1054">
        <f>IF($C14&lt;1,"",(AVERAGEIFS('09월 조업일지'!$AK$12:$AK$954,'09월 조업일지'!$B$12:$B$954,$A13,'09월 조업일지'!$E$12:$E$954,$B14)))</f>
        <v>612.9</v>
      </c>
      <c r="R14" s="1054">
        <f>IF($C14&lt;1,"",(AVERAGEIFS('09월 화학성분'!$G$12:$G$950,'09월 화학성분'!$B$12:$B$950,$A13,'09월 화학성분'!$D$12:$D$950,$B14)))</f>
        <v>8.1999999999999993</v>
      </c>
      <c r="S14" s="1055">
        <f>IF($C14&lt;1,"",(AVERAGEIFS('09월 조업일지'!$AI$12:$AI$954,'09월 조업일지'!$B$12:$B$954,$A13,'09월 조업일지'!$E$12:$E$954,$B14)))</f>
        <v>1598.4</v>
      </c>
      <c r="T14" s="1056">
        <f>IF($C14&lt;1,"",(AVERAGEIFS('09월 화학성분'!$AM$12:$AM$949,'09월 화학성분'!$B$12:$B$949,$A13,'09월 화학성분'!$D$12:$D$949,$B14)))</f>
        <v>1286.5</v>
      </c>
      <c r="U14" s="1057">
        <f>IF($C14&lt;1,"",(AVERAGEIFS('09월 고철장입'!$AJ$14:$AJ$949,'09월 고철장입'!$B$14:$B$949,$A13,'09월 고철장입'!$C$14:$C$949,$B14))/1000)</f>
        <v>158.93</v>
      </c>
      <c r="V14" s="1102">
        <f>IF($C14&lt;1,"",(AVERAGEIFS('09월 고철장입'!$AK$14:$AK$949,'09월 고철장입'!$B$14:$B$949,$A13,'09월 고철장입'!$C$14:$C$949,$B14)))</f>
        <v>142.94999999999999</v>
      </c>
      <c r="W14" s="1058">
        <f t="shared" si="2"/>
        <v>89.945258919020944</v>
      </c>
      <c r="X14" s="1059">
        <f>IF($C14&lt;1,"",(AVERAGEIFS('09월 에너지'!$O$14:$O$949,'09월 에너지'!$A$14:$A$949,$A13,'09월 에너지'!$C$14:$C$949,$B14)))</f>
        <v>160.40665626448839</v>
      </c>
      <c r="Y14" s="1060">
        <f>IF($C14&lt;1,"",(AVERAGEIFS('09월 에너지'!$P$14:$P$949,'09월 에너지'!$A$14:$A$949,$A13,'09월 에너지'!$C$14:$C$949,$B14)))</f>
        <v>144.74254289688855</v>
      </c>
      <c r="Z14" s="1060">
        <f>IF($C14&lt;1,"",(AVERAGEIFS('09월 에너지'!$Q$14:$Q$949,'09월 에너지'!$A$14:$A$949,$A13,'09월 에너지'!$C$14:$C$949,$B14)))</f>
        <v>88.332173193185838</v>
      </c>
      <c r="AA14" s="1061">
        <f>IF($C14&lt;1,"",(AVERAGEIFS('09월 에너지'!$R$14:$R$949,'09월 에너지'!$B$14:$B$949,$A13,'09월 에너지'!$C$14:$C$949,$B14)))</f>
        <v>393.48137235456278</v>
      </c>
      <c r="AB14" s="1062">
        <f>IF($C14&lt;1,"",(AVERAGEIFS('09월 에너지'!$X$14:$X$949,'09월 에너지'!$A$14:$A$949,$A13,'09월 에너지'!$C$14:$C$949,$B14)))</f>
        <v>2.4950380968967716</v>
      </c>
      <c r="AC14" s="1063">
        <f>IF($C14&lt;1,"",(AVERAGEIFS('09월 에너지'!$AC$14:$AC$949,'09월 에너지'!$A$14:$A$949,$A13,'09월 에너지'!$C$14:$C$949,$B14)))</f>
        <v>26.26521362429326</v>
      </c>
      <c r="AD14" s="1064">
        <f>IF($C14&lt;1,"",(AVERAGEIFS('09월 에너지'!$AD$14:$AD$949,'09월 에너지'!$B$14:$B$949,$A13,'09월 에너지'!$C$14:$C$949,$B14)))</f>
        <v>4111.5</v>
      </c>
      <c r="AE14" s="1065">
        <f>IF($C14&lt;1,"",(AVERAGEIFS('09월 에너지'!$AE$14:$AE$949,'09월 에너지'!$B$14:$B$949,$A13,'09월 에너지'!$C$14:$C$949,$B14)))</f>
        <v>28.760251721190031</v>
      </c>
      <c r="AF14" s="1066">
        <f>IF($C14&lt;1,"",(AVERAGEIFS('09월 에너지'!$AI$14:$AI$949,'09월 에너지'!$B$14:$B$949,$A13,'09월 에너지'!$C$14:$C$949,$B14)))</f>
        <v>148.6</v>
      </c>
      <c r="AG14" s="1067">
        <f>IF($C14&lt;1,"",(AVERAGEIFS('09월 에너지'!$AJ$14:$AJ$949,'09월 에너지'!$B$14:$B$949,$A13,'09월 에너지'!$C$14:$C$949,$B14)))</f>
        <v>1.0395800174220466</v>
      </c>
    </row>
    <row r="15" spans="1:33" ht="16.5" customHeight="1" thickTop="1" thickBot="1">
      <c r="A15" s="1632"/>
      <c r="B15" s="781" t="s">
        <v>93</v>
      </c>
      <c r="C15" s="782">
        <f>COUNTIFS('09월 조업일지'!$B$12:$B$952,A13,'09월 조업일지'!$E$12:$E$952,B15)</f>
        <v>10</v>
      </c>
      <c r="D15" s="1047">
        <f t="shared" si="3"/>
        <v>49.400000000000013</v>
      </c>
      <c r="E15" s="1048">
        <f>IF($C15&lt;1,"",(SUMIFS('09월 조업일지'!$K$12:$K$954,'09월 조업일지'!$B$12:$B$954,$A13,'09월 조업일지'!$E$12:$E$954,$B15)/$C15))</f>
        <v>0</v>
      </c>
      <c r="F15" s="1049">
        <f>IF($C15&lt;1,"",(AVERAGEIFS('09월 조업일지'!$J$12:$J$954,'09월 조업일지'!$B$12:$B$954,$A13,'09월 조업일지'!$E$12:$E$954,$B15)))</f>
        <v>49.400000000000013</v>
      </c>
      <c r="G15" s="1050">
        <f>IF($C15&lt;1,"",(AVERAGEIFS('09월 에너지'!$M$14:$M$950,'09월 에너지'!$B$14:$B$950,$A13,'09월 에너지'!$C$14:$C$950,$B15)))</f>
        <v>46.239999999999995</v>
      </c>
      <c r="H15" s="1051">
        <f>IF($C15&lt;1,"",(AVERAGEIFS('09월 조업일지'!$AJ$12:$AJ$954,'09월 조업일지'!$B$12:$B$954,$A13,'09월 조업일지'!$E$12:$E$954,$B15)))</f>
        <v>24.5</v>
      </c>
      <c r="I15" s="1052">
        <f>IF($C15&lt;1,"",(AVERAGEIFS('09월 조업일지'!$AL$12:$AL$954,'09월 조업일지'!$B$12:$B$954,$A13,'09월 조업일지'!$E$12:$E$954,$B15)))</f>
        <v>7.7</v>
      </c>
      <c r="J15" s="1053">
        <f>IF($C15&lt;1,"",(AVERAGEIFS('09월 화학성분'!G$12:G$950,'09월 화학성분'!$B$12:$B$950,$A13,'09월 화학성분'!$D$12:$D$950,$B15)))</f>
        <v>8.9</v>
      </c>
      <c r="K15" s="1054">
        <f>IF($C15&lt;1,"",(AVERAGEIFS('09월 화학성분'!H$12:H$950,'09월 화학성분'!$B$12:$B$950,$A13,'09월 화학성분'!$D$12:$D$950,$B15)))</f>
        <v>20.6</v>
      </c>
      <c r="L15" s="1054">
        <f>IF($C15&lt;1,"",(AVERAGEIFS('09월 화학성분'!I$12:I$950,'09월 화학성분'!$B$12:$B$950,$A13,'09월 화학성분'!$D$12:$D$950,$B15)))</f>
        <v>55.5</v>
      </c>
      <c r="M15" s="1054">
        <f>IF($C15&lt;1,"",(AVERAGEIFS('09월 화학성분'!J$12:J$950,'09월 화학성분'!$B$12:$B$950,$A13,'09월 화학성분'!$D$12:$D$950,$B15)))</f>
        <v>16.100000000000001</v>
      </c>
      <c r="N15" s="1054">
        <f>IF($C15&lt;1,"",(AVERAGEIFS('09월 화학성분'!K$12:K$950,'09월 화학성분'!$B$12:$B$950,$A13,'09월 화학성분'!$D$12:$D$950,$B15)))</f>
        <v>31.4</v>
      </c>
      <c r="O15" s="1054">
        <f>IF($C15&lt;1,"",(AVERAGEIFS('09월 화학성분'!L$12:L$950,'09월 화학성분'!$B$12:$B$950,$A13,'09월 화학성분'!$D$12:$D$950,$B15)))</f>
        <v>10.9</v>
      </c>
      <c r="P15" s="1054">
        <f>IF($C15&lt;1,"",(AVERAGEIFS('09월 화학성분'!M$12:M$950,'09월 화학성분'!$B$12:$B$950,$A13,'09월 화학성분'!$D$12:$D$950,$B15)))</f>
        <v>9.1</v>
      </c>
      <c r="Q15" s="1054">
        <f>IF($C15&lt;1,"",(AVERAGEIFS('09월 조업일지'!$AK$12:$AK$954,'09월 조업일지'!$B$12:$B$954,$A13,'09월 조업일지'!$E$12:$E$954,$B15)))</f>
        <v>586.5</v>
      </c>
      <c r="R15" s="1054">
        <f>IF($C15&lt;1,"",(AVERAGEIFS('09월 화학성분'!$G$12:$G$950,'09월 화학성분'!$B$12:$B$950,$A13,'09월 화학성분'!$D$12:$D$950,$B15)))</f>
        <v>8.9</v>
      </c>
      <c r="S15" s="1055">
        <f>IF($C15&lt;1,"",(AVERAGEIFS('09월 조업일지'!$AI$12:$AI$954,'09월 조업일지'!$B$12:$B$954,$A13,'09월 조업일지'!$E$12:$E$954,$B15)))</f>
        <v>1577</v>
      </c>
      <c r="T15" s="1056">
        <f>IF($C15&lt;1,"",(AVERAGEIFS('09월 화학성분'!$AM$12:$AM$949,'09월 화학성분'!$B$12:$B$949,$A13,'09월 화학성분'!$D$12:$D$949,$B15)))</f>
        <v>2048.1</v>
      </c>
      <c r="U15" s="1057">
        <f>IF($C15&lt;1,"",(AVERAGEIFS('09월 고철장입'!$AJ$14:$AJ$949,'09월 고철장입'!$B$14:$B$949,$A13,'09월 고철장입'!$C$14:$C$949,$B15))/1000)</f>
        <v>158.56</v>
      </c>
      <c r="V15" s="1102">
        <f>IF($C15&lt;1,"",(AVERAGEIFS('09월 고철장입'!$AK$14:$AK$949,'09월 고철장입'!$B$14:$B$949,$A13,'09월 고철장입'!$C$14:$C$949,$B15)))</f>
        <v>142.08999999999997</v>
      </c>
      <c r="W15" s="1058">
        <f t="shared" si="2"/>
        <v>89.612764883955592</v>
      </c>
      <c r="X15" s="1059">
        <f>IF($C15&lt;1,"",(AVERAGEIFS('09월 에너지'!$O$14:$O$949,'09월 에너지'!$A$14:$A$949,$A13,'09월 에너지'!$C$14:$C$949,$B15)))</f>
        <v>165.05060834309842</v>
      </c>
      <c r="Y15" s="1060">
        <f>IF($C15&lt;1,"",(AVERAGEIFS('09월 에너지'!$P$14:$P$949,'09월 에너지'!$A$14:$A$949,$A13,'09월 에너지'!$C$14:$C$949,$B15)))</f>
        <v>145.807377046814</v>
      </c>
      <c r="Z15" s="1060">
        <f>IF($C15&lt;1,"",(AVERAGEIFS('09월 에너지'!$Q$14:$Q$949,'09월 에너지'!$A$14:$A$949,$A13,'09월 에너지'!$C$14:$C$949,$B15)))</f>
        <v>87.800159838246557</v>
      </c>
      <c r="AA15" s="1061">
        <f>IF($C15&lt;1,"",(AVERAGEIFS('09월 에너지'!$R$14:$R$949,'09월 에너지'!$B$14:$B$949,$A13,'09월 에너지'!$C$14:$C$949,$B15)))</f>
        <v>398.65814522815901</v>
      </c>
      <c r="AB15" s="1062">
        <f>IF($C15&lt;1,"",(AVERAGEIFS('09월 에너지'!$X$14:$X$949,'09월 에너지'!$A$14:$A$949,$A13,'09월 에너지'!$C$14:$C$949,$B15)))</f>
        <v>2.478334275437295</v>
      </c>
      <c r="AC15" s="1063">
        <f>IF($C15&lt;1,"",(AVERAGEIFS('09월 에너지'!$AC$14:$AC$949,'09월 에너지'!$A$14:$A$949,$A13,'09월 에너지'!$C$14:$C$949,$B15)))</f>
        <v>26.915781113845107</v>
      </c>
      <c r="AD15" s="1064">
        <f>IF($C15&lt;1,"",(AVERAGEIFS('09월 에너지'!$AD$14:$AD$949,'09월 에너지'!$B$14:$B$949,$A13,'09월 에너지'!$C$14:$C$949,$B15)))</f>
        <v>4174.8</v>
      </c>
      <c r="AE15" s="1065">
        <f>IF($C15&lt;1,"",(AVERAGEIFS('09월 에너지'!$AE$14:$AE$949,'09월 에너지'!$B$14:$B$949,$A13,'09월 에너지'!$C$14:$C$949,$B15)))</f>
        <v>29.394115389282398</v>
      </c>
      <c r="AF15" s="1066">
        <f>IF($C15&lt;1,"",(AVERAGEIFS('09월 에너지'!$AI$14:$AI$949,'09월 에너지'!$B$14:$B$949,$A13,'09월 에너지'!$C$14:$C$949,$B15)))</f>
        <v>152.19999999999999</v>
      </c>
      <c r="AG15" s="1067">
        <f>IF($C15&lt;1,"",(AVERAGEIFS('09월 에너지'!$AJ$14:$AJ$949,'09월 에너지'!$B$14:$B$949,$A13,'09월 에너지'!$C$14:$C$949,$B15)))</f>
        <v>1.0717779224205062</v>
      </c>
    </row>
    <row r="16" spans="1:33" ht="16.5" customHeight="1" thickTop="1" thickBot="1">
      <c r="A16" s="1632"/>
      <c r="B16" s="783" t="s">
        <v>94</v>
      </c>
      <c r="C16" s="784">
        <f>COUNTIFS('09월 조업일지'!$B$12:$B$952,A13,'09월 조업일지'!$E$12:$E$952,B16)</f>
        <v>10</v>
      </c>
      <c r="D16" s="1068">
        <f t="shared" si="3"/>
        <v>45.3</v>
      </c>
      <c r="E16" s="1069">
        <f>IF($C16&lt;1,"",(SUMIFS('09월 조업일지'!$K$12:$K$954,'09월 조업일지'!$B$12:$B$954,$A13,'09월 조업일지'!$E$12:$E$954,$B16)/$C16))</f>
        <v>0</v>
      </c>
      <c r="F16" s="1070">
        <f>IF($C16&lt;1,"",(AVERAGEIFS('09월 조업일지'!$J$12:$J$954,'09월 조업일지'!$B$12:$B$954,$A13,'09월 조업일지'!$E$12:$E$954,$B16)))</f>
        <v>45.3</v>
      </c>
      <c r="G16" s="1071">
        <f>IF($C16&lt;1,"",(AVERAGEIFS('09월 에너지'!$M$14:$M$950,'09월 에너지'!$B$14:$B$950,$A13,'09월 에너지'!$C$14:$C$950,$B16)))</f>
        <v>43.97</v>
      </c>
      <c r="H16" s="1072">
        <f>IF($C16&lt;1,"",(AVERAGEIFS('09월 조업일지'!$AJ$12:$AJ$954,'09월 조업일지'!$B$12:$B$954,$A13,'09월 조업일지'!$E$12:$E$954,$B16)))</f>
        <v>51.9</v>
      </c>
      <c r="I16" s="1073">
        <f>IF($C16&lt;1,"",(AVERAGEIFS('09월 조업일지'!$AL$12:$AL$954,'09월 조업일지'!$B$12:$B$954,$A13,'09월 조업일지'!$E$12:$E$954,$B16)))</f>
        <v>6.4</v>
      </c>
      <c r="J16" s="1074">
        <f>IF($C16&lt;1,"",(AVERAGEIFS('09월 화학성분'!G$12:G$950,'09월 화학성분'!$B$12:$B$950,$A13,'09월 화학성분'!$D$12:$D$950,$B16)))</f>
        <v>9.1999999999999993</v>
      </c>
      <c r="K16" s="1075">
        <f>IF($C16&lt;1,"",(AVERAGEIFS('09월 화학성분'!H$12:H$950,'09월 화학성분'!$B$12:$B$950,$A13,'09월 화학성분'!$D$12:$D$950,$B16)))</f>
        <v>20.100000000000001</v>
      </c>
      <c r="L16" s="1075">
        <f>IF($C16&lt;1,"",(AVERAGEIFS('09월 화학성분'!I$12:I$950,'09월 화학성분'!$B$12:$B$950,$A13,'09월 화학성분'!$D$12:$D$950,$B16)))</f>
        <v>51.5</v>
      </c>
      <c r="M16" s="1075">
        <f>IF($C16&lt;1,"",(AVERAGEIFS('09월 화학성분'!J$12:J$950,'09월 화학성분'!$B$12:$B$950,$A13,'09월 화학성분'!$D$12:$D$950,$B16)))</f>
        <v>14.5</v>
      </c>
      <c r="N16" s="1075">
        <f>IF($C16&lt;1,"",(AVERAGEIFS('09월 화학성분'!K$12:K$950,'09월 화학성분'!$B$12:$B$950,$A13,'09월 화학성분'!$D$12:$D$950,$B16)))</f>
        <v>31.7</v>
      </c>
      <c r="O16" s="1075">
        <f>IF($C16&lt;1,"",(AVERAGEIFS('09월 화학성분'!L$12:L$950,'09월 화학성분'!$B$12:$B$950,$A13,'09월 화학성분'!$D$12:$D$950,$B16)))</f>
        <v>12.6</v>
      </c>
      <c r="P16" s="1075">
        <f>IF($C16&lt;1,"",(AVERAGEIFS('09월 화학성분'!M$12:M$950,'09월 화학성분'!$B$12:$B$950,$A13,'09월 화학성분'!$D$12:$D$950,$B16)))</f>
        <v>9.6999999999999993</v>
      </c>
      <c r="Q16" s="1075">
        <f>IF($C16&lt;1,"",(AVERAGEIFS('09월 조업일지'!$AK$12:$AK$954,'09월 조업일지'!$B$12:$B$954,$A13,'09월 조업일지'!$E$12:$E$954,$B16)))</f>
        <v>651.9</v>
      </c>
      <c r="R16" s="1075">
        <f>IF($C16&lt;1,"",(AVERAGEIFS('09월 화학성분'!$G$12:$G$950,'09월 화학성분'!$B$12:$B$950,$A13,'09월 화학성분'!$D$12:$D$950,$B16)))</f>
        <v>9.1999999999999993</v>
      </c>
      <c r="S16" s="1076">
        <f>IF($C16&lt;1,"",(AVERAGEIFS('09월 조업일지'!$AI$12:$AI$954,'09월 조업일지'!$B$12:$B$954,$A13,'09월 조업일지'!$E$12:$E$954,$B16)))</f>
        <v>1580.8</v>
      </c>
      <c r="T16" s="1077">
        <f>IF($C16&lt;1,"",(AVERAGEIFS('09월 화학성분'!$AM$12:$AM$949,'09월 화학성분'!$B$12:$B$949,$A13,'09월 화학성분'!$D$12:$D$949,$B16)))</f>
        <v>1708.9</v>
      </c>
      <c r="U16" s="1078">
        <f>IF($C16&lt;1,"",(AVERAGEIFS('09월 고철장입'!$AJ$14:$AJ$949,'09월 고철장입'!$B$14:$B$949,$A13,'09월 고철장입'!$C$14:$C$949,$B16))/1000)</f>
        <v>158.69</v>
      </c>
      <c r="V16" s="1103">
        <f>IF($C16&lt;1,"",(AVERAGEIFS('09월 고철장입'!$AK$14:$AK$949,'09월 고철장입'!$B$14:$B$949,$A13,'09월 고철장입'!$C$14:$C$949,$B16)))</f>
        <v>143.16</v>
      </c>
      <c r="W16" s="1079">
        <f t="shared" si="2"/>
        <v>90.213624046883851</v>
      </c>
      <c r="X16" s="1080">
        <f>IF($C16&lt;1,"",(AVERAGEIFS('09월 에너지'!$O$14:$O$949,'09월 에너지'!$A$14:$A$949,$A13,'09월 에너지'!$C$14:$C$949,$B16)))</f>
        <v>158.88975464317511</v>
      </c>
      <c r="Y16" s="1081">
        <f>IF($C16&lt;1,"",(AVERAGEIFS('09월 에너지'!$P$14:$P$949,'09월 에너지'!$A$14:$A$949,$A13,'09월 에너지'!$C$14:$C$949,$B16)))</f>
        <v>144.76694050161802</v>
      </c>
      <c r="Z16" s="1081">
        <f>IF($C16&lt;1,"",(AVERAGEIFS('09월 에너지'!$Q$14:$Q$949,'09월 에너지'!$A$14:$A$949,$A13,'09월 에너지'!$C$14:$C$949,$B16)))</f>
        <v>78.105526532605481</v>
      </c>
      <c r="AA16" s="1082">
        <f>IF($C16&lt;1,"",(AVERAGEIFS('09월 에너지'!$R$14:$R$949,'09월 에너지'!$B$14:$B$949,$A13,'09월 에너지'!$C$14:$C$949,$B16)))</f>
        <v>381.77643135797388</v>
      </c>
      <c r="AB16" s="1083">
        <f>IF($C16&lt;1,"",(AVERAGEIFS('09월 에너지'!$X$14:$X$949,'09월 에너지'!$A$14:$A$949,$A13,'09월 에너지'!$C$14:$C$949,$B16)))</f>
        <v>2.091716235235066</v>
      </c>
      <c r="AC16" s="1084">
        <f>IF($C16&lt;1,"",(AVERAGEIFS('09월 에너지'!$AC$14:$AC$949,'09월 에너지'!$A$14:$A$949,$A13,'09월 에너지'!$C$14:$C$949,$B16)))</f>
        <v>25.637456216755663</v>
      </c>
      <c r="AD16" s="1085">
        <f>IF($C16&lt;1,"",(AVERAGEIFS('09월 에너지'!$AD$14:$AD$949,'09월 에너지'!$B$14:$B$949,$A13,'09월 에너지'!$C$14:$C$949,$B16)))</f>
        <v>3950</v>
      </c>
      <c r="AE16" s="1086">
        <f>IF($C16&lt;1,"",(AVERAGEIFS('09월 에너지'!$AE$14:$AE$949,'09월 에너지'!$B$14:$B$949,$A13,'09월 에너지'!$C$14:$C$949,$B16)))</f>
        <v>27.596121704925338</v>
      </c>
      <c r="AF16" s="1087">
        <f>IF($C16&lt;1,"",(AVERAGEIFS('09월 에너지'!$AI$14:$AI$949,'09월 에너지'!$B$14:$B$949,$A13,'09월 에너지'!$C$14:$C$949,$B16)))</f>
        <v>146.4</v>
      </c>
      <c r="AG16" s="1088">
        <f>IF($C16&lt;1,"",(AVERAGEIFS('09월 에너지'!$AJ$14:$AJ$949,'09월 에너지'!$B$14:$B$949,$A13,'09월 에너지'!$C$14:$C$949,$B16)))</f>
        <v>1.0228450387754002</v>
      </c>
    </row>
    <row r="17" spans="1:33" ht="16.5" customHeight="1" thickTop="1" thickBot="1">
      <c r="A17" s="1632">
        <f t="shared" ref="A17" si="5">A13+1</f>
        <v>46269</v>
      </c>
      <c r="B17" s="775" t="s">
        <v>128</v>
      </c>
      <c r="C17" s="776">
        <f>COUNTIFS('09월 조업일지'!$B$12:$B$952,A17,'09월 조업일지'!$E$12:$E$952,B17)</f>
        <v>11</v>
      </c>
      <c r="D17" s="1026">
        <f t="shared" si="3"/>
        <v>45.090909090909079</v>
      </c>
      <c r="E17" s="1027">
        <f>IF($C17&lt;1,"",(SUMIFS('09월 조업일지'!$K$12:$K$954,'09월 조업일지'!$B$12:$B$954,$A17,'09월 조업일지'!$E$12:$E$954,$B17)/$C17))</f>
        <v>0</v>
      </c>
      <c r="F17" s="1028">
        <f>IF($C17&lt;1,"",(AVERAGEIFS('09월 조업일지'!$J$12:$J$954,'09월 조업일지'!$B$12:$B$954,$A17,'09월 조업일지'!$E$12:$E$954,$B17)))</f>
        <v>45.090909090909079</v>
      </c>
      <c r="G17" s="1029">
        <f>IF($C17&lt;1,"",(AVERAGEIFS('09월 에너지'!$M$14:$M$950,'09월 에너지'!$B$14:$B$950,$A17,'09월 에너지'!$C$14:$C$950,$B17)))</f>
        <v>44.445454545454545</v>
      </c>
      <c r="H17" s="1030">
        <f>IF($C17&lt;1,"",(AVERAGEIFS('09월 조업일지'!$AJ$12:$AJ$954,'09월 조업일지'!$B$12:$B$954,$A17,'09월 조업일지'!$E$12:$E$954,$B17)))</f>
        <v>10.181818181818182</v>
      </c>
      <c r="I17" s="1031">
        <f>IF($C17&lt;1,"",(AVERAGEIFS('09월 조업일지'!$AL$12:$AL$954,'09월 조업일지'!$B$12:$B$954,$A17,'09월 조업일지'!$E$12:$E$954,$B17)))</f>
        <v>7.2727272727272725</v>
      </c>
      <c r="J17" s="1032">
        <f>IF($C17&lt;1,"",(AVERAGEIFS('09월 화학성분'!G$12:G$950,'09월 화학성분'!$B$12:$B$950,$A17,'09월 화학성분'!$D$12:$D$950,$B17)))</f>
        <v>12.363636363636363</v>
      </c>
      <c r="K17" s="1033">
        <f>IF($C17&lt;1,"",(AVERAGEIFS('09월 화학성분'!H$12:H$950,'09월 화학성분'!$B$12:$B$950,$A17,'09월 화학성분'!$D$12:$D$950,$B17)))</f>
        <v>22.454545454545453</v>
      </c>
      <c r="L17" s="1033">
        <f>IF($C17&lt;1,"",(AVERAGEIFS('09월 화학성분'!I$12:I$950,'09월 화학성분'!$B$12:$B$950,$A17,'09월 화학성분'!$D$12:$D$950,$B17)))</f>
        <v>125.45454545454545</v>
      </c>
      <c r="M17" s="1033">
        <f>IF($C17&lt;1,"",(AVERAGEIFS('09월 화학성분'!J$12:J$950,'09월 화학성분'!$B$12:$B$950,$A17,'09월 화학성분'!$D$12:$D$950,$B17)))</f>
        <v>13.636363636363637</v>
      </c>
      <c r="N17" s="1033">
        <f>IF($C17&lt;1,"",(AVERAGEIFS('09월 화학성분'!K$12:K$950,'09월 화학성분'!$B$12:$B$950,$A17,'09월 화학성분'!$D$12:$D$950,$B17)))</f>
        <v>28</v>
      </c>
      <c r="O17" s="1033">
        <f>IF($C17&lt;1,"",(AVERAGEIFS('09월 화학성분'!L$12:L$950,'09월 화학성분'!$B$12:$B$950,$A17,'09월 화학성분'!$D$12:$D$950,$B17)))</f>
        <v>11.454545454545455</v>
      </c>
      <c r="P17" s="1033">
        <f>IF($C17&lt;1,"",(AVERAGEIFS('09월 화학성분'!M$12:M$950,'09월 화학성분'!$B$12:$B$950,$A17,'09월 화학성분'!$D$12:$D$950,$B17)))</f>
        <v>9.0909090909090917</v>
      </c>
      <c r="Q17" s="1033">
        <f>IF($C17&lt;1,"",(AVERAGEIFS('09월 조업일지'!$AK$12:$AK$954,'09월 조업일지'!$B$12:$B$954,$A17,'09월 조업일지'!$E$12:$E$954,$B17)))</f>
        <v>581.36363636363637</v>
      </c>
      <c r="R17" s="1033">
        <f>IF($C17&lt;1,"",(AVERAGEIFS('09월 화학성분'!$G$12:$G$950,'09월 화학성분'!$B$12:$B$950,$A17,'09월 화학성분'!$D$12:$D$950,$B17)))</f>
        <v>12.363636363636363</v>
      </c>
      <c r="S17" s="1034">
        <f>IF($C17&lt;1,"",(AVERAGEIFS('09월 조업일지'!$AI$12:$AI$954,'09월 조업일지'!$B$12:$B$954,$A17,'09월 조업일지'!$E$12:$E$954,$B17)))</f>
        <v>1556</v>
      </c>
      <c r="T17" s="1035">
        <f>IF($C17&lt;1,"",(AVERAGEIFS('09월 화학성분'!$AM$12:$AM$949,'09월 화학성분'!$B$12:$B$949,$A17,'09월 화학성분'!$D$12:$D$949,$B17)))</f>
        <v>2005.6363636363637</v>
      </c>
      <c r="U17" s="1036">
        <f>IF($C17&lt;1,"",(AVERAGEIFS('09월 고철장입'!$AJ$14:$AJ$949,'09월 고철장입'!$B$14:$B$949,$A17,'09월 고철장입'!$C$14:$C$949,$B17))/1000)</f>
        <v>158.45454545454544</v>
      </c>
      <c r="V17" s="1101">
        <f>IF($C17&lt;1,"",(AVERAGEIFS('09월 고철장입'!$AK$14:$AK$949,'09월 고철장입'!$B$14:$B$949,$A17,'09월 고철장입'!$C$14:$C$949,$B17)))</f>
        <v>147.6181818181818</v>
      </c>
      <c r="W17" s="1037">
        <f t="shared" si="2"/>
        <v>93.161216293746406</v>
      </c>
      <c r="X17" s="1038">
        <f>IF($C17&lt;1,"",(AVERAGEIFS('09월 에너지'!$O$14:$O$949,'09월 에너지'!$A$14:$A$949,$A17,'09월 에너지'!$C$14:$C$949,$B17)))</f>
        <v>137.33659893951531</v>
      </c>
      <c r="Y17" s="1039">
        <f>IF($C17&lt;1,"",(AVERAGEIFS('09월 에너지'!$P$14:$P$949,'09월 에너지'!$A$14:$A$949,$A17,'09월 에너지'!$C$14:$C$949,$B17)))</f>
        <v>141.42860937458934</v>
      </c>
      <c r="Z17" s="1039">
        <f>IF($C17&lt;1,"",(AVERAGEIFS('09월 에너지'!$Q$14:$Q$949,'09월 에너지'!$A$14:$A$949,$A17,'09월 에너지'!$C$14:$C$949,$B17)))</f>
        <v>72.731794776159532</v>
      </c>
      <c r="AA17" s="1040">
        <f>IF($C17&lt;1,"",(AVERAGEIFS('09월 에너지'!$R$14:$R$949,'09월 에너지'!$B$14:$B$949,$A17,'09월 에너지'!$C$14:$C$949,$B17)))</f>
        <v>360.15734178254701</v>
      </c>
      <c r="AB17" s="1041">
        <f>IF($C17&lt;1,"",(AVERAGEIFS('09월 에너지'!$X$14:$X$949,'09월 에너지'!$A$14:$A$949,$A17,'09월 에너지'!$C$14:$C$949,$B17)))</f>
        <v>2.5514221553527983</v>
      </c>
      <c r="AC17" s="1042">
        <f>IF($C17&lt;1,"",(AVERAGEIFS('09월 에너지'!$AC$14:$AC$949,'09월 에너지'!$A$14:$A$949,$A17,'09월 에너지'!$C$14:$C$949,$B17)))</f>
        <v>24.654159812951917</v>
      </c>
      <c r="AD17" s="1043">
        <f>IF($C17&lt;1,"",(AVERAGEIFS('09월 에너지'!$AD$14:$AD$949,'09월 에너지'!$B$14:$B$949,$A17,'09월 에너지'!$C$14:$C$949,$B17)))</f>
        <v>3993.5454545454545</v>
      </c>
      <c r="AE17" s="1044">
        <f>IF($C17&lt;1,"",(AVERAGEIFS('09월 에너지'!$AE$14:$AE$949,'09월 에너지'!$B$14:$B$949,$A17,'09월 에너지'!$C$14:$C$949,$B17)))</f>
        <v>27.057835944305705</v>
      </c>
      <c r="AF17" s="1045">
        <f>IF($C17&lt;1,"",(AVERAGEIFS('09월 에너지'!$AI$14:$AI$949,'09월 에너지'!$B$14:$B$949,$A17,'09월 에너지'!$C$14:$C$949,$B17)))</f>
        <v>147.63636363636363</v>
      </c>
      <c r="AG17" s="1046">
        <f>IF($C17&lt;1,"",(AVERAGEIFS('09월 에너지'!$AJ$14:$AJ$949,'09월 에너지'!$B$14:$B$949,$A17,'09월 에너지'!$C$14:$C$949,$B17)))</f>
        <v>1.0002767322285393</v>
      </c>
    </row>
    <row r="18" spans="1:33" ht="16.5" customHeight="1" thickTop="1" thickBot="1">
      <c r="A18" s="1632"/>
      <c r="B18" s="781" t="s">
        <v>100</v>
      </c>
      <c r="C18" s="782">
        <f>COUNTIFS('09월 조업일지'!$B$12:$B$952,A17,'09월 조업일지'!$E$12:$E$952,B18)</f>
        <v>3</v>
      </c>
      <c r="D18" s="1047">
        <f t="shared" si="3"/>
        <v>54.666666666666664</v>
      </c>
      <c r="E18" s="1048">
        <f>IF($C18&lt;1,"",(SUMIFS('09월 조업일지'!$K$12:$K$954,'09월 조업일지'!$B$12:$B$954,$A17,'09월 조업일지'!$E$12:$E$954,$B18)/$C18))</f>
        <v>0</v>
      </c>
      <c r="F18" s="1049">
        <f>IF($C18&lt;1,"",(AVERAGEIFS('09월 조업일지'!$J$12:$J$954,'09월 조업일지'!$B$12:$B$954,$A17,'09월 조업일지'!$E$12:$E$954,$B18)))</f>
        <v>54.666666666666664</v>
      </c>
      <c r="G18" s="1050">
        <f>IF($C18&lt;1,"",(AVERAGEIFS('09월 에너지'!$M$14:$M$950,'09월 에너지'!$B$14:$B$950,$A17,'09월 에너지'!$C$14:$C$950,$B18)))</f>
        <v>37.833333333333336</v>
      </c>
      <c r="H18" s="1051">
        <f>IF($C18&lt;1,"",(AVERAGEIFS('09월 조업일지'!$AJ$12:$AJ$954,'09월 조업일지'!$B$12:$B$954,$A17,'09월 조업일지'!$E$12:$E$954,$B18)))</f>
        <v>94</v>
      </c>
      <c r="I18" s="1052">
        <f>IF($C18&lt;1,"",(AVERAGEIFS('09월 조업일지'!$AL$12:$AL$954,'09월 조업일지'!$B$12:$B$954,$A17,'09월 조업일지'!$E$12:$E$954,$B18)))</f>
        <v>7.333333333333333</v>
      </c>
      <c r="J18" s="1053">
        <f>IF($C18&lt;1,"",(AVERAGEIFS('09월 화학성분'!G$12:G$950,'09월 화학성분'!$B$12:$B$950,$A17,'09월 화학성분'!$D$12:$D$950,$B18)))</f>
        <v>7.333333333333333</v>
      </c>
      <c r="K18" s="1054">
        <f>IF($C18&lt;1,"",(AVERAGEIFS('09월 화학성분'!H$12:H$950,'09월 화학성분'!$B$12:$B$950,$A17,'09월 화학성분'!$D$12:$D$950,$B18)))</f>
        <v>18.333333333333332</v>
      </c>
      <c r="L18" s="1054">
        <f>IF($C18&lt;1,"",(AVERAGEIFS('09월 화학성분'!I$12:I$950,'09월 화학성분'!$B$12:$B$950,$A17,'09월 화학성분'!$D$12:$D$950,$B18)))</f>
        <v>56</v>
      </c>
      <c r="M18" s="1054">
        <f>IF($C18&lt;1,"",(AVERAGEIFS('09월 화학성분'!J$12:J$950,'09월 화학성분'!$B$12:$B$950,$A17,'09월 화학성분'!$D$12:$D$950,$B18)))</f>
        <v>20</v>
      </c>
      <c r="N18" s="1054">
        <f>IF($C18&lt;1,"",(AVERAGEIFS('09월 화학성분'!K$12:K$950,'09월 화학성분'!$B$12:$B$950,$A17,'09월 화학성분'!$D$12:$D$950,$B18)))</f>
        <v>33</v>
      </c>
      <c r="O18" s="1054">
        <f>IF($C18&lt;1,"",(AVERAGEIFS('09월 화학성분'!L$12:L$950,'09월 화학성분'!$B$12:$B$950,$A17,'09월 화학성분'!$D$12:$D$950,$B18)))</f>
        <v>10.666666666666666</v>
      </c>
      <c r="P18" s="1054">
        <f>IF($C18&lt;1,"",(AVERAGEIFS('09월 화학성분'!M$12:M$950,'09월 화학성분'!$B$12:$B$950,$A17,'09월 화학성분'!$D$12:$D$950,$B18)))</f>
        <v>9.3333333333333339</v>
      </c>
      <c r="Q18" s="1054">
        <f>IF($C18&lt;1,"",(AVERAGEIFS('09월 조업일지'!$AK$12:$AK$954,'09월 조업일지'!$B$12:$B$954,$A17,'09월 조업일지'!$E$12:$E$954,$B18)))</f>
        <v>630.66666666666663</v>
      </c>
      <c r="R18" s="1054">
        <f>IF($C18&lt;1,"",(AVERAGEIFS('09월 화학성분'!$G$12:$G$950,'09월 화학성분'!$B$12:$B$950,$A17,'09월 화학성분'!$D$12:$D$950,$B18)))</f>
        <v>7.333333333333333</v>
      </c>
      <c r="S18" s="1055">
        <f>IF($C18&lt;1,"",(AVERAGEIFS('09월 조업일지'!$AI$12:$AI$954,'09월 조업일지'!$B$12:$B$954,$A17,'09월 조업일지'!$E$12:$E$954,$B18)))</f>
        <v>1616.6666666666667</v>
      </c>
      <c r="T18" s="1056">
        <f>IF($C18&lt;1,"",(AVERAGEIFS('09월 화학성분'!$AM$12:$AM$949,'09월 화학성분'!$B$12:$B$949,$A17,'09월 화학성분'!$D$12:$D$949,$B18)))</f>
        <v>3005.3333333333335</v>
      </c>
      <c r="U18" s="1057">
        <f>IF($C18&lt;1,"",(AVERAGEIFS('09월 고철장입'!$AJ$14:$AJ$949,'09월 고철장입'!$B$14:$B$949,$A17,'09월 고철장입'!$C$14:$C$949,$B18))/1000)</f>
        <v>128.19999999999999</v>
      </c>
      <c r="V18" s="1102">
        <f>IF($C18&lt;1,"",(AVERAGEIFS('09월 고철장입'!$AK$14:$AK$949,'09월 고철장입'!$B$14:$B$949,$A17,'09월 고철장입'!$C$14:$C$949,$B18)))</f>
        <v>124.83333333333333</v>
      </c>
      <c r="W18" s="1058">
        <f t="shared" si="2"/>
        <v>97.373894955798235</v>
      </c>
      <c r="X18" s="1059">
        <f>IF($C18&lt;1,"",(AVERAGEIFS('09월 에너지'!$O$14:$O$949,'09월 에너지'!$A$14:$A$949,$A17,'09월 에너지'!$C$14:$C$949,$B18)))</f>
        <v>213.93752917483326</v>
      </c>
      <c r="Y18" s="1060">
        <f>IF($C18&lt;1,"",(AVERAGEIFS('09월 에너지'!$P$14:$P$949,'09월 에너지'!$A$14:$A$949,$A17,'09월 에너지'!$C$14:$C$949,$B18)))</f>
        <v>47.353760445682447</v>
      </c>
      <c r="Z18" s="1060">
        <f>IF($C18&lt;1,"",(AVERAGEIFS('09월 에너지'!$Q$14:$Q$949,'09월 에너지'!$A$14:$A$949,$A17,'09월 에너지'!$C$14:$C$949,$B18)))</f>
        <v>149.58019302683635</v>
      </c>
      <c r="AA18" s="1061">
        <f>IF($C18&lt;1,"",(AVERAGEIFS('09월 에너지'!$R$14:$R$949,'09월 에너지'!$B$14:$B$949,$A17,'09월 에너지'!$C$14:$C$949,$B18)))</f>
        <v>410.87148264735214</v>
      </c>
      <c r="AB18" s="1062">
        <f>IF($C18&lt;1,"",(AVERAGEIFS('09월 에너지'!$X$14:$X$949,'09월 에너지'!$A$14:$A$949,$A17,'09월 에너지'!$C$14:$C$949,$B18)))</f>
        <v>2.8882201414274942</v>
      </c>
      <c r="AC18" s="1063">
        <f>IF($C18&lt;1,"",(AVERAGEIFS('09월 에너지'!$AC$14:$AC$949,'09월 에너지'!$A$14:$A$949,$A17,'09월 에너지'!$C$14:$C$949,$B18)))</f>
        <v>28.604676947554641</v>
      </c>
      <c r="AD18" s="1064">
        <f>IF($C18&lt;1,"",(AVERAGEIFS('09월 에너지'!$AD$14:$AD$949,'09월 에너지'!$B$14:$B$949,$A17,'09월 에너지'!$C$14:$C$949,$B18)))</f>
        <v>3930.3333333333335</v>
      </c>
      <c r="AE18" s="1065">
        <f>IF($C18&lt;1,"",(AVERAGEIFS('09월 에너지'!$AE$14:$AE$949,'09월 에너지'!$B$14:$B$949,$A17,'09월 에너지'!$C$14:$C$949,$B18)))</f>
        <v>31.492897088982136</v>
      </c>
      <c r="AF18" s="1066">
        <f>IF($C18&lt;1,"",(AVERAGEIFS('09월 에너지'!$AI$14:$AI$949,'09월 에너지'!$B$14:$B$949,$A17,'09월 에너지'!$C$14:$C$949,$B18)))</f>
        <v>115.66666666666667</v>
      </c>
      <c r="AG18" s="1067">
        <f>IF($C18&lt;1,"",(AVERAGEIFS('09월 에너지'!$AJ$14:$AJ$949,'09월 에너지'!$B$14:$B$949,$A17,'09월 에너지'!$C$14:$C$949,$B18)))</f>
        <v>0.91411834488911747</v>
      </c>
    </row>
    <row r="19" spans="1:33" ht="16.5" customHeight="1" thickTop="1" thickBot="1">
      <c r="A19" s="1632"/>
      <c r="B19" s="781" t="s">
        <v>93</v>
      </c>
      <c r="C19" s="782">
        <f>COUNTIFS('09월 조업일지'!$B$12:$B$952,A17,'09월 조업일지'!$E$12:$E$952,B19)</f>
        <v>5</v>
      </c>
      <c r="D19" s="1047">
        <f t="shared" si="3"/>
        <v>54.000000000000028</v>
      </c>
      <c r="E19" s="1048">
        <f>IF($C19&lt;1,"",(SUMIFS('09월 조업일지'!$K$12:$K$954,'09월 조업일지'!$B$12:$B$954,$A17,'09월 조업일지'!$E$12:$E$954,$B19)/$C19))</f>
        <v>105</v>
      </c>
      <c r="F19" s="1049">
        <f>IF($C19&lt;1,"",(AVERAGEIFS('09월 조업일지'!$J$12:$J$954,'09월 조업일지'!$B$12:$B$954,$A17,'09월 조업일지'!$E$12:$E$954,$B19)))</f>
        <v>159.00000000000003</v>
      </c>
      <c r="G19" s="1050">
        <f>IF($C19&lt;1,"",(AVERAGEIFS('09월 에너지'!$M$14:$M$950,'09월 에너지'!$B$14:$B$950,$A17,'09월 에너지'!$C$14:$C$950,$B19)))</f>
        <v>48.44</v>
      </c>
      <c r="H19" s="1051">
        <f>IF($C19&lt;1,"",(AVERAGEIFS('09월 조업일지'!$AJ$12:$AJ$954,'09월 조업일지'!$B$12:$B$954,$A17,'09월 조업일지'!$E$12:$E$954,$B19)))</f>
        <v>85.2</v>
      </c>
      <c r="I19" s="1052">
        <f>IF($C19&lt;1,"",(AVERAGEIFS('09월 조업일지'!$AL$12:$AL$954,'09월 조업일지'!$B$12:$B$954,$A17,'09월 조업일지'!$E$12:$E$954,$B19)))</f>
        <v>5.25</v>
      </c>
      <c r="J19" s="1053">
        <f>IF($C19&lt;1,"",(AVERAGEIFS('09월 화학성분'!G$12:G$950,'09월 화학성분'!$B$12:$B$950,$A17,'09월 화학성분'!$D$12:$D$950,$B19)))</f>
        <v>8.4</v>
      </c>
      <c r="K19" s="1054">
        <f>IF($C19&lt;1,"",(AVERAGEIFS('09월 화학성분'!H$12:H$950,'09월 화학성분'!$B$12:$B$950,$A17,'09월 화학성분'!$D$12:$D$950,$B19)))</f>
        <v>19.2</v>
      </c>
      <c r="L19" s="1054">
        <f>IF($C19&lt;1,"",(AVERAGEIFS('09월 화학성분'!I$12:I$950,'09월 화학성분'!$B$12:$B$950,$A17,'09월 화학성분'!$D$12:$D$950,$B19)))</f>
        <v>75</v>
      </c>
      <c r="M19" s="1054">
        <f>IF($C19&lt;1,"",(AVERAGEIFS('09월 화학성분'!J$12:J$950,'09월 화학성분'!$B$12:$B$950,$A17,'09월 화학성분'!$D$12:$D$950,$B19)))</f>
        <v>12.6</v>
      </c>
      <c r="N19" s="1054">
        <f>IF($C19&lt;1,"",(AVERAGEIFS('09월 화학성분'!K$12:K$950,'09월 화학성분'!$B$12:$B$950,$A17,'09월 화학성분'!$D$12:$D$950,$B19)))</f>
        <v>23</v>
      </c>
      <c r="O19" s="1054">
        <f>IF($C19&lt;1,"",(AVERAGEIFS('09월 화학성분'!L$12:L$950,'09월 화학성분'!$B$12:$B$950,$A17,'09월 화학성분'!$D$12:$D$950,$B19)))</f>
        <v>9.6</v>
      </c>
      <c r="P19" s="1054">
        <f>IF($C19&lt;1,"",(AVERAGEIFS('09월 화학성분'!M$12:M$950,'09월 화학성분'!$B$12:$B$950,$A17,'09월 화학성분'!$D$12:$D$950,$B19)))</f>
        <v>11.6</v>
      </c>
      <c r="Q19" s="1054">
        <f>IF($C19&lt;1,"",(AVERAGEIFS('09월 조업일지'!$AK$12:$AK$954,'09월 조업일지'!$B$12:$B$954,$A17,'09월 조업일지'!$E$12:$E$954,$B19)))</f>
        <v>741.25</v>
      </c>
      <c r="R19" s="1054">
        <f>IF($C19&lt;1,"",(AVERAGEIFS('09월 화학성분'!$G$12:$G$950,'09월 화학성분'!$B$12:$B$950,$A17,'09월 화학성분'!$D$12:$D$950,$B19)))</f>
        <v>8.4</v>
      </c>
      <c r="S19" s="1055">
        <f>IF($C19&lt;1,"",(AVERAGEIFS('09월 조업일지'!$AI$12:$AI$954,'09월 조업일지'!$B$12:$B$954,$A17,'09월 조업일지'!$E$12:$E$954,$B19)))</f>
        <v>1571.6</v>
      </c>
      <c r="T19" s="1056">
        <f>IF($C19&lt;1,"",(AVERAGEIFS('09월 화학성분'!$AM$12:$AM$949,'09월 화학성분'!$B$12:$B$949,$A17,'09월 화학성분'!$D$12:$D$949,$B19)))</f>
        <v>2559.1999999999998</v>
      </c>
      <c r="U19" s="1057">
        <f>IF($C19&lt;1,"",(AVERAGEIFS('09월 고철장입'!$AJ$14:$AJ$949,'09월 고철장입'!$B$14:$B$949,$A17,'09월 고철장입'!$C$14:$C$949,$B19))/1000)</f>
        <v>159.19999999999999</v>
      </c>
      <c r="V19" s="1102">
        <f>IF($C19&lt;1,"",(AVERAGEIFS('09월 고철장입'!$AK$14:$AK$949,'09월 고철장입'!$B$14:$B$949,$A17,'09월 고철장입'!$C$14:$C$949,$B19)))</f>
        <v>137.1</v>
      </c>
      <c r="W19" s="1058">
        <f t="shared" si="2"/>
        <v>86.118090452261313</v>
      </c>
      <c r="X19" s="1059">
        <f>IF($C19&lt;1,"",(AVERAGEIFS('09월 에너지'!$O$14:$O$949,'09월 에너지'!$A$14:$A$949,$A17,'09월 에너지'!$C$14:$C$949,$B19)))</f>
        <v>184.36609808778721</v>
      </c>
      <c r="Y19" s="1060">
        <f>IF($C19&lt;1,"",(AVERAGEIFS('09월 에너지'!$P$14:$P$949,'09월 에너지'!$A$14:$A$949,$A17,'09월 에너지'!$C$14:$C$949,$B19)))</f>
        <v>153.93367948504684</v>
      </c>
      <c r="Z19" s="1060">
        <f>IF($C19&lt;1,"",(AVERAGEIFS('09월 에너지'!$Q$14:$Q$949,'09월 에너지'!$A$14:$A$949,$A17,'09월 에너지'!$C$14:$C$949,$B19)))</f>
        <v>82.274234764859671</v>
      </c>
      <c r="AA19" s="1061">
        <f>IF($C19&lt;1,"",(AVERAGEIFS('09월 에너지'!$R$14:$R$949,'09월 에너지'!$B$14:$B$949,$A17,'09월 에너지'!$C$14:$C$949,$B19)))</f>
        <v>420.57401233769377</v>
      </c>
      <c r="AB19" s="1062">
        <f>IF($C19&lt;1,"",(AVERAGEIFS('09월 에너지'!$X$14:$X$949,'09월 에너지'!$A$14:$A$949,$A17,'09월 에너지'!$C$14:$C$949,$B19)))</f>
        <v>2.9023956418857302</v>
      </c>
      <c r="AC19" s="1063">
        <f>IF($C19&lt;1,"",(AVERAGEIFS('09월 에너지'!$AC$14:$AC$949,'09월 에너지'!$A$14:$A$949,$A17,'09월 에너지'!$C$14:$C$949,$B19)))</f>
        <v>29.985754188792384</v>
      </c>
      <c r="AD19" s="1064">
        <f>IF($C19&lt;1,"",(AVERAGEIFS('09월 에너지'!$AD$14:$AD$949,'09월 에너지'!$B$14:$B$949,$A17,'09월 에너지'!$C$14:$C$949,$B19)))</f>
        <v>4502.6000000000004</v>
      </c>
      <c r="AE19" s="1065">
        <f>IF($C19&lt;1,"",(AVERAGEIFS('09월 에너지'!$AE$14:$AE$949,'09월 에너지'!$B$14:$B$949,$A17,'09월 에너지'!$C$14:$C$949,$B19)))</f>
        <v>32.88814983067811</v>
      </c>
      <c r="AF19" s="1066">
        <f>IF($C19&lt;1,"",(AVERAGEIFS('09월 에너지'!$AI$14:$AI$949,'09월 에너지'!$B$14:$B$949,$A17,'09월 에너지'!$C$14:$C$949,$B19)))</f>
        <v>156.80000000000001</v>
      </c>
      <c r="AG19" s="1067">
        <f>IF($C19&lt;1,"",(AVERAGEIFS('09월 에너지'!$AJ$14:$AJ$949,'09월 에너지'!$B$14:$B$949,$A17,'09월 에너지'!$C$14:$C$949,$B19)))</f>
        <v>1.1461141766121874</v>
      </c>
    </row>
    <row r="20" spans="1:33" ht="16.5" customHeight="1" thickTop="1" thickBot="1">
      <c r="A20" s="1632"/>
      <c r="B20" s="783" t="s">
        <v>94</v>
      </c>
      <c r="C20" s="784">
        <f>COUNTIFS('09월 조업일지'!$B$12:$B$952,A17,'09월 조업일지'!$E$12:$E$952,B20)</f>
        <v>0</v>
      </c>
      <c r="D20" s="1068" t="str">
        <f t="shared" si="3"/>
        <v/>
      </c>
      <c r="E20" s="1069" t="str">
        <f>IF($C20&lt;1,"",(SUMIFS('09월 조업일지'!$K$12:$K$954,'09월 조업일지'!$B$12:$B$954,$A17,'09월 조업일지'!$E$12:$E$954,$B20)/$C20))</f>
        <v/>
      </c>
      <c r="F20" s="1070" t="str">
        <f>IF($C20&lt;1,"",(AVERAGEIFS('09월 조업일지'!$J$12:$J$954,'09월 조업일지'!$B$12:$B$954,$A17,'09월 조업일지'!$E$12:$E$954,$B20)))</f>
        <v/>
      </c>
      <c r="G20" s="1071" t="str">
        <f>IF($C20&lt;1,"",(AVERAGEIFS('09월 에너지'!$M$14:$M$950,'09월 에너지'!$B$14:$B$950,$A17,'09월 에너지'!$C$14:$C$950,$B20)))</f>
        <v/>
      </c>
      <c r="H20" s="1072" t="str">
        <f>IF($C20&lt;1,"",(AVERAGEIFS('09월 조업일지'!$AJ$12:$AJ$954,'09월 조업일지'!$B$12:$B$954,$A17,'09월 조업일지'!$E$12:$E$954,$B20)))</f>
        <v/>
      </c>
      <c r="I20" s="1073" t="str">
        <f>IF($C20&lt;1,"",(AVERAGEIFS('09월 조업일지'!$AL$12:$AL$954,'09월 조업일지'!$B$12:$B$954,$A17,'09월 조업일지'!$E$12:$E$954,$B20)))</f>
        <v/>
      </c>
      <c r="J20" s="1074" t="str">
        <f>IF($C20&lt;1,"",(AVERAGEIFS('09월 화학성분'!G$12:G$950,'09월 화학성분'!$B$12:$B$950,$A17,'09월 화학성분'!$D$12:$D$950,$B20)))</f>
        <v/>
      </c>
      <c r="K20" s="1075" t="str">
        <f>IF($C20&lt;1,"",(AVERAGEIFS('09월 화학성분'!H$12:H$950,'09월 화학성분'!$B$12:$B$950,$A17,'09월 화학성분'!$D$12:$D$950,$B20)))</f>
        <v/>
      </c>
      <c r="L20" s="1075" t="str">
        <f>IF($C20&lt;1,"",(AVERAGEIFS('09월 화학성분'!I$12:I$950,'09월 화학성분'!$B$12:$B$950,$A17,'09월 화학성분'!$D$12:$D$950,$B20)))</f>
        <v/>
      </c>
      <c r="M20" s="1075" t="str">
        <f>IF($C20&lt;1,"",(AVERAGEIFS('09월 화학성분'!J$12:J$950,'09월 화학성분'!$B$12:$B$950,$A17,'09월 화학성분'!$D$12:$D$950,$B20)))</f>
        <v/>
      </c>
      <c r="N20" s="1075" t="str">
        <f>IF($C20&lt;1,"",(AVERAGEIFS('09월 화학성분'!K$12:K$950,'09월 화학성분'!$B$12:$B$950,$A17,'09월 화학성분'!$D$12:$D$950,$B20)))</f>
        <v/>
      </c>
      <c r="O20" s="1075" t="str">
        <f>IF($C20&lt;1,"",(AVERAGEIFS('09월 화학성분'!L$12:L$950,'09월 화학성분'!$B$12:$B$950,$A17,'09월 화학성분'!$D$12:$D$950,$B20)))</f>
        <v/>
      </c>
      <c r="P20" s="1075" t="str">
        <f>IF($C20&lt;1,"",(AVERAGEIFS('09월 화학성분'!M$12:M$950,'09월 화학성분'!$B$12:$B$950,$A17,'09월 화학성분'!$D$12:$D$950,$B20)))</f>
        <v/>
      </c>
      <c r="Q20" s="1075" t="str">
        <f>IF($C20&lt;1,"",(AVERAGEIFS('09월 조업일지'!$AK$12:$AK$954,'09월 조업일지'!$B$12:$B$954,$A17,'09월 조업일지'!$E$12:$E$954,$B20)))</f>
        <v/>
      </c>
      <c r="R20" s="1075" t="str">
        <f>IF($C20&lt;1,"",(AVERAGEIFS('09월 화학성분'!$G$12:$G$950,'09월 화학성분'!$B$12:$B$950,$A17,'09월 화학성분'!$D$12:$D$950,$B20)))</f>
        <v/>
      </c>
      <c r="S20" s="1076" t="str">
        <f>IF($C20&lt;1,"",(AVERAGEIFS('09월 조업일지'!$AI$12:$AI$954,'09월 조업일지'!$B$12:$B$954,$A17,'09월 조업일지'!$E$12:$E$954,$B20)))</f>
        <v/>
      </c>
      <c r="T20" s="1077" t="str">
        <f>IF($C20&lt;1,"",(AVERAGEIFS('09월 화학성분'!$AM$12:$AM$949,'09월 화학성분'!$B$12:$B$949,$A17,'09월 화학성분'!$D$12:$D$949,$B20)))</f>
        <v/>
      </c>
      <c r="U20" s="1078" t="str">
        <f>IF($C20&lt;1,"",(AVERAGEIFS('09월 고철장입'!$AJ$14:$AJ$949,'09월 고철장입'!$B$14:$B$949,$A17,'09월 고철장입'!$C$14:$C$949,$B20))/1000)</f>
        <v/>
      </c>
      <c r="V20" s="1103" t="str">
        <f>IF($C20&lt;1,"",(AVERAGEIFS('09월 고철장입'!$AK$14:$AK$949,'09월 고철장입'!$B$14:$B$949,$A17,'09월 고철장입'!$C$14:$C$949,$B20)))</f>
        <v/>
      </c>
      <c r="W20" s="1079" t="str">
        <f t="shared" si="2"/>
        <v/>
      </c>
      <c r="X20" s="1080" t="str">
        <f>IF($C20&lt;1,"",(AVERAGEIFS('09월 에너지'!$O$14:$O$949,'09월 에너지'!$A$14:$A$949,$A17,'09월 에너지'!$C$14:$C$949,$B20)))</f>
        <v/>
      </c>
      <c r="Y20" s="1081" t="str">
        <f>IF($C20&lt;1,"",(AVERAGEIFS('09월 에너지'!$P$14:$P$949,'09월 에너지'!$A$14:$A$949,$A17,'09월 에너지'!$C$14:$C$949,$B20)))</f>
        <v/>
      </c>
      <c r="Z20" s="1081" t="str">
        <f>IF($C20&lt;1,"",(AVERAGEIFS('09월 에너지'!$Q$14:$Q$949,'09월 에너지'!$A$14:$A$949,$A17,'09월 에너지'!$C$14:$C$949,$B20)))</f>
        <v/>
      </c>
      <c r="AA20" s="1082" t="str">
        <f>IF($C20&lt;1,"",(AVERAGEIFS('09월 에너지'!$R$14:$R$949,'09월 에너지'!$B$14:$B$949,$A17,'09월 에너지'!$C$14:$C$949,$B20)))</f>
        <v/>
      </c>
      <c r="AB20" s="1083" t="str">
        <f>IF($C20&lt;1,"",(AVERAGEIFS('09월 에너지'!$X$14:$X$949,'09월 에너지'!$A$14:$A$949,$A17,'09월 에너지'!$C$14:$C$949,$B20)))</f>
        <v/>
      </c>
      <c r="AC20" s="1084" t="str">
        <f>IF($C20&lt;1,"",(AVERAGEIFS('09월 에너지'!$AC$14:$AC$949,'09월 에너지'!$A$14:$A$949,$A17,'09월 에너지'!$C$14:$C$949,$B20)))</f>
        <v/>
      </c>
      <c r="AD20" s="1085" t="str">
        <f>IF($C20&lt;1,"",(AVERAGEIFS('09월 에너지'!$AD$14:$AD$949,'09월 에너지'!$B$14:$B$949,$A17,'09월 에너지'!$C$14:$C$949,$B20)))</f>
        <v/>
      </c>
      <c r="AE20" s="1086" t="str">
        <f>IF($C20&lt;1,"",(AVERAGEIFS('09월 에너지'!$AE$14:$AE$949,'09월 에너지'!$B$14:$B$949,$A17,'09월 에너지'!$C$14:$C$949,$B20)))</f>
        <v/>
      </c>
      <c r="AF20" s="1087" t="str">
        <f>IF($C20&lt;1,"",(AVERAGEIFS('09월 에너지'!$AI$14:$AI$949,'09월 에너지'!$B$14:$B$949,$A17,'09월 에너지'!$C$14:$C$949,$B20)))</f>
        <v/>
      </c>
      <c r="AG20" s="1088" t="str">
        <f>IF($C20&lt;1,"",(AVERAGEIFS('09월 에너지'!$AJ$14:$AJ$949,'09월 에너지'!$B$14:$B$949,$A17,'09월 에너지'!$C$14:$C$949,$B20)))</f>
        <v/>
      </c>
    </row>
    <row r="21" spans="1:33" ht="16.5" customHeight="1" thickTop="1" thickBot="1">
      <c r="A21" s="1632">
        <f t="shared" ref="A21" si="6">A17+1</f>
        <v>46270</v>
      </c>
      <c r="B21" s="775" t="s">
        <v>128</v>
      </c>
      <c r="C21" s="776">
        <f>COUNTIFS('09월 조업일지'!$B$12:$B$952,A21,'09월 조업일지'!$E$12:$E$952,B21)</f>
        <v>11</v>
      </c>
      <c r="D21" s="1026">
        <f t="shared" si="3"/>
        <v>45.636363636363633</v>
      </c>
      <c r="E21" s="1027">
        <f>IF($C21&lt;1,"",(SUMIFS('09월 조업일지'!$K$12:$K$954,'09월 조업일지'!$B$12:$B$954,$A21,'09월 조업일지'!$E$12:$E$954,$B21)/$C21))</f>
        <v>0</v>
      </c>
      <c r="F21" s="1028">
        <f>IF($C21&lt;1,"",(AVERAGEIFS('09월 조업일지'!$J$12:$J$954,'09월 조업일지'!$B$12:$B$954,$A21,'09월 조업일지'!$E$12:$E$954,$B21)))</f>
        <v>45.636363636363633</v>
      </c>
      <c r="G21" s="1029">
        <f>IF($C21&lt;1,"",(AVERAGEIFS('09월 에너지'!$M$14:$M$950,'09월 에너지'!$B$14:$B$950,$A21,'09월 에너지'!$C$14:$C$950,$B21)))</f>
        <v>44.300000000000004</v>
      </c>
      <c r="H21" s="1030">
        <f>IF($C21&lt;1,"",(AVERAGEIFS('09월 조업일지'!$AJ$12:$AJ$954,'09월 조업일지'!$B$12:$B$954,$A21,'09월 조업일지'!$E$12:$E$954,$B21)))</f>
        <v>2.1818181818181817</v>
      </c>
      <c r="I21" s="1031">
        <f>IF($C21&lt;1,"",(AVERAGEIFS('09월 조업일지'!$AL$12:$AL$954,'09월 조업일지'!$B$12:$B$954,$A21,'09월 조업일지'!$E$12:$E$954,$B21)))</f>
        <v>8.9090909090909083</v>
      </c>
      <c r="J21" s="1032">
        <f>IF($C21&lt;1,"",(AVERAGEIFS('09월 화학성분'!G$12:G$950,'09월 화학성분'!$B$12:$B$950,$A21,'09월 화학성분'!$D$12:$D$950,$B21)))</f>
        <v>10.909090909090908</v>
      </c>
      <c r="K21" s="1033">
        <f>IF($C21&lt;1,"",(AVERAGEIFS('09월 화학성분'!H$12:H$950,'09월 화학성분'!$B$12:$B$950,$A21,'09월 화학성분'!$D$12:$D$950,$B21)))</f>
        <v>23.181818181818183</v>
      </c>
      <c r="L21" s="1033">
        <f>IF($C21&lt;1,"",(AVERAGEIFS('09월 화학성분'!I$12:I$950,'09월 화학성분'!$B$12:$B$950,$A21,'09월 화학성분'!$D$12:$D$950,$B21)))</f>
        <v>54.090909090909093</v>
      </c>
      <c r="M21" s="1033">
        <f>IF($C21&lt;1,"",(AVERAGEIFS('09월 화학성분'!J$12:J$950,'09월 화학성분'!$B$12:$B$950,$A21,'09월 화학성분'!$D$12:$D$950,$B21)))</f>
        <v>15.909090909090908</v>
      </c>
      <c r="N21" s="1033">
        <f>IF($C21&lt;1,"",(AVERAGEIFS('09월 화학성분'!K$12:K$950,'09월 화학성분'!$B$12:$B$950,$A21,'09월 화학성분'!$D$12:$D$950,$B21)))</f>
        <v>31</v>
      </c>
      <c r="O21" s="1033">
        <f>IF($C21&lt;1,"",(AVERAGEIFS('09월 화학성분'!L$12:L$950,'09월 화학성분'!$B$12:$B$950,$A21,'09월 화학성분'!$D$12:$D$950,$B21)))</f>
        <v>14</v>
      </c>
      <c r="P21" s="1033">
        <f>IF($C21&lt;1,"",(AVERAGEIFS('09월 화학성분'!M$12:M$950,'09월 화학성분'!$B$12:$B$950,$A21,'09월 화학성분'!$D$12:$D$950,$B21)))</f>
        <v>9.7272727272727266</v>
      </c>
      <c r="Q21" s="1033">
        <f>IF($C21&lt;1,"",(AVERAGEIFS('09월 조업일지'!$AK$12:$AK$954,'09월 조업일지'!$B$12:$B$954,$A21,'09월 조업일지'!$E$12:$E$954,$B21)))</f>
        <v>470.72727272727275</v>
      </c>
      <c r="R21" s="1033">
        <f>IF($C21&lt;1,"",(AVERAGEIFS('09월 화학성분'!$G$12:$G$950,'09월 화학성분'!$B$12:$B$950,$A21,'09월 화학성분'!$D$12:$D$950,$B21)))</f>
        <v>10.909090909090908</v>
      </c>
      <c r="S21" s="1034">
        <f>IF($C21&lt;1,"",(AVERAGEIFS('09월 조업일지'!$AI$12:$AI$954,'09월 조업일지'!$B$12:$B$954,$A21,'09월 조업일지'!$E$12:$E$954,$B21)))</f>
        <v>1571.909090909091</v>
      </c>
      <c r="T21" s="1035">
        <f>IF($C21&lt;1,"",(AVERAGEIFS('09월 화학성분'!$AM$12:$AM$949,'09월 화학성분'!$B$12:$B$949,$A21,'09월 화학성분'!$D$12:$D$949,$B21)))</f>
        <v>2022.7272727272727</v>
      </c>
      <c r="U21" s="1036">
        <f>IF($C21&lt;1,"",(AVERAGEIFS('09월 고철장입'!$AJ$14:$AJ$949,'09월 고철장입'!$B$14:$B$949,$A21,'09월 고철장입'!$C$14:$C$949,$B21))/1000)</f>
        <v>157.85454545454544</v>
      </c>
      <c r="V21" s="1101">
        <f>IF($C21&lt;1,"",(AVERAGEIFS('09월 고철장입'!$AK$14:$AK$949,'09월 고철장입'!$B$14:$B$949,$A21,'09월 고철장입'!$C$14:$C$949,$B21)))</f>
        <v>142.93636363636364</v>
      </c>
      <c r="W21" s="1037">
        <f t="shared" si="2"/>
        <v>90.549412577747063</v>
      </c>
      <c r="X21" s="1038">
        <f>IF($C21&lt;1,"",(AVERAGEIFS('09월 에너지'!$O$14:$O$949,'09월 에너지'!$A$14:$A$949,$A21,'09월 에너지'!$C$14:$C$949,$B21)))</f>
        <v>162.02571472794543</v>
      </c>
      <c r="Y21" s="1039">
        <f>IF($C21&lt;1,"",(AVERAGEIFS('09월 에너지'!$P$14:$P$949,'09월 에너지'!$A$14:$A$949,$A21,'09월 에너지'!$C$14:$C$949,$B21)))</f>
        <v>145.49272223857531</v>
      </c>
      <c r="Z21" s="1039">
        <f>IF($C21&lt;1,"",(AVERAGEIFS('09월 에너지'!$Q$14:$Q$949,'09월 에너지'!$A$14:$A$949,$A21,'09월 에너지'!$C$14:$C$949,$B21)))</f>
        <v>77.8205944272582</v>
      </c>
      <c r="AA21" s="1040">
        <f>IF($C21&lt;1,"",(AVERAGEIFS('09월 에너지'!$R$14:$R$949,'09월 에너지'!$B$14:$B$949,$A21,'09월 에너지'!$C$14:$C$949,$B21)))</f>
        <v>389.31896842381025</v>
      </c>
      <c r="AB21" s="1041">
        <f>IF($C21&lt;1,"",(AVERAGEIFS('09월 에너지'!$X$14:$X$949,'09월 에너지'!$A$14:$A$949,$A21,'09월 에너지'!$C$14:$C$949,$B21)))</f>
        <v>2.5926139440048575</v>
      </c>
      <c r="AC21" s="1042">
        <f>IF($C21&lt;1,"",(AVERAGEIFS('09월 에너지'!$AC$14:$AC$949,'09월 에너지'!$A$14:$A$949,$A21,'09월 에너지'!$C$14:$C$949,$B21)))</f>
        <v>24.84554394581107</v>
      </c>
      <c r="AD21" s="1043">
        <f>IF($C21&lt;1,"",(AVERAGEIFS('09월 에너지'!$AD$14:$AD$949,'09월 에너지'!$B$14:$B$949,$A21,'09월 에너지'!$C$14:$C$949,$B21)))</f>
        <v>3960.090909090909</v>
      </c>
      <c r="AE21" s="1044">
        <f>IF($C21&lt;1,"",(AVERAGEIFS('09월 에너지'!$AE$14:$AE$949,'09월 에너지'!$B$14:$B$949,$A21,'09월 에너지'!$C$14:$C$949,$B21)))</f>
        <v>27.707825058632508</v>
      </c>
      <c r="AF21" s="1045">
        <f>IF($C21&lt;1,"",(AVERAGEIFS('09월 에너지'!$AI$14:$AI$949,'09월 에너지'!$B$14:$B$949,$A21,'09월 에너지'!$C$14:$C$949,$B21)))</f>
        <v>147.18181818181819</v>
      </c>
      <c r="AG21" s="1046">
        <f>IF($C21&lt;1,"",(AVERAGEIFS('09월 에너지'!$AJ$14:$AJ$949,'09월 에너지'!$B$14:$B$949,$A21,'09월 에너지'!$C$14:$C$949,$B21)))</f>
        <v>1.0295468370315239</v>
      </c>
    </row>
    <row r="22" spans="1:33" ht="16.5" customHeight="1" thickTop="1" thickBot="1">
      <c r="A22" s="1632"/>
      <c r="B22" s="781" t="s">
        <v>100</v>
      </c>
      <c r="C22" s="782">
        <f>COUNTIFS('09월 조업일지'!$B$12:$B$952,A21,'09월 조업일지'!$E$12:$E$952,B22)</f>
        <v>10</v>
      </c>
      <c r="D22" s="1047">
        <f t="shared" si="3"/>
        <v>46.800000000000004</v>
      </c>
      <c r="E22" s="1048">
        <f>IF($C22&lt;1,"",(SUMIFS('09월 조업일지'!$K$12:$K$954,'09월 조업일지'!$B$12:$B$954,$A21,'09월 조업일지'!$E$12:$E$954,$B22)/$C22))</f>
        <v>0</v>
      </c>
      <c r="F22" s="1049">
        <f>IF($C22&lt;1,"",(AVERAGEIFS('09월 조업일지'!$J$12:$J$954,'09월 조업일지'!$B$12:$B$954,$A21,'09월 조업일지'!$E$12:$E$954,$B22)))</f>
        <v>46.800000000000004</v>
      </c>
      <c r="G22" s="1050">
        <f>IF($C22&lt;1,"",(AVERAGEIFS('09월 에너지'!$M$14:$M$950,'09월 에너지'!$B$14:$B$950,$A21,'09월 에너지'!$C$14:$C$950,$B22)))</f>
        <v>45.59</v>
      </c>
      <c r="H22" s="1051">
        <f>IF($C22&lt;1,"",(AVERAGEIFS('09월 조업일지'!$AJ$12:$AJ$954,'09월 조업일지'!$B$12:$B$954,$A21,'09월 조업일지'!$E$12:$E$954,$B22)))</f>
        <v>109.6</v>
      </c>
      <c r="I22" s="1052">
        <f>IF($C22&lt;1,"",(AVERAGEIFS('09월 조업일지'!$AL$12:$AL$954,'09월 조업일지'!$B$12:$B$954,$A21,'09월 조업일지'!$E$12:$E$954,$B22)))</f>
        <v>5.8</v>
      </c>
      <c r="J22" s="1053">
        <f>IF($C22&lt;1,"",(AVERAGEIFS('09월 화학성분'!G$12:G$950,'09월 화학성분'!$B$12:$B$950,$A21,'09월 화학성분'!$D$12:$D$950,$B22)))</f>
        <v>11</v>
      </c>
      <c r="K22" s="1054">
        <f>IF($C22&lt;1,"",(AVERAGEIFS('09월 화학성분'!H$12:H$950,'09월 화학성분'!$B$12:$B$950,$A21,'09월 화학성분'!$D$12:$D$950,$B22)))</f>
        <v>23.4</v>
      </c>
      <c r="L22" s="1054">
        <f>IF($C22&lt;1,"",(AVERAGEIFS('09월 화학성분'!I$12:I$950,'09월 화학성분'!$B$12:$B$950,$A21,'09월 화학성분'!$D$12:$D$950,$B22)))</f>
        <v>121.2</v>
      </c>
      <c r="M22" s="1054">
        <f>IF($C22&lt;1,"",(AVERAGEIFS('09월 화학성분'!J$12:J$950,'09월 화학성분'!$B$12:$B$950,$A21,'09월 화학성분'!$D$12:$D$950,$B22)))</f>
        <v>14.4</v>
      </c>
      <c r="N22" s="1054">
        <f>IF($C22&lt;1,"",(AVERAGEIFS('09월 화학성분'!K$12:K$950,'09월 화학성분'!$B$12:$B$950,$A21,'09월 화학성분'!$D$12:$D$950,$B22)))</f>
        <v>28.1</v>
      </c>
      <c r="O22" s="1054">
        <f>IF($C22&lt;1,"",(AVERAGEIFS('09월 화학성분'!L$12:L$950,'09월 화학성분'!$B$12:$B$950,$A21,'09월 화학성분'!$D$12:$D$950,$B22)))</f>
        <v>12.1</v>
      </c>
      <c r="P22" s="1054">
        <f>IF($C22&lt;1,"",(AVERAGEIFS('09월 화학성분'!M$12:M$950,'09월 화학성분'!$B$12:$B$950,$A21,'09월 화학성분'!$D$12:$D$950,$B22)))</f>
        <v>9.6</v>
      </c>
      <c r="Q22" s="1054">
        <f>IF($C22&lt;1,"",(AVERAGEIFS('09월 조업일지'!$AK$12:$AK$954,'09월 조업일지'!$B$12:$B$954,$A21,'09월 조업일지'!$E$12:$E$954,$B22)))</f>
        <v>759.3</v>
      </c>
      <c r="R22" s="1054">
        <f>IF($C22&lt;1,"",(AVERAGEIFS('09월 화학성분'!$G$12:$G$950,'09월 화학성분'!$B$12:$B$950,$A21,'09월 화학성분'!$D$12:$D$950,$B22)))</f>
        <v>11</v>
      </c>
      <c r="S22" s="1055">
        <f>IF($C22&lt;1,"",(AVERAGEIFS('09월 조업일지'!$AI$12:$AI$954,'09월 조업일지'!$B$12:$B$954,$A21,'09월 조업일지'!$E$12:$E$954,$B22)))</f>
        <v>1571.9</v>
      </c>
      <c r="T22" s="1056">
        <f>IF($C22&lt;1,"",(AVERAGEIFS('09월 화학성분'!$AM$12:$AM$949,'09월 화학성분'!$B$12:$B$949,$A21,'09월 화학성분'!$D$12:$D$949,$B22)))</f>
        <v>1832.4</v>
      </c>
      <c r="U22" s="1057">
        <f>IF($C22&lt;1,"",(AVERAGEIFS('09월 고철장입'!$AJ$14:$AJ$949,'09월 고철장입'!$B$14:$B$949,$A21,'09월 고철장입'!$C$14:$C$949,$B22))/1000)</f>
        <v>158.82</v>
      </c>
      <c r="V22" s="1102">
        <f>IF($C22&lt;1,"",(AVERAGEIFS('09월 고철장입'!$AK$14:$AK$949,'09월 고철장입'!$B$14:$B$949,$A21,'09월 고철장입'!$C$14:$C$949,$B22)))</f>
        <v>144.54</v>
      </c>
      <c r="W22" s="1058">
        <f t="shared" si="2"/>
        <v>91.008689081979597</v>
      </c>
      <c r="X22" s="1059">
        <f>IF($C22&lt;1,"",(AVERAGEIFS('09월 에너지'!$O$14:$O$949,'09월 에너지'!$A$14:$A$949,$A21,'09월 에너지'!$C$14:$C$949,$B22)))</f>
        <v>164.11911204295694</v>
      </c>
      <c r="Y22" s="1060">
        <f>IF($C22&lt;1,"",(AVERAGEIFS('09월 에너지'!$P$14:$P$949,'09월 에너지'!$A$14:$A$949,$A21,'09월 에너지'!$C$14:$C$949,$B22)))</f>
        <v>144.60327774972126</v>
      </c>
      <c r="Z22" s="1060">
        <f>IF($C22&lt;1,"",(AVERAGEIFS('09월 에너지'!$Q$14:$Q$949,'09월 에너지'!$A$14:$A$949,$A21,'09월 에너지'!$C$14:$C$949,$B22)))</f>
        <v>76.130924414801399</v>
      </c>
      <c r="AA22" s="1061">
        <f>IF($C22&lt;1,"",(AVERAGEIFS('09월 에너지'!$R$14:$R$949,'09월 에너지'!$B$14:$B$949,$A21,'09월 에너지'!$C$14:$C$949,$B22)))</f>
        <v>384.85331420747963</v>
      </c>
      <c r="AB22" s="1062">
        <f>IF($C22&lt;1,"",(AVERAGEIFS('09월 에너지'!$X$14:$X$949,'09월 에너지'!$A$14:$A$949,$A21,'09월 에너지'!$C$14:$C$949,$B22)))</f>
        <v>2.5501236103953109</v>
      </c>
      <c r="AC22" s="1063">
        <f>IF($C22&lt;1,"",(AVERAGEIFS('09월 에너지'!$AC$14:$AC$949,'09월 에너지'!$A$14:$A$949,$A21,'09월 에너지'!$C$14:$C$949,$B22)))</f>
        <v>26.472159568480276</v>
      </c>
      <c r="AD22" s="1064">
        <f>IF($C22&lt;1,"",(AVERAGEIFS('09월 에너지'!$AD$14:$AD$949,'09월 에너지'!$B$14:$B$949,$A21,'09월 에너지'!$C$14:$C$949,$B22)))</f>
        <v>4193</v>
      </c>
      <c r="AE22" s="1065">
        <f>IF($C22&lt;1,"",(AVERAGEIFS('09월 에너지'!$AE$14:$AE$949,'09월 에너지'!$B$14:$B$949,$A21,'09월 에너지'!$C$14:$C$949,$B22)))</f>
        <v>29.022283178875579</v>
      </c>
      <c r="AF22" s="1066">
        <f>IF($C22&lt;1,"",(AVERAGEIFS('09월 에너지'!$AI$14:$AI$949,'09월 에너지'!$B$14:$B$949,$A21,'09월 에너지'!$C$14:$C$949,$B22)))</f>
        <v>158.5</v>
      </c>
      <c r="AG22" s="1067">
        <f>IF($C22&lt;1,"",(AVERAGEIFS('09월 에너지'!$AJ$14:$AJ$949,'09월 에너지'!$B$14:$B$949,$A21,'09월 에너지'!$C$14:$C$949,$B22)))</f>
        <v>1.0970983859260703</v>
      </c>
    </row>
    <row r="23" spans="1:33" ht="16.5" customHeight="1" thickTop="1" thickBot="1">
      <c r="A23" s="1632"/>
      <c r="B23" s="781" t="s">
        <v>93</v>
      </c>
      <c r="C23" s="782">
        <f>COUNTIFS('09월 조업일지'!$B$12:$B$952,A21,'09월 조업일지'!$E$12:$E$952,B23)</f>
        <v>10</v>
      </c>
      <c r="D23" s="1047">
        <f t="shared" si="3"/>
        <v>47.499999999999986</v>
      </c>
      <c r="E23" s="1048">
        <f>IF($C23&lt;1,"",(SUMIFS('09월 조업일지'!$K$12:$K$954,'09월 조업일지'!$B$12:$B$954,$A21,'09월 조업일지'!$E$12:$E$954,$B23)/$C23))</f>
        <v>0</v>
      </c>
      <c r="F23" s="1049">
        <f>IF($C23&lt;1,"",(AVERAGEIFS('09월 조업일지'!$J$12:$J$954,'09월 조업일지'!$B$12:$B$954,$A21,'09월 조업일지'!$E$12:$E$954,$B23)))</f>
        <v>47.499999999999986</v>
      </c>
      <c r="G23" s="1050">
        <f>IF($C23&lt;1,"",(AVERAGEIFS('09월 에너지'!$M$14:$M$950,'09월 에너지'!$B$14:$B$950,$A21,'09월 에너지'!$C$14:$C$950,$B23)))</f>
        <v>46.14</v>
      </c>
      <c r="H23" s="1051">
        <f>IF($C23&lt;1,"",(AVERAGEIFS('09월 조업일지'!$AJ$12:$AJ$954,'09월 조업일지'!$B$12:$B$954,$A21,'09월 조업일지'!$E$12:$E$954,$B23)))</f>
        <v>61.6</v>
      </c>
      <c r="I23" s="1052">
        <f>IF($C23&lt;1,"",(AVERAGEIFS('09월 조업일지'!$AL$12:$AL$954,'09월 조업일지'!$B$12:$B$954,$A21,'09월 조업일지'!$E$12:$E$954,$B23)))</f>
        <v>5.1111111111111107</v>
      </c>
      <c r="J23" s="1053">
        <f>IF($C23&lt;1,"",(AVERAGEIFS('09월 화학성분'!G$12:G$950,'09월 화학성분'!$B$12:$B$950,$A21,'09월 화학성분'!$D$12:$D$950,$B23)))</f>
        <v>9.5</v>
      </c>
      <c r="K23" s="1054">
        <f>IF($C23&lt;1,"",(AVERAGEIFS('09월 화학성분'!H$12:H$950,'09월 화학성분'!$B$12:$B$950,$A21,'09월 화학성분'!$D$12:$D$950,$B23)))</f>
        <v>18.899999999999999</v>
      </c>
      <c r="L23" s="1054">
        <f>IF($C23&lt;1,"",(AVERAGEIFS('09월 화학성분'!I$12:I$950,'09월 화학성분'!$B$12:$B$950,$A21,'09월 화학성분'!$D$12:$D$950,$B23)))</f>
        <v>87.6</v>
      </c>
      <c r="M23" s="1054">
        <f>IF($C23&lt;1,"",(AVERAGEIFS('09월 화학성분'!J$12:J$950,'09월 화학성분'!$B$12:$B$950,$A21,'09월 화학성분'!$D$12:$D$950,$B23)))</f>
        <v>14.3</v>
      </c>
      <c r="N23" s="1054">
        <f>IF($C23&lt;1,"",(AVERAGEIFS('09월 화학성분'!K$12:K$950,'09월 화학성분'!$B$12:$B$950,$A21,'09월 화학성분'!$D$12:$D$950,$B23)))</f>
        <v>34.5</v>
      </c>
      <c r="O23" s="1054">
        <f>IF($C23&lt;1,"",(AVERAGEIFS('09월 화학성분'!L$12:L$950,'09월 화학성분'!$B$12:$B$950,$A21,'09월 화학성분'!$D$12:$D$950,$B23)))</f>
        <v>12.5</v>
      </c>
      <c r="P23" s="1054">
        <f>IF($C23&lt;1,"",(AVERAGEIFS('09월 화학성분'!M$12:M$950,'09월 화학성분'!$B$12:$B$950,$A21,'09월 화학성분'!$D$12:$D$950,$B23)))</f>
        <v>10.4</v>
      </c>
      <c r="Q23" s="1054">
        <f>IF($C23&lt;1,"",(AVERAGEIFS('09월 조업일지'!$AK$12:$AK$954,'09월 조업일지'!$B$12:$B$954,$A21,'09월 조업일지'!$E$12:$E$954,$B23)))</f>
        <v>780.11111111111109</v>
      </c>
      <c r="R23" s="1054">
        <f>IF($C23&lt;1,"",(AVERAGEIFS('09월 화학성분'!$G$12:$G$950,'09월 화학성분'!$B$12:$B$950,$A21,'09월 화학성분'!$D$12:$D$950,$B23)))</f>
        <v>9.5</v>
      </c>
      <c r="S23" s="1055">
        <f>IF($C23&lt;1,"",(AVERAGEIFS('09월 조업일지'!$AI$12:$AI$954,'09월 조업일지'!$B$12:$B$954,$A21,'09월 조업일지'!$E$12:$E$954,$B23)))</f>
        <v>1577.5</v>
      </c>
      <c r="T23" s="1056">
        <f>IF($C23&lt;1,"",(AVERAGEIFS('09월 화학성분'!$AM$12:$AM$949,'09월 화학성분'!$B$12:$B$949,$A21,'09월 화학성분'!$D$12:$D$949,$B23)))</f>
        <v>2000.4</v>
      </c>
      <c r="U23" s="1057">
        <f>IF($C23&lt;1,"",(AVERAGEIFS('09월 고철장입'!$AJ$14:$AJ$949,'09월 고철장입'!$B$14:$B$949,$A21,'09월 고철장입'!$C$14:$C$949,$B23))/1000)</f>
        <v>158.63999999999999</v>
      </c>
      <c r="V23" s="1102">
        <f>IF($C23&lt;1,"",(AVERAGEIFS('09월 고철장입'!$AK$14:$AK$949,'09월 고철장입'!$B$14:$B$949,$A21,'09월 고철장입'!$C$14:$C$949,$B23)))</f>
        <v>143.81</v>
      </c>
      <c r="W23" s="1058">
        <f t="shared" si="2"/>
        <v>90.651790216843182</v>
      </c>
      <c r="X23" s="1059">
        <f>IF($C23&lt;1,"",(AVERAGEIFS('09월 에너지'!$O$14:$O$949,'09월 에너지'!$A$14:$A$949,$A21,'09월 에너지'!$C$14:$C$949,$B23)))</f>
        <v>162.64293872099819</v>
      </c>
      <c r="Y23" s="1060">
        <f>IF($C23&lt;1,"",(AVERAGEIFS('09월 에너지'!$P$14:$P$949,'09월 에너지'!$A$14:$A$949,$A21,'09월 에너지'!$C$14:$C$949,$B23)))</f>
        <v>145.41756122890439</v>
      </c>
      <c r="Z23" s="1060">
        <f>IF($C23&lt;1,"",(AVERAGEIFS('09월 에너지'!$Q$14:$Q$949,'09월 에너지'!$A$14:$A$949,$A21,'09월 에너지'!$C$14:$C$949,$B23)))</f>
        <v>87.392770742091699</v>
      </c>
      <c r="AA23" s="1061">
        <f>IF($C23&lt;1,"",(AVERAGEIFS('09월 에너지'!$R$14:$R$949,'09월 에너지'!$B$14:$B$949,$A21,'09월 에너지'!$C$14:$C$949,$B23)))</f>
        <v>395.45327069199419</v>
      </c>
      <c r="AB23" s="1062">
        <f>IF($C23&lt;1,"",(AVERAGEIFS('09월 에너지'!$X$14:$X$949,'09월 에너지'!$A$14:$A$949,$A21,'09월 에너지'!$C$14:$C$949,$B23)))</f>
        <v>2.5136259000527454</v>
      </c>
      <c r="AC23" s="1063">
        <f>IF($C23&lt;1,"",(AVERAGEIFS('09월 에너지'!$AC$14:$AC$949,'09월 에너지'!$A$14:$A$949,$A21,'09월 에너지'!$C$14:$C$949,$B23)))</f>
        <v>26.901393485546588</v>
      </c>
      <c r="AD23" s="1064">
        <f>IF($C23&lt;1,"",(AVERAGEIFS('09월 에너지'!$AD$14:$AD$949,'09월 에너지'!$B$14:$B$949,$A21,'09월 에너지'!$C$14:$C$949,$B23)))</f>
        <v>4230</v>
      </c>
      <c r="AE23" s="1065">
        <f>IF($C23&lt;1,"",(AVERAGEIFS('09월 에너지'!$AE$14:$AE$949,'09월 에너지'!$B$14:$B$949,$A21,'09월 에너지'!$C$14:$C$949,$B23)))</f>
        <v>29.415019385599333</v>
      </c>
      <c r="AF23" s="1066">
        <f>IF($C23&lt;1,"",(AVERAGEIFS('09월 에너지'!$AI$14:$AI$949,'09월 에너지'!$B$14:$B$949,$A21,'09월 에너지'!$C$14:$C$949,$B23)))</f>
        <v>161.1</v>
      </c>
      <c r="AG23" s="1067">
        <f>IF($C23&lt;1,"",(AVERAGEIFS('09월 에너지'!$AJ$14:$AJ$949,'09월 에너지'!$B$14:$B$949,$A21,'09월 에너지'!$C$14:$C$949,$B23)))</f>
        <v>1.1202456326703083</v>
      </c>
    </row>
    <row r="24" spans="1:33" ht="16.5" customHeight="1" thickTop="1" thickBot="1">
      <c r="A24" s="1632"/>
      <c r="B24" s="783" t="s">
        <v>94</v>
      </c>
      <c r="C24" s="784">
        <f>COUNTIFS('09월 조업일지'!$B$12:$B$952,A21,'09월 조업일지'!$E$12:$E$952,B24)</f>
        <v>0</v>
      </c>
      <c r="D24" s="1068" t="str">
        <f t="shared" si="3"/>
        <v/>
      </c>
      <c r="E24" s="1069" t="str">
        <f>IF($C24&lt;1,"",(SUMIFS('09월 조업일지'!$K$12:$K$954,'09월 조업일지'!$B$12:$B$954,$A21,'09월 조업일지'!$E$12:$E$954,$B24)/$C24))</f>
        <v/>
      </c>
      <c r="F24" s="1070" t="str">
        <f>IF($C24&lt;1,"",(AVERAGEIFS('09월 조업일지'!$J$12:$J$954,'09월 조업일지'!$B$12:$B$954,$A21,'09월 조업일지'!$E$12:$E$954,$B24)))</f>
        <v/>
      </c>
      <c r="G24" s="1071" t="str">
        <f>IF($C24&lt;1,"",(AVERAGEIFS('09월 에너지'!$M$14:$M$950,'09월 에너지'!$B$14:$B$950,$A21,'09월 에너지'!$C$14:$C$950,$B24)))</f>
        <v/>
      </c>
      <c r="H24" s="1072" t="str">
        <f>IF($C24&lt;1,"",(AVERAGEIFS('09월 조업일지'!$AJ$12:$AJ$954,'09월 조업일지'!$B$12:$B$954,$A21,'09월 조업일지'!$E$12:$E$954,$B24)))</f>
        <v/>
      </c>
      <c r="I24" s="1073" t="str">
        <f>IF($C24&lt;1,"",(AVERAGEIFS('09월 조업일지'!$AL$12:$AL$954,'09월 조업일지'!$B$12:$B$954,$A21,'09월 조업일지'!$E$12:$E$954,$B24)))</f>
        <v/>
      </c>
      <c r="J24" s="1074" t="str">
        <f>IF($C24&lt;1,"",(AVERAGEIFS('09월 화학성분'!G$12:G$950,'09월 화학성분'!$B$12:$B$950,$A21,'09월 화학성분'!$D$12:$D$950,$B24)))</f>
        <v/>
      </c>
      <c r="K24" s="1075" t="str">
        <f>IF($C24&lt;1,"",(AVERAGEIFS('09월 화학성분'!H$12:H$950,'09월 화학성분'!$B$12:$B$950,$A21,'09월 화학성분'!$D$12:$D$950,$B24)))</f>
        <v/>
      </c>
      <c r="L24" s="1075" t="str">
        <f>IF($C24&lt;1,"",(AVERAGEIFS('09월 화학성분'!I$12:I$950,'09월 화학성분'!$B$12:$B$950,$A21,'09월 화학성분'!$D$12:$D$950,$B24)))</f>
        <v/>
      </c>
      <c r="M24" s="1075" t="str">
        <f>IF($C24&lt;1,"",(AVERAGEIFS('09월 화학성분'!J$12:J$950,'09월 화학성분'!$B$12:$B$950,$A21,'09월 화학성분'!$D$12:$D$950,$B24)))</f>
        <v/>
      </c>
      <c r="N24" s="1075" t="str">
        <f>IF($C24&lt;1,"",(AVERAGEIFS('09월 화학성분'!K$12:K$950,'09월 화학성분'!$B$12:$B$950,$A21,'09월 화학성분'!$D$12:$D$950,$B24)))</f>
        <v/>
      </c>
      <c r="O24" s="1075" t="str">
        <f>IF($C24&lt;1,"",(AVERAGEIFS('09월 화학성분'!L$12:L$950,'09월 화학성분'!$B$12:$B$950,$A21,'09월 화학성분'!$D$12:$D$950,$B24)))</f>
        <v/>
      </c>
      <c r="P24" s="1075" t="str">
        <f>IF($C24&lt;1,"",(AVERAGEIFS('09월 화학성분'!M$12:M$950,'09월 화학성분'!$B$12:$B$950,$A21,'09월 화학성분'!$D$12:$D$950,$B24)))</f>
        <v/>
      </c>
      <c r="Q24" s="1075" t="str">
        <f>IF($C24&lt;1,"",(AVERAGEIFS('09월 조업일지'!$AK$12:$AK$954,'09월 조업일지'!$B$12:$B$954,$A21,'09월 조업일지'!$E$12:$E$954,$B24)))</f>
        <v/>
      </c>
      <c r="R24" s="1075" t="str">
        <f>IF($C24&lt;1,"",(AVERAGEIFS('09월 화학성분'!$G$12:$G$950,'09월 화학성분'!$B$12:$B$950,$A21,'09월 화학성분'!$D$12:$D$950,$B24)))</f>
        <v/>
      </c>
      <c r="S24" s="1076" t="str">
        <f>IF($C24&lt;1,"",(AVERAGEIFS('09월 조업일지'!$AI$12:$AI$954,'09월 조업일지'!$B$12:$B$954,$A21,'09월 조업일지'!$E$12:$E$954,$B24)))</f>
        <v/>
      </c>
      <c r="T24" s="1077" t="str">
        <f>IF($C24&lt;1,"",(AVERAGEIFS('09월 화학성분'!$AM$12:$AM$949,'09월 화학성분'!$B$12:$B$949,$A21,'09월 화학성분'!$D$12:$D$949,$B24)))</f>
        <v/>
      </c>
      <c r="U24" s="1078" t="str">
        <f>IF($C24&lt;1,"",(AVERAGEIFS('09월 고철장입'!$AJ$14:$AJ$949,'09월 고철장입'!$B$14:$B$949,$A21,'09월 고철장입'!$C$14:$C$949,$B24))/1000)</f>
        <v/>
      </c>
      <c r="V24" s="1103" t="str">
        <f>IF($C24&lt;1,"",(AVERAGEIFS('09월 고철장입'!$AK$14:$AK$949,'09월 고철장입'!$B$14:$B$949,$A21,'09월 고철장입'!$C$14:$C$949,$B24)))</f>
        <v/>
      </c>
      <c r="W24" s="1079" t="str">
        <f t="shared" si="2"/>
        <v/>
      </c>
      <c r="X24" s="1080" t="str">
        <f>IF($C24&lt;1,"",(AVERAGEIFS('09월 에너지'!$O$14:$O$949,'09월 에너지'!$A$14:$A$949,$A21,'09월 에너지'!$C$14:$C$949,$B24)))</f>
        <v/>
      </c>
      <c r="Y24" s="1081" t="str">
        <f>IF($C24&lt;1,"",(AVERAGEIFS('09월 에너지'!$P$14:$P$949,'09월 에너지'!$A$14:$A$949,$A21,'09월 에너지'!$C$14:$C$949,$B24)))</f>
        <v/>
      </c>
      <c r="Z24" s="1081" t="str">
        <f>IF($C24&lt;1,"",(AVERAGEIFS('09월 에너지'!$Q$14:$Q$949,'09월 에너지'!$A$14:$A$949,$A21,'09월 에너지'!$C$14:$C$949,$B24)))</f>
        <v/>
      </c>
      <c r="AA24" s="1082" t="str">
        <f>IF($C24&lt;1,"",(AVERAGEIFS('09월 에너지'!$R$14:$R$949,'09월 에너지'!$B$14:$B$949,$A21,'09월 에너지'!$C$14:$C$949,$B24)))</f>
        <v/>
      </c>
      <c r="AB24" s="1083" t="str">
        <f>IF($C24&lt;1,"",(AVERAGEIFS('09월 에너지'!$X$14:$X$949,'09월 에너지'!$A$14:$A$949,$A21,'09월 에너지'!$C$14:$C$949,$B24)))</f>
        <v/>
      </c>
      <c r="AC24" s="1084" t="str">
        <f>IF($C24&lt;1,"",(AVERAGEIFS('09월 에너지'!$AC$14:$AC$949,'09월 에너지'!$A$14:$A$949,$A21,'09월 에너지'!$C$14:$C$949,$B24)))</f>
        <v/>
      </c>
      <c r="AD24" s="1085" t="str">
        <f>IF($C24&lt;1,"",(AVERAGEIFS('09월 에너지'!$AD$14:$AD$949,'09월 에너지'!$B$14:$B$949,$A21,'09월 에너지'!$C$14:$C$949,$B24)))</f>
        <v/>
      </c>
      <c r="AE24" s="1086" t="str">
        <f>IF($C24&lt;1,"",(AVERAGEIFS('09월 에너지'!$AE$14:$AE$949,'09월 에너지'!$B$14:$B$949,$A21,'09월 에너지'!$C$14:$C$949,$B24)))</f>
        <v/>
      </c>
      <c r="AF24" s="1087" t="str">
        <f>IF($C24&lt;1,"",(AVERAGEIFS('09월 에너지'!$AI$14:$AI$949,'09월 에너지'!$B$14:$B$949,$A21,'09월 에너지'!$C$14:$C$949,$B24)))</f>
        <v/>
      </c>
      <c r="AG24" s="1088" t="str">
        <f>IF($C24&lt;1,"",(AVERAGEIFS('09월 에너지'!$AJ$14:$AJ$949,'09월 에너지'!$B$14:$B$949,$A21,'09월 에너지'!$C$14:$C$949,$B24)))</f>
        <v/>
      </c>
    </row>
    <row r="25" spans="1:33" ht="16.5" customHeight="1" thickTop="1" thickBot="1">
      <c r="A25" s="1632">
        <f t="shared" ref="A25" si="7">A21+1</f>
        <v>46271</v>
      </c>
      <c r="B25" s="775" t="s">
        <v>128</v>
      </c>
      <c r="C25" s="776">
        <f>COUNTIFS('09월 조업일지'!$B$12:$B$952,A25,'09월 조업일지'!$E$12:$E$952,B25)</f>
        <v>9</v>
      </c>
      <c r="D25" s="1026">
        <f t="shared" si="3"/>
        <v>48.666666666666679</v>
      </c>
      <c r="E25" s="1027">
        <f>IF($C25&lt;1,"",(SUMIFS('09월 조업일지'!$K$12:$K$954,'09월 조업일지'!$B$12:$B$954,$A25,'09월 조업일지'!$E$12:$E$954,$B25)/$C25))</f>
        <v>4.7777777777777777</v>
      </c>
      <c r="F25" s="1028">
        <f>IF($C25&lt;1,"",(AVERAGEIFS('09월 조업일지'!$J$12:$J$954,'09월 조업일지'!$B$12:$B$954,$A25,'09월 조업일지'!$E$12:$E$954,$B25)))</f>
        <v>53.444444444444457</v>
      </c>
      <c r="G25" s="1029">
        <f>IF($C25&lt;1,"",(AVERAGEIFS('09월 에너지'!$M$14:$M$950,'09월 에너지'!$B$14:$B$950,$A25,'09월 에너지'!$C$14:$C$950,$B25)))</f>
        <v>46.566666666666656</v>
      </c>
      <c r="H25" s="1030">
        <f>IF($C25&lt;1,"",(AVERAGEIFS('09월 조업일지'!$AJ$12:$AJ$954,'09월 조업일지'!$B$12:$B$954,$A25,'09월 조업일지'!$E$12:$E$954,$B25)))</f>
        <v>32.888888888888886</v>
      </c>
      <c r="I25" s="1031">
        <f>IF($C25&lt;1,"",(AVERAGEIFS('09월 조업일지'!$AL$12:$AL$954,'09월 조업일지'!$B$12:$B$954,$A25,'09월 조업일지'!$E$12:$E$954,$B25)))</f>
        <v>8.8888888888888893</v>
      </c>
      <c r="J25" s="1032">
        <f>IF($C25&lt;1,"",(AVERAGEIFS('09월 화학성분'!G$12:G$950,'09월 화학성분'!$B$12:$B$950,$A25,'09월 화학성분'!$D$12:$D$950,$B25)))</f>
        <v>8.4444444444444446</v>
      </c>
      <c r="K25" s="1033">
        <f>IF($C25&lt;1,"",(AVERAGEIFS('09월 화학성분'!H$12:H$950,'09월 화학성분'!$B$12:$B$950,$A25,'09월 화학성분'!$D$12:$D$950,$B25)))</f>
        <v>20.222222222222221</v>
      </c>
      <c r="L25" s="1033">
        <f>IF($C25&lt;1,"",(AVERAGEIFS('09월 화학성분'!I$12:I$950,'09월 화학성분'!$B$12:$B$950,$A25,'09월 화학성분'!$D$12:$D$950,$B25)))</f>
        <v>53.555555555555557</v>
      </c>
      <c r="M25" s="1033">
        <f>IF($C25&lt;1,"",(AVERAGEIFS('09월 화학성분'!J$12:J$950,'09월 화학성분'!$B$12:$B$950,$A25,'09월 화학성분'!$D$12:$D$950,$B25)))</f>
        <v>18.444444444444443</v>
      </c>
      <c r="N25" s="1033">
        <f>IF($C25&lt;1,"",(AVERAGEIFS('09월 화학성분'!K$12:K$950,'09월 화학성분'!$B$12:$B$950,$A25,'09월 화학성분'!$D$12:$D$950,$B25)))</f>
        <v>32.444444444444443</v>
      </c>
      <c r="O25" s="1033">
        <f>IF($C25&lt;1,"",(AVERAGEIFS('09월 화학성분'!L$12:L$950,'09월 화학성분'!$B$12:$B$950,$A25,'09월 화학성분'!$D$12:$D$950,$B25)))</f>
        <v>15.777777777777779</v>
      </c>
      <c r="P25" s="1033">
        <f>IF($C25&lt;1,"",(AVERAGEIFS('09월 화학성분'!M$12:M$950,'09월 화학성분'!$B$12:$B$950,$A25,'09월 화학성분'!$D$12:$D$950,$B25)))</f>
        <v>8.2222222222222214</v>
      </c>
      <c r="Q25" s="1033">
        <f>IF($C25&lt;1,"",(AVERAGEIFS('09월 조업일지'!$AK$12:$AK$954,'09월 조업일지'!$B$12:$B$954,$A25,'09월 조업일지'!$E$12:$E$954,$B25)))</f>
        <v>499.22222222222223</v>
      </c>
      <c r="R25" s="1033">
        <f>IF($C25&lt;1,"",(AVERAGEIFS('09월 화학성분'!$G$12:$G$950,'09월 화학성분'!$B$12:$B$950,$A25,'09월 화학성분'!$D$12:$D$950,$B25)))</f>
        <v>8.4444444444444446</v>
      </c>
      <c r="S25" s="1034">
        <f>IF($C25&lt;1,"",(AVERAGEIFS('09월 조업일지'!$AI$12:$AI$954,'09월 조업일지'!$B$12:$B$954,$A25,'09월 조업일지'!$E$12:$E$954,$B25)))</f>
        <v>1579.8888888888889</v>
      </c>
      <c r="T25" s="1035">
        <f>IF($C25&lt;1,"",(AVERAGEIFS('09월 화학성분'!$AM$12:$AM$949,'09월 화학성분'!$B$12:$B$949,$A25,'09월 화학성분'!$D$12:$D$949,$B25)))</f>
        <v>1751.1111111111111</v>
      </c>
      <c r="U25" s="1036">
        <f>IF($C25&lt;1,"",(AVERAGEIFS('09월 고철장입'!$AJ$14:$AJ$949,'09월 고철장입'!$B$14:$B$949,$A25,'09월 고철장입'!$C$14:$C$949,$B25))/1000)</f>
        <v>159.1</v>
      </c>
      <c r="V25" s="1101">
        <f>IF($C25&lt;1,"",(AVERAGEIFS('09월 고철장입'!$AK$14:$AK$949,'09월 고철장입'!$B$14:$B$949,$A25,'09월 고철장입'!$C$14:$C$949,$B25)))</f>
        <v>143.16666666666669</v>
      </c>
      <c r="W25" s="1037">
        <f t="shared" si="2"/>
        <v>89.9853341713807</v>
      </c>
      <c r="X25" s="1038">
        <f>IF($C25&lt;1,"",(AVERAGEIFS('09월 에너지'!$O$14:$O$949,'09월 에너지'!$A$14:$A$949,$A25,'09월 에너지'!$C$14:$C$949,$B25)))</f>
        <v>165.99205173168318</v>
      </c>
      <c r="Y25" s="1039">
        <f>IF($C25&lt;1,"",(AVERAGEIFS('09월 에너지'!$P$14:$P$949,'09월 에너지'!$A$14:$A$949,$A25,'09월 에너지'!$C$14:$C$949,$B25)))</f>
        <v>145.51746601637174</v>
      </c>
      <c r="Z25" s="1039">
        <f>IF($C25&lt;1,"",(AVERAGEIFS('09월 에너지'!$Q$14:$Q$949,'09월 에너지'!$A$14:$A$949,$A25,'09월 에너지'!$C$14:$C$949,$B25)))</f>
        <v>89.48668561098944</v>
      </c>
      <c r="AA25" s="1040">
        <f>IF($C25&lt;1,"",(AVERAGEIFS('09월 에너지'!$R$14:$R$949,'09월 에너지'!$B$14:$B$949,$A25,'09월 에너지'!$C$14:$C$949,$B25)))</f>
        <v>402.50908962783137</v>
      </c>
      <c r="AB25" s="1041">
        <f>IF($C25&lt;1,"",(AVERAGEIFS('09월 에너지'!$X$14:$X$949,'09월 에너지'!$A$14:$A$949,$A25,'09월 에너지'!$C$14:$C$949,$B25)))</f>
        <v>2.4871795317060128</v>
      </c>
      <c r="AC25" s="1042">
        <f>IF($C25&lt;1,"",(AVERAGEIFS('09월 에너지'!$AC$14:$AC$949,'09월 에너지'!$A$14:$A$949,$A25,'09월 에너지'!$C$14:$C$949,$B25)))</f>
        <v>26.638230944620059</v>
      </c>
      <c r="AD25" s="1043">
        <f>IF($C25&lt;1,"",(AVERAGEIFS('09월 에너지'!$AD$14:$AD$949,'09월 에너지'!$B$14:$B$949,$A25,'09월 에너지'!$C$14:$C$949,$B25)))</f>
        <v>4195.5555555555557</v>
      </c>
      <c r="AE25" s="1044">
        <f>IF($C25&lt;1,"",(AVERAGEIFS('09월 에너지'!$AE$14:$AE$949,'09월 에너지'!$B$14:$B$949,$A25,'09월 에너지'!$C$14:$C$949,$B25)))</f>
        <v>29.361004708698122</v>
      </c>
      <c r="AF25" s="1045">
        <f>IF($C25&lt;1,"",(AVERAGEIFS('09월 에너지'!$AI$14:$AI$949,'09월 에너지'!$B$14:$B$949,$A25,'09월 에너지'!$C$14:$C$949,$B25)))</f>
        <v>148.88888888888889</v>
      </c>
      <c r="AG25" s="1046">
        <f>IF($C25&lt;1,"",(AVERAGEIFS('09월 에너지'!$AJ$14:$AJ$949,'09월 에너지'!$B$14:$B$949,$A25,'09월 에너지'!$C$14:$C$949,$B25)))</f>
        <v>1.0407914970509378</v>
      </c>
    </row>
    <row r="26" spans="1:33" ht="16.5" customHeight="1" thickTop="1" thickBot="1">
      <c r="A26" s="1632"/>
      <c r="B26" s="781" t="s">
        <v>100</v>
      </c>
      <c r="C26" s="782">
        <f>COUNTIFS('09월 조업일지'!$B$12:$B$952,A25,'09월 조업일지'!$E$12:$E$952,B26)</f>
        <v>10</v>
      </c>
      <c r="D26" s="1047">
        <f t="shared" si="3"/>
        <v>46.500000000000007</v>
      </c>
      <c r="E26" s="1048">
        <f>IF($C26&lt;1,"",(SUMIFS('09월 조업일지'!$K$12:$K$954,'09월 조업일지'!$B$12:$B$954,$A25,'09월 조업일지'!$E$12:$E$954,$B26)/$C26))</f>
        <v>0</v>
      </c>
      <c r="F26" s="1049">
        <f>IF($C26&lt;1,"",(AVERAGEIFS('09월 조업일지'!$J$12:$J$954,'09월 조업일지'!$B$12:$B$954,$A25,'09월 조업일지'!$E$12:$E$954,$B26)))</f>
        <v>46.500000000000007</v>
      </c>
      <c r="G26" s="1050">
        <f>IF($C26&lt;1,"",(AVERAGEIFS('09월 에너지'!$M$14:$M$950,'09월 에너지'!$B$14:$B$950,$A25,'09월 에너지'!$C$14:$C$950,$B26)))</f>
        <v>44.88</v>
      </c>
      <c r="H26" s="1051">
        <f>IF($C26&lt;1,"",(AVERAGEIFS('09월 조업일지'!$AJ$12:$AJ$954,'09월 조업일지'!$B$12:$B$954,$A25,'09월 조업일지'!$E$12:$E$954,$B26)))</f>
        <v>36.4</v>
      </c>
      <c r="I26" s="1052">
        <f>IF($C26&lt;1,"",(AVERAGEIFS('09월 조업일지'!$AL$12:$AL$954,'09월 조업일지'!$B$12:$B$954,$A25,'09월 조업일지'!$E$12:$E$954,$B26)))</f>
        <v>7.4</v>
      </c>
      <c r="J26" s="1053">
        <f>IF($C26&lt;1,"",(AVERAGEIFS('09월 화학성분'!G$12:G$950,'09월 화학성분'!$B$12:$B$950,$A25,'09월 화학성분'!$D$12:$D$950,$B26)))</f>
        <v>10.1</v>
      </c>
      <c r="K26" s="1054">
        <f>IF($C26&lt;1,"",(AVERAGEIFS('09월 화학성분'!H$12:H$950,'09월 화학성분'!$B$12:$B$950,$A25,'09월 화학성분'!$D$12:$D$950,$B26)))</f>
        <v>23</v>
      </c>
      <c r="L26" s="1054">
        <f>IF($C26&lt;1,"",(AVERAGEIFS('09월 화학성분'!I$12:I$950,'09월 화학성분'!$B$12:$B$950,$A25,'09월 화학성분'!$D$12:$D$950,$B26)))</f>
        <v>86.9</v>
      </c>
      <c r="M26" s="1054">
        <f>IF($C26&lt;1,"",(AVERAGEIFS('09월 화학성분'!J$12:J$950,'09월 화학성분'!$B$12:$B$950,$A25,'09월 화학성분'!$D$12:$D$950,$B26)))</f>
        <v>16.8</v>
      </c>
      <c r="N26" s="1054">
        <f>IF($C26&lt;1,"",(AVERAGEIFS('09월 화학성분'!K$12:K$950,'09월 화학성분'!$B$12:$B$950,$A25,'09월 화학성분'!$D$12:$D$950,$B26)))</f>
        <v>65.400000000000006</v>
      </c>
      <c r="O26" s="1054">
        <f>IF($C26&lt;1,"",(AVERAGEIFS('09월 화학성분'!L$12:L$950,'09월 화학성분'!$B$12:$B$950,$A25,'09월 화학성분'!$D$12:$D$950,$B26)))</f>
        <v>13.9</v>
      </c>
      <c r="P26" s="1054">
        <f>IF($C26&lt;1,"",(AVERAGEIFS('09월 화학성분'!M$12:M$950,'09월 화학성분'!$B$12:$B$950,$A25,'09월 화학성분'!$D$12:$D$950,$B26)))</f>
        <v>9</v>
      </c>
      <c r="Q26" s="1054">
        <f>IF($C26&lt;1,"",(AVERAGEIFS('09월 조업일지'!$AK$12:$AK$954,'09월 조업일지'!$B$12:$B$954,$A25,'09월 조업일지'!$E$12:$E$954,$B26)))</f>
        <v>600.4</v>
      </c>
      <c r="R26" s="1054">
        <f>IF($C26&lt;1,"",(AVERAGEIFS('09월 화학성분'!$G$12:$G$950,'09월 화학성분'!$B$12:$B$950,$A25,'09월 화학성분'!$D$12:$D$950,$B26)))</f>
        <v>10.1</v>
      </c>
      <c r="S26" s="1055">
        <f>IF($C26&lt;1,"",(AVERAGEIFS('09월 조업일지'!$AI$12:$AI$954,'09월 조업일지'!$B$12:$B$954,$A25,'09월 조업일지'!$E$12:$E$954,$B26)))</f>
        <v>1574.5</v>
      </c>
      <c r="T26" s="1056">
        <f>IF($C26&lt;1,"",(AVERAGEIFS('09월 화학성분'!$AM$12:$AM$949,'09월 화학성분'!$B$12:$B$949,$A25,'09월 화학성분'!$D$12:$D$949,$B26)))</f>
        <v>1338.3</v>
      </c>
      <c r="U26" s="1057">
        <f>IF($C26&lt;1,"",(AVERAGEIFS('09월 고철장입'!$AJ$14:$AJ$949,'09월 고철장입'!$B$14:$B$949,$A25,'09월 고철장입'!$C$14:$C$949,$B26))/1000)</f>
        <v>158.59</v>
      </c>
      <c r="V26" s="1102">
        <f>IF($C26&lt;1,"",(AVERAGEIFS('09월 고철장입'!$AK$14:$AK$949,'09월 고철장입'!$B$14:$B$949,$A25,'09월 고철장입'!$C$14:$C$949,$B26)))</f>
        <v>143.61999999999998</v>
      </c>
      <c r="W26" s="1058">
        <f t="shared" si="2"/>
        <v>90.560564978876329</v>
      </c>
      <c r="X26" s="1059">
        <f>IF($C26&lt;1,"",(AVERAGEIFS('09월 에너지'!$O$14:$O$949,'09월 에너지'!$A$14:$A$949,$A25,'09월 에너지'!$C$14:$C$949,$B26)))</f>
        <v>165.09414515027515</v>
      </c>
      <c r="Y26" s="1060">
        <f>IF($C26&lt;1,"",(AVERAGEIFS('09월 에너지'!$P$14:$P$949,'09월 에너지'!$A$14:$A$949,$A25,'09월 에너지'!$C$14:$C$949,$B26)))</f>
        <v>146.64766869414649</v>
      </c>
      <c r="Z26" s="1060">
        <f>IF($C26&lt;1,"",(AVERAGEIFS('09월 에너지'!$Q$14:$Q$949,'09월 에너지'!$A$14:$A$949,$A25,'09월 에너지'!$C$14:$C$949,$B26)))</f>
        <v>74.780261063428171</v>
      </c>
      <c r="AA26" s="1061">
        <f>IF($C26&lt;1,"",(AVERAGEIFS('09월 에너지'!$R$14:$R$949,'09월 에너지'!$B$14:$B$949,$A25,'09월 에너지'!$C$14:$C$949,$B26)))</f>
        <v>386.52207490784986</v>
      </c>
      <c r="AB26" s="1062">
        <f>IF($C26&lt;1,"",(AVERAGEIFS('09월 에너지'!$X$14:$X$949,'09월 에너지'!$A$14:$A$949,$A25,'09월 에너지'!$C$14:$C$949,$B26)))</f>
        <v>2.3203014103272226</v>
      </c>
      <c r="AC26" s="1063">
        <f>IF($C26&lt;1,"",(AVERAGEIFS('09월 에너지'!$AC$14:$AC$949,'09월 에너지'!$A$14:$A$949,$A25,'09월 에너지'!$C$14:$C$949,$B26)))</f>
        <v>25.912406111978378</v>
      </c>
      <c r="AD26" s="1064">
        <f>IF($C26&lt;1,"",(AVERAGEIFS('09월 에너지'!$AD$14:$AD$949,'09월 에너지'!$B$14:$B$949,$A25,'09월 에너지'!$C$14:$C$949,$B26)))</f>
        <v>4054.6</v>
      </c>
      <c r="AE26" s="1065">
        <f>IF($C26&lt;1,"",(AVERAGEIFS('09월 에너지'!$AE$14:$AE$949,'09월 에너지'!$B$14:$B$949,$A25,'09월 에너지'!$C$14:$C$949,$B26)))</f>
        <v>28.232707522305599</v>
      </c>
      <c r="AF26" s="1066">
        <f>IF($C26&lt;1,"",(AVERAGEIFS('09월 에너지'!$AI$14:$AI$949,'09월 에너지'!$B$14:$B$949,$A25,'09월 에너지'!$C$14:$C$949,$B26)))</f>
        <v>149.5</v>
      </c>
      <c r="AG26" s="1067">
        <f>IF($C26&lt;1,"",(AVERAGEIFS('09월 에너지'!$AJ$14:$AJ$949,'09월 에너지'!$B$14:$B$949,$A25,'09월 에너지'!$C$14:$C$949,$B26)))</f>
        <v>1.0409422668227275</v>
      </c>
    </row>
    <row r="27" spans="1:33" ht="16.5" customHeight="1" thickTop="1" thickBot="1">
      <c r="A27" s="1632"/>
      <c r="B27" s="781" t="s">
        <v>93</v>
      </c>
      <c r="C27" s="782">
        <f>COUNTIFS('09월 조업일지'!$B$12:$B$952,A25,'09월 조업일지'!$E$12:$E$952,B27)</f>
        <v>0</v>
      </c>
      <c r="D27" s="1047" t="str">
        <f t="shared" si="3"/>
        <v/>
      </c>
      <c r="E27" s="1048" t="str">
        <f>IF($C27&lt;1,"",(SUMIFS('09월 조업일지'!$K$12:$K$954,'09월 조업일지'!$B$12:$B$954,$A25,'09월 조업일지'!$E$12:$E$954,$B27)/$C27))</f>
        <v/>
      </c>
      <c r="F27" s="1049" t="str">
        <f>IF($C27&lt;1,"",(AVERAGEIFS('09월 조업일지'!$J$12:$J$954,'09월 조업일지'!$B$12:$B$954,$A25,'09월 조업일지'!$E$12:$E$954,$B27)))</f>
        <v/>
      </c>
      <c r="G27" s="1050" t="str">
        <f>IF($C27&lt;1,"",(AVERAGEIFS('09월 에너지'!$M$14:$M$950,'09월 에너지'!$B$14:$B$950,$A25,'09월 에너지'!$C$14:$C$950,$B27)))</f>
        <v/>
      </c>
      <c r="H27" s="1051" t="str">
        <f>IF($C27&lt;1,"",(AVERAGEIFS('09월 조업일지'!$AJ$12:$AJ$954,'09월 조업일지'!$B$12:$B$954,$A25,'09월 조업일지'!$E$12:$E$954,$B27)))</f>
        <v/>
      </c>
      <c r="I27" s="1052" t="str">
        <f>IF($C27&lt;1,"",(AVERAGEIFS('09월 조업일지'!$AL$12:$AL$954,'09월 조업일지'!$B$12:$B$954,$A25,'09월 조업일지'!$E$12:$E$954,$B27)))</f>
        <v/>
      </c>
      <c r="J27" s="1053" t="str">
        <f>IF($C27&lt;1,"",(AVERAGEIFS('09월 화학성분'!G$12:G$950,'09월 화학성분'!$B$12:$B$950,$A25,'09월 화학성분'!$D$12:$D$950,$B27)))</f>
        <v/>
      </c>
      <c r="K27" s="1054" t="str">
        <f>IF($C27&lt;1,"",(AVERAGEIFS('09월 화학성분'!H$12:H$950,'09월 화학성분'!$B$12:$B$950,$A25,'09월 화학성분'!$D$12:$D$950,$B27)))</f>
        <v/>
      </c>
      <c r="L27" s="1054" t="str">
        <f>IF($C27&lt;1,"",(AVERAGEIFS('09월 화학성분'!I$12:I$950,'09월 화학성분'!$B$12:$B$950,$A25,'09월 화학성분'!$D$12:$D$950,$B27)))</f>
        <v/>
      </c>
      <c r="M27" s="1054" t="str">
        <f>IF($C27&lt;1,"",(AVERAGEIFS('09월 화학성분'!J$12:J$950,'09월 화학성분'!$B$12:$B$950,$A25,'09월 화학성분'!$D$12:$D$950,$B27)))</f>
        <v/>
      </c>
      <c r="N27" s="1054" t="str">
        <f>IF($C27&lt;1,"",(AVERAGEIFS('09월 화학성분'!K$12:K$950,'09월 화학성분'!$B$12:$B$950,$A25,'09월 화학성분'!$D$12:$D$950,$B27)))</f>
        <v/>
      </c>
      <c r="O27" s="1054" t="str">
        <f>IF($C27&lt;1,"",(AVERAGEIFS('09월 화학성분'!L$12:L$950,'09월 화학성분'!$B$12:$B$950,$A25,'09월 화학성분'!$D$12:$D$950,$B27)))</f>
        <v/>
      </c>
      <c r="P27" s="1054" t="str">
        <f>IF($C27&lt;1,"",(AVERAGEIFS('09월 화학성분'!M$12:M$950,'09월 화학성분'!$B$12:$B$950,$A25,'09월 화학성분'!$D$12:$D$950,$B27)))</f>
        <v/>
      </c>
      <c r="Q27" s="1054" t="str">
        <f>IF($C27&lt;1,"",(AVERAGEIFS('09월 조업일지'!$AK$12:$AK$954,'09월 조업일지'!$B$12:$B$954,$A25,'09월 조업일지'!$E$12:$E$954,$B27)))</f>
        <v/>
      </c>
      <c r="R27" s="1054" t="str">
        <f>IF($C27&lt;1,"",(AVERAGEIFS('09월 화학성분'!$G$12:$G$950,'09월 화학성분'!$B$12:$B$950,$A25,'09월 화학성분'!$D$12:$D$950,$B27)))</f>
        <v/>
      </c>
      <c r="S27" s="1055" t="str">
        <f>IF($C27&lt;1,"",(AVERAGEIFS('09월 조업일지'!$AI$12:$AI$954,'09월 조업일지'!$B$12:$B$954,$A25,'09월 조업일지'!$E$12:$E$954,$B27)))</f>
        <v/>
      </c>
      <c r="T27" s="1056" t="str">
        <f>IF($C27&lt;1,"",(AVERAGEIFS('09월 화학성분'!$AM$12:$AM$949,'09월 화학성분'!$B$12:$B$949,$A25,'09월 화학성분'!$D$12:$D$949,$B27)))</f>
        <v/>
      </c>
      <c r="U27" s="1057" t="str">
        <f>IF($C27&lt;1,"",(AVERAGEIFS('09월 고철장입'!$AJ$14:$AJ$949,'09월 고철장입'!$B$14:$B$949,$A25,'09월 고철장입'!$C$14:$C$949,$B27))/1000)</f>
        <v/>
      </c>
      <c r="V27" s="1102" t="str">
        <f>IF($C27&lt;1,"",(AVERAGEIFS('09월 고철장입'!$AK$14:$AK$949,'09월 고철장입'!$B$14:$B$949,$A25,'09월 고철장입'!$C$14:$C$949,$B27)))</f>
        <v/>
      </c>
      <c r="W27" s="1058" t="str">
        <f t="shared" si="2"/>
        <v/>
      </c>
      <c r="X27" s="1059" t="str">
        <f>IF($C27&lt;1,"",(AVERAGEIFS('09월 에너지'!$O$14:$O$949,'09월 에너지'!$A$14:$A$949,$A25,'09월 에너지'!$C$14:$C$949,$B27)))</f>
        <v/>
      </c>
      <c r="Y27" s="1060" t="str">
        <f>IF($C27&lt;1,"",(AVERAGEIFS('09월 에너지'!$P$14:$P$949,'09월 에너지'!$A$14:$A$949,$A25,'09월 에너지'!$C$14:$C$949,$B27)))</f>
        <v/>
      </c>
      <c r="Z27" s="1060" t="str">
        <f>IF($C27&lt;1,"",(AVERAGEIFS('09월 에너지'!$Q$14:$Q$949,'09월 에너지'!$A$14:$A$949,$A25,'09월 에너지'!$C$14:$C$949,$B27)))</f>
        <v/>
      </c>
      <c r="AA27" s="1061" t="str">
        <f>IF($C27&lt;1,"",(AVERAGEIFS('09월 에너지'!$R$14:$R$949,'09월 에너지'!$B$14:$B$949,$A25,'09월 에너지'!$C$14:$C$949,$B27)))</f>
        <v/>
      </c>
      <c r="AB27" s="1062" t="str">
        <f>IF($C27&lt;1,"",(AVERAGEIFS('09월 에너지'!$X$14:$X$949,'09월 에너지'!$A$14:$A$949,$A25,'09월 에너지'!$C$14:$C$949,$B27)))</f>
        <v/>
      </c>
      <c r="AC27" s="1063" t="str">
        <f>IF($C27&lt;1,"",(AVERAGEIFS('09월 에너지'!$AC$14:$AC$949,'09월 에너지'!$A$14:$A$949,$A25,'09월 에너지'!$C$14:$C$949,$B27)))</f>
        <v/>
      </c>
      <c r="AD27" s="1064" t="str">
        <f>IF($C27&lt;1,"",(AVERAGEIFS('09월 에너지'!$AD$14:$AD$949,'09월 에너지'!$B$14:$B$949,$A25,'09월 에너지'!$C$14:$C$949,$B27)))</f>
        <v/>
      </c>
      <c r="AE27" s="1065" t="str">
        <f>IF($C27&lt;1,"",(AVERAGEIFS('09월 에너지'!$AE$14:$AE$949,'09월 에너지'!$B$14:$B$949,$A25,'09월 에너지'!$C$14:$C$949,$B27)))</f>
        <v/>
      </c>
      <c r="AF27" s="1066" t="str">
        <f>IF($C27&lt;1,"",(AVERAGEIFS('09월 에너지'!$AI$14:$AI$949,'09월 에너지'!$B$14:$B$949,$A25,'09월 에너지'!$C$14:$C$949,$B27)))</f>
        <v/>
      </c>
      <c r="AG27" s="1067" t="str">
        <f>IF($C27&lt;1,"",(AVERAGEIFS('09월 에너지'!$AJ$14:$AJ$949,'09월 에너지'!$B$14:$B$949,$A25,'09월 에너지'!$C$14:$C$949,$B27)))</f>
        <v/>
      </c>
    </row>
    <row r="28" spans="1:33" ht="16.5" customHeight="1" thickTop="1" thickBot="1">
      <c r="A28" s="1632"/>
      <c r="B28" s="783" t="s">
        <v>94</v>
      </c>
      <c r="C28" s="784">
        <f>COUNTIFS('09월 조업일지'!$B$12:$B$952,A25,'09월 조업일지'!$E$12:$E$952,B28)</f>
        <v>10</v>
      </c>
      <c r="D28" s="1068">
        <f t="shared" si="3"/>
        <v>46.399999999999991</v>
      </c>
      <c r="E28" s="1069">
        <f>IF($C28&lt;1,"",(SUMIFS('09월 조업일지'!$K$12:$K$954,'09월 조업일지'!$B$12:$B$954,$A25,'09월 조업일지'!$E$12:$E$954,$B28)/$C28))</f>
        <v>0.2</v>
      </c>
      <c r="F28" s="1070">
        <f>IF($C28&lt;1,"",(AVERAGEIFS('09월 조업일지'!$J$12:$J$954,'09월 조업일지'!$B$12:$B$954,$A25,'09월 조업일지'!$E$12:$E$954,$B28)))</f>
        <v>46.599999999999994</v>
      </c>
      <c r="G28" s="1071">
        <f>IF($C28&lt;1,"",(AVERAGEIFS('09월 에너지'!$M$14:$M$950,'09월 에너지'!$B$14:$B$950,$A25,'09월 에너지'!$C$14:$C$950,$B28)))</f>
        <v>44.780000000000008</v>
      </c>
      <c r="H28" s="1072">
        <f>IF($C28&lt;1,"",(AVERAGEIFS('09월 조업일지'!$AJ$12:$AJ$954,'09월 조업일지'!$B$12:$B$954,$A25,'09월 조업일지'!$E$12:$E$954,$B28)))</f>
        <v>24.1</v>
      </c>
      <c r="I28" s="1073">
        <f>IF($C28&lt;1,"",(AVERAGEIFS('09월 조업일지'!$AL$12:$AL$954,'09월 조업일지'!$B$12:$B$954,$A25,'09월 조업일지'!$E$12:$E$954,$B28)))</f>
        <v>5.8888888888888893</v>
      </c>
      <c r="J28" s="1074">
        <f>IF($C28&lt;1,"",(AVERAGEIFS('09월 화학성분'!G$12:G$950,'09월 화학성분'!$B$12:$B$950,$A25,'09월 화학성분'!$D$12:$D$950,$B28)))</f>
        <v>10.6</v>
      </c>
      <c r="K28" s="1075">
        <f>IF($C28&lt;1,"",(AVERAGEIFS('09월 화학성분'!H$12:H$950,'09월 화학성분'!$B$12:$B$950,$A25,'09월 화학성분'!$D$12:$D$950,$B28)))</f>
        <v>24.8</v>
      </c>
      <c r="L28" s="1075">
        <f>IF($C28&lt;1,"",(AVERAGEIFS('09월 화학성분'!I$12:I$950,'09월 화학성분'!$B$12:$B$950,$A25,'09월 화학성분'!$D$12:$D$950,$B28)))</f>
        <v>108.5</v>
      </c>
      <c r="M28" s="1075">
        <f>IF($C28&lt;1,"",(AVERAGEIFS('09월 화학성분'!J$12:J$950,'09월 화학성분'!$B$12:$B$950,$A25,'09월 화학성분'!$D$12:$D$950,$B28)))</f>
        <v>15.9</v>
      </c>
      <c r="N28" s="1075">
        <f>IF($C28&lt;1,"",(AVERAGEIFS('09월 화학성분'!K$12:K$950,'09월 화학성분'!$B$12:$B$950,$A25,'09월 화학성분'!$D$12:$D$950,$B28)))</f>
        <v>26.6</v>
      </c>
      <c r="O28" s="1075">
        <f>IF($C28&lt;1,"",(AVERAGEIFS('09월 화학성분'!L$12:L$950,'09월 화학성분'!$B$12:$B$950,$A25,'09월 화학성분'!$D$12:$D$950,$B28)))</f>
        <v>14.3</v>
      </c>
      <c r="P28" s="1075">
        <f>IF($C28&lt;1,"",(AVERAGEIFS('09월 화학성분'!M$12:M$950,'09월 화학성분'!$B$12:$B$950,$A25,'09월 화학성분'!$D$12:$D$950,$B28)))</f>
        <v>8.5</v>
      </c>
      <c r="Q28" s="1075">
        <f>IF($C28&lt;1,"",(AVERAGEIFS('09월 조업일지'!$AK$12:$AK$954,'09월 조업일지'!$B$12:$B$954,$A25,'09월 조업일지'!$E$12:$E$954,$B28)))</f>
        <v>672.77777777777783</v>
      </c>
      <c r="R28" s="1075">
        <f>IF($C28&lt;1,"",(AVERAGEIFS('09월 화학성분'!$G$12:$G$950,'09월 화학성분'!$B$12:$B$950,$A25,'09월 화학성분'!$D$12:$D$950,$B28)))</f>
        <v>10.6</v>
      </c>
      <c r="S28" s="1076">
        <f>IF($C28&lt;1,"",(AVERAGEIFS('09월 조업일지'!$AI$12:$AI$954,'09월 조업일지'!$B$12:$B$954,$A25,'09월 조업일지'!$E$12:$E$954,$B28)))</f>
        <v>1572.3</v>
      </c>
      <c r="T28" s="1077">
        <f>IF($C28&lt;1,"",(AVERAGEIFS('09월 화학성분'!$AM$12:$AM$949,'09월 화학성분'!$B$12:$B$949,$A25,'09월 화학성분'!$D$12:$D$949,$B28)))</f>
        <v>1403</v>
      </c>
      <c r="U28" s="1078">
        <f>IF($C28&lt;1,"",(AVERAGEIFS('09월 고철장입'!$AJ$14:$AJ$949,'09월 고철장입'!$B$14:$B$949,$A25,'09월 고철장입'!$C$14:$C$949,$B28))/1000)</f>
        <v>158.5</v>
      </c>
      <c r="V28" s="1103">
        <f>IF($C28&lt;1,"",(AVERAGEIFS('09월 고철장입'!$AK$14:$AK$949,'09월 고철장입'!$B$14:$B$949,$A25,'09월 고철장입'!$C$14:$C$949,$B28)))</f>
        <v>144.07</v>
      </c>
      <c r="W28" s="1079">
        <f t="shared" si="2"/>
        <v>90.895899053627758</v>
      </c>
      <c r="X28" s="1080">
        <f>IF($C28&lt;1,"",(AVERAGEIFS('09월 에너지'!$O$14:$O$949,'09월 에너지'!$A$14:$A$949,$A25,'09월 에너지'!$C$14:$C$949,$B28)))</f>
        <v>159.31632573236817</v>
      </c>
      <c r="Y28" s="1081">
        <f>IF($C28&lt;1,"",(AVERAGEIFS('09월 에너지'!$P$14:$P$949,'09월 에너지'!$A$14:$A$949,$A25,'09월 에너지'!$C$14:$C$949,$B28)))</f>
        <v>145.84439339296128</v>
      </c>
      <c r="Z28" s="1081">
        <f>IF($C28&lt;1,"",(AVERAGEIFS('09월 에너지'!$Q$14:$Q$949,'09월 에너지'!$A$14:$A$949,$A25,'09월 에너지'!$C$14:$C$949,$B28)))</f>
        <v>78.617671563984089</v>
      </c>
      <c r="AA28" s="1082">
        <f>IF($C28&lt;1,"",(AVERAGEIFS('09월 에너지'!$R$14:$R$949,'09월 에너지'!$B$14:$B$949,$A25,'09월 에너지'!$C$14:$C$949,$B28)))</f>
        <v>383.77839068931354</v>
      </c>
      <c r="AB28" s="1083">
        <f>IF($C28&lt;1,"",(AVERAGEIFS('09월 에너지'!$X$14:$X$949,'09월 에너지'!$A$14:$A$949,$A25,'09월 에너지'!$C$14:$C$949,$B28)))</f>
        <v>2.3541792579140419</v>
      </c>
      <c r="AC28" s="1084">
        <f>IF($C28&lt;1,"",(AVERAGEIFS('09월 에너지'!$AC$14:$AC$949,'09월 에너지'!$A$14:$A$949,$A25,'09월 에너지'!$C$14:$C$949,$B28)))</f>
        <v>25.017953874957652</v>
      </c>
      <c r="AD28" s="1085">
        <f>IF($C28&lt;1,"",(AVERAGEIFS('09월 에너지'!$AD$14:$AD$949,'09월 에너지'!$B$14:$B$949,$A25,'09월 에너지'!$C$14:$C$949,$B28)))</f>
        <v>3942.9</v>
      </c>
      <c r="AE28" s="1086">
        <f>IF($C28&lt;1,"",(AVERAGEIFS('09월 에너지'!$AE$14:$AE$949,'09월 에너지'!$B$14:$B$949,$A25,'09월 에너지'!$C$14:$C$949,$B28)))</f>
        <v>27.372133132871692</v>
      </c>
      <c r="AF28" s="1087">
        <f>IF($C28&lt;1,"",(AVERAGEIFS('09월 에너지'!$AI$14:$AI$949,'09월 에너지'!$B$14:$B$949,$A25,'09월 에너지'!$C$14:$C$949,$B28)))</f>
        <v>147</v>
      </c>
      <c r="AG28" s="1088">
        <f>IF($C28&lt;1,"",(AVERAGEIFS('09월 에너지'!$AJ$14:$AJ$949,'09월 에너지'!$B$14:$B$949,$A25,'09월 에너지'!$C$14:$C$949,$B28)))</f>
        <v>1.0204899207055893</v>
      </c>
    </row>
    <row r="29" spans="1:33" ht="16.5" customHeight="1" thickTop="1" thickBot="1">
      <c r="A29" s="1632">
        <f t="shared" ref="A29" si="8">A25+1</f>
        <v>46272</v>
      </c>
      <c r="B29" s="775" t="s">
        <v>128</v>
      </c>
      <c r="C29" s="776">
        <f>COUNTIFS('09월 조업일지'!$B$12:$B$952,A29,'09월 조업일지'!$E$12:$E$952,B29)</f>
        <v>10</v>
      </c>
      <c r="D29" s="1026">
        <f t="shared" si="3"/>
        <v>46.699999999999996</v>
      </c>
      <c r="E29" s="1027">
        <f>IF($C29&lt;1,"",(SUMIFS('09월 조업일지'!$K$12:$K$954,'09월 조업일지'!$B$12:$B$954,$A29,'09월 조업일지'!$E$12:$E$954,$B29)/$C29))</f>
        <v>1.2</v>
      </c>
      <c r="F29" s="1028">
        <f>IF($C29&lt;1,"",(AVERAGEIFS('09월 조업일지'!$J$12:$J$954,'09월 조업일지'!$B$12:$B$954,$A29,'09월 조업일지'!$E$12:$E$954,$B29)))</f>
        <v>47.9</v>
      </c>
      <c r="G29" s="1029">
        <f>IF($C29&lt;1,"",(AVERAGEIFS('09월 에너지'!$M$14:$M$950,'09월 에너지'!$B$14:$B$950,$A29,'09월 에너지'!$C$14:$C$950,$B29)))</f>
        <v>45.79</v>
      </c>
      <c r="H29" s="1030">
        <f>IF($C29&lt;1,"",(AVERAGEIFS('09월 조업일지'!$AJ$12:$AJ$954,'09월 조업일지'!$B$12:$B$954,$A29,'09월 조업일지'!$E$12:$E$954,$B29)))</f>
        <v>8.1</v>
      </c>
      <c r="I29" s="1031">
        <f>IF($C29&lt;1,"",(AVERAGEIFS('09월 조업일지'!$AL$12:$AL$954,'09월 조업일지'!$B$12:$B$954,$A29,'09월 조업일지'!$E$12:$E$954,$B29)))</f>
        <v>8.7777777777777786</v>
      </c>
      <c r="J29" s="1032">
        <f>IF($C29&lt;1,"",(AVERAGEIFS('09월 화학성분'!G$12:G$950,'09월 화학성분'!$B$12:$B$950,$A29,'09월 화학성분'!$D$12:$D$950,$B29)))</f>
        <v>10.9</v>
      </c>
      <c r="K29" s="1033">
        <f>IF($C29&lt;1,"",(AVERAGEIFS('09월 화학성분'!H$12:H$950,'09월 화학성분'!$B$12:$B$950,$A29,'09월 화학성분'!$D$12:$D$950,$B29)))</f>
        <v>24.3</v>
      </c>
      <c r="L29" s="1033">
        <f>IF($C29&lt;1,"",(AVERAGEIFS('09월 화학성분'!I$12:I$950,'09월 화학성분'!$B$12:$B$950,$A29,'09월 화학성분'!$D$12:$D$950,$B29)))</f>
        <v>123.4</v>
      </c>
      <c r="M29" s="1033">
        <f>IF($C29&lt;1,"",(AVERAGEIFS('09월 화학성분'!J$12:J$950,'09월 화학성분'!$B$12:$B$950,$A29,'09월 화학성분'!$D$12:$D$950,$B29)))</f>
        <v>16.7</v>
      </c>
      <c r="N29" s="1033">
        <f>IF($C29&lt;1,"",(AVERAGEIFS('09월 화학성분'!K$12:K$950,'09월 화학성분'!$B$12:$B$950,$A29,'09월 화학성분'!$D$12:$D$950,$B29)))</f>
        <v>33.4</v>
      </c>
      <c r="O29" s="1033">
        <f>IF($C29&lt;1,"",(AVERAGEIFS('09월 화학성분'!L$12:L$950,'09월 화학성분'!$B$12:$B$950,$A29,'09월 화학성분'!$D$12:$D$950,$B29)))</f>
        <v>13.3</v>
      </c>
      <c r="P29" s="1033">
        <f>IF($C29&lt;1,"",(AVERAGEIFS('09월 화학성분'!M$12:M$950,'09월 화학성분'!$B$12:$B$950,$A29,'09월 화학성분'!$D$12:$D$950,$B29)))</f>
        <v>10.5</v>
      </c>
      <c r="Q29" s="1033">
        <f>IF($C29&lt;1,"",(AVERAGEIFS('09월 조업일지'!$AK$12:$AK$954,'09월 조업일지'!$B$12:$B$954,$A29,'09월 조업일지'!$E$12:$E$954,$B29)))</f>
        <v>541.77777777777783</v>
      </c>
      <c r="R29" s="1033">
        <f>IF($C29&lt;1,"",(AVERAGEIFS('09월 화학성분'!$G$12:$G$950,'09월 화학성분'!$B$12:$B$950,$A29,'09월 화학성분'!$D$12:$D$950,$B29)))</f>
        <v>10.9</v>
      </c>
      <c r="S29" s="1034">
        <f>IF($C29&lt;1,"",(AVERAGEIFS('09월 조업일지'!$AI$12:$AI$954,'09월 조업일지'!$B$12:$B$954,$A29,'09월 조업일지'!$E$12:$E$954,$B29)))</f>
        <v>1559.2</v>
      </c>
      <c r="T29" s="1035">
        <f>IF($C29&lt;1,"",(AVERAGEIFS('09월 화학성분'!$AM$12:$AM$949,'09월 화학성분'!$B$12:$B$949,$A29,'09월 화학성분'!$D$12:$D$949,$B29)))</f>
        <v>2187</v>
      </c>
      <c r="U29" s="1036">
        <f>IF($C29&lt;1,"",(AVERAGEIFS('09월 고철장입'!$AJ$14:$AJ$949,'09월 고철장입'!$B$14:$B$949,$A29,'09월 고철장입'!$C$14:$C$949,$B29))/1000)</f>
        <v>158.41999999999999</v>
      </c>
      <c r="V29" s="1101">
        <f>IF($C29&lt;1,"",(AVERAGEIFS('09월 고철장입'!$AK$14:$AK$949,'09월 고철장입'!$B$14:$B$949,$A29,'09월 고철장입'!$C$14:$C$949,$B29)))</f>
        <v>143.44999999999999</v>
      </c>
      <c r="W29" s="1037">
        <f t="shared" si="2"/>
        <v>90.550435551066784</v>
      </c>
      <c r="X29" s="1038">
        <f>IF($C29&lt;1,"",(AVERAGEIFS('09월 에너지'!$O$14:$O$949,'09월 에너지'!$A$14:$A$949,$A29,'09월 에너지'!$C$14:$C$949,$B29)))</f>
        <v>165.23533677800515</v>
      </c>
      <c r="Y29" s="1039">
        <f>IF($C29&lt;1,"",(AVERAGEIFS('09월 에너지'!$P$14:$P$949,'09월 에너지'!$A$14:$A$949,$A29,'09월 에너지'!$C$14:$C$949,$B29)))</f>
        <v>144.20687943776753</v>
      </c>
      <c r="Z29" s="1039">
        <f>IF($C29&lt;1,"",(AVERAGEIFS('09월 에너지'!$Q$14:$Q$949,'09월 에너지'!$A$14:$A$949,$A29,'09월 에너지'!$C$14:$C$949,$B29)))</f>
        <v>87.626051616390129</v>
      </c>
      <c r="AA29" s="1040">
        <f>IF($C29&lt;1,"",(AVERAGEIFS('09월 에너지'!$R$14:$R$949,'09월 에너지'!$B$14:$B$949,$A29,'09월 에너지'!$C$14:$C$949,$B29)))</f>
        <v>397.61763478022135</v>
      </c>
      <c r="AB29" s="1041">
        <f>IF($C29&lt;1,"",(AVERAGEIFS('09월 에너지'!$X$14:$X$949,'09월 에너지'!$A$14:$A$949,$A29,'09월 에너지'!$C$14:$C$949,$B29)))</f>
        <v>2.6912518991247549</v>
      </c>
      <c r="AC29" s="1042">
        <f>IF($C29&lt;1,"",(AVERAGEIFS('09월 에너지'!$AC$14:$AC$949,'09월 에너지'!$A$14:$A$949,$A29,'09월 에너지'!$C$14:$C$949,$B29)))</f>
        <v>26.149479499119867</v>
      </c>
      <c r="AD29" s="1043">
        <f>IF($C29&lt;1,"",(AVERAGEIFS('09월 에너지'!$AD$14:$AD$949,'09월 에너지'!$B$14:$B$949,$A29,'09월 에너지'!$C$14:$C$949,$B29)))</f>
        <v>4097.1000000000004</v>
      </c>
      <c r="AE29" s="1044">
        <f>IF($C29&lt;1,"",(AVERAGEIFS('09월 에너지'!$AE$14:$AE$949,'09월 에너지'!$B$14:$B$949,$A29,'09월 에너지'!$C$14:$C$949,$B29)))</f>
        <v>28.567631966561198</v>
      </c>
      <c r="AF29" s="1045">
        <f>IF($C29&lt;1,"",(AVERAGEIFS('09월 에너지'!$AI$14:$AI$949,'09월 에너지'!$B$14:$B$949,$A29,'09월 에너지'!$C$14:$C$949,$B29)))</f>
        <v>146</v>
      </c>
      <c r="AG29" s="1046">
        <f>IF($C29&lt;1,"",(AVERAGEIFS('09월 에너지'!$AJ$14:$AJ$949,'09월 에너지'!$B$14:$B$949,$A29,'09월 에너지'!$C$14:$C$949,$B29)))</f>
        <v>1.017927681244533</v>
      </c>
    </row>
    <row r="30" spans="1:33" ht="16.5" customHeight="1" thickTop="1" thickBot="1">
      <c r="A30" s="1632"/>
      <c r="B30" s="781" t="s">
        <v>100</v>
      </c>
      <c r="C30" s="782">
        <f>COUNTIFS('09월 조업일지'!$B$12:$B$952,A29,'09월 조업일지'!$E$12:$E$952,B30)</f>
        <v>10</v>
      </c>
      <c r="D30" s="1047">
        <f t="shared" si="3"/>
        <v>48.100000000000009</v>
      </c>
      <c r="E30" s="1048">
        <f>IF($C30&lt;1,"",(SUMIFS('09월 조업일지'!$K$12:$K$954,'09월 조업일지'!$B$12:$B$954,$A29,'09월 조업일지'!$E$12:$E$954,$B30)/$C30))</f>
        <v>0</v>
      </c>
      <c r="F30" s="1049">
        <f>IF($C30&lt;1,"",(AVERAGEIFS('09월 조업일지'!$J$12:$J$954,'09월 조업일지'!$B$12:$B$954,$A29,'09월 조업일지'!$E$12:$E$954,$B30)))</f>
        <v>48.100000000000009</v>
      </c>
      <c r="G30" s="1050">
        <f>IF($C30&lt;1,"",(AVERAGEIFS('09월 에너지'!$M$14:$M$950,'09월 에너지'!$B$14:$B$950,$A29,'09월 에너지'!$C$14:$C$950,$B30)))</f>
        <v>46.47</v>
      </c>
      <c r="H30" s="1051">
        <f>IF($C30&lt;1,"",(AVERAGEIFS('09월 조업일지'!$AJ$12:$AJ$954,'09월 조업일지'!$B$12:$B$954,$A29,'09월 조업일지'!$E$12:$E$954,$B30)))</f>
        <v>18.100000000000001</v>
      </c>
      <c r="I30" s="1052">
        <f>IF($C30&lt;1,"",(AVERAGEIFS('09월 조업일지'!$AL$12:$AL$954,'09월 조업일지'!$B$12:$B$954,$A29,'09월 조업일지'!$E$12:$E$954,$B30)))</f>
        <v>7.8</v>
      </c>
      <c r="J30" s="1053">
        <f>IF($C30&lt;1,"",(AVERAGEIFS('09월 화학성분'!G$12:G$950,'09월 화학성분'!$B$12:$B$950,$A29,'09월 화학성분'!$D$12:$D$950,$B30)))</f>
        <v>10.4</v>
      </c>
      <c r="K30" s="1054">
        <f>IF($C30&lt;1,"",(AVERAGEIFS('09월 화학성분'!H$12:H$950,'09월 화학성분'!$B$12:$B$950,$A29,'09월 화학성분'!$D$12:$D$950,$B30)))</f>
        <v>19.100000000000001</v>
      </c>
      <c r="L30" s="1054">
        <f>IF($C30&lt;1,"",(AVERAGEIFS('09월 화학성분'!I$12:I$950,'09월 화학성분'!$B$12:$B$950,$A29,'09월 화학성분'!$D$12:$D$950,$B30)))</f>
        <v>107.1</v>
      </c>
      <c r="M30" s="1054">
        <f>IF($C30&lt;1,"",(AVERAGEIFS('09월 화학성분'!J$12:J$950,'09월 화학성분'!$B$12:$B$950,$A29,'09월 화학성분'!$D$12:$D$950,$B30)))</f>
        <v>17.5</v>
      </c>
      <c r="N30" s="1054">
        <f>IF($C30&lt;1,"",(AVERAGEIFS('09월 화학성분'!K$12:K$950,'09월 화학성분'!$B$12:$B$950,$A29,'09월 화학성분'!$D$12:$D$950,$B30)))</f>
        <v>27.3</v>
      </c>
      <c r="O30" s="1054">
        <f>IF($C30&lt;1,"",(AVERAGEIFS('09월 화학성분'!L$12:L$950,'09월 화학성분'!$B$12:$B$950,$A29,'09월 화학성분'!$D$12:$D$950,$B30)))</f>
        <v>14.7</v>
      </c>
      <c r="P30" s="1054">
        <f>IF($C30&lt;1,"",(AVERAGEIFS('09월 화학성분'!M$12:M$950,'09월 화학성분'!$B$12:$B$950,$A29,'09월 화학성분'!$D$12:$D$950,$B30)))</f>
        <v>8.6999999999999993</v>
      </c>
      <c r="Q30" s="1054">
        <f>IF($C30&lt;1,"",(AVERAGEIFS('09월 조업일지'!$AK$12:$AK$954,'09월 조업일지'!$B$12:$B$954,$A29,'09월 조업일지'!$E$12:$E$954,$B30)))</f>
        <v>592.4</v>
      </c>
      <c r="R30" s="1054">
        <f>IF($C30&lt;1,"",(AVERAGEIFS('09월 화학성분'!$G$12:$G$950,'09월 화학성분'!$B$12:$B$950,$A29,'09월 화학성분'!$D$12:$D$950,$B30)))</f>
        <v>10.4</v>
      </c>
      <c r="S30" s="1055">
        <f>IF($C30&lt;1,"",(AVERAGEIFS('09월 조업일지'!$AI$12:$AI$954,'09월 조업일지'!$B$12:$B$954,$A29,'09월 조업일지'!$E$12:$E$954,$B30)))</f>
        <v>1569.3</v>
      </c>
      <c r="T30" s="1056">
        <f>IF($C30&lt;1,"",(AVERAGEIFS('09월 화학성분'!$AM$12:$AM$949,'09월 화학성분'!$B$12:$B$949,$A29,'09월 화학성분'!$D$12:$D$949,$B30)))</f>
        <v>2207.8000000000002</v>
      </c>
      <c r="U30" s="1057">
        <f>IF($C30&lt;1,"",(AVERAGEIFS('09월 고철장입'!$AJ$14:$AJ$949,'09월 고철장입'!$B$14:$B$949,$A29,'09월 고철장입'!$C$14:$C$949,$B30))/1000)</f>
        <v>158.81</v>
      </c>
      <c r="V30" s="1102">
        <f>IF($C30&lt;1,"",(AVERAGEIFS('09월 고철장입'!$AK$14:$AK$949,'09월 고철장입'!$B$14:$B$949,$A29,'09월 고철장입'!$C$14:$C$949,$B30)))</f>
        <v>143.19</v>
      </c>
      <c r="W30" s="1058">
        <f t="shared" si="2"/>
        <v>90.164347333291346</v>
      </c>
      <c r="X30" s="1059">
        <f>IF($C30&lt;1,"",(AVERAGEIFS('09월 에너지'!$O$14:$O$949,'09월 에너지'!$A$14:$A$949,$A29,'09월 에너지'!$C$14:$C$949,$B30)))</f>
        <v>165.02944913842776</v>
      </c>
      <c r="Y30" s="1060">
        <f>IF($C30&lt;1,"",(AVERAGEIFS('09월 에너지'!$P$14:$P$949,'09월 에너지'!$A$14:$A$949,$A29,'09월 에너지'!$C$14:$C$949,$B30)))</f>
        <v>147.48525892659075</v>
      </c>
      <c r="Z30" s="1060">
        <f>IF($C30&lt;1,"",(AVERAGEIFS('09월 에너지'!$Q$14:$Q$949,'09월 에너지'!$A$14:$A$949,$A29,'09월 에너지'!$C$14:$C$949,$B30)))</f>
        <v>90.603771726576099</v>
      </c>
      <c r="AA30" s="1061">
        <f>IF($C30&lt;1,"",(AVERAGEIFS('09월 에너지'!$R$14:$R$949,'09월 에너지'!$B$14:$B$949,$A29,'09월 에너지'!$C$14:$C$949,$B30)))</f>
        <v>403.11847979159461</v>
      </c>
      <c r="AB30" s="1062">
        <f>IF($C30&lt;1,"",(AVERAGEIFS('09월 에너지'!$X$14:$X$949,'09월 에너지'!$A$14:$A$949,$A29,'09월 에너지'!$C$14:$C$949,$B30)))</f>
        <v>2.1649693764572229</v>
      </c>
      <c r="AC30" s="1063">
        <f>IF($C30&lt;1,"",(AVERAGEIFS('09월 에너지'!$AC$14:$AC$949,'09월 에너지'!$A$14:$A$949,$A29,'09월 에너지'!$C$14:$C$949,$B30)))</f>
        <v>26.284882797221364</v>
      </c>
      <c r="AD30" s="1064">
        <f>IF($C30&lt;1,"",(AVERAGEIFS('09월 에너지'!$AD$14:$AD$949,'09월 에너지'!$B$14:$B$949,$A29,'09월 에너지'!$C$14:$C$949,$B30)))</f>
        <v>4073.1</v>
      </c>
      <c r="AE30" s="1065">
        <f>IF($C30&lt;1,"",(AVERAGEIFS('09월 에너지'!$AE$14:$AE$949,'09월 에너지'!$B$14:$B$949,$A29,'09월 에너지'!$C$14:$C$949,$B30)))</f>
        <v>28.449852173678586</v>
      </c>
      <c r="AF30" s="1066">
        <f>IF($C30&lt;1,"",(AVERAGEIFS('09월 에너지'!$AI$14:$AI$949,'09월 에너지'!$B$14:$B$949,$A29,'09월 에너지'!$C$14:$C$949,$B30)))</f>
        <v>149.1</v>
      </c>
      <c r="AG30" s="1067">
        <f>IF($C30&lt;1,"",(AVERAGEIFS('09월 에너지'!$AJ$14:$AJ$949,'09월 에너지'!$B$14:$B$949,$A29,'09월 에너지'!$C$14:$C$949,$B30)))</f>
        <v>1.0414397443211074</v>
      </c>
    </row>
    <row r="31" spans="1:33" ht="16.5" customHeight="1" thickTop="1" thickBot="1">
      <c r="A31" s="1632"/>
      <c r="B31" s="781" t="s">
        <v>93</v>
      </c>
      <c r="C31" s="782">
        <f>COUNTIFS('09월 조업일지'!$B$12:$B$952,A29,'09월 조업일지'!$E$12:$E$952,B31)</f>
        <v>0</v>
      </c>
      <c r="D31" s="1047" t="str">
        <f t="shared" si="3"/>
        <v/>
      </c>
      <c r="E31" s="1048" t="str">
        <f>IF($C31&lt;1,"",(SUMIFS('09월 조업일지'!$K$12:$K$954,'09월 조업일지'!$B$12:$B$954,$A29,'09월 조업일지'!$E$12:$E$954,$B31)/$C31))</f>
        <v/>
      </c>
      <c r="F31" s="1049" t="str">
        <f>IF($C31&lt;1,"",(AVERAGEIFS('09월 조업일지'!$J$12:$J$954,'09월 조업일지'!$B$12:$B$954,$A29,'09월 조업일지'!$E$12:$E$954,$B31)))</f>
        <v/>
      </c>
      <c r="G31" s="1050" t="str">
        <f>IF($C31&lt;1,"",(AVERAGEIFS('09월 에너지'!$M$14:$M$950,'09월 에너지'!$B$14:$B$950,$A29,'09월 에너지'!$C$14:$C$950,$B31)))</f>
        <v/>
      </c>
      <c r="H31" s="1051" t="str">
        <f>IF($C31&lt;1,"",(AVERAGEIFS('09월 조업일지'!$AJ$12:$AJ$954,'09월 조업일지'!$B$12:$B$954,$A29,'09월 조업일지'!$E$12:$E$954,$B31)))</f>
        <v/>
      </c>
      <c r="I31" s="1052" t="str">
        <f>IF($C31&lt;1,"",(AVERAGEIFS('09월 조업일지'!$AL$12:$AL$954,'09월 조업일지'!$B$12:$B$954,$A29,'09월 조업일지'!$E$12:$E$954,$B31)))</f>
        <v/>
      </c>
      <c r="J31" s="1053" t="str">
        <f>IF($C31&lt;1,"",(AVERAGEIFS('09월 화학성분'!G$12:G$950,'09월 화학성분'!$B$12:$B$950,$A29,'09월 화학성분'!$D$12:$D$950,$B31)))</f>
        <v/>
      </c>
      <c r="K31" s="1054" t="str">
        <f>IF($C31&lt;1,"",(AVERAGEIFS('09월 화학성분'!H$12:H$950,'09월 화학성분'!$B$12:$B$950,$A29,'09월 화학성분'!$D$12:$D$950,$B31)))</f>
        <v/>
      </c>
      <c r="L31" s="1054" t="str">
        <f>IF($C31&lt;1,"",(AVERAGEIFS('09월 화학성분'!I$12:I$950,'09월 화학성분'!$B$12:$B$950,$A29,'09월 화학성분'!$D$12:$D$950,$B31)))</f>
        <v/>
      </c>
      <c r="M31" s="1054" t="str">
        <f>IF($C31&lt;1,"",(AVERAGEIFS('09월 화학성분'!J$12:J$950,'09월 화학성분'!$B$12:$B$950,$A29,'09월 화학성분'!$D$12:$D$950,$B31)))</f>
        <v/>
      </c>
      <c r="N31" s="1054" t="str">
        <f>IF($C31&lt;1,"",(AVERAGEIFS('09월 화학성분'!K$12:K$950,'09월 화학성분'!$B$12:$B$950,$A29,'09월 화학성분'!$D$12:$D$950,$B31)))</f>
        <v/>
      </c>
      <c r="O31" s="1054" t="str">
        <f>IF($C31&lt;1,"",(AVERAGEIFS('09월 화학성분'!L$12:L$950,'09월 화학성분'!$B$12:$B$950,$A29,'09월 화학성분'!$D$12:$D$950,$B31)))</f>
        <v/>
      </c>
      <c r="P31" s="1054" t="str">
        <f>IF($C31&lt;1,"",(AVERAGEIFS('09월 화학성분'!M$12:M$950,'09월 화학성분'!$B$12:$B$950,$A29,'09월 화학성분'!$D$12:$D$950,$B31)))</f>
        <v/>
      </c>
      <c r="Q31" s="1054" t="str">
        <f>IF($C31&lt;1,"",(AVERAGEIFS('09월 조업일지'!$AK$12:$AK$954,'09월 조업일지'!$B$12:$B$954,$A29,'09월 조업일지'!$E$12:$E$954,$B31)))</f>
        <v/>
      </c>
      <c r="R31" s="1054" t="str">
        <f>IF($C31&lt;1,"",(AVERAGEIFS('09월 화학성분'!$G$12:$G$950,'09월 화학성분'!$B$12:$B$950,$A29,'09월 화학성분'!$D$12:$D$950,$B31)))</f>
        <v/>
      </c>
      <c r="S31" s="1055" t="str">
        <f>IF($C31&lt;1,"",(AVERAGEIFS('09월 조업일지'!$AI$12:$AI$954,'09월 조업일지'!$B$12:$B$954,$A29,'09월 조업일지'!$E$12:$E$954,$B31)))</f>
        <v/>
      </c>
      <c r="T31" s="1056" t="str">
        <f>IF($C31&lt;1,"",(AVERAGEIFS('09월 화학성분'!$AM$12:$AM$949,'09월 화학성분'!$B$12:$B$949,$A29,'09월 화학성분'!$D$12:$D$949,$B31)))</f>
        <v/>
      </c>
      <c r="U31" s="1057" t="str">
        <f>IF($C31&lt;1,"",(AVERAGEIFS('09월 고철장입'!$AJ$14:$AJ$949,'09월 고철장입'!$B$14:$B$949,$A29,'09월 고철장입'!$C$14:$C$949,$B31))/1000)</f>
        <v/>
      </c>
      <c r="V31" s="1102" t="str">
        <f>IF($C31&lt;1,"",(AVERAGEIFS('09월 고철장입'!$AK$14:$AK$949,'09월 고철장입'!$B$14:$B$949,$A29,'09월 고철장입'!$C$14:$C$949,$B31)))</f>
        <v/>
      </c>
      <c r="W31" s="1058" t="str">
        <f t="shared" si="2"/>
        <v/>
      </c>
      <c r="X31" s="1059" t="str">
        <f>IF($C31&lt;1,"",(AVERAGEIFS('09월 에너지'!$O$14:$O$949,'09월 에너지'!$A$14:$A$949,$A29,'09월 에너지'!$C$14:$C$949,$B31)))</f>
        <v/>
      </c>
      <c r="Y31" s="1060" t="str">
        <f>IF($C31&lt;1,"",(AVERAGEIFS('09월 에너지'!$P$14:$P$949,'09월 에너지'!$A$14:$A$949,$A29,'09월 에너지'!$C$14:$C$949,$B31)))</f>
        <v/>
      </c>
      <c r="Z31" s="1060" t="str">
        <f>IF($C31&lt;1,"",(AVERAGEIFS('09월 에너지'!$Q$14:$Q$949,'09월 에너지'!$A$14:$A$949,$A29,'09월 에너지'!$C$14:$C$949,$B31)))</f>
        <v/>
      </c>
      <c r="AA31" s="1061" t="str">
        <f>IF($C31&lt;1,"",(AVERAGEIFS('09월 에너지'!$R$14:$R$949,'09월 에너지'!$B$14:$B$949,$A29,'09월 에너지'!$C$14:$C$949,$B31)))</f>
        <v/>
      </c>
      <c r="AB31" s="1062" t="str">
        <f>IF($C31&lt;1,"",(AVERAGEIFS('09월 에너지'!$X$14:$X$949,'09월 에너지'!$A$14:$A$949,$A29,'09월 에너지'!$C$14:$C$949,$B31)))</f>
        <v/>
      </c>
      <c r="AC31" s="1063" t="str">
        <f>IF($C31&lt;1,"",(AVERAGEIFS('09월 에너지'!$AC$14:$AC$949,'09월 에너지'!$A$14:$A$949,$A29,'09월 에너지'!$C$14:$C$949,$B31)))</f>
        <v/>
      </c>
      <c r="AD31" s="1064" t="str">
        <f>IF($C31&lt;1,"",(AVERAGEIFS('09월 에너지'!$AD$14:$AD$949,'09월 에너지'!$B$14:$B$949,$A29,'09월 에너지'!$C$14:$C$949,$B31)))</f>
        <v/>
      </c>
      <c r="AE31" s="1065" t="str">
        <f>IF($C31&lt;1,"",(AVERAGEIFS('09월 에너지'!$AE$14:$AE$949,'09월 에너지'!$B$14:$B$949,$A29,'09월 에너지'!$C$14:$C$949,$B31)))</f>
        <v/>
      </c>
      <c r="AF31" s="1066" t="str">
        <f>IF($C31&lt;1,"",(AVERAGEIFS('09월 에너지'!$AI$14:$AI$949,'09월 에너지'!$B$14:$B$949,$A29,'09월 에너지'!$C$14:$C$949,$B31)))</f>
        <v/>
      </c>
      <c r="AG31" s="1067" t="str">
        <f>IF($C31&lt;1,"",(AVERAGEIFS('09월 에너지'!$AJ$14:$AJ$949,'09월 에너지'!$B$14:$B$949,$A29,'09월 에너지'!$C$14:$C$949,$B31)))</f>
        <v/>
      </c>
    </row>
    <row r="32" spans="1:33" ht="16.5" customHeight="1" thickTop="1" thickBot="1">
      <c r="A32" s="1632"/>
      <c r="B32" s="783" t="s">
        <v>94</v>
      </c>
      <c r="C32" s="784">
        <f>COUNTIFS('09월 조업일지'!$B$12:$B$952,A29,'09월 조업일지'!$E$12:$E$952,B32)</f>
        <v>11</v>
      </c>
      <c r="D32" s="1068">
        <f t="shared" si="3"/>
        <v>46.81818181818182</v>
      </c>
      <c r="E32" s="1069">
        <f>IF($C32&lt;1,"",(SUMIFS('09월 조업일지'!$K$12:$K$954,'09월 조업일지'!$B$12:$B$954,$A29,'09월 조업일지'!$E$12:$E$954,$B32)/$C32))</f>
        <v>0</v>
      </c>
      <c r="F32" s="1070">
        <f>IF($C32&lt;1,"",(AVERAGEIFS('09월 조업일지'!$J$12:$J$954,'09월 조업일지'!$B$12:$B$954,$A29,'09월 조업일지'!$E$12:$E$954,$B32)))</f>
        <v>46.81818181818182</v>
      </c>
      <c r="G32" s="1071">
        <f>IF($C32&lt;1,"",(AVERAGEIFS('09월 에너지'!$M$14:$M$950,'09월 에너지'!$B$14:$B$950,$A29,'09월 에너지'!$C$14:$C$950,$B32)))</f>
        <v>45.727272727272727</v>
      </c>
      <c r="H32" s="1072">
        <f>IF($C32&lt;1,"",(AVERAGEIFS('09월 조업일지'!$AJ$12:$AJ$954,'09월 조업일지'!$B$12:$B$954,$A29,'09월 조업일지'!$E$12:$E$954,$B32)))</f>
        <v>9.1818181818181817</v>
      </c>
      <c r="I32" s="1073">
        <f>IF($C32&lt;1,"",(AVERAGEIFS('09월 조업일지'!$AL$12:$AL$954,'09월 조업일지'!$B$12:$B$954,$A29,'09월 조업일지'!$E$12:$E$954,$B32)))</f>
        <v>5.9090909090909092</v>
      </c>
      <c r="J32" s="1074">
        <f>IF($C32&lt;1,"",(AVERAGEIFS('09월 화학성분'!G$12:G$950,'09월 화학성분'!$B$12:$B$950,$A29,'09월 화학성분'!$D$12:$D$950,$B32)))</f>
        <v>10.545454545454545</v>
      </c>
      <c r="K32" s="1075">
        <f>IF($C32&lt;1,"",(AVERAGEIFS('09월 화학성분'!H$12:H$950,'09월 화학성분'!$B$12:$B$950,$A29,'09월 화학성분'!$D$12:$D$950,$B32)))</f>
        <v>20.636363636363637</v>
      </c>
      <c r="L32" s="1075">
        <f>IF($C32&lt;1,"",(AVERAGEIFS('09월 화학성분'!I$12:I$950,'09월 화학성분'!$B$12:$B$950,$A29,'09월 화학성분'!$D$12:$D$950,$B32)))</f>
        <v>124.18181818181819</v>
      </c>
      <c r="M32" s="1075">
        <f>IF($C32&lt;1,"",(AVERAGEIFS('09월 화학성분'!J$12:J$950,'09월 화학성분'!$B$12:$B$950,$A29,'09월 화학성분'!$D$12:$D$950,$B32)))</f>
        <v>15.181818181818182</v>
      </c>
      <c r="N32" s="1075">
        <f>IF($C32&lt;1,"",(AVERAGEIFS('09월 화학성분'!K$12:K$950,'09월 화학성분'!$B$12:$B$950,$A29,'09월 화학성분'!$D$12:$D$950,$B32)))</f>
        <v>28.818181818181817</v>
      </c>
      <c r="O32" s="1075">
        <f>IF($C32&lt;1,"",(AVERAGEIFS('09월 화학성분'!L$12:L$950,'09월 화학성분'!$B$12:$B$950,$A29,'09월 화학성분'!$D$12:$D$950,$B32)))</f>
        <v>13.727272727272727</v>
      </c>
      <c r="P32" s="1075">
        <f>IF($C32&lt;1,"",(AVERAGEIFS('09월 화학성분'!M$12:M$950,'09월 화학성분'!$B$12:$B$950,$A29,'09월 화학성분'!$D$12:$D$950,$B32)))</f>
        <v>10.272727272727273</v>
      </c>
      <c r="Q32" s="1075">
        <f>IF($C32&lt;1,"",(AVERAGEIFS('09월 조업일지'!$AK$12:$AK$954,'09월 조업일지'!$B$12:$B$954,$A29,'09월 조업일지'!$E$12:$E$954,$B32)))</f>
        <v>648.5454545454545</v>
      </c>
      <c r="R32" s="1075">
        <f>IF($C32&lt;1,"",(AVERAGEIFS('09월 화학성분'!$G$12:$G$950,'09월 화학성분'!$B$12:$B$950,$A29,'09월 화학성분'!$D$12:$D$950,$B32)))</f>
        <v>10.545454545454545</v>
      </c>
      <c r="S32" s="1076">
        <f>IF($C32&lt;1,"",(AVERAGEIFS('09월 조업일지'!$AI$12:$AI$954,'09월 조업일지'!$B$12:$B$954,$A29,'09월 조업일지'!$E$12:$E$954,$B32)))</f>
        <v>1552.8181818181818</v>
      </c>
      <c r="T32" s="1077">
        <f>IF($C32&lt;1,"",(AVERAGEIFS('09월 화학성분'!$AM$12:$AM$949,'09월 화학성분'!$B$12:$B$949,$A29,'09월 화학성분'!$D$12:$D$949,$B32)))</f>
        <v>2605.818181818182</v>
      </c>
      <c r="U32" s="1078">
        <f>IF($C32&lt;1,"",(AVERAGEIFS('09월 고철장입'!$AJ$14:$AJ$949,'09월 고철장입'!$B$14:$B$949,$A29,'09월 고철장입'!$C$14:$C$949,$B32))/1000)</f>
        <v>159.5090909090909</v>
      </c>
      <c r="V32" s="1103">
        <f>IF($C32&lt;1,"",(AVERAGEIFS('09월 고철장입'!$AK$14:$AK$949,'09월 고철장입'!$B$14:$B$949,$A29,'09월 고철장입'!$C$14:$C$949,$B32)))</f>
        <v>142.77272727272728</v>
      </c>
      <c r="W32" s="1079">
        <f t="shared" si="2"/>
        <v>89.507580075230834</v>
      </c>
      <c r="X32" s="1080">
        <f>IF($C32&lt;1,"",(AVERAGEIFS('09월 에너지'!$O$14:$O$949,'09월 에너지'!$A$14:$A$949,$A29,'09월 에너지'!$C$14:$C$949,$B32)))</f>
        <v>158.4242457783443</v>
      </c>
      <c r="Y32" s="1081">
        <f>IF($C32&lt;1,"",(AVERAGEIFS('09월 에너지'!$P$14:$P$949,'09월 에너지'!$A$14:$A$949,$A29,'09월 에너지'!$C$14:$C$949,$B32)))</f>
        <v>146.34571837872278</v>
      </c>
      <c r="Z32" s="1081">
        <f>IF($C32&lt;1,"",(AVERAGEIFS('09월 에너지'!$Q$14:$Q$949,'09월 에너지'!$A$14:$A$949,$A29,'09월 에너지'!$C$14:$C$949,$B32)))</f>
        <v>93.726120689089711</v>
      </c>
      <c r="AA32" s="1082">
        <f>IF($C32&lt;1,"",(AVERAGEIFS('09월 에너지'!$R$14:$R$949,'09월 에너지'!$B$14:$B$949,$A29,'09월 에너지'!$C$14:$C$949,$B32)))</f>
        <v>398.49608484615675</v>
      </c>
      <c r="AB32" s="1083">
        <f>IF($C32&lt;1,"",(AVERAGEIFS('09월 에너지'!$X$14:$X$949,'09월 에너지'!$A$14:$A$949,$A29,'09월 에너지'!$C$14:$C$949,$B32)))</f>
        <v>2.4167610756339633</v>
      </c>
      <c r="AC32" s="1084">
        <f>IF($C32&lt;1,"",(AVERAGEIFS('09월 에너지'!$AC$14:$AC$949,'09월 에너지'!$A$14:$A$949,$A29,'09월 에너지'!$C$14:$C$949,$B32)))</f>
        <v>25.570740069486863</v>
      </c>
      <c r="AD32" s="1085">
        <f>IF($C32&lt;1,"",(AVERAGEIFS('09월 에너지'!$AD$14:$AD$949,'09월 에너지'!$B$14:$B$949,$A29,'09월 에너지'!$C$14:$C$949,$B32)))</f>
        <v>3995.818181818182</v>
      </c>
      <c r="AE32" s="1086">
        <f>IF($C32&lt;1,"",(AVERAGEIFS('09월 에너지'!$AE$14:$AE$949,'09월 에너지'!$B$14:$B$949,$A29,'09월 에너지'!$C$14:$C$949,$B32)))</f>
        <v>27.987501145120824</v>
      </c>
      <c r="AF32" s="1087">
        <f>IF($C32&lt;1,"",(AVERAGEIFS('09월 에너지'!$AI$14:$AI$949,'09월 에너지'!$B$14:$B$949,$A29,'09월 에너지'!$C$14:$C$949,$B32)))</f>
        <v>144.54545454545453</v>
      </c>
      <c r="AG32" s="1088">
        <f>IF($C32&lt;1,"",(AVERAGEIFS('09월 에너지'!$AJ$14:$AJ$949,'09월 에너지'!$B$14:$B$949,$A29,'09월 에너지'!$C$14:$C$949,$B32)))</f>
        <v>1.0122986366967217</v>
      </c>
    </row>
    <row r="33" spans="1:35" ht="16.5" customHeight="1" thickTop="1" thickBot="1">
      <c r="A33" s="1632">
        <f t="shared" ref="A33" si="9">A29+1</f>
        <v>46273</v>
      </c>
      <c r="B33" s="775" t="s">
        <v>128</v>
      </c>
      <c r="C33" s="776">
        <f>COUNTIFS('09월 조업일지'!$B$12:$B$952,A33,'09월 조업일지'!$E$12:$E$952,B33)</f>
        <v>11</v>
      </c>
      <c r="D33" s="1026">
        <f t="shared" si="3"/>
        <v>44.727272727272734</v>
      </c>
      <c r="E33" s="1027">
        <f>IF($C33&lt;1,"",(SUMIFS('09월 조업일지'!$K$12:$K$954,'09월 조업일지'!$B$12:$B$954,$A33,'09월 조업일지'!$E$12:$E$954,$B33)/$C33))</f>
        <v>1</v>
      </c>
      <c r="F33" s="1028">
        <f>IF($C33&lt;1,"",(AVERAGEIFS('09월 조업일지'!$J$12:$J$954,'09월 조업일지'!$B$12:$B$954,$A33,'09월 조업일지'!$E$12:$E$954,$B33)))</f>
        <v>45.727272727272734</v>
      </c>
      <c r="G33" s="1029">
        <f>IF($C33&lt;1,"",(AVERAGEIFS('09월 에너지'!$M$14:$M$950,'09월 에너지'!$B$14:$B$950,$A33,'09월 에너지'!$C$14:$C$950,$B33)))</f>
        <v>44.290909090909089</v>
      </c>
      <c r="H33" s="1030">
        <f>IF($C33&lt;1,"",(AVERAGEIFS('09월 조업일지'!$AJ$12:$AJ$954,'09월 조업일지'!$B$12:$B$954,$A33,'09월 조업일지'!$E$12:$E$954,$B33)))</f>
        <v>16.636363636363637</v>
      </c>
      <c r="I33" s="1031">
        <f>IF($C33&lt;1,"",(AVERAGEIFS('09월 조업일지'!$AL$12:$AL$954,'09월 조업일지'!$B$12:$B$954,$A33,'09월 조업일지'!$E$12:$E$954,$B33)))</f>
        <v>9.9090909090909083</v>
      </c>
      <c r="J33" s="1032">
        <f>IF($C33&lt;1,"",(AVERAGEIFS('09월 화학성분'!G$12:G$950,'09월 화학성분'!$B$12:$B$950,$A33,'09월 화학성분'!$D$12:$D$950,$B33)))</f>
        <v>12.545454545454545</v>
      </c>
      <c r="K33" s="1033">
        <f>IF($C33&lt;1,"",(AVERAGEIFS('09월 화학성분'!H$12:H$950,'09월 화학성분'!$B$12:$B$950,$A33,'09월 화학성분'!$D$12:$D$950,$B33)))</f>
        <v>22.545454545454547</v>
      </c>
      <c r="L33" s="1033">
        <f>IF($C33&lt;1,"",(AVERAGEIFS('09월 화학성분'!I$12:I$950,'09월 화학성분'!$B$12:$B$950,$A33,'09월 화학성분'!$D$12:$D$950,$B33)))</f>
        <v>132</v>
      </c>
      <c r="M33" s="1033">
        <f>IF($C33&lt;1,"",(AVERAGEIFS('09월 화학성분'!J$12:J$950,'09월 화학성분'!$B$12:$B$950,$A33,'09월 화학성분'!$D$12:$D$950,$B33)))</f>
        <v>16.09090909090909</v>
      </c>
      <c r="N33" s="1033">
        <f>IF($C33&lt;1,"",(AVERAGEIFS('09월 화학성분'!K$12:K$950,'09월 화학성분'!$B$12:$B$950,$A33,'09월 화학성분'!$D$12:$D$950,$B33)))</f>
        <v>36.545454545454547</v>
      </c>
      <c r="O33" s="1033">
        <f>IF($C33&lt;1,"",(AVERAGEIFS('09월 화학성분'!L$12:L$950,'09월 화학성분'!$B$12:$B$950,$A33,'09월 화학성분'!$D$12:$D$950,$B33)))</f>
        <v>11.090909090909092</v>
      </c>
      <c r="P33" s="1033">
        <f>IF($C33&lt;1,"",(AVERAGEIFS('09월 화학성분'!M$12:M$950,'09월 화학성분'!$B$12:$B$950,$A33,'09월 화학성분'!$D$12:$D$950,$B33)))</f>
        <v>9.3636363636363633</v>
      </c>
      <c r="Q33" s="1033">
        <f>IF($C33&lt;1,"",(AVERAGEIFS('09월 조업일지'!$AK$12:$AK$954,'09월 조업일지'!$B$12:$B$954,$A33,'09월 조업일지'!$E$12:$E$954,$B33)))</f>
        <v>453.36363636363637</v>
      </c>
      <c r="R33" s="1033">
        <f>IF($C33&lt;1,"",(AVERAGEIFS('09월 화학성분'!$G$12:$G$950,'09월 화학성분'!$B$12:$B$950,$A33,'09월 화학성분'!$D$12:$D$950,$B33)))</f>
        <v>12.545454545454545</v>
      </c>
      <c r="S33" s="1034">
        <f>IF($C33&lt;1,"",(AVERAGEIFS('09월 조업일지'!$AI$12:$AI$954,'09월 조업일지'!$B$12:$B$954,$A33,'09월 조업일지'!$E$12:$E$954,$B33)))</f>
        <v>1556.909090909091</v>
      </c>
      <c r="T33" s="1035">
        <f>IF($C33&lt;1,"",(AVERAGEIFS('09월 화학성분'!$AM$12:$AM$949,'09월 화학성분'!$B$12:$B$949,$A33,'09월 화학성분'!$D$12:$D$949,$B33)))</f>
        <v>1870.6363636363637</v>
      </c>
      <c r="U33" s="1036">
        <f>IF($C33&lt;1,"",(AVERAGEIFS('09월 고철장입'!$AJ$14:$AJ$949,'09월 고철장입'!$B$14:$B$949,$A33,'09월 고철장입'!$C$14:$C$949,$B33))/1000)</f>
        <v>158.23636363636365</v>
      </c>
      <c r="V33" s="1101">
        <f>IF($C33&lt;1,"",(AVERAGEIFS('09월 고철장입'!$AK$14:$AK$949,'09월 고철장입'!$B$14:$B$949,$A33,'09월 고철장입'!$C$14:$C$949,$B33)))</f>
        <v>146.56363636363636</v>
      </c>
      <c r="W33" s="1037">
        <f t="shared" si="2"/>
        <v>92.623233367804204</v>
      </c>
      <c r="X33" s="1038">
        <f>IF($C33&lt;1,"",(AVERAGEIFS('09월 에너지'!$O$14:$O$949,'09월 에너지'!$A$14:$A$949,$A33,'09월 에너지'!$C$14:$C$949,$B33)))</f>
        <v>160.10718311870039</v>
      </c>
      <c r="Y33" s="1039">
        <f>IF($C33&lt;1,"",(AVERAGEIFS('09월 에너지'!$P$14:$P$949,'09월 에너지'!$A$14:$A$949,$A33,'09월 에너지'!$C$14:$C$949,$B33)))</f>
        <v>141.15249506626336</v>
      </c>
      <c r="Z33" s="1039">
        <f>IF($C33&lt;1,"",(AVERAGEIFS('09월 에너지'!$Q$14:$Q$949,'09월 에너지'!$A$14:$A$949,$A33,'09월 에너지'!$C$14:$C$949,$B33)))</f>
        <v>85.045948798108427</v>
      </c>
      <c r="AA33" s="1040">
        <f>IF($C33&lt;1,"",(AVERAGEIFS('09월 에너지'!$R$14:$R$949,'09월 에너지'!$B$14:$B$949,$A33,'09월 에너지'!$C$14:$C$949,$B33)))</f>
        <v>378.52845183723036</v>
      </c>
      <c r="AB33" s="1041">
        <f>IF($C33&lt;1,"",(AVERAGEIFS('09월 에너지'!$X$14:$X$949,'09월 에너지'!$A$14:$A$949,$A33,'09월 에너지'!$C$14:$C$949,$B33)))</f>
        <v>2.447004896829772</v>
      </c>
      <c r="AC33" s="1042">
        <f>IF($C33&lt;1,"",(AVERAGEIFS('09월 에너지'!$AC$14:$AC$949,'09월 에너지'!$A$14:$A$949,$A33,'09월 에너지'!$C$14:$C$949,$B33)))</f>
        <v>25.015111732757966</v>
      </c>
      <c r="AD33" s="1043">
        <f>IF($C33&lt;1,"",(AVERAGEIFS('09월 에너지'!$AD$14:$AD$949,'09월 에너지'!$B$14:$B$949,$A33,'09월 에너지'!$C$14:$C$949,$B33)))</f>
        <v>3986.181818181818</v>
      </c>
      <c r="AE33" s="1044">
        <f>IF($C33&lt;1,"",(AVERAGEIFS('09월 에너지'!$AE$14:$AE$949,'09월 에너지'!$B$14:$B$949,$A33,'09월 에너지'!$C$14:$C$949,$B33)))</f>
        <v>27.208001556581333</v>
      </c>
      <c r="AF33" s="1045">
        <f>IF($C33&lt;1,"",(AVERAGEIFS('09월 에너지'!$AI$14:$AI$949,'09월 에너지'!$B$14:$B$949,$A33,'09월 에너지'!$C$14:$C$949,$B33)))</f>
        <v>147.09090909090909</v>
      </c>
      <c r="AG33" s="1046">
        <f>IF($C33&lt;1,"",(AVERAGEIFS('09월 에너지'!$AJ$14:$AJ$949,'09월 에너지'!$B$14:$B$949,$A33,'09월 에너지'!$C$14:$C$949,$B33)))</f>
        <v>1.0037813659488035</v>
      </c>
    </row>
    <row r="34" spans="1:35" ht="16.5" customHeight="1" thickTop="1" thickBot="1">
      <c r="A34" s="1632"/>
      <c r="B34" s="781" t="s">
        <v>100</v>
      </c>
      <c r="C34" s="782">
        <f>COUNTIFS('09월 조업일지'!$B$12:$B$952,A33,'09월 조업일지'!$E$12:$E$952,B34)</f>
        <v>0</v>
      </c>
      <c r="D34" s="1047" t="str">
        <f t="shared" si="3"/>
        <v/>
      </c>
      <c r="E34" s="1048" t="str">
        <f>IF($C34&lt;1,"",(SUMIFS('09월 조업일지'!$K$12:$K$954,'09월 조업일지'!$B$12:$B$954,$A33,'09월 조업일지'!$E$12:$E$954,$B34)/$C34))</f>
        <v/>
      </c>
      <c r="F34" s="1049" t="str">
        <f>IF($C34&lt;1,"",(AVERAGEIFS('09월 조업일지'!$J$12:$J$954,'09월 조업일지'!$B$12:$B$954,$A33,'09월 조업일지'!$E$12:$E$954,$B34)))</f>
        <v/>
      </c>
      <c r="G34" s="1050" t="str">
        <f>IF($C34&lt;1,"",(AVERAGEIFS('09월 에너지'!$M$14:$M$950,'09월 에너지'!$B$14:$B$950,$A33,'09월 에너지'!$C$14:$C$950,$B34)))</f>
        <v/>
      </c>
      <c r="H34" s="1051" t="str">
        <f>IF($C34&lt;1,"",(AVERAGEIFS('09월 조업일지'!$AJ$12:$AJ$954,'09월 조업일지'!$B$12:$B$954,$A33,'09월 조업일지'!$E$12:$E$954,$B34)))</f>
        <v/>
      </c>
      <c r="I34" s="1052" t="str">
        <f>IF($C34&lt;1,"",(AVERAGEIFS('09월 조업일지'!$AL$12:$AL$954,'09월 조업일지'!$B$12:$B$954,$A33,'09월 조업일지'!$E$12:$E$954,$B34)))</f>
        <v/>
      </c>
      <c r="J34" s="1053" t="str">
        <f>IF($C34&lt;1,"",(AVERAGEIFS('09월 화학성분'!G$12:G$950,'09월 화학성분'!$B$12:$B$950,$A33,'09월 화학성분'!$D$12:$D$950,$B34)))</f>
        <v/>
      </c>
      <c r="K34" s="1054" t="str">
        <f>IF($C34&lt;1,"",(AVERAGEIFS('09월 화학성분'!H$12:H$950,'09월 화학성분'!$B$12:$B$950,$A33,'09월 화학성분'!$D$12:$D$950,$B34)))</f>
        <v/>
      </c>
      <c r="L34" s="1054" t="str">
        <f>IF($C34&lt;1,"",(AVERAGEIFS('09월 화학성분'!I$12:I$950,'09월 화학성분'!$B$12:$B$950,$A33,'09월 화학성분'!$D$12:$D$950,$B34)))</f>
        <v/>
      </c>
      <c r="M34" s="1054" t="str">
        <f>IF($C34&lt;1,"",(AVERAGEIFS('09월 화학성분'!J$12:J$950,'09월 화학성분'!$B$12:$B$950,$A33,'09월 화학성분'!$D$12:$D$950,$B34)))</f>
        <v/>
      </c>
      <c r="N34" s="1054" t="str">
        <f>IF($C34&lt;1,"",(AVERAGEIFS('09월 화학성분'!K$12:K$950,'09월 화학성분'!$B$12:$B$950,$A33,'09월 화학성분'!$D$12:$D$950,$B34)))</f>
        <v/>
      </c>
      <c r="O34" s="1054" t="str">
        <f>IF($C34&lt;1,"",(AVERAGEIFS('09월 화학성분'!L$12:L$950,'09월 화학성분'!$B$12:$B$950,$A33,'09월 화학성분'!$D$12:$D$950,$B34)))</f>
        <v/>
      </c>
      <c r="P34" s="1054" t="str">
        <f>IF($C34&lt;1,"",(AVERAGEIFS('09월 화학성분'!M$12:M$950,'09월 화학성분'!$B$12:$B$950,$A33,'09월 화학성분'!$D$12:$D$950,$B34)))</f>
        <v/>
      </c>
      <c r="Q34" s="1054" t="str">
        <f>IF($C34&lt;1,"",(AVERAGEIFS('09월 조업일지'!$AK$12:$AK$954,'09월 조업일지'!$B$12:$B$954,$A33,'09월 조업일지'!$E$12:$E$954,$B34)))</f>
        <v/>
      </c>
      <c r="R34" s="1054" t="str">
        <f>IF($C34&lt;1,"",(AVERAGEIFS('09월 화학성분'!$G$12:$G$950,'09월 화학성분'!$B$12:$B$950,$A33,'09월 화학성분'!$D$12:$D$950,$B34)))</f>
        <v/>
      </c>
      <c r="S34" s="1055" t="str">
        <f>IF($C34&lt;1,"",(AVERAGEIFS('09월 조업일지'!$AI$12:$AI$954,'09월 조업일지'!$B$12:$B$954,$A33,'09월 조업일지'!$E$12:$E$954,$B34)))</f>
        <v/>
      </c>
      <c r="T34" s="1056" t="str">
        <f>IF($C34&lt;1,"",(AVERAGEIFS('09월 화학성분'!$AM$12:$AM$949,'09월 화학성분'!$B$12:$B$949,$A33,'09월 화학성분'!$D$12:$D$949,$B34)))</f>
        <v/>
      </c>
      <c r="U34" s="1057" t="str">
        <f>IF($C34&lt;1,"",(AVERAGEIFS('09월 고철장입'!$AJ$14:$AJ$949,'09월 고철장입'!$B$14:$B$949,$A33,'09월 고철장입'!$C$14:$C$949,$B34))/1000)</f>
        <v/>
      </c>
      <c r="V34" s="1102" t="str">
        <f>IF($C34&lt;1,"",(AVERAGEIFS('09월 고철장입'!$AK$14:$AK$949,'09월 고철장입'!$B$14:$B$949,$A33,'09월 고철장입'!$C$14:$C$949,$B34)))</f>
        <v/>
      </c>
      <c r="W34" s="1058" t="str">
        <f t="shared" si="2"/>
        <v/>
      </c>
      <c r="X34" s="1059" t="str">
        <f>IF($C34&lt;1,"",(AVERAGEIFS('09월 에너지'!$O$14:$O$949,'09월 에너지'!$A$14:$A$949,$A33,'09월 에너지'!$C$14:$C$949,$B34)))</f>
        <v/>
      </c>
      <c r="Y34" s="1060" t="str">
        <f>IF($C34&lt;1,"",(AVERAGEIFS('09월 에너지'!$P$14:$P$949,'09월 에너지'!$A$14:$A$949,$A33,'09월 에너지'!$C$14:$C$949,$B34)))</f>
        <v/>
      </c>
      <c r="Z34" s="1060" t="str">
        <f>IF($C34&lt;1,"",(AVERAGEIFS('09월 에너지'!$Q$14:$Q$949,'09월 에너지'!$A$14:$A$949,$A33,'09월 에너지'!$C$14:$C$949,$B34)))</f>
        <v/>
      </c>
      <c r="AA34" s="1061" t="str">
        <f>IF($C34&lt;1,"",(AVERAGEIFS('09월 에너지'!$R$14:$R$949,'09월 에너지'!$B$14:$B$949,$A33,'09월 에너지'!$C$14:$C$949,$B34)))</f>
        <v/>
      </c>
      <c r="AB34" s="1062" t="str">
        <f>IF($C34&lt;1,"",(AVERAGEIFS('09월 에너지'!$X$14:$X$949,'09월 에너지'!$A$14:$A$949,$A33,'09월 에너지'!$C$14:$C$949,$B34)))</f>
        <v/>
      </c>
      <c r="AC34" s="1063" t="str">
        <f>IF($C34&lt;1,"",(AVERAGEIFS('09월 에너지'!$AC$14:$AC$949,'09월 에너지'!$A$14:$A$949,$A33,'09월 에너지'!$C$14:$C$949,$B34)))</f>
        <v/>
      </c>
      <c r="AD34" s="1064" t="str">
        <f>IF($C34&lt;1,"",(AVERAGEIFS('09월 에너지'!$AD$14:$AD$949,'09월 에너지'!$B$14:$B$949,$A33,'09월 에너지'!$C$14:$C$949,$B34)))</f>
        <v/>
      </c>
      <c r="AE34" s="1065" t="str">
        <f>IF($C34&lt;1,"",(AVERAGEIFS('09월 에너지'!$AE$14:$AE$949,'09월 에너지'!$B$14:$B$949,$A33,'09월 에너지'!$C$14:$C$949,$B34)))</f>
        <v/>
      </c>
      <c r="AF34" s="1066" t="str">
        <f>IF($C34&lt;1,"",(AVERAGEIFS('09월 에너지'!$AI$14:$AI$949,'09월 에너지'!$B$14:$B$949,$A33,'09월 에너지'!$C$14:$C$949,$B34)))</f>
        <v/>
      </c>
      <c r="AG34" s="1067" t="str">
        <f>IF($C34&lt;1,"",(AVERAGEIFS('09월 에너지'!$AJ$14:$AJ$949,'09월 에너지'!$B$14:$B$949,$A33,'09월 에너지'!$C$14:$C$949,$B34)))</f>
        <v/>
      </c>
    </row>
    <row r="35" spans="1:35" ht="16.5" customHeight="1" thickTop="1" thickBot="1">
      <c r="A35" s="1632"/>
      <c r="B35" s="781" t="s">
        <v>93</v>
      </c>
      <c r="C35" s="782">
        <f>COUNTIFS('09월 조업일지'!$B$12:$B$952,A33,'09월 조업일지'!$E$12:$E$952,B35)</f>
        <v>8</v>
      </c>
      <c r="D35" s="1047">
        <f t="shared" si="3"/>
        <v>47.875000000000007</v>
      </c>
      <c r="E35" s="1048">
        <f>IF($C35&lt;1,"",(SUMIFS('09월 조업일지'!$K$12:$K$954,'09월 조업일지'!$B$12:$B$954,$A33,'09월 조업일지'!$E$12:$E$954,$B35)/$C35))</f>
        <v>8.75</v>
      </c>
      <c r="F35" s="1049">
        <f>IF($C35&lt;1,"",(AVERAGEIFS('09월 조업일지'!$J$12:$J$954,'09월 조업일지'!$B$12:$B$954,$A33,'09월 조업일지'!$E$12:$E$954,$B35)))</f>
        <v>56.625000000000007</v>
      </c>
      <c r="G35" s="1050">
        <f>IF($C35&lt;1,"",(AVERAGEIFS('09월 에너지'!$M$14:$M$950,'09월 에너지'!$B$14:$B$950,$A33,'09월 에너지'!$C$14:$C$950,$B35)))</f>
        <v>46.612499999999997</v>
      </c>
      <c r="H35" s="1051">
        <f>IF($C35&lt;1,"",(AVERAGEIFS('09월 조업일지'!$AJ$12:$AJ$954,'09월 조업일지'!$B$12:$B$954,$A33,'09월 조업일지'!$E$12:$E$954,$B35)))</f>
        <v>14.625</v>
      </c>
      <c r="I35" s="1052">
        <f>IF($C35&lt;1,"",(AVERAGEIFS('09월 조업일지'!$AL$12:$AL$954,'09월 조업일지'!$B$12:$B$954,$A33,'09월 조업일지'!$E$12:$E$954,$B35)))</f>
        <v>7</v>
      </c>
      <c r="J35" s="1053">
        <f>IF($C35&lt;1,"",(AVERAGEIFS('09월 화학성분'!G$12:G$950,'09월 화학성분'!$B$12:$B$950,$A33,'09월 화학성분'!$D$12:$D$950,$B35)))</f>
        <v>11</v>
      </c>
      <c r="K35" s="1054">
        <f>IF($C35&lt;1,"",(AVERAGEIFS('09월 화학성분'!H$12:H$950,'09월 화학성분'!$B$12:$B$950,$A33,'09월 화학성분'!$D$12:$D$950,$B35)))</f>
        <v>22.625</v>
      </c>
      <c r="L35" s="1054">
        <f>IF($C35&lt;1,"",(AVERAGEIFS('09월 화학성분'!I$12:I$950,'09월 화학성분'!$B$12:$B$950,$A33,'09월 화학성분'!$D$12:$D$950,$B35)))</f>
        <v>129.875</v>
      </c>
      <c r="M35" s="1054">
        <f>IF($C35&lt;1,"",(AVERAGEIFS('09월 화학성분'!J$12:J$950,'09월 화학성분'!$B$12:$B$950,$A33,'09월 화학성분'!$D$12:$D$950,$B35)))</f>
        <v>15.5</v>
      </c>
      <c r="N35" s="1054">
        <f>IF($C35&lt;1,"",(AVERAGEIFS('09월 화학성분'!K$12:K$950,'09월 화학성분'!$B$12:$B$950,$A33,'09월 화학성분'!$D$12:$D$950,$B35)))</f>
        <v>31.25</v>
      </c>
      <c r="O35" s="1054">
        <f>IF($C35&lt;1,"",(AVERAGEIFS('09월 화학성분'!L$12:L$950,'09월 화학성분'!$B$12:$B$950,$A33,'09월 화학성분'!$D$12:$D$950,$B35)))</f>
        <v>13.125</v>
      </c>
      <c r="P35" s="1054">
        <f>IF($C35&lt;1,"",(AVERAGEIFS('09월 화학성분'!M$12:M$950,'09월 화학성분'!$B$12:$B$950,$A33,'09월 화학성분'!$D$12:$D$950,$B35)))</f>
        <v>10.125</v>
      </c>
      <c r="Q35" s="1054">
        <f>IF($C35&lt;1,"",(AVERAGEIFS('09월 조업일지'!$AK$12:$AK$954,'09월 조업일지'!$B$12:$B$954,$A33,'09월 조업일지'!$E$12:$E$954,$B35)))</f>
        <v>606.85714285714289</v>
      </c>
      <c r="R35" s="1054">
        <f>IF($C35&lt;1,"",(AVERAGEIFS('09월 화학성분'!$G$12:$G$950,'09월 화학성분'!$B$12:$B$950,$A33,'09월 화학성분'!$D$12:$D$950,$B35)))</f>
        <v>11</v>
      </c>
      <c r="S35" s="1055">
        <f>IF($C35&lt;1,"",(AVERAGEIFS('09월 조업일지'!$AI$12:$AI$954,'09월 조업일지'!$B$12:$B$954,$A33,'09월 조업일지'!$E$12:$E$954,$B35)))</f>
        <v>1561</v>
      </c>
      <c r="T35" s="1056">
        <f>IF($C35&lt;1,"",(AVERAGEIFS('09월 화학성분'!$AM$12:$AM$949,'09월 화학성분'!$B$12:$B$949,$A33,'09월 화학성분'!$D$12:$D$949,$B35)))</f>
        <v>1814.125</v>
      </c>
      <c r="U35" s="1057">
        <f>IF($C35&lt;1,"",(AVERAGEIFS('09월 고철장입'!$AJ$14:$AJ$949,'09월 고철장입'!$B$14:$B$949,$A33,'09월 고철장입'!$C$14:$C$949,$B35))/1000)</f>
        <v>158.82499999999999</v>
      </c>
      <c r="V35" s="1102">
        <f>IF($C35&lt;1,"",(AVERAGEIFS('09월 고철장입'!$AK$14:$AK$949,'09월 고철장입'!$B$14:$B$949,$A33,'09월 고철장입'!$C$14:$C$949,$B35)))</f>
        <v>144.375</v>
      </c>
      <c r="W35" s="1058">
        <f t="shared" si="2"/>
        <v>90.901936093184332</v>
      </c>
      <c r="X35" s="1059">
        <f>IF($C35&lt;1,"",(AVERAGEIFS('09월 에너지'!$O$14:$O$949,'09월 에너지'!$A$14:$A$949,$A33,'09월 에너지'!$C$14:$C$949,$B35)))</f>
        <v>160.8107825351365</v>
      </c>
      <c r="Y35" s="1060">
        <f>IF($C35&lt;1,"",(AVERAGEIFS('09월 에너지'!$P$14:$P$949,'09월 에너지'!$A$14:$A$949,$A33,'09월 에너지'!$C$14:$C$949,$B35)))</f>
        <v>141.93365355640387</v>
      </c>
      <c r="Z35" s="1060">
        <f>IF($C35&lt;1,"",(AVERAGEIFS('09월 에너지'!$Q$14:$Q$949,'09월 에너지'!$A$14:$A$949,$A33,'09월 에너지'!$C$14:$C$949,$B35)))</f>
        <v>93.090491060025158</v>
      </c>
      <c r="AA35" s="1061">
        <f>IF($C35&lt;1,"",(AVERAGEIFS('09월 에너지'!$R$14:$R$949,'09월 에너지'!$B$14:$B$949,$A33,'09월 에너지'!$C$14:$C$949,$B35)))</f>
        <v>395.83492715156558</v>
      </c>
      <c r="AB35" s="1062">
        <f>IF($C35&lt;1,"",(AVERAGEIFS('09월 에너지'!$X$14:$X$949,'09월 에너지'!$A$14:$A$949,$A33,'09월 에너지'!$C$14:$C$949,$B35)))</f>
        <v>2.5643736934923482</v>
      </c>
      <c r="AC35" s="1063">
        <f>IF($C35&lt;1,"",(AVERAGEIFS('09월 에너지'!$AC$14:$AC$949,'09월 에너지'!$A$14:$A$949,$A33,'09월 에너지'!$C$14:$C$949,$B35)))</f>
        <v>26.537869787935431</v>
      </c>
      <c r="AD35" s="1064">
        <f>IF($C35&lt;1,"",(AVERAGEIFS('09월 에너지'!$AD$14:$AD$949,'09월 에너지'!$B$14:$B$949,$A33,'09월 에너지'!$C$14:$C$949,$B35)))</f>
        <v>4201.625</v>
      </c>
      <c r="AE35" s="1065">
        <f>IF($C35&lt;1,"",(AVERAGEIFS('09월 에너지'!$AE$14:$AE$949,'09월 에너지'!$B$14:$B$949,$A33,'09월 에너지'!$C$14:$C$949,$B35)))</f>
        <v>29.102243481427781</v>
      </c>
      <c r="AF35" s="1066">
        <f>IF($C35&lt;1,"",(AVERAGEIFS('09월 에너지'!$AI$14:$AI$949,'09월 에너지'!$B$14:$B$949,$A33,'09월 에너지'!$C$14:$C$949,$B35)))</f>
        <v>149.5</v>
      </c>
      <c r="AG35" s="1067">
        <f>IF($C35&lt;1,"",(AVERAGEIFS('09월 에너지'!$AJ$14:$AJ$949,'09월 에너지'!$B$14:$B$949,$A33,'09월 에너지'!$C$14:$C$949,$B35)))</f>
        <v>1.0360564676592092</v>
      </c>
    </row>
    <row r="36" spans="1:35" ht="16.5" customHeight="1" thickTop="1" thickBot="1">
      <c r="A36" s="1632"/>
      <c r="B36" s="783" t="s">
        <v>94</v>
      </c>
      <c r="C36" s="784">
        <f>COUNTIFS('09월 조업일지'!$B$12:$B$952,A33,'09월 조업일지'!$E$12:$E$952,B36)</f>
        <v>9</v>
      </c>
      <c r="D36" s="1068">
        <f t="shared" si="3"/>
        <v>49.222222222222207</v>
      </c>
      <c r="E36" s="1069">
        <f>IF($C36&lt;1,"",(SUMIFS('09월 조업일지'!$K$12:$K$954,'09월 조업일지'!$B$12:$B$954,$A33,'09월 조업일지'!$E$12:$E$954,$B36)/$C36))</f>
        <v>3.3333333333333335</v>
      </c>
      <c r="F36" s="1070">
        <f>IF($C36&lt;1,"",(AVERAGEIFS('09월 조업일지'!$J$12:$J$954,'09월 조업일지'!$B$12:$B$954,$A33,'09월 조업일지'!$E$12:$E$954,$B36)))</f>
        <v>52.555555555555543</v>
      </c>
      <c r="G36" s="1071">
        <f>IF($C36&lt;1,"",(AVERAGEIFS('09월 에너지'!$M$14:$M$950,'09월 에너지'!$B$14:$B$950,$A33,'09월 에너지'!$C$14:$C$950,$B36)))</f>
        <v>46.444444444444443</v>
      </c>
      <c r="H36" s="1072">
        <f>IF($C36&lt;1,"",(AVERAGEIFS('09월 조업일지'!$AJ$12:$AJ$954,'09월 조업일지'!$B$12:$B$954,$A33,'09월 조업일지'!$E$12:$E$954,$B36)))</f>
        <v>12.777777777777779</v>
      </c>
      <c r="I36" s="1073">
        <f>IF($C36&lt;1,"",(AVERAGEIFS('09월 조업일지'!$AL$12:$AL$954,'09월 조업일지'!$B$12:$B$954,$A33,'09월 조업일지'!$E$12:$E$954,$B36)))</f>
        <v>6.333333333333333</v>
      </c>
      <c r="J36" s="1074">
        <f>IF($C36&lt;1,"",(AVERAGEIFS('09월 화학성분'!G$12:G$950,'09월 화학성분'!$B$12:$B$950,$A33,'09월 화학성분'!$D$12:$D$950,$B36)))</f>
        <v>10.222222222222221</v>
      </c>
      <c r="K36" s="1075">
        <f>IF($C36&lt;1,"",(AVERAGEIFS('09월 화학성분'!H$12:H$950,'09월 화학성분'!$B$12:$B$950,$A33,'09월 화학성분'!$D$12:$D$950,$B36)))</f>
        <v>26.555555555555557</v>
      </c>
      <c r="L36" s="1075">
        <f>IF($C36&lt;1,"",(AVERAGEIFS('09월 화학성분'!I$12:I$950,'09월 화학성분'!$B$12:$B$950,$A33,'09월 화학성분'!$D$12:$D$950,$B36)))</f>
        <v>125.88888888888889</v>
      </c>
      <c r="M36" s="1075">
        <f>IF($C36&lt;1,"",(AVERAGEIFS('09월 화학성분'!J$12:J$950,'09월 화학성분'!$B$12:$B$950,$A33,'09월 화학성분'!$D$12:$D$950,$B36)))</f>
        <v>13.666666666666666</v>
      </c>
      <c r="N36" s="1075">
        <f>IF($C36&lt;1,"",(AVERAGEIFS('09월 화학성분'!K$12:K$950,'09월 화학성분'!$B$12:$B$950,$A33,'09월 화학성분'!$D$12:$D$950,$B36)))</f>
        <v>26.888888888888889</v>
      </c>
      <c r="O36" s="1075">
        <f>IF($C36&lt;1,"",(AVERAGEIFS('09월 화학성분'!L$12:L$950,'09월 화학성분'!$B$12:$B$950,$A33,'09월 화학성분'!$D$12:$D$950,$B36)))</f>
        <v>11.444444444444445</v>
      </c>
      <c r="P36" s="1075">
        <f>IF($C36&lt;1,"",(AVERAGEIFS('09월 화학성분'!M$12:M$950,'09월 화학성분'!$B$12:$B$950,$A33,'09월 화학성분'!$D$12:$D$950,$B36)))</f>
        <v>10.444444444444445</v>
      </c>
      <c r="Q36" s="1075">
        <f>IF($C36&lt;1,"",(AVERAGEIFS('09월 조업일지'!$AK$12:$AK$954,'09월 조업일지'!$B$12:$B$954,$A33,'09월 조업일지'!$E$12:$E$954,$B36)))</f>
        <v>643.77777777777783</v>
      </c>
      <c r="R36" s="1075">
        <f>IF($C36&lt;1,"",(AVERAGEIFS('09월 화학성분'!$G$12:$G$950,'09월 화학성분'!$B$12:$B$950,$A33,'09월 화학성분'!$D$12:$D$950,$B36)))</f>
        <v>10.222222222222221</v>
      </c>
      <c r="S36" s="1076">
        <f>IF($C36&lt;1,"",(AVERAGEIFS('09월 조업일지'!$AI$12:$AI$954,'09월 조업일지'!$B$12:$B$954,$A33,'09월 조업일지'!$E$12:$E$954,$B36)))</f>
        <v>1561.5555555555557</v>
      </c>
      <c r="T36" s="1077">
        <f>IF($C36&lt;1,"",(AVERAGEIFS('09월 화학성분'!$AM$12:$AM$949,'09월 화학성분'!$B$12:$B$949,$A33,'09월 화학성분'!$D$12:$D$949,$B36)))</f>
        <v>2325.2222222222222</v>
      </c>
      <c r="U36" s="1078">
        <f>IF($C36&lt;1,"",(AVERAGEIFS('09월 고철장입'!$AJ$14:$AJ$949,'09월 고철장입'!$B$14:$B$949,$A33,'09월 고철장입'!$C$14:$C$949,$B36))/1000)</f>
        <v>158.78888888888886</v>
      </c>
      <c r="V36" s="1103">
        <f>IF($C36&lt;1,"",(AVERAGEIFS('09월 고철장입'!$AK$14:$AK$949,'09월 고철장입'!$B$14:$B$949,$A33,'09월 고철장입'!$C$14:$C$949,$B36)))</f>
        <v>146.15555555555554</v>
      </c>
      <c r="W36" s="1079">
        <f t="shared" si="2"/>
        <v>92.043943740815905</v>
      </c>
      <c r="X36" s="1080">
        <f>IF($C36&lt;1,"",(AVERAGEIFS('09월 에너지'!$O$14:$O$949,'09월 에너지'!$A$14:$A$949,$A33,'09월 에너지'!$C$14:$C$949,$B36)))</f>
        <v>159.12180463737502</v>
      </c>
      <c r="Y36" s="1081">
        <f>IF($C36&lt;1,"",(AVERAGEIFS('09월 에너지'!$P$14:$P$949,'09월 에너지'!$A$14:$A$949,$A33,'09월 에너지'!$C$14:$C$949,$B36)))</f>
        <v>139.73419382322174</v>
      </c>
      <c r="Z36" s="1081">
        <f>IF($C36&lt;1,"",(AVERAGEIFS('09월 에너지'!$Q$14:$Q$949,'09월 에너지'!$A$14:$A$949,$A33,'09월 에너지'!$C$14:$C$949,$B36)))</f>
        <v>96.413108546472486</v>
      </c>
      <c r="AA36" s="1082">
        <f>IF($C36&lt;1,"",(AVERAGEIFS('09월 에너지'!$R$14:$R$949,'09월 에너지'!$B$14:$B$949,$A33,'09월 에너지'!$C$14:$C$949,$B36)))</f>
        <v>395.26910700706924</v>
      </c>
      <c r="AB36" s="1083">
        <f>IF($C36&lt;1,"",(AVERAGEIFS('09월 에너지'!$X$14:$X$949,'09월 에너지'!$A$14:$A$949,$A33,'09월 에너지'!$C$14:$C$949,$B36)))</f>
        <v>2.3287086040728209</v>
      </c>
      <c r="AC36" s="1084">
        <f>IF($C36&lt;1,"",(AVERAGEIFS('09월 에너지'!$AC$14:$AC$949,'09월 에너지'!$A$14:$A$949,$A33,'09월 에너지'!$C$14:$C$949,$B36)))</f>
        <v>25.416482143066435</v>
      </c>
      <c r="AD36" s="1085">
        <f>IF($C36&lt;1,"",(AVERAGEIFS('09월 에너지'!$AD$14:$AD$949,'09월 에너지'!$B$14:$B$949,$A33,'09월 에너지'!$C$14:$C$949,$B36)))</f>
        <v>4054.8888888888887</v>
      </c>
      <c r="AE36" s="1086">
        <f>IF($C36&lt;1,"",(AVERAGEIFS('09월 에너지'!$AE$14:$AE$949,'09월 에너지'!$B$14:$B$949,$A33,'09월 에너지'!$C$14:$C$949,$B36)))</f>
        <v>27.745190747139262</v>
      </c>
      <c r="AF36" s="1087">
        <f>IF($C36&lt;1,"",(AVERAGEIFS('09월 에너지'!$AI$14:$AI$949,'09월 에너지'!$B$14:$B$949,$A33,'09월 에너지'!$C$14:$C$949,$B36)))</f>
        <v>143</v>
      </c>
      <c r="AG36" s="1088">
        <f>IF($C36&lt;1,"",(AVERAGEIFS('09월 에너지'!$AJ$14:$AJ$949,'09월 에너지'!$B$14:$B$949,$A33,'09월 에너지'!$C$14:$C$949,$B36)))</f>
        <v>0.97860501844508851</v>
      </c>
    </row>
    <row r="37" spans="1:35" ht="16.5" customHeight="1" thickTop="1" thickBot="1">
      <c r="A37" s="1632">
        <f t="shared" ref="A37" si="10">A33+1</f>
        <v>46274</v>
      </c>
      <c r="B37" s="775" t="s">
        <v>128</v>
      </c>
      <c r="C37" s="776">
        <f>COUNTIFS('09월 조업일지'!$B$12:$B$952,A37,'09월 조업일지'!$E$12:$E$952,B37)</f>
        <v>0</v>
      </c>
      <c r="D37" s="1026" t="str">
        <f t="shared" si="3"/>
        <v/>
      </c>
      <c r="E37" s="1027" t="str">
        <f>IF($C37&lt;1,"",(SUMIFS('09월 조업일지'!$K$12:$K$954,'09월 조업일지'!$B$12:$B$954,$A37,'09월 조업일지'!$E$12:$E$954,$B37)/$C37))</f>
        <v/>
      </c>
      <c r="F37" s="1028" t="str">
        <f>IF($C37&lt;1,"",(AVERAGEIFS('09월 조업일지'!$J$12:$J$954,'09월 조업일지'!$B$12:$B$954,$A37,'09월 조업일지'!$E$12:$E$954,$B37)))</f>
        <v/>
      </c>
      <c r="G37" s="1029" t="str">
        <f>IF($C37&lt;1,"",(AVERAGEIFS('09월 에너지'!$M$14:$M$950,'09월 에너지'!$B$14:$B$950,$A37,'09월 에너지'!$C$14:$C$950,$B37)))</f>
        <v/>
      </c>
      <c r="H37" s="1030" t="str">
        <f>IF($C37&lt;1,"",(AVERAGEIFS('09월 조업일지'!$AJ$12:$AJ$954,'09월 조업일지'!$B$12:$B$954,$A37,'09월 조업일지'!$E$12:$E$954,$B37)))</f>
        <v/>
      </c>
      <c r="I37" s="1031" t="str">
        <f>IF($C37&lt;1,"",(AVERAGEIFS('09월 조업일지'!$AL$12:$AL$954,'09월 조업일지'!$B$12:$B$954,$A37,'09월 조업일지'!$E$12:$E$954,$B37)))</f>
        <v/>
      </c>
      <c r="J37" s="1032" t="str">
        <f>IF($C37&lt;1,"",(AVERAGEIFS('09월 화학성분'!G$12:G$950,'09월 화학성분'!$B$12:$B$950,$A37,'09월 화학성분'!$D$12:$D$950,$B37)))</f>
        <v/>
      </c>
      <c r="K37" s="1033" t="str">
        <f>IF($C37&lt;1,"",(AVERAGEIFS('09월 화학성분'!H$12:H$950,'09월 화학성분'!$B$12:$B$950,$A37,'09월 화학성분'!$D$12:$D$950,$B37)))</f>
        <v/>
      </c>
      <c r="L37" s="1033" t="str">
        <f>IF($C37&lt;1,"",(AVERAGEIFS('09월 화학성분'!I$12:I$950,'09월 화학성분'!$B$12:$B$950,$A37,'09월 화학성분'!$D$12:$D$950,$B37)))</f>
        <v/>
      </c>
      <c r="M37" s="1033" t="str">
        <f>IF($C37&lt;1,"",(AVERAGEIFS('09월 화학성분'!J$12:J$950,'09월 화학성분'!$B$12:$B$950,$A37,'09월 화학성분'!$D$12:$D$950,$B37)))</f>
        <v/>
      </c>
      <c r="N37" s="1033" t="str">
        <f>IF($C37&lt;1,"",(AVERAGEIFS('09월 화학성분'!K$12:K$950,'09월 화학성분'!$B$12:$B$950,$A37,'09월 화학성분'!$D$12:$D$950,$B37)))</f>
        <v/>
      </c>
      <c r="O37" s="1033" t="str">
        <f>IF($C37&lt;1,"",(AVERAGEIFS('09월 화학성분'!L$12:L$950,'09월 화학성분'!$B$12:$B$950,$A37,'09월 화학성분'!$D$12:$D$950,$B37)))</f>
        <v/>
      </c>
      <c r="P37" s="1033" t="str">
        <f>IF($C37&lt;1,"",(AVERAGEIFS('09월 화학성분'!M$12:M$950,'09월 화학성분'!$B$12:$B$950,$A37,'09월 화학성분'!$D$12:$D$950,$B37)))</f>
        <v/>
      </c>
      <c r="Q37" s="1033" t="str">
        <f>IF($C37&lt;1,"",(AVERAGEIFS('09월 조업일지'!$AK$12:$AK$954,'09월 조업일지'!$B$12:$B$954,$A37,'09월 조업일지'!$E$12:$E$954,$B37)))</f>
        <v/>
      </c>
      <c r="R37" s="1033" t="str">
        <f>IF($C37&lt;1,"",(AVERAGEIFS('09월 화학성분'!$G$12:$G$950,'09월 화학성분'!$B$12:$B$950,$A37,'09월 화학성분'!$D$12:$D$950,$B37)))</f>
        <v/>
      </c>
      <c r="S37" s="1034" t="str">
        <f>IF($C37&lt;1,"",(AVERAGEIFS('09월 조업일지'!$AI$12:$AI$954,'09월 조업일지'!$B$12:$B$954,$A37,'09월 조업일지'!$E$12:$E$954,$B37)))</f>
        <v/>
      </c>
      <c r="T37" s="1035" t="str">
        <f>IF($C37&lt;1,"",(AVERAGEIFS('09월 화학성분'!$AM$12:$AM$949,'09월 화학성분'!$B$12:$B$949,$A37,'09월 화학성분'!$D$12:$D$949,$B37)))</f>
        <v/>
      </c>
      <c r="U37" s="1036" t="str">
        <f>IF($C37&lt;1,"",(AVERAGEIFS('09월 고철장입'!$AJ$14:$AJ$949,'09월 고철장입'!$B$14:$B$949,$A37,'09월 고철장입'!$C$14:$C$949,$B37))/1000)</f>
        <v/>
      </c>
      <c r="V37" s="1101" t="str">
        <f>IF($C37&lt;1,"",(AVERAGEIFS('09월 고철장입'!$AK$14:$AK$949,'09월 고철장입'!$B$14:$B$949,$A37,'09월 고철장입'!$C$14:$C$949,$B37)))</f>
        <v/>
      </c>
      <c r="W37" s="1037" t="str">
        <f t="shared" si="2"/>
        <v/>
      </c>
      <c r="X37" s="1038" t="str">
        <f>IF($C37&lt;1,"",(AVERAGEIFS('09월 에너지'!$O$14:$O$949,'09월 에너지'!$A$14:$A$949,$A37,'09월 에너지'!$C$14:$C$949,$B37)))</f>
        <v/>
      </c>
      <c r="Y37" s="1039" t="str">
        <f>IF($C37&lt;1,"",(AVERAGEIFS('09월 에너지'!$P$14:$P$949,'09월 에너지'!$A$14:$A$949,$A37,'09월 에너지'!$C$14:$C$949,$B37)))</f>
        <v/>
      </c>
      <c r="Z37" s="1039" t="str">
        <f>IF($C37&lt;1,"",(AVERAGEIFS('09월 에너지'!$Q$14:$Q$949,'09월 에너지'!$A$14:$A$949,$A37,'09월 에너지'!$C$14:$C$949,$B37)))</f>
        <v/>
      </c>
      <c r="AA37" s="1040" t="str">
        <f>IF($C37&lt;1,"",(AVERAGEIFS('09월 에너지'!$R$14:$R$949,'09월 에너지'!$B$14:$B$949,$A37,'09월 에너지'!$C$14:$C$949,$B37)))</f>
        <v/>
      </c>
      <c r="AB37" s="1041" t="str">
        <f>IF($C37&lt;1,"",(AVERAGEIFS('09월 에너지'!$X$14:$X$949,'09월 에너지'!$A$14:$A$949,$A37,'09월 에너지'!$C$14:$C$949,$B37)))</f>
        <v/>
      </c>
      <c r="AC37" s="1042" t="str">
        <f>IF($C37&lt;1,"",(AVERAGEIFS('09월 에너지'!$AC$14:$AC$949,'09월 에너지'!$A$14:$A$949,$A37,'09월 에너지'!$C$14:$C$949,$B37)))</f>
        <v/>
      </c>
      <c r="AD37" s="1043" t="str">
        <f>IF($C37&lt;1,"",(AVERAGEIFS('09월 에너지'!$AD$14:$AD$949,'09월 에너지'!$B$14:$B$949,$A37,'09월 에너지'!$C$14:$C$949,$B37)))</f>
        <v/>
      </c>
      <c r="AE37" s="1044" t="str">
        <f>IF($C37&lt;1,"",(AVERAGEIFS('09월 에너지'!$AE$14:$AE$949,'09월 에너지'!$B$14:$B$949,$A37,'09월 에너지'!$C$14:$C$949,$B37)))</f>
        <v/>
      </c>
      <c r="AF37" s="1045" t="str">
        <f>IF($C37&lt;1,"",(AVERAGEIFS('09월 에너지'!$AI$14:$AI$949,'09월 에너지'!$B$14:$B$949,$A37,'09월 에너지'!$C$14:$C$949,$B37)))</f>
        <v/>
      </c>
      <c r="AG37" s="1046" t="str">
        <f>IF($C37&lt;1,"",(AVERAGEIFS('09월 에너지'!$AJ$14:$AJ$949,'09월 에너지'!$B$14:$B$949,$A37,'09월 에너지'!$C$14:$C$949,$B37)))</f>
        <v/>
      </c>
    </row>
    <row r="38" spans="1:35" ht="16.5" customHeight="1" thickTop="1" thickBot="1">
      <c r="A38" s="1632"/>
      <c r="B38" s="781" t="s">
        <v>100</v>
      </c>
      <c r="C38" s="782">
        <f>COUNTIFS('09월 조업일지'!$B$12:$B$952,A37,'09월 조업일지'!$E$12:$E$952,B38)</f>
        <v>9</v>
      </c>
      <c r="D38" s="1047">
        <f t="shared" si="3"/>
        <v>49.000000000000007</v>
      </c>
      <c r="E38" s="1048">
        <f>IF($C38&lt;1,"",(SUMIFS('09월 조업일지'!$K$12:$K$954,'09월 조업일지'!$B$12:$B$954,$A37,'09월 조업일지'!$E$12:$E$954,$B38)/$C38))</f>
        <v>0</v>
      </c>
      <c r="F38" s="1049">
        <f>IF($C38&lt;1,"",(AVERAGEIFS('09월 조업일지'!$J$12:$J$954,'09월 조업일지'!$B$12:$B$954,$A37,'09월 조업일지'!$E$12:$E$954,$B38)))</f>
        <v>49.000000000000007</v>
      </c>
      <c r="G38" s="1050">
        <f>IF($C38&lt;1,"",(AVERAGEIFS('09월 에너지'!$M$14:$M$950,'09월 에너지'!$B$14:$B$950,$A37,'09월 에너지'!$C$14:$C$950,$B38)))</f>
        <v>46.74444444444444</v>
      </c>
      <c r="H38" s="1051">
        <f>IF($C38&lt;1,"",(AVERAGEIFS('09월 조업일지'!$AJ$12:$AJ$954,'09월 조업일지'!$B$12:$B$954,$A37,'09월 조업일지'!$E$12:$E$954,$B38)))</f>
        <v>4.666666666666667</v>
      </c>
      <c r="I38" s="1052">
        <f>IF($C38&lt;1,"",(AVERAGEIFS('09월 조업일지'!$AL$12:$AL$954,'09월 조업일지'!$B$12:$B$954,$A37,'09월 조업일지'!$E$12:$E$954,$B38)))</f>
        <v>7.5555555555555554</v>
      </c>
      <c r="J38" s="1053">
        <f>IF($C38&lt;1,"",(AVERAGEIFS('09월 화학성분'!G$12:G$950,'09월 화학성분'!$B$12:$B$950,$A37,'09월 화학성분'!$D$12:$D$950,$B38)))</f>
        <v>11.666666666666666</v>
      </c>
      <c r="K38" s="1054">
        <f>IF($C38&lt;1,"",(AVERAGEIFS('09월 화학성분'!H$12:H$950,'09월 화학성분'!$B$12:$B$950,$A37,'09월 화학성분'!$D$12:$D$950,$B38)))</f>
        <v>20.111111111111111</v>
      </c>
      <c r="L38" s="1054">
        <f>IF($C38&lt;1,"",(AVERAGEIFS('09월 화학성분'!I$12:I$950,'09월 화학성분'!$B$12:$B$950,$A37,'09월 화학성분'!$D$12:$D$950,$B38)))</f>
        <v>126.88888888888889</v>
      </c>
      <c r="M38" s="1054">
        <f>IF($C38&lt;1,"",(AVERAGEIFS('09월 화학성분'!J$12:J$950,'09월 화학성분'!$B$12:$B$950,$A37,'09월 화학성분'!$D$12:$D$950,$B38)))</f>
        <v>16.444444444444443</v>
      </c>
      <c r="N38" s="1054">
        <f>IF($C38&lt;1,"",(AVERAGEIFS('09월 화학성분'!K$12:K$950,'09월 화학성분'!$B$12:$B$950,$A37,'09월 화학성분'!$D$12:$D$950,$B38)))</f>
        <v>29.777777777777779</v>
      </c>
      <c r="O38" s="1054">
        <f>IF($C38&lt;1,"",(AVERAGEIFS('09월 화학성분'!L$12:L$950,'09월 화학성분'!$B$12:$B$950,$A37,'09월 화학성분'!$D$12:$D$950,$B38)))</f>
        <v>14.444444444444445</v>
      </c>
      <c r="P38" s="1054">
        <f>IF($C38&lt;1,"",(AVERAGEIFS('09월 화학성분'!M$12:M$950,'09월 화학성분'!$B$12:$B$950,$A37,'09월 화학성분'!$D$12:$D$950,$B38)))</f>
        <v>9.4444444444444446</v>
      </c>
      <c r="Q38" s="1054">
        <f>IF($C38&lt;1,"",(AVERAGEIFS('09월 조업일지'!$AK$12:$AK$954,'09월 조업일지'!$B$12:$B$954,$A37,'09월 조업일지'!$E$12:$E$954,$B38)))</f>
        <v>521.55555555555554</v>
      </c>
      <c r="R38" s="1054">
        <f>IF($C38&lt;1,"",(AVERAGEIFS('09월 화학성분'!$G$12:$G$950,'09월 화학성분'!$B$12:$B$950,$A37,'09월 화학성분'!$D$12:$D$950,$B38)))</f>
        <v>11.666666666666666</v>
      </c>
      <c r="S38" s="1055">
        <f>IF($C38&lt;1,"",(AVERAGEIFS('09월 조업일지'!$AI$12:$AI$954,'09월 조업일지'!$B$12:$B$954,$A37,'09월 조업일지'!$E$12:$E$954,$B38)))</f>
        <v>1563.5555555555557</v>
      </c>
      <c r="T38" s="1056">
        <f>IF($C38&lt;1,"",(AVERAGEIFS('09월 화학성분'!$AM$12:$AM$949,'09월 화학성분'!$B$12:$B$949,$A37,'09월 화학성분'!$D$12:$D$949,$B38)))</f>
        <v>2512.3333333333335</v>
      </c>
      <c r="U38" s="1057">
        <f>IF($C38&lt;1,"",(AVERAGEIFS('09월 고철장입'!$AJ$14:$AJ$949,'09월 고철장입'!$B$14:$B$949,$A37,'09월 고철장입'!$C$14:$C$949,$B38))/1000)</f>
        <v>158.54444444444445</v>
      </c>
      <c r="V38" s="1102">
        <f>IF($C38&lt;1,"",(AVERAGEIFS('09월 고철장입'!$AK$14:$AK$949,'09월 고철장입'!$B$14:$B$949,$A37,'09월 고철장입'!$C$14:$C$949,$B38)))</f>
        <v>143.15555555555557</v>
      </c>
      <c r="W38" s="1058">
        <f t="shared" si="2"/>
        <v>90.293643562968668</v>
      </c>
      <c r="X38" s="1059">
        <f>IF($C38&lt;1,"",(AVERAGEIFS('09월 에너지'!$O$14:$O$949,'09월 에너지'!$A$14:$A$949,$A37,'09월 에너지'!$C$14:$C$949,$B38)))</f>
        <v>161.8129978942126</v>
      </c>
      <c r="Y38" s="1060">
        <f>IF($C38&lt;1,"",(AVERAGEIFS('09월 에너지'!$P$14:$P$949,'09월 에너지'!$A$14:$A$949,$A37,'09월 에너지'!$C$14:$C$949,$B38)))</f>
        <v>142.69147215518186</v>
      </c>
      <c r="Z38" s="1060">
        <f>IF($C38&lt;1,"",(AVERAGEIFS('09월 에너지'!$Q$14:$Q$949,'09월 에너지'!$A$14:$A$949,$A37,'09월 에너지'!$C$14:$C$949,$B38)))</f>
        <v>108.0924482796064</v>
      </c>
      <c r="AA38" s="1061">
        <f>IF($C38&lt;1,"",(AVERAGEIFS('09월 에너지'!$R$14:$R$949,'09월 에너지'!$B$14:$B$949,$A37,'09월 에너지'!$C$14:$C$949,$B38)))</f>
        <v>408.32848020541991</v>
      </c>
      <c r="AB38" s="1062">
        <f>IF($C38&lt;1,"",(AVERAGEIFS('09월 에너지'!$X$14:$X$949,'09월 에너지'!$A$14:$A$949,$A37,'09월 에너지'!$C$14:$C$949,$B38)))</f>
        <v>2.190136283232019</v>
      </c>
      <c r="AC38" s="1063">
        <f>IF($C38&lt;1,"",(AVERAGEIFS('09월 에너지'!$AC$14:$AC$949,'09월 에너지'!$A$14:$A$949,$A37,'09월 에너지'!$C$14:$C$949,$B38)))</f>
        <v>26.173277458434523</v>
      </c>
      <c r="AD38" s="1064">
        <f>IF($C38&lt;1,"",(AVERAGEIFS('09월 에너지'!$AD$14:$AD$949,'09월 에너지'!$B$14:$B$949,$A37,'09월 에너지'!$C$14:$C$949,$B38)))</f>
        <v>4019</v>
      </c>
      <c r="AE38" s="1065">
        <f>IF($C38&lt;1,"",(AVERAGEIFS('09월 에너지'!$AE$14:$AE$949,'09월 에너지'!$B$14:$B$949,$A37,'09월 에너지'!$C$14:$C$949,$B38)))</f>
        <v>28.090524440422339</v>
      </c>
      <c r="AF38" s="1066">
        <f>IF($C38&lt;1,"",(AVERAGEIFS('09월 에너지'!$AI$14:$AI$949,'09월 에너지'!$B$14:$B$949,$A37,'09월 에너지'!$C$14:$C$949,$B38)))</f>
        <v>148.33333333333334</v>
      </c>
      <c r="AG38" s="1067">
        <f>IF($C38&lt;1,"",(AVERAGEIFS('09월 에너지'!$AJ$14:$AJ$949,'09월 에너지'!$B$14:$B$949,$A37,'09월 에너지'!$C$14:$C$949,$B38)))</f>
        <v>1.0366957323575032</v>
      </c>
    </row>
    <row r="39" spans="1:35" ht="16.5" customHeight="1" thickTop="1" thickBot="1">
      <c r="A39" s="1632"/>
      <c r="B39" s="781" t="s">
        <v>93</v>
      </c>
      <c r="C39" s="782">
        <f>COUNTIFS('09월 조업일지'!$B$12:$B$952,A37,'09월 조업일지'!$E$12:$E$952,B39)</f>
        <v>10</v>
      </c>
      <c r="D39" s="1047">
        <f t="shared" si="3"/>
        <v>46.7</v>
      </c>
      <c r="E39" s="1048">
        <f>IF($C39&lt;1,"",(SUMIFS('09월 조업일지'!$K$12:$K$954,'09월 조업일지'!$B$12:$B$954,$A37,'09월 조업일지'!$E$12:$E$954,$B39)/$C39))</f>
        <v>0</v>
      </c>
      <c r="F39" s="1049">
        <f>IF($C39&lt;1,"",(AVERAGEIFS('09월 조업일지'!$J$12:$J$954,'09월 조업일지'!$B$12:$B$954,$A37,'09월 조업일지'!$E$12:$E$954,$B39)))</f>
        <v>46.7</v>
      </c>
      <c r="G39" s="1050">
        <f>IF($C39&lt;1,"",(AVERAGEIFS('09월 에너지'!$M$14:$M$950,'09월 에너지'!$B$14:$B$950,$A37,'09월 에너지'!$C$14:$C$950,$B39)))</f>
        <v>45.31</v>
      </c>
      <c r="H39" s="1051">
        <f>IF($C39&lt;1,"",(AVERAGEIFS('09월 조업일지'!$AJ$12:$AJ$954,'09월 조업일지'!$B$12:$B$954,$A37,'09월 조업일지'!$E$12:$E$954,$B39)))</f>
        <v>6.2</v>
      </c>
      <c r="I39" s="1052">
        <f>IF($C39&lt;1,"",(AVERAGEIFS('09월 조업일지'!$AL$12:$AL$954,'09월 조업일지'!$B$12:$B$954,$A37,'09월 조업일지'!$E$12:$E$954,$B39)))</f>
        <v>6.375</v>
      </c>
      <c r="J39" s="1053">
        <f>IF($C39&lt;1,"",(AVERAGEIFS('09월 화학성분'!G$12:G$950,'09월 화학성분'!$B$12:$B$950,$A37,'09월 화학성분'!$D$12:$D$950,$B39)))</f>
        <v>10.7</v>
      </c>
      <c r="K39" s="1054">
        <f>IF($C39&lt;1,"",(AVERAGEIFS('09월 화학성분'!H$12:H$950,'09월 화학성분'!$B$12:$B$950,$A37,'09월 화학성분'!$D$12:$D$950,$B39)))</f>
        <v>20.399999999999999</v>
      </c>
      <c r="L39" s="1054">
        <f>IF($C39&lt;1,"",(AVERAGEIFS('09월 화학성분'!I$12:I$950,'09월 화학성분'!$B$12:$B$950,$A37,'09월 화학성분'!$D$12:$D$950,$B39)))</f>
        <v>92.2</v>
      </c>
      <c r="M39" s="1054">
        <f>IF($C39&lt;1,"",(AVERAGEIFS('09월 화학성분'!J$12:J$950,'09월 화학성분'!$B$12:$B$950,$A37,'09월 화학성분'!$D$12:$D$950,$B39)))</f>
        <v>14.6</v>
      </c>
      <c r="N39" s="1054">
        <f>IF($C39&lt;1,"",(AVERAGEIFS('09월 화학성분'!K$12:K$950,'09월 화학성분'!$B$12:$B$950,$A37,'09월 화학성분'!$D$12:$D$950,$B39)))</f>
        <v>32.4</v>
      </c>
      <c r="O39" s="1054">
        <f>IF($C39&lt;1,"",(AVERAGEIFS('09월 화학성분'!L$12:L$950,'09월 화학성분'!$B$12:$B$950,$A37,'09월 화학성분'!$D$12:$D$950,$B39)))</f>
        <v>12.1</v>
      </c>
      <c r="P39" s="1054">
        <f>IF($C39&lt;1,"",(AVERAGEIFS('09월 화학성분'!M$12:M$950,'09월 화학성분'!$B$12:$B$950,$A37,'09월 화학성분'!$D$12:$D$950,$B39)))</f>
        <v>10.7</v>
      </c>
      <c r="Q39" s="1054">
        <f>IF($C39&lt;1,"",(AVERAGEIFS('09월 조업일지'!$AK$12:$AK$954,'09월 조업일지'!$B$12:$B$954,$A37,'09월 조업일지'!$E$12:$E$954,$B39)))</f>
        <v>655.625</v>
      </c>
      <c r="R39" s="1054">
        <f>IF($C39&lt;1,"",(AVERAGEIFS('09월 화학성분'!$G$12:$G$950,'09월 화학성분'!$B$12:$B$950,$A37,'09월 화학성분'!$D$12:$D$950,$B39)))</f>
        <v>10.7</v>
      </c>
      <c r="S39" s="1055">
        <f>IF($C39&lt;1,"",(AVERAGEIFS('09월 조업일지'!$AI$12:$AI$954,'09월 조업일지'!$B$12:$B$954,$A37,'09월 조업일지'!$E$12:$E$954,$B39)))</f>
        <v>1562.8</v>
      </c>
      <c r="T39" s="1056">
        <f>IF($C39&lt;1,"",(AVERAGEIFS('09월 화학성분'!$AM$12:$AM$949,'09월 화학성분'!$B$12:$B$949,$A37,'09월 화학성분'!$D$12:$D$949,$B39)))</f>
        <v>1729.1</v>
      </c>
      <c r="U39" s="1057">
        <f>IF($C39&lt;1,"",(AVERAGEIFS('09월 고철장입'!$AJ$14:$AJ$949,'09월 고철장입'!$B$14:$B$949,$A37,'09월 고철장입'!$C$14:$C$949,$B39))/1000)</f>
        <v>158.68</v>
      </c>
      <c r="V39" s="1102">
        <f>IF($C39&lt;1,"",(AVERAGEIFS('09월 고철장입'!$AK$14:$AK$949,'09월 고철장입'!$B$14:$B$949,$A37,'09월 고철장입'!$C$14:$C$949,$B39)))</f>
        <v>144.696</v>
      </c>
      <c r="W39" s="1058">
        <f t="shared" si="2"/>
        <v>91.187295185278543</v>
      </c>
      <c r="X39" s="1059">
        <f>IF($C39&lt;1,"",(AVERAGEIFS('09월 에너지'!$O$14:$O$949,'09월 에너지'!$A$14:$A$949,$A37,'09월 에너지'!$C$14:$C$949,$B39)))</f>
        <v>160.27132735888668</v>
      </c>
      <c r="Y39" s="1060">
        <f>IF($C39&lt;1,"",(AVERAGEIFS('09월 에너지'!$P$14:$P$949,'09월 에너지'!$A$14:$A$949,$A37,'09월 에너지'!$C$14:$C$949,$B39)))</f>
        <v>141.13771790902121</v>
      </c>
      <c r="Z39" s="1060">
        <f>IF($C39&lt;1,"",(AVERAGEIFS('09월 에너지'!$Q$14:$Q$949,'09월 에너지'!$A$14:$A$949,$A37,'09월 에너지'!$C$14:$C$949,$B39)))</f>
        <v>87.795966635717122</v>
      </c>
      <c r="AA39" s="1061">
        <f>IF($C39&lt;1,"",(AVERAGEIFS('09월 에너지'!$R$14:$R$949,'09월 에너지'!$B$14:$B$949,$A37,'09월 에너지'!$C$14:$C$949,$B39)))</f>
        <v>389.20501190362495</v>
      </c>
      <c r="AB39" s="1062">
        <f>IF($C39&lt;1,"",(AVERAGEIFS('09월 에너지'!$X$14:$X$949,'09월 에너지'!$A$14:$A$949,$A37,'09월 에너지'!$C$14:$C$949,$B39)))</f>
        <v>2.3446323505028381</v>
      </c>
      <c r="AC39" s="1063">
        <f>IF($C39&lt;1,"",(AVERAGEIFS('09월 에너지'!$AC$14:$AC$949,'09월 에너지'!$A$14:$A$949,$A37,'09월 에너지'!$C$14:$C$949,$B39)))</f>
        <v>25.999073090604934</v>
      </c>
      <c r="AD39" s="1064">
        <f>IF($C39&lt;1,"",(AVERAGEIFS('09월 에너지'!$AD$14:$AD$949,'09월 에너지'!$B$14:$B$949,$A37,'09월 에너지'!$C$14:$C$949,$B39)))</f>
        <v>4101.1000000000004</v>
      </c>
      <c r="AE39" s="1065">
        <f>IF($C39&lt;1,"",(AVERAGEIFS('09월 에너지'!$AE$14:$AE$949,'09월 에너지'!$B$14:$B$949,$A37,'09월 에너지'!$C$14:$C$949,$B39)))</f>
        <v>28.34370544110778</v>
      </c>
      <c r="AF39" s="1066">
        <f>IF($C39&lt;1,"",(AVERAGEIFS('09월 에너지'!$AI$14:$AI$949,'09월 에너지'!$B$14:$B$949,$A37,'09월 에너지'!$C$14:$C$949,$B39)))</f>
        <v>148.4</v>
      </c>
      <c r="AG39" s="1067">
        <f>IF($C39&lt;1,"",(AVERAGEIFS('09월 에너지'!$AJ$14:$AJ$949,'09월 에너지'!$B$14:$B$949,$A37,'09월 에너지'!$C$14:$C$949,$B39)))</f>
        <v>1.0254841081243709</v>
      </c>
    </row>
    <row r="40" spans="1:35" ht="16.5" customHeight="1" thickTop="1" thickBot="1">
      <c r="A40" s="1632"/>
      <c r="B40" s="783" t="s">
        <v>94</v>
      </c>
      <c r="C40" s="784">
        <f>COUNTIFS('09월 조업일지'!$B$12:$B$952,A37,'09월 조업일지'!$E$12:$E$952,B40)</f>
        <v>11</v>
      </c>
      <c r="D40" s="1068">
        <f t="shared" si="3"/>
        <v>45.636363636363633</v>
      </c>
      <c r="E40" s="1069">
        <f>IF($C40&lt;1,"",(SUMIFS('09월 조업일지'!$K$12:$K$954,'09월 조업일지'!$B$12:$B$954,$A37,'09월 조업일지'!$E$12:$E$954,$B40)/$C40))</f>
        <v>9.0909090909090912E-2</v>
      </c>
      <c r="F40" s="1070">
        <f>IF($C40&lt;1,"",(AVERAGEIFS('09월 조업일지'!$J$12:$J$954,'09월 조업일지'!$B$12:$B$954,$A37,'09월 조업일지'!$E$12:$E$954,$B40)))</f>
        <v>45.727272727272727</v>
      </c>
      <c r="G40" s="1071">
        <f>IF($C40&lt;1,"",(AVERAGEIFS('09월 에너지'!$M$14:$M$950,'09월 에너지'!$B$14:$B$950,$A37,'09월 에너지'!$C$14:$C$950,$B40)))</f>
        <v>44.781818181818181</v>
      </c>
      <c r="H40" s="1072">
        <f>IF($C40&lt;1,"",(AVERAGEIFS('09월 조업일지'!$AJ$12:$AJ$954,'09월 조업일지'!$B$12:$B$954,$A37,'09월 조업일지'!$E$12:$E$954,$B40)))</f>
        <v>9.3636363636363633</v>
      </c>
      <c r="I40" s="1073">
        <f>IF($C40&lt;1,"",(AVERAGEIFS('09월 조업일지'!$AL$12:$AL$954,'09월 조업일지'!$B$12:$B$954,$A37,'09월 조업일지'!$E$12:$E$954,$B40)))</f>
        <v>7.2</v>
      </c>
      <c r="J40" s="1074">
        <f>IF($C40&lt;1,"",(AVERAGEIFS('09월 화학성분'!G$12:G$950,'09월 화학성분'!$B$12:$B$950,$A37,'09월 화학성분'!$D$12:$D$950,$B40)))</f>
        <v>10.454545454545455</v>
      </c>
      <c r="K40" s="1075">
        <f>IF($C40&lt;1,"",(AVERAGEIFS('09월 화학성분'!H$12:H$950,'09월 화학성분'!$B$12:$B$950,$A37,'09월 화학성분'!$D$12:$D$950,$B40)))</f>
        <v>21.636363636363637</v>
      </c>
      <c r="L40" s="1075">
        <f>IF($C40&lt;1,"",(AVERAGEIFS('09월 화학성분'!I$12:I$950,'09월 화학성분'!$B$12:$B$950,$A37,'09월 화학성분'!$D$12:$D$950,$B40)))</f>
        <v>105.63636363636364</v>
      </c>
      <c r="M40" s="1075">
        <f>IF($C40&lt;1,"",(AVERAGEIFS('09월 화학성분'!J$12:J$950,'09월 화학성분'!$B$12:$B$950,$A37,'09월 화학성분'!$D$12:$D$950,$B40)))</f>
        <v>15.181818181818182</v>
      </c>
      <c r="N40" s="1075">
        <f>IF($C40&lt;1,"",(AVERAGEIFS('09월 화학성분'!K$12:K$950,'09월 화학성분'!$B$12:$B$950,$A37,'09월 화학성분'!$D$12:$D$950,$B40)))</f>
        <v>32.454545454545453</v>
      </c>
      <c r="O40" s="1075">
        <f>IF($C40&lt;1,"",(AVERAGEIFS('09월 화학성분'!L$12:L$950,'09월 화학성분'!$B$12:$B$950,$A37,'09월 화학성분'!$D$12:$D$950,$B40)))</f>
        <v>11.909090909090908</v>
      </c>
      <c r="P40" s="1075">
        <f>IF($C40&lt;1,"",(AVERAGEIFS('09월 화학성분'!M$12:M$950,'09월 화학성분'!$B$12:$B$950,$A37,'09월 화학성분'!$D$12:$D$950,$B40)))</f>
        <v>10.727272727272727</v>
      </c>
      <c r="Q40" s="1075">
        <f>IF($C40&lt;1,"",(AVERAGEIFS('09월 조업일지'!$AK$12:$AK$954,'09월 조업일지'!$B$12:$B$954,$A37,'09월 조업일지'!$E$12:$E$954,$B40)))</f>
        <v>585.1</v>
      </c>
      <c r="R40" s="1075">
        <f>IF($C40&lt;1,"",(AVERAGEIFS('09월 화학성분'!$G$12:$G$950,'09월 화학성분'!$B$12:$B$950,$A37,'09월 화학성분'!$D$12:$D$950,$B40)))</f>
        <v>10.454545454545455</v>
      </c>
      <c r="S40" s="1076">
        <f>IF($C40&lt;1,"",(AVERAGEIFS('09월 조업일지'!$AI$12:$AI$954,'09월 조업일지'!$B$12:$B$954,$A37,'09월 조업일지'!$E$12:$E$954,$B40)))</f>
        <v>1573.7272727272727</v>
      </c>
      <c r="T40" s="1077">
        <f>IF($C40&lt;1,"",(AVERAGEIFS('09월 화학성분'!$AM$12:$AM$949,'09월 화학성분'!$B$12:$B$949,$A37,'09월 화학성분'!$D$12:$D$949,$B40)))</f>
        <v>1630</v>
      </c>
      <c r="U40" s="1078">
        <f>IF($C40&lt;1,"",(AVERAGEIFS('09월 고철장입'!$AJ$14:$AJ$949,'09월 고철장입'!$B$14:$B$949,$A37,'09월 고철장입'!$C$14:$C$949,$B40))/1000)</f>
        <v>158.4909090909091</v>
      </c>
      <c r="V40" s="1103">
        <f>IF($C40&lt;1,"",(AVERAGEIFS('09월 고철장입'!$AK$14:$AK$949,'09월 고철장입'!$B$14:$B$949,$A37,'09월 고철장입'!$C$14:$C$949,$B40)))</f>
        <v>144.92727272727274</v>
      </c>
      <c r="W40" s="1079">
        <f t="shared" si="2"/>
        <v>91.442009865779511</v>
      </c>
      <c r="X40" s="1080">
        <f>IF($C40&lt;1,"",(AVERAGEIFS('09월 에너지'!$O$14:$O$949,'09월 에너지'!$A$14:$A$949,$A37,'09월 에너지'!$C$14:$C$949,$B40)))</f>
        <v>158.2040428048397</v>
      </c>
      <c r="Y40" s="1081">
        <f>IF($C40&lt;1,"",(AVERAGEIFS('09월 에너지'!$P$14:$P$949,'09월 에너지'!$A$14:$A$949,$A37,'09월 에너지'!$C$14:$C$949,$B40)))</f>
        <v>141.58540407423618</v>
      </c>
      <c r="Z40" s="1081">
        <f>IF($C40&lt;1,"",(AVERAGEIFS('09월 에너지'!$Q$14:$Q$949,'09월 에너지'!$A$14:$A$949,$A37,'09월 에너지'!$C$14:$C$949,$B40)))</f>
        <v>82.647299189601924</v>
      </c>
      <c r="AA40" s="1082">
        <f>IF($C40&lt;1,"",(AVERAGEIFS('09월 에너지'!$R$14:$R$949,'09월 에너지'!$B$14:$B$949,$A37,'09월 에너지'!$C$14:$C$949,$B40)))</f>
        <v>382.43674606867785</v>
      </c>
      <c r="AB40" s="1083">
        <f>IF($C40&lt;1,"",(AVERAGEIFS('09월 에너지'!$X$14:$X$949,'09월 에너지'!$A$14:$A$949,$A37,'09월 에너지'!$C$14:$C$949,$B40)))</f>
        <v>2.3507253543064697</v>
      </c>
      <c r="AC40" s="1084">
        <f>IF($C40&lt;1,"",(AVERAGEIFS('09월 에너지'!$AC$14:$AC$949,'09월 에너지'!$A$14:$A$949,$A37,'09월 에너지'!$C$14:$C$949,$B40)))</f>
        <v>25.556446391904274</v>
      </c>
      <c r="AD40" s="1085">
        <f>IF($C40&lt;1,"",(AVERAGEIFS('09월 에너지'!$AD$14:$AD$949,'09월 에너지'!$B$14:$B$949,$A37,'09월 에너지'!$C$14:$C$949,$B40)))</f>
        <v>4044.5454545454545</v>
      </c>
      <c r="AE40" s="1086">
        <f>IF($C40&lt;1,"",(AVERAGEIFS('09월 에너지'!$AE$14:$AE$949,'09월 에너지'!$B$14:$B$949,$A37,'09월 에너지'!$C$14:$C$949,$B40)))</f>
        <v>27.907171746210739</v>
      </c>
      <c r="AF40" s="1087">
        <f>IF($C40&lt;1,"",(AVERAGEIFS('09월 에너지'!$AI$14:$AI$949,'09월 에너지'!$B$14:$B$949,$A37,'09월 에너지'!$C$14:$C$949,$B40)))</f>
        <v>148.63636363636363</v>
      </c>
      <c r="AG40" s="1088">
        <f>IF($C40&lt;1,"",(AVERAGEIFS('09월 에너지'!$AJ$14:$AJ$949,'09월 에너지'!$B$14:$B$949,$A37,'09월 에너지'!$C$14:$C$949,$B40)))</f>
        <v>1.0254926539257772</v>
      </c>
    </row>
    <row r="41" spans="1:35" ht="16.5" customHeight="1" thickTop="1" thickBot="1">
      <c r="A41" s="1632">
        <f t="shared" ref="A41" si="11">A37+1</f>
        <v>46275</v>
      </c>
      <c r="B41" s="775" t="s">
        <v>128</v>
      </c>
      <c r="C41" s="776">
        <f>COUNTIFS('09월 조업일지'!$B$12:$B$952,A41,'09월 조업일지'!$E$12:$E$952,B41)</f>
        <v>0</v>
      </c>
      <c r="D41" s="1026" t="str">
        <f t="shared" si="3"/>
        <v/>
      </c>
      <c r="E41" s="1027" t="str">
        <f>IF($C41&lt;1,"",(SUMIFS('09월 조업일지'!$K$12:$K$954,'09월 조업일지'!$B$12:$B$954,$A41,'09월 조업일지'!$E$12:$E$954,$B41)/$C41))</f>
        <v/>
      </c>
      <c r="F41" s="1028" t="str">
        <f>IF($C41&lt;1,"",(AVERAGEIFS('09월 조업일지'!$J$12:$J$954,'09월 조업일지'!$B$12:$B$954,$A41,'09월 조업일지'!$E$12:$E$954,$B41)))</f>
        <v/>
      </c>
      <c r="G41" s="1029" t="str">
        <f>IF($C41&lt;1,"",(AVERAGEIFS('09월 에너지'!$M$14:$M$950,'09월 에너지'!$B$14:$B$950,$A41,'09월 에너지'!$C$14:$C$950,$B41)))</f>
        <v/>
      </c>
      <c r="H41" s="1030" t="str">
        <f>IF($C41&lt;1,"",(AVERAGEIFS('09월 조업일지'!$AJ$12:$AJ$954,'09월 조업일지'!$B$12:$B$954,$A41,'09월 조업일지'!$E$12:$E$954,$B41)))</f>
        <v/>
      </c>
      <c r="I41" s="1031" t="str">
        <f>IF($C41&lt;1,"",(AVERAGEIFS('09월 조업일지'!$AL$12:$AL$954,'09월 조업일지'!$B$12:$B$954,$A41,'09월 조업일지'!$E$12:$E$954,$B41)))</f>
        <v/>
      </c>
      <c r="J41" s="1032" t="str">
        <f>IF($C41&lt;1,"",(AVERAGEIFS('09월 화학성분'!G$12:G$950,'09월 화학성분'!$B$12:$B$950,$A41,'09월 화학성분'!$D$12:$D$950,$B41)))</f>
        <v/>
      </c>
      <c r="K41" s="1033" t="str">
        <f>IF($C41&lt;1,"",(AVERAGEIFS('09월 화학성분'!H$12:H$950,'09월 화학성분'!$B$12:$B$950,$A41,'09월 화학성분'!$D$12:$D$950,$B41)))</f>
        <v/>
      </c>
      <c r="L41" s="1033" t="str">
        <f>IF($C41&lt;1,"",(AVERAGEIFS('09월 화학성분'!I$12:I$950,'09월 화학성분'!$B$12:$B$950,$A41,'09월 화학성분'!$D$12:$D$950,$B41)))</f>
        <v/>
      </c>
      <c r="M41" s="1033" t="str">
        <f>IF($C41&lt;1,"",(AVERAGEIFS('09월 화학성분'!J$12:J$950,'09월 화학성분'!$B$12:$B$950,$A41,'09월 화학성분'!$D$12:$D$950,$B41)))</f>
        <v/>
      </c>
      <c r="N41" s="1033" t="str">
        <f>IF($C41&lt;1,"",(AVERAGEIFS('09월 화학성분'!K$12:K$950,'09월 화학성분'!$B$12:$B$950,$A41,'09월 화학성분'!$D$12:$D$950,$B41)))</f>
        <v/>
      </c>
      <c r="O41" s="1033" t="str">
        <f>IF($C41&lt;1,"",(AVERAGEIFS('09월 화학성분'!L$12:L$950,'09월 화학성분'!$B$12:$B$950,$A41,'09월 화학성분'!$D$12:$D$950,$B41)))</f>
        <v/>
      </c>
      <c r="P41" s="1033" t="str">
        <f>IF($C41&lt;1,"",(AVERAGEIFS('09월 화학성분'!M$12:M$950,'09월 화학성분'!$B$12:$B$950,$A41,'09월 화학성분'!$D$12:$D$950,$B41)))</f>
        <v/>
      </c>
      <c r="Q41" s="1033" t="str">
        <f>IF($C41&lt;1,"",(AVERAGEIFS('09월 조업일지'!$AK$12:$AK$954,'09월 조업일지'!$B$12:$B$954,$A41,'09월 조업일지'!$E$12:$E$954,$B41)))</f>
        <v/>
      </c>
      <c r="R41" s="1033" t="str">
        <f>IF($C41&lt;1,"",(AVERAGEIFS('09월 화학성분'!$G$12:$G$950,'09월 화학성분'!$B$12:$B$950,$A41,'09월 화학성분'!$D$12:$D$950,$B41)))</f>
        <v/>
      </c>
      <c r="S41" s="1034" t="str">
        <f>IF($C41&lt;1,"",(AVERAGEIFS('09월 조업일지'!$AI$12:$AI$954,'09월 조업일지'!$B$12:$B$954,$A41,'09월 조업일지'!$E$12:$E$954,$B41)))</f>
        <v/>
      </c>
      <c r="T41" s="1035" t="str">
        <f>IF($C41&lt;1,"",(AVERAGEIFS('09월 화학성분'!$AM$12:$AM$949,'09월 화학성분'!$B$12:$B$949,$A41,'09월 화학성분'!$D$12:$D$949,$B41)))</f>
        <v/>
      </c>
      <c r="U41" s="1036" t="str">
        <f>IF($C41&lt;1,"",(AVERAGEIFS('09월 고철장입'!$AJ$14:$AJ$949,'09월 고철장입'!$B$14:$B$949,$A41,'09월 고철장입'!$C$14:$C$949,$B41))/1000)</f>
        <v/>
      </c>
      <c r="V41" s="1101" t="str">
        <f>IF($C41&lt;1,"",(AVERAGEIFS('09월 고철장입'!$AK$14:$AK$949,'09월 고철장입'!$B$14:$B$949,$A41,'09월 고철장입'!$C$14:$C$949,$B41)))</f>
        <v/>
      </c>
      <c r="W41" s="1037" t="str">
        <f t="shared" si="2"/>
        <v/>
      </c>
      <c r="X41" s="1038" t="str">
        <f>IF($C41&lt;1,"",(AVERAGEIFS('09월 에너지'!$O$14:$O$949,'09월 에너지'!$A$14:$A$949,$A41,'09월 에너지'!$C$14:$C$949,$B41)))</f>
        <v/>
      </c>
      <c r="Y41" s="1039" t="str">
        <f>IF($C41&lt;1,"",(AVERAGEIFS('09월 에너지'!$P$14:$P$949,'09월 에너지'!$A$14:$A$949,$A41,'09월 에너지'!$C$14:$C$949,$B41)))</f>
        <v/>
      </c>
      <c r="Z41" s="1039" t="str">
        <f>IF($C41&lt;1,"",(AVERAGEIFS('09월 에너지'!$Q$14:$Q$949,'09월 에너지'!$A$14:$A$949,$A41,'09월 에너지'!$C$14:$C$949,$B41)))</f>
        <v/>
      </c>
      <c r="AA41" s="1040" t="str">
        <f>IF($C41&lt;1,"",(AVERAGEIFS('09월 에너지'!$R$14:$R$949,'09월 에너지'!$B$14:$B$949,$A41,'09월 에너지'!$C$14:$C$949,$B41)))</f>
        <v/>
      </c>
      <c r="AB41" s="1041" t="str">
        <f>IF($C41&lt;1,"",(AVERAGEIFS('09월 에너지'!$X$14:$X$949,'09월 에너지'!$A$14:$A$949,$A41,'09월 에너지'!$C$14:$C$949,$B41)))</f>
        <v/>
      </c>
      <c r="AC41" s="1042" t="str">
        <f>IF($C41&lt;1,"",(AVERAGEIFS('09월 에너지'!$AC$14:$AC$949,'09월 에너지'!$A$14:$A$949,$A41,'09월 에너지'!$C$14:$C$949,$B41)))</f>
        <v/>
      </c>
      <c r="AD41" s="1043" t="str">
        <f>IF($C41&lt;1,"",(AVERAGEIFS('09월 에너지'!$AD$14:$AD$949,'09월 에너지'!$B$14:$B$949,$A41,'09월 에너지'!$C$14:$C$949,$B41)))</f>
        <v/>
      </c>
      <c r="AE41" s="1044" t="str">
        <f>IF($C41&lt;1,"",(AVERAGEIFS('09월 에너지'!$AE$14:$AE$949,'09월 에너지'!$B$14:$B$949,$A41,'09월 에너지'!$C$14:$C$949,$B41)))</f>
        <v/>
      </c>
      <c r="AF41" s="1045" t="str">
        <f>IF($C41&lt;1,"",(AVERAGEIFS('09월 에너지'!$AI$14:$AI$949,'09월 에너지'!$B$14:$B$949,$A41,'09월 에너지'!$C$14:$C$949,$B41)))</f>
        <v/>
      </c>
      <c r="AG41" s="1046" t="str">
        <f>IF($C41&lt;1,"",(AVERAGEIFS('09월 에너지'!$AJ$14:$AJ$949,'09월 에너지'!$B$14:$B$949,$A41,'09월 에너지'!$C$14:$C$949,$B41)))</f>
        <v/>
      </c>
    </row>
    <row r="42" spans="1:35" ht="16.5" customHeight="1" thickTop="1" thickBot="1">
      <c r="A42" s="1632"/>
      <c r="B42" s="781" t="s">
        <v>100</v>
      </c>
      <c r="C42" s="782">
        <f>COUNTIFS('09월 조업일지'!$B$12:$B$952,A41,'09월 조업일지'!$E$12:$E$952,B42)</f>
        <v>10</v>
      </c>
      <c r="D42" s="1047">
        <f t="shared" si="3"/>
        <v>47</v>
      </c>
      <c r="E42" s="1048">
        <f>IF($C42&lt;1,"",(SUMIFS('09월 조업일지'!$K$12:$K$954,'09월 조업일지'!$B$12:$B$954,$A41,'09월 조업일지'!$E$12:$E$954,$B42)/$C42))</f>
        <v>0.3</v>
      </c>
      <c r="F42" s="1049">
        <f>IF($C42&lt;1,"",(AVERAGEIFS('09월 조업일지'!$J$12:$J$954,'09월 조업일지'!$B$12:$B$954,$A41,'09월 조업일지'!$E$12:$E$954,$B42)))</f>
        <v>47.3</v>
      </c>
      <c r="G42" s="1050">
        <f>IF($C42&lt;1,"",(AVERAGEIFS('09월 에너지'!$M$14:$M$950,'09월 에너지'!$B$14:$B$950,$A41,'09월 에너지'!$C$14:$C$950,$B42)))</f>
        <v>45.730000000000004</v>
      </c>
      <c r="H42" s="1051">
        <f>IF($C42&lt;1,"",(AVERAGEIFS('09월 조업일지'!$AJ$12:$AJ$954,'09월 조업일지'!$B$12:$B$954,$A41,'09월 조업일지'!$E$12:$E$954,$B42)))</f>
        <v>15.8</v>
      </c>
      <c r="I42" s="1052">
        <f>IF($C42&lt;1,"",(AVERAGEIFS('09월 조업일지'!$AL$12:$AL$954,'09월 조업일지'!$B$12:$B$954,$A41,'09월 조업일지'!$E$12:$E$954,$B42)))</f>
        <v>4.7</v>
      </c>
      <c r="J42" s="1053">
        <f>IF($C42&lt;1,"",(AVERAGEIFS('09월 화학성분'!G$12:G$950,'09월 화학성분'!$B$12:$B$950,$A41,'09월 화학성분'!$D$12:$D$950,$B42)))</f>
        <v>7.7</v>
      </c>
      <c r="K42" s="1054">
        <f>IF($C42&lt;1,"",(AVERAGEIFS('09월 화학성분'!H$12:H$950,'09월 화학성분'!$B$12:$B$950,$A41,'09월 화학성분'!$D$12:$D$950,$B42)))</f>
        <v>19.3</v>
      </c>
      <c r="L42" s="1054">
        <f>IF($C42&lt;1,"",(AVERAGEIFS('09월 화학성분'!I$12:I$950,'09월 화학성분'!$B$12:$B$950,$A41,'09월 화학성분'!$D$12:$D$950,$B42)))</f>
        <v>50.9</v>
      </c>
      <c r="M42" s="1054">
        <f>IF($C42&lt;1,"",(AVERAGEIFS('09월 화학성분'!J$12:J$950,'09월 화학성분'!$B$12:$B$950,$A41,'09월 화학성분'!$D$12:$D$950,$B42)))</f>
        <v>13</v>
      </c>
      <c r="N42" s="1054">
        <f>IF($C42&lt;1,"",(AVERAGEIFS('09월 화학성분'!K$12:K$950,'09월 화학성분'!$B$12:$B$950,$A41,'09월 화학성분'!$D$12:$D$950,$B42)))</f>
        <v>29.5</v>
      </c>
      <c r="O42" s="1054">
        <f>IF($C42&lt;1,"",(AVERAGEIFS('09월 화학성분'!L$12:L$950,'09월 화학성분'!$B$12:$B$950,$A41,'09월 화학성분'!$D$12:$D$950,$B42)))</f>
        <v>10.4</v>
      </c>
      <c r="P42" s="1054">
        <f>IF($C42&lt;1,"",(AVERAGEIFS('09월 화학성분'!M$12:M$950,'09월 화학성분'!$B$12:$B$950,$A41,'09월 화학성분'!$D$12:$D$950,$B42)))</f>
        <v>9.9</v>
      </c>
      <c r="Q42" s="1054">
        <f>IF($C42&lt;1,"",(AVERAGEIFS('09월 조업일지'!$AK$12:$AK$954,'09월 조업일지'!$B$12:$B$954,$A41,'09월 조업일지'!$E$12:$E$954,$B42)))</f>
        <v>822.8</v>
      </c>
      <c r="R42" s="1054">
        <f>IF($C42&lt;1,"",(AVERAGEIFS('09월 화학성분'!$G$12:$G$950,'09월 화학성분'!$B$12:$B$950,$A41,'09월 화학성분'!$D$12:$D$950,$B42)))</f>
        <v>7.7</v>
      </c>
      <c r="S42" s="1055">
        <f>IF($C42&lt;1,"",(AVERAGEIFS('09월 조업일지'!$AI$12:$AI$954,'09월 조업일지'!$B$12:$B$954,$A41,'09월 조업일지'!$E$12:$E$954,$B42)))</f>
        <v>1586.1</v>
      </c>
      <c r="T42" s="1056">
        <f>IF($C42&lt;1,"",(AVERAGEIFS('09월 화학성분'!$AM$12:$AM$949,'09월 화학성분'!$B$12:$B$949,$A41,'09월 화학성분'!$D$12:$D$949,$B42)))</f>
        <v>1984.3</v>
      </c>
      <c r="U42" s="1057">
        <f>IF($C42&lt;1,"",(AVERAGEIFS('09월 고철장입'!$AJ$14:$AJ$949,'09월 고철장입'!$B$14:$B$949,$A41,'09월 고철장입'!$C$14:$C$949,$B42))/1000)</f>
        <v>158.71</v>
      </c>
      <c r="V42" s="1102">
        <f>IF($C42&lt;1,"",(AVERAGEIFS('09월 고철장입'!$AK$14:$AK$949,'09월 고철장입'!$B$14:$B$949,$A41,'09월 고철장입'!$C$14:$C$949,$B42)))</f>
        <v>145.75000000000003</v>
      </c>
      <c r="W42" s="1058">
        <f t="shared" si="2"/>
        <v>91.834162938693225</v>
      </c>
      <c r="X42" s="1059">
        <f>IF($C42&lt;1,"",(AVERAGEIFS('09월 에너지'!$O$14:$O$949,'09월 에너지'!$A$14:$A$949,$A41,'09월 에너지'!$C$14:$C$949,$B42)))</f>
        <v>159.78598019634589</v>
      </c>
      <c r="Y42" s="1060">
        <f>IF($C42&lt;1,"",(AVERAGEIFS('09월 에너지'!$P$14:$P$949,'09월 에너지'!$A$14:$A$949,$A41,'09월 에너지'!$C$14:$C$949,$B42)))</f>
        <v>140.88432964295862</v>
      </c>
      <c r="Z42" s="1060">
        <f>IF($C42&lt;1,"",(AVERAGEIFS('09월 에너지'!$Q$14:$Q$949,'09월 에너지'!$A$14:$A$949,$A41,'09월 에너지'!$C$14:$C$949,$B42)))</f>
        <v>85.659828269298103</v>
      </c>
      <c r="AA42" s="1061">
        <f>IF($C42&lt;1,"",(AVERAGEIFS('09월 에너지'!$R$14:$R$949,'09월 에너지'!$B$14:$B$949,$A41,'09월 에너지'!$C$14:$C$949,$B42)))</f>
        <v>377.00483655038613</v>
      </c>
      <c r="AB42" s="1062">
        <f>IF($C42&lt;1,"",(AVERAGEIFS('09월 에너지'!$X$14:$X$949,'09월 에너지'!$A$14:$A$949,$A41,'09월 에너지'!$C$14:$C$949,$B42)))</f>
        <v>2.3389266784521099</v>
      </c>
      <c r="AC42" s="1063">
        <f>IF($C42&lt;1,"",(AVERAGEIFS('09월 에너지'!$AC$14:$AC$949,'09월 에너지'!$A$14:$A$949,$A41,'09월 에너지'!$C$14:$C$949,$B42)))</f>
        <v>25.956288940309168</v>
      </c>
      <c r="AD42" s="1064">
        <f>IF($C42&lt;1,"",(AVERAGEIFS('09월 에너지'!$AD$14:$AD$949,'09월 에너지'!$B$14:$B$949,$A41,'09월 에너지'!$C$14:$C$949,$B42)))</f>
        <v>4151.3</v>
      </c>
      <c r="AE42" s="1065">
        <f>IF($C42&lt;1,"",(AVERAGEIFS('09월 에너지'!$AE$14:$AE$949,'09월 에너지'!$B$14:$B$949,$A41,'09월 에너지'!$C$14:$C$949,$B42)))</f>
        <v>28.482637246814477</v>
      </c>
      <c r="AF42" s="1066">
        <f>IF($C42&lt;1,"",(AVERAGEIFS('09월 에너지'!$AI$14:$AI$949,'09월 에너지'!$B$14:$B$949,$A41,'09월 에너지'!$C$14:$C$949,$B42)))</f>
        <v>155.4</v>
      </c>
      <c r="AG42" s="1067">
        <f>IF($C42&lt;1,"",(AVERAGEIFS('09월 에너지'!$AJ$14:$AJ$949,'09월 에너지'!$B$14:$B$949,$A41,'09월 에너지'!$C$14:$C$949,$B42)))</f>
        <v>1.0663725507142676</v>
      </c>
    </row>
    <row r="43" spans="1:35" ht="16.5" customHeight="1" thickTop="1" thickBot="1">
      <c r="A43" s="1632"/>
      <c r="B43" s="781" t="s">
        <v>93</v>
      </c>
      <c r="C43" s="782">
        <f>COUNTIFS('09월 조업일지'!$B$12:$B$952,A41,'09월 조업일지'!$E$12:$E$952,B43)</f>
        <v>5</v>
      </c>
      <c r="D43" s="1047">
        <f t="shared" si="3"/>
        <v>49.20000000000001</v>
      </c>
      <c r="E43" s="1048">
        <f>IF($C43&lt;1,"",(SUMIFS('09월 조업일지'!$K$12:$K$954,'09월 조업일지'!$B$12:$B$954,$A41,'09월 조업일지'!$E$12:$E$954,$B43)/$C43))</f>
        <v>4</v>
      </c>
      <c r="F43" s="1049">
        <f>IF($C43&lt;1,"",(AVERAGEIFS('09월 조업일지'!$J$12:$J$954,'09월 조업일지'!$B$12:$B$954,$A41,'09월 조업일지'!$E$12:$E$954,$B43)))</f>
        <v>53.20000000000001</v>
      </c>
      <c r="G43" s="1050">
        <f>IF($C43&lt;1,"",(AVERAGEIFS('09월 에너지'!$M$14:$M$950,'09월 에너지'!$B$14:$B$950,$A41,'09월 에너지'!$C$14:$C$950,$B43)))</f>
        <v>40.36</v>
      </c>
      <c r="H43" s="1051">
        <f>IF($C43&lt;1,"",(AVERAGEIFS('09월 조업일지'!$AJ$12:$AJ$954,'09월 조업일지'!$B$12:$B$954,$A41,'09월 조업일지'!$E$12:$E$954,$B43)))</f>
        <v>111.4</v>
      </c>
      <c r="I43" s="1052">
        <f>IF($C43&lt;1,"",(AVERAGEIFS('09월 조업일지'!$AL$12:$AL$954,'09월 조업일지'!$B$12:$B$954,$A41,'09월 조업일지'!$E$12:$E$954,$B43)))</f>
        <v>7.6</v>
      </c>
      <c r="J43" s="1053">
        <f>IF($C43&lt;1,"",(AVERAGEIFS('09월 화학성분'!G$12:G$950,'09월 화학성분'!$B$12:$B$950,$A41,'09월 화학성분'!$D$12:$D$950,$B43)))</f>
        <v>8.4</v>
      </c>
      <c r="K43" s="1054">
        <f>IF($C43&lt;1,"",(AVERAGEIFS('09월 화학성분'!H$12:H$950,'09월 화학성분'!$B$12:$B$950,$A41,'09월 화학성분'!$D$12:$D$950,$B43)))</f>
        <v>14.2</v>
      </c>
      <c r="L43" s="1054">
        <f>IF($C43&lt;1,"",(AVERAGEIFS('09월 화학성분'!I$12:I$950,'09월 화학성분'!$B$12:$B$950,$A41,'09월 화학성분'!$D$12:$D$950,$B43)))</f>
        <v>64.599999999999994</v>
      </c>
      <c r="M43" s="1054">
        <f>IF($C43&lt;1,"",(AVERAGEIFS('09월 화학성분'!J$12:J$950,'09월 화학성분'!$B$12:$B$950,$A41,'09월 화학성분'!$D$12:$D$950,$B43)))</f>
        <v>20.2</v>
      </c>
      <c r="N43" s="1054">
        <f>IF($C43&lt;1,"",(AVERAGEIFS('09월 화학성분'!K$12:K$950,'09월 화학성분'!$B$12:$B$950,$A41,'09월 화학성분'!$D$12:$D$950,$B43)))</f>
        <v>39.6</v>
      </c>
      <c r="O43" s="1054">
        <f>IF($C43&lt;1,"",(AVERAGEIFS('09월 화학성분'!L$12:L$950,'09월 화학성분'!$B$12:$B$950,$A41,'09월 화학성분'!$D$12:$D$950,$B43)))</f>
        <v>11</v>
      </c>
      <c r="P43" s="1054">
        <f>IF($C43&lt;1,"",(AVERAGEIFS('09월 화학성분'!M$12:M$950,'09월 화학성분'!$B$12:$B$950,$A41,'09월 화학성분'!$D$12:$D$950,$B43)))</f>
        <v>9.1999999999999993</v>
      </c>
      <c r="Q43" s="1054">
        <f>IF($C43&lt;1,"",(AVERAGEIFS('09월 조업일지'!$AK$12:$AK$954,'09월 조업일지'!$B$12:$B$954,$A41,'09월 조업일지'!$E$12:$E$954,$B43)))</f>
        <v>619.79999999999995</v>
      </c>
      <c r="R43" s="1054">
        <f>IF($C43&lt;1,"",(AVERAGEIFS('09월 화학성분'!$G$12:$G$950,'09월 화학성분'!$B$12:$B$950,$A41,'09월 화학성분'!$D$12:$D$950,$B43)))</f>
        <v>8.4</v>
      </c>
      <c r="S43" s="1055">
        <f>IF($C43&lt;1,"",(AVERAGEIFS('09월 조업일지'!$AI$12:$AI$954,'09월 조업일지'!$B$12:$B$954,$A41,'09월 조업일지'!$E$12:$E$954,$B43)))</f>
        <v>1594.2</v>
      </c>
      <c r="T43" s="1056">
        <f>IF($C43&lt;1,"",(AVERAGEIFS('09월 화학성분'!$AM$12:$AM$949,'09월 화학성분'!$B$12:$B$949,$A41,'09월 화학성분'!$D$12:$D$949,$B43)))</f>
        <v>2617.1999999999998</v>
      </c>
      <c r="U43" s="1057">
        <f>IF($C43&lt;1,"",(AVERAGEIFS('09월 고철장입'!$AJ$14:$AJ$949,'09월 고철장입'!$B$14:$B$949,$A41,'09월 고철장입'!$C$14:$C$949,$B43))/1000)</f>
        <v>139.58000000000001</v>
      </c>
      <c r="V43" s="1102">
        <f>IF($C43&lt;1,"",(AVERAGEIFS('09월 고철장입'!$AK$14:$AK$949,'09월 고철장입'!$B$14:$B$949,$A41,'09월 고철장입'!$C$14:$C$949,$B43)))</f>
        <v>137.1</v>
      </c>
      <c r="W43" s="1058">
        <f t="shared" si="2"/>
        <v>98.223241152027498</v>
      </c>
      <c r="X43" s="1059">
        <f>IF($C43&lt;1,"",(AVERAGEIFS('09월 에너지'!$O$14:$O$949,'09월 에너지'!$A$14:$A$949,$A41,'09월 에너지'!$C$14:$C$949,$B43)))</f>
        <v>180.37840498036502</v>
      </c>
      <c r="Y43" s="1060">
        <f>IF($C43&lt;1,"",(AVERAGEIFS('09월 에너지'!$P$14:$P$949,'09월 에너지'!$A$14:$A$949,$A41,'09월 에너지'!$C$14:$C$949,$B43)))</f>
        <v>85.024967921747432</v>
      </c>
      <c r="Z43" s="1060">
        <f>IF($C43&lt;1,"",(AVERAGEIFS('09월 에너지'!$Q$14:$Q$949,'09월 에너지'!$A$14:$A$949,$A41,'09월 에너지'!$C$14:$C$949,$B43)))</f>
        <v>119.73502768305563</v>
      </c>
      <c r="AA43" s="1061">
        <f>IF($C43&lt;1,"",(AVERAGEIFS('09월 에너지'!$R$14:$R$949,'09월 에너지'!$B$14:$B$949,$A41,'09월 에너지'!$C$14:$C$949,$B43)))</f>
        <v>385.13840058516809</v>
      </c>
      <c r="AB43" s="1062">
        <f>IF($C43&lt;1,"",(AVERAGEIFS('09월 에너지'!$X$14:$X$949,'09월 에너지'!$A$14:$A$949,$A41,'09월 에너지'!$C$14:$C$949,$B43)))</f>
        <v>2.9629857115328289</v>
      </c>
      <c r="AC43" s="1063">
        <f>IF($C43&lt;1,"",(AVERAGEIFS('09월 에너지'!$AC$14:$AC$949,'09월 에너지'!$A$14:$A$949,$A41,'09월 에너지'!$C$14:$C$949,$B43)))</f>
        <v>26.588979063992888</v>
      </c>
      <c r="AD43" s="1064">
        <f>IF($C43&lt;1,"",(AVERAGEIFS('09월 에너지'!$AD$14:$AD$949,'09월 에너지'!$B$14:$B$949,$A41,'09월 에너지'!$C$14:$C$949,$B43)))</f>
        <v>4059</v>
      </c>
      <c r="AE43" s="1065">
        <f>IF($C43&lt;1,"",(AVERAGEIFS('09월 에너지'!$AE$14:$AE$949,'09월 에너지'!$B$14:$B$949,$A41,'09월 에너지'!$C$14:$C$949,$B43)))</f>
        <v>29.551964775525715</v>
      </c>
      <c r="AF43" s="1066">
        <f>IF($C43&lt;1,"",(AVERAGEIFS('09월 에너지'!$AI$14:$AI$949,'09월 에너지'!$B$14:$B$949,$A41,'09월 에너지'!$C$14:$C$949,$B43)))</f>
        <v>131</v>
      </c>
      <c r="AG43" s="1067">
        <f>IF($C43&lt;1,"",(AVERAGEIFS('09월 에너지'!$AJ$14:$AJ$949,'09월 에너지'!$B$14:$B$949,$A41,'09월 에너지'!$C$14:$C$949,$B43)))</f>
        <v>0.94444637499791373</v>
      </c>
    </row>
    <row r="44" spans="1:35" ht="16.5" customHeight="1" thickTop="1" thickBot="1">
      <c r="A44" s="1632"/>
      <c r="B44" s="783" t="s">
        <v>94</v>
      </c>
      <c r="C44" s="784">
        <f>COUNTIFS('09월 조업일지'!$B$12:$B$952,A41,'09월 조업일지'!$E$12:$E$952,B44)</f>
        <v>5</v>
      </c>
      <c r="D44" s="1068">
        <f t="shared" si="3"/>
        <v>48.599999999999994</v>
      </c>
      <c r="E44" s="1069">
        <f>IF($C44&lt;1,"",(SUMIFS('09월 조업일지'!$K$12:$K$954,'09월 조업일지'!$B$12:$B$954,$A41,'09월 조업일지'!$E$12:$E$954,$B44)/$C44))</f>
        <v>98</v>
      </c>
      <c r="F44" s="1070">
        <f>IF($C44&lt;1,"",(AVERAGEIFS('09월 조업일지'!$J$12:$J$954,'09월 조업일지'!$B$12:$B$954,$A41,'09월 조업일지'!$E$12:$E$954,$B44)))</f>
        <v>146.6</v>
      </c>
      <c r="G44" s="1071">
        <f>IF($C44&lt;1,"",(AVERAGEIFS('09월 에너지'!$M$14:$M$950,'09월 에너지'!$B$14:$B$950,$A41,'09월 에너지'!$C$14:$C$950,$B44)))</f>
        <v>47.559999999999995</v>
      </c>
      <c r="H44" s="1072">
        <f>IF($C44&lt;1,"",(AVERAGEIFS('09월 조업일지'!$AJ$12:$AJ$954,'09월 조업일지'!$B$12:$B$954,$A41,'09월 조업일지'!$E$12:$E$954,$B44)))</f>
        <v>51.8</v>
      </c>
      <c r="I44" s="1073">
        <f>IF($C44&lt;1,"",(AVERAGEIFS('09월 조업일지'!$AL$12:$AL$954,'09월 조업일지'!$B$12:$B$954,$A41,'09월 조업일지'!$E$12:$E$954,$B44)))</f>
        <v>5.6</v>
      </c>
      <c r="J44" s="1074">
        <f>IF($C44&lt;1,"",(AVERAGEIFS('09월 화학성분'!G$12:G$950,'09월 화학성분'!$B$12:$B$950,$A41,'09월 화학성분'!$D$12:$D$950,$B44)))</f>
        <v>7.4</v>
      </c>
      <c r="K44" s="1075">
        <f>IF($C44&lt;1,"",(AVERAGEIFS('09월 화학성분'!H$12:H$950,'09월 화학성분'!$B$12:$B$950,$A41,'09월 화학성분'!$D$12:$D$950,$B44)))</f>
        <v>20</v>
      </c>
      <c r="L44" s="1075">
        <f>IF($C44&lt;1,"",(AVERAGEIFS('09월 화학성분'!I$12:I$950,'09월 화학성분'!$B$12:$B$950,$A41,'09월 화학성분'!$D$12:$D$950,$B44)))</f>
        <v>50.8</v>
      </c>
      <c r="M44" s="1075">
        <f>IF($C44&lt;1,"",(AVERAGEIFS('09월 화학성분'!J$12:J$950,'09월 화학성분'!$B$12:$B$950,$A41,'09월 화학성분'!$D$12:$D$950,$B44)))</f>
        <v>13.2</v>
      </c>
      <c r="N44" s="1075">
        <f>IF($C44&lt;1,"",(AVERAGEIFS('09월 화학성분'!K$12:K$950,'09월 화학성분'!$B$12:$B$950,$A41,'09월 화학성분'!$D$12:$D$950,$B44)))</f>
        <v>26</v>
      </c>
      <c r="O44" s="1075">
        <f>IF($C44&lt;1,"",(AVERAGEIFS('09월 화학성분'!L$12:L$950,'09월 화학성분'!$B$12:$B$950,$A41,'09월 화학성분'!$D$12:$D$950,$B44)))</f>
        <v>10.6</v>
      </c>
      <c r="P44" s="1075">
        <f>IF($C44&lt;1,"",(AVERAGEIFS('09월 화학성분'!M$12:M$950,'09월 화학성분'!$B$12:$B$950,$A41,'09월 화학성분'!$D$12:$D$950,$B44)))</f>
        <v>9.4</v>
      </c>
      <c r="Q44" s="1075">
        <f>IF($C44&lt;1,"",(AVERAGEIFS('09월 조업일지'!$AK$12:$AK$954,'09월 조업일지'!$B$12:$B$954,$A41,'09월 조업일지'!$E$12:$E$954,$B44)))</f>
        <v>739.6</v>
      </c>
      <c r="R44" s="1075">
        <f>IF($C44&lt;1,"",(AVERAGEIFS('09월 화학성분'!$G$12:$G$950,'09월 화학성분'!$B$12:$B$950,$A41,'09월 화학성분'!$D$12:$D$950,$B44)))</f>
        <v>7.4</v>
      </c>
      <c r="S44" s="1076">
        <f>IF($C44&lt;1,"",(AVERAGEIFS('09월 조업일지'!$AI$12:$AI$954,'09월 조업일지'!$B$12:$B$954,$A41,'09월 조업일지'!$E$12:$E$954,$B44)))</f>
        <v>1568.6</v>
      </c>
      <c r="T44" s="1077">
        <f>IF($C44&lt;1,"",(AVERAGEIFS('09월 화학성분'!$AM$12:$AM$949,'09월 화학성분'!$B$12:$B$949,$A41,'09월 화학성분'!$D$12:$D$949,$B44)))</f>
        <v>2844.6</v>
      </c>
      <c r="U44" s="1078">
        <f>IF($C44&lt;1,"",(AVERAGEIFS('09월 고철장입'!$AJ$14:$AJ$949,'09월 고철장입'!$B$14:$B$949,$A41,'09월 고철장입'!$C$14:$C$949,$B44))/1000)</f>
        <v>157.80000000000001</v>
      </c>
      <c r="V44" s="1103">
        <f>IF($C44&lt;1,"",(AVERAGEIFS('09월 고철장입'!$AK$14:$AK$949,'09월 고철장입'!$B$14:$B$949,$A41,'09월 고철장입'!$C$14:$C$949,$B44)))</f>
        <v>139.30000000000001</v>
      </c>
      <c r="W44" s="1079">
        <f t="shared" si="2"/>
        <v>88.276299112801013</v>
      </c>
      <c r="X44" s="1080">
        <f>IF($C44&lt;1,"",(AVERAGEIFS('09월 에너지'!$O$14:$O$949,'09월 에너지'!$A$14:$A$949,$A41,'09월 에너지'!$C$14:$C$949,$B44)))</f>
        <v>173.64426151558877</v>
      </c>
      <c r="Y44" s="1081">
        <f>IF($C44&lt;1,"",(AVERAGEIFS('09월 에너지'!$P$14:$P$949,'09월 에너지'!$A$14:$A$949,$A41,'09월 에너지'!$C$14:$C$949,$B44)))</f>
        <v>148.45220075065407</v>
      </c>
      <c r="Z44" s="1081">
        <f>IF($C44&lt;1,"",(AVERAGEIFS('09월 에너지'!$Q$14:$Q$949,'09월 에너지'!$A$14:$A$949,$A41,'09월 에너지'!$C$14:$C$949,$B44)))</f>
        <v>84.978320550256527</v>
      </c>
      <c r="AA44" s="1082">
        <f>IF($C44&lt;1,"",(AVERAGEIFS('09월 에너지'!$R$14:$R$949,'09월 에너지'!$B$14:$B$949,$A41,'09월 에너지'!$C$14:$C$949,$B44)))</f>
        <v>407.07478281649941</v>
      </c>
      <c r="AB44" s="1083">
        <f>IF($C44&lt;1,"",(AVERAGEIFS('09월 에너지'!$X$14:$X$949,'09월 에너지'!$A$14:$A$949,$A41,'09월 에너지'!$C$14:$C$949,$B44)))</f>
        <v>2.4464993391470267</v>
      </c>
      <c r="AC44" s="1084">
        <f>IF($C44&lt;1,"",(AVERAGEIFS('09월 에너지'!$AC$14:$AC$949,'09월 에너지'!$A$14:$A$949,$A41,'09월 에너지'!$C$14:$C$949,$B44)))</f>
        <v>27.255390907724319</v>
      </c>
      <c r="AD44" s="1085">
        <f>IF($C44&lt;1,"",(AVERAGEIFS('09월 에너지'!$AD$14:$AD$949,'09월 에너지'!$B$14:$B$949,$A41,'09월 에너지'!$C$14:$C$949,$B44)))</f>
        <v>4129.6000000000004</v>
      </c>
      <c r="AE44" s="1086">
        <f>IF($C44&lt;1,"",(AVERAGEIFS('09월 에너지'!$AE$14:$AE$949,'09월 에너지'!$B$14:$B$949,$A41,'09월 에너지'!$C$14:$C$949,$B44)))</f>
        <v>29.701890246871347</v>
      </c>
      <c r="AF44" s="1087">
        <f>IF($C44&lt;1,"",(AVERAGEIFS('09월 에너지'!$AI$14:$AI$949,'09월 에너지'!$B$14:$B$949,$A41,'09월 에너지'!$C$14:$C$949,$B44)))</f>
        <v>170.8</v>
      </c>
      <c r="AG44" s="1088">
        <f>IF($C44&lt;1,"",(AVERAGEIFS('09월 에너지'!$AJ$14:$AJ$949,'09월 에너지'!$B$14:$B$949,$A41,'09월 에너지'!$C$14:$C$949,$B44)))</f>
        <v>1.2325930895228978</v>
      </c>
    </row>
    <row r="45" spans="1:35" ht="16.5" customHeight="1" thickTop="1" thickBot="1">
      <c r="A45" s="1632">
        <f t="shared" ref="A45" si="12">A41+1</f>
        <v>46276</v>
      </c>
      <c r="B45" s="775" t="s">
        <v>128</v>
      </c>
      <c r="C45" s="776">
        <f>COUNTIFS('09월 조업일지'!$B$12:$B$952,A45,'09월 조업일지'!$E$12:$E$952,B45)</f>
        <v>10</v>
      </c>
      <c r="D45" s="1026">
        <f t="shared" si="3"/>
        <v>47.600000000000009</v>
      </c>
      <c r="E45" s="1027">
        <f>IF($C45&lt;1,"",(SUMIFS('09월 조업일지'!$K$12:$K$954,'09월 조업일지'!$B$12:$B$954,$A45,'09월 조업일지'!$E$12:$E$954,$B45)/$C45))</f>
        <v>0</v>
      </c>
      <c r="F45" s="1028">
        <f>IF($C45&lt;1,"",(AVERAGEIFS('09월 조업일지'!$J$12:$J$954,'09월 조업일지'!$B$12:$B$954,$A45,'09월 조업일지'!$E$12:$E$954,$B45)))</f>
        <v>47.600000000000009</v>
      </c>
      <c r="G45" s="1029">
        <f>IF($C45&lt;1,"",(AVERAGEIFS('09월 에너지'!$M$14:$M$950,'09월 에너지'!$B$14:$B$950,$A45,'09월 에너지'!$C$14:$C$950,$B45)))</f>
        <v>46.710000000000008</v>
      </c>
      <c r="H45" s="1030">
        <f>IF($C45&lt;1,"",(AVERAGEIFS('09월 조업일지'!$AJ$12:$AJ$954,'09월 조업일지'!$B$12:$B$954,$A45,'09월 조업일지'!$E$12:$E$954,$B45)))</f>
        <v>18.600000000000001</v>
      </c>
      <c r="I45" s="1031">
        <f>IF($C45&lt;1,"",(AVERAGEIFS('09월 조업일지'!$AL$12:$AL$954,'09월 조업일지'!$B$12:$B$954,$A45,'09월 조업일지'!$E$12:$E$954,$B45)))</f>
        <v>8.6999999999999993</v>
      </c>
      <c r="J45" s="1032">
        <f>IF($C45&lt;1,"",(AVERAGEIFS('09월 화학성분'!G$12:G$950,'09월 화학성분'!$B$12:$B$950,$A45,'09월 화학성분'!$D$12:$D$950,$B45)))</f>
        <v>9.9</v>
      </c>
      <c r="K45" s="1033">
        <f>IF($C45&lt;1,"",(AVERAGEIFS('09월 화학성분'!H$12:H$950,'09월 화학성분'!$B$12:$B$950,$A45,'09월 화학성분'!$D$12:$D$950,$B45)))</f>
        <v>22</v>
      </c>
      <c r="L45" s="1033">
        <f>IF($C45&lt;1,"",(AVERAGEIFS('09월 화학성분'!I$12:I$950,'09월 화학성분'!$B$12:$B$950,$A45,'09월 화학성분'!$D$12:$D$950,$B45)))</f>
        <v>63.6</v>
      </c>
      <c r="M45" s="1033">
        <f>IF($C45&lt;1,"",(AVERAGEIFS('09월 화학성분'!J$12:J$950,'09월 화학성분'!$B$12:$B$950,$A45,'09월 화학성분'!$D$12:$D$950,$B45)))</f>
        <v>15.2</v>
      </c>
      <c r="N45" s="1033">
        <f>IF($C45&lt;1,"",(AVERAGEIFS('09월 화학성분'!K$12:K$950,'09월 화학성분'!$B$12:$B$950,$A45,'09월 화학성분'!$D$12:$D$950,$B45)))</f>
        <v>33.9</v>
      </c>
      <c r="O45" s="1033">
        <f>IF($C45&lt;1,"",(AVERAGEIFS('09월 화학성분'!L$12:L$950,'09월 화학성분'!$B$12:$B$950,$A45,'09월 화학성분'!$D$12:$D$950,$B45)))</f>
        <v>12.8</v>
      </c>
      <c r="P45" s="1033">
        <f>IF($C45&lt;1,"",(AVERAGEIFS('09월 화학성분'!M$12:M$950,'09월 화학성분'!$B$12:$B$950,$A45,'09월 화학성분'!$D$12:$D$950,$B45)))</f>
        <v>13.5</v>
      </c>
      <c r="Q45" s="1033">
        <f>IF($C45&lt;1,"",(AVERAGEIFS('09월 조업일지'!$AK$12:$AK$954,'09월 조업일지'!$B$12:$B$954,$A45,'09월 조업일지'!$E$12:$E$954,$B45)))</f>
        <v>541.29999999999995</v>
      </c>
      <c r="R45" s="1033">
        <f>IF($C45&lt;1,"",(AVERAGEIFS('09월 화학성분'!$G$12:$G$950,'09월 화학성분'!$B$12:$B$950,$A45,'09월 화학성분'!$D$12:$D$950,$B45)))</f>
        <v>9.9</v>
      </c>
      <c r="S45" s="1034">
        <f>IF($C45&lt;1,"",(AVERAGEIFS('09월 조업일지'!$AI$12:$AI$954,'09월 조업일지'!$B$12:$B$954,$A45,'09월 조업일지'!$E$12:$E$954,$B45)))</f>
        <v>1564.9</v>
      </c>
      <c r="T45" s="1035">
        <f>IF($C45&lt;1,"",(AVERAGEIFS('09월 화학성분'!$AM$12:$AM$949,'09월 화학성분'!$B$12:$B$949,$A45,'09월 화학성분'!$D$12:$D$949,$B45)))</f>
        <v>2496.5</v>
      </c>
      <c r="U45" s="1036">
        <f>IF($C45&lt;1,"",(AVERAGEIFS('09월 고철장입'!$AJ$14:$AJ$949,'09월 고철장입'!$B$14:$B$949,$A45,'09월 고철장입'!$C$14:$C$949,$B45))/1000)</f>
        <v>158.53</v>
      </c>
      <c r="V45" s="1101">
        <f>IF($C45&lt;1,"",(AVERAGEIFS('09월 고철장입'!$AK$14:$AK$949,'09월 고철장입'!$B$14:$B$949,$A45,'09월 고철장입'!$C$14:$C$949,$B45)))</f>
        <v>146.60999999999999</v>
      </c>
      <c r="W45" s="1037">
        <f t="shared" si="2"/>
        <v>92.480918438150496</v>
      </c>
      <c r="X45" s="1038">
        <f>IF($C45&lt;1,"",(AVERAGEIFS('09월 에너지'!$O$14:$O$949,'09월 에너지'!$A$14:$A$949,$A45,'09월 에너지'!$C$14:$C$949,$B45)))</f>
        <v>158.1024546703328</v>
      </c>
      <c r="Y45" s="1039">
        <f>IF($C45&lt;1,"",(AVERAGEIFS('09월 에너지'!$P$14:$P$949,'09월 에너지'!$A$14:$A$949,$A45,'09월 에너지'!$C$14:$C$949,$B45)))</f>
        <v>141.00275551167823</v>
      </c>
      <c r="Z45" s="1039">
        <f>IF($C45&lt;1,"",(AVERAGEIFS('09월 에너지'!$Q$14:$Q$949,'09월 에너지'!$A$14:$A$949,$A45,'09월 에너지'!$C$14:$C$949,$B45)))</f>
        <v>89.714025865773763</v>
      </c>
      <c r="AA45" s="1040">
        <f>IF($C45&lt;1,"",(AVERAGEIFS('09월 에너지'!$R$14:$R$949,'09월 에너지'!$B$14:$B$949,$A45,'09월 에너지'!$C$14:$C$949,$B45)))</f>
        <v>388.81923604778484</v>
      </c>
      <c r="AB45" s="1041">
        <f>IF($C45&lt;1,"",(AVERAGEIFS('09월 에너지'!$X$14:$X$949,'09월 에너지'!$A$14:$A$949,$A45,'09월 에너지'!$C$14:$C$949,$B45)))</f>
        <v>2.6547103193442512</v>
      </c>
      <c r="AC45" s="1042">
        <f>IF($C45&lt;1,"",(AVERAGEIFS('09월 에너지'!$AC$14:$AC$949,'09월 에너지'!$A$14:$A$949,$A45,'09월 에너지'!$C$14:$C$949,$B45)))</f>
        <v>25.759127501654906</v>
      </c>
      <c r="AD45" s="1043">
        <f>IF($C45&lt;1,"",(AVERAGEIFS('09월 에너지'!$AD$14:$AD$949,'09월 에너지'!$B$14:$B$949,$A45,'09월 에너지'!$C$14:$C$949,$B45)))</f>
        <v>4165.6000000000004</v>
      </c>
      <c r="AE45" s="1044">
        <f>IF($C45&lt;1,"",(AVERAGEIFS('09월 에너지'!$AE$14:$AE$949,'09월 에너지'!$B$14:$B$949,$A45,'09월 에너지'!$C$14:$C$949,$B45)))</f>
        <v>28.413837820999152</v>
      </c>
      <c r="AF45" s="1045">
        <f>IF($C45&lt;1,"",(AVERAGEIFS('09월 에너지'!$AI$14:$AI$949,'09월 에너지'!$B$14:$B$949,$A45,'09월 에너지'!$C$14:$C$949,$B45)))</f>
        <v>152.9</v>
      </c>
      <c r="AG45" s="1046">
        <f>IF($C45&lt;1,"",(AVERAGEIFS('09월 에너지'!$AJ$14:$AJ$949,'09월 에너지'!$B$14:$B$949,$A45,'09월 에너지'!$C$14:$C$949,$B45)))</f>
        <v>1.0430102508285581</v>
      </c>
    </row>
    <row r="46" spans="1:35" ht="16.5" customHeight="1" thickTop="1" thickBot="1">
      <c r="A46" s="1632"/>
      <c r="B46" s="781" t="s">
        <v>100</v>
      </c>
      <c r="C46" s="782">
        <f>COUNTIFS('09월 조업일지'!$B$12:$B$952,A45,'09월 조업일지'!$E$12:$E$952,B46)</f>
        <v>10</v>
      </c>
      <c r="D46" s="1047">
        <f t="shared" si="3"/>
        <v>46.9</v>
      </c>
      <c r="E46" s="1048">
        <f>IF($C46&lt;1,"",(SUMIFS('09월 조업일지'!$K$12:$K$954,'09월 조업일지'!$B$12:$B$954,$A45,'09월 조업일지'!$E$12:$E$954,$B46)/$C46))</f>
        <v>0</v>
      </c>
      <c r="F46" s="1049">
        <f>IF($C46&lt;1,"",(AVERAGEIFS('09월 조업일지'!$J$12:$J$954,'09월 조업일지'!$B$12:$B$954,$A45,'09월 조업일지'!$E$12:$E$954,$B46)))</f>
        <v>46.9</v>
      </c>
      <c r="G46" s="1050">
        <f>IF($C46&lt;1,"",(AVERAGEIFS('09월 에너지'!$M$14:$M$950,'09월 에너지'!$B$14:$B$950,$A45,'09월 에너지'!$C$14:$C$950,$B46)))</f>
        <v>45.569999999999993</v>
      </c>
      <c r="H46" s="1051">
        <f>IF($C46&lt;1,"",(AVERAGEIFS('09월 조업일지'!$AJ$12:$AJ$954,'09월 조업일지'!$B$12:$B$954,$A45,'09월 조업일지'!$E$12:$E$954,$B46)))</f>
        <v>6.6</v>
      </c>
      <c r="I46" s="1052">
        <f>IF($C46&lt;1,"",(AVERAGEIFS('09월 조업일지'!$AL$12:$AL$954,'09월 조업일지'!$B$12:$B$954,$A45,'09월 조업일지'!$E$12:$E$954,$B46)))</f>
        <v>7</v>
      </c>
      <c r="J46" s="1053">
        <f>IF($C46&lt;1,"",(AVERAGEIFS('09월 화학성분'!G$12:G$950,'09월 화학성분'!$B$12:$B$950,$A45,'09월 화학성분'!$D$12:$D$950,$B46)))</f>
        <v>11.6</v>
      </c>
      <c r="K46" s="1054">
        <f>IF($C46&lt;1,"",(AVERAGEIFS('09월 화학성분'!H$12:H$950,'09월 화학성분'!$B$12:$B$950,$A45,'09월 화학성분'!$D$12:$D$950,$B46)))</f>
        <v>22.3</v>
      </c>
      <c r="L46" s="1054">
        <f>IF($C46&lt;1,"",(AVERAGEIFS('09월 화학성분'!I$12:I$950,'09월 화학성분'!$B$12:$B$950,$A45,'09월 화학성분'!$D$12:$D$950,$B46)))</f>
        <v>125.3</v>
      </c>
      <c r="M46" s="1054">
        <f>IF($C46&lt;1,"",(AVERAGEIFS('09월 화학성분'!J$12:J$950,'09월 화학성분'!$B$12:$B$950,$A45,'09월 화학성분'!$D$12:$D$950,$B46)))</f>
        <v>14.8</v>
      </c>
      <c r="N46" s="1054">
        <f>IF($C46&lt;1,"",(AVERAGEIFS('09월 화학성분'!K$12:K$950,'09월 화학성분'!$B$12:$B$950,$A45,'09월 화학성분'!$D$12:$D$950,$B46)))</f>
        <v>35.6</v>
      </c>
      <c r="O46" s="1054">
        <f>IF($C46&lt;1,"",(AVERAGEIFS('09월 화학성분'!L$12:L$950,'09월 화학성분'!$B$12:$B$950,$A45,'09월 화학성분'!$D$12:$D$950,$B46)))</f>
        <v>11.8</v>
      </c>
      <c r="P46" s="1054">
        <f>IF($C46&lt;1,"",(AVERAGEIFS('09월 화학성분'!M$12:M$950,'09월 화학성분'!$B$12:$B$950,$A45,'09월 화학성분'!$D$12:$D$950,$B46)))</f>
        <v>10.7</v>
      </c>
      <c r="Q46" s="1054">
        <f>IF($C46&lt;1,"",(AVERAGEIFS('09월 조업일지'!$AK$12:$AK$954,'09월 조업일지'!$B$12:$B$954,$A45,'09월 조업일지'!$E$12:$E$954,$B46)))</f>
        <v>696.9</v>
      </c>
      <c r="R46" s="1054">
        <f>IF($C46&lt;1,"",(AVERAGEIFS('09월 화학성분'!$G$12:$G$950,'09월 화학성분'!$B$12:$B$950,$A45,'09월 화학성분'!$D$12:$D$950,$B46)))</f>
        <v>11.6</v>
      </c>
      <c r="S46" s="1055">
        <f>IF($C46&lt;1,"",(AVERAGEIFS('09월 조업일지'!$AI$12:$AI$954,'09월 조업일지'!$B$12:$B$954,$A45,'09월 조업일지'!$E$12:$E$954,$B46)))</f>
        <v>1583.7</v>
      </c>
      <c r="T46" s="1056">
        <f>IF($C46&lt;1,"",(AVERAGEIFS('09월 화학성분'!$AM$12:$AM$949,'09월 화학성분'!$B$12:$B$949,$A45,'09월 화학성분'!$D$12:$D$949,$B46)))</f>
        <v>1640.3</v>
      </c>
      <c r="U46" s="1057">
        <f>IF($C46&lt;1,"",(AVERAGEIFS('09월 고철장입'!$AJ$14:$AJ$949,'09월 고철장입'!$B$14:$B$949,$A45,'09월 고철장입'!$C$14:$C$949,$B46))/1000)</f>
        <v>158.46</v>
      </c>
      <c r="V46" s="1102">
        <f>IF($C46&lt;1,"",(AVERAGEIFS('09월 고철장입'!$AK$14:$AK$949,'09월 고철장입'!$B$14:$B$949,$A45,'09월 고철장입'!$C$14:$C$949,$B46)))</f>
        <v>144.5</v>
      </c>
      <c r="W46" s="1058">
        <f t="shared" si="2"/>
        <v>91.190205730152712</v>
      </c>
      <c r="X46" s="1059">
        <f>IF($C46&lt;1,"",(AVERAGEIFS('09월 에너지'!$O$14:$O$949,'09월 에너지'!$A$14:$A$949,$A45,'09월 에너지'!$C$14:$C$949,$B46)))</f>
        <v>158.75769454438574</v>
      </c>
      <c r="Y46" s="1060">
        <f>IF($C46&lt;1,"",(AVERAGEIFS('09월 에너지'!$P$14:$P$949,'09월 에너지'!$A$14:$A$949,$A45,'09월 에너지'!$C$14:$C$949,$B46)))</f>
        <v>142.33877251911457</v>
      </c>
      <c r="Z46" s="1060">
        <f>IF($C46&lt;1,"",(AVERAGEIFS('09월 에너지'!$Q$14:$Q$949,'09월 에너지'!$A$14:$A$949,$A45,'09월 에너지'!$C$14:$C$949,$B46)))</f>
        <v>84.386494327765661</v>
      </c>
      <c r="AA46" s="1061">
        <f>IF($C46&lt;1,"",(AVERAGEIFS('09월 에너지'!$R$14:$R$949,'09월 에너지'!$B$14:$B$949,$A45,'09월 에너지'!$C$14:$C$949,$B46)))</f>
        <v>386.17073343648497</v>
      </c>
      <c r="AB46" s="1062">
        <f>IF($C46&lt;1,"",(AVERAGEIFS('09월 에너지'!$X$14:$X$949,'09월 에너지'!$A$14:$A$949,$A45,'09월 에너지'!$C$14:$C$949,$B46)))</f>
        <v>2.2444372086917461</v>
      </c>
      <c r="AC46" s="1063">
        <f>IF($C46&lt;1,"",(AVERAGEIFS('09월 에너지'!$AC$14:$AC$949,'09월 에너지'!$A$14:$A$949,$A45,'09월 에너지'!$C$14:$C$949,$B46)))</f>
        <v>26.828094106607313</v>
      </c>
      <c r="AD46" s="1064">
        <f>IF($C46&lt;1,"",(AVERAGEIFS('09월 에너지'!$AD$14:$AD$949,'09월 에너지'!$B$14:$B$949,$A45,'09월 에너지'!$C$14:$C$949,$B46)))</f>
        <v>4231.6000000000004</v>
      </c>
      <c r="AE46" s="1065">
        <f>IF($C46&lt;1,"",(AVERAGEIFS('09월 에너지'!$AE$14:$AE$949,'09월 에너지'!$B$14:$B$949,$A45,'09월 에너지'!$C$14:$C$949,$B46)))</f>
        <v>29.306397855695803</v>
      </c>
      <c r="AF46" s="1066">
        <f>IF($C46&lt;1,"",(AVERAGEIFS('09월 에너지'!$AI$14:$AI$949,'09월 에너지'!$B$14:$B$949,$A45,'09월 에너지'!$C$14:$C$949,$B46)))</f>
        <v>179.3</v>
      </c>
      <c r="AG46" s="1067">
        <f>IF($C46&lt;1,"",(AVERAGEIFS('09월 에너지'!$AJ$14:$AJ$949,'09월 에너지'!$B$14:$B$949,$A45,'09월 에너지'!$C$14:$C$949,$B46)))</f>
        <v>1.2412259307514</v>
      </c>
    </row>
    <row r="47" spans="1:35" ht="16.5" customHeight="1" thickTop="1" thickBot="1">
      <c r="A47" s="1632"/>
      <c r="B47" s="781" t="s">
        <v>93</v>
      </c>
      <c r="C47" s="782">
        <f>COUNTIFS('09월 조업일지'!$B$12:$B$952,A45,'09월 조업일지'!$E$12:$E$952,B47)</f>
        <v>10</v>
      </c>
      <c r="D47" s="1047">
        <f t="shared" si="3"/>
        <v>47.2</v>
      </c>
      <c r="E47" s="1048">
        <f>IF($C47&lt;1,"",(SUMIFS('09월 조업일지'!$K$12:$K$954,'09월 조업일지'!$B$12:$B$954,$A45,'09월 조업일지'!$E$12:$E$954,$B47)/$C47))</f>
        <v>0</v>
      </c>
      <c r="F47" s="1049">
        <f>IF($C47&lt;1,"",(AVERAGEIFS('09월 조업일지'!$J$12:$J$954,'09월 조업일지'!$B$12:$B$954,$A45,'09월 조업일지'!$E$12:$E$954,$B47)))</f>
        <v>47.2</v>
      </c>
      <c r="G47" s="1050">
        <f>IF($C47&lt;1,"",(AVERAGEIFS('09월 에너지'!$M$14:$M$950,'09월 에너지'!$B$14:$B$950,$A45,'09월 에너지'!$C$14:$C$950,$B47)))</f>
        <v>45.92</v>
      </c>
      <c r="H47" s="1051">
        <f>IF($C47&lt;1,"",(AVERAGEIFS('09월 조업일지'!$AJ$12:$AJ$954,'09월 조업일지'!$B$12:$B$954,$A45,'09월 조업일지'!$E$12:$E$954,$B47)))</f>
        <v>13.6</v>
      </c>
      <c r="I47" s="1052">
        <f>IF($C47&lt;1,"",(AVERAGEIFS('09월 조업일지'!$AL$12:$AL$954,'09월 조업일지'!$B$12:$B$954,$A45,'09월 조업일지'!$E$12:$E$954,$B47)))</f>
        <v>7</v>
      </c>
      <c r="J47" s="1053">
        <f>IF($C47&lt;1,"",(AVERAGEIFS('09월 화학성분'!G$12:G$950,'09월 화학성분'!$B$12:$B$950,$A45,'09월 화학성분'!$D$12:$D$950,$B47)))</f>
        <v>9.1</v>
      </c>
      <c r="K47" s="1054">
        <f>IF($C47&lt;1,"",(AVERAGEIFS('09월 화학성분'!H$12:H$950,'09월 화학성분'!$B$12:$B$950,$A45,'09월 화학성분'!$D$12:$D$950,$B47)))</f>
        <v>20.6</v>
      </c>
      <c r="L47" s="1054">
        <f>IF($C47&lt;1,"",(AVERAGEIFS('09월 화학성분'!I$12:I$950,'09월 화학성분'!$B$12:$B$950,$A45,'09월 화학성분'!$D$12:$D$950,$B47)))</f>
        <v>51.6</v>
      </c>
      <c r="M47" s="1054">
        <f>IF($C47&lt;1,"",(AVERAGEIFS('09월 화학성분'!J$12:J$950,'09월 화학성분'!$B$12:$B$950,$A45,'09월 화학성분'!$D$12:$D$950,$B47)))</f>
        <v>12.8</v>
      </c>
      <c r="N47" s="1054">
        <f>IF($C47&lt;1,"",(AVERAGEIFS('09월 화학성분'!K$12:K$950,'09월 화학성분'!$B$12:$B$950,$A45,'09월 화학성분'!$D$12:$D$950,$B47)))</f>
        <v>30.3</v>
      </c>
      <c r="O47" s="1054">
        <f>IF($C47&lt;1,"",(AVERAGEIFS('09월 화학성분'!L$12:L$950,'09월 화학성분'!$B$12:$B$950,$A45,'09월 화학성분'!$D$12:$D$950,$B47)))</f>
        <v>11.5</v>
      </c>
      <c r="P47" s="1054">
        <f>IF($C47&lt;1,"",(AVERAGEIFS('09월 화학성분'!M$12:M$950,'09월 화학성분'!$B$12:$B$950,$A45,'09월 화학성분'!$D$12:$D$950,$B47)))</f>
        <v>10.1</v>
      </c>
      <c r="Q47" s="1054">
        <f>IF($C47&lt;1,"",(AVERAGEIFS('09월 조업일지'!$AK$12:$AK$954,'09월 조업일지'!$B$12:$B$954,$A45,'09월 조업일지'!$E$12:$E$954,$B47)))</f>
        <v>586.70000000000005</v>
      </c>
      <c r="R47" s="1054">
        <f>IF($C47&lt;1,"",(AVERAGEIFS('09월 화학성분'!$G$12:$G$950,'09월 화학성분'!$B$12:$B$950,$A45,'09월 화학성분'!$D$12:$D$950,$B47)))</f>
        <v>9.1</v>
      </c>
      <c r="S47" s="1055">
        <f>IF($C47&lt;1,"",(AVERAGEIFS('09월 조업일지'!$AI$12:$AI$954,'09월 조업일지'!$B$12:$B$954,$A45,'09월 조업일지'!$E$12:$E$954,$B47)))</f>
        <v>1571.8</v>
      </c>
      <c r="T47" s="1056">
        <f>IF($C47&lt;1,"",(AVERAGEIFS('09월 화학성분'!$AM$12:$AM$949,'09월 화학성분'!$B$12:$B$949,$A45,'09월 화학성분'!$D$12:$D$949,$B47)))</f>
        <v>2203.3000000000002</v>
      </c>
      <c r="U47" s="1057">
        <f>IF($C47&lt;1,"",(AVERAGEIFS('09월 고철장입'!$AJ$14:$AJ$949,'09월 고철장입'!$B$14:$B$949,$A45,'09월 고철장입'!$C$14:$C$949,$B47))/1000)</f>
        <v>158.87</v>
      </c>
      <c r="V47" s="1102">
        <f>IF($C47&lt;1,"",(AVERAGEIFS('09월 고철장입'!$AK$14:$AK$949,'09월 고철장입'!$B$14:$B$949,$A45,'09월 고철장입'!$C$14:$C$949,$B47)))</f>
        <v>145.36000000000001</v>
      </c>
      <c r="W47" s="1058">
        <f t="shared" si="2"/>
        <v>91.496191854975777</v>
      </c>
      <c r="X47" s="1059">
        <f>IF($C47&lt;1,"",(AVERAGEIFS('09월 에너지'!$O$14:$O$949,'09월 에너지'!$A$14:$A$949,$A45,'09월 에너지'!$C$14:$C$949,$B47)))</f>
        <v>158.65311768102384</v>
      </c>
      <c r="Y47" s="1060">
        <f>IF($C47&lt;1,"",(AVERAGEIFS('09월 에너지'!$P$14:$P$949,'09월 에너지'!$A$14:$A$949,$A45,'09월 에너지'!$C$14:$C$949,$B47)))</f>
        <v>141.2441245471947</v>
      </c>
      <c r="Z47" s="1060">
        <f>IF($C47&lt;1,"",(AVERAGEIFS('09월 에너지'!$Q$14:$Q$949,'09월 에너지'!$A$14:$A$949,$A45,'09월 에너지'!$C$14:$C$949,$B47)))</f>
        <v>79.744975523788327</v>
      </c>
      <c r="AA47" s="1061">
        <f>IF($C47&lt;1,"",(AVERAGEIFS('09월 에너지'!$R$14:$R$949,'09월 에너지'!$B$14:$B$949,$A45,'09월 에너지'!$C$14:$C$949,$B47)))</f>
        <v>379.6422177520069</v>
      </c>
      <c r="AB47" s="1062">
        <f>IF($C47&lt;1,"",(AVERAGEIFS('09월 에너지'!$X$14:$X$949,'09월 에너지'!$A$14:$A$949,$A45,'09월 에너지'!$C$14:$C$949,$B47)))</f>
        <v>2.5414782852062299</v>
      </c>
      <c r="AC47" s="1063">
        <f>IF($C47&lt;1,"",(AVERAGEIFS('09월 에너지'!$AC$14:$AC$949,'09월 에너지'!$A$14:$A$949,$A45,'09월 에너지'!$C$14:$C$949,$B47)))</f>
        <v>26.136170171470599</v>
      </c>
      <c r="AD47" s="1064">
        <f>IF($C47&lt;1,"",(AVERAGEIFS('09월 에너지'!$AD$14:$AD$949,'09월 에너지'!$B$14:$B$949,$A45,'09월 에너지'!$C$14:$C$949,$B47)))</f>
        <v>4168.3999999999996</v>
      </c>
      <c r="AE47" s="1065">
        <f>IF($C47&lt;1,"",(AVERAGEIFS('09월 에너지'!$AE$14:$AE$949,'09월 에너지'!$B$14:$B$949,$A45,'09월 에너지'!$C$14:$C$949,$B47)))</f>
        <v>28.677648456676827</v>
      </c>
      <c r="AF47" s="1066">
        <f>IF($C47&lt;1,"",(AVERAGEIFS('09월 에너지'!$AI$14:$AI$949,'09월 에너지'!$B$14:$B$949,$A45,'09월 에너지'!$C$14:$C$949,$B47)))</f>
        <v>153.69999999999999</v>
      </c>
      <c r="AG47" s="1067">
        <f>IF($C47&lt;1,"",(AVERAGEIFS('09월 에너지'!$AJ$14:$AJ$949,'09월 에너지'!$B$14:$B$949,$A45,'09월 에너지'!$C$14:$C$949,$B47)))</f>
        <v>1.0573398461231307</v>
      </c>
      <c r="AI47" s="750" t="s">
        <v>429</v>
      </c>
    </row>
    <row r="48" spans="1:35" ht="16.5" customHeight="1" thickTop="1" thickBot="1">
      <c r="A48" s="1632"/>
      <c r="B48" s="783" t="s">
        <v>94</v>
      </c>
      <c r="C48" s="784">
        <f>COUNTIFS('09월 조업일지'!$B$12:$B$952,A45,'09월 조업일지'!$E$12:$E$952,B48)</f>
        <v>0</v>
      </c>
      <c r="D48" s="1068" t="str">
        <f t="shared" si="3"/>
        <v/>
      </c>
      <c r="E48" s="1069" t="str">
        <f>IF($C48&lt;1,"",(SUMIFS('09월 조업일지'!$K$12:$K$954,'09월 조업일지'!$B$12:$B$954,$A45,'09월 조업일지'!$E$12:$E$954,$B48)/$C48))</f>
        <v/>
      </c>
      <c r="F48" s="1070" t="str">
        <f>IF($C48&lt;1,"",(AVERAGEIFS('09월 조업일지'!$J$12:$J$954,'09월 조업일지'!$B$12:$B$954,$A45,'09월 조업일지'!$E$12:$E$954,$B48)))</f>
        <v/>
      </c>
      <c r="G48" s="1071" t="str">
        <f>IF($C48&lt;1,"",(AVERAGEIFS('09월 에너지'!$M$14:$M$950,'09월 에너지'!$B$14:$B$950,$A45,'09월 에너지'!$C$14:$C$950,$B48)))</f>
        <v/>
      </c>
      <c r="H48" s="1072" t="str">
        <f>IF($C48&lt;1,"",(AVERAGEIFS('09월 조업일지'!$AJ$12:$AJ$954,'09월 조업일지'!$B$12:$B$954,$A45,'09월 조업일지'!$E$12:$E$954,$B48)))</f>
        <v/>
      </c>
      <c r="I48" s="1073" t="str">
        <f>IF($C48&lt;1,"",(AVERAGEIFS('09월 조업일지'!$AL$12:$AL$954,'09월 조업일지'!$B$12:$B$954,$A45,'09월 조업일지'!$E$12:$E$954,$B48)))</f>
        <v/>
      </c>
      <c r="J48" s="1074" t="str">
        <f>IF($C48&lt;1,"",(AVERAGEIFS('09월 화학성분'!G$12:G$950,'09월 화학성분'!$B$12:$B$950,$A45,'09월 화학성분'!$D$12:$D$950,$B48)))</f>
        <v/>
      </c>
      <c r="K48" s="1075" t="str">
        <f>IF($C48&lt;1,"",(AVERAGEIFS('09월 화학성분'!H$12:H$950,'09월 화학성분'!$B$12:$B$950,$A45,'09월 화학성분'!$D$12:$D$950,$B48)))</f>
        <v/>
      </c>
      <c r="L48" s="1075" t="str">
        <f>IF($C48&lt;1,"",(AVERAGEIFS('09월 화학성분'!I$12:I$950,'09월 화학성분'!$B$12:$B$950,$A45,'09월 화학성분'!$D$12:$D$950,$B48)))</f>
        <v/>
      </c>
      <c r="M48" s="1075" t="str">
        <f>IF($C48&lt;1,"",(AVERAGEIFS('09월 화학성분'!J$12:J$950,'09월 화학성분'!$B$12:$B$950,$A45,'09월 화학성분'!$D$12:$D$950,$B48)))</f>
        <v/>
      </c>
      <c r="N48" s="1075" t="str">
        <f>IF($C48&lt;1,"",(AVERAGEIFS('09월 화학성분'!K$12:K$950,'09월 화학성분'!$B$12:$B$950,$A45,'09월 화학성분'!$D$12:$D$950,$B48)))</f>
        <v/>
      </c>
      <c r="O48" s="1075" t="str">
        <f>IF($C48&lt;1,"",(AVERAGEIFS('09월 화학성분'!L$12:L$950,'09월 화학성분'!$B$12:$B$950,$A45,'09월 화학성분'!$D$12:$D$950,$B48)))</f>
        <v/>
      </c>
      <c r="P48" s="1075" t="str">
        <f>IF($C48&lt;1,"",(AVERAGEIFS('09월 화학성분'!M$12:M$950,'09월 화학성분'!$B$12:$B$950,$A45,'09월 화학성분'!$D$12:$D$950,$B48)))</f>
        <v/>
      </c>
      <c r="Q48" s="1075" t="str">
        <f>IF($C48&lt;1,"",(AVERAGEIFS('09월 조업일지'!$AK$12:$AK$954,'09월 조업일지'!$B$12:$B$954,$A45,'09월 조업일지'!$E$12:$E$954,$B48)))</f>
        <v/>
      </c>
      <c r="R48" s="1075" t="str">
        <f>IF($C48&lt;1,"",(AVERAGEIFS('09월 화학성분'!$G$12:$G$950,'09월 화학성분'!$B$12:$B$950,$A45,'09월 화학성분'!$D$12:$D$950,$B48)))</f>
        <v/>
      </c>
      <c r="S48" s="1076" t="str">
        <f>IF($C48&lt;1,"",(AVERAGEIFS('09월 조업일지'!$AI$12:$AI$954,'09월 조업일지'!$B$12:$B$954,$A45,'09월 조업일지'!$E$12:$E$954,$B48)))</f>
        <v/>
      </c>
      <c r="T48" s="1077" t="str">
        <f>IF($C48&lt;1,"",(AVERAGEIFS('09월 화학성분'!$AM$12:$AM$949,'09월 화학성분'!$B$12:$B$949,$A45,'09월 화학성분'!$D$12:$D$949,$B48)))</f>
        <v/>
      </c>
      <c r="U48" s="1078" t="str">
        <f>IF($C48&lt;1,"",(AVERAGEIFS('09월 고철장입'!$AJ$14:$AJ$949,'09월 고철장입'!$B$14:$B$949,$A45,'09월 고철장입'!$C$14:$C$949,$B48))/1000)</f>
        <v/>
      </c>
      <c r="V48" s="1103" t="str">
        <f>IF($C48&lt;1,"",(AVERAGEIFS('09월 고철장입'!$AK$14:$AK$949,'09월 고철장입'!$B$14:$B$949,$A45,'09월 고철장입'!$C$14:$C$949,$B48)))</f>
        <v/>
      </c>
      <c r="W48" s="1079" t="str">
        <f t="shared" si="2"/>
        <v/>
      </c>
      <c r="X48" s="1080" t="str">
        <f>IF($C48&lt;1,"",(AVERAGEIFS('09월 에너지'!$O$14:$O$949,'09월 에너지'!$A$14:$A$949,$A45,'09월 에너지'!$C$14:$C$949,$B48)))</f>
        <v/>
      </c>
      <c r="Y48" s="1081" t="str">
        <f>IF($C48&lt;1,"",(AVERAGEIFS('09월 에너지'!$P$14:$P$949,'09월 에너지'!$A$14:$A$949,$A45,'09월 에너지'!$C$14:$C$949,$B48)))</f>
        <v/>
      </c>
      <c r="Z48" s="1081" t="str">
        <f>IF($C48&lt;1,"",(AVERAGEIFS('09월 에너지'!$Q$14:$Q$949,'09월 에너지'!$A$14:$A$949,$A45,'09월 에너지'!$C$14:$C$949,$B48)))</f>
        <v/>
      </c>
      <c r="AA48" s="1082" t="str">
        <f>IF($C48&lt;1,"",(AVERAGEIFS('09월 에너지'!$R$14:$R$949,'09월 에너지'!$B$14:$B$949,$A45,'09월 에너지'!$C$14:$C$949,$B48)))</f>
        <v/>
      </c>
      <c r="AB48" s="1083" t="str">
        <f>IF($C48&lt;1,"",(AVERAGEIFS('09월 에너지'!$X$14:$X$949,'09월 에너지'!$A$14:$A$949,$A45,'09월 에너지'!$C$14:$C$949,$B48)))</f>
        <v/>
      </c>
      <c r="AC48" s="1084" t="str">
        <f>IF($C48&lt;1,"",(AVERAGEIFS('09월 에너지'!$AC$14:$AC$949,'09월 에너지'!$A$14:$A$949,$A45,'09월 에너지'!$C$14:$C$949,$B48)))</f>
        <v/>
      </c>
      <c r="AD48" s="1085" t="str">
        <f>IF($C48&lt;1,"",(AVERAGEIFS('09월 에너지'!$AD$14:$AD$949,'09월 에너지'!$B$14:$B$949,$A45,'09월 에너지'!$C$14:$C$949,$B48)))</f>
        <v/>
      </c>
      <c r="AE48" s="1086" t="str">
        <f>IF($C48&lt;1,"",(AVERAGEIFS('09월 에너지'!$AE$14:$AE$949,'09월 에너지'!$B$14:$B$949,$A45,'09월 에너지'!$C$14:$C$949,$B48)))</f>
        <v/>
      </c>
      <c r="AF48" s="1087" t="str">
        <f>IF($C48&lt;1,"",(AVERAGEIFS('09월 에너지'!$AI$14:$AI$949,'09월 에너지'!$B$14:$B$949,$A45,'09월 에너지'!$C$14:$C$949,$B48)))</f>
        <v/>
      </c>
      <c r="AG48" s="1088" t="str">
        <f>IF($C48&lt;1,"",(AVERAGEIFS('09월 에너지'!$AJ$14:$AJ$949,'09월 에너지'!$B$14:$B$949,$A45,'09월 에너지'!$C$14:$C$949,$B48)))</f>
        <v/>
      </c>
    </row>
    <row r="49" spans="1:33" ht="16.5" customHeight="1" thickTop="1" thickBot="1">
      <c r="A49" s="1632">
        <f t="shared" ref="A49" si="13">A45+1</f>
        <v>46277</v>
      </c>
      <c r="B49" s="775" t="s">
        <v>128</v>
      </c>
      <c r="C49" s="776">
        <f>COUNTIFS('09월 조업일지'!$B$12:$B$952,A49,'09월 조업일지'!$E$12:$E$952,B49)</f>
        <v>10</v>
      </c>
      <c r="D49" s="1026">
        <f t="shared" si="3"/>
        <v>48.399999999999991</v>
      </c>
      <c r="E49" s="1027">
        <f>IF($C49&lt;1,"",(SUMIFS('09월 조업일지'!$K$12:$K$954,'09월 조업일지'!$B$12:$B$954,$A49,'09월 조업일지'!$E$12:$E$954,$B49)/$C49))</f>
        <v>0</v>
      </c>
      <c r="F49" s="1028">
        <f>IF($C49&lt;1,"",(AVERAGEIFS('09월 조업일지'!$J$12:$J$954,'09월 조업일지'!$B$12:$B$954,$A49,'09월 조업일지'!$E$12:$E$954,$B49)))</f>
        <v>48.399999999999991</v>
      </c>
      <c r="G49" s="1029">
        <f>IF($C49&lt;1,"",(AVERAGEIFS('09월 에너지'!$M$14:$M$950,'09월 에너지'!$B$14:$B$950,$A49,'09월 에너지'!$C$14:$C$950,$B49)))</f>
        <v>46.43</v>
      </c>
      <c r="H49" s="1030">
        <f>IF($C49&lt;1,"",(AVERAGEIFS('09월 조업일지'!$AJ$12:$AJ$954,'09월 조업일지'!$B$12:$B$954,$A49,'09월 조업일지'!$E$12:$E$954,$B49)))</f>
        <v>6.3</v>
      </c>
      <c r="I49" s="1031">
        <f>IF($C49&lt;1,"",(AVERAGEIFS('09월 조업일지'!$AL$12:$AL$954,'09월 조업일지'!$B$12:$B$954,$A49,'09월 조업일지'!$E$12:$E$954,$B49)))</f>
        <v>9.5555555555555554</v>
      </c>
      <c r="J49" s="1032">
        <f>IF($C49&lt;1,"",(AVERAGEIFS('09월 화학성분'!G$12:G$950,'09월 화학성분'!$B$12:$B$950,$A49,'09월 화학성분'!$D$12:$D$950,$B49)))</f>
        <v>12.1</v>
      </c>
      <c r="K49" s="1033">
        <f>IF($C49&lt;1,"",(AVERAGEIFS('09월 화학성분'!H$12:H$950,'09월 화학성분'!$B$12:$B$950,$A49,'09월 화학성분'!$D$12:$D$950,$B49)))</f>
        <v>26.5</v>
      </c>
      <c r="L49" s="1033">
        <f>IF($C49&lt;1,"",(AVERAGEIFS('09월 화학성분'!I$12:I$950,'09월 화학성분'!$B$12:$B$950,$A49,'09월 화학성분'!$D$12:$D$950,$B49)))</f>
        <v>125.9</v>
      </c>
      <c r="M49" s="1033">
        <f>IF($C49&lt;1,"",(AVERAGEIFS('09월 화학성분'!J$12:J$950,'09월 화학성분'!$B$12:$B$950,$A49,'09월 화학성분'!$D$12:$D$950,$B49)))</f>
        <v>16.899999999999999</v>
      </c>
      <c r="N49" s="1033">
        <f>IF($C49&lt;1,"",(AVERAGEIFS('09월 화학성분'!K$12:K$950,'09월 화학성분'!$B$12:$B$950,$A49,'09월 화학성분'!$D$12:$D$950,$B49)))</f>
        <v>33.799999999999997</v>
      </c>
      <c r="O49" s="1033">
        <f>IF($C49&lt;1,"",(AVERAGEIFS('09월 화학성분'!L$12:L$950,'09월 화학성분'!$B$12:$B$950,$A49,'09월 화학성분'!$D$12:$D$950,$B49)))</f>
        <v>13.5</v>
      </c>
      <c r="P49" s="1033">
        <f>IF($C49&lt;1,"",(AVERAGEIFS('09월 화학성분'!M$12:M$950,'09월 화학성분'!$B$12:$B$950,$A49,'09월 화학성분'!$D$12:$D$950,$B49)))</f>
        <v>10.3</v>
      </c>
      <c r="Q49" s="1033">
        <f>IF($C49&lt;1,"",(AVERAGEIFS('09월 조업일지'!$AK$12:$AK$954,'09월 조업일지'!$B$12:$B$954,$A49,'09월 조업일지'!$E$12:$E$954,$B49)))</f>
        <v>494.33333333333331</v>
      </c>
      <c r="R49" s="1033">
        <f>IF($C49&lt;1,"",(AVERAGEIFS('09월 화학성분'!$G$12:$G$950,'09월 화학성분'!$B$12:$B$950,$A49,'09월 화학성분'!$D$12:$D$950,$B49)))</f>
        <v>12.1</v>
      </c>
      <c r="S49" s="1034">
        <f>IF($C49&lt;1,"",(AVERAGEIFS('09월 조업일지'!$AI$12:$AI$954,'09월 조업일지'!$B$12:$B$954,$A49,'09월 조업일지'!$E$12:$E$954,$B49)))</f>
        <v>1569.5</v>
      </c>
      <c r="T49" s="1035">
        <f>IF($C49&lt;1,"",(AVERAGEIFS('09월 화학성분'!$AM$12:$AM$949,'09월 화학성분'!$B$12:$B$949,$A49,'09월 화학성분'!$D$12:$D$949,$B49)))</f>
        <v>2020</v>
      </c>
      <c r="U49" s="1036">
        <f>IF($C49&lt;1,"",(AVERAGEIFS('09월 고철장입'!$AJ$14:$AJ$949,'09월 고철장입'!$B$14:$B$949,$A49,'09월 고철장입'!$C$14:$C$949,$B49))/1000)</f>
        <v>158.52000000000001</v>
      </c>
      <c r="V49" s="1101">
        <f>IF($C49&lt;1,"",(AVERAGEIFS('09월 고철장입'!$AK$14:$AK$949,'09월 고철장입'!$B$14:$B$949,$A49,'09월 고철장입'!$C$14:$C$949,$B49)))</f>
        <v>145.79000000000002</v>
      </c>
      <c r="W49" s="1037">
        <f t="shared" si="2"/>
        <v>91.969467575069402</v>
      </c>
      <c r="X49" s="1038">
        <f>IF($C49&lt;1,"",(AVERAGEIFS('09월 에너지'!$O$14:$O$949,'09월 에너지'!$A$14:$A$949,$A49,'09월 에너지'!$C$14:$C$949,$B49)))</f>
        <v>158.68468766558297</v>
      </c>
      <c r="Y49" s="1039">
        <f>IF($C49&lt;1,"",(AVERAGEIFS('09월 에너지'!$P$14:$P$949,'09월 에너지'!$A$14:$A$949,$A49,'09월 에너지'!$C$14:$C$949,$B49)))</f>
        <v>141.38254952644098</v>
      </c>
      <c r="Z49" s="1039">
        <f>IF($C49&lt;1,"",(AVERAGEIFS('09월 에너지'!$Q$14:$Q$949,'09월 에너지'!$A$14:$A$949,$A49,'09월 에너지'!$C$14:$C$949,$B49)))</f>
        <v>87.93901112906866</v>
      </c>
      <c r="AA49" s="1040">
        <f>IF($C49&lt;1,"",(AVERAGEIFS('09월 에너지'!$R$14:$R$949,'09월 에너지'!$B$14:$B$949,$A49,'09월 에너지'!$C$14:$C$949,$B49)))</f>
        <v>388.00624832109258</v>
      </c>
      <c r="AB49" s="1041">
        <f>IF($C49&lt;1,"",(AVERAGEIFS('09월 에너지'!$X$14:$X$949,'09월 에너지'!$A$14:$A$949,$A49,'09월 에너지'!$C$14:$C$949,$B49)))</f>
        <v>2.5184395443583254</v>
      </c>
      <c r="AC49" s="1042">
        <f>IF($C49&lt;1,"",(AVERAGEIFS('09월 에너지'!$AC$14:$AC$949,'09월 에너지'!$A$14:$A$949,$A49,'09월 에너지'!$C$14:$C$949,$B49)))</f>
        <v>26.11708118971065</v>
      </c>
      <c r="AD49" s="1043">
        <f>IF($C49&lt;1,"",(AVERAGEIFS('09월 에너지'!$AD$14:$AD$949,'09월 에너지'!$B$14:$B$949,$A49,'09월 에너지'!$C$14:$C$949,$B49)))</f>
        <v>4173.8</v>
      </c>
      <c r="AE49" s="1044">
        <f>IF($C49&lt;1,"",(AVERAGEIFS('09월 에너지'!$AE$14:$AE$949,'09월 에너지'!$B$14:$B$949,$A49,'09월 에너지'!$C$14:$C$949,$B49)))</f>
        <v>28.635520734068969</v>
      </c>
      <c r="AF49" s="1045">
        <f>IF($C49&lt;1,"",(AVERAGEIFS('09월 에너지'!$AI$14:$AI$949,'09월 에너지'!$B$14:$B$949,$A49,'09월 에너지'!$C$14:$C$949,$B49)))</f>
        <v>154.5</v>
      </c>
      <c r="AG49" s="1046">
        <f>IF($C49&lt;1,"",(AVERAGEIFS('09월 에너지'!$AJ$14:$AJ$949,'09월 에너지'!$B$14:$B$949,$A49,'09월 에너지'!$C$14:$C$949,$B49)))</f>
        <v>1.059532048904839</v>
      </c>
    </row>
    <row r="50" spans="1:33" ht="16.5" customHeight="1" thickTop="1" thickBot="1">
      <c r="A50" s="1632"/>
      <c r="B50" s="781" t="s">
        <v>100</v>
      </c>
      <c r="C50" s="782">
        <f>COUNTIFS('09월 조업일지'!$B$12:$B$952,A49,'09월 조업일지'!$E$12:$E$952,B50)</f>
        <v>10</v>
      </c>
      <c r="D50" s="1047">
        <f t="shared" si="3"/>
        <v>47.500000000000014</v>
      </c>
      <c r="E50" s="1048">
        <f>IF($C50&lt;1,"",(SUMIFS('09월 조업일지'!$K$12:$K$954,'09월 조업일지'!$B$12:$B$954,$A49,'09월 조업일지'!$E$12:$E$954,$B50)/$C50))</f>
        <v>0</v>
      </c>
      <c r="F50" s="1049">
        <f>IF($C50&lt;1,"",(AVERAGEIFS('09월 조업일지'!$J$12:$J$954,'09월 조업일지'!$B$12:$B$954,$A49,'09월 조업일지'!$E$12:$E$954,$B50)))</f>
        <v>47.500000000000014</v>
      </c>
      <c r="G50" s="1050">
        <f>IF($C50&lt;1,"",(AVERAGEIFS('09월 에너지'!$M$14:$M$950,'09월 에너지'!$B$14:$B$950,$A49,'09월 에너지'!$C$14:$C$950,$B50)))</f>
        <v>46.11</v>
      </c>
      <c r="H50" s="1051">
        <f>IF($C50&lt;1,"",(AVERAGEIFS('09월 조업일지'!$AJ$12:$AJ$954,'09월 조업일지'!$B$12:$B$954,$A49,'09월 조업일지'!$E$12:$E$954,$B50)))</f>
        <v>6</v>
      </c>
      <c r="I50" s="1052">
        <f>IF($C50&lt;1,"",(AVERAGEIFS('09월 조업일지'!$AL$12:$AL$954,'09월 조업일지'!$B$12:$B$954,$A49,'09월 조업일지'!$E$12:$E$954,$B50)))</f>
        <v>7.875</v>
      </c>
      <c r="J50" s="1053">
        <f>IF($C50&lt;1,"",(AVERAGEIFS('09월 화학성분'!G$12:G$950,'09월 화학성분'!$B$12:$B$950,$A49,'09월 화학성분'!$D$12:$D$950,$B50)))</f>
        <v>10.9</v>
      </c>
      <c r="K50" s="1054">
        <f>IF($C50&lt;1,"",(AVERAGEIFS('09월 화학성분'!H$12:H$950,'09월 화학성분'!$B$12:$B$950,$A49,'09월 화학성분'!$D$12:$D$950,$B50)))</f>
        <v>19</v>
      </c>
      <c r="L50" s="1054">
        <f>IF($C50&lt;1,"",(AVERAGEIFS('09월 화학성분'!I$12:I$950,'09월 화학성분'!$B$12:$B$950,$A49,'09월 화학성분'!$D$12:$D$950,$B50)))</f>
        <v>124.1</v>
      </c>
      <c r="M50" s="1054">
        <f>IF($C50&lt;1,"",(AVERAGEIFS('09월 화학성분'!J$12:J$950,'09월 화학성분'!$B$12:$B$950,$A49,'09월 화학성분'!$D$12:$D$950,$B50)))</f>
        <v>15.7</v>
      </c>
      <c r="N50" s="1054">
        <f>IF($C50&lt;1,"",(AVERAGEIFS('09월 화학성분'!K$12:K$950,'09월 화학성분'!$B$12:$B$950,$A49,'09월 화학성분'!$D$12:$D$950,$B50)))</f>
        <v>37.700000000000003</v>
      </c>
      <c r="O50" s="1054">
        <f>IF($C50&lt;1,"",(AVERAGEIFS('09월 화학성분'!L$12:L$950,'09월 화학성분'!$B$12:$B$950,$A49,'09월 화학성분'!$D$12:$D$950,$B50)))</f>
        <v>13.6</v>
      </c>
      <c r="P50" s="1054">
        <f>IF($C50&lt;1,"",(AVERAGEIFS('09월 화학성분'!M$12:M$950,'09월 화학성분'!$B$12:$B$950,$A49,'09월 화학성분'!$D$12:$D$950,$B50)))</f>
        <v>10.6</v>
      </c>
      <c r="Q50" s="1054">
        <f>IF($C50&lt;1,"",(AVERAGEIFS('09월 조업일지'!$AK$12:$AK$954,'09월 조업일지'!$B$12:$B$954,$A49,'09월 조업일지'!$E$12:$E$954,$B50)))</f>
        <v>569.25</v>
      </c>
      <c r="R50" s="1054">
        <f>IF($C50&lt;1,"",(AVERAGEIFS('09월 화학성분'!$G$12:$G$950,'09월 화학성분'!$B$12:$B$950,$A49,'09월 화학성분'!$D$12:$D$950,$B50)))</f>
        <v>10.9</v>
      </c>
      <c r="S50" s="1055">
        <f>IF($C50&lt;1,"",(AVERAGEIFS('09월 조업일지'!$AI$12:$AI$954,'09월 조업일지'!$B$12:$B$954,$A49,'09월 조업일지'!$E$12:$E$954,$B50)))</f>
        <v>1572.3</v>
      </c>
      <c r="T50" s="1056">
        <f>IF($C50&lt;1,"",(AVERAGEIFS('09월 화학성분'!$AM$12:$AM$949,'09월 화학성분'!$B$12:$B$949,$A49,'09월 화학성분'!$D$12:$D$949,$B50)))</f>
        <v>1976.6</v>
      </c>
      <c r="U50" s="1057">
        <f>IF($C50&lt;1,"",(AVERAGEIFS('09월 고철장입'!$AJ$14:$AJ$949,'09월 고철장입'!$B$14:$B$949,$A49,'09월 고철장입'!$C$14:$C$949,$B50))/1000)</f>
        <v>158.49</v>
      </c>
      <c r="V50" s="1102">
        <f>IF($C50&lt;1,"",(AVERAGEIFS('09월 고철장입'!$AK$14:$AK$949,'09월 고철장입'!$B$14:$B$949,$A49,'09월 고철장입'!$C$14:$C$949,$B50)))</f>
        <v>145.35999999999999</v>
      </c>
      <c r="W50" s="1058">
        <f t="shared" si="2"/>
        <v>91.715565650829689</v>
      </c>
      <c r="X50" s="1059">
        <f>IF($C50&lt;1,"",(AVERAGEIFS('09월 에너지'!$O$14:$O$949,'09월 에너지'!$A$14:$A$949,$A49,'09월 에너지'!$C$14:$C$949,$B50)))</f>
        <v>158.91790026501545</v>
      </c>
      <c r="Y50" s="1060">
        <f>IF($C50&lt;1,"",(AVERAGEIFS('09월 에너지'!$P$14:$P$949,'09월 에너지'!$A$14:$A$949,$A49,'09월 에너지'!$C$14:$C$949,$B50)))</f>
        <v>141.71307172569848</v>
      </c>
      <c r="Z50" s="1060">
        <f>IF($C50&lt;1,"",(AVERAGEIFS('09월 에너지'!$Q$14:$Q$949,'09월 에너지'!$A$14:$A$949,$A49,'09월 에너지'!$C$14:$C$949,$B50)))</f>
        <v>79.428151518724448</v>
      </c>
      <c r="AA50" s="1061">
        <f>IF($C50&lt;1,"",(AVERAGEIFS('09월 에너지'!$R$14:$R$949,'09월 에너지'!$B$14:$B$949,$A49,'09월 에너지'!$C$14:$C$949,$B50)))</f>
        <v>387.48533879357558</v>
      </c>
      <c r="AB50" s="1062">
        <f>IF($C50&lt;1,"",(AVERAGEIFS('09월 에너지'!$X$14:$X$949,'09월 에너지'!$A$14:$A$949,$A49,'09월 에너지'!$C$14:$C$949,$B50)))</f>
        <v>2.3910869024959669</v>
      </c>
      <c r="AC50" s="1063">
        <f>IF($C50&lt;1,"",(AVERAGEIFS('09월 에너지'!$AC$14:$AC$949,'09월 에너지'!$A$14:$A$949,$A49,'09월 에너지'!$C$14:$C$949,$B50)))</f>
        <v>26.149701378080959</v>
      </c>
      <c r="AD50" s="1064">
        <f>IF($C50&lt;1,"",(AVERAGEIFS('09월 에너지'!$AD$14:$AD$949,'09월 에너지'!$B$14:$B$949,$A49,'09월 에너지'!$C$14:$C$949,$B50)))</f>
        <v>4170.5</v>
      </c>
      <c r="AE50" s="1065">
        <f>IF($C50&lt;1,"",(AVERAGEIFS('09월 에너지'!$AE$14:$AE$949,'09월 에너지'!$B$14:$B$949,$A49,'09월 에너지'!$C$14:$C$949,$B50)))</f>
        <v>28.705426724735155</v>
      </c>
      <c r="AF50" s="1066">
        <f>IF($C50&lt;1,"",(AVERAGEIFS('09월 에너지'!$AI$14:$AI$949,'09월 에너지'!$B$14:$B$949,$A49,'09월 에너지'!$C$14:$C$949,$B50)))</f>
        <v>160.1</v>
      </c>
      <c r="AG50" s="1067">
        <f>IF($C50&lt;1,"",(AVERAGEIFS('09월 에너지'!$AJ$14:$AJ$949,'09월 에너지'!$B$14:$B$949,$A49,'09월 에너지'!$C$14:$C$949,$B50)))</f>
        <v>1.101860863284656</v>
      </c>
    </row>
    <row r="51" spans="1:33" ht="16.5" customHeight="1" thickTop="1" thickBot="1">
      <c r="A51" s="1632"/>
      <c r="B51" s="781" t="s">
        <v>93</v>
      </c>
      <c r="C51" s="782">
        <f>COUNTIFS('09월 조업일지'!$B$12:$B$952,A49,'09월 조업일지'!$E$12:$E$952,B51)</f>
        <v>11</v>
      </c>
      <c r="D51" s="1047">
        <f t="shared" si="3"/>
        <v>45.909090909090907</v>
      </c>
      <c r="E51" s="1048">
        <f>IF($C51&lt;1,"",(SUMIFS('09월 조업일지'!$K$12:$K$954,'09월 조업일지'!$B$12:$B$954,$A49,'09월 조업일지'!$E$12:$E$954,$B51)/$C51))</f>
        <v>0</v>
      </c>
      <c r="F51" s="1049">
        <f>IF($C51&lt;1,"",(AVERAGEIFS('09월 조업일지'!$J$12:$J$954,'09월 조업일지'!$B$12:$B$954,$A49,'09월 조업일지'!$E$12:$E$954,$B51)))</f>
        <v>45.909090909090907</v>
      </c>
      <c r="G51" s="1050">
        <f>IF($C51&lt;1,"",(AVERAGEIFS('09월 에너지'!$M$14:$M$950,'09월 에너지'!$B$14:$B$950,$A49,'09월 에너지'!$C$14:$C$950,$B51)))</f>
        <v>45.218181818181819</v>
      </c>
      <c r="H51" s="1051">
        <f>IF($C51&lt;1,"",(AVERAGEIFS('09월 조업일지'!$AJ$12:$AJ$954,'09월 조업일지'!$B$12:$B$954,$A49,'09월 조업일지'!$E$12:$E$954,$B51)))</f>
        <v>12</v>
      </c>
      <c r="I51" s="1052">
        <f>IF($C51&lt;1,"",(AVERAGEIFS('09월 조업일지'!$AL$12:$AL$954,'09월 조업일지'!$B$12:$B$954,$A49,'09월 조업일지'!$E$12:$E$954,$B51)))</f>
        <v>7.1818181818181817</v>
      </c>
      <c r="J51" s="1053">
        <f>IF($C51&lt;1,"",(AVERAGEIFS('09월 화학성분'!G$12:G$950,'09월 화학성분'!$B$12:$B$950,$A49,'09월 화학성분'!$D$12:$D$950,$B51)))</f>
        <v>12</v>
      </c>
      <c r="K51" s="1054">
        <f>IF($C51&lt;1,"",(AVERAGEIFS('09월 화학성분'!H$12:H$950,'09월 화학성분'!$B$12:$B$950,$A49,'09월 화학성분'!$D$12:$D$950,$B51)))</f>
        <v>23.181818181818183</v>
      </c>
      <c r="L51" s="1054">
        <f>IF($C51&lt;1,"",(AVERAGEIFS('09월 화학성분'!I$12:I$950,'09월 화학성분'!$B$12:$B$950,$A49,'09월 화학성분'!$D$12:$D$950,$B51)))</f>
        <v>120.63636363636364</v>
      </c>
      <c r="M51" s="1054">
        <f>IF($C51&lt;1,"",(AVERAGEIFS('09월 화학성분'!J$12:J$950,'09월 화학성분'!$B$12:$B$950,$A49,'09월 화학성분'!$D$12:$D$950,$B51)))</f>
        <v>14.636363636363637</v>
      </c>
      <c r="N51" s="1054">
        <f>IF($C51&lt;1,"",(AVERAGEIFS('09월 화학성분'!K$12:K$950,'09월 화학성분'!$B$12:$B$950,$A49,'09월 화학성분'!$D$12:$D$950,$B51)))</f>
        <v>36</v>
      </c>
      <c r="O51" s="1054">
        <f>IF($C51&lt;1,"",(AVERAGEIFS('09월 화학성분'!L$12:L$950,'09월 화학성분'!$B$12:$B$950,$A49,'09월 화학성분'!$D$12:$D$950,$B51)))</f>
        <v>12.181818181818182</v>
      </c>
      <c r="P51" s="1054">
        <f>IF($C51&lt;1,"",(AVERAGEIFS('09월 화학성분'!M$12:M$950,'09월 화학성분'!$B$12:$B$950,$A49,'09월 화학성분'!$D$12:$D$950,$B51)))</f>
        <v>10.090909090909092</v>
      </c>
      <c r="Q51" s="1054">
        <f>IF($C51&lt;1,"",(AVERAGEIFS('09월 조업일지'!$AK$12:$AK$954,'09월 조업일지'!$B$12:$B$954,$A49,'09월 조업일지'!$E$12:$E$954,$B51)))</f>
        <v>620.72727272727275</v>
      </c>
      <c r="R51" s="1054">
        <f>IF($C51&lt;1,"",(AVERAGEIFS('09월 화학성분'!$G$12:$G$950,'09월 화학성분'!$B$12:$B$950,$A49,'09월 화학성분'!$D$12:$D$950,$B51)))</f>
        <v>12</v>
      </c>
      <c r="S51" s="1055">
        <f>IF($C51&lt;1,"",(AVERAGEIFS('09월 조업일지'!$AI$12:$AI$954,'09월 조업일지'!$B$12:$B$954,$A49,'09월 조업일지'!$E$12:$E$954,$B51)))</f>
        <v>1569.6363636363637</v>
      </c>
      <c r="T51" s="1056">
        <f>IF($C51&lt;1,"",(AVERAGEIFS('09월 화학성분'!$AM$12:$AM$949,'09월 화학성분'!$B$12:$B$949,$A49,'09월 화학성분'!$D$12:$D$949,$B51)))</f>
        <v>1636.7272727272727</v>
      </c>
      <c r="U51" s="1057">
        <f>IF($C51&lt;1,"",(AVERAGEIFS('09월 고철장입'!$AJ$14:$AJ$949,'09월 고철장입'!$B$14:$B$949,$A49,'09월 고철장입'!$C$14:$C$949,$B51))/1000)</f>
        <v>159.24545454545455</v>
      </c>
      <c r="V51" s="1102">
        <f>IF($C51&lt;1,"",(AVERAGEIFS('09월 고철장입'!$AK$14:$AK$949,'09월 고철장입'!$B$14:$B$949,$A49,'09월 고철장입'!$C$14:$C$949,$B51)))</f>
        <v>143.99090909090907</v>
      </c>
      <c r="W51" s="1058">
        <f t="shared" si="2"/>
        <v>90.420734143974414</v>
      </c>
      <c r="X51" s="1059">
        <f>IF($C51&lt;1,"",(AVERAGEIFS('09월 에너지'!$O$14:$O$949,'09월 에너지'!$A$14:$A$949,$A49,'09월 에너지'!$C$14:$C$949,$B51)))</f>
        <v>159.7484030306712</v>
      </c>
      <c r="Y51" s="1060">
        <f>IF($C51&lt;1,"",(AVERAGEIFS('09월 에너지'!$P$14:$P$949,'09월 에너지'!$A$14:$A$949,$A49,'09월 에너지'!$C$14:$C$949,$B51)))</f>
        <v>144.02156399577191</v>
      </c>
      <c r="Z51" s="1060">
        <f>IF($C51&lt;1,"",(AVERAGEIFS('09월 에너지'!$Q$14:$Q$949,'09월 에너지'!$A$14:$A$949,$A49,'09월 에너지'!$C$14:$C$949,$B51)))</f>
        <v>73.73163058817282</v>
      </c>
      <c r="AA51" s="1061">
        <f>IF($C51&lt;1,"",(AVERAGEIFS('09월 에너지'!$R$14:$R$949,'09월 에너지'!$B$14:$B$949,$A49,'09월 에너지'!$C$14:$C$949,$B51)))</f>
        <v>377.501597614616</v>
      </c>
      <c r="AB51" s="1062">
        <f>IF($C51&lt;1,"",(AVERAGEIFS('09월 에너지'!$X$14:$X$949,'09월 에너지'!$A$14:$A$949,$A49,'09월 에너지'!$C$14:$C$949,$B51)))</f>
        <v>2.3475835741164</v>
      </c>
      <c r="AC51" s="1063">
        <f>IF($C51&lt;1,"",(AVERAGEIFS('09월 에너지'!$AC$14:$AC$949,'09월 에너지'!$A$14:$A$949,$A49,'09월 에너지'!$C$14:$C$949,$B51)))</f>
        <v>27.778930792240654</v>
      </c>
      <c r="AD51" s="1064">
        <f>IF($C51&lt;1,"",(AVERAGEIFS('09월 에너지'!$AD$14:$AD$949,'09월 에너지'!$B$14:$B$949,$A49,'09월 에너지'!$C$14:$C$949,$B51)))</f>
        <v>4337.181818181818</v>
      </c>
      <c r="AE51" s="1065">
        <f>IF($C51&lt;1,"",(AVERAGEIFS('09월 에너지'!$AE$14:$AE$949,'09월 에너지'!$B$14:$B$949,$A49,'09월 에너지'!$C$14:$C$949,$B51)))</f>
        <v>30.126514366357057</v>
      </c>
      <c r="AF51" s="1066">
        <f>IF($C51&lt;1,"",(AVERAGEIFS('09월 에너지'!$AI$14:$AI$949,'09월 에너지'!$B$14:$B$949,$A49,'09월 에너지'!$C$14:$C$949,$B51)))</f>
        <v>187.90909090909091</v>
      </c>
      <c r="AG51" s="1067">
        <f>IF($C51&lt;1,"",(AVERAGEIFS('09월 에너지'!$AJ$14:$AJ$949,'09월 에너지'!$B$14:$B$949,$A49,'09월 에너지'!$C$14:$C$949,$B51)))</f>
        <v>1.3052890862693731</v>
      </c>
    </row>
    <row r="52" spans="1:33" ht="16.5" customHeight="1" thickTop="1" thickBot="1">
      <c r="A52" s="1632"/>
      <c r="B52" s="783" t="s">
        <v>94</v>
      </c>
      <c r="C52" s="784">
        <f>COUNTIFS('09월 조업일지'!$B$12:$B$952,A49,'09월 조업일지'!$E$12:$E$952,B52)</f>
        <v>0</v>
      </c>
      <c r="D52" s="1068" t="str">
        <f t="shared" si="3"/>
        <v/>
      </c>
      <c r="E52" s="1069" t="str">
        <f>IF($C52&lt;1,"",(SUMIFS('09월 조업일지'!$K$12:$K$954,'09월 조업일지'!$B$12:$B$954,$A49,'09월 조업일지'!$E$12:$E$954,$B52)/$C52))</f>
        <v/>
      </c>
      <c r="F52" s="1070" t="str">
        <f>IF($C52&lt;1,"",(AVERAGEIFS('09월 조업일지'!$J$12:$J$954,'09월 조업일지'!$B$12:$B$954,$A49,'09월 조업일지'!$E$12:$E$954,$B52)))</f>
        <v/>
      </c>
      <c r="G52" s="1071" t="str">
        <f>IF($C52&lt;1,"",(AVERAGEIFS('09월 에너지'!$M$14:$M$950,'09월 에너지'!$B$14:$B$950,$A49,'09월 에너지'!$C$14:$C$950,$B52)))</f>
        <v/>
      </c>
      <c r="H52" s="1072" t="str">
        <f>IF($C52&lt;1,"",(AVERAGEIFS('09월 조업일지'!$AJ$12:$AJ$954,'09월 조업일지'!$B$12:$B$954,$A49,'09월 조업일지'!$E$12:$E$954,$B52)))</f>
        <v/>
      </c>
      <c r="I52" s="1073" t="str">
        <f>IF($C52&lt;1,"",(AVERAGEIFS('09월 조업일지'!$AL$12:$AL$954,'09월 조업일지'!$B$12:$B$954,$A49,'09월 조업일지'!$E$12:$E$954,$B52)))</f>
        <v/>
      </c>
      <c r="J52" s="1074" t="str">
        <f>IF($C52&lt;1,"",(AVERAGEIFS('09월 화학성분'!G$12:G$950,'09월 화학성분'!$B$12:$B$950,$A49,'09월 화학성분'!$D$12:$D$950,$B52)))</f>
        <v/>
      </c>
      <c r="K52" s="1075" t="str">
        <f>IF($C52&lt;1,"",(AVERAGEIFS('09월 화학성분'!H$12:H$950,'09월 화학성분'!$B$12:$B$950,$A49,'09월 화학성분'!$D$12:$D$950,$B52)))</f>
        <v/>
      </c>
      <c r="L52" s="1075" t="str">
        <f>IF($C52&lt;1,"",(AVERAGEIFS('09월 화학성분'!I$12:I$950,'09월 화학성분'!$B$12:$B$950,$A49,'09월 화학성분'!$D$12:$D$950,$B52)))</f>
        <v/>
      </c>
      <c r="M52" s="1075" t="str">
        <f>IF($C52&lt;1,"",(AVERAGEIFS('09월 화학성분'!J$12:J$950,'09월 화학성분'!$B$12:$B$950,$A49,'09월 화학성분'!$D$12:$D$950,$B52)))</f>
        <v/>
      </c>
      <c r="N52" s="1075" t="str">
        <f>IF($C52&lt;1,"",(AVERAGEIFS('09월 화학성분'!K$12:K$950,'09월 화학성분'!$B$12:$B$950,$A49,'09월 화학성분'!$D$12:$D$950,$B52)))</f>
        <v/>
      </c>
      <c r="O52" s="1075" t="str">
        <f>IF($C52&lt;1,"",(AVERAGEIFS('09월 화학성분'!L$12:L$950,'09월 화학성분'!$B$12:$B$950,$A49,'09월 화학성분'!$D$12:$D$950,$B52)))</f>
        <v/>
      </c>
      <c r="P52" s="1075" t="str">
        <f>IF($C52&lt;1,"",(AVERAGEIFS('09월 화학성분'!M$12:M$950,'09월 화학성분'!$B$12:$B$950,$A49,'09월 화학성분'!$D$12:$D$950,$B52)))</f>
        <v/>
      </c>
      <c r="Q52" s="1075" t="str">
        <f>IF($C52&lt;1,"",(AVERAGEIFS('09월 조업일지'!$AK$12:$AK$954,'09월 조업일지'!$B$12:$B$954,$A49,'09월 조업일지'!$E$12:$E$954,$B52)))</f>
        <v/>
      </c>
      <c r="R52" s="1075" t="str">
        <f>IF($C52&lt;1,"",(AVERAGEIFS('09월 화학성분'!$G$12:$G$950,'09월 화학성분'!$B$12:$B$950,$A49,'09월 화학성분'!$D$12:$D$950,$B52)))</f>
        <v/>
      </c>
      <c r="S52" s="1076" t="str">
        <f>IF($C52&lt;1,"",(AVERAGEIFS('09월 조업일지'!$AI$12:$AI$954,'09월 조업일지'!$B$12:$B$954,$A49,'09월 조업일지'!$E$12:$E$954,$B52)))</f>
        <v/>
      </c>
      <c r="T52" s="1077" t="str">
        <f>IF($C52&lt;1,"",(AVERAGEIFS('09월 화학성분'!$AM$12:$AM$949,'09월 화학성분'!$B$12:$B$949,$A49,'09월 화학성분'!$D$12:$D$949,$B52)))</f>
        <v/>
      </c>
      <c r="U52" s="1078" t="str">
        <f>IF($C52&lt;1,"",(AVERAGEIFS('09월 고철장입'!$AJ$14:$AJ$949,'09월 고철장입'!$B$14:$B$949,$A49,'09월 고철장입'!$C$14:$C$949,$B52))/1000)</f>
        <v/>
      </c>
      <c r="V52" s="1103" t="str">
        <f>IF($C52&lt;1,"",(AVERAGEIFS('09월 고철장입'!$AK$14:$AK$949,'09월 고철장입'!$B$14:$B$949,$A49,'09월 고철장입'!$C$14:$C$949,$B52)))</f>
        <v/>
      </c>
      <c r="W52" s="1079" t="str">
        <f t="shared" si="2"/>
        <v/>
      </c>
      <c r="X52" s="1080" t="str">
        <f>IF($C52&lt;1,"",(AVERAGEIFS('09월 에너지'!$O$14:$O$949,'09월 에너지'!$A$14:$A$949,$A49,'09월 에너지'!$C$14:$C$949,$B52)))</f>
        <v/>
      </c>
      <c r="Y52" s="1081" t="str">
        <f>IF($C52&lt;1,"",(AVERAGEIFS('09월 에너지'!$P$14:$P$949,'09월 에너지'!$A$14:$A$949,$A49,'09월 에너지'!$C$14:$C$949,$B52)))</f>
        <v/>
      </c>
      <c r="Z52" s="1081" t="str">
        <f>IF($C52&lt;1,"",(AVERAGEIFS('09월 에너지'!$Q$14:$Q$949,'09월 에너지'!$A$14:$A$949,$A49,'09월 에너지'!$C$14:$C$949,$B52)))</f>
        <v/>
      </c>
      <c r="AA52" s="1082" t="str">
        <f>IF($C52&lt;1,"",(AVERAGEIFS('09월 에너지'!$R$14:$R$949,'09월 에너지'!$B$14:$B$949,$A49,'09월 에너지'!$C$14:$C$949,$B52)))</f>
        <v/>
      </c>
      <c r="AB52" s="1083" t="str">
        <f>IF($C52&lt;1,"",(AVERAGEIFS('09월 에너지'!$X$14:$X$949,'09월 에너지'!$A$14:$A$949,$A49,'09월 에너지'!$C$14:$C$949,$B52)))</f>
        <v/>
      </c>
      <c r="AC52" s="1084" t="str">
        <f>IF($C52&lt;1,"",(AVERAGEIFS('09월 에너지'!$AC$14:$AC$949,'09월 에너지'!$A$14:$A$949,$A49,'09월 에너지'!$C$14:$C$949,$B52)))</f>
        <v/>
      </c>
      <c r="AD52" s="1085" t="str">
        <f>IF($C52&lt;1,"",(AVERAGEIFS('09월 에너지'!$AD$14:$AD$949,'09월 에너지'!$B$14:$B$949,$A49,'09월 에너지'!$C$14:$C$949,$B52)))</f>
        <v/>
      </c>
      <c r="AE52" s="1086" t="str">
        <f>IF($C52&lt;1,"",(AVERAGEIFS('09월 에너지'!$AE$14:$AE$949,'09월 에너지'!$B$14:$B$949,$A49,'09월 에너지'!$C$14:$C$949,$B52)))</f>
        <v/>
      </c>
      <c r="AF52" s="1087" t="str">
        <f>IF($C52&lt;1,"",(AVERAGEIFS('09월 에너지'!$AI$14:$AI$949,'09월 에너지'!$B$14:$B$949,$A49,'09월 에너지'!$C$14:$C$949,$B52)))</f>
        <v/>
      </c>
      <c r="AG52" s="1088" t="str">
        <f>IF($C52&lt;1,"",(AVERAGEIFS('09월 에너지'!$AJ$14:$AJ$949,'09월 에너지'!$B$14:$B$949,$A49,'09월 에너지'!$C$14:$C$949,$B52)))</f>
        <v/>
      </c>
    </row>
    <row r="53" spans="1:33" ht="16.5" customHeight="1" thickTop="1" thickBot="1">
      <c r="A53" s="1632">
        <f t="shared" ref="A53" si="14">A49+1</f>
        <v>46278</v>
      </c>
      <c r="B53" s="775" t="s">
        <v>128</v>
      </c>
      <c r="C53" s="776">
        <f>COUNTIFS('09월 조업일지'!$B$12:$B$952,A53,'09월 조업일지'!$E$12:$E$952,B53)</f>
        <v>11</v>
      </c>
      <c r="D53" s="1026">
        <f t="shared" si="3"/>
        <v>45.999999999999993</v>
      </c>
      <c r="E53" s="1027">
        <f>IF($C53&lt;1,"",(SUMIFS('09월 조업일지'!$K$12:$K$954,'09월 조업일지'!$B$12:$B$954,$A53,'09월 조업일지'!$E$12:$E$954,$B53)/$C53))</f>
        <v>0</v>
      </c>
      <c r="F53" s="1028">
        <f>IF($C53&lt;1,"",(AVERAGEIFS('09월 조업일지'!$J$12:$J$954,'09월 조업일지'!$B$12:$B$954,$A53,'09월 조업일지'!$E$12:$E$954,$B53)))</f>
        <v>45.999999999999993</v>
      </c>
      <c r="G53" s="1029">
        <f>IF($C53&lt;1,"",(AVERAGEIFS('09월 에너지'!$M$14:$M$950,'09월 에너지'!$B$14:$B$950,$A53,'09월 에너지'!$C$14:$C$950,$B53)))</f>
        <v>44.936363636363645</v>
      </c>
      <c r="H53" s="1030">
        <f>IF($C53&lt;1,"",(AVERAGEIFS('09월 조업일지'!$AJ$12:$AJ$954,'09월 조업일지'!$B$12:$B$954,$A53,'09월 조업일지'!$E$12:$E$954,$B53)))</f>
        <v>8</v>
      </c>
      <c r="I53" s="1031">
        <f>IF($C53&lt;1,"",(AVERAGEIFS('09월 조업일지'!$AL$12:$AL$954,'09월 조업일지'!$B$12:$B$954,$A53,'09월 조업일지'!$E$12:$E$954,$B53)))</f>
        <v>9.3636363636363633</v>
      </c>
      <c r="J53" s="1032">
        <f>IF($C53&lt;1,"",(AVERAGEIFS('09월 화학성분'!G$12:G$950,'09월 화학성분'!$B$12:$B$950,$A53,'09월 화학성분'!$D$12:$D$950,$B53)))</f>
        <v>10.909090909090908</v>
      </c>
      <c r="K53" s="1033">
        <f>IF($C53&lt;1,"",(AVERAGEIFS('09월 화학성분'!H$12:H$950,'09월 화학성분'!$B$12:$B$950,$A53,'09월 화학성분'!$D$12:$D$950,$B53)))</f>
        <v>21.818181818181817</v>
      </c>
      <c r="L53" s="1033">
        <f>IF($C53&lt;1,"",(AVERAGEIFS('09월 화학성분'!I$12:I$950,'09월 화학성분'!$B$12:$B$950,$A53,'09월 화학성분'!$D$12:$D$950,$B53)))</f>
        <v>62.272727272727273</v>
      </c>
      <c r="M53" s="1033">
        <f>IF($C53&lt;1,"",(AVERAGEIFS('09월 화학성분'!J$12:J$950,'09월 화학성분'!$B$12:$B$950,$A53,'09월 화학성분'!$D$12:$D$950,$B53)))</f>
        <v>17.727272727272727</v>
      </c>
      <c r="N53" s="1033">
        <f>IF($C53&lt;1,"",(AVERAGEIFS('09월 화학성분'!K$12:K$950,'09월 화학성분'!$B$12:$B$950,$A53,'09월 화학성분'!$D$12:$D$950,$B53)))</f>
        <v>38.454545454545453</v>
      </c>
      <c r="O53" s="1033">
        <f>IF($C53&lt;1,"",(AVERAGEIFS('09월 화학성분'!L$12:L$950,'09월 화학성분'!$B$12:$B$950,$A53,'09월 화학성분'!$D$12:$D$950,$B53)))</f>
        <v>15.181818181818182</v>
      </c>
      <c r="P53" s="1033">
        <f>IF($C53&lt;1,"",(AVERAGEIFS('09월 화학성분'!M$12:M$950,'09월 화학성분'!$B$12:$B$950,$A53,'09월 화학성분'!$D$12:$D$950,$B53)))</f>
        <v>12.090909090909092</v>
      </c>
      <c r="Q53" s="1033">
        <f>IF($C53&lt;1,"",(AVERAGEIFS('09월 조업일지'!$AK$12:$AK$954,'09월 조업일지'!$B$12:$B$954,$A53,'09월 조업일지'!$E$12:$E$954,$B53)))</f>
        <v>484.27272727272725</v>
      </c>
      <c r="R53" s="1033">
        <f>IF($C53&lt;1,"",(AVERAGEIFS('09월 화학성분'!$G$12:$G$950,'09월 화학성분'!$B$12:$B$950,$A53,'09월 화학성분'!$D$12:$D$950,$B53)))</f>
        <v>10.909090909090908</v>
      </c>
      <c r="S53" s="1034">
        <f>IF($C53&lt;1,"",(AVERAGEIFS('09월 조업일지'!$AI$12:$AI$954,'09월 조업일지'!$B$12:$B$954,$A53,'09월 조업일지'!$E$12:$E$954,$B53)))</f>
        <v>1574.7272727272727</v>
      </c>
      <c r="T53" s="1035">
        <f>IF($C53&lt;1,"",(AVERAGEIFS('09월 화학성분'!$AM$12:$AM$949,'09월 화학성분'!$B$12:$B$949,$A53,'09월 화학성분'!$D$12:$D$949,$B53)))</f>
        <v>1794.3636363636363</v>
      </c>
      <c r="U53" s="1036">
        <f>IF($C53&lt;1,"",(AVERAGEIFS('09월 고철장입'!$AJ$14:$AJ$949,'09월 고철장입'!$B$14:$B$949,$A53,'09월 고철장입'!$C$14:$C$949,$B53))/1000)</f>
        <v>158.36363636363635</v>
      </c>
      <c r="V53" s="1101">
        <f>IF($C53&lt;1,"",(AVERAGEIFS('09월 고철장입'!$AK$14:$AK$949,'09월 고철장입'!$B$14:$B$949,$A53,'09월 고철장입'!$C$14:$C$949,$B53)))</f>
        <v>143.95454545454544</v>
      </c>
      <c r="W53" s="1037">
        <f t="shared" si="2"/>
        <v>90.901262916188287</v>
      </c>
      <c r="X53" s="1038">
        <f>IF($C53&lt;1,"",(AVERAGEIFS('09월 에너지'!$O$14:$O$949,'09월 에너지'!$A$14:$A$949,$A53,'09월 에너지'!$C$14:$C$949,$B53)))</f>
        <v>161.43135558141532</v>
      </c>
      <c r="Y53" s="1039">
        <f>IF($C53&lt;1,"",(AVERAGEIFS('09월 에너지'!$P$14:$P$949,'09월 에너지'!$A$14:$A$949,$A53,'09월 에너지'!$C$14:$C$949,$B53)))</f>
        <v>143.30416904856588</v>
      </c>
      <c r="Z53" s="1039">
        <f>IF($C53&lt;1,"",(AVERAGEIFS('09월 에너지'!$Q$14:$Q$949,'09월 에너지'!$A$14:$A$949,$A53,'09월 에너지'!$C$14:$C$949,$B53)))</f>
        <v>78.555330401760244</v>
      </c>
      <c r="AA53" s="1040">
        <f>IF($C53&lt;1,"",(AVERAGEIFS('09월 에너지'!$R$14:$R$949,'09월 에너지'!$B$14:$B$949,$A53,'09월 에너지'!$C$14:$C$949,$B53)))</f>
        <v>383.29085503174139</v>
      </c>
      <c r="AB53" s="1041">
        <f>IF($C53&lt;1,"",(AVERAGEIFS('09월 에너지'!$X$14:$X$949,'09월 에너지'!$A$14:$A$949,$A53,'09월 에너지'!$C$14:$C$949,$B53)))</f>
        <v>2.5302787082223075</v>
      </c>
      <c r="AC53" s="1042">
        <f>IF($C53&lt;1,"",(AVERAGEIFS('09월 에너지'!$AC$14:$AC$949,'09월 에너지'!$A$14:$A$949,$A53,'09월 에너지'!$C$14:$C$949,$B53)))</f>
        <v>25.971604874868969</v>
      </c>
      <c r="AD53" s="1043">
        <f>IF($C53&lt;1,"",(AVERAGEIFS('09월 에너지'!$AD$14:$AD$949,'09월 에너지'!$B$14:$B$949,$A53,'09월 에너지'!$C$14:$C$949,$B53)))</f>
        <v>4102.272727272727</v>
      </c>
      <c r="AE53" s="1044">
        <f>IF($C53&lt;1,"",(AVERAGEIFS('09월 에너지'!$AE$14:$AE$949,'09월 에너지'!$B$14:$B$949,$A53,'09월 에너지'!$C$14:$C$949,$B53)))</f>
        <v>28.501883583091281</v>
      </c>
      <c r="AF53" s="1045">
        <f>IF($C53&lt;1,"",(AVERAGEIFS('09월 에너지'!$AI$14:$AI$949,'09월 에너지'!$B$14:$B$949,$A53,'09월 에너지'!$C$14:$C$949,$B53)))</f>
        <v>156</v>
      </c>
      <c r="AG53" s="1046">
        <f>IF($C53&lt;1,"",(AVERAGEIFS('09월 에너지'!$AJ$14:$AJ$949,'09월 에너지'!$B$14:$B$949,$A53,'09월 에너지'!$C$14:$C$949,$B53)))</f>
        <v>1.0838610870601328</v>
      </c>
    </row>
    <row r="54" spans="1:33" ht="16.5" customHeight="1" thickTop="1" thickBot="1">
      <c r="A54" s="1632"/>
      <c r="B54" s="781" t="s">
        <v>100</v>
      </c>
      <c r="C54" s="782">
        <f>COUNTIFS('09월 조업일지'!$B$12:$B$952,A53,'09월 조업일지'!$E$12:$E$952,B54)</f>
        <v>10</v>
      </c>
      <c r="D54" s="1047">
        <f t="shared" si="3"/>
        <v>46.4</v>
      </c>
      <c r="E54" s="1048">
        <f>IF($C54&lt;1,"",(SUMIFS('09월 조업일지'!$K$12:$K$954,'09월 조업일지'!$B$12:$B$954,$A53,'09월 조업일지'!$E$12:$E$954,$B54)/$C54))</f>
        <v>0</v>
      </c>
      <c r="F54" s="1049">
        <f>IF($C54&lt;1,"",(AVERAGEIFS('09월 조업일지'!$J$12:$J$954,'09월 조업일지'!$B$12:$B$954,$A53,'09월 조업일지'!$E$12:$E$954,$B54)))</f>
        <v>46.4</v>
      </c>
      <c r="G54" s="1050">
        <f>IF($C54&lt;1,"",(AVERAGEIFS('09월 에너지'!$M$14:$M$950,'09월 에너지'!$B$14:$B$950,$A53,'09월 에너지'!$C$14:$C$950,$B54)))</f>
        <v>45.35</v>
      </c>
      <c r="H54" s="1051">
        <f>IF($C54&lt;1,"",(AVERAGEIFS('09월 조업일지'!$AJ$12:$AJ$954,'09월 조업일지'!$B$12:$B$954,$A53,'09월 조업일지'!$E$12:$E$954,$B54)))</f>
        <v>14.2</v>
      </c>
      <c r="I54" s="1052">
        <f>IF($C54&lt;1,"",(AVERAGEIFS('09월 조업일지'!$AL$12:$AL$954,'09월 조업일지'!$B$12:$B$954,$A53,'09월 조업일지'!$E$12:$E$954,$B54)))</f>
        <v>10.6</v>
      </c>
      <c r="J54" s="1053">
        <f>IF($C54&lt;1,"",(AVERAGEIFS('09월 화학성분'!G$12:G$950,'09월 화학성분'!$B$12:$B$950,$A53,'09월 화학성분'!$D$12:$D$950,$B54)))</f>
        <v>10.4</v>
      </c>
      <c r="K54" s="1054">
        <f>IF($C54&lt;1,"",(AVERAGEIFS('09월 화학성분'!H$12:H$950,'09월 화학성분'!$B$12:$B$950,$A53,'09월 화학성분'!$D$12:$D$950,$B54)))</f>
        <v>20.7</v>
      </c>
      <c r="L54" s="1054">
        <f>IF($C54&lt;1,"",(AVERAGEIFS('09월 화학성분'!I$12:I$950,'09월 화학성분'!$B$12:$B$950,$A53,'09월 화학성분'!$D$12:$D$950,$B54)))</f>
        <v>55.8</v>
      </c>
      <c r="M54" s="1054">
        <f>IF($C54&lt;1,"",(AVERAGEIFS('09월 화학성분'!J$12:J$950,'09월 화학성분'!$B$12:$B$950,$A53,'09월 화학성분'!$D$12:$D$950,$B54)))</f>
        <v>17.8</v>
      </c>
      <c r="N54" s="1054">
        <f>IF($C54&lt;1,"",(AVERAGEIFS('09월 화학성분'!K$12:K$950,'09월 화학성분'!$B$12:$B$950,$A53,'09월 화학성분'!$D$12:$D$950,$B54)))</f>
        <v>40</v>
      </c>
      <c r="O54" s="1054">
        <f>IF($C54&lt;1,"",(AVERAGEIFS('09월 화학성분'!L$12:L$950,'09월 화학성분'!$B$12:$B$950,$A53,'09월 화학성분'!$D$12:$D$950,$B54)))</f>
        <v>15.1</v>
      </c>
      <c r="P54" s="1054">
        <f>IF($C54&lt;1,"",(AVERAGEIFS('09월 화학성분'!M$12:M$950,'09월 화학성분'!$B$12:$B$950,$A53,'09월 화학성분'!$D$12:$D$950,$B54)))</f>
        <v>10.5</v>
      </c>
      <c r="Q54" s="1054">
        <f>IF($C54&lt;1,"",(AVERAGEIFS('09월 조업일지'!$AK$12:$AK$954,'09월 조업일지'!$B$12:$B$954,$A53,'09월 조업일지'!$E$12:$E$954,$B54)))</f>
        <v>463.9</v>
      </c>
      <c r="R54" s="1054">
        <f>IF($C54&lt;1,"",(AVERAGEIFS('09월 화학성분'!$G$12:$G$950,'09월 화학성분'!$B$12:$B$950,$A53,'09월 화학성분'!$D$12:$D$950,$B54)))</f>
        <v>10.4</v>
      </c>
      <c r="S54" s="1055">
        <f>IF($C54&lt;1,"",(AVERAGEIFS('09월 조업일지'!$AI$12:$AI$954,'09월 조업일지'!$B$12:$B$954,$A53,'09월 조업일지'!$E$12:$E$954,$B54)))</f>
        <v>1585.3</v>
      </c>
      <c r="T54" s="1056">
        <f>IF($C54&lt;1,"",(AVERAGEIFS('09월 화학성분'!$AM$12:$AM$949,'09월 화학성분'!$B$12:$B$949,$A53,'09월 화학성분'!$D$12:$D$949,$B54)))</f>
        <v>1818.3</v>
      </c>
      <c r="U54" s="1057">
        <f>IF($C54&lt;1,"",(AVERAGEIFS('09월 고철장입'!$AJ$14:$AJ$949,'09월 고철장입'!$B$14:$B$949,$A53,'09월 고철장입'!$C$14:$C$949,$B54))/1000)</f>
        <v>159</v>
      </c>
      <c r="V54" s="1102">
        <f>IF($C54&lt;1,"",(AVERAGEIFS('09월 고철장입'!$AK$14:$AK$949,'09월 고철장입'!$B$14:$B$949,$A53,'09월 고철장입'!$C$14:$C$949,$B54)))</f>
        <v>144.01</v>
      </c>
      <c r="W54" s="1058">
        <f t="shared" si="2"/>
        <v>90.572327044025144</v>
      </c>
      <c r="X54" s="1059">
        <f>IF($C54&lt;1,"",(AVERAGEIFS('09월 에너지'!$O$14:$O$949,'09월 에너지'!$A$14:$A$949,$A53,'09월 에너지'!$C$14:$C$949,$B54)))</f>
        <v>158.74206635224317</v>
      </c>
      <c r="Y54" s="1060">
        <f>IF($C54&lt;1,"",(AVERAGEIFS('09월 에너지'!$P$14:$P$949,'09월 에너지'!$A$14:$A$949,$A53,'09월 에너지'!$C$14:$C$949,$B54)))</f>
        <v>142.16378345531649</v>
      </c>
      <c r="Z54" s="1060">
        <f>IF($C54&lt;1,"",(AVERAGEIFS('09월 에너지'!$Q$14:$Q$949,'09월 에너지'!$A$14:$A$949,$A53,'09월 에너지'!$C$14:$C$949,$B54)))</f>
        <v>86.955442080105485</v>
      </c>
      <c r="AA54" s="1061">
        <f>IF($C54&lt;1,"",(AVERAGEIFS('09월 에너지'!$R$14:$R$949,'09월 에너지'!$B$14:$B$949,$A53,'09월 에너지'!$C$14:$C$949,$B54)))</f>
        <v>386.82834652568175</v>
      </c>
      <c r="AB54" s="1062">
        <f>IF($C54&lt;1,"",(AVERAGEIFS('09월 에너지'!$X$14:$X$949,'09월 에너지'!$A$14:$A$949,$A53,'09월 에너지'!$C$14:$C$949,$B54)))</f>
        <v>2.9862500800790328</v>
      </c>
      <c r="AC54" s="1063">
        <f>IF($C54&lt;1,"",(AVERAGEIFS('09월 에너지'!$AC$14:$AC$949,'09월 에너지'!$A$14:$A$949,$A53,'09월 에너지'!$C$14:$C$949,$B54)))</f>
        <v>26.482475017765648</v>
      </c>
      <c r="AD54" s="1064">
        <f>IF($C54&lt;1,"",(AVERAGEIFS('09월 에너지'!$AD$14:$AD$949,'09월 에너지'!$B$14:$B$949,$A53,'09월 에너지'!$C$14:$C$949,$B54)))</f>
        <v>4214</v>
      </c>
      <c r="AE54" s="1065">
        <f>IF($C54&lt;1,"",(AVERAGEIFS('09월 에너지'!$AE$14:$AE$949,'09월 에너지'!$B$14:$B$949,$A53,'09월 에너지'!$C$14:$C$949,$B54)))</f>
        <v>29.280175939640344</v>
      </c>
      <c r="AF54" s="1066">
        <f>IF($C54&lt;1,"",(AVERAGEIFS('09월 에너지'!$AI$14:$AI$949,'09월 에너지'!$B$14:$B$949,$A53,'09월 에너지'!$C$14:$C$949,$B54)))</f>
        <v>156.4</v>
      </c>
      <c r="AG54" s="1067">
        <f>IF($C54&lt;1,"",(AVERAGEIFS('09월 에너지'!$AJ$14:$AJ$949,'09월 에너지'!$B$14:$B$949,$A53,'09월 에너지'!$C$14:$C$949,$B54)))</f>
        <v>1.0865603798021433</v>
      </c>
    </row>
    <row r="55" spans="1:33" ht="16.5" customHeight="1" thickTop="1" thickBot="1">
      <c r="A55" s="1632"/>
      <c r="B55" s="781" t="s">
        <v>93</v>
      </c>
      <c r="C55" s="782">
        <f>COUNTIFS('09월 조업일지'!$B$12:$B$952,A53,'09월 조업일지'!$E$12:$E$952,B55)</f>
        <v>0</v>
      </c>
      <c r="D55" s="1047" t="str">
        <f t="shared" si="3"/>
        <v/>
      </c>
      <c r="E55" s="1048" t="str">
        <f>IF($C55&lt;1,"",(SUMIFS('09월 조업일지'!$K$12:$K$954,'09월 조업일지'!$B$12:$B$954,$A53,'09월 조업일지'!$E$12:$E$954,$B55)/$C55))</f>
        <v/>
      </c>
      <c r="F55" s="1049" t="str">
        <f>IF($C55&lt;1,"",(AVERAGEIFS('09월 조업일지'!$J$12:$J$954,'09월 조업일지'!$B$12:$B$954,$A53,'09월 조업일지'!$E$12:$E$954,$B55)))</f>
        <v/>
      </c>
      <c r="G55" s="1050" t="str">
        <f>IF($C55&lt;1,"",(AVERAGEIFS('09월 에너지'!$M$14:$M$950,'09월 에너지'!$B$14:$B$950,$A53,'09월 에너지'!$C$14:$C$950,$B55)))</f>
        <v/>
      </c>
      <c r="H55" s="1051" t="str">
        <f>IF($C55&lt;1,"",(AVERAGEIFS('09월 조업일지'!$AJ$12:$AJ$954,'09월 조업일지'!$B$12:$B$954,$A53,'09월 조업일지'!$E$12:$E$954,$B55)))</f>
        <v/>
      </c>
      <c r="I55" s="1052" t="str">
        <f>IF($C55&lt;1,"",(AVERAGEIFS('09월 조업일지'!$AL$12:$AL$954,'09월 조업일지'!$B$12:$B$954,$A53,'09월 조업일지'!$E$12:$E$954,$B55)))</f>
        <v/>
      </c>
      <c r="J55" s="1053" t="str">
        <f>IF($C55&lt;1,"",(AVERAGEIFS('09월 화학성분'!G$12:G$950,'09월 화학성분'!$B$12:$B$950,$A53,'09월 화학성분'!$D$12:$D$950,$B55)))</f>
        <v/>
      </c>
      <c r="K55" s="1054" t="str">
        <f>IF($C55&lt;1,"",(AVERAGEIFS('09월 화학성분'!H$12:H$950,'09월 화학성분'!$B$12:$B$950,$A53,'09월 화학성분'!$D$12:$D$950,$B55)))</f>
        <v/>
      </c>
      <c r="L55" s="1054" t="str">
        <f>IF($C55&lt;1,"",(AVERAGEIFS('09월 화학성분'!I$12:I$950,'09월 화학성분'!$B$12:$B$950,$A53,'09월 화학성분'!$D$12:$D$950,$B55)))</f>
        <v/>
      </c>
      <c r="M55" s="1054" t="str">
        <f>IF($C55&lt;1,"",(AVERAGEIFS('09월 화학성분'!J$12:J$950,'09월 화학성분'!$B$12:$B$950,$A53,'09월 화학성분'!$D$12:$D$950,$B55)))</f>
        <v/>
      </c>
      <c r="N55" s="1054" t="str">
        <f>IF($C55&lt;1,"",(AVERAGEIFS('09월 화학성분'!K$12:K$950,'09월 화학성분'!$B$12:$B$950,$A53,'09월 화학성분'!$D$12:$D$950,$B55)))</f>
        <v/>
      </c>
      <c r="O55" s="1054" t="str">
        <f>IF($C55&lt;1,"",(AVERAGEIFS('09월 화학성분'!L$12:L$950,'09월 화학성분'!$B$12:$B$950,$A53,'09월 화학성분'!$D$12:$D$950,$B55)))</f>
        <v/>
      </c>
      <c r="P55" s="1054" t="str">
        <f>IF($C55&lt;1,"",(AVERAGEIFS('09월 화학성분'!M$12:M$950,'09월 화학성분'!$B$12:$B$950,$A53,'09월 화학성분'!$D$12:$D$950,$B55)))</f>
        <v/>
      </c>
      <c r="Q55" s="1054" t="str">
        <f>IF($C55&lt;1,"",(AVERAGEIFS('09월 조업일지'!$AK$12:$AK$954,'09월 조업일지'!$B$12:$B$954,$A53,'09월 조업일지'!$E$12:$E$954,$B55)))</f>
        <v/>
      </c>
      <c r="R55" s="1054" t="str">
        <f>IF($C55&lt;1,"",(AVERAGEIFS('09월 화학성분'!$G$12:$G$950,'09월 화학성분'!$B$12:$B$950,$A53,'09월 화학성분'!$D$12:$D$950,$B55)))</f>
        <v/>
      </c>
      <c r="S55" s="1055" t="str">
        <f>IF($C55&lt;1,"",(AVERAGEIFS('09월 조업일지'!$AI$12:$AI$954,'09월 조업일지'!$B$12:$B$954,$A53,'09월 조업일지'!$E$12:$E$954,$B55)))</f>
        <v/>
      </c>
      <c r="T55" s="1056" t="str">
        <f>IF($C55&lt;1,"",(AVERAGEIFS('09월 화학성분'!$AM$12:$AM$949,'09월 화학성분'!$B$12:$B$949,$A53,'09월 화학성분'!$D$12:$D$949,$B55)))</f>
        <v/>
      </c>
      <c r="U55" s="1057" t="str">
        <f>IF($C55&lt;1,"",(AVERAGEIFS('09월 고철장입'!$AJ$14:$AJ$949,'09월 고철장입'!$B$14:$B$949,$A53,'09월 고철장입'!$C$14:$C$949,$B55))/1000)</f>
        <v/>
      </c>
      <c r="V55" s="1102" t="str">
        <f>IF($C55&lt;1,"",(AVERAGEIFS('09월 고철장입'!$AK$14:$AK$949,'09월 고철장입'!$B$14:$B$949,$A53,'09월 고철장입'!$C$14:$C$949,$B55)))</f>
        <v/>
      </c>
      <c r="W55" s="1058" t="str">
        <f t="shared" si="2"/>
        <v/>
      </c>
      <c r="X55" s="1059" t="str">
        <f>IF($C55&lt;1,"",(AVERAGEIFS('09월 에너지'!$O$14:$O$949,'09월 에너지'!$A$14:$A$949,$A53,'09월 에너지'!$C$14:$C$949,$B55)))</f>
        <v/>
      </c>
      <c r="Y55" s="1060" t="str">
        <f>IF($C55&lt;1,"",(AVERAGEIFS('09월 에너지'!$P$14:$P$949,'09월 에너지'!$A$14:$A$949,$A53,'09월 에너지'!$C$14:$C$949,$B55)))</f>
        <v/>
      </c>
      <c r="Z55" s="1060" t="str">
        <f>IF($C55&lt;1,"",(AVERAGEIFS('09월 에너지'!$Q$14:$Q$949,'09월 에너지'!$A$14:$A$949,$A53,'09월 에너지'!$C$14:$C$949,$B55)))</f>
        <v/>
      </c>
      <c r="AA55" s="1061" t="str">
        <f>IF($C55&lt;1,"",(AVERAGEIFS('09월 에너지'!$R$14:$R$949,'09월 에너지'!$B$14:$B$949,$A53,'09월 에너지'!$C$14:$C$949,$B55)))</f>
        <v/>
      </c>
      <c r="AB55" s="1062" t="str">
        <f>IF($C55&lt;1,"",(AVERAGEIFS('09월 에너지'!$X$14:$X$949,'09월 에너지'!$A$14:$A$949,$A53,'09월 에너지'!$C$14:$C$949,$B55)))</f>
        <v/>
      </c>
      <c r="AC55" s="1063" t="str">
        <f>IF($C55&lt;1,"",(AVERAGEIFS('09월 에너지'!$AC$14:$AC$949,'09월 에너지'!$A$14:$A$949,$A53,'09월 에너지'!$C$14:$C$949,$B55)))</f>
        <v/>
      </c>
      <c r="AD55" s="1064" t="str">
        <f>IF($C55&lt;1,"",(AVERAGEIFS('09월 에너지'!$AD$14:$AD$949,'09월 에너지'!$B$14:$B$949,$A53,'09월 에너지'!$C$14:$C$949,$B55)))</f>
        <v/>
      </c>
      <c r="AE55" s="1065" t="str">
        <f>IF($C55&lt;1,"",(AVERAGEIFS('09월 에너지'!$AE$14:$AE$949,'09월 에너지'!$B$14:$B$949,$A53,'09월 에너지'!$C$14:$C$949,$B55)))</f>
        <v/>
      </c>
      <c r="AF55" s="1066" t="str">
        <f>IF($C55&lt;1,"",(AVERAGEIFS('09월 에너지'!$AI$14:$AI$949,'09월 에너지'!$B$14:$B$949,$A53,'09월 에너지'!$C$14:$C$949,$B55)))</f>
        <v/>
      </c>
      <c r="AG55" s="1067" t="str">
        <f>IF($C55&lt;1,"",(AVERAGEIFS('09월 에너지'!$AJ$14:$AJ$949,'09월 에너지'!$B$14:$B$949,$A53,'09월 에너지'!$C$14:$C$949,$B55)))</f>
        <v/>
      </c>
    </row>
    <row r="56" spans="1:33" ht="16.5" customHeight="1" thickTop="1" thickBot="1">
      <c r="A56" s="1632"/>
      <c r="B56" s="783" t="s">
        <v>94</v>
      </c>
      <c r="C56" s="784">
        <f>COUNTIFS('09월 조업일지'!$B$12:$B$952,A53,'09월 조업일지'!$E$12:$E$952,B56)</f>
        <v>10</v>
      </c>
      <c r="D56" s="1068">
        <f t="shared" si="3"/>
        <v>44.900000000000013</v>
      </c>
      <c r="E56" s="1069">
        <f>IF($C56&lt;1,"",(SUMIFS('09월 조업일지'!$K$12:$K$954,'09월 조업일지'!$B$12:$B$954,$A53,'09월 조업일지'!$E$12:$E$954,$B56)/$C56))</f>
        <v>0</v>
      </c>
      <c r="F56" s="1070">
        <f>IF($C56&lt;1,"",(AVERAGEIFS('09월 조업일지'!$J$12:$J$954,'09월 조업일지'!$B$12:$B$954,$A53,'09월 조업일지'!$E$12:$E$954,$B56)))</f>
        <v>44.900000000000013</v>
      </c>
      <c r="G56" s="1071">
        <f>IF($C56&lt;1,"",(AVERAGEIFS('09월 에너지'!$M$14:$M$950,'09월 에너지'!$B$14:$B$950,$A53,'09월 에너지'!$C$14:$C$950,$B56)))</f>
        <v>44.429999999999993</v>
      </c>
      <c r="H56" s="1072">
        <f>IF($C56&lt;1,"",(AVERAGEIFS('09월 조업일지'!$AJ$12:$AJ$954,'09월 조업일지'!$B$12:$B$954,$A53,'09월 조업일지'!$E$12:$E$954,$B56)))</f>
        <v>26</v>
      </c>
      <c r="I56" s="1073">
        <f>IF($C56&lt;1,"",(AVERAGEIFS('09월 조업일지'!$AL$12:$AL$954,'09월 조업일지'!$B$12:$B$954,$A53,'09월 조업일지'!$E$12:$E$954,$B56)))</f>
        <v>7.1</v>
      </c>
      <c r="J56" s="1074">
        <f>IF($C56&lt;1,"",(AVERAGEIFS('09월 화학성분'!G$12:G$950,'09월 화학성분'!$B$12:$B$950,$A53,'09월 화학성분'!$D$12:$D$950,$B56)))</f>
        <v>12.2</v>
      </c>
      <c r="K56" s="1075">
        <f>IF($C56&lt;1,"",(AVERAGEIFS('09월 화학성분'!H$12:H$950,'09월 화학성분'!$B$12:$B$950,$A53,'09월 화학성분'!$D$12:$D$950,$B56)))</f>
        <v>26.6</v>
      </c>
      <c r="L56" s="1075">
        <f>IF($C56&lt;1,"",(AVERAGEIFS('09월 화학성분'!I$12:I$950,'09월 화학성분'!$B$12:$B$950,$A53,'09월 화학성분'!$D$12:$D$950,$B56)))</f>
        <v>126.2</v>
      </c>
      <c r="M56" s="1075">
        <f>IF($C56&lt;1,"",(AVERAGEIFS('09월 화학성분'!J$12:J$950,'09월 화학성분'!$B$12:$B$950,$A53,'09월 화학성분'!$D$12:$D$950,$B56)))</f>
        <v>14.8</v>
      </c>
      <c r="N56" s="1075">
        <f>IF($C56&lt;1,"",(AVERAGEIFS('09월 화학성분'!K$12:K$950,'09월 화학성분'!$B$12:$B$950,$A53,'09월 화학성분'!$D$12:$D$950,$B56)))</f>
        <v>31.9</v>
      </c>
      <c r="O56" s="1075">
        <f>IF($C56&lt;1,"",(AVERAGEIFS('09월 화학성분'!L$12:L$950,'09월 화학성분'!$B$12:$B$950,$A53,'09월 화학성분'!$D$12:$D$950,$B56)))</f>
        <v>13.7</v>
      </c>
      <c r="P56" s="1075">
        <f>IF($C56&lt;1,"",(AVERAGEIFS('09월 화학성분'!M$12:M$950,'09월 화학성분'!$B$12:$B$950,$A53,'09월 화학성분'!$D$12:$D$950,$B56)))</f>
        <v>11.1</v>
      </c>
      <c r="Q56" s="1075">
        <f>IF($C56&lt;1,"",(AVERAGEIFS('09월 조업일지'!$AK$12:$AK$954,'09월 조업일지'!$B$12:$B$954,$A53,'09월 조업일지'!$E$12:$E$954,$B56)))</f>
        <v>602.70000000000005</v>
      </c>
      <c r="R56" s="1075">
        <f>IF($C56&lt;1,"",(AVERAGEIFS('09월 화학성분'!$G$12:$G$950,'09월 화학성분'!$B$12:$B$950,$A53,'09월 화학성분'!$D$12:$D$950,$B56)))</f>
        <v>12.2</v>
      </c>
      <c r="S56" s="1076">
        <f>IF($C56&lt;1,"",(AVERAGEIFS('09월 조업일지'!$AI$12:$AI$954,'09월 조업일지'!$B$12:$B$954,$A53,'09월 조업일지'!$E$12:$E$954,$B56)))</f>
        <v>1578</v>
      </c>
      <c r="T56" s="1077">
        <f>IF($C56&lt;1,"",(AVERAGEIFS('09월 화학성분'!$AM$12:$AM$949,'09월 화학성분'!$B$12:$B$949,$A53,'09월 화학성분'!$D$12:$D$949,$B56)))</f>
        <v>1469.5</v>
      </c>
      <c r="U56" s="1078">
        <f>IF($C56&lt;1,"",(AVERAGEIFS('09월 고철장입'!$AJ$14:$AJ$949,'09월 고철장입'!$B$14:$B$949,$A53,'09월 고철장입'!$C$14:$C$949,$B56))/1000)</f>
        <v>158.86000000000001</v>
      </c>
      <c r="V56" s="1103">
        <v>145.5</v>
      </c>
      <c r="W56" s="1079">
        <f t="shared" si="2"/>
        <v>91.590079315120221</v>
      </c>
      <c r="X56" s="1080">
        <f>IF($C56&lt;1,"",(AVERAGEIFS('09월 에너지'!$O$14:$O$949,'09월 에너지'!$A$14:$A$949,$A53,'09월 에너지'!$C$14:$C$949,$B56)))</f>
        <v>155.63170723553591</v>
      </c>
      <c r="Y56" s="1081">
        <f>IF($C56&lt;1,"",(AVERAGEIFS('09월 에너지'!$P$14:$P$949,'09월 에너지'!$A$14:$A$949,$A53,'09월 에너지'!$C$14:$C$949,$B56)))</f>
        <v>140.99439232277615</v>
      </c>
      <c r="Z56" s="1081">
        <f>IF($C56&lt;1,"",(AVERAGEIFS('09월 에너지'!$Q$14:$Q$949,'09월 에너지'!$A$14:$A$949,$A53,'09월 에너지'!$C$14:$C$949,$B56)))</f>
        <v>78.595773158051173</v>
      </c>
      <c r="AA56" s="1082">
        <f>IF($C56&lt;1,"",(AVERAGEIFS('09월 에너지'!$R$14:$R$949,'09월 에너지'!$B$14:$B$949,$A53,'09월 에너지'!$C$14:$C$949,$B56)))</f>
        <v>375.22187271636318</v>
      </c>
      <c r="AB56" s="1083">
        <f>IF($C56&lt;1,"",(AVERAGEIFS('09월 에너지'!$X$14:$X$949,'09월 에너지'!$A$14:$A$949,$A53,'09월 에너지'!$C$14:$C$949,$B56)))</f>
        <v>2.295523853513362</v>
      </c>
      <c r="AC56" s="1084">
        <f>IF($C56&lt;1,"",(AVERAGEIFS('09월 에너지'!$AC$14:$AC$949,'09월 에너지'!$A$14:$A$949,$A53,'09월 에너지'!$C$14:$C$949,$B56)))</f>
        <v>25.936841653107287</v>
      </c>
      <c r="AD56" s="1085">
        <f>IF($C56&lt;1,"",(AVERAGEIFS('09월 에너지'!$AD$14:$AD$949,'09월 에너지'!$B$14:$B$949,$A53,'09월 에너지'!$C$14:$C$949,$B56)))</f>
        <v>4105.5</v>
      </c>
      <c r="AE56" s="1086">
        <f>IF($C56&lt;1,"",(AVERAGEIFS('09월 에너지'!$AE$14:$AE$949,'09월 에너지'!$B$14:$B$949,$A53,'09월 에너지'!$C$14:$C$949,$B56)))</f>
        <v>28.232365506620653</v>
      </c>
      <c r="AF56" s="1087">
        <f>IF($C56&lt;1,"",(AVERAGEIFS('09월 에너지'!$AI$14:$AI$949,'09월 에너지'!$B$14:$B$949,$A53,'09월 에너지'!$C$14:$C$949,$B56)))</f>
        <v>160</v>
      </c>
      <c r="AG56" s="1088">
        <f>IF($C56&lt;1,"",(AVERAGEIFS('09월 에너지'!$AJ$14:$AJ$949,'09월 에너지'!$B$14:$B$949,$A53,'09월 에너지'!$C$14:$C$949,$B56)))</f>
        <v>1.1001791212639476</v>
      </c>
    </row>
    <row r="57" spans="1:33" ht="16.5" customHeight="1" thickTop="1" thickBot="1">
      <c r="A57" s="1632">
        <f t="shared" ref="A57" si="15">A53+1</f>
        <v>46279</v>
      </c>
      <c r="B57" s="775" t="s">
        <v>128</v>
      </c>
      <c r="C57" s="776">
        <f>COUNTIFS('09월 조업일지'!$B$12:$B$952,A57,'09월 조업일지'!$E$12:$E$952,B57)</f>
        <v>11</v>
      </c>
      <c r="D57" s="1026">
        <f t="shared" si="3"/>
        <v>48.090909090909115</v>
      </c>
      <c r="E57" s="1027">
        <f>IF($C57&lt;1,"",(SUMIFS('09월 조업일지'!$K$12:$K$954,'09월 조업일지'!$B$12:$B$954,$A57,'09월 조업일지'!$E$12:$E$954,$B57)/$C57))</f>
        <v>0</v>
      </c>
      <c r="F57" s="1028">
        <f>IF($C57&lt;1,"",(AVERAGEIFS('09월 조업일지'!$J$12:$J$954,'09월 조업일지'!$B$12:$B$954,$A57,'09월 조업일지'!$E$12:$E$954,$B57)))</f>
        <v>48.090909090909115</v>
      </c>
      <c r="G57" s="1029">
        <f>IF($C57&lt;1,"",(AVERAGEIFS('09월 에너지'!$M$14:$M$950,'09월 에너지'!$B$14:$B$950,$A57,'09월 에너지'!$C$14:$C$950,$B57)))</f>
        <v>46.572727272727271</v>
      </c>
      <c r="H57" s="1030">
        <f>IF($C57&lt;1,"",(AVERAGEIFS('09월 조업일지'!$AJ$12:$AJ$954,'09월 조업일지'!$B$12:$B$954,$A57,'09월 조업일지'!$E$12:$E$954,$B57)))</f>
        <v>0</v>
      </c>
      <c r="I57" s="1031">
        <f>IF($C57&lt;1,"",(AVERAGEIFS('09월 조업일지'!$AL$12:$AL$954,'09월 조업일지'!$B$12:$B$954,$A57,'09월 조업일지'!$E$12:$E$954,$B57)))</f>
        <v>7.2727272727272725</v>
      </c>
      <c r="J57" s="1032">
        <f>IF($C57&lt;1,"",(AVERAGEIFS('09월 화학성분'!G$12:G$950,'09월 화학성분'!$B$12:$B$950,$A57,'09월 화학성분'!$D$12:$D$950,$B57)))</f>
        <v>9.7272727272727266</v>
      </c>
      <c r="K57" s="1033">
        <f>IF($C57&lt;1,"",(AVERAGEIFS('09월 화학성분'!H$12:H$950,'09월 화학성분'!$B$12:$B$950,$A57,'09월 화학성분'!$D$12:$D$950,$B57)))</f>
        <v>22.09090909090909</v>
      </c>
      <c r="L57" s="1033">
        <f>IF($C57&lt;1,"",(AVERAGEIFS('09월 화학성분'!I$12:I$950,'09월 화학성분'!$B$12:$B$950,$A57,'09월 화학성분'!$D$12:$D$950,$B57)))</f>
        <v>49.272727272727273</v>
      </c>
      <c r="M57" s="1033">
        <f>IF($C57&lt;1,"",(AVERAGEIFS('09월 화학성분'!J$12:J$950,'09월 화학성분'!$B$12:$B$950,$A57,'09월 화학성분'!$D$12:$D$950,$B57)))</f>
        <v>15.818181818181818</v>
      </c>
      <c r="N57" s="1033">
        <f>IF($C57&lt;1,"",(AVERAGEIFS('09월 화학성분'!K$12:K$950,'09월 화학성분'!$B$12:$B$950,$A57,'09월 화학성분'!$D$12:$D$950,$B57)))</f>
        <v>29.181818181818183</v>
      </c>
      <c r="O57" s="1033">
        <f>IF($C57&lt;1,"",(AVERAGEIFS('09월 화학성분'!L$12:L$950,'09월 화학성분'!$B$12:$B$950,$A57,'09월 화학성분'!$D$12:$D$950,$B57)))</f>
        <v>12.909090909090908</v>
      </c>
      <c r="P57" s="1033">
        <f>IF($C57&lt;1,"",(AVERAGEIFS('09월 화학성분'!M$12:M$950,'09월 화학성분'!$B$12:$B$950,$A57,'09월 화학성분'!$D$12:$D$950,$B57)))</f>
        <v>11.909090909090908</v>
      </c>
      <c r="Q57" s="1033">
        <f>IF($C57&lt;1,"",(AVERAGEIFS('09월 조업일지'!$AK$12:$AK$954,'09월 조업일지'!$B$12:$B$954,$A57,'09월 조업일지'!$E$12:$E$954,$B57)))</f>
        <v>580.72727272727275</v>
      </c>
      <c r="R57" s="1033">
        <f>IF($C57&lt;1,"",(AVERAGEIFS('09월 화학성분'!$G$12:$G$950,'09월 화학성분'!$B$12:$B$950,$A57,'09월 화학성분'!$D$12:$D$950,$B57)))</f>
        <v>9.7272727272727266</v>
      </c>
      <c r="S57" s="1034">
        <f>IF($C57&lt;1,"",(AVERAGEIFS('09월 조업일지'!$AI$12:$AI$954,'09월 조업일지'!$B$12:$B$954,$A57,'09월 조업일지'!$E$12:$E$954,$B57)))</f>
        <v>1569.4545454545455</v>
      </c>
      <c r="T57" s="1035">
        <f>IF($C57&lt;1,"",(AVERAGEIFS('09월 화학성분'!$AM$12:$AM$949,'09월 화학성분'!$B$12:$B$949,$A57,'09월 화학성분'!$D$12:$D$949,$B57)))</f>
        <v>2821.7272727272725</v>
      </c>
      <c r="U57" s="1036">
        <f>IF($C57&lt;1,"",(AVERAGEIFS('09월 고철장입'!$AJ$14:$AJ$949,'09월 고철장입'!$B$14:$B$949,$A57,'09월 고철장입'!$C$14:$C$949,$B57))/1000)</f>
        <v>158.44545454545457</v>
      </c>
      <c r="V57" s="1101">
        <f>IF($C57&lt;1,"",(AVERAGEIFS('09월 고철장입'!$AK$14:$AK$949,'09월 고철장입'!$B$14:$B$949,$A57,'09월 고철장입'!$C$14:$C$949,$B57)))</f>
        <v>143.20909090909092</v>
      </c>
      <c r="W57" s="1037">
        <f t="shared" si="2"/>
        <v>90.383843020253593</v>
      </c>
      <c r="X57" s="1038">
        <f>IF($C57&lt;1,"",(AVERAGEIFS('09월 에너지'!$O$14:$O$949,'09월 에너지'!$A$14:$A$949,$A57,'09월 에너지'!$C$14:$C$949,$B57)))</f>
        <v>162.63936496251634</v>
      </c>
      <c r="Y57" s="1039">
        <f>IF($C57&lt;1,"",(AVERAGEIFS('09월 에너지'!$P$14:$P$949,'09월 에너지'!$A$14:$A$949,$A57,'09월 에너지'!$C$14:$C$949,$B57)))</f>
        <v>143.80102127981459</v>
      </c>
      <c r="Z57" s="1039">
        <f>IF($C57&lt;1,"",(AVERAGEIFS('09월 에너지'!$Q$14:$Q$949,'09월 에너지'!$A$14:$A$949,$A57,'09월 에너지'!$C$14:$C$949,$B57)))</f>
        <v>89.140859269616342</v>
      </c>
      <c r="AA57" s="1040">
        <f>IF($C57&lt;1,"",(AVERAGEIFS('09월 에너지'!$R$14:$R$949,'09월 에너지'!$B$14:$B$949,$A57,'09월 에너지'!$C$14:$C$949,$B57)))</f>
        <v>395.58124551194737</v>
      </c>
      <c r="AB57" s="1041">
        <f>IF($C57&lt;1,"",(AVERAGEIFS('09월 에너지'!$X$14:$X$949,'09월 에너지'!$A$14:$A$949,$A57,'09월 에너지'!$C$14:$C$949,$B57)))</f>
        <v>2.4867910906052457</v>
      </c>
      <c r="AC57" s="1042">
        <f>IF($C57&lt;1,"",(AVERAGEIFS('09월 에너지'!$AC$14:$AC$949,'09월 에너지'!$A$14:$A$949,$A57,'09월 에너지'!$C$14:$C$949,$B57)))</f>
        <v>26.389958445382391</v>
      </c>
      <c r="AD57" s="1043">
        <f>IF($C57&lt;1,"",(AVERAGEIFS('09월 에너지'!$AD$14:$AD$949,'09월 에너지'!$B$14:$B$949,$A57,'09월 에너지'!$C$14:$C$949,$B57)))</f>
        <v>4134</v>
      </c>
      <c r="AE57" s="1044">
        <f>IF($C57&lt;1,"",(AVERAGEIFS('09월 에너지'!$AE$14:$AE$949,'09월 에너지'!$B$14:$B$949,$A57,'09월 에너지'!$C$14:$C$949,$B57)))</f>
        <v>28.876749535987631</v>
      </c>
      <c r="AF57" s="1045">
        <f>IF($C57&lt;1,"",(AVERAGEIFS('09월 에너지'!$AI$14:$AI$949,'09월 에너지'!$B$14:$B$949,$A57,'09월 에너지'!$C$14:$C$949,$B57)))</f>
        <v>157</v>
      </c>
      <c r="AG57" s="1046">
        <f>IF($C57&lt;1,"",(AVERAGEIFS('09월 에너지'!$AJ$14:$AJ$949,'09월 에너지'!$B$14:$B$949,$A57,'09월 에너지'!$C$14:$C$949,$B57)))</f>
        <v>1.0965222999369002</v>
      </c>
    </row>
    <row r="58" spans="1:33" ht="16.5" customHeight="1" thickTop="1" thickBot="1">
      <c r="A58" s="1632"/>
      <c r="B58" s="781" t="s">
        <v>100</v>
      </c>
      <c r="C58" s="782">
        <f>COUNTIFS('09월 조업일지'!$B$12:$B$952,A57,'09월 조업일지'!$E$12:$E$952,B58)</f>
        <v>0</v>
      </c>
      <c r="D58" s="1047" t="str">
        <f t="shared" si="3"/>
        <v/>
      </c>
      <c r="E58" s="1048" t="str">
        <f>IF($C58&lt;1,"",(SUMIFS('09월 조업일지'!$K$12:$K$954,'09월 조업일지'!$B$12:$B$954,$A57,'09월 조업일지'!$E$12:$E$954,$B58)/$C58))</f>
        <v/>
      </c>
      <c r="F58" s="1049" t="str">
        <f>IF($C58&lt;1,"",(AVERAGEIFS('09월 조업일지'!$J$12:$J$954,'09월 조업일지'!$B$12:$B$954,$A57,'09월 조업일지'!$E$12:$E$954,$B58)))</f>
        <v/>
      </c>
      <c r="G58" s="1050" t="str">
        <f>IF($C58&lt;1,"",(AVERAGEIFS('09월 에너지'!$M$14:$M$950,'09월 에너지'!$B$14:$B$950,$A57,'09월 에너지'!$C$14:$C$950,$B58)))</f>
        <v/>
      </c>
      <c r="H58" s="1051" t="str">
        <f>IF($C58&lt;1,"",(AVERAGEIFS('09월 조업일지'!$AJ$12:$AJ$954,'09월 조업일지'!$B$12:$B$954,$A57,'09월 조업일지'!$E$12:$E$954,$B58)))</f>
        <v/>
      </c>
      <c r="I58" s="1052" t="str">
        <f>IF($C58&lt;1,"",(AVERAGEIFS('09월 조업일지'!$AL$12:$AL$954,'09월 조업일지'!$B$12:$B$954,$A57,'09월 조업일지'!$E$12:$E$954,$B58)))</f>
        <v/>
      </c>
      <c r="J58" s="1053" t="str">
        <f>IF($C58&lt;1,"",(AVERAGEIFS('09월 화학성분'!G$12:G$950,'09월 화학성분'!$B$12:$B$950,$A57,'09월 화학성분'!$D$12:$D$950,$B58)))</f>
        <v/>
      </c>
      <c r="K58" s="1054" t="str">
        <f>IF($C58&lt;1,"",(AVERAGEIFS('09월 화학성분'!H$12:H$950,'09월 화학성분'!$B$12:$B$950,$A57,'09월 화학성분'!$D$12:$D$950,$B58)))</f>
        <v/>
      </c>
      <c r="L58" s="1054" t="str">
        <f>IF($C58&lt;1,"",(AVERAGEIFS('09월 화학성분'!I$12:I$950,'09월 화학성분'!$B$12:$B$950,$A57,'09월 화학성분'!$D$12:$D$950,$B58)))</f>
        <v/>
      </c>
      <c r="M58" s="1054" t="str">
        <f>IF($C58&lt;1,"",(AVERAGEIFS('09월 화학성분'!J$12:J$950,'09월 화학성분'!$B$12:$B$950,$A57,'09월 화학성분'!$D$12:$D$950,$B58)))</f>
        <v/>
      </c>
      <c r="N58" s="1054" t="str">
        <f>IF($C58&lt;1,"",(AVERAGEIFS('09월 화학성분'!K$12:K$950,'09월 화학성분'!$B$12:$B$950,$A57,'09월 화학성분'!$D$12:$D$950,$B58)))</f>
        <v/>
      </c>
      <c r="O58" s="1054" t="str">
        <f>IF($C58&lt;1,"",(AVERAGEIFS('09월 화학성분'!L$12:L$950,'09월 화학성분'!$B$12:$B$950,$A57,'09월 화학성분'!$D$12:$D$950,$B58)))</f>
        <v/>
      </c>
      <c r="P58" s="1054" t="str">
        <f>IF($C58&lt;1,"",(AVERAGEIFS('09월 화학성분'!M$12:M$950,'09월 화학성분'!$B$12:$B$950,$A57,'09월 화학성분'!$D$12:$D$950,$B58)))</f>
        <v/>
      </c>
      <c r="Q58" s="1054" t="str">
        <f>IF($C58&lt;1,"",(AVERAGEIFS('09월 조업일지'!$AK$12:$AK$954,'09월 조업일지'!$B$12:$B$954,$A57,'09월 조업일지'!$E$12:$E$954,$B58)))</f>
        <v/>
      </c>
      <c r="R58" s="1054" t="str">
        <f>IF($C58&lt;1,"",(AVERAGEIFS('09월 화학성분'!$G$12:$G$950,'09월 화학성분'!$B$12:$B$950,$A57,'09월 화학성분'!$D$12:$D$950,$B58)))</f>
        <v/>
      </c>
      <c r="S58" s="1055" t="str">
        <f>IF($C58&lt;1,"",(AVERAGEIFS('09월 조업일지'!$AI$12:$AI$954,'09월 조업일지'!$B$12:$B$954,$A57,'09월 조업일지'!$E$12:$E$954,$B58)))</f>
        <v/>
      </c>
      <c r="T58" s="1056" t="str">
        <f>IF($C58&lt;1,"",(AVERAGEIFS('09월 화학성분'!$AM$12:$AM$949,'09월 화학성분'!$B$12:$B$949,$A57,'09월 화학성분'!$D$12:$D$949,$B58)))</f>
        <v/>
      </c>
      <c r="U58" s="1057" t="str">
        <f>IF($C58&lt;1,"",(AVERAGEIFS('09월 고철장입'!$AJ$14:$AJ$949,'09월 고철장입'!$B$14:$B$949,$A57,'09월 고철장입'!$C$14:$C$949,$B58))/1000)</f>
        <v/>
      </c>
      <c r="V58" s="1102" t="str">
        <f>IF($C58&lt;1,"",(AVERAGEIFS('09월 고철장입'!$AK$14:$AK$949,'09월 고철장입'!$B$14:$B$949,$A57,'09월 고철장입'!$C$14:$C$949,$B58)))</f>
        <v/>
      </c>
      <c r="W58" s="1058" t="str">
        <f t="shared" si="2"/>
        <v/>
      </c>
      <c r="X58" s="1059" t="str">
        <f>IF($C58&lt;1,"",(AVERAGEIFS('09월 에너지'!$O$14:$O$949,'09월 에너지'!$A$14:$A$949,$A57,'09월 에너지'!$C$14:$C$949,$B58)))</f>
        <v/>
      </c>
      <c r="Y58" s="1060" t="str">
        <f>IF($C58&lt;1,"",(AVERAGEIFS('09월 에너지'!$P$14:$P$949,'09월 에너지'!$A$14:$A$949,$A57,'09월 에너지'!$C$14:$C$949,$B58)))</f>
        <v/>
      </c>
      <c r="Z58" s="1060" t="str">
        <f>IF($C58&lt;1,"",(AVERAGEIFS('09월 에너지'!$Q$14:$Q$949,'09월 에너지'!$A$14:$A$949,$A57,'09월 에너지'!$C$14:$C$949,$B58)))</f>
        <v/>
      </c>
      <c r="AA58" s="1061" t="str">
        <f>IF($C58&lt;1,"",(AVERAGEIFS('09월 에너지'!$R$14:$R$949,'09월 에너지'!$B$14:$B$949,$A57,'09월 에너지'!$C$14:$C$949,$B58)))</f>
        <v/>
      </c>
      <c r="AB58" s="1062" t="str">
        <f>IF($C58&lt;1,"",(AVERAGEIFS('09월 에너지'!$X$14:$X$949,'09월 에너지'!$A$14:$A$949,$A57,'09월 에너지'!$C$14:$C$949,$B58)))</f>
        <v/>
      </c>
      <c r="AC58" s="1063" t="str">
        <f>IF($C58&lt;1,"",(AVERAGEIFS('09월 에너지'!$AC$14:$AC$949,'09월 에너지'!$A$14:$A$949,$A57,'09월 에너지'!$C$14:$C$949,$B58)))</f>
        <v/>
      </c>
      <c r="AD58" s="1064" t="str">
        <f>IF($C58&lt;1,"",(AVERAGEIFS('09월 에너지'!$AD$14:$AD$949,'09월 에너지'!$B$14:$B$949,$A57,'09월 에너지'!$C$14:$C$949,$B58)))</f>
        <v/>
      </c>
      <c r="AE58" s="1065" t="str">
        <f>IF($C58&lt;1,"",(AVERAGEIFS('09월 에너지'!$AE$14:$AE$949,'09월 에너지'!$B$14:$B$949,$A57,'09월 에너지'!$C$14:$C$949,$B58)))</f>
        <v/>
      </c>
      <c r="AF58" s="1066" t="str">
        <f>IF($C58&lt;1,"",(AVERAGEIFS('09월 에너지'!$AI$14:$AI$949,'09월 에너지'!$B$14:$B$949,$A57,'09월 에너지'!$C$14:$C$949,$B58)))</f>
        <v/>
      </c>
      <c r="AG58" s="1067" t="str">
        <f>IF($C58&lt;1,"",(AVERAGEIFS('09월 에너지'!$AJ$14:$AJ$949,'09월 에너지'!$B$14:$B$949,$A57,'09월 에너지'!$C$14:$C$949,$B58)))</f>
        <v/>
      </c>
    </row>
    <row r="59" spans="1:33" ht="16.5" customHeight="1" thickTop="1" thickBot="1">
      <c r="A59" s="1632"/>
      <c r="B59" s="781" t="s">
        <v>93</v>
      </c>
      <c r="C59" s="782">
        <f>COUNTIFS('09월 조업일지'!$B$12:$B$952,A57,'09월 조업일지'!$E$12:$E$952,B59)</f>
        <v>9</v>
      </c>
      <c r="D59" s="1047">
        <f t="shared" si="3"/>
        <v>50.111111111111086</v>
      </c>
      <c r="E59" s="1048">
        <f>IF($C59&lt;1,"",(SUMIFS('09월 조업일지'!$K$12:$K$954,'09월 조업일지'!$B$12:$B$954,$A57,'09월 조업일지'!$E$12:$E$954,$B59)/$C59))</f>
        <v>0</v>
      </c>
      <c r="F59" s="1049">
        <f>IF($C59&lt;1,"",(AVERAGEIFS('09월 조업일지'!$J$12:$J$954,'09월 조업일지'!$B$12:$B$954,$A57,'09월 조업일지'!$E$12:$E$954,$B59)))</f>
        <v>50.111111111111086</v>
      </c>
      <c r="G59" s="1050">
        <f>IF($C59&lt;1,"",(AVERAGEIFS('09월 에너지'!$M$14:$M$950,'09월 에너지'!$B$14:$B$950,$A57,'09월 에너지'!$C$14:$C$950,$B59)))</f>
        <v>42.911111111111111</v>
      </c>
      <c r="H59" s="1051">
        <f>IF($C59&lt;1,"",(AVERAGEIFS('09월 조업일지'!$AJ$12:$AJ$954,'09월 조업일지'!$B$12:$B$954,$A57,'09월 조업일지'!$E$12:$E$954,$B59)))</f>
        <v>8.7777777777777786</v>
      </c>
      <c r="I59" s="1052">
        <f>IF($C59&lt;1,"",(AVERAGEIFS('09월 조업일지'!$AL$12:$AL$954,'09월 조업일지'!$B$12:$B$954,$A57,'09월 조업일지'!$E$12:$E$954,$B59)))</f>
        <v>7.5</v>
      </c>
      <c r="J59" s="1053">
        <f>IF($C59&lt;1,"",(AVERAGEIFS('09월 화학성분'!G$12:G$950,'09월 화학성분'!$B$12:$B$950,$A57,'09월 화학성분'!$D$12:$D$950,$B59)))</f>
        <v>9.1111111111111107</v>
      </c>
      <c r="K59" s="1054">
        <f>IF($C59&lt;1,"",(AVERAGEIFS('09월 화학성분'!H$12:H$950,'09월 화학성분'!$B$12:$B$950,$A57,'09월 화학성분'!$D$12:$D$950,$B59)))</f>
        <v>18.222222222222221</v>
      </c>
      <c r="L59" s="1054">
        <f>IF($C59&lt;1,"",(AVERAGEIFS('09월 화학성분'!I$12:I$950,'09월 화학성분'!$B$12:$B$950,$A57,'09월 화학성분'!$D$12:$D$950,$B59)))</f>
        <v>48.888888888888886</v>
      </c>
      <c r="M59" s="1054">
        <f>IF($C59&lt;1,"",(AVERAGEIFS('09월 화학성분'!J$12:J$950,'09월 화학성분'!$B$12:$B$950,$A57,'09월 화학성분'!$D$12:$D$950,$B59)))</f>
        <v>18.555555555555557</v>
      </c>
      <c r="N59" s="1054">
        <f>IF($C59&lt;1,"",(AVERAGEIFS('09월 화학성분'!K$12:K$950,'09월 화학성분'!$B$12:$B$950,$A57,'09월 화학성분'!$D$12:$D$950,$B59)))</f>
        <v>33.333333333333336</v>
      </c>
      <c r="O59" s="1054">
        <f>IF($C59&lt;1,"",(AVERAGEIFS('09월 화학성분'!L$12:L$950,'09월 화학성분'!$B$12:$B$950,$A57,'09월 화학성분'!$D$12:$D$950,$B59)))</f>
        <v>12.666666666666666</v>
      </c>
      <c r="P59" s="1054">
        <f>IF($C59&lt;1,"",(AVERAGEIFS('09월 화학성분'!M$12:M$950,'09월 화학성분'!$B$12:$B$950,$A57,'09월 화학성분'!$D$12:$D$950,$B59)))</f>
        <v>10.333333333333334</v>
      </c>
      <c r="Q59" s="1054">
        <f>IF($C59&lt;1,"",(AVERAGEIFS('09월 조업일지'!$AK$12:$AK$954,'09월 조업일지'!$B$12:$B$954,$A57,'09월 조업일지'!$E$12:$E$954,$B59)))</f>
        <v>582.5</v>
      </c>
      <c r="R59" s="1054">
        <f>IF($C59&lt;1,"",(AVERAGEIFS('09월 화학성분'!$G$12:$G$950,'09월 화학성분'!$B$12:$B$950,$A57,'09월 화학성분'!$D$12:$D$950,$B59)))</f>
        <v>9.1111111111111107</v>
      </c>
      <c r="S59" s="1055">
        <f>IF($C59&lt;1,"",(AVERAGEIFS('09월 조업일지'!$AI$12:$AI$954,'09월 조업일지'!$B$12:$B$954,$A57,'09월 조업일지'!$E$12:$E$954,$B59)))</f>
        <v>1591.5555555555557</v>
      </c>
      <c r="T59" s="1056">
        <f>IF($C59&lt;1,"",(AVERAGEIFS('09월 화학성분'!$AM$12:$AM$949,'09월 화학성분'!$B$12:$B$949,$A57,'09월 화학성분'!$D$12:$D$949,$B59)))</f>
        <v>2084.7777777777778</v>
      </c>
      <c r="U59" s="1057">
        <f>IF($C59&lt;1,"",(AVERAGEIFS('09월 고철장입'!$AJ$14:$AJ$949,'09월 고철장입'!$B$14:$B$949,$A57,'09월 고철장입'!$C$14:$C$949,$B59))/1000)</f>
        <v>147.98888888888888</v>
      </c>
      <c r="V59" s="1102">
        <f>IF($C59&lt;1,"",(AVERAGEIFS('09월 고철장입'!$AK$14:$AK$949,'09월 고철장입'!$B$14:$B$949,$A57,'09월 고철장입'!$C$14:$C$949,$B59)))</f>
        <v>138.12222222222221</v>
      </c>
      <c r="W59" s="1058">
        <f t="shared" si="2"/>
        <v>93.332832795254888</v>
      </c>
      <c r="X59" s="1059">
        <f>IF($C59&lt;1,"",(AVERAGEIFS('09월 에너지'!$O$14:$O$949,'09월 에너지'!$A$14:$A$949,$A57,'09월 에너지'!$C$14:$C$949,$B59)))</f>
        <v>159.21375940246008</v>
      </c>
      <c r="Y59" s="1060">
        <f>IF($C59&lt;1,"",(AVERAGEIFS('09월 에너지'!$P$14:$P$949,'09월 에너지'!$A$14:$A$949,$A57,'09월 에너지'!$C$14:$C$949,$B59)))</f>
        <v>143.60307659466676</v>
      </c>
      <c r="Z59" s="1060">
        <f>IF($C59&lt;1,"",(AVERAGEIFS('09월 에너지'!$Q$14:$Q$949,'09월 에너지'!$A$14:$A$949,$A57,'09월 에너지'!$C$14:$C$949,$B59)))</f>
        <v>80.631117733630163</v>
      </c>
      <c r="AA59" s="1061">
        <f>IF($C59&lt;1,"",(AVERAGEIFS('09월 에너지'!$R$14:$R$949,'09월 에너지'!$B$14:$B$949,$A57,'09월 에너지'!$C$14:$C$949,$B59)))</f>
        <v>387.65781360296938</v>
      </c>
      <c r="AB59" s="1062">
        <f>IF($C59&lt;1,"",(AVERAGEIFS('09월 에너지'!$X$14:$X$949,'09월 에너지'!$A$14:$A$949,$A57,'09월 에너지'!$C$14:$C$949,$B59)))</f>
        <v>2.2499864225429946</v>
      </c>
      <c r="AC59" s="1063">
        <f>IF($C59&lt;1,"",(AVERAGEIFS('09월 에너지'!$AC$14:$AC$949,'09월 에너지'!$A$14:$A$949,$A57,'09월 에너지'!$C$14:$C$949,$B59)))</f>
        <v>25.752683248963336</v>
      </c>
      <c r="AD59" s="1064">
        <f>IF($C59&lt;1,"",(AVERAGEIFS('09월 에너지'!$AD$14:$AD$949,'09월 에너지'!$B$14:$B$949,$A57,'09월 에너지'!$C$14:$C$949,$B59)))</f>
        <v>4025</v>
      </c>
      <c r="AE59" s="1065">
        <f>IF($C59&lt;1,"",(AVERAGEIFS('09월 에너지'!$AE$14:$AE$949,'09월 에너지'!$B$14:$B$949,$A57,'09월 에너지'!$C$14:$C$949,$B59)))</f>
        <v>29.205833723935161</v>
      </c>
      <c r="AF59" s="1066">
        <f>IF($C59&lt;1,"",(AVERAGEIFS('09월 에너지'!$AI$14:$AI$949,'09월 에너지'!$B$14:$B$949,$A57,'09월 에너지'!$C$14:$C$949,$B59)))</f>
        <v>144.22222222222223</v>
      </c>
      <c r="AG59" s="1067">
        <f>IF($C59&lt;1,"",(AVERAGEIFS('09월 에너지'!$AJ$14:$AJ$949,'09월 에너지'!$B$14:$B$949,$A57,'09월 에너지'!$C$14:$C$949,$B59)))</f>
        <v>1.036800755699141</v>
      </c>
    </row>
    <row r="60" spans="1:33" ht="16.5" customHeight="1" thickTop="1" thickBot="1">
      <c r="A60" s="1632"/>
      <c r="B60" s="783" t="s">
        <v>94</v>
      </c>
      <c r="C60" s="784">
        <f>COUNTIFS('09월 조업일지'!$B$12:$B$952,A57,'09월 조업일지'!$E$12:$E$952,B60)</f>
        <v>10</v>
      </c>
      <c r="D60" s="1068">
        <f t="shared" si="3"/>
        <v>46.399999999999991</v>
      </c>
      <c r="E60" s="1069">
        <f>IF($C60&lt;1,"",(SUMIFS('09월 조업일지'!$K$12:$K$954,'09월 조업일지'!$B$12:$B$954,$A57,'09월 조업일지'!$E$12:$E$954,$B60)/$C60))</f>
        <v>0.1</v>
      </c>
      <c r="F60" s="1070">
        <f>IF($C60&lt;1,"",(AVERAGEIFS('09월 조업일지'!$J$12:$J$954,'09월 조업일지'!$B$12:$B$954,$A57,'09월 조업일지'!$E$12:$E$954,$B60)))</f>
        <v>46.499999999999993</v>
      </c>
      <c r="G60" s="1071">
        <f>IF($C60&lt;1,"",(AVERAGEIFS('09월 에너지'!$M$14:$M$950,'09월 에너지'!$B$14:$B$950,$A57,'09월 에너지'!$C$14:$C$950,$B60)))</f>
        <v>44.919999999999995</v>
      </c>
      <c r="H60" s="1072">
        <f>IF($C60&lt;1,"",(AVERAGEIFS('09월 조업일지'!$AJ$12:$AJ$954,'09월 조업일지'!$B$12:$B$954,$A57,'09월 조업일지'!$E$12:$E$954,$B60)))</f>
        <v>10.9</v>
      </c>
      <c r="I60" s="1073">
        <f>IF($C60&lt;1,"",(AVERAGEIFS('09월 조업일지'!$AL$12:$AL$954,'09월 조업일지'!$B$12:$B$954,$A57,'09월 조업일지'!$E$12:$E$954,$B60)))</f>
        <v>6.3</v>
      </c>
      <c r="J60" s="1074">
        <f>IF($C60&lt;1,"",(AVERAGEIFS('09월 화학성분'!G$12:G$950,'09월 화학성분'!$B$12:$B$950,$A57,'09월 화학성분'!$D$12:$D$950,$B60)))</f>
        <v>9.5</v>
      </c>
      <c r="K60" s="1075">
        <f>IF($C60&lt;1,"",(AVERAGEIFS('09월 화학성분'!H$12:H$950,'09월 화학성분'!$B$12:$B$950,$A57,'09월 화학성분'!$D$12:$D$950,$B60)))</f>
        <v>18.399999999999999</v>
      </c>
      <c r="L60" s="1075">
        <f>IF($C60&lt;1,"",(AVERAGEIFS('09월 화학성분'!I$12:I$950,'09월 화학성분'!$B$12:$B$950,$A57,'09월 화학성분'!$D$12:$D$950,$B60)))</f>
        <v>49.4</v>
      </c>
      <c r="M60" s="1075">
        <f>IF($C60&lt;1,"",(AVERAGEIFS('09월 화학성분'!J$12:J$950,'09월 화학성분'!$B$12:$B$950,$A57,'09월 화학성분'!$D$12:$D$950,$B60)))</f>
        <v>15.2</v>
      </c>
      <c r="N60" s="1075">
        <f>IF($C60&lt;1,"",(AVERAGEIFS('09월 화학성분'!K$12:K$950,'09월 화학성분'!$B$12:$B$950,$A57,'09월 화학성분'!$D$12:$D$950,$B60)))</f>
        <v>32.200000000000003</v>
      </c>
      <c r="O60" s="1075">
        <f>IF($C60&lt;1,"",(AVERAGEIFS('09월 화학성분'!L$12:L$950,'09월 화학성분'!$B$12:$B$950,$A57,'09월 화학성분'!$D$12:$D$950,$B60)))</f>
        <v>14.6</v>
      </c>
      <c r="P60" s="1075">
        <f>IF($C60&lt;1,"",(AVERAGEIFS('09월 화학성분'!M$12:M$950,'09월 화학성분'!$B$12:$B$950,$A57,'09월 화학성분'!$D$12:$D$950,$B60)))</f>
        <v>10.6</v>
      </c>
      <c r="Q60" s="1075">
        <f>IF($C60&lt;1,"",(AVERAGEIFS('09월 조업일지'!$AK$12:$AK$954,'09월 조업일지'!$B$12:$B$954,$A57,'09월 조업일지'!$E$12:$E$954,$B60)))</f>
        <v>642.29999999999995</v>
      </c>
      <c r="R60" s="1075">
        <f>IF($C60&lt;1,"",(AVERAGEIFS('09월 화학성분'!$G$12:$G$950,'09월 화학성분'!$B$12:$B$950,$A57,'09월 화학성분'!$D$12:$D$950,$B60)))</f>
        <v>9.5</v>
      </c>
      <c r="S60" s="1076">
        <f>IF($C60&lt;1,"",(AVERAGEIFS('09월 조업일지'!$AI$12:$AI$954,'09월 조업일지'!$B$12:$B$954,$A57,'09월 조업일지'!$E$12:$E$954,$B60)))</f>
        <v>1590.3</v>
      </c>
      <c r="T60" s="1077">
        <f>IF($C60&lt;1,"",(AVERAGEIFS('09월 화학성분'!$AM$12:$AM$949,'09월 화학성분'!$B$12:$B$949,$A57,'09월 화학성분'!$D$12:$D$949,$B60)))</f>
        <v>1668.6</v>
      </c>
      <c r="U60" s="1078">
        <f>IF($C60&lt;1,"",(AVERAGEIFS('09월 고철장입'!$AJ$14:$AJ$949,'09월 고철장입'!$B$14:$B$949,$A57,'09월 고철장입'!$C$14:$C$949,$B60))/1000)</f>
        <v>158.91</v>
      </c>
      <c r="V60" s="1103">
        <f>IF($C60&lt;1,"",(AVERAGEIFS('09월 고철장입'!$AK$14:$AK$949,'09월 고철장입'!$B$14:$B$949,$A57,'09월 고철장입'!$C$14:$C$949,$B60)))</f>
        <v>143.46</v>
      </c>
      <c r="W60" s="1079">
        <f t="shared" si="2"/>
        <v>90.277515574853695</v>
      </c>
      <c r="X60" s="1080">
        <f>IF($C60&lt;1,"",(AVERAGEIFS('09월 에너지'!$O$14:$O$949,'09월 에너지'!$A$14:$A$949,$A57,'09월 에너지'!$C$14:$C$949,$B60)))</f>
        <v>158.13718443226404</v>
      </c>
      <c r="Y60" s="1081">
        <f>IF($C60&lt;1,"",(AVERAGEIFS('09월 에너지'!$P$14:$P$949,'09월 에너지'!$A$14:$A$949,$A57,'09월 에너지'!$C$14:$C$949,$B60)))</f>
        <v>143.55003349406778</v>
      </c>
      <c r="Z60" s="1081">
        <f>IF($C60&lt;1,"",(AVERAGEIFS('09월 에너지'!$Q$14:$Q$949,'09월 에너지'!$A$14:$A$949,$A57,'09월 에너지'!$C$14:$C$949,$B60)))</f>
        <v>85.196305639351948</v>
      </c>
      <c r="AA60" s="1082">
        <f>IF($C60&lt;1,"",(AVERAGEIFS('09월 에너지'!$R$14:$R$949,'09월 에너지'!$B$14:$B$949,$A57,'09월 에너지'!$C$14:$C$949,$B60)))</f>
        <v>386.88352356568373</v>
      </c>
      <c r="AB60" s="1083">
        <f>IF($C60&lt;1,"",(AVERAGEIFS('09월 에너지'!$X$14:$X$949,'09월 에너지'!$A$14:$A$949,$A57,'09월 에너지'!$C$14:$C$949,$B60)))</f>
        <v>2.3628265372362987</v>
      </c>
      <c r="AC60" s="1084">
        <f>IF($C60&lt;1,"",(AVERAGEIFS('09월 에너지'!$AC$14:$AC$949,'09월 에너지'!$A$14:$A$949,$A57,'09월 에너지'!$C$14:$C$949,$B60)))</f>
        <v>25.756650668734245</v>
      </c>
      <c r="AD60" s="1085">
        <f>IF($C60&lt;1,"",(AVERAGEIFS('09월 에너지'!$AD$14:$AD$949,'09월 에너지'!$B$14:$B$949,$A57,'09월 에너지'!$C$14:$C$949,$B60)))</f>
        <v>4033.5</v>
      </c>
      <c r="AE60" s="1086">
        <f>IF($C60&lt;1,"",(AVERAGEIFS('09월 에너지'!$AE$14:$AE$949,'09월 에너지'!$B$14:$B$949,$A57,'09월 에너지'!$C$14:$C$949,$B60)))</f>
        <v>28.119477205970536</v>
      </c>
      <c r="AF60" s="1087">
        <f>IF($C60&lt;1,"",(AVERAGEIFS('09월 에너지'!$AI$14:$AI$949,'09월 에너지'!$B$14:$B$949,$A57,'09월 에너지'!$C$14:$C$949,$B60)))</f>
        <v>154.6</v>
      </c>
      <c r="AG60" s="1088">
        <f>IF($C60&lt;1,"",(AVERAGEIFS('09월 에너지'!$AJ$14:$AJ$949,'09월 에너지'!$B$14:$B$949,$A57,'09월 에너지'!$C$14:$C$949,$B60)))</f>
        <v>1.0777428379248684</v>
      </c>
    </row>
    <row r="61" spans="1:33" ht="16.5" customHeight="1" thickTop="1" thickBot="1">
      <c r="A61" s="1632">
        <f t="shared" ref="A61" si="16">A57+1</f>
        <v>46280</v>
      </c>
      <c r="B61" s="775" t="s">
        <v>128</v>
      </c>
      <c r="C61" s="776">
        <f>COUNTIFS('09월 조업일지'!$B$12:$B$952,A61,'09월 조업일지'!$E$12:$E$952,B61)</f>
        <v>0</v>
      </c>
      <c r="D61" s="1026" t="str">
        <f t="shared" si="3"/>
        <v/>
      </c>
      <c r="E61" s="1027" t="str">
        <f>IF($C61&lt;1,"",(SUMIFS('09월 조업일지'!$K$12:$K$954,'09월 조업일지'!$B$12:$B$954,$A61,'09월 조업일지'!$E$12:$E$954,$B61)/$C61))</f>
        <v/>
      </c>
      <c r="F61" s="1028" t="str">
        <f>IF($C61&lt;1,"",(AVERAGEIFS('09월 조업일지'!$J$12:$J$954,'09월 조업일지'!$B$12:$B$954,$A61,'09월 조업일지'!$E$12:$E$954,$B61)))</f>
        <v/>
      </c>
      <c r="G61" s="1029" t="str">
        <f>IF($C61&lt;1,"",(AVERAGEIFS('09월 에너지'!$M$14:$M$950,'09월 에너지'!$B$14:$B$950,$A61,'09월 에너지'!$C$14:$C$950,$B61)))</f>
        <v/>
      </c>
      <c r="H61" s="1030" t="str">
        <f>IF($C61&lt;1,"",(AVERAGEIFS('09월 조업일지'!$AJ$12:$AJ$954,'09월 조업일지'!$B$12:$B$954,$A61,'09월 조업일지'!$E$12:$E$954,$B61)))</f>
        <v/>
      </c>
      <c r="I61" s="1031" t="str">
        <f>IF($C61&lt;1,"",(AVERAGEIFS('09월 조업일지'!$AL$12:$AL$954,'09월 조업일지'!$B$12:$B$954,$A61,'09월 조업일지'!$E$12:$E$954,$B61)))</f>
        <v/>
      </c>
      <c r="J61" s="1032" t="str">
        <f>IF($C61&lt;1,"",(AVERAGEIFS('09월 화학성분'!G$12:G$950,'09월 화학성분'!$B$12:$B$950,$A61,'09월 화학성분'!$D$12:$D$950,$B61)))</f>
        <v/>
      </c>
      <c r="K61" s="1033" t="str">
        <f>IF($C61&lt;1,"",(AVERAGEIFS('09월 화학성분'!H$12:H$950,'09월 화학성분'!$B$12:$B$950,$A61,'09월 화학성분'!$D$12:$D$950,$B61)))</f>
        <v/>
      </c>
      <c r="L61" s="1033" t="str">
        <f>IF($C61&lt;1,"",(AVERAGEIFS('09월 화학성분'!I$12:I$950,'09월 화학성분'!$B$12:$B$950,$A61,'09월 화학성분'!$D$12:$D$950,$B61)))</f>
        <v/>
      </c>
      <c r="M61" s="1033" t="str">
        <f>IF($C61&lt;1,"",(AVERAGEIFS('09월 화학성분'!J$12:J$950,'09월 화학성분'!$B$12:$B$950,$A61,'09월 화학성분'!$D$12:$D$950,$B61)))</f>
        <v/>
      </c>
      <c r="N61" s="1033" t="str">
        <f>IF($C61&lt;1,"",(AVERAGEIFS('09월 화학성분'!K$12:K$950,'09월 화학성분'!$B$12:$B$950,$A61,'09월 화학성분'!$D$12:$D$950,$B61)))</f>
        <v/>
      </c>
      <c r="O61" s="1033" t="str">
        <f>IF($C61&lt;1,"",(AVERAGEIFS('09월 화학성분'!L$12:L$950,'09월 화학성분'!$B$12:$B$950,$A61,'09월 화학성분'!$D$12:$D$950,$B61)))</f>
        <v/>
      </c>
      <c r="P61" s="1033" t="str">
        <f>IF($C61&lt;1,"",(AVERAGEIFS('09월 화학성분'!M$12:M$950,'09월 화학성분'!$B$12:$B$950,$A61,'09월 화학성분'!$D$12:$D$950,$B61)))</f>
        <v/>
      </c>
      <c r="Q61" s="1033" t="str">
        <f>IF($C61&lt;1,"",(AVERAGEIFS('09월 조업일지'!$AK$12:$AK$954,'09월 조업일지'!$B$12:$B$954,$A61,'09월 조업일지'!$E$12:$E$954,$B61)))</f>
        <v/>
      </c>
      <c r="R61" s="1033" t="str">
        <f>IF($C61&lt;1,"",(AVERAGEIFS('09월 화학성분'!$G$12:$G$950,'09월 화학성분'!$B$12:$B$950,$A61,'09월 화학성분'!$D$12:$D$950,$B61)))</f>
        <v/>
      </c>
      <c r="S61" s="1034" t="str">
        <f>IF($C61&lt;1,"",(AVERAGEIFS('09월 조업일지'!$AI$12:$AI$954,'09월 조업일지'!$B$12:$B$954,$A61,'09월 조업일지'!$E$12:$E$954,$B61)))</f>
        <v/>
      </c>
      <c r="T61" s="1035" t="str">
        <f>IF($C61&lt;1,"",(AVERAGEIFS('09월 화학성분'!$AM$12:$AM$949,'09월 화학성분'!$B$12:$B$949,$A61,'09월 화학성분'!$D$12:$D$949,$B61)))</f>
        <v/>
      </c>
      <c r="U61" s="1036" t="str">
        <f>IF($C61&lt;1,"",(AVERAGEIFS('09월 고철장입'!$AJ$14:$AJ$949,'09월 고철장입'!$B$14:$B$949,$A61,'09월 고철장입'!$C$14:$C$949,$B61))/1000)</f>
        <v/>
      </c>
      <c r="V61" s="1101" t="str">
        <f>IF($C61&lt;1,"",(AVERAGEIFS('09월 고철장입'!$AK$14:$AK$949,'09월 고철장입'!$B$14:$B$949,$A61,'09월 고철장입'!$C$14:$C$949,$B61)))</f>
        <v/>
      </c>
      <c r="W61" s="1037" t="str">
        <f t="shared" si="2"/>
        <v/>
      </c>
      <c r="X61" s="1038" t="str">
        <f>IF($C61&lt;1,"",(AVERAGEIFS('09월 에너지'!$O$14:$O$949,'09월 에너지'!$A$14:$A$949,$A61,'09월 에너지'!$C$14:$C$949,$B61)))</f>
        <v/>
      </c>
      <c r="Y61" s="1039" t="str">
        <f>IF($C61&lt;1,"",(AVERAGEIFS('09월 에너지'!$P$14:$P$949,'09월 에너지'!$A$14:$A$949,$A61,'09월 에너지'!$C$14:$C$949,$B61)))</f>
        <v/>
      </c>
      <c r="Z61" s="1039" t="str">
        <f>IF($C61&lt;1,"",(AVERAGEIFS('09월 에너지'!$Q$14:$Q$949,'09월 에너지'!$A$14:$A$949,$A61,'09월 에너지'!$C$14:$C$949,$B61)))</f>
        <v/>
      </c>
      <c r="AA61" s="1040" t="str">
        <f>IF($C61&lt;1,"",(AVERAGEIFS('09월 에너지'!$R$14:$R$949,'09월 에너지'!$B$14:$B$949,$A61,'09월 에너지'!$C$14:$C$949,$B61)))</f>
        <v/>
      </c>
      <c r="AB61" s="1041" t="str">
        <f>IF($C61&lt;1,"",(AVERAGEIFS('09월 에너지'!$X$14:$X$949,'09월 에너지'!$A$14:$A$949,$A61,'09월 에너지'!$C$14:$C$949,$B61)))</f>
        <v/>
      </c>
      <c r="AC61" s="1042" t="str">
        <f>IF($C61&lt;1,"",(AVERAGEIFS('09월 에너지'!$AC$14:$AC$949,'09월 에너지'!$A$14:$A$949,$A61,'09월 에너지'!$C$14:$C$949,$B61)))</f>
        <v/>
      </c>
      <c r="AD61" s="1043" t="str">
        <f>IF($C61&lt;1,"",(AVERAGEIFS('09월 에너지'!$AD$14:$AD$949,'09월 에너지'!$B$14:$B$949,$A61,'09월 에너지'!$C$14:$C$949,$B61)))</f>
        <v/>
      </c>
      <c r="AE61" s="1044" t="str">
        <f>IF($C61&lt;1,"",(AVERAGEIFS('09월 에너지'!$AE$14:$AE$949,'09월 에너지'!$B$14:$B$949,$A61,'09월 에너지'!$C$14:$C$949,$B61)))</f>
        <v/>
      </c>
      <c r="AF61" s="1045" t="str">
        <f>IF($C61&lt;1,"",(AVERAGEIFS('09월 에너지'!$AI$14:$AI$949,'09월 에너지'!$B$14:$B$949,$A61,'09월 에너지'!$C$14:$C$949,$B61)))</f>
        <v/>
      </c>
      <c r="AG61" s="1046" t="str">
        <f>IF($C61&lt;1,"",(AVERAGEIFS('09월 에너지'!$AJ$14:$AJ$949,'09월 에너지'!$B$14:$B$949,$A61,'09월 에너지'!$C$14:$C$949,$B61)))</f>
        <v/>
      </c>
    </row>
    <row r="62" spans="1:33" ht="16.5" customHeight="1" thickTop="1" thickBot="1">
      <c r="A62" s="1632"/>
      <c r="B62" s="781" t="s">
        <v>100</v>
      </c>
      <c r="C62" s="782">
        <f>COUNTIFS('09월 조업일지'!$B$12:$B$952,A61,'09월 조업일지'!$E$12:$E$952,B62)</f>
        <v>0</v>
      </c>
      <c r="D62" s="1047" t="str">
        <f t="shared" si="3"/>
        <v/>
      </c>
      <c r="E62" s="1048" t="str">
        <f>IF($C62&lt;1,"",(SUMIFS('09월 조업일지'!$K$12:$K$954,'09월 조업일지'!$B$12:$B$954,$A61,'09월 조업일지'!$E$12:$E$954,$B62)/$C62))</f>
        <v/>
      </c>
      <c r="F62" s="1049" t="str">
        <f>IF($C62&lt;1,"",(AVERAGEIFS('09월 조업일지'!$J$12:$J$954,'09월 조업일지'!$B$12:$B$954,$A61,'09월 조업일지'!$E$12:$E$954,$B62)))</f>
        <v/>
      </c>
      <c r="G62" s="1050" t="str">
        <f>IF($C62&lt;1,"",(AVERAGEIFS('09월 에너지'!$M$14:$M$950,'09월 에너지'!$B$14:$B$950,$A61,'09월 에너지'!$C$14:$C$950,$B62)))</f>
        <v/>
      </c>
      <c r="H62" s="1051" t="str">
        <f>IF($C62&lt;1,"",(AVERAGEIFS('09월 조업일지'!$AJ$12:$AJ$954,'09월 조업일지'!$B$12:$B$954,$A61,'09월 조업일지'!$E$12:$E$954,$B62)))</f>
        <v/>
      </c>
      <c r="I62" s="1052" t="str">
        <f>IF($C62&lt;1,"",(AVERAGEIFS('09월 조업일지'!$AL$12:$AL$954,'09월 조업일지'!$B$12:$B$954,$A61,'09월 조업일지'!$E$12:$E$954,$B62)))</f>
        <v/>
      </c>
      <c r="J62" s="1053" t="str">
        <f>IF($C62&lt;1,"",(AVERAGEIFS('09월 화학성분'!G$12:G$950,'09월 화학성분'!$B$12:$B$950,$A61,'09월 화학성분'!$D$12:$D$950,$B62)))</f>
        <v/>
      </c>
      <c r="K62" s="1054" t="str">
        <f>IF($C62&lt;1,"",(AVERAGEIFS('09월 화학성분'!H$12:H$950,'09월 화학성분'!$B$12:$B$950,$A61,'09월 화학성분'!$D$12:$D$950,$B62)))</f>
        <v/>
      </c>
      <c r="L62" s="1054" t="str">
        <f>IF($C62&lt;1,"",(AVERAGEIFS('09월 화학성분'!I$12:I$950,'09월 화학성분'!$B$12:$B$950,$A61,'09월 화학성분'!$D$12:$D$950,$B62)))</f>
        <v/>
      </c>
      <c r="M62" s="1054" t="str">
        <f>IF($C62&lt;1,"",(AVERAGEIFS('09월 화학성분'!J$12:J$950,'09월 화학성분'!$B$12:$B$950,$A61,'09월 화학성분'!$D$12:$D$950,$B62)))</f>
        <v/>
      </c>
      <c r="N62" s="1054" t="str">
        <f>IF($C62&lt;1,"",(AVERAGEIFS('09월 화학성분'!K$12:K$950,'09월 화학성분'!$B$12:$B$950,$A61,'09월 화학성분'!$D$12:$D$950,$B62)))</f>
        <v/>
      </c>
      <c r="O62" s="1054" t="str">
        <f>IF($C62&lt;1,"",(AVERAGEIFS('09월 화학성분'!L$12:L$950,'09월 화학성분'!$B$12:$B$950,$A61,'09월 화학성분'!$D$12:$D$950,$B62)))</f>
        <v/>
      </c>
      <c r="P62" s="1054" t="str">
        <f>IF($C62&lt;1,"",(AVERAGEIFS('09월 화학성분'!M$12:M$950,'09월 화학성분'!$B$12:$B$950,$A61,'09월 화학성분'!$D$12:$D$950,$B62)))</f>
        <v/>
      </c>
      <c r="Q62" s="1054" t="str">
        <f>IF($C62&lt;1,"",(AVERAGEIFS('09월 조업일지'!$AK$12:$AK$954,'09월 조업일지'!$B$12:$B$954,$A61,'09월 조업일지'!$E$12:$E$954,$B62)))</f>
        <v/>
      </c>
      <c r="R62" s="1054" t="str">
        <f>IF($C62&lt;1,"",(AVERAGEIFS('09월 화학성분'!$G$12:$G$950,'09월 화학성분'!$B$12:$B$950,$A61,'09월 화학성분'!$D$12:$D$950,$B62)))</f>
        <v/>
      </c>
      <c r="S62" s="1055" t="str">
        <f>IF($C62&lt;1,"",(AVERAGEIFS('09월 조업일지'!$AI$12:$AI$954,'09월 조업일지'!$B$12:$B$954,$A61,'09월 조업일지'!$E$12:$E$954,$B62)))</f>
        <v/>
      </c>
      <c r="T62" s="1056" t="str">
        <f>IF($C62&lt;1,"",(AVERAGEIFS('09월 화학성분'!$AM$12:$AM$949,'09월 화학성분'!$B$12:$B$949,$A61,'09월 화학성분'!$D$12:$D$949,$B62)))</f>
        <v/>
      </c>
      <c r="U62" s="1057" t="str">
        <f>IF($C62&lt;1,"",(AVERAGEIFS('09월 고철장입'!$AJ$14:$AJ$949,'09월 고철장입'!$B$14:$B$949,$A61,'09월 고철장입'!$C$14:$C$949,$B62))/1000)</f>
        <v/>
      </c>
      <c r="V62" s="1102" t="str">
        <f>IF($C62&lt;1,"",(AVERAGEIFS('09월 고철장입'!$AK$14:$AK$949,'09월 고철장입'!$B$14:$B$949,$A61,'09월 고철장입'!$C$14:$C$949,$B62)))</f>
        <v/>
      </c>
      <c r="W62" s="1058" t="str">
        <f t="shared" si="2"/>
        <v/>
      </c>
      <c r="X62" s="1059" t="str">
        <f>IF($C62&lt;1,"",(AVERAGEIFS('09월 에너지'!$O$14:$O$949,'09월 에너지'!$A$14:$A$949,$A61,'09월 에너지'!$C$14:$C$949,$B62)))</f>
        <v/>
      </c>
      <c r="Y62" s="1060" t="str">
        <f>IF($C62&lt;1,"",(AVERAGEIFS('09월 에너지'!$P$14:$P$949,'09월 에너지'!$A$14:$A$949,$A61,'09월 에너지'!$C$14:$C$949,$B62)))</f>
        <v/>
      </c>
      <c r="Z62" s="1060" t="str">
        <f>IF($C62&lt;1,"",(AVERAGEIFS('09월 에너지'!$Q$14:$Q$949,'09월 에너지'!$A$14:$A$949,$A61,'09월 에너지'!$C$14:$C$949,$B62)))</f>
        <v/>
      </c>
      <c r="AA62" s="1061" t="str">
        <f>IF($C62&lt;1,"",(AVERAGEIFS('09월 에너지'!$R$14:$R$949,'09월 에너지'!$B$14:$B$949,$A61,'09월 에너지'!$C$14:$C$949,$B62)))</f>
        <v/>
      </c>
      <c r="AB62" s="1062" t="str">
        <f>IF($C62&lt;1,"",(AVERAGEIFS('09월 에너지'!$X$14:$X$949,'09월 에너지'!$A$14:$A$949,$A61,'09월 에너지'!$C$14:$C$949,$B62)))</f>
        <v/>
      </c>
      <c r="AC62" s="1063" t="str">
        <f>IF($C62&lt;1,"",(AVERAGEIFS('09월 에너지'!$AC$14:$AC$949,'09월 에너지'!$A$14:$A$949,$A61,'09월 에너지'!$C$14:$C$949,$B62)))</f>
        <v/>
      </c>
      <c r="AD62" s="1064" t="str">
        <f>IF($C62&lt;1,"",(AVERAGEIFS('09월 에너지'!$AD$14:$AD$949,'09월 에너지'!$B$14:$B$949,$A61,'09월 에너지'!$C$14:$C$949,$B62)))</f>
        <v/>
      </c>
      <c r="AE62" s="1065" t="str">
        <f>IF($C62&lt;1,"",(AVERAGEIFS('09월 에너지'!$AE$14:$AE$949,'09월 에너지'!$B$14:$B$949,$A61,'09월 에너지'!$C$14:$C$949,$B62)))</f>
        <v/>
      </c>
      <c r="AF62" s="1066" t="str">
        <f>IF($C62&lt;1,"",(AVERAGEIFS('09월 에너지'!$AI$14:$AI$949,'09월 에너지'!$B$14:$B$949,$A61,'09월 에너지'!$C$14:$C$949,$B62)))</f>
        <v/>
      </c>
      <c r="AG62" s="1067" t="str">
        <f>IF($C62&lt;1,"",(AVERAGEIFS('09월 에너지'!$AJ$14:$AJ$949,'09월 에너지'!$B$14:$B$949,$A61,'09월 에너지'!$C$14:$C$949,$B62)))</f>
        <v/>
      </c>
    </row>
    <row r="63" spans="1:33" ht="16.5" customHeight="1" thickTop="1" thickBot="1">
      <c r="A63" s="1632"/>
      <c r="B63" s="781" t="s">
        <v>93</v>
      </c>
      <c r="C63" s="782">
        <f>COUNTIFS('09월 조업일지'!$B$12:$B$952,A61,'09월 조업일지'!$E$12:$E$952,B63)</f>
        <v>5</v>
      </c>
      <c r="D63" s="1047">
        <f t="shared" si="3"/>
        <v>51.999999999999972</v>
      </c>
      <c r="E63" s="1048">
        <f>IF($C63&lt;1,"",(SUMIFS('09월 조업일지'!$K$12:$K$954,'09월 조업일지'!$B$12:$B$954,$A61,'09월 조업일지'!$E$12:$E$954,$B63)/$C63))</f>
        <v>227.4</v>
      </c>
      <c r="F63" s="1049">
        <f>IF($C63&lt;1,"",(AVERAGEIFS('09월 조업일지'!$J$12:$J$954,'09월 조업일지'!$B$12:$B$954,$A61,'09월 조업일지'!$E$12:$E$954,$B63)))</f>
        <v>279.39999999999998</v>
      </c>
      <c r="G63" s="1050">
        <f>IF($C63&lt;1,"",(AVERAGEIFS('09월 에너지'!$M$14:$M$950,'09월 에너지'!$B$14:$B$950,$A61,'09월 에너지'!$C$14:$C$950,$B63)))</f>
        <v>49.61999999999999</v>
      </c>
      <c r="H63" s="1051">
        <f>IF($C63&lt;1,"",(AVERAGEIFS('09월 조업일지'!$AJ$12:$AJ$954,'09월 조업일지'!$B$12:$B$954,$A61,'09월 조업일지'!$E$12:$E$954,$B63)))</f>
        <v>10.199999999999999</v>
      </c>
      <c r="I63" s="1052">
        <f>IF($C63&lt;1,"",(AVERAGEIFS('09월 조업일지'!$AL$12:$AL$954,'09월 조업일지'!$B$12:$B$954,$A61,'09월 조업일지'!$E$12:$E$954,$B63)))</f>
        <v>10.6</v>
      </c>
      <c r="J63" s="1053">
        <f>IF($C63&lt;1,"",(AVERAGEIFS('09월 화학성분'!G$12:G$950,'09월 화학성분'!$B$12:$B$950,$A61,'09월 화학성분'!$D$12:$D$950,$B63)))</f>
        <v>9</v>
      </c>
      <c r="K63" s="1054">
        <f>IF($C63&lt;1,"",(AVERAGEIFS('09월 화학성분'!H$12:H$950,'09월 화학성분'!$B$12:$B$950,$A61,'09월 화학성분'!$D$12:$D$950,$B63)))</f>
        <v>21.4</v>
      </c>
      <c r="L63" s="1054">
        <f>IF($C63&lt;1,"",(AVERAGEIFS('09월 화학성분'!I$12:I$950,'09월 화학성분'!$B$12:$B$950,$A61,'09월 화학성분'!$D$12:$D$950,$B63)))</f>
        <v>76</v>
      </c>
      <c r="M63" s="1054">
        <f>IF($C63&lt;1,"",(AVERAGEIFS('09월 화학성분'!J$12:J$950,'09월 화학성분'!$B$12:$B$950,$A61,'09월 화학성분'!$D$12:$D$950,$B63)))</f>
        <v>15.4</v>
      </c>
      <c r="N63" s="1054">
        <f>IF($C63&lt;1,"",(AVERAGEIFS('09월 화학성분'!K$12:K$950,'09월 화학성분'!$B$12:$B$950,$A61,'09월 화학성분'!$D$12:$D$950,$B63)))</f>
        <v>31.6</v>
      </c>
      <c r="O63" s="1054">
        <f>IF($C63&lt;1,"",(AVERAGEIFS('09월 화학성분'!L$12:L$950,'09월 화학성분'!$B$12:$B$950,$A61,'09월 화학성분'!$D$12:$D$950,$B63)))</f>
        <v>11</v>
      </c>
      <c r="P63" s="1054">
        <f>IF($C63&lt;1,"",(AVERAGEIFS('09월 화학성분'!M$12:M$950,'09월 화학성분'!$B$12:$B$950,$A61,'09월 화학성분'!$D$12:$D$950,$B63)))</f>
        <v>11</v>
      </c>
      <c r="Q63" s="1054">
        <f>IF($C63&lt;1,"",(AVERAGEIFS('09월 조업일지'!$AK$12:$AK$954,'09월 조업일지'!$B$12:$B$954,$A61,'09월 조업일지'!$E$12:$E$954,$B63)))</f>
        <v>479.2</v>
      </c>
      <c r="R63" s="1054">
        <f>IF($C63&lt;1,"",(AVERAGEIFS('09월 화학성분'!$G$12:$G$950,'09월 화학성분'!$B$12:$B$950,$A61,'09월 화학성분'!$D$12:$D$950,$B63)))</f>
        <v>9</v>
      </c>
      <c r="S63" s="1055">
        <f>IF($C63&lt;1,"",(AVERAGEIFS('09월 조업일지'!$AI$12:$AI$954,'09월 조업일지'!$B$12:$B$954,$A61,'09월 조업일지'!$E$12:$E$954,$B63)))</f>
        <v>1557</v>
      </c>
      <c r="T63" s="1056">
        <f>IF($C63&lt;1,"",(AVERAGEIFS('09월 화학성분'!$AM$12:$AM$949,'09월 화학성분'!$B$12:$B$949,$A61,'09월 화학성분'!$D$12:$D$949,$B63)))</f>
        <v>2592.6</v>
      </c>
      <c r="U63" s="1057">
        <f>IF($C63&lt;1,"",(AVERAGEIFS('09월 고철장입'!$AJ$14:$AJ$949,'09월 고철장입'!$B$14:$B$949,$A61,'09월 고철장입'!$C$14:$C$949,$B63))/1000)</f>
        <v>158</v>
      </c>
      <c r="V63" s="1102">
        <f>IF($C63&lt;1,"",(AVERAGEIFS('09월 고철장입'!$AK$14:$AK$949,'09월 고철장입'!$B$14:$B$949,$A61,'09월 고철장입'!$C$14:$C$949,$B63)))</f>
        <v>140.74</v>
      </c>
      <c r="W63" s="1058">
        <f t="shared" si="2"/>
        <v>89.075949367088612</v>
      </c>
      <c r="X63" s="1059">
        <f>IF($C63&lt;1,"",(AVERAGEIFS('09월 에너지'!$O$14:$O$949,'09월 에너지'!$A$14:$A$949,$A61,'09월 에너지'!$C$14:$C$949,$B63)))</f>
        <v>185.73697360714138</v>
      </c>
      <c r="Y63" s="1060">
        <f>IF($C63&lt;1,"",(AVERAGEIFS('09월 에너지'!$P$14:$P$949,'09월 에너지'!$A$14:$A$949,$A61,'09월 에너지'!$C$14:$C$949,$B63)))</f>
        <v>105.7049617328497</v>
      </c>
      <c r="Z63" s="1060">
        <f>IF($C63&lt;1,"",(AVERAGEIFS('09월 에너지'!$Q$14:$Q$949,'09월 에너지'!$A$14:$A$949,$A61,'09월 에너지'!$C$14:$C$949,$B63)))</f>
        <v>126.14289742906614</v>
      </c>
      <c r="AA63" s="1061">
        <f>IF($C63&lt;1,"",(AVERAGEIFS('09월 에너지'!$R$14:$R$949,'09월 에너지'!$B$14:$B$949,$A61,'09월 에너지'!$C$14:$C$949,$B63)))</f>
        <v>429.79938148964737</v>
      </c>
      <c r="AB63" s="1062">
        <f>IF($C63&lt;1,"",(AVERAGEIFS('09월 에너지'!$X$14:$X$949,'09월 에너지'!$A$14:$A$949,$A61,'09월 에너지'!$C$14:$C$949,$B63)))</f>
        <v>2.8963193683158304</v>
      </c>
      <c r="AC63" s="1063">
        <f>IF($C63&lt;1,"",(AVERAGEIFS('09월 에너지'!$AC$14:$AC$949,'09월 에너지'!$A$14:$A$949,$A61,'09월 에너지'!$C$14:$C$949,$B63)))</f>
        <v>29.309903476052913</v>
      </c>
      <c r="AD63" s="1064">
        <f>IF($C63&lt;1,"",(AVERAGEIFS('09월 에너지'!$AD$14:$AD$949,'09월 에너지'!$B$14:$B$949,$A61,'09월 에너지'!$C$14:$C$949,$B63)))</f>
        <v>4615</v>
      </c>
      <c r="AE63" s="1065">
        <f>IF($C63&lt;1,"",(AVERAGEIFS('09월 에너지'!$AE$14:$AE$949,'09월 에너지'!$B$14:$B$949,$A61,'09월 에너지'!$C$14:$C$949,$B63)))</f>
        <v>32.822570283305964</v>
      </c>
      <c r="AF63" s="1066">
        <f>IF($C63&lt;1,"",(AVERAGEIFS('09월 에너지'!$AI$14:$AI$949,'09월 에너지'!$B$14:$B$949,$A61,'09월 에너지'!$C$14:$C$949,$B63)))</f>
        <v>164.2</v>
      </c>
      <c r="AG63" s="1067">
        <f>IF($C63&lt;1,"",(AVERAGEIFS('09월 에너지'!$AJ$14:$AJ$949,'09월 에너지'!$B$14:$B$949,$A61,'09월 에너지'!$C$14:$C$949,$B63)))</f>
        <v>1.1686512893255134</v>
      </c>
    </row>
    <row r="64" spans="1:33" ht="16.5" customHeight="1" thickTop="1" thickBot="1">
      <c r="A64" s="1632"/>
      <c r="B64" s="783" t="s">
        <v>94</v>
      </c>
      <c r="C64" s="784">
        <f>COUNTIFS('09월 조업일지'!$B$12:$B$952,A61,'09월 조업일지'!$E$12:$E$952,B64)</f>
        <v>0</v>
      </c>
      <c r="D64" s="1068" t="str">
        <f t="shared" si="3"/>
        <v/>
      </c>
      <c r="E64" s="1069" t="str">
        <f>IF($C64&lt;1,"",(SUMIFS('09월 조업일지'!$K$12:$K$954,'09월 조업일지'!$B$12:$B$954,$A61,'09월 조업일지'!$E$12:$E$954,$B64)/$C64))</f>
        <v/>
      </c>
      <c r="F64" s="1070" t="str">
        <f>IF($C64&lt;1,"",(AVERAGEIFS('09월 조업일지'!$J$12:$J$954,'09월 조업일지'!$B$12:$B$954,$A61,'09월 조업일지'!$E$12:$E$954,$B64)))</f>
        <v/>
      </c>
      <c r="G64" s="1071" t="str">
        <f>IF($C64&lt;1,"",(AVERAGEIFS('09월 에너지'!$M$14:$M$950,'09월 에너지'!$B$14:$B$950,$A61,'09월 에너지'!$C$14:$C$950,$B64)))</f>
        <v/>
      </c>
      <c r="H64" s="1072" t="str">
        <f>IF($C64&lt;1,"",(AVERAGEIFS('09월 조업일지'!$AJ$12:$AJ$954,'09월 조업일지'!$B$12:$B$954,$A61,'09월 조업일지'!$E$12:$E$954,$B64)))</f>
        <v/>
      </c>
      <c r="I64" s="1073" t="str">
        <f>IF($C64&lt;1,"",(AVERAGEIFS('09월 조업일지'!$AL$12:$AL$954,'09월 조업일지'!$B$12:$B$954,$A61,'09월 조업일지'!$E$12:$E$954,$B64)))</f>
        <v/>
      </c>
      <c r="J64" s="1074" t="str">
        <f>IF($C64&lt;1,"",(AVERAGEIFS('09월 화학성분'!G$12:G$950,'09월 화학성분'!$B$12:$B$950,$A61,'09월 화학성분'!$D$12:$D$950,$B64)))</f>
        <v/>
      </c>
      <c r="K64" s="1075" t="str">
        <f>IF($C64&lt;1,"",(AVERAGEIFS('09월 화학성분'!H$12:H$950,'09월 화학성분'!$B$12:$B$950,$A61,'09월 화학성분'!$D$12:$D$950,$B64)))</f>
        <v/>
      </c>
      <c r="L64" s="1075" t="str">
        <f>IF($C64&lt;1,"",(AVERAGEIFS('09월 화학성분'!I$12:I$950,'09월 화학성분'!$B$12:$B$950,$A61,'09월 화학성분'!$D$12:$D$950,$B64)))</f>
        <v/>
      </c>
      <c r="M64" s="1075" t="str">
        <f>IF($C64&lt;1,"",(AVERAGEIFS('09월 화학성분'!J$12:J$950,'09월 화학성분'!$B$12:$B$950,$A61,'09월 화학성분'!$D$12:$D$950,$B64)))</f>
        <v/>
      </c>
      <c r="N64" s="1075" t="str">
        <f>IF($C64&lt;1,"",(AVERAGEIFS('09월 화학성분'!K$12:K$950,'09월 화학성분'!$B$12:$B$950,$A61,'09월 화학성분'!$D$12:$D$950,$B64)))</f>
        <v/>
      </c>
      <c r="O64" s="1075" t="str">
        <f>IF($C64&lt;1,"",(AVERAGEIFS('09월 화학성분'!L$12:L$950,'09월 화학성분'!$B$12:$B$950,$A61,'09월 화학성분'!$D$12:$D$950,$B64)))</f>
        <v/>
      </c>
      <c r="P64" s="1075" t="str">
        <f>IF($C64&lt;1,"",(AVERAGEIFS('09월 화학성분'!M$12:M$950,'09월 화학성분'!$B$12:$B$950,$A61,'09월 화학성분'!$D$12:$D$950,$B64)))</f>
        <v/>
      </c>
      <c r="Q64" s="1075" t="str">
        <f>IF($C64&lt;1,"",(AVERAGEIFS('09월 조업일지'!$AK$12:$AK$954,'09월 조업일지'!$B$12:$B$954,$A61,'09월 조업일지'!$E$12:$E$954,$B64)))</f>
        <v/>
      </c>
      <c r="R64" s="1075" t="str">
        <f>IF($C64&lt;1,"",(AVERAGEIFS('09월 화학성분'!$G$12:$G$950,'09월 화학성분'!$B$12:$B$950,$A61,'09월 화학성분'!$D$12:$D$950,$B64)))</f>
        <v/>
      </c>
      <c r="S64" s="1076" t="str">
        <f>IF($C64&lt;1,"",(AVERAGEIFS('09월 조업일지'!$AI$12:$AI$954,'09월 조업일지'!$B$12:$B$954,$A61,'09월 조업일지'!$E$12:$E$954,$B64)))</f>
        <v/>
      </c>
      <c r="T64" s="1077" t="str">
        <f>IF($C64&lt;1,"",(AVERAGEIFS('09월 화학성분'!$AM$12:$AM$949,'09월 화학성분'!$B$12:$B$949,$A61,'09월 화학성분'!$D$12:$D$949,$B64)))</f>
        <v/>
      </c>
      <c r="U64" s="1078" t="str">
        <f>IF($C64&lt;1,"",(AVERAGEIFS('09월 고철장입'!$AJ$14:$AJ$949,'09월 고철장입'!$B$14:$B$949,$A61,'09월 고철장입'!$C$14:$C$949,$B64))/1000)</f>
        <v/>
      </c>
      <c r="V64" s="1103" t="str">
        <f>IF($C64&lt;1,"",(AVERAGEIFS('09월 고철장입'!$AK$14:$AK$949,'09월 고철장입'!$B$14:$B$949,$A61,'09월 고철장입'!$C$14:$C$949,$B64)))</f>
        <v/>
      </c>
      <c r="W64" s="1079" t="str">
        <f t="shared" si="2"/>
        <v/>
      </c>
      <c r="X64" s="1080" t="str">
        <f>IF($C64&lt;1,"",(AVERAGEIFS('09월 에너지'!$O$14:$O$949,'09월 에너지'!$A$14:$A$949,$A61,'09월 에너지'!$C$14:$C$949,$B64)))</f>
        <v/>
      </c>
      <c r="Y64" s="1081" t="str">
        <f>IF($C64&lt;1,"",(AVERAGEIFS('09월 에너지'!$P$14:$P$949,'09월 에너지'!$A$14:$A$949,$A61,'09월 에너지'!$C$14:$C$949,$B64)))</f>
        <v/>
      </c>
      <c r="Z64" s="1081" t="str">
        <f>IF($C64&lt;1,"",(AVERAGEIFS('09월 에너지'!$Q$14:$Q$949,'09월 에너지'!$A$14:$A$949,$A61,'09월 에너지'!$C$14:$C$949,$B64)))</f>
        <v/>
      </c>
      <c r="AA64" s="1082" t="str">
        <f>IF($C64&lt;1,"",(AVERAGEIFS('09월 에너지'!$R$14:$R$949,'09월 에너지'!$B$14:$B$949,$A61,'09월 에너지'!$C$14:$C$949,$B64)))</f>
        <v/>
      </c>
      <c r="AB64" s="1083" t="str">
        <f>IF($C64&lt;1,"",(AVERAGEIFS('09월 에너지'!$X$14:$X$949,'09월 에너지'!$A$14:$A$949,$A61,'09월 에너지'!$C$14:$C$949,$B64)))</f>
        <v/>
      </c>
      <c r="AC64" s="1084" t="str">
        <f>IF($C64&lt;1,"",(AVERAGEIFS('09월 에너지'!$AC$14:$AC$949,'09월 에너지'!$A$14:$A$949,$A61,'09월 에너지'!$C$14:$C$949,$B64)))</f>
        <v/>
      </c>
      <c r="AD64" s="1085" t="str">
        <f>IF($C64&lt;1,"",(AVERAGEIFS('09월 에너지'!$AD$14:$AD$949,'09월 에너지'!$B$14:$B$949,$A61,'09월 에너지'!$C$14:$C$949,$B64)))</f>
        <v/>
      </c>
      <c r="AE64" s="1086" t="str">
        <f>IF($C64&lt;1,"",(AVERAGEIFS('09월 에너지'!$AE$14:$AE$949,'09월 에너지'!$B$14:$B$949,$A61,'09월 에너지'!$C$14:$C$949,$B64)))</f>
        <v/>
      </c>
      <c r="AF64" s="1087" t="str">
        <f>IF($C64&lt;1,"",(AVERAGEIFS('09월 에너지'!$AI$14:$AI$949,'09월 에너지'!$B$14:$B$949,$A61,'09월 에너지'!$C$14:$C$949,$B64)))</f>
        <v/>
      </c>
      <c r="AG64" s="1088" t="str">
        <f>IF($C64&lt;1,"",(AVERAGEIFS('09월 에너지'!$AJ$14:$AJ$949,'09월 에너지'!$B$14:$B$949,$A61,'09월 에너지'!$C$14:$C$949,$B64)))</f>
        <v/>
      </c>
    </row>
    <row r="65" spans="1:33" ht="16.5" customHeight="1" thickTop="1" thickBot="1">
      <c r="A65" s="1632">
        <f t="shared" ref="A65" si="17">A61+1</f>
        <v>46281</v>
      </c>
      <c r="B65" s="775" t="s">
        <v>128</v>
      </c>
      <c r="C65" s="776">
        <f>COUNTIFS('09월 조업일지'!$B$12:$B$952,A65,'09월 조업일지'!$E$12:$E$952,B65)</f>
        <v>0</v>
      </c>
      <c r="D65" s="1026" t="str">
        <f t="shared" si="3"/>
        <v/>
      </c>
      <c r="E65" s="1027" t="str">
        <f>IF($C65&lt;1,"",(SUMIFS('09월 조업일지'!$K$12:$K$954,'09월 조업일지'!$B$12:$B$954,$A65,'09월 조업일지'!$E$12:$E$954,$B65)/$C65))</f>
        <v/>
      </c>
      <c r="F65" s="1028" t="str">
        <f>IF($C65&lt;1,"",(AVERAGEIFS('09월 조업일지'!$J$12:$J$954,'09월 조업일지'!$B$12:$B$954,$A65,'09월 조업일지'!$E$12:$E$954,$B65)))</f>
        <v/>
      </c>
      <c r="G65" s="1029" t="str">
        <f>IF($C65&lt;1,"",(AVERAGEIFS('09월 에너지'!$M$14:$M$950,'09월 에너지'!$B$14:$B$950,$A65,'09월 에너지'!$C$14:$C$950,$B65)))</f>
        <v/>
      </c>
      <c r="H65" s="1030" t="str">
        <f>IF($C65&lt;1,"",(AVERAGEIFS('09월 조업일지'!$AJ$12:$AJ$954,'09월 조업일지'!$B$12:$B$954,$A65,'09월 조업일지'!$E$12:$E$954,$B65)))</f>
        <v/>
      </c>
      <c r="I65" s="1031" t="str">
        <f>IF($C65&lt;1,"",(AVERAGEIFS('09월 조업일지'!$AL$12:$AL$954,'09월 조업일지'!$B$12:$B$954,$A65,'09월 조업일지'!$E$12:$E$954,$B65)))</f>
        <v/>
      </c>
      <c r="J65" s="1032" t="str">
        <f>IF($C65&lt;1,"",(AVERAGEIFS('09월 화학성분'!G$12:G$950,'09월 화학성분'!$B$12:$B$950,$A65,'09월 화학성분'!$D$12:$D$950,$B65)))</f>
        <v/>
      </c>
      <c r="K65" s="1033" t="str">
        <f>IF($C65&lt;1,"",(AVERAGEIFS('09월 화학성분'!H$12:H$950,'09월 화학성분'!$B$12:$B$950,$A65,'09월 화학성분'!$D$12:$D$950,$B65)))</f>
        <v/>
      </c>
      <c r="L65" s="1033" t="str">
        <f>IF($C65&lt;1,"",(AVERAGEIFS('09월 화학성분'!I$12:I$950,'09월 화학성분'!$B$12:$B$950,$A65,'09월 화학성분'!$D$12:$D$950,$B65)))</f>
        <v/>
      </c>
      <c r="M65" s="1033" t="str">
        <f>IF($C65&lt;1,"",(AVERAGEIFS('09월 화학성분'!J$12:J$950,'09월 화학성분'!$B$12:$B$950,$A65,'09월 화학성분'!$D$12:$D$950,$B65)))</f>
        <v/>
      </c>
      <c r="N65" s="1033" t="str">
        <f>IF($C65&lt;1,"",(AVERAGEIFS('09월 화학성분'!K$12:K$950,'09월 화학성분'!$B$12:$B$950,$A65,'09월 화학성분'!$D$12:$D$950,$B65)))</f>
        <v/>
      </c>
      <c r="O65" s="1033" t="str">
        <f>IF($C65&lt;1,"",(AVERAGEIFS('09월 화학성분'!L$12:L$950,'09월 화학성분'!$B$12:$B$950,$A65,'09월 화학성분'!$D$12:$D$950,$B65)))</f>
        <v/>
      </c>
      <c r="P65" s="1033" t="str">
        <f>IF($C65&lt;1,"",(AVERAGEIFS('09월 화학성분'!M$12:M$950,'09월 화학성분'!$B$12:$B$950,$A65,'09월 화학성분'!$D$12:$D$950,$B65)))</f>
        <v/>
      </c>
      <c r="Q65" s="1033" t="str">
        <f>IF($C65&lt;1,"",(AVERAGEIFS('09월 조업일지'!$AK$12:$AK$954,'09월 조업일지'!$B$12:$B$954,$A65,'09월 조업일지'!$E$12:$E$954,$B65)))</f>
        <v/>
      </c>
      <c r="R65" s="1033" t="str">
        <f>IF($C65&lt;1,"",(AVERAGEIFS('09월 화학성분'!$G$12:$G$950,'09월 화학성분'!$B$12:$B$950,$A65,'09월 화학성분'!$D$12:$D$950,$B65)))</f>
        <v/>
      </c>
      <c r="S65" s="1034" t="str">
        <f>IF($C65&lt;1,"",(AVERAGEIFS('09월 조업일지'!$AI$12:$AI$954,'09월 조업일지'!$B$12:$B$954,$A65,'09월 조업일지'!$E$12:$E$954,$B65)))</f>
        <v/>
      </c>
      <c r="T65" s="1035" t="str">
        <f>IF($C65&lt;1,"",(AVERAGEIFS('09월 화학성분'!$AM$12:$AM$949,'09월 화학성분'!$B$12:$B$949,$A65,'09월 화학성분'!$D$12:$D$949,$B65)))</f>
        <v/>
      </c>
      <c r="U65" s="1036" t="str">
        <f>IF($C65&lt;1,"",(AVERAGEIFS('09월 고철장입'!$AJ$14:$AJ$949,'09월 고철장입'!$B$14:$B$949,$A65,'09월 고철장입'!$C$14:$C$949,$B65))/1000)</f>
        <v/>
      </c>
      <c r="V65" s="1101" t="str">
        <f>IF($C65&lt;1,"",(AVERAGEIFS('09월 고철장입'!$AK$14:$AK$949,'09월 고철장입'!$B$14:$B$949,$A65,'09월 고철장입'!$C$14:$C$949,$B65)))</f>
        <v/>
      </c>
      <c r="W65" s="1037" t="str">
        <f t="shared" si="2"/>
        <v/>
      </c>
      <c r="X65" s="1038" t="str">
        <f>IF($C65&lt;1,"",(AVERAGEIFS('09월 에너지'!$O$14:$O$949,'09월 에너지'!$A$14:$A$949,$A65,'09월 에너지'!$C$14:$C$949,$B65)))</f>
        <v/>
      </c>
      <c r="Y65" s="1039" t="str">
        <f>IF($C65&lt;1,"",(AVERAGEIFS('09월 에너지'!$P$14:$P$949,'09월 에너지'!$A$14:$A$949,$A65,'09월 에너지'!$C$14:$C$949,$B65)))</f>
        <v/>
      </c>
      <c r="Z65" s="1039" t="str">
        <f>IF($C65&lt;1,"",(AVERAGEIFS('09월 에너지'!$Q$14:$Q$949,'09월 에너지'!$A$14:$A$949,$A65,'09월 에너지'!$C$14:$C$949,$B65)))</f>
        <v/>
      </c>
      <c r="AA65" s="1040" t="str">
        <f>IF($C65&lt;1,"",(AVERAGEIFS('09월 에너지'!$R$14:$R$949,'09월 에너지'!$B$14:$B$949,$A65,'09월 에너지'!$C$14:$C$949,$B65)))</f>
        <v/>
      </c>
      <c r="AB65" s="1041" t="str">
        <f>IF($C65&lt;1,"",(AVERAGEIFS('09월 에너지'!$X$14:$X$949,'09월 에너지'!$A$14:$A$949,$A65,'09월 에너지'!$C$14:$C$949,$B65)))</f>
        <v/>
      </c>
      <c r="AC65" s="1042" t="str">
        <f>IF($C65&lt;1,"",(AVERAGEIFS('09월 에너지'!$AC$14:$AC$949,'09월 에너지'!$A$14:$A$949,$A65,'09월 에너지'!$C$14:$C$949,$B65)))</f>
        <v/>
      </c>
      <c r="AD65" s="1043" t="str">
        <f>IF($C65&lt;1,"",(AVERAGEIFS('09월 에너지'!$AD$14:$AD$949,'09월 에너지'!$B$14:$B$949,$A65,'09월 에너지'!$C$14:$C$949,$B65)))</f>
        <v/>
      </c>
      <c r="AE65" s="1044" t="str">
        <f>IF($C65&lt;1,"",(AVERAGEIFS('09월 에너지'!$AE$14:$AE$949,'09월 에너지'!$B$14:$B$949,$A65,'09월 에너지'!$C$14:$C$949,$B65)))</f>
        <v/>
      </c>
      <c r="AF65" s="1045" t="str">
        <f>IF($C65&lt;1,"",(AVERAGEIFS('09월 에너지'!$AI$14:$AI$949,'09월 에너지'!$B$14:$B$949,$A65,'09월 에너지'!$C$14:$C$949,$B65)))</f>
        <v/>
      </c>
      <c r="AG65" s="1046" t="str">
        <f>IF($C65&lt;1,"",(AVERAGEIFS('09월 에너지'!$AJ$14:$AJ$949,'09월 에너지'!$B$14:$B$949,$A65,'09월 에너지'!$C$14:$C$949,$B65)))</f>
        <v/>
      </c>
    </row>
    <row r="66" spans="1:33" ht="16.5" customHeight="1" thickTop="1" thickBot="1">
      <c r="A66" s="1632"/>
      <c r="B66" s="781" t="s">
        <v>100</v>
      </c>
      <c r="C66" s="782">
        <f>COUNTIFS('09월 조업일지'!$B$12:$B$952,A65,'09월 조업일지'!$E$12:$E$952,B66)</f>
        <v>9</v>
      </c>
      <c r="D66" s="1047">
        <f t="shared" si="3"/>
        <v>46.444444444444457</v>
      </c>
      <c r="E66" s="1048">
        <f>IF($C66&lt;1,"",(SUMIFS('09월 조업일지'!$K$12:$K$954,'09월 조업일지'!$B$12:$B$954,$A65,'09월 조업일지'!$E$12:$E$954,$B66)/$C66))</f>
        <v>10.333333333333334</v>
      </c>
      <c r="F66" s="1049">
        <f>IF($C66&lt;1,"",(AVERAGEIFS('09월 조업일지'!$J$12:$J$954,'09월 조업일지'!$B$12:$B$954,$A65,'09월 조업일지'!$E$12:$E$954,$B66)))</f>
        <v>56.777777777777793</v>
      </c>
      <c r="G66" s="1050">
        <f>IF($C66&lt;1,"",(AVERAGEIFS('09월 에너지'!$M$14:$M$950,'09월 에너지'!$B$14:$B$950,$A65,'09월 에너지'!$C$14:$C$950,$B66)))</f>
        <v>48.68888888888889</v>
      </c>
      <c r="H66" s="1051">
        <f>IF($C66&lt;1,"",(AVERAGEIFS('09월 조업일지'!$AJ$12:$AJ$954,'09월 조업일지'!$B$12:$B$954,$A65,'09월 조업일지'!$E$12:$E$954,$B66)))</f>
        <v>52</v>
      </c>
      <c r="I66" s="1052">
        <f>IF($C66&lt;1,"",(AVERAGEIFS('09월 조업일지'!$AL$12:$AL$954,'09월 조업일지'!$B$12:$B$954,$A65,'09월 조업일지'!$E$12:$E$954,$B66)))</f>
        <v>9.2222222222222214</v>
      </c>
      <c r="J66" s="1053">
        <f>IF($C66&lt;1,"",(AVERAGEIFS('09월 화학성분'!G$12:G$950,'09월 화학성분'!$B$12:$B$950,$A65,'09월 화학성분'!$D$12:$D$950,$B66)))</f>
        <v>8.5555555555555554</v>
      </c>
      <c r="K66" s="1054">
        <f>IF($C66&lt;1,"",(AVERAGEIFS('09월 화학성분'!H$12:H$950,'09월 화학성분'!$B$12:$B$950,$A65,'09월 화학성분'!$D$12:$D$950,$B66)))</f>
        <v>19.555555555555557</v>
      </c>
      <c r="L66" s="1054">
        <f>IF($C66&lt;1,"",(AVERAGEIFS('09월 화학성분'!I$12:I$950,'09월 화학성분'!$B$12:$B$950,$A65,'09월 화학성분'!$D$12:$D$950,$B66)))</f>
        <v>61.333333333333336</v>
      </c>
      <c r="M66" s="1054">
        <f>IF($C66&lt;1,"",(AVERAGEIFS('09월 화학성분'!J$12:J$950,'09월 화학성분'!$B$12:$B$950,$A65,'09월 화학성분'!$D$12:$D$950,$B66)))</f>
        <v>15.777777777777779</v>
      </c>
      <c r="N66" s="1054">
        <f>IF($C66&lt;1,"",(AVERAGEIFS('09월 화학성분'!K$12:K$950,'09월 화학성분'!$B$12:$B$950,$A65,'09월 화학성분'!$D$12:$D$950,$B66)))</f>
        <v>34.555555555555557</v>
      </c>
      <c r="O66" s="1054">
        <f>IF($C66&lt;1,"",(AVERAGEIFS('09월 화학성분'!L$12:L$950,'09월 화학성분'!$B$12:$B$950,$A65,'09월 화학성분'!$D$12:$D$950,$B66)))</f>
        <v>12.555555555555555</v>
      </c>
      <c r="P66" s="1054">
        <f>IF($C66&lt;1,"",(AVERAGEIFS('09월 화학성분'!M$12:M$950,'09월 화학성분'!$B$12:$B$950,$A65,'09월 화학성분'!$D$12:$D$950,$B66)))</f>
        <v>11.222222222222221</v>
      </c>
      <c r="Q66" s="1054">
        <f>IF($C66&lt;1,"",(AVERAGEIFS('09월 조업일지'!$AK$12:$AK$954,'09월 조업일지'!$B$12:$B$954,$A65,'09월 조업일지'!$E$12:$E$954,$B66)))</f>
        <v>579.88888888888891</v>
      </c>
      <c r="R66" s="1054">
        <f>IF($C66&lt;1,"",(AVERAGEIFS('09월 화학성분'!$G$12:$G$950,'09월 화학성분'!$B$12:$B$950,$A65,'09월 화학성분'!$D$12:$D$950,$B66)))</f>
        <v>8.5555555555555554</v>
      </c>
      <c r="S66" s="1055">
        <f>IF($C66&lt;1,"",(AVERAGEIFS('09월 조업일지'!$AI$12:$AI$954,'09월 조업일지'!$B$12:$B$954,$A65,'09월 조업일지'!$E$12:$E$954,$B66)))</f>
        <v>1569.4444444444443</v>
      </c>
      <c r="T66" s="1056">
        <f>IF($C66&lt;1,"",(AVERAGEIFS('09월 화학성분'!$AM$12:$AM$949,'09월 화학성분'!$B$12:$B$949,$A65,'09월 화학성분'!$D$12:$D$949,$B66)))</f>
        <v>2537.6666666666665</v>
      </c>
      <c r="U66" s="1057">
        <f>IF($C66&lt;1,"",(AVERAGEIFS('09월 고철장입'!$AJ$14:$AJ$949,'09월 고철장입'!$B$14:$B$949,$A65,'09월 고철장입'!$C$14:$C$949,$B66))/1000)</f>
        <v>158.01111111111112</v>
      </c>
      <c r="V66" s="1102">
        <f>IF($C66&lt;1,"",(AVERAGEIFS('09월 고철장입'!$AK$14:$AK$949,'09월 고철장입'!$B$14:$B$949,$A65,'09월 고철장입'!$C$14:$C$949,$B66)))</f>
        <v>142.97777777777776</v>
      </c>
      <c r="W66" s="1058">
        <f t="shared" si="2"/>
        <v>90.485901132128518</v>
      </c>
      <c r="X66" s="1059">
        <f>IF($C66&lt;1,"",(AVERAGEIFS('09월 에너지'!$O$14:$O$949,'09월 에너지'!$A$14:$A$949,$A65,'09월 에너지'!$C$14:$C$949,$B66)))</f>
        <v>165.98480819928872</v>
      </c>
      <c r="Y66" s="1060">
        <f>IF($C66&lt;1,"",(AVERAGEIFS('09월 에너지'!$P$14:$P$949,'09월 에너지'!$A$14:$A$949,$A65,'09월 에너지'!$C$14:$C$949,$B66)))</f>
        <v>143.70120376894704</v>
      </c>
      <c r="Z66" s="1060">
        <f>IF($C66&lt;1,"",(AVERAGEIFS('09월 에너지'!$Q$14:$Q$949,'09월 에너지'!$A$14:$A$949,$A65,'09월 에너지'!$C$14:$C$949,$B66)))</f>
        <v>104.2279673003211</v>
      </c>
      <c r="AA66" s="1061">
        <f>IF($C66&lt;1,"",(AVERAGEIFS('09월 에너지'!$R$14:$R$949,'09월 에너지'!$B$14:$B$949,$A65,'09월 에너지'!$C$14:$C$949,$B66)))</f>
        <v>413.91397926855683</v>
      </c>
      <c r="AB66" s="1062">
        <f>IF($C66&lt;1,"",(AVERAGEIFS('09월 에너지'!$X$14:$X$949,'09월 에너지'!$A$14:$A$949,$A65,'09월 에너지'!$C$14:$C$949,$B66)))</f>
        <v>2.4695207369760821</v>
      </c>
      <c r="AC66" s="1063">
        <f>IF($C66&lt;1,"",(AVERAGEIFS('09월 에너지'!$AC$14:$AC$949,'09월 에너지'!$A$14:$A$949,$A65,'09월 에너지'!$C$14:$C$949,$B66)))</f>
        <v>28.097600067637245</v>
      </c>
      <c r="AD66" s="1064">
        <f>IF($C66&lt;1,"",(AVERAGEIFS('09월 에너지'!$AD$14:$AD$949,'09월 에너지'!$B$14:$B$949,$A65,'09월 에너지'!$C$14:$C$949,$B66)))</f>
        <v>4367</v>
      </c>
      <c r="AE66" s="1065">
        <f>IF($C66&lt;1,"",(AVERAGEIFS('09월 에너지'!$AE$14:$AE$949,'09월 에너지'!$B$14:$B$949,$A65,'09월 에너지'!$C$14:$C$949,$B66)))</f>
        <v>30.567120804613328</v>
      </c>
      <c r="AF66" s="1066">
        <f>IF($C66&lt;1,"",(AVERAGEIFS('09월 에너지'!$AI$14:$AI$949,'09월 에너지'!$B$14:$B$949,$A65,'09월 에너지'!$C$14:$C$949,$B66)))</f>
        <v>147.44444444444446</v>
      </c>
      <c r="AG66" s="1067">
        <f>IF($C66&lt;1,"",(AVERAGEIFS('09월 에너지'!$AJ$14:$AJ$949,'09월 에너지'!$B$14:$B$949,$A65,'09월 에너지'!$C$14:$C$949,$B66)))</f>
        <v>1.0318923986625743</v>
      </c>
    </row>
    <row r="67" spans="1:33" ht="16.5" customHeight="1" thickTop="1" thickBot="1">
      <c r="A67" s="1632"/>
      <c r="B67" s="781" t="s">
        <v>93</v>
      </c>
      <c r="C67" s="782">
        <f>COUNTIFS('09월 조업일지'!$B$12:$B$952,A65,'09월 조업일지'!$E$12:$E$952,B67)</f>
        <v>10</v>
      </c>
      <c r="D67" s="1047">
        <f t="shared" si="3"/>
        <v>48.399999999999977</v>
      </c>
      <c r="E67" s="1048">
        <f>IF($C67&lt;1,"",(SUMIFS('09월 조업일지'!$K$12:$K$954,'09월 조업일지'!$B$12:$B$954,$A65,'09월 조업일지'!$E$12:$E$954,$B67)/$C67))</f>
        <v>0.2</v>
      </c>
      <c r="F67" s="1049">
        <f>IF($C67&lt;1,"",(AVERAGEIFS('09월 조업일지'!$J$12:$J$954,'09월 조업일지'!$B$12:$B$954,$A65,'09월 조업일지'!$E$12:$E$954,$B67)))</f>
        <v>48.59999999999998</v>
      </c>
      <c r="G67" s="1050">
        <f>IF($C67&lt;1,"",(AVERAGEIFS('09월 에너지'!$M$14:$M$950,'09월 에너지'!$B$14:$B$950,$A65,'09월 에너지'!$C$14:$C$950,$B67)))</f>
        <v>46.09</v>
      </c>
      <c r="H67" s="1051">
        <f>IF($C67&lt;1,"",(AVERAGEIFS('09월 조업일지'!$AJ$12:$AJ$954,'09월 조업일지'!$B$12:$B$954,$A65,'09월 조업일지'!$E$12:$E$954,$B67)))</f>
        <v>26.6</v>
      </c>
      <c r="I67" s="1052">
        <f>IF($C67&lt;1,"",(AVERAGEIFS('09월 조업일지'!$AL$12:$AL$954,'09월 조업일지'!$B$12:$B$954,$A65,'09월 조업일지'!$E$12:$E$954,$B67)))</f>
        <v>9.4</v>
      </c>
      <c r="J67" s="1053">
        <f>IF($C67&lt;1,"",(AVERAGEIFS('09월 화학성분'!G$12:G$950,'09월 화학성분'!$B$12:$B$950,$A65,'09월 화학성분'!$D$12:$D$950,$B67)))</f>
        <v>9.5</v>
      </c>
      <c r="K67" s="1054">
        <f>IF($C67&lt;1,"",(AVERAGEIFS('09월 화학성분'!H$12:H$950,'09월 화학성분'!$B$12:$B$950,$A65,'09월 화학성분'!$D$12:$D$950,$B67)))</f>
        <v>20</v>
      </c>
      <c r="L67" s="1054">
        <f>IF($C67&lt;1,"",(AVERAGEIFS('09월 화학성분'!I$12:I$950,'09월 화학성분'!$B$12:$B$950,$A65,'09월 화학성분'!$D$12:$D$950,$B67)))</f>
        <v>54.8</v>
      </c>
      <c r="M67" s="1054">
        <f>IF($C67&lt;1,"",(AVERAGEIFS('09월 화학성분'!J$12:J$950,'09월 화학성분'!$B$12:$B$950,$A65,'09월 화학성분'!$D$12:$D$950,$B67)))</f>
        <v>18.3</v>
      </c>
      <c r="N67" s="1054">
        <f>IF($C67&lt;1,"",(AVERAGEIFS('09월 화학성분'!K$12:K$950,'09월 화학성분'!$B$12:$B$950,$A65,'09월 화학성분'!$D$12:$D$950,$B67)))</f>
        <v>35.799999999999997</v>
      </c>
      <c r="O67" s="1054">
        <f>IF($C67&lt;1,"",(AVERAGEIFS('09월 화학성분'!L$12:L$950,'09월 화학성분'!$B$12:$B$950,$A65,'09월 화학성분'!$D$12:$D$950,$B67)))</f>
        <v>15.5</v>
      </c>
      <c r="P67" s="1054">
        <f>IF($C67&lt;1,"",(AVERAGEIFS('09월 화학성분'!M$12:M$950,'09월 화학성분'!$B$12:$B$950,$A65,'09월 화학성분'!$D$12:$D$950,$B67)))</f>
        <v>11.5</v>
      </c>
      <c r="Q67" s="1054">
        <f>IF($C67&lt;1,"",(AVERAGEIFS('09월 조업일지'!$AK$12:$AK$954,'09월 조업일지'!$B$12:$B$954,$A65,'09월 조업일지'!$E$12:$E$954,$B67)))</f>
        <v>497</v>
      </c>
      <c r="R67" s="1054">
        <f>IF($C67&lt;1,"",(AVERAGEIFS('09월 화학성분'!$G$12:$G$950,'09월 화학성분'!$B$12:$B$950,$A65,'09월 화학성분'!$D$12:$D$950,$B67)))</f>
        <v>9.5</v>
      </c>
      <c r="S67" s="1055">
        <f>IF($C67&lt;1,"",(AVERAGEIFS('09월 조업일지'!$AI$12:$AI$954,'09월 조업일지'!$B$12:$B$954,$A65,'09월 조업일지'!$E$12:$E$954,$B67)))</f>
        <v>1569.7</v>
      </c>
      <c r="T67" s="1056">
        <f>IF($C67&lt;1,"",(AVERAGEIFS('09월 화학성분'!$AM$12:$AM$949,'09월 화학성분'!$B$12:$B$949,$A65,'09월 화학성분'!$D$12:$D$949,$B67)))</f>
        <v>1872.7</v>
      </c>
      <c r="U67" s="1057">
        <f>IF($C67&lt;1,"",(AVERAGEIFS('09월 고철장입'!$AJ$14:$AJ$949,'09월 고철장입'!$B$14:$B$949,$A65,'09월 고철장입'!$C$14:$C$949,$B67))/1000)</f>
        <v>158.84</v>
      </c>
      <c r="V67" s="1102">
        <f>IF($C67&lt;1,"",(AVERAGEIFS('09월 고철장입'!$AK$14:$AK$949,'09월 고철장입'!$B$14:$B$949,$A65,'09월 고철장입'!$C$14:$C$949,$B67)))</f>
        <v>143.28000000000003</v>
      </c>
      <c r="W67" s="1058">
        <f t="shared" si="2"/>
        <v>90.203978846638151</v>
      </c>
      <c r="X67" s="1059">
        <f>IF($C67&lt;1,"",(AVERAGEIFS('09월 에너지'!$O$14:$O$949,'09월 에너지'!$A$14:$A$949,$A65,'09월 에너지'!$C$14:$C$949,$B67)))</f>
        <v>164.03189107722861</v>
      </c>
      <c r="Y67" s="1060">
        <f>IF($C67&lt;1,"",(AVERAGEIFS('09월 에너지'!$P$14:$P$949,'09월 에너지'!$A$14:$A$949,$A65,'09월 에너지'!$C$14:$C$949,$B67)))</f>
        <v>142.84900369048771</v>
      </c>
      <c r="Z67" s="1060">
        <f>IF($C67&lt;1,"",(AVERAGEIFS('09월 에너지'!$Q$14:$Q$949,'09월 에너지'!$A$14:$A$949,$A65,'09월 에너지'!$C$14:$C$949,$B67)))</f>
        <v>90.614485903141841</v>
      </c>
      <c r="AA67" s="1061">
        <f>IF($C67&lt;1,"",(AVERAGEIFS('09월 에너지'!$R$14:$R$949,'09월 에너지'!$B$14:$B$949,$A65,'09월 에너지'!$C$14:$C$949,$B67)))</f>
        <v>391.6344376144076</v>
      </c>
      <c r="AB67" s="1062">
        <f>IF($C67&lt;1,"",(AVERAGEIFS('09월 에너지'!$X$14:$X$949,'09월 에너지'!$A$14:$A$949,$A65,'09월 에너지'!$C$14:$C$949,$B67)))</f>
        <v>3.0544612785040322</v>
      </c>
      <c r="AC67" s="1063">
        <f>IF($C67&lt;1,"",(AVERAGEIFS('09월 에너지'!$AC$14:$AC$949,'09월 에너지'!$A$14:$A$949,$A65,'09월 에너지'!$C$14:$C$949,$B67)))</f>
        <v>29.890372841770684</v>
      </c>
      <c r="AD67" s="1064">
        <f>IF($C67&lt;1,"",(AVERAGEIFS('09월 에너지'!$AD$14:$AD$949,'09월 에너지'!$B$14:$B$949,$A65,'09월 에너지'!$C$14:$C$949,$B67)))</f>
        <v>4558.6000000000004</v>
      </c>
      <c r="AE67" s="1065">
        <f>IF($C67&lt;1,"",(AVERAGEIFS('09월 에너지'!$AE$14:$AE$949,'09월 에너지'!$B$14:$B$949,$A65,'09월 에너지'!$C$14:$C$949,$B67)))</f>
        <v>31.824223762508502</v>
      </c>
      <c r="AF67" s="1066">
        <f>IF($C67&lt;1,"",(AVERAGEIFS('09월 에너지'!$AI$14:$AI$949,'09월 에너지'!$B$14:$B$949,$A65,'09월 에너지'!$C$14:$C$949,$B67)))</f>
        <v>160.6</v>
      </c>
      <c r="AG67" s="1067">
        <f>IF($C67&lt;1,"",(AVERAGEIFS('09월 에너지'!$AJ$14:$AJ$949,'09월 에너지'!$B$14:$B$949,$A65,'09월 에너지'!$C$14:$C$949,$B67)))</f>
        <v>1.1209448247874545</v>
      </c>
    </row>
    <row r="68" spans="1:33" ht="16.5" customHeight="1" thickTop="1" thickBot="1">
      <c r="A68" s="1632"/>
      <c r="B68" s="783" t="s">
        <v>94</v>
      </c>
      <c r="C68" s="784">
        <f>COUNTIFS('09월 조업일지'!$B$12:$B$952,A65,'09월 조업일지'!$E$12:$E$952,B68)</f>
        <v>7</v>
      </c>
      <c r="D68" s="1068">
        <f t="shared" si="3"/>
        <v>48</v>
      </c>
      <c r="E68" s="1069">
        <f>IF($C68&lt;1,"",(SUMIFS('09월 조업일지'!$K$12:$K$954,'09월 조업일지'!$B$12:$B$954,$A65,'09월 조업일지'!$E$12:$E$954,$B68)/$C68))</f>
        <v>21.571428571428573</v>
      </c>
      <c r="F68" s="1070">
        <f>IF($C68&lt;1,"",(AVERAGEIFS('09월 조업일지'!$J$12:$J$954,'09월 조업일지'!$B$12:$B$954,$A65,'09월 조업일지'!$E$12:$E$954,$B68)))</f>
        <v>69.571428571428569</v>
      </c>
      <c r="G68" s="1071">
        <f>IF($C68&lt;1,"",(AVERAGEIFS('09월 에너지'!$M$14:$M$950,'09월 에너지'!$B$14:$B$950,$A65,'09월 에너지'!$C$14:$C$950,$B68)))</f>
        <v>46.442857142857143</v>
      </c>
      <c r="H68" s="1072">
        <f>IF($C68&lt;1,"",(AVERAGEIFS('09월 조업일지'!$AJ$12:$AJ$954,'09월 조업일지'!$B$12:$B$954,$A65,'09월 조업일지'!$E$12:$E$954,$B68)))</f>
        <v>0</v>
      </c>
      <c r="I68" s="1073">
        <f>IF($C68&lt;1,"",(AVERAGEIFS('09월 조업일지'!$AL$12:$AL$954,'09월 조업일지'!$B$12:$B$954,$A65,'09월 조업일지'!$E$12:$E$954,$B68)))</f>
        <v>6</v>
      </c>
      <c r="J68" s="1074">
        <f>IF($C68&lt;1,"",(AVERAGEIFS('09월 화학성분'!G$12:G$950,'09월 화학성분'!$B$12:$B$950,$A65,'09월 화학성분'!$D$12:$D$950,$B68)))</f>
        <v>9.2857142857142865</v>
      </c>
      <c r="K68" s="1075">
        <f>IF($C68&lt;1,"",(AVERAGEIFS('09월 화학성분'!H$12:H$950,'09월 화학성분'!$B$12:$B$950,$A65,'09월 화학성분'!$D$12:$D$950,$B68)))</f>
        <v>21.428571428571427</v>
      </c>
      <c r="L68" s="1075">
        <f>IF($C68&lt;1,"",(AVERAGEIFS('09월 화학성분'!I$12:I$950,'09월 화학성분'!$B$12:$B$950,$A65,'09월 화학성분'!$D$12:$D$950,$B68)))</f>
        <v>68.142857142857139</v>
      </c>
      <c r="M68" s="1075">
        <f>IF($C68&lt;1,"",(AVERAGEIFS('09월 화학성분'!J$12:J$950,'09월 화학성분'!$B$12:$B$950,$A65,'09월 화학성분'!$D$12:$D$950,$B68)))</f>
        <v>12</v>
      </c>
      <c r="N68" s="1075">
        <f>IF($C68&lt;1,"",(AVERAGEIFS('09월 화학성분'!K$12:K$950,'09월 화학성분'!$B$12:$B$950,$A65,'09월 화학성분'!$D$12:$D$950,$B68)))</f>
        <v>30.285714285714285</v>
      </c>
      <c r="O68" s="1075">
        <f>IF($C68&lt;1,"",(AVERAGEIFS('09월 화학성분'!L$12:L$950,'09월 화학성분'!$B$12:$B$950,$A65,'09월 화학성분'!$D$12:$D$950,$B68)))</f>
        <v>12.571428571428571</v>
      </c>
      <c r="P68" s="1075">
        <f>IF($C68&lt;1,"",(AVERAGEIFS('09월 화학성분'!M$12:M$950,'09월 화학성분'!$B$12:$B$950,$A65,'09월 화학성분'!$D$12:$D$950,$B68)))</f>
        <v>10</v>
      </c>
      <c r="Q68" s="1075">
        <f>IF($C68&lt;1,"",(AVERAGEIFS('09월 조업일지'!$AK$12:$AK$954,'09월 조업일지'!$B$12:$B$954,$A65,'09월 조업일지'!$E$12:$E$954,$B68)))</f>
        <v>686.66666666666663</v>
      </c>
      <c r="R68" s="1075">
        <f>IF($C68&lt;1,"",(AVERAGEIFS('09월 화학성분'!$G$12:$G$950,'09월 화학성분'!$B$12:$B$950,$A65,'09월 화학성분'!$D$12:$D$950,$B68)))</f>
        <v>9.2857142857142865</v>
      </c>
      <c r="S68" s="1076">
        <f>IF($C68&lt;1,"",(AVERAGEIFS('09월 조업일지'!$AI$12:$AI$954,'09월 조업일지'!$B$12:$B$954,$A65,'09월 조업일지'!$E$12:$E$954,$B68)))</f>
        <v>1551.1428571428571</v>
      </c>
      <c r="T68" s="1077">
        <f>IF($C68&lt;1,"",(AVERAGEIFS('09월 화학성분'!$AM$12:$AM$949,'09월 화학성분'!$B$12:$B$949,$A65,'09월 화학성분'!$D$12:$D$949,$B68)))</f>
        <v>1384.1428571428571</v>
      </c>
      <c r="U68" s="1078">
        <f>IF($C68&lt;1,"",(AVERAGEIFS('09월 고철장입'!$AJ$14:$AJ$949,'09월 고철장입'!$B$14:$B$949,$A65,'09월 고철장입'!$C$14:$C$949,$B68))/1000)</f>
        <v>158.386</v>
      </c>
      <c r="V68" s="1103">
        <f>IF($C68&lt;1,"",(AVERAGEIFS('09월 고철장입'!$AK$14:$AK$949,'09월 고철장입'!$B$14:$B$949,$A65,'09월 고철장입'!$C$14:$C$949,$B68)))</f>
        <v>144.85714285714283</v>
      </c>
      <c r="W68" s="1079">
        <f t="shared" si="2"/>
        <v>91.458299885812409</v>
      </c>
      <c r="X68" s="1080">
        <f>IF($C68&lt;1,"",(AVERAGEIFS('09월 에너지'!$O$14:$O$949,'09월 에너지'!$A$14:$A$949,$A65,'09월 에너지'!$C$14:$C$949,$B68)))</f>
        <v>159.89739340033802</v>
      </c>
      <c r="Y68" s="1081">
        <f>IF($C68&lt;1,"",(AVERAGEIFS('09월 에너지'!$P$14:$P$949,'09월 에너지'!$A$14:$A$949,$A65,'09월 에너지'!$C$14:$C$949,$B68)))</f>
        <v>142.03221269714354</v>
      </c>
      <c r="Z68" s="1081">
        <f>IF($C68&lt;1,"",(AVERAGEIFS('09월 에너지'!$Q$14:$Q$949,'09월 에너지'!$A$14:$A$949,$A65,'09월 에너지'!$C$14:$C$949,$B68)))</f>
        <v>92.120798179840676</v>
      </c>
      <c r="AA68" s="1082">
        <f>IF($C68&lt;1,"",(AVERAGEIFS('09월 에너지'!$R$14:$R$949,'09월 에너지'!$B$14:$B$949,$A65,'09월 에너지'!$C$14:$C$949,$B68)))</f>
        <v>394.05040427732223</v>
      </c>
      <c r="AB68" s="1083">
        <f>IF($C68&lt;1,"",(AVERAGEIFS('09월 에너지'!$X$14:$X$949,'09월 에너지'!$A$14:$A$949,$A65,'09월 에너지'!$C$14:$C$949,$B68)))</f>
        <v>2.399699019338644</v>
      </c>
      <c r="AC68" s="1084">
        <f>IF($C68&lt;1,"",(AVERAGEIFS('09월 에너지'!$AC$14:$AC$949,'09월 에너지'!$A$14:$A$949,$A65,'09월 에너지'!$C$14:$C$949,$B68)))</f>
        <v>25.555224608995243</v>
      </c>
      <c r="AD68" s="1085">
        <f>IF($C68&lt;1,"",(AVERAGEIFS('09월 에너지'!$AD$14:$AD$949,'09월 에너지'!$B$14:$B$949,$A65,'09월 에너지'!$C$14:$C$949,$B68)))</f>
        <v>4051.2857142857142</v>
      </c>
      <c r="AE68" s="1086">
        <f>IF($C68&lt;1,"",(AVERAGEIFS('09월 에너지'!$AE$14:$AE$949,'09월 에너지'!$B$14:$B$949,$A65,'09월 에너지'!$C$14:$C$949,$B68)))</f>
        <v>27.954923628333891</v>
      </c>
      <c r="AF68" s="1087">
        <f>IF($C68&lt;1,"",(AVERAGEIFS('09월 에너지'!$AI$14:$AI$949,'09월 에너지'!$B$14:$B$949,$A65,'09월 에너지'!$C$14:$C$949,$B68)))</f>
        <v>137.85714285714286</v>
      </c>
      <c r="AG68" s="1088">
        <f>IF($C68&lt;1,"",(AVERAGEIFS('09월 에너지'!$AJ$14:$AJ$949,'09월 에너지'!$B$14:$B$949,$A65,'09월 에너지'!$C$14:$C$949,$B68)))</f>
        <v>0.95172453806225155</v>
      </c>
    </row>
    <row r="69" spans="1:33" ht="16.5" customHeight="1" thickTop="1" thickBot="1">
      <c r="A69" s="1632">
        <f t="shared" ref="A69" si="18">A65+1</f>
        <v>46282</v>
      </c>
      <c r="B69" s="775" t="s">
        <v>128</v>
      </c>
      <c r="C69" s="776">
        <f>COUNTIFS('09월 조업일지'!$B$12:$B$952,A69,'09월 조업일지'!$E$12:$E$952,B69)</f>
        <v>0</v>
      </c>
      <c r="D69" s="1026" t="str">
        <f t="shared" si="3"/>
        <v/>
      </c>
      <c r="E69" s="1027" t="str">
        <f>IF($C69&lt;1,"",(SUMIFS('09월 조업일지'!$K$12:$K$954,'09월 조업일지'!$B$12:$B$954,$A69,'09월 조업일지'!$E$12:$E$954,$B69)/$C69))</f>
        <v/>
      </c>
      <c r="F69" s="1028" t="str">
        <f>IF($C69&lt;1,"",(AVERAGEIFS('09월 조업일지'!$J$12:$J$954,'09월 조업일지'!$B$12:$B$954,$A69,'09월 조업일지'!$E$12:$E$954,$B69)))</f>
        <v/>
      </c>
      <c r="G69" s="1029" t="str">
        <f>IF($C69&lt;1,"",(AVERAGEIFS('09월 에너지'!$M$14:$M$950,'09월 에너지'!$B$14:$B$950,$A69,'09월 에너지'!$C$14:$C$950,$B69)))</f>
        <v/>
      </c>
      <c r="H69" s="1030" t="str">
        <f>IF($C69&lt;1,"",(AVERAGEIFS('09월 조업일지'!$AJ$12:$AJ$954,'09월 조업일지'!$B$12:$B$954,$A69,'09월 조업일지'!$E$12:$E$954,$B69)))</f>
        <v/>
      </c>
      <c r="I69" s="1031" t="str">
        <f>IF($C69&lt;1,"",(AVERAGEIFS('09월 조업일지'!$AL$12:$AL$954,'09월 조업일지'!$B$12:$B$954,$A69,'09월 조업일지'!$E$12:$E$954,$B69)))</f>
        <v/>
      </c>
      <c r="J69" s="1032" t="str">
        <f>IF($C69&lt;1,"",(AVERAGEIFS('09월 화학성분'!G$12:G$950,'09월 화학성분'!$B$12:$B$950,$A69,'09월 화학성분'!$D$12:$D$950,$B69)))</f>
        <v/>
      </c>
      <c r="K69" s="1033" t="str">
        <f>IF($C69&lt;1,"",(AVERAGEIFS('09월 화학성분'!H$12:H$950,'09월 화학성분'!$B$12:$B$950,$A69,'09월 화학성분'!$D$12:$D$950,$B69)))</f>
        <v/>
      </c>
      <c r="L69" s="1033" t="str">
        <f>IF($C69&lt;1,"",(AVERAGEIFS('09월 화학성분'!I$12:I$950,'09월 화학성분'!$B$12:$B$950,$A69,'09월 화학성분'!$D$12:$D$950,$B69)))</f>
        <v/>
      </c>
      <c r="M69" s="1033" t="str">
        <f>IF($C69&lt;1,"",(AVERAGEIFS('09월 화학성분'!J$12:J$950,'09월 화학성분'!$B$12:$B$950,$A69,'09월 화학성분'!$D$12:$D$950,$B69)))</f>
        <v/>
      </c>
      <c r="N69" s="1033" t="str">
        <f>IF($C69&lt;1,"",(AVERAGEIFS('09월 화학성분'!K$12:K$950,'09월 화학성분'!$B$12:$B$950,$A69,'09월 화학성분'!$D$12:$D$950,$B69)))</f>
        <v/>
      </c>
      <c r="O69" s="1033" t="str">
        <f>IF($C69&lt;1,"",(AVERAGEIFS('09월 화학성분'!L$12:L$950,'09월 화학성분'!$B$12:$B$950,$A69,'09월 화학성분'!$D$12:$D$950,$B69)))</f>
        <v/>
      </c>
      <c r="P69" s="1033" t="str">
        <f>IF($C69&lt;1,"",(AVERAGEIFS('09월 화학성분'!M$12:M$950,'09월 화학성분'!$B$12:$B$950,$A69,'09월 화학성분'!$D$12:$D$950,$B69)))</f>
        <v/>
      </c>
      <c r="Q69" s="1033" t="str">
        <f>IF($C69&lt;1,"",(AVERAGEIFS('09월 조업일지'!$AK$12:$AK$954,'09월 조업일지'!$B$12:$B$954,$A69,'09월 조업일지'!$E$12:$E$954,$B69)))</f>
        <v/>
      </c>
      <c r="R69" s="1033" t="str">
        <f>IF($C69&lt;1,"",(AVERAGEIFS('09월 화학성분'!$G$12:$G$950,'09월 화학성분'!$B$12:$B$950,$A69,'09월 화학성분'!$D$12:$D$950,$B69)))</f>
        <v/>
      </c>
      <c r="S69" s="1034" t="str">
        <f>IF($C69&lt;1,"",(AVERAGEIFS('09월 조업일지'!$AI$12:$AI$954,'09월 조업일지'!$B$12:$B$954,$A69,'09월 조업일지'!$E$12:$E$954,$B69)))</f>
        <v/>
      </c>
      <c r="T69" s="1035" t="str">
        <f>IF($C69&lt;1,"",(AVERAGEIFS('09월 화학성분'!$AM$12:$AM$949,'09월 화학성분'!$B$12:$B$949,$A69,'09월 화학성분'!$D$12:$D$949,$B69)))</f>
        <v/>
      </c>
      <c r="U69" s="1036" t="str">
        <f>IF($C69&lt;1,"",(AVERAGEIFS('09월 고철장입'!$AJ$14:$AJ$949,'09월 고철장입'!$B$14:$B$949,$A69,'09월 고철장입'!$C$14:$C$949,$B69))/1000)</f>
        <v/>
      </c>
      <c r="V69" s="1101" t="str">
        <f>IF($C69&lt;1,"",(AVERAGEIFS('09월 고철장입'!$AK$14:$AK$949,'09월 고철장입'!$B$14:$B$949,$A69,'09월 고철장입'!$C$14:$C$949,$B69)))</f>
        <v/>
      </c>
      <c r="W69" s="1037" t="str">
        <f t="shared" si="2"/>
        <v/>
      </c>
      <c r="X69" s="1038" t="str">
        <f>IF($C69&lt;1,"",(AVERAGEIFS('09월 에너지'!$O$14:$O$949,'09월 에너지'!$A$14:$A$949,$A69,'09월 에너지'!$C$14:$C$949,$B69)))</f>
        <v/>
      </c>
      <c r="Y69" s="1039" t="str">
        <f>IF($C69&lt;1,"",(AVERAGEIFS('09월 에너지'!$P$14:$P$949,'09월 에너지'!$A$14:$A$949,$A69,'09월 에너지'!$C$14:$C$949,$B69)))</f>
        <v/>
      </c>
      <c r="Z69" s="1039" t="str">
        <f>IF($C69&lt;1,"",(AVERAGEIFS('09월 에너지'!$Q$14:$Q$949,'09월 에너지'!$A$14:$A$949,$A69,'09월 에너지'!$C$14:$C$949,$B69)))</f>
        <v/>
      </c>
      <c r="AA69" s="1040" t="str">
        <f>IF($C69&lt;1,"",(AVERAGEIFS('09월 에너지'!$R$14:$R$949,'09월 에너지'!$B$14:$B$949,$A69,'09월 에너지'!$C$14:$C$949,$B69)))</f>
        <v/>
      </c>
      <c r="AB69" s="1041" t="str">
        <f>IF($C69&lt;1,"",(AVERAGEIFS('09월 에너지'!$X$14:$X$949,'09월 에너지'!$A$14:$A$949,$A69,'09월 에너지'!$C$14:$C$949,$B69)))</f>
        <v/>
      </c>
      <c r="AC69" s="1042" t="str">
        <f>IF($C69&lt;1,"",(AVERAGEIFS('09월 에너지'!$AC$14:$AC$949,'09월 에너지'!$A$14:$A$949,$A69,'09월 에너지'!$C$14:$C$949,$B69)))</f>
        <v/>
      </c>
      <c r="AD69" s="1043" t="str">
        <f>IF($C69&lt;1,"",(AVERAGEIFS('09월 에너지'!$AD$14:$AD$949,'09월 에너지'!$B$14:$B$949,$A69,'09월 에너지'!$C$14:$C$949,$B69)))</f>
        <v/>
      </c>
      <c r="AE69" s="1044" t="str">
        <f>IF($C69&lt;1,"",(AVERAGEIFS('09월 에너지'!$AE$14:$AE$949,'09월 에너지'!$B$14:$B$949,$A69,'09월 에너지'!$C$14:$C$949,$B69)))</f>
        <v/>
      </c>
      <c r="AF69" s="1045" t="str">
        <f>IF($C69&lt;1,"",(AVERAGEIFS('09월 에너지'!$AI$14:$AI$949,'09월 에너지'!$B$14:$B$949,$A69,'09월 에너지'!$C$14:$C$949,$B69)))</f>
        <v/>
      </c>
      <c r="AG69" s="1046" t="str">
        <f>IF($C69&lt;1,"",(AVERAGEIFS('09월 에너지'!$AJ$14:$AJ$949,'09월 에너지'!$B$14:$B$949,$A69,'09월 에너지'!$C$14:$C$949,$B69)))</f>
        <v/>
      </c>
    </row>
    <row r="70" spans="1:33" ht="16.5" customHeight="1" thickTop="1" thickBot="1">
      <c r="A70" s="1632"/>
      <c r="B70" s="781" t="s">
        <v>100</v>
      </c>
      <c r="C70" s="782">
        <f>COUNTIFS('09월 조업일지'!$B$12:$B$952,A69,'09월 조업일지'!$E$12:$E$952,B70)</f>
        <v>9</v>
      </c>
      <c r="D70" s="1047">
        <f t="shared" si="3"/>
        <v>53.333333333333329</v>
      </c>
      <c r="E70" s="1048">
        <f>IF($C70&lt;1,"",(SUMIFS('09월 조업일지'!$K$12:$K$954,'09월 조업일지'!$B$12:$B$954,$A69,'09월 조업일지'!$E$12:$E$954,$B70)/$C70))</f>
        <v>0.22222222222222221</v>
      </c>
      <c r="F70" s="1049">
        <f>IF($C70&lt;1,"",(AVERAGEIFS('09월 조업일지'!$J$12:$J$954,'09월 조업일지'!$B$12:$B$954,$A69,'09월 조업일지'!$E$12:$E$954,$B70)))</f>
        <v>53.55555555555555</v>
      </c>
      <c r="G70" s="1050">
        <f>IF($C70&lt;1,"",(AVERAGEIFS('09월 에너지'!$M$14:$M$950,'09월 에너지'!$B$14:$B$950,$A69,'09월 에너지'!$C$14:$C$950,$B70)))</f>
        <v>46.599999999999994</v>
      </c>
      <c r="H70" s="1051">
        <f>IF($C70&lt;1,"",(AVERAGEIFS('09월 조업일지'!$AJ$12:$AJ$954,'09월 조업일지'!$B$12:$B$954,$A69,'09월 조업일지'!$E$12:$E$954,$B70)))</f>
        <v>43.777777777777779</v>
      </c>
      <c r="I70" s="1052">
        <f>IF($C70&lt;1,"",(AVERAGEIFS('09월 조업일지'!$AL$12:$AL$954,'09월 조업일지'!$B$12:$B$954,$A69,'09월 조업일지'!$E$12:$E$954,$B70)))</f>
        <v>7.375</v>
      </c>
      <c r="J70" s="1053">
        <f>IF($C70&lt;1,"",(AVERAGEIFS('09월 화학성분'!G$12:G$950,'09월 화학성분'!$B$12:$B$950,$A69,'09월 화학성분'!$D$12:$D$950,$B70)))</f>
        <v>9.2222222222222214</v>
      </c>
      <c r="K70" s="1054">
        <f>IF($C70&lt;1,"",(AVERAGEIFS('09월 화학성분'!H$12:H$950,'09월 화학성분'!$B$12:$B$950,$A69,'09월 화학성분'!$D$12:$D$950,$B70)))</f>
        <v>19.222222222222221</v>
      </c>
      <c r="L70" s="1054">
        <f>IF($C70&lt;1,"",(AVERAGEIFS('09월 화학성분'!I$12:I$950,'09월 화학성분'!$B$12:$B$950,$A69,'09월 화학성분'!$D$12:$D$950,$B70)))</f>
        <v>54.111111111111114</v>
      </c>
      <c r="M70" s="1054">
        <f>IF($C70&lt;1,"",(AVERAGEIFS('09월 화학성분'!J$12:J$950,'09월 화학성분'!$B$12:$B$950,$A69,'09월 화학성분'!$D$12:$D$950,$B70)))</f>
        <v>16</v>
      </c>
      <c r="N70" s="1054">
        <f>IF($C70&lt;1,"",(AVERAGEIFS('09월 화학성분'!K$12:K$950,'09월 화학성분'!$B$12:$B$950,$A69,'09월 화학성분'!$D$12:$D$950,$B70)))</f>
        <v>30</v>
      </c>
      <c r="O70" s="1054">
        <f>IF($C70&lt;1,"",(AVERAGEIFS('09월 화학성분'!L$12:L$950,'09월 화학성분'!$B$12:$B$950,$A69,'09월 화학성분'!$D$12:$D$950,$B70)))</f>
        <v>14.444444444444445</v>
      </c>
      <c r="P70" s="1054">
        <f>IF($C70&lt;1,"",(AVERAGEIFS('09월 화학성분'!M$12:M$950,'09월 화학성분'!$B$12:$B$950,$A69,'09월 화학성분'!$D$12:$D$950,$B70)))</f>
        <v>11.666666666666666</v>
      </c>
      <c r="Q70" s="1054">
        <f>IF($C70&lt;1,"",(AVERAGEIFS('09월 조업일지'!$AK$12:$AK$954,'09월 조업일지'!$B$12:$B$954,$A69,'09월 조업일지'!$E$12:$E$954,$B70)))</f>
        <v>619.25</v>
      </c>
      <c r="R70" s="1054">
        <f>IF($C70&lt;1,"",(AVERAGEIFS('09월 화학성분'!$G$12:$G$950,'09월 화학성분'!$B$12:$B$950,$A69,'09월 화학성분'!$D$12:$D$950,$B70)))</f>
        <v>9.2222222222222214</v>
      </c>
      <c r="S70" s="1055">
        <f>IF($C70&lt;1,"",(AVERAGEIFS('09월 조업일지'!$AI$12:$AI$954,'09월 조업일지'!$B$12:$B$954,$A69,'09월 조업일지'!$E$12:$E$954,$B70)))</f>
        <v>1584</v>
      </c>
      <c r="T70" s="1056">
        <f>IF($C70&lt;1,"",(AVERAGEIFS('09월 화학성분'!$AM$12:$AM$949,'09월 화학성분'!$B$12:$B$949,$A69,'09월 화학성분'!$D$12:$D$949,$B70)))</f>
        <v>2001.8888888888889</v>
      </c>
      <c r="U70" s="1057">
        <f>IF($C70&lt;1,"",(AVERAGEIFS('09월 고철장입'!$AJ$14:$AJ$949,'09월 고철장입'!$B$14:$B$949,$A69,'09월 고철장입'!$C$14:$C$949,$B70))/1000)</f>
        <v>158.41111111111113</v>
      </c>
      <c r="V70" s="1102">
        <f>IF($C70&lt;1,"",(AVERAGEIFS('09월 고철장입'!$AK$14:$AK$949,'09월 고철장입'!$B$14:$B$949,$A69,'09월 고철장입'!$C$14:$C$949,$B70)))</f>
        <v>145.51111111111109</v>
      </c>
      <c r="W70" s="1058">
        <f t="shared" si="2"/>
        <v>91.856631829978227</v>
      </c>
      <c r="X70" s="1059">
        <f>IF($C70&lt;1,"",(AVERAGEIFS('09월 에너지'!$O$14:$O$949,'09월 에너지'!$A$14:$A$949,$A69,'09월 에너지'!$C$14:$C$949,$B70)))</f>
        <v>160.59278214743532</v>
      </c>
      <c r="Y70" s="1060">
        <f>IF($C70&lt;1,"",(AVERAGEIFS('09월 에너지'!$P$14:$P$949,'09월 에너지'!$A$14:$A$949,$A69,'09월 에너지'!$C$14:$C$949,$B70)))</f>
        <v>142.18684604619858</v>
      </c>
      <c r="Z70" s="1060">
        <f>IF($C70&lt;1,"",(AVERAGEIFS('09월 에너지'!$Q$14:$Q$949,'09월 에너지'!$A$14:$A$949,$A69,'09월 에너지'!$C$14:$C$949,$B70)))</f>
        <v>86.673244267357802</v>
      </c>
      <c r="AA70" s="1061">
        <f>IF($C70&lt;1,"",(AVERAGEIFS('09월 에너지'!$R$14:$R$949,'09월 에너지'!$B$14:$B$949,$A69,'09월 에너지'!$C$14:$C$949,$B70)))</f>
        <v>389.45287246099167</v>
      </c>
      <c r="AB70" s="1062">
        <f>IF($C70&lt;1,"",(AVERAGEIFS('09월 에너지'!$X$14:$X$949,'09월 에너지'!$A$14:$A$949,$A69,'09월 에너지'!$C$14:$C$949,$B70)))</f>
        <v>2.517724163253336</v>
      </c>
      <c r="AC70" s="1063">
        <f>IF($C70&lt;1,"",(AVERAGEIFS('09월 에너지'!$AC$14:$AC$949,'09월 에너지'!$A$14:$A$949,$A69,'09월 에너지'!$C$14:$C$949,$B70)))</f>
        <v>27.375432344656772</v>
      </c>
      <c r="AD70" s="1064">
        <f>IF($C70&lt;1,"",(AVERAGEIFS('09월 에너지'!$AD$14:$AD$949,'09월 에너지'!$B$14:$B$949,$A69,'09월 에너지'!$C$14:$C$949,$B70)))</f>
        <v>4349.1111111111113</v>
      </c>
      <c r="AE70" s="1065">
        <f>IF($C70&lt;1,"",(AVERAGEIFS('09월 에너지'!$AE$14:$AE$949,'09월 에너지'!$B$14:$B$949,$A69,'09월 에너지'!$C$14:$C$949,$B70)))</f>
        <v>29.89315650791011</v>
      </c>
      <c r="AF70" s="1066">
        <f>IF($C70&lt;1,"",(AVERAGEIFS('09월 에너지'!$AI$14:$AI$949,'09월 에너지'!$B$14:$B$949,$A69,'09월 에너지'!$C$14:$C$949,$B70)))</f>
        <v>156.44444444444446</v>
      </c>
      <c r="AG70" s="1067">
        <f>IF($C70&lt;1,"",(AVERAGEIFS('09월 에너지'!$AJ$14:$AJ$949,'09월 에너지'!$B$14:$B$949,$A69,'09월 에너지'!$C$14:$C$949,$B70)))</f>
        <v>1.0752568659044439</v>
      </c>
    </row>
    <row r="71" spans="1:33" ht="16.5" customHeight="1" thickTop="1" thickBot="1">
      <c r="A71" s="1632"/>
      <c r="B71" s="781" t="s">
        <v>93</v>
      </c>
      <c r="C71" s="782">
        <f>COUNTIFS('09월 조업일지'!$B$12:$B$952,A69,'09월 조업일지'!$E$12:$E$952,B71)</f>
        <v>5</v>
      </c>
      <c r="D71" s="1047">
        <f t="shared" si="3"/>
        <v>48.000000000000014</v>
      </c>
      <c r="E71" s="1048">
        <f>IF($C71&lt;1,"",(SUMIFS('09월 조업일지'!$K$12:$K$954,'09월 조업일지'!$B$12:$B$954,$A69,'09월 조업일지'!$E$12:$E$954,$B71)/$C71))</f>
        <v>15.2</v>
      </c>
      <c r="F71" s="1049">
        <f>IF($C71&lt;1,"",(AVERAGEIFS('09월 조업일지'!$J$12:$J$954,'09월 조업일지'!$B$12:$B$954,$A69,'09월 조업일지'!$E$12:$E$954,$B71)))</f>
        <v>63.20000000000001</v>
      </c>
      <c r="G71" s="1050">
        <f>IF($C71&lt;1,"",(AVERAGEIFS('09월 에너지'!$M$14:$M$950,'09월 에너지'!$B$14:$B$950,$A69,'09월 에너지'!$C$14:$C$950,$B71)))</f>
        <v>43.680000000000007</v>
      </c>
      <c r="H71" s="1051">
        <f>IF($C71&lt;1,"",(AVERAGEIFS('09월 조업일지'!$AJ$12:$AJ$954,'09월 조업일지'!$B$12:$B$954,$A69,'09월 조업일지'!$E$12:$E$954,$B71)))</f>
        <v>139.80000000000001</v>
      </c>
      <c r="I71" s="1052">
        <f>IF($C71&lt;1,"",(AVERAGEIFS('09월 조업일지'!$AL$12:$AL$954,'09월 조업일지'!$B$12:$B$954,$A69,'09월 조업일지'!$E$12:$E$954,$B71)))</f>
        <v>9.25</v>
      </c>
      <c r="J71" s="1053">
        <f>IF($C71&lt;1,"",(AVERAGEIFS('09월 화학성분'!G$12:G$950,'09월 화학성분'!$B$12:$B$950,$A69,'09월 화학성분'!$D$12:$D$950,$B71)))</f>
        <v>14.8</v>
      </c>
      <c r="K71" s="1054">
        <f>IF($C71&lt;1,"",(AVERAGEIFS('09월 화학성분'!H$12:H$950,'09월 화학성분'!$B$12:$B$950,$A69,'09월 화학성분'!$D$12:$D$950,$B71)))</f>
        <v>12.4</v>
      </c>
      <c r="L71" s="1054">
        <f>IF($C71&lt;1,"",(AVERAGEIFS('09월 화학성분'!I$12:I$950,'09월 화학성분'!$B$12:$B$950,$A69,'09월 화학성분'!$D$12:$D$950,$B71)))</f>
        <v>48.6</v>
      </c>
      <c r="M71" s="1054">
        <f>IF($C71&lt;1,"",(AVERAGEIFS('09월 화학성분'!J$12:J$950,'09월 화학성분'!$B$12:$B$950,$A69,'09월 화학성분'!$D$12:$D$950,$B71)))</f>
        <v>17</v>
      </c>
      <c r="N71" s="1054">
        <f>IF($C71&lt;1,"",(AVERAGEIFS('09월 화학성분'!K$12:K$950,'09월 화학성분'!$B$12:$B$950,$A69,'09월 화학성분'!$D$12:$D$950,$B71)))</f>
        <v>32.4</v>
      </c>
      <c r="O71" s="1054">
        <f>IF($C71&lt;1,"",(AVERAGEIFS('09월 화학성분'!L$12:L$950,'09월 화학성분'!$B$12:$B$950,$A69,'09월 화학성분'!$D$12:$D$950,$B71)))</f>
        <v>13.8</v>
      </c>
      <c r="P71" s="1054">
        <f>IF($C71&lt;1,"",(AVERAGEIFS('09월 화학성분'!M$12:M$950,'09월 화학성분'!$B$12:$B$950,$A69,'09월 화학성분'!$D$12:$D$950,$B71)))</f>
        <v>12</v>
      </c>
      <c r="Q71" s="1054">
        <f>IF($C71&lt;1,"",(AVERAGEIFS('09월 조업일지'!$AK$12:$AK$954,'09월 조업일지'!$B$12:$B$954,$A69,'09월 조업일지'!$E$12:$E$954,$B71)))</f>
        <v>558</v>
      </c>
      <c r="R71" s="1054">
        <f>IF($C71&lt;1,"",(AVERAGEIFS('09월 화학성분'!$G$12:$G$950,'09월 화학성분'!$B$12:$B$950,$A69,'09월 화학성분'!$D$12:$D$950,$B71)))</f>
        <v>14.8</v>
      </c>
      <c r="S71" s="1055">
        <f>IF($C71&lt;1,"",(AVERAGEIFS('09월 조업일지'!$AI$12:$AI$954,'09월 조업일지'!$B$12:$B$954,$A69,'09월 조업일지'!$E$12:$E$954,$B71)))</f>
        <v>1568.2</v>
      </c>
      <c r="T71" s="1056">
        <f>IF($C71&lt;1,"",(AVERAGEIFS('09월 화학성분'!$AM$12:$AM$949,'09월 화학성분'!$B$12:$B$949,$A69,'09월 화학성분'!$D$12:$D$949,$B71)))</f>
        <v>1366.8</v>
      </c>
      <c r="U71" s="1057">
        <f>IF($C71&lt;1,"",(AVERAGEIFS('09월 고철장입'!$AJ$14:$AJ$949,'09월 고철장입'!$B$14:$B$949,$A69,'09월 고철장입'!$C$14:$C$949,$B71))/1000)</f>
        <v>149.30000000000001</v>
      </c>
      <c r="V71" s="1102">
        <f>IF($C71&lt;1,"",(AVERAGEIFS('09월 고철장입'!$AK$14:$AK$949,'09월 고철장입'!$B$14:$B$949,$A69,'09월 고철장입'!$C$14:$C$949,$B71)))</f>
        <v>132.5</v>
      </c>
      <c r="W71" s="1058">
        <f t="shared" si="2"/>
        <v>88.747488278633611</v>
      </c>
      <c r="X71" s="1059">
        <f>IF($C71&lt;1,"",(AVERAGEIFS('09월 에너지'!$O$14:$O$949,'09월 에너지'!$A$14:$A$949,$A69,'09월 에너지'!$C$14:$C$949,$B71)))</f>
        <v>179.97123611833945</v>
      </c>
      <c r="Y71" s="1060">
        <f>IF($C71&lt;1,"",(AVERAGEIFS('09월 에너지'!$P$14:$P$949,'09월 에너지'!$A$14:$A$949,$A69,'09월 에너지'!$C$14:$C$949,$B71)))</f>
        <v>161.68269148021889</v>
      </c>
      <c r="Z71" s="1060">
        <f>IF($C71&lt;1,"",(AVERAGEIFS('09월 에너지'!$Q$14:$Q$949,'09월 에너지'!$A$14:$A$949,$A69,'09월 에너지'!$C$14:$C$949,$B71)))</f>
        <v>74.960015196844324</v>
      </c>
      <c r="AA71" s="1061">
        <f>IF($C71&lt;1,"",(AVERAGEIFS('09월 에너지'!$R$14:$R$949,'09월 에너지'!$B$14:$B$949,$A69,'09월 에너지'!$C$14:$C$949,$B71)))</f>
        <v>424.82164131290648</v>
      </c>
      <c r="AB71" s="1062">
        <f>IF($C71&lt;1,"",(AVERAGEIFS('09월 에너지'!$X$14:$X$949,'09월 에너지'!$A$14:$A$949,$A69,'09월 에너지'!$C$14:$C$949,$B71)))</f>
        <v>2.7603668240800947</v>
      </c>
      <c r="AC71" s="1063">
        <f>IF($C71&lt;1,"",(AVERAGEIFS('09월 에너지'!$AC$14:$AC$949,'09월 에너지'!$A$14:$A$949,$A69,'09월 에너지'!$C$14:$C$949,$B71)))</f>
        <v>29.275872996071723</v>
      </c>
      <c r="AD71" s="1064">
        <f>IF($C71&lt;1,"",(AVERAGEIFS('09월 에너지'!$AD$14:$AD$949,'09월 에너지'!$B$14:$B$949,$A69,'09월 에너지'!$C$14:$C$949,$B71)))</f>
        <v>4028.2</v>
      </c>
      <c r="AE71" s="1065">
        <f>IF($C71&lt;1,"",(AVERAGEIFS('09월 에너지'!$AE$14:$AE$949,'09월 에너지'!$B$14:$B$949,$A69,'09월 에너지'!$C$14:$C$949,$B71)))</f>
        <v>32.511132459316322</v>
      </c>
      <c r="AF71" s="1066">
        <f>IF($C71&lt;1,"",(AVERAGEIFS('09월 에너지'!$AI$14:$AI$949,'09월 에너지'!$B$14:$B$949,$A69,'09월 에너지'!$C$14:$C$949,$B71)))</f>
        <v>154.80000000000001</v>
      </c>
      <c r="AG71" s="1067">
        <f>IF($C71&lt;1,"",(AVERAGEIFS('09월 에너지'!$AJ$14:$AJ$949,'09월 에너지'!$B$14:$B$949,$A69,'09월 에너지'!$C$14:$C$949,$B71)))</f>
        <v>1.2402399602397807</v>
      </c>
    </row>
    <row r="72" spans="1:33" ht="16.5" customHeight="1" thickTop="1" thickBot="1">
      <c r="A72" s="1632"/>
      <c r="B72" s="783" t="s">
        <v>94</v>
      </c>
      <c r="C72" s="784">
        <f>COUNTIFS('09월 조업일지'!$B$12:$B$952,A69,'09월 조업일지'!$E$12:$E$952,B72)</f>
        <v>10</v>
      </c>
      <c r="D72" s="1068">
        <f t="shared" si="3"/>
        <v>47.199999999999996</v>
      </c>
      <c r="E72" s="1069">
        <f>IF($C72&lt;1,"",(SUMIFS('09월 조업일지'!$K$12:$K$954,'09월 조업일지'!$B$12:$B$954,$A69,'09월 조업일지'!$E$12:$E$954,$B72)/$C72))</f>
        <v>0.2</v>
      </c>
      <c r="F72" s="1070">
        <f>IF($C72&lt;1,"",(AVERAGEIFS('09월 조업일지'!$J$12:$J$954,'09월 조업일지'!$B$12:$B$954,$A69,'09월 조업일지'!$E$12:$E$954,$B72)))</f>
        <v>47.4</v>
      </c>
      <c r="G72" s="1071">
        <f>IF($C72&lt;1,"",(AVERAGEIFS('09월 에너지'!$M$14:$M$950,'09월 에너지'!$B$14:$B$950,$A69,'09월 에너지'!$C$14:$C$950,$B72)))</f>
        <v>44.89</v>
      </c>
      <c r="H72" s="1072">
        <f>IF($C72&lt;1,"",(AVERAGEIFS('09월 조업일지'!$AJ$12:$AJ$954,'09월 조업일지'!$B$12:$B$954,$A69,'09월 조업일지'!$E$12:$E$954,$B72)))</f>
        <v>25.9</v>
      </c>
      <c r="I72" s="1073">
        <f>IF($C72&lt;1,"",(AVERAGEIFS('09월 조업일지'!$AL$12:$AL$954,'09월 조업일지'!$B$12:$B$954,$A69,'09월 조업일지'!$E$12:$E$954,$B72)))</f>
        <v>5.7777777777777777</v>
      </c>
      <c r="J72" s="1074">
        <f>IF($C72&lt;1,"",(AVERAGEIFS('09월 화학성분'!G$12:G$950,'09월 화학성분'!$B$12:$B$950,$A69,'09월 화학성분'!$D$12:$D$950,$B72)))</f>
        <v>9.9</v>
      </c>
      <c r="K72" s="1075">
        <f>IF($C72&lt;1,"",(AVERAGEIFS('09월 화학성분'!H$12:H$950,'09월 화학성분'!$B$12:$B$950,$A69,'09월 화학성분'!$D$12:$D$950,$B72)))</f>
        <v>20.6</v>
      </c>
      <c r="L72" s="1075">
        <f>IF($C72&lt;1,"",(AVERAGEIFS('09월 화학성분'!I$12:I$950,'09월 화학성분'!$B$12:$B$950,$A69,'09월 화학성분'!$D$12:$D$950,$B72)))</f>
        <v>53.9</v>
      </c>
      <c r="M72" s="1075">
        <f>IF($C72&lt;1,"",(AVERAGEIFS('09월 화학성분'!J$12:J$950,'09월 화학성분'!$B$12:$B$950,$A69,'09월 화학성분'!$D$12:$D$950,$B72)))</f>
        <v>17.100000000000001</v>
      </c>
      <c r="N72" s="1075">
        <f>IF($C72&lt;1,"",(AVERAGEIFS('09월 화학성분'!K$12:K$950,'09월 화학성분'!$B$12:$B$950,$A69,'09월 화학성분'!$D$12:$D$950,$B72)))</f>
        <v>32.4</v>
      </c>
      <c r="O72" s="1075">
        <f>IF($C72&lt;1,"",(AVERAGEIFS('09월 화학성분'!L$12:L$950,'09월 화학성분'!$B$12:$B$950,$A69,'09월 화학성분'!$D$12:$D$950,$B72)))</f>
        <v>14.3</v>
      </c>
      <c r="P72" s="1075">
        <f>IF($C72&lt;1,"",(AVERAGEIFS('09월 화학성분'!M$12:M$950,'09월 화학성분'!$B$12:$B$950,$A69,'09월 화학성분'!$D$12:$D$950,$B72)))</f>
        <v>11.3</v>
      </c>
      <c r="Q72" s="1075">
        <f>IF($C72&lt;1,"",(AVERAGEIFS('09월 조업일지'!$AK$12:$AK$954,'09월 조업일지'!$B$12:$B$954,$A69,'09월 조업일지'!$E$12:$E$954,$B72)))</f>
        <v>698.88888888888891</v>
      </c>
      <c r="R72" s="1075">
        <f>IF($C72&lt;1,"",(AVERAGEIFS('09월 화학성분'!$G$12:$G$950,'09월 화학성분'!$B$12:$B$950,$A69,'09월 화학성분'!$D$12:$D$950,$B72)))</f>
        <v>9.9</v>
      </c>
      <c r="S72" s="1076">
        <f>IF($C72&lt;1,"",(AVERAGEIFS('09월 조업일지'!$AI$12:$AI$954,'09월 조업일지'!$B$12:$B$954,$A69,'09월 조업일지'!$E$12:$E$954,$B72)))</f>
        <v>1567.3</v>
      </c>
      <c r="T72" s="1077">
        <f>IF($C72&lt;1,"",(AVERAGEIFS('09월 화학성분'!$AM$12:$AM$949,'09월 화학성분'!$B$12:$B$949,$A69,'09월 화학성분'!$D$12:$D$949,$B72)))</f>
        <v>1277.0999999999999</v>
      </c>
      <c r="U72" s="1078">
        <f>IF($C72&lt;1,"",(AVERAGEIFS('09월 고철장입'!$AJ$14:$AJ$949,'09월 고철장입'!$B$14:$B$949,$A69,'09월 고철장입'!$C$14:$C$949,$B72))/1000)</f>
        <v>158.28</v>
      </c>
      <c r="V72" s="1103">
        <f>IF($C72&lt;1,"",(AVERAGEIFS('09월 고철장입'!$AK$14:$AK$949,'09월 고철장입'!$B$14:$B$949,$A69,'09월 고철장입'!$C$14:$C$949,$B72)))</f>
        <v>143.15</v>
      </c>
      <c r="W72" s="1079">
        <f t="shared" si="2"/>
        <v>90.440990649481932</v>
      </c>
      <c r="X72" s="1080">
        <f>IF($C72&lt;1,"",(AVERAGEIFS('09월 에너지'!$O$14:$O$949,'09월 에너지'!$A$14:$A$949,$A69,'09월 에너지'!$C$14:$C$949,$B72)))</f>
        <v>159.35899051852448</v>
      </c>
      <c r="Y72" s="1081">
        <f>IF($C72&lt;1,"",(AVERAGEIFS('09월 에너지'!$P$14:$P$949,'09월 에너지'!$A$14:$A$949,$A69,'09월 에너지'!$C$14:$C$949,$B72)))</f>
        <v>143.97768359736932</v>
      </c>
      <c r="Z72" s="1081">
        <f>IF($C72&lt;1,"",(AVERAGEIFS('09월 에너지'!$Q$14:$Q$949,'09월 에너지'!$A$14:$A$949,$A69,'09월 에너지'!$C$14:$C$949,$B72)))</f>
        <v>80.48430014748476</v>
      </c>
      <c r="AA72" s="1082">
        <f>IF($C72&lt;1,"",(AVERAGEIFS('09월 에너지'!$R$14:$R$949,'09월 에너지'!$B$14:$B$949,$A69,'09월 에너지'!$C$14:$C$949,$B72)))</f>
        <v>383.82097426337862</v>
      </c>
      <c r="AB72" s="1083">
        <f>IF($C72&lt;1,"",(AVERAGEIFS('09월 에너지'!$X$14:$X$949,'09월 에너지'!$A$14:$A$949,$A69,'09월 에너지'!$C$14:$C$949,$B72)))</f>
        <v>2.3596234498320934</v>
      </c>
      <c r="AC72" s="1084">
        <f>IF($C72&lt;1,"",(AVERAGEIFS('09월 에너지'!$AC$14:$AC$949,'09월 에너지'!$A$14:$A$949,$A69,'09월 에너지'!$C$14:$C$949,$B72)))</f>
        <v>26.315712876830258</v>
      </c>
      <c r="AD72" s="1085">
        <f>IF($C72&lt;1,"",(AVERAGEIFS('09월 에너지'!$AD$14:$AD$949,'09월 에너지'!$B$14:$B$949,$A69,'09월 에너지'!$C$14:$C$949,$B72)))</f>
        <v>4105</v>
      </c>
      <c r="AE72" s="1086">
        <f>IF($C72&lt;1,"",(AVERAGEIFS('09월 에너지'!$AE$14:$AE$949,'09월 에너지'!$B$14:$B$949,$A69,'09월 에너지'!$C$14:$C$949,$B72)))</f>
        <v>28.675336326662354</v>
      </c>
      <c r="AF72" s="1087">
        <f>IF($C72&lt;1,"",(AVERAGEIFS('09월 에너지'!$AI$14:$AI$949,'09월 에너지'!$B$14:$B$949,$A69,'09월 에너지'!$C$14:$C$949,$B72)))</f>
        <v>155.19999999999999</v>
      </c>
      <c r="AG72" s="1088">
        <f>IF($C72&lt;1,"",(AVERAGEIFS('09월 에너지'!$AJ$14:$AJ$949,'09월 에너지'!$B$14:$B$949,$A69,'09월 에너지'!$C$14:$C$949,$B72)))</f>
        <v>1.0842555121165121</v>
      </c>
    </row>
    <row r="73" spans="1:33" ht="16.5" customHeight="1" thickTop="1" thickBot="1">
      <c r="A73" s="1632">
        <f t="shared" ref="A73" si="19">A69+1</f>
        <v>46283</v>
      </c>
      <c r="B73" s="775" t="s">
        <v>128</v>
      </c>
      <c r="C73" s="776">
        <f>COUNTIFS('09월 조업일지'!$B$12:$B$952,A73,'09월 조업일지'!$E$12:$E$952,B73)</f>
        <v>7</v>
      </c>
      <c r="D73" s="1026">
        <f t="shared" si="3"/>
        <v>53.71428571428573</v>
      </c>
      <c r="E73" s="1027">
        <f>IF($C73&lt;1,"",(SUMIFS('09월 조업일지'!$K$12:$K$954,'09월 조업일지'!$B$12:$B$954,$A73,'09월 조업일지'!$E$12:$E$954,$B73)/$C73))</f>
        <v>39.142857142857146</v>
      </c>
      <c r="F73" s="1028">
        <f>IF($C73&lt;1,"",(AVERAGEIFS('09월 조업일지'!$J$12:$J$954,'09월 조업일지'!$B$12:$B$954,$A73,'09월 조업일지'!$E$12:$E$954,$B73)))</f>
        <v>92.857142857142875</v>
      </c>
      <c r="G73" s="1029">
        <f>IF($C73&lt;1,"",(AVERAGEIFS('09월 에너지'!$M$14:$M$950,'09월 에너지'!$B$14:$B$950,$A73,'09월 에너지'!$C$14:$C$950,$B73)))</f>
        <v>46.171428571428571</v>
      </c>
      <c r="H73" s="1030">
        <f>IF($C73&lt;1,"",(AVERAGEIFS('09월 조업일지'!$AJ$12:$AJ$954,'09월 조업일지'!$B$12:$B$954,$A73,'09월 조업일지'!$E$12:$E$954,$B73)))</f>
        <v>0</v>
      </c>
      <c r="I73" s="1031">
        <f>IF($C73&lt;1,"",(AVERAGEIFS('09월 조업일지'!$AL$12:$AL$954,'09월 조업일지'!$B$12:$B$954,$A73,'09월 조업일지'!$E$12:$E$954,$B73)))</f>
        <v>13.857142857142858</v>
      </c>
      <c r="J73" s="1032">
        <f>IF($C73&lt;1,"",(AVERAGEIFS('09월 화학성분'!G$12:G$950,'09월 화학성분'!$B$12:$B$950,$A73,'09월 화학성분'!$D$12:$D$950,$B73)))</f>
        <v>12.857142857142858</v>
      </c>
      <c r="K73" s="1033">
        <f>IF($C73&lt;1,"",(AVERAGEIFS('09월 화학성분'!H$12:H$950,'09월 화학성분'!$B$12:$B$950,$A73,'09월 화학성분'!$D$12:$D$950,$B73)))</f>
        <v>16.428571428571427</v>
      </c>
      <c r="L73" s="1033">
        <f>IF($C73&lt;1,"",(AVERAGEIFS('09월 화학성분'!I$12:I$950,'09월 화학성분'!$B$12:$B$950,$A73,'09월 화학성분'!$D$12:$D$950,$B73)))</f>
        <v>53.571428571428569</v>
      </c>
      <c r="M73" s="1033">
        <f>IF($C73&lt;1,"",(AVERAGEIFS('09월 화학성분'!J$12:J$950,'09월 화학성분'!$B$12:$B$950,$A73,'09월 화학성분'!$D$12:$D$950,$B73)))</f>
        <v>16</v>
      </c>
      <c r="N73" s="1033">
        <f>IF($C73&lt;1,"",(AVERAGEIFS('09월 화학성분'!K$12:K$950,'09월 화학성분'!$B$12:$B$950,$A73,'09월 화학성분'!$D$12:$D$950,$B73)))</f>
        <v>30.285714285714285</v>
      </c>
      <c r="O73" s="1033">
        <f>IF($C73&lt;1,"",(AVERAGEIFS('09월 화학성분'!L$12:L$950,'09월 화학성분'!$B$12:$B$950,$A73,'09월 화학성분'!$D$12:$D$950,$B73)))</f>
        <v>10.142857142857142</v>
      </c>
      <c r="P73" s="1033">
        <f>IF($C73&lt;1,"",(AVERAGEIFS('09월 화학성분'!M$12:M$950,'09월 화학성분'!$B$12:$B$950,$A73,'09월 화학성분'!$D$12:$D$950,$B73)))</f>
        <v>9.2857142857142865</v>
      </c>
      <c r="Q73" s="1033">
        <f>IF($C73&lt;1,"",(AVERAGEIFS('09월 조업일지'!$AK$12:$AK$954,'09월 조업일지'!$B$12:$B$954,$A73,'09월 조업일지'!$E$12:$E$954,$B73)))</f>
        <v>369.28571428571428</v>
      </c>
      <c r="R73" s="1033">
        <f>IF($C73&lt;1,"",(AVERAGEIFS('09월 화학성분'!$G$12:$G$950,'09월 화학성분'!$B$12:$B$950,$A73,'09월 화학성분'!$D$12:$D$950,$B73)))</f>
        <v>12.857142857142858</v>
      </c>
      <c r="S73" s="1034">
        <f>IF($C73&lt;1,"",(AVERAGEIFS('09월 조업일지'!$AI$12:$AI$954,'09월 조업일지'!$B$12:$B$954,$A73,'09월 조업일지'!$E$12:$E$954,$B73)))</f>
        <v>1568.7142857142858</v>
      </c>
      <c r="T73" s="1035">
        <f>IF($C73&lt;1,"",(AVERAGEIFS('09월 화학성분'!$AM$12:$AM$949,'09월 화학성분'!$B$12:$B$949,$A73,'09월 화학성분'!$D$12:$D$949,$B73)))</f>
        <v>2308.1428571428573</v>
      </c>
      <c r="U73" s="1036">
        <f>IF($C73&lt;1,"",(AVERAGEIFS('09월 고철장입'!$AJ$14:$AJ$949,'09월 고철장입'!$B$14:$B$949,$A73,'09월 고철장입'!$C$14:$C$949,$B73))/1000)</f>
        <v>156.82857142857142</v>
      </c>
      <c r="V73" s="1101">
        <f>IF($C73&lt;1,"",(AVERAGEIFS('09월 고철장입'!$AK$14:$AK$949,'09월 고철장입'!$B$14:$B$949,$A73,'09월 고철장입'!$C$14:$C$949,$B73)))</f>
        <v>144.68571428571428</v>
      </c>
      <c r="W73" s="1037">
        <f t="shared" ref="W73:W136" si="20">IF(C73&lt;1,"",V73/U73*100)</f>
        <v>92.25724175623975</v>
      </c>
      <c r="X73" s="1038">
        <f>IF($C73&lt;1,"",(AVERAGEIFS('09월 에너지'!$O$14:$O$949,'09월 에너지'!$A$14:$A$949,$A73,'09월 에너지'!$C$14:$C$949,$B73)))</f>
        <v>163.37084532635939</v>
      </c>
      <c r="Y73" s="1039">
        <f>IF($C73&lt;1,"",(AVERAGEIFS('09월 에너지'!$P$14:$P$949,'09월 에너지'!$A$14:$A$949,$A73,'09월 에너지'!$C$14:$C$949,$B73)))</f>
        <v>142.80585146091812</v>
      </c>
      <c r="Z73" s="1039">
        <f>IF($C73&lt;1,"",(AVERAGEIFS('09월 에너지'!$Q$14:$Q$949,'09월 에너지'!$A$14:$A$949,$A73,'09월 에너지'!$C$14:$C$949,$B73)))</f>
        <v>85.995129061437169</v>
      </c>
      <c r="AA73" s="1040">
        <f>IF($C73&lt;1,"",(AVERAGEIFS('09월 에너지'!$R$14:$R$949,'09월 에너지'!$B$14:$B$949,$A73,'09월 에너지'!$C$14:$C$949,$B73)))</f>
        <v>392.1718258487146</v>
      </c>
      <c r="AB73" s="1041">
        <f>IF($C73&lt;1,"",(AVERAGEIFS('09월 에너지'!$X$14:$X$949,'09월 에너지'!$A$14:$A$949,$A73,'09월 에너지'!$C$14:$C$949,$B73)))</f>
        <v>2.4830594886069228</v>
      </c>
      <c r="AC73" s="1042">
        <f>IF($C73&lt;1,"",(AVERAGEIFS('09월 에너지'!$AC$14:$AC$949,'09월 에너지'!$A$14:$A$949,$A73,'09월 에너지'!$C$14:$C$949,$B73)))</f>
        <v>26.004707024873767</v>
      </c>
      <c r="AD73" s="1043">
        <f>IF($C73&lt;1,"",(AVERAGEIFS('09월 에너지'!$AD$14:$AD$949,'09월 에너지'!$B$14:$B$949,$A73,'09월 에너지'!$C$14:$C$949,$B73)))</f>
        <v>4120.1428571428569</v>
      </c>
      <c r="AE73" s="1044">
        <f>IF($C73&lt;1,"",(AVERAGEIFS('09월 에너지'!$AE$14:$AE$949,'09월 에너지'!$B$14:$B$949,$A73,'09월 에너지'!$C$14:$C$949,$B73)))</f>
        <v>28.48776651348069</v>
      </c>
      <c r="AF73" s="1045">
        <f>IF($C73&lt;1,"",(AVERAGEIFS('09월 에너지'!$AI$14:$AI$949,'09월 에너지'!$B$14:$B$949,$A73,'09월 에너지'!$C$14:$C$949,$B73)))</f>
        <v>151.28571428571428</v>
      </c>
      <c r="AG73" s="1046">
        <f>IF($C73&lt;1,"",(AVERAGEIFS('09월 에너지'!$AJ$14:$AJ$949,'09월 에너지'!$B$14:$B$949,$A73,'09월 에너지'!$C$14:$C$949,$B73)))</f>
        <v>1.0460144118704104</v>
      </c>
    </row>
    <row r="74" spans="1:33" ht="16.5" customHeight="1" thickTop="1" thickBot="1">
      <c r="A74" s="1632"/>
      <c r="B74" s="781" t="s">
        <v>100</v>
      </c>
      <c r="C74" s="782">
        <f>COUNTIFS('09월 조업일지'!$B$12:$B$952,A73,'09월 조업일지'!$E$12:$E$952,B74)</f>
        <v>7</v>
      </c>
      <c r="D74" s="1047">
        <f t="shared" si="3"/>
        <v>47.999999999999993</v>
      </c>
      <c r="E74" s="1048">
        <f>IF($C74&lt;1,"",(SUMIFS('09월 조업일지'!$K$12:$K$954,'09월 조업일지'!$B$12:$B$954,$A73,'09월 조업일지'!$E$12:$E$954,$B74)/$C74))</f>
        <v>20.714285714285715</v>
      </c>
      <c r="F74" s="1049">
        <f>IF($C74&lt;1,"",(AVERAGEIFS('09월 조업일지'!$J$12:$J$954,'09월 조업일지'!$B$12:$B$954,$A73,'09월 조업일지'!$E$12:$E$954,$B74)))</f>
        <v>68.714285714285708</v>
      </c>
      <c r="G74" s="1050">
        <f>IF($C74&lt;1,"",(AVERAGEIFS('09월 에너지'!$M$14:$M$950,'09월 에너지'!$B$14:$B$950,$A73,'09월 에너지'!$C$14:$C$950,$B74)))</f>
        <v>47.628571428571426</v>
      </c>
      <c r="H74" s="1051">
        <f>IF($C74&lt;1,"",(AVERAGEIFS('09월 조업일지'!$AJ$12:$AJ$954,'09월 조업일지'!$B$12:$B$954,$A73,'09월 조업일지'!$E$12:$E$954,$B74)))</f>
        <v>16.571428571428573</v>
      </c>
      <c r="I74" s="1052">
        <f>IF($C74&lt;1,"",(AVERAGEIFS('09월 조업일지'!$AL$12:$AL$954,'09월 조업일지'!$B$12:$B$954,$A73,'09월 조업일지'!$E$12:$E$954,$B74)))</f>
        <v>9</v>
      </c>
      <c r="J74" s="1053">
        <f>IF($C74&lt;1,"",(AVERAGEIFS('09월 화학성분'!G$12:G$950,'09월 화학성분'!$B$12:$B$950,$A73,'09월 화학성분'!$D$12:$D$950,$B74)))</f>
        <v>14</v>
      </c>
      <c r="K74" s="1054">
        <f>IF($C74&lt;1,"",(AVERAGEIFS('09월 화학성분'!H$12:H$950,'09월 화학성분'!$B$12:$B$950,$A73,'09월 화학성분'!$D$12:$D$950,$B74)))</f>
        <v>15.428571428571429</v>
      </c>
      <c r="L74" s="1054">
        <f>IF($C74&lt;1,"",(AVERAGEIFS('09월 화학성분'!I$12:I$950,'09월 화학성분'!$B$12:$B$950,$A73,'09월 화학성분'!$D$12:$D$950,$B74)))</f>
        <v>50.428571428571431</v>
      </c>
      <c r="M74" s="1054">
        <f>IF($C74&lt;1,"",(AVERAGEIFS('09월 화학성분'!J$12:J$950,'09월 화학성분'!$B$12:$B$950,$A73,'09월 화학성분'!$D$12:$D$950,$B74)))</f>
        <v>16</v>
      </c>
      <c r="N74" s="1054">
        <f>IF($C74&lt;1,"",(AVERAGEIFS('09월 화학성분'!K$12:K$950,'09월 화학성분'!$B$12:$B$950,$A73,'09월 화학성분'!$D$12:$D$950,$B74)))</f>
        <v>37.428571428571431</v>
      </c>
      <c r="O74" s="1054">
        <f>IF($C74&lt;1,"",(AVERAGEIFS('09월 화학성분'!L$12:L$950,'09월 화학성분'!$B$12:$B$950,$A73,'09월 화학성분'!$D$12:$D$950,$B74)))</f>
        <v>11.142857142857142</v>
      </c>
      <c r="P74" s="1054">
        <f>IF($C74&lt;1,"",(AVERAGEIFS('09월 화학성분'!M$12:M$950,'09월 화학성분'!$B$12:$B$950,$A73,'09월 화학성분'!$D$12:$D$950,$B74)))</f>
        <v>8.5714285714285712</v>
      </c>
      <c r="Q74" s="1054">
        <f>IF($C74&lt;1,"",(AVERAGEIFS('09월 조업일지'!$AK$12:$AK$954,'09월 조업일지'!$B$12:$B$954,$A73,'09월 조업일지'!$E$12:$E$954,$B74)))</f>
        <v>509.85714285714283</v>
      </c>
      <c r="R74" s="1054">
        <f>IF($C74&lt;1,"",(AVERAGEIFS('09월 화학성분'!$G$12:$G$950,'09월 화학성분'!$B$12:$B$950,$A73,'09월 화학성분'!$D$12:$D$950,$B74)))</f>
        <v>14</v>
      </c>
      <c r="S74" s="1055">
        <f>IF($C74&lt;1,"",(AVERAGEIFS('09월 조업일지'!$AI$12:$AI$954,'09월 조업일지'!$B$12:$B$954,$A73,'09월 조업일지'!$E$12:$E$954,$B74)))</f>
        <v>1575.5714285714287</v>
      </c>
      <c r="T74" s="1056">
        <f>IF($C74&lt;1,"",(AVERAGEIFS('09월 화학성분'!$AM$12:$AM$949,'09월 화학성분'!$B$12:$B$949,$A73,'09월 화학성분'!$D$12:$D$949,$B74)))</f>
        <v>2160.8571428571427</v>
      </c>
      <c r="U74" s="1057">
        <f>IF($C74&lt;1,"",(AVERAGEIFS('09월 고철장입'!$AJ$14:$AJ$949,'09월 고철장입'!$B$14:$B$949,$A73,'09월 고철장입'!$C$14:$C$949,$B74))/1000)</f>
        <v>158.17142857142858</v>
      </c>
      <c r="V74" s="1102">
        <f>IF($C74&lt;1,"",(AVERAGEIFS('09월 고철장입'!$AK$14:$AK$949,'09월 고철장입'!$B$14:$B$949,$A73,'09월 고철장입'!$C$14:$C$949,$B74)))</f>
        <v>145.77142857142857</v>
      </c>
      <c r="W74" s="1058">
        <f t="shared" si="20"/>
        <v>92.160404624277461</v>
      </c>
      <c r="X74" s="1059">
        <f>IF($C74&lt;1,"",(AVERAGEIFS('09월 에너지'!$O$14:$O$949,'09월 에너지'!$A$14:$A$949,$A73,'09월 에너지'!$C$14:$C$949,$B74)))</f>
        <v>165.50390446030414</v>
      </c>
      <c r="Y74" s="1060">
        <f>IF($C74&lt;1,"",(AVERAGEIFS('09월 에너지'!$P$14:$P$949,'09월 에너지'!$A$14:$A$949,$A73,'09월 에너지'!$C$14:$C$949,$B74)))</f>
        <v>141.4816290574957</v>
      </c>
      <c r="Z74" s="1060">
        <f>IF($C74&lt;1,"",(AVERAGEIFS('09월 에너지'!$Q$14:$Q$949,'09월 에너지'!$A$14:$A$949,$A73,'09월 에너지'!$C$14:$C$949,$B74)))</f>
        <v>94.069392137381698</v>
      </c>
      <c r="AA74" s="1061">
        <f>IF($C74&lt;1,"",(AVERAGEIFS('09월 에너지'!$R$14:$R$949,'09월 에너지'!$B$14:$B$949,$A73,'09월 에너지'!$C$14:$C$949,$B74)))</f>
        <v>401.05492565518159</v>
      </c>
      <c r="AB74" s="1062">
        <f>IF($C74&lt;1,"",(AVERAGEIFS('09월 에너지'!$X$14:$X$949,'09월 에너지'!$A$14:$A$949,$A73,'09월 에너지'!$C$14:$C$949,$B74)))</f>
        <v>2.3130770329726573</v>
      </c>
      <c r="AC74" s="1063">
        <f>IF($C74&lt;1,"",(AVERAGEIFS('09월 에너지'!$AC$14:$AC$949,'09월 에너지'!$A$14:$A$949,$A73,'09월 에너지'!$C$14:$C$949,$B74)))</f>
        <v>27.313521982027282</v>
      </c>
      <c r="AD74" s="1064">
        <f>IF($C74&lt;1,"",(AVERAGEIFS('09월 에너지'!$AD$14:$AD$949,'09월 에너지'!$B$14:$B$949,$A73,'09월 에너지'!$C$14:$C$949,$B74)))</f>
        <v>4316.1428571428569</v>
      </c>
      <c r="AE74" s="1065">
        <f>IF($C74&lt;1,"",(AVERAGEIFS('09월 에너지'!$AE$14:$AE$949,'09월 에너지'!$B$14:$B$949,$A73,'09월 에너지'!$C$14:$C$949,$B74)))</f>
        <v>29.626599014999936</v>
      </c>
      <c r="AF74" s="1066">
        <f>IF($C74&lt;1,"",(AVERAGEIFS('09월 에너지'!$AI$14:$AI$949,'09월 에너지'!$B$14:$B$949,$A73,'09월 에너지'!$C$14:$C$949,$B74)))</f>
        <v>154.28571428571428</v>
      </c>
      <c r="AG74" s="1067">
        <f>IF($C74&lt;1,"",(AVERAGEIFS('09월 에너지'!$AJ$14:$AJ$949,'09월 에너지'!$B$14:$B$949,$A73,'09월 에너지'!$C$14:$C$949,$B74)))</f>
        <v>1.058957093994958</v>
      </c>
    </row>
    <row r="75" spans="1:33" ht="16.5" customHeight="1" thickTop="1" thickBot="1">
      <c r="A75" s="1632"/>
      <c r="B75" s="781" t="s">
        <v>93</v>
      </c>
      <c r="C75" s="782">
        <f>COUNTIFS('09월 조업일지'!$B$12:$B$952,A73,'09월 조업일지'!$E$12:$E$952,B75)</f>
        <v>10</v>
      </c>
      <c r="D75" s="1047">
        <f t="shared" ref="D75:D136" si="21">IF(C75&lt;1,"",F75-E75)</f>
        <v>46.199999999999996</v>
      </c>
      <c r="E75" s="1048">
        <f>IF($C75&lt;1,"",(SUMIFS('09월 조업일지'!$K$12:$K$954,'09월 조업일지'!$B$12:$B$954,$A73,'09월 조업일지'!$E$12:$E$954,$B75)/$C75))</f>
        <v>2.6</v>
      </c>
      <c r="F75" s="1049">
        <f>IF($C75&lt;1,"",(AVERAGEIFS('09월 조업일지'!$J$12:$J$954,'09월 조업일지'!$B$12:$B$954,$A73,'09월 조업일지'!$E$12:$E$954,$B75)))</f>
        <v>48.8</v>
      </c>
      <c r="G75" s="1050">
        <f>IF($C75&lt;1,"",(AVERAGEIFS('09월 에너지'!$M$14:$M$950,'09월 에너지'!$B$14:$B$950,$A73,'09월 에너지'!$C$14:$C$950,$B75)))</f>
        <v>46.739999999999995</v>
      </c>
      <c r="H75" s="1051">
        <f>IF($C75&lt;1,"",(AVERAGEIFS('09월 조업일지'!$AJ$12:$AJ$954,'09월 조업일지'!$B$12:$B$954,$A73,'09월 조업일지'!$E$12:$E$954,$B75)))</f>
        <v>21.3</v>
      </c>
      <c r="I75" s="1052">
        <f>IF($C75&lt;1,"",(AVERAGEIFS('09월 조업일지'!$AL$12:$AL$954,'09월 조업일지'!$B$12:$B$954,$A73,'09월 조업일지'!$E$12:$E$954,$B75)))</f>
        <v>10.4</v>
      </c>
      <c r="J75" s="1053">
        <f>IF($C75&lt;1,"",(AVERAGEIFS('09월 화학성분'!G$12:G$950,'09월 화학성분'!$B$12:$B$950,$A73,'09월 화학성분'!$D$12:$D$950,$B75)))</f>
        <v>15</v>
      </c>
      <c r="K75" s="1054">
        <f>IF($C75&lt;1,"",(AVERAGEIFS('09월 화학성분'!H$12:H$950,'09월 화학성분'!$B$12:$B$950,$A73,'09월 화학성분'!$D$12:$D$950,$B75)))</f>
        <v>16.5</v>
      </c>
      <c r="L75" s="1054">
        <f>IF($C75&lt;1,"",(AVERAGEIFS('09월 화학성분'!I$12:I$950,'09월 화학성분'!$B$12:$B$950,$A73,'09월 화학성분'!$D$12:$D$950,$B75)))</f>
        <v>58</v>
      </c>
      <c r="M75" s="1054">
        <f>IF($C75&lt;1,"",(AVERAGEIFS('09월 화학성분'!J$12:J$950,'09월 화학성분'!$B$12:$B$950,$A73,'09월 화학성분'!$D$12:$D$950,$B75)))</f>
        <v>14.8</v>
      </c>
      <c r="N75" s="1054">
        <f>IF($C75&lt;1,"",(AVERAGEIFS('09월 화학성분'!K$12:K$950,'09월 화학성분'!$B$12:$B$950,$A73,'09월 화학성분'!$D$12:$D$950,$B75)))</f>
        <v>32.4</v>
      </c>
      <c r="O75" s="1054">
        <f>IF($C75&lt;1,"",(AVERAGEIFS('09월 화학성분'!L$12:L$950,'09월 화학성분'!$B$12:$B$950,$A73,'09월 화학성분'!$D$12:$D$950,$B75)))</f>
        <v>12.4</v>
      </c>
      <c r="P75" s="1054">
        <f>IF($C75&lt;1,"",(AVERAGEIFS('09월 화학성분'!M$12:M$950,'09월 화학성분'!$B$12:$B$950,$A73,'09월 화학성분'!$D$12:$D$950,$B75)))</f>
        <v>9.1</v>
      </c>
      <c r="Q75" s="1054">
        <f>IF($C75&lt;1,"",(AVERAGEIFS('09월 조업일지'!$AK$12:$AK$954,'09월 조업일지'!$B$12:$B$954,$A73,'09월 조업일지'!$E$12:$E$954,$B75)))</f>
        <v>474.3</v>
      </c>
      <c r="R75" s="1054">
        <f>IF($C75&lt;1,"",(AVERAGEIFS('09월 화학성분'!$G$12:$G$950,'09월 화학성분'!$B$12:$B$950,$A73,'09월 화학성분'!$D$12:$D$950,$B75)))</f>
        <v>15</v>
      </c>
      <c r="S75" s="1055">
        <f>IF($C75&lt;1,"",(AVERAGEIFS('09월 조업일지'!$AI$12:$AI$954,'09월 조업일지'!$B$12:$B$954,$A73,'09월 조업일지'!$E$12:$E$954,$B75)))</f>
        <v>1559.6</v>
      </c>
      <c r="T75" s="1056">
        <f>IF($C75&lt;1,"",(AVERAGEIFS('09월 화학성분'!$AM$12:$AM$949,'09월 화학성분'!$B$12:$B$949,$A73,'09월 화학성분'!$D$12:$D$949,$B75)))</f>
        <v>1976.4</v>
      </c>
      <c r="U75" s="1057">
        <f>IF($C75&lt;1,"",(AVERAGEIFS('09월 고철장입'!$AJ$14:$AJ$949,'09월 고철장입'!$B$14:$B$949,$A73,'09월 고철장입'!$C$14:$C$949,$B75))/1000)</f>
        <v>158.16999999999999</v>
      </c>
      <c r="V75" s="1102">
        <f>IF($C75&lt;1,"",(AVERAGEIFS('09월 고철장입'!$AK$14:$AK$949,'09월 고철장입'!$B$14:$B$949,$A73,'09월 고철장입'!$C$14:$C$949,$B75)))</f>
        <v>142.44999999999999</v>
      </c>
      <c r="W75" s="1058">
        <f t="shared" si="20"/>
        <v>90.061326420939494</v>
      </c>
      <c r="X75" s="1059">
        <f>IF($C75&lt;1,"",(AVERAGEIFS('09월 에너지'!$O$14:$O$949,'09월 에너지'!$A$14:$A$949,$A73,'09월 에너지'!$C$14:$C$949,$B75)))</f>
        <v>184.03459494096316</v>
      </c>
      <c r="Y75" s="1060">
        <f>IF($C75&lt;1,"",(AVERAGEIFS('09월 에너지'!$P$14:$P$949,'09월 에너지'!$A$14:$A$949,$A73,'09월 에너지'!$C$14:$C$949,$B75)))</f>
        <v>145.84156679035485</v>
      </c>
      <c r="Z75" s="1060">
        <f>IF($C75&lt;1,"",(AVERAGEIFS('09월 에너지'!$Q$14:$Q$949,'09월 에너지'!$A$14:$A$949,$A73,'09월 에너지'!$C$14:$C$949,$B75)))</f>
        <v>91.026526369178896</v>
      </c>
      <c r="AA75" s="1061">
        <f>IF($C75&lt;1,"",(AVERAGEIFS('09월 에너지'!$R$14:$R$949,'09월 에너지'!$B$14:$B$949,$A73,'09월 에너지'!$C$14:$C$949,$B75)))</f>
        <v>414.83001085753511</v>
      </c>
      <c r="AB75" s="1062">
        <f>IF($C75&lt;1,"",(AVERAGEIFS('09월 에너지'!$X$14:$X$949,'09월 에너지'!$A$14:$A$949,$A73,'09월 에너지'!$C$14:$C$949,$B75)))</f>
        <v>2.4822577699638959</v>
      </c>
      <c r="AC75" s="1063">
        <f>IF($C75&lt;1,"",(AVERAGEIFS('09월 에너지'!$AC$14:$AC$949,'09월 에너지'!$A$14:$A$949,$A73,'09월 에너지'!$C$14:$C$949,$B75)))</f>
        <v>26.79841080960469</v>
      </c>
      <c r="AD75" s="1064">
        <f>IF($C75&lt;1,"",(AVERAGEIFS('09월 에너지'!$AD$14:$AD$949,'09월 에너지'!$B$14:$B$949,$A73,'09월 에너지'!$C$14:$C$949,$B75)))</f>
        <v>4200.5</v>
      </c>
      <c r="AE75" s="1065">
        <f>IF($C75&lt;1,"",(AVERAGEIFS('09월 에너지'!$AE$14:$AE$949,'09월 에너지'!$B$14:$B$949,$A73,'09월 에너지'!$C$14:$C$949,$B75)))</f>
        <v>29.507355899528772</v>
      </c>
      <c r="AF75" s="1066">
        <f>IF($C75&lt;1,"",(AVERAGEIFS('09월 에너지'!$AI$14:$AI$949,'09월 에너지'!$B$14:$B$949,$A73,'09월 에너지'!$C$14:$C$949,$B75)))</f>
        <v>149.69999999999999</v>
      </c>
      <c r="AG75" s="1067">
        <f>IF($C75&lt;1,"",(AVERAGEIFS('09월 에너지'!$AJ$14:$AJ$949,'09월 에너지'!$B$14:$B$949,$A73,'09월 에너지'!$C$14:$C$949,$B75)))</f>
        <v>1.048812558467582</v>
      </c>
    </row>
    <row r="76" spans="1:33" ht="16.5" customHeight="1" thickTop="1" thickBot="1">
      <c r="A76" s="1632"/>
      <c r="B76" s="783" t="s">
        <v>94</v>
      </c>
      <c r="C76" s="784">
        <f>COUNTIFS('09월 조업일지'!$B$12:$B$952,A73,'09월 조업일지'!$E$12:$E$952,B76)</f>
        <v>0</v>
      </c>
      <c r="D76" s="1068" t="str">
        <f t="shared" si="21"/>
        <v/>
      </c>
      <c r="E76" s="1069" t="str">
        <f>IF($C76&lt;1,"",(SUMIFS('09월 조업일지'!$K$12:$K$954,'09월 조업일지'!$B$12:$B$954,$A73,'09월 조업일지'!$E$12:$E$954,$B76)/$C76))</f>
        <v/>
      </c>
      <c r="F76" s="1070" t="str">
        <f>IF($C76&lt;1,"",(AVERAGEIFS('09월 조업일지'!$J$12:$J$954,'09월 조업일지'!$B$12:$B$954,$A73,'09월 조업일지'!$E$12:$E$954,$B76)))</f>
        <v/>
      </c>
      <c r="G76" s="1071" t="str">
        <f>IF($C76&lt;1,"",(AVERAGEIFS('09월 에너지'!$M$14:$M$950,'09월 에너지'!$B$14:$B$950,$A73,'09월 에너지'!$C$14:$C$950,$B76)))</f>
        <v/>
      </c>
      <c r="H76" s="1072" t="str">
        <f>IF($C76&lt;1,"",(AVERAGEIFS('09월 조업일지'!$AJ$12:$AJ$954,'09월 조업일지'!$B$12:$B$954,$A73,'09월 조업일지'!$E$12:$E$954,$B76)))</f>
        <v/>
      </c>
      <c r="I76" s="1073" t="str">
        <f>IF($C76&lt;1,"",(AVERAGEIFS('09월 조업일지'!$AL$12:$AL$954,'09월 조업일지'!$B$12:$B$954,$A73,'09월 조업일지'!$E$12:$E$954,$B76)))</f>
        <v/>
      </c>
      <c r="J76" s="1074" t="str">
        <f>IF($C76&lt;1,"",(AVERAGEIFS('09월 화학성분'!G$12:G$950,'09월 화학성분'!$B$12:$B$950,$A73,'09월 화학성분'!$D$12:$D$950,$B76)))</f>
        <v/>
      </c>
      <c r="K76" s="1075" t="str">
        <f>IF($C76&lt;1,"",(AVERAGEIFS('09월 화학성분'!H$12:H$950,'09월 화학성분'!$B$12:$B$950,$A73,'09월 화학성분'!$D$12:$D$950,$B76)))</f>
        <v/>
      </c>
      <c r="L76" s="1075" t="str">
        <f>IF($C76&lt;1,"",(AVERAGEIFS('09월 화학성분'!I$12:I$950,'09월 화학성분'!$B$12:$B$950,$A73,'09월 화학성분'!$D$12:$D$950,$B76)))</f>
        <v/>
      </c>
      <c r="M76" s="1075" t="str">
        <f>IF($C76&lt;1,"",(AVERAGEIFS('09월 화학성분'!J$12:J$950,'09월 화학성분'!$B$12:$B$950,$A73,'09월 화학성분'!$D$12:$D$950,$B76)))</f>
        <v/>
      </c>
      <c r="N76" s="1075" t="str">
        <f>IF($C76&lt;1,"",(AVERAGEIFS('09월 화학성분'!K$12:K$950,'09월 화학성분'!$B$12:$B$950,$A73,'09월 화학성분'!$D$12:$D$950,$B76)))</f>
        <v/>
      </c>
      <c r="O76" s="1075" t="str">
        <f>IF($C76&lt;1,"",(AVERAGEIFS('09월 화학성분'!L$12:L$950,'09월 화학성분'!$B$12:$B$950,$A73,'09월 화학성분'!$D$12:$D$950,$B76)))</f>
        <v/>
      </c>
      <c r="P76" s="1075" t="str">
        <f>IF($C76&lt;1,"",(AVERAGEIFS('09월 화학성분'!M$12:M$950,'09월 화학성분'!$B$12:$B$950,$A73,'09월 화학성분'!$D$12:$D$950,$B76)))</f>
        <v/>
      </c>
      <c r="Q76" s="1075" t="str">
        <f>IF($C76&lt;1,"",(AVERAGEIFS('09월 조업일지'!$AK$12:$AK$954,'09월 조업일지'!$B$12:$B$954,$A73,'09월 조업일지'!$E$12:$E$954,$B76)))</f>
        <v/>
      </c>
      <c r="R76" s="1075" t="str">
        <f>IF($C76&lt;1,"",(AVERAGEIFS('09월 화학성분'!$G$12:$G$950,'09월 화학성분'!$B$12:$B$950,$A73,'09월 화학성분'!$D$12:$D$950,$B76)))</f>
        <v/>
      </c>
      <c r="S76" s="1076" t="str">
        <f>IF($C76&lt;1,"",(AVERAGEIFS('09월 조업일지'!$AI$12:$AI$954,'09월 조업일지'!$B$12:$B$954,$A73,'09월 조업일지'!$E$12:$E$954,$B76)))</f>
        <v/>
      </c>
      <c r="T76" s="1077" t="str">
        <f>IF($C76&lt;1,"",(AVERAGEIFS('09월 화학성분'!$AM$12:$AM$949,'09월 화학성분'!$B$12:$B$949,$A73,'09월 화학성분'!$D$12:$D$949,$B76)))</f>
        <v/>
      </c>
      <c r="U76" s="1078" t="str">
        <f>IF($C76&lt;1,"",(AVERAGEIFS('09월 고철장입'!$AJ$14:$AJ$949,'09월 고철장입'!$B$14:$B$949,$A73,'09월 고철장입'!$C$14:$C$949,$B76))/1000)</f>
        <v/>
      </c>
      <c r="V76" s="1103" t="str">
        <f>IF($C76&lt;1,"",(AVERAGEIFS('09월 고철장입'!$AK$14:$AK$949,'09월 고철장입'!$B$14:$B$949,$A73,'09월 고철장입'!$C$14:$C$949,$B76)))</f>
        <v/>
      </c>
      <c r="W76" s="1079" t="str">
        <f t="shared" si="20"/>
        <v/>
      </c>
      <c r="X76" s="1080" t="str">
        <f>IF($C76&lt;1,"",(AVERAGEIFS('09월 에너지'!$O$14:$O$949,'09월 에너지'!$A$14:$A$949,$A73,'09월 에너지'!$C$14:$C$949,$B76)))</f>
        <v/>
      </c>
      <c r="Y76" s="1081" t="str">
        <f>IF($C76&lt;1,"",(AVERAGEIFS('09월 에너지'!$P$14:$P$949,'09월 에너지'!$A$14:$A$949,$A73,'09월 에너지'!$C$14:$C$949,$B76)))</f>
        <v/>
      </c>
      <c r="Z76" s="1081" t="str">
        <f>IF($C76&lt;1,"",(AVERAGEIFS('09월 에너지'!$Q$14:$Q$949,'09월 에너지'!$A$14:$A$949,$A73,'09월 에너지'!$C$14:$C$949,$B76)))</f>
        <v/>
      </c>
      <c r="AA76" s="1082" t="str">
        <f>IF($C76&lt;1,"",(AVERAGEIFS('09월 에너지'!$R$14:$R$949,'09월 에너지'!$B$14:$B$949,$A73,'09월 에너지'!$C$14:$C$949,$B76)))</f>
        <v/>
      </c>
      <c r="AB76" s="1083" t="str">
        <f>IF($C76&lt;1,"",(AVERAGEIFS('09월 에너지'!$X$14:$X$949,'09월 에너지'!$A$14:$A$949,$A73,'09월 에너지'!$C$14:$C$949,$B76)))</f>
        <v/>
      </c>
      <c r="AC76" s="1084" t="str">
        <f>IF($C76&lt;1,"",(AVERAGEIFS('09월 에너지'!$AC$14:$AC$949,'09월 에너지'!$A$14:$A$949,$A73,'09월 에너지'!$C$14:$C$949,$B76)))</f>
        <v/>
      </c>
      <c r="AD76" s="1085" t="str">
        <f>IF($C76&lt;1,"",(AVERAGEIFS('09월 에너지'!$AD$14:$AD$949,'09월 에너지'!$B$14:$B$949,$A73,'09월 에너지'!$C$14:$C$949,$B76)))</f>
        <v/>
      </c>
      <c r="AE76" s="1086" t="str">
        <f>IF($C76&lt;1,"",(AVERAGEIFS('09월 에너지'!$AE$14:$AE$949,'09월 에너지'!$B$14:$B$949,$A73,'09월 에너지'!$C$14:$C$949,$B76)))</f>
        <v/>
      </c>
      <c r="AF76" s="1087" t="str">
        <f>IF($C76&lt;1,"",(AVERAGEIFS('09월 에너지'!$AI$14:$AI$949,'09월 에너지'!$B$14:$B$949,$A73,'09월 에너지'!$C$14:$C$949,$B76)))</f>
        <v/>
      </c>
      <c r="AG76" s="1088" t="str">
        <f>IF($C76&lt;1,"",(AVERAGEIFS('09월 에너지'!$AJ$14:$AJ$949,'09월 에너지'!$B$14:$B$949,$A73,'09월 에너지'!$C$14:$C$949,$B76)))</f>
        <v/>
      </c>
    </row>
    <row r="77" spans="1:33" ht="16.5" customHeight="1" thickTop="1" thickBot="1">
      <c r="A77" s="1632">
        <f t="shared" ref="A77" si="22">A73+1</f>
        <v>46284</v>
      </c>
      <c r="B77" s="775" t="s">
        <v>128</v>
      </c>
      <c r="C77" s="776">
        <f>COUNTIFS('09월 조업일지'!$B$12:$B$952,A77,'09월 조업일지'!$E$12:$E$952,B77)</f>
        <v>10</v>
      </c>
      <c r="D77" s="1026">
        <f t="shared" si="21"/>
        <v>48.9</v>
      </c>
      <c r="E77" s="1027">
        <f>IF($C77&lt;1,"",(SUMIFS('09월 조업일지'!$K$12:$K$954,'09월 조업일지'!$B$12:$B$954,$A77,'09월 조업일지'!$E$12:$E$954,$B77)/$C77))</f>
        <v>0</v>
      </c>
      <c r="F77" s="1028">
        <f>IF($C77&lt;1,"",(AVERAGEIFS('09월 조업일지'!$J$12:$J$954,'09월 조업일지'!$B$12:$B$954,$A77,'09월 조업일지'!$E$12:$E$954,$B77)))</f>
        <v>48.9</v>
      </c>
      <c r="G77" s="1029">
        <f>IF($C77&lt;1,"",(AVERAGEIFS('09월 에너지'!$M$14:$M$950,'09월 에너지'!$B$14:$B$950,$A77,'09월 에너지'!$C$14:$C$950,$B77)))</f>
        <v>47.419999999999995</v>
      </c>
      <c r="H77" s="1030">
        <f>IF($C77&lt;1,"",(AVERAGEIFS('09월 조업일지'!$AJ$12:$AJ$954,'09월 조업일지'!$B$12:$B$954,$A77,'09월 조업일지'!$E$12:$E$954,$B77)))</f>
        <v>6.6</v>
      </c>
      <c r="I77" s="1031">
        <f>IF($C77&lt;1,"",(AVERAGEIFS('09월 조업일지'!$AL$12:$AL$954,'09월 조업일지'!$B$12:$B$954,$A77,'09월 조업일지'!$E$12:$E$954,$B77)))</f>
        <v>10</v>
      </c>
      <c r="J77" s="1032">
        <f>IF($C77&lt;1,"",(AVERAGEIFS('09월 화학성분'!G$12:G$950,'09월 화학성분'!$B$12:$B$950,$A77,'09월 화학성분'!$D$12:$D$950,$B77)))</f>
        <v>12.2</v>
      </c>
      <c r="K77" s="1033">
        <f>IF($C77&lt;1,"",(AVERAGEIFS('09월 화학성분'!H$12:H$950,'09월 화학성분'!$B$12:$B$950,$A77,'09월 화학성분'!$D$12:$D$950,$B77)))</f>
        <v>21.8</v>
      </c>
      <c r="L77" s="1033">
        <f>IF($C77&lt;1,"",(AVERAGEIFS('09월 화학성분'!I$12:I$950,'09월 화학성분'!$B$12:$B$950,$A77,'09월 화학성분'!$D$12:$D$950,$B77)))</f>
        <v>80.400000000000006</v>
      </c>
      <c r="M77" s="1033">
        <f>IF($C77&lt;1,"",(AVERAGEIFS('09월 화학성분'!J$12:J$950,'09월 화학성분'!$B$12:$B$950,$A77,'09월 화학성분'!$D$12:$D$950,$B77)))</f>
        <v>16.600000000000001</v>
      </c>
      <c r="N77" s="1033">
        <f>IF($C77&lt;1,"",(AVERAGEIFS('09월 화학성분'!K$12:K$950,'09월 화학성분'!$B$12:$B$950,$A77,'09월 화학성분'!$D$12:$D$950,$B77)))</f>
        <v>39.9</v>
      </c>
      <c r="O77" s="1033">
        <f>IF($C77&lt;1,"",(AVERAGEIFS('09월 화학성분'!L$12:L$950,'09월 화학성분'!$B$12:$B$950,$A77,'09월 화학성분'!$D$12:$D$950,$B77)))</f>
        <v>14.1</v>
      </c>
      <c r="P77" s="1033">
        <f>IF($C77&lt;1,"",(AVERAGEIFS('09월 화학성분'!M$12:M$950,'09월 화학성분'!$B$12:$B$950,$A77,'09월 화학성분'!$D$12:$D$950,$B77)))</f>
        <v>9.8000000000000007</v>
      </c>
      <c r="Q77" s="1033">
        <f>IF($C77&lt;1,"",(AVERAGEIFS('09월 조업일지'!$AK$12:$AK$954,'09월 조업일지'!$B$12:$B$954,$A77,'09월 조업일지'!$E$12:$E$954,$B77)))</f>
        <v>477.2</v>
      </c>
      <c r="R77" s="1033">
        <f>IF($C77&lt;1,"",(AVERAGEIFS('09월 화학성분'!$G$12:$G$950,'09월 화학성분'!$B$12:$B$950,$A77,'09월 화학성분'!$D$12:$D$950,$B77)))</f>
        <v>12.2</v>
      </c>
      <c r="S77" s="1034">
        <f>IF($C77&lt;1,"",(AVERAGEIFS('09월 조업일지'!$AI$12:$AI$954,'09월 조업일지'!$B$12:$B$954,$A77,'09월 조업일지'!$E$12:$E$954,$B77)))</f>
        <v>1449.2</v>
      </c>
      <c r="T77" s="1035">
        <f>IF($C77&lt;1,"",(AVERAGEIFS('09월 화학성분'!$AM$12:$AM$949,'09월 화학성분'!$B$12:$B$949,$A77,'09월 화학성분'!$D$12:$D$949,$B77)))</f>
        <v>2253.4</v>
      </c>
      <c r="U77" s="1036">
        <f>IF($C77&lt;1,"",(AVERAGEIFS('09월 고철장입'!$AJ$14:$AJ$949,'09월 고철장입'!$B$14:$B$949,$A77,'09월 고철장입'!$C$14:$C$949,$B77))/1000)</f>
        <v>158.82</v>
      </c>
      <c r="V77" s="1101">
        <f>IF($C77&lt;1,"",(AVERAGEIFS('09월 고철장입'!$AK$14:$AK$949,'09월 고철장입'!$B$14:$B$949,$A77,'09월 고철장입'!$C$14:$C$949,$B77)))</f>
        <v>144.48999999999998</v>
      </c>
      <c r="W77" s="1037">
        <f t="shared" si="20"/>
        <v>90.977206900894075</v>
      </c>
      <c r="X77" s="1038">
        <f>IF($C77&lt;1,"",(AVERAGEIFS('09월 에너지'!$O$14:$O$949,'09월 에너지'!$A$14:$A$949,$A77,'09월 에너지'!$C$14:$C$949,$B77)))</f>
        <v>162.03294984304054</v>
      </c>
      <c r="Y77" s="1039">
        <f>IF($C77&lt;1,"",(AVERAGEIFS('09월 에너지'!$P$14:$P$949,'09월 에너지'!$A$14:$A$949,$A77,'09월 에너지'!$C$14:$C$949,$B77)))</f>
        <v>142.38187631003774</v>
      </c>
      <c r="Z77" s="1039">
        <f>IF($C77&lt;1,"",(AVERAGEIFS('09월 에너지'!$Q$14:$Q$949,'09월 에너지'!$A$14:$A$949,$A77,'09월 에너지'!$C$14:$C$949,$B77)))</f>
        <v>93.847541806187763</v>
      </c>
      <c r="AA77" s="1040">
        <f>IF($C77&lt;1,"",(AVERAGEIFS('09월 에너지'!$R$14:$R$949,'09월 에너지'!$B$14:$B$949,$A77,'09월 에너지'!$C$14:$C$949,$B77)))</f>
        <v>398.26236795926604</v>
      </c>
      <c r="AB77" s="1041">
        <f>IF($C77&lt;1,"",(AVERAGEIFS('09월 에너지'!$X$14:$X$949,'09월 에너지'!$A$14:$A$949,$A77,'09월 에너지'!$C$14:$C$949,$B77)))</f>
        <v>2.7989386096742148</v>
      </c>
      <c r="AC77" s="1042">
        <f>IF($C77&lt;1,"",(AVERAGEIFS('09월 에너지'!$AC$14:$AC$949,'09월 에너지'!$A$14:$A$949,$A77,'09월 에너지'!$C$14:$C$949,$B77)))</f>
        <v>26.974682900368141</v>
      </c>
      <c r="AD77" s="1043">
        <f>IF($C77&lt;1,"",(AVERAGEIFS('09월 에너지'!$AD$14:$AD$949,'09월 에너지'!$B$14:$B$949,$A77,'09월 에너지'!$C$14:$C$949,$B77)))</f>
        <v>4302.8999999999996</v>
      </c>
      <c r="AE77" s="1044">
        <f>IF($C77&lt;1,"",(AVERAGEIFS('09월 에너지'!$AE$14:$AE$949,'09월 에너지'!$B$14:$B$949,$A77,'09월 에너지'!$C$14:$C$949,$B77)))</f>
        <v>29.773621510042357</v>
      </c>
      <c r="AF77" s="1045">
        <f>IF($C77&lt;1,"",(AVERAGEIFS('09월 에너지'!$AI$14:$AI$949,'09월 에너지'!$B$14:$B$949,$A77,'09월 에너지'!$C$14:$C$949,$B77)))</f>
        <v>155.4</v>
      </c>
      <c r="AG77" s="1046">
        <f>IF($C77&lt;1,"",(AVERAGEIFS('09월 에너지'!$AJ$14:$AJ$949,'09월 에너지'!$B$14:$B$949,$A77,'09월 에너지'!$C$14:$C$949,$B77)))</f>
        <v>1.0756362423698349</v>
      </c>
    </row>
    <row r="78" spans="1:33" ht="16.5" customHeight="1" thickTop="1" thickBot="1">
      <c r="A78" s="1632"/>
      <c r="B78" s="781" t="s">
        <v>100</v>
      </c>
      <c r="C78" s="782">
        <f>COUNTIFS('09월 조업일지'!$B$12:$B$952,A77,'09월 조업일지'!$E$12:$E$952,B78)</f>
        <v>10</v>
      </c>
      <c r="D78" s="1047">
        <f t="shared" si="21"/>
        <v>47.100000000000009</v>
      </c>
      <c r="E78" s="1048">
        <f>IF($C78&lt;1,"",(SUMIFS('09월 조업일지'!$K$12:$K$954,'09월 조업일지'!$B$12:$B$954,$A77,'09월 조업일지'!$E$12:$E$954,$B78)/$C78))</f>
        <v>0</v>
      </c>
      <c r="F78" s="1049">
        <f>IF($C78&lt;1,"",(AVERAGEIFS('09월 조업일지'!$J$12:$J$954,'09월 조업일지'!$B$12:$B$954,$A77,'09월 조업일지'!$E$12:$E$954,$B78)))</f>
        <v>47.100000000000009</v>
      </c>
      <c r="G78" s="1050">
        <f>IF($C78&lt;1,"",(AVERAGEIFS('09월 에너지'!$M$14:$M$950,'09월 에너지'!$B$14:$B$950,$A77,'09월 에너지'!$C$14:$C$950,$B78)))</f>
        <v>46.25</v>
      </c>
      <c r="H78" s="1051">
        <f>IF($C78&lt;1,"",(AVERAGEIFS('09월 조업일지'!$AJ$12:$AJ$954,'09월 조업일지'!$B$12:$B$954,$A77,'09월 조업일지'!$E$12:$E$954,$B78)))</f>
        <v>84.6</v>
      </c>
      <c r="I78" s="1052">
        <f>IF($C78&lt;1,"",(AVERAGEIFS('09월 조업일지'!$AL$12:$AL$954,'09월 조업일지'!$B$12:$B$954,$A77,'09월 조업일지'!$E$12:$E$954,$B78)))</f>
        <v>7.7</v>
      </c>
      <c r="J78" s="1053">
        <f>IF($C78&lt;1,"",(AVERAGEIFS('09월 화학성분'!G$12:G$950,'09월 화학성분'!$B$12:$B$950,$A77,'09월 화학성분'!$D$12:$D$950,$B78)))</f>
        <v>10.5</v>
      </c>
      <c r="K78" s="1054">
        <f>IF($C78&lt;1,"",(AVERAGEIFS('09월 화학성분'!H$12:H$950,'09월 화학성분'!$B$12:$B$950,$A77,'09월 화학성분'!$D$12:$D$950,$B78)))</f>
        <v>18.2</v>
      </c>
      <c r="L78" s="1054">
        <f>IF($C78&lt;1,"",(AVERAGEIFS('09월 화학성분'!I$12:I$950,'09월 화학성분'!$B$12:$B$950,$A77,'09월 화학성분'!$D$12:$D$950,$B78)))</f>
        <v>54.4</v>
      </c>
      <c r="M78" s="1054">
        <f>IF($C78&lt;1,"",(AVERAGEIFS('09월 화학성분'!J$12:J$950,'09월 화학성분'!$B$12:$B$950,$A77,'09월 화학성분'!$D$12:$D$950,$B78)))</f>
        <v>16.8</v>
      </c>
      <c r="N78" s="1054">
        <f>IF($C78&lt;1,"",(AVERAGEIFS('09월 화학성분'!K$12:K$950,'09월 화학성분'!$B$12:$B$950,$A77,'09월 화학성분'!$D$12:$D$950,$B78)))</f>
        <v>41</v>
      </c>
      <c r="O78" s="1054">
        <f>IF($C78&lt;1,"",(AVERAGEIFS('09월 화학성분'!L$12:L$950,'09월 화학성분'!$B$12:$B$950,$A77,'09월 화학성분'!$D$12:$D$950,$B78)))</f>
        <v>13.9</v>
      </c>
      <c r="P78" s="1054">
        <f>IF($C78&lt;1,"",(AVERAGEIFS('09월 화학성분'!M$12:M$950,'09월 화학성분'!$B$12:$B$950,$A77,'09월 화학성분'!$D$12:$D$950,$B78)))</f>
        <v>10.5</v>
      </c>
      <c r="Q78" s="1054">
        <f>IF($C78&lt;1,"",(AVERAGEIFS('09월 조업일지'!$AK$12:$AK$954,'09월 조업일지'!$B$12:$B$954,$A77,'09월 조업일지'!$E$12:$E$954,$B78)))</f>
        <v>556.29999999999995</v>
      </c>
      <c r="R78" s="1054">
        <f>IF($C78&lt;1,"",(AVERAGEIFS('09월 화학성분'!$G$12:$G$950,'09월 화학성분'!$B$12:$B$950,$A77,'09월 화학성분'!$D$12:$D$950,$B78)))</f>
        <v>10.5</v>
      </c>
      <c r="S78" s="1055">
        <f>IF($C78&lt;1,"",(AVERAGEIFS('09월 조업일지'!$AI$12:$AI$954,'09월 조업일지'!$B$12:$B$954,$A77,'09월 조업일지'!$E$12:$E$954,$B78)))</f>
        <v>1577.1</v>
      </c>
      <c r="T78" s="1056">
        <f>IF($C78&lt;1,"",(AVERAGEIFS('09월 화학성분'!$AM$12:$AM$949,'09월 화학성분'!$B$12:$B$949,$A77,'09월 화학성분'!$D$12:$D$949,$B78)))</f>
        <v>1737</v>
      </c>
      <c r="U78" s="1057">
        <f>IF($C78&lt;1,"",(AVERAGEIFS('09월 고철장입'!$AJ$14:$AJ$949,'09월 고철장입'!$B$14:$B$949,$A77,'09월 고철장입'!$C$14:$C$949,$B78))/1000)</f>
        <v>158.49</v>
      </c>
      <c r="V78" s="1102">
        <f>IF($C78&lt;1,"",(AVERAGEIFS('09월 고철장입'!$AK$14:$AK$949,'09월 고철장입'!$B$14:$B$949,$A77,'09월 고철장입'!$C$14:$C$949,$B78)))</f>
        <v>144.54000000000002</v>
      </c>
      <c r="W78" s="1058">
        <f t="shared" si="20"/>
        <v>91.198182850653041</v>
      </c>
      <c r="X78" s="1059">
        <f>IF($C78&lt;1,"",(AVERAGEIFS('09월 에너지'!$O$14:$O$949,'09월 에너지'!$A$14:$A$949,$A77,'09월 에너지'!$C$14:$C$949,$B78)))</f>
        <v>160.83703592425002</v>
      </c>
      <c r="Y78" s="1060">
        <f>IF($C78&lt;1,"",(AVERAGEIFS('09월 에너지'!$P$14:$P$949,'09월 에너지'!$A$14:$A$949,$A77,'09월 에너지'!$C$14:$C$949,$B78)))</f>
        <v>142.83627540351151</v>
      </c>
      <c r="Z78" s="1060">
        <f>IF($C78&lt;1,"",(AVERAGEIFS('09월 에너지'!$Q$14:$Q$949,'09월 에너지'!$A$14:$A$949,$A77,'09월 에너지'!$C$14:$C$949,$B78)))</f>
        <v>78.993997700180714</v>
      </c>
      <c r="AA78" s="1061">
        <f>IF($C78&lt;1,"",(AVERAGEIFS('09월 에너지'!$R$14:$R$949,'09월 에너지'!$B$14:$B$949,$A77,'09월 에너지'!$C$14:$C$949,$B78)))</f>
        <v>382.66730902794222</v>
      </c>
      <c r="AB78" s="1062">
        <f>IF($C78&lt;1,"",(AVERAGEIFS('09월 에너지'!$X$14:$X$949,'09월 에너지'!$A$14:$A$949,$A77,'09월 에너지'!$C$14:$C$949,$B78)))</f>
        <v>2.52159955294914</v>
      </c>
      <c r="AC78" s="1063">
        <f>IF($C78&lt;1,"",(AVERAGEIFS('09월 에너지'!$AC$14:$AC$949,'09월 에너지'!$A$14:$A$949,$A77,'09월 에너지'!$C$14:$C$949,$B78)))</f>
        <v>27.328794541577651</v>
      </c>
      <c r="AD78" s="1064">
        <f>IF($C78&lt;1,"",(AVERAGEIFS('09월 에너지'!$AD$14:$AD$949,'09월 에너지'!$B$14:$B$949,$A77,'09월 에너지'!$C$14:$C$949,$B78)))</f>
        <v>4315.3</v>
      </c>
      <c r="AE78" s="1065">
        <f>IF($C78&lt;1,"",(AVERAGEIFS('09월 에너지'!$AE$14:$AE$949,'09월 에너지'!$B$14:$B$949,$A77,'09월 에너지'!$C$14:$C$949,$B78)))</f>
        <v>29.850394094526784</v>
      </c>
      <c r="AF78" s="1066">
        <f>IF($C78&lt;1,"",(AVERAGEIFS('09월 에너지'!$AI$14:$AI$949,'09월 에너지'!$B$14:$B$949,$A77,'09월 에너지'!$C$14:$C$949,$B78)))</f>
        <v>156.5</v>
      </c>
      <c r="AG78" s="1067">
        <f>IF($C78&lt;1,"",(AVERAGEIFS('09월 에너지'!$AJ$14:$AJ$949,'09월 에너지'!$B$14:$B$949,$A77,'09월 에너지'!$C$14:$C$949,$B78)))</f>
        <v>1.0827327272909149</v>
      </c>
    </row>
    <row r="79" spans="1:33" ht="16.5" customHeight="1" thickTop="1" thickBot="1">
      <c r="A79" s="1632"/>
      <c r="B79" s="781" t="s">
        <v>93</v>
      </c>
      <c r="C79" s="782">
        <f>COUNTIFS('09월 조업일지'!$B$12:$B$952,A77,'09월 조업일지'!$E$12:$E$952,B79)</f>
        <v>0</v>
      </c>
      <c r="D79" s="1047" t="str">
        <f t="shared" si="21"/>
        <v/>
      </c>
      <c r="E79" s="1048" t="str">
        <f>IF($C79&lt;1,"",(SUMIFS('09월 조업일지'!$K$12:$K$954,'09월 조업일지'!$B$12:$B$954,$A77,'09월 조업일지'!$E$12:$E$954,$B79)/$C79))</f>
        <v/>
      </c>
      <c r="F79" s="1049" t="str">
        <f>IF($C79&lt;1,"",(AVERAGEIFS('09월 조업일지'!$J$12:$J$954,'09월 조업일지'!$B$12:$B$954,$A77,'09월 조업일지'!$E$12:$E$954,$B79)))</f>
        <v/>
      </c>
      <c r="G79" s="1050" t="str">
        <f>IF($C79&lt;1,"",(AVERAGEIFS('09월 에너지'!$M$14:$M$950,'09월 에너지'!$B$14:$B$950,$A77,'09월 에너지'!$C$14:$C$950,$B79)))</f>
        <v/>
      </c>
      <c r="H79" s="1051" t="str">
        <f>IF($C79&lt;1,"",(AVERAGEIFS('09월 조업일지'!$AJ$12:$AJ$954,'09월 조업일지'!$B$12:$B$954,$A77,'09월 조업일지'!$E$12:$E$954,$B79)))</f>
        <v/>
      </c>
      <c r="I79" s="1052" t="str">
        <f>IF($C79&lt;1,"",(AVERAGEIFS('09월 조업일지'!$AL$12:$AL$954,'09월 조업일지'!$B$12:$B$954,$A77,'09월 조업일지'!$E$12:$E$954,$B79)))</f>
        <v/>
      </c>
      <c r="J79" s="1053" t="str">
        <f>IF($C79&lt;1,"",(AVERAGEIFS('09월 화학성분'!G$12:G$950,'09월 화학성분'!$B$12:$B$950,$A77,'09월 화학성분'!$D$12:$D$950,$B79)))</f>
        <v/>
      </c>
      <c r="K79" s="1054" t="str">
        <f>IF($C79&lt;1,"",(AVERAGEIFS('09월 화학성분'!H$12:H$950,'09월 화학성분'!$B$12:$B$950,$A77,'09월 화학성분'!$D$12:$D$950,$B79)))</f>
        <v/>
      </c>
      <c r="L79" s="1054" t="str">
        <f>IF($C79&lt;1,"",(AVERAGEIFS('09월 화학성분'!I$12:I$950,'09월 화학성분'!$B$12:$B$950,$A77,'09월 화학성분'!$D$12:$D$950,$B79)))</f>
        <v/>
      </c>
      <c r="M79" s="1054" t="str">
        <f>IF($C79&lt;1,"",(AVERAGEIFS('09월 화학성분'!J$12:J$950,'09월 화학성분'!$B$12:$B$950,$A77,'09월 화학성분'!$D$12:$D$950,$B79)))</f>
        <v/>
      </c>
      <c r="N79" s="1054" t="str">
        <f>IF($C79&lt;1,"",(AVERAGEIFS('09월 화학성분'!K$12:K$950,'09월 화학성분'!$B$12:$B$950,$A77,'09월 화학성분'!$D$12:$D$950,$B79)))</f>
        <v/>
      </c>
      <c r="O79" s="1054" t="str">
        <f>IF($C79&lt;1,"",(AVERAGEIFS('09월 화학성분'!L$12:L$950,'09월 화학성분'!$B$12:$B$950,$A77,'09월 화학성분'!$D$12:$D$950,$B79)))</f>
        <v/>
      </c>
      <c r="P79" s="1054" t="str">
        <f>IF($C79&lt;1,"",(AVERAGEIFS('09월 화학성분'!M$12:M$950,'09월 화학성분'!$B$12:$B$950,$A77,'09월 화학성분'!$D$12:$D$950,$B79)))</f>
        <v/>
      </c>
      <c r="Q79" s="1054" t="str">
        <f>IF($C79&lt;1,"",(AVERAGEIFS('09월 조업일지'!$AK$12:$AK$954,'09월 조업일지'!$B$12:$B$954,$A77,'09월 조업일지'!$E$12:$E$954,$B79)))</f>
        <v/>
      </c>
      <c r="R79" s="1054" t="str">
        <f>IF($C79&lt;1,"",(AVERAGEIFS('09월 화학성분'!$G$12:$G$950,'09월 화학성분'!$B$12:$B$950,$A77,'09월 화학성분'!$D$12:$D$950,$B79)))</f>
        <v/>
      </c>
      <c r="S79" s="1055" t="str">
        <f>IF($C79&lt;1,"",(AVERAGEIFS('09월 조업일지'!$AI$12:$AI$954,'09월 조업일지'!$B$12:$B$954,$A77,'09월 조업일지'!$E$12:$E$954,$B79)))</f>
        <v/>
      </c>
      <c r="T79" s="1056" t="str">
        <f>IF($C79&lt;1,"",(AVERAGEIFS('09월 화학성분'!$AM$12:$AM$949,'09월 화학성분'!$B$12:$B$949,$A77,'09월 화학성분'!$D$12:$D$949,$B79)))</f>
        <v/>
      </c>
      <c r="U79" s="1057" t="str">
        <f>IF($C79&lt;1,"",(AVERAGEIFS('09월 고철장입'!$AJ$14:$AJ$949,'09월 고철장입'!$B$14:$B$949,$A77,'09월 고철장입'!$C$14:$C$949,$B79))/1000)</f>
        <v/>
      </c>
      <c r="V79" s="1102" t="str">
        <f>IF($C79&lt;1,"",(AVERAGEIFS('09월 고철장입'!$AK$14:$AK$949,'09월 고철장입'!$B$14:$B$949,$A77,'09월 고철장입'!$C$14:$C$949,$B79)))</f>
        <v/>
      </c>
      <c r="W79" s="1058" t="str">
        <f t="shared" si="20"/>
        <v/>
      </c>
      <c r="X79" s="1059" t="str">
        <f>IF($C79&lt;1,"",(AVERAGEIFS('09월 에너지'!$O$14:$O$949,'09월 에너지'!$A$14:$A$949,$A77,'09월 에너지'!$C$14:$C$949,$B79)))</f>
        <v/>
      </c>
      <c r="Y79" s="1060" t="str">
        <f>IF($C79&lt;1,"",(AVERAGEIFS('09월 에너지'!$P$14:$P$949,'09월 에너지'!$A$14:$A$949,$A77,'09월 에너지'!$C$14:$C$949,$B79)))</f>
        <v/>
      </c>
      <c r="Z79" s="1060" t="str">
        <f>IF($C79&lt;1,"",(AVERAGEIFS('09월 에너지'!$Q$14:$Q$949,'09월 에너지'!$A$14:$A$949,$A77,'09월 에너지'!$C$14:$C$949,$B79)))</f>
        <v/>
      </c>
      <c r="AA79" s="1061" t="str">
        <f>IF($C79&lt;1,"",(AVERAGEIFS('09월 에너지'!$R$14:$R$949,'09월 에너지'!$B$14:$B$949,$A77,'09월 에너지'!$C$14:$C$949,$B79)))</f>
        <v/>
      </c>
      <c r="AB79" s="1062" t="str">
        <f>IF($C79&lt;1,"",(AVERAGEIFS('09월 에너지'!$X$14:$X$949,'09월 에너지'!$A$14:$A$949,$A77,'09월 에너지'!$C$14:$C$949,$B79)))</f>
        <v/>
      </c>
      <c r="AC79" s="1063" t="str">
        <f>IF($C79&lt;1,"",(AVERAGEIFS('09월 에너지'!$AC$14:$AC$949,'09월 에너지'!$A$14:$A$949,$A77,'09월 에너지'!$C$14:$C$949,$B79)))</f>
        <v/>
      </c>
      <c r="AD79" s="1064" t="str">
        <f>IF($C79&lt;1,"",(AVERAGEIFS('09월 에너지'!$AD$14:$AD$949,'09월 에너지'!$B$14:$B$949,$A77,'09월 에너지'!$C$14:$C$949,$B79)))</f>
        <v/>
      </c>
      <c r="AE79" s="1065" t="str">
        <f>IF($C79&lt;1,"",(AVERAGEIFS('09월 에너지'!$AE$14:$AE$949,'09월 에너지'!$B$14:$B$949,$A77,'09월 에너지'!$C$14:$C$949,$B79)))</f>
        <v/>
      </c>
      <c r="AF79" s="1066" t="str">
        <f>IF($C79&lt;1,"",(AVERAGEIFS('09월 에너지'!$AI$14:$AI$949,'09월 에너지'!$B$14:$B$949,$A77,'09월 에너지'!$C$14:$C$949,$B79)))</f>
        <v/>
      </c>
      <c r="AG79" s="1067" t="str">
        <f>IF($C79&lt;1,"",(AVERAGEIFS('09월 에너지'!$AJ$14:$AJ$949,'09월 에너지'!$B$14:$B$949,$A77,'09월 에너지'!$C$14:$C$949,$B79)))</f>
        <v/>
      </c>
    </row>
    <row r="80" spans="1:33" ht="16.5" customHeight="1" thickTop="1" thickBot="1">
      <c r="A80" s="1632"/>
      <c r="B80" s="783" t="s">
        <v>94</v>
      </c>
      <c r="C80" s="784">
        <f>COUNTIFS('09월 조업일지'!$B$12:$B$952,A77,'09월 조업일지'!$E$12:$E$952,B80)</f>
        <v>10</v>
      </c>
      <c r="D80" s="1068">
        <f t="shared" si="21"/>
        <v>45.8</v>
      </c>
      <c r="E80" s="1069">
        <f>IF($C80&lt;1,"",(SUMIFS('09월 조업일지'!$K$12:$K$954,'09월 조업일지'!$B$12:$B$954,$A77,'09월 조업일지'!$E$12:$E$954,$B80)/$C80))</f>
        <v>0</v>
      </c>
      <c r="F80" s="1070">
        <f>IF($C80&lt;1,"",(AVERAGEIFS('09월 조업일지'!$J$12:$J$954,'09월 조업일지'!$B$12:$B$954,$A77,'09월 조업일지'!$E$12:$E$954,$B80)))</f>
        <v>45.8</v>
      </c>
      <c r="G80" s="1071">
        <f>IF($C80&lt;1,"",(AVERAGEIFS('09월 에너지'!$M$14:$M$950,'09월 에너지'!$B$14:$B$950,$A77,'09월 에너지'!$C$14:$C$950,$B80)))</f>
        <v>44.730000000000004</v>
      </c>
      <c r="H80" s="1072">
        <f>IF($C80&lt;1,"",(AVERAGEIFS('09월 조업일지'!$AJ$12:$AJ$954,'09월 조업일지'!$B$12:$B$954,$A77,'09월 조업일지'!$E$12:$E$954,$B80)))</f>
        <v>22.2</v>
      </c>
      <c r="I80" s="1073">
        <f>IF($C80&lt;1,"",(AVERAGEIFS('09월 조업일지'!$AL$12:$AL$954,'09월 조업일지'!$B$12:$B$954,$A77,'09월 조업일지'!$E$12:$E$954,$B80)))</f>
        <v>9.6</v>
      </c>
      <c r="J80" s="1074">
        <f>IF($C80&lt;1,"",(AVERAGEIFS('09월 화학성분'!G$12:G$950,'09월 화학성분'!$B$12:$B$950,$A77,'09월 화학성분'!$D$12:$D$950,$B80)))</f>
        <v>15.1</v>
      </c>
      <c r="K80" s="1075">
        <f>IF($C80&lt;1,"",(AVERAGEIFS('09월 화학성분'!H$12:H$950,'09월 화학성분'!$B$12:$B$950,$A77,'09월 화학성분'!$D$12:$D$950,$B80)))</f>
        <v>14.9</v>
      </c>
      <c r="L80" s="1075">
        <f>IF($C80&lt;1,"",(AVERAGEIFS('09월 화학성분'!I$12:I$950,'09월 화학성분'!$B$12:$B$950,$A77,'09월 화학성분'!$D$12:$D$950,$B80)))</f>
        <v>54.5</v>
      </c>
      <c r="M80" s="1075">
        <f>IF($C80&lt;1,"",(AVERAGEIFS('09월 화학성분'!J$12:J$950,'09월 화학성분'!$B$12:$B$950,$A77,'09월 화학성분'!$D$12:$D$950,$B80)))</f>
        <v>16.899999999999999</v>
      </c>
      <c r="N80" s="1075">
        <f>IF($C80&lt;1,"",(AVERAGEIFS('09월 화학성분'!K$12:K$950,'09월 화학성분'!$B$12:$B$950,$A77,'09월 화학성분'!$D$12:$D$950,$B80)))</f>
        <v>37.6</v>
      </c>
      <c r="O80" s="1075">
        <f>IF($C80&lt;1,"",(AVERAGEIFS('09월 화학성분'!L$12:L$950,'09월 화학성분'!$B$12:$B$950,$A77,'09월 화학성분'!$D$12:$D$950,$B80)))</f>
        <v>13</v>
      </c>
      <c r="P80" s="1075">
        <f>IF($C80&lt;1,"",(AVERAGEIFS('09월 화학성분'!M$12:M$950,'09월 화학성분'!$B$12:$B$950,$A77,'09월 화학성분'!$D$12:$D$950,$B80)))</f>
        <v>9.3000000000000007</v>
      </c>
      <c r="Q80" s="1075">
        <f>IF($C80&lt;1,"",(AVERAGEIFS('09월 조업일지'!$AK$12:$AK$954,'09월 조업일지'!$B$12:$B$954,$A77,'09월 조업일지'!$E$12:$E$954,$B80)))</f>
        <v>505.2</v>
      </c>
      <c r="R80" s="1075">
        <f>IF($C80&lt;1,"",(AVERAGEIFS('09월 화학성분'!$G$12:$G$950,'09월 화학성분'!$B$12:$B$950,$A77,'09월 화학성분'!$D$12:$D$950,$B80)))</f>
        <v>15.1</v>
      </c>
      <c r="S80" s="1076">
        <f>IF($C80&lt;1,"",(AVERAGEIFS('09월 조업일지'!$AI$12:$AI$954,'09월 조업일지'!$B$12:$B$954,$A77,'09월 조업일지'!$E$12:$E$954,$B80)))</f>
        <v>1583.2</v>
      </c>
      <c r="T80" s="1077">
        <f>IF($C80&lt;1,"",(AVERAGEIFS('09월 화학성분'!$AM$12:$AM$949,'09월 화학성분'!$B$12:$B$949,$A77,'09월 화학성분'!$D$12:$D$949,$B80)))</f>
        <v>1406.9</v>
      </c>
      <c r="U80" s="1078">
        <f>IF($C80&lt;1,"",(AVERAGEIFS('09월 고철장입'!$AJ$14:$AJ$949,'09월 고철장입'!$B$14:$B$949,$A77,'09월 고철장입'!$C$14:$C$949,$B80))/1000)</f>
        <v>158.97999999999999</v>
      </c>
      <c r="V80" s="1103">
        <f>IF($C80&lt;1,"",(AVERAGEIFS('09월 고철장입'!$AK$14:$AK$949,'09월 고철장입'!$B$14:$B$949,$A77,'09월 고철장입'!$C$14:$C$949,$B80)))</f>
        <v>143.88</v>
      </c>
      <c r="W80" s="1079">
        <f t="shared" si="20"/>
        <v>90.501949930808905</v>
      </c>
      <c r="X80" s="1080">
        <f>IF($C80&lt;1,"",(AVERAGEIFS('09월 에너지'!$O$14:$O$949,'09월 에너지'!$A$14:$A$949,$A77,'09월 에너지'!$C$14:$C$949,$B80)))</f>
        <v>157.94259727741411</v>
      </c>
      <c r="Y80" s="1081">
        <f>IF($C80&lt;1,"",(AVERAGEIFS('09월 에너지'!$P$14:$P$949,'09월 에너지'!$A$14:$A$949,$A77,'09월 에너지'!$C$14:$C$949,$B80)))</f>
        <v>143.91690292784244</v>
      </c>
      <c r="Z80" s="1081">
        <f>IF($C80&lt;1,"",(AVERAGEIFS('09월 에너지'!$Q$14:$Q$949,'09월 에너지'!$A$14:$A$949,$A77,'09월 에너지'!$C$14:$C$949,$B80)))</f>
        <v>82.207172642723307</v>
      </c>
      <c r="AA80" s="1082">
        <f>IF($C80&lt;1,"",(AVERAGEIFS('09월 에너지'!$R$14:$R$949,'09월 에너지'!$B$14:$B$949,$A77,'09월 에너지'!$C$14:$C$949,$B80)))</f>
        <v>382.9888565028495</v>
      </c>
      <c r="AB80" s="1083">
        <f>IF($C80&lt;1,"",(AVERAGEIFS('09월 에너지'!$X$14:$X$949,'09월 에너지'!$A$14:$A$949,$A77,'09월 에너지'!$C$14:$C$949,$B80)))</f>
        <v>2.3496408837561256</v>
      </c>
      <c r="AC80" s="1084">
        <f>IF($C80&lt;1,"",(AVERAGEIFS('09월 에너지'!$AC$14:$AC$949,'09월 에너지'!$A$14:$A$949,$A77,'09월 에너지'!$C$14:$C$949,$B80)))</f>
        <v>26.086146806277878</v>
      </c>
      <c r="AD80" s="1085">
        <f>IF($C80&lt;1,"",(AVERAGEIFS('09월 에너지'!$AD$14:$AD$949,'09월 에너지'!$B$14:$B$949,$A77,'09월 에너지'!$C$14:$C$949,$B80)))</f>
        <v>4108.3999999999996</v>
      </c>
      <c r="AE80" s="1086">
        <f>IF($C80&lt;1,"",(AVERAGEIFS('09월 에너지'!$AE$14:$AE$949,'09월 에너지'!$B$14:$B$949,$A77,'09월 에너지'!$C$14:$C$949,$B80)))</f>
        <v>28.558989841348922</v>
      </c>
      <c r="AF80" s="1087">
        <f>IF($C80&lt;1,"",(AVERAGEIFS('09월 에너지'!$AI$14:$AI$949,'09월 에너지'!$B$14:$B$949,$A77,'09월 에너지'!$C$14:$C$949,$B80)))</f>
        <v>153.6</v>
      </c>
      <c r="AG80" s="1088">
        <f>IF($C80&lt;1,"",(AVERAGEIFS('09월 에너지'!$AJ$14:$AJ$949,'09월 에너지'!$B$14:$B$949,$A77,'09월 에너지'!$C$14:$C$949,$B80)))</f>
        <v>1.0676837052873132</v>
      </c>
    </row>
    <row r="81" spans="1:33" ht="16.5" customHeight="1" thickTop="1" thickBot="1">
      <c r="A81" s="1632">
        <f t="shared" ref="A81" si="23">A77+1</f>
        <v>46285</v>
      </c>
      <c r="B81" s="775" t="s">
        <v>128</v>
      </c>
      <c r="C81" s="776">
        <f>COUNTIFS('09월 조업일지'!$B$12:$B$952,A81,'09월 조업일지'!$E$12:$E$952,B81)</f>
        <v>11</v>
      </c>
      <c r="D81" s="1026">
        <f t="shared" si="21"/>
        <v>45.636363636363633</v>
      </c>
      <c r="E81" s="1027">
        <f>IF($C81&lt;1,"",(SUMIFS('09월 조업일지'!$K$12:$K$954,'09월 조업일지'!$B$12:$B$954,$A81,'09월 조업일지'!$E$12:$E$954,$B81)/$C81))</f>
        <v>0</v>
      </c>
      <c r="F81" s="1028">
        <f>IF($C81&lt;1,"",(AVERAGEIFS('09월 조업일지'!$J$12:$J$954,'09월 조업일지'!$B$12:$B$954,$A81,'09월 조업일지'!$E$12:$E$954,$B81)))</f>
        <v>45.636363636363633</v>
      </c>
      <c r="G81" s="1029">
        <f>IF($C81&lt;1,"",(AVERAGEIFS('09월 에너지'!$M$14:$M$950,'09월 에너지'!$B$14:$B$950,$A81,'09월 에너지'!$C$14:$C$950,$B81)))</f>
        <v>44.74545454545455</v>
      </c>
      <c r="H81" s="1030">
        <f>IF($C81&lt;1,"",(AVERAGEIFS('09월 조업일지'!$AJ$12:$AJ$954,'09월 조업일지'!$B$12:$B$954,$A81,'09월 조업일지'!$E$12:$E$954,$B81)))</f>
        <v>10.727272727272727</v>
      </c>
      <c r="I81" s="1031">
        <f>IF($C81&lt;1,"",(AVERAGEIFS('09월 조업일지'!$AL$12:$AL$954,'09월 조업일지'!$B$12:$B$954,$A81,'09월 조업일지'!$E$12:$E$954,$B81)))</f>
        <v>8.454545454545455</v>
      </c>
      <c r="J81" s="1032">
        <f>IF($C81&lt;1,"",(AVERAGEIFS('09월 화학성분'!G$12:G$950,'09월 화학성분'!$B$12:$B$950,$A81,'09월 화학성분'!$D$12:$D$950,$B81)))</f>
        <v>15.363636363636363</v>
      </c>
      <c r="K81" s="1033">
        <f>IF($C81&lt;1,"",(AVERAGEIFS('09월 화학성분'!H$12:H$950,'09월 화학성분'!$B$12:$B$950,$A81,'09월 화학성분'!$D$12:$D$950,$B81)))</f>
        <v>16.181818181818183</v>
      </c>
      <c r="L81" s="1033">
        <f>IF($C81&lt;1,"",(AVERAGEIFS('09월 화학성분'!I$12:I$950,'09월 화학성분'!$B$12:$B$950,$A81,'09월 화학성분'!$D$12:$D$950,$B81)))</f>
        <v>54.81818181818182</v>
      </c>
      <c r="M81" s="1033">
        <f>IF($C81&lt;1,"",(AVERAGEIFS('09월 화학성분'!J$12:J$950,'09월 화학성분'!$B$12:$B$950,$A81,'09월 화학성분'!$D$12:$D$950,$B81)))</f>
        <v>16.272727272727273</v>
      </c>
      <c r="N81" s="1033">
        <f>IF($C81&lt;1,"",(AVERAGEIFS('09월 화학성분'!K$12:K$950,'09월 화학성분'!$B$12:$B$950,$A81,'09월 화학성분'!$D$12:$D$950,$B81)))</f>
        <v>38.545454545454547</v>
      </c>
      <c r="O81" s="1033">
        <f>IF($C81&lt;1,"",(AVERAGEIFS('09월 화학성분'!L$12:L$950,'09월 화학성분'!$B$12:$B$950,$A81,'09월 화학성분'!$D$12:$D$950,$B81)))</f>
        <v>13.363636363636363</v>
      </c>
      <c r="P81" s="1033">
        <f>IF($C81&lt;1,"",(AVERAGEIFS('09월 화학성분'!M$12:M$950,'09월 화학성분'!$B$12:$B$950,$A81,'09월 화학성분'!$D$12:$D$950,$B81)))</f>
        <v>10.090909090909092</v>
      </c>
      <c r="Q81" s="1033">
        <f>IF($C81&lt;1,"",(AVERAGEIFS('09월 조업일지'!$AK$12:$AK$954,'09월 조업일지'!$B$12:$B$954,$A81,'09월 조업일지'!$E$12:$E$954,$B81)))</f>
        <v>510.45454545454544</v>
      </c>
      <c r="R81" s="1033">
        <f>IF($C81&lt;1,"",(AVERAGEIFS('09월 화학성분'!$G$12:$G$950,'09월 화학성분'!$B$12:$B$950,$A81,'09월 화학성분'!$D$12:$D$950,$B81)))</f>
        <v>15.363636363636363</v>
      </c>
      <c r="S81" s="1034">
        <f>IF($C81&lt;1,"",(AVERAGEIFS('09월 조업일지'!$AI$12:$AI$954,'09월 조업일지'!$B$12:$B$954,$A81,'09월 조업일지'!$E$12:$E$954,$B81)))</f>
        <v>1557.1818181818182</v>
      </c>
      <c r="T81" s="1035">
        <f>IF($C81&lt;1,"",(AVERAGEIFS('09월 화학성분'!$AM$12:$AM$949,'09월 화학성분'!$B$12:$B$949,$A81,'09월 화학성분'!$D$12:$D$949,$B81)))</f>
        <v>1694.090909090909</v>
      </c>
      <c r="U81" s="1036">
        <f>IF($C81&lt;1,"",(AVERAGEIFS('09월 고철장입'!$AJ$14:$AJ$949,'09월 고철장입'!$B$14:$B$949,$A81,'09월 고철장입'!$C$14:$C$949,$B81))/1000)</f>
        <v>158.88181818181818</v>
      </c>
      <c r="V81" s="1101">
        <f>IF($C81&lt;1,"",(AVERAGEIFS('09월 고철장입'!$AK$14:$AK$949,'09월 고철장입'!$B$14:$B$949,$A81,'09월 고철장입'!$C$14:$C$949,$B81)))</f>
        <v>143.4909090909091</v>
      </c>
      <c r="W81" s="1037">
        <f t="shared" si="20"/>
        <v>90.312982777364553</v>
      </c>
      <c r="X81" s="1038">
        <f>IF($C81&lt;1,"",(AVERAGEIFS('09월 에너지'!$O$14:$O$949,'09월 에너지'!$A$14:$A$949,$A81,'09월 에너지'!$C$14:$C$949,$B81)))</f>
        <v>163.26959806154883</v>
      </c>
      <c r="Y81" s="1039">
        <f>IF($C81&lt;1,"",(AVERAGEIFS('09월 에너지'!$P$14:$P$949,'09월 에너지'!$A$14:$A$949,$A81,'09월 에너지'!$C$14:$C$949,$B81)))</f>
        <v>143.5000926346431</v>
      </c>
      <c r="Z81" s="1039">
        <f>IF($C81&lt;1,"",(AVERAGEIFS('09월 에너지'!$Q$14:$Q$949,'09월 에너지'!$A$14:$A$949,$A81,'09월 에너지'!$C$14:$C$949,$B81)))</f>
        <v>75.969475306580634</v>
      </c>
      <c r="AA81" s="1040">
        <f>IF($C81&lt;1,"",(AVERAGEIFS('09월 에너지'!$R$14:$R$949,'09월 에너지'!$B$14:$B$949,$A81,'09월 에너지'!$C$14:$C$949,$B81)))</f>
        <v>382.73916600277249</v>
      </c>
      <c r="AB81" s="1041">
        <f>IF($C81&lt;1,"",(AVERAGEIFS('09월 에너지'!$X$14:$X$949,'09월 에너지'!$A$14:$A$949,$A81,'09월 에너지'!$C$14:$C$949,$B81)))</f>
        <v>2.6021149151913061</v>
      </c>
      <c r="AC81" s="1042">
        <f>IF($C81&lt;1,"",(AVERAGEIFS('09월 에너지'!$AC$14:$AC$949,'09월 에너지'!$A$14:$A$949,$A81,'09월 에너지'!$C$14:$C$949,$B81)))</f>
        <v>26.084663865981977</v>
      </c>
      <c r="AD81" s="1043">
        <f>IF($C81&lt;1,"",(AVERAGEIFS('09월 에너지'!$AD$14:$AD$949,'09월 에너지'!$B$14:$B$949,$A81,'09월 에너지'!$C$14:$C$949,$B81)))</f>
        <v>4116.090909090909</v>
      </c>
      <c r="AE81" s="1044">
        <f>IF($C81&lt;1,"",(AVERAGEIFS('09월 에너지'!$AE$14:$AE$949,'09월 에너지'!$B$14:$B$949,$A81,'09월 에너지'!$C$14:$C$949,$B81)))</f>
        <v>28.686778781173281</v>
      </c>
      <c r="AF81" s="1045">
        <f>IF($C81&lt;1,"",(AVERAGEIFS('09월 에너지'!$AI$14:$AI$949,'09월 에너지'!$B$14:$B$949,$A81,'09월 에너지'!$C$14:$C$949,$B81)))</f>
        <v>152.90909090909091</v>
      </c>
      <c r="AG81" s="1046">
        <f>IF($C81&lt;1,"",(AVERAGEIFS('09월 에너지'!$AJ$14:$AJ$949,'09월 에너지'!$B$14:$B$949,$A81,'09월 에너지'!$C$14:$C$949,$B81)))</f>
        <v>1.0656455375160145</v>
      </c>
    </row>
    <row r="82" spans="1:33" ht="16.5" customHeight="1" thickTop="1" thickBot="1">
      <c r="A82" s="1632"/>
      <c r="B82" s="781" t="s">
        <v>100</v>
      </c>
      <c r="C82" s="782">
        <f>COUNTIFS('09월 조업일지'!$B$12:$B$952,A81,'09월 조업일지'!$E$12:$E$952,B82)</f>
        <v>10</v>
      </c>
      <c r="D82" s="1047">
        <f t="shared" si="21"/>
        <v>47.199999999999996</v>
      </c>
      <c r="E82" s="1048">
        <f>IF($C82&lt;1,"",(SUMIFS('09월 조업일지'!$K$12:$K$954,'09월 조업일지'!$B$12:$B$954,$A81,'09월 조업일지'!$E$12:$E$954,$B82)/$C82))</f>
        <v>1.3</v>
      </c>
      <c r="F82" s="1049">
        <f>IF($C82&lt;1,"",(AVERAGEIFS('09월 조업일지'!$J$12:$J$954,'09월 조업일지'!$B$12:$B$954,$A81,'09월 조업일지'!$E$12:$E$954,$B82)))</f>
        <v>48.499999999999993</v>
      </c>
      <c r="G82" s="1050">
        <f>IF($C82&lt;1,"",(AVERAGEIFS('09월 에너지'!$M$14:$M$950,'09월 에너지'!$B$14:$B$950,$A81,'09월 에너지'!$C$14:$C$950,$B82)))</f>
        <v>45.7</v>
      </c>
      <c r="H82" s="1051">
        <f>IF($C82&lt;1,"",(AVERAGEIFS('09월 조업일지'!$AJ$12:$AJ$954,'09월 조업일지'!$B$12:$B$954,$A81,'09월 조업일지'!$E$12:$E$954,$B82)))</f>
        <v>69.599999999999994</v>
      </c>
      <c r="I82" s="1052">
        <f>IF($C82&lt;1,"",(AVERAGEIFS('09월 조업일지'!$AL$12:$AL$954,'09월 조업일지'!$B$12:$B$954,$A81,'09월 조업일지'!$E$12:$E$954,$B82)))</f>
        <v>9.6</v>
      </c>
      <c r="J82" s="1053">
        <f>IF($C82&lt;1,"",(AVERAGEIFS('09월 화학성분'!G$12:G$950,'09월 화학성분'!$B$12:$B$950,$A81,'09월 화학성분'!$D$12:$D$950,$B82)))</f>
        <v>13.9</v>
      </c>
      <c r="K82" s="1054">
        <f>IF($C82&lt;1,"",(AVERAGEIFS('09월 화학성분'!H$12:H$950,'09월 화학성분'!$B$12:$B$950,$A81,'09월 화학성분'!$D$12:$D$950,$B82)))</f>
        <v>12.8</v>
      </c>
      <c r="L82" s="1054">
        <f>IF($C82&lt;1,"",(AVERAGEIFS('09월 화학성분'!I$12:I$950,'09월 화학성분'!$B$12:$B$950,$A81,'09월 화학성분'!$D$12:$D$950,$B82)))</f>
        <v>48.9</v>
      </c>
      <c r="M82" s="1054">
        <f>IF($C82&lt;1,"",(AVERAGEIFS('09월 화학성분'!J$12:J$950,'09월 화학성분'!$B$12:$B$950,$A81,'09월 화학성분'!$D$12:$D$950,$B82)))</f>
        <v>15.1</v>
      </c>
      <c r="N82" s="1054">
        <f>IF($C82&lt;1,"",(AVERAGEIFS('09월 화학성분'!K$12:K$950,'09월 화학성분'!$B$12:$B$950,$A81,'09월 화학성분'!$D$12:$D$950,$B82)))</f>
        <v>36.799999999999997</v>
      </c>
      <c r="O82" s="1054">
        <f>IF($C82&lt;1,"",(AVERAGEIFS('09월 화학성분'!L$12:L$950,'09월 화학성분'!$B$12:$B$950,$A81,'09월 화학성분'!$D$12:$D$950,$B82)))</f>
        <v>12.9</v>
      </c>
      <c r="P82" s="1054">
        <f>IF($C82&lt;1,"",(AVERAGEIFS('09월 화학성분'!M$12:M$950,'09월 화학성분'!$B$12:$B$950,$A81,'09월 화학성분'!$D$12:$D$950,$B82)))</f>
        <v>8.8000000000000007</v>
      </c>
      <c r="Q82" s="1054">
        <f>IF($C82&lt;1,"",(AVERAGEIFS('09월 조업일지'!$AK$12:$AK$954,'09월 조업일지'!$B$12:$B$954,$A81,'09월 조업일지'!$E$12:$E$954,$B82)))</f>
        <v>542.5</v>
      </c>
      <c r="R82" s="1054">
        <f>IF($C82&lt;1,"",(AVERAGEIFS('09월 화학성분'!$G$12:$G$950,'09월 화학성분'!$B$12:$B$950,$A81,'09월 화학성분'!$D$12:$D$950,$B82)))</f>
        <v>13.9</v>
      </c>
      <c r="S82" s="1055">
        <f>IF($C82&lt;1,"",(AVERAGEIFS('09월 조업일지'!$AI$12:$AI$954,'09월 조업일지'!$B$12:$B$954,$A81,'09월 조업일지'!$E$12:$E$954,$B82)))</f>
        <v>1567.7</v>
      </c>
      <c r="T82" s="1056">
        <f>IF($C82&lt;1,"",(AVERAGEIFS('09월 화학성분'!$AM$12:$AM$949,'09월 화학성분'!$B$12:$B$949,$A81,'09월 화학성분'!$D$12:$D$949,$B82)))</f>
        <v>1827.9</v>
      </c>
      <c r="U82" s="1057">
        <f>IF($C82&lt;1,"",(AVERAGEIFS('09월 고철장입'!$AJ$14:$AJ$949,'09월 고철장입'!$B$14:$B$949,$A81,'09월 고철장입'!$C$14:$C$949,$B82))/1000)</f>
        <v>158.38</v>
      </c>
      <c r="V82" s="1102">
        <f>IF($C82&lt;1,"",(AVERAGEIFS('09월 고철장입'!$AK$14:$AK$949,'09월 고철장입'!$B$14:$B$949,$A81,'09월 고철장입'!$C$14:$C$949,$B82)))</f>
        <v>142.87</v>
      </c>
      <c r="W82" s="1058">
        <f t="shared" si="20"/>
        <v>90.207096855663607</v>
      </c>
      <c r="X82" s="1059">
        <f>IF($C82&lt;1,"",(AVERAGEIFS('09월 에너지'!$O$14:$O$949,'09월 에너지'!$A$14:$A$949,$A81,'09월 에너지'!$C$14:$C$949,$B82)))</f>
        <v>165.40085037184144</v>
      </c>
      <c r="Y82" s="1060">
        <f>IF($C82&lt;1,"",(AVERAGEIFS('09월 에너지'!$P$14:$P$949,'09월 에너지'!$A$14:$A$949,$A81,'09월 에너지'!$C$14:$C$949,$B82)))</f>
        <v>144.05331110713956</v>
      </c>
      <c r="Z82" s="1060">
        <f>IF($C82&lt;1,"",(AVERAGEIFS('09월 에너지'!$Q$14:$Q$949,'09월 에너지'!$A$14:$A$949,$A81,'09월 에너지'!$C$14:$C$949,$B82)))</f>
        <v>83.184544493578741</v>
      </c>
      <c r="AA82" s="1061">
        <f>IF($C82&lt;1,"",(AVERAGEIFS('09월 에너지'!$R$14:$R$949,'09월 에너지'!$B$14:$B$949,$A81,'09월 에너지'!$C$14:$C$949,$B82)))</f>
        <v>392.63870597255976</v>
      </c>
      <c r="AB82" s="1062">
        <f>IF($C82&lt;1,"",(AVERAGEIFS('09월 에너지'!$X$14:$X$949,'09월 에너지'!$A$14:$A$949,$A81,'09월 에너지'!$C$14:$C$949,$B82)))</f>
        <v>2.3206208251326474</v>
      </c>
      <c r="AC82" s="1063">
        <f>IF($C82&lt;1,"",(AVERAGEIFS('09월 에너지'!$AC$14:$AC$949,'09월 에너지'!$A$14:$A$949,$A81,'09월 에너지'!$C$14:$C$949,$B82)))</f>
        <v>27.356461753282922</v>
      </c>
      <c r="AD82" s="1064">
        <f>IF($C82&lt;1,"",(AVERAGEIFS('09월 에너지'!$AD$14:$AD$949,'09월 에너지'!$B$14:$B$949,$A81,'09월 에너지'!$C$14:$C$949,$B82)))</f>
        <v>4240.5</v>
      </c>
      <c r="AE82" s="1065">
        <f>IF($C82&lt;1,"",(AVERAGEIFS('09월 에너지'!$AE$14:$AE$949,'09월 에너지'!$B$14:$B$949,$A81,'09월 에너지'!$C$14:$C$949,$B82)))</f>
        <v>29.677082578415565</v>
      </c>
      <c r="AF82" s="1066">
        <f>IF($C82&lt;1,"",(AVERAGEIFS('09월 에너지'!$AI$14:$AI$949,'09월 에너지'!$B$14:$B$949,$A81,'09월 에너지'!$C$14:$C$949,$B82)))</f>
        <v>153.9</v>
      </c>
      <c r="AG82" s="1067">
        <f>IF($C82&lt;1,"",(AVERAGEIFS('09월 에너지'!$AJ$14:$AJ$949,'09월 에너지'!$B$14:$B$949,$A81,'09월 에너지'!$C$14:$C$949,$B82)))</f>
        <v>1.0771749205554608</v>
      </c>
    </row>
    <row r="83" spans="1:33" ht="16.5" customHeight="1" thickTop="1" thickBot="1">
      <c r="A83" s="1632"/>
      <c r="B83" s="781" t="s">
        <v>93</v>
      </c>
      <c r="C83" s="782">
        <f>COUNTIFS('09월 조업일지'!$B$12:$B$952,A81,'09월 조업일지'!$E$12:$E$952,B83)</f>
        <v>0</v>
      </c>
      <c r="D83" s="1047" t="str">
        <f t="shared" si="21"/>
        <v/>
      </c>
      <c r="E83" s="1048" t="str">
        <f>IF($C83&lt;1,"",(SUMIFS('09월 조업일지'!$K$12:$K$954,'09월 조업일지'!$B$12:$B$954,$A81,'09월 조업일지'!$E$12:$E$954,$B83)/$C83))</f>
        <v/>
      </c>
      <c r="F83" s="1049" t="str">
        <f>IF($C83&lt;1,"",(AVERAGEIFS('09월 조업일지'!$J$12:$J$954,'09월 조업일지'!$B$12:$B$954,$A81,'09월 조업일지'!$E$12:$E$954,$B83)))</f>
        <v/>
      </c>
      <c r="G83" s="1050" t="str">
        <f>IF($C83&lt;1,"",(AVERAGEIFS('09월 에너지'!$M$14:$M$950,'09월 에너지'!$B$14:$B$950,$A81,'09월 에너지'!$C$14:$C$950,$B83)))</f>
        <v/>
      </c>
      <c r="H83" s="1051" t="str">
        <f>IF($C83&lt;1,"",(AVERAGEIFS('09월 조업일지'!$AJ$12:$AJ$954,'09월 조업일지'!$B$12:$B$954,$A81,'09월 조업일지'!$E$12:$E$954,$B83)))</f>
        <v/>
      </c>
      <c r="I83" s="1052" t="str">
        <f>IF($C83&lt;1,"",(AVERAGEIFS('09월 조업일지'!$AL$12:$AL$954,'09월 조업일지'!$B$12:$B$954,$A81,'09월 조업일지'!$E$12:$E$954,$B83)))</f>
        <v/>
      </c>
      <c r="J83" s="1053" t="str">
        <f>IF($C83&lt;1,"",(AVERAGEIFS('09월 화학성분'!G$12:G$950,'09월 화학성분'!$B$12:$B$950,$A81,'09월 화학성분'!$D$12:$D$950,$B83)))</f>
        <v/>
      </c>
      <c r="K83" s="1054" t="str">
        <f>IF($C83&lt;1,"",(AVERAGEIFS('09월 화학성분'!H$12:H$950,'09월 화학성분'!$B$12:$B$950,$A81,'09월 화학성분'!$D$12:$D$950,$B83)))</f>
        <v/>
      </c>
      <c r="L83" s="1054" t="str">
        <f>IF($C83&lt;1,"",(AVERAGEIFS('09월 화학성분'!I$12:I$950,'09월 화학성분'!$B$12:$B$950,$A81,'09월 화학성분'!$D$12:$D$950,$B83)))</f>
        <v/>
      </c>
      <c r="M83" s="1054" t="str">
        <f>IF($C83&lt;1,"",(AVERAGEIFS('09월 화학성분'!J$12:J$950,'09월 화학성분'!$B$12:$B$950,$A81,'09월 화학성분'!$D$12:$D$950,$B83)))</f>
        <v/>
      </c>
      <c r="N83" s="1054" t="str">
        <f>IF($C83&lt;1,"",(AVERAGEIFS('09월 화학성분'!K$12:K$950,'09월 화학성분'!$B$12:$B$950,$A81,'09월 화학성분'!$D$12:$D$950,$B83)))</f>
        <v/>
      </c>
      <c r="O83" s="1054" t="str">
        <f>IF($C83&lt;1,"",(AVERAGEIFS('09월 화학성분'!L$12:L$950,'09월 화학성분'!$B$12:$B$950,$A81,'09월 화학성분'!$D$12:$D$950,$B83)))</f>
        <v/>
      </c>
      <c r="P83" s="1054" t="str">
        <f>IF($C83&lt;1,"",(AVERAGEIFS('09월 화학성분'!M$12:M$950,'09월 화학성분'!$B$12:$B$950,$A81,'09월 화학성분'!$D$12:$D$950,$B83)))</f>
        <v/>
      </c>
      <c r="Q83" s="1054" t="str">
        <f>IF($C83&lt;1,"",(AVERAGEIFS('09월 조업일지'!$AK$12:$AK$954,'09월 조업일지'!$B$12:$B$954,$A81,'09월 조업일지'!$E$12:$E$954,$B83)))</f>
        <v/>
      </c>
      <c r="R83" s="1054" t="str">
        <f>IF($C83&lt;1,"",(AVERAGEIFS('09월 화학성분'!$G$12:$G$950,'09월 화학성분'!$B$12:$B$950,$A81,'09월 화학성분'!$D$12:$D$950,$B83)))</f>
        <v/>
      </c>
      <c r="S83" s="1055" t="str">
        <f>IF($C83&lt;1,"",(AVERAGEIFS('09월 조업일지'!$AI$12:$AI$954,'09월 조업일지'!$B$12:$B$954,$A81,'09월 조업일지'!$E$12:$E$954,$B83)))</f>
        <v/>
      </c>
      <c r="T83" s="1056" t="str">
        <f>IF($C83&lt;1,"",(AVERAGEIFS('09월 화학성분'!$AM$12:$AM$949,'09월 화학성분'!$B$12:$B$949,$A81,'09월 화학성분'!$D$12:$D$949,$B83)))</f>
        <v/>
      </c>
      <c r="U83" s="1057" t="str">
        <f>IF($C83&lt;1,"",(AVERAGEIFS('09월 고철장입'!$AJ$14:$AJ$949,'09월 고철장입'!$B$14:$B$949,$A81,'09월 고철장입'!$C$14:$C$949,$B83))/1000)</f>
        <v/>
      </c>
      <c r="V83" s="1102" t="str">
        <f>IF($C83&lt;1,"",(AVERAGEIFS('09월 고철장입'!$AK$14:$AK$949,'09월 고철장입'!$B$14:$B$949,$A81,'09월 고철장입'!$C$14:$C$949,$B83)))</f>
        <v/>
      </c>
      <c r="W83" s="1058" t="str">
        <f t="shared" si="20"/>
        <v/>
      </c>
      <c r="X83" s="1059" t="str">
        <f>IF($C83&lt;1,"",(AVERAGEIFS('09월 에너지'!$O$14:$O$949,'09월 에너지'!$A$14:$A$949,$A81,'09월 에너지'!$C$14:$C$949,$B83)))</f>
        <v/>
      </c>
      <c r="Y83" s="1060" t="str">
        <f>IF($C83&lt;1,"",(AVERAGEIFS('09월 에너지'!$P$14:$P$949,'09월 에너지'!$A$14:$A$949,$A81,'09월 에너지'!$C$14:$C$949,$B83)))</f>
        <v/>
      </c>
      <c r="Z83" s="1060" t="str">
        <f>IF($C83&lt;1,"",(AVERAGEIFS('09월 에너지'!$Q$14:$Q$949,'09월 에너지'!$A$14:$A$949,$A81,'09월 에너지'!$C$14:$C$949,$B83)))</f>
        <v/>
      </c>
      <c r="AA83" s="1061" t="str">
        <f>IF($C83&lt;1,"",(AVERAGEIFS('09월 에너지'!$R$14:$R$949,'09월 에너지'!$B$14:$B$949,$A81,'09월 에너지'!$C$14:$C$949,$B83)))</f>
        <v/>
      </c>
      <c r="AB83" s="1062" t="str">
        <f>IF($C83&lt;1,"",(AVERAGEIFS('09월 에너지'!$X$14:$X$949,'09월 에너지'!$A$14:$A$949,$A81,'09월 에너지'!$C$14:$C$949,$B83)))</f>
        <v/>
      </c>
      <c r="AC83" s="1063" t="str">
        <f>IF($C83&lt;1,"",(AVERAGEIFS('09월 에너지'!$AC$14:$AC$949,'09월 에너지'!$A$14:$A$949,$A81,'09월 에너지'!$C$14:$C$949,$B83)))</f>
        <v/>
      </c>
      <c r="AD83" s="1064" t="str">
        <f>IF($C83&lt;1,"",(AVERAGEIFS('09월 에너지'!$AD$14:$AD$949,'09월 에너지'!$B$14:$B$949,$A81,'09월 에너지'!$C$14:$C$949,$B83)))</f>
        <v/>
      </c>
      <c r="AE83" s="1065" t="str">
        <f>IF($C83&lt;1,"",(AVERAGEIFS('09월 에너지'!$AE$14:$AE$949,'09월 에너지'!$B$14:$B$949,$A81,'09월 에너지'!$C$14:$C$949,$B83)))</f>
        <v/>
      </c>
      <c r="AF83" s="1066" t="str">
        <f>IF($C83&lt;1,"",(AVERAGEIFS('09월 에너지'!$AI$14:$AI$949,'09월 에너지'!$B$14:$B$949,$A81,'09월 에너지'!$C$14:$C$949,$B83)))</f>
        <v/>
      </c>
      <c r="AG83" s="1067" t="str">
        <f>IF($C83&lt;1,"",(AVERAGEIFS('09월 에너지'!$AJ$14:$AJ$949,'09월 에너지'!$B$14:$B$949,$A81,'09월 에너지'!$C$14:$C$949,$B83)))</f>
        <v/>
      </c>
    </row>
    <row r="84" spans="1:33" ht="16.5" customHeight="1" thickTop="1" thickBot="1">
      <c r="A84" s="1632"/>
      <c r="B84" s="783" t="s">
        <v>94</v>
      </c>
      <c r="C84" s="784">
        <f>COUNTIFS('09월 조업일지'!$B$12:$B$952,A81,'09월 조업일지'!$E$12:$E$952,B84)</f>
        <v>10</v>
      </c>
      <c r="D84" s="1068">
        <f t="shared" si="21"/>
        <v>45.500000000000014</v>
      </c>
      <c r="E84" s="1069">
        <f>IF($C84&lt;1,"",(SUMIFS('09월 조업일지'!$K$12:$K$954,'09월 조업일지'!$B$12:$B$954,$A81,'09월 조업일지'!$E$12:$E$954,$B84)/$C84))</f>
        <v>0</v>
      </c>
      <c r="F84" s="1070">
        <f>IF($C84&lt;1,"",(AVERAGEIFS('09월 조업일지'!$J$12:$J$954,'09월 조업일지'!$B$12:$B$954,$A81,'09월 조업일지'!$E$12:$E$954,$B84)))</f>
        <v>45.500000000000014</v>
      </c>
      <c r="G84" s="1071">
        <f>IF($C84&lt;1,"",(AVERAGEIFS('09월 에너지'!$M$14:$M$950,'09월 에너지'!$B$14:$B$950,$A81,'09월 에너지'!$C$14:$C$950,$B84)))</f>
        <v>44.51</v>
      </c>
      <c r="H84" s="1072">
        <f>IF($C84&lt;1,"",(AVERAGEIFS('09월 조업일지'!$AJ$12:$AJ$954,'09월 조업일지'!$B$12:$B$954,$A81,'09월 조업일지'!$E$12:$E$954,$B84)))</f>
        <v>24.4</v>
      </c>
      <c r="I84" s="1073">
        <f>IF($C84&lt;1,"",(AVERAGEIFS('09월 조업일지'!$AL$12:$AL$954,'09월 조업일지'!$B$12:$B$954,$A81,'09월 조업일지'!$E$12:$E$954,$B84)))</f>
        <v>7</v>
      </c>
      <c r="J84" s="1074">
        <f>IF($C84&lt;1,"",(AVERAGEIFS('09월 화학성분'!G$12:G$950,'09월 화학성분'!$B$12:$B$950,$A81,'09월 화학성분'!$D$12:$D$950,$B84)))</f>
        <v>14.4</v>
      </c>
      <c r="K84" s="1075">
        <f>IF($C84&lt;1,"",(AVERAGEIFS('09월 화학성분'!H$12:H$950,'09월 화학성분'!$B$12:$B$950,$A81,'09월 화학성분'!$D$12:$D$950,$B84)))</f>
        <v>13.4</v>
      </c>
      <c r="L84" s="1075">
        <f>IF($C84&lt;1,"",(AVERAGEIFS('09월 화학성분'!I$12:I$950,'09월 화학성분'!$B$12:$B$950,$A81,'09월 화학성분'!$D$12:$D$950,$B84)))</f>
        <v>51.1</v>
      </c>
      <c r="M84" s="1075">
        <f>IF($C84&lt;1,"",(AVERAGEIFS('09월 화학성분'!J$12:J$950,'09월 화학성분'!$B$12:$B$950,$A81,'09월 화학성분'!$D$12:$D$950,$B84)))</f>
        <v>14.5</v>
      </c>
      <c r="N84" s="1075">
        <f>IF($C84&lt;1,"",(AVERAGEIFS('09월 화학성분'!K$12:K$950,'09월 화학성분'!$B$12:$B$950,$A81,'09월 화학성분'!$D$12:$D$950,$B84)))</f>
        <v>78.5</v>
      </c>
      <c r="O84" s="1075">
        <f>IF($C84&lt;1,"",(AVERAGEIFS('09월 화학성분'!L$12:L$950,'09월 화학성분'!$B$12:$B$950,$A81,'09월 화학성분'!$D$12:$D$950,$B84)))</f>
        <v>13.2</v>
      </c>
      <c r="P84" s="1075">
        <f>IF($C84&lt;1,"",(AVERAGEIFS('09월 화학성분'!M$12:M$950,'09월 화학성분'!$B$12:$B$950,$A81,'09월 화학성분'!$D$12:$D$950,$B84)))</f>
        <v>9.6999999999999993</v>
      </c>
      <c r="Q84" s="1075">
        <f>IF($C84&lt;1,"",(AVERAGEIFS('09월 조업일지'!$AK$12:$AK$954,'09월 조업일지'!$B$12:$B$954,$A81,'09월 조업일지'!$E$12:$E$954,$B84)))</f>
        <v>592.79999999999995</v>
      </c>
      <c r="R84" s="1075">
        <f>IF($C84&lt;1,"",(AVERAGEIFS('09월 화학성분'!$G$12:$G$950,'09월 화학성분'!$B$12:$B$950,$A81,'09월 화학성분'!$D$12:$D$950,$B84)))</f>
        <v>14.4</v>
      </c>
      <c r="S84" s="1076">
        <f>IF($C84&lt;1,"",(AVERAGEIFS('09월 조업일지'!$AI$12:$AI$954,'09월 조업일지'!$B$12:$B$954,$A81,'09월 조업일지'!$E$12:$E$954,$B84)))</f>
        <v>1578.9</v>
      </c>
      <c r="T84" s="1077">
        <f>IF($C84&lt;1,"",(AVERAGEIFS('09월 화학성분'!$AM$12:$AM$949,'09월 화학성분'!$B$12:$B$949,$A81,'09월 화학성분'!$D$12:$D$949,$B84)))</f>
        <v>1456.6</v>
      </c>
      <c r="U84" s="1078">
        <f>IF($C84&lt;1,"",(AVERAGEIFS('09월 고철장입'!$AJ$14:$AJ$949,'09월 고철장입'!$B$14:$B$949,$A81,'09월 고철장입'!$C$14:$C$949,$B84))/1000)</f>
        <v>159.27000000000001</v>
      </c>
      <c r="V84" s="1103">
        <f>IF($C84&lt;1,"",(AVERAGEIFS('09월 고철장입'!$AK$14:$AK$949,'09월 고철장입'!$B$14:$B$949,$A81,'09월 고철장입'!$C$14:$C$949,$B84)))</f>
        <v>143.16</v>
      </c>
      <c r="W84" s="1079">
        <f t="shared" si="20"/>
        <v>89.885100772273489</v>
      </c>
      <c r="X84" s="1080">
        <f>IF($C84&lt;1,"",(AVERAGEIFS('09월 에너지'!$O$14:$O$949,'09월 에너지'!$A$14:$A$949,$A81,'09월 에너지'!$C$14:$C$949,$B84)))</f>
        <v>158.64385514393894</v>
      </c>
      <c r="Y84" s="1081">
        <f>IF($C84&lt;1,"",(AVERAGEIFS('09월 에너지'!$P$14:$P$949,'09월 에너지'!$A$14:$A$949,$A81,'09월 에너지'!$C$14:$C$949,$B84)))</f>
        <v>143.38018419788617</v>
      </c>
      <c r="Z84" s="1081">
        <f>IF($C84&lt;1,"",(AVERAGEIFS('09월 에너지'!$Q$14:$Q$949,'09월 에너지'!$A$14:$A$949,$A81,'09월 에너지'!$C$14:$C$949,$B84)))</f>
        <v>86.525461388621949</v>
      </c>
      <c r="AA84" s="1082">
        <f>IF($C84&lt;1,"",(AVERAGEIFS('09월 에너지'!$R$14:$R$949,'09월 에너지'!$B$14:$B$949,$A81,'09월 에너지'!$C$14:$C$949,$B84)))</f>
        <v>390.32331872239035</v>
      </c>
      <c r="AB84" s="1083">
        <f>IF($C84&lt;1,"",(AVERAGEIFS('09월 에너지'!$X$14:$X$949,'09월 에너지'!$A$14:$A$949,$A81,'09월 에너지'!$C$14:$C$949,$B84)))</f>
        <v>2.3569505087307849</v>
      </c>
      <c r="AC84" s="1084">
        <f>IF($C84&lt;1,"",(AVERAGEIFS('09월 에너지'!$AC$14:$AC$949,'09월 에너지'!$A$14:$A$949,$A81,'09월 에너지'!$C$14:$C$949,$B84)))</f>
        <v>25.998669538079032</v>
      </c>
      <c r="AD84" s="1085">
        <f>IF($C84&lt;1,"",(AVERAGEIFS('09월 에너지'!$AD$14:$AD$949,'09월 에너지'!$B$14:$B$949,$A81,'09월 에너지'!$C$14:$C$949,$B84)))</f>
        <v>4041.2</v>
      </c>
      <c r="AE84" s="1086">
        <f>IF($C84&lt;1,"",(AVERAGEIFS('09월 에너지'!$AE$14:$AE$949,'09월 에너지'!$B$14:$B$949,$A81,'09월 에너지'!$C$14:$C$949,$B84)))</f>
        <v>28.228303801182939</v>
      </c>
      <c r="AF84" s="1087">
        <f>IF($C84&lt;1,"",(AVERAGEIFS('09월 에너지'!$AI$14:$AI$949,'09월 에너지'!$B$14:$B$949,$A81,'09월 에너지'!$C$14:$C$949,$B84)))</f>
        <v>150.9</v>
      </c>
      <c r="AG84" s="1088">
        <f>IF($C84&lt;1,"",(AVERAGEIFS('09월 에너지'!$AJ$14:$AJ$949,'09월 에너지'!$B$14:$B$949,$A81,'09월 에너지'!$C$14:$C$949,$B84)))</f>
        <v>1.0540737226763872</v>
      </c>
    </row>
    <row r="85" spans="1:33" ht="16.5" customHeight="1" thickTop="1" thickBot="1">
      <c r="A85" s="1632">
        <f t="shared" ref="A85" si="24">A81+1</f>
        <v>46286</v>
      </c>
      <c r="B85" s="775" t="s">
        <v>128</v>
      </c>
      <c r="C85" s="776">
        <f>COUNTIFS('09월 조업일지'!$B$12:$B$952,A85,'09월 조업일지'!$E$12:$E$952,B85)</f>
        <v>11</v>
      </c>
      <c r="D85" s="1026">
        <f t="shared" si="21"/>
        <v>47.181818181818173</v>
      </c>
      <c r="E85" s="1027">
        <f>IF($C85&lt;1,"",(SUMIFS('09월 조업일지'!$K$12:$K$954,'09월 조업일지'!$B$12:$B$954,$A85,'09월 조업일지'!$E$12:$E$954,$B85)/$C85))</f>
        <v>0</v>
      </c>
      <c r="F85" s="1028">
        <f>IF($C85&lt;1,"",(AVERAGEIFS('09월 조업일지'!$J$12:$J$954,'09월 조업일지'!$B$12:$B$954,$A85,'09월 조업일지'!$E$12:$E$954,$B85)))</f>
        <v>47.181818181818173</v>
      </c>
      <c r="G85" s="1029">
        <f>IF($C85&lt;1,"",(AVERAGEIFS('09월 에너지'!$M$14:$M$950,'09월 에너지'!$B$14:$B$950,$A85,'09월 에너지'!$C$14:$C$950,$B85)))</f>
        <v>46.18181818181818</v>
      </c>
      <c r="H85" s="1030">
        <f>IF($C85&lt;1,"",(AVERAGEIFS('09월 조업일지'!$AJ$12:$AJ$954,'09월 조업일지'!$B$12:$B$954,$A85,'09월 조업일지'!$E$12:$E$954,$B85)))</f>
        <v>18.363636363636363</v>
      </c>
      <c r="I85" s="1031">
        <f>IF($C85&lt;1,"",(AVERAGEIFS('09월 조업일지'!$AL$12:$AL$954,'09월 조업일지'!$B$12:$B$954,$A85,'09월 조업일지'!$E$12:$E$954,$B85)))</f>
        <v>9.4</v>
      </c>
      <c r="J85" s="1032">
        <f>IF($C85&lt;1,"",(AVERAGEIFS('09월 화학성분'!G$12:G$950,'09월 화학성분'!$B$12:$B$950,$A85,'09월 화학성분'!$D$12:$D$950,$B85)))</f>
        <v>15.272727272727273</v>
      </c>
      <c r="K85" s="1033">
        <f>IF($C85&lt;1,"",(AVERAGEIFS('09월 화학성분'!H$12:H$950,'09월 화학성분'!$B$12:$B$950,$A85,'09월 화학성분'!$D$12:$D$950,$B85)))</f>
        <v>15.909090909090908</v>
      </c>
      <c r="L85" s="1033">
        <f>IF($C85&lt;1,"",(AVERAGEIFS('09월 화학성분'!I$12:I$950,'09월 화학성분'!$B$12:$B$950,$A85,'09월 화학성분'!$D$12:$D$950,$B85)))</f>
        <v>51.636363636363633</v>
      </c>
      <c r="M85" s="1033">
        <f>IF($C85&lt;1,"",(AVERAGEIFS('09월 화학성분'!J$12:J$950,'09월 화학성분'!$B$12:$B$950,$A85,'09월 화학성분'!$D$12:$D$950,$B85)))</f>
        <v>15.545454545454545</v>
      </c>
      <c r="N85" s="1033">
        <f>IF($C85&lt;1,"",(AVERAGEIFS('09월 화학성분'!K$12:K$950,'09월 화학성분'!$B$12:$B$950,$A85,'09월 화학성분'!$D$12:$D$950,$B85)))</f>
        <v>33.090909090909093</v>
      </c>
      <c r="O85" s="1033">
        <f>IF($C85&lt;1,"",(AVERAGEIFS('09월 화학성분'!L$12:L$950,'09월 화학성분'!$B$12:$B$950,$A85,'09월 화학성분'!$D$12:$D$950,$B85)))</f>
        <v>13.818181818181818</v>
      </c>
      <c r="P85" s="1033">
        <f>IF($C85&lt;1,"",(AVERAGEIFS('09월 화학성분'!M$12:M$950,'09월 화학성분'!$B$12:$B$950,$A85,'09월 화학성분'!$D$12:$D$950,$B85)))</f>
        <v>13</v>
      </c>
      <c r="Q85" s="1033">
        <f>IF($C85&lt;1,"",(AVERAGEIFS('09월 조업일지'!$AK$12:$AK$954,'09월 조업일지'!$B$12:$B$954,$A85,'09월 조업일지'!$E$12:$E$954,$B85)))</f>
        <v>461.4</v>
      </c>
      <c r="R85" s="1033">
        <f>IF($C85&lt;1,"",(AVERAGEIFS('09월 화학성분'!$G$12:$G$950,'09월 화학성분'!$B$12:$B$950,$A85,'09월 화학성분'!$D$12:$D$950,$B85)))</f>
        <v>15.272727272727273</v>
      </c>
      <c r="S85" s="1034">
        <f>IF($C85&lt;1,"",(AVERAGEIFS('09월 조업일지'!$AI$12:$AI$954,'09월 조업일지'!$B$12:$B$954,$A85,'09월 조업일지'!$E$12:$E$954,$B85)))</f>
        <v>1560.090909090909</v>
      </c>
      <c r="T85" s="1035">
        <f>IF($C85&lt;1,"",(AVERAGEIFS('09월 화학성분'!$AM$12:$AM$949,'09월 화학성분'!$B$12:$B$949,$A85,'09월 화학성분'!$D$12:$D$949,$B85)))</f>
        <v>2197.2727272727275</v>
      </c>
      <c r="U85" s="1036">
        <f>IF($C85&lt;1,"",(AVERAGEIFS('09월 고철장입'!$AJ$14:$AJ$949,'09월 고철장입'!$B$14:$B$949,$A85,'09월 고철장입'!$C$14:$C$949,$B85))/1000)</f>
        <v>158.20909090909092</v>
      </c>
      <c r="V85" s="1101">
        <f>IF($C85&lt;1,"",(AVERAGEIFS('09월 고철장입'!$AK$14:$AK$949,'09월 고철장입'!$B$14:$B$949,$A85,'09월 고철장입'!$C$14:$C$949,$B85)))</f>
        <v>142.54545454545453</v>
      </c>
      <c r="W85" s="1037">
        <f t="shared" si="20"/>
        <v>90.099408148020444</v>
      </c>
      <c r="X85" s="1038">
        <f>IF($C85&lt;1,"",(AVERAGEIFS('09월 에너지'!$O$14:$O$949,'09월 에너지'!$A$14:$A$949,$A85,'09월 에너지'!$C$14:$C$949,$B85)))</f>
        <v>164.17064398545216</v>
      </c>
      <c r="Y85" s="1039">
        <f>IF($C85&lt;1,"",(AVERAGEIFS('09월 에너지'!$P$14:$P$949,'09월 에너지'!$A$14:$A$949,$A85,'09월 에너지'!$C$14:$C$949,$B85)))</f>
        <v>145.29599095836394</v>
      </c>
      <c r="Z85" s="1039">
        <f>IF($C85&lt;1,"",(AVERAGEIFS('09월 에너지'!$Q$14:$Q$949,'09월 에너지'!$A$14:$A$949,$A85,'09월 에너지'!$C$14:$C$949,$B85)))</f>
        <v>87.577164958361877</v>
      </c>
      <c r="AA85" s="1040">
        <f>IF($C85&lt;1,"",(AVERAGEIFS('09월 에너지'!$R$14:$R$949,'09월 에너지'!$B$14:$B$949,$A85,'09월 에너지'!$C$14:$C$949,$B85)))</f>
        <v>397.04379990217802</v>
      </c>
      <c r="AB85" s="1041">
        <f>IF($C85&lt;1,"",(AVERAGEIFS('09월 에너지'!$X$14:$X$949,'09월 에너지'!$A$14:$A$949,$A85,'09월 에너지'!$C$14:$C$949,$B85)))</f>
        <v>2.5443245331301396</v>
      </c>
      <c r="AC85" s="1042">
        <f>IF($C85&lt;1,"",(AVERAGEIFS('09월 에너지'!$AC$14:$AC$949,'09월 에너지'!$A$14:$A$949,$A85,'09월 에너지'!$C$14:$C$949,$B85)))</f>
        <v>26.161870565362083</v>
      </c>
      <c r="AD85" s="1043">
        <f>IF($C85&lt;1,"",(AVERAGEIFS('09월 에너지'!$AD$14:$AD$949,'09월 에너지'!$B$14:$B$949,$A85,'09월 에너지'!$C$14:$C$949,$B85)))</f>
        <v>4091.090909090909</v>
      </c>
      <c r="AE85" s="1044">
        <f>IF($C85&lt;1,"",(AVERAGEIFS('09월 에너지'!$AE$14:$AE$949,'09월 에너지'!$B$14:$B$949,$A85,'09월 에너지'!$C$14:$C$949,$B85)))</f>
        <v>28.706195098492227</v>
      </c>
      <c r="AF85" s="1045">
        <f>IF($C85&lt;1,"",(AVERAGEIFS('09월 에너지'!$AI$14:$AI$949,'09월 에너지'!$B$14:$B$949,$A85,'09월 에너지'!$C$14:$C$949,$B85)))</f>
        <v>151.63636363636363</v>
      </c>
      <c r="AG85" s="1046">
        <f>IF($C85&lt;1,"",(AVERAGEIFS('09월 에너지'!$AJ$14:$AJ$949,'09월 에너지'!$B$14:$B$949,$A85,'09월 에너지'!$C$14:$C$949,$B85)))</f>
        <v>1.0639914433508846</v>
      </c>
    </row>
    <row r="86" spans="1:33" ht="16.5" customHeight="1" thickTop="1" thickBot="1">
      <c r="A86" s="1632"/>
      <c r="B86" s="781" t="s">
        <v>100</v>
      </c>
      <c r="C86" s="782">
        <f>COUNTIFS('09월 조업일지'!$B$12:$B$952,A85,'09월 조업일지'!$E$12:$E$952,B86)</f>
        <v>0</v>
      </c>
      <c r="D86" s="1047" t="str">
        <f t="shared" si="21"/>
        <v/>
      </c>
      <c r="E86" s="1048" t="str">
        <f>IF($C86&lt;1,"",(SUMIFS('09월 조업일지'!$K$12:$K$954,'09월 조업일지'!$B$12:$B$954,$A85,'09월 조업일지'!$E$12:$E$954,$B86)/$C86))</f>
        <v/>
      </c>
      <c r="F86" s="1049" t="str">
        <f>IF($C86&lt;1,"",(AVERAGEIFS('09월 조업일지'!$J$12:$J$954,'09월 조업일지'!$B$12:$B$954,$A85,'09월 조업일지'!$E$12:$E$954,$B86)))</f>
        <v/>
      </c>
      <c r="G86" s="1050" t="str">
        <f>IF($C86&lt;1,"",(AVERAGEIFS('09월 에너지'!$M$14:$M$950,'09월 에너지'!$B$14:$B$950,$A85,'09월 에너지'!$C$14:$C$950,$B86)))</f>
        <v/>
      </c>
      <c r="H86" s="1051" t="str">
        <f>IF($C86&lt;1,"",(AVERAGEIFS('09월 조업일지'!$AJ$12:$AJ$954,'09월 조업일지'!$B$12:$B$954,$A85,'09월 조업일지'!$E$12:$E$954,$B86)))</f>
        <v/>
      </c>
      <c r="I86" s="1052" t="str">
        <f>IF($C86&lt;1,"",(AVERAGEIFS('09월 조업일지'!$AL$12:$AL$954,'09월 조업일지'!$B$12:$B$954,$A85,'09월 조업일지'!$E$12:$E$954,$B86)))</f>
        <v/>
      </c>
      <c r="J86" s="1053" t="str">
        <f>IF($C86&lt;1,"",(AVERAGEIFS('09월 화학성분'!G$12:G$950,'09월 화학성분'!$B$12:$B$950,$A85,'09월 화학성분'!$D$12:$D$950,$B86)))</f>
        <v/>
      </c>
      <c r="K86" s="1054" t="str">
        <f>IF($C86&lt;1,"",(AVERAGEIFS('09월 화학성분'!H$12:H$950,'09월 화학성분'!$B$12:$B$950,$A85,'09월 화학성분'!$D$12:$D$950,$B86)))</f>
        <v/>
      </c>
      <c r="L86" s="1054" t="str">
        <f>IF($C86&lt;1,"",(AVERAGEIFS('09월 화학성분'!I$12:I$950,'09월 화학성분'!$B$12:$B$950,$A85,'09월 화학성분'!$D$12:$D$950,$B86)))</f>
        <v/>
      </c>
      <c r="M86" s="1054" t="str">
        <f>IF($C86&lt;1,"",(AVERAGEIFS('09월 화학성분'!J$12:J$950,'09월 화학성분'!$B$12:$B$950,$A85,'09월 화학성분'!$D$12:$D$950,$B86)))</f>
        <v/>
      </c>
      <c r="N86" s="1054" t="str">
        <f>IF($C86&lt;1,"",(AVERAGEIFS('09월 화학성분'!K$12:K$950,'09월 화학성분'!$B$12:$B$950,$A85,'09월 화학성분'!$D$12:$D$950,$B86)))</f>
        <v/>
      </c>
      <c r="O86" s="1054" t="str">
        <f>IF($C86&lt;1,"",(AVERAGEIFS('09월 화학성분'!L$12:L$950,'09월 화학성분'!$B$12:$B$950,$A85,'09월 화학성분'!$D$12:$D$950,$B86)))</f>
        <v/>
      </c>
      <c r="P86" s="1054" t="str">
        <f>IF($C86&lt;1,"",(AVERAGEIFS('09월 화학성분'!M$12:M$950,'09월 화학성분'!$B$12:$B$950,$A85,'09월 화학성분'!$D$12:$D$950,$B86)))</f>
        <v/>
      </c>
      <c r="Q86" s="1054" t="str">
        <f>IF($C86&lt;1,"",(AVERAGEIFS('09월 조업일지'!$AK$12:$AK$954,'09월 조업일지'!$B$12:$B$954,$A85,'09월 조업일지'!$E$12:$E$954,$B86)))</f>
        <v/>
      </c>
      <c r="R86" s="1054" t="str">
        <f>IF($C86&lt;1,"",(AVERAGEIFS('09월 화학성분'!$G$12:$G$950,'09월 화학성분'!$B$12:$B$950,$A85,'09월 화학성분'!$D$12:$D$950,$B86)))</f>
        <v/>
      </c>
      <c r="S86" s="1055" t="str">
        <f>IF($C86&lt;1,"",(AVERAGEIFS('09월 조업일지'!$AI$12:$AI$954,'09월 조업일지'!$B$12:$B$954,$A85,'09월 조업일지'!$E$12:$E$954,$B86)))</f>
        <v/>
      </c>
      <c r="T86" s="1056" t="str">
        <f>IF($C86&lt;1,"",(AVERAGEIFS('09월 화학성분'!$AM$12:$AM$949,'09월 화학성분'!$B$12:$B$949,$A85,'09월 화학성분'!$D$12:$D$949,$B86)))</f>
        <v/>
      </c>
      <c r="U86" s="1057" t="str">
        <f>IF($C86&lt;1,"",(AVERAGEIFS('09월 고철장입'!$AJ$14:$AJ$949,'09월 고철장입'!$B$14:$B$949,$A85,'09월 고철장입'!$C$14:$C$949,$B86))/1000)</f>
        <v/>
      </c>
      <c r="V86" s="1102" t="str">
        <f>IF($C86&lt;1,"",(AVERAGEIFS('09월 고철장입'!$AK$14:$AK$949,'09월 고철장입'!$B$14:$B$949,$A85,'09월 고철장입'!$C$14:$C$949,$B86)))</f>
        <v/>
      </c>
      <c r="W86" s="1058" t="str">
        <f t="shared" si="20"/>
        <v/>
      </c>
      <c r="X86" s="1059" t="str">
        <f>IF($C86&lt;1,"",(AVERAGEIFS('09월 에너지'!$O$14:$O$949,'09월 에너지'!$A$14:$A$949,$A85,'09월 에너지'!$C$14:$C$949,$B86)))</f>
        <v/>
      </c>
      <c r="Y86" s="1060" t="str">
        <f>IF($C86&lt;1,"",(AVERAGEIFS('09월 에너지'!$P$14:$P$949,'09월 에너지'!$A$14:$A$949,$A85,'09월 에너지'!$C$14:$C$949,$B86)))</f>
        <v/>
      </c>
      <c r="Z86" s="1060" t="str">
        <f>IF($C86&lt;1,"",(AVERAGEIFS('09월 에너지'!$Q$14:$Q$949,'09월 에너지'!$A$14:$A$949,$A85,'09월 에너지'!$C$14:$C$949,$B86)))</f>
        <v/>
      </c>
      <c r="AA86" s="1061" t="str">
        <f>IF($C86&lt;1,"",(AVERAGEIFS('09월 에너지'!$R$14:$R$949,'09월 에너지'!$B$14:$B$949,$A85,'09월 에너지'!$C$14:$C$949,$B86)))</f>
        <v/>
      </c>
      <c r="AB86" s="1062" t="str">
        <f>IF($C86&lt;1,"",(AVERAGEIFS('09월 에너지'!$X$14:$X$949,'09월 에너지'!$A$14:$A$949,$A85,'09월 에너지'!$C$14:$C$949,$B86)))</f>
        <v/>
      </c>
      <c r="AC86" s="1063" t="str">
        <f>IF($C86&lt;1,"",(AVERAGEIFS('09월 에너지'!$AC$14:$AC$949,'09월 에너지'!$A$14:$A$949,$A85,'09월 에너지'!$C$14:$C$949,$B86)))</f>
        <v/>
      </c>
      <c r="AD86" s="1064" t="str">
        <f>IF($C86&lt;1,"",(AVERAGEIFS('09월 에너지'!$AD$14:$AD$949,'09월 에너지'!$B$14:$B$949,$A85,'09월 에너지'!$C$14:$C$949,$B86)))</f>
        <v/>
      </c>
      <c r="AE86" s="1065" t="str">
        <f>IF($C86&lt;1,"",(AVERAGEIFS('09월 에너지'!$AE$14:$AE$949,'09월 에너지'!$B$14:$B$949,$A85,'09월 에너지'!$C$14:$C$949,$B86)))</f>
        <v/>
      </c>
      <c r="AF86" s="1066" t="str">
        <f>IF($C86&lt;1,"",(AVERAGEIFS('09월 에너지'!$AI$14:$AI$949,'09월 에너지'!$B$14:$B$949,$A85,'09월 에너지'!$C$14:$C$949,$B86)))</f>
        <v/>
      </c>
      <c r="AG86" s="1067" t="str">
        <f>IF($C86&lt;1,"",(AVERAGEIFS('09월 에너지'!$AJ$14:$AJ$949,'09월 에너지'!$B$14:$B$949,$A85,'09월 에너지'!$C$14:$C$949,$B86)))</f>
        <v/>
      </c>
    </row>
    <row r="87" spans="1:33" ht="16.5" customHeight="1" thickTop="1" thickBot="1">
      <c r="A87" s="1632"/>
      <c r="B87" s="781" t="s">
        <v>93</v>
      </c>
      <c r="C87" s="782">
        <f>COUNTIFS('09월 조업일지'!$B$12:$B$952,A85,'09월 조업일지'!$E$12:$E$952,B87)</f>
        <v>9</v>
      </c>
      <c r="D87" s="1047">
        <f t="shared" si="21"/>
        <v>49.111111111111114</v>
      </c>
      <c r="E87" s="1048">
        <f>IF($C87&lt;1,"",(SUMIFS('09월 조업일지'!$K$12:$K$954,'09월 조업일지'!$B$12:$B$954,$A85,'09월 조업일지'!$E$12:$E$954,$B87)/$C87))</f>
        <v>0</v>
      </c>
      <c r="F87" s="1049">
        <f>IF($C87&lt;1,"",(AVERAGEIFS('09월 조업일지'!$J$12:$J$954,'09월 조업일지'!$B$12:$B$954,$A85,'09월 조업일지'!$E$12:$E$954,$B87)))</f>
        <v>49.111111111111114</v>
      </c>
      <c r="G87" s="1050">
        <f>IF($C87&lt;1,"",(AVERAGEIFS('09월 에너지'!$M$14:$M$950,'09월 에너지'!$B$14:$B$950,$A85,'09월 에너지'!$C$14:$C$950,$B87)))</f>
        <v>47.766666666666666</v>
      </c>
      <c r="H87" s="1051">
        <f>IF($C87&lt;1,"",(AVERAGEIFS('09월 조업일지'!$AJ$12:$AJ$954,'09월 조업일지'!$B$12:$B$954,$A85,'09월 조업일지'!$E$12:$E$954,$B87)))</f>
        <v>24.888888888888889</v>
      </c>
      <c r="I87" s="1052">
        <f>IF($C87&lt;1,"",(AVERAGEIFS('09월 조업일지'!$AL$12:$AL$954,'09월 조업일지'!$B$12:$B$954,$A85,'09월 조업일지'!$E$12:$E$954,$B87)))</f>
        <v>9.875</v>
      </c>
      <c r="J87" s="1053">
        <f>IF($C87&lt;1,"",(AVERAGEIFS('09월 화학성분'!G$12:G$950,'09월 화학성분'!$B$12:$B$950,$A85,'09월 화학성분'!$D$12:$D$950,$B87)))</f>
        <v>15.333333333333334</v>
      </c>
      <c r="K87" s="1054">
        <f>IF($C87&lt;1,"",(AVERAGEIFS('09월 화학성분'!H$12:H$950,'09월 화학성분'!$B$12:$B$950,$A85,'09월 화학성분'!$D$12:$D$950,$B87)))</f>
        <v>15</v>
      </c>
      <c r="L87" s="1054">
        <f>IF($C87&lt;1,"",(AVERAGEIFS('09월 화학성분'!I$12:I$950,'09월 화학성분'!$B$12:$B$950,$A85,'09월 화학성분'!$D$12:$D$950,$B87)))</f>
        <v>51.888888888888886</v>
      </c>
      <c r="M87" s="1054">
        <f>IF($C87&lt;1,"",(AVERAGEIFS('09월 화학성분'!J$12:J$950,'09월 화학성분'!$B$12:$B$950,$A85,'09월 화학성분'!$D$12:$D$950,$B87)))</f>
        <v>15.777777777777779</v>
      </c>
      <c r="N87" s="1054">
        <f>IF($C87&lt;1,"",(AVERAGEIFS('09월 화학성분'!K$12:K$950,'09월 화학성분'!$B$12:$B$950,$A85,'09월 화학성분'!$D$12:$D$950,$B87)))</f>
        <v>38.111111111111114</v>
      </c>
      <c r="O87" s="1054">
        <f>IF($C87&lt;1,"",(AVERAGEIFS('09월 화학성분'!L$12:L$950,'09월 화학성분'!$B$12:$B$950,$A85,'09월 화학성분'!$D$12:$D$950,$B87)))</f>
        <v>13.222222222222221</v>
      </c>
      <c r="P87" s="1054">
        <f>IF($C87&lt;1,"",(AVERAGEIFS('09월 화학성분'!M$12:M$950,'09월 화학성분'!$B$12:$B$950,$A85,'09월 화학성분'!$D$12:$D$950,$B87)))</f>
        <v>11.222222222222221</v>
      </c>
      <c r="Q87" s="1054">
        <f>IF($C87&lt;1,"",(AVERAGEIFS('09월 조업일지'!$AK$12:$AK$954,'09월 조업일지'!$B$12:$B$954,$A85,'09월 조업일지'!$E$12:$E$954,$B87)))</f>
        <v>468.875</v>
      </c>
      <c r="R87" s="1054">
        <f>IF($C87&lt;1,"",(AVERAGEIFS('09월 화학성분'!$G$12:$G$950,'09월 화학성분'!$B$12:$B$950,$A85,'09월 화학성분'!$D$12:$D$950,$B87)))</f>
        <v>15.333333333333334</v>
      </c>
      <c r="S87" s="1055">
        <f>IF($C87&lt;1,"",(AVERAGEIFS('09월 조업일지'!$AI$12:$AI$954,'09월 조업일지'!$B$12:$B$954,$A85,'09월 조업일지'!$E$12:$E$954,$B87)))</f>
        <v>1554.2222222222222</v>
      </c>
      <c r="T87" s="1056">
        <f>IF($C87&lt;1,"",(AVERAGEIFS('09월 화학성분'!$AM$12:$AM$949,'09월 화학성분'!$B$12:$B$949,$A85,'09월 화학성분'!$D$12:$D$949,$B87)))</f>
        <v>2329.4444444444443</v>
      </c>
      <c r="U87" s="1057">
        <f>IF($C87&lt;1,"",(AVERAGEIFS('09월 고철장입'!$AJ$14:$AJ$949,'09월 고철장입'!$B$14:$B$949,$A85,'09월 고철장입'!$C$14:$C$949,$B87))/1000)</f>
        <v>159.18888888888887</v>
      </c>
      <c r="V87" s="1102">
        <f>IF($C87&lt;1,"",(AVERAGEIFS('09월 고철장입'!$AK$14:$AK$949,'09월 고철장입'!$B$14:$B$949,$A85,'09월 고철장입'!$C$14:$C$949,$B87)))</f>
        <v>143.5</v>
      </c>
      <c r="W87" s="1058">
        <f t="shared" si="20"/>
        <v>90.144482445731839</v>
      </c>
      <c r="X87" s="1059">
        <f>IF($C87&lt;1,"",(AVERAGEIFS('09월 에너지'!$O$14:$O$949,'09월 에너지'!$A$14:$A$949,$A85,'09월 에너지'!$C$14:$C$949,$B87)))</f>
        <v>163.73675108174567</v>
      </c>
      <c r="Y87" s="1060">
        <f>IF($C87&lt;1,"",(AVERAGEIFS('09월 에너지'!$P$14:$P$949,'09월 에너지'!$A$14:$A$949,$A85,'09월 에너지'!$C$14:$C$949,$B87)))</f>
        <v>143.98664047668487</v>
      </c>
      <c r="Z87" s="1060">
        <f>IF($C87&lt;1,"",(AVERAGEIFS('09월 에너지'!$Q$14:$Q$949,'09월 에너지'!$A$14:$A$949,$A85,'09월 에너지'!$C$14:$C$949,$B87)))</f>
        <v>91.706658117173376</v>
      </c>
      <c r="AA87" s="1061">
        <f>IF($C87&lt;1,"",(AVERAGEIFS('09월 에너지'!$R$14:$R$949,'09월 에너지'!$B$14:$B$949,$A85,'09월 에너지'!$C$14:$C$949,$B87)))</f>
        <v>399.43004967560393</v>
      </c>
      <c r="AB87" s="1062">
        <f>IF($C87&lt;1,"",(AVERAGEIFS('09월 에너지'!$X$14:$X$949,'09월 에너지'!$A$14:$A$949,$A85,'09월 에너지'!$C$14:$C$949,$B87)))</f>
        <v>2.5560667806396351</v>
      </c>
      <c r="AC87" s="1063">
        <f>IF($C87&lt;1,"",(AVERAGEIFS('09월 에너지'!$AC$14:$AC$949,'09월 에너지'!$A$14:$A$949,$A85,'09월 에너지'!$C$14:$C$949,$B87)))</f>
        <v>27.921346443567948</v>
      </c>
      <c r="AD87" s="1064">
        <f>IF($C87&lt;1,"",(AVERAGEIFS('09월 에너지'!$AD$14:$AD$949,'09월 에너지'!$B$14:$B$949,$A85,'09월 에너지'!$C$14:$C$949,$B87)))</f>
        <v>4373.2222222222226</v>
      </c>
      <c r="AE87" s="1065">
        <f>IF($C87&lt;1,"",(AVERAGEIFS('09월 에너지'!$AE$14:$AE$949,'09월 에너지'!$B$14:$B$949,$A85,'09월 에너지'!$C$14:$C$949,$B87)))</f>
        <v>30.477413224207584</v>
      </c>
      <c r="AF87" s="1066">
        <f>IF($C87&lt;1,"",(AVERAGEIFS('09월 에너지'!$AI$14:$AI$949,'09월 에너지'!$B$14:$B$949,$A85,'09월 에너지'!$C$14:$C$949,$B87)))</f>
        <v>154.55555555555554</v>
      </c>
      <c r="AG87" s="1067">
        <f>IF($C87&lt;1,"",(AVERAGEIFS('09월 에너지'!$AJ$14:$AJ$949,'09월 에너지'!$B$14:$B$949,$A85,'09월 에너지'!$C$14:$C$949,$B87)))</f>
        <v>1.0773189979041737</v>
      </c>
    </row>
    <row r="88" spans="1:33" ht="16.5" customHeight="1" thickTop="1" thickBot="1">
      <c r="A88" s="1632"/>
      <c r="B88" s="783" t="s">
        <v>94</v>
      </c>
      <c r="C88" s="784">
        <f>COUNTIFS('09월 조업일지'!$B$12:$B$952,A85,'09월 조업일지'!$E$12:$E$952,B88)</f>
        <v>11</v>
      </c>
      <c r="D88" s="1068">
        <f t="shared" si="21"/>
        <v>45.999999999999993</v>
      </c>
      <c r="E88" s="1069">
        <f>IF($C88&lt;1,"",(SUMIFS('09월 조업일지'!$K$12:$K$954,'09월 조업일지'!$B$12:$B$954,$A85,'09월 조업일지'!$E$12:$E$954,$B88)/$C88))</f>
        <v>0</v>
      </c>
      <c r="F88" s="1070">
        <f>IF($C88&lt;1,"",(AVERAGEIFS('09월 조업일지'!$J$12:$J$954,'09월 조업일지'!$B$12:$B$954,$A85,'09월 조업일지'!$E$12:$E$954,$B88)))</f>
        <v>45.999999999999993</v>
      </c>
      <c r="G88" s="1071">
        <f>IF($C88&lt;1,"",(AVERAGEIFS('09월 에너지'!$M$14:$M$950,'09월 에너지'!$B$14:$B$950,$A85,'09월 에너지'!$C$14:$C$950,$B88)))</f>
        <v>44.781818181818181</v>
      </c>
      <c r="H88" s="1072">
        <f>IF($C88&lt;1,"",(AVERAGEIFS('09월 조업일지'!$AJ$12:$AJ$954,'09월 조업일지'!$B$12:$B$954,$A85,'09월 조업일지'!$E$12:$E$954,$B88)))</f>
        <v>27.727272727272727</v>
      </c>
      <c r="I88" s="1073">
        <f>IF($C88&lt;1,"",(AVERAGEIFS('09월 조업일지'!$AL$12:$AL$954,'09월 조업일지'!$B$12:$B$954,$A85,'09월 조업일지'!$E$12:$E$954,$B88)))</f>
        <v>9.6</v>
      </c>
      <c r="J88" s="1074">
        <f>IF($C88&lt;1,"",(AVERAGEIFS('09월 화학성분'!G$12:G$950,'09월 화학성분'!$B$12:$B$950,$A85,'09월 화학성분'!$D$12:$D$950,$B88)))</f>
        <v>14.181818181818182</v>
      </c>
      <c r="K88" s="1075">
        <f>IF($C88&lt;1,"",(AVERAGEIFS('09월 화학성분'!H$12:H$950,'09월 화학성분'!$B$12:$B$950,$A85,'09월 화학성분'!$D$12:$D$950,$B88)))</f>
        <v>13.727272727272727</v>
      </c>
      <c r="L88" s="1075">
        <f>IF($C88&lt;1,"",(AVERAGEIFS('09월 화학성분'!I$12:I$950,'09월 화학성분'!$B$12:$B$950,$A85,'09월 화학성분'!$D$12:$D$950,$B88)))</f>
        <v>54.090909090909093</v>
      </c>
      <c r="M88" s="1075">
        <f>IF($C88&lt;1,"",(AVERAGEIFS('09월 화학성분'!J$12:J$950,'09월 화학성분'!$B$12:$B$950,$A85,'09월 화학성분'!$D$12:$D$950,$B88)))</f>
        <v>16.272727272727273</v>
      </c>
      <c r="N88" s="1075">
        <f>IF($C88&lt;1,"",(AVERAGEIFS('09월 화학성분'!K$12:K$950,'09월 화학성분'!$B$12:$B$950,$A85,'09월 화학성분'!$D$12:$D$950,$B88)))</f>
        <v>33.18181818181818</v>
      </c>
      <c r="O88" s="1075">
        <f>IF($C88&lt;1,"",(AVERAGEIFS('09월 화학성분'!L$12:L$950,'09월 화학성분'!$B$12:$B$950,$A85,'09월 화학성분'!$D$12:$D$950,$B88)))</f>
        <v>13.454545454545455</v>
      </c>
      <c r="P88" s="1075">
        <f>IF($C88&lt;1,"",(AVERAGEIFS('09월 화학성분'!M$12:M$950,'09월 화학성분'!$B$12:$B$950,$A85,'09월 화학성분'!$D$12:$D$950,$B88)))</f>
        <v>11.636363636363637</v>
      </c>
      <c r="Q88" s="1075">
        <f>IF($C88&lt;1,"",(AVERAGEIFS('09월 조업일지'!$AK$12:$AK$954,'09월 조업일지'!$B$12:$B$954,$A85,'09월 조업일지'!$E$12:$E$954,$B88)))</f>
        <v>535.29999999999995</v>
      </c>
      <c r="R88" s="1075">
        <f>IF($C88&lt;1,"",(AVERAGEIFS('09월 화학성분'!$G$12:$G$950,'09월 화학성분'!$B$12:$B$950,$A85,'09월 화학성분'!$D$12:$D$950,$B88)))</f>
        <v>14.181818181818182</v>
      </c>
      <c r="S88" s="1076">
        <f>IF($C88&lt;1,"",(AVERAGEIFS('09월 조업일지'!$AI$12:$AI$954,'09월 조업일지'!$B$12:$B$954,$A85,'09월 조업일지'!$E$12:$E$954,$B88)))</f>
        <v>1583.1818181818182</v>
      </c>
      <c r="T88" s="1077">
        <f>IF($C88&lt;1,"",(AVERAGEIFS('09월 화학성분'!$AM$12:$AM$949,'09월 화학성분'!$B$12:$B$949,$A85,'09월 화학성분'!$D$12:$D$949,$B88)))</f>
        <v>1410.909090909091</v>
      </c>
      <c r="U88" s="1078">
        <f>IF($C88&lt;1,"",(AVERAGEIFS('09월 고철장입'!$AJ$14:$AJ$949,'09월 고철장입'!$B$14:$B$949,$A85,'09월 고철장입'!$C$14:$C$949,$B88))/1000)</f>
        <v>159.64545454545456</v>
      </c>
      <c r="V88" s="1103">
        <f>IF($C88&lt;1,"",(AVERAGEIFS('09월 고철장입'!$AK$14:$AK$949,'09월 고철장입'!$B$14:$B$949,$A85,'09월 고철장입'!$C$14:$C$949,$B88)))</f>
        <v>143.73636363636362</v>
      </c>
      <c r="W88" s="1079">
        <f t="shared" si="20"/>
        <v>90.034736062866557</v>
      </c>
      <c r="X88" s="1080">
        <f>IF($C88&lt;1,"",(AVERAGEIFS('09월 에너지'!$O$14:$O$949,'09월 에너지'!$A$14:$A$949,$A85,'09월 에너지'!$C$14:$C$949,$B88)))</f>
        <v>157.88238170235903</v>
      </c>
      <c r="Y88" s="1081">
        <f>IF($C88&lt;1,"",(AVERAGEIFS('09월 에너지'!$P$14:$P$949,'09월 에너지'!$A$14:$A$949,$A85,'09월 에너지'!$C$14:$C$949,$B88)))</f>
        <v>144.55146538313548</v>
      </c>
      <c r="Z88" s="1081">
        <f>IF($C88&lt;1,"",(AVERAGEIFS('09월 에너지'!$Q$14:$Q$949,'09월 에너지'!$A$14:$A$949,$A85,'09월 에너지'!$C$14:$C$949,$B88)))</f>
        <v>80.019142031473649</v>
      </c>
      <c r="AA88" s="1082">
        <f>IF($C88&lt;1,"",(AVERAGEIFS('09월 에너지'!$R$14:$R$949,'09월 에너지'!$B$14:$B$949,$A85,'09월 에너지'!$C$14:$C$949,$B88)))</f>
        <v>382.59140688664189</v>
      </c>
      <c r="AB88" s="1083">
        <f>IF($C88&lt;1,"",(AVERAGEIFS('09월 에너지'!$X$14:$X$949,'09월 에너지'!$A$14:$A$949,$A85,'09월 에너지'!$C$14:$C$949,$B88)))</f>
        <v>2.3369969088758604</v>
      </c>
      <c r="AC88" s="1084">
        <f>IF($C88&lt;1,"",(AVERAGEIFS('09월 에너지'!$AC$14:$AC$949,'09월 에너지'!$A$14:$A$949,$A85,'09월 에너지'!$C$14:$C$949,$B88)))</f>
        <v>25.969070883192305</v>
      </c>
      <c r="AD88" s="1085">
        <f>IF($C88&lt;1,"",(AVERAGEIFS('09월 에너지'!$AD$14:$AD$949,'09월 에너지'!$B$14:$B$949,$A85,'09월 에너지'!$C$14:$C$949,$B88)))</f>
        <v>4057.181818181818</v>
      </c>
      <c r="AE88" s="1086">
        <f>IF($C88&lt;1,"",(AVERAGEIFS('09월 에너지'!$AE$14:$AE$949,'09월 에너지'!$B$14:$B$949,$A85,'09월 에너지'!$C$14:$C$949,$B88)))</f>
        <v>28.228274670503641</v>
      </c>
      <c r="AF88" s="1087">
        <f>IF($C88&lt;1,"",(AVERAGEIFS('09월 에너지'!$AI$14:$AI$949,'09월 에너지'!$B$14:$B$949,$A85,'09월 에너지'!$C$14:$C$949,$B88)))</f>
        <v>151.36363636363637</v>
      </c>
      <c r="AG88" s="1088">
        <f>IF($C88&lt;1,"",(AVERAGEIFS('09월 에너지'!$AJ$14:$AJ$949,'09월 에너지'!$B$14:$B$949,$A85,'09월 에너지'!$C$14:$C$949,$B88)))</f>
        <v>1.0532003509288936</v>
      </c>
    </row>
    <row r="89" spans="1:33" ht="16.5" customHeight="1" thickTop="1" thickBot="1">
      <c r="A89" s="1632">
        <f t="shared" ref="A89" si="25">A85+1</f>
        <v>46287</v>
      </c>
      <c r="B89" s="775" t="s">
        <v>128</v>
      </c>
      <c r="C89" s="776">
        <f>COUNTIFS('09월 조업일지'!$B$12:$B$952,A89,'09월 조업일지'!$E$12:$E$952,B89)</f>
        <v>4</v>
      </c>
      <c r="D89" s="1026">
        <f t="shared" si="21"/>
        <v>50.000000000000028</v>
      </c>
      <c r="E89" s="1027">
        <f>IF($C89&lt;1,"",(SUMIFS('09월 조업일지'!$K$12:$K$954,'09월 조업일지'!$B$12:$B$954,$A89,'09월 조업일지'!$E$12:$E$954,$B89)/$C89))</f>
        <v>0</v>
      </c>
      <c r="F89" s="1028">
        <f>IF($C89&lt;1,"",(AVERAGEIFS('09월 조업일지'!$J$12:$J$954,'09월 조업일지'!$B$12:$B$954,$A89,'09월 조업일지'!$E$12:$E$954,$B89)))</f>
        <v>50.000000000000028</v>
      </c>
      <c r="G89" s="1029">
        <f>IF($C89&lt;1,"",(AVERAGEIFS('09월 에너지'!$M$14:$M$950,'09월 에너지'!$B$14:$B$950,$A89,'09월 에너지'!$C$14:$C$950,$B89)))</f>
        <v>38.700000000000003</v>
      </c>
      <c r="H89" s="1030">
        <f>IF($C89&lt;1,"",(AVERAGEIFS('09월 조업일지'!$AJ$12:$AJ$954,'09월 조업일지'!$B$12:$B$954,$A89,'09월 조업일지'!$E$12:$E$954,$B89)))</f>
        <v>62.5</v>
      </c>
      <c r="I89" s="1031">
        <f>IF($C89&lt;1,"",(AVERAGEIFS('09월 조업일지'!$AL$12:$AL$954,'09월 조업일지'!$B$12:$B$954,$A89,'09월 조업일지'!$E$12:$E$954,$B89)))</f>
        <v>8.3333333333333339</v>
      </c>
      <c r="J89" s="1032">
        <f>IF($C89&lt;1,"",(AVERAGEIFS('09월 화학성분'!G$12:G$950,'09월 화학성분'!$B$12:$B$950,$A89,'09월 화학성분'!$D$12:$D$950,$B89)))</f>
        <v>11</v>
      </c>
      <c r="K89" s="1033">
        <f>IF($C89&lt;1,"",(AVERAGEIFS('09월 화학성분'!H$12:H$950,'09월 화학성분'!$B$12:$B$950,$A89,'09월 화학성분'!$D$12:$D$950,$B89)))</f>
        <v>17.75</v>
      </c>
      <c r="L89" s="1033">
        <f>IF($C89&lt;1,"",(AVERAGEIFS('09월 화학성분'!I$12:I$950,'09월 화학성분'!$B$12:$B$950,$A89,'09월 화학성분'!$D$12:$D$950,$B89)))</f>
        <v>49.25</v>
      </c>
      <c r="M89" s="1033">
        <f>IF($C89&lt;1,"",(AVERAGEIFS('09월 화학성분'!J$12:J$950,'09월 화학성분'!$B$12:$B$950,$A89,'09월 화학성분'!$D$12:$D$950,$B89)))</f>
        <v>21</v>
      </c>
      <c r="N89" s="1033">
        <f>IF($C89&lt;1,"",(AVERAGEIFS('09월 화학성분'!K$12:K$950,'09월 화학성분'!$B$12:$B$950,$A89,'09월 화학성분'!$D$12:$D$950,$B89)))</f>
        <v>35.75</v>
      </c>
      <c r="O89" s="1033">
        <f>IF($C89&lt;1,"",(AVERAGEIFS('09월 화학성분'!L$12:L$950,'09월 화학성분'!$B$12:$B$950,$A89,'09월 화학성분'!$D$12:$D$950,$B89)))</f>
        <v>14.5</v>
      </c>
      <c r="P89" s="1033">
        <f>IF($C89&lt;1,"",(AVERAGEIFS('09월 화학성분'!M$12:M$950,'09월 화학성분'!$B$12:$B$950,$A89,'09월 화학성분'!$D$12:$D$950,$B89)))</f>
        <v>14.75</v>
      </c>
      <c r="Q89" s="1033">
        <f>IF($C89&lt;1,"",(AVERAGEIFS('09월 조업일지'!$AK$12:$AK$954,'09월 조업일지'!$B$12:$B$954,$A89,'09월 조업일지'!$E$12:$E$954,$B89)))</f>
        <v>508.25</v>
      </c>
      <c r="R89" s="1033">
        <f>IF($C89&lt;1,"",(AVERAGEIFS('09월 화학성분'!$G$12:$G$950,'09월 화학성분'!$B$12:$B$950,$A89,'09월 화학성분'!$D$12:$D$950,$B89)))</f>
        <v>11</v>
      </c>
      <c r="S89" s="1034">
        <f>IF($C89&lt;1,"",(AVERAGEIFS('09월 조업일지'!$AI$12:$AI$954,'09월 조업일지'!$B$12:$B$954,$A89,'09월 조업일지'!$E$12:$E$954,$B89)))</f>
        <v>1582.25</v>
      </c>
      <c r="T89" s="1035">
        <f>IF($C89&lt;1,"",(AVERAGEIFS('09월 화학성분'!$AM$12:$AM$949,'09월 화학성분'!$B$12:$B$949,$A89,'09월 화학성분'!$D$12:$D$949,$B89)))</f>
        <v>2176.75</v>
      </c>
      <c r="U89" s="1036">
        <f>IF($C89&lt;1,"",(AVERAGEIFS('09월 고철장입'!$AJ$14:$AJ$949,'09월 고철장입'!$B$14:$B$949,$A89,'09월 고철장입'!$C$14:$C$949,$B89))/1000)</f>
        <v>137.07499999999999</v>
      </c>
      <c r="V89" s="1101">
        <f>IF($C89&lt;1,"",(AVERAGEIFS('09월 고철장입'!$AK$14:$AK$949,'09월 고철장입'!$B$14:$B$949,$A89,'09월 고철장입'!$C$14:$C$949,$B89)))</f>
        <v>135.27500000000001</v>
      </c>
      <c r="W89" s="1037">
        <f t="shared" si="20"/>
        <v>98.686850264453767</v>
      </c>
      <c r="X89" s="1038">
        <f>IF($C89&lt;1,"",(AVERAGEIFS('09월 에너지'!$O$14:$O$949,'09월 에너지'!$A$14:$A$949,$A89,'09월 에너지'!$C$14:$C$949,$B89)))</f>
        <v>188.04008902199143</v>
      </c>
      <c r="Y89" s="1039">
        <f>IF($C89&lt;1,"",(AVERAGEIFS('09월 에너지'!$P$14:$P$949,'09월 에너지'!$A$14:$A$949,$A89,'09월 에너지'!$C$14:$C$949,$B89)))</f>
        <v>73.815006944362011</v>
      </c>
      <c r="Z89" s="1039">
        <f>IF($C89&lt;1,"",(AVERAGEIFS('09월 에너지'!$Q$14:$Q$949,'09월 에너지'!$A$14:$A$949,$A89,'09월 에너지'!$C$14:$C$949,$B89)))</f>
        <v>111.03150312712117</v>
      </c>
      <c r="AA89" s="1040">
        <f>IF($C89&lt;1,"",(AVERAGEIFS('09월 에너지'!$R$14:$R$949,'09월 에너지'!$B$14:$B$949,$A89,'09월 에너지'!$C$14:$C$949,$B89)))</f>
        <v>372.88659909347462</v>
      </c>
      <c r="AB89" s="1041">
        <f>IF($C89&lt;1,"",(AVERAGEIFS('09월 에너지'!$X$14:$X$949,'09월 에너지'!$A$14:$A$949,$A89,'09월 에너지'!$C$14:$C$949,$B89)))</f>
        <v>3.6597826314744397</v>
      </c>
      <c r="AC89" s="1042">
        <f>IF($C89&lt;1,"",(AVERAGEIFS('09월 에너지'!$AC$14:$AC$949,'09월 에너지'!$A$14:$A$949,$A89,'09월 에너지'!$C$14:$C$949,$B89)))</f>
        <v>26.850275279825112</v>
      </c>
      <c r="AD89" s="1043">
        <f>IF($C89&lt;1,"",(AVERAGEIFS('09월 에너지'!$AD$14:$AD$949,'09월 에너지'!$B$14:$B$949,$A89,'09월 에너지'!$C$14:$C$949,$B89)))</f>
        <v>4096.75</v>
      </c>
      <c r="AE89" s="1044">
        <f>IF($C89&lt;1,"",(AVERAGEIFS('09월 에너지'!$AE$14:$AE$949,'09월 에너지'!$B$14:$B$949,$A89,'09월 에너지'!$C$14:$C$949,$B89)))</f>
        <v>30.510057911299548</v>
      </c>
      <c r="AF89" s="1045">
        <f>IF($C89&lt;1,"",(AVERAGEIFS('09월 에너지'!$AI$14:$AI$949,'09월 에너지'!$B$14:$B$949,$A89,'09월 에너지'!$C$14:$C$949,$B89)))</f>
        <v>126.5</v>
      </c>
      <c r="AG89" s="1046">
        <f>IF($C89&lt;1,"",(AVERAGEIFS('09월 에너지'!$AJ$14:$AJ$949,'09월 에너지'!$B$14:$B$949,$A89,'09월 에너지'!$C$14:$C$949,$B89)))</f>
        <v>0.93485780340784141</v>
      </c>
    </row>
    <row r="90" spans="1:33" ht="16.5" customHeight="1" thickTop="1" thickBot="1">
      <c r="A90" s="1632"/>
      <c r="B90" s="781" t="s">
        <v>100</v>
      </c>
      <c r="C90" s="782">
        <f>COUNTIFS('09월 조업일지'!$B$12:$B$952,A89,'09월 조업일지'!$E$12:$E$952,B90)</f>
        <v>0</v>
      </c>
      <c r="D90" s="1047" t="str">
        <f t="shared" si="21"/>
        <v/>
      </c>
      <c r="E90" s="1048" t="str">
        <f>IF($C90&lt;1,"",(SUMIFS('09월 조업일지'!$K$12:$K$954,'09월 조업일지'!$B$12:$B$954,$A89,'09월 조업일지'!$E$12:$E$954,$B90)/$C90))</f>
        <v/>
      </c>
      <c r="F90" s="1049" t="str">
        <f>IF($C90&lt;1,"",(AVERAGEIFS('09월 조업일지'!$J$12:$J$954,'09월 조업일지'!$B$12:$B$954,$A89,'09월 조업일지'!$E$12:$E$954,$B90)))</f>
        <v/>
      </c>
      <c r="G90" s="1050" t="str">
        <f>IF($C90&lt;1,"",(AVERAGEIFS('09월 에너지'!$M$14:$M$950,'09월 에너지'!$B$14:$B$950,$A89,'09월 에너지'!$C$14:$C$950,$B90)))</f>
        <v/>
      </c>
      <c r="H90" s="1051" t="str">
        <f>IF($C90&lt;1,"",(AVERAGEIFS('09월 조업일지'!$AJ$12:$AJ$954,'09월 조업일지'!$B$12:$B$954,$A89,'09월 조업일지'!$E$12:$E$954,$B90)))</f>
        <v/>
      </c>
      <c r="I90" s="1052" t="str">
        <f>IF($C90&lt;1,"",(AVERAGEIFS('09월 조업일지'!$AL$12:$AL$954,'09월 조업일지'!$B$12:$B$954,$A89,'09월 조업일지'!$E$12:$E$954,$B90)))</f>
        <v/>
      </c>
      <c r="J90" s="1053" t="str">
        <f>IF($C90&lt;1,"",(AVERAGEIFS('09월 화학성분'!G$12:G$950,'09월 화학성분'!$B$12:$B$950,$A89,'09월 화학성분'!$D$12:$D$950,$B90)))</f>
        <v/>
      </c>
      <c r="K90" s="1054" t="str">
        <f>IF($C90&lt;1,"",(AVERAGEIFS('09월 화학성분'!H$12:H$950,'09월 화학성분'!$B$12:$B$950,$A89,'09월 화학성분'!$D$12:$D$950,$B90)))</f>
        <v/>
      </c>
      <c r="L90" s="1054" t="str">
        <f>IF($C90&lt;1,"",(AVERAGEIFS('09월 화학성분'!I$12:I$950,'09월 화학성분'!$B$12:$B$950,$A89,'09월 화학성분'!$D$12:$D$950,$B90)))</f>
        <v/>
      </c>
      <c r="M90" s="1054" t="str">
        <f>IF($C90&lt;1,"",(AVERAGEIFS('09월 화학성분'!J$12:J$950,'09월 화학성분'!$B$12:$B$950,$A89,'09월 화학성분'!$D$12:$D$950,$B90)))</f>
        <v/>
      </c>
      <c r="N90" s="1054" t="str">
        <f>IF($C90&lt;1,"",(AVERAGEIFS('09월 화학성분'!K$12:K$950,'09월 화학성분'!$B$12:$B$950,$A89,'09월 화학성분'!$D$12:$D$950,$B90)))</f>
        <v/>
      </c>
      <c r="O90" s="1054" t="str">
        <f>IF($C90&lt;1,"",(AVERAGEIFS('09월 화학성분'!L$12:L$950,'09월 화학성분'!$B$12:$B$950,$A89,'09월 화학성분'!$D$12:$D$950,$B90)))</f>
        <v/>
      </c>
      <c r="P90" s="1054" t="str">
        <f>IF($C90&lt;1,"",(AVERAGEIFS('09월 화학성분'!M$12:M$950,'09월 화학성분'!$B$12:$B$950,$A89,'09월 화학성분'!$D$12:$D$950,$B90)))</f>
        <v/>
      </c>
      <c r="Q90" s="1054" t="str">
        <f>IF($C90&lt;1,"",(AVERAGEIFS('09월 조업일지'!$AK$12:$AK$954,'09월 조업일지'!$B$12:$B$954,$A89,'09월 조업일지'!$E$12:$E$954,$B90)))</f>
        <v/>
      </c>
      <c r="R90" s="1054" t="str">
        <f>IF($C90&lt;1,"",(AVERAGEIFS('09월 화학성분'!$G$12:$G$950,'09월 화학성분'!$B$12:$B$950,$A89,'09월 화학성분'!$D$12:$D$950,$B90)))</f>
        <v/>
      </c>
      <c r="S90" s="1055" t="str">
        <f>IF($C90&lt;1,"",(AVERAGEIFS('09월 조업일지'!$AI$12:$AI$954,'09월 조업일지'!$B$12:$B$954,$A89,'09월 조업일지'!$E$12:$E$954,$B90)))</f>
        <v/>
      </c>
      <c r="T90" s="1056" t="str">
        <f>IF($C90&lt;1,"",(AVERAGEIFS('09월 화학성분'!$AM$12:$AM$949,'09월 화학성분'!$B$12:$B$949,$A89,'09월 화학성분'!$D$12:$D$949,$B90)))</f>
        <v/>
      </c>
      <c r="U90" s="1057" t="str">
        <f>IF($C90&lt;1,"",(AVERAGEIFS('09월 고철장입'!$AJ$14:$AJ$949,'09월 고철장입'!$B$14:$B$949,$A89,'09월 고철장입'!$C$14:$C$949,$B90))/1000)</f>
        <v/>
      </c>
      <c r="V90" s="1102" t="str">
        <f>IF($C90&lt;1,"",(AVERAGEIFS('09월 고철장입'!$AK$14:$AK$949,'09월 고철장입'!$B$14:$B$949,$A89,'09월 고철장입'!$C$14:$C$949,$B90)))</f>
        <v/>
      </c>
      <c r="W90" s="1058" t="str">
        <f t="shared" si="20"/>
        <v/>
      </c>
      <c r="X90" s="1059" t="str">
        <f>IF($C90&lt;1,"",(AVERAGEIFS('09월 에너지'!$O$14:$O$949,'09월 에너지'!$A$14:$A$949,$A89,'09월 에너지'!$C$14:$C$949,$B90)))</f>
        <v/>
      </c>
      <c r="Y90" s="1060" t="str">
        <f>IF($C90&lt;1,"",(AVERAGEIFS('09월 에너지'!$P$14:$P$949,'09월 에너지'!$A$14:$A$949,$A89,'09월 에너지'!$C$14:$C$949,$B90)))</f>
        <v/>
      </c>
      <c r="Z90" s="1060" t="str">
        <f>IF($C90&lt;1,"",(AVERAGEIFS('09월 에너지'!$Q$14:$Q$949,'09월 에너지'!$A$14:$A$949,$A89,'09월 에너지'!$C$14:$C$949,$B90)))</f>
        <v/>
      </c>
      <c r="AA90" s="1061" t="str">
        <f>IF($C90&lt;1,"",(AVERAGEIFS('09월 에너지'!$R$14:$R$949,'09월 에너지'!$B$14:$B$949,$A89,'09월 에너지'!$C$14:$C$949,$B90)))</f>
        <v/>
      </c>
      <c r="AB90" s="1062" t="str">
        <f>IF($C90&lt;1,"",(AVERAGEIFS('09월 에너지'!$X$14:$X$949,'09월 에너지'!$A$14:$A$949,$A89,'09월 에너지'!$C$14:$C$949,$B90)))</f>
        <v/>
      </c>
      <c r="AC90" s="1063" t="str">
        <f>IF($C90&lt;1,"",(AVERAGEIFS('09월 에너지'!$AC$14:$AC$949,'09월 에너지'!$A$14:$A$949,$A89,'09월 에너지'!$C$14:$C$949,$B90)))</f>
        <v/>
      </c>
      <c r="AD90" s="1064" t="str">
        <f>IF($C90&lt;1,"",(AVERAGEIFS('09월 에너지'!$AD$14:$AD$949,'09월 에너지'!$B$14:$B$949,$A89,'09월 에너지'!$C$14:$C$949,$B90)))</f>
        <v/>
      </c>
      <c r="AE90" s="1065" t="str">
        <f>IF($C90&lt;1,"",(AVERAGEIFS('09월 에너지'!$AE$14:$AE$949,'09월 에너지'!$B$14:$B$949,$A89,'09월 에너지'!$C$14:$C$949,$B90)))</f>
        <v/>
      </c>
      <c r="AF90" s="1066" t="str">
        <f>IF($C90&lt;1,"",(AVERAGEIFS('09월 에너지'!$AI$14:$AI$949,'09월 에너지'!$B$14:$B$949,$A89,'09월 에너지'!$C$14:$C$949,$B90)))</f>
        <v/>
      </c>
      <c r="AG90" s="1067" t="str">
        <f>IF($C90&lt;1,"",(AVERAGEIFS('09월 에너지'!$AJ$14:$AJ$949,'09월 에너지'!$B$14:$B$949,$A89,'09월 에너지'!$C$14:$C$949,$B90)))</f>
        <v/>
      </c>
    </row>
    <row r="91" spans="1:33" ht="16.5" customHeight="1" thickTop="1" thickBot="1">
      <c r="A91" s="1632"/>
      <c r="B91" s="781" t="s">
        <v>93</v>
      </c>
      <c r="C91" s="782">
        <f>COUNTIFS('09월 조업일지'!$B$12:$B$952,A89,'09월 조업일지'!$E$12:$E$952,B91)</f>
        <v>4</v>
      </c>
      <c r="D91" s="1047">
        <f t="shared" si="21"/>
        <v>59.249999999999972</v>
      </c>
      <c r="E91" s="1048">
        <f>IF($C91&lt;1,"",(SUMIFS('09월 조업일지'!$K$12:$K$954,'09월 조업일지'!$B$12:$B$954,$A89,'09월 조업일지'!$E$12:$E$954,$B91)/$C91))</f>
        <v>132</v>
      </c>
      <c r="F91" s="1049">
        <f>IF($C91&lt;1,"",(AVERAGEIFS('09월 조업일지'!$J$12:$J$954,'09월 조업일지'!$B$12:$B$954,$A89,'09월 조업일지'!$E$12:$E$954,$B91)))</f>
        <v>191.24999999999997</v>
      </c>
      <c r="G91" s="1050">
        <f>IF($C91&lt;1,"",(AVERAGEIFS('09월 에너지'!$M$14:$M$950,'09월 에너지'!$B$14:$B$950,$A89,'09월 에너지'!$C$14:$C$950,$B91)))</f>
        <v>51.524999999999991</v>
      </c>
      <c r="H91" s="1051">
        <f>IF($C91&lt;1,"",(AVERAGEIFS('09월 조업일지'!$AJ$12:$AJ$954,'09월 조업일지'!$B$12:$B$954,$A89,'09월 조업일지'!$E$12:$E$954,$B91)))</f>
        <v>35.5</v>
      </c>
      <c r="I91" s="1052">
        <f>IF($C91&lt;1,"",(AVERAGEIFS('09월 조업일지'!$AL$12:$AL$954,'09월 조업일지'!$B$12:$B$954,$A89,'09월 조업일지'!$E$12:$E$954,$B91)))</f>
        <v>8.5</v>
      </c>
      <c r="J91" s="1053">
        <f>IF($C91&lt;1,"",(AVERAGEIFS('09월 화학성분'!G$12:G$950,'09월 화학성분'!$B$12:$B$950,$A89,'09월 화학성분'!$D$12:$D$950,$B91)))</f>
        <v>7.25</v>
      </c>
      <c r="K91" s="1054">
        <f>IF($C91&lt;1,"",(AVERAGEIFS('09월 화학성분'!H$12:H$950,'09월 화학성분'!$B$12:$B$950,$A89,'09월 화학성분'!$D$12:$D$950,$B91)))</f>
        <v>25</v>
      </c>
      <c r="L91" s="1054">
        <f>IF($C91&lt;1,"",(AVERAGEIFS('09월 화학성분'!I$12:I$950,'09월 화학성분'!$B$12:$B$950,$A89,'09월 화학성분'!$D$12:$D$950,$B91)))</f>
        <v>81.75</v>
      </c>
      <c r="M91" s="1054">
        <f>IF($C91&lt;1,"",(AVERAGEIFS('09월 화학성분'!J$12:J$950,'09월 화학성분'!$B$12:$B$950,$A89,'09월 화학성분'!$D$12:$D$950,$B91)))</f>
        <v>15.5</v>
      </c>
      <c r="N91" s="1054">
        <f>IF($C91&lt;1,"",(AVERAGEIFS('09월 화학성분'!K$12:K$950,'09월 화학성분'!$B$12:$B$950,$A89,'09월 화학성분'!$D$12:$D$950,$B91)))</f>
        <v>25</v>
      </c>
      <c r="O91" s="1054">
        <f>IF($C91&lt;1,"",(AVERAGEIFS('09월 화학성분'!L$12:L$950,'09월 화학성분'!$B$12:$B$950,$A89,'09월 화학성분'!$D$12:$D$950,$B91)))</f>
        <v>11.5</v>
      </c>
      <c r="P91" s="1054">
        <f>IF($C91&lt;1,"",(AVERAGEIFS('09월 화학성분'!M$12:M$950,'09월 화학성분'!$B$12:$B$950,$A89,'09월 화학성분'!$D$12:$D$950,$B91)))</f>
        <v>12.75</v>
      </c>
      <c r="Q91" s="1054">
        <f>IF($C91&lt;1,"",(AVERAGEIFS('09월 조업일지'!$AK$12:$AK$954,'09월 조업일지'!$B$12:$B$954,$A89,'09월 조업일지'!$E$12:$E$954,$B91)))</f>
        <v>549.5</v>
      </c>
      <c r="R91" s="1054">
        <f>IF($C91&lt;1,"",(AVERAGEIFS('09월 화학성분'!$G$12:$G$950,'09월 화학성분'!$B$12:$B$950,$A89,'09월 화학성분'!$D$12:$D$950,$B91)))</f>
        <v>7.25</v>
      </c>
      <c r="S91" s="1055">
        <f>IF($C91&lt;1,"",(AVERAGEIFS('09월 조업일지'!$AI$12:$AI$954,'09월 조업일지'!$B$12:$B$954,$A89,'09월 조업일지'!$E$12:$E$954,$B91)))</f>
        <v>1572.5</v>
      </c>
      <c r="T91" s="1056">
        <f>IF($C91&lt;1,"",(AVERAGEIFS('09월 화학성분'!$AM$12:$AM$949,'09월 화학성분'!$B$12:$B$949,$A89,'09월 화학성분'!$D$12:$D$949,$B91)))</f>
        <v>3493.25</v>
      </c>
      <c r="U91" s="1057">
        <f>IF($C91&lt;1,"",(AVERAGEIFS('09월 고철장입'!$AJ$14:$AJ$949,'09월 고철장입'!$B$14:$B$949,$A89,'09월 고철장입'!$C$14:$C$949,$B91))/1000)</f>
        <v>158.02500000000001</v>
      </c>
      <c r="V91" s="1102">
        <f>IF($C91&lt;1,"",(AVERAGEIFS('09월 고철장입'!$AK$14:$AK$949,'09월 고철장입'!$B$14:$B$949,$A89,'09월 고철장입'!$C$14:$C$949,$B91)))</f>
        <v>131.80000000000001</v>
      </c>
      <c r="W91" s="1058">
        <f t="shared" si="20"/>
        <v>83.404524600537897</v>
      </c>
      <c r="X91" s="1059">
        <f>IF($C91&lt;1,"",(AVERAGEIFS('09월 에너지'!$O$14:$O$949,'09월 에너지'!$A$14:$A$949,$A89,'09월 에너지'!$C$14:$C$949,$B91)))</f>
        <v>192.40933844710648</v>
      </c>
      <c r="Y91" s="1060">
        <f>IF($C91&lt;1,"",(AVERAGEIFS('09월 에너지'!$P$14:$P$949,'09월 에너지'!$A$14:$A$949,$A89,'09월 에너지'!$C$14:$C$949,$B91)))</f>
        <v>156.29675810701232</v>
      </c>
      <c r="Z91" s="1060">
        <f>IF($C91&lt;1,"",(AVERAGEIFS('09월 에너지'!$Q$14:$Q$949,'09월 에너지'!$A$14:$A$949,$A89,'09월 에너지'!$C$14:$C$949,$B91)))</f>
        <v>106.76350077228599</v>
      </c>
      <c r="AA91" s="1061">
        <f>IF($C91&lt;1,"",(AVERAGEIFS('09월 에너지'!$R$14:$R$949,'09월 에너지'!$B$14:$B$949,$A89,'09월 에너지'!$C$14:$C$949,$B91)))</f>
        <v>455.46959732640482</v>
      </c>
      <c r="AB91" s="1062">
        <f>IF($C91&lt;1,"",(AVERAGEIFS('09월 에너지'!$X$14:$X$949,'09월 에너지'!$A$14:$A$949,$A89,'09월 에너지'!$C$14:$C$949,$B91)))</f>
        <v>3.6443308374361258</v>
      </c>
      <c r="AC91" s="1063">
        <f>IF($C91&lt;1,"",(AVERAGEIFS('09월 에너지'!$AC$14:$AC$949,'09월 에너지'!$A$14:$A$949,$A89,'09월 에너지'!$C$14:$C$949,$B91)))</f>
        <v>31.496795234417686</v>
      </c>
      <c r="AD91" s="1064">
        <f>IF($C91&lt;1,"",(AVERAGEIFS('09월 에너지'!$AD$14:$AD$949,'09월 에너지'!$B$14:$B$949,$A89,'09월 에너지'!$C$14:$C$949,$B91)))</f>
        <v>4631</v>
      </c>
      <c r="AE91" s="1065">
        <f>IF($C91&lt;1,"",(AVERAGEIFS('09월 에너지'!$AE$14:$AE$949,'09월 에너지'!$B$14:$B$949,$A89,'09월 에너지'!$C$14:$C$949,$B91)))</f>
        <v>35.141126071853812</v>
      </c>
      <c r="AF91" s="1066">
        <f>IF($C91&lt;1,"",(AVERAGEIFS('09월 에너지'!$AI$14:$AI$949,'09월 에너지'!$B$14:$B$949,$A89,'09월 에너지'!$C$14:$C$949,$B91)))</f>
        <v>158.75</v>
      </c>
      <c r="AG91" s="1067">
        <f>IF($C91&lt;1,"",(AVERAGEIFS('09월 에너지'!$AJ$14:$AJ$949,'09월 에너지'!$B$14:$B$949,$A89,'09월 에너지'!$C$14:$C$949,$B91)))</f>
        <v>1.2059043657590069</v>
      </c>
    </row>
    <row r="92" spans="1:33" ht="16.5" customHeight="1" thickTop="1" thickBot="1">
      <c r="A92" s="1632"/>
      <c r="B92" s="783" t="s">
        <v>94</v>
      </c>
      <c r="C92" s="784">
        <f>COUNTIFS('09월 조업일지'!$B$12:$B$952,A89,'09월 조업일지'!$E$12:$E$952,B92)</f>
        <v>10</v>
      </c>
      <c r="D92" s="1068">
        <f t="shared" si="21"/>
        <v>47.099999999999994</v>
      </c>
      <c r="E92" s="1069">
        <f>IF($C92&lt;1,"",(SUMIFS('09월 조업일지'!$K$12:$K$954,'09월 조업일지'!$B$12:$B$954,$A89,'09월 조업일지'!$E$12:$E$954,$B92)/$C92))</f>
        <v>0</v>
      </c>
      <c r="F92" s="1070">
        <f>IF($C92&lt;1,"",(AVERAGEIFS('09월 조업일지'!$J$12:$J$954,'09월 조업일지'!$B$12:$B$954,$A89,'09월 조업일지'!$E$12:$E$954,$B92)))</f>
        <v>47.099999999999994</v>
      </c>
      <c r="G92" s="1071">
        <f>IF($C92&lt;1,"",(AVERAGEIFS('09월 에너지'!$M$14:$M$950,'09월 에너지'!$B$14:$B$950,$A89,'09월 에너지'!$C$14:$C$950,$B92)))</f>
        <v>45.95000000000001</v>
      </c>
      <c r="H92" s="1072">
        <f>IF($C92&lt;1,"",(AVERAGEIFS('09월 조업일지'!$AJ$12:$AJ$954,'09월 조업일지'!$B$12:$B$954,$A89,'09월 조업일지'!$E$12:$E$954,$B92)))</f>
        <v>34.700000000000003</v>
      </c>
      <c r="I92" s="1073">
        <f>IF($C92&lt;1,"",(AVERAGEIFS('09월 조업일지'!$AL$12:$AL$954,'09월 조업일지'!$B$12:$B$954,$A89,'09월 조업일지'!$E$12:$E$954,$B92)))</f>
        <v>4.9000000000000004</v>
      </c>
      <c r="J92" s="1074">
        <f>IF($C92&lt;1,"",(AVERAGEIFS('09월 화학성분'!G$12:G$950,'09월 화학성분'!$B$12:$B$950,$A89,'09월 화학성분'!$D$12:$D$950,$B92)))</f>
        <v>10.4</v>
      </c>
      <c r="K92" s="1075">
        <f>IF($C92&lt;1,"",(AVERAGEIFS('09월 화학성분'!H$12:H$950,'09월 화학성분'!$B$12:$B$950,$A89,'09월 화학성분'!$D$12:$D$950,$B92)))</f>
        <v>20.9</v>
      </c>
      <c r="L92" s="1075">
        <f>IF($C92&lt;1,"",(AVERAGEIFS('09월 화학성분'!I$12:I$950,'09월 화학성분'!$B$12:$B$950,$A89,'09월 화학성분'!$D$12:$D$950,$B92)))</f>
        <v>119</v>
      </c>
      <c r="M92" s="1075">
        <f>IF($C92&lt;1,"",(AVERAGEIFS('09월 화학성분'!J$12:J$950,'09월 화학성분'!$B$12:$B$950,$A89,'09월 화학성분'!$D$12:$D$950,$B92)))</f>
        <v>12.7</v>
      </c>
      <c r="N92" s="1075">
        <f>IF($C92&lt;1,"",(AVERAGEIFS('09월 화학성분'!K$12:K$950,'09월 화학성분'!$B$12:$B$950,$A89,'09월 화학성분'!$D$12:$D$950,$B92)))</f>
        <v>27</v>
      </c>
      <c r="O92" s="1075">
        <f>IF($C92&lt;1,"",(AVERAGEIFS('09월 화학성분'!L$12:L$950,'09월 화학성분'!$B$12:$B$950,$A89,'09월 화학성분'!$D$12:$D$950,$B92)))</f>
        <v>11.7</v>
      </c>
      <c r="P92" s="1075">
        <f>IF($C92&lt;1,"",(AVERAGEIFS('09월 화학성분'!M$12:M$950,'09월 화학성분'!$B$12:$B$950,$A89,'09월 화학성분'!$D$12:$D$950,$B92)))</f>
        <v>10.7</v>
      </c>
      <c r="Q92" s="1075">
        <f>IF($C92&lt;1,"",(AVERAGEIFS('09월 조업일지'!$AK$12:$AK$954,'09월 조업일지'!$B$12:$B$954,$A89,'09월 조업일지'!$E$12:$E$954,$B92)))</f>
        <v>770.8</v>
      </c>
      <c r="R92" s="1075">
        <f>IF($C92&lt;1,"",(AVERAGEIFS('09월 화학성분'!$G$12:$G$950,'09월 화학성분'!$B$12:$B$950,$A89,'09월 화학성분'!$D$12:$D$950,$B92)))</f>
        <v>10.4</v>
      </c>
      <c r="S92" s="1076">
        <f>IF($C92&lt;1,"",(AVERAGEIFS('09월 조업일지'!$AI$12:$AI$954,'09월 조업일지'!$B$12:$B$954,$A89,'09월 조업일지'!$E$12:$E$954,$B92)))</f>
        <v>1553.5</v>
      </c>
      <c r="T92" s="1077">
        <f>IF($C92&lt;1,"",(AVERAGEIFS('09월 화학성분'!$AM$12:$AM$949,'09월 화학성분'!$B$12:$B$949,$A89,'09월 화학성분'!$D$12:$D$949,$B92)))</f>
        <v>2080.1999999999998</v>
      </c>
      <c r="U92" s="1078">
        <f>IF($C92&lt;1,"",(AVERAGEIFS('09월 고철장입'!$AJ$14:$AJ$949,'09월 고철장입'!$B$14:$B$949,$A89,'09월 고철장입'!$C$14:$C$949,$B92))/1000)</f>
        <v>159.16</v>
      </c>
      <c r="V92" s="1103">
        <f>IF($C92&lt;1,"",(AVERAGEIFS('09월 고철장입'!$AK$14:$AK$949,'09월 고철장입'!$B$14:$B$949,$A89,'09월 고철장입'!$C$14:$C$949,$B92)))</f>
        <v>143.38999999999999</v>
      </c>
      <c r="W92" s="1079">
        <f t="shared" si="20"/>
        <v>90.091731590851964</v>
      </c>
      <c r="X92" s="1080">
        <f>IF($C92&lt;1,"",(AVERAGEIFS('09월 에너지'!$O$14:$O$949,'09월 에너지'!$A$14:$A$949,$A89,'09월 에너지'!$C$14:$C$949,$B92)))</f>
        <v>158.09185164739654</v>
      </c>
      <c r="Y92" s="1081">
        <f>IF($C92&lt;1,"",(AVERAGEIFS('09월 에너지'!$P$14:$P$949,'09월 에너지'!$A$14:$A$949,$A89,'09월 에너지'!$C$14:$C$949,$B92)))</f>
        <v>143.27455161101744</v>
      </c>
      <c r="Z92" s="1081">
        <f>IF($C92&lt;1,"",(AVERAGEIFS('09월 에너지'!$Q$14:$Q$949,'09월 에너지'!$A$14:$A$949,$A89,'09월 에너지'!$C$14:$C$949,$B92)))</f>
        <v>87.028322538465972</v>
      </c>
      <c r="AA92" s="1082">
        <f>IF($C92&lt;1,"",(AVERAGEIFS('09월 에너지'!$R$14:$R$949,'09월 에너지'!$B$14:$B$949,$A89,'09월 에너지'!$C$14:$C$949,$B92)))</f>
        <v>387.97652268680946</v>
      </c>
      <c r="AB92" s="1083">
        <f>IF($C92&lt;1,"",(AVERAGEIFS('09월 에너지'!$X$14:$X$949,'09월 에너지'!$A$14:$A$949,$A89,'09월 에너지'!$C$14:$C$949,$B92)))</f>
        <v>2.4040363172054304</v>
      </c>
      <c r="AC92" s="1084">
        <f>IF($C92&lt;1,"",(AVERAGEIFS('09월 에너지'!$AC$14:$AC$949,'09월 에너지'!$A$14:$A$949,$A89,'09월 에너지'!$C$14:$C$949,$B92)))</f>
        <v>26.555995493231791</v>
      </c>
      <c r="AD92" s="1085">
        <f>IF($C92&lt;1,"",(AVERAGEIFS('09월 에너지'!$AD$14:$AD$949,'09월 에너지'!$B$14:$B$949,$A89,'09월 에너지'!$C$14:$C$949,$B92)))</f>
        <v>4189.3999999999996</v>
      </c>
      <c r="AE92" s="1086">
        <f>IF($C92&lt;1,"",(AVERAGEIFS('09월 에너지'!$AE$14:$AE$949,'09월 에너지'!$B$14:$B$949,$A89,'09월 에너지'!$C$14:$C$949,$B92)))</f>
        <v>29.219271408214894</v>
      </c>
      <c r="AF92" s="1087">
        <f>IF($C92&lt;1,"",(AVERAGEIFS('09월 에너지'!$AI$14:$AI$949,'09월 에너지'!$B$14:$B$949,$A89,'09월 에너지'!$C$14:$C$949,$B92)))</f>
        <v>156.30000000000001</v>
      </c>
      <c r="AG92" s="1088">
        <f>IF($C92&lt;1,"",(AVERAGEIFS('09월 에너지'!$AJ$14:$AJ$949,'09월 에너지'!$B$14:$B$949,$A89,'09월 에너지'!$C$14:$C$949,$B92)))</f>
        <v>1.090310211862664</v>
      </c>
    </row>
    <row r="93" spans="1:33" ht="16.5" customHeight="1" thickTop="1" thickBot="1">
      <c r="A93" s="1632">
        <f t="shared" ref="A93" si="26">A89+1</f>
        <v>46288</v>
      </c>
      <c r="B93" s="775" t="s">
        <v>128</v>
      </c>
      <c r="C93" s="776">
        <f>COUNTIFS('09월 조업일지'!$B$12:$B$952,A93,'09월 조업일지'!$E$12:$E$952,B93)</f>
        <v>0</v>
      </c>
      <c r="D93" s="1026" t="str">
        <f t="shared" si="21"/>
        <v/>
      </c>
      <c r="E93" s="1027" t="str">
        <f>IF($C93&lt;1,"",(SUMIFS('09월 조업일지'!$K$12:$K$954,'09월 조업일지'!$B$12:$B$954,$A93,'09월 조업일지'!$E$12:$E$954,$B93)/$C93))</f>
        <v/>
      </c>
      <c r="F93" s="1028" t="str">
        <f>IF($C93&lt;1,"",(AVERAGEIFS('09월 조업일지'!$J$12:$J$954,'09월 조업일지'!$B$12:$B$954,$A93,'09월 조업일지'!$E$12:$E$954,$B93)))</f>
        <v/>
      </c>
      <c r="G93" s="1029" t="str">
        <f>IF($C93&lt;1,"",(AVERAGEIFS('09월 에너지'!$M$14:$M$950,'09월 에너지'!$B$14:$B$950,$A93,'09월 에너지'!$C$14:$C$950,$B93)))</f>
        <v/>
      </c>
      <c r="H93" s="1030" t="str">
        <f>IF($C93&lt;1,"",(AVERAGEIFS('09월 조업일지'!$AJ$12:$AJ$954,'09월 조업일지'!$B$12:$B$954,$A93,'09월 조업일지'!$E$12:$E$954,$B93)))</f>
        <v/>
      </c>
      <c r="I93" s="1031" t="str">
        <f>IF($C93&lt;1,"",(AVERAGEIFS('09월 조업일지'!$AL$12:$AL$954,'09월 조업일지'!$B$12:$B$954,$A93,'09월 조업일지'!$E$12:$E$954,$B93)))</f>
        <v/>
      </c>
      <c r="J93" s="1032" t="str">
        <f>IF($C93&lt;1,"",(AVERAGEIFS('09월 화학성분'!G$12:G$950,'09월 화학성분'!$B$12:$B$950,$A93,'09월 화학성분'!$D$12:$D$950,$B93)))</f>
        <v/>
      </c>
      <c r="K93" s="1033" t="str">
        <f>IF($C93&lt;1,"",(AVERAGEIFS('09월 화학성분'!H$12:H$950,'09월 화학성분'!$B$12:$B$950,$A93,'09월 화학성분'!$D$12:$D$950,$B93)))</f>
        <v/>
      </c>
      <c r="L93" s="1033" t="str">
        <f>IF($C93&lt;1,"",(AVERAGEIFS('09월 화학성분'!I$12:I$950,'09월 화학성분'!$B$12:$B$950,$A93,'09월 화학성분'!$D$12:$D$950,$B93)))</f>
        <v/>
      </c>
      <c r="M93" s="1033" t="str">
        <f>IF($C93&lt;1,"",(AVERAGEIFS('09월 화학성분'!J$12:J$950,'09월 화학성분'!$B$12:$B$950,$A93,'09월 화학성분'!$D$12:$D$950,$B93)))</f>
        <v/>
      </c>
      <c r="N93" s="1033" t="str">
        <f>IF($C93&lt;1,"",(AVERAGEIFS('09월 화학성분'!K$12:K$950,'09월 화학성분'!$B$12:$B$950,$A93,'09월 화학성분'!$D$12:$D$950,$B93)))</f>
        <v/>
      </c>
      <c r="O93" s="1033" t="str">
        <f>IF($C93&lt;1,"",(AVERAGEIFS('09월 화학성분'!L$12:L$950,'09월 화학성분'!$B$12:$B$950,$A93,'09월 화학성분'!$D$12:$D$950,$B93)))</f>
        <v/>
      </c>
      <c r="P93" s="1033" t="str">
        <f>IF($C93&lt;1,"",(AVERAGEIFS('09월 화학성분'!M$12:M$950,'09월 화학성분'!$B$12:$B$950,$A93,'09월 화학성분'!$D$12:$D$950,$B93)))</f>
        <v/>
      </c>
      <c r="Q93" s="1033" t="str">
        <f>IF($C93&lt;1,"",(AVERAGEIFS('09월 조업일지'!$AK$12:$AK$954,'09월 조업일지'!$B$12:$B$954,$A93,'09월 조업일지'!$E$12:$E$954,$B93)))</f>
        <v/>
      </c>
      <c r="R93" s="1033" t="str">
        <f>IF($C93&lt;1,"",(AVERAGEIFS('09월 화학성분'!$G$12:$G$950,'09월 화학성분'!$B$12:$B$950,$A93,'09월 화학성분'!$D$12:$D$950,$B93)))</f>
        <v/>
      </c>
      <c r="S93" s="1034" t="str">
        <f>IF($C93&lt;1,"",(AVERAGEIFS('09월 조업일지'!$AI$12:$AI$954,'09월 조업일지'!$B$12:$B$954,$A93,'09월 조업일지'!$E$12:$E$954,$B93)))</f>
        <v/>
      </c>
      <c r="T93" s="1035" t="str">
        <f>IF($C93&lt;1,"",(AVERAGEIFS('09월 화학성분'!$AM$12:$AM$949,'09월 화학성분'!$B$12:$B$949,$A93,'09월 화학성분'!$D$12:$D$949,$B93)))</f>
        <v/>
      </c>
      <c r="U93" s="1036" t="str">
        <f>IF($C93&lt;1,"",(AVERAGEIFS('09월 고철장입'!$AJ$14:$AJ$949,'09월 고철장입'!$B$14:$B$949,$A93,'09월 고철장입'!$C$14:$C$949,$B93))/1000)</f>
        <v/>
      </c>
      <c r="V93" s="1101" t="str">
        <f>IF($C93&lt;1,"",(AVERAGEIFS('09월 고철장입'!$AK$14:$AK$949,'09월 고철장입'!$B$14:$B$949,$A93,'09월 고철장입'!$C$14:$C$949,$B93)))</f>
        <v/>
      </c>
      <c r="W93" s="1037" t="str">
        <f t="shared" si="20"/>
        <v/>
      </c>
      <c r="X93" s="1038" t="str">
        <f>IF($C93&lt;1,"",(AVERAGEIFS('09월 에너지'!$O$14:$O$949,'09월 에너지'!$A$14:$A$949,$A93,'09월 에너지'!$C$14:$C$949,$B93)))</f>
        <v/>
      </c>
      <c r="Y93" s="1039" t="str">
        <f>IF($C93&lt;1,"",(AVERAGEIFS('09월 에너지'!$P$14:$P$949,'09월 에너지'!$A$14:$A$949,$A93,'09월 에너지'!$C$14:$C$949,$B93)))</f>
        <v/>
      </c>
      <c r="Z93" s="1039" t="str">
        <f>IF($C93&lt;1,"",(AVERAGEIFS('09월 에너지'!$Q$14:$Q$949,'09월 에너지'!$A$14:$A$949,$A93,'09월 에너지'!$C$14:$C$949,$B93)))</f>
        <v/>
      </c>
      <c r="AA93" s="1040" t="str">
        <f>IF($C93&lt;1,"",(AVERAGEIFS('09월 에너지'!$R$14:$R$949,'09월 에너지'!$B$14:$B$949,$A93,'09월 에너지'!$C$14:$C$949,$B93)))</f>
        <v/>
      </c>
      <c r="AB93" s="1041" t="str">
        <f>IF($C93&lt;1,"",(AVERAGEIFS('09월 에너지'!$X$14:$X$949,'09월 에너지'!$A$14:$A$949,$A93,'09월 에너지'!$C$14:$C$949,$B93)))</f>
        <v/>
      </c>
      <c r="AC93" s="1042" t="str">
        <f>IF($C93&lt;1,"",(AVERAGEIFS('09월 에너지'!$AC$14:$AC$949,'09월 에너지'!$A$14:$A$949,$A93,'09월 에너지'!$C$14:$C$949,$B93)))</f>
        <v/>
      </c>
      <c r="AD93" s="1043" t="str">
        <f>IF($C93&lt;1,"",(AVERAGEIFS('09월 에너지'!$AD$14:$AD$949,'09월 에너지'!$B$14:$B$949,$A93,'09월 에너지'!$C$14:$C$949,$B93)))</f>
        <v/>
      </c>
      <c r="AE93" s="1044" t="str">
        <f>IF($C93&lt;1,"",(AVERAGEIFS('09월 에너지'!$AE$14:$AE$949,'09월 에너지'!$B$14:$B$949,$A93,'09월 에너지'!$C$14:$C$949,$B93)))</f>
        <v/>
      </c>
      <c r="AF93" s="1045" t="str">
        <f>IF($C93&lt;1,"",(AVERAGEIFS('09월 에너지'!$AI$14:$AI$949,'09월 에너지'!$B$14:$B$949,$A93,'09월 에너지'!$C$14:$C$949,$B93)))</f>
        <v/>
      </c>
      <c r="AG93" s="1046" t="str">
        <f>IF($C93&lt;1,"",(AVERAGEIFS('09월 에너지'!$AJ$14:$AJ$949,'09월 에너지'!$B$14:$B$949,$A93,'09월 에너지'!$C$14:$C$949,$B93)))</f>
        <v/>
      </c>
    </row>
    <row r="94" spans="1:33" ht="16.5" customHeight="1" thickTop="1" thickBot="1">
      <c r="A94" s="1632"/>
      <c r="B94" s="781" t="s">
        <v>100</v>
      </c>
      <c r="C94" s="782">
        <f>COUNTIFS('09월 조업일지'!$B$12:$B$952,A93,'09월 조업일지'!$E$12:$E$952,B94)</f>
        <v>10</v>
      </c>
      <c r="D94" s="1047">
        <f t="shared" si="21"/>
        <v>46.800000000000004</v>
      </c>
      <c r="E94" s="1048">
        <f>IF($C94&lt;1,"",(SUMIFS('09월 조업일지'!$K$12:$K$954,'09월 조업일지'!$B$12:$B$954,$A93,'09월 조업일지'!$E$12:$E$954,$B94)/$C94))</f>
        <v>0</v>
      </c>
      <c r="F94" s="1049">
        <f>IF($C94&lt;1,"",(AVERAGEIFS('09월 조업일지'!$J$12:$J$954,'09월 조업일지'!$B$12:$B$954,$A93,'09월 조업일지'!$E$12:$E$954,$B94)))</f>
        <v>46.800000000000004</v>
      </c>
      <c r="G94" s="1050">
        <f>IF($C94&lt;1,"",(AVERAGEIFS('09월 에너지'!$M$14:$M$950,'09월 에너지'!$B$14:$B$950,$A93,'09월 에너지'!$C$14:$C$950,$B94)))</f>
        <v>45.400000000000006</v>
      </c>
      <c r="H94" s="1051">
        <f>IF($C94&lt;1,"",(AVERAGEIFS('09월 조업일지'!$AJ$12:$AJ$954,'09월 조업일지'!$B$12:$B$954,$A93,'09월 조업일지'!$E$12:$E$954,$B94)))</f>
        <v>10.4</v>
      </c>
      <c r="I94" s="1052">
        <f>IF($C94&lt;1,"",(AVERAGEIFS('09월 조업일지'!$AL$12:$AL$954,'09월 조업일지'!$B$12:$B$954,$A93,'09월 조업일지'!$E$12:$E$954,$B94)))</f>
        <v>8.6</v>
      </c>
      <c r="J94" s="1053">
        <f>IF($C94&lt;1,"",(AVERAGEIFS('09월 화학성분'!G$12:G$950,'09월 화학성분'!$B$12:$B$950,$A93,'09월 화학성분'!$D$12:$D$950,$B94)))</f>
        <v>9.1999999999999993</v>
      </c>
      <c r="K94" s="1054">
        <f>IF($C94&lt;1,"",(AVERAGEIFS('09월 화학성분'!H$12:H$950,'09월 화학성분'!$B$12:$B$950,$A93,'09월 화학성분'!$D$12:$D$950,$B94)))</f>
        <v>21.4</v>
      </c>
      <c r="L94" s="1054">
        <f>IF($C94&lt;1,"",(AVERAGEIFS('09월 화학성분'!I$12:I$950,'09월 화학성분'!$B$12:$B$950,$A93,'09월 화학성분'!$D$12:$D$950,$B94)))</f>
        <v>68.599999999999994</v>
      </c>
      <c r="M94" s="1054">
        <f>IF($C94&lt;1,"",(AVERAGEIFS('09월 화학성분'!J$12:J$950,'09월 화학성분'!$B$12:$B$950,$A93,'09월 화학성분'!$D$12:$D$950,$B94)))</f>
        <v>15.1</v>
      </c>
      <c r="N94" s="1054">
        <f>IF($C94&lt;1,"",(AVERAGEIFS('09월 화학성분'!K$12:K$950,'09월 화학성분'!$B$12:$B$950,$A93,'09월 화학성분'!$D$12:$D$950,$B94)))</f>
        <v>34</v>
      </c>
      <c r="O94" s="1054">
        <f>IF($C94&lt;1,"",(AVERAGEIFS('09월 화학성분'!L$12:L$950,'09월 화학성분'!$B$12:$B$950,$A93,'09월 화학성분'!$D$12:$D$950,$B94)))</f>
        <v>12.8</v>
      </c>
      <c r="P94" s="1054">
        <f>IF($C94&lt;1,"",(AVERAGEIFS('09월 화학성분'!M$12:M$950,'09월 화학성분'!$B$12:$B$950,$A93,'09월 화학성분'!$D$12:$D$950,$B94)))</f>
        <v>10.8</v>
      </c>
      <c r="Q94" s="1054">
        <f>IF($C94&lt;1,"",(AVERAGEIFS('09월 조업일지'!$AK$12:$AK$954,'09월 조업일지'!$B$12:$B$954,$A93,'09월 조업일지'!$E$12:$E$954,$B94)))</f>
        <v>523.20000000000005</v>
      </c>
      <c r="R94" s="1054">
        <f>IF($C94&lt;1,"",(AVERAGEIFS('09월 화학성분'!$G$12:$G$950,'09월 화학성분'!$B$12:$B$950,$A93,'09월 화학성분'!$D$12:$D$950,$B94)))</f>
        <v>9.1999999999999993</v>
      </c>
      <c r="S94" s="1055">
        <f>IF($C94&lt;1,"",(AVERAGEIFS('09월 조업일지'!$AI$12:$AI$954,'09월 조업일지'!$B$12:$B$954,$A93,'09월 조업일지'!$E$12:$E$954,$B94)))</f>
        <v>1579.2</v>
      </c>
      <c r="T94" s="1056">
        <f>IF($C94&lt;1,"",(AVERAGEIFS('09월 화학성분'!$AM$12:$AM$949,'09월 화학성분'!$B$12:$B$949,$A93,'09월 화학성분'!$D$12:$D$949,$B94)))</f>
        <v>1470.2</v>
      </c>
      <c r="U94" s="1057">
        <f>IF($C94&lt;1,"",(AVERAGEIFS('09월 고철장입'!$AJ$14:$AJ$949,'09월 고철장입'!$B$14:$B$949,$A93,'09월 고철장입'!$C$14:$C$949,$B94))/1000)</f>
        <v>158.47999999999999</v>
      </c>
      <c r="V94" s="1102">
        <f>IF($C94&lt;1,"",(AVERAGEIFS('09월 고철장입'!$AK$14:$AK$949,'09월 고철장입'!$B$14:$B$949,$A93,'09월 고철장입'!$C$14:$C$949,$B94)))</f>
        <v>146.04000000000002</v>
      </c>
      <c r="W94" s="1058">
        <f t="shared" si="20"/>
        <v>92.150429076224157</v>
      </c>
      <c r="X94" s="1059">
        <f>IF($C94&lt;1,"",(AVERAGEIFS('09월 에너지'!$O$14:$O$949,'09월 에너지'!$A$14:$A$949,$A93,'09월 에너지'!$C$14:$C$949,$B94)))</f>
        <v>158.65105638159338</v>
      </c>
      <c r="Y94" s="1060">
        <f>IF($C94&lt;1,"",(AVERAGEIFS('09월 에너지'!$P$14:$P$949,'09월 에너지'!$A$14:$A$949,$A93,'09월 에너지'!$C$14:$C$949,$B94)))</f>
        <v>141.2767646613907</v>
      </c>
      <c r="Z94" s="1060">
        <f>IF($C94&lt;1,"",(AVERAGEIFS('09월 에너지'!$Q$14:$Q$949,'09월 에너지'!$A$14:$A$949,$A93,'09월 에너지'!$C$14:$C$949,$B94)))</f>
        <v>79.868964157510661</v>
      </c>
      <c r="AA94" s="1061">
        <f>IF($C94&lt;1,"",(AVERAGEIFS('09월 에너지'!$R$14:$R$949,'09월 에너지'!$B$14:$B$949,$A93,'09월 에너지'!$C$14:$C$949,$B94)))</f>
        <v>379.79678520049475</v>
      </c>
      <c r="AB94" s="1062">
        <f>IF($C94&lt;1,"",(AVERAGEIFS('09월 에너지'!$X$14:$X$949,'09월 에너지'!$A$14:$A$949,$A93,'09월 에너지'!$C$14:$C$949,$B94)))</f>
        <v>2.7327480663590742</v>
      </c>
      <c r="AC94" s="1063">
        <f>IF($C94&lt;1,"",(AVERAGEIFS('09월 에너지'!$AC$14:$AC$949,'09월 에너지'!$A$14:$A$949,$A93,'09월 에너지'!$C$14:$C$949,$B94)))</f>
        <v>26.630558355775094</v>
      </c>
      <c r="AD94" s="1064">
        <f>IF($C94&lt;1,"",(AVERAGEIFS('09월 에너지'!$AD$14:$AD$949,'09월 에너지'!$B$14:$B$949,$A93,'09월 에너지'!$C$14:$C$949,$B94)))</f>
        <v>4286.8</v>
      </c>
      <c r="AE94" s="1065">
        <f>IF($C94&lt;1,"",(AVERAGEIFS('09월 에너지'!$AE$14:$AE$949,'09월 에너지'!$B$14:$B$949,$A93,'09월 에너지'!$C$14:$C$949,$B94)))</f>
        <v>29.363306422134173</v>
      </c>
      <c r="AF94" s="1066">
        <f>IF($C94&lt;1,"",(AVERAGEIFS('09월 에너지'!$AI$14:$AI$949,'09월 에너지'!$B$14:$B$949,$A93,'09월 에너지'!$C$14:$C$949,$B94)))</f>
        <v>154.9</v>
      </c>
      <c r="AG94" s="1067">
        <f>IF($C94&lt;1,"",(AVERAGEIFS('09월 에너지'!$AJ$14:$AJ$949,'09월 에너지'!$B$14:$B$949,$A93,'09월 에너지'!$C$14:$C$949,$B94)))</f>
        <v>1.060755803576398</v>
      </c>
    </row>
    <row r="95" spans="1:33" ht="16.5" customHeight="1" thickTop="1" thickBot="1">
      <c r="A95" s="1632"/>
      <c r="B95" s="781" t="s">
        <v>93</v>
      </c>
      <c r="C95" s="782">
        <f>COUNTIFS('09월 조업일지'!$B$12:$B$952,A93,'09월 조업일지'!$E$12:$E$952,B95)</f>
        <v>10</v>
      </c>
      <c r="D95" s="1047">
        <f t="shared" si="21"/>
        <v>48.599999999999994</v>
      </c>
      <c r="E95" s="1048">
        <f>IF($C95&lt;1,"",(SUMIFS('09월 조업일지'!$K$12:$K$954,'09월 조업일지'!$B$12:$B$954,$A93,'09월 조업일지'!$E$12:$E$954,$B95)/$C95))</f>
        <v>0</v>
      </c>
      <c r="F95" s="1049">
        <f>IF($C95&lt;1,"",(AVERAGEIFS('09월 조업일지'!$J$12:$J$954,'09월 조업일지'!$B$12:$B$954,$A93,'09월 조업일지'!$E$12:$E$954,$B95)))</f>
        <v>48.599999999999994</v>
      </c>
      <c r="G95" s="1050">
        <f>IF($C95&lt;1,"",(AVERAGEIFS('09월 에너지'!$M$14:$M$950,'09월 에너지'!$B$14:$B$950,$A93,'09월 에너지'!$C$14:$C$950,$B95)))</f>
        <v>47.05</v>
      </c>
      <c r="H95" s="1051">
        <f>IF($C95&lt;1,"",(AVERAGEIFS('09월 조업일지'!$AJ$12:$AJ$954,'09월 조업일지'!$B$12:$B$954,$A93,'09월 조업일지'!$E$12:$E$954,$B95)))</f>
        <v>22.7</v>
      </c>
      <c r="I95" s="1052">
        <f>IF($C95&lt;1,"",(AVERAGEIFS('09월 조업일지'!$AL$12:$AL$954,'09월 조업일지'!$B$12:$B$954,$A93,'09월 조업일지'!$E$12:$E$954,$B95)))</f>
        <v>7.333333333333333</v>
      </c>
      <c r="J95" s="1053">
        <f>IF($C95&lt;1,"",(AVERAGEIFS('09월 화학성분'!G$12:G$950,'09월 화학성분'!$B$12:$B$950,$A93,'09월 화학성분'!$D$12:$D$950,$B95)))</f>
        <v>8.6</v>
      </c>
      <c r="K95" s="1054">
        <f>IF($C95&lt;1,"",(AVERAGEIFS('09월 화학성분'!H$12:H$950,'09월 화학성분'!$B$12:$B$950,$A93,'09월 화학성분'!$D$12:$D$950,$B95)))</f>
        <v>21.4</v>
      </c>
      <c r="L95" s="1054">
        <f>IF($C95&lt;1,"",(AVERAGEIFS('09월 화학성분'!I$12:I$950,'09월 화학성분'!$B$12:$B$950,$A93,'09월 화학성분'!$D$12:$D$950,$B95)))</f>
        <v>52.8</v>
      </c>
      <c r="M95" s="1054">
        <f>IF($C95&lt;1,"",(AVERAGEIFS('09월 화학성분'!J$12:J$950,'09월 화학성분'!$B$12:$B$950,$A93,'09월 화학성분'!$D$12:$D$950,$B95)))</f>
        <v>14.2</v>
      </c>
      <c r="N95" s="1054">
        <f>IF($C95&lt;1,"",(AVERAGEIFS('09월 화학성분'!K$12:K$950,'09월 화학성분'!$B$12:$B$950,$A93,'09월 화학성분'!$D$12:$D$950,$B95)))</f>
        <v>31.5</v>
      </c>
      <c r="O95" s="1054">
        <f>IF($C95&lt;1,"",(AVERAGEIFS('09월 화학성분'!L$12:L$950,'09월 화학성분'!$B$12:$B$950,$A93,'09월 화학성분'!$D$12:$D$950,$B95)))</f>
        <v>11.5</v>
      </c>
      <c r="P95" s="1054">
        <f>IF($C95&lt;1,"",(AVERAGEIFS('09월 화학성분'!M$12:M$950,'09월 화학성분'!$B$12:$B$950,$A93,'09월 화학성분'!$D$12:$D$950,$B95)))</f>
        <v>9.1</v>
      </c>
      <c r="Q95" s="1054">
        <f>IF($C95&lt;1,"",(AVERAGEIFS('09월 조업일지'!$AK$12:$AK$954,'09월 조업일지'!$B$12:$B$954,$A93,'09월 조업일지'!$E$12:$E$954,$B95)))</f>
        <v>584.77777777777783</v>
      </c>
      <c r="R95" s="1054">
        <f>IF($C95&lt;1,"",(AVERAGEIFS('09월 화학성분'!$G$12:$G$950,'09월 화학성분'!$B$12:$B$950,$A93,'09월 화학성분'!$D$12:$D$950,$B95)))</f>
        <v>8.6</v>
      </c>
      <c r="S95" s="1055">
        <f>IF($C95&lt;1,"",(AVERAGEIFS('09월 조업일지'!$AI$12:$AI$954,'09월 조업일지'!$B$12:$B$954,$A93,'09월 조업일지'!$E$12:$E$954,$B95)))</f>
        <v>1577.7</v>
      </c>
      <c r="T95" s="1056">
        <f>IF($C95&lt;1,"",(AVERAGEIFS('09월 화학성분'!$AM$12:$AM$949,'09월 화학성분'!$B$12:$B$949,$A93,'09월 화학성분'!$D$12:$D$949,$B95)))</f>
        <v>2098.6999999999998</v>
      </c>
      <c r="U95" s="1057">
        <f>IF($C95&lt;1,"",(AVERAGEIFS('09월 고철장입'!$AJ$14:$AJ$949,'09월 고철장입'!$B$14:$B$949,$A93,'09월 고철장입'!$C$14:$C$949,$B95))/1000)</f>
        <v>159.91</v>
      </c>
      <c r="V95" s="1102">
        <f>IF($C95&lt;1,"",(AVERAGEIFS('09월 고철장입'!$AK$14:$AK$949,'09월 고철장입'!$B$14:$B$949,$A93,'09월 고철장입'!$C$14:$C$949,$B95)))</f>
        <v>143.43</v>
      </c>
      <c r="W95" s="1058">
        <f t="shared" si="20"/>
        <v>89.69420298918142</v>
      </c>
      <c r="X95" s="1059">
        <f>IF($C95&lt;1,"",(AVERAGEIFS('09월 에너지'!$O$14:$O$949,'09월 에너지'!$A$14:$A$949,$A93,'09월 에너지'!$C$14:$C$949,$B95)))</f>
        <v>161.96194200969143</v>
      </c>
      <c r="Y95" s="1060">
        <f>IF($C95&lt;1,"",(AVERAGEIFS('09월 에너지'!$P$14:$P$949,'09월 에너지'!$A$14:$A$949,$A93,'09월 에너지'!$C$14:$C$949,$B95)))</f>
        <v>143.42113077682484</v>
      </c>
      <c r="Z95" s="1060">
        <f>IF($C95&lt;1,"",(AVERAGEIFS('09월 에너지'!$Q$14:$Q$949,'09월 에너지'!$A$14:$A$949,$A93,'09월 에너지'!$C$14:$C$949,$B95)))</f>
        <v>89.634972728862223</v>
      </c>
      <c r="AA95" s="1061">
        <f>IF($C95&lt;1,"",(AVERAGEIFS('09월 에너지'!$R$14:$R$949,'09월 에너지'!$B$14:$B$949,$A93,'09월 에너지'!$C$14:$C$949,$B95)))</f>
        <v>395.0180455153785</v>
      </c>
      <c r="AB95" s="1062">
        <f>IF($C95&lt;1,"",(AVERAGEIFS('09월 에너지'!$X$14:$X$949,'09월 에너지'!$A$14:$A$949,$A93,'09월 에너지'!$C$14:$C$949,$B95)))</f>
        <v>2.601828312361099</v>
      </c>
      <c r="AC95" s="1063">
        <f>IF($C95&lt;1,"",(AVERAGEIFS('09월 에너지'!$AC$14:$AC$949,'09월 에너지'!$A$14:$A$949,$A93,'09월 에너지'!$C$14:$C$949,$B95)))</f>
        <v>28.3591873843712</v>
      </c>
      <c r="AD95" s="1064">
        <f>IF($C95&lt;1,"",(AVERAGEIFS('09월 에너지'!$AD$14:$AD$949,'09월 에너지'!$B$14:$B$949,$A93,'09월 에너지'!$C$14:$C$949,$B95)))</f>
        <v>4440.8999999999996</v>
      </c>
      <c r="AE95" s="1065">
        <f>IF($C95&lt;1,"",(AVERAGEIFS('09월 에너지'!$AE$14:$AE$949,'09월 에너지'!$B$14:$B$949,$A93,'09월 에너지'!$C$14:$C$949,$B95)))</f>
        <v>30.9610156967323</v>
      </c>
      <c r="AF95" s="1066">
        <f>IF($C95&lt;1,"",(AVERAGEIFS('09월 에너지'!$AI$14:$AI$949,'09월 에너지'!$B$14:$B$949,$A93,'09월 에너지'!$C$14:$C$949,$B95)))</f>
        <v>156.9</v>
      </c>
      <c r="AG95" s="1067">
        <f>IF($C95&lt;1,"",(AVERAGEIFS('09월 에너지'!$AJ$14:$AJ$949,'09월 에너지'!$B$14:$B$949,$A93,'09월 에너지'!$C$14:$C$949,$B95)))</f>
        <v>1.0938765431460253</v>
      </c>
    </row>
    <row r="96" spans="1:33" ht="16.5" customHeight="1" thickTop="1" thickBot="1">
      <c r="A96" s="1632"/>
      <c r="B96" s="783" t="s">
        <v>94</v>
      </c>
      <c r="C96" s="784">
        <f>COUNTIFS('09월 조업일지'!$B$12:$B$952,A93,'09월 조업일지'!$E$12:$E$952,B96)</f>
        <v>10</v>
      </c>
      <c r="D96" s="1068">
        <f t="shared" si="21"/>
        <v>46.100000000000023</v>
      </c>
      <c r="E96" s="1069">
        <f>IF($C96&lt;1,"",(SUMIFS('09월 조업일지'!$K$12:$K$954,'09월 조업일지'!$B$12:$B$954,$A93,'09월 조업일지'!$E$12:$E$954,$B96)/$C96))</f>
        <v>0</v>
      </c>
      <c r="F96" s="1070">
        <f>IF($C96&lt;1,"",(AVERAGEIFS('09월 조업일지'!$J$12:$J$954,'09월 조업일지'!$B$12:$B$954,$A93,'09월 조업일지'!$E$12:$E$954,$B96)))</f>
        <v>46.100000000000023</v>
      </c>
      <c r="G96" s="1071">
        <f>IF($C96&lt;1,"",(AVERAGEIFS('09월 에너지'!$M$14:$M$950,'09월 에너지'!$B$14:$B$950,$A93,'09월 에너지'!$C$14:$C$950,$B96)))</f>
        <v>45.04</v>
      </c>
      <c r="H96" s="1072">
        <f>IF($C96&lt;1,"",(AVERAGEIFS('09월 조업일지'!$AJ$12:$AJ$954,'09월 조업일지'!$B$12:$B$954,$A93,'09월 조업일지'!$E$12:$E$954,$B96)))</f>
        <v>0</v>
      </c>
      <c r="I96" s="1073">
        <f>IF($C96&lt;1,"",(AVERAGEIFS('09월 조업일지'!$AL$12:$AL$954,'09월 조업일지'!$B$12:$B$954,$A93,'09월 조업일지'!$E$12:$E$954,$B96)))</f>
        <v>6.5</v>
      </c>
      <c r="J96" s="1074">
        <f>IF($C96&lt;1,"",(AVERAGEIFS('09월 화학성분'!G$12:G$950,'09월 화학성분'!$B$12:$B$950,$A93,'09월 화학성분'!$D$12:$D$950,$B96)))</f>
        <v>11.2</v>
      </c>
      <c r="K96" s="1075">
        <f>IF($C96&lt;1,"",(AVERAGEIFS('09월 화학성분'!H$12:H$950,'09월 화학성분'!$B$12:$B$950,$A93,'09월 화학성분'!$D$12:$D$950,$B96)))</f>
        <v>22.4</v>
      </c>
      <c r="L96" s="1075">
        <f>IF($C96&lt;1,"",(AVERAGEIFS('09월 화학성분'!I$12:I$950,'09월 화학성분'!$B$12:$B$950,$A93,'09월 화학성분'!$D$12:$D$950,$B96)))</f>
        <v>118.1</v>
      </c>
      <c r="M96" s="1075">
        <f>IF($C96&lt;1,"",(AVERAGEIFS('09월 화학성분'!J$12:J$950,'09월 화학성분'!$B$12:$B$950,$A93,'09월 화학성분'!$D$12:$D$950,$B96)))</f>
        <v>14.9</v>
      </c>
      <c r="N96" s="1075">
        <f>IF($C96&lt;1,"",(AVERAGEIFS('09월 화학성분'!K$12:K$950,'09월 화학성분'!$B$12:$B$950,$A93,'09월 화학성분'!$D$12:$D$950,$B96)))</f>
        <v>30.4</v>
      </c>
      <c r="O96" s="1075">
        <f>IF($C96&lt;1,"",(AVERAGEIFS('09월 화학성분'!L$12:L$950,'09월 화학성분'!$B$12:$B$950,$A93,'09월 화학성분'!$D$12:$D$950,$B96)))</f>
        <v>12.1</v>
      </c>
      <c r="P96" s="1075">
        <f>IF($C96&lt;1,"",(AVERAGEIFS('09월 화학성분'!M$12:M$950,'09월 화학성분'!$B$12:$B$950,$A93,'09월 화학성분'!$D$12:$D$950,$B96)))</f>
        <v>9.8000000000000007</v>
      </c>
      <c r="Q96" s="1075">
        <f>IF($C96&lt;1,"",(AVERAGEIFS('09월 조업일지'!$AK$12:$AK$954,'09월 조업일지'!$B$12:$B$954,$A93,'09월 조업일지'!$E$12:$E$954,$B96)))</f>
        <v>634</v>
      </c>
      <c r="R96" s="1075">
        <f>IF($C96&lt;1,"",(AVERAGEIFS('09월 화학성분'!$G$12:$G$950,'09월 화학성분'!$B$12:$B$950,$A93,'09월 화학성분'!$D$12:$D$950,$B96)))</f>
        <v>11.2</v>
      </c>
      <c r="S96" s="1076">
        <f>IF($C96&lt;1,"",(AVERAGEIFS('09월 조업일지'!$AI$12:$AI$954,'09월 조업일지'!$B$12:$B$954,$A93,'09월 조업일지'!$E$12:$E$954,$B96)))</f>
        <v>1568.9</v>
      </c>
      <c r="T96" s="1077">
        <f>IF($C96&lt;1,"",(AVERAGEIFS('09월 화학성분'!$AM$12:$AM$949,'09월 화학성분'!$B$12:$B$949,$A93,'09월 화학성분'!$D$12:$D$949,$B96)))</f>
        <v>1689.2</v>
      </c>
      <c r="U96" s="1078">
        <f>IF($C96&lt;1,"",(AVERAGEIFS('09월 고철장입'!$AJ$14:$AJ$949,'09월 고철장입'!$B$14:$B$949,$A93,'09월 고철장입'!$C$14:$C$949,$B96))/1000)</f>
        <v>158.68</v>
      </c>
      <c r="V96" s="1103">
        <f>IF($C96&lt;1,"",(AVERAGEIFS('09월 고철장입'!$AK$14:$AK$949,'09월 고철장입'!$B$14:$B$949,$A93,'09월 고철장입'!$C$14:$C$949,$B96)))</f>
        <v>142.98000000000002</v>
      </c>
      <c r="W96" s="1079">
        <f t="shared" si="20"/>
        <v>90.105873456012105</v>
      </c>
      <c r="X96" s="1080">
        <f>IF($C96&lt;1,"",(AVERAGEIFS('09월 에너지'!$O$14:$O$949,'09월 에너지'!$A$14:$A$949,$A93,'09월 에너지'!$C$14:$C$949,$B96)))</f>
        <v>159.16029083250834</v>
      </c>
      <c r="Y96" s="1081">
        <f>IF($C96&lt;1,"",(AVERAGEIFS('09월 에너지'!$P$14:$P$949,'09월 에너지'!$A$14:$A$949,$A93,'09월 에너지'!$C$14:$C$949,$B96)))</f>
        <v>143.66610687243369</v>
      </c>
      <c r="Z96" s="1081">
        <f>IF($C96&lt;1,"",(AVERAGEIFS('09월 에너지'!$Q$14:$Q$949,'09월 에너지'!$A$14:$A$949,$A93,'09월 에너지'!$C$14:$C$949,$B96)))</f>
        <v>84.198719129470348</v>
      </c>
      <c r="AA96" s="1082">
        <f>IF($C96&lt;1,"",(AVERAGEIFS('09월 에너지'!$R$14:$R$949,'09월 에너지'!$B$14:$B$949,$A93,'09월 에너지'!$C$14:$C$949,$B96)))</f>
        <v>387.31851937394759</v>
      </c>
      <c r="AB96" s="1083">
        <f>IF($C96&lt;1,"",(AVERAGEIFS('09월 에너지'!$X$14:$X$949,'09월 에너지'!$A$14:$A$949,$A93,'09월 에너지'!$C$14:$C$949,$B96)))</f>
        <v>2.3716044942695116</v>
      </c>
      <c r="AC96" s="1084">
        <f>IF($C96&lt;1,"",(AVERAGEIFS('09월 에너지'!$AC$14:$AC$949,'09월 에너지'!$A$14:$A$949,$A93,'09월 에너지'!$C$14:$C$949,$B96)))</f>
        <v>26.632771255299282</v>
      </c>
      <c r="AD96" s="1085">
        <f>IF($C96&lt;1,"",(AVERAGEIFS('09월 에너지'!$AD$14:$AD$949,'09월 에너지'!$B$14:$B$949,$A93,'09월 에너지'!$C$14:$C$949,$B96)))</f>
        <v>4116.3</v>
      </c>
      <c r="AE96" s="1086">
        <f>IF($C96&lt;1,"",(AVERAGEIFS('09월 에너지'!$AE$14:$AE$949,'09월 에너지'!$B$14:$B$949,$A93,'09월 에너지'!$C$14:$C$949,$B96)))</f>
        <v>28.790323471250417</v>
      </c>
      <c r="AF96" s="1087">
        <f>IF($C96&lt;1,"",(AVERAGEIFS('09월 에너지'!$AI$14:$AI$949,'09월 에너지'!$B$14:$B$949,$A93,'09월 에너지'!$C$14:$C$949,$B96)))</f>
        <v>154.4</v>
      </c>
      <c r="AG96" s="1088">
        <f>IF($C96&lt;1,"",(AVERAGEIFS('09월 에너지'!$AJ$14:$AJ$949,'09월 에너지'!$B$14:$B$949,$A93,'09월 에너지'!$C$14:$C$949,$B96)))</f>
        <v>1.0799081899400016</v>
      </c>
    </row>
    <row r="97" spans="1:33" ht="16.5" customHeight="1" thickTop="1" thickBot="1">
      <c r="A97" s="1632">
        <f t="shared" ref="A97" si="27">A93+1</f>
        <v>46289</v>
      </c>
      <c r="B97" s="775" t="s">
        <v>128</v>
      </c>
      <c r="C97" s="776">
        <f>COUNTIFS('09월 조업일지'!$B$12:$B$952,A97,'09월 조업일지'!$E$12:$E$952,B97)</f>
        <v>10</v>
      </c>
      <c r="D97" s="1026">
        <f t="shared" si="21"/>
        <v>48.399999999999991</v>
      </c>
      <c r="E97" s="1027">
        <f>IF($C97&lt;1,"",(SUMIFS('09월 조업일지'!$K$12:$K$954,'09월 조업일지'!$B$12:$B$954,$A97,'09월 조업일지'!$E$12:$E$954,$B97)/$C97))</f>
        <v>0.1</v>
      </c>
      <c r="F97" s="1028">
        <f>IF($C97&lt;1,"",(AVERAGEIFS('09월 조업일지'!$J$12:$J$954,'09월 조업일지'!$B$12:$B$954,$A97,'09월 조업일지'!$E$12:$E$954,$B97)))</f>
        <v>48.499999999999993</v>
      </c>
      <c r="G97" s="1029">
        <f>IF($C97&lt;1,"",(AVERAGEIFS('09월 에너지'!$M$14:$M$950,'09월 에너지'!$B$14:$B$950,$A97,'09월 에너지'!$C$14:$C$950,$B97)))</f>
        <v>46.809999999999995</v>
      </c>
      <c r="H97" s="1030">
        <f>IF($C97&lt;1,"",(AVERAGEIFS('09월 조업일지'!$AJ$12:$AJ$954,'09월 조업일지'!$B$12:$B$954,$A97,'09월 조업일지'!$E$12:$E$954,$B97)))</f>
        <v>2.5</v>
      </c>
      <c r="I97" s="1031">
        <f>IF($C97&lt;1,"",(AVERAGEIFS('09월 조업일지'!$AL$12:$AL$954,'09월 조업일지'!$B$12:$B$954,$A97,'09월 조업일지'!$E$12:$E$954,$B97)))</f>
        <v>8.1111111111111107</v>
      </c>
      <c r="J97" s="1032">
        <f>IF($C97&lt;1,"",(AVERAGEIFS('09월 화학성분'!G$12:G$950,'09월 화학성분'!$B$12:$B$950,$A97,'09월 화학성분'!$D$12:$D$950,$B97)))</f>
        <v>11</v>
      </c>
      <c r="K97" s="1033">
        <f>IF($C97&lt;1,"",(AVERAGEIFS('09월 화학성분'!H$12:H$950,'09월 화학성분'!$B$12:$B$950,$A97,'09월 화학성분'!$D$12:$D$950,$B97)))</f>
        <v>23.3</v>
      </c>
      <c r="L97" s="1033">
        <f>IF($C97&lt;1,"",(AVERAGEIFS('09월 화학성분'!I$12:I$950,'09월 화학성분'!$B$12:$B$950,$A97,'09월 화학성분'!$D$12:$D$950,$B97)))</f>
        <v>105.4</v>
      </c>
      <c r="M97" s="1033">
        <f>IF($C97&lt;1,"",(AVERAGEIFS('09월 화학성분'!J$12:J$950,'09월 화학성분'!$B$12:$B$950,$A97,'09월 화학성분'!$D$12:$D$950,$B97)))</f>
        <v>15.8</v>
      </c>
      <c r="N97" s="1033">
        <f>IF($C97&lt;1,"",(AVERAGEIFS('09월 화학성분'!K$12:K$950,'09월 화학성분'!$B$12:$B$950,$A97,'09월 화학성분'!$D$12:$D$950,$B97)))</f>
        <v>31.3</v>
      </c>
      <c r="O97" s="1033">
        <f>IF($C97&lt;1,"",(AVERAGEIFS('09월 화학성분'!L$12:L$950,'09월 화학성분'!$B$12:$B$950,$A97,'09월 화학성분'!$D$12:$D$950,$B97)))</f>
        <v>12</v>
      </c>
      <c r="P97" s="1033">
        <f>IF($C97&lt;1,"",(AVERAGEIFS('09월 화학성분'!M$12:M$950,'09월 화학성분'!$B$12:$B$950,$A97,'09월 화학성분'!$D$12:$D$950,$B97)))</f>
        <v>10.1</v>
      </c>
      <c r="Q97" s="1033">
        <f>IF($C97&lt;1,"",(AVERAGEIFS('09월 조업일지'!$AK$12:$AK$954,'09월 조업일지'!$B$12:$B$954,$A97,'09월 조업일지'!$E$12:$E$954,$B97)))</f>
        <v>552.88888888888891</v>
      </c>
      <c r="R97" s="1033">
        <f>IF($C97&lt;1,"",(AVERAGEIFS('09월 화학성분'!$G$12:$G$950,'09월 화학성분'!$B$12:$B$950,$A97,'09월 화학성분'!$D$12:$D$950,$B97)))</f>
        <v>11</v>
      </c>
      <c r="S97" s="1034">
        <f>IF($C97&lt;1,"",(AVERAGEIFS('09월 조업일지'!$AI$12:$AI$954,'09월 조업일지'!$B$12:$B$954,$A97,'09월 조업일지'!$E$12:$E$954,$B97)))</f>
        <v>1565.1</v>
      </c>
      <c r="T97" s="1035">
        <f>IF($C97&lt;1,"",(AVERAGEIFS('09월 화학성분'!$AM$12:$AM$949,'09월 화학성분'!$B$12:$B$949,$A97,'09월 화학성분'!$D$12:$D$949,$B97)))</f>
        <v>2456.8000000000002</v>
      </c>
      <c r="U97" s="1036">
        <f>IF($C97&lt;1,"",(AVERAGEIFS('09월 고철장입'!$AJ$14:$AJ$949,'09월 고철장입'!$B$14:$B$949,$A97,'09월 고철장입'!$C$14:$C$949,$B97))/1000)</f>
        <v>158.13</v>
      </c>
      <c r="V97" s="1101">
        <f>IF($C97&lt;1,"",(AVERAGEIFS('09월 고철장입'!$AK$14:$AK$949,'09월 고철장입'!$B$14:$B$949,$A97,'09월 고철장입'!$C$14:$C$949,$B97)))</f>
        <v>144.5</v>
      </c>
      <c r="W97" s="1037">
        <f t="shared" si="20"/>
        <v>91.380509707202933</v>
      </c>
      <c r="X97" s="1038">
        <f>IF($C97&lt;1,"",(AVERAGEIFS('09월 에너지'!$O$14:$O$949,'09월 에너지'!$A$14:$A$949,$A97,'09월 에너지'!$C$14:$C$949,$B97)))</f>
        <v>160.94771296511712</v>
      </c>
      <c r="Y97" s="1039">
        <f>IF($C97&lt;1,"",(AVERAGEIFS('09월 에너지'!$P$14:$P$949,'09월 에너지'!$A$14:$A$949,$A97,'09월 에너지'!$C$14:$C$949,$B97)))</f>
        <v>142.53217126406926</v>
      </c>
      <c r="Z97" s="1039">
        <f>IF($C97&lt;1,"",(AVERAGEIFS('09월 에너지'!$Q$14:$Q$949,'09월 에너지'!$A$14:$A$949,$A97,'09월 에너지'!$C$14:$C$949,$B97)))</f>
        <v>90.130664917970719</v>
      </c>
      <c r="AA97" s="1040">
        <f>IF($C97&lt;1,"",(AVERAGEIFS('09월 에너지'!$R$14:$R$949,'09월 에너지'!$B$14:$B$949,$A97,'09월 에너지'!$C$14:$C$949,$B97)))</f>
        <v>396.99347712432979</v>
      </c>
      <c r="AB97" s="1041">
        <f>IF($C97&lt;1,"",(AVERAGEIFS('09월 에너지'!$X$14:$X$949,'09월 에너지'!$A$14:$A$949,$A97,'09월 에너지'!$C$14:$C$949,$B97)))</f>
        <v>2.8318767980260624</v>
      </c>
      <c r="AC97" s="1042">
        <f>IF($C97&lt;1,"",(AVERAGEIFS('09월 에너지'!$AC$14:$AC$949,'09월 에너지'!$A$14:$A$949,$A97,'09월 에너지'!$C$14:$C$949,$B97)))</f>
        <v>26.366329838093339</v>
      </c>
      <c r="AD97" s="1043">
        <f>IF($C97&lt;1,"",(AVERAGEIFS('09월 에너지'!$AD$14:$AD$949,'09월 에너지'!$B$14:$B$949,$A97,'09월 에너지'!$C$14:$C$949,$B97)))</f>
        <v>4243</v>
      </c>
      <c r="AE97" s="1044">
        <f>IF($C97&lt;1,"",(AVERAGEIFS('09월 에너지'!$AE$14:$AE$949,'09월 에너지'!$B$14:$B$949,$A97,'09월 에너지'!$C$14:$C$949,$B97)))</f>
        <v>29.364779762710278</v>
      </c>
      <c r="AF97" s="1045">
        <f>IF($C97&lt;1,"",(AVERAGEIFS('09월 에너지'!$AI$14:$AI$949,'09월 에너지'!$B$14:$B$949,$A97,'09월 에너지'!$C$14:$C$949,$B97)))</f>
        <v>156.19999999999999</v>
      </c>
      <c r="AG97" s="1046">
        <f>IF($C97&lt;1,"",(AVERAGEIFS('09월 에너지'!$AJ$14:$AJ$949,'09월 에너지'!$B$14:$B$949,$A97,'09월 에너지'!$C$14:$C$949,$B97)))</f>
        <v>1.080853687812164</v>
      </c>
    </row>
    <row r="98" spans="1:33" ht="16.5" customHeight="1" thickTop="1" thickBot="1">
      <c r="A98" s="1632"/>
      <c r="B98" s="781" t="s">
        <v>100</v>
      </c>
      <c r="C98" s="782">
        <f>COUNTIFS('09월 조업일지'!$B$12:$B$952,A97,'09월 조업일지'!$E$12:$E$952,B98)</f>
        <v>10</v>
      </c>
      <c r="D98" s="1047">
        <f t="shared" si="21"/>
        <v>48.1</v>
      </c>
      <c r="E98" s="1048">
        <f>IF($C98&lt;1,"",(SUMIFS('09월 조업일지'!$K$12:$K$954,'09월 조업일지'!$B$12:$B$954,$A97,'09월 조업일지'!$E$12:$E$954,$B98)/$C98))</f>
        <v>1.5</v>
      </c>
      <c r="F98" s="1049">
        <f>IF($C98&lt;1,"",(AVERAGEIFS('09월 조업일지'!$J$12:$J$954,'09월 조업일지'!$B$12:$B$954,$A97,'09월 조업일지'!$E$12:$E$954,$B98)))</f>
        <v>49.6</v>
      </c>
      <c r="G98" s="1050">
        <f>IF($C98&lt;1,"",(AVERAGEIFS('09월 에너지'!$M$14:$M$950,'09월 에너지'!$B$14:$B$950,$A97,'09월 에너지'!$C$14:$C$950,$B98)))</f>
        <v>44.85</v>
      </c>
      <c r="H98" s="1051">
        <f>IF($C98&lt;1,"",(AVERAGEIFS('09월 조업일지'!$AJ$12:$AJ$954,'09월 조업일지'!$B$12:$B$954,$A97,'09월 조업일지'!$E$12:$E$954,$B98)))</f>
        <v>5.5</v>
      </c>
      <c r="I98" s="1052">
        <f>IF($C98&lt;1,"",(AVERAGEIFS('09월 조업일지'!$AL$12:$AL$954,'09월 조업일지'!$B$12:$B$954,$A97,'09월 조업일지'!$E$12:$E$954,$B98)))</f>
        <v>6.3</v>
      </c>
      <c r="J98" s="1053">
        <f>IF($C98&lt;1,"",(AVERAGEIFS('09월 화학성분'!G$12:G$950,'09월 화학성분'!$B$12:$B$950,$A97,'09월 화학성분'!$D$12:$D$950,$B98)))</f>
        <v>10.3</v>
      </c>
      <c r="K98" s="1054">
        <f>IF($C98&lt;1,"",(AVERAGEIFS('09월 화학성분'!H$12:H$950,'09월 화학성분'!$B$12:$B$950,$A97,'09월 화학성분'!$D$12:$D$950,$B98)))</f>
        <v>21.7</v>
      </c>
      <c r="L98" s="1054">
        <f>IF($C98&lt;1,"",(AVERAGEIFS('09월 화학성분'!I$12:I$950,'09월 화학성분'!$B$12:$B$950,$A97,'09월 화학성분'!$D$12:$D$950,$B98)))</f>
        <v>114.5</v>
      </c>
      <c r="M98" s="1054">
        <f>IF($C98&lt;1,"",(AVERAGEIFS('09월 화학성분'!J$12:J$950,'09월 화학성분'!$B$12:$B$950,$A97,'09월 화학성분'!$D$12:$D$950,$B98)))</f>
        <v>15.4</v>
      </c>
      <c r="N98" s="1054">
        <f>IF($C98&lt;1,"",(AVERAGEIFS('09월 화학성분'!K$12:K$950,'09월 화학성분'!$B$12:$B$950,$A97,'09월 화학성분'!$D$12:$D$950,$B98)))</f>
        <v>29.9</v>
      </c>
      <c r="O98" s="1054">
        <f>IF($C98&lt;1,"",(AVERAGEIFS('09월 화학성분'!L$12:L$950,'09월 화학성분'!$B$12:$B$950,$A97,'09월 화학성분'!$D$12:$D$950,$B98)))</f>
        <v>12.3</v>
      </c>
      <c r="P98" s="1054">
        <f>IF($C98&lt;1,"",(AVERAGEIFS('09월 화학성분'!M$12:M$950,'09월 화학성분'!$B$12:$B$950,$A97,'09월 화학성분'!$D$12:$D$950,$B98)))</f>
        <v>10.5</v>
      </c>
      <c r="Q98" s="1054">
        <f>IF($C98&lt;1,"",(AVERAGEIFS('09월 조업일지'!$AK$12:$AK$954,'09월 조업일지'!$B$12:$B$954,$A97,'09월 조업일지'!$E$12:$E$954,$B98)))</f>
        <v>639.1</v>
      </c>
      <c r="R98" s="1054">
        <f>IF($C98&lt;1,"",(AVERAGEIFS('09월 화학성분'!$G$12:$G$950,'09월 화학성분'!$B$12:$B$950,$A97,'09월 화학성분'!$D$12:$D$950,$B98)))</f>
        <v>10.3</v>
      </c>
      <c r="S98" s="1055">
        <f>IF($C98&lt;1,"",(AVERAGEIFS('09월 조업일지'!$AI$12:$AI$954,'09월 조업일지'!$B$12:$B$954,$A97,'09월 조업일지'!$E$12:$E$954,$B98)))</f>
        <v>1577.2</v>
      </c>
      <c r="T98" s="1056">
        <f>IF($C98&lt;1,"",(AVERAGEIFS('09월 화학성분'!$AM$12:$AM$949,'09월 화학성분'!$B$12:$B$949,$A97,'09월 화학성분'!$D$12:$D$949,$B98)))</f>
        <v>1855</v>
      </c>
      <c r="U98" s="1057">
        <f>IF($C98&lt;1,"",(AVERAGEIFS('09월 고철장입'!$AJ$14:$AJ$949,'09월 고철장입'!$B$14:$B$949,$A97,'09월 고철장입'!$C$14:$C$949,$B98))/1000)</f>
        <v>158.66</v>
      </c>
      <c r="V98" s="1102">
        <f>IF($C98&lt;1,"",(AVERAGEIFS('09월 고철장입'!$AK$14:$AK$949,'09월 고철장입'!$B$14:$B$949,$A97,'09월 고철장입'!$C$14:$C$949,$B98)))</f>
        <v>144.87</v>
      </c>
      <c r="W98" s="1058">
        <f t="shared" si="20"/>
        <v>91.308458338585666</v>
      </c>
      <c r="X98" s="1059">
        <f>IF($C98&lt;1,"",(AVERAGEIFS('09월 에너지'!$O$14:$O$949,'09월 에너지'!$A$14:$A$949,$A97,'09월 에너지'!$C$14:$C$949,$B98)))</f>
        <v>160.75942441753236</v>
      </c>
      <c r="Y98" s="1060">
        <f>IF($C98&lt;1,"",(AVERAGEIFS('09월 에너지'!$P$14:$P$949,'09월 에너지'!$A$14:$A$949,$A97,'09월 에너지'!$C$14:$C$949,$B98)))</f>
        <v>142.26759135195076</v>
      </c>
      <c r="Z98" s="1060">
        <f>IF($C98&lt;1,"",(AVERAGEIFS('09월 에너지'!$Q$14:$Q$949,'09월 에너지'!$A$14:$A$949,$A97,'09월 에너지'!$C$14:$C$949,$B98)))</f>
        <v>77.655122888125703</v>
      </c>
      <c r="AA98" s="1061">
        <f>IF($C98&lt;1,"",(AVERAGEIFS('09월 에너지'!$R$14:$R$949,'09월 에너지'!$B$14:$B$949,$A97,'09월 에너지'!$C$14:$C$949,$B98)))</f>
        <v>380.68213865760879</v>
      </c>
      <c r="AB98" s="1062">
        <f>IF($C98&lt;1,"",(AVERAGEIFS('09월 에너지'!$X$14:$X$949,'09월 에너지'!$A$14:$A$949,$A97,'09월 에너지'!$C$14:$C$949,$B98)))</f>
        <v>2.5215255939792462</v>
      </c>
      <c r="AC98" s="1063">
        <f>IF($C98&lt;1,"",(AVERAGEIFS('09월 에너지'!$AC$14:$AC$949,'09월 에너지'!$A$14:$A$949,$A97,'09월 에너지'!$C$14:$C$949,$B98)))</f>
        <v>26.79023544709198</v>
      </c>
      <c r="AD98" s="1064">
        <f>IF($C98&lt;1,"",(AVERAGEIFS('09월 에너지'!$AD$14:$AD$949,'09월 에너지'!$B$14:$B$949,$A97,'09월 에너지'!$C$14:$C$949,$B98)))</f>
        <v>4246.3</v>
      </c>
      <c r="AE98" s="1065">
        <f>IF($C98&lt;1,"",(AVERAGEIFS('09월 에너지'!$AE$14:$AE$949,'09월 에너지'!$B$14:$B$949,$A97,'09월 에너지'!$C$14:$C$949,$B98)))</f>
        <v>29.311761041071225</v>
      </c>
      <c r="AF98" s="1066">
        <f>IF($C98&lt;1,"",(AVERAGEIFS('09월 에너지'!$AI$14:$AI$949,'09월 에너지'!$B$14:$B$949,$A97,'09월 에너지'!$C$14:$C$949,$B98)))</f>
        <v>163.5</v>
      </c>
      <c r="AG98" s="1067">
        <f>IF($C98&lt;1,"",(AVERAGEIFS('09월 에너지'!$AJ$14:$AJ$949,'09월 에너지'!$B$14:$B$949,$A97,'09월 에너지'!$C$14:$C$949,$B98)))</f>
        <v>1.1285552013360696</v>
      </c>
    </row>
    <row r="99" spans="1:33" ht="16.5" customHeight="1" thickTop="1" thickBot="1">
      <c r="A99" s="1632"/>
      <c r="B99" s="781" t="s">
        <v>93</v>
      </c>
      <c r="C99" s="782">
        <f>COUNTIFS('09월 조업일지'!$B$12:$B$952,A97,'09월 조업일지'!$E$12:$E$952,B99)</f>
        <v>10</v>
      </c>
      <c r="D99" s="1047">
        <f t="shared" si="21"/>
        <v>45.800000000000018</v>
      </c>
      <c r="E99" s="1048">
        <f>IF($C99&lt;1,"",(SUMIFS('09월 조업일지'!$K$12:$K$954,'09월 조업일지'!$B$12:$B$954,$A97,'09월 조업일지'!$E$12:$E$954,$B99)/$C99))</f>
        <v>0</v>
      </c>
      <c r="F99" s="1049">
        <f>IF($C99&lt;1,"",(AVERAGEIFS('09월 조업일지'!$J$12:$J$954,'09월 조업일지'!$B$12:$B$954,$A97,'09월 조업일지'!$E$12:$E$954,$B99)))</f>
        <v>45.800000000000018</v>
      </c>
      <c r="G99" s="1050">
        <f>IF($C99&lt;1,"",(AVERAGEIFS('09월 에너지'!$M$14:$M$950,'09월 에너지'!$B$14:$B$950,$A97,'09월 에너지'!$C$14:$C$950,$B99)))</f>
        <v>46.18</v>
      </c>
      <c r="H99" s="1051">
        <f>IF($C99&lt;1,"",(AVERAGEIFS('09월 조업일지'!$AJ$12:$AJ$954,'09월 조업일지'!$B$12:$B$954,$A97,'09월 조업일지'!$E$12:$E$954,$B99)))</f>
        <v>8.1999999999999993</v>
      </c>
      <c r="I99" s="1052">
        <f>IF($C99&lt;1,"",(AVERAGEIFS('09월 조업일지'!$AL$12:$AL$954,'09월 조업일지'!$B$12:$B$954,$A97,'09월 조업일지'!$E$12:$E$954,$B99)))</f>
        <v>5.5</v>
      </c>
      <c r="J99" s="1053">
        <f>IF($C99&lt;1,"",(AVERAGEIFS('09월 화학성분'!G$12:G$950,'09월 화학성분'!$B$12:$B$950,$A97,'09월 화학성분'!$D$12:$D$950,$B99)))</f>
        <v>10.6</v>
      </c>
      <c r="K99" s="1054">
        <f>IF($C99&lt;1,"",(AVERAGEIFS('09월 화학성분'!H$12:H$950,'09월 화학성분'!$B$12:$B$950,$A97,'09월 화학성분'!$D$12:$D$950,$B99)))</f>
        <v>20.2</v>
      </c>
      <c r="L99" s="1054">
        <f>IF($C99&lt;1,"",(AVERAGEIFS('09월 화학성분'!I$12:I$950,'09월 화학성분'!$B$12:$B$950,$A97,'09월 화학성분'!$D$12:$D$950,$B99)))</f>
        <v>127.3</v>
      </c>
      <c r="M99" s="1054">
        <f>IF($C99&lt;1,"",(AVERAGEIFS('09월 화학성분'!J$12:J$950,'09월 화학성분'!$B$12:$B$950,$A97,'09월 화학성분'!$D$12:$D$950,$B99)))</f>
        <v>14</v>
      </c>
      <c r="N99" s="1054">
        <f>IF($C99&lt;1,"",(AVERAGEIFS('09월 화학성분'!K$12:K$950,'09월 화학성분'!$B$12:$B$950,$A97,'09월 화학성분'!$D$12:$D$950,$B99)))</f>
        <v>30.5</v>
      </c>
      <c r="O99" s="1054">
        <f>IF($C99&lt;1,"",(AVERAGEIFS('09월 화학성분'!L$12:L$950,'09월 화학성분'!$B$12:$B$950,$A97,'09월 화학성분'!$D$12:$D$950,$B99)))</f>
        <v>11</v>
      </c>
      <c r="P99" s="1054">
        <f>IF($C99&lt;1,"",(AVERAGEIFS('09월 화학성분'!M$12:M$950,'09월 화학성분'!$B$12:$B$950,$A97,'09월 화학성분'!$D$12:$D$950,$B99)))</f>
        <v>9.3000000000000007</v>
      </c>
      <c r="Q99" s="1054">
        <f>IF($C99&lt;1,"",(AVERAGEIFS('09월 조업일지'!$AK$12:$AK$954,'09월 조업일지'!$B$12:$B$954,$A97,'09월 조업일지'!$E$12:$E$954,$B99)))</f>
        <v>732.3</v>
      </c>
      <c r="R99" s="1054">
        <f>IF($C99&lt;1,"",(AVERAGEIFS('09월 화학성분'!$G$12:$G$950,'09월 화학성분'!$B$12:$B$950,$A97,'09월 화학성분'!$D$12:$D$950,$B99)))</f>
        <v>10.6</v>
      </c>
      <c r="S99" s="1055">
        <f>IF($C99&lt;1,"",(AVERAGEIFS('09월 조업일지'!$AI$12:$AI$954,'09월 조업일지'!$B$12:$B$954,$A97,'09월 조업일지'!$E$12:$E$954,$B99)))</f>
        <v>1570.3</v>
      </c>
      <c r="T99" s="1056">
        <f>IF($C99&lt;1,"",(AVERAGEIFS('09월 화학성분'!$AM$12:$AM$949,'09월 화학성분'!$B$12:$B$949,$A97,'09월 화학성분'!$D$12:$D$949,$B99)))</f>
        <v>2130.1999999999998</v>
      </c>
      <c r="U99" s="1057">
        <f>IF($C99&lt;1,"",(AVERAGEIFS('09월 고철장입'!$AJ$14:$AJ$949,'09월 고철장입'!$B$14:$B$949,$A97,'09월 고철장입'!$C$14:$C$949,$B99))/1000)</f>
        <v>158.66999999999999</v>
      </c>
      <c r="V99" s="1102">
        <f>IF($C99&lt;1,"",(AVERAGEIFS('09월 고철장입'!$AK$14:$AK$949,'09월 고철장입'!$B$14:$B$949,$A97,'09월 고철장입'!$C$14:$C$949,$B99)))</f>
        <v>144.07999999999998</v>
      </c>
      <c r="W99" s="1058">
        <f t="shared" si="20"/>
        <v>90.804815024894438</v>
      </c>
      <c r="X99" s="1059">
        <f>IF($C99&lt;1,"",(AVERAGEIFS('09월 에너지'!$O$14:$O$949,'09월 에너지'!$A$14:$A$949,$A97,'09월 에너지'!$C$14:$C$949,$B99)))</f>
        <v>158.47807400160613</v>
      </c>
      <c r="Y99" s="1060">
        <f>IF($C99&lt;1,"",(AVERAGEIFS('09월 에너지'!$P$14:$P$949,'09월 에너지'!$A$14:$A$949,$A97,'09월 에너지'!$C$14:$C$949,$B99)))</f>
        <v>143.19330094254013</v>
      </c>
      <c r="Z99" s="1060">
        <f>IF($C99&lt;1,"",(AVERAGEIFS('09월 에너지'!$Q$14:$Q$949,'09월 에너지'!$A$14:$A$949,$A97,'09월 에너지'!$C$14:$C$949,$B99)))</f>
        <v>88.919373150339851</v>
      </c>
      <c r="AA99" s="1061">
        <f>IF($C99&lt;1,"",(AVERAGEIFS('09월 에너지'!$R$14:$R$949,'09월 에너지'!$B$14:$B$949,$A97,'09월 에너지'!$C$14:$C$949,$B99)))</f>
        <v>390.59074809448612</v>
      </c>
      <c r="AB99" s="1062">
        <f>IF($C99&lt;1,"",(AVERAGEIFS('09월 에너지'!$X$14:$X$949,'09월 에너지'!$A$14:$A$949,$A97,'09월 에너지'!$C$14:$C$949,$B99)))</f>
        <v>2.4343321695567903</v>
      </c>
      <c r="AC99" s="1063">
        <f>IF($C99&lt;1,"",(AVERAGEIFS('09월 에너지'!$AC$14:$AC$949,'09월 에너지'!$A$14:$A$949,$A97,'09월 에너지'!$C$14:$C$949,$B99)))</f>
        <v>26.98141122129261</v>
      </c>
      <c r="AD99" s="1064">
        <f>IF($C99&lt;1,"",(AVERAGEIFS('09월 에너지'!$AD$14:$AD$949,'09월 에너지'!$B$14:$B$949,$A97,'09월 에너지'!$C$14:$C$949,$B99)))</f>
        <v>4238</v>
      </c>
      <c r="AE99" s="1065">
        <f>IF($C99&lt;1,"",(AVERAGEIFS('09월 에너지'!$AE$14:$AE$949,'09월 에너지'!$B$14:$B$949,$A97,'09월 에너지'!$C$14:$C$949,$B99)))</f>
        <v>29.4157433908494</v>
      </c>
      <c r="AF99" s="1066">
        <f>IF($C99&lt;1,"",(AVERAGEIFS('09월 에너지'!$AI$14:$AI$949,'09월 에너지'!$B$14:$B$949,$A97,'09월 에너지'!$C$14:$C$949,$B99)))</f>
        <v>163.5</v>
      </c>
      <c r="AG99" s="1067">
        <f>IF($C99&lt;1,"",(AVERAGEIFS('09월 에너지'!$AJ$14:$AJ$949,'09월 에너지'!$B$14:$B$949,$A97,'09월 에너지'!$C$14:$C$949,$B99)))</f>
        <v>1.1348502511964178</v>
      </c>
    </row>
    <row r="100" spans="1:33" ht="16.5" customHeight="1" thickTop="1" thickBot="1">
      <c r="A100" s="1632"/>
      <c r="B100" s="783" t="s">
        <v>94</v>
      </c>
      <c r="C100" s="784">
        <f>COUNTIFS('09월 조업일지'!$B$12:$B$952,A97,'09월 조업일지'!$E$12:$E$952,B100)</f>
        <v>0</v>
      </c>
      <c r="D100" s="1068" t="str">
        <f t="shared" si="21"/>
        <v/>
      </c>
      <c r="E100" s="1069" t="str">
        <f>IF($C100&lt;1,"",(SUMIFS('09월 조업일지'!$K$12:$K$954,'09월 조업일지'!$B$12:$B$954,$A97,'09월 조업일지'!$E$12:$E$954,$B100)/$C100))</f>
        <v/>
      </c>
      <c r="F100" s="1070" t="str">
        <f>IF($C100&lt;1,"",(AVERAGEIFS('09월 조업일지'!$J$12:$J$954,'09월 조업일지'!$B$12:$B$954,$A97,'09월 조업일지'!$E$12:$E$954,$B100)))</f>
        <v/>
      </c>
      <c r="G100" s="1071" t="str">
        <f>IF($C100&lt;1,"",(AVERAGEIFS('09월 에너지'!$M$14:$M$950,'09월 에너지'!$B$14:$B$950,$A97,'09월 에너지'!$C$14:$C$950,$B100)))</f>
        <v/>
      </c>
      <c r="H100" s="1072" t="str">
        <f>IF($C100&lt;1,"",(AVERAGEIFS('09월 조업일지'!$AJ$12:$AJ$954,'09월 조업일지'!$B$12:$B$954,$A97,'09월 조업일지'!$E$12:$E$954,$B100)))</f>
        <v/>
      </c>
      <c r="I100" s="1073" t="str">
        <f>IF($C100&lt;1,"",(AVERAGEIFS('09월 조업일지'!$AL$12:$AL$954,'09월 조업일지'!$B$12:$B$954,$A97,'09월 조업일지'!$E$12:$E$954,$B100)))</f>
        <v/>
      </c>
      <c r="J100" s="1074" t="str">
        <f>IF($C100&lt;1,"",(AVERAGEIFS('09월 화학성분'!G$12:G$950,'09월 화학성분'!$B$12:$B$950,$A97,'09월 화학성분'!$D$12:$D$950,$B100)))</f>
        <v/>
      </c>
      <c r="K100" s="1075" t="str">
        <f>IF($C100&lt;1,"",(AVERAGEIFS('09월 화학성분'!H$12:H$950,'09월 화학성분'!$B$12:$B$950,$A97,'09월 화학성분'!$D$12:$D$950,$B100)))</f>
        <v/>
      </c>
      <c r="L100" s="1075" t="str">
        <f>IF($C100&lt;1,"",(AVERAGEIFS('09월 화학성분'!I$12:I$950,'09월 화학성분'!$B$12:$B$950,$A97,'09월 화학성분'!$D$12:$D$950,$B100)))</f>
        <v/>
      </c>
      <c r="M100" s="1075" t="str">
        <f>IF($C100&lt;1,"",(AVERAGEIFS('09월 화학성분'!J$12:J$950,'09월 화학성분'!$B$12:$B$950,$A97,'09월 화학성분'!$D$12:$D$950,$B100)))</f>
        <v/>
      </c>
      <c r="N100" s="1075" t="str">
        <f>IF($C100&lt;1,"",(AVERAGEIFS('09월 화학성분'!K$12:K$950,'09월 화학성분'!$B$12:$B$950,$A97,'09월 화학성분'!$D$12:$D$950,$B100)))</f>
        <v/>
      </c>
      <c r="O100" s="1075" t="str">
        <f>IF($C100&lt;1,"",(AVERAGEIFS('09월 화학성분'!L$12:L$950,'09월 화학성분'!$B$12:$B$950,$A97,'09월 화학성분'!$D$12:$D$950,$B100)))</f>
        <v/>
      </c>
      <c r="P100" s="1075" t="str">
        <f>IF($C100&lt;1,"",(AVERAGEIFS('09월 화학성분'!M$12:M$950,'09월 화학성분'!$B$12:$B$950,$A97,'09월 화학성분'!$D$12:$D$950,$B100)))</f>
        <v/>
      </c>
      <c r="Q100" s="1075" t="str">
        <f>IF($C100&lt;1,"",(AVERAGEIFS('09월 조업일지'!$AK$12:$AK$954,'09월 조업일지'!$B$12:$B$954,$A97,'09월 조업일지'!$E$12:$E$954,$B100)))</f>
        <v/>
      </c>
      <c r="R100" s="1075" t="str">
        <f>IF($C100&lt;1,"",(AVERAGEIFS('09월 화학성분'!$G$12:$G$950,'09월 화학성분'!$B$12:$B$950,$A97,'09월 화학성분'!$D$12:$D$950,$B100)))</f>
        <v/>
      </c>
      <c r="S100" s="1076" t="str">
        <f>IF($C100&lt;1,"",(AVERAGEIFS('09월 조업일지'!$AI$12:$AI$954,'09월 조업일지'!$B$12:$B$954,$A97,'09월 조업일지'!$E$12:$E$954,$B100)))</f>
        <v/>
      </c>
      <c r="T100" s="1077" t="str">
        <f>IF($C100&lt;1,"",(AVERAGEIFS('09월 화학성분'!$AM$12:$AM$949,'09월 화학성분'!$B$12:$B$949,$A97,'09월 화학성분'!$D$12:$D$949,$B100)))</f>
        <v/>
      </c>
      <c r="U100" s="1078" t="str">
        <f>IF($C100&lt;1,"",(AVERAGEIFS('09월 고철장입'!$AJ$14:$AJ$949,'09월 고철장입'!$B$14:$B$949,$A97,'09월 고철장입'!$C$14:$C$949,$B100))/1000)</f>
        <v/>
      </c>
      <c r="V100" s="1103" t="str">
        <f>IF($C100&lt;1,"",(AVERAGEIFS('09월 고철장입'!$AK$14:$AK$949,'09월 고철장입'!$B$14:$B$949,$A97,'09월 고철장입'!$C$14:$C$949,$B100)))</f>
        <v/>
      </c>
      <c r="W100" s="1079" t="str">
        <f t="shared" si="20"/>
        <v/>
      </c>
      <c r="X100" s="1080" t="str">
        <f>IF($C100&lt;1,"",(AVERAGEIFS('09월 에너지'!$O$14:$O$949,'09월 에너지'!$A$14:$A$949,$A97,'09월 에너지'!$C$14:$C$949,$B100)))</f>
        <v/>
      </c>
      <c r="Y100" s="1081" t="str">
        <f>IF($C100&lt;1,"",(AVERAGEIFS('09월 에너지'!$P$14:$P$949,'09월 에너지'!$A$14:$A$949,$A97,'09월 에너지'!$C$14:$C$949,$B100)))</f>
        <v/>
      </c>
      <c r="Z100" s="1081" t="str">
        <f>IF($C100&lt;1,"",(AVERAGEIFS('09월 에너지'!$Q$14:$Q$949,'09월 에너지'!$A$14:$A$949,$A97,'09월 에너지'!$C$14:$C$949,$B100)))</f>
        <v/>
      </c>
      <c r="AA100" s="1082" t="str">
        <f>IF($C100&lt;1,"",(AVERAGEIFS('09월 에너지'!$R$14:$R$949,'09월 에너지'!$B$14:$B$949,$A97,'09월 에너지'!$C$14:$C$949,$B100)))</f>
        <v/>
      </c>
      <c r="AB100" s="1083" t="str">
        <f>IF($C100&lt;1,"",(AVERAGEIFS('09월 에너지'!$X$14:$X$949,'09월 에너지'!$A$14:$A$949,$A97,'09월 에너지'!$C$14:$C$949,$B100)))</f>
        <v/>
      </c>
      <c r="AC100" s="1084" t="str">
        <f>IF($C100&lt;1,"",(AVERAGEIFS('09월 에너지'!$AC$14:$AC$949,'09월 에너지'!$A$14:$A$949,$A97,'09월 에너지'!$C$14:$C$949,$B100)))</f>
        <v/>
      </c>
      <c r="AD100" s="1085" t="str">
        <f>IF($C100&lt;1,"",(AVERAGEIFS('09월 에너지'!$AD$14:$AD$949,'09월 에너지'!$B$14:$B$949,$A97,'09월 에너지'!$C$14:$C$949,$B100)))</f>
        <v/>
      </c>
      <c r="AE100" s="1086" t="str">
        <f>IF($C100&lt;1,"",(AVERAGEIFS('09월 에너지'!$AE$14:$AE$949,'09월 에너지'!$B$14:$B$949,$A97,'09월 에너지'!$C$14:$C$949,$B100)))</f>
        <v/>
      </c>
      <c r="AF100" s="1087" t="str">
        <f>IF($C100&lt;1,"",(AVERAGEIFS('09월 에너지'!$AI$14:$AI$949,'09월 에너지'!$B$14:$B$949,$A97,'09월 에너지'!$C$14:$C$949,$B100)))</f>
        <v/>
      </c>
      <c r="AG100" s="1088" t="str">
        <f>IF($C100&lt;1,"",(AVERAGEIFS('09월 에너지'!$AJ$14:$AJ$949,'09월 에너지'!$B$14:$B$949,$A97,'09월 에너지'!$C$14:$C$949,$B100)))</f>
        <v/>
      </c>
    </row>
    <row r="101" spans="1:33" ht="16.5" customHeight="1" thickTop="1" thickBot="1">
      <c r="A101" s="1632">
        <f t="shared" ref="A101" si="28">A97+1</f>
        <v>46290</v>
      </c>
      <c r="B101" s="775" t="s">
        <v>128</v>
      </c>
      <c r="C101" s="776">
        <f>COUNTIFS('09월 조업일지'!$B$12:$B$952,A101,'09월 조업일지'!$E$12:$E$952,B101)</f>
        <v>11</v>
      </c>
      <c r="D101" s="1026">
        <f t="shared" si="21"/>
        <v>46.909090909090899</v>
      </c>
      <c r="E101" s="1027">
        <f>IF($C101&lt;1,"",(SUMIFS('09월 조업일지'!$K$12:$K$954,'09월 조업일지'!$B$12:$B$954,$A101,'09월 조업일지'!$E$12:$E$954,$B101)/$C101))</f>
        <v>0</v>
      </c>
      <c r="F101" s="1028">
        <f>IF($C101&lt;1,"",(AVERAGEIFS('09월 조업일지'!$J$12:$J$954,'09월 조업일지'!$B$12:$B$954,$A101,'09월 조업일지'!$E$12:$E$954,$B101)))</f>
        <v>46.909090909090899</v>
      </c>
      <c r="G101" s="1029">
        <f>IF($C101&lt;1,"",(AVERAGEIFS('09월 에너지'!$M$14:$M$950,'09월 에너지'!$B$14:$B$950,$A101,'09월 에너지'!$C$14:$C$950,$B101)))</f>
        <v>45.672727272727272</v>
      </c>
      <c r="H101" s="1030">
        <f>IF($C101&lt;1,"",(AVERAGEIFS('09월 조업일지'!$AJ$12:$AJ$954,'09월 조업일지'!$B$12:$B$954,$A101,'09월 조업일지'!$E$12:$E$954,$B101)))</f>
        <v>18.818181818181817</v>
      </c>
      <c r="I101" s="1031">
        <f>IF($C101&lt;1,"",(AVERAGEIFS('09월 조업일지'!$AL$12:$AL$954,'09월 조업일지'!$B$12:$B$954,$A101,'09월 조업일지'!$E$12:$E$954,$B101)))</f>
        <v>8.545454545454545</v>
      </c>
      <c r="J101" s="1032">
        <f>IF($C101&lt;1,"",(AVERAGEIFS('09월 화학성분'!G$12:G$950,'09월 화학성분'!$B$12:$B$950,$A101,'09월 화학성분'!$D$12:$D$950,$B101)))</f>
        <v>9.545454545454545</v>
      </c>
      <c r="K101" s="1033">
        <f>IF($C101&lt;1,"",(AVERAGEIFS('09월 화학성분'!H$12:H$950,'09월 화학성분'!$B$12:$B$950,$A101,'09월 화학성분'!$D$12:$D$950,$B101)))</f>
        <v>22.272727272727273</v>
      </c>
      <c r="L101" s="1033">
        <f>IF($C101&lt;1,"",(AVERAGEIFS('09월 화학성분'!I$12:I$950,'09월 화학성분'!$B$12:$B$950,$A101,'09월 화학성분'!$D$12:$D$950,$B101)))</f>
        <v>72.272727272727266</v>
      </c>
      <c r="M101" s="1033">
        <f>IF($C101&lt;1,"",(AVERAGEIFS('09월 화학성분'!J$12:J$950,'09월 화학성분'!$B$12:$B$950,$A101,'09월 화학성분'!$D$12:$D$950,$B101)))</f>
        <v>16.272727272727273</v>
      </c>
      <c r="N101" s="1033">
        <f>IF($C101&lt;1,"",(AVERAGEIFS('09월 화학성분'!K$12:K$950,'09월 화학성분'!$B$12:$B$950,$A101,'09월 화학성분'!$D$12:$D$950,$B101)))</f>
        <v>33.545454545454547</v>
      </c>
      <c r="O101" s="1033">
        <f>IF($C101&lt;1,"",(AVERAGEIFS('09월 화학성분'!L$12:L$950,'09월 화학성분'!$B$12:$B$950,$A101,'09월 화학성분'!$D$12:$D$950,$B101)))</f>
        <v>14.363636363636363</v>
      </c>
      <c r="P101" s="1033">
        <f>IF($C101&lt;1,"",(AVERAGEIFS('09월 화학성분'!M$12:M$950,'09월 화학성분'!$B$12:$B$950,$A101,'09월 화학성분'!$D$12:$D$950,$B101)))</f>
        <v>10.090909090909092</v>
      </c>
      <c r="Q101" s="1033">
        <f>IF($C101&lt;1,"",(AVERAGEIFS('09월 조업일지'!$AK$12:$AK$954,'09월 조업일지'!$B$12:$B$954,$A101,'09월 조업일지'!$E$12:$E$954,$B101)))</f>
        <v>516.09090909090912</v>
      </c>
      <c r="R101" s="1033">
        <f>IF($C101&lt;1,"",(AVERAGEIFS('09월 화학성분'!$G$12:$G$950,'09월 화학성분'!$B$12:$B$950,$A101,'09월 화학성분'!$D$12:$D$950,$B101)))</f>
        <v>9.545454545454545</v>
      </c>
      <c r="S101" s="1034">
        <f>IF($C101&lt;1,"",(AVERAGEIFS('09월 조업일지'!$AI$12:$AI$954,'09월 조업일지'!$B$12:$B$954,$A101,'09월 조업일지'!$E$12:$E$954,$B101)))</f>
        <v>1571.090909090909</v>
      </c>
      <c r="T101" s="1035">
        <f>IF($C101&lt;1,"",(AVERAGEIFS('09월 화학성분'!$AM$12:$AM$949,'09월 화학성분'!$B$12:$B$949,$A101,'09월 화학성분'!$D$12:$D$949,$B101)))</f>
        <v>2239.2727272727275</v>
      </c>
      <c r="U101" s="1036">
        <f>IF($C101&lt;1,"",(AVERAGEIFS('09월 고철장입'!$AJ$14:$AJ$949,'09월 고철장입'!$B$14:$B$949,$A101,'09월 고철장입'!$C$14:$C$949,$B101))/1000)</f>
        <v>158.38181818181818</v>
      </c>
      <c r="V101" s="1101">
        <f>IF($C101&lt;1,"",(AVERAGEIFS('09월 고철장입'!$AK$14:$AK$949,'09월 고철장입'!$B$14:$B$949,$A101,'09월 고철장입'!$C$14:$C$949,$B101)))</f>
        <v>144.17272727272726</v>
      </c>
      <c r="W101" s="1037">
        <f t="shared" si="20"/>
        <v>91.028584548272292</v>
      </c>
      <c r="X101" s="1038">
        <f>IF($C101&lt;1,"",(AVERAGEIFS('09월 에너지'!$O$14:$O$949,'09월 에너지'!$A$14:$A$949,$A101,'09월 에너지'!$C$14:$C$949,$B101)))</f>
        <v>160.16299437808425</v>
      </c>
      <c r="Y101" s="1039">
        <f>IF($C101&lt;1,"",(AVERAGEIFS('09월 에너지'!$P$14:$P$949,'09월 에너지'!$A$14:$A$949,$A101,'09월 에너지'!$C$14:$C$949,$B101)))</f>
        <v>143.31284451531843</v>
      </c>
      <c r="Z101" s="1039">
        <f>IF($C101&lt;1,"",(AVERAGEIFS('09월 에너지'!$Q$14:$Q$949,'09월 에너지'!$A$14:$A$949,$A101,'09월 에너지'!$C$14:$C$949,$B101)))</f>
        <v>90.223999931674939</v>
      </c>
      <c r="AA101" s="1040">
        <f>IF($C101&lt;1,"",(AVERAGEIFS('09월 에너지'!$R$14:$R$949,'09월 에너지'!$B$14:$B$949,$A101,'09월 에너지'!$C$14:$C$949,$B101)))</f>
        <v>390.96396029124156</v>
      </c>
      <c r="AB101" s="1041">
        <f>IF($C101&lt;1,"",(AVERAGEIFS('09월 에너지'!$X$14:$X$949,'09월 에너지'!$A$14:$A$949,$A101,'09월 에너지'!$C$14:$C$949,$B101)))</f>
        <v>2.747824370327967</v>
      </c>
      <c r="AC101" s="1042">
        <f>IF($C101&lt;1,"",(AVERAGEIFS('09월 에너지'!$AC$14:$AC$949,'09월 에너지'!$A$14:$A$949,$A101,'09월 에너지'!$C$14:$C$949,$B101)))</f>
        <v>26.36535195300463</v>
      </c>
      <c r="AD101" s="1043">
        <f>IF($C101&lt;1,"",(AVERAGEIFS('09월 에너지'!$AD$14:$AD$949,'09월 에너지'!$B$14:$B$949,$A101,'09월 에너지'!$C$14:$C$949,$B101)))</f>
        <v>4231</v>
      </c>
      <c r="AE101" s="1044">
        <f>IF($C101&lt;1,"",(AVERAGEIFS('09월 에너지'!$AE$14:$AE$949,'09월 에너지'!$B$14:$B$949,$A101,'09월 에너지'!$C$14:$C$949,$B101)))</f>
        <v>29.34211475579124</v>
      </c>
      <c r="AF101" s="1045">
        <f>IF($C101&lt;1,"",(AVERAGEIFS('09월 에너지'!$AI$14:$AI$949,'09월 에너지'!$B$14:$B$949,$A101,'09월 에너지'!$C$14:$C$949,$B101)))</f>
        <v>152.09090909090909</v>
      </c>
      <c r="AG101" s="1046">
        <f>IF($C101&lt;1,"",(AVERAGEIFS('09월 에너지'!$AJ$14:$AJ$949,'09월 에너지'!$B$14:$B$949,$A101,'09월 에너지'!$C$14:$C$949,$B101)))</f>
        <v>1.0548846627068909</v>
      </c>
    </row>
    <row r="102" spans="1:33" ht="16.5" customHeight="1" thickTop="1" thickBot="1">
      <c r="A102" s="1632"/>
      <c r="B102" s="781" t="s">
        <v>100</v>
      </c>
      <c r="C102" s="782">
        <f>COUNTIFS('09월 조업일지'!$B$12:$B$952,A101,'09월 조업일지'!$E$12:$E$952,B102)</f>
        <v>11</v>
      </c>
      <c r="D102" s="1047">
        <f t="shared" si="21"/>
        <v>47.454545454545446</v>
      </c>
      <c r="E102" s="1048">
        <f>IF($C102&lt;1,"",(SUMIFS('09월 조업일지'!$K$12:$K$954,'09월 조업일지'!$B$12:$B$954,$A101,'09월 조업일지'!$E$12:$E$954,$B102)/$C102))</f>
        <v>0.18181818181818182</v>
      </c>
      <c r="F102" s="1049">
        <f>IF($C102&lt;1,"",(AVERAGEIFS('09월 조업일지'!$J$12:$J$954,'09월 조업일지'!$B$12:$B$954,$A101,'09월 조업일지'!$E$12:$E$954,$B102)))</f>
        <v>47.636363636363626</v>
      </c>
      <c r="G102" s="1050">
        <f>IF($C102&lt;1,"",(AVERAGEIFS('09월 에너지'!$M$14:$M$950,'09월 에너지'!$B$14:$B$950,$A101,'09월 에너지'!$C$14:$C$950,$B102)))</f>
        <v>46</v>
      </c>
      <c r="H102" s="1051">
        <f>IF($C102&lt;1,"",(AVERAGEIFS('09월 조업일지'!$AJ$12:$AJ$954,'09월 조업일지'!$B$12:$B$954,$A101,'09월 조업일지'!$E$12:$E$954,$B102)))</f>
        <v>5.0909090909090908</v>
      </c>
      <c r="I102" s="1052">
        <f>IF($C102&lt;1,"",(AVERAGEIFS('09월 조업일지'!$AL$12:$AL$954,'09월 조업일지'!$B$12:$B$954,$A101,'09월 조업일지'!$E$12:$E$954,$B102)))</f>
        <v>8.7272727272727266</v>
      </c>
      <c r="J102" s="1053">
        <f>IF($C102&lt;1,"",(AVERAGEIFS('09월 화학성분'!G$12:G$950,'09월 화학성분'!$B$12:$B$950,$A101,'09월 화학성분'!$D$12:$D$950,$B102)))</f>
        <v>9.0909090909090917</v>
      </c>
      <c r="K102" s="1054">
        <f>IF($C102&lt;1,"",(AVERAGEIFS('09월 화학성분'!H$12:H$950,'09월 화학성분'!$B$12:$B$950,$A101,'09월 화학성분'!$D$12:$D$950,$B102)))</f>
        <v>20</v>
      </c>
      <c r="L102" s="1054">
        <f>IF($C102&lt;1,"",(AVERAGEIFS('09월 화학성분'!I$12:I$950,'09월 화학성분'!$B$12:$B$950,$A101,'09월 화학성분'!$D$12:$D$950,$B102)))</f>
        <v>55.18181818181818</v>
      </c>
      <c r="M102" s="1054">
        <f>IF($C102&lt;1,"",(AVERAGEIFS('09월 화학성분'!J$12:J$950,'09월 화학성분'!$B$12:$B$950,$A101,'09월 화학성분'!$D$12:$D$950,$B102)))</f>
        <v>14.909090909090908</v>
      </c>
      <c r="N102" s="1054">
        <f>IF($C102&lt;1,"",(AVERAGEIFS('09월 화학성분'!K$12:K$950,'09월 화학성분'!$B$12:$B$950,$A101,'09월 화학성분'!$D$12:$D$950,$B102)))</f>
        <v>32.81818181818182</v>
      </c>
      <c r="O102" s="1054">
        <f>IF($C102&lt;1,"",(AVERAGEIFS('09월 화학성분'!L$12:L$950,'09월 화학성분'!$B$12:$B$950,$A101,'09월 화학성분'!$D$12:$D$950,$B102)))</f>
        <v>15.090909090909092</v>
      </c>
      <c r="P102" s="1054">
        <f>IF($C102&lt;1,"",(AVERAGEIFS('09월 화학성분'!M$12:M$950,'09월 화학성분'!$B$12:$B$950,$A101,'09월 화학성분'!$D$12:$D$950,$B102)))</f>
        <v>9.7272727272727266</v>
      </c>
      <c r="Q102" s="1054">
        <f>IF($C102&lt;1,"",(AVERAGEIFS('09월 조업일지'!$AK$12:$AK$954,'09월 조업일지'!$B$12:$B$954,$A101,'09월 조업일지'!$E$12:$E$954,$B102)))</f>
        <v>513.09090909090912</v>
      </c>
      <c r="R102" s="1054">
        <f>IF($C102&lt;1,"",(AVERAGEIFS('09월 화학성분'!$G$12:$G$950,'09월 화학성분'!$B$12:$B$950,$A101,'09월 화학성분'!$D$12:$D$950,$B102)))</f>
        <v>9.0909090909090917</v>
      </c>
      <c r="S102" s="1055">
        <f>IF($C102&lt;1,"",(AVERAGEIFS('09월 조업일지'!$AI$12:$AI$954,'09월 조업일지'!$B$12:$B$954,$A101,'09월 조업일지'!$E$12:$E$954,$B102)))</f>
        <v>1585.090909090909</v>
      </c>
      <c r="T102" s="1056">
        <f>IF($C102&lt;1,"",(AVERAGEIFS('09월 화학성분'!$AM$12:$AM$949,'09월 화학성분'!$B$12:$B$949,$A101,'09월 화학성분'!$D$12:$D$949,$B102)))</f>
        <v>1794.4545454545455</v>
      </c>
      <c r="U102" s="1057">
        <f>IF($C102&lt;1,"",(AVERAGEIFS('09월 고철장입'!$AJ$14:$AJ$949,'09월 고철장입'!$B$14:$B$949,$A101,'09월 고철장입'!$C$14:$C$949,$B102))/1000)</f>
        <v>158.41818181818184</v>
      </c>
      <c r="V102" s="1102">
        <f>IF($C102&lt;1,"",(AVERAGEIFS('09월 고철장입'!$AK$14:$AK$949,'09월 고철장입'!$B$14:$B$949,$A101,'09월 고철장입'!$C$14:$C$949,$B102)))</f>
        <v>142.90909090909088</v>
      </c>
      <c r="W102" s="1058">
        <f t="shared" si="20"/>
        <v>90.210030988178559</v>
      </c>
      <c r="X102" s="1059">
        <f>IF($C102&lt;1,"",(AVERAGEIFS('09월 에너지'!$O$14:$O$949,'09월 에너지'!$A$14:$A$949,$A101,'09월 에너지'!$C$14:$C$949,$B102)))</f>
        <v>162.97243248936732</v>
      </c>
      <c r="Y102" s="1060">
        <f>IF($C102&lt;1,"",(AVERAGEIFS('09월 에너지'!$P$14:$P$949,'09월 에너지'!$A$14:$A$949,$A101,'09월 에너지'!$C$14:$C$949,$B102)))</f>
        <v>144.4269626731371</v>
      </c>
      <c r="Z102" s="1060">
        <f>IF($C102&lt;1,"",(AVERAGEIFS('09월 에너지'!$Q$14:$Q$949,'09월 에너지'!$A$14:$A$949,$A101,'09월 에너지'!$C$14:$C$949,$B102)))</f>
        <v>88.846758571793401</v>
      </c>
      <c r="AA102" s="1061">
        <f>IF($C102&lt;1,"",(AVERAGEIFS('09월 에너지'!$R$14:$R$949,'09월 에너지'!$B$14:$B$949,$A101,'09월 에너지'!$C$14:$C$949,$B102)))</f>
        <v>396.24615373429782</v>
      </c>
      <c r="AB102" s="1062">
        <f>IF($C102&lt;1,"",(AVERAGEIFS('09월 에너지'!$X$14:$X$949,'09월 에너지'!$A$14:$A$949,$A101,'09월 에너지'!$C$14:$C$949,$B102)))</f>
        <v>2.7436225261153866</v>
      </c>
      <c r="AC102" s="1063">
        <f>IF($C102&lt;1,"",(AVERAGEIFS('09월 에너지'!$AC$14:$AC$949,'09월 에너지'!$A$14:$A$949,$A101,'09월 에너지'!$C$14:$C$949,$B102)))</f>
        <v>26.541987118641604</v>
      </c>
      <c r="AD102" s="1064">
        <f>IF($C102&lt;1,"",(AVERAGEIFS('09월 에너지'!$AD$14:$AD$949,'09월 에너지'!$B$14:$B$949,$A101,'09월 에너지'!$C$14:$C$949,$B102)))</f>
        <v>4182.636363636364</v>
      </c>
      <c r="AE102" s="1065">
        <f>IF($C102&lt;1,"",(AVERAGEIFS('09월 에너지'!$AE$14:$AE$949,'09월 에너지'!$B$14:$B$949,$A101,'09월 에너지'!$C$14:$C$949,$B102)))</f>
        <v>29.285609644756992</v>
      </c>
      <c r="AF102" s="1066">
        <f>IF($C102&lt;1,"",(AVERAGEIFS('09월 에너지'!$AI$14:$AI$949,'09월 에너지'!$B$14:$B$949,$A101,'09월 에너지'!$C$14:$C$949,$B102)))</f>
        <v>161.36363636363637</v>
      </c>
      <c r="AG102" s="1067">
        <f>IF($C102&lt;1,"",(AVERAGEIFS('09월 에너지'!$AJ$14:$AJ$949,'09월 에너지'!$B$14:$B$949,$A101,'09월 에너지'!$C$14:$C$949,$B102)))</f>
        <v>1.1291655688423838</v>
      </c>
    </row>
    <row r="103" spans="1:33" ht="16.5" customHeight="1" thickTop="1" thickBot="1">
      <c r="A103" s="1632"/>
      <c r="B103" s="781" t="s">
        <v>93</v>
      </c>
      <c r="C103" s="782">
        <f>COUNTIFS('09월 조업일지'!$B$12:$B$952,A101,'09월 조업일지'!$E$12:$E$952,B103)</f>
        <v>9</v>
      </c>
      <c r="D103" s="1047">
        <f t="shared" si="21"/>
        <v>47.777777777777793</v>
      </c>
      <c r="E103" s="1048">
        <f>IF($C103&lt;1,"",(SUMIFS('09월 조업일지'!$K$12:$K$954,'09월 조업일지'!$B$12:$B$954,$A101,'09월 조업일지'!$E$12:$E$954,$B103)/$C103))</f>
        <v>0</v>
      </c>
      <c r="F103" s="1049">
        <f>IF($C103&lt;1,"",(AVERAGEIFS('09월 조업일지'!$J$12:$J$954,'09월 조업일지'!$B$12:$B$954,$A101,'09월 조업일지'!$E$12:$E$954,$B103)))</f>
        <v>47.777777777777793</v>
      </c>
      <c r="G103" s="1050">
        <f>IF($C103&lt;1,"",(AVERAGEIFS('09월 에너지'!$M$14:$M$950,'09월 에너지'!$B$14:$B$950,$A101,'09월 에너지'!$C$14:$C$950,$B103)))</f>
        <v>47.577777777777769</v>
      </c>
      <c r="H103" s="1051">
        <f>IF($C103&lt;1,"",(AVERAGEIFS('09월 조업일지'!$AJ$12:$AJ$954,'09월 조업일지'!$B$12:$B$954,$A101,'09월 조업일지'!$E$12:$E$954,$B103)))</f>
        <v>7</v>
      </c>
      <c r="I103" s="1052">
        <f>IF($C103&lt;1,"",(AVERAGEIFS('09월 조업일지'!$AL$12:$AL$954,'09월 조업일지'!$B$12:$B$954,$A101,'09월 조업일지'!$E$12:$E$954,$B103)))</f>
        <v>6.875</v>
      </c>
      <c r="J103" s="1053">
        <f>IF($C103&lt;1,"",(AVERAGEIFS('09월 화학성분'!G$12:G$950,'09월 화학성분'!$B$12:$B$950,$A101,'09월 화학성분'!$D$12:$D$950,$B103)))</f>
        <v>7.666666666666667</v>
      </c>
      <c r="K103" s="1054">
        <f>IF($C103&lt;1,"",(AVERAGEIFS('09월 화학성분'!H$12:H$950,'09월 화학성분'!$B$12:$B$950,$A101,'09월 화학성분'!$D$12:$D$950,$B103)))</f>
        <v>15.111111111111111</v>
      </c>
      <c r="L103" s="1054">
        <f>IF($C103&lt;1,"",(AVERAGEIFS('09월 화학성분'!I$12:I$950,'09월 화학성분'!$B$12:$B$950,$A101,'09월 화학성분'!$D$12:$D$950,$B103)))</f>
        <v>51.222222222222221</v>
      </c>
      <c r="M103" s="1054">
        <f>IF($C103&lt;1,"",(AVERAGEIFS('09월 화학성분'!J$12:J$950,'09월 화학성분'!$B$12:$B$950,$A101,'09월 화학성분'!$D$12:$D$950,$B103)))</f>
        <v>14</v>
      </c>
      <c r="N103" s="1054">
        <f>IF($C103&lt;1,"",(AVERAGEIFS('09월 화학성분'!K$12:K$950,'09월 화학성분'!$B$12:$B$950,$A101,'09월 화학성분'!$D$12:$D$950,$B103)))</f>
        <v>28.777777777777779</v>
      </c>
      <c r="O103" s="1054">
        <f>IF($C103&lt;1,"",(AVERAGEIFS('09월 화학성분'!L$12:L$950,'09월 화학성분'!$B$12:$B$950,$A101,'09월 화학성분'!$D$12:$D$950,$B103)))</f>
        <v>12.111111111111111</v>
      </c>
      <c r="P103" s="1054">
        <f>IF($C103&lt;1,"",(AVERAGEIFS('09월 화학성분'!M$12:M$950,'09월 화학성분'!$B$12:$B$950,$A101,'09월 화학성분'!$D$12:$D$950,$B103)))</f>
        <v>9.7777777777777786</v>
      </c>
      <c r="Q103" s="1054">
        <f>IF($C103&lt;1,"",(AVERAGEIFS('09월 조업일지'!$AK$12:$AK$954,'09월 조업일지'!$B$12:$B$954,$A101,'09월 조업일지'!$E$12:$E$954,$B103)))</f>
        <v>612.125</v>
      </c>
      <c r="R103" s="1054">
        <f>IF($C103&lt;1,"",(AVERAGEIFS('09월 화학성분'!$G$12:$G$950,'09월 화학성분'!$B$12:$B$950,$A101,'09월 화학성분'!$D$12:$D$950,$B103)))</f>
        <v>7.666666666666667</v>
      </c>
      <c r="S103" s="1055">
        <f>IF($C103&lt;1,"",(AVERAGEIFS('09월 조업일지'!$AI$12:$AI$954,'09월 조업일지'!$B$12:$B$954,$A101,'09월 조업일지'!$E$12:$E$954,$B103)))</f>
        <v>1588.4444444444443</v>
      </c>
      <c r="T103" s="1056">
        <f>IF($C103&lt;1,"",(AVERAGEIFS('09월 화학성분'!$AM$12:$AM$949,'09월 화학성분'!$B$12:$B$949,$A101,'09월 화학성분'!$D$12:$D$949,$B103)))</f>
        <v>2545.4444444444443</v>
      </c>
      <c r="U103" s="1057">
        <f>IF($C103&lt;1,"",(AVERAGEIFS('09월 고철장입'!$AJ$14:$AJ$949,'09월 고철장입'!$B$14:$B$949,$A101,'09월 고철장입'!$C$14:$C$949,$B103))/1000)</f>
        <v>159.15555555555557</v>
      </c>
      <c r="V103" s="1102">
        <f>IF($C103&lt;1,"",(AVERAGEIFS('09월 고철장입'!$AK$14:$AK$949,'09월 고철장입'!$B$14:$B$949,$A101,'09월 고철장입'!$C$14:$C$949,$B103)))</f>
        <v>144.23333333333332</v>
      </c>
      <c r="W103" s="1058">
        <f t="shared" si="20"/>
        <v>90.62412733873218</v>
      </c>
      <c r="X103" s="1059">
        <f>IF($C103&lt;1,"",(AVERAGEIFS('09월 에너지'!$O$14:$O$949,'09월 에너지'!$A$14:$A$949,$A101,'09월 에너지'!$C$14:$C$949,$B103)))</f>
        <v>160.26060325956499</v>
      </c>
      <c r="Y103" s="1060">
        <f>IF($C103&lt;1,"",(AVERAGEIFS('09월 에너지'!$P$14:$P$949,'09월 에너지'!$A$14:$A$949,$A101,'09월 에너지'!$C$14:$C$949,$B103)))</f>
        <v>142.92053392244537</v>
      </c>
      <c r="Z103" s="1060">
        <f>IF($C103&lt;1,"",(AVERAGEIFS('09월 에너지'!$Q$14:$Q$949,'09월 에너지'!$A$14:$A$949,$A101,'09월 에너지'!$C$14:$C$949,$B103)))</f>
        <v>92.672337516834745</v>
      </c>
      <c r="AA103" s="1061">
        <f>IF($C103&lt;1,"",(AVERAGEIFS('09월 에너지'!$R$14:$R$949,'09월 에너지'!$B$14:$B$949,$A101,'09월 에너지'!$C$14:$C$949,$B103)))</f>
        <v>395.85347469884516</v>
      </c>
      <c r="AB103" s="1062">
        <f>IF($C103&lt;1,"",(AVERAGEIFS('09월 에너지'!$X$14:$X$949,'09월 에너지'!$A$14:$A$949,$A101,'09월 에너지'!$C$14:$C$949,$B103)))</f>
        <v>2.5089779455797321</v>
      </c>
      <c r="AC103" s="1063">
        <f>IF($C103&lt;1,"",(AVERAGEIFS('09월 에너지'!$AC$14:$AC$949,'09월 에너지'!$A$14:$A$949,$A101,'09월 에너지'!$C$14:$C$949,$B103)))</f>
        <v>28.081715825346535</v>
      </c>
      <c r="AD103" s="1064">
        <f>IF($C103&lt;1,"",(AVERAGEIFS('09월 에너지'!$AD$14:$AD$949,'09월 에너지'!$B$14:$B$949,$A101,'09월 에너지'!$C$14:$C$949,$B103)))</f>
        <v>4411.7777777777774</v>
      </c>
      <c r="AE103" s="1065">
        <f>IF($C103&lt;1,"",(AVERAGEIFS('09월 에너지'!$AE$14:$AE$949,'09월 에너지'!$B$14:$B$949,$A101,'09월 에너지'!$C$14:$C$949,$B103)))</f>
        <v>30.590693770926261</v>
      </c>
      <c r="AF103" s="1066">
        <f>IF($C103&lt;1,"",(AVERAGEIFS('09월 에너지'!$AI$14:$AI$949,'09월 에너지'!$B$14:$B$949,$A101,'09월 에너지'!$C$14:$C$949,$B103)))</f>
        <v>173.44444444444446</v>
      </c>
      <c r="AG103" s="1067">
        <f>IF($C103&lt;1,"",(AVERAGEIFS('09월 에너지'!$AJ$14:$AJ$949,'09월 에너지'!$B$14:$B$949,$A101,'09월 에너지'!$C$14:$C$949,$B103)))</f>
        <v>1.2022391906937067</v>
      </c>
    </row>
    <row r="104" spans="1:33" ht="16.5" customHeight="1" thickTop="1" thickBot="1">
      <c r="A104" s="1632"/>
      <c r="B104" s="783" t="s">
        <v>94</v>
      </c>
      <c r="C104" s="784">
        <f>COUNTIFS('09월 조업일지'!$B$12:$B$952,A101,'09월 조업일지'!$E$12:$E$952,B104)</f>
        <v>0</v>
      </c>
      <c r="D104" s="1068" t="str">
        <f t="shared" si="21"/>
        <v/>
      </c>
      <c r="E104" s="1069" t="str">
        <f>IF($C104&lt;1,"",(SUMIFS('09월 조업일지'!$K$12:$K$954,'09월 조업일지'!$B$12:$B$954,$A101,'09월 조업일지'!$E$12:$E$954,$B104)/$C104))</f>
        <v/>
      </c>
      <c r="F104" s="1070" t="str">
        <f>IF($C104&lt;1,"",(AVERAGEIFS('09월 조업일지'!$J$12:$J$954,'09월 조업일지'!$B$12:$B$954,$A101,'09월 조업일지'!$E$12:$E$954,$B104)))</f>
        <v/>
      </c>
      <c r="G104" s="1071" t="str">
        <f>IF($C104&lt;1,"",(AVERAGEIFS('09월 에너지'!$M$14:$M$950,'09월 에너지'!$B$14:$B$950,$A101,'09월 에너지'!$C$14:$C$950,$B104)))</f>
        <v/>
      </c>
      <c r="H104" s="1072" t="str">
        <f>IF($C104&lt;1,"",(AVERAGEIFS('09월 조업일지'!$AJ$12:$AJ$954,'09월 조업일지'!$B$12:$B$954,$A101,'09월 조업일지'!$E$12:$E$954,$B104)))</f>
        <v/>
      </c>
      <c r="I104" s="1073" t="str">
        <f>IF($C104&lt;1,"",(AVERAGEIFS('09월 조업일지'!$AL$12:$AL$954,'09월 조업일지'!$B$12:$B$954,$A101,'09월 조업일지'!$E$12:$E$954,$B104)))</f>
        <v/>
      </c>
      <c r="J104" s="1074" t="str">
        <f>IF($C104&lt;1,"",(AVERAGEIFS('09월 화학성분'!G$12:G$950,'09월 화학성분'!$B$12:$B$950,$A101,'09월 화학성분'!$D$12:$D$950,$B104)))</f>
        <v/>
      </c>
      <c r="K104" s="1075" t="str">
        <f>IF($C104&lt;1,"",(AVERAGEIFS('09월 화학성분'!H$12:H$950,'09월 화학성분'!$B$12:$B$950,$A101,'09월 화학성분'!$D$12:$D$950,$B104)))</f>
        <v/>
      </c>
      <c r="L104" s="1075" t="str">
        <f>IF($C104&lt;1,"",(AVERAGEIFS('09월 화학성분'!I$12:I$950,'09월 화학성분'!$B$12:$B$950,$A101,'09월 화학성분'!$D$12:$D$950,$B104)))</f>
        <v/>
      </c>
      <c r="M104" s="1075" t="str">
        <f>IF($C104&lt;1,"",(AVERAGEIFS('09월 화학성분'!J$12:J$950,'09월 화학성분'!$B$12:$B$950,$A101,'09월 화학성분'!$D$12:$D$950,$B104)))</f>
        <v/>
      </c>
      <c r="N104" s="1075" t="str">
        <f>IF($C104&lt;1,"",(AVERAGEIFS('09월 화학성분'!K$12:K$950,'09월 화학성분'!$B$12:$B$950,$A101,'09월 화학성분'!$D$12:$D$950,$B104)))</f>
        <v/>
      </c>
      <c r="O104" s="1075" t="str">
        <f>IF($C104&lt;1,"",(AVERAGEIFS('09월 화학성분'!L$12:L$950,'09월 화학성분'!$B$12:$B$950,$A101,'09월 화학성분'!$D$12:$D$950,$B104)))</f>
        <v/>
      </c>
      <c r="P104" s="1075" t="str">
        <f>IF($C104&lt;1,"",(AVERAGEIFS('09월 화학성분'!M$12:M$950,'09월 화학성분'!$B$12:$B$950,$A101,'09월 화학성분'!$D$12:$D$950,$B104)))</f>
        <v/>
      </c>
      <c r="Q104" s="1075" t="str">
        <f>IF($C104&lt;1,"",(AVERAGEIFS('09월 조업일지'!$AK$12:$AK$954,'09월 조업일지'!$B$12:$B$954,$A101,'09월 조업일지'!$E$12:$E$954,$B104)))</f>
        <v/>
      </c>
      <c r="R104" s="1075" t="str">
        <f>IF($C104&lt;1,"",(AVERAGEIFS('09월 화학성분'!$G$12:$G$950,'09월 화학성분'!$B$12:$B$950,$A101,'09월 화학성분'!$D$12:$D$950,$B104)))</f>
        <v/>
      </c>
      <c r="S104" s="1076" t="str">
        <f>IF($C104&lt;1,"",(AVERAGEIFS('09월 조업일지'!$AI$12:$AI$954,'09월 조업일지'!$B$12:$B$954,$A101,'09월 조업일지'!$E$12:$E$954,$B104)))</f>
        <v/>
      </c>
      <c r="T104" s="1077" t="str">
        <f>IF($C104&lt;1,"",(AVERAGEIFS('09월 화학성분'!$AM$12:$AM$949,'09월 화학성분'!$B$12:$B$949,$A101,'09월 화학성분'!$D$12:$D$949,$B104)))</f>
        <v/>
      </c>
      <c r="U104" s="1078" t="str">
        <f>IF($C104&lt;1,"",(AVERAGEIFS('09월 고철장입'!$AJ$14:$AJ$949,'09월 고철장입'!$B$14:$B$949,$A101,'09월 고철장입'!$C$14:$C$949,$B104))/1000)</f>
        <v/>
      </c>
      <c r="V104" s="1103" t="str">
        <f>IF($C104&lt;1,"",(AVERAGEIFS('09월 고철장입'!$AK$14:$AK$949,'09월 고철장입'!$B$14:$B$949,$A101,'09월 고철장입'!$C$14:$C$949,$B104)))</f>
        <v/>
      </c>
      <c r="W104" s="1079" t="str">
        <f t="shared" si="20"/>
        <v/>
      </c>
      <c r="X104" s="1080" t="str">
        <f>IF($C104&lt;1,"",(AVERAGEIFS('09월 에너지'!$O$14:$O$949,'09월 에너지'!$A$14:$A$949,$A101,'09월 에너지'!$C$14:$C$949,$B104)))</f>
        <v/>
      </c>
      <c r="Y104" s="1081" t="str">
        <f>IF($C104&lt;1,"",(AVERAGEIFS('09월 에너지'!$P$14:$P$949,'09월 에너지'!$A$14:$A$949,$A101,'09월 에너지'!$C$14:$C$949,$B104)))</f>
        <v/>
      </c>
      <c r="Z104" s="1081" t="str">
        <f>IF($C104&lt;1,"",(AVERAGEIFS('09월 에너지'!$Q$14:$Q$949,'09월 에너지'!$A$14:$A$949,$A101,'09월 에너지'!$C$14:$C$949,$B104)))</f>
        <v/>
      </c>
      <c r="AA104" s="1082" t="str">
        <f>IF($C104&lt;1,"",(AVERAGEIFS('09월 에너지'!$R$14:$R$949,'09월 에너지'!$B$14:$B$949,$A101,'09월 에너지'!$C$14:$C$949,$B104)))</f>
        <v/>
      </c>
      <c r="AB104" s="1083" t="str">
        <f>IF($C104&lt;1,"",(AVERAGEIFS('09월 에너지'!$X$14:$X$949,'09월 에너지'!$A$14:$A$949,$A101,'09월 에너지'!$C$14:$C$949,$B104)))</f>
        <v/>
      </c>
      <c r="AC104" s="1084" t="str">
        <f>IF($C104&lt;1,"",(AVERAGEIFS('09월 에너지'!$AC$14:$AC$949,'09월 에너지'!$A$14:$A$949,$A101,'09월 에너지'!$C$14:$C$949,$B104)))</f>
        <v/>
      </c>
      <c r="AD104" s="1085" t="str">
        <f>IF($C104&lt;1,"",(AVERAGEIFS('09월 에너지'!$AD$14:$AD$949,'09월 에너지'!$B$14:$B$949,$A101,'09월 에너지'!$C$14:$C$949,$B104)))</f>
        <v/>
      </c>
      <c r="AE104" s="1086" t="str">
        <f>IF($C104&lt;1,"",(AVERAGEIFS('09월 에너지'!$AE$14:$AE$949,'09월 에너지'!$B$14:$B$949,$A101,'09월 에너지'!$C$14:$C$949,$B104)))</f>
        <v/>
      </c>
      <c r="AF104" s="1087" t="str">
        <f>IF($C104&lt;1,"",(AVERAGEIFS('09월 에너지'!$AI$14:$AI$949,'09월 에너지'!$B$14:$B$949,$A101,'09월 에너지'!$C$14:$C$949,$B104)))</f>
        <v/>
      </c>
      <c r="AG104" s="1088" t="str">
        <f>IF($C104&lt;1,"",(AVERAGEIFS('09월 에너지'!$AJ$14:$AJ$949,'09월 에너지'!$B$14:$B$949,$A101,'09월 에너지'!$C$14:$C$949,$B104)))</f>
        <v/>
      </c>
    </row>
    <row r="105" spans="1:33" ht="16.5" customHeight="1" thickTop="1" thickBot="1">
      <c r="A105" s="1632">
        <f t="shared" ref="A105" si="29">A101+1</f>
        <v>46291</v>
      </c>
      <c r="B105" s="775" t="s">
        <v>128</v>
      </c>
      <c r="C105" s="776">
        <f>COUNTIFS('09월 조업일지'!$B$12:$B$952,A105,'09월 조업일지'!$E$12:$E$952,B105)</f>
        <v>10</v>
      </c>
      <c r="D105" s="1026">
        <f t="shared" ref="D105:D108" si="30">IF(C105&lt;1,"",F105-E105)</f>
        <v>47.899999999999991</v>
      </c>
      <c r="E105" s="1027">
        <f>IF($C105&lt;1,"",(SUMIFS('09월 조업일지'!$K$12:$K$954,'09월 조업일지'!$B$12:$B$954,$A105,'09월 조업일지'!$E$12:$E$954,$B105)/$C105))</f>
        <v>0</v>
      </c>
      <c r="F105" s="1028">
        <f>IF($C105&lt;1,"",(AVERAGEIFS('09월 조업일지'!$J$12:$J$954,'09월 조업일지'!$B$12:$B$954,$A105,'09월 조업일지'!$E$12:$E$954,$B105)))</f>
        <v>47.899999999999991</v>
      </c>
      <c r="G105" s="1029">
        <f>IF($C105&lt;1,"",(AVERAGEIFS('09월 에너지'!$M$14:$M$950,'09월 에너지'!$B$14:$B$950,$A105,'09월 에너지'!$C$14:$C$950,$B105)))</f>
        <v>46.83</v>
      </c>
      <c r="H105" s="1030">
        <f>IF($C105&lt;1,"",(AVERAGEIFS('09월 조업일지'!$AJ$12:$AJ$954,'09월 조업일지'!$B$12:$B$954,$A105,'09월 조업일지'!$E$12:$E$954,$B105)))</f>
        <v>25.5</v>
      </c>
      <c r="I105" s="1031">
        <f>IF($C105&lt;1,"",(AVERAGEIFS('09월 조업일지'!$AL$12:$AL$954,'09월 조업일지'!$B$12:$B$954,$A105,'09월 조업일지'!$E$12:$E$954,$B105)))</f>
        <v>9.9</v>
      </c>
      <c r="J105" s="1032">
        <f>IF($C105&lt;1,"",(AVERAGEIFS('09월 화학성분'!G$12:G$950,'09월 화학성분'!$B$12:$B$950,$A105,'09월 화학성분'!$D$12:$D$950,$B105)))</f>
        <v>9.4</v>
      </c>
      <c r="K105" s="1033">
        <f>IF($C105&lt;1,"",(AVERAGEIFS('09월 화학성분'!H$12:H$950,'09월 화학성분'!$B$12:$B$950,$A105,'09월 화학성분'!$D$12:$D$950,$B105)))</f>
        <v>23.4</v>
      </c>
      <c r="L105" s="1033">
        <f>IF($C105&lt;1,"",(AVERAGEIFS('09월 화학성분'!I$12:I$950,'09월 화학성분'!$B$12:$B$950,$A105,'09월 화학성분'!$D$12:$D$950,$B105)))</f>
        <v>69.2</v>
      </c>
      <c r="M105" s="1033">
        <f>IF($C105&lt;1,"",(AVERAGEIFS('09월 화학성분'!J$12:J$950,'09월 화학성분'!$B$12:$B$950,$A105,'09월 화학성분'!$D$12:$D$950,$B105)))</f>
        <v>16.3</v>
      </c>
      <c r="N105" s="1033">
        <f>IF($C105&lt;1,"",(AVERAGEIFS('09월 화학성분'!K$12:K$950,'09월 화학성분'!$B$12:$B$950,$A105,'09월 화학성분'!$D$12:$D$950,$B105)))</f>
        <v>33.6</v>
      </c>
      <c r="O105" s="1033">
        <f>IF($C105&lt;1,"",(AVERAGEIFS('09월 화학성분'!L$12:L$950,'09월 화학성분'!$B$12:$B$950,$A105,'09월 화학성분'!$D$12:$D$950,$B105)))</f>
        <v>14.1</v>
      </c>
      <c r="P105" s="1033">
        <f>IF($C105&lt;1,"",(AVERAGEIFS('09월 화학성분'!M$12:M$950,'09월 화학성분'!$B$12:$B$950,$A105,'09월 화학성분'!$D$12:$D$950,$B105)))</f>
        <v>9.5</v>
      </c>
      <c r="Q105" s="1033">
        <f>IF($C105&lt;1,"",(AVERAGEIFS('09월 조업일지'!$AK$12:$AK$954,'09월 조업일지'!$B$12:$B$954,$A105,'09월 조업일지'!$E$12:$E$954,$B105)))</f>
        <v>448.1</v>
      </c>
      <c r="R105" s="1033">
        <f>IF($C105&lt;1,"",(AVERAGEIFS('09월 화학성분'!$G$12:$G$950,'09월 화학성분'!$B$12:$B$950,$A105,'09월 화학성분'!$D$12:$D$950,$B105)))</f>
        <v>9.4</v>
      </c>
      <c r="S105" s="1034">
        <f>IF($C105&lt;1,"",(AVERAGEIFS('09월 조업일지'!$AI$12:$AI$954,'09월 조업일지'!$B$12:$B$954,$A105,'09월 조업일지'!$E$12:$E$954,$B105)))</f>
        <v>1569.8</v>
      </c>
      <c r="T105" s="1035">
        <f>IF($C105&lt;1,"",(AVERAGEIFS('09월 화학성분'!$AM$12:$AM$949,'09월 화학성분'!$B$12:$B$949,$A105,'09월 화학성분'!$D$12:$D$949,$B105)))</f>
        <v>2368.1</v>
      </c>
      <c r="U105" s="1036">
        <f>IF($C105&lt;1,"",(AVERAGEIFS('09월 고철장입'!$AJ$14:$AJ$949,'09월 고철장입'!$B$14:$B$949,$A105,'09월 고철장입'!$C$14:$C$949,$B105))/1000)</f>
        <v>158.30000000000001</v>
      </c>
      <c r="V105" s="1101">
        <f>IF($C105&lt;1,"",(AVERAGEIFS('09월 고철장입'!$AK$14:$AK$949,'09월 고철장입'!$B$14:$B$949,$A105,'09월 고철장입'!$C$14:$C$949,$B105)))</f>
        <v>142.93</v>
      </c>
      <c r="W105" s="1037">
        <f t="shared" ref="W105:W108" si="31">IF(C105&lt;1,"",V105/U105*100)</f>
        <v>90.290587492103597</v>
      </c>
      <c r="X105" s="1038">
        <f>IF($C105&lt;1,"",(AVERAGEIFS('09월 에너지'!$O$14:$O$949,'09월 에너지'!$A$14:$A$949,$A105,'09월 에너지'!$C$14:$C$949,$B105)))</f>
        <v>164.44978924641961</v>
      </c>
      <c r="Y105" s="1039">
        <f>IF($C105&lt;1,"",(AVERAGEIFS('09월 에너지'!$P$14:$P$949,'09월 에너지'!$A$14:$A$949,$A105,'09월 에너지'!$C$14:$C$949,$B105)))</f>
        <v>144.24033604887782</v>
      </c>
      <c r="Z105" s="1039">
        <f>IF($C105&lt;1,"",(AVERAGEIFS('09월 에너지'!$Q$14:$Q$949,'09월 에너지'!$A$14:$A$949,$A105,'09월 에너지'!$C$14:$C$949,$B105)))</f>
        <v>89.0904220148321</v>
      </c>
      <c r="AA105" s="1040">
        <f>IF($C105&lt;1,"",(AVERAGEIFS('09월 에너지'!$R$14:$R$949,'09월 에너지'!$B$14:$B$949,$A105,'09월 에너지'!$C$14:$C$949,$B105)))</f>
        <v>402.78012833604055</v>
      </c>
      <c r="AB105" s="1041">
        <f>IF($C105&lt;1,"",(AVERAGEIFS('09월 에너지'!$X$14:$X$949,'09월 에너지'!$A$14:$A$949,$A105,'09월 에너지'!$C$14:$C$949,$B105)))</f>
        <v>2.9698573758968361</v>
      </c>
      <c r="AC105" s="1042">
        <f>IF($C105&lt;1,"",(AVERAGEIFS('09월 에너지'!$AC$14:$AC$949,'09월 에너지'!$A$14:$A$949,$A105,'09월 에너지'!$C$14:$C$949,$B105)))</f>
        <v>26.429707146300665</v>
      </c>
      <c r="AD105" s="1043">
        <f>IF($C105&lt;1,"",(AVERAGEIFS('09월 에너지'!$AD$14:$AD$949,'09월 에너지'!$B$14:$B$949,$A105,'09월 에너지'!$C$14:$C$949,$B105)))</f>
        <v>4174</v>
      </c>
      <c r="AE105" s="1044">
        <f>IF($C105&lt;1,"",(AVERAGEIFS('09월 에너지'!$AE$14:$AE$949,'09월 에너지'!$B$14:$B$949,$A105,'09월 에너지'!$C$14:$C$949,$B105)))</f>
        <v>29.204934816617794</v>
      </c>
      <c r="AF105" s="1045">
        <f>IF($C105&lt;1,"",(AVERAGEIFS('09월 에너지'!$AI$14:$AI$949,'09월 에너지'!$B$14:$B$949,$A105,'09월 에너지'!$C$14:$C$949,$B105)))</f>
        <v>146.19999999999999</v>
      </c>
      <c r="AG105" s="1046">
        <f>IF($C105&lt;1,"",(AVERAGEIFS('09월 에너지'!$AJ$14:$AJ$949,'09월 에너지'!$B$14:$B$949,$A105,'09월 에너지'!$C$14:$C$949,$B105)))</f>
        <v>1.0231694123160242</v>
      </c>
    </row>
    <row r="106" spans="1:33" ht="16.5" customHeight="1" thickTop="1" thickBot="1">
      <c r="A106" s="1632"/>
      <c r="B106" s="781" t="s">
        <v>100</v>
      </c>
      <c r="C106" s="782">
        <f>COUNTIFS('09월 조업일지'!$B$12:$B$952,A105,'09월 조업일지'!$E$12:$E$952,B106)</f>
        <v>10</v>
      </c>
      <c r="D106" s="1047">
        <f t="shared" si="30"/>
        <v>47.1</v>
      </c>
      <c r="E106" s="1048">
        <f>IF($C106&lt;1,"",(SUMIFS('09월 조업일지'!$K$12:$K$954,'09월 조업일지'!$B$12:$B$954,$A105,'09월 조업일지'!$E$12:$E$954,$B106)/$C106))</f>
        <v>0.9</v>
      </c>
      <c r="F106" s="1049">
        <f>IF($C106&lt;1,"",(AVERAGEIFS('09월 조업일지'!$J$12:$J$954,'09월 조업일지'!$B$12:$B$954,$A105,'09월 조업일지'!$E$12:$E$954,$B106)))</f>
        <v>48</v>
      </c>
      <c r="G106" s="1050">
        <f>IF($C106&lt;1,"",(AVERAGEIFS('09월 에너지'!$M$14:$M$950,'09월 에너지'!$B$14:$B$950,$A105,'09월 에너지'!$C$14:$C$950,$B106)))</f>
        <v>45.599999999999994</v>
      </c>
      <c r="H106" s="1051">
        <f>IF($C106&lt;1,"",(AVERAGEIFS('09월 조업일지'!$AJ$12:$AJ$954,'09월 조업일지'!$B$12:$B$954,$A105,'09월 조업일지'!$E$12:$E$954,$B106)))</f>
        <v>6.5</v>
      </c>
      <c r="I106" s="1052">
        <f>IF($C106&lt;1,"",(AVERAGEIFS('09월 조업일지'!$AL$12:$AL$954,'09월 조업일지'!$B$12:$B$954,$A105,'09월 조업일지'!$E$12:$E$954,$B106)))</f>
        <v>5.8</v>
      </c>
      <c r="J106" s="1053">
        <f>IF($C106&lt;1,"",(AVERAGEIFS('09월 화학성분'!G$12:G$950,'09월 화학성분'!$B$12:$B$950,$A105,'09월 화학성분'!$D$12:$D$950,$B106)))</f>
        <v>10.4</v>
      </c>
      <c r="K106" s="1054">
        <f>IF($C106&lt;1,"",(AVERAGEIFS('09월 화학성분'!H$12:H$950,'09월 화학성분'!$B$12:$B$950,$A105,'09월 화학성분'!$D$12:$D$950,$B106)))</f>
        <v>21.7</v>
      </c>
      <c r="L106" s="1054">
        <f>IF($C106&lt;1,"",(AVERAGEIFS('09월 화학성분'!I$12:I$950,'09월 화학성분'!$B$12:$B$950,$A105,'09월 화학성분'!$D$12:$D$950,$B106)))</f>
        <v>125.2</v>
      </c>
      <c r="M106" s="1054">
        <f>IF($C106&lt;1,"",(AVERAGEIFS('09월 화학성분'!J$12:J$950,'09월 화학성분'!$B$12:$B$950,$A105,'09월 화학성분'!$D$12:$D$950,$B106)))</f>
        <v>15.2</v>
      </c>
      <c r="N106" s="1054">
        <f>IF($C106&lt;1,"",(AVERAGEIFS('09월 화학성분'!K$12:K$950,'09월 화학성분'!$B$12:$B$950,$A105,'09월 화학성분'!$D$12:$D$950,$B106)))</f>
        <v>29.7</v>
      </c>
      <c r="O106" s="1054">
        <f>IF($C106&lt;1,"",(AVERAGEIFS('09월 화학성분'!L$12:L$950,'09월 화학성분'!$B$12:$B$950,$A105,'09월 화학성분'!$D$12:$D$950,$B106)))</f>
        <v>14</v>
      </c>
      <c r="P106" s="1054">
        <f>IF($C106&lt;1,"",(AVERAGEIFS('09월 화학성분'!M$12:M$950,'09월 화학성분'!$B$12:$B$950,$A105,'09월 화학성분'!$D$12:$D$950,$B106)))</f>
        <v>10.3</v>
      </c>
      <c r="Q106" s="1054">
        <f>IF($C106&lt;1,"",(AVERAGEIFS('09월 조업일지'!$AK$12:$AK$954,'09월 조업일지'!$B$12:$B$954,$A105,'09월 조업일지'!$E$12:$E$954,$B106)))</f>
        <v>763.9</v>
      </c>
      <c r="R106" s="1054">
        <f>IF($C106&lt;1,"",(AVERAGEIFS('09월 화학성분'!$G$12:$G$950,'09월 화학성분'!$B$12:$B$950,$A105,'09월 화학성분'!$D$12:$D$950,$B106)))</f>
        <v>10.4</v>
      </c>
      <c r="S106" s="1055">
        <f>IF($C106&lt;1,"",(AVERAGEIFS('09월 조업일지'!$AI$12:$AI$954,'09월 조업일지'!$B$12:$B$954,$A105,'09월 조업일지'!$E$12:$E$954,$B106)))</f>
        <v>1562.8</v>
      </c>
      <c r="T106" s="1056">
        <f>IF($C106&lt;1,"",(AVERAGEIFS('09월 화학성분'!$AM$12:$AM$949,'09월 화학성분'!$B$12:$B$949,$A105,'09월 화학성분'!$D$12:$D$949,$B106)))</f>
        <v>1961.2</v>
      </c>
      <c r="U106" s="1057">
        <f>IF($C106&lt;1,"",(AVERAGEIFS('09월 고철장입'!$AJ$14:$AJ$949,'09월 고철장입'!$B$14:$B$949,$A105,'09월 고철장입'!$C$14:$C$949,$B106))/1000)</f>
        <v>158.4</v>
      </c>
      <c r="V106" s="1102">
        <f>IF($C106&lt;1,"",(AVERAGEIFS('09월 고철장입'!$AK$14:$AK$949,'09월 고철장입'!$B$14:$B$949,$A105,'09월 고철장입'!$C$14:$C$949,$B106)))</f>
        <v>142.62000000000003</v>
      </c>
      <c r="W106" s="1058">
        <f t="shared" si="31"/>
        <v>90.037878787878796</v>
      </c>
      <c r="X106" s="1059">
        <f>IF($C106&lt;1,"",(AVERAGEIFS('09월 에너지'!$O$14:$O$949,'09월 에너지'!$A$14:$A$949,$A105,'09월 에너지'!$C$14:$C$949,$B106)))</f>
        <v>164.14721360492635</v>
      </c>
      <c r="Y106" s="1060">
        <f>IF($C106&lt;1,"",(AVERAGEIFS('09월 에너지'!$P$14:$P$949,'09월 에너지'!$A$14:$A$949,$A105,'09월 에너지'!$C$14:$C$949,$B106)))</f>
        <v>144.23567315165457</v>
      </c>
      <c r="Z106" s="1060">
        <f>IF($C106&lt;1,"",(AVERAGEIFS('09월 에너지'!$Q$14:$Q$949,'09월 에너지'!$A$14:$A$949,$A105,'09월 에너지'!$C$14:$C$949,$B106)))</f>
        <v>84.688919996237431</v>
      </c>
      <c r="AA106" s="1061">
        <f>IF($C106&lt;1,"",(AVERAGEIFS('09월 에너지'!$R$14:$R$949,'09월 에너지'!$B$14:$B$949,$A105,'09월 에너지'!$C$14:$C$949,$B106)))</f>
        <v>393.0718067528183</v>
      </c>
      <c r="AB106" s="1062">
        <f>IF($C106&lt;1,"",(AVERAGEIFS('09월 에너지'!$X$14:$X$949,'09월 에너지'!$A$14:$A$949,$A105,'09월 에너지'!$C$14:$C$949,$B106)))</f>
        <v>2.5896372118131294</v>
      </c>
      <c r="AC106" s="1063">
        <f>IF($C106&lt;1,"",(AVERAGEIFS('09월 에너지'!$AC$14:$AC$949,'09월 에너지'!$A$14:$A$949,$A105,'09월 에너지'!$C$14:$C$949,$B106)))</f>
        <v>25.883771612949364</v>
      </c>
      <c r="AD106" s="1064">
        <f>IF($C106&lt;1,"",(AVERAGEIFS('09월 에너지'!$AD$14:$AD$949,'09월 에너지'!$B$14:$B$949,$A105,'09월 에너지'!$C$14:$C$949,$B106)))</f>
        <v>4061.3</v>
      </c>
      <c r="AE106" s="1065">
        <f>IF($C106&lt;1,"",(AVERAGEIFS('09월 에너지'!$AE$14:$AE$949,'09월 에너지'!$B$14:$B$949,$A105,'09월 에너지'!$C$14:$C$949,$B106)))</f>
        <v>28.473408824762487</v>
      </c>
      <c r="AF106" s="1066">
        <f>IF($C106&lt;1,"",(AVERAGEIFS('09월 에너지'!$AI$14:$AI$949,'09월 에너지'!$B$14:$B$949,$A105,'09월 에너지'!$C$14:$C$949,$B106)))</f>
        <v>149.1</v>
      </c>
      <c r="AG106" s="1067">
        <f>IF($C106&lt;1,"",(AVERAGEIFS('09월 에너지'!$AJ$14:$AJ$949,'09월 에너지'!$B$14:$B$949,$A105,'09월 에너지'!$C$14:$C$949,$B106)))</f>
        <v>1.0453273733710529</v>
      </c>
    </row>
    <row r="107" spans="1:33" ht="16.5" customHeight="1" thickTop="1" thickBot="1">
      <c r="A107" s="1632"/>
      <c r="B107" s="781" t="s">
        <v>93</v>
      </c>
      <c r="C107" s="782">
        <f>COUNTIFS('09월 조업일지'!$B$12:$B$952,A105,'09월 조업일지'!$E$12:$E$952,B107)</f>
        <v>0</v>
      </c>
      <c r="D107" s="1047" t="str">
        <f t="shared" si="30"/>
        <v/>
      </c>
      <c r="E107" s="1048" t="str">
        <f>IF($C107&lt;1,"",(SUMIFS('09월 조업일지'!$K$12:$K$954,'09월 조업일지'!$B$12:$B$954,$A105,'09월 조업일지'!$E$12:$E$954,$B107)/$C107))</f>
        <v/>
      </c>
      <c r="F107" s="1049" t="str">
        <f>IF($C107&lt;1,"",(AVERAGEIFS('09월 조업일지'!$J$12:$J$954,'09월 조업일지'!$B$12:$B$954,$A105,'09월 조업일지'!$E$12:$E$954,$B107)))</f>
        <v/>
      </c>
      <c r="G107" s="1050" t="str">
        <f>IF($C107&lt;1,"",(AVERAGEIFS('09월 에너지'!$M$14:$M$950,'09월 에너지'!$B$14:$B$950,$A105,'09월 에너지'!$C$14:$C$950,$B107)))</f>
        <v/>
      </c>
      <c r="H107" s="1051" t="str">
        <f>IF($C107&lt;1,"",(AVERAGEIFS('09월 조업일지'!$AJ$12:$AJ$954,'09월 조업일지'!$B$12:$B$954,$A105,'09월 조업일지'!$E$12:$E$954,$B107)))</f>
        <v/>
      </c>
      <c r="I107" s="1052" t="str">
        <f>IF($C107&lt;1,"",(AVERAGEIFS('09월 조업일지'!$AL$12:$AL$954,'09월 조업일지'!$B$12:$B$954,$A105,'09월 조업일지'!$E$12:$E$954,$B107)))</f>
        <v/>
      </c>
      <c r="J107" s="1053" t="str">
        <f>IF($C107&lt;1,"",(AVERAGEIFS('09월 화학성분'!G$12:G$950,'09월 화학성분'!$B$12:$B$950,$A105,'09월 화학성분'!$D$12:$D$950,$B107)))</f>
        <v/>
      </c>
      <c r="K107" s="1054" t="str">
        <f>IF($C107&lt;1,"",(AVERAGEIFS('09월 화학성분'!H$12:H$950,'09월 화학성분'!$B$12:$B$950,$A105,'09월 화학성분'!$D$12:$D$950,$B107)))</f>
        <v/>
      </c>
      <c r="L107" s="1054" t="str">
        <f>IF($C107&lt;1,"",(AVERAGEIFS('09월 화학성분'!I$12:I$950,'09월 화학성분'!$B$12:$B$950,$A105,'09월 화학성분'!$D$12:$D$950,$B107)))</f>
        <v/>
      </c>
      <c r="M107" s="1054" t="str">
        <f>IF($C107&lt;1,"",(AVERAGEIFS('09월 화학성분'!J$12:J$950,'09월 화학성분'!$B$12:$B$950,$A105,'09월 화학성분'!$D$12:$D$950,$B107)))</f>
        <v/>
      </c>
      <c r="N107" s="1054" t="str">
        <f>IF($C107&lt;1,"",(AVERAGEIFS('09월 화학성분'!K$12:K$950,'09월 화학성분'!$B$12:$B$950,$A105,'09월 화학성분'!$D$12:$D$950,$B107)))</f>
        <v/>
      </c>
      <c r="O107" s="1054" t="str">
        <f>IF($C107&lt;1,"",(AVERAGEIFS('09월 화학성분'!L$12:L$950,'09월 화학성분'!$B$12:$B$950,$A105,'09월 화학성분'!$D$12:$D$950,$B107)))</f>
        <v/>
      </c>
      <c r="P107" s="1054" t="str">
        <f>IF($C107&lt;1,"",(AVERAGEIFS('09월 화학성분'!M$12:M$950,'09월 화학성분'!$B$12:$B$950,$A105,'09월 화학성분'!$D$12:$D$950,$B107)))</f>
        <v/>
      </c>
      <c r="Q107" s="1054" t="str">
        <f>IF($C107&lt;1,"",(AVERAGEIFS('09월 조업일지'!$AK$12:$AK$954,'09월 조업일지'!$B$12:$B$954,$A105,'09월 조업일지'!$E$12:$E$954,$B107)))</f>
        <v/>
      </c>
      <c r="R107" s="1054" t="str">
        <f>IF($C107&lt;1,"",(AVERAGEIFS('09월 화학성분'!$G$12:$G$950,'09월 화학성분'!$B$12:$B$950,$A105,'09월 화학성분'!$D$12:$D$950,$B107)))</f>
        <v/>
      </c>
      <c r="S107" s="1055" t="str">
        <f>IF($C107&lt;1,"",(AVERAGEIFS('09월 조업일지'!$AI$12:$AI$954,'09월 조업일지'!$B$12:$B$954,$A105,'09월 조업일지'!$E$12:$E$954,$B107)))</f>
        <v/>
      </c>
      <c r="T107" s="1056" t="str">
        <f>IF($C107&lt;1,"",(AVERAGEIFS('09월 화학성분'!$AM$12:$AM$949,'09월 화학성분'!$B$12:$B$949,$A105,'09월 화학성분'!$D$12:$D$949,$B107)))</f>
        <v/>
      </c>
      <c r="U107" s="1057" t="str">
        <f>IF($C107&lt;1,"",(AVERAGEIFS('09월 고철장입'!$AJ$14:$AJ$949,'09월 고철장입'!$B$14:$B$949,$A105,'09월 고철장입'!$C$14:$C$949,$B107))/1000)</f>
        <v/>
      </c>
      <c r="V107" s="1102" t="str">
        <f>IF($C107&lt;1,"",(AVERAGEIFS('09월 고철장입'!$AK$14:$AK$949,'09월 고철장입'!$B$14:$B$949,$A105,'09월 고철장입'!$C$14:$C$949,$B107)))</f>
        <v/>
      </c>
      <c r="W107" s="1058" t="str">
        <f t="shared" si="31"/>
        <v/>
      </c>
      <c r="X107" s="1059" t="str">
        <f>IF($C107&lt;1,"",(AVERAGEIFS('09월 에너지'!$O$14:$O$949,'09월 에너지'!$A$14:$A$949,$A105,'09월 에너지'!$C$14:$C$949,$B107)))</f>
        <v/>
      </c>
      <c r="Y107" s="1060" t="str">
        <f>IF($C107&lt;1,"",(AVERAGEIFS('09월 에너지'!$P$14:$P$949,'09월 에너지'!$A$14:$A$949,$A105,'09월 에너지'!$C$14:$C$949,$B107)))</f>
        <v/>
      </c>
      <c r="Z107" s="1060" t="str">
        <f>IF($C107&lt;1,"",(AVERAGEIFS('09월 에너지'!$Q$14:$Q$949,'09월 에너지'!$A$14:$A$949,$A105,'09월 에너지'!$C$14:$C$949,$B107)))</f>
        <v/>
      </c>
      <c r="AA107" s="1061" t="str">
        <f>IF($C107&lt;1,"",(AVERAGEIFS('09월 에너지'!$R$14:$R$949,'09월 에너지'!$B$14:$B$949,$A105,'09월 에너지'!$C$14:$C$949,$B107)))</f>
        <v/>
      </c>
      <c r="AB107" s="1062" t="str">
        <f>IF($C107&lt;1,"",(AVERAGEIFS('09월 에너지'!$X$14:$X$949,'09월 에너지'!$A$14:$A$949,$A105,'09월 에너지'!$C$14:$C$949,$B107)))</f>
        <v/>
      </c>
      <c r="AC107" s="1063" t="str">
        <f>IF($C107&lt;1,"",(AVERAGEIFS('09월 에너지'!$AC$14:$AC$949,'09월 에너지'!$A$14:$A$949,$A105,'09월 에너지'!$C$14:$C$949,$B107)))</f>
        <v/>
      </c>
      <c r="AD107" s="1064" t="str">
        <f>IF($C107&lt;1,"",(AVERAGEIFS('09월 에너지'!$AD$14:$AD$949,'09월 에너지'!$B$14:$B$949,$A105,'09월 에너지'!$C$14:$C$949,$B107)))</f>
        <v/>
      </c>
      <c r="AE107" s="1065" t="str">
        <f>IF($C107&lt;1,"",(AVERAGEIFS('09월 에너지'!$AE$14:$AE$949,'09월 에너지'!$B$14:$B$949,$A105,'09월 에너지'!$C$14:$C$949,$B107)))</f>
        <v/>
      </c>
      <c r="AF107" s="1066" t="str">
        <f>IF($C107&lt;1,"",(AVERAGEIFS('09월 에너지'!$AI$14:$AI$949,'09월 에너지'!$B$14:$B$949,$A105,'09월 에너지'!$C$14:$C$949,$B107)))</f>
        <v/>
      </c>
      <c r="AG107" s="1067" t="str">
        <f>IF($C107&lt;1,"",(AVERAGEIFS('09월 에너지'!$AJ$14:$AJ$949,'09월 에너지'!$B$14:$B$949,$A105,'09월 에너지'!$C$14:$C$949,$B107)))</f>
        <v/>
      </c>
    </row>
    <row r="108" spans="1:33" ht="16.5" customHeight="1" thickTop="1" thickBot="1">
      <c r="A108" s="1632"/>
      <c r="B108" s="783" t="s">
        <v>94</v>
      </c>
      <c r="C108" s="784">
        <f>COUNTIFS('09월 조업일지'!$B$12:$B$952,A105,'09월 조업일지'!$E$12:$E$952,B108)</f>
        <v>10</v>
      </c>
      <c r="D108" s="1068">
        <f t="shared" si="30"/>
        <v>47.300000000000018</v>
      </c>
      <c r="E108" s="1069">
        <f>IF($C108&lt;1,"",(SUMIFS('09월 조업일지'!$K$12:$K$954,'09월 조업일지'!$B$12:$B$954,$A105,'09월 조업일지'!$E$12:$E$954,$B108)/$C108))</f>
        <v>0</v>
      </c>
      <c r="F108" s="1070">
        <f>IF($C108&lt;1,"",(AVERAGEIFS('09월 조업일지'!$J$12:$J$954,'09월 조업일지'!$B$12:$B$954,$A105,'09월 조업일지'!$E$12:$E$954,$B108)))</f>
        <v>47.300000000000018</v>
      </c>
      <c r="G108" s="1071">
        <f>IF($C108&lt;1,"",(AVERAGEIFS('09월 에너지'!$M$14:$M$950,'09월 에너지'!$B$14:$B$950,$A105,'09월 에너지'!$C$14:$C$950,$B108)))</f>
        <v>46.190000000000005</v>
      </c>
      <c r="H108" s="1072">
        <f>IF($C108&lt;1,"",(AVERAGEIFS('09월 조업일지'!$AJ$12:$AJ$954,'09월 조업일지'!$B$12:$B$954,$A105,'09월 조업일지'!$E$12:$E$954,$B108)))</f>
        <v>16.5</v>
      </c>
      <c r="I108" s="1073">
        <f>IF($C108&lt;1,"",(AVERAGEIFS('09월 조업일지'!$AL$12:$AL$954,'09월 조업일지'!$B$12:$B$954,$A105,'09월 조업일지'!$E$12:$E$954,$B108)))</f>
        <v>6.625</v>
      </c>
      <c r="J108" s="1074">
        <f>IF($C108&lt;1,"",(AVERAGEIFS('09월 화학성분'!G$12:G$950,'09월 화학성분'!$B$12:$B$950,$A105,'09월 화학성분'!$D$12:$D$950,$B108)))</f>
        <v>8.8000000000000007</v>
      </c>
      <c r="K108" s="1075">
        <f>IF($C108&lt;1,"",(AVERAGEIFS('09월 화학성분'!H$12:H$950,'09월 화학성분'!$B$12:$B$950,$A105,'09월 화학성분'!$D$12:$D$950,$B108)))</f>
        <v>20.399999999999999</v>
      </c>
      <c r="L108" s="1075">
        <f>IF($C108&lt;1,"",(AVERAGEIFS('09월 화학성분'!I$12:I$950,'09월 화학성분'!$B$12:$B$950,$A105,'09월 화학성분'!$D$12:$D$950,$B108)))</f>
        <v>75.7</v>
      </c>
      <c r="M108" s="1075">
        <f>IF($C108&lt;1,"",(AVERAGEIFS('09월 화학성분'!J$12:J$950,'09월 화학성분'!$B$12:$B$950,$A105,'09월 화학성분'!$D$12:$D$950,$B108)))</f>
        <v>14.1</v>
      </c>
      <c r="N108" s="1075">
        <f>IF($C108&lt;1,"",(AVERAGEIFS('09월 화학성분'!K$12:K$950,'09월 화학성분'!$B$12:$B$950,$A105,'09월 화학성분'!$D$12:$D$950,$B108)))</f>
        <v>30.8</v>
      </c>
      <c r="O108" s="1075">
        <f>IF($C108&lt;1,"",(AVERAGEIFS('09월 화학성분'!L$12:L$950,'09월 화학성분'!$B$12:$B$950,$A105,'09월 화학성분'!$D$12:$D$950,$B108)))</f>
        <v>12.8</v>
      </c>
      <c r="P108" s="1075">
        <f>IF($C108&lt;1,"",(AVERAGEIFS('09월 화학성분'!M$12:M$950,'09월 화학성분'!$B$12:$B$950,$A105,'09월 화학성분'!$D$12:$D$950,$B108)))</f>
        <v>10.5</v>
      </c>
      <c r="Q108" s="1075">
        <f>IF($C108&lt;1,"",(AVERAGEIFS('09월 조업일지'!$AK$12:$AK$954,'09월 조업일지'!$B$12:$B$954,$A105,'09월 조업일지'!$E$12:$E$954,$B108)))</f>
        <v>650.375</v>
      </c>
      <c r="R108" s="1075">
        <f>IF($C108&lt;1,"",(AVERAGEIFS('09월 화학성분'!$G$12:$G$950,'09월 화학성분'!$B$12:$B$950,$A105,'09월 화학성분'!$D$12:$D$950,$B108)))</f>
        <v>8.8000000000000007</v>
      </c>
      <c r="S108" s="1076">
        <f>IF($C108&lt;1,"",(AVERAGEIFS('09월 조업일지'!$AI$12:$AI$954,'09월 조업일지'!$B$12:$B$954,$A105,'09월 조업일지'!$E$12:$E$954,$B108)))</f>
        <v>1577.3</v>
      </c>
      <c r="T108" s="1077">
        <f>IF($C108&lt;1,"",(AVERAGEIFS('09월 화학성분'!$AM$12:$AM$949,'09월 화학성분'!$B$12:$B$949,$A105,'09월 화학성분'!$D$12:$D$949,$B108)))</f>
        <v>1988.6</v>
      </c>
      <c r="U108" s="1078">
        <f>IF($C108&lt;1,"",(AVERAGEIFS('09월 고철장입'!$AJ$14:$AJ$949,'09월 고철장입'!$B$14:$B$949,$A105,'09월 고철장입'!$C$14:$C$949,$B108))/1000)</f>
        <v>158.77000000000001</v>
      </c>
      <c r="V108" s="1103">
        <f>IF($C108&lt;1,"",(AVERAGEIFS('09월 고철장입'!$AK$14:$AK$949,'09월 고철장입'!$B$14:$B$949,$A105,'09월 고철장입'!$C$14:$C$949,$B108)))</f>
        <v>143.06</v>
      </c>
      <c r="W108" s="1079">
        <f t="shared" si="31"/>
        <v>90.105183598916668</v>
      </c>
      <c r="X108" s="1080">
        <f>IF($C108&lt;1,"",(AVERAGEIFS('09월 에너지'!$O$14:$O$949,'09월 에너지'!$A$14:$A$949,$A105,'09월 에너지'!$C$14:$C$949,$B108)))</f>
        <v>158.57763356380715</v>
      </c>
      <c r="Y108" s="1081">
        <f>IF($C108&lt;1,"",(AVERAGEIFS('09월 에너지'!$P$14:$P$949,'09월 에너지'!$A$14:$A$949,$A105,'09월 에너지'!$C$14:$C$949,$B108)))</f>
        <v>144.3309997685796</v>
      </c>
      <c r="Z108" s="1081">
        <f>IF($C108&lt;1,"",(AVERAGEIFS('09월 에너지'!$Q$14:$Q$949,'09월 에너지'!$A$14:$A$949,$A105,'09월 에너지'!$C$14:$C$949,$B108)))</f>
        <v>92.134268799903566</v>
      </c>
      <c r="AA108" s="1082">
        <f>IF($C108&lt;1,"",(AVERAGEIFS('09월 에너지'!$R$14:$R$949,'09월 에너지'!$B$14:$B$949,$A105,'09월 에너지'!$C$14:$C$949,$B108)))</f>
        <v>395.04290213229024</v>
      </c>
      <c r="AB108" s="1083">
        <f>IF($C108&lt;1,"",(AVERAGEIFS('09월 에너지'!$X$14:$X$949,'09월 에너지'!$A$14:$A$949,$A105,'09월 에너지'!$C$14:$C$949,$B108)))</f>
        <v>2.3725637608686001</v>
      </c>
      <c r="AC108" s="1084">
        <f>IF($C108&lt;1,"",(AVERAGEIFS('09월 에너지'!$AC$14:$AC$949,'09월 에너지'!$A$14:$A$949,$A105,'09월 에너지'!$C$14:$C$949,$B108)))</f>
        <v>26.612664378257726</v>
      </c>
      <c r="AD108" s="1085">
        <f>IF($C108&lt;1,"",(AVERAGEIFS('09월 에너지'!$AD$14:$AD$949,'09월 에너지'!$B$14:$B$949,$A105,'09월 에너지'!$C$14:$C$949,$B108)))</f>
        <v>4145.8999999999996</v>
      </c>
      <c r="AE108" s="1086">
        <f>IF($C108&lt;1,"",(AVERAGEIFS('09월 에너지'!$AE$14:$AE$949,'09월 에너지'!$B$14:$B$949,$A105,'09월 에너지'!$C$14:$C$949,$B108)))</f>
        <v>28.98522813912632</v>
      </c>
      <c r="AF108" s="1087">
        <f>IF($C108&lt;1,"",(AVERAGEIFS('09월 에너지'!$AI$14:$AI$949,'09월 에너지'!$B$14:$B$949,$A105,'09월 에너지'!$C$14:$C$949,$B108)))</f>
        <v>152.6</v>
      </c>
      <c r="AG108" s="1088">
        <f>IF($C108&lt;1,"",(AVERAGEIFS('09월 에너지'!$AJ$14:$AJ$949,'09월 에너지'!$B$14:$B$949,$A105,'09월 에너지'!$C$14:$C$949,$B108)))</f>
        <v>1.0669485422505152</v>
      </c>
    </row>
    <row r="109" spans="1:33" ht="16.5" customHeight="1" thickTop="1" thickBot="1">
      <c r="A109" s="1632">
        <f t="shared" ref="A109" si="32">A105+1</f>
        <v>46292</v>
      </c>
      <c r="B109" s="775" t="s">
        <v>128</v>
      </c>
      <c r="C109" s="776">
        <f>COUNTIFS('09월 조업일지'!$B$12:$B$952,A109,'09월 조업일지'!$E$12:$E$952,B109)</f>
        <v>10</v>
      </c>
      <c r="D109" s="1026">
        <f t="shared" si="21"/>
        <v>47.2</v>
      </c>
      <c r="E109" s="1027">
        <f>IF($C109&lt;1,"",(SUMIFS('09월 조업일지'!$K$12:$K$954,'09월 조업일지'!$B$12:$B$954,$A109,'09월 조업일지'!$E$12:$E$954,$B109)/$C109))</f>
        <v>0</v>
      </c>
      <c r="F109" s="1028">
        <f>IF($C109&lt;1,"",(AVERAGEIFS('09월 조업일지'!$J$12:$J$954,'09월 조업일지'!$B$12:$B$954,$A109,'09월 조업일지'!$E$12:$E$954,$B109)))</f>
        <v>47.2</v>
      </c>
      <c r="G109" s="1029">
        <f>IF($C109&lt;1,"",(AVERAGEIFS('09월 에너지'!$M$14:$M$950,'09월 에너지'!$B$14:$B$950,$A109,'09월 에너지'!$C$14:$C$950,$B109)))</f>
        <v>46.25</v>
      </c>
      <c r="H109" s="1030">
        <f>IF($C109&lt;1,"",(AVERAGEIFS('09월 조업일지'!$AJ$12:$AJ$954,'09월 조업일지'!$B$12:$B$954,$A109,'09월 조업일지'!$E$12:$E$954,$B109)))</f>
        <v>33.700000000000003</v>
      </c>
      <c r="I109" s="1031">
        <f>IF($C109&lt;1,"",(AVERAGEIFS('09월 조업일지'!$AL$12:$AL$954,'09월 조업일지'!$B$12:$B$954,$A109,'09월 조업일지'!$E$12:$E$954,$B109)))</f>
        <v>8.1111111111111107</v>
      </c>
      <c r="J109" s="1032">
        <f>IF($C109&lt;1,"",(AVERAGEIFS('09월 화학성분'!G$12:G$950,'09월 화학성분'!$B$12:$B$950,$A109,'09월 화학성분'!$D$12:$D$950,$B109)))</f>
        <v>8.4</v>
      </c>
      <c r="K109" s="1033">
        <f>IF($C109&lt;1,"",(AVERAGEIFS('09월 화학성분'!H$12:H$950,'09월 화학성분'!$B$12:$B$950,$A109,'09월 화학성분'!$D$12:$D$950,$B109)))</f>
        <v>21</v>
      </c>
      <c r="L109" s="1033">
        <f>IF($C109&lt;1,"",(AVERAGEIFS('09월 화학성분'!I$12:I$950,'09월 화학성분'!$B$12:$B$950,$A109,'09월 화학성분'!$D$12:$D$950,$B109)))</f>
        <v>53.2</v>
      </c>
      <c r="M109" s="1033">
        <f>IF($C109&lt;1,"",(AVERAGEIFS('09월 화학성분'!J$12:J$950,'09월 화학성분'!$B$12:$B$950,$A109,'09월 화학성분'!$D$12:$D$950,$B109)))</f>
        <v>16.899999999999999</v>
      </c>
      <c r="N109" s="1033">
        <f>IF($C109&lt;1,"",(AVERAGEIFS('09월 화학성분'!K$12:K$950,'09월 화학성분'!$B$12:$B$950,$A109,'09월 화학성분'!$D$12:$D$950,$B109)))</f>
        <v>30.8</v>
      </c>
      <c r="O109" s="1033">
        <f>IF($C109&lt;1,"",(AVERAGEIFS('09월 화학성분'!L$12:L$950,'09월 화학성분'!$B$12:$B$950,$A109,'09월 화학성분'!$D$12:$D$950,$B109)))</f>
        <v>15</v>
      </c>
      <c r="P109" s="1033">
        <f>IF($C109&lt;1,"",(AVERAGEIFS('09월 화학성분'!M$12:M$950,'09월 화학성분'!$B$12:$B$950,$A109,'09월 화학성분'!$D$12:$D$950,$B109)))</f>
        <v>10.1</v>
      </c>
      <c r="Q109" s="1033">
        <f>IF($C109&lt;1,"",(AVERAGEIFS('09월 조업일지'!$AK$12:$AK$954,'09월 조업일지'!$B$12:$B$954,$A109,'09월 조업일지'!$E$12:$E$954,$B109)))</f>
        <v>560.88888888888891</v>
      </c>
      <c r="R109" s="1033">
        <f>IF($C109&lt;1,"",(AVERAGEIFS('09월 화학성분'!$G$12:$G$950,'09월 화학성분'!$B$12:$B$950,$A109,'09월 화학성분'!$D$12:$D$950,$B109)))</f>
        <v>8.4</v>
      </c>
      <c r="S109" s="1034">
        <f>IF($C109&lt;1,"",(AVERAGEIFS('09월 조업일지'!$AI$12:$AI$954,'09월 조업일지'!$B$12:$B$954,$A109,'09월 조업일지'!$E$12:$E$954,$B109)))</f>
        <v>1569.1</v>
      </c>
      <c r="T109" s="1035">
        <f>IF($C109&lt;1,"",(AVERAGEIFS('09월 화학성분'!$AM$12:$AM$949,'09월 화학성분'!$B$12:$B$949,$A109,'09월 화학성분'!$D$12:$D$949,$B109)))</f>
        <v>2296.1999999999998</v>
      </c>
      <c r="U109" s="1036">
        <f>IF($C109&lt;1,"",(AVERAGEIFS('09월 고철장입'!$AJ$14:$AJ$949,'09월 고철장입'!$B$14:$B$949,$A109,'09월 고철장입'!$C$14:$C$949,$B109))/1000)</f>
        <v>158.44</v>
      </c>
      <c r="V109" s="1101">
        <f>IF($C109&lt;1,"",(AVERAGEIFS('09월 고철장입'!$AK$14:$AK$949,'09월 고철장입'!$B$14:$B$949,$A109,'09월 고철장입'!$C$14:$C$949,$B109)))</f>
        <v>142.56</v>
      </c>
      <c r="W109" s="1037">
        <f t="shared" si="20"/>
        <v>89.97727846503409</v>
      </c>
      <c r="X109" s="1038">
        <f>IF($C109&lt;1,"",(AVERAGEIFS('09월 에너지'!$O$14:$O$949,'09월 에너지'!$A$14:$A$949,$A109,'09월 에너지'!$C$14:$C$949,$B109)))</f>
        <v>162.863181811826</v>
      </c>
      <c r="Y109" s="1039">
        <f>IF($C109&lt;1,"",(AVERAGEIFS('09월 에너지'!$P$14:$P$949,'09월 에너지'!$A$14:$A$949,$A109,'09월 에너지'!$C$14:$C$949,$B109)))</f>
        <v>145.13996319941796</v>
      </c>
      <c r="Z109" s="1039">
        <f>IF($C109&lt;1,"",(AVERAGEIFS('09월 에너지'!$Q$14:$Q$949,'09월 에너지'!$A$14:$A$949,$A109,'09월 에너지'!$C$14:$C$949,$B109)))</f>
        <v>95.6599319894122</v>
      </c>
      <c r="AA109" s="1040">
        <f>IF($C109&lt;1,"",(AVERAGEIFS('09월 에너지'!$R$14:$R$949,'09월 에너지'!$B$14:$B$949,$A109,'09월 에너지'!$C$14:$C$949,$B109)))</f>
        <v>399.09293750866436</v>
      </c>
      <c r="AB109" s="1041">
        <f>IF($C109&lt;1,"",(AVERAGEIFS('09월 에너지'!$X$14:$X$949,'09월 에너지'!$A$14:$A$949,$A109,'09월 에너지'!$C$14:$C$949,$B109)))</f>
        <v>2.7463996544425036</v>
      </c>
      <c r="AC109" s="1042">
        <f>IF($C109&lt;1,"",(AVERAGEIFS('09월 에너지'!$AC$14:$AC$949,'09월 에너지'!$A$14:$A$949,$A109,'09월 에너지'!$C$14:$C$949,$B109)))</f>
        <v>26.975065183376312</v>
      </c>
      <c r="AD109" s="1043">
        <f>IF($C109&lt;1,"",(AVERAGEIFS('09월 에너지'!$AD$14:$AD$949,'09월 에너지'!$B$14:$B$949,$A109,'09월 에너지'!$C$14:$C$949,$B109)))</f>
        <v>4210</v>
      </c>
      <c r="AE109" s="1044">
        <f>IF($C109&lt;1,"",(AVERAGEIFS('09월 에너지'!$AE$14:$AE$949,'09월 에너지'!$B$14:$B$949,$A109,'09월 에너지'!$C$14:$C$949,$B109)))</f>
        <v>29.531244795992116</v>
      </c>
      <c r="AF109" s="1045">
        <f>IF($C109&lt;1,"",(AVERAGEIFS('09월 에너지'!$AI$14:$AI$949,'09월 에너지'!$B$14:$B$949,$A109,'09월 에너지'!$C$14:$C$949,$B109)))</f>
        <v>143.69999999999999</v>
      </c>
      <c r="AG109" s="1046">
        <f>IF($C109&lt;1,"",(AVERAGEIFS('09월 에너지'!$AJ$14:$AJ$949,'09월 에너지'!$B$14:$B$949,$A109,'09월 에너지'!$C$14:$C$949,$B109)))</f>
        <v>1.007897293479497</v>
      </c>
    </row>
    <row r="110" spans="1:33" ht="16.5" customHeight="1" thickTop="1" thickBot="1">
      <c r="A110" s="1632"/>
      <c r="B110" s="781" t="s">
        <v>100</v>
      </c>
      <c r="C110" s="782">
        <f>COUNTIFS('09월 조업일지'!$B$12:$B$952,A109,'09월 조업일지'!$E$12:$E$952,B110)</f>
        <v>10</v>
      </c>
      <c r="D110" s="1047">
        <f t="shared" si="21"/>
        <v>47.3</v>
      </c>
      <c r="E110" s="1048">
        <f>IF($C110&lt;1,"",(SUMIFS('09월 조업일지'!$K$12:$K$954,'09월 조업일지'!$B$12:$B$954,$A109,'09월 조업일지'!$E$12:$E$954,$B110)/$C110))</f>
        <v>0</v>
      </c>
      <c r="F110" s="1049">
        <f>IF($C110&lt;1,"",(AVERAGEIFS('09월 조업일지'!$J$12:$J$954,'09월 조업일지'!$B$12:$B$954,$A109,'09월 조업일지'!$E$12:$E$954,$B110)))</f>
        <v>47.3</v>
      </c>
      <c r="G110" s="1050">
        <f>IF($C110&lt;1,"",(AVERAGEIFS('09월 에너지'!$M$14:$M$950,'09월 에너지'!$B$14:$B$950,$A109,'09월 에너지'!$C$14:$C$950,$B110)))</f>
        <v>45.870000000000005</v>
      </c>
      <c r="H110" s="1051">
        <f>IF($C110&lt;1,"",(AVERAGEIFS('09월 조업일지'!$AJ$12:$AJ$954,'09월 조업일지'!$B$12:$B$954,$A109,'09월 조업일지'!$E$12:$E$954,$B110)))</f>
        <v>6.8</v>
      </c>
      <c r="I110" s="1052">
        <f>IF($C110&lt;1,"",(AVERAGEIFS('09월 조업일지'!$AL$12:$AL$954,'09월 조업일지'!$B$12:$B$954,$A109,'09월 조업일지'!$E$12:$E$954,$B110)))</f>
        <v>6.2</v>
      </c>
      <c r="J110" s="1053">
        <f>IF($C110&lt;1,"",(AVERAGEIFS('09월 화학성분'!G$12:G$950,'09월 화학성분'!$B$12:$B$950,$A109,'09월 화학성분'!$D$12:$D$950,$B110)))</f>
        <v>8</v>
      </c>
      <c r="K110" s="1054">
        <f>IF($C110&lt;1,"",(AVERAGEIFS('09월 화학성분'!H$12:H$950,'09월 화학성분'!$B$12:$B$950,$A109,'09월 화학성분'!$D$12:$D$950,$B110)))</f>
        <v>24.4</v>
      </c>
      <c r="L110" s="1054">
        <f>IF($C110&lt;1,"",(AVERAGEIFS('09월 화학성분'!I$12:I$950,'09월 화학성분'!$B$12:$B$950,$A109,'09월 화학성분'!$D$12:$D$950,$B110)))</f>
        <v>74.7</v>
      </c>
      <c r="M110" s="1054">
        <f>IF($C110&lt;1,"",(AVERAGEIFS('09월 화학성분'!J$12:J$950,'09월 화학성분'!$B$12:$B$950,$A109,'09월 화학성분'!$D$12:$D$950,$B110)))</f>
        <v>13.8</v>
      </c>
      <c r="N110" s="1054">
        <f>IF($C110&lt;1,"",(AVERAGEIFS('09월 화학성분'!K$12:K$950,'09월 화학성분'!$B$12:$B$950,$A109,'09월 화학성분'!$D$12:$D$950,$B110)))</f>
        <v>29.5</v>
      </c>
      <c r="O110" s="1054">
        <f>IF($C110&lt;1,"",(AVERAGEIFS('09월 화학성분'!L$12:L$950,'09월 화학성분'!$B$12:$B$950,$A109,'09월 화학성분'!$D$12:$D$950,$B110)))</f>
        <v>14.1</v>
      </c>
      <c r="P110" s="1054">
        <f>IF($C110&lt;1,"",(AVERAGEIFS('09월 화학성분'!M$12:M$950,'09월 화학성분'!$B$12:$B$950,$A109,'09월 화학성분'!$D$12:$D$950,$B110)))</f>
        <v>10.4</v>
      </c>
      <c r="Q110" s="1054">
        <f>IF($C110&lt;1,"",(AVERAGEIFS('09월 조업일지'!$AK$12:$AK$954,'09월 조업일지'!$B$12:$B$954,$A109,'09월 조업일지'!$E$12:$E$954,$B110)))</f>
        <v>735.2</v>
      </c>
      <c r="R110" s="1054">
        <f>IF($C110&lt;1,"",(AVERAGEIFS('09월 화학성분'!$G$12:$G$950,'09월 화학성분'!$B$12:$B$950,$A109,'09월 화학성분'!$D$12:$D$950,$B110)))</f>
        <v>8</v>
      </c>
      <c r="S110" s="1055">
        <f>IF($C110&lt;1,"",(AVERAGEIFS('09월 조업일지'!$AI$12:$AI$954,'09월 조업일지'!$B$12:$B$954,$A109,'09월 조업일지'!$E$12:$E$954,$B110)))</f>
        <v>1578.5</v>
      </c>
      <c r="T110" s="1056">
        <f>IF($C110&lt;1,"",(AVERAGEIFS('09월 화학성분'!$AM$12:$AM$949,'09월 화학성분'!$B$12:$B$949,$A109,'09월 화학성분'!$D$12:$D$949,$B110)))</f>
        <v>1836.6</v>
      </c>
      <c r="U110" s="1057">
        <f>IF($C110&lt;1,"",(AVERAGEIFS('09월 고철장입'!$AJ$14:$AJ$949,'09월 고철장입'!$B$14:$B$949,$A109,'09월 고철장입'!$C$14:$C$949,$B110))/1000)</f>
        <v>158.46</v>
      </c>
      <c r="V110" s="1102">
        <f>IF($C110&lt;1,"",(AVERAGEIFS('09월 고철장입'!$AK$14:$AK$949,'09월 고철장입'!$B$14:$B$949,$A109,'09월 고철장입'!$C$14:$C$949,$B110)))</f>
        <v>142.17999999999998</v>
      </c>
      <c r="W110" s="1058">
        <f t="shared" si="20"/>
        <v>89.726113845765482</v>
      </c>
      <c r="X110" s="1059">
        <f>IF($C110&lt;1,"",(AVERAGEIFS('09월 에너지'!$O$14:$O$949,'09월 에너지'!$A$14:$A$949,$A109,'09월 에너지'!$C$14:$C$949,$B110)))</f>
        <v>163.29414372116739</v>
      </c>
      <c r="Y110" s="1060">
        <f>IF($C110&lt;1,"",(AVERAGEIFS('09월 에너지'!$P$14:$P$949,'09월 에너지'!$A$14:$A$949,$A109,'09월 에너지'!$C$14:$C$949,$B110)))</f>
        <v>145.6322639673287</v>
      </c>
      <c r="Z110" s="1060">
        <f>IF($C110&lt;1,"",(AVERAGEIFS('09월 에너지'!$Q$14:$Q$949,'09월 에너지'!$A$14:$A$949,$A109,'09월 에너지'!$C$14:$C$949,$B110)))</f>
        <v>85.78508541330811</v>
      </c>
      <c r="AA110" s="1061">
        <f>IF($C110&lt;1,"",(AVERAGEIFS('09월 에너지'!$R$14:$R$949,'09월 에너지'!$B$14:$B$949,$A109,'09월 에너지'!$C$14:$C$949,$B110)))</f>
        <v>394.71149310180425</v>
      </c>
      <c r="AB110" s="1062">
        <f>IF($C110&lt;1,"",(AVERAGEIFS('09월 에너지'!$X$14:$X$949,'09월 에너지'!$A$14:$A$949,$A109,'09월 에너지'!$C$14:$C$949,$B110)))</f>
        <v>2.7655852018245275</v>
      </c>
      <c r="AC110" s="1063">
        <f>IF($C110&lt;1,"",(AVERAGEIFS('09월 에너지'!$AC$14:$AC$949,'09월 에너지'!$A$14:$A$949,$A109,'09월 에너지'!$C$14:$C$949,$B110)))</f>
        <v>27.201269257673651</v>
      </c>
      <c r="AD110" s="1064">
        <f>IF($C110&lt;1,"",(AVERAGEIFS('09월 에너지'!$AD$14:$AD$949,'09월 에너지'!$B$14:$B$949,$A109,'09월 에너지'!$C$14:$C$949,$B110)))</f>
        <v>4258.7</v>
      </c>
      <c r="AE110" s="1065">
        <f>IF($C110&lt;1,"",(AVERAGEIFS('09월 에너지'!$AE$14:$AE$949,'09월 에너지'!$B$14:$B$949,$A109,'09월 에너지'!$C$14:$C$949,$B110)))</f>
        <v>29.966854459498183</v>
      </c>
      <c r="AF110" s="1066">
        <f>IF($C110&lt;1,"",(AVERAGEIFS('09월 에너지'!$AI$14:$AI$949,'09월 에너지'!$B$14:$B$949,$A109,'09월 에너지'!$C$14:$C$949,$B110)))</f>
        <v>144.1</v>
      </c>
      <c r="AG110" s="1067">
        <f>IF($C110&lt;1,"",(AVERAGEIFS('09월 에너지'!$AJ$14:$AJ$949,'09월 에너지'!$B$14:$B$949,$A109,'09월 에너지'!$C$14:$C$949,$B110)))</f>
        <v>1.0143058263569587</v>
      </c>
    </row>
    <row r="111" spans="1:33" ht="16.5" customHeight="1" thickTop="1" thickBot="1">
      <c r="A111" s="1632"/>
      <c r="B111" s="781" t="s">
        <v>93</v>
      </c>
      <c r="C111" s="782">
        <f>COUNTIFS('09월 조업일지'!$B$12:$B$952,A109,'09월 조업일지'!$E$12:$E$952,B111)</f>
        <v>0</v>
      </c>
      <c r="D111" s="1047" t="str">
        <f t="shared" si="21"/>
        <v/>
      </c>
      <c r="E111" s="1048" t="str">
        <f>IF($C111&lt;1,"",(SUMIFS('09월 조업일지'!$K$12:$K$954,'09월 조업일지'!$B$12:$B$954,$A109,'09월 조업일지'!$E$12:$E$954,$B111)/$C111))</f>
        <v/>
      </c>
      <c r="F111" s="1049" t="str">
        <f>IF($C111&lt;1,"",(AVERAGEIFS('09월 조업일지'!$J$12:$J$954,'09월 조업일지'!$B$12:$B$954,$A109,'09월 조업일지'!$E$12:$E$954,$B111)))</f>
        <v/>
      </c>
      <c r="G111" s="1050" t="str">
        <f>IF($C111&lt;1,"",(AVERAGEIFS('09월 에너지'!$M$14:$M$950,'09월 에너지'!$B$14:$B$950,$A109,'09월 에너지'!$C$14:$C$950,$B111)))</f>
        <v/>
      </c>
      <c r="H111" s="1051" t="str">
        <f>IF($C111&lt;1,"",(AVERAGEIFS('09월 조업일지'!$AJ$12:$AJ$954,'09월 조업일지'!$B$12:$B$954,$A109,'09월 조업일지'!$E$12:$E$954,$B111)))</f>
        <v/>
      </c>
      <c r="I111" s="1052" t="str">
        <f>IF($C111&lt;1,"",(AVERAGEIFS('09월 조업일지'!$AL$12:$AL$954,'09월 조업일지'!$B$12:$B$954,$A109,'09월 조업일지'!$E$12:$E$954,$B111)))</f>
        <v/>
      </c>
      <c r="J111" s="1053" t="str">
        <f>IF($C111&lt;1,"",(AVERAGEIFS('09월 화학성분'!G$12:G$950,'09월 화학성분'!$B$12:$B$950,$A109,'09월 화학성분'!$D$12:$D$950,$B111)))</f>
        <v/>
      </c>
      <c r="K111" s="1054" t="str">
        <f>IF($C111&lt;1,"",(AVERAGEIFS('09월 화학성분'!H$12:H$950,'09월 화학성분'!$B$12:$B$950,$A109,'09월 화학성분'!$D$12:$D$950,$B111)))</f>
        <v/>
      </c>
      <c r="L111" s="1054" t="str">
        <f>IF($C111&lt;1,"",(AVERAGEIFS('09월 화학성분'!I$12:I$950,'09월 화학성분'!$B$12:$B$950,$A109,'09월 화학성분'!$D$12:$D$950,$B111)))</f>
        <v/>
      </c>
      <c r="M111" s="1054" t="str">
        <f>IF($C111&lt;1,"",(AVERAGEIFS('09월 화학성분'!J$12:J$950,'09월 화학성분'!$B$12:$B$950,$A109,'09월 화학성분'!$D$12:$D$950,$B111)))</f>
        <v/>
      </c>
      <c r="N111" s="1054" t="str">
        <f>IF($C111&lt;1,"",(AVERAGEIFS('09월 화학성분'!K$12:K$950,'09월 화학성분'!$B$12:$B$950,$A109,'09월 화학성분'!$D$12:$D$950,$B111)))</f>
        <v/>
      </c>
      <c r="O111" s="1054" t="str">
        <f>IF($C111&lt;1,"",(AVERAGEIFS('09월 화학성분'!L$12:L$950,'09월 화학성분'!$B$12:$B$950,$A109,'09월 화학성분'!$D$12:$D$950,$B111)))</f>
        <v/>
      </c>
      <c r="P111" s="1054" t="str">
        <f>IF($C111&lt;1,"",(AVERAGEIFS('09월 화학성분'!M$12:M$950,'09월 화학성분'!$B$12:$B$950,$A109,'09월 화학성분'!$D$12:$D$950,$B111)))</f>
        <v/>
      </c>
      <c r="Q111" s="1054" t="str">
        <f>IF($C111&lt;1,"",(AVERAGEIFS('09월 조업일지'!$AK$12:$AK$954,'09월 조업일지'!$B$12:$B$954,$A109,'09월 조업일지'!$E$12:$E$954,$B111)))</f>
        <v/>
      </c>
      <c r="R111" s="1054" t="str">
        <f>IF($C111&lt;1,"",(AVERAGEIFS('09월 화학성분'!$G$12:$G$950,'09월 화학성분'!$B$12:$B$950,$A109,'09월 화학성분'!$D$12:$D$950,$B111)))</f>
        <v/>
      </c>
      <c r="S111" s="1055" t="str">
        <f>IF($C111&lt;1,"",(AVERAGEIFS('09월 조업일지'!$AI$12:$AI$954,'09월 조업일지'!$B$12:$B$954,$A109,'09월 조업일지'!$E$12:$E$954,$B111)))</f>
        <v/>
      </c>
      <c r="T111" s="1056" t="str">
        <f>IF($C111&lt;1,"",(AVERAGEIFS('09월 화학성분'!$AM$12:$AM$949,'09월 화학성분'!$B$12:$B$949,$A109,'09월 화학성분'!$D$12:$D$949,$B111)))</f>
        <v/>
      </c>
      <c r="U111" s="1057" t="str">
        <f>IF($C111&lt;1,"",(AVERAGEIFS('09월 고철장입'!$AJ$14:$AJ$949,'09월 고철장입'!$B$14:$B$949,$A109,'09월 고철장입'!$C$14:$C$949,$B111))/1000)</f>
        <v/>
      </c>
      <c r="V111" s="1102" t="str">
        <f>IF($C111&lt;1,"",(AVERAGEIFS('09월 고철장입'!$AK$14:$AK$949,'09월 고철장입'!$B$14:$B$949,$A109,'09월 고철장입'!$C$14:$C$949,$B111)))</f>
        <v/>
      </c>
      <c r="W111" s="1058" t="str">
        <f t="shared" si="20"/>
        <v/>
      </c>
      <c r="X111" s="1059" t="str">
        <f>IF($C111&lt;1,"",(AVERAGEIFS('09월 에너지'!$O$14:$O$949,'09월 에너지'!$A$14:$A$949,$A109,'09월 에너지'!$C$14:$C$949,$B111)))</f>
        <v/>
      </c>
      <c r="Y111" s="1060" t="str">
        <f>IF($C111&lt;1,"",(AVERAGEIFS('09월 에너지'!$P$14:$P$949,'09월 에너지'!$A$14:$A$949,$A109,'09월 에너지'!$C$14:$C$949,$B111)))</f>
        <v/>
      </c>
      <c r="Z111" s="1060" t="str">
        <f>IF($C111&lt;1,"",(AVERAGEIFS('09월 에너지'!$Q$14:$Q$949,'09월 에너지'!$A$14:$A$949,$A109,'09월 에너지'!$C$14:$C$949,$B111)))</f>
        <v/>
      </c>
      <c r="AA111" s="1061" t="str">
        <f>IF($C111&lt;1,"",(AVERAGEIFS('09월 에너지'!$R$14:$R$949,'09월 에너지'!$B$14:$B$949,$A109,'09월 에너지'!$C$14:$C$949,$B111)))</f>
        <v/>
      </c>
      <c r="AB111" s="1062" t="str">
        <f>IF($C111&lt;1,"",(AVERAGEIFS('09월 에너지'!$X$14:$X$949,'09월 에너지'!$A$14:$A$949,$A109,'09월 에너지'!$C$14:$C$949,$B111)))</f>
        <v/>
      </c>
      <c r="AC111" s="1063" t="str">
        <f>IF($C111&lt;1,"",(AVERAGEIFS('09월 에너지'!$AC$14:$AC$949,'09월 에너지'!$A$14:$A$949,$A109,'09월 에너지'!$C$14:$C$949,$B111)))</f>
        <v/>
      </c>
      <c r="AD111" s="1064" t="str">
        <f>IF($C111&lt;1,"",(AVERAGEIFS('09월 에너지'!$AD$14:$AD$949,'09월 에너지'!$B$14:$B$949,$A109,'09월 에너지'!$C$14:$C$949,$B111)))</f>
        <v/>
      </c>
      <c r="AE111" s="1065" t="str">
        <f>IF($C111&lt;1,"",(AVERAGEIFS('09월 에너지'!$AE$14:$AE$949,'09월 에너지'!$B$14:$B$949,$A109,'09월 에너지'!$C$14:$C$949,$B111)))</f>
        <v/>
      </c>
      <c r="AF111" s="1066" t="str">
        <f>IF($C111&lt;1,"",(AVERAGEIFS('09월 에너지'!$AI$14:$AI$949,'09월 에너지'!$B$14:$B$949,$A109,'09월 에너지'!$C$14:$C$949,$B111)))</f>
        <v/>
      </c>
      <c r="AG111" s="1067" t="str">
        <f>IF($C111&lt;1,"",(AVERAGEIFS('09월 에너지'!$AJ$14:$AJ$949,'09월 에너지'!$B$14:$B$949,$A109,'09월 에너지'!$C$14:$C$949,$B111)))</f>
        <v/>
      </c>
    </row>
    <row r="112" spans="1:33" ht="16.5" customHeight="1" thickTop="1" thickBot="1">
      <c r="A112" s="1632"/>
      <c r="B112" s="783" t="s">
        <v>94</v>
      </c>
      <c r="C112" s="784">
        <f>COUNTIFS('09월 조업일지'!$B$12:$B$952,A109,'09월 조업일지'!$E$12:$E$952,B112)</f>
        <v>10</v>
      </c>
      <c r="D112" s="1068">
        <f t="shared" si="21"/>
        <v>47.900000000000006</v>
      </c>
      <c r="E112" s="1069">
        <f>IF($C112&lt;1,"",(SUMIFS('09월 조업일지'!$K$12:$K$954,'09월 조업일지'!$B$12:$B$954,$A109,'09월 조업일지'!$E$12:$E$954,$B112)/$C112))</f>
        <v>0</v>
      </c>
      <c r="F112" s="1070">
        <f>IF($C112&lt;1,"",(AVERAGEIFS('09월 조업일지'!$J$12:$J$954,'09월 조업일지'!$B$12:$B$954,$A109,'09월 조업일지'!$E$12:$E$954,$B112)))</f>
        <v>47.900000000000006</v>
      </c>
      <c r="G112" s="1071">
        <f>IF($C112&lt;1,"",(AVERAGEIFS('09월 에너지'!$M$14:$M$950,'09월 에너지'!$B$14:$B$950,$A109,'09월 에너지'!$C$14:$C$950,$B112)))</f>
        <v>46.839999999999989</v>
      </c>
      <c r="H112" s="1072">
        <f>IF($C112&lt;1,"",(AVERAGEIFS('09월 조업일지'!$AJ$12:$AJ$954,'09월 조업일지'!$B$12:$B$954,$A109,'09월 조업일지'!$E$12:$E$954,$B112)))</f>
        <v>45.5</v>
      </c>
      <c r="I112" s="1073">
        <f>IF($C112&lt;1,"",(AVERAGEIFS('09월 조업일지'!$AL$12:$AL$954,'09월 조업일지'!$B$12:$B$954,$A109,'09월 조업일지'!$E$12:$E$954,$B112)))</f>
        <v>6.7</v>
      </c>
      <c r="J112" s="1074">
        <f>IF($C112&lt;1,"",(AVERAGEIFS('09월 화학성분'!G$12:G$950,'09월 화학성분'!$B$12:$B$950,$A109,'09월 화학성분'!$D$12:$D$950,$B112)))</f>
        <v>7.7</v>
      </c>
      <c r="K112" s="1075">
        <f>IF($C112&lt;1,"",(AVERAGEIFS('09월 화학성분'!H$12:H$950,'09월 화학성분'!$B$12:$B$950,$A109,'09월 화학성분'!$D$12:$D$950,$B112)))</f>
        <v>19.899999999999999</v>
      </c>
      <c r="L112" s="1075">
        <f>IF($C112&lt;1,"",(AVERAGEIFS('09월 화학성분'!I$12:I$950,'09월 화학성분'!$B$12:$B$950,$A109,'09월 화학성분'!$D$12:$D$950,$B112)))</f>
        <v>50.3</v>
      </c>
      <c r="M112" s="1075">
        <f>IF($C112&lt;1,"",(AVERAGEIFS('09월 화학성분'!J$12:J$950,'09월 화학성분'!$B$12:$B$950,$A109,'09월 화학성분'!$D$12:$D$950,$B112)))</f>
        <v>14</v>
      </c>
      <c r="N112" s="1075">
        <f>IF($C112&lt;1,"",(AVERAGEIFS('09월 화학성분'!K$12:K$950,'09월 화학성분'!$B$12:$B$950,$A109,'09월 화학성분'!$D$12:$D$950,$B112)))</f>
        <v>26.2</v>
      </c>
      <c r="O112" s="1075">
        <f>IF($C112&lt;1,"",(AVERAGEIFS('09월 화학성분'!L$12:L$950,'09월 화학성분'!$B$12:$B$950,$A109,'09월 화학성분'!$D$12:$D$950,$B112)))</f>
        <v>13.2</v>
      </c>
      <c r="P112" s="1075">
        <f>IF($C112&lt;1,"",(AVERAGEIFS('09월 화학성분'!M$12:M$950,'09월 화학성분'!$B$12:$B$950,$A109,'09월 화학성분'!$D$12:$D$950,$B112)))</f>
        <v>10.199999999999999</v>
      </c>
      <c r="Q112" s="1075">
        <f>IF($C112&lt;1,"",(AVERAGEIFS('09월 조업일지'!$AK$12:$AK$954,'09월 조업일지'!$B$12:$B$954,$A109,'09월 조업일지'!$E$12:$E$954,$B112)))</f>
        <v>593.5</v>
      </c>
      <c r="R112" s="1075">
        <f>IF($C112&lt;1,"",(AVERAGEIFS('09월 화학성분'!$G$12:$G$950,'09월 화학성분'!$B$12:$B$950,$A109,'09월 화학성분'!$D$12:$D$950,$B112)))</f>
        <v>7.7</v>
      </c>
      <c r="S112" s="1076">
        <f>IF($C112&lt;1,"",(AVERAGEIFS('09월 조업일지'!$AI$12:$AI$954,'09월 조업일지'!$B$12:$B$954,$A109,'09월 조업일지'!$E$12:$E$954,$B112)))</f>
        <v>1583.9</v>
      </c>
      <c r="T112" s="1077">
        <f>IF($C112&lt;1,"",(AVERAGEIFS('09월 화학성분'!$AM$12:$AM$949,'09월 화학성분'!$B$12:$B$949,$A109,'09월 화학성분'!$D$12:$D$949,$B112)))</f>
        <v>2129.5</v>
      </c>
      <c r="U112" s="1078">
        <f>IF($C112&lt;1,"",(AVERAGEIFS('09월 고철장입'!$AJ$14:$AJ$949,'09월 고철장입'!$B$14:$B$949,$A109,'09월 고철장입'!$C$14:$C$949,$B112))/1000)</f>
        <v>158.21</v>
      </c>
      <c r="V112" s="1103">
        <f>IF($C112&lt;1,"",(AVERAGEIFS('09월 고철장입'!$AK$14:$AK$949,'09월 고철장입'!$B$14:$B$949,$A109,'09월 고철장입'!$C$14:$C$949,$B112)))</f>
        <v>144.85999999999999</v>
      </c>
      <c r="W112" s="1079">
        <f t="shared" si="20"/>
        <v>91.561848176474285</v>
      </c>
      <c r="X112" s="1080">
        <f>IF($C112&lt;1,"",(AVERAGEIFS('09월 에너지'!$O$14:$O$949,'09월 에너지'!$A$14:$A$949,$A109,'09월 에너지'!$C$14:$C$949,$B112)))</f>
        <v>156.45229001013291</v>
      </c>
      <c r="Y112" s="1081">
        <f>IF($C112&lt;1,"",(AVERAGEIFS('09월 에너지'!$P$14:$P$949,'09월 에너지'!$A$14:$A$949,$A109,'09월 에너지'!$C$14:$C$949,$B112)))</f>
        <v>143.11845832041334</v>
      </c>
      <c r="Z112" s="1081">
        <f>IF($C112&lt;1,"",(AVERAGEIFS('09월 에너지'!$Q$14:$Q$949,'09월 에너지'!$A$14:$A$949,$A109,'09월 에너지'!$C$14:$C$949,$B112)))</f>
        <v>95.73644255151207</v>
      </c>
      <c r="AA112" s="1082">
        <f>IF($C112&lt;1,"",(AVERAGEIFS('09월 에너지'!$R$14:$R$949,'09월 에너지'!$B$14:$B$949,$A109,'09월 에너지'!$C$14:$C$949,$B112)))</f>
        <v>395.30719088205831</v>
      </c>
      <c r="AB112" s="1083">
        <f>IF($C112&lt;1,"",(AVERAGEIFS('09월 에너지'!$X$14:$X$949,'09월 에너지'!$A$14:$A$949,$A109,'09월 에너지'!$C$14:$C$949,$B112)))</f>
        <v>2.4055196644170884</v>
      </c>
      <c r="AC112" s="1084">
        <f>IF($C112&lt;1,"",(AVERAGEIFS('09월 에너지'!$AC$14:$AC$949,'09월 에너지'!$A$14:$A$949,$A109,'09월 에너지'!$C$14:$C$949,$B112)))</f>
        <v>26.260523979438847</v>
      </c>
      <c r="AD112" s="1085">
        <f>IF($C112&lt;1,"",(AVERAGEIFS('09월 에너지'!$AD$14:$AD$949,'09월 에너지'!$B$14:$B$949,$A109,'09월 에너지'!$C$14:$C$949,$B112)))</f>
        <v>4152.1000000000004</v>
      </c>
      <c r="AE112" s="1086">
        <f>IF($C112&lt;1,"",(AVERAGEIFS('09월 에너지'!$AE$14:$AE$949,'09월 에너지'!$B$14:$B$949,$A109,'09월 에너지'!$C$14:$C$949,$B112)))</f>
        <v>28.666043643855936</v>
      </c>
      <c r="AF112" s="1087">
        <f>IF($C112&lt;1,"",(AVERAGEIFS('09월 에너지'!$AI$14:$AI$949,'09월 에너지'!$B$14:$B$949,$A109,'09월 에너지'!$C$14:$C$949,$B112)))</f>
        <v>142.5</v>
      </c>
      <c r="AG112" s="1088">
        <f>IF($C112&lt;1,"",(AVERAGEIFS('09월 에너지'!$AJ$14:$AJ$949,'09월 에너지'!$B$14:$B$949,$A109,'09월 에너지'!$C$14:$C$949,$B112)))</f>
        <v>0.9836158664152459</v>
      </c>
    </row>
    <row r="113" spans="1:33" ht="16.5" customHeight="1" thickTop="1" thickBot="1">
      <c r="A113" s="1632">
        <f t="shared" ref="A113" si="33">A109+1</f>
        <v>46293</v>
      </c>
      <c r="B113" s="775" t="s">
        <v>128</v>
      </c>
      <c r="C113" s="776">
        <f>COUNTIFS('09월 조업일지'!$B$12:$B$952,A113,'09월 조업일지'!$E$12:$E$952,B113)</f>
        <v>9</v>
      </c>
      <c r="D113" s="1026">
        <f t="shared" si="21"/>
        <v>49.666666666666686</v>
      </c>
      <c r="E113" s="1027">
        <f>IF($C113&lt;1,"",(SUMIFS('09월 조업일지'!$K$12:$K$954,'09월 조업일지'!$B$12:$B$954,$A113,'09월 조업일지'!$E$12:$E$954,$B113)/$C113))</f>
        <v>2.4444444444444446</v>
      </c>
      <c r="F113" s="1028">
        <f>IF($C113&lt;1,"",(AVERAGEIFS('09월 조업일지'!$J$12:$J$954,'09월 조업일지'!$B$12:$B$954,$A113,'09월 조업일지'!$E$12:$E$954,$B113)))</f>
        <v>52.111111111111128</v>
      </c>
      <c r="G113" s="1029">
        <f>IF($C113&lt;1,"",(AVERAGEIFS('09월 에너지'!$M$14:$M$950,'09월 에너지'!$B$14:$B$950,$A113,'09월 에너지'!$C$14:$C$950,$B113)))</f>
        <v>48.866666666666667</v>
      </c>
      <c r="H113" s="1030">
        <f>IF($C113&lt;1,"",(AVERAGEIFS('09월 조업일지'!$AJ$12:$AJ$954,'09월 조업일지'!$B$12:$B$954,$A113,'09월 조업일지'!$E$12:$E$954,$B113)))</f>
        <v>9.3333333333333339</v>
      </c>
      <c r="I113" s="1031">
        <f>IF($C113&lt;1,"",(AVERAGEIFS('09월 조업일지'!$AL$12:$AL$954,'09월 조업일지'!$B$12:$B$954,$A113,'09월 조업일지'!$E$12:$E$954,$B113)))</f>
        <v>7.333333333333333</v>
      </c>
      <c r="J113" s="1032">
        <f>IF($C113&lt;1,"",(AVERAGEIFS('09월 화학성분'!G$12:G$950,'09월 화학성분'!$B$12:$B$950,$A113,'09월 화학성분'!$D$12:$D$950,$B113)))</f>
        <v>10.555555555555555</v>
      </c>
      <c r="K113" s="1033">
        <f>IF($C113&lt;1,"",(AVERAGEIFS('09월 화학성분'!H$12:H$950,'09월 화학성분'!$B$12:$B$950,$A113,'09월 화학성분'!$D$12:$D$950,$B113)))</f>
        <v>22.333333333333332</v>
      </c>
      <c r="L113" s="1033">
        <f>IF($C113&lt;1,"",(AVERAGEIFS('09월 화학성분'!I$12:I$950,'09월 화학성분'!$B$12:$B$950,$A113,'09월 화학성분'!$D$12:$D$950,$B113)))</f>
        <v>111.77777777777777</v>
      </c>
      <c r="M113" s="1033">
        <f>IF($C113&lt;1,"",(AVERAGEIFS('09월 화학성분'!J$12:J$950,'09월 화학성분'!$B$12:$B$950,$A113,'09월 화학성분'!$D$12:$D$950,$B113)))</f>
        <v>15.222222222222221</v>
      </c>
      <c r="N113" s="1033">
        <f>IF($C113&lt;1,"",(AVERAGEIFS('09월 화학성분'!K$12:K$950,'09월 화학성분'!$B$12:$B$950,$A113,'09월 화학성분'!$D$12:$D$950,$B113)))</f>
        <v>24.555555555555557</v>
      </c>
      <c r="O113" s="1033">
        <f>IF($C113&lt;1,"",(AVERAGEIFS('09월 화학성분'!L$12:L$950,'09월 화학성분'!$B$12:$B$950,$A113,'09월 화학성분'!$D$12:$D$950,$B113)))</f>
        <v>11.888888888888889</v>
      </c>
      <c r="P113" s="1033">
        <f>IF($C113&lt;1,"",(AVERAGEIFS('09월 화학성분'!M$12:M$950,'09월 화학성분'!$B$12:$B$950,$A113,'09월 화학성분'!$D$12:$D$950,$B113)))</f>
        <v>9.8888888888888893</v>
      </c>
      <c r="Q113" s="1033">
        <f>IF($C113&lt;1,"",(AVERAGEIFS('09월 조업일지'!$AK$12:$AK$954,'09월 조업일지'!$B$12:$B$954,$A113,'09월 조업일지'!$E$12:$E$954,$B113)))</f>
        <v>621</v>
      </c>
      <c r="R113" s="1033">
        <f>IF($C113&lt;1,"",(AVERAGEIFS('09월 화학성분'!$G$12:$G$950,'09월 화학성분'!$B$12:$B$950,$A113,'09월 화학성분'!$D$12:$D$950,$B113)))</f>
        <v>10.555555555555555</v>
      </c>
      <c r="S113" s="1034">
        <f>IF($C113&lt;1,"",(AVERAGEIFS('09월 조업일지'!$AI$12:$AI$954,'09월 조업일지'!$B$12:$B$954,$A113,'09월 조업일지'!$E$12:$E$954,$B113)))</f>
        <v>1555.3333333333333</v>
      </c>
      <c r="T113" s="1035">
        <f>IF($C113&lt;1,"",(AVERAGEIFS('09월 화학성분'!$AM$12:$AM$949,'09월 화학성분'!$B$12:$B$949,$A113,'09월 화학성분'!$D$12:$D$949,$B113)))</f>
        <v>3182.8888888888887</v>
      </c>
      <c r="U113" s="1036">
        <f>IF($C113&lt;1,"",(AVERAGEIFS('09월 고철장입'!$AJ$14:$AJ$949,'09월 고철장입'!$B$14:$B$949,$A113,'09월 고철장입'!$C$14:$C$949,$B113))/1000)</f>
        <v>158.65555555555557</v>
      </c>
      <c r="V113" s="1101">
        <f>IF($C113&lt;1,"",(AVERAGEIFS('09월 고철장입'!$AK$14:$AK$949,'09월 고철장입'!$B$14:$B$949,$A113,'09월 고철장입'!$C$14:$C$949,$B113)))</f>
        <v>145.92222222222225</v>
      </c>
      <c r="W113" s="1037">
        <f t="shared" si="20"/>
        <v>91.974227887106949</v>
      </c>
      <c r="X113" s="1038">
        <f>IF($C113&lt;1,"",(AVERAGEIFS('09월 에너지'!$O$14:$O$949,'09월 에너지'!$A$14:$A$949,$A113,'09월 에너지'!$C$14:$C$949,$B113)))</f>
        <v>159.39306325639362</v>
      </c>
      <c r="Y113" s="1039">
        <f>IF($C113&lt;1,"",(AVERAGEIFS('09월 에너지'!$P$14:$P$949,'09월 에너지'!$A$14:$A$949,$A113,'09월 에너지'!$C$14:$C$949,$B113)))</f>
        <v>141.85007126459092</v>
      </c>
      <c r="Z113" s="1039">
        <f>IF($C113&lt;1,"",(AVERAGEIFS('09월 에너지'!$Q$14:$Q$949,'09월 에너지'!$A$14:$A$949,$A113,'09월 에너지'!$C$14:$C$949,$B113)))</f>
        <v>95.324408421632896</v>
      </c>
      <c r="AA113" s="1040">
        <f>IF($C113&lt;1,"",(AVERAGEIFS('09월 에너지'!$R$14:$R$949,'09월 에너지'!$B$14:$B$949,$A113,'09월 에너지'!$C$14:$C$949,$B113)))</f>
        <v>407.9341235026298</v>
      </c>
      <c r="AB113" s="1041">
        <f>IF($C113&lt;1,"",(AVERAGEIFS('09월 에너지'!$X$14:$X$949,'09월 에너지'!$A$14:$A$949,$A113,'09월 에너지'!$C$14:$C$949,$B113)))</f>
        <v>2.6864546990873657</v>
      </c>
      <c r="AC113" s="1042">
        <f>IF($C113&lt;1,"",(AVERAGEIFS('09월 에너지'!$AC$14:$AC$949,'09월 에너지'!$A$14:$A$949,$A113,'09월 에너지'!$C$14:$C$949,$B113)))</f>
        <v>26.239047828021832</v>
      </c>
      <c r="AD113" s="1043">
        <f>IF($C113&lt;1,"",(AVERAGEIFS('09월 에너지'!$AD$14:$AD$949,'09월 에너지'!$B$14:$B$949,$A113,'09월 에너지'!$C$14:$C$949,$B113)))</f>
        <v>4275.2222222222226</v>
      </c>
      <c r="AE113" s="1044">
        <f>IF($C113&lt;1,"",(AVERAGEIFS('09월 에너지'!$AE$14:$AE$949,'09월 에너지'!$B$14:$B$949,$A113,'09월 에너지'!$C$14:$C$949,$B113)))</f>
        <v>29.306685805418802</v>
      </c>
      <c r="AF113" s="1045">
        <f>IF($C113&lt;1,"",(AVERAGEIFS('09월 에너지'!$AI$14:$AI$949,'09월 에너지'!$B$14:$B$949,$A113,'09월 에너지'!$C$14:$C$949,$B113)))</f>
        <v>144.55555555555554</v>
      </c>
      <c r="AG113" s="1046">
        <f>IF($C113&lt;1,"",(AVERAGEIFS('09월 에너지'!$AJ$14:$AJ$949,'09월 에너지'!$B$14:$B$949,$A113,'09월 에너지'!$C$14:$C$949,$B113)))</f>
        <v>0.990215791694394</v>
      </c>
    </row>
    <row r="114" spans="1:33" ht="16.5" customHeight="1" thickTop="1" thickBot="1">
      <c r="A114" s="1632"/>
      <c r="B114" s="781" t="s">
        <v>100</v>
      </c>
      <c r="C114" s="782">
        <f>COUNTIFS('09월 조업일지'!$B$12:$B$952,A113,'09월 조업일지'!$E$12:$E$952,B114)</f>
        <v>0</v>
      </c>
      <c r="D114" s="1047" t="str">
        <f t="shared" si="21"/>
        <v/>
      </c>
      <c r="E114" s="1048" t="str">
        <f>IF($C114&lt;1,"",(SUMIFS('09월 조업일지'!$K$12:$K$954,'09월 조업일지'!$B$12:$B$954,$A113,'09월 조업일지'!$E$12:$E$954,$B114)/$C114))</f>
        <v/>
      </c>
      <c r="F114" s="1049" t="str">
        <f>IF($C114&lt;1,"",(AVERAGEIFS('09월 조업일지'!$J$12:$J$954,'09월 조업일지'!$B$12:$B$954,$A113,'09월 조업일지'!$E$12:$E$954,$B114)))</f>
        <v/>
      </c>
      <c r="G114" s="1050" t="str">
        <f>IF($C114&lt;1,"",(AVERAGEIFS('09월 에너지'!$M$14:$M$950,'09월 에너지'!$B$14:$B$950,$A113,'09월 에너지'!$C$14:$C$950,$B114)))</f>
        <v/>
      </c>
      <c r="H114" s="1051" t="str">
        <f>IF($C114&lt;1,"",(AVERAGEIFS('09월 조업일지'!$AJ$12:$AJ$954,'09월 조업일지'!$B$12:$B$954,$A113,'09월 조업일지'!$E$12:$E$954,$B114)))</f>
        <v/>
      </c>
      <c r="I114" s="1052" t="str">
        <f>IF($C114&lt;1,"",(AVERAGEIFS('09월 조업일지'!$AL$12:$AL$954,'09월 조업일지'!$B$12:$B$954,$A113,'09월 조업일지'!$E$12:$E$954,$B114)))</f>
        <v/>
      </c>
      <c r="J114" s="1053" t="str">
        <f>IF($C114&lt;1,"",(AVERAGEIFS('09월 화학성분'!G$12:G$950,'09월 화학성분'!$B$12:$B$950,$A113,'09월 화학성분'!$D$12:$D$950,$B114)))</f>
        <v/>
      </c>
      <c r="K114" s="1054" t="str">
        <f>IF($C114&lt;1,"",(AVERAGEIFS('09월 화학성분'!H$12:H$950,'09월 화학성분'!$B$12:$B$950,$A113,'09월 화학성분'!$D$12:$D$950,$B114)))</f>
        <v/>
      </c>
      <c r="L114" s="1054" t="str">
        <f>IF($C114&lt;1,"",(AVERAGEIFS('09월 화학성분'!I$12:I$950,'09월 화학성분'!$B$12:$B$950,$A113,'09월 화학성분'!$D$12:$D$950,$B114)))</f>
        <v/>
      </c>
      <c r="M114" s="1054" t="str">
        <f>IF($C114&lt;1,"",(AVERAGEIFS('09월 화학성분'!J$12:J$950,'09월 화학성분'!$B$12:$B$950,$A113,'09월 화학성분'!$D$12:$D$950,$B114)))</f>
        <v/>
      </c>
      <c r="N114" s="1054" t="str">
        <f>IF($C114&lt;1,"",(AVERAGEIFS('09월 화학성분'!K$12:K$950,'09월 화학성분'!$B$12:$B$950,$A113,'09월 화학성분'!$D$12:$D$950,$B114)))</f>
        <v/>
      </c>
      <c r="O114" s="1054" t="str">
        <f>IF($C114&lt;1,"",(AVERAGEIFS('09월 화학성분'!L$12:L$950,'09월 화학성분'!$B$12:$B$950,$A113,'09월 화학성분'!$D$12:$D$950,$B114)))</f>
        <v/>
      </c>
      <c r="P114" s="1054" t="str">
        <f>IF($C114&lt;1,"",(AVERAGEIFS('09월 화학성분'!M$12:M$950,'09월 화학성분'!$B$12:$B$950,$A113,'09월 화학성분'!$D$12:$D$950,$B114)))</f>
        <v/>
      </c>
      <c r="Q114" s="1054" t="str">
        <f>IF($C114&lt;1,"",(AVERAGEIFS('09월 조업일지'!$AK$12:$AK$954,'09월 조업일지'!$B$12:$B$954,$A113,'09월 조업일지'!$E$12:$E$954,$B114)))</f>
        <v/>
      </c>
      <c r="R114" s="1054" t="str">
        <f>IF($C114&lt;1,"",(AVERAGEIFS('09월 화학성분'!$G$12:$G$950,'09월 화학성분'!$B$12:$B$950,$A113,'09월 화학성분'!$D$12:$D$950,$B114)))</f>
        <v/>
      </c>
      <c r="S114" s="1055" t="str">
        <f>IF($C114&lt;1,"",(AVERAGEIFS('09월 조업일지'!$AI$12:$AI$954,'09월 조업일지'!$B$12:$B$954,$A113,'09월 조업일지'!$E$12:$E$954,$B114)))</f>
        <v/>
      </c>
      <c r="T114" s="1056" t="str">
        <f>IF($C114&lt;1,"",(AVERAGEIFS('09월 화학성분'!$AM$12:$AM$949,'09월 화학성분'!$B$12:$B$949,$A113,'09월 화학성분'!$D$12:$D$949,$B114)))</f>
        <v/>
      </c>
      <c r="U114" s="1057" t="str">
        <f>IF($C114&lt;1,"",(AVERAGEIFS('09월 고철장입'!$AJ$14:$AJ$949,'09월 고철장입'!$B$14:$B$949,$A113,'09월 고철장입'!$C$14:$C$949,$B114))/1000)</f>
        <v/>
      </c>
      <c r="V114" s="1102" t="str">
        <f>IF($C114&lt;1,"",(AVERAGEIFS('09월 고철장입'!$AK$14:$AK$949,'09월 고철장입'!$B$14:$B$949,$A113,'09월 고철장입'!$C$14:$C$949,$B114)))</f>
        <v/>
      </c>
      <c r="W114" s="1058" t="str">
        <f t="shared" si="20"/>
        <v/>
      </c>
      <c r="X114" s="1059" t="str">
        <f>IF($C114&lt;1,"",(AVERAGEIFS('09월 에너지'!$O$14:$O$949,'09월 에너지'!$A$14:$A$949,$A113,'09월 에너지'!$C$14:$C$949,$B114)))</f>
        <v/>
      </c>
      <c r="Y114" s="1060" t="str">
        <f>IF($C114&lt;1,"",(AVERAGEIFS('09월 에너지'!$P$14:$P$949,'09월 에너지'!$A$14:$A$949,$A113,'09월 에너지'!$C$14:$C$949,$B114)))</f>
        <v/>
      </c>
      <c r="Z114" s="1060" t="str">
        <f>IF($C114&lt;1,"",(AVERAGEIFS('09월 에너지'!$Q$14:$Q$949,'09월 에너지'!$A$14:$A$949,$A113,'09월 에너지'!$C$14:$C$949,$B114)))</f>
        <v/>
      </c>
      <c r="AA114" s="1061" t="str">
        <f>IF($C114&lt;1,"",(AVERAGEIFS('09월 에너지'!$R$14:$R$949,'09월 에너지'!$B$14:$B$949,$A113,'09월 에너지'!$C$14:$C$949,$B114)))</f>
        <v/>
      </c>
      <c r="AB114" s="1062" t="str">
        <f>IF($C114&lt;1,"",(AVERAGEIFS('09월 에너지'!$X$14:$X$949,'09월 에너지'!$A$14:$A$949,$A113,'09월 에너지'!$C$14:$C$949,$B114)))</f>
        <v/>
      </c>
      <c r="AC114" s="1063" t="str">
        <f>IF($C114&lt;1,"",(AVERAGEIFS('09월 에너지'!$AC$14:$AC$949,'09월 에너지'!$A$14:$A$949,$A113,'09월 에너지'!$C$14:$C$949,$B114)))</f>
        <v/>
      </c>
      <c r="AD114" s="1064" t="str">
        <f>IF($C114&lt;1,"",(AVERAGEIFS('09월 에너지'!$AD$14:$AD$949,'09월 에너지'!$B$14:$B$949,$A113,'09월 에너지'!$C$14:$C$949,$B114)))</f>
        <v/>
      </c>
      <c r="AE114" s="1065" t="str">
        <f>IF($C114&lt;1,"",(AVERAGEIFS('09월 에너지'!$AE$14:$AE$949,'09월 에너지'!$B$14:$B$949,$A113,'09월 에너지'!$C$14:$C$949,$B114)))</f>
        <v/>
      </c>
      <c r="AF114" s="1066" t="str">
        <f>IF($C114&lt;1,"",(AVERAGEIFS('09월 에너지'!$AI$14:$AI$949,'09월 에너지'!$B$14:$B$949,$A113,'09월 에너지'!$C$14:$C$949,$B114)))</f>
        <v/>
      </c>
      <c r="AG114" s="1067" t="str">
        <f>IF($C114&lt;1,"",(AVERAGEIFS('09월 에너지'!$AJ$14:$AJ$949,'09월 에너지'!$B$14:$B$949,$A113,'09월 에너지'!$C$14:$C$949,$B114)))</f>
        <v/>
      </c>
    </row>
    <row r="115" spans="1:33" ht="16.5" customHeight="1" thickTop="1" thickBot="1">
      <c r="A115" s="1632"/>
      <c r="B115" s="781" t="s">
        <v>93</v>
      </c>
      <c r="C115" s="782">
        <f>COUNTIFS('09월 조업일지'!$B$12:$B$952,A113,'09월 조업일지'!$E$12:$E$952,B115)</f>
        <v>5</v>
      </c>
      <c r="D115" s="1047">
        <f t="shared" si="21"/>
        <v>51.600000000000009</v>
      </c>
      <c r="E115" s="1048">
        <f>IF($C115&lt;1,"",(SUMIFS('09월 조업일지'!$K$12:$K$954,'09월 조업일지'!$B$12:$B$954,$A113,'09월 조업일지'!$E$12:$E$954,$B115)/$C115))</f>
        <v>0</v>
      </c>
      <c r="F115" s="1049">
        <f>IF($C115&lt;1,"",(AVERAGEIFS('09월 조업일지'!$J$12:$J$954,'09월 조업일지'!$B$12:$B$954,$A113,'09월 조업일지'!$E$12:$E$954,$B115)))</f>
        <v>51.600000000000009</v>
      </c>
      <c r="G115" s="1050">
        <f>IF($C115&lt;1,"",(AVERAGEIFS('09월 에너지'!$M$14:$M$950,'09월 에너지'!$B$14:$B$950,$A113,'09월 에너지'!$C$14:$C$950,$B115)))</f>
        <v>41.9</v>
      </c>
      <c r="H115" s="1051">
        <f>IF($C115&lt;1,"",(AVERAGEIFS('09월 조업일지'!$AJ$12:$AJ$954,'09월 조업일지'!$B$12:$B$954,$A113,'09월 조업일지'!$E$12:$E$954,$B115)))</f>
        <v>66.2</v>
      </c>
      <c r="I115" s="1052">
        <f>IF($C115&lt;1,"",(AVERAGEIFS('09월 조업일지'!$AL$12:$AL$954,'09월 조업일지'!$B$12:$B$954,$A113,'09월 조업일지'!$E$12:$E$954,$B115)))</f>
        <v>6.4</v>
      </c>
      <c r="J115" s="1053">
        <f>IF($C115&lt;1,"",(AVERAGEIFS('09월 화학성분'!G$12:G$950,'09월 화학성분'!$B$12:$B$950,$A113,'09월 화학성분'!$D$12:$D$950,$B115)))</f>
        <v>7.6</v>
      </c>
      <c r="K115" s="1054">
        <f>IF($C115&lt;1,"",(AVERAGEIFS('09월 화학성분'!H$12:H$950,'09월 화학성분'!$B$12:$B$950,$A113,'09월 화학성분'!$D$12:$D$950,$B115)))</f>
        <v>13.8</v>
      </c>
      <c r="L115" s="1054">
        <f>IF($C115&lt;1,"",(AVERAGEIFS('09월 화학성분'!I$12:I$950,'09월 화학성분'!$B$12:$B$950,$A113,'09월 화학성분'!$D$12:$D$950,$B115)))</f>
        <v>51</v>
      </c>
      <c r="M115" s="1054">
        <f>IF($C115&lt;1,"",(AVERAGEIFS('09월 화학성분'!J$12:J$950,'09월 화학성분'!$B$12:$B$950,$A113,'09월 화학성분'!$D$12:$D$950,$B115)))</f>
        <v>19.399999999999999</v>
      </c>
      <c r="N115" s="1054">
        <f>IF($C115&lt;1,"",(AVERAGEIFS('09월 화학성분'!K$12:K$950,'09월 화학성분'!$B$12:$B$950,$A113,'09월 화학성분'!$D$12:$D$950,$B115)))</f>
        <v>28.4</v>
      </c>
      <c r="O115" s="1054">
        <f>IF($C115&lt;1,"",(AVERAGEIFS('09월 화학성분'!L$12:L$950,'09월 화학성분'!$B$12:$B$950,$A113,'09월 화학성분'!$D$12:$D$950,$B115)))</f>
        <v>14</v>
      </c>
      <c r="P115" s="1054">
        <f>IF($C115&lt;1,"",(AVERAGEIFS('09월 화학성분'!M$12:M$950,'09월 화학성분'!$B$12:$B$950,$A113,'09월 화학성분'!$D$12:$D$950,$B115)))</f>
        <v>9.4</v>
      </c>
      <c r="Q115" s="1054">
        <f>IF($C115&lt;1,"",(AVERAGEIFS('09월 조업일지'!$AK$12:$AK$954,'09월 조업일지'!$B$12:$B$954,$A113,'09월 조업일지'!$E$12:$E$954,$B115)))</f>
        <v>627.6</v>
      </c>
      <c r="R115" s="1054">
        <f>IF($C115&lt;1,"",(AVERAGEIFS('09월 화학성분'!$G$12:$G$950,'09월 화학성분'!$B$12:$B$950,$A113,'09월 화학성분'!$D$12:$D$950,$B115)))</f>
        <v>7.6</v>
      </c>
      <c r="S115" s="1055">
        <f>IF($C115&lt;1,"",(AVERAGEIFS('09월 조업일지'!$AI$12:$AI$954,'09월 조업일지'!$B$12:$B$954,$A113,'09월 조업일지'!$E$12:$E$954,$B115)))</f>
        <v>1599.2</v>
      </c>
      <c r="T115" s="1056">
        <f>IF($C115&lt;1,"",(AVERAGEIFS('09월 화학성분'!$AM$12:$AM$949,'09월 화학성분'!$B$12:$B$949,$A113,'09월 화학성분'!$D$12:$D$949,$B115)))</f>
        <v>2696.4</v>
      </c>
      <c r="U115" s="1057">
        <f>IF($C115&lt;1,"",(AVERAGEIFS('09월 고철장입'!$AJ$14:$AJ$949,'09월 고철장입'!$B$14:$B$949,$A113,'09월 고철장입'!$C$14:$C$949,$B115))/1000)</f>
        <v>140.24</v>
      </c>
      <c r="V115" s="1102">
        <f>IF($C115&lt;1,"",(AVERAGEIFS('09월 고철장입'!$AK$14:$AK$949,'09월 고철장입'!$B$14:$B$949,$A113,'09월 고철장입'!$C$14:$C$949,$B115)))</f>
        <v>133.52000000000001</v>
      </c>
      <c r="W115" s="1058">
        <f t="shared" si="20"/>
        <v>95.208214489446661</v>
      </c>
      <c r="X115" s="1059">
        <f>IF($C115&lt;1,"",(AVERAGEIFS('09월 에너지'!$O$14:$O$949,'09월 에너지'!$A$14:$A$949,$A113,'09월 에너지'!$C$14:$C$949,$B115)))</f>
        <v>186.25776713210649</v>
      </c>
      <c r="Y115" s="1060">
        <f>IF($C115&lt;1,"",(AVERAGEIFS('09월 에너지'!$P$14:$P$949,'09월 에너지'!$A$14:$A$949,$A113,'09월 에너지'!$C$14:$C$949,$B115)))</f>
        <v>85.773780770040801</v>
      </c>
      <c r="Z115" s="1060">
        <f>IF($C115&lt;1,"",(AVERAGEIFS('09월 에너지'!$Q$14:$Q$949,'09월 에너지'!$A$14:$A$949,$A113,'09월 에너지'!$C$14:$C$949,$B115)))</f>
        <v>140.16835901484745</v>
      </c>
      <c r="AA115" s="1061">
        <f>IF($C115&lt;1,"",(AVERAGEIFS('09월 에너지'!$R$14:$R$949,'09월 에너지'!$B$14:$B$949,$A113,'09월 에너지'!$C$14:$C$949,$B115)))</f>
        <v>412.19990691699479</v>
      </c>
      <c r="AB115" s="1062">
        <f>IF($C115&lt;1,"",(AVERAGEIFS('09월 에너지'!$X$14:$X$949,'09월 에너지'!$A$14:$A$949,$A113,'09월 에너지'!$C$14:$C$949,$B115)))</f>
        <v>2.6728862895974839</v>
      </c>
      <c r="AC115" s="1063">
        <f>IF($C115&lt;1,"",(AVERAGEIFS('09월 에너지'!$AC$14:$AC$949,'09월 에너지'!$A$14:$A$949,$A113,'09월 에너지'!$C$14:$C$949,$B115)))</f>
        <v>28.468596241604359</v>
      </c>
      <c r="AD115" s="1064">
        <f>IF($C115&lt;1,"",(AVERAGEIFS('09월 에너지'!$AD$14:$AD$949,'09월 에너지'!$B$14:$B$949,$A113,'09월 에너지'!$C$14:$C$949,$B115)))</f>
        <v>4145</v>
      </c>
      <c r="AE115" s="1065">
        <f>IF($C115&lt;1,"",(AVERAGEIFS('09월 에너지'!$AE$14:$AE$949,'09월 에너지'!$B$14:$B$949,$A113,'09월 에너지'!$C$14:$C$949,$B115)))</f>
        <v>31.141482531201842</v>
      </c>
      <c r="AF115" s="1066">
        <f>IF($C115&lt;1,"",(AVERAGEIFS('09월 에너지'!$AI$14:$AI$949,'09월 에너지'!$B$14:$B$949,$A113,'09월 에너지'!$C$14:$C$949,$B115)))</f>
        <v>127.6</v>
      </c>
      <c r="AG115" s="1067">
        <f>IF($C115&lt;1,"",(AVERAGEIFS('09월 에너지'!$AJ$14:$AJ$949,'09월 에너지'!$B$14:$B$949,$A113,'09월 에너지'!$C$14:$C$949,$B115)))</f>
        <v>0.94472578746728431</v>
      </c>
    </row>
    <row r="116" spans="1:33" ht="16.5" customHeight="1" thickTop="1" thickBot="1">
      <c r="A116" s="1632"/>
      <c r="B116" s="783" t="s">
        <v>94</v>
      </c>
      <c r="C116" s="784">
        <f>COUNTIFS('09월 조업일지'!$B$12:$B$952,A113,'09월 조업일지'!$E$12:$E$952,B116)</f>
        <v>4</v>
      </c>
      <c r="D116" s="1068">
        <f t="shared" si="21"/>
        <v>53.499999999999943</v>
      </c>
      <c r="E116" s="1069">
        <f>IF($C116&lt;1,"",(SUMIFS('09월 조업일지'!$K$12:$K$954,'09월 조업일지'!$B$12:$B$954,$A113,'09월 조업일지'!$E$12:$E$954,$B116)/$C116))</f>
        <v>127.5</v>
      </c>
      <c r="F116" s="1070">
        <f>IF($C116&lt;1,"",(AVERAGEIFS('09월 조업일지'!$J$12:$J$954,'09월 조업일지'!$B$12:$B$954,$A113,'09월 조업일지'!$E$12:$E$954,$B116)))</f>
        <v>180.99999999999994</v>
      </c>
      <c r="G116" s="1071">
        <f>IF($C116&lt;1,"",(AVERAGEIFS('09월 에너지'!$M$14:$M$950,'09월 에너지'!$B$14:$B$950,$A113,'09월 에너지'!$C$14:$C$950,$B116)))</f>
        <v>48.75</v>
      </c>
      <c r="H116" s="1072">
        <f>IF($C116&lt;1,"",(AVERAGEIFS('09월 조업일지'!$AJ$12:$AJ$954,'09월 조업일지'!$B$12:$B$954,$A113,'09월 조업일지'!$E$12:$E$954,$B116)))</f>
        <v>29.5</v>
      </c>
      <c r="I116" s="1073">
        <f>IF($C116&lt;1,"",(AVERAGEIFS('09월 조업일지'!$AL$12:$AL$954,'09월 조업일지'!$B$12:$B$954,$A113,'09월 조업일지'!$E$12:$E$954,$B116)))</f>
        <v>5.25</v>
      </c>
      <c r="J116" s="1074">
        <f>IF($C116&lt;1,"",(AVERAGEIFS('09월 화학성분'!G$12:G$950,'09월 화학성분'!$B$12:$B$950,$A113,'09월 화학성분'!$D$12:$D$950,$B116)))</f>
        <v>8.5</v>
      </c>
      <c r="K116" s="1075">
        <f>IF($C116&lt;1,"",(AVERAGEIFS('09월 화학성분'!H$12:H$950,'09월 화학성분'!$B$12:$B$950,$A113,'09월 화학성분'!$D$12:$D$950,$B116)))</f>
        <v>20.75</v>
      </c>
      <c r="L116" s="1075">
        <f>IF($C116&lt;1,"",(AVERAGEIFS('09월 화학성분'!I$12:I$950,'09월 화학성분'!$B$12:$B$950,$A113,'09월 화학성분'!$D$12:$D$950,$B116)))</f>
        <v>69</v>
      </c>
      <c r="M116" s="1075">
        <f>IF($C116&lt;1,"",(AVERAGEIFS('09월 화학성분'!J$12:J$950,'09월 화학성분'!$B$12:$B$950,$A113,'09월 화학성분'!$D$12:$D$950,$B116)))</f>
        <v>14.5</v>
      </c>
      <c r="N116" s="1075">
        <f>IF($C116&lt;1,"",(AVERAGEIFS('09월 화학성분'!K$12:K$950,'09월 화학성분'!$B$12:$B$950,$A113,'09월 화학성분'!$D$12:$D$950,$B116)))</f>
        <v>21.75</v>
      </c>
      <c r="O116" s="1075">
        <f>IF($C116&lt;1,"",(AVERAGEIFS('09월 화학성분'!L$12:L$950,'09월 화학성분'!$B$12:$B$950,$A113,'09월 화학성분'!$D$12:$D$950,$B116)))</f>
        <v>11</v>
      </c>
      <c r="P116" s="1075">
        <f>IF($C116&lt;1,"",(AVERAGEIFS('09월 화학성분'!M$12:M$950,'09월 화학성분'!$B$12:$B$950,$A113,'09월 화학성분'!$D$12:$D$950,$B116)))</f>
        <v>9.5</v>
      </c>
      <c r="Q116" s="1075">
        <f>IF($C116&lt;1,"",(AVERAGEIFS('09월 조업일지'!$AK$12:$AK$954,'09월 조업일지'!$B$12:$B$954,$A113,'09월 조업일지'!$E$12:$E$954,$B116)))</f>
        <v>734.75</v>
      </c>
      <c r="R116" s="1075">
        <f>IF($C116&lt;1,"",(AVERAGEIFS('09월 화학성분'!$G$12:$G$950,'09월 화학성분'!$B$12:$B$950,$A113,'09월 화학성분'!$D$12:$D$950,$B116)))</f>
        <v>8.5</v>
      </c>
      <c r="S116" s="1076">
        <f>IF($C116&lt;1,"",(AVERAGEIFS('09월 조업일지'!$AI$12:$AI$954,'09월 조업일지'!$B$12:$B$954,$A113,'09월 조업일지'!$E$12:$E$954,$B116)))</f>
        <v>1555.25</v>
      </c>
      <c r="T116" s="1077">
        <f>IF($C116&lt;1,"",(AVERAGEIFS('09월 화학성분'!$AM$12:$AM$949,'09월 화학성분'!$B$12:$B$949,$A113,'09월 화학성분'!$D$12:$D$949,$B116)))</f>
        <v>2772.5</v>
      </c>
      <c r="U116" s="1078">
        <f>IF($C116&lt;1,"",(AVERAGEIFS('09월 고철장입'!$AJ$14:$AJ$949,'09월 고철장입'!$B$14:$B$949,$A113,'09월 고철장입'!$C$14:$C$949,$B116))/1000)</f>
        <v>157.85050000000001</v>
      </c>
      <c r="V116" s="1103">
        <f>IF($C116&lt;1,"",(AVERAGEIFS('09월 고철장입'!$AK$14:$AK$949,'09월 고철장입'!$B$14:$B$949,$A113,'09월 고철장입'!$C$14:$C$949,$B116)))</f>
        <v>137.05000000000001</v>
      </c>
      <c r="W116" s="1079">
        <f t="shared" si="20"/>
        <v>86.822658148057812</v>
      </c>
      <c r="X116" s="1080">
        <f>IF($C116&lt;1,"",(AVERAGEIFS('09월 에너지'!$O$14:$O$949,'09월 에너지'!$A$14:$A$949,$A113,'09월 에너지'!$C$14:$C$949,$B116)))</f>
        <v>179.26392850877031</v>
      </c>
      <c r="Y116" s="1081">
        <f>IF($C116&lt;1,"",(AVERAGEIFS('09월 에너지'!$P$14:$P$949,'09월 에너지'!$A$14:$A$949,$A113,'09월 에너지'!$C$14:$C$949,$B116)))</f>
        <v>152.2727692031992</v>
      </c>
      <c r="Z116" s="1081">
        <f>IF($C116&lt;1,"",(AVERAGEIFS('09월 에너지'!$Q$14:$Q$949,'09월 에너지'!$A$14:$A$949,$A113,'09월 에너지'!$C$14:$C$949,$B116)))</f>
        <v>96.148683194316661</v>
      </c>
      <c r="AA116" s="1082">
        <f>IF($C116&lt;1,"",(AVERAGEIFS('09월 에너지'!$R$14:$R$949,'09월 에너지'!$B$14:$B$949,$A113,'09월 에너지'!$C$14:$C$949,$B116)))</f>
        <v>427.68538090628613</v>
      </c>
      <c r="AB116" s="1083">
        <f>IF($C116&lt;1,"",(AVERAGEIFS('09월 에너지'!$X$14:$X$949,'09월 에너지'!$A$14:$A$949,$A113,'09월 에너지'!$C$14:$C$949,$B116)))</f>
        <v>2.5324905179876001</v>
      </c>
      <c r="AC116" s="1084">
        <f>IF($C116&lt;1,"",(AVERAGEIFS('09월 에너지'!$AC$14:$AC$949,'09월 에너지'!$A$14:$A$949,$A113,'09월 에너지'!$C$14:$C$949,$B116)))</f>
        <v>26.845947584203756</v>
      </c>
      <c r="AD116" s="1085">
        <f>IF($C116&lt;1,"",(AVERAGEIFS('09월 에너지'!$AD$14:$AD$949,'09월 에너지'!$B$14:$B$949,$A113,'09월 에너지'!$C$14:$C$949,$B116)))</f>
        <v>4023.5</v>
      </c>
      <c r="AE116" s="1086">
        <f>IF($C116&lt;1,"",(AVERAGEIFS('09월 에너지'!$AE$14:$AE$949,'09월 에너지'!$B$14:$B$949,$A113,'09월 에너지'!$C$14:$C$949,$B116)))</f>
        <v>29.37843810219136</v>
      </c>
      <c r="AF116" s="1087">
        <f>IF($C116&lt;1,"",(AVERAGEIFS('09월 에너지'!$AI$14:$AI$949,'09월 에너지'!$B$14:$B$949,$A113,'09월 에너지'!$C$14:$C$949,$B116)))</f>
        <v>143.25</v>
      </c>
      <c r="AG116" s="1088">
        <f>IF($C116&lt;1,"",(AVERAGEIFS('09월 에너지'!$AJ$14:$AJ$949,'09월 에너지'!$B$14:$B$949,$A113,'09월 에너지'!$C$14:$C$949,$B116)))</f>
        <v>1.0475567395191996</v>
      </c>
    </row>
    <row r="117" spans="1:33" ht="16.5" customHeight="1" thickTop="1" thickBot="1">
      <c r="A117" s="1632">
        <f t="shared" ref="A117" si="34">A113+1</f>
        <v>46294</v>
      </c>
      <c r="B117" s="775" t="s">
        <v>128</v>
      </c>
      <c r="C117" s="776">
        <f>COUNTIFS('09월 조업일지'!$B$12:$B$952,A117,'09월 조업일지'!$E$12:$E$952,B117)</f>
        <v>0</v>
      </c>
      <c r="D117" s="1026" t="str">
        <f t="shared" si="21"/>
        <v/>
      </c>
      <c r="E117" s="1027" t="str">
        <f>IF($C117&lt;1,"",(SUMIFS('09월 조업일지'!$K$12:$K$954,'09월 조업일지'!$B$12:$B$954,$A117,'09월 조업일지'!$E$12:$E$954,$B117)/$C117))</f>
        <v/>
      </c>
      <c r="F117" s="1028" t="str">
        <f>IF($C117&lt;1,"",(AVERAGEIFS('09월 조업일지'!$J$12:$J$954,'09월 조업일지'!$B$12:$B$954,$A117,'09월 조업일지'!$E$12:$E$954,$B117)))</f>
        <v/>
      </c>
      <c r="G117" s="1029" t="str">
        <f>IF($C117&lt;1,"",(AVERAGEIFS('09월 에너지'!$M$14:$M$950,'09월 에너지'!$B$14:$B$950,$A117,'09월 에너지'!$C$14:$C$950,$B117)))</f>
        <v/>
      </c>
      <c r="H117" s="1030" t="str">
        <f>IF($C117&lt;1,"",(AVERAGEIFS('09월 조업일지'!$AJ$12:$AJ$954,'09월 조업일지'!$B$12:$B$954,$A117,'09월 조업일지'!$E$12:$E$954,$B117)))</f>
        <v/>
      </c>
      <c r="I117" s="1031" t="str">
        <f>IF($C117&lt;1,"",(AVERAGEIFS('09월 조업일지'!$AL$12:$AL$954,'09월 조업일지'!$B$12:$B$954,$A117,'09월 조업일지'!$E$12:$E$954,$B117)))</f>
        <v/>
      </c>
      <c r="J117" s="1032" t="str">
        <f>IF($C117&lt;1,"",(AVERAGEIFS('09월 화학성분'!G$12:G$950,'09월 화학성분'!$B$12:$B$950,$A117,'09월 화학성분'!$D$12:$D$950,$B117)))</f>
        <v/>
      </c>
      <c r="K117" s="1033" t="str">
        <f>IF($C117&lt;1,"",(AVERAGEIFS('09월 화학성분'!H$12:H$950,'09월 화학성분'!$B$12:$B$950,$A117,'09월 화학성분'!$D$12:$D$950,$B117)))</f>
        <v/>
      </c>
      <c r="L117" s="1033" t="str">
        <f>IF($C117&lt;1,"",(AVERAGEIFS('09월 화학성분'!I$12:I$950,'09월 화학성분'!$B$12:$B$950,$A117,'09월 화학성분'!$D$12:$D$950,$B117)))</f>
        <v/>
      </c>
      <c r="M117" s="1033" t="str">
        <f>IF($C117&lt;1,"",(AVERAGEIFS('09월 화학성분'!J$12:J$950,'09월 화학성분'!$B$12:$B$950,$A117,'09월 화학성분'!$D$12:$D$950,$B117)))</f>
        <v/>
      </c>
      <c r="N117" s="1033" t="str">
        <f>IF($C117&lt;1,"",(AVERAGEIFS('09월 화학성분'!K$12:K$950,'09월 화학성분'!$B$12:$B$950,$A117,'09월 화학성분'!$D$12:$D$950,$B117)))</f>
        <v/>
      </c>
      <c r="O117" s="1033" t="str">
        <f>IF($C117&lt;1,"",(AVERAGEIFS('09월 화학성분'!L$12:L$950,'09월 화학성분'!$B$12:$B$950,$A117,'09월 화학성분'!$D$12:$D$950,$B117)))</f>
        <v/>
      </c>
      <c r="P117" s="1033" t="str">
        <f>IF($C117&lt;1,"",(AVERAGEIFS('09월 화학성분'!M$12:M$950,'09월 화학성분'!$B$12:$B$950,$A117,'09월 화학성분'!$D$12:$D$950,$B117)))</f>
        <v/>
      </c>
      <c r="Q117" s="1033" t="str">
        <f>IF($C117&lt;1,"",(AVERAGEIFS('09월 조업일지'!$AK$12:$AK$954,'09월 조업일지'!$B$12:$B$954,$A117,'09월 조업일지'!$E$12:$E$954,$B117)))</f>
        <v/>
      </c>
      <c r="R117" s="1033" t="str">
        <f>IF($C117&lt;1,"",(AVERAGEIFS('09월 화학성분'!$G$12:$G$950,'09월 화학성분'!$B$12:$B$950,$A117,'09월 화학성분'!$D$12:$D$950,$B117)))</f>
        <v/>
      </c>
      <c r="S117" s="1034" t="str">
        <f>IF($C117&lt;1,"",(AVERAGEIFS('09월 조업일지'!$AI$12:$AI$954,'09월 조업일지'!$B$12:$B$954,$A117,'09월 조업일지'!$E$12:$E$954,$B117)))</f>
        <v/>
      </c>
      <c r="T117" s="1035" t="str">
        <f>IF($C117&lt;1,"",(AVERAGEIFS('09월 화학성분'!$AM$12:$AM$949,'09월 화학성분'!$B$12:$B$949,$A117,'09월 화학성분'!$D$12:$D$949,$B117)))</f>
        <v/>
      </c>
      <c r="U117" s="1036" t="str">
        <f>IF($C117&lt;1,"",(AVERAGEIFS('09월 고철장입'!$AJ$14:$AJ$949,'09월 고철장입'!$B$14:$B$949,$A117,'09월 고철장입'!$C$14:$C$949,$B117))/1000)</f>
        <v/>
      </c>
      <c r="V117" s="1101" t="str">
        <f>IF($C117&lt;1,"",(AVERAGEIFS('09월 고철장입'!$AK$14:$AK$949,'09월 고철장입'!$B$14:$B$949,$A117,'09월 고철장입'!$C$14:$C$949,$B117)))</f>
        <v/>
      </c>
      <c r="W117" s="1037" t="str">
        <f t="shared" si="20"/>
        <v/>
      </c>
      <c r="X117" s="1038" t="str">
        <f>IF($C117&lt;1,"",(AVERAGEIFS('09월 에너지'!$O$14:$O$949,'09월 에너지'!$A$14:$A$949,$A117,'09월 에너지'!$C$14:$C$949,$B117)))</f>
        <v/>
      </c>
      <c r="Y117" s="1039" t="str">
        <f>IF($C117&lt;1,"",(AVERAGEIFS('09월 에너지'!$P$14:$P$949,'09월 에너지'!$A$14:$A$949,$A117,'09월 에너지'!$C$14:$C$949,$B117)))</f>
        <v/>
      </c>
      <c r="Z117" s="1039" t="str">
        <f>IF($C117&lt;1,"",(AVERAGEIFS('09월 에너지'!$Q$14:$Q$949,'09월 에너지'!$A$14:$A$949,$A117,'09월 에너지'!$C$14:$C$949,$B117)))</f>
        <v/>
      </c>
      <c r="AA117" s="1040" t="str">
        <f>IF($C117&lt;1,"",(AVERAGEIFS('09월 에너지'!$R$14:$R$949,'09월 에너지'!$B$14:$B$949,$A117,'09월 에너지'!$C$14:$C$949,$B117)))</f>
        <v/>
      </c>
      <c r="AB117" s="1041" t="str">
        <f>IF($C117&lt;1,"",(AVERAGEIFS('09월 에너지'!$X$14:$X$949,'09월 에너지'!$A$14:$A$949,$A117,'09월 에너지'!$C$14:$C$949,$B117)))</f>
        <v/>
      </c>
      <c r="AC117" s="1042" t="str">
        <f>IF($C117&lt;1,"",(AVERAGEIFS('09월 에너지'!$AC$14:$AC$949,'09월 에너지'!$A$14:$A$949,$A117,'09월 에너지'!$C$14:$C$949,$B117)))</f>
        <v/>
      </c>
      <c r="AD117" s="1043" t="str">
        <f>IF($C117&lt;1,"",(AVERAGEIFS('09월 에너지'!$AD$14:$AD$949,'09월 에너지'!$B$14:$B$949,$A117,'09월 에너지'!$C$14:$C$949,$B117)))</f>
        <v/>
      </c>
      <c r="AE117" s="1044" t="str">
        <f>IF($C117&lt;1,"",(AVERAGEIFS('09월 에너지'!$AE$14:$AE$949,'09월 에너지'!$B$14:$B$949,$A117,'09월 에너지'!$C$14:$C$949,$B117)))</f>
        <v/>
      </c>
      <c r="AF117" s="1045" t="str">
        <f>IF($C117&lt;1,"",(AVERAGEIFS('09월 에너지'!$AI$14:$AI$949,'09월 에너지'!$B$14:$B$949,$A117,'09월 에너지'!$C$14:$C$949,$B117)))</f>
        <v/>
      </c>
      <c r="AG117" s="1046" t="str">
        <f>IF($C117&lt;1,"",(AVERAGEIFS('09월 에너지'!$AJ$14:$AJ$949,'09월 에너지'!$B$14:$B$949,$A117,'09월 에너지'!$C$14:$C$949,$B117)))</f>
        <v/>
      </c>
    </row>
    <row r="118" spans="1:33" ht="16.5" customHeight="1" thickTop="1" thickBot="1">
      <c r="A118" s="1632"/>
      <c r="B118" s="781" t="s">
        <v>100</v>
      </c>
      <c r="C118" s="782">
        <f>COUNTIFS('09월 조업일지'!$B$12:$B$952,A117,'09월 조업일지'!$E$12:$E$952,B118)</f>
        <v>10</v>
      </c>
      <c r="D118" s="1047">
        <f t="shared" si="21"/>
        <v>46.400000000000034</v>
      </c>
      <c r="E118" s="1048">
        <f>IF($C118&lt;1,"",(SUMIFS('09월 조업일지'!$K$12:$K$954,'09월 조업일지'!$B$12:$B$954,$A117,'09월 조업일지'!$E$12:$E$954,$B118)/$C118))</f>
        <v>0</v>
      </c>
      <c r="F118" s="1049">
        <f>IF($C118&lt;1,"",(AVERAGEIFS('09월 조업일지'!$J$12:$J$954,'09월 조업일지'!$B$12:$B$954,$A117,'09월 조업일지'!$E$12:$E$954,$B118)))</f>
        <v>46.400000000000034</v>
      </c>
      <c r="G118" s="1050">
        <f>IF($C118&lt;1,"",(AVERAGEIFS('09월 에너지'!$M$14:$M$950,'09월 에너지'!$B$14:$B$950,$A117,'09월 에너지'!$C$14:$C$950,$B118)))</f>
        <v>45.06</v>
      </c>
      <c r="H118" s="1051">
        <f>IF($C118&lt;1,"",(AVERAGEIFS('09월 조업일지'!$AJ$12:$AJ$954,'09월 조업일지'!$B$12:$B$954,$A117,'09월 조업일지'!$E$12:$E$954,$B118)))</f>
        <v>38</v>
      </c>
      <c r="I118" s="1052">
        <f>IF($C118&lt;1,"",(AVERAGEIFS('09월 조업일지'!$AL$12:$AL$954,'09월 조업일지'!$B$12:$B$954,$A117,'09월 조업일지'!$E$12:$E$954,$B118)))</f>
        <v>7.1</v>
      </c>
      <c r="J118" s="1053">
        <f>IF($C118&lt;1,"",(AVERAGEIFS('09월 화학성분'!G$12:G$950,'09월 화학성분'!$B$12:$B$950,$A117,'09월 화학성분'!$D$12:$D$950,$B118)))</f>
        <v>9.1999999999999993</v>
      </c>
      <c r="K118" s="1054">
        <f>IF($C118&lt;1,"",(AVERAGEIFS('09월 화학성분'!H$12:H$950,'09월 화학성분'!$B$12:$B$950,$A117,'09월 화학성분'!$D$12:$D$950,$B118)))</f>
        <v>21.1</v>
      </c>
      <c r="L118" s="1054">
        <f>IF($C118&lt;1,"",(AVERAGEIFS('09월 화학성분'!I$12:I$950,'09월 화학성분'!$B$12:$B$950,$A117,'09월 화학성분'!$D$12:$D$950,$B118)))</f>
        <v>52.9</v>
      </c>
      <c r="M118" s="1054">
        <f>IF($C118&lt;1,"",(AVERAGEIFS('09월 화학성분'!J$12:J$950,'09월 화학성분'!$B$12:$B$950,$A117,'09월 화학성분'!$D$12:$D$950,$B118)))</f>
        <v>15.1</v>
      </c>
      <c r="N118" s="1054">
        <f>IF($C118&lt;1,"",(AVERAGEIFS('09월 화학성분'!K$12:K$950,'09월 화학성분'!$B$12:$B$950,$A117,'09월 화학성분'!$D$12:$D$950,$B118)))</f>
        <v>29</v>
      </c>
      <c r="O118" s="1054">
        <f>IF($C118&lt;1,"",(AVERAGEIFS('09월 화학성분'!L$12:L$950,'09월 화학성분'!$B$12:$B$950,$A117,'09월 화학성분'!$D$12:$D$950,$B118)))</f>
        <v>13.7</v>
      </c>
      <c r="P118" s="1054">
        <f>IF($C118&lt;1,"",(AVERAGEIFS('09월 화학성분'!M$12:M$950,'09월 화학성분'!$B$12:$B$950,$A117,'09월 화학성분'!$D$12:$D$950,$B118)))</f>
        <v>9.9</v>
      </c>
      <c r="Q118" s="1054">
        <f>IF($C118&lt;1,"",(AVERAGEIFS('09월 조업일지'!$AK$12:$AK$954,'09월 조업일지'!$B$12:$B$954,$A117,'09월 조업일지'!$E$12:$E$954,$B118)))</f>
        <v>580.79999999999995</v>
      </c>
      <c r="R118" s="1054">
        <f>IF($C118&lt;1,"",(AVERAGEIFS('09월 화학성분'!$G$12:$G$950,'09월 화학성분'!$B$12:$B$950,$A117,'09월 화학성분'!$D$12:$D$950,$B118)))</f>
        <v>9.1999999999999993</v>
      </c>
      <c r="S118" s="1055">
        <f>IF($C118&lt;1,"",(AVERAGEIFS('09월 조업일지'!$AI$12:$AI$954,'09월 조업일지'!$B$12:$B$954,$A117,'09월 조업일지'!$E$12:$E$954,$B118)))</f>
        <v>1574</v>
      </c>
      <c r="T118" s="1056">
        <f>IF($C118&lt;1,"",(AVERAGEIFS('09월 화학성분'!$AM$12:$AM$949,'09월 화학성분'!$B$12:$B$949,$A117,'09월 화학성분'!$D$12:$D$949,$B118)))</f>
        <v>1713.5</v>
      </c>
      <c r="U118" s="1057">
        <f>IF($C118&lt;1,"",(AVERAGEIFS('09월 고철장입'!$AJ$14:$AJ$949,'09월 고철장입'!$B$14:$B$949,$A117,'09월 고철장입'!$C$14:$C$949,$B118))/1000)</f>
        <v>158.81</v>
      </c>
      <c r="V118" s="1102">
        <f>IF($C118&lt;1,"",(AVERAGEIFS('09월 고철장입'!$AK$14:$AK$949,'09월 고철장입'!$B$14:$B$949,$A117,'09월 고철장입'!$C$14:$C$949,$B118)))</f>
        <v>145.77000000000001</v>
      </c>
      <c r="W118" s="1058">
        <f t="shared" si="20"/>
        <v>91.788930168125432</v>
      </c>
      <c r="X118" s="1059">
        <f>IF($C118&lt;1,"",(AVERAGEIFS('09월 에너지'!$O$14:$O$949,'09월 에너지'!$A$14:$A$949,$A117,'09월 에너지'!$C$14:$C$949,$B118)))</f>
        <v>160.0666085988606</v>
      </c>
      <c r="Y118" s="1060">
        <f>IF($C118&lt;1,"",(AVERAGEIFS('09월 에너지'!$P$14:$P$949,'09월 에너지'!$A$14:$A$949,$A117,'09월 에너지'!$C$14:$C$949,$B118)))</f>
        <v>142.09523767924003</v>
      </c>
      <c r="Z118" s="1060">
        <f>IF($C118&lt;1,"",(AVERAGEIFS('09월 에너지'!$Q$14:$Q$949,'09월 에너지'!$A$14:$A$949,$A117,'09월 에너지'!$C$14:$C$949,$B118)))</f>
        <v>76.080532515398474</v>
      </c>
      <c r="AA118" s="1061">
        <f>IF($C118&lt;1,"",(AVERAGEIFS('09월 에너지'!$R$14:$R$949,'09월 에너지'!$B$14:$B$949,$A117,'09월 에너지'!$C$14:$C$949,$B118)))</f>
        <v>379.8513628501704</v>
      </c>
      <c r="AB118" s="1062">
        <f>IF($C118&lt;1,"",(AVERAGEIFS('09월 에너지'!$X$14:$X$949,'09월 에너지'!$A$14:$A$949,$A117,'09월 에너지'!$C$14:$C$949,$B118)))</f>
        <v>2.3079847412891787</v>
      </c>
      <c r="AC118" s="1063">
        <f>IF($C118&lt;1,"",(AVERAGEIFS('09월 에너지'!$AC$14:$AC$949,'09월 에너지'!$A$14:$A$949,$A117,'09월 에너지'!$C$14:$C$949,$B118)))</f>
        <v>25.738799992891458</v>
      </c>
      <c r="AD118" s="1064">
        <f>IF($C118&lt;1,"",(AVERAGEIFS('09월 에너지'!$AD$14:$AD$949,'09월 에너지'!$B$14:$B$949,$A117,'09월 에너지'!$C$14:$C$949,$B118)))</f>
        <v>4083</v>
      </c>
      <c r="AE118" s="1065">
        <f>IF($C118&lt;1,"",(AVERAGEIFS('09월 에너지'!$AE$14:$AE$949,'09월 에너지'!$B$14:$B$949,$A117,'09월 에너지'!$C$14:$C$949,$B118)))</f>
        <v>28.010105181800515</v>
      </c>
      <c r="AF118" s="1066">
        <f>IF($C118&lt;1,"",(AVERAGEIFS('09월 에너지'!$AI$14:$AI$949,'09월 에너지'!$B$14:$B$949,$A117,'09월 에너지'!$C$14:$C$949,$B118)))</f>
        <v>149.80000000000001</v>
      </c>
      <c r="AG118" s="1067">
        <f>IF($C118&lt;1,"",(AVERAGEIFS('09월 에너지'!$AJ$14:$AJ$949,'09월 에너지'!$B$14:$B$949,$A117,'09월 에너지'!$C$14:$C$949,$B118)))</f>
        <v>1.0276342692292701</v>
      </c>
    </row>
    <row r="119" spans="1:33" ht="16.5" customHeight="1" thickTop="1" thickBot="1">
      <c r="A119" s="1632"/>
      <c r="B119" s="781" t="s">
        <v>93</v>
      </c>
      <c r="C119" s="782">
        <f>COUNTIFS('09월 조업일지'!$B$12:$B$952,A117,'09월 조업일지'!$E$12:$E$952,B119)</f>
        <v>9</v>
      </c>
      <c r="D119" s="1047">
        <f t="shared" si="21"/>
        <v>51.666666666666671</v>
      </c>
      <c r="E119" s="1048">
        <f>IF($C119&lt;1,"",(SUMIFS('09월 조업일지'!$K$12:$K$954,'09월 조업일지'!$B$12:$B$954,$A117,'09월 조업일지'!$E$12:$E$954,$B119)/$C119))</f>
        <v>0</v>
      </c>
      <c r="F119" s="1049">
        <f>IF($C119&lt;1,"",(AVERAGEIFS('09월 조업일지'!$J$12:$J$954,'09월 조업일지'!$B$12:$B$954,$A117,'09월 조업일지'!$E$12:$E$954,$B119)))</f>
        <v>51.666666666666671</v>
      </c>
      <c r="G119" s="1050">
        <f>IF($C119&lt;1,"",(AVERAGEIFS('09월 에너지'!$M$14:$M$950,'09월 에너지'!$B$14:$B$950,$A117,'09월 에너지'!$C$14:$C$950,$B119)))</f>
        <v>47.388888888888879</v>
      </c>
      <c r="H119" s="1051">
        <f>IF($C119&lt;1,"",(AVERAGEIFS('09월 조업일지'!$AJ$12:$AJ$954,'09월 조업일지'!$B$12:$B$954,$A117,'09월 조업일지'!$E$12:$E$954,$B119)))</f>
        <v>2.3333333333333335</v>
      </c>
      <c r="I119" s="1052">
        <f>IF($C119&lt;1,"",(AVERAGEIFS('09월 조업일지'!$AL$12:$AL$954,'09월 조업일지'!$B$12:$B$954,$A117,'09월 조업일지'!$E$12:$E$954,$B119)))</f>
        <v>7.1111111111111107</v>
      </c>
      <c r="J119" s="1053">
        <f>IF($C119&lt;1,"",(AVERAGEIFS('09월 화학성분'!G$12:G$950,'09월 화학성분'!$B$12:$B$950,$A117,'09월 화학성분'!$D$12:$D$950,$B119)))</f>
        <v>8.5555555555555554</v>
      </c>
      <c r="K119" s="1054">
        <f>IF($C119&lt;1,"",(AVERAGEIFS('09월 화학성분'!H$12:H$950,'09월 화학성분'!$B$12:$B$950,$A117,'09월 화학성분'!$D$12:$D$950,$B119)))</f>
        <v>20.888888888888889</v>
      </c>
      <c r="L119" s="1054">
        <f>IF($C119&lt;1,"",(AVERAGEIFS('09월 화학성분'!I$12:I$950,'09월 화학성분'!$B$12:$B$950,$A117,'09월 화학성분'!$D$12:$D$950,$B119)))</f>
        <v>60</v>
      </c>
      <c r="M119" s="1054">
        <f>IF($C119&lt;1,"",(AVERAGEIFS('09월 화학성분'!J$12:J$950,'09월 화학성분'!$B$12:$B$950,$A117,'09월 화학성분'!$D$12:$D$950,$B119)))</f>
        <v>14.333333333333334</v>
      </c>
      <c r="N119" s="1054">
        <f>IF($C119&lt;1,"",(AVERAGEIFS('09월 화학성분'!K$12:K$950,'09월 화학성분'!$B$12:$B$950,$A117,'09월 화학성분'!$D$12:$D$950,$B119)))</f>
        <v>21.888888888888889</v>
      </c>
      <c r="O119" s="1054">
        <f>IF($C119&lt;1,"",(AVERAGEIFS('09월 화학성분'!L$12:L$950,'09월 화학성분'!$B$12:$B$950,$A117,'09월 화학성분'!$D$12:$D$950,$B119)))</f>
        <v>12.444444444444445</v>
      </c>
      <c r="P119" s="1054">
        <f>IF($C119&lt;1,"",(AVERAGEIFS('09월 화학성분'!M$12:M$950,'09월 화학성분'!$B$12:$B$950,$A117,'09월 화학성분'!$D$12:$D$950,$B119)))</f>
        <v>9.8888888888888893</v>
      </c>
      <c r="Q119" s="1054">
        <f>IF($C119&lt;1,"",(AVERAGEIFS('09월 조업일지'!$AK$12:$AK$954,'09월 조업일지'!$B$12:$B$954,$A117,'09월 조업일지'!$E$12:$E$954,$B119)))</f>
        <v>641.33333333333337</v>
      </c>
      <c r="R119" s="1054">
        <f>IF($C119&lt;1,"",(AVERAGEIFS('09월 화학성분'!$G$12:$G$950,'09월 화학성분'!$B$12:$B$950,$A117,'09월 화학성분'!$D$12:$D$950,$B119)))</f>
        <v>8.5555555555555554</v>
      </c>
      <c r="S119" s="1055">
        <f>IF($C119&lt;1,"",(AVERAGEIFS('09월 조업일지'!$AI$12:$AI$954,'09월 조업일지'!$B$12:$B$954,$A117,'09월 조업일지'!$E$12:$E$954,$B119)))</f>
        <v>1557.7777777777778</v>
      </c>
      <c r="T119" s="1056">
        <f>IF($C119&lt;1,"",(AVERAGEIFS('09월 화학성분'!$AM$12:$AM$949,'09월 화학성분'!$B$12:$B$949,$A117,'09월 화학성분'!$D$12:$D$949,$B119)))</f>
        <v>2398.5555555555557</v>
      </c>
      <c r="U119" s="1057">
        <f>IF($C119&lt;1,"",(AVERAGEIFS('09월 고철장입'!$AJ$14:$AJ$949,'09월 고철장입'!$B$14:$B$949,$A117,'09월 고철장입'!$C$14:$C$949,$B119))/1000)</f>
        <v>158.81111111111113</v>
      </c>
      <c r="V119" s="1102">
        <f>IF($C119&lt;1,"",(AVERAGEIFS('09월 고철장입'!$AK$14:$AK$949,'09월 고철장입'!$B$14:$B$949,$A117,'09월 고철장입'!$C$14:$C$949,$B119)))</f>
        <v>143.83333333333334</v>
      </c>
      <c r="W119" s="1058">
        <f t="shared" si="20"/>
        <v>90.56880990694745</v>
      </c>
      <c r="X119" s="1059">
        <f>IF($C119&lt;1,"",(AVERAGEIFS('09월 에너지'!$O$14:$O$949,'09월 에너지'!$A$14:$A$949,$A117,'09월 에너지'!$C$14:$C$949,$B119)))</f>
        <v>161.80206262633703</v>
      </c>
      <c r="Y119" s="1060">
        <f>IF($C119&lt;1,"",(AVERAGEIFS('09월 에너지'!$P$14:$P$949,'09월 에너지'!$A$14:$A$949,$A117,'09월 에너지'!$C$14:$C$949,$B119)))</f>
        <v>143.79189798149898</v>
      </c>
      <c r="Z119" s="1060">
        <f>IF($C119&lt;1,"",(AVERAGEIFS('09월 에너지'!$Q$14:$Q$949,'09월 에너지'!$A$14:$A$949,$A117,'09월 에너지'!$C$14:$C$949,$B119)))</f>
        <v>94.266169198715076</v>
      </c>
      <c r="AA119" s="1061">
        <f>IF($C119&lt;1,"",(AVERAGEIFS('09월 에너지'!$R$14:$R$949,'09월 에너지'!$B$14:$B$949,$A117,'09월 에너지'!$C$14:$C$949,$B119)))</f>
        <v>399.86012980655113</v>
      </c>
      <c r="AB119" s="1062">
        <f>IF($C119&lt;1,"",(AVERAGEIFS('09월 에너지'!$X$14:$X$949,'09월 에너지'!$A$14:$A$949,$A117,'09월 에너지'!$C$14:$C$949,$B119)))</f>
        <v>2.6201814458492567</v>
      </c>
      <c r="AC119" s="1063">
        <f>IF($C119&lt;1,"",(AVERAGEIFS('09월 에너지'!$AC$14:$AC$949,'09월 에너지'!$A$14:$A$949,$A117,'09월 에너지'!$C$14:$C$949,$B119)))</f>
        <v>27.862392526077279</v>
      </c>
      <c r="AD119" s="1064">
        <f>IF($C119&lt;1,"",(AVERAGEIFS('09월 에너지'!$AD$14:$AD$949,'09월 에너지'!$B$14:$B$949,$A117,'09월 에너지'!$C$14:$C$949,$B119)))</f>
        <v>4383.7777777777774</v>
      </c>
      <c r="AE119" s="1065">
        <f>IF($C119&lt;1,"",(AVERAGEIFS('09월 에너지'!$AE$14:$AE$949,'09월 에너지'!$B$14:$B$949,$A117,'09월 에너지'!$C$14:$C$949,$B119)))</f>
        <v>30.482573971926538</v>
      </c>
      <c r="AF119" s="1066">
        <f>IF($C119&lt;1,"",(AVERAGEIFS('09월 에너지'!$AI$14:$AI$949,'09월 에너지'!$B$14:$B$949,$A117,'09월 에너지'!$C$14:$C$949,$B119)))</f>
        <v>148.66666666666666</v>
      </c>
      <c r="AG119" s="1067">
        <f>IF($C119&lt;1,"",(AVERAGEIFS('09월 에너지'!$AJ$14:$AJ$949,'09월 에너지'!$B$14:$B$949,$A117,'09월 에너지'!$C$14:$C$949,$B119)))</f>
        <v>1.0337329368783672</v>
      </c>
    </row>
    <row r="120" spans="1:33" ht="16.5" customHeight="1" thickTop="1" thickBot="1">
      <c r="A120" s="1632"/>
      <c r="B120" s="783" t="s">
        <v>94</v>
      </c>
      <c r="C120" s="784">
        <f>COUNTIFS('09월 조업일지'!$B$12:$B$952,A117,'09월 조업일지'!$E$12:$E$952,B120)</f>
        <v>10</v>
      </c>
      <c r="D120" s="1068">
        <f t="shared" si="21"/>
        <v>47.699999999999989</v>
      </c>
      <c r="E120" s="1069">
        <f>IF($C120&lt;1,"",(SUMIFS('09월 조업일지'!$K$12:$K$954,'09월 조업일지'!$B$12:$B$954,$A117,'09월 조업일지'!$E$12:$E$954,$B120)/$C120))</f>
        <v>3.3</v>
      </c>
      <c r="F120" s="1070">
        <f>IF($C120&lt;1,"",(AVERAGEIFS('09월 조업일지'!$J$12:$J$954,'09월 조업일지'!$B$12:$B$954,$A117,'09월 조업일지'!$E$12:$E$954,$B120)))</f>
        <v>50.999999999999986</v>
      </c>
      <c r="G120" s="1071">
        <f>IF($C120&lt;1,"",(AVERAGEIFS('09월 에너지'!$M$14:$M$950,'09월 에너지'!$B$14:$B$950,$A117,'09월 에너지'!$C$14:$C$950,$B120)))</f>
        <v>47.719999999999992</v>
      </c>
      <c r="H120" s="1072">
        <f>IF($C120&lt;1,"",(AVERAGEIFS('09월 조업일지'!$AJ$12:$AJ$954,'09월 조업일지'!$B$12:$B$954,$A117,'09월 조업일지'!$E$12:$E$954,$B120)))</f>
        <v>4.4000000000000004</v>
      </c>
      <c r="I120" s="1073">
        <f>IF($C120&lt;1,"",(AVERAGEIFS('09월 조업일지'!$AL$12:$AL$954,'09월 조업일지'!$B$12:$B$954,$A117,'09월 조업일지'!$E$12:$E$954,$B120)))</f>
        <v>5.666666666666667</v>
      </c>
      <c r="J120" s="1074">
        <f>IF($C120&lt;1,"",(AVERAGEIFS('09월 화학성분'!G$12:G$950,'09월 화학성분'!$B$12:$B$950,$A117,'09월 화학성분'!$D$12:$D$950,$B120)))</f>
        <v>8.1999999999999993</v>
      </c>
      <c r="K120" s="1075">
        <f>IF($C120&lt;1,"",(AVERAGEIFS('09월 화학성분'!H$12:H$950,'09월 화학성분'!$B$12:$B$950,$A117,'09월 화학성분'!$D$12:$D$950,$B120)))</f>
        <v>20.8</v>
      </c>
      <c r="L120" s="1075">
        <f>IF($C120&lt;1,"",(AVERAGEIFS('09월 화학성분'!I$12:I$950,'09월 화학성분'!$B$12:$B$950,$A117,'09월 화학성분'!$D$12:$D$950,$B120)))</f>
        <v>53.6</v>
      </c>
      <c r="M120" s="1075">
        <f>IF($C120&lt;1,"",(AVERAGEIFS('09월 화학성분'!J$12:J$950,'09월 화학성분'!$B$12:$B$950,$A117,'09월 화학성분'!$D$12:$D$950,$B120)))</f>
        <v>13.8</v>
      </c>
      <c r="N120" s="1075">
        <f>IF($C120&lt;1,"",(AVERAGEIFS('09월 화학성분'!K$12:K$950,'09월 화학성분'!$B$12:$B$950,$A117,'09월 화학성분'!$D$12:$D$950,$B120)))</f>
        <v>23.2</v>
      </c>
      <c r="O120" s="1075">
        <f>IF($C120&lt;1,"",(AVERAGEIFS('09월 화학성분'!L$12:L$950,'09월 화학성분'!$B$12:$B$950,$A117,'09월 화학성분'!$D$12:$D$950,$B120)))</f>
        <v>13.5</v>
      </c>
      <c r="P120" s="1075">
        <f>IF($C120&lt;1,"",(AVERAGEIFS('09월 화학성분'!M$12:M$950,'09월 화학성분'!$B$12:$B$950,$A117,'09월 화학성분'!$D$12:$D$950,$B120)))</f>
        <v>9.8000000000000007</v>
      </c>
      <c r="Q120" s="1075">
        <f>IF($C120&lt;1,"",(AVERAGEIFS('09월 조업일지'!$AK$12:$AK$954,'09월 조업일지'!$B$12:$B$954,$A117,'09월 조업일지'!$E$12:$E$954,$B120)))</f>
        <v>675.11111111111109</v>
      </c>
      <c r="R120" s="1075">
        <f>IF($C120&lt;1,"",(AVERAGEIFS('09월 화학성분'!$G$12:$G$950,'09월 화학성분'!$B$12:$B$950,$A117,'09월 화학성분'!$D$12:$D$950,$B120)))</f>
        <v>8.1999999999999993</v>
      </c>
      <c r="S120" s="1076">
        <f>IF($C120&lt;1,"",(AVERAGEIFS('09월 조업일지'!$AI$12:$AI$954,'09월 조업일지'!$B$12:$B$954,$A117,'09월 조업일지'!$E$12:$E$954,$B120)))</f>
        <v>1569.9</v>
      </c>
      <c r="T120" s="1077">
        <f>IF($C120&lt;1,"",(AVERAGEIFS('09월 화학성분'!$AM$12:$AM$949,'09월 화학성분'!$B$12:$B$949,$A117,'09월 화학성분'!$D$12:$D$949,$B120)))</f>
        <v>2164.6999999999998</v>
      </c>
      <c r="U120" s="1078">
        <f>IF($C120&lt;1,"",(AVERAGEIFS('09월 고철장입'!$AJ$14:$AJ$949,'09월 고철장입'!$B$14:$B$949,$A117,'09월 고철장입'!$C$14:$C$949,$B120))/1000)</f>
        <v>158.88999999999999</v>
      </c>
      <c r="V120" s="1103">
        <f>IF($C120&lt;1,"",(AVERAGEIFS('09월 고철장입'!$AK$14:$AK$949,'09월 고철장입'!$B$14:$B$949,$A117,'09월 고철장입'!$C$14:$C$949,$B120)))</f>
        <v>144.76999999999998</v>
      </c>
      <c r="W120" s="1079">
        <f t="shared" si="20"/>
        <v>91.113348857700288</v>
      </c>
      <c r="X120" s="1080">
        <f>IF($C120&lt;1,"",(AVERAGEIFS('09월 에너지'!$O$14:$O$949,'09월 에너지'!$A$14:$A$949,$A117,'09월 에너지'!$C$14:$C$949,$B120)))</f>
        <v>159.92419050175147</v>
      </c>
      <c r="Y120" s="1081">
        <f>IF($C120&lt;1,"",(AVERAGEIFS('09월 에너지'!$P$14:$P$949,'09월 에너지'!$A$14:$A$949,$A117,'09월 에너지'!$C$14:$C$949,$B120)))</f>
        <v>142.24821612198883</v>
      </c>
      <c r="Z120" s="1081">
        <f>IF($C120&lt;1,"",(AVERAGEIFS('09월 에너지'!$Q$14:$Q$949,'09월 에너지'!$A$14:$A$949,$A117,'09월 에너지'!$C$14:$C$949,$B120)))</f>
        <v>100.12244151483416</v>
      </c>
      <c r="AA120" s="1082">
        <f>IF($C120&lt;1,"",(AVERAGEIFS('09월 에너지'!$R$14:$R$949,'09월 에너지'!$B$14:$B$949,$A117,'09월 에너지'!$C$14:$C$949,$B120)))</f>
        <v>402.29484813857448</v>
      </c>
      <c r="AB120" s="1083">
        <f>IF($C120&lt;1,"",(AVERAGEIFS('09월 에너지'!$X$14:$X$949,'09월 에너지'!$A$14:$A$949,$A117,'09월 에너지'!$C$14:$C$949,$B120)))</f>
        <v>2.3452483821870378</v>
      </c>
      <c r="AC120" s="1084">
        <f>IF($C120&lt;1,"",(AVERAGEIFS('09월 에너지'!$AC$14:$AC$949,'09월 에너지'!$A$14:$A$949,$A117,'09월 에너지'!$C$14:$C$949,$B120)))</f>
        <v>26.691738902145893</v>
      </c>
      <c r="AD120" s="1085">
        <f>IF($C120&lt;1,"",(AVERAGEIFS('09월 에너지'!$AD$14:$AD$949,'09월 에너지'!$B$14:$B$949,$A117,'09월 에너지'!$C$14:$C$949,$B120)))</f>
        <v>4203.3999999999996</v>
      </c>
      <c r="AE120" s="1086">
        <f>IF($C120&lt;1,"",(AVERAGEIFS('09월 에너지'!$AE$14:$AE$949,'09월 에너지'!$B$14:$B$949,$A117,'09월 에너지'!$C$14:$C$949,$B120)))</f>
        <v>29.036987284332934</v>
      </c>
      <c r="AF120" s="1087">
        <f>IF($C120&lt;1,"",(AVERAGEIFS('09월 에너지'!$AI$14:$AI$949,'09월 에너지'!$B$14:$B$949,$A117,'09월 에너지'!$C$14:$C$949,$B120)))</f>
        <v>152.30000000000001</v>
      </c>
      <c r="AG120" s="1088">
        <f>IF($C120&lt;1,"",(AVERAGEIFS('09월 에너지'!$AJ$14:$AJ$949,'09월 에너지'!$B$14:$B$949,$A117,'09월 에너지'!$C$14:$C$949,$B120)))</f>
        <v>1.0522207480618171</v>
      </c>
    </row>
    <row r="121" spans="1:33" ht="16.5" customHeight="1" thickTop="1" thickBot="1">
      <c r="A121" s="1632">
        <f t="shared" ref="A121" si="35">A117+1</f>
        <v>46295</v>
      </c>
      <c r="B121" s="775" t="s">
        <v>128</v>
      </c>
      <c r="C121" s="776">
        <f>COUNTIFS('09월 조업일지'!$B$12:$B$952,A121,'09월 조업일지'!$E$12:$E$952,B121)</f>
        <v>0</v>
      </c>
      <c r="D121" s="1026" t="str">
        <f t="shared" si="21"/>
        <v/>
      </c>
      <c r="E121" s="1027" t="str">
        <f>IF($C121&lt;1,"",(SUMIFS('09월 조업일지'!$K$12:$K$954,'09월 조업일지'!$B$12:$B$954,$A121,'09월 조업일지'!$E$12:$E$954,$B121)/$C121))</f>
        <v/>
      </c>
      <c r="F121" s="1028" t="str">
        <f>IF($C121&lt;1,"",(AVERAGEIFS('09월 조업일지'!$J$12:$J$954,'09월 조업일지'!$B$12:$B$954,$A121,'09월 조업일지'!$E$12:$E$954,$B121)))</f>
        <v/>
      </c>
      <c r="G121" s="1029" t="str">
        <f>IF($C121&lt;1,"",(AVERAGEIFS('09월 에너지'!$M$14:$M$950,'09월 에너지'!$B$14:$B$950,$A121,'09월 에너지'!$C$14:$C$950,$B121)))</f>
        <v/>
      </c>
      <c r="H121" s="1030" t="str">
        <f>IF($C121&lt;1,"",(AVERAGEIFS('09월 조업일지'!$AJ$12:$AJ$954,'09월 조업일지'!$B$12:$B$954,$A121,'09월 조업일지'!$E$12:$E$954,$B121)))</f>
        <v/>
      </c>
      <c r="I121" s="1031" t="str">
        <f>IF($C121&lt;1,"",(AVERAGEIFS('09월 조업일지'!$AL$12:$AL$954,'09월 조업일지'!$B$12:$B$954,$A121,'09월 조업일지'!$E$12:$E$954,$B121)))</f>
        <v/>
      </c>
      <c r="J121" s="1032" t="str">
        <f>IF($C121&lt;1,"",(AVERAGEIFS('09월 화학성분'!G$12:G$950,'09월 화학성분'!$B$12:$B$950,$A121,'09월 화학성분'!$D$12:$D$950,$B121)))</f>
        <v/>
      </c>
      <c r="K121" s="1033" t="str">
        <f>IF($C121&lt;1,"",(AVERAGEIFS('09월 화학성분'!H$12:H$950,'09월 화학성분'!$B$12:$B$950,$A121,'09월 화학성분'!$D$12:$D$950,$B121)))</f>
        <v/>
      </c>
      <c r="L121" s="1033" t="str">
        <f>IF($C121&lt;1,"",(AVERAGEIFS('09월 화학성분'!I$12:I$950,'09월 화학성분'!$B$12:$B$950,$A121,'09월 화학성분'!$D$12:$D$950,$B121)))</f>
        <v/>
      </c>
      <c r="M121" s="1033" t="str">
        <f>IF($C121&lt;1,"",(AVERAGEIFS('09월 화학성분'!J$12:J$950,'09월 화학성분'!$B$12:$B$950,$A121,'09월 화학성분'!$D$12:$D$950,$B121)))</f>
        <v/>
      </c>
      <c r="N121" s="1033" t="str">
        <f>IF($C121&lt;1,"",(AVERAGEIFS('09월 화학성분'!K$12:K$950,'09월 화학성분'!$B$12:$B$950,$A121,'09월 화학성분'!$D$12:$D$950,$B121)))</f>
        <v/>
      </c>
      <c r="O121" s="1033" t="str">
        <f>IF($C121&lt;1,"",(AVERAGEIFS('09월 화학성분'!L$12:L$950,'09월 화학성분'!$B$12:$B$950,$A121,'09월 화학성분'!$D$12:$D$950,$B121)))</f>
        <v/>
      </c>
      <c r="P121" s="1033" t="str">
        <f>IF($C121&lt;1,"",(AVERAGEIFS('09월 화학성분'!M$12:M$950,'09월 화학성분'!$B$12:$B$950,$A121,'09월 화학성분'!$D$12:$D$950,$B121)))</f>
        <v/>
      </c>
      <c r="Q121" s="1033" t="str">
        <f>IF($C121&lt;1,"",(AVERAGEIFS('09월 조업일지'!$AK$12:$AK$954,'09월 조업일지'!$B$12:$B$954,$A121,'09월 조업일지'!$E$12:$E$954,$B121)))</f>
        <v/>
      </c>
      <c r="R121" s="1033" t="str">
        <f>IF($C121&lt;1,"",(AVERAGEIFS('09월 화학성분'!$G$12:$G$950,'09월 화학성분'!$B$12:$B$950,$A121,'09월 화학성분'!$D$12:$D$950,$B121)))</f>
        <v/>
      </c>
      <c r="S121" s="1034" t="str">
        <f>IF($C121&lt;1,"",(AVERAGEIFS('09월 조업일지'!$AI$12:$AI$954,'09월 조업일지'!$B$12:$B$954,$A121,'09월 조업일지'!$E$12:$E$954,$B121)))</f>
        <v/>
      </c>
      <c r="T121" s="1035" t="str">
        <f>IF($C121&lt;1,"",(AVERAGEIFS('09월 화학성분'!$AM$12:$AM$949,'09월 화학성분'!$B$12:$B$949,$A121,'09월 화학성분'!$D$12:$D$949,$B121)))</f>
        <v/>
      </c>
      <c r="U121" s="1036" t="str">
        <f>IF($C121&lt;1,"",(AVERAGEIFS('09월 고철장입'!$AJ$14:$AJ$949,'09월 고철장입'!$B$14:$B$949,$A121,'09월 고철장입'!$C$14:$C$949,$B121))/1000)</f>
        <v/>
      </c>
      <c r="V121" s="1101" t="str">
        <f>IF($C121&lt;1,"",(AVERAGEIFS('09월 고철장입'!$AK$14:$AK$949,'09월 고철장입'!$B$14:$B$949,$A121,'09월 고철장입'!$C$14:$C$949,$B121)))</f>
        <v/>
      </c>
      <c r="W121" s="1037" t="str">
        <f t="shared" si="20"/>
        <v/>
      </c>
      <c r="X121" s="1038" t="str">
        <f>IF($C121&lt;1,"",(AVERAGEIFS('09월 에너지'!$O$14:$O$949,'09월 에너지'!$A$14:$A$949,$A121,'09월 에너지'!$C$14:$C$949,$B121)))</f>
        <v/>
      </c>
      <c r="Y121" s="1039" t="str">
        <f>IF($C121&lt;1,"",(AVERAGEIFS('09월 에너지'!$P$14:$P$949,'09월 에너지'!$A$14:$A$949,$A121,'09월 에너지'!$C$14:$C$949,$B121)))</f>
        <v/>
      </c>
      <c r="Z121" s="1039" t="str">
        <f>IF($C121&lt;1,"",(AVERAGEIFS('09월 에너지'!$Q$14:$Q$949,'09월 에너지'!$A$14:$A$949,$A121,'09월 에너지'!$C$14:$C$949,$B121)))</f>
        <v/>
      </c>
      <c r="AA121" s="1040" t="str">
        <f>IF($C121&lt;1,"",(AVERAGEIFS('09월 에너지'!$R$14:$R$949,'09월 에너지'!$B$14:$B$949,$A121,'09월 에너지'!$C$14:$C$949,$B121)))</f>
        <v/>
      </c>
      <c r="AB121" s="1041" t="str">
        <f>IF($C121&lt;1,"",(AVERAGEIFS('09월 에너지'!$X$14:$X$949,'09월 에너지'!$A$14:$A$949,$A121,'09월 에너지'!$C$14:$C$949,$B121)))</f>
        <v/>
      </c>
      <c r="AC121" s="1042" t="str">
        <f>IF($C121&lt;1,"",(AVERAGEIFS('09월 에너지'!$AC$14:$AC$949,'09월 에너지'!$A$14:$A$949,$A121,'09월 에너지'!$C$14:$C$949,$B121)))</f>
        <v/>
      </c>
      <c r="AD121" s="1043" t="str">
        <f>IF($C121&lt;1,"",(AVERAGEIFS('09월 에너지'!$AD$14:$AD$949,'09월 에너지'!$B$14:$B$949,$A121,'09월 에너지'!$C$14:$C$949,$B121)))</f>
        <v/>
      </c>
      <c r="AE121" s="1044" t="str">
        <f>IF($C121&lt;1,"",(AVERAGEIFS('09월 에너지'!$AE$14:$AE$949,'09월 에너지'!$B$14:$B$949,$A121,'09월 에너지'!$C$14:$C$949,$B121)))</f>
        <v/>
      </c>
      <c r="AF121" s="1045" t="str">
        <f>IF($C121&lt;1,"",(AVERAGEIFS('09월 에너지'!$AI$14:$AI$949,'09월 에너지'!$B$14:$B$949,$A121,'09월 에너지'!$C$14:$C$949,$B121)))</f>
        <v/>
      </c>
      <c r="AG121" s="1046" t="str">
        <f>IF($C121&lt;1,"",(AVERAGEIFS('09월 에너지'!$AJ$14:$AJ$949,'09월 에너지'!$B$14:$B$949,$A121,'09월 에너지'!$C$14:$C$949,$B121)))</f>
        <v/>
      </c>
    </row>
    <row r="122" spans="1:33" ht="16.5" customHeight="1" thickTop="1" thickBot="1">
      <c r="A122" s="1632"/>
      <c r="B122" s="781" t="s">
        <v>100</v>
      </c>
      <c r="C122" s="782">
        <f>COUNTIFS('09월 조업일지'!$B$12:$B$952,A121,'09월 조업일지'!$E$12:$E$952,B122)</f>
        <v>7</v>
      </c>
      <c r="D122" s="1047">
        <f t="shared" si="21"/>
        <v>48.714285714285687</v>
      </c>
      <c r="E122" s="1048">
        <f>IF($C122&lt;1,"",(SUMIFS('09월 조업일지'!$K$12:$K$954,'09월 조업일지'!$B$12:$B$954,$A121,'09월 조업일지'!$E$12:$E$954,$B122)/$C122))</f>
        <v>0</v>
      </c>
      <c r="F122" s="1049">
        <f>IF($C122&lt;1,"",(AVERAGEIFS('09월 조업일지'!$J$12:$J$954,'09월 조업일지'!$B$12:$B$954,$A121,'09월 조업일지'!$E$12:$E$954,$B122)))</f>
        <v>48.714285714285687</v>
      </c>
      <c r="G122" s="1050">
        <f>IF($C122&lt;1,"",(AVERAGEIFS('09월 에너지'!$M$14:$M$950,'09월 에너지'!$B$14:$B$950,$A121,'09월 에너지'!$C$14:$C$950,$B122)))</f>
        <v>47.057142857142857</v>
      </c>
      <c r="H122" s="1051">
        <f>IF($C122&lt;1,"",(AVERAGEIFS('09월 조업일지'!$AJ$12:$AJ$954,'09월 조업일지'!$B$12:$B$954,$A121,'09월 조업일지'!$E$12:$E$954,$B122)))</f>
        <v>105</v>
      </c>
      <c r="I122" s="1052">
        <f>IF($C122&lt;1,"",(AVERAGEIFS('09월 조업일지'!$AL$12:$AL$954,'09월 조업일지'!$B$12:$B$954,$A121,'09월 조업일지'!$E$12:$E$954,$B122)))</f>
        <v>4.833333333333333</v>
      </c>
      <c r="J122" s="1053">
        <f>IF($C122&lt;1,"",(AVERAGEIFS('09월 화학성분'!G$12:G$950,'09월 화학성분'!$B$12:$B$950,$A121,'09월 화학성분'!$D$12:$D$950,$B122)))</f>
        <v>8</v>
      </c>
      <c r="K122" s="1054">
        <f>IF($C122&lt;1,"",(AVERAGEIFS('09월 화학성분'!H$12:H$950,'09월 화학성분'!$B$12:$B$950,$A121,'09월 화학성분'!$D$12:$D$950,$B122)))</f>
        <v>21.285714285714285</v>
      </c>
      <c r="L122" s="1054">
        <f>IF($C122&lt;1,"",(AVERAGEIFS('09월 화학성분'!I$12:I$950,'09월 화학성분'!$B$12:$B$950,$A121,'09월 화학성분'!$D$12:$D$950,$B122)))</f>
        <v>49.142857142857146</v>
      </c>
      <c r="M122" s="1054">
        <f>IF($C122&lt;1,"",(AVERAGEIFS('09월 화학성분'!J$12:J$950,'09월 화학성분'!$B$12:$B$950,$A121,'09월 화학성분'!$D$12:$D$950,$B122)))</f>
        <v>15.428571428571429</v>
      </c>
      <c r="N122" s="1054">
        <f>IF($C122&lt;1,"",(AVERAGEIFS('09월 화학성분'!K$12:K$950,'09월 화학성분'!$B$12:$B$950,$A121,'09월 화학성분'!$D$12:$D$950,$B122)))</f>
        <v>29.428571428571427</v>
      </c>
      <c r="O122" s="1054">
        <f>IF($C122&lt;1,"",(AVERAGEIFS('09월 화학성분'!L$12:L$950,'09월 화학성분'!$B$12:$B$950,$A121,'09월 화학성분'!$D$12:$D$950,$B122)))</f>
        <v>12.571428571428571</v>
      </c>
      <c r="P122" s="1054">
        <f>IF($C122&lt;1,"",(AVERAGEIFS('09월 화학성분'!M$12:M$950,'09월 화학성분'!$B$12:$B$950,$A121,'09월 화학성분'!$D$12:$D$950,$B122)))</f>
        <v>10</v>
      </c>
      <c r="Q122" s="1054">
        <f>IF($C122&lt;1,"",(AVERAGEIFS('09월 조업일지'!$AK$12:$AK$954,'09월 조업일지'!$B$12:$B$954,$A121,'09월 조업일지'!$E$12:$E$954,$B122)))</f>
        <v>829.16666666666663</v>
      </c>
      <c r="R122" s="1054">
        <f>IF($C122&lt;1,"",(AVERAGEIFS('09월 화학성분'!$G$12:$G$950,'09월 화학성분'!$B$12:$B$950,$A121,'09월 화학성분'!$D$12:$D$950,$B122)))</f>
        <v>8</v>
      </c>
      <c r="S122" s="1055">
        <f>IF($C122&lt;1,"",(AVERAGEIFS('09월 조업일지'!$AI$12:$AI$954,'09월 조업일지'!$B$12:$B$954,$A121,'09월 조업일지'!$E$12:$E$954,$B122)))</f>
        <v>1580.2857142857142</v>
      </c>
      <c r="T122" s="1056">
        <f>IF($C122&lt;1,"",(AVERAGEIFS('09월 화학성분'!$AM$12:$AM$949,'09월 화학성분'!$B$12:$B$949,$A121,'09월 화학성분'!$D$12:$D$949,$B122)))</f>
        <v>2449.4285714285716</v>
      </c>
      <c r="U122" s="1057">
        <f>IF($C122&lt;1,"",(AVERAGEIFS('09월 고철장입'!$AJ$14:$AJ$949,'09월 고철장입'!$B$14:$B$949,$A121,'09월 고철장입'!$C$14:$C$949,$B122))/1000)</f>
        <v>157.24285714285713</v>
      </c>
      <c r="V122" s="1102">
        <f>IF($C122&lt;1,"",(AVERAGEIFS('09월 고철장입'!$AK$14:$AK$949,'09월 고철장입'!$B$14:$B$949,$A121,'09월 고철장입'!$C$14:$C$949,$B122)))</f>
        <v>144.81428571428572</v>
      </c>
      <c r="W122" s="1058">
        <f t="shared" si="20"/>
        <v>92.09593894794223</v>
      </c>
      <c r="X122" s="1059">
        <f>IF($C122&lt;1,"",(AVERAGEIFS('09월 에너지'!$O$14:$O$949,'09월 에너지'!$A$14:$A$949,$A121,'09월 에너지'!$C$14:$C$949,$B122)))</f>
        <v>158.36390505593548</v>
      </c>
      <c r="Y122" s="1060">
        <f>IF($C122&lt;1,"",(AVERAGEIFS('09월 에너지'!$P$14:$P$949,'09월 에너지'!$A$14:$A$949,$A121,'09월 에너지'!$C$14:$C$949,$B122)))</f>
        <v>142.05548334500014</v>
      </c>
      <c r="Z122" s="1060">
        <f>IF($C122&lt;1,"",(AVERAGEIFS('09월 에너지'!$Q$14:$Q$949,'09월 에너지'!$A$14:$A$949,$A121,'09월 에너지'!$C$14:$C$949,$B122)))</f>
        <v>90.800915905980418</v>
      </c>
      <c r="AA122" s="1061">
        <f>IF($C122&lt;1,"",(AVERAGEIFS('09월 에너지'!$R$14:$R$949,'09월 에너지'!$B$14:$B$949,$A121,'09월 에너지'!$C$14:$C$949,$B122)))</f>
        <v>396.55049335582316</v>
      </c>
      <c r="AB122" s="1062">
        <f>IF($C122&lt;1,"",(AVERAGEIFS('09월 에너지'!$X$14:$X$949,'09월 에너지'!$A$14:$A$949,$A121,'09월 에너지'!$C$14:$C$949,$B122)))</f>
        <v>2.5240019132039651</v>
      </c>
      <c r="AC122" s="1063">
        <f>IF($C122&lt;1,"",(AVERAGEIFS('09월 에너지'!$AC$14:$AC$949,'09월 에너지'!$A$14:$A$949,$A121,'09월 에너지'!$C$14:$C$949,$B122)))</f>
        <v>25.832168347112447</v>
      </c>
      <c r="AD122" s="1064">
        <f>IF($C122&lt;1,"",(AVERAGEIFS('09월 에너지'!$AD$14:$AD$949,'09월 에너지'!$B$14:$B$949,$A121,'09월 에너지'!$C$14:$C$949,$B122)))</f>
        <v>4171.1428571428569</v>
      </c>
      <c r="AE122" s="1065">
        <f>IF($C122&lt;1,"",(AVERAGEIFS('09월 에너지'!$AE$14:$AE$949,'09월 에너지'!$B$14:$B$949,$A121,'09월 에너지'!$C$14:$C$949,$B122)))</f>
        <v>28.803491477953724</v>
      </c>
      <c r="AF122" s="1066">
        <f>IF($C122&lt;1,"",(AVERAGEIFS('09월 에너지'!$AI$14:$AI$949,'09월 에너지'!$B$14:$B$949,$A121,'09월 에너지'!$C$14:$C$949,$B122)))</f>
        <v>151.14285714285714</v>
      </c>
      <c r="AG122" s="1067">
        <f>IF($C122&lt;1,"",(AVERAGEIFS('09월 에너지'!$AJ$14:$AJ$949,'09월 에너지'!$B$14:$B$949,$A121,'09월 에너지'!$C$14:$C$949,$B122)))</f>
        <v>1.0437701412805875</v>
      </c>
    </row>
    <row r="123" spans="1:33" ht="16.5" customHeight="1" thickTop="1" thickBot="1">
      <c r="A123" s="1632"/>
      <c r="B123" s="781" t="s">
        <v>93</v>
      </c>
      <c r="C123" s="782">
        <f>COUNTIFS('09월 조업일지'!$B$12:$B$952,A121,'09월 조업일지'!$E$12:$E$952,B123)</f>
        <v>10</v>
      </c>
      <c r="D123" s="1047">
        <f t="shared" si="21"/>
        <v>47.9</v>
      </c>
      <c r="E123" s="1048">
        <f>IF($C123&lt;1,"",(SUMIFS('09월 조업일지'!$K$12:$K$954,'09월 조업일지'!$B$12:$B$954,$A121,'09월 조업일지'!$E$12:$E$954,$B123)/$C123))</f>
        <v>0.2</v>
      </c>
      <c r="F123" s="1049">
        <f>IF($C123&lt;1,"",(AVERAGEIFS('09월 조업일지'!$J$12:$J$954,'09월 조업일지'!$B$12:$B$954,$A121,'09월 조업일지'!$E$12:$E$954,$B123)))</f>
        <v>48.1</v>
      </c>
      <c r="G123" s="1050">
        <f>IF($C123&lt;1,"",(AVERAGEIFS('09월 에너지'!$M$14:$M$950,'09월 에너지'!$B$14:$B$950,$A121,'09월 에너지'!$C$14:$C$950,$B123)))</f>
        <v>46.269999999999996</v>
      </c>
      <c r="H123" s="1051">
        <f>IF($C123&lt;1,"",(AVERAGEIFS('09월 조업일지'!$AJ$12:$AJ$954,'09월 조업일지'!$B$12:$B$954,$A121,'09월 조업일지'!$E$12:$E$954,$B123)))</f>
        <v>19.7</v>
      </c>
      <c r="I123" s="1052">
        <f>IF($C123&lt;1,"",(AVERAGEIFS('09월 조업일지'!$AL$12:$AL$954,'09월 조업일지'!$B$12:$B$954,$A121,'09월 조업일지'!$E$12:$E$954,$B123)))</f>
        <v>7.6</v>
      </c>
      <c r="J123" s="1053">
        <f>IF($C123&lt;1,"",(AVERAGEIFS('09월 화학성분'!G$12:G$950,'09월 화학성분'!$B$12:$B$950,$A121,'09월 화학성분'!$D$12:$D$950,$B123)))</f>
        <v>9.4</v>
      </c>
      <c r="K123" s="1054">
        <f>IF($C123&lt;1,"",(AVERAGEIFS('09월 화학성분'!H$12:H$950,'09월 화학성분'!$B$12:$B$950,$A121,'09월 화학성분'!$D$12:$D$950,$B123)))</f>
        <v>21.5</v>
      </c>
      <c r="L123" s="1054">
        <f>IF($C123&lt;1,"",(AVERAGEIFS('09월 화학성분'!I$12:I$950,'09월 화학성분'!$B$12:$B$950,$A121,'09월 화학성분'!$D$12:$D$950,$B123)))</f>
        <v>54.7</v>
      </c>
      <c r="M123" s="1054">
        <f>IF($C123&lt;1,"",(AVERAGEIFS('09월 화학성분'!J$12:J$950,'09월 화학성분'!$B$12:$B$950,$A121,'09월 화학성분'!$D$12:$D$950,$B123)))</f>
        <v>14.7</v>
      </c>
      <c r="N123" s="1054">
        <f>IF($C123&lt;1,"",(AVERAGEIFS('09월 화학성분'!K$12:K$950,'09월 화학성분'!$B$12:$B$950,$A121,'09월 화학성분'!$D$12:$D$950,$B123)))</f>
        <v>28.3</v>
      </c>
      <c r="O123" s="1054">
        <f>IF($C123&lt;1,"",(AVERAGEIFS('09월 화학성분'!L$12:L$950,'09월 화학성분'!$B$12:$B$950,$A121,'09월 화학성분'!$D$12:$D$950,$B123)))</f>
        <v>14.4</v>
      </c>
      <c r="P123" s="1054">
        <f>IF($C123&lt;1,"",(AVERAGEIFS('09월 화학성분'!M$12:M$950,'09월 화학성분'!$B$12:$B$950,$A121,'09월 화학성분'!$D$12:$D$950,$B123)))</f>
        <v>10.9</v>
      </c>
      <c r="Q123" s="1054">
        <f>IF($C123&lt;1,"",(AVERAGEIFS('09월 조업일지'!$AK$12:$AK$954,'09월 조업일지'!$B$12:$B$954,$A121,'09월 조업일지'!$E$12:$E$954,$B123)))</f>
        <v>620.70000000000005</v>
      </c>
      <c r="R123" s="1054">
        <f>IF($C123&lt;1,"",(AVERAGEIFS('09월 화학성분'!$G$12:$G$950,'09월 화학성분'!$B$12:$B$950,$A121,'09월 화학성분'!$D$12:$D$950,$B123)))</f>
        <v>9.4</v>
      </c>
      <c r="S123" s="1055">
        <f>IF($C123&lt;1,"",(AVERAGEIFS('09월 조업일지'!$AI$12:$AI$954,'09월 조업일지'!$B$12:$B$954,$A121,'09월 조업일지'!$E$12:$E$954,$B123)))</f>
        <v>1563</v>
      </c>
      <c r="T123" s="1056">
        <f>IF($C123&lt;1,"",(AVERAGEIFS('09월 화학성분'!$AM$12:$AM$949,'09월 화학성분'!$B$12:$B$949,$A121,'09월 화학성분'!$D$12:$D$949,$B123)))</f>
        <v>1838.3</v>
      </c>
      <c r="U123" s="1057">
        <f>IF($C123&lt;1,"",(AVERAGEIFS('09월 고철장입'!$AJ$14:$AJ$949,'09월 고철장입'!$B$14:$B$949,$A121,'09월 고철장입'!$C$14:$C$949,$B123))/1000)</f>
        <v>158.5</v>
      </c>
      <c r="V123" s="1102">
        <f>IF($C123&lt;1,"",(AVERAGEIFS('09월 고철장입'!$AK$14:$AK$949,'09월 고철장입'!$B$14:$B$949,$A121,'09월 고철장입'!$C$14:$C$949,$B123)))</f>
        <v>145.24000000000004</v>
      </c>
      <c r="W123" s="1058">
        <f t="shared" si="20"/>
        <v>91.634069400630935</v>
      </c>
      <c r="X123" s="1059">
        <f>IF($C123&lt;1,"",(AVERAGEIFS('09월 에너지'!$O$14:$O$949,'09월 에너지'!$A$14:$A$949,$A121,'09월 에너지'!$C$14:$C$949,$B123)))</f>
        <v>160.63702477428575</v>
      </c>
      <c r="Y123" s="1060">
        <f>IF($C123&lt;1,"",(AVERAGEIFS('09월 에너지'!$P$14:$P$949,'09월 에너지'!$A$14:$A$949,$A121,'09월 에너지'!$C$14:$C$949,$B123)))</f>
        <v>141.50242776228163</v>
      </c>
      <c r="Z123" s="1060">
        <f>IF($C123&lt;1,"",(AVERAGEIFS('09월 에너지'!$Q$14:$Q$949,'09월 에너지'!$A$14:$A$949,$A121,'09월 에너지'!$C$14:$C$949,$B123)))</f>
        <v>84.809956943604391</v>
      </c>
      <c r="AA123" s="1061">
        <f>IF($C123&lt;1,"",(AVERAGEIFS('09월 에너지'!$R$14:$R$949,'09월 에너지'!$B$14:$B$949,$A121,'09월 에너지'!$C$14:$C$949,$B123)))</f>
        <v>386.94940948017177</v>
      </c>
      <c r="AB123" s="1062">
        <f>IF($C123&lt;1,"",(AVERAGEIFS('09월 에너지'!$X$14:$X$949,'09월 에너지'!$A$14:$A$949,$A121,'09월 에너지'!$C$14:$C$949,$B123)))</f>
        <v>2.4615962274871874</v>
      </c>
      <c r="AC123" s="1063">
        <f>IF($C123&lt;1,"",(AVERAGEIFS('09월 에너지'!$AC$14:$AC$949,'09월 에너지'!$A$14:$A$949,$A121,'09월 에너지'!$C$14:$C$949,$B123)))</f>
        <v>26.399687244654292</v>
      </c>
      <c r="AD123" s="1064">
        <f>IF($C123&lt;1,"",(AVERAGEIFS('09월 에너지'!$AD$14:$AD$949,'09월 에너지'!$B$14:$B$949,$A121,'09월 에너지'!$C$14:$C$949,$B123)))</f>
        <v>4192.5</v>
      </c>
      <c r="AE123" s="1065">
        <f>IF($C123&lt;1,"",(AVERAGEIFS('09월 에너지'!$AE$14:$AE$949,'09월 에너지'!$B$14:$B$949,$A121,'09월 에너지'!$C$14:$C$949,$B123)))</f>
        <v>28.861283472141487</v>
      </c>
      <c r="AF123" s="1066">
        <f>IF($C123&lt;1,"",(AVERAGEIFS('09월 에너지'!$AI$14:$AI$949,'09월 에너지'!$B$14:$B$949,$A121,'09월 에너지'!$C$14:$C$949,$B123)))</f>
        <v>151.5</v>
      </c>
      <c r="AG123" s="1067">
        <f>IF($C123&lt;1,"",(AVERAGEIFS('09월 에너지'!$AJ$14:$AJ$949,'09월 에너지'!$B$14:$B$949,$A121,'09월 에너지'!$C$14:$C$949,$B123)))</f>
        <v>1.0430647471749279</v>
      </c>
    </row>
    <row r="124" spans="1:33" ht="16.5" customHeight="1" thickTop="1" thickBot="1">
      <c r="A124" s="1632"/>
      <c r="B124" s="785" t="s">
        <v>94</v>
      </c>
      <c r="C124" s="786">
        <f>COUNTIFS('09월 조업일지'!$B$12:$B$952,A121,'09월 조업일지'!$E$12:$E$952,B124)</f>
        <v>10</v>
      </c>
      <c r="D124" s="1068">
        <f t="shared" si="21"/>
        <v>45.800000000000018</v>
      </c>
      <c r="E124" s="1069">
        <f>IF($C124&lt;1,"",(SUMIFS('09월 조업일지'!$K$12:$K$954,'09월 조업일지'!$B$12:$B$954,$A121,'09월 조업일지'!$E$12:$E$954,$B124)/$C124))</f>
        <v>0</v>
      </c>
      <c r="F124" s="1070">
        <f>IF($C124&lt;1,"",(AVERAGEIFS('09월 조업일지'!$J$12:$J$954,'09월 조업일지'!$B$12:$B$954,$A121,'09월 조업일지'!$E$12:$E$954,$B124)))</f>
        <v>45.800000000000018</v>
      </c>
      <c r="G124" s="1071">
        <f>IF($C124&lt;1,"",(AVERAGEIFS('09월 에너지'!$M$14:$M$950,'09월 에너지'!$B$14:$B$950,$A121,'09월 에너지'!$C$14:$C$950,$B124)))</f>
        <v>45.410000000000011</v>
      </c>
      <c r="H124" s="1072">
        <f>IF($C124&lt;1,"",(AVERAGEIFS('09월 조업일지'!$AJ$12:$AJ$954,'09월 조업일지'!$B$12:$B$954,$A121,'09월 조업일지'!$E$12:$E$954,$B124)))</f>
        <v>43.9</v>
      </c>
      <c r="I124" s="1073">
        <f>IF($C124&lt;1,"",(AVERAGEIFS('09월 조업일지'!$AL$12:$AL$954,'09월 조업일지'!$B$12:$B$954,$A121,'09월 조업일지'!$E$12:$E$954,$B124)))</f>
        <v>5.2</v>
      </c>
      <c r="J124" s="1074">
        <f>IF($C124&lt;1,"",(AVERAGEIFS('09월 화학성분'!G$12:G$950,'09월 화학성분'!$B$12:$B$950,$A121,'09월 화학성분'!$D$12:$D$950,$B124)))</f>
        <v>8.3000000000000007</v>
      </c>
      <c r="K124" s="1075">
        <f>IF($C124&lt;1,"",(AVERAGEIFS('09월 화학성분'!H$12:H$950,'09월 화학성분'!$B$12:$B$950,$A121,'09월 화학성분'!$D$12:$D$950,$B124)))</f>
        <v>20.399999999999999</v>
      </c>
      <c r="L124" s="1075">
        <f>IF($C124&lt;1,"",(AVERAGEIFS('09월 화학성분'!I$12:I$950,'09월 화학성분'!$B$12:$B$950,$A121,'09월 화학성분'!$D$12:$D$950,$B124)))</f>
        <v>48.9</v>
      </c>
      <c r="M124" s="1075">
        <f>IF($C124&lt;1,"",(AVERAGEIFS('09월 화학성분'!J$12:J$950,'09월 화학성분'!$B$12:$B$950,$A121,'09월 화학성분'!$D$12:$D$950,$B124)))</f>
        <v>13.2</v>
      </c>
      <c r="N124" s="1075">
        <f>IF($C124&lt;1,"",(AVERAGEIFS('09월 화학성분'!K$12:K$950,'09월 화학성분'!$B$12:$B$950,$A121,'09월 화학성분'!$D$12:$D$950,$B124)))</f>
        <v>27.3</v>
      </c>
      <c r="O124" s="1075">
        <f>IF($C124&lt;1,"",(AVERAGEIFS('09월 화학성분'!L$12:L$950,'09월 화학성분'!$B$12:$B$950,$A121,'09월 화학성분'!$D$12:$D$950,$B124)))</f>
        <v>13.9</v>
      </c>
      <c r="P124" s="1075">
        <f>IF($C124&lt;1,"",(AVERAGEIFS('09월 화학성분'!M$12:M$950,'09월 화학성분'!$B$12:$B$950,$A121,'09월 화학성분'!$D$12:$D$950,$B124)))</f>
        <v>10.7</v>
      </c>
      <c r="Q124" s="1075">
        <f>IF($C124&lt;1,"",(AVERAGEIFS('09월 조업일지'!$AK$12:$AK$954,'09월 조업일지'!$B$12:$B$954,$A121,'09월 조업일지'!$E$12:$E$954,$B124)))</f>
        <v>735</v>
      </c>
      <c r="R124" s="1075">
        <f>IF($C124&lt;1,"",(AVERAGEIFS('09월 화학성분'!$G$12:$G$950,'09월 화학성분'!$B$12:$B$950,$A121,'09월 화학성분'!$D$12:$D$950,$B124)))</f>
        <v>8.3000000000000007</v>
      </c>
      <c r="S124" s="1076">
        <f>IF($C124&lt;1,"",(AVERAGEIFS('09월 조업일지'!$AI$12:$AI$954,'09월 조업일지'!$B$12:$B$954,$A121,'09월 조업일지'!$E$12:$E$954,$B124)))</f>
        <v>1577.9</v>
      </c>
      <c r="T124" s="1077">
        <f>IF($C124&lt;1,"",(AVERAGEIFS('09월 화학성분'!$AM$12:$AM$949,'09월 화학성분'!$B$12:$B$949,$A121,'09월 화학성분'!$D$12:$D$949,$B124)))</f>
        <v>1923.3</v>
      </c>
      <c r="U124" s="1078">
        <f>IF($C124&lt;1,"",(AVERAGEIFS('09월 고철장입'!$AJ$14:$AJ$949,'09월 고철장입'!$B$14:$B$949,$A121,'09월 고철장입'!$C$14:$C$949,$B124))/1000)</f>
        <v>158.66999999999999</v>
      </c>
      <c r="V124" s="1103">
        <f>IF($C124&lt;1,"",(AVERAGEIFS('09월 고철장입'!$AK$14:$AK$949,'09월 고철장입'!$B$14:$B$949,$A121,'09월 고철장입'!$C$14:$C$949,$B124)))</f>
        <v>144.82</v>
      </c>
      <c r="W124" s="1079">
        <f t="shared" si="20"/>
        <v>91.27119178168526</v>
      </c>
      <c r="X124" s="1080">
        <f>IF($C124&lt;1,"",(AVERAGEIFS('09월 에너지'!$O$14:$O$949,'09월 에너지'!$A$14:$A$949,$A121,'09월 에너지'!$C$14:$C$949,$B124)))</f>
        <v>155.99106608811894</v>
      </c>
      <c r="Y124" s="1081">
        <f>IF($C124&lt;1,"",(AVERAGEIFS('09월 에너지'!$P$14:$P$949,'09월 에너지'!$A$14:$A$949,$A121,'09월 에너지'!$C$14:$C$949,$B124)))</f>
        <v>142.73495080922891</v>
      </c>
      <c r="Z124" s="1081">
        <f>IF($C124&lt;1,"",(AVERAGEIFS('09월 에너지'!$Q$14:$Q$949,'09월 에너지'!$A$14:$A$949,$A121,'09월 에너지'!$C$14:$C$949,$B124)))</f>
        <v>83.764958414299755</v>
      </c>
      <c r="AA124" s="1082">
        <f>IF($C124&lt;1,"",(AVERAGEIFS('09월 에너지'!$R$14:$R$949,'09월 에너지'!$B$14:$B$949,$A121,'09월 에너지'!$C$14:$C$949,$B124)))</f>
        <v>382.49097531164767</v>
      </c>
      <c r="AB124" s="1083">
        <f>IF($C124&lt;1,"",(AVERAGEIFS('09월 에너지'!$X$14:$X$949,'09월 에너지'!$A$14:$A$949,$A121,'09월 에너지'!$C$14:$C$949,$B124)))</f>
        <v>2.3442934604352934</v>
      </c>
      <c r="AC124" s="1084">
        <f>IF($C124&lt;1,"",(AVERAGEIFS('09월 에너지'!$AC$14:$AC$949,'09월 에너지'!$A$14:$A$949,$A121,'09월 에너지'!$C$14:$C$949,$B124)))</f>
        <v>26.099416881748141</v>
      </c>
      <c r="AD124" s="1085">
        <f>IF($C124&lt;1,"",(AVERAGEIFS('09월 에너지'!$AD$14:$AD$949,'09월 에너지'!$B$14:$B$949,$A121,'09월 에너지'!$C$14:$C$949,$B124)))</f>
        <v>4119</v>
      </c>
      <c r="AE124" s="1086">
        <f>IF($C124&lt;1,"",(AVERAGEIFS('09월 에너지'!$AE$14:$AE$949,'09월 에너지'!$B$14:$B$949,$A121,'09월 에너지'!$C$14:$C$949,$B124)))</f>
        <v>28.443710342183437</v>
      </c>
      <c r="AF124" s="1087">
        <f>IF($C124&lt;1,"",(AVERAGEIFS('09월 에너지'!$AI$14:$AI$949,'09월 에너지'!$B$14:$B$949,$A121,'09월 에너지'!$C$14:$C$949,$B124)))</f>
        <v>151</v>
      </c>
      <c r="AG124" s="1088">
        <f>IF($C124&lt;1,"",(AVERAGEIFS('09월 에너지'!$AJ$14:$AJ$949,'09월 에너지'!$B$14:$B$949,$A121,'09월 에너지'!$C$14:$C$949,$B124)))</f>
        <v>1.0427121005866706</v>
      </c>
    </row>
    <row r="125" spans="1:33" ht="16.5" customHeight="1" thickTop="1" thickBot="1">
      <c r="A125" s="1632">
        <f t="shared" ref="A125" si="36">A121+1</f>
        <v>46296</v>
      </c>
      <c r="B125" s="775" t="s">
        <v>9</v>
      </c>
      <c r="C125" s="776">
        <f>COUNTIFS('09월 조업일지'!$B$12:$B$952,A125,'09월 조업일지'!$E$12:$E$952,B125)</f>
        <v>0</v>
      </c>
      <c r="D125" s="1026" t="str">
        <f t="shared" si="21"/>
        <v/>
      </c>
      <c r="E125" s="1027" t="str">
        <f>IF($C125&lt;1,"",(SUMIFS('09월 조업일지'!$K$12:$K$954,'09월 조업일지'!$B$12:$B$954,$A125,'09월 조업일지'!$E$12:$E$954,$B125)/$C125))</f>
        <v/>
      </c>
      <c r="F125" s="1028" t="str">
        <f>IF($C125&lt;1,"",(AVERAGEIFS('09월 조업일지'!$J$12:$J$954,'09월 조업일지'!$B$12:$B$954,$A125,'09월 조업일지'!$E$12:$E$954,$B125)))</f>
        <v/>
      </c>
      <c r="G125" s="1029" t="str">
        <f>IF($C125&lt;1,"",(AVERAGEIFS('09월 에너지'!$M$14:$M$950,'09월 에너지'!$B$14:$B$950,$A125,'09월 에너지'!$C$14:$C$950,$B125)))</f>
        <v/>
      </c>
      <c r="H125" s="1030" t="str">
        <f>IF($C125&lt;1,"",(AVERAGEIFS('09월 조업일지'!$AJ$12:$AJ$954,'09월 조업일지'!$B$12:$B$954,$A125,'09월 조업일지'!$E$12:$E$954,$B125)))</f>
        <v/>
      </c>
      <c r="I125" s="1031" t="str">
        <f>IF($C125&lt;1,"",(AVERAGEIFS('09월 조업일지'!$AL$12:$AL$954,'09월 조업일지'!$B$12:$B$954,$A125,'09월 조업일지'!$E$12:$E$954,$B125)))</f>
        <v/>
      </c>
      <c r="J125" s="1032" t="str">
        <f>IF($C125&lt;1,"",(AVERAGEIFS('09월 화학성분'!G$12:G$950,'09월 화학성분'!$B$12:$B$950,$A125,'09월 화학성분'!$D$12:$D$950,$B125)))</f>
        <v/>
      </c>
      <c r="K125" s="1033" t="str">
        <f>IF($C125&lt;1,"",(AVERAGEIFS('09월 화학성분'!H$12:H$950,'09월 화학성분'!$B$12:$B$950,$A125,'09월 화학성분'!$D$12:$D$950,$B125)))</f>
        <v/>
      </c>
      <c r="L125" s="1033" t="str">
        <f>IF($C125&lt;1,"",(AVERAGEIFS('09월 화학성분'!I$12:I$950,'09월 화학성분'!$B$12:$B$950,$A125,'09월 화학성분'!$D$12:$D$950,$B125)))</f>
        <v/>
      </c>
      <c r="M125" s="1033" t="str">
        <f>IF($C125&lt;1,"",(AVERAGEIFS('09월 화학성분'!J$12:J$950,'09월 화학성분'!$B$12:$B$950,$A125,'09월 화학성분'!$D$12:$D$950,$B125)))</f>
        <v/>
      </c>
      <c r="N125" s="1033" t="str">
        <f>IF($C125&lt;1,"",(AVERAGEIFS('09월 화학성분'!K$12:K$950,'09월 화학성분'!$B$12:$B$950,$A125,'09월 화학성분'!$D$12:$D$950,$B125)))</f>
        <v/>
      </c>
      <c r="O125" s="1033" t="str">
        <f>IF($C125&lt;1,"",(AVERAGEIFS('09월 화학성분'!L$12:L$950,'09월 화학성분'!$B$12:$B$950,$A125,'09월 화학성분'!$D$12:$D$950,$B125)))</f>
        <v/>
      </c>
      <c r="P125" s="1033" t="str">
        <f>IF($C125&lt;1,"",(AVERAGEIFS('09월 화학성분'!M$12:M$950,'09월 화학성분'!$B$12:$B$950,$A125,'09월 화학성분'!$D$12:$D$950,$B125)))</f>
        <v/>
      </c>
      <c r="Q125" s="1033" t="str">
        <f>IF($C125&lt;1,"",(AVERAGEIFS('09월 조업일지'!$AK$12:$AK$954,'09월 조업일지'!$B$12:$B$954,$A125,'09월 조업일지'!$E$12:$E$954,$B125)))</f>
        <v/>
      </c>
      <c r="R125" s="1033" t="str">
        <f>IF($C125&lt;1,"",(AVERAGEIFS('09월 화학성분'!$G$12:$G$950,'09월 화학성분'!$B$12:$B$950,$A125,'09월 화학성분'!$D$12:$D$950,$B125)))</f>
        <v/>
      </c>
      <c r="S125" s="1034" t="str">
        <f>IF($C125&lt;1,"",(AVERAGEIFS('09월 조업일지'!$AI$12:$AI$954,'09월 조업일지'!$B$12:$B$954,$A125,'09월 조업일지'!$E$12:$E$954,$B125)))</f>
        <v/>
      </c>
      <c r="T125" s="1035" t="str">
        <f>IF($C125&lt;1,"",(AVERAGEIFS('09월 화학성분'!$AM$12:$AM$949,'09월 화학성분'!$B$12:$B$949,$A125,'09월 화학성분'!$D$12:$D$949,$B125)))</f>
        <v/>
      </c>
      <c r="U125" s="1036" t="str">
        <f>IF($C125&lt;1,"",(AVERAGEIFS('09월 고철장입'!$AJ$14:$AJ$949,'09월 고철장입'!$B$14:$B$949,$A125,'09월 고철장입'!$C$14:$C$949,$B125))/1000)</f>
        <v/>
      </c>
      <c r="V125" s="1101" t="str">
        <f>IF($C125&lt;1,"",(AVERAGEIFS('09월 고철장입'!$AK$14:$AK$949,'09월 고철장입'!$B$14:$B$949,$A125,'09월 고철장입'!$C$14:$C$949,$B125)))</f>
        <v/>
      </c>
      <c r="W125" s="1037" t="str">
        <f t="shared" si="20"/>
        <v/>
      </c>
      <c r="X125" s="1038" t="str">
        <f>IF($C125&lt;1,"",(AVERAGEIFS('09월 에너지'!$O$14:$O$949,'09월 에너지'!$A$14:$A$949,$A125,'09월 에너지'!$C$14:$C$949,$B125)))</f>
        <v/>
      </c>
      <c r="Y125" s="1039" t="str">
        <f>IF($C125&lt;1,"",(AVERAGEIFS('09월 에너지'!$P$14:$P$949,'09월 에너지'!$A$14:$A$949,$A125,'09월 에너지'!$C$14:$C$949,$B125)))</f>
        <v/>
      </c>
      <c r="Z125" s="1039" t="str">
        <f>IF($C125&lt;1,"",(AVERAGEIFS('09월 에너지'!$Q$14:$Q$949,'09월 에너지'!$A$14:$A$949,$A125,'09월 에너지'!$C$14:$C$949,$B125)))</f>
        <v/>
      </c>
      <c r="AA125" s="1040" t="str">
        <f>IF($C125&lt;1,"",(AVERAGEIFS('09월 에너지'!$R$14:$R$949,'09월 에너지'!$B$14:$B$949,$A125,'09월 에너지'!$C$14:$C$949,$B125)))</f>
        <v/>
      </c>
      <c r="AB125" s="1041" t="str">
        <f>IF($C125&lt;1,"",(AVERAGEIFS('09월 에너지'!$X$14:$X$949,'09월 에너지'!$A$14:$A$949,$A125,'09월 에너지'!$C$14:$C$949,$B125)))</f>
        <v/>
      </c>
      <c r="AC125" s="1042" t="str">
        <f>IF($C125&lt;1,"",(AVERAGEIFS('09월 에너지'!$AC$14:$AC$949,'09월 에너지'!$A$14:$A$949,$A125,'09월 에너지'!$C$14:$C$949,$B125)))</f>
        <v/>
      </c>
      <c r="AD125" s="1043" t="str">
        <f>IF($C125&lt;1,"",(AVERAGEIFS('09월 에너지'!$AD$14:$AD$949,'09월 에너지'!$B$14:$B$949,$A125,'09월 에너지'!$C$14:$C$949,$B125)))</f>
        <v/>
      </c>
      <c r="AE125" s="1044" t="str">
        <f>IF($C125&lt;1,"",(AVERAGEIFS('09월 에너지'!$AE$14:$AE$949,'09월 에너지'!$B$14:$B$949,$A125,'09월 에너지'!$C$14:$C$949,$B125)))</f>
        <v/>
      </c>
      <c r="AF125" s="1045" t="str">
        <f>IF($C125&lt;1,"",(AVERAGEIFS('09월 에너지'!$AI$14:$AI$949,'09월 에너지'!$B$14:$B$949,$A125,'09월 에너지'!$C$14:$C$949,$B125)))</f>
        <v/>
      </c>
      <c r="AG125" s="1046" t="str">
        <f>IF($C125&lt;1,"",(AVERAGEIFS('09월 에너지'!$AJ$14:$AJ$949,'09월 에너지'!$B$14:$B$949,$A125,'09월 에너지'!$C$14:$C$949,$B125)))</f>
        <v/>
      </c>
    </row>
    <row r="126" spans="1:33" ht="16.5" customHeight="1" thickTop="1" thickBot="1">
      <c r="A126" s="1632"/>
      <c r="B126" s="781" t="s">
        <v>100</v>
      </c>
      <c r="C126" s="782">
        <f>COUNTIFS('09월 조업일지'!$B$12:$B$952,A125,'09월 조업일지'!$E$12:$E$952,B126)</f>
        <v>0</v>
      </c>
      <c r="D126" s="1047" t="str">
        <f t="shared" si="21"/>
        <v/>
      </c>
      <c r="E126" s="1048" t="str">
        <f>IF($C126&lt;1,"",(SUMIFS('09월 조업일지'!$K$12:$K$954,'09월 조업일지'!$B$12:$B$954,$A125,'09월 조업일지'!$E$12:$E$954,$B126)/$C126))</f>
        <v/>
      </c>
      <c r="F126" s="1049" t="str">
        <f>IF($C126&lt;1,"",(AVERAGEIFS('09월 조업일지'!$J$12:$J$954,'09월 조업일지'!$B$12:$B$954,$A125,'09월 조업일지'!$E$12:$E$954,$B126)))</f>
        <v/>
      </c>
      <c r="G126" s="1050" t="str">
        <f>IF($C126&lt;1,"",(AVERAGEIFS('09월 에너지'!$M$14:$M$950,'09월 에너지'!$B$14:$B$950,$A125,'09월 에너지'!$C$14:$C$950,$B126)))</f>
        <v/>
      </c>
      <c r="H126" s="1051" t="str">
        <f>IF($C126&lt;1,"",(AVERAGEIFS('09월 조업일지'!$AJ$12:$AJ$954,'09월 조업일지'!$B$12:$B$954,$A125,'09월 조업일지'!$E$12:$E$954,$B126)))</f>
        <v/>
      </c>
      <c r="I126" s="1052" t="str">
        <f>IF($C126&lt;1,"",(AVERAGEIFS('09월 조업일지'!$AL$12:$AL$954,'09월 조업일지'!$B$12:$B$954,$A125,'09월 조업일지'!$E$12:$E$954,$B126)))</f>
        <v/>
      </c>
      <c r="J126" s="1053" t="str">
        <f>IF($C126&lt;1,"",(AVERAGEIFS('09월 화학성분'!G$12:G$950,'09월 화학성분'!$B$12:$B$950,$A125,'09월 화학성분'!$D$12:$D$950,$B126)))</f>
        <v/>
      </c>
      <c r="K126" s="1054" t="str">
        <f>IF($C126&lt;1,"",(AVERAGEIFS('09월 화학성분'!H$12:H$950,'09월 화학성분'!$B$12:$B$950,$A125,'09월 화학성분'!$D$12:$D$950,$B126)))</f>
        <v/>
      </c>
      <c r="L126" s="1054" t="str">
        <f>IF($C126&lt;1,"",(AVERAGEIFS('09월 화학성분'!I$12:I$950,'09월 화학성분'!$B$12:$B$950,$A125,'09월 화학성분'!$D$12:$D$950,$B126)))</f>
        <v/>
      </c>
      <c r="M126" s="1054" t="str">
        <f>IF($C126&lt;1,"",(AVERAGEIFS('09월 화학성분'!J$12:J$950,'09월 화학성분'!$B$12:$B$950,$A125,'09월 화학성분'!$D$12:$D$950,$B126)))</f>
        <v/>
      </c>
      <c r="N126" s="1054" t="str">
        <f>IF($C126&lt;1,"",(AVERAGEIFS('09월 화학성분'!K$12:K$950,'09월 화학성분'!$B$12:$B$950,$A125,'09월 화학성분'!$D$12:$D$950,$B126)))</f>
        <v/>
      </c>
      <c r="O126" s="1054" t="str">
        <f>IF($C126&lt;1,"",(AVERAGEIFS('09월 화학성분'!L$12:L$950,'09월 화학성분'!$B$12:$B$950,$A125,'09월 화학성분'!$D$12:$D$950,$B126)))</f>
        <v/>
      </c>
      <c r="P126" s="1054" t="str">
        <f>IF($C126&lt;1,"",(AVERAGEIFS('09월 화학성분'!M$12:M$950,'09월 화학성분'!$B$12:$B$950,$A125,'09월 화학성분'!$D$12:$D$950,$B126)))</f>
        <v/>
      </c>
      <c r="Q126" s="1054" t="str">
        <f>IF($C126&lt;1,"",(AVERAGEIFS('09월 조업일지'!$AK$12:$AK$954,'09월 조업일지'!$B$12:$B$954,$A125,'09월 조업일지'!$E$12:$E$954,$B126)))</f>
        <v/>
      </c>
      <c r="R126" s="1054" t="str">
        <f>IF($C126&lt;1,"",(AVERAGEIFS('09월 화학성분'!$G$12:$G$950,'09월 화학성분'!$B$12:$B$950,$A125,'09월 화학성분'!$D$12:$D$950,$B126)))</f>
        <v/>
      </c>
      <c r="S126" s="1055" t="str">
        <f>IF($C126&lt;1,"",(AVERAGEIFS('09월 조업일지'!$AI$12:$AI$954,'09월 조업일지'!$B$12:$B$954,$A125,'09월 조업일지'!$E$12:$E$954,$B126)))</f>
        <v/>
      </c>
      <c r="T126" s="1056" t="str">
        <f>IF($C126&lt;1,"",(AVERAGEIFS('09월 화학성분'!$AM$12:$AM$949,'09월 화학성분'!$B$12:$B$949,$A125,'09월 화학성분'!$D$12:$D$949,$B126)))</f>
        <v/>
      </c>
      <c r="U126" s="1057" t="str">
        <f>IF($C126&lt;1,"",(AVERAGEIFS('09월 고철장입'!$AJ$14:$AJ$949,'09월 고철장입'!$B$14:$B$949,$A125,'09월 고철장입'!$C$14:$C$949,$B126))/1000)</f>
        <v/>
      </c>
      <c r="V126" s="1102" t="str">
        <f>IF($C126&lt;1,"",(AVERAGEIFS('09월 고철장입'!$AK$14:$AK$949,'09월 고철장입'!$B$14:$B$949,$A125,'09월 고철장입'!$C$14:$C$949,$B126)))</f>
        <v/>
      </c>
      <c r="W126" s="1058" t="str">
        <f t="shared" si="20"/>
        <v/>
      </c>
      <c r="X126" s="1059" t="str">
        <f>IF($C126&lt;1,"",(AVERAGEIFS('09월 에너지'!$O$14:$O$949,'09월 에너지'!$A$14:$A$949,$A125,'09월 에너지'!$C$14:$C$949,$B126)))</f>
        <v/>
      </c>
      <c r="Y126" s="1060" t="str">
        <f>IF($C126&lt;1,"",(AVERAGEIFS('09월 에너지'!$P$14:$P$949,'09월 에너지'!$A$14:$A$949,$A125,'09월 에너지'!$C$14:$C$949,$B126)))</f>
        <v/>
      </c>
      <c r="Z126" s="1060" t="str">
        <f>IF($C126&lt;1,"",(AVERAGEIFS('09월 에너지'!$Q$14:$Q$949,'09월 에너지'!$A$14:$A$949,$A125,'09월 에너지'!$C$14:$C$949,$B126)))</f>
        <v/>
      </c>
      <c r="AA126" s="1061" t="str">
        <f>IF($C126&lt;1,"",(AVERAGEIFS('09월 에너지'!$R$14:$R$949,'09월 에너지'!$B$14:$B$949,$A125,'09월 에너지'!$C$14:$C$949,$B126)))</f>
        <v/>
      </c>
      <c r="AB126" s="1062" t="str">
        <f>IF($C126&lt;1,"",(AVERAGEIFS('09월 에너지'!$X$14:$X$949,'09월 에너지'!$A$14:$A$949,$A125,'09월 에너지'!$C$14:$C$949,$B126)))</f>
        <v/>
      </c>
      <c r="AC126" s="1063" t="str">
        <f>IF($C126&lt;1,"",(AVERAGEIFS('09월 에너지'!$AC$14:$AC$949,'09월 에너지'!$A$14:$A$949,$A125,'09월 에너지'!$C$14:$C$949,$B126)))</f>
        <v/>
      </c>
      <c r="AD126" s="1064" t="str">
        <f>IF($C126&lt;1,"",(AVERAGEIFS('09월 에너지'!$AD$14:$AD$949,'09월 에너지'!$B$14:$B$949,$A125,'09월 에너지'!$C$14:$C$949,$B126)))</f>
        <v/>
      </c>
      <c r="AE126" s="1065" t="str">
        <f>IF($C126&lt;1,"",(AVERAGEIFS('09월 에너지'!$AE$14:$AE$949,'09월 에너지'!$B$14:$B$949,$A125,'09월 에너지'!$C$14:$C$949,$B126)))</f>
        <v/>
      </c>
      <c r="AF126" s="1066" t="str">
        <f>IF($C126&lt;1,"",(AVERAGEIFS('09월 에너지'!$AI$14:$AI$949,'09월 에너지'!$B$14:$B$949,$A125,'09월 에너지'!$C$14:$C$949,$B126)))</f>
        <v/>
      </c>
      <c r="AG126" s="1067" t="str">
        <f>IF($C126&lt;1,"",(AVERAGEIFS('09월 에너지'!$AJ$14:$AJ$949,'09월 에너지'!$B$14:$B$949,$A125,'09월 에너지'!$C$14:$C$949,$B126)))</f>
        <v/>
      </c>
    </row>
    <row r="127" spans="1:33" ht="16.5" customHeight="1" thickTop="1" thickBot="1">
      <c r="A127" s="1632"/>
      <c r="B127" s="781" t="s">
        <v>10</v>
      </c>
      <c r="C127" s="782">
        <f>COUNTIFS('09월 조업일지'!$B$12:$B$952,A125,'09월 조업일지'!$E$12:$E$952,B127)</f>
        <v>0</v>
      </c>
      <c r="D127" s="1047" t="str">
        <f t="shared" si="21"/>
        <v/>
      </c>
      <c r="E127" s="1048" t="str">
        <f>IF($C127&lt;1,"",(SUMIFS('09월 조업일지'!$K$12:$K$954,'09월 조업일지'!$B$12:$B$954,$A125,'09월 조업일지'!$E$12:$E$954,$B127)/$C127))</f>
        <v/>
      </c>
      <c r="F127" s="1049" t="str">
        <f>IF($C127&lt;1,"",(AVERAGEIFS('09월 조업일지'!$J$12:$J$954,'09월 조업일지'!$B$12:$B$954,$A125,'09월 조업일지'!$E$12:$E$954,$B127)))</f>
        <v/>
      </c>
      <c r="G127" s="1050" t="str">
        <f>IF($C127&lt;1,"",(AVERAGEIFS('09월 에너지'!$M$14:$M$950,'09월 에너지'!$B$14:$B$950,$A125,'09월 에너지'!$C$14:$C$950,$B127)))</f>
        <v/>
      </c>
      <c r="H127" s="1051" t="str">
        <f>IF($C127&lt;1,"",(AVERAGEIFS('09월 조업일지'!$AJ$12:$AJ$954,'09월 조업일지'!$B$12:$B$954,$A125,'09월 조업일지'!$E$12:$E$954,$B127)))</f>
        <v/>
      </c>
      <c r="I127" s="1052" t="str">
        <f>IF($C127&lt;1,"",(AVERAGEIFS('09월 조업일지'!$AL$12:$AL$954,'09월 조업일지'!$B$12:$B$954,$A125,'09월 조업일지'!$E$12:$E$954,$B127)))</f>
        <v/>
      </c>
      <c r="J127" s="1053" t="str">
        <f>IF($C127&lt;1,"",(AVERAGEIFS('09월 화학성분'!G$12:G$950,'09월 화학성분'!$B$12:$B$950,$A125,'09월 화학성분'!$D$12:$D$950,$B127)))</f>
        <v/>
      </c>
      <c r="K127" s="1054" t="str">
        <f>IF($C127&lt;1,"",(AVERAGEIFS('09월 화학성분'!H$12:H$950,'09월 화학성분'!$B$12:$B$950,$A125,'09월 화학성분'!$D$12:$D$950,$B127)))</f>
        <v/>
      </c>
      <c r="L127" s="1054" t="str">
        <f>IF($C127&lt;1,"",(AVERAGEIFS('09월 화학성분'!I$12:I$950,'09월 화학성분'!$B$12:$B$950,$A125,'09월 화학성분'!$D$12:$D$950,$B127)))</f>
        <v/>
      </c>
      <c r="M127" s="1054" t="str">
        <f>IF($C127&lt;1,"",(AVERAGEIFS('09월 화학성분'!J$12:J$950,'09월 화학성분'!$B$12:$B$950,$A125,'09월 화학성분'!$D$12:$D$950,$B127)))</f>
        <v/>
      </c>
      <c r="N127" s="1054" t="str">
        <f>IF($C127&lt;1,"",(AVERAGEIFS('09월 화학성분'!K$12:K$950,'09월 화학성분'!$B$12:$B$950,$A125,'09월 화학성분'!$D$12:$D$950,$B127)))</f>
        <v/>
      </c>
      <c r="O127" s="1054" t="str">
        <f>IF($C127&lt;1,"",(AVERAGEIFS('09월 화학성분'!L$12:L$950,'09월 화학성분'!$B$12:$B$950,$A125,'09월 화학성분'!$D$12:$D$950,$B127)))</f>
        <v/>
      </c>
      <c r="P127" s="1054" t="str">
        <f>IF($C127&lt;1,"",(AVERAGEIFS('09월 화학성분'!M$12:M$950,'09월 화학성분'!$B$12:$B$950,$A125,'09월 화학성분'!$D$12:$D$950,$B127)))</f>
        <v/>
      </c>
      <c r="Q127" s="1054" t="str">
        <f>IF($C127&lt;1,"",(AVERAGEIFS('09월 조업일지'!$AK$12:$AK$954,'09월 조업일지'!$B$12:$B$954,$A125,'09월 조업일지'!$E$12:$E$954,$B127)))</f>
        <v/>
      </c>
      <c r="R127" s="1054" t="str">
        <f>IF($C127&lt;1,"",(AVERAGEIFS('09월 화학성분'!$G$12:$G$950,'09월 화학성분'!$B$12:$B$950,$A125,'09월 화학성분'!$D$12:$D$950,$B127)))</f>
        <v/>
      </c>
      <c r="S127" s="1055" t="str">
        <f>IF($C127&lt;1,"",(AVERAGEIFS('09월 조업일지'!$AI$12:$AI$954,'09월 조업일지'!$B$12:$B$954,$A125,'09월 조업일지'!$E$12:$E$954,$B127)))</f>
        <v/>
      </c>
      <c r="T127" s="1056" t="str">
        <f>IF($C127&lt;1,"",(AVERAGEIFS('09월 화학성분'!$AM$12:$AM$949,'09월 화학성분'!$B$12:$B$949,$A125,'09월 화학성분'!$D$12:$D$949,$B127)))</f>
        <v/>
      </c>
      <c r="U127" s="1057" t="str">
        <f>IF($C127&lt;1,"",(AVERAGEIFS('09월 고철장입'!$AJ$14:$AJ$949,'09월 고철장입'!$B$14:$B$949,$A125,'09월 고철장입'!$C$14:$C$949,$B127))/1000)</f>
        <v/>
      </c>
      <c r="V127" s="1102" t="str">
        <f>IF($C127&lt;1,"",(AVERAGEIFS('09월 고철장입'!$AK$14:$AK$949,'09월 고철장입'!$B$14:$B$949,$A125,'09월 고철장입'!$C$14:$C$949,$B127)))</f>
        <v/>
      </c>
      <c r="W127" s="1058" t="str">
        <f t="shared" si="20"/>
        <v/>
      </c>
      <c r="X127" s="1059" t="str">
        <f>IF($C127&lt;1,"",(AVERAGEIFS('09월 에너지'!$O$14:$O$949,'09월 에너지'!$A$14:$A$949,$A125,'09월 에너지'!$C$14:$C$949,$B127)))</f>
        <v/>
      </c>
      <c r="Y127" s="1060" t="str">
        <f>IF($C127&lt;1,"",(AVERAGEIFS('09월 에너지'!$P$14:$P$949,'09월 에너지'!$A$14:$A$949,$A125,'09월 에너지'!$C$14:$C$949,$B127)))</f>
        <v/>
      </c>
      <c r="Z127" s="1060" t="str">
        <f>IF($C127&lt;1,"",(AVERAGEIFS('09월 에너지'!$Q$14:$Q$949,'09월 에너지'!$A$14:$A$949,$A125,'09월 에너지'!$C$14:$C$949,$B127)))</f>
        <v/>
      </c>
      <c r="AA127" s="1061" t="str">
        <f>IF($C127&lt;1,"",(AVERAGEIFS('09월 에너지'!$R$14:$R$949,'09월 에너지'!$B$14:$B$949,$A125,'09월 에너지'!$C$14:$C$949,$B127)))</f>
        <v/>
      </c>
      <c r="AB127" s="1062" t="str">
        <f>IF($C127&lt;1,"",(AVERAGEIFS('09월 에너지'!$X$14:$X$949,'09월 에너지'!$A$14:$A$949,$A125,'09월 에너지'!$C$14:$C$949,$B127)))</f>
        <v/>
      </c>
      <c r="AC127" s="1063" t="str">
        <f>IF($C127&lt;1,"",(AVERAGEIFS('09월 에너지'!$AC$14:$AC$949,'09월 에너지'!$A$14:$A$949,$A125,'09월 에너지'!$C$14:$C$949,$B127)))</f>
        <v/>
      </c>
      <c r="AD127" s="1064" t="str">
        <f>IF($C127&lt;1,"",(AVERAGEIFS('09월 에너지'!$AD$14:$AD$949,'09월 에너지'!$B$14:$B$949,$A125,'09월 에너지'!$C$14:$C$949,$B127)))</f>
        <v/>
      </c>
      <c r="AE127" s="1065" t="str">
        <f>IF($C127&lt;1,"",(AVERAGEIFS('09월 에너지'!$AE$14:$AE$949,'09월 에너지'!$B$14:$B$949,$A125,'09월 에너지'!$C$14:$C$949,$B127)))</f>
        <v/>
      </c>
      <c r="AF127" s="1066" t="str">
        <f>IF($C127&lt;1,"",(AVERAGEIFS('09월 에너지'!$AI$14:$AI$949,'09월 에너지'!$B$14:$B$949,$A125,'09월 에너지'!$C$14:$C$949,$B127)))</f>
        <v/>
      </c>
      <c r="AG127" s="1067" t="str">
        <f>IF($C127&lt;1,"",(AVERAGEIFS('09월 에너지'!$AJ$14:$AJ$949,'09월 에너지'!$B$14:$B$949,$A125,'09월 에너지'!$C$14:$C$949,$B127)))</f>
        <v/>
      </c>
    </row>
    <row r="128" spans="1:33" ht="16.5" customHeight="1" thickTop="1" thickBot="1">
      <c r="A128" s="1632"/>
      <c r="B128" s="785" t="s">
        <v>94</v>
      </c>
      <c r="C128" s="786">
        <f>COUNTIFS('09월 조업일지'!$B$12:$B$952,A125,'09월 조업일지'!$E$12:$E$952,B128)</f>
        <v>0</v>
      </c>
      <c r="D128" s="1068" t="str">
        <f t="shared" si="21"/>
        <v/>
      </c>
      <c r="E128" s="1069" t="str">
        <f>IF($C128&lt;1,"",(SUMIFS('09월 조업일지'!$K$12:$K$954,'09월 조업일지'!$B$12:$B$954,$A125,'09월 조업일지'!$E$12:$E$954,$B128)/$C128))</f>
        <v/>
      </c>
      <c r="F128" s="1070" t="str">
        <f>IF($C128&lt;1,"",(AVERAGEIFS('09월 조업일지'!$J$12:$J$954,'09월 조업일지'!$B$12:$B$954,$A125,'09월 조업일지'!$E$12:$E$954,$B128)))</f>
        <v/>
      </c>
      <c r="G128" s="1071" t="str">
        <f>IF($C128&lt;1,"",(AVERAGEIFS('09월 에너지'!$M$14:$M$950,'09월 에너지'!$B$14:$B$950,$A125,'09월 에너지'!$C$14:$C$950,$B128)))</f>
        <v/>
      </c>
      <c r="H128" s="1072" t="str">
        <f>IF($C128&lt;1,"",(AVERAGEIFS('09월 조업일지'!$AJ$12:$AJ$954,'09월 조업일지'!$B$12:$B$954,$A125,'09월 조업일지'!$E$12:$E$954,$B128)))</f>
        <v/>
      </c>
      <c r="I128" s="1073" t="str">
        <f>IF($C128&lt;1,"",(AVERAGEIFS('09월 조업일지'!$AL$12:$AL$954,'09월 조업일지'!$B$12:$B$954,$A125,'09월 조업일지'!$E$12:$E$954,$B128)))</f>
        <v/>
      </c>
      <c r="J128" s="1074" t="str">
        <f>IF($C128&lt;1,"",(AVERAGEIFS('09월 화학성분'!G$12:G$950,'09월 화학성분'!$B$12:$B$950,$A125,'09월 화학성분'!$D$12:$D$950,$B128)))</f>
        <v/>
      </c>
      <c r="K128" s="1075" t="str">
        <f>IF($C128&lt;1,"",(AVERAGEIFS('09월 화학성분'!H$12:H$950,'09월 화학성분'!$B$12:$B$950,$A125,'09월 화학성분'!$D$12:$D$950,$B128)))</f>
        <v/>
      </c>
      <c r="L128" s="1075" t="str">
        <f>IF($C128&lt;1,"",(AVERAGEIFS('09월 화학성분'!I$12:I$950,'09월 화학성분'!$B$12:$B$950,$A125,'09월 화학성분'!$D$12:$D$950,$B128)))</f>
        <v/>
      </c>
      <c r="M128" s="1075" t="str">
        <f>IF($C128&lt;1,"",(AVERAGEIFS('09월 화학성분'!J$12:J$950,'09월 화학성분'!$B$12:$B$950,$A125,'09월 화학성분'!$D$12:$D$950,$B128)))</f>
        <v/>
      </c>
      <c r="N128" s="1075" t="str">
        <f>IF($C128&lt;1,"",(AVERAGEIFS('09월 화학성분'!K$12:K$950,'09월 화학성분'!$B$12:$B$950,$A125,'09월 화학성분'!$D$12:$D$950,$B128)))</f>
        <v/>
      </c>
      <c r="O128" s="1075" t="str">
        <f>IF($C128&lt;1,"",(AVERAGEIFS('09월 화학성분'!L$12:L$950,'09월 화학성분'!$B$12:$B$950,$A125,'09월 화학성분'!$D$12:$D$950,$B128)))</f>
        <v/>
      </c>
      <c r="P128" s="1075" t="str">
        <f>IF($C128&lt;1,"",(AVERAGEIFS('09월 화학성분'!M$12:M$950,'09월 화학성분'!$B$12:$B$950,$A125,'09월 화학성분'!$D$12:$D$950,$B128)))</f>
        <v/>
      </c>
      <c r="Q128" s="1075" t="str">
        <f>IF($C128&lt;1,"",(AVERAGEIFS('09월 조업일지'!$AK$12:$AK$954,'09월 조업일지'!$B$12:$B$954,$A125,'09월 조업일지'!$E$12:$E$954,$B128)))</f>
        <v/>
      </c>
      <c r="R128" s="1075" t="str">
        <f>IF($C128&lt;1,"",(AVERAGEIFS('09월 화학성분'!$G$12:$G$950,'09월 화학성분'!$B$12:$B$950,$A125,'09월 화학성분'!$D$12:$D$950,$B128)))</f>
        <v/>
      </c>
      <c r="S128" s="1076" t="str">
        <f>IF($C128&lt;1,"",(AVERAGEIFS('09월 조업일지'!$AI$12:$AI$954,'09월 조업일지'!$B$12:$B$954,$A125,'09월 조업일지'!$E$12:$E$954,$B128)))</f>
        <v/>
      </c>
      <c r="T128" s="1077" t="str">
        <f>IF($C128&lt;1,"",(AVERAGEIFS('09월 화학성분'!$AM$12:$AM$949,'09월 화학성분'!$B$12:$B$949,$A125,'09월 화학성분'!$D$12:$D$949,$B128)))</f>
        <v/>
      </c>
      <c r="U128" s="1078" t="str">
        <f>IF($C128&lt;1,"",(AVERAGEIFS('09월 고철장입'!$AJ$14:$AJ$949,'09월 고철장입'!$B$14:$B$949,$A125,'09월 고철장입'!$C$14:$C$949,$B128))/1000)</f>
        <v/>
      </c>
      <c r="V128" s="1103" t="str">
        <f>IF($C128&lt;1,"",(AVERAGEIFS('09월 고철장입'!$AK$14:$AK$949,'09월 고철장입'!$B$14:$B$949,$A125,'09월 고철장입'!$C$14:$C$949,$B128)))</f>
        <v/>
      </c>
      <c r="W128" s="1079" t="str">
        <f t="shared" si="20"/>
        <v/>
      </c>
      <c r="X128" s="1080" t="str">
        <f>IF($C128&lt;1,"",(AVERAGEIFS('09월 에너지'!$O$14:$O$949,'09월 에너지'!$A$14:$A$949,$A125,'09월 에너지'!$C$14:$C$949,$B128)))</f>
        <v/>
      </c>
      <c r="Y128" s="1081" t="str">
        <f>IF($C128&lt;1,"",(AVERAGEIFS('09월 에너지'!$P$14:$P$949,'09월 에너지'!$A$14:$A$949,$A125,'09월 에너지'!$C$14:$C$949,$B128)))</f>
        <v/>
      </c>
      <c r="Z128" s="1081" t="str">
        <f>IF($C128&lt;1,"",(AVERAGEIFS('09월 에너지'!$Q$14:$Q$949,'09월 에너지'!$A$14:$A$949,$A125,'09월 에너지'!$C$14:$C$949,$B128)))</f>
        <v/>
      </c>
      <c r="AA128" s="1082" t="str">
        <f>IF($C128&lt;1,"",(AVERAGEIFS('09월 에너지'!$R$14:$R$949,'09월 에너지'!$B$14:$B$949,$A125,'09월 에너지'!$C$14:$C$949,$B128)))</f>
        <v/>
      </c>
      <c r="AB128" s="1083" t="str">
        <f>IF($C128&lt;1,"",(AVERAGEIFS('09월 에너지'!$X$14:$X$949,'09월 에너지'!$A$14:$A$949,$A125,'09월 에너지'!$C$14:$C$949,$B128)))</f>
        <v/>
      </c>
      <c r="AC128" s="1084" t="str">
        <f>IF($C128&lt;1,"",(AVERAGEIFS('09월 에너지'!$AC$14:$AC$949,'09월 에너지'!$A$14:$A$949,$A125,'09월 에너지'!$C$14:$C$949,$B128)))</f>
        <v/>
      </c>
      <c r="AD128" s="1085" t="str">
        <f>IF($C128&lt;1,"",(AVERAGEIFS('09월 에너지'!$AD$14:$AD$949,'09월 에너지'!$B$14:$B$949,$A125,'09월 에너지'!$C$14:$C$949,$B128)))</f>
        <v/>
      </c>
      <c r="AE128" s="1086" t="str">
        <f>IF($C128&lt;1,"",(AVERAGEIFS('09월 에너지'!$AE$14:$AE$949,'09월 에너지'!$B$14:$B$949,$A125,'09월 에너지'!$C$14:$C$949,$B128)))</f>
        <v/>
      </c>
      <c r="AF128" s="1087" t="str">
        <f>IF($C128&lt;1,"",(AVERAGEIFS('09월 에너지'!$AI$14:$AI$949,'09월 에너지'!$B$14:$B$949,$A125,'09월 에너지'!$C$14:$C$949,$B128)))</f>
        <v/>
      </c>
      <c r="AG128" s="1088" t="str">
        <f>IF($C128&lt;1,"",(AVERAGEIFS('09월 에너지'!$AJ$14:$AJ$949,'09월 에너지'!$B$14:$B$949,$A125,'09월 에너지'!$C$14:$C$949,$B128)))</f>
        <v/>
      </c>
    </row>
    <row r="129" spans="1:33" ht="15.6" thickTop="1" thickBot="1">
      <c r="A129" s="1632">
        <f t="shared" ref="A129" si="37">A125+1</f>
        <v>46297</v>
      </c>
      <c r="B129" s="775" t="s">
        <v>9</v>
      </c>
      <c r="C129" s="776">
        <f>COUNTIFS('09월 조업일지'!$B$12:$B$952,A129,'09월 조업일지'!$E$12:$E$952,B129)</f>
        <v>0</v>
      </c>
      <c r="D129" s="1026" t="str">
        <f t="shared" si="21"/>
        <v/>
      </c>
      <c r="E129" s="1027" t="str">
        <f>IF($C129&lt;1,"",(SUMIFS('09월 조업일지'!$K$12:$K$954,'09월 조업일지'!$B$12:$B$954,$A129,'09월 조업일지'!$E$12:$E$954,$B129)/$C129))</f>
        <v/>
      </c>
      <c r="F129" s="1028" t="str">
        <f>IF($C129&lt;1,"",(AVERAGEIFS('09월 조업일지'!$J$12:$J$954,'09월 조업일지'!$B$12:$B$954,$A129,'09월 조업일지'!$E$12:$E$954,$B129)))</f>
        <v/>
      </c>
      <c r="G129" s="1029" t="str">
        <f>IF($C129&lt;1,"",(AVERAGEIFS('09월 에너지'!$M$14:$M$950,'09월 에너지'!$B$14:$B$950,$A129,'09월 에너지'!$C$14:$C$950,$B129)))</f>
        <v/>
      </c>
      <c r="H129" s="1030" t="str">
        <f>IF($C129&lt;1,"",(AVERAGEIFS('09월 조업일지'!$AJ$12:$AJ$954,'09월 조업일지'!$B$12:$B$954,$A129,'09월 조업일지'!$E$12:$E$954,$B129)))</f>
        <v/>
      </c>
      <c r="I129" s="1031" t="str">
        <f>IF($C129&lt;1,"",(AVERAGEIFS('09월 조업일지'!$AL$12:$AL$954,'09월 조업일지'!$B$12:$B$954,$A129,'09월 조업일지'!$E$12:$E$954,$B129)))</f>
        <v/>
      </c>
      <c r="J129" s="1032" t="str">
        <f>IF($C129&lt;1,"",(AVERAGEIFS('09월 화학성분'!G$12:G$950,'09월 화학성분'!$B$12:$B$950,$A129,'09월 화학성분'!$D$12:$D$950,$B129)))</f>
        <v/>
      </c>
      <c r="K129" s="1033" t="str">
        <f>IF($C129&lt;1,"",(AVERAGEIFS('09월 화학성분'!H$12:H$950,'09월 화학성분'!$B$12:$B$950,$A129,'09월 화학성분'!$D$12:$D$950,$B129)))</f>
        <v/>
      </c>
      <c r="L129" s="1033" t="str">
        <f>IF($C129&lt;1,"",(AVERAGEIFS('09월 화학성분'!I$12:I$950,'09월 화학성분'!$B$12:$B$950,$A129,'09월 화학성분'!$D$12:$D$950,$B129)))</f>
        <v/>
      </c>
      <c r="M129" s="1033" t="str">
        <f>IF($C129&lt;1,"",(AVERAGEIFS('09월 화학성분'!J$12:J$950,'09월 화학성분'!$B$12:$B$950,$A129,'09월 화학성분'!$D$12:$D$950,$B129)))</f>
        <v/>
      </c>
      <c r="N129" s="1033" t="str">
        <f>IF($C129&lt;1,"",(AVERAGEIFS('09월 화학성분'!K$12:K$950,'09월 화학성분'!$B$12:$B$950,$A129,'09월 화학성분'!$D$12:$D$950,$B129)))</f>
        <v/>
      </c>
      <c r="O129" s="1033" t="str">
        <f>IF($C129&lt;1,"",(AVERAGEIFS('09월 화학성분'!L$12:L$950,'09월 화학성분'!$B$12:$B$950,$A129,'09월 화학성분'!$D$12:$D$950,$B129)))</f>
        <v/>
      </c>
      <c r="P129" s="1033" t="str">
        <f>IF($C129&lt;1,"",(AVERAGEIFS('09월 화학성분'!M$12:M$950,'09월 화학성분'!$B$12:$B$950,$A129,'09월 화학성분'!$D$12:$D$950,$B129)))</f>
        <v/>
      </c>
      <c r="Q129" s="1033" t="str">
        <f>IF($C129&lt;1,"",(AVERAGEIFS('09월 조업일지'!$AK$12:$AK$954,'09월 조업일지'!$B$12:$B$954,$A129,'09월 조업일지'!$E$12:$E$954,$B129)))</f>
        <v/>
      </c>
      <c r="R129" s="1033" t="str">
        <f>IF($C129&lt;1,"",(AVERAGEIFS('09월 화학성분'!$G$12:$G$950,'09월 화학성분'!$B$12:$B$950,$A129,'09월 화학성분'!$D$12:$D$950,$B129)))</f>
        <v/>
      </c>
      <c r="S129" s="1034" t="str">
        <f>IF($C129&lt;1,"",(AVERAGEIFS('09월 조업일지'!$AI$12:$AI$954,'09월 조업일지'!$B$12:$B$954,$A129,'09월 조업일지'!$E$12:$E$954,$B129)))</f>
        <v/>
      </c>
      <c r="T129" s="1035" t="str">
        <f>IF($C129&lt;1,"",(AVERAGEIFS('09월 화학성분'!$AM$12:$AM$949,'09월 화학성분'!$B$12:$B$949,$A129,'09월 화학성분'!$D$12:$D$949,$B129)))</f>
        <v/>
      </c>
      <c r="U129" s="1036" t="str">
        <f>IF($C129&lt;1,"",(AVERAGEIFS('09월 고철장입'!$AJ$14:$AJ$949,'09월 고철장입'!$B$14:$B$949,$A129,'09월 고철장입'!$C$14:$C$949,$B129))/1000)</f>
        <v/>
      </c>
      <c r="V129" s="1101" t="str">
        <f>IF($C129&lt;1,"",(AVERAGEIFS('09월 고철장입'!$AK$14:$AK$949,'09월 고철장입'!$B$14:$B$949,$A129,'09월 고철장입'!$C$14:$C$949,$B129)))</f>
        <v/>
      </c>
      <c r="W129" s="1037" t="str">
        <f t="shared" si="20"/>
        <v/>
      </c>
      <c r="X129" s="1038" t="str">
        <f>IF($C129&lt;1,"",(AVERAGEIFS('09월 에너지'!$O$14:$O$949,'09월 에너지'!$A$14:$A$949,$A129,'09월 에너지'!$C$14:$C$949,$B129)))</f>
        <v/>
      </c>
      <c r="Y129" s="1039" t="str">
        <f>IF($C129&lt;1,"",(AVERAGEIFS('09월 에너지'!$P$14:$P$949,'09월 에너지'!$A$14:$A$949,$A129,'09월 에너지'!$C$14:$C$949,$B129)))</f>
        <v/>
      </c>
      <c r="Z129" s="1039" t="str">
        <f>IF($C129&lt;1,"",(AVERAGEIFS('09월 에너지'!$Q$14:$Q$949,'09월 에너지'!$A$14:$A$949,$A129,'09월 에너지'!$C$14:$C$949,$B129)))</f>
        <v/>
      </c>
      <c r="AA129" s="1040" t="str">
        <f>IF($C129&lt;1,"",(AVERAGEIFS('09월 에너지'!$R$14:$R$949,'09월 에너지'!$B$14:$B$949,$A129,'09월 에너지'!$C$14:$C$949,$B129)))</f>
        <v/>
      </c>
      <c r="AB129" s="1041" t="str">
        <f>IF($C129&lt;1,"",(AVERAGEIFS('09월 에너지'!$X$14:$X$949,'09월 에너지'!$A$14:$A$949,$A129,'09월 에너지'!$C$14:$C$949,$B129)))</f>
        <v/>
      </c>
      <c r="AC129" s="1042" t="str">
        <f>IF($C129&lt;1,"",(AVERAGEIFS('09월 에너지'!$AC$14:$AC$949,'09월 에너지'!$A$14:$A$949,$A129,'09월 에너지'!$C$14:$C$949,$B129)))</f>
        <v/>
      </c>
      <c r="AD129" s="1043" t="str">
        <f>IF($C129&lt;1,"",(AVERAGEIFS('09월 에너지'!$AD$14:$AD$949,'09월 에너지'!$B$14:$B$949,$A129,'09월 에너지'!$C$14:$C$949,$B129)))</f>
        <v/>
      </c>
      <c r="AE129" s="1044" t="str">
        <f>IF($C129&lt;1,"",(AVERAGEIFS('09월 에너지'!$AE$14:$AE$949,'09월 에너지'!$B$14:$B$949,$A129,'09월 에너지'!$C$14:$C$949,$B129)))</f>
        <v/>
      </c>
      <c r="AF129" s="1045" t="str">
        <f>IF($C129&lt;1,"",(AVERAGEIFS('09월 에너지'!$AI$14:$AI$949,'09월 에너지'!$B$14:$B$949,$A129,'09월 에너지'!$C$14:$C$949,$B129)))</f>
        <v/>
      </c>
      <c r="AG129" s="1046" t="str">
        <f>IF($C129&lt;1,"",(AVERAGEIFS('09월 에너지'!$AJ$14:$AJ$949,'09월 에너지'!$B$14:$B$949,$A129,'09월 에너지'!$C$14:$C$949,$B129)))</f>
        <v/>
      </c>
    </row>
    <row r="130" spans="1:33" ht="15.6" thickTop="1" thickBot="1">
      <c r="A130" s="1632"/>
      <c r="B130" s="781" t="s">
        <v>100</v>
      </c>
      <c r="C130" s="782">
        <f>COUNTIFS('09월 조업일지'!$B$12:$B$952,A129,'09월 조업일지'!$E$12:$E$952,B130)</f>
        <v>0</v>
      </c>
      <c r="D130" s="1047" t="str">
        <f t="shared" si="21"/>
        <v/>
      </c>
      <c r="E130" s="1048" t="str">
        <f>IF($C130&lt;1,"",(SUMIFS('09월 조업일지'!$K$12:$K$954,'09월 조업일지'!$B$12:$B$954,$A129,'09월 조업일지'!$E$12:$E$954,$B130)/$C130))</f>
        <v/>
      </c>
      <c r="F130" s="1049" t="str">
        <f>IF($C130&lt;1,"",(AVERAGEIFS('09월 조업일지'!$J$12:$J$954,'09월 조업일지'!$B$12:$B$954,$A129,'09월 조업일지'!$E$12:$E$954,$B130)))</f>
        <v/>
      </c>
      <c r="G130" s="1050" t="str">
        <f>IF($C130&lt;1,"",(AVERAGEIFS('09월 에너지'!$M$14:$M$950,'09월 에너지'!$B$14:$B$950,$A129,'09월 에너지'!$C$14:$C$950,$B130)))</f>
        <v/>
      </c>
      <c r="H130" s="1051" t="str">
        <f>IF($C130&lt;1,"",(AVERAGEIFS('09월 조업일지'!$AJ$12:$AJ$954,'09월 조업일지'!$B$12:$B$954,$A129,'09월 조업일지'!$E$12:$E$954,$B130)))</f>
        <v/>
      </c>
      <c r="I130" s="1052" t="str">
        <f>IF($C130&lt;1,"",(AVERAGEIFS('09월 조업일지'!$AL$12:$AL$954,'09월 조업일지'!$B$12:$B$954,$A129,'09월 조업일지'!$E$12:$E$954,$B130)))</f>
        <v/>
      </c>
      <c r="J130" s="1053" t="str">
        <f>IF($C130&lt;1,"",(AVERAGEIFS('09월 화학성분'!G$12:G$950,'09월 화학성분'!$B$12:$B$950,$A129,'09월 화학성분'!$D$12:$D$950,$B130)))</f>
        <v/>
      </c>
      <c r="K130" s="1054" t="str">
        <f>IF($C130&lt;1,"",(AVERAGEIFS('09월 화학성분'!H$12:H$950,'09월 화학성분'!$B$12:$B$950,$A129,'09월 화학성분'!$D$12:$D$950,$B130)))</f>
        <v/>
      </c>
      <c r="L130" s="1054" t="str">
        <f>IF($C130&lt;1,"",(AVERAGEIFS('09월 화학성분'!I$12:I$950,'09월 화학성분'!$B$12:$B$950,$A129,'09월 화학성분'!$D$12:$D$950,$B130)))</f>
        <v/>
      </c>
      <c r="M130" s="1054" t="str">
        <f>IF($C130&lt;1,"",(AVERAGEIFS('09월 화학성분'!J$12:J$950,'09월 화학성분'!$B$12:$B$950,$A129,'09월 화학성분'!$D$12:$D$950,$B130)))</f>
        <v/>
      </c>
      <c r="N130" s="1054" t="str">
        <f>IF($C130&lt;1,"",(AVERAGEIFS('09월 화학성분'!K$12:K$950,'09월 화학성분'!$B$12:$B$950,$A129,'09월 화학성분'!$D$12:$D$950,$B130)))</f>
        <v/>
      </c>
      <c r="O130" s="1054" t="str">
        <f>IF($C130&lt;1,"",(AVERAGEIFS('09월 화학성분'!L$12:L$950,'09월 화학성분'!$B$12:$B$950,$A129,'09월 화학성분'!$D$12:$D$950,$B130)))</f>
        <v/>
      </c>
      <c r="P130" s="1054" t="str">
        <f>IF($C130&lt;1,"",(AVERAGEIFS('09월 화학성분'!M$12:M$950,'09월 화학성분'!$B$12:$B$950,$A129,'09월 화학성분'!$D$12:$D$950,$B130)))</f>
        <v/>
      </c>
      <c r="Q130" s="1054" t="str">
        <f>IF($C130&lt;1,"",(AVERAGEIFS('09월 조업일지'!$AK$12:$AK$954,'09월 조업일지'!$B$12:$B$954,$A129,'09월 조업일지'!$E$12:$E$954,$B130)))</f>
        <v/>
      </c>
      <c r="R130" s="1054" t="str">
        <f>IF($C130&lt;1,"",(AVERAGEIFS('09월 화학성분'!$G$12:$G$950,'09월 화학성분'!$B$12:$B$950,$A129,'09월 화학성분'!$D$12:$D$950,$B130)))</f>
        <v/>
      </c>
      <c r="S130" s="1055" t="str">
        <f>IF($C130&lt;1,"",(AVERAGEIFS('09월 조업일지'!$AI$12:$AI$954,'09월 조업일지'!$B$12:$B$954,$A129,'09월 조업일지'!$E$12:$E$954,$B130)))</f>
        <v/>
      </c>
      <c r="T130" s="1056" t="str">
        <f>IF($C130&lt;1,"",(AVERAGEIFS('09월 화학성분'!$AM$12:$AM$949,'09월 화학성분'!$B$12:$B$949,$A129,'09월 화학성분'!$D$12:$D$949,$B130)))</f>
        <v/>
      </c>
      <c r="U130" s="1057" t="str">
        <f>IF($C130&lt;1,"",(AVERAGEIFS('09월 고철장입'!$AJ$14:$AJ$949,'09월 고철장입'!$B$14:$B$949,$A129,'09월 고철장입'!$C$14:$C$949,$B130))/1000)</f>
        <v/>
      </c>
      <c r="V130" s="1102" t="str">
        <f>IF($C130&lt;1,"",(AVERAGEIFS('09월 고철장입'!$AK$14:$AK$949,'09월 고철장입'!$B$14:$B$949,$A129,'09월 고철장입'!$C$14:$C$949,$B130)))</f>
        <v/>
      </c>
      <c r="W130" s="1058" t="str">
        <f t="shared" si="20"/>
        <v/>
      </c>
      <c r="X130" s="1059" t="str">
        <f>IF($C130&lt;1,"",(AVERAGEIFS('09월 에너지'!$O$14:$O$949,'09월 에너지'!$A$14:$A$949,$A129,'09월 에너지'!$C$14:$C$949,$B130)))</f>
        <v/>
      </c>
      <c r="Y130" s="1060" t="str">
        <f>IF($C130&lt;1,"",(AVERAGEIFS('09월 에너지'!$P$14:$P$949,'09월 에너지'!$A$14:$A$949,$A129,'09월 에너지'!$C$14:$C$949,$B130)))</f>
        <v/>
      </c>
      <c r="Z130" s="1060" t="str">
        <f>IF($C130&lt;1,"",(AVERAGEIFS('09월 에너지'!$Q$14:$Q$949,'09월 에너지'!$A$14:$A$949,$A129,'09월 에너지'!$C$14:$C$949,$B130)))</f>
        <v/>
      </c>
      <c r="AA130" s="1061" t="str">
        <f>IF($C130&lt;1,"",(AVERAGEIFS('09월 에너지'!$R$14:$R$949,'09월 에너지'!$B$14:$B$949,$A129,'09월 에너지'!$C$14:$C$949,$B130)))</f>
        <v/>
      </c>
      <c r="AB130" s="1062" t="str">
        <f>IF($C130&lt;1,"",(AVERAGEIFS('09월 에너지'!$X$14:$X$949,'09월 에너지'!$A$14:$A$949,$A129,'09월 에너지'!$C$14:$C$949,$B130)))</f>
        <v/>
      </c>
      <c r="AC130" s="1063" t="str">
        <f>IF($C130&lt;1,"",(AVERAGEIFS('09월 에너지'!$AC$14:$AC$949,'09월 에너지'!$A$14:$A$949,$A129,'09월 에너지'!$C$14:$C$949,$B130)))</f>
        <v/>
      </c>
      <c r="AD130" s="1064" t="str">
        <f>IF($C130&lt;1,"",(AVERAGEIFS('09월 에너지'!$AD$14:$AD$949,'09월 에너지'!$B$14:$B$949,$A129,'09월 에너지'!$C$14:$C$949,$B130)))</f>
        <v/>
      </c>
      <c r="AE130" s="1065" t="str">
        <f>IF($C130&lt;1,"",(AVERAGEIFS('09월 에너지'!$AE$14:$AE$949,'09월 에너지'!$B$14:$B$949,$A129,'09월 에너지'!$C$14:$C$949,$B130)))</f>
        <v/>
      </c>
      <c r="AF130" s="1066" t="str">
        <f>IF($C130&lt;1,"",(AVERAGEIFS('09월 에너지'!$AI$14:$AI$949,'09월 에너지'!$B$14:$B$949,$A129,'09월 에너지'!$C$14:$C$949,$B130)))</f>
        <v/>
      </c>
      <c r="AG130" s="1067" t="str">
        <f>IF($C130&lt;1,"",(AVERAGEIFS('09월 에너지'!$AJ$14:$AJ$949,'09월 에너지'!$B$14:$B$949,$A129,'09월 에너지'!$C$14:$C$949,$B130)))</f>
        <v/>
      </c>
    </row>
    <row r="131" spans="1:33" ht="15.6" thickTop="1" thickBot="1">
      <c r="A131" s="1632"/>
      <c r="B131" s="781" t="s">
        <v>10</v>
      </c>
      <c r="C131" s="782">
        <f>COUNTIFS('09월 조업일지'!$B$12:$B$952,A129,'09월 조업일지'!$E$12:$E$952,B131)</f>
        <v>0</v>
      </c>
      <c r="D131" s="1047" t="str">
        <f t="shared" si="21"/>
        <v/>
      </c>
      <c r="E131" s="1048" t="str">
        <f>IF($C131&lt;1,"",(SUMIFS('09월 조업일지'!$K$12:$K$954,'09월 조업일지'!$B$12:$B$954,$A129,'09월 조업일지'!$E$12:$E$954,$B131)/$C131))</f>
        <v/>
      </c>
      <c r="F131" s="1049" t="str">
        <f>IF($C131&lt;1,"",(AVERAGEIFS('09월 조업일지'!$J$12:$J$954,'09월 조업일지'!$B$12:$B$954,$A129,'09월 조업일지'!$E$12:$E$954,$B131)))</f>
        <v/>
      </c>
      <c r="G131" s="1050" t="str">
        <f>IF($C131&lt;1,"",(AVERAGEIFS('09월 에너지'!$M$14:$M$950,'09월 에너지'!$B$14:$B$950,$A129,'09월 에너지'!$C$14:$C$950,$B131)))</f>
        <v/>
      </c>
      <c r="H131" s="1051" t="str">
        <f>IF($C131&lt;1,"",(AVERAGEIFS('09월 조업일지'!$AJ$12:$AJ$954,'09월 조업일지'!$B$12:$B$954,$A129,'09월 조업일지'!$E$12:$E$954,$B131)))</f>
        <v/>
      </c>
      <c r="I131" s="1052" t="str">
        <f>IF($C131&lt;1,"",(AVERAGEIFS('09월 조업일지'!$AL$12:$AL$954,'09월 조업일지'!$B$12:$B$954,$A129,'09월 조업일지'!$E$12:$E$954,$B131)))</f>
        <v/>
      </c>
      <c r="J131" s="1053" t="str">
        <f>IF($C131&lt;1,"",(AVERAGEIFS('09월 화학성분'!G$12:G$950,'09월 화학성분'!$B$12:$B$950,$A129,'09월 화학성분'!$D$12:$D$950,$B131)))</f>
        <v/>
      </c>
      <c r="K131" s="1054" t="str">
        <f>IF($C131&lt;1,"",(AVERAGEIFS('09월 화학성분'!H$12:H$950,'09월 화학성분'!$B$12:$B$950,$A129,'09월 화학성분'!$D$12:$D$950,$B131)))</f>
        <v/>
      </c>
      <c r="L131" s="1054" t="str">
        <f>IF($C131&lt;1,"",(AVERAGEIFS('09월 화학성분'!I$12:I$950,'09월 화학성분'!$B$12:$B$950,$A129,'09월 화학성분'!$D$12:$D$950,$B131)))</f>
        <v/>
      </c>
      <c r="M131" s="1054" t="str">
        <f>IF($C131&lt;1,"",(AVERAGEIFS('09월 화학성분'!J$12:J$950,'09월 화학성분'!$B$12:$B$950,$A129,'09월 화학성분'!$D$12:$D$950,$B131)))</f>
        <v/>
      </c>
      <c r="N131" s="1054" t="str">
        <f>IF($C131&lt;1,"",(AVERAGEIFS('09월 화학성분'!K$12:K$950,'09월 화학성분'!$B$12:$B$950,$A129,'09월 화학성분'!$D$12:$D$950,$B131)))</f>
        <v/>
      </c>
      <c r="O131" s="1054" t="str">
        <f>IF($C131&lt;1,"",(AVERAGEIFS('09월 화학성분'!L$12:L$950,'09월 화학성분'!$B$12:$B$950,$A129,'09월 화학성분'!$D$12:$D$950,$B131)))</f>
        <v/>
      </c>
      <c r="P131" s="1054" t="str">
        <f>IF($C131&lt;1,"",(AVERAGEIFS('09월 화학성분'!M$12:M$950,'09월 화학성분'!$B$12:$B$950,$A129,'09월 화학성분'!$D$12:$D$950,$B131)))</f>
        <v/>
      </c>
      <c r="Q131" s="1054" t="str">
        <f>IF($C131&lt;1,"",(AVERAGEIFS('09월 조업일지'!$AK$12:$AK$954,'09월 조업일지'!$B$12:$B$954,$A129,'09월 조업일지'!$E$12:$E$954,$B131)))</f>
        <v/>
      </c>
      <c r="R131" s="1054" t="str">
        <f>IF($C131&lt;1,"",(AVERAGEIFS('09월 화학성분'!$G$12:$G$950,'09월 화학성분'!$B$12:$B$950,$A129,'09월 화학성분'!$D$12:$D$950,$B131)))</f>
        <v/>
      </c>
      <c r="S131" s="1055" t="str">
        <f>IF($C131&lt;1,"",(AVERAGEIFS('09월 조업일지'!$AI$12:$AI$954,'09월 조업일지'!$B$12:$B$954,$A129,'09월 조업일지'!$E$12:$E$954,$B131)))</f>
        <v/>
      </c>
      <c r="T131" s="1056" t="str">
        <f>IF($C131&lt;1,"",(AVERAGEIFS('09월 화학성분'!$AM$12:$AM$949,'09월 화학성분'!$B$12:$B$949,$A129,'09월 화학성분'!$D$12:$D$949,$B131)))</f>
        <v/>
      </c>
      <c r="U131" s="1057" t="str">
        <f>IF($C131&lt;1,"",(AVERAGEIFS('09월 고철장입'!$AJ$14:$AJ$949,'09월 고철장입'!$B$14:$B$949,$A129,'09월 고철장입'!$C$14:$C$949,$B131))/1000)</f>
        <v/>
      </c>
      <c r="V131" s="1102" t="str">
        <f>IF($C131&lt;1,"",(AVERAGEIFS('09월 고철장입'!$AK$14:$AK$949,'09월 고철장입'!$B$14:$B$949,$A129,'09월 고철장입'!$C$14:$C$949,$B131)))</f>
        <v/>
      </c>
      <c r="W131" s="1058" t="str">
        <f t="shared" si="20"/>
        <v/>
      </c>
      <c r="X131" s="1059" t="str">
        <f>IF($C131&lt;1,"",(AVERAGEIFS('09월 에너지'!$O$14:$O$949,'09월 에너지'!$A$14:$A$949,$A129,'09월 에너지'!$C$14:$C$949,$B131)))</f>
        <v/>
      </c>
      <c r="Y131" s="1060" t="str">
        <f>IF($C131&lt;1,"",(AVERAGEIFS('09월 에너지'!$P$14:$P$949,'09월 에너지'!$A$14:$A$949,$A129,'09월 에너지'!$C$14:$C$949,$B131)))</f>
        <v/>
      </c>
      <c r="Z131" s="1060" t="str">
        <f>IF($C131&lt;1,"",(AVERAGEIFS('09월 에너지'!$Q$14:$Q$949,'09월 에너지'!$A$14:$A$949,$A129,'09월 에너지'!$C$14:$C$949,$B131)))</f>
        <v/>
      </c>
      <c r="AA131" s="1061" t="str">
        <f>IF($C131&lt;1,"",(AVERAGEIFS('09월 에너지'!$R$14:$R$949,'09월 에너지'!$B$14:$B$949,$A129,'09월 에너지'!$C$14:$C$949,$B131)))</f>
        <v/>
      </c>
      <c r="AB131" s="1062" t="str">
        <f>IF($C131&lt;1,"",(AVERAGEIFS('09월 에너지'!$X$14:$X$949,'09월 에너지'!$A$14:$A$949,$A129,'09월 에너지'!$C$14:$C$949,$B131)))</f>
        <v/>
      </c>
      <c r="AC131" s="1063" t="str">
        <f>IF($C131&lt;1,"",(AVERAGEIFS('09월 에너지'!$AC$14:$AC$949,'09월 에너지'!$A$14:$A$949,$A129,'09월 에너지'!$C$14:$C$949,$B131)))</f>
        <v/>
      </c>
      <c r="AD131" s="1064" t="str">
        <f>IF($C131&lt;1,"",(AVERAGEIFS('09월 에너지'!$AD$14:$AD$949,'09월 에너지'!$B$14:$B$949,$A129,'09월 에너지'!$C$14:$C$949,$B131)))</f>
        <v/>
      </c>
      <c r="AE131" s="1065" t="str">
        <f>IF($C131&lt;1,"",(AVERAGEIFS('09월 에너지'!$AE$14:$AE$949,'09월 에너지'!$B$14:$B$949,$A129,'09월 에너지'!$C$14:$C$949,$B131)))</f>
        <v/>
      </c>
      <c r="AF131" s="1066" t="str">
        <f>IF($C131&lt;1,"",(AVERAGEIFS('09월 에너지'!$AI$14:$AI$949,'09월 에너지'!$B$14:$B$949,$A129,'09월 에너지'!$C$14:$C$949,$B131)))</f>
        <v/>
      </c>
      <c r="AG131" s="1067" t="str">
        <f>IF($C131&lt;1,"",(AVERAGEIFS('09월 에너지'!$AJ$14:$AJ$949,'09월 에너지'!$B$14:$B$949,$A129,'09월 에너지'!$C$14:$C$949,$B131)))</f>
        <v/>
      </c>
    </row>
    <row r="132" spans="1:33" ht="15.6" thickTop="1" thickBot="1">
      <c r="A132" s="1632"/>
      <c r="B132" s="785" t="s">
        <v>94</v>
      </c>
      <c r="C132" s="786">
        <f>COUNTIFS('09월 조업일지'!$B$12:$B$952,A129,'09월 조업일지'!$E$12:$E$952,B132)</f>
        <v>0</v>
      </c>
      <c r="D132" s="1068" t="str">
        <f t="shared" si="21"/>
        <v/>
      </c>
      <c r="E132" s="1069" t="str">
        <f>IF($C132&lt;1,"",(SUMIFS('09월 조업일지'!$K$12:$K$954,'09월 조업일지'!$B$12:$B$954,$A129,'09월 조업일지'!$E$12:$E$954,$B132)/$C132))</f>
        <v/>
      </c>
      <c r="F132" s="1070" t="str">
        <f>IF($C132&lt;1,"",(AVERAGEIFS('09월 조업일지'!$J$12:$J$954,'09월 조업일지'!$B$12:$B$954,$A129,'09월 조업일지'!$E$12:$E$954,$B132)))</f>
        <v/>
      </c>
      <c r="G132" s="1071" t="str">
        <f>IF($C132&lt;1,"",(AVERAGEIFS('09월 에너지'!$M$14:$M$950,'09월 에너지'!$B$14:$B$950,$A129,'09월 에너지'!$C$14:$C$950,$B132)))</f>
        <v/>
      </c>
      <c r="H132" s="1072" t="str">
        <f>IF($C132&lt;1,"",(AVERAGEIFS('09월 조업일지'!$AJ$12:$AJ$954,'09월 조업일지'!$B$12:$B$954,$A129,'09월 조업일지'!$E$12:$E$954,$B132)))</f>
        <v/>
      </c>
      <c r="I132" s="1073" t="str">
        <f>IF($C132&lt;1,"",(AVERAGEIFS('09월 조업일지'!$AL$12:$AL$954,'09월 조업일지'!$B$12:$B$954,$A129,'09월 조업일지'!$E$12:$E$954,$B132)))</f>
        <v/>
      </c>
      <c r="J132" s="1074" t="str">
        <f>IF($C132&lt;1,"",(AVERAGEIFS('09월 화학성분'!G$12:G$950,'09월 화학성분'!$B$12:$B$950,$A129,'09월 화학성분'!$D$12:$D$950,$B132)))</f>
        <v/>
      </c>
      <c r="K132" s="1075" t="str">
        <f>IF($C132&lt;1,"",(AVERAGEIFS('09월 화학성분'!H$12:H$950,'09월 화학성분'!$B$12:$B$950,$A129,'09월 화학성분'!$D$12:$D$950,$B132)))</f>
        <v/>
      </c>
      <c r="L132" s="1075" t="str">
        <f>IF($C132&lt;1,"",(AVERAGEIFS('09월 화학성분'!I$12:I$950,'09월 화학성분'!$B$12:$B$950,$A129,'09월 화학성분'!$D$12:$D$950,$B132)))</f>
        <v/>
      </c>
      <c r="M132" s="1075" t="str">
        <f>IF($C132&lt;1,"",(AVERAGEIFS('09월 화학성분'!J$12:J$950,'09월 화학성분'!$B$12:$B$950,$A129,'09월 화학성분'!$D$12:$D$950,$B132)))</f>
        <v/>
      </c>
      <c r="N132" s="1075" t="str">
        <f>IF($C132&lt;1,"",(AVERAGEIFS('09월 화학성분'!K$12:K$950,'09월 화학성분'!$B$12:$B$950,$A129,'09월 화학성분'!$D$12:$D$950,$B132)))</f>
        <v/>
      </c>
      <c r="O132" s="1075" t="str">
        <f>IF($C132&lt;1,"",(AVERAGEIFS('09월 화학성분'!L$12:L$950,'09월 화학성분'!$B$12:$B$950,$A129,'09월 화학성분'!$D$12:$D$950,$B132)))</f>
        <v/>
      </c>
      <c r="P132" s="1075" t="str">
        <f>IF($C132&lt;1,"",(AVERAGEIFS('09월 화학성분'!M$12:M$950,'09월 화학성분'!$B$12:$B$950,$A129,'09월 화학성분'!$D$12:$D$950,$B132)))</f>
        <v/>
      </c>
      <c r="Q132" s="1075" t="str">
        <f>IF($C132&lt;1,"",(AVERAGEIFS('09월 조업일지'!$AK$12:$AK$954,'09월 조업일지'!$B$12:$B$954,$A129,'09월 조업일지'!$E$12:$E$954,$B132)))</f>
        <v/>
      </c>
      <c r="R132" s="1075" t="str">
        <f>IF($C132&lt;1,"",(AVERAGEIFS('09월 화학성분'!$G$12:$G$950,'09월 화학성분'!$B$12:$B$950,$A129,'09월 화학성분'!$D$12:$D$950,$B132)))</f>
        <v/>
      </c>
      <c r="S132" s="1076" t="str">
        <f>IF($C132&lt;1,"",(AVERAGEIFS('09월 조업일지'!$AI$12:$AI$954,'09월 조업일지'!$B$12:$B$954,$A129,'09월 조업일지'!$E$12:$E$954,$B132)))</f>
        <v/>
      </c>
      <c r="T132" s="1077" t="str">
        <f>IF($C132&lt;1,"",(AVERAGEIFS('09월 화학성분'!$AM$12:$AM$949,'09월 화학성분'!$B$12:$B$949,$A129,'09월 화학성분'!$D$12:$D$949,$B132)))</f>
        <v/>
      </c>
      <c r="U132" s="1078" t="str">
        <f>IF($C132&lt;1,"",(AVERAGEIFS('09월 고철장입'!$AJ$14:$AJ$949,'09월 고철장입'!$B$14:$B$949,$A129,'09월 고철장입'!$C$14:$C$949,$B132))/1000)</f>
        <v/>
      </c>
      <c r="V132" s="1103" t="str">
        <f>IF($C132&lt;1,"",(AVERAGEIFS('09월 고철장입'!$AK$14:$AK$949,'09월 고철장입'!$B$14:$B$949,$A129,'09월 고철장입'!$C$14:$C$949,$B132)))</f>
        <v/>
      </c>
      <c r="W132" s="1079" t="str">
        <f t="shared" si="20"/>
        <v/>
      </c>
      <c r="X132" s="1080" t="str">
        <f>IF($C132&lt;1,"",(AVERAGEIFS('09월 에너지'!$O$14:$O$949,'09월 에너지'!$A$14:$A$949,$A129,'09월 에너지'!$C$14:$C$949,$B132)))</f>
        <v/>
      </c>
      <c r="Y132" s="1081" t="str">
        <f>IF($C132&lt;1,"",(AVERAGEIFS('09월 에너지'!$P$14:$P$949,'09월 에너지'!$A$14:$A$949,$A129,'09월 에너지'!$C$14:$C$949,$B132)))</f>
        <v/>
      </c>
      <c r="Z132" s="1081" t="str">
        <f>IF($C132&lt;1,"",(AVERAGEIFS('09월 에너지'!$Q$14:$Q$949,'09월 에너지'!$A$14:$A$949,$A129,'09월 에너지'!$C$14:$C$949,$B132)))</f>
        <v/>
      </c>
      <c r="AA132" s="1082" t="str">
        <f>IF($C132&lt;1,"",(AVERAGEIFS('09월 에너지'!$R$14:$R$949,'09월 에너지'!$B$14:$B$949,$A129,'09월 에너지'!$C$14:$C$949,$B132)))</f>
        <v/>
      </c>
      <c r="AB132" s="1083" t="str">
        <f>IF($C132&lt;1,"",(AVERAGEIFS('09월 에너지'!$X$14:$X$949,'09월 에너지'!$A$14:$A$949,$A129,'09월 에너지'!$C$14:$C$949,$B132)))</f>
        <v/>
      </c>
      <c r="AC132" s="1084" t="str">
        <f>IF($C132&lt;1,"",(AVERAGEIFS('09월 에너지'!$AC$14:$AC$949,'09월 에너지'!$A$14:$A$949,$A129,'09월 에너지'!$C$14:$C$949,$B132)))</f>
        <v/>
      </c>
      <c r="AD132" s="1085" t="str">
        <f>IF($C132&lt;1,"",(AVERAGEIFS('09월 에너지'!$AD$14:$AD$949,'09월 에너지'!$B$14:$B$949,$A129,'09월 에너지'!$C$14:$C$949,$B132)))</f>
        <v/>
      </c>
      <c r="AE132" s="1086" t="str">
        <f>IF($C132&lt;1,"",(AVERAGEIFS('09월 에너지'!$AE$14:$AE$949,'09월 에너지'!$B$14:$B$949,$A129,'09월 에너지'!$C$14:$C$949,$B132)))</f>
        <v/>
      </c>
      <c r="AF132" s="1087" t="str">
        <f>IF($C132&lt;1,"",(AVERAGEIFS('09월 에너지'!$AI$14:$AI$949,'09월 에너지'!$B$14:$B$949,$A129,'09월 에너지'!$C$14:$C$949,$B132)))</f>
        <v/>
      </c>
      <c r="AG132" s="1088" t="str">
        <f>IF($C132&lt;1,"",(AVERAGEIFS('09월 에너지'!$AJ$14:$AJ$949,'09월 에너지'!$B$14:$B$949,$A129,'09월 에너지'!$C$14:$C$949,$B132)))</f>
        <v/>
      </c>
    </row>
    <row r="133" spans="1:33" ht="15.6" thickTop="1" thickBot="1">
      <c r="A133" s="1632">
        <f t="shared" ref="A133" si="38">A129+1</f>
        <v>46298</v>
      </c>
      <c r="B133" s="775" t="s">
        <v>9</v>
      </c>
      <c r="C133" s="776">
        <f>COUNTIFS('09월 조업일지'!$B$12:$B$952,A133,'09월 조업일지'!$E$12:$E$952,B133)</f>
        <v>0</v>
      </c>
      <c r="D133" s="1026" t="str">
        <f t="shared" si="21"/>
        <v/>
      </c>
      <c r="E133" s="1027" t="str">
        <f>IF($C133&lt;1,"",(SUMIFS('09월 조업일지'!$K$12:$K$954,'09월 조업일지'!$B$12:$B$954,$A133,'09월 조업일지'!$E$12:$E$954,$B133)/$C133))</f>
        <v/>
      </c>
      <c r="F133" s="1028" t="str">
        <f>IF($C133&lt;1,"",(AVERAGEIFS('09월 조업일지'!$J$12:$J$954,'09월 조업일지'!$B$12:$B$954,$A133,'09월 조업일지'!$E$12:$E$954,$B133)))</f>
        <v/>
      </c>
      <c r="G133" s="1029" t="str">
        <f>IF($C133&lt;1,"",(AVERAGEIFS('09월 에너지'!$M$14:$M$950,'09월 에너지'!$B$14:$B$950,$A133,'09월 에너지'!$C$14:$C$950,$B133)))</f>
        <v/>
      </c>
      <c r="H133" s="1030" t="str">
        <f>IF($C133&lt;1,"",(AVERAGEIFS('09월 조업일지'!$AJ$12:$AJ$954,'09월 조업일지'!$B$12:$B$954,$A133,'09월 조업일지'!$E$12:$E$954,$B133)))</f>
        <v/>
      </c>
      <c r="I133" s="1031" t="str">
        <f>IF($C133&lt;1,"",(AVERAGEIFS('09월 조업일지'!$AL$12:$AL$954,'09월 조업일지'!$B$12:$B$954,$A133,'09월 조업일지'!$E$12:$E$954,$B133)))</f>
        <v/>
      </c>
      <c r="J133" s="1032" t="str">
        <f>IF($C133&lt;1,"",(AVERAGEIFS('09월 화학성분'!G$12:G$950,'09월 화학성분'!$B$12:$B$950,$A133,'09월 화학성분'!$D$12:$D$950,$B133)))</f>
        <v/>
      </c>
      <c r="K133" s="1033" t="str">
        <f>IF($C133&lt;1,"",(AVERAGEIFS('09월 화학성분'!H$12:H$950,'09월 화학성분'!$B$12:$B$950,$A133,'09월 화학성분'!$D$12:$D$950,$B133)))</f>
        <v/>
      </c>
      <c r="L133" s="1033" t="str">
        <f>IF($C133&lt;1,"",(AVERAGEIFS('09월 화학성분'!I$12:I$950,'09월 화학성분'!$B$12:$B$950,$A133,'09월 화학성분'!$D$12:$D$950,$B133)))</f>
        <v/>
      </c>
      <c r="M133" s="1033" t="str">
        <f>IF($C133&lt;1,"",(AVERAGEIFS('09월 화학성분'!J$12:J$950,'09월 화학성분'!$B$12:$B$950,$A133,'09월 화학성분'!$D$12:$D$950,$B133)))</f>
        <v/>
      </c>
      <c r="N133" s="1033" t="str">
        <f>IF($C133&lt;1,"",(AVERAGEIFS('09월 화학성분'!K$12:K$950,'09월 화학성분'!$B$12:$B$950,$A133,'09월 화학성분'!$D$12:$D$950,$B133)))</f>
        <v/>
      </c>
      <c r="O133" s="1033" t="str">
        <f>IF($C133&lt;1,"",(AVERAGEIFS('09월 화학성분'!L$12:L$950,'09월 화학성분'!$B$12:$B$950,$A133,'09월 화학성분'!$D$12:$D$950,$B133)))</f>
        <v/>
      </c>
      <c r="P133" s="1033" t="str">
        <f>IF($C133&lt;1,"",(AVERAGEIFS('09월 화학성분'!M$12:M$950,'09월 화학성분'!$B$12:$B$950,$A133,'09월 화학성분'!$D$12:$D$950,$B133)))</f>
        <v/>
      </c>
      <c r="Q133" s="1033" t="str">
        <f>IF($C133&lt;1,"",(AVERAGEIFS('09월 조업일지'!$AK$12:$AK$954,'09월 조업일지'!$B$12:$B$954,$A133,'09월 조업일지'!$E$12:$E$954,$B133)))</f>
        <v/>
      </c>
      <c r="R133" s="1033" t="str">
        <f>IF($C133&lt;1,"",(AVERAGEIFS('09월 화학성분'!$G$12:$G$950,'09월 화학성분'!$B$12:$B$950,$A133,'09월 화학성분'!$D$12:$D$950,$B133)))</f>
        <v/>
      </c>
      <c r="S133" s="1034" t="str">
        <f>IF($C133&lt;1,"",(AVERAGEIFS('09월 조업일지'!$AI$12:$AI$954,'09월 조업일지'!$B$12:$B$954,$A133,'09월 조업일지'!$E$12:$E$954,$B133)))</f>
        <v/>
      </c>
      <c r="T133" s="1035" t="str">
        <f>IF($C133&lt;1,"",(AVERAGEIFS('09월 화학성분'!$AM$12:$AM$949,'09월 화학성분'!$B$12:$B$949,$A133,'09월 화학성분'!$D$12:$D$949,$B133)))</f>
        <v/>
      </c>
      <c r="U133" s="1036" t="str">
        <f>IF($C133&lt;1,"",(AVERAGEIFS('09월 고철장입'!$AJ$14:$AJ$949,'09월 고철장입'!$B$14:$B$949,$A133,'09월 고철장입'!$C$14:$C$949,$B133))/1000)</f>
        <v/>
      </c>
      <c r="V133" s="1101" t="str">
        <f>IF($C133&lt;1,"",(AVERAGEIFS('09월 고철장입'!$AK$14:$AK$949,'09월 고철장입'!$B$14:$B$949,$A133,'09월 고철장입'!$C$14:$C$949,$B133)))</f>
        <v/>
      </c>
      <c r="W133" s="1037" t="str">
        <f t="shared" si="20"/>
        <v/>
      </c>
      <c r="X133" s="1038" t="str">
        <f>IF($C133&lt;1,"",(AVERAGEIFS('09월 에너지'!$O$14:$O$949,'09월 에너지'!$A$14:$A$949,$A133,'09월 에너지'!$C$14:$C$949,$B133)))</f>
        <v/>
      </c>
      <c r="Y133" s="1039" t="str">
        <f>IF($C133&lt;1,"",(AVERAGEIFS('09월 에너지'!$P$14:$P$949,'09월 에너지'!$A$14:$A$949,$A133,'09월 에너지'!$C$14:$C$949,$B133)))</f>
        <v/>
      </c>
      <c r="Z133" s="1039" t="str">
        <f>IF($C133&lt;1,"",(AVERAGEIFS('09월 에너지'!$Q$14:$Q$949,'09월 에너지'!$A$14:$A$949,$A133,'09월 에너지'!$C$14:$C$949,$B133)))</f>
        <v/>
      </c>
      <c r="AA133" s="1040" t="str">
        <f>IF($C133&lt;1,"",(AVERAGEIFS('09월 에너지'!$R$14:$R$949,'09월 에너지'!$B$14:$B$949,$A133,'09월 에너지'!$C$14:$C$949,$B133)))</f>
        <v/>
      </c>
      <c r="AB133" s="1041" t="str">
        <f>IF($C133&lt;1,"",(AVERAGEIFS('09월 에너지'!$X$14:$X$949,'09월 에너지'!$A$14:$A$949,$A133,'09월 에너지'!$C$14:$C$949,$B133)))</f>
        <v/>
      </c>
      <c r="AC133" s="1042" t="str">
        <f>IF($C133&lt;1,"",(AVERAGEIFS('09월 에너지'!$AC$14:$AC$949,'09월 에너지'!$A$14:$A$949,$A133,'09월 에너지'!$C$14:$C$949,$B133)))</f>
        <v/>
      </c>
      <c r="AD133" s="1043" t="str">
        <f>IF($C133&lt;1,"",(AVERAGEIFS('09월 에너지'!$AD$14:$AD$949,'09월 에너지'!$B$14:$B$949,$A133,'09월 에너지'!$C$14:$C$949,$B133)))</f>
        <v/>
      </c>
      <c r="AE133" s="1044" t="str">
        <f>IF($C133&lt;1,"",(AVERAGEIFS('09월 에너지'!$AE$14:$AE$949,'09월 에너지'!$B$14:$B$949,$A133,'09월 에너지'!$C$14:$C$949,$B133)))</f>
        <v/>
      </c>
      <c r="AF133" s="1045" t="str">
        <f>IF($C133&lt;1,"",(AVERAGEIFS('09월 에너지'!$AI$14:$AI$949,'09월 에너지'!$B$14:$B$949,$A133,'09월 에너지'!$C$14:$C$949,$B133)))</f>
        <v/>
      </c>
      <c r="AG133" s="1046" t="str">
        <f>IF($C133&lt;1,"",(AVERAGEIFS('09월 에너지'!$AJ$14:$AJ$949,'09월 에너지'!$B$14:$B$949,$A133,'09월 에너지'!$C$14:$C$949,$B133)))</f>
        <v/>
      </c>
    </row>
    <row r="134" spans="1:33" ht="15.6" thickTop="1" thickBot="1">
      <c r="A134" s="1632"/>
      <c r="B134" s="781" t="s">
        <v>100</v>
      </c>
      <c r="C134" s="782">
        <f>COUNTIFS('09월 조업일지'!$B$12:$B$952,A133,'09월 조업일지'!$E$12:$E$952,B134)</f>
        <v>0</v>
      </c>
      <c r="D134" s="1047" t="str">
        <f t="shared" si="21"/>
        <v/>
      </c>
      <c r="E134" s="1048" t="str">
        <f>IF($C134&lt;1,"",(SUMIFS('09월 조업일지'!$K$12:$K$954,'09월 조업일지'!$B$12:$B$954,$A133,'09월 조업일지'!$E$12:$E$954,$B134)/$C134))</f>
        <v/>
      </c>
      <c r="F134" s="1049" t="str">
        <f>IF($C134&lt;1,"",(AVERAGEIFS('09월 조업일지'!$J$12:$J$954,'09월 조업일지'!$B$12:$B$954,$A133,'09월 조업일지'!$E$12:$E$954,$B134)))</f>
        <v/>
      </c>
      <c r="G134" s="1050" t="str">
        <f>IF($C134&lt;1,"",(AVERAGEIFS('09월 에너지'!$M$14:$M$950,'09월 에너지'!$B$14:$B$950,$A133,'09월 에너지'!$C$14:$C$950,$B134)))</f>
        <v/>
      </c>
      <c r="H134" s="1051" t="str">
        <f>IF($C134&lt;1,"",(AVERAGEIFS('09월 조업일지'!$AJ$12:$AJ$954,'09월 조업일지'!$B$12:$B$954,$A133,'09월 조업일지'!$E$12:$E$954,$B134)))</f>
        <v/>
      </c>
      <c r="I134" s="1052" t="str">
        <f>IF($C134&lt;1,"",(AVERAGEIFS('09월 조업일지'!$AL$12:$AL$954,'09월 조업일지'!$B$12:$B$954,$A133,'09월 조업일지'!$E$12:$E$954,$B134)))</f>
        <v/>
      </c>
      <c r="J134" s="1053" t="str">
        <f>IF($C134&lt;1,"",(AVERAGEIFS('09월 화학성분'!G$12:G$950,'09월 화학성분'!$B$12:$B$950,$A133,'09월 화학성분'!$D$12:$D$950,$B134)))</f>
        <v/>
      </c>
      <c r="K134" s="1054" t="str">
        <f>IF($C134&lt;1,"",(AVERAGEIFS('09월 화학성분'!H$12:H$950,'09월 화학성분'!$B$12:$B$950,$A133,'09월 화학성분'!$D$12:$D$950,$B134)))</f>
        <v/>
      </c>
      <c r="L134" s="1054" t="str">
        <f>IF($C134&lt;1,"",(AVERAGEIFS('09월 화학성분'!I$12:I$950,'09월 화학성분'!$B$12:$B$950,$A133,'09월 화학성분'!$D$12:$D$950,$B134)))</f>
        <v/>
      </c>
      <c r="M134" s="1054" t="str">
        <f>IF($C134&lt;1,"",(AVERAGEIFS('09월 화학성분'!J$12:J$950,'09월 화학성분'!$B$12:$B$950,$A133,'09월 화학성분'!$D$12:$D$950,$B134)))</f>
        <v/>
      </c>
      <c r="N134" s="1054" t="str">
        <f>IF($C134&lt;1,"",(AVERAGEIFS('09월 화학성분'!K$12:K$950,'09월 화학성분'!$B$12:$B$950,$A133,'09월 화학성분'!$D$12:$D$950,$B134)))</f>
        <v/>
      </c>
      <c r="O134" s="1054" t="str">
        <f>IF($C134&lt;1,"",(AVERAGEIFS('09월 화학성분'!L$12:L$950,'09월 화학성분'!$B$12:$B$950,$A133,'09월 화학성분'!$D$12:$D$950,$B134)))</f>
        <v/>
      </c>
      <c r="P134" s="1054" t="str">
        <f>IF($C134&lt;1,"",(AVERAGEIFS('09월 화학성분'!M$12:M$950,'09월 화학성분'!$B$12:$B$950,$A133,'09월 화학성분'!$D$12:$D$950,$B134)))</f>
        <v/>
      </c>
      <c r="Q134" s="1054" t="str">
        <f>IF($C134&lt;1,"",(AVERAGEIFS('09월 조업일지'!$AK$12:$AK$954,'09월 조업일지'!$B$12:$B$954,$A133,'09월 조업일지'!$E$12:$E$954,$B134)))</f>
        <v/>
      </c>
      <c r="R134" s="1054" t="str">
        <f>IF($C134&lt;1,"",(AVERAGEIFS('09월 화학성분'!$G$12:$G$950,'09월 화학성분'!$B$12:$B$950,$A133,'09월 화학성분'!$D$12:$D$950,$B134)))</f>
        <v/>
      </c>
      <c r="S134" s="1055" t="str">
        <f>IF($C134&lt;1,"",(AVERAGEIFS('09월 조업일지'!$AI$12:$AI$954,'09월 조업일지'!$B$12:$B$954,$A133,'09월 조업일지'!$E$12:$E$954,$B134)))</f>
        <v/>
      </c>
      <c r="T134" s="1056" t="str">
        <f>IF($C134&lt;1,"",(AVERAGEIFS('09월 화학성분'!$AM$12:$AM$949,'09월 화학성분'!$B$12:$B$949,$A133,'09월 화학성분'!$D$12:$D$949,$B134)))</f>
        <v/>
      </c>
      <c r="U134" s="1057" t="str">
        <f>IF($C134&lt;1,"",(AVERAGEIFS('09월 고철장입'!$AJ$14:$AJ$949,'09월 고철장입'!$B$14:$B$949,$A133,'09월 고철장입'!$C$14:$C$949,$B134))/1000)</f>
        <v/>
      </c>
      <c r="V134" s="1102" t="str">
        <f>IF($C134&lt;1,"",(AVERAGEIFS('09월 고철장입'!$AK$14:$AK$949,'09월 고철장입'!$B$14:$B$949,$A133,'09월 고철장입'!$C$14:$C$949,$B134)))</f>
        <v/>
      </c>
      <c r="W134" s="1058" t="str">
        <f t="shared" si="20"/>
        <v/>
      </c>
      <c r="X134" s="1059" t="str">
        <f>IF($C134&lt;1,"",(AVERAGEIFS('09월 에너지'!$O$14:$O$949,'09월 에너지'!$A$14:$A$949,$A133,'09월 에너지'!$C$14:$C$949,$B134)))</f>
        <v/>
      </c>
      <c r="Y134" s="1060" t="str">
        <f>IF($C134&lt;1,"",(AVERAGEIFS('09월 에너지'!$P$14:$P$949,'09월 에너지'!$A$14:$A$949,$A133,'09월 에너지'!$C$14:$C$949,$B134)))</f>
        <v/>
      </c>
      <c r="Z134" s="1060" t="str">
        <f>IF($C134&lt;1,"",(AVERAGEIFS('09월 에너지'!$Q$14:$Q$949,'09월 에너지'!$A$14:$A$949,$A133,'09월 에너지'!$C$14:$C$949,$B134)))</f>
        <v/>
      </c>
      <c r="AA134" s="1061" t="str">
        <f>IF($C134&lt;1,"",(AVERAGEIFS('09월 에너지'!$R$14:$R$949,'09월 에너지'!$B$14:$B$949,$A133,'09월 에너지'!$C$14:$C$949,$B134)))</f>
        <v/>
      </c>
      <c r="AB134" s="1062" t="str">
        <f>IF($C134&lt;1,"",(AVERAGEIFS('09월 에너지'!$X$14:$X$949,'09월 에너지'!$A$14:$A$949,$A133,'09월 에너지'!$C$14:$C$949,$B134)))</f>
        <v/>
      </c>
      <c r="AC134" s="1063" t="str">
        <f>IF($C134&lt;1,"",(AVERAGEIFS('09월 에너지'!$AC$14:$AC$949,'09월 에너지'!$A$14:$A$949,$A133,'09월 에너지'!$C$14:$C$949,$B134)))</f>
        <v/>
      </c>
      <c r="AD134" s="1064" t="str">
        <f>IF($C134&lt;1,"",(AVERAGEIFS('09월 에너지'!$AD$14:$AD$949,'09월 에너지'!$B$14:$B$949,$A133,'09월 에너지'!$C$14:$C$949,$B134)))</f>
        <v/>
      </c>
      <c r="AE134" s="1065" t="str">
        <f>IF($C134&lt;1,"",(AVERAGEIFS('09월 에너지'!$AE$14:$AE$949,'09월 에너지'!$B$14:$B$949,$A133,'09월 에너지'!$C$14:$C$949,$B134)))</f>
        <v/>
      </c>
      <c r="AF134" s="1066" t="str">
        <f>IF($C134&lt;1,"",(AVERAGEIFS('09월 에너지'!$AI$14:$AI$949,'09월 에너지'!$B$14:$B$949,$A133,'09월 에너지'!$C$14:$C$949,$B134)))</f>
        <v/>
      </c>
      <c r="AG134" s="1067" t="str">
        <f>IF($C134&lt;1,"",(AVERAGEIFS('09월 에너지'!$AJ$14:$AJ$949,'09월 에너지'!$B$14:$B$949,$A133,'09월 에너지'!$C$14:$C$949,$B134)))</f>
        <v/>
      </c>
    </row>
    <row r="135" spans="1:33" ht="15.6" thickTop="1" thickBot="1">
      <c r="A135" s="1632"/>
      <c r="B135" s="781" t="s">
        <v>10</v>
      </c>
      <c r="C135" s="782">
        <f>COUNTIFS('09월 조업일지'!$B$12:$B$952,A133,'09월 조업일지'!$E$12:$E$952,B135)</f>
        <v>0</v>
      </c>
      <c r="D135" s="1047" t="str">
        <f t="shared" si="21"/>
        <v/>
      </c>
      <c r="E135" s="1048" t="str">
        <f>IF($C135&lt;1,"",(SUMIFS('09월 조업일지'!$K$12:$K$954,'09월 조업일지'!$B$12:$B$954,$A133,'09월 조업일지'!$E$12:$E$954,$B135)/$C135))</f>
        <v/>
      </c>
      <c r="F135" s="1049" t="str">
        <f>IF($C135&lt;1,"",(AVERAGEIFS('09월 조업일지'!$J$12:$J$954,'09월 조업일지'!$B$12:$B$954,$A133,'09월 조업일지'!$E$12:$E$954,$B135)))</f>
        <v/>
      </c>
      <c r="G135" s="1050" t="str">
        <f>IF($C135&lt;1,"",(AVERAGEIFS('09월 에너지'!$M$14:$M$950,'09월 에너지'!$B$14:$B$950,$A133,'09월 에너지'!$C$14:$C$950,$B135)))</f>
        <v/>
      </c>
      <c r="H135" s="1051" t="str">
        <f>IF($C135&lt;1,"",(AVERAGEIFS('09월 조업일지'!$AJ$12:$AJ$954,'09월 조업일지'!$B$12:$B$954,$A133,'09월 조업일지'!$E$12:$E$954,$B135)))</f>
        <v/>
      </c>
      <c r="I135" s="1052" t="str">
        <f>IF($C135&lt;1,"",(AVERAGEIFS('09월 조업일지'!$AL$12:$AL$954,'09월 조업일지'!$B$12:$B$954,$A133,'09월 조업일지'!$E$12:$E$954,$B135)))</f>
        <v/>
      </c>
      <c r="J135" s="1053" t="str">
        <f>IF($C135&lt;1,"",(AVERAGEIFS('09월 화학성분'!G$12:G$950,'09월 화학성분'!$B$12:$B$950,$A133,'09월 화학성분'!$D$12:$D$950,$B135)))</f>
        <v/>
      </c>
      <c r="K135" s="1054" t="str">
        <f>IF($C135&lt;1,"",(AVERAGEIFS('09월 화학성분'!H$12:H$950,'09월 화학성분'!$B$12:$B$950,$A133,'09월 화학성분'!$D$12:$D$950,$B135)))</f>
        <v/>
      </c>
      <c r="L135" s="1054" t="str">
        <f>IF($C135&lt;1,"",(AVERAGEIFS('09월 화학성분'!I$12:I$950,'09월 화학성분'!$B$12:$B$950,$A133,'09월 화학성분'!$D$12:$D$950,$B135)))</f>
        <v/>
      </c>
      <c r="M135" s="1054" t="str">
        <f>IF($C135&lt;1,"",(AVERAGEIFS('09월 화학성분'!J$12:J$950,'09월 화학성분'!$B$12:$B$950,$A133,'09월 화학성분'!$D$12:$D$950,$B135)))</f>
        <v/>
      </c>
      <c r="N135" s="1054" t="str">
        <f>IF($C135&lt;1,"",(AVERAGEIFS('09월 화학성분'!K$12:K$950,'09월 화학성분'!$B$12:$B$950,$A133,'09월 화학성분'!$D$12:$D$950,$B135)))</f>
        <v/>
      </c>
      <c r="O135" s="1054" t="str">
        <f>IF($C135&lt;1,"",(AVERAGEIFS('09월 화학성분'!L$12:L$950,'09월 화학성분'!$B$12:$B$950,$A133,'09월 화학성분'!$D$12:$D$950,$B135)))</f>
        <v/>
      </c>
      <c r="P135" s="1054" t="str">
        <f>IF($C135&lt;1,"",(AVERAGEIFS('09월 화학성분'!M$12:M$950,'09월 화학성분'!$B$12:$B$950,$A133,'09월 화학성분'!$D$12:$D$950,$B135)))</f>
        <v/>
      </c>
      <c r="Q135" s="1054" t="str">
        <f>IF($C135&lt;1,"",(AVERAGEIFS('09월 조업일지'!$AK$12:$AK$954,'09월 조업일지'!$B$12:$B$954,$A133,'09월 조업일지'!$E$12:$E$954,$B135)))</f>
        <v/>
      </c>
      <c r="R135" s="1054" t="str">
        <f>IF($C135&lt;1,"",(AVERAGEIFS('09월 화학성분'!$G$12:$G$950,'09월 화학성분'!$B$12:$B$950,$A133,'09월 화학성분'!$D$12:$D$950,$B135)))</f>
        <v/>
      </c>
      <c r="S135" s="1055" t="str">
        <f>IF($C135&lt;1,"",(AVERAGEIFS('09월 조업일지'!$AI$12:$AI$954,'09월 조업일지'!$B$12:$B$954,$A133,'09월 조업일지'!$E$12:$E$954,$B135)))</f>
        <v/>
      </c>
      <c r="T135" s="1056" t="str">
        <f>IF($C135&lt;1,"",(AVERAGEIFS('09월 화학성분'!$AM$12:$AM$949,'09월 화학성분'!$B$12:$B$949,$A133,'09월 화학성분'!$D$12:$D$949,$B135)))</f>
        <v/>
      </c>
      <c r="U135" s="1057" t="str">
        <f>IF($C135&lt;1,"",(AVERAGEIFS('09월 고철장입'!$AJ$14:$AJ$949,'09월 고철장입'!$B$14:$B$949,$A133,'09월 고철장입'!$C$14:$C$949,$B135))/1000)</f>
        <v/>
      </c>
      <c r="V135" s="1102" t="str">
        <f>IF($C135&lt;1,"",(AVERAGEIFS('09월 고철장입'!$AK$14:$AK$949,'09월 고철장입'!$B$14:$B$949,$A133,'09월 고철장입'!$C$14:$C$949,$B135)))</f>
        <v/>
      </c>
      <c r="W135" s="1058" t="str">
        <f t="shared" si="20"/>
        <v/>
      </c>
      <c r="X135" s="1059" t="str">
        <f>IF($C135&lt;1,"",(AVERAGEIFS('09월 에너지'!$O$14:$O$949,'09월 에너지'!$A$14:$A$949,$A133,'09월 에너지'!$C$14:$C$949,$B135)))</f>
        <v/>
      </c>
      <c r="Y135" s="1060" t="str">
        <f>IF($C135&lt;1,"",(AVERAGEIFS('09월 에너지'!$P$14:$P$949,'09월 에너지'!$A$14:$A$949,$A133,'09월 에너지'!$C$14:$C$949,$B135)))</f>
        <v/>
      </c>
      <c r="Z135" s="1060" t="str">
        <f>IF($C135&lt;1,"",(AVERAGEIFS('09월 에너지'!$Q$14:$Q$949,'09월 에너지'!$A$14:$A$949,$A133,'09월 에너지'!$C$14:$C$949,$B135)))</f>
        <v/>
      </c>
      <c r="AA135" s="1061" t="str">
        <f>IF($C135&lt;1,"",(AVERAGEIFS('09월 에너지'!$R$14:$R$949,'09월 에너지'!$B$14:$B$949,$A133,'09월 에너지'!$C$14:$C$949,$B135)))</f>
        <v/>
      </c>
      <c r="AB135" s="1062" t="str">
        <f>IF($C135&lt;1,"",(AVERAGEIFS('09월 에너지'!$X$14:$X$949,'09월 에너지'!$A$14:$A$949,$A133,'09월 에너지'!$C$14:$C$949,$B135)))</f>
        <v/>
      </c>
      <c r="AC135" s="1063" t="str">
        <f>IF($C135&lt;1,"",(AVERAGEIFS('09월 에너지'!$AC$14:$AC$949,'09월 에너지'!$A$14:$A$949,$A133,'09월 에너지'!$C$14:$C$949,$B135)))</f>
        <v/>
      </c>
      <c r="AD135" s="1064" t="str">
        <f>IF($C135&lt;1,"",(AVERAGEIFS('09월 에너지'!$AD$14:$AD$949,'09월 에너지'!$B$14:$B$949,$A133,'09월 에너지'!$C$14:$C$949,$B135)))</f>
        <v/>
      </c>
      <c r="AE135" s="1065" t="str">
        <f>IF($C135&lt;1,"",(AVERAGEIFS('09월 에너지'!$AE$14:$AE$949,'09월 에너지'!$B$14:$B$949,$A133,'09월 에너지'!$C$14:$C$949,$B135)))</f>
        <v/>
      </c>
      <c r="AF135" s="1066" t="str">
        <f>IF($C135&lt;1,"",(AVERAGEIFS('09월 에너지'!$AI$14:$AI$949,'09월 에너지'!$B$14:$B$949,$A133,'09월 에너지'!$C$14:$C$949,$B135)))</f>
        <v/>
      </c>
      <c r="AG135" s="1067" t="str">
        <f>IF($C135&lt;1,"",(AVERAGEIFS('09월 에너지'!$AJ$14:$AJ$949,'09월 에너지'!$B$14:$B$949,$A133,'09월 에너지'!$C$14:$C$949,$B135)))</f>
        <v/>
      </c>
    </row>
    <row r="136" spans="1:33" ht="15.6" thickTop="1" thickBot="1">
      <c r="A136" s="1632"/>
      <c r="B136" s="785" t="s">
        <v>94</v>
      </c>
      <c r="C136" s="786">
        <f>COUNTIFS('09월 조업일지'!$B$12:$B$952,A133,'09월 조업일지'!$E$12:$E$952,B136)</f>
        <v>0</v>
      </c>
      <c r="D136" s="1068" t="str">
        <f t="shared" si="21"/>
        <v/>
      </c>
      <c r="E136" s="1069" t="str">
        <f>IF($C136&lt;1,"",(SUMIFS('09월 조업일지'!$K$12:$K$954,'09월 조업일지'!$B$12:$B$954,$A133,'09월 조업일지'!$E$12:$E$954,$B136)/$C136))</f>
        <v/>
      </c>
      <c r="F136" s="1070" t="str">
        <f>IF($C136&lt;1,"",(AVERAGEIFS('09월 조업일지'!$J$12:$J$954,'09월 조업일지'!$B$12:$B$954,$A133,'09월 조업일지'!$E$12:$E$954,$B136)))</f>
        <v/>
      </c>
      <c r="G136" s="1071" t="str">
        <f>IF($C136&lt;1,"",(AVERAGEIFS('09월 에너지'!$M$14:$M$950,'09월 에너지'!$B$14:$B$950,$A133,'09월 에너지'!$C$14:$C$950,$B136)))</f>
        <v/>
      </c>
      <c r="H136" s="1072" t="str">
        <f>IF($C136&lt;1,"",(AVERAGEIFS('09월 조업일지'!$AJ$12:$AJ$954,'09월 조업일지'!$B$12:$B$954,$A133,'09월 조업일지'!$E$12:$E$954,$B136)))</f>
        <v/>
      </c>
      <c r="I136" s="1073" t="str">
        <f>IF($C136&lt;1,"",(AVERAGEIFS('09월 조업일지'!$AL$12:$AL$954,'09월 조업일지'!$B$12:$B$954,$A133,'09월 조업일지'!$E$12:$E$954,$B136)))</f>
        <v/>
      </c>
      <c r="J136" s="1074" t="str">
        <f>IF($C136&lt;1,"",(AVERAGEIFS('09월 화학성분'!G$12:G$950,'09월 화학성분'!$B$12:$B$950,$A133,'09월 화학성분'!$D$12:$D$950,$B136)))</f>
        <v/>
      </c>
      <c r="K136" s="1075" t="str">
        <f>IF($C136&lt;1,"",(AVERAGEIFS('09월 화학성분'!H$12:H$950,'09월 화학성분'!$B$12:$B$950,$A133,'09월 화학성분'!$D$12:$D$950,$B136)))</f>
        <v/>
      </c>
      <c r="L136" s="1075" t="str">
        <f>IF($C136&lt;1,"",(AVERAGEIFS('09월 화학성분'!I$12:I$950,'09월 화학성분'!$B$12:$B$950,$A133,'09월 화학성분'!$D$12:$D$950,$B136)))</f>
        <v/>
      </c>
      <c r="M136" s="1075" t="str">
        <f>IF($C136&lt;1,"",(AVERAGEIFS('09월 화학성분'!J$12:J$950,'09월 화학성분'!$B$12:$B$950,$A133,'09월 화학성분'!$D$12:$D$950,$B136)))</f>
        <v/>
      </c>
      <c r="N136" s="1075" t="str">
        <f>IF($C136&lt;1,"",(AVERAGEIFS('09월 화학성분'!K$12:K$950,'09월 화학성분'!$B$12:$B$950,$A133,'09월 화학성분'!$D$12:$D$950,$B136)))</f>
        <v/>
      </c>
      <c r="O136" s="1075" t="str">
        <f>IF($C136&lt;1,"",(AVERAGEIFS('09월 화학성분'!L$12:L$950,'09월 화학성분'!$B$12:$B$950,$A133,'09월 화학성분'!$D$12:$D$950,$B136)))</f>
        <v/>
      </c>
      <c r="P136" s="1075" t="str">
        <f>IF($C136&lt;1,"",(AVERAGEIFS('09월 화학성분'!M$12:M$950,'09월 화학성분'!$B$12:$B$950,$A133,'09월 화학성분'!$D$12:$D$950,$B136)))</f>
        <v/>
      </c>
      <c r="Q136" s="1075" t="str">
        <f>IF($C136&lt;1,"",(AVERAGEIFS('09월 조업일지'!$AK$12:$AK$954,'09월 조업일지'!$B$12:$B$954,$A133,'09월 조업일지'!$E$12:$E$954,$B136)))</f>
        <v/>
      </c>
      <c r="R136" s="1075" t="str">
        <f>IF($C136&lt;1,"",(AVERAGEIFS('09월 화학성분'!$G$12:$G$950,'09월 화학성분'!$B$12:$B$950,$A133,'09월 화학성분'!$D$12:$D$950,$B136)))</f>
        <v/>
      </c>
      <c r="S136" s="1076" t="str">
        <f>IF($C136&lt;1,"",(AVERAGEIFS('09월 조업일지'!$AI$12:$AI$954,'09월 조업일지'!$B$12:$B$954,$A133,'09월 조업일지'!$E$12:$E$954,$B136)))</f>
        <v/>
      </c>
      <c r="T136" s="1077" t="str">
        <f>IF($C136&lt;1,"",(AVERAGEIFS('09월 화학성분'!$AM$12:$AM$949,'09월 화학성분'!$B$12:$B$949,$A133,'09월 화학성분'!$D$12:$D$949,$B136)))</f>
        <v/>
      </c>
      <c r="U136" s="1078" t="str">
        <f>IF($C136&lt;1,"",(AVERAGEIFS('09월 고철장입'!$AJ$14:$AJ$949,'09월 고철장입'!$B$14:$B$949,$A133,'09월 고철장입'!$C$14:$C$949,$B136))/1000)</f>
        <v/>
      </c>
      <c r="V136" s="1103" t="str">
        <f>IF($C136&lt;1,"",(AVERAGEIFS('09월 고철장입'!$AK$14:$AK$949,'09월 고철장입'!$B$14:$B$949,$A133,'09월 고철장입'!$C$14:$C$949,$B136)))</f>
        <v/>
      </c>
      <c r="W136" s="1079" t="str">
        <f t="shared" si="20"/>
        <v/>
      </c>
      <c r="X136" s="1080" t="str">
        <f>IF($C136&lt;1,"",(AVERAGEIFS('09월 에너지'!$O$14:$O$949,'09월 에너지'!$A$14:$A$949,$A133,'09월 에너지'!$C$14:$C$949,$B136)))</f>
        <v/>
      </c>
      <c r="Y136" s="1081" t="str">
        <f>IF($C136&lt;1,"",(AVERAGEIFS('09월 에너지'!$P$14:$P$949,'09월 에너지'!$A$14:$A$949,$A133,'09월 에너지'!$C$14:$C$949,$B136)))</f>
        <v/>
      </c>
      <c r="Z136" s="1081" t="str">
        <f>IF($C136&lt;1,"",(AVERAGEIFS('09월 에너지'!$Q$14:$Q$949,'09월 에너지'!$A$14:$A$949,$A133,'09월 에너지'!$C$14:$C$949,$B136)))</f>
        <v/>
      </c>
      <c r="AA136" s="1082" t="str">
        <f>IF($C136&lt;1,"",(AVERAGEIFS('09월 에너지'!$R$14:$R$949,'09월 에너지'!$B$14:$B$949,$A133,'09월 에너지'!$C$14:$C$949,$B136)))</f>
        <v/>
      </c>
      <c r="AB136" s="1083" t="str">
        <f>IF($C136&lt;1,"",(AVERAGEIFS('09월 에너지'!$X$14:$X$949,'09월 에너지'!$A$14:$A$949,$A133,'09월 에너지'!$C$14:$C$949,$B136)))</f>
        <v/>
      </c>
      <c r="AC136" s="1084" t="str">
        <f>IF($C136&lt;1,"",(AVERAGEIFS('09월 에너지'!$AC$14:$AC$949,'09월 에너지'!$A$14:$A$949,$A133,'09월 에너지'!$C$14:$C$949,$B136)))</f>
        <v/>
      </c>
      <c r="AD136" s="1085" t="str">
        <f>IF($C136&lt;1,"",(AVERAGEIFS('09월 에너지'!$AD$14:$AD$949,'09월 에너지'!$B$14:$B$949,$A133,'09월 에너지'!$C$14:$C$949,$B136)))</f>
        <v/>
      </c>
      <c r="AE136" s="1086" t="str">
        <f>IF($C136&lt;1,"",(AVERAGEIFS('09월 에너지'!$AE$14:$AE$949,'09월 에너지'!$B$14:$B$949,$A133,'09월 에너지'!$C$14:$C$949,$B136)))</f>
        <v/>
      </c>
      <c r="AF136" s="1087" t="str">
        <f>IF($C136&lt;1,"",(AVERAGEIFS('09월 에너지'!$AI$14:$AI$949,'09월 에너지'!$B$14:$B$949,$A133,'09월 에너지'!$C$14:$C$949,$B136)))</f>
        <v/>
      </c>
      <c r="AG136" s="1088" t="str">
        <f>IF($C136&lt;1,"",(AVERAGEIFS('09월 에너지'!$AJ$14:$AJ$949,'09월 에너지'!$B$14:$B$949,$A133,'09월 에너지'!$C$14:$C$949,$B136)))</f>
        <v/>
      </c>
    </row>
  </sheetData>
  <mergeCells count="46">
    <mergeCell ref="A9:A12"/>
    <mergeCell ref="A3:A4"/>
    <mergeCell ref="B3:B4"/>
    <mergeCell ref="C3:C4"/>
    <mergeCell ref="D3:F3"/>
    <mergeCell ref="U3:W3"/>
    <mergeCell ref="X3:AA3"/>
    <mergeCell ref="AD3:AE3"/>
    <mergeCell ref="AF3:AG3"/>
    <mergeCell ref="A5:A8"/>
    <mergeCell ref="H3:H4"/>
    <mergeCell ref="T3:T4"/>
    <mergeCell ref="J3:P3"/>
    <mergeCell ref="R3:S3"/>
    <mergeCell ref="G3:G4"/>
    <mergeCell ref="A101:A104"/>
    <mergeCell ref="A105:A108"/>
    <mergeCell ref="A61:A64"/>
    <mergeCell ref="A65:A68"/>
    <mergeCell ref="A69:A72"/>
    <mergeCell ref="A73:A76"/>
    <mergeCell ref="A77:A80"/>
    <mergeCell ref="A81:A84"/>
    <mergeCell ref="A85:A88"/>
    <mergeCell ref="A89:A92"/>
    <mergeCell ref="A93:A96"/>
    <mergeCell ref="A97:A100"/>
    <mergeCell ref="A53:A56"/>
    <mergeCell ref="A57:A60"/>
    <mergeCell ref="A33:A36"/>
    <mergeCell ref="A13:A16"/>
    <mergeCell ref="A17:A20"/>
    <mergeCell ref="A21:A24"/>
    <mergeCell ref="A29:A32"/>
    <mergeCell ref="A37:A40"/>
    <mergeCell ref="A41:A44"/>
    <mergeCell ref="A45:A48"/>
    <mergeCell ref="A49:A52"/>
    <mergeCell ref="A25:A28"/>
    <mergeCell ref="A129:A132"/>
    <mergeCell ref="A133:A136"/>
    <mergeCell ref="A125:A128"/>
    <mergeCell ref="A109:A112"/>
    <mergeCell ref="A113:A116"/>
    <mergeCell ref="A117:A120"/>
    <mergeCell ref="A121:A124"/>
  </mergeCells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61"/>
  <sheetViews>
    <sheetView zoomScaleNormal="100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L21" sqref="L21"/>
    </sheetView>
  </sheetViews>
  <sheetFormatPr defaultColWidth="8.8984375" defaultRowHeight="13.2"/>
  <cols>
    <col min="1" max="1" width="11.296875" style="750" customWidth="1"/>
    <col min="2" max="2" width="3.69921875" style="750" customWidth="1"/>
    <col min="3" max="3" width="4.3984375" style="750" customWidth="1"/>
    <col min="4" max="4" width="6.3984375" style="750" customWidth="1"/>
    <col min="5" max="5" width="6.19921875" style="750" customWidth="1"/>
    <col min="6" max="6" width="5.796875" style="750" customWidth="1"/>
    <col min="7" max="7" width="7.3984375" style="750" customWidth="1"/>
    <col min="8" max="9" width="7.09765625" style="750" customWidth="1"/>
    <col min="10" max="12" width="7" style="750" customWidth="1"/>
    <col min="13" max="15" width="6" style="750" customWidth="1"/>
    <col min="16" max="16" width="6.796875" style="750" customWidth="1"/>
    <col min="17" max="17" width="8" style="750" customWidth="1"/>
    <col min="18" max="21" width="6.796875" style="750" customWidth="1"/>
    <col min="22" max="22" width="8" style="750" customWidth="1"/>
    <col min="23" max="23" width="8.3984375" style="750" customWidth="1"/>
    <col min="24" max="29" width="7.09765625" style="750" customWidth="1"/>
    <col min="30" max="32" width="7.3984375" style="750" customWidth="1"/>
    <col min="33" max="33" width="8.59765625" style="750" customWidth="1"/>
    <col min="34" max="34" width="8.296875" style="750" customWidth="1"/>
    <col min="35" max="37" width="7.3984375" style="750" customWidth="1"/>
    <col min="38" max="38" width="7.8984375" style="750" customWidth="1"/>
    <col min="39" max="39" width="7.296875" style="750" customWidth="1"/>
    <col min="40" max="40" width="6.69921875" style="750" customWidth="1"/>
    <col min="41" max="41" width="6.59765625" style="750" customWidth="1"/>
    <col min="42" max="42" width="6.796875" style="750" customWidth="1"/>
    <col min="43" max="43" width="7.8984375" style="750" customWidth="1"/>
    <col min="44" max="44" width="6.8984375" style="750" customWidth="1"/>
    <col min="45" max="46" width="6.3984375" style="750" customWidth="1"/>
    <col min="47" max="47" width="6.59765625" style="750" customWidth="1"/>
    <col min="48" max="72" width="7.296875" style="750" customWidth="1"/>
    <col min="73" max="73" width="7" style="750" customWidth="1"/>
    <col min="74" max="75" width="5.8984375" style="750" customWidth="1"/>
    <col min="76" max="76" width="5.09765625" style="750" customWidth="1"/>
    <col min="77" max="77" width="8.8984375" style="750" bestFit="1" customWidth="1"/>
    <col min="78" max="78" width="5.09765625" style="750" customWidth="1"/>
    <col min="79" max="79" width="8.8984375" style="750" bestFit="1" customWidth="1"/>
    <col min="80" max="80" width="5.09765625" style="750" customWidth="1"/>
    <col min="81" max="81" width="8.8984375" style="750" bestFit="1" customWidth="1"/>
    <col min="82" max="82" width="5.09765625" style="750" customWidth="1"/>
    <col min="83" max="83" width="8.8984375" style="750" bestFit="1" customWidth="1"/>
    <col min="84" max="88" width="6.59765625" style="750" customWidth="1"/>
    <col min="89" max="89" width="6" style="750" customWidth="1"/>
    <col min="90" max="90" width="5.09765625" style="750" customWidth="1"/>
    <col min="91" max="91" width="6.296875" style="750" customWidth="1"/>
    <col min="92" max="92" width="7.19921875" style="750" customWidth="1"/>
    <col min="93" max="93" width="5.09765625" style="750" customWidth="1"/>
    <col min="94" max="94" width="7.59765625" style="750" customWidth="1"/>
    <col min="95" max="95" width="7.296875" style="750" customWidth="1"/>
    <col min="96" max="96" width="7.59765625" style="750" customWidth="1"/>
    <col min="97" max="97" width="7.3984375" style="750" customWidth="1"/>
    <col min="98" max="98" width="5.09765625" style="750" customWidth="1"/>
    <col min="99" max="99" width="7.69921875" style="750" customWidth="1"/>
    <col min="100" max="100" width="5.09765625" style="750" customWidth="1"/>
    <col min="101" max="105" width="6.8984375" style="750" customWidth="1"/>
    <col min="106" max="16384" width="8.8984375" style="750"/>
  </cols>
  <sheetData>
    <row r="1" spans="1:105" ht="30.6" thickBot="1">
      <c r="A1" s="1661" t="s">
        <v>209</v>
      </c>
      <c r="B1" s="1661"/>
      <c r="C1" s="1661"/>
      <c r="D1" s="1661"/>
      <c r="E1" s="1661"/>
      <c r="F1" s="1661"/>
      <c r="G1" s="1661"/>
      <c r="H1" s="1661"/>
      <c r="I1" s="1661"/>
      <c r="J1" s="1661"/>
      <c r="K1" s="1661"/>
    </row>
    <row r="2" spans="1:105" ht="17.25" customHeight="1" thickBot="1">
      <c r="A2" s="1666" t="s">
        <v>199</v>
      </c>
      <c r="B2" s="1667"/>
      <c r="C2" s="788">
        <f>COUNT('09월 조업일지'!$J$12:$J792)</f>
        <v>781</v>
      </c>
      <c r="D2" s="789">
        <f t="shared" ref="D2" si="0">IF(C2&lt;1,"",F2-E2)</f>
        <v>2.5643467643467588</v>
      </c>
      <c r="E2" s="790">
        <f>IF($C2&lt;1,"",AVERAGE('09월 조업일지'!$K$12:$K$952))</f>
        <v>50.2</v>
      </c>
      <c r="F2" s="790">
        <f>IF($C2&lt;1,"",AVERAGE('09월 조업일지'!$J$12:$J$952))</f>
        <v>52.764346764346762</v>
      </c>
      <c r="G2" s="790">
        <f>IF($C2&lt;1,"",AVERAGE('09월 에너지'!$M$14:M$949))</f>
        <v>45.815140415140405</v>
      </c>
      <c r="H2" s="790">
        <f>IF($C2&lt;1,"",AVERAGE('09월 조업일지'!$AJ$12:$AJ$952))</f>
        <v>24.959558823529413</v>
      </c>
      <c r="I2" s="790">
        <f>IF($C2&lt;1,"",AVERAGE('09월 조업일지'!$AL$12:$AL$952))</f>
        <v>7.6552162849872776</v>
      </c>
      <c r="J2" s="790">
        <f>IF($C2&lt;1,"",AVERAGE('09월 화학성분'!G$12:G$949))</f>
        <v>10.373626373626374</v>
      </c>
      <c r="K2" s="790">
        <f>IF($C2&lt;1,"",AVERAGE('09월 화학성분'!H$12:H$949))</f>
        <v>20.347985347985347</v>
      </c>
      <c r="L2" s="790">
        <f>IF($C2&lt;1,"",AVERAGE('09월 화학성분'!I$12:I$949))</f>
        <v>75.726495726495727</v>
      </c>
      <c r="M2" s="790">
        <f>IF($C2&lt;1,"",AVERAGE('09월 화학성분'!J$12:J$949))</f>
        <v>15.410256410256411</v>
      </c>
      <c r="N2" s="790">
        <f>IF($C2&lt;1,"",AVERAGE('09월 화학성분'!K$12:K$949))</f>
        <v>33.098901098901102</v>
      </c>
      <c r="O2" s="790">
        <f>IF($C2&lt;1,"",AVERAGE('09월 화학성분'!L$12:L$949))</f>
        <v>12.929181929181929</v>
      </c>
      <c r="P2" s="790">
        <f>IF($C2&lt;1,"",AVERAGE('09월 화학성분'!M$12:M$949))</f>
        <v>10.229548229548229</v>
      </c>
      <c r="Q2" s="791">
        <f>IF($C2&lt;1,"",AVERAGE('09월 조업일지'!$AA$12:$AA$952))</f>
        <v>2232.4545454545455</v>
      </c>
      <c r="R2" s="791">
        <f>IF($C2&lt;1,"",AVERAGE('09월 조업일지'!$AK$12:$AK$952))</f>
        <v>595.27064803049552</v>
      </c>
      <c r="S2" s="791"/>
      <c r="T2" s="791"/>
      <c r="U2" s="792">
        <f>IF($C2&lt;1,"",AVERAGE('09월 화학성분'!$G$12:$G$949))</f>
        <v>10.373626373626374</v>
      </c>
      <c r="V2" s="791">
        <f>IF($C2&lt;1,"",AVERAGE('09월 조업일지'!$AI$12:$AI$952))</f>
        <v>1570.9267399267399</v>
      </c>
      <c r="W2" s="792">
        <f>IF($C2&lt;1,"",AVERAGE('09월 화학성분'!$AM$12:$AM$949))</f>
        <v>2005.8253968253969</v>
      </c>
      <c r="X2" s="793">
        <f>IF($C2&lt;1,"",AVERAGE('09월 화학성분'!N$12:N$949))</f>
        <v>421.03296703296701</v>
      </c>
      <c r="Y2" s="793" t="e">
        <f>IF($C2&lt;1,"",AVERAGE('09월 화학성분'!O$12:O$949))</f>
        <v>#DIV/0!</v>
      </c>
      <c r="Z2" s="793">
        <f>IF($C2&lt;1,"",AVERAGE('09월 화학성분'!P$12:P$949))</f>
        <v>1035.915750915751</v>
      </c>
      <c r="AA2" s="793">
        <f>IF($C2&lt;1,"",AVERAGE('09월 화학성분'!Q$12:Q$949))</f>
        <v>957.69230769230774</v>
      </c>
      <c r="AB2" s="793" t="e">
        <f>IF($C2&lt;1,"",AVERAGE('09월 화학성분'!R$12:R$949))</f>
        <v>#DIV/0!</v>
      </c>
      <c r="AC2" s="793">
        <f>IF($C2&lt;1,"",AVERAGE('09월 화학성분'!U$12:U$949))</f>
        <v>0</v>
      </c>
      <c r="AD2" s="793">
        <f>IF($C2&lt;1,"",AVERAGE('09월 화학성분'!V$12:V$949))</f>
        <v>430.31081081081084</v>
      </c>
      <c r="AE2" s="793" t="e">
        <f>IF($C2&lt;1,"",AVERAGE('09월 화학성분'!W$12:W$949))</f>
        <v>#DIV/0!</v>
      </c>
      <c r="AF2" s="793" t="e">
        <f>IF($C2&lt;1,"",AVERAGE('09월 화학성분'!AA$12:AA$949))</f>
        <v>#DIV/0!</v>
      </c>
      <c r="AG2" s="793" t="e">
        <f>IF($C2&lt;1,"",AVERAGE('09월 화학성분'!#REF!))</f>
        <v>#REF!</v>
      </c>
      <c r="AH2" s="793">
        <f>IF($C2&lt;1,"",AVERAGE('09월 화학성분'!AB$12:AB$949))</f>
        <v>30.756363636363638</v>
      </c>
      <c r="AI2" s="793" t="e">
        <f>IF($C2&lt;1,"",AVERAGE('09월 화학성분'!AC$12:AC$949))</f>
        <v>#DIV/0!</v>
      </c>
      <c r="AJ2" s="793">
        <f>IF($C2&lt;1,"",AVERAGE('09월 화학성분'!AD$12:AD$949))</f>
        <v>272.26625766871166</v>
      </c>
      <c r="AK2" s="793">
        <f>IF($C2&lt;1,"",AVERAGE('09월 화학성분'!AF$12:AF$949))</f>
        <v>47.602985074626865</v>
      </c>
      <c r="AL2" s="793">
        <f>IF($C2&lt;1,"",AVERAGE('09월 화학성분'!AG$12:AG$949))</f>
        <v>95.0354505169867</v>
      </c>
      <c r="AM2" s="793">
        <f>IF($C2&lt;1,"",AVERAGE('09월 화학성분'!AH$12:AH$949))</f>
        <v>1299.6910866910866</v>
      </c>
      <c r="AN2" s="793">
        <f>IF($C2&lt;1,"",AVERAGE('09월 화학성분'!AI$12:AI$949))</f>
        <v>266.88193456614511</v>
      </c>
      <c r="AO2" s="793">
        <f>IF($C2&lt;1,"",AVERAGE('09월 화학성분'!AJ$12:AJ$949))</f>
        <v>80.106038291605302</v>
      </c>
      <c r="AP2" s="793" t="e">
        <f>IF($C2&lt;1,"",AVERAGE('09월 화학성분'!#REF!))</f>
        <v>#REF!</v>
      </c>
      <c r="AQ2" s="793">
        <f>IF($C2&lt;1,"",AVERAGE('09월 화학성분'!AL$12:AL$949))</f>
        <v>124.71690694626474</v>
      </c>
      <c r="AR2" s="793">
        <f>IF($C2&lt;1,"",AVERAGE('09월 화학성분'!AM$12:AM$949))</f>
        <v>2005.8253968253969</v>
      </c>
      <c r="AS2" s="793">
        <f>IF($C2&lt;1,"",AVERAGE('09월 화학성분'!AN$12:AN$949))</f>
        <v>0.76307186408823746</v>
      </c>
      <c r="AT2" s="793">
        <f>IF($C2&lt;1,"",AVERAGE('09월 화학성분'!AO$12:AO$949))</f>
        <v>0.9631945448104694</v>
      </c>
      <c r="AU2" s="793">
        <f>IF($C2&lt;1,"",SUM('09월 화학성분'!AP$12:AP$949)/C2)</f>
        <v>150.54104993597952</v>
      </c>
      <c r="AV2" s="793">
        <f>IF($C2&lt;1,"",AVERAGE('09월 고철장입'!G$14:G$949)/1000)</f>
        <v>0</v>
      </c>
      <c r="AW2" s="793">
        <f>IF($C2&lt;1,"",AVERAGE('09월 고철장입'!H$14:H$949)/1000)</f>
        <v>0</v>
      </c>
      <c r="AX2" s="793">
        <f>IF($C2&lt;1,"",AVERAGE('09월 고철장입'!I$14:I$949)/1000)</f>
        <v>10.423849699398797</v>
      </c>
      <c r="AY2" s="793">
        <f>IF($C2&lt;1,"",AVERAGE('09월 고철장입'!J$14:J$949)/1000)</f>
        <v>0</v>
      </c>
      <c r="AZ2" s="793">
        <f>IF($C2&lt;1,"",AVERAGE('09월 고철장입'!K$14:K$949)/1000)</f>
        <v>0</v>
      </c>
      <c r="BA2" s="793">
        <f>IF($C2&lt;1,"",AVERAGE('09월 고철장입'!L$14:L$949)/1000)</f>
        <v>0</v>
      </c>
      <c r="BB2" s="793">
        <f>IF($C2&lt;1,"",AVERAGE('09월 고철장입'!M$14:M$949)/1000)</f>
        <v>0</v>
      </c>
      <c r="BC2" s="793">
        <f>IF($C2&lt;1,"",AVERAGE('09월 고철장입'!N$14:N$949)/1000)</f>
        <v>0</v>
      </c>
      <c r="BD2" s="793">
        <f>IF($C2&lt;1,"",AVERAGE('09월 고철장입'!O$14:O$949)/1000)</f>
        <v>10.465796780684105</v>
      </c>
      <c r="BE2" s="793">
        <f>IF($C2&lt;1,"",AVERAGE('09월 고철장입'!P$14:P$949)/1000)</f>
        <v>42.92466422466422</v>
      </c>
      <c r="BF2" s="793">
        <f>IF($C2&lt;1,"",AVERAGE('09월 고철장입'!Q$14:Q$949)/1000)</f>
        <v>17.094139194139196</v>
      </c>
      <c r="BG2" s="793">
        <f>IF($C2&lt;1,"",AVERAGE('09월 고철장입'!S$14:S$949)/1000)</f>
        <v>0</v>
      </c>
      <c r="BH2" s="793">
        <f>IF($C2&lt;1,"",AVERAGE('09월 고철장입'!T$14:T$949)/1000)</f>
        <v>1.1333333333333333</v>
      </c>
      <c r="BI2" s="793">
        <f>IF($C2&lt;1,"",AVERAGE('09월 고철장입'!U$14:U$949)/1000)</f>
        <v>9.1465248226950351</v>
      </c>
      <c r="BJ2" s="793">
        <f>IF($C2&lt;1,"",AVERAGE('09월 고철장입'!V$14:V$949)/1000)</f>
        <v>23.217094017094016</v>
      </c>
      <c r="BK2" s="793">
        <f>IF($C2&lt;1,"",AVERAGE('09월 고철장입'!W$14:W$949)/1000)</f>
        <v>2.9679746835443037</v>
      </c>
      <c r="BL2" s="793">
        <f>IF($C2&lt;1,"",AVERAGE('09월 고철장입'!Y$14:Y$949)/1000)</f>
        <v>14.63500611995104</v>
      </c>
      <c r="BM2" s="793">
        <f>IF($C2&lt;1,"",AVERAGE('09월 고철장입'!AB$14:AB$949)/1000)</f>
        <v>2.8368841544607188</v>
      </c>
      <c r="BN2" s="793">
        <f>IF($C2&lt;1,"",AVERAGE('09월 고철장입'!AC$14:AC$949)/1000)</f>
        <v>2.1691570881226054</v>
      </c>
      <c r="BO2" s="793">
        <f>IF($C2&lt;1,"",AVERAGE('09월 고철장입'!AD$14:AD$949)/1000)</f>
        <v>3.1092626262626264</v>
      </c>
      <c r="BP2" s="793">
        <f>IF($C2&lt;1,"",AVERAGE('09월 고철장입'!AE$14:AE$949)/1000)</f>
        <v>132.59035775335775</v>
      </c>
      <c r="BQ2" s="793">
        <f>IF($C2&lt;1,"",AVERAGE('09월 고철장입'!AF$14:AF$949)/1000)</f>
        <v>4.117786069651741</v>
      </c>
      <c r="BR2" s="793">
        <f>IF($C2&lt;1,"",AVERAGE('09월 고철장입'!AG$14:AG$949)/1000)</f>
        <v>9.8185049019607842</v>
      </c>
      <c r="BS2" s="793">
        <f>IF($C2&lt;1,"",AVERAGE('09월 고철장입'!AH$14:AH$949)/1000)</f>
        <v>5.3211562115621156</v>
      </c>
      <c r="BT2" s="793">
        <f>IF($C2&lt;1,"",AVERAGE('09월 고철장입'!AI$14:AI$949)/1000)</f>
        <v>19.110256410256412</v>
      </c>
      <c r="BU2" s="793">
        <f>IF($C2&lt;1,"",AVERAGE('09월 고철장입'!AJ$14:AJ$949)/1000)</f>
        <v>158.05165323565325</v>
      </c>
      <c r="BV2" s="793">
        <f>IF($C2&lt;1,"",SUM('09월 고철장입'!AK$14:AK$949)/C2)</f>
        <v>150.54104993597952</v>
      </c>
      <c r="BW2" s="794">
        <f>BV2/BU2*100</f>
        <v>95.248007125572101</v>
      </c>
      <c r="BX2" s="793">
        <f>IF($C2&lt;1,"",AVERAGE('09월 에너지'!G$14:G$949))</f>
        <v>19.411233211233206</v>
      </c>
      <c r="BY2" s="795">
        <f>IF($C2&lt;1,"",AVERAGE('09월 에너지'!H$14:H$949))</f>
        <v>23259.413919413921</v>
      </c>
      <c r="BZ2" s="793">
        <f>IF($C2&lt;1,"",AVERAGE('09월 에너지'!I$14:I$949))</f>
        <v>16.610989010989009</v>
      </c>
      <c r="CA2" s="795">
        <f>IF($C2&lt;1,"",AVERAGE('09월 에너지'!J$14:J$949))</f>
        <v>20403.785103785103</v>
      </c>
      <c r="CB2" s="793">
        <f>IF($C2&lt;1,"",AVERAGE('09월 에너지'!K$14:K$949))</f>
        <v>9.7929181929181901</v>
      </c>
      <c r="CC2" s="793">
        <f>IF($C2&lt;1,"",AVERAGE('09월 에너지'!L$14:L$949))</f>
        <v>12502.319902319903</v>
      </c>
      <c r="CD2" s="793">
        <f>IF($C2&lt;1,"",AVERAGE('09월 에너지'!M$14:M$949))</f>
        <v>45.815140415140405</v>
      </c>
      <c r="CE2" s="793">
        <f>IF($C2&lt;1,"",AVERAGE('09월 에너지'!N$14:N$949))</f>
        <v>56165.518925518925</v>
      </c>
      <c r="CF2" s="793">
        <f>IF($C2&lt;1,"",AVERAGE('09월 에너지'!O$14:O$949))</f>
        <v>162.32656051437985</v>
      </c>
      <c r="CG2" s="793">
        <f>IF($C2&lt;1,"",AVERAGE('09월 에너지'!P$14:P$949))</f>
        <v>141.98608378666884</v>
      </c>
      <c r="CH2" s="793">
        <f>IF($C2&lt;1,"",AVERAGE('09월 에너지'!Q$14:Q$949))</f>
        <v>87.282332505126959</v>
      </c>
      <c r="CI2" s="793">
        <f>IF($C2&lt;1,"",AVERAGE('09월 에너지'!R$14:R$949))</f>
        <v>391.59497680617523</v>
      </c>
      <c r="CJ2" s="793">
        <f>IF($C2&lt;1,"",AVERAGE('09월 에너지'!S$14:S$949))</f>
        <v>143.55623931623933</v>
      </c>
      <c r="CK2" s="793">
        <f>IF($C2&lt;1,"",AVERAGE('09월 에너지'!T$14:T$949))</f>
        <v>0.41514041514041516</v>
      </c>
      <c r="CL2" s="793">
        <f>IF($C2&lt;1,"",AVERAGE('09월 에너지'!U$14:U$949))</f>
        <v>71.655256723716377</v>
      </c>
      <c r="CM2" s="793">
        <f>IF($C2&lt;1,"",AVERAGE('09월 에너지'!V$14:V$949))</f>
        <v>288.31868131868134</v>
      </c>
      <c r="CN2" s="793">
        <f>IF($C2&lt;1,"",AVERAGE('09월 에너지'!W$14:W$949))</f>
        <v>360.30158730158729</v>
      </c>
      <c r="CO2" s="793">
        <f>IF($C2&lt;1,"",AVERAGE('09월 에너지'!X$14:X$949))</f>
        <v>2.5141764137903677</v>
      </c>
      <c r="CP2" s="793">
        <f>IF($C2&lt;1,"",AVERAGE('09월 에너지'!Y$14:Y$949))</f>
        <v>1593.4322344322345</v>
      </c>
      <c r="CQ2" s="793">
        <f>IF($C2&lt;1,"",AVERAGE('09월 에너지'!Z$14:Z$949))</f>
        <v>1378.949938949939</v>
      </c>
      <c r="CR2" s="793">
        <f>IF($C2&lt;1,"",AVERAGE('09월 에너지'!AA$14:AA$949))</f>
        <v>832.81440781440779</v>
      </c>
      <c r="CS2" s="793">
        <f>IF($C2&lt;1,"",AVERAGE('09월 에너지'!AB$14:AB$949))</f>
        <v>3805.1965811965811</v>
      </c>
      <c r="CT2" s="793">
        <f>IF($C2&lt;1,"",AVERAGE('09월 에너지'!AC$14:AC$949))</f>
        <v>26.532824280412875</v>
      </c>
      <c r="CU2" s="793">
        <f>IF($C2&lt;1,"",AVERAGE('09월 에너지'!AD$14:AD$949))</f>
        <v>4165.4981684981685</v>
      </c>
      <c r="CV2" s="793">
        <f>IF($C2&lt;1,"",AVERAGE('09월 에너지'!AE$14:AE$949))</f>
        <v>29.047000694203206</v>
      </c>
      <c r="CW2" s="793">
        <f>IF($C2&lt;1,"",AVERAGE('09월 에너지'!AF$14:AF$949))</f>
        <v>80.881562881562886</v>
      </c>
      <c r="CX2" s="793">
        <f>IF($C2&lt;1,"",AVERAGE('09월 에너지'!AG$14:AG$949))</f>
        <v>63.247863247863251</v>
      </c>
      <c r="CY2" s="793">
        <f>IF($C2&lt;1,"",AVERAGE('09월 에너지'!AH$14:AH$949))</f>
        <v>8.7509157509157518</v>
      </c>
      <c r="CZ2" s="793">
        <f>IF($C2&lt;1,"",AVERAGE('09월 에너지'!AI$14:AI$949))</f>
        <v>152.88034188034189</v>
      </c>
      <c r="DA2" s="796">
        <f>IF($C2&lt;1,"",AVERAGE('09월 에너지'!AJ$14:AJ$949))</f>
        <v>1.0653527742153845</v>
      </c>
    </row>
    <row r="3" spans="1:105" ht="4.5" customHeight="1" thickBot="1">
      <c r="A3" s="751"/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W3" s="751"/>
      <c r="X3" s="751"/>
      <c r="Y3" s="751"/>
      <c r="Z3" s="751"/>
      <c r="AA3" s="751"/>
      <c r="AB3" s="751"/>
      <c r="AC3" s="751"/>
      <c r="AD3" s="751"/>
      <c r="AE3" s="751"/>
      <c r="AF3" s="751"/>
      <c r="AG3" s="751"/>
      <c r="AH3" s="751"/>
      <c r="AI3" s="751"/>
      <c r="AJ3" s="751"/>
      <c r="AK3" s="751"/>
      <c r="AL3" s="751"/>
      <c r="AM3" s="751"/>
      <c r="AN3" s="751"/>
      <c r="AO3" s="751"/>
      <c r="AP3" s="751"/>
      <c r="AQ3" s="751"/>
      <c r="AR3" s="751"/>
      <c r="AS3" s="751"/>
      <c r="AT3" s="751"/>
      <c r="AU3" s="751"/>
      <c r="AV3" s="751"/>
      <c r="AW3" s="751"/>
      <c r="AX3" s="751"/>
      <c r="AY3" s="751"/>
      <c r="AZ3" s="751"/>
      <c r="BA3" s="751"/>
      <c r="BB3" s="751"/>
      <c r="BC3" s="751"/>
      <c r="BD3" s="751"/>
      <c r="BE3" s="751"/>
      <c r="BF3" s="751"/>
      <c r="BG3" s="751"/>
      <c r="BH3" s="751"/>
      <c r="BI3" s="751"/>
      <c r="BJ3" s="751"/>
      <c r="BK3" s="751"/>
      <c r="BL3" s="751"/>
      <c r="BM3" s="751"/>
      <c r="BN3" s="751"/>
      <c r="BO3" s="751"/>
      <c r="BP3" s="751"/>
      <c r="BQ3" s="751"/>
      <c r="BR3" s="751"/>
      <c r="BS3" s="751"/>
      <c r="BT3" s="751"/>
      <c r="BU3" s="751"/>
      <c r="BV3" s="751"/>
      <c r="BW3" s="751"/>
      <c r="BX3" s="751"/>
      <c r="BY3" s="751"/>
      <c r="BZ3" s="751"/>
      <c r="CA3" s="751"/>
      <c r="CB3" s="751"/>
      <c r="CC3" s="751"/>
      <c r="CD3" s="751"/>
      <c r="CE3" s="751"/>
      <c r="CF3" s="751"/>
      <c r="CG3" s="751"/>
      <c r="CH3" s="751"/>
      <c r="CI3" s="751"/>
      <c r="CJ3" s="751"/>
      <c r="CK3" s="751"/>
      <c r="CL3" s="751"/>
      <c r="CM3" s="751"/>
      <c r="CN3" s="751"/>
      <c r="CO3" s="751"/>
      <c r="CP3" s="751"/>
      <c r="CQ3" s="751"/>
      <c r="CR3" s="751"/>
      <c r="CS3" s="751"/>
      <c r="CT3" s="751"/>
      <c r="CU3" s="751"/>
      <c r="CV3" s="751"/>
      <c r="CW3" s="751"/>
      <c r="CX3" s="751"/>
      <c r="CY3" s="751"/>
      <c r="CZ3" s="751"/>
      <c r="DA3" s="751"/>
    </row>
    <row r="4" spans="1:105" ht="15" customHeight="1">
      <c r="A4" s="1651" t="s">
        <v>30</v>
      </c>
      <c r="B4" s="1653" t="s">
        <v>202</v>
      </c>
      <c r="C4" s="1663" t="s">
        <v>207</v>
      </c>
      <c r="D4" s="1658" t="s">
        <v>0</v>
      </c>
      <c r="E4" s="1658"/>
      <c r="F4" s="1658"/>
      <c r="G4" s="1649" t="s">
        <v>187</v>
      </c>
      <c r="H4" s="1641" t="s">
        <v>193</v>
      </c>
      <c r="I4" s="752" t="s">
        <v>184</v>
      </c>
      <c r="J4" s="1665" t="s">
        <v>41</v>
      </c>
      <c r="K4" s="1665"/>
      <c r="L4" s="1665"/>
      <c r="M4" s="1665"/>
      <c r="N4" s="1665"/>
      <c r="O4" s="1665"/>
      <c r="P4" s="1665"/>
      <c r="Q4" s="1668" t="s">
        <v>320</v>
      </c>
      <c r="R4" s="753" t="s">
        <v>18</v>
      </c>
      <c r="S4" s="753"/>
      <c r="T4" s="753"/>
      <c r="U4" s="1647" t="s">
        <v>191</v>
      </c>
      <c r="V4" s="1648"/>
      <c r="W4" s="1643" t="s">
        <v>186</v>
      </c>
      <c r="X4" s="1660" t="s">
        <v>42</v>
      </c>
      <c r="Y4" s="1660"/>
      <c r="Z4" s="1660"/>
      <c r="AA4" s="1660"/>
      <c r="AB4" s="1660"/>
      <c r="AC4" s="1660"/>
      <c r="AD4" s="1660" t="s">
        <v>43</v>
      </c>
      <c r="AE4" s="1660"/>
      <c r="AF4" s="1660"/>
      <c r="AG4" s="1660"/>
      <c r="AH4" s="1660" t="s">
        <v>44</v>
      </c>
      <c r="AI4" s="1660"/>
      <c r="AJ4" s="1660"/>
      <c r="AK4" s="1660"/>
      <c r="AL4" s="1660"/>
      <c r="AM4" s="1660"/>
      <c r="AN4" s="1660"/>
      <c r="AO4" s="1660"/>
      <c r="AP4" s="1660"/>
      <c r="AQ4" s="1660"/>
      <c r="AR4" s="1660" t="s">
        <v>45</v>
      </c>
      <c r="AS4" s="1675" t="s">
        <v>46</v>
      </c>
      <c r="AT4" s="1675"/>
      <c r="AU4" s="1665" t="s">
        <v>47</v>
      </c>
      <c r="AV4" s="1572" t="s">
        <v>221</v>
      </c>
      <c r="AW4" s="1572"/>
      <c r="AX4" s="1572" t="s">
        <v>223</v>
      </c>
      <c r="AY4" s="1572"/>
      <c r="AZ4" s="1572" t="s">
        <v>227</v>
      </c>
      <c r="BA4" s="1572"/>
      <c r="BB4" s="1572" t="s">
        <v>248</v>
      </c>
      <c r="BC4" s="1572"/>
      <c r="BD4" s="1677" t="s">
        <v>72</v>
      </c>
      <c r="BE4" s="1585" t="s">
        <v>240</v>
      </c>
      <c r="BF4" s="1585"/>
      <c r="BG4" s="1585"/>
      <c r="BH4" s="1585"/>
      <c r="BI4" s="1585" t="s">
        <v>241</v>
      </c>
      <c r="BJ4" s="1585"/>
      <c r="BK4" s="1585"/>
      <c r="BL4" s="1585" t="s">
        <v>242</v>
      </c>
      <c r="BM4" s="1585"/>
      <c r="BN4" s="1585" t="s">
        <v>243</v>
      </c>
      <c r="BO4" s="1585"/>
      <c r="BP4" s="1581" t="s">
        <v>72</v>
      </c>
      <c r="BQ4" s="1572" t="s">
        <v>150</v>
      </c>
      <c r="BR4" s="1572"/>
      <c r="BS4" s="1572"/>
      <c r="BT4" s="1572"/>
      <c r="BU4" s="1670" t="s">
        <v>132</v>
      </c>
      <c r="BV4" s="1670" t="s">
        <v>133</v>
      </c>
      <c r="BW4" s="1672" t="s">
        <v>134</v>
      </c>
      <c r="BX4" s="1507" t="s">
        <v>70</v>
      </c>
      <c r="BY4" s="1507"/>
      <c r="BZ4" s="1507" t="s">
        <v>43</v>
      </c>
      <c r="CA4" s="1507"/>
      <c r="CB4" s="1507" t="s">
        <v>71</v>
      </c>
      <c r="CC4" s="1507"/>
      <c r="CD4" s="1508" t="s">
        <v>72</v>
      </c>
      <c r="CE4" s="1508"/>
      <c r="CF4" s="1511" t="s">
        <v>73</v>
      </c>
      <c r="CG4" s="1511"/>
      <c r="CH4" s="1511"/>
      <c r="CI4" s="1511"/>
      <c r="CJ4" s="1686" t="s">
        <v>47</v>
      </c>
      <c r="CK4" s="1507" t="s">
        <v>431</v>
      </c>
      <c r="CL4" s="1507"/>
      <c r="CM4" s="1507"/>
      <c r="CN4" s="1507"/>
      <c r="CO4" s="1507"/>
      <c r="CP4" s="1679" t="s">
        <v>432</v>
      </c>
      <c r="CQ4" s="1679"/>
      <c r="CR4" s="1679"/>
      <c r="CS4" s="1679"/>
      <c r="CT4" s="1679"/>
      <c r="CU4" s="1680" t="s">
        <v>77</v>
      </c>
      <c r="CV4" s="1681"/>
      <c r="CW4" s="1679" t="s">
        <v>433</v>
      </c>
      <c r="CX4" s="1679"/>
      <c r="CY4" s="1679"/>
      <c r="CZ4" s="1679"/>
      <c r="DA4" s="1682"/>
    </row>
    <row r="5" spans="1:105" ht="15" customHeight="1" thickBot="1">
      <c r="A5" s="1662"/>
      <c r="B5" s="1664"/>
      <c r="C5" s="1664"/>
      <c r="D5" s="441" t="s">
        <v>5</v>
      </c>
      <c r="E5" s="441" t="s">
        <v>6</v>
      </c>
      <c r="F5" s="441" t="s">
        <v>7</v>
      </c>
      <c r="G5" s="1683"/>
      <c r="H5" s="1684"/>
      <c r="I5" s="797" t="s">
        <v>10</v>
      </c>
      <c r="J5" s="798" t="s">
        <v>48</v>
      </c>
      <c r="K5" s="798" t="s">
        <v>49</v>
      </c>
      <c r="L5" s="798" t="s">
        <v>50</v>
      </c>
      <c r="M5" s="798" t="s">
        <v>51</v>
      </c>
      <c r="N5" s="798" t="s">
        <v>52</v>
      </c>
      <c r="O5" s="798" t="s">
        <v>53</v>
      </c>
      <c r="P5" s="798" t="s">
        <v>54</v>
      </c>
      <c r="Q5" s="1669"/>
      <c r="R5" s="799" t="s">
        <v>23</v>
      </c>
      <c r="S5" s="799"/>
      <c r="T5" s="799"/>
      <c r="U5" s="800" t="s">
        <v>10</v>
      </c>
      <c r="V5" s="801" t="s">
        <v>192</v>
      </c>
      <c r="W5" s="1685"/>
      <c r="X5" s="802" t="s">
        <v>55</v>
      </c>
      <c r="Y5" s="802" t="s">
        <v>426</v>
      </c>
      <c r="Z5" s="802" t="s">
        <v>57</v>
      </c>
      <c r="AA5" s="802" t="s">
        <v>425</v>
      </c>
      <c r="AB5" s="802" t="s">
        <v>58</v>
      </c>
      <c r="AC5" s="802" t="s">
        <v>59</v>
      </c>
      <c r="AD5" s="802" t="s">
        <v>55</v>
      </c>
      <c r="AE5" s="802" t="s">
        <v>56</v>
      </c>
      <c r="AF5" s="802" t="s">
        <v>57</v>
      </c>
      <c r="AG5" s="802" t="s">
        <v>58</v>
      </c>
      <c r="AH5" s="802" t="s">
        <v>60</v>
      </c>
      <c r="AI5" s="802" t="s">
        <v>61</v>
      </c>
      <c r="AJ5" s="802" t="s">
        <v>57</v>
      </c>
      <c r="AK5" s="802" t="s">
        <v>62</v>
      </c>
      <c r="AL5" s="802" t="s">
        <v>63</v>
      </c>
      <c r="AM5" s="802" t="s">
        <v>64</v>
      </c>
      <c r="AN5" s="802" t="s">
        <v>65</v>
      </c>
      <c r="AO5" s="802" t="s">
        <v>66</v>
      </c>
      <c r="AP5" s="802" t="s">
        <v>200</v>
      </c>
      <c r="AQ5" s="802" t="s">
        <v>67</v>
      </c>
      <c r="AR5" s="1674"/>
      <c r="AS5" s="803" t="s">
        <v>49</v>
      </c>
      <c r="AT5" s="803" t="s">
        <v>50</v>
      </c>
      <c r="AU5" s="1676"/>
      <c r="AV5" s="804" t="s">
        <v>212</v>
      </c>
      <c r="AW5" s="804" t="s">
        <v>214</v>
      </c>
      <c r="AX5" s="804" t="s">
        <v>215</v>
      </c>
      <c r="AY5" s="804" t="s">
        <v>217</v>
      </c>
      <c r="AZ5" s="804" t="s">
        <v>219</v>
      </c>
      <c r="BA5" s="804" t="s">
        <v>225</v>
      </c>
      <c r="BB5" s="804" t="s">
        <v>244</v>
      </c>
      <c r="BC5" s="804" t="s">
        <v>246</v>
      </c>
      <c r="BD5" s="1678"/>
      <c r="BE5" s="648" t="s">
        <v>230</v>
      </c>
      <c r="BF5" s="648" t="s">
        <v>229</v>
      </c>
      <c r="BG5" s="648" t="s">
        <v>231</v>
      </c>
      <c r="BH5" s="648" t="s">
        <v>232</v>
      </c>
      <c r="BI5" s="648" t="s">
        <v>233</v>
      </c>
      <c r="BJ5" s="648" t="s">
        <v>234</v>
      </c>
      <c r="BK5" s="648" t="s">
        <v>235</v>
      </c>
      <c r="BL5" s="648" t="s">
        <v>236</v>
      </c>
      <c r="BM5" s="648" t="s">
        <v>237</v>
      </c>
      <c r="BN5" s="648" t="s">
        <v>238</v>
      </c>
      <c r="BO5" s="648" t="s">
        <v>239</v>
      </c>
      <c r="BP5" s="1582"/>
      <c r="BQ5" s="804" t="s">
        <v>145</v>
      </c>
      <c r="BR5" s="804" t="s">
        <v>146</v>
      </c>
      <c r="BS5" s="804" t="s">
        <v>147</v>
      </c>
      <c r="BT5" s="804" t="s">
        <v>72</v>
      </c>
      <c r="BU5" s="1671"/>
      <c r="BV5" s="1671"/>
      <c r="BW5" s="1673"/>
      <c r="BX5" s="590" t="s">
        <v>79</v>
      </c>
      <c r="BY5" s="589" t="s">
        <v>80</v>
      </c>
      <c r="BZ5" s="590" t="s">
        <v>79</v>
      </c>
      <c r="CA5" s="589" t="s">
        <v>80</v>
      </c>
      <c r="CB5" s="590" t="s">
        <v>79</v>
      </c>
      <c r="CC5" s="589" t="s">
        <v>80</v>
      </c>
      <c r="CD5" s="591" t="s">
        <v>79</v>
      </c>
      <c r="CE5" s="805" t="s">
        <v>80</v>
      </c>
      <c r="CF5" s="594" t="s">
        <v>70</v>
      </c>
      <c r="CG5" s="594" t="s">
        <v>43</v>
      </c>
      <c r="CH5" s="594" t="s">
        <v>71</v>
      </c>
      <c r="CI5" s="594" t="s">
        <v>72</v>
      </c>
      <c r="CJ5" s="1687"/>
      <c r="CK5" s="589" t="s">
        <v>70</v>
      </c>
      <c r="CL5" s="589" t="s">
        <v>43</v>
      </c>
      <c r="CM5" s="589" t="s">
        <v>71</v>
      </c>
      <c r="CN5" s="594" t="s">
        <v>72</v>
      </c>
      <c r="CO5" s="594" t="s">
        <v>73</v>
      </c>
      <c r="CP5" s="589" t="s">
        <v>70</v>
      </c>
      <c r="CQ5" s="589" t="s">
        <v>43</v>
      </c>
      <c r="CR5" s="589" t="s">
        <v>71</v>
      </c>
      <c r="CS5" s="594" t="s">
        <v>72</v>
      </c>
      <c r="CT5" s="594" t="s">
        <v>73</v>
      </c>
      <c r="CU5" s="806" t="s">
        <v>90</v>
      </c>
      <c r="CV5" s="807" t="s">
        <v>91</v>
      </c>
      <c r="CW5" s="589" t="s">
        <v>70</v>
      </c>
      <c r="CX5" s="589" t="s">
        <v>43</v>
      </c>
      <c r="CY5" s="589" t="s">
        <v>71</v>
      </c>
      <c r="CZ5" s="594" t="s">
        <v>72</v>
      </c>
      <c r="DA5" s="595" t="s">
        <v>73</v>
      </c>
    </row>
    <row r="6" spans="1:105" ht="13.5" customHeight="1">
      <c r="A6" s="808">
        <v>44927</v>
      </c>
      <c r="B6" s="809" t="s">
        <v>31</v>
      </c>
      <c r="C6" s="810">
        <f>COUNTIF('09월 조업일지'!$A$12:$A$952,A6)</f>
        <v>0</v>
      </c>
      <c r="D6" s="787" t="str">
        <f>IF(C6&lt;1,"",F6-E6)</f>
        <v/>
      </c>
      <c r="E6" s="787" t="str">
        <f>IF($C6&lt;1,"",(SUMIF('09월 조업일지'!$A$12:$A$952,$A6,'09월 조업일지'!$K$12:$K$952))/C6)</f>
        <v/>
      </c>
      <c r="F6" s="787" t="str">
        <f>IF($C6&lt;1,"",AVERAGEIF('09월 조업일지'!$A$12:$A$952,$A6,'09월 조업일지'!$J$12:$J$952))</f>
        <v/>
      </c>
      <c r="G6" s="811" t="str">
        <f>IF($C6&lt;1,"",AVERAGEIF('09월 에너지'!$A$14:$A$949,$A6,'09월 에너지'!$M$14:M$949))</f>
        <v/>
      </c>
      <c r="H6" s="812" t="str">
        <f>IF($C6&lt;1,"",AVERAGEIF('09월 조업일지'!$A$12:$A$952,$A6,'09월 조업일지'!$AJ$12:$AJ$952))</f>
        <v/>
      </c>
      <c r="I6" s="812" t="str">
        <f>IF($C6&lt;1,"",AVERAGEIF('09월 조업일지'!$A$12:$A$952,$A6,'09월 조업일지'!$AL$12:$AL$952))</f>
        <v/>
      </c>
      <c r="J6" s="813" t="str">
        <f>IF($C6&lt;1,"",AVERAGEIF('09월 화학성분'!$A$12:$A$949,$A6,'09월 화학성분'!G$12:G$949))</f>
        <v/>
      </c>
      <c r="K6" s="813" t="str">
        <f>IF($C6&lt;1,"",AVERAGEIF('09월 화학성분'!$A$12:$A$949,$A6,'09월 화학성분'!H$12:H$949))</f>
        <v/>
      </c>
      <c r="L6" s="813" t="str">
        <f>IF($C6&lt;1,"",AVERAGEIF('09월 화학성분'!$A$12:$A$949,$A6,'09월 화학성분'!I$12:I$949))</f>
        <v/>
      </c>
      <c r="M6" s="813" t="str">
        <f>IF($C6&lt;1,"",AVERAGEIF('09월 화학성분'!$A$12:$A$949,$A6,'09월 화학성분'!J$12:J$949))</f>
        <v/>
      </c>
      <c r="N6" s="813" t="str">
        <f>IF($C6&lt;1,"",AVERAGEIF('09월 화학성분'!$A$12:$A$949,$A6,'09월 화학성분'!K$12:K$949))</f>
        <v/>
      </c>
      <c r="O6" s="813" t="str">
        <f>IF($C6&lt;1,"",AVERAGEIF('09월 화학성분'!$A$12:$A$949,$A6,'09월 화학성분'!L$12:L$949))</f>
        <v/>
      </c>
      <c r="P6" s="813" t="str">
        <f>IF($C6&lt;1,"",AVERAGEIF('09월 화학성분'!$A$12:$A$949,$A6,'09월 화학성분'!M$12:M$949))</f>
        <v/>
      </c>
      <c r="Q6" s="814" t="str">
        <f>IF($C6&lt;1,"",AVERAGEIF('09월 조업일지'!$A$12:$A$952,$A6,'09월 조업일지'!$AA$12:$AA$952))</f>
        <v/>
      </c>
      <c r="R6" s="814" t="str">
        <f>IF($C6&lt;1,"",AVERAGEIF('09월 조업일지'!$A$12:$A$952,$A6,'09월 조업일지'!$AK$12:$AK$952))</f>
        <v/>
      </c>
      <c r="S6" s="814" t="str">
        <f>IF($C6&lt;1,"",AVERAGEIF('09월 조업일지'!$A$12:$A$952,$A6,'09월 조업일지'!$AM$12:$AM$952))</f>
        <v/>
      </c>
      <c r="T6" s="814"/>
      <c r="U6" s="813" t="str">
        <f>IF($C6&lt;1,"",AVERAGEIF('09월 화학성분'!$A$12:$A$949,$A6,'09월 화학성분'!$G$12:$G$949))</f>
        <v/>
      </c>
      <c r="V6" s="814" t="str">
        <f>IF($C6&lt;1,"",AVERAGEIF('09월 조업일지'!$A$12:$A$952,$A6,'09월 조업일지'!$AI$12:$AI$952))</f>
        <v/>
      </c>
      <c r="W6" s="813" t="str">
        <f>IF($C6&lt;1,"",AVERAGEIF('09월 화학성분'!$A$12:$A$949,$A6,'09월 화학성분'!$AM$12:$AM$949))</f>
        <v/>
      </c>
      <c r="X6" s="815" t="str">
        <f>IF($C6&lt;1,"",AVERAGEIF('09월 화학성분'!$A$12:$A$949,$A6,'09월 화학성분'!N$12:N$949))</f>
        <v/>
      </c>
      <c r="Y6" s="815" t="str">
        <f>IF($C6&lt;1,"",AVERAGEIF('09월 화학성분'!$A$12:$A$949,$A6,'09월 화학성분'!O$12:O$949))</f>
        <v/>
      </c>
      <c r="Z6" s="815" t="str">
        <f>IF($C6&lt;1,"",AVERAGEIF('09월 화학성분'!$A$12:$A$949,$A6,'09월 화학성분'!P$12:P$949))</f>
        <v/>
      </c>
      <c r="AA6" s="815" t="str">
        <f>IF($C6&lt;1,"",AVERAGEIF('09월 화학성분'!$A$12:$A$949,$A6,'09월 화학성분'!Q$12:Q$949))</f>
        <v/>
      </c>
      <c r="AB6" s="815" t="str">
        <f>IF($C6&lt;1,"",AVERAGEIF('09월 화학성분'!$A$12:$A$949,$A6,'09월 화학성분'!R$12:R$949))</f>
        <v/>
      </c>
      <c r="AC6" s="815" t="str">
        <f>IF($C6&lt;1,"",AVERAGEIF('09월 화학성분'!$A$12:$A$949,$A6,'09월 화학성분'!U$12:U$949))</f>
        <v/>
      </c>
      <c r="AD6" s="815" t="str">
        <f>IF($C6&lt;1,"",AVERAGEIF('09월 화학성분'!$A$12:$A$949,$A6,'09월 화학성분'!V$12:V$949))</f>
        <v/>
      </c>
      <c r="AE6" s="815" t="str">
        <f>IF($C6&lt;1,"",AVERAGEIF('09월 화학성분'!$A$12:$A$949,$A6,'09월 화학성분'!W$12:W$949))</f>
        <v/>
      </c>
      <c r="AF6" s="815" t="str">
        <f>IF($C6&lt;1,"",AVERAGEIF('09월 화학성분'!$A$12:$A$949,$A6,'09월 화학성분'!AA$12:AA$949))</f>
        <v/>
      </c>
      <c r="AG6" s="815" t="str">
        <f>IF($C6&lt;1,"",AVERAGEIF('09월 화학성분'!$A$12:$A$949,$A6,'09월 화학성분'!#REF!))</f>
        <v/>
      </c>
      <c r="AH6" s="815" t="str">
        <f>IF($C6&lt;1,"",AVERAGEIF('09월 화학성분'!$A$12:$A$949,$A6,'09월 화학성분'!AB$12:AB$949))</f>
        <v/>
      </c>
      <c r="AI6" s="815" t="str">
        <f>IF($C6&lt;1,"",AVERAGEIF('09월 화학성분'!$A$12:$A$949,$A6,'09월 화학성분'!AC$12:AC$949))</f>
        <v/>
      </c>
      <c r="AJ6" s="815" t="str">
        <f>IF($C6&lt;1,"",AVERAGEIF('09월 화학성분'!$A$12:$A$949,$A6,'09월 화학성분'!AD$12:AD$949))</f>
        <v/>
      </c>
      <c r="AK6" s="815" t="str">
        <f>IF($C6&lt;1,"",AVERAGEIF('09월 화학성분'!$A$12:$A$949,$A6,'09월 화학성분'!AF$12:AF$949))</f>
        <v/>
      </c>
      <c r="AL6" s="815" t="str">
        <f>IF($C6&lt;1,"",AVERAGEIF('09월 화학성분'!$A$12:$A$949,$A6,'09월 화학성분'!AG$12:AG$949))</f>
        <v/>
      </c>
      <c r="AM6" s="815" t="str">
        <f>IF($C6&lt;1,"",AVERAGEIF('09월 화학성분'!$A$12:$A$949,$A6,'09월 화학성분'!AH$12:AH$949))</f>
        <v/>
      </c>
      <c r="AN6" s="815" t="str">
        <f>IF($C6&lt;1,"",AVERAGEIF('09월 화학성분'!$A$12:$A$949,$A6,'09월 화학성분'!AI$12:AI$949))</f>
        <v/>
      </c>
      <c r="AO6" s="815" t="str">
        <f>IF($C6&lt;1,"",AVERAGEIF('09월 화학성분'!$A$12:$A$949,$A6,'09월 화학성분'!AJ$12:AJ$949))</f>
        <v/>
      </c>
      <c r="AP6" s="815" t="str">
        <f>IF($C6&lt;1,"",AVERAGEIF('09월 화학성분'!$A$12:$A$949,$A6,'09월 화학성분'!#REF!))</f>
        <v/>
      </c>
      <c r="AQ6" s="815" t="str">
        <f>IF($C6&lt;1,"",AVERAGEIF('09월 화학성분'!$A$12:$A$949,$A6,'09월 화학성분'!AL$12:AL$949))</f>
        <v/>
      </c>
      <c r="AR6" s="815" t="str">
        <f>IF($C6&lt;1,"",AVERAGEIF('09월 화학성분'!$A$12:$A$949,$A6,'09월 화학성분'!AM$12:AM$949))</f>
        <v/>
      </c>
      <c r="AS6" s="816" t="str">
        <f>IF($C6&lt;1,"",AVERAGEIF('09월 화학성분'!$A$12:$A$949,$A6,'09월 화학성분'!AN$12:AN$949))</f>
        <v/>
      </c>
      <c r="AT6" s="816" t="str">
        <f>IF($C6&lt;1,"",AVERAGEIF('09월 화학성분'!$A$12:$A$949,$A6,'09월 화학성분'!AO$12:AO$949))</f>
        <v/>
      </c>
      <c r="AU6" s="815" t="str">
        <f>IF($C6&lt;1,"",AVERAGEIF('09월 화학성분'!$A$12:$A$949,$A6,'09월 화학성분'!AP$12:AP$949))</f>
        <v/>
      </c>
      <c r="AV6" s="815" t="str">
        <f>IF($C6&lt;1,"",AVERAGEIF('09월 고철장입'!$A$14:$A$949,$A6,'09월 고철장입'!G$14:G$949)/1000)</f>
        <v/>
      </c>
      <c r="AW6" s="815" t="str">
        <f>IF($C6&lt;1,"",AVERAGEIF('09월 고철장입'!$A$14:$A$949,$A6,'09월 고철장입'!H$14:H$949)/1000)</f>
        <v/>
      </c>
      <c r="AX6" s="815" t="str">
        <f>IF($C6&lt;1,"",AVERAGEIF('09월 고철장입'!$A$14:$A$949,$A6,'09월 고철장입'!I$14:I$949)/1000)</f>
        <v/>
      </c>
      <c r="AY6" s="815" t="str">
        <f>IF($C6&lt;1,"",AVERAGEIF('09월 고철장입'!$A$14:$A$949,$A6,'09월 고철장입'!J$14:J$949)/1000)</f>
        <v/>
      </c>
      <c r="AZ6" s="815" t="str">
        <f>IF($C6&lt;1,"",AVERAGEIF('09월 고철장입'!$A$14:$A$949,$A6,'09월 고철장입'!K$14:K$949)/1000)</f>
        <v/>
      </c>
      <c r="BA6" s="815" t="str">
        <f>IF($C6&lt;1,"",AVERAGEIF('09월 고철장입'!$A$14:$A$949,$A6,'09월 고철장입'!L$14:L$949)/1000)</f>
        <v/>
      </c>
      <c r="BB6" s="815" t="str">
        <f>IF($C6&lt;1,"",AVERAGEIF('09월 고철장입'!$A$14:$A$949,$A6,'09월 고철장입'!M$14:M$949)/1000)</f>
        <v/>
      </c>
      <c r="BC6" s="815" t="str">
        <f>IF($C6&lt;1,"",AVERAGEIF('09월 고철장입'!$A$14:$A$949,$A6,'09월 고철장입'!N$14:N$949)/1000)</f>
        <v/>
      </c>
      <c r="BD6" s="815" t="str">
        <f>IF($C6&lt;1,"",AVERAGEIF('09월 고철장입'!$A$14:$A$949,$A6,'09월 고철장입'!O$14:O$949)/1000)</f>
        <v/>
      </c>
      <c r="BE6" s="815" t="str">
        <f>IF($C6&lt;1,"",AVERAGEIF('09월 고철장입'!$A$14:$A$949,$A6,'09월 고철장입'!P$14:P$949)/1000)</f>
        <v/>
      </c>
      <c r="BF6" s="815" t="str">
        <f>IF($C6&lt;1,"",AVERAGEIF('09월 고철장입'!$A$14:$A$949,$A6,'09월 고철장입'!Q$14:Q$949)/1000)</f>
        <v/>
      </c>
      <c r="BG6" s="815" t="str">
        <f>IF($C6&lt;1,"",AVERAGEIF('09월 고철장입'!$A$14:$A$949,$A6,'09월 고철장입'!S$14:S$949)/1000)</f>
        <v/>
      </c>
      <c r="BH6" s="815" t="str">
        <f>IF($C6&lt;1,"",AVERAGEIF('09월 고철장입'!$A$14:$A$949,$A6,'09월 고철장입'!T$14:T$949)/1000)</f>
        <v/>
      </c>
      <c r="BI6" s="815" t="str">
        <f>IF($C6&lt;1,"",AVERAGEIF('09월 고철장입'!$A$14:$A$949,$A6,'09월 고철장입'!U$14:U$949)/1000)</f>
        <v/>
      </c>
      <c r="BJ6" s="815" t="str">
        <f>IF($C6&lt;1,"",AVERAGEIF('09월 고철장입'!$A$14:$A$949,$A6,'09월 고철장입'!V$14:V$949)/1000)</f>
        <v/>
      </c>
      <c r="BK6" s="815" t="str">
        <f>IF($C6&lt;1,"",AVERAGEIF('09월 고철장입'!$A$14:$A$949,$A6,'09월 고철장입'!W$14:W$949)/1000)</f>
        <v/>
      </c>
      <c r="BL6" s="815" t="str">
        <f>IF($C6&lt;1,"",AVERAGEIF('09월 고철장입'!$A$14:$A$949,$A6,'09월 고철장입'!Y$14:Y$949)/1000)</f>
        <v/>
      </c>
      <c r="BM6" s="815" t="str">
        <f>IF($C6&lt;1,"",AVERAGEIF('09월 고철장입'!$A$14:$A$949,$A6,'09월 고철장입'!AB$14:AB$949)/1000)</f>
        <v/>
      </c>
      <c r="BN6" s="815" t="str">
        <f>IF($C6&lt;1,"",AVERAGEIF('09월 고철장입'!$A$14:$A$949,$A6,'09월 고철장입'!AC$14:AC$949)/1000)</f>
        <v/>
      </c>
      <c r="BO6" s="815" t="str">
        <f>IF($C6&lt;1,"",AVERAGEIF('09월 고철장입'!$A$14:$A$949,$A6,'09월 고철장입'!AD$14:AD$949)/1000)</f>
        <v/>
      </c>
      <c r="BP6" s="815" t="str">
        <f>IF($C6&lt;1,"",AVERAGEIF('09월 고철장입'!$A$14:$A$949,$A6,'09월 고철장입'!AE$14:AE$949)/1000)</f>
        <v/>
      </c>
      <c r="BQ6" s="815" t="str">
        <f>IF($C6&lt;1,"",AVERAGEIF('09월 고철장입'!$A$14:$A$949,$A6,'09월 고철장입'!AF$14:AF$949)/1000)</f>
        <v/>
      </c>
      <c r="BR6" s="815" t="str">
        <f>IF($C6&lt;1,"",AVERAGEIF('09월 고철장입'!$A$14:$A$949,$A6,'09월 고철장입'!AG$14:AG$949)/1000)</f>
        <v/>
      </c>
      <c r="BS6" s="815" t="str">
        <f>IF($C6&lt;1,"",AVERAGEIF('09월 고철장입'!$A$14:$A$949,$A6,'09월 고철장입'!AH$14:AH$949)/1000)</f>
        <v/>
      </c>
      <c r="BT6" s="815" t="str">
        <f>IF($C6&lt;1,"",AVERAGEIF('09월 고철장입'!$A$14:$A$949,$A6,'09월 고철장입'!AI$14:AI$949)/1000)</f>
        <v/>
      </c>
      <c r="BU6" s="815" t="str">
        <f>IF($C6&lt;1,"",AVERAGEIF('09월 고철장입'!$A$14:$A$949,$A6,'09월 고철장입'!AJ$14:AJ$949)/1000)</f>
        <v/>
      </c>
      <c r="BV6" s="815" t="str">
        <f>IF($C6&lt;1,"",AVERAGEIF('09월 고철장입'!$A$14:$A$949,$A6,'09월 고철장입'!AK$14:AK$949))</f>
        <v/>
      </c>
      <c r="BW6" s="815" t="str">
        <f>IF($C6&lt;1,"",AVERAGEIF('09월 고철장입'!$A$14:$A$949,$A6,'09월 고철장입'!AL$14:AL$949)*100)</f>
        <v/>
      </c>
      <c r="BX6" s="815" t="str">
        <f>IF($C6&lt;1,"",AVERAGEIF('09월 에너지'!$A$14:$A$949,$A6,'09월 에너지'!G$14:G$949))</f>
        <v/>
      </c>
      <c r="BY6" s="817" t="str">
        <f>IF($C6&lt;1,"",AVERAGEIF('09월 에너지'!$A$14:$A$949,$A6,'09월 에너지'!H$14:H$949))</f>
        <v/>
      </c>
      <c r="BZ6" s="815" t="str">
        <f>IF($C6&lt;1,"",AVERAGEIF('09월 에너지'!$A$14:$A$949,$A6,'09월 에너지'!I$14:I$949))</f>
        <v/>
      </c>
      <c r="CA6" s="817" t="str">
        <f>IF($C6&lt;1,"",AVERAGEIF('09월 에너지'!$A$14:$A$949,$A6,'09월 에너지'!J$14:J$949))</f>
        <v/>
      </c>
      <c r="CB6" s="815" t="str">
        <f>IF($C6&lt;1,"",AVERAGEIF('09월 에너지'!$A$14:$A$949,$A6,'09월 에너지'!K$14:K$949))</f>
        <v/>
      </c>
      <c r="CC6" s="817" t="str">
        <f>IF($C6&lt;1,"",AVERAGEIF('09월 에너지'!$A$14:$A$949,$A6,'09월 에너지'!L$14:L$949))</f>
        <v/>
      </c>
      <c r="CD6" s="815" t="str">
        <f>IF($C6&lt;1,"",AVERAGEIF('09월 에너지'!$A$14:$A$949,$A6,'09월 에너지'!M$14:M$949))</f>
        <v/>
      </c>
      <c r="CE6" s="817" t="str">
        <f>IF($C6&lt;1,"",AVERAGEIF('09월 에너지'!$A$14:$A$949,$A6,'09월 에너지'!N$14:N$949))</f>
        <v/>
      </c>
      <c r="CF6" s="815" t="str">
        <f>IF($C6&lt;1,"",AVERAGEIF('09월 에너지'!$A$14:$A$949,$A6,'09월 에너지'!O$14:O$949))</f>
        <v/>
      </c>
      <c r="CG6" s="815" t="str">
        <f>IF($C6&lt;1,"",AVERAGEIF('09월 에너지'!$A$14:$A$949,$A6,'09월 에너지'!P$14:P$949))</f>
        <v/>
      </c>
      <c r="CH6" s="815" t="str">
        <f>IF($C6&lt;1,"",AVERAGEIF('09월 에너지'!$A$14:$A$949,$A6,'09월 에너지'!Q$14:Q$949))</f>
        <v/>
      </c>
      <c r="CI6" s="815" t="str">
        <f>IF($C6&lt;1,"",AVERAGEIF('09월 에너지'!$A$14:$A$949,$A6,'09월 에너지'!R$14:R$949))</f>
        <v/>
      </c>
      <c r="CJ6" s="815" t="str">
        <f>IF($C6&lt;1,"",AVERAGEIF('09월 에너지'!$A$14:$A$949,$A6,'09월 에너지'!S$14:S$949))</f>
        <v/>
      </c>
      <c r="CK6" s="815" t="str">
        <f>IF($C6&lt;1,"",AVERAGEIF('09월 에너지'!$A$14:$A$949,$A6,'09월 에너지'!T$14:T$949))</f>
        <v/>
      </c>
      <c r="CL6" s="815" t="str">
        <f>IF($C6&lt;1,"",AVERAGEIF('09월 에너지'!$A$14:$A$949,$A6,'09월 에너지'!U$14:U$949))</f>
        <v/>
      </c>
      <c r="CM6" s="817" t="str">
        <f>IF($C6&lt;1,"",AVERAGEIF('09월 에너지'!$A$14:$A$949,$A6,'09월 에너지'!V$14:V$949))</f>
        <v/>
      </c>
      <c r="CN6" s="817" t="str">
        <f>IF($C6&lt;1,"",AVERAGEIF('09월 에너지'!$A$14:$A$949,$A6,'09월 에너지'!W$14:W$949))</f>
        <v/>
      </c>
      <c r="CO6" s="815" t="str">
        <f>IF($C6&lt;1,"",AVERAGEIF('09월 에너지'!$A$14:$A$949,$A6,'09월 에너지'!X$14:X$949))</f>
        <v/>
      </c>
      <c r="CP6" s="817" t="str">
        <f>IF($C6&lt;1,"",AVERAGEIF('09월 에너지'!$A$14:$A$949,$A6,'09월 에너지'!Y$14:Y$949))</f>
        <v/>
      </c>
      <c r="CQ6" s="817" t="str">
        <f>IF($C6&lt;1,"",AVERAGEIF('09월 에너지'!$A$14:$A$949,$A6,'09월 에너지'!Z$14:Z$949))</f>
        <v/>
      </c>
      <c r="CR6" s="817" t="str">
        <f>IF($C6&lt;1,"",AVERAGEIF('09월 에너지'!$A$14:$A$949,$A6,'09월 에너지'!AA$14:AA$949))</f>
        <v/>
      </c>
      <c r="CS6" s="817" t="str">
        <f>IF($C6&lt;1,"",AVERAGEIF('09월 에너지'!$A$14:$A$949,$A6,'09월 에너지'!AB$14:AB$949))</f>
        <v/>
      </c>
      <c r="CT6" s="815" t="str">
        <f>IF($C6&lt;1,"",AVERAGEIF('09월 에너지'!$A$14:$A$949,$A6,'09월 에너지'!AC$14:AC$949))</f>
        <v/>
      </c>
      <c r="CU6" s="818" t="str">
        <f>IF($C6&lt;1,"",AVERAGEIF('09월 에너지'!$A$14:$A$949,$A6,'09월 에너지'!AD$14:AD$949))</f>
        <v/>
      </c>
      <c r="CV6" s="819" t="str">
        <f>IF($C6&lt;1,"",AVERAGEIF('09월 에너지'!$A$14:$A$949,$A6,'09월 에너지'!AE$14:AE$949))</f>
        <v/>
      </c>
      <c r="CW6" s="815" t="str">
        <f>IF($C6&lt;1,"",AVERAGEIF('09월 에너지'!$A$14:$A$949,$A6,'09월 에너지'!AF$14:AF$949))</f>
        <v/>
      </c>
      <c r="CX6" s="815" t="str">
        <f>IF($C6&lt;1,"",AVERAGEIF('09월 에너지'!$A$14:$A$949,$A6,'09월 에너지'!AG$14:AG$949))</f>
        <v/>
      </c>
      <c r="CY6" s="815" t="str">
        <f>IF($C6&lt;1,"",AVERAGEIF('09월 에너지'!$A$14:$A$949,$A6,'09월 에너지'!AH$14:AH$949))</f>
        <v/>
      </c>
      <c r="CZ6" s="815" t="str">
        <f>IF($C6&lt;1,"",AVERAGEIF('09월 에너지'!$A$14:$A$949,$A6,'09월 에너지'!AI$14:AI$949))</f>
        <v/>
      </c>
      <c r="DA6" s="820" t="str">
        <f>IF($C6&lt;1,"",AVERAGEIF('09월 에너지'!$A$14:$A$949,$A6,'09월 에너지'!AJ$14:AJ$949))</f>
        <v/>
      </c>
    </row>
    <row r="7" spans="1:105" ht="13.5" customHeight="1">
      <c r="A7" s="821">
        <f>A6</f>
        <v>44927</v>
      </c>
      <c r="B7" s="822" t="s">
        <v>203</v>
      </c>
      <c r="C7" s="823">
        <f>COUNTIFS('09월 조업일지'!$A$12:$A$952,A6,'09월 조업일지'!$E$12:$E$952,B7)</f>
        <v>0</v>
      </c>
      <c r="D7" s="824" t="str">
        <f>IF(C7&lt;1,"",F7-E7)</f>
        <v/>
      </c>
      <c r="E7" s="824" t="str">
        <f>IF($C7&lt;1,"",(SUMIFS('09월 조업일지'!$K$12:$K$952,'09월 조업일지'!$A$12:$A$952,$A7,'09월 조업일지'!$E$12:$E$952,$B7)/$C7))</f>
        <v/>
      </c>
      <c r="F7" s="824" t="str">
        <f>IF($C7&lt;1,"",(AVERAGEIFS('09월 조업일지'!$J$12:$J$952,'09월 조업일지'!$A$12:$A$952,$A7,'09월 조업일지'!$E$12:$E$952,$B7)))</f>
        <v/>
      </c>
      <c r="G7" s="825" t="str">
        <f>IF($C7&lt;1,"",(AVERAGEIFS('09월 에너지'!$M$14:$M$949,'09월 에너지'!$A$14:$A$949,$A7,'09월 에너지'!$C$14:$C$949,$B7)))</f>
        <v/>
      </c>
      <c r="H7" s="826" t="str">
        <f>IF($C7&lt;1,"",(AVERAGEIFS('09월 조업일지'!$AJ$12:$AJ$952,'09월 조업일지'!$A$12:$A$952,$A7,'09월 조업일지'!$E$12:$E$952,$B7)))</f>
        <v/>
      </c>
      <c r="I7" s="826" t="str">
        <f>IF($C7&lt;1,"",(AVERAGEIFS('09월 조업일지'!$AL$12:$AL$952,'09월 조업일지'!$A$12:$A$952,$A7,'09월 조업일지'!$E$12:$E$952,$B7)))</f>
        <v/>
      </c>
      <c r="J7" s="827" t="str">
        <f>IF($C7&lt;1,"",(AVERAGEIFS('09월 화학성분'!G$12:G$949,'09월 화학성분'!$A$12:$A$949,$A7,'09월 화학성분'!$D$12:$D$949,$B7)))</f>
        <v/>
      </c>
      <c r="K7" s="827" t="str">
        <f>IF($C7&lt;1,"",(AVERAGEIFS('09월 화학성분'!H$12:H$949,'09월 화학성분'!$A$12:$A$949,$A7,'09월 화학성분'!$D$12:$D$949,$B7)))</f>
        <v/>
      </c>
      <c r="L7" s="827" t="str">
        <f>IF($C7&lt;1,"",(AVERAGEIFS('09월 화학성분'!I$12:I$949,'09월 화학성분'!$A$12:$A$949,$A7,'09월 화학성분'!$D$12:$D$949,$B7)))</f>
        <v/>
      </c>
      <c r="M7" s="827" t="str">
        <f>IF($C7&lt;1,"",(AVERAGEIFS('09월 화학성분'!J$12:J$949,'09월 화학성분'!$A$12:$A$949,$A7,'09월 화학성분'!$D$12:$D$949,$B7)))</f>
        <v/>
      </c>
      <c r="N7" s="827" t="str">
        <f>IF($C7&lt;1,"",(AVERAGEIFS('09월 화학성분'!K$12:K$949,'09월 화학성분'!$A$12:$A$949,$A7,'09월 화학성분'!$D$12:$D$949,$B7)))</f>
        <v/>
      </c>
      <c r="O7" s="827" t="str">
        <f>IF($C7&lt;1,"",(AVERAGEIFS('09월 화학성분'!L$12:L$949,'09월 화학성분'!$A$12:$A$949,$A7,'09월 화학성분'!$D$12:$D$949,$B7)))</f>
        <v/>
      </c>
      <c r="P7" s="827" t="str">
        <f>IF($C7&lt;1,"",(AVERAGEIFS('09월 화학성분'!M$12:M$949,'09월 화학성분'!$A$12:$A$949,$A7,'09월 화학성분'!$D$12:$D$949,$B7)))</f>
        <v/>
      </c>
      <c r="Q7" s="827" t="str">
        <f>IFERROR(IF($C7&lt;1,"",(AVERAGEIFS('09월 조업일지'!$AA$12:$AA$952,'09월 조업일지'!$A$12:$A$952,$A7,'09월 조업일지'!$E$12:$E$952,$B7))),"")</f>
        <v/>
      </c>
      <c r="R7" s="827" t="str">
        <f>IF($C7&lt;1,"",(AVERAGEIFS('09월 조업일지'!$AK$12:$AK$952,'09월 조업일지'!$A$12:$A$952,$A7,'09월 조업일지'!$E$12:$E$952,$B7)))</f>
        <v/>
      </c>
      <c r="S7" s="827"/>
      <c r="T7" s="827"/>
      <c r="U7" s="827" t="str">
        <f>IF($C7&lt;1,"",(AVERAGEIFS('09월 화학성분'!$G$12:$G$949,'09월 화학성분'!$A$12:$A$949,$A7,'09월 화학성분'!$D$12:$D$949,$B7)))</f>
        <v/>
      </c>
      <c r="V7" s="827" t="str">
        <f>IF($C7&lt;1,"",(AVERAGEIFS('09월 조업일지'!$AI$12:$AI$952,'09월 조업일지'!$A$12:$A$952,$A7,'09월 조업일지'!$E$12:$E$952,$B7)))</f>
        <v/>
      </c>
      <c r="W7" s="828" t="str">
        <f>IF($C7&lt;1,"",(AVERAGEIFS('09월 화학성분'!$AM$12:$AM$949,'09월 화학성분'!$A$12:$A$949,$A7,'09월 화학성분'!$D$12:$D$949,$B7)))</f>
        <v/>
      </c>
      <c r="X7" s="829" t="str">
        <f>IF($C7&lt;1,"",(AVERAGEIFS('09월 화학성분'!N$12:N$949,'09월 화학성분'!$A$12:$A$949,$A7,'09월 화학성분'!$D$12:$D$949,$B7)))</f>
        <v/>
      </c>
      <c r="Y7" s="829" t="str">
        <f>IF($C7&lt;1,"",(AVERAGEIFS('09월 화학성분'!O$12:O$949,'09월 화학성분'!$A$12:$A$949,$A7,'09월 화학성분'!$D$12:$D$949,$B7)))</f>
        <v/>
      </c>
      <c r="Z7" s="829" t="str">
        <f>IF($C7&lt;1,"",(AVERAGEIFS('09월 화학성분'!P$12:P$949,'09월 화학성분'!$A$12:$A$949,$A7,'09월 화학성분'!$D$12:$D$949,$B7)))</f>
        <v/>
      </c>
      <c r="AA7" s="829" t="str">
        <f>IF($C7&lt;1,"",(AVERAGEIFS('09월 화학성분'!Q$12:Q$949,'09월 화학성분'!$A$12:$A$949,$A7,'09월 화학성분'!$D$12:$D$949,$B7)))</f>
        <v/>
      </c>
      <c r="AB7" s="829" t="str">
        <f>IF($C7&lt;1,"",(AVERAGEIFS('09월 화학성분'!R$12:R$949,'09월 화학성분'!$A$12:$A$949,$A7,'09월 화학성분'!$D$12:$D$949,$B7)))</f>
        <v/>
      </c>
      <c r="AC7" s="829" t="str">
        <f>IF($C7&lt;1,"",(AVERAGEIFS('09월 화학성분'!U$12:U$949,'09월 화학성분'!$A$12:$A$949,$A7,'09월 화학성분'!$D$12:$D$949,$B7)))</f>
        <v/>
      </c>
      <c r="AD7" s="829" t="str">
        <f>IF($C7&lt;1,"",(AVERAGEIFS('09월 화학성분'!V$12:V$949,'09월 화학성분'!$A$12:$A$949,$A7,'09월 화학성분'!$D$12:$D$949,$B7)))</f>
        <v/>
      </c>
      <c r="AE7" s="829" t="str">
        <f>IF($C7&lt;1,"",(AVERAGEIFS('09월 화학성분'!W$12:W$949,'09월 화학성분'!$A$12:$A$949,$A7,'09월 화학성분'!$D$12:$D$949,$B7)))</f>
        <v/>
      </c>
      <c r="AF7" s="829" t="str">
        <f>IF($C7&lt;1,"",(AVERAGEIFS('09월 화학성분'!AA$12:AA$949,'09월 화학성분'!$A$12:$A$949,$A7,'09월 화학성분'!$D$12:$D$949,$B7)))</f>
        <v/>
      </c>
      <c r="AG7" s="829" t="str">
        <f>IF($C7&lt;1,"",(AVERAGEIFS('09월 화학성분'!#REF!,'09월 화학성분'!$A$12:$A$949,$A7,'09월 화학성분'!$D$12:$D$949,$B7)))</f>
        <v/>
      </c>
      <c r="AH7" s="829" t="str">
        <f>IF($C7&lt;1,"",(AVERAGEIFS('09월 화학성분'!AB$12:AB$949,'09월 화학성분'!$A$12:$A$949,$A7,'09월 화학성분'!$D$12:$D$949,$B7)))</f>
        <v/>
      </c>
      <c r="AI7" s="829" t="str">
        <f>IF($C7&lt;1,"",(AVERAGEIFS('09월 화학성분'!AC$12:AC$949,'09월 화학성분'!$A$12:$A$949,$A7,'09월 화학성분'!$D$12:$D$949,$B7)))</f>
        <v/>
      </c>
      <c r="AJ7" s="829" t="str">
        <f>IF($C7&lt;1,"",(AVERAGEIFS('09월 화학성분'!AD$12:AD$949,'09월 화학성분'!$A$12:$A$949,$A7,'09월 화학성분'!$D$12:$D$949,$B7)))</f>
        <v/>
      </c>
      <c r="AK7" s="829" t="str">
        <f>IF($C7&lt;1,"",(AVERAGEIFS('09월 화학성분'!AF$12:AF$949,'09월 화학성분'!$A$12:$A$949,$A7,'09월 화학성분'!$D$12:$D$949,$B7)))</f>
        <v/>
      </c>
      <c r="AL7" s="829" t="str">
        <f>IF($C7&lt;1,"",(AVERAGEIFS('09월 화학성분'!AG$12:AG$949,'09월 화학성분'!$A$12:$A$949,$A7,'09월 화학성분'!$D$12:$D$949,$B7)))</f>
        <v/>
      </c>
      <c r="AM7" s="829" t="str">
        <f>IF($C7&lt;1,"",(AVERAGEIFS('09월 화학성분'!AH$12:AH$949,'09월 화학성분'!$A$12:$A$949,$A7,'09월 화학성분'!$D$12:$D$949,$B7)))</f>
        <v/>
      </c>
      <c r="AN7" s="829" t="str">
        <f>IF($C7&lt;1,"",(AVERAGEIFS('09월 화학성분'!AI$12:AI$949,'09월 화학성분'!$A$12:$A$949,$A7,'09월 화학성분'!$D$12:$D$949,$B7)))</f>
        <v/>
      </c>
      <c r="AO7" s="829" t="str">
        <f>IF($C7&lt;1,"",(AVERAGEIFS('09월 화학성분'!AJ$12:AJ$949,'09월 화학성분'!$A$12:$A$949,$A7,'09월 화학성분'!$D$12:$D$949,$B7)))</f>
        <v/>
      </c>
      <c r="AP7" s="829" t="str">
        <f>IF($C7&lt;1,"",(AVERAGEIFS('09월 화학성분'!#REF!,'09월 화학성분'!$A$12:$A$949,$A7,'09월 화학성분'!$D$12:$D$949,$B7)))</f>
        <v/>
      </c>
      <c r="AQ7" s="829" t="str">
        <f>IF($C7&lt;1,"",(AVERAGEIFS('09월 화학성분'!AL$12:AL$949,'09월 화학성분'!$A$12:$A$949,$A7,'09월 화학성분'!$D$12:$D$949,$B7)))</f>
        <v/>
      </c>
      <c r="AR7" s="829" t="str">
        <f>IF($C7&lt;1,"",(AVERAGEIFS('09월 화학성분'!AM$12:AM$949,'09월 화학성분'!$A$12:$A$949,$A7,'09월 화학성분'!$D$12:$D$949,$B7)))</f>
        <v/>
      </c>
      <c r="AS7" s="830" t="str">
        <f>IF($C7&lt;1,"",(AVERAGEIFS('09월 화학성분'!AN$12:AN$949,'09월 화학성분'!$A$12:$A$949,$A7,'09월 화학성분'!$D$12:$D$949,$B7)))</f>
        <v/>
      </c>
      <c r="AT7" s="830" t="str">
        <f>IF($C7&lt;1,"",(AVERAGEIFS('09월 화학성분'!AO$12:AO$949,'09월 화학성분'!$A$12:$A$949,$A7,'09월 화학성분'!$D$12:$D$949,$B7)))</f>
        <v/>
      </c>
      <c r="AU7" s="831" t="str">
        <f>IF($C7&lt;1,"",(AVERAGEIFS('09월 화학성분'!AP$12:AP$949,'09월 화학성분'!$A$12:$A$949,$A7,'09월 화학성분'!$D$12:$D$949,$B7)))</f>
        <v/>
      </c>
      <c r="AV7" s="832" t="str">
        <f>IF($C7&lt;1,"",(AVERAGEIFS('09월 고철장입'!G$14:G$949,'09월 고철장입'!$A$14:$A$949,$A7,'09월 고철장입'!$C$14:$C$949,$B7))/1000)</f>
        <v/>
      </c>
      <c r="AW7" s="832" t="str">
        <f>IF($C7&lt;1,"",(AVERAGEIFS('09월 고철장입'!H$14:H$949,'09월 고철장입'!$A$14:$A$949,$A7,'09월 고철장입'!$C$14:$C$949,$B7))/1000)</f>
        <v/>
      </c>
      <c r="AX7" s="832" t="str">
        <f>IF($C7&lt;1,"",(AVERAGEIFS('09월 고철장입'!I$14:I$949,'09월 고철장입'!$A$14:$A$949,$A7,'09월 고철장입'!$C$14:$C$949,$B7))/1000)</f>
        <v/>
      </c>
      <c r="AY7" s="832" t="str">
        <f>IF($C7&lt;1,"",(AVERAGEIFS('09월 고철장입'!J$14:J$949,'09월 고철장입'!$A$14:$A$949,$A7,'09월 고철장입'!$C$14:$C$949,$B7))/1000)</f>
        <v/>
      </c>
      <c r="AZ7" s="832" t="str">
        <f>IF($C7&lt;1,"",(AVERAGEIFS('09월 고철장입'!K$14:K$949,'09월 고철장입'!$A$14:$A$949,$A7,'09월 고철장입'!$C$14:$C$949,$B7))/1000)</f>
        <v/>
      </c>
      <c r="BA7" s="832" t="str">
        <f>IF($C7&lt;1,"",(AVERAGEIFS('09월 고철장입'!L$14:L$949,'09월 고철장입'!$A$14:$A$949,$A7,'09월 고철장입'!$C$14:$C$949,$B7))/1000)</f>
        <v/>
      </c>
      <c r="BB7" s="832" t="str">
        <f>IF($C7&lt;1,"",(AVERAGEIFS('09월 고철장입'!M$14:M$949,'09월 고철장입'!$A$14:$A$949,$A7,'09월 고철장입'!$C$14:$C$949,$B7))/1000)</f>
        <v/>
      </c>
      <c r="BC7" s="832" t="str">
        <f>IF($C7&lt;1,"",(AVERAGEIFS('09월 고철장입'!N$14:N$949,'09월 고철장입'!$A$14:$A$949,$A7,'09월 고철장입'!$C$14:$C$949,$B7))/1000)</f>
        <v/>
      </c>
      <c r="BD7" s="832" t="str">
        <f>IF($C7&lt;1,"",(AVERAGEIFS('09월 고철장입'!O$14:O$949,'09월 고철장입'!$A$14:$A$949,$A7,'09월 고철장입'!$C$14:$C$949,$B7))/1000)</f>
        <v/>
      </c>
      <c r="BE7" s="833" t="str">
        <f>IF($C7&lt;1,"",(AVERAGEIFS('09월 고철장입'!P$14:P$949,'09월 고철장입'!$A$14:$A$949,$A7,'09월 고철장입'!$C$14:$C$949,$B7))/1000)</f>
        <v/>
      </c>
      <c r="BF7" s="833" t="str">
        <f>IF($C7&lt;1,"",(AVERAGEIFS('09월 고철장입'!Q$14:Q$949,'09월 고철장입'!$A$14:$A$949,$A7,'09월 고철장입'!$C$14:$C$949,$B7))/1000)</f>
        <v/>
      </c>
      <c r="BG7" s="833" t="str">
        <f>IF($C7&lt;1,"",(AVERAGEIFS('09월 고철장입'!S$14:S$949,'09월 고철장입'!$A$14:$A$949,$A7,'09월 고철장입'!$C$14:$C$949,$B7))/1000)</f>
        <v/>
      </c>
      <c r="BH7" s="833" t="str">
        <f>IF($C7&lt;1,"",(AVERAGEIFS('09월 고철장입'!T$14:T$949,'09월 고철장입'!$A$14:$A$949,$A7,'09월 고철장입'!$C$14:$C$949,$B7))/1000)</f>
        <v/>
      </c>
      <c r="BI7" s="833" t="str">
        <f>IF($C7&lt;1,"",(AVERAGEIFS('09월 고철장입'!U$14:U$949,'09월 고철장입'!$A$14:$A$949,$A7,'09월 고철장입'!$C$14:$C$949,$B7))/1000)</f>
        <v/>
      </c>
      <c r="BJ7" s="833" t="str">
        <f>IF($C7&lt;1,"",(AVERAGEIFS('09월 고철장입'!V$14:V$949,'09월 고철장입'!$A$14:$A$949,$A7,'09월 고철장입'!$C$14:$C$949,$B7))/1000)</f>
        <v/>
      </c>
      <c r="BK7" s="833" t="str">
        <f>IF($C7&lt;1,"",(AVERAGEIFS('09월 고철장입'!W$14:W$949,'09월 고철장입'!$A$14:$A$949,$A7,'09월 고철장입'!$C$14:$C$949,$B7))/1000)</f>
        <v/>
      </c>
      <c r="BL7" s="833" t="str">
        <f>IF($C7&lt;1,"",(AVERAGEIFS('09월 고철장입'!Y$14:Y$949,'09월 고철장입'!$A$14:$A$949,$A7,'09월 고철장입'!$C$14:$C$949,$B7))/1000)</f>
        <v/>
      </c>
      <c r="BM7" s="833" t="str">
        <f>IF($C7&lt;1,"",(AVERAGEIFS('09월 고철장입'!AB$14:AB$949,'09월 고철장입'!$A$14:$A$949,$A7,'09월 고철장입'!$C$14:$C$949,$B7))/1000)</f>
        <v/>
      </c>
      <c r="BN7" s="833" t="str">
        <f>IF($C7&lt;1,"",(AVERAGEIFS('09월 고철장입'!AC$14:AC$949,'09월 고철장입'!$A$14:$A$949,$A7,'09월 고철장입'!$C$14:$C$949,$B7))/1000)</f>
        <v/>
      </c>
      <c r="BO7" s="833" t="str">
        <f>IF($C7&lt;1,"",(AVERAGEIFS('09월 고철장입'!AD$14:AD$949,'09월 고철장입'!$A$14:$A$949,$A7,'09월 고철장입'!$C$14:$C$949,$B7))/1000)</f>
        <v/>
      </c>
      <c r="BP7" s="833" t="str">
        <f>IF($C7&lt;1,"",(AVERAGEIFS('09월 고철장입'!AE$14:AE$949,'09월 고철장입'!$A$14:$A$949,$A7,'09월 고철장입'!$C$14:$C$949,$B7))/1000)</f>
        <v/>
      </c>
      <c r="BQ7" s="832" t="str">
        <f>IF($C7&lt;1,"",(AVERAGEIFS('09월 고철장입'!AF$14:AF$949,'09월 고철장입'!$A$14:$A$949,$A7,'09월 고철장입'!$C$14:$C$949,$B7))/1000)</f>
        <v/>
      </c>
      <c r="BR7" s="832" t="str">
        <f>IF($C7&lt;1,"",(AVERAGEIFS('09월 고철장입'!AG$14:AG$949,'09월 고철장입'!$A$14:$A$949,$A7,'09월 고철장입'!$C$14:$C$949,$B7))/1000)</f>
        <v/>
      </c>
      <c r="BS7" s="832" t="str">
        <f>IF($C7&lt;1,"",(AVERAGEIFS('09월 고철장입'!AH$14:AH$949,'09월 고철장입'!$A$14:$A$949,$A7,'09월 고철장입'!$C$14:$C$949,$B7))/1000)</f>
        <v/>
      </c>
      <c r="BT7" s="832" t="str">
        <f>IF($C7&lt;1,"",(AVERAGEIFS('09월 고철장입'!AI$14:AI$949,'09월 고철장입'!$A$14:$A$949,$A7,'09월 고철장입'!$C$14:$C$949,$B7))/1000)</f>
        <v/>
      </c>
      <c r="BU7" s="834" t="str">
        <f>IF($C7&lt;1,"",(AVERAGEIFS('09월 고철장입'!AJ$14:AJ$949,'09월 고철장입'!$A$14:$A$949,$A7,'09월 고철장입'!$C$14:$C$949,$B7))/1000)</f>
        <v/>
      </c>
      <c r="BV7" s="834" t="str">
        <f>IF($C7&lt;1,"",(AVERAGEIFS('09월 고철장입'!AK$14:AK$949,'09월 고철장입'!$A$14:$A$949,$A7,'09월 고철장입'!$C$14:$C$949,$B7)))</f>
        <v/>
      </c>
      <c r="BW7" s="834" t="str">
        <f>IF($C7&lt;1,"",(AVERAGEIFS('09월 고철장입'!AL$14:AL$949,'09월 고철장입'!$A$14:$A$949,$A7,'09월 고철장입'!$C$14:$C$949,$B7))*100)</f>
        <v/>
      </c>
      <c r="BX7" s="831" t="str">
        <f>IF($C7&lt;1,"",(AVERAGEIFS('09월 에너지'!G$14:G$949,'09월 에너지'!$A$14:$A$949,$A7,'09월 에너지'!$C$14:$C$949,$B7)))</f>
        <v/>
      </c>
      <c r="BY7" s="835" t="str">
        <f>IF($C7&lt;1,"",(AVERAGEIFS('09월 에너지'!H$14:H$949,'09월 에너지'!$A$14:$A$949,$A7,'09월 에너지'!$C$14:$C$949,$B7)))</f>
        <v/>
      </c>
      <c r="BZ7" s="831" t="str">
        <f>IF($C7&lt;1,"",(AVERAGEIFS('09월 에너지'!I$14:I$949,'09월 에너지'!$A$14:$A$949,$A7,'09월 에너지'!$C$14:$C$949,$B7)))</f>
        <v/>
      </c>
      <c r="CA7" s="835" t="str">
        <f>IF($C7&lt;1,"",(AVERAGEIFS('09월 에너지'!J$14:J$949,'09월 에너지'!$A$14:$A$949,$A7,'09월 에너지'!$C$14:$C$949,$B7)))</f>
        <v/>
      </c>
      <c r="CB7" s="831" t="str">
        <f>IF($C7&lt;1,"",(AVERAGEIFS('09월 에너지'!K$14:K$949,'09월 에너지'!$A$14:$A$949,$A7,'09월 에너지'!$C$14:$C$949,$B7)))</f>
        <v/>
      </c>
      <c r="CC7" s="835" t="str">
        <f>IF($C7&lt;1,"",(AVERAGEIFS('09월 에너지'!L$14:L$949,'09월 에너지'!$A$14:$A$949,$A7,'09월 에너지'!$C$14:$C$949,$B7)))</f>
        <v/>
      </c>
      <c r="CD7" s="831" t="str">
        <f>IF($C7&lt;1,"",(AVERAGEIFS('09월 에너지'!M$14:M$949,'09월 에너지'!$A$14:$A$949,$A7,'09월 에너지'!$C$14:$C$949,$B7)))</f>
        <v/>
      </c>
      <c r="CE7" s="835" t="str">
        <f>IF($C7&lt;1,"",(AVERAGEIFS('09월 에너지'!N$14:N$949,'09월 에너지'!$A$14:$A$949,$A7,'09월 에너지'!$C$14:$C$949,$B7)))</f>
        <v/>
      </c>
      <c r="CF7" s="831" t="str">
        <f>IF($C7&lt;1,"",(AVERAGEIFS('09월 에너지'!O$14:O$949,'09월 에너지'!$A$14:$A$949,$A7,'09월 에너지'!$C$14:$C$949,$B7)))</f>
        <v/>
      </c>
      <c r="CG7" s="831" t="str">
        <f>IF($C7&lt;1,"",(AVERAGEIFS('09월 에너지'!P$14:P$949,'09월 에너지'!$A$14:$A$949,$A7,'09월 에너지'!$C$14:$C$949,$B7)))</f>
        <v/>
      </c>
      <c r="CH7" s="831" t="str">
        <f>IF($C7&lt;1,"",(AVERAGEIFS('09월 에너지'!Q$14:Q$949,'09월 에너지'!$A$14:$A$949,$A7,'09월 에너지'!$C$14:$C$949,$B7)))</f>
        <v/>
      </c>
      <c r="CI7" s="831" t="str">
        <f>IF($C7&lt;1,"",(AVERAGEIFS('09월 에너지'!R$14:R$949,'09월 에너지'!$A$14:$A$949,$A7,'09월 에너지'!$C$14:$C$949,$B7)))</f>
        <v/>
      </c>
      <c r="CJ7" s="831" t="str">
        <f>IF($C7&lt;1,"",(AVERAGEIFS('09월 에너지'!S$14:S$949,'09월 에너지'!$A$14:$A$949,$A7,'09월 에너지'!$C$14:$C$949,$B7)))</f>
        <v/>
      </c>
      <c r="CK7" s="831" t="str">
        <f>IF($C7&lt;1,"",(AVERAGEIFS('09월 에너지'!T$14:T$949,'09월 에너지'!$A$14:$A$949,$A7,'09월 에너지'!$C$14:$C$949,$B7)))</f>
        <v/>
      </c>
      <c r="CL7" s="831" t="str">
        <f>IF($C7&lt;1,"",(AVERAGEIFS('09월 에너지'!U$14:U$949,'09월 에너지'!$A$14:$A$949,$A7,'09월 에너지'!$C$14:$C$949,$B7)))</f>
        <v/>
      </c>
      <c r="CM7" s="835" t="str">
        <f>IF($C7&lt;1,"",(AVERAGEIFS('09월 에너지'!V$14:V$949,'09월 에너지'!$A$14:$A$949,$A7,'09월 에너지'!$C$14:$C$949,$B7)))</f>
        <v/>
      </c>
      <c r="CN7" s="835" t="str">
        <f>IF($C7&lt;1,"",(AVERAGEIFS('09월 에너지'!W$14:W$949,'09월 에너지'!$A$14:$A$949,$A7,'09월 에너지'!$C$14:$C$949,$B7)))</f>
        <v/>
      </c>
      <c r="CO7" s="831" t="str">
        <f>IF($C7&lt;1,"",(AVERAGEIFS('09월 에너지'!X$14:X$949,'09월 에너지'!$A$14:$A$949,$A7,'09월 에너지'!$C$14:$C$949,$B7)))</f>
        <v/>
      </c>
      <c r="CP7" s="835" t="str">
        <f>IF($C7&lt;1,"",(AVERAGEIFS('09월 에너지'!Y$14:Y$949,'09월 에너지'!$A$14:$A$949,$A7,'09월 에너지'!$C$14:$C$949,$B7)))</f>
        <v/>
      </c>
      <c r="CQ7" s="835" t="str">
        <f>IF($C7&lt;1,"",(AVERAGEIFS('09월 에너지'!Z$14:Z$949,'09월 에너지'!$A$14:$A$949,$A7,'09월 에너지'!$C$14:$C$949,$B7)))</f>
        <v/>
      </c>
      <c r="CR7" s="835" t="str">
        <f>IF($C7&lt;1,"",(AVERAGEIFS('09월 에너지'!AA$14:AA$949,'09월 에너지'!$A$14:$A$949,$A7,'09월 에너지'!$C$14:$C$949,$B7)))</f>
        <v/>
      </c>
      <c r="CS7" s="835" t="str">
        <f>IF($C7&lt;1,"",(AVERAGEIFS('09월 에너지'!AB$14:AB$949,'09월 에너지'!$A$14:$A$949,$A7,'09월 에너지'!$C$14:$C$949,$B7)))</f>
        <v/>
      </c>
      <c r="CT7" s="831" t="str">
        <f>IF($C7&lt;1,"",(AVERAGEIFS('09월 에너지'!AC$14:AC$949,'09월 에너지'!$A$14:$A$949,$A7,'09월 에너지'!$C$14:$C$949,$B7)))</f>
        <v/>
      </c>
      <c r="CU7" s="836" t="str">
        <f>IF($C7&lt;1,"",(AVERAGEIFS('09월 에너지'!AD$14:AD$949,'09월 에너지'!$A$14:$A$949,$A7,'09월 에너지'!$C$14:$C$949,$B7)))</f>
        <v/>
      </c>
      <c r="CV7" s="837" t="str">
        <f>IF($C7&lt;1,"",(AVERAGEIFS('09월 에너지'!AE$14:AE$949,'09월 에너지'!$A$14:$A$949,$A7,'09월 에너지'!$C$14:$C$949,$B7)))</f>
        <v/>
      </c>
      <c r="CW7" s="831" t="str">
        <f>IF($C7&lt;1,"",(AVERAGEIFS('09월 에너지'!AF$14:AF$949,'09월 에너지'!$A$14:$A$949,$A7,'09월 에너지'!$C$14:$C$949,$B7)))</f>
        <v/>
      </c>
      <c r="CX7" s="831" t="str">
        <f>IF($C7&lt;1,"",(AVERAGEIFS('09월 에너지'!AG$14:AG$949,'09월 에너지'!$A$14:$A$949,$A7,'09월 에너지'!$C$14:$C$949,$B7)))</f>
        <v/>
      </c>
      <c r="CY7" s="831" t="str">
        <f>IF($C7&lt;1,"",(AVERAGEIFS('09월 에너지'!AH$14:AH$949,'09월 에너지'!$A$14:$A$949,$A7,'09월 에너지'!$C$14:$C$949,$B7)))</f>
        <v/>
      </c>
      <c r="CZ7" s="831" t="str">
        <f>IF($C7&lt;1,"",(AVERAGEIFS('09월 에너지'!AI$14:AI$949,'09월 에너지'!$A$14:$A$949,$A7,'09월 에너지'!$C$14:$C$949,$B7)))</f>
        <v/>
      </c>
      <c r="DA7" s="838" t="str">
        <f>IF($C7&lt;1,"",(AVERAGEIFS('09월 에너지'!AJ$14:AJ$949,'09월 에너지'!$A$14:$A$949,$A7,'09월 에너지'!$C$14:$C$949,$B7)))</f>
        <v/>
      </c>
    </row>
    <row r="8" spans="1:105" ht="13.5" customHeight="1">
      <c r="A8" s="821">
        <f>A6</f>
        <v>44927</v>
      </c>
      <c r="B8" s="822" t="s">
        <v>204</v>
      </c>
      <c r="C8" s="823">
        <f>COUNTIFS('09월 조업일지'!$A$12:$A$952,A6,'09월 조업일지'!$E$12:$E$952,B8)</f>
        <v>0</v>
      </c>
      <c r="D8" s="824" t="str">
        <f t="shared" ref="D8:D10" si="1">IF(C8&lt;1,"",F8-E8)</f>
        <v/>
      </c>
      <c r="E8" s="824" t="str">
        <f>IF($C8&lt;1,"",(SUMIFS('09월 조업일지'!$K$12:$K$952,'09월 조업일지'!$A$12:$A$952,$A8,'09월 조업일지'!$E$12:$E$952,$B8)/$C8))</f>
        <v/>
      </c>
      <c r="F8" s="824" t="str">
        <f>IF($C8&lt;1,"",(AVERAGEIFS('09월 조업일지'!$J$12:$J$952,'09월 조업일지'!$A$12:$A$952,$A8,'09월 조업일지'!$E$12:$E$952,$B8)))</f>
        <v/>
      </c>
      <c r="G8" s="825" t="str">
        <f>IF($C8&lt;1,"",(AVERAGEIFS('09월 에너지'!$M$14:$M$949,'09월 에너지'!$A$14:$A$949,$A8,'09월 에너지'!$C$14:$C$949,$B8)))</f>
        <v/>
      </c>
      <c r="H8" s="826" t="str">
        <f>IF($C8&lt;1,"",(AVERAGEIFS('09월 조업일지'!$AJ$12:$AJ$952,'09월 조업일지'!$A$12:$A$952,$A8,'09월 조업일지'!$E$12:$E$952,$B8)))</f>
        <v/>
      </c>
      <c r="I8" s="826" t="str">
        <f>IF($C8&lt;1,"",(AVERAGEIFS('09월 조업일지'!$AL$12:$AL$952,'09월 조업일지'!$A$12:$A$952,$A8,'09월 조업일지'!$E$12:$E$952,$B8)))</f>
        <v/>
      </c>
      <c r="J8" s="827" t="str">
        <f>IF($C8&lt;1,"",(AVERAGEIFS('09월 화학성분'!G$12:G$949,'09월 화학성분'!$A$12:$A$949,$A8,'09월 화학성분'!$D$12:$D$949,$B8)))</f>
        <v/>
      </c>
      <c r="K8" s="827" t="str">
        <f>IF($C8&lt;1,"",(AVERAGEIFS('09월 화학성분'!H$12:H$949,'09월 화학성분'!$A$12:$A$949,$A8,'09월 화학성분'!$D$12:$D$949,$B8)))</f>
        <v/>
      </c>
      <c r="L8" s="827" t="str">
        <f>IF($C8&lt;1,"",(AVERAGEIFS('09월 화학성분'!I$12:I$949,'09월 화학성분'!$A$12:$A$949,$A8,'09월 화학성분'!$D$12:$D$949,$B8)))</f>
        <v/>
      </c>
      <c r="M8" s="827" t="str">
        <f>IF($C8&lt;1,"",(AVERAGEIFS('09월 화학성분'!J$12:J$949,'09월 화학성분'!$A$12:$A$949,$A8,'09월 화학성분'!$D$12:$D$949,$B8)))</f>
        <v/>
      </c>
      <c r="N8" s="827" t="str">
        <f>IF($C8&lt;1,"",(AVERAGEIFS('09월 화학성분'!K$12:K$949,'09월 화학성분'!$A$12:$A$949,$A8,'09월 화학성분'!$D$12:$D$949,$B8)))</f>
        <v/>
      </c>
      <c r="O8" s="827" t="str">
        <f>IF($C8&lt;1,"",(AVERAGEIFS('09월 화학성분'!L$12:L$949,'09월 화학성분'!$A$12:$A$949,$A8,'09월 화학성분'!$D$12:$D$949,$B8)))</f>
        <v/>
      </c>
      <c r="P8" s="827" t="str">
        <f>IF($C8&lt;1,"",(AVERAGEIFS('09월 화학성분'!M$12:M$949,'09월 화학성분'!$A$12:$A$949,$A8,'09월 화학성분'!$D$12:$D$949,$B8)))</f>
        <v/>
      </c>
      <c r="Q8" s="827" t="str">
        <f>IFERROR(IF($C8&lt;1,"",(AVERAGEIFS('09월 조업일지'!$AA$12:$AA$952,'09월 조업일지'!$A$12:$A$952,$A8,'09월 조업일지'!$E$12:$E$952,$B8))),"")</f>
        <v/>
      </c>
      <c r="R8" s="827" t="str">
        <f>IF($C8&lt;1,"",(AVERAGEIFS('09월 조업일지'!$AK$12:$AK$952,'09월 조업일지'!$A$12:$A$952,$A8,'09월 조업일지'!$E$12:$E$952,$B8)))</f>
        <v/>
      </c>
      <c r="S8" s="827"/>
      <c r="T8" s="827"/>
      <c r="U8" s="827" t="str">
        <f>IF($C8&lt;1,"",(AVERAGEIFS('09월 화학성분'!$G$12:$G$949,'09월 화학성분'!$A$12:$A$949,$A8,'09월 화학성분'!$D$12:$D$949,$B8)))</f>
        <v/>
      </c>
      <c r="V8" s="827" t="str">
        <f>IF($C8&lt;1,"",(AVERAGEIFS('09월 조업일지'!$AI$12:$AI$952,'09월 조업일지'!$A$12:$A$952,$A8,'09월 조업일지'!$E$12:$E$952,$B8)))</f>
        <v/>
      </c>
      <c r="W8" s="828" t="str">
        <f>IF($C8&lt;1,"",(AVERAGEIFS('09월 화학성분'!$AM$12:$AM$949,'09월 화학성분'!$A$12:$A$949,$A8,'09월 화학성분'!$D$12:$D$949,$B8)))</f>
        <v/>
      </c>
      <c r="X8" s="829" t="str">
        <f>IF($C8&lt;1,"",(AVERAGEIFS('09월 화학성분'!N$12:N$949,'09월 화학성분'!$A$12:$A$949,$A8,'09월 화학성분'!$D$12:$D$949,$B8)))</f>
        <v/>
      </c>
      <c r="Y8" s="829" t="str">
        <f>IF($C8&lt;1,"",(AVERAGEIFS('09월 화학성분'!O$12:O$949,'09월 화학성분'!$A$12:$A$949,$A8,'09월 화학성분'!$D$12:$D$949,$B8)))</f>
        <v/>
      </c>
      <c r="Z8" s="829" t="str">
        <f>IF($C8&lt;1,"",(AVERAGEIFS('09월 화학성분'!P$12:P$949,'09월 화학성분'!$A$12:$A$949,$A8,'09월 화학성분'!$D$12:$D$949,$B8)))</f>
        <v/>
      </c>
      <c r="AA8" s="829" t="str">
        <f>IF($C8&lt;1,"",(AVERAGEIFS('09월 화학성분'!Q$12:Q$949,'09월 화학성분'!$A$12:$A$949,$A8,'09월 화학성분'!$D$12:$D$949,$B8)))</f>
        <v/>
      </c>
      <c r="AB8" s="829" t="str">
        <f>IF($C8&lt;1,"",(AVERAGEIFS('09월 화학성분'!R$12:R$949,'09월 화학성분'!$A$12:$A$949,$A8,'09월 화학성분'!$D$12:$D$949,$B8)))</f>
        <v/>
      </c>
      <c r="AC8" s="829" t="str">
        <f>IF($C8&lt;1,"",(AVERAGEIFS('09월 화학성분'!U$12:U$949,'09월 화학성분'!$A$12:$A$949,$A8,'09월 화학성분'!$D$12:$D$949,$B8)))</f>
        <v/>
      </c>
      <c r="AD8" s="829" t="str">
        <f>IF($C8&lt;1,"",(AVERAGEIFS('09월 화학성분'!V$12:V$949,'09월 화학성분'!$A$12:$A$949,$A8,'09월 화학성분'!$D$12:$D$949,$B8)))</f>
        <v/>
      </c>
      <c r="AE8" s="829" t="str">
        <f>IF($C8&lt;1,"",(AVERAGEIFS('09월 화학성분'!W$12:W$949,'09월 화학성분'!$A$12:$A$949,$A8,'09월 화학성분'!$D$12:$D$949,$B8)))</f>
        <v/>
      </c>
      <c r="AF8" s="829" t="str">
        <f>IF($C8&lt;1,"",(AVERAGEIFS('09월 화학성분'!AA$12:AA$949,'09월 화학성분'!$A$12:$A$949,$A8,'09월 화학성분'!$D$12:$D$949,$B8)))</f>
        <v/>
      </c>
      <c r="AG8" s="829" t="str">
        <f>IF($C8&lt;1,"",(AVERAGEIFS('09월 화학성분'!#REF!,'09월 화학성분'!$A$12:$A$949,$A8,'09월 화학성분'!$D$12:$D$949,$B8)))</f>
        <v/>
      </c>
      <c r="AH8" s="829" t="str">
        <f>IF($C8&lt;1,"",(AVERAGEIFS('09월 화학성분'!AB$12:AB$949,'09월 화학성분'!$A$12:$A$949,$A8,'09월 화학성분'!$D$12:$D$949,$B8)))</f>
        <v/>
      </c>
      <c r="AI8" s="829" t="str">
        <f>IF($C8&lt;1,"",(AVERAGEIFS('09월 화학성분'!AC$12:AC$949,'09월 화학성분'!$A$12:$A$949,$A8,'09월 화학성분'!$D$12:$D$949,$B8)))</f>
        <v/>
      </c>
      <c r="AJ8" s="829" t="str">
        <f>IF($C8&lt;1,"",(AVERAGEIFS('09월 화학성분'!AD$12:AD$949,'09월 화학성분'!$A$12:$A$949,$A8,'09월 화학성분'!$D$12:$D$949,$B8)))</f>
        <v/>
      </c>
      <c r="AK8" s="829" t="str">
        <f>IF($C8&lt;1,"",(AVERAGEIFS('09월 화학성분'!AF$12:AF$949,'09월 화학성분'!$A$12:$A$949,$A8,'09월 화학성분'!$D$12:$D$949,$B8)))</f>
        <v/>
      </c>
      <c r="AL8" s="829" t="str">
        <f>IF($C8&lt;1,"",(AVERAGEIFS('09월 화학성분'!AG$12:AG$949,'09월 화학성분'!$A$12:$A$949,$A8,'09월 화학성분'!$D$12:$D$949,$B8)))</f>
        <v/>
      </c>
      <c r="AM8" s="829" t="str">
        <f>IF($C8&lt;1,"",(AVERAGEIFS('09월 화학성분'!AH$12:AH$949,'09월 화학성분'!$A$12:$A$949,$A8,'09월 화학성분'!$D$12:$D$949,$B8)))</f>
        <v/>
      </c>
      <c r="AN8" s="829" t="str">
        <f>IF($C8&lt;1,"",(AVERAGEIFS('09월 화학성분'!AI$12:AI$949,'09월 화학성분'!$A$12:$A$949,$A8,'09월 화학성분'!$D$12:$D$949,$B8)))</f>
        <v/>
      </c>
      <c r="AO8" s="829" t="str">
        <f>IF($C8&lt;1,"",(AVERAGEIFS('09월 화학성분'!AJ$12:AJ$949,'09월 화학성분'!$A$12:$A$949,$A8,'09월 화학성분'!$D$12:$D$949,$B8)))</f>
        <v/>
      </c>
      <c r="AP8" s="829" t="str">
        <f>IF($C8&lt;1,"",(AVERAGEIFS('09월 화학성분'!#REF!,'09월 화학성분'!$A$12:$A$949,$A8,'09월 화학성분'!$D$12:$D$949,$B8)))</f>
        <v/>
      </c>
      <c r="AQ8" s="829" t="str">
        <f>IF($C8&lt;1,"",(AVERAGEIFS('09월 화학성분'!AL$12:AL$949,'09월 화학성분'!$A$12:$A$949,$A8,'09월 화학성분'!$D$12:$D$949,$B8)))</f>
        <v/>
      </c>
      <c r="AR8" s="829" t="str">
        <f>IF($C8&lt;1,"",(AVERAGEIFS('09월 화학성분'!AM$12:AM$949,'09월 화학성분'!$A$12:$A$949,$A8,'09월 화학성분'!$D$12:$D$949,$B8)))</f>
        <v/>
      </c>
      <c r="AS8" s="830" t="str">
        <f>IF($C8&lt;1,"",(AVERAGEIFS('09월 화학성분'!AN$12:AN$949,'09월 화학성분'!$A$12:$A$949,$A8,'09월 화학성분'!$D$12:$D$949,$B8)))</f>
        <v/>
      </c>
      <c r="AT8" s="830" t="str">
        <f>IF($C8&lt;1,"",(AVERAGEIFS('09월 화학성분'!AO$12:AO$949,'09월 화학성분'!$A$12:$A$949,$A8,'09월 화학성분'!$D$12:$D$949,$B8)))</f>
        <v/>
      </c>
      <c r="AU8" s="831" t="str">
        <f>IF($C8&lt;1,"",(AVERAGEIFS('09월 화학성분'!AP$12:AP$949,'09월 화학성분'!$A$12:$A$949,$A8,'09월 화학성분'!$D$12:$D$949,$B8)))</f>
        <v/>
      </c>
      <c r="AV8" s="832" t="str">
        <f>IF($C8&lt;1,"",(AVERAGEIFS('09월 고철장입'!G$14:G$949,'09월 고철장입'!$A$14:$A$949,$A8,'09월 고철장입'!$C$14:$C$949,$B8))/1000)</f>
        <v/>
      </c>
      <c r="AW8" s="832" t="str">
        <f>IF($C8&lt;1,"",(AVERAGEIFS('09월 고철장입'!H$14:H$949,'09월 고철장입'!$A$14:$A$949,$A8,'09월 고철장입'!$C$14:$C$949,$B8))/1000)</f>
        <v/>
      </c>
      <c r="AX8" s="832" t="str">
        <f>IF($C8&lt;1,"",(AVERAGEIFS('09월 고철장입'!I$14:I$949,'09월 고철장입'!$A$14:$A$949,$A8,'09월 고철장입'!$C$14:$C$949,$B8))/1000)</f>
        <v/>
      </c>
      <c r="AY8" s="832" t="str">
        <f>IF($C8&lt;1,"",(AVERAGEIFS('09월 고철장입'!J$14:J$949,'09월 고철장입'!$A$14:$A$949,$A8,'09월 고철장입'!$C$14:$C$949,$B8))/1000)</f>
        <v/>
      </c>
      <c r="AZ8" s="832" t="str">
        <f>IF($C8&lt;1,"",(AVERAGEIFS('09월 고철장입'!K$14:K$949,'09월 고철장입'!$A$14:$A$949,$A8,'09월 고철장입'!$C$14:$C$949,$B8))/1000)</f>
        <v/>
      </c>
      <c r="BA8" s="832" t="str">
        <f>IF($C8&lt;1,"",(AVERAGEIFS('09월 고철장입'!L$14:L$949,'09월 고철장입'!$A$14:$A$949,$A8,'09월 고철장입'!$C$14:$C$949,$B8))/1000)</f>
        <v/>
      </c>
      <c r="BB8" s="832" t="str">
        <f>IF($C8&lt;1,"",(AVERAGEIFS('09월 고철장입'!M$14:M$949,'09월 고철장입'!$A$14:$A$949,$A8,'09월 고철장입'!$C$14:$C$949,$B8))/1000)</f>
        <v/>
      </c>
      <c r="BC8" s="832" t="str">
        <f>IF($C8&lt;1,"",(AVERAGEIFS('09월 고철장입'!N$14:N$949,'09월 고철장입'!$A$14:$A$949,$A8,'09월 고철장입'!$C$14:$C$949,$B8))/1000)</f>
        <v/>
      </c>
      <c r="BD8" s="832" t="str">
        <f>IF($C8&lt;1,"",(AVERAGEIFS('09월 고철장입'!O$14:O$949,'09월 고철장입'!$A$14:$A$949,$A8,'09월 고철장입'!$C$14:$C$949,$B8))/1000)</f>
        <v/>
      </c>
      <c r="BE8" s="833" t="str">
        <f>IF($C8&lt;1,"",(AVERAGEIFS('09월 고철장입'!P$14:P$949,'09월 고철장입'!$A$14:$A$949,$A8,'09월 고철장입'!$C$14:$C$949,$B8))/1000)</f>
        <v/>
      </c>
      <c r="BF8" s="833" t="str">
        <f>IF($C8&lt;1,"",(AVERAGEIFS('09월 고철장입'!Q$14:Q$949,'09월 고철장입'!$A$14:$A$949,$A8,'09월 고철장입'!$C$14:$C$949,$B8))/1000)</f>
        <v/>
      </c>
      <c r="BG8" s="833" t="str">
        <f>IF($C8&lt;1,"",(AVERAGEIFS('09월 고철장입'!S$14:S$949,'09월 고철장입'!$A$14:$A$949,$A8,'09월 고철장입'!$C$14:$C$949,$B8))/1000)</f>
        <v/>
      </c>
      <c r="BH8" s="833" t="str">
        <f>IF($C8&lt;1,"",(AVERAGEIFS('09월 고철장입'!T$14:T$949,'09월 고철장입'!$A$14:$A$949,$A8,'09월 고철장입'!$C$14:$C$949,$B8))/1000)</f>
        <v/>
      </c>
      <c r="BI8" s="833" t="str">
        <f>IF($C8&lt;1,"",(AVERAGEIFS('09월 고철장입'!U$14:U$949,'09월 고철장입'!$A$14:$A$949,$A8,'09월 고철장입'!$C$14:$C$949,$B8))/1000)</f>
        <v/>
      </c>
      <c r="BJ8" s="833" t="str">
        <f>IF($C8&lt;1,"",(AVERAGEIFS('09월 고철장입'!V$14:V$949,'09월 고철장입'!$A$14:$A$949,$A8,'09월 고철장입'!$C$14:$C$949,$B8))/1000)</f>
        <v/>
      </c>
      <c r="BK8" s="833" t="str">
        <f>IF($C8&lt;1,"",(AVERAGEIFS('09월 고철장입'!W$14:W$949,'09월 고철장입'!$A$14:$A$949,$A8,'09월 고철장입'!$C$14:$C$949,$B8))/1000)</f>
        <v/>
      </c>
      <c r="BL8" s="833" t="str">
        <f>IF($C8&lt;1,"",(AVERAGEIFS('09월 고철장입'!Y$14:Y$949,'09월 고철장입'!$A$14:$A$949,$A8,'09월 고철장입'!$C$14:$C$949,$B8))/1000)</f>
        <v/>
      </c>
      <c r="BM8" s="833" t="str">
        <f>IF($C8&lt;1,"",(AVERAGEIFS('09월 고철장입'!AB$14:AB$949,'09월 고철장입'!$A$14:$A$949,$A8,'09월 고철장입'!$C$14:$C$949,$B8))/1000)</f>
        <v/>
      </c>
      <c r="BN8" s="833" t="str">
        <f>IF($C8&lt;1,"",(AVERAGEIFS('09월 고철장입'!AC$14:AC$949,'09월 고철장입'!$A$14:$A$949,$A8,'09월 고철장입'!$C$14:$C$949,$B8))/1000)</f>
        <v/>
      </c>
      <c r="BO8" s="833" t="str">
        <f>IF($C8&lt;1,"",(AVERAGEIFS('09월 고철장입'!AD$14:AD$949,'09월 고철장입'!$A$14:$A$949,$A8,'09월 고철장입'!$C$14:$C$949,$B8))/1000)</f>
        <v/>
      </c>
      <c r="BP8" s="833" t="str">
        <f>IF($C8&lt;1,"",(AVERAGEIFS('09월 고철장입'!AE$14:AE$949,'09월 고철장입'!$A$14:$A$949,$A8,'09월 고철장입'!$C$14:$C$949,$B8))/1000)</f>
        <v/>
      </c>
      <c r="BQ8" s="832" t="str">
        <f>IF($C8&lt;1,"",(AVERAGEIFS('09월 고철장입'!AF$14:AF$949,'09월 고철장입'!$A$14:$A$949,$A8,'09월 고철장입'!$C$14:$C$949,$B8))/1000)</f>
        <v/>
      </c>
      <c r="BR8" s="832" t="str">
        <f>IF($C8&lt;1,"",(AVERAGEIFS('09월 고철장입'!AG$14:AG$949,'09월 고철장입'!$A$14:$A$949,$A8,'09월 고철장입'!$C$14:$C$949,$B8))/1000)</f>
        <v/>
      </c>
      <c r="BS8" s="832" t="str">
        <f>IF($C8&lt;1,"",(AVERAGEIFS('09월 고철장입'!AH$14:AH$949,'09월 고철장입'!$A$14:$A$949,$A8,'09월 고철장입'!$C$14:$C$949,$B8))/1000)</f>
        <v/>
      </c>
      <c r="BT8" s="832" t="str">
        <f>IF($C8&lt;1,"",(AVERAGEIFS('09월 고철장입'!AI$14:AI$949,'09월 고철장입'!$A$14:$A$949,$A8,'09월 고철장입'!$C$14:$C$949,$B8))/1000)</f>
        <v/>
      </c>
      <c r="BU8" s="834" t="str">
        <f>IF($C8&lt;1,"",(AVERAGEIFS('09월 고철장입'!AJ$14:AJ$949,'09월 고철장입'!$A$14:$A$949,$A8,'09월 고철장입'!$C$14:$C$949,$B8))/1000)</f>
        <v/>
      </c>
      <c r="BV8" s="834" t="str">
        <f>IF($C8&lt;1,"",(AVERAGEIFS('09월 고철장입'!AK$14:AK$949,'09월 고철장입'!$A$14:$A$949,$A8,'09월 고철장입'!$C$14:$C$949,$B8)))</f>
        <v/>
      </c>
      <c r="BW8" s="834" t="str">
        <f>IF($C8&lt;1,"",(AVERAGEIFS('09월 고철장입'!AL$14:AL$949,'09월 고철장입'!$A$14:$A$949,$A8,'09월 고철장입'!$C$14:$C$949,$B8))*100)</f>
        <v/>
      </c>
      <c r="BX8" s="831" t="str">
        <f>IF($C8&lt;1,"",(AVERAGEIFS('09월 에너지'!G$14:G$949,'09월 에너지'!$A$14:$A$949,$A8,'09월 에너지'!$C$14:$C$949,$B8)))</f>
        <v/>
      </c>
      <c r="BY8" s="835" t="str">
        <f>IF($C8&lt;1,"",(AVERAGEIFS('09월 에너지'!H$14:H$949,'09월 에너지'!$A$14:$A$949,$A8,'09월 에너지'!$C$14:$C$949,$B8)))</f>
        <v/>
      </c>
      <c r="BZ8" s="831" t="str">
        <f>IF($C8&lt;1,"",(AVERAGEIFS('09월 에너지'!I$14:I$949,'09월 에너지'!$A$14:$A$949,$A8,'09월 에너지'!$C$14:$C$949,$B8)))</f>
        <v/>
      </c>
      <c r="CA8" s="835" t="str">
        <f>IF($C8&lt;1,"",(AVERAGEIFS('09월 에너지'!J$14:J$949,'09월 에너지'!$A$14:$A$949,$A8,'09월 에너지'!$C$14:$C$949,$B8)))</f>
        <v/>
      </c>
      <c r="CB8" s="831" t="str">
        <f>IF($C8&lt;1,"",(AVERAGEIFS('09월 에너지'!K$14:K$949,'09월 에너지'!$A$14:$A$949,$A8,'09월 에너지'!$C$14:$C$949,$B8)))</f>
        <v/>
      </c>
      <c r="CC8" s="835" t="str">
        <f>IF($C8&lt;1,"",(AVERAGEIFS('09월 에너지'!L$14:L$949,'09월 에너지'!$A$14:$A$949,$A8,'09월 에너지'!$C$14:$C$949,$B8)))</f>
        <v/>
      </c>
      <c r="CD8" s="831" t="str">
        <f>IF($C8&lt;1,"",(AVERAGEIFS('09월 에너지'!M$14:M$949,'09월 에너지'!$A$14:$A$949,$A8,'09월 에너지'!$C$14:$C$949,$B8)))</f>
        <v/>
      </c>
      <c r="CE8" s="835" t="str">
        <f>IF($C8&lt;1,"",(AVERAGEIFS('09월 에너지'!N$14:N$949,'09월 에너지'!$A$14:$A$949,$A8,'09월 에너지'!$C$14:$C$949,$B8)))</f>
        <v/>
      </c>
      <c r="CF8" s="831" t="str">
        <f>IF($C8&lt;1,"",(AVERAGEIFS('09월 에너지'!O$14:O$949,'09월 에너지'!$A$14:$A$949,$A8,'09월 에너지'!$C$14:$C$949,$B8)))</f>
        <v/>
      </c>
      <c r="CG8" s="831" t="str">
        <f>IF($C8&lt;1,"",(AVERAGEIFS('09월 에너지'!P$14:P$949,'09월 에너지'!$A$14:$A$949,$A8,'09월 에너지'!$C$14:$C$949,$B8)))</f>
        <v/>
      </c>
      <c r="CH8" s="831" t="str">
        <f>IF($C8&lt;1,"",(AVERAGEIFS('09월 에너지'!Q$14:Q$949,'09월 에너지'!$A$14:$A$949,$A8,'09월 에너지'!$C$14:$C$949,$B8)))</f>
        <v/>
      </c>
      <c r="CI8" s="831" t="str">
        <f>IF($C8&lt;1,"",(AVERAGEIFS('09월 에너지'!R$14:R$949,'09월 에너지'!$A$14:$A$949,$A8,'09월 에너지'!$C$14:$C$949,$B8)))</f>
        <v/>
      </c>
      <c r="CJ8" s="831" t="str">
        <f>IF($C8&lt;1,"",(AVERAGEIFS('09월 에너지'!S$14:S$949,'09월 에너지'!$A$14:$A$949,$A8,'09월 에너지'!$C$14:$C$949,$B8)))</f>
        <v/>
      </c>
      <c r="CK8" s="831" t="str">
        <f>IF($C8&lt;1,"",(AVERAGEIFS('09월 에너지'!T$14:T$949,'09월 에너지'!$A$14:$A$949,$A8,'09월 에너지'!$C$14:$C$949,$B8)))</f>
        <v/>
      </c>
      <c r="CL8" s="831" t="str">
        <f>IF($C8&lt;1,"",(AVERAGEIFS('09월 에너지'!U$14:U$949,'09월 에너지'!$A$14:$A$949,$A8,'09월 에너지'!$C$14:$C$949,$B8)))</f>
        <v/>
      </c>
      <c r="CM8" s="835" t="str">
        <f>IF($C8&lt;1,"",(AVERAGEIFS('09월 에너지'!V$14:V$949,'09월 에너지'!$A$14:$A$949,$A8,'09월 에너지'!$C$14:$C$949,$B8)))</f>
        <v/>
      </c>
      <c r="CN8" s="835" t="str">
        <f>IF($C8&lt;1,"",(AVERAGEIFS('09월 에너지'!W$14:W$949,'09월 에너지'!$A$14:$A$949,$A8,'09월 에너지'!$C$14:$C$949,$B8)))</f>
        <v/>
      </c>
      <c r="CO8" s="831" t="str">
        <f>IF($C8&lt;1,"",(AVERAGEIFS('09월 에너지'!X$14:X$949,'09월 에너지'!$A$14:$A$949,$A8,'09월 에너지'!$C$14:$C$949,$B8)))</f>
        <v/>
      </c>
      <c r="CP8" s="835" t="str">
        <f>IF($C8&lt;1,"",(AVERAGEIFS('09월 에너지'!Y$14:Y$949,'09월 에너지'!$A$14:$A$949,$A8,'09월 에너지'!$C$14:$C$949,$B8)))</f>
        <v/>
      </c>
      <c r="CQ8" s="835" t="str">
        <f>IF($C8&lt;1,"",(AVERAGEIFS('09월 에너지'!Z$14:Z$949,'09월 에너지'!$A$14:$A$949,$A8,'09월 에너지'!$C$14:$C$949,$B8)))</f>
        <v/>
      </c>
      <c r="CR8" s="835" t="str">
        <f>IF($C8&lt;1,"",(AVERAGEIFS('09월 에너지'!AA$14:AA$949,'09월 에너지'!$A$14:$A$949,$A8,'09월 에너지'!$C$14:$C$949,$B8)))</f>
        <v/>
      </c>
      <c r="CS8" s="835" t="str">
        <f>IF($C8&lt;1,"",(AVERAGEIFS('09월 에너지'!AB$14:AB$949,'09월 에너지'!$A$14:$A$949,$A8,'09월 에너지'!$C$14:$C$949,$B8)))</f>
        <v/>
      </c>
      <c r="CT8" s="831" t="str">
        <f>IF($C8&lt;1,"",(AVERAGEIFS('09월 에너지'!AC$14:AC$949,'09월 에너지'!$A$14:$A$949,$A8,'09월 에너지'!$C$14:$C$949,$B8)))</f>
        <v/>
      </c>
      <c r="CU8" s="836" t="str">
        <f>IF($C8&lt;1,"",(AVERAGEIFS('09월 에너지'!AD$14:AD$949,'09월 에너지'!$A$14:$A$949,$A8,'09월 에너지'!$C$14:$C$949,$B8)))</f>
        <v/>
      </c>
      <c r="CV8" s="837" t="str">
        <f>IF($C8&lt;1,"",(AVERAGEIFS('09월 에너지'!AE$14:AE$949,'09월 에너지'!$A$14:$A$949,$A8,'09월 에너지'!$C$14:$C$949,$B8)))</f>
        <v/>
      </c>
      <c r="CW8" s="831" t="str">
        <f>IF($C8&lt;1,"",(AVERAGEIFS('09월 에너지'!AF$14:AF$949,'09월 에너지'!$A$14:$A$949,$A8,'09월 에너지'!$C$14:$C$949,$B8)))</f>
        <v/>
      </c>
      <c r="CX8" s="831" t="str">
        <f>IF($C8&lt;1,"",(AVERAGEIFS('09월 에너지'!AG$14:AG$949,'09월 에너지'!$A$14:$A$949,$A8,'09월 에너지'!$C$14:$C$949,$B8)))</f>
        <v/>
      </c>
      <c r="CY8" s="831" t="str">
        <f>IF($C8&lt;1,"",(AVERAGEIFS('09월 에너지'!AH$14:AH$949,'09월 에너지'!$A$14:$A$949,$A8,'09월 에너지'!$C$14:$C$949,$B8)))</f>
        <v/>
      </c>
      <c r="CZ8" s="831" t="str">
        <f>IF($C8&lt;1,"",(AVERAGEIFS('09월 에너지'!AI$14:AI$949,'09월 에너지'!$A$14:$A$949,$A8,'09월 에너지'!$C$14:$C$949,$B8)))</f>
        <v/>
      </c>
      <c r="DA8" s="838" t="str">
        <f>IF($C8&lt;1,"",(AVERAGEIFS('09월 에너지'!AJ$14:AJ$949,'09월 에너지'!$A$14:$A$949,$A8,'09월 에너지'!$C$14:$C$949,$B8)))</f>
        <v/>
      </c>
    </row>
    <row r="9" spans="1:105" ht="13.5" customHeight="1">
      <c r="A9" s="821">
        <f>A6</f>
        <v>44927</v>
      </c>
      <c r="B9" s="822" t="s">
        <v>205</v>
      </c>
      <c r="C9" s="823">
        <f>COUNTIFS('09월 조업일지'!$A$12:$A$952,A6,'09월 조업일지'!$E$12:$E$952,B9)</f>
        <v>0</v>
      </c>
      <c r="D9" s="824" t="str">
        <f t="shared" si="1"/>
        <v/>
      </c>
      <c r="E9" s="824" t="str">
        <f>IF($C9&lt;1,"",(SUMIFS('09월 조업일지'!$K$12:$K$952,'09월 조업일지'!$A$12:$A$952,$A9,'09월 조업일지'!$E$12:$E$952,$B9)/$C9))</f>
        <v/>
      </c>
      <c r="F9" s="824" t="str">
        <f>IF($C9&lt;1,"",(AVERAGEIFS('09월 조업일지'!$J$12:$J$952,'09월 조업일지'!$A$12:$A$952,$A9,'09월 조업일지'!$E$12:$E$952,$B9)))</f>
        <v/>
      </c>
      <c r="G9" s="825" t="str">
        <f>IF($C9&lt;1,"",(AVERAGEIFS('09월 에너지'!$M$14:$M$949,'09월 에너지'!$A$14:$A$949,$A9,'09월 에너지'!$C$14:$C$949,$B9)))</f>
        <v/>
      </c>
      <c r="H9" s="826" t="str">
        <f>IF($C9&lt;1,"",(AVERAGEIFS('09월 조업일지'!$AJ$12:$AJ$952,'09월 조업일지'!$A$12:$A$952,$A9,'09월 조업일지'!$E$12:$E$952,$B9)))</f>
        <v/>
      </c>
      <c r="I9" s="826" t="str">
        <f>IF($C9&lt;1,"",(AVERAGEIFS('09월 조업일지'!$AL$12:$AL$952,'09월 조업일지'!$A$12:$A$952,$A9,'09월 조업일지'!$E$12:$E$952,$B9)))</f>
        <v/>
      </c>
      <c r="J9" s="827" t="str">
        <f>IF($C9&lt;1,"",(AVERAGEIFS('09월 화학성분'!G$12:G$949,'09월 화학성분'!$A$12:$A$949,$A9,'09월 화학성분'!$D$12:$D$949,$B9)))</f>
        <v/>
      </c>
      <c r="K9" s="827" t="str">
        <f>IF($C9&lt;1,"",(AVERAGEIFS('09월 화학성분'!H$12:H$949,'09월 화학성분'!$A$12:$A$949,$A9,'09월 화학성분'!$D$12:$D$949,$B9)))</f>
        <v/>
      </c>
      <c r="L9" s="827" t="str">
        <f>IF($C9&lt;1,"",(AVERAGEIFS('09월 화학성분'!I$12:I$949,'09월 화학성분'!$A$12:$A$949,$A9,'09월 화학성분'!$D$12:$D$949,$B9)))</f>
        <v/>
      </c>
      <c r="M9" s="827" t="str">
        <f>IF($C9&lt;1,"",(AVERAGEIFS('09월 화학성분'!J$12:J$949,'09월 화학성분'!$A$12:$A$949,$A9,'09월 화학성분'!$D$12:$D$949,$B9)))</f>
        <v/>
      </c>
      <c r="N9" s="827" t="str">
        <f>IF($C9&lt;1,"",(AVERAGEIFS('09월 화학성분'!K$12:K$949,'09월 화학성분'!$A$12:$A$949,$A9,'09월 화학성분'!$D$12:$D$949,$B9)))</f>
        <v/>
      </c>
      <c r="O9" s="827" t="str">
        <f>IF($C9&lt;1,"",(AVERAGEIFS('09월 화학성분'!L$12:L$949,'09월 화학성분'!$A$12:$A$949,$A9,'09월 화학성분'!$D$12:$D$949,$B9)))</f>
        <v/>
      </c>
      <c r="P9" s="827" t="str">
        <f>IF($C9&lt;1,"",(AVERAGEIFS('09월 화학성분'!M$12:M$949,'09월 화학성분'!$A$12:$A$949,$A9,'09월 화학성분'!$D$12:$D$949,$B9)))</f>
        <v/>
      </c>
      <c r="Q9" s="827" t="str">
        <f>IFERROR(IF($C9&lt;1,"",(AVERAGEIFS('09월 조업일지'!$AA$12:$AA$952,'09월 조업일지'!$A$12:$A$952,$A9,'09월 조업일지'!$E$12:$E$952,$B9))),"")</f>
        <v/>
      </c>
      <c r="R9" s="827" t="str">
        <f>IF($C9&lt;1,"",(AVERAGEIFS('09월 조업일지'!$AK$12:$AK$952,'09월 조업일지'!$A$12:$A$952,$A9,'09월 조업일지'!$E$12:$E$952,$B9)))</f>
        <v/>
      </c>
      <c r="S9" s="827"/>
      <c r="T9" s="827"/>
      <c r="U9" s="827" t="str">
        <f>IF($C9&lt;1,"",(AVERAGEIFS('09월 화학성분'!$G$12:$G$949,'09월 화학성분'!$A$12:$A$949,$A9,'09월 화학성분'!$D$12:$D$949,$B9)))</f>
        <v/>
      </c>
      <c r="V9" s="827" t="str">
        <f>IF($C9&lt;1,"",(AVERAGEIFS('09월 조업일지'!$AI$12:$AI$952,'09월 조업일지'!$A$12:$A$952,$A9,'09월 조업일지'!$E$12:$E$952,$B9)))</f>
        <v/>
      </c>
      <c r="W9" s="828" t="str">
        <f>IF($C9&lt;1,"",(AVERAGEIFS('09월 화학성분'!$AM$12:$AM$949,'09월 화학성분'!$A$12:$A$949,$A9,'09월 화학성분'!$D$12:$D$949,$B9)))</f>
        <v/>
      </c>
      <c r="X9" s="829" t="str">
        <f>IF($C9&lt;1,"",(AVERAGEIFS('09월 화학성분'!N$12:N$949,'09월 화학성분'!$A$12:$A$949,$A9,'09월 화학성분'!$D$12:$D$949,$B9)))</f>
        <v/>
      </c>
      <c r="Y9" s="829" t="str">
        <f>IF($C9&lt;1,"",(AVERAGEIFS('09월 화학성분'!O$12:O$949,'09월 화학성분'!$A$12:$A$949,$A9,'09월 화학성분'!$D$12:$D$949,$B9)))</f>
        <v/>
      </c>
      <c r="Z9" s="829" t="str">
        <f>IF($C9&lt;1,"",(AVERAGEIFS('09월 화학성분'!P$12:P$949,'09월 화학성분'!$A$12:$A$949,$A9,'09월 화학성분'!$D$12:$D$949,$B9)))</f>
        <v/>
      </c>
      <c r="AA9" s="829" t="str">
        <f>IF($C9&lt;1,"",(AVERAGEIFS('09월 화학성분'!Q$12:Q$949,'09월 화학성분'!$A$12:$A$949,$A9,'09월 화학성분'!$D$12:$D$949,$B9)))</f>
        <v/>
      </c>
      <c r="AB9" s="829" t="str">
        <f>IF($C9&lt;1,"",(AVERAGEIFS('09월 화학성분'!R$12:R$949,'09월 화학성분'!$A$12:$A$949,$A9,'09월 화학성분'!$D$12:$D$949,$B9)))</f>
        <v/>
      </c>
      <c r="AC9" s="829" t="str">
        <f>IF($C9&lt;1,"",(AVERAGEIFS('09월 화학성분'!U$12:U$949,'09월 화학성분'!$A$12:$A$949,$A9,'09월 화학성분'!$D$12:$D$949,$B9)))</f>
        <v/>
      </c>
      <c r="AD9" s="829" t="str">
        <f>IF($C9&lt;1,"",(AVERAGEIFS('09월 화학성분'!V$12:V$949,'09월 화학성분'!$A$12:$A$949,$A9,'09월 화학성분'!$D$12:$D$949,$B9)))</f>
        <v/>
      </c>
      <c r="AE9" s="829" t="str">
        <f>IF($C9&lt;1,"",(AVERAGEIFS('09월 화학성분'!W$12:W$949,'09월 화학성분'!$A$12:$A$949,$A9,'09월 화학성분'!$D$12:$D$949,$B9)))</f>
        <v/>
      </c>
      <c r="AF9" s="829" t="str">
        <f>IF($C9&lt;1,"",(AVERAGEIFS('09월 화학성분'!AA$12:AA$949,'09월 화학성분'!$A$12:$A$949,$A9,'09월 화학성분'!$D$12:$D$949,$B9)))</f>
        <v/>
      </c>
      <c r="AG9" s="829" t="str">
        <f>IF($C9&lt;1,"",(AVERAGEIFS('09월 화학성분'!#REF!,'09월 화학성분'!$A$12:$A$949,$A9,'09월 화학성분'!$D$12:$D$949,$B9)))</f>
        <v/>
      </c>
      <c r="AH9" s="829" t="str">
        <f>IF($C9&lt;1,"",(AVERAGEIFS('09월 화학성분'!AB$12:AB$949,'09월 화학성분'!$A$12:$A$949,$A9,'09월 화학성분'!$D$12:$D$949,$B9)))</f>
        <v/>
      </c>
      <c r="AI9" s="829" t="str">
        <f>IF($C9&lt;1,"",(AVERAGEIFS('09월 화학성분'!AC$12:AC$949,'09월 화학성분'!$A$12:$A$949,$A9,'09월 화학성분'!$D$12:$D$949,$B9)))</f>
        <v/>
      </c>
      <c r="AJ9" s="829" t="str">
        <f>IF($C9&lt;1,"",(AVERAGEIFS('09월 화학성분'!AD$12:AD$949,'09월 화학성분'!$A$12:$A$949,$A9,'09월 화학성분'!$D$12:$D$949,$B9)))</f>
        <v/>
      </c>
      <c r="AK9" s="829" t="str">
        <f>IF($C9&lt;1,"",(AVERAGEIFS('09월 화학성분'!AF$12:AF$949,'09월 화학성분'!$A$12:$A$949,$A9,'09월 화학성분'!$D$12:$D$949,$B9)))</f>
        <v/>
      </c>
      <c r="AL9" s="829" t="str">
        <f>IF($C9&lt;1,"",(AVERAGEIFS('09월 화학성분'!AG$12:AG$949,'09월 화학성분'!$A$12:$A$949,$A9,'09월 화학성분'!$D$12:$D$949,$B9)))</f>
        <v/>
      </c>
      <c r="AM9" s="829" t="str">
        <f>IF($C9&lt;1,"",(AVERAGEIFS('09월 화학성분'!AH$12:AH$949,'09월 화학성분'!$A$12:$A$949,$A9,'09월 화학성분'!$D$12:$D$949,$B9)))</f>
        <v/>
      </c>
      <c r="AN9" s="829" t="str">
        <f>IF($C9&lt;1,"",(AVERAGEIFS('09월 화학성분'!AI$12:AI$949,'09월 화학성분'!$A$12:$A$949,$A9,'09월 화학성분'!$D$12:$D$949,$B9)))</f>
        <v/>
      </c>
      <c r="AO9" s="829" t="str">
        <f>IF($C9&lt;1,"",(AVERAGEIFS('09월 화학성분'!AJ$12:AJ$949,'09월 화학성분'!$A$12:$A$949,$A9,'09월 화학성분'!$D$12:$D$949,$B9)))</f>
        <v/>
      </c>
      <c r="AP9" s="829" t="str">
        <f>IF($C9&lt;1,"",(AVERAGEIFS('09월 화학성분'!#REF!,'09월 화학성분'!$A$12:$A$949,$A9,'09월 화학성분'!$D$12:$D$949,$B9)))</f>
        <v/>
      </c>
      <c r="AQ9" s="829" t="str">
        <f>IF($C9&lt;1,"",(AVERAGEIFS('09월 화학성분'!AL$12:AL$949,'09월 화학성분'!$A$12:$A$949,$A9,'09월 화학성분'!$D$12:$D$949,$B9)))</f>
        <v/>
      </c>
      <c r="AR9" s="829" t="str">
        <f>IF($C9&lt;1,"",(AVERAGEIFS('09월 화학성분'!AM$12:AM$949,'09월 화학성분'!$A$12:$A$949,$A9,'09월 화학성분'!$D$12:$D$949,$B9)))</f>
        <v/>
      </c>
      <c r="AS9" s="830" t="str">
        <f>IF($C9&lt;1,"",(AVERAGEIFS('09월 화학성분'!AN$12:AN$949,'09월 화학성분'!$A$12:$A$949,$A9,'09월 화학성분'!$D$12:$D$949,$B9)))</f>
        <v/>
      </c>
      <c r="AT9" s="830" t="str">
        <f>IF($C9&lt;1,"",(AVERAGEIFS('09월 화학성분'!AO$12:AO$949,'09월 화학성분'!$A$12:$A$949,$A9,'09월 화학성분'!$D$12:$D$949,$B9)))</f>
        <v/>
      </c>
      <c r="AU9" s="831" t="str">
        <f>IF($C9&lt;1,"",(AVERAGEIFS('09월 화학성분'!AP$12:AP$949,'09월 화학성분'!$A$12:$A$949,$A9,'09월 화학성분'!$D$12:$D$949,$B9)))</f>
        <v/>
      </c>
      <c r="AV9" s="832" t="str">
        <f>IF($C9&lt;1,"",(AVERAGEIFS('09월 고철장입'!G$14:G$949,'09월 고철장입'!$A$14:$A$949,$A9,'09월 고철장입'!$C$14:$C$949,$B9))/1000)</f>
        <v/>
      </c>
      <c r="AW9" s="832" t="str">
        <f>IF($C9&lt;1,"",(AVERAGEIFS('09월 고철장입'!H$14:H$949,'09월 고철장입'!$A$14:$A$949,$A9,'09월 고철장입'!$C$14:$C$949,$B9))/1000)</f>
        <v/>
      </c>
      <c r="AX9" s="832" t="str">
        <f>IF($C9&lt;1,"",(AVERAGEIFS('09월 고철장입'!I$14:I$949,'09월 고철장입'!$A$14:$A$949,$A9,'09월 고철장입'!$C$14:$C$949,$B9))/1000)</f>
        <v/>
      </c>
      <c r="AY9" s="832" t="str">
        <f>IF($C9&lt;1,"",(AVERAGEIFS('09월 고철장입'!J$14:J$949,'09월 고철장입'!$A$14:$A$949,$A9,'09월 고철장입'!$C$14:$C$949,$B9))/1000)</f>
        <v/>
      </c>
      <c r="AZ9" s="832" t="str">
        <f>IF($C9&lt;1,"",(AVERAGEIFS('09월 고철장입'!K$14:K$949,'09월 고철장입'!$A$14:$A$949,$A9,'09월 고철장입'!$C$14:$C$949,$B9))/1000)</f>
        <v/>
      </c>
      <c r="BA9" s="832" t="str">
        <f>IF($C9&lt;1,"",(AVERAGEIFS('09월 고철장입'!L$14:L$949,'09월 고철장입'!$A$14:$A$949,$A9,'09월 고철장입'!$C$14:$C$949,$B9))/1000)</f>
        <v/>
      </c>
      <c r="BB9" s="832" t="str">
        <f>IF($C9&lt;1,"",(AVERAGEIFS('09월 고철장입'!M$14:M$949,'09월 고철장입'!$A$14:$A$949,$A9,'09월 고철장입'!$C$14:$C$949,$B9))/1000)</f>
        <v/>
      </c>
      <c r="BC9" s="832" t="str">
        <f>IF($C9&lt;1,"",(AVERAGEIFS('09월 고철장입'!N$14:N$949,'09월 고철장입'!$A$14:$A$949,$A9,'09월 고철장입'!$C$14:$C$949,$B9))/1000)</f>
        <v/>
      </c>
      <c r="BD9" s="832" t="str">
        <f>IF($C9&lt;1,"",(AVERAGEIFS('09월 고철장입'!O$14:O$949,'09월 고철장입'!$A$14:$A$949,$A9,'09월 고철장입'!$C$14:$C$949,$B9))/1000)</f>
        <v/>
      </c>
      <c r="BE9" s="833" t="str">
        <f>IF($C9&lt;1,"",(AVERAGEIFS('09월 고철장입'!P$14:P$949,'09월 고철장입'!$A$14:$A$949,$A9,'09월 고철장입'!$C$14:$C$949,$B9))/1000)</f>
        <v/>
      </c>
      <c r="BF9" s="833" t="str">
        <f>IF($C9&lt;1,"",(AVERAGEIFS('09월 고철장입'!Q$14:Q$949,'09월 고철장입'!$A$14:$A$949,$A9,'09월 고철장입'!$C$14:$C$949,$B9))/1000)</f>
        <v/>
      </c>
      <c r="BG9" s="833" t="str">
        <f>IF($C9&lt;1,"",(AVERAGEIFS('09월 고철장입'!S$14:S$949,'09월 고철장입'!$A$14:$A$949,$A9,'09월 고철장입'!$C$14:$C$949,$B9))/1000)</f>
        <v/>
      </c>
      <c r="BH9" s="833" t="str">
        <f>IF($C9&lt;1,"",(AVERAGEIFS('09월 고철장입'!T$14:T$949,'09월 고철장입'!$A$14:$A$949,$A9,'09월 고철장입'!$C$14:$C$949,$B9))/1000)</f>
        <v/>
      </c>
      <c r="BI9" s="833" t="str">
        <f>IF($C9&lt;1,"",(AVERAGEIFS('09월 고철장입'!U$14:U$949,'09월 고철장입'!$A$14:$A$949,$A9,'09월 고철장입'!$C$14:$C$949,$B9))/1000)</f>
        <v/>
      </c>
      <c r="BJ9" s="833" t="str">
        <f>IF($C9&lt;1,"",(AVERAGEIFS('09월 고철장입'!V$14:V$949,'09월 고철장입'!$A$14:$A$949,$A9,'09월 고철장입'!$C$14:$C$949,$B9))/1000)</f>
        <v/>
      </c>
      <c r="BK9" s="833" t="str">
        <f>IF($C9&lt;1,"",(AVERAGEIFS('09월 고철장입'!W$14:W$949,'09월 고철장입'!$A$14:$A$949,$A9,'09월 고철장입'!$C$14:$C$949,$B9))/1000)</f>
        <v/>
      </c>
      <c r="BL9" s="833" t="str">
        <f>IF($C9&lt;1,"",(AVERAGEIFS('09월 고철장입'!Y$14:Y$949,'09월 고철장입'!$A$14:$A$949,$A9,'09월 고철장입'!$C$14:$C$949,$B9))/1000)</f>
        <v/>
      </c>
      <c r="BM9" s="833" t="str">
        <f>IF($C9&lt;1,"",(AVERAGEIFS('09월 고철장입'!AB$14:AB$949,'09월 고철장입'!$A$14:$A$949,$A9,'09월 고철장입'!$C$14:$C$949,$B9))/1000)</f>
        <v/>
      </c>
      <c r="BN9" s="833" t="str">
        <f>IF($C9&lt;1,"",(AVERAGEIFS('09월 고철장입'!AC$14:AC$949,'09월 고철장입'!$A$14:$A$949,$A9,'09월 고철장입'!$C$14:$C$949,$B9))/1000)</f>
        <v/>
      </c>
      <c r="BO9" s="833" t="str">
        <f>IF($C9&lt;1,"",(AVERAGEIFS('09월 고철장입'!AD$14:AD$949,'09월 고철장입'!$A$14:$A$949,$A9,'09월 고철장입'!$C$14:$C$949,$B9))/1000)</f>
        <v/>
      </c>
      <c r="BP9" s="833" t="str">
        <f>IF($C9&lt;1,"",(AVERAGEIFS('09월 고철장입'!AE$14:AE$949,'09월 고철장입'!$A$14:$A$949,$A9,'09월 고철장입'!$C$14:$C$949,$B9))/1000)</f>
        <v/>
      </c>
      <c r="BQ9" s="832" t="str">
        <f>IF($C9&lt;1,"",(AVERAGEIFS('09월 고철장입'!AF$14:AF$949,'09월 고철장입'!$A$14:$A$949,$A9,'09월 고철장입'!$C$14:$C$949,$B9))/1000)</f>
        <v/>
      </c>
      <c r="BR9" s="832" t="str">
        <f>IF($C9&lt;1,"",(AVERAGEIFS('09월 고철장입'!AG$14:AG$949,'09월 고철장입'!$A$14:$A$949,$A9,'09월 고철장입'!$C$14:$C$949,$B9))/1000)</f>
        <v/>
      </c>
      <c r="BS9" s="832" t="str">
        <f>IF($C9&lt;1,"",(AVERAGEIFS('09월 고철장입'!AH$14:AH$949,'09월 고철장입'!$A$14:$A$949,$A9,'09월 고철장입'!$C$14:$C$949,$B9))/1000)</f>
        <v/>
      </c>
      <c r="BT9" s="832" t="str">
        <f>IF($C9&lt;1,"",(AVERAGEIFS('09월 고철장입'!AI$14:AI$949,'09월 고철장입'!$A$14:$A$949,$A9,'09월 고철장입'!$C$14:$C$949,$B9))/1000)</f>
        <v/>
      </c>
      <c r="BU9" s="834" t="str">
        <f>IF($C9&lt;1,"",(AVERAGEIFS('09월 고철장입'!AJ$14:AJ$949,'09월 고철장입'!$A$14:$A$949,$A9,'09월 고철장입'!$C$14:$C$949,$B9))/1000)</f>
        <v/>
      </c>
      <c r="BV9" s="834" t="str">
        <f>IF($C9&lt;1,"",(AVERAGEIFS('09월 고철장입'!AK$14:AK$949,'09월 고철장입'!$A$14:$A$949,$A9,'09월 고철장입'!$C$14:$C$949,$B9)))</f>
        <v/>
      </c>
      <c r="BW9" s="834" t="str">
        <f>IF($C9&lt;1,"",(AVERAGEIFS('09월 고철장입'!AL$14:AL$949,'09월 고철장입'!$A$14:$A$949,$A9,'09월 고철장입'!$C$14:$C$949,$B9))*100)</f>
        <v/>
      </c>
      <c r="BX9" s="831" t="str">
        <f>IF($C9&lt;1,"",(AVERAGEIFS('09월 에너지'!G$14:G$949,'09월 에너지'!$A$14:$A$949,$A9,'09월 에너지'!$C$14:$C$949,$B9)))</f>
        <v/>
      </c>
      <c r="BY9" s="835" t="str">
        <f>IF($C9&lt;1,"",(AVERAGEIFS('09월 에너지'!H$14:H$949,'09월 에너지'!$A$14:$A$949,$A9,'09월 에너지'!$C$14:$C$949,$B9)))</f>
        <v/>
      </c>
      <c r="BZ9" s="831" t="str">
        <f>IF($C9&lt;1,"",(AVERAGEIFS('09월 에너지'!I$14:I$949,'09월 에너지'!$A$14:$A$949,$A9,'09월 에너지'!$C$14:$C$949,$B9)))</f>
        <v/>
      </c>
      <c r="CA9" s="835" t="str">
        <f>IF($C9&lt;1,"",(AVERAGEIFS('09월 에너지'!J$14:J$949,'09월 에너지'!$A$14:$A$949,$A9,'09월 에너지'!$C$14:$C$949,$B9)))</f>
        <v/>
      </c>
      <c r="CB9" s="831" t="str">
        <f>IF($C9&lt;1,"",(AVERAGEIFS('09월 에너지'!K$14:K$949,'09월 에너지'!$A$14:$A$949,$A9,'09월 에너지'!$C$14:$C$949,$B9)))</f>
        <v/>
      </c>
      <c r="CC9" s="835" t="str">
        <f>IF($C9&lt;1,"",(AVERAGEIFS('09월 에너지'!L$14:L$949,'09월 에너지'!$A$14:$A$949,$A9,'09월 에너지'!$C$14:$C$949,$B9)))</f>
        <v/>
      </c>
      <c r="CD9" s="831" t="str">
        <f>IF($C9&lt;1,"",(AVERAGEIFS('09월 에너지'!M$14:M$949,'09월 에너지'!$A$14:$A$949,$A9,'09월 에너지'!$C$14:$C$949,$B9)))</f>
        <v/>
      </c>
      <c r="CE9" s="835" t="str">
        <f>IF($C9&lt;1,"",(AVERAGEIFS('09월 에너지'!N$14:N$949,'09월 에너지'!$A$14:$A$949,$A9,'09월 에너지'!$C$14:$C$949,$B9)))</f>
        <v/>
      </c>
      <c r="CF9" s="831" t="str">
        <f>IF($C9&lt;1,"",(AVERAGEIFS('09월 에너지'!O$14:O$949,'09월 에너지'!$A$14:$A$949,$A9,'09월 에너지'!$C$14:$C$949,$B9)))</f>
        <v/>
      </c>
      <c r="CG9" s="831" t="str">
        <f>IF($C9&lt;1,"",(AVERAGEIFS('09월 에너지'!P$14:P$949,'09월 에너지'!$A$14:$A$949,$A9,'09월 에너지'!$C$14:$C$949,$B9)))</f>
        <v/>
      </c>
      <c r="CH9" s="831" t="str">
        <f>IF($C9&lt;1,"",(AVERAGEIFS('09월 에너지'!Q$14:Q$949,'09월 에너지'!$A$14:$A$949,$A9,'09월 에너지'!$C$14:$C$949,$B9)))</f>
        <v/>
      </c>
      <c r="CI9" s="831" t="str">
        <f>IF($C9&lt;1,"",(AVERAGEIFS('09월 에너지'!R$14:R$949,'09월 에너지'!$A$14:$A$949,$A9,'09월 에너지'!$C$14:$C$949,$B9)))</f>
        <v/>
      </c>
      <c r="CJ9" s="831" t="str">
        <f>IF($C9&lt;1,"",(AVERAGEIFS('09월 에너지'!S$14:S$949,'09월 에너지'!$A$14:$A$949,$A9,'09월 에너지'!$C$14:$C$949,$B9)))</f>
        <v/>
      </c>
      <c r="CK9" s="831" t="str">
        <f>IF($C9&lt;1,"",(AVERAGEIFS('09월 에너지'!T$14:T$949,'09월 에너지'!$A$14:$A$949,$A9,'09월 에너지'!$C$14:$C$949,$B9)))</f>
        <v/>
      </c>
      <c r="CL9" s="831" t="str">
        <f>IF($C9&lt;1,"",(AVERAGEIFS('09월 에너지'!U$14:U$949,'09월 에너지'!$A$14:$A$949,$A9,'09월 에너지'!$C$14:$C$949,$B9)))</f>
        <v/>
      </c>
      <c r="CM9" s="835" t="str">
        <f>IF($C9&lt;1,"",(AVERAGEIFS('09월 에너지'!V$14:V$949,'09월 에너지'!$A$14:$A$949,$A9,'09월 에너지'!$C$14:$C$949,$B9)))</f>
        <v/>
      </c>
      <c r="CN9" s="835" t="str">
        <f>IF($C9&lt;1,"",(AVERAGEIFS('09월 에너지'!W$14:W$949,'09월 에너지'!$A$14:$A$949,$A9,'09월 에너지'!$C$14:$C$949,$B9)))</f>
        <v/>
      </c>
      <c r="CO9" s="831" t="str">
        <f>IF($C9&lt;1,"",(AVERAGEIFS('09월 에너지'!X$14:X$949,'09월 에너지'!$A$14:$A$949,$A9,'09월 에너지'!$C$14:$C$949,$B9)))</f>
        <v/>
      </c>
      <c r="CP9" s="835" t="str">
        <f>IF($C9&lt;1,"",(AVERAGEIFS('09월 에너지'!Y$14:Y$949,'09월 에너지'!$A$14:$A$949,$A9,'09월 에너지'!$C$14:$C$949,$B9)))</f>
        <v/>
      </c>
      <c r="CQ9" s="835" t="str">
        <f>IF($C9&lt;1,"",(AVERAGEIFS('09월 에너지'!Z$14:Z$949,'09월 에너지'!$A$14:$A$949,$A9,'09월 에너지'!$C$14:$C$949,$B9)))</f>
        <v/>
      </c>
      <c r="CR9" s="835" t="str">
        <f>IF($C9&lt;1,"",(AVERAGEIFS('09월 에너지'!AA$14:AA$949,'09월 에너지'!$A$14:$A$949,$A9,'09월 에너지'!$C$14:$C$949,$B9)))</f>
        <v/>
      </c>
      <c r="CS9" s="835" t="str">
        <f>IF($C9&lt;1,"",(AVERAGEIFS('09월 에너지'!AB$14:AB$949,'09월 에너지'!$A$14:$A$949,$A9,'09월 에너지'!$C$14:$C$949,$B9)))</f>
        <v/>
      </c>
      <c r="CT9" s="831" t="str">
        <f>IF($C9&lt;1,"",(AVERAGEIFS('09월 에너지'!AC$14:AC$949,'09월 에너지'!$A$14:$A$949,$A9,'09월 에너지'!$C$14:$C$949,$B9)))</f>
        <v/>
      </c>
      <c r="CU9" s="836" t="str">
        <f>IF($C9&lt;1,"",(AVERAGEIFS('09월 에너지'!AD$14:AD$949,'09월 에너지'!$A$14:$A$949,$A9,'09월 에너지'!$C$14:$C$949,$B9)))</f>
        <v/>
      </c>
      <c r="CV9" s="837" t="str">
        <f>IF($C9&lt;1,"",(AVERAGEIFS('09월 에너지'!AE$14:AE$949,'09월 에너지'!$A$14:$A$949,$A9,'09월 에너지'!$C$14:$C$949,$B9)))</f>
        <v/>
      </c>
      <c r="CW9" s="831" t="str">
        <f>IF($C9&lt;1,"",(AVERAGEIFS('09월 에너지'!AF$14:AF$949,'09월 에너지'!$A$14:$A$949,$A9,'09월 에너지'!$C$14:$C$949,$B9)))</f>
        <v/>
      </c>
      <c r="CX9" s="831" t="str">
        <f>IF($C9&lt;1,"",(AVERAGEIFS('09월 에너지'!AG$14:AG$949,'09월 에너지'!$A$14:$A$949,$A9,'09월 에너지'!$C$14:$C$949,$B9)))</f>
        <v/>
      </c>
      <c r="CY9" s="831" t="str">
        <f>IF($C9&lt;1,"",(AVERAGEIFS('09월 에너지'!AH$14:AH$949,'09월 에너지'!$A$14:$A$949,$A9,'09월 에너지'!$C$14:$C$949,$B9)))</f>
        <v/>
      </c>
      <c r="CZ9" s="831" t="str">
        <f>IF($C9&lt;1,"",(AVERAGEIFS('09월 에너지'!AI$14:AI$949,'09월 에너지'!$A$14:$A$949,$A9,'09월 에너지'!$C$14:$C$949,$B9)))</f>
        <v/>
      </c>
      <c r="DA9" s="838" t="str">
        <f>IF($C9&lt;1,"",(AVERAGEIFS('09월 에너지'!AJ$14:AJ$949,'09월 에너지'!$A$14:$A$949,$A9,'09월 에너지'!$C$14:$C$949,$B9)))</f>
        <v/>
      </c>
    </row>
    <row r="10" spans="1:105" ht="13.5" customHeight="1" thickBot="1">
      <c r="A10" s="839">
        <f>A6</f>
        <v>44927</v>
      </c>
      <c r="B10" s="840" t="s">
        <v>206</v>
      </c>
      <c r="C10" s="841">
        <f>COUNTIFS('09월 조업일지'!$A$12:$A$952,A6,'09월 조업일지'!$E$12:$E$952,B10)</f>
        <v>0</v>
      </c>
      <c r="D10" s="842" t="str">
        <f t="shared" si="1"/>
        <v/>
      </c>
      <c r="E10" s="842" t="str">
        <f>IF($C10&lt;1,"",(SUMIFS('09월 조업일지'!$K$12:$K$952,'09월 조업일지'!$A$12:$A$952,$A10,'09월 조업일지'!$E$12:$E$952,$B10)/$C10))</f>
        <v/>
      </c>
      <c r="F10" s="842" t="str">
        <f>IF($C10&lt;1,"",(AVERAGEIFS('09월 조업일지'!$J$12:$J$952,'09월 조업일지'!$A$12:$A$952,$A10,'09월 조업일지'!$E$12:$E$952,$B10)))</f>
        <v/>
      </c>
      <c r="G10" s="843" t="str">
        <f>IF($C10&lt;1,"",(AVERAGEIFS('09월 에너지'!$M$14:$M$949,'09월 에너지'!$A$14:$A$949,$A10,'09월 에너지'!$C$14:$C$949,$B10)))</f>
        <v/>
      </c>
      <c r="H10" s="844" t="str">
        <f>IF($C10&lt;1,"",(AVERAGEIFS('09월 조업일지'!$AJ$12:$AJ$952,'09월 조업일지'!$A$12:$A$952,$A10,'09월 조업일지'!$E$12:$E$952,$B10)))</f>
        <v/>
      </c>
      <c r="I10" s="844" t="str">
        <f>IF($C10&lt;1,"",(AVERAGEIFS('09월 조업일지'!$AL$12:$AL$952,'09월 조업일지'!$A$12:$A$952,$A10,'09월 조업일지'!$E$12:$E$952,$B10)))</f>
        <v/>
      </c>
      <c r="J10" s="845" t="str">
        <f>IF($C10&lt;1,"",(AVERAGEIFS('09월 화학성분'!G$12:G$949,'09월 화학성분'!$A$12:$A$949,$A10,'09월 화학성분'!$D$12:$D$949,$B10)))</f>
        <v/>
      </c>
      <c r="K10" s="845" t="str">
        <f>IF($C10&lt;1,"",(AVERAGEIFS('09월 화학성분'!H$12:H$949,'09월 화학성분'!$A$12:$A$949,$A10,'09월 화학성분'!$D$12:$D$949,$B10)))</f>
        <v/>
      </c>
      <c r="L10" s="845" t="str">
        <f>IF($C10&lt;1,"",(AVERAGEIFS('09월 화학성분'!I$12:I$949,'09월 화학성분'!$A$12:$A$949,$A10,'09월 화학성분'!$D$12:$D$949,$B10)))</f>
        <v/>
      </c>
      <c r="M10" s="845" t="str">
        <f>IF($C10&lt;1,"",(AVERAGEIFS('09월 화학성분'!J$12:J$949,'09월 화학성분'!$A$12:$A$949,$A10,'09월 화학성분'!$D$12:$D$949,$B10)))</f>
        <v/>
      </c>
      <c r="N10" s="845" t="str">
        <f>IF($C10&lt;1,"",(AVERAGEIFS('09월 화학성분'!K$12:K$949,'09월 화학성분'!$A$12:$A$949,$A10,'09월 화학성분'!$D$12:$D$949,$B10)))</f>
        <v/>
      </c>
      <c r="O10" s="845" t="str">
        <f>IF($C10&lt;1,"",(AVERAGEIFS('09월 화학성분'!L$12:L$949,'09월 화학성분'!$A$12:$A$949,$A10,'09월 화학성분'!$D$12:$D$949,$B10)))</f>
        <v/>
      </c>
      <c r="P10" s="845" t="str">
        <f>IF($C10&lt;1,"",(AVERAGEIFS('09월 화학성분'!M$12:M$949,'09월 화학성분'!$A$12:$A$949,$A10,'09월 화학성분'!$D$12:$D$949,$B10)))</f>
        <v/>
      </c>
      <c r="Q10" s="827" t="str">
        <f>IFERROR(IF($C10&lt;1,"",(AVERAGEIFS('09월 조업일지'!$AA$12:$AA$952,'09월 조업일지'!$A$12:$A$952,$A10,'09월 조업일지'!$E$12:$E$952,$B10))),"")</f>
        <v/>
      </c>
      <c r="R10" s="845" t="str">
        <f>IF($C10&lt;1,"",(AVERAGEIFS('09월 조업일지'!$AK$12:$AK$952,'09월 조업일지'!$A$12:$A$952,$A10,'09월 조업일지'!$E$12:$E$952,$B10)))</f>
        <v/>
      </c>
      <c r="S10" s="845"/>
      <c r="T10" s="845"/>
      <c r="U10" s="845" t="str">
        <f>IF($C10&lt;1,"",(AVERAGEIFS('09월 화학성분'!$G$12:$G$949,'09월 화학성분'!$A$12:$A$949,$A10,'09월 화학성분'!$D$12:$D$949,$B10)))</f>
        <v/>
      </c>
      <c r="V10" s="845" t="str">
        <f>IF($C10&lt;1,"",(AVERAGEIFS('09월 조업일지'!$AI$12:$AI$952,'09월 조업일지'!$A$12:$A$952,$A10,'09월 조업일지'!$E$12:$E$952,$B10)))</f>
        <v/>
      </c>
      <c r="W10" s="846" t="str">
        <f>IF($C10&lt;1,"",(AVERAGEIFS('09월 화학성분'!$AM$12:$AM$949,'09월 화학성분'!$A$12:$A$949,$A10,'09월 화학성분'!$D$12:$D$949,$B10)))</f>
        <v/>
      </c>
      <c r="X10" s="829" t="str">
        <f>IF($C10&lt;1,"",(AVERAGEIFS('09월 화학성분'!N$12:N$949,'09월 화학성분'!$A$12:$A$949,$A10,'09월 화학성분'!$D$12:$D$949,$B10)))</f>
        <v/>
      </c>
      <c r="Y10" s="829" t="str">
        <f>IF($C10&lt;1,"",(AVERAGEIFS('09월 화학성분'!O$12:O$949,'09월 화학성분'!$A$12:$A$949,$A10,'09월 화학성분'!$D$12:$D$949,$B10)))</f>
        <v/>
      </c>
      <c r="Z10" s="829" t="str">
        <f>IF($C10&lt;1,"",(AVERAGEIFS('09월 화학성분'!P$12:P$949,'09월 화학성분'!$A$12:$A$949,$A10,'09월 화학성분'!$D$12:$D$949,$B10)))</f>
        <v/>
      </c>
      <c r="AA10" s="829" t="str">
        <f>IF($C10&lt;1,"",(AVERAGEIFS('09월 화학성분'!Q$12:Q$949,'09월 화학성분'!$A$12:$A$949,$A10,'09월 화학성분'!$D$12:$D$949,$B10)))</f>
        <v/>
      </c>
      <c r="AB10" s="829" t="str">
        <f>IF($C10&lt;1,"",(AVERAGEIFS('09월 화학성분'!R$12:R$949,'09월 화학성분'!$A$12:$A$949,$A10,'09월 화학성분'!$D$12:$D$949,$B10)))</f>
        <v/>
      </c>
      <c r="AC10" s="829" t="str">
        <f>IF($C10&lt;1,"",(AVERAGEIFS('09월 화학성분'!U$12:U$949,'09월 화학성분'!$A$12:$A$949,$A10,'09월 화학성분'!$D$12:$D$949,$B10)))</f>
        <v/>
      </c>
      <c r="AD10" s="829" t="str">
        <f>IF($C10&lt;1,"",(AVERAGEIFS('09월 화학성분'!V$12:V$949,'09월 화학성분'!$A$12:$A$949,$A10,'09월 화학성분'!$D$12:$D$949,$B10)))</f>
        <v/>
      </c>
      <c r="AE10" s="829" t="str">
        <f>IF($C10&lt;1,"",(AVERAGEIFS('09월 화학성분'!W$12:W$949,'09월 화학성분'!$A$12:$A$949,$A10,'09월 화학성분'!$D$12:$D$949,$B10)))</f>
        <v/>
      </c>
      <c r="AF10" s="829" t="str">
        <f>IF($C10&lt;1,"",(AVERAGEIFS('09월 화학성분'!AA$12:AA$949,'09월 화학성분'!$A$12:$A$949,$A10,'09월 화학성분'!$D$12:$D$949,$B10)))</f>
        <v/>
      </c>
      <c r="AG10" s="829" t="str">
        <f>IF($C10&lt;1,"",(AVERAGEIFS('09월 화학성분'!#REF!,'09월 화학성분'!$A$12:$A$949,$A10,'09월 화학성분'!$D$12:$D$949,$B10)))</f>
        <v/>
      </c>
      <c r="AH10" s="829" t="str">
        <f>IF($C10&lt;1,"",(AVERAGEIFS('09월 화학성분'!AB$12:AB$949,'09월 화학성분'!$A$12:$A$949,$A10,'09월 화학성분'!$D$12:$D$949,$B10)))</f>
        <v/>
      </c>
      <c r="AI10" s="829" t="str">
        <f>IF($C10&lt;1,"",(AVERAGEIFS('09월 화학성분'!AC$12:AC$949,'09월 화학성분'!$A$12:$A$949,$A10,'09월 화학성분'!$D$12:$D$949,$B10)))</f>
        <v/>
      </c>
      <c r="AJ10" s="829" t="str">
        <f>IF($C10&lt;1,"",(AVERAGEIFS('09월 화학성분'!AD$12:AD$949,'09월 화학성분'!$A$12:$A$949,$A10,'09월 화학성분'!$D$12:$D$949,$B10)))</f>
        <v/>
      </c>
      <c r="AK10" s="829" t="str">
        <f>IF($C10&lt;1,"",(AVERAGEIFS('09월 화학성분'!AF$12:AF$949,'09월 화학성분'!$A$12:$A$949,$A10,'09월 화학성분'!$D$12:$D$949,$B10)))</f>
        <v/>
      </c>
      <c r="AL10" s="829" t="str">
        <f>IF($C10&lt;1,"",(AVERAGEIFS('09월 화학성분'!AG$12:AG$949,'09월 화학성분'!$A$12:$A$949,$A10,'09월 화학성분'!$D$12:$D$949,$B10)))</f>
        <v/>
      </c>
      <c r="AM10" s="829" t="str">
        <f>IF($C10&lt;1,"",(AVERAGEIFS('09월 화학성분'!AH$12:AH$949,'09월 화학성분'!$A$12:$A$949,$A10,'09월 화학성분'!$D$12:$D$949,$B10)))</f>
        <v/>
      </c>
      <c r="AN10" s="829" t="str">
        <f>IF($C10&lt;1,"",(AVERAGEIFS('09월 화학성분'!AI$12:AI$949,'09월 화학성분'!$A$12:$A$949,$A10,'09월 화학성분'!$D$12:$D$949,$B10)))</f>
        <v/>
      </c>
      <c r="AO10" s="829" t="str">
        <f>IF($C10&lt;1,"",(AVERAGEIFS('09월 화학성분'!AJ$12:AJ$949,'09월 화학성분'!$A$12:$A$949,$A10,'09월 화학성분'!$D$12:$D$949,$B10)))</f>
        <v/>
      </c>
      <c r="AP10" s="829" t="str">
        <f>IF($C10&lt;1,"",(AVERAGEIFS('09월 화학성분'!#REF!,'09월 화학성분'!$A$12:$A$949,$A10,'09월 화학성분'!$D$12:$D$949,$B10)))</f>
        <v/>
      </c>
      <c r="AQ10" s="829" t="str">
        <f>IF($C10&lt;1,"",(AVERAGEIFS('09월 화학성분'!AL$12:AL$949,'09월 화학성분'!$A$12:$A$949,$A10,'09월 화학성분'!$D$12:$D$949,$B10)))</f>
        <v/>
      </c>
      <c r="AR10" s="829" t="str">
        <f>IF($C10&lt;1,"",(AVERAGEIFS('09월 화학성분'!AM$12:AM$949,'09월 화학성분'!$A$12:$A$949,$A10,'09월 화학성분'!$D$12:$D$949,$B10)))</f>
        <v/>
      </c>
      <c r="AS10" s="830" t="str">
        <f>IF($C10&lt;1,"",(AVERAGEIFS('09월 화학성분'!AN$12:AN$949,'09월 화학성분'!$A$12:$A$949,$A10,'09월 화학성분'!$D$12:$D$949,$B10)))</f>
        <v/>
      </c>
      <c r="AT10" s="830" t="str">
        <f>IF($C10&lt;1,"",(AVERAGEIFS('09월 화학성분'!AO$12:AO$949,'09월 화학성분'!$A$12:$A$949,$A10,'09월 화학성분'!$D$12:$D$949,$B10)))</f>
        <v/>
      </c>
      <c r="AU10" s="831" t="str">
        <f>IF($C10&lt;1,"",(AVERAGEIFS('09월 화학성분'!AP$12:AP$949,'09월 화학성분'!$A$12:$A$949,$A10,'09월 화학성분'!$D$12:$D$949,$B10)))</f>
        <v/>
      </c>
      <c r="AV10" s="832" t="str">
        <f>IF($C10&lt;1,"",(AVERAGEIFS('09월 고철장입'!G$14:G$949,'09월 고철장입'!$A$14:$A$949,$A10,'09월 고철장입'!$C$14:$C$949,$B10))/1000)</f>
        <v/>
      </c>
      <c r="AW10" s="832" t="str">
        <f>IF($C10&lt;1,"",(AVERAGEIFS('09월 고철장입'!H$14:H$949,'09월 고철장입'!$A$14:$A$949,$A10,'09월 고철장입'!$C$14:$C$949,$B10))/1000)</f>
        <v/>
      </c>
      <c r="AX10" s="832" t="str">
        <f>IF($C10&lt;1,"",(AVERAGEIFS('09월 고철장입'!I$14:I$949,'09월 고철장입'!$A$14:$A$949,$A10,'09월 고철장입'!$C$14:$C$949,$B10))/1000)</f>
        <v/>
      </c>
      <c r="AY10" s="832" t="str">
        <f>IF($C10&lt;1,"",(AVERAGEIFS('09월 고철장입'!J$14:J$949,'09월 고철장입'!$A$14:$A$949,$A10,'09월 고철장입'!$C$14:$C$949,$B10))/1000)</f>
        <v/>
      </c>
      <c r="AZ10" s="832" t="str">
        <f>IF($C10&lt;1,"",(AVERAGEIFS('09월 고철장입'!K$14:K$949,'09월 고철장입'!$A$14:$A$949,$A10,'09월 고철장입'!$C$14:$C$949,$B10))/1000)</f>
        <v/>
      </c>
      <c r="BA10" s="832" t="str">
        <f>IF($C10&lt;1,"",(AVERAGEIFS('09월 고철장입'!L$14:L$949,'09월 고철장입'!$A$14:$A$949,$A10,'09월 고철장입'!$C$14:$C$949,$B10))/1000)</f>
        <v/>
      </c>
      <c r="BB10" s="832" t="str">
        <f>IF($C10&lt;1,"",(AVERAGEIFS('09월 고철장입'!M$14:M$949,'09월 고철장입'!$A$14:$A$949,$A10,'09월 고철장입'!$C$14:$C$949,$B10))/1000)</f>
        <v/>
      </c>
      <c r="BC10" s="832" t="str">
        <f>IF($C10&lt;1,"",(AVERAGEIFS('09월 고철장입'!N$14:N$949,'09월 고철장입'!$A$14:$A$949,$A10,'09월 고철장입'!$C$14:$C$949,$B10))/1000)</f>
        <v/>
      </c>
      <c r="BD10" s="832" t="str">
        <f>IF($C10&lt;1,"",(AVERAGEIFS('09월 고철장입'!O$14:O$949,'09월 고철장입'!$A$14:$A$949,$A10,'09월 고철장입'!$C$14:$C$949,$B10))/1000)</f>
        <v/>
      </c>
      <c r="BE10" s="833" t="str">
        <f>IF($C10&lt;1,"",(AVERAGEIFS('09월 고철장입'!P$14:P$949,'09월 고철장입'!$A$14:$A$949,$A10,'09월 고철장입'!$C$14:$C$949,$B10))/1000)</f>
        <v/>
      </c>
      <c r="BF10" s="833" t="str">
        <f>IF($C10&lt;1,"",(AVERAGEIFS('09월 고철장입'!Q$14:Q$949,'09월 고철장입'!$A$14:$A$949,$A10,'09월 고철장입'!$C$14:$C$949,$B10))/1000)</f>
        <v/>
      </c>
      <c r="BG10" s="833" t="str">
        <f>IF($C10&lt;1,"",(AVERAGEIFS('09월 고철장입'!S$14:S$949,'09월 고철장입'!$A$14:$A$949,$A10,'09월 고철장입'!$C$14:$C$949,$B10))/1000)</f>
        <v/>
      </c>
      <c r="BH10" s="833" t="str">
        <f>IF($C10&lt;1,"",(AVERAGEIFS('09월 고철장입'!T$14:T$949,'09월 고철장입'!$A$14:$A$949,$A10,'09월 고철장입'!$C$14:$C$949,$B10))/1000)</f>
        <v/>
      </c>
      <c r="BI10" s="833" t="str">
        <f>IF($C10&lt;1,"",(AVERAGEIFS('09월 고철장입'!U$14:U$949,'09월 고철장입'!$A$14:$A$949,$A10,'09월 고철장입'!$C$14:$C$949,$B10))/1000)</f>
        <v/>
      </c>
      <c r="BJ10" s="833" t="str">
        <f>IF($C10&lt;1,"",(AVERAGEIFS('09월 고철장입'!V$14:V$949,'09월 고철장입'!$A$14:$A$949,$A10,'09월 고철장입'!$C$14:$C$949,$B10))/1000)</f>
        <v/>
      </c>
      <c r="BK10" s="833" t="str">
        <f>IF($C10&lt;1,"",(AVERAGEIFS('09월 고철장입'!W$14:W$949,'09월 고철장입'!$A$14:$A$949,$A10,'09월 고철장입'!$C$14:$C$949,$B10))/1000)</f>
        <v/>
      </c>
      <c r="BL10" s="833" t="str">
        <f>IF($C10&lt;1,"",(AVERAGEIFS('09월 고철장입'!Y$14:Y$949,'09월 고철장입'!$A$14:$A$949,$A10,'09월 고철장입'!$C$14:$C$949,$B10))/1000)</f>
        <v/>
      </c>
      <c r="BM10" s="833" t="str">
        <f>IF($C10&lt;1,"",(AVERAGEIFS('09월 고철장입'!AB$14:AB$949,'09월 고철장입'!$A$14:$A$949,$A10,'09월 고철장입'!$C$14:$C$949,$B10))/1000)</f>
        <v/>
      </c>
      <c r="BN10" s="833" t="str">
        <f>IF($C10&lt;1,"",(AVERAGEIFS('09월 고철장입'!AC$14:AC$949,'09월 고철장입'!$A$14:$A$949,$A10,'09월 고철장입'!$C$14:$C$949,$B10))/1000)</f>
        <v/>
      </c>
      <c r="BO10" s="833" t="str">
        <f>IF($C10&lt;1,"",(AVERAGEIFS('09월 고철장입'!AD$14:AD$949,'09월 고철장입'!$A$14:$A$949,$A10,'09월 고철장입'!$C$14:$C$949,$B10))/1000)</f>
        <v/>
      </c>
      <c r="BP10" s="833" t="str">
        <f>IF($C10&lt;1,"",(AVERAGEIFS('09월 고철장입'!AE$14:AE$949,'09월 고철장입'!$A$14:$A$949,$A10,'09월 고철장입'!$C$14:$C$949,$B10))/1000)</f>
        <v/>
      </c>
      <c r="BQ10" s="832" t="str">
        <f>IF($C10&lt;1,"",(AVERAGEIFS('09월 고철장입'!AF$14:AF$949,'09월 고철장입'!$A$14:$A$949,$A10,'09월 고철장입'!$C$14:$C$949,$B10))/1000)</f>
        <v/>
      </c>
      <c r="BR10" s="832" t="str">
        <f>IF($C10&lt;1,"",(AVERAGEIFS('09월 고철장입'!AG$14:AG$949,'09월 고철장입'!$A$14:$A$949,$A10,'09월 고철장입'!$C$14:$C$949,$B10))/1000)</f>
        <v/>
      </c>
      <c r="BS10" s="832" t="str">
        <f>IF($C10&lt;1,"",(AVERAGEIFS('09월 고철장입'!AH$14:AH$949,'09월 고철장입'!$A$14:$A$949,$A10,'09월 고철장입'!$C$14:$C$949,$B10))/1000)</f>
        <v/>
      </c>
      <c r="BT10" s="832" t="str">
        <f>IF($C10&lt;1,"",(AVERAGEIFS('09월 고철장입'!AI$14:AI$949,'09월 고철장입'!$A$14:$A$949,$A10,'09월 고철장입'!$C$14:$C$949,$B10))/1000)</f>
        <v/>
      </c>
      <c r="BU10" s="834" t="str">
        <f>IF($C10&lt;1,"",(AVERAGEIFS('09월 고철장입'!AJ$14:AJ$949,'09월 고철장입'!$A$14:$A$949,$A10,'09월 고철장입'!$C$14:$C$949,$B10))/1000)</f>
        <v/>
      </c>
      <c r="BV10" s="834" t="str">
        <f>IF($C10&lt;1,"",(AVERAGEIFS('09월 고철장입'!AK$14:AK$949,'09월 고철장입'!$A$14:$A$949,$A10,'09월 고철장입'!$C$14:$C$949,$B10)))</f>
        <v/>
      </c>
      <c r="BW10" s="834" t="str">
        <f>IF($C10&lt;1,"",(AVERAGEIFS('09월 고철장입'!AL$14:AL$949,'09월 고철장입'!$A$14:$A$949,$A10,'09월 고철장입'!$C$14:$C$949,$B10))*100)</f>
        <v/>
      </c>
      <c r="BX10" s="831" t="str">
        <f>IF($C10&lt;1,"",(AVERAGEIFS('09월 에너지'!G$14:G$949,'09월 에너지'!$A$14:$A$949,$A10,'09월 에너지'!$C$14:$C$949,$B10)))</f>
        <v/>
      </c>
      <c r="BY10" s="835" t="str">
        <f>IF($C10&lt;1,"",(AVERAGEIFS('09월 에너지'!H$14:H$949,'09월 에너지'!$A$14:$A$949,$A10,'09월 에너지'!$C$14:$C$949,$B10)))</f>
        <v/>
      </c>
      <c r="BZ10" s="831" t="str">
        <f>IF($C10&lt;1,"",(AVERAGEIFS('09월 에너지'!I$14:I$949,'09월 에너지'!$A$14:$A$949,$A10,'09월 에너지'!$C$14:$C$949,$B10)))</f>
        <v/>
      </c>
      <c r="CA10" s="835" t="str">
        <f>IF($C10&lt;1,"",(AVERAGEIFS('09월 에너지'!J$14:J$949,'09월 에너지'!$A$14:$A$949,$A10,'09월 에너지'!$C$14:$C$949,$B10)))</f>
        <v/>
      </c>
      <c r="CB10" s="831" t="str">
        <f>IF($C10&lt;1,"",(AVERAGEIFS('09월 에너지'!K$14:K$949,'09월 에너지'!$A$14:$A$949,$A10,'09월 에너지'!$C$14:$C$949,$B10)))</f>
        <v/>
      </c>
      <c r="CC10" s="835" t="str">
        <f>IF($C10&lt;1,"",(AVERAGEIFS('09월 에너지'!L$14:L$949,'09월 에너지'!$A$14:$A$949,$A10,'09월 에너지'!$C$14:$C$949,$B10)))</f>
        <v/>
      </c>
      <c r="CD10" s="831" t="str">
        <f>IF($C10&lt;1,"",(AVERAGEIFS('09월 에너지'!M$14:M$949,'09월 에너지'!$A$14:$A$949,$A10,'09월 에너지'!$C$14:$C$949,$B10)))</f>
        <v/>
      </c>
      <c r="CE10" s="835" t="str">
        <f>IF($C10&lt;1,"",(AVERAGEIFS('09월 에너지'!N$14:N$949,'09월 에너지'!$A$14:$A$949,$A10,'09월 에너지'!$C$14:$C$949,$B10)))</f>
        <v/>
      </c>
      <c r="CF10" s="831" t="str">
        <f>IF($C10&lt;1,"",(AVERAGEIFS('09월 에너지'!O$14:O$949,'09월 에너지'!$A$14:$A$949,$A10,'09월 에너지'!$C$14:$C$949,$B10)))</f>
        <v/>
      </c>
      <c r="CG10" s="831" t="str">
        <f>IF($C10&lt;1,"",(AVERAGEIFS('09월 에너지'!P$14:P$949,'09월 에너지'!$A$14:$A$949,$A10,'09월 에너지'!$C$14:$C$949,$B10)))</f>
        <v/>
      </c>
      <c r="CH10" s="831" t="str">
        <f>IF($C10&lt;1,"",(AVERAGEIFS('09월 에너지'!Q$14:Q$949,'09월 에너지'!$A$14:$A$949,$A10,'09월 에너지'!$C$14:$C$949,$B10)))</f>
        <v/>
      </c>
      <c r="CI10" s="831" t="str">
        <f>IF($C10&lt;1,"",(AVERAGEIFS('09월 에너지'!R$14:R$949,'09월 에너지'!$A$14:$A$949,$A10,'09월 에너지'!$C$14:$C$949,$B10)))</f>
        <v/>
      </c>
      <c r="CJ10" s="831" t="str">
        <f>IF($C10&lt;1,"",(AVERAGEIFS('09월 에너지'!S$14:S$949,'09월 에너지'!$A$14:$A$949,$A10,'09월 에너지'!$C$14:$C$949,$B10)))</f>
        <v/>
      </c>
      <c r="CK10" s="831" t="str">
        <f>IF($C10&lt;1,"",(AVERAGEIFS('09월 에너지'!T$14:T$949,'09월 에너지'!$A$14:$A$949,$A10,'09월 에너지'!$C$14:$C$949,$B10)))</f>
        <v/>
      </c>
      <c r="CL10" s="831" t="str">
        <f>IF($C10&lt;1,"",(AVERAGEIFS('09월 에너지'!U$14:U$949,'09월 에너지'!$A$14:$A$949,$A10,'09월 에너지'!$C$14:$C$949,$B10)))</f>
        <v/>
      </c>
      <c r="CM10" s="835" t="str">
        <f>IF($C10&lt;1,"",(AVERAGEIFS('09월 에너지'!V$14:V$949,'09월 에너지'!$A$14:$A$949,$A10,'09월 에너지'!$C$14:$C$949,$B10)))</f>
        <v/>
      </c>
      <c r="CN10" s="835" t="str">
        <f>IF($C10&lt;1,"",(AVERAGEIFS('09월 에너지'!W$14:W$949,'09월 에너지'!$A$14:$A$949,$A10,'09월 에너지'!$C$14:$C$949,$B10)))</f>
        <v/>
      </c>
      <c r="CO10" s="831" t="str">
        <f>IF($C10&lt;1,"",(AVERAGEIFS('09월 에너지'!X$14:X$949,'09월 에너지'!$A$14:$A$949,$A10,'09월 에너지'!$C$14:$C$949,$B10)))</f>
        <v/>
      </c>
      <c r="CP10" s="835" t="str">
        <f>IF($C10&lt;1,"",(AVERAGEIFS('09월 에너지'!Y$14:Y$949,'09월 에너지'!$A$14:$A$949,$A10,'09월 에너지'!$C$14:$C$949,$B10)))</f>
        <v/>
      </c>
      <c r="CQ10" s="835" t="str">
        <f>IF($C10&lt;1,"",(AVERAGEIFS('09월 에너지'!Z$14:Z$949,'09월 에너지'!$A$14:$A$949,$A10,'09월 에너지'!$C$14:$C$949,$B10)))</f>
        <v/>
      </c>
      <c r="CR10" s="835" t="str">
        <f>IF($C10&lt;1,"",(AVERAGEIFS('09월 에너지'!AA$14:AA$949,'09월 에너지'!$A$14:$A$949,$A10,'09월 에너지'!$C$14:$C$949,$B10)))</f>
        <v/>
      </c>
      <c r="CS10" s="835" t="str">
        <f>IF($C10&lt;1,"",(AVERAGEIFS('09월 에너지'!AB$14:AB$949,'09월 에너지'!$A$14:$A$949,$A10,'09월 에너지'!$C$14:$C$949,$B10)))</f>
        <v/>
      </c>
      <c r="CT10" s="831" t="str">
        <f>IF($C10&lt;1,"",(AVERAGEIFS('09월 에너지'!AC$14:AC$949,'09월 에너지'!$A$14:$A$949,$A10,'09월 에너지'!$C$14:$C$949,$B10)))</f>
        <v/>
      </c>
      <c r="CU10" s="836" t="str">
        <f>IF($C10&lt;1,"",(AVERAGEIFS('09월 에너지'!AD$14:AD$949,'09월 에너지'!$A$14:$A$949,$A10,'09월 에너지'!$C$14:$C$949,$B10)))</f>
        <v/>
      </c>
      <c r="CV10" s="837" t="str">
        <f>IF($C10&lt;1,"",(AVERAGEIFS('09월 에너지'!AE$14:AE$949,'09월 에너지'!$A$14:$A$949,$A10,'09월 에너지'!$C$14:$C$949,$B10)))</f>
        <v/>
      </c>
      <c r="CW10" s="831" t="str">
        <f>IF($C10&lt;1,"",(AVERAGEIFS('09월 에너지'!AF$14:AF$949,'09월 에너지'!$A$14:$A$949,$A10,'09월 에너지'!$C$14:$C$949,$B10)))</f>
        <v/>
      </c>
      <c r="CX10" s="831" t="str">
        <f>IF($C10&lt;1,"",(AVERAGEIFS('09월 에너지'!AG$14:AG$949,'09월 에너지'!$A$14:$A$949,$A10,'09월 에너지'!$C$14:$C$949,$B10)))</f>
        <v/>
      </c>
      <c r="CY10" s="831" t="str">
        <f>IF($C10&lt;1,"",(AVERAGEIFS('09월 에너지'!AH$14:AH$949,'09월 에너지'!$A$14:$A$949,$A10,'09월 에너지'!$C$14:$C$949,$B10)))</f>
        <v/>
      </c>
      <c r="CZ10" s="831" t="str">
        <f>IF($C10&lt;1,"",(AVERAGEIFS('09월 에너지'!AI$14:AI$949,'09월 에너지'!$A$14:$A$949,$A10,'09월 에너지'!$C$14:$C$949,$B10)))</f>
        <v/>
      </c>
      <c r="DA10" s="838" t="str">
        <f>IF($C10&lt;1,"",(AVERAGEIFS('09월 에너지'!AJ$14:AJ$949,'09월 에너지'!$A$14:$A$949,$A10,'09월 에너지'!$C$14:$C$949,$B10)))</f>
        <v/>
      </c>
    </row>
    <row r="11" spans="1:105" ht="13.5" customHeight="1">
      <c r="A11" s="847">
        <f>A6+1</f>
        <v>44928</v>
      </c>
      <c r="B11" s="848" t="s">
        <v>208</v>
      </c>
      <c r="C11" s="810">
        <f>COUNTIF('09월 조업일지'!$A$12:$A$952,A11)</f>
        <v>0</v>
      </c>
      <c r="D11" s="787" t="str">
        <f>IF(C11&lt;1,"",F11-E11)</f>
        <v/>
      </c>
      <c r="E11" s="787" t="str">
        <f>IF($C11&lt;1,"",(SUMIF('09월 조업일지'!$A$12:$A$952,$A11,'09월 조업일지'!$K$12:$K$952))/C11)</f>
        <v/>
      </c>
      <c r="F11" s="787" t="str">
        <f>IF($C11&lt;1,"",AVERAGEIF('09월 조업일지'!$A$12:$A$952,$A11,'09월 조업일지'!$J$12:$J$952))</f>
        <v/>
      </c>
      <c r="G11" s="811" t="str">
        <f>IF($C11&lt;1,"",AVERAGEIF('09월 에너지'!$A$14:$A$949,$A11,'09월 에너지'!$M$14:M$949))</f>
        <v/>
      </c>
      <c r="H11" s="812" t="str">
        <f>IF($C11&lt;1,"",AVERAGEIF('09월 조업일지'!$A$12:$A$952,$A11,'09월 조업일지'!$AJ$12:$AJ$952))</f>
        <v/>
      </c>
      <c r="I11" s="812" t="str">
        <f>IF($C11&lt;1,"",AVERAGEIF('09월 조업일지'!$A$12:$A$952,$A11,'09월 조업일지'!$AL$12:$AL$952))</f>
        <v/>
      </c>
      <c r="J11" s="813" t="str">
        <f>IF($C11&lt;1,"",AVERAGEIF('09월 화학성분'!$A$12:$A$949,$A11,'09월 화학성분'!G$12:G$949))</f>
        <v/>
      </c>
      <c r="K11" s="813" t="str">
        <f>IF($C11&lt;1,"",AVERAGEIF('09월 화학성분'!$A$12:$A$949,$A11,'09월 화학성분'!H$12:H$949))</f>
        <v/>
      </c>
      <c r="L11" s="813" t="str">
        <f>IF($C11&lt;1,"",AVERAGEIF('09월 화학성분'!$A$12:$A$949,$A11,'09월 화학성분'!I$12:I$949))</f>
        <v/>
      </c>
      <c r="M11" s="813" t="str">
        <f>IF($C11&lt;1,"",AVERAGEIF('09월 화학성분'!$A$12:$A$949,$A11,'09월 화학성분'!J$12:J$949))</f>
        <v/>
      </c>
      <c r="N11" s="813" t="str">
        <f>IF($C11&lt;1,"",AVERAGEIF('09월 화학성분'!$A$12:$A$949,$A11,'09월 화학성분'!K$12:K$949))</f>
        <v/>
      </c>
      <c r="O11" s="813" t="str">
        <f>IF($C11&lt;1,"",AVERAGEIF('09월 화학성분'!$A$12:$A$949,$A11,'09월 화학성분'!L$12:L$949))</f>
        <v/>
      </c>
      <c r="P11" s="813" t="str">
        <f>IF($C11&lt;1,"",AVERAGEIF('09월 화학성분'!$A$12:$A$949,$A11,'09월 화학성분'!M$12:M$949))</f>
        <v/>
      </c>
      <c r="Q11" s="814" t="str">
        <f>IF($C11&lt;1,"",AVERAGEIF('09월 조업일지'!$A$12:$A$952,$A11,'09월 조업일지'!$AA$12:$AA$952))</f>
        <v/>
      </c>
      <c r="R11" s="814" t="str">
        <f>IF($C11&lt;1,"",AVERAGEIF('09월 조업일지'!$A$12:$A$952,$A11,'09월 조업일지'!$AK$12:$AK$952))</f>
        <v/>
      </c>
      <c r="S11" s="814"/>
      <c r="T11" s="814"/>
      <c r="U11" s="813" t="str">
        <f>IF($C11&lt;1,"",AVERAGEIF('09월 화학성분'!$A$12:$A$949,$A11,'09월 화학성분'!$G$12:$G$949))</f>
        <v/>
      </c>
      <c r="V11" s="814" t="str">
        <f>IF($C11&lt;1,"",AVERAGEIF('09월 조업일지'!$A$12:$A$952,$A11,'09월 조업일지'!$AI$12:$AI$952))</f>
        <v/>
      </c>
      <c r="W11" s="813" t="str">
        <f>IF($C11&lt;1,"",AVERAGEIF('09월 화학성분'!$A$12:$A$949,$A11,'09월 화학성분'!$AM$12:$AM$949))</f>
        <v/>
      </c>
      <c r="X11" s="815" t="str">
        <f>IF($C11&lt;1,"",AVERAGEIF('09월 화학성분'!$A$12:$A$949,$A11,'09월 화학성분'!N$12:N$949))</f>
        <v/>
      </c>
      <c r="Y11" s="815" t="str">
        <f>IF($C11&lt;1,"",AVERAGEIF('09월 화학성분'!$A$12:$A$949,$A11,'09월 화학성분'!O$12:O$949))</f>
        <v/>
      </c>
      <c r="Z11" s="815" t="str">
        <f>IF($C11&lt;1,"",AVERAGEIF('09월 화학성분'!$A$12:$A$949,$A11,'09월 화학성분'!P$12:P$949))</f>
        <v/>
      </c>
      <c r="AA11" s="815" t="str">
        <f>IF($C11&lt;1,"",AVERAGEIF('09월 화학성분'!$A$12:$A$949,$A11,'09월 화학성분'!Q$12:Q$949))</f>
        <v/>
      </c>
      <c r="AB11" s="815" t="str">
        <f>IF($C11&lt;1,"",AVERAGEIF('09월 화학성분'!$A$12:$A$949,$A11,'09월 화학성분'!R$12:R$949))</f>
        <v/>
      </c>
      <c r="AC11" s="815" t="str">
        <f>IF($C11&lt;1,"",AVERAGEIF('09월 화학성분'!$A$12:$A$949,$A11,'09월 화학성분'!U$12:U$949))</f>
        <v/>
      </c>
      <c r="AD11" s="815" t="str">
        <f>IF($C11&lt;1,"",AVERAGEIF('09월 화학성분'!$A$12:$A$949,$A11,'09월 화학성분'!V$12:V$949))</f>
        <v/>
      </c>
      <c r="AE11" s="815" t="str">
        <f>IF($C11&lt;1,"",AVERAGEIF('09월 화학성분'!$A$12:$A$949,$A11,'09월 화학성분'!W$12:W$949))</f>
        <v/>
      </c>
      <c r="AF11" s="815" t="str">
        <f>IF($C11&lt;1,"",AVERAGEIF('09월 화학성분'!$A$12:$A$949,$A11,'09월 화학성분'!AA$12:AA$949))</f>
        <v/>
      </c>
      <c r="AG11" s="815" t="str">
        <f>IF($C11&lt;1,"",AVERAGEIF('09월 화학성분'!$A$12:$A$949,$A11,'09월 화학성분'!#REF!))</f>
        <v/>
      </c>
      <c r="AH11" s="815" t="str">
        <f>IF($C11&lt;1,"",AVERAGEIF('09월 화학성분'!$A$12:$A$949,$A11,'09월 화학성분'!AB$12:AB$949))</f>
        <v/>
      </c>
      <c r="AI11" s="815" t="str">
        <f>IF($C11&lt;1,"",AVERAGEIF('09월 화학성분'!$A$12:$A$949,$A11,'09월 화학성분'!AC$12:AC$949))</f>
        <v/>
      </c>
      <c r="AJ11" s="815" t="str">
        <f>IF($C11&lt;1,"",AVERAGEIF('09월 화학성분'!$A$12:$A$949,$A11,'09월 화학성분'!AD$12:AD$949))</f>
        <v/>
      </c>
      <c r="AK11" s="815" t="str">
        <f>IF($C11&lt;1,"",AVERAGEIF('09월 화학성분'!$A$12:$A$949,$A11,'09월 화학성분'!AF$12:AF$949))</f>
        <v/>
      </c>
      <c r="AL11" s="815" t="str">
        <f>IF($C11&lt;1,"",AVERAGEIF('09월 화학성분'!$A$12:$A$949,$A11,'09월 화학성분'!AG$12:AG$949))</f>
        <v/>
      </c>
      <c r="AM11" s="815" t="str">
        <f>IF($C11&lt;1,"",AVERAGEIF('09월 화학성분'!$A$12:$A$949,$A11,'09월 화학성분'!AH$12:AH$949))</f>
        <v/>
      </c>
      <c r="AN11" s="815" t="str">
        <f>IF($C11&lt;1,"",AVERAGEIF('09월 화학성분'!$A$12:$A$949,$A11,'09월 화학성분'!AI$12:AI$949))</f>
        <v/>
      </c>
      <c r="AO11" s="815" t="str">
        <f>IF($C11&lt;1,"",AVERAGEIF('09월 화학성분'!$A$12:$A$949,$A11,'09월 화학성분'!AJ$12:AJ$949))</f>
        <v/>
      </c>
      <c r="AP11" s="815" t="str">
        <f>IF($C11&lt;1,"",AVERAGEIF('09월 화학성분'!$A$12:$A$949,$A11,'09월 화학성분'!#REF!))</f>
        <v/>
      </c>
      <c r="AQ11" s="815" t="str">
        <f>IF($C11&lt;1,"",AVERAGEIF('09월 화학성분'!$A$12:$A$949,$A11,'09월 화학성분'!AL$12:AL$949))</f>
        <v/>
      </c>
      <c r="AR11" s="815" t="str">
        <f>IF($C11&lt;1,"",AVERAGEIF('09월 화학성분'!$A$12:$A$949,$A11,'09월 화학성분'!AM$12:AM$949))</f>
        <v/>
      </c>
      <c r="AS11" s="816" t="str">
        <f>IF($C11&lt;1,"",AVERAGEIF('09월 화학성분'!$A$12:$A$949,$A11,'09월 화학성분'!AN$12:AN$949))</f>
        <v/>
      </c>
      <c r="AT11" s="816" t="str">
        <f>IF($C11&lt;1,"",AVERAGEIF('09월 화학성분'!$A$12:$A$949,$A11,'09월 화학성분'!AO$12:AO$949))</f>
        <v/>
      </c>
      <c r="AU11" s="815" t="str">
        <f>IF($C11&lt;1,"",AVERAGEIF('09월 화학성분'!$A$12:$A$949,$A11,'09월 화학성분'!AP$12:AP$949))</f>
        <v/>
      </c>
      <c r="AV11" s="815" t="str">
        <f>IF($C11&lt;1,"",AVERAGEIF('09월 고철장입'!$A$14:$A$949,$A11,'09월 고철장입'!G$14:G$949)/1000)</f>
        <v/>
      </c>
      <c r="AW11" s="815" t="str">
        <f>IF($C11&lt;1,"",AVERAGEIF('09월 고철장입'!$A$14:$A$949,$A11,'09월 고철장입'!H$14:H$949)/1000)</f>
        <v/>
      </c>
      <c r="AX11" s="815" t="str">
        <f>IF($C11&lt;1,"",AVERAGEIF('09월 고철장입'!$A$14:$A$949,$A11,'09월 고철장입'!I$14:I$949)/1000)</f>
        <v/>
      </c>
      <c r="AY11" s="815" t="str">
        <f>IF($C11&lt;1,"",AVERAGEIF('09월 고철장입'!$A$14:$A$949,$A11,'09월 고철장입'!J$14:J$949)/1000)</f>
        <v/>
      </c>
      <c r="AZ11" s="815" t="str">
        <f>IF($C11&lt;1,"",AVERAGEIF('09월 고철장입'!$A$14:$A$949,$A11,'09월 고철장입'!K$14:K$949)/1000)</f>
        <v/>
      </c>
      <c r="BA11" s="815" t="str">
        <f>IF($C11&lt;1,"",AVERAGEIF('09월 고철장입'!$A$14:$A$949,$A11,'09월 고철장입'!L$14:L$949)/1000)</f>
        <v/>
      </c>
      <c r="BB11" s="815" t="str">
        <f>IF($C11&lt;1,"",AVERAGEIF('09월 고철장입'!$A$14:$A$949,$A11,'09월 고철장입'!M$14:M$949)/1000)</f>
        <v/>
      </c>
      <c r="BC11" s="815" t="str">
        <f>IF($C11&lt;1,"",AVERAGEIF('09월 고철장입'!$A$14:$A$949,$A11,'09월 고철장입'!N$14:N$949)/1000)</f>
        <v/>
      </c>
      <c r="BD11" s="815" t="str">
        <f>IF($C11&lt;1,"",AVERAGEIF('09월 고철장입'!$A$14:$A$949,$A11,'09월 고철장입'!O$14:O$949)/1000)</f>
        <v/>
      </c>
      <c r="BE11" s="815" t="str">
        <f>IF($C11&lt;1,"",AVERAGEIF('09월 고철장입'!$A$14:$A$949,$A11,'09월 고철장입'!P$14:P$949)/1000)</f>
        <v/>
      </c>
      <c r="BF11" s="815" t="str">
        <f>IF($C11&lt;1,"",AVERAGEIF('09월 고철장입'!$A$14:$A$949,$A11,'09월 고철장입'!Q$14:Q$949)/1000)</f>
        <v/>
      </c>
      <c r="BG11" s="815" t="str">
        <f>IF($C11&lt;1,"",AVERAGEIF('09월 고철장입'!$A$14:$A$949,$A11,'09월 고철장입'!S$14:S$949)/1000)</f>
        <v/>
      </c>
      <c r="BH11" s="815" t="str">
        <f>IF($C11&lt;1,"",AVERAGEIF('09월 고철장입'!$A$14:$A$949,$A11,'09월 고철장입'!T$14:T$949)/1000)</f>
        <v/>
      </c>
      <c r="BI11" s="815" t="str">
        <f>IF($C11&lt;1,"",AVERAGEIF('09월 고철장입'!$A$14:$A$949,$A11,'09월 고철장입'!U$14:U$949)/1000)</f>
        <v/>
      </c>
      <c r="BJ11" s="815" t="str">
        <f>IF($C11&lt;1,"",AVERAGEIF('09월 고철장입'!$A$14:$A$949,$A11,'09월 고철장입'!V$14:V$949)/1000)</f>
        <v/>
      </c>
      <c r="BK11" s="815" t="str">
        <f>IF($C11&lt;1,"",AVERAGEIF('09월 고철장입'!$A$14:$A$949,$A11,'09월 고철장입'!W$14:W$949)/1000)</f>
        <v/>
      </c>
      <c r="BL11" s="815" t="str">
        <f>IF($C11&lt;1,"",AVERAGEIF('09월 고철장입'!$A$14:$A$949,$A11,'09월 고철장입'!Y$14:Y$949)/1000)</f>
        <v/>
      </c>
      <c r="BM11" s="815" t="str">
        <f>IF($C11&lt;1,"",AVERAGEIF('09월 고철장입'!$A$14:$A$949,$A11,'09월 고철장입'!AB$14:AB$949)/1000)</f>
        <v/>
      </c>
      <c r="BN11" s="815" t="str">
        <f>IF($C11&lt;1,"",AVERAGEIF('09월 고철장입'!$A$14:$A$949,$A11,'09월 고철장입'!AC$14:AC$949)/1000)</f>
        <v/>
      </c>
      <c r="BO11" s="815" t="str">
        <f>IF($C11&lt;1,"",AVERAGEIF('09월 고철장입'!$A$14:$A$949,$A11,'09월 고철장입'!AD$14:AD$949)/1000)</f>
        <v/>
      </c>
      <c r="BP11" s="815" t="str">
        <f>IF($C11&lt;1,"",AVERAGEIF('09월 고철장입'!$A$14:$A$949,$A11,'09월 고철장입'!AE$14:AE$949)/1000)</f>
        <v/>
      </c>
      <c r="BQ11" s="815" t="str">
        <f>IF($C11&lt;1,"",AVERAGEIF('09월 고철장입'!$A$14:$A$949,$A11,'09월 고철장입'!AF$14:AF$949)/1000)</f>
        <v/>
      </c>
      <c r="BR11" s="815" t="str">
        <f>IF($C11&lt;1,"",AVERAGEIF('09월 고철장입'!$A$14:$A$949,$A11,'09월 고철장입'!AG$14:AG$949)/1000)</f>
        <v/>
      </c>
      <c r="BS11" s="815" t="str">
        <f>IF($C11&lt;1,"",AVERAGEIF('09월 고철장입'!$A$14:$A$949,$A11,'09월 고철장입'!AH$14:AH$949)/1000)</f>
        <v/>
      </c>
      <c r="BT11" s="815" t="str">
        <f>IF($C11&lt;1,"",AVERAGEIF('09월 고철장입'!$A$14:$A$949,$A11,'09월 고철장입'!AI$14:AI$949)/1000)</f>
        <v/>
      </c>
      <c r="BU11" s="815" t="str">
        <f>IF($C11&lt;1,"",AVERAGEIF('09월 고철장입'!$A$14:$A$949,$A11,'09월 고철장입'!AJ$14:AJ$949)/1000)</f>
        <v/>
      </c>
      <c r="BV11" s="815" t="str">
        <f>IF($C11&lt;1,"",AVERAGEIF('09월 고철장입'!$A$14:$A$949,$A11,'09월 고철장입'!AK$14:AK$949))</f>
        <v/>
      </c>
      <c r="BW11" s="815" t="str">
        <f>IF($C11&lt;1,"",AVERAGEIF('09월 고철장입'!$A$14:$A$949,$A11,'09월 고철장입'!AL$14:AL$949)*100)</f>
        <v/>
      </c>
      <c r="BX11" s="815" t="str">
        <f>IF($C11&lt;1,"",AVERAGEIF('09월 에너지'!$A$14:$A$949,$A11,'09월 에너지'!G$14:G$949))</f>
        <v/>
      </c>
      <c r="BY11" s="817" t="str">
        <f>IF($C11&lt;1,"",AVERAGEIF('09월 에너지'!$A$14:$A$949,$A11,'09월 에너지'!H$14:H$949))</f>
        <v/>
      </c>
      <c r="BZ11" s="815" t="str">
        <f>IF($C11&lt;1,"",AVERAGEIF('09월 에너지'!$A$14:$A$949,$A11,'09월 에너지'!I$14:I$949))</f>
        <v/>
      </c>
      <c r="CA11" s="817" t="str">
        <f>IF($C11&lt;1,"",AVERAGEIF('09월 에너지'!$A$14:$A$949,$A11,'09월 에너지'!J$14:J$949))</f>
        <v/>
      </c>
      <c r="CB11" s="815" t="str">
        <f>IF($C11&lt;1,"",AVERAGEIF('09월 에너지'!$A$14:$A$949,$A11,'09월 에너지'!K$14:K$949))</f>
        <v/>
      </c>
      <c r="CC11" s="817" t="str">
        <f>IF($C11&lt;1,"",AVERAGEIF('09월 에너지'!$A$14:$A$949,$A11,'09월 에너지'!L$14:L$949))</f>
        <v/>
      </c>
      <c r="CD11" s="815" t="str">
        <f>IF($C11&lt;1,"",AVERAGEIF('09월 에너지'!$A$14:$A$949,$A11,'09월 에너지'!M$14:M$949))</f>
        <v/>
      </c>
      <c r="CE11" s="817" t="str">
        <f>IF($C11&lt;1,"",AVERAGEIF('09월 에너지'!$A$14:$A$949,$A11,'09월 에너지'!N$14:N$949))</f>
        <v/>
      </c>
      <c r="CF11" s="815" t="str">
        <f>IF($C11&lt;1,"",AVERAGEIF('09월 에너지'!$A$14:$A$949,$A11,'09월 에너지'!O$14:O$949))</f>
        <v/>
      </c>
      <c r="CG11" s="815" t="str">
        <f>IF($C11&lt;1,"",AVERAGEIF('09월 에너지'!$A$14:$A$949,$A11,'09월 에너지'!P$14:P$949))</f>
        <v/>
      </c>
      <c r="CH11" s="815" t="str">
        <f>IF($C11&lt;1,"",AVERAGEIF('09월 에너지'!$A$14:$A$949,$A11,'09월 에너지'!Q$14:Q$949))</f>
        <v/>
      </c>
      <c r="CI11" s="815" t="str">
        <f>IF($C11&lt;1,"",AVERAGEIF('09월 에너지'!$A$14:$A$949,$A11,'09월 에너지'!R$14:R$949))</f>
        <v/>
      </c>
      <c r="CJ11" s="815" t="str">
        <f>IF($C11&lt;1,"",AVERAGEIF('09월 에너지'!$A$14:$A$949,$A11,'09월 에너지'!S$14:S$949))</f>
        <v/>
      </c>
      <c r="CK11" s="815" t="str">
        <f>IF($C11&lt;1,"",AVERAGEIF('09월 에너지'!$A$14:$A$949,$A11,'09월 에너지'!T$14:T$949))</f>
        <v/>
      </c>
      <c r="CL11" s="815" t="str">
        <f>IF($C11&lt;1,"",AVERAGEIF('09월 에너지'!$A$14:$A$949,$A11,'09월 에너지'!U$14:U$949))</f>
        <v/>
      </c>
      <c r="CM11" s="817" t="str">
        <f>IF($C11&lt;1,"",AVERAGEIF('09월 에너지'!$A$14:$A$949,$A11,'09월 에너지'!V$14:V$949))</f>
        <v/>
      </c>
      <c r="CN11" s="817" t="str">
        <f>IF($C11&lt;1,"",AVERAGEIF('09월 에너지'!$A$14:$A$949,$A11,'09월 에너지'!W$14:W$949))</f>
        <v/>
      </c>
      <c r="CO11" s="815" t="str">
        <f>IF($C11&lt;1,"",AVERAGEIF('09월 에너지'!$A$14:$A$949,$A11,'09월 에너지'!X$14:X$949))</f>
        <v/>
      </c>
      <c r="CP11" s="817" t="str">
        <f>IF($C11&lt;1,"",AVERAGEIF('09월 에너지'!$A$14:$A$949,$A11,'09월 에너지'!Y$14:Y$949))</f>
        <v/>
      </c>
      <c r="CQ11" s="817" t="str">
        <f>IF($C11&lt;1,"",AVERAGEIF('09월 에너지'!$A$14:$A$949,$A11,'09월 에너지'!Z$14:Z$949))</f>
        <v/>
      </c>
      <c r="CR11" s="817" t="str">
        <f>IF($C11&lt;1,"",AVERAGEIF('09월 에너지'!$A$14:$A$949,$A11,'09월 에너지'!AA$14:AA$949))</f>
        <v/>
      </c>
      <c r="CS11" s="817" t="str">
        <f>IF($C11&lt;1,"",AVERAGEIF('09월 에너지'!$A$14:$A$949,$A11,'09월 에너지'!AB$14:AB$949))</f>
        <v/>
      </c>
      <c r="CT11" s="815" t="str">
        <f>IF($C11&lt;1,"",AVERAGEIF('09월 에너지'!$A$14:$A$949,$A11,'09월 에너지'!AC$14:AC$949))</f>
        <v/>
      </c>
      <c r="CU11" s="818" t="str">
        <f>IF($C11&lt;1,"",AVERAGEIF('09월 에너지'!$A$14:$A$949,$A11,'09월 에너지'!AD$14:AD$949))</f>
        <v/>
      </c>
      <c r="CV11" s="819" t="str">
        <f>IF($C11&lt;1,"",AVERAGEIF('09월 에너지'!$A$14:$A$949,$A11,'09월 에너지'!AE$14:AE$949))</f>
        <v/>
      </c>
      <c r="CW11" s="815" t="str">
        <f>IF($C11&lt;1,"",AVERAGEIF('09월 에너지'!$A$14:$A$949,$A11,'09월 에너지'!AF$14:AF$949))</f>
        <v/>
      </c>
      <c r="CX11" s="815" t="str">
        <f>IF($C11&lt;1,"",AVERAGEIF('09월 에너지'!$A$14:$A$949,$A11,'09월 에너지'!AG$14:AG$949))</f>
        <v/>
      </c>
      <c r="CY11" s="815" t="str">
        <f>IF($C11&lt;1,"",AVERAGEIF('09월 에너지'!$A$14:$A$949,$A11,'09월 에너지'!AH$14:AH$949))</f>
        <v/>
      </c>
      <c r="CZ11" s="815" t="str">
        <f>IF($C11&lt;1,"",AVERAGEIF('09월 에너지'!$A$14:$A$949,$A11,'09월 에너지'!AI$14:AI$949))</f>
        <v/>
      </c>
      <c r="DA11" s="820" t="str">
        <f>IF($C11&lt;1,"",AVERAGEIF('09월 에너지'!$A$14:$A$949,$A11,'09월 에너지'!AJ$14:AJ$949))</f>
        <v/>
      </c>
    </row>
    <row r="12" spans="1:105" ht="13.5" customHeight="1">
      <c r="A12" s="849">
        <f t="shared" ref="A12:A75" si="2">A7+1</f>
        <v>44928</v>
      </c>
      <c r="B12" s="850" t="s">
        <v>203</v>
      </c>
      <c r="C12" s="823">
        <f>COUNTIFS('09월 조업일지'!$A$12:$A$952,A11,'09월 조업일지'!$E$12:$E$952,B12)</f>
        <v>0</v>
      </c>
      <c r="D12" s="824" t="str">
        <f>IF(C12&lt;1,"",F12-E12)</f>
        <v/>
      </c>
      <c r="E12" s="824" t="str">
        <f>IF($C12&lt;1,"",(SUMIFS('09월 조업일지'!$K$12:$K$952,'09월 조업일지'!$A$12:$A$952,$A12,'09월 조업일지'!$E$12:$E$952,$B12)/$C12))</f>
        <v/>
      </c>
      <c r="F12" s="824" t="str">
        <f>IF($C12&lt;1,"",(AVERAGEIFS('09월 조업일지'!$J$12:$J$952,'09월 조업일지'!$A$12:$A$952,$A12,'09월 조업일지'!$E$12:$E$952,$B12)))</f>
        <v/>
      </c>
      <c r="G12" s="825" t="str">
        <f>IF($C12&lt;1,"",(AVERAGEIFS('09월 에너지'!$M$14:$M$949,'09월 에너지'!$A$14:$A$949,$A12,'09월 에너지'!$C$14:$C$949,$B12)))</f>
        <v/>
      </c>
      <c r="H12" s="826" t="str">
        <f>IF($C12&lt;1,"",(AVERAGEIFS('09월 조업일지'!$AJ$12:$AJ$952,'09월 조업일지'!$A$12:$A$952,$A12,'09월 조업일지'!$E$12:$E$952,$B12)))</f>
        <v/>
      </c>
      <c r="I12" s="826" t="str">
        <f>IF($C12&lt;1,"",(AVERAGEIFS('09월 조업일지'!$AL$12:$AL$952,'09월 조업일지'!$A$12:$A$952,$A12,'09월 조업일지'!$E$12:$E$952,$B12)))</f>
        <v/>
      </c>
      <c r="J12" s="827" t="str">
        <f>IF($C12&lt;1,"",(AVERAGEIFS('09월 화학성분'!G$12:G$949,'09월 화학성분'!$A$12:$A$949,$A12,'09월 화학성분'!$D$12:$D$949,$B12)))</f>
        <v/>
      </c>
      <c r="K12" s="827" t="str">
        <f>IF($C12&lt;1,"",(AVERAGEIFS('09월 화학성분'!H$12:H$949,'09월 화학성분'!$A$12:$A$949,$A12,'09월 화학성분'!$D$12:$D$949,$B12)))</f>
        <v/>
      </c>
      <c r="L12" s="827" t="str">
        <f>IF($C12&lt;1,"",(AVERAGEIFS('09월 화학성분'!I$12:I$949,'09월 화학성분'!$A$12:$A$949,$A12,'09월 화학성분'!$D$12:$D$949,$B12)))</f>
        <v/>
      </c>
      <c r="M12" s="827" t="str">
        <f>IF($C12&lt;1,"",(AVERAGEIFS('09월 화학성분'!J$12:J$949,'09월 화학성분'!$A$12:$A$949,$A12,'09월 화학성분'!$D$12:$D$949,$B12)))</f>
        <v/>
      </c>
      <c r="N12" s="827" t="str">
        <f>IF($C12&lt;1,"",(AVERAGEIFS('09월 화학성분'!K$12:K$949,'09월 화학성분'!$A$12:$A$949,$A12,'09월 화학성분'!$D$12:$D$949,$B12)))</f>
        <v/>
      </c>
      <c r="O12" s="827" t="str">
        <f>IF($C12&lt;1,"",(AVERAGEIFS('09월 화학성분'!L$12:L$949,'09월 화학성분'!$A$12:$A$949,$A12,'09월 화학성분'!$D$12:$D$949,$B12)))</f>
        <v/>
      </c>
      <c r="P12" s="827" t="str">
        <f>IF($C12&lt;1,"",(AVERAGEIFS('09월 화학성분'!M$12:M$949,'09월 화학성분'!$A$12:$A$949,$A12,'09월 화학성분'!$D$12:$D$949,$B12)))</f>
        <v/>
      </c>
      <c r="Q12" s="827" t="str">
        <f>IFERROR(IF($C12&lt;1,"",(AVERAGEIFS('09월 조업일지'!$AA$12:$AA$952,'09월 조업일지'!$A$12:$A$952,$A12,'09월 조업일지'!$E$12:$E$952,$B12))),"")</f>
        <v/>
      </c>
      <c r="R12" s="827" t="str">
        <f>IF($C12&lt;1,"",(AVERAGEIFS('09월 조업일지'!$AK$12:$AK$952,'09월 조업일지'!$A$12:$A$952,$A12,'09월 조업일지'!$E$12:$E$952,$B12)))</f>
        <v/>
      </c>
      <c r="S12" s="827"/>
      <c r="T12" s="827"/>
      <c r="U12" s="827" t="str">
        <f>IF($C12&lt;1,"",(AVERAGEIFS('09월 화학성분'!$G$12:$G$949,'09월 화학성분'!$A$12:$A$949,$A12,'09월 화학성분'!$D$12:$D$949,$B12)))</f>
        <v/>
      </c>
      <c r="V12" s="827" t="str">
        <f>IF($C12&lt;1,"",(AVERAGEIFS('09월 조업일지'!$AI$12:$AI$952,'09월 조업일지'!$A$12:$A$952,$A12,'09월 조업일지'!$E$12:$E$952,$B12)))</f>
        <v/>
      </c>
      <c r="W12" s="828" t="str">
        <f>IF($C12&lt;1,"",(AVERAGEIFS('09월 화학성분'!$AM$12:$AM$949,'09월 화학성분'!$A$12:$A$949,$A12,'09월 화학성분'!$D$12:$D$949,$B12)))</f>
        <v/>
      </c>
      <c r="X12" s="829" t="str">
        <f>IF($C12&lt;1,"",(AVERAGEIFS('09월 화학성분'!N$12:N$949,'09월 화학성분'!$A$12:$A$949,$A12,'09월 화학성분'!$D$12:$D$949,$B12)))</f>
        <v/>
      </c>
      <c r="Y12" s="829" t="str">
        <f>IF($C12&lt;1,"",(AVERAGEIFS('09월 화학성분'!O$12:O$949,'09월 화학성분'!$A$12:$A$949,$A12,'09월 화학성분'!$D$12:$D$949,$B12)))</f>
        <v/>
      </c>
      <c r="Z12" s="829" t="str">
        <f>IF($C12&lt;1,"",(AVERAGEIFS('09월 화학성분'!P$12:P$949,'09월 화학성분'!$A$12:$A$949,$A12,'09월 화학성분'!$D$12:$D$949,$B12)))</f>
        <v/>
      </c>
      <c r="AA12" s="829" t="str">
        <f>IF($C12&lt;1,"",(AVERAGEIFS('09월 화학성분'!Q$12:Q$949,'09월 화학성분'!$A$12:$A$949,$A12,'09월 화학성분'!$D$12:$D$949,$B12)))</f>
        <v/>
      </c>
      <c r="AB12" s="829" t="str">
        <f>IF($C12&lt;1,"",(AVERAGEIFS('09월 화학성분'!R$12:R$949,'09월 화학성분'!$A$12:$A$949,$A12,'09월 화학성분'!$D$12:$D$949,$B12)))</f>
        <v/>
      </c>
      <c r="AC12" s="829" t="str">
        <f>IF($C12&lt;1,"",(AVERAGEIFS('09월 화학성분'!U$12:U$949,'09월 화학성분'!$A$12:$A$949,$A12,'09월 화학성분'!$D$12:$D$949,$B12)))</f>
        <v/>
      </c>
      <c r="AD12" s="829" t="str">
        <f>IF($C12&lt;1,"",(AVERAGEIFS('09월 화학성분'!V$12:V$949,'09월 화학성분'!$A$12:$A$949,$A12,'09월 화학성분'!$D$12:$D$949,$B12)))</f>
        <v/>
      </c>
      <c r="AE12" s="829" t="str">
        <f>IF($C12&lt;1,"",(AVERAGEIFS('09월 화학성분'!W$12:W$949,'09월 화학성분'!$A$12:$A$949,$A12,'09월 화학성분'!$D$12:$D$949,$B12)))</f>
        <v/>
      </c>
      <c r="AF12" s="829" t="str">
        <f>IF($C12&lt;1,"",(AVERAGEIFS('09월 화학성분'!AA$12:AA$949,'09월 화학성분'!$A$12:$A$949,$A12,'09월 화학성분'!$D$12:$D$949,$B12)))</f>
        <v/>
      </c>
      <c r="AG12" s="829" t="str">
        <f>IF($C12&lt;1,"",(AVERAGEIFS('09월 화학성분'!#REF!,'09월 화학성분'!$A$12:$A$949,$A12,'09월 화학성분'!$D$12:$D$949,$B12)))</f>
        <v/>
      </c>
      <c r="AH12" s="829" t="str">
        <f>IF($C12&lt;1,"",(AVERAGEIFS('09월 화학성분'!AB$12:AB$949,'09월 화학성분'!$A$12:$A$949,$A12,'09월 화학성분'!$D$12:$D$949,$B12)))</f>
        <v/>
      </c>
      <c r="AI12" s="829" t="str">
        <f>IF($C12&lt;1,"",(AVERAGEIFS('09월 화학성분'!AC$12:AC$949,'09월 화학성분'!$A$12:$A$949,$A12,'09월 화학성분'!$D$12:$D$949,$B12)))</f>
        <v/>
      </c>
      <c r="AJ12" s="829" t="str">
        <f>IF($C12&lt;1,"",(AVERAGEIFS('09월 화학성분'!AD$12:AD$949,'09월 화학성분'!$A$12:$A$949,$A12,'09월 화학성분'!$D$12:$D$949,$B12)))</f>
        <v/>
      </c>
      <c r="AK12" s="829" t="str">
        <f>IF($C12&lt;1,"",(AVERAGEIFS('09월 화학성분'!AF$12:AF$949,'09월 화학성분'!$A$12:$A$949,$A12,'09월 화학성분'!$D$12:$D$949,$B12)))</f>
        <v/>
      </c>
      <c r="AL12" s="829" t="str">
        <f>IF($C12&lt;1,"",(AVERAGEIFS('09월 화학성분'!AG$12:AG$949,'09월 화학성분'!$A$12:$A$949,$A12,'09월 화학성분'!$D$12:$D$949,$B12)))</f>
        <v/>
      </c>
      <c r="AM12" s="829" t="str">
        <f>IF($C12&lt;1,"",(AVERAGEIFS('09월 화학성분'!AH$12:AH$949,'09월 화학성분'!$A$12:$A$949,$A12,'09월 화학성분'!$D$12:$D$949,$B12)))</f>
        <v/>
      </c>
      <c r="AN12" s="829" t="str">
        <f>IF($C12&lt;1,"",(AVERAGEIFS('09월 화학성분'!AI$12:AI$949,'09월 화학성분'!$A$12:$A$949,$A12,'09월 화학성분'!$D$12:$D$949,$B12)))</f>
        <v/>
      </c>
      <c r="AO12" s="829" t="str">
        <f>IF($C12&lt;1,"",(AVERAGEIFS('09월 화학성분'!AJ$12:AJ$949,'09월 화학성분'!$A$12:$A$949,$A12,'09월 화학성분'!$D$12:$D$949,$B12)))</f>
        <v/>
      </c>
      <c r="AP12" s="829" t="str">
        <f>IF($C12&lt;1,"",(AVERAGEIFS('09월 화학성분'!#REF!,'09월 화학성분'!$A$12:$A$949,$A12,'09월 화학성분'!$D$12:$D$949,$B12)))</f>
        <v/>
      </c>
      <c r="AQ12" s="829" t="str">
        <f>IF($C12&lt;1,"",(AVERAGEIFS('09월 화학성분'!AL$12:AL$949,'09월 화학성분'!$A$12:$A$949,$A12,'09월 화학성분'!$D$12:$D$949,$B12)))</f>
        <v/>
      </c>
      <c r="AR12" s="829" t="str">
        <f>IF($C12&lt;1,"",(AVERAGEIFS('09월 화학성분'!AM$12:AM$949,'09월 화학성분'!$A$12:$A$949,$A12,'09월 화학성분'!$D$12:$D$949,$B12)))</f>
        <v/>
      </c>
      <c r="AS12" s="830" t="str">
        <f>IF($C12&lt;1,"",(AVERAGEIFS('09월 화학성분'!AN$12:AN$949,'09월 화학성분'!$A$12:$A$949,$A12,'09월 화학성분'!$D$12:$D$949,$B12)))</f>
        <v/>
      </c>
      <c r="AT12" s="830" t="str">
        <f>IF($C12&lt;1,"",(AVERAGEIFS('09월 화학성분'!AO$12:AO$949,'09월 화학성분'!$A$12:$A$949,$A12,'09월 화학성분'!$D$12:$D$949,$B12)))</f>
        <v/>
      </c>
      <c r="AU12" s="831" t="str">
        <f>IF($C12&lt;1,"",(AVERAGEIFS('09월 화학성분'!AP$12:AP$949,'09월 화학성분'!$A$12:$A$949,$A12,'09월 화학성분'!$D$12:$D$949,$B12)))</f>
        <v/>
      </c>
      <c r="AV12" s="832" t="str">
        <f>IF($C12&lt;1,"",(AVERAGEIFS('09월 고철장입'!G$14:G$949,'09월 고철장입'!$A$14:$A$949,$A12,'09월 고철장입'!$C$14:$C$949,$B12))/1000)</f>
        <v/>
      </c>
      <c r="AW12" s="832" t="str">
        <f>IF($C12&lt;1,"",(AVERAGEIFS('09월 고철장입'!H$14:H$949,'09월 고철장입'!$A$14:$A$949,$A12,'09월 고철장입'!$C$14:$C$949,$B12))/1000)</f>
        <v/>
      </c>
      <c r="AX12" s="832" t="str">
        <f>IF($C12&lt;1,"",(AVERAGEIFS('09월 고철장입'!I$14:I$949,'09월 고철장입'!$A$14:$A$949,$A12,'09월 고철장입'!$C$14:$C$949,$B12))/1000)</f>
        <v/>
      </c>
      <c r="AY12" s="832" t="str">
        <f>IF($C12&lt;1,"",(AVERAGEIFS('09월 고철장입'!J$14:J$949,'09월 고철장입'!$A$14:$A$949,$A12,'09월 고철장입'!$C$14:$C$949,$B12))/1000)</f>
        <v/>
      </c>
      <c r="AZ12" s="832" t="str">
        <f>IF($C12&lt;1,"",(AVERAGEIFS('09월 고철장입'!K$14:K$949,'09월 고철장입'!$A$14:$A$949,$A12,'09월 고철장입'!$C$14:$C$949,$B12))/1000)</f>
        <v/>
      </c>
      <c r="BA12" s="832" t="str">
        <f>IF($C12&lt;1,"",(AVERAGEIFS('09월 고철장입'!L$14:L$949,'09월 고철장입'!$A$14:$A$949,$A12,'09월 고철장입'!$C$14:$C$949,$B12))/1000)</f>
        <v/>
      </c>
      <c r="BB12" s="832" t="str">
        <f>IF($C12&lt;1,"",(AVERAGEIFS('09월 고철장입'!M$14:M$949,'09월 고철장입'!$A$14:$A$949,$A12,'09월 고철장입'!$C$14:$C$949,$B12))/1000)</f>
        <v/>
      </c>
      <c r="BC12" s="832" t="str">
        <f>IF($C12&lt;1,"",(AVERAGEIFS('09월 고철장입'!N$14:N$949,'09월 고철장입'!$A$14:$A$949,$A12,'09월 고철장입'!$C$14:$C$949,$B12))/1000)</f>
        <v/>
      </c>
      <c r="BD12" s="832" t="str">
        <f>IF($C12&lt;1,"",(AVERAGEIFS('09월 고철장입'!O$14:O$949,'09월 고철장입'!$A$14:$A$949,$A12,'09월 고철장입'!$C$14:$C$949,$B12))/1000)</f>
        <v/>
      </c>
      <c r="BE12" s="833" t="str">
        <f>IF($C12&lt;1,"",(AVERAGEIFS('09월 고철장입'!P$14:P$949,'09월 고철장입'!$A$14:$A$949,$A12,'09월 고철장입'!$C$14:$C$949,$B12))/1000)</f>
        <v/>
      </c>
      <c r="BF12" s="833" t="str">
        <f>IF($C12&lt;1,"",(AVERAGEIFS('09월 고철장입'!Q$14:Q$949,'09월 고철장입'!$A$14:$A$949,$A12,'09월 고철장입'!$C$14:$C$949,$B12))/1000)</f>
        <v/>
      </c>
      <c r="BG12" s="833" t="str">
        <f>IF($C12&lt;1,"",(AVERAGEIFS('09월 고철장입'!S$14:S$949,'09월 고철장입'!$A$14:$A$949,$A12,'09월 고철장입'!$C$14:$C$949,$B12))/1000)</f>
        <v/>
      </c>
      <c r="BH12" s="833" t="str">
        <f>IF($C12&lt;1,"",(AVERAGEIFS('09월 고철장입'!T$14:T$949,'09월 고철장입'!$A$14:$A$949,$A12,'09월 고철장입'!$C$14:$C$949,$B12))/1000)</f>
        <v/>
      </c>
      <c r="BI12" s="833" t="str">
        <f>IF($C12&lt;1,"",(AVERAGEIFS('09월 고철장입'!U$14:U$949,'09월 고철장입'!$A$14:$A$949,$A12,'09월 고철장입'!$C$14:$C$949,$B12))/1000)</f>
        <v/>
      </c>
      <c r="BJ12" s="833" t="str">
        <f>IF($C12&lt;1,"",(AVERAGEIFS('09월 고철장입'!V$14:V$949,'09월 고철장입'!$A$14:$A$949,$A12,'09월 고철장입'!$C$14:$C$949,$B12))/1000)</f>
        <v/>
      </c>
      <c r="BK12" s="833" t="str">
        <f>IF($C12&lt;1,"",(AVERAGEIFS('09월 고철장입'!W$14:W$949,'09월 고철장입'!$A$14:$A$949,$A12,'09월 고철장입'!$C$14:$C$949,$B12))/1000)</f>
        <v/>
      </c>
      <c r="BL12" s="833" t="str">
        <f>IF($C12&lt;1,"",(AVERAGEIFS('09월 고철장입'!Y$14:Y$949,'09월 고철장입'!$A$14:$A$949,$A12,'09월 고철장입'!$C$14:$C$949,$B12))/1000)</f>
        <v/>
      </c>
      <c r="BM12" s="833" t="str">
        <f>IF($C12&lt;1,"",(AVERAGEIFS('09월 고철장입'!AB$14:AB$949,'09월 고철장입'!$A$14:$A$949,$A12,'09월 고철장입'!$C$14:$C$949,$B12))/1000)</f>
        <v/>
      </c>
      <c r="BN12" s="833" t="str">
        <f>IF($C12&lt;1,"",(AVERAGEIFS('09월 고철장입'!AC$14:AC$949,'09월 고철장입'!$A$14:$A$949,$A12,'09월 고철장입'!$C$14:$C$949,$B12))/1000)</f>
        <v/>
      </c>
      <c r="BO12" s="833" t="str">
        <f>IF($C12&lt;1,"",(AVERAGEIFS('09월 고철장입'!AD$14:AD$949,'09월 고철장입'!$A$14:$A$949,$A12,'09월 고철장입'!$C$14:$C$949,$B12))/1000)</f>
        <v/>
      </c>
      <c r="BP12" s="833" t="str">
        <f>IF($C12&lt;1,"",(AVERAGEIFS('09월 고철장입'!AE$14:AE$949,'09월 고철장입'!$A$14:$A$949,$A12,'09월 고철장입'!$C$14:$C$949,$B12))/1000)</f>
        <v/>
      </c>
      <c r="BQ12" s="832" t="str">
        <f>IF($C12&lt;1,"",(AVERAGEIFS('09월 고철장입'!AF$14:AF$949,'09월 고철장입'!$A$14:$A$949,$A12,'09월 고철장입'!$C$14:$C$949,$B12))/1000)</f>
        <v/>
      </c>
      <c r="BR12" s="832" t="str">
        <f>IF($C12&lt;1,"",(AVERAGEIFS('09월 고철장입'!AG$14:AG$949,'09월 고철장입'!$A$14:$A$949,$A12,'09월 고철장입'!$C$14:$C$949,$B12))/1000)</f>
        <v/>
      </c>
      <c r="BS12" s="832" t="str">
        <f>IF($C12&lt;1,"",(AVERAGEIFS('09월 고철장입'!AH$14:AH$949,'09월 고철장입'!$A$14:$A$949,$A12,'09월 고철장입'!$C$14:$C$949,$B12))/1000)</f>
        <v/>
      </c>
      <c r="BT12" s="832" t="str">
        <f>IF($C12&lt;1,"",(AVERAGEIFS('09월 고철장입'!AI$14:AI$949,'09월 고철장입'!$A$14:$A$949,$A12,'09월 고철장입'!$C$14:$C$949,$B12))/1000)</f>
        <v/>
      </c>
      <c r="BU12" s="834" t="str">
        <f>IF($C12&lt;1,"",(AVERAGEIFS('09월 고철장입'!AJ$14:AJ$949,'09월 고철장입'!$A$14:$A$949,$A12,'09월 고철장입'!$C$14:$C$949,$B12))/1000)</f>
        <v/>
      </c>
      <c r="BV12" s="834" t="str">
        <f>IF($C12&lt;1,"",(AVERAGEIFS('09월 고철장입'!AK$14:AK$949,'09월 고철장입'!$A$14:$A$949,$A12,'09월 고철장입'!$C$14:$C$949,$B12)))</f>
        <v/>
      </c>
      <c r="BW12" s="834" t="str">
        <f>IF($C12&lt;1,"",(AVERAGEIFS('09월 고철장입'!AL$14:AL$949,'09월 고철장입'!$A$14:$A$949,$A12,'09월 고철장입'!$C$14:$C$949,$B12))*100)</f>
        <v/>
      </c>
      <c r="BX12" s="831" t="str">
        <f>IF($C12&lt;1,"",(AVERAGEIFS('09월 에너지'!G$14:G$949,'09월 에너지'!$A$14:$A$949,$A12,'09월 에너지'!$C$14:$C$949,$B12)))</f>
        <v/>
      </c>
      <c r="BY12" s="835" t="str">
        <f>IF($C12&lt;1,"",(AVERAGEIFS('09월 에너지'!H$14:H$949,'09월 에너지'!$A$14:$A$949,$A12,'09월 에너지'!$C$14:$C$949,$B12)))</f>
        <v/>
      </c>
      <c r="BZ12" s="831" t="str">
        <f>IF($C12&lt;1,"",(AVERAGEIFS('09월 에너지'!I$14:I$949,'09월 에너지'!$A$14:$A$949,$A12,'09월 에너지'!$C$14:$C$949,$B12)))</f>
        <v/>
      </c>
      <c r="CA12" s="835" t="str">
        <f>IF($C12&lt;1,"",(AVERAGEIFS('09월 에너지'!J$14:J$949,'09월 에너지'!$A$14:$A$949,$A12,'09월 에너지'!$C$14:$C$949,$B12)))</f>
        <v/>
      </c>
      <c r="CB12" s="831" t="str">
        <f>IF($C12&lt;1,"",(AVERAGEIFS('09월 에너지'!K$14:K$949,'09월 에너지'!$A$14:$A$949,$A12,'09월 에너지'!$C$14:$C$949,$B12)))</f>
        <v/>
      </c>
      <c r="CC12" s="835" t="str">
        <f>IF($C12&lt;1,"",(AVERAGEIFS('09월 에너지'!L$14:L$949,'09월 에너지'!$A$14:$A$949,$A12,'09월 에너지'!$C$14:$C$949,$B12)))</f>
        <v/>
      </c>
      <c r="CD12" s="831" t="str">
        <f>IF($C12&lt;1,"",(AVERAGEIFS('09월 에너지'!M$14:M$949,'09월 에너지'!$A$14:$A$949,$A12,'09월 에너지'!$C$14:$C$949,$B12)))</f>
        <v/>
      </c>
      <c r="CE12" s="835" t="str">
        <f>IF($C12&lt;1,"",(AVERAGEIFS('09월 에너지'!N$14:N$949,'09월 에너지'!$A$14:$A$949,$A12,'09월 에너지'!$C$14:$C$949,$B12)))</f>
        <v/>
      </c>
      <c r="CF12" s="831" t="str">
        <f>IF($C12&lt;1,"",(AVERAGEIFS('09월 에너지'!O$14:O$949,'09월 에너지'!$A$14:$A$949,$A12,'09월 에너지'!$C$14:$C$949,$B12)))</f>
        <v/>
      </c>
      <c r="CG12" s="831" t="str">
        <f>IF($C12&lt;1,"",(AVERAGEIFS('09월 에너지'!P$14:P$949,'09월 에너지'!$A$14:$A$949,$A12,'09월 에너지'!$C$14:$C$949,$B12)))</f>
        <v/>
      </c>
      <c r="CH12" s="831" t="str">
        <f>IF($C12&lt;1,"",(AVERAGEIFS('09월 에너지'!Q$14:Q$949,'09월 에너지'!$A$14:$A$949,$A12,'09월 에너지'!$C$14:$C$949,$B12)))</f>
        <v/>
      </c>
      <c r="CI12" s="831" t="str">
        <f>IF($C12&lt;1,"",(AVERAGEIFS('09월 에너지'!R$14:R$949,'09월 에너지'!$A$14:$A$949,$A12,'09월 에너지'!$C$14:$C$949,$B12)))</f>
        <v/>
      </c>
      <c r="CJ12" s="831" t="str">
        <f>IF($C12&lt;1,"",(AVERAGEIFS('09월 에너지'!S$14:S$949,'09월 에너지'!$A$14:$A$949,$A12,'09월 에너지'!$C$14:$C$949,$B12)))</f>
        <v/>
      </c>
      <c r="CK12" s="831" t="str">
        <f>IF($C12&lt;1,"",(AVERAGEIFS('09월 에너지'!T$14:T$949,'09월 에너지'!$A$14:$A$949,$A12,'09월 에너지'!$C$14:$C$949,$B12)))</f>
        <v/>
      </c>
      <c r="CL12" s="831" t="str">
        <f>IF($C12&lt;1,"",(AVERAGEIFS('09월 에너지'!U$14:U$949,'09월 에너지'!$A$14:$A$949,$A12,'09월 에너지'!$C$14:$C$949,$B12)))</f>
        <v/>
      </c>
      <c r="CM12" s="835" t="str">
        <f>IF($C12&lt;1,"",(AVERAGEIFS('09월 에너지'!V$14:V$949,'09월 에너지'!$A$14:$A$949,$A12,'09월 에너지'!$C$14:$C$949,$B12)))</f>
        <v/>
      </c>
      <c r="CN12" s="835" t="str">
        <f>IF($C12&lt;1,"",(AVERAGEIFS('09월 에너지'!W$14:W$949,'09월 에너지'!$A$14:$A$949,$A12,'09월 에너지'!$C$14:$C$949,$B12)))</f>
        <v/>
      </c>
      <c r="CO12" s="831" t="str">
        <f>IF($C12&lt;1,"",(AVERAGEIFS('09월 에너지'!X$14:X$949,'09월 에너지'!$A$14:$A$949,$A12,'09월 에너지'!$C$14:$C$949,$B12)))</f>
        <v/>
      </c>
      <c r="CP12" s="835" t="str">
        <f>IF($C12&lt;1,"",(AVERAGEIFS('09월 에너지'!Y$14:Y$949,'09월 에너지'!$A$14:$A$949,$A12,'09월 에너지'!$C$14:$C$949,$B12)))</f>
        <v/>
      </c>
      <c r="CQ12" s="835" t="str">
        <f>IF($C12&lt;1,"",(AVERAGEIFS('09월 에너지'!Z$14:Z$949,'09월 에너지'!$A$14:$A$949,$A12,'09월 에너지'!$C$14:$C$949,$B12)))</f>
        <v/>
      </c>
      <c r="CR12" s="835" t="str">
        <f>IF($C12&lt;1,"",(AVERAGEIFS('09월 에너지'!AA$14:AA$949,'09월 에너지'!$A$14:$A$949,$A12,'09월 에너지'!$C$14:$C$949,$B12)))</f>
        <v/>
      </c>
      <c r="CS12" s="835" t="str">
        <f>IF($C12&lt;1,"",(AVERAGEIFS('09월 에너지'!AB$14:AB$949,'09월 에너지'!$A$14:$A$949,$A12,'09월 에너지'!$C$14:$C$949,$B12)))</f>
        <v/>
      </c>
      <c r="CT12" s="831" t="str">
        <f>IF($C12&lt;1,"",(AVERAGEIFS('09월 에너지'!AC$14:AC$949,'09월 에너지'!$A$14:$A$949,$A12,'09월 에너지'!$C$14:$C$949,$B12)))</f>
        <v/>
      </c>
      <c r="CU12" s="836" t="str">
        <f>IF($C12&lt;1,"",(AVERAGEIFS('09월 에너지'!AD$14:AD$949,'09월 에너지'!$A$14:$A$949,$A12,'09월 에너지'!$C$14:$C$949,$B12)))</f>
        <v/>
      </c>
      <c r="CV12" s="837" t="str">
        <f>IF($C12&lt;1,"",(AVERAGEIFS('09월 에너지'!AE$14:AE$949,'09월 에너지'!$A$14:$A$949,$A12,'09월 에너지'!$C$14:$C$949,$B12)))</f>
        <v/>
      </c>
      <c r="CW12" s="831" t="str">
        <f>IF($C12&lt;1,"",(AVERAGEIFS('09월 에너지'!AF$14:AF$949,'09월 에너지'!$A$14:$A$949,$A12,'09월 에너지'!$C$14:$C$949,$B12)))</f>
        <v/>
      </c>
      <c r="CX12" s="831" t="str">
        <f>IF($C12&lt;1,"",(AVERAGEIFS('09월 에너지'!AG$14:AG$949,'09월 에너지'!$A$14:$A$949,$A12,'09월 에너지'!$C$14:$C$949,$B12)))</f>
        <v/>
      </c>
      <c r="CY12" s="831" t="str">
        <f>IF($C12&lt;1,"",(AVERAGEIFS('09월 에너지'!AH$14:AH$949,'09월 에너지'!$A$14:$A$949,$A12,'09월 에너지'!$C$14:$C$949,$B12)))</f>
        <v/>
      </c>
      <c r="CZ12" s="831" t="str">
        <f>IF($C12&lt;1,"",(AVERAGEIFS('09월 에너지'!AI$14:AI$949,'09월 에너지'!$A$14:$A$949,$A12,'09월 에너지'!$C$14:$C$949,$B12)))</f>
        <v/>
      </c>
      <c r="DA12" s="838" t="str">
        <f>IF($C12&lt;1,"",(AVERAGEIFS('09월 에너지'!AJ$14:AJ$949,'09월 에너지'!$A$14:$A$949,$A12,'09월 에너지'!$C$14:$C$949,$B12)))</f>
        <v/>
      </c>
    </row>
    <row r="13" spans="1:105" ht="13.5" customHeight="1">
      <c r="A13" s="849">
        <f t="shared" si="2"/>
        <v>44928</v>
      </c>
      <c r="B13" s="850" t="s">
        <v>204</v>
      </c>
      <c r="C13" s="823">
        <f>COUNTIFS('09월 조업일지'!$A$12:$A$952,A11,'09월 조업일지'!$E$12:$E$952,B13)</f>
        <v>0</v>
      </c>
      <c r="D13" s="824" t="str">
        <f t="shared" ref="D13:D15" si="3">IF(C13&lt;1,"",F13-E13)</f>
        <v/>
      </c>
      <c r="E13" s="824" t="str">
        <f>IF($C13&lt;1,"",(SUMIFS('09월 조업일지'!$K$12:$K$952,'09월 조업일지'!$A$12:$A$952,$A13,'09월 조업일지'!$E$12:$E$952,$B13)/$C13))</f>
        <v/>
      </c>
      <c r="F13" s="824" t="str">
        <f>IF($C13&lt;1,"",(AVERAGEIFS('09월 조업일지'!$J$12:$J$952,'09월 조업일지'!$A$12:$A$952,$A13,'09월 조업일지'!$E$12:$E$952,$B13)))</f>
        <v/>
      </c>
      <c r="G13" s="825" t="str">
        <f>IF($C13&lt;1,"",(AVERAGEIFS('09월 에너지'!$M$14:$M$949,'09월 에너지'!$A$14:$A$949,$A13,'09월 에너지'!$C$14:$C$949,$B13)))</f>
        <v/>
      </c>
      <c r="H13" s="826" t="str">
        <f>IF($C13&lt;1,"",(AVERAGEIFS('09월 조업일지'!$AJ$12:$AJ$952,'09월 조업일지'!$A$12:$A$952,$A13,'09월 조업일지'!$E$12:$E$952,$B13)))</f>
        <v/>
      </c>
      <c r="I13" s="826" t="str">
        <f>IF($C13&lt;1,"",(AVERAGEIFS('09월 조업일지'!$AL$12:$AL$952,'09월 조업일지'!$A$12:$A$952,$A13,'09월 조업일지'!$E$12:$E$952,$B13)))</f>
        <v/>
      </c>
      <c r="J13" s="827" t="str">
        <f>IF($C13&lt;1,"",(AVERAGEIFS('09월 화학성분'!G$12:G$949,'09월 화학성분'!$A$12:$A$949,$A13,'09월 화학성분'!$D$12:$D$949,$B13)))</f>
        <v/>
      </c>
      <c r="K13" s="827" t="str">
        <f>IF($C13&lt;1,"",(AVERAGEIFS('09월 화학성분'!H$12:H$949,'09월 화학성분'!$A$12:$A$949,$A13,'09월 화학성분'!$D$12:$D$949,$B13)))</f>
        <v/>
      </c>
      <c r="L13" s="827" t="str">
        <f>IF($C13&lt;1,"",(AVERAGEIFS('09월 화학성분'!I$12:I$949,'09월 화학성분'!$A$12:$A$949,$A13,'09월 화학성분'!$D$12:$D$949,$B13)))</f>
        <v/>
      </c>
      <c r="M13" s="827" t="str">
        <f>IF($C13&lt;1,"",(AVERAGEIFS('09월 화학성분'!J$12:J$949,'09월 화학성분'!$A$12:$A$949,$A13,'09월 화학성분'!$D$12:$D$949,$B13)))</f>
        <v/>
      </c>
      <c r="N13" s="827" t="str">
        <f>IF($C13&lt;1,"",(AVERAGEIFS('09월 화학성분'!K$12:K$949,'09월 화학성분'!$A$12:$A$949,$A13,'09월 화학성분'!$D$12:$D$949,$B13)))</f>
        <v/>
      </c>
      <c r="O13" s="827" t="str">
        <f>IF($C13&lt;1,"",(AVERAGEIFS('09월 화학성분'!L$12:L$949,'09월 화학성분'!$A$12:$A$949,$A13,'09월 화학성분'!$D$12:$D$949,$B13)))</f>
        <v/>
      </c>
      <c r="P13" s="827" t="str">
        <f>IF($C13&lt;1,"",(AVERAGEIFS('09월 화학성분'!M$12:M$949,'09월 화학성분'!$A$12:$A$949,$A13,'09월 화학성분'!$D$12:$D$949,$B13)))</f>
        <v/>
      </c>
      <c r="Q13" s="827" t="str">
        <f>IFERROR(IF($C13&lt;1,"",(AVERAGEIFS('09월 조업일지'!$AA$12:$AA$952,'09월 조업일지'!$A$12:$A$952,$A13,'09월 조업일지'!$E$12:$E$952,$B13))),"")</f>
        <v/>
      </c>
      <c r="R13" s="827" t="str">
        <f>IF($C13&lt;1,"",(AVERAGEIFS('09월 조업일지'!$AK$12:$AK$952,'09월 조업일지'!$A$12:$A$952,$A13,'09월 조업일지'!$E$12:$E$952,$B13)))</f>
        <v/>
      </c>
      <c r="S13" s="827"/>
      <c r="T13" s="827"/>
      <c r="U13" s="827" t="str">
        <f>IF($C13&lt;1,"",(AVERAGEIFS('09월 화학성분'!$G$12:$G$949,'09월 화학성분'!$A$12:$A$949,$A13,'09월 화학성분'!$D$12:$D$949,$B13)))</f>
        <v/>
      </c>
      <c r="V13" s="827" t="str">
        <f>IF($C13&lt;1,"",(AVERAGEIFS('09월 조업일지'!$AI$12:$AI$952,'09월 조업일지'!$A$12:$A$952,$A13,'09월 조업일지'!$E$12:$E$952,$B13)))</f>
        <v/>
      </c>
      <c r="W13" s="828" t="str">
        <f>IF($C13&lt;1,"",(AVERAGEIFS('09월 화학성분'!$AM$12:$AM$949,'09월 화학성분'!$A$12:$A$949,$A13,'09월 화학성분'!$D$12:$D$949,$B13)))</f>
        <v/>
      </c>
      <c r="X13" s="829" t="str">
        <f>IF($C13&lt;1,"",(AVERAGEIFS('09월 화학성분'!N$12:N$949,'09월 화학성분'!$A$12:$A$949,$A13,'09월 화학성분'!$D$12:$D$949,$B13)))</f>
        <v/>
      </c>
      <c r="Y13" s="829" t="str">
        <f>IF($C13&lt;1,"",(AVERAGEIFS('09월 화학성분'!O$12:O$949,'09월 화학성분'!$A$12:$A$949,$A13,'09월 화학성분'!$D$12:$D$949,$B13)))</f>
        <v/>
      </c>
      <c r="Z13" s="829" t="str">
        <f>IF($C13&lt;1,"",(AVERAGEIFS('09월 화학성분'!P$12:P$949,'09월 화학성분'!$A$12:$A$949,$A13,'09월 화학성분'!$D$12:$D$949,$B13)))</f>
        <v/>
      </c>
      <c r="AA13" s="829" t="str">
        <f>IF($C13&lt;1,"",(AVERAGEIFS('09월 화학성분'!Q$12:Q$949,'09월 화학성분'!$A$12:$A$949,$A13,'09월 화학성분'!$D$12:$D$949,$B13)))</f>
        <v/>
      </c>
      <c r="AB13" s="829" t="str">
        <f>IF($C13&lt;1,"",(AVERAGEIFS('09월 화학성분'!R$12:R$949,'09월 화학성분'!$A$12:$A$949,$A13,'09월 화학성분'!$D$12:$D$949,$B13)))</f>
        <v/>
      </c>
      <c r="AC13" s="829" t="str">
        <f>IF($C13&lt;1,"",(AVERAGEIFS('09월 화학성분'!U$12:U$949,'09월 화학성분'!$A$12:$A$949,$A13,'09월 화학성분'!$D$12:$D$949,$B13)))</f>
        <v/>
      </c>
      <c r="AD13" s="829" t="str">
        <f>IF($C13&lt;1,"",(AVERAGEIFS('09월 화학성분'!V$12:V$949,'09월 화학성분'!$A$12:$A$949,$A13,'09월 화학성분'!$D$12:$D$949,$B13)))</f>
        <v/>
      </c>
      <c r="AE13" s="829" t="str">
        <f>IF($C13&lt;1,"",(AVERAGEIFS('09월 화학성분'!W$12:W$949,'09월 화학성분'!$A$12:$A$949,$A13,'09월 화학성분'!$D$12:$D$949,$B13)))</f>
        <v/>
      </c>
      <c r="AF13" s="829" t="str">
        <f>IF($C13&lt;1,"",(AVERAGEIFS('09월 화학성분'!AA$12:AA$949,'09월 화학성분'!$A$12:$A$949,$A13,'09월 화학성분'!$D$12:$D$949,$B13)))</f>
        <v/>
      </c>
      <c r="AG13" s="829" t="str">
        <f>IF($C13&lt;1,"",(AVERAGEIFS('09월 화학성분'!#REF!,'09월 화학성분'!$A$12:$A$949,$A13,'09월 화학성분'!$D$12:$D$949,$B13)))</f>
        <v/>
      </c>
      <c r="AH13" s="829" t="str">
        <f>IF($C13&lt;1,"",(AVERAGEIFS('09월 화학성분'!AB$12:AB$949,'09월 화학성분'!$A$12:$A$949,$A13,'09월 화학성분'!$D$12:$D$949,$B13)))</f>
        <v/>
      </c>
      <c r="AI13" s="829" t="str">
        <f>IF($C13&lt;1,"",(AVERAGEIFS('09월 화학성분'!AC$12:AC$949,'09월 화학성분'!$A$12:$A$949,$A13,'09월 화학성분'!$D$12:$D$949,$B13)))</f>
        <v/>
      </c>
      <c r="AJ13" s="829" t="str">
        <f>IF($C13&lt;1,"",(AVERAGEIFS('09월 화학성분'!AD$12:AD$949,'09월 화학성분'!$A$12:$A$949,$A13,'09월 화학성분'!$D$12:$D$949,$B13)))</f>
        <v/>
      </c>
      <c r="AK13" s="829" t="str">
        <f>IF($C13&lt;1,"",(AVERAGEIFS('09월 화학성분'!AF$12:AF$949,'09월 화학성분'!$A$12:$A$949,$A13,'09월 화학성분'!$D$12:$D$949,$B13)))</f>
        <v/>
      </c>
      <c r="AL13" s="829" t="str">
        <f>IF($C13&lt;1,"",(AVERAGEIFS('09월 화학성분'!AG$12:AG$949,'09월 화학성분'!$A$12:$A$949,$A13,'09월 화학성분'!$D$12:$D$949,$B13)))</f>
        <v/>
      </c>
      <c r="AM13" s="829" t="str">
        <f>IF($C13&lt;1,"",(AVERAGEIFS('09월 화학성분'!AH$12:AH$949,'09월 화학성분'!$A$12:$A$949,$A13,'09월 화학성분'!$D$12:$D$949,$B13)))</f>
        <v/>
      </c>
      <c r="AN13" s="829" t="str">
        <f>IF($C13&lt;1,"",(AVERAGEIFS('09월 화학성분'!AI$12:AI$949,'09월 화학성분'!$A$12:$A$949,$A13,'09월 화학성분'!$D$12:$D$949,$B13)))</f>
        <v/>
      </c>
      <c r="AO13" s="829" t="str">
        <f>IF($C13&lt;1,"",(AVERAGEIFS('09월 화학성분'!AJ$12:AJ$949,'09월 화학성분'!$A$12:$A$949,$A13,'09월 화학성분'!$D$12:$D$949,$B13)))</f>
        <v/>
      </c>
      <c r="AP13" s="829" t="str">
        <f>IF($C13&lt;1,"",(AVERAGEIFS('09월 화학성분'!#REF!,'09월 화학성분'!$A$12:$A$949,$A13,'09월 화학성분'!$D$12:$D$949,$B13)))</f>
        <v/>
      </c>
      <c r="AQ13" s="829" t="str">
        <f>IF($C13&lt;1,"",(AVERAGEIFS('09월 화학성분'!AL$12:AL$949,'09월 화학성분'!$A$12:$A$949,$A13,'09월 화학성분'!$D$12:$D$949,$B13)))</f>
        <v/>
      </c>
      <c r="AR13" s="829" t="str">
        <f>IF($C13&lt;1,"",(AVERAGEIFS('09월 화학성분'!AM$12:AM$949,'09월 화학성분'!$A$12:$A$949,$A13,'09월 화학성분'!$D$12:$D$949,$B13)))</f>
        <v/>
      </c>
      <c r="AS13" s="830" t="str">
        <f>IF($C13&lt;1,"",(AVERAGEIFS('09월 화학성분'!AN$12:AN$949,'09월 화학성분'!$A$12:$A$949,$A13,'09월 화학성분'!$D$12:$D$949,$B13)))</f>
        <v/>
      </c>
      <c r="AT13" s="830" t="str">
        <f>IF($C13&lt;1,"",(AVERAGEIFS('09월 화학성분'!AO$12:AO$949,'09월 화학성분'!$A$12:$A$949,$A13,'09월 화학성분'!$D$12:$D$949,$B13)))</f>
        <v/>
      </c>
      <c r="AU13" s="831" t="str">
        <f>IF($C13&lt;1,"",(AVERAGEIFS('09월 화학성분'!AP$12:AP$949,'09월 화학성분'!$A$12:$A$949,$A13,'09월 화학성분'!$D$12:$D$949,$B13)))</f>
        <v/>
      </c>
      <c r="AV13" s="832" t="str">
        <f>IF($C13&lt;1,"",(AVERAGEIFS('09월 고철장입'!G$14:G$949,'09월 고철장입'!$A$14:$A$949,$A13,'09월 고철장입'!$C$14:$C$949,$B13))/1000)</f>
        <v/>
      </c>
      <c r="AW13" s="832" t="str">
        <f>IF($C13&lt;1,"",(AVERAGEIFS('09월 고철장입'!H$14:H$949,'09월 고철장입'!$A$14:$A$949,$A13,'09월 고철장입'!$C$14:$C$949,$B13))/1000)</f>
        <v/>
      </c>
      <c r="AX13" s="832" t="str">
        <f>IF($C13&lt;1,"",(AVERAGEIFS('09월 고철장입'!I$14:I$949,'09월 고철장입'!$A$14:$A$949,$A13,'09월 고철장입'!$C$14:$C$949,$B13))/1000)</f>
        <v/>
      </c>
      <c r="AY13" s="832" t="str">
        <f>IF($C13&lt;1,"",(AVERAGEIFS('09월 고철장입'!J$14:J$949,'09월 고철장입'!$A$14:$A$949,$A13,'09월 고철장입'!$C$14:$C$949,$B13))/1000)</f>
        <v/>
      </c>
      <c r="AZ13" s="832" t="str">
        <f>IF($C13&lt;1,"",(AVERAGEIFS('09월 고철장입'!K$14:K$949,'09월 고철장입'!$A$14:$A$949,$A13,'09월 고철장입'!$C$14:$C$949,$B13))/1000)</f>
        <v/>
      </c>
      <c r="BA13" s="832" t="str">
        <f>IF($C13&lt;1,"",(AVERAGEIFS('09월 고철장입'!L$14:L$949,'09월 고철장입'!$A$14:$A$949,$A13,'09월 고철장입'!$C$14:$C$949,$B13))/1000)</f>
        <v/>
      </c>
      <c r="BB13" s="832" t="str">
        <f>IF($C13&lt;1,"",(AVERAGEIFS('09월 고철장입'!M$14:M$949,'09월 고철장입'!$A$14:$A$949,$A13,'09월 고철장입'!$C$14:$C$949,$B13))/1000)</f>
        <v/>
      </c>
      <c r="BC13" s="832" t="str">
        <f>IF($C13&lt;1,"",(AVERAGEIFS('09월 고철장입'!N$14:N$949,'09월 고철장입'!$A$14:$A$949,$A13,'09월 고철장입'!$C$14:$C$949,$B13))/1000)</f>
        <v/>
      </c>
      <c r="BD13" s="832" t="str">
        <f>IF($C13&lt;1,"",(AVERAGEIFS('09월 고철장입'!O$14:O$949,'09월 고철장입'!$A$14:$A$949,$A13,'09월 고철장입'!$C$14:$C$949,$B13))/1000)</f>
        <v/>
      </c>
      <c r="BE13" s="833" t="str">
        <f>IF($C13&lt;1,"",(AVERAGEIFS('09월 고철장입'!P$14:P$949,'09월 고철장입'!$A$14:$A$949,$A13,'09월 고철장입'!$C$14:$C$949,$B13))/1000)</f>
        <v/>
      </c>
      <c r="BF13" s="833" t="str">
        <f>IF($C13&lt;1,"",(AVERAGEIFS('09월 고철장입'!Q$14:Q$949,'09월 고철장입'!$A$14:$A$949,$A13,'09월 고철장입'!$C$14:$C$949,$B13))/1000)</f>
        <v/>
      </c>
      <c r="BG13" s="833" t="str">
        <f>IF($C13&lt;1,"",(AVERAGEIFS('09월 고철장입'!S$14:S$949,'09월 고철장입'!$A$14:$A$949,$A13,'09월 고철장입'!$C$14:$C$949,$B13))/1000)</f>
        <v/>
      </c>
      <c r="BH13" s="833" t="str">
        <f>IF($C13&lt;1,"",(AVERAGEIFS('09월 고철장입'!T$14:T$949,'09월 고철장입'!$A$14:$A$949,$A13,'09월 고철장입'!$C$14:$C$949,$B13))/1000)</f>
        <v/>
      </c>
      <c r="BI13" s="833" t="str">
        <f>IF($C13&lt;1,"",(AVERAGEIFS('09월 고철장입'!U$14:U$949,'09월 고철장입'!$A$14:$A$949,$A13,'09월 고철장입'!$C$14:$C$949,$B13))/1000)</f>
        <v/>
      </c>
      <c r="BJ13" s="833" t="str">
        <f>IF($C13&lt;1,"",(AVERAGEIFS('09월 고철장입'!V$14:V$949,'09월 고철장입'!$A$14:$A$949,$A13,'09월 고철장입'!$C$14:$C$949,$B13))/1000)</f>
        <v/>
      </c>
      <c r="BK13" s="833" t="str">
        <f>IF($C13&lt;1,"",(AVERAGEIFS('09월 고철장입'!W$14:W$949,'09월 고철장입'!$A$14:$A$949,$A13,'09월 고철장입'!$C$14:$C$949,$B13))/1000)</f>
        <v/>
      </c>
      <c r="BL13" s="833" t="str">
        <f>IF($C13&lt;1,"",(AVERAGEIFS('09월 고철장입'!Y$14:Y$949,'09월 고철장입'!$A$14:$A$949,$A13,'09월 고철장입'!$C$14:$C$949,$B13))/1000)</f>
        <v/>
      </c>
      <c r="BM13" s="833" t="str">
        <f>IF($C13&lt;1,"",(AVERAGEIFS('09월 고철장입'!AB$14:AB$949,'09월 고철장입'!$A$14:$A$949,$A13,'09월 고철장입'!$C$14:$C$949,$B13))/1000)</f>
        <v/>
      </c>
      <c r="BN13" s="833" t="str">
        <f>IF($C13&lt;1,"",(AVERAGEIFS('09월 고철장입'!AC$14:AC$949,'09월 고철장입'!$A$14:$A$949,$A13,'09월 고철장입'!$C$14:$C$949,$B13))/1000)</f>
        <v/>
      </c>
      <c r="BO13" s="833" t="str">
        <f>IF($C13&lt;1,"",(AVERAGEIFS('09월 고철장입'!AD$14:AD$949,'09월 고철장입'!$A$14:$A$949,$A13,'09월 고철장입'!$C$14:$C$949,$B13))/1000)</f>
        <v/>
      </c>
      <c r="BP13" s="833" t="str">
        <f>IF($C13&lt;1,"",(AVERAGEIFS('09월 고철장입'!AE$14:AE$949,'09월 고철장입'!$A$14:$A$949,$A13,'09월 고철장입'!$C$14:$C$949,$B13))/1000)</f>
        <v/>
      </c>
      <c r="BQ13" s="832" t="str">
        <f>IF($C13&lt;1,"",(AVERAGEIFS('09월 고철장입'!AF$14:AF$949,'09월 고철장입'!$A$14:$A$949,$A13,'09월 고철장입'!$C$14:$C$949,$B13))/1000)</f>
        <v/>
      </c>
      <c r="BR13" s="832" t="str">
        <f>IF($C13&lt;1,"",(AVERAGEIFS('09월 고철장입'!AG$14:AG$949,'09월 고철장입'!$A$14:$A$949,$A13,'09월 고철장입'!$C$14:$C$949,$B13))/1000)</f>
        <v/>
      </c>
      <c r="BS13" s="832" t="str">
        <f>IF($C13&lt;1,"",(AVERAGEIFS('09월 고철장입'!AH$14:AH$949,'09월 고철장입'!$A$14:$A$949,$A13,'09월 고철장입'!$C$14:$C$949,$B13))/1000)</f>
        <v/>
      </c>
      <c r="BT13" s="832" t="str">
        <f>IF($C13&lt;1,"",(AVERAGEIFS('09월 고철장입'!AI$14:AI$949,'09월 고철장입'!$A$14:$A$949,$A13,'09월 고철장입'!$C$14:$C$949,$B13))/1000)</f>
        <v/>
      </c>
      <c r="BU13" s="834" t="str">
        <f>IF($C13&lt;1,"",(AVERAGEIFS('09월 고철장입'!AJ$14:AJ$949,'09월 고철장입'!$A$14:$A$949,$A13,'09월 고철장입'!$C$14:$C$949,$B13))/1000)</f>
        <v/>
      </c>
      <c r="BV13" s="834" t="str">
        <f>IF($C13&lt;1,"",(AVERAGEIFS('09월 고철장입'!AK$14:AK$949,'09월 고철장입'!$A$14:$A$949,$A13,'09월 고철장입'!$C$14:$C$949,$B13)))</f>
        <v/>
      </c>
      <c r="BW13" s="834" t="str">
        <f>IF($C13&lt;1,"",(AVERAGEIFS('09월 고철장입'!AL$14:AL$949,'09월 고철장입'!$A$14:$A$949,$A13,'09월 고철장입'!$C$14:$C$949,$B13))*100)</f>
        <v/>
      </c>
      <c r="BX13" s="831" t="str">
        <f>IF($C13&lt;1,"",(AVERAGEIFS('09월 에너지'!G$14:G$949,'09월 에너지'!$A$14:$A$949,$A13,'09월 에너지'!$C$14:$C$949,$B13)))</f>
        <v/>
      </c>
      <c r="BY13" s="835" t="str">
        <f>IF($C13&lt;1,"",(AVERAGEIFS('09월 에너지'!H$14:H$949,'09월 에너지'!$A$14:$A$949,$A13,'09월 에너지'!$C$14:$C$949,$B13)))</f>
        <v/>
      </c>
      <c r="BZ13" s="831" t="str">
        <f>IF($C13&lt;1,"",(AVERAGEIFS('09월 에너지'!I$14:I$949,'09월 에너지'!$A$14:$A$949,$A13,'09월 에너지'!$C$14:$C$949,$B13)))</f>
        <v/>
      </c>
      <c r="CA13" s="835" t="str">
        <f>IF($C13&lt;1,"",(AVERAGEIFS('09월 에너지'!J$14:J$949,'09월 에너지'!$A$14:$A$949,$A13,'09월 에너지'!$C$14:$C$949,$B13)))</f>
        <v/>
      </c>
      <c r="CB13" s="831" t="str">
        <f>IF($C13&lt;1,"",(AVERAGEIFS('09월 에너지'!K$14:K$949,'09월 에너지'!$A$14:$A$949,$A13,'09월 에너지'!$C$14:$C$949,$B13)))</f>
        <v/>
      </c>
      <c r="CC13" s="835" t="str">
        <f>IF($C13&lt;1,"",(AVERAGEIFS('09월 에너지'!L$14:L$949,'09월 에너지'!$A$14:$A$949,$A13,'09월 에너지'!$C$14:$C$949,$B13)))</f>
        <v/>
      </c>
      <c r="CD13" s="831" t="str">
        <f>IF($C13&lt;1,"",(AVERAGEIFS('09월 에너지'!M$14:M$949,'09월 에너지'!$A$14:$A$949,$A13,'09월 에너지'!$C$14:$C$949,$B13)))</f>
        <v/>
      </c>
      <c r="CE13" s="835" t="str">
        <f>IF($C13&lt;1,"",(AVERAGEIFS('09월 에너지'!N$14:N$949,'09월 에너지'!$A$14:$A$949,$A13,'09월 에너지'!$C$14:$C$949,$B13)))</f>
        <v/>
      </c>
      <c r="CF13" s="831" t="str">
        <f>IF($C13&lt;1,"",(AVERAGEIFS('09월 에너지'!O$14:O$949,'09월 에너지'!$A$14:$A$949,$A13,'09월 에너지'!$C$14:$C$949,$B13)))</f>
        <v/>
      </c>
      <c r="CG13" s="831" t="str">
        <f>IF($C13&lt;1,"",(AVERAGEIFS('09월 에너지'!P$14:P$949,'09월 에너지'!$A$14:$A$949,$A13,'09월 에너지'!$C$14:$C$949,$B13)))</f>
        <v/>
      </c>
      <c r="CH13" s="831" t="str">
        <f>IF($C13&lt;1,"",(AVERAGEIFS('09월 에너지'!Q$14:Q$949,'09월 에너지'!$A$14:$A$949,$A13,'09월 에너지'!$C$14:$C$949,$B13)))</f>
        <v/>
      </c>
      <c r="CI13" s="831" t="str">
        <f>IF($C13&lt;1,"",(AVERAGEIFS('09월 에너지'!R$14:R$949,'09월 에너지'!$A$14:$A$949,$A13,'09월 에너지'!$C$14:$C$949,$B13)))</f>
        <v/>
      </c>
      <c r="CJ13" s="831" t="str">
        <f>IF($C13&lt;1,"",(AVERAGEIFS('09월 에너지'!S$14:S$949,'09월 에너지'!$A$14:$A$949,$A13,'09월 에너지'!$C$14:$C$949,$B13)))</f>
        <v/>
      </c>
      <c r="CK13" s="831" t="str">
        <f>IF($C13&lt;1,"",(AVERAGEIFS('09월 에너지'!T$14:T$949,'09월 에너지'!$A$14:$A$949,$A13,'09월 에너지'!$C$14:$C$949,$B13)))</f>
        <v/>
      </c>
      <c r="CL13" s="831" t="str">
        <f>IF($C13&lt;1,"",(AVERAGEIFS('09월 에너지'!U$14:U$949,'09월 에너지'!$A$14:$A$949,$A13,'09월 에너지'!$C$14:$C$949,$B13)))</f>
        <v/>
      </c>
      <c r="CM13" s="835" t="str">
        <f>IF($C13&lt;1,"",(AVERAGEIFS('09월 에너지'!V$14:V$949,'09월 에너지'!$A$14:$A$949,$A13,'09월 에너지'!$C$14:$C$949,$B13)))</f>
        <v/>
      </c>
      <c r="CN13" s="835" t="str">
        <f>IF($C13&lt;1,"",(AVERAGEIFS('09월 에너지'!W$14:W$949,'09월 에너지'!$A$14:$A$949,$A13,'09월 에너지'!$C$14:$C$949,$B13)))</f>
        <v/>
      </c>
      <c r="CO13" s="831" t="str">
        <f>IF($C13&lt;1,"",(AVERAGEIFS('09월 에너지'!X$14:X$949,'09월 에너지'!$A$14:$A$949,$A13,'09월 에너지'!$C$14:$C$949,$B13)))</f>
        <v/>
      </c>
      <c r="CP13" s="835" t="str">
        <f>IF($C13&lt;1,"",(AVERAGEIFS('09월 에너지'!Y$14:Y$949,'09월 에너지'!$A$14:$A$949,$A13,'09월 에너지'!$C$14:$C$949,$B13)))</f>
        <v/>
      </c>
      <c r="CQ13" s="835" t="str">
        <f>IF($C13&lt;1,"",(AVERAGEIFS('09월 에너지'!Z$14:Z$949,'09월 에너지'!$A$14:$A$949,$A13,'09월 에너지'!$C$14:$C$949,$B13)))</f>
        <v/>
      </c>
      <c r="CR13" s="835" t="str">
        <f>IF($C13&lt;1,"",(AVERAGEIFS('09월 에너지'!AA$14:AA$949,'09월 에너지'!$A$14:$A$949,$A13,'09월 에너지'!$C$14:$C$949,$B13)))</f>
        <v/>
      </c>
      <c r="CS13" s="835" t="str">
        <f>IF($C13&lt;1,"",(AVERAGEIFS('09월 에너지'!AB$14:AB$949,'09월 에너지'!$A$14:$A$949,$A13,'09월 에너지'!$C$14:$C$949,$B13)))</f>
        <v/>
      </c>
      <c r="CT13" s="831" t="str">
        <f>IF($C13&lt;1,"",(AVERAGEIFS('09월 에너지'!AC$14:AC$949,'09월 에너지'!$A$14:$A$949,$A13,'09월 에너지'!$C$14:$C$949,$B13)))</f>
        <v/>
      </c>
      <c r="CU13" s="836" t="str">
        <f>IF($C13&lt;1,"",(AVERAGEIFS('09월 에너지'!AD$14:AD$949,'09월 에너지'!$A$14:$A$949,$A13,'09월 에너지'!$C$14:$C$949,$B13)))</f>
        <v/>
      </c>
      <c r="CV13" s="837" t="str">
        <f>IF($C13&lt;1,"",(AVERAGEIFS('09월 에너지'!AE$14:AE$949,'09월 에너지'!$A$14:$A$949,$A13,'09월 에너지'!$C$14:$C$949,$B13)))</f>
        <v/>
      </c>
      <c r="CW13" s="831" t="str">
        <f>IF($C13&lt;1,"",(AVERAGEIFS('09월 에너지'!AF$14:AF$949,'09월 에너지'!$A$14:$A$949,$A13,'09월 에너지'!$C$14:$C$949,$B13)))</f>
        <v/>
      </c>
      <c r="CX13" s="831" t="str">
        <f>IF($C13&lt;1,"",(AVERAGEIFS('09월 에너지'!AG$14:AG$949,'09월 에너지'!$A$14:$A$949,$A13,'09월 에너지'!$C$14:$C$949,$B13)))</f>
        <v/>
      </c>
      <c r="CY13" s="831" t="str">
        <f>IF($C13&lt;1,"",(AVERAGEIFS('09월 에너지'!AH$14:AH$949,'09월 에너지'!$A$14:$A$949,$A13,'09월 에너지'!$C$14:$C$949,$B13)))</f>
        <v/>
      </c>
      <c r="CZ13" s="831" t="str">
        <f>IF($C13&lt;1,"",(AVERAGEIFS('09월 에너지'!AI$14:AI$949,'09월 에너지'!$A$14:$A$949,$A13,'09월 에너지'!$C$14:$C$949,$B13)))</f>
        <v/>
      </c>
      <c r="DA13" s="838" t="str">
        <f>IF($C13&lt;1,"",(AVERAGEIFS('09월 에너지'!AJ$14:AJ$949,'09월 에너지'!$A$14:$A$949,$A13,'09월 에너지'!$C$14:$C$949,$B13)))</f>
        <v/>
      </c>
    </row>
    <row r="14" spans="1:105" ht="13.5" customHeight="1">
      <c r="A14" s="849">
        <f t="shared" si="2"/>
        <v>44928</v>
      </c>
      <c r="B14" s="850" t="s">
        <v>205</v>
      </c>
      <c r="C14" s="823">
        <f>COUNTIFS('09월 조업일지'!$A$12:$A$952,A11,'09월 조업일지'!$E$12:$E$952,B14)</f>
        <v>0</v>
      </c>
      <c r="D14" s="824" t="str">
        <f t="shared" si="3"/>
        <v/>
      </c>
      <c r="E14" s="824" t="str">
        <f>IF($C14&lt;1,"",(SUMIFS('09월 조업일지'!$K$12:$K$952,'09월 조업일지'!$A$12:$A$952,$A14,'09월 조업일지'!$E$12:$E$952,$B14)/$C14))</f>
        <v/>
      </c>
      <c r="F14" s="824" t="str">
        <f>IF($C14&lt;1,"",(AVERAGEIFS('09월 조업일지'!$J$12:$J$952,'09월 조업일지'!$A$12:$A$952,$A14,'09월 조업일지'!$E$12:$E$952,$B14)))</f>
        <v/>
      </c>
      <c r="G14" s="825" t="str">
        <f>IF($C14&lt;1,"",(AVERAGEIFS('09월 에너지'!$M$14:$M$949,'09월 에너지'!$A$14:$A$949,$A14,'09월 에너지'!$C$14:$C$949,$B14)))</f>
        <v/>
      </c>
      <c r="H14" s="826" t="str">
        <f>IF($C14&lt;1,"",(AVERAGEIFS('09월 조업일지'!$AJ$12:$AJ$952,'09월 조업일지'!$A$12:$A$952,$A14,'09월 조업일지'!$E$12:$E$952,$B14)))</f>
        <v/>
      </c>
      <c r="I14" s="826" t="str">
        <f>IF($C14&lt;1,"",(AVERAGEIFS('09월 조업일지'!$AL$12:$AL$952,'09월 조업일지'!$A$12:$A$952,$A14,'09월 조업일지'!$E$12:$E$952,$B14)))</f>
        <v/>
      </c>
      <c r="J14" s="827" t="str">
        <f>IF($C14&lt;1,"",(AVERAGEIFS('09월 화학성분'!G$12:G$949,'09월 화학성분'!$A$12:$A$949,$A14,'09월 화학성분'!$D$12:$D$949,$B14)))</f>
        <v/>
      </c>
      <c r="K14" s="827" t="str">
        <f>IF($C14&lt;1,"",(AVERAGEIFS('09월 화학성분'!H$12:H$949,'09월 화학성분'!$A$12:$A$949,$A14,'09월 화학성분'!$D$12:$D$949,$B14)))</f>
        <v/>
      </c>
      <c r="L14" s="827" t="str">
        <f>IF($C14&lt;1,"",(AVERAGEIFS('09월 화학성분'!I$12:I$949,'09월 화학성분'!$A$12:$A$949,$A14,'09월 화학성분'!$D$12:$D$949,$B14)))</f>
        <v/>
      </c>
      <c r="M14" s="827" t="str">
        <f>IF($C14&lt;1,"",(AVERAGEIFS('09월 화학성분'!J$12:J$949,'09월 화학성분'!$A$12:$A$949,$A14,'09월 화학성분'!$D$12:$D$949,$B14)))</f>
        <v/>
      </c>
      <c r="N14" s="827" t="str">
        <f>IF($C14&lt;1,"",(AVERAGEIFS('09월 화학성분'!K$12:K$949,'09월 화학성분'!$A$12:$A$949,$A14,'09월 화학성분'!$D$12:$D$949,$B14)))</f>
        <v/>
      </c>
      <c r="O14" s="827" t="str">
        <f>IF($C14&lt;1,"",(AVERAGEIFS('09월 화학성분'!L$12:L$949,'09월 화학성분'!$A$12:$A$949,$A14,'09월 화학성분'!$D$12:$D$949,$B14)))</f>
        <v/>
      </c>
      <c r="P14" s="827" t="str">
        <f>IF($C14&lt;1,"",(AVERAGEIFS('09월 화학성분'!M$12:M$949,'09월 화학성분'!$A$12:$A$949,$A14,'09월 화학성분'!$D$12:$D$949,$B14)))</f>
        <v/>
      </c>
      <c r="Q14" s="827" t="str">
        <f>IFERROR(IF($C14&lt;1,"",(AVERAGEIFS('09월 조업일지'!$AA$12:$AA$952,'09월 조업일지'!$A$12:$A$952,$A14,'09월 조업일지'!$E$12:$E$952,$B14))),"")</f>
        <v/>
      </c>
      <c r="R14" s="827" t="str">
        <f>IF($C14&lt;1,"",(AVERAGEIFS('09월 조업일지'!$AK$12:$AK$952,'09월 조업일지'!$A$12:$A$952,$A14,'09월 조업일지'!$E$12:$E$952,$B14)))</f>
        <v/>
      </c>
      <c r="S14" s="827"/>
      <c r="T14" s="827"/>
      <c r="U14" s="827" t="str">
        <f>IF($C14&lt;1,"",(AVERAGEIFS('09월 화학성분'!$G$12:$G$949,'09월 화학성분'!$A$12:$A$949,$A14,'09월 화학성분'!$D$12:$D$949,$B14)))</f>
        <v/>
      </c>
      <c r="V14" s="827" t="str">
        <f>IF($C14&lt;1,"",(AVERAGEIFS('09월 조업일지'!$AI$12:$AI$952,'09월 조업일지'!$A$12:$A$952,$A14,'09월 조업일지'!$E$12:$E$952,$B14)))</f>
        <v/>
      </c>
      <c r="W14" s="828" t="str">
        <f>IF($C14&lt;1,"",(AVERAGEIFS('09월 화학성분'!$AM$12:$AM$949,'09월 화학성분'!$A$12:$A$949,$A14,'09월 화학성분'!$D$12:$D$949,$B14)))</f>
        <v/>
      </c>
      <c r="X14" s="829" t="str">
        <f>IF($C14&lt;1,"",(AVERAGEIFS('09월 화학성분'!N$12:N$949,'09월 화학성분'!$A$12:$A$949,$A14,'09월 화학성분'!$D$12:$D$949,$B14)))</f>
        <v/>
      </c>
      <c r="Y14" s="829" t="str">
        <f>IF($C14&lt;1,"",(AVERAGEIFS('09월 화학성분'!O$12:O$949,'09월 화학성분'!$A$12:$A$949,$A14,'09월 화학성분'!$D$12:$D$949,$B14)))</f>
        <v/>
      </c>
      <c r="Z14" s="829" t="str">
        <f>IF($C14&lt;1,"",(AVERAGEIFS('09월 화학성분'!P$12:P$949,'09월 화학성분'!$A$12:$A$949,$A14,'09월 화학성분'!$D$12:$D$949,$B14)))</f>
        <v/>
      </c>
      <c r="AA14" s="829" t="str">
        <f>IF($C14&lt;1,"",(AVERAGEIFS('09월 화학성분'!Q$12:Q$949,'09월 화학성분'!$A$12:$A$949,$A14,'09월 화학성분'!$D$12:$D$949,$B14)))</f>
        <v/>
      </c>
      <c r="AB14" s="829" t="str">
        <f>IF($C14&lt;1,"",(AVERAGEIFS('09월 화학성분'!R$12:R$949,'09월 화학성분'!$A$12:$A$949,$A14,'09월 화학성분'!$D$12:$D$949,$B14)))</f>
        <v/>
      </c>
      <c r="AC14" s="829" t="str">
        <f>IF($C14&lt;1,"",(AVERAGEIFS('09월 화학성분'!U$12:U$949,'09월 화학성분'!$A$12:$A$949,$A14,'09월 화학성분'!$D$12:$D$949,$B14)))</f>
        <v/>
      </c>
      <c r="AD14" s="829" t="str">
        <f>IF($C14&lt;1,"",(AVERAGEIFS('09월 화학성분'!V$12:V$949,'09월 화학성분'!$A$12:$A$949,$A14,'09월 화학성분'!$D$12:$D$949,$B14)))</f>
        <v/>
      </c>
      <c r="AE14" s="829" t="str">
        <f>IF($C14&lt;1,"",(AVERAGEIFS('09월 화학성분'!W$12:W$949,'09월 화학성분'!$A$12:$A$949,$A14,'09월 화학성분'!$D$12:$D$949,$B14)))</f>
        <v/>
      </c>
      <c r="AF14" s="829" t="str">
        <f>IF($C14&lt;1,"",(AVERAGEIFS('09월 화학성분'!AA$12:AA$949,'09월 화학성분'!$A$12:$A$949,$A14,'09월 화학성분'!$D$12:$D$949,$B14)))</f>
        <v/>
      </c>
      <c r="AG14" s="829" t="str">
        <f>IF($C14&lt;1,"",(AVERAGEIFS('09월 화학성분'!#REF!,'09월 화학성분'!$A$12:$A$949,$A14,'09월 화학성분'!$D$12:$D$949,$B14)))</f>
        <v/>
      </c>
      <c r="AH14" s="829" t="str">
        <f>IF($C14&lt;1,"",(AVERAGEIFS('09월 화학성분'!AB$12:AB$949,'09월 화학성분'!$A$12:$A$949,$A14,'09월 화학성분'!$D$12:$D$949,$B14)))</f>
        <v/>
      </c>
      <c r="AI14" s="829" t="str">
        <f>IF($C14&lt;1,"",(AVERAGEIFS('09월 화학성분'!AC$12:AC$949,'09월 화학성분'!$A$12:$A$949,$A14,'09월 화학성분'!$D$12:$D$949,$B14)))</f>
        <v/>
      </c>
      <c r="AJ14" s="829" t="str">
        <f>IF($C14&lt;1,"",(AVERAGEIFS('09월 화학성분'!AD$12:AD$949,'09월 화학성분'!$A$12:$A$949,$A14,'09월 화학성분'!$D$12:$D$949,$B14)))</f>
        <v/>
      </c>
      <c r="AK14" s="829" t="str">
        <f>IF($C14&lt;1,"",(AVERAGEIFS('09월 화학성분'!AF$12:AF$949,'09월 화학성분'!$A$12:$A$949,$A14,'09월 화학성분'!$D$12:$D$949,$B14)))</f>
        <v/>
      </c>
      <c r="AL14" s="829" t="str">
        <f>IF($C14&lt;1,"",(AVERAGEIFS('09월 화학성분'!AG$12:AG$949,'09월 화학성분'!$A$12:$A$949,$A14,'09월 화학성분'!$D$12:$D$949,$B14)))</f>
        <v/>
      </c>
      <c r="AM14" s="829" t="str">
        <f>IF($C14&lt;1,"",(AVERAGEIFS('09월 화학성분'!AH$12:AH$949,'09월 화학성분'!$A$12:$A$949,$A14,'09월 화학성분'!$D$12:$D$949,$B14)))</f>
        <v/>
      </c>
      <c r="AN14" s="829" t="str">
        <f>IF($C14&lt;1,"",(AVERAGEIFS('09월 화학성분'!AI$12:AI$949,'09월 화학성분'!$A$12:$A$949,$A14,'09월 화학성분'!$D$12:$D$949,$B14)))</f>
        <v/>
      </c>
      <c r="AO14" s="829" t="str">
        <f>IF($C14&lt;1,"",(AVERAGEIFS('09월 화학성분'!AJ$12:AJ$949,'09월 화학성분'!$A$12:$A$949,$A14,'09월 화학성분'!$D$12:$D$949,$B14)))</f>
        <v/>
      </c>
      <c r="AP14" s="829" t="str">
        <f>IF($C14&lt;1,"",(AVERAGEIFS('09월 화학성분'!#REF!,'09월 화학성분'!$A$12:$A$949,$A14,'09월 화학성분'!$D$12:$D$949,$B14)))</f>
        <v/>
      </c>
      <c r="AQ14" s="829" t="str">
        <f>IF($C14&lt;1,"",(AVERAGEIFS('09월 화학성분'!AL$12:AL$949,'09월 화학성분'!$A$12:$A$949,$A14,'09월 화학성분'!$D$12:$D$949,$B14)))</f>
        <v/>
      </c>
      <c r="AR14" s="829" t="str">
        <f>IF($C14&lt;1,"",(AVERAGEIFS('09월 화학성분'!AM$12:AM$949,'09월 화학성분'!$A$12:$A$949,$A14,'09월 화학성분'!$D$12:$D$949,$B14)))</f>
        <v/>
      </c>
      <c r="AS14" s="830" t="str">
        <f>IF($C14&lt;1,"",(AVERAGEIFS('09월 화학성분'!AN$12:AN$949,'09월 화학성분'!$A$12:$A$949,$A14,'09월 화학성분'!$D$12:$D$949,$B14)))</f>
        <v/>
      </c>
      <c r="AT14" s="830" t="str">
        <f>IF($C14&lt;1,"",(AVERAGEIFS('09월 화학성분'!AO$12:AO$949,'09월 화학성분'!$A$12:$A$949,$A14,'09월 화학성분'!$D$12:$D$949,$B14)))</f>
        <v/>
      </c>
      <c r="AU14" s="831" t="str">
        <f>IF($C14&lt;1,"",(AVERAGEIFS('09월 화학성분'!AP$12:AP$949,'09월 화학성분'!$A$12:$A$949,$A14,'09월 화학성분'!$D$12:$D$949,$B14)))</f>
        <v/>
      </c>
      <c r="AV14" s="832" t="str">
        <f>IF($C14&lt;1,"",(AVERAGEIFS('09월 고철장입'!G$14:G$949,'09월 고철장입'!$A$14:$A$949,$A14,'09월 고철장입'!$C$14:$C$949,$B14))/1000)</f>
        <v/>
      </c>
      <c r="AW14" s="832" t="str">
        <f>IF($C14&lt;1,"",(AVERAGEIFS('09월 고철장입'!H$14:H$949,'09월 고철장입'!$A$14:$A$949,$A14,'09월 고철장입'!$C$14:$C$949,$B14))/1000)</f>
        <v/>
      </c>
      <c r="AX14" s="832" t="str">
        <f>IF($C14&lt;1,"",(AVERAGEIFS('09월 고철장입'!I$14:I$949,'09월 고철장입'!$A$14:$A$949,$A14,'09월 고철장입'!$C$14:$C$949,$B14))/1000)</f>
        <v/>
      </c>
      <c r="AY14" s="832" t="str">
        <f>IF($C14&lt;1,"",(AVERAGEIFS('09월 고철장입'!J$14:J$949,'09월 고철장입'!$A$14:$A$949,$A14,'09월 고철장입'!$C$14:$C$949,$B14))/1000)</f>
        <v/>
      </c>
      <c r="AZ14" s="832" t="str">
        <f>IF($C14&lt;1,"",(AVERAGEIFS('09월 고철장입'!K$14:K$949,'09월 고철장입'!$A$14:$A$949,$A14,'09월 고철장입'!$C$14:$C$949,$B14))/1000)</f>
        <v/>
      </c>
      <c r="BA14" s="832" t="str">
        <f>IF($C14&lt;1,"",(AVERAGEIFS('09월 고철장입'!L$14:L$949,'09월 고철장입'!$A$14:$A$949,$A14,'09월 고철장입'!$C$14:$C$949,$B14))/1000)</f>
        <v/>
      </c>
      <c r="BB14" s="832" t="str">
        <f>IF($C14&lt;1,"",(AVERAGEIFS('09월 고철장입'!M$14:M$949,'09월 고철장입'!$A$14:$A$949,$A14,'09월 고철장입'!$C$14:$C$949,$B14))/1000)</f>
        <v/>
      </c>
      <c r="BC14" s="832" t="str">
        <f>IF($C14&lt;1,"",(AVERAGEIFS('09월 고철장입'!N$14:N$949,'09월 고철장입'!$A$14:$A$949,$A14,'09월 고철장입'!$C$14:$C$949,$B14))/1000)</f>
        <v/>
      </c>
      <c r="BD14" s="832" t="str">
        <f>IF($C14&lt;1,"",(AVERAGEIFS('09월 고철장입'!O$14:O$949,'09월 고철장입'!$A$14:$A$949,$A14,'09월 고철장입'!$C$14:$C$949,$B14))/1000)</f>
        <v/>
      </c>
      <c r="BE14" s="833" t="str">
        <f>IF($C14&lt;1,"",(AVERAGEIFS('09월 고철장입'!P$14:P$949,'09월 고철장입'!$A$14:$A$949,$A14,'09월 고철장입'!$C$14:$C$949,$B14))/1000)</f>
        <v/>
      </c>
      <c r="BF14" s="833" t="str">
        <f>IF($C14&lt;1,"",(AVERAGEIFS('09월 고철장입'!Q$14:Q$949,'09월 고철장입'!$A$14:$A$949,$A14,'09월 고철장입'!$C$14:$C$949,$B14))/1000)</f>
        <v/>
      </c>
      <c r="BG14" s="833" t="str">
        <f>IF($C14&lt;1,"",(AVERAGEIFS('09월 고철장입'!S$14:S$949,'09월 고철장입'!$A$14:$A$949,$A14,'09월 고철장입'!$C$14:$C$949,$B14))/1000)</f>
        <v/>
      </c>
      <c r="BH14" s="833" t="str">
        <f>IF($C14&lt;1,"",(AVERAGEIFS('09월 고철장입'!T$14:T$949,'09월 고철장입'!$A$14:$A$949,$A14,'09월 고철장입'!$C$14:$C$949,$B14))/1000)</f>
        <v/>
      </c>
      <c r="BI14" s="833" t="str">
        <f>IF($C14&lt;1,"",(AVERAGEIFS('09월 고철장입'!U$14:U$949,'09월 고철장입'!$A$14:$A$949,$A14,'09월 고철장입'!$C$14:$C$949,$B14))/1000)</f>
        <v/>
      </c>
      <c r="BJ14" s="833" t="str">
        <f>IF($C14&lt;1,"",(AVERAGEIFS('09월 고철장입'!V$14:V$949,'09월 고철장입'!$A$14:$A$949,$A14,'09월 고철장입'!$C$14:$C$949,$B14))/1000)</f>
        <v/>
      </c>
      <c r="BK14" s="833" t="str">
        <f>IF($C14&lt;1,"",(AVERAGEIFS('09월 고철장입'!W$14:W$949,'09월 고철장입'!$A$14:$A$949,$A14,'09월 고철장입'!$C$14:$C$949,$B14))/1000)</f>
        <v/>
      </c>
      <c r="BL14" s="833" t="str">
        <f>IF($C14&lt;1,"",(AVERAGEIFS('09월 고철장입'!Y$14:Y$949,'09월 고철장입'!$A$14:$A$949,$A14,'09월 고철장입'!$C$14:$C$949,$B14))/1000)</f>
        <v/>
      </c>
      <c r="BM14" s="833" t="str">
        <f>IF($C14&lt;1,"",(AVERAGEIFS('09월 고철장입'!AB$14:AB$949,'09월 고철장입'!$A$14:$A$949,$A14,'09월 고철장입'!$C$14:$C$949,$B14))/1000)</f>
        <v/>
      </c>
      <c r="BN14" s="833" t="str">
        <f>IF($C14&lt;1,"",(AVERAGEIFS('09월 고철장입'!AC$14:AC$949,'09월 고철장입'!$A$14:$A$949,$A14,'09월 고철장입'!$C$14:$C$949,$B14))/1000)</f>
        <v/>
      </c>
      <c r="BO14" s="833" t="str">
        <f>IF($C14&lt;1,"",(AVERAGEIFS('09월 고철장입'!AD$14:AD$949,'09월 고철장입'!$A$14:$A$949,$A14,'09월 고철장입'!$C$14:$C$949,$B14))/1000)</f>
        <v/>
      </c>
      <c r="BP14" s="833" t="str">
        <f>IF($C14&lt;1,"",(AVERAGEIFS('09월 고철장입'!AE$14:AE$949,'09월 고철장입'!$A$14:$A$949,$A14,'09월 고철장입'!$C$14:$C$949,$B14))/1000)</f>
        <v/>
      </c>
      <c r="BQ14" s="832" t="str">
        <f>IF($C14&lt;1,"",(AVERAGEIFS('09월 고철장입'!AF$14:AF$949,'09월 고철장입'!$A$14:$A$949,$A14,'09월 고철장입'!$C$14:$C$949,$B14))/1000)</f>
        <v/>
      </c>
      <c r="BR14" s="832" t="str">
        <f>IF($C14&lt;1,"",(AVERAGEIFS('09월 고철장입'!AG$14:AG$949,'09월 고철장입'!$A$14:$A$949,$A14,'09월 고철장입'!$C$14:$C$949,$B14))/1000)</f>
        <v/>
      </c>
      <c r="BS14" s="832" t="str">
        <f>IF($C14&lt;1,"",(AVERAGEIFS('09월 고철장입'!AH$14:AH$949,'09월 고철장입'!$A$14:$A$949,$A14,'09월 고철장입'!$C$14:$C$949,$B14))/1000)</f>
        <v/>
      </c>
      <c r="BT14" s="832" t="str">
        <f>IF($C14&lt;1,"",(AVERAGEIFS('09월 고철장입'!AI$14:AI$949,'09월 고철장입'!$A$14:$A$949,$A14,'09월 고철장입'!$C$14:$C$949,$B14))/1000)</f>
        <v/>
      </c>
      <c r="BU14" s="834" t="str">
        <f>IF($C14&lt;1,"",(AVERAGEIFS('09월 고철장입'!AJ$14:AJ$949,'09월 고철장입'!$A$14:$A$949,$A14,'09월 고철장입'!$C$14:$C$949,$B14))/1000)</f>
        <v/>
      </c>
      <c r="BV14" s="834" t="str">
        <f>IF($C14&lt;1,"",(AVERAGEIFS('09월 고철장입'!AK$14:AK$949,'09월 고철장입'!$A$14:$A$949,$A14,'09월 고철장입'!$C$14:$C$949,$B14)))</f>
        <v/>
      </c>
      <c r="BW14" s="834" t="str">
        <f>IF($C14&lt;1,"",(AVERAGEIFS('09월 고철장입'!AL$14:AL$949,'09월 고철장입'!$A$14:$A$949,$A14,'09월 고철장입'!$C$14:$C$949,$B14))*100)</f>
        <v/>
      </c>
      <c r="BX14" s="831" t="str">
        <f>IF($C14&lt;1,"",(AVERAGEIFS('09월 에너지'!G$14:G$949,'09월 에너지'!$A$14:$A$949,$A14,'09월 에너지'!$C$14:$C$949,$B14)))</f>
        <v/>
      </c>
      <c r="BY14" s="835" t="str">
        <f>IF($C14&lt;1,"",(AVERAGEIFS('09월 에너지'!H$14:H$949,'09월 에너지'!$A$14:$A$949,$A14,'09월 에너지'!$C$14:$C$949,$B14)))</f>
        <v/>
      </c>
      <c r="BZ14" s="831" t="str">
        <f>IF($C14&lt;1,"",(AVERAGEIFS('09월 에너지'!I$14:I$949,'09월 에너지'!$A$14:$A$949,$A14,'09월 에너지'!$C$14:$C$949,$B14)))</f>
        <v/>
      </c>
      <c r="CA14" s="835" t="str">
        <f>IF($C14&lt;1,"",(AVERAGEIFS('09월 에너지'!J$14:J$949,'09월 에너지'!$A$14:$A$949,$A14,'09월 에너지'!$C$14:$C$949,$B14)))</f>
        <v/>
      </c>
      <c r="CB14" s="831" t="str">
        <f>IF($C14&lt;1,"",(AVERAGEIFS('09월 에너지'!K$14:K$949,'09월 에너지'!$A$14:$A$949,$A14,'09월 에너지'!$C$14:$C$949,$B14)))</f>
        <v/>
      </c>
      <c r="CC14" s="835" t="str">
        <f>IF($C14&lt;1,"",(AVERAGEIFS('09월 에너지'!L$14:L$949,'09월 에너지'!$A$14:$A$949,$A14,'09월 에너지'!$C$14:$C$949,$B14)))</f>
        <v/>
      </c>
      <c r="CD14" s="831" t="str">
        <f>IF($C14&lt;1,"",(AVERAGEIFS('09월 에너지'!M$14:M$949,'09월 에너지'!$A$14:$A$949,$A14,'09월 에너지'!$C$14:$C$949,$B14)))</f>
        <v/>
      </c>
      <c r="CE14" s="835" t="str">
        <f>IF($C14&lt;1,"",(AVERAGEIFS('09월 에너지'!N$14:N$949,'09월 에너지'!$A$14:$A$949,$A14,'09월 에너지'!$C$14:$C$949,$B14)))</f>
        <v/>
      </c>
      <c r="CF14" s="831" t="str">
        <f>IF($C14&lt;1,"",(AVERAGEIFS('09월 에너지'!O$14:O$949,'09월 에너지'!$A$14:$A$949,$A14,'09월 에너지'!$C$14:$C$949,$B14)))</f>
        <v/>
      </c>
      <c r="CG14" s="831" t="str">
        <f>IF($C14&lt;1,"",(AVERAGEIFS('09월 에너지'!P$14:P$949,'09월 에너지'!$A$14:$A$949,$A14,'09월 에너지'!$C$14:$C$949,$B14)))</f>
        <v/>
      </c>
      <c r="CH14" s="831" t="str">
        <f>IF($C14&lt;1,"",(AVERAGEIFS('09월 에너지'!Q$14:Q$949,'09월 에너지'!$A$14:$A$949,$A14,'09월 에너지'!$C$14:$C$949,$B14)))</f>
        <v/>
      </c>
      <c r="CI14" s="831" t="str">
        <f>IF($C14&lt;1,"",(AVERAGEIFS('09월 에너지'!R$14:R$949,'09월 에너지'!$A$14:$A$949,$A14,'09월 에너지'!$C$14:$C$949,$B14)))</f>
        <v/>
      </c>
      <c r="CJ14" s="831" t="str">
        <f>IF($C14&lt;1,"",(AVERAGEIFS('09월 에너지'!S$14:S$949,'09월 에너지'!$A$14:$A$949,$A14,'09월 에너지'!$C$14:$C$949,$B14)))</f>
        <v/>
      </c>
      <c r="CK14" s="831" t="str">
        <f>IF($C14&lt;1,"",(AVERAGEIFS('09월 에너지'!T$14:T$949,'09월 에너지'!$A$14:$A$949,$A14,'09월 에너지'!$C$14:$C$949,$B14)))</f>
        <v/>
      </c>
      <c r="CL14" s="831" t="str">
        <f>IF($C14&lt;1,"",(AVERAGEIFS('09월 에너지'!U$14:U$949,'09월 에너지'!$A$14:$A$949,$A14,'09월 에너지'!$C$14:$C$949,$B14)))</f>
        <v/>
      </c>
      <c r="CM14" s="835" t="str">
        <f>IF($C14&lt;1,"",(AVERAGEIFS('09월 에너지'!V$14:V$949,'09월 에너지'!$A$14:$A$949,$A14,'09월 에너지'!$C$14:$C$949,$B14)))</f>
        <v/>
      </c>
      <c r="CN14" s="835" t="str">
        <f>IF($C14&lt;1,"",(AVERAGEIFS('09월 에너지'!W$14:W$949,'09월 에너지'!$A$14:$A$949,$A14,'09월 에너지'!$C$14:$C$949,$B14)))</f>
        <v/>
      </c>
      <c r="CO14" s="831" t="str">
        <f>IF($C14&lt;1,"",(AVERAGEIFS('09월 에너지'!X$14:X$949,'09월 에너지'!$A$14:$A$949,$A14,'09월 에너지'!$C$14:$C$949,$B14)))</f>
        <v/>
      </c>
      <c r="CP14" s="835" t="str">
        <f>IF($C14&lt;1,"",(AVERAGEIFS('09월 에너지'!Y$14:Y$949,'09월 에너지'!$A$14:$A$949,$A14,'09월 에너지'!$C$14:$C$949,$B14)))</f>
        <v/>
      </c>
      <c r="CQ14" s="835" t="str">
        <f>IF($C14&lt;1,"",(AVERAGEIFS('09월 에너지'!Z$14:Z$949,'09월 에너지'!$A$14:$A$949,$A14,'09월 에너지'!$C$14:$C$949,$B14)))</f>
        <v/>
      </c>
      <c r="CR14" s="835" t="str">
        <f>IF($C14&lt;1,"",(AVERAGEIFS('09월 에너지'!AA$14:AA$949,'09월 에너지'!$A$14:$A$949,$A14,'09월 에너지'!$C$14:$C$949,$B14)))</f>
        <v/>
      </c>
      <c r="CS14" s="835" t="str">
        <f>IF($C14&lt;1,"",(AVERAGEIFS('09월 에너지'!AB$14:AB$949,'09월 에너지'!$A$14:$A$949,$A14,'09월 에너지'!$C$14:$C$949,$B14)))</f>
        <v/>
      </c>
      <c r="CT14" s="831" t="str">
        <f>IF($C14&lt;1,"",(AVERAGEIFS('09월 에너지'!AC$14:AC$949,'09월 에너지'!$A$14:$A$949,$A14,'09월 에너지'!$C$14:$C$949,$B14)))</f>
        <v/>
      </c>
      <c r="CU14" s="836" t="str">
        <f>IF($C14&lt;1,"",(AVERAGEIFS('09월 에너지'!AD$14:AD$949,'09월 에너지'!$A$14:$A$949,$A14,'09월 에너지'!$C$14:$C$949,$B14)))</f>
        <v/>
      </c>
      <c r="CV14" s="837" t="str">
        <f>IF($C14&lt;1,"",(AVERAGEIFS('09월 에너지'!AE$14:AE$949,'09월 에너지'!$A$14:$A$949,$A14,'09월 에너지'!$C$14:$C$949,$B14)))</f>
        <v/>
      </c>
      <c r="CW14" s="831" t="str">
        <f>IF($C14&lt;1,"",(AVERAGEIFS('09월 에너지'!AF$14:AF$949,'09월 에너지'!$A$14:$A$949,$A14,'09월 에너지'!$C$14:$C$949,$B14)))</f>
        <v/>
      </c>
      <c r="CX14" s="831" t="str">
        <f>IF($C14&lt;1,"",(AVERAGEIFS('09월 에너지'!AG$14:AG$949,'09월 에너지'!$A$14:$A$949,$A14,'09월 에너지'!$C$14:$C$949,$B14)))</f>
        <v/>
      </c>
      <c r="CY14" s="831" t="str">
        <f>IF($C14&lt;1,"",(AVERAGEIFS('09월 에너지'!AH$14:AH$949,'09월 에너지'!$A$14:$A$949,$A14,'09월 에너지'!$C$14:$C$949,$B14)))</f>
        <v/>
      </c>
      <c r="CZ14" s="831" t="str">
        <f>IF($C14&lt;1,"",(AVERAGEIFS('09월 에너지'!AI$14:AI$949,'09월 에너지'!$A$14:$A$949,$A14,'09월 에너지'!$C$14:$C$949,$B14)))</f>
        <v/>
      </c>
      <c r="DA14" s="838" t="str">
        <f>IF($C14&lt;1,"",(AVERAGEIFS('09월 에너지'!AJ$14:AJ$949,'09월 에너지'!$A$14:$A$949,$A14,'09월 에너지'!$C$14:$C$949,$B14)))</f>
        <v/>
      </c>
    </row>
    <row r="15" spans="1:105" ht="13.5" customHeight="1" thickBot="1">
      <c r="A15" s="851">
        <f t="shared" si="2"/>
        <v>44928</v>
      </c>
      <c r="B15" s="852" t="s">
        <v>206</v>
      </c>
      <c r="C15" s="841">
        <f>COUNTIFS('09월 조업일지'!$A$12:$A$952,A11,'09월 조업일지'!$E$12:$E$952,B15)</f>
        <v>0</v>
      </c>
      <c r="D15" s="842" t="str">
        <f t="shared" si="3"/>
        <v/>
      </c>
      <c r="E15" s="842" t="str">
        <f>IF($C15&lt;1,"",(SUMIFS('09월 조업일지'!$K$12:$K$952,'09월 조업일지'!$A$12:$A$952,$A15,'09월 조업일지'!$E$12:$E$952,$B15)/$C15))</f>
        <v/>
      </c>
      <c r="F15" s="842" t="str">
        <f>IF($C15&lt;1,"",(AVERAGEIFS('09월 조업일지'!$J$12:$J$952,'09월 조업일지'!$A$12:$A$952,$A15,'09월 조업일지'!$E$12:$E$952,$B15)))</f>
        <v/>
      </c>
      <c r="G15" s="843" t="str">
        <f>IF($C15&lt;1,"",(AVERAGEIFS('09월 에너지'!$M$14:$M$949,'09월 에너지'!$A$14:$A$949,$A15,'09월 에너지'!$C$14:$C$949,$B15)))</f>
        <v/>
      </c>
      <c r="H15" s="844" t="str">
        <f>IF($C15&lt;1,"",(AVERAGEIFS('09월 조업일지'!$AJ$12:$AJ$952,'09월 조업일지'!$A$12:$A$952,$A15,'09월 조업일지'!$E$12:$E$952,$B15)))</f>
        <v/>
      </c>
      <c r="I15" s="844" t="str">
        <f>IF($C15&lt;1,"",(AVERAGEIFS('09월 조업일지'!$AL$12:$AL$952,'09월 조업일지'!$A$12:$A$952,$A15,'09월 조업일지'!$E$12:$E$952,$B15)))</f>
        <v/>
      </c>
      <c r="J15" s="845" t="str">
        <f>IF($C15&lt;1,"",(AVERAGEIFS('09월 화학성분'!G$12:G$949,'09월 화학성분'!$A$12:$A$949,$A15,'09월 화학성분'!$D$12:$D$949,$B15)))</f>
        <v/>
      </c>
      <c r="K15" s="845" t="str">
        <f>IF($C15&lt;1,"",(AVERAGEIFS('09월 화학성분'!H$12:H$949,'09월 화학성분'!$A$12:$A$949,$A15,'09월 화학성분'!$D$12:$D$949,$B15)))</f>
        <v/>
      </c>
      <c r="L15" s="845" t="str">
        <f>IF($C15&lt;1,"",(AVERAGEIFS('09월 화학성분'!I$12:I$949,'09월 화학성분'!$A$12:$A$949,$A15,'09월 화학성분'!$D$12:$D$949,$B15)))</f>
        <v/>
      </c>
      <c r="M15" s="845" t="str">
        <f>IF($C15&lt;1,"",(AVERAGEIFS('09월 화학성분'!J$12:J$949,'09월 화학성분'!$A$12:$A$949,$A15,'09월 화학성분'!$D$12:$D$949,$B15)))</f>
        <v/>
      </c>
      <c r="N15" s="845" t="str">
        <f>IF($C15&lt;1,"",(AVERAGEIFS('09월 화학성분'!K$12:K$949,'09월 화학성분'!$A$12:$A$949,$A15,'09월 화학성분'!$D$12:$D$949,$B15)))</f>
        <v/>
      </c>
      <c r="O15" s="845" t="str">
        <f>IF($C15&lt;1,"",(AVERAGEIFS('09월 화학성분'!L$12:L$949,'09월 화학성분'!$A$12:$A$949,$A15,'09월 화학성분'!$D$12:$D$949,$B15)))</f>
        <v/>
      </c>
      <c r="P15" s="845" t="str">
        <f>IF($C15&lt;1,"",(AVERAGEIFS('09월 화학성분'!M$12:M$949,'09월 화학성분'!$A$12:$A$949,$A15,'09월 화학성분'!$D$12:$D$949,$B15)))</f>
        <v/>
      </c>
      <c r="Q15" s="827" t="str">
        <f>IFERROR(IF($C15&lt;1,"",(AVERAGEIFS('09월 조업일지'!$AA$12:$AA$952,'09월 조업일지'!$A$12:$A$952,$A15,'09월 조업일지'!$E$12:$E$952,$B15))),"")</f>
        <v/>
      </c>
      <c r="R15" s="845" t="str">
        <f>IF($C15&lt;1,"",(AVERAGEIFS('09월 조업일지'!$AK$12:$AK$952,'09월 조업일지'!$A$12:$A$952,$A15,'09월 조업일지'!$E$12:$E$952,$B15)))</f>
        <v/>
      </c>
      <c r="S15" s="845"/>
      <c r="T15" s="845"/>
      <c r="U15" s="845" t="str">
        <f>IF($C15&lt;1,"",(AVERAGEIFS('09월 화학성분'!$G$12:$G$949,'09월 화학성분'!$A$12:$A$949,$A15,'09월 화학성분'!$D$12:$D$949,$B15)))</f>
        <v/>
      </c>
      <c r="V15" s="845" t="str">
        <f>IF($C15&lt;1,"",(AVERAGEIFS('09월 조업일지'!$AI$12:$AI$952,'09월 조업일지'!$A$12:$A$952,$A15,'09월 조업일지'!$E$12:$E$952,$B15)))</f>
        <v/>
      </c>
      <c r="W15" s="846" t="str">
        <f>IF($C15&lt;1,"",(AVERAGEIFS('09월 화학성분'!$AM$12:$AM$949,'09월 화학성분'!$A$12:$A$949,$A15,'09월 화학성분'!$D$12:$D$949,$B15)))</f>
        <v/>
      </c>
      <c r="X15" s="829" t="str">
        <f>IF($C15&lt;1,"",(AVERAGEIFS('09월 화학성분'!N$12:N$949,'09월 화학성분'!$A$12:$A$949,$A15,'09월 화학성분'!$D$12:$D$949,$B15)))</f>
        <v/>
      </c>
      <c r="Y15" s="829" t="str">
        <f>IF($C15&lt;1,"",(AVERAGEIFS('09월 화학성분'!O$12:O$949,'09월 화학성분'!$A$12:$A$949,$A15,'09월 화학성분'!$D$12:$D$949,$B15)))</f>
        <v/>
      </c>
      <c r="Z15" s="829" t="str">
        <f>IF($C15&lt;1,"",(AVERAGEIFS('09월 화학성분'!P$12:P$949,'09월 화학성분'!$A$12:$A$949,$A15,'09월 화학성분'!$D$12:$D$949,$B15)))</f>
        <v/>
      </c>
      <c r="AA15" s="829" t="str">
        <f>IF($C15&lt;1,"",(AVERAGEIFS('09월 화학성분'!Q$12:Q$949,'09월 화학성분'!$A$12:$A$949,$A15,'09월 화학성분'!$D$12:$D$949,$B15)))</f>
        <v/>
      </c>
      <c r="AB15" s="829" t="str">
        <f>IF($C15&lt;1,"",(AVERAGEIFS('09월 화학성분'!R$12:R$949,'09월 화학성분'!$A$12:$A$949,$A15,'09월 화학성분'!$D$12:$D$949,$B15)))</f>
        <v/>
      </c>
      <c r="AC15" s="829" t="str">
        <f>IF($C15&lt;1,"",(AVERAGEIFS('09월 화학성분'!U$12:U$949,'09월 화학성분'!$A$12:$A$949,$A15,'09월 화학성분'!$D$12:$D$949,$B15)))</f>
        <v/>
      </c>
      <c r="AD15" s="829" t="str">
        <f>IF($C15&lt;1,"",(AVERAGEIFS('09월 화학성분'!V$12:V$949,'09월 화학성분'!$A$12:$A$949,$A15,'09월 화학성분'!$D$12:$D$949,$B15)))</f>
        <v/>
      </c>
      <c r="AE15" s="829" t="str">
        <f>IF($C15&lt;1,"",(AVERAGEIFS('09월 화학성분'!W$12:W$949,'09월 화학성분'!$A$12:$A$949,$A15,'09월 화학성분'!$D$12:$D$949,$B15)))</f>
        <v/>
      </c>
      <c r="AF15" s="829" t="str">
        <f>IF($C15&lt;1,"",(AVERAGEIFS('09월 화학성분'!AA$12:AA$949,'09월 화학성분'!$A$12:$A$949,$A15,'09월 화학성분'!$D$12:$D$949,$B15)))</f>
        <v/>
      </c>
      <c r="AG15" s="829" t="str">
        <f>IF($C15&lt;1,"",(AVERAGEIFS('09월 화학성분'!#REF!,'09월 화학성분'!$A$12:$A$949,$A15,'09월 화학성분'!$D$12:$D$949,$B15)))</f>
        <v/>
      </c>
      <c r="AH15" s="829" t="str">
        <f>IF($C15&lt;1,"",(AVERAGEIFS('09월 화학성분'!AB$12:AB$949,'09월 화학성분'!$A$12:$A$949,$A15,'09월 화학성분'!$D$12:$D$949,$B15)))</f>
        <v/>
      </c>
      <c r="AI15" s="829" t="str">
        <f>IF($C15&lt;1,"",(AVERAGEIFS('09월 화학성분'!AC$12:AC$949,'09월 화학성분'!$A$12:$A$949,$A15,'09월 화학성분'!$D$12:$D$949,$B15)))</f>
        <v/>
      </c>
      <c r="AJ15" s="829" t="str">
        <f>IF($C15&lt;1,"",(AVERAGEIFS('09월 화학성분'!AD$12:AD$949,'09월 화학성분'!$A$12:$A$949,$A15,'09월 화학성분'!$D$12:$D$949,$B15)))</f>
        <v/>
      </c>
      <c r="AK15" s="829" t="str">
        <f>IF($C15&lt;1,"",(AVERAGEIFS('09월 화학성분'!AF$12:AF$949,'09월 화학성분'!$A$12:$A$949,$A15,'09월 화학성분'!$D$12:$D$949,$B15)))</f>
        <v/>
      </c>
      <c r="AL15" s="829" t="str">
        <f>IF($C15&lt;1,"",(AVERAGEIFS('09월 화학성분'!AG$12:AG$949,'09월 화학성분'!$A$12:$A$949,$A15,'09월 화학성분'!$D$12:$D$949,$B15)))</f>
        <v/>
      </c>
      <c r="AM15" s="829" t="str">
        <f>IF($C15&lt;1,"",(AVERAGEIFS('09월 화학성분'!AH$12:AH$949,'09월 화학성분'!$A$12:$A$949,$A15,'09월 화학성분'!$D$12:$D$949,$B15)))</f>
        <v/>
      </c>
      <c r="AN15" s="829" t="str">
        <f>IF($C15&lt;1,"",(AVERAGEIFS('09월 화학성분'!AI$12:AI$949,'09월 화학성분'!$A$12:$A$949,$A15,'09월 화학성분'!$D$12:$D$949,$B15)))</f>
        <v/>
      </c>
      <c r="AO15" s="829" t="str">
        <f>IF($C15&lt;1,"",(AVERAGEIFS('09월 화학성분'!AJ$12:AJ$949,'09월 화학성분'!$A$12:$A$949,$A15,'09월 화학성분'!$D$12:$D$949,$B15)))</f>
        <v/>
      </c>
      <c r="AP15" s="829" t="str">
        <f>IF($C15&lt;1,"",(AVERAGEIFS('09월 화학성분'!#REF!,'09월 화학성분'!$A$12:$A$949,$A15,'09월 화학성분'!$D$12:$D$949,$B15)))</f>
        <v/>
      </c>
      <c r="AQ15" s="829" t="str">
        <f>IF($C15&lt;1,"",(AVERAGEIFS('09월 화학성분'!AL$12:AL$949,'09월 화학성분'!$A$12:$A$949,$A15,'09월 화학성분'!$D$12:$D$949,$B15)))</f>
        <v/>
      </c>
      <c r="AR15" s="829" t="str">
        <f>IF($C15&lt;1,"",(AVERAGEIFS('09월 화학성분'!AM$12:AM$949,'09월 화학성분'!$A$12:$A$949,$A15,'09월 화학성분'!$D$12:$D$949,$B15)))</f>
        <v/>
      </c>
      <c r="AS15" s="830" t="str">
        <f>IF($C15&lt;1,"",(AVERAGEIFS('09월 화학성분'!AN$12:AN$949,'09월 화학성분'!$A$12:$A$949,$A15,'09월 화학성분'!$D$12:$D$949,$B15)))</f>
        <v/>
      </c>
      <c r="AT15" s="830" t="str">
        <f>IF($C15&lt;1,"",(AVERAGEIFS('09월 화학성분'!AO$12:AO$949,'09월 화학성분'!$A$12:$A$949,$A15,'09월 화학성분'!$D$12:$D$949,$B15)))</f>
        <v/>
      </c>
      <c r="AU15" s="831" t="str">
        <f>IF($C15&lt;1,"",(AVERAGEIFS('09월 화학성분'!AP$12:AP$949,'09월 화학성분'!$A$12:$A$949,$A15,'09월 화학성분'!$D$12:$D$949,$B15)))</f>
        <v/>
      </c>
      <c r="AV15" s="832" t="str">
        <f>IF($C15&lt;1,"",(AVERAGEIFS('09월 고철장입'!G$14:G$949,'09월 고철장입'!$A$14:$A$949,$A15,'09월 고철장입'!$C$14:$C$949,$B15))/1000)</f>
        <v/>
      </c>
      <c r="AW15" s="832" t="str">
        <f>IF($C15&lt;1,"",(AVERAGEIFS('09월 고철장입'!H$14:H$949,'09월 고철장입'!$A$14:$A$949,$A15,'09월 고철장입'!$C$14:$C$949,$B15))/1000)</f>
        <v/>
      </c>
      <c r="AX15" s="832" t="str">
        <f>IF($C15&lt;1,"",(AVERAGEIFS('09월 고철장입'!I$14:I$949,'09월 고철장입'!$A$14:$A$949,$A15,'09월 고철장입'!$C$14:$C$949,$B15))/1000)</f>
        <v/>
      </c>
      <c r="AY15" s="832" t="str">
        <f>IF($C15&lt;1,"",(AVERAGEIFS('09월 고철장입'!J$14:J$949,'09월 고철장입'!$A$14:$A$949,$A15,'09월 고철장입'!$C$14:$C$949,$B15))/1000)</f>
        <v/>
      </c>
      <c r="AZ15" s="832" t="str">
        <f>IF($C15&lt;1,"",(AVERAGEIFS('09월 고철장입'!K$14:K$949,'09월 고철장입'!$A$14:$A$949,$A15,'09월 고철장입'!$C$14:$C$949,$B15))/1000)</f>
        <v/>
      </c>
      <c r="BA15" s="832" t="str">
        <f>IF($C15&lt;1,"",(AVERAGEIFS('09월 고철장입'!L$14:L$949,'09월 고철장입'!$A$14:$A$949,$A15,'09월 고철장입'!$C$14:$C$949,$B15))/1000)</f>
        <v/>
      </c>
      <c r="BB15" s="832" t="str">
        <f>IF($C15&lt;1,"",(AVERAGEIFS('09월 고철장입'!M$14:M$949,'09월 고철장입'!$A$14:$A$949,$A15,'09월 고철장입'!$C$14:$C$949,$B15))/1000)</f>
        <v/>
      </c>
      <c r="BC15" s="832" t="str">
        <f>IF($C15&lt;1,"",(AVERAGEIFS('09월 고철장입'!N$14:N$949,'09월 고철장입'!$A$14:$A$949,$A15,'09월 고철장입'!$C$14:$C$949,$B15))/1000)</f>
        <v/>
      </c>
      <c r="BD15" s="832" t="str">
        <f>IF($C15&lt;1,"",(AVERAGEIFS('09월 고철장입'!O$14:O$949,'09월 고철장입'!$A$14:$A$949,$A15,'09월 고철장입'!$C$14:$C$949,$B15))/1000)</f>
        <v/>
      </c>
      <c r="BE15" s="833" t="str">
        <f>IF($C15&lt;1,"",(AVERAGEIFS('09월 고철장입'!P$14:P$949,'09월 고철장입'!$A$14:$A$949,$A15,'09월 고철장입'!$C$14:$C$949,$B15))/1000)</f>
        <v/>
      </c>
      <c r="BF15" s="833" t="str">
        <f>IF($C15&lt;1,"",(AVERAGEIFS('09월 고철장입'!Q$14:Q$949,'09월 고철장입'!$A$14:$A$949,$A15,'09월 고철장입'!$C$14:$C$949,$B15))/1000)</f>
        <v/>
      </c>
      <c r="BG15" s="833" t="str">
        <f>IF($C15&lt;1,"",(AVERAGEIFS('09월 고철장입'!S$14:S$949,'09월 고철장입'!$A$14:$A$949,$A15,'09월 고철장입'!$C$14:$C$949,$B15))/1000)</f>
        <v/>
      </c>
      <c r="BH15" s="833" t="str">
        <f>IF($C15&lt;1,"",(AVERAGEIFS('09월 고철장입'!T$14:T$949,'09월 고철장입'!$A$14:$A$949,$A15,'09월 고철장입'!$C$14:$C$949,$B15))/1000)</f>
        <v/>
      </c>
      <c r="BI15" s="833" t="str">
        <f>IF($C15&lt;1,"",(AVERAGEIFS('09월 고철장입'!U$14:U$949,'09월 고철장입'!$A$14:$A$949,$A15,'09월 고철장입'!$C$14:$C$949,$B15))/1000)</f>
        <v/>
      </c>
      <c r="BJ15" s="833" t="str">
        <f>IF($C15&lt;1,"",(AVERAGEIFS('09월 고철장입'!V$14:V$949,'09월 고철장입'!$A$14:$A$949,$A15,'09월 고철장입'!$C$14:$C$949,$B15))/1000)</f>
        <v/>
      </c>
      <c r="BK15" s="833" t="str">
        <f>IF($C15&lt;1,"",(AVERAGEIFS('09월 고철장입'!W$14:W$949,'09월 고철장입'!$A$14:$A$949,$A15,'09월 고철장입'!$C$14:$C$949,$B15))/1000)</f>
        <v/>
      </c>
      <c r="BL15" s="833" t="str">
        <f>IF($C15&lt;1,"",(AVERAGEIFS('09월 고철장입'!Y$14:Y$949,'09월 고철장입'!$A$14:$A$949,$A15,'09월 고철장입'!$C$14:$C$949,$B15))/1000)</f>
        <v/>
      </c>
      <c r="BM15" s="833" t="str">
        <f>IF($C15&lt;1,"",(AVERAGEIFS('09월 고철장입'!AB$14:AB$949,'09월 고철장입'!$A$14:$A$949,$A15,'09월 고철장입'!$C$14:$C$949,$B15))/1000)</f>
        <v/>
      </c>
      <c r="BN15" s="833" t="str">
        <f>IF($C15&lt;1,"",(AVERAGEIFS('09월 고철장입'!AC$14:AC$949,'09월 고철장입'!$A$14:$A$949,$A15,'09월 고철장입'!$C$14:$C$949,$B15))/1000)</f>
        <v/>
      </c>
      <c r="BO15" s="833" t="str">
        <f>IF($C15&lt;1,"",(AVERAGEIFS('09월 고철장입'!AD$14:AD$949,'09월 고철장입'!$A$14:$A$949,$A15,'09월 고철장입'!$C$14:$C$949,$B15))/1000)</f>
        <v/>
      </c>
      <c r="BP15" s="833" t="str">
        <f>IF($C15&lt;1,"",(AVERAGEIFS('09월 고철장입'!AE$14:AE$949,'09월 고철장입'!$A$14:$A$949,$A15,'09월 고철장입'!$C$14:$C$949,$B15))/1000)</f>
        <v/>
      </c>
      <c r="BQ15" s="832" t="str">
        <f>IF($C15&lt;1,"",(AVERAGEIFS('09월 고철장입'!AF$14:AF$949,'09월 고철장입'!$A$14:$A$949,$A15,'09월 고철장입'!$C$14:$C$949,$B15))/1000)</f>
        <v/>
      </c>
      <c r="BR15" s="832" t="str">
        <f>IF($C15&lt;1,"",(AVERAGEIFS('09월 고철장입'!AG$14:AG$949,'09월 고철장입'!$A$14:$A$949,$A15,'09월 고철장입'!$C$14:$C$949,$B15))/1000)</f>
        <v/>
      </c>
      <c r="BS15" s="832" t="str">
        <f>IF($C15&lt;1,"",(AVERAGEIFS('09월 고철장입'!AH$14:AH$949,'09월 고철장입'!$A$14:$A$949,$A15,'09월 고철장입'!$C$14:$C$949,$B15))/1000)</f>
        <v/>
      </c>
      <c r="BT15" s="832" t="str">
        <f>IF($C15&lt;1,"",(AVERAGEIFS('09월 고철장입'!AI$14:AI$949,'09월 고철장입'!$A$14:$A$949,$A15,'09월 고철장입'!$C$14:$C$949,$B15))/1000)</f>
        <v/>
      </c>
      <c r="BU15" s="834" t="str">
        <f>IF($C15&lt;1,"",(AVERAGEIFS('09월 고철장입'!AJ$14:AJ$949,'09월 고철장입'!$A$14:$A$949,$A15,'09월 고철장입'!$C$14:$C$949,$B15))/1000)</f>
        <v/>
      </c>
      <c r="BV15" s="834" t="str">
        <f>IF($C15&lt;1,"",(AVERAGEIFS('09월 고철장입'!AK$14:AK$949,'09월 고철장입'!$A$14:$A$949,$A15,'09월 고철장입'!$C$14:$C$949,$B15)))</f>
        <v/>
      </c>
      <c r="BW15" s="834" t="str">
        <f>IF($C15&lt;1,"",(AVERAGEIFS('09월 고철장입'!AL$14:AL$949,'09월 고철장입'!$A$14:$A$949,$A15,'09월 고철장입'!$C$14:$C$949,$B15))*100)</f>
        <v/>
      </c>
      <c r="BX15" s="831" t="str">
        <f>IF($C15&lt;1,"",(AVERAGEIFS('09월 에너지'!G$14:G$949,'09월 에너지'!$A$14:$A$949,$A15,'09월 에너지'!$C$14:$C$949,$B15)))</f>
        <v/>
      </c>
      <c r="BY15" s="835" t="str">
        <f>IF($C15&lt;1,"",(AVERAGEIFS('09월 에너지'!H$14:H$949,'09월 에너지'!$A$14:$A$949,$A15,'09월 에너지'!$C$14:$C$949,$B15)))</f>
        <v/>
      </c>
      <c r="BZ15" s="831" t="str">
        <f>IF($C15&lt;1,"",(AVERAGEIFS('09월 에너지'!I$14:I$949,'09월 에너지'!$A$14:$A$949,$A15,'09월 에너지'!$C$14:$C$949,$B15)))</f>
        <v/>
      </c>
      <c r="CA15" s="835" t="str">
        <f>IF($C15&lt;1,"",(AVERAGEIFS('09월 에너지'!J$14:J$949,'09월 에너지'!$A$14:$A$949,$A15,'09월 에너지'!$C$14:$C$949,$B15)))</f>
        <v/>
      </c>
      <c r="CB15" s="831" t="str">
        <f>IF($C15&lt;1,"",(AVERAGEIFS('09월 에너지'!K$14:K$949,'09월 에너지'!$A$14:$A$949,$A15,'09월 에너지'!$C$14:$C$949,$B15)))</f>
        <v/>
      </c>
      <c r="CC15" s="835" t="str">
        <f>IF($C15&lt;1,"",(AVERAGEIFS('09월 에너지'!L$14:L$949,'09월 에너지'!$A$14:$A$949,$A15,'09월 에너지'!$C$14:$C$949,$B15)))</f>
        <v/>
      </c>
      <c r="CD15" s="831" t="str">
        <f>IF($C15&lt;1,"",(AVERAGEIFS('09월 에너지'!M$14:M$949,'09월 에너지'!$A$14:$A$949,$A15,'09월 에너지'!$C$14:$C$949,$B15)))</f>
        <v/>
      </c>
      <c r="CE15" s="835" t="str">
        <f>IF($C15&lt;1,"",(AVERAGEIFS('09월 에너지'!N$14:N$949,'09월 에너지'!$A$14:$A$949,$A15,'09월 에너지'!$C$14:$C$949,$B15)))</f>
        <v/>
      </c>
      <c r="CF15" s="831" t="str">
        <f>IF($C15&lt;1,"",(AVERAGEIFS('09월 에너지'!O$14:O$949,'09월 에너지'!$A$14:$A$949,$A15,'09월 에너지'!$C$14:$C$949,$B15)))</f>
        <v/>
      </c>
      <c r="CG15" s="831" t="str">
        <f>IF($C15&lt;1,"",(AVERAGEIFS('09월 에너지'!P$14:P$949,'09월 에너지'!$A$14:$A$949,$A15,'09월 에너지'!$C$14:$C$949,$B15)))</f>
        <v/>
      </c>
      <c r="CH15" s="831" t="str">
        <f>IF($C15&lt;1,"",(AVERAGEIFS('09월 에너지'!Q$14:Q$949,'09월 에너지'!$A$14:$A$949,$A15,'09월 에너지'!$C$14:$C$949,$B15)))</f>
        <v/>
      </c>
      <c r="CI15" s="831" t="str">
        <f>IF($C15&lt;1,"",(AVERAGEIFS('09월 에너지'!R$14:R$949,'09월 에너지'!$A$14:$A$949,$A15,'09월 에너지'!$C$14:$C$949,$B15)))</f>
        <v/>
      </c>
      <c r="CJ15" s="831" t="str">
        <f>IF($C15&lt;1,"",(AVERAGEIFS('09월 에너지'!S$14:S$949,'09월 에너지'!$A$14:$A$949,$A15,'09월 에너지'!$C$14:$C$949,$B15)))</f>
        <v/>
      </c>
      <c r="CK15" s="831" t="str">
        <f>IF($C15&lt;1,"",(AVERAGEIFS('09월 에너지'!T$14:T$949,'09월 에너지'!$A$14:$A$949,$A15,'09월 에너지'!$C$14:$C$949,$B15)))</f>
        <v/>
      </c>
      <c r="CL15" s="831" t="str">
        <f>IF($C15&lt;1,"",(AVERAGEIFS('09월 에너지'!U$14:U$949,'09월 에너지'!$A$14:$A$949,$A15,'09월 에너지'!$C$14:$C$949,$B15)))</f>
        <v/>
      </c>
      <c r="CM15" s="835" t="str">
        <f>IF($C15&lt;1,"",(AVERAGEIFS('09월 에너지'!V$14:V$949,'09월 에너지'!$A$14:$A$949,$A15,'09월 에너지'!$C$14:$C$949,$B15)))</f>
        <v/>
      </c>
      <c r="CN15" s="835" t="str">
        <f>IF($C15&lt;1,"",(AVERAGEIFS('09월 에너지'!W$14:W$949,'09월 에너지'!$A$14:$A$949,$A15,'09월 에너지'!$C$14:$C$949,$B15)))</f>
        <v/>
      </c>
      <c r="CO15" s="831" t="str">
        <f>IF($C15&lt;1,"",(AVERAGEIFS('09월 에너지'!X$14:X$949,'09월 에너지'!$A$14:$A$949,$A15,'09월 에너지'!$C$14:$C$949,$B15)))</f>
        <v/>
      </c>
      <c r="CP15" s="835" t="str">
        <f>IF($C15&lt;1,"",(AVERAGEIFS('09월 에너지'!Y$14:Y$949,'09월 에너지'!$A$14:$A$949,$A15,'09월 에너지'!$C$14:$C$949,$B15)))</f>
        <v/>
      </c>
      <c r="CQ15" s="835" t="str">
        <f>IF($C15&lt;1,"",(AVERAGEIFS('09월 에너지'!Z$14:Z$949,'09월 에너지'!$A$14:$A$949,$A15,'09월 에너지'!$C$14:$C$949,$B15)))</f>
        <v/>
      </c>
      <c r="CR15" s="835" t="str">
        <f>IF($C15&lt;1,"",(AVERAGEIFS('09월 에너지'!AA$14:AA$949,'09월 에너지'!$A$14:$A$949,$A15,'09월 에너지'!$C$14:$C$949,$B15)))</f>
        <v/>
      </c>
      <c r="CS15" s="835" t="str">
        <f>IF($C15&lt;1,"",(AVERAGEIFS('09월 에너지'!AB$14:AB$949,'09월 에너지'!$A$14:$A$949,$A15,'09월 에너지'!$C$14:$C$949,$B15)))</f>
        <v/>
      </c>
      <c r="CT15" s="831" t="str">
        <f>IF($C15&lt;1,"",(AVERAGEIFS('09월 에너지'!AC$14:AC$949,'09월 에너지'!$A$14:$A$949,$A15,'09월 에너지'!$C$14:$C$949,$B15)))</f>
        <v/>
      </c>
      <c r="CU15" s="836" t="str">
        <f>IF($C15&lt;1,"",(AVERAGEIFS('09월 에너지'!AD$14:AD$949,'09월 에너지'!$A$14:$A$949,$A15,'09월 에너지'!$C$14:$C$949,$B15)))</f>
        <v/>
      </c>
      <c r="CV15" s="837" t="str">
        <f>IF($C15&lt;1,"",(AVERAGEIFS('09월 에너지'!AE$14:AE$949,'09월 에너지'!$A$14:$A$949,$A15,'09월 에너지'!$C$14:$C$949,$B15)))</f>
        <v/>
      </c>
      <c r="CW15" s="831" t="str">
        <f>IF($C15&lt;1,"",(AVERAGEIFS('09월 에너지'!AF$14:AF$949,'09월 에너지'!$A$14:$A$949,$A15,'09월 에너지'!$C$14:$C$949,$B15)))</f>
        <v/>
      </c>
      <c r="CX15" s="831" t="str">
        <f>IF($C15&lt;1,"",(AVERAGEIFS('09월 에너지'!AG$14:AG$949,'09월 에너지'!$A$14:$A$949,$A15,'09월 에너지'!$C$14:$C$949,$B15)))</f>
        <v/>
      </c>
      <c r="CY15" s="831" t="str">
        <f>IF($C15&lt;1,"",(AVERAGEIFS('09월 에너지'!AH$14:AH$949,'09월 에너지'!$A$14:$A$949,$A15,'09월 에너지'!$C$14:$C$949,$B15)))</f>
        <v/>
      </c>
      <c r="CZ15" s="831" t="str">
        <f>IF($C15&lt;1,"",(AVERAGEIFS('09월 에너지'!AI$14:AI$949,'09월 에너지'!$A$14:$A$949,$A15,'09월 에너지'!$C$14:$C$949,$B15)))</f>
        <v/>
      </c>
      <c r="DA15" s="838" t="str">
        <f>IF($C15&lt;1,"",(AVERAGEIFS('09월 에너지'!AJ$14:AJ$949,'09월 에너지'!$A$14:$A$949,$A15,'09월 에너지'!$C$14:$C$949,$B15)))</f>
        <v/>
      </c>
    </row>
    <row r="16" spans="1:105" ht="13.5" customHeight="1">
      <c r="A16" s="847">
        <f>A11+1</f>
        <v>44929</v>
      </c>
      <c r="B16" s="848" t="s">
        <v>31</v>
      </c>
      <c r="C16" s="810">
        <f>COUNTIF('09월 조업일지'!$A$12:$A$952,A16)</f>
        <v>0</v>
      </c>
      <c r="D16" s="787" t="str">
        <f>IF(C16&lt;1,"",F16-E16)</f>
        <v/>
      </c>
      <c r="E16" s="787" t="str">
        <f>IF($C16&lt;1,"",(SUMIF('09월 조업일지'!$A$12:$A$952,$A16,'09월 조업일지'!$K$12:$K$952))/C16)</f>
        <v/>
      </c>
      <c r="F16" s="787" t="str">
        <f>IF($C16&lt;1,"",AVERAGEIF('09월 조업일지'!$A$12:$A$952,$A16,'09월 조업일지'!$J$12:$J$952))</f>
        <v/>
      </c>
      <c r="G16" s="811" t="str">
        <f>IF($C16&lt;1,"",AVERAGEIF('09월 에너지'!$A$14:$A$949,$A16,'09월 에너지'!$M$14:M$949))</f>
        <v/>
      </c>
      <c r="H16" s="812" t="str">
        <f>IF($C16&lt;1,"",AVERAGEIF('09월 조업일지'!$A$12:$A$952,$A16,'09월 조업일지'!$AJ$12:$AJ$952))</f>
        <v/>
      </c>
      <c r="I16" s="812" t="str">
        <f>IF($C16&lt;1,"",AVERAGEIF('09월 조업일지'!$A$12:$A$952,$A16,'09월 조업일지'!$AL$12:$AL$952))</f>
        <v/>
      </c>
      <c r="J16" s="813" t="str">
        <f>IF($C16&lt;1,"",AVERAGEIF('09월 화학성분'!$A$12:$A$949,$A16,'09월 화학성분'!G$12:G$949))</f>
        <v/>
      </c>
      <c r="K16" s="813" t="str">
        <f>IF($C16&lt;1,"",AVERAGEIF('09월 화학성분'!$A$12:$A$949,$A16,'09월 화학성분'!H$12:H$949))</f>
        <v/>
      </c>
      <c r="L16" s="813" t="str">
        <f>IF($C16&lt;1,"",AVERAGEIF('09월 화학성분'!$A$12:$A$949,$A16,'09월 화학성분'!I$12:I$949))</f>
        <v/>
      </c>
      <c r="M16" s="813" t="str">
        <f>IF($C16&lt;1,"",AVERAGEIF('09월 화학성분'!$A$12:$A$949,$A16,'09월 화학성분'!J$12:J$949))</f>
        <v/>
      </c>
      <c r="N16" s="813" t="str">
        <f>IF($C16&lt;1,"",AVERAGEIF('09월 화학성분'!$A$12:$A$949,$A16,'09월 화학성분'!K$12:K$949))</f>
        <v/>
      </c>
      <c r="O16" s="813" t="str">
        <f>IF($C16&lt;1,"",AVERAGEIF('09월 화학성분'!$A$12:$A$949,$A16,'09월 화학성분'!L$12:L$949))</f>
        <v/>
      </c>
      <c r="P16" s="813" t="str">
        <f>IF($C16&lt;1,"",AVERAGEIF('09월 화학성분'!$A$12:$A$949,$A16,'09월 화학성분'!M$12:M$949))</f>
        <v/>
      </c>
      <c r="Q16" s="814" t="str">
        <f>IF($C16&lt;1,"",AVERAGEIF('09월 조업일지'!$A$12:$A$952,$A16,'09월 조업일지'!$AA$12:$AA$952))</f>
        <v/>
      </c>
      <c r="R16" s="814" t="str">
        <f>IF($C16&lt;1,"",AVERAGEIF('09월 조업일지'!$A$12:$A$952,$A16,'09월 조업일지'!$AK$12:$AK$952))</f>
        <v/>
      </c>
      <c r="S16" s="814"/>
      <c r="T16" s="814"/>
      <c r="U16" s="813" t="str">
        <f>IF($C16&lt;1,"",AVERAGEIF('09월 화학성분'!$A$12:$A$949,$A16,'09월 화학성분'!$G$12:$G$949))</f>
        <v/>
      </c>
      <c r="V16" s="814" t="str">
        <f>IF($C16&lt;1,"",AVERAGEIF('09월 조업일지'!$A$12:$A$952,$A16,'09월 조업일지'!$AI$12:$AI$952))</f>
        <v/>
      </c>
      <c r="W16" s="813" t="str">
        <f>IF($C16&lt;1,"",AVERAGEIF('09월 화학성분'!$A$12:$A$949,$A16,'09월 화학성분'!$AM$12:$AM$949))</f>
        <v/>
      </c>
      <c r="X16" s="815" t="str">
        <f>IF($C16&lt;1,"",AVERAGEIF('09월 화학성분'!$A$12:$A$949,$A16,'09월 화학성분'!N$12:N$949))</f>
        <v/>
      </c>
      <c r="Y16" s="815" t="str">
        <f>IF($C16&lt;1,"",AVERAGEIF('09월 화학성분'!$A$12:$A$949,$A16,'09월 화학성분'!O$12:O$949))</f>
        <v/>
      </c>
      <c r="Z16" s="815" t="str">
        <f>IF($C16&lt;1,"",AVERAGEIF('09월 화학성분'!$A$12:$A$949,$A16,'09월 화학성분'!P$12:P$949))</f>
        <v/>
      </c>
      <c r="AA16" s="815" t="str">
        <f>IF($C16&lt;1,"",AVERAGEIF('09월 화학성분'!$A$12:$A$949,$A16,'09월 화학성분'!Q$12:Q$949))</f>
        <v/>
      </c>
      <c r="AB16" s="815" t="str">
        <f>IF($C16&lt;1,"",AVERAGEIF('09월 화학성분'!$A$12:$A$949,$A16,'09월 화학성분'!R$12:R$949))</f>
        <v/>
      </c>
      <c r="AC16" s="815" t="str">
        <f>IF($C16&lt;1,"",AVERAGEIF('09월 화학성분'!$A$12:$A$949,$A16,'09월 화학성분'!U$12:U$949))</f>
        <v/>
      </c>
      <c r="AD16" s="815" t="str">
        <f>IF($C16&lt;1,"",AVERAGEIF('09월 화학성분'!$A$12:$A$949,$A16,'09월 화학성분'!V$12:V$949))</f>
        <v/>
      </c>
      <c r="AE16" s="815" t="str">
        <f>IF($C16&lt;1,"",AVERAGEIF('09월 화학성분'!$A$12:$A$949,$A16,'09월 화학성분'!W$12:W$949))</f>
        <v/>
      </c>
      <c r="AF16" s="815" t="str">
        <f>IF($C16&lt;1,"",AVERAGEIF('09월 화학성분'!$A$12:$A$949,$A16,'09월 화학성분'!AA$12:AA$949))</f>
        <v/>
      </c>
      <c r="AG16" s="815" t="str">
        <f>IF($C16&lt;1,"",AVERAGEIF('09월 화학성분'!$A$12:$A$949,$A16,'09월 화학성분'!#REF!))</f>
        <v/>
      </c>
      <c r="AH16" s="815" t="str">
        <f>IF($C16&lt;1,"",AVERAGEIF('09월 화학성분'!$A$12:$A$949,$A16,'09월 화학성분'!AB$12:AB$949))</f>
        <v/>
      </c>
      <c r="AI16" s="815" t="str">
        <f>IF($C16&lt;1,"",AVERAGEIF('09월 화학성분'!$A$12:$A$949,$A16,'09월 화학성분'!AC$12:AC$949))</f>
        <v/>
      </c>
      <c r="AJ16" s="815" t="str">
        <f>IF($C16&lt;1,"",AVERAGEIF('09월 화학성분'!$A$12:$A$949,$A16,'09월 화학성분'!AD$12:AD$949))</f>
        <v/>
      </c>
      <c r="AK16" s="815" t="str">
        <f>IF($C16&lt;1,"",AVERAGEIF('09월 화학성분'!$A$12:$A$949,$A16,'09월 화학성분'!AF$12:AF$949))</f>
        <v/>
      </c>
      <c r="AL16" s="815" t="str">
        <f>IF($C16&lt;1,"",AVERAGEIF('09월 화학성분'!$A$12:$A$949,$A16,'09월 화학성분'!AG$12:AG$949))</f>
        <v/>
      </c>
      <c r="AM16" s="815" t="str">
        <f>IF($C16&lt;1,"",AVERAGEIF('09월 화학성분'!$A$12:$A$949,$A16,'09월 화학성분'!AH$12:AH$949))</f>
        <v/>
      </c>
      <c r="AN16" s="815" t="str">
        <f>IF($C16&lt;1,"",AVERAGEIF('09월 화학성분'!$A$12:$A$949,$A16,'09월 화학성분'!AI$12:AI$949))</f>
        <v/>
      </c>
      <c r="AO16" s="815" t="str">
        <f>IF($C16&lt;1,"",AVERAGEIF('09월 화학성분'!$A$12:$A$949,$A16,'09월 화학성분'!AJ$12:AJ$949))</f>
        <v/>
      </c>
      <c r="AP16" s="815" t="str">
        <f>IF($C16&lt;1,"",AVERAGEIF('09월 화학성분'!$A$12:$A$949,$A16,'09월 화학성분'!#REF!))</f>
        <v/>
      </c>
      <c r="AQ16" s="815" t="str">
        <f>IF($C16&lt;1,"",AVERAGEIF('09월 화학성분'!$A$12:$A$949,$A16,'09월 화학성분'!AL$12:AL$949))</f>
        <v/>
      </c>
      <c r="AR16" s="815" t="str">
        <f>IF($C16&lt;1,"",AVERAGEIF('09월 화학성분'!$A$12:$A$949,$A16,'09월 화학성분'!AM$12:AM$949))</f>
        <v/>
      </c>
      <c r="AS16" s="816" t="str">
        <f>IF($C16&lt;1,"",AVERAGEIF('09월 화학성분'!$A$12:$A$949,$A16,'09월 화학성분'!AN$12:AN$949))</f>
        <v/>
      </c>
      <c r="AT16" s="816" t="str">
        <f>IF($C16&lt;1,"",AVERAGEIF('09월 화학성분'!$A$12:$A$949,$A16,'09월 화학성분'!AO$12:AO$949))</f>
        <v/>
      </c>
      <c r="AU16" s="815" t="str">
        <f>IF($C16&lt;1,"",AVERAGEIF('09월 화학성분'!$A$12:$A$949,$A16,'09월 화학성분'!AP$12:AP$949))</f>
        <v/>
      </c>
      <c r="AV16" s="815" t="str">
        <f>IF($C16&lt;1,"",AVERAGEIF('09월 고철장입'!$A$14:$A$949,$A16,'09월 고철장입'!G$14:G$949)/1000)</f>
        <v/>
      </c>
      <c r="AW16" s="815" t="str">
        <f>IF($C16&lt;1,"",AVERAGEIF('09월 고철장입'!$A$14:$A$949,$A16,'09월 고철장입'!H$14:H$949)/1000)</f>
        <v/>
      </c>
      <c r="AX16" s="815" t="str">
        <f>IF($C16&lt;1,"",AVERAGEIF('09월 고철장입'!$A$14:$A$949,$A16,'09월 고철장입'!I$14:I$949)/1000)</f>
        <v/>
      </c>
      <c r="AY16" s="815" t="str">
        <f>IF($C16&lt;1,"",AVERAGEIF('09월 고철장입'!$A$14:$A$949,$A16,'09월 고철장입'!J$14:J$949)/1000)</f>
        <v/>
      </c>
      <c r="AZ16" s="815" t="str">
        <f>IF($C16&lt;1,"",AVERAGEIF('09월 고철장입'!$A$14:$A$949,$A16,'09월 고철장입'!K$14:K$949)/1000)</f>
        <v/>
      </c>
      <c r="BA16" s="815" t="str">
        <f>IF($C16&lt;1,"",AVERAGEIF('09월 고철장입'!$A$14:$A$949,$A16,'09월 고철장입'!L$14:L$949)/1000)</f>
        <v/>
      </c>
      <c r="BB16" s="815" t="str">
        <f>IF($C16&lt;1,"",AVERAGEIF('09월 고철장입'!$A$14:$A$949,$A16,'09월 고철장입'!M$14:M$949)/1000)</f>
        <v/>
      </c>
      <c r="BC16" s="815" t="str">
        <f>IF($C16&lt;1,"",AVERAGEIF('09월 고철장입'!$A$14:$A$949,$A16,'09월 고철장입'!N$14:N$949)/1000)</f>
        <v/>
      </c>
      <c r="BD16" s="815" t="str">
        <f>IF($C16&lt;1,"",AVERAGEIF('09월 고철장입'!$A$14:$A$949,$A16,'09월 고철장입'!O$14:O$949)/1000)</f>
        <v/>
      </c>
      <c r="BE16" s="815" t="str">
        <f>IF($C16&lt;1,"",AVERAGEIF('09월 고철장입'!$A$14:$A$949,$A16,'09월 고철장입'!P$14:P$949)/1000)</f>
        <v/>
      </c>
      <c r="BF16" s="815" t="str">
        <f>IF($C16&lt;1,"",AVERAGEIF('09월 고철장입'!$A$14:$A$949,$A16,'09월 고철장입'!Q$14:Q$949)/1000)</f>
        <v/>
      </c>
      <c r="BG16" s="815" t="str">
        <f>IF($C16&lt;1,"",AVERAGEIF('09월 고철장입'!$A$14:$A$949,$A16,'09월 고철장입'!S$14:S$949)/1000)</f>
        <v/>
      </c>
      <c r="BH16" s="815" t="str">
        <f>IF($C16&lt;1,"",AVERAGEIF('09월 고철장입'!$A$14:$A$949,$A16,'09월 고철장입'!T$14:T$949)/1000)</f>
        <v/>
      </c>
      <c r="BI16" s="815" t="str">
        <f>IF($C16&lt;1,"",AVERAGEIF('09월 고철장입'!$A$14:$A$949,$A16,'09월 고철장입'!U$14:U$949)/1000)</f>
        <v/>
      </c>
      <c r="BJ16" s="815" t="str">
        <f>IF($C16&lt;1,"",AVERAGEIF('09월 고철장입'!$A$14:$A$949,$A16,'09월 고철장입'!V$14:V$949)/1000)</f>
        <v/>
      </c>
      <c r="BK16" s="815" t="str">
        <f>IF($C16&lt;1,"",AVERAGEIF('09월 고철장입'!$A$14:$A$949,$A16,'09월 고철장입'!W$14:W$949)/1000)</f>
        <v/>
      </c>
      <c r="BL16" s="815" t="str">
        <f>IF($C16&lt;1,"",AVERAGEIF('09월 고철장입'!$A$14:$A$949,$A16,'09월 고철장입'!Y$14:Y$949)/1000)</f>
        <v/>
      </c>
      <c r="BM16" s="815" t="str">
        <f>IF($C16&lt;1,"",AVERAGEIF('09월 고철장입'!$A$14:$A$949,$A16,'09월 고철장입'!AB$14:AB$949)/1000)</f>
        <v/>
      </c>
      <c r="BN16" s="815" t="str">
        <f>IF($C16&lt;1,"",AVERAGEIF('09월 고철장입'!$A$14:$A$949,$A16,'09월 고철장입'!AC$14:AC$949)/1000)</f>
        <v/>
      </c>
      <c r="BO16" s="815" t="str">
        <f>IF($C16&lt;1,"",AVERAGEIF('09월 고철장입'!$A$14:$A$949,$A16,'09월 고철장입'!AD$14:AD$949)/1000)</f>
        <v/>
      </c>
      <c r="BP16" s="815" t="str">
        <f>IF($C16&lt;1,"",AVERAGEIF('09월 고철장입'!$A$14:$A$949,$A16,'09월 고철장입'!AE$14:AE$949)/1000)</f>
        <v/>
      </c>
      <c r="BQ16" s="815" t="str">
        <f>IF($C16&lt;1,"",AVERAGEIF('09월 고철장입'!$A$14:$A$949,$A16,'09월 고철장입'!AF$14:AF$949)/1000)</f>
        <v/>
      </c>
      <c r="BR16" s="815" t="str">
        <f>IF($C16&lt;1,"",AVERAGEIF('09월 고철장입'!$A$14:$A$949,$A16,'09월 고철장입'!AG$14:AG$949)/1000)</f>
        <v/>
      </c>
      <c r="BS16" s="815" t="str">
        <f>IF($C16&lt;1,"",AVERAGEIF('09월 고철장입'!$A$14:$A$949,$A16,'09월 고철장입'!AH$14:AH$949)/1000)</f>
        <v/>
      </c>
      <c r="BT16" s="815" t="str">
        <f>IF($C16&lt;1,"",AVERAGEIF('09월 고철장입'!$A$14:$A$949,$A16,'09월 고철장입'!AI$14:AI$949)/1000)</f>
        <v/>
      </c>
      <c r="BU16" s="815" t="str">
        <f>IF($C16&lt;1,"",AVERAGEIF('09월 고철장입'!$A$14:$A$949,$A16,'09월 고철장입'!AJ$14:AJ$949)/1000)</f>
        <v/>
      </c>
      <c r="BV16" s="815" t="str">
        <f>IF($C16&lt;1,"",AVERAGEIF('09월 고철장입'!$A$14:$A$949,$A16,'09월 고철장입'!AK$14:AK$949))</f>
        <v/>
      </c>
      <c r="BW16" s="815" t="str">
        <f>IF($C16&lt;1,"",AVERAGEIF('09월 고철장입'!$A$14:$A$949,$A16,'09월 고철장입'!AL$14:AL$949)*100)</f>
        <v/>
      </c>
      <c r="BX16" s="815" t="str">
        <f>IF($C16&lt;1,"",AVERAGEIF('09월 에너지'!$A$14:$A$949,$A16,'09월 에너지'!G$14:G$949))</f>
        <v/>
      </c>
      <c r="BY16" s="817" t="str">
        <f>IF($C16&lt;1,"",AVERAGEIF('09월 에너지'!$A$14:$A$949,$A16,'09월 에너지'!H$14:H$949))</f>
        <v/>
      </c>
      <c r="BZ16" s="815" t="str">
        <f>IF($C16&lt;1,"",AVERAGEIF('09월 에너지'!$A$14:$A$949,$A16,'09월 에너지'!I$14:I$949))</f>
        <v/>
      </c>
      <c r="CA16" s="817" t="str">
        <f>IF($C16&lt;1,"",AVERAGEIF('09월 에너지'!$A$14:$A$949,$A16,'09월 에너지'!J$14:J$949))</f>
        <v/>
      </c>
      <c r="CB16" s="815" t="str">
        <f>IF($C16&lt;1,"",AVERAGEIF('09월 에너지'!$A$14:$A$949,$A16,'09월 에너지'!K$14:K$949))</f>
        <v/>
      </c>
      <c r="CC16" s="817" t="str">
        <f>IF($C16&lt;1,"",AVERAGEIF('09월 에너지'!$A$14:$A$949,$A16,'09월 에너지'!L$14:L$949))</f>
        <v/>
      </c>
      <c r="CD16" s="815" t="str">
        <f>IF($C16&lt;1,"",AVERAGEIF('09월 에너지'!$A$14:$A$949,$A16,'09월 에너지'!M$14:M$949))</f>
        <v/>
      </c>
      <c r="CE16" s="817" t="str">
        <f>IF($C16&lt;1,"",AVERAGEIF('09월 에너지'!$A$14:$A$949,$A16,'09월 에너지'!N$14:N$949))</f>
        <v/>
      </c>
      <c r="CF16" s="815" t="str">
        <f>IF($C16&lt;1,"",AVERAGEIF('09월 에너지'!$A$14:$A$949,$A16,'09월 에너지'!O$14:O$949))</f>
        <v/>
      </c>
      <c r="CG16" s="815" t="str">
        <f>IF($C16&lt;1,"",AVERAGEIF('09월 에너지'!$A$14:$A$949,$A16,'09월 에너지'!P$14:P$949))</f>
        <v/>
      </c>
      <c r="CH16" s="815" t="str">
        <f>IF($C16&lt;1,"",AVERAGEIF('09월 에너지'!$A$14:$A$949,$A16,'09월 에너지'!Q$14:Q$949))</f>
        <v/>
      </c>
      <c r="CI16" s="815" t="str">
        <f>IF($C16&lt;1,"",AVERAGEIF('09월 에너지'!$A$14:$A$949,$A16,'09월 에너지'!R$14:R$949))</f>
        <v/>
      </c>
      <c r="CJ16" s="815" t="str">
        <f>IF($C16&lt;1,"",AVERAGEIF('09월 에너지'!$A$14:$A$949,$A16,'09월 에너지'!S$14:S$949))</f>
        <v/>
      </c>
      <c r="CK16" s="815" t="str">
        <f>IF($C16&lt;1,"",AVERAGEIF('09월 에너지'!$A$14:$A$949,$A16,'09월 에너지'!T$14:T$949))</f>
        <v/>
      </c>
      <c r="CL16" s="815" t="str">
        <f>IF($C16&lt;1,"",AVERAGEIF('09월 에너지'!$A$14:$A$949,$A16,'09월 에너지'!U$14:U$949))</f>
        <v/>
      </c>
      <c r="CM16" s="817" t="str">
        <f>IF($C16&lt;1,"",AVERAGEIF('09월 에너지'!$A$14:$A$949,$A16,'09월 에너지'!V$14:V$949))</f>
        <v/>
      </c>
      <c r="CN16" s="817" t="str">
        <f>IF($C16&lt;1,"",AVERAGEIF('09월 에너지'!$A$14:$A$949,$A16,'09월 에너지'!W$14:W$949))</f>
        <v/>
      </c>
      <c r="CO16" s="815" t="str">
        <f>IF($C16&lt;1,"",AVERAGEIF('09월 에너지'!$A$14:$A$949,$A16,'09월 에너지'!X$14:X$949))</f>
        <v/>
      </c>
      <c r="CP16" s="817" t="str">
        <f>IF($C16&lt;1,"",AVERAGEIF('09월 에너지'!$A$14:$A$949,$A16,'09월 에너지'!Y$14:Y$949))</f>
        <v/>
      </c>
      <c r="CQ16" s="817" t="str">
        <f>IF($C16&lt;1,"",AVERAGEIF('09월 에너지'!$A$14:$A$949,$A16,'09월 에너지'!Z$14:Z$949))</f>
        <v/>
      </c>
      <c r="CR16" s="817" t="str">
        <f>IF($C16&lt;1,"",AVERAGEIF('09월 에너지'!$A$14:$A$949,$A16,'09월 에너지'!AA$14:AA$949))</f>
        <v/>
      </c>
      <c r="CS16" s="817" t="str">
        <f>IF($C16&lt;1,"",AVERAGEIF('09월 에너지'!$A$14:$A$949,$A16,'09월 에너지'!AB$14:AB$949))</f>
        <v/>
      </c>
      <c r="CT16" s="815" t="str">
        <f>IF($C16&lt;1,"",AVERAGEIF('09월 에너지'!$A$14:$A$949,$A16,'09월 에너지'!AC$14:AC$949))</f>
        <v/>
      </c>
      <c r="CU16" s="818" t="str">
        <f>IF($C16&lt;1,"",AVERAGEIF('09월 에너지'!$A$14:$A$949,$A16,'09월 에너지'!AD$14:AD$949))</f>
        <v/>
      </c>
      <c r="CV16" s="819" t="str">
        <f>IF($C16&lt;1,"",AVERAGEIF('09월 에너지'!$A$14:$A$949,$A16,'09월 에너지'!AE$14:AE$949))</f>
        <v/>
      </c>
      <c r="CW16" s="815" t="str">
        <f>IF($C16&lt;1,"",AVERAGEIF('09월 에너지'!$A$14:$A$949,$A16,'09월 에너지'!AF$14:AF$949))</f>
        <v/>
      </c>
      <c r="CX16" s="815" t="str">
        <f>IF($C16&lt;1,"",AVERAGEIF('09월 에너지'!$A$14:$A$949,$A16,'09월 에너지'!AG$14:AG$949))</f>
        <v/>
      </c>
      <c r="CY16" s="815" t="str">
        <f>IF($C16&lt;1,"",AVERAGEIF('09월 에너지'!$A$14:$A$949,$A16,'09월 에너지'!AH$14:AH$949))</f>
        <v/>
      </c>
      <c r="CZ16" s="815" t="str">
        <f>IF($C16&lt;1,"",AVERAGEIF('09월 에너지'!$A$14:$A$949,$A16,'09월 에너지'!AI$14:AI$949))</f>
        <v/>
      </c>
      <c r="DA16" s="820" t="str">
        <f>IF($C16&lt;1,"",AVERAGEIF('09월 에너지'!$A$14:$A$949,$A16,'09월 에너지'!AJ$14:AJ$949))</f>
        <v/>
      </c>
    </row>
    <row r="17" spans="1:105" ht="13.5" customHeight="1">
      <c r="A17" s="849">
        <f t="shared" si="2"/>
        <v>44929</v>
      </c>
      <c r="B17" s="850" t="s">
        <v>9</v>
      </c>
      <c r="C17" s="823">
        <f>COUNTIFS('09월 조업일지'!$A$12:$A$952,A16,'09월 조업일지'!$E$12:$E$952,B17)</f>
        <v>0</v>
      </c>
      <c r="D17" s="824" t="str">
        <f>IF(C17&lt;1,"",F17-E17)</f>
        <v/>
      </c>
      <c r="E17" s="824" t="str">
        <f>IF($C17&lt;1,"",(SUMIFS('09월 조업일지'!$K$12:$K$952,'09월 조업일지'!$A$12:$A$952,$A17,'09월 조업일지'!$E$12:$E$952,$B17)/$C17))</f>
        <v/>
      </c>
      <c r="F17" s="824" t="str">
        <f>IF($C17&lt;1,"",(AVERAGEIFS('09월 조업일지'!$J$12:$J$952,'09월 조업일지'!$A$12:$A$952,$A17,'09월 조업일지'!$E$12:$E$952,$B17)))</f>
        <v/>
      </c>
      <c r="G17" s="825" t="str">
        <f>IF($C17&lt;1,"",(AVERAGEIFS('09월 에너지'!$M$14:$M$949,'09월 에너지'!$A$14:$A$949,$A17,'09월 에너지'!$C$14:$C$949,$B17)))</f>
        <v/>
      </c>
      <c r="H17" s="826" t="str">
        <f>IF($C17&lt;1,"",(AVERAGEIFS('09월 조업일지'!$AJ$12:$AJ$952,'09월 조업일지'!$A$12:$A$952,$A17,'09월 조업일지'!$E$12:$E$952,$B17)))</f>
        <v/>
      </c>
      <c r="I17" s="826" t="str">
        <f>IF($C17&lt;1,"",(AVERAGEIFS('09월 조업일지'!$AL$12:$AL$952,'09월 조업일지'!$A$12:$A$952,$A17,'09월 조업일지'!$E$12:$E$952,$B17)))</f>
        <v/>
      </c>
      <c r="J17" s="827" t="str">
        <f>IF($C17&lt;1,"",(AVERAGEIFS('09월 화학성분'!G$12:G$949,'09월 화학성분'!$A$12:$A$949,$A17,'09월 화학성분'!$D$12:$D$949,$B17)))</f>
        <v/>
      </c>
      <c r="K17" s="827" t="str">
        <f>IF($C17&lt;1,"",(AVERAGEIFS('09월 화학성분'!H$12:H$949,'09월 화학성분'!$A$12:$A$949,$A17,'09월 화학성분'!$D$12:$D$949,$B17)))</f>
        <v/>
      </c>
      <c r="L17" s="827" t="str">
        <f>IF($C17&lt;1,"",(AVERAGEIFS('09월 화학성분'!I$12:I$949,'09월 화학성분'!$A$12:$A$949,$A17,'09월 화학성분'!$D$12:$D$949,$B17)))</f>
        <v/>
      </c>
      <c r="M17" s="827" t="str">
        <f>IF($C17&lt;1,"",(AVERAGEIFS('09월 화학성분'!J$12:J$949,'09월 화학성분'!$A$12:$A$949,$A17,'09월 화학성분'!$D$12:$D$949,$B17)))</f>
        <v/>
      </c>
      <c r="N17" s="827" t="str">
        <f>IF($C17&lt;1,"",(AVERAGEIFS('09월 화학성분'!K$12:K$949,'09월 화학성분'!$A$12:$A$949,$A17,'09월 화학성분'!$D$12:$D$949,$B17)))</f>
        <v/>
      </c>
      <c r="O17" s="827" t="str">
        <f>IF($C17&lt;1,"",(AVERAGEIFS('09월 화학성분'!L$12:L$949,'09월 화학성분'!$A$12:$A$949,$A17,'09월 화학성분'!$D$12:$D$949,$B17)))</f>
        <v/>
      </c>
      <c r="P17" s="827" t="str">
        <f>IF($C17&lt;1,"",(AVERAGEIFS('09월 화학성분'!M$12:M$949,'09월 화학성분'!$A$12:$A$949,$A17,'09월 화학성분'!$D$12:$D$949,$B17)))</f>
        <v/>
      </c>
      <c r="Q17" s="827" t="str">
        <f>IFERROR(IF($C17&lt;1,"",(AVERAGEIFS('09월 조업일지'!$AA$12:$AA$952,'09월 조업일지'!$A$12:$A$952,$A17,'09월 조업일지'!$E$12:$E$952,$B17))),"")</f>
        <v/>
      </c>
      <c r="R17" s="827" t="str">
        <f>IF($C17&lt;1,"",(AVERAGEIFS('09월 조업일지'!$AK$12:$AK$952,'09월 조업일지'!$A$12:$A$952,$A17,'09월 조업일지'!$E$12:$E$952,$B17)))</f>
        <v/>
      </c>
      <c r="S17" s="827"/>
      <c r="T17" s="827"/>
      <c r="U17" s="827" t="str">
        <f>IF($C17&lt;1,"",(AVERAGEIFS('09월 화학성분'!$G$12:$G$949,'09월 화학성분'!$A$12:$A$949,$A17,'09월 화학성분'!$D$12:$D$949,$B17)))</f>
        <v/>
      </c>
      <c r="V17" s="827" t="str">
        <f>IF($C17&lt;1,"",(AVERAGEIFS('09월 조업일지'!$AI$12:$AI$952,'09월 조업일지'!$A$12:$A$952,$A17,'09월 조업일지'!$E$12:$E$952,$B17)))</f>
        <v/>
      </c>
      <c r="W17" s="828" t="str">
        <f>IF($C17&lt;1,"",(AVERAGEIFS('09월 화학성분'!$AM$12:$AM$949,'09월 화학성분'!$A$12:$A$949,$A17,'09월 화학성분'!$D$12:$D$949,$B17)))</f>
        <v/>
      </c>
      <c r="X17" s="829" t="str">
        <f>IF($C17&lt;1,"",(AVERAGEIFS('09월 화학성분'!N$12:N$949,'09월 화학성분'!$A$12:$A$949,$A17,'09월 화학성분'!$D$12:$D$949,$B17)))</f>
        <v/>
      </c>
      <c r="Y17" s="829" t="str">
        <f>IF($C17&lt;1,"",(AVERAGEIFS('09월 화학성분'!O$12:O$949,'09월 화학성분'!$A$12:$A$949,$A17,'09월 화학성분'!$D$12:$D$949,$B17)))</f>
        <v/>
      </c>
      <c r="Z17" s="829" t="str">
        <f>IF($C17&lt;1,"",(AVERAGEIFS('09월 화학성분'!P$12:P$949,'09월 화학성분'!$A$12:$A$949,$A17,'09월 화학성분'!$D$12:$D$949,$B17)))</f>
        <v/>
      </c>
      <c r="AA17" s="829" t="str">
        <f>IF($C17&lt;1,"",(AVERAGEIFS('09월 화학성분'!Q$12:Q$949,'09월 화학성분'!$A$12:$A$949,$A17,'09월 화학성분'!$D$12:$D$949,$B17)))</f>
        <v/>
      </c>
      <c r="AB17" s="829" t="str">
        <f>IF($C17&lt;1,"",(AVERAGEIFS('09월 화학성분'!R$12:R$949,'09월 화학성분'!$A$12:$A$949,$A17,'09월 화학성분'!$D$12:$D$949,$B17)))</f>
        <v/>
      </c>
      <c r="AC17" s="829" t="str">
        <f>IF($C17&lt;1,"",(AVERAGEIFS('09월 화학성분'!U$12:U$949,'09월 화학성분'!$A$12:$A$949,$A17,'09월 화학성분'!$D$12:$D$949,$B17)))</f>
        <v/>
      </c>
      <c r="AD17" s="829" t="str">
        <f>IF($C17&lt;1,"",(AVERAGEIFS('09월 화학성분'!V$12:V$949,'09월 화학성분'!$A$12:$A$949,$A17,'09월 화학성분'!$D$12:$D$949,$B17)))</f>
        <v/>
      </c>
      <c r="AE17" s="829" t="str">
        <f>IF($C17&lt;1,"",(AVERAGEIFS('09월 화학성분'!W$12:W$949,'09월 화학성분'!$A$12:$A$949,$A17,'09월 화학성분'!$D$12:$D$949,$B17)))</f>
        <v/>
      </c>
      <c r="AF17" s="829" t="str">
        <f>IF($C17&lt;1,"",(AVERAGEIFS('09월 화학성분'!AA$12:AA$949,'09월 화학성분'!$A$12:$A$949,$A17,'09월 화학성분'!$D$12:$D$949,$B17)))</f>
        <v/>
      </c>
      <c r="AG17" s="829" t="str">
        <f>IF($C17&lt;1,"",(AVERAGEIFS('09월 화학성분'!#REF!,'09월 화학성분'!$A$12:$A$949,$A17,'09월 화학성분'!$D$12:$D$949,$B17)))</f>
        <v/>
      </c>
      <c r="AH17" s="829" t="str">
        <f>IF($C17&lt;1,"",(AVERAGEIFS('09월 화학성분'!AB$12:AB$949,'09월 화학성분'!$A$12:$A$949,$A17,'09월 화학성분'!$D$12:$D$949,$B17)))</f>
        <v/>
      </c>
      <c r="AI17" s="829" t="str">
        <f>IF($C17&lt;1,"",(AVERAGEIFS('09월 화학성분'!AC$12:AC$949,'09월 화학성분'!$A$12:$A$949,$A17,'09월 화학성분'!$D$12:$D$949,$B17)))</f>
        <v/>
      </c>
      <c r="AJ17" s="829" t="str">
        <f>IF($C17&lt;1,"",(AVERAGEIFS('09월 화학성분'!AD$12:AD$949,'09월 화학성분'!$A$12:$A$949,$A17,'09월 화학성분'!$D$12:$D$949,$B17)))</f>
        <v/>
      </c>
      <c r="AK17" s="829" t="str">
        <f>IF($C17&lt;1,"",(AVERAGEIFS('09월 화학성분'!AF$12:AF$949,'09월 화학성분'!$A$12:$A$949,$A17,'09월 화학성분'!$D$12:$D$949,$B17)))</f>
        <v/>
      </c>
      <c r="AL17" s="829" t="str">
        <f>IF($C17&lt;1,"",(AVERAGEIFS('09월 화학성분'!AG$12:AG$949,'09월 화학성분'!$A$12:$A$949,$A17,'09월 화학성분'!$D$12:$D$949,$B17)))</f>
        <v/>
      </c>
      <c r="AM17" s="829" t="str">
        <f>IF($C17&lt;1,"",(AVERAGEIFS('09월 화학성분'!AH$12:AH$949,'09월 화학성분'!$A$12:$A$949,$A17,'09월 화학성분'!$D$12:$D$949,$B17)))</f>
        <v/>
      </c>
      <c r="AN17" s="829" t="str">
        <f>IF($C17&lt;1,"",(AVERAGEIFS('09월 화학성분'!AI$12:AI$949,'09월 화학성분'!$A$12:$A$949,$A17,'09월 화학성분'!$D$12:$D$949,$B17)))</f>
        <v/>
      </c>
      <c r="AO17" s="829" t="str">
        <f>IF($C17&lt;1,"",(AVERAGEIFS('09월 화학성분'!AJ$12:AJ$949,'09월 화학성분'!$A$12:$A$949,$A17,'09월 화학성분'!$D$12:$D$949,$B17)))</f>
        <v/>
      </c>
      <c r="AP17" s="829" t="str">
        <f>IF($C17&lt;1,"",(AVERAGEIFS('09월 화학성분'!#REF!,'09월 화학성분'!$A$12:$A$949,$A17,'09월 화학성분'!$D$12:$D$949,$B17)))</f>
        <v/>
      </c>
      <c r="AQ17" s="829" t="str">
        <f>IF($C17&lt;1,"",(AVERAGEIFS('09월 화학성분'!AL$12:AL$949,'09월 화학성분'!$A$12:$A$949,$A17,'09월 화학성분'!$D$12:$D$949,$B17)))</f>
        <v/>
      </c>
      <c r="AR17" s="829" t="str">
        <f>IF($C17&lt;1,"",(AVERAGEIFS('09월 화학성분'!AM$12:AM$949,'09월 화학성분'!$A$12:$A$949,$A17,'09월 화학성분'!$D$12:$D$949,$B17)))</f>
        <v/>
      </c>
      <c r="AS17" s="830" t="str">
        <f>IF($C17&lt;1,"",(AVERAGEIFS('09월 화학성분'!AN$12:AN$949,'09월 화학성분'!$A$12:$A$949,$A17,'09월 화학성분'!$D$12:$D$949,$B17)))</f>
        <v/>
      </c>
      <c r="AT17" s="830" t="str">
        <f>IF($C17&lt;1,"",(AVERAGEIFS('09월 화학성분'!AO$12:AO$949,'09월 화학성분'!$A$12:$A$949,$A17,'09월 화학성분'!$D$12:$D$949,$B17)))</f>
        <v/>
      </c>
      <c r="AU17" s="831" t="str">
        <f>IF($C17&lt;1,"",(AVERAGEIFS('09월 화학성분'!AP$12:AP$949,'09월 화학성분'!$A$12:$A$949,$A17,'09월 화학성분'!$D$12:$D$949,$B17)))</f>
        <v/>
      </c>
      <c r="AV17" s="832" t="str">
        <f>IF($C17&lt;1,"",(AVERAGEIFS('09월 고철장입'!G$14:G$949,'09월 고철장입'!$A$14:$A$949,$A17,'09월 고철장입'!$C$14:$C$949,$B17))/1000)</f>
        <v/>
      </c>
      <c r="AW17" s="832" t="str">
        <f>IF($C17&lt;1,"",(AVERAGEIFS('09월 고철장입'!H$14:H$949,'09월 고철장입'!$A$14:$A$949,$A17,'09월 고철장입'!$C$14:$C$949,$B17))/1000)</f>
        <v/>
      </c>
      <c r="AX17" s="832" t="str">
        <f>IF($C17&lt;1,"",(AVERAGEIFS('09월 고철장입'!I$14:I$949,'09월 고철장입'!$A$14:$A$949,$A17,'09월 고철장입'!$C$14:$C$949,$B17))/1000)</f>
        <v/>
      </c>
      <c r="AY17" s="832" t="str">
        <f>IF($C17&lt;1,"",(AVERAGEIFS('09월 고철장입'!J$14:J$949,'09월 고철장입'!$A$14:$A$949,$A17,'09월 고철장입'!$C$14:$C$949,$B17))/1000)</f>
        <v/>
      </c>
      <c r="AZ17" s="832" t="str">
        <f>IF($C17&lt;1,"",(AVERAGEIFS('09월 고철장입'!K$14:K$949,'09월 고철장입'!$A$14:$A$949,$A17,'09월 고철장입'!$C$14:$C$949,$B17))/1000)</f>
        <v/>
      </c>
      <c r="BA17" s="832" t="str">
        <f>IF($C17&lt;1,"",(AVERAGEIFS('09월 고철장입'!L$14:L$949,'09월 고철장입'!$A$14:$A$949,$A17,'09월 고철장입'!$C$14:$C$949,$B17))/1000)</f>
        <v/>
      </c>
      <c r="BB17" s="832" t="str">
        <f>IF($C17&lt;1,"",(AVERAGEIFS('09월 고철장입'!M$14:M$949,'09월 고철장입'!$A$14:$A$949,$A17,'09월 고철장입'!$C$14:$C$949,$B17))/1000)</f>
        <v/>
      </c>
      <c r="BC17" s="832" t="str">
        <f>IF($C17&lt;1,"",(AVERAGEIFS('09월 고철장입'!N$14:N$949,'09월 고철장입'!$A$14:$A$949,$A17,'09월 고철장입'!$C$14:$C$949,$B17))/1000)</f>
        <v/>
      </c>
      <c r="BD17" s="832" t="str">
        <f>IF($C17&lt;1,"",(AVERAGEIFS('09월 고철장입'!O$14:O$949,'09월 고철장입'!$A$14:$A$949,$A17,'09월 고철장입'!$C$14:$C$949,$B17))/1000)</f>
        <v/>
      </c>
      <c r="BE17" s="833" t="str">
        <f>IF($C17&lt;1,"",(AVERAGEIFS('09월 고철장입'!P$14:P$949,'09월 고철장입'!$A$14:$A$949,$A17,'09월 고철장입'!$C$14:$C$949,$B17))/1000)</f>
        <v/>
      </c>
      <c r="BF17" s="833" t="str">
        <f>IF($C17&lt;1,"",(AVERAGEIFS('09월 고철장입'!Q$14:Q$949,'09월 고철장입'!$A$14:$A$949,$A17,'09월 고철장입'!$C$14:$C$949,$B17))/1000)</f>
        <v/>
      </c>
      <c r="BG17" s="833" t="str">
        <f>IF($C17&lt;1,"",(AVERAGEIFS('09월 고철장입'!S$14:S$949,'09월 고철장입'!$A$14:$A$949,$A17,'09월 고철장입'!$C$14:$C$949,$B17))/1000)</f>
        <v/>
      </c>
      <c r="BH17" s="833" t="str">
        <f>IF($C17&lt;1,"",(AVERAGEIFS('09월 고철장입'!T$14:T$949,'09월 고철장입'!$A$14:$A$949,$A17,'09월 고철장입'!$C$14:$C$949,$B17))/1000)</f>
        <v/>
      </c>
      <c r="BI17" s="833" t="str">
        <f>IF($C17&lt;1,"",(AVERAGEIFS('09월 고철장입'!U$14:U$949,'09월 고철장입'!$A$14:$A$949,$A17,'09월 고철장입'!$C$14:$C$949,$B17))/1000)</f>
        <v/>
      </c>
      <c r="BJ17" s="833" t="str">
        <f>IF($C17&lt;1,"",(AVERAGEIFS('09월 고철장입'!V$14:V$949,'09월 고철장입'!$A$14:$A$949,$A17,'09월 고철장입'!$C$14:$C$949,$B17))/1000)</f>
        <v/>
      </c>
      <c r="BK17" s="833" t="str">
        <f>IF($C17&lt;1,"",(AVERAGEIFS('09월 고철장입'!W$14:W$949,'09월 고철장입'!$A$14:$A$949,$A17,'09월 고철장입'!$C$14:$C$949,$B17))/1000)</f>
        <v/>
      </c>
      <c r="BL17" s="833" t="str">
        <f>IF($C17&lt;1,"",(AVERAGEIFS('09월 고철장입'!Y$14:Y$949,'09월 고철장입'!$A$14:$A$949,$A17,'09월 고철장입'!$C$14:$C$949,$B17))/1000)</f>
        <v/>
      </c>
      <c r="BM17" s="833" t="str">
        <f>IF($C17&lt;1,"",(AVERAGEIFS('09월 고철장입'!AB$14:AB$949,'09월 고철장입'!$A$14:$A$949,$A17,'09월 고철장입'!$C$14:$C$949,$B17))/1000)</f>
        <v/>
      </c>
      <c r="BN17" s="833" t="str">
        <f>IF($C17&lt;1,"",(AVERAGEIFS('09월 고철장입'!AC$14:AC$949,'09월 고철장입'!$A$14:$A$949,$A17,'09월 고철장입'!$C$14:$C$949,$B17))/1000)</f>
        <v/>
      </c>
      <c r="BO17" s="833" t="str">
        <f>IF($C17&lt;1,"",(AVERAGEIFS('09월 고철장입'!AD$14:AD$949,'09월 고철장입'!$A$14:$A$949,$A17,'09월 고철장입'!$C$14:$C$949,$B17))/1000)</f>
        <v/>
      </c>
      <c r="BP17" s="833" t="str">
        <f>IF($C17&lt;1,"",(AVERAGEIFS('09월 고철장입'!AE$14:AE$949,'09월 고철장입'!$A$14:$A$949,$A17,'09월 고철장입'!$C$14:$C$949,$B17))/1000)</f>
        <v/>
      </c>
      <c r="BQ17" s="832" t="str">
        <f>IF($C17&lt;1,"",(AVERAGEIFS('09월 고철장입'!AF$14:AF$949,'09월 고철장입'!$A$14:$A$949,$A17,'09월 고철장입'!$C$14:$C$949,$B17))/1000)</f>
        <v/>
      </c>
      <c r="BR17" s="832" t="str">
        <f>IF($C17&lt;1,"",(AVERAGEIFS('09월 고철장입'!AG$14:AG$949,'09월 고철장입'!$A$14:$A$949,$A17,'09월 고철장입'!$C$14:$C$949,$B17))/1000)</f>
        <v/>
      </c>
      <c r="BS17" s="832" t="str">
        <f>IF($C17&lt;1,"",(AVERAGEIFS('09월 고철장입'!AH$14:AH$949,'09월 고철장입'!$A$14:$A$949,$A17,'09월 고철장입'!$C$14:$C$949,$B17))/1000)</f>
        <v/>
      </c>
      <c r="BT17" s="832" t="str">
        <f>IF($C17&lt;1,"",(AVERAGEIFS('09월 고철장입'!AI$14:AI$949,'09월 고철장입'!$A$14:$A$949,$A17,'09월 고철장입'!$C$14:$C$949,$B17))/1000)</f>
        <v/>
      </c>
      <c r="BU17" s="834" t="str">
        <f>IF($C17&lt;1,"",(AVERAGEIFS('09월 고철장입'!AJ$14:AJ$949,'09월 고철장입'!$A$14:$A$949,$A17,'09월 고철장입'!$C$14:$C$949,$B17))/1000)</f>
        <v/>
      </c>
      <c r="BV17" s="834" t="str">
        <f>IF($C17&lt;1,"",(AVERAGEIFS('09월 고철장입'!AK$14:AK$949,'09월 고철장입'!$A$14:$A$949,$A17,'09월 고철장입'!$C$14:$C$949,$B17)))</f>
        <v/>
      </c>
      <c r="BW17" s="834" t="str">
        <f>IF($C17&lt;1,"",(AVERAGEIFS('09월 고철장입'!AL$14:AL$949,'09월 고철장입'!$A$14:$A$949,$A17,'09월 고철장입'!$C$14:$C$949,$B17))*100)</f>
        <v/>
      </c>
      <c r="BX17" s="831" t="str">
        <f>IF($C17&lt;1,"",(AVERAGEIFS('09월 에너지'!G$14:G$949,'09월 에너지'!$A$14:$A$949,$A17,'09월 에너지'!$C$14:$C$949,$B17)))</f>
        <v/>
      </c>
      <c r="BY17" s="835" t="str">
        <f>IF($C17&lt;1,"",(AVERAGEIFS('09월 에너지'!H$14:H$949,'09월 에너지'!$A$14:$A$949,$A17,'09월 에너지'!$C$14:$C$949,$B17)))</f>
        <v/>
      </c>
      <c r="BZ17" s="831" t="str">
        <f>IF($C17&lt;1,"",(AVERAGEIFS('09월 에너지'!I$14:I$949,'09월 에너지'!$A$14:$A$949,$A17,'09월 에너지'!$C$14:$C$949,$B17)))</f>
        <v/>
      </c>
      <c r="CA17" s="835" t="str">
        <f>IF($C17&lt;1,"",(AVERAGEIFS('09월 에너지'!J$14:J$949,'09월 에너지'!$A$14:$A$949,$A17,'09월 에너지'!$C$14:$C$949,$B17)))</f>
        <v/>
      </c>
      <c r="CB17" s="831" t="str">
        <f>IF($C17&lt;1,"",(AVERAGEIFS('09월 에너지'!K$14:K$949,'09월 에너지'!$A$14:$A$949,$A17,'09월 에너지'!$C$14:$C$949,$B17)))</f>
        <v/>
      </c>
      <c r="CC17" s="835" t="str">
        <f>IF($C17&lt;1,"",(AVERAGEIFS('09월 에너지'!L$14:L$949,'09월 에너지'!$A$14:$A$949,$A17,'09월 에너지'!$C$14:$C$949,$B17)))</f>
        <v/>
      </c>
      <c r="CD17" s="831" t="str">
        <f>IF($C17&lt;1,"",(AVERAGEIFS('09월 에너지'!M$14:M$949,'09월 에너지'!$A$14:$A$949,$A17,'09월 에너지'!$C$14:$C$949,$B17)))</f>
        <v/>
      </c>
      <c r="CE17" s="835" t="str">
        <f>IF($C17&lt;1,"",(AVERAGEIFS('09월 에너지'!N$14:N$949,'09월 에너지'!$A$14:$A$949,$A17,'09월 에너지'!$C$14:$C$949,$B17)))</f>
        <v/>
      </c>
      <c r="CF17" s="831" t="str">
        <f>IF($C17&lt;1,"",(AVERAGEIFS('09월 에너지'!O$14:O$949,'09월 에너지'!$A$14:$A$949,$A17,'09월 에너지'!$C$14:$C$949,$B17)))</f>
        <v/>
      </c>
      <c r="CG17" s="831" t="str">
        <f>IF($C17&lt;1,"",(AVERAGEIFS('09월 에너지'!P$14:P$949,'09월 에너지'!$A$14:$A$949,$A17,'09월 에너지'!$C$14:$C$949,$B17)))</f>
        <v/>
      </c>
      <c r="CH17" s="831" t="str">
        <f>IF($C17&lt;1,"",(AVERAGEIFS('09월 에너지'!Q$14:Q$949,'09월 에너지'!$A$14:$A$949,$A17,'09월 에너지'!$C$14:$C$949,$B17)))</f>
        <v/>
      </c>
      <c r="CI17" s="831" t="str">
        <f>IF($C17&lt;1,"",(AVERAGEIFS('09월 에너지'!R$14:R$949,'09월 에너지'!$A$14:$A$949,$A17,'09월 에너지'!$C$14:$C$949,$B17)))</f>
        <v/>
      </c>
      <c r="CJ17" s="831" t="str">
        <f>IF($C17&lt;1,"",(AVERAGEIFS('09월 에너지'!S$14:S$949,'09월 에너지'!$A$14:$A$949,$A17,'09월 에너지'!$C$14:$C$949,$B17)))</f>
        <v/>
      </c>
      <c r="CK17" s="831" t="str">
        <f>IF($C17&lt;1,"",(AVERAGEIFS('09월 에너지'!T$14:T$949,'09월 에너지'!$A$14:$A$949,$A17,'09월 에너지'!$C$14:$C$949,$B17)))</f>
        <v/>
      </c>
      <c r="CL17" s="831" t="str">
        <f>IF($C17&lt;1,"",(AVERAGEIFS('09월 에너지'!U$14:U$949,'09월 에너지'!$A$14:$A$949,$A17,'09월 에너지'!$C$14:$C$949,$B17)))</f>
        <v/>
      </c>
      <c r="CM17" s="835" t="str">
        <f>IF($C17&lt;1,"",(AVERAGEIFS('09월 에너지'!V$14:V$949,'09월 에너지'!$A$14:$A$949,$A17,'09월 에너지'!$C$14:$C$949,$B17)))</f>
        <v/>
      </c>
      <c r="CN17" s="835" t="str">
        <f>IF($C17&lt;1,"",(AVERAGEIFS('09월 에너지'!W$14:W$949,'09월 에너지'!$A$14:$A$949,$A17,'09월 에너지'!$C$14:$C$949,$B17)))</f>
        <v/>
      </c>
      <c r="CO17" s="831" t="str">
        <f>IF($C17&lt;1,"",(AVERAGEIFS('09월 에너지'!X$14:X$949,'09월 에너지'!$A$14:$A$949,$A17,'09월 에너지'!$C$14:$C$949,$B17)))</f>
        <v/>
      </c>
      <c r="CP17" s="835" t="str">
        <f>IF($C17&lt;1,"",(AVERAGEIFS('09월 에너지'!Y$14:Y$949,'09월 에너지'!$A$14:$A$949,$A17,'09월 에너지'!$C$14:$C$949,$B17)))</f>
        <v/>
      </c>
      <c r="CQ17" s="835" t="str">
        <f>IF($C17&lt;1,"",(AVERAGEIFS('09월 에너지'!Z$14:Z$949,'09월 에너지'!$A$14:$A$949,$A17,'09월 에너지'!$C$14:$C$949,$B17)))</f>
        <v/>
      </c>
      <c r="CR17" s="835" t="str">
        <f>IF($C17&lt;1,"",(AVERAGEIFS('09월 에너지'!AA$14:AA$949,'09월 에너지'!$A$14:$A$949,$A17,'09월 에너지'!$C$14:$C$949,$B17)))</f>
        <v/>
      </c>
      <c r="CS17" s="835" t="str">
        <f>IF($C17&lt;1,"",(AVERAGEIFS('09월 에너지'!AB$14:AB$949,'09월 에너지'!$A$14:$A$949,$A17,'09월 에너지'!$C$14:$C$949,$B17)))</f>
        <v/>
      </c>
      <c r="CT17" s="831" t="str">
        <f>IF($C17&lt;1,"",(AVERAGEIFS('09월 에너지'!AC$14:AC$949,'09월 에너지'!$A$14:$A$949,$A17,'09월 에너지'!$C$14:$C$949,$B17)))</f>
        <v/>
      </c>
      <c r="CU17" s="836" t="str">
        <f>IF($C17&lt;1,"",(AVERAGEIFS('09월 에너지'!AD$14:AD$949,'09월 에너지'!$A$14:$A$949,$A17,'09월 에너지'!$C$14:$C$949,$B17)))</f>
        <v/>
      </c>
      <c r="CV17" s="837" t="str">
        <f>IF($C17&lt;1,"",(AVERAGEIFS('09월 에너지'!AE$14:AE$949,'09월 에너지'!$A$14:$A$949,$A17,'09월 에너지'!$C$14:$C$949,$B17)))</f>
        <v/>
      </c>
      <c r="CW17" s="831" t="str">
        <f>IF($C17&lt;1,"",(AVERAGEIFS('09월 에너지'!AF$14:AF$949,'09월 에너지'!$A$14:$A$949,$A17,'09월 에너지'!$C$14:$C$949,$B17)))</f>
        <v/>
      </c>
      <c r="CX17" s="831" t="str">
        <f>IF($C17&lt;1,"",(AVERAGEIFS('09월 에너지'!AG$14:AG$949,'09월 에너지'!$A$14:$A$949,$A17,'09월 에너지'!$C$14:$C$949,$B17)))</f>
        <v/>
      </c>
      <c r="CY17" s="831" t="str">
        <f>IF($C17&lt;1,"",(AVERAGEIFS('09월 에너지'!AH$14:AH$949,'09월 에너지'!$A$14:$A$949,$A17,'09월 에너지'!$C$14:$C$949,$B17)))</f>
        <v/>
      </c>
      <c r="CZ17" s="831" t="str">
        <f>IF($C17&lt;1,"",(AVERAGEIFS('09월 에너지'!AI$14:AI$949,'09월 에너지'!$A$14:$A$949,$A17,'09월 에너지'!$C$14:$C$949,$B17)))</f>
        <v/>
      </c>
      <c r="DA17" s="838" t="str">
        <f>IF($C17&lt;1,"",(AVERAGEIFS('09월 에너지'!AJ$14:AJ$949,'09월 에너지'!$A$14:$A$949,$A17,'09월 에너지'!$C$14:$C$949,$B17)))</f>
        <v/>
      </c>
    </row>
    <row r="18" spans="1:105" ht="13.5" customHeight="1">
      <c r="A18" s="849">
        <f t="shared" si="2"/>
        <v>44929</v>
      </c>
      <c r="B18" s="850" t="s">
        <v>100</v>
      </c>
      <c r="C18" s="823">
        <f>COUNTIFS('09월 조업일지'!$A$12:$A$952,A16,'09월 조업일지'!$E$12:$E$952,B18)</f>
        <v>0</v>
      </c>
      <c r="D18" s="824" t="str">
        <f t="shared" ref="D18:D20" si="4">IF(C18&lt;1,"",F18-E18)</f>
        <v/>
      </c>
      <c r="E18" s="824" t="str">
        <f>IF($C18&lt;1,"",(SUMIFS('09월 조업일지'!$K$12:$K$952,'09월 조업일지'!$A$12:$A$952,$A18,'09월 조업일지'!$E$12:$E$952,$B18)/$C18))</f>
        <v/>
      </c>
      <c r="F18" s="824" t="str">
        <f>IF($C18&lt;1,"",(AVERAGEIFS('09월 조업일지'!$J$12:$J$952,'09월 조업일지'!$A$12:$A$952,$A18,'09월 조업일지'!$E$12:$E$952,$B18)))</f>
        <v/>
      </c>
      <c r="G18" s="825" t="str">
        <f>IF($C18&lt;1,"",(AVERAGEIFS('09월 에너지'!$M$14:$M$949,'09월 에너지'!$A$14:$A$949,$A18,'09월 에너지'!$C$14:$C$949,$B18)))</f>
        <v/>
      </c>
      <c r="H18" s="826" t="str">
        <f>IF($C18&lt;1,"",(AVERAGEIFS('09월 조업일지'!$AJ$12:$AJ$952,'09월 조업일지'!$A$12:$A$952,$A18,'09월 조업일지'!$E$12:$E$952,$B18)))</f>
        <v/>
      </c>
      <c r="I18" s="826" t="str">
        <f>IF($C18&lt;1,"",(AVERAGEIFS('09월 조업일지'!$AL$12:$AL$952,'09월 조업일지'!$A$12:$A$952,$A18,'09월 조업일지'!$E$12:$E$952,$B18)))</f>
        <v/>
      </c>
      <c r="J18" s="827" t="str">
        <f>IF($C18&lt;1,"",(AVERAGEIFS('09월 화학성분'!G$12:G$949,'09월 화학성분'!$A$12:$A$949,$A18,'09월 화학성분'!$D$12:$D$949,$B18)))</f>
        <v/>
      </c>
      <c r="K18" s="827" t="str">
        <f>IF($C18&lt;1,"",(AVERAGEIFS('09월 화학성분'!H$12:H$949,'09월 화학성분'!$A$12:$A$949,$A18,'09월 화학성분'!$D$12:$D$949,$B18)))</f>
        <v/>
      </c>
      <c r="L18" s="827" t="str">
        <f>IF($C18&lt;1,"",(AVERAGEIFS('09월 화학성분'!I$12:I$949,'09월 화학성분'!$A$12:$A$949,$A18,'09월 화학성분'!$D$12:$D$949,$B18)))</f>
        <v/>
      </c>
      <c r="M18" s="827" t="str">
        <f>IF($C18&lt;1,"",(AVERAGEIFS('09월 화학성분'!J$12:J$949,'09월 화학성분'!$A$12:$A$949,$A18,'09월 화학성분'!$D$12:$D$949,$B18)))</f>
        <v/>
      </c>
      <c r="N18" s="827" t="str">
        <f>IF($C18&lt;1,"",(AVERAGEIFS('09월 화학성분'!K$12:K$949,'09월 화학성분'!$A$12:$A$949,$A18,'09월 화학성분'!$D$12:$D$949,$B18)))</f>
        <v/>
      </c>
      <c r="O18" s="827" t="str">
        <f>IF($C18&lt;1,"",(AVERAGEIFS('09월 화학성분'!L$12:L$949,'09월 화학성분'!$A$12:$A$949,$A18,'09월 화학성분'!$D$12:$D$949,$B18)))</f>
        <v/>
      </c>
      <c r="P18" s="827" t="str">
        <f>IF($C18&lt;1,"",(AVERAGEIFS('09월 화학성분'!M$12:M$949,'09월 화학성분'!$A$12:$A$949,$A18,'09월 화학성분'!$D$12:$D$949,$B18)))</f>
        <v/>
      </c>
      <c r="Q18" s="827" t="str">
        <f>IFERROR(IF($C18&lt;1,"",(AVERAGEIFS('09월 조업일지'!$AA$12:$AA$952,'09월 조업일지'!$A$12:$A$952,$A18,'09월 조업일지'!$E$12:$E$952,$B18))),"")</f>
        <v/>
      </c>
      <c r="R18" s="827" t="str">
        <f>IF($C18&lt;1,"",(AVERAGEIFS('09월 조업일지'!$AK$12:$AK$952,'09월 조업일지'!$A$12:$A$952,$A18,'09월 조업일지'!$E$12:$E$952,$B18)))</f>
        <v/>
      </c>
      <c r="S18" s="827"/>
      <c r="T18" s="827"/>
      <c r="U18" s="827" t="str">
        <f>IF($C18&lt;1,"",(AVERAGEIFS('09월 화학성분'!$G$12:$G$949,'09월 화학성분'!$A$12:$A$949,$A18,'09월 화학성분'!$D$12:$D$949,$B18)))</f>
        <v/>
      </c>
      <c r="V18" s="827" t="str">
        <f>IF($C18&lt;1,"",(AVERAGEIFS('09월 조업일지'!$AI$12:$AI$952,'09월 조업일지'!$A$12:$A$952,$A18,'09월 조업일지'!$E$12:$E$952,$B18)))</f>
        <v/>
      </c>
      <c r="W18" s="828" t="str">
        <f>IF($C18&lt;1,"",(AVERAGEIFS('09월 화학성분'!$AM$12:$AM$949,'09월 화학성분'!$A$12:$A$949,$A18,'09월 화학성분'!$D$12:$D$949,$B18)))</f>
        <v/>
      </c>
      <c r="X18" s="829" t="str">
        <f>IF($C18&lt;1,"",(AVERAGEIFS('09월 화학성분'!N$12:N$949,'09월 화학성분'!$A$12:$A$949,$A18,'09월 화학성분'!$D$12:$D$949,$B18)))</f>
        <v/>
      </c>
      <c r="Y18" s="829" t="str">
        <f>IF($C18&lt;1,"",(AVERAGEIFS('09월 화학성분'!O$12:O$949,'09월 화학성분'!$A$12:$A$949,$A18,'09월 화학성분'!$D$12:$D$949,$B18)))</f>
        <v/>
      </c>
      <c r="Z18" s="829" t="str">
        <f>IF($C18&lt;1,"",(AVERAGEIFS('09월 화학성분'!P$12:P$949,'09월 화학성분'!$A$12:$A$949,$A18,'09월 화학성분'!$D$12:$D$949,$B18)))</f>
        <v/>
      </c>
      <c r="AA18" s="829" t="str">
        <f>IF($C18&lt;1,"",(AVERAGEIFS('09월 화학성분'!Q$12:Q$949,'09월 화학성분'!$A$12:$A$949,$A18,'09월 화학성분'!$D$12:$D$949,$B18)))</f>
        <v/>
      </c>
      <c r="AB18" s="829" t="str">
        <f>IF($C18&lt;1,"",(AVERAGEIFS('09월 화학성분'!R$12:R$949,'09월 화학성분'!$A$12:$A$949,$A18,'09월 화학성분'!$D$12:$D$949,$B18)))</f>
        <v/>
      </c>
      <c r="AC18" s="829" t="str">
        <f>IF($C18&lt;1,"",(AVERAGEIFS('09월 화학성분'!U$12:U$949,'09월 화학성분'!$A$12:$A$949,$A18,'09월 화학성분'!$D$12:$D$949,$B18)))</f>
        <v/>
      </c>
      <c r="AD18" s="829" t="str">
        <f>IF($C18&lt;1,"",(AVERAGEIFS('09월 화학성분'!V$12:V$949,'09월 화학성분'!$A$12:$A$949,$A18,'09월 화학성분'!$D$12:$D$949,$B18)))</f>
        <v/>
      </c>
      <c r="AE18" s="829" t="str">
        <f>IF($C18&lt;1,"",(AVERAGEIFS('09월 화학성분'!W$12:W$949,'09월 화학성분'!$A$12:$A$949,$A18,'09월 화학성분'!$D$12:$D$949,$B18)))</f>
        <v/>
      </c>
      <c r="AF18" s="829" t="str">
        <f>IF($C18&lt;1,"",(AVERAGEIFS('09월 화학성분'!AA$12:AA$949,'09월 화학성분'!$A$12:$A$949,$A18,'09월 화학성분'!$D$12:$D$949,$B18)))</f>
        <v/>
      </c>
      <c r="AG18" s="829" t="str">
        <f>IF($C18&lt;1,"",(AVERAGEIFS('09월 화학성분'!#REF!,'09월 화학성분'!$A$12:$A$949,$A18,'09월 화학성분'!$D$12:$D$949,$B18)))</f>
        <v/>
      </c>
      <c r="AH18" s="829" t="str">
        <f>IF($C18&lt;1,"",(AVERAGEIFS('09월 화학성분'!AB$12:AB$949,'09월 화학성분'!$A$12:$A$949,$A18,'09월 화학성분'!$D$12:$D$949,$B18)))</f>
        <v/>
      </c>
      <c r="AI18" s="829" t="str">
        <f>IF($C18&lt;1,"",(AVERAGEIFS('09월 화학성분'!AC$12:AC$949,'09월 화학성분'!$A$12:$A$949,$A18,'09월 화학성분'!$D$12:$D$949,$B18)))</f>
        <v/>
      </c>
      <c r="AJ18" s="829" t="str">
        <f>IF($C18&lt;1,"",(AVERAGEIFS('09월 화학성분'!AD$12:AD$949,'09월 화학성분'!$A$12:$A$949,$A18,'09월 화학성분'!$D$12:$D$949,$B18)))</f>
        <v/>
      </c>
      <c r="AK18" s="829" t="str">
        <f>IF($C18&lt;1,"",(AVERAGEIFS('09월 화학성분'!AF$12:AF$949,'09월 화학성분'!$A$12:$A$949,$A18,'09월 화학성분'!$D$12:$D$949,$B18)))</f>
        <v/>
      </c>
      <c r="AL18" s="829" t="str">
        <f>IF($C18&lt;1,"",(AVERAGEIFS('09월 화학성분'!AG$12:AG$949,'09월 화학성분'!$A$12:$A$949,$A18,'09월 화학성분'!$D$12:$D$949,$B18)))</f>
        <v/>
      </c>
      <c r="AM18" s="829" t="str">
        <f>IF($C18&lt;1,"",(AVERAGEIFS('09월 화학성분'!AH$12:AH$949,'09월 화학성분'!$A$12:$A$949,$A18,'09월 화학성분'!$D$12:$D$949,$B18)))</f>
        <v/>
      </c>
      <c r="AN18" s="829" t="str">
        <f>IF($C18&lt;1,"",(AVERAGEIFS('09월 화학성분'!AI$12:AI$949,'09월 화학성분'!$A$12:$A$949,$A18,'09월 화학성분'!$D$12:$D$949,$B18)))</f>
        <v/>
      </c>
      <c r="AO18" s="829" t="str">
        <f>IF($C18&lt;1,"",(AVERAGEIFS('09월 화학성분'!AJ$12:AJ$949,'09월 화학성분'!$A$12:$A$949,$A18,'09월 화학성분'!$D$12:$D$949,$B18)))</f>
        <v/>
      </c>
      <c r="AP18" s="829" t="str">
        <f>IF($C18&lt;1,"",(AVERAGEIFS('09월 화학성분'!#REF!,'09월 화학성분'!$A$12:$A$949,$A18,'09월 화학성분'!$D$12:$D$949,$B18)))</f>
        <v/>
      </c>
      <c r="AQ18" s="829" t="str">
        <f>IF($C18&lt;1,"",(AVERAGEIFS('09월 화학성분'!AL$12:AL$949,'09월 화학성분'!$A$12:$A$949,$A18,'09월 화학성분'!$D$12:$D$949,$B18)))</f>
        <v/>
      </c>
      <c r="AR18" s="829" t="str">
        <f>IF($C18&lt;1,"",(AVERAGEIFS('09월 화학성분'!AM$12:AM$949,'09월 화학성분'!$A$12:$A$949,$A18,'09월 화학성분'!$D$12:$D$949,$B18)))</f>
        <v/>
      </c>
      <c r="AS18" s="830" t="str">
        <f>IF($C18&lt;1,"",(AVERAGEIFS('09월 화학성분'!AN$12:AN$949,'09월 화학성분'!$A$12:$A$949,$A18,'09월 화학성분'!$D$12:$D$949,$B18)))</f>
        <v/>
      </c>
      <c r="AT18" s="830" t="str">
        <f>IF($C18&lt;1,"",(AVERAGEIFS('09월 화학성분'!AO$12:AO$949,'09월 화학성분'!$A$12:$A$949,$A18,'09월 화학성분'!$D$12:$D$949,$B18)))</f>
        <v/>
      </c>
      <c r="AU18" s="831" t="str">
        <f>IF($C18&lt;1,"",(AVERAGEIFS('09월 화학성분'!AP$12:AP$949,'09월 화학성분'!$A$12:$A$949,$A18,'09월 화학성분'!$D$12:$D$949,$B18)))</f>
        <v/>
      </c>
      <c r="AV18" s="832" t="str">
        <f>IF($C18&lt;1,"",(AVERAGEIFS('09월 고철장입'!G$14:G$949,'09월 고철장입'!$A$14:$A$949,$A18,'09월 고철장입'!$C$14:$C$949,$B18))/1000)</f>
        <v/>
      </c>
      <c r="AW18" s="832" t="str">
        <f>IF($C18&lt;1,"",(AVERAGEIFS('09월 고철장입'!H$14:H$949,'09월 고철장입'!$A$14:$A$949,$A18,'09월 고철장입'!$C$14:$C$949,$B18))/1000)</f>
        <v/>
      </c>
      <c r="AX18" s="832" t="str">
        <f>IF($C18&lt;1,"",(AVERAGEIFS('09월 고철장입'!I$14:I$949,'09월 고철장입'!$A$14:$A$949,$A18,'09월 고철장입'!$C$14:$C$949,$B18))/1000)</f>
        <v/>
      </c>
      <c r="AY18" s="832" t="str">
        <f>IF($C18&lt;1,"",(AVERAGEIFS('09월 고철장입'!J$14:J$949,'09월 고철장입'!$A$14:$A$949,$A18,'09월 고철장입'!$C$14:$C$949,$B18))/1000)</f>
        <v/>
      </c>
      <c r="AZ18" s="832" t="str">
        <f>IF($C18&lt;1,"",(AVERAGEIFS('09월 고철장입'!K$14:K$949,'09월 고철장입'!$A$14:$A$949,$A18,'09월 고철장입'!$C$14:$C$949,$B18))/1000)</f>
        <v/>
      </c>
      <c r="BA18" s="832" t="str">
        <f>IF($C18&lt;1,"",(AVERAGEIFS('09월 고철장입'!L$14:L$949,'09월 고철장입'!$A$14:$A$949,$A18,'09월 고철장입'!$C$14:$C$949,$B18))/1000)</f>
        <v/>
      </c>
      <c r="BB18" s="832" t="str">
        <f>IF($C18&lt;1,"",(AVERAGEIFS('09월 고철장입'!M$14:M$949,'09월 고철장입'!$A$14:$A$949,$A18,'09월 고철장입'!$C$14:$C$949,$B18))/1000)</f>
        <v/>
      </c>
      <c r="BC18" s="832" t="str">
        <f>IF($C18&lt;1,"",(AVERAGEIFS('09월 고철장입'!N$14:N$949,'09월 고철장입'!$A$14:$A$949,$A18,'09월 고철장입'!$C$14:$C$949,$B18))/1000)</f>
        <v/>
      </c>
      <c r="BD18" s="832" t="str">
        <f>IF($C18&lt;1,"",(AVERAGEIFS('09월 고철장입'!O$14:O$949,'09월 고철장입'!$A$14:$A$949,$A18,'09월 고철장입'!$C$14:$C$949,$B18))/1000)</f>
        <v/>
      </c>
      <c r="BE18" s="833" t="str">
        <f>IF($C18&lt;1,"",(AVERAGEIFS('09월 고철장입'!P$14:P$949,'09월 고철장입'!$A$14:$A$949,$A18,'09월 고철장입'!$C$14:$C$949,$B18))/1000)</f>
        <v/>
      </c>
      <c r="BF18" s="833" t="str">
        <f>IF($C18&lt;1,"",(AVERAGEIFS('09월 고철장입'!Q$14:Q$949,'09월 고철장입'!$A$14:$A$949,$A18,'09월 고철장입'!$C$14:$C$949,$B18))/1000)</f>
        <v/>
      </c>
      <c r="BG18" s="833" t="str">
        <f>IF($C18&lt;1,"",(AVERAGEIFS('09월 고철장입'!S$14:S$949,'09월 고철장입'!$A$14:$A$949,$A18,'09월 고철장입'!$C$14:$C$949,$B18))/1000)</f>
        <v/>
      </c>
      <c r="BH18" s="833" t="str">
        <f>IF($C18&lt;1,"",(AVERAGEIFS('09월 고철장입'!T$14:T$949,'09월 고철장입'!$A$14:$A$949,$A18,'09월 고철장입'!$C$14:$C$949,$B18))/1000)</f>
        <v/>
      </c>
      <c r="BI18" s="833" t="str">
        <f>IF($C18&lt;1,"",(AVERAGEIFS('09월 고철장입'!U$14:U$949,'09월 고철장입'!$A$14:$A$949,$A18,'09월 고철장입'!$C$14:$C$949,$B18))/1000)</f>
        <v/>
      </c>
      <c r="BJ18" s="833" t="str">
        <f>IF($C18&lt;1,"",(AVERAGEIFS('09월 고철장입'!V$14:V$949,'09월 고철장입'!$A$14:$A$949,$A18,'09월 고철장입'!$C$14:$C$949,$B18))/1000)</f>
        <v/>
      </c>
      <c r="BK18" s="833" t="str">
        <f>IF($C18&lt;1,"",(AVERAGEIFS('09월 고철장입'!W$14:W$949,'09월 고철장입'!$A$14:$A$949,$A18,'09월 고철장입'!$C$14:$C$949,$B18))/1000)</f>
        <v/>
      </c>
      <c r="BL18" s="833" t="str">
        <f>IF($C18&lt;1,"",(AVERAGEIFS('09월 고철장입'!Y$14:Y$949,'09월 고철장입'!$A$14:$A$949,$A18,'09월 고철장입'!$C$14:$C$949,$B18))/1000)</f>
        <v/>
      </c>
      <c r="BM18" s="833" t="str">
        <f>IF($C18&lt;1,"",(AVERAGEIFS('09월 고철장입'!AB$14:AB$949,'09월 고철장입'!$A$14:$A$949,$A18,'09월 고철장입'!$C$14:$C$949,$B18))/1000)</f>
        <v/>
      </c>
      <c r="BN18" s="833" t="str">
        <f>IF($C18&lt;1,"",(AVERAGEIFS('09월 고철장입'!AC$14:AC$949,'09월 고철장입'!$A$14:$A$949,$A18,'09월 고철장입'!$C$14:$C$949,$B18))/1000)</f>
        <v/>
      </c>
      <c r="BO18" s="833" t="str">
        <f>IF($C18&lt;1,"",(AVERAGEIFS('09월 고철장입'!AD$14:AD$949,'09월 고철장입'!$A$14:$A$949,$A18,'09월 고철장입'!$C$14:$C$949,$B18))/1000)</f>
        <v/>
      </c>
      <c r="BP18" s="833" t="str">
        <f>IF($C18&lt;1,"",(AVERAGEIFS('09월 고철장입'!AE$14:AE$949,'09월 고철장입'!$A$14:$A$949,$A18,'09월 고철장입'!$C$14:$C$949,$B18))/1000)</f>
        <v/>
      </c>
      <c r="BQ18" s="832" t="str">
        <f>IF($C18&lt;1,"",(AVERAGEIFS('09월 고철장입'!AF$14:AF$949,'09월 고철장입'!$A$14:$A$949,$A18,'09월 고철장입'!$C$14:$C$949,$B18))/1000)</f>
        <v/>
      </c>
      <c r="BR18" s="832" t="str">
        <f>IF($C18&lt;1,"",(AVERAGEIFS('09월 고철장입'!AG$14:AG$949,'09월 고철장입'!$A$14:$A$949,$A18,'09월 고철장입'!$C$14:$C$949,$B18))/1000)</f>
        <v/>
      </c>
      <c r="BS18" s="832" t="str">
        <f>IF($C18&lt;1,"",(AVERAGEIFS('09월 고철장입'!AH$14:AH$949,'09월 고철장입'!$A$14:$A$949,$A18,'09월 고철장입'!$C$14:$C$949,$B18))/1000)</f>
        <v/>
      </c>
      <c r="BT18" s="832" t="str">
        <f>IF($C18&lt;1,"",(AVERAGEIFS('09월 고철장입'!AI$14:AI$949,'09월 고철장입'!$A$14:$A$949,$A18,'09월 고철장입'!$C$14:$C$949,$B18))/1000)</f>
        <v/>
      </c>
      <c r="BU18" s="834" t="str">
        <f>IF($C18&lt;1,"",(AVERAGEIFS('09월 고철장입'!AJ$14:AJ$949,'09월 고철장입'!$A$14:$A$949,$A18,'09월 고철장입'!$C$14:$C$949,$B18))/1000)</f>
        <v/>
      </c>
      <c r="BV18" s="834" t="str">
        <f>IF($C18&lt;1,"",(AVERAGEIFS('09월 고철장입'!AK$14:AK$949,'09월 고철장입'!$A$14:$A$949,$A18,'09월 고철장입'!$C$14:$C$949,$B18)))</f>
        <v/>
      </c>
      <c r="BW18" s="834" t="str">
        <f>IF($C18&lt;1,"",(AVERAGEIFS('09월 고철장입'!AL$14:AL$949,'09월 고철장입'!$A$14:$A$949,$A18,'09월 고철장입'!$C$14:$C$949,$B18))*100)</f>
        <v/>
      </c>
      <c r="BX18" s="831" t="str">
        <f>IF($C18&lt;1,"",(AVERAGEIFS('09월 에너지'!G$14:G$949,'09월 에너지'!$A$14:$A$949,$A18,'09월 에너지'!$C$14:$C$949,$B18)))</f>
        <v/>
      </c>
      <c r="BY18" s="835" t="str">
        <f>IF($C18&lt;1,"",(AVERAGEIFS('09월 에너지'!H$14:H$949,'09월 에너지'!$A$14:$A$949,$A18,'09월 에너지'!$C$14:$C$949,$B18)))</f>
        <v/>
      </c>
      <c r="BZ18" s="831" t="str">
        <f>IF($C18&lt;1,"",(AVERAGEIFS('09월 에너지'!I$14:I$949,'09월 에너지'!$A$14:$A$949,$A18,'09월 에너지'!$C$14:$C$949,$B18)))</f>
        <v/>
      </c>
      <c r="CA18" s="835" t="str">
        <f>IF($C18&lt;1,"",(AVERAGEIFS('09월 에너지'!J$14:J$949,'09월 에너지'!$A$14:$A$949,$A18,'09월 에너지'!$C$14:$C$949,$B18)))</f>
        <v/>
      </c>
      <c r="CB18" s="831" t="str">
        <f>IF($C18&lt;1,"",(AVERAGEIFS('09월 에너지'!K$14:K$949,'09월 에너지'!$A$14:$A$949,$A18,'09월 에너지'!$C$14:$C$949,$B18)))</f>
        <v/>
      </c>
      <c r="CC18" s="835" t="str">
        <f>IF($C18&lt;1,"",(AVERAGEIFS('09월 에너지'!L$14:L$949,'09월 에너지'!$A$14:$A$949,$A18,'09월 에너지'!$C$14:$C$949,$B18)))</f>
        <v/>
      </c>
      <c r="CD18" s="831" t="str">
        <f>IF($C18&lt;1,"",(AVERAGEIFS('09월 에너지'!M$14:M$949,'09월 에너지'!$A$14:$A$949,$A18,'09월 에너지'!$C$14:$C$949,$B18)))</f>
        <v/>
      </c>
      <c r="CE18" s="835" t="str">
        <f>IF($C18&lt;1,"",(AVERAGEIFS('09월 에너지'!N$14:N$949,'09월 에너지'!$A$14:$A$949,$A18,'09월 에너지'!$C$14:$C$949,$B18)))</f>
        <v/>
      </c>
      <c r="CF18" s="831" t="str">
        <f>IF($C18&lt;1,"",(AVERAGEIFS('09월 에너지'!O$14:O$949,'09월 에너지'!$A$14:$A$949,$A18,'09월 에너지'!$C$14:$C$949,$B18)))</f>
        <v/>
      </c>
      <c r="CG18" s="831" t="str">
        <f>IF($C18&lt;1,"",(AVERAGEIFS('09월 에너지'!P$14:P$949,'09월 에너지'!$A$14:$A$949,$A18,'09월 에너지'!$C$14:$C$949,$B18)))</f>
        <v/>
      </c>
      <c r="CH18" s="831" t="str">
        <f>IF($C18&lt;1,"",(AVERAGEIFS('09월 에너지'!Q$14:Q$949,'09월 에너지'!$A$14:$A$949,$A18,'09월 에너지'!$C$14:$C$949,$B18)))</f>
        <v/>
      </c>
      <c r="CI18" s="831" t="str">
        <f>IF($C18&lt;1,"",(AVERAGEIFS('09월 에너지'!R$14:R$949,'09월 에너지'!$A$14:$A$949,$A18,'09월 에너지'!$C$14:$C$949,$B18)))</f>
        <v/>
      </c>
      <c r="CJ18" s="831" t="str">
        <f>IF($C18&lt;1,"",(AVERAGEIFS('09월 에너지'!S$14:S$949,'09월 에너지'!$A$14:$A$949,$A18,'09월 에너지'!$C$14:$C$949,$B18)))</f>
        <v/>
      </c>
      <c r="CK18" s="831" t="str">
        <f>IF($C18&lt;1,"",(AVERAGEIFS('09월 에너지'!T$14:T$949,'09월 에너지'!$A$14:$A$949,$A18,'09월 에너지'!$C$14:$C$949,$B18)))</f>
        <v/>
      </c>
      <c r="CL18" s="831" t="str">
        <f>IF($C18&lt;1,"",(AVERAGEIFS('09월 에너지'!U$14:U$949,'09월 에너지'!$A$14:$A$949,$A18,'09월 에너지'!$C$14:$C$949,$B18)))</f>
        <v/>
      </c>
      <c r="CM18" s="835" t="str">
        <f>IF($C18&lt;1,"",(AVERAGEIFS('09월 에너지'!V$14:V$949,'09월 에너지'!$A$14:$A$949,$A18,'09월 에너지'!$C$14:$C$949,$B18)))</f>
        <v/>
      </c>
      <c r="CN18" s="835" t="str">
        <f>IF($C18&lt;1,"",(AVERAGEIFS('09월 에너지'!W$14:W$949,'09월 에너지'!$A$14:$A$949,$A18,'09월 에너지'!$C$14:$C$949,$B18)))</f>
        <v/>
      </c>
      <c r="CO18" s="831" t="str">
        <f>IF($C18&lt;1,"",(AVERAGEIFS('09월 에너지'!X$14:X$949,'09월 에너지'!$A$14:$A$949,$A18,'09월 에너지'!$C$14:$C$949,$B18)))</f>
        <v/>
      </c>
      <c r="CP18" s="835" t="str">
        <f>IF($C18&lt;1,"",(AVERAGEIFS('09월 에너지'!Y$14:Y$949,'09월 에너지'!$A$14:$A$949,$A18,'09월 에너지'!$C$14:$C$949,$B18)))</f>
        <v/>
      </c>
      <c r="CQ18" s="835" t="str">
        <f>IF($C18&lt;1,"",(AVERAGEIFS('09월 에너지'!Z$14:Z$949,'09월 에너지'!$A$14:$A$949,$A18,'09월 에너지'!$C$14:$C$949,$B18)))</f>
        <v/>
      </c>
      <c r="CR18" s="835" t="str">
        <f>IF($C18&lt;1,"",(AVERAGEIFS('09월 에너지'!AA$14:AA$949,'09월 에너지'!$A$14:$A$949,$A18,'09월 에너지'!$C$14:$C$949,$B18)))</f>
        <v/>
      </c>
      <c r="CS18" s="835" t="str">
        <f>IF($C18&lt;1,"",(AVERAGEIFS('09월 에너지'!AB$14:AB$949,'09월 에너지'!$A$14:$A$949,$A18,'09월 에너지'!$C$14:$C$949,$B18)))</f>
        <v/>
      </c>
      <c r="CT18" s="831" t="str">
        <f>IF($C18&lt;1,"",(AVERAGEIFS('09월 에너지'!AC$14:AC$949,'09월 에너지'!$A$14:$A$949,$A18,'09월 에너지'!$C$14:$C$949,$B18)))</f>
        <v/>
      </c>
      <c r="CU18" s="836" t="str">
        <f>IF($C18&lt;1,"",(AVERAGEIFS('09월 에너지'!AD$14:AD$949,'09월 에너지'!$A$14:$A$949,$A18,'09월 에너지'!$C$14:$C$949,$B18)))</f>
        <v/>
      </c>
      <c r="CV18" s="837" t="str">
        <f>IF($C18&lt;1,"",(AVERAGEIFS('09월 에너지'!AE$14:AE$949,'09월 에너지'!$A$14:$A$949,$A18,'09월 에너지'!$C$14:$C$949,$B18)))</f>
        <v/>
      </c>
      <c r="CW18" s="831" t="str">
        <f>IF($C18&lt;1,"",(AVERAGEIFS('09월 에너지'!AF$14:AF$949,'09월 에너지'!$A$14:$A$949,$A18,'09월 에너지'!$C$14:$C$949,$B18)))</f>
        <v/>
      </c>
      <c r="CX18" s="831" t="str">
        <f>IF($C18&lt;1,"",(AVERAGEIFS('09월 에너지'!AG$14:AG$949,'09월 에너지'!$A$14:$A$949,$A18,'09월 에너지'!$C$14:$C$949,$B18)))</f>
        <v/>
      </c>
      <c r="CY18" s="831" t="str">
        <f>IF($C18&lt;1,"",(AVERAGEIFS('09월 에너지'!AH$14:AH$949,'09월 에너지'!$A$14:$A$949,$A18,'09월 에너지'!$C$14:$C$949,$B18)))</f>
        <v/>
      </c>
      <c r="CZ18" s="831" t="str">
        <f>IF($C18&lt;1,"",(AVERAGEIFS('09월 에너지'!AI$14:AI$949,'09월 에너지'!$A$14:$A$949,$A18,'09월 에너지'!$C$14:$C$949,$B18)))</f>
        <v/>
      </c>
      <c r="DA18" s="838" t="str">
        <f>IF($C18&lt;1,"",(AVERAGEIFS('09월 에너지'!AJ$14:AJ$949,'09월 에너지'!$A$14:$A$949,$A18,'09월 에너지'!$C$14:$C$949,$B18)))</f>
        <v/>
      </c>
    </row>
    <row r="19" spans="1:105" ht="13.5" customHeight="1">
      <c r="A19" s="849">
        <f t="shared" si="2"/>
        <v>44929</v>
      </c>
      <c r="B19" s="850" t="s">
        <v>10</v>
      </c>
      <c r="C19" s="823">
        <f>COUNTIFS('09월 조업일지'!$A$12:$A$952,A16,'09월 조업일지'!$E$12:$E$952,B19)</f>
        <v>0</v>
      </c>
      <c r="D19" s="824" t="str">
        <f t="shared" si="4"/>
        <v/>
      </c>
      <c r="E19" s="824" t="str">
        <f>IF($C19&lt;1,"",(SUMIFS('09월 조업일지'!$K$12:$K$952,'09월 조업일지'!$A$12:$A$952,$A19,'09월 조업일지'!$E$12:$E$952,$B19)/$C19))</f>
        <v/>
      </c>
      <c r="F19" s="824" t="str">
        <f>IF($C19&lt;1,"",(AVERAGEIFS('09월 조업일지'!$J$12:$J$952,'09월 조업일지'!$A$12:$A$952,$A19,'09월 조업일지'!$E$12:$E$952,$B19)))</f>
        <v/>
      </c>
      <c r="G19" s="825" t="str">
        <f>IF($C19&lt;1,"",(AVERAGEIFS('09월 에너지'!$M$14:$M$949,'09월 에너지'!$A$14:$A$949,$A19,'09월 에너지'!$C$14:$C$949,$B19)))</f>
        <v/>
      </c>
      <c r="H19" s="826" t="str">
        <f>IF($C19&lt;1,"",(AVERAGEIFS('09월 조업일지'!$AJ$12:$AJ$952,'09월 조업일지'!$A$12:$A$952,$A19,'09월 조업일지'!$E$12:$E$952,$B19)))</f>
        <v/>
      </c>
      <c r="I19" s="826" t="str">
        <f>IF($C19&lt;1,"",(AVERAGEIFS('09월 조업일지'!$AL$12:$AL$952,'09월 조업일지'!$A$12:$A$952,$A19,'09월 조업일지'!$E$12:$E$952,$B19)))</f>
        <v/>
      </c>
      <c r="J19" s="827" t="str">
        <f>IF($C19&lt;1,"",(AVERAGEIFS('09월 화학성분'!G$12:G$949,'09월 화학성분'!$A$12:$A$949,$A19,'09월 화학성분'!$D$12:$D$949,$B19)))</f>
        <v/>
      </c>
      <c r="K19" s="827" t="str">
        <f>IF($C19&lt;1,"",(AVERAGEIFS('09월 화학성분'!H$12:H$949,'09월 화학성분'!$A$12:$A$949,$A19,'09월 화학성분'!$D$12:$D$949,$B19)))</f>
        <v/>
      </c>
      <c r="L19" s="827" t="str">
        <f>IF($C19&lt;1,"",(AVERAGEIFS('09월 화학성분'!I$12:I$949,'09월 화학성분'!$A$12:$A$949,$A19,'09월 화학성분'!$D$12:$D$949,$B19)))</f>
        <v/>
      </c>
      <c r="M19" s="827" t="str">
        <f>IF($C19&lt;1,"",(AVERAGEIFS('09월 화학성분'!J$12:J$949,'09월 화학성분'!$A$12:$A$949,$A19,'09월 화학성분'!$D$12:$D$949,$B19)))</f>
        <v/>
      </c>
      <c r="N19" s="827" t="str">
        <f>IF($C19&lt;1,"",(AVERAGEIFS('09월 화학성분'!K$12:K$949,'09월 화학성분'!$A$12:$A$949,$A19,'09월 화학성분'!$D$12:$D$949,$B19)))</f>
        <v/>
      </c>
      <c r="O19" s="827" t="str">
        <f>IF($C19&lt;1,"",(AVERAGEIFS('09월 화학성분'!L$12:L$949,'09월 화학성분'!$A$12:$A$949,$A19,'09월 화학성분'!$D$12:$D$949,$B19)))</f>
        <v/>
      </c>
      <c r="P19" s="827" t="str">
        <f>IF($C19&lt;1,"",(AVERAGEIFS('09월 화학성분'!M$12:M$949,'09월 화학성분'!$A$12:$A$949,$A19,'09월 화학성분'!$D$12:$D$949,$B19)))</f>
        <v/>
      </c>
      <c r="Q19" s="827" t="str">
        <f>IFERROR(IF($C19&lt;1,"",(AVERAGEIFS('09월 조업일지'!$AA$12:$AA$952,'09월 조업일지'!$A$12:$A$952,$A19,'09월 조업일지'!$E$12:$E$952,$B19))),"")</f>
        <v/>
      </c>
      <c r="R19" s="827" t="str">
        <f>IF($C19&lt;1,"",(AVERAGEIFS('09월 조업일지'!$AK$12:$AK$952,'09월 조업일지'!$A$12:$A$952,$A19,'09월 조업일지'!$E$12:$E$952,$B19)))</f>
        <v/>
      </c>
      <c r="S19" s="827"/>
      <c r="T19" s="827"/>
      <c r="U19" s="827" t="str">
        <f>IF($C19&lt;1,"",(AVERAGEIFS('09월 화학성분'!$G$12:$G$949,'09월 화학성분'!$A$12:$A$949,$A19,'09월 화학성분'!$D$12:$D$949,$B19)))</f>
        <v/>
      </c>
      <c r="V19" s="827" t="str">
        <f>IF($C19&lt;1,"",(AVERAGEIFS('09월 조업일지'!$AI$12:$AI$952,'09월 조업일지'!$A$12:$A$952,$A19,'09월 조업일지'!$E$12:$E$952,$B19)))</f>
        <v/>
      </c>
      <c r="W19" s="828" t="str">
        <f>IF($C19&lt;1,"",(AVERAGEIFS('09월 화학성분'!$AM$12:$AM$949,'09월 화학성분'!$A$12:$A$949,$A19,'09월 화학성분'!$D$12:$D$949,$B19)))</f>
        <v/>
      </c>
      <c r="X19" s="829" t="str">
        <f>IF($C19&lt;1,"",(AVERAGEIFS('09월 화학성분'!N$12:N$949,'09월 화학성분'!$A$12:$A$949,$A19,'09월 화학성분'!$D$12:$D$949,$B19)))</f>
        <v/>
      </c>
      <c r="Y19" s="829" t="str">
        <f>IF($C19&lt;1,"",(AVERAGEIFS('09월 화학성분'!O$12:O$949,'09월 화학성분'!$A$12:$A$949,$A19,'09월 화학성분'!$D$12:$D$949,$B19)))</f>
        <v/>
      </c>
      <c r="Z19" s="829" t="str">
        <f>IF($C19&lt;1,"",(AVERAGEIFS('09월 화학성분'!P$12:P$949,'09월 화학성분'!$A$12:$A$949,$A19,'09월 화학성분'!$D$12:$D$949,$B19)))</f>
        <v/>
      </c>
      <c r="AA19" s="829" t="str">
        <f>IF($C19&lt;1,"",(AVERAGEIFS('09월 화학성분'!Q$12:Q$949,'09월 화학성분'!$A$12:$A$949,$A19,'09월 화학성분'!$D$12:$D$949,$B19)))</f>
        <v/>
      </c>
      <c r="AB19" s="829" t="str">
        <f>IF($C19&lt;1,"",(AVERAGEIFS('09월 화학성분'!R$12:R$949,'09월 화학성분'!$A$12:$A$949,$A19,'09월 화학성분'!$D$12:$D$949,$B19)))</f>
        <v/>
      </c>
      <c r="AC19" s="829" t="str">
        <f>IF($C19&lt;1,"",(AVERAGEIFS('09월 화학성분'!U$12:U$949,'09월 화학성분'!$A$12:$A$949,$A19,'09월 화학성분'!$D$12:$D$949,$B19)))</f>
        <v/>
      </c>
      <c r="AD19" s="829" t="str">
        <f>IF($C19&lt;1,"",(AVERAGEIFS('09월 화학성분'!V$12:V$949,'09월 화학성분'!$A$12:$A$949,$A19,'09월 화학성분'!$D$12:$D$949,$B19)))</f>
        <v/>
      </c>
      <c r="AE19" s="829" t="str">
        <f>IF($C19&lt;1,"",(AVERAGEIFS('09월 화학성분'!W$12:W$949,'09월 화학성분'!$A$12:$A$949,$A19,'09월 화학성분'!$D$12:$D$949,$B19)))</f>
        <v/>
      </c>
      <c r="AF19" s="829" t="str">
        <f>IF($C19&lt;1,"",(AVERAGEIFS('09월 화학성분'!AA$12:AA$949,'09월 화학성분'!$A$12:$A$949,$A19,'09월 화학성분'!$D$12:$D$949,$B19)))</f>
        <v/>
      </c>
      <c r="AG19" s="829" t="str">
        <f>IF($C19&lt;1,"",(AVERAGEIFS('09월 화학성분'!#REF!,'09월 화학성분'!$A$12:$A$949,$A19,'09월 화학성분'!$D$12:$D$949,$B19)))</f>
        <v/>
      </c>
      <c r="AH19" s="829" t="str">
        <f>IF($C19&lt;1,"",(AVERAGEIFS('09월 화학성분'!AB$12:AB$949,'09월 화학성분'!$A$12:$A$949,$A19,'09월 화학성분'!$D$12:$D$949,$B19)))</f>
        <v/>
      </c>
      <c r="AI19" s="829" t="str">
        <f>IF($C19&lt;1,"",(AVERAGEIFS('09월 화학성분'!AC$12:AC$949,'09월 화학성분'!$A$12:$A$949,$A19,'09월 화학성분'!$D$12:$D$949,$B19)))</f>
        <v/>
      </c>
      <c r="AJ19" s="829" t="str">
        <f>IF($C19&lt;1,"",(AVERAGEIFS('09월 화학성분'!AD$12:AD$949,'09월 화학성분'!$A$12:$A$949,$A19,'09월 화학성분'!$D$12:$D$949,$B19)))</f>
        <v/>
      </c>
      <c r="AK19" s="829" t="str">
        <f>IF($C19&lt;1,"",(AVERAGEIFS('09월 화학성분'!AF$12:AF$949,'09월 화학성분'!$A$12:$A$949,$A19,'09월 화학성분'!$D$12:$D$949,$B19)))</f>
        <v/>
      </c>
      <c r="AL19" s="829" t="str">
        <f>IF($C19&lt;1,"",(AVERAGEIFS('09월 화학성분'!AG$12:AG$949,'09월 화학성분'!$A$12:$A$949,$A19,'09월 화학성분'!$D$12:$D$949,$B19)))</f>
        <v/>
      </c>
      <c r="AM19" s="829" t="str">
        <f>IF($C19&lt;1,"",(AVERAGEIFS('09월 화학성분'!AH$12:AH$949,'09월 화학성분'!$A$12:$A$949,$A19,'09월 화학성분'!$D$12:$D$949,$B19)))</f>
        <v/>
      </c>
      <c r="AN19" s="829" t="str">
        <f>IF($C19&lt;1,"",(AVERAGEIFS('09월 화학성분'!AI$12:AI$949,'09월 화학성분'!$A$12:$A$949,$A19,'09월 화학성분'!$D$12:$D$949,$B19)))</f>
        <v/>
      </c>
      <c r="AO19" s="829" t="str">
        <f>IF($C19&lt;1,"",(AVERAGEIFS('09월 화학성분'!AJ$12:AJ$949,'09월 화학성분'!$A$12:$A$949,$A19,'09월 화학성분'!$D$12:$D$949,$B19)))</f>
        <v/>
      </c>
      <c r="AP19" s="829" t="str">
        <f>IF($C19&lt;1,"",(AVERAGEIFS('09월 화학성분'!#REF!,'09월 화학성분'!$A$12:$A$949,$A19,'09월 화학성분'!$D$12:$D$949,$B19)))</f>
        <v/>
      </c>
      <c r="AQ19" s="829" t="str">
        <f>IF($C19&lt;1,"",(AVERAGEIFS('09월 화학성분'!AL$12:AL$949,'09월 화학성분'!$A$12:$A$949,$A19,'09월 화학성분'!$D$12:$D$949,$B19)))</f>
        <v/>
      </c>
      <c r="AR19" s="829" t="str">
        <f>IF($C19&lt;1,"",(AVERAGEIFS('09월 화학성분'!AM$12:AM$949,'09월 화학성분'!$A$12:$A$949,$A19,'09월 화학성분'!$D$12:$D$949,$B19)))</f>
        <v/>
      </c>
      <c r="AS19" s="830" t="str">
        <f>IF($C19&lt;1,"",(AVERAGEIFS('09월 화학성분'!AN$12:AN$949,'09월 화학성분'!$A$12:$A$949,$A19,'09월 화학성분'!$D$12:$D$949,$B19)))</f>
        <v/>
      </c>
      <c r="AT19" s="830" t="str">
        <f>IF($C19&lt;1,"",(AVERAGEIFS('09월 화학성분'!AO$12:AO$949,'09월 화학성분'!$A$12:$A$949,$A19,'09월 화학성분'!$D$12:$D$949,$B19)))</f>
        <v/>
      </c>
      <c r="AU19" s="831" t="str">
        <f>IF($C19&lt;1,"",(AVERAGEIFS('09월 화학성분'!AP$12:AP$949,'09월 화학성분'!$A$12:$A$949,$A19,'09월 화학성분'!$D$12:$D$949,$B19)))</f>
        <v/>
      </c>
      <c r="AV19" s="832" t="str">
        <f>IF($C19&lt;1,"",(AVERAGEIFS('09월 고철장입'!G$14:G$949,'09월 고철장입'!$A$14:$A$949,$A19,'09월 고철장입'!$C$14:$C$949,$B19))/1000)</f>
        <v/>
      </c>
      <c r="AW19" s="832" t="str">
        <f>IF($C19&lt;1,"",(AVERAGEIFS('09월 고철장입'!H$14:H$949,'09월 고철장입'!$A$14:$A$949,$A19,'09월 고철장입'!$C$14:$C$949,$B19))/1000)</f>
        <v/>
      </c>
      <c r="AX19" s="832" t="str">
        <f>IF($C19&lt;1,"",(AVERAGEIFS('09월 고철장입'!I$14:I$949,'09월 고철장입'!$A$14:$A$949,$A19,'09월 고철장입'!$C$14:$C$949,$B19))/1000)</f>
        <v/>
      </c>
      <c r="AY19" s="832" t="str">
        <f>IF($C19&lt;1,"",(AVERAGEIFS('09월 고철장입'!J$14:J$949,'09월 고철장입'!$A$14:$A$949,$A19,'09월 고철장입'!$C$14:$C$949,$B19))/1000)</f>
        <v/>
      </c>
      <c r="AZ19" s="832" t="str">
        <f>IF($C19&lt;1,"",(AVERAGEIFS('09월 고철장입'!K$14:K$949,'09월 고철장입'!$A$14:$A$949,$A19,'09월 고철장입'!$C$14:$C$949,$B19))/1000)</f>
        <v/>
      </c>
      <c r="BA19" s="832" t="str">
        <f>IF($C19&lt;1,"",(AVERAGEIFS('09월 고철장입'!L$14:L$949,'09월 고철장입'!$A$14:$A$949,$A19,'09월 고철장입'!$C$14:$C$949,$B19))/1000)</f>
        <v/>
      </c>
      <c r="BB19" s="832" t="str">
        <f>IF($C19&lt;1,"",(AVERAGEIFS('09월 고철장입'!M$14:M$949,'09월 고철장입'!$A$14:$A$949,$A19,'09월 고철장입'!$C$14:$C$949,$B19))/1000)</f>
        <v/>
      </c>
      <c r="BC19" s="832" t="str">
        <f>IF($C19&lt;1,"",(AVERAGEIFS('09월 고철장입'!N$14:N$949,'09월 고철장입'!$A$14:$A$949,$A19,'09월 고철장입'!$C$14:$C$949,$B19))/1000)</f>
        <v/>
      </c>
      <c r="BD19" s="832" t="str">
        <f>IF($C19&lt;1,"",(AVERAGEIFS('09월 고철장입'!O$14:O$949,'09월 고철장입'!$A$14:$A$949,$A19,'09월 고철장입'!$C$14:$C$949,$B19))/1000)</f>
        <v/>
      </c>
      <c r="BE19" s="833" t="str">
        <f>IF($C19&lt;1,"",(AVERAGEIFS('09월 고철장입'!P$14:P$949,'09월 고철장입'!$A$14:$A$949,$A19,'09월 고철장입'!$C$14:$C$949,$B19))/1000)</f>
        <v/>
      </c>
      <c r="BF19" s="833" t="str">
        <f>IF($C19&lt;1,"",(AVERAGEIFS('09월 고철장입'!Q$14:Q$949,'09월 고철장입'!$A$14:$A$949,$A19,'09월 고철장입'!$C$14:$C$949,$B19))/1000)</f>
        <v/>
      </c>
      <c r="BG19" s="833" t="str">
        <f>IF($C19&lt;1,"",(AVERAGEIFS('09월 고철장입'!S$14:S$949,'09월 고철장입'!$A$14:$A$949,$A19,'09월 고철장입'!$C$14:$C$949,$B19))/1000)</f>
        <v/>
      </c>
      <c r="BH19" s="833" t="str">
        <f>IF($C19&lt;1,"",(AVERAGEIFS('09월 고철장입'!T$14:T$949,'09월 고철장입'!$A$14:$A$949,$A19,'09월 고철장입'!$C$14:$C$949,$B19))/1000)</f>
        <v/>
      </c>
      <c r="BI19" s="833" t="str">
        <f>IF($C19&lt;1,"",(AVERAGEIFS('09월 고철장입'!U$14:U$949,'09월 고철장입'!$A$14:$A$949,$A19,'09월 고철장입'!$C$14:$C$949,$B19))/1000)</f>
        <v/>
      </c>
      <c r="BJ19" s="833" t="str">
        <f>IF($C19&lt;1,"",(AVERAGEIFS('09월 고철장입'!V$14:V$949,'09월 고철장입'!$A$14:$A$949,$A19,'09월 고철장입'!$C$14:$C$949,$B19))/1000)</f>
        <v/>
      </c>
      <c r="BK19" s="833" t="str">
        <f>IF($C19&lt;1,"",(AVERAGEIFS('09월 고철장입'!W$14:W$949,'09월 고철장입'!$A$14:$A$949,$A19,'09월 고철장입'!$C$14:$C$949,$B19))/1000)</f>
        <v/>
      </c>
      <c r="BL19" s="833" t="str">
        <f>IF($C19&lt;1,"",(AVERAGEIFS('09월 고철장입'!Y$14:Y$949,'09월 고철장입'!$A$14:$A$949,$A19,'09월 고철장입'!$C$14:$C$949,$B19))/1000)</f>
        <v/>
      </c>
      <c r="BM19" s="833" t="str">
        <f>IF($C19&lt;1,"",(AVERAGEIFS('09월 고철장입'!AB$14:AB$949,'09월 고철장입'!$A$14:$A$949,$A19,'09월 고철장입'!$C$14:$C$949,$B19))/1000)</f>
        <v/>
      </c>
      <c r="BN19" s="833" t="str">
        <f>IF($C19&lt;1,"",(AVERAGEIFS('09월 고철장입'!AC$14:AC$949,'09월 고철장입'!$A$14:$A$949,$A19,'09월 고철장입'!$C$14:$C$949,$B19))/1000)</f>
        <v/>
      </c>
      <c r="BO19" s="833" t="str">
        <f>IF($C19&lt;1,"",(AVERAGEIFS('09월 고철장입'!AD$14:AD$949,'09월 고철장입'!$A$14:$A$949,$A19,'09월 고철장입'!$C$14:$C$949,$B19))/1000)</f>
        <v/>
      </c>
      <c r="BP19" s="833" t="str">
        <f>IF($C19&lt;1,"",(AVERAGEIFS('09월 고철장입'!AE$14:AE$949,'09월 고철장입'!$A$14:$A$949,$A19,'09월 고철장입'!$C$14:$C$949,$B19))/1000)</f>
        <v/>
      </c>
      <c r="BQ19" s="832" t="str">
        <f>IF($C19&lt;1,"",(AVERAGEIFS('09월 고철장입'!AF$14:AF$949,'09월 고철장입'!$A$14:$A$949,$A19,'09월 고철장입'!$C$14:$C$949,$B19))/1000)</f>
        <v/>
      </c>
      <c r="BR19" s="832" t="str">
        <f>IF($C19&lt;1,"",(AVERAGEIFS('09월 고철장입'!AG$14:AG$949,'09월 고철장입'!$A$14:$A$949,$A19,'09월 고철장입'!$C$14:$C$949,$B19))/1000)</f>
        <v/>
      </c>
      <c r="BS19" s="832" t="str">
        <f>IF($C19&lt;1,"",(AVERAGEIFS('09월 고철장입'!AH$14:AH$949,'09월 고철장입'!$A$14:$A$949,$A19,'09월 고철장입'!$C$14:$C$949,$B19))/1000)</f>
        <v/>
      </c>
      <c r="BT19" s="832" t="str">
        <f>IF($C19&lt;1,"",(AVERAGEIFS('09월 고철장입'!AI$14:AI$949,'09월 고철장입'!$A$14:$A$949,$A19,'09월 고철장입'!$C$14:$C$949,$B19))/1000)</f>
        <v/>
      </c>
      <c r="BU19" s="834" t="str">
        <f>IF($C19&lt;1,"",(AVERAGEIFS('09월 고철장입'!AJ$14:AJ$949,'09월 고철장입'!$A$14:$A$949,$A19,'09월 고철장입'!$C$14:$C$949,$B19))/1000)</f>
        <v/>
      </c>
      <c r="BV19" s="834" t="str">
        <f>IF($C19&lt;1,"",(AVERAGEIFS('09월 고철장입'!AK$14:AK$949,'09월 고철장입'!$A$14:$A$949,$A19,'09월 고철장입'!$C$14:$C$949,$B19)))</f>
        <v/>
      </c>
      <c r="BW19" s="834" t="str">
        <f>IF($C19&lt;1,"",(AVERAGEIFS('09월 고철장입'!AL$14:AL$949,'09월 고철장입'!$A$14:$A$949,$A19,'09월 고철장입'!$C$14:$C$949,$B19))*100)</f>
        <v/>
      </c>
      <c r="BX19" s="831" t="str">
        <f>IF($C19&lt;1,"",(AVERAGEIFS('09월 에너지'!G$14:G$949,'09월 에너지'!$A$14:$A$949,$A19,'09월 에너지'!$C$14:$C$949,$B19)))</f>
        <v/>
      </c>
      <c r="BY19" s="835" t="str">
        <f>IF($C19&lt;1,"",(AVERAGEIFS('09월 에너지'!H$14:H$949,'09월 에너지'!$A$14:$A$949,$A19,'09월 에너지'!$C$14:$C$949,$B19)))</f>
        <v/>
      </c>
      <c r="BZ19" s="831" t="str">
        <f>IF($C19&lt;1,"",(AVERAGEIFS('09월 에너지'!I$14:I$949,'09월 에너지'!$A$14:$A$949,$A19,'09월 에너지'!$C$14:$C$949,$B19)))</f>
        <v/>
      </c>
      <c r="CA19" s="835" t="str">
        <f>IF($C19&lt;1,"",(AVERAGEIFS('09월 에너지'!J$14:J$949,'09월 에너지'!$A$14:$A$949,$A19,'09월 에너지'!$C$14:$C$949,$B19)))</f>
        <v/>
      </c>
      <c r="CB19" s="831" t="str">
        <f>IF($C19&lt;1,"",(AVERAGEIFS('09월 에너지'!K$14:K$949,'09월 에너지'!$A$14:$A$949,$A19,'09월 에너지'!$C$14:$C$949,$B19)))</f>
        <v/>
      </c>
      <c r="CC19" s="835" t="str">
        <f>IF($C19&lt;1,"",(AVERAGEIFS('09월 에너지'!L$14:L$949,'09월 에너지'!$A$14:$A$949,$A19,'09월 에너지'!$C$14:$C$949,$B19)))</f>
        <v/>
      </c>
      <c r="CD19" s="831" t="str">
        <f>IF($C19&lt;1,"",(AVERAGEIFS('09월 에너지'!M$14:M$949,'09월 에너지'!$A$14:$A$949,$A19,'09월 에너지'!$C$14:$C$949,$B19)))</f>
        <v/>
      </c>
      <c r="CE19" s="835" t="str">
        <f>IF($C19&lt;1,"",(AVERAGEIFS('09월 에너지'!N$14:N$949,'09월 에너지'!$A$14:$A$949,$A19,'09월 에너지'!$C$14:$C$949,$B19)))</f>
        <v/>
      </c>
      <c r="CF19" s="831" t="str">
        <f>IF($C19&lt;1,"",(AVERAGEIFS('09월 에너지'!O$14:O$949,'09월 에너지'!$A$14:$A$949,$A19,'09월 에너지'!$C$14:$C$949,$B19)))</f>
        <v/>
      </c>
      <c r="CG19" s="831" t="str">
        <f>IF($C19&lt;1,"",(AVERAGEIFS('09월 에너지'!P$14:P$949,'09월 에너지'!$A$14:$A$949,$A19,'09월 에너지'!$C$14:$C$949,$B19)))</f>
        <v/>
      </c>
      <c r="CH19" s="831" t="str">
        <f>IF($C19&lt;1,"",(AVERAGEIFS('09월 에너지'!Q$14:Q$949,'09월 에너지'!$A$14:$A$949,$A19,'09월 에너지'!$C$14:$C$949,$B19)))</f>
        <v/>
      </c>
      <c r="CI19" s="831" t="str">
        <f>IF($C19&lt;1,"",(AVERAGEIFS('09월 에너지'!R$14:R$949,'09월 에너지'!$A$14:$A$949,$A19,'09월 에너지'!$C$14:$C$949,$B19)))</f>
        <v/>
      </c>
      <c r="CJ19" s="831" t="str">
        <f>IF($C19&lt;1,"",(AVERAGEIFS('09월 에너지'!S$14:S$949,'09월 에너지'!$A$14:$A$949,$A19,'09월 에너지'!$C$14:$C$949,$B19)))</f>
        <v/>
      </c>
      <c r="CK19" s="831" t="str">
        <f>IF($C19&lt;1,"",(AVERAGEIFS('09월 에너지'!T$14:T$949,'09월 에너지'!$A$14:$A$949,$A19,'09월 에너지'!$C$14:$C$949,$B19)))</f>
        <v/>
      </c>
      <c r="CL19" s="831" t="str">
        <f>IF($C19&lt;1,"",(AVERAGEIFS('09월 에너지'!U$14:U$949,'09월 에너지'!$A$14:$A$949,$A19,'09월 에너지'!$C$14:$C$949,$B19)))</f>
        <v/>
      </c>
      <c r="CM19" s="835" t="str">
        <f>IF($C19&lt;1,"",(AVERAGEIFS('09월 에너지'!V$14:V$949,'09월 에너지'!$A$14:$A$949,$A19,'09월 에너지'!$C$14:$C$949,$B19)))</f>
        <v/>
      </c>
      <c r="CN19" s="835" t="str">
        <f>IF($C19&lt;1,"",(AVERAGEIFS('09월 에너지'!W$14:W$949,'09월 에너지'!$A$14:$A$949,$A19,'09월 에너지'!$C$14:$C$949,$B19)))</f>
        <v/>
      </c>
      <c r="CO19" s="831" t="str">
        <f>IF($C19&lt;1,"",(AVERAGEIFS('09월 에너지'!X$14:X$949,'09월 에너지'!$A$14:$A$949,$A19,'09월 에너지'!$C$14:$C$949,$B19)))</f>
        <v/>
      </c>
      <c r="CP19" s="835" t="str">
        <f>IF($C19&lt;1,"",(AVERAGEIFS('09월 에너지'!Y$14:Y$949,'09월 에너지'!$A$14:$A$949,$A19,'09월 에너지'!$C$14:$C$949,$B19)))</f>
        <v/>
      </c>
      <c r="CQ19" s="835" t="str">
        <f>IF($C19&lt;1,"",(AVERAGEIFS('09월 에너지'!Z$14:Z$949,'09월 에너지'!$A$14:$A$949,$A19,'09월 에너지'!$C$14:$C$949,$B19)))</f>
        <v/>
      </c>
      <c r="CR19" s="835" t="str">
        <f>IF($C19&lt;1,"",(AVERAGEIFS('09월 에너지'!AA$14:AA$949,'09월 에너지'!$A$14:$A$949,$A19,'09월 에너지'!$C$14:$C$949,$B19)))</f>
        <v/>
      </c>
      <c r="CS19" s="835" t="str">
        <f>IF($C19&lt;1,"",(AVERAGEIFS('09월 에너지'!AB$14:AB$949,'09월 에너지'!$A$14:$A$949,$A19,'09월 에너지'!$C$14:$C$949,$B19)))</f>
        <v/>
      </c>
      <c r="CT19" s="831" t="str">
        <f>IF($C19&lt;1,"",(AVERAGEIFS('09월 에너지'!AC$14:AC$949,'09월 에너지'!$A$14:$A$949,$A19,'09월 에너지'!$C$14:$C$949,$B19)))</f>
        <v/>
      </c>
      <c r="CU19" s="836" t="str">
        <f>IF($C19&lt;1,"",(AVERAGEIFS('09월 에너지'!AD$14:AD$949,'09월 에너지'!$A$14:$A$949,$A19,'09월 에너지'!$C$14:$C$949,$B19)))</f>
        <v/>
      </c>
      <c r="CV19" s="837" t="str">
        <f>IF($C19&lt;1,"",(AVERAGEIFS('09월 에너지'!AE$14:AE$949,'09월 에너지'!$A$14:$A$949,$A19,'09월 에너지'!$C$14:$C$949,$B19)))</f>
        <v/>
      </c>
      <c r="CW19" s="831" t="str">
        <f>IF($C19&lt;1,"",(AVERAGEIFS('09월 에너지'!AF$14:AF$949,'09월 에너지'!$A$14:$A$949,$A19,'09월 에너지'!$C$14:$C$949,$B19)))</f>
        <v/>
      </c>
      <c r="CX19" s="831" t="str">
        <f>IF($C19&lt;1,"",(AVERAGEIFS('09월 에너지'!AG$14:AG$949,'09월 에너지'!$A$14:$A$949,$A19,'09월 에너지'!$C$14:$C$949,$B19)))</f>
        <v/>
      </c>
      <c r="CY19" s="831" t="str">
        <f>IF($C19&lt;1,"",(AVERAGEIFS('09월 에너지'!AH$14:AH$949,'09월 에너지'!$A$14:$A$949,$A19,'09월 에너지'!$C$14:$C$949,$B19)))</f>
        <v/>
      </c>
      <c r="CZ19" s="831" t="str">
        <f>IF($C19&lt;1,"",(AVERAGEIFS('09월 에너지'!AI$14:AI$949,'09월 에너지'!$A$14:$A$949,$A19,'09월 에너지'!$C$14:$C$949,$B19)))</f>
        <v/>
      </c>
      <c r="DA19" s="838" t="str">
        <f>IF($C19&lt;1,"",(AVERAGEIFS('09월 에너지'!AJ$14:AJ$949,'09월 에너지'!$A$14:$A$949,$A19,'09월 에너지'!$C$14:$C$949,$B19)))</f>
        <v/>
      </c>
    </row>
    <row r="20" spans="1:105" ht="13.5" customHeight="1" thickBot="1">
      <c r="A20" s="851">
        <f t="shared" si="2"/>
        <v>44929</v>
      </c>
      <c r="B20" s="852" t="s">
        <v>94</v>
      </c>
      <c r="C20" s="841">
        <f>COUNTIFS('09월 조업일지'!$A$12:$A$952,A16,'09월 조업일지'!$E$12:$E$952,B20)</f>
        <v>0</v>
      </c>
      <c r="D20" s="842" t="str">
        <f t="shared" si="4"/>
        <v/>
      </c>
      <c r="E20" s="842" t="str">
        <f>IF($C20&lt;1,"",(SUMIFS('09월 조업일지'!$K$12:$K$952,'09월 조업일지'!$A$12:$A$952,$A20,'09월 조업일지'!$E$12:$E$952,$B20)/$C20))</f>
        <v/>
      </c>
      <c r="F20" s="842" t="str">
        <f>IF($C20&lt;1,"",(AVERAGEIFS('09월 조업일지'!$J$12:$J$952,'09월 조업일지'!$A$12:$A$952,$A20,'09월 조업일지'!$E$12:$E$952,$B20)))</f>
        <v/>
      </c>
      <c r="G20" s="843" t="str">
        <f>IF($C20&lt;1,"",(AVERAGEIFS('09월 에너지'!$M$14:$M$949,'09월 에너지'!$A$14:$A$949,$A20,'09월 에너지'!$C$14:$C$949,$B20)))</f>
        <v/>
      </c>
      <c r="H20" s="844" t="str">
        <f>IF($C20&lt;1,"",(AVERAGEIFS('09월 조업일지'!$AJ$12:$AJ$952,'09월 조업일지'!$A$12:$A$952,$A20,'09월 조업일지'!$E$12:$E$952,$B20)))</f>
        <v/>
      </c>
      <c r="I20" s="844" t="str">
        <f>IF($C20&lt;1,"",(AVERAGEIFS('09월 조업일지'!$AL$12:$AL$952,'09월 조업일지'!$A$12:$A$952,$A20,'09월 조업일지'!$E$12:$E$952,$B20)))</f>
        <v/>
      </c>
      <c r="J20" s="845" t="str">
        <f>IF($C20&lt;1,"",(AVERAGEIFS('09월 화학성분'!G$12:G$949,'09월 화학성분'!$A$12:$A$949,$A20,'09월 화학성분'!$D$12:$D$949,$B20)))</f>
        <v/>
      </c>
      <c r="K20" s="845" t="str">
        <f>IF($C20&lt;1,"",(AVERAGEIFS('09월 화학성분'!H$12:H$949,'09월 화학성분'!$A$12:$A$949,$A20,'09월 화학성분'!$D$12:$D$949,$B20)))</f>
        <v/>
      </c>
      <c r="L20" s="845" t="str">
        <f>IF($C20&lt;1,"",(AVERAGEIFS('09월 화학성분'!I$12:I$949,'09월 화학성분'!$A$12:$A$949,$A20,'09월 화학성분'!$D$12:$D$949,$B20)))</f>
        <v/>
      </c>
      <c r="M20" s="845" t="str">
        <f>IF($C20&lt;1,"",(AVERAGEIFS('09월 화학성분'!J$12:J$949,'09월 화학성분'!$A$12:$A$949,$A20,'09월 화학성분'!$D$12:$D$949,$B20)))</f>
        <v/>
      </c>
      <c r="N20" s="845" t="str">
        <f>IF($C20&lt;1,"",(AVERAGEIFS('09월 화학성분'!K$12:K$949,'09월 화학성분'!$A$12:$A$949,$A20,'09월 화학성분'!$D$12:$D$949,$B20)))</f>
        <v/>
      </c>
      <c r="O20" s="845" t="str">
        <f>IF($C20&lt;1,"",(AVERAGEIFS('09월 화학성분'!L$12:L$949,'09월 화학성분'!$A$12:$A$949,$A20,'09월 화학성분'!$D$12:$D$949,$B20)))</f>
        <v/>
      </c>
      <c r="P20" s="845" t="str">
        <f>IF($C20&lt;1,"",(AVERAGEIFS('09월 화학성분'!M$12:M$949,'09월 화학성분'!$A$12:$A$949,$A20,'09월 화학성분'!$D$12:$D$949,$B20)))</f>
        <v/>
      </c>
      <c r="Q20" s="827" t="str">
        <f>IFERROR(IF($C20&lt;1,"",(AVERAGEIFS('09월 조업일지'!$AA$12:$AA$952,'09월 조업일지'!$A$12:$A$952,$A20,'09월 조업일지'!$E$12:$E$952,$B20))),"")</f>
        <v/>
      </c>
      <c r="R20" s="845" t="str">
        <f>IF($C20&lt;1,"",(AVERAGEIFS('09월 조업일지'!$AK$12:$AK$952,'09월 조업일지'!$A$12:$A$952,$A20,'09월 조업일지'!$E$12:$E$952,$B20)))</f>
        <v/>
      </c>
      <c r="S20" s="845"/>
      <c r="T20" s="845"/>
      <c r="U20" s="845" t="str">
        <f>IF($C20&lt;1,"",(AVERAGEIFS('09월 화학성분'!$G$12:$G$949,'09월 화학성분'!$A$12:$A$949,$A20,'09월 화학성분'!$D$12:$D$949,$B20)))</f>
        <v/>
      </c>
      <c r="V20" s="845" t="str">
        <f>IF($C20&lt;1,"",(AVERAGEIFS('09월 조업일지'!$AI$12:$AI$952,'09월 조업일지'!$A$12:$A$952,$A20,'09월 조업일지'!$E$12:$E$952,$B20)))</f>
        <v/>
      </c>
      <c r="W20" s="846" t="str">
        <f>IF($C20&lt;1,"",(AVERAGEIFS('09월 화학성분'!$AM$12:$AM$949,'09월 화학성분'!$A$12:$A$949,$A20,'09월 화학성분'!$D$12:$D$949,$B20)))</f>
        <v/>
      </c>
      <c r="X20" s="829" t="str">
        <f>IF($C20&lt;1,"",(AVERAGEIFS('09월 화학성분'!N$12:N$949,'09월 화학성분'!$A$12:$A$949,$A20,'09월 화학성분'!$D$12:$D$949,$B20)))</f>
        <v/>
      </c>
      <c r="Y20" s="829" t="str">
        <f>IF($C20&lt;1,"",(AVERAGEIFS('09월 화학성분'!O$12:O$949,'09월 화학성분'!$A$12:$A$949,$A20,'09월 화학성분'!$D$12:$D$949,$B20)))</f>
        <v/>
      </c>
      <c r="Z20" s="829" t="str">
        <f>IF($C20&lt;1,"",(AVERAGEIFS('09월 화학성분'!P$12:P$949,'09월 화학성분'!$A$12:$A$949,$A20,'09월 화학성분'!$D$12:$D$949,$B20)))</f>
        <v/>
      </c>
      <c r="AA20" s="829" t="str">
        <f>IF($C20&lt;1,"",(AVERAGEIFS('09월 화학성분'!Q$12:Q$949,'09월 화학성분'!$A$12:$A$949,$A20,'09월 화학성분'!$D$12:$D$949,$B20)))</f>
        <v/>
      </c>
      <c r="AB20" s="829" t="str">
        <f>IF($C20&lt;1,"",(AVERAGEIFS('09월 화학성분'!R$12:R$949,'09월 화학성분'!$A$12:$A$949,$A20,'09월 화학성분'!$D$12:$D$949,$B20)))</f>
        <v/>
      </c>
      <c r="AC20" s="829" t="str">
        <f>IF($C20&lt;1,"",(AVERAGEIFS('09월 화학성분'!U$12:U$949,'09월 화학성분'!$A$12:$A$949,$A20,'09월 화학성분'!$D$12:$D$949,$B20)))</f>
        <v/>
      </c>
      <c r="AD20" s="829" t="str">
        <f>IF($C20&lt;1,"",(AVERAGEIFS('09월 화학성분'!V$12:V$949,'09월 화학성분'!$A$12:$A$949,$A20,'09월 화학성분'!$D$12:$D$949,$B20)))</f>
        <v/>
      </c>
      <c r="AE20" s="829" t="str">
        <f>IF($C20&lt;1,"",(AVERAGEIFS('09월 화학성분'!W$12:W$949,'09월 화학성분'!$A$12:$A$949,$A20,'09월 화학성분'!$D$12:$D$949,$B20)))</f>
        <v/>
      </c>
      <c r="AF20" s="829" t="str">
        <f>IF($C20&lt;1,"",(AVERAGEIFS('09월 화학성분'!AA$12:AA$949,'09월 화학성분'!$A$12:$A$949,$A20,'09월 화학성분'!$D$12:$D$949,$B20)))</f>
        <v/>
      </c>
      <c r="AG20" s="829" t="str">
        <f>IF($C20&lt;1,"",(AVERAGEIFS('09월 화학성분'!#REF!,'09월 화학성분'!$A$12:$A$949,$A20,'09월 화학성분'!$D$12:$D$949,$B20)))</f>
        <v/>
      </c>
      <c r="AH20" s="829" t="str">
        <f>IF($C20&lt;1,"",(AVERAGEIFS('09월 화학성분'!AB$12:AB$949,'09월 화학성분'!$A$12:$A$949,$A20,'09월 화학성분'!$D$12:$D$949,$B20)))</f>
        <v/>
      </c>
      <c r="AI20" s="829" t="str">
        <f>IF($C20&lt;1,"",(AVERAGEIFS('09월 화학성분'!AC$12:AC$949,'09월 화학성분'!$A$12:$A$949,$A20,'09월 화학성분'!$D$12:$D$949,$B20)))</f>
        <v/>
      </c>
      <c r="AJ20" s="829" t="str">
        <f>IF($C20&lt;1,"",(AVERAGEIFS('09월 화학성분'!AD$12:AD$949,'09월 화학성분'!$A$12:$A$949,$A20,'09월 화학성분'!$D$12:$D$949,$B20)))</f>
        <v/>
      </c>
      <c r="AK20" s="829" t="str">
        <f>IF($C20&lt;1,"",(AVERAGEIFS('09월 화학성분'!AF$12:AF$949,'09월 화학성분'!$A$12:$A$949,$A20,'09월 화학성분'!$D$12:$D$949,$B20)))</f>
        <v/>
      </c>
      <c r="AL20" s="829" t="str">
        <f>IF($C20&lt;1,"",(AVERAGEIFS('09월 화학성분'!AG$12:AG$949,'09월 화학성분'!$A$12:$A$949,$A20,'09월 화학성분'!$D$12:$D$949,$B20)))</f>
        <v/>
      </c>
      <c r="AM20" s="829" t="str">
        <f>IF($C20&lt;1,"",(AVERAGEIFS('09월 화학성분'!AH$12:AH$949,'09월 화학성분'!$A$12:$A$949,$A20,'09월 화학성분'!$D$12:$D$949,$B20)))</f>
        <v/>
      </c>
      <c r="AN20" s="829" t="str">
        <f>IF($C20&lt;1,"",(AVERAGEIFS('09월 화학성분'!AI$12:AI$949,'09월 화학성분'!$A$12:$A$949,$A20,'09월 화학성분'!$D$12:$D$949,$B20)))</f>
        <v/>
      </c>
      <c r="AO20" s="829" t="str">
        <f>IF($C20&lt;1,"",(AVERAGEIFS('09월 화학성분'!AJ$12:AJ$949,'09월 화학성분'!$A$12:$A$949,$A20,'09월 화학성분'!$D$12:$D$949,$B20)))</f>
        <v/>
      </c>
      <c r="AP20" s="829" t="str">
        <f>IF($C20&lt;1,"",(AVERAGEIFS('09월 화학성분'!#REF!,'09월 화학성분'!$A$12:$A$949,$A20,'09월 화학성분'!$D$12:$D$949,$B20)))</f>
        <v/>
      </c>
      <c r="AQ20" s="829" t="str">
        <f>IF($C20&lt;1,"",(AVERAGEIFS('09월 화학성분'!AL$12:AL$949,'09월 화학성분'!$A$12:$A$949,$A20,'09월 화학성분'!$D$12:$D$949,$B20)))</f>
        <v/>
      </c>
      <c r="AR20" s="829" t="str">
        <f>IF($C20&lt;1,"",(AVERAGEIFS('09월 화학성분'!AM$12:AM$949,'09월 화학성분'!$A$12:$A$949,$A20,'09월 화학성분'!$D$12:$D$949,$B20)))</f>
        <v/>
      </c>
      <c r="AS20" s="830" t="str">
        <f>IF($C20&lt;1,"",(AVERAGEIFS('09월 화학성분'!AN$12:AN$949,'09월 화학성분'!$A$12:$A$949,$A20,'09월 화학성분'!$D$12:$D$949,$B20)))</f>
        <v/>
      </c>
      <c r="AT20" s="830" t="str">
        <f>IF($C20&lt;1,"",(AVERAGEIFS('09월 화학성분'!AO$12:AO$949,'09월 화학성분'!$A$12:$A$949,$A20,'09월 화학성분'!$D$12:$D$949,$B20)))</f>
        <v/>
      </c>
      <c r="AU20" s="831" t="str">
        <f>IF($C20&lt;1,"",(AVERAGEIFS('09월 화학성분'!AP$12:AP$949,'09월 화학성분'!$A$12:$A$949,$A20,'09월 화학성분'!$D$12:$D$949,$B20)))</f>
        <v/>
      </c>
      <c r="AV20" s="832" t="str">
        <f>IF($C20&lt;1,"",(AVERAGEIFS('09월 고철장입'!G$14:G$949,'09월 고철장입'!$A$14:$A$949,$A20,'09월 고철장입'!$C$14:$C$949,$B20))/1000)</f>
        <v/>
      </c>
      <c r="AW20" s="832" t="str">
        <f>IF($C20&lt;1,"",(AVERAGEIFS('09월 고철장입'!H$14:H$949,'09월 고철장입'!$A$14:$A$949,$A20,'09월 고철장입'!$C$14:$C$949,$B20))/1000)</f>
        <v/>
      </c>
      <c r="AX20" s="832" t="str">
        <f>IF($C20&lt;1,"",(AVERAGEIFS('09월 고철장입'!I$14:I$949,'09월 고철장입'!$A$14:$A$949,$A20,'09월 고철장입'!$C$14:$C$949,$B20))/1000)</f>
        <v/>
      </c>
      <c r="AY20" s="832" t="str">
        <f>IF($C20&lt;1,"",(AVERAGEIFS('09월 고철장입'!J$14:J$949,'09월 고철장입'!$A$14:$A$949,$A20,'09월 고철장입'!$C$14:$C$949,$B20))/1000)</f>
        <v/>
      </c>
      <c r="AZ20" s="832" t="str">
        <f>IF($C20&lt;1,"",(AVERAGEIFS('09월 고철장입'!K$14:K$949,'09월 고철장입'!$A$14:$A$949,$A20,'09월 고철장입'!$C$14:$C$949,$B20))/1000)</f>
        <v/>
      </c>
      <c r="BA20" s="832" t="str">
        <f>IF($C20&lt;1,"",(AVERAGEIFS('09월 고철장입'!L$14:L$949,'09월 고철장입'!$A$14:$A$949,$A20,'09월 고철장입'!$C$14:$C$949,$B20))/1000)</f>
        <v/>
      </c>
      <c r="BB20" s="832" t="str">
        <f>IF($C20&lt;1,"",(AVERAGEIFS('09월 고철장입'!M$14:M$949,'09월 고철장입'!$A$14:$A$949,$A20,'09월 고철장입'!$C$14:$C$949,$B20))/1000)</f>
        <v/>
      </c>
      <c r="BC20" s="832" t="str">
        <f>IF($C20&lt;1,"",(AVERAGEIFS('09월 고철장입'!N$14:N$949,'09월 고철장입'!$A$14:$A$949,$A20,'09월 고철장입'!$C$14:$C$949,$B20))/1000)</f>
        <v/>
      </c>
      <c r="BD20" s="832" t="str">
        <f>IF($C20&lt;1,"",(AVERAGEIFS('09월 고철장입'!O$14:O$949,'09월 고철장입'!$A$14:$A$949,$A20,'09월 고철장입'!$C$14:$C$949,$B20))/1000)</f>
        <v/>
      </c>
      <c r="BE20" s="833" t="str">
        <f>IF($C20&lt;1,"",(AVERAGEIFS('09월 고철장입'!P$14:P$949,'09월 고철장입'!$A$14:$A$949,$A20,'09월 고철장입'!$C$14:$C$949,$B20))/1000)</f>
        <v/>
      </c>
      <c r="BF20" s="833" t="str">
        <f>IF($C20&lt;1,"",(AVERAGEIFS('09월 고철장입'!Q$14:Q$949,'09월 고철장입'!$A$14:$A$949,$A20,'09월 고철장입'!$C$14:$C$949,$B20))/1000)</f>
        <v/>
      </c>
      <c r="BG20" s="833" t="str">
        <f>IF($C20&lt;1,"",(AVERAGEIFS('09월 고철장입'!S$14:S$949,'09월 고철장입'!$A$14:$A$949,$A20,'09월 고철장입'!$C$14:$C$949,$B20))/1000)</f>
        <v/>
      </c>
      <c r="BH20" s="833" t="str">
        <f>IF($C20&lt;1,"",(AVERAGEIFS('09월 고철장입'!T$14:T$949,'09월 고철장입'!$A$14:$A$949,$A20,'09월 고철장입'!$C$14:$C$949,$B20))/1000)</f>
        <v/>
      </c>
      <c r="BI20" s="833" t="str">
        <f>IF($C20&lt;1,"",(AVERAGEIFS('09월 고철장입'!U$14:U$949,'09월 고철장입'!$A$14:$A$949,$A20,'09월 고철장입'!$C$14:$C$949,$B20))/1000)</f>
        <v/>
      </c>
      <c r="BJ20" s="833" t="str">
        <f>IF($C20&lt;1,"",(AVERAGEIFS('09월 고철장입'!V$14:V$949,'09월 고철장입'!$A$14:$A$949,$A20,'09월 고철장입'!$C$14:$C$949,$B20))/1000)</f>
        <v/>
      </c>
      <c r="BK20" s="833" t="str">
        <f>IF($C20&lt;1,"",(AVERAGEIFS('09월 고철장입'!W$14:W$949,'09월 고철장입'!$A$14:$A$949,$A20,'09월 고철장입'!$C$14:$C$949,$B20))/1000)</f>
        <v/>
      </c>
      <c r="BL20" s="833" t="str">
        <f>IF($C20&lt;1,"",(AVERAGEIFS('09월 고철장입'!Y$14:Y$949,'09월 고철장입'!$A$14:$A$949,$A20,'09월 고철장입'!$C$14:$C$949,$B20))/1000)</f>
        <v/>
      </c>
      <c r="BM20" s="833" t="str">
        <f>IF($C20&lt;1,"",(AVERAGEIFS('09월 고철장입'!AB$14:AB$949,'09월 고철장입'!$A$14:$A$949,$A20,'09월 고철장입'!$C$14:$C$949,$B20))/1000)</f>
        <v/>
      </c>
      <c r="BN20" s="833" t="str">
        <f>IF($C20&lt;1,"",(AVERAGEIFS('09월 고철장입'!AC$14:AC$949,'09월 고철장입'!$A$14:$A$949,$A20,'09월 고철장입'!$C$14:$C$949,$B20))/1000)</f>
        <v/>
      </c>
      <c r="BO20" s="833" t="str">
        <f>IF($C20&lt;1,"",(AVERAGEIFS('09월 고철장입'!AD$14:AD$949,'09월 고철장입'!$A$14:$A$949,$A20,'09월 고철장입'!$C$14:$C$949,$B20))/1000)</f>
        <v/>
      </c>
      <c r="BP20" s="833" t="str">
        <f>IF($C20&lt;1,"",(AVERAGEIFS('09월 고철장입'!AE$14:AE$949,'09월 고철장입'!$A$14:$A$949,$A20,'09월 고철장입'!$C$14:$C$949,$B20))/1000)</f>
        <v/>
      </c>
      <c r="BQ20" s="832" t="str">
        <f>IF($C20&lt;1,"",(AVERAGEIFS('09월 고철장입'!AF$14:AF$949,'09월 고철장입'!$A$14:$A$949,$A20,'09월 고철장입'!$C$14:$C$949,$B20))/1000)</f>
        <v/>
      </c>
      <c r="BR20" s="832" t="str">
        <f>IF($C20&lt;1,"",(AVERAGEIFS('09월 고철장입'!AG$14:AG$949,'09월 고철장입'!$A$14:$A$949,$A20,'09월 고철장입'!$C$14:$C$949,$B20))/1000)</f>
        <v/>
      </c>
      <c r="BS20" s="832" t="str">
        <f>IF($C20&lt;1,"",(AVERAGEIFS('09월 고철장입'!AH$14:AH$949,'09월 고철장입'!$A$14:$A$949,$A20,'09월 고철장입'!$C$14:$C$949,$B20))/1000)</f>
        <v/>
      </c>
      <c r="BT20" s="832" t="str">
        <f>IF($C20&lt;1,"",(AVERAGEIFS('09월 고철장입'!AI$14:AI$949,'09월 고철장입'!$A$14:$A$949,$A20,'09월 고철장입'!$C$14:$C$949,$B20))/1000)</f>
        <v/>
      </c>
      <c r="BU20" s="834" t="str">
        <f>IF($C20&lt;1,"",(AVERAGEIFS('09월 고철장입'!AJ$14:AJ$949,'09월 고철장입'!$A$14:$A$949,$A20,'09월 고철장입'!$C$14:$C$949,$B20))/1000)</f>
        <v/>
      </c>
      <c r="BV20" s="834" t="str">
        <f>IF($C20&lt;1,"",(AVERAGEIFS('09월 고철장입'!AK$14:AK$949,'09월 고철장입'!$A$14:$A$949,$A20,'09월 고철장입'!$C$14:$C$949,$B20)))</f>
        <v/>
      </c>
      <c r="BW20" s="834" t="str">
        <f>IF($C20&lt;1,"",(AVERAGEIFS('09월 고철장입'!AL$14:AL$949,'09월 고철장입'!$A$14:$A$949,$A20,'09월 고철장입'!$C$14:$C$949,$B20))*100)</f>
        <v/>
      </c>
      <c r="BX20" s="831" t="str">
        <f>IF($C20&lt;1,"",(AVERAGEIFS('09월 에너지'!G$14:G$949,'09월 에너지'!$A$14:$A$949,$A20,'09월 에너지'!$C$14:$C$949,$B20)))</f>
        <v/>
      </c>
      <c r="BY20" s="835" t="str">
        <f>IF($C20&lt;1,"",(AVERAGEIFS('09월 에너지'!H$14:H$949,'09월 에너지'!$A$14:$A$949,$A20,'09월 에너지'!$C$14:$C$949,$B20)))</f>
        <v/>
      </c>
      <c r="BZ20" s="831" t="str">
        <f>IF($C20&lt;1,"",(AVERAGEIFS('09월 에너지'!I$14:I$949,'09월 에너지'!$A$14:$A$949,$A20,'09월 에너지'!$C$14:$C$949,$B20)))</f>
        <v/>
      </c>
      <c r="CA20" s="835" t="str">
        <f>IF($C20&lt;1,"",(AVERAGEIFS('09월 에너지'!J$14:J$949,'09월 에너지'!$A$14:$A$949,$A20,'09월 에너지'!$C$14:$C$949,$B20)))</f>
        <v/>
      </c>
      <c r="CB20" s="831" t="str">
        <f>IF($C20&lt;1,"",(AVERAGEIFS('09월 에너지'!K$14:K$949,'09월 에너지'!$A$14:$A$949,$A20,'09월 에너지'!$C$14:$C$949,$B20)))</f>
        <v/>
      </c>
      <c r="CC20" s="835" t="str">
        <f>IF($C20&lt;1,"",(AVERAGEIFS('09월 에너지'!L$14:L$949,'09월 에너지'!$A$14:$A$949,$A20,'09월 에너지'!$C$14:$C$949,$B20)))</f>
        <v/>
      </c>
      <c r="CD20" s="831" t="str">
        <f>IF($C20&lt;1,"",(AVERAGEIFS('09월 에너지'!M$14:M$949,'09월 에너지'!$A$14:$A$949,$A20,'09월 에너지'!$C$14:$C$949,$B20)))</f>
        <v/>
      </c>
      <c r="CE20" s="835" t="str">
        <f>IF($C20&lt;1,"",(AVERAGEIFS('09월 에너지'!N$14:N$949,'09월 에너지'!$A$14:$A$949,$A20,'09월 에너지'!$C$14:$C$949,$B20)))</f>
        <v/>
      </c>
      <c r="CF20" s="831" t="str">
        <f>IF($C20&lt;1,"",(AVERAGEIFS('09월 에너지'!O$14:O$949,'09월 에너지'!$A$14:$A$949,$A20,'09월 에너지'!$C$14:$C$949,$B20)))</f>
        <v/>
      </c>
      <c r="CG20" s="831" t="str">
        <f>IF($C20&lt;1,"",(AVERAGEIFS('09월 에너지'!P$14:P$949,'09월 에너지'!$A$14:$A$949,$A20,'09월 에너지'!$C$14:$C$949,$B20)))</f>
        <v/>
      </c>
      <c r="CH20" s="831" t="str">
        <f>IF($C20&lt;1,"",(AVERAGEIFS('09월 에너지'!Q$14:Q$949,'09월 에너지'!$A$14:$A$949,$A20,'09월 에너지'!$C$14:$C$949,$B20)))</f>
        <v/>
      </c>
      <c r="CI20" s="831" t="str">
        <f>IF($C20&lt;1,"",(AVERAGEIFS('09월 에너지'!R$14:R$949,'09월 에너지'!$A$14:$A$949,$A20,'09월 에너지'!$C$14:$C$949,$B20)))</f>
        <v/>
      </c>
      <c r="CJ20" s="831" t="str">
        <f>IF($C20&lt;1,"",(AVERAGEIFS('09월 에너지'!S$14:S$949,'09월 에너지'!$A$14:$A$949,$A20,'09월 에너지'!$C$14:$C$949,$B20)))</f>
        <v/>
      </c>
      <c r="CK20" s="831" t="str">
        <f>IF($C20&lt;1,"",(AVERAGEIFS('09월 에너지'!T$14:T$949,'09월 에너지'!$A$14:$A$949,$A20,'09월 에너지'!$C$14:$C$949,$B20)))</f>
        <v/>
      </c>
      <c r="CL20" s="831" t="str">
        <f>IF($C20&lt;1,"",(AVERAGEIFS('09월 에너지'!U$14:U$949,'09월 에너지'!$A$14:$A$949,$A20,'09월 에너지'!$C$14:$C$949,$B20)))</f>
        <v/>
      </c>
      <c r="CM20" s="835" t="str">
        <f>IF($C20&lt;1,"",(AVERAGEIFS('09월 에너지'!V$14:V$949,'09월 에너지'!$A$14:$A$949,$A20,'09월 에너지'!$C$14:$C$949,$B20)))</f>
        <v/>
      </c>
      <c r="CN20" s="835" t="str">
        <f>IF($C20&lt;1,"",(AVERAGEIFS('09월 에너지'!W$14:W$949,'09월 에너지'!$A$14:$A$949,$A20,'09월 에너지'!$C$14:$C$949,$B20)))</f>
        <v/>
      </c>
      <c r="CO20" s="831" t="str">
        <f>IF($C20&lt;1,"",(AVERAGEIFS('09월 에너지'!X$14:X$949,'09월 에너지'!$A$14:$A$949,$A20,'09월 에너지'!$C$14:$C$949,$B20)))</f>
        <v/>
      </c>
      <c r="CP20" s="835" t="str">
        <f>IF($C20&lt;1,"",(AVERAGEIFS('09월 에너지'!Y$14:Y$949,'09월 에너지'!$A$14:$A$949,$A20,'09월 에너지'!$C$14:$C$949,$B20)))</f>
        <v/>
      </c>
      <c r="CQ20" s="835" t="str">
        <f>IF($C20&lt;1,"",(AVERAGEIFS('09월 에너지'!Z$14:Z$949,'09월 에너지'!$A$14:$A$949,$A20,'09월 에너지'!$C$14:$C$949,$B20)))</f>
        <v/>
      </c>
      <c r="CR20" s="835" t="str">
        <f>IF($C20&lt;1,"",(AVERAGEIFS('09월 에너지'!AA$14:AA$949,'09월 에너지'!$A$14:$A$949,$A20,'09월 에너지'!$C$14:$C$949,$B20)))</f>
        <v/>
      </c>
      <c r="CS20" s="835" t="str">
        <f>IF($C20&lt;1,"",(AVERAGEIFS('09월 에너지'!AB$14:AB$949,'09월 에너지'!$A$14:$A$949,$A20,'09월 에너지'!$C$14:$C$949,$B20)))</f>
        <v/>
      </c>
      <c r="CT20" s="831" t="str">
        <f>IF($C20&lt;1,"",(AVERAGEIFS('09월 에너지'!AC$14:AC$949,'09월 에너지'!$A$14:$A$949,$A20,'09월 에너지'!$C$14:$C$949,$B20)))</f>
        <v/>
      </c>
      <c r="CU20" s="836" t="str">
        <f>IF($C20&lt;1,"",(AVERAGEIFS('09월 에너지'!AD$14:AD$949,'09월 에너지'!$A$14:$A$949,$A20,'09월 에너지'!$C$14:$C$949,$B20)))</f>
        <v/>
      </c>
      <c r="CV20" s="837" t="str">
        <f>IF($C20&lt;1,"",(AVERAGEIFS('09월 에너지'!AE$14:AE$949,'09월 에너지'!$A$14:$A$949,$A20,'09월 에너지'!$C$14:$C$949,$B20)))</f>
        <v/>
      </c>
      <c r="CW20" s="831" t="str">
        <f>IF($C20&lt;1,"",(AVERAGEIFS('09월 에너지'!AF$14:AF$949,'09월 에너지'!$A$14:$A$949,$A20,'09월 에너지'!$C$14:$C$949,$B20)))</f>
        <v/>
      </c>
      <c r="CX20" s="831" t="str">
        <f>IF($C20&lt;1,"",(AVERAGEIFS('09월 에너지'!AG$14:AG$949,'09월 에너지'!$A$14:$A$949,$A20,'09월 에너지'!$C$14:$C$949,$B20)))</f>
        <v/>
      </c>
      <c r="CY20" s="831" t="str">
        <f>IF($C20&lt;1,"",(AVERAGEIFS('09월 에너지'!AH$14:AH$949,'09월 에너지'!$A$14:$A$949,$A20,'09월 에너지'!$C$14:$C$949,$B20)))</f>
        <v/>
      </c>
      <c r="CZ20" s="831" t="str">
        <f>IF($C20&lt;1,"",(AVERAGEIFS('09월 에너지'!AI$14:AI$949,'09월 에너지'!$A$14:$A$949,$A20,'09월 에너지'!$C$14:$C$949,$B20)))</f>
        <v/>
      </c>
      <c r="DA20" s="838" t="str">
        <f>IF($C20&lt;1,"",(AVERAGEIFS('09월 에너지'!AJ$14:AJ$949,'09월 에너지'!$A$14:$A$949,$A20,'09월 에너지'!$C$14:$C$949,$B20)))</f>
        <v/>
      </c>
    </row>
    <row r="21" spans="1:105" ht="13.5" customHeight="1">
      <c r="A21" s="847">
        <f>A16+1</f>
        <v>44930</v>
      </c>
      <c r="B21" s="848" t="s">
        <v>31</v>
      </c>
      <c r="C21" s="810">
        <f>COUNTIF('09월 조업일지'!$A$12:$A$952,A21)</f>
        <v>0</v>
      </c>
      <c r="D21" s="787" t="str">
        <f>IF(C21&lt;1,"",F21-E21)</f>
        <v/>
      </c>
      <c r="E21" s="787" t="str">
        <f>IF($C21&lt;1,"",(SUMIF('09월 조업일지'!$A$12:$A$952,$A21,'09월 조업일지'!$K$12:$K$952))/C21)</f>
        <v/>
      </c>
      <c r="F21" s="787" t="str">
        <f>IF($C21&lt;1,"",AVERAGEIF('09월 조업일지'!$A$12:$A$952,$A21,'09월 조업일지'!$J$12:$J$952))</f>
        <v/>
      </c>
      <c r="G21" s="811" t="str">
        <f>IF($C21&lt;1,"",AVERAGEIF('09월 에너지'!$A$14:$A$949,$A21,'09월 에너지'!$M$14:M$949))</f>
        <v/>
      </c>
      <c r="H21" s="812" t="str">
        <f>IF($C21&lt;1,"",AVERAGEIF('09월 조업일지'!$A$12:$A$952,$A21,'09월 조업일지'!$AJ$12:$AJ$952))</f>
        <v/>
      </c>
      <c r="I21" s="812" t="str">
        <f>IF($C21&lt;1,"",AVERAGEIF('09월 조업일지'!$A$12:$A$952,$A21,'09월 조업일지'!$AL$12:$AL$952))</f>
        <v/>
      </c>
      <c r="J21" s="813" t="str">
        <f>IF($C21&lt;1,"",AVERAGEIF('09월 화학성분'!$A$12:$A$949,$A21,'09월 화학성분'!G$12:G$949))</f>
        <v/>
      </c>
      <c r="K21" s="813" t="str">
        <f>IF($C21&lt;1,"",AVERAGEIF('09월 화학성분'!$A$12:$A$949,$A21,'09월 화학성분'!H$12:H$949))</f>
        <v/>
      </c>
      <c r="L21" s="813" t="str">
        <f>IF($C21&lt;1,"",AVERAGEIF('09월 화학성분'!$A$12:$A$949,$A21,'09월 화학성분'!I$12:I$949))</f>
        <v/>
      </c>
      <c r="M21" s="813" t="str">
        <f>IF($C21&lt;1,"",AVERAGEIF('09월 화학성분'!$A$12:$A$949,$A21,'09월 화학성분'!J$12:J$949))</f>
        <v/>
      </c>
      <c r="N21" s="813" t="str">
        <f>IF($C21&lt;1,"",AVERAGEIF('09월 화학성분'!$A$12:$A$949,$A21,'09월 화학성분'!K$12:K$949))</f>
        <v/>
      </c>
      <c r="O21" s="813" t="str">
        <f>IF($C21&lt;1,"",AVERAGEIF('09월 화학성분'!$A$12:$A$949,$A21,'09월 화학성분'!L$12:L$949))</f>
        <v/>
      </c>
      <c r="P21" s="813" t="str">
        <f>IF($C21&lt;1,"",AVERAGEIF('09월 화학성분'!$A$12:$A$949,$A21,'09월 화학성분'!M$12:M$949))</f>
        <v/>
      </c>
      <c r="Q21" s="814" t="str">
        <f>IF($C21&lt;1,"",AVERAGEIF('09월 조업일지'!$A$12:$A$952,$A21,'09월 조업일지'!$AA$12:$AA$952))</f>
        <v/>
      </c>
      <c r="R21" s="814" t="str">
        <f>IF($C21&lt;1,"",AVERAGEIF('09월 조업일지'!$A$12:$A$952,$A21,'09월 조업일지'!$AK$12:$AK$952))</f>
        <v/>
      </c>
      <c r="S21" s="814"/>
      <c r="T21" s="814"/>
      <c r="U21" s="813" t="str">
        <f>IF($C21&lt;1,"",AVERAGEIF('09월 화학성분'!$A$12:$A$949,$A21,'09월 화학성분'!$G$12:$G$949))</f>
        <v/>
      </c>
      <c r="V21" s="814" t="str">
        <f>IF($C21&lt;1,"",AVERAGEIF('09월 조업일지'!$A$12:$A$952,$A21,'09월 조업일지'!$AI$12:$AI$952))</f>
        <v/>
      </c>
      <c r="W21" s="813" t="str">
        <f>IF($C21&lt;1,"",AVERAGEIF('09월 화학성분'!$A$12:$A$949,$A21,'09월 화학성분'!$AM$12:$AM$949))</f>
        <v/>
      </c>
      <c r="X21" s="815" t="str">
        <f>IF($C21&lt;1,"",AVERAGEIF('09월 화학성분'!$A$12:$A$949,$A21,'09월 화학성분'!N$12:N$949))</f>
        <v/>
      </c>
      <c r="Y21" s="815" t="str">
        <f>IF($C21&lt;1,"",AVERAGEIF('09월 화학성분'!$A$12:$A$949,$A21,'09월 화학성분'!O$12:O$949))</f>
        <v/>
      </c>
      <c r="Z21" s="815" t="str">
        <f>IF($C21&lt;1,"",AVERAGEIF('09월 화학성분'!$A$12:$A$949,$A21,'09월 화학성분'!P$12:P$949))</f>
        <v/>
      </c>
      <c r="AA21" s="815" t="str">
        <f>IF($C21&lt;1,"",AVERAGEIF('09월 화학성분'!$A$12:$A$949,$A21,'09월 화학성분'!Q$12:Q$949))</f>
        <v/>
      </c>
      <c r="AB21" s="815" t="str">
        <f>IF($C21&lt;1,"",AVERAGEIF('09월 화학성분'!$A$12:$A$949,$A21,'09월 화학성분'!R$12:R$949))</f>
        <v/>
      </c>
      <c r="AC21" s="815" t="str">
        <f>IF($C21&lt;1,"",AVERAGEIF('09월 화학성분'!$A$12:$A$949,$A21,'09월 화학성분'!U$12:U$949))</f>
        <v/>
      </c>
      <c r="AD21" s="815" t="str">
        <f>IF($C21&lt;1,"",AVERAGEIF('09월 화학성분'!$A$12:$A$949,$A21,'09월 화학성분'!V$12:V$949))</f>
        <v/>
      </c>
      <c r="AE21" s="815" t="str">
        <f>IF($C21&lt;1,"",AVERAGEIF('09월 화학성분'!$A$12:$A$949,$A21,'09월 화학성분'!W$12:W$949))</f>
        <v/>
      </c>
      <c r="AF21" s="815" t="str">
        <f>IF($C21&lt;1,"",AVERAGEIF('09월 화학성분'!$A$12:$A$949,$A21,'09월 화학성분'!AA$12:AA$949))</f>
        <v/>
      </c>
      <c r="AG21" s="815" t="str">
        <f>IF($C21&lt;1,"",AVERAGEIF('09월 화학성분'!$A$12:$A$949,$A21,'09월 화학성분'!#REF!))</f>
        <v/>
      </c>
      <c r="AH21" s="815" t="str">
        <f>IF($C21&lt;1,"",AVERAGEIF('09월 화학성분'!$A$12:$A$949,$A21,'09월 화학성분'!AB$12:AB$949))</f>
        <v/>
      </c>
      <c r="AI21" s="815" t="str">
        <f>IF($C21&lt;1,"",AVERAGEIF('09월 화학성분'!$A$12:$A$949,$A21,'09월 화학성분'!AC$12:AC$949))</f>
        <v/>
      </c>
      <c r="AJ21" s="815" t="str">
        <f>IF($C21&lt;1,"",AVERAGEIF('09월 화학성분'!$A$12:$A$949,$A21,'09월 화학성분'!AD$12:AD$949))</f>
        <v/>
      </c>
      <c r="AK21" s="815" t="str">
        <f>IF($C21&lt;1,"",AVERAGEIF('09월 화학성분'!$A$12:$A$949,$A21,'09월 화학성분'!AF$12:AF$949))</f>
        <v/>
      </c>
      <c r="AL21" s="815" t="str">
        <f>IF($C21&lt;1,"",AVERAGEIF('09월 화학성분'!$A$12:$A$949,$A21,'09월 화학성분'!AG$12:AG$949))</f>
        <v/>
      </c>
      <c r="AM21" s="815" t="str">
        <f>IF($C21&lt;1,"",AVERAGEIF('09월 화학성분'!$A$12:$A$949,$A21,'09월 화학성분'!AH$12:AH$949))</f>
        <v/>
      </c>
      <c r="AN21" s="815" t="str">
        <f>IF($C21&lt;1,"",AVERAGEIF('09월 화학성분'!$A$12:$A$949,$A21,'09월 화학성분'!AI$12:AI$949))</f>
        <v/>
      </c>
      <c r="AO21" s="815" t="str">
        <f>IF($C21&lt;1,"",AVERAGEIF('09월 화학성분'!$A$12:$A$949,$A21,'09월 화학성분'!AJ$12:AJ$949))</f>
        <v/>
      </c>
      <c r="AP21" s="815" t="str">
        <f>IF($C21&lt;1,"",AVERAGEIF('09월 화학성분'!$A$12:$A$949,$A21,'09월 화학성분'!#REF!))</f>
        <v/>
      </c>
      <c r="AQ21" s="815" t="str">
        <f>IF($C21&lt;1,"",AVERAGEIF('09월 화학성분'!$A$12:$A$949,$A21,'09월 화학성분'!AL$12:AL$949))</f>
        <v/>
      </c>
      <c r="AR21" s="815" t="str">
        <f>IF($C21&lt;1,"",AVERAGEIF('09월 화학성분'!$A$12:$A$949,$A21,'09월 화학성분'!AM$12:AM$949))</f>
        <v/>
      </c>
      <c r="AS21" s="816" t="str">
        <f>IF($C21&lt;1,"",AVERAGEIF('09월 화학성분'!$A$12:$A$949,$A21,'09월 화학성분'!AN$12:AN$949))</f>
        <v/>
      </c>
      <c r="AT21" s="816" t="str">
        <f>IF($C21&lt;1,"",AVERAGEIF('09월 화학성분'!$A$12:$A$949,$A21,'09월 화학성분'!AO$12:AO$949))</f>
        <v/>
      </c>
      <c r="AU21" s="815" t="str">
        <f>IF($C21&lt;1,"",AVERAGEIF('09월 화학성분'!$A$12:$A$949,$A21,'09월 화학성분'!AP$12:AP$949))</f>
        <v/>
      </c>
      <c r="AV21" s="815" t="str">
        <f>IF($C21&lt;1,"",AVERAGEIF('09월 고철장입'!$A$14:$A$949,$A21,'09월 고철장입'!G$14:G$949)/1000)</f>
        <v/>
      </c>
      <c r="AW21" s="815" t="str">
        <f>IF($C21&lt;1,"",AVERAGEIF('09월 고철장입'!$A$14:$A$949,$A21,'09월 고철장입'!H$14:H$949)/1000)</f>
        <v/>
      </c>
      <c r="AX21" s="815" t="str">
        <f>IF($C21&lt;1,"",AVERAGEIF('09월 고철장입'!$A$14:$A$949,$A21,'09월 고철장입'!I$14:I$949)/1000)</f>
        <v/>
      </c>
      <c r="AY21" s="815" t="str">
        <f>IF($C21&lt;1,"",AVERAGEIF('09월 고철장입'!$A$14:$A$949,$A21,'09월 고철장입'!J$14:J$949)/1000)</f>
        <v/>
      </c>
      <c r="AZ21" s="815" t="str">
        <f>IF($C21&lt;1,"",AVERAGEIF('09월 고철장입'!$A$14:$A$949,$A21,'09월 고철장입'!K$14:K$949)/1000)</f>
        <v/>
      </c>
      <c r="BA21" s="815" t="str">
        <f>IF($C21&lt;1,"",AVERAGEIF('09월 고철장입'!$A$14:$A$949,$A21,'09월 고철장입'!L$14:L$949)/1000)</f>
        <v/>
      </c>
      <c r="BB21" s="815" t="str">
        <f>IF($C21&lt;1,"",AVERAGEIF('09월 고철장입'!$A$14:$A$949,$A21,'09월 고철장입'!M$14:M$949)/1000)</f>
        <v/>
      </c>
      <c r="BC21" s="815" t="str">
        <f>IF($C21&lt;1,"",AVERAGEIF('09월 고철장입'!$A$14:$A$949,$A21,'09월 고철장입'!N$14:N$949)/1000)</f>
        <v/>
      </c>
      <c r="BD21" s="815" t="str">
        <f>IF($C21&lt;1,"",AVERAGEIF('09월 고철장입'!$A$14:$A$949,$A21,'09월 고철장입'!O$14:O$949)/1000)</f>
        <v/>
      </c>
      <c r="BE21" s="815" t="str">
        <f>IF($C21&lt;1,"",AVERAGEIF('09월 고철장입'!$A$14:$A$949,$A21,'09월 고철장입'!P$14:P$949)/1000)</f>
        <v/>
      </c>
      <c r="BF21" s="815" t="str">
        <f>IF($C21&lt;1,"",AVERAGEIF('09월 고철장입'!$A$14:$A$949,$A21,'09월 고철장입'!Q$14:Q$949)/1000)</f>
        <v/>
      </c>
      <c r="BG21" s="815" t="str">
        <f>IF($C21&lt;1,"",AVERAGEIF('09월 고철장입'!$A$14:$A$949,$A21,'09월 고철장입'!S$14:S$949)/1000)</f>
        <v/>
      </c>
      <c r="BH21" s="815" t="str">
        <f>IF($C21&lt;1,"",AVERAGEIF('09월 고철장입'!$A$14:$A$949,$A21,'09월 고철장입'!T$14:T$949)/1000)</f>
        <v/>
      </c>
      <c r="BI21" s="815" t="str">
        <f>IF($C21&lt;1,"",AVERAGEIF('09월 고철장입'!$A$14:$A$949,$A21,'09월 고철장입'!U$14:U$949)/1000)</f>
        <v/>
      </c>
      <c r="BJ21" s="815" t="str">
        <f>IF($C21&lt;1,"",AVERAGEIF('09월 고철장입'!$A$14:$A$949,$A21,'09월 고철장입'!V$14:V$949)/1000)</f>
        <v/>
      </c>
      <c r="BK21" s="815" t="str">
        <f>IF($C21&lt;1,"",AVERAGEIF('09월 고철장입'!$A$14:$A$949,$A21,'09월 고철장입'!W$14:W$949)/1000)</f>
        <v/>
      </c>
      <c r="BL21" s="815" t="str">
        <f>IF($C21&lt;1,"",AVERAGEIF('09월 고철장입'!$A$14:$A$949,$A21,'09월 고철장입'!Y$14:Y$949)/1000)</f>
        <v/>
      </c>
      <c r="BM21" s="815" t="str">
        <f>IF($C21&lt;1,"",AVERAGEIF('09월 고철장입'!$A$14:$A$949,$A21,'09월 고철장입'!AB$14:AB$949)/1000)</f>
        <v/>
      </c>
      <c r="BN21" s="815" t="str">
        <f>IF($C21&lt;1,"",AVERAGEIF('09월 고철장입'!$A$14:$A$949,$A21,'09월 고철장입'!AC$14:AC$949)/1000)</f>
        <v/>
      </c>
      <c r="BO21" s="815" t="str">
        <f>IF($C21&lt;1,"",AVERAGEIF('09월 고철장입'!$A$14:$A$949,$A21,'09월 고철장입'!AD$14:AD$949)/1000)</f>
        <v/>
      </c>
      <c r="BP21" s="815" t="str">
        <f>IF($C21&lt;1,"",AVERAGEIF('09월 고철장입'!$A$14:$A$949,$A21,'09월 고철장입'!AE$14:AE$949)/1000)</f>
        <v/>
      </c>
      <c r="BQ21" s="815" t="str">
        <f>IF($C21&lt;1,"",AVERAGEIF('09월 고철장입'!$A$14:$A$949,$A21,'09월 고철장입'!AF$14:AF$949)/1000)</f>
        <v/>
      </c>
      <c r="BR21" s="815" t="str">
        <f>IF($C21&lt;1,"",AVERAGEIF('09월 고철장입'!$A$14:$A$949,$A21,'09월 고철장입'!AG$14:AG$949)/1000)</f>
        <v/>
      </c>
      <c r="BS21" s="815" t="str">
        <f>IF($C21&lt;1,"",AVERAGEIF('09월 고철장입'!$A$14:$A$949,$A21,'09월 고철장입'!AH$14:AH$949)/1000)</f>
        <v/>
      </c>
      <c r="BT21" s="815" t="str">
        <f>IF($C21&lt;1,"",AVERAGEIF('09월 고철장입'!$A$14:$A$949,$A21,'09월 고철장입'!AI$14:AI$949)/1000)</f>
        <v/>
      </c>
      <c r="BU21" s="815" t="str">
        <f>IF($C21&lt;1,"",AVERAGEIF('09월 고철장입'!$A$14:$A$949,$A21,'09월 고철장입'!AJ$14:AJ$949)/1000)</f>
        <v/>
      </c>
      <c r="BV21" s="815" t="str">
        <f>IF($C21&lt;1,"",AVERAGEIF('09월 고철장입'!$A$14:$A$949,$A21,'09월 고철장입'!AK$14:AK$949))</f>
        <v/>
      </c>
      <c r="BW21" s="815" t="str">
        <f>IF($C21&lt;1,"",AVERAGEIF('09월 고철장입'!$A$14:$A$949,$A21,'09월 고철장입'!AL$14:AL$949)*100)</f>
        <v/>
      </c>
      <c r="BX21" s="815" t="str">
        <f>IF($C21&lt;1,"",AVERAGEIF('09월 에너지'!$A$14:$A$949,$A21,'09월 에너지'!G$14:G$949))</f>
        <v/>
      </c>
      <c r="BY21" s="817" t="str">
        <f>IF($C21&lt;1,"",AVERAGEIF('09월 에너지'!$A$14:$A$949,$A21,'09월 에너지'!H$14:H$949))</f>
        <v/>
      </c>
      <c r="BZ21" s="815" t="str">
        <f>IF($C21&lt;1,"",AVERAGEIF('09월 에너지'!$A$14:$A$949,$A21,'09월 에너지'!I$14:I$949))</f>
        <v/>
      </c>
      <c r="CA21" s="817" t="str">
        <f>IF($C21&lt;1,"",AVERAGEIF('09월 에너지'!$A$14:$A$949,$A21,'09월 에너지'!J$14:J$949))</f>
        <v/>
      </c>
      <c r="CB21" s="815" t="str">
        <f>IF($C21&lt;1,"",AVERAGEIF('09월 에너지'!$A$14:$A$949,$A21,'09월 에너지'!K$14:K$949))</f>
        <v/>
      </c>
      <c r="CC21" s="817" t="str">
        <f>IF($C21&lt;1,"",AVERAGEIF('09월 에너지'!$A$14:$A$949,$A21,'09월 에너지'!L$14:L$949))</f>
        <v/>
      </c>
      <c r="CD21" s="815" t="str">
        <f>IF($C21&lt;1,"",AVERAGEIF('09월 에너지'!$A$14:$A$949,$A21,'09월 에너지'!M$14:M$949))</f>
        <v/>
      </c>
      <c r="CE21" s="817" t="str">
        <f>IF($C21&lt;1,"",AVERAGEIF('09월 에너지'!$A$14:$A$949,$A21,'09월 에너지'!N$14:N$949))</f>
        <v/>
      </c>
      <c r="CF21" s="815" t="str">
        <f>IF($C21&lt;1,"",AVERAGEIF('09월 에너지'!$A$14:$A$949,$A21,'09월 에너지'!O$14:O$949))</f>
        <v/>
      </c>
      <c r="CG21" s="815" t="str">
        <f>IF($C21&lt;1,"",AVERAGEIF('09월 에너지'!$A$14:$A$949,$A21,'09월 에너지'!P$14:P$949))</f>
        <v/>
      </c>
      <c r="CH21" s="815" t="str">
        <f>IF($C21&lt;1,"",AVERAGEIF('09월 에너지'!$A$14:$A$949,$A21,'09월 에너지'!Q$14:Q$949))</f>
        <v/>
      </c>
      <c r="CI21" s="815" t="str">
        <f>IF($C21&lt;1,"",AVERAGEIF('09월 에너지'!$A$14:$A$949,$A21,'09월 에너지'!R$14:R$949))</f>
        <v/>
      </c>
      <c r="CJ21" s="815" t="str">
        <f>IF($C21&lt;1,"",AVERAGEIF('09월 에너지'!$A$14:$A$949,$A21,'09월 에너지'!S$14:S$949))</f>
        <v/>
      </c>
      <c r="CK21" s="815" t="str">
        <f>IF($C21&lt;1,"",AVERAGEIF('09월 에너지'!$A$14:$A$949,$A21,'09월 에너지'!T$14:T$949))</f>
        <v/>
      </c>
      <c r="CL21" s="815" t="str">
        <f>IF($C21&lt;1,"",AVERAGEIF('09월 에너지'!$A$14:$A$949,$A21,'09월 에너지'!U$14:U$949))</f>
        <v/>
      </c>
      <c r="CM21" s="817" t="str">
        <f>IF($C21&lt;1,"",AVERAGEIF('09월 에너지'!$A$14:$A$949,$A21,'09월 에너지'!V$14:V$949))</f>
        <v/>
      </c>
      <c r="CN21" s="817" t="str">
        <f>IF($C21&lt;1,"",AVERAGEIF('09월 에너지'!$A$14:$A$949,$A21,'09월 에너지'!W$14:W$949))</f>
        <v/>
      </c>
      <c r="CO21" s="815" t="str">
        <f>IF($C21&lt;1,"",AVERAGEIF('09월 에너지'!$A$14:$A$949,$A21,'09월 에너지'!X$14:X$949))</f>
        <v/>
      </c>
      <c r="CP21" s="817" t="str">
        <f>IF($C21&lt;1,"",AVERAGEIF('09월 에너지'!$A$14:$A$949,$A21,'09월 에너지'!Y$14:Y$949))</f>
        <v/>
      </c>
      <c r="CQ21" s="817" t="str">
        <f>IF($C21&lt;1,"",AVERAGEIF('09월 에너지'!$A$14:$A$949,$A21,'09월 에너지'!Z$14:Z$949))</f>
        <v/>
      </c>
      <c r="CR21" s="817" t="str">
        <f>IF($C21&lt;1,"",AVERAGEIF('09월 에너지'!$A$14:$A$949,$A21,'09월 에너지'!AA$14:AA$949))</f>
        <v/>
      </c>
      <c r="CS21" s="817" t="str">
        <f>IF($C21&lt;1,"",AVERAGEIF('09월 에너지'!$A$14:$A$949,$A21,'09월 에너지'!AB$14:AB$949))</f>
        <v/>
      </c>
      <c r="CT21" s="815" t="str">
        <f>IF($C21&lt;1,"",AVERAGEIF('09월 에너지'!$A$14:$A$949,$A21,'09월 에너지'!AC$14:AC$949))</f>
        <v/>
      </c>
      <c r="CU21" s="818" t="str">
        <f>IF($C21&lt;1,"",AVERAGEIF('09월 에너지'!$A$14:$A$949,$A21,'09월 에너지'!AD$14:AD$949))</f>
        <v/>
      </c>
      <c r="CV21" s="819" t="str">
        <f>IF($C21&lt;1,"",AVERAGEIF('09월 에너지'!$A$14:$A$949,$A21,'09월 에너지'!AE$14:AE$949))</f>
        <v/>
      </c>
      <c r="CW21" s="815" t="str">
        <f>IF($C21&lt;1,"",AVERAGEIF('09월 에너지'!$A$14:$A$949,$A21,'09월 에너지'!AF$14:AF$949))</f>
        <v/>
      </c>
      <c r="CX21" s="815" t="str">
        <f>IF($C21&lt;1,"",AVERAGEIF('09월 에너지'!$A$14:$A$949,$A21,'09월 에너지'!AG$14:AG$949))</f>
        <v/>
      </c>
      <c r="CY21" s="815" t="str">
        <f>IF($C21&lt;1,"",AVERAGEIF('09월 에너지'!$A$14:$A$949,$A21,'09월 에너지'!AH$14:AH$949))</f>
        <v/>
      </c>
      <c r="CZ21" s="815" t="str">
        <f>IF($C21&lt;1,"",AVERAGEIF('09월 에너지'!$A$14:$A$949,$A21,'09월 에너지'!AI$14:AI$949))</f>
        <v/>
      </c>
      <c r="DA21" s="820" t="str">
        <f>IF($C21&lt;1,"",AVERAGEIF('09월 에너지'!$A$14:$A$949,$A21,'09월 에너지'!AJ$14:AJ$949))</f>
        <v/>
      </c>
    </row>
    <row r="22" spans="1:105" ht="13.5" customHeight="1">
      <c r="A22" s="849">
        <f t="shared" si="2"/>
        <v>44930</v>
      </c>
      <c r="B22" s="850" t="s">
        <v>9</v>
      </c>
      <c r="C22" s="823">
        <f>COUNTIFS('09월 조업일지'!$A$12:$A$952,A21,'09월 조업일지'!$E$12:$E$952,B22)</f>
        <v>0</v>
      </c>
      <c r="D22" s="824" t="str">
        <f>IF(C22&lt;1,"",F22-E22)</f>
        <v/>
      </c>
      <c r="E22" s="824" t="str">
        <f>IF($C22&lt;1,"",(SUMIFS('09월 조업일지'!$K$12:$K$952,'09월 조업일지'!$A$12:$A$952,$A22,'09월 조업일지'!$E$12:$E$952,$B22)/$C22))</f>
        <v/>
      </c>
      <c r="F22" s="824" t="str">
        <f>IF($C22&lt;1,"",(AVERAGEIFS('09월 조업일지'!$J$12:$J$952,'09월 조업일지'!$A$12:$A$952,$A22,'09월 조업일지'!$E$12:$E$952,$B22)))</f>
        <v/>
      </c>
      <c r="G22" s="825" t="str">
        <f>IF($C22&lt;1,"",(AVERAGEIFS('09월 에너지'!$M$14:$M$949,'09월 에너지'!$A$14:$A$949,$A22,'09월 에너지'!$C$14:$C$949,$B22)))</f>
        <v/>
      </c>
      <c r="H22" s="826" t="str">
        <f>IF($C22&lt;1,"",(AVERAGEIFS('09월 조업일지'!$AJ$12:$AJ$952,'09월 조업일지'!$A$12:$A$952,$A22,'09월 조업일지'!$E$12:$E$952,$B22)))</f>
        <v/>
      </c>
      <c r="I22" s="826" t="str">
        <f>IF($C22&lt;1,"",(AVERAGEIFS('09월 조업일지'!$AL$12:$AL$952,'09월 조업일지'!$A$12:$A$952,$A22,'09월 조업일지'!$E$12:$E$952,$B22)))</f>
        <v/>
      </c>
      <c r="J22" s="827" t="str">
        <f>IF($C22&lt;1,"",(AVERAGEIFS('09월 화학성분'!G$12:G$949,'09월 화학성분'!$A$12:$A$949,$A22,'09월 화학성분'!$D$12:$D$949,$B22)))</f>
        <v/>
      </c>
      <c r="K22" s="827" t="str">
        <f>IF($C22&lt;1,"",(AVERAGEIFS('09월 화학성분'!H$12:H$949,'09월 화학성분'!$A$12:$A$949,$A22,'09월 화학성분'!$D$12:$D$949,$B22)))</f>
        <v/>
      </c>
      <c r="L22" s="827" t="str">
        <f>IF($C22&lt;1,"",(AVERAGEIFS('09월 화학성분'!I$12:I$949,'09월 화학성분'!$A$12:$A$949,$A22,'09월 화학성분'!$D$12:$D$949,$B22)))</f>
        <v/>
      </c>
      <c r="M22" s="827" t="str">
        <f>IF($C22&lt;1,"",(AVERAGEIFS('09월 화학성분'!J$12:J$949,'09월 화학성분'!$A$12:$A$949,$A22,'09월 화학성분'!$D$12:$D$949,$B22)))</f>
        <v/>
      </c>
      <c r="N22" s="827" t="str">
        <f>IF($C22&lt;1,"",(AVERAGEIFS('09월 화학성분'!K$12:K$949,'09월 화학성분'!$A$12:$A$949,$A22,'09월 화학성분'!$D$12:$D$949,$B22)))</f>
        <v/>
      </c>
      <c r="O22" s="827" t="str">
        <f>IF($C22&lt;1,"",(AVERAGEIFS('09월 화학성분'!L$12:L$949,'09월 화학성분'!$A$12:$A$949,$A22,'09월 화학성분'!$D$12:$D$949,$B22)))</f>
        <v/>
      </c>
      <c r="P22" s="827" t="str">
        <f>IF($C22&lt;1,"",(AVERAGEIFS('09월 화학성분'!M$12:M$949,'09월 화학성분'!$A$12:$A$949,$A22,'09월 화학성분'!$D$12:$D$949,$B22)))</f>
        <v/>
      </c>
      <c r="Q22" s="827" t="str">
        <f>IFERROR(IF($C22&lt;1,"",(AVERAGEIFS('09월 조업일지'!$AA$12:$AA$952,'09월 조업일지'!$A$12:$A$952,$A22,'09월 조업일지'!$E$12:$E$952,$B22))),"")</f>
        <v/>
      </c>
      <c r="R22" s="827" t="str">
        <f>IF($C22&lt;1,"",(AVERAGEIFS('09월 조업일지'!$AK$12:$AK$952,'09월 조업일지'!$A$12:$A$952,$A22,'09월 조업일지'!$E$12:$E$952,$B22)))</f>
        <v/>
      </c>
      <c r="S22" s="827"/>
      <c r="T22" s="827"/>
      <c r="U22" s="827" t="str">
        <f>IF($C22&lt;1,"",(AVERAGEIFS('09월 화학성분'!$G$12:$G$949,'09월 화학성분'!$A$12:$A$949,$A22,'09월 화학성분'!$D$12:$D$949,$B22)))</f>
        <v/>
      </c>
      <c r="V22" s="827" t="str">
        <f>IF($C22&lt;1,"",(AVERAGEIFS('09월 조업일지'!$AI$12:$AI$952,'09월 조업일지'!$A$12:$A$952,$A22,'09월 조업일지'!$E$12:$E$952,$B22)))</f>
        <v/>
      </c>
      <c r="W22" s="828" t="str">
        <f>IF($C22&lt;1,"",(AVERAGEIFS('09월 화학성분'!$AM$12:$AM$949,'09월 화학성분'!$A$12:$A$949,$A22,'09월 화학성분'!$D$12:$D$949,$B22)))</f>
        <v/>
      </c>
      <c r="X22" s="829" t="str">
        <f>IF($C22&lt;1,"",(AVERAGEIFS('09월 화학성분'!N$12:N$949,'09월 화학성분'!$A$12:$A$949,$A22,'09월 화학성분'!$D$12:$D$949,$B22)))</f>
        <v/>
      </c>
      <c r="Y22" s="829" t="str">
        <f>IF($C22&lt;1,"",(AVERAGEIFS('09월 화학성분'!O$12:O$949,'09월 화학성분'!$A$12:$A$949,$A22,'09월 화학성분'!$D$12:$D$949,$B22)))</f>
        <v/>
      </c>
      <c r="Z22" s="829" t="str">
        <f>IF($C22&lt;1,"",(AVERAGEIFS('09월 화학성분'!P$12:P$949,'09월 화학성분'!$A$12:$A$949,$A22,'09월 화학성분'!$D$12:$D$949,$B22)))</f>
        <v/>
      </c>
      <c r="AA22" s="829" t="str">
        <f>IF($C22&lt;1,"",(AVERAGEIFS('09월 화학성분'!Q$12:Q$949,'09월 화학성분'!$A$12:$A$949,$A22,'09월 화학성분'!$D$12:$D$949,$B22)))</f>
        <v/>
      </c>
      <c r="AB22" s="829" t="str">
        <f>IF($C22&lt;1,"",(AVERAGEIFS('09월 화학성분'!R$12:R$949,'09월 화학성분'!$A$12:$A$949,$A22,'09월 화학성분'!$D$12:$D$949,$B22)))</f>
        <v/>
      </c>
      <c r="AC22" s="829" t="str">
        <f>IF($C22&lt;1,"",(AVERAGEIFS('09월 화학성분'!U$12:U$949,'09월 화학성분'!$A$12:$A$949,$A22,'09월 화학성분'!$D$12:$D$949,$B22)))</f>
        <v/>
      </c>
      <c r="AD22" s="829" t="str">
        <f>IF($C22&lt;1,"",(AVERAGEIFS('09월 화학성분'!V$12:V$949,'09월 화학성분'!$A$12:$A$949,$A22,'09월 화학성분'!$D$12:$D$949,$B22)))</f>
        <v/>
      </c>
      <c r="AE22" s="829" t="str">
        <f>IF($C22&lt;1,"",(AVERAGEIFS('09월 화학성분'!W$12:W$949,'09월 화학성분'!$A$12:$A$949,$A22,'09월 화학성분'!$D$12:$D$949,$B22)))</f>
        <v/>
      </c>
      <c r="AF22" s="829" t="str">
        <f>IF($C22&lt;1,"",(AVERAGEIFS('09월 화학성분'!AA$12:AA$949,'09월 화학성분'!$A$12:$A$949,$A22,'09월 화학성분'!$D$12:$D$949,$B22)))</f>
        <v/>
      </c>
      <c r="AG22" s="829" t="str">
        <f>IF($C22&lt;1,"",(AVERAGEIFS('09월 화학성분'!#REF!,'09월 화학성분'!$A$12:$A$949,$A22,'09월 화학성분'!$D$12:$D$949,$B22)))</f>
        <v/>
      </c>
      <c r="AH22" s="829" t="str">
        <f>IF($C22&lt;1,"",(AVERAGEIFS('09월 화학성분'!AB$12:AB$949,'09월 화학성분'!$A$12:$A$949,$A22,'09월 화학성분'!$D$12:$D$949,$B22)))</f>
        <v/>
      </c>
      <c r="AI22" s="829" t="str">
        <f>IF($C22&lt;1,"",(AVERAGEIFS('09월 화학성분'!AC$12:AC$949,'09월 화학성분'!$A$12:$A$949,$A22,'09월 화학성분'!$D$12:$D$949,$B22)))</f>
        <v/>
      </c>
      <c r="AJ22" s="829" t="str">
        <f>IF($C22&lt;1,"",(AVERAGEIFS('09월 화학성분'!AD$12:AD$949,'09월 화학성분'!$A$12:$A$949,$A22,'09월 화학성분'!$D$12:$D$949,$B22)))</f>
        <v/>
      </c>
      <c r="AK22" s="829" t="str">
        <f>IF($C22&lt;1,"",(AVERAGEIFS('09월 화학성분'!AF$12:AF$949,'09월 화학성분'!$A$12:$A$949,$A22,'09월 화학성분'!$D$12:$D$949,$B22)))</f>
        <v/>
      </c>
      <c r="AL22" s="829" t="str">
        <f>IF($C22&lt;1,"",(AVERAGEIFS('09월 화학성분'!AG$12:AG$949,'09월 화학성분'!$A$12:$A$949,$A22,'09월 화학성분'!$D$12:$D$949,$B22)))</f>
        <v/>
      </c>
      <c r="AM22" s="829" t="str">
        <f>IF($C22&lt;1,"",(AVERAGEIFS('09월 화학성분'!AH$12:AH$949,'09월 화학성분'!$A$12:$A$949,$A22,'09월 화학성분'!$D$12:$D$949,$B22)))</f>
        <v/>
      </c>
      <c r="AN22" s="829" t="str">
        <f>IF($C22&lt;1,"",(AVERAGEIFS('09월 화학성분'!AI$12:AI$949,'09월 화학성분'!$A$12:$A$949,$A22,'09월 화학성분'!$D$12:$D$949,$B22)))</f>
        <v/>
      </c>
      <c r="AO22" s="829" t="str">
        <f>IF($C22&lt;1,"",(AVERAGEIFS('09월 화학성분'!AJ$12:AJ$949,'09월 화학성분'!$A$12:$A$949,$A22,'09월 화학성분'!$D$12:$D$949,$B22)))</f>
        <v/>
      </c>
      <c r="AP22" s="829" t="str">
        <f>IF($C22&lt;1,"",(AVERAGEIFS('09월 화학성분'!#REF!,'09월 화학성분'!$A$12:$A$949,$A22,'09월 화학성분'!$D$12:$D$949,$B22)))</f>
        <v/>
      </c>
      <c r="AQ22" s="829" t="str">
        <f>IF($C22&lt;1,"",(AVERAGEIFS('09월 화학성분'!AL$12:AL$949,'09월 화학성분'!$A$12:$A$949,$A22,'09월 화학성분'!$D$12:$D$949,$B22)))</f>
        <v/>
      </c>
      <c r="AR22" s="829" t="str">
        <f>IF($C22&lt;1,"",(AVERAGEIFS('09월 화학성분'!AM$12:AM$949,'09월 화학성분'!$A$12:$A$949,$A22,'09월 화학성분'!$D$12:$D$949,$B22)))</f>
        <v/>
      </c>
      <c r="AS22" s="830" t="str">
        <f>IF($C22&lt;1,"",(AVERAGEIFS('09월 화학성분'!AN$12:AN$949,'09월 화학성분'!$A$12:$A$949,$A22,'09월 화학성분'!$D$12:$D$949,$B22)))</f>
        <v/>
      </c>
      <c r="AT22" s="830" t="str">
        <f>IF($C22&lt;1,"",(AVERAGEIFS('09월 화학성분'!AO$12:AO$949,'09월 화학성분'!$A$12:$A$949,$A22,'09월 화학성분'!$D$12:$D$949,$B22)))</f>
        <v/>
      </c>
      <c r="AU22" s="831" t="str">
        <f>IF($C22&lt;1,"",(AVERAGEIFS('09월 화학성분'!AP$12:AP$949,'09월 화학성분'!$A$12:$A$949,$A22,'09월 화학성분'!$D$12:$D$949,$B22)))</f>
        <v/>
      </c>
      <c r="AV22" s="832" t="str">
        <f>IF($C22&lt;1,"",(AVERAGEIFS('09월 고철장입'!G$14:G$949,'09월 고철장입'!$A$14:$A$949,$A22,'09월 고철장입'!$C$14:$C$949,$B22))/1000)</f>
        <v/>
      </c>
      <c r="AW22" s="832" t="str">
        <f>IF($C22&lt;1,"",(AVERAGEIFS('09월 고철장입'!H$14:H$949,'09월 고철장입'!$A$14:$A$949,$A22,'09월 고철장입'!$C$14:$C$949,$B22))/1000)</f>
        <v/>
      </c>
      <c r="AX22" s="832" t="str">
        <f>IF($C22&lt;1,"",(AVERAGEIFS('09월 고철장입'!I$14:I$949,'09월 고철장입'!$A$14:$A$949,$A22,'09월 고철장입'!$C$14:$C$949,$B22))/1000)</f>
        <v/>
      </c>
      <c r="AY22" s="832" t="str">
        <f>IF($C22&lt;1,"",(AVERAGEIFS('09월 고철장입'!J$14:J$949,'09월 고철장입'!$A$14:$A$949,$A22,'09월 고철장입'!$C$14:$C$949,$B22))/1000)</f>
        <v/>
      </c>
      <c r="AZ22" s="832" t="str">
        <f>IF($C22&lt;1,"",(AVERAGEIFS('09월 고철장입'!K$14:K$949,'09월 고철장입'!$A$14:$A$949,$A22,'09월 고철장입'!$C$14:$C$949,$B22))/1000)</f>
        <v/>
      </c>
      <c r="BA22" s="832" t="str">
        <f>IF($C22&lt;1,"",(AVERAGEIFS('09월 고철장입'!L$14:L$949,'09월 고철장입'!$A$14:$A$949,$A22,'09월 고철장입'!$C$14:$C$949,$B22))/1000)</f>
        <v/>
      </c>
      <c r="BB22" s="832" t="str">
        <f>IF($C22&lt;1,"",(AVERAGEIFS('09월 고철장입'!M$14:M$949,'09월 고철장입'!$A$14:$A$949,$A22,'09월 고철장입'!$C$14:$C$949,$B22))/1000)</f>
        <v/>
      </c>
      <c r="BC22" s="832" t="str">
        <f>IF($C22&lt;1,"",(AVERAGEIFS('09월 고철장입'!N$14:N$949,'09월 고철장입'!$A$14:$A$949,$A22,'09월 고철장입'!$C$14:$C$949,$B22))/1000)</f>
        <v/>
      </c>
      <c r="BD22" s="832" t="str">
        <f>IF($C22&lt;1,"",(AVERAGEIFS('09월 고철장입'!O$14:O$949,'09월 고철장입'!$A$14:$A$949,$A22,'09월 고철장입'!$C$14:$C$949,$B22))/1000)</f>
        <v/>
      </c>
      <c r="BE22" s="833" t="str">
        <f>IF($C22&lt;1,"",(AVERAGEIFS('09월 고철장입'!P$14:P$949,'09월 고철장입'!$A$14:$A$949,$A22,'09월 고철장입'!$C$14:$C$949,$B22))/1000)</f>
        <v/>
      </c>
      <c r="BF22" s="833" t="str">
        <f>IF($C22&lt;1,"",(AVERAGEIFS('09월 고철장입'!Q$14:Q$949,'09월 고철장입'!$A$14:$A$949,$A22,'09월 고철장입'!$C$14:$C$949,$B22))/1000)</f>
        <v/>
      </c>
      <c r="BG22" s="833" t="str">
        <f>IF($C22&lt;1,"",(AVERAGEIFS('09월 고철장입'!S$14:S$949,'09월 고철장입'!$A$14:$A$949,$A22,'09월 고철장입'!$C$14:$C$949,$B22))/1000)</f>
        <v/>
      </c>
      <c r="BH22" s="833" t="str">
        <f>IF($C22&lt;1,"",(AVERAGEIFS('09월 고철장입'!T$14:T$949,'09월 고철장입'!$A$14:$A$949,$A22,'09월 고철장입'!$C$14:$C$949,$B22))/1000)</f>
        <v/>
      </c>
      <c r="BI22" s="833" t="str">
        <f>IF($C22&lt;1,"",(AVERAGEIFS('09월 고철장입'!U$14:U$949,'09월 고철장입'!$A$14:$A$949,$A22,'09월 고철장입'!$C$14:$C$949,$B22))/1000)</f>
        <v/>
      </c>
      <c r="BJ22" s="833" t="str">
        <f>IF($C22&lt;1,"",(AVERAGEIFS('09월 고철장입'!V$14:V$949,'09월 고철장입'!$A$14:$A$949,$A22,'09월 고철장입'!$C$14:$C$949,$B22))/1000)</f>
        <v/>
      </c>
      <c r="BK22" s="833" t="str">
        <f>IF($C22&lt;1,"",(AVERAGEIFS('09월 고철장입'!W$14:W$949,'09월 고철장입'!$A$14:$A$949,$A22,'09월 고철장입'!$C$14:$C$949,$B22))/1000)</f>
        <v/>
      </c>
      <c r="BL22" s="833" t="str">
        <f>IF($C22&lt;1,"",(AVERAGEIFS('09월 고철장입'!Y$14:Y$949,'09월 고철장입'!$A$14:$A$949,$A22,'09월 고철장입'!$C$14:$C$949,$B22))/1000)</f>
        <v/>
      </c>
      <c r="BM22" s="833" t="str">
        <f>IF($C22&lt;1,"",(AVERAGEIFS('09월 고철장입'!AB$14:AB$949,'09월 고철장입'!$A$14:$A$949,$A22,'09월 고철장입'!$C$14:$C$949,$B22))/1000)</f>
        <v/>
      </c>
      <c r="BN22" s="833" t="str">
        <f>IF($C22&lt;1,"",(AVERAGEIFS('09월 고철장입'!AC$14:AC$949,'09월 고철장입'!$A$14:$A$949,$A22,'09월 고철장입'!$C$14:$C$949,$B22))/1000)</f>
        <v/>
      </c>
      <c r="BO22" s="833" t="str">
        <f>IF($C22&lt;1,"",(AVERAGEIFS('09월 고철장입'!AD$14:AD$949,'09월 고철장입'!$A$14:$A$949,$A22,'09월 고철장입'!$C$14:$C$949,$B22))/1000)</f>
        <v/>
      </c>
      <c r="BP22" s="833" t="str">
        <f>IF($C22&lt;1,"",(AVERAGEIFS('09월 고철장입'!AE$14:AE$949,'09월 고철장입'!$A$14:$A$949,$A22,'09월 고철장입'!$C$14:$C$949,$B22))/1000)</f>
        <v/>
      </c>
      <c r="BQ22" s="832" t="str">
        <f>IF($C22&lt;1,"",(AVERAGEIFS('09월 고철장입'!AF$14:AF$949,'09월 고철장입'!$A$14:$A$949,$A22,'09월 고철장입'!$C$14:$C$949,$B22))/1000)</f>
        <v/>
      </c>
      <c r="BR22" s="832" t="str">
        <f>IF($C22&lt;1,"",(AVERAGEIFS('09월 고철장입'!AG$14:AG$949,'09월 고철장입'!$A$14:$A$949,$A22,'09월 고철장입'!$C$14:$C$949,$B22))/1000)</f>
        <v/>
      </c>
      <c r="BS22" s="832" t="str">
        <f>IF($C22&lt;1,"",(AVERAGEIFS('09월 고철장입'!AH$14:AH$949,'09월 고철장입'!$A$14:$A$949,$A22,'09월 고철장입'!$C$14:$C$949,$B22))/1000)</f>
        <v/>
      </c>
      <c r="BT22" s="832" t="str">
        <f>IF($C22&lt;1,"",(AVERAGEIFS('09월 고철장입'!AI$14:AI$949,'09월 고철장입'!$A$14:$A$949,$A22,'09월 고철장입'!$C$14:$C$949,$B22))/1000)</f>
        <v/>
      </c>
      <c r="BU22" s="834" t="str">
        <f>IF($C22&lt;1,"",(AVERAGEIFS('09월 고철장입'!AJ$14:AJ$949,'09월 고철장입'!$A$14:$A$949,$A22,'09월 고철장입'!$C$14:$C$949,$B22))/1000)</f>
        <v/>
      </c>
      <c r="BV22" s="834" t="str">
        <f>IF($C22&lt;1,"",(AVERAGEIFS('09월 고철장입'!AK$14:AK$949,'09월 고철장입'!$A$14:$A$949,$A22,'09월 고철장입'!$C$14:$C$949,$B22)))</f>
        <v/>
      </c>
      <c r="BW22" s="834" t="str">
        <f>IF($C22&lt;1,"",(AVERAGEIFS('09월 고철장입'!AL$14:AL$949,'09월 고철장입'!$A$14:$A$949,$A22,'09월 고철장입'!$C$14:$C$949,$B22))*100)</f>
        <v/>
      </c>
      <c r="BX22" s="831" t="str">
        <f>IF($C22&lt;1,"",(AVERAGEIFS('09월 에너지'!G$14:G$949,'09월 에너지'!$A$14:$A$949,$A22,'09월 에너지'!$C$14:$C$949,$B22)))</f>
        <v/>
      </c>
      <c r="BY22" s="835" t="str">
        <f>IF($C22&lt;1,"",(AVERAGEIFS('09월 에너지'!H$14:H$949,'09월 에너지'!$A$14:$A$949,$A22,'09월 에너지'!$C$14:$C$949,$B22)))</f>
        <v/>
      </c>
      <c r="BZ22" s="831" t="str">
        <f>IF($C22&lt;1,"",(AVERAGEIFS('09월 에너지'!I$14:I$949,'09월 에너지'!$A$14:$A$949,$A22,'09월 에너지'!$C$14:$C$949,$B22)))</f>
        <v/>
      </c>
      <c r="CA22" s="835" t="str">
        <f>IF($C22&lt;1,"",(AVERAGEIFS('09월 에너지'!J$14:J$949,'09월 에너지'!$A$14:$A$949,$A22,'09월 에너지'!$C$14:$C$949,$B22)))</f>
        <v/>
      </c>
      <c r="CB22" s="831" t="str">
        <f>IF($C22&lt;1,"",(AVERAGEIFS('09월 에너지'!K$14:K$949,'09월 에너지'!$A$14:$A$949,$A22,'09월 에너지'!$C$14:$C$949,$B22)))</f>
        <v/>
      </c>
      <c r="CC22" s="835" t="str">
        <f>IF($C22&lt;1,"",(AVERAGEIFS('09월 에너지'!L$14:L$949,'09월 에너지'!$A$14:$A$949,$A22,'09월 에너지'!$C$14:$C$949,$B22)))</f>
        <v/>
      </c>
      <c r="CD22" s="831" t="str">
        <f>IF($C22&lt;1,"",(AVERAGEIFS('09월 에너지'!M$14:M$949,'09월 에너지'!$A$14:$A$949,$A22,'09월 에너지'!$C$14:$C$949,$B22)))</f>
        <v/>
      </c>
      <c r="CE22" s="835" t="str">
        <f>IF($C22&lt;1,"",(AVERAGEIFS('09월 에너지'!N$14:N$949,'09월 에너지'!$A$14:$A$949,$A22,'09월 에너지'!$C$14:$C$949,$B22)))</f>
        <v/>
      </c>
      <c r="CF22" s="831" t="str">
        <f>IF($C22&lt;1,"",(AVERAGEIFS('09월 에너지'!O$14:O$949,'09월 에너지'!$A$14:$A$949,$A22,'09월 에너지'!$C$14:$C$949,$B22)))</f>
        <v/>
      </c>
      <c r="CG22" s="831" t="str">
        <f>IF($C22&lt;1,"",(AVERAGEIFS('09월 에너지'!P$14:P$949,'09월 에너지'!$A$14:$A$949,$A22,'09월 에너지'!$C$14:$C$949,$B22)))</f>
        <v/>
      </c>
      <c r="CH22" s="831" t="str">
        <f>IF($C22&lt;1,"",(AVERAGEIFS('09월 에너지'!Q$14:Q$949,'09월 에너지'!$A$14:$A$949,$A22,'09월 에너지'!$C$14:$C$949,$B22)))</f>
        <v/>
      </c>
      <c r="CI22" s="831" t="str">
        <f>IF($C22&lt;1,"",(AVERAGEIFS('09월 에너지'!R$14:R$949,'09월 에너지'!$A$14:$A$949,$A22,'09월 에너지'!$C$14:$C$949,$B22)))</f>
        <v/>
      </c>
      <c r="CJ22" s="831" t="str">
        <f>IF($C22&lt;1,"",(AVERAGEIFS('09월 에너지'!S$14:S$949,'09월 에너지'!$A$14:$A$949,$A22,'09월 에너지'!$C$14:$C$949,$B22)))</f>
        <v/>
      </c>
      <c r="CK22" s="831" t="str">
        <f>IF($C22&lt;1,"",(AVERAGEIFS('09월 에너지'!T$14:T$949,'09월 에너지'!$A$14:$A$949,$A22,'09월 에너지'!$C$14:$C$949,$B22)))</f>
        <v/>
      </c>
      <c r="CL22" s="831" t="str">
        <f>IF($C22&lt;1,"",(AVERAGEIFS('09월 에너지'!U$14:U$949,'09월 에너지'!$A$14:$A$949,$A22,'09월 에너지'!$C$14:$C$949,$B22)))</f>
        <v/>
      </c>
      <c r="CM22" s="835" t="str">
        <f>IF($C22&lt;1,"",(AVERAGEIFS('09월 에너지'!V$14:V$949,'09월 에너지'!$A$14:$A$949,$A22,'09월 에너지'!$C$14:$C$949,$B22)))</f>
        <v/>
      </c>
      <c r="CN22" s="835" t="str">
        <f>IF($C22&lt;1,"",(AVERAGEIFS('09월 에너지'!W$14:W$949,'09월 에너지'!$A$14:$A$949,$A22,'09월 에너지'!$C$14:$C$949,$B22)))</f>
        <v/>
      </c>
      <c r="CO22" s="831" t="str">
        <f>IF($C22&lt;1,"",(AVERAGEIFS('09월 에너지'!X$14:X$949,'09월 에너지'!$A$14:$A$949,$A22,'09월 에너지'!$C$14:$C$949,$B22)))</f>
        <v/>
      </c>
      <c r="CP22" s="835" t="str">
        <f>IF($C22&lt;1,"",(AVERAGEIFS('09월 에너지'!Y$14:Y$949,'09월 에너지'!$A$14:$A$949,$A22,'09월 에너지'!$C$14:$C$949,$B22)))</f>
        <v/>
      </c>
      <c r="CQ22" s="835" t="str">
        <f>IF($C22&lt;1,"",(AVERAGEIFS('09월 에너지'!Z$14:Z$949,'09월 에너지'!$A$14:$A$949,$A22,'09월 에너지'!$C$14:$C$949,$B22)))</f>
        <v/>
      </c>
      <c r="CR22" s="835" t="str">
        <f>IF($C22&lt;1,"",(AVERAGEIFS('09월 에너지'!AA$14:AA$949,'09월 에너지'!$A$14:$A$949,$A22,'09월 에너지'!$C$14:$C$949,$B22)))</f>
        <v/>
      </c>
      <c r="CS22" s="835" t="str">
        <f>IF($C22&lt;1,"",(AVERAGEIFS('09월 에너지'!AB$14:AB$949,'09월 에너지'!$A$14:$A$949,$A22,'09월 에너지'!$C$14:$C$949,$B22)))</f>
        <v/>
      </c>
      <c r="CT22" s="831" t="str">
        <f>IF($C22&lt;1,"",(AVERAGEIFS('09월 에너지'!AC$14:AC$949,'09월 에너지'!$A$14:$A$949,$A22,'09월 에너지'!$C$14:$C$949,$B22)))</f>
        <v/>
      </c>
      <c r="CU22" s="836" t="str">
        <f>IF($C22&lt;1,"",(AVERAGEIFS('09월 에너지'!AD$14:AD$949,'09월 에너지'!$A$14:$A$949,$A22,'09월 에너지'!$C$14:$C$949,$B22)))</f>
        <v/>
      </c>
      <c r="CV22" s="837" t="str">
        <f>IF($C22&lt;1,"",(AVERAGEIFS('09월 에너지'!AE$14:AE$949,'09월 에너지'!$A$14:$A$949,$A22,'09월 에너지'!$C$14:$C$949,$B22)))</f>
        <v/>
      </c>
      <c r="CW22" s="831" t="str">
        <f>IF($C22&lt;1,"",(AVERAGEIFS('09월 에너지'!AF$14:AF$949,'09월 에너지'!$A$14:$A$949,$A22,'09월 에너지'!$C$14:$C$949,$B22)))</f>
        <v/>
      </c>
      <c r="CX22" s="831" t="str">
        <f>IF($C22&lt;1,"",(AVERAGEIFS('09월 에너지'!AG$14:AG$949,'09월 에너지'!$A$14:$A$949,$A22,'09월 에너지'!$C$14:$C$949,$B22)))</f>
        <v/>
      </c>
      <c r="CY22" s="831" t="str">
        <f>IF($C22&lt;1,"",(AVERAGEIFS('09월 에너지'!AH$14:AH$949,'09월 에너지'!$A$14:$A$949,$A22,'09월 에너지'!$C$14:$C$949,$B22)))</f>
        <v/>
      </c>
      <c r="CZ22" s="831" t="str">
        <f>IF($C22&lt;1,"",(AVERAGEIFS('09월 에너지'!AI$14:AI$949,'09월 에너지'!$A$14:$A$949,$A22,'09월 에너지'!$C$14:$C$949,$B22)))</f>
        <v/>
      </c>
      <c r="DA22" s="838" t="str">
        <f>IF($C22&lt;1,"",(AVERAGEIFS('09월 에너지'!AJ$14:AJ$949,'09월 에너지'!$A$14:$A$949,$A22,'09월 에너지'!$C$14:$C$949,$B22)))</f>
        <v/>
      </c>
    </row>
    <row r="23" spans="1:105" ht="13.5" customHeight="1">
      <c r="A23" s="849">
        <f t="shared" si="2"/>
        <v>44930</v>
      </c>
      <c r="B23" s="850" t="s">
        <v>100</v>
      </c>
      <c r="C23" s="823">
        <f>COUNTIFS('09월 조업일지'!$A$12:$A$952,A21,'09월 조업일지'!$E$12:$E$952,B23)</f>
        <v>0</v>
      </c>
      <c r="D23" s="824" t="str">
        <f t="shared" ref="D23:D25" si="5">IF(C23&lt;1,"",F23-E23)</f>
        <v/>
      </c>
      <c r="E23" s="824" t="str">
        <f>IF($C23&lt;1,"",(SUMIFS('09월 조업일지'!$K$12:$K$952,'09월 조업일지'!$A$12:$A$952,$A23,'09월 조업일지'!$E$12:$E$952,$B23)/$C23))</f>
        <v/>
      </c>
      <c r="F23" s="824" t="str">
        <f>IF($C23&lt;1,"",(AVERAGEIFS('09월 조업일지'!$J$12:$J$952,'09월 조업일지'!$A$12:$A$952,$A23,'09월 조업일지'!$E$12:$E$952,$B23)))</f>
        <v/>
      </c>
      <c r="G23" s="825" t="str">
        <f>IF($C23&lt;1,"",(AVERAGEIFS('09월 에너지'!$M$14:$M$949,'09월 에너지'!$A$14:$A$949,$A23,'09월 에너지'!$C$14:$C$949,$B23)))</f>
        <v/>
      </c>
      <c r="H23" s="826" t="str">
        <f>IF($C23&lt;1,"",(AVERAGEIFS('09월 조업일지'!$AJ$12:$AJ$952,'09월 조업일지'!$A$12:$A$952,$A23,'09월 조업일지'!$E$12:$E$952,$B23)))</f>
        <v/>
      </c>
      <c r="I23" s="826" t="str">
        <f>IF($C23&lt;1,"",(AVERAGEIFS('09월 조업일지'!$AL$12:$AL$952,'09월 조업일지'!$A$12:$A$952,$A23,'09월 조업일지'!$E$12:$E$952,$B23)))</f>
        <v/>
      </c>
      <c r="J23" s="827" t="str">
        <f>IF($C23&lt;1,"",(AVERAGEIFS('09월 화학성분'!G$12:G$949,'09월 화학성분'!$A$12:$A$949,$A23,'09월 화학성분'!$D$12:$D$949,$B23)))</f>
        <v/>
      </c>
      <c r="K23" s="827" t="str">
        <f>IF($C23&lt;1,"",(AVERAGEIFS('09월 화학성분'!H$12:H$949,'09월 화학성분'!$A$12:$A$949,$A23,'09월 화학성분'!$D$12:$D$949,$B23)))</f>
        <v/>
      </c>
      <c r="L23" s="827" t="str">
        <f>IF($C23&lt;1,"",(AVERAGEIFS('09월 화학성분'!I$12:I$949,'09월 화학성분'!$A$12:$A$949,$A23,'09월 화학성분'!$D$12:$D$949,$B23)))</f>
        <v/>
      </c>
      <c r="M23" s="827" t="str">
        <f>IF($C23&lt;1,"",(AVERAGEIFS('09월 화학성분'!J$12:J$949,'09월 화학성분'!$A$12:$A$949,$A23,'09월 화학성분'!$D$12:$D$949,$B23)))</f>
        <v/>
      </c>
      <c r="N23" s="827" t="str">
        <f>IF($C23&lt;1,"",(AVERAGEIFS('09월 화학성분'!K$12:K$949,'09월 화학성분'!$A$12:$A$949,$A23,'09월 화학성분'!$D$12:$D$949,$B23)))</f>
        <v/>
      </c>
      <c r="O23" s="827" t="str">
        <f>IF($C23&lt;1,"",(AVERAGEIFS('09월 화학성분'!L$12:L$949,'09월 화학성분'!$A$12:$A$949,$A23,'09월 화학성분'!$D$12:$D$949,$B23)))</f>
        <v/>
      </c>
      <c r="P23" s="827" t="str">
        <f>IF($C23&lt;1,"",(AVERAGEIFS('09월 화학성분'!M$12:M$949,'09월 화학성분'!$A$12:$A$949,$A23,'09월 화학성분'!$D$12:$D$949,$B23)))</f>
        <v/>
      </c>
      <c r="Q23" s="827" t="str">
        <f>IFERROR(IF($C23&lt;1,"",(AVERAGEIFS('09월 조업일지'!$AA$12:$AA$952,'09월 조업일지'!$A$12:$A$952,$A23,'09월 조업일지'!$E$12:$E$952,$B23))),"")</f>
        <v/>
      </c>
      <c r="R23" s="827" t="str">
        <f>IF($C23&lt;1,"",(AVERAGEIFS('09월 조업일지'!$AK$12:$AK$952,'09월 조업일지'!$A$12:$A$952,$A23,'09월 조업일지'!$E$12:$E$952,$B23)))</f>
        <v/>
      </c>
      <c r="S23" s="827"/>
      <c r="T23" s="827"/>
      <c r="U23" s="827" t="str">
        <f>IF($C23&lt;1,"",(AVERAGEIFS('09월 화학성분'!$G$12:$G$949,'09월 화학성분'!$A$12:$A$949,$A23,'09월 화학성분'!$D$12:$D$949,$B23)))</f>
        <v/>
      </c>
      <c r="V23" s="827" t="str">
        <f>IF($C23&lt;1,"",(AVERAGEIFS('09월 조업일지'!$AI$12:$AI$952,'09월 조업일지'!$A$12:$A$952,$A23,'09월 조업일지'!$E$12:$E$952,$B23)))</f>
        <v/>
      </c>
      <c r="W23" s="828" t="str">
        <f>IF($C23&lt;1,"",(AVERAGEIFS('09월 화학성분'!$AM$12:$AM$949,'09월 화학성분'!$A$12:$A$949,$A23,'09월 화학성분'!$D$12:$D$949,$B23)))</f>
        <v/>
      </c>
      <c r="X23" s="829" t="str">
        <f>IF($C23&lt;1,"",(AVERAGEIFS('09월 화학성분'!N$12:N$949,'09월 화학성분'!$A$12:$A$949,$A23,'09월 화학성분'!$D$12:$D$949,$B23)))</f>
        <v/>
      </c>
      <c r="Y23" s="829" t="str">
        <f>IF($C23&lt;1,"",(AVERAGEIFS('09월 화학성분'!O$12:O$949,'09월 화학성분'!$A$12:$A$949,$A23,'09월 화학성분'!$D$12:$D$949,$B23)))</f>
        <v/>
      </c>
      <c r="Z23" s="829" t="str">
        <f>IF($C23&lt;1,"",(AVERAGEIFS('09월 화학성분'!P$12:P$949,'09월 화학성분'!$A$12:$A$949,$A23,'09월 화학성분'!$D$12:$D$949,$B23)))</f>
        <v/>
      </c>
      <c r="AA23" s="829" t="str">
        <f>IF($C23&lt;1,"",(AVERAGEIFS('09월 화학성분'!Q$12:Q$949,'09월 화학성분'!$A$12:$A$949,$A23,'09월 화학성분'!$D$12:$D$949,$B23)))</f>
        <v/>
      </c>
      <c r="AB23" s="829" t="str">
        <f>IF($C23&lt;1,"",(AVERAGEIFS('09월 화학성분'!R$12:R$949,'09월 화학성분'!$A$12:$A$949,$A23,'09월 화학성분'!$D$12:$D$949,$B23)))</f>
        <v/>
      </c>
      <c r="AC23" s="829" t="str">
        <f>IF($C23&lt;1,"",(AVERAGEIFS('09월 화학성분'!U$12:U$949,'09월 화학성분'!$A$12:$A$949,$A23,'09월 화학성분'!$D$12:$D$949,$B23)))</f>
        <v/>
      </c>
      <c r="AD23" s="829" t="str">
        <f>IF($C23&lt;1,"",(AVERAGEIFS('09월 화학성분'!V$12:V$949,'09월 화학성분'!$A$12:$A$949,$A23,'09월 화학성분'!$D$12:$D$949,$B23)))</f>
        <v/>
      </c>
      <c r="AE23" s="829" t="str">
        <f>IF($C23&lt;1,"",(AVERAGEIFS('09월 화학성분'!W$12:W$949,'09월 화학성분'!$A$12:$A$949,$A23,'09월 화학성분'!$D$12:$D$949,$B23)))</f>
        <v/>
      </c>
      <c r="AF23" s="829" t="str">
        <f>IF($C23&lt;1,"",(AVERAGEIFS('09월 화학성분'!AA$12:AA$949,'09월 화학성분'!$A$12:$A$949,$A23,'09월 화학성분'!$D$12:$D$949,$B23)))</f>
        <v/>
      </c>
      <c r="AG23" s="829" t="str">
        <f>IF($C23&lt;1,"",(AVERAGEIFS('09월 화학성분'!#REF!,'09월 화학성분'!$A$12:$A$949,$A23,'09월 화학성분'!$D$12:$D$949,$B23)))</f>
        <v/>
      </c>
      <c r="AH23" s="829" t="str">
        <f>IF($C23&lt;1,"",(AVERAGEIFS('09월 화학성분'!AB$12:AB$949,'09월 화학성분'!$A$12:$A$949,$A23,'09월 화학성분'!$D$12:$D$949,$B23)))</f>
        <v/>
      </c>
      <c r="AI23" s="829" t="str">
        <f>IF($C23&lt;1,"",(AVERAGEIFS('09월 화학성분'!AC$12:AC$949,'09월 화학성분'!$A$12:$A$949,$A23,'09월 화학성분'!$D$12:$D$949,$B23)))</f>
        <v/>
      </c>
      <c r="AJ23" s="829" t="str">
        <f>IF($C23&lt;1,"",(AVERAGEIFS('09월 화학성분'!AD$12:AD$949,'09월 화학성분'!$A$12:$A$949,$A23,'09월 화학성분'!$D$12:$D$949,$B23)))</f>
        <v/>
      </c>
      <c r="AK23" s="829" t="str">
        <f>IF($C23&lt;1,"",(AVERAGEIFS('09월 화학성분'!AF$12:AF$949,'09월 화학성분'!$A$12:$A$949,$A23,'09월 화학성분'!$D$12:$D$949,$B23)))</f>
        <v/>
      </c>
      <c r="AL23" s="829" t="str">
        <f>IF($C23&lt;1,"",(AVERAGEIFS('09월 화학성분'!AG$12:AG$949,'09월 화학성분'!$A$12:$A$949,$A23,'09월 화학성분'!$D$12:$D$949,$B23)))</f>
        <v/>
      </c>
      <c r="AM23" s="829" t="str">
        <f>IF($C23&lt;1,"",(AVERAGEIFS('09월 화학성분'!AH$12:AH$949,'09월 화학성분'!$A$12:$A$949,$A23,'09월 화학성분'!$D$12:$D$949,$B23)))</f>
        <v/>
      </c>
      <c r="AN23" s="829" t="str">
        <f>IF($C23&lt;1,"",(AVERAGEIFS('09월 화학성분'!AI$12:AI$949,'09월 화학성분'!$A$12:$A$949,$A23,'09월 화학성분'!$D$12:$D$949,$B23)))</f>
        <v/>
      </c>
      <c r="AO23" s="829" t="str">
        <f>IF($C23&lt;1,"",(AVERAGEIFS('09월 화학성분'!AJ$12:AJ$949,'09월 화학성분'!$A$12:$A$949,$A23,'09월 화학성분'!$D$12:$D$949,$B23)))</f>
        <v/>
      </c>
      <c r="AP23" s="829" t="str">
        <f>IF($C23&lt;1,"",(AVERAGEIFS('09월 화학성분'!#REF!,'09월 화학성분'!$A$12:$A$949,$A23,'09월 화학성분'!$D$12:$D$949,$B23)))</f>
        <v/>
      </c>
      <c r="AQ23" s="829" t="str">
        <f>IF($C23&lt;1,"",(AVERAGEIFS('09월 화학성분'!AL$12:AL$949,'09월 화학성분'!$A$12:$A$949,$A23,'09월 화학성분'!$D$12:$D$949,$B23)))</f>
        <v/>
      </c>
      <c r="AR23" s="829" t="str">
        <f>IF($C23&lt;1,"",(AVERAGEIFS('09월 화학성분'!AM$12:AM$949,'09월 화학성분'!$A$12:$A$949,$A23,'09월 화학성분'!$D$12:$D$949,$B23)))</f>
        <v/>
      </c>
      <c r="AS23" s="830" t="str">
        <f>IF($C23&lt;1,"",(AVERAGEIFS('09월 화학성분'!AN$12:AN$949,'09월 화학성분'!$A$12:$A$949,$A23,'09월 화학성분'!$D$12:$D$949,$B23)))</f>
        <v/>
      </c>
      <c r="AT23" s="830" t="str">
        <f>IF($C23&lt;1,"",(AVERAGEIFS('09월 화학성분'!AO$12:AO$949,'09월 화학성분'!$A$12:$A$949,$A23,'09월 화학성분'!$D$12:$D$949,$B23)))</f>
        <v/>
      </c>
      <c r="AU23" s="831" t="str">
        <f>IF($C23&lt;1,"",(AVERAGEIFS('09월 화학성분'!AP$12:AP$949,'09월 화학성분'!$A$12:$A$949,$A23,'09월 화학성분'!$D$12:$D$949,$B23)))</f>
        <v/>
      </c>
      <c r="AV23" s="832" t="str">
        <f>IF($C23&lt;1,"",(AVERAGEIFS('09월 고철장입'!G$14:G$949,'09월 고철장입'!$A$14:$A$949,$A23,'09월 고철장입'!$C$14:$C$949,$B23))/1000)</f>
        <v/>
      </c>
      <c r="AW23" s="832" t="str">
        <f>IF($C23&lt;1,"",(AVERAGEIFS('09월 고철장입'!H$14:H$949,'09월 고철장입'!$A$14:$A$949,$A23,'09월 고철장입'!$C$14:$C$949,$B23))/1000)</f>
        <v/>
      </c>
      <c r="AX23" s="832" t="str">
        <f>IF($C23&lt;1,"",(AVERAGEIFS('09월 고철장입'!I$14:I$949,'09월 고철장입'!$A$14:$A$949,$A23,'09월 고철장입'!$C$14:$C$949,$B23))/1000)</f>
        <v/>
      </c>
      <c r="AY23" s="832" t="str">
        <f>IF($C23&lt;1,"",(AVERAGEIFS('09월 고철장입'!J$14:J$949,'09월 고철장입'!$A$14:$A$949,$A23,'09월 고철장입'!$C$14:$C$949,$B23))/1000)</f>
        <v/>
      </c>
      <c r="AZ23" s="832" t="str">
        <f>IF($C23&lt;1,"",(AVERAGEIFS('09월 고철장입'!K$14:K$949,'09월 고철장입'!$A$14:$A$949,$A23,'09월 고철장입'!$C$14:$C$949,$B23))/1000)</f>
        <v/>
      </c>
      <c r="BA23" s="832" t="str">
        <f>IF($C23&lt;1,"",(AVERAGEIFS('09월 고철장입'!L$14:L$949,'09월 고철장입'!$A$14:$A$949,$A23,'09월 고철장입'!$C$14:$C$949,$B23))/1000)</f>
        <v/>
      </c>
      <c r="BB23" s="832" t="str">
        <f>IF($C23&lt;1,"",(AVERAGEIFS('09월 고철장입'!M$14:M$949,'09월 고철장입'!$A$14:$A$949,$A23,'09월 고철장입'!$C$14:$C$949,$B23))/1000)</f>
        <v/>
      </c>
      <c r="BC23" s="832" t="str">
        <f>IF($C23&lt;1,"",(AVERAGEIFS('09월 고철장입'!N$14:N$949,'09월 고철장입'!$A$14:$A$949,$A23,'09월 고철장입'!$C$14:$C$949,$B23))/1000)</f>
        <v/>
      </c>
      <c r="BD23" s="832" t="str">
        <f>IF($C23&lt;1,"",(AVERAGEIFS('09월 고철장입'!O$14:O$949,'09월 고철장입'!$A$14:$A$949,$A23,'09월 고철장입'!$C$14:$C$949,$B23))/1000)</f>
        <v/>
      </c>
      <c r="BE23" s="833" t="str">
        <f>IF($C23&lt;1,"",(AVERAGEIFS('09월 고철장입'!P$14:P$949,'09월 고철장입'!$A$14:$A$949,$A23,'09월 고철장입'!$C$14:$C$949,$B23))/1000)</f>
        <v/>
      </c>
      <c r="BF23" s="833" t="str">
        <f>IF($C23&lt;1,"",(AVERAGEIFS('09월 고철장입'!Q$14:Q$949,'09월 고철장입'!$A$14:$A$949,$A23,'09월 고철장입'!$C$14:$C$949,$B23))/1000)</f>
        <v/>
      </c>
      <c r="BG23" s="833" t="str">
        <f>IF($C23&lt;1,"",(AVERAGEIFS('09월 고철장입'!S$14:S$949,'09월 고철장입'!$A$14:$A$949,$A23,'09월 고철장입'!$C$14:$C$949,$B23))/1000)</f>
        <v/>
      </c>
      <c r="BH23" s="833" t="str">
        <f>IF($C23&lt;1,"",(AVERAGEIFS('09월 고철장입'!T$14:T$949,'09월 고철장입'!$A$14:$A$949,$A23,'09월 고철장입'!$C$14:$C$949,$B23))/1000)</f>
        <v/>
      </c>
      <c r="BI23" s="833" t="str">
        <f>IF($C23&lt;1,"",(AVERAGEIFS('09월 고철장입'!U$14:U$949,'09월 고철장입'!$A$14:$A$949,$A23,'09월 고철장입'!$C$14:$C$949,$B23))/1000)</f>
        <v/>
      </c>
      <c r="BJ23" s="833" t="str">
        <f>IF($C23&lt;1,"",(AVERAGEIFS('09월 고철장입'!V$14:V$949,'09월 고철장입'!$A$14:$A$949,$A23,'09월 고철장입'!$C$14:$C$949,$B23))/1000)</f>
        <v/>
      </c>
      <c r="BK23" s="833" t="str">
        <f>IF($C23&lt;1,"",(AVERAGEIFS('09월 고철장입'!W$14:W$949,'09월 고철장입'!$A$14:$A$949,$A23,'09월 고철장입'!$C$14:$C$949,$B23))/1000)</f>
        <v/>
      </c>
      <c r="BL23" s="833" t="str">
        <f>IF($C23&lt;1,"",(AVERAGEIFS('09월 고철장입'!Y$14:Y$949,'09월 고철장입'!$A$14:$A$949,$A23,'09월 고철장입'!$C$14:$C$949,$B23))/1000)</f>
        <v/>
      </c>
      <c r="BM23" s="833" t="str">
        <f>IF($C23&lt;1,"",(AVERAGEIFS('09월 고철장입'!AB$14:AB$949,'09월 고철장입'!$A$14:$A$949,$A23,'09월 고철장입'!$C$14:$C$949,$B23))/1000)</f>
        <v/>
      </c>
      <c r="BN23" s="833" t="str">
        <f>IF($C23&lt;1,"",(AVERAGEIFS('09월 고철장입'!AC$14:AC$949,'09월 고철장입'!$A$14:$A$949,$A23,'09월 고철장입'!$C$14:$C$949,$B23))/1000)</f>
        <v/>
      </c>
      <c r="BO23" s="833" t="str">
        <f>IF($C23&lt;1,"",(AVERAGEIFS('09월 고철장입'!AD$14:AD$949,'09월 고철장입'!$A$14:$A$949,$A23,'09월 고철장입'!$C$14:$C$949,$B23))/1000)</f>
        <v/>
      </c>
      <c r="BP23" s="833" t="str">
        <f>IF($C23&lt;1,"",(AVERAGEIFS('09월 고철장입'!AE$14:AE$949,'09월 고철장입'!$A$14:$A$949,$A23,'09월 고철장입'!$C$14:$C$949,$B23))/1000)</f>
        <v/>
      </c>
      <c r="BQ23" s="832" t="str">
        <f>IF($C23&lt;1,"",(AVERAGEIFS('09월 고철장입'!AF$14:AF$949,'09월 고철장입'!$A$14:$A$949,$A23,'09월 고철장입'!$C$14:$C$949,$B23))/1000)</f>
        <v/>
      </c>
      <c r="BR23" s="832" t="str">
        <f>IF($C23&lt;1,"",(AVERAGEIFS('09월 고철장입'!AG$14:AG$949,'09월 고철장입'!$A$14:$A$949,$A23,'09월 고철장입'!$C$14:$C$949,$B23))/1000)</f>
        <v/>
      </c>
      <c r="BS23" s="832" t="str">
        <f>IF($C23&lt;1,"",(AVERAGEIFS('09월 고철장입'!AH$14:AH$949,'09월 고철장입'!$A$14:$A$949,$A23,'09월 고철장입'!$C$14:$C$949,$B23))/1000)</f>
        <v/>
      </c>
      <c r="BT23" s="832" t="str">
        <f>IF($C23&lt;1,"",(AVERAGEIFS('09월 고철장입'!AI$14:AI$949,'09월 고철장입'!$A$14:$A$949,$A23,'09월 고철장입'!$C$14:$C$949,$B23))/1000)</f>
        <v/>
      </c>
      <c r="BU23" s="834" t="str">
        <f>IF($C23&lt;1,"",(AVERAGEIFS('09월 고철장입'!AJ$14:AJ$949,'09월 고철장입'!$A$14:$A$949,$A23,'09월 고철장입'!$C$14:$C$949,$B23))/1000)</f>
        <v/>
      </c>
      <c r="BV23" s="834" t="str">
        <f>IF($C23&lt;1,"",(AVERAGEIFS('09월 고철장입'!AK$14:AK$949,'09월 고철장입'!$A$14:$A$949,$A23,'09월 고철장입'!$C$14:$C$949,$B23)))</f>
        <v/>
      </c>
      <c r="BW23" s="834" t="str">
        <f>IF($C23&lt;1,"",(AVERAGEIFS('09월 고철장입'!AL$14:AL$949,'09월 고철장입'!$A$14:$A$949,$A23,'09월 고철장입'!$C$14:$C$949,$B23))*100)</f>
        <v/>
      </c>
      <c r="BX23" s="831" t="str">
        <f>IF($C23&lt;1,"",(AVERAGEIFS('09월 에너지'!G$14:G$949,'09월 에너지'!$A$14:$A$949,$A23,'09월 에너지'!$C$14:$C$949,$B23)))</f>
        <v/>
      </c>
      <c r="BY23" s="835" t="str">
        <f>IF($C23&lt;1,"",(AVERAGEIFS('09월 에너지'!H$14:H$949,'09월 에너지'!$A$14:$A$949,$A23,'09월 에너지'!$C$14:$C$949,$B23)))</f>
        <v/>
      </c>
      <c r="BZ23" s="831" t="str">
        <f>IF($C23&lt;1,"",(AVERAGEIFS('09월 에너지'!I$14:I$949,'09월 에너지'!$A$14:$A$949,$A23,'09월 에너지'!$C$14:$C$949,$B23)))</f>
        <v/>
      </c>
      <c r="CA23" s="835" t="str">
        <f>IF($C23&lt;1,"",(AVERAGEIFS('09월 에너지'!J$14:J$949,'09월 에너지'!$A$14:$A$949,$A23,'09월 에너지'!$C$14:$C$949,$B23)))</f>
        <v/>
      </c>
      <c r="CB23" s="831" t="str">
        <f>IF($C23&lt;1,"",(AVERAGEIFS('09월 에너지'!K$14:K$949,'09월 에너지'!$A$14:$A$949,$A23,'09월 에너지'!$C$14:$C$949,$B23)))</f>
        <v/>
      </c>
      <c r="CC23" s="835" t="str">
        <f>IF($C23&lt;1,"",(AVERAGEIFS('09월 에너지'!L$14:L$949,'09월 에너지'!$A$14:$A$949,$A23,'09월 에너지'!$C$14:$C$949,$B23)))</f>
        <v/>
      </c>
      <c r="CD23" s="831" t="str">
        <f>IF($C23&lt;1,"",(AVERAGEIFS('09월 에너지'!M$14:M$949,'09월 에너지'!$A$14:$A$949,$A23,'09월 에너지'!$C$14:$C$949,$B23)))</f>
        <v/>
      </c>
      <c r="CE23" s="835" t="str">
        <f>IF($C23&lt;1,"",(AVERAGEIFS('09월 에너지'!N$14:N$949,'09월 에너지'!$A$14:$A$949,$A23,'09월 에너지'!$C$14:$C$949,$B23)))</f>
        <v/>
      </c>
      <c r="CF23" s="831" t="str">
        <f>IF($C23&lt;1,"",(AVERAGEIFS('09월 에너지'!O$14:O$949,'09월 에너지'!$A$14:$A$949,$A23,'09월 에너지'!$C$14:$C$949,$B23)))</f>
        <v/>
      </c>
      <c r="CG23" s="831" t="str">
        <f>IF($C23&lt;1,"",(AVERAGEIFS('09월 에너지'!P$14:P$949,'09월 에너지'!$A$14:$A$949,$A23,'09월 에너지'!$C$14:$C$949,$B23)))</f>
        <v/>
      </c>
      <c r="CH23" s="831" t="str">
        <f>IF($C23&lt;1,"",(AVERAGEIFS('09월 에너지'!Q$14:Q$949,'09월 에너지'!$A$14:$A$949,$A23,'09월 에너지'!$C$14:$C$949,$B23)))</f>
        <v/>
      </c>
      <c r="CI23" s="831" t="str">
        <f>IF($C23&lt;1,"",(AVERAGEIFS('09월 에너지'!R$14:R$949,'09월 에너지'!$A$14:$A$949,$A23,'09월 에너지'!$C$14:$C$949,$B23)))</f>
        <v/>
      </c>
      <c r="CJ23" s="831" t="str">
        <f>IF($C23&lt;1,"",(AVERAGEIFS('09월 에너지'!S$14:S$949,'09월 에너지'!$A$14:$A$949,$A23,'09월 에너지'!$C$14:$C$949,$B23)))</f>
        <v/>
      </c>
      <c r="CK23" s="831" t="str">
        <f>IF($C23&lt;1,"",(AVERAGEIFS('09월 에너지'!T$14:T$949,'09월 에너지'!$A$14:$A$949,$A23,'09월 에너지'!$C$14:$C$949,$B23)))</f>
        <v/>
      </c>
      <c r="CL23" s="831" t="str">
        <f>IF($C23&lt;1,"",(AVERAGEIFS('09월 에너지'!U$14:U$949,'09월 에너지'!$A$14:$A$949,$A23,'09월 에너지'!$C$14:$C$949,$B23)))</f>
        <v/>
      </c>
      <c r="CM23" s="835" t="str">
        <f>IF($C23&lt;1,"",(AVERAGEIFS('09월 에너지'!V$14:V$949,'09월 에너지'!$A$14:$A$949,$A23,'09월 에너지'!$C$14:$C$949,$B23)))</f>
        <v/>
      </c>
      <c r="CN23" s="835" t="str">
        <f>IF($C23&lt;1,"",(AVERAGEIFS('09월 에너지'!W$14:W$949,'09월 에너지'!$A$14:$A$949,$A23,'09월 에너지'!$C$14:$C$949,$B23)))</f>
        <v/>
      </c>
      <c r="CO23" s="831" t="str">
        <f>IF($C23&lt;1,"",(AVERAGEIFS('09월 에너지'!X$14:X$949,'09월 에너지'!$A$14:$A$949,$A23,'09월 에너지'!$C$14:$C$949,$B23)))</f>
        <v/>
      </c>
      <c r="CP23" s="835" t="str">
        <f>IF($C23&lt;1,"",(AVERAGEIFS('09월 에너지'!Y$14:Y$949,'09월 에너지'!$A$14:$A$949,$A23,'09월 에너지'!$C$14:$C$949,$B23)))</f>
        <v/>
      </c>
      <c r="CQ23" s="835" t="str">
        <f>IF($C23&lt;1,"",(AVERAGEIFS('09월 에너지'!Z$14:Z$949,'09월 에너지'!$A$14:$A$949,$A23,'09월 에너지'!$C$14:$C$949,$B23)))</f>
        <v/>
      </c>
      <c r="CR23" s="835" t="str">
        <f>IF($C23&lt;1,"",(AVERAGEIFS('09월 에너지'!AA$14:AA$949,'09월 에너지'!$A$14:$A$949,$A23,'09월 에너지'!$C$14:$C$949,$B23)))</f>
        <v/>
      </c>
      <c r="CS23" s="835" t="str">
        <f>IF($C23&lt;1,"",(AVERAGEIFS('09월 에너지'!AB$14:AB$949,'09월 에너지'!$A$14:$A$949,$A23,'09월 에너지'!$C$14:$C$949,$B23)))</f>
        <v/>
      </c>
      <c r="CT23" s="831" t="str">
        <f>IF($C23&lt;1,"",(AVERAGEIFS('09월 에너지'!AC$14:AC$949,'09월 에너지'!$A$14:$A$949,$A23,'09월 에너지'!$C$14:$C$949,$B23)))</f>
        <v/>
      </c>
      <c r="CU23" s="836" t="str">
        <f>IF($C23&lt;1,"",(AVERAGEIFS('09월 에너지'!AD$14:AD$949,'09월 에너지'!$A$14:$A$949,$A23,'09월 에너지'!$C$14:$C$949,$B23)))</f>
        <v/>
      </c>
      <c r="CV23" s="837" t="str">
        <f>IF($C23&lt;1,"",(AVERAGEIFS('09월 에너지'!AE$14:AE$949,'09월 에너지'!$A$14:$A$949,$A23,'09월 에너지'!$C$14:$C$949,$B23)))</f>
        <v/>
      </c>
      <c r="CW23" s="831" t="str">
        <f>IF($C23&lt;1,"",(AVERAGEIFS('09월 에너지'!AF$14:AF$949,'09월 에너지'!$A$14:$A$949,$A23,'09월 에너지'!$C$14:$C$949,$B23)))</f>
        <v/>
      </c>
      <c r="CX23" s="831" t="str">
        <f>IF($C23&lt;1,"",(AVERAGEIFS('09월 에너지'!AG$14:AG$949,'09월 에너지'!$A$14:$A$949,$A23,'09월 에너지'!$C$14:$C$949,$B23)))</f>
        <v/>
      </c>
      <c r="CY23" s="831" t="str">
        <f>IF($C23&lt;1,"",(AVERAGEIFS('09월 에너지'!AH$14:AH$949,'09월 에너지'!$A$14:$A$949,$A23,'09월 에너지'!$C$14:$C$949,$B23)))</f>
        <v/>
      </c>
      <c r="CZ23" s="831" t="str">
        <f>IF($C23&lt;1,"",(AVERAGEIFS('09월 에너지'!AI$14:AI$949,'09월 에너지'!$A$14:$A$949,$A23,'09월 에너지'!$C$14:$C$949,$B23)))</f>
        <v/>
      </c>
      <c r="DA23" s="838" t="str">
        <f>IF($C23&lt;1,"",(AVERAGEIFS('09월 에너지'!AJ$14:AJ$949,'09월 에너지'!$A$14:$A$949,$A23,'09월 에너지'!$C$14:$C$949,$B23)))</f>
        <v/>
      </c>
    </row>
    <row r="24" spans="1:105" ht="13.5" customHeight="1">
      <c r="A24" s="849">
        <f t="shared" si="2"/>
        <v>44930</v>
      </c>
      <c r="B24" s="850" t="s">
        <v>10</v>
      </c>
      <c r="C24" s="823">
        <f>COUNTIFS('09월 조업일지'!$A$12:$A$952,A21,'09월 조업일지'!$E$12:$E$952,B24)</f>
        <v>0</v>
      </c>
      <c r="D24" s="824" t="str">
        <f t="shared" si="5"/>
        <v/>
      </c>
      <c r="E24" s="824" t="str">
        <f>IF($C24&lt;1,"",(SUMIFS('09월 조업일지'!$K$12:$K$952,'09월 조업일지'!$A$12:$A$952,$A24,'09월 조업일지'!$E$12:$E$952,$B24)/$C24))</f>
        <v/>
      </c>
      <c r="F24" s="824" t="str">
        <f>IF($C24&lt;1,"",(AVERAGEIFS('09월 조업일지'!$J$12:$J$952,'09월 조업일지'!$A$12:$A$952,$A24,'09월 조업일지'!$E$12:$E$952,$B24)))</f>
        <v/>
      </c>
      <c r="G24" s="825" t="str">
        <f>IF($C24&lt;1,"",(AVERAGEIFS('09월 에너지'!$M$14:$M$949,'09월 에너지'!$A$14:$A$949,$A24,'09월 에너지'!$C$14:$C$949,$B24)))</f>
        <v/>
      </c>
      <c r="H24" s="826" t="str">
        <f>IF($C24&lt;1,"",(AVERAGEIFS('09월 조업일지'!$AJ$12:$AJ$952,'09월 조업일지'!$A$12:$A$952,$A24,'09월 조업일지'!$E$12:$E$952,$B24)))</f>
        <v/>
      </c>
      <c r="I24" s="826" t="str">
        <f>IF($C24&lt;1,"",(AVERAGEIFS('09월 조업일지'!$AL$12:$AL$952,'09월 조업일지'!$A$12:$A$952,$A24,'09월 조업일지'!$E$12:$E$952,$B24)))</f>
        <v/>
      </c>
      <c r="J24" s="827" t="str">
        <f>IF($C24&lt;1,"",(AVERAGEIFS('09월 화학성분'!G$12:G$949,'09월 화학성분'!$A$12:$A$949,$A24,'09월 화학성분'!$D$12:$D$949,$B24)))</f>
        <v/>
      </c>
      <c r="K24" s="827" t="str">
        <f>IF($C24&lt;1,"",(AVERAGEIFS('09월 화학성분'!H$12:H$949,'09월 화학성분'!$A$12:$A$949,$A24,'09월 화학성분'!$D$12:$D$949,$B24)))</f>
        <v/>
      </c>
      <c r="L24" s="827" t="str">
        <f>IF($C24&lt;1,"",(AVERAGEIFS('09월 화학성분'!I$12:I$949,'09월 화학성분'!$A$12:$A$949,$A24,'09월 화학성분'!$D$12:$D$949,$B24)))</f>
        <v/>
      </c>
      <c r="M24" s="827" t="str">
        <f>IF($C24&lt;1,"",(AVERAGEIFS('09월 화학성분'!J$12:J$949,'09월 화학성분'!$A$12:$A$949,$A24,'09월 화학성분'!$D$12:$D$949,$B24)))</f>
        <v/>
      </c>
      <c r="N24" s="827" t="str">
        <f>IF($C24&lt;1,"",(AVERAGEIFS('09월 화학성분'!K$12:K$949,'09월 화학성분'!$A$12:$A$949,$A24,'09월 화학성분'!$D$12:$D$949,$B24)))</f>
        <v/>
      </c>
      <c r="O24" s="827" t="str">
        <f>IF($C24&lt;1,"",(AVERAGEIFS('09월 화학성분'!L$12:L$949,'09월 화학성분'!$A$12:$A$949,$A24,'09월 화학성분'!$D$12:$D$949,$B24)))</f>
        <v/>
      </c>
      <c r="P24" s="827" t="str">
        <f>IF($C24&lt;1,"",(AVERAGEIFS('09월 화학성분'!M$12:M$949,'09월 화학성분'!$A$12:$A$949,$A24,'09월 화학성분'!$D$12:$D$949,$B24)))</f>
        <v/>
      </c>
      <c r="Q24" s="827" t="str">
        <f>IFERROR(IF($C24&lt;1,"",(AVERAGEIFS('09월 조업일지'!$AA$12:$AA$952,'09월 조업일지'!$A$12:$A$952,$A24,'09월 조업일지'!$E$12:$E$952,$B24))),"")</f>
        <v/>
      </c>
      <c r="R24" s="827" t="str">
        <f>IF($C24&lt;1,"",(AVERAGEIFS('09월 조업일지'!$AK$12:$AK$952,'09월 조업일지'!$A$12:$A$952,$A24,'09월 조업일지'!$E$12:$E$952,$B24)))</f>
        <v/>
      </c>
      <c r="S24" s="827"/>
      <c r="T24" s="827"/>
      <c r="U24" s="827" t="str">
        <f>IF($C24&lt;1,"",(AVERAGEIFS('09월 화학성분'!$G$12:$G$949,'09월 화학성분'!$A$12:$A$949,$A24,'09월 화학성분'!$D$12:$D$949,$B24)))</f>
        <v/>
      </c>
      <c r="V24" s="827" t="str">
        <f>IF($C24&lt;1,"",(AVERAGEIFS('09월 조업일지'!$AI$12:$AI$952,'09월 조업일지'!$A$12:$A$952,$A24,'09월 조업일지'!$E$12:$E$952,$B24)))</f>
        <v/>
      </c>
      <c r="W24" s="828" t="str">
        <f>IF($C24&lt;1,"",(AVERAGEIFS('09월 화학성분'!$AM$12:$AM$949,'09월 화학성분'!$A$12:$A$949,$A24,'09월 화학성분'!$D$12:$D$949,$B24)))</f>
        <v/>
      </c>
      <c r="X24" s="829" t="str">
        <f>IF($C24&lt;1,"",(AVERAGEIFS('09월 화학성분'!N$12:N$949,'09월 화학성분'!$A$12:$A$949,$A24,'09월 화학성분'!$D$12:$D$949,$B24)))</f>
        <v/>
      </c>
      <c r="Y24" s="829" t="str">
        <f>IF($C24&lt;1,"",(AVERAGEIFS('09월 화학성분'!O$12:O$949,'09월 화학성분'!$A$12:$A$949,$A24,'09월 화학성분'!$D$12:$D$949,$B24)))</f>
        <v/>
      </c>
      <c r="Z24" s="829" t="str">
        <f>IF($C24&lt;1,"",(AVERAGEIFS('09월 화학성분'!P$12:P$949,'09월 화학성분'!$A$12:$A$949,$A24,'09월 화학성분'!$D$12:$D$949,$B24)))</f>
        <v/>
      </c>
      <c r="AA24" s="829" t="str">
        <f>IF($C24&lt;1,"",(AVERAGEIFS('09월 화학성분'!Q$12:Q$949,'09월 화학성분'!$A$12:$A$949,$A24,'09월 화학성분'!$D$12:$D$949,$B24)))</f>
        <v/>
      </c>
      <c r="AB24" s="829" t="str">
        <f>IF($C24&lt;1,"",(AVERAGEIFS('09월 화학성분'!R$12:R$949,'09월 화학성분'!$A$12:$A$949,$A24,'09월 화학성분'!$D$12:$D$949,$B24)))</f>
        <v/>
      </c>
      <c r="AC24" s="829" t="str">
        <f>IF($C24&lt;1,"",(AVERAGEIFS('09월 화학성분'!U$12:U$949,'09월 화학성분'!$A$12:$A$949,$A24,'09월 화학성분'!$D$12:$D$949,$B24)))</f>
        <v/>
      </c>
      <c r="AD24" s="829" t="str">
        <f>IF($C24&lt;1,"",(AVERAGEIFS('09월 화학성분'!V$12:V$949,'09월 화학성분'!$A$12:$A$949,$A24,'09월 화학성분'!$D$12:$D$949,$B24)))</f>
        <v/>
      </c>
      <c r="AE24" s="829" t="str">
        <f>IF($C24&lt;1,"",(AVERAGEIFS('09월 화학성분'!W$12:W$949,'09월 화학성분'!$A$12:$A$949,$A24,'09월 화학성분'!$D$12:$D$949,$B24)))</f>
        <v/>
      </c>
      <c r="AF24" s="829" t="str">
        <f>IF($C24&lt;1,"",(AVERAGEIFS('09월 화학성분'!AA$12:AA$949,'09월 화학성분'!$A$12:$A$949,$A24,'09월 화학성분'!$D$12:$D$949,$B24)))</f>
        <v/>
      </c>
      <c r="AG24" s="829" t="str">
        <f>IF($C24&lt;1,"",(AVERAGEIFS('09월 화학성분'!#REF!,'09월 화학성분'!$A$12:$A$949,$A24,'09월 화학성분'!$D$12:$D$949,$B24)))</f>
        <v/>
      </c>
      <c r="AH24" s="829" t="str">
        <f>IF($C24&lt;1,"",(AVERAGEIFS('09월 화학성분'!AB$12:AB$949,'09월 화학성분'!$A$12:$A$949,$A24,'09월 화학성분'!$D$12:$D$949,$B24)))</f>
        <v/>
      </c>
      <c r="AI24" s="829" t="str">
        <f>IF($C24&lt;1,"",(AVERAGEIFS('09월 화학성분'!AC$12:AC$949,'09월 화학성분'!$A$12:$A$949,$A24,'09월 화학성분'!$D$12:$D$949,$B24)))</f>
        <v/>
      </c>
      <c r="AJ24" s="829" t="str">
        <f>IF($C24&lt;1,"",(AVERAGEIFS('09월 화학성분'!AD$12:AD$949,'09월 화학성분'!$A$12:$A$949,$A24,'09월 화학성분'!$D$12:$D$949,$B24)))</f>
        <v/>
      </c>
      <c r="AK24" s="829" t="str">
        <f>IF($C24&lt;1,"",(AVERAGEIFS('09월 화학성분'!AF$12:AF$949,'09월 화학성분'!$A$12:$A$949,$A24,'09월 화학성분'!$D$12:$D$949,$B24)))</f>
        <v/>
      </c>
      <c r="AL24" s="829" t="str">
        <f>IF($C24&lt;1,"",(AVERAGEIFS('09월 화학성분'!AG$12:AG$949,'09월 화학성분'!$A$12:$A$949,$A24,'09월 화학성분'!$D$12:$D$949,$B24)))</f>
        <v/>
      </c>
      <c r="AM24" s="829" t="str">
        <f>IF($C24&lt;1,"",(AVERAGEIFS('09월 화학성분'!AH$12:AH$949,'09월 화학성분'!$A$12:$A$949,$A24,'09월 화학성분'!$D$12:$D$949,$B24)))</f>
        <v/>
      </c>
      <c r="AN24" s="829" t="str">
        <f>IF($C24&lt;1,"",(AVERAGEIFS('09월 화학성분'!AI$12:AI$949,'09월 화학성분'!$A$12:$A$949,$A24,'09월 화학성분'!$D$12:$D$949,$B24)))</f>
        <v/>
      </c>
      <c r="AO24" s="829" t="str">
        <f>IF($C24&lt;1,"",(AVERAGEIFS('09월 화학성분'!AJ$12:AJ$949,'09월 화학성분'!$A$12:$A$949,$A24,'09월 화학성분'!$D$12:$D$949,$B24)))</f>
        <v/>
      </c>
      <c r="AP24" s="829" t="str">
        <f>IF($C24&lt;1,"",(AVERAGEIFS('09월 화학성분'!#REF!,'09월 화학성분'!$A$12:$A$949,$A24,'09월 화학성분'!$D$12:$D$949,$B24)))</f>
        <v/>
      </c>
      <c r="AQ24" s="829" t="str">
        <f>IF($C24&lt;1,"",(AVERAGEIFS('09월 화학성분'!AL$12:AL$949,'09월 화학성분'!$A$12:$A$949,$A24,'09월 화학성분'!$D$12:$D$949,$B24)))</f>
        <v/>
      </c>
      <c r="AR24" s="829" t="str">
        <f>IF($C24&lt;1,"",(AVERAGEIFS('09월 화학성분'!AM$12:AM$949,'09월 화학성분'!$A$12:$A$949,$A24,'09월 화학성분'!$D$12:$D$949,$B24)))</f>
        <v/>
      </c>
      <c r="AS24" s="830" t="str">
        <f>IF($C24&lt;1,"",(AVERAGEIFS('09월 화학성분'!AN$12:AN$949,'09월 화학성분'!$A$12:$A$949,$A24,'09월 화학성분'!$D$12:$D$949,$B24)))</f>
        <v/>
      </c>
      <c r="AT24" s="830" t="str">
        <f>IF($C24&lt;1,"",(AVERAGEIFS('09월 화학성분'!AO$12:AO$949,'09월 화학성분'!$A$12:$A$949,$A24,'09월 화학성분'!$D$12:$D$949,$B24)))</f>
        <v/>
      </c>
      <c r="AU24" s="831" t="str">
        <f>IF($C24&lt;1,"",(AVERAGEIFS('09월 화학성분'!AP$12:AP$949,'09월 화학성분'!$A$12:$A$949,$A24,'09월 화학성분'!$D$12:$D$949,$B24)))</f>
        <v/>
      </c>
      <c r="AV24" s="832" t="str">
        <f>IF($C24&lt;1,"",(AVERAGEIFS('09월 고철장입'!G$14:G$949,'09월 고철장입'!$A$14:$A$949,$A24,'09월 고철장입'!$C$14:$C$949,$B24))/1000)</f>
        <v/>
      </c>
      <c r="AW24" s="832" t="str">
        <f>IF($C24&lt;1,"",(AVERAGEIFS('09월 고철장입'!H$14:H$949,'09월 고철장입'!$A$14:$A$949,$A24,'09월 고철장입'!$C$14:$C$949,$B24))/1000)</f>
        <v/>
      </c>
      <c r="AX24" s="832" t="str">
        <f>IF($C24&lt;1,"",(AVERAGEIFS('09월 고철장입'!I$14:I$949,'09월 고철장입'!$A$14:$A$949,$A24,'09월 고철장입'!$C$14:$C$949,$B24))/1000)</f>
        <v/>
      </c>
      <c r="AY24" s="832" t="str">
        <f>IF($C24&lt;1,"",(AVERAGEIFS('09월 고철장입'!J$14:J$949,'09월 고철장입'!$A$14:$A$949,$A24,'09월 고철장입'!$C$14:$C$949,$B24))/1000)</f>
        <v/>
      </c>
      <c r="AZ24" s="832" t="str">
        <f>IF($C24&lt;1,"",(AVERAGEIFS('09월 고철장입'!K$14:K$949,'09월 고철장입'!$A$14:$A$949,$A24,'09월 고철장입'!$C$14:$C$949,$B24))/1000)</f>
        <v/>
      </c>
      <c r="BA24" s="832" t="str">
        <f>IF($C24&lt;1,"",(AVERAGEIFS('09월 고철장입'!L$14:L$949,'09월 고철장입'!$A$14:$A$949,$A24,'09월 고철장입'!$C$14:$C$949,$B24))/1000)</f>
        <v/>
      </c>
      <c r="BB24" s="832" t="str">
        <f>IF($C24&lt;1,"",(AVERAGEIFS('09월 고철장입'!M$14:M$949,'09월 고철장입'!$A$14:$A$949,$A24,'09월 고철장입'!$C$14:$C$949,$B24))/1000)</f>
        <v/>
      </c>
      <c r="BC24" s="832" t="str">
        <f>IF($C24&lt;1,"",(AVERAGEIFS('09월 고철장입'!N$14:N$949,'09월 고철장입'!$A$14:$A$949,$A24,'09월 고철장입'!$C$14:$C$949,$B24))/1000)</f>
        <v/>
      </c>
      <c r="BD24" s="832" t="str">
        <f>IF($C24&lt;1,"",(AVERAGEIFS('09월 고철장입'!O$14:O$949,'09월 고철장입'!$A$14:$A$949,$A24,'09월 고철장입'!$C$14:$C$949,$B24))/1000)</f>
        <v/>
      </c>
      <c r="BE24" s="833" t="str">
        <f>IF($C24&lt;1,"",(AVERAGEIFS('09월 고철장입'!P$14:P$949,'09월 고철장입'!$A$14:$A$949,$A24,'09월 고철장입'!$C$14:$C$949,$B24))/1000)</f>
        <v/>
      </c>
      <c r="BF24" s="833" t="str">
        <f>IF($C24&lt;1,"",(AVERAGEIFS('09월 고철장입'!Q$14:Q$949,'09월 고철장입'!$A$14:$A$949,$A24,'09월 고철장입'!$C$14:$C$949,$B24))/1000)</f>
        <v/>
      </c>
      <c r="BG24" s="833" t="str">
        <f>IF($C24&lt;1,"",(AVERAGEIFS('09월 고철장입'!S$14:S$949,'09월 고철장입'!$A$14:$A$949,$A24,'09월 고철장입'!$C$14:$C$949,$B24))/1000)</f>
        <v/>
      </c>
      <c r="BH24" s="833" t="str">
        <f>IF($C24&lt;1,"",(AVERAGEIFS('09월 고철장입'!T$14:T$949,'09월 고철장입'!$A$14:$A$949,$A24,'09월 고철장입'!$C$14:$C$949,$B24))/1000)</f>
        <v/>
      </c>
      <c r="BI24" s="833" t="str">
        <f>IF($C24&lt;1,"",(AVERAGEIFS('09월 고철장입'!U$14:U$949,'09월 고철장입'!$A$14:$A$949,$A24,'09월 고철장입'!$C$14:$C$949,$B24))/1000)</f>
        <v/>
      </c>
      <c r="BJ24" s="833" t="str">
        <f>IF($C24&lt;1,"",(AVERAGEIFS('09월 고철장입'!V$14:V$949,'09월 고철장입'!$A$14:$A$949,$A24,'09월 고철장입'!$C$14:$C$949,$B24))/1000)</f>
        <v/>
      </c>
      <c r="BK24" s="833" t="str">
        <f>IF($C24&lt;1,"",(AVERAGEIFS('09월 고철장입'!W$14:W$949,'09월 고철장입'!$A$14:$A$949,$A24,'09월 고철장입'!$C$14:$C$949,$B24))/1000)</f>
        <v/>
      </c>
      <c r="BL24" s="833" t="str">
        <f>IF($C24&lt;1,"",(AVERAGEIFS('09월 고철장입'!Y$14:Y$949,'09월 고철장입'!$A$14:$A$949,$A24,'09월 고철장입'!$C$14:$C$949,$B24))/1000)</f>
        <v/>
      </c>
      <c r="BM24" s="833" t="str">
        <f>IF($C24&lt;1,"",(AVERAGEIFS('09월 고철장입'!AB$14:AB$949,'09월 고철장입'!$A$14:$A$949,$A24,'09월 고철장입'!$C$14:$C$949,$B24))/1000)</f>
        <v/>
      </c>
      <c r="BN24" s="833" t="str">
        <f>IF($C24&lt;1,"",(AVERAGEIFS('09월 고철장입'!AC$14:AC$949,'09월 고철장입'!$A$14:$A$949,$A24,'09월 고철장입'!$C$14:$C$949,$B24))/1000)</f>
        <v/>
      </c>
      <c r="BO24" s="833" t="str">
        <f>IF($C24&lt;1,"",(AVERAGEIFS('09월 고철장입'!AD$14:AD$949,'09월 고철장입'!$A$14:$A$949,$A24,'09월 고철장입'!$C$14:$C$949,$B24))/1000)</f>
        <v/>
      </c>
      <c r="BP24" s="833" t="str">
        <f>IF($C24&lt;1,"",(AVERAGEIFS('09월 고철장입'!AE$14:AE$949,'09월 고철장입'!$A$14:$A$949,$A24,'09월 고철장입'!$C$14:$C$949,$B24))/1000)</f>
        <v/>
      </c>
      <c r="BQ24" s="832" t="str">
        <f>IF($C24&lt;1,"",(AVERAGEIFS('09월 고철장입'!AF$14:AF$949,'09월 고철장입'!$A$14:$A$949,$A24,'09월 고철장입'!$C$14:$C$949,$B24))/1000)</f>
        <v/>
      </c>
      <c r="BR24" s="832" t="str">
        <f>IF($C24&lt;1,"",(AVERAGEIFS('09월 고철장입'!AG$14:AG$949,'09월 고철장입'!$A$14:$A$949,$A24,'09월 고철장입'!$C$14:$C$949,$B24))/1000)</f>
        <v/>
      </c>
      <c r="BS24" s="832" t="str">
        <f>IF($C24&lt;1,"",(AVERAGEIFS('09월 고철장입'!AH$14:AH$949,'09월 고철장입'!$A$14:$A$949,$A24,'09월 고철장입'!$C$14:$C$949,$B24))/1000)</f>
        <v/>
      </c>
      <c r="BT24" s="832" t="str">
        <f>IF($C24&lt;1,"",(AVERAGEIFS('09월 고철장입'!AI$14:AI$949,'09월 고철장입'!$A$14:$A$949,$A24,'09월 고철장입'!$C$14:$C$949,$B24))/1000)</f>
        <v/>
      </c>
      <c r="BU24" s="834" t="str">
        <f>IF($C24&lt;1,"",(AVERAGEIFS('09월 고철장입'!AJ$14:AJ$949,'09월 고철장입'!$A$14:$A$949,$A24,'09월 고철장입'!$C$14:$C$949,$B24))/1000)</f>
        <v/>
      </c>
      <c r="BV24" s="834" t="str">
        <f>IF($C24&lt;1,"",(AVERAGEIFS('09월 고철장입'!AK$14:AK$949,'09월 고철장입'!$A$14:$A$949,$A24,'09월 고철장입'!$C$14:$C$949,$B24)))</f>
        <v/>
      </c>
      <c r="BW24" s="834" t="str">
        <f>IF($C24&lt;1,"",(AVERAGEIFS('09월 고철장입'!AL$14:AL$949,'09월 고철장입'!$A$14:$A$949,$A24,'09월 고철장입'!$C$14:$C$949,$B24))*100)</f>
        <v/>
      </c>
      <c r="BX24" s="831" t="str">
        <f>IF($C24&lt;1,"",(AVERAGEIFS('09월 에너지'!G$14:G$949,'09월 에너지'!$A$14:$A$949,$A24,'09월 에너지'!$C$14:$C$949,$B24)))</f>
        <v/>
      </c>
      <c r="BY24" s="835" t="str">
        <f>IF($C24&lt;1,"",(AVERAGEIFS('09월 에너지'!H$14:H$949,'09월 에너지'!$A$14:$A$949,$A24,'09월 에너지'!$C$14:$C$949,$B24)))</f>
        <v/>
      </c>
      <c r="BZ24" s="831" t="str">
        <f>IF($C24&lt;1,"",(AVERAGEIFS('09월 에너지'!I$14:I$949,'09월 에너지'!$A$14:$A$949,$A24,'09월 에너지'!$C$14:$C$949,$B24)))</f>
        <v/>
      </c>
      <c r="CA24" s="835" t="str">
        <f>IF($C24&lt;1,"",(AVERAGEIFS('09월 에너지'!J$14:J$949,'09월 에너지'!$A$14:$A$949,$A24,'09월 에너지'!$C$14:$C$949,$B24)))</f>
        <v/>
      </c>
      <c r="CB24" s="831" t="str">
        <f>IF($C24&lt;1,"",(AVERAGEIFS('09월 에너지'!K$14:K$949,'09월 에너지'!$A$14:$A$949,$A24,'09월 에너지'!$C$14:$C$949,$B24)))</f>
        <v/>
      </c>
      <c r="CC24" s="835" t="str">
        <f>IF($C24&lt;1,"",(AVERAGEIFS('09월 에너지'!L$14:L$949,'09월 에너지'!$A$14:$A$949,$A24,'09월 에너지'!$C$14:$C$949,$B24)))</f>
        <v/>
      </c>
      <c r="CD24" s="831" t="str">
        <f>IF($C24&lt;1,"",(AVERAGEIFS('09월 에너지'!M$14:M$949,'09월 에너지'!$A$14:$A$949,$A24,'09월 에너지'!$C$14:$C$949,$B24)))</f>
        <v/>
      </c>
      <c r="CE24" s="835" t="str">
        <f>IF($C24&lt;1,"",(AVERAGEIFS('09월 에너지'!N$14:N$949,'09월 에너지'!$A$14:$A$949,$A24,'09월 에너지'!$C$14:$C$949,$B24)))</f>
        <v/>
      </c>
      <c r="CF24" s="831" t="str">
        <f>IF($C24&lt;1,"",(AVERAGEIFS('09월 에너지'!O$14:O$949,'09월 에너지'!$A$14:$A$949,$A24,'09월 에너지'!$C$14:$C$949,$B24)))</f>
        <v/>
      </c>
      <c r="CG24" s="831" t="str">
        <f>IF($C24&lt;1,"",(AVERAGEIFS('09월 에너지'!P$14:P$949,'09월 에너지'!$A$14:$A$949,$A24,'09월 에너지'!$C$14:$C$949,$B24)))</f>
        <v/>
      </c>
      <c r="CH24" s="831" t="str">
        <f>IF($C24&lt;1,"",(AVERAGEIFS('09월 에너지'!Q$14:Q$949,'09월 에너지'!$A$14:$A$949,$A24,'09월 에너지'!$C$14:$C$949,$B24)))</f>
        <v/>
      </c>
      <c r="CI24" s="831" t="str">
        <f>IF($C24&lt;1,"",(AVERAGEIFS('09월 에너지'!R$14:R$949,'09월 에너지'!$A$14:$A$949,$A24,'09월 에너지'!$C$14:$C$949,$B24)))</f>
        <v/>
      </c>
      <c r="CJ24" s="831" t="str">
        <f>IF($C24&lt;1,"",(AVERAGEIFS('09월 에너지'!S$14:S$949,'09월 에너지'!$A$14:$A$949,$A24,'09월 에너지'!$C$14:$C$949,$B24)))</f>
        <v/>
      </c>
      <c r="CK24" s="831" t="str">
        <f>IF($C24&lt;1,"",(AVERAGEIFS('09월 에너지'!T$14:T$949,'09월 에너지'!$A$14:$A$949,$A24,'09월 에너지'!$C$14:$C$949,$B24)))</f>
        <v/>
      </c>
      <c r="CL24" s="831" t="str">
        <f>IF($C24&lt;1,"",(AVERAGEIFS('09월 에너지'!U$14:U$949,'09월 에너지'!$A$14:$A$949,$A24,'09월 에너지'!$C$14:$C$949,$B24)))</f>
        <v/>
      </c>
      <c r="CM24" s="835" t="str">
        <f>IF($C24&lt;1,"",(AVERAGEIFS('09월 에너지'!V$14:V$949,'09월 에너지'!$A$14:$A$949,$A24,'09월 에너지'!$C$14:$C$949,$B24)))</f>
        <v/>
      </c>
      <c r="CN24" s="835" t="str">
        <f>IF($C24&lt;1,"",(AVERAGEIFS('09월 에너지'!W$14:W$949,'09월 에너지'!$A$14:$A$949,$A24,'09월 에너지'!$C$14:$C$949,$B24)))</f>
        <v/>
      </c>
      <c r="CO24" s="831" t="str">
        <f>IF($C24&lt;1,"",(AVERAGEIFS('09월 에너지'!X$14:X$949,'09월 에너지'!$A$14:$A$949,$A24,'09월 에너지'!$C$14:$C$949,$B24)))</f>
        <v/>
      </c>
      <c r="CP24" s="835" t="str">
        <f>IF($C24&lt;1,"",(AVERAGEIFS('09월 에너지'!Y$14:Y$949,'09월 에너지'!$A$14:$A$949,$A24,'09월 에너지'!$C$14:$C$949,$B24)))</f>
        <v/>
      </c>
      <c r="CQ24" s="835" t="str">
        <f>IF($C24&lt;1,"",(AVERAGEIFS('09월 에너지'!Z$14:Z$949,'09월 에너지'!$A$14:$A$949,$A24,'09월 에너지'!$C$14:$C$949,$B24)))</f>
        <v/>
      </c>
      <c r="CR24" s="835" t="str">
        <f>IF($C24&lt;1,"",(AVERAGEIFS('09월 에너지'!AA$14:AA$949,'09월 에너지'!$A$14:$A$949,$A24,'09월 에너지'!$C$14:$C$949,$B24)))</f>
        <v/>
      </c>
      <c r="CS24" s="835" t="str">
        <f>IF($C24&lt;1,"",(AVERAGEIFS('09월 에너지'!AB$14:AB$949,'09월 에너지'!$A$14:$A$949,$A24,'09월 에너지'!$C$14:$C$949,$B24)))</f>
        <v/>
      </c>
      <c r="CT24" s="831" t="str">
        <f>IF($C24&lt;1,"",(AVERAGEIFS('09월 에너지'!AC$14:AC$949,'09월 에너지'!$A$14:$A$949,$A24,'09월 에너지'!$C$14:$C$949,$B24)))</f>
        <v/>
      </c>
      <c r="CU24" s="836" t="str">
        <f>IF($C24&lt;1,"",(AVERAGEIFS('09월 에너지'!AD$14:AD$949,'09월 에너지'!$A$14:$A$949,$A24,'09월 에너지'!$C$14:$C$949,$B24)))</f>
        <v/>
      </c>
      <c r="CV24" s="837" t="str">
        <f>IF($C24&lt;1,"",(AVERAGEIFS('09월 에너지'!AE$14:AE$949,'09월 에너지'!$A$14:$A$949,$A24,'09월 에너지'!$C$14:$C$949,$B24)))</f>
        <v/>
      </c>
      <c r="CW24" s="831" t="str">
        <f>IF($C24&lt;1,"",(AVERAGEIFS('09월 에너지'!AF$14:AF$949,'09월 에너지'!$A$14:$A$949,$A24,'09월 에너지'!$C$14:$C$949,$B24)))</f>
        <v/>
      </c>
      <c r="CX24" s="831" t="str">
        <f>IF($C24&lt;1,"",(AVERAGEIFS('09월 에너지'!AG$14:AG$949,'09월 에너지'!$A$14:$A$949,$A24,'09월 에너지'!$C$14:$C$949,$B24)))</f>
        <v/>
      </c>
      <c r="CY24" s="831" t="str">
        <f>IF($C24&lt;1,"",(AVERAGEIFS('09월 에너지'!AH$14:AH$949,'09월 에너지'!$A$14:$A$949,$A24,'09월 에너지'!$C$14:$C$949,$B24)))</f>
        <v/>
      </c>
      <c r="CZ24" s="831" t="str">
        <f>IF($C24&lt;1,"",(AVERAGEIFS('09월 에너지'!AI$14:AI$949,'09월 에너지'!$A$14:$A$949,$A24,'09월 에너지'!$C$14:$C$949,$B24)))</f>
        <v/>
      </c>
      <c r="DA24" s="838" t="str">
        <f>IF($C24&lt;1,"",(AVERAGEIFS('09월 에너지'!AJ$14:AJ$949,'09월 에너지'!$A$14:$A$949,$A24,'09월 에너지'!$C$14:$C$949,$B24)))</f>
        <v/>
      </c>
    </row>
    <row r="25" spans="1:105" ht="13.5" customHeight="1" thickBot="1">
      <c r="A25" s="851">
        <f t="shared" si="2"/>
        <v>44930</v>
      </c>
      <c r="B25" s="852" t="s">
        <v>94</v>
      </c>
      <c r="C25" s="841">
        <f>COUNTIFS('09월 조업일지'!$A$12:$A$952,A21,'09월 조업일지'!$E$12:$E$952,B25)</f>
        <v>0</v>
      </c>
      <c r="D25" s="842" t="str">
        <f t="shared" si="5"/>
        <v/>
      </c>
      <c r="E25" s="842" t="str">
        <f>IF($C25&lt;1,"",(SUMIFS('09월 조업일지'!$K$12:$K$952,'09월 조업일지'!$A$12:$A$952,$A25,'09월 조업일지'!$E$12:$E$952,$B25)/$C25))</f>
        <v/>
      </c>
      <c r="F25" s="842" t="str">
        <f>IF($C25&lt;1,"",(AVERAGEIFS('09월 조업일지'!$J$12:$J$952,'09월 조업일지'!$A$12:$A$952,$A25,'09월 조업일지'!$E$12:$E$952,$B25)))</f>
        <v/>
      </c>
      <c r="G25" s="843" t="str">
        <f>IF($C25&lt;1,"",(AVERAGEIFS('09월 에너지'!$M$14:$M$949,'09월 에너지'!$A$14:$A$949,$A25,'09월 에너지'!$C$14:$C$949,$B25)))</f>
        <v/>
      </c>
      <c r="H25" s="844" t="str">
        <f>IF($C25&lt;1,"",(AVERAGEIFS('09월 조업일지'!$AJ$12:$AJ$952,'09월 조업일지'!$A$12:$A$952,$A25,'09월 조업일지'!$E$12:$E$952,$B25)))</f>
        <v/>
      </c>
      <c r="I25" s="844" t="str">
        <f>IF($C25&lt;1,"",(AVERAGEIFS('09월 조업일지'!$AL$12:$AL$952,'09월 조업일지'!$A$12:$A$952,$A25,'09월 조업일지'!$E$12:$E$952,$B25)))</f>
        <v/>
      </c>
      <c r="J25" s="845" t="str">
        <f>IF($C25&lt;1,"",(AVERAGEIFS('09월 화학성분'!G$12:G$949,'09월 화학성분'!$A$12:$A$949,$A25,'09월 화학성분'!$D$12:$D$949,$B25)))</f>
        <v/>
      </c>
      <c r="K25" s="845" t="str">
        <f>IF($C25&lt;1,"",(AVERAGEIFS('09월 화학성분'!H$12:H$949,'09월 화학성분'!$A$12:$A$949,$A25,'09월 화학성분'!$D$12:$D$949,$B25)))</f>
        <v/>
      </c>
      <c r="L25" s="845" t="str">
        <f>IF($C25&lt;1,"",(AVERAGEIFS('09월 화학성분'!I$12:I$949,'09월 화학성분'!$A$12:$A$949,$A25,'09월 화학성분'!$D$12:$D$949,$B25)))</f>
        <v/>
      </c>
      <c r="M25" s="845" t="str">
        <f>IF($C25&lt;1,"",(AVERAGEIFS('09월 화학성분'!J$12:J$949,'09월 화학성분'!$A$12:$A$949,$A25,'09월 화학성분'!$D$12:$D$949,$B25)))</f>
        <v/>
      </c>
      <c r="N25" s="845" t="str">
        <f>IF($C25&lt;1,"",(AVERAGEIFS('09월 화학성분'!K$12:K$949,'09월 화학성분'!$A$12:$A$949,$A25,'09월 화학성분'!$D$12:$D$949,$B25)))</f>
        <v/>
      </c>
      <c r="O25" s="845" t="str">
        <f>IF($C25&lt;1,"",(AVERAGEIFS('09월 화학성분'!L$12:L$949,'09월 화학성분'!$A$12:$A$949,$A25,'09월 화학성분'!$D$12:$D$949,$B25)))</f>
        <v/>
      </c>
      <c r="P25" s="845" t="str">
        <f>IF($C25&lt;1,"",(AVERAGEIFS('09월 화학성분'!M$12:M$949,'09월 화학성분'!$A$12:$A$949,$A25,'09월 화학성분'!$D$12:$D$949,$B25)))</f>
        <v/>
      </c>
      <c r="Q25" s="827" t="str">
        <f>IFERROR(IF($C25&lt;1,"",(AVERAGEIFS('09월 조업일지'!$AA$12:$AA$952,'09월 조업일지'!$A$12:$A$952,$A25,'09월 조업일지'!$E$12:$E$952,$B25))),"")</f>
        <v/>
      </c>
      <c r="R25" s="845" t="str">
        <f>IF($C25&lt;1,"",(AVERAGEIFS('09월 조업일지'!$AK$12:$AK$952,'09월 조업일지'!$A$12:$A$952,$A25,'09월 조업일지'!$E$12:$E$952,$B25)))</f>
        <v/>
      </c>
      <c r="S25" s="845"/>
      <c r="T25" s="845"/>
      <c r="U25" s="845" t="str">
        <f>IF($C25&lt;1,"",(AVERAGEIFS('09월 화학성분'!$G$12:$G$949,'09월 화학성분'!$A$12:$A$949,$A25,'09월 화학성분'!$D$12:$D$949,$B25)))</f>
        <v/>
      </c>
      <c r="V25" s="845" t="str">
        <f>IF($C25&lt;1,"",(AVERAGEIFS('09월 조업일지'!$AI$12:$AI$952,'09월 조업일지'!$A$12:$A$952,$A25,'09월 조업일지'!$E$12:$E$952,$B25)))</f>
        <v/>
      </c>
      <c r="W25" s="846" t="str">
        <f>IF($C25&lt;1,"",(AVERAGEIFS('09월 화학성분'!$AM$12:$AM$949,'09월 화학성분'!$A$12:$A$949,$A25,'09월 화학성분'!$D$12:$D$949,$B25)))</f>
        <v/>
      </c>
      <c r="X25" s="829" t="str">
        <f>IF($C25&lt;1,"",(AVERAGEIFS('09월 화학성분'!N$12:N$949,'09월 화학성분'!$A$12:$A$949,$A25,'09월 화학성분'!$D$12:$D$949,$B25)))</f>
        <v/>
      </c>
      <c r="Y25" s="829" t="str">
        <f>IF($C25&lt;1,"",(AVERAGEIFS('09월 화학성분'!O$12:O$949,'09월 화학성분'!$A$12:$A$949,$A25,'09월 화학성분'!$D$12:$D$949,$B25)))</f>
        <v/>
      </c>
      <c r="Z25" s="829" t="str">
        <f>IF($C25&lt;1,"",(AVERAGEIFS('09월 화학성분'!P$12:P$949,'09월 화학성분'!$A$12:$A$949,$A25,'09월 화학성분'!$D$12:$D$949,$B25)))</f>
        <v/>
      </c>
      <c r="AA25" s="829" t="str">
        <f>IF($C25&lt;1,"",(AVERAGEIFS('09월 화학성분'!Q$12:Q$949,'09월 화학성분'!$A$12:$A$949,$A25,'09월 화학성분'!$D$12:$D$949,$B25)))</f>
        <v/>
      </c>
      <c r="AB25" s="829" t="str">
        <f>IF($C25&lt;1,"",(AVERAGEIFS('09월 화학성분'!R$12:R$949,'09월 화학성분'!$A$12:$A$949,$A25,'09월 화학성분'!$D$12:$D$949,$B25)))</f>
        <v/>
      </c>
      <c r="AC25" s="829" t="str">
        <f>IF($C25&lt;1,"",(AVERAGEIFS('09월 화학성분'!U$12:U$949,'09월 화학성분'!$A$12:$A$949,$A25,'09월 화학성분'!$D$12:$D$949,$B25)))</f>
        <v/>
      </c>
      <c r="AD25" s="829" t="str">
        <f>IF($C25&lt;1,"",(AVERAGEIFS('09월 화학성분'!V$12:V$949,'09월 화학성분'!$A$12:$A$949,$A25,'09월 화학성분'!$D$12:$D$949,$B25)))</f>
        <v/>
      </c>
      <c r="AE25" s="829" t="str">
        <f>IF($C25&lt;1,"",(AVERAGEIFS('09월 화학성분'!W$12:W$949,'09월 화학성분'!$A$12:$A$949,$A25,'09월 화학성분'!$D$12:$D$949,$B25)))</f>
        <v/>
      </c>
      <c r="AF25" s="829" t="str">
        <f>IF($C25&lt;1,"",(AVERAGEIFS('09월 화학성분'!AA$12:AA$949,'09월 화학성분'!$A$12:$A$949,$A25,'09월 화학성분'!$D$12:$D$949,$B25)))</f>
        <v/>
      </c>
      <c r="AG25" s="829" t="str">
        <f>IF($C25&lt;1,"",(AVERAGEIFS('09월 화학성분'!#REF!,'09월 화학성분'!$A$12:$A$949,$A25,'09월 화학성분'!$D$12:$D$949,$B25)))</f>
        <v/>
      </c>
      <c r="AH25" s="829" t="str">
        <f>IF($C25&lt;1,"",(AVERAGEIFS('09월 화학성분'!AB$12:AB$949,'09월 화학성분'!$A$12:$A$949,$A25,'09월 화학성분'!$D$12:$D$949,$B25)))</f>
        <v/>
      </c>
      <c r="AI25" s="829" t="str">
        <f>IF($C25&lt;1,"",(AVERAGEIFS('09월 화학성분'!AC$12:AC$949,'09월 화학성분'!$A$12:$A$949,$A25,'09월 화학성분'!$D$12:$D$949,$B25)))</f>
        <v/>
      </c>
      <c r="AJ25" s="829" t="str">
        <f>IF($C25&lt;1,"",(AVERAGEIFS('09월 화학성분'!AD$12:AD$949,'09월 화학성분'!$A$12:$A$949,$A25,'09월 화학성분'!$D$12:$D$949,$B25)))</f>
        <v/>
      </c>
      <c r="AK25" s="829" t="str">
        <f>IF($C25&lt;1,"",(AVERAGEIFS('09월 화학성분'!AF$12:AF$949,'09월 화학성분'!$A$12:$A$949,$A25,'09월 화학성분'!$D$12:$D$949,$B25)))</f>
        <v/>
      </c>
      <c r="AL25" s="829" t="str">
        <f>IF($C25&lt;1,"",(AVERAGEIFS('09월 화학성분'!AG$12:AG$949,'09월 화학성분'!$A$12:$A$949,$A25,'09월 화학성분'!$D$12:$D$949,$B25)))</f>
        <v/>
      </c>
      <c r="AM25" s="829" t="str">
        <f>IF($C25&lt;1,"",(AVERAGEIFS('09월 화학성분'!AH$12:AH$949,'09월 화학성분'!$A$12:$A$949,$A25,'09월 화학성분'!$D$12:$D$949,$B25)))</f>
        <v/>
      </c>
      <c r="AN25" s="829" t="str">
        <f>IF($C25&lt;1,"",(AVERAGEIFS('09월 화학성분'!AI$12:AI$949,'09월 화학성분'!$A$12:$A$949,$A25,'09월 화학성분'!$D$12:$D$949,$B25)))</f>
        <v/>
      </c>
      <c r="AO25" s="829" t="str">
        <f>IF($C25&lt;1,"",(AVERAGEIFS('09월 화학성분'!AJ$12:AJ$949,'09월 화학성분'!$A$12:$A$949,$A25,'09월 화학성분'!$D$12:$D$949,$B25)))</f>
        <v/>
      </c>
      <c r="AP25" s="829" t="str">
        <f>IF($C25&lt;1,"",(AVERAGEIFS('09월 화학성분'!#REF!,'09월 화학성분'!$A$12:$A$949,$A25,'09월 화학성분'!$D$12:$D$949,$B25)))</f>
        <v/>
      </c>
      <c r="AQ25" s="829" t="str">
        <f>IF($C25&lt;1,"",(AVERAGEIFS('09월 화학성분'!AL$12:AL$949,'09월 화학성분'!$A$12:$A$949,$A25,'09월 화학성분'!$D$12:$D$949,$B25)))</f>
        <v/>
      </c>
      <c r="AR25" s="829" t="str">
        <f>IF($C25&lt;1,"",(AVERAGEIFS('09월 화학성분'!AM$12:AM$949,'09월 화학성분'!$A$12:$A$949,$A25,'09월 화학성분'!$D$12:$D$949,$B25)))</f>
        <v/>
      </c>
      <c r="AS25" s="830" t="str">
        <f>IF($C25&lt;1,"",(AVERAGEIFS('09월 화학성분'!AN$12:AN$949,'09월 화학성분'!$A$12:$A$949,$A25,'09월 화학성분'!$D$12:$D$949,$B25)))</f>
        <v/>
      </c>
      <c r="AT25" s="830" t="str">
        <f>IF($C25&lt;1,"",(AVERAGEIFS('09월 화학성분'!AO$12:AO$949,'09월 화학성분'!$A$12:$A$949,$A25,'09월 화학성분'!$D$12:$D$949,$B25)))</f>
        <v/>
      </c>
      <c r="AU25" s="831" t="str">
        <f>IF($C25&lt;1,"",(AVERAGEIFS('09월 화학성분'!AP$12:AP$949,'09월 화학성분'!$A$12:$A$949,$A25,'09월 화학성분'!$D$12:$D$949,$B25)))</f>
        <v/>
      </c>
      <c r="AV25" s="832" t="str">
        <f>IF($C25&lt;1,"",(AVERAGEIFS('09월 고철장입'!G$14:G$949,'09월 고철장입'!$A$14:$A$949,$A25,'09월 고철장입'!$C$14:$C$949,$B25))/1000)</f>
        <v/>
      </c>
      <c r="AW25" s="832" t="str">
        <f>IF($C25&lt;1,"",(AVERAGEIFS('09월 고철장입'!H$14:H$949,'09월 고철장입'!$A$14:$A$949,$A25,'09월 고철장입'!$C$14:$C$949,$B25))/1000)</f>
        <v/>
      </c>
      <c r="AX25" s="832" t="str">
        <f>IF($C25&lt;1,"",(AVERAGEIFS('09월 고철장입'!I$14:I$949,'09월 고철장입'!$A$14:$A$949,$A25,'09월 고철장입'!$C$14:$C$949,$B25))/1000)</f>
        <v/>
      </c>
      <c r="AY25" s="832" t="str">
        <f>IF($C25&lt;1,"",(AVERAGEIFS('09월 고철장입'!J$14:J$949,'09월 고철장입'!$A$14:$A$949,$A25,'09월 고철장입'!$C$14:$C$949,$B25))/1000)</f>
        <v/>
      </c>
      <c r="AZ25" s="832" t="str">
        <f>IF($C25&lt;1,"",(AVERAGEIFS('09월 고철장입'!K$14:K$949,'09월 고철장입'!$A$14:$A$949,$A25,'09월 고철장입'!$C$14:$C$949,$B25))/1000)</f>
        <v/>
      </c>
      <c r="BA25" s="832" t="str">
        <f>IF($C25&lt;1,"",(AVERAGEIFS('09월 고철장입'!L$14:L$949,'09월 고철장입'!$A$14:$A$949,$A25,'09월 고철장입'!$C$14:$C$949,$B25))/1000)</f>
        <v/>
      </c>
      <c r="BB25" s="832" t="str">
        <f>IF($C25&lt;1,"",(AVERAGEIFS('09월 고철장입'!M$14:M$949,'09월 고철장입'!$A$14:$A$949,$A25,'09월 고철장입'!$C$14:$C$949,$B25))/1000)</f>
        <v/>
      </c>
      <c r="BC25" s="832" t="str">
        <f>IF($C25&lt;1,"",(AVERAGEIFS('09월 고철장입'!N$14:N$949,'09월 고철장입'!$A$14:$A$949,$A25,'09월 고철장입'!$C$14:$C$949,$B25))/1000)</f>
        <v/>
      </c>
      <c r="BD25" s="832" t="str">
        <f>IF($C25&lt;1,"",(AVERAGEIFS('09월 고철장입'!O$14:O$949,'09월 고철장입'!$A$14:$A$949,$A25,'09월 고철장입'!$C$14:$C$949,$B25))/1000)</f>
        <v/>
      </c>
      <c r="BE25" s="833" t="str">
        <f>IF($C25&lt;1,"",(AVERAGEIFS('09월 고철장입'!P$14:P$949,'09월 고철장입'!$A$14:$A$949,$A25,'09월 고철장입'!$C$14:$C$949,$B25))/1000)</f>
        <v/>
      </c>
      <c r="BF25" s="833" t="str">
        <f>IF($C25&lt;1,"",(AVERAGEIFS('09월 고철장입'!Q$14:Q$949,'09월 고철장입'!$A$14:$A$949,$A25,'09월 고철장입'!$C$14:$C$949,$B25))/1000)</f>
        <v/>
      </c>
      <c r="BG25" s="833" t="str">
        <f>IF($C25&lt;1,"",(AVERAGEIFS('09월 고철장입'!S$14:S$949,'09월 고철장입'!$A$14:$A$949,$A25,'09월 고철장입'!$C$14:$C$949,$B25))/1000)</f>
        <v/>
      </c>
      <c r="BH25" s="833" t="str">
        <f>IF($C25&lt;1,"",(AVERAGEIFS('09월 고철장입'!T$14:T$949,'09월 고철장입'!$A$14:$A$949,$A25,'09월 고철장입'!$C$14:$C$949,$B25))/1000)</f>
        <v/>
      </c>
      <c r="BI25" s="833" t="str">
        <f>IF($C25&lt;1,"",(AVERAGEIFS('09월 고철장입'!U$14:U$949,'09월 고철장입'!$A$14:$A$949,$A25,'09월 고철장입'!$C$14:$C$949,$B25))/1000)</f>
        <v/>
      </c>
      <c r="BJ25" s="833" t="str">
        <f>IF($C25&lt;1,"",(AVERAGEIFS('09월 고철장입'!V$14:V$949,'09월 고철장입'!$A$14:$A$949,$A25,'09월 고철장입'!$C$14:$C$949,$B25))/1000)</f>
        <v/>
      </c>
      <c r="BK25" s="833" t="str">
        <f>IF($C25&lt;1,"",(AVERAGEIFS('09월 고철장입'!W$14:W$949,'09월 고철장입'!$A$14:$A$949,$A25,'09월 고철장입'!$C$14:$C$949,$B25))/1000)</f>
        <v/>
      </c>
      <c r="BL25" s="833" t="str">
        <f>IF($C25&lt;1,"",(AVERAGEIFS('09월 고철장입'!Y$14:Y$949,'09월 고철장입'!$A$14:$A$949,$A25,'09월 고철장입'!$C$14:$C$949,$B25))/1000)</f>
        <v/>
      </c>
      <c r="BM25" s="833" t="str">
        <f>IF($C25&lt;1,"",(AVERAGEIFS('09월 고철장입'!AB$14:AB$949,'09월 고철장입'!$A$14:$A$949,$A25,'09월 고철장입'!$C$14:$C$949,$B25))/1000)</f>
        <v/>
      </c>
      <c r="BN25" s="833" t="str">
        <f>IF($C25&lt;1,"",(AVERAGEIFS('09월 고철장입'!AC$14:AC$949,'09월 고철장입'!$A$14:$A$949,$A25,'09월 고철장입'!$C$14:$C$949,$B25))/1000)</f>
        <v/>
      </c>
      <c r="BO25" s="833" t="str">
        <f>IF($C25&lt;1,"",(AVERAGEIFS('09월 고철장입'!AD$14:AD$949,'09월 고철장입'!$A$14:$A$949,$A25,'09월 고철장입'!$C$14:$C$949,$B25))/1000)</f>
        <v/>
      </c>
      <c r="BP25" s="833" t="str">
        <f>IF($C25&lt;1,"",(AVERAGEIFS('09월 고철장입'!AE$14:AE$949,'09월 고철장입'!$A$14:$A$949,$A25,'09월 고철장입'!$C$14:$C$949,$B25))/1000)</f>
        <v/>
      </c>
      <c r="BQ25" s="832" t="str">
        <f>IF($C25&lt;1,"",(AVERAGEIFS('09월 고철장입'!AF$14:AF$949,'09월 고철장입'!$A$14:$A$949,$A25,'09월 고철장입'!$C$14:$C$949,$B25))/1000)</f>
        <v/>
      </c>
      <c r="BR25" s="832" t="str">
        <f>IF($C25&lt;1,"",(AVERAGEIFS('09월 고철장입'!AG$14:AG$949,'09월 고철장입'!$A$14:$A$949,$A25,'09월 고철장입'!$C$14:$C$949,$B25))/1000)</f>
        <v/>
      </c>
      <c r="BS25" s="832" t="str">
        <f>IF($C25&lt;1,"",(AVERAGEIFS('09월 고철장입'!AH$14:AH$949,'09월 고철장입'!$A$14:$A$949,$A25,'09월 고철장입'!$C$14:$C$949,$B25))/1000)</f>
        <v/>
      </c>
      <c r="BT25" s="832" t="str">
        <f>IF($C25&lt;1,"",(AVERAGEIFS('09월 고철장입'!AI$14:AI$949,'09월 고철장입'!$A$14:$A$949,$A25,'09월 고철장입'!$C$14:$C$949,$B25))/1000)</f>
        <v/>
      </c>
      <c r="BU25" s="834" t="str">
        <f>IF($C25&lt;1,"",(AVERAGEIFS('09월 고철장입'!AJ$14:AJ$949,'09월 고철장입'!$A$14:$A$949,$A25,'09월 고철장입'!$C$14:$C$949,$B25))/1000)</f>
        <v/>
      </c>
      <c r="BV25" s="834" t="str">
        <f>IF($C25&lt;1,"",(AVERAGEIFS('09월 고철장입'!AK$14:AK$949,'09월 고철장입'!$A$14:$A$949,$A25,'09월 고철장입'!$C$14:$C$949,$B25)))</f>
        <v/>
      </c>
      <c r="BW25" s="834" t="str">
        <f>IF($C25&lt;1,"",(AVERAGEIFS('09월 고철장입'!AL$14:AL$949,'09월 고철장입'!$A$14:$A$949,$A25,'09월 고철장입'!$C$14:$C$949,$B25))*100)</f>
        <v/>
      </c>
      <c r="BX25" s="831" t="str">
        <f>IF($C25&lt;1,"",(AVERAGEIFS('09월 에너지'!G$14:G$949,'09월 에너지'!$A$14:$A$949,$A25,'09월 에너지'!$C$14:$C$949,$B25)))</f>
        <v/>
      </c>
      <c r="BY25" s="835" t="str">
        <f>IF($C25&lt;1,"",(AVERAGEIFS('09월 에너지'!H$14:H$949,'09월 에너지'!$A$14:$A$949,$A25,'09월 에너지'!$C$14:$C$949,$B25)))</f>
        <v/>
      </c>
      <c r="BZ25" s="831" t="str">
        <f>IF($C25&lt;1,"",(AVERAGEIFS('09월 에너지'!I$14:I$949,'09월 에너지'!$A$14:$A$949,$A25,'09월 에너지'!$C$14:$C$949,$B25)))</f>
        <v/>
      </c>
      <c r="CA25" s="835" t="str">
        <f>IF($C25&lt;1,"",(AVERAGEIFS('09월 에너지'!J$14:J$949,'09월 에너지'!$A$14:$A$949,$A25,'09월 에너지'!$C$14:$C$949,$B25)))</f>
        <v/>
      </c>
      <c r="CB25" s="831" t="str">
        <f>IF($C25&lt;1,"",(AVERAGEIFS('09월 에너지'!K$14:K$949,'09월 에너지'!$A$14:$A$949,$A25,'09월 에너지'!$C$14:$C$949,$B25)))</f>
        <v/>
      </c>
      <c r="CC25" s="835" t="str">
        <f>IF($C25&lt;1,"",(AVERAGEIFS('09월 에너지'!L$14:L$949,'09월 에너지'!$A$14:$A$949,$A25,'09월 에너지'!$C$14:$C$949,$B25)))</f>
        <v/>
      </c>
      <c r="CD25" s="831" t="str">
        <f>IF($C25&lt;1,"",(AVERAGEIFS('09월 에너지'!M$14:M$949,'09월 에너지'!$A$14:$A$949,$A25,'09월 에너지'!$C$14:$C$949,$B25)))</f>
        <v/>
      </c>
      <c r="CE25" s="835" t="str">
        <f>IF($C25&lt;1,"",(AVERAGEIFS('09월 에너지'!N$14:N$949,'09월 에너지'!$A$14:$A$949,$A25,'09월 에너지'!$C$14:$C$949,$B25)))</f>
        <v/>
      </c>
      <c r="CF25" s="831" t="str">
        <f>IF($C25&lt;1,"",(AVERAGEIFS('09월 에너지'!O$14:O$949,'09월 에너지'!$A$14:$A$949,$A25,'09월 에너지'!$C$14:$C$949,$B25)))</f>
        <v/>
      </c>
      <c r="CG25" s="831" t="str">
        <f>IF($C25&lt;1,"",(AVERAGEIFS('09월 에너지'!P$14:P$949,'09월 에너지'!$A$14:$A$949,$A25,'09월 에너지'!$C$14:$C$949,$B25)))</f>
        <v/>
      </c>
      <c r="CH25" s="831" t="str">
        <f>IF($C25&lt;1,"",(AVERAGEIFS('09월 에너지'!Q$14:Q$949,'09월 에너지'!$A$14:$A$949,$A25,'09월 에너지'!$C$14:$C$949,$B25)))</f>
        <v/>
      </c>
      <c r="CI25" s="831" t="str">
        <f>IF($C25&lt;1,"",(AVERAGEIFS('09월 에너지'!R$14:R$949,'09월 에너지'!$A$14:$A$949,$A25,'09월 에너지'!$C$14:$C$949,$B25)))</f>
        <v/>
      </c>
      <c r="CJ25" s="831" t="str">
        <f>IF($C25&lt;1,"",(AVERAGEIFS('09월 에너지'!S$14:S$949,'09월 에너지'!$A$14:$A$949,$A25,'09월 에너지'!$C$14:$C$949,$B25)))</f>
        <v/>
      </c>
      <c r="CK25" s="831" t="str">
        <f>IF($C25&lt;1,"",(AVERAGEIFS('09월 에너지'!T$14:T$949,'09월 에너지'!$A$14:$A$949,$A25,'09월 에너지'!$C$14:$C$949,$B25)))</f>
        <v/>
      </c>
      <c r="CL25" s="831" t="str">
        <f>IF($C25&lt;1,"",(AVERAGEIFS('09월 에너지'!U$14:U$949,'09월 에너지'!$A$14:$A$949,$A25,'09월 에너지'!$C$14:$C$949,$B25)))</f>
        <v/>
      </c>
      <c r="CM25" s="835" t="str">
        <f>IF($C25&lt;1,"",(AVERAGEIFS('09월 에너지'!V$14:V$949,'09월 에너지'!$A$14:$A$949,$A25,'09월 에너지'!$C$14:$C$949,$B25)))</f>
        <v/>
      </c>
      <c r="CN25" s="835" t="str">
        <f>IF($C25&lt;1,"",(AVERAGEIFS('09월 에너지'!W$14:W$949,'09월 에너지'!$A$14:$A$949,$A25,'09월 에너지'!$C$14:$C$949,$B25)))</f>
        <v/>
      </c>
      <c r="CO25" s="831" t="str">
        <f>IF($C25&lt;1,"",(AVERAGEIFS('09월 에너지'!X$14:X$949,'09월 에너지'!$A$14:$A$949,$A25,'09월 에너지'!$C$14:$C$949,$B25)))</f>
        <v/>
      </c>
      <c r="CP25" s="835" t="str">
        <f>IF($C25&lt;1,"",(AVERAGEIFS('09월 에너지'!Y$14:Y$949,'09월 에너지'!$A$14:$A$949,$A25,'09월 에너지'!$C$14:$C$949,$B25)))</f>
        <v/>
      </c>
      <c r="CQ25" s="835" t="str">
        <f>IF($C25&lt;1,"",(AVERAGEIFS('09월 에너지'!Z$14:Z$949,'09월 에너지'!$A$14:$A$949,$A25,'09월 에너지'!$C$14:$C$949,$B25)))</f>
        <v/>
      </c>
      <c r="CR25" s="835" t="str">
        <f>IF($C25&lt;1,"",(AVERAGEIFS('09월 에너지'!AA$14:AA$949,'09월 에너지'!$A$14:$A$949,$A25,'09월 에너지'!$C$14:$C$949,$B25)))</f>
        <v/>
      </c>
      <c r="CS25" s="835" t="str">
        <f>IF($C25&lt;1,"",(AVERAGEIFS('09월 에너지'!AB$14:AB$949,'09월 에너지'!$A$14:$A$949,$A25,'09월 에너지'!$C$14:$C$949,$B25)))</f>
        <v/>
      </c>
      <c r="CT25" s="831" t="str">
        <f>IF($C25&lt;1,"",(AVERAGEIFS('09월 에너지'!AC$14:AC$949,'09월 에너지'!$A$14:$A$949,$A25,'09월 에너지'!$C$14:$C$949,$B25)))</f>
        <v/>
      </c>
      <c r="CU25" s="836" t="str">
        <f>IF($C25&lt;1,"",(AVERAGEIFS('09월 에너지'!AD$14:AD$949,'09월 에너지'!$A$14:$A$949,$A25,'09월 에너지'!$C$14:$C$949,$B25)))</f>
        <v/>
      </c>
      <c r="CV25" s="837" t="str">
        <f>IF($C25&lt;1,"",(AVERAGEIFS('09월 에너지'!AE$14:AE$949,'09월 에너지'!$A$14:$A$949,$A25,'09월 에너지'!$C$14:$C$949,$B25)))</f>
        <v/>
      </c>
      <c r="CW25" s="831" t="str">
        <f>IF($C25&lt;1,"",(AVERAGEIFS('09월 에너지'!AF$14:AF$949,'09월 에너지'!$A$14:$A$949,$A25,'09월 에너지'!$C$14:$C$949,$B25)))</f>
        <v/>
      </c>
      <c r="CX25" s="831" t="str">
        <f>IF($C25&lt;1,"",(AVERAGEIFS('09월 에너지'!AG$14:AG$949,'09월 에너지'!$A$14:$A$949,$A25,'09월 에너지'!$C$14:$C$949,$B25)))</f>
        <v/>
      </c>
      <c r="CY25" s="831" t="str">
        <f>IF($C25&lt;1,"",(AVERAGEIFS('09월 에너지'!AH$14:AH$949,'09월 에너지'!$A$14:$A$949,$A25,'09월 에너지'!$C$14:$C$949,$B25)))</f>
        <v/>
      </c>
      <c r="CZ25" s="831" t="str">
        <f>IF($C25&lt;1,"",(AVERAGEIFS('09월 에너지'!AI$14:AI$949,'09월 에너지'!$A$14:$A$949,$A25,'09월 에너지'!$C$14:$C$949,$B25)))</f>
        <v/>
      </c>
      <c r="DA25" s="838" t="str">
        <f>IF($C25&lt;1,"",(AVERAGEIFS('09월 에너지'!AJ$14:AJ$949,'09월 에너지'!$A$14:$A$949,$A25,'09월 에너지'!$C$14:$C$949,$B25)))</f>
        <v/>
      </c>
    </row>
    <row r="26" spans="1:105" ht="13.5" customHeight="1">
      <c r="A26" s="847">
        <f>A21+1</f>
        <v>44931</v>
      </c>
      <c r="B26" s="848" t="s">
        <v>31</v>
      </c>
      <c r="C26" s="810">
        <f>COUNTIF('09월 조업일지'!$A$12:$A$952,A26)</f>
        <v>0</v>
      </c>
      <c r="D26" s="787" t="str">
        <f>IF(C26&lt;1,"",F26-E26)</f>
        <v/>
      </c>
      <c r="E26" s="787" t="str">
        <f>IF($C26&lt;1,"",(SUMIF('09월 조업일지'!$A$12:$A$952,$A26,'09월 조업일지'!$K$12:$K$952))/C26)</f>
        <v/>
      </c>
      <c r="F26" s="787" t="str">
        <f>IF($C26&lt;1,"",AVERAGEIF('09월 조업일지'!$A$12:$A$952,$A26,'09월 조업일지'!$J$12:$J$952))</f>
        <v/>
      </c>
      <c r="G26" s="811" t="str">
        <f>IF($C26&lt;1,"",AVERAGEIF('09월 에너지'!$A$14:$A$949,$A26,'09월 에너지'!$M$14:M$949))</f>
        <v/>
      </c>
      <c r="H26" s="812" t="str">
        <f>IF($C26&lt;1,"",AVERAGEIF('09월 조업일지'!$A$12:$A$952,$A26,'09월 조업일지'!$AJ$12:$AJ$952))</f>
        <v/>
      </c>
      <c r="I26" s="812" t="str">
        <f>IF($C26&lt;1,"",AVERAGEIF('09월 조업일지'!$A$12:$A$952,$A26,'09월 조업일지'!$AL$12:$AL$952))</f>
        <v/>
      </c>
      <c r="J26" s="813" t="str">
        <f>IF($C26&lt;1,"",AVERAGEIF('09월 화학성분'!$A$12:$A$949,$A26,'09월 화학성분'!G$12:G$949))</f>
        <v/>
      </c>
      <c r="K26" s="813" t="str">
        <f>IF($C26&lt;1,"",AVERAGEIF('09월 화학성분'!$A$12:$A$949,$A26,'09월 화학성분'!H$12:H$949))</f>
        <v/>
      </c>
      <c r="L26" s="813" t="str">
        <f>IF($C26&lt;1,"",AVERAGEIF('09월 화학성분'!$A$12:$A$949,$A26,'09월 화학성분'!I$12:I$949))</f>
        <v/>
      </c>
      <c r="M26" s="813" t="str">
        <f>IF($C26&lt;1,"",AVERAGEIF('09월 화학성분'!$A$12:$A$949,$A26,'09월 화학성분'!J$12:J$949))</f>
        <v/>
      </c>
      <c r="N26" s="813" t="str">
        <f>IF($C26&lt;1,"",AVERAGEIF('09월 화학성분'!$A$12:$A$949,$A26,'09월 화학성분'!K$12:K$949))</f>
        <v/>
      </c>
      <c r="O26" s="813" t="str">
        <f>IF($C26&lt;1,"",AVERAGEIF('09월 화학성분'!$A$12:$A$949,$A26,'09월 화학성분'!L$12:L$949))</f>
        <v/>
      </c>
      <c r="P26" s="813" t="str">
        <f>IF($C26&lt;1,"",AVERAGEIF('09월 화학성분'!$A$12:$A$949,$A26,'09월 화학성분'!M$12:M$949))</f>
        <v/>
      </c>
      <c r="Q26" s="814" t="str">
        <f>IF($C26&lt;1,"",AVERAGEIF('09월 조업일지'!$A$12:$A$952,$A26,'09월 조업일지'!$AA$12:$AA$952))</f>
        <v/>
      </c>
      <c r="R26" s="814" t="str">
        <f>IF($C26&lt;1,"",AVERAGEIF('09월 조업일지'!$A$12:$A$952,$A26,'09월 조업일지'!$AK$12:$AK$952))</f>
        <v/>
      </c>
      <c r="S26" s="814"/>
      <c r="T26" s="814"/>
      <c r="U26" s="813" t="str">
        <f>IF($C26&lt;1,"",AVERAGEIF('09월 화학성분'!$A$12:$A$949,$A26,'09월 화학성분'!$G$12:$G$949))</f>
        <v/>
      </c>
      <c r="V26" s="814" t="str">
        <f>IF($C26&lt;1,"",AVERAGEIF('09월 조업일지'!$A$12:$A$952,$A26,'09월 조업일지'!$AI$12:$AI$952))</f>
        <v/>
      </c>
      <c r="W26" s="813" t="str">
        <f>IF($C26&lt;1,"",AVERAGEIF('09월 화학성분'!$A$12:$A$949,$A26,'09월 화학성분'!$AM$12:$AM$949))</f>
        <v/>
      </c>
      <c r="X26" s="815" t="str">
        <f>IF($C26&lt;1,"",AVERAGEIF('09월 화학성분'!$A$12:$A$949,$A26,'09월 화학성분'!N$12:N$949))</f>
        <v/>
      </c>
      <c r="Y26" s="815" t="str">
        <f>IF($C26&lt;1,"",AVERAGEIF('09월 화학성분'!$A$12:$A$949,$A26,'09월 화학성분'!O$12:O$949))</f>
        <v/>
      </c>
      <c r="Z26" s="815" t="str">
        <f>IF($C26&lt;1,"",AVERAGEIF('09월 화학성분'!$A$12:$A$949,$A26,'09월 화학성분'!P$12:P$949))</f>
        <v/>
      </c>
      <c r="AA26" s="815" t="str">
        <f>IF($C26&lt;1,"",AVERAGEIF('09월 화학성분'!$A$12:$A$949,$A26,'09월 화학성분'!Q$12:Q$949))</f>
        <v/>
      </c>
      <c r="AB26" s="815" t="str">
        <f>IF($C26&lt;1,"",AVERAGEIF('09월 화학성분'!$A$12:$A$949,$A26,'09월 화학성분'!R$12:R$949))</f>
        <v/>
      </c>
      <c r="AC26" s="815" t="str">
        <f>IF($C26&lt;1,"",AVERAGEIF('09월 화학성분'!$A$12:$A$949,$A26,'09월 화학성분'!U$12:U$949))</f>
        <v/>
      </c>
      <c r="AD26" s="815" t="str">
        <f>IF($C26&lt;1,"",AVERAGEIF('09월 화학성분'!$A$12:$A$949,$A26,'09월 화학성분'!V$12:V$949))</f>
        <v/>
      </c>
      <c r="AE26" s="815" t="str">
        <f>IF($C26&lt;1,"",AVERAGEIF('09월 화학성분'!$A$12:$A$949,$A26,'09월 화학성분'!W$12:W$949))</f>
        <v/>
      </c>
      <c r="AF26" s="815" t="str">
        <f>IF($C26&lt;1,"",AVERAGEIF('09월 화학성분'!$A$12:$A$949,$A26,'09월 화학성분'!AA$12:AA$949))</f>
        <v/>
      </c>
      <c r="AG26" s="815" t="str">
        <f>IF($C26&lt;1,"",AVERAGEIF('09월 화학성분'!$A$12:$A$949,$A26,'09월 화학성분'!#REF!))</f>
        <v/>
      </c>
      <c r="AH26" s="815" t="str">
        <f>IF($C26&lt;1,"",AVERAGEIF('09월 화학성분'!$A$12:$A$949,$A26,'09월 화학성분'!AB$12:AB$949))</f>
        <v/>
      </c>
      <c r="AI26" s="815" t="str">
        <f>IF($C26&lt;1,"",AVERAGEIF('09월 화학성분'!$A$12:$A$949,$A26,'09월 화학성분'!AC$12:AC$949))</f>
        <v/>
      </c>
      <c r="AJ26" s="815" t="str">
        <f>IF($C26&lt;1,"",AVERAGEIF('09월 화학성분'!$A$12:$A$949,$A26,'09월 화학성분'!AD$12:AD$949))</f>
        <v/>
      </c>
      <c r="AK26" s="815" t="str">
        <f>IF($C26&lt;1,"",AVERAGEIF('09월 화학성분'!$A$12:$A$949,$A26,'09월 화학성분'!AF$12:AF$949))</f>
        <v/>
      </c>
      <c r="AL26" s="815" t="str">
        <f>IF($C26&lt;1,"",AVERAGEIF('09월 화학성분'!$A$12:$A$949,$A26,'09월 화학성분'!AG$12:AG$949))</f>
        <v/>
      </c>
      <c r="AM26" s="815" t="str">
        <f>IF($C26&lt;1,"",AVERAGEIF('09월 화학성분'!$A$12:$A$949,$A26,'09월 화학성분'!AH$12:AH$949))</f>
        <v/>
      </c>
      <c r="AN26" s="815" t="str">
        <f>IF($C26&lt;1,"",AVERAGEIF('09월 화학성분'!$A$12:$A$949,$A26,'09월 화학성분'!AI$12:AI$949))</f>
        <v/>
      </c>
      <c r="AO26" s="815" t="str">
        <f>IF($C26&lt;1,"",AVERAGEIF('09월 화학성분'!$A$12:$A$949,$A26,'09월 화학성분'!AJ$12:AJ$949))</f>
        <v/>
      </c>
      <c r="AP26" s="815" t="str">
        <f>IF($C26&lt;1,"",AVERAGEIF('09월 화학성분'!$A$12:$A$949,$A26,'09월 화학성분'!#REF!))</f>
        <v/>
      </c>
      <c r="AQ26" s="815" t="str">
        <f>IF($C26&lt;1,"",AVERAGEIF('09월 화학성분'!$A$12:$A$949,$A26,'09월 화학성분'!AL$12:AL$949))</f>
        <v/>
      </c>
      <c r="AR26" s="815" t="str">
        <f>IF($C26&lt;1,"",AVERAGEIF('09월 화학성분'!$A$12:$A$949,$A26,'09월 화학성분'!AM$12:AM$949))</f>
        <v/>
      </c>
      <c r="AS26" s="816" t="str">
        <f>IF($C26&lt;1,"",AVERAGEIF('09월 화학성분'!$A$12:$A$949,$A26,'09월 화학성분'!AN$12:AN$949))</f>
        <v/>
      </c>
      <c r="AT26" s="816" t="str">
        <f>IF($C26&lt;1,"",AVERAGEIF('09월 화학성분'!$A$12:$A$949,$A26,'09월 화학성분'!AO$12:AO$949))</f>
        <v/>
      </c>
      <c r="AU26" s="815" t="str">
        <f>IF($C26&lt;1,"",AVERAGEIF('09월 화학성분'!$A$12:$A$949,$A26,'09월 화학성분'!AP$12:AP$949))</f>
        <v/>
      </c>
      <c r="AV26" s="815" t="str">
        <f>IF($C26&lt;1,"",AVERAGEIF('09월 고철장입'!$A$14:$A$949,$A26,'09월 고철장입'!G$14:G$949)/1000)</f>
        <v/>
      </c>
      <c r="AW26" s="815" t="str">
        <f>IF($C26&lt;1,"",AVERAGEIF('09월 고철장입'!$A$14:$A$949,$A26,'09월 고철장입'!H$14:H$949)/1000)</f>
        <v/>
      </c>
      <c r="AX26" s="815" t="str">
        <f>IF($C26&lt;1,"",AVERAGEIF('09월 고철장입'!$A$14:$A$949,$A26,'09월 고철장입'!I$14:I$949)/1000)</f>
        <v/>
      </c>
      <c r="AY26" s="815" t="str">
        <f>IF($C26&lt;1,"",AVERAGEIF('09월 고철장입'!$A$14:$A$949,$A26,'09월 고철장입'!J$14:J$949)/1000)</f>
        <v/>
      </c>
      <c r="AZ26" s="815" t="str">
        <f>IF($C26&lt;1,"",AVERAGEIF('09월 고철장입'!$A$14:$A$949,$A26,'09월 고철장입'!K$14:K$949)/1000)</f>
        <v/>
      </c>
      <c r="BA26" s="815" t="str">
        <f>IF($C26&lt;1,"",AVERAGEIF('09월 고철장입'!$A$14:$A$949,$A26,'09월 고철장입'!L$14:L$949)/1000)</f>
        <v/>
      </c>
      <c r="BB26" s="815" t="str">
        <f>IF($C26&lt;1,"",AVERAGEIF('09월 고철장입'!$A$14:$A$949,$A26,'09월 고철장입'!M$14:M$949)/1000)</f>
        <v/>
      </c>
      <c r="BC26" s="815" t="str">
        <f>IF($C26&lt;1,"",AVERAGEIF('09월 고철장입'!$A$14:$A$949,$A26,'09월 고철장입'!N$14:N$949)/1000)</f>
        <v/>
      </c>
      <c r="BD26" s="815" t="str">
        <f>IF($C26&lt;1,"",AVERAGEIF('09월 고철장입'!$A$14:$A$949,$A26,'09월 고철장입'!O$14:O$949)/1000)</f>
        <v/>
      </c>
      <c r="BE26" s="815" t="str">
        <f>IF($C26&lt;1,"",AVERAGEIF('09월 고철장입'!$A$14:$A$949,$A26,'09월 고철장입'!P$14:P$949)/1000)</f>
        <v/>
      </c>
      <c r="BF26" s="815" t="str">
        <f>IF($C26&lt;1,"",AVERAGEIF('09월 고철장입'!$A$14:$A$949,$A26,'09월 고철장입'!Q$14:Q$949)/1000)</f>
        <v/>
      </c>
      <c r="BG26" s="815" t="str">
        <f>IF($C26&lt;1,"",AVERAGEIF('09월 고철장입'!$A$14:$A$949,$A26,'09월 고철장입'!S$14:S$949)/1000)</f>
        <v/>
      </c>
      <c r="BH26" s="815" t="str">
        <f>IF($C26&lt;1,"",AVERAGEIF('09월 고철장입'!$A$14:$A$949,$A26,'09월 고철장입'!T$14:T$949)/1000)</f>
        <v/>
      </c>
      <c r="BI26" s="815" t="str">
        <f>IF($C26&lt;1,"",AVERAGEIF('09월 고철장입'!$A$14:$A$949,$A26,'09월 고철장입'!U$14:U$949)/1000)</f>
        <v/>
      </c>
      <c r="BJ26" s="815" t="str">
        <f>IF($C26&lt;1,"",AVERAGEIF('09월 고철장입'!$A$14:$A$949,$A26,'09월 고철장입'!V$14:V$949)/1000)</f>
        <v/>
      </c>
      <c r="BK26" s="815" t="str">
        <f>IF($C26&lt;1,"",AVERAGEIF('09월 고철장입'!$A$14:$A$949,$A26,'09월 고철장입'!W$14:W$949)/1000)</f>
        <v/>
      </c>
      <c r="BL26" s="815" t="str">
        <f>IF($C26&lt;1,"",AVERAGEIF('09월 고철장입'!$A$14:$A$949,$A26,'09월 고철장입'!Y$14:Y$949)/1000)</f>
        <v/>
      </c>
      <c r="BM26" s="815" t="str">
        <f>IF($C26&lt;1,"",AVERAGEIF('09월 고철장입'!$A$14:$A$949,$A26,'09월 고철장입'!AB$14:AB$949)/1000)</f>
        <v/>
      </c>
      <c r="BN26" s="815" t="str">
        <f>IF($C26&lt;1,"",AVERAGEIF('09월 고철장입'!$A$14:$A$949,$A26,'09월 고철장입'!AC$14:AC$949)/1000)</f>
        <v/>
      </c>
      <c r="BO26" s="815" t="str">
        <f>IF($C26&lt;1,"",AVERAGEIF('09월 고철장입'!$A$14:$A$949,$A26,'09월 고철장입'!AD$14:AD$949)/1000)</f>
        <v/>
      </c>
      <c r="BP26" s="815" t="str">
        <f>IF($C26&lt;1,"",AVERAGEIF('09월 고철장입'!$A$14:$A$949,$A26,'09월 고철장입'!AE$14:AE$949)/1000)</f>
        <v/>
      </c>
      <c r="BQ26" s="815" t="str">
        <f>IF($C26&lt;1,"",AVERAGEIF('09월 고철장입'!$A$14:$A$949,$A26,'09월 고철장입'!AF$14:AF$949)/1000)</f>
        <v/>
      </c>
      <c r="BR26" s="815" t="str">
        <f>IF($C26&lt;1,"",AVERAGEIF('09월 고철장입'!$A$14:$A$949,$A26,'09월 고철장입'!AG$14:AG$949)/1000)</f>
        <v/>
      </c>
      <c r="BS26" s="815" t="str">
        <f>IF($C26&lt;1,"",AVERAGEIF('09월 고철장입'!$A$14:$A$949,$A26,'09월 고철장입'!AH$14:AH$949)/1000)</f>
        <v/>
      </c>
      <c r="BT26" s="815" t="str">
        <f>IF($C26&lt;1,"",AVERAGEIF('09월 고철장입'!$A$14:$A$949,$A26,'09월 고철장입'!AI$14:AI$949)/1000)</f>
        <v/>
      </c>
      <c r="BU26" s="815" t="str">
        <f>IF($C26&lt;1,"",AVERAGEIF('09월 고철장입'!$A$14:$A$949,$A26,'09월 고철장입'!AJ$14:AJ$949)/1000)</f>
        <v/>
      </c>
      <c r="BV26" s="815" t="str">
        <f>IF($C26&lt;1,"",AVERAGEIF('09월 고철장입'!$A$14:$A$949,$A26,'09월 고철장입'!AK$14:AK$949))</f>
        <v/>
      </c>
      <c r="BW26" s="815" t="str">
        <f>IF($C26&lt;1,"",AVERAGEIF('09월 고철장입'!$A$14:$A$949,$A26,'09월 고철장입'!AL$14:AL$949)*100)</f>
        <v/>
      </c>
      <c r="BX26" s="815" t="str">
        <f>IF($C26&lt;1,"",AVERAGEIF('09월 에너지'!$A$14:$A$949,$A26,'09월 에너지'!G$14:G$949))</f>
        <v/>
      </c>
      <c r="BY26" s="817" t="str">
        <f>IF($C26&lt;1,"",AVERAGEIF('09월 에너지'!$A$14:$A$949,$A26,'09월 에너지'!H$14:H$949))</f>
        <v/>
      </c>
      <c r="BZ26" s="815" t="str">
        <f>IF($C26&lt;1,"",AVERAGEIF('09월 에너지'!$A$14:$A$949,$A26,'09월 에너지'!I$14:I$949))</f>
        <v/>
      </c>
      <c r="CA26" s="817" t="str">
        <f>IF($C26&lt;1,"",AVERAGEIF('09월 에너지'!$A$14:$A$949,$A26,'09월 에너지'!J$14:J$949))</f>
        <v/>
      </c>
      <c r="CB26" s="815" t="str">
        <f>IF($C26&lt;1,"",AVERAGEIF('09월 에너지'!$A$14:$A$949,$A26,'09월 에너지'!K$14:K$949))</f>
        <v/>
      </c>
      <c r="CC26" s="817" t="str">
        <f>IF($C26&lt;1,"",AVERAGEIF('09월 에너지'!$A$14:$A$949,$A26,'09월 에너지'!L$14:L$949))</f>
        <v/>
      </c>
      <c r="CD26" s="815" t="str">
        <f>IF($C26&lt;1,"",AVERAGEIF('09월 에너지'!$A$14:$A$949,$A26,'09월 에너지'!M$14:M$949))</f>
        <v/>
      </c>
      <c r="CE26" s="817" t="str">
        <f>IF($C26&lt;1,"",AVERAGEIF('09월 에너지'!$A$14:$A$949,$A26,'09월 에너지'!N$14:N$949))</f>
        <v/>
      </c>
      <c r="CF26" s="815" t="str">
        <f>IF($C26&lt;1,"",AVERAGEIF('09월 에너지'!$A$14:$A$949,$A26,'09월 에너지'!O$14:O$949))</f>
        <v/>
      </c>
      <c r="CG26" s="815" t="str">
        <f>IF($C26&lt;1,"",AVERAGEIF('09월 에너지'!$A$14:$A$949,$A26,'09월 에너지'!P$14:P$949))</f>
        <v/>
      </c>
      <c r="CH26" s="815" t="str">
        <f>IF($C26&lt;1,"",AVERAGEIF('09월 에너지'!$A$14:$A$949,$A26,'09월 에너지'!Q$14:Q$949))</f>
        <v/>
      </c>
      <c r="CI26" s="815" t="str">
        <f>IF($C26&lt;1,"",AVERAGEIF('09월 에너지'!$A$14:$A$949,$A26,'09월 에너지'!R$14:R$949))</f>
        <v/>
      </c>
      <c r="CJ26" s="815" t="str">
        <f>IF($C26&lt;1,"",AVERAGEIF('09월 에너지'!$A$14:$A$949,$A26,'09월 에너지'!S$14:S$949))</f>
        <v/>
      </c>
      <c r="CK26" s="815" t="str">
        <f>IF($C26&lt;1,"",AVERAGEIF('09월 에너지'!$A$14:$A$949,$A26,'09월 에너지'!T$14:T$949))</f>
        <v/>
      </c>
      <c r="CL26" s="815" t="str">
        <f>IF($C26&lt;1,"",AVERAGEIF('09월 에너지'!$A$14:$A$949,$A26,'09월 에너지'!U$14:U$949))</f>
        <v/>
      </c>
      <c r="CM26" s="817" t="str">
        <f>IF($C26&lt;1,"",AVERAGEIF('09월 에너지'!$A$14:$A$949,$A26,'09월 에너지'!V$14:V$949))</f>
        <v/>
      </c>
      <c r="CN26" s="817" t="str">
        <f>IF($C26&lt;1,"",AVERAGEIF('09월 에너지'!$A$14:$A$949,$A26,'09월 에너지'!W$14:W$949))</f>
        <v/>
      </c>
      <c r="CO26" s="815" t="str">
        <f>IF($C26&lt;1,"",AVERAGEIF('09월 에너지'!$A$14:$A$949,$A26,'09월 에너지'!X$14:X$949))</f>
        <v/>
      </c>
      <c r="CP26" s="817" t="str">
        <f>IF($C26&lt;1,"",AVERAGEIF('09월 에너지'!$A$14:$A$949,$A26,'09월 에너지'!Y$14:Y$949))</f>
        <v/>
      </c>
      <c r="CQ26" s="817" t="str">
        <f>IF($C26&lt;1,"",AVERAGEIF('09월 에너지'!$A$14:$A$949,$A26,'09월 에너지'!Z$14:Z$949))</f>
        <v/>
      </c>
      <c r="CR26" s="817" t="str">
        <f>IF($C26&lt;1,"",AVERAGEIF('09월 에너지'!$A$14:$A$949,$A26,'09월 에너지'!AA$14:AA$949))</f>
        <v/>
      </c>
      <c r="CS26" s="817" t="str">
        <f>IF($C26&lt;1,"",AVERAGEIF('09월 에너지'!$A$14:$A$949,$A26,'09월 에너지'!AB$14:AB$949))</f>
        <v/>
      </c>
      <c r="CT26" s="815" t="str">
        <f>IF($C26&lt;1,"",AVERAGEIF('09월 에너지'!$A$14:$A$949,$A26,'09월 에너지'!AC$14:AC$949))</f>
        <v/>
      </c>
      <c r="CU26" s="818" t="str">
        <f>IF($C26&lt;1,"",AVERAGEIF('09월 에너지'!$A$14:$A$949,$A26,'09월 에너지'!AD$14:AD$949))</f>
        <v/>
      </c>
      <c r="CV26" s="819" t="str">
        <f>IF($C26&lt;1,"",AVERAGEIF('09월 에너지'!$A$14:$A$949,$A26,'09월 에너지'!AE$14:AE$949))</f>
        <v/>
      </c>
      <c r="CW26" s="815" t="str">
        <f>IF($C26&lt;1,"",AVERAGEIF('09월 에너지'!$A$14:$A$949,$A26,'09월 에너지'!AF$14:AF$949))</f>
        <v/>
      </c>
      <c r="CX26" s="815" t="str">
        <f>IF($C26&lt;1,"",AVERAGEIF('09월 에너지'!$A$14:$A$949,$A26,'09월 에너지'!AG$14:AG$949))</f>
        <v/>
      </c>
      <c r="CY26" s="815" t="str">
        <f>IF($C26&lt;1,"",AVERAGEIF('09월 에너지'!$A$14:$A$949,$A26,'09월 에너지'!AH$14:AH$949))</f>
        <v/>
      </c>
      <c r="CZ26" s="815" t="str">
        <f>IF($C26&lt;1,"",AVERAGEIF('09월 에너지'!$A$14:$A$949,$A26,'09월 에너지'!AI$14:AI$949))</f>
        <v/>
      </c>
      <c r="DA26" s="820" t="str">
        <f>IF($C26&lt;1,"",AVERAGEIF('09월 에너지'!$A$14:$A$949,$A26,'09월 에너지'!AJ$14:AJ$949))</f>
        <v/>
      </c>
    </row>
    <row r="27" spans="1:105" ht="13.5" customHeight="1">
      <c r="A27" s="849">
        <f t="shared" si="2"/>
        <v>44931</v>
      </c>
      <c r="B27" s="850" t="s">
        <v>9</v>
      </c>
      <c r="C27" s="823">
        <f>COUNTIFS('09월 조업일지'!$A$12:$A$952,A26,'09월 조업일지'!$E$12:$E$952,B27)</f>
        <v>0</v>
      </c>
      <c r="D27" s="824" t="str">
        <f>IF(C27&lt;1,"",F27-E27)</f>
        <v/>
      </c>
      <c r="E27" s="824" t="str">
        <f>IF($C27&lt;1,"",(SUMIFS('09월 조업일지'!$K$12:$K$952,'09월 조업일지'!$A$12:$A$952,$A27,'09월 조업일지'!$E$12:$E$952,$B27)/$C27))</f>
        <v/>
      </c>
      <c r="F27" s="824" t="str">
        <f>IF($C27&lt;1,"",(AVERAGEIFS('09월 조업일지'!$J$12:$J$952,'09월 조업일지'!$A$12:$A$952,$A27,'09월 조업일지'!$E$12:$E$952,$B27)))</f>
        <v/>
      </c>
      <c r="G27" s="825" t="str">
        <f>IF($C27&lt;1,"",(AVERAGEIFS('09월 에너지'!$M$14:$M$949,'09월 에너지'!$A$14:$A$949,$A27,'09월 에너지'!$C$14:$C$949,$B27)))</f>
        <v/>
      </c>
      <c r="H27" s="826" t="str">
        <f>IF($C27&lt;1,"",(AVERAGEIFS('09월 조업일지'!$AJ$12:$AJ$952,'09월 조업일지'!$A$12:$A$952,$A27,'09월 조업일지'!$E$12:$E$952,$B27)))</f>
        <v/>
      </c>
      <c r="I27" s="826" t="str">
        <f>IF($C27&lt;1,"",(AVERAGEIFS('09월 조업일지'!$AL$12:$AL$952,'09월 조업일지'!$A$12:$A$952,$A27,'09월 조업일지'!$E$12:$E$952,$B27)))</f>
        <v/>
      </c>
      <c r="J27" s="827" t="str">
        <f>IF($C27&lt;1,"",(AVERAGEIFS('09월 화학성분'!G$12:G$949,'09월 화학성분'!$A$12:$A$949,$A27,'09월 화학성분'!$D$12:$D$949,$B27)))</f>
        <v/>
      </c>
      <c r="K27" s="827" t="str">
        <f>IF($C27&lt;1,"",(AVERAGEIFS('09월 화학성분'!H$12:H$949,'09월 화학성분'!$A$12:$A$949,$A27,'09월 화학성분'!$D$12:$D$949,$B27)))</f>
        <v/>
      </c>
      <c r="L27" s="827" t="str">
        <f>IF($C27&lt;1,"",(AVERAGEIFS('09월 화학성분'!I$12:I$949,'09월 화학성분'!$A$12:$A$949,$A27,'09월 화학성분'!$D$12:$D$949,$B27)))</f>
        <v/>
      </c>
      <c r="M27" s="827" t="str">
        <f>IF($C27&lt;1,"",(AVERAGEIFS('09월 화학성분'!J$12:J$949,'09월 화학성분'!$A$12:$A$949,$A27,'09월 화학성분'!$D$12:$D$949,$B27)))</f>
        <v/>
      </c>
      <c r="N27" s="827" t="str">
        <f>IF($C27&lt;1,"",(AVERAGEIFS('09월 화학성분'!K$12:K$949,'09월 화학성분'!$A$12:$A$949,$A27,'09월 화학성분'!$D$12:$D$949,$B27)))</f>
        <v/>
      </c>
      <c r="O27" s="827" t="str">
        <f>IF($C27&lt;1,"",(AVERAGEIFS('09월 화학성분'!L$12:L$949,'09월 화학성분'!$A$12:$A$949,$A27,'09월 화학성분'!$D$12:$D$949,$B27)))</f>
        <v/>
      </c>
      <c r="P27" s="827" t="str">
        <f>IF($C27&lt;1,"",(AVERAGEIFS('09월 화학성분'!M$12:M$949,'09월 화학성분'!$A$12:$A$949,$A27,'09월 화학성분'!$D$12:$D$949,$B27)))</f>
        <v/>
      </c>
      <c r="Q27" s="827" t="str">
        <f>IFERROR(IF($C27&lt;1,"",(AVERAGEIFS('09월 조업일지'!$AA$12:$AA$952,'09월 조업일지'!$A$12:$A$952,$A27,'09월 조업일지'!$E$12:$E$952,$B27))),"")</f>
        <v/>
      </c>
      <c r="R27" s="827" t="str">
        <f>IF($C27&lt;1,"",(AVERAGEIFS('09월 조업일지'!$AK$12:$AK$952,'09월 조업일지'!$A$12:$A$952,$A27,'09월 조업일지'!$E$12:$E$952,$B27)))</f>
        <v/>
      </c>
      <c r="S27" s="827"/>
      <c r="T27" s="827"/>
      <c r="U27" s="827" t="str">
        <f>IF($C27&lt;1,"",(AVERAGEIFS('09월 화학성분'!$G$12:$G$949,'09월 화학성분'!$A$12:$A$949,$A27,'09월 화학성분'!$D$12:$D$949,$B27)))</f>
        <v/>
      </c>
      <c r="V27" s="827" t="str">
        <f>IF($C27&lt;1,"",(AVERAGEIFS('09월 조업일지'!$AI$12:$AI$952,'09월 조업일지'!$A$12:$A$952,$A27,'09월 조업일지'!$E$12:$E$952,$B27)))</f>
        <v/>
      </c>
      <c r="W27" s="828" t="str">
        <f>IF($C27&lt;1,"",(AVERAGEIFS('09월 화학성분'!$AM$12:$AM$949,'09월 화학성분'!$A$12:$A$949,$A27,'09월 화학성분'!$D$12:$D$949,$B27)))</f>
        <v/>
      </c>
      <c r="X27" s="829" t="str">
        <f>IF($C27&lt;1,"",(AVERAGEIFS('09월 화학성분'!N$12:N$949,'09월 화학성분'!$A$12:$A$949,$A27,'09월 화학성분'!$D$12:$D$949,$B27)))</f>
        <v/>
      </c>
      <c r="Y27" s="829" t="str">
        <f>IF($C27&lt;1,"",(AVERAGEIFS('09월 화학성분'!O$12:O$949,'09월 화학성분'!$A$12:$A$949,$A27,'09월 화학성분'!$D$12:$D$949,$B27)))</f>
        <v/>
      </c>
      <c r="Z27" s="829" t="str">
        <f>IF($C27&lt;1,"",(AVERAGEIFS('09월 화학성분'!P$12:P$949,'09월 화학성분'!$A$12:$A$949,$A27,'09월 화학성분'!$D$12:$D$949,$B27)))</f>
        <v/>
      </c>
      <c r="AA27" s="829" t="str">
        <f>IF($C27&lt;1,"",(AVERAGEIFS('09월 화학성분'!Q$12:Q$949,'09월 화학성분'!$A$12:$A$949,$A27,'09월 화학성분'!$D$12:$D$949,$B27)))</f>
        <v/>
      </c>
      <c r="AB27" s="829" t="str">
        <f>IF($C27&lt;1,"",(AVERAGEIFS('09월 화학성분'!R$12:R$949,'09월 화학성분'!$A$12:$A$949,$A27,'09월 화학성분'!$D$12:$D$949,$B27)))</f>
        <v/>
      </c>
      <c r="AC27" s="829" t="str">
        <f>IF($C27&lt;1,"",(AVERAGEIFS('09월 화학성분'!U$12:U$949,'09월 화학성분'!$A$12:$A$949,$A27,'09월 화학성분'!$D$12:$D$949,$B27)))</f>
        <v/>
      </c>
      <c r="AD27" s="829" t="str">
        <f>IF($C27&lt;1,"",(AVERAGEIFS('09월 화학성분'!V$12:V$949,'09월 화학성분'!$A$12:$A$949,$A27,'09월 화학성분'!$D$12:$D$949,$B27)))</f>
        <v/>
      </c>
      <c r="AE27" s="829" t="str">
        <f>IF($C27&lt;1,"",(AVERAGEIFS('09월 화학성분'!W$12:W$949,'09월 화학성분'!$A$12:$A$949,$A27,'09월 화학성분'!$D$12:$D$949,$B27)))</f>
        <v/>
      </c>
      <c r="AF27" s="829" t="str">
        <f>IF($C27&lt;1,"",(AVERAGEIFS('09월 화학성분'!AA$12:AA$949,'09월 화학성분'!$A$12:$A$949,$A27,'09월 화학성분'!$D$12:$D$949,$B27)))</f>
        <v/>
      </c>
      <c r="AG27" s="829" t="str">
        <f>IF($C27&lt;1,"",(AVERAGEIFS('09월 화학성분'!#REF!,'09월 화학성분'!$A$12:$A$949,$A27,'09월 화학성분'!$D$12:$D$949,$B27)))</f>
        <v/>
      </c>
      <c r="AH27" s="829" t="str">
        <f>IF($C27&lt;1,"",(AVERAGEIFS('09월 화학성분'!AB$12:AB$949,'09월 화학성분'!$A$12:$A$949,$A27,'09월 화학성분'!$D$12:$D$949,$B27)))</f>
        <v/>
      </c>
      <c r="AI27" s="829" t="str">
        <f>IF($C27&lt;1,"",(AVERAGEIFS('09월 화학성분'!AC$12:AC$949,'09월 화학성분'!$A$12:$A$949,$A27,'09월 화학성분'!$D$12:$D$949,$B27)))</f>
        <v/>
      </c>
      <c r="AJ27" s="829" t="str">
        <f>IF($C27&lt;1,"",(AVERAGEIFS('09월 화학성분'!AD$12:AD$949,'09월 화학성분'!$A$12:$A$949,$A27,'09월 화학성분'!$D$12:$D$949,$B27)))</f>
        <v/>
      </c>
      <c r="AK27" s="829" t="str">
        <f>IF($C27&lt;1,"",(AVERAGEIFS('09월 화학성분'!AF$12:AF$949,'09월 화학성분'!$A$12:$A$949,$A27,'09월 화학성분'!$D$12:$D$949,$B27)))</f>
        <v/>
      </c>
      <c r="AL27" s="829" t="str">
        <f>IF($C27&lt;1,"",(AVERAGEIFS('09월 화학성분'!AG$12:AG$949,'09월 화학성분'!$A$12:$A$949,$A27,'09월 화학성분'!$D$12:$D$949,$B27)))</f>
        <v/>
      </c>
      <c r="AM27" s="829" t="str">
        <f>IF($C27&lt;1,"",(AVERAGEIFS('09월 화학성분'!AH$12:AH$949,'09월 화학성분'!$A$12:$A$949,$A27,'09월 화학성분'!$D$12:$D$949,$B27)))</f>
        <v/>
      </c>
      <c r="AN27" s="829" t="str">
        <f>IF($C27&lt;1,"",(AVERAGEIFS('09월 화학성분'!AI$12:AI$949,'09월 화학성분'!$A$12:$A$949,$A27,'09월 화학성분'!$D$12:$D$949,$B27)))</f>
        <v/>
      </c>
      <c r="AO27" s="829" t="str">
        <f>IF($C27&lt;1,"",(AVERAGEIFS('09월 화학성분'!AJ$12:AJ$949,'09월 화학성분'!$A$12:$A$949,$A27,'09월 화학성분'!$D$12:$D$949,$B27)))</f>
        <v/>
      </c>
      <c r="AP27" s="829" t="str">
        <f>IF($C27&lt;1,"",(AVERAGEIFS('09월 화학성분'!#REF!,'09월 화학성분'!$A$12:$A$949,$A27,'09월 화학성분'!$D$12:$D$949,$B27)))</f>
        <v/>
      </c>
      <c r="AQ27" s="829" t="str">
        <f>IF($C27&lt;1,"",(AVERAGEIFS('09월 화학성분'!AL$12:AL$949,'09월 화학성분'!$A$12:$A$949,$A27,'09월 화학성분'!$D$12:$D$949,$B27)))</f>
        <v/>
      </c>
      <c r="AR27" s="829" t="str">
        <f>IF($C27&lt;1,"",(AVERAGEIFS('09월 화학성분'!AM$12:AM$949,'09월 화학성분'!$A$12:$A$949,$A27,'09월 화학성분'!$D$12:$D$949,$B27)))</f>
        <v/>
      </c>
      <c r="AS27" s="830" t="str">
        <f>IF($C27&lt;1,"",(AVERAGEIFS('09월 화학성분'!AN$12:AN$949,'09월 화학성분'!$A$12:$A$949,$A27,'09월 화학성분'!$D$12:$D$949,$B27)))</f>
        <v/>
      </c>
      <c r="AT27" s="830" t="str">
        <f>IF($C27&lt;1,"",(AVERAGEIFS('09월 화학성분'!AO$12:AO$949,'09월 화학성분'!$A$12:$A$949,$A27,'09월 화학성분'!$D$12:$D$949,$B27)))</f>
        <v/>
      </c>
      <c r="AU27" s="831" t="str">
        <f>IF($C27&lt;1,"",(AVERAGEIFS('09월 화학성분'!AP$12:AP$949,'09월 화학성분'!$A$12:$A$949,$A27,'09월 화학성분'!$D$12:$D$949,$B27)))</f>
        <v/>
      </c>
      <c r="AV27" s="832" t="str">
        <f>IF($C27&lt;1,"",(AVERAGEIFS('09월 고철장입'!G$14:G$949,'09월 고철장입'!$A$14:$A$949,$A27,'09월 고철장입'!$C$14:$C$949,$B27))/1000)</f>
        <v/>
      </c>
      <c r="AW27" s="832" t="str">
        <f>IF($C27&lt;1,"",(AVERAGEIFS('09월 고철장입'!H$14:H$949,'09월 고철장입'!$A$14:$A$949,$A27,'09월 고철장입'!$C$14:$C$949,$B27))/1000)</f>
        <v/>
      </c>
      <c r="AX27" s="832" t="str">
        <f>IF($C27&lt;1,"",(AVERAGEIFS('09월 고철장입'!I$14:I$949,'09월 고철장입'!$A$14:$A$949,$A27,'09월 고철장입'!$C$14:$C$949,$B27))/1000)</f>
        <v/>
      </c>
      <c r="AY27" s="832" t="str">
        <f>IF($C27&lt;1,"",(AVERAGEIFS('09월 고철장입'!J$14:J$949,'09월 고철장입'!$A$14:$A$949,$A27,'09월 고철장입'!$C$14:$C$949,$B27))/1000)</f>
        <v/>
      </c>
      <c r="AZ27" s="832" t="str">
        <f>IF($C27&lt;1,"",(AVERAGEIFS('09월 고철장입'!K$14:K$949,'09월 고철장입'!$A$14:$A$949,$A27,'09월 고철장입'!$C$14:$C$949,$B27))/1000)</f>
        <v/>
      </c>
      <c r="BA27" s="832" t="str">
        <f>IF($C27&lt;1,"",(AVERAGEIFS('09월 고철장입'!L$14:L$949,'09월 고철장입'!$A$14:$A$949,$A27,'09월 고철장입'!$C$14:$C$949,$B27))/1000)</f>
        <v/>
      </c>
      <c r="BB27" s="832" t="str">
        <f>IF($C27&lt;1,"",(AVERAGEIFS('09월 고철장입'!M$14:M$949,'09월 고철장입'!$A$14:$A$949,$A27,'09월 고철장입'!$C$14:$C$949,$B27))/1000)</f>
        <v/>
      </c>
      <c r="BC27" s="832" t="str">
        <f>IF($C27&lt;1,"",(AVERAGEIFS('09월 고철장입'!N$14:N$949,'09월 고철장입'!$A$14:$A$949,$A27,'09월 고철장입'!$C$14:$C$949,$B27))/1000)</f>
        <v/>
      </c>
      <c r="BD27" s="832" t="str">
        <f>IF($C27&lt;1,"",(AVERAGEIFS('09월 고철장입'!O$14:O$949,'09월 고철장입'!$A$14:$A$949,$A27,'09월 고철장입'!$C$14:$C$949,$B27))/1000)</f>
        <v/>
      </c>
      <c r="BE27" s="833" t="str">
        <f>IF($C27&lt;1,"",(AVERAGEIFS('09월 고철장입'!P$14:P$949,'09월 고철장입'!$A$14:$A$949,$A27,'09월 고철장입'!$C$14:$C$949,$B27))/1000)</f>
        <v/>
      </c>
      <c r="BF27" s="833" t="str">
        <f>IF($C27&lt;1,"",(AVERAGEIFS('09월 고철장입'!Q$14:Q$949,'09월 고철장입'!$A$14:$A$949,$A27,'09월 고철장입'!$C$14:$C$949,$B27))/1000)</f>
        <v/>
      </c>
      <c r="BG27" s="833" t="str">
        <f>IF($C27&lt;1,"",(AVERAGEIFS('09월 고철장입'!S$14:S$949,'09월 고철장입'!$A$14:$A$949,$A27,'09월 고철장입'!$C$14:$C$949,$B27))/1000)</f>
        <v/>
      </c>
      <c r="BH27" s="833" t="str">
        <f>IF($C27&lt;1,"",(AVERAGEIFS('09월 고철장입'!T$14:T$949,'09월 고철장입'!$A$14:$A$949,$A27,'09월 고철장입'!$C$14:$C$949,$B27))/1000)</f>
        <v/>
      </c>
      <c r="BI27" s="833" t="str">
        <f>IF($C27&lt;1,"",(AVERAGEIFS('09월 고철장입'!U$14:U$949,'09월 고철장입'!$A$14:$A$949,$A27,'09월 고철장입'!$C$14:$C$949,$B27))/1000)</f>
        <v/>
      </c>
      <c r="BJ27" s="833" t="str">
        <f>IF($C27&lt;1,"",(AVERAGEIFS('09월 고철장입'!V$14:V$949,'09월 고철장입'!$A$14:$A$949,$A27,'09월 고철장입'!$C$14:$C$949,$B27))/1000)</f>
        <v/>
      </c>
      <c r="BK27" s="833" t="str">
        <f>IF($C27&lt;1,"",(AVERAGEIFS('09월 고철장입'!W$14:W$949,'09월 고철장입'!$A$14:$A$949,$A27,'09월 고철장입'!$C$14:$C$949,$B27))/1000)</f>
        <v/>
      </c>
      <c r="BL27" s="833" t="str">
        <f>IF($C27&lt;1,"",(AVERAGEIFS('09월 고철장입'!Y$14:Y$949,'09월 고철장입'!$A$14:$A$949,$A27,'09월 고철장입'!$C$14:$C$949,$B27))/1000)</f>
        <v/>
      </c>
      <c r="BM27" s="833" t="str">
        <f>IF($C27&lt;1,"",(AVERAGEIFS('09월 고철장입'!AB$14:AB$949,'09월 고철장입'!$A$14:$A$949,$A27,'09월 고철장입'!$C$14:$C$949,$B27))/1000)</f>
        <v/>
      </c>
      <c r="BN27" s="833" t="str">
        <f>IF($C27&lt;1,"",(AVERAGEIFS('09월 고철장입'!AC$14:AC$949,'09월 고철장입'!$A$14:$A$949,$A27,'09월 고철장입'!$C$14:$C$949,$B27))/1000)</f>
        <v/>
      </c>
      <c r="BO27" s="833" t="str">
        <f>IF($C27&lt;1,"",(AVERAGEIFS('09월 고철장입'!AD$14:AD$949,'09월 고철장입'!$A$14:$A$949,$A27,'09월 고철장입'!$C$14:$C$949,$B27))/1000)</f>
        <v/>
      </c>
      <c r="BP27" s="833" t="str">
        <f>IF($C27&lt;1,"",(AVERAGEIFS('09월 고철장입'!AE$14:AE$949,'09월 고철장입'!$A$14:$A$949,$A27,'09월 고철장입'!$C$14:$C$949,$B27))/1000)</f>
        <v/>
      </c>
      <c r="BQ27" s="832" t="str">
        <f>IF($C27&lt;1,"",(AVERAGEIFS('09월 고철장입'!AF$14:AF$949,'09월 고철장입'!$A$14:$A$949,$A27,'09월 고철장입'!$C$14:$C$949,$B27))/1000)</f>
        <v/>
      </c>
      <c r="BR27" s="832" t="str">
        <f>IF($C27&lt;1,"",(AVERAGEIFS('09월 고철장입'!AG$14:AG$949,'09월 고철장입'!$A$14:$A$949,$A27,'09월 고철장입'!$C$14:$C$949,$B27))/1000)</f>
        <v/>
      </c>
      <c r="BS27" s="832" t="str">
        <f>IF($C27&lt;1,"",(AVERAGEIFS('09월 고철장입'!AH$14:AH$949,'09월 고철장입'!$A$14:$A$949,$A27,'09월 고철장입'!$C$14:$C$949,$B27))/1000)</f>
        <v/>
      </c>
      <c r="BT27" s="832" t="str">
        <f>IF($C27&lt;1,"",(AVERAGEIFS('09월 고철장입'!AI$14:AI$949,'09월 고철장입'!$A$14:$A$949,$A27,'09월 고철장입'!$C$14:$C$949,$B27))/1000)</f>
        <v/>
      </c>
      <c r="BU27" s="834" t="str">
        <f>IF($C27&lt;1,"",(AVERAGEIFS('09월 고철장입'!AJ$14:AJ$949,'09월 고철장입'!$A$14:$A$949,$A27,'09월 고철장입'!$C$14:$C$949,$B27))/1000)</f>
        <v/>
      </c>
      <c r="BV27" s="834" t="str">
        <f>IF($C27&lt;1,"",(AVERAGEIFS('09월 고철장입'!AK$14:AK$949,'09월 고철장입'!$A$14:$A$949,$A27,'09월 고철장입'!$C$14:$C$949,$B27)))</f>
        <v/>
      </c>
      <c r="BW27" s="834" t="str">
        <f>IF($C27&lt;1,"",(AVERAGEIFS('09월 고철장입'!AL$14:AL$949,'09월 고철장입'!$A$14:$A$949,$A27,'09월 고철장입'!$C$14:$C$949,$B27))*100)</f>
        <v/>
      </c>
      <c r="BX27" s="831" t="str">
        <f>IF($C27&lt;1,"",(AVERAGEIFS('09월 에너지'!G$14:G$949,'09월 에너지'!$A$14:$A$949,$A27,'09월 에너지'!$C$14:$C$949,$B27)))</f>
        <v/>
      </c>
      <c r="BY27" s="835" t="str">
        <f>IF($C27&lt;1,"",(AVERAGEIFS('09월 에너지'!H$14:H$949,'09월 에너지'!$A$14:$A$949,$A27,'09월 에너지'!$C$14:$C$949,$B27)))</f>
        <v/>
      </c>
      <c r="BZ27" s="831" t="str">
        <f>IF($C27&lt;1,"",(AVERAGEIFS('09월 에너지'!I$14:I$949,'09월 에너지'!$A$14:$A$949,$A27,'09월 에너지'!$C$14:$C$949,$B27)))</f>
        <v/>
      </c>
      <c r="CA27" s="835" t="str">
        <f>IF($C27&lt;1,"",(AVERAGEIFS('09월 에너지'!J$14:J$949,'09월 에너지'!$A$14:$A$949,$A27,'09월 에너지'!$C$14:$C$949,$B27)))</f>
        <v/>
      </c>
      <c r="CB27" s="831" t="str">
        <f>IF($C27&lt;1,"",(AVERAGEIFS('09월 에너지'!K$14:K$949,'09월 에너지'!$A$14:$A$949,$A27,'09월 에너지'!$C$14:$C$949,$B27)))</f>
        <v/>
      </c>
      <c r="CC27" s="835" t="str">
        <f>IF($C27&lt;1,"",(AVERAGEIFS('09월 에너지'!L$14:L$949,'09월 에너지'!$A$14:$A$949,$A27,'09월 에너지'!$C$14:$C$949,$B27)))</f>
        <v/>
      </c>
      <c r="CD27" s="831" t="str">
        <f>IF($C27&lt;1,"",(AVERAGEIFS('09월 에너지'!M$14:M$949,'09월 에너지'!$A$14:$A$949,$A27,'09월 에너지'!$C$14:$C$949,$B27)))</f>
        <v/>
      </c>
      <c r="CE27" s="835" t="str">
        <f>IF($C27&lt;1,"",(AVERAGEIFS('09월 에너지'!N$14:N$949,'09월 에너지'!$A$14:$A$949,$A27,'09월 에너지'!$C$14:$C$949,$B27)))</f>
        <v/>
      </c>
      <c r="CF27" s="831" t="str">
        <f>IF($C27&lt;1,"",(AVERAGEIFS('09월 에너지'!O$14:O$949,'09월 에너지'!$A$14:$A$949,$A27,'09월 에너지'!$C$14:$C$949,$B27)))</f>
        <v/>
      </c>
      <c r="CG27" s="831" t="str">
        <f>IF($C27&lt;1,"",(AVERAGEIFS('09월 에너지'!P$14:P$949,'09월 에너지'!$A$14:$A$949,$A27,'09월 에너지'!$C$14:$C$949,$B27)))</f>
        <v/>
      </c>
      <c r="CH27" s="831" t="str">
        <f>IF($C27&lt;1,"",(AVERAGEIFS('09월 에너지'!Q$14:Q$949,'09월 에너지'!$A$14:$A$949,$A27,'09월 에너지'!$C$14:$C$949,$B27)))</f>
        <v/>
      </c>
      <c r="CI27" s="831" t="str">
        <f>IF($C27&lt;1,"",(AVERAGEIFS('09월 에너지'!R$14:R$949,'09월 에너지'!$A$14:$A$949,$A27,'09월 에너지'!$C$14:$C$949,$B27)))</f>
        <v/>
      </c>
      <c r="CJ27" s="831" t="str">
        <f>IF($C27&lt;1,"",(AVERAGEIFS('09월 에너지'!S$14:S$949,'09월 에너지'!$A$14:$A$949,$A27,'09월 에너지'!$C$14:$C$949,$B27)))</f>
        <v/>
      </c>
      <c r="CK27" s="831" t="str">
        <f>IF($C27&lt;1,"",(AVERAGEIFS('09월 에너지'!T$14:T$949,'09월 에너지'!$A$14:$A$949,$A27,'09월 에너지'!$C$14:$C$949,$B27)))</f>
        <v/>
      </c>
      <c r="CL27" s="831" t="str">
        <f>IF($C27&lt;1,"",(AVERAGEIFS('09월 에너지'!U$14:U$949,'09월 에너지'!$A$14:$A$949,$A27,'09월 에너지'!$C$14:$C$949,$B27)))</f>
        <v/>
      </c>
      <c r="CM27" s="835" t="str">
        <f>IF($C27&lt;1,"",(AVERAGEIFS('09월 에너지'!V$14:V$949,'09월 에너지'!$A$14:$A$949,$A27,'09월 에너지'!$C$14:$C$949,$B27)))</f>
        <v/>
      </c>
      <c r="CN27" s="835" t="str">
        <f>IF($C27&lt;1,"",(AVERAGEIFS('09월 에너지'!W$14:W$949,'09월 에너지'!$A$14:$A$949,$A27,'09월 에너지'!$C$14:$C$949,$B27)))</f>
        <v/>
      </c>
      <c r="CO27" s="831" t="str">
        <f>IF($C27&lt;1,"",(AVERAGEIFS('09월 에너지'!X$14:X$949,'09월 에너지'!$A$14:$A$949,$A27,'09월 에너지'!$C$14:$C$949,$B27)))</f>
        <v/>
      </c>
      <c r="CP27" s="835" t="str">
        <f>IF($C27&lt;1,"",(AVERAGEIFS('09월 에너지'!Y$14:Y$949,'09월 에너지'!$A$14:$A$949,$A27,'09월 에너지'!$C$14:$C$949,$B27)))</f>
        <v/>
      </c>
      <c r="CQ27" s="835" t="str">
        <f>IF($C27&lt;1,"",(AVERAGEIFS('09월 에너지'!Z$14:Z$949,'09월 에너지'!$A$14:$A$949,$A27,'09월 에너지'!$C$14:$C$949,$B27)))</f>
        <v/>
      </c>
      <c r="CR27" s="835" t="str">
        <f>IF($C27&lt;1,"",(AVERAGEIFS('09월 에너지'!AA$14:AA$949,'09월 에너지'!$A$14:$A$949,$A27,'09월 에너지'!$C$14:$C$949,$B27)))</f>
        <v/>
      </c>
      <c r="CS27" s="835" t="str">
        <f>IF($C27&lt;1,"",(AVERAGEIFS('09월 에너지'!AB$14:AB$949,'09월 에너지'!$A$14:$A$949,$A27,'09월 에너지'!$C$14:$C$949,$B27)))</f>
        <v/>
      </c>
      <c r="CT27" s="831" t="str">
        <f>IF($C27&lt;1,"",(AVERAGEIFS('09월 에너지'!AC$14:AC$949,'09월 에너지'!$A$14:$A$949,$A27,'09월 에너지'!$C$14:$C$949,$B27)))</f>
        <v/>
      </c>
      <c r="CU27" s="836" t="str">
        <f>IF($C27&lt;1,"",(AVERAGEIFS('09월 에너지'!AD$14:AD$949,'09월 에너지'!$A$14:$A$949,$A27,'09월 에너지'!$C$14:$C$949,$B27)))</f>
        <v/>
      </c>
      <c r="CV27" s="837" t="str">
        <f>IF($C27&lt;1,"",(AVERAGEIFS('09월 에너지'!AE$14:AE$949,'09월 에너지'!$A$14:$A$949,$A27,'09월 에너지'!$C$14:$C$949,$B27)))</f>
        <v/>
      </c>
      <c r="CW27" s="831" t="str">
        <f>IF($C27&lt;1,"",(AVERAGEIFS('09월 에너지'!AF$14:AF$949,'09월 에너지'!$A$14:$A$949,$A27,'09월 에너지'!$C$14:$C$949,$B27)))</f>
        <v/>
      </c>
      <c r="CX27" s="831" t="str">
        <f>IF($C27&lt;1,"",(AVERAGEIFS('09월 에너지'!AG$14:AG$949,'09월 에너지'!$A$14:$A$949,$A27,'09월 에너지'!$C$14:$C$949,$B27)))</f>
        <v/>
      </c>
      <c r="CY27" s="831" t="str">
        <f>IF($C27&lt;1,"",(AVERAGEIFS('09월 에너지'!AH$14:AH$949,'09월 에너지'!$A$14:$A$949,$A27,'09월 에너지'!$C$14:$C$949,$B27)))</f>
        <v/>
      </c>
      <c r="CZ27" s="831" t="str">
        <f>IF($C27&lt;1,"",(AVERAGEIFS('09월 에너지'!AI$14:AI$949,'09월 에너지'!$A$14:$A$949,$A27,'09월 에너지'!$C$14:$C$949,$B27)))</f>
        <v/>
      </c>
      <c r="DA27" s="838" t="str">
        <f>IF($C27&lt;1,"",(AVERAGEIFS('09월 에너지'!AJ$14:AJ$949,'09월 에너지'!$A$14:$A$949,$A27,'09월 에너지'!$C$14:$C$949,$B27)))</f>
        <v/>
      </c>
    </row>
    <row r="28" spans="1:105" ht="13.5" customHeight="1">
      <c r="A28" s="849">
        <f t="shared" si="2"/>
        <v>44931</v>
      </c>
      <c r="B28" s="850" t="s">
        <v>100</v>
      </c>
      <c r="C28" s="823">
        <f>COUNTIFS('09월 조업일지'!$A$12:$A$952,A26,'09월 조업일지'!$E$12:$E$952,B28)</f>
        <v>0</v>
      </c>
      <c r="D28" s="824" t="str">
        <f t="shared" ref="D28:D30" si="6">IF(C28&lt;1,"",F28-E28)</f>
        <v/>
      </c>
      <c r="E28" s="824" t="str">
        <f>IF($C28&lt;1,"",(SUMIFS('09월 조업일지'!$K$12:$K$952,'09월 조업일지'!$A$12:$A$952,$A28,'09월 조업일지'!$E$12:$E$952,$B28)/$C28))</f>
        <v/>
      </c>
      <c r="F28" s="824" t="str">
        <f>IF($C28&lt;1,"",(AVERAGEIFS('09월 조업일지'!$J$12:$J$952,'09월 조업일지'!$A$12:$A$952,$A28,'09월 조업일지'!$E$12:$E$952,$B28)))</f>
        <v/>
      </c>
      <c r="G28" s="825" t="str">
        <f>IF($C28&lt;1,"",(AVERAGEIFS('09월 에너지'!$M$14:$M$949,'09월 에너지'!$A$14:$A$949,$A28,'09월 에너지'!$C$14:$C$949,$B28)))</f>
        <v/>
      </c>
      <c r="H28" s="826" t="str">
        <f>IF($C28&lt;1,"",(AVERAGEIFS('09월 조업일지'!$AJ$12:$AJ$952,'09월 조업일지'!$A$12:$A$952,$A28,'09월 조업일지'!$E$12:$E$952,$B28)))</f>
        <v/>
      </c>
      <c r="I28" s="826" t="str">
        <f>IF($C28&lt;1,"",(AVERAGEIFS('09월 조업일지'!$AL$12:$AL$952,'09월 조업일지'!$A$12:$A$952,$A28,'09월 조업일지'!$E$12:$E$952,$B28)))</f>
        <v/>
      </c>
      <c r="J28" s="827" t="str">
        <f>IF($C28&lt;1,"",(AVERAGEIFS('09월 화학성분'!G$12:G$949,'09월 화학성분'!$A$12:$A$949,$A28,'09월 화학성분'!$D$12:$D$949,$B28)))</f>
        <v/>
      </c>
      <c r="K28" s="827" t="str">
        <f>IF($C28&lt;1,"",(AVERAGEIFS('09월 화학성분'!H$12:H$949,'09월 화학성분'!$A$12:$A$949,$A28,'09월 화학성분'!$D$12:$D$949,$B28)))</f>
        <v/>
      </c>
      <c r="L28" s="827" t="str">
        <f>IF($C28&lt;1,"",(AVERAGEIFS('09월 화학성분'!I$12:I$949,'09월 화학성분'!$A$12:$A$949,$A28,'09월 화학성분'!$D$12:$D$949,$B28)))</f>
        <v/>
      </c>
      <c r="M28" s="827" t="str">
        <f>IF($C28&lt;1,"",(AVERAGEIFS('09월 화학성분'!J$12:J$949,'09월 화학성분'!$A$12:$A$949,$A28,'09월 화학성분'!$D$12:$D$949,$B28)))</f>
        <v/>
      </c>
      <c r="N28" s="827" t="str">
        <f>IF($C28&lt;1,"",(AVERAGEIFS('09월 화학성분'!K$12:K$949,'09월 화학성분'!$A$12:$A$949,$A28,'09월 화학성분'!$D$12:$D$949,$B28)))</f>
        <v/>
      </c>
      <c r="O28" s="827" t="str">
        <f>IF($C28&lt;1,"",(AVERAGEIFS('09월 화학성분'!L$12:L$949,'09월 화학성분'!$A$12:$A$949,$A28,'09월 화학성분'!$D$12:$D$949,$B28)))</f>
        <v/>
      </c>
      <c r="P28" s="827" t="str">
        <f>IF($C28&lt;1,"",(AVERAGEIFS('09월 화학성분'!M$12:M$949,'09월 화학성분'!$A$12:$A$949,$A28,'09월 화학성분'!$D$12:$D$949,$B28)))</f>
        <v/>
      </c>
      <c r="Q28" s="827" t="str">
        <f>IFERROR(IF($C28&lt;1,"",(AVERAGEIFS('09월 조업일지'!$AA$12:$AA$952,'09월 조업일지'!$A$12:$A$952,$A28,'09월 조업일지'!$E$12:$E$952,$B28))),"")</f>
        <v/>
      </c>
      <c r="R28" s="827" t="str">
        <f>IF($C28&lt;1,"",(AVERAGEIFS('09월 조업일지'!$AK$12:$AK$952,'09월 조업일지'!$A$12:$A$952,$A28,'09월 조업일지'!$E$12:$E$952,$B28)))</f>
        <v/>
      </c>
      <c r="S28" s="827"/>
      <c r="T28" s="827"/>
      <c r="U28" s="827" t="str">
        <f>IF($C28&lt;1,"",(AVERAGEIFS('09월 화학성분'!$G$12:$G$949,'09월 화학성분'!$A$12:$A$949,$A28,'09월 화학성분'!$D$12:$D$949,$B28)))</f>
        <v/>
      </c>
      <c r="V28" s="827" t="str">
        <f>IF($C28&lt;1,"",(AVERAGEIFS('09월 조업일지'!$AI$12:$AI$952,'09월 조업일지'!$A$12:$A$952,$A28,'09월 조업일지'!$E$12:$E$952,$B28)))</f>
        <v/>
      </c>
      <c r="W28" s="828" t="str">
        <f>IF($C28&lt;1,"",(AVERAGEIFS('09월 화학성분'!$AM$12:$AM$949,'09월 화학성분'!$A$12:$A$949,$A28,'09월 화학성분'!$D$12:$D$949,$B28)))</f>
        <v/>
      </c>
      <c r="X28" s="829" t="str">
        <f>IF($C28&lt;1,"",(AVERAGEIFS('09월 화학성분'!N$12:N$949,'09월 화학성분'!$A$12:$A$949,$A28,'09월 화학성분'!$D$12:$D$949,$B28)))</f>
        <v/>
      </c>
      <c r="Y28" s="829" t="str">
        <f>IF($C28&lt;1,"",(AVERAGEIFS('09월 화학성분'!O$12:O$949,'09월 화학성분'!$A$12:$A$949,$A28,'09월 화학성분'!$D$12:$D$949,$B28)))</f>
        <v/>
      </c>
      <c r="Z28" s="829" t="str">
        <f>IF($C28&lt;1,"",(AVERAGEIFS('09월 화학성분'!P$12:P$949,'09월 화학성분'!$A$12:$A$949,$A28,'09월 화학성분'!$D$12:$D$949,$B28)))</f>
        <v/>
      </c>
      <c r="AA28" s="829" t="str">
        <f>IF($C28&lt;1,"",(AVERAGEIFS('09월 화학성분'!Q$12:Q$949,'09월 화학성분'!$A$12:$A$949,$A28,'09월 화학성분'!$D$12:$D$949,$B28)))</f>
        <v/>
      </c>
      <c r="AB28" s="829" t="str">
        <f>IF($C28&lt;1,"",(AVERAGEIFS('09월 화학성분'!R$12:R$949,'09월 화학성분'!$A$12:$A$949,$A28,'09월 화학성분'!$D$12:$D$949,$B28)))</f>
        <v/>
      </c>
      <c r="AC28" s="829" t="str">
        <f>IF($C28&lt;1,"",(AVERAGEIFS('09월 화학성분'!U$12:U$949,'09월 화학성분'!$A$12:$A$949,$A28,'09월 화학성분'!$D$12:$D$949,$B28)))</f>
        <v/>
      </c>
      <c r="AD28" s="829" t="str">
        <f>IF($C28&lt;1,"",(AVERAGEIFS('09월 화학성분'!V$12:V$949,'09월 화학성분'!$A$12:$A$949,$A28,'09월 화학성분'!$D$12:$D$949,$B28)))</f>
        <v/>
      </c>
      <c r="AE28" s="829" t="str">
        <f>IF($C28&lt;1,"",(AVERAGEIFS('09월 화학성분'!W$12:W$949,'09월 화학성분'!$A$12:$A$949,$A28,'09월 화학성분'!$D$12:$D$949,$B28)))</f>
        <v/>
      </c>
      <c r="AF28" s="829" t="str">
        <f>IF($C28&lt;1,"",(AVERAGEIFS('09월 화학성분'!AA$12:AA$949,'09월 화학성분'!$A$12:$A$949,$A28,'09월 화학성분'!$D$12:$D$949,$B28)))</f>
        <v/>
      </c>
      <c r="AG28" s="829" t="str">
        <f>IF($C28&lt;1,"",(AVERAGEIFS('09월 화학성분'!#REF!,'09월 화학성분'!$A$12:$A$949,$A28,'09월 화학성분'!$D$12:$D$949,$B28)))</f>
        <v/>
      </c>
      <c r="AH28" s="829" t="str">
        <f>IF($C28&lt;1,"",(AVERAGEIFS('09월 화학성분'!AB$12:AB$949,'09월 화학성분'!$A$12:$A$949,$A28,'09월 화학성분'!$D$12:$D$949,$B28)))</f>
        <v/>
      </c>
      <c r="AI28" s="829" t="str">
        <f>IF($C28&lt;1,"",(AVERAGEIFS('09월 화학성분'!AC$12:AC$949,'09월 화학성분'!$A$12:$A$949,$A28,'09월 화학성분'!$D$12:$D$949,$B28)))</f>
        <v/>
      </c>
      <c r="AJ28" s="829" t="str">
        <f>IF($C28&lt;1,"",(AVERAGEIFS('09월 화학성분'!AD$12:AD$949,'09월 화학성분'!$A$12:$A$949,$A28,'09월 화학성분'!$D$12:$D$949,$B28)))</f>
        <v/>
      </c>
      <c r="AK28" s="829" t="str">
        <f>IF($C28&lt;1,"",(AVERAGEIFS('09월 화학성분'!AF$12:AF$949,'09월 화학성분'!$A$12:$A$949,$A28,'09월 화학성분'!$D$12:$D$949,$B28)))</f>
        <v/>
      </c>
      <c r="AL28" s="829" t="str">
        <f>IF($C28&lt;1,"",(AVERAGEIFS('09월 화학성분'!AG$12:AG$949,'09월 화학성분'!$A$12:$A$949,$A28,'09월 화학성분'!$D$12:$D$949,$B28)))</f>
        <v/>
      </c>
      <c r="AM28" s="829" t="str">
        <f>IF($C28&lt;1,"",(AVERAGEIFS('09월 화학성분'!AH$12:AH$949,'09월 화학성분'!$A$12:$A$949,$A28,'09월 화학성분'!$D$12:$D$949,$B28)))</f>
        <v/>
      </c>
      <c r="AN28" s="829" t="str">
        <f>IF($C28&lt;1,"",(AVERAGEIFS('09월 화학성분'!AI$12:AI$949,'09월 화학성분'!$A$12:$A$949,$A28,'09월 화학성분'!$D$12:$D$949,$B28)))</f>
        <v/>
      </c>
      <c r="AO28" s="829" t="str">
        <f>IF($C28&lt;1,"",(AVERAGEIFS('09월 화학성분'!AJ$12:AJ$949,'09월 화학성분'!$A$12:$A$949,$A28,'09월 화학성분'!$D$12:$D$949,$B28)))</f>
        <v/>
      </c>
      <c r="AP28" s="829" t="str">
        <f>IF($C28&lt;1,"",(AVERAGEIFS('09월 화학성분'!#REF!,'09월 화학성분'!$A$12:$A$949,$A28,'09월 화학성분'!$D$12:$D$949,$B28)))</f>
        <v/>
      </c>
      <c r="AQ28" s="829" t="str">
        <f>IF($C28&lt;1,"",(AVERAGEIFS('09월 화학성분'!AL$12:AL$949,'09월 화학성분'!$A$12:$A$949,$A28,'09월 화학성분'!$D$12:$D$949,$B28)))</f>
        <v/>
      </c>
      <c r="AR28" s="829" t="str">
        <f>IF($C28&lt;1,"",(AVERAGEIFS('09월 화학성분'!AM$12:AM$949,'09월 화학성분'!$A$12:$A$949,$A28,'09월 화학성분'!$D$12:$D$949,$B28)))</f>
        <v/>
      </c>
      <c r="AS28" s="830" t="str">
        <f>IF($C28&lt;1,"",(AVERAGEIFS('09월 화학성분'!AN$12:AN$949,'09월 화학성분'!$A$12:$A$949,$A28,'09월 화학성분'!$D$12:$D$949,$B28)))</f>
        <v/>
      </c>
      <c r="AT28" s="830" t="str">
        <f>IF($C28&lt;1,"",(AVERAGEIFS('09월 화학성분'!AO$12:AO$949,'09월 화학성분'!$A$12:$A$949,$A28,'09월 화학성분'!$D$12:$D$949,$B28)))</f>
        <v/>
      </c>
      <c r="AU28" s="831" t="str">
        <f>IF($C28&lt;1,"",(AVERAGEIFS('09월 화학성분'!AP$12:AP$949,'09월 화학성분'!$A$12:$A$949,$A28,'09월 화학성분'!$D$12:$D$949,$B28)))</f>
        <v/>
      </c>
      <c r="AV28" s="832" t="str">
        <f>IF($C28&lt;1,"",(AVERAGEIFS('09월 고철장입'!G$14:G$949,'09월 고철장입'!$A$14:$A$949,$A28,'09월 고철장입'!$C$14:$C$949,$B28))/1000)</f>
        <v/>
      </c>
      <c r="AW28" s="832" t="str">
        <f>IF($C28&lt;1,"",(AVERAGEIFS('09월 고철장입'!H$14:H$949,'09월 고철장입'!$A$14:$A$949,$A28,'09월 고철장입'!$C$14:$C$949,$B28))/1000)</f>
        <v/>
      </c>
      <c r="AX28" s="832" t="str">
        <f>IF($C28&lt;1,"",(AVERAGEIFS('09월 고철장입'!I$14:I$949,'09월 고철장입'!$A$14:$A$949,$A28,'09월 고철장입'!$C$14:$C$949,$B28))/1000)</f>
        <v/>
      </c>
      <c r="AY28" s="832" t="str">
        <f>IF($C28&lt;1,"",(AVERAGEIFS('09월 고철장입'!J$14:J$949,'09월 고철장입'!$A$14:$A$949,$A28,'09월 고철장입'!$C$14:$C$949,$B28))/1000)</f>
        <v/>
      </c>
      <c r="AZ28" s="832" t="str">
        <f>IF($C28&lt;1,"",(AVERAGEIFS('09월 고철장입'!K$14:K$949,'09월 고철장입'!$A$14:$A$949,$A28,'09월 고철장입'!$C$14:$C$949,$B28))/1000)</f>
        <v/>
      </c>
      <c r="BA28" s="832" t="str">
        <f>IF($C28&lt;1,"",(AVERAGEIFS('09월 고철장입'!L$14:L$949,'09월 고철장입'!$A$14:$A$949,$A28,'09월 고철장입'!$C$14:$C$949,$B28))/1000)</f>
        <v/>
      </c>
      <c r="BB28" s="832" t="str">
        <f>IF($C28&lt;1,"",(AVERAGEIFS('09월 고철장입'!M$14:M$949,'09월 고철장입'!$A$14:$A$949,$A28,'09월 고철장입'!$C$14:$C$949,$B28))/1000)</f>
        <v/>
      </c>
      <c r="BC28" s="832" t="str">
        <f>IF($C28&lt;1,"",(AVERAGEIFS('09월 고철장입'!N$14:N$949,'09월 고철장입'!$A$14:$A$949,$A28,'09월 고철장입'!$C$14:$C$949,$B28))/1000)</f>
        <v/>
      </c>
      <c r="BD28" s="832" t="str">
        <f>IF($C28&lt;1,"",(AVERAGEIFS('09월 고철장입'!O$14:O$949,'09월 고철장입'!$A$14:$A$949,$A28,'09월 고철장입'!$C$14:$C$949,$B28))/1000)</f>
        <v/>
      </c>
      <c r="BE28" s="833" t="str">
        <f>IF($C28&lt;1,"",(AVERAGEIFS('09월 고철장입'!P$14:P$949,'09월 고철장입'!$A$14:$A$949,$A28,'09월 고철장입'!$C$14:$C$949,$B28))/1000)</f>
        <v/>
      </c>
      <c r="BF28" s="833" t="str">
        <f>IF($C28&lt;1,"",(AVERAGEIFS('09월 고철장입'!Q$14:Q$949,'09월 고철장입'!$A$14:$A$949,$A28,'09월 고철장입'!$C$14:$C$949,$B28))/1000)</f>
        <v/>
      </c>
      <c r="BG28" s="833" t="str">
        <f>IF($C28&lt;1,"",(AVERAGEIFS('09월 고철장입'!S$14:S$949,'09월 고철장입'!$A$14:$A$949,$A28,'09월 고철장입'!$C$14:$C$949,$B28))/1000)</f>
        <v/>
      </c>
      <c r="BH28" s="833" t="str">
        <f>IF($C28&lt;1,"",(AVERAGEIFS('09월 고철장입'!T$14:T$949,'09월 고철장입'!$A$14:$A$949,$A28,'09월 고철장입'!$C$14:$C$949,$B28))/1000)</f>
        <v/>
      </c>
      <c r="BI28" s="833" t="str">
        <f>IF($C28&lt;1,"",(AVERAGEIFS('09월 고철장입'!U$14:U$949,'09월 고철장입'!$A$14:$A$949,$A28,'09월 고철장입'!$C$14:$C$949,$B28))/1000)</f>
        <v/>
      </c>
      <c r="BJ28" s="833" t="str">
        <f>IF($C28&lt;1,"",(AVERAGEIFS('09월 고철장입'!V$14:V$949,'09월 고철장입'!$A$14:$A$949,$A28,'09월 고철장입'!$C$14:$C$949,$B28))/1000)</f>
        <v/>
      </c>
      <c r="BK28" s="833" t="str">
        <f>IF($C28&lt;1,"",(AVERAGEIFS('09월 고철장입'!W$14:W$949,'09월 고철장입'!$A$14:$A$949,$A28,'09월 고철장입'!$C$14:$C$949,$B28))/1000)</f>
        <v/>
      </c>
      <c r="BL28" s="833" t="str">
        <f>IF($C28&lt;1,"",(AVERAGEIFS('09월 고철장입'!Y$14:Y$949,'09월 고철장입'!$A$14:$A$949,$A28,'09월 고철장입'!$C$14:$C$949,$B28))/1000)</f>
        <v/>
      </c>
      <c r="BM28" s="833" t="str">
        <f>IF($C28&lt;1,"",(AVERAGEIFS('09월 고철장입'!AB$14:AB$949,'09월 고철장입'!$A$14:$A$949,$A28,'09월 고철장입'!$C$14:$C$949,$B28))/1000)</f>
        <v/>
      </c>
      <c r="BN28" s="833" t="str">
        <f>IF($C28&lt;1,"",(AVERAGEIFS('09월 고철장입'!AC$14:AC$949,'09월 고철장입'!$A$14:$A$949,$A28,'09월 고철장입'!$C$14:$C$949,$B28))/1000)</f>
        <v/>
      </c>
      <c r="BO28" s="833" t="str">
        <f>IF($C28&lt;1,"",(AVERAGEIFS('09월 고철장입'!AD$14:AD$949,'09월 고철장입'!$A$14:$A$949,$A28,'09월 고철장입'!$C$14:$C$949,$B28))/1000)</f>
        <v/>
      </c>
      <c r="BP28" s="833" t="str">
        <f>IF($C28&lt;1,"",(AVERAGEIFS('09월 고철장입'!AE$14:AE$949,'09월 고철장입'!$A$14:$A$949,$A28,'09월 고철장입'!$C$14:$C$949,$B28))/1000)</f>
        <v/>
      </c>
      <c r="BQ28" s="832" t="str">
        <f>IF($C28&lt;1,"",(AVERAGEIFS('09월 고철장입'!AF$14:AF$949,'09월 고철장입'!$A$14:$A$949,$A28,'09월 고철장입'!$C$14:$C$949,$B28))/1000)</f>
        <v/>
      </c>
      <c r="BR28" s="832" t="str">
        <f>IF($C28&lt;1,"",(AVERAGEIFS('09월 고철장입'!AG$14:AG$949,'09월 고철장입'!$A$14:$A$949,$A28,'09월 고철장입'!$C$14:$C$949,$B28))/1000)</f>
        <v/>
      </c>
      <c r="BS28" s="832" t="str">
        <f>IF($C28&lt;1,"",(AVERAGEIFS('09월 고철장입'!AH$14:AH$949,'09월 고철장입'!$A$14:$A$949,$A28,'09월 고철장입'!$C$14:$C$949,$B28))/1000)</f>
        <v/>
      </c>
      <c r="BT28" s="832" t="str">
        <f>IF($C28&lt;1,"",(AVERAGEIFS('09월 고철장입'!AI$14:AI$949,'09월 고철장입'!$A$14:$A$949,$A28,'09월 고철장입'!$C$14:$C$949,$B28))/1000)</f>
        <v/>
      </c>
      <c r="BU28" s="834" t="str">
        <f>IF($C28&lt;1,"",(AVERAGEIFS('09월 고철장입'!AJ$14:AJ$949,'09월 고철장입'!$A$14:$A$949,$A28,'09월 고철장입'!$C$14:$C$949,$B28))/1000)</f>
        <v/>
      </c>
      <c r="BV28" s="834" t="str">
        <f>IF($C28&lt;1,"",(AVERAGEIFS('09월 고철장입'!AK$14:AK$949,'09월 고철장입'!$A$14:$A$949,$A28,'09월 고철장입'!$C$14:$C$949,$B28)))</f>
        <v/>
      </c>
      <c r="BW28" s="834" t="str">
        <f>IF($C28&lt;1,"",(AVERAGEIFS('09월 고철장입'!AL$14:AL$949,'09월 고철장입'!$A$14:$A$949,$A28,'09월 고철장입'!$C$14:$C$949,$B28))*100)</f>
        <v/>
      </c>
      <c r="BX28" s="831" t="str">
        <f>IF($C28&lt;1,"",(AVERAGEIFS('09월 에너지'!G$14:G$949,'09월 에너지'!$A$14:$A$949,$A28,'09월 에너지'!$C$14:$C$949,$B28)))</f>
        <v/>
      </c>
      <c r="BY28" s="835" t="str">
        <f>IF($C28&lt;1,"",(AVERAGEIFS('09월 에너지'!H$14:H$949,'09월 에너지'!$A$14:$A$949,$A28,'09월 에너지'!$C$14:$C$949,$B28)))</f>
        <v/>
      </c>
      <c r="BZ28" s="831" t="str">
        <f>IF($C28&lt;1,"",(AVERAGEIFS('09월 에너지'!I$14:I$949,'09월 에너지'!$A$14:$A$949,$A28,'09월 에너지'!$C$14:$C$949,$B28)))</f>
        <v/>
      </c>
      <c r="CA28" s="835" t="str">
        <f>IF($C28&lt;1,"",(AVERAGEIFS('09월 에너지'!J$14:J$949,'09월 에너지'!$A$14:$A$949,$A28,'09월 에너지'!$C$14:$C$949,$B28)))</f>
        <v/>
      </c>
      <c r="CB28" s="831" t="str">
        <f>IF($C28&lt;1,"",(AVERAGEIFS('09월 에너지'!K$14:K$949,'09월 에너지'!$A$14:$A$949,$A28,'09월 에너지'!$C$14:$C$949,$B28)))</f>
        <v/>
      </c>
      <c r="CC28" s="835" t="str">
        <f>IF($C28&lt;1,"",(AVERAGEIFS('09월 에너지'!L$14:L$949,'09월 에너지'!$A$14:$A$949,$A28,'09월 에너지'!$C$14:$C$949,$B28)))</f>
        <v/>
      </c>
      <c r="CD28" s="831" t="str">
        <f>IF($C28&lt;1,"",(AVERAGEIFS('09월 에너지'!M$14:M$949,'09월 에너지'!$A$14:$A$949,$A28,'09월 에너지'!$C$14:$C$949,$B28)))</f>
        <v/>
      </c>
      <c r="CE28" s="835" t="str">
        <f>IF($C28&lt;1,"",(AVERAGEIFS('09월 에너지'!N$14:N$949,'09월 에너지'!$A$14:$A$949,$A28,'09월 에너지'!$C$14:$C$949,$B28)))</f>
        <v/>
      </c>
      <c r="CF28" s="831" t="str">
        <f>IF($C28&lt;1,"",(AVERAGEIFS('09월 에너지'!O$14:O$949,'09월 에너지'!$A$14:$A$949,$A28,'09월 에너지'!$C$14:$C$949,$B28)))</f>
        <v/>
      </c>
      <c r="CG28" s="831" t="str">
        <f>IF($C28&lt;1,"",(AVERAGEIFS('09월 에너지'!P$14:P$949,'09월 에너지'!$A$14:$A$949,$A28,'09월 에너지'!$C$14:$C$949,$B28)))</f>
        <v/>
      </c>
      <c r="CH28" s="831" t="str">
        <f>IF($C28&lt;1,"",(AVERAGEIFS('09월 에너지'!Q$14:Q$949,'09월 에너지'!$A$14:$A$949,$A28,'09월 에너지'!$C$14:$C$949,$B28)))</f>
        <v/>
      </c>
      <c r="CI28" s="831" t="str">
        <f>IF($C28&lt;1,"",(AVERAGEIFS('09월 에너지'!R$14:R$949,'09월 에너지'!$A$14:$A$949,$A28,'09월 에너지'!$C$14:$C$949,$B28)))</f>
        <v/>
      </c>
      <c r="CJ28" s="831" t="str">
        <f>IF($C28&lt;1,"",(AVERAGEIFS('09월 에너지'!S$14:S$949,'09월 에너지'!$A$14:$A$949,$A28,'09월 에너지'!$C$14:$C$949,$B28)))</f>
        <v/>
      </c>
      <c r="CK28" s="831" t="str">
        <f>IF($C28&lt;1,"",(AVERAGEIFS('09월 에너지'!T$14:T$949,'09월 에너지'!$A$14:$A$949,$A28,'09월 에너지'!$C$14:$C$949,$B28)))</f>
        <v/>
      </c>
      <c r="CL28" s="831" t="str">
        <f>IF($C28&lt;1,"",(AVERAGEIFS('09월 에너지'!U$14:U$949,'09월 에너지'!$A$14:$A$949,$A28,'09월 에너지'!$C$14:$C$949,$B28)))</f>
        <v/>
      </c>
      <c r="CM28" s="835" t="str">
        <f>IF($C28&lt;1,"",(AVERAGEIFS('09월 에너지'!V$14:V$949,'09월 에너지'!$A$14:$A$949,$A28,'09월 에너지'!$C$14:$C$949,$B28)))</f>
        <v/>
      </c>
      <c r="CN28" s="835" t="str">
        <f>IF($C28&lt;1,"",(AVERAGEIFS('09월 에너지'!W$14:W$949,'09월 에너지'!$A$14:$A$949,$A28,'09월 에너지'!$C$14:$C$949,$B28)))</f>
        <v/>
      </c>
      <c r="CO28" s="831" t="str">
        <f>IF($C28&lt;1,"",(AVERAGEIFS('09월 에너지'!X$14:X$949,'09월 에너지'!$A$14:$A$949,$A28,'09월 에너지'!$C$14:$C$949,$B28)))</f>
        <v/>
      </c>
      <c r="CP28" s="835" t="str">
        <f>IF($C28&lt;1,"",(AVERAGEIFS('09월 에너지'!Y$14:Y$949,'09월 에너지'!$A$14:$A$949,$A28,'09월 에너지'!$C$14:$C$949,$B28)))</f>
        <v/>
      </c>
      <c r="CQ28" s="835" t="str">
        <f>IF($C28&lt;1,"",(AVERAGEIFS('09월 에너지'!Z$14:Z$949,'09월 에너지'!$A$14:$A$949,$A28,'09월 에너지'!$C$14:$C$949,$B28)))</f>
        <v/>
      </c>
      <c r="CR28" s="835" t="str">
        <f>IF($C28&lt;1,"",(AVERAGEIFS('09월 에너지'!AA$14:AA$949,'09월 에너지'!$A$14:$A$949,$A28,'09월 에너지'!$C$14:$C$949,$B28)))</f>
        <v/>
      </c>
      <c r="CS28" s="835" t="str">
        <f>IF($C28&lt;1,"",(AVERAGEIFS('09월 에너지'!AB$14:AB$949,'09월 에너지'!$A$14:$A$949,$A28,'09월 에너지'!$C$14:$C$949,$B28)))</f>
        <v/>
      </c>
      <c r="CT28" s="831" t="str">
        <f>IF($C28&lt;1,"",(AVERAGEIFS('09월 에너지'!AC$14:AC$949,'09월 에너지'!$A$14:$A$949,$A28,'09월 에너지'!$C$14:$C$949,$B28)))</f>
        <v/>
      </c>
      <c r="CU28" s="836" t="str">
        <f>IF($C28&lt;1,"",(AVERAGEIFS('09월 에너지'!AD$14:AD$949,'09월 에너지'!$A$14:$A$949,$A28,'09월 에너지'!$C$14:$C$949,$B28)))</f>
        <v/>
      </c>
      <c r="CV28" s="837" t="str">
        <f>IF($C28&lt;1,"",(AVERAGEIFS('09월 에너지'!AE$14:AE$949,'09월 에너지'!$A$14:$A$949,$A28,'09월 에너지'!$C$14:$C$949,$B28)))</f>
        <v/>
      </c>
      <c r="CW28" s="831" t="str">
        <f>IF($C28&lt;1,"",(AVERAGEIFS('09월 에너지'!AF$14:AF$949,'09월 에너지'!$A$14:$A$949,$A28,'09월 에너지'!$C$14:$C$949,$B28)))</f>
        <v/>
      </c>
      <c r="CX28" s="831" t="str">
        <f>IF($C28&lt;1,"",(AVERAGEIFS('09월 에너지'!AG$14:AG$949,'09월 에너지'!$A$14:$A$949,$A28,'09월 에너지'!$C$14:$C$949,$B28)))</f>
        <v/>
      </c>
      <c r="CY28" s="831" t="str">
        <f>IF($C28&lt;1,"",(AVERAGEIFS('09월 에너지'!AH$14:AH$949,'09월 에너지'!$A$14:$A$949,$A28,'09월 에너지'!$C$14:$C$949,$B28)))</f>
        <v/>
      </c>
      <c r="CZ28" s="831" t="str">
        <f>IF($C28&lt;1,"",(AVERAGEIFS('09월 에너지'!AI$14:AI$949,'09월 에너지'!$A$14:$A$949,$A28,'09월 에너지'!$C$14:$C$949,$B28)))</f>
        <v/>
      </c>
      <c r="DA28" s="838" t="str">
        <f>IF($C28&lt;1,"",(AVERAGEIFS('09월 에너지'!AJ$14:AJ$949,'09월 에너지'!$A$14:$A$949,$A28,'09월 에너지'!$C$14:$C$949,$B28)))</f>
        <v/>
      </c>
    </row>
    <row r="29" spans="1:105" ht="13.5" customHeight="1">
      <c r="A29" s="849">
        <f t="shared" si="2"/>
        <v>44931</v>
      </c>
      <c r="B29" s="850" t="s">
        <v>10</v>
      </c>
      <c r="C29" s="823">
        <f>COUNTIFS('09월 조업일지'!$A$12:$A$952,A26,'09월 조업일지'!$E$12:$E$952,B29)</f>
        <v>0</v>
      </c>
      <c r="D29" s="824" t="str">
        <f t="shared" si="6"/>
        <v/>
      </c>
      <c r="E29" s="824" t="str">
        <f>IF($C29&lt;1,"",(SUMIFS('09월 조업일지'!$K$12:$K$952,'09월 조업일지'!$A$12:$A$952,$A29,'09월 조업일지'!$E$12:$E$952,$B29)/$C29))</f>
        <v/>
      </c>
      <c r="F29" s="824" t="str">
        <f>IF($C29&lt;1,"",(AVERAGEIFS('09월 조업일지'!$J$12:$J$952,'09월 조업일지'!$A$12:$A$952,$A29,'09월 조업일지'!$E$12:$E$952,$B29)))</f>
        <v/>
      </c>
      <c r="G29" s="825" t="str">
        <f>IF($C29&lt;1,"",(AVERAGEIFS('09월 에너지'!$M$14:$M$949,'09월 에너지'!$A$14:$A$949,$A29,'09월 에너지'!$C$14:$C$949,$B29)))</f>
        <v/>
      </c>
      <c r="H29" s="826" t="str">
        <f>IF($C29&lt;1,"",(AVERAGEIFS('09월 조업일지'!$AJ$12:$AJ$952,'09월 조업일지'!$A$12:$A$952,$A29,'09월 조업일지'!$E$12:$E$952,$B29)))</f>
        <v/>
      </c>
      <c r="I29" s="826" t="str">
        <f>IF($C29&lt;1,"",(AVERAGEIFS('09월 조업일지'!$AL$12:$AL$952,'09월 조업일지'!$A$12:$A$952,$A29,'09월 조업일지'!$E$12:$E$952,$B29)))</f>
        <v/>
      </c>
      <c r="J29" s="827" t="str">
        <f>IF($C29&lt;1,"",(AVERAGEIFS('09월 화학성분'!G$12:G$949,'09월 화학성분'!$A$12:$A$949,$A29,'09월 화학성분'!$D$12:$D$949,$B29)))</f>
        <v/>
      </c>
      <c r="K29" s="827" t="str">
        <f>IF($C29&lt;1,"",(AVERAGEIFS('09월 화학성분'!H$12:H$949,'09월 화학성분'!$A$12:$A$949,$A29,'09월 화학성분'!$D$12:$D$949,$B29)))</f>
        <v/>
      </c>
      <c r="L29" s="827" t="str">
        <f>IF($C29&lt;1,"",(AVERAGEIFS('09월 화학성분'!I$12:I$949,'09월 화학성분'!$A$12:$A$949,$A29,'09월 화학성분'!$D$12:$D$949,$B29)))</f>
        <v/>
      </c>
      <c r="M29" s="827" t="str">
        <f>IF($C29&lt;1,"",(AVERAGEIFS('09월 화학성분'!J$12:J$949,'09월 화학성분'!$A$12:$A$949,$A29,'09월 화학성분'!$D$12:$D$949,$B29)))</f>
        <v/>
      </c>
      <c r="N29" s="827" t="str">
        <f>IF($C29&lt;1,"",(AVERAGEIFS('09월 화학성분'!K$12:K$949,'09월 화학성분'!$A$12:$A$949,$A29,'09월 화학성분'!$D$12:$D$949,$B29)))</f>
        <v/>
      </c>
      <c r="O29" s="827" t="str">
        <f>IF($C29&lt;1,"",(AVERAGEIFS('09월 화학성분'!L$12:L$949,'09월 화학성분'!$A$12:$A$949,$A29,'09월 화학성분'!$D$12:$D$949,$B29)))</f>
        <v/>
      </c>
      <c r="P29" s="827" t="str">
        <f>IF($C29&lt;1,"",(AVERAGEIFS('09월 화학성분'!M$12:M$949,'09월 화학성분'!$A$12:$A$949,$A29,'09월 화학성분'!$D$12:$D$949,$B29)))</f>
        <v/>
      </c>
      <c r="Q29" s="827" t="str">
        <f>IFERROR(IF($C29&lt;1,"",(AVERAGEIFS('09월 조업일지'!$AA$12:$AA$952,'09월 조업일지'!$A$12:$A$952,$A29,'09월 조업일지'!$E$12:$E$952,$B29))),"")</f>
        <v/>
      </c>
      <c r="R29" s="827" t="str">
        <f>IF($C29&lt;1,"",(AVERAGEIFS('09월 조업일지'!$AK$12:$AK$952,'09월 조업일지'!$A$12:$A$952,$A29,'09월 조업일지'!$E$12:$E$952,$B29)))</f>
        <v/>
      </c>
      <c r="S29" s="827"/>
      <c r="T29" s="827"/>
      <c r="U29" s="827" t="str">
        <f>IF($C29&lt;1,"",(AVERAGEIFS('09월 화학성분'!$G$12:$G$949,'09월 화학성분'!$A$12:$A$949,$A29,'09월 화학성분'!$D$12:$D$949,$B29)))</f>
        <v/>
      </c>
      <c r="V29" s="827" t="str">
        <f>IF($C29&lt;1,"",(AVERAGEIFS('09월 조업일지'!$AI$12:$AI$952,'09월 조업일지'!$A$12:$A$952,$A29,'09월 조업일지'!$E$12:$E$952,$B29)))</f>
        <v/>
      </c>
      <c r="W29" s="828" t="str">
        <f>IF($C29&lt;1,"",(AVERAGEIFS('09월 화학성분'!$AM$12:$AM$949,'09월 화학성분'!$A$12:$A$949,$A29,'09월 화학성분'!$D$12:$D$949,$B29)))</f>
        <v/>
      </c>
      <c r="X29" s="829" t="str">
        <f>IF($C29&lt;1,"",(AVERAGEIFS('09월 화학성분'!N$12:N$949,'09월 화학성분'!$A$12:$A$949,$A29,'09월 화학성분'!$D$12:$D$949,$B29)))</f>
        <v/>
      </c>
      <c r="Y29" s="829" t="str">
        <f>IF($C29&lt;1,"",(AVERAGEIFS('09월 화학성분'!O$12:O$949,'09월 화학성분'!$A$12:$A$949,$A29,'09월 화학성분'!$D$12:$D$949,$B29)))</f>
        <v/>
      </c>
      <c r="Z29" s="829" t="str">
        <f>IF($C29&lt;1,"",(AVERAGEIFS('09월 화학성분'!P$12:P$949,'09월 화학성분'!$A$12:$A$949,$A29,'09월 화학성분'!$D$12:$D$949,$B29)))</f>
        <v/>
      </c>
      <c r="AA29" s="829" t="str">
        <f>IF($C29&lt;1,"",(AVERAGEIFS('09월 화학성분'!Q$12:Q$949,'09월 화학성분'!$A$12:$A$949,$A29,'09월 화학성분'!$D$12:$D$949,$B29)))</f>
        <v/>
      </c>
      <c r="AB29" s="829" t="str">
        <f>IF($C29&lt;1,"",(AVERAGEIFS('09월 화학성분'!R$12:R$949,'09월 화학성분'!$A$12:$A$949,$A29,'09월 화학성분'!$D$12:$D$949,$B29)))</f>
        <v/>
      </c>
      <c r="AC29" s="829" t="str">
        <f>IF($C29&lt;1,"",(AVERAGEIFS('09월 화학성분'!U$12:U$949,'09월 화학성분'!$A$12:$A$949,$A29,'09월 화학성분'!$D$12:$D$949,$B29)))</f>
        <v/>
      </c>
      <c r="AD29" s="829" t="str">
        <f>IF($C29&lt;1,"",(AVERAGEIFS('09월 화학성분'!V$12:V$949,'09월 화학성분'!$A$12:$A$949,$A29,'09월 화학성분'!$D$12:$D$949,$B29)))</f>
        <v/>
      </c>
      <c r="AE29" s="829" t="str">
        <f>IF($C29&lt;1,"",(AVERAGEIFS('09월 화학성분'!W$12:W$949,'09월 화학성분'!$A$12:$A$949,$A29,'09월 화학성분'!$D$12:$D$949,$B29)))</f>
        <v/>
      </c>
      <c r="AF29" s="829" t="str">
        <f>IF($C29&lt;1,"",(AVERAGEIFS('09월 화학성분'!AA$12:AA$949,'09월 화학성분'!$A$12:$A$949,$A29,'09월 화학성분'!$D$12:$D$949,$B29)))</f>
        <v/>
      </c>
      <c r="AG29" s="829" t="str">
        <f>IF($C29&lt;1,"",(AVERAGEIFS('09월 화학성분'!#REF!,'09월 화학성분'!$A$12:$A$949,$A29,'09월 화학성분'!$D$12:$D$949,$B29)))</f>
        <v/>
      </c>
      <c r="AH29" s="829" t="str">
        <f>IF($C29&lt;1,"",(AVERAGEIFS('09월 화학성분'!AB$12:AB$949,'09월 화학성분'!$A$12:$A$949,$A29,'09월 화학성분'!$D$12:$D$949,$B29)))</f>
        <v/>
      </c>
      <c r="AI29" s="829" t="str">
        <f>IF($C29&lt;1,"",(AVERAGEIFS('09월 화학성분'!AC$12:AC$949,'09월 화학성분'!$A$12:$A$949,$A29,'09월 화학성분'!$D$12:$D$949,$B29)))</f>
        <v/>
      </c>
      <c r="AJ29" s="829" t="str">
        <f>IF($C29&lt;1,"",(AVERAGEIFS('09월 화학성분'!AD$12:AD$949,'09월 화학성분'!$A$12:$A$949,$A29,'09월 화학성분'!$D$12:$D$949,$B29)))</f>
        <v/>
      </c>
      <c r="AK29" s="829" t="str">
        <f>IF($C29&lt;1,"",(AVERAGEIFS('09월 화학성분'!AF$12:AF$949,'09월 화학성분'!$A$12:$A$949,$A29,'09월 화학성분'!$D$12:$D$949,$B29)))</f>
        <v/>
      </c>
      <c r="AL29" s="829" t="str">
        <f>IF($C29&lt;1,"",(AVERAGEIFS('09월 화학성분'!AG$12:AG$949,'09월 화학성분'!$A$12:$A$949,$A29,'09월 화학성분'!$D$12:$D$949,$B29)))</f>
        <v/>
      </c>
      <c r="AM29" s="829" t="str">
        <f>IF($C29&lt;1,"",(AVERAGEIFS('09월 화학성분'!AH$12:AH$949,'09월 화학성분'!$A$12:$A$949,$A29,'09월 화학성분'!$D$12:$D$949,$B29)))</f>
        <v/>
      </c>
      <c r="AN29" s="829" t="str">
        <f>IF($C29&lt;1,"",(AVERAGEIFS('09월 화학성분'!AI$12:AI$949,'09월 화학성분'!$A$12:$A$949,$A29,'09월 화학성분'!$D$12:$D$949,$B29)))</f>
        <v/>
      </c>
      <c r="AO29" s="829" t="str">
        <f>IF($C29&lt;1,"",(AVERAGEIFS('09월 화학성분'!AJ$12:AJ$949,'09월 화학성분'!$A$12:$A$949,$A29,'09월 화학성분'!$D$12:$D$949,$B29)))</f>
        <v/>
      </c>
      <c r="AP29" s="829" t="str">
        <f>IF($C29&lt;1,"",(AVERAGEIFS('09월 화학성분'!#REF!,'09월 화학성분'!$A$12:$A$949,$A29,'09월 화학성분'!$D$12:$D$949,$B29)))</f>
        <v/>
      </c>
      <c r="AQ29" s="829" t="str">
        <f>IF($C29&lt;1,"",(AVERAGEIFS('09월 화학성분'!AL$12:AL$949,'09월 화학성분'!$A$12:$A$949,$A29,'09월 화학성분'!$D$12:$D$949,$B29)))</f>
        <v/>
      </c>
      <c r="AR29" s="829" t="str">
        <f>IF($C29&lt;1,"",(AVERAGEIFS('09월 화학성분'!AM$12:AM$949,'09월 화학성분'!$A$12:$A$949,$A29,'09월 화학성분'!$D$12:$D$949,$B29)))</f>
        <v/>
      </c>
      <c r="AS29" s="830" t="str">
        <f>IF($C29&lt;1,"",(AVERAGEIFS('09월 화학성분'!AN$12:AN$949,'09월 화학성분'!$A$12:$A$949,$A29,'09월 화학성분'!$D$12:$D$949,$B29)))</f>
        <v/>
      </c>
      <c r="AT29" s="830" t="str">
        <f>IF($C29&lt;1,"",(AVERAGEIFS('09월 화학성분'!AO$12:AO$949,'09월 화학성분'!$A$12:$A$949,$A29,'09월 화학성분'!$D$12:$D$949,$B29)))</f>
        <v/>
      </c>
      <c r="AU29" s="831" t="str">
        <f>IF($C29&lt;1,"",(AVERAGEIFS('09월 화학성분'!AP$12:AP$949,'09월 화학성분'!$A$12:$A$949,$A29,'09월 화학성분'!$D$12:$D$949,$B29)))</f>
        <v/>
      </c>
      <c r="AV29" s="832" t="str">
        <f>IF($C29&lt;1,"",(AVERAGEIFS('09월 고철장입'!G$14:G$949,'09월 고철장입'!$A$14:$A$949,$A29,'09월 고철장입'!$C$14:$C$949,$B29))/1000)</f>
        <v/>
      </c>
      <c r="AW29" s="832" t="str">
        <f>IF($C29&lt;1,"",(AVERAGEIFS('09월 고철장입'!H$14:H$949,'09월 고철장입'!$A$14:$A$949,$A29,'09월 고철장입'!$C$14:$C$949,$B29))/1000)</f>
        <v/>
      </c>
      <c r="AX29" s="832" t="str">
        <f>IF($C29&lt;1,"",(AVERAGEIFS('09월 고철장입'!I$14:I$949,'09월 고철장입'!$A$14:$A$949,$A29,'09월 고철장입'!$C$14:$C$949,$B29))/1000)</f>
        <v/>
      </c>
      <c r="AY29" s="832" t="str">
        <f>IF($C29&lt;1,"",(AVERAGEIFS('09월 고철장입'!J$14:J$949,'09월 고철장입'!$A$14:$A$949,$A29,'09월 고철장입'!$C$14:$C$949,$B29))/1000)</f>
        <v/>
      </c>
      <c r="AZ29" s="832" t="str">
        <f>IF($C29&lt;1,"",(AVERAGEIFS('09월 고철장입'!K$14:K$949,'09월 고철장입'!$A$14:$A$949,$A29,'09월 고철장입'!$C$14:$C$949,$B29))/1000)</f>
        <v/>
      </c>
      <c r="BA29" s="832" t="str">
        <f>IF($C29&lt;1,"",(AVERAGEIFS('09월 고철장입'!L$14:L$949,'09월 고철장입'!$A$14:$A$949,$A29,'09월 고철장입'!$C$14:$C$949,$B29))/1000)</f>
        <v/>
      </c>
      <c r="BB29" s="832" t="str">
        <f>IF($C29&lt;1,"",(AVERAGEIFS('09월 고철장입'!M$14:M$949,'09월 고철장입'!$A$14:$A$949,$A29,'09월 고철장입'!$C$14:$C$949,$B29))/1000)</f>
        <v/>
      </c>
      <c r="BC29" s="832" t="str">
        <f>IF($C29&lt;1,"",(AVERAGEIFS('09월 고철장입'!N$14:N$949,'09월 고철장입'!$A$14:$A$949,$A29,'09월 고철장입'!$C$14:$C$949,$B29))/1000)</f>
        <v/>
      </c>
      <c r="BD29" s="832" t="str">
        <f>IF($C29&lt;1,"",(AVERAGEIFS('09월 고철장입'!O$14:O$949,'09월 고철장입'!$A$14:$A$949,$A29,'09월 고철장입'!$C$14:$C$949,$B29))/1000)</f>
        <v/>
      </c>
      <c r="BE29" s="833" t="str">
        <f>IF($C29&lt;1,"",(AVERAGEIFS('09월 고철장입'!P$14:P$949,'09월 고철장입'!$A$14:$A$949,$A29,'09월 고철장입'!$C$14:$C$949,$B29))/1000)</f>
        <v/>
      </c>
      <c r="BF29" s="833" t="str">
        <f>IF($C29&lt;1,"",(AVERAGEIFS('09월 고철장입'!Q$14:Q$949,'09월 고철장입'!$A$14:$A$949,$A29,'09월 고철장입'!$C$14:$C$949,$B29))/1000)</f>
        <v/>
      </c>
      <c r="BG29" s="833" t="str">
        <f>IF($C29&lt;1,"",(AVERAGEIFS('09월 고철장입'!S$14:S$949,'09월 고철장입'!$A$14:$A$949,$A29,'09월 고철장입'!$C$14:$C$949,$B29))/1000)</f>
        <v/>
      </c>
      <c r="BH29" s="833" t="str">
        <f>IF($C29&lt;1,"",(AVERAGEIFS('09월 고철장입'!T$14:T$949,'09월 고철장입'!$A$14:$A$949,$A29,'09월 고철장입'!$C$14:$C$949,$B29))/1000)</f>
        <v/>
      </c>
      <c r="BI29" s="833" t="str">
        <f>IF($C29&lt;1,"",(AVERAGEIFS('09월 고철장입'!U$14:U$949,'09월 고철장입'!$A$14:$A$949,$A29,'09월 고철장입'!$C$14:$C$949,$B29))/1000)</f>
        <v/>
      </c>
      <c r="BJ29" s="833" t="str">
        <f>IF($C29&lt;1,"",(AVERAGEIFS('09월 고철장입'!V$14:V$949,'09월 고철장입'!$A$14:$A$949,$A29,'09월 고철장입'!$C$14:$C$949,$B29))/1000)</f>
        <v/>
      </c>
      <c r="BK29" s="833" t="str">
        <f>IF($C29&lt;1,"",(AVERAGEIFS('09월 고철장입'!W$14:W$949,'09월 고철장입'!$A$14:$A$949,$A29,'09월 고철장입'!$C$14:$C$949,$B29))/1000)</f>
        <v/>
      </c>
      <c r="BL29" s="833" t="str">
        <f>IF($C29&lt;1,"",(AVERAGEIFS('09월 고철장입'!Y$14:Y$949,'09월 고철장입'!$A$14:$A$949,$A29,'09월 고철장입'!$C$14:$C$949,$B29))/1000)</f>
        <v/>
      </c>
      <c r="BM29" s="833" t="str">
        <f>IF($C29&lt;1,"",(AVERAGEIFS('09월 고철장입'!AB$14:AB$949,'09월 고철장입'!$A$14:$A$949,$A29,'09월 고철장입'!$C$14:$C$949,$B29))/1000)</f>
        <v/>
      </c>
      <c r="BN29" s="833" t="str">
        <f>IF($C29&lt;1,"",(AVERAGEIFS('09월 고철장입'!AC$14:AC$949,'09월 고철장입'!$A$14:$A$949,$A29,'09월 고철장입'!$C$14:$C$949,$B29))/1000)</f>
        <v/>
      </c>
      <c r="BO29" s="833" t="str">
        <f>IF($C29&lt;1,"",(AVERAGEIFS('09월 고철장입'!AD$14:AD$949,'09월 고철장입'!$A$14:$A$949,$A29,'09월 고철장입'!$C$14:$C$949,$B29))/1000)</f>
        <v/>
      </c>
      <c r="BP29" s="833" t="str">
        <f>IF($C29&lt;1,"",(AVERAGEIFS('09월 고철장입'!AE$14:AE$949,'09월 고철장입'!$A$14:$A$949,$A29,'09월 고철장입'!$C$14:$C$949,$B29))/1000)</f>
        <v/>
      </c>
      <c r="BQ29" s="832" t="str">
        <f>IF($C29&lt;1,"",(AVERAGEIFS('09월 고철장입'!AF$14:AF$949,'09월 고철장입'!$A$14:$A$949,$A29,'09월 고철장입'!$C$14:$C$949,$B29))/1000)</f>
        <v/>
      </c>
      <c r="BR29" s="832" t="str">
        <f>IF($C29&lt;1,"",(AVERAGEIFS('09월 고철장입'!AG$14:AG$949,'09월 고철장입'!$A$14:$A$949,$A29,'09월 고철장입'!$C$14:$C$949,$B29))/1000)</f>
        <v/>
      </c>
      <c r="BS29" s="832" t="str">
        <f>IF($C29&lt;1,"",(AVERAGEIFS('09월 고철장입'!AH$14:AH$949,'09월 고철장입'!$A$14:$A$949,$A29,'09월 고철장입'!$C$14:$C$949,$B29))/1000)</f>
        <v/>
      </c>
      <c r="BT29" s="832" t="str">
        <f>IF($C29&lt;1,"",(AVERAGEIFS('09월 고철장입'!AI$14:AI$949,'09월 고철장입'!$A$14:$A$949,$A29,'09월 고철장입'!$C$14:$C$949,$B29))/1000)</f>
        <v/>
      </c>
      <c r="BU29" s="834" t="str">
        <f>IF($C29&lt;1,"",(AVERAGEIFS('09월 고철장입'!AJ$14:AJ$949,'09월 고철장입'!$A$14:$A$949,$A29,'09월 고철장입'!$C$14:$C$949,$B29))/1000)</f>
        <v/>
      </c>
      <c r="BV29" s="834" t="str">
        <f>IF($C29&lt;1,"",(AVERAGEIFS('09월 고철장입'!AK$14:AK$949,'09월 고철장입'!$A$14:$A$949,$A29,'09월 고철장입'!$C$14:$C$949,$B29)))</f>
        <v/>
      </c>
      <c r="BW29" s="834" t="str">
        <f>IF($C29&lt;1,"",(AVERAGEIFS('09월 고철장입'!AL$14:AL$949,'09월 고철장입'!$A$14:$A$949,$A29,'09월 고철장입'!$C$14:$C$949,$B29))*100)</f>
        <v/>
      </c>
      <c r="BX29" s="831" t="str">
        <f>IF($C29&lt;1,"",(AVERAGEIFS('09월 에너지'!G$14:G$949,'09월 에너지'!$A$14:$A$949,$A29,'09월 에너지'!$C$14:$C$949,$B29)))</f>
        <v/>
      </c>
      <c r="BY29" s="835" t="str">
        <f>IF($C29&lt;1,"",(AVERAGEIFS('09월 에너지'!H$14:H$949,'09월 에너지'!$A$14:$A$949,$A29,'09월 에너지'!$C$14:$C$949,$B29)))</f>
        <v/>
      </c>
      <c r="BZ29" s="831" t="str">
        <f>IF($C29&lt;1,"",(AVERAGEIFS('09월 에너지'!I$14:I$949,'09월 에너지'!$A$14:$A$949,$A29,'09월 에너지'!$C$14:$C$949,$B29)))</f>
        <v/>
      </c>
      <c r="CA29" s="835" t="str">
        <f>IF($C29&lt;1,"",(AVERAGEIFS('09월 에너지'!J$14:J$949,'09월 에너지'!$A$14:$A$949,$A29,'09월 에너지'!$C$14:$C$949,$B29)))</f>
        <v/>
      </c>
      <c r="CB29" s="831" t="str">
        <f>IF($C29&lt;1,"",(AVERAGEIFS('09월 에너지'!K$14:K$949,'09월 에너지'!$A$14:$A$949,$A29,'09월 에너지'!$C$14:$C$949,$B29)))</f>
        <v/>
      </c>
      <c r="CC29" s="835" t="str">
        <f>IF($C29&lt;1,"",(AVERAGEIFS('09월 에너지'!L$14:L$949,'09월 에너지'!$A$14:$A$949,$A29,'09월 에너지'!$C$14:$C$949,$B29)))</f>
        <v/>
      </c>
      <c r="CD29" s="831" t="str">
        <f>IF($C29&lt;1,"",(AVERAGEIFS('09월 에너지'!M$14:M$949,'09월 에너지'!$A$14:$A$949,$A29,'09월 에너지'!$C$14:$C$949,$B29)))</f>
        <v/>
      </c>
      <c r="CE29" s="835" t="str">
        <f>IF($C29&lt;1,"",(AVERAGEIFS('09월 에너지'!N$14:N$949,'09월 에너지'!$A$14:$A$949,$A29,'09월 에너지'!$C$14:$C$949,$B29)))</f>
        <v/>
      </c>
      <c r="CF29" s="831" t="str">
        <f>IF($C29&lt;1,"",(AVERAGEIFS('09월 에너지'!O$14:O$949,'09월 에너지'!$A$14:$A$949,$A29,'09월 에너지'!$C$14:$C$949,$B29)))</f>
        <v/>
      </c>
      <c r="CG29" s="831" t="str">
        <f>IF($C29&lt;1,"",(AVERAGEIFS('09월 에너지'!P$14:P$949,'09월 에너지'!$A$14:$A$949,$A29,'09월 에너지'!$C$14:$C$949,$B29)))</f>
        <v/>
      </c>
      <c r="CH29" s="831" t="str">
        <f>IF($C29&lt;1,"",(AVERAGEIFS('09월 에너지'!Q$14:Q$949,'09월 에너지'!$A$14:$A$949,$A29,'09월 에너지'!$C$14:$C$949,$B29)))</f>
        <v/>
      </c>
      <c r="CI29" s="831" t="str">
        <f>IF($C29&lt;1,"",(AVERAGEIFS('09월 에너지'!R$14:R$949,'09월 에너지'!$A$14:$A$949,$A29,'09월 에너지'!$C$14:$C$949,$B29)))</f>
        <v/>
      </c>
      <c r="CJ29" s="831" t="str">
        <f>IF($C29&lt;1,"",(AVERAGEIFS('09월 에너지'!S$14:S$949,'09월 에너지'!$A$14:$A$949,$A29,'09월 에너지'!$C$14:$C$949,$B29)))</f>
        <v/>
      </c>
      <c r="CK29" s="831" t="str">
        <f>IF($C29&lt;1,"",(AVERAGEIFS('09월 에너지'!T$14:T$949,'09월 에너지'!$A$14:$A$949,$A29,'09월 에너지'!$C$14:$C$949,$B29)))</f>
        <v/>
      </c>
      <c r="CL29" s="831" t="str">
        <f>IF($C29&lt;1,"",(AVERAGEIFS('09월 에너지'!U$14:U$949,'09월 에너지'!$A$14:$A$949,$A29,'09월 에너지'!$C$14:$C$949,$B29)))</f>
        <v/>
      </c>
      <c r="CM29" s="835" t="str">
        <f>IF($C29&lt;1,"",(AVERAGEIFS('09월 에너지'!V$14:V$949,'09월 에너지'!$A$14:$A$949,$A29,'09월 에너지'!$C$14:$C$949,$B29)))</f>
        <v/>
      </c>
      <c r="CN29" s="835" t="str">
        <f>IF($C29&lt;1,"",(AVERAGEIFS('09월 에너지'!W$14:W$949,'09월 에너지'!$A$14:$A$949,$A29,'09월 에너지'!$C$14:$C$949,$B29)))</f>
        <v/>
      </c>
      <c r="CO29" s="831" t="str">
        <f>IF($C29&lt;1,"",(AVERAGEIFS('09월 에너지'!X$14:X$949,'09월 에너지'!$A$14:$A$949,$A29,'09월 에너지'!$C$14:$C$949,$B29)))</f>
        <v/>
      </c>
      <c r="CP29" s="835" t="str">
        <f>IF($C29&lt;1,"",(AVERAGEIFS('09월 에너지'!Y$14:Y$949,'09월 에너지'!$A$14:$A$949,$A29,'09월 에너지'!$C$14:$C$949,$B29)))</f>
        <v/>
      </c>
      <c r="CQ29" s="835" t="str">
        <f>IF($C29&lt;1,"",(AVERAGEIFS('09월 에너지'!Z$14:Z$949,'09월 에너지'!$A$14:$A$949,$A29,'09월 에너지'!$C$14:$C$949,$B29)))</f>
        <v/>
      </c>
      <c r="CR29" s="835" t="str">
        <f>IF($C29&lt;1,"",(AVERAGEIFS('09월 에너지'!AA$14:AA$949,'09월 에너지'!$A$14:$A$949,$A29,'09월 에너지'!$C$14:$C$949,$B29)))</f>
        <v/>
      </c>
      <c r="CS29" s="835" t="str">
        <f>IF($C29&lt;1,"",(AVERAGEIFS('09월 에너지'!AB$14:AB$949,'09월 에너지'!$A$14:$A$949,$A29,'09월 에너지'!$C$14:$C$949,$B29)))</f>
        <v/>
      </c>
      <c r="CT29" s="831" t="str">
        <f>IF($C29&lt;1,"",(AVERAGEIFS('09월 에너지'!AC$14:AC$949,'09월 에너지'!$A$14:$A$949,$A29,'09월 에너지'!$C$14:$C$949,$B29)))</f>
        <v/>
      </c>
      <c r="CU29" s="836" t="str">
        <f>IF($C29&lt;1,"",(AVERAGEIFS('09월 에너지'!AD$14:AD$949,'09월 에너지'!$A$14:$A$949,$A29,'09월 에너지'!$C$14:$C$949,$B29)))</f>
        <v/>
      </c>
      <c r="CV29" s="837" t="str">
        <f>IF($C29&lt;1,"",(AVERAGEIFS('09월 에너지'!AE$14:AE$949,'09월 에너지'!$A$14:$A$949,$A29,'09월 에너지'!$C$14:$C$949,$B29)))</f>
        <v/>
      </c>
      <c r="CW29" s="831" t="str">
        <f>IF($C29&lt;1,"",(AVERAGEIFS('09월 에너지'!AF$14:AF$949,'09월 에너지'!$A$14:$A$949,$A29,'09월 에너지'!$C$14:$C$949,$B29)))</f>
        <v/>
      </c>
      <c r="CX29" s="831" t="str">
        <f>IF($C29&lt;1,"",(AVERAGEIFS('09월 에너지'!AG$14:AG$949,'09월 에너지'!$A$14:$A$949,$A29,'09월 에너지'!$C$14:$C$949,$B29)))</f>
        <v/>
      </c>
      <c r="CY29" s="831" t="str">
        <f>IF($C29&lt;1,"",(AVERAGEIFS('09월 에너지'!AH$14:AH$949,'09월 에너지'!$A$14:$A$949,$A29,'09월 에너지'!$C$14:$C$949,$B29)))</f>
        <v/>
      </c>
      <c r="CZ29" s="831" t="str">
        <f>IF($C29&lt;1,"",(AVERAGEIFS('09월 에너지'!AI$14:AI$949,'09월 에너지'!$A$14:$A$949,$A29,'09월 에너지'!$C$14:$C$949,$B29)))</f>
        <v/>
      </c>
      <c r="DA29" s="838" t="str">
        <f>IF($C29&lt;1,"",(AVERAGEIFS('09월 에너지'!AJ$14:AJ$949,'09월 에너지'!$A$14:$A$949,$A29,'09월 에너지'!$C$14:$C$949,$B29)))</f>
        <v/>
      </c>
    </row>
    <row r="30" spans="1:105" ht="13.5" customHeight="1" thickBot="1">
      <c r="A30" s="851">
        <f t="shared" si="2"/>
        <v>44931</v>
      </c>
      <c r="B30" s="852" t="s">
        <v>94</v>
      </c>
      <c r="C30" s="841">
        <f>COUNTIFS('09월 조업일지'!$A$12:$A$952,A26,'09월 조업일지'!$E$12:$E$952,B30)</f>
        <v>0</v>
      </c>
      <c r="D30" s="842" t="str">
        <f t="shared" si="6"/>
        <v/>
      </c>
      <c r="E30" s="842" t="str">
        <f>IF($C30&lt;1,"",(SUMIFS('09월 조업일지'!$K$12:$K$952,'09월 조업일지'!$A$12:$A$952,$A30,'09월 조업일지'!$E$12:$E$952,$B30)/$C30))</f>
        <v/>
      </c>
      <c r="F30" s="842" t="str">
        <f>IF($C30&lt;1,"",(AVERAGEIFS('09월 조업일지'!$J$12:$J$952,'09월 조업일지'!$A$12:$A$952,$A30,'09월 조업일지'!$E$12:$E$952,$B30)))</f>
        <v/>
      </c>
      <c r="G30" s="843" t="str">
        <f>IF($C30&lt;1,"",(AVERAGEIFS('09월 에너지'!$M$14:$M$949,'09월 에너지'!$A$14:$A$949,$A30,'09월 에너지'!$C$14:$C$949,$B30)))</f>
        <v/>
      </c>
      <c r="H30" s="844" t="str">
        <f>IF($C30&lt;1,"",(AVERAGEIFS('09월 조업일지'!$AJ$12:$AJ$952,'09월 조업일지'!$A$12:$A$952,$A30,'09월 조업일지'!$E$12:$E$952,$B30)))</f>
        <v/>
      </c>
      <c r="I30" s="844" t="str">
        <f>IF($C30&lt;1,"",(AVERAGEIFS('09월 조업일지'!$AL$12:$AL$952,'09월 조업일지'!$A$12:$A$952,$A30,'09월 조업일지'!$E$12:$E$952,$B30)))</f>
        <v/>
      </c>
      <c r="J30" s="845" t="str">
        <f>IF($C30&lt;1,"",(AVERAGEIFS('09월 화학성분'!G$12:G$949,'09월 화학성분'!$A$12:$A$949,$A30,'09월 화학성분'!$D$12:$D$949,$B30)))</f>
        <v/>
      </c>
      <c r="K30" s="845" t="str">
        <f>IF($C30&lt;1,"",(AVERAGEIFS('09월 화학성분'!H$12:H$949,'09월 화학성분'!$A$12:$A$949,$A30,'09월 화학성분'!$D$12:$D$949,$B30)))</f>
        <v/>
      </c>
      <c r="L30" s="845" t="str">
        <f>IF($C30&lt;1,"",(AVERAGEIFS('09월 화학성분'!I$12:I$949,'09월 화학성분'!$A$12:$A$949,$A30,'09월 화학성분'!$D$12:$D$949,$B30)))</f>
        <v/>
      </c>
      <c r="M30" s="845" t="str">
        <f>IF($C30&lt;1,"",(AVERAGEIFS('09월 화학성분'!J$12:J$949,'09월 화학성분'!$A$12:$A$949,$A30,'09월 화학성분'!$D$12:$D$949,$B30)))</f>
        <v/>
      </c>
      <c r="N30" s="845" t="str">
        <f>IF($C30&lt;1,"",(AVERAGEIFS('09월 화학성분'!K$12:K$949,'09월 화학성분'!$A$12:$A$949,$A30,'09월 화학성분'!$D$12:$D$949,$B30)))</f>
        <v/>
      </c>
      <c r="O30" s="845" t="str">
        <f>IF($C30&lt;1,"",(AVERAGEIFS('09월 화학성분'!L$12:L$949,'09월 화학성분'!$A$12:$A$949,$A30,'09월 화학성분'!$D$12:$D$949,$B30)))</f>
        <v/>
      </c>
      <c r="P30" s="845" t="str">
        <f>IF($C30&lt;1,"",(AVERAGEIFS('09월 화학성분'!M$12:M$949,'09월 화학성분'!$A$12:$A$949,$A30,'09월 화학성분'!$D$12:$D$949,$B30)))</f>
        <v/>
      </c>
      <c r="Q30" s="827" t="str">
        <f>IFERROR(IF($C30&lt;1,"",(AVERAGEIFS('09월 조업일지'!$AA$12:$AA$952,'09월 조업일지'!$A$12:$A$952,$A30,'09월 조업일지'!$E$12:$E$952,$B30))),"")</f>
        <v/>
      </c>
      <c r="R30" s="845" t="str">
        <f>IF($C30&lt;1,"",(AVERAGEIFS('09월 조업일지'!$AK$12:$AK$952,'09월 조업일지'!$A$12:$A$952,$A30,'09월 조업일지'!$E$12:$E$952,$B30)))</f>
        <v/>
      </c>
      <c r="S30" s="845"/>
      <c r="T30" s="845"/>
      <c r="U30" s="845" t="str">
        <f>IF($C30&lt;1,"",(AVERAGEIFS('09월 화학성분'!$G$12:$G$949,'09월 화학성분'!$A$12:$A$949,$A30,'09월 화학성분'!$D$12:$D$949,$B30)))</f>
        <v/>
      </c>
      <c r="V30" s="845" t="str">
        <f>IF($C30&lt;1,"",(AVERAGEIFS('09월 조업일지'!$AI$12:$AI$952,'09월 조업일지'!$A$12:$A$952,$A30,'09월 조업일지'!$E$12:$E$952,$B30)))</f>
        <v/>
      </c>
      <c r="W30" s="846" t="str">
        <f>IF($C30&lt;1,"",(AVERAGEIFS('09월 화학성분'!$AM$12:$AM$949,'09월 화학성분'!$A$12:$A$949,$A30,'09월 화학성분'!$D$12:$D$949,$B30)))</f>
        <v/>
      </c>
      <c r="X30" s="829" t="str">
        <f>IF($C30&lt;1,"",(AVERAGEIFS('09월 화학성분'!N$12:N$949,'09월 화학성분'!$A$12:$A$949,$A30,'09월 화학성분'!$D$12:$D$949,$B30)))</f>
        <v/>
      </c>
      <c r="Y30" s="829" t="str">
        <f>IF($C30&lt;1,"",(AVERAGEIFS('09월 화학성분'!O$12:O$949,'09월 화학성분'!$A$12:$A$949,$A30,'09월 화학성분'!$D$12:$D$949,$B30)))</f>
        <v/>
      </c>
      <c r="Z30" s="829" t="str">
        <f>IF($C30&lt;1,"",(AVERAGEIFS('09월 화학성분'!P$12:P$949,'09월 화학성분'!$A$12:$A$949,$A30,'09월 화학성분'!$D$12:$D$949,$B30)))</f>
        <v/>
      </c>
      <c r="AA30" s="829" t="str">
        <f>IF($C30&lt;1,"",(AVERAGEIFS('09월 화학성분'!Q$12:Q$949,'09월 화학성분'!$A$12:$A$949,$A30,'09월 화학성분'!$D$12:$D$949,$B30)))</f>
        <v/>
      </c>
      <c r="AB30" s="829" t="str">
        <f>IF($C30&lt;1,"",(AVERAGEIFS('09월 화학성분'!R$12:R$949,'09월 화학성분'!$A$12:$A$949,$A30,'09월 화학성분'!$D$12:$D$949,$B30)))</f>
        <v/>
      </c>
      <c r="AC30" s="829" t="str">
        <f>IF($C30&lt;1,"",(AVERAGEIFS('09월 화학성분'!U$12:U$949,'09월 화학성분'!$A$12:$A$949,$A30,'09월 화학성분'!$D$12:$D$949,$B30)))</f>
        <v/>
      </c>
      <c r="AD30" s="829" t="str">
        <f>IF($C30&lt;1,"",(AVERAGEIFS('09월 화학성분'!V$12:V$949,'09월 화학성분'!$A$12:$A$949,$A30,'09월 화학성분'!$D$12:$D$949,$B30)))</f>
        <v/>
      </c>
      <c r="AE30" s="829" t="str">
        <f>IF($C30&lt;1,"",(AVERAGEIFS('09월 화학성분'!W$12:W$949,'09월 화학성분'!$A$12:$A$949,$A30,'09월 화학성분'!$D$12:$D$949,$B30)))</f>
        <v/>
      </c>
      <c r="AF30" s="829" t="str">
        <f>IF($C30&lt;1,"",(AVERAGEIFS('09월 화학성분'!AA$12:AA$949,'09월 화학성분'!$A$12:$A$949,$A30,'09월 화학성분'!$D$12:$D$949,$B30)))</f>
        <v/>
      </c>
      <c r="AG30" s="829" t="str">
        <f>IF($C30&lt;1,"",(AVERAGEIFS('09월 화학성분'!#REF!,'09월 화학성분'!$A$12:$A$949,$A30,'09월 화학성분'!$D$12:$D$949,$B30)))</f>
        <v/>
      </c>
      <c r="AH30" s="829" t="str">
        <f>IF($C30&lt;1,"",(AVERAGEIFS('09월 화학성분'!AB$12:AB$949,'09월 화학성분'!$A$12:$A$949,$A30,'09월 화학성분'!$D$12:$D$949,$B30)))</f>
        <v/>
      </c>
      <c r="AI30" s="829" t="str">
        <f>IF($C30&lt;1,"",(AVERAGEIFS('09월 화학성분'!AC$12:AC$949,'09월 화학성분'!$A$12:$A$949,$A30,'09월 화학성분'!$D$12:$D$949,$B30)))</f>
        <v/>
      </c>
      <c r="AJ30" s="829" t="str">
        <f>IF($C30&lt;1,"",(AVERAGEIFS('09월 화학성분'!AD$12:AD$949,'09월 화학성분'!$A$12:$A$949,$A30,'09월 화학성분'!$D$12:$D$949,$B30)))</f>
        <v/>
      </c>
      <c r="AK30" s="829" t="str">
        <f>IF($C30&lt;1,"",(AVERAGEIFS('09월 화학성분'!AF$12:AF$949,'09월 화학성분'!$A$12:$A$949,$A30,'09월 화학성분'!$D$12:$D$949,$B30)))</f>
        <v/>
      </c>
      <c r="AL30" s="829" t="str">
        <f>IF($C30&lt;1,"",(AVERAGEIFS('09월 화학성분'!AG$12:AG$949,'09월 화학성분'!$A$12:$A$949,$A30,'09월 화학성분'!$D$12:$D$949,$B30)))</f>
        <v/>
      </c>
      <c r="AM30" s="829" t="str">
        <f>IF($C30&lt;1,"",(AVERAGEIFS('09월 화학성분'!AH$12:AH$949,'09월 화학성분'!$A$12:$A$949,$A30,'09월 화학성분'!$D$12:$D$949,$B30)))</f>
        <v/>
      </c>
      <c r="AN30" s="829" t="str">
        <f>IF($C30&lt;1,"",(AVERAGEIFS('09월 화학성분'!AI$12:AI$949,'09월 화학성분'!$A$12:$A$949,$A30,'09월 화학성분'!$D$12:$D$949,$B30)))</f>
        <v/>
      </c>
      <c r="AO30" s="829" t="str">
        <f>IF($C30&lt;1,"",(AVERAGEIFS('09월 화학성분'!AJ$12:AJ$949,'09월 화학성분'!$A$12:$A$949,$A30,'09월 화학성분'!$D$12:$D$949,$B30)))</f>
        <v/>
      </c>
      <c r="AP30" s="829" t="str">
        <f>IF($C30&lt;1,"",(AVERAGEIFS('09월 화학성분'!#REF!,'09월 화학성분'!$A$12:$A$949,$A30,'09월 화학성분'!$D$12:$D$949,$B30)))</f>
        <v/>
      </c>
      <c r="AQ30" s="829" t="str">
        <f>IF($C30&lt;1,"",(AVERAGEIFS('09월 화학성분'!AL$12:AL$949,'09월 화학성분'!$A$12:$A$949,$A30,'09월 화학성분'!$D$12:$D$949,$B30)))</f>
        <v/>
      </c>
      <c r="AR30" s="829" t="str">
        <f>IF($C30&lt;1,"",(AVERAGEIFS('09월 화학성분'!AM$12:AM$949,'09월 화학성분'!$A$12:$A$949,$A30,'09월 화학성분'!$D$12:$D$949,$B30)))</f>
        <v/>
      </c>
      <c r="AS30" s="830" t="str">
        <f>IF($C30&lt;1,"",(AVERAGEIFS('09월 화학성분'!AN$12:AN$949,'09월 화학성분'!$A$12:$A$949,$A30,'09월 화학성분'!$D$12:$D$949,$B30)))</f>
        <v/>
      </c>
      <c r="AT30" s="830" t="str">
        <f>IF($C30&lt;1,"",(AVERAGEIFS('09월 화학성분'!AO$12:AO$949,'09월 화학성분'!$A$12:$A$949,$A30,'09월 화학성분'!$D$12:$D$949,$B30)))</f>
        <v/>
      </c>
      <c r="AU30" s="831" t="str">
        <f>IF($C30&lt;1,"",(AVERAGEIFS('09월 화학성분'!AP$12:AP$949,'09월 화학성분'!$A$12:$A$949,$A30,'09월 화학성분'!$D$12:$D$949,$B30)))</f>
        <v/>
      </c>
      <c r="AV30" s="832" t="str">
        <f>IF($C30&lt;1,"",(AVERAGEIFS('09월 고철장입'!G$14:G$949,'09월 고철장입'!$A$14:$A$949,$A30,'09월 고철장입'!$C$14:$C$949,$B30))/1000)</f>
        <v/>
      </c>
      <c r="AW30" s="832" t="str">
        <f>IF($C30&lt;1,"",(AVERAGEIFS('09월 고철장입'!H$14:H$949,'09월 고철장입'!$A$14:$A$949,$A30,'09월 고철장입'!$C$14:$C$949,$B30))/1000)</f>
        <v/>
      </c>
      <c r="AX30" s="832" t="str">
        <f>IF($C30&lt;1,"",(AVERAGEIFS('09월 고철장입'!I$14:I$949,'09월 고철장입'!$A$14:$A$949,$A30,'09월 고철장입'!$C$14:$C$949,$B30))/1000)</f>
        <v/>
      </c>
      <c r="AY30" s="832" t="str">
        <f>IF($C30&lt;1,"",(AVERAGEIFS('09월 고철장입'!J$14:J$949,'09월 고철장입'!$A$14:$A$949,$A30,'09월 고철장입'!$C$14:$C$949,$B30))/1000)</f>
        <v/>
      </c>
      <c r="AZ30" s="832" t="str">
        <f>IF($C30&lt;1,"",(AVERAGEIFS('09월 고철장입'!K$14:K$949,'09월 고철장입'!$A$14:$A$949,$A30,'09월 고철장입'!$C$14:$C$949,$B30))/1000)</f>
        <v/>
      </c>
      <c r="BA30" s="832" t="str">
        <f>IF($C30&lt;1,"",(AVERAGEIFS('09월 고철장입'!L$14:L$949,'09월 고철장입'!$A$14:$A$949,$A30,'09월 고철장입'!$C$14:$C$949,$B30))/1000)</f>
        <v/>
      </c>
      <c r="BB30" s="832" t="str">
        <f>IF($C30&lt;1,"",(AVERAGEIFS('09월 고철장입'!M$14:M$949,'09월 고철장입'!$A$14:$A$949,$A30,'09월 고철장입'!$C$14:$C$949,$B30))/1000)</f>
        <v/>
      </c>
      <c r="BC30" s="832" t="str">
        <f>IF($C30&lt;1,"",(AVERAGEIFS('09월 고철장입'!N$14:N$949,'09월 고철장입'!$A$14:$A$949,$A30,'09월 고철장입'!$C$14:$C$949,$B30))/1000)</f>
        <v/>
      </c>
      <c r="BD30" s="832" t="str">
        <f>IF($C30&lt;1,"",(AVERAGEIFS('09월 고철장입'!O$14:O$949,'09월 고철장입'!$A$14:$A$949,$A30,'09월 고철장입'!$C$14:$C$949,$B30))/1000)</f>
        <v/>
      </c>
      <c r="BE30" s="833" t="str">
        <f>IF($C30&lt;1,"",(AVERAGEIFS('09월 고철장입'!P$14:P$949,'09월 고철장입'!$A$14:$A$949,$A30,'09월 고철장입'!$C$14:$C$949,$B30))/1000)</f>
        <v/>
      </c>
      <c r="BF30" s="833" t="str">
        <f>IF($C30&lt;1,"",(AVERAGEIFS('09월 고철장입'!Q$14:Q$949,'09월 고철장입'!$A$14:$A$949,$A30,'09월 고철장입'!$C$14:$C$949,$B30))/1000)</f>
        <v/>
      </c>
      <c r="BG30" s="833" t="str">
        <f>IF($C30&lt;1,"",(AVERAGEIFS('09월 고철장입'!S$14:S$949,'09월 고철장입'!$A$14:$A$949,$A30,'09월 고철장입'!$C$14:$C$949,$B30))/1000)</f>
        <v/>
      </c>
      <c r="BH30" s="833" t="str">
        <f>IF($C30&lt;1,"",(AVERAGEIFS('09월 고철장입'!T$14:T$949,'09월 고철장입'!$A$14:$A$949,$A30,'09월 고철장입'!$C$14:$C$949,$B30))/1000)</f>
        <v/>
      </c>
      <c r="BI30" s="833" t="str">
        <f>IF($C30&lt;1,"",(AVERAGEIFS('09월 고철장입'!U$14:U$949,'09월 고철장입'!$A$14:$A$949,$A30,'09월 고철장입'!$C$14:$C$949,$B30))/1000)</f>
        <v/>
      </c>
      <c r="BJ30" s="833" t="str">
        <f>IF($C30&lt;1,"",(AVERAGEIFS('09월 고철장입'!V$14:V$949,'09월 고철장입'!$A$14:$A$949,$A30,'09월 고철장입'!$C$14:$C$949,$B30))/1000)</f>
        <v/>
      </c>
      <c r="BK30" s="833" t="str">
        <f>IF($C30&lt;1,"",(AVERAGEIFS('09월 고철장입'!W$14:W$949,'09월 고철장입'!$A$14:$A$949,$A30,'09월 고철장입'!$C$14:$C$949,$B30))/1000)</f>
        <v/>
      </c>
      <c r="BL30" s="833" t="str">
        <f>IF($C30&lt;1,"",(AVERAGEIFS('09월 고철장입'!Y$14:Y$949,'09월 고철장입'!$A$14:$A$949,$A30,'09월 고철장입'!$C$14:$C$949,$B30))/1000)</f>
        <v/>
      </c>
      <c r="BM30" s="833" t="str">
        <f>IF($C30&lt;1,"",(AVERAGEIFS('09월 고철장입'!AB$14:AB$949,'09월 고철장입'!$A$14:$A$949,$A30,'09월 고철장입'!$C$14:$C$949,$B30))/1000)</f>
        <v/>
      </c>
      <c r="BN30" s="833" t="str">
        <f>IF($C30&lt;1,"",(AVERAGEIFS('09월 고철장입'!AC$14:AC$949,'09월 고철장입'!$A$14:$A$949,$A30,'09월 고철장입'!$C$14:$C$949,$B30))/1000)</f>
        <v/>
      </c>
      <c r="BO30" s="833" t="str">
        <f>IF($C30&lt;1,"",(AVERAGEIFS('09월 고철장입'!AD$14:AD$949,'09월 고철장입'!$A$14:$A$949,$A30,'09월 고철장입'!$C$14:$C$949,$B30))/1000)</f>
        <v/>
      </c>
      <c r="BP30" s="833" t="str">
        <f>IF($C30&lt;1,"",(AVERAGEIFS('09월 고철장입'!AE$14:AE$949,'09월 고철장입'!$A$14:$A$949,$A30,'09월 고철장입'!$C$14:$C$949,$B30))/1000)</f>
        <v/>
      </c>
      <c r="BQ30" s="832" t="str">
        <f>IF($C30&lt;1,"",(AVERAGEIFS('09월 고철장입'!AF$14:AF$949,'09월 고철장입'!$A$14:$A$949,$A30,'09월 고철장입'!$C$14:$C$949,$B30))/1000)</f>
        <v/>
      </c>
      <c r="BR30" s="832" t="str">
        <f>IF($C30&lt;1,"",(AVERAGEIFS('09월 고철장입'!AG$14:AG$949,'09월 고철장입'!$A$14:$A$949,$A30,'09월 고철장입'!$C$14:$C$949,$B30))/1000)</f>
        <v/>
      </c>
      <c r="BS30" s="832" t="str">
        <f>IF($C30&lt;1,"",(AVERAGEIFS('09월 고철장입'!AH$14:AH$949,'09월 고철장입'!$A$14:$A$949,$A30,'09월 고철장입'!$C$14:$C$949,$B30))/1000)</f>
        <v/>
      </c>
      <c r="BT30" s="832" t="str">
        <f>IF($C30&lt;1,"",(AVERAGEIFS('09월 고철장입'!AI$14:AI$949,'09월 고철장입'!$A$14:$A$949,$A30,'09월 고철장입'!$C$14:$C$949,$B30))/1000)</f>
        <v/>
      </c>
      <c r="BU30" s="834" t="str">
        <f>IF($C30&lt;1,"",(AVERAGEIFS('09월 고철장입'!AJ$14:AJ$949,'09월 고철장입'!$A$14:$A$949,$A30,'09월 고철장입'!$C$14:$C$949,$B30))/1000)</f>
        <v/>
      </c>
      <c r="BV30" s="834" t="str">
        <f>IF($C30&lt;1,"",(AVERAGEIFS('09월 고철장입'!AK$14:AK$949,'09월 고철장입'!$A$14:$A$949,$A30,'09월 고철장입'!$C$14:$C$949,$B30)))</f>
        <v/>
      </c>
      <c r="BW30" s="834" t="str">
        <f>IF($C30&lt;1,"",(AVERAGEIFS('09월 고철장입'!AL$14:AL$949,'09월 고철장입'!$A$14:$A$949,$A30,'09월 고철장입'!$C$14:$C$949,$B30))*100)</f>
        <v/>
      </c>
      <c r="BX30" s="831" t="str">
        <f>IF($C30&lt;1,"",(AVERAGEIFS('09월 에너지'!G$14:G$949,'09월 에너지'!$A$14:$A$949,$A30,'09월 에너지'!$C$14:$C$949,$B30)))</f>
        <v/>
      </c>
      <c r="BY30" s="835" t="str">
        <f>IF($C30&lt;1,"",(AVERAGEIFS('09월 에너지'!H$14:H$949,'09월 에너지'!$A$14:$A$949,$A30,'09월 에너지'!$C$14:$C$949,$B30)))</f>
        <v/>
      </c>
      <c r="BZ30" s="831" t="str">
        <f>IF($C30&lt;1,"",(AVERAGEIFS('09월 에너지'!I$14:I$949,'09월 에너지'!$A$14:$A$949,$A30,'09월 에너지'!$C$14:$C$949,$B30)))</f>
        <v/>
      </c>
      <c r="CA30" s="835" t="str">
        <f>IF($C30&lt;1,"",(AVERAGEIFS('09월 에너지'!J$14:J$949,'09월 에너지'!$A$14:$A$949,$A30,'09월 에너지'!$C$14:$C$949,$B30)))</f>
        <v/>
      </c>
      <c r="CB30" s="831" t="str">
        <f>IF($C30&lt;1,"",(AVERAGEIFS('09월 에너지'!K$14:K$949,'09월 에너지'!$A$14:$A$949,$A30,'09월 에너지'!$C$14:$C$949,$B30)))</f>
        <v/>
      </c>
      <c r="CC30" s="835" t="str">
        <f>IF($C30&lt;1,"",(AVERAGEIFS('09월 에너지'!L$14:L$949,'09월 에너지'!$A$14:$A$949,$A30,'09월 에너지'!$C$14:$C$949,$B30)))</f>
        <v/>
      </c>
      <c r="CD30" s="831" t="str">
        <f>IF($C30&lt;1,"",(AVERAGEIFS('09월 에너지'!M$14:M$949,'09월 에너지'!$A$14:$A$949,$A30,'09월 에너지'!$C$14:$C$949,$B30)))</f>
        <v/>
      </c>
      <c r="CE30" s="835" t="str">
        <f>IF($C30&lt;1,"",(AVERAGEIFS('09월 에너지'!N$14:N$949,'09월 에너지'!$A$14:$A$949,$A30,'09월 에너지'!$C$14:$C$949,$B30)))</f>
        <v/>
      </c>
      <c r="CF30" s="831" t="str">
        <f>IF($C30&lt;1,"",(AVERAGEIFS('09월 에너지'!O$14:O$949,'09월 에너지'!$A$14:$A$949,$A30,'09월 에너지'!$C$14:$C$949,$B30)))</f>
        <v/>
      </c>
      <c r="CG30" s="831" t="str">
        <f>IF($C30&lt;1,"",(AVERAGEIFS('09월 에너지'!P$14:P$949,'09월 에너지'!$A$14:$A$949,$A30,'09월 에너지'!$C$14:$C$949,$B30)))</f>
        <v/>
      </c>
      <c r="CH30" s="831" t="str">
        <f>IF($C30&lt;1,"",(AVERAGEIFS('09월 에너지'!Q$14:Q$949,'09월 에너지'!$A$14:$A$949,$A30,'09월 에너지'!$C$14:$C$949,$B30)))</f>
        <v/>
      </c>
      <c r="CI30" s="831" t="str">
        <f>IF($C30&lt;1,"",(AVERAGEIFS('09월 에너지'!R$14:R$949,'09월 에너지'!$A$14:$A$949,$A30,'09월 에너지'!$C$14:$C$949,$B30)))</f>
        <v/>
      </c>
      <c r="CJ30" s="831" t="str">
        <f>IF($C30&lt;1,"",(AVERAGEIFS('09월 에너지'!S$14:S$949,'09월 에너지'!$A$14:$A$949,$A30,'09월 에너지'!$C$14:$C$949,$B30)))</f>
        <v/>
      </c>
      <c r="CK30" s="831" t="str">
        <f>IF($C30&lt;1,"",(AVERAGEIFS('09월 에너지'!T$14:T$949,'09월 에너지'!$A$14:$A$949,$A30,'09월 에너지'!$C$14:$C$949,$B30)))</f>
        <v/>
      </c>
      <c r="CL30" s="831" t="str">
        <f>IF($C30&lt;1,"",(AVERAGEIFS('09월 에너지'!U$14:U$949,'09월 에너지'!$A$14:$A$949,$A30,'09월 에너지'!$C$14:$C$949,$B30)))</f>
        <v/>
      </c>
      <c r="CM30" s="835" t="str">
        <f>IF($C30&lt;1,"",(AVERAGEIFS('09월 에너지'!V$14:V$949,'09월 에너지'!$A$14:$A$949,$A30,'09월 에너지'!$C$14:$C$949,$B30)))</f>
        <v/>
      </c>
      <c r="CN30" s="835" t="str">
        <f>IF($C30&lt;1,"",(AVERAGEIFS('09월 에너지'!W$14:W$949,'09월 에너지'!$A$14:$A$949,$A30,'09월 에너지'!$C$14:$C$949,$B30)))</f>
        <v/>
      </c>
      <c r="CO30" s="831" t="str">
        <f>IF($C30&lt;1,"",(AVERAGEIFS('09월 에너지'!X$14:X$949,'09월 에너지'!$A$14:$A$949,$A30,'09월 에너지'!$C$14:$C$949,$B30)))</f>
        <v/>
      </c>
      <c r="CP30" s="835" t="str">
        <f>IF($C30&lt;1,"",(AVERAGEIFS('09월 에너지'!Y$14:Y$949,'09월 에너지'!$A$14:$A$949,$A30,'09월 에너지'!$C$14:$C$949,$B30)))</f>
        <v/>
      </c>
      <c r="CQ30" s="835" t="str">
        <f>IF($C30&lt;1,"",(AVERAGEIFS('09월 에너지'!Z$14:Z$949,'09월 에너지'!$A$14:$A$949,$A30,'09월 에너지'!$C$14:$C$949,$B30)))</f>
        <v/>
      </c>
      <c r="CR30" s="835" t="str">
        <f>IF($C30&lt;1,"",(AVERAGEIFS('09월 에너지'!AA$14:AA$949,'09월 에너지'!$A$14:$A$949,$A30,'09월 에너지'!$C$14:$C$949,$B30)))</f>
        <v/>
      </c>
      <c r="CS30" s="835" t="str">
        <f>IF($C30&lt;1,"",(AVERAGEIFS('09월 에너지'!AB$14:AB$949,'09월 에너지'!$A$14:$A$949,$A30,'09월 에너지'!$C$14:$C$949,$B30)))</f>
        <v/>
      </c>
      <c r="CT30" s="831" t="str">
        <f>IF($C30&lt;1,"",(AVERAGEIFS('09월 에너지'!AC$14:AC$949,'09월 에너지'!$A$14:$A$949,$A30,'09월 에너지'!$C$14:$C$949,$B30)))</f>
        <v/>
      </c>
      <c r="CU30" s="836" t="str">
        <f>IF($C30&lt;1,"",(AVERAGEIFS('09월 에너지'!AD$14:AD$949,'09월 에너지'!$A$14:$A$949,$A30,'09월 에너지'!$C$14:$C$949,$B30)))</f>
        <v/>
      </c>
      <c r="CV30" s="837" t="str">
        <f>IF($C30&lt;1,"",(AVERAGEIFS('09월 에너지'!AE$14:AE$949,'09월 에너지'!$A$14:$A$949,$A30,'09월 에너지'!$C$14:$C$949,$B30)))</f>
        <v/>
      </c>
      <c r="CW30" s="831" t="str">
        <f>IF($C30&lt;1,"",(AVERAGEIFS('09월 에너지'!AF$14:AF$949,'09월 에너지'!$A$14:$A$949,$A30,'09월 에너지'!$C$14:$C$949,$B30)))</f>
        <v/>
      </c>
      <c r="CX30" s="831" t="str">
        <f>IF($C30&lt;1,"",(AVERAGEIFS('09월 에너지'!AG$14:AG$949,'09월 에너지'!$A$14:$A$949,$A30,'09월 에너지'!$C$14:$C$949,$B30)))</f>
        <v/>
      </c>
      <c r="CY30" s="831" t="str">
        <f>IF($C30&lt;1,"",(AVERAGEIFS('09월 에너지'!AH$14:AH$949,'09월 에너지'!$A$14:$A$949,$A30,'09월 에너지'!$C$14:$C$949,$B30)))</f>
        <v/>
      </c>
      <c r="CZ30" s="831" t="str">
        <f>IF($C30&lt;1,"",(AVERAGEIFS('09월 에너지'!AI$14:AI$949,'09월 에너지'!$A$14:$A$949,$A30,'09월 에너지'!$C$14:$C$949,$B30)))</f>
        <v/>
      </c>
      <c r="DA30" s="838" t="str">
        <f>IF($C30&lt;1,"",(AVERAGEIFS('09월 에너지'!AJ$14:AJ$949,'09월 에너지'!$A$14:$A$949,$A30,'09월 에너지'!$C$14:$C$949,$B30)))</f>
        <v/>
      </c>
    </row>
    <row r="31" spans="1:105" ht="13.5" customHeight="1">
      <c r="A31" s="847">
        <f>A26+1</f>
        <v>44932</v>
      </c>
      <c r="B31" s="848" t="s">
        <v>31</v>
      </c>
      <c r="C31" s="810">
        <f>COUNTIF('09월 조업일지'!$A$12:$A$952,A31)</f>
        <v>0</v>
      </c>
      <c r="D31" s="787" t="str">
        <f>IF(C31&lt;1,"",F31-E31)</f>
        <v/>
      </c>
      <c r="E31" s="787" t="str">
        <f>IF($C31&lt;1,"",(SUMIF('09월 조업일지'!$A$12:$A$952,$A31,'09월 조업일지'!$K$12:$K$952))/C31)</f>
        <v/>
      </c>
      <c r="F31" s="787" t="str">
        <f>IF($C31&lt;1,"",AVERAGEIF('09월 조업일지'!$A$12:$A$952,$A31,'09월 조업일지'!$J$12:$J$952))</f>
        <v/>
      </c>
      <c r="G31" s="811" t="str">
        <f>IF($C31&lt;1,"",AVERAGEIF('09월 에너지'!$A$14:$A$949,$A31,'09월 에너지'!$M$14:M$949))</f>
        <v/>
      </c>
      <c r="H31" s="812" t="str">
        <f>IF($C31&lt;1,"",AVERAGEIF('09월 조업일지'!$A$12:$A$952,$A31,'09월 조업일지'!$AJ$12:$AJ$952))</f>
        <v/>
      </c>
      <c r="I31" s="812" t="str">
        <f>IF($C31&lt;1,"",AVERAGEIF('09월 조업일지'!$A$12:$A$952,$A31,'09월 조업일지'!$AL$12:$AL$952))</f>
        <v/>
      </c>
      <c r="J31" s="813" t="str">
        <f>IF($C31&lt;1,"",AVERAGEIF('09월 화학성분'!$A$12:$A$949,$A31,'09월 화학성분'!G$12:G$949))</f>
        <v/>
      </c>
      <c r="K31" s="813" t="str">
        <f>IF($C31&lt;1,"",AVERAGEIF('09월 화학성분'!$A$12:$A$949,$A31,'09월 화학성분'!H$12:H$949))</f>
        <v/>
      </c>
      <c r="L31" s="813" t="str">
        <f>IF($C31&lt;1,"",AVERAGEIF('09월 화학성분'!$A$12:$A$949,$A31,'09월 화학성분'!I$12:I$949))</f>
        <v/>
      </c>
      <c r="M31" s="813" t="str">
        <f>IF($C31&lt;1,"",AVERAGEIF('09월 화학성분'!$A$12:$A$949,$A31,'09월 화학성분'!J$12:J$949))</f>
        <v/>
      </c>
      <c r="N31" s="813" t="str">
        <f>IF($C31&lt;1,"",AVERAGEIF('09월 화학성분'!$A$12:$A$949,$A31,'09월 화학성분'!K$12:K$949))</f>
        <v/>
      </c>
      <c r="O31" s="813" t="str">
        <f>IF($C31&lt;1,"",AVERAGEIF('09월 화학성분'!$A$12:$A$949,$A31,'09월 화학성분'!L$12:L$949))</f>
        <v/>
      </c>
      <c r="P31" s="813" t="str">
        <f>IF($C31&lt;1,"",AVERAGEIF('09월 화학성분'!$A$12:$A$949,$A31,'09월 화학성분'!M$12:M$949))</f>
        <v/>
      </c>
      <c r="Q31" s="814" t="str">
        <f>IF($C31&lt;1,"",AVERAGEIF('09월 조업일지'!$A$12:$A$952,$A31,'09월 조업일지'!$AA$12:$AA$952))</f>
        <v/>
      </c>
      <c r="R31" s="814" t="str">
        <f>IF($C31&lt;1,"",AVERAGEIF('09월 조업일지'!$A$12:$A$952,$A31,'09월 조업일지'!$AK$12:$AK$952))</f>
        <v/>
      </c>
      <c r="S31" s="814"/>
      <c r="T31" s="814"/>
      <c r="U31" s="813" t="str">
        <f>IF($C31&lt;1,"",AVERAGEIF('09월 화학성분'!$A$12:$A$949,$A31,'09월 화학성분'!$G$12:$G$949))</f>
        <v/>
      </c>
      <c r="V31" s="814" t="str">
        <f>IF($C31&lt;1,"",AVERAGEIF('09월 조업일지'!$A$12:$A$952,$A31,'09월 조업일지'!$AI$12:$AI$952))</f>
        <v/>
      </c>
      <c r="W31" s="813" t="str">
        <f>IF($C31&lt;1,"",AVERAGEIF('09월 화학성분'!$A$12:$A$949,$A31,'09월 화학성분'!$AM$12:$AM$949))</f>
        <v/>
      </c>
      <c r="X31" s="815" t="str">
        <f>IF($C31&lt;1,"",AVERAGEIF('09월 화학성분'!$A$12:$A$949,$A31,'09월 화학성분'!N$12:N$949))</f>
        <v/>
      </c>
      <c r="Y31" s="815" t="str">
        <f>IF($C31&lt;1,"",AVERAGEIF('09월 화학성분'!$A$12:$A$949,$A31,'09월 화학성분'!O$12:O$949))</f>
        <v/>
      </c>
      <c r="Z31" s="815" t="str">
        <f>IF($C31&lt;1,"",AVERAGEIF('09월 화학성분'!$A$12:$A$949,$A31,'09월 화학성분'!P$12:P$949))</f>
        <v/>
      </c>
      <c r="AA31" s="815" t="str">
        <f>IF($C31&lt;1,"",AVERAGEIF('09월 화학성분'!$A$12:$A$949,$A31,'09월 화학성분'!Q$12:Q$949))</f>
        <v/>
      </c>
      <c r="AB31" s="815" t="str">
        <f>IF($C31&lt;1,"",AVERAGEIF('09월 화학성분'!$A$12:$A$949,$A31,'09월 화학성분'!R$12:R$949))</f>
        <v/>
      </c>
      <c r="AC31" s="815" t="str">
        <f>IF($C31&lt;1,"",AVERAGEIF('09월 화학성분'!$A$12:$A$949,$A31,'09월 화학성분'!U$12:U$949))</f>
        <v/>
      </c>
      <c r="AD31" s="815" t="str">
        <f>IF($C31&lt;1,"",AVERAGEIF('09월 화학성분'!$A$12:$A$949,$A31,'09월 화학성분'!V$12:V$949))</f>
        <v/>
      </c>
      <c r="AE31" s="815" t="str">
        <f>IF($C31&lt;1,"",AVERAGEIF('09월 화학성분'!$A$12:$A$949,$A31,'09월 화학성분'!W$12:W$949))</f>
        <v/>
      </c>
      <c r="AF31" s="815" t="str">
        <f>IF($C31&lt;1,"",AVERAGEIF('09월 화학성분'!$A$12:$A$949,$A31,'09월 화학성분'!AA$12:AA$949))</f>
        <v/>
      </c>
      <c r="AG31" s="815" t="str">
        <f>IF($C31&lt;1,"",AVERAGEIF('09월 화학성분'!$A$12:$A$949,$A31,'09월 화학성분'!#REF!))</f>
        <v/>
      </c>
      <c r="AH31" s="815" t="str">
        <f>IF($C31&lt;1,"",AVERAGEIF('09월 화학성분'!$A$12:$A$949,$A31,'09월 화학성분'!AB$12:AB$949))</f>
        <v/>
      </c>
      <c r="AI31" s="815" t="str">
        <f>IF($C31&lt;1,"",AVERAGEIF('09월 화학성분'!$A$12:$A$949,$A31,'09월 화학성분'!AC$12:AC$949))</f>
        <v/>
      </c>
      <c r="AJ31" s="815" t="str">
        <f>IF($C31&lt;1,"",AVERAGEIF('09월 화학성분'!$A$12:$A$949,$A31,'09월 화학성분'!AD$12:AD$949))</f>
        <v/>
      </c>
      <c r="AK31" s="815" t="str">
        <f>IF($C31&lt;1,"",AVERAGEIF('09월 화학성분'!$A$12:$A$949,$A31,'09월 화학성분'!AF$12:AF$949))</f>
        <v/>
      </c>
      <c r="AL31" s="815" t="str">
        <f>IF($C31&lt;1,"",AVERAGEIF('09월 화학성분'!$A$12:$A$949,$A31,'09월 화학성분'!AG$12:AG$949))</f>
        <v/>
      </c>
      <c r="AM31" s="815" t="str">
        <f>IF($C31&lt;1,"",AVERAGEIF('09월 화학성분'!$A$12:$A$949,$A31,'09월 화학성분'!AH$12:AH$949))</f>
        <v/>
      </c>
      <c r="AN31" s="815" t="str">
        <f>IF($C31&lt;1,"",AVERAGEIF('09월 화학성분'!$A$12:$A$949,$A31,'09월 화학성분'!AI$12:AI$949))</f>
        <v/>
      </c>
      <c r="AO31" s="815" t="str">
        <f>IF($C31&lt;1,"",AVERAGEIF('09월 화학성분'!$A$12:$A$949,$A31,'09월 화학성분'!AJ$12:AJ$949))</f>
        <v/>
      </c>
      <c r="AP31" s="815" t="str">
        <f>IF($C31&lt;1,"",AVERAGEIF('09월 화학성분'!$A$12:$A$949,$A31,'09월 화학성분'!#REF!))</f>
        <v/>
      </c>
      <c r="AQ31" s="815" t="str">
        <f>IF($C31&lt;1,"",AVERAGEIF('09월 화학성분'!$A$12:$A$949,$A31,'09월 화학성분'!AL$12:AL$949))</f>
        <v/>
      </c>
      <c r="AR31" s="815" t="str">
        <f>IF($C31&lt;1,"",AVERAGEIF('09월 화학성분'!$A$12:$A$949,$A31,'09월 화학성분'!AM$12:AM$949))</f>
        <v/>
      </c>
      <c r="AS31" s="816" t="str">
        <f>IF($C31&lt;1,"",AVERAGEIF('09월 화학성분'!$A$12:$A$949,$A31,'09월 화학성분'!AN$12:AN$949))</f>
        <v/>
      </c>
      <c r="AT31" s="816" t="str">
        <f>IF($C31&lt;1,"",AVERAGEIF('09월 화학성분'!$A$12:$A$949,$A31,'09월 화학성분'!AO$12:AO$949))</f>
        <v/>
      </c>
      <c r="AU31" s="815" t="str">
        <f>IF($C31&lt;1,"",AVERAGEIF('09월 화학성분'!$A$12:$A$949,$A31,'09월 화학성분'!AP$12:AP$949))</f>
        <v/>
      </c>
      <c r="AV31" s="815" t="str">
        <f>IF($C31&lt;1,"",AVERAGEIF('09월 고철장입'!$A$14:$A$949,$A31,'09월 고철장입'!G$14:G$949)/1000)</f>
        <v/>
      </c>
      <c r="AW31" s="815" t="str">
        <f>IF($C31&lt;1,"",AVERAGEIF('09월 고철장입'!$A$14:$A$949,$A31,'09월 고철장입'!H$14:H$949)/1000)</f>
        <v/>
      </c>
      <c r="AX31" s="815" t="str">
        <f>IF($C31&lt;1,"",AVERAGEIF('09월 고철장입'!$A$14:$A$949,$A31,'09월 고철장입'!I$14:I$949)/1000)</f>
        <v/>
      </c>
      <c r="AY31" s="815" t="str">
        <f>IF($C31&lt;1,"",AVERAGEIF('09월 고철장입'!$A$14:$A$949,$A31,'09월 고철장입'!J$14:J$949)/1000)</f>
        <v/>
      </c>
      <c r="AZ31" s="815" t="str">
        <f>IF($C31&lt;1,"",AVERAGEIF('09월 고철장입'!$A$14:$A$949,$A31,'09월 고철장입'!K$14:K$949)/1000)</f>
        <v/>
      </c>
      <c r="BA31" s="815" t="str">
        <f>IF($C31&lt;1,"",AVERAGEIF('09월 고철장입'!$A$14:$A$949,$A31,'09월 고철장입'!L$14:L$949)/1000)</f>
        <v/>
      </c>
      <c r="BB31" s="815" t="str">
        <f>IF($C31&lt;1,"",AVERAGEIF('09월 고철장입'!$A$14:$A$949,$A31,'09월 고철장입'!M$14:M$949)/1000)</f>
        <v/>
      </c>
      <c r="BC31" s="815" t="str">
        <f>IF($C31&lt;1,"",AVERAGEIF('09월 고철장입'!$A$14:$A$949,$A31,'09월 고철장입'!N$14:N$949)/1000)</f>
        <v/>
      </c>
      <c r="BD31" s="815" t="str">
        <f>IF($C31&lt;1,"",AVERAGEIF('09월 고철장입'!$A$14:$A$949,$A31,'09월 고철장입'!O$14:O$949)/1000)</f>
        <v/>
      </c>
      <c r="BE31" s="815" t="str">
        <f>IF($C31&lt;1,"",AVERAGEIF('09월 고철장입'!$A$14:$A$949,$A31,'09월 고철장입'!P$14:P$949)/1000)</f>
        <v/>
      </c>
      <c r="BF31" s="815" t="str">
        <f>IF($C31&lt;1,"",AVERAGEIF('09월 고철장입'!$A$14:$A$949,$A31,'09월 고철장입'!Q$14:Q$949)/1000)</f>
        <v/>
      </c>
      <c r="BG31" s="815" t="str">
        <f>IF($C31&lt;1,"",AVERAGEIF('09월 고철장입'!$A$14:$A$949,$A31,'09월 고철장입'!S$14:S$949)/1000)</f>
        <v/>
      </c>
      <c r="BH31" s="815" t="str">
        <f>IF($C31&lt;1,"",AVERAGEIF('09월 고철장입'!$A$14:$A$949,$A31,'09월 고철장입'!T$14:T$949)/1000)</f>
        <v/>
      </c>
      <c r="BI31" s="815" t="str">
        <f>IF($C31&lt;1,"",AVERAGEIF('09월 고철장입'!$A$14:$A$949,$A31,'09월 고철장입'!U$14:U$949)/1000)</f>
        <v/>
      </c>
      <c r="BJ31" s="815" t="str">
        <f>IF($C31&lt;1,"",AVERAGEIF('09월 고철장입'!$A$14:$A$949,$A31,'09월 고철장입'!V$14:V$949)/1000)</f>
        <v/>
      </c>
      <c r="BK31" s="815" t="str">
        <f>IF($C31&lt;1,"",AVERAGEIF('09월 고철장입'!$A$14:$A$949,$A31,'09월 고철장입'!W$14:W$949)/1000)</f>
        <v/>
      </c>
      <c r="BL31" s="815" t="str">
        <f>IF($C31&lt;1,"",AVERAGEIF('09월 고철장입'!$A$14:$A$949,$A31,'09월 고철장입'!Y$14:Y$949)/1000)</f>
        <v/>
      </c>
      <c r="BM31" s="815" t="str">
        <f>IF($C31&lt;1,"",AVERAGEIF('09월 고철장입'!$A$14:$A$949,$A31,'09월 고철장입'!AB$14:AB$949)/1000)</f>
        <v/>
      </c>
      <c r="BN31" s="815" t="str">
        <f>IF($C31&lt;1,"",AVERAGEIF('09월 고철장입'!$A$14:$A$949,$A31,'09월 고철장입'!AC$14:AC$949)/1000)</f>
        <v/>
      </c>
      <c r="BO31" s="815" t="str">
        <f>IF($C31&lt;1,"",AVERAGEIF('09월 고철장입'!$A$14:$A$949,$A31,'09월 고철장입'!AD$14:AD$949)/1000)</f>
        <v/>
      </c>
      <c r="BP31" s="815" t="str">
        <f>IF($C31&lt;1,"",AVERAGEIF('09월 고철장입'!$A$14:$A$949,$A31,'09월 고철장입'!AE$14:AE$949)/1000)</f>
        <v/>
      </c>
      <c r="BQ31" s="815" t="str">
        <f>IF($C31&lt;1,"",AVERAGEIF('09월 고철장입'!$A$14:$A$949,$A31,'09월 고철장입'!AF$14:AF$949)/1000)</f>
        <v/>
      </c>
      <c r="BR31" s="815" t="str">
        <f>IF($C31&lt;1,"",AVERAGEIF('09월 고철장입'!$A$14:$A$949,$A31,'09월 고철장입'!AG$14:AG$949)/1000)</f>
        <v/>
      </c>
      <c r="BS31" s="815" t="str">
        <f>IF($C31&lt;1,"",AVERAGEIF('09월 고철장입'!$A$14:$A$949,$A31,'09월 고철장입'!AH$14:AH$949)/1000)</f>
        <v/>
      </c>
      <c r="BT31" s="815" t="str">
        <f>IF($C31&lt;1,"",AVERAGEIF('09월 고철장입'!$A$14:$A$949,$A31,'09월 고철장입'!AI$14:AI$949)/1000)</f>
        <v/>
      </c>
      <c r="BU31" s="815" t="str">
        <f>IF($C31&lt;1,"",AVERAGEIF('09월 고철장입'!$A$14:$A$949,$A31,'09월 고철장입'!AJ$14:AJ$949)/1000)</f>
        <v/>
      </c>
      <c r="BV31" s="815" t="str">
        <f>IF($C31&lt;1,"",AVERAGEIF('09월 고철장입'!$A$14:$A$949,$A31,'09월 고철장입'!AK$14:AK$949))</f>
        <v/>
      </c>
      <c r="BW31" s="815" t="str">
        <f>IF($C31&lt;1,"",AVERAGEIF('09월 고철장입'!$A$14:$A$949,$A31,'09월 고철장입'!AL$14:AL$949)*100)</f>
        <v/>
      </c>
      <c r="BX31" s="815" t="str">
        <f>IF($C31&lt;1,"",AVERAGEIF('09월 에너지'!$A$14:$A$949,$A31,'09월 에너지'!G$14:G$949))</f>
        <v/>
      </c>
      <c r="BY31" s="817" t="str">
        <f>IF($C31&lt;1,"",AVERAGEIF('09월 에너지'!$A$14:$A$949,$A31,'09월 에너지'!H$14:H$949))</f>
        <v/>
      </c>
      <c r="BZ31" s="815" t="str">
        <f>IF($C31&lt;1,"",AVERAGEIF('09월 에너지'!$A$14:$A$949,$A31,'09월 에너지'!I$14:I$949))</f>
        <v/>
      </c>
      <c r="CA31" s="817" t="str">
        <f>IF($C31&lt;1,"",AVERAGEIF('09월 에너지'!$A$14:$A$949,$A31,'09월 에너지'!J$14:J$949))</f>
        <v/>
      </c>
      <c r="CB31" s="815" t="str">
        <f>IF($C31&lt;1,"",AVERAGEIF('09월 에너지'!$A$14:$A$949,$A31,'09월 에너지'!K$14:K$949))</f>
        <v/>
      </c>
      <c r="CC31" s="817" t="str">
        <f>IF($C31&lt;1,"",AVERAGEIF('09월 에너지'!$A$14:$A$949,$A31,'09월 에너지'!L$14:L$949))</f>
        <v/>
      </c>
      <c r="CD31" s="815" t="str">
        <f>IF($C31&lt;1,"",AVERAGEIF('09월 에너지'!$A$14:$A$949,$A31,'09월 에너지'!M$14:M$949))</f>
        <v/>
      </c>
      <c r="CE31" s="817" t="str">
        <f>IF($C31&lt;1,"",AVERAGEIF('09월 에너지'!$A$14:$A$949,$A31,'09월 에너지'!N$14:N$949))</f>
        <v/>
      </c>
      <c r="CF31" s="815" t="str">
        <f>IF($C31&lt;1,"",AVERAGEIF('09월 에너지'!$A$14:$A$949,$A31,'09월 에너지'!O$14:O$949))</f>
        <v/>
      </c>
      <c r="CG31" s="815" t="str">
        <f>IF($C31&lt;1,"",AVERAGEIF('09월 에너지'!$A$14:$A$949,$A31,'09월 에너지'!P$14:P$949))</f>
        <v/>
      </c>
      <c r="CH31" s="815" t="str">
        <f>IF($C31&lt;1,"",AVERAGEIF('09월 에너지'!$A$14:$A$949,$A31,'09월 에너지'!Q$14:Q$949))</f>
        <v/>
      </c>
      <c r="CI31" s="815" t="str">
        <f>IF($C31&lt;1,"",AVERAGEIF('09월 에너지'!$A$14:$A$949,$A31,'09월 에너지'!R$14:R$949))</f>
        <v/>
      </c>
      <c r="CJ31" s="815" t="str">
        <f>IF($C31&lt;1,"",AVERAGEIF('09월 에너지'!$A$14:$A$949,$A31,'09월 에너지'!S$14:S$949))</f>
        <v/>
      </c>
      <c r="CK31" s="815" t="str">
        <f>IF($C31&lt;1,"",AVERAGEIF('09월 에너지'!$A$14:$A$949,$A31,'09월 에너지'!T$14:T$949))</f>
        <v/>
      </c>
      <c r="CL31" s="815" t="str">
        <f>IF($C31&lt;1,"",AVERAGEIF('09월 에너지'!$A$14:$A$949,$A31,'09월 에너지'!U$14:U$949))</f>
        <v/>
      </c>
      <c r="CM31" s="817" t="str">
        <f>IF($C31&lt;1,"",AVERAGEIF('09월 에너지'!$A$14:$A$949,$A31,'09월 에너지'!V$14:V$949))</f>
        <v/>
      </c>
      <c r="CN31" s="817" t="str">
        <f>IF($C31&lt;1,"",AVERAGEIF('09월 에너지'!$A$14:$A$949,$A31,'09월 에너지'!W$14:W$949))</f>
        <v/>
      </c>
      <c r="CO31" s="815" t="str">
        <f>IF($C31&lt;1,"",AVERAGEIF('09월 에너지'!$A$14:$A$949,$A31,'09월 에너지'!X$14:X$949))</f>
        <v/>
      </c>
      <c r="CP31" s="817" t="str">
        <f>IF($C31&lt;1,"",AVERAGEIF('09월 에너지'!$A$14:$A$949,$A31,'09월 에너지'!Y$14:Y$949))</f>
        <v/>
      </c>
      <c r="CQ31" s="817" t="str">
        <f>IF($C31&lt;1,"",AVERAGEIF('09월 에너지'!$A$14:$A$949,$A31,'09월 에너지'!Z$14:Z$949))</f>
        <v/>
      </c>
      <c r="CR31" s="817" t="str">
        <f>IF($C31&lt;1,"",AVERAGEIF('09월 에너지'!$A$14:$A$949,$A31,'09월 에너지'!AA$14:AA$949))</f>
        <v/>
      </c>
      <c r="CS31" s="817" t="str">
        <f>IF($C31&lt;1,"",AVERAGEIF('09월 에너지'!$A$14:$A$949,$A31,'09월 에너지'!AB$14:AB$949))</f>
        <v/>
      </c>
      <c r="CT31" s="815" t="str">
        <f>IF($C31&lt;1,"",AVERAGEIF('09월 에너지'!$A$14:$A$949,$A31,'09월 에너지'!AC$14:AC$949))</f>
        <v/>
      </c>
      <c r="CU31" s="818" t="str">
        <f>IF($C31&lt;1,"",AVERAGEIF('09월 에너지'!$A$14:$A$949,$A31,'09월 에너지'!AD$14:AD$949))</f>
        <v/>
      </c>
      <c r="CV31" s="819" t="str">
        <f>IF($C31&lt;1,"",AVERAGEIF('09월 에너지'!$A$14:$A$949,$A31,'09월 에너지'!AE$14:AE$949))</f>
        <v/>
      </c>
      <c r="CW31" s="815" t="str">
        <f>IF($C31&lt;1,"",AVERAGEIF('09월 에너지'!$A$14:$A$949,$A31,'09월 에너지'!AF$14:AF$949))</f>
        <v/>
      </c>
      <c r="CX31" s="815" t="str">
        <f>IF($C31&lt;1,"",AVERAGEIF('09월 에너지'!$A$14:$A$949,$A31,'09월 에너지'!AG$14:AG$949))</f>
        <v/>
      </c>
      <c r="CY31" s="815" t="str">
        <f>IF($C31&lt;1,"",AVERAGEIF('09월 에너지'!$A$14:$A$949,$A31,'09월 에너지'!AH$14:AH$949))</f>
        <v/>
      </c>
      <c r="CZ31" s="815" t="str">
        <f>IF($C31&lt;1,"",AVERAGEIF('09월 에너지'!$A$14:$A$949,$A31,'09월 에너지'!AI$14:AI$949))</f>
        <v/>
      </c>
      <c r="DA31" s="820" t="str">
        <f>IF($C31&lt;1,"",AVERAGEIF('09월 에너지'!$A$14:$A$949,$A31,'09월 에너지'!AJ$14:AJ$949))</f>
        <v/>
      </c>
    </row>
    <row r="32" spans="1:105" ht="13.5" customHeight="1">
      <c r="A32" s="849">
        <f t="shared" si="2"/>
        <v>44932</v>
      </c>
      <c r="B32" s="850" t="s">
        <v>9</v>
      </c>
      <c r="C32" s="823">
        <f>COUNTIFS('09월 조업일지'!$A$12:$A$952,A31,'09월 조업일지'!$E$12:$E$952,B32)</f>
        <v>0</v>
      </c>
      <c r="D32" s="824" t="str">
        <f>IF(C32&lt;1,"",F32-E32)</f>
        <v/>
      </c>
      <c r="E32" s="824" t="str">
        <f>IF($C32&lt;1,"",(SUMIFS('09월 조업일지'!$K$12:$K$952,'09월 조업일지'!$A$12:$A$952,$A32,'09월 조업일지'!$E$12:$E$952,$B32)/$C32))</f>
        <v/>
      </c>
      <c r="F32" s="824" t="str">
        <f>IF($C32&lt;1,"",(AVERAGEIFS('09월 조업일지'!$J$12:$J$952,'09월 조업일지'!$A$12:$A$952,$A32,'09월 조업일지'!$E$12:$E$952,$B32)))</f>
        <v/>
      </c>
      <c r="G32" s="825" t="str">
        <f>IF($C32&lt;1,"",(AVERAGEIFS('09월 에너지'!$M$14:$M$949,'09월 에너지'!$A$14:$A$949,$A32,'09월 에너지'!$C$14:$C$949,$B32)))</f>
        <v/>
      </c>
      <c r="H32" s="826" t="str">
        <f>IF($C32&lt;1,"",(AVERAGEIFS('09월 조업일지'!$AJ$12:$AJ$952,'09월 조업일지'!$A$12:$A$952,$A32,'09월 조업일지'!$E$12:$E$952,$B32)))</f>
        <v/>
      </c>
      <c r="I32" s="826" t="str">
        <f>IF($C32&lt;1,"",(AVERAGEIFS('09월 조업일지'!$AL$12:$AL$952,'09월 조업일지'!$A$12:$A$952,$A32,'09월 조업일지'!$E$12:$E$952,$B32)))</f>
        <v/>
      </c>
      <c r="J32" s="827" t="str">
        <f>IF($C32&lt;1,"",(AVERAGEIFS('09월 화학성분'!G$12:G$949,'09월 화학성분'!$A$12:$A$949,$A32,'09월 화학성분'!$D$12:$D$949,$B32)))</f>
        <v/>
      </c>
      <c r="K32" s="827" t="str">
        <f>IF($C32&lt;1,"",(AVERAGEIFS('09월 화학성분'!H$12:H$949,'09월 화학성분'!$A$12:$A$949,$A32,'09월 화학성분'!$D$12:$D$949,$B32)))</f>
        <v/>
      </c>
      <c r="L32" s="827" t="str">
        <f>IF($C32&lt;1,"",(AVERAGEIFS('09월 화학성분'!I$12:I$949,'09월 화학성분'!$A$12:$A$949,$A32,'09월 화학성분'!$D$12:$D$949,$B32)))</f>
        <v/>
      </c>
      <c r="M32" s="827" t="str">
        <f>IF($C32&lt;1,"",(AVERAGEIFS('09월 화학성분'!J$12:J$949,'09월 화학성분'!$A$12:$A$949,$A32,'09월 화학성분'!$D$12:$D$949,$B32)))</f>
        <v/>
      </c>
      <c r="N32" s="827" t="str">
        <f>IF($C32&lt;1,"",(AVERAGEIFS('09월 화학성분'!K$12:K$949,'09월 화학성분'!$A$12:$A$949,$A32,'09월 화학성분'!$D$12:$D$949,$B32)))</f>
        <v/>
      </c>
      <c r="O32" s="827" t="str">
        <f>IF($C32&lt;1,"",(AVERAGEIFS('09월 화학성분'!L$12:L$949,'09월 화학성분'!$A$12:$A$949,$A32,'09월 화학성분'!$D$12:$D$949,$B32)))</f>
        <v/>
      </c>
      <c r="P32" s="827" t="str">
        <f>IF($C32&lt;1,"",(AVERAGEIFS('09월 화학성분'!M$12:M$949,'09월 화학성분'!$A$12:$A$949,$A32,'09월 화학성분'!$D$12:$D$949,$B32)))</f>
        <v/>
      </c>
      <c r="Q32" s="827" t="str">
        <f>IFERROR(IF($C32&lt;1,"",(AVERAGEIFS('09월 조업일지'!$AA$12:$AA$952,'09월 조업일지'!$A$12:$A$952,$A32,'09월 조업일지'!$E$12:$E$952,$B32))),"")</f>
        <v/>
      </c>
      <c r="R32" s="827" t="str">
        <f>IF($C32&lt;1,"",(AVERAGEIFS('09월 조업일지'!$AK$12:$AK$952,'09월 조업일지'!$A$12:$A$952,$A32,'09월 조업일지'!$E$12:$E$952,$B32)))</f>
        <v/>
      </c>
      <c r="S32" s="827"/>
      <c r="T32" s="827"/>
      <c r="U32" s="827" t="str">
        <f>IF($C32&lt;1,"",(AVERAGEIFS('09월 화학성분'!$G$12:$G$949,'09월 화학성분'!$A$12:$A$949,$A32,'09월 화학성분'!$D$12:$D$949,$B32)))</f>
        <v/>
      </c>
      <c r="V32" s="827" t="str">
        <f>IF($C32&lt;1,"",(AVERAGEIFS('09월 조업일지'!$AI$12:$AI$952,'09월 조업일지'!$A$12:$A$952,$A32,'09월 조업일지'!$E$12:$E$952,$B32)))</f>
        <v/>
      </c>
      <c r="W32" s="828" t="str">
        <f>IF($C32&lt;1,"",(AVERAGEIFS('09월 화학성분'!$AM$12:$AM$949,'09월 화학성분'!$A$12:$A$949,$A32,'09월 화학성분'!$D$12:$D$949,$B32)))</f>
        <v/>
      </c>
      <c r="X32" s="829" t="str">
        <f>IF($C32&lt;1,"",(AVERAGEIFS('09월 화학성분'!N$12:N$949,'09월 화학성분'!$A$12:$A$949,$A32,'09월 화학성분'!$D$12:$D$949,$B32)))</f>
        <v/>
      </c>
      <c r="Y32" s="829" t="str">
        <f>IF($C32&lt;1,"",(AVERAGEIFS('09월 화학성분'!O$12:O$949,'09월 화학성분'!$A$12:$A$949,$A32,'09월 화학성분'!$D$12:$D$949,$B32)))</f>
        <v/>
      </c>
      <c r="Z32" s="829" t="str">
        <f>IF($C32&lt;1,"",(AVERAGEIFS('09월 화학성분'!P$12:P$949,'09월 화학성분'!$A$12:$A$949,$A32,'09월 화학성분'!$D$12:$D$949,$B32)))</f>
        <v/>
      </c>
      <c r="AA32" s="829" t="str">
        <f>IF($C32&lt;1,"",(AVERAGEIFS('09월 화학성분'!Q$12:Q$949,'09월 화학성분'!$A$12:$A$949,$A32,'09월 화학성분'!$D$12:$D$949,$B32)))</f>
        <v/>
      </c>
      <c r="AB32" s="829" t="str">
        <f>IF($C32&lt;1,"",(AVERAGEIFS('09월 화학성분'!R$12:R$949,'09월 화학성분'!$A$12:$A$949,$A32,'09월 화학성분'!$D$12:$D$949,$B32)))</f>
        <v/>
      </c>
      <c r="AC32" s="829" t="str">
        <f>IF($C32&lt;1,"",(AVERAGEIFS('09월 화학성분'!U$12:U$949,'09월 화학성분'!$A$12:$A$949,$A32,'09월 화학성분'!$D$12:$D$949,$B32)))</f>
        <v/>
      </c>
      <c r="AD32" s="829" t="str">
        <f>IF($C32&lt;1,"",(AVERAGEIFS('09월 화학성분'!V$12:V$949,'09월 화학성분'!$A$12:$A$949,$A32,'09월 화학성분'!$D$12:$D$949,$B32)))</f>
        <v/>
      </c>
      <c r="AE32" s="829" t="str">
        <f>IF($C32&lt;1,"",(AVERAGEIFS('09월 화학성분'!W$12:W$949,'09월 화학성분'!$A$12:$A$949,$A32,'09월 화학성분'!$D$12:$D$949,$B32)))</f>
        <v/>
      </c>
      <c r="AF32" s="829" t="str">
        <f>IF($C32&lt;1,"",(AVERAGEIFS('09월 화학성분'!AA$12:AA$949,'09월 화학성분'!$A$12:$A$949,$A32,'09월 화학성분'!$D$12:$D$949,$B32)))</f>
        <v/>
      </c>
      <c r="AG32" s="829" t="str">
        <f>IF($C32&lt;1,"",(AVERAGEIFS('09월 화학성분'!#REF!,'09월 화학성분'!$A$12:$A$949,$A32,'09월 화학성분'!$D$12:$D$949,$B32)))</f>
        <v/>
      </c>
      <c r="AH32" s="829" t="str">
        <f>IF($C32&lt;1,"",(AVERAGEIFS('09월 화학성분'!AB$12:AB$949,'09월 화학성분'!$A$12:$A$949,$A32,'09월 화학성분'!$D$12:$D$949,$B32)))</f>
        <v/>
      </c>
      <c r="AI32" s="829" t="str">
        <f>IF($C32&lt;1,"",(AVERAGEIFS('09월 화학성분'!AC$12:AC$949,'09월 화학성분'!$A$12:$A$949,$A32,'09월 화학성분'!$D$12:$D$949,$B32)))</f>
        <v/>
      </c>
      <c r="AJ32" s="829" t="str">
        <f>IF($C32&lt;1,"",(AVERAGEIFS('09월 화학성분'!AD$12:AD$949,'09월 화학성분'!$A$12:$A$949,$A32,'09월 화학성분'!$D$12:$D$949,$B32)))</f>
        <v/>
      </c>
      <c r="AK32" s="829" t="str">
        <f>IF($C32&lt;1,"",(AVERAGEIFS('09월 화학성분'!AF$12:AF$949,'09월 화학성분'!$A$12:$A$949,$A32,'09월 화학성분'!$D$12:$D$949,$B32)))</f>
        <v/>
      </c>
      <c r="AL32" s="829" t="str">
        <f>IF($C32&lt;1,"",(AVERAGEIFS('09월 화학성분'!AG$12:AG$949,'09월 화학성분'!$A$12:$A$949,$A32,'09월 화학성분'!$D$12:$D$949,$B32)))</f>
        <v/>
      </c>
      <c r="AM32" s="829" t="str">
        <f>IF($C32&lt;1,"",(AVERAGEIFS('09월 화학성분'!AH$12:AH$949,'09월 화학성분'!$A$12:$A$949,$A32,'09월 화학성분'!$D$12:$D$949,$B32)))</f>
        <v/>
      </c>
      <c r="AN32" s="829" t="str">
        <f>IF($C32&lt;1,"",(AVERAGEIFS('09월 화학성분'!AI$12:AI$949,'09월 화학성분'!$A$12:$A$949,$A32,'09월 화학성분'!$D$12:$D$949,$B32)))</f>
        <v/>
      </c>
      <c r="AO32" s="829" t="str">
        <f>IF($C32&lt;1,"",(AVERAGEIFS('09월 화학성분'!AJ$12:AJ$949,'09월 화학성분'!$A$12:$A$949,$A32,'09월 화학성분'!$D$12:$D$949,$B32)))</f>
        <v/>
      </c>
      <c r="AP32" s="829" t="str">
        <f>IF($C32&lt;1,"",(AVERAGEIFS('09월 화학성분'!#REF!,'09월 화학성분'!$A$12:$A$949,$A32,'09월 화학성분'!$D$12:$D$949,$B32)))</f>
        <v/>
      </c>
      <c r="AQ32" s="829" t="str">
        <f>IF($C32&lt;1,"",(AVERAGEIFS('09월 화학성분'!AL$12:AL$949,'09월 화학성분'!$A$12:$A$949,$A32,'09월 화학성분'!$D$12:$D$949,$B32)))</f>
        <v/>
      </c>
      <c r="AR32" s="829" t="str">
        <f>IF($C32&lt;1,"",(AVERAGEIFS('09월 화학성분'!AM$12:AM$949,'09월 화학성분'!$A$12:$A$949,$A32,'09월 화학성분'!$D$12:$D$949,$B32)))</f>
        <v/>
      </c>
      <c r="AS32" s="830" t="str">
        <f>IF($C32&lt;1,"",(AVERAGEIFS('09월 화학성분'!AN$12:AN$949,'09월 화학성분'!$A$12:$A$949,$A32,'09월 화학성분'!$D$12:$D$949,$B32)))</f>
        <v/>
      </c>
      <c r="AT32" s="830" t="str">
        <f>IF($C32&lt;1,"",(AVERAGEIFS('09월 화학성분'!AO$12:AO$949,'09월 화학성분'!$A$12:$A$949,$A32,'09월 화학성분'!$D$12:$D$949,$B32)))</f>
        <v/>
      </c>
      <c r="AU32" s="831" t="str">
        <f>IF($C32&lt;1,"",(AVERAGEIFS('09월 화학성분'!AP$12:AP$949,'09월 화학성분'!$A$12:$A$949,$A32,'09월 화학성분'!$D$12:$D$949,$B32)))</f>
        <v/>
      </c>
      <c r="AV32" s="832" t="str">
        <f>IF($C32&lt;1,"",(AVERAGEIFS('09월 고철장입'!G$14:G$949,'09월 고철장입'!$A$14:$A$949,$A32,'09월 고철장입'!$C$14:$C$949,$B32))/1000)</f>
        <v/>
      </c>
      <c r="AW32" s="832" t="str">
        <f>IF($C32&lt;1,"",(AVERAGEIFS('09월 고철장입'!H$14:H$949,'09월 고철장입'!$A$14:$A$949,$A32,'09월 고철장입'!$C$14:$C$949,$B32))/1000)</f>
        <v/>
      </c>
      <c r="AX32" s="832" t="str">
        <f>IF($C32&lt;1,"",(AVERAGEIFS('09월 고철장입'!I$14:I$949,'09월 고철장입'!$A$14:$A$949,$A32,'09월 고철장입'!$C$14:$C$949,$B32))/1000)</f>
        <v/>
      </c>
      <c r="AY32" s="832" t="str">
        <f>IF($C32&lt;1,"",(AVERAGEIFS('09월 고철장입'!J$14:J$949,'09월 고철장입'!$A$14:$A$949,$A32,'09월 고철장입'!$C$14:$C$949,$B32))/1000)</f>
        <v/>
      </c>
      <c r="AZ32" s="832" t="str">
        <f>IF($C32&lt;1,"",(AVERAGEIFS('09월 고철장입'!K$14:K$949,'09월 고철장입'!$A$14:$A$949,$A32,'09월 고철장입'!$C$14:$C$949,$B32))/1000)</f>
        <v/>
      </c>
      <c r="BA32" s="832" t="str">
        <f>IF($C32&lt;1,"",(AVERAGEIFS('09월 고철장입'!L$14:L$949,'09월 고철장입'!$A$14:$A$949,$A32,'09월 고철장입'!$C$14:$C$949,$B32))/1000)</f>
        <v/>
      </c>
      <c r="BB32" s="832" t="str">
        <f>IF($C32&lt;1,"",(AVERAGEIFS('09월 고철장입'!M$14:M$949,'09월 고철장입'!$A$14:$A$949,$A32,'09월 고철장입'!$C$14:$C$949,$B32))/1000)</f>
        <v/>
      </c>
      <c r="BC32" s="832" t="str">
        <f>IF($C32&lt;1,"",(AVERAGEIFS('09월 고철장입'!N$14:N$949,'09월 고철장입'!$A$14:$A$949,$A32,'09월 고철장입'!$C$14:$C$949,$B32))/1000)</f>
        <v/>
      </c>
      <c r="BD32" s="832" t="str">
        <f>IF($C32&lt;1,"",(AVERAGEIFS('09월 고철장입'!O$14:O$949,'09월 고철장입'!$A$14:$A$949,$A32,'09월 고철장입'!$C$14:$C$949,$B32))/1000)</f>
        <v/>
      </c>
      <c r="BE32" s="833" t="str">
        <f>IF($C32&lt;1,"",(AVERAGEIFS('09월 고철장입'!P$14:P$949,'09월 고철장입'!$A$14:$A$949,$A32,'09월 고철장입'!$C$14:$C$949,$B32))/1000)</f>
        <v/>
      </c>
      <c r="BF32" s="833" t="str">
        <f>IF($C32&lt;1,"",(AVERAGEIFS('09월 고철장입'!Q$14:Q$949,'09월 고철장입'!$A$14:$A$949,$A32,'09월 고철장입'!$C$14:$C$949,$B32))/1000)</f>
        <v/>
      </c>
      <c r="BG32" s="833" t="str">
        <f>IF($C32&lt;1,"",(AVERAGEIFS('09월 고철장입'!S$14:S$949,'09월 고철장입'!$A$14:$A$949,$A32,'09월 고철장입'!$C$14:$C$949,$B32))/1000)</f>
        <v/>
      </c>
      <c r="BH32" s="833" t="str">
        <f>IF($C32&lt;1,"",(AVERAGEIFS('09월 고철장입'!T$14:T$949,'09월 고철장입'!$A$14:$A$949,$A32,'09월 고철장입'!$C$14:$C$949,$B32))/1000)</f>
        <v/>
      </c>
      <c r="BI32" s="833" t="str">
        <f>IF($C32&lt;1,"",(AVERAGEIFS('09월 고철장입'!U$14:U$949,'09월 고철장입'!$A$14:$A$949,$A32,'09월 고철장입'!$C$14:$C$949,$B32))/1000)</f>
        <v/>
      </c>
      <c r="BJ32" s="833" t="str">
        <f>IF($C32&lt;1,"",(AVERAGEIFS('09월 고철장입'!V$14:V$949,'09월 고철장입'!$A$14:$A$949,$A32,'09월 고철장입'!$C$14:$C$949,$B32))/1000)</f>
        <v/>
      </c>
      <c r="BK32" s="833" t="str">
        <f>IF($C32&lt;1,"",(AVERAGEIFS('09월 고철장입'!W$14:W$949,'09월 고철장입'!$A$14:$A$949,$A32,'09월 고철장입'!$C$14:$C$949,$B32))/1000)</f>
        <v/>
      </c>
      <c r="BL32" s="833" t="str">
        <f>IF($C32&lt;1,"",(AVERAGEIFS('09월 고철장입'!Y$14:Y$949,'09월 고철장입'!$A$14:$A$949,$A32,'09월 고철장입'!$C$14:$C$949,$B32))/1000)</f>
        <v/>
      </c>
      <c r="BM32" s="833" t="str">
        <f>IF($C32&lt;1,"",(AVERAGEIFS('09월 고철장입'!AB$14:AB$949,'09월 고철장입'!$A$14:$A$949,$A32,'09월 고철장입'!$C$14:$C$949,$B32))/1000)</f>
        <v/>
      </c>
      <c r="BN32" s="833" t="str">
        <f>IF($C32&lt;1,"",(AVERAGEIFS('09월 고철장입'!AC$14:AC$949,'09월 고철장입'!$A$14:$A$949,$A32,'09월 고철장입'!$C$14:$C$949,$B32))/1000)</f>
        <v/>
      </c>
      <c r="BO32" s="833" t="str">
        <f>IF($C32&lt;1,"",(AVERAGEIFS('09월 고철장입'!AD$14:AD$949,'09월 고철장입'!$A$14:$A$949,$A32,'09월 고철장입'!$C$14:$C$949,$B32))/1000)</f>
        <v/>
      </c>
      <c r="BP32" s="833" t="str">
        <f>IF($C32&lt;1,"",(AVERAGEIFS('09월 고철장입'!AE$14:AE$949,'09월 고철장입'!$A$14:$A$949,$A32,'09월 고철장입'!$C$14:$C$949,$B32))/1000)</f>
        <v/>
      </c>
      <c r="BQ32" s="832" t="str">
        <f>IF($C32&lt;1,"",(AVERAGEIFS('09월 고철장입'!AF$14:AF$949,'09월 고철장입'!$A$14:$A$949,$A32,'09월 고철장입'!$C$14:$C$949,$B32))/1000)</f>
        <v/>
      </c>
      <c r="BR32" s="832" t="str">
        <f>IF($C32&lt;1,"",(AVERAGEIFS('09월 고철장입'!AG$14:AG$949,'09월 고철장입'!$A$14:$A$949,$A32,'09월 고철장입'!$C$14:$C$949,$B32))/1000)</f>
        <v/>
      </c>
      <c r="BS32" s="832" t="str">
        <f>IF($C32&lt;1,"",(AVERAGEIFS('09월 고철장입'!AH$14:AH$949,'09월 고철장입'!$A$14:$A$949,$A32,'09월 고철장입'!$C$14:$C$949,$B32))/1000)</f>
        <v/>
      </c>
      <c r="BT32" s="832" t="str">
        <f>IF($C32&lt;1,"",(AVERAGEIFS('09월 고철장입'!AI$14:AI$949,'09월 고철장입'!$A$14:$A$949,$A32,'09월 고철장입'!$C$14:$C$949,$B32))/1000)</f>
        <v/>
      </c>
      <c r="BU32" s="834" t="str">
        <f>IF($C32&lt;1,"",(AVERAGEIFS('09월 고철장입'!AJ$14:AJ$949,'09월 고철장입'!$A$14:$A$949,$A32,'09월 고철장입'!$C$14:$C$949,$B32))/1000)</f>
        <v/>
      </c>
      <c r="BV32" s="834" t="str">
        <f>IF($C32&lt;1,"",(AVERAGEIFS('09월 고철장입'!AK$14:AK$949,'09월 고철장입'!$A$14:$A$949,$A32,'09월 고철장입'!$C$14:$C$949,$B32)))</f>
        <v/>
      </c>
      <c r="BW32" s="834" t="str">
        <f>IF($C32&lt;1,"",(AVERAGEIFS('09월 고철장입'!AL$14:AL$949,'09월 고철장입'!$A$14:$A$949,$A32,'09월 고철장입'!$C$14:$C$949,$B32))*100)</f>
        <v/>
      </c>
      <c r="BX32" s="831" t="str">
        <f>IF($C32&lt;1,"",(AVERAGEIFS('09월 에너지'!G$14:G$949,'09월 에너지'!$A$14:$A$949,$A32,'09월 에너지'!$C$14:$C$949,$B32)))</f>
        <v/>
      </c>
      <c r="BY32" s="835" t="str">
        <f>IF($C32&lt;1,"",(AVERAGEIFS('09월 에너지'!H$14:H$949,'09월 에너지'!$A$14:$A$949,$A32,'09월 에너지'!$C$14:$C$949,$B32)))</f>
        <v/>
      </c>
      <c r="BZ32" s="831" t="str">
        <f>IF($C32&lt;1,"",(AVERAGEIFS('09월 에너지'!I$14:I$949,'09월 에너지'!$A$14:$A$949,$A32,'09월 에너지'!$C$14:$C$949,$B32)))</f>
        <v/>
      </c>
      <c r="CA32" s="835" t="str">
        <f>IF($C32&lt;1,"",(AVERAGEIFS('09월 에너지'!J$14:J$949,'09월 에너지'!$A$14:$A$949,$A32,'09월 에너지'!$C$14:$C$949,$B32)))</f>
        <v/>
      </c>
      <c r="CB32" s="831" t="str">
        <f>IF($C32&lt;1,"",(AVERAGEIFS('09월 에너지'!K$14:K$949,'09월 에너지'!$A$14:$A$949,$A32,'09월 에너지'!$C$14:$C$949,$B32)))</f>
        <v/>
      </c>
      <c r="CC32" s="835" t="str">
        <f>IF($C32&lt;1,"",(AVERAGEIFS('09월 에너지'!L$14:L$949,'09월 에너지'!$A$14:$A$949,$A32,'09월 에너지'!$C$14:$C$949,$B32)))</f>
        <v/>
      </c>
      <c r="CD32" s="831" t="str">
        <f>IF($C32&lt;1,"",(AVERAGEIFS('09월 에너지'!M$14:M$949,'09월 에너지'!$A$14:$A$949,$A32,'09월 에너지'!$C$14:$C$949,$B32)))</f>
        <v/>
      </c>
      <c r="CE32" s="835" t="str">
        <f>IF($C32&lt;1,"",(AVERAGEIFS('09월 에너지'!N$14:N$949,'09월 에너지'!$A$14:$A$949,$A32,'09월 에너지'!$C$14:$C$949,$B32)))</f>
        <v/>
      </c>
      <c r="CF32" s="831" t="str">
        <f>IF($C32&lt;1,"",(AVERAGEIFS('09월 에너지'!O$14:O$949,'09월 에너지'!$A$14:$A$949,$A32,'09월 에너지'!$C$14:$C$949,$B32)))</f>
        <v/>
      </c>
      <c r="CG32" s="831" t="str">
        <f>IF($C32&lt;1,"",(AVERAGEIFS('09월 에너지'!P$14:P$949,'09월 에너지'!$A$14:$A$949,$A32,'09월 에너지'!$C$14:$C$949,$B32)))</f>
        <v/>
      </c>
      <c r="CH32" s="831" t="str">
        <f>IF($C32&lt;1,"",(AVERAGEIFS('09월 에너지'!Q$14:Q$949,'09월 에너지'!$A$14:$A$949,$A32,'09월 에너지'!$C$14:$C$949,$B32)))</f>
        <v/>
      </c>
      <c r="CI32" s="831" t="str">
        <f>IF($C32&lt;1,"",(AVERAGEIFS('09월 에너지'!R$14:R$949,'09월 에너지'!$A$14:$A$949,$A32,'09월 에너지'!$C$14:$C$949,$B32)))</f>
        <v/>
      </c>
      <c r="CJ32" s="831" t="str">
        <f>IF($C32&lt;1,"",(AVERAGEIFS('09월 에너지'!S$14:S$949,'09월 에너지'!$A$14:$A$949,$A32,'09월 에너지'!$C$14:$C$949,$B32)))</f>
        <v/>
      </c>
      <c r="CK32" s="831" t="str">
        <f>IF($C32&lt;1,"",(AVERAGEIFS('09월 에너지'!T$14:T$949,'09월 에너지'!$A$14:$A$949,$A32,'09월 에너지'!$C$14:$C$949,$B32)))</f>
        <v/>
      </c>
      <c r="CL32" s="831" t="str">
        <f>IF($C32&lt;1,"",(AVERAGEIFS('09월 에너지'!U$14:U$949,'09월 에너지'!$A$14:$A$949,$A32,'09월 에너지'!$C$14:$C$949,$B32)))</f>
        <v/>
      </c>
      <c r="CM32" s="835" t="str">
        <f>IF($C32&lt;1,"",(AVERAGEIFS('09월 에너지'!V$14:V$949,'09월 에너지'!$A$14:$A$949,$A32,'09월 에너지'!$C$14:$C$949,$B32)))</f>
        <v/>
      </c>
      <c r="CN32" s="835" t="str">
        <f>IF($C32&lt;1,"",(AVERAGEIFS('09월 에너지'!W$14:W$949,'09월 에너지'!$A$14:$A$949,$A32,'09월 에너지'!$C$14:$C$949,$B32)))</f>
        <v/>
      </c>
      <c r="CO32" s="831" t="str">
        <f>IF($C32&lt;1,"",(AVERAGEIFS('09월 에너지'!X$14:X$949,'09월 에너지'!$A$14:$A$949,$A32,'09월 에너지'!$C$14:$C$949,$B32)))</f>
        <v/>
      </c>
      <c r="CP32" s="835" t="str">
        <f>IF($C32&lt;1,"",(AVERAGEIFS('09월 에너지'!Y$14:Y$949,'09월 에너지'!$A$14:$A$949,$A32,'09월 에너지'!$C$14:$C$949,$B32)))</f>
        <v/>
      </c>
      <c r="CQ32" s="835" t="str">
        <f>IF($C32&lt;1,"",(AVERAGEIFS('09월 에너지'!Z$14:Z$949,'09월 에너지'!$A$14:$A$949,$A32,'09월 에너지'!$C$14:$C$949,$B32)))</f>
        <v/>
      </c>
      <c r="CR32" s="835" t="str">
        <f>IF($C32&lt;1,"",(AVERAGEIFS('09월 에너지'!AA$14:AA$949,'09월 에너지'!$A$14:$A$949,$A32,'09월 에너지'!$C$14:$C$949,$B32)))</f>
        <v/>
      </c>
      <c r="CS32" s="835" t="str">
        <f>IF($C32&lt;1,"",(AVERAGEIFS('09월 에너지'!AB$14:AB$949,'09월 에너지'!$A$14:$A$949,$A32,'09월 에너지'!$C$14:$C$949,$B32)))</f>
        <v/>
      </c>
      <c r="CT32" s="831" t="str">
        <f>IF($C32&lt;1,"",(AVERAGEIFS('09월 에너지'!AC$14:AC$949,'09월 에너지'!$A$14:$A$949,$A32,'09월 에너지'!$C$14:$C$949,$B32)))</f>
        <v/>
      </c>
      <c r="CU32" s="836" t="str">
        <f>IF($C32&lt;1,"",(AVERAGEIFS('09월 에너지'!AD$14:AD$949,'09월 에너지'!$A$14:$A$949,$A32,'09월 에너지'!$C$14:$C$949,$B32)))</f>
        <v/>
      </c>
      <c r="CV32" s="837" t="str">
        <f>IF($C32&lt;1,"",(AVERAGEIFS('09월 에너지'!AE$14:AE$949,'09월 에너지'!$A$14:$A$949,$A32,'09월 에너지'!$C$14:$C$949,$B32)))</f>
        <v/>
      </c>
      <c r="CW32" s="831" t="str">
        <f>IF($C32&lt;1,"",(AVERAGEIFS('09월 에너지'!AF$14:AF$949,'09월 에너지'!$A$14:$A$949,$A32,'09월 에너지'!$C$14:$C$949,$B32)))</f>
        <v/>
      </c>
      <c r="CX32" s="831" t="str">
        <f>IF($C32&lt;1,"",(AVERAGEIFS('09월 에너지'!AG$14:AG$949,'09월 에너지'!$A$14:$A$949,$A32,'09월 에너지'!$C$14:$C$949,$B32)))</f>
        <v/>
      </c>
      <c r="CY32" s="831" t="str">
        <f>IF($C32&lt;1,"",(AVERAGEIFS('09월 에너지'!AH$14:AH$949,'09월 에너지'!$A$14:$A$949,$A32,'09월 에너지'!$C$14:$C$949,$B32)))</f>
        <v/>
      </c>
      <c r="CZ32" s="831" t="str">
        <f>IF($C32&lt;1,"",(AVERAGEIFS('09월 에너지'!AI$14:AI$949,'09월 에너지'!$A$14:$A$949,$A32,'09월 에너지'!$C$14:$C$949,$B32)))</f>
        <v/>
      </c>
      <c r="DA32" s="838" t="str">
        <f>IF($C32&lt;1,"",(AVERAGEIFS('09월 에너지'!AJ$14:AJ$949,'09월 에너지'!$A$14:$A$949,$A32,'09월 에너지'!$C$14:$C$949,$B32)))</f>
        <v/>
      </c>
    </row>
    <row r="33" spans="1:105" ht="13.5" customHeight="1">
      <c r="A33" s="849">
        <f t="shared" si="2"/>
        <v>44932</v>
      </c>
      <c r="B33" s="850" t="s">
        <v>100</v>
      </c>
      <c r="C33" s="823">
        <f>COUNTIFS('09월 조업일지'!$A$12:$A$952,A31,'09월 조업일지'!$E$12:$E$952,B33)</f>
        <v>0</v>
      </c>
      <c r="D33" s="824" t="str">
        <f t="shared" ref="D33:D35" si="7">IF(C33&lt;1,"",F33-E33)</f>
        <v/>
      </c>
      <c r="E33" s="824" t="str">
        <f>IF($C33&lt;1,"",(SUMIFS('09월 조업일지'!$K$12:$K$952,'09월 조업일지'!$A$12:$A$952,$A33,'09월 조업일지'!$E$12:$E$952,$B33)/$C33))</f>
        <v/>
      </c>
      <c r="F33" s="824" t="str">
        <f>IF($C33&lt;1,"",(AVERAGEIFS('09월 조업일지'!$J$12:$J$952,'09월 조업일지'!$A$12:$A$952,$A33,'09월 조업일지'!$E$12:$E$952,$B33)))</f>
        <v/>
      </c>
      <c r="G33" s="825" t="str">
        <f>IF($C33&lt;1,"",(AVERAGEIFS('09월 에너지'!$M$14:$M$949,'09월 에너지'!$A$14:$A$949,$A33,'09월 에너지'!$C$14:$C$949,$B33)))</f>
        <v/>
      </c>
      <c r="H33" s="826" t="str">
        <f>IF($C33&lt;1,"",(AVERAGEIFS('09월 조업일지'!$AJ$12:$AJ$952,'09월 조업일지'!$A$12:$A$952,$A33,'09월 조업일지'!$E$12:$E$952,$B33)))</f>
        <v/>
      </c>
      <c r="I33" s="826" t="str">
        <f>IF($C33&lt;1,"",(AVERAGEIFS('09월 조업일지'!$AL$12:$AL$952,'09월 조업일지'!$A$12:$A$952,$A33,'09월 조업일지'!$E$12:$E$952,$B33)))</f>
        <v/>
      </c>
      <c r="J33" s="827" t="str">
        <f>IF($C33&lt;1,"",(AVERAGEIFS('09월 화학성분'!G$12:G$949,'09월 화학성분'!$A$12:$A$949,$A33,'09월 화학성분'!$D$12:$D$949,$B33)))</f>
        <v/>
      </c>
      <c r="K33" s="827" t="str">
        <f>IF($C33&lt;1,"",(AVERAGEIFS('09월 화학성분'!H$12:H$949,'09월 화학성분'!$A$12:$A$949,$A33,'09월 화학성분'!$D$12:$D$949,$B33)))</f>
        <v/>
      </c>
      <c r="L33" s="827" t="str">
        <f>IF($C33&lt;1,"",(AVERAGEIFS('09월 화학성분'!I$12:I$949,'09월 화학성분'!$A$12:$A$949,$A33,'09월 화학성분'!$D$12:$D$949,$B33)))</f>
        <v/>
      </c>
      <c r="M33" s="827" t="str">
        <f>IF($C33&lt;1,"",(AVERAGEIFS('09월 화학성분'!J$12:J$949,'09월 화학성분'!$A$12:$A$949,$A33,'09월 화학성분'!$D$12:$D$949,$B33)))</f>
        <v/>
      </c>
      <c r="N33" s="827" t="str">
        <f>IF($C33&lt;1,"",(AVERAGEIFS('09월 화학성분'!K$12:K$949,'09월 화학성분'!$A$12:$A$949,$A33,'09월 화학성분'!$D$12:$D$949,$B33)))</f>
        <v/>
      </c>
      <c r="O33" s="827" t="str">
        <f>IF($C33&lt;1,"",(AVERAGEIFS('09월 화학성분'!L$12:L$949,'09월 화학성분'!$A$12:$A$949,$A33,'09월 화학성분'!$D$12:$D$949,$B33)))</f>
        <v/>
      </c>
      <c r="P33" s="827" t="str">
        <f>IF($C33&lt;1,"",(AVERAGEIFS('09월 화학성분'!M$12:M$949,'09월 화학성분'!$A$12:$A$949,$A33,'09월 화학성분'!$D$12:$D$949,$B33)))</f>
        <v/>
      </c>
      <c r="Q33" s="827" t="str">
        <f>IFERROR(IF($C33&lt;1,"",(AVERAGEIFS('09월 조업일지'!$AA$12:$AA$952,'09월 조업일지'!$A$12:$A$952,$A33,'09월 조업일지'!$E$12:$E$952,$B33))),"")</f>
        <v/>
      </c>
      <c r="R33" s="827" t="str">
        <f>IF($C33&lt;1,"",(AVERAGEIFS('09월 조업일지'!$AK$12:$AK$952,'09월 조업일지'!$A$12:$A$952,$A33,'09월 조업일지'!$E$12:$E$952,$B33)))</f>
        <v/>
      </c>
      <c r="S33" s="827"/>
      <c r="T33" s="827"/>
      <c r="U33" s="827" t="str">
        <f>IF($C33&lt;1,"",(AVERAGEIFS('09월 화학성분'!$G$12:$G$949,'09월 화학성분'!$A$12:$A$949,$A33,'09월 화학성분'!$D$12:$D$949,$B33)))</f>
        <v/>
      </c>
      <c r="V33" s="827" t="str">
        <f>IF($C33&lt;1,"",(AVERAGEIFS('09월 조업일지'!$AI$12:$AI$952,'09월 조업일지'!$A$12:$A$952,$A33,'09월 조업일지'!$E$12:$E$952,$B33)))</f>
        <v/>
      </c>
      <c r="W33" s="828" t="str">
        <f>IF($C33&lt;1,"",(AVERAGEIFS('09월 화학성분'!$AM$12:$AM$949,'09월 화학성분'!$A$12:$A$949,$A33,'09월 화학성분'!$D$12:$D$949,$B33)))</f>
        <v/>
      </c>
      <c r="X33" s="829" t="str">
        <f>IF($C33&lt;1,"",(AVERAGEIFS('09월 화학성분'!N$12:N$949,'09월 화학성분'!$A$12:$A$949,$A33,'09월 화학성분'!$D$12:$D$949,$B33)))</f>
        <v/>
      </c>
      <c r="Y33" s="829" t="str">
        <f>IF($C33&lt;1,"",(AVERAGEIFS('09월 화학성분'!O$12:O$949,'09월 화학성분'!$A$12:$A$949,$A33,'09월 화학성분'!$D$12:$D$949,$B33)))</f>
        <v/>
      </c>
      <c r="Z33" s="829" t="str">
        <f>IF($C33&lt;1,"",(AVERAGEIFS('09월 화학성분'!P$12:P$949,'09월 화학성분'!$A$12:$A$949,$A33,'09월 화학성분'!$D$12:$D$949,$B33)))</f>
        <v/>
      </c>
      <c r="AA33" s="829" t="str">
        <f>IF($C33&lt;1,"",(AVERAGEIFS('09월 화학성분'!Q$12:Q$949,'09월 화학성분'!$A$12:$A$949,$A33,'09월 화학성분'!$D$12:$D$949,$B33)))</f>
        <v/>
      </c>
      <c r="AB33" s="829" t="str">
        <f>IF($C33&lt;1,"",(AVERAGEIFS('09월 화학성분'!R$12:R$949,'09월 화학성분'!$A$12:$A$949,$A33,'09월 화학성분'!$D$12:$D$949,$B33)))</f>
        <v/>
      </c>
      <c r="AC33" s="829" t="str">
        <f>IF($C33&lt;1,"",(AVERAGEIFS('09월 화학성분'!U$12:U$949,'09월 화학성분'!$A$12:$A$949,$A33,'09월 화학성분'!$D$12:$D$949,$B33)))</f>
        <v/>
      </c>
      <c r="AD33" s="829" t="str">
        <f>IF($C33&lt;1,"",(AVERAGEIFS('09월 화학성분'!V$12:V$949,'09월 화학성분'!$A$12:$A$949,$A33,'09월 화학성분'!$D$12:$D$949,$B33)))</f>
        <v/>
      </c>
      <c r="AE33" s="829" t="str">
        <f>IF($C33&lt;1,"",(AVERAGEIFS('09월 화학성분'!W$12:W$949,'09월 화학성분'!$A$12:$A$949,$A33,'09월 화학성분'!$D$12:$D$949,$B33)))</f>
        <v/>
      </c>
      <c r="AF33" s="829" t="str">
        <f>IF($C33&lt;1,"",(AVERAGEIFS('09월 화학성분'!AA$12:AA$949,'09월 화학성분'!$A$12:$A$949,$A33,'09월 화학성분'!$D$12:$D$949,$B33)))</f>
        <v/>
      </c>
      <c r="AG33" s="829" t="str">
        <f>IF($C33&lt;1,"",(AVERAGEIFS('09월 화학성분'!#REF!,'09월 화학성분'!$A$12:$A$949,$A33,'09월 화학성분'!$D$12:$D$949,$B33)))</f>
        <v/>
      </c>
      <c r="AH33" s="829" t="str">
        <f>IF($C33&lt;1,"",(AVERAGEIFS('09월 화학성분'!AB$12:AB$949,'09월 화학성분'!$A$12:$A$949,$A33,'09월 화학성분'!$D$12:$D$949,$B33)))</f>
        <v/>
      </c>
      <c r="AI33" s="829" t="str">
        <f>IF($C33&lt;1,"",(AVERAGEIFS('09월 화학성분'!AC$12:AC$949,'09월 화학성분'!$A$12:$A$949,$A33,'09월 화학성분'!$D$12:$D$949,$B33)))</f>
        <v/>
      </c>
      <c r="AJ33" s="829" t="str">
        <f>IF($C33&lt;1,"",(AVERAGEIFS('09월 화학성분'!AD$12:AD$949,'09월 화학성분'!$A$12:$A$949,$A33,'09월 화학성분'!$D$12:$D$949,$B33)))</f>
        <v/>
      </c>
      <c r="AK33" s="829" t="str">
        <f>IF($C33&lt;1,"",(AVERAGEIFS('09월 화학성분'!AF$12:AF$949,'09월 화학성분'!$A$12:$A$949,$A33,'09월 화학성분'!$D$12:$D$949,$B33)))</f>
        <v/>
      </c>
      <c r="AL33" s="829" t="str">
        <f>IF($C33&lt;1,"",(AVERAGEIFS('09월 화학성분'!AG$12:AG$949,'09월 화학성분'!$A$12:$A$949,$A33,'09월 화학성분'!$D$12:$D$949,$B33)))</f>
        <v/>
      </c>
      <c r="AM33" s="829" t="str">
        <f>IF($C33&lt;1,"",(AVERAGEIFS('09월 화학성분'!AH$12:AH$949,'09월 화학성분'!$A$12:$A$949,$A33,'09월 화학성분'!$D$12:$D$949,$B33)))</f>
        <v/>
      </c>
      <c r="AN33" s="829" t="str">
        <f>IF($C33&lt;1,"",(AVERAGEIFS('09월 화학성분'!AI$12:AI$949,'09월 화학성분'!$A$12:$A$949,$A33,'09월 화학성분'!$D$12:$D$949,$B33)))</f>
        <v/>
      </c>
      <c r="AO33" s="829" t="str">
        <f>IF($C33&lt;1,"",(AVERAGEIFS('09월 화학성분'!AJ$12:AJ$949,'09월 화학성분'!$A$12:$A$949,$A33,'09월 화학성분'!$D$12:$D$949,$B33)))</f>
        <v/>
      </c>
      <c r="AP33" s="829" t="str">
        <f>IF($C33&lt;1,"",(AVERAGEIFS('09월 화학성분'!#REF!,'09월 화학성분'!$A$12:$A$949,$A33,'09월 화학성분'!$D$12:$D$949,$B33)))</f>
        <v/>
      </c>
      <c r="AQ33" s="829" t="str">
        <f>IF($C33&lt;1,"",(AVERAGEIFS('09월 화학성분'!AL$12:AL$949,'09월 화학성분'!$A$12:$A$949,$A33,'09월 화학성분'!$D$12:$D$949,$B33)))</f>
        <v/>
      </c>
      <c r="AR33" s="829" t="str">
        <f>IF($C33&lt;1,"",(AVERAGEIFS('09월 화학성분'!AM$12:AM$949,'09월 화학성분'!$A$12:$A$949,$A33,'09월 화학성분'!$D$12:$D$949,$B33)))</f>
        <v/>
      </c>
      <c r="AS33" s="830" t="str">
        <f>IF($C33&lt;1,"",(AVERAGEIFS('09월 화학성분'!AN$12:AN$949,'09월 화학성분'!$A$12:$A$949,$A33,'09월 화학성분'!$D$12:$D$949,$B33)))</f>
        <v/>
      </c>
      <c r="AT33" s="830" t="str">
        <f>IF($C33&lt;1,"",(AVERAGEIFS('09월 화학성분'!AO$12:AO$949,'09월 화학성분'!$A$12:$A$949,$A33,'09월 화학성분'!$D$12:$D$949,$B33)))</f>
        <v/>
      </c>
      <c r="AU33" s="831" t="str">
        <f>IF($C33&lt;1,"",(AVERAGEIFS('09월 화학성분'!AP$12:AP$949,'09월 화학성분'!$A$12:$A$949,$A33,'09월 화학성분'!$D$12:$D$949,$B33)))</f>
        <v/>
      </c>
      <c r="AV33" s="832" t="str">
        <f>IF($C33&lt;1,"",(AVERAGEIFS('09월 고철장입'!G$14:G$949,'09월 고철장입'!$A$14:$A$949,$A33,'09월 고철장입'!$C$14:$C$949,$B33))/1000)</f>
        <v/>
      </c>
      <c r="AW33" s="832" t="str">
        <f>IF($C33&lt;1,"",(AVERAGEIFS('09월 고철장입'!H$14:H$949,'09월 고철장입'!$A$14:$A$949,$A33,'09월 고철장입'!$C$14:$C$949,$B33))/1000)</f>
        <v/>
      </c>
      <c r="AX33" s="832" t="str">
        <f>IF($C33&lt;1,"",(AVERAGEIFS('09월 고철장입'!I$14:I$949,'09월 고철장입'!$A$14:$A$949,$A33,'09월 고철장입'!$C$14:$C$949,$B33))/1000)</f>
        <v/>
      </c>
      <c r="AY33" s="832" t="str">
        <f>IF($C33&lt;1,"",(AVERAGEIFS('09월 고철장입'!J$14:J$949,'09월 고철장입'!$A$14:$A$949,$A33,'09월 고철장입'!$C$14:$C$949,$B33))/1000)</f>
        <v/>
      </c>
      <c r="AZ33" s="832" t="str">
        <f>IF($C33&lt;1,"",(AVERAGEIFS('09월 고철장입'!K$14:K$949,'09월 고철장입'!$A$14:$A$949,$A33,'09월 고철장입'!$C$14:$C$949,$B33))/1000)</f>
        <v/>
      </c>
      <c r="BA33" s="832" t="str">
        <f>IF($C33&lt;1,"",(AVERAGEIFS('09월 고철장입'!L$14:L$949,'09월 고철장입'!$A$14:$A$949,$A33,'09월 고철장입'!$C$14:$C$949,$B33))/1000)</f>
        <v/>
      </c>
      <c r="BB33" s="832" t="str">
        <f>IF($C33&lt;1,"",(AVERAGEIFS('09월 고철장입'!M$14:M$949,'09월 고철장입'!$A$14:$A$949,$A33,'09월 고철장입'!$C$14:$C$949,$B33))/1000)</f>
        <v/>
      </c>
      <c r="BC33" s="832" t="str">
        <f>IF($C33&lt;1,"",(AVERAGEIFS('09월 고철장입'!N$14:N$949,'09월 고철장입'!$A$14:$A$949,$A33,'09월 고철장입'!$C$14:$C$949,$B33))/1000)</f>
        <v/>
      </c>
      <c r="BD33" s="832" t="str">
        <f>IF($C33&lt;1,"",(AVERAGEIFS('09월 고철장입'!O$14:O$949,'09월 고철장입'!$A$14:$A$949,$A33,'09월 고철장입'!$C$14:$C$949,$B33))/1000)</f>
        <v/>
      </c>
      <c r="BE33" s="833" t="str">
        <f>IF($C33&lt;1,"",(AVERAGEIFS('09월 고철장입'!P$14:P$949,'09월 고철장입'!$A$14:$A$949,$A33,'09월 고철장입'!$C$14:$C$949,$B33))/1000)</f>
        <v/>
      </c>
      <c r="BF33" s="833" t="str">
        <f>IF($C33&lt;1,"",(AVERAGEIFS('09월 고철장입'!Q$14:Q$949,'09월 고철장입'!$A$14:$A$949,$A33,'09월 고철장입'!$C$14:$C$949,$B33))/1000)</f>
        <v/>
      </c>
      <c r="BG33" s="833" t="str">
        <f>IF($C33&lt;1,"",(AVERAGEIFS('09월 고철장입'!S$14:S$949,'09월 고철장입'!$A$14:$A$949,$A33,'09월 고철장입'!$C$14:$C$949,$B33))/1000)</f>
        <v/>
      </c>
      <c r="BH33" s="833" t="str">
        <f>IF($C33&lt;1,"",(AVERAGEIFS('09월 고철장입'!T$14:T$949,'09월 고철장입'!$A$14:$A$949,$A33,'09월 고철장입'!$C$14:$C$949,$B33))/1000)</f>
        <v/>
      </c>
      <c r="BI33" s="833" t="str">
        <f>IF($C33&lt;1,"",(AVERAGEIFS('09월 고철장입'!U$14:U$949,'09월 고철장입'!$A$14:$A$949,$A33,'09월 고철장입'!$C$14:$C$949,$B33))/1000)</f>
        <v/>
      </c>
      <c r="BJ33" s="833" t="str">
        <f>IF($C33&lt;1,"",(AVERAGEIFS('09월 고철장입'!V$14:V$949,'09월 고철장입'!$A$14:$A$949,$A33,'09월 고철장입'!$C$14:$C$949,$B33))/1000)</f>
        <v/>
      </c>
      <c r="BK33" s="833" t="str">
        <f>IF($C33&lt;1,"",(AVERAGEIFS('09월 고철장입'!W$14:W$949,'09월 고철장입'!$A$14:$A$949,$A33,'09월 고철장입'!$C$14:$C$949,$B33))/1000)</f>
        <v/>
      </c>
      <c r="BL33" s="833" t="str">
        <f>IF($C33&lt;1,"",(AVERAGEIFS('09월 고철장입'!Y$14:Y$949,'09월 고철장입'!$A$14:$A$949,$A33,'09월 고철장입'!$C$14:$C$949,$B33))/1000)</f>
        <v/>
      </c>
      <c r="BM33" s="833" t="str">
        <f>IF($C33&lt;1,"",(AVERAGEIFS('09월 고철장입'!AB$14:AB$949,'09월 고철장입'!$A$14:$A$949,$A33,'09월 고철장입'!$C$14:$C$949,$B33))/1000)</f>
        <v/>
      </c>
      <c r="BN33" s="833" t="str">
        <f>IF($C33&lt;1,"",(AVERAGEIFS('09월 고철장입'!AC$14:AC$949,'09월 고철장입'!$A$14:$A$949,$A33,'09월 고철장입'!$C$14:$C$949,$B33))/1000)</f>
        <v/>
      </c>
      <c r="BO33" s="833" t="str">
        <f>IF($C33&lt;1,"",(AVERAGEIFS('09월 고철장입'!AD$14:AD$949,'09월 고철장입'!$A$14:$A$949,$A33,'09월 고철장입'!$C$14:$C$949,$B33))/1000)</f>
        <v/>
      </c>
      <c r="BP33" s="833" t="str">
        <f>IF($C33&lt;1,"",(AVERAGEIFS('09월 고철장입'!AE$14:AE$949,'09월 고철장입'!$A$14:$A$949,$A33,'09월 고철장입'!$C$14:$C$949,$B33))/1000)</f>
        <v/>
      </c>
      <c r="BQ33" s="832" t="str">
        <f>IF($C33&lt;1,"",(AVERAGEIFS('09월 고철장입'!AF$14:AF$949,'09월 고철장입'!$A$14:$A$949,$A33,'09월 고철장입'!$C$14:$C$949,$B33))/1000)</f>
        <v/>
      </c>
      <c r="BR33" s="832" t="str">
        <f>IF($C33&lt;1,"",(AVERAGEIFS('09월 고철장입'!AG$14:AG$949,'09월 고철장입'!$A$14:$A$949,$A33,'09월 고철장입'!$C$14:$C$949,$B33))/1000)</f>
        <v/>
      </c>
      <c r="BS33" s="832" t="str">
        <f>IF($C33&lt;1,"",(AVERAGEIFS('09월 고철장입'!AH$14:AH$949,'09월 고철장입'!$A$14:$A$949,$A33,'09월 고철장입'!$C$14:$C$949,$B33))/1000)</f>
        <v/>
      </c>
      <c r="BT33" s="832" t="str">
        <f>IF($C33&lt;1,"",(AVERAGEIFS('09월 고철장입'!AI$14:AI$949,'09월 고철장입'!$A$14:$A$949,$A33,'09월 고철장입'!$C$14:$C$949,$B33))/1000)</f>
        <v/>
      </c>
      <c r="BU33" s="834" t="str">
        <f>IF($C33&lt;1,"",(AVERAGEIFS('09월 고철장입'!AJ$14:AJ$949,'09월 고철장입'!$A$14:$A$949,$A33,'09월 고철장입'!$C$14:$C$949,$B33))/1000)</f>
        <v/>
      </c>
      <c r="BV33" s="834" t="str">
        <f>IF($C33&lt;1,"",(AVERAGEIFS('09월 고철장입'!AK$14:AK$949,'09월 고철장입'!$A$14:$A$949,$A33,'09월 고철장입'!$C$14:$C$949,$B33)))</f>
        <v/>
      </c>
      <c r="BW33" s="834" t="str">
        <f>IF($C33&lt;1,"",(AVERAGEIFS('09월 고철장입'!AL$14:AL$949,'09월 고철장입'!$A$14:$A$949,$A33,'09월 고철장입'!$C$14:$C$949,$B33))*100)</f>
        <v/>
      </c>
      <c r="BX33" s="831" t="str">
        <f>IF($C33&lt;1,"",(AVERAGEIFS('09월 에너지'!G$14:G$949,'09월 에너지'!$A$14:$A$949,$A33,'09월 에너지'!$C$14:$C$949,$B33)))</f>
        <v/>
      </c>
      <c r="BY33" s="835" t="str">
        <f>IF($C33&lt;1,"",(AVERAGEIFS('09월 에너지'!H$14:H$949,'09월 에너지'!$A$14:$A$949,$A33,'09월 에너지'!$C$14:$C$949,$B33)))</f>
        <v/>
      </c>
      <c r="BZ33" s="831" t="str">
        <f>IF($C33&lt;1,"",(AVERAGEIFS('09월 에너지'!I$14:I$949,'09월 에너지'!$A$14:$A$949,$A33,'09월 에너지'!$C$14:$C$949,$B33)))</f>
        <v/>
      </c>
      <c r="CA33" s="835" t="str">
        <f>IF($C33&lt;1,"",(AVERAGEIFS('09월 에너지'!J$14:J$949,'09월 에너지'!$A$14:$A$949,$A33,'09월 에너지'!$C$14:$C$949,$B33)))</f>
        <v/>
      </c>
      <c r="CB33" s="831" t="str">
        <f>IF($C33&lt;1,"",(AVERAGEIFS('09월 에너지'!K$14:K$949,'09월 에너지'!$A$14:$A$949,$A33,'09월 에너지'!$C$14:$C$949,$B33)))</f>
        <v/>
      </c>
      <c r="CC33" s="835" t="str">
        <f>IF($C33&lt;1,"",(AVERAGEIFS('09월 에너지'!L$14:L$949,'09월 에너지'!$A$14:$A$949,$A33,'09월 에너지'!$C$14:$C$949,$B33)))</f>
        <v/>
      </c>
      <c r="CD33" s="831" t="str">
        <f>IF($C33&lt;1,"",(AVERAGEIFS('09월 에너지'!M$14:M$949,'09월 에너지'!$A$14:$A$949,$A33,'09월 에너지'!$C$14:$C$949,$B33)))</f>
        <v/>
      </c>
      <c r="CE33" s="835" t="str">
        <f>IF($C33&lt;1,"",(AVERAGEIFS('09월 에너지'!N$14:N$949,'09월 에너지'!$A$14:$A$949,$A33,'09월 에너지'!$C$14:$C$949,$B33)))</f>
        <v/>
      </c>
      <c r="CF33" s="831" t="str">
        <f>IF($C33&lt;1,"",(AVERAGEIFS('09월 에너지'!O$14:O$949,'09월 에너지'!$A$14:$A$949,$A33,'09월 에너지'!$C$14:$C$949,$B33)))</f>
        <v/>
      </c>
      <c r="CG33" s="831" t="str">
        <f>IF($C33&lt;1,"",(AVERAGEIFS('09월 에너지'!P$14:P$949,'09월 에너지'!$A$14:$A$949,$A33,'09월 에너지'!$C$14:$C$949,$B33)))</f>
        <v/>
      </c>
      <c r="CH33" s="831" t="str">
        <f>IF($C33&lt;1,"",(AVERAGEIFS('09월 에너지'!Q$14:Q$949,'09월 에너지'!$A$14:$A$949,$A33,'09월 에너지'!$C$14:$C$949,$B33)))</f>
        <v/>
      </c>
      <c r="CI33" s="831" t="str">
        <f>IF($C33&lt;1,"",(AVERAGEIFS('09월 에너지'!R$14:R$949,'09월 에너지'!$A$14:$A$949,$A33,'09월 에너지'!$C$14:$C$949,$B33)))</f>
        <v/>
      </c>
      <c r="CJ33" s="831" t="str">
        <f>IF($C33&lt;1,"",(AVERAGEIFS('09월 에너지'!S$14:S$949,'09월 에너지'!$A$14:$A$949,$A33,'09월 에너지'!$C$14:$C$949,$B33)))</f>
        <v/>
      </c>
      <c r="CK33" s="831" t="str">
        <f>IF($C33&lt;1,"",(AVERAGEIFS('09월 에너지'!T$14:T$949,'09월 에너지'!$A$14:$A$949,$A33,'09월 에너지'!$C$14:$C$949,$B33)))</f>
        <v/>
      </c>
      <c r="CL33" s="831" t="str">
        <f>IF($C33&lt;1,"",(AVERAGEIFS('09월 에너지'!U$14:U$949,'09월 에너지'!$A$14:$A$949,$A33,'09월 에너지'!$C$14:$C$949,$B33)))</f>
        <v/>
      </c>
      <c r="CM33" s="835" t="str">
        <f>IF($C33&lt;1,"",(AVERAGEIFS('09월 에너지'!V$14:V$949,'09월 에너지'!$A$14:$A$949,$A33,'09월 에너지'!$C$14:$C$949,$B33)))</f>
        <v/>
      </c>
      <c r="CN33" s="835" t="str">
        <f>IF($C33&lt;1,"",(AVERAGEIFS('09월 에너지'!W$14:W$949,'09월 에너지'!$A$14:$A$949,$A33,'09월 에너지'!$C$14:$C$949,$B33)))</f>
        <v/>
      </c>
      <c r="CO33" s="831" t="str">
        <f>IF($C33&lt;1,"",(AVERAGEIFS('09월 에너지'!X$14:X$949,'09월 에너지'!$A$14:$A$949,$A33,'09월 에너지'!$C$14:$C$949,$B33)))</f>
        <v/>
      </c>
      <c r="CP33" s="835" t="str">
        <f>IF($C33&lt;1,"",(AVERAGEIFS('09월 에너지'!Y$14:Y$949,'09월 에너지'!$A$14:$A$949,$A33,'09월 에너지'!$C$14:$C$949,$B33)))</f>
        <v/>
      </c>
      <c r="CQ33" s="835" t="str">
        <f>IF($C33&lt;1,"",(AVERAGEIFS('09월 에너지'!Z$14:Z$949,'09월 에너지'!$A$14:$A$949,$A33,'09월 에너지'!$C$14:$C$949,$B33)))</f>
        <v/>
      </c>
      <c r="CR33" s="835" t="str">
        <f>IF($C33&lt;1,"",(AVERAGEIFS('09월 에너지'!AA$14:AA$949,'09월 에너지'!$A$14:$A$949,$A33,'09월 에너지'!$C$14:$C$949,$B33)))</f>
        <v/>
      </c>
      <c r="CS33" s="835" t="str">
        <f>IF($C33&lt;1,"",(AVERAGEIFS('09월 에너지'!AB$14:AB$949,'09월 에너지'!$A$14:$A$949,$A33,'09월 에너지'!$C$14:$C$949,$B33)))</f>
        <v/>
      </c>
      <c r="CT33" s="831" t="str">
        <f>IF($C33&lt;1,"",(AVERAGEIFS('09월 에너지'!AC$14:AC$949,'09월 에너지'!$A$14:$A$949,$A33,'09월 에너지'!$C$14:$C$949,$B33)))</f>
        <v/>
      </c>
      <c r="CU33" s="836" t="str">
        <f>IF($C33&lt;1,"",(AVERAGEIFS('09월 에너지'!AD$14:AD$949,'09월 에너지'!$A$14:$A$949,$A33,'09월 에너지'!$C$14:$C$949,$B33)))</f>
        <v/>
      </c>
      <c r="CV33" s="837" t="str">
        <f>IF($C33&lt;1,"",(AVERAGEIFS('09월 에너지'!AE$14:AE$949,'09월 에너지'!$A$14:$A$949,$A33,'09월 에너지'!$C$14:$C$949,$B33)))</f>
        <v/>
      </c>
      <c r="CW33" s="831" t="str">
        <f>IF($C33&lt;1,"",(AVERAGEIFS('09월 에너지'!AF$14:AF$949,'09월 에너지'!$A$14:$A$949,$A33,'09월 에너지'!$C$14:$C$949,$B33)))</f>
        <v/>
      </c>
      <c r="CX33" s="831" t="str">
        <f>IF($C33&lt;1,"",(AVERAGEIFS('09월 에너지'!AG$14:AG$949,'09월 에너지'!$A$14:$A$949,$A33,'09월 에너지'!$C$14:$C$949,$B33)))</f>
        <v/>
      </c>
      <c r="CY33" s="831" t="str">
        <f>IF($C33&lt;1,"",(AVERAGEIFS('09월 에너지'!AH$14:AH$949,'09월 에너지'!$A$14:$A$949,$A33,'09월 에너지'!$C$14:$C$949,$B33)))</f>
        <v/>
      </c>
      <c r="CZ33" s="831" t="str">
        <f>IF($C33&lt;1,"",(AVERAGEIFS('09월 에너지'!AI$14:AI$949,'09월 에너지'!$A$14:$A$949,$A33,'09월 에너지'!$C$14:$C$949,$B33)))</f>
        <v/>
      </c>
      <c r="DA33" s="838" t="str">
        <f>IF($C33&lt;1,"",(AVERAGEIFS('09월 에너지'!AJ$14:AJ$949,'09월 에너지'!$A$14:$A$949,$A33,'09월 에너지'!$C$14:$C$949,$B33)))</f>
        <v/>
      </c>
    </row>
    <row r="34" spans="1:105" ht="13.5" customHeight="1">
      <c r="A34" s="849">
        <f t="shared" si="2"/>
        <v>44932</v>
      </c>
      <c r="B34" s="850" t="s">
        <v>10</v>
      </c>
      <c r="C34" s="823">
        <f>COUNTIFS('09월 조업일지'!$A$12:$A$952,A31,'09월 조업일지'!$E$12:$E$952,B34)</f>
        <v>0</v>
      </c>
      <c r="D34" s="824" t="str">
        <f t="shared" si="7"/>
        <v/>
      </c>
      <c r="E34" s="824" t="str">
        <f>IF($C34&lt;1,"",(SUMIFS('09월 조업일지'!$K$12:$K$952,'09월 조업일지'!$A$12:$A$952,$A34,'09월 조업일지'!$E$12:$E$952,$B34)/$C34))</f>
        <v/>
      </c>
      <c r="F34" s="824" t="str">
        <f>IF($C34&lt;1,"",(AVERAGEIFS('09월 조업일지'!$J$12:$J$952,'09월 조업일지'!$A$12:$A$952,$A34,'09월 조업일지'!$E$12:$E$952,$B34)))</f>
        <v/>
      </c>
      <c r="G34" s="825" t="str">
        <f>IF($C34&lt;1,"",(AVERAGEIFS('09월 에너지'!$M$14:$M$949,'09월 에너지'!$A$14:$A$949,$A34,'09월 에너지'!$C$14:$C$949,$B34)))</f>
        <v/>
      </c>
      <c r="H34" s="826" t="str">
        <f>IF($C34&lt;1,"",(AVERAGEIFS('09월 조업일지'!$AJ$12:$AJ$952,'09월 조업일지'!$A$12:$A$952,$A34,'09월 조업일지'!$E$12:$E$952,$B34)))</f>
        <v/>
      </c>
      <c r="I34" s="826" t="str">
        <f>IF($C34&lt;1,"",(AVERAGEIFS('09월 조업일지'!$AL$12:$AL$952,'09월 조업일지'!$A$12:$A$952,$A34,'09월 조업일지'!$E$12:$E$952,$B34)))</f>
        <v/>
      </c>
      <c r="J34" s="827" t="str">
        <f>IF($C34&lt;1,"",(AVERAGEIFS('09월 화학성분'!G$12:G$949,'09월 화학성분'!$A$12:$A$949,$A34,'09월 화학성분'!$D$12:$D$949,$B34)))</f>
        <v/>
      </c>
      <c r="K34" s="827" t="str">
        <f>IF($C34&lt;1,"",(AVERAGEIFS('09월 화학성분'!H$12:H$949,'09월 화학성분'!$A$12:$A$949,$A34,'09월 화학성분'!$D$12:$D$949,$B34)))</f>
        <v/>
      </c>
      <c r="L34" s="827" t="str">
        <f>IF($C34&lt;1,"",(AVERAGEIFS('09월 화학성분'!I$12:I$949,'09월 화학성분'!$A$12:$A$949,$A34,'09월 화학성분'!$D$12:$D$949,$B34)))</f>
        <v/>
      </c>
      <c r="M34" s="827" t="str">
        <f>IF($C34&lt;1,"",(AVERAGEIFS('09월 화학성분'!J$12:J$949,'09월 화학성분'!$A$12:$A$949,$A34,'09월 화학성분'!$D$12:$D$949,$B34)))</f>
        <v/>
      </c>
      <c r="N34" s="827" t="str">
        <f>IF($C34&lt;1,"",(AVERAGEIFS('09월 화학성분'!K$12:K$949,'09월 화학성분'!$A$12:$A$949,$A34,'09월 화학성분'!$D$12:$D$949,$B34)))</f>
        <v/>
      </c>
      <c r="O34" s="827" t="str">
        <f>IF($C34&lt;1,"",(AVERAGEIFS('09월 화학성분'!L$12:L$949,'09월 화학성분'!$A$12:$A$949,$A34,'09월 화학성분'!$D$12:$D$949,$B34)))</f>
        <v/>
      </c>
      <c r="P34" s="827" t="str">
        <f>IF($C34&lt;1,"",(AVERAGEIFS('09월 화학성분'!M$12:M$949,'09월 화학성분'!$A$12:$A$949,$A34,'09월 화학성분'!$D$12:$D$949,$B34)))</f>
        <v/>
      </c>
      <c r="Q34" s="827" t="str">
        <f>IFERROR(IF($C34&lt;1,"",(AVERAGEIFS('09월 조업일지'!$AA$12:$AA$952,'09월 조업일지'!$A$12:$A$952,$A34,'09월 조업일지'!$E$12:$E$952,$B34))),"")</f>
        <v/>
      </c>
      <c r="R34" s="827" t="str">
        <f>IF($C34&lt;1,"",(AVERAGEIFS('09월 조업일지'!$AK$12:$AK$952,'09월 조업일지'!$A$12:$A$952,$A34,'09월 조업일지'!$E$12:$E$952,$B34)))</f>
        <v/>
      </c>
      <c r="S34" s="827"/>
      <c r="T34" s="827"/>
      <c r="U34" s="827" t="str">
        <f>IF($C34&lt;1,"",(AVERAGEIFS('09월 화학성분'!$G$12:$G$949,'09월 화학성분'!$A$12:$A$949,$A34,'09월 화학성분'!$D$12:$D$949,$B34)))</f>
        <v/>
      </c>
      <c r="V34" s="827" t="str">
        <f>IF($C34&lt;1,"",(AVERAGEIFS('09월 조업일지'!$AI$12:$AI$952,'09월 조업일지'!$A$12:$A$952,$A34,'09월 조업일지'!$E$12:$E$952,$B34)))</f>
        <v/>
      </c>
      <c r="W34" s="828" t="str">
        <f>IF($C34&lt;1,"",(AVERAGEIFS('09월 화학성분'!$AM$12:$AM$949,'09월 화학성분'!$A$12:$A$949,$A34,'09월 화학성분'!$D$12:$D$949,$B34)))</f>
        <v/>
      </c>
      <c r="X34" s="829" t="str">
        <f>IF($C34&lt;1,"",(AVERAGEIFS('09월 화학성분'!N$12:N$949,'09월 화학성분'!$A$12:$A$949,$A34,'09월 화학성분'!$D$12:$D$949,$B34)))</f>
        <v/>
      </c>
      <c r="Y34" s="829" t="str">
        <f>IF($C34&lt;1,"",(AVERAGEIFS('09월 화학성분'!O$12:O$949,'09월 화학성분'!$A$12:$A$949,$A34,'09월 화학성분'!$D$12:$D$949,$B34)))</f>
        <v/>
      </c>
      <c r="Z34" s="829" t="str">
        <f>IF($C34&lt;1,"",(AVERAGEIFS('09월 화학성분'!P$12:P$949,'09월 화학성분'!$A$12:$A$949,$A34,'09월 화학성분'!$D$12:$D$949,$B34)))</f>
        <v/>
      </c>
      <c r="AA34" s="829" t="str">
        <f>IF($C34&lt;1,"",(AVERAGEIFS('09월 화학성분'!Q$12:Q$949,'09월 화학성분'!$A$12:$A$949,$A34,'09월 화학성분'!$D$12:$D$949,$B34)))</f>
        <v/>
      </c>
      <c r="AB34" s="829" t="str">
        <f>IF($C34&lt;1,"",(AVERAGEIFS('09월 화학성분'!R$12:R$949,'09월 화학성분'!$A$12:$A$949,$A34,'09월 화학성분'!$D$12:$D$949,$B34)))</f>
        <v/>
      </c>
      <c r="AC34" s="829" t="str">
        <f>IF($C34&lt;1,"",(AVERAGEIFS('09월 화학성분'!U$12:U$949,'09월 화학성분'!$A$12:$A$949,$A34,'09월 화학성분'!$D$12:$D$949,$B34)))</f>
        <v/>
      </c>
      <c r="AD34" s="829" t="str">
        <f>IF($C34&lt;1,"",(AVERAGEIFS('09월 화학성분'!V$12:V$949,'09월 화학성분'!$A$12:$A$949,$A34,'09월 화학성분'!$D$12:$D$949,$B34)))</f>
        <v/>
      </c>
      <c r="AE34" s="829" t="str">
        <f>IF($C34&lt;1,"",(AVERAGEIFS('09월 화학성분'!W$12:W$949,'09월 화학성분'!$A$12:$A$949,$A34,'09월 화학성분'!$D$12:$D$949,$B34)))</f>
        <v/>
      </c>
      <c r="AF34" s="829" t="str">
        <f>IF($C34&lt;1,"",(AVERAGEIFS('09월 화학성분'!AA$12:AA$949,'09월 화학성분'!$A$12:$A$949,$A34,'09월 화학성분'!$D$12:$D$949,$B34)))</f>
        <v/>
      </c>
      <c r="AG34" s="829" t="str">
        <f>IF($C34&lt;1,"",(AVERAGEIFS('09월 화학성분'!#REF!,'09월 화학성분'!$A$12:$A$949,$A34,'09월 화학성분'!$D$12:$D$949,$B34)))</f>
        <v/>
      </c>
      <c r="AH34" s="829" t="str">
        <f>IF($C34&lt;1,"",(AVERAGEIFS('09월 화학성분'!AB$12:AB$949,'09월 화학성분'!$A$12:$A$949,$A34,'09월 화학성분'!$D$12:$D$949,$B34)))</f>
        <v/>
      </c>
      <c r="AI34" s="829" t="str">
        <f>IF($C34&lt;1,"",(AVERAGEIFS('09월 화학성분'!AC$12:AC$949,'09월 화학성분'!$A$12:$A$949,$A34,'09월 화학성분'!$D$12:$D$949,$B34)))</f>
        <v/>
      </c>
      <c r="AJ34" s="829" t="str">
        <f>IF($C34&lt;1,"",(AVERAGEIFS('09월 화학성분'!AD$12:AD$949,'09월 화학성분'!$A$12:$A$949,$A34,'09월 화학성분'!$D$12:$D$949,$B34)))</f>
        <v/>
      </c>
      <c r="AK34" s="829" t="str">
        <f>IF($C34&lt;1,"",(AVERAGEIFS('09월 화학성분'!AF$12:AF$949,'09월 화학성분'!$A$12:$A$949,$A34,'09월 화학성분'!$D$12:$D$949,$B34)))</f>
        <v/>
      </c>
      <c r="AL34" s="829" t="str">
        <f>IF($C34&lt;1,"",(AVERAGEIFS('09월 화학성분'!AG$12:AG$949,'09월 화학성분'!$A$12:$A$949,$A34,'09월 화학성분'!$D$12:$D$949,$B34)))</f>
        <v/>
      </c>
      <c r="AM34" s="829" t="str">
        <f>IF($C34&lt;1,"",(AVERAGEIFS('09월 화학성분'!AH$12:AH$949,'09월 화학성분'!$A$12:$A$949,$A34,'09월 화학성분'!$D$12:$D$949,$B34)))</f>
        <v/>
      </c>
      <c r="AN34" s="829" t="str">
        <f>IF($C34&lt;1,"",(AVERAGEIFS('09월 화학성분'!AI$12:AI$949,'09월 화학성분'!$A$12:$A$949,$A34,'09월 화학성분'!$D$12:$D$949,$B34)))</f>
        <v/>
      </c>
      <c r="AO34" s="829" t="str">
        <f>IF($C34&lt;1,"",(AVERAGEIFS('09월 화학성분'!AJ$12:AJ$949,'09월 화학성분'!$A$12:$A$949,$A34,'09월 화학성분'!$D$12:$D$949,$B34)))</f>
        <v/>
      </c>
      <c r="AP34" s="829" t="str">
        <f>IF($C34&lt;1,"",(AVERAGEIFS('09월 화학성분'!#REF!,'09월 화학성분'!$A$12:$A$949,$A34,'09월 화학성분'!$D$12:$D$949,$B34)))</f>
        <v/>
      </c>
      <c r="AQ34" s="829" t="str">
        <f>IF($C34&lt;1,"",(AVERAGEIFS('09월 화학성분'!AL$12:AL$949,'09월 화학성분'!$A$12:$A$949,$A34,'09월 화학성분'!$D$12:$D$949,$B34)))</f>
        <v/>
      </c>
      <c r="AR34" s="829" t="str">
        <f>IF($C34&lt;1,"",(AVERAGEIFS('09월 화학성분'!AM$12:AM$949,'09월 화학성분'!$A$12:$A$949,$A34,'09월 화학성분'!$D$12:$D$949,$B34)))</f>
        <v/>
      </c>
      <c r="AS34" s="830" t="str">
        <f>IF($C34&lt;1,"",(AVERAGEIFS('09월 화학성분'!AN$12:AN$949,'09월 화학성분'!$A$12:$A$949,$A34,'09월 화학성분'!$D$12:$D$949,$B34)))</f>
        <v/>
      </c>
      <c r="AT34" s="830" t="str">
        <f>IF($C34&lt;1,"",(AVERAGEIFS('09월 화학성분'!AO$12:AO$949,'09월 화학성분'!$A$12:$A$949,$A34,'09월 화학성분'!$D$12:$D$949,$B34)))</f>
        <v/>
      </c>
      <c r="AU34" s="831" t="str">
        <f>IF($C34&lt;1,"",(AVERAGEIFS('09월 화학성분'!AP$12:AP$949,'09월 화학성분'!$A$12:$A$949,$A34,'09월 화학성분'!$D$12:$D$949,$B34)))</f>
        <v/>
      </c>
      <c r="AV34" s="832" t="str">
        <f>IF($C34&lt;1,"",(AVERAGEIFS('09월 고철장입'!G$14:G$949,'09월 고철장입'!$A$14:$A$949,$A34,'09월 고철장입'!$C$14:$C$949,$B34))/1000)</f>
        <v/>
      </c>
      <c r="AW34" s="832" t="str">
        <f>IF($C34&lt;1,"",(AVERAGEIFS('09월 고철장입'!H$14:H$949,'09월 고철장입'!$A$14:$A$949,$A34,'09월 고철장입'!$C$14:$C$949,$B34))/1000)</f>
        <v/>
      </c>
      <c r="AX34" s="832" t="str">
        <f>IF($C34&lt;1,"",(AVERAGEIFS('09월 고철장입'!I$14:I$949,'09월 고철장입'!$A$14:$A$949,$A34,'09월 고철장입'!$C$14:$C$949,$B34))/1000)</f>
        <v/>
      </c>
      <c r="AY34" s="832" t="str">
        <f>IF($C34&lt;1,"",(AVERAGEIFS('09월 고철장입'!J$14:J$949,'09월 고철장입'!$A$14:$A$949,$A34,'09월 고철장입'!$C$14:$C$949,$B34))/1000)</f>
        <v/>
      </c>
      <c r="AZ34" s="832" t="str">
        <f>IF($C34&lt;1,"",(AVERAGEIFS('09월 고철장입'!K$14:K$949,'09월 고철장입'!$A$14:$A$949,$A34,'09월 고철장입'!$C$14:$C$949,$B34))/1000)</f>
        <v/>
      </c>
      <c r="BA34" s="832" t="str">
        <f>IF($C34&lt;1,"",(AVERAGEIFS('09월 고철장입'!L$14:L$949,'09월 고철장입'!$A$14:$A$949,$A34,'09월 고철장입'!$C$14:$C$949,$B34))/1000)</f>
        <v/>
      </c>
      <c r="BB34" s="832" t="str">
        <f>IF($C34&lt;1,"",(AVERAGEIFS('09월 고철장입'!M$14:M$949,'09월 고철장입'!$A$14:$A$949,$A34,'09월 고철장입'!$C$14:$C$949,$B34))/1000)</f>
        <v/>
      </c>
      <c r="BC34" s="832" t="str">
        <f>IF($C34&lt;1,"",(AVERAGEIFS('09월 고철장입'!N$14:N$949,'09월 고철장입'!$A$14:$A$949,$A34,'09월 고철장입'!$C$14:$C$949,$B34))/1000)</f>
        <v/>
      </c>
      <c r="BD34" s="832" t="str">
        <f>IF($C34&lt;1,"",(AVERAGEIFS('09월 고철장입'!O$14:O$949,'09월 고철장입'!$A$14:$A$949,$A34,'09월 고철장입'!$C$14:$C$949,$B34))/1000)</f>
        <v/>
      </c>
      <c r="BE34" s="833" t="str">
        <f>IF($C34&lt;1,"",(AVERAGEIFS('09월 고철장입'!P$14:P$949,'09월 고철장입'!$A$14:$A$949,$A34,'09월 고철장입'!$C$14:$C$949,$B34))/1000)</f>
        <v/>
      </c>
      <c r="BF34" s="833" t="str">
        <f>IF($C34&lt;1,"",(AVERAGEIFS('09월 고철장입'!Q$14:Q$949,'09월 고철장입'!$A$14:$A$949,$A34,'09월 고철장입'!$C$14:$C$949,$B34))/1000)</f>
        <v/>
      </c>
      <c r="BG34" s="833" t="str">
        <f>IF($C34&lt;1,"",(AVERAGEIFS('09월 고철장입'!S$14:S$949,'09월 고철장입'!$A$14:$A$949,$A34,'09월 고철장입'!$C$14:$C$949,$B34))/1000)</f>
        <v/>
      </c>
      <c r="BH34" s="833" t="str">
        <f>IF($C34&lt;1,"",(AVERAGEIFS('09월 고철장입'!T$14:T$949,'09월 고철장입'!$A$14:$A$949,$A34,'09월 고철장입'!$C$14:$C$949,$B34))/1000)</f>
        <v/>
      </c>
      <c r="BI34" s="833" t="str">
        <f>IF($C34&lt;1,"",(AVERAGEIFS('09월 고철장입'!U$14:U$949,'09월 고철장입'!$A$14:$A$949,$A34,'09월 고철장입'!$C$14:$C$949,$B34))/1000)</f>
        <v/>
      </c>
      <c r="BJ34" s="833" t="str">
        <f>IF($C34&lt;1,"",(AVERAGEIFS('09월 고철장입'!V$14:V$949,'09월 고철장입'!$A$14:$A$949,$A34,'09월 고철장입'!$C$14:$C$949,$B34))/1000)</f>
        <v/>
      </c>
      <c r="BK34" s="833" t="str">
        <f>IF($C34&lt;1,"",(AVERAGEIFS('09월 고철장입'!W$14:W$949,'09월 고철장입'!$A$14:$A$949,$A34,'09월 고철장입'!$C$14:$C$949,$B34))/1000)</f>
        <v/>
      </c>
      <c r="BL34" s="833" t="str">
        <f>IF($C34&lt;1,"",(AVERAGEIFS('09월 고철장입'!Y$14:Y$949,'09월 고철장입'!$A$14:$A$949,$A34,'09월 고철장입'!$C$14:$C$949,$B34))/1000)</f>
        <v/>
      </c>
      <c r="BM34" s="833" t="str">
        <f>IF($C34&lt;1,"",(AVERAGEIFS('09월 고철장입'!AB$14:AB$949,'09월 고철장입'!$A$14:$A$949,$A34,'09월 고철장입'!$C$14:$C$949,$B34))/1000)</f>
        <v/>
      </c>
      <c r="BN34" s="833" t="str">
        <f>IF($C34&lt;1,"",(AVERAGEIFS('09월 고철장입'!AC$14:AC$949,'09월 고철장입'!$A$14:$A$949,$A34,'09월 고철장입'!$C$14:$C$949,$B34))/1000)</f>
        <v/>
      </c>
      <c r="BO34" s="833" t="str">
        <f>IF($C34&lt;1,"",(AVERAGEIFS('09월 고철장입'!AD$14:AD$949,'09월 고철장입'!$A$14:$A$949,$A34,'09월 고철장입'!$C$14:$C$949,$B34))/1000)</f>
        <v/>
      </c>
      <c r="BP34" s="833" t="str">
        <f>IF($C34&lt;1,"",(AVERAGEIFS('09월 고철장입'!AE$14:AE$949,'09월 고철장입'!$A$14:$A$949,$A34,'09월 고철장입'!$C$14:$C$949,$B34))/1000)</f>
        <v/>
      </c>
      <c r="BQ34" s="832" t="str">
        <f>IF($C34&lt;1,"",(AVERAGEIFS('09월 고철장입'!AF$14:AF$949,'09월 고철장입'!$A$14:$A$949,$A34,'09월 고철장입'!$C$14:$C$949,$B34))/1000)</f>
        <v/>
      </c>
      <c r="BR34" s="832" t="str">
        <f>IF($C34&lt;1,"",(AVERAGEIFS('09월 고철장입'!AG$14:AG$949,'09월 고철장입'!$A$14:$A$949,$A34,'09월 고철장입'!$C$14:$C$949,$B34))/1000)</f>
        <v/>
      </c>
      <c r="BS34" s="832" t="str">
        <f>IF($C34&lt;1,"",(AVERAGEIFS('09월 고철장입'!AH$14:AH$949,'09월 고철장입'!$A$14:$A$949,$A34,'09월 고철장입'!$C$14:$C$949,$B34))/1000)</f>
        <v/>
      </c>
      <c r="BT34" s="832" t="str">
        <f>IF($C34&lt;1,"",(AVERAGEIFS('09월 고철장입'!AI$14:AI$949,'09월 고철장입'!$A$14:$A$949,$A34,'09월 고철장입'!$C$14:$C$949,$B34))/1000)</f>
        <v/>
      </c>
      <c r="BU34" s="834" t="str">
        <f>IF($C34&lt;1,"",(AVERAGEIFS('09월 고철장입'!AJ$14:AJ$949,'09월 고철장입'!$A$14:$A$949,$A34,'09월 고철장입'!$C$14:$C$949,$B34))/1000)</f>
        <v/>
      </c>
      <c r="BV34" s="834" t="str">
        <f>IF($C34&lt;1,"",(AVERAGEIFS('09월 고철장입'!AK$14:AK$949,'09월 고철장입'!$A$14:$A$949,$A34,'09월 고철장입'!$C$14:$C$949,$B34)))</f>
        <v/>
      </c>
      <c r="BW34" s="834" t="str">
        <f>IF($C34&lt;1,"",(AVERAGEIFS('09월 고철장입'!AL$14:AL$949,'09월 고철장입'!$A$14:$A$949,$A34,'09월 고철장입'!$C$14:$C$949,$B34))*100)</f>
        <v/>
      </c>
      <c r="BX34" s="831" t="str">
        <f>IF($C34&lt;1,"",(AVERAGEIFS('09월 에너지'!G$14:G$949,'09월 에너지'!$A$14:$A$949,$A34,'09월 에너지'!$C$14:$C$949,$B34)))</f>
        <v/>
      </c>
      <c r="BY34" s="835" t="str">
        <f>IF($C34&lt;1,"",(AVERAGEIFS('09월 에너지'!H$14:H$949,'09월 에너지'!$A$14:$A$949,$A34,'09월 에너지'!$C$14:$C$949,$B34)))</f>
        <v/>
      </c>
      <c r="BZ34" s="831" t="str">
        <f>IF($C34&lt;1,"",(AVERAGEIFS('09월 에너지'!I$14:I$949,'09월 에너지'!$A$14:$A$949,$A34,'09월 에너지'!$C$14:$C$949,$B34)))</f>
        <v/>
      </c>
      <c r="CA34" s="835" t="str">
        <f>IF($C34&lt;1,"",(AVERAGEIFS('09월 에너지'!J$14:J$949,'09월 에너지'!$A$14:$A$949,$A34,'09월 에너지'!$C$14:$C$949,$B34)))</f>
        <v/>
      </c>
      <c r="CB34" s="831" t="str">
        <f>IF($C34&lt;1,"",(AVERAGEIFS('09월 에너지'!K$14:K$949,'09월 에너지'!$A$14:$A$949,$A34,'09월 에너지'!$C$14:$C$949,$B34)))</f>
        <v/>
      </c>
      <c r="CC34" s="835" t="str">
        <f>IF($C34&lt;1,"",(AVERAGEIFS('09월 에너지'!L$14:L$949,'09월 에너지'!$A$14:$A$949,$A34,'09월 에너지'!$C$14:$C$949,$B34)))</f>
        <v/>
      </c>
      <c r="CD34" s="831" t="str">
        <f>IF($C34&lt;1,"",(AVERAGEIFS('09월 에너지'!M$14:M$949,'09월 에너지'!$A$14:$A$949,$A34,'09월 에너지'!$C$14:$C$949,$B34)))</f>
        <v/>
      </c>
      <c r="CE34" s="835" t="str">
        <f>IF($C34&lt;1,"",(AVERAGEIFS('09월 에너지'!N$14:N$949,'09월 에너지'!$A$14:$A$949,$A34,'09월 에너지'!$C$14:$C$949,$B34)))</f>
        <v/>
      </c>
      <c r="CF34" s="831" t="str">
        <f>IF($C34&lt;1,"",(AVERAGEIFS('09월 에너지'!O$14:O$949,'09월 에너지'!$A$14:$A$949,$A34,'09월 에너지'!$C$14:$C$949,$B34)))</f>
        <v/>
      </c>
      <c r="CG34" s="831" t="str">
        <f>IF($C34&lt;1,"",(AVERAGEIFS('09월 에너지'!P$14:P$949,'09월 에너지'!$A$14:$A$949,$A34,'09월 에너지'!$C$14:$C$949,$B34)))</f>
        <v/>
      </c>
      <c r="CH34" s="831" t="str">
        <f>IF($C34&lt;1,"",(AVERAGEIFS('09월 에너지'!Q$14:Q$949,'09월 에너지'!$A$14:$A$949,$A34,'09월 에너지'!$C$14:$C$949,$B34)))</f>
        <v/>
      </c>
      <c r="CI34" s="831" t="str">
        <f>IF($C34&lt;1,"",(AVERAGEIFS('09월 에너지'!R$14:R$949,'09월 에너지'!$A$14:$A$949,$A34,'09월 에너지'!$C$14:$C$949,$B34)))</f>
        <v/>
      </c>
      <c r="CJ34" s="831" t="str">
        <f>IF($C34&lt;1,"",(AVERAGEIFS('09월 에너지'!S$14:S$949,'09월 에너지'!$A$14:$A$949,$A34,'09월 에너지'!$C$14:$C$949,$B34)))</f>
        <v/>
      </c>
      <c r="CK34" s="831" t="str">
        <f>IF($C34&lt;1,"",(AVERAGEIFS('09월 에너지'!T$14:T$949,'09월 에너지'!$A$14:$A$949,$A34,'09월 에너지'!$C$14:$C$949,$B34)))</f>
        <v/>
      </c>
      <c r="CL34" s="831" t="str">
        <f>IF($C34&lt;1,"",(AVERAGEIFS('09월 에너지'!U$14:U$949,'09월 에너지'!$A$14:$A$949,$A34,'09월 에너지'!$C$14:$C$949,$B34)))</f>
        <v/>
      </c>
      <c r="CM34" s="835" t="str">
        <f>IF($C34&lt;1,"",(AVERAGEIFS('09월 에너지'!V$14:V$949,'09월 에너지'!$A$14:$A$949,$A34,'09월 에너지'!$C$14:$C$949,$B34)))</f>
        <v/>
      </c>
      <c r="CN34" s="835" t="str">
        <f>IF($C34&lt;1,"",(AVERAGEIFS('09월 에너지'!W$14:W$949,'09월 에너지'!$A$14:$A$949,$A34,'09월 에너지'!$C$14:$C$949,$B34)))</f>
        <v/>
      </c>
      <c r="CO34" s="831" t="str">
        <f>IF($C34&lt;1,"",(AVERAGEIFS('09월 에너지'!X$14:X$949,'09월 에너지'!$A$14:$A$949,$A34,'09월 에너지'!$C$14:$C$949,$B34)))</f>
        <v/>
      </c>
      <c r="CP34" s="835" t="str">
        <f>IF($C34&lt;1,"",(AVERAGEIFS('09월 에너지'!Y$14:Y$949,'09월 에너지'!$A$14:$A$949,$A34,'09월 에너지'!$C$14:$C$949,$B34)))</f>
        <v/>
      </c>
      <c r="CQ34" s="835" t="str">
        <f>IF($C34&lt;1,"",(AVERAGEIFS('09월 에너지'!Z$14:Z$949,'09월 에너지'!$A$14:$A$949,$A34,'09월 에너지'!$C$14:$C$949,$B34)))</f>
        <v/>
      </c>
      <c r="CR34" s="835" t="str">
        <f>IF($C34&lt;1,"",(AVERAGEIFS('09월 에너지'!AA$14:AA$949,'09월 에너지'!$A$14:$A$949,$A34,'09월 에너지'!$C$14:$C$949,$B34)))</f>
        <v/>
      </c>
      <c r="CS34" s="835" t="str">
        <f>IF($C34&lt;1,"",(AVERAGEIFS('09월 에너지'!AB$14:AB$949,'09월 에너지'!$A$14:$A$949,$A34,'09월 에너지'!$C$14:$C$949,$B34)))</f>
        <v/>
      </c>
      <c r="CT34" s="831" t="str">
        <f>IF($C34&lt;1,"",(AVERAGEIFS('09월 에너지'!AC$14:AC$949,'09월 에너지'!$A$14:$A$949,$A34,'09월 에너지'!$C$14:$C$949,$B34)))</f>
        <v/>
      </c>
      <c r="CU34" s="836" t="str">
        <f>IF($C34&lt;1,"",(AVERAGEIFS('09월 에너지'!AD$14:AD$949,'09월 에너지'!$A$14:$A$949,$A34,'09월 에너지'!$C$14:$C$949,$B34)))</f>
        <v/>
      </c>
      <c r="CV34" s="837" t="str">
        <f>IF($C34&lt;1,"",(AVERAGEIFS('09월 에너지'!AE$14:AE$949,'09월 에너지'!$A$14:$A$949,$A34,'09월 에너지'!$C$14:$C$949,$B34)))</f>
        <v/>
      </c>
      <c r="CW34" s="831" t="str">
        <f>IF($C34&lt;1,"",(AVERAGEIFS('09월 에너지'!AF$14:AF$949,'09월 에너지'!$A$14:$A$949,$A34,'09월 에너지'!$C$14:$C$949,$B34)))</f>
        <v/>
      </c>
      <c r="CX34" s="831" t="str">
        <f>IF($C34&lt;1,"",(AVERAGEIFS('09월 에너지'!AG$14:AG$949,'09월 에너지'!$A$14:$A$949,$A34,'09월 에너지'!$C$14:$C$949,$B34)))</f>
        <v/>
      </c>
      <c r="CY34" s="831" t="str">
        <f>IF($C34&lt;1,"",(AVERAGEIFS('09월 에너지'!AH$14:AH$949,'09월 에너지'!$A$14:$A$949,$A34,'09월 에너지'!$C$14:$C$949,$B34)))</f>
        <v/>
      </c>
      <c r="CZ34" s="831" t="str">
        <f>IF($C34&lt;1,"",(AVERAGEIFS('09월 에너지'!AI$14:AI$949,'09월 에너지'!$A$14:$A$949,$A34,'09월 에너지'!$C$14:$C$949,$B34)))</f>
        <v/>
      </c>
      <c r="DA34" s="838" t="str">
        <f>IF($C34&lt;1,"",(AVERAGEIFS('09월 에너지'!AJ$14:AJ$949,'09월 에너지'!$A$14:$A$949,$A34,'09월 에너지'!$C$14:$C$949,$B34)))</f>
        <v/>
      </c>
    </row>
    <row r="35" spans="1:105" ht="13.5" customHeight="1" thickBot="1">
      <c r="A35" s="851">
        <f t="shared" si="2"/>
        <v>44932</v>
      </c>
      <c r="B35" s="852" t="s">
        <v>94</v>
      </c>
      <c r="C35" s="841">
        <f>COUNTIFS('09월 조업일지'!$A$12:$A$952,A31,'09월 조업일지'!$E$12:$E$952,B35)</f>
        <v>0</v>
      </c>
      <c r="D35" s="842" t="str">
        <f t="shared" si="7"/>
        <v/>
      </c>
      <c r="E35" s="842" t="str">
        <f>IF($C35&lt;1,"",(SUMIFS('09월 조업일지'!$K$12:$K$952,'09월 조업일지'!$A$12:$A$952,$A35,'09월 조업일지'!$E$12:$E$952,$B35)/$C35))</f>
        <v/>
      </c>
      <c r="F35" s="842" t="str">
        <f>IF($C35&lt;1,"",(AVERAGEIFS('09월 조업일지'!$J$12:$J$952,'09월 조업일지'!$A$12:$A$952,$A35,'09월 조업일지'!$E$12:$E$952,$B35)))</f>
        <v/>
      </c>
      <c r="G35" s="843" t="str">
        <f>IF($C35&lt;1,"",(AVERAGEIFS('09월 에너지'!$M$14:$M$949,'09월 에너지'!$A$14:$A$949,$A35,'09월 에너지'!$C$14:$C$949,$B35)))</f>
        <v/>
      </c>
      <c r="H35" s="844" t="str">
        <f>IF($C35&lt;1,"",(AVERAGEIFS('09월 조업일지'!$AJ$12:$AJ$952,'09월 조업일지'!$A$12:$A$952,$A35,'09월 조업일지'!$E$12:$E$952,$B35)))</f>
        <v/>
      </c>
      <c r="I35" s="844" t="str">
        <f>IF($C35&lt;1,"",(AVERAGEIFS('09월 조업일지'!$AL$12:$AL$952,'09월 조업일지'!$A$12:$A$952,$A35,'09월 조업일지'!$E$12:$E$952,$B35)))</f>
        <v/>
      </c>
      <c r="J35" s="845" t="str">
        <f>IF($C35&lt;1,"",(AVERAGEIFS('09월 화학성분'!G$12:G$949,'09월 화학성분'!$A$12:$A$949,$A35,'09월 화학성분'!$D$12:$D$949,$B35)))</f>
        <v/>
      </c>
      <c r="K35" s="845" t="str">
        <f>IF($C35&lt;1,"",(AVERAGEIFS('09월 화학성분'!H$12:H$949,'09월 화학성분'!$A$12:$A$949,$A35,'09월 화학성분'!$D$12:$D$949,$B35)))</f>
        <v/>
      </c>
      <c r="L35" s="845" t="str">
        <f>IF($C35&lt;1,"",(AVERAGEIFS('09월 화학성분'!I$12:I$949,'09월 화학성분'!$A$12:$A$949,$A35,'09월 화학성분'!$D$12:$D$949,$B35)))</f>
        <v/>
      </c>
      <c r="M35" s="845" t="str">
        <f>IF($C35&lt;1,"",(AVERAGEIFS('09월 화학성분'!J$12:J$949,'09월 화학성분'!$A$12:$A$949,$A35,'09월 화학성분'!$D$12:$D$949,$B35)))</f>
        <v/>
      </c>
      <c r="N35" s="845" t="str">
        <f>IF($C35&lt;1,"",(AVERAGEIFS('09월 화학성분'!K$12:K$949,'09월 화학성분'!$A$12:$A$949,$A35,'09월 화학성분'!$D$12:$D$949,$B35)))</f>
        <v/>
      </c>
      <c r="O35" s="845" t="str">
        <f>IF($C35&lt;1,"",(AVERAGEIFS('09월 화학성분'!L$12:L$949,'09월 화학성분'!$A$12:$A$949,$A35,'09월 화학성분'!$D$12:$D$949,$B35)))</f>
        <v/>
      </c>
      <c r="P35" s="845" t="str">
        <f>IF($C35&lt;1,"",(AVERAGEIFS('09월 화학성분'!M$12:M$949,'09월 화학성분'!$A$12:$A$949,$A35,'09월 화학성분'!$D$12:$D$949,$B35)))</f>
        <v/>
      </c>
      <c r="Q35" s="827" t="str">
        <f>IFERROR(IF($C35&lt;1,"",(AVERAGEIFS('09월 조업일지'!$AA$12:$AA$952,'09월 조업일지'!$A$12:$A$952,$A35,'09월 조업일지'!$E$12:$E$952,$B35))),"")</f>
        <v/>
      </c>
      <c r="R35" s="845" t="str">
        <f>IF($C35&lt;1,"",(AVERAGEIFS('09월 조업일지'!$AK$12:$AK$952,'09월 조업일지'!$A$12:$A$952,$A35,'09월 조업일지'!$E$12:$E$952,$B35)))</f>
        <v/>
      </c>
      <c r="S35" s="845"/>
      <c r="T35" s="845"/>
      <c r="U35" s="845" t="str">
        <f>IF($C35&lt;1,"",(AVERAGEIFS('09월 화학성분'!$G$12:$G$949,'09월 화학성분'!$A$12:$A$949,$A35,'09월 화학성분'!$D$12:$D$949,$B35)))</f>
        <v/>
      </c>
      <c r="V35" s="845" t="str">
        <f>IF($C35&lt;1,"",(AVERAGEIFS('09월 조업일지'!$AI$12:$AI$952,'09월 조업일지'!$A$12:$A$952,$A35,'09월 조업일지'!$E$12:$E$952,$B35)))</f>
        <v/>
      </c>
      <c r="W35" s="846" t="str">
        <f>IF($C35&lt;1,"",(AVERAGEIFS('09월 화학성분'!$AM$12:$AM$949,'09월 화학성분'!$A$12:$A$949,$A35,'09월 화학성분'!$D$12:$D$949,$B35)))</f>
        <v/>
      </c>
      <c r="X35" s="829" t="str">
        <f>IF($C35&lt;1,"",(AVERAGEIFS('09월 화학성분'!N$12:N$949,'09월 화학성분'!$A$12:$A$949,$A35,'09월 화학성분'!$D$12:$D$949,$B35)))</f>
        <v/>
      </c>
      <c r="Y35" s="829" t="str">
        <f>IF($C35&lt;1,"",(AVERAGEIFS('09월 화학성분'!O$12:O$949,'09월 화학성분'!$A$12:$A$949,$A35,'09월 화학성분'!$D$12:$D$949,$B35)))</f>
        <v/>
      </c>
      <c r="Z35" s="829" t="str">
        <f>IF($C35&lt;1,"",(AVERAGEIFS('09월 화학성분'!P$12:P$949,'09월 화학성분'!$A$12:$A$949,$A35,'09월 화학성분'!$D$12:$D$949,$B35)))</f>
        <v/>
      </c>
      <c r="AA35" s="829" t="str">
        <f>IF($C35&lt;1,"",(AVERAGEIFS('09월 화학성분'!Q$12:Q$949,'09월 화학성분'!$A$12:$A$949,$A35,'09월 화학성분'!$D$12:$D$949,$B35)))</f>
        <v/>
      </c>
      <c r="AB35" s="829" t="str">
        <f>IF($C35&lt;1,"",(AVERAGEIFS('09월 화학성분'!R$12:R$949,'09월 화학성분'!$A$12:$A$949,$A35,'09월 화학성분'!$D$12:$D$949,$B35)))</f>
        <v/>
      </c>
      <c r="AC35" s="829" t="str">
        <f>IF($C35&lt;1,"",(AVERAGEIFS('09월 화학성분'!U$12:U$949,'09월 화학성분'!$A$12:$A$949,$A35,'09월 화학성분'!$D$12:$D$949,$B35)))</f>
        <v/>
      </c>
      <c r="AD35" s="829" t="str">
        <f>IF($C35&lt;1,"",(AVERAGEIFS('09월 화학성분'!V$12:V$949,'09월 화학성분'!$A$12:$A$949,$A35,'09월 화학성분'!$D$12:$D$949,$B35)))</f>
        <v/>
      </c>
      <c r="AE35" s="829" t="str">
        <f>IF($C35&lt;1,"",(AVERAGEIFS('09월 화학성분'!W$12:W$949,'09월 화학성분'!$A$12:$A$949,$A35,'09월 화학성분'!$D$12:$D$949,$B35)))</f>
        <v/>
      </c>
      <c r="AF35" s="829" t="str">
        <f>IF($C35&lt;1,"",(AVERAGEIFS('09월 화학성분'!AA$12:AA$949,'09월 화학성분'!$A$12:$A$949,$A35,'09월 화학성분'!$D$12:$D$949,$B35)))</f>
        <v/>
      </c>
      <c r="AG35" s="829" t="str">
        <f>IF($C35&lt;1,"",(AVERAGEIFS('09월 화학성분'!#REF!,'09월 화학성분'!$A$12:$A$949,$A35,'09월 화학성분'!$D$12:$D$949,$B35)))</f>
        <v/>
      </c>
      <c r="AH35" s="829" t="str">
        <f>IF($C35&lt;1,"",(AVERAGEIFS('09월 화학성분'!AB$12:AB$949,'09월 화학성분'!$A$12:$A$949,$A35,'09월 화학성분'!$D$12:$D$949,$B35)))</f>
        <v/>
      </c>
      <c r="AI35" s="829" t="str">
        <f>IF($C35&lt;1,"",(AVERAGEIFS('09월 화학성분'!AC$12:AC$949,'09월 화학성분'!$A$12:$A$949,$A35,'09월 화학성분'!$D$12:$D$949,$B35)))</f>
        <v/>
      </c>
      <c r="AJ35" s="829" t="str">
        <f>IF($C35&lt;1,"",(AVERAGEIFS('09월 화학성분'!AD$12:AD$949,'09월 화학성분'!$A$12:$A$949,$A35,'09월 화학성분'!$D$12:$D$949,$B35)))</f>
        <v/>
      </c>
      <c r="AK35" s="829" t="str">
        <f>IF($C35&lt;1,"",(AVERAGEIFS('09월 화학성분'!AF$12:AF$949,'09월 화학성분'!$A$12:$A$949,$A35,'09월 화학성분'!$D$12:$D$949,$B35)))</f>
        <v/>
      </c>
      <c r="AL35" s="829" t="str">
        <f>IF($C35&lt;1,"",(AVERAGEIFS('09월 화학성분'!AG$12:AG$949,'09월 화학성분'!$A$12:$A$949,$A35,'09월 화학성분'!$D$12:$D$949,$B35)))</f>
        <v/>
      </c>
      <c r="AM35" s="829" t="str">
        <f>IF($C35&lt;1,"",(AVERAGEIFS('09월 화학성분'!AH$12:AH$949,'09월 화학성분'!$A$12:$A$949,$A35,'09월 화학성분'!$D$12:$D$949,$B35)))</f>
        <v/>
      </c>
      <c r="AN35" s="829" t="str">
        <f>IF($C35&lt;1,"",(AVERAGEIFS('09월 화학성분'!AI$12:AI$949,'09월 화학성분'!$A$12:$A$949,$A35,'09월 화학성분'!$D$12:$D$949,$B35)))</f>
        <v/>
      </c>
      <c r="AO35" s="829" t="str">
        <f>IF($C35&lt;1,"",(AVERAGEIFS('09월 화학성분'!AJ$12:AJ$949,'09월 화학성분'!$A$12:$A$949,$A35,'09월 화학성분'!$D$12:$D$949,$B35)))</f>
        <v/>
      </c>
      <c r="AP35" s="829" t="str">
        <f>IF($C35&lt;1,"",(AVERAGEIFS('09월 화학성분'!#REF!,'09월 화학성분'!$A$12:$A$949,$A35,'09월 화학성분'!$D$12:$D$949,$B35)))</f>
        <v/>
      </c>
      <c r="AQ35" s="829" t="str">
        <f>IF($C35&lt;1,"",(AVERAGEIFS('09월 화학성분'!AL$12:AL$949,'09월 화학성분'!$A$12:$A$949,$A35,'09월 화학성분'!$D$12:$D$949,$B35)))</f>
        <v/>
      </c>
      <c r="AR35" s="829" t="str">
        <f>IF($C35&lt;1,"",(AVERAGEIFS('09월 화학성분'!AM$12:AM$949,'09월 화학성분'!$A$12:$A$949,$A35,'09월 화학성분'!$D$12:$D$949,$B35)))</f>
        <v/>
      </c>
      <c r="AS35" s="830" t="str">
        <f>IF($C35&lt;1,"",(AVERAGEIFS('09월 화학성분'!AN$12:AN$949,'09월 화학성분'!$A$12:$A$949,$A35,'09월 화학성분'!$D$12:$D$949,$B35)))</f>
        <v/>
      </c>
      <c r="AT35" s="830" t="str">
        <f>IF($C35&lt;1,"",(AVERAGEIFS('09월 화학성분'!AO$12:AO$949,'09월 화학성분'!$A$12:$A$949,$A35,'09월 화학성분'!$D$12:$D$949,$B35)))</f>
        <v/>
      </c>
      <c r="AU35" s="831" t="str">
        <f>IF($C35&lt;1,"",(AVERAGEIFS('09월 화학성분'!AP$12:AP$949,'09월 화학성분'!$A$12:$A$949,$A35,'09월 화학성분'!$D$12:$D$949,$B35)))</f>
        <v/>
      </c>
      <c r="AV35" s="832" t="str">
        <f>IF($C35&lt;1,"",(AVERAGEIFS('09월 고철장입'!G$14:G$949,'09월 고철장입'!$A$14:$A$949,$A35,'09월 고철장입'!$C$14:$C$949,$B35))/1000)</f>
        <v/>
      </c>
      <c r="AW35" s="832" t="str">
        <f>IF($C35&lt;1,"",(AVERAGEIFS('09월 고철장입'!H$14:H$949,'09월 고철장입'!$A$14:$A$949,$A35,'09월 고철장입'!$C$14:$C$949,$B35))/1000)</f>
        <v/>
      </c>
      <c r="AX35" s="832" t="str">
        <f>IF($C35&lt;1,"",(AVERAGEIFS('09월 고철장입'!I$14:I$949,'09월 고철장입'!$A$14:$A$949,$A35,'09월 고철장입'!$C$14:$C$949,$B35))/1000)</f>
        <v/>
      </c>
      <c r="AY35" s="832" t="str">
        <f>IF($C35&lt;1,"",(AVERAGEIFS('09월 고철장입'!J$14:J$949,'09월 고철장입'!$A$14:$A$949,$A35,'09월 고철장입'!$C$14:$C$949,$B35))/1000)</f>
        <v/>
      </c>
      <c r="AZ35" s="832" t="str">
        <f>IF($C35&lt;1,"",(AVERAGEIFS('09월 고철장입'!K$14:K$949,'09월 고철장입'!$A$14:$A$949,$A35,'09월 고철장입'!$C$14:$C$949,$B35))/1000)</f>
        <v/>
      </c>
      <c r="BA35" s="832" t="str">
        <f>IF($C35&lt;1,"",(AVERAGEIFS('09월 고철장입'!L$14:L$949,'09월 고철장입'!$A$14:$A$949,$A35,'09월 고철장입'!$C$14:$C$949,$B35))/1000)</f>
        <v/>
      </c>
      <c r="BB35" s="832" t="str">
        <f>IF($C35&lt;1,"",(AVERAGEIFS('09월 고철장입'!M$14:M$949,'09월 고철장입'!$A$14:$A$949,$A35,'09월 고철장입'!$C$14:$C$949,$B35))/1000)</f>
        <v/>
      </c>
      <c r="BC35" s="832" t="str">
        <f>IF($C35&lt;1,"",(AVERAGEIFS('09월 고철장입'!N$14:N$949,'09월 고철장입'!$A$14:$A$949,$A35,'09월 고철장입'!$C$14:$C$949,$B35))/1000)</f>
        <v/>
      </c>
      <c r="BD35" s="832" t="str">
        <f>IF($C35&lt;1,"",(AVERAGEIFS('09월 고철장입'!O$14:O$949,'09월 고철장입'!$A$14:$A$949,$A35,'09월 고철장입'!$C$14:$C$949,$B35))/1000)</f>
        <v/>
      </c>
      <c r="BE35" s="833" t="str">
        <f>IF($C35&lt;1,"",(AVERAGEIFS('09월 고철장입'!P$14:P$949,'09월 고철장입'!$A$14:$A$949,$A35,'09월 고철장입'!$C$14:$C$949,$B35))/1000)</f>
        <v/>
      </c>
      <c r="BF35" s="833" t="str">
        <f>IF($C35&lt;1,"",(AVERAGEIFS('09월 고철장입'!Q$14:Q$949,'09월 고철장입'!$A$14:$A$949,$A35,'09월 고철장입'!$C$14:$C$949,$B35))/1000)</f>
        <v/>
      </c>
      <c r="BG35" s="833" t="str">
        <f>IF($C35&lt;1,"",(AVERAGEIFS('09월 고철장입'!S$14:S$949,'09월 고철장입'!$A$14:$A$949,$A35,'09월 고철장입'!$C$14:$C$949,$B35))/1000)</f>
        <v/>
      </c>
      <c r="BH35" s="833" t="str">
        <f>IF($C35&lt;1,"",(AVERAGEIFS('09월 고철장입'!T$14:T$949,'09월 고철장입'!$A$14:$A$949,$A35,'09월 고철장입'!$C$14:$C$949,$B35))/1000)</f>
        <v/>
      </c>
      <c r="BI35" s="833" t="str">
        <f>IF($C35&lt;1,"",(AVERAGEIFS('09월 고철장입'!U$14:U$949,'09월 고철장입'!$A$14:$A$949,$A35,'09월 고철장입'!$C$14:$C$949,$B35))/1000)</f>
        <v/>
      </c>
      <c r="BJ35" s="833" t="str">
        <f>IF($C35&lt;1,"",(AVERAGEIFS('09월 고철장입'!V$14:V$949,'09월 고철장입'!$A$14:$A$949,$A35,'09월 고철장입'!$C$14:$C$949,$B35))/1000)</f>
        <v/>
      </c>
      <c r="BK35" s="833" t="str">
        <f>IF($C35&lt;1,"",(AVERAGEIFS('09월 고철장입'!W$14:W$949,'09월 고철장입'!$A$14:$A$949,$A35,'09월 고철장입'!$C$14:$C$949,$B35))/1000)</f>
        <v/>
      </c>
      <c r="BL35" s="833" t="str">
        <f>IF($C35&lt;1,"",(AVERAGEIFS('09월 고철장입'!Y$14:Y$949,'09월 고철장입'!$A$14:$A$949,$A35,'09월 고철장입'!$C$14:$C$949,$B35))/1000)</f>
        <v/>
      </c>
      <c r="BM35" s="833" t="str">
        <f>IF($C35&lt;1,"",(AVERAGEIFS('09월 고철장입'!AB$14:AB$949,'09월 고철장입'!$A$14:$A$949,$A35,'09월 고철장입'!$C$14:$C$949,$B35))/1000)</f>
        <v/>
      </c>
      <c r="BN35" s="833" t="str">
        <f>IF($C35&lt;1,"",(AVERAGEIFS('09월 고철장입'!AC$14:AC$949,'09월 고철장입'!$A$14:$A$949,$A35,'09월 고철장입'!$C$14:$C$949,$B35))/1000)</f>
        <v/>
      </c>
      <c r="BO35" s="833" t="str">
        <f>IF($C35&lt;1,"",(AVERAGEIFS('09월 고철장입'!AD$14:AD$949,'09월 고철장입'!$A$14:$A$949,$A35,'09월 고철장입'!$C$14:$C$949,$B35))/1000)</f>
        <v/>
      </c>
      <c r="BP35" s="833" t="str">
        <f>IF($C35&lt;1,"",(AVERAGEIFS('09월 고철장입'!AE$14:AE$949,'09월 고철장입'!$A$14:$A$949,$A35,'09월 고철장입'!$C$14:$C$949,$B35))/1000)</f>
        <v/>
      </c>
      <c r="BQ35" s="832" t="str">
        <f>IF($C35&lt;1,"",(AVERAGEIFS('09월 고철장입'!AF$14:AF$949,'09월 고철장입'!$A$14:$A$949,$A35,'09월 고철장입'!$C$14:$C$949,$B35))/1000)</f>
        <v/>
      </c>
      <c r="BR35" s="832" t="str">
        <f>IF($C35&lt;1,"",(AVERAGEIFS('09월 고철장입'!AG$14:AG$949,'09월 고철장입'!$A$14:$A$949,$A35,'09월 고철장입'!$C$14:$C$949,$B35))/1000)</f>
        <v/>
      </c>
      <c r="BS35" s="832" t="str">
        <f>IF($C35&lt;1,"",(AVERAGEIFS('09월 고철장입'!AH$14:AH$949,'09월 고철장입'!$A$14:$A$949,$A35,'09월 고철장입'!$C$14:$C$949,$B35))/1000)</f>
        <v/>
      </c>
      <c r="BT35" s="832" t="str">
        <f>IF($C35&lt;1,"",(AVERAGEIFS('09월 고철장입'!AI$14:AI$949,'09월 고철장입'!$A$14:$A$949,$A35,'09월 고철장입'!$C$14:$C$949,$B35))/1000)</f>
        <v/>
      </c>
      <c r="BU35" s="834" t="str">
        <f>IF($C35&lt;1,"",(AVERAGEIFS('09월 고철장입'!AJ$14:AJ$949,'09월 고철장입'!$A$14:$A$949,$A35,'09월 고철장입'!$C$14:$C$949,$B35))/1000)</f>
        <v/>
      </c>
      <c r="BV35" s="834" t="str">
        <f>IF($C35&lt;1,"",(AVERAGEIFS('09월 고철장입'!AK$14:AK$949,'09월 고철장입'!$A$14:$A$949,$A35,'09월 고철장입'!$C$14:$C$949,$B35)))</f>
        <v/>
      </c>
      <c r="BW35" s="834" t="str">
        <f>IF($C35&lt;1,"",(AVERAGEIFS('09월 고철장입'!AL$14:AL$949,'09월 고철장입'!$A$14:$A$949,$A35,'09월 고철장입'!$C$14:$C$949,$B35))*100)</f>
        <v/>
      </c>
      <c r="BX35" s="831" t="str">
        <f>IF($C35&lt;1,"",(AVERAGEIFS('09월 에너지'!G$14:G$949,'09월 에너지'!$A$14:$A$949,$A35,'09월 에너지'!$C$14:$C$949,$B35)))</f>
        <v/>
      </c>
      <c r="BY35" s="835" t="str">
        <f>IF($C35&lt;1,"",(AVERAGEIFS('09월 에너지'!H$14:H$949,'09월 에너지'!$A$14:$A$949,$A35,'09월 에너지'!$C$14:$C$949,$B35)))</f>
        <v/>
      </c>
      <c r="BZ35" s="831" t="str">
        <f>IF($C35&lt;1,"",(AVERAGEIFS('09월 에너지'!I$14:I$949,'09월 에너지'!$A$14:$A$949,$A35,'09월 에너지'!$C$14:$C$949,$B35)))</f>
        <v/>
      </c>
      <c r="CA35" s="835" t="str">
        <f>IF($C35&lt;1,"",(AVERAGEIFS('09월 에너지'!J$14:J$949,'09월 에너지'!$A$14:$A$949,$A35,'09월 에너지'!$C$14:$C$949,$B35)))</f>
        <v/>
      </c>
      <c r="CB35" s="831" t="str">
        <f>IF($C35&lt;1,"",(AVERAGEIFS('09월 에너지'!K$14:K$949,'09월 에너지'!$A$14:$A$949,$A35,'09월 에너지'!$C$14:$C$949,$B35)))</f>
        <v/>
      </c>
      <c r="CC35" s="835" t="str">
        <f>IF($C35&lt;1,"",(AVERAGEIFS('09월 에너지'!L$14:L$949,'09월 에너지'!$A$14:$A$949,$A35,'09월 에너지'!$C$14:$C$949,$B35)))</f>
        <v/>
      </c>
      <c r="CD35" s="831" t="str">
        <f>IF($C35&lt;1,"",(AVERAGEIFS('09월 에너지'!M$14:M$949,'09월 에너지'!$A$14:$A$949,$A35,'09월 에너지'!$C$14:$C$949,$B35)))</f>
        <v/>
      </c>
      <c r="CE35" s="835" t="str">
        <f>IF($C35&lt;1,"",(AVERAGEIFS('09월 에너지'!N$14:N$949,'09월 에너지'!$A$14:$A$949,$A35,'09월 에너지'!$C$14:$C$949,$B35)))</f>
        <v/>
      </c>
      <c r="CF35" s="831" t="str">
        <f>IF($C35&lt;1,"",(AVERAGEIFS('09월 에너지'!O$14:O$949,'09월 에너지'!$A$14:$A$949,$A35,'09월 에너지'!$C$14:$C$949,$B35)))</f>
        <v/>
      </c>
      <c r="CG35" s="831" t="str">
        <f>IF($C35&lt;1,"",(AVERAGEIFS('09월 에너지'!P$14:P$949,'09월 에너지'!$A$14:$A$949,$A35,'09월 에너지'!$C$14:$C$949,$B35)))</f>
        <v/>
      </c>
      <c r="CH35" s="831" t="str">
        <f>IF($C35&lt;1,"",(AVERAGEIFS('09월 에너지'!Q$14:Q$949,'09월 에너지'!$A$14:$A$949,$A35,'09월 에너지'!$C$14:$C$949,$B35)))</f>
        <v/>
      </c>
      <c r="CI35" s="831" t="str">
        <f>IF($C35&lt;1,"",(AVERAGEIFS('09월 에너지'!R$14:R$949,'09월 에너지'!$A$14:$A$949,$A35,'09월 에너지'!$C$14:$C$949,$B35)))</f>
        <v/>
      </c>
      <c r="CJ35" s="831" t="str">
        <f>IF($C35&lt;1,"",(AVERAGEIFS('09월 에너지'!S$14:S$949,'09월 에너지'!$A$14:$A$949,$A35,'09월 에너지'!$C$14:$C$949,$B35)))</f>
        <v/>
      </c>
      <c r="CK35" s="831" t="str">
        <f>IF($C35&lt;1,"",(AVERAGEIFS('09월 에너지'!T$14:T$949,'09월 에너지'!$A$14:$A$949,$A35,'09월 에너지'!$C$14:$C$949,$B35)))</f>
        <v/>
      </c>
      <c r="CL35" s="831" t="str">
        <f>IF($C35&lt;1,"",(AVERAGEIFS('09월 에너지'!U$14:U$949,'09월 에너지'!$A$14:$A$949,$A35,'09월 에너지'!$C$14:$C$949,$B35)))</f>
        <v/>
      </c>
      <c r="CM35" s="835" t="str">
        <f>IF($C35&lt;1,"",(AVERAGEIFS('09월 에너지'!V$14:V$949,'09월 에너지'!$A$14:$A$949,$A35,'09월 에너지'!$C$14:$C$949,$B35)))</f>
        <v/>
      </c>
      <c r="CN35" s="835" t="str">
        <f>IF($C35&lt;1,"",(AVERAGEIFS('09월 에너지'!W$14:W$949,'09월 에너지'!$A$14:$A$949,$A35,'09월 에너지'!$C$14:$C$949,$B35)))</f>
        <v/>
      </c>
      <c r="CO35" s="831" t="str">
        <f>IF($C35&lt;1,"",(AVERAGEIFS('09월 에너지'!X$14:X$949,'09월 에너지'!$A$14:$A$949,$A35,'09월 에너지'!$C$14:$C$949,$B35)))</f>
        <v/>
      </c>
      <c r="CP35" s="835" t="str">
        <f>IF($C35&lt;1,"",(AVERAGEIFS('09월 에너지'!Y$14:Y$949,'09월 에너지'!$A$14:$A$949,$A35,'09월 에너지'!$C$14:$C$949,$B35)))</f>
        <v/>
      </c>
      <c r="CQ35" s="835" t="str">
        <f>IF($C35&lt;1,"",(AVERAGEIFS('09월 에너지'!Z$14:Z$949,'09월 에너지'!$A$14:$A$949,$A35,'09월 에너지'!$C$14:$C$949,$B35)))</f>
        <v/>
      </c>
      <c r="CR35" s="835" t="str">
        <f>IF($C35&lt;1,"",(AVERAGEIFS('09월 에너지'!AA$14:AA$949,'09월 에너지'!$A$14:$A$949,$A35,'09월 에너지'!$C$14:$C$949,$B35)))</f>
        <v/>
      </c>
      <c r="CS35" s="835" t="str">
        <f>IF($C35&lt;1,"",(AVERAGEIFS('09월 에너지'!AB$14:AB$949,'09월 에너지'!$A$14:$A$949,$A35,'09월 에너지'!$C$14:$C$949,$B35)))</f>
        <v/>
      </c>
      <c r="CT35" s="831" t="str">
        <f>IF($C35&lt;1,"",(AVERAGEIFS('09월 에너지'!AC$14:AC$949,'09월 에너지'!$A$14:$A$949,$A35,'09월 에너지'!$C$14:$C$949,$B35)))</f>
        <v/>
      </c>
      <c r="CU35" s="836" t="str">
        <f>IF($C35&lt;1,"",(AVERAGEIFS('09월 에너지'!AD$14:AD$949,'09월 에너지'!$A$14:$A$949,$A35,'09월 에너지'!$C$14:$C$949,$B35)))</f>
        <v/>
      </c>
      <c r="CV35" s="837" t="str">
        <f>IF($C35&lt;1,"",(AVERAGEIFS('09월 에너지'!AE$14:AE$949,'09월 에너지'!$A$14:$A$949,$A35,'09월 에너지'!$C$14:$C$949,$B35)))</f>
        <v/>
      </c>
      <c r="CW35" s="831" t="str">
        <f>IF($C35&lt;1,"",(AVERAGEIFS('09월 에너지'!AF$14:AF$949,'09월 에너지'!$A$14:$A$949,$A35,'09월 에너지'!$C$14:$C$949,$B35)))</f>
        <v/>
      </c>
      <c r="CX35" s="831" t="str">
        <f>IF($C35&lt;1,"",(AVERAGEIFS('09월 에너지'!AG$14:AG$949,'09월 에너지'!$A$14:$A$949,$A35,'09월 에너지'!$C$14:$C$949,$B35)))</f>
        <v/>
      </c>
      <c r="CY35" s="831" t="str">
        <f>IF($C35&lt;1,"",(AVERAGEIFS('09월 에너지'!AH$14:AH$949,'09월 에너지'!$A$14:$A$949,$A35,'09월 에너지'!$C$14:$C$949,$B35)))</f>
        <v/>
      </c>
      <c r="CZ35" s="831" t="str">
        <f>IF($C35&lt;1,"",(AVERAGEIFS('09월 에너지'!AI$14:AI$949,'09월 에너지'!$A$14:$A$949,$A35,'09월 에너지'!$C$14:$C$949,$B35)))</f>
        <v/>
      </c>
      <c r="DA35" s="838" t="str">
        <f>IF($C35&lt;1,"",(AVERAGEIFS('09월 에너지'!AJ$14:AJ$949,'09월 에너지'!$A$14:$A$949,$A35,'09월 에너지'!$C$14:$C$949,$B35)))</f>
        <v/>
      </c>
    </row>
    <row r="36" spans="1:105" ht="13.5" customHeight="1">
      <c r="A36" s="847">
        <f>A31+1</f>
        <v>44933</v>
      </c>
      <c r="B36" s="848" t="s">
        <v>31</v>
      </c>
      <c r="C36" s="810">
        <f>COUNTIF('09월 조업일지'!$A$12:$A$952,A36)</f>
        <v>0</v>
      </c>
      <c r="D36" s="787" t="str">
        <f>IF(C36&lt;1,"",F36-E36)</f>
        <v/>
      </c>
      <c r="E36" s="787" t="str">
        <f>IF($C36&lt;1,"",(SUMIF('09월 조업일지'!$A$12:$A$952,$A36,'09월 조업일지'!$K$12:$K$952))/C36)</f>
        <v/>
      </c>
      <c r="F36" s="787" t="str">
        <f>IF($C36&lt;1,"",AVERAGEIF('09월 조업일지'!$A$12:$A$952,$A36,'09월 조업일지'!$J$12:$J$952))</f>
        <v/>
      </c>
      <c r="G36" s="811" t="str">
        <f>IF($C36&lt;1,"",AVERAGEIF('09월 에너지'!$A$14:$A$949,$A36,'09월 에너지'!$M$14:M$949))</f>
        <v/>
      </c>
      <c r="H36" s="812" t="str">
        <f>IF($C36&lt;1,"",AVERAGEIF('09월 조업일지'!$A$12:$A$952,$A36,'09월 조업일지'!$AJ$12:$AJ$952))</f>
        <v/>
      </c>
      <c r="I36" s="812" t="str">
        <f>IF($C36&lt;1,"",AVERAGEIF('09월 조업일지'!$A$12:$A$952,$A36,'09월 조업일지'!$AL$12:$AL$952))</f>
        <v/>
      </c>
      <c r="J36" s="813" t="str">
        <f>IF($C36&lt;1,"",AVERAGEIF('09월 화학성분'!$A$12:$A$949,$A36,'09월 화학성분'!G$12:G$949))</f>
        <v/>
      </c>
      <c r="K36" s="813" t="str">
        <f>IF($C36&lt;1,"",AVERAGEIF('09월 화학성분'!$A$12:$A$949,$A36,'09월 화학성분'!H$12:H$949))</f>
        <v/>
      </c>
      <c r="L36" s="813" t="str">
        <f>IF($C36&lt;1,"",AVERAGEIF('09월 화학성분'!$A$12:$A$949,$A36,'09월 화학성분'!I$12:I$949))</f>
        <v/>
      </c>
      <c r="M36" s="813" t="str">
        <f>IF($C36&lt;1,"",AVERAGEIF('09월 화학성분'!$A$12:$A$949,$A36,'09월 화학성분'!J$12:J$949))</f>
        <v/>
      </c>
      <c r="N36" s="813" t="str">
        <f>IF($C36&lt;1,"",AVERAGEIF('09월 화학성분'!$A$12:$A$949,$A36,'09월 화학성분'!K$12:K$949))</f>
        <v/>
      </c>
      <c r="O36" s="813" t="str">
        <f>IF($C36&lt;1,"",AVERAGEIF('09월 화학성분'!$A$12:$A$949,$A36,'09월 화학성분'!L$12:L$949))</f>
        <v/>
      </c>
      <c r="P36" s="813" t="str">
        <f>IF($C36&lt;1,"",AVERAGEIF('09월 화학성분'!$A$12:$A$949,$A36,'09월 화학성분'!M$12:M$949))</f>
        <v/>
      </c>
      <c r="Q36" s="814" t="str">
        <f>IF($C36&lt;1,"",AVERAGEIF('09월 조업일지'!$A$12:$A$952,$A36,'09월 조업일지'!$AA$12:$AA$952))</f>
        <v/>
      </c>
      <c r="R36" s="814" t="str">
        <f>IF($C36&lt;1,"",AVERAGEIF('09월 조업일지'!$A$12:$A$952,$A36,'09월 조업일지'!$AK$12:$AK$952))</f>
        <v/>
      </c>
      <c r="S36" s="814"/>
      <c r="T36" s="814"/>
      <c r="U36" s="813" t="str">
        <f>IF($C36&lt;1,"",AVERAGEIF('09월 화학성분'!$A$12:$A$949,$A36,'09월 화학성분'!$G$12:$G$949))</f>
        <v/>
      </c>
      <c r="V36" s="814" t="str">
        <f>IF($C36&lt;1,"",AVERAGEIF('09월 조업일지'!$A$12:$A$952,$A36,'09월 조업일지'!$AI$12:$AI$952))</f>
        <v/>
      </c>
      <c r="W36" s="813" t="str">
        <f>IF($C36&lt;1,"",AVERAGEIF('09월 화학성분'!$A$12:$A$949,$A36,'09월 화학성분'!$AM$12:$AM$949))</f>
        <v/>
      </c>
      <c r="X36" s="815" t="str">
        <f>IF($C36&lt;1,"",AVERAGEIF('09월 화학성분'!$A$12:$A$949,$A36,'09월 화학성분'!N$12:N$949))</f>
        <v/>
      </c>
      <c r="Y36" s="815" t="str">
        <f>IF($C36&lt;1,"",AVERAGEIF('09월 화학성분'!$A$12:$A$949,$A36,'09월 화학성분'!O$12:O$949))</f>
        <v/>
      </c>
      <c r="Z36" s="815" t="str">
        <f>IF($C36&lt;1,"",AVERAGEIF('09월 화학성분'!$A$12:$A$949,$A36,'09월 화학성분'!P$12:P$949))</f>
        <v/>
      </c>
      <c r="AA36" s="815" t="str">
        <f>IF($C36&lt;1,"",AVERAGEIF('09월 화학성분'!$A$12:$A$949,$A36,'09월 화학성분'!Q$12:Q$949))</f>
        <v/>
      </c>
      <c r="AB36" s="815" t="str">
        <f>IF($C36&lt;1,"",AVERAGEIF('09월 화학성분'!$A$12:$A$949,$A36,'09월 화학성분'!R$12:R$949))</f>
        <v/>
      </c>
      <c r="AC36" s="815" t="str">
        <f>IF($C36&lt;1,"",AVERAGEIF('09월 화학성분'!$A$12:$A$949,$A36,'09월 화학성분'!U$12:U$949))</f>
        <v/>
      </c>
      <c r="AD36" s="815" t="str">
        <f>IF($C36&lt;1,"",AVERAGEIF('09월 화학성분'!$A$12:$A$949,$A36,'09월 화학성분'!V$12:V$949))</f>
        <v/>
      </c>
      <c r="AE36" s="815" t="str">
        <f>IF($C36&lt;1,"",AVERAGEIF('09월 화학성분'!$A$12:$A$949,$A36,'09월 화학성분'!W$12:W$949))</f>
        <v/>
      </c>
      <c r="AF36" s="815" t="str">
        <f>IF($C36&lt;1,"",AVERAGEIF('09월 화학성분'!$A$12:$A$949,$A36,'09월 화학성분'!AA$12:AA$949))</f>
        <v/>
      </c>
      <c r="AG36" s="815" t="str">
        <f>IF($C36&lt;1,"",AVERAGEIF('09월 화학성분'!$A$12:$A$949,$A36,'09월 화학성분'!#REF!))</f>
        <v/>
      </c>
      <c r="AH36" s="815" t="str">
        <f>IF($C36&lt;1,"",AVERAGEIF('09월 화학성분'!$A$12:$A$949,$A36,'09월 화학성분'!AB$12:AB$949))</f>
        <v/>
      </c>
      <c r="AI36" s="815" t="str">
        <f>IF($C36&lt;1,"",AVERAGEIF('09월 화학성분'!$A$12:$A$949,$A36,'09월 화학성분'!AC$12:AC$949))</f>
        <v/>
      </c>
      <c r="AJ36" s="815" t="str">
        <f>IF($C36&lt;1,"",AVERAGEIF('09월 화학성분'!$A$12:$A$949,$A36,'09월 화학성분'!AD$12:AD$949))</f>
        <v/>
      </c>
      <c r="AK36" s="815" t="str">
        <f>IF($C36&lt;1,"",AVERAGEIF('09월 화학성분'!$A$12:$A$949,$A36,'09월 화학성분'!AF$12:AF$949))</f>
        <v/>
      </c>
      <c r="AL36" s="815" t="str">
        <f>IF($C36&lt;1,"",AVERAGEIF('09월 화학성분'!$A$12:$A$949,$A36,'09월 화학성분'!AG$12:AG$949))</f>
        <v/>
      </c>
      <c r="AM36" s="815" t="str">
        <f>IF($C36&lt;1,"",AVERAGEIF('09월 화학성분'!$A$12:$A$949,$A36,'09월 화학성분'!AH$12:AH$949))</f>
        <v/>
      </c>
      <c r="AN36" s="815" t="str">
        <f>IF($C36&lt;1,"",AVERAGEIF('09월 화학성분'!$A$12:$A$949,$A36,'09월 화학성분'!AI$12:AI$949))</f>
        <v/>
      </c>
      <c r="AO36" s="815" t="str">
        <f>IF($C36&lt;1,"",AVERAGEIF('09월 화학성분'!$A$12:$A$949,$A36,'09월 화학성분'!AJ$12:AJ$949))</f>
        <v/>
      </c>
      <c r="AP36" s="815" t="str">
        <f>IF($C36&lt;1,"",AVERAGEIF('09월 화학성분'!$A$12:$A$949,$A36,'09월 화학성분'!#REF!))</f>
        <v/>
      </c>
      <c r="AQ36" s="815" t="str">
        <f>IF($C36&lt;1,"",AVERAGEIF('09월 화학성분'!$A$12:$A$949,$A36,'09월 화학성분'!AL$12:AL$949))</f>
        <v/>
      </c>
      <c r="AR36" s="815" t="str">
        <f>IF($C36&lt;1,"",AVERAGEIF('09월 화학성분'!$A$12:$A$949,$A36,'09월 화학성분'!AM$12:AM$949))</f>
        <v/>
      </c>
      <c r="AS36" s="816" t="str">
        <f>IF($C36&lt;1,"",AVERAGEIF('09월 화학성분'!$A$12:$A$949,$A36,'09월 화학성분'!AN$12:AN$949))</f>
        <v/>
      </c>
      <c r="AT36" s="816" t="str">
        <f>IF($C36&lt;1,"",AVERAGEIF('09월 화학성분'!$A$12:$A$949,$A36,'09월 화학성분'!AO$12:AO$949))</f>
        <v/>
      </c>
      <c r="AU36" s="815" t="str">
        <f>IF($C36&lt;1,"",AVERAGEIF('09월 화학성분'!$A$12:$A$949,$A36,'09월 화학성분'!AP$12:AP$949))</f>
        <v/>
      </c>
      <c r="AV36" s="815" t="str">
        <f>IF($C36&lt;1,"",AVERAGEIF('09월 고철장입'!$A$14:$A$949,$A36,'09월 고철장입'!G$14:G$949)/1000)</f>
        <v/>
      </c>
      <c r="AW36" s="815" t="str">
        <f>IF($C36&lt;1,"",AVERAGEIF('09월 고철장입'!$A$14:$A$949,$A36,'09월 고철장입'!H$14:H$949)/1000)</f>
        <v/>
      </c>
      <c r="AX36" s="815" t="str">
        <f>IF($C36&lt;1,"",AVERAGEIF('09월 고철장입'!$A$14:$A$949,$A36,'09월 고철장입'!I$14:I$949)/1000)</f>
        <v/>
      </c>
      <c r="AY36" s="815" t="str">
        <f>IF($C36&lt;1,"",AVERAGEIF('09월 고철장입'!$A$14:$A$949,$A36,'09월 고철장입'!J$14:J$949)/1000)</f>
        <v/>
      </c>
      <c r="AZ36" s="815" t="str">
        <f>IF($C36&lt;1,"",AVERAGEIF('09월 고철장입'!$A$14:$A$949,$A36,'09월 고철장입'!K$14:K$949)/1000)</f>
        <v/>
      </c>
      <c r="BA36" s="815" t="str">
        <f>IF($C36&lt;1,"",AVERAGEIF('09월 고철장입'!$A$14:$A$949,$A36,'09월 고철장입'!L$14:L$949)/1000)</f>
        <v/>
      </c>
      <c r="BB36" s="815" t="str">
        <f>IF($C36&lt;1,"",AVERAGEIF('09월 고철장입'!$A$14:$A$949,$A36,'09월 고철장입'!M$14:M$949)/1000)</f>
        <v/>
      </c>
      <c r="BC36" s="815" t="str">
        <f>IF($C36&lt;1,"",AVERAGEIF('09월 고철장입'!$A$14:$A$949,$A36,'09월 고철장입'!N$14:N$949)/1000)</f>
        <v/>
      </c>
      <c r="BD36" s="815" t="str">
        <f>IF($C36&lt;1,"",AVERAGEIF('09월 고철장입'!$A$14:$A$949,$A36,'09월 고철장입'!O$14:O$949)/1000)</f>
        <v/>
      </c>
      <c r="BE36" s="815" t="str">
        <f>IF($C36&lt;1,"",AVERAGEIF('09월 고철장입'!$A$14:$A$949,$A36,'09월 고철장입'!P$14:P$949)/1000)</f>
        <v/>
      </c>
      <c r="BF36" s="815" t="str">
        <f>IF($C36&lt;1,"",AVERAGEIF('09월 고철장입'!$A$14:$A$949,$A36,'09월 고철장입'!Q$14:Q$949)/1000)</f>
        <v/>
      </c>
      <c r="BG36" s="815" t="str">
        <f>IF($C36&lt;1,"",AVERAGEIF('09월 고철장입'!$A$14:$A$949,$A36,'09월 고철장입'!S$14:S$949)/1000)</f>
        <v/>
      </c>
      <c r="BH36" s="815" t="str">
        <f>IF($C36&lt;1,"",AVERAGEIF('09월 고철장입'!$A$14:$A$949,$A36,'09월 고철장입'!T$14:T$949)/1000)</f>
        <v/>
      </c>
      <c r="BI36" s="815" t="str">
        <f>IF($C36&lt;1,"",AVERAGEIF('09월 고철장입'!$A$14:$A$949,$A36,'09월 고철장입'!U$14:U$949)/1000)</f>
        <v/>
      </c>
      <c r="BJ36" s="815" t="str">
        <f>IF($C36&lt;1,"",AVERAGEIF('09월 고철장입'!$A$14:$A$949,$A36,'09월 고철장입'!V$14:V$949)/1000)</f>
        <v/>
      </c>
      <c r="BK36" s="815" t="str">
        <f>IF($C36&lt;1,"",AVERAGEIF('09월 고철장입'!$A$14:$A$949,$A36,'09월 고철장입'!W$14:W$949)/1000)</f>
        <v/>
      </c>
      <c r="BL36" s="815" t="str">
        <f>IF($C36&lt;1,"",AVERAGEIF('09월 고철장입'!$A$14:$A$949,$A36,'09월 고철장입'!Y$14:Y$949)/1000)</f>
        <v/>
      </c>
      <c r="BM36" s="815" t="str">
        <f>IF($C36&lt;1,"",AVERAGEIF('09월 고철장입'!$A$14:$A$949,$A36,'09월 고철장입'!AB$14:AB$949)/1000)</f>
        <v/>
      </c>
      <c r="BN36" s="815" t="str">
        <f>IF($C36&lt;1,"",AVERAGEIF('09월 고철장입'!$A$14:$A$949,$A36,'09월 고철장입'!AC$14:AC$949)/1000)</f>
        <v/>
      </c>
      <c r="BO36" s="815" t="str">
        <f>IF($C36&lt;1,"",AVERAGEIF('09월 고철장입'!$A$14:$A$949,$A36,'09월 고철장입'!AD$14:AD$949)/1000)</f>
        <v/>
      </c>
      <c r="BP36" s="815" t="str">
        <f>IF($C36&lt;1,"",AVERAGEIF('09월 고철장입'!$A$14:$A$949,$A36,'09월 고철장입'!AE$14:AE$949)/1000)</f>
        <v/>
      </c>
      <c r="BQ36" s="815" t="str">
        <f>IF($C36&lt;1,"",AVERAGEIF('09월 고철장입'!$A$14:$A$949,$A36,'09월 고철장입'!AF$14:AF$949)/1000)</f>
        <v/>
      </c>
      <c r="BR36" s="815" t="str">
        <f>IF($C36&lt;1,"",AVERAGEIF('09월 고철장입'!$A$14:$A$949,$A36,'09월 고철장입'!AG$14:AG$949)/1000)</f>
        <v/>
      </c>
      <c r="BS36" s="815" t="str">
        <f>IF($C36&lt;1,"",AVERAGEIF('09월 고철장입'!$A$14:$A$949,$A36,'09월 고철장입'!AH$14:AH$949)/1000)</f>
        <v/>
      </c>
      <c r="BT36" s="815" t="str">
        <f>IF($C36&lt;1,"",AVERAGEIF('09월 고철장입'!$A$14:$A$949,$A36,'09월 고철장입'!AI$14:AI$949)/1000)</f>
        <v/>
      </c>
      <c r="BU36" s="815" t="str">
        <f>IF($C36&lt;1,"",AVERAGEIF('09월 고철장입'!$A$14:$A$949,$A36,'09월 고철장입'!AJ$14:AJ$949)/1000)</f>
        <v/>
      </c>
      <c r="BV36" s="815" t="str">
        <f>IF($C36&lt;1,"",AVERAGEIF('09월 고철장입'!$A$14:$A$949,$A36,'09월 고철장입'!AK$14:AK$949))</f>
        <v/>
      </c>
      <c r="BW36" s="815" t="str">
        <f>IF($C36&lt;1,"",AVERAGEIF('09월 고철장입'!$A$14:$A$949,$A36,'09월 고철장입'!AL$14:AL$949)*100)</f>
        <v/>
      </c>
      <c r="BX36" s="815" t="str">
        <f>IF($C36&lt;1,"",AVERAGEIF('09월 에너지'!$A$14:$A$949,$A36,'09월 에너지'!G$14:G$949))</f>
        <v/>
      </c>
      <c r="BY36" s="817" t="str">
        <f>IF($C36&lt;1,"",AVERAGEIF('09월 에너지'!$A$14:$A$949,$A36,'09월 에너지'!H$14:H$949))</f>
        <v/>
      </c>
      <c r="BZ36" s="815" t="str">
        <f>IF($C36&lt;1,"",AVERAGEIF('09월 에너지'!$A$14:$A$949,$A36,'09월 에너지'!I$14:I$949))</f>
        <v/>
      </c>
      <c r="CA36" s="817" t="str">
        <f>IF($C36&lt;1,"",AVERAGEIF('09월 에너지'!$A$14:$A$949,$A36,'09월 에너지'!J$14:J$949))</f>
        <v/>
      </c>
      <c r="CB36" s="815" t="str">
        <f>IF($C36&lt;1,"",AVERAGEIF('09월 에너지'!$A$14:$A$949,$A36,'09월 에너지'!K$14:K$949))</f>
        <v/>
      </c>
      <c r="CC36" s="817" t="str">
        <f>IF($C36&lt;1,"",AVERAGEIF('09월 에너지'!$A$14:$A$949,$A36,'09월 에너지'!L$14:L$949))</f>
        <v/>
      </c>
      <c r="CD36" s="815" t="str">
        <f>IF($C36&lt;1,"",AVERAGEIF('09월 에너지'!$A$14:$A$949,$A36,'09월 에너지'!M$14:M$949))</f>
        <v/>
      </c>
      <c r="CE36" s="817" t="str">
        <f>IF($C36&lt;1,"",AVERAGEIF('09월 에너지'!$A$14:$A$949,$A36,'09월 에너지'!N$14:N$949))</f>
        <v/>
      </c>
      <c r="CF36" s="815" t="str">
        <f>IF($C36&lt;1,"",AVERAGEIF('09월 에너지'!$A$14:$A$949,$A36,'09월 에너지'!O$14:O$949))</f>
        <v/>
      </c>
      <c r="CG36" s="815" t="str">
        <f>IF($C36&lt;1,"",AVERAGEIF('09월 에너지'!$A$14:$A$949,$A36,'09월 에너지'!P$14:P$949))</f>
        <v/>
      </c>
      <c r="CH36" s="815" t="str">
        <f>IF($C36&lt;1,"",AVERAGEIF('09월 에너지'!$A$14:$A$949,$A36,'09월 에너지'!Q$14:Q$949))</f>
        <v/>
      </c>
      <c r="CI36" s="815" t="str">
        <f>IF($C36&lt;1,"",AVERAGEIF('09월 에너지'!$A$14:$A$949,$A36,'09월 에너지'!R$14:R$949))</f>
        <v/>
      </c>
      <c r="CJ36" s="815" t="str">
        <f>IF($C36&lt;1,"",AVERAGEIF('09월 에너지'!$A$14:$A$949,$A36,'09월 에너지'!S$14:S$949))</f>
        <v/>
      </c>
      <c r="CK36" s="815" t="str">
        <f>IF($C36&lt;1,"",AVERAGEIF('09월 에너지'!$A$14:$A$949,$A36,'09월 에너지'!T$14:T$949))</f>
        <v/>
      </c>
      <c r="CL36" s="815" t="str">
        <f>IF($C36&lt;1,"",AVERAGEIF('09월 에너지'!$A$14:$A$949,$A36,'09월 에너지'!U$14:U$949))</f>
        <v/>
      </c>
      <c r="CM36" s="817" t="str">
        <f>IF($C36&lt;1,"",AVERAGEIF('09월 에너지'!$A$14:$A$949,$A36,'09월 에너지'!V$14:V$949))</f>
        <v/>
      </c>
      <c r="CN36" s="817" t="str">
        <f>IF($C36&lt;1,"",AVERAGEIF('09월 에너지'!$A$14:$A$949,$A36,'09월 에너지'!W$14:W$949))</f>
        <v/>
      </c>
      <c r="CO36" s="815" t="str">
        <f>IF($C36&lt;1,"",AVERAGEIF('09월 에너지'!$A$14:$A$949,$A36,'09월 에너지'!X$14:X$949))</f>
        <v/>
      </c>
      <c r="CP36" s="817" t="str">
        <f>IF($C36&lt;1,"",AVERAGEIF('09월 에너지'!$A$14:$A$949,$A36,'09월 에너지'!Y$14:Y$949))</f>
        <v/>
      </c>
      <c r="CQ36" s="817" t="str">
        <f>IF($C36&lt;1,"",AVERAGEIF('09월 에너지'!$A$14:$A$949,$A36,'09월 에너지'!Z$14:Z$949))</f>
        <v/>
      </c>
      <c r="CR36" s="817" t="str">
        <f>IF($C36&lt;1,"",AVERAGEIF('09월 에너지'!$A$14:$A$949,$A36,'09월 에너지'!AA$14:AA$949))</f>
        <v/>
      </c>
      <c r="CS36" s="817" t="str">
        <f>IF($C36&lt;1,"",AVERAGEIF('09월 에너지'!$A$14:$A$949,$A36,'09월 에너지'!AB$14:AB$949))</f>
        <v/>
      </c>
      <c r="CT36" s="815" t="str">
        <f>IF($C36&lt;1,"",AVERAGEIF('09월 에너지'!$A$14:$A$949,$A36,'09월 에너지'!AC$14:AC$949))</f>
        <v/>
      </c>
      <c r="CU36" s="818" t="str">
        <f>IF($C36&lt;1,"",AVERAGEIF('09월 에너지'!$A$14:$A$949,$A36,'09월 에너지'!AD$14:AD$949))</f>
        <v/>
      </c>
      <c r="CV36" s="819" t="str">
        <f>IF($C36&lt;1,"",AVERAGEIF('09월 에너지'!$A$14:$A$949,$A36,'09월 에너지'!AE$14:AE$949))</f>
        <v/>
      </c>
      <c r="CW36" s="815" t="str">
        <f>IF($C36&lt;1,"",AVERAGEIF('09월 에너지'!$A$14:$A$949,$A36,'09월 에너지'!AF$14:AF$949))</f>
        <v/>
      </c>
      <c r="CX36" s="815" t="str">
        <f>IF($C36&lt;1,"",AVERAGEIF('09월 에너지'!$A$14:$A$949,$A36,'09월 에너지'!AG$14:AG$949))</f>
        <v/>
      </c>
      <c r="CY36" s="815" t="str">
        <f>IF($C36&lt;1,"",AVERAGEIF('09월 에너지'!$A$14:$A$949,$A36,'09월 에너지'!AH$14:AH$949))</f>
        <v/>
      </c>
      <c r="CZ36" s="815" t="str">
        <f>IF($C36&lt;1,"",AVERAGEIF('09월 에너지'!$A$14:$A$949,$A36,'09월 에너지'!AI$14:AI$949))</f>
        <v/>
      </c>
      <c r="DA36" s="820" t="str">
        <f>IF($C36&lt;1,"",AVERAGEIF('09월 에너지'!$A$14:$A$949,$A36,'09월 에너지'!AJ$14:AJ$949))</f>
        <v/>
      </c>
    </row>
    <row r="37" spans="1:105" ht="13.5" customHeight="1">
      <c r="A37" s="849">
        <f t="shared" si="2"/>
        <v>44933</v>
      </c>
      <c r="B37" s="850" t="s">
        <v>9</v>
      </c>
      <c r="C37" s="823">
        <f>COUNTIFS('09월 조업일지'!$A$12:$A$952,A36,'09월 조업일지'!$E$12:$E$952,B37)</f>
        <v>0</v>
      </c>
      <c r="D37" s="824" t="str">
        <f>IF(C37&lt;1,"",F37-E37)</f>
        <v/>
      </c>
      <c r="E37" s="824" t="str">
        <f>IF($C37&lt;1,"",(SUMIFS('09월 조업일지'!$K$12:$K$952,'09월 조업일지'!$A$12:$A$952,$A37,'09월 조업일지'!$E$12:$E$952,$B37)/$C37))</f>
        <v/>
      </c>
      <c r="F37" s="824" t="str">
        <f>IF($C37&lt;1,"",(AVERAGEIFS('09월 조업일지'!$J$12:$J$952,'09월 조업일지'!$A$12:$A$952,$A37,'09월 조업일지'!$E$12:$E$952,$B37)))</f>
        <v/>
      </c>
      <c r="G37" s="825" t="str">
        <f>IF($C37&lt;1,"",(AVERAGEIFS('09월 에너지'!$M$14:$M$949,'09월 에너지'!$A$14:$A$949,$A37,'09월 에너지'!$C$14:$C$949,$B37)))</f>
        <v/>
      </c>
      <c r="H37" s="826" t="str">
        <f>IF($C37&lt;1,"",(AVERAGEIFS('09월 조업일지'!$AJ$12:$AJ$952,'09월 조업일지'!$A$12:$A$952,$A37,'09월 조업일지'!$E$12:$E$952,$B37)))</f>
        <v/>
      </c>
      <c r="I37" s="826" t="str">
        <f>IF($C37&lt;1,"",(AVERAGEIFS('09월 조업일지'!$AL$12:$AL$952,'09월 조업일지'!$A$12:$A$952,$A37,'09월 조업일지'!$E$12:$E$952,$B37)))</f>
        <v/>
      </c>
      <c r="J37" s="827" t="str">
        <f>IF($C37&lt;1,"",(AVERAGEIFS('09월 화학성분'!G$12:G$949,'09월 화학성분'!$A$12:$A$949,$A37,'09월 화학성분'!$D$12:$D$949,$B37)))</f>
        <v/>
      </c>
      <c r="K37" s="827" t="str">
        <f>IF($C37&lt;1,"",(AVERAGEIFS('09월 화학성분'!H$12:H$949,'09월 화학성분'!$A$12:$A$949,$A37,'09월 화학성분'!$D$12:$D$949,$B37)))</f>
        <v/>
      </c>
      <c r="L37" s="827" t="str">
        <f>IF($C37&lt;1,"",(AVERAGEIFS('09월 화학성분'!I$12:I$949,'09월 화학성분'!$A$12:$A$949,$A37,'09월 화학성분'!$D$12:$D$949,$B37)))</f>
        <v/>
      </c>
      <c r="M37" s="827" t="str">
        <f>IF($C37&lt;1,"",(AVERAGEIFS('09월 화학성분'!J$12:J$949,'09월 화학성분'!$A$12:$A$949,$A37,'09월 화학성분'!$D$12:$D$949,$B37)))</f>
        <v/>
      </c>
      <c r="N37" s="827" t="str">
        <f>IF($C37&lt;1,"",(AVERAGEIFS('09월 화학성분'!K$12:K$949,'09월 화학성분'!$A$12:$A$949,$A37,'09월 화학성분'!$D$12:$D$949,$B37)))</f>
        <v/>
      </c>
      <c r="O37" s="827" t="str">
        <f>IF($C37&lt;1,"",(AVERAGEIFS('09월 화학성분'!L$12:L$949,'09월 화학성분'!$A$12:$A$949,$A37,'09월 화학성분'!$D$12:$D$949,$B37)))</f>
        <v/>
      </c>
      <c r="P37" s="827" t="str">
        <f>IF($C37&lt;1,"",(AVERAGEIFS('09월 화학성분'!M$12:M$949,'09월 화학성분'!$A$12:$A$949,$A37,'09월 화학성분'!$D$12:$D$949,$B37)))</f>
        <v/>
      </c>
      <c r="Q37" s="827" t="str">
        <f>IFERROR(IF($C37&lt;1,"",(AVERAGEIFS('09월 조업일지'!$AA$12:$AA$952,'09월 조업일지'!$A$12:$A$952,$A37,'09월 조업일지'!$E$12:$E$952,$B37))),"")</f>
        <v/>
      </c>
      <c r="R37" s="827" t="str">
        <f>IF($C37&lt;1,"",(AVERAGEIFS('09월 조업일지'!$AK$12:$AK$952,'09월 조업일지'!$A$12:$A$952,$A37,'09월 조업일지'!$E$12:$E$952,$B37)))</f>
        <v/>
      </c>
      <c r="S37" s="827"/>
      <c r="T37" s="827"/>
      <c r="U37" s="827" t="str">
        <f>IF($C37&lt;1,"",(AVERAGEIFS('09월 화학성분'!$G$12:$G$949,'09월 화학성분'!$A$12:$A$949,$A37,'09월 화학성분'!$D$12:$D$949,$B37)))</f>
        <v/>
      </c>
      <c r="V37" s="827" t="str">
        <f>IF($C37&lt;1,"",(AVERAGEIFS('09월 조업일지'!$AI$12:$AI$952,'09월 조업일지'!$A$12:$A$952,$A37,'09월 조업일지'!$E$12:$E$952,$B37)))</f>
        <v/>
      </c>
      <c r="W37" s="828" t="str">
        <f>IF($C37&lt;1,"",(AVERAGEIFS('09월 화학성분'!$AM$12:$AM$949,'09월 화학성분'!$A$12:$A$949,$A37,'09월 화학성분'!$D$12:$D$949,$B37)))</f>
        <v/>
      </c>
      <c r="X37" s="829" t="str">
        <f>IF($C37&lt;1,"",(AVERAGEIFS('09월 화학성분'!N$12:N$949,'09월 화학성분'!$A$12:$A$949,$A37,'09월 화학성분'!$D$12:$D$949,$B37)))</f>
        <v/>
      </c>
      <c r="Y37" s="829" t="str">
        <f>IF($C37&lt;1,"",(AVERAGEIFS('09월 화학성분'!O$12:O$949,'09월 화학성분'!$A$12:$A$949,$A37,'09월 화학성분'!$D$12:$D$949,$B37)))</f>
        <v/>
      </c>
      <c r="Z37" s="829" t="str">
        <f>IF($C37&lt;1,"",(AVERAGEIFS('09월 화학성분'!P$12:P$949,'09월 화학성분'!$A$12:$A$949,$A37,'09월 화학성분'!$D$12:$D$949,$B37)))</f>
        <v/>
      </c>
      <c r="AA37" s="829" t="str">
        <f>IF($C37&lt;1,"",(AVERAGEIFS('09월 화학성분'!Q$12:Q$949,'09월 화학성분'!$A$12:$A$949,$A37,'09월 화학성분'!$D$12:$D$949,$B37)))</f>
        <v/>
      </c>
      <c r="AB37" s="829" t="str">
        <f>IF($C37&lt;1,"",(AVERAGEIFS('09월 화학성분'!R$12:R$949,'09월 화학성분'!$A$12:$A$949,$A37,'09월 화학성분'!$D$12:$D$949,$B37)))</f>
        <v/>
      </c>
      <c r="AC37" s="829" t="str">
        <f>IF($C37&lt;1,"",(AVERAGEIFS('09월 화학성분'!U$12:U$949,'09월 화학성분'!$A$12:$A$949,$A37,'09월 화학성분'!$D$12:$D$949,$B37)))</f>
        <v/>
      </c>
      <c r="AD37" s="829" t="str">
        <f>IF($C37&lt;1,"",(AVERAGEIFS('09월 화학성분'!V$12:V$949,'09월 화학성분'!$A$12:$A$949,$A37,'09월 화학성분'!$D$12:$D$949,$B37)))</f>
        <v/>
      </c>
      <c r="AE37" s="829" t="str">
        <f>IF($C37&lt;1,"",(AVERAGEIFS('09월 화학성분'!W$12:W$949,'09월 화학성분'!$A$12:$A$949,$A37,'09월 화학성분'!$D$12:$D$949,$B37)))</f>
        <v/>
      </c>
      <c r="AF37" s="829" t="str">
        <f>IF($C37&lt;1,"",(AVERAGEIFS('09월 화학성분'!AA$12:AA$949,'09월 화학성분'!$A$12:$A$949,$A37,'09월 화학성분'!$D$12:$D$949,$B37)))</f>
        <v/>
      </c>
      <c r="AG37" s="829" t="str">
        <f>IF($C37&lt;1,"",(AVERAGEIFS('09월 화학성분'!#REF!,'09월 화학성분'!$A$12:$A$949,$A37,'09월 화학성분'!$D$12:$D$949,$B37)))</f>
        <v/>
      </c>
      <c r="AH37" s="829" t="str">
        <f>IF($C37&lt;1,"",(AVERAGEIFS('09월 화학성분'!AB$12:AB$949,'09월 화학성분'!$A$12:$A$949,$A37,'09월 화학성분'!$D$12:$D$949,$B37)))</f>
        <v/>
      </c>
      <c r="AI37" s="829" t="str">
        <f>IF($C37&lt;1,"",(AVERAGEIFS('09월 화학성분'!AC$12:AC$949,'09월 화학성분'!$A$12:$A$949,$A37,'09월 화학성분'!$D$12:$D$949,$B37)))</f>
        <v/>
      </c>
      <c r="AJ37" s="829" t="str">
        <f>IF($C37&lt;1,"",(AVERAGEIFS('09월 화학성분'!AD$12:AD$949,'09월 화학성분'!$A$12:$A$949,$A37,'09월 화학성분'!$D$12:$D$949,$B37)))</f>
        <v/>
      </c>
      <c r="AK37" s="829" t="str">
        <f>IF($C37&lt;1,"",(AVERAGEIFS('09월 화학성분'!AF$12:AF$949,'09월 화학성분'!$A$12:$A$949,$A37,'09월 화학성분'!$D$12:$D$949,$B37)))</f>
        <v/>
      </c>
      <c r="AL37" s="829" t="str">
        <f>IF($C37&lt;1,"",(AVERAGEIFS('09월 화학성분'!AG$12:AG$949,'09월 화학성분'!$A$12:$A$949,$A37,'09월 화학성분'!$D$12:$D$949,$B37)))</f>
        <v/>
      </c>
      <c r="AM37" s="829" t="str">
        <f>IF($C37&lt;1,"",(AVERAGEIFS('09월 화학성분'!AH$12:AH$949,'09월 화학성분'!$A$12:$A$949,$A37,'09월 화학성분'!$D$12:$D$949,$B37)))</f>
        <v/>
      </c>
      <c r="AN37" s="829" t="str">
        <f>IF($C37&lt;1,"",(AVERAGEIFS('09월 화학성분'!AI$12:AI$949,'09월 화학성분'!$A$12:$A$949,$A37,'09월 화학성분'!$D$12:$D$949,$B37)))</f>
        <v/>
      </c>
      <c r="AO37" s="829" t="str">
        <f>IF($C37&lt;1,"",(AVERAGEIFS('09월 화학성분'!AJ$12:AJ$949,'09월 화학성분'!$A$12:$A$949,$A37,'09월 화학성분'!$D$12:$D$949,$B37)))</f>
        <v/>
      </c>
      <c r="AP37" s="829" t="str">
        <f>IF($C37&lt;1,"",(AVERAGEIFS('09월 화학성분'!#REF!,'09월 화학성분'!$A$12:$A$949,$A37,'09월 화학성분'!$D$12:$D$949,$B37)))</f>
        <v/>
      </c>
      <c r="AQ37" s="829" t="str">
        <f>IF($C37&lt;1,"",(AVERAGEIFS('09월 화학성분'!AL$12:AL$949,'09월 화학성분'!$A$12:$A$949,$A37,'09월 화학성분'!$D$12:$D$949,$B37)))</f>
        <v/>
      </c>
      <c r="AR37" s="829" t="str">
        <f>IF($C37&lt;1,"",(AVERAGEIFS('09월 화학성분'!AM$12:AM$949,'09월 화학성분'!$A$12:$A$949,$A37,'09월 화학성분'!$D$12:$D$949,$B37)))</f>
        <v/>
      </c>
      <c r="AS37" s="830" t="str">
        <f>IF($C37&lt;1,"",(AVERAGEIFS('09월 화학성분'!AN$12:AN$949,'09월 화학성분'!$A$12:$A$949,$A37,'09월 화학성분'!$D$12:$D$949,$B37)))</f>
        <v/>
      </c>
      <c r="AT37" s="830" t="str">
        <f>IF($C37&lt;1,"",(AVERAGEIFS('09월 화학성분'!AO$12:AO$949,'09월 화학성분'!$A$12:$A$949,$A37,'09월 화학성분'!$D$12:$D$949,$B37)))</f>
        <v/>
      </c>
      <c r="AU37" s="831" t="str">
        <f>IF($C37&lt;1,"",(AVERAGEIFS('09월 화학성분'!AP$12:AP$949,'09월 화학성분'!$A$12:$A$949,$A37,'09월 화학성분'!$D$12:$D$949,$B37)))</f>
        <v/>
      </c>
      <c r="AV37" s="832" t="str">
        <f>IF($C37&lt;1,"",(AVERAGEIFS('09월 고철장입'!G$14:G$949,'09월 고철장입'!$A$14:$A$949,$A37,'09월 고철장입'!$C$14:$C$949,$B37))/1000)</f>
        <v/>
      </c>
      <c r="AW37" s="832" t="str">
        <f>IF($C37&lt;1,"",(AVERAGEIFS('09월 고철장입'!H$14:H$949,'09월 고철장입'!$A$14:$A$949,$A37,'09월 고철장입'!$C$14:$C$949,$B37))/1000)</f>
        <v/>
      </c>
      <c r="AX37" s="832" t="str">
        <f>IF($C37&lt;1,"",(AVERAGEIFS('09월 고철장입'!I$14:I$949,'09월 고철장입'!$A$14:$A$949,$A37,'09월 고철장입'!$C$14:$C$949,$B37))/1000)</f>
        <v/>
      </c>
      <c r="AY37" s="832" t="str">
        <f>IF($C37&lt;1,"",(AVERAGEIFS('09월 고철장입'!J$14:J$949,'09월 고철장입'!$A$14:$A$949,$A37,'09월 고철장입'!$C$14:$C$949,$B37))/1000)</f>
        <v/>
      </c>
      <c r="AZ37" s="832" t="str">
        <f>IF($C37&lt;1,"",(AVERAGEIFS('09월 고철장입'!K$14:K$949,'09월 고철장입'!$A$14:$A$949,$A37,'09월 고철장입'!$C$14:$C$949,$B37))/1000)</f>
        <v/>
      </c>
      <c r="BA37" s="832" t="str">
        <f>IF($C37&lt;1,"",(AVERAGEIFS('09월 고철장입'!L$14:L$949,'09월 고철장입'!$A$14:$A$949,$A37,'09월 고철장입'!$C$14:$C$949,$B37))/1000)</f>
        <v/>
      </c>
      <c r="BB37" s="832" t="str">
        <f>IF($C37&lt;1,"",(AVERAGEIFS('09월 고철장입'!M$14:M$949,'09월 고철장입'!$A$14:$A$949,$A37,'09월 고철장입'!$C$14:$C$949,$B37))/1000)</f>
        <v/>
      </c>
      <c r="BC37" s="832" t="str">
        <f>IF($C37&lt;1,"",(AVERAGEIFS('09월 고철장입'!N$14:N$949,'09월 고철장입'!$A$14:$A$949,$A37,'09월 고철장입'!$C$14:$C$949,$B37))/1000)</f>
        <v/>
      </c>
      <c r="BD37" s="832" t="str">
        <f>IF($C37&lt;1,"",(AVERAGEIFS('09월 고철장입'!O$14:O$949,'09월 고철장입'!$A$14:$A$949,$A37,'09월 고철장입'!$C$14:$C$949,$B37))/1000)</f>
        <v/>
      </c>
      <c r="BE37" s="833" t="str">
        <f>IF($C37&lt;1,"",(AVERAGEIFS('09월 고철장입'!P$14:P$949,'09월 고철장입'!$A$14:$A$949,$A37,'09월 고철장입'!$C$14:$C$949,$B37))/1000)</f>
        <v/>
      </c>
      <c r="BF37" s="833" t="str">
        <f>IF($C37&lt;1,"",(AVERAGEIFS('09월 고철장입'!Q$14:Q$949,'09월 고철장입'!$A$14:$A$949,$A37,'09월 고철장입'!$C$14:$C$949,$B37))/1000)</f>
        <v/>
      </c>
      <c r="BG37" s="833" t="str">
        <f>IF($C37&lt;1,"",(AVERAGEIFS('09월 고철장입'!S$14:S$949,'09월 고철장입'!$A$14:$A$949,$A37,'09월 고철장입'!$C$14:$C$949,$B37))/1000)</f>
        <v/>
      </c>
      <c r="BH37" s="833" t="str">
        <f>IF($C37&lt;1,"",(AVERAGEIFS('09월 고철장입'!T$14:T$949,'09월 고철장입'!$A$14:$A$949,$A37,'09월 고철장입'!$C$14:$C$949,$B37))/1000)</f>
        <v/>
      </c>
      <c r="BI37" s="833" t="str">
        <f>IF($C37&lt;1,"",(AVERAGEIFS('09월 고철장입'!U$14:U$949,'09월 고철장입'!$A$14:$A$949,$A37,'09월 고철장입'!$C$14:$C$949,$B37))/1000)</f>
        <v/>
      </c>
      <c r="BJ37" s="833" t="str">
        <f>IF($C37&lt;1,"",(AVERAGEIFS('09월 고철장입'!V$14:V$949,'09월 고철장입'!$A$14:$A$949,$A37,'09월 고철장입'!$C$14:$C$949,$B37))/1000)</f>
        <v/>
      </c>
      <c r="BK37" s="833" t="str">
        <f>IF($C37&lt;1,"",(AVERAGEIFS('09월 고철장입'!W$14:W$949,'09월 고철장입'!$A$14:$A$949,$A37,'09월 고철장입'!$C$14:$C$949,$B37))/1000)</f>
        <v/>
      </c>
      <c r="BL37" s="833" t="str">
        <f>IF($C37&lt;1,"",(AVERAGEIFS('09월 고철장입'!Y$14:Y$949,'09월 고철장입'!$A$14:$A$949,$A37,'09월 고철장입'!$C$14:$C$949,$B37))/1000)</f>
        <v/>
      </c>
      <c r="BM37" s="833" t="str">
        <f>IF($C37&lt;1,"",(AVERAGEIFS('09월 고철장입'!AB$14:AB$949,'09월 고철장입'!$A$14:$A$949,$A37,'09월 고철장입'!$C$14:$C$949,$B37))/1000)</f>
        <v/>
      </c>
      <c r="BN37" s="833" t="str">
        <f>IF($C37&lt;1,"",(AVERAGEIFS('09월 고철장입'!AC$14:AC$949,'09월 고철장입'!$A$14:$A$949,$A37,'09월 고철장입'!$C$14:$C$949,$B37))/1000)</f>
        <v/>
      </c>
      <c r="BO37" s="833" t="str">
        <f>IF($C37&lt;1,"",(AVERAGEIFS('09월 고철장입'!AD$14:AD$949,'09월 고철장입'!$A$14:$A$949,$A37,'09월 고철장입'!$C$14:$C$949,$B37))/1000)</f>
        <v/>
      </c>
      <c r="BP37" s="833" t="str">
        <f>IF($C37&lt;1,"",(AVERAGEIFS('09월 고철장입'!AE$14:AE$949,'09월 고철장입'!$A$14:$A$949,$A37,'09월 고철장입'!$C$14:$C$949,$B37))/1000)</f>
        <v/>
      </c>
      <c r="BQ37" s="832" t="str">
        <f>IF($C37&lt;1,"",(AVERAGEIFS('09월 고철장입'!AF$14:AF$949,'09월 고철장입'!$A$14:$A$949,$A37,'09월 고철장입'!$C$14:$C$949,$B37))/1000)</f>
        <v/>
      </c>
      <c r="BR37" s="832" t="str">
        <f>IF($C37&lt;1,"",(AVERAGEIFS('09월 고철장입'!AG$14:AG$949,'09월 고철장입'!$A$14:$A$949,$A37,'09월 고철장입'!$C$14:$C$949,$B37))/1000)</f>
        <v/>
      </c>
      <c r="BS37" s="832" t="str">
        <f>IF($C37&lt;1,"",(AVERAGEIFS('09월 고철장입'!AH$14:AH$949,'09월 고철장입'!$A$14:$A$949,$A37,'09월 고철장입'!$C$14:$C$949,$B37))/1000)</f>
        <v/>
      </c>
      <c r="BT37" s="832" t="str">
        <f>IF($C37&lt;1,"",(AVERAGEIFS('09월 고철장입'!AI$14:AI$949,'09월 고철장입'!$A$14:$A$949,$A37,'09월 고철장입'!$C$14:$C$949,$B37))/1000)</f>
        <v/>
      </c>
      <c r="BU37" s="834" t="str">
        <f>IF($C37&lt;1,"",(AVERAGEIFS('09월 고철장입'!AJ$14:AJ$949,'09월 고철장입'!$A$14:$A$949,$A37,'09월 고철장입'!$C$14:$C$949,$B37))/1000)</f>
        <v/>
      </c>
      <c r="BV37" s="834" t="str">
        <f>IF($C37&lt;1,"",(AVERAGEIFS('09월 고철장입'!AK$14:AK$949,'09월 고철장입'!$A$14:$A$949,$A37,'09월 고철장입'!$C$14:$C$949,$B37)))</f>
        <v/>
      </c>
      <c r="BW37" s="834" t="str">
        <f>IF($C37&lt;1,"",(AVERAGEIFS('09월 고철장입'!AL$14:AL$949,'09월 고철장입'!$A$14:$A$949,$A37,'09월 고철장입'!$C$14:$C$949,$B37))*100)</f>
        <v/>
      </c>
      <c r="BX37" s="831" t="str">
        <f>IF($C37&lt;1,"",(AVERAGEIFS('09월 에너지'!G$14:G$949,'09월 에너지'!$A$14:$A$949,$A37,'09월 에너지'!$C$14:$C$949,$B37)))</f>
        <v/>
      </c>
      <c r="BY37" s="835" t="str">
        <f>IF($C37&lt;1,"",(AVERAGEIFS('09월 에너지'!H$14:H$949,'09월 에너지'!$A$14:$A$949,$A37,'09월 에너지'!$C$14:$C$949,$B37)))</f>
        <v/>
      </c>
      <c r="BZ37" s="831" t="str">
        <f>IF($C37&lt;1,"",(AVERAGEIFS('09월 에너지'!I$14:I$949,'09월 에너지'!$A$14:$A$949,$A37,'09월 에너지'!$C$14:$C$949,$B37)))</f>
        <v/>
      </c>
      <c r="CA37" s="835" t="str">
        <f>IF($C37&lt;1,"",(AVERAGEIFS('09월 에너지'!J$14:J$949,'09월 에너지'!$A$14:$A$949,$A37,'09월 에너지'!$C$14:$C$949,$B37)))</f>
        <v/>
      </c>
      <c r="CB37" s="831" t="str">
        <f>IF($C37&lt;1,"",(AVERAGEIFS('09월 에너지'!K$14:K$949,'09월 에너지'!$A$14:$A$949,$A37,'09월 에너지'!$C$14:$C$949,$B37)))</f>
        <v/>
      </c>
      <c r="CC37" s="835" t="str">
        <f>IF($C37&lt;1,"",(AVERAGEIFS('09월 에너지'!L$14:L$949,'09월 에너지'!$A$14:$A$949,$A37,'09월 에너지'!$C$14:$C$949,$B37)))</f>
        <v/>
      </c>
      <c r="CD37" s="831" t="str">
        <f>IF($C37&lt;1,"",(AVERAGEIFS('09월 에너지'!M$14:M$949,'09월 에너지'!$A$14:$A$949,$A37,'09월 에너지'!$C$14:$C$949,$B37)))</f>
        <v/>
      </c>
      <c r="CE37" s="835" t="str">
        <f>IF($C37&lt;1,"",(AVERAGEIFS('09월 에너지'!N$14:N$949,'09월 에너지'!$A$14:$A$949,$A37,'09월 에너지'!$C$14:$C$949,$B37)))</f>
        <v/>
      </c>
      <c r="CF37" s="831" t="str">
        <f>IF($C37&lt;1,"",(AVERAGEIFS('09월 에너지'!O$14:O$949,'09월 에너지'!$A$14:$A$949,$A37,'09월 에너지'!$C$14:$C$949,$B37)))</f>
        <v/>
      </c>
      <c r="CG37" s="831" t="str">
        <f>IF($C37&lt;1,"",(AVERAGEIFS('09월 에너지'!P$14:P$949,'09월 에너지'!$A$14:$A$949,$A37,'09월 에너지'!$C$14:$C$949,$B37)))</f>
        <v/>
      </c>
      <c r="CH37" s="831" t="str">
        <f>IF($C37&lt;1,"",(AVERAGEIFS('09월 에너지'!Q$14:Q$949,'09월 에너지'!$A$14:$A$949,$A37,'09월 에너지'!$C$14:$C$949,$B37)))</f>
        <v/>
      </c>
      <c r="CI37" s="831" t="str">
        <f>IF($C37&lt;1,"",(AVERAGEIFS('09월 에너지'!R$14:R$949,'09월 에너지'!$A$14:$A$949,$A37,'09월 에너지'!$C$14:$C$949,$B37)))</f>
        <v/>
      </c>
      <c r="CJ37" s="831" t="str">
        <f>IF($C37&lt;1,"",(AVERAGEIFS('09월 에너지'!S$14:S$949,'09월 에너지'!$A$14:$A$949,$A37,'09월 에너지'!$C$14:$C$949,$B37)))</f>
        <v/>
      </c>
      <c r="CK37" s="831" t="str">
        <f>IF($C37&lt;1,"",(AVERAGEIFS('09월 에너지'!T$14:T$949,'09월 에너지'!$A$14:$A$949,$A37,'09월 에너지'!$C$14:$C$949,$B37)))</f>
        <v/>
      </c>
      <c r="CL37" s="831" t="str">
        <f>IF($C37&lt;1,"",(AVERAGEIFS('09월 에너지'!U$14:U$949,'09월 에너지'!$A$14:$A$949,$A37,'09월 에너지'!$C$14:$C$949,$B37)))</f>
        <v/>
      </c>
      <c r="CM37" s="835" t="str">
        <f>IF($C37&lt;1,"",(AVERAGEIFS('09월 에너지'!V$14:V$949,'09월 에너지'!$A$14:$A$949,$A37,'09월 에너지'!$C$14:$C$949,$B37)))</f>
        <v/>
      </c>
      <c r="CN37" s="835" t="str">
        <f>IF($C37&lt;1,"",(AVERAGEIFS('09월 에너지'!W$14:W$949,'09월 에너지'!$A$14:$A$949,$A37,'09월 에너지'!$C$14:$C$949,$B37)))</f>
        <v/>
      </c>
      <c r="CO37" s="831" t="str">
        <f>IF($C37&lt;1,"",(AVERAGEIFS('09월 에너지'!X$14:X$949,'09월 에너지'!$A$14:$A$949,$A37,'09월 에너지'!$C$14:$C$949,$B37)))</f>
        <v/>
      </c>
      <c r="CP37" s="835" t="str">
        <f>IF($C37&lt;1,"",(AVERAGEIFS('09월 에너지'!Y$14:Y$949,'09월 에너지'!$A$14:$A$949,$A37,'09월 에너지'!$C$14:$C$949,$B37)))</f>
        <v/>
      </c>
      <c r="CQ37" s="835" t="str">
        <f>IF($C37&lt;1,"",(AVERAGEIFS('09월 에너지'!Z$14:Z$949,'09월 에너지'!$A$14:$A$949,$A37,'09월 에너지'!$C$14:$C$949,$B37)))</f>
        <v/>
      </c>
      <c r="CR37" s="835" t="str">
        <f>IF($C37&lt;1,"",(AVERAGEIFS('09월 에너지'!AA$14:AA$949,'09월 에너지'!$A$14:$A$949,$A37,'09월 에너지'!$C$14:$C$949,$B37)))</f>
        <v/>
      </c>
      <c r="CS37" s="835" t="str">
        <f>IF($C37&lt;1,"",(AVERAGEIFS('09월 에너지'!AB$14:AB$949,'09월 에너지'!$A$14:$A$949,$A37,'09월 에너지'!$C$14:$C$949,$B37)))</f>
        <v/>
      </c>
      <c r="CT37" s="831" t="str">
        <f>IF($C37&lt;1,"",(AVERAGEIFS('09월 에너지'!AC$14:AC$949,'09월 에너지'!$A$14:$A$949,$A37,'09월 에너지'!$C$14:$C$949,$B37)))</f>
        <v/>
      </c>
      <c r="CU37" s="836" t="str">
        <f>IF($C37&lt;1,"",(AVERAGEIFS('09월 에너지'!AD$14:AD$949,'09월 에너지'!$A$14:$A$949,$A37,'09월 에너지'!$C$14:$C$949,$B37)))</f>
        <v/>
      </c>
      <c r="CV37" s="837" t="str">
        <f>IF($C37&lt;1,"",(AVERAGEIFS('09월 에너지'!AE$14:AE$949,'09월 에너지'!$A$14:$A$949,$A37,'09월 에너지'!$C$14:$C$949,$B37)))</f>
        <v/>
      </c>
      <c r="CW37" s="831" t="str">
        <f>IF($C37&lt;1,"",(AVERAGEIFS('09월 에너지'!AF$14:AF$949,'09월 에너지'!$A$14:$A$949,$A37,'09월 에너지'!$C$14:$C$949,$B37)))</f>
        <v/>
      </c>
      <c r="CX37" s="831" t="str">
        <f>IF($C37&lt;1,"",(AVERAGEIFS('09월 에너지'!AG$14:AG$949,'09월 에너지'!$A$14:$A$949,$A37,'09월 에너지'!$C$14:$C$949,$B37)))</f>
        <v/>
      </c>
      <c r="CY37" s="831" t="str">
        <f>IF($C37&lt;1,"",(AVERAGEIFS('09월 에너지'!AH$14:AH$949,'09월 에너지'!$A$14:$A$949,$A37,'09월 에너지'!$C$14:$C$949,$B37)))</f>
        <v/>
      </c>
      <c r="CZ37" s="831" t="str">
        <f>IF($C37&lt;1,"",(AVERAGEIFS('09월 에너지'!AI$14:AI$949,'09월 에너지'!$A$14:$A$949,$A37,'09월 에너지'!$C$14:$C$949,$B37)))</f>
        <v/>
      </c>
      <c r="DA37" s="838" t="str">
        <f>IF($C37&lt;1,"",(AVERAGEIFS('09월 에너지'!AJ$14:AJ$949,'09월 에너지'!$A$14:$A$949,$A37,'09월 에너지'!$C$14:$C$949,$B37)))</f>
        <v/>
      </c>
    </row>
    <row r="38" spans="1:105" ht="13.5" customHeight="1">
      <c r="A38" s="849">
        <f t="shared" si="2"/>
        <v>44933</v>
      </c>
      <c r="B38" s="850" t="s">
        <v>100</v>
      </c>
      <c r="C38" s="823">
        <f>COUNTIFS('09월 조업일지'!$A$12:$A$952,A36,'09월 조업일지'!$E$12:$E$952,B38)</f>
        <v>0</v>
      </c>
      <c r="D38" s="824" t="str">
        <f t="shared" ref="D38:D40" si="8">IF(C38&lt;1,"",F38-E38)</f>
        <v/>
      </c>
      <c r="E38" s="824" t="str">
        <f>IF($C38&lt;1,"",(SUMIFS('09월 조업일지'!$K$12:$K$952,'09월 조업일지'!$A$12:$A$952,$A38,'09월 조업일지'!$E$12:$E$952,$B38)/$C38))</f>
        <v/>
      </c>
      <c r="F38" s="824" t="str">
        <f>IF($C38&lt;1,"",(AVERAGEIFS('09월 조업일지'!$J$12:$J$952,'09월 조업일지'!$A$12:$A$952,$A38,'09월 조업일지'!$E$12:$E$952,$B38)))</f>
        <v/>
      </c>
      <c r="G38" s="825" t="str">
        <f>IF($C38&lt;1,"",(AVERAGEIFS('09월 에너지'!$M$14:$M$949,'09월 에너지'!$A$14:$A$949,$A38,'09월 에너지'!$C$14:$C$949,$B38)))</f>
        <v/>
      </c>
      <c r="H38" s="826" t="str">
        <f>IF($C38&lt;1,"",(AVERAGEIFS('09월 조업일지'!$AJ$12:$AJ$952,'09월 조업일지'!$A$12:$A$952,$A38,'09월 조업일지'!$E$12:$E$952,$B38)))</f>
        <v/>
      </c>
      <c r="I38" s="826" t="str">
        <f>IF($C38&lt;1,"",(AVERAGEIFS('09월 조업일지'!$AL$12:$AL$952,'09월 조업일지'!$A$12:$A$952,$A38,'09월 조업일지'!$E$12:$E$952,$B38)))</f>
        <v/>
      </c>
      <c r="J38" s="827" t="str">
        <f>IF($C38&lt;1,"",(AVERAGEIFS('09월 화학성분'!G$12:G$949,'09월 화학성분'!$A$12:$A$949,$A38,'09월 화학성분'!$D$12:$D$949,$B38)))</f>
        <v/>
      </c>
      <c r="K38" s="827" t="str">
        <f>IF($C38&lt;1,"",(AVERAGEIFS('09월 화학성분'!H$12:H$949,'09월 화학성분'!$A$12:$A$949,$A38,'09월 화학성분'!$D$12:$D$949,$B38)))</f>
        <v/>
      </c>
      <c r="L38" s="827" t="str">
        <f>IF($C38&lt;1,"",(AVERAGEIFS('09월 화학성분'!I$12:I$949,'09월 화학성분'!$A$12:$A$949,$A38,'09월 화학성분'!$D$12:$D$949,$B38)))</f>
        <v/>
      </c>
      <c r="M38" s="827" t="str">
        <f>IF($C38&lt;1,"",(AVERAGEIFS('09월 화학성분'!J$12:J$949,'09월 화학성분'!$A$12:$A$949,$A38,'09월 화학성분'!$D$12:$D$949,$B38)))</f>
        <v/>
      </c>
      <c r="N38" s="827" t="str">
        <f>IF($C38&lt;1,"",(AVERAGEIFS('09월 화학성분'!K$12:K$949,'09월 화학성분'!$A$12:$A$949,$A38,'09월 화학성분'!$D$12:$D$949,$B38)))</f>
        <v/>
      </c>
      <c r="O38" s="827" t="str">
        <f>IF($C38&lt;1,"",(AVERAGEIFS('09월 화학성분'!L$12:L$949,'09월 화학성분'!$A$12:$A$949,$A38,'09월 화학성분'!$D$12:$D$949,$B38)))</f>
        <v/>
      </c>
      <c r="P38" s="827" t="str">
        <f>IF($C38&lt;1,"",(AVERAGEIFS('09월 화학성분'!M$12:M$949,'09월 화학성분'!$A$12:$A$949,$A38,'09월 화학성분'!$D$12:$D$949,$B38)))</f>
        <v/>
      </c>
      <c r="Q38" s="827" t="str">
        <f>IFERROR(IF($C38&lt;1,"",(AVERAGEIFS('09월 조업일지'!$AA$12:$AA$952,'09월 조업일지'!$A$12:$A$952,$A38,'09월 조업일지'!$E$12:$E$952,$B38))),"")</f>
        <v/>
      </c>
      <c r="R38" s="827" t="str">
        <f>IF($C38&lt;1,"",(AVERAGEIFS('09월 조업일지'!$AK$12:$AK$952,'09월 조업일지'!$A$12:$A$952,$A38,'09월 조업일지'!$E$12:$E$952,$B38)))</f>
        <v/>
      </c>
      <c r="S38" s="827"/>
      <c r="T38" s="827"/>
      <c r="U38" s="827" t="str">
        <f>IF($C38&lt;1,"",(AVERAGEIFS('09월 화학성분'!$G$12:$G$949,'09월 화학성분'!$A$12:$A$949,$A38,'09월 화학성분'!$D$12:$D$949,$B38)))</f>
        <v/>
      </c>
      <c r="V38" s="827" t="str">
        <f>IF($C38&lt;1,"",(AVERAGEIFS('09월 조업일지'!$AI$12:$AI$952,'09월 조업일지'!$A$12:$A$952,$A38,'09월 조업일지'!$E$12:$E$952,$B38)))</f>
        <v/>
      </c>
      <c r="W38" s="828" t="str">
        <f>IF($C38&lt;1,"",(AVERAGEIFS('09월 화학성분'!$AM$12:$AM$949,'09월 화학성분'!$A$12:$A$949,$A38,'09월 화학성분'!$D$12:$D$949,$B38)))</f>
        <v/>
      </c>
      <c r="X38" s="829" t="str">
        <f>IF($C38&lt;1,"",(AVERAGEIFS('09월 화학성분'!N$12:N$949,'09월 화학성분'!$A$12:$A$949,$A38,'09월 화학성분'!$D$12:$D$949,$B38)))</f>
        <v/>
      </c>
      <c r="Y38" s="829" t="str">
        <f>IF($C38&lt;1,"",(AVERAGEIFS('09월 화학성분'!O$12:O$949,'09월 화학성분'!$A$12:$A$949,$A38,'09월 화학성분'!$D$12:$D$949,$B38)))</f>
        <v/>
      </c>
      <c r="Z38" s="829" t="str">
        <f>IF($C38&lt;1,"",(AVERAGEIFS('09월 화학성분'!P$12:P$949,'09월 화학성분'!$A$12:$A$949,$A38,'09월 화학성분'!$D$12:$D$949,$B38)))</f>
        <v/>
      </c>
      <c r="AA38" s="829" t="str">
        <f>IF($C38&lt;1,"",(AVERAGEIFS('09월 화학성분'!Q$12:Q$949,'09월 화학성분'!$A$12:$A$949,$A38,'09월 화학성분'!$D$12:$D$949,$B38)))</f>
        <v/>
      </c>
      <c r="AB38" s="829" t="str">
        <f>IF($C38&lt;1,"",(AVERAGEIFS('09월 화학성분'!R$12:R$949,'09월 화학성분'!$A$12:$A$949,$A38,'09월 화학성분'!$D$12:$D$949,$B38)))</f>
        <v/>
      </c>
      <c r="AC38" s="829" t="str">
        <f>IF($C38&lt;1,"",(AVERAGEIFS('09월 화학성분'!U$12:U$949,'09월 화학성분'!$A$12:$A$949,$A38,'09월 화학성분'!$D$12:$D$949,$B38)))</f>
        <v/>
      </c>
      <c r="AD38" s="829" t="str">
        <f>IF($C38&lt;1,"",(AVERAGEIFS('09월 화학성분'!V$12:V$949,'09월 화학성분'!$A$12:$A$949,$A38,'09월 화학성분'!$D$12:$D$949,$B38)))</f>
        <v/>
      </c>
      <c r="AE38" s="829" t="str">
        <f>IF($C38&lt;1,"",(AVERAGEIFS('09월 화학성분'!W$12:W$949,'09월 화학성분'!$A$12:$A$949,$A38,'09월 화학성분'!$D$12:$D$949,$B38)))</f>
        <v/>
      </c>
      <c r="AF38" s="829" t="str">
        <f>IF($C38&lt;1,"",(AVERAGEIFS('09월 화학성분'!AA$12:AA$949,'09월 화학성분'!$A$12:$A$949,$A38,'09월 화학성분'!$D$12:$D$949,$B38)))</f>
        <v/>
      </c>
      <c r="AG38" s="829" t="str">
        <f>IF($C38&lt;1,"",(AVERAGEIFS('09월 화학성분'!#REF!,'09월 화학성분'!$A$12:$A$949,$A38,'09월 화학성분'!$D$12:$D$949,$B38)))</f>
        <v/>
      </c>
      <c r="AH38" s="829" t="str">
        <f>IF($C38&lt;1,"",(AVERAGEIFS('09월 화학성분'!AB$12:AB$949,'09월 화학성분'!$A$12:$A$949,$A38,'09월 화학성분'!$D$12:$D$949,$B38)))</f>
        <v/>
      </c>
      <c r="AI38" s="829" t="str">
        <f>IF($C38&lt;1,"",(AVERAGEIFS('09월 화학성분'!AC$12:AC$949,'09월 화학성분'!$A$12:$A$949,$A38,'09월 화학성분'!$D$12:$D$949,$B38)))</f>
        <v/>
      </c>
      <c r="AJ38" s="829" t="str">
        <f>IF($C38&lt;1,"",(AVERAGEIFS('09월 화학성분'!AD$12:AD$949,'09월 화학성분'!$A$12:$A$949,$A38,'09월 화학성분'!$D$12:$D$949,$B38)))</f>
        <v/>
      </c>
      <c r="AK38" s="829" t="str">
        <f>IF($C38&lt;1,"",(AVERAGEIFS('09월 화학성분'!AF$12:AF$949,'09월 화학성분'!$A$12:$A$949,$A38,'09월 화학성분'!$D$12:$D$949,$B38)))</f>
        <v/>
      </c>
      <c r="AL38" s="829" t="str">
        <f>IF($C38&lt;1,"",(AVERAGEIFS('09월 화학성분'!AG$12:AG$949,'09월 화학성분'!$A$12:$A$949,$A38,'09월 화학성분'!$D$12:$D$949,$B38)))</f>
        <v/>
      </c>
      <c r="AM38" s="829" t="str">
        <f>IF($C38&lt;1,"",(AVERAGEIFS('09월 화학성분'!AH$12:AH$949,'09월 화학성분'!$A$12:$A$949,$A38,'09월 화학성분'!$D$12:$D$949,$B38)))</f>
        <v/>
      </c>
      <c r="AN38" s="829" t="str">
        <f>IF($C38&lt;1,"",(AVERAGEIFS('09월 화학성분'!AI$12:AI$949,'09월 화학성분'!$A$12:$A$949,$A38,'09월 화학성분'!$D$12:$D$949,$B38)))</f>
        <v/>
      </c>
      <c r="AO38" s="829" t="str">
        <f>IF($C38&lt;1,"",(AVERAGEIFS('09월 화학성분'!AJ$12:AJ$949,'09월 화학성분'!$A$12:$A$949,$A38,'09월 화학성분'!$D$12:$D$949,$B38)))</f>
        <v/>
      </c>
      <c r="AP38" s="829" t="str">
        <f>IF($C38&lt;1,"",(AVERAGEIFS('09월 화학성분'!#REF!,'09월 화학성분'!$A$12:$A$949,$A38,'09월 화학성분'!$D$12:$D$949,$B38)))</f>
        <v/>
      </c>
      <c r="AQ38" s="829" t="str">
        <f>IF($C38&lt;1,"",(AVERAGEIFS('09월 화학성분'!AL$12:AL$949,'09월 화학성분'!$A$12:$A$949,$A38,'09월 화학성분'!$D$12:$D$949,$B38)))</f>
        <v/>
      </c>
      <c r="AR38" s="829" t="str">
        <f>IF($C38&lt;1,"",(AVERAGEIFS('09월 화학성분'!AM$12:AM$949,'09월 화학성분'!$A$12:$A$949,$A38,'09월 화학성분'!$D$12:$D$949,$B38)))</f>
        <v/>
      </c>
      <c r="AS38" s="830" t="str">
        <f>IF($C38&lt;1,"",(AVERAGEIFS('09월 화학성분'!AN$12:AN$949,'09월 화학성분'!$A$12:$A$949,$A38,'09월 화학성분'!$D$12:$D$949,$B38)))</f>
        <v/>
      </c>
      <c r="AT38" s="830" t="str">
        <f>IF($C38&lt;1,"",(AVERAGEIFS('09월 화학성분'!AO$12:AO$949,'09월 화학성분'!$A$12:$A$949,$A38,'09월 화학성분'!$D$12:$D$949,$B38)))</f>
        <v/>
      </c>
      <c r="AU38" s="831" t="str">
        <f>IF($C38&lt;1,"",(AVERAGEIFS('09월 화학성분'!AP$12:AP$949,'09월 화학성분'!$A$12:$A$949,$A38,'09월 화학성분'!$D$12:$D$949,$B38)))</f>
        <v/>
      </c>
      <c r="AV38" s="832" t="str">
        <f>IF($C38&lt;1,"",(AVERAGEIFS('09월 고철장입'!G$14:G$949,'09월 고철장입'!$A$14:$A$949,$A38,'09월 고철장입'!$C$14:$C$949,$B38))/1000)</f>
        <v/>
      </c>
      <c r="AW38" s="832" t="str">
        <f>IF($C38&lt;1,"",(AVERAGEIFS('09월 고철장입'!H$14:H$949,'09월 고철장입'!$A$14:$A$949,$A38,'09월 고철장입'!$C$14:$C$949,$B38))/1000)</f>
        <v/>
      </c>
      <c r="AX38" s="832" t="str">
        <f>IF($C38&lt;1,"",(AVERAGEIFS('09월 고철장입'!I$14:I$949,'09월 고철장입'!$A$14:$A$949,$A38,'09월 고철장입'!$C$14:$C$949,$B38))/1000)</f>
        <v/>
      </c>
      <c r="AY38" s="832" t="str">
        <f>IF($C38&lt;1,"",(AVERAGEIFS('09월 고철장입'!J$14:J$949,'09월 고철장입'!$A$14:$A$949,$A38,'09월 고철장입'!$C$14:$C$949,$B38))/1000)</f>
        <v/>
      </c>
      <c r="AZ38" s="832" t="str">
        <f>IF($C38&lt;1,"",(AVERAGEIFS('09월 고철장입'!K$14:K$949,'09월 고철장입'!$A$14:$A$949,$A38,'09월 고철장입'!$C$14:$C$949,$B38))/1000)</f>
        <v/>
      </c>
      <c r="BA38" s="832" t="str">
        <f>IF($C38&lt;1,"",(AVERAGEIFS('09월 고철장입'!L$14:L$949,'09월 고철장입'!$A$14:$A$949,$A38,'09월 고철장입'!$C$14:$C$949,$B38))/1000)</f>
        <v/>
      </c>
      <c r="BB38" s="832" t="str">
        <f>IF($C38&lt;1,"",(AVERAGEIFS('09월 고철장입'!M$14:M$949,'09월 고철장입'!$A$14:$A$949,$A38,'09월 고철장입'!$C$14:$C$949,$B38))/1000)</f>
        <v/>
      </c>
      <c r="BC38" s="832" t="str">
        <f>IF($C38&lt;1,"",(AVERAGEIFS('09월 고철장입'!N$14:N$949,'09월 고철장입'!$A$14:$A$949,$A38,'09월 고철장입'!$C$14:$C$949,$B38))/1000)</f>
        <v/>
      </c>
      <c r="BD38" s="832" t="str">
        <f>IF($C38&lt;1,"",(AVERAGEIFS('09월 고철장입'!O$14:O$949,'09월 고철장입'!$A$14:$A$949,$A38,'09월 고철장입'!$C$14:$C$949,$B38))/1000)</f>
        <v/>
      </c>
      <c r="BE38" s="833" t="str">
        <f>IF($C38&lt;1,"",(AVERAGEIFS('09월 고철장입'!P$14:P$949,'09월 고철장입'!$A$14:$A$949,$A38,'09월 고철장입'!$C$14:$C$949,$B38))/1000)</f>
        <v/>
      </c>
      <c r="BF38" s="833" t="str">
        <f>IF($C38&lt;1,"",(AVERAGEIFS('09월 고철장입'!Q$14:Q$949,'09월 고철장입'!$A$14:$A$949,$A38,'09월 고철장입'!$C$14:$C$949,$B38))/1000)</f>
        <v/>
      </c>
      <c r="BG38" s="833" t="str">
        <f>IF($C38&lt;1,"",(AVERAGEIFS('09월 고철장입'!S$14:S$949,'09월 고철장입'!$A$14:$A$949,$A38,'09월 고철장입'!$C$14:$C$949,$B38))/1000)</f>
        <v/>
      </c>
      <c r="BH38" s="833" t="str">
        <f>IF($C38&lt;1,"",(AVERAGEIFS('09월 고철장입'!T$14:T$949,'09월 고철장입'!$A$14:$A$949,$A38,'09월 고철장입'!$C$14:$C$949,$B38))/1000)</f>
        <v/>
      </c>
      <c r="BI38" s="833" t="str">
        <f>IF($C38&lt;1,"",(AVERAGEIFS('09월 고철장입'!U$14:U$949,'09월 고철장입'!$A$14:$A$949,$A38,'09월 고철장입'!$C$14:$C$949,$B38))/1000)</f>
        <v/>
      </c>
      <c r="BJ38" s="833" t="str">
        <f>IF($C38&lt;1,"",(AVERAGEIFS('09월 고철장입'!V$14:V$949,'09월 고철장입'!$A$14:$A$949,$A38,'09월 고철장입'!$C$14:$C$949,$B38))/1000)</f>
        <v/>
      </c>
      <c r="BK38" s="833" t="str">
        <f>IF($C38&lt;1,"",(AVERAGEIFS('09월 고철장입'!W$14:W$949,'09월 고철장입'!$A$14:$A$949,$A38,'09월 고철장입'!$C$14:$C$949,$B38))/1000)</f>
        <v/>
      </c>
      <c r="BL38" s="833" t="str">
        <f>IF($C38&lt;1,"",(AVERAGEIFS('09월 고철장입'!Y$14:Y$949,'09월 고철장입'!$A$14:$A$949,$A38,'09월 고철장입'!$C$14:$C$949,$B38))/1000)</f>
        <v/>
      </c>
      <c r="BM38" s="833" t="str">
        <f>IF($C38&lt;1,"",(AVERAGEIFS('09월 고철장입'!AB$14:AB$949,'09월 고철장입'!$A$14:$A$949,$A38,'09월 고철장입'!$C$14:$C$949,$B38))/1000)</f>
        <v/>
      </c>
      <c r="BN38" s="833" t="str">
        <f>IF($C38&lt;1,"",(AVERAGEIFS('09월 고철장입'!AC$14:AC$949,'09월 고철장입'!$A$14:$A$949,$A38,'09월 고철장입'!$C$14:$C$949,$B38))/1000)</f>
        <v/>
      </c>
      <c r="BO38" s="833" t="str">
        <f>IF($C38&lt;1,"",(AVERAGEIFS('09월 고철장입'!AD$14:AD$949,'09월 고철장입'!$A$14:$A$949,$A38,'09월 고철장입'!$C$14:$C$949,$B38))/1000)</f>
        <v/>
      </c>
      <c r="BP38" s="833" t="str">
        <f>IF($C38&lt;1,"",(AVERAGEIFS('09월 고철장입'!AE$14:AE$949,'09월 고철장입'!$A$14:$A$949,$A38,'09월 고철장입'!$C$14:$C$949,$B38))/1000)</f>
        <v/>
      </c>
      <c r="BQ38" s="832" t="str">
        <f>IF($C38&lt;1,"",(AVERAGEIFS('09월 고철장입'!AF$14:AF$949,'09월 고철장입'!$A$14:$A$949,$A38,'09월 고철장입'!$C$14:$C$949,$B38))/1000)</f>
        <v/>
      </c>
      <c r="BR38" s="832" t="str">
        <f>IF($C38&lt;1,"",(AVERAGEIFS('09월 고철장입'!AG$14:AG$949,'09월 고철장입'!$A$14:$A$949,$A38,'09월 고철장입'!$C$14:$C$949,$B38))/1000)</f>
        <v/>
      </c>
      <c r="BS38" s="832" t="str">
        <f>IF($C38&lt;1,"",(AVERAGEIFS('09월 고철장입'!AH$14:AH$949,'09월 고철장입'!$A$14:$A$949,$A38,'09월 고철장입'!$C$14:$C$949,$B38))/1000)</f>
        <v/>
      </c>
      <c r="BT38" s="832" t="str">
        <f>IF($C38&lt;1,"",(AVERAGEIFS('09월 고철장입'!AI$14:AI$949,'09월 고철장입'!$A$14:$A$949,$A38,'09월 고철장입'!$C$14:$C$949,$B38))/1000)</f>
        <v/>
      </c>
      <c r="BU38" s="834" t="str">
        <f>IF($C38&lt;1,"",(AVERAGEIFS('09월 고철장입'!AJ$14:AJ$949,'09월 고철장입'!$A$14:$A$949,$A38,'09월 고철장입'!$C$14:$C$949,$B38))/1000)</f>
        <v/>
      </c>
      <c r="BV38" s="834">
        <v>152.19999999999999</v>
      </c>
      <c r="BW38" s="834" t="str">
        <f>IF($C38&lt;1,"",(AVERAGEIFS('09월 고철장입'!AL$14:AL$949,'09월 고철장입'!$A$14:$A$949,$A38,'09월 고철장입'!$C$14:$C$949,$B38))*100)</f>
        <v/>
      </c>
      <c r="BX38" s="831" t="str">
        <f>IF($C38&lt;1,"",(AVERAGEIFS('09월 에너지'!G$14:G$949,'09월 에너지'!$A$14:$A$949,$A38,'09월 에너지'!$C$14:$C$949,$B38)))</f>
        <v/>
      </c>
      <c r="BY38" s="835" t="str">
        <f>IF($C38&lt;1,"",(AVERAGEIFS('09월 에너지'!H$14:H$949,'09월 에너지'!$A$14:$A$949,$A38,'09월 에너지'!$C$14:$C$949,$B38)))</f>
        <v/>
      </c>
      <c r="BZ38" s="831" t="str">
        <f>IF($C38&lt;1,"",(AVERAGEIFS('09월 에너지'!I$14:I$949,'09월 에너지'!$A$14:$A$949,$A38,'09월 에너지'!$C$14:$C$949,$B38)))</f>
        <v/>
      </c>
      <c r="CA38" s="835" t="str">
        <f>IF($C38&lt;1,"",(AVERAGEIFS('09월 에너지'!J$14:J$949,'09월 에너지'!$A$14:$A$949,$A38,'09월 에너지'!$C$14:$C$949,$B38)))</f>
        <v/>
      </c>
      <c r="CB38" s="831" t="str">
        <f>IF($C38&lt;1,"",(AVERAGEIFS('09월 에너지'!K$14:K$949,'09월 에너지'!$A$14:$A$949,$A38,'09월 에너지'!$C$14:$C$949,$B38)))</f>
        <v/>
      </c>
      <c r="CC38" s="835" t="str">
        <f>IF($C38&lt;1,"",(AVERAGEIFS('09월 에너지'!L$14:L$949,'09월 에너지'!$A$14:$A$949,$A38,'09월 에너지'!$C$14:$C$949,$B38)))</f>
        <v/>
      </c>
      <c r="CD38" s="831" t="str">
        <f>IF($C38&lt;1,"",(AVERAGEIFS('09월 에너지'!M$14:M$949,'09월 에너지'!$A$14:$A$949,$A38,'09월 에너지'!$C$14:$C$949,$B38)))</f>
        <v/>
      </c>
      <c r="CE38" s="835" t="str">
        <f>IF($C38&lt;1,"",(AVERAGEIFS('09월 에너지'!N$14:N$949,'09월 에너지'!$A$14:$A$949,$A38,'09월 에너지'!$C$14:$C$949,$B38)))</f>
        <v/>
      </c>
      <c r="CF38" s="831" t="str">
        <f>IF($C38&lt;1,"",(AVERAGEIFS('09월 에너지'!O$14:O$949,'09월 에너지'!$A$14:$A$949,$A38,'09월 에너지'!$C$14:$C$949,$B38)))</f>
        <v/>
      </c>
      <c r="CG38" s="831" t="str">
        <f>IF($C38&lt;1,"",(AVERAGEIFS('09월 에너지'!P$14:P$949,'09월 에너지'!$A$14:$A$949,$A38,'09월 에너지'!$C$14:$C$949,$B38)))</f>
        <v/>
      </c>
      <c r="CH38" s="831" t="str">
        <f>IF($C38&lt;1,"",(AVERAGEIFS('09월 에너지'!Q$14:Q$949,'09월 에너지'!$A$14:$A$949,$A38,'09월 에너지'!$C$14:$C$949,$B38)))</f>
        <v/>
      </c>
      <c r="CI38" s="831" t="str">
        <f>IF($C38&lt;1,"",(AVERAGEIFS('09월 에너지'!R$14:R$949,'09월 에너지'!$A$14:$A$949,$A38,'09월 에너지'!$C$14:$C$949,$B38)))</f>
        <v/>
      </c>
      <c r="CJ38" s="831" t="str">
        <f>IF($C38&lt;1,"",(AVERAGEIFS('09월 에너지'!S$14:S$949,'09월 에너지'!$A$14:$A$949,$A38,'09월 에너지'!$C$14:$C$949,$B38)))</f>
        <v/>
      </c>
      <c r="CK38" s="831" t="str">
        <f>IF($C38&lt;1,"",(AVERAGEIFS('09월 에너지'!T$14:T$949,'09월 에너지'!$A$14:$A$949,$A38,'09월 에너지'!$C$14:$C$949,$B38)))</f>
        <v/>
      </c>
      <c r="CL38" s="831" t="str">
        <f>IF($C38&lt;1,"",(AVERAGEIFS('09월 에너지'!U$14:U$949,'09월 에너지'!$A$14:$A$949,$A38,'09월 에너지'!$C$14:$C$949,$B38)))</f>
        <v/>
      </c>
      <c r="CM38" s="835" t="str">
        <f>IF($C38&lt;1,"",(AVERAGEIFS('09월 에너지'!V$14:V$949,'09월 에너지'!$A$14:$A$949,$A38,'09월 에너지'!$C$14:$C$949,$B38)))</f>
        <v/>
      </c>
      <c r="CN38" s="835" t="str">
        <f>IF($C38&lt;1,"",(AVERAGEIFS('09월 에너지'!W$14:W$949,'09월 에너지'!$A$14:$A$949,$A38,'09월 에너지'!$C$14:$C$949,$B38)))</f>
        <v/>
      </c>
      <c r="CO38" s="831" t="str">
        <f>IF($C38&lt;1,"",(AVERAGEIFS('09월 에너지'!X$14:X$949,'09월 에너지'!$A$14:$A$949,$A38,'09월 에너지'!$C$14:$C$949,$B38)))</f>
        <v/>
      </c>
      <c r="CP38" s="835" t="str">
        <f>IF($C38&lt;1,"",(AVERAGEIFS('09월 에너지'!Y$14:Y$949,'09월 에너지'!$A$14:$A$949,$A38,'09월 에너지'!$C$14:$C$949,$B38)))</f>
        <v/>
      </c>
      <c r="CQ38" s="835" t="str">
        <f>IF($C38&lt;1,"",(AVERAGEIFS('09월 에너지'!Z$14:Z$949,'09월 에너지'!$A$14:$A$949,$A38,'09월 에너지'!$C$14:$C$949,$B38)))</f>
        <v/>
      </c>
      <c r="CR38" s="835" t="str">
        <f>IF($C38&lt;1,"",(AVERAGEIFS('09월 에너지'!AA$14:AA$949,'09월 에너지'!$A$14:$A$949,$A38,'09월 에너지'!$C$14:$C$949,$B38)))</f>
        <v/>
      </c>
      <c r="CS38" s="835" t="str">
        <f>IF($C38&lt;1,"",(AVERAGEIFS('09월 에너지'!AB$14:AB$949,'09월 에너지'!$A$14:$A$949,$A38,'09월 에너지'!$C$14:$C$949,$B38)))</f>
        <v/>
      </c>
      <c r="CT38" s="831" t="str">
        <f>IF($C38&lt;1,"",(AVERAGEIFS('09월 에너지'!AC$14:AC$949,'09월 에너지'!$A$14:$A$949,$A38,'09월 에너지'!$C$14:$C$949,$B38)))</f>
        <v/>
      </c>
      <c r="CU38" s="836" t="str">
        <f>IF($C38&lt;1,"",(AVERAGEIFS('09월 에너지'!AD$14:AD$949,'09월 에너지'!$A$14:$A$949,$A38,'09월 에너지'!$C$14:$C$949,$B38)))</f>
        <v/>
      </c>
      <c r="CV38" s="837" t="str">
        <f>IF($C38&lt;1,"",(AVERAGEIFS('09월 에너지'!AE$14:AE$949,'09월 에너지'!$A$14:$A$949,$A38,'09월 에너지'!$C$14:$C$949,$B38)))</f>
        <v/>
      </c>
      <c r="CW38" s="831" t="str">
        <f>IF($C38&lt;1,"",(AVERAGEIFS('09월 에너지'!AF$14:AF$949,'09월 에너지'!$A$14:$A$949,$A38,'09월 에너지'!$C$14:$C$949,$B38)))</f>
        <v/>
      </c>
      <c r="CX38" s="831" t="str">
        <f>IF($C38&lt;1,"",(AVERAGEIFS('09월 에너지'!AG$14:AG$949,'09월 에너지'!$A$14:$A$949,$A38,'09월 에너지'!$C$14:$C$949,$B38)))</f>
        <v/>
      </c>
      <c r="CY38" s="831" t="str">
        <f>IF($C38&lt;1,"",(AVERAGEIFS('09월 에너지'!AH$14:AH$949,'09월 에너지'!$A$14:$A$949,$A38,'09월 에너지'!$C$14:$C$949,$B38)))</f>
        <v/>
      </c>
      <c r="CZ38" s="831" t="str">
        <f>IF($C38&lt;1,"",(AVERAGEIFS('09월 에너지'!AI$14:AI$949,'09월 에너지'!$A$14:$A$949,$A38,'09월 에너지'!$C$14:$C$949,$B38)))</f>
        <v/>
      </c>
      <c r="DA38" s="838" t="str">
        <f>IF($C38&lt;1,"",(AVERAGEIFS('09월 에너지'!AJ$14:AJ$949,'09월 에너지'!$A$14:$A$949,$A38,'09월 에너지'!$C$14:$C$949,$B38)))</f>
        <v/>
      </c>
    </row>
    <row r="39" spans="1:105" ht="13.5" customHeight="1">
      <c r="A39" s="849">
        <f t="shared" si="2"/>
        <v>44933</v>
      </c>
      <c r="B39" s="850" t="s">
        <v>10</v>
      </c>
      <c r="C39" s="823">
        <f>COUNTIFS('09월 조업일지'!$A$12:$A$952,A36,'09월 조업일지'!$E$12:$E$952,B39)</f>
        <v>0</v>
      </c>
      <c r="D39" s="824" t="str">
        <f t="shared" si="8"/>
        <v/>
      </c>
      <c r="E39" s="824" t="str">
        <f>IF($C39&lt;1,"",(SUMIFS('09월 조업일지'!$K$12:$K$952,'09월 조업일지'!$A$12:$A$952,$A39,'09월 조업일지'!$E$12:$E$952,$B39)/$C39))</f>
        <v/>
      </c>
      <c r="F39" s="824" t="str">
        <f>IF($C39&lt;1,"",(AVERAGEIFS('09월 조업일지'!$J$12:$J$952,'09월 조업일지'!$A$12:$A$952,$A39,'09월 조업일지'!$E$12:$E$952,$B39)))</f>
        <v/>
      </c>
      <c r="G39" s="825" t="str">
        <f>IF($C39&lt;1,"",(AVERAGEIFS('09월 에너지'!$M$14:$M$949,'09월 에너지'!$A$14:$A$949,$A39,'09월 에너지'!$C$14:$C$949,$B39)))</f>
        <v/>
      </c>
      <c r="H39" s="826" t="str">
        <f>IF($C39&lt;1,"",(AVERAGEIFS('09월 조업일지'!$AJ$12:$AJ$952,'09월 조업일지'!$A$12:$A$952,$A39,'09월 조업일지'!$E$12:$E$952,$B39)))</f>
        <v/>
      </c>
      <c r="I39" s="826" t="str">
        <f>IF($C39&lt;1,"",(AVERAGEIFS('09월 조업일지'!$AL$12:$AL$952,'09월 조업일지'!$A$12:$A$952,$A39,'09월 조업일지'!$E$12:$E$952,$B39)))</f>
        <v/>
      </c>
      <c r="J39" s="827" t="str">
        <f>IF($C39&lt;1,"",(AVERAGEIFS('09월 화학성분'!G$12:G$949,'09월 화학성분'!$A$12:$A$949,$A39,'09월 화학성분'!$D$12:$D$949,$B39)))</f>
        <v/>
      </c>
      <c r="K39" s="827" t="str">
        <f>IF($C39&lt;1,"",(AVERAGEIFS('09월 화학성분'!H$12:H$949,'09월 화학성분'!$A$12:$A$949,$A39,'09월 화학성분'!$D$12:$D$949,$B39)))</f>
        <v/>
      </c>
      <c r="L39" s="827" t="str">
        <f>IF($C39&lt;1,"",(AVERAGEIFS('09월 화학성분'!I$12:I$949,'09월 화학성분'!$A$12:$A$949,$A39,'09월 화학성분'!$D$12:$D$949,$B39)))</f>
        <v/>
      </c>
      <c r="M39" s="827" t="str">
        <f>IF($C39&lt;1,"",(AVERAGEIFS('09월 화학성분'!J$12:J$949,'09월 화학성분'!$A$12:$A$949,$A39,'09월 화학성분'!$D$12:$D$949,$B39)))</f>
        <v/>
      </c>
      <c r="N39" s="827" t="str">
        <f>IF($C39&lt;1,"",(AVERAGEIFS('09월 화학성분'!K$12:K$949,'09월 화학성분'!$A$12:$A$949,$A39,'09월 화학성분'!$D$12:$D$949,$B39)))</f>
        <v/>
      </c>
      <c r="O39" s="827" t="str">
        <f>IF($C39&lt;1,"",(AVERAGEIFS('09월 화학성분'!L$12:L$949,'09월 화학성분'!$A$12:$A$949,$A39,'09월 화학성분'!$D$12:$D$949,$B39)))</f>
        <v/>
      </c>
      <c r="P39" s="827" t="str">
        <f>IF($C39&lt;1,"",(AVERAGEIFS('09월 화학성분'!M$12:M$949,'09월 화학성분'!$A$12:$A$949,$A39,'09월 화학성분'!$D$12:$D$949,$B39)))</f>
        <v/>
      </c>
      <c r="Q39" s="827" t="str">
        <f>IFERROR(IF($C39&lt;1,"",(AVERAGEIFS('09월 조업일지'!$AA$12:$AA$952,'09월 조업일지'!$A$12:$A$952,$A39,'09월 조업일지'!$E$12:$E$952,$B39))),"")</f>
        <v/>
      </c>
      <c r="R39" s="827" t="str">
        <f>IF($C39&lt;1,"",(AVERAGEIFS('09월 조업일지'!$AK$12:$AK$952,'09월 조업일지'!$A$12:$A$952,$A39,'09월 조업일지'!$E$12:$E$952,$B39)))</f>
        <v/>
      </c>
      <c r="S39" s="827"/>
      <c r="T39" s="827"/>
      <c r="U39" s="827" t="str">
        <f>IF($C39&lt;1,"",(AVERAGEIFS('09월 화학성분'!$G$12:$G$949,'09월 화학성분'!$A$12:$A$949,$A39,'09월 화학성분'!$D$12:$D$949,$B39)))</f>
        <v/>
      </c>
      <c r="V39" s="827" t="str">
        <f>IF($C39&lt;1,"",(AVERAGEIFS('09월 조업일지'!$AI$12:$AI$952,'09월 조업일지'!$A$12:$A$952,$A39,'09월 조업일지'!$E$12:$E$952,$B39)))</f>
        <v/>
      </c>
      <c r="W39" s="828" t="str">
        <f>IF($C39&lt;1,"",(AVERAGEIFS('09월 화학성분'!$AM$12:$AM$949,'09월 화학성분'!$A$12:$A$949,$A39,'09월 화학성분'!$D$12:$D$949,$B39)))</f>
        <v/>
      </c>
      <c r="X39" s="829" t="str">
        <f>IF($C39&lt;1,"",(AVERAGEIFS('09월 화학성분'!N$12:N$949,'09월 화학성분'!$A$12:$A$949,$A39,'09월 화학성분'!$D$12:$D$949,$B39)))</f>
        <v/>
      </c>
      <c r="Y39" s="829" t="str">
        <f>IF($C39&lt;1,"",(AVERAGEIFS('09월 화학성분'!O$12:O$949,'09월 화학성분'!$A$12:$A$949,$A39,'09월 화학성분'!$D$12:$D$949,$B39)))</f>
        <v/>
      </c>
      <c r="Z39" s="829" t="str">
        <f>IF($C39&lt;1,"",(AVERAGEIFS('09월 화학성분'!P$12:P$949,'09월 화학성분'!$A$12:$A$949,$A39,'09월 화학성분'!$D$12:$D$949,$B39)))</f>
        <v/>
      </c>
      <c r="AA39" s="829" t="str">
        <f>IF($C39&lt;1,"",(AVERAGEIFS('09월 화학성분'!Q$12:Q$949,'09월 화학성분'!$A$12:$A$949,$A39,'09월 화학성분'!$D$12:$D$949,$B39)))</f>
        <v/>
      </c>
      <c r="AB39" s="829" t="str">
        <f>IF($C39&lt;1,"",(AVERAGEIFS('09월 화학성분'!R$12:R$949,'09월 화학성분'!$A$12:$A$949,$A39,'09월 화학성분'!$D$12:$D$949,$B39)))</f>
        <v/>
      </c>
      <c r="AC39" s="829" t="str">
        <f>IF($C39&lt;1,"",(AVERAGEIFS('09월 화학성분'!U$12:U$949,'09월 화학성분'!$A$12:$A$949,$A39,'09월 화학성분'!$D$12:$D$949,$B39)))</f>
        <v/>
      </c>
      <c r="AD39" s="829" t="str">
        <f>IF($C39&lt;1,"",(AVERAGEIFS('09월 화학성분'!V$12:V$949,'09월 화학성분'!$A$12:$A$949,$A39,'09월 화학성분'!$D$12:$D$949,$B39)))</f>
        <v/>
      </c>
      <c r="AE39" s="829" t="str">
        <f>IF($C39&lt;1,"",(AVERAGEIFS('09월 화학성분'!W$12:W$949,'09월 화학성분'!$A$12:$A$949,$A39,'09월 화학성분'!$D$12:$D$949,$B39)))</f>
        <v/>
      </c>
      <c r="AF39" s="829" t="str">
        <f>IF($C39&lt;1,"",(AVERAGEIFS('09월 화학성분'!AA$12:AA$949,'09월 화학성분'!$A$12:$A$949,$A39,'09월 화학성분'!$D$12:$D$949,$B39)))</f>
        <v/>
      </c>
      <c r="AG39" s="829" t="str">
        <f>IF($C39&lt;1,"",(AVERAGEIFS('09월 화학성분'!#REF!,'09월 화학성분'!$A$12:$A$949,$A39,'09월 화학성분'!$D$12:$D$949,$B39)))</f>
        <v/>
      </c>
      <c r="AH39" s="829" t="str">
        <f>IF($C39&lt;1,"",(AVERAGEIFS('09월 화학성분'!AB$12:AB$949,'09월 화학성분'!$A$12:$A$949,$A39,'09월 화학성분'!$D$12:$D$949,$B39)))</f>
        <v/>
      </c>
      <c r="AI39" s="829" t="str">
        <f>IF($C39&lt;1,"",(AVERAGEIFS('09월 화학성분'!AC$12:AC$949,'09월 화학성분'!$A$12:$A$949,$A39,'09월 화학성분'!$D$12:$D$949,$B39)))</f>
        <v/>
      </c>
      <c r="AJ39" s="829" t="str">
        <f>IF($C39&lt;1,"",(AVERAGEIFS('09월 화학성분'!AD$12:AD$949,'09월 화학성분'!$A$12:$A$949,$A39,'09월 화학성분'!$D$12:$D$949,$B39)))</f>
        <v/>
      </c>
      <c r="AK39" s="829" t="str">
        <f>IF($C39&lt;1,"",(AVERAGEIFS('09월 화학성분'!AF$12:AF$949,'09월 화학성분'!$A$12:$A$949,$A39,'09월 화학성분'!$D$12:$D$949,$B39)))</f>
        <v/>
      </c>
      <c r="AL39" s="829" t="str">
        <f>IF($C39&lt;1,"",(AVERAGEIFS('09월 화학성분'!AG$12:AG$949,'09월 화학성분'!$A$12:$A$949,$A39,'09월 화학성분'!$D$12:$D$949,$B39)))</f>
        <v/>
      </c>
      <c r="AM39" s="829" t="str">
        <f>IF($C39&lt;1,"",(AVERAGEIFS('09월 화학성분'!AH$12:AH$949,'09월 화학성분'!$A$12:$A$949,$A39,'09월 화학성분'!$D$12:$D$949,$B39)))</f>
        <v/>
      </c>
      <c r="AN39" s="829" t="str">
        <f>IF($C39&lt;1,"",(AVERAGEIFS('09월 화학성분'!AI$12:AI$949,'09월 화학성분'!$A$12:$A$949,$A39,'09월 화학성분'!$D$12:$D$949,$B39)))</f>
        <v/>
      </c>
      <c r="AO39" s="829" t="str">
        <f>IF($C39&lt;1,"",(AVERAGEIFS('09월 화학성분'!AJ$12:AJ$949,'09월 화학성분'!$A$12:$A$949,$A39,'09월 화학성분'!$D$12:$D$949,$B39)))</f>
        <v/>
      </c>
      <c r="AP39" s="829" t="str">
        <f>IF($C39&lt;1,"",(AVERAGEIFS('09월 화학성분'!#REF!,'09월 화학성분'!$A$12:$A$949,$A39,'09월 화학성분'!$D$12:$D$949,$B39)))</f>
        <v/>
      </c>
      <c r="AQ39" s="829" t="str">
        <f>IF($C39&lt;1,"",(AVERAGEIFS('09월 화학성분'!AL$12:AL$949,'09월 화학성분'!$A$12:$A$949,$A39,'09월 화학성분'!$D$12:$D$949,$B39)))</f>
        <v/>
      </c>
      <c r="AR39" s="829" t="str">
        <f>IF($C39&lt;1,"",(AVERAGEIFS('09월 화학성분'!AM$12:AM$949,'09월 화학성분'!$A$12:$A$949,$A39,'09월 화학성분'!$D$12:$D$949,$B39)))</f>
        <v/>
      </c>
      <c r="AS39" s="830" t="str">
        <f>IF($C39&lt;1,"",(AVERAGEIFS('09월 화학성분'!AN$12:AN$949,'09월 화학성분'!$A$12:$A$949,$A39,'09월 화학성분'!$D$12:$D$949,$B39)))</f>
        <v/>
      </c>
      <c r="AT39" s="830" t="str">
        <f>IF($C39&lt;1,"",(AVERAGEIFS('09월 화학성분'!AO$12:AO$949,'09월 화학성분'!$A$12:$A$949,$A39,'09월 화학성분'!$D$12:$D$949,$B39)))</f>
        <v/>
      </c>
      <c r="AU39" s="831" t="str">
        <f>IF($C39&lt;1,"",(AVERAGEIFS('09월 화학성분'!AP$12:AP$949,'09월 화학성분'!$A$12:$A$949,$A39,'09월 화학성분'!$D$12:$D$949,$B39)))</f>
        <v/>
      </c>
      <c r="AV39" s="832" t="str">
        <f>IF($C39&lt;1,"",(AVERAGEIFS('09월 고철장입'!G$14:G$949,'09월 고철장입'!$A$14:$A$949,$A39,'09월 고철장입'!$C$14:$C$949,$B39))/1000)</f>
        <v/>
      </c>
      <c r="AW39" s="832" t="str">
        <f>IF($C39&lt;1,"",(AVERAGEIFS('09월 고철장입'!H$14:H$949,'09월 고철장입'!$A$14:$A$949,$A39,'09월 고철장입'!$C$14:$C$949,$B39))/1000)</f>
        <v/>
      </c>
      <c r="AX39" s="832" t="str">
        <f>IF($C39&lt;1,"",(AVERAGEIFS('09월 고철장입'!I$14:I$949,'09월 고철장입'!$A$14:$A$949,$A39,'09월 고철장입'!$C$14:$C$949,$B39))/1000)</f>
        <v/>
      </c>
      <c r="AY39" s="832" t="str">
        <f>IF($C39&lt;1,"",(AVERAGEIFS('09월 고철장입'!J$14:J$949,'09월 고철장입'!$A$14:$A$949,$A39,'09월 고철장입'!$C$14:$C$949,$B39))/1000)</f>
        <v/>
      </c>
      <c r="AZ39" s="832" t="str">
        <f>IF($C39&lt;1,"",(AVERAGEIFS('09월 고철장입'!K$14:K$949,'09월 고철장입'!$A$14:$A$949,$A39,'09월 고철장입'!$C$14:$C$949,$B39))/1000)</f>
        <v/>
      </c>
      <c r="BA39" s="832" t="str">
        <f>IF($C39&lt;1,"",(AVERAGEIFS('09월 고철장입'!L$14:L$949,'09월 고철장입'!$A$14:$A$949,$A39,'09월 고철장입'!$C$14:$C$949,$B39))/1000)</f>
        <v/>
      </c>
      <c r="BB39" s="832" t="str">
        <f>IF($C39&lt;1,"",(AVERAGEIFS('09월 고철장입'!M$14:M$949,'09월 고철장입'!$A$14:$A$949,$A39,'09월 고철장입'!$C$14:$C$949,$B39))/1000)</f>
        <v/>
      </c>
      <c r="BC39" s="832" t="str">
        <f>IF($C39&lt;1,"",(AVERAGEIFS('09월 고철장입'!N$14:N$949,'09월 고철장입'!$A$14:$A$949,$A39,'09월 고철장입'!$C$14:$C$949,$B39))/1000)</f>
        <v/>
      </c>
      <c r="BD39" s="832" t="str">
        <f>IF($C39&lt;1,"",(AVERAGEIFS('09월 고철장입'!O$14:O$949,'09월 고철장입'!$A$14:$A$949,$A39,'09월 고철장입'!$C$14:$C$949,$B39))/1000)</f>
        <v/>
      </c>
      <c r="BE39" s="833" t="str">
        <f>IF($C39&lt;1,"",(AVERAGEIFS('09월 고철장입'!P$14:P$949,'09월 고철장입'!$A$14:$A$949,$A39,'09월 고철장입'!$C$14:$C$949,$B39))/1000)</f>
        <v/>
      </c>
      <c r="BF39" s="833" t="str">
        <f>IF($C39&lt;1,"",(AVERAGEIFS('09월 고철장입'!Q$14:Q$949,'09월 고철장입'!$A$14:$A$949,$A39,'09월 고철장입'!$C$14:$C$949,$B39))/1000)</f>
        <v/>
      </c>
      <c r="BG39" s="833" t="str">
        <f>IF($C39&lt;1,"",(AVERAGEIFS('09월 고철장입'!S$14:S$949,'09월 고철장입'!$A$14:$A$949,$A39,'09월 고철장입'!$C$14:$C$949,$B39))/1000)</f>
        <v/>
      </c>
      <c r="BH39" s="833" t="str">
        <f>IF($C39&lt;1,"",(AVERAGEIFS('09월 고철장입'!T$14:T$949,'09월 고철장입'!$A$14:$A$949,$A39,'09월 고철장입'!$C$14:$C$949,$B39))/1000)</f>
        <v/>
      </c>
      <c r="BI39" s="833" t="str">
        <f>IF($C39&lt;1,"",(AVERAGEIFS('09월 고철장입'!U$14:U$949,'09월 고철장입'!$A$14:$A$949,$A39,'09월 고철장입'!$C$14:$C$949,$B39))/1000)</f>
        <v/>
      </c>
      <c r="BJ39" s="833" t="str">
        <f>IF($C39&lt;1,"",(AVERAGEIFS('09월 고철장입'!V$14:V$949,'09월 고철장입'!$A$14:$A$949,$A39,'09월 고철장입'!$C$14:$C$949,$B39))/1000)</f>
        <v/>
      </c>
      <c r="BK39" s="833" t="str">
        <f>IF($C39&lt;1,"",(AVERAGEIFS('09월 고철장입'!W$14:W$949,'09월 고철장입'!$A$14:$A$949,$A39,'09월 고철장입'!$C$14:$C$949,$B39))/1000)</f>
        <v/>
      </c>
      <c r="BL39" s="833" t="str">
        <f>IF($C39&lt;1,"",(AVERAGEIFS('09월 고철장입'!Y$14:Y$949,'09월 고철장입'!$A$14:$A$949,$A39,'09월 고철장입'!$C$14:$C$949,$B39))/1000)</f>
        <v/>
      </c>
      <c r="BM39" s="833" t="str">
        <f>IF($C39&lt;1,"",(AVERAGEIFS('09월 고철장입'!AB$14:AB$949,'09월 고철장입'!$A$14:$A$949,$A39,'09월 고철장입'!$C$14:$C$949,$B39))/1000)</f>
        <v/>
      </c>
      <c r="BN39" s="833" t="str">
        <f>IF($C39&lt;1,"",(AVERAGEIFS('09월 고철장입'!AC$14:AC$949,'09월 고철장입'!$A$14:$A$949,$A39,'09월 고철장입'!$C$14:$C$949,$B39))/1000)</f>
        <v/>
      </c>
      <c r="BO39" s="833" t="str">
        <f>IF($C39&lt;1,"",(AVERAGEIFS('09월 고철장입'!AD$14:AD$949,'09월 고철장입'!$A$14:$A$949,$A39,'09월 고철장입'!$C$14:$C$949,$B39))/1000)</f>
        <v/>
      </c>
      <c r="BP39" s="833" t="str">
        <f>IF($C39&lt;1,"",(AVERAGEIFS('09월 고철장입'!AE$14:AE$949,'09월 고철장입'!$A$14:$A$949,$A39,'09월 고철장입'!$C$14:$C$949,$B39))/1000)</f>
        <v/>
      </c>
      <c r="BQ39" s="832" t="str">
        <f>IF($C39&lt;1,"",(AVERAGEIFS('09월 고철장입'!AF$14:AF$949,'09월 고철장입'!$A$14:$A$949,$A39,'09월 고철장입'!$C$14:$C$949,$B39))/1000)</f>
        <v/>
      </c>
      <c r="BR39" s="832" t="str">
        <f>IF($C39&lt;1,"",(AVERAGEIFS('09월 고철장입'!AG$14:AG$949,'09월 고철장입'!$A$14:$A$949,$A39,'09월 고철장입'!$C$14:$C$949,$B39))/1000)</f>
        <v/>
      </c>
      <c r="BS39" s="832" t="str">
        <f>IF($C39&lt;1,"",(AVERAGEIFS('09월 고철장입'!AH$14:AH$949,'09월 고철장입'!$A$14:$A$949,$A39,'09월 고철장입'!$C$14:$C$949,$B39))/1000)</f>
        <v/>
      </c>
      <c r="BT39" s="832" t="str">
        <f>IF($C39&lt;1,"",(AVERAGEIFS('09월 고철장입'!AI$14:AI$949,'09월 고철장입'!$A$14:$A$949,$A39,'09월 고철장입'!$C$14:$C$949,$B39))/1000)</f>
        <v/>
      </c>
      <c r="BU39" s="834" t="str">
        <f>IF($C39&lt;1,"",(AVERAGEIFS('09월 고철장입'!AJ$14:AJ$949,'09월 고철장입'!$A$14:$A$949,$A39,'09월 고철장입'!$C$14:$C$949,$B39))/1000)</f>
        <v/>
      </c>
      <c r="BV39" s="834" t="str">
        <f>IF($C39&lt;1,"",(AVERAGEIFS('09월 고철장입'!AK$14:AK$949,'09월 고철장입'!$A$14:$A$949,$A39,'09월 고철장입'!$C$14:$C$949,$B39)))</f>
        <v/>
      </c>
      <c r="BW39" s="834" t="str">
        <f>IF($C39&lt;1,"",(AVERAGEIFS('09월 고철장입'!AL$14:AL$949,'09월 고철장입'!$A$14:$A$949,$A39,'09월 고철장입'!$C$14:$C$949,$B39))*100)</f>
        <v/>
      </c>
      <c r="BX39" s="831" t="str">
        <f>IF($C39&lt;1,"",(AVERAGEIFS('09월 에너지'!G$14:G$949,'09월 에너지'!$A$14:$A$949,$A39,'09월 에너지'!$C$14:$C$949,$B39)))</f>
        <v/>
      </c>
      <c r="BY39" s="835" t="str">
        <f>IF($C39&lt;1,"",(AVERAGEIFS('09월 에너지'!H$14:H$949,'09월 에너지'!$A$14:$A$949,$A39,'09월 에너지'!$C$14:$C$949,$B39)))</f>
        <v/>
      </c>
      <c r="BZ39" s="831" t="str">
        <f>IF($C39&lt;1,"",(AVERAGEIFS('09월 에너지'!I$14:I$949,'09월 에너지'!$A$14:$A$949,$A39,'09월 에너지'!$C$14:$C$949,$B39)))</f>
        <v/>
      </c>
      <c r="CA39" s="835" t="str">
        <f>IF($C39&lt;1,"",(AVERAGEIFS('09월 에너지'!J$14:J$949,'09월 에너지'!$A$14:$A$949,$A39,'09월 에너지'!$C$14:$C$949,$B39)))</f>
        <v/>
      </c>
      <c r="CB39" s="831" t="str">
        <f>IF($C39&lt;1,"",(AVERAGEIFS('09월 에너지'!K$14:K$949,'09월 에너지'!$A$14:$A$949,$A39,'09월 에너지'!$C$14:$C$949,$B39)))</f>
        <v/>
      </c>
      <c r="CC39" s="835" t="str">
        <f>IF($C39&lt;1,"",(AVERAGEIFS('09월 에너지'!L$14:L$949,'09월 에너지'!$A$14:$A$949,$A39,'09월 에너지'!$C$14:$C$949,$B39)))</f>
        <v/>
      </c>
      <c r="CD39" s="831" t="str">
        <f>IF($C39&lt;1,"",(AVERAGEIFS('09월 에너지'!M$14:M$949,'09월 에너지'!$A$14:$A$949,$A39,'09월 에너지'!$C$14:$C$949,$B39)))</f>
        <v/>
      </c>
      <c r="CE39" s="835" t="str">
        <f>IF($C39&lt;1,"",(AVERAGEIFS('09월 에너지'!N$14:N$949,'09월 에너지'!$A$14:$A$949,$A39,'09월 에너지'!$C$14:$C$949,$B39)))</f>
        <v/>
      </c>
      <c r="CF39" s="831" t="str">
        <f>IF($C39&lt;1,"",(AVERAGEIFS('09월 에너지'!O$14:O$949,'09월 에너지'!$A$14:$A$949,$A39,'09월 에너지'!$C$14:$C$949,$B39)))</f>
        <v/>
      </c>
      <c r="CG39" s="831" t="str">
        <f>IF($C39&lt;1,"",(AVERAGEIFS('09월 에너지'!P$14:P$949,'09월 에너지'!$A$14:$A$949,$A39,'09월 에너지'!$C$14:$C$949,$B39)))</f>
        <v/>
      </c>
      <c r="CH39" s="831" t="str">
        <f>IF($C39&lt;1,"",(AVERAGEIFS('09월 에너지'!Q$14:Q$949,'09월 에너지'!$A$14:$A$949,$A39,'09월 에너지'!$C$14:$C$949,$B39)))</f>
        <v/>
      </c>
      <c r="CI39" s="831" t="str">
        <f>IF($C39&lt;1,"",(AVERAGEIFS('09월 에너지'!R$14:R$949,'09월 에너지'!$A$14:$A$949,$A39,'09월 에너지'!$C$14:$C$949,$B39)))</f>
        <v/>
      </c>
      <c r="CJ39" s="831" t="str">
        <f>IF($C39&lt;1,"",(AVERAGEIFS('09월 에너지'!S$14:S$949,'09월 에너지'!$A$14:$A$949,$A39,'09월 에너지'!$C$14:$C$949,$B39)))</f>
        <v/>
      </c>
      <c r="CK39" s="831" t="str">
        <f>IF($C39&lt;1,"",(AVERAGEIFS('09월 에너지'!T$14:T$949,'09월 에너지'!$A$14:$A$949,$A39,'09월 에너지'!$C$14:$C$949,$B39)))</f>
        <v/>
      </c>
      <c r="CL39" s="831" t="str">
        <f>IF($C39&lt;1,"",(AVERAGEIFS('09월 에너지'!U$14:U$949,'09월 에너지'!$A$14:$A$949,$A39,'09월 에너지'!$C$14:$C$949,$B39)))</f>
        <v/>
      </c>
      <c r="CM39" s="835" t="str">
        <f>IF($C39&lt;1,"",(AVERAGEIFS('09월 에너지'!V$14:V$949,'09월 에너지'!$A$14:$A$949,$A39,'09월 에너지'!$C$14:$C$949,$B39)))</f>
        <v/>
      </c>
      <c r="CN39" s="835" t="str">
        <f>IF($C39&lt;1,"",(AVERAGEIFS('09월 에너지'!W$14:W$949,'09월 에너지'!$A$14:$A$949,$A39,'09월 에너지'!$C$14:$C$949,$B39)))</f>
        <v/>
      </c>
      <c r="CO39" s="831" t="str">
        <f>IF($C39&lt;1,"",(AVERAGEIFS('09월 에너지'!X$14:X$949,'09월 에너지'!$A$14:$A$949,$A39,'09월 에너지'!$C$14:$C$949,$B39)))</f>
        <v/>
      </c>
      <c r="CP39" s="835" t="str">
        <f>IF($C39&lt;1,"",(AVERAGEIFS('09월 에너지'!Y$14:Y$949,'09월 에너지'!$A$14:$A$949,$A39,'09월 에너지'!$C$14:$C$949,$B39)))</f>
        <v/>
      </c>
      <c r="CQ39" s="835" t="str">
        <f>IF($C39&lt;1,"",(AVERAGEIFS('09월 에너지'!Z$14:Z$949,'09월 에너지'!$A$14:$A$949,$A39,'09월 에너지'!$C$14:$C$949,$B39)))</f>
        <v/>
      </c>
      <c r="CR39" s="835" t="str">
        <f>IF($C39&lt;1,"",(AVERAGEIFS('09월 에너지'!AA$14:AA$949,'09월 에너지'!$A$14:$A$949,$A39,'09월 에너지'!$C$14:$C$949,$B39)))</f>
        <v/>
      </c>
      <c r="CS39" s="835" t="str">
        <f>IF($C39&lt;1,"",(AVERAGEIFS('09월 에너지'!AB$14:AB$949,'09월 에너지'!$A$14:$A$949,$A39,'09월 에너지'!$C$14:$C$949,$B39)))</f>
        <v/>
      </c>
      <c r="CT39" s="831" t="str">
        <f>IF($C39&lt;1,"",(AVERAGEIFS('09월 에너지'!AC$14:AC$949,'09월 에너지'!$A$14:$A$949,$A39,'09월 에너지'!$C$14:$C$949,$B39)))</f>
        <v/>
      </c>
      <c r="CU39" s="836" t="str">
        <f>IF($C39&lt;1,"",(AVERAGEIFS('09월 에너지'!AD$14:AD$949,'09월 에너지'!$A$14:$A$949,$A39,'09월 에너지'!$C$14:$C$949,$B39)))</f>
        <v/>
      </c>
      <c r="CV39" s="837" t="str">
        <f>IF($C39&lt;1,"",(AVERAGEIFS('09월 에너지'!AE$14:AE$949,'09월 에너지'!$A$14:$A$949,$A39,'09월 에너지'!$C$14:$C$949,$B39)))</f>
        <v/>
      </c>
      <c r="CW39" s="831" t="str">
        <f>IF($C39&lt;1,"",(AVERAGEIFS('09월 에너지'!AF$14:AF$949,'09월 에너지'!$A$14:$A$949,$A39,'09월 에너지'!$C$14:$C$949,$B39)))</f>
        <v/>
      </c>
      <c r="CX39" s="831" t="str">
        <f>IF($C39&lt;1,"",(AVERAGEIFS('09월 에너지'!AG$14:AG$949,'09월 에너지'!$A$14:$A$949,$A39,'09월 에너지'!$C$14:$C$949,$B39)))</f>
        <v/>
      </c>
      <c r="CY39" s="831" t="str">
        <f>IF($C39&lt;1,"",(AVERAGEIFS('09월 에너지'!AH$14:AH$949,'09월 에너지'!$A$14:$A$949,$A39,'09월 에너지'!$C$14:$C$949,$B39)))</f>
        <v/>
      </c>
      <c r="CZ39" s="831" t="str">
        <f>IF($C39&lt;1,"",(AVERAGEIFS('09월 에너지'!AI$14:AI$949,'09월 에너지'!$A$14:$A$949,$A39,'09월 에너지'!$C$14:$C$949,$B39)))</f>
        <v/>
      </c>
      <c r="DA39" s="838" t="str">
        <f>IF($C39&lt;1,"",(AVERAGEIFS('09월 에너지'!AJ$14:AJ$949,'09월 에너지'!$A$14:$A$949,$A39,'09월 에너지'!$C$14:$C$949,$B39)))</f>
        <v/>
      </c>
    </row>
    <row r="40" spans="1:105" ht="13.5" customHeight="1" thickBot="1">
      <c r="A40" s="851">
        <f t="shared" si="2"/>
        <v>44933</v>
      </c>
      <c r="B40" s="852" t="s">
        <v>94</v>
      </c>
      <c r="C40" s="841">
        <f>COUNTIFS('09월 조업일지'!$A$12:$A$952,A36,'09월 조업일지'!$E$12:$E$952,B40)</f>
        <v>0</v>
      </c>
      <c r="D40" s="842" t="str">
        <f t="shared" si="8"/>
        <v/>
      </c>
      <c r="E40" s="842" t="str">
        <f>IF($C40&lt;1,"",(SUMIFS('09월 조업일지'!$K$12:$K$952,'09월 조업일지'!$A$12:$A$952,$A40,'09월 조업일지'!$E$12:$E$952,$B40)/$C40))</f>
        <v/>
      </c>
      <c r="F40" s="842" t="str">
        <f>IF($C40&lt;1,"",(AVERAGEIFS('09월 조업일지'!$J$12:$J$952,'09월 조업일지'!$A$12:$A$952,$A40,'09월 조업일지'!$E$12:$E$952,$B40)))</f>
        <v/>
      </c>
      <c r="G40" s="843" t="str">
        <f>IF($C40&lt;1,"",(AVERAGEIFS('09월 에너지'!$M$14:$M$949,'09월 에너지'!$A$14:$A$949,$A40,'09월 에너지'!$C$14:$C$949,$B40)))</f>
        <v/>
      </c>
      <c r="H40" s="844" t="str">
        <f>IF($C40&lt;1,"",(AVERAGEIFS('09월 조업일지'!$AJ$12:$AJ$952,'09월 조업일지'!$A$12:$A$952,$A40,'09월 조업일지'!$E$12:$E$952,$B40)))</f>
        <v/>
      </c>
      <c r="I40" s="844" t="str">
        <f>IF($C40&lt;1,"",(AVERAGEIFS('09월 조업일지'!$AL$12:$AL$952,'09월 조업일지'!$A$12:$A$952,$A40,'09월 조업일지'!$E$12:$E$952,$B40)))</f>
        <v/>
      </c>
      <c r="J40" s="845" t="str">
        <f>IF($C40&lt;1,"",(AVERAGEIFS('09월 화학성분'!G$12:G$949,'09월 화학성분'!$A$12:$A$949,$A40,'09월 화학성분'!$D$12:$D$949,$B40)))</f>
        <v/>
      </c>
      <c r="K40" s="845" t="str">
        <f>IF($C40&lt;1,"",(AVERAGEIFS('09월 화학성분'!H$12:H$949,'09월 화학성분'!$A$12:$A$949,$A40,'09월 화학성분'!$D$12:$D$949,$B40)))</f>
        <v/>
      </c>
      <c r="L40" s="845" t="str">
        <f>IF($C40&lt;1,"",(AVERAGEIFS('09월 화학성분'!I$12:I$949,'09월 화학성분'!$A$12:$A$949,$A40,'09월 화학성분'!$D$12:$D$949,$B40)))</f>
        <v/>
      </c>
      <c r="M40" s="845" t="str">
        <f>IF($C40&lt;1,"",(AVERAGEIFS('09월 화학성분'!J$12:J$949,'09월 화학성분'!$A$12:$A$949,$A40,'09월 화학성분'!$D$12:$D$949,$B40)))</f>
        <v/>
      </c>
      <c r="N40" s="845" t="str">
        <f>IF($C40&lt;1,"",(AVERAGEIFS('09월 화학성분'!K$12:K$949,'09월 화학성분'!$A$12:$A$949,$A40,'09월 화학성분'!$D$12:$D$949,$B40)))</f>
        <v/>
      </c>
      <c r="O40" s="845" t="str">
        <f>IF($C40&lt;1,"",(AVERAGEIFS('09월 화학성분'!L$12:L$949,'09월 화학성분'!$A$12:$A$949,$A40,'09월 화학성분'!$D$12:$D$949,$B40)))</f>
        <v/>
      </c>
      <c r="P40" s="845" t="str">
        <f>IF($C40&lt;1,"",(AVERAGEIFS('09월 화학성분'!M$12:M$949,'09월 화학성분'!$A$12:$A$949,$A40,'09월 화학성분'!$D$12:$D$949,$B40)))</f>
        <v/>
      </c>
      <c r="Q40" s="827" t="str">
        <f>IFERROR(IF($C40&lt;1,"",(AVERAGEIFS('09월 조업일지'!$AA$12:$AA$952,'09월 조업일지'!$A$12:$A$952,$A40,'09월 조업일지'!$E$12:$E$952,$B40))),"")</f>
        <v/>
      </c>
      <c r="R40" s="845" t="str">
        <f>IF($C40&lt;1,"",(AVERAGEIFS('09월 조업일지'!$AK$12:$AK$952,'09월 조업일지'!$A$12:$A$952,$A40,'09월 조업일지'!$E$12:$E$952,$B40)))</f>
        <v/>
      </c>
      <c r="S40" s="845"/>
      <c r="T40" s="845"/>
      <c r="U40" s="845" t="str">
        <f>IF($C40&lt;1,"",(AVERAGEIFS('09월 화학성분'!$G$12:$G$949,'09월 화학성분'!$A$12:$A$949,$A40,'09월 화학성분'!$D$12:$D$949,$B40)))</f>
        <v/>
      </c>
      <c r="V40" s="845" t="str">
        <f>IF($C40&lt;1,"",(AVERAGEIFS('09월 조업일지'!$AI$12:$AI$952,'09월 조업일지'!$A$12:$A$952,$A40,'09월 조업일지'!$E$12:$E$952,$B40)))</f>
        <v/>
      </c>
      <c r="W40" s="846" t="str">
        <f>IF($C40&lt;1,"",(AVERAGEIFS('09월 화학성분'!$AM$12:$AM$949,'09월 화학성분'!$A$12:$A$949,$A40,'09월 화학성분'!$D$12:$D$949,$B40)))</f>
        <v/>
      </c>
      <c r="X40" s="829" t="str">
        <f>IF($C40&lt;1,"",(AVERAGEIFS('09월 화학성분'!N$12:N$949,'09월 화학성분'!$A$12:$A$949,$A40,'09월 화학성분'!$D$12:$D$949,$B40)))</f>
        <v/>
      </c>
      <c r="Y40" s="829" t="str">
        <f>IF($C40&lt;1,"",(AVERAGEIFS('09월 화학성분'!O$12:O$949,'09월 화학성분'!$A$12:$A$949,$A40,'09월 화학성분'!$D$12:$D$949,$B40)))</f>
        <v/>
      </c>
      <c r="Z40" s="829" t="str">
        <f>IF($C40&lt;1,"",(AVERAGEIFS('09월 화학성분'!P$12:P$949,'09월 화학성분'!$A$12:$A$949,$A40,'09월 화학성분'!$D$12:$D$949,$B40)))</f>
        <v/>
      </c>
      <c r="AA40" s="829" t="str">
        <f>IF($C40&lt;1,"",(AVERAGEIFS('09월 화학성분'!Q$12:Q$949,'09월 화학성분'!$A$12:$A$949,$A40,'09월 화학성분'!$D$12:$D$949,$B40)))</f>
        <v/>
      </c>
      <c r="AB40" s="829" t="str">
        <f>IF($C40&lt;1,"",(AVERAGEIFS('09월 화학성분'!R$12:R$949,'09월 화학성분'!$A$12:$A$949,$A40,'09월 화학성분'!$D$12:$D$949,$B40)))</f>
        <v/>
      </c>
      <c r="AC40" s="829" t="str">
        <f>IF($C40&lt;1,"",(AVERAGEIFS('09월 화학성분'!U$12:U$949,'09월 화학성분'!$A$12:$A$949,$A40,'09월 화학성분'!$D$12:$D$949,$B40)))</f>
        <v/>
      </c>
      <c r="AD40" s="829" t="str">
        <f>IF($C40&lt;1,"",(AVERAGEIFS('09월 화학성분'!V$12:V$949,'09월 화학성분'!$A$12:$A$949,$A40,'09월 화학성분'!$D$12:$D$949,$B40)))</f>
        <v/>
      </c>
      <c r="AE40" s="829" t="str">
        <f>IF($C40&lt;1,"",(AVERAGEIFS('09월 화학성분'!W$12:W$949,'09월 화학성분'!$A$12:$A$949,$A40,'09월 화학성분'!$D$12:$D$949,$B40)))</f>
        <v/>
      </c>
      <c r="AF40" s="829" t="str">
        <f>IF($C40&lt;1,"",(AVERAGEIFS('09월 화학성분'!AA$12:AA$949,'09월 화학성분'!$A$12:$A$949,$A40,'09월 화학성분'!$D$12:$D$949,$B40)))</f>
        <v/>
      </c>
      <c r="AG40" s="829" t="str">
        <f>IF($C40&lt;1,"",(AVERAGEIFS('09월 화학성분'!#REF!,'09월 화학성분'!$A$12:$A$949,$A40,'09월 화학성분'!$D$12:$D$949,$B40)))</f>
        <v/>
      </c>
      <c r="AH40" s="829" t="str">
        <f>IF($C40&lt;1,"",(AVERAGEIFS('09월 화학성분'!AB$12:AB$949,'09월 화학성분'!$A$12:$A$949,$A40,'09월 화학성분'!$D$12:$D$949,$B40)))</f>
        <v/>
      </c>
      <c r="AI40" s="829" t="str">
        <f>IF($C40&lt;1,"",(AVERAGEIFS('09월 화학성분'!AC$12:AC$949,'09월 화학성분'!$A$12:$A$949,$A40,'09월 화학성분'!$D$12:$D$949,$B40)))</f>
        <v/>
      </c>
      <c r="AJ40" s="829" t="str">
        <f>IF($C40&lt;1,"",(AVERAGEIFS('09월 화학성분'!AD$12:AD$949,'09월 화학성분'!$A$12:$A$949,$A40,'09월 화학성분'!$D$12:$D$949,$B40)))</f>
        <v/>
      </c>
      <c r="AK40" s="829" t="str">
        <f>IF($C40&lt;1,"",(AVERAGEIFS('09월 화학성분'!AF$12:AF$949,'09월 화학성분'!$A$12:$A$949,$A40,'09월 화학성분'!$D$12:$D$949,$B40)))</f>
        <v/>
      </c>
      <c r="AL40" s="829" t="str">
        <f>IF($C40&lt;1,"",(AVERAGEIFS('09월 화학성분'!AG$12:AG$949,'09월 화학성분'!$A$12:$A$949,$A40,'09월 화학성분'!$D$12:$D$949,$B40)))</f>
        <v/>
      </c>
      <c r="AM40" s="829" t="str">
        <f>IF($C40&lt;1,"",(AVERAGEIFS('09월 화학성분'!AH$12:AH$949,'09월 화학성분'!$A$12:$A$949,$A40,'09월 화학성분'!$D$12:$D$949,$B40)))</f>
        <v/>
      </c>
      <c r="AN40" s="829" t="str">
        <f>IF($C40&lt;1,"",(AVERAGEIFS('09월 화학성분'!AI$12:AI$949,'09월 화학성분'!$A$12:$A$949,$A40,'09월 화학성분'!$D$12:$D$949,$B40)))</f>
        <v/>
      </c>
      <c r="AO40" s="829" t="str">
        <f>IF($C40&lt;1,"",(AVERAGEIFS('09월 화학성분'!AJ$12:AJ$949,'09월 화학성분'!$A$12:$A$949,$A40,'09월 화학성분'!$D$12:$D$949,$B40)))</f>
        <v/>
      </c>
      <c r="AP40" s="829" t="str">
        <f>IF($C40&lt;1,"",(AVERAGEIFS('09월 화학성분'!#REF!,'09월 화학성분'!$A$12:$A$949,$A40,'09월 화학성분'!$D$12:$D$949,$B40)))</f>
        <v/>
      </c>
      <c r="AQ40" s="829" t="str">
        <f>IF($C40&lt;1,"",(AVERAGEIFS('09월 화학성분'!AL$12:AL$949,'09월 화학성분'!$A$12:$A$949,$A40,'09월 화학성분'!$D$12:$D$949,$B40)))</f>
        <v/>
      </c>
      <c r="AR40" s="829" t="str">
        <f>IF($C40&lt;1,"",(AVERAGEIFS('09월 화학성분'!AM$12:AM$949,'09월 화학성분'!$A$12:$A$949,$A40,'09월 화학성분'!$D$12:$D$949,$B40)))</f>
        <v/>
      </c>
      <c r="AS40" s="830" t="str">
        <f>IF($C40&lt;1,"",(AVERAGEIFS('09월 화학성분'!AN$12:AN$949,'09월 화학성분'!$A$12:$A$949,$A40,'09월 화학성분'!$D$12:$D$949,$B40)))</f>
        <v/>
      </c>
      <c r="AT40" s="830" t="str">
        <f>IF($C40&lt;1,"",(AVERAGEIFS('09월 화학성분'!AO$12:AO$949,'09월 화학성분'!$A$12:$A$949,$A40,'09월 화학성분'!$D$12:$D$949,$B40)))</f>
        <v/>
      </c>
      <c r="AU40" s="831" t="str">
        <f>IF($C40&lt;1,"",(AVERAGEIFS('09월 화학성분'!AP$12:AP$949,'09월 화학성분'!$A$12:$A$949,$A40,'09월 화학성분'!$D$12:$D$949,$B40)))</f>
        <v/>
      </c>
      <c r="AV40" s="832" t="str">
        <f>IF($C40&lt;1,"",(AVERAGEIFS('09월 고철장입'!G$14:G$949,'09월 고철장입'!$A$14:$A$949,$A40,'09월 고철장입'!$C$14:$C$949,$B40))/1000)</f>
        <v/>
      </c>
      <c r="AW40" s="832" t="str">
        <f>IF($C40&lt;1,"",(AVERAGEIFS('09월 고철장입'!H$14:H$949,'09월 고철장입'!$A$14:$A$949,$A40,'09월 고철장입'!$C$14:$C$949,$B40))/1000)</f>
        <v/>
      </c>
      <c r="AX40" s="832" t="str">
        <f>IF($C40&lt;1,"",(AVERAGEIFS('09월 고철장입'!I$14:I$949,'09월 고철장입'!$A$14:$A$949,$A40,'09월 고철장입'!$C$14:$C$949,$B40))/1000)</f>
        <v/>
      </c>
      <c r="AY40" s="832" t="str">
        <f>IF($C40&lt;1,"",(AVERAGEIFS('09월 고철장입'!J$14:J$949,'09월 고철장입'!$A$14:$A$949,$A40,'09월 고철장입'!$C$14:$C$949,$B40))/1000)</f>
        <v/>
      </c>
      <c r="AZ40" s="832" t="str">
        <f>IF($C40&lt;1,"",(AVERAGEIFS('09월 고철장입'!K$14:K$949,'09월 고철장입'!$A$14:$A$949,$A40,'09월 고철장입'!$C$14:$C$949,$B40))/1000)</f>
        <v/>
      </c>
      <c r="BA40" s="832" t="str">
        <f>IF($C40&lt;1,"",(AVERAGEIFS('09월 고철장입'!L$14:L$949,'09월 고철장입'!$A$14:$A$949,$A40,'09월 고철장입'!$C$14:$C$949,$B40))/1000)</f>
        <v/>
      </c>
      <c r="BB40" s="832" t="str">
        <f>IF($C40&lt;1,"",(AVERAGEIFS('09월 고철장입'!M$14:M$949,'09월 고철장입'!$A$14:$A$949,$A40,'09월 고철장입'!$C$14:$C$949,$B40))/1000)</f>
        <v/>
      </c>
      <c r="BC40" s="832" t="str">
        <f>IF($C40&lt;1,"",(AVERAGEIFS('09월 고철장입'!N$14:N$949,'09월 고철장입'!$A$14:$A$949,$A40,'09월 고철장입'!$C$14:$C$949,$B40))/1000)</f>
        <v/>
      </c>
      <c r="BD40" s="832" t="str">
        <f>IF($C40&lt;1,"",(AVERAGEIFS('09월 고철장입'!O$14:O$949,'09월 고철장입'!$A$14:$A$949,$A40,'09월 고철장입'!$C$14:$C$949,$B40))/1000)</f>
        <v/>
      </c>
      <c r="BE40" s="833" t="str">
        <f>IF($C40&lt;1,"",(AVERAGEIFS('09월 고철장입'!P$14:P$949,'09월 고철장입'!$A$14:$A$949,$A40,'09월 고철장입'!$C$14:$C$949,$B40))/1000)</f>
        <v/>
      </c>
      <c r="BF40" s="833" t="str">
        <f>IF($C40&lt;1,"",(AVERAGEIFS('09월 고철장입'!Q$14:Q$949,'09월 고철장입'!$A$14:$A$949,$A40,'09월 고철장입'!$C$14:$C$949,$B40))/1000)</f>
        <v/>
      </c>
      <c r="BG40" s="833" t="str">
        <f>IF($C40&lt;1,"",(AVERAGEIFS('09월 고철장입'!S$14:S$949,'09월 고철장입'!$A$14:$A$949,$A40,'09월 고철장입'!$C$14:$C$949,$B40))/1000)</f>
        <v/>
      </c>
      <c r="BH40" s="833" t="str">
        <f>IF($C40&lt;1,"",(AVERAGEIFS('09월 고철장입'!T$14:T$949,'09월 고철장입'!$A$14:$A$949,$A40,'09월 고철장입'!$C$14:$C$949,$B40))/1000)</f>
        <v/>
      </c>
      <c r="BI40" s="833" t="str">
        <f>IF($C40&lt;1,"",(AVERAGEIFS('09월 고철장입'!U$14:U$949,'09월 고철장입'!$A$14:$A$949,$A40,'09월 고철장입'!$C$14:$C$949,$B40))/1000)</f>
        <v/>
      </c>
      <c r="BJ40" s="833" t="str">
        <f>IF($C40&lt;1,"",(AVERAGEIFS('09월 고철장입'!V$14:V$949,'09월 고철장입'!$A$14:$A$949,$A40,'09월 고철장입'!$C$14:$C$949,$B40))/1000)</f>
        <v/>
      </c>
      <c r="BK40" s="833" t="str">
        <f>IF($C40&lt;1,"",(AVERAGEIFS('09월 고철장입'!W$14:W$949,'09월 고철장입'!$A$14:$A$949,$A40,'09월 고철장입'!$C$14:$C$949,$B40))/1000)</f>
        <v/>
      </c>
      <c r="BL40" s="833" t="str">
        <f>IF($C40&lt;1,"",(AVERAGEIFS('09월 고철장입'!Y$14:Y$949,'09월 고철장입'!$A$14:$A$949,$A40,'09월 고철장입'!$C$14:$C$949,$B40))/1000)</f>
        <v/>
      </c>
      <c r="BM40" s="833" t="str">
        <f>IF($C40&lt;1,"",(AVERAGEIFS('09월 고철장입'!AB$14:AB$949,'09월 고철장입'!$A$14:$A$949,$A40,'09월 고철장입'!$C$14:$C$949,$B40))/1000)</f>
        <v/>
      </c>
      <c r="BN40" s="833" t="str">
        <f>IF($C40&lt;1,"",(AVERAGEIFS('09월 고철장입'!AC$14:AC$949,'09월 고철장입'!$A$14:$A$949,$A40,'09월 고철장입'!$C$14:$C$949,$B40))/1000)</f>
        <v/>
      </c>
      <c r="BO40" s="833" t="str">
        <f>IF($C40&lt;1,"",(AVERAGEIFS('09월 고철장입'!AD$14:AD$949,'09월 고철장입'!$A$14:$A$949,$A40,'09월 고철장입'!$C$14:$C$949,$B40))/1000)</f>
        <v/>
      </c>
      <c r="BP40" s="833" t="str">
        <f>IF($C40&lt;1,"",(AVERAGEIFS('09월 고철장입'!AE$14:AE$949,'09월 고철장입'!$A$14:$A$949,$A40,'09월 고철장입'!$C$14:$C$949,$B40))/1000)</f>
        <v/>
      </c>
      <c r="BQ40" s="832" t="str">
        <f>IF($C40&lt;1,"",(AVERAGEIFS('09월 고철장입'!AF$14:AF$949,'09월 고철장입'!$A$14:$A$949,$A40,'09월 고철장입'!$C$14:$C$949,$B40))/1000)</f>
        <v/>
      </c>
      <c r="BR40" s="832" t="str">
        <f>IF($C40&lt;1,"",(AVERAGEIFS('09월 고철장입'!AG$14:AG$949,'09월 고철장입'!$A$14:$A$949,$A40,'09월 고철장입'!$C$14:$C$949,$B40))/1000)</f>
        <v/>
      </c>
      <c r="BS40" s="832" t="str">
        <f>IF($C40&lt;1,"",(AVERAGEIFS('09월 고철장입'!AH$14:AH$949,'09월 고철장입'!$A$14:$A$949,$A40,'09월 고철장입'!$C$14:$C$949,$B40))/1000)</f>
        <v/>
      </c>
      <c r="BT40" s="832" t="str">
        <f>IF($C40&lt;1,"",(AVERAGEIFS('09월 고철장입'!AI$14:AI$949,'09월 고철장입'!$A$14:$A$949,$A40,'09월 고철장입'!$C$14:$C$949,$B40))/1000)</f>
        <v/>
      </c>
      <c r="BU40" s="834" t="str">
        <f>IF($C40&lt;1,"",(AVERAGEIFS('09월 고철장입'!AJ$14:AJ$949,'09월 고철장입'!$A$14:$A$949,$A40,'09월 고철장입'!$C$14:$C$949,$B40))/1000)</f>
        <v/>
      </c>
      <c r="BV40" s="834">
        <v>146.80000000000001</v>
      </c>
      <c r="BW40" s="834" t="str">
        <f>IF($C40&lt;1,"",(AVERAGEIFS('09월 고철장입'!AL$14:AL$949,'09월 고철장입'!$A$14:$A$949,$A40,'09월 고철장입'!$C$14:$C$949,$B40))*100)</f>
        <v/>
      </c>
      <c r="BX40" s="831" t="str">
        <f>IF($C40&lt;1,"",(AVERAGEIFS('09월 에너지'!G$14:G$949,'09월 에너지'!$A$14:$A$949,$A40,'09월 에너지'!$C$14:$C$949,$B40)))</f>
        <v/>
      </c>
      <c r="BY40" s="835" t="str">
        <f>IF($C40&lt;1,"",(AVERAGEIFS('09월 에너지'!H$14:H$949,'09월 에너지'!$A$14:$A$949,$A40,'09월 에너지'!$C$14:$C$949,$B40)))</f>
        <v/>
      </c>
      <c r="BZ40" s="831" t="str">
        <f>IF($C40&lt;1,"",(AVERAGEIFS('09월 에너지'!I$14:I$949,'09월 에너지'!$A$14:$A$949,$A40,'09월 에너지'!$C$14:$C$949,$B40)))</f>
        <v/>
      </c>
      <c r="CA40" s="835" t="str">
        <f>IF($C40&lt;1,"",(AVERAGEIFS('09월 에너지'!J$14:J$949,'09월 에너지'!$A$14:$A$949,$A40,'09월 에너지'!$C$14:$C$949,$B40)))</f>
        <v/>
      </c>
      <c r="CB40" s="831" t="str">
        <f>IF($C40&lt;1,"",(AVERAGEIFS('09월 에너지'!K$14:K$949,'09월 에너지'!$A$14:$A$949,$A40,'09월 에너지'!$C$14:$C$949,$B40)))</f>
        <v/>
      </c>
      <c r="CC40" s="835" t="str">
        <f>IF($C40&lt;1,"",(AVERAGEIFS('09월 에너지'!L$14:L$949,'09월 에너지'!$A$14:$A$949,$A40,'09월 에너지'!$C$14:$C$949,$B40)))</f>
        <v/>
      </c>
      <c r="CD40" s="831" t="str">
        <f>IF($C40&lt;1,"",(AVERAGEIFS('09월 에너지'!M$14:M$949,'09월 에너지'!$A$14:$A$949,$A40,'09월 에너지'!$C$14:$C$949,$B40)))</f>
        <v/>
      </c>
      <c r="CE40" s="835" t="str">
        <f>IF($C40&lt;1,"",(AVERAGEIFS('09월 에너지'!N$14:N$949,'09월 에너지'!$A$14:$A$949,$A40,'09월 에너지'!$C$14:$C$949,$B40)))</f>
        <v/>
      </c>
      <c r="CF40" s="831" t="str">
        <f>IF($C40&lt;1,"",(AVERAGEIFS('09월 에너지'!O$14:O$949,'09월 에너지'!$A$14:$A$949,$A40,'09월 에너지'!$C$14:$C$949,$B40)))</f>
        <v/>
      </c>
      <c r="CG40" s="831" t="str">
        <f>IF($C40&lt;1,"",(AVERAGEIFS('09월 에너지'!P$14:P$949,'09월 에너지'!$A$14:$A$949,$A40,'09월 에너지'!$C$14:$C$949,$B40)))</f>
        <v/>
      </c>
      <c r="CH40" s="831" t="str">
        <f>IF($C40&lt;1,"",(AVERAGEIFS('09월 에너지'!Q$14:Q$949,'09월 에너지'!$A$14:$A$949,$A40,'09월 에너지'!$C$14:$C$949,$B40)))</f>
        <v/>
      </c>
      <c r="CI40" s="831" t="str">
        <f>IF($C40&lt;1,"",(AVERAGEIFS('09월 에너지'!R$14:R$949,'09월 에너지'!$A$14:$A$949,$A40,'09월 에너지'!$C$14:$C$949,$B40)))</f>
        <v/>
      </c>
      <c r="CJ40" s="831" t="str">
        <f>IF($C40&lt;1,"",(AVERAGEIFS('09월 에너지'!S$14:S$949,'09월 에너지'!$A$14:$A$949,$A40,'09월 에너지'!$C$14:$C$949,$B40)))</f>
        <v/>
      </c>
      <c r="CK40" s="831" t="str">
        <f>IF($C40&lt;1,"",(AVERAGEIFS('09월 에너지'!T$14:T$949,'09월 에너지'!$A$14:$A$949,$A40,'09월 에너지'!$C$14:$C$949,$B40)))</f>
        <v/>
      </c>
      <c r="CL40" s="831" t="str">
        <f>IF($C40&lt;1,"",(AVERAGEIFS('09월 에너지'!U$14:U$949,'09월 에너지'!$A$14:$A$949,$A40,'09월 에너지'!$C$14:$C$949,$B40)))</f>
        <v/>
      </c>
      <c r="CM40" s="835" t="str">
        <f>IF($C40&lt;1,"",(AVERAGEIFS('09월 에너지'!V$14:V$949,'09월 에너지'!$A$14:$A$949,$A40,'09월 에너지'!$C$14:$C$949,$B40)))</f>
        <v/>
      </c>
      <c r="CN40" s="835" t="str">
        <f>IF($C40&lt;1,"",(AVERAGEIFS('09월 에너지'!W$14:W$949,'09월 에너지'!$A$14:$A$949,$A40,'09월 에너지'!$C$14:$C$949,$B40)))</f>
        <v/>
      </c>
      <c r="CO40" s="831" t="str">
        <f>IF($C40&lt;1,"",(AVERAGEIFS('09월 에너지'!X$14:X$949,'09월 에너지'!$A$14:$A$949,$A40,'09월 에너지'!$C$14:$C$949,$B40)))</f>
        <v/>
      </c>
      <c r="CP40" s="835" t="str">
        <f>IF($C40&lt;1,"",(AVERAGEIFS('09월 에너지'!Y$14:Y$949,'09월 에너지'!$A$14:$A$949,$A40,'09월 에너지'!$C$14:$C$949,$B40)))</f>
        <v/>
      </c>
      <c r="CQ40" s="835" t="str">
        <f>IF($C40&lt;1,"",(AVERAGEIFS('09월 에너지'!Z$14:Z$949,'09월 에너지'!$A$14:$A$949,$A40,'09월 에너지'!$C$14:$C$949,$B40)))</f>
        <v/>
      </c>
      <c r="CR40" s="835" t="str">
        <f>IF($C40&lt;1,"",(AVERAGEIFS('09월 에너지'!AA$14:AA$949,'09월 에너지'!$A$14:$A$949,$A40,'09월 에너지'!$C$14:$C$949,$B40)))</f>
        <v/>
      </c>
      <c r="CS40" s="835" t="str">
        <f>IF($C40&lt;1,"",(AVERAGEIFS('09월 에너지'!AB$14:AB$949,'09월 에너지'!$A$14:$A$949,$A40,'09월 에너지'!$C$14:$C$949,$B40)))</f>
        <v/>
      </c>
      <c r="CT40" s="831" t="str">
        <f>IF($C40&lt;1,"",(AVERAGEIFS('09월 에너지'!AC$14:AC$949,'09월 에너지'!$A$14:$A$949,$A40,'09월 에너지'!$C$14:$C$949,$B40)))</f>
        <v/>
      </c>
      <c r="CU40" s="836" t="str">
        <f>IF($C40&lt;1,"",(AVERAGEIFS('09월 에너지'!AD$14:AD$949,'09월 에너지'!$A$14:$A$949,$A40,'09월 에너지'!$C$14:$C$949,$B40)))</f>
        <v/>
      </c>
      <c r="CV40" s="837" t="str">
        <f>IF($C40&lt;1,"",(AVERAGEIFS('09월 에너지'!AE$14:AE$949,'09월 에너지'!$A$14:$A$949,$A40,'09월 에너지'!$C$14:$C$949,$B40)))</f>
        <v/>
      </c>
      <c r="CW40" s="831" t="str">
        <f>IF($C40&lt;1,"",(AVERAGEIFS('09월 에너지'!AF$14:AF$949,'09월 에너지'!$A$14:$A$949,$A40,'09월 에너지'!$C$14:$C$949,$B40)))</f>
        <v/>
      </c>
      <c r="CX40" s="831" t="str">
        <f>IF($C40&lt;1,"",(AVERAGEIFS('09월 에너지'!AG$14:AG$949,'09월 에너지'!$A$14:$A$949,$A40,'09월 에너지'!$C$14:$C$949,$B40)))</f>
        <v/>
      </c>
      <c r="CY40" s="831" t="str">
        <f>IF($C40&lt;1,"",(AVERAGEIFS('09월 에너지'!AH$14:AH$949,'09월 에너지'!$A$14:$A$949,$A40,'09월 에너지'!$C$14:$C$949,$B40)))</f>
        <v/>
      </c>
      <c r="CZ40" s="831" t="str">
        <f>IF($C40&lt;1,"",(AVERAGEIFS('09월 에너지'!AI$14:AI$949,'09월 에너지'!$A$14:$A$949,$A40,'09월 에너지'!$C$14:$C$949,$B40)))</f>
        <v/>
      </c>
      <c r="DA40" s="838" t="str">
        <f>IF($C40&lt;1,"",(AVERAGEIFS('09월 에너지'!AJ$14:AJ$949,'09월 에너지'!$A$14:$A$949,$A40,'09월 에너지'!$C$14:$C$949,$B40)))</f>
        <v/>
      </c>
    </row>
    <row r="41" spans="1:105" ht="13.5" customHeight="1">
      <c r="A41" s="847">
        <f>A36+1</f>
        <v>44934</v>
      </c>
      <c r="B41" s="848" t="s">
        <v>31</v>
      </c>
      <c r="C41" s="810">
        <f>COUNTIF('09월 조업일지'!$A$12:$A$952,A41)</f>
        <v>0</v>
      </c>
      <c r="D41" s="787" t="str">
        <f>IF(C41&lt;1,"",F41-E41)</f>
        <v/>
      </c>
      <c r="E41" s="787" t="str">
        <f>IF($C41&lt;1,"",(SUMIF('09월 조업일지'!$A$12:$A$952,$A41,'09월 조업일지'!$K$12:$K$952))/C41)</f>
        <v/>
      </c>
      <c r="F41" s="787" t="str">
        <f>IF($C41&lt;1,"",AVERAGEIF('09월 조업일지'!$A$12:$A$952,$A41,'09월 조업일지'!$J$12:$J$952))</f>
        <v/>
      </c>
      <c r="G41" s="811" t="str">
        <f>IF($C41&lt;1,"",AVERAGEIF('09월 에너지'!$A$14:$A$949,$A41,'09월 에너지'!$M$14:M$949))</f>
        <v/>
      </c>
      <c r="H41" s="812" t="str">
        <f>IF($C41&lt;1,"",AVERAGEIF('09월 조업일지'!$A$12:$A$952,$A41,'09월 조업일지'!$AJ$12:$AJ$952))</f>
        <v/>
      </c>
      <c r="I41" s="812" t="str">
        <f>IF($C41&lt;1,"",AVERAGEIF('09월 조업일지'!$A$12:$A$952,$A41,'09월 조업일지'!$AL$12:$AL$952))</f>
        <v/>
      </c>
      <c r="J41" s="813" t="str">
        <f>IF($C41&lt;1,"",AVERAGEIF('09월 화학성분'!$A$12:$A$949,$A41,'09월 화학성분'!G$12:G$949))</f>
        <v/>
      </c>
      <c r="K41" s="813" t="str">
        <f>IF($C41&lt;1,"",AVERAGEIF('09월 화학성분'!$A$12:$A$949,$A41,'09월 화학성분'!H$12:H$949))</f>
        <v/>
      </c>
      <c r="L41" s="813" t="str">
        <f>IF($C41&lt;1,"",AVERAGEIF('09월 화학성분'!$A$12:$A$949,$A41,'09월 화학성분'!I$12:I$949))</f>
        <v/>
      </c>
      <c r="M41" s="813" t="str">
        <f>IF($C41&lt;1,"",AVERAGEIF('09월 화학성분'!$A$12:$A$949,$A41,'09월 화학성분'!J$12:J$949))</f>
        <v/>
      </c>
      <c r="N41" s="813" t="str">
        <f>IF($C41&lt;1,"",AVERAGEIF('09월 화학성분'!$A$12:$A$949,$A41,'09월 화학성분'!K$12:K$949))</f>
        <v/>
      </c>
      <c r="O41" s="813" t="str">
        <f>IF($C41&lt;1,"",AVERAGEIF('09월 화학성분'!$A$12:$A$949,$A41,'09월 화학성분'!L$12:L$949))</f>
        <v/>
      </c>
      <c r="P41" s="813" t="str">
        <f>IF($C41&lt;1,"",AVERAGEIF('09월 화학성분'!$A$12:$A$949,$A41,'09월 화학성분'!M$12:M$949))</f>
        <v/>
      </c>
      <c r="Q41" s="814" t="str">
        <f>IF($C41&lt;1,"",AVERAGEIF('09월 조업일지'!$A$12:$A$952,$A41,'09월 조업일지'!$AA$12:$AA$952))</f>
        <v/>
      </c>
      <c r="R41" s="814" t="str">
        <f>IF($C41&lt;1,"",AVERAGEIF('09월 조업일지'!$A$12:$A$952,$A41,'09월 조업일지'!$AK$12:$AK$952))</f>
        <v/>
      </c>
      <c r="S41" s="814"/>
      <c r="T41" s="814"/>
      <c r="U41" s="813" t="str">
        <f>IF($C41&lt;1,"",AVERAGEIF('09월 화학성분'!$A$12:$A$949,$A41,'09월 화학성분'!$G$12:$G$949))</f>
        <v/>
      </c>
      <c r="V41" s="814" t="str">
        <f>IF($C41&lt;1,"",AVERAGEIF('09월 조업일지'!$A$12:$A$952,$A41,'09월 조업일지'!$AI$12:$AI$952))</f>
        <v/>
      </c>
      <c r="W41" s="813" t="str">
        <f>IF($C41&lt;1,"",AVERAGEIF('09월 화학성분'!$A$12:$A$949,$A41,'09월 화학성분'!$AM$12:$AM$949))</f>
        <v/>
      </c>
      <c r="X41" s="815" t="str">
        <f>IF($C41&lt;1,"",AVERAGEIF('09월 화학성분'!$A$12:$A$949,$A41,'09월 화학성분'!N$12:N$949))</f>
        <v/>
      </c>
      <c r="Y41" s="815" t="str">
        <f>IF($C41&lt;1,"",AVERAGEIF('09월 화학성분'!$A$12:$A$949,$A41,'09월 화학성분'!O$12:O$949))</f>
        <v/>
      </c>
      <c r="Z41" s="815" t="str">
        <f>IF($C41&lt;1,"",AVERAGEIF('09월 화학성분'!$A$12:$A$949,$A41,'09월 화학성분'!P$12:P$949))</f>
        <v/>
      </c>
      <c r="AA41" s="815" t="str">
        <f>IF($C41&lt;1,"",AVERAGEIF('09월 화학성분'!$A$12:$A$949,$A41,'09월 화학성분'!Q$12:Q$949))</f>
        <v/>
      </c>
      <c r="AB41" s="815" t="str">
        <f>IF($C41&lt;1,"",AVERAGEIF('09월 화학성분'!$A$12:$A$949,$A41,'09월 화학성분'!R$12:R$949))</f>
        <v/>
      </c>
      <c r="AC41" s="815" t="str">
        <f>IF($C41&lt;1,"",AVERAGEIF('09월 화학성분'!$A$12:$A$949,$A41,'09월 화학성분'!U$12:U$949))</f>
        <v/>
      </c>
      <c r="AD41" s="815" t="str">
        <f>IF($C41&lt;1,"",AVERAGEIF('09월 화학성분'!$A$12:$A$949,$A41,'09월 화학성분'!V$12:V$949))</f>
        <v/>
      </c>
      <c r="AE41" s="815" t="str">
        <f>IF($C41&lt;1,"",AVERAGEIF('09월 화학성분'!$A$12:$A$949,$A41,'09월 화학성분'!W$12:W$949))</f>
        <v/>
      </c>
      <c r="AF41" s="815" t="str">
        <f>IF($C41&lt;1,"",AVERAGEIF('09월 화학성분'!$A$12:$A$949,$A41,'09월 화학성분'!AA$12:AA$949))</f>
        <v/>
      </c>
      <c r="AG41" s="815" t="str">
        <f>IF($C41&lt;1,"",AVERAGEIF('09월 화학성분'!$A$12:$A$949,$A41,'09월 화학성분'!#REF!))</f>
        <v/>
      </c>
      <c r="AH41" s="815" t="str">
        <f>IF($C41&lt;1,"",AVERAGEIF('09월 화학성분'!$A$12:$A$949,$A41,'09월 화학성분'!AB$12:AB$949))</f>
        <v/>
      </c>
      <c r="AI41" s="815" t="str">
        <f>IF($C41&lt;1,"",AVERAGEIF('09월 화학성분'!$A$12:$A$949,$A41,'09월 화학성분'!AC$12:AC$949))</f>
        <v/>
      </c>
      <c r="AJ41" s="815" t="str">
        <f>IF($C41&lt;1,"",AVERAGEIF('09월 화학성분'!$A$12:$A$949,$A41,'09월 화학성분'!AD$12:AD$949))</f>
        <v/>
      </c>
      <c r="AK41" s="815" t="str">
        <f>IF($C41&lt;1,"",AVERAGEIF('09월 화학성분'!$A$12:$A$949,$A41,'09월 화학성분'!AF$12:AF$949))</f>
        <v/>
      </c>
      <c r="AL41" s="815" t="str">
        <f>IF($C41&lt;1,"",AVERAGEIF('09월 화학성분'!$A$12:$A$949,$A41,'09월 화학성분'!AG$12:AG$949))</f>
        <v/>
      </c>
      <c r="AM41" s="815" t="str">
        <f>IF($C41&lt;1,"",AVERAGEIF('09월 화학성분'!$A$12:$A$949,$A41,'09월 화학성분'!AH$12:AH$949))</f>
        <v/>
      </c>
      <c r="AN41" s="815" t="str">
        <f>IF($C41&lt;1,"",AVERAGEIF('09월 화학성분'!$A$12:$A$949,$A41,'09월 화학성분'!AI$12:AI$949))</f>
        <v/>
      </c>
      <c r="AO41" s="815" t="str">
        <f>IF($C41&lt;1,"",AVERAGEIF('09월 화학성분'!$A$12:$A$949,$A41,'09월 화학성분'!AJ$12:AJ$949))</f>
        <v/>
      </c>
      <c r="AP41" s="815" t="str">
        <f>IF($C41&lt;1,"",AVERAGEIF('09월 화학성분'!$A$12:$A$949,$A41,'09월 화학성분'!#REF!))</f>
        <v/>
      </c>
      <c r="AQ41" s="815" t="str">
        <f>IF($C41&lt;1,"",AVERAGEIF('09월 화학성분'!$A$12:$A$949,$A41,'09월 화학성분'!AL$12:AL$949))</f>
        <v/>
      </c>
      <c r="AR41" s="815" t="str">
        <f>IF($C41&lt;1,"",AVERAGEIF('09월 화학성분'!$A$12:$A$949,$A41,'09월 화학성분'!AM$12:AM$949))</f>
        <v/>
      </c>
      <c r="AS41" s="816" t="str">
        <f>IF($C41&lt;1,"",AVERAGEIF('09월 화학성분'!$A$12:$A$949,$A41,'09월 화학성분'!AN$12:AN$949))</f>
        <v/>
      </c>
      <c r="AT41" s="816" t="str">
        <f>IF($C41&lt;1,"",AVERAGEIF('09월 화학성분'!$A$12:$A$949,$A41,'09월 화학성분'!AO$12:AO$949))</f>
        <v/>
      </c>
      <c r="AU41" s="815" t="str">
        <f>IF($C41&lt;1,"",AVERAGEIF('09월 화학성분'!$A$12:$A$949,$A41,'09월 화학성분'!AP$12:AP$949))</f>
        <v/>
      </c>
      <c r="AV41" s="815" t="str">
        <f>IF($C41&lt;1,"",AVERAGEIF('09월 고철장입'!$A$14:$A$949,$A41,'09월 고철장입'!G$14:G$949)/1000)</f>
        <v/>
      </c>
      <c r="AW41" s="815" t="str">
        <f>IF($C41&lt;1,"",AVERAGEIF('09월 고철장입'!$A$14:$A$949,$A41,'09월 고철장입'!H$14:H$949)/1000)</f>
        <v/>
      </c>
      <c r="AX41" s="815" t="str">
        <f>IF($C41&lt;1,"",AVERAGEIF('09월 고철장입'!$A$14:$A$949,$A41,'09월 고철장입'!I$14:I$949)/1000)</f>
        <v/>
      </c>
      <c r="AY41" s="815" t="str">
        <f>IF($C41&lt;1,"",AVERAGEIF('09월 고철장입'!$A$14:$A$949,$A41,'09월 고철장입'!J$14:J$949)/1000)</f>
        <v/>
      </c>
      <c r="AZ41" s="815" t="str">
        <f>IF($C41&lt;1,"",AVERAGEIF('09월 고철장입'!$A$14:$A$949,$A41,'09월 고철장입'!K$14:K$949)/1000)</f>
        <v/>
      </c>
      <c r="BA41" s="815" t="str">
        <f>IF($C41&lt;1,"",AVERAGEIF('09월 고철장입'!$A$14:$A$949,$A41,'09월 고철장입'!L$14:L$949)/1000)</f>
        <v/>
      </c>
      <c r="BB41" s="815" t="str">
        <f>IF($C41&lt;1,"",AVERAGEIF('09월 고철장입'!$A$14:$A$949,$A41,'09월 고철장입'!M$14:M$949)/1000)</f>
        <v/>
      </c>
      <c r="BC41" s="815" t="str">
        <f>IF($C41&lt;1,"",AVERAGEIF('09월 고철장입'!$A$14:$A$949,$A41,'09월 고철장입'!N$14:N$949)/1000)</f>
        <v/>
      </c>
      <c r="BD41" s="815" t="str">
        <f>IF($C41&lt;1,"",AVERAGEIF('09월 고철장입'!$A$14:$A$949,$A41,'09월 고철장입'!O$14:O$949)/1000)</f>
        <v/>
      </c>
      <c r="BE41" s="815" t="str">
        <f>IF($C41&lt;1,"",AVERAGEIF('09월 고철장입'!$A$14:$A$949,$A41,'09월 고철장입'!P$14:P$949)/1000)</f>
        <v/>
      </c>
      <c r="BF41" s="815" t="str">
        <f>IF($C41&lt;1,"",AVERAGEIF('09월 고철장입'!$A$14:$A$949,$A41,'09월 고철장입'!Q$14:Q$949)/1000)</f>
        <v/>
      </c>
      <c r="BG41" s="815" t="str">
        <f>IF($C41&lt;1,"",AVERAGEIF('09월 고철장입'!$A$14:$A$949,$A41,'09월 고철장입'!S$14:S$949)/1000)</f>
        <v/>
      </c>
      <c r="BH41" s="815" t="str">
        <f>IF($C41&lt;1,"",AVERAGEIF('09월 고철장입'!$A$14:$A$949,$A41,'09월 고철장입'!T$14:T$949)/1000)</f>
        <v/>
      </c>
      <c r="BI41" s="815" t="str">
        <f>IF($C41&lt;1,"",AVERAGEIF('09월 고철장입'!$A$14:$A$949,$A41,'09월 고철장입'!U$14:U$949)/1000)</f>
        <v/>
      </c>
      <c r="BJ41" s="815" t="str">
        <f>IF($C41&lt;1,"",AVERAGEIF('09월 고철장입'!$A$14:$A$949,$A41,'09월 고철장입'!V$14:V$949)/1000)</f>
        <v/>
      </c>
      <c r="BK41" s="815" t="str">
        <f>IF($C41&lt;1,"",AVERAGEIF('09월 고철장입'!$A$14:$A$949,$A41,'09월 고철장입'!W$14:W$949)/1000)</f>
        <v/>
      </c>
      <c r="BL41" s="815" t="str">
        <f>IF($C41&lt;1,"",AVERAGEIF('09월 고철장입'!$A$14:$A$949,$A41,'09월 고철장입'!Y$14:Y$949)/1000)</f>
        <v/>
      </c>
      <c r="BM41" s="815" t="str">
        <f>IF($C41&lt;1,"",AVERAGEIF('09월 고철장입'!$A$14:$A$949,$A41,'09월 고철장입'!AB$14:AB$949)/1000)</f>
        <v/>
      </c>
      <c r="BN41" s="815" t="str">
        <f>IF($C41&lt;1,"",AVERAGEIF('09월 고철장입'!$A$14:$A$949,$A41,'09월 고철장입'!AC$14:AC$949)/1000)</f>
        <v/>
      </c>
      <c r="BO41" s="815" t="str">
        <f>IF($C41&lt;1,"",AVERAGEIF('09월 고철장입'!$A$14:$A$949,$A41,'09월 고철장입'!AD$14:AD$949)/1000)</f>
        <v/>
      </c>
      <c r="BP41" s="815" t="str">
        <f>IF($C41&lt;1,"",AVERAGEIF('09월 고철장입'!$A$14:$A$949,$A41,'09월 고철장입'!AE$14:AE$949)/1000)</f>
        <v/>
      </c>
      <c r="BQ41" s="815" t="str">
        <f>IF($C41&lt;1,"",AVERAGEIF('09월 고철장입'!$A$14:$A$949,$A41,'09월 고철장입'!AF$14:AF$949)/1000)</f>
        <v/>
      </c>
      <c r="BR41" s="815" t="str">
        <f>IF($C41&lt;1,"",AVERAGEIF('09월 고철장입'!$A$14:$A$949,$A41,'09월 고철장입'!AG$14:AG$949)/1000)</f>
        <v/>
      </c>
      <c r="BS41" s="815" t="str">
        <f>IF($C41&lt;1,"",AVERAGEIF('09월 고철장입'!$A$14:$A$949,$A41,'09월 고철장입'!AH$14:AH$949)/1000)</f>
        <v/>
      </c>
      <c r="BT41" s="815" t="str">
        <f>IF($C41&lt;1,"",AVERAGEIF('09월 고철장입'!$A$14:$A$949,$A41,'09월 고철장입'!AI$14:AI$949)/1000)</f>
        <v/>
      </c>
      <c r="BU41" s="815" t="str">
        <f>IF($C41&lt;1,"",AVERAGEIF('09월 고철장입'!$A$14:$A$949,$A41,'09월 고철장입'!AJ$14:AJ$949)/1000)</f>
        <v/>
      </c>
      <c r="BV41" s="815" t="str">
        <f>IF($C41&lt;1,"",AVERAGEIF('09월 고철장입'!$A$14:$A$949,$A41,'09월 고철장입'!AK$14:AK$949))</f>
        <v/>
      </c>
      <c r="BW41" s="815" t="str">
        <f>IF($C41&lt;1,"",AVERAGEIF('09월 고철장입'!$A$14:$A$949,$A41,'09월 고철장입'!AL$14:AL$949)*100)</f>
        <v/>
      </c>
      <c r="BX41" s="815" t="str">
        <f>IF($C41&lt;1,"",AVERAGEIF('09월 에너지'!$A$14:$A$949,$A41,'09월 에너지'!G$14:G$949))</f>
        <v/>
      </c>
      <c r="BY41" s="817" t="str">
        <f>IF($C41&lt;1,"",AVERAGEIF('09월 에너지'!$A$14:$A$949,$A41,'09월 에너지'!H$14:H$949))</f>
        <v/>
      </c>
      <c r="BZ41" s="815" t="str">
        <f>IF($C41&lt;1,"",AVERAGEIF('09월 에너지'!$A$14:$A$949,$A41,'09월 에너지'!I$14:I$949))</f>
        <v/>
      </c>
      <c r="CA41" s="817" t="str">
        <f>IF($C41&lt;1,"",AVERAGEIF('09월 에너지'!$A$14:$A$949,$A41,'09월 에너지'!J$14:J$949))</f>
        <v/>
      </c>
      <c r="CB41" s="815" t="str">
        <f>IF($C41&lt;1,"",AVERAGEIF('09월 에너지'!$A$14:$A$949,$A41,'09월 에너지'!K$14:K$949))</f>
        <v/>
      </c>
      <c r="CC41" s="817" t="str">
        <f>IF($C41&lt;1,"",AVERAGEIF('09월 에너지'!$A$14:$A$949,$A41,'09월 에너지'!L$14:L$949))</f>
        <v/>
      </c>
      <c r="CD41" s="815" t="str">
        <f>IF($C41&lt;1,"",AVERAGEIF('09월 에너지'!$A$14:$A$949,$A41,'09월 에너지'!M$14:M$949))</f>
        <v/>
      </c>
      <c r="CE41" s="817" t="str">
        <f>IF($C41&lt;1,"",AVERAGEIF('09월 에너지'!$A$14:$A$949,$A41,'09월 에너지'!N$14:N$949))</f>
        <v/>
      </c>
      <c r="CF41" s="815" t="str">
        <f>IF($C41&lt;1,"",AVERAGEIF('09월 에너지'!$A$14:$A$949,$A41,'09월 에너지'!O$14:O$949))</f>
        <v/>
      </c>
      <c r="CG41" s="815" t="str">
        <f>IF($C41&lt;1,"",AVERAGEIF('09월 에너지'!$A$14:$A$949,$A41,'09월 에너지'!P$14:P$949))</f>
        <v/>
      </c>
      <c r="CH41" s="815" t="str">
        <f>IF($C41&lt;1,"",AVERAGEIF('09월 에너지'!$A$14:$A$949,$A41,'09월 에너지'!Q$14:Q$949))</f>
        <v/>
      </c>
      <c r="CI41" s="815" t="str">
        <f>IF($C41&lt;1,"",AVERAGEIF('09월 에너지'!$A$14:$A$949,$A41,'09월 에너지'!R$14:R$949))</f>
        <v/>
      </c>
      <c r="CJ41" s="815" t="str">
        <f>IF($C41&lt;1,"",AVERAGEIF('09월 에너지'!$A$14:$A$949,$A41,'09월 에너지'!S$14:S$949))</f>
        <v/>
      </c>
      <c r="CK41" s="815" t="str">
        <f>IF($C41&lt;1,"",AVERAGEIF('09월 에너지'!$A$14:$A$949,$A41,'09월 에너지'!T$14:T$949))</f>
        <v/>
      </c>
      <c r="CL41" s="815" t="str">
        <f>IF($C41&lt;1,"",AVERAGEIF('09월 에너지'!$A$14:$A$949,$A41,'09월 에너지'!U$14:U$949))</f>
        <v/>
      </c>
      <c r="CM41" s="817" t="str">
        <f>IF($C41&lt;1,"",AVERAGEIF('09월 에너지'!$A$14:$A$949,$A41,'09월 에너지'!V$14:V$949))</f>
        <v/>
      </c>
      <c r="CN41" s="817" t="str">
        <f>IF($C41&lt;1,"",AVERAGEIF('09월 에너지'!$A$14:$A$949,$A41,'09월 에너지'!W$14:W$949))</f>
        <v/>
      </c>
      <c r="CO41" s="815" t="str">
        <f>IF($C41&lt;1,"",AVERAGEIF('09월 에너지'!$A$14:$A$949,$A41,'09월 에너지'!X$14:X$949))</f>
        <v/>
      </c>
      <c r="CP41" s="817" t="str">
        <f>IF($C41&lt;1,"",AVERAGEIF('09월 에너지'!$A$14:$A$949,$A41,'09월 에너지'!Y$14:Y$949))</f>
        <v/>
      </c>
      <c r="CQ41" s="817" t="str">
        <f>IF($C41&lt;1,"",AVERAGEIF('09월 에너지'!$A$14:$A$949,$A41,'09월 에너지'!Z$14:Z$949))</f>
        <v/>
      </c>
      <c r="CR41" s="817" t="str">
        <f>IF($C41&lt;1,"",AVERAGEIF('09월 에너지'!$A$14:$A$949,$A41,'09월 에너지'!AA$14:AA$949))</f>
        <v/>
      </c>
      <c r="CS41" s="817" t="str">
        <f>IF($C41&lt;1,"",AVERAGEIF('09월 에너지'!$A$14:$A$949,$A41,'09월 에너지'!AB$14:AB$949))</f>
        <v/>
      </c>
      <c r="CT41" s="815" t="str">
        <f>IF($C41&lt;1,"",AVERAGEIF('09월 에너지'!$A$14:$A$949,$A41,'09월 에너지'!AC$14:AC$949))</f>
        <v/>
      </c>
      <c r="CU41" s="818" t="str">
        <f>IF($C41&lt;1,"",AVERAGEIF('09월 에너지'!$A$14:$A$949,$A41,'09월 에너지'!AD$14:AD$949))</f>
        <v/>
      </c>
      <c r="CV41" s="819" t="str">
        <f>IF($C41&lt;1,"",AVERAGEIF('09월 에너지'!$A$14:$A$949,$A41,'09월 에너지'!AE$14:AE$949))</f>
        <v/>
      </c>
      <c r="CW41" s="815" t="str">
        <f>IF($C41&lt;1,"",AVERAGEIF('09월 에너지'!$A$14:$A$949,$A41,'09월 에너지'!AF$14:AF$949))</f>
        <v/>
      </c>
      <c r="CX41" s="815" t="str">
        <f>IF($C41&lt;1,"",AVERAGEIF('09월 에너지'!$A$14:$A$949,$A41,'09월 에너지'!AG$14:AG$949))</f>
        <v/>
      </c>
      <c r="CY41" s="815" t="str">
        <f>IF($C41&lt;1,"",AVERAGEIF('09월 에너지'!$A$14:$A$949,$A41,'09월 에너지'!AH$14:AH$949))</f>
        <v/>
      </c>
      <c r="CZ41" s="815" t="str">
        <f>IF($C41&lt;1,"",AVERAGEIF('09월 에너지'!$A$14:$A$949,$A41,'09월 에너지'!AI$14:AI$949))</f>
        <v/>
      </c>
      <c r="DA41" s="820" t="str">
        <f>IF($C41&lt;1,"",AVERAGEIF('09월 에너지'!$A$14:$A$949,$A41,'09월 에너지'!AJ$14:AJ$949))</f>
        <v/>
      </c>
    </row>
    <row r="42" spans="1:105" ht="13.5" customHeight="1">
      <c r="A42" s="849">
        <f t="shared" si="2"/>
        <v>44934</v>
      </c>
      <c r="B42" s="850" t="s">
        <v>9</v>
      </c>
      <c r="C42" s="823">
        <f>COUNTIFS('09월 조업일지'!$A$12:$A$952,A41,'09월 조업일지'!$E$12:$E$952,B42)</f>
        <v>0</v>
      </c>
      <c r="D42" s="824" t="str">
        <f>IF(C42&lt;1,"",F42-E42)</f>
        <v/>
      </c>
      <c r="E42" s="824" t="str">
        <f>IF($C42&lt;1,"",(SUMIFS('09월 조업일지'!$K$12:$K$952,'09월 조업일지'!$A$12:$A$952,$A42,'09월 조업일지'!$E$12:$E$952,$B42)/$C42))</f>
        <v/>
      </c>
      <c r="F42" s="824" t="str">
        <f>IF($C42&lt;1,"",(AVERAGEIFS('09월 조업일지'!$J$12:$J$952,'09월 조업일지'!$A$12:$A$952,$A42,'09월 조업일지'!$E$12:$E$952,$B42)))</f>
        <v/>
      </c>
      <c r="G42" s="825" t="str">
        <f>IF($C42&lt;1,"",(AVERAGEIFS('09월 에너지'!$M$14:$M$949,'09월 에너지'!$A$14:$A$949,$A42,'09월 에너지'!$C$14:$C$949,$B42)))</f>
        <v/>
      </c>
      <c r="H42" s="826" t="str">
        <f>IF($C42&lt;1,"",(AVERAGEIFS('09월 조업일지'!$AJ$12:$AJ$952,'09월 조업일지'!$A$12:$A$952,$A42,'09월 조업일지'!$E$12:$E$952,$B42)))</f>
        <v/>
      </c>
      <c r="I42" s="826" t="str">
        <f>IF($C42&lt;1,"",(AVERAGEIFS('09월 조업일지'!$AL$12:$AL$952,'09월 조업일지'!$A$12:$A$952,$A42,'09월 조업일지'!$E$12:$E$952,$B42)))</f>
        <v/>
      </c>
      <c r="J42" s="827" t="str">
        <f>IF($C42&lt;1,"",(AVERAGEIFS('09월 화학성분'!G$12:G$949,'09월 화학성분'!$A$12:$A$949,$A42,'09월 화학성분'!$D$12:$D$949,$B42)))</f>
        <v/>
      </c>
      <c r="K42" s="827" t="str">
        <f>IF($C42&lt;1,"",(AVERAGEIFS('09월 화학성분'!H$12:H$949,'09월 화학성분'!$A$12:$A$949,$A42,'09월 화학성분'!$D$12:$D$949,$B42)))</f>
        <v/>
      </c>
      <c r="L42" s="827" t="str">
        <f>IF($C42&lt;1,"",(AVERAGEIFS('09월 화학성분'!I$12:I$949,'09월 화학성분'!$A$12:$A$949,$A42,'09월 화학성분'!$D$12:$D$949,$B42)))</f>
        <v/>
      </c>
      <c r="M42" s="827" t="str">
        <f>IF($C42&lt;1,"",(AVERAGEIFS('09월 화학성분'!J$12:J$949,'09월 화학성분'!$A$12:$A$949,$A42,'09월 화학성분'!$D$12:$D$949,$B42)))</f>
        <v/>
      </c>
      <c r="N42" s="827" t="str">
        <f>IF($C42&lt;1,"",(AVERAGEIFS('09월 화학성분'!K$12:K$949,'09월 화학성분'!$A$12:$A$949,$A42,'09월 화학성분'!$D$12:$D$949,$B42)))</f>
        <v/>
      </c>
      <c r="O42" s="827" t="str">
        <f>IF($C42&lt;1,"",(AVERAGEIFS('09월 화학성분'!L$12:L$949,'09월 화학성분'!$A$12:$A$949,$A42,'09월 화학성분'!$D$12:$D$949,$B42)))</f>
        <v/>
      </c>
      <c r="P42" s="827" t="str">
        <f>IF($C42&lt;1,"",(AVERAGEIFS('09월 화학성분'!M$12:M$949,'09월 화학성분'!$A$12:$A$949,$A42,'09월 화학성분'!$D$12:$D$949,$B42)))</f>
        <v/>
      </c>
      <c r="Q42" s="827" t="str">
        <f>IFERROR(IF($C42&lt;1,"",(AVERAGEIFS('09월 조업일지'!$AA$12:$AA$952,'09월 조업일지'!$A$12:$A$952,$A42,'09월 조업일지'!$E$12:$E$952,$B42))),"")</f>
        <v/>
      </c>
      <c r="R42" s="827" t="str">
        <f>IF($C42&lt;1,"",(AVERAGEIFS('09월 조업일지'!$AK$12:$AK$952,'09월 조업일지'!$A$12:$A$952,$A42,'09월 조업일지'!$E$12:$E$952,$B42)))</f>
        <v/>
      </c>
      <c r="S42" s="827"/>
      <c r="T42" s="827"/>
      <c r="U42" s="827" t="str">
        <f>IF($C42&lt;1,"",(AVERAGEIFS('09월 화학성분'!$G$12:$G$949,'09월 화학성분'!$A$12:$A$949,$A42,'09월 화학성분'!$D$12:$D$949,$B42)))</f>
        <v/>
      </c>
      <c r="V42" s="827" t="str">
        <f>IF($C42&lt;1,"",(AVERAGEIFS('09월 조업일지'!$AI$12:$AI$952,'09월 조업일지'!$A$12:$A$952,$A42,'09월 조업일지'!$E$12:$E$952,$B42)))</f>
        <v/>
      </c>
      <c r="W42" s="828" t="str">
        <f>IF($C42&lt;1,"",(AVERAGEIFS('09월 화학성분'!$AM$12:$AM$949,'09월 화학성분'!$A$12:$A$949,$A42,'09월 화학성분'!$D$12:$D$949,$B42)))</f>
        <v/>
      </c>
      <c r="X42" s="829" t="str">
        <f>IF($C42&lt;1,"",(AVERAGEIFS('09월 화학성분'!N$12:N$949,'09월 화학성분'!$A$12:$A$949,$A42,'09월 화학성분'!$D$12:$D$949,$B42)))</f>
        <v/>
      </c>
      <c r="Y42" s="829" t="str">
        <f>IF($C42&lt;1,"",(AVERAGEIFS('09월 화학성분'!O$12:O$949,'09월 화학성분'!$A$12:$A$949,$A42,'09월 화학성분'!$D$12:$D$949,$B42)))</f>
        <v/>
      </c>
      <c r="Z42" s="829" t="str">
        <f>IF($C42&lt;1,"",(AVERAGEIFS('09월 화학성분'!P$12:P$949,'09월 화학성분'!$A$12:$A$949,$A42,'09월 화학성분'!$D$12:$D$949,$B42)))</f>
        <v/>
      </c>
      <c r="AA42" s="829" t="str">
        <f>IF($C42&lt;1,"",(AVERAGEIFS('09월 화학성분'!Q$12:Q$949,'09월 화학성분'!$A$12:$A$949,$A42,'09월 화학성분'!$D$12:$D$949,$B42)))</f>
        <v/>
      </c>
      <c r="AB42" s="829" t="str">
        <f>IF($C42&lt;1,"",(AVERAGEIFS('09월 화학성분'!R$12:R$949,'09월 화학성분'!$A$12:$A$949,$A42,'09월 화학성분'!$D$12:$D$949,$B42)))</f>
        <v/>
      </c>
      <c r="AC42" s="829" t="str">
        <f>IF($C42&lt;1,"",(AVERAGEIFS('09월 화학성분'!U$12:U$949,'09월 화학성분'!$A$12:$A$949,$A42,'09월 화학성분'!$D$12:$D$949,$B42)))</f>
        <v/>
      </c>
      <c r="AD42" s="829" t="str">
        <f>IF($C42&lt;1,"",(AVERAGEIFS('09월 화학성분'!V$12:V$949,'09월 화학성분'!$A$12:$A$949,$A42,'09월 화학성분'!$D$12:$D$949,$B42)))</f>
        <v/>
      </c>
      <c r="AE42" s="829" t="str">
        <f>IF($C42&lt;1,"",(AVERAGEIFS('09월 화학성분'!W$12:W$949,'09월 화학성분'!$A$12:$A$949,$A42,'09월 화학성분'!$D$12:$D$949,$B42)))</f>
        <v/>
      </c>
      <c r="AF42" s="829" t="str">
        <f>IF($C42&lt;1,"",(AVERAGEIFS('09월 화학성분'!AA$12:AA$949,'09월 화학성분'!$A$12:$A$949,$A42,'09월 화학성분'!$D$12:$D$949,$B42)))</f>
        <v/>
      </c>
      <c r="AG42" s="829" t="str">
        <f>IF($C42&lt;1,"",(AVERAGEIFS('09월 화학성분'!#REF!,'09월 화학성분'!$A$12:$A$949,$A42,'09월 화학성분'!$D$12:$D$949,$B42)))</f>
        <v/>
      </c>
      <c r="AH42" s="829" t="str">
        <f>IF($C42&lt;1,"",(AVERAGEIFS('09월 화학성분'!AB$12:AB$949,'09월 화학성분'!$A$12:$A$949,$A42,'09월 화학성분'!$D$12:$D$949,$B42)))</f>
        <v/>
      </c>
      <c r="AI42" s="829" t="str">
        <f>IF($C42&lt;1,"",(AVERAGEIFS('09월 화학성분'!AC$12:AC$949,'09월 화학성분'!$A$12:$A$949,$A42,'09월 화학성분'!$D$12:$D$949,$B42)))</f>
        <v/>
      </c>
      <c r="AJ42" s="829" t="str">
        <f>IF($C42&lt;1,"",(AVERAGEIFS('09월 화학성분'!AD$12:AD$949,'09월 화학성분'!$A$12:$A$949,$A42,'09월 화학성분'!$D$12:$D$949,$B42)))</f>
        <v/>
      </c>
      <c r="AK42" s="829" t="str">
        <f>IF($C42&lt;1,"",(AVERAGEIFS('09월 화학성분'!AF$12:AF$949,'09월 화학성분'!$A$12:$A$949,$A42,'09월 화학성분'!$D$12:$D$949,$B42)))</f>
        <v/>
      </c>
      <c r="AL42" s="829" t="str">
        <f>IF($C42&lt;1,"",(AVERAGEIFS('09월 화학성분'!AG$12:AG$949,'09월 화학성분'!$A$12:$A$949,$A42,'09월 화학성분'!$D$12:$D$949,$B42)))</f>
        <v/>
      </c>
      <c r="AM42" s="829" t="str">
        <f>IF($C42&lt;1,"",(AVERAGEIFS('09월 화학성분'!AH$12:AH$949,'09월 화학성분'!$A$12:$A$949,$A42,'09월 화학성분'!$D$12:$D$949,$B42)))</f>
        <v/>
      </c>
      <c r="AN42" s="829" t="str">
        <f>IF($C42&lt;1,"",(AVERAGEIFS('09월 화학성분'!AI$12:AI$949,'09월 화학성분'!$A$12:$A$949,$A42,'09월 화학성분'!$D$12:$D$949,$B42)))</f>
        <v/>
      </c>
      <c r="AO42" s="829" t="str">
        <f>IF($C42&lt;1,"",(AVERAGEIFS('09월 화학성분'!AJ$12:AJ$949,'09월 화학성분'!$A$12:$A$949,$A42,'09월 화학성분'!$D$12:$D$949,$B42)))</f>
        <v/>
      </c>
      <c r="AP42" s="829" t="str">
        <f>IF($C42&lt;1,"",(AVERAGEIFS('09월 화학성분'!#REF!,'09월 화학성분'!$A$12:$A$949,$A42,'09월 화학성분'!$D$12:$D$949,$B42)))</f>
        <v/>
      </c>
      <c r="AQ42" s="829" t="str">
        <f>IF($C42&lt;1,"",(AVERAGEIFS('09월 화학성분'!AL$12:AL$949,'09월 화학성분'!$A$12:$A$949,$A42,'09월 화학성분'!$D$12:$D$949,$B42)))</f>
        <v/>
      </c>
      <c r="AR42" s="829" t="str">
        <f>IF($C42&lt;1,"",(AVERAGEIFS('09월 화학성분'!AM$12:AM$949,'09월 화학성분'!$A$12:$A$949,$A42,'09월 화학성분'!$D$12:$D$949,$B42)))</f>
        <v/>
      </c>
      <c r="AS42" s="830" t="str">
        <f>IF($C42&lt;1,"",(AVERAGEIFS('09월 화학성분'!AN$12:AN$949,'09월 화학성분'!$A$12:$A$949,$A42,'09월 화학성분'!$D$12:$D$949,$B42)))</f>
        <v/>
      </c>
      <c r="AT42" s="830" t="str">
        <f>IF($C42&lt;1,"",(AVERAGEIFS('09월 화학성분'!AO$12:AO$949,'09월 화학성분'!$A$12:$A$949,$A42,'09월 화학성분'!$D$12:$D$949,$B42)))</f>
        <v/>
      </c>
      <c r="AU42" s="831" t="str">
        <f>IF($C42&lt;1,"",(AVERAGEIFS('09월 화학성분'!AP$12:AP$949,'09월 화학성분'!$A$12:$A$949,$A42,'09월 화학성분'!$D$12:$D$949,$B42)))</f>
        <v/>
      </c>
      <c r="AV42" s="832" t="str">
        <f>IF($C42&lt;1,"",(AVERAGEIFS('09월 고철장입'!G$14:G$949,'09월 고철장입'!$A$14:$A$949,$A42,'09월 고철장입'!$C$14:$C$949,$B42))/1000)</f>
        <v/>
      </c>
      <c r="AW42" s="832" t="str">
        <f>IF($C42&lt;1,"",(AVERAGEIFS('09월 고철장입'!H$14:H$949,'09월 고철장입'!$A$14:$A$949,$A42,'09월 고철장입'!$C$14:$C$949,$B42))/1000)</f>
        <v/>
      </c>
      <c r="AX42" s="832" t="str">
        <f>IF($C42&lt;1,"",(AVERAGEIFS('09월 고철장입'!I$14:I$949,'09월 고철장입'!$A$14:$A$949,$A42,'09월 고철장입'!$C$14:$C$949,$B42))/1000)</f>
        <v/>
      </c>
      <c r="AY42" s="832" t="str">
        <f>IF($C42&lt;1,"",(AVERAGEIFS('09월 고철장입'!J$14:J$949,'09월 고철장입'!$A$14:$A$949,$A42,'09월 고철장입'!$C$14:$C$949,$B42))/1000)</f>
        <v/>
      </c>
      <c r="AZ42" s="832" t="str">
        <f>IF($C42&lt;1,"",(AVERAGEIFS('09월 고철장입'!K$14:K$949,'09월 고철장입'!$A$14:$A$949,$A42,'09월 고철장입'!$C$14:$C$949,$B42))/1000)</f>
        <v/>
      </c>
      <c r="BA42" s="832" t="str">
        <f>IF($C42&lt;1,"",(AVERAGEIFS('09월 고철장입'!L$14:L$949,'09월 고철장입'!$A$14:$A$949,$A42,'09월 고철장입'!$C$14:$C$949,$B42))/1000)</f>
        <v/>
      </c>
      <c r="BB42" s="832" t="str">
        <f>IF($C42&lt;1,"",(AVERAGEIFS('09월 고철장입'!M$14:M$949,'09월 고철장입'!$A$14:$A$949,$A42,'09월 고철장입'!$C$14:$C$949,$B42))/1000)</f>
        <v/>
      </c>
      <c r="BC42" s="832" t="str">
        <f>IF($C42&lt;1,"",(AVERAGEIFS('09월 고철장입'!N$14:N$949,'09월 고철장입'!$A$14:$A$949,$A42,'09월 고철장입'!$C$14:$C$949,$B42))/1000)</f>
        <v/>
      </c>
      <c r="BD42" s="832" t="str">
        <f>IF($C42&lt;1,"",(AVERAGEIFS('09월 고철장입'!O$14:O$949,'09월 고철장입'!$A$14:$A$949,$A42,'09월 고철장입'!$C$14:$C$949,$B42))/1000)</f>
        <v/>
      </c>
      <c r="BE42" s="833" t="str">
        <f>IF($C42&lt;1,"",(AVERAGEIFS('09월 고철장입'!P$14:P$949,'09월 고철장입'!$A$14:$A$949,$A42,'09월 고철장입'!$C$14:$C$949,$B42))/1000)</f>
        <v/>
      </c>
      <c r="BF42" s="833" t="str">
        <f>IF($C42&lt;1,"",(AVERAGEIFS('09월 고철장입'!Q$14:Q$949,'09월 고철장입'!$A$14:$A$949,$A42,'09월 고철장입'!$C$14:$C$949,$B42))/1000)</f>
        <v/>
      </c>
      <c r="BG42" s="833" t="str">
        <f>IF($C42&lt;1,"",(AVERAGEIFS('09월 고철장입'!S$14:S$949,'09월 고철장입'!$A$14:$A$949,$A42,'09월 고철장입'!$C$14:$C$949,$B42))/1000)</f>
        <v/>
      </c>
      <c r="BH42" s="833" t="str">
        <f>IF($C42&lt;1,"",(AVERAGEIFS('09월 고철장입'!T$14:T$949,'09월 고철장입'!$A$14:$A$949,$A42,'09월 고철장입'!$C$14:$C$949,$B42))/1000)</f>
        <v/>
      </c>
      <c r="BI42" s="833" t="str">
        <f>IF($C42&lt;1,"",(AVERAGEIFS('09월 고철장입'!U$14:U$949,'09월 고철장입'!$A$14:$A$949,$A42,'09월 고철장입'!$C$14:$C$949,$B42))/1000)</f>
        <v/>
      </c>
      <c r="BJ42" s="833" t="str">
        <f>IF($C42&lt;1,"",(AVERAGEIFS('09월 고철장입'!V$14:V$949,'09월 고철장입'!$A$14:$A$949,$A42,'09월 고철장입'!$C$14:$C$949,$B42))/1000)</f>
        <v/>
      </c>
      <c r="BK42" s="833" t="str">
        <f>IF($C42&lt;1,"",(AVERAGEIFS('09월 고철장입'!W$14:W$949,'09월 고철장입'!$A$14:$A$949,$A42,'09월 고철장입'!$C$14:$C$949,$B42))/1000)</f>
        <v/>
      </c>
      <c r="BL42" s="833" t="str">
        <f>IF($C42&lt;1,"",(AVERAGEIFS('09월 고철장입'!Y$14:Y$949,'09월 고철장입'!$A$14:$A$949,$A42,'09월 고철장입'!$C$14:$C$949,$B42))/1000)</f>
        <v/>
      </c>
      <c r="BM42" s="833" t="str">
        <f>IF($C42&lt;1,"",(AVERAGEIFS('09월 고철장입'!AB$14:AB$949,'09월 고철장입'!$A$14:$A$949,$A42,'09월 고철장입'!$C$14:$C$949,$B42))/1000)</f>
        <v/>
      </c>
      <c r="BN42" s="833" t="str">
        <f>IF($C42&lt;1,"",(AVERAGEIFS('09월 고철장입'!AC$14:AC$949,'09월 고철장입'!$A$14:$A$949,$A42,'09월 고철장입'!$C$14:$C$949,$B42))/1000)</f>
        <v/>
      </c>
      <c r="BO42" s="833" t="str">
        <f>IF($C42&lt;1,"",(AVERAGEIFS('09월 고철장입'!AD$14:AD$949,'09월 고철장입'!$A$14:$A$949,$A42,'09월 고철장입'!$C$14:$C$949,$B42))/1000)</f>
        <v/>
      </c>
      <c r="BP42" s="833" t="str">
        <f>IF($C42&lt;1,"",(AVERAGEIFS('09월 고철장입'!AE$14:AE$949,'09월 고철장입'!$A$14:$A$949,$A42,'09월 고철장입'!$C$14:$C$949,$B42))/1000)</f>
        <v/>
      </c>
      <c r="BQ42" s="832" t="str">
        <f>IF($C42&lt;1,"",(AVERAGEIFS('09월 고철장입'!AF$14:AF$949,'09월 고철장입'!$A$14:$A$949,$A42,'09월 고철장입'!$C$14:$C$949,$B42))/1000)</f>
        <v/>
      </c>
      <c r="BR42" s="832" t="str">
        <f>IF($C42&lt;1,"",(AVERAGEIFS('09월 고철장입'!AG$14:AG$949,'09월 고철장입'!$A$14:$A$949,$A42,'09월 고철장입'!$C$14:$C$949,$B42))/1000)</f>
        <v/>
      </c>
      <c r="BS42" s="832" t="str">
        <f>IF($C42&lt;1,"",(AVERAGEIFS('09월 고철장입'!AH$14:AH$949,'09월 고철장입'!$A$14:$A$949,$A42,'09월 고철장입'!$C$14:$C$949,$B42))/1000)</f>
        <v/>
      </c>
      <c r="BT42" s="832" t="str">
        <f>IF($C42&lt;1,"",(AVERAGEIFS('09월 고철장입'!AI$14:AI$949,'09월 고철장입'!$A$14:$A$949,$A42,'09월 고철장입'!$C$14:$C$949,$B42))/1000)</f>
        <v/>
      </c>
      <c r="BU42" s="834" t="str">
        <f>IF($C42&lt;1,"",(AVERAGEIFS('09월 고철장입'!AJ$14:AJ$949,'09월 고철장입'!$A$14:$A$949,$A42,'09월 고철장입'!$C$14:$C$949,$B42))/1000)</f>
        <v/>
      </c>
      <c r="BV42" s="834" t="str">
        <f>IF($C42&lt;1,"",(AVERAGEIFS('09월 고철장입'!AK$14:AK$949,'09월 고철장입'!$A$14:$A$949,$A42,'09월 고철장입'!$C$14:$C$949,$B42)))</f>
        <v/>
      </c>
      <c r="BW42" s="834" t="str">
        <f>IF($C42&lt;1,"",(AVERAGEIFS('09월 고철장입'!AL$14:AL$949,'09월 고철장입'!$A$14:$A$949,$A42,'09월 고철장입'!$C$14:$C$949,$B42))*100)</f>
        <v/>
      </c>
      <c r="BX42" s="831" t="str">
        <f>IF($C42&lt;1,"",(AVERAGEIFS('09월 에너지'!G$14:G$949,'09월 에너지'!$A$14:$A$949,$A42,'09월 에너지'!$C$14:$C$949,$B42)))</f>
        <v/>
      </c>
      <c r="BY42" s="835" t="str">
        <f>IF($C42&lt;1,"",(AVERAGEIFS('09월 에너지'!H$14:H$949,'09월 에너지'!$A$14:$A$949,$A42,'09월 에너지'!$C$14:$C$949,$B42)))</f>
        <v/>
      </c>
      <c r="BZ42" s="831" t="str">
        <f>IF($C42&lt;1,"",(AVERAGEIFS('09월 에너지'!I$14:I$949,'09월 에너지'!$A$14:$A$949,$A42,'09월 에너지'!$C$14:$C$949,$B42)))</f>
        <v/>
      </c>
      <c r="CA42" s="835" t="str">
        <f>IF($C42&lt;1,"",(AVERAGEIFS('09월 에너지'!J$14:J$949,'09월 에너지'!$A$14:$A$949,$A42,'09월 에너지'!$C$14:$C$949,$B42)))</f>
        <v/>
      </c>
      <c r="CB42" s="831" t="str">
        <f>IF($C42&lt;1,"",(AVERAGEIFS('09월 에너지'!K$14:K$949,'09월 에너지'!$A$14:$A$949,$A42,'09월 에너지'!$C$14:$C$949,$B42)))</f>
        <v/>
      </c>
      <c r="CC42" s="835" t="str">
        <f>IF($C42&lt;1,"",(AVERAGEIFS('09월 에너지'!L$14:L$949,'09월 에너지'!$A$14:$A$949,$A42,'09월 에너지'!$C$14:$C$949,$B42)))</f>
        <v/>
      </c>
      <c r="CD42" s="831" t="str">
        <f>IF($C42&lt;1,"",(AVERAGEIFS('09월 에너지'!M$14:M$949,'09월 에너지'!$A$14:$A$949,$A42,'09월 에너지'!$C$14:$C$949,$B42)))</f>
        <v/>
      </c>
      <c r="CE42" s="835" t="str">
        <f>IF($C42&lt;1,"",(AVERAGEIFS('09월 에너지'!N$14:N$949,'09월 에너지'!$A$14:$A$949,$A42,'09월 에너지'!$C$14:$C$949,$B42)))</f>
        <v/>
      </c>
      <c r="CF42" s="831" t="str">
        <f>IF($C42&lt;1,"",(AVERAGEIFS('09월 에너지'!O$14:O$949,'09월 에너지'!$A$14:$A$949,$A42,'09월 에너지'!$C$14:$C$949,$B42)))</f>
        <v/>
      </c>
      <c r="CG42" s="831" t="str">
        <f>IF($C42&lt;1,"",(AVERAGEIFS('09월 에너지'!P$14:P$949,'09월 에너지'!$A$14:$A$949,$A42,'09월 에너지'!$C$14:$C$949,$B42)))</f>
        <v/>
      </c>
      <c r="CH42" s="831" t="str">
        <f>IF($C42&lt;1,"",(AVERAGEIFS('09월 에너지'!Q$14:Q$949,'09월 에너지'!$A$14:$A$949,$A42,'09월 에너지'!$C$14:$C$949,$B42)))</f>
        <v/>
      </c>
      <c r="CI42" s="831" t="str">
        <f>IF($C42&lt;1,"",(AVERAGEIFS('09월 에너지'!R$14:R$949,'09월 에너지'!$A$14:$A$949,$A42,'09월 에너지'!$C$14:$C$949,$B42)))</f>
        <v/>
      </c>
      <c r="CJ42" s="831" t="str">
        <f>IF($C42&lt;1,"",(AVERAGEIFS('09월 에너지'!S$14:S$949,'09월 에너지'!$A$14:$A$949,$A42,'09월 에너지'!$C$14:$C$949,$B42)))</f>
        <v/>
      </c>
      <c r="CK42" s="831" t="str">
        <f>IF($C42&lt;1,"",(AVERAGEIFS('09월 에너지'!T$14:T$949,'09월 에너지'!$A$14:$A$949,$A42,'09월 에너지'!$C$14:$C$949,$B42)))</f>
        <v/>
      </c>
      <c r="CL42" s="831" t="str">
        <f>IF($C42&lt;1,"",(AVERAGEIFS('09월 에너지'!U$14:U$949,'09월 에너지'!$A$14:$A$949,$A42,'09월 에너지'!$C$14:$C$949,$B42)))</f>
        <v/>
      </c>
      <c r="CM42" s="835" t="str">
        <f>IF($C42&lt;1,"",(AVERAGEIFS('09월 에너지'!V$14:V$949,'09월 에너지'!$A$14:$A$949,$A42,'09월 에너지'!$C$14:$C$949,$B42)))</f>
        <v/>
      </c>
      <c r="CN42" s="835" t="str">
        <f>IF($C42&lt;1,"",(AVERAGEIFS('09월 에너지'!W$14:W$949,'09월 에너지'!$A$14:$A$949,$A42,'09월 에너지'!$C$14:$C$949,$B42)))</f>
        <v/>
      </c>
      <c r="CO42" s="831" t="str">
        <f>IF($C42&lt;1,"",(AVERAGEIFS('09월 에너지'!X$14:X$949,'09월 에너지'!$A$14:$A$949,$A42,'09월 에너지'!$C$14:$C$949,$B42)))</f>
        <v/>
      </c>
      <c r="CP42" s="835" t="str">
        <f>IF($C42&lt;1,"",(AVERAGEIFS('09월 에너지'!Y$14:Y$949,'09월 에너지'!$A$14:$A$949,$A42,'09월 에너지'!$C$14:$C$949,$B42)))</f>
        <v/>
      </c>
      <c r="CQ42" s="835" t="str">
        <f>IF($C42&lt;1,"",(AVERAGEIFS('09월 에너지'!Z$14:Z$949,'09월 에너지'!$A$14:$A$949,$A42,'09월 에너지'!$C$14:$C$949,$B42)))</f>
        <v/>
      </c>
      <c r="CR42" s="835" t="str">
        <f>IF($C42&lt;1,"",(AVERAGEIFS('09월 에너지'!AA$14:AA$949,'09월 에너지'!$A$14:$A$949,$A42,'09월 에너지'!$C$14:$C$949,$B42)))</f>
        <v/>
      </c>
      <c r="CS42" s="835" t="str">
        <f>IF($C42&lt;1,"",(AVERAGEIFS('09월 에너지'!AB$14:AB$949,'09월 에너지'!$A$14:$A$949,$A42,'09월 에너지'!$C$14:$C$949,$B42)))</f>
        <v/>
      </c>
      <c r="CT42" s="831" t="str">
        <f>IF($C42&lt;1,"",(AVERAGEIFS('09월 에너지'!AC$14:AC$949,'09월 에너지'!$A$14:$A$949,$A42,'09월 에너지'!$C$14:$C$949,$B42)))</f>
        <v/>
      </c>
      <c r="CU42" s="836" t="str">
        <f>IF($C42&lt;1,"",(AVERAGEIFS('09월 에너지'!AD$14:AD$949,'09월 에너지'!$A$14:$A$949,$A42,'09월 에너지'!$C$14:$C$949,$B42)))</f>
        <v/>
      </c>
      <c r="CV42" s="837" t="str">
        <f>IF($C42&lt;1,"",(AVERAGEIFS('09월 에너지'!AE$14:AE$949,'09월 에너지'!$A$14:$A$949,$A42,'09월 에너지'!$C$14:$C$949,$B42)))</f>
        <v/>
      </c>
      <c r="CW42" s="831" t="str">
        <f>IF($C42&lt;1,"",(AVERAGEIFS('09월 에너지'!AF$14:AF$949,'09월 에너지'!$A$14:$A$949,$A42,'09월 에너지'!$C$14:$C$949,$B42)))</f>
        <v/>
      </c>
      <c r="CX42" s="831" t="str">
        <f>IF($C42&lt;1,"",(AVERAGEIFS('09월 에너지'!AG$14:AG$949,'09월 에너지'!$A$14:$A$949,$A42,'09월 에너지'!$C$14:$C$949,$B42)))</f>
        <v/>
      </c>
      <c r="CY42" s="831" t="str">
        <f>IF($C42&lt;1,"",(AVERAGEIFS('09월 에너지'!AH$14:AH$949,'09월 에너지'!$A$14:$A$949,$A42,'09월 에너지'!$C$14:$C$949,$B42)))</f>
        <v/>
      </c>
      <c r="CZ42" s="831" t="str">
        <f>IF($C42&lt;1,"",(AVERAGEIFS('09월 에너지'!AI$14:AI$949,'09월 에너지'!$A$14:$A$949,$A42,'09월 에너지'!$C$14:$C$949,$B42)))</f>
        <v/>
      </c>
      <c r="DA42" s="838" t="str">
        <f>IF($C42&lt;1,"",(AVERAGEIFS('09월 에너지'!AJ$14:AJ$949,'09월 에너지'!$A$14:$A$949,$A42,'09월 에너지'!$C$14:$C$949,$B42)))</f>
        <v/>
      </c>
    </row>
    <row r="43" spans="1:105" ht="13.5" customHeight="1">
      <c r="A43" s="849">
        <f t="shared" si="2"/>
        <v>44934</v>
      </c>
      <c r="B43" s="850" t="s">
        <v>100</v>
      </c>
      <c r="C43" s="823">
        <f>COUNTIFS('09월 조업일지'!$A$12:$A$952,A41,'09월 조업일지'!$E$12:$E$952,B43)</f>
        <v>0</v>
      </c>
      <c r="D43" s="824" t="str">
        <f t="shared" ref="D43:D45" si="9">IF(C43&lt;1,"",F43-E43)</f>
        <v/>
      </c>
      <c r="E43" s="824" t="str">
        <f>IF($C43&lt;1,"",(SUMIFS('09월 조업일지'!$K$12:$K$952,'09월 조업일지'!$A$12:$A$952,$A43,'09월 조업일지'!$E$12:$E$952,$B43)/$C43))</f>
        <v/>
      </c>
      <c r="F43" s="824" t="str">
        <f>IF($C43&lt;1,"",(AVERAGEIFS('09월 조업일지'!$J$12:$J$952,'09월 조업일지'!$A$12:$A$952,$A43,'09월 조업일지'!$E$12:$E$952,$B43)))</f>
        <v/>
      </c>
      <c r="G43" s="825" t="str">
        <f>IF($C43&lt;1,"",(AVERAGEIFS('09월 에너지'!$M$14:$M$949,'09월 에너지'!$A$14:$A$949,$A43,'09월 에너지'!$C$14:$C$949,$B43)))</f>
        <v/>
      </c>
      <c r="H43" s="826" t="str">
        <f>IF($C43&lt;1,"",(AVERAGEIFS('09월 조업일지'!$AJ$12:$AJ$952,'09월 조업일지'!$A$12:$A$952,$A43,'09월 조업일지'!$E$12:$E$952,$B43)))</f>
        <v/>
      </c>
      <c r="I43" s="826" t="str">
        <f>IF($C43&lt;1,"",(AVERAGEIFS('09월 조업일지'!$AL$12:$AL$952,'09월 조업일지'!$A$12:$A$952,$A43,'09월 조업일지'!$E$12:$E$952,$B43)))</f>
        <v/>
      </c>
      <c r="J43" s="827" t="str">
        <f>IF($C43&lt;1,"",(AVERAGEIFS('09월 화학성분'!G$12:G$949,'09월 화학성분'!$A$12:$A$949,$A43,'09월 화학성분'!$D$12:$D$949,$B43)))</f>
        <v/>
      </c>
      <c r="K43" s="827" t="str">
        <f>IF($C43&lt;1,"",(AVERAGEIFS('09월 화학성분'!H$12:H$949,'09월 화학성분'!$A$12:$A$949,$A43,'09월 화학성분'!$D$12:$D$949,$B43)))</f>
        <v/>
      </c>
      <c r="L43" s="827" t="str">
        <f>IF($C43&lt;1,"",(AVERAGEIFS('09월 화학성분'!I$12:I$949,'09월 화학성분'!$A$12:$A$949,$A43,'09월 화학성분'!$D$12:$D$949,$B43)))</f>
        <v/>
      </c>
      <c r="M43" s="827" t="str">
        <f>IF($C43&lt;1,"",(AVERAGEIFS('09월 화학성분'!J$12:J$949,'09월 화학성분'!$A$12:$A$949,$A43,'09월 화학성분'!$D$12:$D$949,$B43)))</f>
        <v/>
      </c>
      <c r="N43" s="827" t="str">
        <f>IF($C43&lt;1,"",(AVERAGEIFS('09월 화학성분'!K$12:K$949,'09월 화학성분'!$A$12:$A$949,$A43,'09월 화학성분'!$D$12:$D$949,$B43)))</f>
        <v/>
      </c>
      <c r="O43" s="827" t="str">
        <f>IF($C43&lt;1,"",(AVERAGEIFS('09월 화학성분'!L$12:L$949,'09월 화학성분'!$A$12:$A$949,$A43,'09월 화학성분'!$D$12:$D$949,$B43)))</f>
        <v/>
      </c>
      <c r="P43" s="827" t="str">
        <f>IF($C43&lt;1,"",(AVERAGEIFS('09월 화학성분'!M$12:M$949,'09월 화학성분'!$A$12:$A$949,$A43,'09월 화학성분'!$D$12:$D$949,$B43)))</f>
        <v/>
      </c>
      <c r="Q43" s="827" t="str">
        <f>IFERROR(IF($C43&lt;1,"",(AVERAGEIFS('09월 조업일지'!$AA$12:$AA$952,'09월 조업일지'!$A$12:$A$952,$A43,'09월 조업일지'!$E$12:$E$952,$B43))),"")</f>
        <v/>
      </c>
      <c r="R43" s="827" t="str">
        <f>IF($C43&lt;1,"",(AVERAGEIFS('09월 조업일지'!$AK$12:$AK$952,'09월 조업일지'!$A$12:$A$952,$A43,'09월 조업일지'!$E$12:$E$952,$B43)))</f>
        <v/>
      </c>
      <c r="S43" s="827"/>
      <c r="T43" s="827"/>
      <c r="U43" s="827" t="str">
        <f>IF($C43&lt;1,"",(AVERAGEIFS('09월 화학성분'!$G$12:$G$949,'09월 화학성분'!$A$12:$A$949,$A43,'09월 화학성분'!$D$12:$D$949,$B43)))</f>
        <v/>
      </c>
      <c r="V43" s="827" t="str">
        <f>IF($C43&lt;1,"",(AVERAGEIFS('09월 조업일지'!$AI$12:$AI$952,'09월 조업일지'!$A$12:$A$952,$A43,'09월 조업일지'!$E$12:$E$952,$B43)))</f>
        <v/>
      </c>
      <c r="W43" s="828" t="str">
        <f>IF($C43&lt;1,"",(AVERAGEIFS('09월 화학성분'!$AM$12:$AM$949,'09월 화학성분'!$A$12:$A$949,$A43,'09월 화학성분'!$D$12:$D$949,$B43)))</f>
        <v/>
      </c>
      <c r="X43" s="829" t="str">
        <f>IF($C43&lt;1,"",(AVERAGEIFS('09월 화학성분'!N$12:N$949,'09월 화학성분'!$A$12:$A$949,$A43,'09월 화학성분'!$D$12:$D$949,$B43)))</f>
        <v/>
      </c>
      <c r="Y43" s="829" t="str">
        <f>IF($C43&lt;1,"",(AVERAGEIFS('09월 화학성분'!O$12:O$949,'09월 화학성분'!$A$12:$A$949,$A43,'09월 화학성분'!$D$12:$D$949,$B43)))</f>
        <v/>
      </c>
      <c r="Z43" s="829" t="str">
        <f>IF($C43&lt;1,"",(AVERAGEIFS('09월 화학성분'!P$12:P$949,'09월 화학성분'!$A$12:$A$949,$A43,'09월 화학성분'!$D$12:$D$949,$B43)))</f>
        <v/>
      </c>
      <c r="AA43" s="829" t="str">
        <f>IF($C43&lt;1,"",(AVERAGEIFS('09월 화학성분'!Q$12:Q$949,'09월 화학성분'!$A$12:$A$949,$A43,'09월 화학성분'!$D$12:$D$949,$B43)))</f>
        <v/>
      </c>
      <c r="AB43" s="829" t="str">
        <f>IF($C43&lt;1,"",(AVERAGEIFS('09월 화학성분'!R$12:R$949,'09월 화학성분'!$A$12:$A$949,$A43,'09월 화학성분'!$D$12:$D$949,$B43)))</f>
        <v/>
      </c>
      <c r="AC43" s="829" t="str">
        <f>IF($C43&lt;1,"",(AVERAGEIFS('09월 화학성분'!U$12:U$949,'09월 화학성분'!$A$12:$A$949,$A43,'09월 화학성분'!$D$12:$D$949,$B43)))</f>
        <v/>
      </c>
      <c r="AD43" s="829" t="str">
        <f>IF($C43&lt;1,"",(AVERAGEIFS('09월 화학성분'!V$12:V$949,'09월 화학성분'!$A$12:$A$949,$A43,'09월 화학성분'!$D$12:$D$949,$B43)))</f>
        <v/>
      </c>
      <c r="AE43" s="829" t="str">
        <f>IF($C43&lt;1,"",(AVERAGEIFS('09월 화학성분'!W$12:W$949,'09월 화학성분'!$A$12:$A$949,$A43,'09월 화학성분'!$D$12:$D$949,$B43)))</f>
        <v/>
      </c>
      <c r="AF43" s="829" t="str">
        <f>IF($C43&lt;1,"",(AVERAGEIFS('09월 화학성분'!AA$12:AA$949,'09월 화학성분'!$A$12:$A$949,$A43,'09월 화학성분'!$D$12:$D$949,$B43)))</f>
        <v/>
      </c>
      <c r="AG43" s="829" t="str">
        <f>IF($C43&lt;1,"",(AVERAGEIFS('09월 화학성분'!#REF!,'09월 화학성분'!$A$12:$A$949,$A43,'09월 화학성분'!$D$12:$D$949,$B43)))</f>
        <v/>
      </c>
      <c r="AH43" s="829" t="str">
        <f>IF($C43&lt;1,"",(AVERAGEIFS('09월 화학성분'!AB$12:AB$949,'09월 화학성분'!$A$12:$A$949,$A43,'09월 화학성분'!$D$12:$D$949,$B43)))</f>
        <v/>
      </c>
      <c r="AI43" s="829" t="str">
        <f>IF($C43&lt;1,"",(AVERAGEIFS('09월 화학성분'!AC$12:AC$949,'09월 화학성분'!$A$12:$A$949,$A43,'09월 화학성분'!$D$12:$D$949,$B43)))</f>
        <v/>
      </c>
      <c r="AJ43" s="829" t="str">
        <f>IF($C43&lt;1,"",(AVERAGEIFS('09월 화학성분'!AD$12:AD$949,'09월 화학성분'!$A$12:$A$949,$A43,'09월 화학성분'!$D$12:$D$949,$B43)))</f>
        <v/>
      </c>
      <c r="AK43" s="829" t="str">
        <f>IF($C43&lt;1,"",(AVERAGEIFS('09월 화학성분'!AF$12:AF$949,'09월 화학성분'!$A$12:$A$949,$A43,'09월 화학성분'!$D$12:$D$949,$B43)))</f>
        <v/>
      </c>
      <c r="AL43" s="829" t="str">
        <f>IF($C43&lt;1,"",(AVERAGEIFS('09월 화학성분'!AG$12:AG$949,'09월 화학성분'!$A$12:$A$949,$A43,'09월 화학성분'!$D$12:$D$949,$B43)))</f>
        <v/>
      </c>
      <c r="AM43" s="829" t="str">
        <f>IF($C43&lt;1,"",(AVERAGEIFS('09월 화학성분'!AH$12:AH$949,'09월 화학성분'!$A$12:$A$949,$A43,'09월 화학성분'!$D$12:$D$949,$B43)))</f>
        <v/>
      </c>
      <c r="AN43" s="829" t="str">
        <f>IF($C43&lt;1,"",(AVERAGEIFS('09월 화학성분'!AI$12:AI$949,'09월 화학성분'!$A$12:$A$949,$A43,'09월 화학성분'!$D$12:$D$949,$B43)))</f>
        <v/>
      </c>
      <c r="AO43" s="829" t="str">
        <f>IF($C43&lt;1,"",(AVERAGEIFS('09월 화학성분'!AJ$12:AJ$949,'09월 화학성분'!$A$12:$A$949,$A43,'09월 화학성분'!$D$12:$D$949,$B43)))</f>
        <v/>
      </c>
      <c r="AP43" s="829" t="str">
        <f>IF($C43&lt;1,"",(AVERAGEIFS('09월 화학성분'!#REF!,'09월 화학성분'!$A$12:$A$949,$A43,'09월 화학성분'!$D$12:$D$949,$B43)))</f>
        <v/>
      </c>
      <c r="AQ43" s="829" t="str">
        <f>IF($C43&lt;1,"",(AVERAGEIFS('09월 화학성분'!AL$12:AL$949,'09월 화학성분'!$A$12:$A$949,$A43,'09월 화학성분'!$D$12:$D$949,$B43)))</f>
        <v/>
      </c>
      <c r="AR43" s="829" t="str">
        <f>IF($C43&lt;1,"",(AVERAGEIFS('09월 화학성분'!AM$12:AM$949,'09월 화학성분'!$A$12:$A$949,$A43,'09월 화학성분'!$D$12:$D$949,$B43)))</f>
        <v/>
      </c>
      <c r="AS43" s="830" t="str">
        <f>IF($C43&lt;1,"",(AVERAGEIFS('09월 화학성분'!AN$12:AN$949,'09월 화학성분'!$A$12:$A$949,$A43,'09월 화학성분'!$D$12:$D$949,$B43)))</f>
        <v/>
      </c>
      <c r="AT43" s="830" t="str">
        <f>IF($C43&lt;1,"",(AVERAGEIFS('09월 화학성분'!AO$12:AO$949,'09월 화학성분'!$A$12:$A$949,$A43,'09월 화학성분'!$D$12:$D$949,$B43)))</f>
        <v/>
      </c>
      <c r="AU43" s="831" t="str">
        <f>IF($C43&lt;1,"",(AVERAGEIFS('09월 화학성분'!AP$12:AP$949,'09월 화학성분'!$A$12:$A$949,$A43,'09월 화학성분'!$D$12:$D$949,$B43)))</f>
        <v/>
      </c>
      <c r="AV43" s="832" t="str">
        <f>IF($C43&lt;1,"",(AVERAGEIFS('09월 고철장입'!G$14:G$949,'09월 고철장입'!$A$14:$A$949,$A43,'09월 고철장입'!$C$14:$C$949,$B43))/1000)</f>
        <v/>
      </c>
      <c r="AW43" s="832" t="str">
        <f>IF($C43&lt;1,"",(AVERAGEIFS('09월 고철장입'!H$14:H$949,'09월 고철장입'!$A$14:$A$949,$A43,'09월 고철장입'!$C$14:$C$949,$B43))/1000)</f>
        <v/>
      </c>
      <c r="AX43" s="832" t="str">
        <f>IF($C43&lt;1,"",(AVERAGEIFS('09월 고철장입'!I$14:I$949,'09월 고철장입'!$A$14:$A$949,$A43,'09월 고철장입'!$C$14:$C$949,$B43))/1000)</f>
        <v/>
      </c>
      <c r="AY43" s="832" t="str">
        <f>IF($C43&lt;1,"",(AVERAGEIFS('09월 고철장입'!J$14:J$949,'09월 고철장입'!$A$14:$A$949,$A43,'09월 고철장입'!$C$14:$C$949,$B43))/1000)</f>
        <v/>
      </c>
      <c r="AZ43" s="832" t="str">
        <f>IF($C43&lt;1,"",(AVERAGEIFS('09월 고철장입'!K$14:K$949,'09월 고철장입'!$A$14:$A$949,$A43,'09월 고철장입'!$C$14:$C$949,$B43))/1000)</f>
        <v/>
      </c>
      <c r="BA43" s="832" t="str">
        <f>IF($C43&lt;1,"",(AVERAGEIFS('09월 고철장입'!L$14:L$949,'09월 고철장입'!$A$14:$A$949,$A43,'09월 고철장입'!$C$14:$C$949,$B43))/1000)</f>
        <v/>
      </c>
      <c r="BB43" s="832" t="str">
        <f>IF($C43&lt;1,"",(AVERAGEIFS('09월 고철장입'!M$14:M$949,'09월 고철장입'!$A$14:$A$949,$A43,'09월 고철장입'!$C$14:$C$949,$B43))/1000)</f>
        <v/>
      </c>
      <c r="BC43" s="832" t="str">
        <f>IF($C43&lt;1,"",(AVERAGEIFS('09월 고철장입'!N$14:N$949,'09월 고철장입'!$A$14:$A$949,$A43,'09월 고철장입'!$C$14:$C$949,$B43))/1000)</f>
        <v/>
      </c>
      <c r="BD43" s="832" t="str">
        <f>IF($C43&lt;1,"",(AVERAGEIFS('09월 고철장입'!O$14:O$949,'09월 고철장입'!$A$14:$A$949,$A43,'09월 고철장입'!$C$14:$C$949,$B43))/1000)</f>
        <v/>
      </c>
      <c r="BE43" s="833" t="str">
        <f>IF($C43&lt;1,"",(AVERAGEIFS('09월 고철장입'!P$14:P$949,'09월 고철장입'!$A$14:$A$949,$A43,'09월 고철장입'!$C$14:$C$949,$B43))/1000)</f>
        <v/>
      </c>
      <c r="BF43" s="833" t="str">
        <f>IF($C43&lt;1,"",(AVERAGEIFS('09월 고철장입'!Q$14:Q$949,'09월 고철장입'!$A$14:$A$949,$A43,'09월 고철장입'!$C$14:$C$949,$B43))/1000)</f>
        <v/>
      </c>
      <c r="BG43" s="833" t="str">
        <f>IF($C43&lt;1,"",(AVERAGEIFS('09월 고철장입'!S$14:S$949,'09월 고철장입'!$A$14:$A$949,$A43,'09월 고철장입'!$C$14:$C$949,$B43))/1000)</f>
        <v/>
      </c>
      <c r="BH43" s="833" t="str">
        <f>IF($C43&lt;1,"",(AVERAGEIFS('09월 고철장입'!T$14:T$949,'09월 고철장입'!$A$14:$A$949,$A43,'09월 고철장입'!$C$14:$C$949,$B43))/1000)</f>
        <v/>
      </c>
      <c r="BI43" s="833" t="str">
        <f>IF($C43&lt;1,"",(AVERAGEIFS('09월 고철장입'!U$14:U$949,'09월 고철장입'!$A$14:$A$949,$A43,'09월 고철장입'!$C$14:$C$949,$B43))/1000)</f>
        <v/>
      </c>
      <c r="BJ43" s="833" t="str">
        <f>IF($C43&lt;1,"",(AVERAGEIFS('09월 고철장입'!V$14:V$949,'09월 고철장입'!$A$14:$A$949,$A43,'09월 고철장입'!$C$14:$C$949,$B43))/1000)</f>
        <v/>
      </c>
      <c r="BK43" s="833" t="str">
        <f>IF($C43&lt;1,"",(AVERAGEIFS('09월 고철장입'!W$14:W$949,'09월 고철장입'!$A$14:$A$949,$A43,'09월 고철장입'!$C$14:$C$949,$B43))/1000)</f>
        <v/>
      </c>
      <c r="BL43" s="833" t="str">
        <f>IF($C43&lt;1,"",(AVERAGEIFS('09월 고철장입'!Y$14:Y$949,'09월 고철장입'!$A$14:$A$949,$A43,'09월 고철장입'!$C$14:$C$949,$B43))/1000)</f>
        <v/>
      </c>
      <c r="BM43" s="833" t="str">
        <f>IF($C43&lt;1,"",(AVERAGEIFS('09월 고철장입'!AB$14:AB$949,'09월 고철장입'!$A$14:$A$949,$A43,'09월 고철장입'!$C$14:$C$949,$B43))/1000)</f>
        <v/>
      </c>
      <c r="BN43" s="833" t="str">
        <f>IF($C43&lt;1,"",(AVERAGEIFS('09월 고철장입'!AC$14:AC$949,'09월 고철장입'!$A$14:$A$949,$A43,'09월 고철장입'!$C$14:$C$949,$B43))/1000)</f>
        <v/>
      </c>
      <c r="BO43" s="833" t="str">
        <f>IF($C43&lt;1,"",(AVERAGEIFS('09월 고철장입'!AD$14:AD$949,'09월 고철장입'!$A$14:$A$949,$A43,'09월 고철장입'!$C$14:$C$949,$B43))/1000)</f>
        <v/>
      </c>
      <c r="BP43" s="833" t="str">
        <f>IF($C43&lt;1,"",(AVERAGEIFS('09월 고철장입'!AE$14:AE$949,'09월 고철장입'!$A$14:$A$949,$A43,'09월 고철장입'!$C$14:$C$949,$B43))/1000)</f>
        <v/>
      </c>
      <c r="BQ43" s="832" t="str">
        <f>IF($C43&lt;1,"",(AVERAGEIFS('09월 고철장입'!AF$14:AF$949,'09월 고철장입'!$A$14:$A$949,$A43,'09월 고철장입'!$C$14:$C$949,$B43))/1000)</f>
        <v/>
      </c>
      <c r="BR43" s="832" t="str">
        <f>IF($C43&lt;1,"",(AVERAGEIFS('09월 고철장입'!AG$14:AG$949,'09월 고철장입'!$A$14:$A$949,$A43,'09월 고철장입'!$C$14:$C$949,$B43))/1000)</f>
        <v/>
      </c>
      <c r="BS43" s="832" t="str">
        <f>IF($C43&lt;1,"",(AVERAGEIFS('09월 고철장입'!AH$14:AH$949,'09월 고철장입'!$A$14:$A$949,$A43,'09월 고철장입'!$C$14:$C$949,$B43))/1000)</f>
        <v/>
      </c>
      <c r="BT43" s="832" t="str">
        <f>IF($C43&lt;1,"",(AVERAGEIFS('09월 고철장입'!AI$14:AI$949,'09월 고철장입'!$A$14:$A$949,$A43,'09월 고철장입'!$C$14:$C$949,$B43))/1000)</f>
        <v/>
      </c>
      <c r="BU43" s="834" t="str">
        <f>IF($C43&lt;1,"",(AVERAGEIFS('09월 고철장입'!AJ$14:AJ$949,'09월 고철장입'!$A$14:$A$949,$A43,'09월 고철장입'!$C$14:$C$949,$B43))/1000)</f>
        <v/>
      </c>
      <c r="BV43" s="834" t="str">
        <f>IF($C43&lt;1,"",(AVERAGEIFS('09월 고철장입'!AK$14:AK$949,'09월 고철장입'!$A$14:$A$949,$A43,'09월 고철장입'!$C$14:$C$949,$B43)))</f>
        <v/>
      </c>
      <c r="BW43" s="834" t="str">
        <f>IF($C43&lt;1,"",(AVERAGEIFS('09월 고철장입'!AL$14:AL$949,'09월 고철장입'!$A$14:$A$949,$A43,'09월 고철장입'!$C$14:$C$949,$B43))*100)</f>
        <v/>
      </c>
      <c r="BX43" s="831" t="str">
        <f>IF($C43&lt;1,"",(AVERAGEIFS('09월 에너지'!G$14:G$949,'09월 에너지'!$A$14:$A$949,$A43,'09월 에너지'!$C$14:$C$949,$B43)))</f>
        <v/>
      </c>
      <c r="BY43" s="835" t="str">
        <f>IF($C43&lt;1,"",(AVERAGEIFS('09월 에너지'!H$14:H$949,'09월 에너지'!$A$14:$A$949,$A43,'09월 에너지'!$C$14:$C$949,$B43)))</f>
        <v/>
      </c>
      <c r="BZ43" s="831" t="str">
        <f>IF($C43&lt;1,"",(AVERAGEIFS('09월 에너지'!I$14:I$949,'09월 에너지'!$A$14:$A$949,$A43,'09월 에너지'!$C$14:$C$949,$B43)))</f>
        <v/>
      </c>
      <c r="CA43" s="835" t="str">
        <f>IF($C43&lt;1,"",(AVERAGEIFS('09월 에너지'!J$14:J$949,'09월 에너지'!$A$14:$A$949,$A43,'09월 에너지'!$C$14:$C$949,$B43)))</f>
        <v/>
      </c>
      <c r="CB43" s="831" t="str">
        <f>IF($C43&lt;1,"",(AVERAGEIFS('09월 에너지'!K$14:K$949,'09월 에너지'!$A$14:$A$949,$A43,'09월 에너지'!$C$14:$C$949,$B43)))</f>
        <v/>
      </c>
      <c r="CC43" s="835" t="str">
        <f>IF($C43&lt;1,"",(AVERAGEIFS('09월 에너지'!L$14:L$949,'09월 에너지'!$A$14:$A$949,$A43,'09월 에너지'!$C$14:$C$949,$B43)))</f>
        <v/>
      </c>
      <c r="CD43" s="831" t="str">
        <f>IF($C43&lt;1,"",(AVERAGEIFS('09월 에너지'!M$14:M$949,'09월 에너지'!$A$14:$A$949,$A43,'09월 에너지'!$C$14:$C$949,$B43)))</f>
        <v/>
      </c>
      <c r="CE43" s="835" t="str">
        <f>IF($C43&lt;1,"",(AVERAGEIFS('09월 에너지'!N$14:N$949,'09월 에너지'!$A$14:$A$949,$A43,'09월 에너지'!$C$14:$C$949,$B43)))</f>
        <v/>
      </c>
      <c r="CF43" s="831" t="str">
        <f>IF($C43&lt;1,"",(AVERAGEIFS('09월 에너지'!O$14:O$949,'09월 에너지'!$A$14:$A$949,$A43,'09월 에너지'!$C$14:$C$949,$B43)))</f>
        <v/>
      </c>
      <c r="CG43" s="831" t="str">
        <f>IF($C43&lt;1,"",(AVERAGEIFS('09월 에너지'!P$14:P$949,'09월 에너지'!$A$14:$A$949,$A43,'09월 에너지'!$C$14:$C$949,$B43)))</f>
        <v/>
      </c>
      <c r="CH43" s="831" t="str">
        <f>IF($C43&lt;1,"",(AVERAGEIFS('09월 에너지'!Q$14:Q$949,'09월 에너지'!$A$14:$A$949,$A43,'09월 에너지'!$C$14:$C$949,$B43)))</f>
        <v/>
      </c>
      <c r="CI43" s="831" t="str">
        <f>IF($C43&lt;1,"",(AVERAGEIFS('09월 에너지'!R$14:R$949,'09월 에너지'!$A$14:$A$949,$A43,'09월 에너지'!$C$14:$C$949,$B43)))</f>
        <v/>
      </c>
      <c r="CJ43" s="831" t="str">
        <f>IF($C43&lt;1,"",(AVERAGEIFS('09월 에너지'!S$14:S$949,'09월 에너지'!$A$14:$A$949,$A43,'09월 에너지'!$C$14:$C$949,$B43)))</f>
        <v/>
      </c>
      <c r="CK43" s="831" t="str">
        <f>IF($C43&lt;1,"",(AVERAGEIFS('09월 에너지'!T$14:T$949,'09월 에너지'!$A$14:$A$949,$A43,'09월 에너지'!$C$14:$C$949,$B43)))</f>
        <v/>
      </c>
      <c r="CL43" s="831" t="str">
        <f>IF($C43&lt;1,"",(AVERAGEIFS('09월 에너지'!U$14:U$949,'09월 에너지'!$A$14:$A$949,$A43,'09월 에너지'!$C$14:$C$949,$B43)))</f>
        <v/>
      </c>
      <c r="CM43" s="835" t="str">
        <f>IF($C43&lt;1,"",(AVERAGEIFS('09월 에너지'!V$14:V$949,'09월 에너지'!$A$14:$A$949,$A43,'09월 에너지'!$C$14:$C$949,$B43)))</f>
        <v/>
      </c>
      <c r="CN43" s="835" t="str">
        <f>IF($C43&lt;1,"",(AVERAGEIFS('09월 에너지'!W$14:W$949,'09월 에너지'!$A$14:$A$949,$A43,'09월 에너지'!$C$14:$C$949,$B43)))</f>
        <v/>
      </c>
      <c r="CO43" s="831" t="str">
        <f>IF($C43&lt;1,"",(AVERAGEIFS('09월 에너지'!X$14:X$949,'09월 에너지'!$A$14:$A$949,$A43,'09월 에너지'!$C$14:$C$949,$B43)))</f>
        <v/>
      </c>
      <c r="CP43" s="835" t="str">
        <f>IF($C43&lt;1,"",(AVERAGEIFS('09월 에너지'!Y$14:Y$949,'09월 에너지'!$A$14:$A$949,$A43,'09월 에너지'!$C$14:$C$949,$B43)))</f>
        <v/>
      </c>
      <c r="CQ43" s="835" t="str">
        <f>IF($C43&lt;1,"",(AVERAGEIFS('09월 에너지'!Z$14:Z$949,'09월 에너지'!$A$14:$A$949,$A43,'09월 에너지'!$C$14:$C$949,$B43)))</f>
        <v/>
      </c>
      <c r="CR43" s="835" t="str">
        <f>IF($C43&lt;1,"",(AVERAGEIFS('09월 에너지'!AA$14:AA$949,'09월 에너지'!$A$14:$A$949,$A43,'09월 에너지'!$C$14:$C$949,$B43)))</f>
        <v/>
      </c>
      <c r="CS43" s="835" t="str">
        <f>IF($C43&lt;1,"",(AVERAGEIFS('09월 에너지'!AB$14:AB$949,'09월 에너지'!$A$14:$A$949,$A43,'09월 에너지'!$C$14:$C$949,$B43)))</f>
        <v/>
      </c>
      <c r="CT43" s="831" t="str">
        <f>IF($C43&lt;1,"",(AVERAGEIFS('09월 에너지'!AC$14:AC$949,'09월 에너지'!$A$14:$A$949,$A43,'09월 에너지'!$C$14:$C$949,$B43)))</f>
        <v/>
      </c>
      <c r="CU43" s="836" t="str">
        <f>IF($C43&lt;1,"",(AVERAGEIFS('09월 에너지'!AD$14:AD$949,'09월 에너지'!$A$14:$A$949,$A43,'09월 에너지'!$C$14:$C$949,$B43)))</f>
        <v/>
      </c>
      <c r="CV43" s="837" t="str">
        <f>IF($C43&lt;1,"",(AVERAGEIFS('09월 에너지'!AE$14:AE$949,'09월 에너지'!$A$14:$A$949,$A43,'09월 에너지'!$C$14:$C$949,$B43)))</f>
        <v/>
      </c>
      <c r="CW43" s="831" t="str">
        <f>IF($C43&lt;1,"",(AVERAGEIFS('09월 에너지'!AF$14:AF$949,'09월 에너지'!$A$14:$A$949,$A43,'09월 에너지'!$C$14:$C$949,$B43)))</f>
        <v/>
      </c>
      <c r="CX43" s="831" t="str">
        <f>IF($C43&lt;1,"",(AVERAGEIFS('09월 에너지'!AG$14:AG$949,'09월 에너지'!$A$14:$A$949,$A43,'09월 에너지'!$C$14:$C$949,$B43)))</f>
        <v/>
      </c>
      <c r="CY43" s="831" t="str">
        <f>IF($C43&lt;1,"",(AVERAGEIFS('09월 에너지'!AH$14:AH$949,'09월 에너지'!$A$14:$A$949,$A43,'09월 에너지'!$C$14:$C$949,$B43)))</f>
        <v/>
      </c>
      <c r="CZ43" s="831" t="str">
        <f>IF($C43&lt;1,"",(AVERAGEIFS('09월 에너지'!AI$14:AI$949,'09월 에너지'!$A$14:$A$949,$A43,'09월 에너지'!$C$14:$C$949,$B43)))</f>
        <v/>
      </c>
      <c r="DA43" s="838" t="str">
        <f>IF($C43&lt;1,"",(AVERAGEIFS('09월 에너지'!AJ$14:AJ$949,'09월 에너지'!$A$14:$A$949,$A43,'09월 에너지'!$C$14:$C$949,$B43)))</f>
        <v/>
      </c>
    </row>
    <row r="44" spans="1:105" ht="13.5" customHeight="1">
      <c r="A44" s="849">
        <f t="shared" si="2"/>
        <v>44934</v>
      </c>
      <c r="B44" s="850" t="s">
        <v>10</v>
      </c>
      <c r="C44" s="823">
        <f>COUNTIFS('09월 조업일지'!$A$12:$A$952,A41,'09월 조업일지'!$E$12:$E$952,B44)</f>
        <v>0</v>
      </c>
      <c r="D44" s="824" t="str">
        <f t="shared" si="9"/>
        <v/>
      </c>
      <c r="E44" s="824" t="str">
        <f>IF($C44&lt;1,"",(SUMIFS('09월 조업일지'!$K$12:$K$952,'09월 조업일지'!$A$12:$A$952,$A44,'09월 조업일지'!$E$12:$E$952,$B44)/$C44))</f>
        <v/>
      </c>
      <c r="F44" s="824" t="str">
        <f>IF($C44&lt;1,"",(AVERAGEIFS('09월 조업일지'!$J$12:$J$952,'09월 조업일지'!$A$12:$A$952,$A44,'09월 조업일지'!$E$12:$E$952,$B44)))</f>
        <v/>
      </c>
      <c r="G44" s="825" t="str">
        <f>IF($C44&lt;1,"",(AVERAGEIFS('09월 에너지'!$M$14:$M$949,'09월 에너지'!$A$14:$A$949,$A44,'09월 에너지'!$C$14:$C$949,$B44)))</f>
        <v/>
      </c>
      <c r="H44" s="826" t="str">
        <f>IF($C44&lt;1,"",(AVERAGEIFS('09월 조업일지'!$AJ$12:$AJ$952,'09월 조업일지'!$A$12:$A$952,$A44,'09월 조업일지'!$E$12:$E$952,$B44)))</f>
        <v/>
      </c>
      <c r="I44" s="826" t="str">
        <f>IF($C44&lt;1,"",(AVERAGEIFS('09월 조업일지'!$AL$12:$AL$952,'09월 조업일지'!$A$12:$A$952,$A44,'09월 조업일지'!$E$12:$E$952,$B44)))</f>
        <v/>
      </c>
      <c r="J44" s="827" t="str">
        <f>IF($C44&lt;1,"",(AVERAGEIFS('09월 화학성분'!G$12:G$949,'09월 화학성분'!$A$12:$A$949,$A44,'09월 화학성분'!$D$12:$D$949,$B44)))</f>
        <v/>
      </c>
      <c r="K44" s="827" t="str">
        <f>IF($C44&lt;1,"",(AVERAGEIFS('09월 화학성분'!H$12:H$949,'09월 화학성분'!$A$12:$A$949,$A44,'09월 화학성분'!$D$12:$D$949,$B44)))</f>
        <v/>
      </c>
      <c r="L44" s="827" t="str">
        <f>IF($C44&lt;1,"",(AVERAGEIFS('09월 화학성분'!I$12:I$949,'09월 화학성분'!$A$12:$A$949,$A44,'09월 화학성분'!$D$12:$D$949,$B44)))</f>
        <v/>
      </c>
      <c r="M44" s="827" t="str">
        <f>IF($C44&lt;1,"",(AVERAGEIFS('09월 화학성분'!J$12:J$949,'09월 화학성분'!$A$12:$A$949,$A44,'09월 화학성분'!$D$12:$D$949,$B44)))</f>
        <v/>
      </c>
      <c r="N44" s="827" t="str">
        <f>IF($C44&lt;1,"",(AVERAGEIFS('09월 화학성분'!K$12:K$949,'09월 화학성분'!$A$12:$A$949,$A44,'09월 화학성분'!$D$12:$D$949,$B44)))</f>
        <v/>
      </c>
      <c r="O44" s="827" t="str">
        <f>IF($C44&lt;1,"",(AVERAGEIFS('09월 화학성분'!L$12:L$949,'09월 화학성분'!$A$12:$A$949,$A44,'09월 화학성분'!$D$12:$D$949,$B44)))</f>
        <v/>
      </c>
      <c r="P44" s="827" t="str">
        <f>IF($C44&lt;1,"",(AVERAGEIFS('09월 화학성분'!M$12:M$949,'09월 화학성분'!$A$12:$A$949,$A44,'09월 화학성분'!$D$12:$D$949,$B44)))</f>
        <v/>
      </c>
      <c r="Q44" s="827" t="str">
        <f>IFERROR(IF($C44&lt;1,"",(AVERAGEIFS('09월 조업일지'!$AA$12:$AA$952,'09월 조업일지'!$A$12:$A$952,$A44,'09월 조업일지'!$E$12:$E$952,$B44))),"")</f>
        <v/>
      </c>
      <c r="R44" s="827" t="str">
        <f>IF($C44&lt;1,"",(AVERAGEIFS('09월 조업일지'!$AK$12:$AK$952,'09월 조업일지'!$A$12:$A$952,$A44,'09월 조업일지'!$E$12:$E$952,$B44)))</f>
        <v/>
      </c>
      <c r="S44" s="827"/>
      <c r="T44" s="827"/>
      <c r="U44" s="827" t="str">
        <f>IF($C44&lt;1,"",(AVERAGEIFS('09월 화학성분'!$G$12:$G$949,'09월 화학성분'!$A$12:$A$949,$A44,'09월 화학성분'!$D$12:$D$949,$B44)))</f>
        <v/>
      </c>
      <c r="V44" s="827" t="str">
        <f>IF($C44&lt;1,"",(AVERAGEIFS('09월 조업일지'!$AI$12:$AI$952,'09월 조업일지'!$A$12:$A$952,$A44,'09월 조업일지'!$E$12:$E$952,$B44)))</f>
        <v/>
      </c>
      <c r="W44" s="828" t="str">
        <f>IF($C44&lt;1,"",(AVERAGEIFS('09월 화학성분'!$AM$12:$AM$949,'09월 화학성분'!$A$12:$A$949,$A44,'09월 화학성분'!$D$12:$D$949,$B44)))</f>
        <v/>
      </c>
      <c r="X44" s="829" t="str">
        <f>IF($C44&lt;1,"",(AVERAGEIFS('09월 화학성분'!N$12:N$949,'09월 화학성분'!$A$12:$A$949,$A44,'09월 화학성분'!$D$12:$D$949,$B44)))</f>
        <v/>
      </c>
      <c r="Y44" s="829" t="str">
        <f>IF($C44&lt;1,"",(AVERAGEIFS('09월 화학성분'!O$12:O$949,'09월 화학성분'!$A$12:$A$949,$A44,'09월 화학성분'!$D$12:$D$949,$B44)))</f>
        <v/>
      </c>
      <c r="Z44" s="829" t="str">
        <f>IF($C44&lt;1,"",(AVERAGEIFS('09월 화학성분'!P$12:P$949,'09월 화학성분'!$A$12:$A$949,$A44,'09월 화학성분'!$D$12:$D$949,$B44)))</f>
        <v/>
      </c>
      <c r="AA44" s="829" t="str">
        <f>IF($C44&lt;1,"",(AVERAGEIFS('09월 화학성분'!Q$12:Q$949,'09월 화학성분'!$A$12:$A$949,$A44,'09월 화학성분'!$D$12:$D$949,$B44)))</f>
        <v/>
      </c>
      <c r="AB44" s="829" t="str">
        <f>IF($C44&lt;1,"",(AVERAGEIFS('09월 화학성분'!R$12:R$949,'09월 화학성분'!$A$12:$A$949,$A44,'09월 화학성분'!$D$12:$D$949,$B44)))</f>
        <v/>
      </c>
      <c r="AC44" s="829" t="str">
        <f>IF($C44&lt;1,"",(AVERAGEIFS('09월 화학성분'!U$12:U$949,'09월 화학성분'!$A$12:$A$949,$A44,'09월 화학성분'!$D$12:$D$949,$B44)))</f>
        <v/>
      </c>
      <c r="AD44" s="829" t="str">
        <f>IF($C44&lt;1,"",(AVERAGEIFS('09월 화학성분'!V$12:V$949,'09월 화학성분'!$A$12:$A$949,$A44,'09월 화학성분'!$D$12:$D$949,$B44)))</f>
        <v/>
      </c>
      <c r="AE44" s="829" t="str">
        <f>IF($C44&lt;1,"",(AVERAGEIFS('09월 화학성분'!W$12:W$949,'09월 화학성분'!$A$12:$A$949,$A44,'09월 화학성분'!$D$12:$D$949,$B44)))</f>
        <v/>
      </c>
      <c r="AF44" s="829" t="str">
        <f>IF($C44&lt;1,"",(AVERAGEIFS('09월 화학성분'!AA$12:AA$949,'09월 화학성분'!$A$12:$A$949,$A44,'09월 화학성분'!$D$12:$D$949,$B44)))</f>
        <v/>
      </c>
      <c r="AG44" s="829" t="str">
        <f>IF($C44&lt;1,"",(AVERAGEIFS('09월 화학성분'!#REF!,'09월 화학성분'!$A$12:$A$949,$A44,'09월 화학성분'!$D$12:$D$949,$B44)))</f>
        <v/>
      </c>
      <c r="AH44" s="829" t="str">
        <f>IF($C44&lt;1,"",(AVERAGEIFS('09월 화학성분'!AB$12:AB$949,'09월 화학성분'!$A$12:$A$949,$A44,'09월 화학성분'!$D$12:$D$949,$B44)))</f>
        <v/>
      </c>
      <c r="AI44" s="829" t="str">
        <f>IF($C44&lt;1,"",(AVERAGEIFS('09월 화학성분'!AC$12:AC$949,'09월 화학성분'!$A$12:$A$949,$A44,'09월 화학성분'!$D$12:$D$949,$B44)))</f>
        <v/>
      </c>
      <c r="AJ44" s="829" t="str">
        <f>IF($C44&lt;1,"",(AVERAGEIFS('09월 화학성분'!AD$12:AD$949,'09월 화학성분'!$A$12:$A$949,$A44,'09월 화학성분'!$D$12:$D$949,$B44)))</f>
        <v/>
      </c>
      <c r="AK44" s="829" t="str">
        <f>IF($C44&lt;1,"",(AVERAGEIFS('09월 화학성분'!AF$12:AF$949,'09월 화학성분'!$A$12:$A$949,$A44,'09월 화학성분'!$D$12:$D$949,$B44)))</f>
        <v/>
      </c>
      <c r="AL44" s="829" t="str">
        <f>IF($C44&lt;1,"",(AVERAGEIFS('09월 화학성분'!AG$12:AG$949,'09월 화학성분'!$A$12:$A$949,$A44,'09월 화학성분'!$D$12:$D$949,$B44)))</f>
        <v/>
      </c>
      <c r="AM44" s="829" t="str">
        <f>IF($C44&lt;1,"",(AVERAGEIFS('09월 화학성분'!AH$12:AH$949,'09월 화학성분'!$A$12:$A$949,$A44,'09월 화학성분'!$D$12:$D$949,$B44)))</f>
        <v/>
      </c>
      <c r="AN44" s="829" t="str">
        <f>IF($C44&lt;1,"",(AVERAGEIFS('09월 화학성분'!AI$12:AI$949,'09월 화학성분'!$A$12:$A$949,$A44,'09월 화학성분'!$D$12:$D$949,$B44)))</f>
        <v/>
      </c>
      <c r="AO44" s="829" t="str">
        <f>IF($C44&lt;1,"",(AVERAGEIFS('09월 화학성분'!AJ$12:AJ$949,'09월 화학성분'!$A$12:$A$949,$A44,'09월 화학성분'!$D$12:$D$949,$B44)))</f>
        <v/>
      </c>
      <c r="AP44" s="829" t="str">
        <f>IF($C44&lt;1,"",(AVERAGEIFS('09월 화학성분'!#REF!,'09월 화학성분'!$A$12:$A$949,$A44,'09월 화학성분'!$D$12:$D$949,$B44)))</f>
        <v/>
      </c>
      <c r="AQ44" s="829" t="str">
        <f>IF($C44&lt;1,"",(AVERAGEIFS('09월 화학성분'!AL$12:AL$949,'09월 화학성분'!$A$12:$A$949,$A44,'09월 화학성분'!$D$12:$D$949,$B44)))</f>
        <v/>
      </c>
      <c r="AR44" s="829" t="str">
        <f>IF($C44&lt;1,"",(AVERAGEIFS('09월 화학성분'!AM$12:AM$949,'09월 화학성분'!$A$12:$A$949,$A44,'09월 화학성분'!$D$12:$D$949,$B44)))</f>
        <v/>
      </c>
      <c r="AS44" s="830" t="str">
        <f>IF($C44&lt;1,"",(AVERAGEIFS('09월 화학성분'!AN$12:AN$949,'09월 화학성분'!$A$12:$A$949,$A44,'09월 화학성분'!$D$12:$D$949,$B44)))</f>
        <v/>
      </c>
      <c r="AT44" s="830" t="str">
        <f>IF($C44&lt;1,"",(AVERAGEIFS('09월 화학성분'!AO$12:AO$949,'09월 화학성분'!$A$12:$A$949,$A44,'09월 화학성분'!$D$12:$D$949,$B44)))</f>
        <v/>
      </c>
      <c r="AU44" s="831" t="str">
        <f>IF($C44&lt;1,"",(AVERAGEIFS('09월 화학성분'!AP$12:AP$949,'09월 화학성분'!$A$12:$A$949,$A44,'09월 화학성분'!$D$12:$D$949,$B44)))</f>
        <v/>
      </c>
      <c r="AV44" s="832" t="str">
        <f>IF($C44&lt;1,"",(AVERAGEIFS('09월 고철장입'!G$14:G$949,'09월 고철장입'!$A$14:$A$949,$A44,'09월 고철장입'!$C$14:$C$949,$B44))/1000)</f>
        <v/>
      </c>
      <c r="AW44" s="832" t="str">
        <f>IF($C44&lt;1,"",(AVERAGEIFS('09월 고철장입'!H$14:H$949,'09월 고철장입'!$A$14:$A$949,$A44,'09월 고철장입'!$C$14:$C$949,$B44))/1000)</f>
        <v/>
      </c>
      <c r="AX44" s="832" t="str">
        <f>IF($C44&lt;1,"",(AVERAGEIFS('09월 고철장입'!I$14:I$949,'09월 고철장입'!$A$14:$A$949,$A44,'09월 고철장입'!$C$14:$C$949,$B44))/1000)</f>
        <v/>
      </c>
      <c r="AY44" s="832" t="str">
        <f>IF($C44&lt;1,"",(AVERAGEIFS('09월 고철장입'!J$14:J$949,'09월 고철장입'!$A$14:$A$949,$A44,'09월 고철장입'!$C$14:$C$949,$B44))/1000)</f>
        <v/>
      </c>
      <c r="AZ44" s="832" t="str">
        <f>IF($C44&lt;1,"",(AVERAGEIFS('09월 고철장입'!K$14:K$949,'09월 고철장입'!$A$14:$A$949,$A44,'09월 고철장입'!$C$14:$C$949,$B44))/1000)</f>
        <v/>
      </c>
      <c r="BA44" s="832" t="str">
        <f>IF($C44&lt;1,"",(AVERAGEIFS('09월 고철장입'!L$14:L$949,'09월 고철장입'!$A$14:$A$949,$A44,'09월 고철장입'!$C$14:$C$949,$B44))/1000)</f>
        <v/>
      </c>
      <c r="BB44" s="832" t="str">
        <f>IF($C44&lt;1,"",(AVERAGEIFS('09월 고철장입'!M$14:M$949,'09월 고철장입'!$A$14:$A$949,$A44,'09월 고철장입'!$C$14:$C$949,$B44))/1000)</f>
        <v/>
      </c>
      <c r="BC44" s="832" t="str">
        <f>IF($C44&lt;1,"",(AVERAGEIFS('09월 고철장입'!N$14:N$949,'09월 고철장입'!$A$14:$A$949,$A44,'09월 고철장입'!$C$14:$C$949,$B44))/1000)</f>
        <v/>
      </c>
      <c r="BD44" s="832" t="str">
        <f>IF($C44&lt;1,"",(AVERAGEIFS('09월 고철장입'!O$14:O$949,'09월 고철장입'!$A$14:$A$949,$A44,'09월 고철장입'!$C$14:$C$949,$B44))/1000)</f>
        <v/>
      </c>
      <c r="BE44" s="833" t="str">
        <f>IF($C44&lt;1,"",(AVERAGEIFS('09월 고철장입'!P$14:P$949,'09월 고철장입'!$A$14:$A$949,$A44,'09월 고철장입'!$C$14:$C$949,$B44))/1000)</f>
        <v/>
      </c>
      <c r="BF44" s="833" t="str">
        <f>IF($C44&lt;1,"",(AVERAGEIFS('09월 고철장입'!Q$14:Q$949,'09월 고철장입'!$A$14:$A$949,$A44,'09월 고철장입'!$C$14:$C$949,$B44))/1000)</f>
        <v/>
      </c>
      <c r="BG44" s="833" t="str">
        <f>IF($C44&lt;1,"",(AVERAGEIFS('09월 고철장입'!S$14:S$949,'09월 고철장입'!$A$14:$A$949,$A44,'09월 고철장입'!$C$14:$C$949,$B44))/1000)</f>
        <v/>
      </c>
      <c r="BH44" s="833" t="str">
        <f>IF($C44&lt;1,"",(AVERAGEIFS('09월 고철장입'!T$14:T$949,'09월 고철장입'!$A$14:$A$949,$A44,'09월 고철장입'!$C$14:$C$949,$B44))/1000)</f>
        <v/>
      </c>
      <c r="BI44" s="833" t="str">
        <f>IF($C44&lt;1,"",(AVERAGEIFS('09월 고철장입'!U$14:U$949,'09월 고철장입'!$A$14:$A$949,$A44,'09월 고철장입'!$C$14:$C$949,$B44))/1000)</f>
        <v/>
      </c>
      <c r="BJ44" s="833" t="str">
        <f>IF($C44&lt;1,"",(AVERAGEIFS('09월 고철장입'!V$14:V$949,'09월 고철장입'!$A$14:$A$949,$A44,'09월 고철장입'!$C$14:$C$949,$B44))/1000)</f>
        <v/>
      </c>
      <c r="BK44" s="833" t="str">
        <f>IF($C44&lt;1,"",(AVERAGEIFS('09월 고철장입'!W$14:W$949,'09월 고철장입'!$A$14:$A$949,$A44,'09월 고철장입'!$C$14:$C$949,$B44))/1000)</f>
        <v/>
      </c>
      <c r="BL44" s="833" t="str">
        <f>IF($C44&lt;1,"",(AVERAGEIFS('09월 고철장입'!Y$14:Y$949,'09월 고철장입'!$A$14:$A$949,$A44,'09월 고철장입'!$C$14:$C$949,$B44))/1000)</f>
        <v/>
      </c>
      <c r="BM44" s="833" t="str">
        <f>IF($C44&lt;1,"",(AVERAGEIFS('09월 고철장입'!AB$14:AB$949,'09월 고철장입'!$A$14:$A$949,$A44,'09월 고철장입'!$C$14:$C$949,$B44))/1000)</f>
        <v/>
      </c>
      <c r="BN44" s="833" t="str">
        <f>IF($C44&lt;1,"",(AVERAGEIFS('09월 고철장입'!AC$14:AC$949,'09월 고철장입'!$A$14:$A$949,$A44,'09월 고철장입'!$C$14:$C$949,$B44))/1000)</f>
        <v/>
      </c>
      <c r="BO44" s="833" t="str">
        <f>IF($C44&lt;1,"",(AVERAGEIFS('09월 고철장입'!AD$14:AD$949,'09월 고철장입'!$A$14:$A$949,$A44,'09월 고철장입'!$C$14:$C$949,$B44))/1000)</f>
        <v/>
      </c>
      <c r="BP44" s="833" t="str">
        <f>IF($C44&lt;1,"",(AVERAGEIFS('09월 고철장입'!AE$14:AE$949,'09월 고철장입'!$A$14:$A$949,$A44,'09월 고철장입'!$C$14:$C$949,$B44))/1000)</f>
        <v/>
      </c>
      <c r="BQ44" s="832" t="str">
        <f>IF($C44&lt;1,"",(AVERAGEIFS('09월 고철장입'!AF$14:AF$949,'09월 고철장입'!$A$14:$A$949,$A44,'09월 고철장입'!$C$14:$C$949,$B44))/1000)</f>
        <v/>
      </c>
      <c r="BR44" s="832" t="str">
        <f>IF($C44&lt;1,"",(AVERAGEIFS('09월 고철장입'!AG$14:AG$949,'09월 고철장입'!$A$14:$A$949,$A44,'09월 고철장입'!$C$14:$C$949,$B44))/1000)</f>
        <v/>
      </c>
      <c r="BS44" s="832" t="str">
        <f>IF($C44&lt;1,"",(AVERAGEIFS('09월 고철장입'!AH$14:AH$949,'09월 고철장입'!$A$14:$A$949,$A44,'09월 고철장입'!$C$14:$C$949,$B44))/1000)</f>
        <v/>
      </c>
      <c r="BT44" s="832" t="str">
        <f>IF($C44&lt;1,"",(AVERAGEIFS('09월 고철장입'!AI$14:AI$949,'09월 고철장입'!$A$14:$A$949,$A44,'09월 고철장입'!$C$14:$C$949,$B44))/1000)</f>
        <v/>
      </c>
      <c r="BU44" s="834" t="str">
        <f>IF($C44&lt;1,"",(AVERAGEIFS('09월 고철장입'!AJ$14:AJ$949,'09월 고철장입'!$A$14:$A$949,$A44,'09월 고철장입'!$C$14:$C$949,$B44))/1000)</f>
        <v/>
      </c>
      <c r="BV44" s="834" t="str">
        <f>IF($C44&lt;1,"",(AVERAGEIFS('09월 고철장입'!AK$14:AK$949,'09월 고철장입'!$A$14:$A$949,$A44,'09월 고철장입'!$C$14:$C$949,$B44)))</f>
        <v/>
      </c>
      <c r="BW44" s="834" t="str">
        <f>IF($C44&lt;1,"",(AVERAGEIFS('09월 고철장입'!AL$14:AL$949,'09월 고철장입'!$A$14:$A$949,$A44,'09월 고철장입'!$C$14:$C$949,$B44))*100)</f>
        <v/>
      </c>
      <c r="BX44" s="831" t="str">
        <f>IF($C44&lt;1,"",(AVERAGEIFS('09월 에너지'!G$14:G$949,'09월 에너지'!$A$14:$A$949,$A44,'09월 에너지'!$C$14:$C$949,$B44)))</f>
        <v/>
      </c>
      <c r="BY44" s="835" t="str">
        <f>IF($C44&lt;1,"",(AVERAGEIFS('09월 에너지'!H$14:H$949,'09월 에너지'!$A$14:$A$949,$A44,'09월 에너지'!$C$14:$C$949,$B44)))</f>
        <v/>
      </c>
      <c r="BZ44" s="831" t="str">
        <f>IF($C44&lt;1,"",(AVERAGEIFS('09월 에너지'!I$14:I$949,'09월 에너지'!$A$14:$A$949,$A44,'09월 에너지'!$C$14:$C$949,$B44)))</f>
        <v/>
      </c>
      <c r="CA44" s="835" t="str">
        <f>IF($C44&lt;1,"",(AVERAGEIFS('09월 에너지'!J$14:J$949,'09월 에너지'!$A$14:$A$949,$A44,'09월 에너지'!$C$14:$C$949,$B44)))</f>
        <v/>
      </c>
      <c r="CB44" s="831" t="str">
        <f>IF($C44&lt;1,"",(AVERAGEIFS('09월 에너지'!K$14:K$949,'09월 에너지'!$A$14:$A$949,$A44,'09월 에너지'!$C$14:$C$949,$B44)))</f>
        <v/>
      </c>
      <c r="CC44" s="835" t="str">
        <f>IF($C44&lt;1,"",(AVERAGEIFS('09월 에너지'!L$14:L$949,'09월 에너지'!$A$14:$A$949,$A44,'09월 에너지'!$C$14:$C$949,$B44)))</f>
        <v/>
      </c>
      <c r="CD44" s="831" t="str">
        <f>IF($C44&lt;1,"",(AVERAGEIFS('09월 에너지'!M$14:M$949,'09월 에너지'!$A$14:$A$949,$A44,'09월 에너지'!$C$14:$C$949,$B44)))</f>
        <v/>
      </c>
      <c r="CE44" s="835" t="str">
        <f>IF($C44&lt;1,"",(AVERAGEIFS('09월 에너지'!N$14:N$949,'09월 에너지'!$A$14:$A$949,$A44,'09월 에너지'!$C$14:$C$949,$B44)))</f>
        <v/>
      </c>
      <c r="CF44" s="831" t="str">
        <f>IF($C44&lt;1,"",(AVERAGEIFS('09월 에너지'!O$14:O$949,'09월 에너지'!$A$14:$A$949,$A44,'09월 에너지'!$C$14:$C$949,$B44)))</f>
        <v/>
      </c>
      <c r="CG44" s="831" t="str">
        <f>IF($C44&lt;1,"",(AVERAGEIFS('09월 에너지'!P$14:P$949,'09월 에너지'!$A$14:$A$949,$A44,'09월 에너지'!$C$14:$C$949,$B44)))</f>
        <v/>
      </c>
      <c r="CH44" s="831" t="str">
        <f>IF($C44&lt;1,"",(AVERAGEIFS('09월 에너지'!Q$14:Q$949,'09월 에너지'!$A$14:$A$949,$A44,'09월 에너지'!$C$14:$C$949,$B44)))</f>
        <v/>
      </c>
      <c r="CI44" s="831" t="str">
        <f>IF($C44&lt;1,"",(AVERAGEIFS('09월 에너지'!R$14:R$949,'09월 에너지'!$A$14:$A$949,$A44,'09월 에너지'!$C$14:$C$949,$B44)))</f>
        <v/>
      </c>
      <c r="CJ44" s="831" t="str">
        <f>IF($C44&lt;1,"",(AVERAGEIFS('09월 에너지'!S$14:S$949,'09월 에너지'!$A$14:$A$949,$A44,'09월 에너지'!$C$14:$C$949,$B44)))</f>
        <v/>
      </c>
      <c r="CK44" s="831" t="str">
        <f>IF($C44&lt;1,"",(AVERAGEIFS('09월 에너지'!T$14:T$949,'09월 에너지'!$A$14:$A$949,$A44,'09월 에너지'!$C$14:$C$949,$B44)))</f>
        <v/>
      </c>
      <c r="CL44" s="831" t="str">
        <f>IF($C44&lt;1,"",(AVERAGEIFS('09월 에너지'!U$14:U$949,'09월 에너지'!$A$14:$A$949,$A44,'09월 에너지'!$C$14:$C$949,$B44)))</f>
        <v/>
      </c>
      <c r="CM44" s="835" t="str">
        <f>IF($C44&lt;1,"",(AVERAGEIFS('09월 에너지'!V$14:V$949,'09월 에너지'!$A$14:$A$949,$A44,'09월 에너지'!$C$14:$C$949,$B44)))</f>
        <v/>
      </c>
      <c r="CN44" s="835" t="str">
        <f>IF($C44&lt;1,"",(AVERAGEIFS('09월 에너지'!W$14:W$949,'09월 에너지'!$A$14:$A$949,$A44,'09월 에너지'!$C$14:$C$949,$B44)))</f>
        <v/>
      </c>
      <c r="CO44" s="831" t="str">
        <f>IF($C44&lt;1,"",(AVERAGEIFS('09월 에너지'!X$14:X$949,'09월 에너지'!$A$14:$A$949,$A44,'09월 에너지'!$C$14:$C$949,$B44)))</f>
        <v/>
      </c>
      <c r="CP44" s="835" t="str">
        <f>IF($C44&lt;1,"",(AVERAGEIFS('09월 에너지'!Y$14:Y$949,'09월 에너지'!$A$14:$A$949,$A44,'09월 에너지'!$C$14:$C$949,$B44)))</f>
        <v/>
      </c>
      <c r="CQ44" s="835" t="str">
        <f>IF($C44&lt;1,"",(AVERAGEIFS('09월 에너지'!Z$14:Z$949,'09월 에너지'!$A$14:$A$949,$A44,'09월 에너지'!$C$14:$C$949,$B44)))</f>
        <v/>
      </c>
      <c r="CR44" s="835" t="str">
        <f>IF($C44&lt;1,"",(AVERAGEIFS('09월 에너지'!AA$14:AA$949,'09월 에너지'!$A$14:$A$949,$A44,'09월 에너지'!$C$14:$C$949,$B44)))</f>
        <v/>
      </c>
      <c r="CS44" s="835" t="str">
        <f>IF($C44&lt;1,"",(AVERAGEIFS('09월 에너지'!AB$14:AB$949,'09월 에너지'!$A$14:$A$949,$A44,'09월 에너지'!$C$14:$C$949,$B44)))</f>
        <v/>
      </c>
      <c r="CT44" s="831" t="str">
        <f>IF($C44&lt;1,"",(AVERAGEIFS('09월 에너지'!AC$14:AC$949,'09월 에너지'!$A$14:$A$949,$A44,'09월 에너지'!$C$14:$C$949,$B44)))</f>
        <v/>
      </c>
      <c r="CU44" s="836" t="str">
        <f>IF($C44&lt;1,"",(AVERAGEIFS('09월 에너지'!AD$14:AD$949,'09월 에너지'!$A$14:$A$949,$A44,'09월 에너지'!$C$14:$C$949,$B44)))</f>
        <v/>
      </c>
      <c r="CV44" s="837" t="str">
        <f>IF($C44&lt;1,"",(AVERAGEIFS('09월 에너지'!AE$14:AE$949,'09월 에너지'!$A$14:$A$949,$A44,'09월 에너지'!$C$14:$C$949,$B44)))</f>
        <v/>
      </c>
      <c r="CW44" s="831" t="str">
        <f>IF($C44&lt;1,"",(AVERAGEIFS('09월 에너지'!AF$14:AF$949,'09월 에너지'!$A$14:$A$949,$A44,'09월 에너지'!$C$14:$C$949,$B44)))</f>
        <v/>
      </c>
      <c r="CX44" s="831" t="str">
        <f>IF($C44&lt;1,"",(AVERAGEIFS('09월 에너지'!AG$14:AG$949,'09월 에너지'!$A$14:$A$949,$A44,'09월 에너지'!$C$14:$C$949,$B44)))</f>
        <v/>
      </c>
      <c r="CY44" s="831" t="str">
        <f>IF($C44&lt;1,"",(AVERAGEIFS('09월 에너지'!AH$14:AH$949,'09월 에너지'!$A$14:$A$949,$A44,'09월 에너지'!$C$14:$C$949,$B44)))</f>
        <v/>
      </c>
      <c r="CZ44" s="831" t="str">
        <f>IF($C44&lt;1,"",(AVERAGEIFS('09월 에너지'!AI$14:AI$949,'09월 에너지'!$A$14:$A$949,$A44,'09월 에너지'!$C$14:$C$949,$B44)))</f>
        <v/>
      </c>
      <c r="DA44" s="838" t="str">
        <f>IF($C44&lt;1,"",(AVERAGEIFS('09월 에너지'!AJ$14:AJ$949,'09월 에너지'!$A$14:$A$949,$A44,'09월 에너지'!$C$14:$C$949,$B44)))</f>
        <v/>
      </c>
    </row>
    <row r="45" spans="1:105" ht="13.5" customHeight="1" thickBot="1">
      <c r="A45" s="851">
        <f t="shared" si="2"/>
        <v>44934</v>
      </c>
      <c r="B45" s="852" t="s">
        <v>94</v>
      </c>
      <c r="C45" s="841">
        <f>COUNTIFS('09월 조업일지'!$A$12:$A$952,A41,'09월 조업일지'!$E$12:$E$952,B45)</f>
        <v>0</v>
      </c>
      <c r="D45" s="842" t="str">
        <f t="shared" si="9"/>
        <v/>
      </c>
      <c r="E45" s="842" t="str">
        <f>IF($C45&lt;1,"",(SUMIFS('09월 조업일지'!$K$12:$K$952,'09월 조업일지'!$A$12:$A$952,$A45,'09월 조업일지'!$E$12:$E$952,$B45)/$C45))</f>
        <v/>
      </c>
      <c r="F45" s="842" t="str">
        <f>IF($C45&lt;1,"",(AVERAGEIFS('09월 조업일지'!$J$12:$J$952,'09월 조업일지'!$A$12:$A$952,$A45,'09월 조업일지'!$E$12:$E$952,$B45)))</f>
        <v/>
      </c>
      <c r="G45" s="843" t="str">
        <f>IF($C45&lt;1,"",(AVERAGEIFS('09월 에너지'!$M$14:$M$949,'09월 에너지'!$A$14:$A$949,$A45,'09월 에너지'!$C$14:$C$949,$B45)))</f>
        <v/>
      </c>
      <c r="H45" s="844" t="str">
        <f>IF($C45&lt;1,"",(AVERAGEIFS('09월 조업일지'!$AJ$12:$AJ$952,'09월 조업일지'!$A$12:$A$952,$A45,'09월 조업일지'!$E$12:$E$952,$B45)))</f>
        <v/>
      </c>
      <c r="I45" s="844" t="str">
        <f>IF($C45&lt;1,"",(AVERAGEIFS('09월 조업일지'!$AL$12:$AL$952,'09월 조업일지'!$A$12:$A$952,$A45,'09월 조업일지'!$E$12:$E$952,$B45)))</f>
        <v/>
      </c>
      <c r="J45" s="845" t="str">
        <f>IF($C45&lt;1,"",(AVERAGEIFS('09월 화학성분'!G$12:G$949,'09월 화학성분'!$A$12:$A$949,$A45,'09월 화학성분'!$D$12:$D$949,$B45)))</f>
        <v/>
      </c>
      <c r="K45" s="845" t="str">
        <f>IF($C45&lt;1,"",(AVERAGEIFS('09월 화학성분'!H$12:H$949,'09월 화학성분'!$A$12:$A$949,$A45,'09월 화학성분'!$D$12:$D$949,$B45)))</f>
        <v/>
      </c>
      <c r="L45" s="845" t="str">
        <f>IF($C45&lt;1,"",(AVERAGEIFS('09월 화학성분'!I$12:I$949,'09월 화학성분'!$A$12:$A$949,$A45,'09월 화학성분'!$D$12:$D$949,$B45)))</f>
        <v/>
      </c>
      <c r="M45" s="845" t="str">
        <f>IF($C45&lt;1,"",(AVERAGEIFS('09월 화학성분'!J$12:J$949,'09월 화학성분'!$A$12:$A$949,$A45,'09월 화학성분'!$D$12:$D$949,$B45)))</f>
        <v/>
      </c>
      <c r="N45" s="845" t="str">
        <f>IF($C45&lt;1,"",(AVERAGEIFS('09월 화학성분'!K$12:K$949,'09월 화학성분'!$A$12:$A$949,$A45,'09월 화학성분'!$D$12:$D$949,$B45)))</f>
        <v/>
      </c>
      <c r="O45" s="845" t="str">
        <f>IF($C45&lt;1,"",(AVERAGEIFS('09월 화학성분'!L$12:L$949,'09월 화학성분'!$A$12:$A$949,$A45,'09월 화학성분'!$D$12:$D$949,$B45)))</f>
        <v/>
      </c>
      <c r="P45" s="845" t="str">
        <f>IF($C45&lt;1,"",(AVERAGEIFS('09월 화학성분'!M$12:M$949,'09월 화학성분'!$A$12:$A$949,$A45,'09월 화학성분'!$D$12:$D$949,$B45)))</f>
        <v/>
      </c>
      <c r="Q45" s="827" t="str">
        <f>IFERROR(IF($C45&lt;1,"",(AVERAGEIFS('09월 조업일지'!$AA$12:$AA$952,'09월 조업일지'!$A$12:$A$952,$A45,'09월 조업일지'!$E$12:$E$952,$B45))),"")</f>
        <v/>
      </c>
      <c r="R45" s="845" t="str">
        <f>IF($C45&lt;1,"",(AVERAGEIFS('09월 조업일지'!$AK$12:$AK$952,'09월 조업일지'!$A$12:$A$952,$A45,'09월 조업일지'!$E$12:$E$952,$B45)))</f>
        <v/>
      </c>
      <c r="S45" s="845"/>
      <c r="T45" s="845"/>
      <c r="U45" s="845" t="str">
        <f>IF($C45&lt;1,"",(AVERAGEIFS('09월 화학성분'!$G$12:$G$949,'09월 화학성분'!$A$12:$A$949,$A45,'09월 화학성분'!$D$12:$D$949,$B45)))</f>
        <v/>
      </c>
      <c r="V45" s="845" t="str">
        <f>IF($C45&lt;1,"",(AVERAGEIFS('09월 조업일지'!$AI$12:$AI$952,'09월 조업일지'!$A$12:$A$952,$A45,'09월 조업일지'!$E$12:$E$952,$B45)))</f>
        <v/>
      </c>
      <c r="W45" s="846" t="str">
        <f>IF($C45&lt;1,"",(AVERAGEIFS('09월 화학성분'!$AM$12:$AM$949,'09월 화학성분'!$A$12:$A$949,$A45,'09월 화학성분'!$D$12:$D$949,$B45)))</f>
        <v/>
      </c>
      <c r="X45" s="829" t="str">
        <f>IF($C45&lt;1,"",(AVERAGEIFS('09월 화학성분'!N$12:N$949,'09월 화학성분'!$A$12:$A$949,$A45,'09월 화학성분'!$D$12:$D$949,$B45)))</f>
        <v/>
      </c>
      <c r="Y45" s="829" t="str">
        <f>IF($C45&lt;1,"",(AVERAGEIFS('09월 화학성분'!O$12:O$949,'09월 화학성분'!$A$12:$A$949,$A45,'09월 화학성분'!$D$12:$D$949,$B45)))</f>
        <v/>
      </c>
      <c r="Z45" s="829" t="str">
        <f>IF($C45&lt;1,"",(AVERAGEIFS('09월 화학성분'!P$12:P$949,'09월 화학성분'!$A$12:$A$949,$A45,'09월 화학성분'!$D$12:$D$949,$B45)))</f>
        <v/>
      </c>
      <c r="AA45" s="829" t="str">
        <f>IF($C45&lt;1,"",(AVERAGEIFS('09월 화학성분'!Q$12:Q$949,'09월 화학성분'!$A$12:$A$949,$A45,'09월 화학성분'!$D$12:$D$949,$B45)))</f>
        <v/>
      </c>
      <c r="AB45" s="829" t="str">
        <f>IF($C45&lt;1,"",(AVERAGEIFS('09월 화학성분'!R$12:R$949,'09월 화학성분'!$A$12:$A$949,$A45,'09월 화학성분'!$D$12:$D$949,$B45)))</f>
        <v/>
      </c>
      <c r="AC45" s="829" t="str">
        <f>IF($C45&lt;1,"",(AVERAGEIFS('09월 화학성분'!U$12:U$949,'09월 화학성분'!$A$12:$A$949,$A45,'09월 화학성분'!$D$12:$D$949,$B45)))</f>
        <v/>
      </c>
      <c r="AD45" s="829" t="str">
        <f>IF($C45&lt;1,"",(AVERAGEIFS('09월 화학성분'!V$12:V$949,'09월 화학성분'!$A$12:$A$949,$A45,'09월 화학성분'!$D$12:$D$949,$B45)))</f>
        <v/>
      </c>
      <c r="AE45" s="829" t="str">
        <f>IF($C45&lt;1,"",(AVERAGEIFS('09월 화학성분'!W$12:W$949,'09월 화학성분'!$A$12:$A$949,$A45,'09월 화학성분'!$D$12:$D$949,$B45)))</f>
        <v/>
      </c>
      <c r="AF45" s="829" t="str">
        <f>IF($C45&lt;1,"",(AVERAGEIFS('09월 화학성분'!AA$12:AA$949,'09월 화학성분'!$A$12:$A$949,$A45,'09월 화학성분'!$D$12:$D$949,$B45)))</f>
        <v/>
      </c>
      <c r="AG45" s="829" t="str">
        <f>IF($C45&lt;1,"",(AVERAGEIFS('09월 화학성분'!#REF!,'09월 화학성분'!$A$12:$A$949,$A45,'09월 화학성분'!$D$12:$D$949,$B45)))</f>
        <v/>
      </c>
      <c r="AH45" s="829" t="str">
        <f>IF($C45&lt;1,"",(AVERAGEIFS('09월 화학성분'!AB$12:AB$949,'09월 화학성분'!$A$12:$A$949,$A45,'09월 화학성분'!$D$12:$D$949,$B45)))</f>
        <v/>
      </c>
      <c r="AI45" s="829" t="str">
        <f>IF($C45&lt;1,"",(AVERAGEIFS('09월 화학성분'!AC$12:AC$949,'09월 화학성분'!$A$12:$A$949,$A45,'09월 화학성분'!$D$12:$D$949,$B45)))</f>
        <v/>
      </c>
      <c r="AJ45" s="829" t="str">
        <f>IF($C45&lt;1,"",(AVERAGEIFS('09월 화학성분'!AD$12:AD$949,'09월 화학성분'!$A$12:$A$949,$A45,'09월 화학성분'!$D$12:$D$949,$B45)))</f>
        <v/>
      </c>
      <c r="AK45" s="829" t="str">
        <f>IF($C45&lt;1,"",(AVERAGEIFS('09월 화학성분'!AF$12:AF$949,'09월 화학성분'!$A$12:$A$949,$A45,'09월 화학성분'!$D$12:$D$949,$B45)))</f>
        <v/>
      </c>
      <c r="AL45" s="829" t="str">
        <f>IF($C45&lt;1,"",(AVERAGEIFS('09월 화학성분'!AG$12:AG$949,'09월 화학성분'!$A$12:$A$949,$A45,'09월 화학성분'!$D$12:$D$949,$B45)))</f>
        <v/>
      </c>
      <c r="AM45" s="829" t="str">
        <f>IF($C45&lt;1,"",(AVERAGEIFS('09월 화학성분'!AH$12:AH$949,'09월 화학성분'!$A$12:$A$949,$A45,'09월 화학성분'!$D$12:$D$949,$B45)))</f>
        <v/>
      </c>
      <c r="AN45" s="829" t="str">
        <f>IF($C45&lt;1,"",(AVERAGEIFS('09월 화학성분'!AI$12:AI$949,'09월 화학성분'!$A$12:$A$949,$A45,'09월 화학성분'!$D$12:$D$949,$B45)))</f>
        <v/>
      </c>
      <c r="AO45" s="829" t="str">
        <f>IF($C45&lt;1,"",(AVERAGEIFS('09월 화학성분'!AJ$12:AJ$949,'09월 화학성분'!$A$12:$A$949,$A45,'09월 화학성분'!$D$12:$D$949,$B45)))</f>
        <v/>
      </c>
      <c r="AP45" s="829" t="str">
        <f>IF($C45&lt;1,"",(AVERAGEIFS('09월 화학성분'!#REF!,'09월 화학성분'!$A$12:$A$949,$A45,'09월 화학성분'!$D$12:$D$949,$B45)))</f>
        <v/>
      </c>
      <c r="AQ45" s="829" t="str">
        <f>IF($C45&lt;1,"",(AVERAGEIFS('09월 화학성분'!AL$12:AL$949,'09월 화학성분'!$A$12:$A$949,$A45,'09월 화학성분'!$D$12:$D$949,$B45)))</f>
        <v/>
      </c>
      <c r="AR45" s="829" t="str">
        <f>IF($C45&lt;1,"",(AVERAGEIFS('09월 화학성분'!AM$12:AM$949,'09월 화학성분'!$A$12:$A$949,$A45,'09월 화학성분'!$D$12:$D$949,$B45)))</f>
        <v/>
      </c>
      <c r="AS45" s="830" t="str">
        <f>IF($C45&lt;1,"",(AVERAGEIFS('09월 화학성분'!AN$12:AN$949,'09월 화학성분'!$A$12:$A$949,$A45,'09월 화학성분'!$D$12:$D$949,$B45)))</f>
        <v/>
      </c>
      <c r="AT45" s="830" t="str">
        <f>IF($C45&lt;1,"",(AVERAGEIFS('09월 화학성분'!AO$12:AO$949,'09월 화학성분'!$A$12:$A$949,$A45,'09월 화학성분'!$D$12:$D$949,$B45)))</f>
        <v/>
      </c>
      <c r="AU45" s="831" t="str">
        <f>IF($C45&lt;1,"",(AVERAGEIFS('09월 화학성분'!AP$12:AP$949,'09월 화학성분'!$A$12:$A$949,$A45,'09월 화학성분'!$D$12:$D$949,$B45)))</f>
        <v/>
      </c>
      <c r="AV45" s="832" t="str">
        <f>IF($C45&lt;1,"",(AVERAGEIFS('09월 고철장입'!G$14:G$949,'09월 고철장입'!$A$14:$A$949,$A45,'09월 고철장입'!$C$14:$C$949,$B45))/1000)</f>
        <v/>
      </c>
      <c r="AW45" s="832" t="str">
        <f>IF($C45&lt;1,"",(AVERAGEIFS('09월 고철장입'!H$14:H$949,'09월 고철장입'!$A$14:$A$949,$A45,'09월 고철장입'!$C$14:$C$949,$B45))/1000)</f>
        <v/>
      </c>
      <c r="AX45" s="832" t="str">
        <f>IF($C45&lt;1,"",(AVERAGEIFS('09월 고철장입'!I$14:I$949,'09월 고철장입'!$A$14:$A$949,$A45,'09월 고철장입'!$C$14:$C$949,$B45))/1000)</f>
        <v/>
      </c>
      <c r="AY45" s="832" t="str">
        <f>IF($C45&lt;1,"",(AVERAGEIFS('09월 고철장입'!J$14:J$949,'09월 고철장입'!$A$14:$A$949,$A45,'09월 고철장입'!$C$14:$C$949,$B45))/1000)</f>
        <v/>
      </c>
      <c r="AZ45" s="832" t="str">
        <f>IF($C45&lt;1,"",(AVERAGEIFS('09월 고철장입'!K$14:K$949,'09월 고철장입'!$A$14:$A$949,$A45,'09월 고철장입'!$C$14:$C$949,$B45))/1000)</f>
        <v/>
      </c>
      <c r="BA45" s="832" t="str">
        <f>IF($C45&lt;1,"",(AVERAGEIFS('09월 고철장입'!L$14:L$949,'09월 고철장입'!$A$14:$A$949,$A45,'09월 고철장입'!$C$14:$C$949,$B45))/1000)</f>
        <v/>
      </c>
      <c r="BB45" s="832" t="str">
        <f>IF($C45&lt;1,"",(AVERAGEIFS('09월 고철장입'!M$14:M$949,'09월 고철장입'!$A$14:$A$949,$A45,'09월 고철장입'!$C$14:$C$949,$B45))/1000)</f>
        <v/>
      </c>
      <c r="BC45" s="832" t="str">
        <f>IF($C45&lt;1,"",(AVERAGEIFS('09월 고철장입'!N$14:N$949,'09월 고철장입'!$A$14:$A$949,$A45,'09월 고철장입'!$C$14:$C$949,$B45))/1000)</f>
        <v/>
      </c>
      <c r="BD45" s="832" t="str">
        <f>IF($C45&lt;1,"",(AVERAGEIFS('09월 고철장입'!O$14:O$949,'09월 고철장입'!$A$14:$A$949,$A45,'09월 고철장입'!$C$14:$C$949,$B45))/1000)</f>
        <v/>
      </c>
      <c r="BE45" s="833" t="str">
        <f>IF($C45&lt;1,"",(AVERAGEIFS('09월 고철장입'!P$14:P$949,'09월 고철장입'!$A$14:$A$949,$A45,'09월 고철장입'!$C$14:$C$949,$B45))/1000)</f>
        <v/>
      </c>
      <c r="BF45" s="833" t="str">
        <f>IF($C45&lt;1,"",(AVERAGEIFS('09월 고철장입'!Q$14:Q$949,'09월 고철장입'!$A$14:$A$949,$A45,'09월 고철장입'!$C$14:$C$949,$B45))/1000)</f>
        <v/>
      </c>
      <c r="BG45" s="833" t="str">
        <f>IF($C45&lt;1,"",(AVERAGEIFS('09월 고철장입'!S$14:S$949,'09월 고철장입'!$A$14:$A$949,$A45,'09월 고철장입'!$C$14:$C$949,$B45))/1000)</f>
        <v/>
      </c>
      <c r="BH45" s="833" t="str">
        <f>IF($C45&lt;1,"",(AVERAGEIFS('09월 고철장입'!T$14:T$949,'09월 고철장입'!$A$14:$A$949,$A45,'09월 고철장입'!$C$14:$C$949,$B45))/1000)</f>
        <v/>
      </c>
      <c r="BI45" s="833" t="str">
        <f>IF($C45&lt;1,"",(AVERAGEIFS('09월 고철장입'!U$14:U$949,'09월 고철장입'!$A$14:$A$949,$A45,'09월 고철장입'!$C$14:$C$949,$B45))/1000)</f>
        <v/>
      </c>
      <c r="BJ45" s="833" t="str">
        <f>IF($C45&lt;1,"",(AVERAGEIFS('09월 고철장입'!V$14:V$949,'09월 고철장입'!$A$14:$A$949,$A45,'09월 고철장입'!$C$14:$C$949,$B45))/1000)</f>
        <v/>
      </c>
      <c r="BK45" s="833" t="str">
        <f>IF($C45&lt;1,"",(AVERAGEIFS('09월 고철장입'!W$14:W$949,'09월 고철장입'!$A$14:$A$949,$A45,'09월 고철장입'!$C$14:$C$949,$B45))/1000)</f>
        <v/>
      </c>
      <c r="BL45" s="833" t="str">
        <f>IF($C45&lt;1,"",(AVERAGEIFS('09월 고철장입'!Y$14:Y$949,'09월 고철장입'!$A$14:$A$949,$A45,'09월 고철장입'!$C$14:$C$949,$B45))/1000)</f>
        <v/>
      </c>
      <c r="BM45" s="833" t="str">
        <f>IF($C45&lt;1,"",(AVERAGEIFS('09월 고철장입'!AB$14:AB$949,'09월 고철장입'!$A$14:$A$949,$A45,'09월 고철장입'!$C$14:$C$949,$B45))/1000)</f>
        <v/>
      </c>
      <c r="BN45" s="833" t="str">
        <f>IF($C45&lt;1,"",(AVERAGEIFS('09월 고철장입'!AC$14:AC$949,'09월 고철장입'!$A$14:$A$949,$A45,'09월 고철장입'!$C$14:$C$949,$B45))/1000)</f>
        <v/>
      </c>
      <c r="BO45" s="833" t="str">
        <f>IF($C45&lt;1,"",(AVERAGEIFS('09월 고철장입'!AD$14:AD$949,'09월 고철장입'!$A$14:$A$949,$A45,'09월 고철장입'!$C$14:$C$949,$B45))/1000)</f>
        <v/>
      </c>
      <c r="BP45" s="833" t="str">
        <f>IF($C45&lt;1,"",(AVERAGEIFS('09월 고철장입'!AE$14:AE$949,'09월 고철장입'!$A$14:$A$949,$A45,'09월 고철장입'!$C$14:$C$949,$B45))/1000)</f>
        <v/>
      </c>
      <c r="BQ45" s="832" t="str">
        <f>IF($C45&lt;1,"",(AVERAGEIFS('09월 고철장입'!AF$14:AF$949,'09월 고철장입'!$A$14:$A$949,$A45,'09월 고철장입'!$C$14:$C$949,$B45))/1000)</f>
        <v/>
      </c>
      <c r="BR45" s="832" t="str">
        <f>IF($C45&lt;1,"",(AVERAGEIFS('09월 고철장입'!AG$14:AG$949,'09월 고철장입'!$A$14:$A$949,$A45,'09월 고철장입'!$C$14:$C$949,$B45))/1000)</f>
        <v/>
      </c>
      <c r="BS45" s="832" t="str">
        <f>IF($C45&lt;1,"",(AVERAGEIFS('09월 고철장입'!AH$14:AH$949,'09월 고철장입'!$A$14:$A$949,$A45,'09월 고철장입'!$C$14:$C$949,$B45))/1000)</f>
        <v/>
      </c>
      <c r="BT45" s="832" t="str">
        <f>IF($C45&lt;1,"",(AVERAGEIFS('09월 고철장입'!AI$14:AI$949,'09월 고철장입'!$A$14:$A$949,$A45,'09월 고철장입'!$C$14:$C$949,$B45))/1000)</f>
        <v/>
      </c>
      <c r="BU45" s="834" t="str">
        <f>IF($C45&lt;1,"",(AVERAGEIFS('09월 고철장입'!AJ$14:AJ$949,'09월 고철장입'!$A$14:$A$949,$A45,'09월 고철장입'!$C$14:$C$949,$B45))/1000)</f>
        <v/>
      </c>
      <c r="BV45" s="834" t="str">
        <f>IF($C45&lt;1,"",(AVERAGEIFS('09월 고철장입'!AK$14:AK$949,'09월 고철장입'!$A$14:$A$949,$A45,'09월 고철장입'!$C$14:$C$949,$B45)))</f>
        <v/>
      </c>
      <c r="BW45" s="834" t="str">
        <f>IF($C45&lt;1,"",(AVERAGEIFS('09월 고철장입'!AL$14:AL$949,'09월 고철장입'!$A$14:$A$949,$A45,'09월 고철장입'!$C$14:$C$949,$B45))*100)</f>
        <v/>
      </c>
      <c r="BX45" s="831" t="str">
        <f>IF($C45&lt;1,"",(AVERAGEIFS('09월 에너지'!G$14:G$949,'09월 에너지'!$A$14:$A$949,$A45,'09월 에너지'!$C$14:$C$949,$B45)))</f>
        <v/>
      </c>
      <c r="BY45" s="835" t="str">
        <f>IF($C45&lt;1,"",(AVERAGEIFS('09월 에너지'!H$14:H$949,'09월 에너지'!$A$14:$A$949,$A45,'09월 에너지'!$C$14:$C$949,$B45)))</f>
        <v/>
      </c>
      <c r="BZ45" s="831" t="str">
        <f>IF($C45&lt;1,"",(AVERAGEIFS('09월 에너지'!I$14:I$949,'09월 에너지'!$A$14:$A$949,$A45,'09월 에너지'!$C$14:$C$949,$B45)))</f>
        <v/>
      </c>
      <c r="CA45" s="835" t="str">
        <f>IF($C45&lt;1,"",(AVERAGEIFS('09월 에너지'!J$14:J$949,'09월 에너지'!$A$14:$A$949,$A45,'09월 에너지'!$C$14:$C$949,$B45)))</f>
        <v/>
      </c>
      <c r="CB45" s="831" t="str">
        <f>IF($C45&lt;1,"",(AVERAGEIFS('09월 에너지'!K$14:K$949,'09월 에너지'!$A$14:$A$949,$A45,'09월 에너지'!$C$14:$C$949,$B45)))</f>
        <v/>
      </c>
      <c r="CC45" s="835" t="str">
        <f>IF($C45&lt;1,"",(AVERAGEIFS('09월 에너지'!L$14:L$949,'09월 에너지'!$A$14:$A$949,$A45,'09월 에너지'!$C$14:$C$949,$B45)))</f>
        <v/>
      </c>
      <c r="CD45" s="831" t="str">
        <f>IF($C45&lt;1,"",(AVERAGEIFS('09월 에너지'!M$14:M$949,'09월 에너지'!$A$14:$A$949,$A45,'09월 에너지'!$C$14:$C$949,$B45)))</f>
        <v/>
      </c>
      <c r="CE45" s="835" t="str">
        <f>IF($C45&lt;1,"",(AVERAGEIFS('09월 에너지'!N$14:N$949,'09월 에너지'!$A$14:$A$949,$A45,'09월 에너지'!$C$14:$C$949,$B45)))</f>
        <v/>
      </c>
      <c r="CF45" s="831" t="str">
        <f>IF($C45&lt;1,"",(AVERAGEIFS('09월 에너지'!O$14:O$949,'09월 에너지'!$A$14:$A$949,$A45,'09월 에너지'!$C$14:$C$949,$B45)))</f>
        <v/>
      </c>
      <c r="CG45" s="831" t="str">
        <f>IF($C45&lt;1,"",(AVERAGEIFS('09월 에너지'!P$14:P$949,'09월 에너지'!$A$14:$A$949,$A45,'09월 에너지'!$C$14:$C$949,$B45)))</f>
        <v/>
      </c>
      <c r="CH45" s="831" t="str">
        <f>IF($C45&lt;1,"",(AVERAGEIFS('09월 에너지'!Q$14:Q$949,'09월 에너지'!$A$14:$A$949,$A45,'09월 에너지'!$C$14:$C$949,$B45)))</f>
        <v/>
      </c>
      <c r="CI45" s="831" t="str">
        <f>IF($C45&lt;1,"",(AVERAGEIFS('09월 에너지'!R$14:R$949,'09월 에너지'!$A$14:$A$949,$A45,'09월 에너지'!$C$14:$C$949,$B45)))</f>
        <v/>
      </c>
      <c r="CJ45" s="831" t="str">
        <f>IF($C45&lt;1,"",(AVERAGEIFS('09월 에너지'!S$14:S$949,'09월 에너지'!$A$14:$A$949,$A45,'09월 에너지'!$C$14:$C$949,$B45)))</f>
        <v/>
      </c>
      <c r="CK45" s="831" t="str">
        <f>IF($C45&lt;1,"",(AVERAGEIFS('09월 에너지'!T$14:T$949,'09월 에너지'!$A$14:$A$949,$A45,'09월 에너지'!$C$14:$C$949,$B45)))</f>
        <v/>
      </c>
      <c r="CL45" s="831" t="str">
        <f>IF($C45&lt;1,"",(AVERAGEIFS('09월 에너지'!U$14:U$949,'09월 에너지'!$A$14:$A$949,$A45,'09월 에너지'!$C$14:$C$949,$B45)))</f>
        <v/>
      </c>
      <c r="CM45" s="835" t="str">
        <f>IF($C45&lt;1,"",(AVERAGEIFS('09월 에너지'!V$14:V$949,'09월 에너지'!$A$14:$A$949,$A45,'09월 에너지'!$C$14:$C$949,$B45)))</f>
        <v/>
      </c>
      <c r="CN45" s="835" t="str">
        <f>IF($C45&lt;1,"",(AVERAGEIFS('09월 에너지'!W$14:W$949,'09월 에너지'!$A$14:$A$949,$A45,'09월 에너지'!$C$14:$C$949,$B45)))</f>
        <v/>
      </c>
      <c r="CO45" s="831" t="str">
        <f>IF($C45&lt;1,"",(AVERAGEIFS('09월 에너지'!X$14:X$949,'09월 에너지'!$A$14:$A$949,$A45,'09월 에너지'!$C$14:$C$949,$B45)))</f>
        <v/>
      </c>
      <c r="CP45" s="835" t="str">
        <f>IF($C45&lt;1,"",(AVERAGEIFS('09월 에너지'!Y$14:Y$949,'09월 에너지'!$A$14:$A$949,$A45,'09월 에너지'!$C$14:$C$949,$B45)))</f>
        <v/>
      </c>
      <c r="CQ45" s="835" t="str">
        <f>IF($C45&lt;1,"",(AVERAGEIFS('09월 에너지'!Z$14:Z$949,'09월 에너지'!$A$14:$A$949,$A45,'09월 에너지'!$C$14:$C$949,$B45)))</f>
        <v/>
      </c>
      <c r="CR45" s="835" t="str">
        <f>IF($C45&lt;1,"",(AVERAGEIFS('09월 에너지'!AA$14:AA$949,'09월 에너지'!$A$14:$A$949,$A45,'09월 에너지'!$C$14:$C$949,$B45)))</f>
        <v/>
      </c>
      <c r="CS45" s="835" t="str">
        <f>IF($C45&lt;1,"",(AVERAGEIFS('09월 에너지'!AB$14:AB$949,'09월 에너지'!$A$14:$A$949,$A45,'09월 에너지'!$C$14:$C$949,$B45)))</f>
        <v/>
      </c>
      <c r="CT45" s="831" t="str">
        <f>IF($C45&lt;1,"",(AVERAGEIFS('09월 에너지'!AC$14:AC$949,'09월 에너지'!$A$14:$A$949,$A45,'09월 에너지'!$C$14:$C$949,$B45)))</f>
        <v/>
      </c>
      <c r="CU45" s="836" t="str">
        <f>IF($C45&lt;1,"",(AVERAGEIFS('09월 에너지'!AD$14:AD$949,'09월 에너지'!$A$14:$A$949,$A45,'09월 에너지'!$C$14:$C$949,$B45)))</f>
        <v/>
      </c>
      <c r="CV45" s="837" t="str">
        <f>IF($C45&lt;1,"",(AVERAGEIFS('09월 에너지'!AE$14:AE$949,'09월 에너지'!$A$14:$A$949,$A45,'09월 에너지'!$C$14:$C$949,$B45)))</f>
        <v/>
      </c>
      <c r="CW45" s="831" t="str">
        <f>IF($C45&lt;1,"",(AVERAGEIFS('09월 에너지'!AF$14:AF$949,'09월 에너지'!$A$14:$A$949,$A45,'09월 에너지'!$C$14:$C$949,$B45)))</f>
        <v/>
      </c>
      <c r="CX45" s="831" t="str">
        <f>IF($C45&lt;1,"",(AVERAGEIFS('09월 에너지'!AG$14:AG$949,'09월 에너지'!$A$14:$A$949,$A45,'09월 에너지'!$C$14:$C$949,$B45)))</f>
        <v/>
      </c>
      <c r="CY45" s="831" t="str">
        <f>IF($C45&lt;1,"",(AVERAGEIFS('09월 에너지'!AH$14:AH$949,'09월 에너지'!$A$14:$A$949,$A45,'09월 에너지'!$C$14:$C$949,$B45)))</f>
        <v/>
      </c>
      <c r="CZ45" s="831" t="str">
        <f>IF($C45&lt;1,"",(AVERAGEIFS('09월 에너지'!AI$14:AI$949,'09월 에너지'!$A$14:$A$949,$A45,'09월 에너지'!$C$14:$C$949,$B45)))</f>
        <v/>
      </c>
      <c r="DA45" s="838" t="str">
        <f>IF($C45&lt;1,"",(AVERAGEIFS('09월 에너지'!AJ$14:AJ$949,'09월 에너지'!$A$14:$A$949,$A45,'09월 에너지'!$C$14:$C$949,$B45)))</f>
        <v/>
      </c>
    </row>
    <row r="46" spans="1:105" ht="13.5" customHeight="1">
      <c r="A46" s="847">
        <f>A41+1</f>
        <v>44935</v>
      </c>
      <c r="B46" s="848" t="s">
        <v>31</v>
      </c>
      <c r="C46" s="810">
        <f>COUNTIF('09월 조업일지'!$A$12:$A$952,A46)</f>
        <v>0</v>
      </c>
      <c r="D46" s="787" t="str">
        <f>IF(C46&lt;1,"",F46-E46)</f>
        <v/>
      </c>
      <c r="E46" s="787" t="str">
        <f>IF($C46&lt;1,"",(SUMIF('09월 조업일지'!$A$12:$A$952,$A46,'09월 조업일지'!$K$12:$K$952))/C46)</f>
        <v/>
      </c>
      <c r="F46" s="787" t="str">
        <f>IF($C46&lt;1,"",AVERAGEIF('09월 조업일지'!$A$12:$A$952,$A46,'09월 조업일지'!$J$12:$J$952))</f>
        <v/>
      </c>
      <c r="G46" s="811" t="str">
        <f>IF($C46&lt;1,"",AVERAGEIF('09월 에너지'!$A$14:$A$949,$A46,'09월 에너지'!$M$14:M$949))</f>
        <v/>
      </c>
      <c r="H46" s="812" t="str">
        <f>IF($C46&lt;1,"",AVERAGEIF('09월 조업일지'!$A$12:$A$952,$A46,'09월 조업일지'!$AJ$12:$AJ$952))</f>
        <v/>
      </c>
      <c r="I46" s="812" t="str">
        <f>IF($C46&lt;1,"",AVERAGEIF('09월 조업일지'!$A$12:$A$952,$A46,'09월 조업일지'!$AL$12:$AL$952))</f>
        <v/>
      </c>
      <c r="J46" s="813" t="str">
        <f>IF($C46&lt;1,"",AVERAGEIF('09월 화학성분'!$A$12:$A$949,$A46,'09월 화학성분'!G$12:G$949))</f>
        <v/>
      </c>
      <c r="K46" s="813" t="str">
        <f>IF($C46&lt;1,"",AVERAGEIF('09월 화학성분'!$A$12:$A$949,$A46,'09월 화학성분'!H$12:H$949))</f>
        <v/>
      </c>
      <c r="L46" s="813" t="str">
        <f>IF($C46&lt;1,"",AVERAGEIF('09월 화학성분'!$A$12:$A$949,$A46,'09월 화학성분'!I$12:I$949))</f>
        <v/>
      </c>
      <c r="M46" s="813" t="str">
        <f>IF($C46&lt;1,"",AVERAGEIF('09월 화학성분'!$A$12:$A$949,$A46,'09월 화학성분'!J$12:J$949))</f>
        <v/>
      </c>
      <c r="N46" s="813" t="str">
        <f>IF($C46&lt;1,"",AVERAGEIF('09월 화학성분'!$A$12:$A$949,$A46,'09월 화학성분'!K$12:K$949))</f>
        <v/>
      </c>
      <c r="O46" s="813" t="str">
        <f>IF($C46&lt;1,"",AVERAGEIF('09월 화학성분'!$A$12:$A$949,$A46,'09월 화학성분'!L$12:L$949))</f>
        <v/>
      </c>
      <c r="P46" s="813" t="str">
        <f>IF($C46&lt;1,"",AVERAGEIF('09월 화학성분'!$A$12:$A$949,$A46,'09월 화학성분'!M$12:M$949))</f>
        <v/>
      </c>
      <c r="Q46" s="814" t="str">
        <f>IF($C46&lt;1,"",AVERAGEIF('09월 조업일지'!$A$12:$A$952,$A46,'09월 조업일지'!$AA$12:$AA$952))</f>
        <v/>
      </c>
      <c r="R46" s="814" t="str">
        <f>IF($C46&lt;1,"",AVERAGEIF('09월 조업일지'!$A$12:$A$952,$A46,'09월 조업일지'!$AK$12:$AK$952))</f>
        <v/>
      </c>
      <c r="S46" s="814"/>
      <c r="T46" s="814"/>
      <c r="U46" s="813" t="str">
        <f>IF($C46&lt;1,"",AVERAGEIF('09월 화학성분'!$A$12:$A$949,$A46,'09월 화학성분'!$G$12:$G$949))</f>
        <v/>
      </c>
      <c r="V46" s="814" t="str">
        <f>IF($C46&lt;1,"",AVERAGEIF('09월 조업일지'!$A$12:$A$952,$A46,'09월 조업일지'!$AI$12:$AI$952))</f>
        <v/>
      </c>
      <c r="W46" s="813" t="str">
        <f>IF($C46&lt;1,"",AVERAGEIF('09월 화학성분'!$A$12:$A$949,$A46,'09월 화학성분'!$AM$12:$AM$949))</f>
        <v/>
      </c>
      <c r="X46" s="815" t="str">
        <f>IF($C46&lt;1,"",AVERAGEIF('09월 화학성분'!$A$12:$A$949,$A46,'09월 화학성분'!N$12:N$949))</f>
        <v/>
      </c>
      <c r="Y46" s="815" t="str">
        <f>IF($C46&lt;1,"",AVERAGEIF('09월 화학성분'!$A$12:$A$949,$A46,'09월 화학성분'!O$12:O$949))</f>
        <v/>
      </c>
      <c r="Z46" s="815" t="str">
        <f>IF($C46&lt;1,"",AVERAGEIF('09월 화학성분'!$A$12:$A$949,$A46,'09월 화학성분'!P$12:P$949))</f>
        <v/>
      </c>
      <c r="AA46" s="815" t="str">
        <f>IF($C46&lt;1,"",AVERAGEIF('09월 화학성분'!$A$12:$A$949,$A46,'09월 화학성분'!Q$12:Q$949))</f>
        <v/>
      </c>
      <c r="AB46" s="815" t="str">
        <f>IF($C46&lt;1,"",AVERAGEIF('09월 화학성분'!$A$12:$A$949,$A46,'09월 화학성분'!R$12:R$949))</f>
        <v/>
      </c>
      <c r="AC46" s="815" t="str">
        <f>IF($C46&lt;1,"",AVERAGEIF('09월 화학성분'!$A$12:$A$949,$A46,'09월 화학성분'!U$12:U$949))</f>
        <v/>
      </c>
      <c r="AD46" s="815" t="str">
        <f>IF($C46&lt;1,"",AVERAGEIF('09월 화학성분'!$A$12:$A$949,$A46,'09월 화학성분'!V$12:V$949))</f>
        <v/>
      </c>
      <c r="AE46" s="815" t="str">
        <f>IF($C46&lt;1,"",AVERAGEIF('09월 화학성분'!$A$12:$A$949,$A46,'09월 화학성분'!W$12:W$949))</f>
        <v/>
      </c>
      <c r="AF46" s="815" t="str">
        <f>IF($C46&lt;1,"",AVERAGEIF('09월 화학성분'!$A$12:$A$949,$A46,'09월 화학성분'!AA$12:AA$949))</f>
        <v/>
      </c>
      <c r="AG46" s="815" t="str">
        <f>IF($C46&lt;1,"",AVERAGEIF('09월 화학성분'!$A$12:$A$949,$A46,'09월 화학성분'!#REF!))</f>
        <v/>
      </c>
      <c r="AH46" s="815" t="str">
        <f>IF($C46&lt;1,"",AVERAGEIF('09월 화학성분'!$A$12:$A$949,$A46,'09월 화학성분'!AB$12:AB$949))</f>
        <v/>
      </c>
      <c r="AI46" s="815" t="str">
        <f>IF($C46&lt;1,"",AVERAGEIF('09월 화학성분'!$A$12:$A$949,$A46,'09월 화학성분'!AC$12:AC$949))</f>
        <v/>
      </c>
      <c r="AJ46" s="815" t="str">
        <f>IF($C46&lt;1,"",AVERAGEIF('09월 화학성분'!$A$12:$A$949,$A46,'09월 화학성분'!AD$12:AD$949))</f>
        <v/>
      </c>
      <c r="AK46" s="815" t="str">
        <f>IF($C46&lt;1,"",AVERAGEIF('09월 화학성분'!$A$12:$A$949,$A46,'09월 화학성분'!AF$12:AF$949))</f>
        <v/>
      </c>
      <c r="AL46" s="815" t="str">
        <f>IF($C46&lt;1,"",AVERAGEIF('09월 화학성분'!$A$12:$A$949,$A46,'09월 화학성분'!AG$12:AG$949))</f>
        <v/>
      </c>
      <c r="AM46" s="815" t="str">
        <f>IF($C46&lt;1,"",AVERAGEIF('09월 화학성분'!$A$12:$A$949,$A46,'09월 화학성분'!AH$12:AH$949))</f>
        <v/>
      </c>
      <c r="AN46" s="815" t="str">
        <f>IF($C46&lt;1,"",AVERAGEIF('09월 화학성분'!$A$12:$A$949,$A46,'09월 화학성분'!AI$12:AI$949))</f>
        <v/>
      </c>
      <c r="AO46" s="815" t="str">
        <f>IF($C46&lt;1,"",AVERAGEIF('09월 화학성분'!$A$12:$A$949,$A46,'09월 화학성분'!AJ$12:AJ$949))</f>
        <v/>
      </c>
      <c r="AP46" s="815" t="str">
        <f>IF($C46&lt;1,"",AVERAGEIF('09월 화학성분'!$A$12:$A$949,$A46,'09월 화학성분'!#REF!))</f>
        <v/>
      </c>
      <c r="AQ46" s="815" t="str">
        <f>IF($C46&lt;1,"",AVERAGEIF('09월 화학성분'!$A$12:$A$949,$A46,'09월 화학성분'!AL$12:AL$949))</f>
        <v/>
      </c>
      <c r="AR46" s="815" t="str">
        <f>IF($C46&lt;1,"",AVERAGEIF('09월 화학성분'!$A$12:$A$949,$A46,'09월 화학성분'!AM$12:AM$949))</f>
        <v/>
      </c>
      <c r="AS46" s="816" t="str">
        <f>IF($C46&lt;1,"",AVERAGEIF('09월 화학성분'!$A$12:$A$949,$A46,'09월 화학성분'!AN$12:AN$949))</f>
        <v/>
      </c>
      <c r="AT46" s="816" t="str">
        <f>IF($C46&lt;1,"",AVERAGEIF('09월 화학성분'!$A$12:$A$949,$A46,'09월 화학성분'!AO$12:AO$949))</f>
        <v/>
      </c>
      <c r="AU46" s="815" t="str">
        <f>IF($C46&lt;1,"",AVERAGEIF('09월 화학성분'!$A$12:$A$949,$A46,'09월 화학성분'!AP$12:AP$949))</f>
        <v/>
      </c>
      <c r="AV46" s="815" t="str">
        <f>IF($C46&lt;1,"",AVERAGEIF('09월 고철장입'!$A$14:$A$949,$A46,'09월 고철장입'!G$14:G$949)/1000)</f>
        <v/>
      </c>
      <c r="AW46" s="815" t="str">
        <f>IF($C46&lt;1,"",AVERAGEIF('09월 고철장입'!$A$14:$A$949,$A46,'09월 고철장입'!H$14:H$949)/1000)</f>
        <v/>
      </c>
      <c r="AX46" s="815" t="str">
        <f>IF($C46&lt;1,"",AVERAGEIF('09월 고철장입'!$A$14:$A$949,$A46,'09월 고철장입'!I$14:I$949)/1000)</f>
        <v/>
      </c>
      <c r="AY46" s="815" t="str">
        <f>IF($C46&lt;1,"",AVERAGEIF('09월 고철장입'!$A$14:$A$949,$A46,'09월 고철장입'!J$14:J$949)/1000)</f>
        <v/>
      </c>
      <c r="AZ46" s="815" t="str">
        <f>IF($C46&lt;1,"",AVERAGEIF('09월 고철장입'!$A$14:$A$949,$A46,'09월 고철장입'!K$14:K$949)/1000)</f>
        <v/>
      </c>
      <c r="BA46" s="815" t="str">
        <f>IF($C46&lt;1,"",AVERAGEIF('09월 고철장입'!$A$14:$A$949,$A46,'09월 고철장입'!L$14:L$949)/1000)</f>
        <v/>
      </c>
      <c r="BB46" s="815" t="str">
        <f>IF($C46&lt;1,"",AVERAGEIF('09월 고철장입'!$A$14:$A$949,$A46,'09월 고철장입'!M$14:M$949)/1000)</f>
        <v/>
      </c>
      <c r="BC46" s="815" t="str">
        <f>IF($C46&lt;1,"",AVERAGEIF('09월 고철장입'!$A$14:$A$949,$A46,'09월 고철장입'!N$14:N$949)/1000)</f>
        <v/>
      </c>
      <c r="BD46" s="815" t="str">
        <f>IF($C46&lt;1,"",AVERAGEIF('09월 고철장입'!$A$14:$A$949,$A46,'09월 고철장입'!O$14:O$949)/1000)</f>
        <v/>
      </c>
      <c r="BE46" s="815" t="str">
        <f>IF($C46&lt;1,"",AVERAGEIF('09월 고철장입'!$A$14:$A$949,$A46,'09월 고철장입'!P$14:P$949)/1000)</f>
        <v/>
      </c>
      <c r="BF46" s="815" t="str">
        <f>IF($C46&lt;1,"",AVERAGEIF('09월 고철장입'!$A$14:$A$949,$A46,'09월 고철장입'!Q$14:Q$949)/1000)</f>
        <v/>
      </c>
      <c r="BG46" s="815" t="str">
        <f>IF($C46&lt;1,"",AVERAGEIF('09월 고철장입'!$A$14:$A$949,$A46,'09월 고철장입'!S$14:S$949)/1000)</f>
        <v/>
      </c>
      <c r="BH46" s="815" t="str">
        <f>IF($C46&lt;1,"",AVERAGEIF('09월 고철장입'!$A$14:$A$949,$A46,'09월 고철장입'!T$14:T$949)/1000)</f>
        <v/>
      </c>
      <c r="BI46" s="815" t="str">
        <f>IF($C46&lt;1,"",AVERAGEIF('09월 고철장입'!$A$14:$A$949,$A46,'09월 고철장입'!U$14:U$949)/1000)</f>
        <v/>
      </c>
      <c r="BJ46" s="815" t="str">
        <f>IF($C46&lt;1,"",AVERAGEIF('09월 고철장입'!$A$14:$A$949,$A46,'09월 고철장입'!V$14:V$949)/1000)</f>
        <v/>
      </c>
      <c r="BK46" s="815" t="str">
        <f>IF($C46&lt;1,"",AVERAGEIF('09월 고철장입'!$A$14:$A$949,$A46,'09월 고철장입'!W$14:W$949)/1000)</f>
        <v/>
      </c>
      <c r="BL46" s="815" t="str">
        <f>IF($C46&lt;1,"",AVERAGEIF('09월 고철장입'!$A$14:$A$949,$A46,'09월 고철장입'!Y$14:Y$949)/1000)</f>
        <v/>
      </c>
      <c r="BM46" s="815" t="str">
        <f>IF($C46&lt;1,"",AVERAGEIF('09월 고철장입'!$A$14:$A$949,$A46,'09월 고철장입'!AB$14:AB$949)/1000)</f>
        <v/>
      </c>
      <c r="BN46" s="815" t="str">
        <f>IF($C46&lt;1,"",AVERAGEIF('09월 고철장입'!$A$14:$A$949,$A46,'09월 고철장입'!AC$14:AC$949)/1000)</f>
        <v/>
      </c>
      <c r="BO46" s="815" t="str">
        <f>IF($C46&lt;1,"",AVERAGEIF('09월 고철장입'!$A$14:$A$949,$A46,'09월 고철장입'!AD$14:AD$949)/1000)</f>
        <v/>
      </c>
      <c r="BP46" s="815" t="str">
        <f>IF($C46&lt;1,"",AVERAGEIF('09월 고철장입'!$A$14:$A$949,$A46,'09월 고철장입'!AE$14:AE$949)/1000)</f>
        <v/>
      </c>
      <c r="BQ46" s="815" t="str">
        <f>IF($C46&lt;1,"",AVERAGEIF('09월 고철장입'!$A$14:$A$949,$A46,'09월 고철장입'!AF$14:AF$949)/1000)</f>
        <v/>
      </c>
      <c r="BR46" s="815" t="str">
        <f>IF($C46&lt;1,"",AVERAGEIF('09월 고철장입'!$A$14:$A$949,$A46,'09월 고철장입'!AG$14:AG$949)/1000)</f>
        <v/>
      </c>
      <c r="BS46" s="815" t="str">
        <f>IF($C46&lt;1,"",AVERAGEIF('09월 고철장입'!$A$14:$A$949,$A46,'09월 고철장입'!AH$14:AH$949)/1000)</f>
        <v/>
      </c>
      <c r="BT46" s="815" t="str">
        <f>IF($C46&lt;1,"",AVERAGEIF('09월 고철장입'!$A$14:$A$949,$A46,'09월 고철장입'!AI$14:AI$949)/1000)</f>
        <v/>
      </c>
      <c r="BU46" s="815" t="str">
        <f>IF($C46&lt;1,"",AVERAGEIF('09월 고철장입'!$A$14:$A$949,$A46,'09월 고철장입'!AJ$14:AJ$949)/1000)</f>
        <v/>
      </c>
      <c r="BV46" s="815" t="str">
        <f>IF($C46&lt;1,"",AVERAGEIF('09월 고철장입'!$A$14:$A$949,$A46,'09월 고철장입'!AK$14:AK$949))</f>
        <v/>
      </c>
      <c r="BW46" s="815" t="str">
        <f>IF($C46&lt;1,"",AVERAGEIF('09월 고철장입'!$A$14:$A$949,$A46,'09월 고철장입'!AL$14:AL$949)*100)</f>
        <v/>
      </c>
      <c r="BX46" s="815" t="str">
        <f>IF($C46&lt;1,"",AVERAGEIF('09월 에너지'!$A$14:$A$949,$A46,'09월 에너지'!G$14:G$949))</f>
        <v/>
      </c>
      <c r="BY46" s="817" t="str">
        <f>IF($C46&lt;1,"",AVERAGEIF('09월 에너지'!$A$14:$A$949,$A46,'09월 에너지'!H$14:H$949))</f>
        <v/>
      </c>
      <c r="BZ46" s="815" t="str">
        <f>IF($C46&lt;1,"",AVERAGEIF('09월 에너지'!$A$14:$A$949,$A46,'09월 에너지'!I$14:I$949))</f>
        <v/>
      </c>
      <c r="CA46" s="817" t="str">
        <f>IF($C46&lt;1,"",AVERAGEIF('09월 에너지'!$A$14:$A$949,$A46,'09월 에너지'!J$14:J$949))</f>
        <v/>
      </c>
      <c r="CB46" s="815" t="str">
        <f>IF($C46&lt;1,"",AVERAGEIF('09월 에너지'!$A$14:$A$949,$A46,'09월 에너지'!K$14:K$949))</f>
        <v/>
      </c>
      <c r="CC46" s="817" t="str">
        <f>IF($C46&lt;1,"",AVERAGEIF('09월 에너지'!$A$14:$A$949,$A46,'09월 에너지'!L$14:L$949))</f>
        <v/>
      </c>
      <c r="CD46" s="815" t="str">
        <f>IF($C46&lt;1,"",AVERAGEIF('09월 에너지'!$A$14:$A$949,$A46,'09월 에너지'!M$14:M$949))</f>
        <v/>
      </c>
      <c r="CE46" s="817" t="str">
        <f>IF($C46&lt;1,"",AVERAGEIF('09월 에너지'!$A$14:$A$949,$A46,'09월 에너지'!N$14:N$949))</f>
        <v/>
      </c>
      <c r="CF46" s="815" t="str">
        <f>IF($C46&lt;1,"",AVERAGEIF('09월 에너지'!$A$14:$A$949,$A46,'09월 에너지'!O$14:O$949))</f>
        <v/>
      </c>
      <c r="CG46" s="815" t="str">
        <f>IF($C46&lt;1,"",AVERAGEIF('09월 에너지'!$A$14:$A$949,$A46,'09월 에너지'!P$14:P$949))</f>
        <v/>
      </c>
      <c r="CH46" s="815" t="str">
        <f>IF($C46&lt;1,"",AVERAGEIF('09월 에너지'!$A$14:$A$949,$A46,'09월 에너지'!Q$14:Q$949))</f>
        <v/>
      </c>
      <c r="CI46" s="815" t="str">
        <f>IF($C46&lt;1,"",AVERAGEIF('09월 에너지'!$A$14:$A$949,$A46,'09월 에너지'!R$14:R$949))</f>
        <v/>
      </c>
      <c r="CJ46" s="815" t="str">
        <f>IF($C46&lt;1,"",AVERAGEIF('09월 에너지'!$A$14:$A$949,$A46,'09월 에너지'!S$14:S$949))</f>
        <v/>
      </c>
      <c r="CK46" s="815" t="str">
        <f>IF($C46&lt;1,"",AVERAGEIF('09월 에너지'!$A$14:$A$949,$A46,'09월 에너지'!T$14:T$949))</f>
        <v/>
      </c>
      <c r="CL46" s="815" t="str">
        <f>IF($C46&lt;1,"",AVERAGEIF('09월 에너지'!$A$14:$A$949,$A46,'09월 에너지'!U$14:U$949))</f>
        <v/>
      </c>
      <c r="CM46" s="817" t="str">
        <f>IF($C46&lt;1,"",AVERAGEIF('09월 에너지'!$A$14:$A$949,$A46,'09월 에너지'!V$14:V$949))</f>
        <v/>
      </c>
      <c r="CN46" s="817" t="str">
        <f>IF($C46&lt;1,"",AVERAGEIF('09월 에너지'!$A$14:$A$949,$A46,'09월 에너지'!W$14:W$949))</f>
        <v/>
      </c>
      <c r="CO46" s="815" t="str">
        <f>IF($C46&lt;1,"",AVERAGEIF('09월 에너지'!$A$14:$A$949,$A46,'09월 에너지'!X$14:X$949))</f>
        <v/>
      </c>
      <c r="CP46" s="817" t="str">
        <f>IF($C46&lt;1,"",AVERAGEIF('09월 에너지'!$A$14:$A$949,$A46,'09월 에너지'!Y$14:Y$949))</f>
        <v/>
      </c>
      <c r="CQ46" s="817" t="str">
        <f>IF($C46&lt;1,"",AVERAGEIF('09월 에너지'!$A$14:$A$949,$A46,'09월 에너지'!Z$14:Z$949))</f>
        <v/>
      </c>
      <c r="CR46" s="817" t="str">
        <f>IF($C46&lt;1,"",AVERAGEIF('09월 에너지'!$A$14:$A$949,$A46,'09월 에너지'!AA$14:AA$949))</f>
        <v/>
      </c>
      <c r="CS46" s="817" t="str">
        <f>IF($C46&lt;1,"",AVERAGEIF('09월 에너지'!$A$14:$A$949,$A46,'09월 에너지'!AB$14:AB$949))</f>
        <v/>
      </c>
      <c r="CT46" s="815" t="str">
        <f>IF($C46&lt;1,"",AVERAGEIF('09월 에너지'!$A$14:$A$949,$A46,'09월 에너지'!AC$14:AC$949))</f>
        <v/>
      </c>
      <c r="CU46" s="818" t="str">
        <f>IF($C46&lt;1,"",AVERAGEIF('09월 에너지'!$A$14:$A$949,$A46,'09월 에너지'!AD$14:AD$949))</f>
        <v/>
      </c>
      <c r="CV46" s="819" t="str">
        <f>IF($C46&lt;1,"",AVERAGEIF('09월 에너지'!$A$14:$A$949,$A46,'09월 에너지'!AE$14:AE$949))</f>
        <v/>
      </c>
      <c r="CW46" s="815" t="str">
        <f>IF($C46&lt;1,"",AVERAGEIF('09월 에너지'!$A$14:$A$949,$A46,'09월 에너지'!AF$14:AF$949))</f>
        <v/>
      </c>
      <c r="CX46" s="815" t="str">
        <f>IF($C46&lt;1,"",AVERAGEIF('09월 에너지'!$A$14:$A$949,$A46,'09월 에너지'!AG$14:AG$949))</f>
        <v/>
      </c>
      <c r="CY46" s="815" t="str">
        <f>IF($C46&lt;1,"",AVERAGEIF('09월 에너지'!$A$14:$A$949,$A46,'09월 에너지'!AH$14:AH$949))</f>
        <v/>
      </c>
      <c r="CZ46" s="815" t="str">
        <f>IF($C46&lt;1,"",AVERAGEIF('09월 에너지'!$A$14:$A$949,$A46,'09월 에너지'!AI$14:AI$949))</f>
        <v/>
      </c>
      <c r="DA46" s="820" t="str">
        <f>IF($C46&lt;1,"",AVERAGEIF('09월 에너지'!$A$14:$A$949,$A46,'09월 에너지'!AJ$14:AJ$949))</f>
        <v/>
      </c>
    </row>
    <row r="47" spans="1:105" ht="13.5" customHeight="1">
      <c r="A47" s="849">
        <f t="shared" si="2"/>
        <v>44935</v>
      </c>
      <c r="B47" s="850" t="s">
        <v>9</v>
      </c>
      <c r="C47" s="823">
        <f>COUNTIFS('09월 조업일지'!$A$12:$A$952,A46,'09월 조업일지'!$E$12:$E$952,B47)</f>
        <v>0</v>
      </c>
      <c r="D47" s="824" t="str">
        <f>IF(C47&lt;1,"",F47-E47)</f>
        <v/>
      </c>
      <c r="E47" s="824" t="str">
        <f>IF($C47&lt;1,"",(SUMIFS('09월 조업일지'!$K$12:$K$952,'09월 조업일지'!$A$12:$A$952,$A47,'09월 조업일지'!$E$12:$E$952,$B47)/$C47))</f>
        <v/>
      </c>
      <c r="F47" s="824" t="str">
        <f>IF($C47&lt;1,"",(AVERAGEIFS('09월 조업일지'!$J$12:$J$952,'09월 조업일지'!$A$12:$A$952,$A47,'09월 조업일지'!$E$12:$E$952,$B47)))</f>
        <v/>
      </c>
      <c r="G47" s="825" t="str">
        <f>IF($C47&lt;1,"",(AVERAGEIFS('09월 에너지'!$M$14:$M$949,'09월 에너지'!$A$14:$A$949,$A47,'09월 에너지'!$C$14:$C$949,$B47)))</f>
        <v/>
      </c>
      <c r="H47" s="826" t="str">
        <f>IF($C47&lt;1,"",(AVERAGEIFS('09월 조업일지'!$AJ$12:$AJ$952,'09월 조업일지'!$A$12:$A$952,$A47,'09월 조업일지'!$E$12:$E$952,$B47)))</f>
        <v/>
      </c>
      <c r="I47" s="826" t="str">
        <f>IF($C47&lt;1,"",(AVERAGEIFS('09월 조업일지'!$AL$12:$AL$952,'09월 조업일지'!$A$12:$A$952,$A47,'09월 조업일지'!$E$12:$E$952,$B47)))</f>
        <v/>
      </c>
      <c r="J47" s="827" t="str">
        <f>IF($C47&lt;1,"",(AVERAGEIFS('09월 화학성분'!G$12:G$949,'09월 화학성분'!$A$12:$A$949,$A47,'09월 화학성분'!$D$12:$D$949,$B47)))</f>
        <v/>
      </c>
      <c r="K47" s="827" t="str">
        <f>IF($C47&lt;1,"",(AVERAGEIFS('09월 화학성분'!H$12:H$949,'09월 화학성분'!$A$12:$A$949,$A47,'09월 화학성분'!$D$12:$D$949,$B47)))</f>
        <v/>
      </c>
      <c r="L47" s="827" t="str">
        <f>IF($C47&lt;1,"",(AVERAGEIFS('09월 화학성분'!I$12:I$949,'09월 화학성분'!$A$12:$A$949,$A47,'09월 화학성분'!$D$12:$D$949,$B47)))</f>
        <v/>
      </c>
      <c r="M47" s="827" t="str">
        <f>IF($C47&lt;1,"",(AVERAGEIFS('09월 화학성분'!J$12:J$949,'09월 화학성분'!$A$12:$A$949,$A47,'09월 화학성분'!$D$12:$D$949,$B47)))</f>
        <v/>
      </c>
      <c r="N47" s="827" t="str">
        <f>IF($C47&lt;1,"",(AVERAGEIFS('09월 화학성분'!K$12:K$949,'09월 화학성분'!$A$12:$A$949,$A47,'09월 화학성분'!$D$12:$D$949,$B47)))</f>
        <v/>
      </c>
      <c r="O47" s="827" t="str">
        <f>IF($C47&lt;1,"",(AVERAGEIFS('09월 화학성분'!L$12:L$949,'09월 화학성분'!$A$12:$A$949,$A47,'09월 화학성분'!$D$12:$D$949,$B47)))</f>
        <v/>
      </c>
      <c r="P47" s="827" t="str">
        <f>IF($C47&lt;1,"",(AVERAGEIFS('09월 화학성분'!M$12:M$949,'09월 화학성분'!$A$12:$A$949,$A47,'09월 화학성분'!$D$12:$D$949,$B47)))</f>
        <v/>
      </c>
      <c r="Q47" s="827" t="str">
        <f>IFERROR(IF($C47&lt;1,"",(AVERAGEIFS('09월 조업일지'!$AA$12:$AA$952,'09월 조업일지'!$A$12:$A$952,$A47,'09월 조업일지'!$E$12:$E$952,$B47))),"")</f>
        <v/>
      </c>
      <c r="R47" s="827" t="str">
        <f>IF($C47&lt;1,"",(AVERAGEIFS('09월 조업일지'!$AK$12:$AK$952,'09월 조업일지'!$A$12:$A$952,$A47,'09월 조업일지'!$E$12:$E$952,$B47)))</f>
        <v/>
      </c>
      <c r="S47" s="827"/>
      <c r="T47" s="827"/>
      <c r="U47" s="827" t="str">
        <f>IF($C47&lt;1,"",(AVERAGEIFS('09월 화학성분'!$G$12:$G$949,'09월 화학성분'!$A$12:$A$949,$A47,'09월 화학성분'!$D$12:$D$949,$B47)))</f>
        <v/>
      </c>
      <c r="V47" s="827" t="str">
        <f>IF($C47&lt;1,"",(AVERAGEIFS('09월 조업일지'!$AI$12:$AI$952,'09월 조업일지'!$A$12:$A$952,$A47,'09월 조업일지'!$E$12:$E$952,$B47)))</f>
        <v/>
      </c>
      <c r="W47" s="828" t="str">
        <f>IF($C47&lt;1,"",(AVERAGEIFS('09월 화학성분'!$AM$12:$AM$949,'09월 화학성분'!$A$12:$A$949,$A47,'09월 화학성분'!$D$12:$D$949,$B47)))</f>
        <v/>
      </c>
      <c r="X47" s="829" t="str">
        <f>IF($C47&lt;1,"",(AVERAGEIFS('09월 화학성분'!N$12:N$949,'09월 화학성분'!$A$12:$A$949,$A47,'09월 화학성분'!$D$12:$D$949,$B47)))</f>
        <v/>
      </c>
      <c r="Y47" s="829" t="str">
        <f>IF($C47&lt;1,"",(AVERAGEIFS('09월 화학성분'!O$12:O$949,'09월 화학성분'!$A$12:$A$949,$A47,'09월 화학성분'!$D$12:$D$949,$B47)))</f>
        <v/>
      </c>
      <c r="Z47" s="829" t="str">
        <f>IF($C47&lt;1,"",(AVERAGEIFS('09월 화학성분'!P$12:P$949,'09월 화학성분'!$A$12:$A$949,$A47,'09월 화학성분'!$D$12:$D$949,$B47)))</f>
        <v/>
      </c>
      <c r="AA47" s="829" t="str">
        <f>IF($C47&lt;1,"",(AVERAGEIFS('09월 화학성분'!Q$12:Q$949,'09월 화학성분'!$A$12:$A$949,$A47,'09월 화학성분'!$D$12:$D$949,$B47)))</f>
        <v/>
      </c>
      <c r="AB47" s="829" t="str">
        <f>IF($C47&lt;1,"",(AVERAGEIFS('09월 화학성분'!R$12:R$949,'09월 화학성분'!$A$12:$A$949,$A47,'09월 화학성분'!$D$12:$D$949,$B47)))</f>
        <v/>
      </c>
      <c r="AC47" s="829" t="str">
        <f>IF($C47&lt;1,"",(AVERAGEIFS('09월 화학성분'!U$12:U$949,'09월 화학성분'!$A$12:$A$949,$A47,'09월 화학성분'!$D$12:$D$949,$B47)))</f>
        <v/>
      </c>
      <c r="AD47" s="829" t="str">
        <f>IF($C47&lt;1,"",(AVERAGEIFS('09월 화학성분'!V$12:V$949,'09월 화학성분'!$A$12:$A$949,$A47,'09월 화학성분'!$D$12:$D$949,$B47)))</f>
        <v/>
      </c>
      <c r="AE47" s="829" t="str">
        <f>IF($C47&lt;1,"",(AVERAGEIFS('09월 화학성분'!W$12:W$949,'09월 화학성분'!$A$12:$A$949,$A47,'09월 화학성분'!$D$12:$D$949,$B47)))</f>
        <v/>
      </c>
      <c r="AF47" s="829" t="str">
        <f>IF($C47&lt;1,"",(AVERAGEIFS('09월 화학성분'!AA$12:AA$949,'09월 화학성분'!$A$12:$A$949,$A47,'09월 화학성분'!$D$12:$D$949,$B47)))</f>
        <v/>
      </c>
      <c r="AG47" s="829" t="str">
        <f>IF($C47&lt;1,"",(AVERAGEIFS('09월 화학성분'!#REF!,'09월 화학성분'!$A$12:$A$949,$A47,'09월 화학성분'!$D$12:$D$949,$B47)))</f>
        <v/>
      </c>
      <c r="AH47" s="829" t="str">
        <f>IF($C47&lt;1,"",(AVERAGEIFS('09월 화학성분'!AB$12:AB$949,'09월 화학성분'!$A$12:$A$949,$A47,'09월 화학성분'!$D$12:$D$949,$B47)))</f>
        <v/>
      </c>
      <c r="AI47" s="829" t="str">
        <f>IF($C47&lt;1,"",(AVERAGEIFS('09월 화학성분'!AC$12:AC$949,'09월 화학성분'!$A$12:$A$949,$A47,'09월 화학성분'!$D$12:$D$949,$B47)))</f>
        <v/>
      </c>
      <c r="AJ47" s="829" t="str">
        <f>IF($C47&lt;1,"",(AVERAGEIFS('09월 화학성분'!AD$12:AD$949,'09월 화학성분'!$A$12:$A$949,$A47,'09월 화학성분'!$D$12:$D$949,$B47)))</f>
        <v/>
      </c>
      <c r="AK47" s="829" t="str">
        <f>IF($C47&lt;1,"",(AVERAGEIFS('09월 화학성분'!AF$12:AF$949,'09월 화학성분'!$A$12:$A$949,$A47,'09월 화학성분'!$D$12:$D$949,$B47)))</f>
        <v/>
      </c>
      <c r="AL47" s="829" t="str">
        <f>IF($C47&lt;1,"",(AVERAGEIFS('09월 화학성분'!AG$12:AG$949,'09월 화학성분'!$A$12:$A$949,$A47,'09월 화학성분'!$D$12:$D$949,$B47)))</f>
        <v/>
      </c>
      <c r="AM47" s="829" t="str">
        <f>IF($C47&lt;1,"",(AVERAGEIFS('09월 화학성분'!AH$12:AH$949,'09월 화학성분'!$A$12:$A$949,$A47,'09월 화학성분'!$D$12:$D$949,$B47)))</f>
        <v/>
      </c>
      <c r="AN47" s="829" t="str">
        <f>IF($C47&lt;1,"",(AVERAGEIFS('09월 화학성분'!AI$12:AI$949,'09월 화학성분'!$A$12:$A$949,$A47,'09월 화학성분'!$D$12:$D$949,$B47)))</f>
        <v/>
      </c>
      <c r="AO47" s="829" t="str">
        <f>IF($C47&lt;1,"",(AVERAGEIFS('09월 화학성분'!AJ$12:AJ$949,'09월 화학성분'!$A$12:$A$949,$A47,'09월 화학성분'!$D$12:$D$949,$B47)))</f>
        <v/>
      </c>
      <c r="AP47" s="829" t="str">
        <f>IF($C47&lt;1,"",(AVERAGEIFS('09월 화학성분'!#REF!,'09월 화학성분'!$A$12:$A$949,$A47,'09월 화학성분'!$D$12:$D$949,$B47)))</f>
        <v/>
      </c>
      <c r="AQ47" s="829" t="str">
        <f>IF($C47&lt;1,"",(AVERAGEIFS('09월 화학성분'!AL$12:AL$949,'09월 화학성분'!$A$12:$A$949,$A47,'09월 화학성분'!$D$12:$D$949,$B47)))</f>
        <v/>
      </c>
      <c r="AR47" s="829" t="str">
        <f>IF($C47&lt;1,"",(AVERAGEIFS('09월 화학성분'!AM$12:AM$949,'09월 화학성분'!$A$12:$A$949,$A47,'09월 화학성분'!$D$12:$D$949,$B47)))</f>
        <v/>
      </c>
      <c r="AS47" s="830" t="str">
        <f>IF($C47&lt;1,"",(AVERAGEIFS('09월 화학성분'!AN$12:AN$949,'09월 화학성분'!$A$12:$A$949,$A47,'09월 화학성분'!$D$12:$D$949,$B47)))</f>
        <v/>
      </c>
      <c r="AT47" s="830" t="str">
        <f>IF($C47&lt;1,"",(AVERAGEIFS('09월 화학성분'!AO$12:AO$949,'09월 화학성분'!$A$12:$A$949,$A47,'09월 화학성분'!$D$12:$D$949,$B47)))</f>
        <v/>
      </c>
      <c r="AU47" s="831" t="str">
        <f>IF($C47&lt;1,"",(AVERAGEIFS('09월 화학성분'!AP$12:AP$949,'09월 화학성분'!$A$12:$A$949,$A47,'09월 화학성분'!$D$12:$D$949,$B47)))</f>
        <v/>
      </c>
      <c r="AV47" s="832" t="str">
        <f>IF($C47&lt;1,"",(AVERAGEIFS('09월 고철장입'!G$14:G$949,'09월 고철장입'!$A$14:$A$949,$A47,'09월 고철장입'!$C$14:$C$949,$B47))/1000)</f>
        <v/>
      </c>
      <c r="AW47" s="832" t="str">
        <f>IF($C47&lt;1,"",(AVERAGEIFS('09월 고철장입'!H$14:H$949,'09월 고철장입'!$A$14:$A$949,$A47,'09월 고철장입'!$C$14:$C$949,$B47))/1000)</f>
        <v/>
      </c>
      <c r="AX47" s="832" t="str">
        <f>IF($C47&lt;1,"",(AVERAGEIFS('09월 고철장입'!I$14:I$949,'09월 고철장입'!$A$14:$A$949,$A47,'09월 고철장입'!$C$14:$C$949,$B47))/1000)</f>
        <v/>
      </c>
      <c r="AY47" s="832" t="str">
        <f>IF($C47&lt;1,"",(AVERAGEIFS('09월 고철장입'!J$14:J$949,'09월 고철장입'!$A$14:$A$949,$A47,'09월 고철장입'!$C$14:$C$949,$B47))/1000)</f>
        <v/>
      </c>
      <c r="AZ47" s="832" t="str">
        <f>IF($C47&lt;1,"",(AVERAGEIFS('09월 고철장입'!K$14:K$949,'09월 고철장입'!$A$14:$A$949,$A47,'09월 고철장입'!$C$14:$C$949,$B47))/1000)</f>
        <v/>
      </c>
      <c r="BA47" s="832" t="str">
        <f>IF($C47&lt;1,"",(AVERAGEIFS('09월 고철장입'!L$14:L$949,'09월 고철장입'!$A$14:$A$949,$A47,'09월 고철장입'!$C$14:$C$949,$B47))/1000)</f>
        <v/>
      </c>
      <c r="BB47" s="832" t="str">
        <f>IF($C47&lt;1,"",(AVERAGEIFS('09월 고철장입'!M$14:M$949,'09월 고철장입'!$A$14:$A$949,$A47,'09월 고철장입'!$C$14:$C$949,$B47))/1000)</f>
        <v/>
      </c>
      <c r="BC47" s="832" t="str">
        <f>IF($C47&lt;1,"",(AVERAGEIFS('09월 고철장입'!N$14:N$949,'09월 고철장입'!$A$14:$A$949,$A47,'09월 고철장입'!$C$14:$C$949,$B47))/1000)</f>
        <v/>
      </c>
      <c r="BD47" s="832" t="str">
        <f>IF($C47&lt;1,"",(AVERAGEIFS('09월 고철장입'!O$14:O$949,'09월 고철장입'!$A$14:$A$949,$A47,'09월 고철장입'!$C$14:$C$949,$B47))/1000)</f>
        <v/>
      </c>
      <c r="BE47" s="833" t="str">
        <f>IF($C47&lt;1,"",(AVERAGEIFS('09월 고철장입'!P$14:P$949,'09월 고철장입'!$A$14:$A$949,$A47,'09월 고철장입'!$C$14:$C$949,$B47))/1000)</f>
        <v/>
      </c>
      <c r="BF47" s="833" t="str">
        <f>IF($C47&lt;1,"",(AVERAGEIFS('09월 고철장입'!Q$14:Q$949,'09월 고철장입'!$A$14:$A$949,$A47,'09월 고철장입'!$C$14:$C$949,$B47))/1000)</f>
        <v/>
      </c>
      <c r="BG47" s="833" t="str">
        <f>IF($C47&lt;1,"",(AVERAGEIFS('09월 고철장입'!S$14:S$949,'09월 고철장입'!$A$14:$A$949,$A47,'09월 고철장입'!$C$14:$C$949,$B47))/1000)</f>
        <v/>
      </c>
      <c r="BH47" s="833" t="str">
        <f>IF($C47&lt;1,"",(AVERAGEIFS('09월 고철장입'!T$14:T$949,'09월 고철장입'!$A$14:$A$949,$A47,'09월 고철장입'!$C$14:$C$949,$B47))/1000)</f>
        <v/>
      </c>
      <c r="BI47" s="833" t="str">
        <f>IF($C47&lt;1,"",(AVERAGEIFS('09월 고철장입'!U$14:U$949,'09월 고철장입'!$A$14:$A$949,$A47,'09월 고철장입'!$C$14:$C$949,$B47))/1000)</f>
        <v/>
      </c>
      <c r="BJ47" s="833" t="str">
        <f>IF($C47&lt;1,"",(AVERAGEIFS('09월 고철장입'!V$14:V$949,'09월 고철장입'!$A$14:$A$949,$A47,'09월 고철장입'!$C$14:$C$949,$B47))/1000)</f>
        <v/>
      </c>
      <c r="BK47" s="833" t="str">
        <f>IF($C47&lt;1,"",(AVERAGEIFS('09월 고철장입'!W$14:W$949,'09월 고철장입'!$A$14:$A$949,$A47,'09월 고철장입'!$C$14:$C$949,$B47))/1000)</f>
        <v/>
      </c>
      <c r="BL47" s="833" t="str">
        <f>IF($C47&lt;1,"",(AVERAGEIFS('09월 고철장입'!Y$14:Y$949,'09월 고철장입'!$A$14:$A$949,$A47,'09월 고철장입'!$C$14:$C$949,$B47))/1000)</f>
        <v/>
      </c>
      <c r="BM47" s="833" t="str">
        <f>IF($C47&lt;1,"",(AVERAGEIFS('09월 고철장입'!AB$14:AB$949,'09월 고철장입'!$A$14:$A$949,$A47,'09월 고철장입'!$C$14:$C$949,$B47))/1000)</f>
        <v/>
      </c>
      <c r="BN47" s="833" t="str">
        <f>IF($C47&lt;1,"",(AVERAGEIFS('09월 고철장입'!AC$14:AC$949,'09월 고철장입'!$A$14:$A$949,$A47,'09월 고철장입'!$C$14:$C$949,$B47))/1000)</f>
        <v/>
      </c>
      <c r="BO47" s="833" t="str">
        <f>IF($C47&lt;1,"",(AVERAGEIFS('09월 고철장입'!AD$14:AD$949,'09월 고철장입'!$A$14:$A$949,$A47,'09월 고철장입'!$C$14:$C$949,$B47))/1000)</f>
        <v/>
      </c>
      <c r="BP47" s="833" t="str">
        <f>IF($C47&lt;1,"",(AVERAGEIFS('09월 고철장입'!AE$14:AE$949,'09월 고철장입'!$A$14:$A$949,$A47,'09월 고철장입'!$C$14:$C$949,$B47))/1000)</f>
        <v/>
      </c>
      <c r="BQ47" s="832" t="str">
        <f>IF($C47&lt;1,"",(AVERAGEIFS('09월 고철장입'!AF$14:AF$949,'09월 고철장입'!$A$14:$A$949,$A47,'09월 고철장입'!$C$14:$C$949,$B47))/1000)</f>
        <v/>
      </c>
      <c r="BR47" s="832" t="str">
        <f>IF($C47&lt;1,"",(AVERAGEIFS('09월 고철장입'!AG$14:AG$949,'09월 고철장입'!$A$14:$A$949,$A47,'09월 고철장입'!$C$14:$C$949,$B47))/1000)</f>
        <v/>
      </c>
      <c r="BS47" s="832" t="str">
        <f>IF($C47&lt;1,"",(AVERAGEIFS('09월 고철장입'!AH$14:AH$949,'09월 고철장입'!$A$14:$A$949,$A47,'09월 고철장입'!$C$14:$C$949,$B47))/1000)</f>
        <v/>
      </c>
      <c r="BT47" s="832" t="str">
        <f>IF($C47&lt;1,"",(AVERAGEIFS('09월 고철장입'!AI$14:AI$949,'09월 고철장입'!$A$14:$A$949,$A47,'09월 고철장입'!$C$14:$C$949,$B47))/1000)</f>
        <v/>
      </c>
      <c r="BU47" s="834" t="str">
        <f>IF($C47&lt;1,"",(AVERAGEIFS('09월 고철장입'!AJ$14:AJ$949,'09월 고철장입'!$A$14:$A$949,$A47,'09월 고철장입'!$C$14:$C$949,$B47))/1000)</f>
        <v/>
      </c>
      <c r="BV47" s="834" t="str">
        <f>IF($C47&lt;1,"",(AVERAGEIFS('09월 고철장입'!AK$14:AK$949,'09월 고철장입'!$A$14:$A$949,$A47,'09월 고철장입'!$C$14:$C$949,$B47)))</f>
        <v/>
      </c>
      <c r="BW47" s="834" t="str">
        <f>IF($C47&lt;1,"",(AVERAGEIFS('09월 고철장입'!AL$14:AL$949,'09월 고철장입'!$A$14:$A$949,$A47,'09월 고철장입'!$C$14:$C$949,$B47))*100)</f>
        <v/>
      </c>
      <c r="BX47" s="831" t="str">
        <f>IF($C47&lt;1,"",(AVERAGEIFS('09월 에너지'!G$14:G$949,'09월 에너지'!$A$14:$A$949,$A47,'09월 에너지'!$C$14:$C$949,$B47)))</f>
        <v/>
      </c>
      <c r="BY47" s="835" t="str">
        <f>IF($C47&lt;1,"",(AVERAGEIFS('09월 에너지'!H$14:H$949,'09월 에너지'!$A$14:$A$949,$A47,'09월 에너지'!$C$14:$C$949,$B47)))</f>
        <v/>
      </c>
      <c r="BZ47" s="831" t="str">
        <f>IF($C47&lt;1,"",(AVERAGEIFS('09월 에너지'!I$14:I$949,'09월 에너지'!$A$14:$A$949,$A47,'09월 에너지'!$C$14:$C$949,$B47)))</f>
        <v/>
      </c>
      <c r="CA47" s="835" t="str">
        <f>IF($C47&lt;1,"",(AVERAGEIFS('09월 에너지'!J$14:J$949,'09월 에너지'!$A$14:$A$949,$A47,'09월 에너지'!$C$14:$C$949,$B47)))</f>
        <v/>
      </c>
      <c r="CB47" s="831" t="str">
        <f>IF($C47&lt;1,"",(AVERAGEIFS('09월 에너지'!K$14:K$949,'09월 에너지'!$A$14:$A$949,$A47,'09월 에너지'!$C$14:$C$949,$B47)))</f>
        <v/>
      </c>
      <c r="CC47" s="835" t="str">
        <f>IF($C47&lt;1,"",(AVERAGEIFS('09월 에너지'!L$14:L$949,'09월 에너지'!$A$14:$A$949,$A47,'09월 에너지'!$C$14:$C$949,$B47)))</f>
        <v/>
      </c>
      <c r="CD47" s="831" t="str">
        <f>IF($C47&lt;1,"",(AVERAGEIFS('09월 에너지'!M$14:M$949,'09월 에너지'!$A$14:$A$949,$A47,'09월 에너지'!$C$14:$C$949,$B47)))</f>
        <v/>
      </c>
      <c r="CE47" s="835" t="str">
        <f>IF($C47&lt;1,"",(AVERAGEIFS('09월 에너지'!N$14:N$949,'09월 에너지'!$A$14:$A$949,$A47,'09월 에너지'!$C$14:$C$949,$B47)))</f>
        <v/>
      </c>
      <c r="CF47" s="831" t="str">
        <f>IF($C47&lt;1,"",(AVERAGEIFS('09월 에너지'!O$14:O$949,'09월 에너지'!$A$14:$A$949,$A47,'09월 에너지'!$C$14:$C$949,$B47)))</f>
        <v/>
      </c>
      <c r="CG47" s="831" t="str">
        <f>IF($C47&lt;1,"",(AVERAGEIFS('09월 에너지'!P$14:P$949,'09월 에너지'!$A$14:$A$949,$A47,'09월 에너지'!$C$14:$C$949,$B47)))</f>
        <v/>
      </c>
      <c r="CH47" s="831" t="str">
        <f>IF($C47&lt;1,"",(AVERAGEIFS('09월 에너지'!Q$14:Q$949,'09월 에너지'!$A$14:$A$949,$A47,'09월 에너지'!$C$14:$C$949,$B47)))</f>
        <v/>
      </c>
      <c r="CI47" s="831" t="str">
        <f>IF($C47&lt;1,"",(AVERAGEIFS('09월 에너지'!R$14:R$949,'09월 에너지'!$A$14:$A$949,$A47,'09월 에너지'!$C$14:$C$949,$B47)))</f>
        <v/>
      </c>
      <c r="CJ47" s="831" t="str">
        <f>IF($C47&lt;1,"",(AVERAGEIFS('09월 에너지'!S$14:S$949,'09월 에너지'!$A$14:$A$949,$A47,'09월 에너지'!$C$14:$C$949,$B47)))</f>
        <v/>
      </c>
      <c r="CK47" s="831" t="str">
        <f>IF($C47&lt;1,"",(AVERAGEIFS('09월 에너지'!T$14:T$949,'09월 에너지'!$A$14:$A$949,$A47,'09월 에너지'!$C$14:$C$949,$B47)))</f>
        <v/>
      </c>
      <c r="CL47" s="831" t="str">
        <f>IF($C47&lt;1,"",(AVERAGEIFS('09월 에너지'!U$14:U$949,'09월 에너지'!$A$14:$A$949,$A47,'09월 에너지'!$C$14:$C$949,$B47)))</f>
        <v/>
      </c>
      <c r="CM47" s="835" t="str">
        <f>IF($C47&lt;1,"",(AVERAGEIFS('09월 에너지'!V$14:V$949,'09월 에너지'!$A$14:$A$949,$A47,'09월 에너지'!$C$14:$C$949,$B47)))</f>
        <v/>
      </c>
      <c r="CN47" s="835" t="str">
        <f>IF($C47&lt;1,"",(AVERAGEIFS('09월 에너지'!W$14:W$949,'09월 에너지'!$A$14:$A$949,$A47,'09월 에너지'!$C$14:$C$949,$B47)))</f>
        <v/>
      </c>
      <c r="CO47" s="831" t="str">
        <f>IF($C47&lt;1,"",(AVERAGEIFS('09월 에너지'!X$14:X$949,'09월 에너지'!$A$14:$A$949,$A47,'09월 에너지'!$C$14:$C$949,$B47)))</f>
        <v/>
      </c>
      <c r="CP47" s="835" t="str">
        <f>IF($C47&lt;1,"",(AVERAGEIFS('09월 에너지'!Y$14:Y$949,'09월 에너지'!$A$14:$A$949,$A47,'09월 에너지'!$C$14:$C$949,$B47)))</f>
        <v/>
      </c>
      <c r="CQ47" s="835" t="str">
        <f>IF($C47&lt;1,"",(AVERAGEIFS('09월 에너지'!Z$14:Z$949,'09월 에너지'!$A$14:$A$949,$A47,'09월 에너지'!$C$14:$C$949,$B47)))</f>
        <v/>
      </c>
      <c r="CR47" s="835" t="str">
        <f>IF($C47&lt;1,"",(AVERAGEIFS('09월 에너지'!AA$14:AA$949,'09월 에너지'!$A$14:$A$949,$A47,'09월 에너지'!$C$14:$C$949,$B47)))</f>
        <v/>
      </c>
      <c r="CS47" s="835" t="str">
        <f>IF($C47&lt;1,"",(AVERAGEIFS('09월 에너지'!AB$14:AB$949,'09월 에너지'!$A$14:$A$949,$A47,'09월 에너지'!$C$14:$C$949,$B47)))</f>
        <v/>
      </c>
      <c r="CT47" s="831" t="str">
        <f>IF($C47&lt;1,"",(AVERAGEIFS('09월 에너지'!AC$14:AC$949,'09월 에너지'!$A$14:$A$949,$A47,'09월 에너지'!$C$14:$C$949,$B47)))</f>
        <v/>
      </c>
      <c r="CU47" s="836" t="str">
        <f>IF($C47&lt;1,"",(AVERAGEIFS('09월 에너지'!AD$14:AD$949,'09월 에너지'!$A$14:$A$949,$A47,'09월 에너지'!$C$14:$C$949,$B47)))</f>
        <v/>
      </c>
      <c r="CV47" s="837" t="str">
        <f>IF($C47&lt;1,"",(AVERAGEIFS('09월 에너지'!AE$14:AE$949,'09월 에너지'!$A$14:$A$949,$A47,'09월 에너지'!$C$14:$C$949,$B47)))</f>
        <v/>
      </c>
      <c r="CW47" s="831" t="str">
        <f>IF($C47&lt;1,"",(AVERAGEIFS('09월 에너지'!AF$14:AF$949,'09월 에너지'!$A$14:$A$949,$A47,'09월 에너지'!$C$14:$C$949,$B47)))</f>
        <v/>
      </c>
      <c r="CX47" s="831" t="str">
        <f>IF($C47&lt;1,"",(AVERAGEIFS('09월 에너지'!AG$14:AG$949,'09월 에너지'!$A$14:$A$949,$A47,'09월 에너지'!$C$14:$C$949,$B47)))</f>
        <v/>
      </c>
      <c r="CY47" s="831" t="str">
        <f>IF($C47&lt;1,"",(AVERAGEIFS('09월 에너지'!AH$14:AH$949,'09월 에너지'!$A$14:$A$949,$A47,'09월 에너지'!$C$14:$C$949,$B47)))</f>
        <v/>
      </c>
      <c r="CZ47" s="831" t="str">
        <f>IF($C47&lt;1,"",(AVERAGEIFS('09월 에너지'!AI$14:AI$949,'09월 에너지'!$A$14:$A$949,$A47,'09월 에너지'!$C$14:$C$949,$B47)))</f>
        <v/>
      </c>
      <c r="DA47" s="838" t="str">
        <f>IF($C47&lt;1,"",(AVERAGEIFS('09월 에너지'!AJ$14:AJ$949,'09월 에너지'!$A$14:$A$949,$A47,'09월 에너지'!$C$14:$C$949,$B47)))</f>
        <v/>
      </c>
    </row>
    <row r="48" spans="1:105" ht="13.5" customHeight="1">
      <c r="A48" s="849">
        <f t="shared" si="2"/>
        <v>44935</v>
      </c>
      <c r="B48" s="850" t="s">
        <v>100</v>
      </c>
      <c r="C48" s="823">
        <f>COUNTIFS('09월 조업일지'!$A$12:$A$952,A46,'09월 조업일지'!$E$12:$E$952,B48)</f>
        <v>0</v>
      </c>
      <c r="D48" s="824" t="str">
        <f t="shared" ref="D48:D50" si="10">IF(C48&lt;1,"",F48-E48)</f>
        <v/>
      </c>
      <c r="E48" s="824" t="str">
        <f>IF($C48&lt;1,"",(SUMIFS('09월 조업일지'!$K$12:$K$952,'09월 조업일지'!$A$12:$A$952,$A48,'09월 조업일지'!$E$12:$E$952,$B48)/$C48))</f>
        <v/>
      </c>
      <c r="F48" s="824" t="str">
        <f>IF($C48&lt;1,"",(AVERAGEIFS('09월 조업일지'!$J$12:$J$952,'09월 조업일지'!$A$12:$A$952,$A48,'09월 조업일지'!$E$12:$E$952,$B48)))</f>
        <v/>
      </c>
      <c r="G48" s="825" t="str">
        <f>IF($C48&lt;1,"",(AVERAGEIFS('09월 에너지'!$M$14:$M$949,'09월 에너지'!$A$14:$A$949,$A48,'09월 에너지'!$C$14:$C$949,$B48)))</f>
        <v/>
      </c>
      <c r="H48" s="826" t="str">
        <f>IF($C48&lt;1,"",(AVERAGEIFS('09월 조업일지'!$AJ$12:$AJ$952,'09월 조업일지'!$A$12:$A$952,$A48,'09월 조업일지'!$E$12:$E$952,$B48)))</f>
        <v/>
      </c>
      <c r="I48" s="826" t="str">
        <f>IF($C48&lt;1,"",(AVERAGEIFS('09월 조업일지'!$AL$12:$AL$952,'09월 조업일지'!$A$12:$A$952,$A48,'09월 조업일지'!$E$12:$E$952,$B48)))</f>
        <v/>
      </c>
      <c r="J48" s="827" t="str">
        <f>IF($C48&lt;1,"",(AVERAGEIFS('09월 화학성분'!G$12:G$949,'09월 화학성분'!$A$12:$A$949,$A48,'09월 화학성분'!$D$12:$D$949,$B48)))</f>
        <v/>
      </c>
      <c r="K48" s="827" t="str">
        <f>IF($C48&lt;1,"",(AVERAGEIFS('09월 화학성분'!H$12:H$949,'09월 화학성분'!$A$12:$A$949,$A48,'09월 화학성분'!$D$12:$D$949,$B48)))</f>
        <v/>
      </c>
      <c r="L48" s="827" t="str">
        <f>IF($C48&lt;1,"",(AVERAGEIFS('09월 화학성분'!I$12:I$949,'09월 화학성분'!$A$12:$A$949,$A48,'09월 화학성분'!$D$12:$D$949,$B48)))</f>
        <v/>
      </c>
      <c r="M48" s="827" t="str">
        <f>IF($C48&lt;1,"",(AVERAGEIFS('09월 화학성분'!J$12:J$949,'09월 화학성분'!$A$12:$A$949,$A48,'09월 화학성분'!$D$12:$D$949,$B48)))</f>
        <v/>
      </c>
      <c r="N48" s="827" t="str">
        <f>IF($C48&lt;1,"",(AVERAGEIFS('09월 화학성분'!K$12:K$949,'09월 화학성분'!$A$12:$A$949,$A48,'09월 화학성분'!$D$12:$D$949,$B48)))</f>
        <v/>
      </c>
      <c r="O48" s="827" t="str">
        <f>IF($C48&lt;1,"",(AVERAGEIFS('09월 화학성분'!L$12:L$949,'09월 화학성분'!$A$12:$A$949,$A48,'09월 화학성분'!$D$12:$D$949,$B48)))</f>
        <v/>
      </c>
      <c r="P48" s="827" t="str">
        <f>IF($C48&lt;1,"",(AVERAGEIFS('09월 화학성분'!M$12:M$949,'09월 화학성분'!$A$12:$A$949,$A48,'09월 화학성분'!$D$12:$D$949,$B48)))</f>
        <v/>
      </c>
      <c r="Q48" s="827" t="str">
        <f>IFERROR(IF($C48&lt;1,"",(AVERAGEIFS('09월 조업일지'!$AA$12:$AA$952,'09월 조업일지'!$A$12:$A$952,$A48,'09월 조업일지'!$E$12:$E$952,$B48))),"")</f>
        <v/>
      </c>
      <c r="R48" s="827" t="str">
        <f>IF($C48&lt;1,"",(AVERAGEIFS('09월 조업일지'!$AK$12:$AK$952,'09월 조업일지'!$A$12:$A$952,$A48,'09월 조업일지'!$E$12:$E$952,$B48)))</f>
        <v/>
      </c>
      <c r="S48" s="827"/>
      <c r="T48" s="827"/>
      <c r="U48" s="827" t="str">
        <f>IF($C48&lt;1,"",(AVERAGEIFS('09월 화학성분'!$G$12:$G$949,'09월 화학성분'!$A$12:$A$949,$A48,'09월 화학성분'!$D$12:$D$949,$B48)))</f>
        <v/>
      </c>
      <c r="V48" s="827" t="str">
        <f>IF($C48&lt;1,"",(AVERAGEIFS('09월 조업일지'!$AI$12:$AI$952,'09월 조업일지'!$A$12:$A$952,$A48,'09월 조업일지'!$E$12:$E$952,$B48)))</f>
        <v/>
      </c>
      <c r="W48" s="828" t="str">
        <f>IF($C48&lt;1,"",(AVERAGEIFS('09월 화학성분'!$AM$12:$AM$949,'09월 화학성분'!$A$12:$A$949,$A48,'09월 화학성분'!$D$12:$D$949,$B48)))</f>
        <v/>
      </c>
      <c r="X48" s="829" t="str">
        <f>IF($C48&lt;1,"",(AVERAGEIFS('09월 화학성분'!N$12:N$949,'09월 화학성분'!$A$12:$A$949,$A48,'09월 화학성분'!$D$12:$D$949,$B48)))</f>
        <v/>
      </c>
      <c r="Y48" s="829" t="str">
        <f>IF($C48&lt;1,"",(AVERAGEIFS('09월 화학성분'!O$12:O$949,'09월 화학성분'!$A$12:$A$949,$A48,'09월 화학성분'!$D$12:$D$949,$B48)))</f>
        <v/>
      </c>
      <c r="Z48" s="829" t="str">
        <f>IF($C48&lt;1,"",(AVERAGEIFS('09월 화학성분'!P$12:P$949,'09월 화학성분'!$A$12:$A$949,$A48,'09월 화학성분'!$D$12:$D$949,$B48)))</f>
        <v/>
      </c>
      <c r="AA48" s="829" t="str">
        <f>IF($C48&lt;1,"",(AVERAGEIFS('09월 화학성분'!Q$12:Q$949,'09월 화학성분'!$A$12:$A$949,$A48,'09월 화학성분'!$D$12:$D$949,$B48)))</f>
        <v/>
      </c>
      <c r="AB48" s="829" t="str">
        <f>IF($C48&lt;1,"",(AVERAGEIFS('09월 화학성분'!R$12:R$949,'09월 화학성분'!$A$12:$A$949,$A48,'09월 화학성분'!$D$12:$D$949,$B48)))</f>
        <v/>
      </c>
      <c r="AC48" s="829" t="str">
        <f>IF($C48&lt;1,"",(AVERAGEIFS('09월 화학성분'!U$12:U$949,'09월 화학성분'!$A$12:$A$949,$A48,'09월 화학성분'!$D$12:$D$949,$B48)))</f>
        <v/>
      </c>
      <c r="AD48" s="829" t="str">
        <f>IF($C48&lt;1,"",(AVERAGEIFS('09월 화학성분'!V$12:V$949,'09월 화학성분'!$A$12:$A$949,$A48,'09월 화학성분'!$D$12:$D$949,$B48)))</f>
        <v/>
      </c>
      <c r="AE48" s="829" t="str">
        <f>IF($C48&lt;1,"",(AVERAGEIFS('09월 화학성분'!W$12:W$949,'09월 화학성분'!$A$12:$A$949,$A48,'09월 화학성분'!$D$12:$D$949,$B48)))</f>
        <v/>
      </c>
      <c r="AF48" s="829" t="str">
        <f>IF($C48&lt;1,"",(AVERAGEIFS('09월 화학성분'!AA$12:AA$949,'09월 화학성분'!$A$12:$A$949,$A48,'09월 화학성분'!$D$12:$D$949,$B48)))</f>
        <v/>
      </c>
      <c r="AG48" s="829" t="str">
        <f>IF($C48&lt;1,"",(AVERAGEIFS('09월 화학성분'!#REF!,'09월 화학성분'!$A$12:$A$949,$A48,'09월 화학성분'!$D$12:$D$949,$B48)))</f>
        <v/>
      </c>
      <c r="AH48" s="829" t="str">
        <f>IF($C48&lt;1,"",(AVERAGEIFS('09월 화학성분'!AB$12:AB$949,'09월 화학성분'!$A$12:$A$949,$A48,'09월 화학성분'!$D$12:$D$949,$B48)))</f>
        <v/>
      </c>
      <c r="AI48" s="829" t="str">
        <f>IF($C48&lt;1,"",(AVERAGEIFS('09월 화학성분'!AC$12:AC$949,'09월 화학성분'!$A$12:$A$949,$A48,'09월 화학성분'!$D$12:$D$949,$B48)))</f>
        <v/>
      </c>
      <c r="AJ48" s="829" t="str">
        <f>IF($C48&lt;1,"",(AVERAGEIFS('09월 화학성분'!AD$12:AD$949,'09월 화학성분'!$A$12:$A$949,$A48,'09월 화학성분'!$D$12:$D$949,$B48)))</f>
        <v/>
      </c>
      <c r="AK48" s="829" t="str">
        <f>IF($C48&lt;1,"",(AVERAGEIFS('09월 화학성분'!AF$12:AF$949,'09월 화학성분'!$A$12:$A$949,$A48,'09월 화학성분'!$D$12:$D$949,$B48)))</f>
        <v/>
      </c>
      <c r="AL48" s="829" t="str">
        <f>IF($C48&lt;1,"",(AVERAGEIFS('09월 화학성분'!AG$12:AG$949,'09월 화학성분'!$A$12:$A$949,$A48,'09월 화학성분'!$D$12:$D$949,$B48)))</f>
        <v/>
      </c>
      <c r="AM48" s="829" t="str">
        <f>IF($C48&lt;1,"",(AVERAGEIFS('09월 화학성분'!AH$12:AH$949,'09월 화학성분'!$A$12:$A$949,$A48,'09월 화학성분'!$D$12:$D$949,$B48)))</f>
        <v/>
      </c>
      <c r="AN48" s="829" t="str">
        <f>IF($C48&lt;1,"",(AVERAGEIFS('09월 화학성분'!AI$12:AI$949,'09월 화학성분'!$A$12:$A$949,$A48,'09월 화학성분'!$D$12:$D$949,$B48)))</f>
        <v/>
      </c>
      <c r="AO48" s="829" t="str">
        <f>IF($C48&lt;1,"",(AVERAGEIFS('09월 화학성분'!AJ$12:AJ$949,'09월 화학성분'!$A$12:$A$949,$A48,'09월 화학성분'!$D$12:$D$949,$B48)))</f>
        <v/>
      </c>
      <c r="AP48" s="829" t="str">
        <f>IF($C48&lt;1,"",(AVERAGEIFS('09월 화학성분'!#REF!,'09월 화학성분'!$A$12:$A$949,$A48,'09월 화학성분'!$D$12:$D$949,$B48)))</f>
        <v/>
      </c>
      <c r="AQ48" s="829" t="str">
        <f>IF($C48&lt;1,"",(AVERAGEIFS('09월 화학성분'!AL$12:AL$949,'09월 화학성분'!$A$12:$A$949,$A48,'09월 화학성분'!$D$12:$D$949,$B48)))</f>
        <v/>
      </c>
      <c r="AR48" s="829" t="str">
        <f>IF($C48&lt;1,"",(AVERAGEIFS('09월 화학성분'!AM$12:AM$949,'09월 화학성분'!$A$12:$A$949,$A48,'09월 화학성분'!$D$12:$D$949,$B48)))</f>
        <v/>
      </c>
      <c r="AS48" s="830" t="str">
        <f>IF($C48&lt;1,"",(AVERAGEIFS('09월 화학성분'!AN$12:AN$949,'09월 화학성분'!$A$12:$A$949,$A48,'09월 화학성분'!$D$12:$D$949,$B48)))</f>
        <v/>
      </c>
      <c r="AT48" s="830" t="str">
        <f>IF($C48&lt;1,"",(AVERAGEIFS('09월 화학성분'!AO$12:AO$949,'09월 화학성분'!$A$12:$A$949,$A48,'09월 화학성분'!$D$12:$D$949,$B48)))</f>
        <v/>
      </c>
      <c r="AU48" s="831" t="str">
        <f>IF($C48&lt;1,"",(AVERAGEIFS('09월 화학성분'!AP$12:AP$949,'09월 화학성분'!$A$12:$A$949,$A48,'09월 화학성분'!$D$12:$D$949,$B48)))</f>
        <v/>
      </c>
      <c r="AV48" s="832" t="str">
        <f>IF($C48&lt;1,"",(AVERAGEIFS('09월 고철장입'!G$14:G$949,'09월 고철장입'!$A$14:$A$949,$A48,'09월 고철장입'!$C$14:$C$949,$B48))/1000)</f>
        <v/>
      </c>
      <c r="AW48" s="832" t="str">
        <f>IF($C48&lt;1,"",(AVERAGEIFS('09월 고철장입'!H$14:H$949,'09월 고철장입'!$A$14:$A$949,$A48,'09월 고철장입'!$C$14:$C$949,$B48))/1000)</f>
        <v/>
      </c>
      <c r="AX48" s="832" t="str">
        <f>IF($C48&lt;1,"",(AVERAGEIFS('09월 고철장입'!I$14:I$949,'09월 고철장입'!$A$14:$A$949,$A48,'09월 고철장입'!$C$14:$C$949,$B48))/1000)</f>
        <v/>
      </c>
      <c r="AY48" s="832" t="str">
        <f>IF($C48&lt;1,"",(AVERAGEIFS('09월 고철장입'!J$14:J$949,'09월 고철장입'!$A$14:$A$949,$A48,'09월 고철장입'!$C$14:$C$949,$B48))/1000)</f>
        <v/>
      </c>
      <c r="AZ48" s="832" t="str">
        <f>IF($C48&lt;1,"",(AVERAGEIFS('09월 고철장입'!K$14:K$949,'09월 고철장입'!$A$14:$A$949,$A48,'09월 고철장입'!$C$14:$C$949,$B48))/1000)</f>
        <v/>
      </c>
      <c r="BA48" s="832" t="str">
        <f>IF($C48&lt;1,"",(AVERAGEIFS('09월 고철장입'!L$14:L$949,'09월 고철장입'!$A$14:$A$949,$A48,'09월 고철장입'!$C$14:$C$949,$B48))/1000)</f>
        <v/>
      </c>
      <c r="BB48" s="832" t="str">
        <f>IF($C48&lt;1,"",(AVERAGEIFS('09월 고철장입'!M$14:M$949,'09월 고철장입'!$A$14:$A$949,$A48,'09월 고철장입'!$C$14:$C$949,$B48))/1000)</f>
        <v/>
      </c>
      <c r="BC48" s="832" t="str">
        <f>IF($C48&lt;1,"",(AVERAGEIFS('09월 고철장입'!N$14:N$949,'09월 고철장입'!$A$14:$A$949,$A48,'09월 고철장입'!$C$14:$C$949,$B48))/1000)</f>
        <v/>
      </c>
      <c r="BD48" s="832" t="str">
        <f>IF($C48&lt;1,"",(AVERAGEIFS('09월 고철장입'!O$14:O$949,'09월 고철장입'!$A$14:$A$949,$A48,'09월 고철장입'!$C$14:$C$949,$B48))/1000)</f>
        <v/>
      </c>
      <c r="BE48" s="833" t="str">
        <f>IF($C48&lt;1,"",(AVERAGEIFS('09월 고철장입'!P$14:P$949,'09월 고철장입'!$A$14:$A$949,$A48,'09월 고철장입'!$C$14:$C$949,$B48))/1000)</f>
        <v/>
      </c>
      <c r="BF48" s="833" t="str">
        <f>IF($C48&lt;1,"",(AVERAGEIFS('09월 고철장입'!Q$14:Q$949,'09월 고철장입'!$A$14:$A$949,$A48,'09월 고철장입'!$C$14:$C$949,$B48))/1000)</f>
        <v/>
      </c>
      <c r="BG48" s="833" t="str">
        <f>IF($C48&lt;1,"",(AVERAGEIFS('09월 고철장입'!S$14:S$949,'09월 고철장입'!$A$14:$A$949,$A48,'09월 고철장입'!$C$14:$C$949,$B48))/1000)</f>
        <v/>
      </c>
      <c r="BH48" s="833" t="str">
        <f>IF($C48&lt;1,"",(AVERAGEIFS('09월 고철장입'!T$14:T$949,'09월 고철장입'!$A$14:$A$949,$A48,'09월 고철장입'!$C$14:$C$949,$B48))/1000)</f>
        <v/>
      </c>
      <c r="BI48" s="833" t="str">
        <f>IF($C48&lt;1,"",(AVERAGEIFS('09월 고철장입'!U$14:U$949,'09월 고철장입'!$A$14:$A$949,$A48,'09월 고철장입'!$C$14:$C$949,$B48))/1000)</f>
        <v/>
      </c>
      <c r="BJ48" s="833" t="str">
        <f>IF($C48&lt;1,"",(AVERAGEIFS('09월 고철장입'!V$14:V$949,'09월 고철장입'!$A$14:$A$949,$A48,'09월 고철장입'!$C$14:$C$949,$B48))/1000)</f>
        <v/>
      </c>
      <c r="BK48" s="833" t="str">
        <f>IF($C48&lt;1,"",(AVERAGEIFS('09월 고철장입'!W$14:W$949,'09월 고철장입'!$A$14:$A$949,$A48,'09월 고철장입'!$C$14:$C$949,$B48))/1000)</f>
        <v/>
      </c>
      <c r="BL48" s="833" t="str">
        <f>IF($C48&lt;1,"",(AVERAGEIFS('09월 고철장입'!Y$14:Y$949,'09월 고철장입'!$A$14:$A$949,$A48,'09월 고철장입'!$C$14:$C$949,$B48))/1000)</f>
        <v/>
      </c>
      <c r="BM48" s="833" t="str">
        <f>IF($C48&lt;1,"",(AVERAGEIFS('09월 고철장입'!AB$14:AB$949,'09월 고철장입'!$A$14:$A$949,$A48,'09월 고철장입'!$C$14:$C$949,$B48))/1000)</f>
        <v/>
      </c>
      <c r="BN48" s="833" t="str">
        <f>IF($C48&lt;1,"",(AVERAGEIFS('09월 고철장입'!AC$14:AC$949,'09월 고철장입'!$A$14:$A$949,$A48,'09월 고철장입'!$C$14:$C$949,$B48))/1000)</f>
        <v/>
      </c>
      <c r="BO48" s="833" t="str">
        <f>IF($C48&lt;1,"",(AVERAGEIFS('09월 고철장입'!AD$14:AD$949,'09월 고철장입'!$A$14:$A$949,$A48,'09월 고철장입'!$C$14:$C$949,$B48))/1000)</f>
        <v/>
      </c>
      <c r="BP48" s="833" t="str">
        <f>IF($C48&lt;1,"",(AVERAGEIFS('09월 고철장입'!AE$14:AE$949,'09월 고철장입'!$A$14:$A$949,$A48,'09월 고철장입'!$C$14:$C$949,$B48))/1000)</f>
        <v/>
      </c>
      <c r="BQ48" s="832" t="str">
        <f>IF($C48&lt;1,"",(AVERAGEIFS('09월 고철장입'!AF$14:AF$949,'09월 고철장입'!$A$14:$A$949,$A48,'09월 고철장입'!$C$14:$C$949,$B48))/1000)</f>
        <v/>
      </c>
      <c r="BR48" s="832" t="str">
        <f>IF($C48&lt;1,"",(AVERAGEIFS('09월 고철장입'!AG$14:AG$949,'09월 고철장입'!$A$14:$A$949,$A48,'09월 고철장입'!$C$14:$C$949,$B48))/1000)</f>
        <v/>
      </c>
      <c r="BS48" s="832" t="str">
        <f>IF($C48&lt;1,"",(AVERAGEIFS('09월 고철장입'!AH$14:AH$949,'09월 고철장입'!$A$14:$A$949,$A48,'09월 고철장입'!$C$14:$C$949,$B48))/1000)</f>
        <v/>
      </c>
      <c r="BT48" s="832" t="str">
        <f>IF($C48&lt;1,"",(AVERAGEIFS('09월 고철장입'!AI$14:AI$949,'09월 고철장입'!$A$14:$A$949,$A48,'09월 고철장입'!$C$14:$C$949,$B48))/1000)</f>
        <v/>
      </c>
      <c r="BU48" s="834" t="str">
        <f>IF($C48&lt;1,"",(AVERAGEIFS('09월 고철장입'!AJ$14:AJ$949,'09월 고철장입'!$A$14:$A$949,$A48,'09월 고철장입'!$C$14:$C$949,$B48))/1000)</f>
        <v/>
      </c>
      <c r="BV48" s="834" t="str">
        <f>IF($C48&lt;1,"",(AVERAGEIFS('09월 고철장입'!AK$14:AK$949,'09월 고철장입'!$A$14:$A$949,$A48,'09월 고철장입'!$C$14:$C$949,$B48)))</f>
        <v/>
      </c>
      <c r="BW48" s="834" t="str">
        <f>IF($C48&lt;1,"",(AVERAGEIFS('09월 고철장입'!AL$14:AL$949,'09월 고철장입'!$A$14:$A$949,$A48,'09월 고철장입'!$C$14:$C$949,$B48))*100)</f>
        <v/>
      </c>
      <c r="BX48" s="831" t="str">
        <f>IF($C48&lt;1,"",(AVERAGEIFS('09월 에너지'!G$14:G$949,'09월 에너지'!$A$14:$A$949,$A48,'09월 에너지'!$C$14:$C$949,$B48)))</f>
        <v/>
      </c>
      <c r="BY48" s="835" t="str">
        <f>IF($C48&lt;1,"",(AVERAGEIFS('09월 에너지'!H$14:H$949,'09월 에너지'!$A$14:$A$949,$A48,'09월 에너지'!$C$14:$C$949,$B48)))</f>
        <v/>
      </c>
      <c r="BZ48" s="831" t="str">
        <f>IF($C48&lt;1,"",(AVERAGEIFS('09월 에너지'!I$14:I$949,'09월 에너지'!$A$14:$A$949,$A48,'09월 에너지'!$C$14:$C$949,$B48)))</f>
        <v/>
      </c>
      <c r="CA48" s="835" t="str">
        <f>IF($C48&lt;1,"",(AVERAGEIFS('09월 에너지'!J$14:J$949,'09월 에너지'!$A$14:$A$949,$A48,'09월 에너지'!$C$14:$C$949,$B48)))</f>
        <v/>
      </c>
      <c r="CB48" s="831" t="str">
        <f>IF($C48&lt;1,"",(AVERAGEIFS('09월 에너지'!K$14:K$949,'09월 에너지'!$A$14:$A$949,$A48,'09월 에너지'!$C$14:$C$949,$B48)))</f>
        <v/>
      </c>
      <c r="CC48" s="835" t="str">
        <f>IF($C48&lt;1,"",(AVERAGEIFS('09월 에너지'!L$14:L$949,'09월 에너지'!$A$14:$A$949,$A48,'09월 에너지'!$C$14:$C$949,$B48)))</f>
        <v/>
      </c>
      <c r="CD48" s="831" t="str">
        <f>IF($C48&lt;1,"",(AVERAGEIFS('09월 에너지'!M$14:M$949,'09월 에너지'!$A$14:$A$949,$A48,'09월 에너지'!$C$14:$C$949,$B48)))</f>
        <v/>
      </c>
      <c r="CE48" s="835" t="str">
        <f>IF($C48&lt;1,"",(AVERAGEIFS('09월 에너지'!N$14:N$949,'09월 에너지'!$A$14:$A$949,$A48,'09월 에너지'!$C$14:$C$949,$B48)))</f>
        <v/>
      </c>
      <c r="CF48" s="831" t="str">
        <f>IF($C48&lt;1,"",(AVERAGEIFS('09월 에너지'!O$14:O$949,'09월 에너지'!$A$14:$A$949,$A48,'09월 에너지'!$C$14:$C$949,$B48)))</f>
        <v/>
      </c>
      <c r="CG48" s="831" t="str">
        <f>IF($C48&lt;1,"",(AVERAGEIFS('09월 에너지'!P$14:P$949,'09월 에너지'!$A$14:$A$949,$A48,'09월 에너지'!$C$14:$C$949,$B48)))</f>
        <v/>
      </c>
      <c r="CH48" s="831" t="str">
        <f>IF($C48&lt;1,"",(AVERAGEIFS('09월 에너지'!Q$14:Q$949,'09월 에너지'!$A$14:$A$949,$A48,'09월 에너지'!$C$14:$C$949,$B48)))</f>
        <v/>
      </c>
      <c r="CI48" s="831" t="str">
        <f>IF($C48&lt;1,"",(AVERAGEIFS('09월 에너지'!R$14:R$949,'09월 에너지'!$A$14:$A$949,$A48,'09월 에너지'!$C$14:$C$949,$B48)))</f>
        <v/>
      </c>
      <c r="CJ48" s="831" t="str">
        <f>IF($C48&lt;1,"",(AVERAGEIFS('09월 에너지'!S$14:S$949,'09월 에너지'!$A$14:$A$949,$A48,'09월 에너지'!$C$14:$C$949,$B48)))</f>
        <v/>
      </c>
      <c r="CK48" s="831" t="str">
        <f>IF($C48&lt;1,"",(AVERAGEIFS('09월 에너지'!T$14:T$949,'09월 에너지'!$A$14:$A$949,$A48,'09월 에너지'!$C$14:$C$949,$B48)))</f>
        <v/>
      </c>
      <c r="CL48" s="831" t="str">
        <f>IF($C48&lt;1,"",(AVERAGEIFS('09월 에너지'!U$14:U$949,'09월 에너지'!$A$14:$A$949,$A48,'09월 에너지'!$C$14:$C$949,$B48)))</f>
        <v/>
      </c>
      <c r="CM48" s="835" t="str">
        <f>IF($C48&lt;1,"",(AVERAGEIFS('09월 에너지'!V$14:V$949,'09월 에너지'!$A$14:$A$949,$A48,'09월 에너지'!$C$14:$C$949,$B48)))</f>
        <v/>
      </c>
      <c r="CN48" s="835" t="str">
        <f>IF($C48&lt;1,"",(AVERAGEIFS('09월 에너지'!W$14:W$949,'09월 에너지'!$A$14:$A$949,$A48,'09월 에너지'!$C$14:$C$949,$B48)))</f>
        <v/>
      </c>
      <c r="CO48" s="831" t="str">
        <f>IF($C48&lt;1,"",(AVERAGEIFS('09월 에너지'!X$14:X$949,'09월 에너지'!$A$14:$A$949,$A48,'09월 에너지'!$C$14:$C$949,$B48)))</f>
        <v/>
      </c>
      <c r="CP48" s="835" t="str">
        <f>IF($C48&lt;1,"",(AVERAGEIFS('09월 에너지'!Y$14:Y$949,'09월 에너지'!$A$14:$A$949,$A48,'09월 에너지'!$C$14:$C$949,$B48)))</f>
        <v/>
      </c>
      <c r="CQ48" s="835" t="str">
        <f>IF($C48&lt;1,"",(AVERAGEIFS('09월 에너지'!Z$14:Z$949,'09월 에너지'!$A$14:$A$949,$A48,'09월 에너지'!$C$14:$C$949,$B48)))</f>
        <v/>
      </c>
      <c r="CR48" s="835" t="str">
        <f>IF($C48&lt;1,"",(AVERAGEIFS('09월 에너지'!AA$14:AA$949,'09월 에너지'!$A$14:$A$949,$A48,'09월 에너지'!$C$14:$C$949,$B48)))</f>
        <v/>
      </c>
      <c r="CS48" s="835" t="str">
        <f>IF($C48&lt;1,"",(AVERAGEIFS('09월 에너지'!AB$14:AB$949,'09월 에너지'!$A$14:$A$949,$A48,'09월 에너지'!$C$14:$C$949,$B48)))</f>
        <v/>
      </c>
      <c r="CT48" s="831" t="str">
        <f>IF($C48&lt;1,"",(AVERAGEIFS('09월 에너지'!AC$14:AC$949,'09월 에너지'!$A$14:$A$949,$A48,'09월 에너지'!$C$14:$C$949,$B48)))</f>
        <v/>
      </c>
      <c r="CU48" s="836" t="str">
        <f>IF($C48&lt;1,"",(AVERAGEIFS('09월 에너지'!AD$14:AD$949,'09월 에너지'!$A$14:$A$949,$A48,'09월 에너지'!$C$14:$C$949,$B48)))</f>
        <v/>
      </c>
      <c r="CV48" s="837" t="str">
        <f>IF($C48&lt;1,"",(AVERAGEIFS('09월 에너지'!AE$14:AE$949,'09월 에너지'!$A$14:$A$949,$A48,'09월 에너지'!$C$14:$C$949,$B48)))</f>
        <v/>
      </c>
      <c r="CW48" s="831" t="str">
        <f>IF($C48&lt;1,"",(AVERAGEIFS('09월 에너지'!AF$14:AF$949,'09월 에너지'!$A$14:$A$949,$A48,'09월 에너지'!$C$14:$C$949,$B48)))</f>
        <v/>
      </c>
      <c r="CX48" s="831" t="str">
        <f>IF($C48&lt;1,"",(AVERAGEIFS('09월 에너지'!AG$14:AG$949,'09월 에너지'!$A$14:$A$949,$A48,'09월 에너지'!$C$14:$C$949,$B48)))</f>
        <v/>
      </c>
      <c r="CY48" s="831" t="str">
        <f>IF($C48&lt;1,"",(AVERAGEIFS('09월 에너지'!AH$14:AH$949,'09월 에너지'!$A$14:$A$949,$A48,'09월 에너지'!$C$14:$C$949,$B48)))</f>
        <v/>
      </c>
      <c r="CZ48" s="831" t="str">
        <f>IF($C48&lt;1,"",(AVERAGEIFS('09월 에너지'!AI$14:AI$949,'09월 에너지'!$A$14:$A$949,$A48,'09월 에너지'!$C$14:$C$949,$B48)))</f>
        <v/>
      </c>
      <c r="DA48" s="838" t="str">
        <f>IF($C48&lt;1,"",(AVERAGEIFS('09월 에너지'!AJ$14:AJ$949,'09월 에너지'!$A$14:$A$949,$A48,'09월 에너지'!$C$14:$C$949,$B48)))</f>
        <v/>
      </c>
    </row>
    <row r="49" spans="1:105" ht="13.5" customHeight="1">
      <c r="A49" s="849">
        <f t="shared" si="2"/>
        <v>44935</v>
      </c>
      <c r="B49" s="850" t="s">
        <v>10</v>
      </c>
      <c r="C49" s="823">
        <f>COUNTIFS('09월 조업일지'!$A$12:$A$952,A46,'09월 조업일지'!$E$12:$E$952,B49)</f>
        <v>0</v>
      </c>
      <c r="D49" s="824" t="str">
        <f t="shared" si="10"/>
        <v/>
      </c>
      <c r="E49" s="824" t="str">
        <f>IF($C49&lt;1,"",(SUMIFS('09월 조업일지'!$K$12:$K$952,'09월 조업일지'!$A$12:$A$952,$A49,'09월 조업일지'!$E$12:$E$952,$B49)/$C49))</f>
        <v/>
      </c>
      <c r="F49" s="824" t="str">
        <f>IF($C49&lt;1,"",(AVERAGEIFS('09월 조업일지'!$J$12:$J$952,'09월 조업일지'!$A$12:$A$952,$A49,'09월 조업일지'!$E$12:$E$952,$B49)))</f>
        <v/>
      </c>
      <c r="G49" s="825" t="str">
        <f>IF($C49&lt;1,"",(AVERAGEIFS('09월 에너지'!$M$14:$M$949,'09월 에너지'!$A$14:$A$949,$A49,'09월 에너지'!$C$14:$C$949,$B49)))</f>
        <v/>
      </c>
      <c r="H49" s="826" t="str">
        <f>IF($C49&lt;1,"",(AVERAGEIFS('09월 조업일지'!$AJ$12:$AJ$952,'09월 조업일지'!$A$12:$A$952,$A49,'09월 조업일지'!$E$12:$E$952,$B49)))</f>
        <v/>
      </c>
      <c r="I49" s="826" t="str">
        <f>IF($C49&lt;1,"",(AVERAGEIFS('09월 조업일지'!$AL$12:$AL$952,'09월 조업일지'!$A$12:$A$952,$A49,'09월 조업일지'!$E$12:$E$952,$B49)))</f>
        <v/>
      </c>
      <c r="J49" s="827" t="str">
        <f>IF($C49&lt;1,"",(AVERAGEIFS('09월 화학성분'!G$12:G$949,'09월 화학성분'!$A$12:$A$949,$A49,'09월 화학성분'!$D$12:$D$949,$B49)))</f>
        <v/>
      </c>
      <c r="K49" s="827" t="str">
        <f>IF($C49&lt;1,"",(AVERAGEIFS('09월 화학성분'!H$12:H$949,'09월 화학성분'!$A$12:$A$949,$A49,'09월 화학성분'!$D$12:$D$949,$B49)))</f>
        <v/>
      </c>
      <c r="L49" s="827" t="str">
        <f>IF($C49&lt;1,"",(AVERAGEIFS('09월 화학성분'!I$12:I$949,'09월 화학성분'!$A$12:$A$949,$A49,'09월 화학성분'!$D$12:$D$949,$B49)))</f>
        <v/>
      </c>
      <c r="M49" s="827" t="str">
        <f>IF($C49&lt;1,"",(AVERAGEIFS('09월 화학성분'!J$12:J$949,'09월 화학성분'!$A$12:$A$949,$A49,'09월 화학성분'!$D$12:$D$949,$B49)))</f>
        <v/>
      </c>
      <c r="N49" s="827" t="str">
        <f>IF($C49&lt;1,"",(AVERAGEIFS('09월 화학성분'!K$12:K$949,'09월 화학성분'!$A$12:$A$949,$A49,'09월 화학성분'!$D$12:$D$949,$B49)))</f>
        <v/>
      </c>
      <c r="O49" s="827" t="str">
        <f>IF($C49&lt;1,"",(AVERAGEIFS('09월 화학성분'!L$12:L$949,'09월 화학성분'!$A$12:$A$949,$A49,'09월 화학성분'!$D$12:$D$949,$B49)))</f>
        <v/>
      </c>
      <c r="P49" s="827" t="str">
        <f>IF($C49&lt;1,"",(AVERAGEIFS('09월 화학성분'!M$12:M$949,'09월 화학성분'!$A$12:$A$949,$A49,'09월 화학성분'!$D$12:$D$949,$B49)))</f>
        <v/>
      </c>
      <c r="Q49" s="827" t="str">
        <f>IFERROR(IF($C49&lt;1,"",(AVERAGEIFS('09월 조업일지'!$AA$12:$AA$952,'09월 조업일지'!$A$12:$A$952,$A49,'09월 조업일지'!$E$12:$E$952,$B49))),"")</f>
        <v/>
      </c>
      <c r="R49" s="827" t="str">
        <f>IF($C49&lt;1,"",(AVERAGEIFS('09월 조업일지'!$AK$12:$AK$952,'09월 조업일지'!$A$12:$A$952,$A49,'09월 조업일지'!$E$12:$E$952,$B49)))</f>
        <v/>
      </c>
      <c r="S49" s="827"/>
      <c r="T49" s="827"/>
      <c r="U49" s="827" t="str">
        <f>IF($C49&lt;1,"",(AVERAGEIFS('09월 화학성분'!$G$12:$G$949,'09월 화학성분'!$A$12:$A$949,$A49,'09월 화학성분'!$D$12:$D$949,$B49)))</f>
        <v/>
      </c>
      <c r="V49" s="827" t="str">
        <f>IF($C49&lt;1,"",(AVERAGEIFS('09월 조업일지'!$AI$12:$AI$952,'09월 조업일지'!$A$12:$A$952,$A49,'09월 조업일지'!$E$12:$E$952,$B49)))</f>
        <v/>
      </c>
      <c r="W49" s="828" t="str">
        <f>IF($C49&lt;1,"",(AVERAGEIFS('09월 화학성분'!$AM$12:$AM$949,'09월 화학성분'!$A$12:$A$949,$A49,'09월 화학성분'!$D$12:$D$949,$B49)))</f>
        <v/>
      </c>
      <c r="X49" s="829" t="str">
        <f>IF($C49&lt;1,"",(AVERAGEIFS('09월 화학성분'!N$12:N$949,'09월 화학성분'!$A$12:$A$949,$A49,'09월 화학성분'!$D$12:$D$949,$B49)))</f>
        <v/>
      </c>
      <c r="Y49" s="829" t="str">
        <f>IF($C49&lt;1,"",(AVERAGEIFS('09월 화학성분'!O$12:O$949,'09월 화학성분'!$A$12:$A$949,$A49,'09월 화학성분'!$D$12:$D$949,$B49)))</f>
        <v/>
      </c>
      <c r="Z49" s="829" t="str">
        <f>IF($C49&lt;1,"",(AVERAGEIFS('09월 화학성분'!P$12:P$949,'09월 화학성분'!$A$12:$A$949,$A49,'09월 화학성분'!$D$12:$D$949,$B49)))</f>
        <v/>
      </c>
      <c r="AA49" s="829" t="str">
        <f>IF($C49&lt;1,"",(AVERAGEIFS('09월 화학성분'!Q$12:Q$949,'09월 화학성분'!$A$12:$A$949,$A49,'09월 화학성분'!$D$12:$D$949,$B49)))</f>
        <v/>
      </c>
      <c r="AB49" s="829" t="str">
        <f>IF($C49&lt;1,"",(AVERAGEIFS('09월 화학성분'!R$12:R$949,'09월 화학성분'!$A$12:$A$949,$A49,'09월 화학성분'!$D$12:$D$949,$B49)))</f>
        <v/>
      </c>
      <c r="AC49" s="829" t="str">
        <f>IF($C49&lt;1,"",(AVERAGEIFS('09월 화학성분'!U$12:U$949,'09월 화학성분'!$A$12:$A$949,$A49,'09월 화학성분'!$D$12:$D$949,$B49)))</f>
        <v/>
      </c>
      <c r="AD49" s="829" t="str">
        <f>IF($C49&lt;1,"",(AVERAGEIFS('09월 화학성분'!V$12:V$949,'09월 화학성분'!$A$12:$A$949,$A49,'09월 화학성분'!$D$12:$D$949,$B49)))</f>
        <v/>
      </c>
      <c r="AE49" s="829" t="str">
        <f>IF($C49&lt;1,"",(AVERAGEIFS('09월 화학성분'!W$12:W$949,'09월 화학성분'!$A$12:$A$949,$A49,'09월 화학성분'!$D$12:$D$949,$B49)))</f>
        <v/>
      </c>
      <c r="AF49" s="829" t="str">
        <f>IF($C49&lt;1,"",(AVERAGEIFS('09월 화학성분'!AA$12:AA$949,'09월 화학성분'!$A$12:$A$949,$A49,'09월 화학성분'!$D$12:$D$949,$B49)))</f>
        <v/>
      </c>
      <c r="AG49" s="829" t="str">
        <f>IF($C49&lt;1,"",(AVERAGEIFS('09월 화학성분'!#REF!,'09월 화학성분'!$A$12:$A$949,$A49,'09월 화학성분'!$D$12:$D$949,$B49)))</f>
        <v/>
      </c>
      <c r="AH49" s="829" t="str">
        <f>IF($C49&lt;1,"",(AVERAGEIFS('09월 화학성분'!AB$12:AB$949,'09월 화학성분'!$A$12:$A$949,$A49,'09월 화학성분'!$D$12:$D$949,$B49)))</f>
        <v/>
      </c>
      <c r="AI49" s="829" t="str">
        <f>IF($C49&lt;1,"",(AVERAGEIFS('09월 화학성분'!AC$12:AC$949,'09월 화학성분'!$A$12:$A$949,$A49,'09월 화학성분'!$D$12:$D$949,$B49)))</f>
        <v/>
      </c>
      <c r="AJ49" s="829" t="str">
        <f>IF($C49&lt;1,"",(AVERAGEIFS('09월 화학성분'!AD$12:AD$949,'09월 화학성분'!$A$12:$A$949,$A49,'09월 화학성분'!$D$12:$D$949,$B49)))</f>
        <v/>
      </c>
      <c r="AK49" s="829" t="str">
        <f>IF($C49&lt;1,"",(AVERAGEIFS('09월 화학성분'!AF$12:AF$949,'09월 화학성분'!$A$12:$A$949,$A49,'09월 화학성분'!$D$12:$D$949,$B49)))</f>
        <v/>
      </c>
      <c r="AL49" s="829" t="str">
        <f>IF($C49&lt;1,"",(AVERAGEIFS('09월 화학성분'!AG$12:AG$949,'09월 화학성분'!$A$12:$A$949,$A49,'09월 화학성분'!$D$12:$D$949,$B49)))</f>
        <v/>
      </c>
      <c r="AM49" s="829" t="str">
        <f>IF($C49&lt;1,"",(AVERAGEIFS('09월 화학성분'!AH$12:AH$949,'09월 화학성분'!$A$12:$A$949,$A49,'09월 화학성분'!$D$12:$D$949,$B49)))</f>
        <v/>
      </c>
      <c r="AN49" s="829" t="str">
        <f>IF($C49&lt;1,"",(AVERAGEIFS('09월 화학성분'!AI$12:AI$949,'09월 화학성분'!$A$12:$A$949,$A49,'09월 화학성분'!$D$12:$D$949,$B49)))</f>
        <v/>
      </c>
      <c r="AO49" s="829" t="str">
        <f>IF($C49&lt;1,"",(AVERAGEIFS('09월 화학성분'!AJ$12:AJ$949,'09월 화학성분'!$A$12:$A$949,$A49,'09월 화학성분'!$D$12:$D$949,$B49)))</f>
        <v/>
      </c>
      <c r="AP49" s="829" t="str">
        <f>IF($C49&lt;1,"",(AVERAGEIFS('09월 화학성분'!#REF!,'09월 화학성분'!$A$12:$A$949,$A49,'09월 화학성분'!$D$12:$D$949,$B49)))</f>
        <v/>
      </c>
      <c r="AQ49" s="829" t="str">
        <f>IF($C49&lt;1,"",(AVERAGEIFS('09월 화학성분'!AL$12:AL$949,'09월 화학성분'!$A$12:$A$949,$A49,'09월 화학성분'!$D$12:$D$949,$B49)))</f>
        <v/>
      </c>
      <c r="AR49" s="829" t="str">
        <f>IF($C49&lt;1,"",(AVERAGEIFS('09월 화학성분'!AM$12:AM$949,'09월 화학성분'!$A$12:$A$949,$A49,'09월 화학성분'!$D$12:$D$949,$B49)))</f>
        <v/>
      </c>
      <c r="AS49" s="830" t="str">
        <f>IF($C49&lt;1,"",(AVERAGEIFS('09월 화학성분'!AN$12:AN$949,'09월 화학성분'!$A$12:$A$949,$A49,'09월 화학성분'!$D$12:$D$949,$B49)))</f>
        <v/>
      </c>
      <c r="AT49" s="830" t="str">
        <f>IF($C49&lt;1,"",(AVERAGEIFS('09월 화학성분'!AO$12:AO$949,'09월 화학성분'!$A$12:$A$949,$A49,'09월 화학성분'!$D$12:$D$949,$B49)))</f>
        <v/>
      </c>
      <c r="AU49" s="831" t="str">
        <f>IF($C49&lt;1,"",(AVERAGEIFS('09월 화학성분'!AP$12:AP$949,'09월 화학성분'!$A$12:$A$949,$A49,'09월 화학성분'!$D$12:$D$949,$B49)))</f>
        <v/>
      </c>
      <c r="AV49" s="832" t="str">
        <f>IF($C49&lt;1,"",(AVERAGEIFS('09월 고철장입'!G$14:G$949,'09월 고철장입'!$A$14:$A$949,$A49,'09월 고철장입'!$C$14:$C$949,$B49))/1000)</f>
        <v/>
      </c>
      <c r="AW49" s="832" t="str">
        <f>IF($C49&lt;1,"",(AVERAGEIFS('09월 고철장입'!H$14:H$949,'09월 고철장입'!$A$14:$A$949,$A49,'09월 고철장입'!$C$14:$C$949,$B49))/1000)</f>
        <v/>
      </c>
      <c r="AX49" s="832" t="str">
        <f>IF($C49&lt;1,"",(AVERAGEIFS('09월 고철장입'!I$14:I$949,'09월 고철장입'!$A$14:$A$949,$A49,'09월 고철장입'!$C$14:$C$949,$B49))/1000)</f>
        <v/>
      </c>
      <c r="AY49" s="832" t="str">
        <f>IF($C49&lt;1,"",(AVERAGEIFS('09월 고철장입'!J$14:J$949,'09월 고철장입'!$A$14:$A$949,$A49,'09월 고철장입'!$C$14:$C$949,$B49))/1000)</f>
        <v/>
      </c>
      <c r="AZ49" s="832" t="str">
        <f>IF($C49&lt;1,"",(AVERAGEIFS('09월 고철장입'!K$14:K$949,'09월 고철장입'!$A$14:$A$949,$A49,'09월 고철장입'!$C$14:$C$949,$B49))/1000)</f>
        <v/>
      </c>
      <c r="BA49" s="832" t="str">
        <f>IF($C49&lt;1,"",(AVERAGEIFS('09월 고철장입'!L$14:L$949,'09월 고철장입'!$A$14:$A$949,$A49,'09월 고철장입'!$C$14:$C$949,$B49))/1000)</f>
        <v/>
      </c>
      <c r="BB49" s="832" t="str">
        <f>IF($C49&lt;1,"",(AVERAGEIFS('09월 고철장입'!M$14:M$949,'09월 고철장입'!$A$14:$A$949,$A49,'09월 고철장입'!$C$14:$C$949,$B49))/1000)</f>
        <v/>
      </c>
      <c r="BC49" s="832" t="str">
        <f>IF($C49&lt;1,"",(AVERAGEIFS('09월 고철장입'!N$14:N$949,'09월 고철장입'!$A$14:$A$949,$A49,'09월 고철장입'!$C$14:$C$949,$B49))/1000)</f>
        <v/>
      </c>
      <c r="BD49" s="832" t="str">
        <f>IF($C49&lt;1,"",(AVERAGEIFS('09월 고철장입'!O$14:O$949,'09월 고철장입'!$A$14:$A$949,$A49,'09월 고철장입'!$C$14:$C$949,$B49))/1000)</f>
        <v/>
      </c>
      <c r="BE49" s="833" t="str">
        <f>IF($C49&lt;1,"",(AVERAGEIFS('09월 고철장입'!P$14:P$949,'09월 고철장입'!$A$14:$A$949,$A49,'09월 고철장입'!$C$14:$C$949,$B49))/1000)</f>
        <v/>
      </c>
      <c r="BF49" s="833" t="str">
        <f>IF($C49&lt;1,"",(AVERAGEIFS('09월 고철장입'!Q$14:Q$949,'09월 고철장입'!$A$14:$A$949,$A49,'09월 고철장입'!$C$14:$C$949,$B49))/1000)</f>
        <v/>
      </c>
      <c r="BG49" s="833" t="str">
        <f>IF($C49&lt;1,"",(AVERAGEIFS('09월 고철장입'!S$14:S$949,'09월 고철장입'!$A$14:$A$949,$A49,'09월 고철장입'!$C$14:$C$949,$B49))/1000)</f>
        <v/>
      </c>
      <c r="BH49" s="833" t="str">
        <f>IF($C49&lt;1,"",(AVERAGEIFS('09월 고철장입'!T$14:T$949,'09월 고철장입'!$A$14:$A$949,$A49,'09월 고철장입'!$C$14:$C$949,$B49))/1000)</f>
        <v/>
      </c>
      <c r="BI49" s="833" t="str">
        <f>IF($C49&lt;1,"",(AVERAGEIFS('09월 고철장입'!U$14:U$949,'09월 고철장입'!$A$14:$A$949,$A49,'09월 고철장입'!$C$14:$C$949,$B49))/1000)</f>
        <v/>
      </c>
      <c r="BJ49" s="833" t="str">
        <f>IF($C49&lt;1,"",(AVERAGEIFS('09월 고철장입'!V$14:V$949,'09월 고철장입'!$A$14:$A$949,$A49,'09월 고철장입'!$C$14:$C$949,$B49))/1000)</f>
        <v/>
      </c>
      <c r="BK49" s="833" t="str">
        <f>IF($C49&lt;1,"",(AVERAGEIFS('09월 고철장입'!W$14:W$949,'09월 고철장입'!$A$14:$A$949,$A49,'09월 고철장입'!$C$14:$C$949,$B49))/1000)</f>
        <v/>
      </c>
      <c r="BL49" s="833" t="str">
        <f>IF($C49&lt;1,"",(AVERAGEIFS('09월 고철장입'!Y$14:Y$949,'09월 고철장입'!$A$14:$A$949,$A49,'09월 고철장입'!$C$14:$C$949,$B49))/1000)</f>
        <v/>
      </c>
      <c r="BM49" s="833" t="str">
        <f>IF($C49&lt;1,"",(AVERAGEIFS('09월 고철장입'!AB$14:AB$949,'09월 고철장입'!$A$14:$A$949,$A49,'09월 고철장입'!$C$14:$C$949,$B49))/1000)</f>
        <v/>
      </c>
      <c r="BN49" s="833" t="str">
        <f>IF($C49&lt;1,"",(AVERAGEIFS('09월 고철장입'!AC$14:AC$949,'09월 고철장입'!$A$14:$A$949,$A49,'09월 고철장입'!$C$14:$C$949,$B49))/1000)</f>
        <v/>
      </c>
      <c r="BO49" s="833" t="str">
        <f>IF($C49&lt;1,"",(AVERAGEIFS('09월 고철장입'!AD$14:AD$949,'09월 고철장입'!$A$14:$A$949,$A49,'09월 고철장입'!$C$14:$C$949,$B49))/1000)</f>
        <v/>
      </c>
      <c r="BP49" s="833" t="str">
        <f>IF($C49&lt;1,"",(AVERAGEIFS('09월 고철장입'!AE$14:AE$949,'09월 고철장입'!$A$14:$A$949,$A49,'09월 고철장입'!$C$14:$C$949,$B49))/1000)</f>
        <v/>
      </c>
      <c r="BQ49" s="832" t="str">
        <f>IF($C49&lt;1,"",(AVERAGEIFS('09월 고철장입'!AF$14:AF$949,'09월 고철장입'!$A$14:$A$949,$A49,'09월 고철장입'!$C$14:$C$949,$B49))/1000)</f>
        <v/>
      </c>
      <c r="BR49" s="832" t="str">
        <f>IF($C49&lt;1,"",(AVERAGEIFS('09월 고철장입'!AG$14:AG$949,'09월 고철장입'!$A$14:$A$949,$A49,'09월 고철장입'!$C$14:$C$949,$B49))/1000)</f>
        <v/>
      </c>
      <c r="BS49" s="832" t="str">
        <f>IF($C49&lt;1,"",(AVERAGEIFS('09월 고철장입'!AH$14:AH$949,'09월 고철장입'!$A$14:$A$949,$A49,'09월 고철장입'!$C$14:$C$949,$B49))/1000)</f>
        <v/>
      </c>
      <c r="BT49" s="832" t="str">
        <f>IF($C49&lt;1,"",(AVERAGEIFS('09월 고철장입'!AI$14:AI$949,'09월 고철장입'!$A$14:$A$949,$A49,'09월 고철장입'!$C$14:$C$949,$B49))/1000)</f>
        <v/>
      </c>
      <c r="BU49" s="834" t="str">
        <f>IF($C49&lt;1,"",(AVERAGEIFS('09월 고철장입'!AJ$14:AJ$949,'09월 고철장입'!$A$14:$A$949,$A49,'09월 고철장입'!$C$14:$C$949,$B49))/1000)</f>
        <v/>
      </c>
      <c r="BV49" s="834" t="str">
        <f>IF($C49&lt;1,"",(AVERAGEIFS('09월 고철장입'!AK$14:AK$949,'09월 고철장입'!$A$14:$A$949,$A49,'09월 고철장입'!$C$14:$C$949,$B49)))</f>
        <v/>
      </c>
      <c r="BW49" s="834" t="str">
        <f>IF($C49&lt;1,"",(AVERAGEIFS('09월 고철장입'!AL$14:AL$949,'09월 고철장입'!$A$14:$A$949,$A49,'09월 고철장입'!$C$14:$C$949,$B49))*100)</f>
        <v/>
      </c>
      <c r="BX49" s="831" t="str">
        <f>IF($C49&lt;1,"",(AVERAGEIFS('09월 에너지'!G$14:G$949,'09월 에너지'!$A$14:$A$949,$A49,'09월 에너지'!$C$14:$C$949,$B49)))</f>
        <v/>
      </c>
      <c r="BY49" s="835" t="str">
        <f>IF($C49&lt;1,"",(AVERAGEIFS('09월 에너지'!H$14:H$949,'09월 에너지'!$A$14:$A$949,$A49,'09월 에너지'!$C$14:$C$949,$B49)))</f>
        <v/>
      </c>
      <c r="BZ49" s="831" t="str">
        <f>IF($C49&lt;1,"",(AVERAGEIFS('09월 에너지'!I$14:I$949,'09월 에너지'!$A$14:$A$949,$A49,'09월 에너지'!$C$14:$C$949,$B49)))</f>
        <v/>
      </c>
      <c r="CA49" s="835" t="str">
        <f>IF($C49&lt;1,"",(AVERAGEIFS('09월 에너지'!J$14:J$949,'09월 에너지'!$A$14:$A$949,$A49,'09월 에너지'!$C$14:$C$949,$B49)))</f>
        <v/>
      </c>
      <c r="CB49" s="831" t="str">
        <f>IF($C49&lt;1,"",(AVERAGEIFS('09월 에너지'!K$14:K$949,'09월 에너지'!$A$14:$A$949,$A49,'09월 에너지'!$C$14:$C$949,$B49)))</f>
        <v/>
      </c>
      <c r="CC49" s="835" t="str">
        <f>IF($C49&lt;1,"",(AVERAGEIFS('09월 에너지'!L$14:L$949,'09월 에너지'!$A$14:$A$949,$A49,'09월 에너지'!$C$14:$C$949,$B49)))</f>
        <v/>
      </c>
      <c r="CD49" s="831" t="str">
        <f>IF($C49&lt;1,"",(AVERAGEIFS('09월 에너지'!M$14:M$949,'09월 에너지'!$A$14:$A$949,$A49,'09월 에너지'!$C$14:$C$949,$B49)))</f>
        <v/>
      </c>
      <c r="CE49" s="835" t="str">
        <f>IF($C49&lt;1,"",(AVERAGEIFS('09월 에너지'!N$14:N$949,'09월 에너지'!$A$14:$A$949,$A49,'09월 에너지'!$C$14:$C$949,$B49)))</f>
        <v/>
      </c>
      <c r="CF49" s="831" t="str">
        <f>IF($C49&lt;1,"",(AVERAGEIFS('09월 에너지'!O$14:O$949,'09월 에너지'!$A$14:$A$949,$A49,'09월 에너지'!$C$14:$C$949,$B49)))</f>
        <v/>
      </c>
      <c r="CG49" s="831" t="str">
        <f>IF($C49&lt;1,"",(AVERAGEIFS('09월 에너지'!P$14:P$949,'09월 에너지'!$A$14:$A$949,$A49,'09월 에너지'!$C$14:$C$949,$B49)))</f>
        <v/>
      </c>
      <c r="CH49" s="831" t="str">
        <f>IF($C49&lt;1,"",(AVERAGEIFS('09월 에너지'!Q$14:Q$949,'09월 에너지'!$A$14:$A$949,$A49,'09월 에너지'!$C$14:$C$949,$B49)))</f>
        <v/>
      </c>
      <c r="CI49" s="831" t="str">
        <f>IF($C49&lt;1,"",(AVERAGEIFS('09월 에너지'!R$14:R$949,'09월 에너지'!$A$14:$A$949,$A49,'09월 에너지'!$C$14:$C$949,$B49)))</f>
        <v/>
      </c>
      <c r="CJ49" s="831" t="str">
        <f>IF($C49&lt;1,"",(AVERAGEIFS('09월 에너지'!S$14:S$949,'09월 에너지'!$A$14:$A$949,$A49,'09월 에너지'!$C$14:$C$949,$B49)))</f>
        <v/>
      </c>
      <c r="CK49" s="831" t="str">
        <f>IF($C49&lt;1,"",(AVERAGEIFS('09월 에너지'!T$14:T$949,'09월 에너지'!$A$14:$A$949,$A49,'09월 에너지'!$C$14:$C$949,$B49)))</f>
        <v/>
      </c>
      <c r="CL49" s="831" t="str">
        <f>IF($C49&lt;1,"",(AVERAGEIFS('09월 에너지'!U$14:U$949,'09월 에너지'!$A$14:$A$949,$A49,'09월 에너지'!$C$14:$C$949,$B49)))</f>
        <v/>
      </c>
      <c r="CM49" s="835" t="str">
        <f>IF($C49&lt;1,"",(AVERAGEIFS('09월 에너지'!V$14:V$949,'09월 에너지'!$A$14:$A$949,$A49,'09월 에너지'!$C$14:$C$949,$B49)))</f>
        <v/>
      </c>
      <c r="CN49" s="835" t="str">
        <f>IF($C49&lt;1,"",(AVERAGEIFS('09월 에너지'!W$14:W$949,'09월 에너지'!$A$14:$A$949,$A49,'09월 에너지'!$C$14:$C$949,$B49)))</f>
        <v/>
      </c>
      <c r="CO49" s="831" t="str">
        <f>IF($C49&lt;1,"",(AVERAGEIFS('09월 에너지'!X$14:X$949,'09월 에너지'!$A$14:$A$949,$A49,'09월 에너지'!$C$14:$C$949,$B49)))</f>
        <v/>
      </c>
      <c r="CP49" s="835" t="str">
        <f>IF($C49&lt;1,"",(AVERAGEIFS('09월 에너지'!Y$14:Y$949,'09월 에너지'!$A$14:$A$949,$A49,'09월 에너지'!$C$14:$C$949,$B49)))</f>
        <v/>
      </c>
      <c r="CQ49" s="835" t="str">
        <f>IF($C49&lt;1,"",(AVERAGEIFS('09월 에너지'!Z$14:Z$949,'09월 에너지'!$A$14:$A$949,$A49,'09월 에너지'!$C$14:$C$949,$B49)))</f>
        <v/>
      </c>
      <c r="CR49" s="835" t="str">
        <f>IF($C49&lt;1,"",(AVERAGEIFS('09월 에너지'!AA$14:AA$949,'09월 에너지'!$A$14:$A$949,$A49,'09월 에너지'!$C$14:$C$949,$B49)))</f>
        <v/>
      </c>
      <c r="CS49" s="835" t="str">
        <f>IF($C49&lt;1,"",(AVERAGEIFS('09월 에너지'!AB$14:AB$949,'09월 에너지'!$A$14:$A$949,$A49,'09월 에너지'!$C$14:$C$949,$B49)))</f>
        <v/>
      </c>
      <c r="CT49" s="831" t="str">
        <f>IF($C49&lt;1,"",(AVERAGEIFS('09월 에너지'!AC$14:AC$949,'09월 에너지'!$A$14:$A$949,$A49,'09월 에너지'!$C$14:$C$949,$B49)))</f>
        <v/>
      </c>
      <c r="CU49" s="836" t="str">
        <f>IF($C49&lt;1,"",(AVERAGEIFS('09월 에너지'!AD$14:AD$949,'09월 에너지'!$A$14:$A$949,$A49,'09월 에너지'!$C$14:$C$949,$B49)))</f>
        <v/>
      </c>
      <c r="CV49" s="837" t="str">
        <f>IF($C49&lt;1,"",(AVERAGEIFS('09월 에너지'!AE$14:AE$949,'09월 에너지'!$A$14:$A$949,$A49,'09월 에너지'!$C$14:$C$949,$B49)))</f>
        <v/>
      </c>
      <c r="CW49" s="831" t="str">
        <f>IF($C49&lt;1,"",(AVERAGEIFS('09월 에너지'!AF$14:AF$949,'09월 에너지'!$A$14:$A$949,$A49,'09월 에너지'!$C$14:$C$949,$B49)))</f>
        <v/>
      </c>
      <c r="CX49" s="831" t="str">
        <f>IF($C49&lt;1,"",(AVERAGEIFS('09월 에너지'!AG$14:AG$949,'09월 에너지'!$A$14:$A$949,$A49,'09월 에너지'!$C$14:$C$949,$B49)))</f>
        <v/>
      </c>
      <c r="CY49" s="831" t="str">
        <f>IF($C49&lt;1,"",(AVERAGEIFS('09월 에너지'!AH$14:AH$949,'09월 에너지'!$A$14:$A$949,$A49,'09월 에너지'!$C$14:$C$949,$B49)))</f>
        <v/>
      </c>
      <c r="CZ49" s="831" t="str">
        <f>IF($C49&lt;1,"",(AVERAGEIFS('09월 에너지'!AI$14:AI$949,'09월 에너지'!$A$14:$A$949,$A49,'09월 에너지'!$C$14:$C$949,$B49)))</f>
        <v/>
      </c>
      <c r="DA49" s="838" t="str">
        <f>IF($C49&lt;1,"",(AVERAGEIFS('09월 에너지'!AJ$14:AJ$949,'09월 에너지'!$A$14:$A$949,$A49,'09월 에너지'!$C$14:$C$949,$B49)))</f>
        <v/>
      </c>
    </row>
    <row r="50" spans="1:105" ht="13.5" customHeight="1" thickBot="1">
      <c r="A50" s="851">
        <f t="shared" si="2"/>
        <v>44935</v>
      </c>
      <c r="B50" s="852" t="s">
        <v>94</v>
      </c>
      <c r="C50" s="841">
        <f>COUNTIFS('09월 조업일지'!$A$12:$A$952,A46,'09월 조업일지'!$E$12:$E$952,B50)</f>
        <v>0</v>
      </c>
      <c r="D50" s="842" t="str">
        <f t="shared" si="10"/>
        <v/>
      </c>
      <c r="E50" s="842" t="str">
        <f>IF($C50&lt;1,"",(SUMIFS('09월 조업일지'!$K$12:$K$952,'09월 조업일지'!$A$12:$A$952,$A50,'09월 조업일지'!$E$12:$E$952,$B50)/$C50))</f>
        <v/>
      </c>
      <c r="F50" s="842" t="str">
        <f>IF($C50&lt;1,"",(AVERAGEIFS('09월 조업일지'!$J$12:$J$952,'09월 조업일지'!$A$12:$A$952,$A50,'09월 조업일지'!$E$12:$E$952,$B50)))</f>
        <v/>
      </c>
      <c r="G50" s="843" t="str">
        <f>IF($C50&lt;1,"",(AVERAGEIFS('09월 에너지'!$M$14:$M$949,'09월 에너지'!$A$14:$A$949,$A50,'09월 에너지'!$C$14:$C$949,$B50)))</f>
        <v/>
      </c>
      <c r="H50" s="844" t="str">
        <f>IF($C50&lt;1,"",(AVERAGEIFS('09월 조업일지'!$AJ$12:$AJ$952,'09월 조업일지'!$A$12:$A$952,$A50,'09월 조업일지'!$E$12:$E$952,$B50)))</f>
        <v/>
      </c>
      <c r="I50" s="844" t="str">
        <f>IF($C50&lt;1,"",(AVERAGEIFS('09월 조업일지'!$AL$12:$AL$952,'09월 조업일지'!$A$12:$A$952,$A50,'09월 조업일지'!$E$12:$E$952,$B50)))</f>
        <v/>
      </c>
      <c r="J50" s="845" t="str">
        <f>IF($C50&lt;1,"",(AVERAGEIFS('09월 화학성분'!G$12:G$949,'09월 화학성분'!$A$12:$A$949,$A50,'09월 화학성분'!$D$12:$D$949,$B50)))</f>
        <v/>
      </c>
      <c r="K50" s="845" t="str">
        <f>IF($C50&lt;1,"",(AVERAGEIFS('09월 화학성분'!H$12:H$949,'09월 화학성분'!$A$12:$A$949,$A50,'09월 화학성분'!$D$12:$D$949,$B50)))</f>
        <v/>
      </c>
      <c r="L50" s="845" t="str">
        <f>IF($C50&lt;1,"",(AVERAGEIFS('09월 화학성분'!I$12:I$949,'09월 화학성분'!$A$12:$A$949,$A50,'09월 화학성분'!$D$12:$D$949,$B50)))</f>
        <v/>
      </c>
      <c r="M50" s="845" t="str">
        <f>IF($C50&lt;1,"",(AVERAGEIFS('09월 화학성분'!J$12:J$949,'09월 화학성분'!$A$12:$A$949,$A50,'09월 화학성분'!$D$12:$D$949,$B50)))</f>
        <v/>
      </c>
      <c r="N50" s="845" t="str">
        <f>IF($C50&lt;1,"",(AVERAGEIFS('09월 화학성분'!K$12:K$949,'09월 화학성분'!$A$12:$A$949,$A50,'09월 화학성분'!$D$12:$D$949,$B50)))</f>
        <v/>
      </c>
      <c r="O50" s="845" t="str">
        <f>IF($C50&lt;1,"",(AVERAGEIFS('09월 화학성분'!L$12:L$949,'09월 화학성분'!$A$12:$A$949,$A50,'09월 화학성분'!$D$12:$D$949,$B50)))</f>
        <v/>
      </c>
      <c r="P50" s="845" t="str">
        <f>IF($C50&lt;1,"",(AVERAGEIFS('09월 화학성분'!M$12:M$949,'09월 화학성분'!$A$12:$A$949,$A50,'09월 화학성분'!$D$12:$D$949,$B50)))</f>
        <v/>
      </c>
      <c r="Q50" s="827" t="str">
        <f>IFERROR(IF($C50&lt;1,"",(AVERAGEIFS('09월 조업일지'!$AA$12:$AA$952,'09월 조업일지'!$A$12:$A$952,$A50,'09월 조업일지'!$E$12:$E$952,$B50))),"")</f>
        <v/>
      </c>
      <c r="R50" s="845" t="str">
        <f>IF($C50&lt;1,"",(AVERAGEIFS('09월 조업일지'!$AK$12:$AK$952,'09월 조업일지'!$A$12:$A$952,$A50,'09월 조업일지'!$E$12:$E$952,$B50)))</f>
        <v/>
      </c>
      <c r="S50" s="845"/>
      <c r="T50" s="845"/>
      <c r="U50" s="845" t="str">
        <f>IF($C50&lt;1,"",(AVERAGEIFS('09월 화학성분'!$G$12:$G$949,'09월 화학성분'!$A$12:$A$949,$A50,'09월 화학성분'!$D$12:$D$949,$B50)))</f>
        <v/>
      </c>
      <c r="V50" s="845" t="str">
        <f>IF($C50&lt;1,"",(AVERAGEIFS('09월 조업일지'!$AI$12:$AI$952,'09월 조업일지'!$A$12:$A$952,$A50,'09월 조업일지'!$E$12:$E$952,$B50)))</f>
        <v/>
      </c>
      <c r="W50" s="846" t="str">
        <f>IF($C50&lt;1,"",(AVERAGEIFS('09월 화학성분'!$AM$12:$AM$949,'09월 화학성분'!$A$12:$A$949,$A50,'09월 화학성분'!$D$12:$D$949,$B50)))</f>
        <v/>
      </c>
      <c r="X50" s="829" t="str">
        <f>IF($C50&lt;1,"",(AVERAGEIFS('09월 화학성분'!N$12:N$949,'09월 화학성분'!$A$12:$A$949,$A50,'09월 화학성분'!$D$12:$D$949,$B50)))</f>
        <v/>
      </c>
      <c r="Y50" s="829" t="str">
        <f>IF($C50&lt;1,"",(AVERAGEIFS('09월 화학성분'!O$12:O$949,'09월 화학성분'!$A$12:$A$949,$A50,'09월 화학성분'!$D$12:$D$949,$B50)))</f>
        <v/>
      </c>
      <c r="Z50" s="829" t="str">
        <f>IF($C50&lt;1,"",(AVERAGEIFS('09월 화학성분'!P$12:P$949,'09월 화학성분'!$A$12:$A$949,$A50,'09월 화학성분'!$D$12:$D$949,$B50)))</f>
        <v/>
      </c>
      <c r="AA50" s="829" t="str">
        <f>IF($C50&lt;1,"",(AVERAGEIFS('09월 화학성분'!Q$12:Q$949,'09월 화학성분'!$A$12:$A$949,$A50,'09월 화학성분'!$D$12:$D$949,$B50)))</f>
        <v/>
      </c>
      <c r="AB50" s="829" t="str">
        <f>IF($C50&lt;1,"",(AVERAGEIFS('09월 화학성분'!R$12:R$949,'09월 화학성분'!$A$12:$A$949,$A50,'09월 화학성분'!$D$12:$D$949,$B50)))</f>
        <v/>
      </c>
      <c r="AC50" s="829" t="str">
        <f>IF($C50&lt;1,"",(AVERAGEIFS('09월 화학성분'!U$12:U$949,'09월 화학성분'!$A$12:$A$949,$A50,'09월 화학성분'!$D$12:$D$949,$B50)))</f>
        <v/>
      </c>
      <c r="AD50" s="829" t="str">
        <f>IF($C50&lt;1,"",(AVERAGEIFS('09월 화학성분'!V$12:V$949,'09월 화학성분'!$A$12:$A$949,$A50,'09월 화학성분'!$D$12:$D$949,$B50)))</f>
        <v/>
      </c>
      <c r="AE50" s="829" t="str">
        <f>IF($C50&lt;1,"",(AVERAGEIFS('09월 화학성분'!W$12:W$949,'09월 화학성분'!$A$12:$A$949,$A50,'09월 화학성분'!$D$12:$D$949,$B50)))</f>
        <v/>
      </c>
      <c r="AF50" s="829" t="str">
        <f>IF($C50&lt;1,"",(AVERAGEIFS('09월 화학성분'!AA$12:AA$949,'09월 화학성분'!$A$12:$A$949,$A50,'09월 화학성분'!$D$12:$D$949,$B50)))</f>
        <v/>
      </c>
      <c r="AG50" s="829" t="str">
        <f>IF($C50&lt;1,"",(AVERAGEIFS('09월 화학성분'!#REF!,'09월 화학성분'!$A$12:$A$949,$A50,'09월 화학성분'!$D$12:$D$949,$B50)))</f>
        <v/>
      </c>
      <c r="AH50" s="829" t="str">
        <f>IF($C50&lt;1,"",(AVERAGEIFS('09월 화학성분'!AB$12:AB$949,'09월 화학성분'!$A$12:$A$949,$A50,'09월 화학성분'!$D$12:$D$949,$B50)))</f>
        <v/>
      </c>
      <c r="AI50" s="829" t="str">
        <f>IF($C50&lt;1,"",(AVERAGEIFS('09월 화학성분'!AC$12:AC$949,'09월 화학성분'!$A$12:$A$949,$A50,'09월 화학성분'!$D$12:$D$949,$B50)))</f>
        <v/>
      </c>
      <c r="AJ50" s="829" t="str">
        <f>IF($C50&lt;1,"",(AVERAGEIFS('09월 화학성분'!AD$12:AD$949,'09월 화학성분'!$A$12:$A$949,$A50,'09월 화학성분'!$D$12:$D$949,$B50)))</f>
        <v/>
      </c>
      <c r="AK50" s="829" t="str">
        <f>IF($C50&lt;1,"",(AVERAGEIFS('09월 화학성분'!AF$12:AF$949,'09월 화학성분'!$A$12:$A$949,$A50,'09월 화학성분'!$D$12:$D$949,$B50)))</f>
        <v/>
      </c>
      <c r="AL50" s="829" t="str">
        <f>IF($C50&lt;1,"",(AVERAGEIFS('09월 화학성분'!AG$12:AG$949,'09월 화학성분'!$A$12:$A$949,$A50,'09월 화학성분'!$D$12:$D$949,$B50)))</f>
        <v/>
      </c>
      <c r="AM50" s="829" t="str">
        <f>IF($C50&lt;1,"",(AVERAGEIFS('09월 화학성분'!AH$12:AH$949,'09월 화학성분'!$A$12:$A$949,$A50,'09월 화학성분'!$D$12:$D$949,$B50)))</f>
        <v/>
      </c>
      <c r="AN50" s="829" t="str">
        <f>IF($C50&lt;1,"",(AVERAGEIFS('09월 화학성분'!AI$12:AI$949,'09월 화학성분'!$A$12:$A$949,$A50,'09월 화학성분'!$D$12:$D$949,$B50)))</f>
        <v/>
      </c>
      <c r="AO50" s="829" t="str">
        <f>IF($C50&lt;1,"",(AVERAGEIFS('09월 화학성분'!AJ$12:AJ$949,'09월 화학성분'!$A$12:$A$949,$A50,'09월 화학성분'!$D$12:$D$949,$B50)))</f>
        <v/>
      </c>
      <c r="AP50" s="829" t="str">
        <f>IF($C50&lt;1,"",(AVERAGEIFS('09월 화학성분'!#REF!,'09월 화학성분'!$A$12:$A$949,$A50,'09월 화학성분'!$D$12:$D$949,$B50)))</f>
        <v/>
      </c>
      <c r="AQ50" s="829" t="str">
        <f>IF($C50&lt;1,"",(AVERAGEIFS('09월 화학성분'!AL$12:AL$949,'09월 화학성분'!$A$12:$A$949,$A50,'09월 화학성분'!$D$12:$D$949,$B50)))</f>
        <v/>
      </c>
      <c r="AR50" s="829" t="str">
        <f>IF($C50&lt;1,"",(AVERAGEIFS('09월 화학성분'!AM$12:AM$949,'09월 화학성분'!$A$12:$A$949,$A50,'09월 화학성분'!$D$12:$D$949,$B50)))</f>
        <v/>
      </c>
      <c r="AS50" s="830" t="str">
        <f>IF($C50&lt;1,"",(AVERAGEIFS('09월 화학성분'!AN$12:AN$949,'09월 화학성분'!$A$12:$A$949,$A50,'09월 화학성분'!$D$12:$D$949,$B50)))</f>
        <v/>
      </c>
      <c r="AT50" s="830" t="str">
        <f>IF($C50&lt;1,"",(AVERAGEIFS('09월 화학성분'!AO$12:AO$949,'09월 화학성분'!$A$12:$A$949,$A50,'09월 화학성분'!$D$12:$D$949,$B50)))</f>
        <v/>
      </c>
      <c r="AU50" s="831" t="str">
        <f>IF($C50&lt;1,"",(AVERAGEIFS('09월 화학성분'!AP$12:AP$949,'09월 화학성분'!$A$12:$A$949,$A50,'09월 화학성분'!$D$12:$D$949,$B50)))</f>
        <v/>
      </c>
      <c r="AV50" s="832" t="str">
        <f>IF($C50&lt;1,"",(AVERAGEIFS('09월 고철장입'!G$14:G$949,'09월 고철장입'!$A$14:$A$949,$A50,'09월 고철장입'!$C$14:$C$949,$B50))/1000)</f>
        <v/>
      </c>
      <c r="AW50" s="832" t="str">
        <f>IF($C50&lt;1,"",(AVERAGEIFS('09월 고철장입'!H$14:H$949,'09월 고철장입'!$A$14:$A$949,$A50,'09월 고철장입'!$C$14:$C$949,$B50))/1000)</f>
        <v/>
      </c>
      <c r="AX50" s="832" t="str">
        <f>IF($C50&lt;1,"",(AVERAGEIFS('09월 고철장입'!I$14:I$949,'09월 고철장입'!$A$14:$A$949,$A50,'09월 고철장입'!$C$14:$C$949,$B50))/1000)</f>
        <v/>
      </c>
      <c r="AY50" s="832" t="str">
        <f>IF($C50&lt;1,"",(AVERAGEIFS('09월 고철장입'!J$14:J$949,'09월 고철장입'!$A$14:$A$949,$A50,'09월 고철장입'!$C$14:$C$949,$B50))/1000)</f>
        <v/>
      </c>
      <c r="AZ50" s="832" t="str">
        <f>IF($C50&lt;1,"",(AVERAGEIFS('09월 고철장입'!K$14:K$949,'09월 고철장입'!$A$14:$A$949,$A50,'09월 고철장입'!$C$14:$C$949,$B50))/1000)</f>
        <v/>
      </c>
      <c r="BA50" s="832" t="str">
        <f>IF($C50&lt;1,"",(AVERAGEIFS('09월 고철장입'!L$14:L$949,'09월 고철장입'!$A$14:$A$949,$A50,'09월 고철장입'!$C$14:$C$949,$B50))/1000)</f>
        <v/>
      </c>
      <c r="BB50" s="832" t="str">
        <f>IF($C50&lt;1,"",(AVERAGEIFS('09월 고철장입'!M$14:M$949,'09월 고철장입'!$A$14:$A$949,$A50,'09월 고철장입'!$C$14:$C$949,$B50))/1000)</f>
        <v/>
      </c>
      <c r="BC50" s="832" t="str">
        <f>IF($C50&lt;1,"",(AVERAGEIFS('09월 고철장입'!N$14:N$949,'09월 고철장입'!$A$14:$A$949,$A50,'09월 고철장입'!$C$14:$C$949,$B50))/1000)</f>
        <v/>
      </c>
      <c r="BD50" s="832" t="str">
        <f>IF($C50&lt;1,"",(AVERAGEIFS('09월 고철장입'!O$14:O$949,'09월 고철장입'!$A$14:$A$949,$A50,'09월 고철장입'!$C$14:$C$949,$B50))/1000)</f>
        <v/>
      </c>
      <c r="BE50" s="833" t="str">
        <f>IF($C50&lt;1,"",(AVERAGEIFS('09월 고철장입'!P$14:P$949,'09월 고철장입'!$A$14:$A$949,$A50,'09월 고철장입'!$C$14:$C$949,$B50))/1000)</f>
        <v/>
      </c>
      <c r="BF50" s="833" t="str">
        <f>IF($C50&lt;1,"",(AVERAGEIFS('09월 고철장입'!Q$14:Q$949,'09월 고철장입'!$A$14:$A$949,$A50,'09월 고철장입'!$C$14:$C$949,$B50))/1000)</f>
        <v/>
      </c>
      <c r="BG50" s="833" t="str">
        <f>IF($C50&lt;1,"",(AVERAGEIFS('09월 고철장입'!S$14:S$949,'09월 고철장입'!$A$14:$A$949,$A50,'09월 고철장입'!$C$14:$C$949,$B50))/1000)</f>
        <v/>
      </c>
      <c r="BH50" s="833" t="str">
        <f>IF($C50&lt;1,"",(AVERAGEIFS('09월 고철장입'!T$14:T$949,'09월 고철장입'!$A$14:$A$949,$A50,'09월 고철장입'!$C$14:$C$949,$B50))/1000)</f>
        <v/>
      </c>
      <c r="BI50" s="833" t="str">
        <f>IF($C50&lt;1,"",(AVERAGEIFS('09월 고철장입'!U$14:U$949,'09월 고철장입'!$A$14:$A$949,$A50,'09월 고철장입'!$C$14:$C$949,$B50))/1000)</f>
        <v/>
      </c>
      <c r="BJ50" s="833" t="str">
        <f>IF($C50&lt;1,"",(AVERAGEIFS('09월 고철장입'!V$14:V$949,'09월 고철장입'!$A$14:$A$949,$A50,'09월 고철장입'!$C$14:$C$949,$B50))/1000)</f>
        <v/>
      </c>
      <c r="BK50" s="833" t="str">
        <f>IF($C50&lt;1,"",(AVERAGEIFS('09월 고철장입'!W$14:W$949,'09월 고철장입'!$A$14:$A$949,$A50,'09월 고철장입'!$C$14:$C$949,$B50))/1000)</f>
        <v/>
      </c>
      <c r="BL50" s="833" t="str">
        <f>IF($C50&lt;1,"",(AVERAGEIFS('09월 고철장입'!Y$14:Y$949,'09월 고철장입'!$A$14:$A$949,$A50,'09월 고철장입'!$C$14:$C$949,$B50))/1000)</f>
        <v/>
      </c>
      <c r="BM50" s="833" t="str">
        <f>IF($C50&lt;1,"",(AVERAGEIFS('09월 고철장입'!AB$14:AB$949,'09월 고철장입'!$A$14:$A$949,$A50,'09월 고철장입'!$C$14:$C$949,$B50))/1000)</f>
        <v/>
      </c>
      <c r="BN50" s="833" t="str">
        <f>IF($C50&lt;1,"",(AVERAGEIFS('09월 고철장입'!AC$14:AC$949,'09월 고철장입'!$A$14:$A$949,$A50,'09월 고철장입'!$C$14:$C$949,$B50))/1000)</f>
        <v/>
      </c>
      <c r="BO50" s="833" t="str">
        <f>IF($C50&lt;1,"",(AVERAGEIFS('09월 고철장입'!AD$14:AD$949,'09월 고철장입'!$A$14:$A$949,$A50,'09월 고철장입'!$C$14:$C$949,$B50))/1000)</f>
        <v/>
      </c>
      <c r="BP50" s="833" t="str">
        <f>IF($C50&lt;1,"",(AVERAGEIFS('09월 고철장입'!AE$14:AE$949,'09월 고철장입'!$A$14:$A$949,$A50,'09월 고철장입'!$C$14:$C$949,$B50))/1000)</f>
        <v/>
      </c>
      <c r="BQ50" s="832" t="str">
        <f>IF($C50&lt;1,"",(AVERAGEIFS('09월 고철장입'!AF$14:AF$949,'09월 고철장입'!$A$14:$A$949,$A50,'09월 고철장입'!$C$14:$C$949,$B50))/1000)</f>
        <v/>
      </c>
      <c r="BR50" s="832" t="str">
        <f>IF($C50&lt;1,"",(AVERAGEIFS('09월 고철장입'!AG$14:AG$949,'09월 고철장입'!$A$14:$A$949,$A50,'09월 고철장입'!$C$14:$C$949,$B50))/1000)</f>
        <v/>
      </c>
      <c r="BS50" s="832" t="str">
        <f>IF($C50&lt;1,"",(AVERAGEIFS('09월 고철장입'!AH$14:AH$949,'09월 고철장입'!$A$14:$A$949,$A50,'09월 고철장입'!$C$14:$C$949,$B50))/1000)</f>
        <v/>
      </c>
      <c r="BT50" s="832" t="str">
        <f>IF($C50&lt;1,"",(AVERAGEIFS('09월 고철장입'!AI$14:AI$949,'09월 고철장입'!$A$14:$A$949,$A50,'09월 고철장입'!$C$14:$C$949,$B50))/1000)</f>
        <v/>
      </c>
      <c r="BU50" s="834" t="str">
        <f>IF($C50&lt;1,"",(AVERAGEIFS('09월 고철장입'!AJ$14:AJ$949,'09월 고철장입'!$A$14:$A$949,$A50,'09월 고철장입'!$C$14:$C$949,$B50))/1000)</f>
        <v/>
      </c>
      <c r="BV50" s="834" t="str">
        <f>IF($C50&lt;1,"",(AVERAGEIFS('09월 고철장입'!AK$14:AK$949,'09월 고철장입'!$A$14:$A$949,$A50,'09월 고철장입'!$C$14:$C$949,$B50)))</f>
        <v/>
      </c>
      <c r="BW50" s="834" t="str">
        <f>IF($C50&lt;1,"",(AVERAGEIFS('09월 고철장입'!AL$14:AL$949,'09월 고철장입'!$A$14:$A$949,$A50,'09월 고철장입'!$C$14:$C$949,$B50))*100)</f>
        <v/>
      </c>
      <c r="BX50" s="831" t="str">
        <f>IF($C50&lt;1,"",(AVERAGEIFS('09월 에너지'!G$14:G$949,'09월 에너지'!$A$14:$A$949,$A50,'09월 에너지'!$C$14:$C$949,$B50)))</f>
        <v/>
      </c>
      <c r="BY50" s="835" t="str">
        <f>IF($C50&lt;1,"",(AVERAGEIFS('09월 에너지'!H$14:H$949,'09월 에너지'!$A$14:$A$949,$A50,'09월 에너지'!$C$14:$C$949,$B50)))</f>
        <v/>
      </c>
      <c r="BZ50" s="831" t="str">
        <f>IF($C50&lt;1,"",(AVERAGEIFS('09월 에너지'!I$14:I$949,'09월 에너지'!$A$14:$A$949,$A50,'09월 에너지'!$C$14:$C$949,$B50)))</f>
        <v/>
      </c>
      <c r="CA50" s="835" t="str">
        <f>IF($C50&lt;1,"",(AVERAGEIFS('09월 에너지'!J$14:J$949,'09월 에너지'!$A$14:$A$949,$A50,'09월 에너지'!$C$14:$C$949,$B50)))</f>
        <v/>
      </c>
      <c r="CB50" s="831" t="str">
        <f>IF($C50&lt;1,"",(AVERAGEIFS('09월 에너지'!K$14:K$949,'09월 에너지'!$A$14:$A$949,$A50,'09월 에너지'!$C$14:$C$949,$B50)))</f>
        <v/>
      </c>
      <c r="CC50" s="835" t="str">
        <f>IF($C50&lt;1,"",(AVERAGEIFS('09월 에너지'!L$14:L$949,'09월 에너지'!$A$14:$A$949,$A50,'09월 에너지'!$C$14:$C$949,$B50)))</f>
        <v/>
      </c>
      <c r="CD50" s="831" t="str">
        <f>IF($C50&lt;1,"",(AVERAGEIFS('09월 에너지'!M$14:M$949,'09월 에너지'!$A$14:$A$949,$A50,'09월 에너지'!$C$14:$C$949,$B50)))</f>
        <v/>
      </c>
      <c r="CE50" s="835" t="str">
        <f>IF($C50&lt;1,"",(AVERAGEIFS('09월 에너지'!N$14:N$949,'09월 에너지'!$A$14:$A$949,$A50,'09월 에너지'!$C$14:$C$949,$B50)))</f>
        <v/>
      </c>
      <c r="CF50" s="831" t="str">
        <f>IF($C50&lt;1,"",(AVERAGEIFS('09월 에너지'!O$14:O$949,'09월 에너지'!$A$14:$A$949,$A50,'09월 에너지'!$C$14:$C$949,$B50)))</f>
        <v/>
      </c>
      <c r="CG50" s="831" t="str">
        <f>IF($C50&lt;1,"",(AVERAGEIFS('09월 에너지'!P$14:P$949,'09월 에너지'!$A$14:$A$949,$A50,'09월 에너지'!$C$14:$C$949,$B50)))</f>
        <v/>
      </c>
      <c r="CH50" s="831" t="str">
        <f>IF($C50&lt;1,"",(AVERAGEIFS('09월 에너지'!Q$14:Q$949,'09월 에너지'!$A$14:$A$949,$A50,'09월 에너지'!$C$14:$C$949,$B50)))</f>
        <v/>
      </c>
      <c r="CI50" s="831" t="str">
        <f>IF($C50&lt;1,"",(AVERAGEIFS('09월 에너지'!R$14:R$949,'09월 에너지'!$A$14:$A$949,$A50,'09월 에너지'!$C$14:$C$949,$B50)))</f>
        <v/>
      </c>
      <c r="CJ50" s="831" t="str">
        <f>IF($C50&lt;1,"",(AVERAGEIFS('09월 에너지'!S$14:S$949,'09월 에너지'!$A$14:$A$949,$A50,'09월 에너지'!$C$14:$C$949,$B50)))</f>
        <v/>
      </c>
      <c r="CK50" s="831" t="str">
        <f>IF($C50&lt;1,"",(AVERAGEIFS('09월 에너지'!T$14:T$949,'09월 에너지'!$A$14:$A$949,$A50,'09월 에너지'!$C$14:$C$949,$B50)))</f>
        <v/>
      </c>
      <c r="CL50" s="831" t="str">
        <f>IF($C50&lt;1,"",(AVERAGEIFS('09월 에너지'!U$14:U$949,'09월 에너지'!$A$14:$A$949,$A50,'09월 에너지'!$C$14:$C$949,$B50)))</f>
        <v/>
      </c>
      <c r="CM50" s="835" t="str">
        <f>IF($C50&lt;1,"",(AVERAGEIFS('09월 에너지'!V$14:V$949,'09월 에너지'!$A$14:$A$949,$A50,'09월 에너지'!$C$14:$C$949,$B50)))</f>
        <v/>
      </c>
      <c r="CN50" s="835" t="str">
        <f>IF($C50&lt;1,"",(AVERAGEIFS('09월 에너지'!W$14:W$949,'09월 에너지'!$A$14:$A$949,$A50,'09월 에너지'!$C$14:$C$949,$B50)))</f>
        <v/>
      </c>
      <c r="CO50" s="831" t="str">
        <f>IF($C50&lt;1,"",(AVERAGEIFS('09월 에너지'!X$14:X$949,'09월 에너지'!$A$14:$A$949,$A50,'09월 에너지'!$C$14:$C$949,$B50)))</f>
        <v/>
      </c>
      <c r="CP50" s="835" t="str">
        <f>IF($C50&lt;1,"",(AVERAGEIFS('09월 에너지'!Y$14:Y$949,'09월 에너지'!$A$14:$A$949,$A50,'09월 에너지'!$C$14:$C$949,$B50)))</f>
        <v/>
      </c>
      <c r="CQ50" s="835" t="str">
        <f>IF($C50&lt;1,"",(AVERAGEIFS('09월 에너지'!Z$14:Z$949,'09월 에너지'!$A$14:$A$949,$A50,'09월 에너지'!$C$14:$C$949,$B50)))</f>
        <v/>
      </c>
      <c r="CR50" s="835" t="str">
        <f>IF($C50&lt;1,"",(AVERAGEIFS('09월 에너지'!AA$14:AA$949,'09월 에너지'!$A$14:$A$949,$A50,'09월 에너지'!$C$14:$C$949,$B50)))</f>
        <v/>
      </c>
      <c r="CS50" s="835" t="str">
        <f>IF($C50&lt;1,"",(AVERAGEIFS('09월 에너지'!AB$14:AB$949,'09월 에너지'!$A$14:$A$949,$A50,'09월 에너지'!$C$14:$C$949,$B50)))</f>
        <v/>
      </c>
      <c r="CT50" s="831" t="str">
        <f>IF($C50&lt;1,"",(AVERAGEIFS('09월 에너지'!AC$14:AC$949,'09월 에너지'!$A$14:$A$949,$A50,'09월 에너지'!$C$14:$C$949,$B50)))</f>
        <v/>
      </c>
      <c r="CU50" s="836" t="str">
        <f>IF($C50&lt;1,"",(AVERAGEIFS('09월 에너지'!AD$14:AD$949,'09월 에너지'!$A$14:$A$949,$A50,'09월 에너지'!$C$14:$C$949,$B50)))</f>
        <v/>
      </c>
      <c r="CV50" s="837" t="str">
        <f>IF($C50&lt;1,"",(AVERAGEIFS('09월 에너지'!AE$14:AE$949,'09월 에너지'!$A$14:$A$949,$A50,'09월 에너지'!$C$14:$C$949,$B50)))</f>
        <v/>
      </c>
      <c r="CW50" s="831" t="str">
        <f>IF($C50&lt;1,"",(AVERAGEIFS('09월 에너지'!AF$14:AF$949,'09월 에너지'!$A$14:$A$949,$A50,'09월 에너지'!$C$14:$C$949,$B50)))</f>
        <v/>
      </c>
      <c r="CX50" s="831" t="str">
        <f>IF($C50&lt;1,"",(AVERAGEIFS('09월 에너지'!AG$14:AG$949,'09월 에너지'!$A$14:$A$949,$A50,'09월 에너지'!$C$14:$C$949,$B50)))</f>
        <v/>
      </c>
      <c r="CY50" s="831" t="str">
        <f>IF($C50&lt;1,"",(AVERAGEIFS('09월 에너지'!AH$14:AH$949,'09월 에너지'!$A$14:$A$949,$A50,'09월 에너지'!$C$14:$C$949,$B50)))</f>
        <v/>
      </c>
      <c r="CZ50" s="831" t="str">
        <f>IF($C50&lt;1,"",(AVERAGEIFS('09월 에너지'!AI$14:AI$949,'09월 에너지'!$A$14:$A$949,$A50,'09월 에너지'!$C$14:$C$949,$B50)))</f>
        <v/>
      </c>
      <c r="DA50" s="838" t="str">
        <f>IF($C50&lt;1,"",(AVERAGEIFS('09월 에너지'!AJ$14:AJ$949,'09월 에너지'!$A$14:$A$949,$A50,'09월 에너지'!$C$14:$C$949,$B50)))</f>
        <v/>
      </c>
    </row>
    <row r="51" spans="1:105" ht="13.5" customHeight="1">
      <c r="A51" s="847">
        <f>A46+1</f>
        <v>44936</v>
      </c>
      <c r="B51" s="848" t="s">
        <v>31</v>
      </c>
      <c r="C51" s="810">
        <f>COUNTIF('09월 조업일지'!$A$12:$A$952,A51)</f>
        <v>0</v>
      </c>
      <c r="D51" s="787" t="str">
        <f>IF(C51&lt;1,"",F51-E51)</f>
        <v/>
      </c>
      <c r="E51" s="787" t="str">
        <f>IF($C51&lt;1,"",(SUMIF('09월 조업일지'!$A$12:$A$952,$A51,'09월 조업일지'!$K$12:$K$952))/C51)</f>
        <v/>
      </c>
      <c r="F51" s="787" t="str">
        <f>IF($C51&lt;1,"",AVERAGEIF('09월 조업일지'!$A$12:$A$952,$A51,'09월 조업일지'!$J$12:$J$952))</f>
        <v/>
      </c>
      <c r="G51" s="811" t="str">
        <f>IF($C51&lt;1,"",AVERAGEIF('09월 에너지'!$A$14:$A$949,$A51,'09월 에너지'!$M$14:M$949))</f>
        <v/>
      </c>
      <c r="H51" s="812" t="str">
        <f>IF($C51&lt;1,"",AVERAGEIF('09월 조업일지'!$A$12:$A$952,$A51,'09월 조업일지'!$AJ$12:$AJ$952))</f>
        <v/>
      </c>
      <c r="I51" s="812" t="str">
        <f>IF($C51&lt;1,"",AVERAGEIF('09월 조업일지'!$A$12:$A$952,$A51,'09월 조업일지'!$AL$12:$AL$952))</f>
        <v/>
      </c>
      <c r="J51" s="813" t="str">
        <f>IF($C51&lt;1,"",AVERAGEIF('09월 화학성분'!$A$12:$A$949,$A51,'09월 화학성분'!G$12:G$949))</f>
        <v/>
      </c>
      <c r="K51" s="813" t="str">
        <f>IF($C51&lt;1,"",AVERAGEIF('09월 화학성분'!$A$12:$A$949,$A51,'09월 화학성분'!H$12:H$949))</f>
        <v/>
      </c>
      <c r="L51" s="813" t="str">
        <f>IF($C51&lt;1,"",AVERAGEIF('09월 화학성분'!$A$12:$A$949,$A51,'09월 화학성분'!I$12:I$949))</f>
        <v/>
      </c>
      <c r="M51" s="813" t="str">
        <f>IF($C51&lt;1,"",AVERAGEIF('09월 화학성분'!$A$12:$A$949,$A51,'09월 화학성분'!J$12:J$949))</f>
        <v/>
      </c>
      <c r="N51" s="813" t="str">
        <f>IF($C51&lt;1,"",AVERAGEIF('09월 화학성분'!$A$12:$A$949,$A51,'09월 화학성분'!K$12:K$949))</f>
        <v/>
      </c>
      <c r="O51" s="813" t="str">
        <f>IF($C51&lt;1,"",AVERAGEIF('09월 화학성분'!$A$12:$A$949,$A51,'09월 화학성분'!L$12:L$949))</f>
        <v/>
      </c>
      <c r="P51" s="813" t="str">
        <f>IF($C51&lt;1,"",AVERAGEIF('09월 화학성분'!$A$12:$A$949,$A51,'09월 화학성분'!M$12:M$949))</f>
        <v/>
      </c>
      <c r="Q51" s="814" t="str">
        <f>IF($C51&lt;1,"",AVERAGEIF('09월 조업일지'!$A$12:$A$952,$A51,'09월 조업일지'!$AA$12:$AA$952))</f>
        <v/>
      </c>
      <c r="R51" s="814" t="str">
        <f>IF($C51&lt;1,"",AVERAGEIF('09월 조업일지'!$A$12:$A$952,$A51,'09월 조업일지'!$AK$12:$AK$952))</f>
        <v/>
      </c>
      <c r="S51" s="814"/>
      <c r="T51" s="814"/>
      <c r="U51" s="813" t="str">
        <f>IF($C51&lt;1,"",AVERAGEIF('09월 화학성분'!$A$12:$A$949,$A51,'09월 화학성분'!$G$12:$G$949))</f>
        <v/>
      </c>
      <c r="V51" s="814" t="str">
        <f>IF($C51&lt;1,"",AVERAGEIF('09월 조업일지'!$A$12:$A$952,$A51,'09월 조업일지'!$AI$12:$AI$952))</f>
        <v/>
      </c>
      <c r="W51" s="813" t="str">
        <f>IF($C51&lt;1,"",AVERAGEIF('09월 화학성분'!$A$12:$A$949,$A51,'09월 화학성분'!$AM$12:$AM$949))</f>
        <v/>
      </c>
      <c r="X51" s="815" t="str">
        <f>IF($C51&lt;1,"",AVERAGEIF('09월 화학성분'!$A$12:$A$949,$A51,'09월 화학성분'!N$12:N$949))</f>
        <v/>
      </c>
      <c r="Y51" s="815" t="str">
        <f>IF($C51&lt;1,"",AVERAGEIF('09월 화학성분'!$A$12:$A$949,$A51,'09월 화학성분'!O$12:O$949))</f>
        <v/>
      </c>
      <c r="Z51" s="815" t="str">
        <f>IF($C51&lt;1,"",AVERAGEIF('09월 화학성분'!$A$12:$A$949,$A51,'09월 화학성분'!P$12:P$949))</f>
        <v/>
      </c>
      <c r="AA51" s="815" t="str">
        <f>IF($C51&lt;1,"",AVERAGEIF('09월 화학성분'!$A$12:$A$949,$A51,'09월 화학성분'!Q$12:Q$949))</f>
        <v/>
      </c>
      <c r="AB51" s="815" t="str">
        <f>IF($C51&lt;1,"",AVERAGEIF('09월 화학성분'!$A$12:$A$949,$A51,'09월 화학성분'!R$12:R$949))</f>
        <v/>
      </c>
      <c r="AC51" s="815" t="str">
        <f>IF($C51&lt;1,"",AVERAGEIF('09월 화학성분'!$A$12:$A$949,$A51,'09월 화학성분'!U$12:U$949))</f>
        <v/>
      </c>
      <c r="AD51" s="815" t="str">
        <f>IF($C51&lt;1,"",AVERAGEIF('09월 화학성분'!$A$12:$A$949,$A51,'09월 화학성분'!V$12:V$949))</f>
        <v/>
      </c>
      <c r="AE51" s="815" t="str">
        <f>IF($C51&lt;1,"",AVERAGEIF('09월 화학성분'!$A$12:$A$949,$A51,'09월 화학성분'!W$12:W$949))</f>
        <v/>
      </c>
      <c r="AF51" s="815" t="str">
        <f>IF($C51&lt;1,"",AVERAGEIF('09월 화학성분'!$A$12:$A$949,$A51,'09월 화학성분'!AA$12:AA$949))</f>
        <v/>
      </c>
      <c r="AG51" s="815" t="str">
        <f>IF($C51&lt;1,"",AVERAGEIF('09월 화학성분'!$A$12:$A$949,$A51,'09월 화학성분'!#REF!))</f>
        <v/>
      </c>
      <c r="AH51" s="815" t="str">
        <f>IF($C51&lt;1,"",AVERAGEIF('09월 화학성분'!$A$12:$A$949,$A51,'09월 화학성분'!AB$12:AB$949))</f>
        <v/>
      </c>
      <c r="AI51" s="815" t="str">
        <f>IF($C51&lt;1,"",AVERAGEIF('09월 화학성분'!$A$12:$A$949,$A51,'09월 화학성분'!AC$12:AC$949))</f>
        <v/>
      </c>
      <c r="AJ51" s="815" t="str">
        <f>IF($C51&lt;1,"",AVERAGEIF('09월 화학성분'!$A$12:$A$949,$A51,'09월 화학성분'!AD$12:AD$949))</f>
        <v/>
      </c>
      <c r="AK51" s="815" t="str">
        <f>IF($C51&lt;1,"",AVERAGEIF('09월 화학성분'!$A$12:$A$949,$A51,'09월 화학성분'!AF$12:AF$949))</f>
        <v/>
      </c>
      <c r="AL51" s="815" t="str">
        <f>IF($C51&lt;1,"",AVERAGEIF('09월 화학성분'!$A$12:$A$949,$A51,'09월 화학성분'!AG$12:AG$949))</f>
        <v/>
      </c>
      <c r="AM51" s="815" t="str">
        <f>IF($C51&lt;1,"",AVERAGEIF('09월 화학성분'!$A$12:$A$949,$A51,'09월 화학성분'!AH$12:AH$949))</f>
        <v/>
      </c>
      <c r="AN51" s="815" t="str">
        <f>IF($C51&lt;1,"",AVERAGEIF('09월 화학성분'!$A$12:$A$949,$A51,'09월 화학성분'!AI$12:AI$949))</f>
        <v/>
      </c>
      <c r="AO51" s="815" t="str">
        <f>IF($C51&lt;1,"",AVERAGEIF('09월 화학성분'!$A$12:$A$949,$A51,'09월 화학성분'!AJ$12:AJ$949))</f>
        <v/>
      </c>
      <c r="AP51" s="815" t="str">
        <f>IF($C51&lt;1,"",AVERAGEIF('09월 화학성분'!$A$12:$A$949,$A51,'09월 화학성분'!#REF!))</f>
        <v/>
      </c>
      <c r="AQ51" s="815" t="str">
        <f>IF($C51&lt;1,"",AVERAGEIF('09월 화학성분'!$A$12:$A$949,$A51,'09월 화학성분'!AL$12:AL$949))</f>
        <v/>
      </c>
      <c r="AR51" s="815" t="str">
        <f>IF($C51&lt;1,"",AVERAGEIF('09월 화학성분'!$A$12:$A$949,$A51,'09월 화학성분'!AM$12:AM$949))</f>
        <v/>
      </c>
      <c r="AS51" s="816" t="str">
        <f>IF($C51&lt;1,"",AVERAGEIF('09월 화학성분'!$A$12:$A$949,$A51,'09월 화학성분'!AN$12:AN$949))</f>
        <v/>
      </c>
      <c r="AT51" s="816" t="str">
        <f>IF($C51&lt;1,"",AVERAGEIF('09월 화학성분'!$A$12:$A$949,$A51,'09월 화학성분'!AO$12:AO$949))</f>
        <v/>
      </c>
      <c r="AU51" s="815" t="str">
        <f>IF($C51&lt;1,"",AVERAGEIF('09월 화학성분'!$A$12:$A$949,$A51,'09월 화학성분'!AP$12:AP$949))</f>
        <v/>
      </c>
      <c r="AV51" s="815" t="str">
        <f>IF($C51&lt;1,"",AVERAGEIF('09월 고철장입'!$A$14:$A$949,$A51,'09월 고철장입'!G$14:G$949)/1000)</f>
        <v/>
      </c>
      <c r="AW51" s="815" t="str">
        <f>IF($C51&lt;1,"",AVERAGEIF('09월 고철장입'!$A$14:$A$949,$A51,'09월 고철장입'!H$14:H$949)/1000)</f>
        <v/>
      </c>
      <c r="AX51" s="815" t="str">
        <f>IF($C51&lt;1,"",AVERAGEIF('09월 고철장입'!$A$14:$A$949,$A51,'09월 고철장입'!I$14:I$949)/1000)</f>
        <v/>
      </c>
      <c r="AY51" s="815" t="str">
        <f>IF($C51&lt;1,"",AVERAGEIF('09월 고철장입'!$A$14:$A$949,$A51,'09월 고철장입'!J$14:J$949)/1000)</f>
        <v/>
      </c>
      <c r="AZ51" s="815" t="str">
        <f>IF($C51&lt;1,"",AVERAGEIF('09월 고철장입'!$A$14:$A$949,$A51,'09월 고철장입'!K$14:K$949)/1000)</f>
        <v/>
      </c>
      <c r="BA51" s="815" t="str">
        <f>IF($C51&lt;1,"",AVERAGEIF('09월 고철장입'!$A$14:$A$949,$A51,'09월 고철장입'!L$14:L$949)/1000)</f>
        <v/>
      </c>
      <c r="BB51" s="815" t="str">
        <f>IF($C51&lt;1,"",AVERAGEIF('09월 고철장입'!$A$14:$A$949,$A51,'09월 고철장입'!M$14:M$949)/1000)</f>
        <v/>
      </c>
      <c r="BC51" s="815" t="str">
        <f>IF($C51&lt;1,"",AVERAGEIF('09월 고철장입'!$A$14:$A$949,$A51,'09월 고철장입'!N$14:N$949)/1000)</f>
        <v/>
      </c>
      <c r="BD51" s="815" t="str">
        <f>IF($C51&lt;1,"",AVERAGEIF('09월 고철장입'!$A$14:$A$949,$A51,'09월 고철장입'!O$14:O$949)/1000)</f>
        <v/>
      </c>
      <c r="BE51" s="815" t="str">
        <f>IF($C51&lt;1,"",AVERAGEIF('09월 고철장입'!$A$14:$A$949,$A51,'09월 고철장입'!P$14:P$949)/1000)</f>
        <v/>
      </c>
      <c r="BF51" s="815" t="str">
        <f>IF($C51&lt;1,"",AVERAGEIF('09월 고철장입'!$A$14:$A$949,$A51,'09월 고철장입'!Q$14:Q$949)/1000)</f>
        <v/>
      </c>
      <c r="BG51" s="815" t="str">
        <f>IF($C51&lt;1,"",AVERAGEIF('09월 고철장입'!$A$14:$A$949,$A51,'09월 고철장입'!S$14:S$949)/1000)</f>
        <v/>
      </c>
      <c r="BH51" s="815" t="str">
        <f>IF($C51&lt;1,"",AVERAGEIF('09월 고철장입'!$A$14:$A$949,$A51,'09월 고철장입'!T$14:T$949)/1000)</f>
        <v/>
      </c>
      <c r="BI51" s="815" t="str">
        <f>IF($C51&lt;1,"",AVERAGEIF('09월 고철장입'!$A$14:$A$949,$A51,'09월 고철장입'!U$14:U$949)/1000)</f>
        <v/>
      </c>
      <c r="BJ51" s="815" t="str">
        <f>IF($C51&lt;1,"",AVERAGEIF('09월 고철장입'!$A$14:$A$949,$A51,'09월 고철장입'!V$14:V$949)/1000)</f>
        <v/>
      </c>
      <c r="BK51" s="815" t="str">
        <f>IF($C51&lt;1,"",AVERAGEIF('09월 고철장입'!$A$14:$A$949,$A51,'09월 고철장입'!W$14:W$949)/1000)</f>
        <v/>
      </c>
      <c r="BL51" s="815" t="str">
        <f>IF($C51&lt;1,"",AVERAGEIF('09월 고철장입'!$A$14:$A$949,$A51,'09월 고철장입'!Y$14:Y$949)/1000)</f>
        <v/>
      </c>
      <c r="BM51" s="815" t="str">
        <f>IF($C51&lt;1,"",AVERAGEIF('09월 고철장입'!$A$14:$A$949,$A51,'09월 고철장입'!AB$14:AB$949)/1000)</f>
        <v/>
      </c>
      <c r="BN51" s="815" t="str">
        <f>IF($C51&lt;1,"",AVERAGEIF('09월 고철장입'!$A$14:$A$949,$A51,'09월 고철장입'!AC$14:AC$949)/1000)</f>
        <v/>
      </c>
      <c r="BO51" s="815" t="str">
        <f>IF($C51&lt;1,"",AVERAGEIF('09월 고철장입'!$A$14:$A$949,$A51,'09월 고철장입'!AD$14:AD$949)/1000)</f>
        <v/>
      </c>
      <c r="BP51" s="815" t="str">
        <f>IF($C51&lt;1,"",AVERAGEIF('09월 고철장입'!$A$14:$A$949,$A51,'09월 고철장입'!AE$14:AE$949)/1000)</f>
        <v/>
      </c>
      <c r="BQ51" s="815" t="str">
        <f>IF($C51&lt;1,"",AVERAGEIF('09월 고철장입'!$A$14:$A$949,$A51,'09월 고철장입'!AF$14:AF$949)/1000)</f>
        <v/>
      </c>
      <c r="BR51" s="815" t="str">
        <f>IF($C51&lt;1,"",AVERAGEIF('09월 고철장입'!$A$14:$A$949,$A51,'09월 고철장입'!AG$14:AG$949)/1000)</f>
        <v/>
      </c>
      <c r="BS51" s="815" t="str">
        <f>IF($C51&lt;1,"",AVERAGEIF('09월 고철장입'!$A$14:$A$949,$A51,'09월 고철장입'!AH$14:AH$949)/1000)</f>
        <v/>
      </c>
      <c r="BT51" s="815" t="str">
        <f>IF($C51&lt;1,"",AVERAGEIF('09월 고철장입'!$A$14:$A$949,$A51,'09월 고철장입'!AI$14:AI$949)/1000)</f>
        <v/>
      </c>
      <c r="BU51" s="815" t="str">
        <f>IF($C51&lt;1,"",AVERAGEIF('09월 고철장입'!$A$14:$A$949,$A51,'09월 고철장입'!AJ$14:AJ$949)/1000)</f>
        <v/>
      </c>
      <c r="BV51" s="815" t="str">
        <f>IF($C51&lt;1,"",AVERAGEIF('09월 고철장입'!$A$14:$A$949,$A51,'09월 고철장입'!AK$14:AK$949))</f>
        <v/>
      </c>
      <c r="BW51" s="815" t="str">
        <f>IF($C51&lt;1,"",AVERAGEIF('09월 고철장입'!$A$14:$A$949,$A51,'09월 고철장입'!AL$14:AL$949)*100)</f>
        <v/>
      </c>
      <c r="BX51" s="815" t="str">
        <f>IF($C51&lt;1,"",AVERAGEIF('09월 에너지'!$A$14:$A$949,$A51,'09월 에너지'!G$14:G$949))</f>
        <v/>
      </c>
      <c r="BY51" s="817" t="str">
        <f>IF($C51&lt;1,"",AVERAGEIF('09월 에너지'!$A$14:$A$949,$A51,'09월 에너지'!H$14:H$949))</f>
        <v/>
      </c>
      <c r="BZ51" s="815" t="str">
        <f>IF($C51&lt;1,"",AVERAGEIF('09월 에너지'!$A$14:$A$949,$A51,'09월 에너지'!I$14:I$949))</f>
        <v/>
      </c>
      <c r="CA51" s="817" t="str">
        <f>IF($C51&lt;1,"",AVERAGEIF('09월 에너지'!$A$14:$A$949,$A51,'09월 에너지'!J$14:J$949))</f>
        <v/>
      </c>
      <c r="CB51" s="815" t="str">
        <f>IF($C51&lt;1,"",AVERAGEIF('09월 에너지'!$A$14:$A$949,$A51,'09월 에너지'!K$14:K$949))</f>
        <v/>
      </c>
      <c r="CC51" s="817" t="str">
        <f>IF($C51&lt;1,"",AVERAGEIF('09월 에너지'!$A$14:$A$949,$A51,'09월 에너지'!L$14:L$949))</f>
        <v/>
      </c>
      <c r="CD51" s="815" t="str">
        <f>IF($C51&lt;1,"",AVERAGEIF('09월 에너지'!$A$14:$A$949,$A51,'09월 에너지'!M$14:M$949))</f>
        <v/>
      </c>
      <c r="CE51" s="817" t="str">
        <f>IF($C51&lt;1,"",AVERAGEIF('09월 에너지'!$A$14:$A$949,$A51,'09월 에너지'!N$14:N$949))</f>
        <v/>
      </c>
      <c r="CF51" s="815" t="str">
        <f>IF($C51&lt;1,"",AVERAGEIF('09월 에너지'!$A$14:$A$949,$A51,'09월 에너지'!O$14:O$949))</f>
        <v/>
      </c>
      <c r="CG51" s="815" t="str">
        <f>IF($C51&lt;1,"",AVERAGEIF('09월 에너지'!$A$14:$A$949,$A51,'09월 에너지'!P$14:P$949))</f>
        <v/>
      </c>
      <c r="CH51" s="815" t="str">
        <f>IF($C51&lt;1,"",AVERAGEIF('09월 에너지'!$A$14:$A$949,$A51,'09월 에너지'!Q$14:Q$949))</f>
        <v/>
      </c>
      <c r="CI51" s="815" t="str">
        <f>IF($C51&lt;1,"",AVERAGEIF('09월 에너지'!$A$14:$A$949,$A51,'09월 에너지'!R$14:R$949))</f>
        <v/>
      </c>
      <c r="CJ51" s="815" t="str">
        <f>IF($C51&lt;1,"",AVERAGEIF('09월 에너지'!$A$14:$A$949,$A51,'09월 에너지'!S$14:S$949))</f>
        <v/>
      </c>
      <c r="CK51" s="815" t="str">
        <f>IF($C51&lt;1,"",AVERAGEIF('09월 에너지'!$A$14:$A$949,$A51,'09월 에너지'!T$14:T$949))</f>
        <v/>
      </c>
      <c r="CL51" s="815" t="str">
        <f>IF($C51&lt;1,"",AVERAGEIF('09월 에너지'!$A$14:$A$949,$A51,'09월 에너지'!U$14:U$949))</f>
        <v/>
      </c>
      <c r="CM51" s="817" t="str">
        <f>IF($C51&lt;1,"",AVERAGEIF('09월 에너지'!$A$14:$A$949,$A51,'09월 에너지'!V$14:V$949))</f>
        <v/>
      </c>
      <c r="CN51" s="817" t="str">
        <f>IF($C51&lt;1,"",AVERAGEIF('09월 에너지'!$A$14:$A$949,$A51,'09월 에너지'!W$14:W$949))</f>
        <v/>
      </c>
      <c r="CO51" s="815" t="str">
        <f>IF($C51&lt;1,"",AVERAGEIF('09월 에너지'!$A$14:$A$949,$A51,'09월 에너지'!X$14:X$949))</f>
        <v/>
      </c>
      <c r="CP51" s="817" t="str">
        <f>IF($C51&lt;1,"",AVERAGEIF('09월 에너지'!$A$14:$A$949,$A51,'09월 에너지'!Y$14:Y$949))</f>
        <v/>
      </c>
      <c r="CQ51" s="817" t="str">
        <f>IF($C51&lt;1,"",AVERAGEIF('09월 에너지'!$A$14:$A$949,$A51,'09월 에너지'!Z$14:Z$949))</f>
        <v/>
      </c>
      <c r="CR51" s="817" t="str">
        <f>IF($C51&lt;1,"",AVERAGEIF('09월 에너지'!$A$14:$A$949,$A51,'09월 에너지'!AA$14:AA$949))</f>
        <v/>
      </c>
      <c r="CS51" s="817" t="str">
        <f>IF($C51&lt;1,"",AVERAGEIF('09월 에너지'!$A$14:$A$949,$A51,'09월 에너지'!AB$14:AB$949))</f>
        <v/>
      </c>
      <c r="CT51" s="815" t="str">
        <f>IF($C51&lt;1,"",AVERAGEIF('09월 에너지'!$A$14:$A$949,$A51,'09월 에너지'!AC$14:AC$949))</f>
        <v/>
      </c>
      <c r="CU51" s="818" t="str">
        <f>IF($C51&lt;1,"",AVERAGEIF('09월 에너지'!$A$14:$A$949,$A51,'09월 에너지'!AD$14:AD$949))</f>
        <v/>
      </c>
      <c r="CV51" s="819" t="str">
        <f>IF($C51&lt;1,"",AVERAGEIF('09월 에너지'!$A$14:$A$949,$A51,'09월 에너지'!AE$14:AE$949))</f>
        <v/>
      </c>
      <c r="CW51" s="815" t="str">
        <f>IF($C51&lt;1,"",AVERAGEIF('09월 에너지'!$A$14:$A$949,$A51,'09월 에너지'!AF$14:AF$949))</f>
        <v/>
      </c>
      <c r="CX51" s="815" t="str">
        <f>IF($C51&lt;1,"",AVERAGEIF('09월 에너지'!$A$14:$A$949,$A51,'09월 에너지'!AG$14:AG$949))</f>
        <v/>
      </c>
      <c r="CY51" s="815" t="str">
        <f>IF($C51&lt;1,"",AVERAGEIF('09월 에너지'!$A$14:$A$949,$A51,'09월 에너지'!AH$14:AH$949))</f>
        <v/>
      </c>
      <c r="CZ51" s="815" t="str">
        <f>IF($C51&lt;1,"",AVERAGEIF('09월 에너지'!$A$14:$A$949,$A51,'09월 에너지'!AI$14:AI$949))</f>
        <v/>
      </c>
      <c r="DA51" s="820" t="str">
        <f>IF($C51&lt;1,"",AVERAGEIF('09월 에너지'!$A$14:$A$949,$A51,'09월 에너지'!AJ$14:AJ$949))</f>
        <v/>
      </c>
    </row>
    <row r="52" spans="1:105" ht="13.5" customHeight="1">
      <c r="A52" s="849">
        <f t="shared" si="2"/>
        <v>44936</v>
      </c>
      <c r="B52" s="850" t="s">
        <v>9</v>
      </c>
      <c r="C52" s="823">
        <f>COUNTIFS('09월 조업일지'!$A$12:$A$952,A51,'09월 조업일지'!$E$12:$E$952,B52)</f>
        <v>0</v>
      </c>
      <c r="D52" s="824" t="str">
        <f>IF(C52&lt;1,"",F52-E52)</f>
        <v/>
      </c>
      <c r="E52" s="824" t="str">
        <f>IF($C52&lt;1,"",(SUMIFS('09월 조업일지'!$K$12:$K$952,'09월 조업일지'!$A$12:$A$952,$A52,'09월 조업일지'!$E$12:$E$952,$B52)/$C52))</f>
        <v/>
      </c>
      <c r="F52" s="824" t="str">
        <f>IF($C52&lt;1,"",(AVERAGEIFS('09월 조업일지'!$J$12:$J$952,'09월 조업일지'!$A$12:$A$952,$A52,'09월 조업일지'!$E$12:$E$952,$B52)))</f>
        <v/>
      </c>
      <c r="G52" s="825" t="str">
        <f>IF($C52&lt;1,"",(AVERAGEIFS('09월 에너지'!$M$14:$M$949,'09월 에너지'!$A$14:$A$949,$A52,'09월 에너지'!$C$14:$C$949,$B52)))</f>
        <v/>
      </c>
      <c r="H52" s="826" t="str">
        <f>IF($C52&lt;1,"",(AVERAGEIFS('09월 조업일지'!$AJ$12:$AJ$952,'09월 조업일지'!$A$12:$A$952,$A52,'09월 조업일지'!$E$12:$E$952,$B52)))</f>
        <v/>
      </c>
      <c r="I52" s="826" t="str">
        <f>IF($C52&lt;1,"",(AVERAGEIFS('09월 조업일지'!$AL$12:$AL$952,'09월 조업일지'!$A$12:$A$952,$A52,'09월 조업일지'!$E$12:$E$952,$B52)))</f>
        <v/>
      </c>
      <c r="J52" s="827" t="str">
        <f>IF($C52&lt;1,"",(AVERAGEIFS('09월 화학성분'!G$12:G$949,'09월 화학성분'!$A$12:$A$949,$A52,'09월 화학성분'!$D$12:$D$949,$B52)))</f>
        <v/>
      </c>
      <c r="K52" s="827" t="str">
        <f>IF($C52&lt;1,"",(AVERAGEIFS('09월 화학성분'!H$12:H$949,'09월 화학성분'!$A$12:$A$949,$A52,'09월 화학성분'!$D$12:$D$949,$B52)))</f>
        <v/>
      </c>
      <c r="L52" s="827" t="str">
        <f>IF($C52&lt;1,"",(AVERAGEIFS('09월 화학성분'!I$12:I$949,'09월 화학성분'!$A$12:$A$949,$A52,'09월 화학성분'!$D$12:$D$949,$B52)))</f>
        <v/>
      </c>
      <c r="M52" s="827" t="str">
        <f>IF($C52&lt;1,"",(AVERAGEIFS('09월 화학성분'!J$12:J$949,'09월 화학성분'!$A$12:$A$949,$A52,'09월 화학성분'!$D$12:$D$949,$B52)))</f>
        <v/>
      </c>
      <c r="N52" s="827" t="str">
        <f>IF($C52&lt;1,"",(AVERAGEIFS('09월 화학성분'!K$12:K$949,'09월 화학성분'!$A$12:$A$949,$A52,'09월 화학성분'!$D$12:$D$949,$B52)))</f>
        <v/>
      </c>
      <c r="O52" s="827" t="str">
        <f>IF($C52&lt;1,"",(AVERAGEIFS('09월 화학성분'!L$12:L$949,'09월 화학성분'!$A$12:$A$949,$A52,'09월 화학성분'!$D$12:$D$949,$B52)))</f>
        <v/>
      </c>
      <c r="P52" s="827" t="str">
        <f>IF($C52&lt;1,"",(AVERAGEIFS('09월 화학성분'!M$12:M$949,'09월 화학성분'!$A$12:$A$949,$A52,'09월 화학성분'!$D$12:$D$949,$B52)))</f>
        <v/>
      </c>
      <c r="Q52" s="827" t="str">
        <f>IFERROR(IF($C52&lt;1,"",(AVERAGEIFS('09월 조업일지'!$AA$12:$AA$952,'09월 조업일지'!$A$12:$A$952,$A52,'09월 조업일지'!$E$12:$E$952,$B52))),"")</f>
        <v/>
      </c>
      <c r="R52" s="827" t="str">
        <f>IF($C52&lt;1,"",(AVERAGEIFS('09월 조업일지'!$AK$12:$AK$952,'09월 조업일지'!$A$12:$A$952,$A52,'09월 조업일지'!$E$12:$E$952,$B52)))</f>
        <v/>
      </c>
      <c r="S52" s="827"/>
      <c r="T52" s="827"/>
      <c r="U52" s="827" t="str">
        <f>IF($C52&lt;1,"",(AVERAGEIFS('09월 화학성분'!$G$12:$G$949,'09월 화학성분'!$A$12:$A$949,$A52,'09월 화학성분'!$D$12:$D$949,$B52)))</f>
        <v/>
      </c>
      <c r="V52" s="827" t="str">
        <f>IF($C52&lt;1,"",(AVERAGEIFS('09월 조업일지'!$AI$12:$AI$952,'09월 조업일지'!$A$12:$A$952,$A52,'09월 조업일지'!$E$12:$E$952,$B52)))</f>
        <v/>
      </c>
      <c r="W52" s="828" t="str">
        <f>IF($C52&lt;1,"",(AVERAGEIFS('09월 화학성분'!$AM$12:$AM$949,'09월 화학성분'!$A$12:$A$949,$A52,'09월 화학성분'!$D$12:$D$949,$B52)))</f>
        <v/>
      </c>
      <c r="X52" s="829" t="str">
        <f>IF($C52&lt;1,"",(AVERAGEIFS('09월 화학성분'!N$12:N$949,'09월 화학성분'!$A$12:$A$949,$A52,'09월 화학성분'!$D$12:$D$949,$B52)))</f>
        <v/>
      </c>
      <c r="Y52" s="829" t="str">
        <f>IF($C52&lt;1,"",(AVERAGEIFS('09월 화학성분'!O$12:O$949,'09월 화학성분'!$A$12:$A$949,$A52,'09월 화학성분'!$D$12:$D$949,$B52)))</f>
        <v/>
      </c>
      <c r="Z52" s="829" t="str">
        <f>IF($C52&lt;1,"",(AVERAGEIFS('09월 화학성분'!P$12:P$949,'09월 화학성분'!$A$12:$A$949,$A52,'09월 화학성분'!$D$12:$D$949,$B52)))</f>
        <v/>
      </c>
      <c r="AA52" s="829" t="str">
        <f>IF($C52&lt;1,"",(AVERAGEIFS('09월 화학성분'!Q$12:Q$949,'09월 화학성분'!$A$12:$A$949,$A52,'09월 화학성분'!$D$12:$D$949,$B52)))</f>
        <v/>
      </c>
      <c r="AB52" s="829" t="str">
        <f>IF($C52&lt;1,"",(AVERAGEIFS('09월 화학성분'!R$12:R$949,'09월 화학성분'!$A$12:$A$949,$A52,'09월 화학성분'!$D$12:$D$949,$B52)))</f>
        <v/>
      </c>
      <c r="AC52" s="829" t="str">
        <f>IF($C52&lt;1,"",(AVERAGEIFS('09월 화학성분'!U$12:U$949,'09월 화학성분'!$A$12:$A$949,$A52,'09월 화학성분'!$D$12:$D$949,$B52)))</f>
        <v/>
      </c>
      <c r="AD52" s="829" t="str">
        <f>IF($C52&lt;1,"",(AVERAGEIFS('09월 화학성분'!V$12:V$949,'09월 화학성분'!$A$12:$A$949,$A52,'09월 화학성분'!$D$12:$D$949,$B52)))</f>
        <v/>
      </c>
      <c r="AE52" s="829" t="str">
        <f>IF($C52&lt;1,"",(AVERAGEIFS('09월 화학성분'!W$12:W$949,'09월 화학성분'!$A$12:$A$949,$A52,'09월 화학성분'!$D$12:$D$949,$B52)))</f>
        <v/>
      </c>
      <c r="AF52" s="829" t="str">
        <f>IF($C52&lt;1,"",(AVERAGEIFS('09월 화학성분'!AA$12:AA$949,'09월 화학성분'!$A$12:$A$949,$A52,'09월 화학성분'!$D$12:$D$949,$B52)))</f>
        <v/>
      </c>
      <c r="AG52" s="829" t="str">
        <f>IF($C52&lt;1,"",(AVERAGEIFS('09월 화학성분'!#REF!,'09월 화학성분'!$A$12:$A$949,$A52,'09월 화학성분'!$D$12:$D$949,$B52)))</f>
        <v/>
      </c>
      <c r="AH52" s="829" t="str">
        <f>IF($C52&lt;1,"",(AVERAGEIFS('09월 화학성분'!AB$12:AB$949,'09월 화학성분'!$A$12:$A$949,$A52,'09월 화학성분'!$D$12:$D$949,$B52)))</f>
        <v/>
      </c>
      <c r="AI52" s="829" t="str">
        <f>IF($C52&lt;1,"",(AVERAGEIFS('09월 화학성분'!AC$12:AC$949,'09월 화학성분'!$A$12:$A$949,$A52,'09월 화학성분'!$D$12:$D$949,$B52)))</f>
        <v/>
      </c>
      <c r="AJ52" s="829" t="str">
        <f>IF($C52&lt;1,"",(AVERAGEIFS('09월 화학성분'!AD$12:AD$949,'09월 화학성분'!$A$12:$A$949,$A52,'09월 화학성분'!$D$12:$D$949,$B52)))</f>
        <v/>
      </c>
      <c r="AK52" s="829" t="str">
        <f>IF($C52&lt;1,"",(AVERAGEIFS('09월 화학성분'!AF$12:AF$949,'09월 화학성분'!$A$12:$A$949,$A52,'09월 화학성분'!$D$12:$D$949,$B52)))</f>
        <v/>
      </c>
      <c r="AL52" s="829" t="str">
        <f>IF($C52&lt;1,"",(AVERAGEIFS('09월 화학성분'!AG$12:AG$949,'09월 화학성분'!$A$12:$A$949,$A52,'09월 화학성분'!$D$12:$D$949,$B52)))</f>
        <v/>
      </c>
      <c r="AM52" s="829" t="str">
        <f>IF($C52&lt;1,"",(AVERAGEIFS('09월 화학성분'!AH$12:AH$949,'09월 화학성분'!$A$12:$A$949,$A52,'09월 화학성분'!$D$12:$D$949,$B52)))</f>
        <v/>
      </c>
      <c r="AN52" s="829" t="str">
        <f>IF($C52&lt;1,"",(AVERAGEIFS('09월 화학성분'!AI$12:AI$949,'09월 화학성분'!$A$12:$A$949,$A52,'09월 화학성분'!$D$12:$D$949,$B52)))</f>
        <v/>
      </c>
      <c r="AO52" s="829" t="str">
        <f>IF($C52&lt;1,"",(AVERAGEIFS('09월 화학성분'!AJ$12:AJ$949,'09월 화학성분'!$A$12:$A$949,$A52,'09월 화학성분'!$D$12:$D$949,$B52)))</f>
        <v/>
      </c>
      <c r="AP52" s="829" t="str">
        <f>IF($C52&lt;1,"",(AVERAGEIFS('09월 화학성분'!#REF!,'09월 화학성분'!$A$12:$A$949,$A52,'09월 화학성분'!$D$12:$D$949,$B52)))</f>
        <v/>
      </c>
      <c r="AQ52" s="829" t="str">
        <f>IF($C52&lt;1,"",(AVERAGEIFS('09월 화학성분'!AL$12:AL$949,'09월 화학성분'!$A$12:$A$949,$A52,'09월 화학성분'!$D$12:$D$949,$B52)))</f>
        <v/>
      </c>
      <c r="AR52" s="829" t="str">
        <f>IF($C52&lt;1,"",(AVERAGEIFS('09월 화학성분'!AM$12:AM$949,'09월 화학성분'!$A$12:$A$949,$A52,'09월 화학성분'!$D$12:$D$949,$B52)))</f>
        <v/>
      </c>
      <c r="AS52" s="830" t="str">
        <f>IF($C52&lt;1,"",(AVERAGEIFS('09월 화학성분'!AN$12:AN$949,'09월 화학성분'!$A$12:$A$949,$A52,'09월 화학성분'!$D$12:$D$949,$B52)))</f>
        <v/>
      </c>
      <c r="AT52" s="830" t="str">
        <f>IF($C52&lt;1,"",(AVERAGEIFS('09월 화학성분'!AO$12:AO$949,'09월 화학성분'!$A$12:$A$949,$A52,'09월 화학성분'!$D$12:$D$949,$B52)))</f>
        <v/>
      </c>
      <c r="AU52" s="831" t="str">
        <f>IF($C52&lt;1,"",(AVERAGEIFS('09월 화학성분'!AP$12:AP$949,'09월 화학성분'!$A$12:$A$949,$A52,'09월 화학성분'!$D$12:$D$949,$B52)))</f>
        <v/>
      </c>
      <c r="AV52" s="832" t="str">
        <f>IF($C52&lt;1,"",(AVERAGEIFS('09월 고철장입'!G$14:G$949,'09월 고철장입'!$A$14:$A$949,$A52,'09월 고철장입'!$C$14:$C$949,$B52))/1000)</f>
        <v/>
      </c>
      <c r="AW52" s="832" t="str">
        <f>IF($C52&lt;1,"",(AVERAGEIFS('09월 고철장입'!H$14:H$949,'09월 고철장입'!$A$14:$A$949,$A52,'09월 고철장입'!$C$14:$C$949,$B52))/1000)</f>
        <v/>
      </c>
      <c r="AX52" s="832" t="str">
        <f>IF($C52&lt;1,"",(AVERAGEIFS('09월 고철장입'!I$14:I$949,'09월 고철장입'!$A$14:$A$949,$A52,'09월 고철장입'!$C$14:$C$949,$B52))/1000)</f>
        <v/>
      </c>
      <c r="AY52" s="832" t="str">
        <f>IF($C52&lt;1,"",(AVERAGEIFS('09월 고철장입'!J$14:J$949,'09월 고철장입'!$A$14:$A$949,$A52,'09월 고철장입'!$C$14:$C$949,$B52))/1000)</f>
        <v/>
      </c>
      <c r="AZ52" s="832" t="str">
        <f>IF($C52&lt;1,"",(AVERAGEIFS('09월 고철장입'!K$14:K$949,'09월 고철장입'!$A$14:$A$949,$A52,'09월 고철장입'!$C$14:$C$949,$B52))/1000)</f>
        <v/>
      </c>
      <c r="BA52" s="832" t="str">
        <f>IF($C52&lt;1,"",(AVERAGEIFS('09월 고철장입'!L$14:L$949,'09월 고철장입'!$A$14:$A$949,$A52,'09월 고철장입'!$C$14:$C$949,$B52))/1000)</f>
        <v/>
      </c>
      <c r="BB52" s="832" t="str">
        <f>IF($C52&lt;1,"",(AVERAGEIFS('09월 고철장입'!M$14:M$949,'09월 고철장입'!$A$14:$A$949,$A52,'09월 고철장입'!$C$14:$C$949,$B52))/1000)</f>
        <v/>
      </c>
      <c r="BC52" s="832" t="str">
        <f>IF($C52&lt;1,"",(AVERAGEIFS('09월 고철장입'!N$14:N$949,'09월 고철장입'!$A$14:$A$949,$A52,'09월 고철장입'!$C$14:$C$949,$B52))/1000)</f>
        <v/>
      </c>
      <c r="BD52" s="832" t="str">
        <f>IF($C52&lt;1,"",(AVERAGEIFS('09월 고철장입'!O$14:O$949,'09월 고철장입'!$A$14:$A$949,$A52,'09월 고철장입'!$C$14:$C$949,$B52))/1000)</f>
        <v/>
      </c>
      <c r="BE52" s="833" t="str">
        <f>IF($C52&lt;1,"",(AVERAGEIFS('09월 고철장입'!P$14:P$949,'09월 고철장입'!$A$14:$A$949,$A52,'09월 고철장입'!$C$14:$C$949,$B52))/1000)</f>
        <v/>
      </c>
      <c r="BF52" s="833" t="str">
        <f>IF($C52&lt;1,"",(AVERAGEIFS('09월 고철장입'!Q$14:Q$949,'09월 고철장입'!$A$14:$A$949,$A52,'09월 고철장입'!$C$14:$C$949,$B52))/1000)</f>
        <v/>
      </c>
      <c r="BG52" s="833" t="str">
        <f>IF($C52&lt;1,"",(AVERAGEIFS('09월 고철장입'!S$14:S$949,'09월 고철장입'!$A$14:$A$949,$A52,'09월 고철장입'!$C$14:$C$949,$B52))/1000)</f>
        <v/>
      </c>
      <c r="BH52" s="833" t="str">
        <f>IF($C52&lt;1,"",(AVERAGEIFS('09월 고철장입'!T$14:T$949,'09월 고철장입'!$A$14:$A$949,$A52,'09월 고철장입'!$C$14:$C$949,$B52))/1000)</f>
        <v/>
      </c>
      <c r="BI52" s="833" t="str">
        <f>IF($C52&lt;1,"",(AVERAGEIFS('09월 고철장입'!U$14:U$949,'09월 고철장입'!$A$14:$A$949,$A52,'09월 고철장입'!$C$14:$C$949,$B52))/1000)</f>
        <v/>
      </c>
      <c r="BJ52" s="833" t="str">
        <f>IF($C52&lt;1,"",(AVERAGEIFS('09월 고철장입'!V$14:V$949,'09월 고철장입'!$A$14:$A$949,$A52,'09월 고철장입'!$C$14:$C$949,$B52))/1000)</f>
        <v/>
      </c>
      <c r="BK52" s="833" t="str">
        <f>IF($C52&lt;1,"",(AVERAGEIFS('09월 고철장입'!W$14:W$949,'09월 고철장입'!$A$14:$A$949,$A52,'09월 고철장입'!$C$14:$C$949,$B52))/1000)</f>
        <v/>
      </c>
      <c r="BL52" s="833" t="str">
        <f>IF($C52&lt;1,"",(AVERAGEIFS('09월 고철장입'!Y$14:Y$949,'09월 고철장입'!$A$14:$A$949,$A52,'09월 고철장입'!$C$14:$C$949,$B52))/1000)</f>
        <v/>
      </c>
      <c r="BM52" s="833" t="str">
        <f>IF($C52&lt;1,"",(AVERAGEIFS('09월 고철장입'!AB$14:AB$949,'09월 고철장입'!$A$14:$A$949,$A52,'09월 고철장입'!$C$14:$C$949,$B52))/1000)</f>
        <v/>
      </c>
      <c r="BN52" s="833" t="str">
        <f>IF($C52&lt;1,"",(AVERAGEIFS('09월 고철장입'!AC$14:AC$949,'09월 고철장입'!$A$14:$A$949,$A52,'09월 고철장입'!$C$14:$C$949,$B52))/1000)</f>
        <v/>
      </c>
      <c r="BO52" s="833" t="str">
        <f>IF($C52&lt;1,"",(AVERAGEIFS('09월 고철장입'!AD$14:AD$949,'09월 고철장입'!$A$14:$A$949,$A52,'09월 고철장입'!$C$14:$C$949,$B52))/1000)</f>
        <v/>
      </c>
      <c r="BP52" s="833" t="str">
        <f>IF($C52&lt;1,"",(AVERAGEIFS('09월 고철장입'!AE$14:AE$949,'09월 고철장입'!$A$14:$A$949,$A52,'09월 고철장입'!$C$14:$C$949,$B52))/1000)</f>
        <v/>
      </c>
      <c r="BQ52" s="832" t="str">
        <f>IF($C52&lt;1,"",(AVERAGEIFS('09월 고철장입'!AF$14:AF$949,'09월 고철장입'!$A$14:$A$949,$A52,'09월 고철장입'!$C$14:$C$949,$B52))/1000)</f>
        <v/>
      </c>
      <c r="BR52" s="832" t="str">
        <f>IF($C52&lt;1,"",(AVERAGEIFS('09월 고철장입'!AG$14:AG$949,'09월 고철장입'!$A$14:$A$949,$A52,'09월 고철장입'!$C$14:$C$949,$B52))/1000)</f>
        <v/>
      </c>
      <c r="BS52" s="832" t="str">
        <f>IF($C52&lt;1,"",(AVERAGEIFS('09월 고철장입'!AH$14:AH$949,'09월 고철장입'!$A$14:$A$949,$A52,'09월 고철장입'!$C$14:$C$949,$B52))/1000)</f>
        <v/>
      </c>
      <c r="BT52" s="832" t="str">
        <f>IF($C52&lt;1,"",(AVERAGEIFS('09월 고철장입'!AI$14:AI$949,'09월 고철장입'!$A$14:$A$949,$A52,'09월 고철장입'!$C$14:$C$949,$B52))/1000)</f>
        <v/>
      </c>
      <c r="BU52" s="834" t="str">
        <f>IF($C52&lt;1,"",(AVERAGEIFS('09월 고철장입'!AJ$14:AJ$949,'09월 고철장입'!$A$14:$A$949,$A52,'09월 고철장입'!$C$14:$C$949,$B52))/1000)</f>
        <v/>
      </c>
      <c r="BV52" s="834" t="str">
        <f>IF($C52&lt;1,"",(AVERAGEIFS('09월 고철장입'!AK$14:AK$949,'09월 고철장입'!$A$14:$A$949,$A52,'09월 고철장입'!$C$14:$C$949,$B52)))</f>
        <v/>
      </c>
      <c r="BW52" s="834" t="str">
        <f>IF($C52&lt;1,"",(AVERAGEIFS('09월 고철장입'!AL$14:AL$949,'09월 고철장입'!$A$14:$A$949,$A52,'09월 고철장입'!$C$14:$C$949,$B52))*100)</f>
        <v/>
      </c>
      <c r="BX52" s="831" t="str">
        <f>IF($C52&lt;1,"",(AVERAGEIFS('09월 에너지'!G$14:G$949,'09월 에너지'!$A$14:$A$949,$A52,'09월 에너지'!$C$14:$C$949,$B52)))</f>
        <v/>
      </c>
      <c r="BY52" s="835" t="str">
        <f>IF($C52&lt;1,"",(AVERAGEIFS('09월 에너지'!H$14:H$949,'09월 에너지'!$A$14:$A$949,$A52,'09월 에너지'!$C$14:$C$949,$B52)))</f>
        <v/>
      </c>
      <c r="BZ52" s="831" t="str">
        <f>IF($C52&lt;1,"",(AVERAGEIFS('09월 에너지'!I$14:I$949,'09월 에너지'!$A$14:$A$949,$A52,'09월 에너지'!$C$14:$C$949,$B52)))</f>
        <v/>
      </c>
      <c r="CA52" s="835" t="str">
        <f>IF($C52&lt;1,"",(AVERAGEIFS('09월 에너지'!J$14:J$949,'09월 에너지'!$A$14:$A$949,$A52,'09월 에너지'!$C$14:$C$949,$B52)))</f>
        <v/>
      </c>
      <c r="CB52" s="831" t="str">
        <f>IF($C52&lt;1,"",(AVERAGEIFS('09월 에너지'!K$14:K$949,'09월 에너지'!$A$14:$A$949,$A52,'09월 에너지'!$C$14:$C$949,$B52)))</f>
        <v/>
      </c>
      <c r="CC52" s="835" t="str">
        <f>IF($C52&lt;1,"",(AVERAGEIFS('09월 에너지'!L$14:L$949,'09월 에너지'!$A$14:$A$949,$A52,'09월 에너지'!$C$14:$C$949,$B52)))</f>
        <v/>
      </c>
      <c r="CD52" s="831" t="str">
        <f>IF($C52&lt;1,"",(AVERAGEIFS('09월 에너지'!M$14:M$949,'09월 에너지'!$A$14:$A$949,$A52,'09월 에너지'!$C$14:$C$949,$B52)))</f>
        <v/>
      </c>
      <c r="CE52" s="835" t="str">
        <f>IF($C52&lt;1,"",(AVERAGEIFS('09월 에너지'!N$14:N$949,'09월 에너지'!$A$14:$A$949,$A52,'09월 에너지'!$C$14:$C$949,$B52)))</f>
        <v/>
      </c>
      <c r="CF52" s="831" t="str">
        <f>IF($C52&lt;1,"",(AVERAGEIFS('09월 에너지'!O$14:O$949,'09월 에너지'!$A$14:$A$949,$A52,'09월 에너지'!$C$14:$C$949,$B52)))</f>
        <v/>
      </c>
      <c r="CG52" s="831" t="str">
        <f>IF($C52&lt;1,"",(AVERAGEIFS('09월 에너지'!P$14:P$949,'09월 에너지'!$A$14:$A$949,$A52,'09월 에너지'!$C$14:$C$949,$B52)))</f>
        <v/>
      </c>
      <c r="CH52" s="831" t="str">
        <f>IF($C52&lt;1,"",(AVERAGEIFS('09월 에너지'!Q$14:Q$949,'09월 에너지'!$A$14:$A$949,$A52,'09월 에너지'!$C$14:$C$949,$B52)))</f>
        <v/>
      </c>
      <c r="CI52" s="831" t="str">
        <f>IF($C52&lt;1,"",(AVERAGEIFS('09월 에너지'!R$14:R$949,'09월 에너지'!$A$14:$A$949,$A52,'09월 에너지'!$C$14:$C$949,$B52)))</f>
        <v/>
      </c>
      <c r="CJ52" s="831" t="str">
        <f>IF($C52&lt;1,"",(AVERAGEIFS('09월 에너지'!S$14:S$949,'09월 에너지'!$A$14:$A$949,$A52,'09월 에너지'!$C$14:$C$949,$B52)))</f>
        <v/>
      </c>
      <c r="CK52" s="831" t="str">
        <f>IF($C52&lt;1,"",(AVERAGEIFS('09월 에너지'!T$14:T$949,'09월 에너지'!$A$14:$A$949,$A52,'09월 에너지'!$C$14:$C$949,$B52)))</f>
        <v/>
      </c>
      <c r="CL52" s="831" t="str">
        <f>IF($C52&lt;1,"",(AVERAGEIFS('09월 에너지'!U$14:U$949,'09월 에너지'!$A$14:$A$949,$A52,'09월 에너지'!$C$14:$C$949,$B52)))</f>
        <v/>
      </c>
      <c r="CM52" s="835" t="str">
        <f>IF($C52&lt;1,"",(AVERAGEIFS('09월 에너지'!V$14:V$949,'09월 에너지'!$A$14:$A$949,$A52,'09월 에너지'!$C$14:$C$949,$B52)))</f>
        <v/>
      </c>
      <c r="CN52" s="835" t="str">
        <f>IF($C52&lt;1,"",(AVERAGEIFS('09월 에너지'!W$14:W$949,'09월 에너지'!$A$14:$A$949,$A52,'09월 에너지'!$C$14:$C$949,$B52)))</f>
        <v/>
      </c>
      <c r="CO52" s="831" t="str">
        <f>IF($C52&lt;1,"",(AVERAGEIFS('09월 에너지'!X$14:X$949,'09월 에너지'!$A$14:$A$949,$A52,'09월 에너지'!$C$14:$C$949,$B52)))</f>
        <v/>
      </c>
      <c r="CP52" s="835" t="str">
        <f>IF($C52&lt;1,"",(AVERAGEIFS('09월 에너지'!Y$14:Y$949,'09월 에너지'!$A$14:$A$949,$A52,'09월 에너지'!$C$14:$C$949,$B52)))</f>
        <v/>
      </c>
      <c r="CQ52" s="835" t="str">
        <f>IF($C52&lt;1,"",(AVERAGEIFS('09월 에너지'!Z$14:Z$949,'09월 에너지'!$A$14:$A$949,$A52,'09월 에너지'!$C$14:$C$949,$B52)))</f>
        <v/>
      </c>
      <c r="CR52" s="835" t="str">
        <f>IF($C52&lt;1,"",(AVERAGEIFS('09월 에너지'!AA$14:AA$949,'09월 에너지'!$A$14:$A$949,$A52,'09월 에너지'!$C$14:$C$949,$B52)))</f>
        <v/>
      </c>
      <c r="CS52" s="835" t="str">
        <f>IF($C52&lt;1,"",(AVERAGEIFS('09월 에너지'!AB$14:AB$949,'09월 에너지'!$A$14:$A$949,$A52,'09월 에너지'!$C$14:$C$949,$B52)))</f>
        <v/>
      </c>
      <c r="CT52" s="831" t="str">
        <f>IF($C52&lt;1,"",(AVERAGEIFS('09월 에너지'!AC$14:AC$949,'09월 에너지'!$A$14:$A$949,$A52,'09월 에너지'!$C$14:$C$949,$B52)))</f>
        <v/>
      </c>
      <c r="CU52" s="836" t="str">
        <f>IF($C52&lt;1,"",(AVERAGEIFS('09월 에너지'!AD$14:AD$949,'09월 에너지'!$A$14:$A$949,$A52,'09월 에너지'!$C$14:$C$949,$B52)))</f>
        <v/>
      </c>
      <c r="CV52" s="837" t="str">
        <f>IF($C52&lt;1,"",(AVERAGEIFS('09월 에너지'!AE$14:AE$949,'09월 에너지'!$A$14:$A$949,$A52,'09월 에너지'!$C$14:$C$949,$B52)))</f>
        <v/>
      </c>
      <c r="CW52" s="831" t="str">
        <f>IF($C52&lt;1,"",(AVERAGEIFS('09월 에너지'!AF$14:AF$949,'09월 에너지'!$A$14:$A$949,$A52,'09월 에너지'!$C$14:$C$949,$B52)))</f>
        <v/>
      </c>
      <c r="CX52" s="831" t="str">
        <f>IF($C52&lt;1,"",(AVERAGEIFS('09월 에너지'!AG$14:AG$949,'09월 에너지'!$A$14:$A$949,$A52,'09월 에너지'!$C$14:$C$949,$B52)))</f>
        <v/>
      </c>
      <c r="CY52" s="831" t="str">
        <f>IF($C52&lt;1,"",(AVERAGEIFS('09월 에너지'!AH$14:AH$949,'09월 에너지'!$A$14:$A$949,$A52,'09월 에너지'!$C$14:$C$949,$B52)))</f>
        <v/>
      </c>
      <c r="CZ52" s="831" t="str">
        <f>IF($C52&lt;1,"",(AVERAGEIFS('09월 에너지'!AI$14:AI$949,'09월 에너지'!$A$14:$A$949,$A52,'09월 에너지'!$C$14:$C$949,$B52)))</f>
        <v/>
      </c>
      <c r="DA52" s="838" t="str">
        <f>IF($C52&lt;1,"",(AVERAGEIFS('09월 에너지'!AJ$14:AJ$949,'09월 에너지'!$A$14:$A$949,$A52,'09월 에너지'!$C$14:$C$949,$B52)))</f>
        <v/>
      </c>
    </row>
    <row r="53" spans="1:105" ht="13.5" customHeight="1">
      <c r="A53" s="849">
        <f t="shared" si="2"/>
        <v>44936</v>
      </c>
      <c r="B53" s="850" t="s">
        <v>100</v>
      </c>
      <c r="C53" s="823">
        <f>COUNTIFS('09월 조업일지'!$A$12:$A$952,A51,'09월 조업일지'!$E$12:$E$952,B53)</f>
        <v>0</v>
      </c>
      <c r="D53" s="824" t="str">
        <f t="shared" ref="D53:D55" si="11">IF(C53&lt;1,"",F53-E53)</f>
        <v/>
      </c>
      <c r="E53" s="824" t="str">
        <f>IF($C53&lt;1,"",(SUMIFS('09월 조업일지'!$K$12:$K$952,'09월 조업일지'!$A$12:$A$952,$A53,'09월 조업일지'!$E$12:$E$952,$B53)/$C53))</f>
        <v/>
      </c>
      <c r="F53" s="824" t="str">
        <f>IF($C53&lt;1,"",(AVERAGEIFS('09월 조업일지'!$J$12:$J$952,'09월 조업일지'!$A$12:$A$952,$A53,'09월 조업일지'!$E$12:$E$952,$B53)))</f>
        <v/>
      </c>
      <c r="G53" s="825" t="str">
        <f>IF($C53&lt;1,"",(AVERAGEIFS('09월 에너지'!$M$14:$M$949,'09월 에너지'!$A$14:$A$949,$A53,'09월 에너지'!$C$14:$C$949,$B53)))</f>
        <v/>
      </c>
      <c r="H53" s="826" t="str">
        <f>IF($C53&lt;1,"",(AVERAGEIFS('09월 조업일지'!$AJ$12:$AJ$952,'09월 조업일지'!$A$12:$A$952,$A53,'09월 조업일지'!$E$12:$E$952,$B53)))</f>
        <v/>
      </c>
      <c r="I53" s="826" t="str">
        <f>IF($C53&lt;1,"",(AVERAGEIFS('09월 조업일지'!$AL$12:$AL$952,'09월 조업일지'!$A$12:$A$952,$A53,'09월 조업일지'!$E$12:$E$952,$B53)))</f>
        <v/>
      </c>
      <c r="J53" s="827" t="str">
        <f>IF($C53&lt;1,"",(AVERAGEIFS('09월 화학성분'!G$12:G$949,'09월 화학성분'!$A$12:$A$949,$A53,'09월 화학성분'!$D$12:$D$949,$B53)))</f>
        <v/>
      </c>
      <c r="K53" s="827" t="str">
        <f>IF($C53&lt;1,"",(AVERAGEIFS('09월 화학성분'!H$12:H$949,'09월 화학성분'!$A$12:$A$949,$A53,'09월 화학성분'!$D$12:$D$949,$B53)))</f>
        <v/>
      </c>
      <c r="L53" s="827" t="str">
        <f>IF($C53&lt;1,"",(AVERAGEIFS('09월 화학성분'!I$12:I$949,'09월 화학성분'!$A$12:$A$949,$A53,'09월 화학성분'!$D$12:$D$949,$B53)))</f>
        <v/>
      </c>
      <c r="M53" s="827" t="str">
        <f>IF($C53&lt;1,"",(AVERAGEIFS('09월 화학성분'!J$12:J$949,'09월 화학성분'!$A$12:$A$949,$A53,'09월 화학성분'!$D$12:$D$949,$B53)))</f>
        <v/>
      </c>
      <c r="N53" s="827" t="str">
        <f>IF($C53&lt;1,"",(AVERAGEIFS('09월 화학성분'!K$12:K$949,'09월 화학성분'!$A$12:$A$949,$A53,'09월 화학성분'!$D$12:$D$949,$B53)))</f>
        <v/>
      </c>
      <c r="O53" s="827" t="str">
        <f>IF($C53&lt;1,"",(AVERAGEIFS('09월 화학성분'!L$12:L$949,'09월 화학성분'!$A$12:$A$949,$A53,'09월 화학성분'!$D$12:$D$949,$B53)))</f>
        <v/>
      </c>
      <c r="P53" s="827" t="str">
        <f>IF($C53&lt;1,"",(AVERAGEIFS('09월 화학성분'!M$12:M$949,'09월 화학성분'!$A$12:$A$949,$A53,'09월 화학성분'!$D$12:$D$949,$B53)))</f>
        <v/>
      </c>
      <c r="Q53" s="827" t="str">
        <f>IFERROR(IF($C53&lt;1,"",(AVERAGEIFS('09월 조업일지'!$AA$12:$AA$952,'09월 조업일지'!$A$12:$A$952,$A53,'09월 조업일지'!$E$12:$E$952,$B53))),"")</f>
        <v/>
      </c>
      <c r="R53" s="827" t="str">
        <f>IF($C53&lt;1,"",(AVERAGEIFS('09월 조업일지'!$AK$12:$AK$952,'09월 조업일지'!$A$12:$A$952,$A53,'09월 조업일지'!$E$12:$E$952,$B53)))</f>
        <v/>
      </c>
      <c r="S53" s="827"/>
      <c r="T53" s="827"/>
      <c r="U53" s="827" t="str">
        <f>IF($C53&lt;1,"",(AVERAGEIFS('09월 화학성분'!$G$12:$G$949,'09월 화학성분'!$A$12:$A$949,$A53,'09월 화학성분'!$D$12:$D$949,$B53)))</f>
        <v/>
      </c>
      <c r="V53" s="827" t="str">
        <f>IF($C53&lt;1,"",(AVERAGEIFS('09월 조업일지'!$AI$12:$AI$952,'09월 조업일지'!$A$12:$A$952,$A53,'09월 조업일지'!$E$12:$E$952,$B53)))</f>
        <v/>
      </c>
      <c r="W53" s="828" t="str">
        <f>IF($C53&lt;1,"",(AVERAGEIFS('09월 화학성분'!$AM$12:$AM$949,'09월 화학성분'!$A$12:$A$949,$A53,'09월 화학성분'!$D$12:$D$949,$B53)))</f>
        <v/>
      </c>
      <c r="X53" s="829" t="str">
        <f>IF($C53&lt;1,"",(AVERAGEIFS('09월 화학성분'!N$12:N$949,'09월 화학성분'!$A$12:$A$949,$A53,'09월 화학성분'!$D$12:$D$949,$B53)))</f>
        <v/>
      </c>
      <c r="Y53" s="829" t="str">
        <f>IF($C53&lt;1,"",(AVERAGEIFS('09월 화학성분'!O$12:O$949,'09월 화학성분'!$A$12:$A$949,$A53,'09월 화학성분'!$D$12:$D$949,$B53)))</f>
        <v/>
      </c>
      <c r="Z53" s="829" t="str">
        <f>IF($C53&lt;1,"",(AVERAGEIFS('09월 화학성분'!P$12:P$949,'09월 화학성분'!$A$12:$A$949,$A53,'09월 화학성분'!$D$12:$D$949,$B53)))</f>
        <v/>
      </c>
      <c r="AA53" s="829" t="str">
        <f>IF($C53&lt;1,"",(AVERAGEIFS('09월 화학성분'!Q$12:Q$949,'09월 화학성분'!$A$12:$A$949,$A53,'09월 화학성분'!$D$12:$D$949,$B53)))</f>
        <v/>
      </c>
      <c r="AB53" s="829" t="str">
        <f>IF($C53&lt;1,"",(AVERAGEIFS('09월 화학성분'!R$12:R$949,'09월 화학성분'!$A$12:$A$949,$A53,'09월 화학성분'!$D$12:$D$949,$B53)))</f>
        <v/>
      </c>
      <c r="AC53" s="829" t="str">
        <f>IF($C53&lt;1,"",(AVERAGEIFS('09월 화학성분'!U$12:U$949,'09월 화학성분'!$A$12:$A$949,$A53,'09월 화학성분'!$D$12:$D$949,$B53)))</f>
        <v/>
      </c>
      <c r="AD53" s="829" t="str">
        <f>IF($C53&lt;1,"",(AVERAGEIFS('09월 화학성분'!V$12:V$949,'09월 화학성분'!$A$12:$A$949,$A53,'09월 화학성분'!$D$12:$D$949,$B53)))</f>
        <v/>
      </c>
      <c r="AE53" s="829" t="str">
        <f>IF($C53&lt;1,"",(AVERAGEIFS('09월 화학성분'!W$12:W$949,'09월 화학성분'!$A$12:$A$949,$A53,'09월 화학성분'!$D$12:$D$949,$B53)))</f>
        <v/>
      </c>
      <c r="AF53" s="829" t="str">
        <f>IF($C53&lt;1,"",(AVERAGEIFS('09월 화학성분'!AA$12:AA$949,'09월 화학성분'!$A$12:$A$949,$A53,'09월 화학성분'!$D$12:$D$949,$B53)))</f>
        <v/>
      </c>
      <c r="AG53" s="829" t="str">
        <f>IF($C53&lt;1,"",(AVERAGEIFS('09월 화학성분'!#REF!,'09월 화학성분'!$A$12:$A$949,$A53,'09월 화학성분'!$D$12:$D$949,$B53)))</f>
        <v/>
      </c>
      <c r="AH53" s="829" t="str">
        <f>IF($C53&lt;1,"",(AVERAGEIFS('09월 화학성분'!AB$12:AB$949,'09월 화학성분'!$A$12:$A$949,$A53,'09월 화학성분'!$D$12:$D$949,$B53)))</f>
        <v/>
      </c>
      <c r="AI53" s="829" t="str">
        <f>IF($C53&lt;1,"",(AVERAGEIFS('09월 화학성분'!AC$12:AC$949,'09월 화학성분'!$A$12:$A$949,$A53,'09월 화학성분'!$D$12:$D$949,$B53)))</f>
        <v/>
      </c>
      <c r="AJ53" s="829" t="str">
        <f>IF($C53&lt;1,"",(AVERAGEIFS('09월 화학성분'!AD$12:AD$949,'09월 화학성분'!$A$12:$A$949,$A53,'09월 화학성분'!$D$12:$D$949,$B53)))</f>
        <v/>
      </c>
      <c r="AK53" s="829" t="str">
        <f>IF($C53&lt;1,"",(AVERAGEIFS('09월 화학성분'!AF$12:AF$949,'09월 화학성분'!$A$12:$A$949,$A53,'09월 화학성분'!$D$12:$D$949,$B53)))</f>
        <v/>
      </c>
      <c r="AL53" s="829" t="str">
        <f>IF($C53&lt;1,"",(AVERAGEIFS('09월 화학성분'!AG$12:AG$949,'09월 화학성분'!$A$12:$A$949,$A53,'09월 화학성분'!$D$12:$D$949,$B53)))</f>
        <v/>
      </c>
      <c r="AM53" s="829" t="str">
        <f>IF($C53&lt;1,"",(AVERAGEIFS('09월 화학성분'!AH$12:AH$949,'09월 화학성분'!$A$12:$A$949,$A53,'09월 화학성분'!$D$12:$D$949,$B53)))</f>
        <v/>
      </c>
      <c r="AN53" s="829" t="str">
        <f>IF($C53&lt;1,"",(AVERAGEIFS('09월 화학성분'!AI$12:AI$949,'09월 화학성분'!$A$12:$A$949,$A53,'09월 화학성분'!$D$12:$D$949,$B53)))</f>
        <v/>
      </c>
      <c r="AO53" s="829" t="str">
        <f>IF($C53&lt;1,"",(AVERAGEIFS('09월 화학성분'!AJ$12:AJ$949,'09월 화학성분'!$A$12:$A$949,$A53,'09월 화학성분'!$D$12:$D$949,$B53)))</f>
        <v/>
      </c>
      <c r="AP53" s="829" t="str">
        <f>IF($C53&lt;1,"",(AVERAGEIFS('09월 화학성분'!#REF!,'09월 화학성분'!$A$12:$A$949,$A53,'09월 화학성분'!$D$12:$D$949,$B53)))</f>
        <v/>
      </c>
      <c r="AQ53" s="829" t="str">
        <f>IF($C53&lt;1,"",(AVERAGEIFS('09월 화학성분'!AL$12:AL$949,'09월 화학성분'!$A$12:$A$949,$A53,'09월 화학성분'!$D$12:$D$949,$B53)))</f>
        <v/>
      </c>
      <c r="AR53" s="829" t="str">
        <f>IF($C53&lt;1,"",(AVERAGEIFS('09월 화학성분'!AM$12:AM$949,'09월 화학성분'!$A$12:$A$949,$A53,'09월 화학성분'!$D$12:$D$949,$B53)))</f>
        <v/>
      </c>
      <c r="AS53" s="830" t="str">
        <f>IF($C53&lt;1,"",(AVERAGEIFS('09월 화학성분'!AN$12:AN$949,'09월 화학성분'!$A$12:$A$949,$A53,'09월 화학성분'!$D$12:$D$949,$B53)))</f>
        <v/>
      </c>
      <c r="AT53" s="830" t="str">
        <f>IF($C53&lt;1,"",(AVERAGEIFS('09월 화학성분'!AO$12:AO$949,'09월 화학성분'!$A$12:$A$949,$A53,'09월 화학성분'!$D$12:$D$949,$B53)))</f>
        <v/>
      </c>
      <c r="AU53" s="831" t="str">
        <f>IF($C53&lt;1,"",(AVERAGEIFS('09월 화학성분'!AP$12:AP$949,'09월 화학성분'!$A$12:$A$949,$A53,'09월 화학성분'!$D$12:$D$949,$B53)))</f>
        <v/>
      </c>
      <c r="AV53" s="832" t="str">
        <f>IF($C53&lt;1,"",(AVERAGEIFS('09월 고철장입'!G$14:G$949,'09월 고철장입'!$A$14:$A$949,$A53,'09월 고철장입'!$C$14:$C$949,$B53))/1000)</f>
        <v/>
      </c>
      <c r="AW53" s="832" t="str">
        <f>IF($C53&lt;1,"",(AVERAGEIFS('09월 고철장입'!H$14:H$949,'09월 고철장입'!$A$14:$A$949,$A53,'09월 고철장입'!$C$14:$C$949,$B53))/1000)</f>
        <v/>
      </c>
      <c r="AX53" s="832" t="str">
        <f>IF($C53&lt;1,"",(AVERAGEIFS('09월 고철장입'!I$14:I$949,'09월 고철장입'!$A$14:$A$949,$A53,'09월 고철장입'!$C$14:$C$949,$B53))/1000)</f>
        <v/>
      </c>
      <c r="AY53" s="832" t="str">
        <f>IF($C53&lt;1,"",(AVERAGEIFS('09월 고철장입'!J$14:J$949,'09월 고철장입'!$A$14:$A$949,$A53,'09월 고철장입'!$C$14:$C$949,$B53))/1000)</f>
        <v/>
      </c>
      <c r="AZ53" s="832" t="str">
        <f>IF($C53&lt;1,"",(AVERAGEIFS('09월 고철장입'!K$14:K$949,'09월 고철장입'!$A$14:$A$949,$A53,'09월 고철장입'!$C$14:$C$949,$B53))/1000)</f>
        <v/>
      </c>
      <c r="BA53" s="832" t="str">
        <f>IF($C53&lt;1,"",(AVERAGEIFS('09월 고철장입'!L$14:L$949,'09월 고철장입'!$A$14:$A$949,$A53,'09월 고철장입'!$C$14:$C$949,$B53))/1000)</f>
        <v/>
      </c>
      <c r="BB53" s="832" t="str">
        <f>IF($C53&lt;1,"",(AVERAGEIFS('09월 고철장입'!M$14:M$949,'09월 고철장입'!$A$14:$A$949,$A53,'09월 고철장입'!$C$14:$C$949,$B53))/1000)</f>
        <v/>
      </c>
      <c r="BC53" s="832" t="str">
        <f>IF($C53&lt;1,"",(AVERAGEIFS('09월 고철장입'!N$14:N$949,'09월 고철장입'!$A$14:$A$949,$A53,'09월 고철장입'!$C$14:$C$949,$B53))/1000)</f>
        <v/>
      </c>
      <c r="BD53" s="832" t="str">
        <f>IF($C53&lt;1,"",(AVERAGEIFS('09월 고철장입'!O$14:O$949,'09월 고철장입'!$A$14:$A$949,$A53,'09월 고철장입'!$C$14:$C$949,$B53))/1000)</f>
        <v/>
      </c>
      <c r="BE53" s="833" t="str">
        <f>IF($C53&lt;1,"",(AVERAGEIFS('09월 고철장입'!P$14:P$949,'09월 고철장입'!$A$14:$A$949,$A53,'09월 고철장입'!$C$14:$C$949,$B53))/1000)</f>
        <v/>
      </c>
      <c r="BF53" s="833" t="str">
        <f>IF($C53&lt;1,"",(AVERAGEIFS('09월 고철장입'!Q$14:Q$949,'09월 고철장입'!$A$14:$A$949,$A53,'09월 고철장입'!$C$14:$C$949,$B53))/1000)</f>
        <v/>
      </c>
      <c r="BG53" s="833" t="str">
        <f>IF($C53&lt;1,"",(AVERAGEIFS('09월 고철장입'!S$14:S$949,'09월 고철장입'!$A$14:$A$949,$A53,'09월 고철장입'!$C$14:$C$949,$B53))/1000)</f>
        <v/>
      </c>
      <c r="BH53" s="833" t="str">
        <f>IF($C53&lt;1,"",(AVERAGEIFS('09월 고철장입'!T$14:T$949,'09월 고철장입'!$A$14:$A$949,$A53,'09월 고철장입'!$C$14:$C$949,$B53))/1000)</f>
        <v/>
      </c>
      <c r="BI53" s="833" t="str">
        <f>IF($C53&lt;1,"",(AVERAGEIFS('09월 고철장입'!U$14:U$949,'09월 고철장입'!$A$14:$A$949,$A53,'09월 고철장입'!$C$14:$C$949,$B53))/1000)</f>
        <v/>
      </c>
      <c r="BJ53" s="833" t="str">
        <f>IF($C53&lt;1,"",(AVERAGEIFS('09월 고철장입'!V$14:V$949,'09월 고철장입'!$A$14:$A$949,$A53,'09월 고철장입'!$C$14:$C$949,$B53))/1000)</f>
        <v/>
      </c>
      <c r="BK53" s="833" t="str">
        <f>IF($C53&lt;1,"",(AVERAGEIFS('09월 고철장입'!W$14:W$949,'09월 고철장입'!$A$14:$A$949,$A53,'09월 고철장입'!$C$14:$C$949,$B53))/1000)</f>
        <v/>
      </c>
      <c r="BL53" s="833" t="str">
        <f>IF($C53&lt;1,"",(AVERAGEIFS('09월 고철장입'!Y$14:Y$949,'09월 고철장입'!$A$14:$A$949,$A53,'09월 고철장입'!$C$14:$C$949,$B53))/1000)</f>
        <v/>
      </c>
      <c r="BM53" s="833" t="str">
        <f>IF($C53&lt;1,"",(AVERAGEIFS('09월 고철장입'!AB$14:AB$949,'09월 고철장입'!$A$14:$A$949,$A53,'09월 고철장입'!$C$14:$C$949,$B53))/1000)</f>
        <v/>
      </c>
      <c r="BN53" s="833" t="str">
        <f>IF($C53&lt;1,"",(AVERAGEIFS('09월 고철장입'!AC$14:AC$949,'09월 고철장입'!$A$14:$A$949,$A53,'09월 고철장입'!$C$14:$C$949,$B53))/1000)</f>
        <v/>
      </c>
      <c r="BO53" s="833" t="str">
        <f>IF($C53&lt;1,"",(AVERAGEIFS('09월 고철장입'!AD$14:AD$949,'09월 고철장입'!$A$14:$A$949,$A53,'09월 고철장입'!$C$14:$C$949,$B53))/1000)</f>
        <v/>
      </c>
      <c r="BP53" s="833" t="str">
        <f>IF($C53&lt;1,"",(AVERAGEIFS('09월 고철장입'!AE$14:AE$949,'09월 고철장입'!$A$14:$A$949,$A53,'09월 고철장입'!$C$14:$C$949,$B53))/1000)</f>
        <v/>
      </c>
      <c r="BQ53" s="832" t="str">
        <f>IF($C53&lt;1,"",(AVERAGEIFS('09월 고철장입'!AF$14:AF$949,'09월 고철장입'!$A$14:$A$949,$A53,'09월 고철장입'!$C$14:$C$949,$B53))/1000)</f>
        <v/>
      </c>
      <c r="BR53" s="832" t="str">
        <f>IF($C53&lt;1,"",(AVERAGEIFS('09월 고철장입'!AG$14:AG$949,'09월 고철장입'!$A$14:$A$949,$A53,'09월 고철장입'!$C$14:$C$949,$B53))/1000)</f>
        <v/>
      </c>
      <c r="BS53" s="832" t="str">
        <f>IF($C53&lt;1,"",(AVERAGEIFS('09월 고철장입'!AH$14:AH$949,'09월 고철장입'!$A$14:$A$949,$A53,'09월 고철장입'!$C$14:$C$949,$B53))/1000)</f>
        <v/>
      </c>
      <c r="BT53" s="832" t="str">
        <f>IF($C53&lt;1,"",(AVERAGEIFS('09월 고철장입'!AI$14:AI$949,'09월 고철장입'!$A$14:$A$949,$A53,'09월 고철장입'!$C$14:$C$949,$B53))/1000)</f>
        <v/>
      </c>
      <c r="BU53" s="834" t="str">
        <f>IF($C53&lt;1,"",(AVERAGEIFS('09월 고철장입'!AJ$14:AJ$949,'09월 고철장입'!$A$14:$A$949,$A53,'09월 고철장입'!$C$14:$C$949,$B53))/1000)</f>
        <v/>
      </c>
      <c r="BV53" s="834" t="str">
        <f>IF($C53&lt;1,"",(AVERAGEIFS('09월 고철장입'!AK$14:AK$949,'09월 고철장입'!$A$14:$A$949,$A53,'09월 고철장입'!$C$14:$C$949,$B53)))</f>
        <v/>
      </c>
      <c r="BW53" s="834" t="str">
        <f>IF($C53&lt;1,"",(AVERAGEIFS('09월 고철장입'!AL$14:AL$949,'09월 고철장입'!$A$14:$A$949,$A53,'09월 고철장입'!$C$14:$C$949,$B53))*100)</f>
        <v/>
      </c>
      <c r="BX53" s="831" t="str">
        <f>IF($C53&lt;1,"",(AVERAGEIFS('09월 에너지'!G$14:G$949,'09월 에너지'!$A$14:$A$949,$A53,'09월 에너지'!$C$14:$C$949,$B53)))</f>
        <v/>
      </c>
      <c r="BY53" s="835" t="str">
        <f>IF($C53&lt;1,"",(AVERAGEIFS('09월 에너지'!H$14:H$949,'09월 에너지'!$A$14:$A$949,$A53,'09월 에너지'!$C$14:$C$949,$B53)))</f>
        <v/>
      </c>
      <c r="BZ53" s="831" t="str">
        <f>IF($C53&lt;1,"",(AVERAGEIFS('09월 에너지'!I$14:I$949,'09월 에너지'!$A$14:$A$949,$A53,'09월 에너지'!$C$14:$C$949,$B53)))</f>
        <v/>
      </c>
      <c r="CA53" s="835" t="str">
        <f>IF($C53&lt;1,"",(AVERAGEIFS('09월 에너지'!J$14:J$949,'09월 에너지'!$A$14:$A$949,$A53,'09월 에너지'!$C$14:$C$949,$B53)))</f>
        <v/>
      </c>
      <c r="CB53" s="831" t="str">
        <f>IF($C53&lt;1,"",(AVERAGEIFS('09월 에너지'!K$14:K$949,'09월 에너지'!$A$14:$A$949,$A53,'09월 에너지'!$C$14:$C$949,$B53)))</f>
        <v/>
      </c>
      <c r="CC53" s="835" t="str">
        <f>IF($C53&lt;1,"",(AVERAGEIFS('09월 에너지'!L$14:L$949,'09월 에너지'!$A$14:$A$949,$A53,'09월 에너지'!$C$14:$C$949,$B53)))</f>
        <v/>
      </c>
      <c r="CD53" s="831" t="str">
        <f>IF($C53&lt;1,"",(AVERAGEIFS('09월 에너지'!M$14:M$949,'09월 에너지'!$A$14:$A$949,$A53,'09월 에너지'!$C$14:$C$949,$B53)))</f>
        <v/>
      </c>
      <c r="CE53" s="835" t="str">
        <f>IF($C53&lt;1,"",(AVERAGEIFS('09월 에너지'!N$14:N$949,'09월 에너지'!$A$14:$A$949,$A53,'09월 에너지'!$C$14:$C$949,$B53)))</f>
        <v/>
      </c>
      <c r="CF53" s="831" t="str">
        <f>IF($C53&lt;1,"",(AVERAGEIFS('09월 에너지'!O$14:O$949,'09월 에너지'!$A$14:$A$949,$A53,'09월 에너지'!$C$14:$C$949,$B53)))</f>
        <v/>
      </c>
      <c r="CG53" s="831" t="str">
        <f>IF($C53&lt;1,"",(AVERAGEIFS('09월 에너지'!P$14:P$949,'09월 에너지'!$A$14:$A$949,$A53,'09월 에너지'!$C$14:$C$949,$B53)))</f>
        <v/>
      </c>
      <c r="CH53" s="831" t="str">
        <f>IF($C53&lt;1,"",(AVERAGEIFS('09월 에너지'!Q$14:Q$949,'09월 에너지'!$A$14:$A$949,$A53,'09월 에너지'!$C$14:$C$949,$B53)))</f>
        <v/>
      </c>
      <c r="CI53" s="831" t="str">
        <f>IF($C53&lt;1,"",(AVERAGEIFS('09월 에너지'!R$14:R$949,'09월 에너지'!$A$14:$A$949,$A53,'09월 에너지'!$C$14:$C$949,$B53)))</f>
        <v/>
      </c>
      <c r="CJ53" s="831" t="str">
        <f>IF($C53&lt;1,"",(AVERAGEIFS('09월 에너지'!S$14:S$949,'09월 에너지'!$A$14:$A$949,$A53,'09월 에너지'!$C$14:$C$949,$B53)))</f>
        <v/>
      </c>
      <c r="CK53" s="831" t="str">
        <f>IF($C53&lt;1,"",(AVERAGEIFS('09월 에너지'!T$14:T$949,'09월 에너지'!$A$14:$A$949,$A53,'09월 에너지'!$C$14:$C$949,$B53)))</f>
        <v/>
      </c>
      <c r="CL53" s="831" t="str">
        <f>IF($C53&lt;1,"",(AVERAGEIFS('09월 에너지'!U$14:U$949,'09월 에너지'!$A$14:$A$949,$A53,'09월 에너지'!$C$14:$C$949,$B53)))</f>
        <v/>
      </c>
      <c r="CM53" s="835" t="str">
        <f>IF($C53&lt;1,"",(AVERAGEIFS('09월 에너지'!V$14:V$949,'09월 에너지'!$A$14:$A$949,$A53,'09월 에너지'!$C$14:$C$949,$B53)))</f>
        <v/>
      </c>
      <c r="CN53" s="835" t="str">
        <f>IF($C53&lt;1,"",(AVERAGEIFS('09월 에너지'!W$14:W$949,'09월 에너지'!$A$14:$A$949,$A53,'09월 에너지'!$C$14:$C$949,$B53)))</f>
        <v/>
      </c>
      <c r="CO53" s="831" t="str">
        <f>IF($C53&lt;1,"",(AVERAGEIFS('09월 에너지'!X$14:X$949,'09월 에너지'!$A$14:$A$949,$A53,'09월 에너지'!$C$14:$C$949,$B53)))</f>
        <v/>
      </c>
      <c r="CP53" s="835" t="str">
        <f>IF($C53&lt;1,"",(AVERAGEIFS('09월 에너지'!Y$14:Y$949,'09월 에너지'!$A$14:$A$949,$A53,'09월 에너지'!$C$14:$C$949,$B53)))</f>
        <v/>
      </c>
      <c r="CQ53" s="835" t="str">
        <f>IF($C53&lt;1,"",(AVERAGEIFS('09월 에너지'!Z$14:Z$949,'09월 에너지'!$A$14:$A$949,$A53,'09월 에너지'!$C$14:$C$949,$B53)))</f>
        <v/>
      </c>
      <c r="CR53" s="835" t="str">
        <f>IF($C53&lt;1,"",(AVERAGEIFS('09월 에너지'!AA$14:AA$949,'09월 에너지'!$A$14:$A$949,$A53,'09월 에너지'!$C$14:$C$949,$B53)))</f>
        <v/>
      </c>
      <c r="CS53" s="835" t="str">
        <f>IF($C53&lt;1,"",(AVERAGEIFS('09월 에너지'!AB$14:AB$949,'09월 에너지'!$A$14:$A$949,$A53,'09월 에너지'!$C$14:$C$949,$B53)))</f>
        <v/>
      </c>
      <c r="CT53" s="831" t="str">
        <f>IF($C53&lt;1,"",(AVERAGEIFS('09월 에너지'!AC$14:AC$949,'09월 에너지'!$A$14:$A$949,$A53,'09월 에너지'!$C$14:$C$949,$B53)))</f>
        <v/>
      </c>
      <c r="CU53" s="836" t="str">
        <f>IF($C53&lt;1,"",(AVERAGEIFS('09월 에너지'!AD$14:AD$949,'09월 에너지'!$A$14:$A$949,$A53,'09월 에너지'!$C$14:$C$949,$B53)))</f>
        <v/>
      </c>
      <c r="CV53" s="837" t="str">
        <f>IF($C53&lt;1,"",(AVERAGEIFS('09월 에너지'!AE$14:AE$949,'09월 에너지'!$A$14:$A$949,$A53,'09월 에너지'!$C$14:$C$949,$B53)))</f>
        <v/>
      </c>
      <c r="CW53" s="831" t="str">
        <f>IF($C53&lt;1,"",(AVERAGEIFS('09월 에너지'!AF$14:AF$949,'09월 에너지'!$A$14:$A$949,$A53,'09월 에너지'!$C$14:$C$949,$B53)))</f>
        <v/>
      </c>
      <c r="CX53" s="831" t="str">
        <f>IF($C53&lt;1,"",(AVERAGEIFS('09월 에너지'!AG$14:AG$949,'09월 에너지'!$A$14:$A$949,$A53,'09월 에너지'!$C$14:$C$949,$B53)))</f>
        <v/>
      </c>
      <c r="CY53" s="831" t="str">
        <f>IF($C53&lt;1,"",(AVERAGEIFS('09월 에너지'!AH$14:AH$949,'09월 에너지'!$A$14:$A$949,$A53,'09월 에너지'!$C$14:$C$949,$B53)))</f>
        <v/>
      </c>
      <c r="CZ53" s="831" t="str">
        <f>IF($C53&lt;1,"",(AVERAGEIFS('09월 에너지'!AI$14:AI$949,'09월 에너지'!$A$14:$A$949,$A53,'09월 에너지'!$C$14:$C$949,$B53)))</f>
        <v/>
      </c>
      <c r="DA53" s="838" t="str">
        <f>IF($C53&lt;1,"",(AVERAGEIFS('09월 에너지'!AJ$14:AJ$949,'09월 에너지'!$A$14:$A$949,$A53,'09월 에너지'!$C$14:$C$949,$B53)))</f>
        <v/>
      </c>
    </row>
    <row r="54" spans="1:105" ht="13.5" customHeight="1">
      <c r="A54" s="849">
        <f t="shared" si="2"/>
        <v>44936</v>
      </c>
      <c r="B54" s="850" t="s">
        <v>10</v>
      </c>
      <c r="C54" s="823">
        <f>COUNTIFS('09월 조업일지'!$A$12:$A$952,A51,'09월 조업일지'!$E$12:$E$952,B54)</f>
        <v>0</v>
      </c>
      <c r="D54" s="824" t="str">
        <f t="shared" si="11"/>
        <v/>
      </c>
      <c r="E54" s="824" t="str">
        <f>IF($C54&lt;1,"",(SUMIFS('09월 조업일지'!$K$12:$K$952,'09월 조업일지'!$A$12:$A$952,$A54,'09월 조업일지'!$E$12:$E$952,$B54)/$C54))</f>
        <v/>
      </c>
      <c r="F54" s="824" t="str">
        <f>IF($C54&lt;1,"",(AVERAGEIFS('09월 조업일지'!$J$12:$J$952,'09월 조업일지'!$A$12:$A$952,$A54,'09월 조업일지'!$E$12:$E$952,$B54)))</f>
        <v/>
      </c>
      <c r="G54" s="825" t="str">
        <f>IF($C54&lt;1,"",(AVERAGEIFS('09월 에너지'!$M$14:$M$949,'09월 에너지'!$A$14:$A$949,$A54,'09월 에너지'!$C$14:$C$949,$B54)))</f>
        <v/>
      </c>
      <c r="H54" s="826" t="str">
        <f>IF($C54&lt;1,"",(AVERAGEIFS('09월 조업일지'!$AJ$12:$AJ$952,'09월 조업일지'!$A$12:$A$952,$A54,'09월 조업일지'!$E$12:$E$952,$B54)))</f>
        <v/>
      </c>
      <c r="I54" s="826" t="str">
        <f>IF($C54&lt;1,"",(AVERAGEIFS('09월 조업일지'!$AL$12:$AL$952,'09월 조업일지'!$A$12:$A$952,$A54,'09월 조업일지'!$E$12:$E$952,$B54)))</f>
        <v/>
      </c>
      <c r="J54" s="827" t="str">
        <f>IF($C54&lt;1,"",(AVERAGEIFS('09월 화학성분'!G$12:G$949,'09월 화학성분'!$A$12:$A$949,$A54,'09월 화학성분'!$D$12:$D$949,$B54)))</f>
        <v/>
      </c>
      <c r="K54" s="827" t="str">
        <f>IF($C54&lt;1,"",(AVERAGEIFS('09월 화학성분'!H$12:H$949,'09월 화학성분'!$A$12:$A$949,$A54,'09월 화학성분'!$D$12:$D$949,$B54)))</f>
        <v/>
      </c>
      <c r="L54" s="827" t="str">
        <f>IF($C54&lt;1,"",(AVERAGEIFS('09월 화학성분'!I$12:I$949,'09월 화학성분'!$A$12:$A$949,$A54,'09월 화학성분'!$D$12:$D$949,$B54)))</f>
        <v/>
      </c>
      <c r="M54" s="827" t="str">
        <f>IF($C54&lt;1,"",(AVERAGEIFS('09월 화학성분'!J$12:J$949,'09월 화학성분'!$A$12:$A$949,$A54,'09월 화학성분'!$D$12:$D$949,$B54)))</f>
        <v/>
      </c>
      <c r="N54" s="827" t="str">
        <f>IF($C54&lt;1,"",(AVERAGEIFS('09월 화학성분'!K$12:K$949,'09월 화학성분'!$A$12:$A$949,$A54,'09월 화학성분'!$D$12:$D$949,$B54)))</f>
        <v/>
      </c>
      <c r="O54" s="827" t="str">
        <f>IF($C54&lt;1,"",(AVERAGEIFS('09월 화학성분'!L$12:L$949,'09월 화학성분'!$A$12:$A$949,$A54,'09월 화학성분'!$D$12:$D$949,$B54)))</f>
        <v/>
      </c>
      <c r="P54" s="827" t="str">
        <f>IF($C54&lt;1,"",(AVERAGEIFS('09월 화학성분'!M$12:M$949,'09월 화학성분'!$A$12:$A$949,$A54,'09월 화학성분'!$D$12:$D$949,$B54)))</f>
        <v/>
      </c>
      <c r="Q54" s="827" t="str">
        <f>IFERROR(IF($C54&lt;1,"",(AVERAGEIFS('09월 조업일지'!$AA$12:$AA$952,'09월 조업일지'!$A$12:$A$952,$A54,'09월 조업일지'!$E$12:$E$952,$B54))),"")</f>
        <v/>
      </c>
      <c r="R54" s="827" t="str">
        <f>IF($C54&lt;1,"",(AVERAGEIFS('09월 조업일지'!$AK$12:$AK$952,'09월 조업일지'!$A$12:$A$952,$A54,'09월 조업일지'!$E$12:$E$952,$B54)))</f>
        <v/>
      </c>
      <c r="S54" s="827"/>
      <c r="T54" s="827"/>
      <c r="U54" s="827" t="str">
        <f>IF($C54&lt;1,"",(AVERAGEIFS('09월 화학성분'!$G$12:$G$949,'09월 화학성분'!$A$12:$A$949,$A54,'09월 화학성분'!$D$12:$D$949,$B54)))</f>
        <v/>
      </c>
      <c r="V54" s="827" t="str">
        <f>IF($C54&lt;1,"",(AVERAGEIFS('09월 조업일지'!$AI$12:$AI$952,'09월 조업일지'!$A$12:$A$952,$A54,'09월 조업일지'!$E$12:$E$952,$B54)))</f>
        <v/>
      </c>
      <c r="W54" s="828" t="str">
        <f>IF($C54&lt;1,"",(AVERAGEIFS('09월 화학성분'!$AM$12:$AM$949,'09월 화학성분'!$A$12:$A$949,$A54,'09월 화학성분'!$D$12:$D$949,$B54)))</f>
        <v/>
      </c>
      <c r="X54" s="829" t="str">
        <f>IF($C54&lt;1,"",(AVERAGEIFS('09월 화학성분'!N$12:N$949,'09월 화학성분'!$A$12:$A$949,$A54,'09월 화학성분'!$D$12:$D$949,$B54)))</f>
        <v/>
      </c>
      <c r="Y54" s="829" t="str">
        <f>IF($C54&lt;1,"",(AVERAGEIFS('09월 화학성분'!O$12:O$949,'09월 화학성분'!$A$12:$A$949,$A54,'09월 화학성분'!$D$12:$D$949,$B54)))</f>
        <v/>
      </c>
      <c r="Z54" s="829" t="str">
        <f>IF($C54&lt;1,"",(AVERAGEIFS('09월 화학성분'!P$12:P$949,'09월 화학성분'!$A$12:$A$949,$A54,'09월 화학성분'!$D$12:$D$949,$B54)))</f>
        <v/>
      </c>
      <c r="AA54" s="829" t="str">
        <f>IF($C54&lt;1,"",(AVERAGEIFS('09월 화학성분'!Q$12:Q$949,'09월 화학성분'!$A$12:$A$949,$A54,'09월 화학성분'!$D$12:$D$949,$B54)))</f>
        <v/>
      </c>
      <c r="AB54" s="829" t="str">
        <f>IF($C54&lt;1,"",(AVERAGEIFS('09월 화학성분'!R$12:R$949,'09월 화학성분'!$A$12:$A$949,$A54,'09월 화학성분'!$D$12:$D$949,$B54)))</f>
        <v/>
      </c>
      <c r="AC54" s="829" t="str">
        <f>IF($C54&lt;1,"",(AVERAGEIFS('09월 화학성분'!U$12:U$949,'09월 화학성분'!$A$12:$A$949,$A54,'09월 화학성분'!$D$12:$D$949,$B54)))</f>
        <v/>
      </c>
      <c r="AD54" s="829" t="str">
        <f>IF($C54&lt;1,"",(AVERAGEIFS('09월 화학성분'!V$12:V$949,'09월 화학성분'!$A$12:$A$949,$A54,'09월 화학성분'!$D$12:$D$949,$B54)))</f>
        <v/>
      </c>
      <c r="AE54" s="829" t="str">
        <f>IF($C54&lt;1,"",(AVERAGEIFS('09월 화학성분'!W$12:W$949,'09월 화학성분'!$A$12:$A$949,$A54,'09월 화학성분'!$D$12:$D$949,$B54)))</f>
        <v/>
      </c>
      <c r="AF54" s="829" t="str">
        <f>IF($C54&lt;1,"",(AVERAGEIFS('09월 화학성분'!AA$12:AA$949,'09월 화학성분'!$A$12:$A$949,$A54,'09월 화학성분'!$D$12:$D$949,$B54)))</f>
        <v/>
      </c>
      <c r="AG54" s="829" t="str">
        <f>IF($C54&lt;1,"",(AVERAGEIFS('09월 화학성분'!#REF!,'09월 화학성분'!$A$12:$A$949,$A54,'09월 화학성분'!$D$12:$D$949,$B54)))</f>
        <v/>
      </c>
      <c r="AH54" s="829" t="str">
        <f>IF($C54&lt;1,"",(AVERAGEIFS('09월 화학성분'!AB$12:AB$949,'09월 화학성분'!$A$12:$A$949,$A54,'09월 화학성분'!$D$12:$D$949,$B54)))</f>
        <v/>
      </c>
      <c r="AI54" s="829" t="str">
        <f>IF($C54&lt;1,"",(AVERAGEIFS('09월 화학성분'!AC$12:AC$949,'09월 화학성분'!$A$12:$A$949,$A54,'09월 화학성분'!$D$12:$D$949,$B54)))</f>
        <v/>
      </c>
      <c r="AJ54" s="829" t="str">
        <f>IF($C54&lt;1,"",(AVERAGEIFS('09월 화학성분'!AD$12:AD$949,'09월 화학성분'!$A$12:$A$949,$A54,'09월 화학성분'!$D$12:$D$949,$B54)))</f>
        <v/>
      </c>
      <c r="AK54" s="829" t="str">
        <f>IF($C54&lt;1,"",(AVERAGEIFS('09월 화학성분'!AF$12:AF$949,'09월 화학성분'!$A$12:$A$949,$A54,'09월 화학성분'!$D$12:$D$949,$B54)))</f>
        <v/>
      </c>
      <c r="AL54" s="829" t="str">
        <f>IF($C54&lt;1,"",(AVERAGEIFS('09월 화학성분'!AG$12:AG$949,'09월 화학성분'!$A$12:$A$949,$A54,'09월 화학성분'!$D$12:$D$949,$B54)))</f>
        <v/>
      </c>
      <c r="AM54" s="829" t="str">
        <f>IF($C54&lt;1,"",(AVERAGEIFS('09월 화학성분'!AH$12:AH$949,'09월 화학성분'!$A$12:$A$949,$A54,'09월 화학성분'!$D$12:$D$949,$B54)))</f>
        <v/>
      </c>
      <c r="AN54" s="829" t="str">
        <f>IF($C54&lt;1,"",(AVERAGEIFS('09월 화학성분'!AI$12:AI$949,'09월 화학성분'!$A$12:$A$949,$A54,'09월 화학성분'!$D$12:$D$949,$B54)))</f>
        <v/>
      </c>
      <c r="AO54" s="829" t="str">
        <f>IF($C54&lt;1,"",(AVERAGEIFS('09월 화학성분'!AJ$12:AJ$949,'09월 화학성분'!$A$12:$A$949,$A54,'09월 화학성분'!$D$12:$D$949,$B54)))</f>
        <v/>
      </c>
      <c r="AP54" s="829" t="str">
        <f>IF($C54&lt;1,"",(AVERAGEIFS('09월 화학성분'!#REF!,'09월 화학성분'!$A$12:$A$949,$A54,'09월 화학성분'!$D$12:$D$949,$B54)))</f>
        <v/>
      </c>
      <c r="AQ54" s="829" t="str">
        <f>IF($C54&lt;1,"",(AVERAGEIFS('09월 화학성분'!AL$12:AL$949,'09월 화학성분'!$A$12:$A$949,$A54,'09월 화학성분'!$D$12:$D$949,$B54)))</f>
        <v/>
      </c>
      <c r="AR54" s="829" t="str">
        <f>IF($C54&lt;1,"",(AVERAGEIFS('09월 화학성분'!AM$12:AM$949,'09월 화학성분'!$A$12:$A$949,$A54,'09월 화학성분'!$D$12:$D$949,$B54)))</f>
        <v/>
      </c>
      <c r="AS54" s="830" t="str">
        <f>IF($C54&lt;1,"",(AVERAGEIFS('09월 화학성분'!AN$12:AN$949,'09월 화학성분'!$A$12:$A$949,$A54,'09월 화학성분'!$D$12:$D$949,$B54)))</f>
        <v/>
      </c>
      <c r="AT54" s="830" t="str">
        <f>IF($C54&lt;1,"",(AVERAGEIFS('09월 화학성분'!AO$12:AO$949,'09월 화학성분'!$A$12:$A$949,$A54,'09월 화학성분'!$D$12:$D$949,$B54)))</f>
        <v/>
      </c>
      <c r="AU54" s="831" t="str">
        <f>IF($C54&lt;1,"",(AVERAGEIFS('09월 화학성분'!AP$12:AP$949,'09월 화학성분'!$A$12:$A$949,$A54,'09월 화학성분'!$D$12:$D$949,$B54)))</f>
        <v/>
      </c>
      <c r="AV54" s="832" t="str">
        <f>IF($C54&lt;1,"",(AVERAGEIFS('09월 고철장입'!G$14:G$949,'09월 고철장입'!$A$14:$A$949,$A54,'09월 고철장입'!$C$14:$C$949,$B54))/1000)</f>
        <v/>
      </c>
      <c r="AW54" s="832" t="str">
        <f>IF($C54&lt;1,"",(AVERAGEIFS('09월 고철장입'!H$14:H$949,'09월 고철장입'!$A$14:$A$949,$A54,'09월 고철장입'!$C$14:$C$949,$B54))/1000)</f>
        <v/>
      </c>
      <c r="AX54" s="832" t="str">
        <f>IF($C54&lt;1,"",(AVERAGEIFS('09월 고철장입'!I$14:I$949,'09월 고철장입'!$A$14:$A$949,$A54,'09월 고철장입'!$C$14:$C$949,$B54))/1000)</f>
        <v/>
      </c>
      <c r="AY54" s="832" t="str">
        <f>IF($C54&lt;1,"",(AVERAGEIFS('09월 고철장입'!J$14:J$949,'09월 고철장입'!$A$14:$A$949,$A54,'09월 고철장입'!$C$14:$C$949,$B54))/1000)</f>
        <v/>
      </c>
      <c r="AZ54" s="832" t="str">
        <f>IF($C54&lt;1,"",(AVERAGEIFS('09월 고철장입'!K$14:K$949,'09월 고철장입'!$A$14:$A$949,$A54,'09월 고철장입'!$C$14:$C$949,$B54))/1000)</f>
        <v/>
      </c>
      <c r="BA54" s="832" t="str">
        <f>IF($C54&lt;1,"",(AVERAGEIFS('09월 고철장입'!L$14:L$949,'09월 고철장입'!$A$14:$A$949,$A54,'09월 고철장입'!$C$14:$C$949,$B54))/1000)</f>
        <v/>
      </c>
      <c r="BB54" s="832" t="str">
        <f>IF($C54&lt;1,"",(AVERAGEIFS('09월 고철장입'!M$14:M$949,'09월 고철장입'!$A$14:$A$949,$A54,'09월 고철장입'!$C$14:$C$949,$B54))/1000)</f>
        <v/>
      </c>
      <c r="BC54" s="832" t="str">
        <f>IF($C54&lt;1,"",(AVERAGEIFS('09월 고철장입'!N$14:N$949,'09월 고철장입'!$A$14:$A$949,$A54,'09월 고철장입'!$C$14:$C$949,$B54))/1000)</f>
        <v/>
      </c>
      <c r="BD54" s="832" t="str">
        <f>IF($C54&lt;1,"",(AVERAGEIFS('09월 고철장입'!O$14:O$949,'09월 고철장입'!$A$14:$A$949,$A54,'09월 고철장입'!$C$14:$C$949,$B54))/1000)</f>
        <v/>
      </c>
      <c r="BE54" s="833" t="str">
        <f>IF($C54&lt;1,"",(AVERAGEIFS('09월 고철장입'!P$14:P$949,'09월 고철장입'!$A$14:$A$949,$A54,'09월 고철장입'!$C$14:$C$949,$B54))/1000)</f>
        <v/>
      </c>
      <c r="BF54" s="833" t="str">
        <f>IF($C54&lt;1,"",(AVERAGEIFS('09월 고철장입'!Q$14:Q$949,'09월 고철장입'!$A$14:$A$949,$A54,'09월 고철장입'!$C$14:$C$949,$B54))/1000)</f>
        <v/>
      </c>
      <c r="BG54" s="833" t="str">
        <f>IF($C54&lt;1,"",(AVERAGEIFS('09월 고철장입'!S$14:S$949,'09월 고철장입'!$A$14:$A$949,$A54,'09월 고철장입'!$C$14:$C$949,$B54))/1000)</f>
        <v/>
      </c>
      <c r="BH54" s="833" t="str">
        <f>IF($C54&lt;1,"",(AVERAGEIFS('09월 고철장입'!T$14:T$949,'09월 고철장입'!$A$14:$A$949,$A54,'09월 고철장입'!$C$14:$C$949,$B54))/1000)</f>
        <v/>
      </c>
      <c r="BI54" s="833" t="str">
        <f>IF($C54&lt;1,"",(AVERAGEIFS('09월 고철장입'!U$14:U$949,'09월 고철장입'!$A$14:$A$949,$A54,'09월 고철장입'!$C$14:$C$949,$B54))/1000)</f>
        <v/>
      </c>
      <c r="BJ54" s="833" t="str">
        <f>IF($C54&lt;1,"",(AVERAGEIFS('09월 고철장입'!V$14:V$949,'09월 고철장입'!$A$14:$A$949,$A54,'09월 고철장입'!$C$14:$C$949,$B54))/1000)</f>
        <v/>
      </c>
      <c r="BK54" s="833" t="str">
        <f>IF($C54&lt;1,"",(AVERAGEIFS('09월 고철장입'!W$14:W$949,'09월 고철장입'!$A$14:$A$949,$A54,'09월 고철장입'!$C$14:$C$949,$B54))/1000)</f>
        <v/>
      </c>
      <c r="BL54" s="833" t="str">
        <f>IF($C54&lt;1,"",(AVERAGEIFS('09월 고철장입'!Y$14:Y$949,'09월 고철장입'!$A$14:$A$949,$A54,'09월 고철장입'!$C$14:$C$949,$B54))/1000)</f>
        <v/>
      </c>
      <c r="BM54" s="833" t="str">
        <f>IF($C54&lt;1,"",(AVERAGEIFS('09월 고철장입'!AB$14:AB$949,'09월 고철장입'!$A$14:$A$949,$A54,'09월 고철장입'!$C$14:$C$949,$B54))/1000)</f>
        <v/>
      </c>
      <c r="BN54" s="833" t="str">
        <f>IF($C54&lt;1,"",(AVERAGEIFS('09월 고철장입'!AC$14:AC$949,'09월 고철장입'!$A$14:$A$949,$A54,'09월 고철장입'!$C$14:$C$949,$B54))/1000)</f>
        <v/>
      </c>
      <c r="BO54" s="833" t="str">
        <f>IF($C54&lt;1,"",(AVERAGEIFS('09월 고철장입'!AD$14:AD$949,'09월 고철장입'!$A$14:$A$949,$A54,'09월 고철장입'!$C$14:$C$949,$B54))/1000)</f>
        <v/>
      </c>
      <c r="BP54" s="833" t="str">
        <f>IF($C54&lt;1,"",(AVERAGEIFS('09월 고철장입'!AE$14:AE$949,'09월 고철장입'!$A$14:$A$949,$A54,'09월 고철장입'!$C$14:$C$949,$B54))/1000)</f>
        <v/>
      </c>
      <c r="BQ54" s="832" t="str">
        <f>IF($C54&lt;1,"",(AVERAGEIFS('09월 고철장입'!AF$14:AF$949,'09월 고철장입'!$A$14:$A$949,$A54,'09월 고철장입'!$C$14:$C$949,$B54))/1000)</f>
        <v/>
      </c>
      <c r="BR54" s="832" t="str">
        <f>IF($C54&lt;1,"",(AVERAGEIFS('09월 고철장입'!AG$14:AG$949,'09월 고철장입'!$A$14:$A$949,$A54,'09월 고철장입'!$C$14:$C$949,$B54))/1000)</f>
        <v/>
      </c>
      <c r="BS54" s="832" t="str">
        <f>IF($C54&lt;1,"",(AVERAGEIFS('09월 고철장입'!AH$14:AH$949,'09월 고철장입'!$A$14:$A$949,$A54,'09월 고철장입'!$C$14:$C$949,$B54))/1000)</f>
        <v/>
      </c>
      <c r="BT54" s="832" t="str">
        <f>IF($C54&lt;1,"",(AVERAGEIFS('09월 고철장입'!AI$14:AI$949,'09월 고철장입'!$A$14:$A$949,$A54,'09월 고철장입'!$C$14:$C$949,$B54))/1000)</f>
        <v/>
      </c>
      <c r="BU54" s="834" t="str">
        <f>IF($C54&lt;1,"",(AVERAGEIFS('09월 고철장입'!AJ$14:AJ$949,'09월 고철장입'!$A$14:$A$949,$A54,'09월 고철장입'!$C$14:$C$949,$B54))/1000)</f>
        <v/>
      </c>
      <c r="BV54" s="834" t="str">
        <f>IF($C54&lt;1,"",(AVERAGEIFS('09월 고철장입'!AK$14:AK$949,'09월 고철장입'!$A$14:$A$949,$A54,'09월 고철장입'!$C$14:$C$949,$B54)))</f>
        <v/>
      </c>
      <c r="BW54" s="834" t="str">
        <f>IF($C54&lt;1,"",(AVERAGEIFS('09월 고철장입'!AL$14:AL$949,'09월 고철장입'!$A$14:$A$949,$A54,'09월 고철장입'!$C$14:$C$949,$B54))*100)</f>
        <v/>
      </c>
      <c r="BX54" s="831" t="str">
        <f>IF($C54&lt;1,"",(AVERAGEIFS('09월 에너지'!G$14:G$949,'09월 에너지'!$A$14:$A$949,$A54,'09월 에너지'!$C$14:$C$949,$B54)))</f>
        <v/>
      </c>
      <c r="BY54" s="835" t="str">
        <f>IF($C54&lt;1,"",(AVERAGEIFS('09월 에너지'!H$14:H$949,'09월 에너지'!$A$14:$A$949,$A54,'09월 에너지'!$C$14:$C$949,$B54)))</f>
        <v/>
      </c>
      <c r="BZ54" s="831" t="str">
        <f>IF($C54&lt;1,"",(AVERAGEIFS('09월 에너지'!I$14:I$949,'09월 에너지'!$A$14:$A$949,$A54,'09월 에너지'!$C$14:$C$949,$B54)))</f>
        <v/>
      </c>
      <c r="CA54" s="835" t="str">
        <f>IF($C54&lt;1,"",(AVERAGEIFS('09월 에너지'!J$14:J$949,'09월 에너지'!$A$14:$A$949,$A54,'09월 에너지'!$C$14:$C$949,$B54)))</f>
        <v/>
      </c>
      <c r="CB54" s="831" t="str">
        <f>IF($C54&lt;1,"",(AVERAGEIFS('09월 에너지'!K$14:K$949,'09월 에너지'!$A$14:$A$949,$A54,'09월 에너지'!$C$14:$C$949,$B54)))</f>
        <v/>
      </c>
      <c r="CC54" s="835" t="str">
        <f>IF($C54&lt;1,"",(AVERAGEIFS('09월 에너지'!L$14:L$949,'09월 에너지'!$A$14:$A$949,$A54,'09월 에너지'!$C$14:$C$949,$B54)))</f>
        <v/>
      </c>
      <c r="CD54" s="831" t="str">
        <f>IF($C54&lt;1,"",(AVERAGEIFS('09월 에너지'!M$14:M$949,'09월 에너지'!$A$14:$A$949,$A54,'09월 에너지'!$C$14:$C$949,$B54)))</f>
        <v/>
      </c>
      <c r="CE54" s="835" t="str">
        <f>IF($C54&lt;1,"",(AVERAGEIFS('09월 에너지'!N$14:N$949,'09월 에너지'!$A$14:$A$949,$A54,'09월 에너지'!$C$14:$C$949,$B54)))</f>
        <v/>
      </c>
      <c r="CF54" s="831" t="str">
        <f>IF($C54&lt;1,"",(AVERAGEIFS('09월 에너지'!O$14:O$949,'09월 에너지'!$A$14:$A$949,$A54,'09월 에너지'!$C$14:$C$949,$B54)))</f>
        <v/>
      </c>
      <c r="CG54" s="831" t="str">
        <f>IF($C54&lt;1,"",(AVERAGEIFS('09월 에너지'!P$14:P$949,'09월 에너지'!$A$14:$A$949,$A54,'09월 에너지'!$C$14:$C$949,$B54)))</f>
        <v/>
      </c>
      <c r="CH54" s="831" t="str">
        <f>IF($C54&lt;1,"",(AVERAGEIFS('09월 에너지'!Q$14:Q$949,'09월 에너지'!$A$14:$A$949,$A54,'09월 에너지'!$C$14:$C$949,$B54)))</f>
        <v/>
      </c>
      <c r="CI54" s="831" t="str">
        <f>IF($C54&lt;1,"",(AVERAGEIFS('09월 에너지'!R$14:R$949,'09월 에너지'!$A$14:$A$949,$A54,'09월 에너지'!$C$14:$C$949,$B54)))</f>
        <v/>
      </c>
      <c r="CJ54" s="831" t="str">
        <f>IF($C54&lt;1,"",(AVERAGEIFS('09월 에너지'!S$14:S$949,'09월 에너지'!$A$14:$A$949,$A54,'09월 에너지'!$C$14:$C$949,$B54)))</f>
        <v/>
      </c>
      <c r="CK54" s="831" t="str">
        <f>IF($C54&lt;1,"",(AVERAGEIFS('09월 에너지'!T$14:T$949,'09월 에너지'!$A$14:$A$949,$A54,'09월 에너지'!$C$14:$C$949,$B54)))</f>
        <v/>
      </c>
      <c r="CL54" s="831" t="str">
        <f>IF($C54&lt;1,"",(AVERAGEIFS('09월 에너지'!U$14:U$949,'09월 에너지'!$A$14:$A$949,$A54,'09월 에너지'!$C$14:$C$949,$B54)))</f>
        <v/>
      </c>
      <c r="CM54" s="835" t="str">
        <f>IF($C54&lt;1,"",(AVERAGEIFS('09월 에너지'!V$14:V$949,'09월 에너지'!$A$14:$A$949,$A54,'09월 에너지'!$C$14:$C$949,$B54)))</f>
        <v/>
      </c>
      <c r="CN54" s="835" t="str">
        <f>IF($C54&lt;1,"",(AVERAGEIFS('09월 에너지'!W$14:W$949,'09월 에너지'!$A$14:$A$949,$A54,'09월 에너지'!$C$14:$C$949,$B54)))</f>
        <v/>
      </c>
      <c r="CO54" s="831" t="str">
        <f>IF($C54&lt;1,"",(AVERAGEIFS('09월 에너지'!X$14:X$949,'09월 에너지'!$A$14:$A$949,$A54,'09월 에너지'!$C$14:$C$949,$B54)))</f>
        <v/>
      </c>
      <c r="CP54" s="835" t="str">
        <f>IF($C54&lt;1,"",(AVERAGEIFS('09월 에너지'!Y$14:Y$949,'09월 에너지'!$A$14:$A$949,$A54,'09월 에너지'!$C$14:$C$949,$B54)))</f>
        <v/>
      </c>
      <c r="CQ54" s="835" t="str">
        <f>IF($C54&lt;1,"",(AVERAGEIFS('09월 에너지'!Z$14:Z$949,'09월 에너지'!$A$14:$A$949,$A54,'09월 에너지'!$C$14:$C$949,$B54)))</f>
        <v/>
      </c>
      <c r="CR54" s="835" t="str">
        <f>IF($C54&lt;1,"",(AVERAGEIFS('09월 에너지'!AA$14:AA$949,'09월 에너지'!$A$14:$A$949,$A54,'09월 에너지'!$C$14:$C$949,$B54)))</f>
        <v/>
      </c>
      <c r="CS54" s="835" t="str">
        <f>IF($C54&lt;1,"",(AVERAGEIFS('09월 에너지'!AB$14:AB$949,'09월 에너지'!$A$14:$A$949,$A54,'09월 에너지'!$C$14:$C$949,$B54)))</f>
        <v/>
      </c>
      <c r="CT54" s="831" t="str">
        <f>IF($C54&lt;1,"",(AVERAGEIFS('09월 에너지'!AC$14:AC$949,'09월 에너지'!$A$14:$A$949,$A54,'09월 에너지'!$C$14:$C$949,$B54)))</f>
        <v/>
      </c>
      <c r="CU54" s="836" t="str">
        <f>IF($C54&lt;1,"",(AVERAGEIFS('09월 에너지'!AD$14:AD$949,'09월 에너지'!$A$14:$A$949,$A54,'09월 에너지'!$C$14:$C$949,$B54)))</f>
        <v/>
      </c>
      <c r="CV54" s="837" t="str">
        <f>IF($C54&lt;1,"",(AVERAGEIFS('09월 에너지'!AE$14:AE$949,'09월 에너지'!$A$14:$A$949,$A54,'09월 에너지'!$C$14:$C$949,$B54)))</f>
        <v/>
      </c>
      <c r="CW54" s="831" t="str">
        <f>IF($C54&lt;1,"",(AVERAGEIFS('09월 에너지'!AF$14:AF$949,'09월 에너지'!$A$14:$A$949,$A54,'09월 에너지'!$C$14:$C$949,$B54)))</f>
        <v/>
      </c>
      <c r="CX54" s="831" t="str">
        <f>IF($C54&lt;1,"",(AVERAGEIFS('09월 에너지'!AG$14:AG$949,'09월 에너지'!$A$14:$A$949,$A54,'09월 에너지'!$C$14:$C$949,$B54)))</f>
        <v/>
      </c>
      <c r="CY54" s="831" t="str">
        <f>IF($C54&lt;1,"",(AVERAGEIFS('09월 에너지'!AH$14:AH$949,'09월 에너지'!$A$14:$A$949,$A54,'09월 에너지'!$C$14:$C$949,$B54)))</f>
        <v/>
      </c>
      <c r="CZ54" s="831" t="str">
        <f>IF($C54&lt;1,"",(AVERAGEIFS('09월 에너지'!AI$14:AI$949,'09월 에너지'!$A$14:$A$949,$A54,'09월 에너지'!$C$14:$C$949,$B54)))</f>
        <v/>
      </c>
      <c r="DA54" s="838" t="str">
        <f>IF($C54&lt;1,"",(AVERAGEIFS('09월 에너지'!AJ$14:AJ$949,'09월 에너지'!$A$14:$A$949,$A54,'09월 에너지'!$C$14:$C$949,$B54)))</f>
        <v/>
      </c>
    </row>
    <row r="55" spans="1:105" ht="13.5" customHeight="1" thickBot="1">
      <c r="A55" s="851">
        <f t="shared" si="2"/>
        <v>44936</v>
      </c>
      <c r="B55" s="852" t="s">
        <v>94</v>
      </c>
      <c r="C55" s="841">
        <f>COUNTIFS('09월 조업일지'!$A$12:$A$952,A51,'09월 조업일지'!$E$12:$E$952,B55)</f>
        <v>0</v>
      </c>
      <c r="D55" s="842" t="str">
        <f t="shared" si="11"/>
        <v/>
      </c>
      <c r="E55" s="842" t="str">
        <f>IF($C55&lt;1,"",(SUMIFS('09월 조업일지'!$K$12:$K$952,'09월 조업일지'!$A$12:$A$952,$A55,'09월 조업일지'!$E$12:$E$952,$B55)/$C55))</f>
        <v/>
      </c>
      <c r="F55" s="842" t="str">
        <f>IF($C55&lt;1,"",(AVERAGEIFS('09월 조업일지'!$J$12:$J$952,'09월 조업일지'!$A$12:$A$952,$A55,'09월 조업일지'!$E$12:$E$952,$B55)))</f>
        <v/>
      </c>
      <c r="G55" s="843" t="str">
        <f>IF($C55&lt;1,"",(AVERAGEIFS('09월 에너지'!$M$14:$M$949,'09월 에너지'!$A$14:$A$949,$A55,'09월 에너지'!$C$14:$C$949,$B55)))</f>
        <v/>
      </c>
      <c r="H55" s="844" t="str">
        <f>IF($C55&lt;1,"",(AVERAGEIFS('09월 조업일지'!$AJ$12:$AJ$952,'09월 조업일지'!$A$12:$A$952,$A55,'09월 조업일지'!$E$12:$E$952,$B55)))</f>
        <v/>
      </c>
      <c r="I55" s="844" t="str">
        <f>IF($C55&lt;1,"",(AVERAGEIFS('09월 조업일지'!$AL$12:$AL$952,'09월 조업일지'!$A$12:$A$952,$A55,'09월 조업일지'!$E$12:$E$952,$B55)))</f>
        <v/>
      </c>
      <c r="J55" s="845" t="str">
        <f>IF($C55&lt;1,"",(AVERAGEIFS('09월 화학성분'!G$12:G$949,'09월 화학성분'!$A$12:$A$949,$A55,'09월 화학성분'!$D$12:$D$949,$B55)))</f>
        <v/>
      </c>
      <c r="K55" s="845" t="str">
        <f>IF($C55&lt;1,"",(AVERAGEIFS('09월 화학성분'!H$12:H$949,'09월 화학성분'!$A$12:$A$949,$A55,'09월 화학성분'!$D$12:$D$949,$B55)))</f>
        <v/>
      </c>
      <c r="L55" s="845" t="str">
        <f>IF($C55&lt;1,"",(AVERAGEIFS('09월 화학성분'!I$12:I$949,'09월 화학성분'!$A$12:$A$949,$A55,'09월 화학성분'!$D$12:$D$949,$B55)))</f>
        <v/>
      </c>
      <c r="M55" s="845" t="str">
        <f>IF($C55&lt;1,"",(AVERAGEIFS('09월 화학성분'!J$12:J$949,'09월 화학성분'!$A$12:$A$949,$A55,'09월 화학성분'!$D$12:$D$949,$B55)))</f>
        <v/>
      </c>
      <c r="N55" s="845" t="str">
        <f>IF($C55&lt;1,"",(AVERAGEIFS('09월 화학성분'!K$12:K$949,'09월 화학성분'!$A$12:$A$949,$A55,'09월 화학성분'!$D$12:$D$949,$B55)))</f>
        <v/>
      </c>
      <c r="O55" s="845" t="str">
        <f>IF($C55&lt;1,"",(AVERAGEIFS('09월 화학성분'!L$12:L$949,'09월 화학성분'!$A$12:$A$949,$A55,'09월 화학성분'!$D$12:$D$949,$B55)))</f>
        <v/>
      </c>
      <c r="P55" s="845" t="str">
        <f>IF($C55&lt;1,"",(AVERAGEIFS('09월 화학성분'!M$12:M$949,'09월 화학성분'!$A$12:$A$949,$A55,'09월 화학성분'!$D$12:$D$949,$B55)))</f>
        <v/>
      </c>
      <c r="Q55" s="827" t="str">
        <f>IFERROR(IF($C55&lt;1,"",(AVERAGEIFS('09월 조업일지'!$AA$12:$AA$952,'09월 조업일지'!$A$12:$A$952,$A55,'09월 조업일지'!$E$12:$E$952,$B55))),"")</f>
        <v/>
      </c>
      <c r="R55" s="845" t="str">
        <f>IF($C55&lt;1,"",(AVERAGEIFS('09월 조업일지'!$AK$12:$AK$952,'09월 조업일지'!$A$12:$A$952,$A55,'09월 조업일지'!$E$12:$E$952,$B55)))</f>
        <v/>
      </c>
      <c r="S55" s="845"/>
      <c r="T55" s="845"/>
      <c r="U55" s="845" t="str">
        <f>IF($C55&lt;1,"",(AVERAGEIFS('09월 화학성분'!$G$12:$G$949,'09월 화학성분'!$A$12:$A$949,$A55,'09월 화학성분'!$D$12:$D$949,$B55)))</f>
        <v/>
      </c>
      <c r="V55" s="845" t="str">
        <f>IF($C55&lt;1,"",(AVERAGEIFS('09월 조업일지'!$AI$12:$AI$952,'09월 조업일지'!$A$12:$A$952,$A55,'09월 조업일지'!$E$12:$E$952,$B55)))</f>
        <v/>
      </c>
      <c r="W55" s="846" t="str">
        <f>IF($C55&lt;1,"",(AVERAGEIFS('09월 화학성분'!$AM$12:$AM$949,'09월 화학성분'!$A$12:$A$949,$A55,'09월 화학성분'!$D$12:$D$949,$B55)))</f>
        <v/>
      </c>
      <c r="X55" s="829" t="str">
        <f>IF($C55&lt;1,"",(AVERAGEIFS('09월 화학성분'!N$12:N$949,'09월 화학성분'!$A$12:$A$949,$A55,'09월 화학성분'!$D$12:$D$949,$B55)))</f>
        <v/>
      </c>
      <c r="Y55" s="829" t="str">
        <f>IF($C55&lt;1,"",(AVERAGEIFS('09월 화학성분'!O$12:O$949,'09월 화학성분'!$A$12:$A$949,$A55,'09월 화학성분'!$D$12:$D$949,$B55)))</f>
        <v/>
      </c>
      <c r="Z55" s="829" t="str">
        <f>IF($C55&lt;1,"",(AVERAGEIFS('09월 화학성분'!P$12:P$949,'09월 화학성분'!$A$12:$A$949,$A55,'09월 화학성분'!$D$12:$D$949,$B55)))</f>
        <v/>
      </c>
      <c r="AA55" s="829" t="str">
        <f>IF($C55&lt;1,"",(AVERAGEIFS('09월 화학성분'!Q$12:Q$949,'09월 화학성분'!$A$12:$A$949,$A55,'09월 화학성분'!$D$12:$D$949,$B55)))</f>
        <v/>
      </c>
      <c r="AB55" s="829" t="str">
        <f>IF($C55&lt;1,"",(AVERAGEIFS('09월 화학성분'!R$12:R$949,'09월 화학성분'!$A$12:$A$949,$A55,'09월 화학성분'!$D$12:$D$949,$B55)))</f>
        <v/>
      </c>
      <c r="AC55" s="829" t="str">
        <f>IF($C55&lt;1,"",(AVERAGEIFS('09월 화학성분'!U$12:U$949,'09월 화학성분'!$A$12:$A$949,$A55,'09월 화학성분'!$D$12:$D$949,$B55)))</f>
        <v/>
      </c>
      <c r="AD55" s="829" t="str">
        <f>IF($C55&lt;1,"",(AVERAGEIFS('09월 화학성분'!V$12:V$949,'09월 화학성분'!$A$12:$A$949,$A55,'09월 화학성분'!$D$12:$D$949,$B55)))</f>
        <v/>
      </c>
      <c r="AE55" s="829" t="str">
        <f>IF($C55&lt;1,"",(AVERAGEIFS('09월 화학성분'!W$12:W$949,'09월 화학성분'!$A$12:$A$949,$A55,'09월 화학성분'!$D$12:$D$949,$B55)))</f>
        <v/>
      </c>
      <c r="AF55" s="829" t="str">
        <f>IF($C55&lt;1,"",(AVERAGEIFS('09월 화학성분'!AA$12:AA$949,'09월 화학성분'!$A$12:$A$949,$A55,'09월 화학성분'!$D$12:$D$949,$B55)))</f>
        <v/>
      </c>
      <c r="AG55" s="829" t="str">
        <f>IF($C55&lt;1,"",(AVERAGEIFS('09월 화학성분'!#REF!,'09월 화학성분'!$A$12:$A$949,$A55,'09월 화학성분'!$D$12:$D$949,$B55)))</f>
        <v/>
      </c>
      <c r="AH55" s="829" t="str">
        <f>IF($C55&lt;1,"",(AVERAGEIFS('09월 화학성분'!AB$12:AB$949,'09월 화학성분'!$A$12:$A$949,$A55,'09월 화학성분'!$D$12:$D$949,$B55)))</f>
        <v/>
      </c>
      <c r="AI55" s="829" t="str">
        <f>IF($C55&lt;1,"",(AVERAGEIFS('09월 화학성분'!AC$12:AC$949,'09월 화학성분'!$A$12:$A$949,$A55,'09월 화학성분'!$D$12:$D$949,$B55)))</f>
        <v/>
      </c>
      <c r="AJ55" s="829" t="str">
        <f>IF($C55&lt;1,"",(AVERAGEIFS('09월 화학성분'!AD$12:AD$949,'09월 화학성분'!$A$12:$A$949,$A55,'09월 화학성분'!$D$12:$D$949,$B55)))</f>
        <v/>
      </c>
      <c r="AK55" s="829" t="str">
        <f>IF($C55&lt;1,"",(AVERAGEIFS('09월 화학성분'!AF$12:AF$949,'09월 화학성분'!$A$12:$A$949,$A55,'09월 화학성분'!$D$12:$D$949,$B55)))</f>
        <v/>
      </c>
      <c r="AL55" s="829" t="str">
        <f>IF($C55&lt;1,"",(AVERAGEIFS('09월 화학성분'!AG$12:AG$949,'09월 화학성분'!$A$12:$A$949,$A55,'09월 화학성분'!$D$12:$D$949,$B55)))</f>
        <v/>
      </c>
      <c r="AM55" s="829" t="str">
        <f>IF($C55&lt;1,"",(AVERAGEIFS('09월 화학성분'!AH$12:AH$949,'09월 화학성분'!$A$12:$A$949,$A55,'09월 화학성분'!$D$12:$D$949,$B55)))</f>
        <v/>
      </c>
      <c r="AN55" s="829" t="str">
        <f>IF($C55&lt;1,"",(AVERAGEIFS('09월 화학성분'!AI$12:AI$949,'09월 화학성분'!$A$12:$A$949,$A55,'09월 화학성분'!$D$12:$D$949,$B55)))</f>
        <v/>
      </c>
      <c r="AO55" s="829" t="str">
        <f>IF($C55&lt;1,"",(AVERAGEIFS('09월 화학성분'!AJ$12:AJ$949,'09월 화학성분'!$A$12:$A$949,$A55,'09월 화학성분'!$D$12:$D$949,$B55)))</f>
        <v/>
      </c>
      <c r="AP55" s="829" t="str">
        <f>IF($C55&lt;1,"",(AVERAGEIFS('09월 화학성분'!#REF!,'09월 화학성분'!$A$12:$A$949,$A55,'09월 화학성분'!$D$12:$D$949,$B55)))</f>
        <v/>
      </c>
      <c r="AQ55" s="829" t="str">
        <f>IF($C55&lt;1,"",(AVERAGEIFS('09월 화학성분'!AL$12:AL$949,'09월 화학성분'!$A$12:$A$949,$A55,'09월 화학성분'!$D$12:$D$949,$B55)))</f>
        <v/>
      </c>
      <c r="AR55" s="829" t="str">
        <f>IF($C55&lt;1,"",(AVERAGEIFS('09월 화학성분'!AM$12:AM$949,'09월 화학성분'!$A$12:$A$949,$A55,'09월 화학성분'!$D$12:$D$949,$B55)))</f>
        <v/>
      </c>
      <c r="AS55" s="830" t="str">
        <f>IF($C55&lt;1,"",(AVERAGEIFS('09월 화학성분'!AN$12:AN$949,'09월 화학성분'!$A$12:$A$949,$A55,'09월 화학성분'!$D$12:$D$949,$B55)))</f>
        <v/>
      </c>
      <c r="AT55" s="830" t="str">
        <f>IF($C55&lt;1,"",(AVERAGEIFS('09월 화학성분'!AO$12:AO$949,'09월 화학성분'!$A$12:$A$949,$A55,'09월 화학성분'!$D$12:$D$949,$B55)))</f>
        <v/>
      </c>
      <c r="AU55" s="831" t="str">
        <f>IF($C55&lt;1,"",(AVERAGEIFS('09월 화학성분'!AP$12:AP$949,'09월 화학성분'!$A$12:$A$949,$A55,'09월 화학성분'!$D$12:$D$949,$B55)))</f>
        <v/>
      </c>
      <c r="AV55" s="832" t="str">
        <f>IF($C55&lt;1,"",(AVERAGEIFS('09월 고철장입'!G$14:G$949,'09월 고철장입'!$A$14:$A$949,$A55,'09월 고철장입'!$C$14:$C$949,$B55))/1000)</f>
        <v/>
      </c>
      <c r="AW55" s="832" t="str">
        <f>IF($C55&lt;1,"",(AVERAGEIFS('09월 고철장입'!H$14:H$949,'09월 고철장입'!$A$14:$A$949,$A55,'09월 고철장입'!$C$14:$C$949,$B55))/1000)</f>
        <v/>
      </c>
      <c r="AX55" s="832" t="str">
        <f>IF($C55&lt;1,"",(AVERAGEIFS('09월 고철장입'!I$14:I$949,'09월 고철장입'!$A$14:$A$949,$A55,'09월 고철장입'!$C$14:$C$949,$B55))/1000)</f>
        <v/>
      </c>
      <c r="AY55" s="832" t="str">
        <f>IF($C55&lt;1,"",(AVERAGEIFS('09월 고철장입'!J$14:J$949,'09월 고철장입'!$A$14:$A$949,$A55,'09월 고철장입'!$C$14:$C$949,$B55))/1000)</f>
        <v/>
      </c>
      <c r="AZ55" s="832" t="str">
        <f>IF($C55&lt;1,"",(AVERAGEIFS('09월 고철장입'!K$14:K$949,'09월 고철장입'!$A$14:$A$949,$A55,'09월 고철장입'!$C$14:$C$949,$B55))/1000)</f>
        <v/>
      </c>
      <c r="BA55" s="832" t="str">
        <f>IF($C55&lt;1,"",(AVERAGEIFS('09월 고철장입'!L$14:L$949,'09월 고철장입'!$A$14:$A$949,$A55,'09월 고철장입'!$C$14:$C$949,$B55))/1000)</f>
        <v/>
      </c>
      <c r="BB55" s="832" t="str">
        <f>IF($C55&lt;1,"",(AVERAGEIFS('09월 고철장입'!M$14:M$949,'09월 고철장입'!$A$14:$A$949,$A55,'09월 고철장입'!$C$14:$C$949,$B55))/1000)</f>
        <v/>
      </c>
      <c r="BC55" s="832" t="str">
        <f>IF($C55&lt;1,"",(AVERAGEIFS('09월 고철장입'!N$14:N$949,'09월 고철장입'!$A$14:$A$949,$A55,'09월 고철장입'!$C$14:$C$949,$B55))/1000)</f>
        <v/>
      </c>
      <c r="BD55" s="832" t="str">
        <f>IF($C55&lt;1,"",(AVERAGEIFS('09월 고철장입'!O$14:O$949,'09월 고철장입'!$A$14:$A$949,$A55,'09월 고철장입'!$C$14:$C$949,$B55))/1000)</f>
        <v/>
      </c>
      <c r="BE55" s="833" t="str">
        <f>IF($C55&lt;1,"",(AVERAGEIFS('09월 고철장입'!P$14:P$949,'09월 고철장입'!$A$14:$A$949,$A55,'09월 고철장입'!$C$14:$C$949,$B55))/1000)</f>
        <v/>
      </c>
      <c r="BF55" s="833" t="str">
        <f>IF($C55&lt;1,"",(AVERAGEIFS('09월 고철장입'!Q$14:Q$949,'09월 고철장입'!$A$14:$A$949,$A55,'09월 고철장입'!$C$14:$C$949,$B55))/1000)</f>
        <v/>
      </c>
      <c r="BG55" s="833" t="str">
        <f>IF($C55&lt;1,"",(AVERAGEIFS('09월 고철장입'!S$14:S$949,'09월 고철장입'!$A$14:$A$949,$A55,'09월 고철장입'!$C$14:$C$949,$B55))/1000)</f>
        <v/>
      </c>
      <c r="BH55" s="833" t="str">
        <f>IF($C55&lt;1,"",(AVERAGEIFS('09월 고철장입'!T$14:T$949,'09월 고철장입'!$A$14:$A$949,$A55,'09월 고철장입'!$C$14:$C$949,$B55))/1000)</f>
        <v/>
      </c>
      <c r="BI55" s="833" t="str">
        <f>IF($C55&lt;1,"",(AVERAGEIFS('09월 고철장입'!U$14:U$949,'09월 고철장입'!$A$14:$A$949,$A55,'09월 고철장입'!$C$14:$C$949,$B55))/1000)</f>
        <v/>
      </c>
      <c r="BJ55" s="833" t="str">
        <f>IF($C55&lt;1,"",(AVERAGEIFS('09월 고철장입'!V$14:V$949,'09월 고철장입'!$A$14:$A$949,$A55,'09월 고철장입'!$C$14:$C$949,$B55))/1000)</f>
        <v/>
      </c>
      <c r="BK55" s="833" t="str">
        <f>IF($C55&lt;1,"",(AVERAGEIFS('09월 고철장입'!W$14:W$949,'09월 고철장입'!$A$14:$A$949,$A55,'09월 고철장입'!$C$14:$C$949,$B55))/1000)</f>
        <v/>
      </c>
      <c r="BL55" s="833" t="str">
        <f>IF($C55&lt;1,"",(AVERAGEIFS('09월 고철장입'!Y$14:Y$949,'09월 고철장입'!$A$14:$A$949,$A55,'09월 고철장입'!$C$14:$C$949,$B55))/1000)</f>
        <v/>
      </c>
      <c r="BM55" s="833" t="str">
        <f>IF($C55&lt;1,"",(AVERAGEIFS('09월 고철장입'!AB$14:AB$949,'09월 고철장입'!$A$14:$A$949,$A55,'09월 고철장입'!$C$14:$C$949,$B55))/1000)</f>
        <v/>
      </c>
      <c r="BN55" s="833" t="str">
        <f>IF($C55&lt;1,"",(AVERAGEIFS('09월 고철장입'!AC$14:AC$949,'09월 고철장입'!$A$14:$A$949,$A55,'09월 고철장입'!$C$14:$C$949,$B55))/1000)</f>
        <v/>
      </c>
      <c r="BO55" s="833" t="str">
        <f>IF($C55&lt;1,"",(AVERAGEIFS('09월 고철장입'!AD$14:AD$949,'09월 고철장입'!$A$14:$A$949,$A55,'09월 고철장입'!$C$14:$C$949,$B55))/1000)</f>
        <v/>
      </c>
      <c r="BP55" s="833" t="str">
        <f>IF($C55&lt;1,"",(AVERAGEIFS('09월 고철장입'!AE$14:AE$949,'09월 고철장입'!$A$14:$A$949,$A55,'09월 고철장입'!$C$14:$C$949,$B55))/1000)</f>
        <v/>
      </c>
      <c r="BQ55" s="832" t="str">
        <f>IF($C55&lt;1,"",(AVERAGEIFS('09월 고철장입'!AF$14:AF$949,'09월 고철장입'!$A$14:$A$949,$A55,'09월 고철장입'!$C$14:$C$949,$B55))/1000)</f>
        <v/>
      </c>
      <c r="BR55" s="832" t="str">
        <f>IF($C55&lt;1,"",(AVERAGEIFS('09월 고철장입'!AG$14:AG$949,'09월 고철장입'!$A$14:$A$949,$A55,'09월 고철장입'!$C$14:$C$949,$B55))/1000)</f>
        <v/>
      </c>
      <c r="BS55" s="832" t="str">
        <f>IF($C55&lt;1,"",(AVERAGEIFS('09월 고철장입'!AH$14:AH$949,'09월 고철장입'!$A$14:$A$949,$A55,'09월 고철장입'!$C$14:$C$949,$B55))/1000)</f>
        <v/>
      </c>
      <c r="BT55" s="832" t="str">
        <f>IF($C55&lt;1,"",(AVERAGEIFS('09월 고철장입'!AI$14:AI$949,'09월 고철장입'!$A$14:$A$949,$A55,'09월 고철장입'!$C$14:$C$949,$B55))/1000)</f>
        <v/>
      </c>
      <c r="BU55" s="834" t="str">
        <f>IF($C55&lt;1,"",(AVERAGEIFS('09월 고철장입'!AJ$14:AJ$949,'09월 고철장입'!$A$14:$A$949,$A55,'09월 고철장입'!$C$14:$C$949,$B55))/1000)</f>
        <v/>
      </c>
      <c r="BV55" s="834" t="str">
        <f>IF($C55&lt;1,"",(AVERAGEIFS('09월 고철장입'!AK$14:AK$949,'09월 고철장입'!$A$14:$A$949,$A55,'09월 고철장입'!$C$14:$C$949,$B55)))</f>
        <v/>
      </c>
      <c r="BW55" s="834" t="str">
        <f>IF($C55&lt;1,"",(AVERAGEIFS('09월 고철장입'!AL$14:AL$949,'09월 고철장입'!$A$14:$A$949,$A55,'09월 고철장입'!$C$14:$C$949,$B55))*100)</f>
        <v/>
      </c>
      <c r="BX55" s="831" t="str">
        <f>IF($C55&lt;1,"",(AVERAGEIFS('09월 에너지'!G$14:G$949,'09월 에너지'!$A$14:$A$949,$A55,'09월 에너지'!$C$14:$C$949,$B55)))</f>
        <v/>
      </c>
      <c r="BY55" s="835" t="str">
        <f>IF($C55&lt;1,"",(AVERAGEIFS('09월 에너지'!H$14:H$949,'09월 에너지'!$A$14:$A$949,$A55,'09월 에너지'!$C$14:$C$949,$B55)))</f>
        <v/>
      </c>
      <c r="BZ55" s="831" t="str">
        <f>IF($C55&lt;1,"",(AVERAGEIFS('09월 에너지'!I$14:I$949,'09월 에너지'!$A$14:$A$949,$A55,'09월 에너지'!$C$14:$C$949,$B55)))</f>
        <v/>
      </c>
      <c r="CA55" s="835" t="str">
        <f>IF($C55&lt;1,"",(AVERAGEIFS('09월 에너지'!J$14:J$949,'09월 에너지'!$A$14:$A$949,$A55,'09월 에너지'!$C$14:$C$949,$B55)))</f>
        <v/>
      </c>
      <c r="CB55" s="831" t="str">
        <f>IF($C55&lt;1,"",(AVERAGEIFS('09월 에너지'!K$14:K$949,'09월 에너지'!$A$14:$A$949,$A55,'09월 에너지'!$C$14:$C$949,$B55)))</f>
        <v/>
      </c>
      <c r="CC55" s="835" t="str">
        <f>IF($C55&lt;1,"",(AVERAGEIFS('09월 에너지'!L$14:L$949,'09월 에너지'!$A$14:$A$949,$A55,'09월 에너지'!$C$14:$C$949,$B55)))</f>
        <v/>
      </c>
      <c r="CD55" s="831" t="str">
        <f>IF($C55&lt;1,"",(AVERAGEIFS('09월 에너지'!M$14:M$949,'09월 에너지'!$A$14:$A$949,$A55,'09월 에너지'!$C$14:$C$949,$B55)))</f>
        <v/>
      </c>
      <c r="CE55" s="835" t="str">
        <f>IF($C55&lt;1,"",(AVERAGEIFS('09월 에너지'!N$14:N$949,'09월 에너지'!$A$14:$A$949,$A55,'09월 에너지'!$C$14:$C$949,$B55)))</f>
        <v/>
      </c>
      <c r="CF55" s="831" t="str">
        <f>IF($C55&lt;1,"",(AVERAGEIFS('09월 에너지'!O$14:O$949,'09월 에너지'!$A$14:$A$949,$A55,'09월 에너지'!$C$14:$C$949,$B55)))</f>
        <v/>
      </c>
      <c r="CG55" s="831" t="str">
        <f>IF($C55&lt;1,"",(AVERAGEIFS('09월 에너지'!P$14:P$949,'09월 에너지'!$A$14:$A$949,$A55,'09월 에너지'!$C$14:$C$949,$B55)))</f>
        <v/>
      </c>
      <c r="CH55" s="831" t="str">
        <f>IF($C55&lt;1,"",(AVERAGEIFS('09월 에너지'!Q$14:Q$949,'09월 에너지'!$A$14:$A$949,$A55,'09월 에너지'!$C$14:$C$949,$B55)))</f>
        <v/>
      </c>
      <c r="CI55" s="831" t="str">
        <f>IF($C55&lt;1,"",(AVERAGEIFS('09월 에너지'!R$14:R$949,'09월 에너지'!$A$14:$A$949,$A55,'09월 에너지'!$C$14:$C$949,$B55)))</f>
        <v/>
      </c>
      <c r="CJ55" s="831" t="str">
        <f>IF($C55&lt;1,"",(AVERAGEIFS('09월 에너지'!S$14:S$949,'09월 에너지'!$A$14:$A$949,$A55,'09월 에너지'!$C$14:$C$949,$B55)))</f>
        <v/>
      </c>
      <c r="CK55" s="831" t="str">
        <f>IF($C55&lt;1,"",(AVERAGEIFS('09월 에너지'!T$14:T$949,'09월 에너지'!$A$14:$A$949,$A55,'09월 에너지'!$C$14:$C$949,$B55)))</f>
        <v/>
      </c>
      <c r="CL55" s="831" t="str">
        <f>IF($C55&lt;1,"",(AVERAGEIFS('09월 에너지'!U$14:U$949,'09월 에너지'!$A$14:$A$949,$A55,'09월 에너지'!$C$14:$C$949,$B55)))</f>
        <v/>
      </c>
      <c r="CM55" s="835" t="str">
        <f>IF($C55&lt;1,"",(AVERAGEIFS('09월 에너지'!V$14:V$949,'09월 에너지'!$A$14:$A$949,$A55,'09월 에너지'!$C$14:$C$949,$B55)))</f>
        <v/>
      </c>
      <c r="CN55" s="835" t="str">
        <f>IF($C55&lt;1,"",(AVERAGEIFS('09월 에너지'!W$14:W$949,'09월 에너지'!$A$14:$A$949,$A55,'09월 에너지'!$C$14:$C$949,$B55)))</f>
        <v/>
      </c>
      <c r="CO55" s="831" t="str">
        <f>IF($C55&lt;1,"",(AVERAGEIFS('09월 에너지'!X$14:X$949,'09월 에너지'!$A$14:$A$949,$A55,'09월 에너지'!$C$14:$C$949,$B55)))</f>
        <v/>
      </c>
      <c r="CP55" s="835" t="str">
        <f>IF($C55&lt;1,"",(AVERAGEIFS('09월 에너지'!Y$14:Y$949,'09월 에너지'!$A$14:$A$949,$A55,'09월 에너지'!$C$14:$C$949,$B55)))</f>
        <v/>
      </c>
      <c r="CQ55" s="835" t="str">
        <f>IF($C55&lt;1,"",(AVERAGEIFS('09월 에너지'!Z$14:Z$949,'09월 에너지'!$A$14:$A$949,$A55,'09월 에너지'!$C$14:$C$949,$B55)))</f>
        <v/>
      </c>
      <c r="CR55" s="835" t="str">
        <f>IF($C55&lt;1,"",(AVERAGEIFS('09월 에너지'!AA$14:AA$949,'09월 에너지'!$A$14:$A$949,$A55,'09월 에너지'!$C$14:$C$949,$B55)))</f>
        <v/>
      </c>
      <c r="CS55" s="835" t="str">
        <f>IF($C55&lt;1,"",(AVERAGEIFS('09월 에너지'!AB$14:AB$949,'09월 에너지'!$A$14:$A$949,$A55,'09월 에너지'!$C$14:$C$949,$B55)))</f>
        <v/>
      </c>
      <c r="CT55" s="831" t="str">
        <f>IF($C55&lt;1,"",(AVERAGEIFS('09월 에너지'!AC$14:AC$949,'09월 에너지'!$A$14:$A$949,$A55,'09월 에너지'!$C$14:$C$949,$B55)))</f>
        <v/>
      </c>
      <c r="CU55" s="836" t="str">
        <f>IF($C55&lt;1,"",(AVERAGEIFS('09월 에너지'!AD$14:AD$949,'09월 에너지'!$A$14:$A$949,$A55,'09월 에너지'!$C$14:$C$949,$B55)))</f>
        <v/>
      </c>
      <c r="CV55" s="837" t="str">
        <f>IF($C55&lt;1,"",(AVERAGEIFS('09월 에너지'!AE$14:AE$949,'09월 에너지'!$A$14:$A$949,$A55,'09월 에너지'!$C$14:$C$949,$B55)))</f>
        <v/>
      </c>
      <c r="CW55" s="831" t="str">
        <f>IF($C55&lt;1,"",(AVERAGEIFS('09월 에너지'!AF$14:AF$949,'09월 에너지'!$A$14:$A$949,$A55,'09월 에너지'!$C$14:$C$949,$B55)))</f>
        <v/>
      </c>
      <c r="CX55" s="831" t="str">
        <f>IF($C55&lt;1,"",(AVERAGEIFS('09월 에너지'!AG$14:AG$949,'09월 에너지'!$A$14:$A$949,$A55,'09월 에너지'!$C$14:$C$949,$B55)))</f>
        <v/>
      </c>
      <c r="CY55" s="831" t="str">
        <f>IF($C55&lt;1,"",(AVERAGEIFS('09월 에너지'!AH$14:AH$949,'09월 에너지'!$A$14:$A$949,$A55,'09월 에너지'!$C$14:$C$949,$B55)))</f>
        <v/>
      </c>
      <c r="CZ55" s="831" t="str">
        <f>IF($C55&lt;1,"",(AVERAGEIFS('09월 에너지'!AI$14:AI$949,'09월 에너지'!$A$14:$A$949,$A55,'09월 에너지'!$C$14:$C$949,$B55)))</f>
        <v/>
      </c>
      <c r="DA55" s="838" t="str">
        <f>IF($C55&lt;1,"",(AVERAGEIFS('09월 에너지'!AJ$14:AJ$949,'09월 에너지'!$A$14:$A$949,$A55,'09월 에너지'!$C$14:$C$949,$B55)))</f>
        <v/>
      </c>
    </row>
    <row r="56" spans="1:105" ht="13.5" customHeight="1">
      <c r="A56" s="847">
        <f>A51+1</f>
        <v>44937</v>
      </c>
      <c r="B56" s="848" t="s">
        <v>31</v>
      </c>
      <c r="C56" s="810">
        <f>COUNTIF('09월 조업일지'!$A$12:$A$952,A56)</f>
        <v>0</v>
      </c>
      <c r="D56" s="787" t="str">
        <f>IF(C56&lt;1,"",F56-E56)</f>
        <v/>
      </c>
      <c r="E56" s="787" t="str">
        <f>IF($C56&lt;1,"",(SUMIF('09월 조업일지'!$A$12:$A$952,$A56,'09월 조업일지'!$K$12:$K$952))/C56)</f>
        <v/>
      </c>
      <c r="F56" s="787" t="str">
        <f>IF($C56&lt;1,"",AVERAGEIF('09월 조업일지'!$A$12:$A$952,$A56,'09월 조업일지'!$J$12:$J$952))</f>
        <v/>
      </c>
      <c r="G56" s="811" t="str">
        <f>IF($C56&lt;1,"",AVERAGEIF('09월 에너지'!$A$14:$A$949,$A56,'09월 에너지'!$M$14:M$949))</f>
        <v/>
      </c>
      <c r="H56" s="812" t="str">
        <f>IF($C56&lt;1,"",AVERAGEIF('09월 조업일지'!$A$12:$A$952,$A56,'09월 조업일지'!$AJ$12:$AJ$952))</f>
        <v/>
      </c>
      <c r="I56" s="812" t="str">
        <f>IF($C56&lt;1,"",AVERAGEIF('09월 조업일지'!$A$12:$A$952,$A56,'09월 조업일지'!$AL$12:$AL$952))</f>
        <v/>
      </c>
      <c r="J56" s="813" t="str">
        <f>IF($C56&lt;1,"",AVERAGEIF('09월 화학성분'!$A$12:$A$949,$A56,'09월 화학성분'!G$12:G$949))</f>
        <v/>
      </c>
      <c r="K56" s="813" t="str">
        <f>IF($C56&lt;1,"",AVERAGEIF('09월 화학성분'!$A$12:$A$949,$A56,'09월 화학성분'!H$12:H$949))</f>
        <v/>
      </c>
      <c r="L56" s="813" t="str">
        <f>IF($C56&lt;1,"",AVERAGEIF('09월 화학성분'!$A$12:$A$949,$A56,'09월 화학성분'!I$12:I$949))</f>
        <v/>
      </c>
      <c r="M56" s="813" t="str">
        <f>IF($C56&lt;1,"",AVERAGEIF('09월 화학성분'!$A$12:$A$949,$A56,'09월 화학성분'!J$12:J$949))</f>
        <v/>
      </c>
      <c r="N56" s="813" t="str">
        <f>IF($C56&lt;1,"",AVERAGEIF('09월 화학성분'!$A$12:$A$949,$A56,'09월 화학성분'!K$12:K$949))</f>
        <v/>
      </c>
      <c r="O56" s="813" t="str">
        <f>IF($C56&lt;1,"",AVERAGEIF('09월 화학성분'!$A$12:$A$949,$A56,'09월 화학성분'!L$12:L$949))</f>
        <v/>
      </c>
      <c r="P56" s="813" t="str">
        <f>IF($C56&lt;1,"",AVERAGEIF('09월 화학성분'!$A$12:$A$949,$A56,'09월 화학성분'!M$12:M$949))</f>
        <v/>
      </c>
      <c r="Q56" s="814" t="str">
        <f>IF($C56&lt;1,"",AVERAGEIF('09월 조업일지'!$A$12:$A$952,$A56,'09월 조업일지'!$AA$12:$AA$952))</f>
        <v/>
      </c>
      <c r="R56" s="814" t="str">
        <f>IF($C56&lt;1,"",AVERAGEIF('09월 조업일지'!$A$12:$A$952,$A56,'09월 조업일지'!$AK$12:$AK$952))</f>
        <v/>
      </c>
      <c r="S56" s="814"/>
      <c r="T56" s="814"/>
      <c r="U56" s="813" t="str">
        <f>IF($C56&lt;1,"",AVERAGEIF('09월 화학성분'!$A$12:$A$949,$A56,'09월 화학성분'!$G$12:$G$949))</f>
        <v/>
      </c>
      <c r="V56" s="814" t="str">
        <f>IF($C56&lt;1,"",AVERAGEIF('09월 조업일지'!$A$12:$A$952,$A56,'09월 조업일지'!$AI$12:$AI$952))</f>
        <v/>
      </c>
      <c r="W56" s="813" t="str">
        <f>IF($C56&lt;1,"",AVERAGEIF('09월 화학성분'!$A$12:$A$949,$A56,'09월 화학성분'!$AM$12:$AM$949))</f>
        <v/>
      </c>
      <c r="X56" s="815" t="str">
        <f>IF($C56&lt;1,"",AVERAGEIF('09월 화학성분'!$A$12:$A$949,$A56,'09월 화학성분'!N$12:N$949))</f>
        <v/>
      </c>
      <c r="Y56" s="815" t="str">
        <f>IF($C56&lt;1,"",AVERAGEIF('09월 화학성분'!$A$12:$A$949,$A56,'09월 화학성분'!O$12:O$949))</f>
        <v/>
      </c>
      <c r="Z56" s="815" t="str">
        <f>IF($C56&lt;1,"",AVERAGEIF('09월 화학성분'!$A$12:$A$949,$A56,'09월 화학성분'!P$12:P$949))</f>
        <v/>
      </c>
      <c r="AA56" s="815" t="str">
        <f>IF($C56&lt;1,"",AVERAGEIF('09월 화학성분'!$A$12:$A$949,$A56,'09월 화학성분'!Q$12:Q$949))</f>
        <v/>
      </c>
      <c r="AB56" s="815" t="str">
        <f>IF($C56&lt;1,"",AVERAGEIF('09월 화학성분'!$A$12:$A$949,$A56,'09월 화학성분'!R$12:R$949))</f>
        <v/>
      </c>
      <c r="AC56" s="815" t="str">
        <f>IF($C56&lt;1,"",AVERAGEIF('09월 화학성분'!$A$12:$A$949,$A56,'09월 화학성분'!U$12:U$949))</f>
        <v/>
      </c>
      <c r="AD56" s="815" t="str">
        <f>IF($C56&lt;1,"",AVERAGEIF('09월 화학성분'!$A$12:$A$949,$A56,'09월 화학성분'!V$12:V$949))</f>
        <v/>
      </c>
      <c r="AE56" s="815" t="str">
        <f>IF($C56&lt;1,"",AVERAGEIF('09월 화학성분'!$A$12:$A$949,$A56,'09월 화학성분'!W$12:W$949))</f>
        <v/>
      </c>
      <c r="AF56" s="815" t="str">
        <f>IF($C56&lt;1,"",AVERAGEIF('09월 화학성분'!$A$12:$A$949,$A56,'09월 화학성분'!AA$12:AA$949))</f>
        <v/>
      </c>
      <c r="AG56" s="815" t="str">
        <f>IF($C56&lt;1,"",AVERAGEIF('09월 화학성분'!$A$12:$A$949,$A56,'09월 화학성분'!#REF!))</f>
        <v/>
      </c>
      <c r="AH56" s="815" t="str">
        <f>IF($C56&lt;1,"",AVERAGEIF('09월 화학성분'!$A$12:$A$949,$A56,'09월 화학성분'!AB$12:AB$949))</f>
        <v/>
      </c>
      <c r="AI56" s="815" t="str">
        <f>IF($C56&lt;1,"",AVERAGEIF('09월 화학성분'!$A$12:$A$949,$A56,'09월 화학성분'!AC$12:AC$949))</f>
        <v/>
      </c>
      <c r="AJ56" s="815" t="str">
        <f>IF($C56&lt;1,"",AVERAGEIF('09월 화학성분'!$A$12:$A$949,$A56,'09월 화학성분'!AD$12:AD$949))</f>
        <v/>
      </c>
      <c r="AK56" s="815" t="str">
        <f>IF($C56&lt;1,"",AVERAGEIF('09월 화학성분'!$A$12:$A$949,$A56,'09월 화학성분'!AF$12:AF$949))</f>
        <v/>
      </c>
      <c r="AL56" s="815" t="str">
        <f>IF($C56&lt;1,"",AVERAGEIF('09월 화학성분'!$A$12:$A$949,$A56,'09월 화학성분'!AG$12:AG$949))</f>
        <v/>
      </c>
      <c r="AM56" s="815" t="str">
        <f>IF($C56&lt;1,"",AVERAGEIF('09월 화학성분'!$A$12:$A$949,$A56,'09월 화학성분'!AH$12:AH$949))</f>
        <v/>
      </c>
      <c r="AN56" s="815" t="str">
        <f>IF($C56&lt;1,"",AVERAGEIF('09월 화학성분'!$A$12:$A$949,$A56,'09월 화학성분'!AI$12:AI$949))</f>
        <v/>
      </c>
      <c r="AO56" s="815" t="str">
        <f>IF($C56&lt;1,"",AVERAGEIF('09월 화학성분'!$A$12:$A$949,$A56,'09월 화학성분'!AJ$12:AJ$949))</f>
        <v/>
      </c>
      <c r="AP56" s="815" t="str">
        <f>IF($C56&lt;1,"",AVERAGEIF('09월 화학성분'!$A$12:$A$949,$A56,'09월 화학성분'!#REF!))</f>
        <v/>
      </c>
      <c r="AQ56" s="815" t="str">
        <f>IF($C56&lt;1,"",AVERAGEIF('09월 화학성분'!$A$12:$A$949,$A56,'09월 화학성분'!AL$12:AL$949))</f>
        <v/>
      </c>
      <c r="AR56" s="815" t="str">
        <f>IF($C56&lt;1,"",AVERAGEIF('09월 화학성분'!$A$12:$A$949,$A56,'09월 화학성분'!AM$12:AM$949))</f>
        <v/>
      </c>
      <c r="AS56" s="816" t="str">
        <f>IF($C56&lt;1,"",AVERAGEIF('09월 화학성분'!$A$12:$A$949,$A56,'09월 화학성분'!AN$12:AN$949))</f>
        <v/>
      </c>
      <c r="AT56" s="816" t="str">
        <f>IF($C56&lt;1,"",AVERAGEIF('09월 화학성분'!$A$12:$A$949,$A56,'09월 화학성분'!AO$12:AO$949))</f>
        <v/>
      </c>
      <c r="AU56" s="815" t="str">
        <f>IF($C56&lt;1,"",AVERAGEIF('09월 화학성분'!$A$12:$A$949,$A56,'09월 화학성분'!AP$12:AP$949))</f>
        <v/>
      </c>
      <c r="AV56" s="815" t="str">
        <f>IF($C56&lt;1,"",AVERAGEIF('09월 고철장입'!$A$14:$A$949,$A56,'09월 고철장입'!G$14:G$949)/1000)</f>
        <v/>
      </c>
      <c r="AW56" s="815" t="str">
        <f>IF($C56&lt;1,"",AVERAGEIF('09월 고철장입'!$A$14:$A$949,$A56,'09월 고철장입'!H$14:H$949)/1000)</f>
        <v/>
      </c>
      <c r="AX56" s="815" t="str">
        <f>IF($C56&lt;1,"",AVERAGEIF('09월 고철장입'!$A$14:$A$949,$A56,'09월 고철장입'!I$14:I$949)/1000)</f>
        <v/>
      </c>
      <c r="AY56" s="815" t="str">
        <f>IF($C56&lt;1,"",AVERAGEIF('09월 고철장입'!$A$14:$A$949,$A56,'09월 고철장입'!J$14:J$949)/1000)</f>
        <v/>
      </c>
      <c r="AZ56" s="815" t="str">
        <f>IF($C56&lt;1,"",AVERAGEIF('09월 고철장입'!$A$14:$A$949,$A56,'09월 고철장입'!K$14:K$949)/1000)</f>
        <v/>
      </c>
      <c r="BA56" s="815" t="str">
        <f>IF($C56&lt;1,"",AVERAGEIF('09월 고철장입'!$A$14:$A$949,$A56,'09월 고철장입'!L$14:L$949)/1000)</f>
        <v/>
      </c>
      <c r="BB56" s="815" t="str">
        <f>IF($C56&lt;1,"",AVERAGEIF('09월 고철장입'!$A$14:$A$949,$A56,'09월 고철장입'!M$14:M$949)/1000)</f>
        <v/>
      </c>
      <c r="BC56" s="815" t="str">
        <f>IF($C56&lt;1,"",AVERAGEIF('09월 고철장입'!$A$14:$A$949,$A56,'09월 고철장입'!N$14:N$949)/1000)</f>
        <v/>
      </c>
      <c r="BD56" s="815" t="str">
        <f>IF($C56&lt;1,"",AVERAGEIF('09월 고철장입'!$A$14:$A$949,$A56,'09월 고철장입'!O$14:O$949)/1000)</f>
        <v/>
      </c>
      <c r="BE56" s="815" t="str">
        <f>IF($C56&lt;1,"",AVERAGEIF('09월 고철장입'!$A$14:$A$949,$A56,'09월 고철장입'!P$14:P$949)/1000)</f>
        <v/>
      </c>
      <c r="BF56" s="815" t="str">
        <f>IF($C56&lt;1,"",AVERAGEIF('09월 고철장입'!$A$14:$A$949,$A56,'09월 고철장입'!Q$14:Q$949)/1000)</f>
        <v/>
      </c>
      <c r="BG56" s="815" t="str">
        <f>IF($C56&lt;1,"",AVERAGEIF('09월 고철장입'!$A$14:$A$949,$A56,'09월 고철장입'!S$14:S$949)/1000)</f>
        <v/>
      </c>
      <c r="BH56" s="815" t="str">
        <f>IF($C56&lt;1,"",AVERAGEIF('09월 고철장입'!$A$14:$A$949,$A56,'09월 고철장입'!T$14:T$949)/1000)</f>
        <v/>
      </c>
      <c r="BI56" s="815" t="str">
        <f>IF($C56&lt;1,"",AVERAGEIF('09월 고철장입'!$A$14:$A$949,$A56,'09월 고철장입'!U$14:U$949)/1000)</f>
        <v/>
      </c>
      <c r="BJ56" s="815" t="str">
        <f>IF($C56&lt;1,"",AVERAGEIF('09월 고철장입'!$A$14:$A$949,$A56,'09월 고철장입'!V$14:V$949)/1000)</f>
        <v/>
      </c>
      <c r="BK56" s="815" t="str">
        <f>IF($C56&lt;1,"",AVERAGEIF('09월 고철장입'!$A$14:$A$949,$A56,'09월 고철장입'!W$14:W$949)/1000)</f>
        <v/>
      </c>
      <c r="BL56" s="815" t="str">
        <f>IF($C56&lt;1,"",AVERAGEIF('09월 고철장입'!$A$14:$A$949,$A56,'09월 고철장입'!Y$14:Y$949)/1000)</f>
        <v/>
      </c>
      <c r="BM56" s="815" t="str">
        <f>IF($C56&lt;1,"",AVERAGEIF('09월 고철장입'!$A$14:$A$949,$A56,'09월 고철장입'!AB$14:AB$949)/1000)</f>
        <v/>
      </c>
      <c r="BN56" s="815" t="str">
        <f>IF($C56&lt;1,"",AVERAGEIF('09월 고철장입'!$A$14:$A$949,$A56,'09월 고철장입'!AC$14:AC$949)/1000)</f>
        <v/>
      </c>
      <c r="BO56" s="815" t="str">
        <f>IF($C56&lt;1,"",AVERAGEIF('09월 고철장입'!$A$14:$A$949,$A56,'09월 고철장입'!AD$14:AD$949)/1000)</f>
        <v/>
      </c>
      <c r="BP56" s="815" t="str">
        <f>IF($C56&lt;1,"",AVERAGEIF('09월 고철장입'!$A$14:$A$949,$A56,'09월 고철장입'!AE$14:AE$949)/1000)</f>
        <v/>
      </c>
      <c r="BQ56" s="815" t="str">
        <f>IF($C56&lt;1,"",AVERAGEIF('09월 고철장입'!$A$14:$A$949,$A56,'09월 고철장입'!AF$14:AF$949)/1000)</f>
        <v/>
      </c>
      <c r="BR56" s="815" t="str">
        <f>IF($C56&lt;1,"",AVERAGEIF('09월 고철장입'!$A$14:$A$949,$A56,'09월 고철장입'!AG$14:AG$949)/1000)</f>
        <v/>
      </c>
      <c r="BS56" s="815" t="str">
        <f>IF($C56&lt;1,"",AVERAGEIF('09월 고철장입'!$A$14:$A$949,$A56,'09월 고철장입'!AH$14:AH$949)/1000)</f>
        <v/>
      </c>
      <c r="BT56" s="815" t="str">
        <f>IF($C56&lt;1,"",AVERAGEIF('09월 고철장입'!$A$14:$A$949,$A56,'09월 고철장입'!AI$14:AI$949)/1000)</f>
        <v/>
      </c>
      <c r="BU56" s="815" t="str">
        <f>IF($C56&lt;1,"",AVERAGEIF('09월 고철장입'!$A$14:$A$949,$A56,'09월 고철장입'!AJ$14:AJ$949)/1000)</f>
        <v/>
      </c>
      <c r="BV56" s="815" t="str">
        <f>IF($C56&lt;1,"",AVERAGEIF('09월 고철장입'!$A$14:$A$949,$A56,'09월 고철장입'!AK$14:AK$949))</f>
        <v/>
      </c>
      <c r="BW56" s="815" t="str">
        <f>IF($C56&lt;1,"",AVERAGEIF('09월 고철장입'!$A$14:$A$949,$A56,'09월 고철장입'!AL$14:AL$949)*100)</f>
        <v/>
      </c>
      <c r="BX56" s="815" t="str">
        <f>IF($C56&lt;1,"",AVERAGEIF('09월 에너지'!$A$14:$A$949,$A56,'09월 에너지'!G$14:G$949))</f>
        <v/>
      </c>
      <c r="BY56" s="817" t="str">
        <f>IF($C56&lt;1,"",AVERAGEIF('09월 에너지'!$A$14:$A$949,$A56,'09월 에너지'!H$14:H$949))</f>
        <v/>
      </c>
      <c r="BZ56" s="815" t="str">
        <f>IF($C56&lt;1,"",AVERAGEIF('09월 에너지'!$A$14:$A$949,$A56,'09월 에너지'!I$14:I$949))</f>
        <v/>
      </c>
      <c r="CA56" s="817" t="str">
        <f>IF($C56&lt;1,"",AVERAGEIF('09월 에너지'!$A$14:$A$949,$A56,'09월 에너지'!J$14:J$949))</f>
        <v/>
      </c>
      <c r="CB56" s="815" t="str">
        <f>IF($C56&lt;1,"",AVERAGEIF('09월 에너지'!$A$14:$A$949,$A56,'09월 에너지'!K$14:K$949))</f>
        <v/>
      </c>
      <c r="CC56" s="817" t="str">
        <f>IF($C56&lt;1,"",AVERAGEIF('09월 에너지'!$A$14:$A$949,$A56,'09월 에너지'!L$14:L$949))</f>
        <v/>
      </c>
      <c r="CD56" s="815" t="str">
        <f>IF($C56&lt;1,"",AVERAGEIF('09월 에너지'!$A$14:$A$949,$A56,'09월 에너지'!M$14:M$949))</f>
        <v/>
      </c>
      <c r="CE56" s="817" t="str">
        <f>IF($C56&lt;1,"",AVERAGEIF('09월 에너지'!$A$14:$A$949,$A56,'09월 에너지'!N$14:N$949))</f>
        <v/>
      </c>
      <c r="CF56" s="815" t="str">
        <f>IF($C56&lt;1,"",AVERAGEIF('09월 에너지'!$A$14:$A$949,$A56,'09월 에너지'!O$14:O$949))</f>
        <v/>
      </c>
      <c r="CG56" s="815" t="str">
        <f>IF($C56&lt;1,"",AVERAGEIF('09월 에너지'!$A$14:$A$949,$A56,'09월 에너지'!P$14:P$949))</f>
        <v/>
      </c>
      <c r="CH56" s="815" t="str">
        <f>IF($C56&lt;1,"",AVERAGEIF('09월 에너지'!$A$14:$A$949,$A56,'09월 에너지'!Q$14:Q$949))</f>
        <v/>
      </c>
      <c r="CI56" s="815" t="str">
        <f>IF($C56&lt;1,"",AVERAGEIF('09월 에너지'!$A$14:$A$949,$A56,'09월 에너지'!R$14:R$949))</f>
        <v/>
      </c>
      <c r="CJ56" s="815" t="str">
        <f>IF($C56&lt;1,"",AVERAGEIF('09월 에너지'!$A$14:$A$949,$A56,'09월 에너지'!S$14:S$949))</f>
        <v/>
      </c>
      <c r="CK56" s="815" t="str">
        <f>IF($C56&lt;1,"",AVERAGEIF('09월 에너지'!$A$14:$A$949,$A56,'09월 에너지'!T$14:T$949))</f>
        <v/>
      </c>
      <c r="CL56" s="815" t="str">
        <f>IF($C56&lt;1,"",AVERAGEIF('09월 에너지'!$A$14:$A$949,$A56,'09월 에너지'!U$14:U$949))</f>
        <v/>
      </c>
      <c r="CM56" s="817" t="str">
        <f>IF($C56&lt;1,"",AVERAGEIF('09월 에너지'!$A$14:$A$949,$A56,'09월 에너지'!V$14:V$949))</f>
        <v/>
      </c>
      <c r="CN56" s="817" t="str">
        <f>IF($C56&lt;1,"",AVERAGEIF('09월 에너지'!$A$14:$A$949,$A56,'09월 에너지'!W$14:W$949))</f>
        <v/>
      </c>
      <c r="CO56" s="815" t="str">
        <f>IF($C56&lt;1,"",AVERAGEIF('09월 에너지'!$A$14:$A$949,$A56,'09월 에너지'!X$14:X$949))</f>
        <v/>
      </c>
      <c r="CP56" s="817" t="str">
        <f>IF($C56&lt;1,"",AVERAGEIF('09월 에너지'!$A$14:$A$949,$A56,'09월 에너지'!Y$14:Y$949))</f>
        <v/>
      </c>
      <c r="CQ56" s="817" t="str">
        <f>IF($C56&lt;1,"",AVERAGEIF('09월 에너지'!$A$14:$A$949,$A56,'09월 에너지'!Z$14:Z$949))</f>
        <v/>
      </c>
      <c r="CR56" s="817" t="str">
        <f>IF($C56&lt;1,"",AVERAGEIF('09월 에너지'!$A$14:$A$949,$A56,'09월 에너지'!AA$14:AA$949))</f>
        <v/>
      </c>
      <c r="CS56" s="817" t="str">
        <f>IF($C56&lt;1,"",AVERAGEIF('09월 에너지'!$A$14:$A$949,$A56,'09월 에너지'!AB$14:AB$949))</f>
        <v/>
      </c>
      <c r="CT56" s="815" t="str">
        <f>IF($C56&lt;1,"",AVERAGEIF('09월 에너지'!$A$14:$A$949,$A56,'09월 에너지'!AC$14:AC$949))</f>
        <v/>
      </c>
      <c r="CU56" s="818" t="str">
        <f>IF($C56&lt;1,"",AVERAGEIF('09월 에너지'!$A$14:$A$949,$A56,'09월 에너지'!AD$14:AD$949))</f>
        <v/>
      </c>
      <c r="CV56" s="819" t="str">
        <f>IF($C56&lt;1,"",AVERAGEIF('09월 에너지'!$A$14:$A$949,$A56,'09월 에너지'!AE$14:AE$949))</f>
        <v/>
      </c>
      <c r="CW56" s="815" t="str">
        <f>IF($C56&lt;1,"",AVERAGEIF('09월 에너지'!$A$14:$A$949,$A56,'09월 에너지'!AF$14:AF$949))</f>
        <v/>
      </c>
      <c r="CX56" s="815" t="str">
        <f>IF($C56&lt;1,"",AVERAGEIF('09월 에너지'!$A$14:$A$949,$A56,'09월 에너지'!AG$14:AG$949))</f>
        <v/>
      </c>
      <c r="CY56" s="815" t="str">
        <f>IF($C56&lt;1,"",AVERAGEIF('09월 에너지'!$A$14:$A$949,$A56,'09월 에너지'!AH$14:AH$949))</f>
        <v/>
      </c>
      <c r="CZ56" s="815" t="str">
        <f>IF($C56&lt;1,"",AVERAGEIF('09월 에너지'!$A$14:$A$949,$A56,'09월 에너지'!AI$14:AI$949))</f>
        <v/>
      </c>
      <c r="DA56" s="820" t="str">
        <f>IF($C56&lt;1,"",AVERAGEIF('09월 에너지'!$A$14:$A$949,$A56,'09월 에너지'!AJ$14:AJ$949))</f>
        <v/>
      </c>
    </row>
    <row r="57" spans="1:105" ht="13.5" customHeight="1">
      <c r="A57" s="849">
        <f t="shared" si="2"/>
        <v>44937</v>
      </c>
      <c r="B57" s="850" t="s">
        <v>9</v>
      </c>
      <c r="C57" s="823">
        <f>COUNTIFS('09월 조업일지'!$A$12:$A$952,A56,'09월 조업일지'!$E$12:$E$952,B57)</f>
        <v>0</v>
      </c>
      <c r="D57" s="824" t="str">
        <f>IF(C57&lt;1,"",F57-E57)</f>
        <v/>
      </c>
      <c r="E57" s="824" t="str">
        <f>IF($C57&lt;1,"",(SUMIFS('09월 조업일지'!$K$12:$K$952,'09월 조업일지'!$A$12:$A$952,$A57,'09월 조업일지'!$E$12:$E$952,$B57)/$C57))</f>
        <v/>
      </c>
      <c r="F57" s="824" t="str">
        <f>IF($C57&lt;1,"",(AVERAGEIFS('09월 조업일지'!$J$12:$J$952,'09월 조업일지'!$A$12:$A$952,$A57,'09월 조업일지'!$E$12:$E$952,$B57)))</f>
        <v/>
      </c>
      <c r="G57" s="825" t="str">
        <f>IF($C57&lt;1,"",(AVERAGEIFS('09월 에너지'!$M$14:$M$949,'09월 에너지'!$A$14:$A$949,$A57,'09월 에너지'!$C$14:$C$949,$B57)))</f>
        <v/>
      </c>
      <c r="H57" s="826" t="str">
        <f>IF($C57&lt;1,"",(AVERAGEIFS('09월 조업일지'!$AJ$12:$AJ$952,'09월 조업일지'!$A$12:$A$952,$A57,'09월 조업일지'!$E$12:$E$952,$B57)))</f>
        <v/>
      </c>
      <c r="I57" s="826" t="str">
        <f>IF($C57&lt;1,"",(AVERAGEIFS('09월 조업일지'!$AL$12:$AL$952,'09월 조업일지'!$A$12:$A$952,$A57,'09월 조업일지'!$E$12:$E$952,$B57)))</f>
        <v/>
      </c>
      <c r="J57" s="827" t="str">
        <f>IF($C57&lt;1,"",(AVERAGEIFS('09월 화학성분'!G$12:G$949,'09월 화학성분'!$A$12:$A$949,$A57,'09월 화학성분'!$D$12:$D$949,$B57)))</f>
        <v/>
      </c>
      <c r="K57" s="827" t="str">
        <f>IF($C57&lt;1,"",(AVERAGEIFS('09월 화학성분'!H$12:H$949,'09월 화학성분'!$A$12:$A$949,$A57,'09월 화학성분'!$D$12:$D$949,$B57)))</f>
        <v/>
      </c>
      <c r="L57" s="827" t="str">
        <f>IF($C57&lt;1,"",(AVERAGEIFS('09월 화학성분'!I$12:I$949,'09월 화학성분'!$A$12:$A$949,$A57,'09월 화학성분'!$D$12:$D$949,$B57)))</f>
        <v/>
      </c>
      <c r="M57" s="827" t="str">
        <f>IF($C57&lt;1,"",(AVERAGEIFS('09월 화학성분'!J$12:J$949,'09월 화학성분'!$A$12:$A$949,$A57,'09월 화학성분'!$D$12:$D$949,$B57)))</f>
        <v/>
      </c>
      <c r="N57" s="827" t="str">
        <f>IF($C57&lt;1,"",(AVERAGEIFS('09월 화학성분'!K$12:K$949,'09월 화학성분'!$A$12:$A$949,$A57,'09월 화학성분'!$D$12:$D$949,$B57)))</f>
        <v/>
      </c>
      <c r="O57" s="827" t="str">
        <f>IF($C57&lt;1,"",(AVERAGEIFS('09월 화학성분'!L$12:L$949,'09월 화학성분'!$A$12:$A$949,$A57,'09월 화학성분'!$D$12:$D$949,$B57)))</f>
        <v/>
      </c>
      <c r="P57" s="827" t="str">
        <f>IF($C57&lt;1,"",(AVERAGEIFS('09월 화학성분'!M$12:M$949,'09월 화학성분'!$A$12:$A$949,$A57,'09월 화학성분'!$D$12:$D$949,$B57)))</f>
        <v/>
      </c>
      <c r="Q57" s="827" t="str">
        <f>IFERROR(IF($C57&lt;1,"",(AVERAGEIFS('09월 조업일지'!$AA$12:$AA$952,'09월 조업일지'!$A$12:$A$952,$A57,'09월 조업일지'!$E$12:$E$952,$B57))),"")</f>
        <v/>
      </c>
      <c r="R57" s="827" t="str">
        <f>IF($C57&lt;1,"",(AVERAGEIFS('09월 조업일지'!$AK$12:$AK$952,'09월 조업일지'!$A$12:$A$952,$A57,'09월 조업일지'!$E$12:$E$952,$B57)))</f>
        <v/>
      </c>
      <c r="S57" s="827"/>
      <c r="T57" s="827"/>
      <c r="U57" s="827" t="str">
        <f>IF($C57&lt;1,"",(AVERAGEIFS('09월 화학성분'!$G$12:$G$949,'09월 화학성분'!$A$12:$A$949,$A57,'09월 화학성분'!$D$12:$D$949,$B57)))</f>
        <v/>
      </c>
      <c r="V57" s="827" t="str">
        <f>IF($C57&lt;1,"",(AVERAGEIFS('09월 조업일지'!$AI$12:$AI$952,'09월 조업일지'!$A$12:$A$952,$A57,'09월 조업일지'!$E$12:$E$952,$B57)))</f>
        <v/>
      </c>
      <c r="W57" s="828" t="str">
        <f>IF($C57&lt;1,"",(AVERAGEIFS('09월 화학성분'!$AM$12:$AM$949,'09월 화학성분'!$A$12:$A$949,$A57,'09월 화학성분'!$D$12:$D$949,$B57)))</f>
        <v/>
      </c>
      <c r="X57" s="829" t="str">
        <f>IF($C57&lt;1,"",(AVERAGEIFS('09월 화학성분'!N$12:N$949,'09월 화학성분'!$A$12:$A$949,$A57,'09월 화학성분'!$D$12:$D$949,$B57)))</f>
        <v/>
      </c>
      <c r="Y57" s="829" t="str">
        <f>IF($C57&lt;1,"",(AVERAGEIFS('09월 화학성분'!O$12:O$949,'09월 화학성분'!$A$12:$A$949,$A57,'09월 화학성분'!$D$12:$D$949,$B57)))</f>
        <v/>
      </c>
      <c r="Z57" s="829" t="str">
        <f>IF($C57&lt;1,"",(AVERAGEIFS('09월 화학성분'!P$12:P$949,'09월 화학성분'!$A$12:$A$949,$A57,'09월 화학성분'!$D$12:$D$949,$B57)))</f>
        <v/>
      </c>
      <c r="AA57" s="829" t="str">
        <f>IF($C57&lt;1,"",(AVERAGEIFS('09월 화학성분'!Q$12:Q$949,'09월 화학성분'!$A$12:$A$949,$A57,'09월 화학성분'!$D$12:$D$949,$B57)))</f>
        <v/>
      </c>
      <c r="AB57" s="829" t="str">
        <f>IF($C57&lt;1,"",(AVERAGEIFS('09월 화학성분'!R$12:R$949,'09월 화학성분'!$A$12:$A$949,$A57,'09월 화학성분'!$D$12:$D$949,$B57)))</f>
        <v/>
      </c>
      <c r="AC57" s="829" t="str">
        <f>IF($C57&lt;1,"",(AVERAGEIFS('09월 화학성분'!U$12:U$949,'09월 화학성분'!$A$12:$A$949,$A57,'09월 화학성분'!$D$12:$D$949,$B57)))</f>
        <v/>
      </c>
      <c r="AD57" s="829" t="str">
        <f>IF($C57&lt;1,"",(AVERAGEIFS('09월 화학성분'!V$12:V$949,'09월 화학성분'!$A$12:$A$949,$A57,'09월 화학성분'!$D$12:$D$949,$B57)))</f>
        <v/>
      </c>
      <c r="AE57" s="829" t="str">
        <f>IF($C57&lt;1,"",(AVERAGEIFS('09월 화학성분'!W$12:W$949,'09월 화학성분'!$A$12:$A$949,$A57,'09월 화학성분'!$D$12:$D$949,$B57)))</f>
        <v/>
      </c>
      <c r="AF57" s="829" t="str">
        <f>IF($C57&lt;1,"",(AVERAGEIFS('09월 화학성분'!AA$12:AA$949,'09월 화학성분'!$A$12:$A$949,$A57,'09월 화학성분'!$D$12:$D$949,$B57)))</f>
        <v/>
      </c>
      <c r="AG57" s="829" t="str">
        <f>IF($C57&lt;1,"",(AVERAGEIFS('09월 화학성분'!#REF!,'09월 화학성분'!$A$12:$A$949,$A57,'09월 화학성분'!$D$12:$D$949,$B57)))</f>
        <v/>
      </c>
      <c r="AH57" s="829" t="str">
        <f>IF($C57&lt;1,"",(AVERAGEIFS('09월 화학성분'!AB$12:AB$949,'09월 화학성분'!$A$12:$A$949,$A57,'09월 화학성분'!$D$12:$D$949,$B57)))</f>
        <v/>
      </c>
      <c r="AI57" s="829" t="str">
        <f>IF($C57&lt;1,"",(AVERAGEIFS('09월 화학성분'!AC$12:AC$949,'09월 화학성분'!$A$12:$A$949,$A57,'09월 화학성분'!$D$12:$D$949,$B57)))</f>
        <v/>
      </c>
      <c r="AJ57" s="829" t="str">
        <f>IF($C57&lt;1,"",(AVERAGEIFS('09월 화학성분'!AD$12:AD$949,'09월 화학성분'!$A$12:$A$949,$A57,'09월 화학성분'!$D$12:$D$949,$B57)))</f>
        <v/>
      </c>
      <c r="AK57" s="829" t="str">
        <f>IF($C57&lt;1,"",(AVERAGEIFS('09월 화학성분'!AF$12:AF$949,'09월 화학성분'!$A$12:$A$949,$A57,'09월 화학성분'!$D$12:$D$949,$B57)))</f>
        <v/>
      </c>
      <c r="AL57" s="829" t="str">
        <f>IF($C57&lt;1,"",(AVERAGEIFS('09월 화학성분'!AG$12:AG$949,'09월 화학성분'!$A$12:$A$949,$A57,'09월 화학성분'!$D$12:$D$949,$B57)))</f>
        <v/>
      </c>
      <c r="AM57" s="829" t="str">
        <f>IF($C57&lt;1,"",(AVERAGEIFS('09월 화학성분'!AH$12:AH$949,'09월 화학성분'!$A$12:$A$949,$A57,'09월 화학성분'!$D$12:$D$949,$B57)))</f>
        <v/>
      </c>
      <c r="AN57" s="829" t="str">
        <f>IF($C57&lt;1,"",(AVERAGEIFS('09월 화학성분'!AI$12:AI$949,'09월 화학성분'!$A$12:$A$949,$A57,'09월 화학성분'!$D$12:$D$949,$B57)))</f>
        <v/>
      </c>
      <c r="AO57" s="829" t="str">
        <f>IF($C57&lt;1,"",(AVERAGEIFS('09월 화학성분'!AJ$12:AJ$949,'09월 화학성분'!$A$12:$A$949,$A57,'09월 화학성분'!$D$12:$D$949,$B57)))</f>
        <v/>
      </c>
      <c r="AP57" s="829" t="str">
        <f>IF($C57&lt;1,"",(AVERAGEIFS('09월 화학성분'!#REF!,'09월 화학성분'!$A$12:$A$949,$A57,'09월 화학성분'!$D$12:$D$949,$B57)))</f>
        <v/>
      </c>
      <c r="AQ57" s="829" t="str">
        <f>IF($C57&lt;1,"",(AVERAGEIFS('09월 화학성분'!AL$12:AL$949,'09월 화학성분'!$A$12:$A$949,$A57,'09월 화학성분'!$D$12:$D$949,$B57)))</f>
        <v/>
      </c>
      <c r="AR57" s="829" t="str">
        <f>IF($C57&lt;1,"",(AVERAGEIFS('09월 화학성분'!AM$12:AM$949,'09월 화학성분'!$A$12:$A$949,$A57,'09월 화학성분'!$D$12:$D$949,$B57)))</f>
        <v/>
      </c>
      <c r="AS57" s="830" t="str">
        <f>IF($C57&lt;1,"",(AVERAGEIFS('09월 화학성분'!AN$12:AN$949,'09월 화학성분'!$A$12:$A$949,$A57,'09월 화학성분'!$D$12:$D$949,$B57)))</f>
        <v/>
      </c>
      <c r="AT57" s="830" t="str">
        <f>IF($C57&lt;1,"",(AVERAGEIFS('09월 화학성분'!AO$12:AO$949,'09월 화학성분'!$A$12:$A$949,$A57,'09월 화학성분'!$D$12:$D$949,$B57)))</f>
        <v/>
      </c>
      <c r="AU57" s="831" t="str">
        <f>IF($C57&lt;1,"",(AVERAGEIFS('09월 화학성분'!AP$12:AP$949,'09월 화학성분'!$A$12:$A$949,$A57,'09월 화학성분'!$D$12:$D$949,$B57)))</f>
        <v/>
      </c>
      <c r="AV57" s="832" t="str">
        <f>IF($C57&lt;1,"",(AVERAGEIFS('09월 고철장입'!G$14:G$949,'09월 고철장입'!$A$14:$A$949,$A57,'09월 고철장입'!$C$14:$C$949,$B57))/1000)</f>
        <v/>
      </c>
      <c r="AW57" s="832" t="str">
        <f>IF($C57&lt;1,"",(AVERAGEIFS('09월 고철장입'!H$14:H$949,'09월 고철장입'!$A$14:$A$949,$A57,'09월 고철장입'!$C$14:$C$949,$B57))/1000)</f>
        <v/>
      </c>
      <c r="AX57" s="832" t="str">
        <f>IF($C57&lt;1,"",(AVERAGEIFS('09월 고철장입'!I$14:I$949,'09월 고철장입'!$A$14:$A$949,$A57,'09월 고철장입'!$C$14:$C$949,$B57))/1000)</f>
        <v/>
      </c>
      <c r="AY57" s="832" t="str">
        <f>IF($C57&lt;1,"",(AVERAGEIFS('09월 고철장입'!J$14:J$949,'09월 고철장입'!$A$14:$A$949,$A57,'09월 고철장입'!$C$14:$C$949,$B57))/1000)</f>
        <v/>
      </c>
      <c r="AZ57" s="832" t="str">
        <f>IF($C57&lt;1,"",(AVERAGEIFS('09월 고철장입'!K$14:K$949,'09월 고철장입'!$A$14:$A$949,$A57,'09월 고철장입'!$C$14:$C$949,$B57))/1000)</f>
        <v/>
      </c>
      <c r="BA57" s="832" t="str">
        <f>IF($C57&lt;1,"",(AVERAGEIFS('09월 고철장입'!L$14:L$949,'09월 고철장입'!$A$14:$A$949,$A57,'09월 고철장입'!$C$14:$C$949,$B57))/1000)</f>
        <v/>
      </c>
      <c r="BB57" s="832" t="str">
        <f>IF($C57&lt;1,"",(AVERAGEIFS('09월 고철장입'!M$14:M$949,'09월 고철장입'!$A$14:$A$949,$A57,'09월 고철장입'!$C$14:$C$949,$B57))/1000)</f>
        <v/>
      </c>
      <c r="BC57" s="832" t="str">
        <f>IF($C57&lt;1,"",(AVERAGEIFS('09월 고철장입'!N$14:N$949,'09월 고철장입'!$A$14:$A$949,$A57,'09월 고철장입'!$C$14:$C$949,$B57))/1000)</f>
        <v/>
      </c>
      <c r="BD57" s="832" t="str">
        <f>IF($C57&lt;1,"",(AVERAGEIFS('09월 고철장입'!O$14:O$949,'09월 고철장입'!$A$14:$A$949,$A57,'09월 고철장입'!$C$14:$C$949,$B57))/1000)</f>
        <v/>
      </c>
      <c r="BE57" s="833" t="str">
        <f>IF($C57&lt;1,"",(AVERAGEIFS('09월 고철장입'!P$14:P$949,'09월 고철장입'!$A$14:$A$949,$A57,'09월 고철장입'!$C$14:$C$949,$B57))/1000)</f>
        <v/>
      </c>
      <c r="BF57" s="833" t="str">
        <f>IF($C57&lt;1,"",(AVERAGEIFS('09월 고철장입'!Q$14:Q$949,'09월 고철장입'!$A$14:$A$949,$A57,'09월 고철장입'!$C$14:$C$949,$B57))/1000)</f>
        <v/>
      </c>
      <c r="BG57" s="833" t="str">
        <f>IF($C57&lt;1,"",(AVERAGEIFS('09월 고철장입'!S$14:S$949,'09월 고철장입'!$A$14:$A$949,$A57,'09월 고철장입'!$C$14:$C$949,$B57))/1000)</f>
        <v/>
      </c>
      <c r="BH57" s="833" t="str">
        <f>IF($C57&lt;1,"",(AVERAGEIFS('09월 고철장입'!T$14:T$949,'09월 고철장입'!$A$14:$A$949,$A57,'09월 고철장입'!$C$14:$C$949,$B57))/1000)</f>
        <v/>
      </c>
      <c r="BI57" s="833" t="str">
        <f>IF($C57&lt;1,"",(AVERAGEIFS('09월 고철장입'!U$14:U$949,'09월 고철장입'!$A$14:$A$949,$A57,'09월 고철장입'!$C$14:$C$949,$B57))/1000)</f>
        <v/>
      </c>
      <c r="BJ57" s="833" t="str">
        <f>IF($C57&lt;1,"",(AVERAGEIFS('09월 고철장입'!V$14:V$949,'09월 고철장입'!$A$14:$A$949,$A57,'09월 고철장입'!$C$14:$C$949,$B57))/1000)</f>
        <v/>
      </c>
      <c r="BK57" s="833" t="str">
        <f>IF($C57&lt;1,"",(AVERAGEIFS('09월 고철장입'!W$14:W$949,'09월 고철장입'!$A$14:$A$949,$A57,'09월 고철장입'!$C$14:$C$949,$B57))/1000)</f>
        <v/>
      </c>
      <c r="BL57" s="833" t="str">
        <f>IF($C57&lt;1,"",(AVERAGEIFS('09월 고철장입'!Y$14:Y$949,'09월 고철장입'!$A$14:$A$949,$A57,'09월 고철장입'!$C$14:$C$949,$B57))/1000)</f>
        <v/>
      </c>
      <c r="BM57" s="833" t="str">
        <f>IF($C57&lt;1,"",(AVERAGEIFS('09월 고철장입'!AB$14:AB$949,'09월 고철장입'!$A$14:$A$949,$A57,'09월 고철장입'!$C$14:$C$949,$B57))/1000)</f>
        <v/>
      </c>
      <c r="BN57" s="833" t="str">
        <f>IF($C57&lt;1,"",(AVERAGEIFS('09월 고철장입'!AC$14:AC$949,'09월 고철장입'!$A$14:$A$949,$A57,'09월 고철장입'!$C$14:$C$949,$B57))/1000)</f>
        <v/>
      </c>
      <c r="BO57" s="833" t="str">
        <f>IF($C57&lt;1,"",(AVERAGEIFS('09월 고철장입'!AD$14:AD$949,'09월 고철장입'!$A$14:$A$949,$A57,'09월 고철장입'!$C$14:$C$949,$B57))/1000)</f>
        <v/>
      </c>
      <c r="BP57" s="833" t="str">
        <f>IF($C57&lt;1,"",(AVERAGEIFS('09월 고철장입'!AE$14:AE$949,'09월 고철장입'!$A$14:$A$949,$A57,'09월 고철장입'!$C$14:$C$949,$B57))/1000)</f>
        <v/>
      </c>
      <c r="BQ57" s="832" t="str">
        <f>IF($C57&lt;1,"",(AVERAGEIFS('09월 고철장입'!AF$14:AF$949,'09월 고철장입'!$A$14:$A$949,$A57,'09월 고철장입'!$C$14:$C$949,$B57))/1000)</f>
        <v/>
      </c>
      <c r="BR57" s="832" t="str">
        <f>IF($C57&lt;1,"",(AVERAGEIFS('09월 고철장입'!AG$14:AG$949,'09월 고철장입'!$A$14:$A$949,$A57,'09월 고철장입'!$C$14:$C$949,$B57))/1000)</f>
        <v/>
      </c>
      <c r="BS57" s="832" t="str">
        <f>IF($C57&lt;1,"",(AVERAGEIFS('09월 고철장입'!AH$14:AH$949,'09월 고철장입'!$A$14:$A$949,$A57,'09월 고철장입'!$C$14:$C$949,$B57))/1000)</f>
        <v/>
      </c>
      <c r="BT57" s="832" t="str">
        <f>IF($C57&lt;1,"",(AVERAGEIFS('09월 고철장입'!AI$14:AI$949,'09월 고철장입'!$A$14:$A$949,$A57,'09월 고철장입'!$C$14:$C$949,$B57))/1000)</f>
        <v/>
      </c>
      <c r="BU57" s="834" t="str">
        <f>IF($C57&lt;1,"",(AVERAGEIFS('09월 고철장입'!AJ$14:AJ$949,'09월 고철장입'!$A$14:$A$949,$A57,'09월 고철장입'!$C$14:$C$949,$B57))/1000)</f>
        <v/>
      </c>
      <c r="BV57" s="834" t="str">
        <f>IF($C57&lt;1,"",(AVERAGEIFS('09월 고철장입'!AK$14:AK$949,'09월 고철장입'!$A$14:$A$949,$A57,'09월 고철장입'!$C$14:$C$949,$B57)))</f>
        <v/>
      </c>
      <c r="BW57" s="834" t="str">
        <f>IF($C57&lt;1,"",(AVERAGEIFS('09월 고철장입'!AL$14:AL$949,'09월 고철장입'!$A$14:$A$949,$A57,'09월 고철장입'!$C$14:$C$949,$B57))*100)</f>
        <v/>
      </c>
      <c r="BX57" s="831" t="str">
        <f>IF($C57&lt;1,"",(AVERAGEIFS('09월 에너지'!G$14:G$949,'09월 에너지'!$A$14:$A$949,$A57,'09월 에너지'!$C$14:$C$949,$B57)))</f>
        <v/>
      </c>
      <c r="BY57" s="835" t="str">
        <f>IF($C57&lt;1,"",(AVERAGEIFS('09월 에너지'!H$14:H$949,'09월 에너지'!$A$14:$A$949,$A57,'09월 에너지'!$C$14:$C$949,$B57)))</f>
        <v/>
      </c>
      <c r="BZ57" s="831" t="str">
        <f>IF($C57&lt;1,"",(AVERAGEIFS('09월 에너지'!I$14:I$949,'09월 에너지'!$A$14:$A$949,$A57,'09월 에너지'!$C$14:$C$949,$B57)))</f>
        <v/>
      </c>
      <c r="CA57" s="835" t="str">
        <f>IF($C57&lt;1,"",(AVERAGEIFS('09월 에너지'!J$14:J$949,'09월 에너지'!$A$14:$A$949,$A57,'09월 에너지'!$C$14:$C$949,$B57)))</f>
        <v/>
      </c>
      <c r="CB57" s="831" t="str">
        <f>IF($C57&lt;1,"",(AVERAGEIFS('09월 에너지'!K$14:K$949,'09월 에너지'!$A$14:$A$949,$A57,'09월 에너지'!$C$14:$C$949,$B57)))</f>
        <v/>
      </c>
      <c r="CC57" s="835" t="str">
        <f>IF($C57&lt;1,"",(AVERAGEIFS('09월 에너지'!L$14:L$949,'09월 에너지'!$A$14:$A$949,$A57,'09월 에너지'!$C$14:$C$949,$B57)))</f>
        <v/>
      </c>
      <c r="CD57" s="831" t="str">
        <f>IF($C57&lt;1,"",(AVERAGEIFS('09월 에너지'!M$14:M$949,'09월 에너지'!$A$14:$A$949,$A57,'09월 에너지'!$C$14:$C$949,$B57)))</f>
        <v/>
      </c>
      <c r="CE57" s="835" t="str">
        <f>IF($C57&lt;1,"",(AVERAGEIFS('09월 에너지'!N$14:N$949,'09월 에너지'!$A$14:$A$949,$A57,'09월 에너지'!$C$14:$C$949,$B57)))</f>
        <v/>
      </c>
      <c r="CF57" s="831" t="str">
        <f>IF($C57&lt;1,"",(AVERAGEIFS('09월 에너지'!O$14:O$949,'09월 에너지'!$A$14:$A$949,$A57,'09월 에너지'!$C$14:$C$949,$B57)))</f>
        <v/>
      </c>
      <c r="CG57" s="831" t="str">
        <f>IF($C57&lt;1,"",(AVERAGEIFS('09월 에너지'!P$14:P$949,'09월 에너지'!$A$14:$A$949,$A57,'09월 에너지'!$C$14:$C$949,$B57)))</f>
        <v/>
      </c>
      <c r="CH57" s="831" t="str">
        <f>IF($C57&lt;1,"",(AVERAGEIFS('09월 에너지'!Q$14:Q$949,'09월 에너지'!$A$14:$A$949,$A57,'09월 에너지'!$C$14:$C$949,$B57)))</f>
        <v/>
      </c>
      <c r="CI57" s="831" t="str">
        <f>IF($C57&lt;1,"",(AVERAGEIFS('09월 에너지'!R$14:R$949,'09월 에너지'!$A$14:$A$949,$A57,'09월 에너지'!$C$14:$C$949,$B57)))</f>
        <v/>
      </c>
      <c r="CJ57" s="831" t="str">
        <f>IF($C57&lt;1,"",(AVERAGEIFS('09월 에너지'!S$14:S$949,'09월 에너지'!$A$14:$A$949,$A57,'09월 에너지'!$C$14:$C$949,$B57)))</f>
        <v/>
      </c>
      <c r="CK57" s="831" t="str">
        <f>IF($C57&lt;1,"",(AVERAGEIFS('09월 에너지'!T$14:T$949,'09월 에너지'!$A$14:$A$949,$A57,'09월 에너지'!$C$14:$C$949,$B57)))</f>
        <v/>
      </c>
      <c r="CL57" s="831" t="str">
        <f>IF($C57&lt;1,"",(AVERAGEIFS('09월 에너지'!U$14:U$949,'09월 에너지'!$A$14:$A$949,$A57,'09월 에너지'!$C$14:$C$949,$B57)))</f>
        <v/>
      </c>
      <c r="CM57" s="835" t="str">
        <f>IF($C57&lt;1,"",(AVERAGEIFS('09월 에너지'!V$14:V$949,'09월 에너지'!$A$14:$A$949,$A57,'09월 에너지'!$C$14:$C$949,$B57)))</f>
        <v/>
      </c>
      <c r="CN57" s="835" t="str">
        <f>IF($C57&lt;1,"",(AVERAGEIFS('09월 에너지'!W$14:W$949,'09월 에너지'!$A$14:$A$949,$A57,'09월 에너지'!$C$14:$C$949,$B57)))</f>
        <v/>
      </c>
      <c r="CO57" s="831" t="str">
        <f>IF($C57&lt;1,"",(AVERAGEIFS('09월 에너지'!X$14:X$949,'09월 에너지'!$A$14:$A$949,$A57,'09월 에너지'!$C$14:$C$949,$B57)))</f>
        <v/>
      </c>
      <c r="CP57" s="835" t="str">
        <f>IF($C57&lt;1,"",(AVERAGEIFS('09월 에너지'!Y$14:Y$949,'09월 에너지'!$A$14:$A$949,$A57,'09월 에너지'!$C$14:$C$949,$B57)))</f>
        <v/>
      </c>
      <c r="CQ57" s="835" t="str">
        <f>IF($C57&lt;1,"",(AVERAGEIFS('09월 에너지'!Z$14:Z$949,'09월 에너지'!$A$14:$A$949,$A57,'09월 에너지'!$C$14:$C$949,$B57)))</f>
        <v/>
      </c>
      <c r="CR57" s="835" t="str">
        <f>IF($C57&lt;1,"",(AVERAGEIFS('09월 에너지'!AA$14:AA$949,'09월 에너지'!$A$14:$A$949,$A57,'09월 에너지'!$C$14:$C$949,$B57)))</f>
        <v/>
      </c>
      <c r="CS57" s="835" t="str">
        <f>IF($C57&lt;1,"",(AVERAGEIFS('09월 에너지'!AB$14:AB$949,'09월 에너지'!$A$14:$A$949,$A57,'09월 에너지'!$C$14:$C$949,$B57)))</f>
        <v/>
      </c>
      <c r="CT57" s="831" t="str">
        <f>IF($C57&lt;1,"",(AVERAGEIFS('09월 에너지'!AC$14:AC$949,'09월 에너지'!$A$14:$A$949,$A57,'09월 에너지'!$C$14:$C$949,$B57)))</f>
        <v/>
      </c>
      <c r="CU57" s="836" t="str">
        <f>IF($C57&lt;1,"",(AVERAGEIFS('09월 에너지'!AD$14:AD$949,'09월 에너지'!$A$14:$A$949,$A57,'09월 에너지'!$C$14:$C$949,$B57)))</f>
        <v/>
      </c>
      <c r="CV57" s="837" t="str">
        <f>IF($C57&lt;1,"",(AVERAGEIFS('09월 에너지'!AE$14:AE$949,'09월 에너지'!$A$14:$A$949,$A57,'09월 에너지'!$C$14:$C$949,$B57)))</f>
        <v/>
      </c>
      <c r="CW57" s="831" t="str">
        <f>IF($C57&lt;1,"",(AVERAGEIFS('09월 에너지'!AF$14:AF$949,'09월 에너지'!$A$14:$A$949,$A57,'09월 에너지'!$C$14:$C$949,$B57)))</f>
        <v/>
      </c>
      <c r="CX57" s="831" t="str">
        <f>IF($C57&lt;1,"",(AVERAGEIFS('09월 에너지'!AG$14:AG$949,'09월 에너지'!$A$14:$A$949,$A57,'09월 에너지'!$C$14:$C$949,$B57)))</f>
        <v/>
      </c>
      <c r="CY57" s="831" t="str">
        <f>IF($C57&lt;1,"",(AVERAGEIFS('09월 에너지'!AH$14:AH$949,'09월 에너지'!$A$14:$A$949,$A57,'09월 에너지'!$C$14:$C$949,$B57)))</f>
        <v/>
      </c>
      <c r="CZ57" s="831" t="str">
        <f>IF($C57&lt;1,"",(AVERAGEIFS('09월 에너지'!AI$14:AI$949,'09월 에너지'!$A$14:$A$949,$A57,'09월 에너지'!$C$14:$C$949,$B57)))</f>
        <v/>
      </c>
      <c r="DA57" s="838" t="str">
        <f>IF($C57&lt;1,"",(AVERAGEIFS('09월 에너지'!AJ$14:AJ$949,'09월 에너지'!$A$14:$A$949,$A57,'09월 에너지'!$C$14:$C$949,$B57)))</f>
        <v/>
      </c>
    </row>
    <row r="58" spans="1:105" ht="13.5" customHeight="1">
      <c r="A58" s="849">
        <f t="shared" si="2"/>
        <v>44937</v>
      </c>
      <c r="B58" s="850" t="s">
        <v>100</v>
      </c>
      <c r="C58" s="823">
        <f>COUNTIFS('09월 조업일지'!$A$12:$A$952,A56,'09월 조업일지'!$E$12:$E$952,B58)</f>
        <v>0</v>
      </c>
      <c r="D58" s="824" t="str">
        <f t="shared" ref="D58:D60" si="12">IF(C58&lt;1,"",F58-E58)</f>
        <v/>
      </c>
      <c r="E58" s="824" t="str">
        <f>IF($C58&lt;1,"",(SUMIFS('09월 조업일지'!$K$12:$K$952,'09월 조업일지'!$A$12:$A$952,$A58,'09월 조업일지'!$E$12:$E$952,$B58)/$C58))</f>
        <v/>
      </c>
      <c r="F58" s="824" t="str">
        <f>IF($C58&lt;1,"",(AVERAGEIFS('09월 조업일지'!$J$12:$J$952,'09월 조업일지'!$A$12:$A$952,$A58,'09월 조업일지'!$E$12:$E$952,$B58)))</f>
        <v/>
      </c>
      <c r="G58" s="825" t="str">
        <f>IF($C58&lt;1,"",(AVERAGEIFS('09월 에너지'!$M$14:$M$949,'09월 에너지'!$A$14:$A$949,$A58,'09월 에너지'!$C$14:$C$949,$B58)))</f>
        <v/>
      </c>
      <c r="H58" s="826" t="str">
        <f>IF($C58&lt;1,"",(AVERAGEIFS('09월 조업일지'!$AJ$12:$AJ$952,'09월 조업일지'!$A$12:$A$952,$A58,'09월 조업일지'!$E$12:$E$952,$B58)))</f>
        <v/>
      </c>
      <c r="I58" s="826" t="str">
        <f>IF($C58&lt;1,"",(AVERAGEIFS('09월 조업일지'!$AL$12:$AL$952,'09월 조업일지'!$A$12:$A$952,$A58,'09월 조업일지'!$E$12:$E$952,$B58)))</f>
        <v/>
      </c>
      <c r="J58" s="827" t="str">
        <f>IF($C58&lt;1,"",(AVERAGEIFS('09월 화학성분'!G$12:G$949,'09월 화학성분'!$A$12:$A$949,$A58,'09월 화학성분'!$D$12:$D$949,$B58)))</f>
        <v/>
      </c>
      <c r="K58" s="827" t="str">
        <f>IF($C58&lt;1,"",(AVERAGEIFS('09월 화학성분'!H$12:H$949,'09월 화학성분'!$A$12:$A$949,$A58,'09월 화학성분'!$D$12:$D$949,$B58)))</f>
        <v/>
      </c>
      <c r="L58" s="827" t="str">
        <f>IF($C58&lt;1,"",(AVERAGEIFS('09월 화학성분'!I$12:I$949,'09월 화학성분'!$A$12:$A$949,$A58,'09월 화학성분'!$D$12:$D$949,$B58)))</f>
        <v/>
      </c>
      <c r="M58" s="827" t="str">
        <f>IF($C58&lt;1,"",(AVERAGEIFS('09월 화학성분'!J$12:J$949,'09월 화학성분'!$A$12:$A$949,$A58,'09월 화학성분'!$D$12:$D$949,$B58)))</f>
        <v/>
      </c>
      <c r="N58" s="827" t="str">
        <f>IF($C58&lt;1,"",(AVERAGEIFS('09월 화학성분'!K$12:K$949,'09월 화학성분'!$A$12:$A$949,$A58,'09월 화학성분'!$D$12:$D$949,$B58)))</f>
        <v/>
      </c>
      <c r="O58" s="827" t="str">
        <f>IF($C58&lt;1,"",(AVERAGEIFS('09월 화학성분'!L$12:L$949,'09월 화학성분'!$A$12:$A$949,$A58,'09월 화학성분'!$D$12:$D$949,$B58)))</f>
        <v/>
      </c>
      <c r="P58" s="827" t="str">
        <f>IF($C58&lt;1,"",(AVERAGEIFS('09월 화학성분'!M$12:M$949,'09월 화학성분'!$A$12:$A$949,$A58,'09월 화학성분'!$D$12:$D$949,$B58)))</f>
        <v/>
      </c>
      <c r="Q58" s="827" t="str">
        <f>IFERROR(IF($C58&lt;1,"",(AVERAGEIFS('09월 조업일지'!$AA$12:$AA$952,'09월 조업일지'!$A$12:$A$952,$A58,'09월 조업일지'!$E$12:$E$952,$B58))),"")</f>
        <v/>
      </c>
      <c r="R58" s="827" t="str">
        <f>IF($C58&lt;1,"",(AVERAGEIFS('09월 조업일지'!$AK$12:$AK$952,'09월 조업일지'!$A$12:$A$952,$A58,'09월 조업일지'!$E$12:$E$952,$B58)))</f>
        <v/>
      </c>
      <c r="S58" s="827"/>
      <c r="T58" s="827"/>
      <c r="U58" s="827" t="str">
        <f>IF($C58&lt;1,"",(AVERAGEIFS('09월 화학성분'!$G$12:$G$949,'09월 화학성분'!$A$12:$A$949,$A58,'09월 화학성분'!$D$12:$D$949,$B58)))</f>
        <v/>
      </c>
      <c r="V58" s="827" t="str">
        <f>IF($C58&lt;1,"",(AVERAGEIFS('09월 조업일지'!$AI$12:$AI$952,'09월 조업일지'!$A$12:$A$952,$A58,'09월 조업일지'!$E$12:$E$952,$B58)))</f>
        <v/>
      </c>
      <c r="W58" s="828" t="str">
        <f>IF($C58&lt;1,"",(AVERAGEIFS('09월 화학성분'!$AM$12:$AM$949,'09월 화학성분'!$A$12:$A$949,$A58,'09월 화학성분'!$D$12:$D$949,$B58)))</f>
        <v/>
      </c>
      <c r="X58" s="829" t="str">
        <f>IF($C58&lt;1,"",(AVERAGEIFS('09월 화학성분'!N$12:N$949,'09월 화학성분'!$A$12:$A$949,$A58,'09월 화학성분'!$D$12:$D$949,$B58)))</f>
        <v/>
      </c>
      <c r="Y58" s="829" t="str">
        <f>IF($C58&lt;1,"",(AVERAGEIFS('09월 화학성분'!O$12:O$949,'09월 화학성분'!$A$12:$A$949,$A58,'09월 화학성분'!$D$12:$D$949,$B58)))</f>
        <v/>
      </c>
      <c r="Z58" s="829" t="str">
        <f>IF($C58&lt;1,"",(AVERAGEIFS('09월 화학성분'!P$12:P$949,'09월 화학성분'!$A$12:$A$949,$A58,'09월 화학성분'!$D$12:$D$949,$B58)))</f>
        <v/>
      </c>
      <c r="AA58" s="829" t="str">
        <f>IF($C58&lt;1,"",(AVERAGEIFS('09월 화학성분'!Q$12:Q$949,'09월 화학성분'!$A$12:$A$949,$A58,'09월 화학성분'!$D$12:$D$949,$B58)))</f>
        <v/>
      </c>
      <c r="AB58" s="829" t="str">
        <f>IF($C58&lt;1,"",(AVERAGEIFS('09월 화학성분'!R$12:R$949,'09월 화학성분'!$A$12:$A$949,$A58,'09월 화학성분'!$D$12:$D$949,$B58)))</f>
        <v/>
      </c>
      <c r="AC58" s="829" t="str">
        <f>IF($C58&lt;1,"",(AVERAGEIFS('09월 화학성분'!U$12:U$949,'09월 화학성분'!$A$12:$A$949,$A58,'09월 화학성분'!$D$12:$D$949,$B58)))</f>
        <v/>
      </c>
      <c r="AD58" s="829" t="str">
        <f>IF($C58&lt;1,"",(AVERAGEIFS('09월 화학성분'!V$12:V$949,'09월 화학성분'!$A$12:$A$949,$A58,'09월 화학성분'!$D$12:$D$949,$B58)))</f>
        <v/>
      </c>
      <c r="AE58" s="829" t="str">
        <f>IF($C58&lt;1,"",(AVERAGEIFS('09월 화학성분'!W$12:W$949,'09월 화학성분'!$A$12:$A$949,$A58,'09월 화학성분'!$D$12:$D$949,$B58)))</f>
        <v/>
      </c>
      <c r="AF58" s="829" t="str">
        <f>IF($C58&lt;1,"",(AVERAGEIFS('09월 화학성분'!AA$12:AA$949,'09월 화학성분'!$A$12:$A$949,$A58,'09월 화학성분'!$D$12:$D$949,$B58)))</f>
        <v/>
      </c>
      <c r="AG58" s="829" t="str">
        <f>IF($C58&lt;1,"",(AVERAGEIFS('09월 화학성분'!#REF!,'09월 화학성분'!$A$12:$A$949,$A58,'09월 화학성분'!$D$12:$D$949,$B58)))</f>
        <v/>
      </c>
      <c r="AH58" s="829" t="str">
        <f>IF($C58&lt;1,"",(AVERAGEIFS('09월 화학성분'!AB$12:AB$949,'09월 화학성분'!$A$12:$A$949,$A58,'09월 화학성분'!$D$12:$D$949,$B58)))</f>
        <v/>
      </c>
      <c r="AI58" s="829" t="str">
        <f>IF($C58&lt;1,"",(AVERAGEIFS('09월 화학성분'!AC$12:AC$949,'09월 화학성분'!$A$12:$A$949,$A58,'09월 화학성분'!$D$12:$D$949,$B58)))</f>
        <v/>
      </c>
      <c r="AJ58" s="829" t="str">
        <f>IF($C58&lt;1,"",(AVERAGEIFS('09월 화학성분'!AD$12:AD$949,'09월 화학성분'!$A$12:$A$949,$A58,'09월 화학성분'!$D$12:$D$949,$B58)))</f>
        <v/>
      </c>
      <c r="AK58" s="829" t="str">
        <f>IF($C58&lt;1,"",(AVERAGEIFS('09월 화학성분'!AF$12:AF$949,'09월 화학성분'!$A$12:$A$949,$A58,'09월 화학성분'!$D$12:$D$949,$B58)))</f>
        <v/>
      </c>
      <c r="AL58" s="829" t="str">
        <f>IF($C58&lt;1,"",(AVERAGEIFS('09월 화학성분'!AG$12:AG$949,'09월 화학성분'!$A$12:$A$949,$A58,'09월 화학성분'!$D$12:$D$949,$B58)))</f>
        <v/>
      </c>
      <c r="AM58" s="829" t="str">
        <f>IF($C58&lt;1,"",(AVERAGEIFS('09월 화학성분'!AH$12:AH$949,'09월 화학성분'!$A$12:$A$949,$A58,'09월 화학성분'!$D$12:$D$949,$B58)))</f>
        <v/>
      </c>
      <c r="AN58" s="829" t="str">
        <f>IF($C58&lt;1,"",(AVERAGEIFS('09월 화학성분'!AI$12:AI$949,'09월 화학성분'!$A$12:$A$949,$A58,'09월 화학성분'!$D$12:$D$949,$B58)))</f>
        <v/>
      </c>
      <c r="AO58" s="829" t="str">
        <f>IF($C58&lt;1,"",(AVERAGEIFS('09월 화학성분'!AJ$12:AJ$949,'09월 화학성분'!$A$12:$A$949,$A58,'09월 화학성분'!$D$12:$D$949,$B58)))</f>
        <v/>
      </c>
      <c r="AP58" s="829" t="str">
        <f>IF($C58&lt;1,"",(AVERAGEIFS('09월 화학성분'!#REF!,'09월 화학성분'!$A$12:$A$949,$A58,'09월 화학성분'!$D$12:$D$949,$B58)))</f>
        <v/>
      </c>
      <c r="AQ58" s="829" t="str">
        <f>IF($C58&lt;1,"",(AVERAGEIFS('09월 화학성분'!AL$12:AL$949,'09월 화학성분'!$A$12:$A$949,$A58,'09월 화학성분'!$D$12:$D$949,$B58)))</f>
        <v/>
      </c>
      <c r="AR58" s="829" t="str">
        <f>IF($C58&lt;1,"",(AVERAGEIFS('09월 화학성분'!AM$12:AM$949,'09월 화학성분'!$A$12:$A$949,$A58,'09월 화학성분'!$D$12:$D$949,$B58)))</f>
        <v/>
      </c>
      <c r="AS58" s="830" t="str">
        <f>IF($C58&lt;1,"",(AVERAGEIFS('09월 화학성분'!AN$12:AN$949,'09월 화학성분'!$A$12:$A$949,$A58,'09월 화학성분'!$D$12:$D$949,$B58)))</f>
        <v/>
      </c>
      <c r="AT58" s="830" t="str">
        <f>IF($C58&lt;1,"",(AVERAGEIFS('09월 화학성분'!AO$12:AO$949,'09월 화학성분'!$A$12:$A$949,$A58,'09월 화학성분'!$D$12:$D$949,$B58)))</f>
        <v/>
      </c>
      <c r="AU58" s="831" t="str">
        <f>IF($C58&lt;1,"",(AVERAGEIFS('09월 화학성분'!AP$12:AP$949,'09월 화학성분'!$A$12:$A$949,$A58,'09월 화학성분'!$D$12:$D$949,$B58)))</f>
        <v/>
      </c>
      <c r="AV58" s="832" t="str">
        <f>IF($C58&lt;1,"",(AVERAGEIFS('09월 고철장입'!G$14:G$949,'09월 고철장입'!$A$14:$A$949,$A58,'09월 고철장입'!$C$14:$C$949,$B58))/1000)</f>
        <v/>
      </c>
      <c r="AW58" s="832" t="str">
        <f>IF($C58&lt;1,"",(AVERAGEIFS('09월 고철장입'!H$14:H$949,'09월 고철장입'!$A$14:$A$949,$A58,'09월 고철장입'!$C$14:$C$949,$B58))/1000)</f>
        <v/>
      </c>
      <c r="AX58" s="832" t="str">
        <f>IF($C58&lt;1,"",(AVERAGEIFS('09월 고철장입'!I$14:I$949,'09월 고철장입'!$A$14:$A$949,$A58,'09월 고철장입'!$C$14:$C$949,$B58))/1000)</f>
        <v/>
      </c>
      <c r="AY58" s="832" t="str">
        <f>IF($C58&lt;1,"",(AVERAGEIFS('09월 고철장입'!J$14:J$949,'09월 고철장입'!$A$14:$A$949,$A58,'09월 고철장입'!$C$14:$C$949,$B58))/1000)</f>
        <v/>
      </c>
      <c r="AZ58" s="832" t="str">
        <f>IF($C58&lt;1,"",(AVERAGEIFS('09월 고철장입'!K$14:K$949,'09월 고철장입'!$A$14:$A$949,$A58,'09월 고철장입'!$C$14:$C$949,$B58))/1000)</f>
        <v/>
      </c>
      <c r="BA58" s="832" t="str">
        <f>IF($C58&lt;1,"",(AVERAGEIFS('09월 고철장입'!L$14:L$949,'09월 고철장입'!$A$14:$A$949,$A58,'09월 고철장입'!$C$14:$C$949,$B58))/1000)</f>
        <v/>
      </c>
      <c r="BB58" s="832" t="str">
        <f>IF($C58&lt;1,"",(AVERAGEIFS('09월 고철장입'!M$14:M$949,'09월 고철장입'!$A$14:$A$949,$A58,'09월 고철장입'!$C$14:$C$949,$B58))/1000)</f>
        <v/>
      </c>
      <c r="BC58" s="832" t="str">
        <f>IF($C58&lt;1,"",(AVERAGEIFS('09월 고철장입'!N$14:N$949,'09월 고철장입'!$A$14:$A$949,$A58,'09월 고철장입'!$C$14:$C$949,$B58))/1000)</f>
        <v/>
      </c>
      <c r="BD58" s="832" t="str">
        <f>IF($C58&lt;1,"",(AVERAGEIFS('09월 고철장입'!O$14:O$949,'09월 고철장입'!$A$14:$A$949,$A58,'09월 고철장입'!$C$14:$C$949,$B58))/1000)</f>
        <v/>
      </c>
      <c r="BE58" s="833" t="str">
        <f>IF($C58&lt;1,"",(AVERAGEIFS('09월 고철장입'!P$14:P$949,'09월 고철장입'!$A$14:$A$949,$A58,'09월 고철장입'!$C$14:$C$949,$B58))/1000)</f>
        <v/>
      </c>
      <c r="BF58" s="833" t="str">
        <f>IF($C58&lt;1,"",(AVERAGEIFS('09월 고철장입'!Q$14:Q$949,'09월 고철장입'!$A$14:$A$949,$A58,'09월 고철장입'!$C$14:$C$949,$B58))/1000)</f>
        <v/>
      </c>
      <c r="BG58" s="833" t="str">
        <f>IF($C58&lt;1,"",(AVERAGEIFS('09월 고철장입'!S$14:S$949,'09월 고철장입'!$A$14:$A$949,$A58,'09월 고철장입'!$C$14:$C$949,$B58))/1000)</f>
        <v/>
      </c>
      <c r="BH58" s="833" t="str">
        <f>IF($C58&lt;1,"",(AVERAGEIFS('09월 고철장입'!T$14:T$949,'09월 고철장입'!$A$14:$A$949,$A58,'09월 고철장입'!$C$14:$C$949,$B58))/1000)</f>
        <v/>
      </c>
      <c r="BI58" s="833" t="str">
        <f>IF($C58&lt;1,"",(AVERAGEIFS('09월 고철장입'!U$14:U$949,'09월 고철장입'!$A$14:$A$949,$A58,'09월 고철장입'!$C$14:$C$949,$B58))/1000)</f>
        <v/>
      </c>
      <c r="BJ58" s="833" t="str">
        <f>IF($C58&lt;1,"",(AVERAGEIFS('09월 고철장입'!V$14:V$949,'09월 고철장입'!$A$14:$A$949,$A58,'09월 고철장입'!$C$14:$C$949,$B58))/1000)</f>
        <v/>
      </c>
      <c r="BK58" s="833" t="str">
        <f>IF($C58&lt;1,"",(AVERAGEIFS('09월 고철장입'!W$14:W$949,'09월 고철장입'!$A$14:$A$949,$A58,'09월 고철장입'!$C$14:$C$949,$B58))/1000)</f>
        <v/>
      </c>
      <c r="BL58" s="833" t="str">
        <f>IF($C58&lt;1,"",(AVERAGEIFS('09월 고철장입'!Y$14:Y$949,'09월 고철장입'!$A$14:$A$949,$A58,'09월 고철장입'!$C$14:$C$949,$B58))/1000)</f>
        <v/>
      </c>
      <c r="BM58" s="833" t="str">
        <f>IF($C58&lt;1,"",(AVERAGEIFS('09월 고철장입'!AB$14:AB$949,'09월 고철장입'!$A$14:$A$949,$A58,'09월 고철장입'!$C$14:$C$949,$B58))/1000)</f>
        <v/>
      </c>
      <c r="BN58" s="833" t="str">
        <f>IF($C58&lt;1,"",(AVERAGEIFS('09월 고철장입'!AC$14:AC$949,'09월 고철장입'!$A$14:$A$949,$A58,'09월 고철장입'!$C$14:$C$949,$B58))/1000)</f>
        <v/>
      </c>
      <c r="BO58" s="833" t="str">
        <f>IF($C58&lt;1,"",(AVERAGEIFS('09월 고철장입'!AD$14:AD$949,'09월 고철장입'!$A$14:$A$949,$A58,'09월 고철장입'!$C$14:$C$949,$B58))/1000)</f>
        <v/>
      </c>
      <c r="BP58" s="833" t="str">
        <f>IF($C58&lt;1,"",(AVERAGEIFS('09월 고철장입'!AE$14:AE$949,'09월 고철장입'!$A$14:$A$949,$A58,'09월 고철장입'!$C$14:$C$949,$B58))/1000)</f>
        <v/>
      </c>
      <c r="BQ58" s="832" t="str">
        <f>IF($C58&lt;1,"",(AVERAGEIFS('09월 고철장입'!AF$14:AF$949,'09월 고철장입'!$A$14:$A$949,$A58,'09월 고철장입'!$C$14:$C$949,$B58))/1000)</f>
        <v/>
      </c>
      <c r="BR58" s="832" t="str">
        <f>IF($C58&lt;1,"",(AVERAGEIFS('09월 고철장입'!AG$14:AG$949,'09월 고철장입'!$A$14:$A$949,$A58,'09월 고철장입'!$C$14:$C$949,$B58))/1000)</f>
        <v/>
      </c>
      <c r="BS58" s="832" t="str">
        <f>IF($C58&lt;1,"",(AVERAGEIFS('09월 고철장입'!AH$14:AH$949,'09월 고철장입'!$A$14:$A$949,$A58,'09월 고철장입'!$C$14:$C$949,$B58))/1000)</f>
        <v/>
      </c>
      <c r="BT58" s="832" t="str">
        <f>IF($C58&lt;1,"",(AVERAGEIFS('09월 고철장입'!AI$14:AI$949,'09월 고철장입'!$A$14:$A$949,$A58,'09월 고철장입'!$C$14:$C$949,$B58))/1000)</f>
        <v/>
      </c>
      <c r="BU58" s="834" t="str">
        <f>IF($C58&lt;1,"",(AVERAGEIFS('09월 고철장입'!AJ$14:AJ$949,'09월 고철장입'!$A$14:$A$949,$A58,'09월 고철장입'!$C$14:$C$949,$B58))/1000)</f>
        <v/>
      </c>
      <c r="BV58" s="834" t="str">
        <f>IF($C58&lt;1,"",(AVERAGEIFS('09월 고철장입'!AK$14:AK$949,'09월 고철장입'!$A$14:$A$949,$A58,'09월 고철장입'!$C$14:$C$949,$B58)))</f>
        <v/>
      </c>
      <c r="BW58" s="834" t="str">
        <f>IF($C58&lt;1,"",(AVERAGEIFS('09월 고철장입'!AL$14:AL$949,'09월 고철장입'!$A$14:$A$949,$A58,'09월 고철장입'!$C$14:$C$949,$B58))*100)</f>
        <v/>
      </c>
      <c r="BX58" s="831" t="str">
        <f>IF($C58&lt;1,"",(AVERAGEIFS('09월 에너지'!G$14:G$949,'09월 에너지'!$A$14:$A$949,$A58,'09월 에너지'!$C$14:$C$949,$B58)))</f>
        <v/>
      </c>
      <c r="BY58" s="835" t="str">
        <f>IF($C58&lt;1,"",(AVERAGEIFS('09월 에너지'!H$14:H$949,'09월 에너지'!$A$14:$A$949,$A58,'09월 에너지'!$C$14:$C$949,$B58)))</f>
        <v/>
      </c>
      <c r="BZ58" s="831" t="str">
        <f>IF($C58&lt;1,"",(AVERAGEIFS('09월 에너지'!I$14:I$949,'09월 에너지'!$A$14:$A$949,$A58,'09월 에너지'!$C$14:$C$949,$B58)))</f>
        <v/>
      </c>
      <c r="CA58" s="835" t="str">
        <f>IF($C58&lt;1,"",(AVERAGEIFS('09월 에너지'!J$14:J$949,'09월 에너지'!$A$14:$A$949,$A58,'09월 에너지'!$C$14:$C$949,$B58)))</f>
        <v/>
      </c>
      <c r="CB58" s="831" t="str">
        <f>IF($C58&lt;1,"",(AVERAGEIFS('09월 에너지'!K$14:K$949,'09월 에너지'!$A$14:$A$949,$A58,'09월 에너지'!$C$14:$C$949,$B58)))</f>
        <v/>
      </c>
      <c r="CC58" s="835" t="str">
        <f>IF($C58&lt;1,"",(AVERAGEIFS('09월 에너지'!L$14:L$949,'09월 에너지'!$A$14:$A$949,$A58,'09월 에너지'!$C$14:$C$949,$B58)))</f>
        <v/>
      </c>
      <c r="CD58" s="831" t="str">
        <f>IF($C58&lt;1,"",(AVERAGEIFS('09월 에너지'!M$14:M$949,'09월 에너지'!$A$14:$A$949,$A58,'09월 에너지'!$C$14:$C$949,$B58)))</f>
        <v/>
      </c>
      <c r="CE58" s="835" t="str">
        <f>IF($C58&lt;1,"",(AVERAGEIFS('09월 에너지'!N$14:N$949,'09월 에너지'!$A$14:$A$949,$A58,'09월 에너지'!$C$14:$C$949,$B58)))</f>
        <v/>
      </c>
      <c r="CF58" s="831" t="str">
        <f>IF($C58&lt;1,"",(AVERAGEIFS('09월 에너지'!O$14:O$949,'09월 에너지'!$A$14:$A$949,$A58,'09월 에너지'!$C$14:$C$949,$B58)))</f>
        <v/>
      </c>
      <c r="CG58" s="831" t="str">
        <f>IF($C58&lt;1,"",(AVERAGEIFS('09월 에너지'!P$14:P$949,'09월 에너지'!$A$14:$A$949,$A58,'09월 에너지'!$C$14:$C$949,$B58)))</f>
        <v/>
      </c>
      <c r="CH58" s="831" t="str">
        <f>IF($C58&lt;1,"",(AVERAGEIFS('09월 에너지'!Q$14:Q$949,'09월 에너지'!$A$14:$A$949,$A58,'09월 에너지'!$C$14:$C$949,$B58)))</f>
        <v/>
      </c>
      <c r="CI58" s="831" t="str">
        <f>IF($C58&lt;1,"",(AVERAGEIFS('09월 에너지'!R$14:R$949,'09월 에너지'!$A$14:$A$949,$A58,'09월 에너지'!$C$14:$C$949,$B58)))</f>
        <v/>
      </c>
      <c r="CJ58" s="831" t="str">
        <f>IF($C58&lt;1,"",(AVERAGEIFS('09월 에너지'!S$14:S$949,'09월 에너지'!$A$14:$A$949,$A58,'09월 에너지'!$C$14:$C$949,$B58)))</f>
        <v/>
      </c>
      <c r="CK58" s="831" t="str">
        <f>IF($C58&lt;1,"",(AVERAGEIFS('09월 에너지'!T$14:T$949,'09월 에너지'!$A$14:$A$949,$A58,'09월 에너지'!$C$14:$C$949,$B58)))</f>
        <v/>
      </c>
      <c r="CL58" s="831" t="str">
        <f>IF($C58&lt;1,"",(AVERAGEIFS('09월 에너지'!U$14:U$949,'09월 에너지'!$A$14:$A$949,$A58,'09월 에너지'!$C$14:$C$949,$B58)))</f>
        <v/>
      </c>
      <c r="CM58" s="835" t="str">
        <f>IF($C58&lt;1,"",(AVERAGEIFS('09월 에너지'!V$14:V$949,'09월 에너지'!$A$14:$A$949,$A58,'09월 에너지'!$C$14:$C$949,$B58)))</f>
        <v/>
      </c>
      <c r="CN58" s="835" t="str">
        <f>IF($C58&lt;1,"",(AVERAGEIFS('09월 에너지'!W$14:W$949,'09월 에너지'!$A$14:$A$949,$A58,'09월 에너지'!$C$14:$C$949,$B58)))</f>
        <v/>
      </c>
      <c r="CO58" s="831" t="str">
        <f>IF($C58&lt;1,"",(AVERAGEIFS('09월 에너지'!X$14:X$949,'09월 에너지'!$A$14:$A$949,$A58,'09월 에너지'!$C$14:$C$949,$B58)))</f>
        <v/>
      </c>
      <c r="CP58" s="835" t="str">
        <f>IF($C58&lt;1,"",(AVERAGEIFS('09월 에너지'!Y$14:Y$949,'09월 에너지'!$A$14:$A$949,$A58,'09월 에너지'!$C$14:$C$949,$B58)))</f>
        <v/>
      </c>
      <c r="CQ58" s="835" t="str">
        <f>IF($C58&lt;1,"",(AVERAGEIFS('09월 에너지'!Z$14:Z$949,'09월 에너지'!$A$14:$A$949,$A58,'09월 에너지'!$C$14:$C$949,$B58)))</f>
        <v/>
      </c>
      <c r="CR58" s="835" t="str">
        <f>IF($C58&lt;1,"",(AVERAGEIFS('09월 에너지'!AA$14:AA$949,'09월 에너지'!$A$14:$A$949,$A58,'09월 에너지'!$C$14:$C$949,$B58)))</f>
        <v/>
      </c>
      <c r="CS58" s="835" t="str">
        <f>IF($C58&lt;1,"",(AVERAGEIFS('09월 에너지'!AB$14:AB$949,'09월 에너지'!$A$14:$A$949,$A58,'09월 에너지'!$C$14:$C$949,$B58)))</f>
        <v/>
      </c>
      <c r="CT58" s="831" t="str">
        <f>IF($C58&lt;1,"",(AVERAGEIFS('09월 에너지'!AC$14:AC$949,'09월 에너지'!$A$14:$A$949,$A58,'09월 에너지'!$C$14:$C$949,$B58)))</f>
        <v/>
      </c>
      <c r="CU58" s="836" t="str">
        <f>IF($C58&lt;1,"",(AVERAGEIFS('09월 에너지'!AD$14:AD$949,'09월 에너지'!$A$14:$A$949,$A58,'09월 에너지'!$C$14:$C$949,$B58)))</f>
        <v/>
      </c>
      <c r="CV58" s="837" t="str">
        <f>IF($C58&lt;1,"",(AVERAGEIFS('09월 에너지'!AE$14:AE$949,'09월 에너지'!$A$14:$A$949,$A58,'09월 에너지'!$C$14:$C$949,$B58)))</f>
        <v/>
      </c>
      <c r="CW58" s="831" t="str">
        <f>IF($C58&lt;1,"",(AVERAGEIFS('09월 에너지'!AF$14:AF$949,'09월 에너지'!$A$14:$A$949,$A58,'09월 에너지'!$C$14:$C$949,$B58)))</f>
        <v/>
      </c>
      <c r="CX58" s="831" t="str">
        <f>IF($C58&lt;1,"",(AVERAGEIFS('09월 에너지'!AG$14:AG$949,'09월 에너지'!$A$14:$A$949,$A58,'09월 에너지'!$C$14:$C$949,$B58)))</f>
        <v/>
      </c>
      <c r="CY58" s="831" t="str">
        <f>IF($C58&lt;1,"",(AVERAGEIFS('09월 에너지'!AH$14:AH$949,'09월 에너지'!$A$14:$A$949,$A58,'09월 에너지'!$C$14:$C$949,$B58)))</f>
        <v/>
      </c>
      <c r="CZ58" s="831" t="str">
        <f>IF($C58&lt;1,"",(AVERAGEIFS('09월 에너지'!AI$14:AI$949,'09월 에너지'!$A$14:$A$949,$A58,'09월 에너지'!$C$14:$C$949,$B58)))</f>
        <v/>
      </c>
      <c r="DA58" s="838" t="str">
        <f>IF($C58&lt;1,"",(AVERAGEIFS('09월 에너지'!AJ$14:AJ$949,'09월 에너지'!$A$14:$A$949,$A58,'09월 에너지'!$C$14:$C$949,$B58)))</f>
        <v/>
      </c>
    </row>
    <row r="59" spans="1:105" ht="13.5" customHeight="1">
      <c r="A59" s="849">
        <f t="shared" si="2"/>
        <v>44937</v>
      </c>
      <c r="B59" s="850" t="s">
        <v>10</v>
      </c>
      <c r="C59" s="823">
        <f>COUNTIFS('09월 조업일지'!$A$12:$A$952,A56,'09월 조업일지'!$E$12:$E$952,B59)</f>
        <v>0</v>
      </c>
      <c r="D59" s="824" t="str">
        <f t="shared" si="12"/>
        <v/>
      </c>
      <c r="E59" s="824" t="str">
        <f>IF($C59&lt;1,"",(SUMIFS('09월 조업일지'!$K$12:$K$952,'09월 조업일지'!$A$12:$A$952,$A59,'09월 조업일지'!$E$12:$E$952,$B59)/$C59))</f>
        <v/>
      </c>
      <c r="F59" s="824" t="str">
        <f>IF($C59&lt;1,"",(AVERAGEIFS('09월 조업일지'!$J$12:$J$952,'09월 조업일지'!$A$12:$A$952,$A59,'09월 조업일지'!$E$12:$E$952,$B59)))</f>
        <v/>
      </c>
      <c r="G59" s="825" t="str">
        <f>IF($C59&lt;1,"",(AVERAGEIFS('09월 에너지'!$M$14:$M$949,'09월 에너지'!$A$14:$A$949,$A59,'09월 에너지'!$C$14:$C$949,$B59)))</f>
        <v/>
      </c>
      <c r="H59" s="826" t="str">
        <f>IF($C59&lt;1,"",(AVERAGEIFS('09월 조업일지'!$AJ$12:$AJ$952,'09월 조업일지'!$A$12:$A$952,$A59,'09월 조업일지'!$E$12:$E$952,$B59)))</f>
        <v/>
      </c>
      <c r="I59" s="826" t="str">
        <f>IF($C59&lt;1,"",(AVERAGEIFS('09월 조업일지'!$AL$12:$AL$952,'09월 조업일지'!$A$12:$A$952,$A59,'09월 조업일지'!$E$12:$E$952,$B59)))</f>
        <v/>
      </c>
      <c r="J59" s="827" t="str">
        <f>IF($C59&lt;1,"",(AVERAGEIFS('09월 화학성분'!G$12:G$949,'09월 화학성분'!$A$12:$A$949,$A59,'09월 화학성분'!$D$12:$D$949,$B59)))</f>
        <v/>
      </c>
      <c r="K59" s="827" t="str">
        <f>IF($C59&lt;1,"",(AVERAGEIFS('09월 화학성분'!H$12:H$949,'09월 화학성분'!$A$12:$A$949,$A59,'09월 화학성분'!$D$12:$D$949,$B59)))</f>
        <v/>
      </c>
      <c r="L59" s="827" t="str">
        <f>IF($C59&lt;1,"",(AVERAGEIFS('09월 화학성분'!I$12:I$949,'09월 화학성분'!$A$12:$A$949,$A59,'09월 화학성분'!$D$12:$D$949,$B59)))</f>
        <v/>
      </c>
      <c r="M59" s="827" t="str">
        <f>IF($C59&lt;1,"",(AVERAGEIFS('09월 화학성분'!J$12:J$949,'09월 화학성분'!$A$12:$A$949,$A59,'09월 화학성분'!$D$12:$D$949,$B59)))</f>
        <v/>
      </c>
      <c r="N59" s="827" t="str">
        <f>IF($C59&lt;1,"",(AVERAGEIFS('09월 화학성분'!K$12:K$949,'09월 화학성분'!$A$12:$A$949,$A59,'09월 화학성분'!$D$12:$D$949,$B59)))</f>
        <v/>
      </c>
      <c r="O59" s="827" t="str">
        <f>IF($C59&lt;1,"",(AVERAGEIFS('09월 화학성분'!L$12:L$949,'09월 화학성분'!$A$12:$A$949,$A59,'09월 화학성분'!$D$12:$D$949,$B59)))</f>
        <v/>
      </c>
      <c r="P59" s="827" t="str">
        <f>IF($C59&lt;1,"",(AVERAGEIFS('09월 화학성분'!M$12:M$949,'09월 화학성분'!$A$12:$A$949,$A59,'09월 화학성분'!$D$12:$D$949,$B59)))</f>
        <v/>
      </c>
      <c r="Q59" s="827" t="str">
        <f>IFERROR(IF($C59&lt;1,"",(AVERAGEIFS('09월 조업일지'!$AA$12:$AA$952,'09월 조업일지'!$A$12:$A$952,$A59,'09월 조업일지'!$E$12:$E$952,$B59))),"")</f>
        <v/>
      </c>
      <c r="R59" s="827" t="str">
        <f>IF($C59&lt;1,"",(AVERAGEIFS('09월 조업일지'!$AK$12:$AK$952,'09월 조업일지'!$A$12:$A$952,$A59,'09월 조업일지'!$E$12:$E$952,$B59)))</f>
        <v/>
      </c>
      <c r="S59" s="827"/>
      <c r="T59" s="827"/>
      <c r="U59" s="827" t="str">
        <f>IF($C59&lt;1,"",(AVERAGEIFS('09월 화학성분'!$G$12:$G$949,'09월 화학성분'!$A$12:$A$949,$A59,'09월 화학성분'!$D$12:$D$949,$B59)))</f>
        <v/>
      </c>
      <c r="V59" s="827" t="str">
        <f>IF($C59&lt;1,"",(AVERAGEIFS('09월 조업일지'!$AI$12:$AI$952,'09월 조업일지'!$A$12:$A$952,$A59,'09월 조업일지'!$E$12:$E$952,$B59)))</f>
        <v/>
      </c>
      <c r="W59" s="828" t="str">
        <f>IF($C59&lt;1,"",(AVERAGEIFS('09월 화학성분'!$AM$12:$AM$949,'09월 화학성분'!$A$12:$A$949,$A59,'09월 화학성분'!$D$12:$D$949,$B59)))</f>
        <v/>
      </c>
      <c r="X59" s="829" t="str">
        <f>IF($C59&lt;1,"",(AVERAGEIFS('09월 화학성분'!N$12:N$949,'09월 화학성분'!$A$12:$A$949,$A59,'09월 화학성분'!$D$12:$D$949,$B59)))</f>
        <v/>
      </c>
      <c r="Y59" s="829" t="str">
        <f>IF($C59&lt;1,"",(AVERAGEIFS('09월 화학성분'!O$12:O$949,'09월 화학성분'!$A$12:$A$949,$A59,'09월 화학성분'!$D$12:$D$949,$B59)))</f>
        <v/>
      </c>
      <c r="Z59" s="829" t="str">
        <f>IF($C59&lt;1,"",(AVERAGEIFS('09월 화학성분'!P$12:P$949,'09월 화학성분'!$A$12:$A$949,$A59,'09월 화학성분'!$D$12:$D$949,$B59)))</f>
        <v/>
      </c>
      <c r="AA59" s="829" t="str">
        <f>IF($C59&lt;1,"",(AVERAGEIFS('09월 화학성분'!Q$12:Q$949,'09월 화학성분'!$A$12:$A$949,$A59,'09월 화학성분'!$D$12:$D$949,$B59)))</f>
        <v/>
      </c>
      <c r="AB59" s="829" t="str">
        <f>IF($C59&lt;1,"",(AVERAGEIFS('09월 화학성분'!R$12:R$949,'09월 화학성분'!$A$12:$A$949,$A59,'09월 화학성분'!$D$12:$D$949,$B59)))</f>
        <v/>
      </c>
      <c r="AC59" s="829" t="str">
        <f>IF($C59&lt;1,"",(AVERAGEIFS('09월 화학성분'!U$12:U$949,'09월 화학성분'!$A$12:$A$949,$A59,'09월 화학성분'!$D$12:$D$949,$B59)))</f>
        <v/>
      </c>
      <c r="AD59" s="829" t="str">
        <f>IF($C59&lt;1,"",(AVERAGEIFS('09월 화학성분'!V$12:V$949,'09월 화학성분'!$A$12:$A$949,$A59,'09월 화학성분'!$D$12:$D$949,$B59)))</f>
        <v/>
      </c>
      <c r="AE59" s="829" t="str">
        <f>IF($C59&lt;1,"",(AVERAGEIFS('09월 화학성분'!W$12:W$949,'09월 화학성분'!$A$12:$A$949,$A59,'09월 화학성분'!$D$12:$D$949,$B59)))</f>
        <v/>
      </c>
      <c r="AF59" s="829" t="str">
        <f>IF($C59&lt;1,"",(AVERAGEIFS('09월 화학성분'!AA$12:AA$949,'09월 화학성분'!$A$12:$A$949,$A59,'09월 화학성분'!$D$12:$D$949,$B59)))</f>
        <v/>
      </c>
      <c r="AG59" s="829" t="str">
        <f>IF($C59&lt;1,"",(AVERAGEIFS('09월 화학성분'!#REF!,'09월 화학성분'!$A$12:$A$949,$A59,'09월 화학성분'!$D$12:$D$949,$B59)))</f>
        <v/>
      </c>
      <c r="AH59" s="829" t="str">
        <f>IF($C59&lt;1,"",(AVERAGEIFS('09월 화학성분'!AB$12:AB$949,'09월 화학성분'!$A$12:$A$949,$A59,'09월 화학성분'!$D$12:$D$949,$B59)))</f>
        <v/>
      </c>
      <c r="AI59" s="829" t="str">
        <f>IF($C59&lt;1,"",(AVERAGEIFS('09월 화학성분'!AC$12:AC$949,'09월 화학성분'!$A$12:$A$949,$A59,'09월 화학성분'!$D$12:$D$949,$B59)))</f>
        <v/>
      </c>
      <c r="AJ59" s="829" t="str">
        <f>IF($C59&lt;1,"",(AVERAGEIFS('09월 화학성분'!AD$12:AD$949,'09월 화학성분'!$A$12:$A$949,$A59,'09월 화학성분'!$D$12:$D$949,$B59)))</f>
        <v/>
      </c>
      <c r="AK59" s="829" t="str">
        <f>IF($C59&lt;1,"",(AVERAGEIFS('09월 화학성분'!AF$12:AF$949,'09월 화학성분'!$A$12:$A$949,$A59,'09월 화학성분'!$D$12:$D$949,$B59)))</f>
        <v/>
      </c>
      <c r="AL59" s="829" t="str">
        <f>IF($C59&lt;1,"",(AVERAGEIFS('09월 화학성분'!AG$12:AG$949,'09월 화학성분'!$A$12:$A$949,$A59,'09월 화학성분'!$D$12:$D$949,$B59)))</f>
        <v/>
      </c>
      <c r="AM59" s="829" t="str">
        <f>IF($C59&lt;1,"",(AVERAGEIFS('09월 화학성분'!AH$12:AH$949,'09월 화학성분'!$A$12:$A$949,$A59,'09월 화학성분'!$D$12:$D$949,$B59)))</f>
        <v/>
      </c>
      <c r="AN59" s="829" t="str">
        <f>IF($C59&lt;1,"",(AVERAGEIFS('09월 화학성분'!AI$12:AI$949,'09월 화학성분'!$A$12:$A$949,$A59,'09월 화학성분'!$D$12:$D$949,$B59)))</f>
        <v/>
      </c>
      <c r="AO59" s="829" t="str">
        <f>IF($C59&lt;1,"",(AVERAGEIFS('09월 화학성분'!AJ$12:AJ$949,'09월 화학성분'!$A$12:$A$949,$A59,'09월 화학성분'!$D$12:$D$949,$B59)))</f>
        <v/>
      </c>
      <c r="AP59" s="829" t="str">
        <f>IF($C59&lt;1,"",(AVERAGEIFS('09월 화학성분'!#REF!,'09월 화학성분'!$A$12:$A$949,$A59,'09월 화학성분'!$D$12:$D$949,$B59)))</f>
        <v/>
      </c>
      <c r="AQ59" s="829" t="str">
        <f>IF($C59&lt;1,"",(AVERAGEIFS('09월 화학성분'!AL$12:AL$949,'09월 화학성분'!$A$12:$A$949,$A59,'09월 화학성분'!$D$12:$D$949,$B59)))</f>
        <v/>
      </c>
      <c r="AR59" s="829" t="str">
        <f>IF($C59&lt;1,"",(AVERAGEIFS('09월 화학성분'!AM$12:AM$949,'09월 화학성분'!$A$12:$A$949,$A59,'09월 화학성분'!$D$12:$D$949,$B59)))</f>
        <v/>
      </c>
      <c r="AS59" s="830" t="str">
        <f>IF($C59&lt;1,"",(AVERAGEIFS('09월 화학성분'!AN$12:AN$949,'09월 화학성분'!$A$12:$A$949,$A59,'09월 화학성분'!$D$12:$D$949,$B59)))</f>
        <v/>
      </c>
      <c r="AT59" s="830" t="str">
        <f>IF($C59&lt;1,"",(AVERAGEIFS('09월 화학성분'!AO$12:AO$949,'09월 화학성분'!$A$12:$A$949,$A59,'09월 화학성분'!$D$12:$D$949,$B59)))</f>
        <v/>
      </c>
      <c r="AU59" s="831" t="str">
        <f>IF($C59&lt;1,"",(AVERAGEIFS('09월 화학성분'!AP$12:AP$949,'09월 화학성분'!$A$12:$A$949,$A59,'09월 화학성분'!$D$12:$D$949,$B59)))</f>
        <v/>
      </c>
      <c r="AV59" s="832" t="str">
        <f>IF($C59&lt;1,"",(AVERAGEIFS('09월 고철장입'!G$14:G$949,'09월 고철장입'!$A$14:$A$949,$A59,'09월 고철장입'!$C$14:$C$949,$B59))/1000)</f>
        <v/>
      </c>
      <c r="AW59" s="832" t="str">
        <f>IF($C59&lt;1,"",(AVERAGEIFS('09월 고철장입'!H$14:H$949,'09월 고철장입'!$A$14:$A$949,$A59,'09월 고철장입'!$C$14:$C$949,$B59))/1000)</f>
        <v/>
      </c>
      <c r="AX59" s="832" t="str">
        <f>IF($C59&lt;1,"",(AVERAGEIFS('09월 고철장입'!I$14:I$949,'09월 고철장입'!$A$14:$A$949,$A59,'09월 고철장입'!$C$14:$C$949,$B59))/1000)</f>
        <v/>
      </c>
      <c r="AY59" s="832" t="str">
        <f>IF($C59&lt;1,"",(AVERAGEIFS('09월 고철장입'!J$14:J$949,'09월 고철장입'!$A$14:$A$949,$A59,'09월 고철장입'!$C$14:$C$949,$B59))/1000)</f>
        <v/>
      </c>
      <c r="AZ59" s="832" t="str">
        <f>IF($C59&lt;1,"",(AVERAGEIFS('09월 고철장입'!K$14:K$949,'09월 고철장입'!$A$14:$A$949,$A59,'09월 고철장입'!$C$14:$C$949,$B59))/1000)</f>
        <v/>
      </c>
      <c r="BA59" s="832" t="str">
        <f>IF($C59&lt;1,"",(AVERAGEIFS('09월 고철장입'!L$14:L$949,'09월 고철장입'!$A$14:$A$949,$A59,'09월 고철장입'!$C$14:$C$949,$B59))/1000)</f>
        <v/>
      </c>
      <c r="BB59" s="832" t="str">
        <f>IF($C59&lt;1,"",(AVERAGEIFS('09월 고철장입'!M$14:M$949,'09월 고철장입'!$A$14:$A$949,$A59,'09월 고철장입'!$C$14:$C$949,$B59))/1000)</f>
        <v/>
      </c>
      <c r="BC59" s="832" t="str">
        <f>IF($C59&lt;1,"",(AVERAGEIFS('09월 고철장입'!N$14:N$949,'09월 고철장입'!$A$14:$A$949,$A59,'09월 고철장입'!$C$14:$C$949,$B59))/1000)</f>
        <v/>
      </c>
      <c r="BD59" s="832" t="str">
        <f>IF($C59&lt;1,"",(AVERAGEIFS('09월 고철장입'!O$14:O$949,'09월 고철장입'!$A$14:$A$949,$A59,'09월 고철장입'!$C$14:$C$949,$B59))/1000)</f>
        <v/>
      </c>
      <c r="BE59" s="833" t="str">
        <f>IF($C59&lt;1,"",(AVERAGEIFS('09월 고철장입'!P$14:P$949,'09월 고철장입'!$A$14:$A$949,$A59,'09월 고철장입'!$C$14:$C$949,$B59))/1000)</f>
        <v/>
      </c>
      <c r="BF59" s="833" t="str">
        <f>IF($C59&lt;1,"",(AVERAGEIFS('09월 고철장입'!Q$14:Q$949,'09월 고철장입'!$A$14:$A$949,$A59,'09월 고철장입'!$C$14:$C$949,$B59))/1000)</f>
        <v/>
      </c>
      <c r="BG59" s="833" t="str">
        <f>IF($C59&lt;1,"",(AVERAGEIFS('09월 고철장입'!S$14:S$949,'09월 고철장입'!$A$14:$A$949,$A59,'09월 고철장입'!$C$14:$C$949,$B59))/1000)</f>
        <v/>
      </c>
      <c r="BH59" s="833" t="str">
        <f>IF($C59&lt;1,"",(AVERAGEIFS('09월 고철장입'!T$14:T$949,'09월 고철장입'!$A$14:$A$949,$A59,'09월 고철장입'!$C$14:$C$949,$B59))/1000)</f>
        <v/>
      </c>
      <c r="BI59" s="833" t="str">
        <f>IF($C59&lt;1,"",(AVERAGEIFS('09월 고철장입'!U$14:U$949,'09월 고철장입'!$A$14:$A$949,$A59,'09월 고철장입'!$C$14:$C$949,$B59))/1000)</f>
        <v/>
      </c>
      <c r="BJ59" s="833" t="str">
        <f>IF($C59&lt;1,"",(AVERAGEIFS('09월 고철장입'!V$14:V$949,'09월 고철장입'!$A$14:$A$949,$A59,'09월 고철장입'!$C$14:$C$949,$B59))/1000)</f>
        <v/>
      </c>
      <c r="BK59" s="833" t="str">
        <f>IF($C59&lt;1,"",(AVERAGEIFS('09월 고철장입'!W$14:W$949,'09월 고철장입'!$A$14:$A$949,$A59,'09월 고철장입'!$C$14:$C$949,$B59))/1000)</f>
        <v/>
      </c>
      <c r="BL59" s="833" t="str">
        <f>IF($C59&lt;1,"",(AVERAGEIFS('09월 고철장입'!Y$14:Y$949,'09월 고철장입'!$A$14:$A$949,$A59,'09월 고철장입'!$C$14:$C$949,$B59))/1000)</f>
        <v/>
      </c>
      <c r="BM59" s="833" t="str">
        <f>IF($C59&lt;1,"",(AVERAGEIFS('09월 고철장입'!AB$14:AB$949,'09월 고철장입'!$A$14:$A$949,$A59,'09월 고철장입'!$C$14:$C$949,$B59))/1000)</f>
        <v/>
      </c>
      <c r="BN59" s="833" t="str">
        <f>IF($C59&lt;1,"",(AVERAGEIFS('09월 고철장입'!AC$14:AC$949,'09월 고철장입'!$A$14:$A$949,$A59,'09월 고철장입'!$C$14:$C$949,$B59))/1000)</f>
        <v/>
      </c>
      <c r="BO59" s="833" t="str">
        <f>IF($C59&lt;1,"",(AVERAGEIFS('09월 고철장입'!AD$14:AD$949,'09월 고철장입'!$A$14:$A$949,$A59,'09월 고철장입'!$C$14:$C$949,$B59))/1000)</f>
        <v/>
      </c>
      <c r="BP59" s="833" t="str">
        <f>IF($C59&lt;1,"",(AVERAGEIFS('09월 고철장입'!AE$14:AE$949,'09월 고철장입'!$A$14:$A$949,$A59,'09월 고철장입'!$C$14:$C$949,$B59))/1000)</f>
        <v/>
      </c>
      <c r="BQ59" s="832" t="str">
        <f>IF($C59&lt;1,"",(AVERAGEIFS('09월 고철장입'!AF$14:AF$949,'09월 고철장입'!$A$14:$A$949,$A59,'09월 고철장입'!$C$14:$C$949,$B59))/1000)</f>
        <v/>
      </c>
      <c r="BR59" s="832" t="str">
        <f>IF($C59&lt;1,"",(AVERAGEIFS('09월 고철장입'!AG$14:AG$949,'09월 고철장입'!$A$14:$A$949,$A59,'09월 고철장입'!$C$14:$C$949,$B59))/1000)</f>
        <v/>
      </c>
      <c r="BS59" s="832" t="str">
        <f>IF($C59&lt;1,"",(AVERAGEIFS('09월 고철장입'!AH$14:AH$949,'09월 고철장입'!$A$14:$A$949,$A59,'09월 고철장입'!$C$14:$C$949,$B59))/1000)</f>
        <v/>
      </c>
      <c r="BT59" s="832" t="str">
        <f>IF($C59&lt;1,"",(AVERAGEIFS('09월 고철장입'!AI$14:AI$949,'09월 고철장입'!$A$14:$A$949,$A59,'09월 고철장입'!$C$14:$C$949,$B59))/1000)</f>
        <v/>
      </c>
      <c r="BU59" s="834" t="str">
        <f>IF($C59&lt;1,"",(AVERAGEIFS('09월 고철장입'!AJ$14:AJ$949,'09월 고철장입'!$A$14:$A$949,$A59,'09월 고철장입'!$C$14:$C$949,$B59))/1000)</f>
        <v/>
      </c>
      <c r="BV59" s="834" t="str">
        <f>IF($C59&lt;1,"",(AVERAGEIFS('09월 고철장입'!AK$14:AK$949,'09월 고철장입'!$A$14:$A$949,$A59,'09월 고철장입'!$C$14:$C$949,$B59)))</f>
        <v/>
      </c>
      <c r="BW59" s="834" t="str">
        <f>IF($C59&lt;1,"",(AVERAGEIFS('09월 고철장입'!AL$14:AL$949,'09월 고철장입'!$A$14:$A$949,$A59,'09월 고철장입'!$C$14:$C$949,$B59))*100)</f>
        <v/>
      </c>
      <c r="BX59" s="831" t="str">
        <f>IF($C59&lt;1,"",(AVERAGEIFS('09월 에너지'!G$14:G$949,'09월 에너지'!$A$14:$A$949,$A59,'09월 에너지'!$C$14:$C$949,$B59)))</f>
        <v/>
      </c>
      <c r="BY59" s="835" t="str">
        <f>IF($C59&lt;1,"",(AVERAGEIFS('09월 에너지'!H$14:H$949,'09월 에너지'!$A$14:$A$949,$A59,'09월 에너지'!$C$14:$C$949,$B59)))</f>
        <v/>
      </c>
      <c r="BZ59" s="831" t="str">
        <f>IF($C59&lt;1,"",(AVERAGEIFS('09월 에너지'!I$14:I$949,'09월 에너지'!$A$14:$A$949,$A59,'09월 에너지'!$C$14:$C$949,$B59)))</f>
        <v/>
      </c>
      <c r="CA59" s="835" t="str">
        <f>IF($C59&lt;1,"",(AVERAGEIFS('09월 에너지'!J$14:J$949,'09월 에너지'!$A$14:$A$949,$A59,'09월 에너지'!$C$14:$C$949,$B59)))</f>
        <v/>
      </c>
      <c r="CB59" s="831" t="str">
        <f>IF($C59&lt;1,"",(AVERAGEIFS('09월 에너지'!K$14:K$949,'09월 에너지'!$A$14:$A$949,$A59,'09월 에너지'!$C$14:$C$949,$B59)))</f>
        <v/>
      </c>
      <c r="CC59" s="835" t="str">
        <f>IF($C59&lt;1,"",(AVERAGEIFS('09월 에너지'!L$14:L$949,'09월 에너지'!$A$14:$A$949,$A59,'09월 에너지'!$C$14:$C$949,$B59)))</f>
        <v/>
      </c>
      <c r="CD59" s="831" t="str">
        <f>IF($C59&lt;1,"",(AVERAGEIFS('09월 에너지'!M$14:M$949,'09월 에너지'!$A$14:$A$949,$A59,'09월 에너지'!$C$14:$C$949,$B59)))</f>
        <v/>
      </c>
      <c r="CE59" s="835" t="str">
        <f>IF($C59&lt;1,"",(AVERAGEIFS('09월 에너지'!N$14:N$949,'09월 에너지'!$A$14:$A$949,$A59,'09월 에너지'!$C$14:$C$949,$B59)))</f>
        <v/>
      </c>
      <c r="CF59" s="831" t="str">
        <f>IF($C59&lt;1,"",(AVERAGEIFS('09월 에너지'!O$14:O$949,'09월 에너지'!$A$14:$A$949,$A59,'09월 에너지'!$C$14:$C$949,$B59)))</f>
        <v/>
      </c>
      <c r="CG59" s="831" t="str">
        <f>IF($C59&lt;1,"",(AVERAGEIFS('09월 에너지'!P$14:P$949,'09월 에너지'!$A$14:$A$949,$A59,'09월 에너지'!$C$14:$C$949,$B59)))</f>
        <v/>
      </c>
      <c r="CH59" s="831" t="str">
        <f>IF($C59&lt;1,"",(AVERAGEIFS('09월 에너지'!Q$14:Q$949,'09월 에너지'!$A$14:$A$949,$A59,'09월 에너지'!$C$14:$C$949,$B59)))</f>
        <v/>
      </c>
      <c r="CI59" s="831" t="str">
        <f>IF($C59&lt;1,"",(AVERAGEIFS('09월 에너지'!R$14:R$949,'09월 에너지'!$A$14:$A$949,$A59,'09월 에너지'!$C$14:$C$949,$B59)))</f>
        <v/>
      </c>
      <c r="CJ59" s="831" t="str">
        <f>IF($C59&lt;1,"",(AVERAGEIFS('09월 에너지'!S$14:S$949,'09월 에너지'!$A$14:$A$949,$A59,'09월 에너지'!$C$14:$C$949,$B59)))</f>
        <v/>
      </c>
      <c r="CK59" s="831" t="str">
        <f>IF($C59&lt;1,"",(AVERAGEIFS('09월 에너지'!T$14:T$949,'09월 에너지'!$A$14:$A$949,$A59,'09월 에너지'!$C$14:$C$949,$B59)))</f>
        <v/>
      </c>
      <c r="CL59" s="831" t="str">
        <f>IF($C59&lt;1,"",(AVERAGEIFS('09월 에너지'!U$14:U$949,'09월 에너지'!$A$14:$A$949,$A59,'09월 에너지'!$C$14:$C$949,$B59)))</f>
        <v/>
      </c>
      <c r="CM59" s="835" t="str">
        <f>IF($C59&lt;1,"",(AVERAGEIFS('09월 에너지'!V$14:V$949,'09월 에너지'!$A$14:$A$949,$A59,'09월 에너지'!$C$14:$C$949,$B59)))</f>
        <v/>
      </c>
      <c r="CN59" s="835" t="str">
        <f>IF($C59&lt;1,"",(AVERAGEIFS('09월 에너지'!W$14:W$949,'09월 에너지'!$A$14:$A$949,$A59,'09월 에너지'!$C$14:$C$949,$B59)))</f>
        <v/>
      </c>
      <c r="CO59" s="831" t="str">
        <f>IF($C59&lt;1,"",(AVERAGEIFS('09월 에너지'!X$14:X$949,'09월 에너지'!$A$14:$A$949,$A59,'09월 에너지'!$C$14:$C$949,$B59)))</f>
        <v/>
      </c>
      <c r="CP59" s="835" t="str">
        <f>IF($C59&lt;1,"",(AVERAGEIFS('09월 에너지'!Y$14:Y$949,'09월 에너지'!$A$14:$A$949,$A59,'09월 에너지'!$C$14:$C$949,$B59)))</f>
        <v/>
      </c>
      <c r="CQ59" s="835" t="str">
        <f>IF($C59&lt;1,"",(AVERAGEIFS('09월 에너지'!Z$14:Z$949,'09월 에너지'!$A$14:$A$949,$A59,'09월 에너지'!$C$14:$C$949,$B59)))</f>
        <v/>
      </c>
      <c r="CR59" s="835" t="str">
        <f>IF($C59&lt;1,"",(AVERAGEIFS('09월 에너지'!AA$14:AA$949,'09월 에너지'!$A$14:$A$949,$A59,'09월 에너지'!$C$14:$C$949,$B59)))</f>
        <v/>
      </c>
      <c r="CS59" s="835" t="str">
        <f>IF($C59&lt;1,"",(AVERAGEIFS('09월 에너지'!AB$14:AB$949,'09월 에너지'!$A$14:$A$949,$A59,'09월 에너지'!$C$14:$C$949,$B59)))</f>
        <v/>
      </c>
      <c r="CT59" s="831" t="str">
        <f>IF($C59&lt;1,"",(AVERAGEIFS('09월 에너지'!AC$14:AC$949,'09월 에너지'!$A$14:$A$949,$A59,'09월 에너지'!$C$14:$C$949,$B59)))</f>
        <v/>
      </c>
      <c r="CU59" s="836" t="str">
        <f>IF($C59&lt;1,"",(AVERAGEIFS('09월 에너지'!AD$14:AD$949,'09월 에너지'!$A$14:$A$949,$A59,'09월 에너지'!$C$14:$C$949,$B59)))</f>
        <v/>
      </c>
      <c r="CV59" s="837" t="str">
        <f>IF($C59&lt;1,"",(AVERAGEIFS('09월 에너지'!AE$14:AE$949,'09월 에너지'!$A$14:$A$949,$A59,'09월 에너지'!$C$14:$C$949,$B59)))</f>
        <v/>
      </c>
      <c r="CW59" s="831" t="str">
        <f>IF($C59&lt;1,"",(AVERAGEIFS('09월 에너지'!AF$14:AF$949,'09월 에너지'!$A$14:$A$949,$A59,'09월 에너지'!$C$14:$C$949,$B59)))</f>
        <v/>
      </c>
      <c r="CX59" s="831" t="str">
        <f>IF($C59&lt;1,"",(AVERAGEIFS('09월 에너지'!AG$14:AG$949,'09월 에너지'!$A$14:$A$949,$A59,'09월 에너지'!$C$14:$C$949,$B59)))</f>
        <v/>
      </c>
      <c r="CY59" s="831" t="str">
        <f>IF($C59&lt;1,"",(AVERAGEIFS('09월 에너지'!AH$14:AH$949,'09월 에너지'!$A$14:$A$949,$A59,'09월 에너지'!$C$14:$C$949,$B59)))</f>
        <v/>
      </c>
      <c r="CZ59" s="831" t="str">
        <f>IF($C59&lt;1,"",(AVERAGEIFS('09월 에너지'!AI$14:AI$949,'09월 에너지'!$A$14:$A$949,$A59,'09월 에너지'!$C$14:$C$949,$B59)))</f>
        <v/>
      </c>
      <c r="DA59" s="838" t="str">
        <f>IF($C59&lt;1,"",(AVERAGEIFS('09월 에너지'!AJ$14:AJ$949,'09월 에너지'!$A$14:$A$949,$A59,'09월 에너지'!$C$14:$C$949,$B59)))</f>
        <v/>
      </c>
    </row>
    <row r="60" spans="1:105" ht="13.5" customHeight="1" thickBot="1">
      <c r="A60" s="851">
        <f t="shared" si="2"/>
        <v>44937</v>
      </c>
      <c r="B60" s="852" t="s">
        <v>94</v>
      </c>
      <c r="C60" s="841">
        <f>COUNTIFS('09월 조업일지'!$A$12:$A$952,A56,'09월 조업일지'!$E$12:$E$952,B60)</f>
        <v>0</v>
      </c>
      <c r="D60" s="842" t="str">
        <f t="shared" si="12"/>
        <v/>
      </c>
      <c r="E60" s="842" t="str">
        <f>IF($C60&lt;1,"",(SUMIFS('09월 조업일지'!$K$12:$K$952,'09월 조업일지'!$A$12:$A$952,$A60,'09월 조업일지'!$E$12:$E$952,$B60)/$C60))</f>
        <v/>
      </c>
      <c r="F60" s="842" t="str">
        <f>IF($C60&lt;1,"",(AVERAGEIFS('09월 조업일지'!$J$12:$J$952,'09월 조업일지'!$A$12:$A$952,$A60,'09월 조업일지'!$E$12:$E$952,$B60)))</f>
        <v/>
      </c>
      <c r="G60" s="843" t="str">
        <f>IF($C60&lt;1,"",(AVERAGEIFS('09월 에너지'!$M$14:$M$949,'09월 에너지'!$A$14:$A$949,$A60,'09월 에너지'!$C$14:$C$949,$B60)))</f>
        <v/>
      </c>
      <c r="H60" s="844" t="str">
        <f>IF($C60&lt;1,"",(AVERAGEIFS('09월 조업일지'!$AJ$12:$AJ$952,'09월 조업일지'!$A$12:$A$952,$A60,'09월 조업일지'!$E$12:$E$952,$B60)))</f>
        <v/>
      </c>
      <c r="I60" s="844" t="str">
        <f>IF($C60&lt;1,"",(AVERAGEIFS('09월 조업일지'!$AL$12:$AL$952,'09월 조업일지'!$A$12:$A$952,$A60,'09월 조업일지'!$E$12:$E$952,$B60)))</f>
        <v/>
      </c>
      <c r="J60" s="845" t="str">
        <f>IF($C60&lt;1,"",(AVERAGEIFS('09월 화학성분'!G$12:G$949,'09월 화학성분'!$A$12:$A$949,$A60,'09월 화학성분'!$D$12:$D$949,$B60)))</f>
        <v/>
      </c>
      <c r="K60" s="845" t="str">
        <f>IF($C60&lt;1,"",(AVERAGEIFS('09월 화학성분'!H$12:H$949,'09월 화학성분'!$A$12:$A$949,$A60,'09월 화학성분'!$D$12:$D$949,$B60)))</f>
        <v/>
      </c>
      <c r="L60" s="845" t="str">
        <f>IF($C60&lt;1,"",(AVERAGEIFS('09월 화학성분'!I$12:I$949,'09월 화학성분'!$A$12:$A$949,$A60,'09월 화학성분'!$D$12:$D$949,$B60)))</f>
        <v/>
      </c>
      <c r="M60" s="845" t="str">
        <f>IF($C60&lt;1,"",(AVERAGEIFS('09월 화학성분'!J$12:J$949,'09월 화학성분'!$A$12:$A$949,$A60,'09월 화학성분'!$D$12:$D$949,$B60)))</f>
        <v/>
      </c>
      <c r="N60" s="845" t="str">
        <f>IF($C60&lt;1,"",(AVERAGEIFS('09월 화학성분'!K$12:K$949,'09월 화학성분'!$A$12:$A$949,$A60,'09월 화학성분'!$D$12:$D$949,$B60)))</f>
        <v/>
      </c>
      <c r="O60" s="845" t="str">
        <f>IF($C60&lt;1,"",(AVERAGEIFS('09월 화학성분'!L$12:L$949,'09월 화학성분'!$A$12:$A$949,$A60,'09월 화학성분'!$D$12:$D$949,$B60)))</f>
        <v/>
      </c>
      <c r="P60" s="845" t="str">
        <f>IF($C60&lt;1,"",(AVERAGEIFS('09월 화학성분'!M$12:M$949,'09월 화학성분'!$A$12:$A$949,$A60,'09월 화학성분'!$D$12:$D$949,$B60)))</f>
        <v/>
      </c>
      <c r="Q60" s="827" t="str">
        <f>IFERROR(IF($C60&lt;1,"",(AVERAGEIFS('09월 조업일지'!$AA$12:$AA$952,'09월 조업일지'!$A$12:$A$952,$A60,'09월 조업일지'!$E$12:$E$952,$B60))),"")</f>
        <v/>
      </c>
      <c r="R60" s="845" t="str">
        <f>IF($C60&lt;1,"",(AVERAGEIFS('09월 조업일지'!$AK$12:$AK$952,'09월 조업일지'!$A$12:$A$952,$A60,'09월 조업일지'!$E$12:$E$952,$B60)))</f>
        <v/>
      </c>
      <c r="S60" s="845"/>
      <c r="T60" s="845"/>
      <c r="U60" s="845" t="str">
        <f>IF($C60&lt;1,"",(AVERAGEIFS('09월 화학성분'!$G$12:$G$949,'09월 화학성분'!$A$12:$A$949,$A60,'09월 화학성분'!$D$12:$D$949,$B60)))</f>
        <v/>
      </c>
      <c r="V60" s="845" t="str">
        <f>IF($C60&lt;1,"",(AVERAGEIFS('09월 조업일지'!$AI$12:$AI$952,'09월 조업일지'!$A$12:$A$952,$A60,'09월 조업일지'!$E$12:$E$952,$B60)))</f>
        <v/>
      </c>
      <c r="W60" s="846" t="str">
        <f>IF($C60&lt;1,"",(AVERAGEIFS('09월 화학성분'!$AM$12:$AM$949,'09월 화학성분'!$A$12:$A$949,$A60,'09월 화학성분'!$D$12:$D$949,$B60)))</f>
        <v/>
      </c>
      <c r="X60" s="829" t="str">
        <f>IF($C60&lt;1,"",(AVERAGEIFS('09월 화학성분'!N$12:N$949,'09월 화학성분'!$A$12:$A$949,$A60,'09월 화학성분'!$D$12:$D$949,$B60)))</f>
        <v/>
      </c>
      <c r="Y60" s="829" t="str">
        <f>IF($C60&lt;1,"",(AVERAGEIFS('09월 화학성분'!O$12:O$949,'09월 화학성분'!$A$12:$A$949,$A60,'09월 화학성분'!$D$12:$D$949,$B60)))</f>
        <v/>
      </c>
      <c r="Z60" s="829" t="str">
        <f>IF($C60&lt;1,"",(AVERAGEIFS('09월 화학성분'!P$12:P$949,'09월 화학성분'!$A$12:$A$949,$A60,'09월 화학성분'!$D$12:$D$949,$B60)))</f>
        <v/>
      </c>
      <c r="AA60" s="829" t="str">
        <f>IF($C60&lt;1,"",(AVERAGEIFS('09월 화학성분'!Q$12:Q$949,'09월 화학성분'!$A$12:$A$949,$A60,'09월 화학성분'!$D$12:$D$949,$B60)))</f>
        <v/>
      </c>
      <c r="AB60" s="829" t="str">
        <f>IF($C60&lt;1,"",(AVERAGEIFS('09월 화학성분'!R$12:R$949,'09월 화학성분'!$A$12:$A$949,$A60,'09월 화학성분'!$D$12:$D$949,$B60)))</f>
        <v/>
      </c>
      <c r="AC60" s="829" t="str">
        <f>IF($C60&lt;1,"",(AVERAGEIFS('09월 화학성분'!U$12:U$949,'09월 화학성분'!$A$12:$A$949,$A60,'09월 화학성분'!$D$12:$D$949,$B60)))</f>
        <v/>
      </c>
      <c r="AD60" s="829" t="str">
        <f>IF($C60&lt;1,"",(AVERAGEIFS('09월 화학성분'!V$12:V$949,'09월 화학성분'!$A$12:$A$949,$A60,'09월 화학성분'!$D$12:$D$949,$B60)))</f>
        <v/>
      </c>
      <c r="AE60" s="829" t="str">
        <f>IF($C60&lt;1,"",(AVERAGEIFS('09월 화학성분'!W$12:W$949,'09월 화학성분'!$A$12:$A$949,$A60,'09월 화학성분'!$D$12:$D$949,$B60)))</f>
        <v/>
      </c>
      <c r="AF60" s="829" t="str">
        <f>IF($C60&lt;1,"",(AVERAGEIFS('09월 화학성분'!AA$12:AA$949,'09월 화학성분'!$A$12:$A$949,$A60,'09월 화학성분'!$D$12:$D$949,$B60)))</f>
        <v/>
      </c>
      <c r="AG60" s="829" t="str">
        <f>IF($C60&lt;1,"",(AVERAGEIFS('09월 화학성분'!#REF!,'09월 화학성분'!$A$12:$A$949,$A60,'09월 화학성분'!$D$12:$D$949,$B60)))</f>
        <v/>
      </c>
      <c r="AH60" s="829" t="str">
        <f>IF($C60&lt;1,"",(AVERAGEIFS('09월 화학성분'!AB$12:AB$949,'09월 화학성분'!$A$12:$A$949,$A60,'09월 화학성분'!$D$12:$D$949,$B60)))</f>
        <v/>
      </c>
      <c r="AI60" s="829" t="str">
        <f>IF($C60&lt;1,"",(AVERAGEIFS('09월 화학성분'!AC$12:AC$949,'09월 화학성분'!$A$12:$A$949,$A60,'09월 화학성분'!$D$12:$D$949,$B60)))</f>
        <v/>
      </c>
      <c r="AJ60" s="829" t="str">
        <f>IF($C60&lt;1,"",(AVERAGEIFS('09월 화학성분'!AD$12:AD$949,'09월 화학성분'!$A$12:$A$949,$A60,'09월 화학성분'!$D$12:$D$949,$B60)))</f>
        <v/>
      </c>
      <c r="AK60" s="829" t="str">
        <f>IF($C60&lt;1,"",(AVERAGEIFS('09월 화학성분'!AF$12:AF$949,'09월 화학성분'!$A$12:$A$949,$A60,'09월 화학성분'!$D$12:$D$949,$B60)))</f>
        <v/>
      </c>
      <c r="AL60" s="829" t="str">
        <f>IF($C60&lt;1,"",(AVERAGEIFS('09월 화학성분'!AG$12:AG$949,'09월 화학성분'!$A$12:$A$949,$A60,'09월 화학성분'!$D$12:$D$949,$B60)))</f>
        <v/>
      </c>
      <c r="AM60" s="829" t="str">
        <f>IF($C60&lt;1,"",(AVERAGEIFS('09월 화학성분'!AH$12:AH$949,'09월 화학성분'!$A$12:$A$949,$A60,'09월 화학성분'!$D$12:$D$949,$B60)))</f>
        <v/>
      </c>
      <c r="AN60" s="829" t="str">
        <f>IF($C60&lt;1,"",(AVERAGEIFS('09월 화학성분'!AI$12:AI$949,'09월 화학성분'!$A$12:$A$949,$A60,'09월 화학성분'!$D$12:$D$949,$B60)))</f>
        <v/>
      </c>
      <c r="AO60" s="829" t="str">
        <f>IF($C60&lt;1,"",(AVERAGEIFS('09월 화학성분'!AJ$12:AJ$949,'09월 화학성분'!$A$12:$A$949,$A60,'09월 화학성분'!$D$12:$D$949,$B60)))</f>
        <v/>
      </c>
      <c r="AP60" s="829" t="str">
        <f>IF($C60&lt;1,"",(AVERAGEIFS('09월 화학성분'!#REF!,'09월 화학성분'!$A$12:$A$949,$A60,'09월 화학성분'!$D$12:$D$949,$B60)))</f>
        <v/>
      </c>
      <c r="AQ60" s="829" t="str">
        <f>IF($C60&lt;1,"",(AVERAGEIFS('09월 화학성분'!AL$12:AL$949,'09월 화학성분'!$A$12:$A$949,$A60,'09월 화학성분'!$D$12:$D$949,$B60)))</f>
        <v/>
      </c>
      <c r="AR60" s="829" t="str">
        <f>IF($C60&lt;1,"",(AVERAGEIFS('09월 화학성분'!AM$12:AM$949,'09월 화학성분'!$A$12:$A$949,$A60,'09월 화학성분'!$D$12:$D$949,$B60)))</f>
        <v/>
      </c>
      <c r="AS60" s="830" t="str">
        <f>IF($C60&lt;1,"",(AVERAGEIFS('09월 화학성분'!AN$12:AN$949,'09월 화학성분'!$A$12:$A$949,$A60,'09월 화학성분'!$D$12:$D$949,$B60)))</f>
        <v/>
      </c>
      <c r="AT60" s="830" t="str">
        <f>IF($C60&lt;1,"",(AVERAGEIFS('09월 화학성분'!AO$12:AO$949,'09월 화학성분'!$A$12:$A$949,$A60,'09월 화학성분'!$D$12:$D$949,$B60)))</f>
        <v/>
      </c>
      <c r="AU60" s="831" t="str">
        <f>IF($C60&lt;1,"",(AVERAGEIFS('09월 화학성분'!AP$12:AP$949,'09월 화학성분'!$A$12:$A$949,$A60,'09월 화학성분'!$D$12:$D$949,$B60)))</f>
        <v/>
      </c>
      <c r="AV60" s="832" t="str">
        <f>IF($C60&lt;1,"",(AVERAGEIFS('09월 고철장입'!G$14:G$949,'09월 고철장입'!$A$14:$A$949,$A60,'09월 고철장입'!$C$14:$C$949,$B60))/1000)</f>
        <v/>
      </c>
      <c r="AW60" s="832" t="str">
        <f>IF($C60&lt;1,"",(AVERAGEIFS('09월 고철장입'!H$14:H$949,'09월 고철장입'!$A$14:$A$949,$A60,'09월 고철장입'!$C$14:$C$949,$B60))/1000)</f>
        <v/>
      </c>
      <c r="AX60" s="832" t="str">
        <f>IF($C60&lt;1,"",(AVERAGEIFS('09월 고철장입'!I$14:I$949,'09월 고철장입'!$A$14:$A$949,$A60,'09월 고철장입'!$C$14:$C$949,$B60))/1000)</f>
        <v/>
      </c>
      <c r="AY60" s="832" t="str">
        <f>IF($C60&lt;1,"",(AVERAGEIFS('09월 고철장입'!J$14:J$949,'09월 고철장입'!$A$14:$A$949,$A60,'09월 고철장입'!$C$14:$C$949,$B60))/1000)</f>
        <v/>
      </c>
      <c r="AZ60" s="832" t="str">
        <f>IF($C60&lt;1,"",(AVERAGEIFS('09월 고철장입'!K$14:K$949,'09월 고철장입'!$A$14:$A$949,$A60,'09월 고철장입'!$C$14:$C$949,$B60))/1000)</f>
        <v/>
      </c>
      <c r="BA60" s="832" t="str">
        <f>IF($C60&lt;1,"",(AVERAGEIFS('09월 고철장입'!L$14:L$949,'09월 고철장입'!$A$14:$A$949,$A60,'09월 고철장입'!$C$14:$C$949,$B60))/1000)</f>
        <v/>
      </c>
      <c r="BB60" s="832" t="str">
        <f>IF($C60&lt;1,"",(AVERAGEIFS('09월 고철장입'!M$14:M$949,'09월 고철장입'!$A$14:$A$949,$A60,'09월 고철장입'!$C$14:$C$949,$B60))/1000)</f>
        <v/>
      </c>
      <c r="BC60" s="832" t="str">
        <f>IF($C60&lt;1,"",(AVERAGEIFS('09월 고철장입'!N$14:N$949,'09월 고철장입'!$A$14:$A$949,$A60,'09월 고철장입'!$C$14:$C$949,$B60))/1000)</f>
        <v/>
      </c>
      <c r="BD60" s="832" t="str">
        <f>IF($C60&lt;1,"",(AVERAGEIFS('09월 고철장입'!O$14:O$949,'09월 고철장입'!$A$14:$A$949,$A60,'09월 고철장입'!$C$14:$C$949,$B60))/1000)</f>
        <v/>
      </c>
      <c r="BE60" s="833" t="str">
        <f>IF($C60&lt;1,"",(AVERAGEIFS('09월 고철장입'!P$14:P$949,'09월 고철장입'!$A$14:$A$949,$A60,'09월 고철장입'!$C$14:$C$949,$B60))/1000)</f>
        <v/>
      </c>
      <c r="BF60" s="833" t="str">
        <f>IF($C60&lt;1,"",(AVERAGEIFS('09월 고철장입'!Q$14:Q$949,'09월 고철장입'!$A$14:$A$949,$A60,'09월 고철장입'!$C$14:$C$949,$B60))/1000)</f>
        <v/>
      </c>
      <c r="BG60" s="833" t="str">
        <f>IF($C60&lt;1,"",(AVERAGEIFS('09월 고철장입'!S$14:S$949,'09월 고철장입'!$A$14:$A$949,$A60,'09월 고철장입'!$C$14:$C$949,$B60))/1000)</f>
        <v/>
      </c>
      <c r="BH60" s="833" t="str">
        <f>IF($C60&lt;1,"",(AVERAGEIFS('09월 고철장입'!T$14:T$949,'09월 고철장입'!$A$14:$A$949,$A60,'09월 고철장입'!$C$14:$C$949,$B60))/1000)</f>
        <v/>
      </c>
      <c r="BI60" s="833" t="str">
        <f>IF($C60&lt;1,"",(AVERAGEIFS('09월 고철장입'!U$14:U$949,'09월 고철장입'!$A$14:$A$949,$A60,'09월 고철장입'!$C$14:$C$949,$B60))/1000)</f>
        <v/>
      </c>
      <c r="BJ60" s="833" t="str">
        <f>IF($C60&lt;1,"",(AVERAGEIFS('09월 고철장입'!V$14:V$949,'09월 고철장입'!$A$14:$A$949,$A60,'09월 고철장입'!$C$14:$C$949,$B60))/1000)</f>
        <v/>
      </c>
      <c r="BK60" s="833" t="str">
        <f>IF($C60&lt;1,"",(AVERAGEIFS('09월 고철장입'!W$14:W$949,'09월 고철장입'!$A$14:$A$949,$A60,'09월 고철장입'!$C$14:$C$949,$B60))/1000)</f>
        <v/>
      </c>
      <c r="BL60" s="833" t="str">
        <f>IF($C60&lt;1,"",(AVERAGEIFS('09월 고철장입'!Y$14:Y$949,'09월 고철장입'!$A$14:$A$949,$A60,'09월 고철장입'!$C$14:$C$949,$B60))/1000)</f>
        <v/>
      </c>
      <c r="BM60" s="833" t="str">
        <f>IF($C60&lt;1,"",(AVERAGEIFS('09월 고철장입'!AB$14:AB$949,'09월 고철장입'!$A$14:$A$949,$A60,'09월 고철장입'!$C$14:$C$949,$B60))/1000)</f>
        <v/>
      </c>
      <c r="BN60" s="833" t="str">
        <f>IF($C60&lt;1,"",(AVERAGEIFS('09월 고철장입'!AC$14:AC$949,'09월 고철장입'!$A$14:$A$949,$A60,'09월 고철장입'!$C$14:$C$949,$B60))/1000)</f>
        <v/>
      </c>
      <c r="BO60" s="833" t="str">
        <f>IF($C60&lt;1,"",(AVERAGEIFS('09월 고철장입'!AD$14:AD$949,'09월 고철장입'!$A$14:$A$949,$A60,'09월 고철장입'!$C$14:$C$949,$B60))/1000)</f>
        <v/>
      </c>
      <c r="BP60" s="833" t="str">
        <f>IF($C60&lt;1,"",(AVERAGEIFS('09월 고철장입'!AE$14:AE$949,'09월 고철장입'!$A$14:$A$949,$A60,'09월 고철장입'!$C$14:$C$949,$B60))/1000)</f>
        <v/>
      </c>
      <c r="BQ60" s="832" t="str">
        <f>IF($C60&lt;1,"",(AVERAGEIFS('09월 고철장입'!AF$14:AF$949,'09월 고철장입'!$A$14:$A$949,$A60,'09월 고철장입'!$C$14:$C$949,$B60))/1000)</f>
        <v/>
      </c>
      <c r="BR60" s="832" t="str">
        <f>IF($C60&lt;1,"",(AVERAGEIFS('09월 고철장입'!AG$14:AG$949,'09월 고철장입'!$A$14:$A$949,$A60,'09월 고철장입'!$C$14:$C$949,$B60))/1000)</f>
        <v/>
      </c>
      <c r="BS60" s="832" t="str">
        <f>IF($C60&lt;1,"",(AVERAGEIFS('09월 고철장입'!AH$14:AH$949,'09월 고철장입'!$A$14:$A$949,$A60,'09월 고철장입'!$C$14:$C$949,$B60))/1000)</f>
        <v/>
      </c>
      <c r="BT60" s="832" t="str">
        <f>IF($C60&lt;1,"",(AVERAGEIFS('09월 고철장입'!AI$14:AI$949,'09월 고철장입'!$A$14:$A$949,$A60,'09월 고철장입'!$C$14:$C$949,$B60))/1000)</f>
        <v/>
      </c>
      <c r="BU60" s="834" t="str">
        <f>IF($C60&lt;1,"",(AVERAGEIFS('09월 고철장입'!AJ$14:AJ$949,'09월 고철장입'!$A$14:$A$949,$A60,'09월 고철장입'!$C$14:$C$949,$B60))/1000)</f>
        <v/>
      </c>
      <c r="BV60" s="834" t="str">
        <f>IF($C60&lt;1,"",(AVERAGEIFS('09월 고철장입'!AK$14:AK$949,'09월 고철장입'!$A$14:$A$949,$A60,'09월 고철장입'!$C$14:$C$949,$B60)))</f>
        <v/>
      </c>
      <c r="BW60" s="834" t="str">
        <f>IF($C60&lt;1,"",(AVERAGEIFS('09월 고철장입'!AL$14:AL$949,'09월 고철장입'!$A$14:$A$949,$A60,'09월 고철장입'!$C$14:$C$949,$B60))*100)</f>
        <v/>
      </c>
      <c r="BX60" s="831" t="str">
        <f>IF($C60&lt;1,"",(AVERAGEIFS('09월 에너지'!G$14:G$949,'09월 에너지'!$A$14:$A$949,$A60,'09월 에너지'!$C$14:$C$949,$B60)))</f>
        <v/>
      </c>
      <c r="BY60" s="835" t="str">
        <f>IF($C60&lt;1,"",(AVERAGEIFS('09월 에너지'!H$14:H$949,'09월 에너지'!$A$14:$A$949,$A60,'09월 에너지'!$C$14:$C$949,$B60)))</f>
        <v/>
      </c>
      <c r="BZ60" s="831" t="str">
        <f>IF($C60&lt;1,"",(AVERAGEIFS('09월 에너지'!I$14:I$949,'09월 에너지'!$A$14:$A$949,$A60,'09월 에너지'!$C$14:$C$949,$B60)))</f>
        <v/>
      </c>
      <c r="CA60" s="835" t="str">
        <f>IF($C60&lt;1,"",(AVERAGEIFS('09월 에너지'!J$14:J$949,'09월 에너지'!$A$14:$A$949,$A60,'09월 에너지'!$C$14:$C$949,$B60)))</f>
        <v/>
      </c>
      <c r="CB60" s="831" t="str">
        <f>IF($C60&lt;1,"",(AVERAGEIFS('09월 에너지'!K$14:K$949,'09월 에너지'!$A$14:$A$949,$A60,'09월 에너지'!$C$14:$C$949,$B60)))</f>
        <v/>
      </c>
      <c r="CC60" s="835" t="str">
        <f>IF($C60&lt;1,"",(AVERAGEIFS('09월 에너지'!L$14:L$949,'09월 에너지'!$A$14:$A$949,$A60,'09월 에너지'!$C$14:$C$949,$B60)))</f>
        <v/>
      </c>
      <c r="CD60" s="831" t="str">
        <f>IF($C60&lt;1,"",(AVERAGEIFS('09월 에너지'!M$14:M$949,'09월 에너지'!$A$14:$A$949,$A60,'09월 에너지'!$C$14:$C$949,$B60)))</f>
        <v/>
      </c>
      <c r="CE60" s="835" t="str">
        <f>IF($C60&lt;1,"",(AVERAGEIFS('09월 에너지'!N$14:N$949,'09월 에너지'!$A$14:$A$949,$A60,'09월 에너지'!$C$14:$C$949,$B60)))</f>
        <v/>
      </c>
      <c r="CF60" s="831" t="str">
        <f>IF($C60&lt;1,"",(AVERAGEIFS('09월 에너지'!O$14:O$949,'09월 에너지'!$A$14:$A$949,$A60,'09월 에너지'!$C$14:$C$949,$B60)))</f>
        <v/>
      </c>
      <c r="CG60" s="831" t="str">
        <f>IF($C60&lt;1,"",(AVERAGEIFS('09월 에너지'!P$14:P$949,'09월 에너지'!$A$14:$A$949,$A60,'09월 에너지'!$C$14:$C$949,$B60)))</f>
        <v/>
      </c>
      <c r="CH60" s="831" t="str">
        <f>IF($C60&lt;1,"",(AVERAGEIFS('09월 에너지'!Q$14:Q$949,'09월 에너지'!$A$14:$A$949,$A60,'09월 에너지'!$C$14:$C$949,$B60)))</f>
        <v/>
      </c>
      <c r="CI60" s="831" t="str">
        <f>IF($C60&lt;1,"",(AVERAGEIFS('09월 에너지'!R$14:R$949,'09월 에너지'!$A$14:$A$949,$A60,'09월 에너지'!$C$14:$C$949,$B60)))</f>
        <v/>
      </c>
      <c r="CJ60" s="831" t="str">
        <f>IF($C60&lt;1,"",(AVERAGEIFS('09월 에너지'!S$14:S$949,'09월 에너지'!$A$14:$A$949,$A60,'09월 에너지'!$C$14:$C$949,$B60)))</f>
        <v/>
      </c>
      <c r="CK60" s="831" t="str">
        <f>IF($C60&lt;1,"",(AVERAGEIFS('09월 에너지'!T$14:T$949,'09월 에너지'!$A$14:$A$949,$A60,'09월 에너지'!$C$14:$C$949,$B60)))</f>
        <v/>
      </c>
      <c r="CL60" s="831" t="str">
        <f>IF($C60&lt;1,"",(AVERAGEIFS('09월 에너지'!U$14:U$949,'09월 에너지'!$A$14:$A$949,$A60,'09월 에너지'!$C$14:$C$949,$B60)))</f>
        <v/>
      </c>
      <c r="CM60" s="835" t="str">
        <f>IF($C60&lt;1,"",(AVERAGEIFS('09월 에너지'!V$14:V$949,'09월 에너지'!$A$14:$A$949,$A60,'09월 에너지'!$C$14:$C$949,$B60)))</f>
        <v/>
      </c>
      <c r="CN60" s="835" t="str">
        <f>IF($C60&lt;1,"",(AVERAGEIFS('09월 에너지'!W$14:W$949,'09월 에너지'!$A$14:$A$949,$A60,'09월 에너지'!$C$14:$C$949,$B60)))</f>
        <v/>
      </c>
      <c r="CO60" s="831" t="str">
        <f>IF($C60&lt;1,"",(AVERAGEIFS('09월 에너지'!X$14:X$949,'09월 에너지'!$A$14:$A$949,$A60,'09월 에너지'!$C$14:$C$949,$B60)))</f>
        <v/>
      </c>
      <c r="CP60" s="835" t="str">
        <f>IF($C60&lt;1,"",(AVERAGEIFS('09월 에너지'!Y$14:Y$949,'09월 에너지'!$A$14:$A$949,$A60,'09월 에너지'!$C$14:$C$949,$B60)))</f>
        <v/>
      </c>
      <c r="CQ60" s="835" t="str">
        <f>IF($C60&lt;1,"",(AVERAGEIFS('09월 에너지'!Z$14:Z$949,'09월 에너지'!$A$14:$A$949,$A60,'09월 에너지'!$C$14:$C$949,$B60)))</f>
        <v/>
      </c>
      <c r="CR60" s="835" t="str">
        <f>IF($C60&lt;1,"",(AVERAGEIFS('09월 에너지'!AA$14:AA$949,'09월 에너지'!$A$14:$A$949,$A60,'09월 에너지'!$C$14:$C$949,$B60)))</f>
        <v/>
      </c>
      <c r="CS60" s="835" t="str">
        <f>IF($C60&lt;1,"",(AVERAGEIFS('09월 에너지'!AB$14:AB$949,'09월 에너지'!$A$14:$A$949,$A60,'09월 에너지'!$C$14:$C$949,$B60)))</f>
        <v/>
      </c>
      <c r="CT60" s="831" t="str">
        <f>IF($C60&lt;1,"",(AVERAGEIFS('09월 에너지'!AC$14:AC$949,'09월 에너지'!$A$14:$A$949,$A60,'09월 에너지'!$C$14:$C$949,$B60)))</f>
        <v/>
      </c>
      <c r="CU60" s="836" t="str">
        <f>IF($C60&lt;1,"",(AVERAGEIFS('09월 에너지'!AD$14:AD$949,'09월 에너지'!$A$14:$A$949,$A60,'09월 에너지'!$C$14:$C$949,$B60)))</f>
        <v/>
      </c>
      <c r="CV60" s="837" t="str">
        <f>IF($C60&lt;1,"",(AVERAGEIFS('09월 에너지'!AE$14:AE$949,'09월 에너지'!$A$14:$A$949,$A60,'09월 에너지'!$C$14:$C$949,$B60)))</f>
        <v/>
      </c>
      <c r="CW60" s="831" t="str">
        <f>IF($C60&lt;1,"",(AVERAGEIFS('09월 에너지'!AF$14:AF$949,'09월 에너지'!$A$14:$A$949,$A60,'09월 에너지'!$C$14:$C$949,$B60)))</f>
        <v/>
      </c>
      <c r="CX60" s="831" t="str">
        <f>IF($C60&lt;1,"",(AVERAGEIFS('09월 에너지'!AG$14:AG$949,'09월 에너지'!$A$14:$A$949,$A60,'09월 에너지'!$C$14:$C$949,$B60)))</f>
        <v/>
      </c>
      <c r="CY60" s="831" t="str">
        <f>IF($C60&lt;1,"",(AVERAGEIFS('09월 에너지'!AH$14:AH$949,'09월 에너지'!$A$14:$A$949,$A60,'09월 에너지'!$C$14:$C$949,$B60)))</f>
        <v/>
      </c>
      <c r="CZ60" s="831" t="str">
        <f>IF($C60&lt;1,"",(AVERAGEIFS('09월 에너지'!AI$14:AI$949,'09월 에너지'!$A$14:$A$949,$A60,'09월 에너지'!$C$14:$C$949,$B60)))</f>
        <v/>
      </c>
      <c r="DA60" s="838" t="str">
        <f>IF($C60&lt;1,"",(AVERAGEIFS('09월 에너지'!AJ$14:AJ$949,'09월 에너지'!$A$14:$A$949,$A60,'09월 에너지'!$C$14:$C$949,$B60)))</f>
        <v/>
      </c>
    </row>
    <row r="61" spans="1:105" ht="13.5" customHeight="1">
      <c r="A61" s="847">
        <f>A56+1</f>
        <v>44938</v>
      </c>
      <c r="B61" s="848" t="s">
        <v>31</v>
      </c>
      <c r="C61" s="810">
        <f>COUNTIF('09월 조업일지'!$A$12:$A$952,A61)</f>
        <v>0</v>
      </c>
      <c r="D61" s="787" t="str">
        <f>IF(C61&lt;1,"",F61-E61)</f>
        <v/>
      </c>
      <c r="E61" s="787" t="str">
        <f>IF($C61&lt;1,"",(SUMIF('09월 조업일지'!$A$12:$A$952,$A61,'09월 조업일지'!$K$12:$K$952))/C61)</f>
        <v/>
      </c>
      <c r="F61" s="787" t="str">
        <f>IF($C61&lt;1,"",AVERAGEIF('09월 조업일지'!$A$12:$A$952,$A61,'09월 조업일지'!$J$12:$J$952))</f>
        <v/>
      </c>
      <c r="G61" s="811" t="str">
        <f>IF($C61&lt;1,"",AVERAGEIF('09월 에너지'!$A$14:$A$949,$A61,'09월 에너지'!$M$14:M$949))</f>
        <v/>
      </c>
      <c r="H61" s="812" t="str">
        <f>IF($C61&lt;1,"",AVERAGEIF('09월 조업일지'!$A$12:$A$952,$A61,'09월 조업일지'!$AJ$12:$AJ$952))</f>
        <v/>
      </c>
      <c r="I61" s="812" t="str">
        <f>IF($C61&lt;1,"",AVERAGEIF('09월 조업일지'!$A$12:$A$952,$A61,'09월 조업일지'!$AL$12:$AL$952))</f>
        <v/>
      </c>
      <c r="J61" s="813" t="str">
        <f>IF($C61&lt;1,"",AVERAGEIF('09월 화학성분'!$A$12:$A$949,$A61,'09월 화학성분'!G$12:G$949))</f>
        <v/>
      </c>
      <c r="K61" s="813" t="str">
        <f>IF($C61&lt;1,"",AVERAGEIF('09월 화학성분'!$A$12:$A$949,$A61,'09월 화학성분'!H$12:H$949))</f>
        <v/>
      </c>
      <c r="L61" s="813" t="str">
        <f>IF($C61&lt;1,"",AVERAGEIF('09월 화학성분'!$A$12:$A$949,$A61,'09월 화학성분'!I$12:I$949))</f>
        <v/>
      </c>
      <c r="M61" s="813" t="str">
        <f>IF($C61&lt;1,"",AVERAGEIF('09월 화학성분'!$A$12:$A$949,$A61,'09월 화학성분'!J$12:J$949))</f>
        <v/>
      </c>
      <c r="N61" s="813" t="str">
        <f>IF($C61&lt;1,"",AVERAGEIF('09월 화학성분'!$A$12:$A$949,$A61,'09월 화학성분'!K$12:K$949))</f>
        <v/>
      </c>
      <c r="O61" s="813" t="str">
        <f>IF($C61&lt;1,"",AVERAGEIF('09월 화학성분'!$A$12:$A$949,$A61,'09월 화학성분'!L$12:L$949))</f>
        <v/>
      </c>
      <c r="P61" s="813" t="str">
        <f>IF($C61&lt;1,"",AVERAGEIF('09월 화학성분'!$A$12:$A$949,$A61,'09월 화학성분'!M$12:M$949))</f>
        <v/>
      </c>
      <c r="Q61" s="814" t="str">
        <f>IF($C61&lt;1,"",AVERAGEIF('09월 조업일지'!$A$12:$A$952,$A61,'09월 조업일지'!$AA$12:$AA$952))</f>
        <v/>
      </c>
      <c r="R61" s="814" t="str">
        <f>IF($C61&lt;1,"",AVERAGEIF('09월 조업일지'!$A$12:$A$952,$A61,'09월 조업일지'!$AK$12:$AK$952))</f>
        <v/>
      </c>
      <c r="S61" s="814"/>
      <c r="T61" s="814"/>
      <c r="U61" s="813" t="str">
        <f>IF($C61&lt;1,"",AVERAGEIF('09월 화학성분'!$A$12:$A$949,$A61,'09월 화학성분'!$G$12:$G$949))</f>
        <v/>
      </c>
      <c r="V61" s="814" t="str">
        <f>IF($C61&lt;1,"",AVERAGEIF('09월 조업일지'!$A$12:$A$952,$A61,'09월 조업일지'!$AI$12:$AI$952))</f>
        <v/>
      </c>
      <c r="W61" s="813" t="str">
        <f>IF($C61&lt;1,"",AVERAGEIF('09월 화학성분'!$A$12:$A$949,$A61,'09월 화학성분'!$AM$12:$AM$949))</f>
        <v/>
      </c>
      <c r="X61" s="815" t="str">
        <f>IF($C61&lt;1,"",AVERAGEIF('09월 화학성분'!$A$12:$A$949,$A61,'09월 화학성분'!N$12:N$949))</f>
        <v/>
      </c>
      <c r="Y61" s="815" t="str">
        <f>IF($C61&lt;1,"",AVERAGEIF('09월 화학성분'!$A$12:$A$949,$A61,'09월 화학성분'!O$12:O$949))</f>
        <v/>
      </c>
      <c r="Z61" s="815" t="str">
        <f>IF($C61&lt;1,"",AVERAGEIF('09월 화학성분'!$A$12:$A$949,$A61,'09월 화학성분'!P$12:P$949))</f>
        <v/>
      </c>
      <c r="AA61" s="815" t="str">
        <f>IF($C61&lt;1,"",AVERAGEIF('09월 화학성분'!$A$12:$A$949,$A61,'09월 화학성분'!Q$12:Q$949))</f>
        <v/>
      </c>
      <c r="AB61" s="815" t="str">
        <f>IF($C61&lt;1,"",AVERAGEIF('09월 화학성분'!$A$12:$A$949,$A61,'09월 화학성분'!R$12:R$949))</f>
        <v/>
      </c>
      <c r="AC61" s="815" t="str">
        <f>IF($C61&lt;1,"",AVERAGEIF('09월 화학성분'!$A$12:$A$949,$A61,'09월 화학성분'!U$12:U$949))</f>
        <v/>
      </c>
      <c r="AD61" s="815" t="str">
        <f>IF($C61&lt;1,"",AVERAGEIF('09월 화학성분'!$A$12:$A$949,$A61,'09월 화학성분'!V$12:V$949))</f>
        <v/>
      </c>
      <c r="AE61" s="815" t="str">
        <f>IF($C61&lt;1,"",AVERAGEIF('09월 화학성분'!$A$12:$A$949,$A61,'09월 화학성분'!W$12:W$949))</f>
        <v/>
      </c>
      <c r="AF61" s="815" t="str">
        <f>IF($C61&lt;1,"",AVERAGEIF('09월 화학성분'!$A$12:$A$949,$A61,'09월 화학성분'!AA$12:AA$949))</f>
        <v/>
      </c>
      <c r="AG61" s="815" t="str">
        <f>IF($C61&lt;1,"",AVERAGEIF('09월 화학성분'!$A$12:$A$949,$A61,'09월 화학성분'!#REF!))</f>
        <v/>
      </c>
      <c r="AH61" s="815" t="str">
        <f>IF($C61&lt;1,"",AVERAGEIF('09월 화학성분'!$A$12:$A$949,$A61,'09월 화학성분'!AB$12:AB$949))</f>
        <v/>
      </c>
      <c r="AI61" s="815" t="str">
        <f>IF($C61&lt;1,"",AVERAGEIF('09월 화학성분'!$A$12:$A$949,$A61,'09월 화학성분'!AC$12:AC$949))</f>
        <v/>
      </c>
      <c r="AJ61" s="815" t="str">
        <f>IF($C61&lt;1,"",AVERAGEIF('09월 화학성분'!$A$12:$A$949,$A61,'09월 화학성분'!AD$12:AD$949))</f>
        <v/>
      </c>
      <c r="AK61" s="815" t="str">
        <f>IF($C61&lt;1,"",AVERAGEIF('09월 화학성분'!$A$12:$A$949,$A61,'09월 화학성분'!AF$12:AF$949))</f>
        <v/>
      </c>
      <c r="AL61" s="815" t="str">
        <f>IF($C61&lt;1,"",AVERAGEIF('09월 화학성분'!$A$12:$A$949,$A61,'09월 화학성분'!AG$12:AG$949))</f>
        <v/>
      </c>
      <c r="AM61" s="815" t="str">
        <f>IF($C61&lt;1,"",AVERAGEIF('09월 화학성분'!$A$12:$A$949,$A61,'09월 화학성분'!AH$12:AH$949))</f>
        <v/>
      </c>
      <c r="AN61" s="815" t="str">
        <f>IF($C61&lt;1,"",AVERAGEIF('09월 화학성분'!$A$12:$A$949,$A61,'09월 화학성분'!AI$12:AI$949))</f>
        <v/>
      </c>
      <c r="AO61" s="815" t="str">
        <f>IF($C61&lt;1,"",AVERAGEIF('09월 화학성분'!$A$12:$A$949,$A61,'09월 화학성분'!AJ$12:AJ$949))</f>
        <v/>
      </c>
      <c r="AP61" s="815" t="str">
        <f>IF($C61&lt;1,"",AVERAGEIF('09월 화학성분'!$A$12:$A$949,$A61,'09월 화학성분'!#REF!))</f>
        <v/>
      </c>
      <c r="AQ61" s="815" t="str">
        <f>IF($C61&lt;1,"",AVERAGEIF('09월 화학성분'!$A$12:$A$949,$A61,'09월 화학성분'!AL$12:AL$949))</f>
        <v/>
      </c>
      <c r="AR61" s="815" t="str">
        <f>IF($C61&lt;1,"",AVERAGEIF('09월 화학성분'!$A$12:$A$949,$A61,'09월 화학성분'!AM$12:AM$949))</f>
        <v/>
      </c>
      <c r="AS61" s="816" t="str">
        <f>IF($C61&lt;1,"",AVERAGEIF('09월 화학성분'!$A$12:$A$949,$A61,'09월 화학성분'!AN$12:AN$949))</f>
        <v/>
      </c>
      <c r="AT61" s="816" t="str">
        <f>IF($C61&lt;1,"",AVERAGEIF('09월 화학성분'!$A$12:$A$949,$A61,'09월 화학성분'!AO$12:AO$949))</f>
        <v/>
      </c>
      <c r="AU61" s="815" t="str">
        <f>IF($C61&lt;1,"",AVERAGEIF('09월 화학성분'!$A$12:$A$949,$A61,'09월 화학성분'!AP$12:AP$949))</f>
        <v/>
      </c>
      <c r="AV61" s="815" t="str">
        <f>IF($C61&lt;1,"",AVERAGEIF('09월 고철장입'!$A$14:$A$949,$A61,'09월 고철장입'!G$14:G$949)/1000)</f>
        <v/>
      </c>
      <c r="AW61" s="815" t="str">
        <f>IF($C61&lt;1,"",AVERAGEIF('09월 고철장입'!$A$14:$A$949,$A61,'09월 고철장입'!H$14:H$949)/1000)</f>
        <v/>
      </c>
      <c r="AX61" s="815" t="str">
        <f>IF($C61&lt;1,"",AVERAGEIF('09월 고철장입'!$A$14:$A$949,$A61,'09월 고철장입'!I$14:I$949)/1000)</f>
        <v/>
      </c>
      <c r="AY61" s="815" t="str">
        <f>IF($C61&lt;1,"",AVERAGEIF('09월 고철장입'!$A$14:$A$949,$A61,'09월 고철장입'!J$14:J$949)/1000)</f>
        <v/>
      </c>
      <c r="AZ61" s="815" t="str">
        <f>IF($C61&lt;1,"",AVERAGEIF('09월 고철장입'!$A$14:$A$949,$A61,'09월 고철장입'!K$14:K$949)/1000)</f>
        <v/>
      </c>
      <c r="BA61" s="815" t="str">
        <f>IF($C61&lt;1,"",AVERAGEIF('09월 고철장입'!$A$14:$A$949,$A61,'09월 고철장입'!L$14:L$949)/1000)</f>
        <v/>
      </c>
      <c r="BB61" s="815" t="str">
        <f>IF($C61&lt;1,"",AVERAGEIF('09월 고철장입'!$A$14:$A$949,$A61,'09월 고철장입'!M$14:M$949)/1000)</f>
        <v/>
      </c>
      <c r="BC61" s="815" t="str">
        <f>IF($C61&lt;1,"",AVERAGEIF('09월 고철장입'!$A$14:$A$949,$A61,'09월 고철장입'!N$14:N$949)/1000)</f>
        <v/>
      </c>
      <c r="BD61" s="815" t="str">
        <f>IF($C61&lt;1,"",AVERAGEIF('09월 고철장입'!$A$14:$A$949,$A61,'09월 고철장입'!O$14:O$949)/1000)</f>
        <v/>
      </c>
      <c r="BE61" s="815" t="str">
        <f>IF($C61&lt;1,"",AVERAGEIF('09월 고철장입'!$A$14:$A$949,$A61,'09월 고철장입'!P$14:P$949)/1000)</f>
        <v/>
      </c>
      <c r="BF61" s="815" t="str">
        <f>IF($C61&lt;1,"",AVERAGEIF('09월 고철장입'!$A$14:$A$949,$A61,'09월 고철장입'!Q$14:Q$949)/1000)</f>
        <v/>
      </c>
      <c r="BG61" s="815" t="str">
        <f>IF($C61&lt;1,"",AVERAGEIF('09월 고철장입'!$A$14:$A$949,$A61,'09월 고철장입'!S$14:S$949)/1000)</f>
        <v/>
      </c>
      <c r="BH61" s="815" t="str">
        <f>IF($C61&lt;1,"",AVERAGEIF('09월 고철장입'!$A$14:$A$949,$A61,'09월 고철장입'!T$14:T$949)/1000)</f>
        <v/>
      </c>
      <c r="BI61" s="815" t="str">
        <f>IF($C61&lt;1,"",AVERAGEIF('09월 고철장입'!$A$14:$A$949,$A61,'09월 고철장입'!U$14:U$949)/1000)</f>
        <v/>
      </c>
      <c r="BJ61" s="815" t="str">
        <f>IF($C61&lt;1,"",AVERAGEIF('09월 고철장입'!$A$14:$A$949,$A61,'09월 고철장입'!V$14:V$949)/1000)</f>
        <v/>
      </c>
      <c r="BK61" s="815" t="str">
        <f>IF($C61&lt;1,"",AVERAGEIF('09월 고철장입'!$A$14:$A$949,$A61,'09월 고철장입'!W$14:W$949)/1000)</f>
        <v/>
      </c>
      <c r="BL61" s="815" t="str">
        <f>IF($C61&lt;1,"",AVERAGEIF('09월 고철장입'!$A$14:$A$949,$A61,'09월 고철장입'!Y$14:Y$949)/1000)</f>
        <v/>
      </c>
      <c r="BM61" s="815" t="str">
        <f>IF($C61&lt;1,"",AVERAGEIF('09월 고철장입'!$A$14:$A$949,$A61,'09월 고철장입'!AB$14:AB$949)/1000)</f>
        <v/>
      </c>
      <c r="BN61" s="815" t="str">
        <f>IF($C61&lt;1,"",AVERAGEIF('09월 고철장입'!$A$14:$A$949,$A61,'09월 고철장입'!AC$14:AC$949)/1000)</f>
        <v/>
      </c>
      <c r="BO61" s="815" t="str">
        <f>IF($C61&lt;1,"",AVERAGEIF('09월 고철장입'!$A$14:$A$949,$A61,'09월 고철장입'!AD$14:AD$949)/1000)</f>
        <v/>
      </c>
      <c r="BP61" s="815" t="str">
        <f>IF($C61&lt;1,"",AVERAGEIF('09월 고철장입'!$A$14:$A$949,$A61,'09월 고철장입'!AE$14:AE$949)/1000)</f>
        <v/>
      </c>
      <c r="BQ61" s="815" t="str">
        <f>IF($C61&lt;1,"",AVERAGEIF('09월 고철장입'!$A$14:$A$949,$A61,'09월 고철장입'!AF$14:AF$949)/1000)</f>
        <v/>
      </c>
      <c r="BR61" s="815" t="str">
        <f>IF($C61&lt;1,"",AVERAGEIF('09월 고철장입'!$A$14:$A$949,$A61,'09월 고철장입'!AG$14:AG$949)/1000)</f>
        <v/>
      </c>
      <c r="BS61" s="815" t="str">
        <f>IF($C61&lt;1,"",AVERAGEIF('09월 고철장입'!$A$14:$A$949,$A61,'09월 고철장입'!AH$14:AH$949)/1000)</f>
        <v/>
      </c>
      <c r="BT61" s="815" t="str">
        <f>IF($C61&lt;1,"",AVERAGEIF('09월 고철장입'!$A$14:$A$949,$A61,'09월 고철장입'!AI$14:AI$949)/1000)</f>
        <v/>
      </c>
      <c r="BU61" s="815" t="str">
        <f>IF($C61&lt;1,"",AVERAGEIF('09월 고철장입'!$A$14:$A$949,$A61,'09월 고철장입'!AJ$14:AJ$949)/1000)</f>
        <v/>
      </c>
      <c r="BV61" s="815" t="str">
        <f>IF($C61&lt;1,"",AVERAGEIF('09월 고철장입'!$A$14:$A$949,$A61,'09월 고철장입'!AK$14:AK$949))</f>
        <v/>
      </c>
      <c r="BW61" s="815" t="str">
        <f>IF($C61&lt;1,"",AVERAGEIF('09월 고철장입'!$A$14:$A$949,$A61,'09월 고철장입'!AL$14:AL$949)*100)</f>
        <v/>
      </c>
      <c r="BX61" s="815" t="str">
        <f>IF($C61&lt;1,"",AVERAGEIF('09월 에너지'!$A$14:$A$949,$A61,'09월 에너지'!G$14:G$949))</f>
        <v/>
      </c>
      <c r="BY61" s="817" t="str">
        <f>IF($C61&lt;1,"",AVERAGEIF('09월 에너지'!$A$14:$A$949,$A61,'09월 에너지'!H$14:H$949))</f>
        <v/>
      </c>
      <c r="BZ61" s="815" t="str">
        <f>IF($C61&lt;1,"",AVERAGEIF('09월 에너지'!$A$14:$A$949,$A61,'09월 에너지'!I$14:I$949))</f>
        <v/>
      </c>
      <c r="CA61" s="817" t="str">
        <f>IF($C61&lt;1,"",AVERAGEIF('09월 에너지'!$A$14:$A$949,$A61,'09월 에너지'!J$14:J$949))</f>
        <v/>
      </c>
      <c r="CB61" s="815" t="str">
        <f>IF($C61&lt;1,"",AVERAGEIF('09월 에너지'!$A$14:$A$949,$A61,'09월 에너지'!K$14:K$949))</f>
        <v/>
      </c>
      <c r="CC61" s="817" t="str">
        <f>IF($C61&lt;1,"",AVERAGEIF('09월 에너지'!$A$14:$A$949,$A61,'09월 에너지'!L$14:L$949))</f>
        <v/>
      </c>
      <c r="CD61" s="815" t="str">
        <f>IF($C61&lt;1,"",AVERAGEIF('09월 에너지'!$A$14:$A$949,$A61,'09월 에너지'!M$14:M$949))</f>
        <v/>
      </c>
      <c r="CE61" s="817" t="str">
        <f>IF($C61&lt;1,"",AVERAGEIF('09월 에너지'!$A$14:$A$949,$A61,'09월 에너지'!N$14:N$949))</f>
        <v/>
      </c>
      <c r="CF61" s="815" t="str">
        <f>IF($C61&lt;1,"",AVERAGEIF('09월 에너지'!$A$14:$A$949,$A61,'09월 에너지'!O$14:O$949))</f>
        <v/>
      </c>
      <c r="CG61" s="815" t="str">
        <f>IF($C61&lt;1,"",AVERAGEIF('09월 에너지'!$A$14:$A$949,$A61,'09월 에너지'!P$14:P$949))</f>
        <v/>
      </c>
      <c r="CH61" s="815" t="str">
        <f>IF($C61&lt;1,"",AVERAGEIF('09월 에너지'!$A$14:$A$949,$A61,'09월 에너지'!Q$14:Q$949))</f>
        <v/>
      </c>
      <c r="CI61" s="815" t="str">
        <f>IF($C61&lt;1,"",AVERAGEIF('09월 에너지'!$A$14:$A$949,$A61,'09월 에너지'!R$14:R$949))</f>
        <v/>
      </c>
      <c r="CJ61" s="815" t="str">
        <f>IF($C61&lt;1,"",AVERAGEIF('09월 에너지'!$A$14:$A$949,$A61,'09월 에너지'!S$14:S$949))</f>
        <v/>
      </c>
      <c r="CK61" s="815" t="str">
        <f>IF($C61&lt;1,"",AVERAGEIF('09월 에너지'!$A$14:$A$949,$A61,'09월 에너지'!T$14:T$949))</f>
        <v/>
      </c>
      <c r="CL61" s="815" t="str">
        <f>IF($C61&lt;1,"",AVERAGEIF('09월 에너지'!$A$14:$A$949,$A61,'09월 에너지'!U$14:U$949))</f>
        <v/>
      </c>
      <c r="CM61" s="817" t="str">
        <f>IF($C61&lt;1,"",AVERAGEIF('09월 에너지'!$A$14:$A$949,$A61,'09월 에너지'!V$14:V$949))</f>
        <v/>
      </c>
      <c r="CN61" s="817" t="str">
        <f>IF($C61&lt;1,"",AVERAGEIF('09월 에너지'!$A$14:$A$949,$A61,'09월 에너지'!W$14:W$949))</f>
        <v/>
      </c>
      <c r="CO61" s="815" t="str">
        <f>IF($C61&lt;1,"",AVERAGEIF('09월 에너지'!$A$14:$A$949,$A61,'09월 에너지'!X$14:X$949))</f>
        <v/>
      </c>
      <c r="CP61" s="817" t="str">
        <f>IF($C61&lt;1,"",AVERAGEIF('09월 에너지'!$A$14:$A$949,$A61,'09월 에너지'!Y$14:Y$949))</f>
        <v/>
      </c>
      <c r="CQ61" s="817" t="str">
        <f>IF($C61&lt;1,"",AVERAGEIF('09월 에너지'!$A$14:$A$949,$A61,'09월 에너지'!Z$14:Z$949))</f>
        <v/>
      </c>
      <c r="CR61" s="817" t="str">
        <f>IF($C61&lt;1,"",AVERAGEIF('09월 에너지'!$A$14:$A$949,$A61,'09월 에너지'!AA$14:AA$949))</f>
        <v/>
      </c>
      <c r="CS61" s="817" t="str">
        <f>IF($C61&lt;1,"",AVERAGEIF('09월 에너지'!$A$14:$A$949,$A61,'09월 에너지'!AB$14:AB$949))</f>
        <v/>
      </c>
      <c r="CT61" s="815" t="str">
        <f>IF($C61&lt;1,"",AVERAGEIF('09월 에너지'!$A$14:$A$949,$A61,'09월 에너지'!AC$14:AC$949))</f>
        <v/>
      </c>
      <c r="CU61" s="818" t="str">
        <f>IF($C61&lt;1,"",AVERAGEIF('09월 에너지'!$A$14:$A$949,$A61,'09월 에너지'!AD$14:AD$949))</f>
        <v/>
      </c>
      <c r="CV61" s="819" t="str">
        <f>IF($C61&lt;1,"",AVERAGEIF('09월 에너지'!$A$14:$A$949,$A61,'09월 에너지'!AE$14:AE$949))</f>
        <v/>
      </c>
      <c r="CW61" s="815" t="str">
        <f>IF($C61&lt;1,"",AVERAGEIF('09월 에너지'!$A$14:$A$949,$A61,'09월 에너지'!AF$14:AF$949))</f>
        <v/>
      </c>
      <c r="CX61" s="815" t="str">
        <f>IF($C61&lt;1,"",AVERAGEIF('09월 에너지'!$A$14:$A$949,$A61,'09월 에너지'!AG$14:AG$949))</f>
        <v/>
      </c>
      <c r="CY61" s="815" t="str">
        <f>IF($C61&lt;1,"",AVERAGEIF('09월 에너지'!$A$14:$A$949,$A61,'09월 에너지'!AH$14:AH$949))</f>
        <v/>
      </c>
      <c r="CZ61" s="815" t="str">
        <f>IF($C61&lt;1,"",AVERAGEIF('09월 에너지'!$A$14:$A$949,$A61,'09월 에너지'!AI$14:AI$949))</f>
        <v/>
      </c>
      <c r="DA61" s="820" t="str">
        <f>IF($C61&lt;1,"",AVERAGEIF('09월 에너지'!$A$14:$A$949,$A61,'09월 에너지'!AJ$14:AJ$949))</f>
        <v/>
      </c>
    </row>
    <row r="62" spans="1:105" ht="13.5" customHeight="1">
      <c r="A62" s="849">
        <f t="shared" si="2"/>
        <v>44938</v>
      </c>
      <c r="B62" s="850" t="s">
        <v>9</v>
      </c>
      <c r="C62" s="823">
        <f>COUNTIFS('09월 조업일지'!$A$12:$A$952,A61,'09월 조업일지'!$E$12:$E$952,B62)</f>
        <v>0</v>
      </c>
      <c r="D62" s="824" t="str">
        <f>IF(C62&lt;1,"",F62-E62)</f>
        <v/>
      </c>
      <c r="E62" s="824" t="str">
        <f>IF($C62&lt;1,"",(SUMIFS('09월 조업일지'!$K$12:$K$952,'09월 조업일지'!$A$12:$A$952,$A62,'09월 조업일지'!$E$12:$E$952,$B62)/$C62))</f>
        <v/>
      </c>
      <c r="F62" s="824" t="str">
        <f>IF($C62&lt;1,"",(AVERAGEIFS('09월 조업일지'!$J$12:$J$952,'09월 조업일지'!$A$12:$A$952,$A62,'09월 조업일지'!$E$12:$E$952,$B62)))</f>
        <v/>
      </c>
      <c r="G62" s="825" t="str">
        <f>IF($C62&lt;1,"",(AVERAGEIFS('09월 에너지'!$M$14:$M$949,'09월 에너지'!$A$14:$A$949,$A62,'09월 에너지'!$C$14:$C$949,$B62)))</f>
        <v/>
      </c>
      <c r="H62" s="826" t="str">
        <f>IF($C62&lt;1,"",(AVERAGEIFS('09월 조업일지'!$AJ$12:$AJ$952,'09월 조업일지'!$A$12:$A$952,$A62,'09월 조업일지'!$E$12:$E$952,$B62)))</f>
        <v/>
      </c>
      <c r="I62" s="826" t="str">
        <f>IF($C62&lt;1,"",(AVERAGEIFS('09월 조업일지'!$AL$12:$AL$952,'09월 조업일지'!$A$12:$A$952,$A62,'09월 조업일지'!$E$12:$E$952,$B62)))</f>
        <v/>
      </c>
      <c r="J62" s="827" t="str">
        <f>IF($C62&lt;1,"",(AVERAGEIFS('09월 화학성분'!G$12:G$949,'09월 화학성분'!$A$12:$A$949,$A62,'09월 화학성분'!$D$12:$D$949,$B62)))</f>
        <v/>
      </c>
      <c r="K62" s="827" t="str">
        <f>IF($C62&lt;1,"",(AVERAGEIFS('09월 화학성분'!H$12:H$949,'09월 화학성분'!$A$12:$A$949,$A62,'09월 화학성분'!$D$12:$D$949,$B62)))</f>
        <v/>
      </c>
      <c r="L62" s="827" t="str">
        <f>IF($C62&lt;1,"",(AVERAGEIFS('09월 화학성분'!I$12:I$949,'09월 화학성분'!$A$12:$A$949,$A62,'09월 화학성분'!$D$12:$D$949,$B62)))</f>
        <v/>
      </c>
      <c r="M62" s="827" t="str">
        <f>IF($C62&lt;1,"",(AVERAGEIFS('09월 화학성분'!J$12:J$949,'09월 화학성분'!$A$12:$A$949,$A62,'09월 화학성분'!$D$12:$D$949,$B62)))</f>
        <v/>
      </c>
      <c r="N62" s="827" t="str">
        <f>IF($C62&lt;1,"",(AVERAGEIFS('09월 화학성분'!K$12:K$949,'09월 화학성분'!$A$12:$A$949,$A62,'09월 화학성분'!$D$12:$D$949,$B62)))</f>
        <v/>
      </c>
      <c r="O62" s="827" t="str">
        <f>IF($C62&lt;1,"",(AVERAGEIFS('09월 화학성분'!L$12:L$949,'09월 화학성분'!$A$12:$A$949,$A62,'09월 화학성분'!$D$12:$D$949,$B62)))</f>
        <v/>
      </c>
      <c r="P62" s="827" t="str">
        <f>IF($C62&lt;1,"",(AVERAGEIFS('09월 화학성분'!M$12:M$949,'09월 화학성분'!$A$12:$A$949,$A62,'09월 화학성분'!$D$12:$D$949,$B62)))</f>
        <v/>
      </c>
      <c r="Q62" s="827" t="str">
        <f>IFERROR(IF($C62&lt;1,"",(AVERAGEIFS('09월 조업일지'!$AA$12:$AA$952,'09월 조업일지'!$A$12:$A$952,$A62,'09월 조업일지'!$E$12:$E$952,$B62))),"")</f>
        <v/>
      </c>
      <c r="R62" s="827" t="str">
        <f>IF($C62&lt;1,"",(AVERAGEIFS('09월 조업일지'!$AK$12:$AK$952,'09월 조업일지'!$A$12:$A$952,$A62,'09월 조업일지'!$E$12:$E$952,$B62)))</f>
        <v/>
      </c>
      <c r="S62" s="827"/>
      <c r="T62" s="827"/>
      <c r="U62" s="827" t="str">
        <f>IF($C62&lt;1,"",(AVERAGEIFS('09월 화학성분'!$G$12:$G$949,'09월 화학성분'!$A$12:$A$949,$A62,'09월 화학성분'!$D$12:$D$949,$B62)))</f>
        <v/>
      </c>
      <c r="V62" s="827" t="str">
        <f>IF($C62&lt;1,"",(AVERAGEIFS('09월 조업일지'!$AI$12:$AI$952,'09월 조업일지'!$A$12:$A$952,$A62,'09월 조업일지'!$E$12:$E$952,$B62)))</f>
        <v/>
      </c>
      <c r="W62" s="828" t="str">
        <f>IF($C62&lt;1,"",(AVERAGEIFS('09월 화학성분'!$AM$12:$AM$949,'09월 화학성분'!$A$12:$A$949,$A62,'09월 화학성분'!$D$12:$D$949,$B62)))</f>
        <v/>
      </c>
      <c r="X62" s="829" t="str">
        <f>IF($C62&lt;1,"",(AVERAGEIFS('09월 화학성분'!N$12:N$949,'09월 화학성분'!$A$12:$A$949,$A62,'09월 화학성분'!$D$12:$D$949,$B62)))</f>
        <v/>
      </c>
      <c r="Y62" s="829" t="str">
        <f>IF($C62&lt;1,"",(AVERAGEIFS('09월 화학성분'!O$12:O$949,'09월 화학성분'!$A$12:$A$949,$A62,'09월 화학성분'!$D$12:$D$949,$B62)))</f>
        <v/>
      </c>
      <c r="Z62" s="829" t="str">
        <f>IF($C62&lt;1,"",(AVERAGEIFS('09월 화학성분'!P$12:P$949,'09월 화학성분'!$A$12:$A$949,$A62,'09월 화학성분'!$D$12:$D$949,$B62)))</f>
        <v/>
      </c>
      <c r="AA62" s="829" t="str">
        <f>IF($C62&lt;1,"",(AVERAGEIFS('09월 화학성분'!Q$12:Q$949,'09월 화학성분'!$A$12:$A$949,$A62,'09월 화학성분'!$D$12:$D$949,$B62)))</f>
        <v/>
      </c>
      <c r="AB62" s="829" t="str">
        <f>IF($C62&lt;1,"",(AVERAGEIFS('09월 화학성분'!R$12:R$949,'09월 화학성분'!$A$12:$A$949,$A62,'09월 화학성분'!$D$12:$D$949,$B62)))</f>
        <v/>
      </c>
      <c r="AC62" s="829" t="str">
        <f>IF($C62&lt;1,"",(AVERAGEIFS('09월 화학성분'!U$12:U$949,'09월 화학성분'!$A$12:$A$949,$A62,'09월 화학성분'!$D$12:$D$949,$B62)))</f>
        <v/>
      </c>
      <c r="AD62" s="829" t="str">
        <f>IF($C62&lt;1,"",(AVERAGEIFS('09월 화학성분'!V$12:V$949,'09월 화학성분'!$A$12:$A$949,$A62,'09월 화학성분'!$D$12:$D$949,$B62)))</f>
        <v/>
      </c>
      <c r="AE62" s="829" t="str">
        <f>IF($C62&lt;1,"",(AVERAGEIFS('09월 화학성분'!W$12:W$949,'09월 화학성분'!$A$12:$A$949,$A62,'09월 화학성분'!$D$12:$D$949,$B62)))</f>
        <v/>
      </c>
      <c r="AF62" s="829" t="str">
        <f>IF($C62&lt;1,"",(AVERAGEIFS('09월 화학성분'!AA$12:AA$949,'09월 화학성분'!$A$12:$A$949,$A62,'09월 화학성분'!$D$12:$D$949,$B62)))</f>
        <v/>
      </c>
      <c r="AG62" s="829" t="str">
        <f>IF($C62&lt;1,"",(AVERAGEIFS('09월 화학성분'!#REF!,'09월 화학성분'!$A$12:$A$949,$A62,'09월 화학성분'!$D$12:$D$949,$B62)))</f>
        <v/>
      </c>
      <c r="AH62" s="829" t="str">
        <f>IF($C62&lt;1,"",(AVERAGEIFS('09월 화학성분'!AB$12:AB$949,'09월 화학성분'!$A$12:$A$949,$A62,'09월 화학성분'!$D$12:$D$949,$B62)))</f>
        <v/>
      </c>
      <c r="AI62" s="829" t="str">
        <f>IF($C62&lt;1,"",(AVERAGEIFS('09월 화학성분'!AC$12:AC$949,'09월 화학성분'!$A$12:$A$949,$A62,'09월 화학성분'!$D$12:$D$949,$B62)))</f>
        <v/>
      </c>
      <c r="AJ62" s="829" t="str">
        <f>IF($C62&lt;1,"",(AVERAGEIFS('09월 화학성분'!AD$12:AD$949,'09월 화학성분'!$A$12:$A$949,$A62,'09월 화학성분'!$D$12:$D$949,$B62)))</f>
        <v/>
      </c>
      <c r="AK62" s="829" t="str">
        <f>IF($C62&lt;1,"",(AVERAGEIFS('09월 화학성분'!AF$12:AF$949,'09월 화학성분'!$A$12:$A$949,$A62,'09월 화학성분'!$D$12:$D$949,$B62)))</f>
        <v/>
      </c>
      <c r="AL62" s="829" t="str">
        <f>IF($C62&lt;1,"",(AVERAGEIFS('09월 화학성분'!AG$12:AG$949,'09월 화학성분'!$A$12:$A$949,$A62,'09월 화학성분'!$D$12:$D$949,$B62)))</f>
        <v/>
      </c>
      <c r="AM62" s="829" t="str">
        <f>IF($C62&lt;1,"",(AVERAGEIFS('09월 화학성분'!AH$12:AH$949,'09월 화학성분'!$A$12:$A$949,$A62,'09월 화학성분'!$D$12:$D$949,$B62)))</f>
        <v/>
      </c>
      <c r="AN62" s="829" t="str">
        <f>IF($C62&lt;1,"",(AVERAGEIFS('09월 화학성분'!AI$12:AI$949,'09월 화학성분'!$A$12:$A$949,$A62,'09월 화학성분'!$D$12:$D$949,$B62)))</f>
        <v/>
      </c>
      <c r="AO62" s="829" t="str">
        <f>IF($C62&lt;1,"",(AVERAGEIFS('09월 화학성분'!AJ$12:AJ$949,'09월 화학성분'!$A$12:$A$949,$A62,'09월 화학성분'!$D$12:$D$949,$B62)))</f>
        <v/>
      </c>
      <c r="AP62" s="829" t="str">
        <f>IF($C62&lt;1,"",(AVERAGEIFS('09월 화학성분'!#REF!,'09월 화학성분'!$A$12:$A$949,$A62,'09월 화학성분'!$D$12:$D$949,$B62)))</f>
        <v/>
      </c>
      <c r="AQ62" s="829" t="str">
        <f>IF($C62&lt;1,"",(AVERAGEIFS('09월 화학성분'!AL$12:AL$949,'09월 화학성분'!$A$12:$A$949,$A62,'09월 화학성분'!$D$12:$D$949,$B62)))</f>
        <v/>
      </c>
      <c r="AR62" s="829" t="str">
        <f>IF($C62&lt;1,"",(AVERAGEIFS('09월 화학성분'!AM$12:AM$949,'09월 화학성분'!$A$12:$A$949,$A62,'09월 화학성분'!$D$12:$D$949,$B62)))</f>
        <v/>
      </c>
      <c r="AS62" s="830" t="str">
        <f>IF($C62&lt;1,"",(AVERAGEIFS('09월 화학성분'!AN$12:AN$949,'09월 화학성분'!$A$12:$A$949,$A62,'09월 화학성분'!$D$12:$D$949,$B62)))</f>
        <v/>
      </c>
      <c r="AT62" s="830" t="str">
        <f>IF($C62&lt;1,"",(AVERAGEIFS('09월 화학성분'!AO$12:AO$949,'09월 화학성분'!$A$12:$A$949,$A62,'09월 화학성분'!$D$12:$D$949,$B62)))</f>
        <v/>
      </c>
      <c r="AU62" s="831" t="str">
        <f>IF($C62&lt;1,"",(AVERAGEIFS('09월 화학성분'!AP$12:AP$949,'09월 화학성분'!$A$12:$A$949,$A62,'09월 화학성분'!$D$12:$D$949,$B62)))</f>
        <v/>
      </c>
      <c r="AV62" s="832" t="str">
        <f>IF($C62&lt;1,"",(AVERAGEIFS('09월 고철장입'!G$14:G$949,'09월 고철장입'!$A$14:$A$949,$A62,'09월 고철장입'!$C$14:$C$949,$B62))/1000)</f>
        <v/>
      </c>
      <c r="AW62" s="832" t="str">
        <f>IF($C62&lt;1,"",(AVERAGEIFS('09월 고철장입'!H$14:H$949,'09월 고철장입'!$A$14:$A$949,$A62,'09월 고철장입'!$C$14:$C$949,$B62))/1000)</f>
        <v/>
      </c>
      <c r="AX62" s="832" t="str">
        <f>IF($C62&lt;1,"",(AVERAGEIFS('09월 고철장입'!I$14:I$949,'09월 고철장입'!$A$14:$A$949,$A62,'09월 고철장입'!$C$14:$C$949,$B62))/1000)</f>
        <v/>
      </c>
      <c r="AY62" s="832" t="str">
        <f>IF($C62&lt;1,"",(AVERAGEIFS('09월 고철장입'!J$14:J$949,'09월 고철장입'!$A$14:$A$949,$A62,'09월 고철장입'!$C$14:$C$949,$B62))/1000)</f>
        <v/>
      </c>
      <c r="AZ62" s="832" t="str">
        <f>IF($C62&lt;1,"",(AVERAGEIFS('09월 고철장입'!K$14:K$949,'09월 고철장입'!$A$14:$A$949,$A62,'09월 고철장입'!$C$14:$C$949,$B62))/1000)</f>
        <v/>
      </c>
      <c r="BA62" s="832" t="str">
        <f>IF($C62&lt;1,"",(AVERAGEIFS('09월 고철장입'!L$14:L$949,'09월 고철장입'!$A$14:$A$949,$A62,'09월 고철장입'!$C$14:$C$949,$B62))/1000)</f>
        <v/>
      </c>
      <c r="BB62" s="832" t="str">
        <f>IF($C62&lt;1,"",(AVERAGEIFS('09월 고철장입'!M$14:M$949,'09월 고철장입'!$A$14:$A$949,$A62,'09월 고철장입'!$C$14:$C$949,$B62))/1000)</f>
        <v/>
      </c>
      <c r="BC62" s="832" t="str">
        <f>IF($C62&lt;1,"",(AVERAGEIFS('09월 고철장입'!N$14:N$949,'09월 고철장입'!$A$14:$A$949,$A62,'09월 고철장입'!$C$14:$C$949,$B62))/1000)</f>
        <v/>
      </c>
      <c r="BD62" s="832" t="str">
        <f>IF($C62&lt;1,"",(AVERAGEIFS('09월 고철장입'!O$14:O$949,'09월 고철장입'!$A$14:$A$949,$A62,'09월 고철장입'!$C$14:$C$949,$B62))/1000)</f>
        <v/>
      </c>
      <c r="BE62" s="833" t="str">
        <f>IF($C62&lt;1,"",(AVERAGEIFS('09월 고철장입'!P$14:P$949,'09월 고철장입'!$A$14:$A$949,$A62,'09월 고철장입'!$C$14:$C$949,$B62))/1000)</f>
        <v/>
      </c>
      <c r="BF62" s="833" t="str">
        <f>IF($C62&lt;1,"",(AVERAGEIFS('09월 고철장입'!Q$14:Q$949,'09월 고철장입'!$A$14:$A$949,$A62,'09월 고철장입'!$C$14:$C$949,$B62))/1000)</f>
        <v/>
      </c>
      <c r="BG62" s="833" t="str">
        <f>IF($C62&lt;1,"",(AVERAGEIFS('09월 고철장입'!S$14:S$949,'09월 고철장입'!$A$14:$A$949,$A62,'09월 고철장입'!$C$14:$C$949,$B62))/1000)</f>
        <v/>
      </c>
      <c r="BH62" s="833" t="str">
        <f>IF($C62&lt;1,"",(AVERAGEIFS('09월 고철장입'!T$14:T$949,'09월 고철장입'!$A$14:$A$949,$A62,'09월 고철장입'!$C$14:$C$949,$B62))/1000)</f>
        <v/>
      </c>
      <c r="BI62" s="833" t="str">
        <f>IF($C62&lt;1,"",(AVERAGEIFS('09월 고철장입'!U$14:U$949,'09월 고철장입'!$A$14:$A$949,$A62,'09월 고철장입'!$C$14:$C$949,$B62))/1000)</f>
        <v/>
      </c>
      <c r="BJ62" s="833" t="str">
        <f>IF($C62&lt;1,"",(AVERAGEIFS('09월 고철장입'!V$14:V$949,'09월 고철장입'!$A$14:$A$949,$A62,'09월 고철장입'!$C$14:$C$949,$B62))/1000)</f>
        <v/>
      </c>
      <c r="BK62" s="833" t="str">
        <f>IF($C62&lt;1,"",(AVERAGEIFS('09월 고철장입'!W$14:W$949,'09월 고철장입'!$A$14:$A$949,$A62,'09월 고철장입'!$C$14:$C$949,$B62))/1000)</f>
        <v/>
      </c>
      <c r="BL62" s="833" t="str">
        <f>IF($C62&lt;1,"",(AVERAGEIFS('09월 고철장입'!Y$14:Y$949,'09월 고철장입'!$A$14:$A$949,$A62,'09월 고철장입'!$C$14:$C$949,$B62))/1000)</f>
        <v/>
      </c>
      <c r="BM62" s="833" t="str">
        <f>IF($C62&lt;1,"",(AVERAGEIFS('09월 고철장입'!AB$14:AB$949,'09월 고철장입'!$A$14:$A$949,$A62,'09월 고철장입'!$C$14:$C$949,$B62))/1000)</f>
        <v/>
      </c>
      <c r="BN62" s="833" t="str">
        <f>IF($C62&lt;1,"",(AVERAGEIFS('09월 고철장입'!AC$14:AC$949,'09월 고철장입'!$A$14:$A$949,$A62,'09월 고철장입'!$C$14:$C$949,$B62))/1000)</f>
        <v/>
      </c>
      <c r="BO62" s="833" t="str">
        <f>IF($C62&lt;1,"",(AVERAGEIFS('09월 고철장입'!AD$14:AD$949,'09월 고철장입'!$A$14:$A$949,$A62,'09월 고철장입'!$C$14:$C$949,$B62))/1000)</f>
        <v/>
      </c>
      <c r="BP62" s="833" t="str">
        <f>IF($C62&lt;1,"",(AVERAGEIFS('09월 고철장입'!AE$14:AE$949,'09월 고철장입'!$A$14:$A$949,$A62,'09월 고철장입'!$C$14:$C$949,$B62))/1000)</f>
        <v/>
      </c>
      <c r="BQ62" s="832" t="str">
        <f>IF($C62&lt;1,"",(AVERAGEIFS('09월 고철장입'!AF$14:AF$949,'09월 고철장입'!$A$14:$A$949,$A62,'09월 고철장입'!$C$14:$C$949,$B62))/1000)</f>
        <v/>
      </c>
      <c r="BR62" s="832" t="str">
        <f>IF($C62&lt;1,"",(AVERAGEIFS('09월 고철장입'!AG$14:AG$949,'09월 고철장입'!$A$14:$A$949,$A62,'09월 고철장입'!$C$14:$C$949,$B62))/1000)</f>
        <v/>
      </c>
      <c r="BS62" s="832" t="str">
        <f>IF($C62&lt;1,"",(AVERAGEIFS('09월 고철장입'!AH$14:AH$949,'09월 고철장입'!$A$14:$A$949,$A62,'09월 고철장입'!$C$14:$C$949,$B62))/1000)</f>
        <v/>
      </c>
      <c r="BT62" s="832" t="str">
        <f>IF($C62&lt;1,"",(AVERAGEIFS('09월 고철장입'!AI$14:AI$949,'09월 고철장입'!$A$14:$A$949,$A62,'09월 고철장입'!$C$14:$C$949,$B62))/1000)</f>
        <v/>
      </c>
      <c r="BU62" s="834" t="str">
        <f>IF($C62&lt;1,"",(AVERAGEIFS('09월 고철장입'!AJ$14:AJ$949,'09월 고철장입'!$A$14:$A$949,$A62,'09월 고철장입'!$C$14:$C$949,$B62))/1000)</f>
        <v/>
      </c>
      <c r="BV62" s="834" t="str">
        <f>IF($C62&lt;1,"",(AVERAGEIFS('09월 고철장입'!AK$14:AK$949,'09월 고철장입'!$A$14:$A$949,$A62,'09월 고철장입'!$C$14:$C$949,$B62)))</f>
        <v/>
      </c>
      <c r="BW62" s="834" t="str">
        <f>IF($C62&lt;1,"",(AVERAGEIFS('09월 고철장입'!AL$14:AL$949,'09월 고철장입'!$A$14:$A$949,$A62,'09월 고철장입'!$C$14:$C$949,$B62))*100)</f>
        <v/>
      </c>
      <c r="BX62" s="831" t="str">
        <f>IF($C62&lt;1,"",(AVERAGEIFS('09월 에너지'!G$14:G$949,'09월 에너지'!$A$14:$A$949,$A62,'09월 에너지'!$C$14:$C$949,$B62)))</f>
        <v/>
      </c>
      <c r="BY62" s="835" t="str">
        <f>IF($C62&lt;1,"",(AVERAGEIFS('09월 에너지'!H$14:H$949,'09월 에너지'!$A$14:$A$949,$A62,'09월 에너지'!$C$14:$C$949,$B62)))</f>
        <v/>
      </c>
      <c r="BZ62" s="831" t="str">
        <f>IF($C62&lt;1,"",(AVERAGEIFS('09월 에너지'!I$14:I$949,'09월 에너지'!$A$14:$A$949,$A62,'09월 에너지'!$C$14:$C$949,$B62)))</f>
        <v/>
      </c>
      <c r="CA62" s="835" t="str">
        <f>IF($C62&lt;1,"",(AVERAGEIFS('09월 에너지'!J$14:J$949,'09월 에너지'!$A$14:$A$949,$A62,'09월 에너지'!$C$14:$C$949,$B62)))</f>
        <v/>
      </c>
      <c r="CB62" s="831" t="str">
        <f>IF($C62&lt;1,"",(AVERAGEIFS('09월 에너지'!K$14:K$949,'09월 에너지'!$A$14:$A$949,$A62,'09월 에너지'!$C$14:$C$949,$B62)))</f>
        <v/>
      </c>
      <c r="CC62" s="835" t="str">
        <f>IF($C62&lt;1,"",(AVERAGEIFS('09월 에너지'!L$14:L$949,'09월 에너지'!$A$14:$A$949,$A62,'09월 에너지'!$C$14:$C$949,$B62)))</f>
        <v/>
      </c>
      <c r="CD62" s="831" t="str">
        <f>IF($C62&lt;1,"",(AVERAGEIFS('09월 에너지'!M$14:M$949,'09월 에너지'!$A$14:$A$949,$A62,'09월 에너지'!$C$14:$C$949,$B62)))</f>
        <v/>
      </c>
      <c r="CE62" s="835" t="str">
        <f>IF($C62&lt;1,"",(AVERAGEIFS('09월 에너지'!N$14:N$949,'09월 에너지'!$A$14:$A$949,$A62,'09월 에너지'!$C$14:$C$949,$B62)))</f>
        <v/>
      </c>
      <c r="CF62" s="831" t="str">
        <f>IF($C62&lt;1,"",(AVERAGEIFS('09월 에너지'!O$14:O$949,'09월 에너지'!$A$14:$A$949,$A62,'09월 에너지'!$C$14:$C$949,$B62)))</f>
        <v/>
      </c>
      <c r="CG62" s="831" t="str">
        <f>IF($C62&lt;1,"",(AVERAGEIFS('09월 에너지'!P$14:P$949,'09월 에너지'!$A$14:$A$949,$A62,'09월 에너지'!$C$14:$C$949,$B62)))</f>
        <v/>
      </c>
      <c r="CH62" s="831" t="str">
        <f>IF($C62&lt;1,"",(AVERAGEIFS('09월 에너지'!Q$14:Q$949,'09월 에너지'!$A$14:$A$949,$A62,'09월 에너지'!$C$14:$C$949,$B62)))</f>
        <v/>
      </c>
      <c r="CI62" s="831" t="str">
        <f>IF($C62&lt;1,"",(AVERAGEIFS('09월 에너지'!R$14:R$949,'09월 에너지'!$A$14:$A$949,$A62,'09월 에너지'!$C$14:$C$949,$B62)))</f>
        <v/>
      </c>
      <c r="CJ62" s="831" t="str">
        <f>IF($C62&lt;1,"",(AVERAGEIFS('09월 에너지'!S$14:S$949,'09월 에너지'!$A$14:$A$949,$A62,'09월 에너지'!$C$14:$C$949,$B62)))</f>
        <v/>
      </c>
      <c r="CK62" s="831" t="str">
        <f>IF($C62&lt;1,"",(AVERAGEIFS('09월 에너지'!T$14:T$949,'09월 에너지'!$A$14:$A$949,$A62,'09월 에너지'!$C$14:$C$949,$B62)))</f>
        <v/>
      </c>
      <c r="CL62" s="831" t="str">
        <f>IF($C62&lt;1,"",(AVERAGEIFS('09월 에너지'!U$14:U$949,'09월 에너지'!$A$14:$A$949,$A62,'09월 에너지'!$C$14:$C$949,$B62)))</f>
        <v/>
      </c>
      <c r="CM62" s="835" t="str">
        <f>IF($C62&lt;1,"",(AVERAGEIFS('09월 에너지'!V$14:V$949,'09월 에너지'!$A$14:$A$949,$A62,'09월 에너지'!$C$14:$C$949,$B62)))</f>
        <v/>
      </c>
      <c r="CN62" s="835" t="str">
        <f>IF($C62&lt;1,"",(AVERAGEIFS('09월 에너지'!W$14:W$949,'09월 에너지'!$A$14:$A$949,$A62,'09월 에너지'!$C$14:$C$949,$B62)))</f>
        <v/>
      </c>
      <c r="CO62" s="831" t="str">
        <f>IF($C62&lt;1,"",(AVERAGEIFS('09월 에너지'!X$14:X$949,'09월 에너지'!$A$14:$A$949,$A62,'09월 에너지'!$C$14:$C$949,$B62)))</f>
        <v/>
      </c>
      <c r="CP62" s="835" t="str">
        <f>IF($C62&lt;1,"",(AVERAGEIFS('09월 에너지'!Y$14:Y$949,'09월 에너지'!$A$14:$A$949,$A62,'09월 에너지'!$C$14:$C$949,$B62)))</f>
        <v/>
      </c>
      <c r="CQ62" s="835" t="str">
        <f>IF($C62&lt;1,"",(AVERAGEIFS('09월 에너지'!Z$14:Z$949,'09월 에너지'!$A$14:$A$949,$A62,'09월 에너지'!$C$14:$C$949,$B62)))</f>
        <v/>
      </c>
      <c r="CR62" s="835" t="str">
        <f>IF($C62&lt;1,"",(AVERAGEIFS('09월 에너지'!AA$14:AA$949,'09월 에너지'!$A$14:$A$949,$A62,'09월 에너지'!$C$14:$C$949,$B62)))</f>
        <v/>
      </c>
      <c r="CS62" s="835" t="str">
        <f>IF($C62&lt;1,"",(AVERAGEIFS('09월 에너지'!AB$14:AB$949,'09월 에너지'!$A$14:$A$949,$A62,'09월 에너지'!$C$14:$C$949,$B62)))</f>
        <v/>
      </c>
      <c r="CT62" s="831" t="str">
        <f>IF($C62&lt;1,"",(AVERAGEIFS('09월 에너지'!AC$14:AC$949,'09월 에너지'!$A$14:$A$949,$A62,'09월 에너지'!$C$14:$C$949,$B62)))</f>
        <v/>
      </c>
      <c r="CU62" s="836" t="str">
        <f>IF($C62&lt;1,"",(AVERAGEIFS('09월 에너지'!AD$14:AD$949,'09월 에너지'!$A$14:$A$949,$A62,'09월 에너지'!$C$14:$C$949,$B62)))</f>
        <v/>
      </c>
      <c r="CV62" s="837" t="str">
        <f>IF($C62&lt;1,"",(AVERAGEIFS('09월 에너지'!AE$14:AE$949,'09월 에너지'!$A$14:$A$949,$A62,'09월 에너지'!$C$14:$C$949,$B62)))</f>
        <v/>
      </c>
      <c r="CW62" s="831" t="str">
        <f>IF($C62&lt;1,"",(AVERAGEIFS('09월 에너지'!AF$14:AF$949,'09월 에너지'!$A$14:$A$949,$A62,'09월 에너지'!$C$14:$C$949,$B62)))</f>
        <v/>
      </c>
      <c r="CX62" s="831" t="str">
        <f>IF($C62&lt;1,"",(AVERAGEIFS('09월 에너지'!AG$14:AG$949,'09월 에너지'!$A$14:$A$949,$A62,'09월 에너지'!$C$14:$C$949,$B62)))</f>
        <v/>
      </c>
      <c r="CY62" s="831" t="str">
        <f>IF($C62&lt;1,"",(AVERAGEIFS('09월 에너지'!AH$14:AH$949,'09월 에너지'!$A$14:$A$949,$A62,'09월 에너지'!$C$14:$C$949,$B62)))</f>
        <v/>
      </c>
      <c r="CZ62" s="831" t="str">
        <f>IF($C62&lt;1,"",(AVERAGEIFS('09월 에너지'!AI$14:AI$949,'09월 에너지'!$A$14:$A$949,$A62,'09월 에너지'!$C$14:$C$949,$B62)))</f>
        <v/>
      </c>
      <c r="DA62" s="838" t="str">
        <f>IF($C62&lt;1,"",(AVERAGEIFS('09월 에너지'!AJ$14:AJ$949,'09월 에너지'!$A$14:$A$949,$A62,'09월 에너지'!$C$14:$C$949,$B62)))</f>
        <v/>
      </c>
    </row>
    <row r="63" spans="1:105" ht="13.5" customHeight="1">
      <c r="A63" s="849">
        <f t="shared" si="2"/>
        <v>44938</v>
      </c>
      <c r="B63" s="850" t="s">
        <v>100</v>
      </c>
      <c r="C63" s="823">
        <f>COUNTIFS('09월 조업일지'!$A$12:$A$952,A61,'09월 조업일지'!$E$12:$E$952,B63)</f>
        <v>0</v>
      </c>
      <c r="D63" s="824" t="str">
        <f t="shared" ref="D63:D65" si="13">IF(C63&lt;1,"",F63-E63)</f>
        <v/>
      </c>
      <c r="E63" s="824" t="str">
        <f>IF($C63&lt;1,"",(SUMIFS('09월 조업일지'!$K$12:$K$952,'09월 조업일지'!$A$12:$A$952,$A63,'09월 조업일지'!$E$12:$E$952,$B63)/$C63))</f>
        <v/>
      </c>
      <c r="F63" s="824" t="str">
        <f>IF($C63&lt;1,"",(AVERAGEIFS('09월 조업일지'!$J$12:$J$952,'09월 조업일지'!$A$12:$A$952,$A63,'09월 조업일지'!$E$12:$E$952,$B63)))</f>
        <v/>
      </c>
      <c r="G63" s="825" t="str">
        <f>IF($C63&lt;1,"",(AVERAGEIFS('09월 에너지'!$M$14:$M$949,'09월 에너지'!$A$14:$A$949,$A63,'09월 에너지'!$C$14:$C$949,$B63)))</f>
        <v/>
      </c>
      <c r="H63" s="826" t="str">
        <f>IF($C63&lt;1,"",(AVERAGEIFS('09월 조업일지'!$AJ$12:$AJ$952,'09월 조업일지'!$A$12:$A$952,$A63,'09월 조업일지'!$E$12:$E$952,$B63)))</f>
        <v/>
      </c>
      <c r="I63" s="826" t="str">
        <f>IF($C63&lt;1,"",(AVERAGEIFS('09월 조업일지'!$AL$12:$AL$952,'09월 조업일지'!$A$12:$A$952,$A63,'09월 조업일지'!$E$12:$E$952,$B63)))</f>
        <v/>
      </c>
      <c r="J63" s="827" t="str">
        <f>IF($C63&lt;1,"",(AVERAGEIFS('09월 화학성분'!G$12:G$949,'09월 화학성분'!$A$12:$A$949,$A63,'09월 화학성분'!$D$12:$D$949,$B63)))</f>
        <v/>
      </c>
      <c r="K63" s="827" t="str">
        <f>IF($C63&lt;1,"",(AVERAGEIFS('09월 화학성분'!H$12:H$949,'09월 화학성분'!$A$12:$A$949,$A63,'09월 화학성분'!$D$12:$D$949,$B63)))</f>
        <v/>
      </c>
      <c r="L63" s="827" t="str">
        <f>IF($C63&lt;1,"",(AVERAGEIFS('09월 화학성분'!I$12:I$949,'09월 화학성분'!$A$12:$A$949,$A63,'09월 화학성분'!$D$12:$D$949,$B63)))</f>
        <v/>
      </c>
      <c r="M63" s="827" t="str">
        <f>IF($C63&lt;1,"",(AVERAGEIFS('09월 화학성분'!J$12:J$949,'09월 화학성분'!$A$12:$A$949,$A63,'09월 화학성분'!$D$12:$D$949,$B63)))</f>
        <v/>
      </c>
      <c r="N63" s="827" t="str">
        <f>IF($C63&lt;1,"",(AVERAGEIFS('09월 화학성분'!K$12:K$949,'09월 화학성분'!$A$12:$A$949,$A63,'09월 화학성분'!$D$12:$D$949,$B63)))</f>
        <v/>
      </c>
      <c r="O63" s="827" t="str">
        <f>IF($C63&lt;1,"",(AVERAGEIFS('09월 화학성분'!L$12:L$949,'09월 화학성분'!$A$12:$A$949,$A63,'09월 화학성분'!$D$12:$D$949,$B63)))</f>
        <v/>
      </c>
      <c r="P63" s="827" t="str">
        <f>IF($C63&lt;1,"",(AVERAGEIFS('09월 화학성분'!M$12:M$949,'09월 화학성분'!$A$12:$A$949,$A63,'09월 화학성분'!$D$12:$D$949,$B63)))</f>
        <v/>
      </c>
      <c r="Q63" s="827" t="str">
        <f>IFERROR(IF($C63&lt;1,"",(AVERAGEIFS('09월 조업일지'!$AA$12:$AA$952,'09월 조업일지'!$A$12:$A$952,$A63,'09월 조업일지'!$E$12:$E$952,$B63))),"")</f>
        <v/>
      </c>
      <c r="R63" s="827" t="str">
        <f>IF($C63&lt;1,"",(AVERAGEIFS('09월 조업일지'!$AK$12:$AK$952,'09월 조업일지'!$A$12:$A$952,$A63,'09월 조업일지'!$E$12:$E$952,$B63)))</f>
        <v/>
      </c>
      <c r="S63" s="827"/>
      <c r="T63" s="827"/>
      <c r="U63" s="827" t="str">
        <f>IF($C63&lt;1,"",(AVERAGEIFS('09월 화학성분'!$G$12:$G$949,'09월 화학성분'!$A$12:$A$949,$A63,'09월 화학성분'!$D$12:$D$949,$B63)))</f>
        <v/>
      </c>
      <c r="V63" s="827" t="str">
        <f>IF($C63&lt;1,"",(AVERAGEIFS('09월 조업일지'!$AI$12:$AI$952,'09월 조업일지'!$A$12:$A$952,$A63,'09월 조업일지'!$E$12:$E$952,$B63)))</f>
        <v/>
      </c>
      <c r="W63" s="828" t="str">
        <f>IF($C63&lt;1,"",(AVERAGEIFS('09월 화학성분'!$AM$12:$AM$949,'09월 화학성분'!$A$12:$A$949,$A63,'09월 화학성분'!$D$12:$D$949,$B63)))</f>
        <v/>
      </c>
      <c r="X63" s="829" t="str">
        <f>IF($C63&lt;1,"",(AVERAGEIFS('09월 화학성분'!N$12:N$949,'09월 화학성분'!$A$12:$A$949,$A63,'09월 화학성분'!$D$12:$D$949,$B63)))</f>
        <v/>
      </c>
      <c r="Y63" s="829" t="str">
        <f>IF($C63&lt;1,"",(AVERAGEIFS('09월 화학성분'!O$12:O$949,'09월 화학성분'!$A$12:$A$949,$A63,'09월 화학성분'!$D$12:$D$949,$B63)))</f>
        <v/>
      </c>
      <c r="Z63" s="829" t="str">
        <f>IF($C63&lt;1,"",(AVERAGEIFS('09월 화학성분'!P$12:P$949,'09월 화학성분'!$A$12:$A$949,$A63,'09월 화학성분'!$D$12:$D$949,$B63)))</f>
        <v/>
      </c>
      <c r="AA63" s="829" t="str">
        <f>IF($C63&lt;1,"",(AVERAGEIFS('09월 화학성분'!Q$12:Q$949,'09월 화학성분'!$A$12:$A$949,$A63,'09월 화학성분'!$D$12:$D$949,$B63)))</f>
        <v/>
      </c>
      <c r="AB63" s="829" t="str">
        <f>IF($C63&lt;1,"",(AVERAGEIFS('09월 화학성분'!R$12:R$949,'09월 화학성분'!$A$12:$A$949,$A63,'09월 화학성분'!$D$12:$D$949,$B63)))</f>
        <v/>
      </c>
      <c r="AC63" s="829" t="str">
        <f>IF($C63&lt;1,"",(AVERAGEIFS('09월 화학성분'!U$12:U$949,'09월 화학성분'!$A$12:$A$949,$A63,'09월 화학성분'!$D$12:$D$949,$B63)))</f>
        <v/>
      </c>
      <c r="AD63" s="829" t="str">
        <f>IF($C63&lt;1,"",(AVERAGEIFS('09월 화학성분'!V$12:V$949,'09월 화학성분'!$A$12:$A$949,$A63,'09월 화학성분'!$D$12:$D$949,$B63)))</f>
        <v/>
      </c>
      <c r="AE63" s="829" t="str">
        <f>IF($C63&lt;1,"",(AVERAGEIFS('09월 화학성분'!W$12:W$949,'09월 화학성분'!$A$12:$A$949,$A63,'09월 화학성분'!$D$12:$D$949,$B63)))</f>
        <v/>
      </c>
      <c r="AF63" s="829" t="str">
        <f>IF($C63&lt;1,"",(AVERAGEIFS('09월 화학성분'!AA$12:AA$949,'09월 화학성분'!$A$12:$A$949,$A63,'09월 화학성분'!$D$12:$D$949,$B63)))</f>
        <v/>
      </c>
      <c r="AG63" s="829" t="str">
        <f>IF($C63&lt;1,"",(AVERAGEIFS('09월 화학성분'!#REF!,'09월 화학성분'!$A$12:$A$949,$A63,'09월 화학성분'!$D$12:$D$949,$B63)))</f>
        <v/>
      </c>
      <c r="AH63" s="829" t="str">
        <f>IF($C63&lt;1,"",(AVERAGEIFS('09월 화학성분'!AB$12:AB$949,'09월 화학성분'!$A$12:$A$949,$A63,'09월 화학성분'!$D$12:$D$949,$B63)))</f>
        <v/>
      </c>
      <c r="AI63" s="829" t="str">
        <f>IF($C63&lt;1,"",(AVERAGEIFS('09월 화학성분'!AC$12:AC$949,'09월 화학성분'!$A$12:$A$949,$A63,'09월 화학성분'!$D$12:$D$949,$B63)))</f>
        <v/>
      </c>
      <c r="AJ63" s="829" t="str">
        <f>IF($C63&lt;1,"",(AVERAGEIFS('09월 화학성분'!AD$12:AD$949,'09월 화학성분'!$A$12:$A$949,$A63,'09월 화학성분'!$D$12:$D$949,$B63)))</f>
        <v/>
      </c>
      <c r="AK63" s="829" t="str">
        <f>IF($C63&lt;1,"",(AVERAGEIFS('09월 화학성분'!AF$12:AF$949,'09월 화학성분'!$A$12:$A$949,$A63,'09월 화학성분'!$D$12:$D$949,$B63)))</f>
        <v/>
      </c>
      <c r="AL63" s="829" t="str">
        <f>IF($C63&lt;1,"",(AVERAGEIFS('09월 화학성분'!AG$12:AG$949,'09월 화학성분'!$A$12:$A$949,$A63,'09월 화학성분'!$D$12:$D$949,$B63)))</f>
        <v/>
      </c>
      <c r="AM63" s="829" t="str">
        <f>IF($C63&lt;1,"",(AVERAGEIFS('09월 화학성분'!AH$12:AH$949,'09월 화학성분'!$A$12:$A$949,$A63,'09월 화학성분'!$D$12:$D$949,$B63)))</f>
        <v/>
      </c>
      <c r="AN63" s="829" t="str">
        <f>IF($C63&lt;1,"",(AVERAGEIFS('09월 화학성분'!AI$12:AI$949,'09월 화학성분'!$A$12:$A$949,$A63,'09월 화학성분'!$D$12:$D$949,$B63)))</f>
        <v/>
      </c>
      <c r="AO63" s="829" t="str">
        <f>IF($C63&lt;1,"",(AVERAGEIFS('09월 화학성분'!AJ$12:AJ$949,'09월 화학성분'!$A$12:$A$949,$A63,'09월 화학성분'!$D$12:$D$949,$B63)))</f>
        <v/>
      </c>
      <c r="AP63" s="829" t="str">
        <f>IF($C63&lt;1,"",(AVERAGEIFS('09월 화학성분'!#REF!,'09월 화학성분'!$A$12:$A$949,$A63,'09월 화학성분'!$D$12:$D$949,$B63)))</f>
        <v/>
      </c>
      <c r="AQ63" s="829" t="str">
        <f>IF($C63&lt;1,"",(AVERAGEIFS('09월 화학성분'!AL$12:AL$949,'09월 화학성분'!$A$12:$A$949,$A63,'09월 화학성분'!$D$12:$D$949,$B63)))</f>
        <v/>
      </c>
      <c r="AR63" s="829" t="str">
        <f>IF($C63&lt;1,"",(AVERAGEIFS('09월 화학성분'!AM$12:AM$949,'09월 화학성분'!$A$12:$A$949,$A63,'09월 화학성분'!$D$12:$D$949,$B63)))</f>
        <v/>
      </c>
      <c r="AS63" s="830" t="str">
        <f>IF($C63&lt;1,"",(AVERAGEIFS('09월 화학성분'!AN$12:AN$949,'09월 화학성분'!$A$12:$A$949,$A63,'09월 화학성분'!$D$12:$D$949,$B63)))</f>
        <v/>
      </c>
      <c r="AT63" s="830" t="str">
        <f>IF($C63&lt;1,"",(AVERAGEIFS('09월 화학성분'!AO$12:AO$949,'09월 화학성분'!$A$12:$A$949,$A63,'09월 화학성분'!$D$12:$D$949,$B63)))</f>
        <v/>
      </c>
      <c r="AU63" s="831" t="str">
        <f>IF($C63&lt;1,"",(AVERAGEIFS('09월 화학성분'!AP$12:AP$949,'09월 화학성분'!$A$12:$A$949,$A63,'09월 화학성분'!$D$12:$D$949,$B63)))</f>
        <v/>
      </c>
      <c r="AV63" s="832" t="str">
        <f>IF($C63&lt;1,"",(AVERAGEIFS('09월 고철장입'!G$14:G$949,'09월 고철장입'!$A$14:$A$949,$A63,'09월 고철장입'!$C$14:$C$949,$B63))/1000)</f>
        <v/>
      </c>
      <c r="AW63" s="832" t="str">
        <f>IF($C63&lt;1,"",(AVERAGEIFS('09월 고철장입'!H$14:H$949,'09월 고철장입'!$A$14:$A$949,$A63,'09월 고철장입'!$C$14:$C$949,$B63))/1000)</f>
        <v/>
      </c>
      <c r="AX63" s="832" t="str">
        <f>IF($C63&lt;1,"",(AVERAGEIFS('09월 고철장입'!I$14:I$949,'09월 고철장입'!$A$14:$A$949,$A63,'09월 고철장입'!$C$14:$C$949,$B63))/1000)</f>
        <v/>
      </c>
      <c r="AY63" s="832" t="str">
        <f>IF($C63&lt;1,"",(AVERAGEIFS('09월 고철장입'!J$14:J$949,'09월 고철장입'!$A$14:$A$949,$A63,'09월 고철장입'!$C$14:$C$949,$B63))/1000)</f>
        <v/>
      </c>
      <c r="AZ63" s="832" t="str">
        <f>IF($C63&lt;1,"",(AVERAGEIFS('09월 고철장입'!K$14:K$949,'09월 고철장입'!$A$14:$A$949,$A63,'09월 고철장입'!$C$14:$C$949,$B63))/1000)</f>
        <v/>
      </c>
      <c r="BA63" s="832" t="str">
        <f>IF($C63&lt;1,"",(AVERAGEIFS('09월 고철장입'!L$14:L$949,'09월 고철장입'!$A$14:$A$949,$A63,'09월 고철장입'!$C$14:$C$949,$B63))/1000)</f>
        <v/>
      </c>
      <c r="BB63" s="832" t="str">
        <f>IF($C63&lt;1,"",(AVERAGEIFS('09월 고철장입'!M$14:M$949,'09월 고철장입'!$A$14:$A$949,$A63,'09월 고철장입'!$C$14:$C$949,$B63))/1000)</f>
        <v/>
      </c>
      <c r="BC63" s="832" t="str">
        <f>IF($C63&lt;1,"",(AVERAGEIFS('09월 고철장입'!N$14:N$949,'09월 고철장입'!$A$14:$A$949,$A63,'09월 고철장입'!$C$14:$C$949,$B63))/1000)</f>
        <v/>
      </c>
      <c r="BD63" s="832" t="str">
        <f>IF($C63&lt;1,"",(AVERAGEIFS('09월 고철장입'!O$14:O$949,'09월 고철장입'!$A$14:$A$949,$A63,'09월 고철장입'!$C$14:$C$949,$B63))/1000)</f>
        <v/>
      </c>
      <c r="BE63" s="833" t="str">
        <f>IF($C63&lt;1,"",(AVERAGEIFS('09월 고철장입'!P$14:P$949,'09월 고철장입'!$A$14:$A$949,$A63,'09월 고철장입'!$C$14:$C$949,$B63))/1000)</f>
        <v/>
      </c>
      <c r="BF63" s="833" t="str">
        <f>IF($C63&lt;1,"",(AVERAGEIFS('09월 고철장입'!Q$14:Q$949,'09월 고철장입'!$A$14:$A$949,$A63,'09월 고철장입'!$C$14:$C$949,$B63))/1000)</f>
        <v/>
      </c>
      <c r="BG63" s="833" t="str">
        <f>IF($C63&lt;1,"",(AVERAGEIFS('09월 고철장입'!S$14:S$949,'09월 고철장입'!$A$14:$A$949,$A63,'09월 고철장입'!$C$14:$C$949,$B63))/1000)</f>
        <v/>
      </c>
      <c r="BH63" s="833" t="str">
        <f>IF($C63&lt;1,"",(AVERAGEIFS('09월 고철장입'!T$14:T$949,'09월 고철장입'!$A$14:$A$949,$A63,'09월 고철장입'!$C$14:$C$949,$B63))/1000)</f>
        <v/>
      </c>
      <c r="BI63" s="833" t="str">
        <f>IF($C63&lt;1,"",(AVERAGEIFS('09월 고철장입'!U$14:U$949,'09월 고철장입'!$A$14:$A$949,$A63,'09월 고철장입'!$C$14:$C$949,$B63))/1000)</f>
        <v/>
      </c>
      <c r="BJ63" s="833" t="str">
        <f>IF($C63&lt;1,"",(AVERAGEIFS('09월 고철장입'!V$14:V$949,'09월 고철장입'!$A$14:$A$949,$A63,'09월 고철장입'!$C$14:$C$949,$B63))/1000)</f>
        <v/>
      </c>
      <c r="BK63" s="833" t="str">
        <f>IF($C63&lt;1,"",(AVERAGEIFS('09월 고철장입'!W$14:W$949,'09월 고철장입'!$A$14:$A$949,$A63,'09월 고철장입'!$C$14:$C$949,$B63))/1000)</f>
        <v/>
      </c>
      <c r="BL63" s="833" t="str">
        <f>IF($C63&lt;1,"",(AVERAGEIFS('09월 고철장입'!Y$14:Y$949,'09월 고철장입'!$A$14:$A$949,$A63,'09월 고철장입'!$C$14:$C$949,$B63))/1000)</f>
        <v/>
      </c>
      <c r="BM63" s="833" t="str">
        <f>IF($C63&lt;1,"",(AVERAGEIFS('09월 고철장입'!AB$14:AB$949,'09월 고철장입'!$A$14:$A$949,$A63,'09월 고철장입'!$C$14:$C$949,$B63))/1000)</f>
        <v/>
      </c>
      <c r="BN63" s="833" t="str">
        <f>IF($C63&lt;1,"",(AVERAGEIFS('09월 고철장입'!AC$14:AC$949,'09월 고철장입'!$A$14:$A$949,$A63,'09월 고철장입'!$C$14:$C$949,$B63))/1000)</f>
        <v/>
      </c>
      <c r="BO63" s="833" t="str">
        <f>IF($C63&lt;1,"",(AVERAGEIFS('09월 고철장입'!AD$14:AD$949,'09월 고철장입'!$A$14:$A$949,$A63,'09월 고철장입'!$C$14:$C$949,$B63))/1000)</f>
        <v/>
      </c>
      <c r="BP63" s="833" t="str">
        <f>IF($C63&lt;1,"",(AVERAGEIFS('09월 고철장입'!AE$14:AE$949,'09월 고철장입'!$A$14:$A$949,$A63,'09월 고철장입'!$C$14:$C$949,$B63))/1000)</f>
        <v/>
      </c>
      <c r="BQ63" s="832" t="str">
        <f>IF($C63&lt;1,"",(AVERAGEIFS('09월 고철장입'!AF$14:AF$949,'09월 고철장입'!$A$14:$A$949,$A63,'09월 고철장입'!$C$14:$C$949,$B63))/1000)</f>
        <v/>
      </c>
      <c r="BR63" s="832" t="str">
        <f>IF($C63&lt;1,"",(AVERAGEIFS('09월 고철장입'!AG$14:AG$949,'09월 고철장입'!$A$14:$A$949,$A63,'09월 고철장입'!$C$14:$C$949,$B63))/1000)</f>
        <v/>
      </c>
      <c r="BS63" s="832" t="str">
        <f>IF($C63&lt;1,"",(AVERAGEIFS('09월 고철장입'!AH$14:AH$949,'09월 고철장입'!$A$14:$A$949,$A63,'09월 고철장입'!$C$14:$C$949,$B63))/1000)</f>
        <v/>
      </c>
      <c r="BT63" s="832" t="str">
        <f>IF($C63&lt;1,"",(AVERAGEIFS('09월 고철장입'!AI$14:AI$949,'09월 고철장입'!$A$14:$A$949,$A63,'09월 고철장입'!$C$14:$C$949,$B63))/1000)</f>
        <v/>
      </c>
      <c r="BU63" s="834" t="str">
        <f>IF($C63&lt;1,"",(AVERAGEIFS('09월 고철장입'!AJ$14:AJ$949,'09월 고철장입'!$A$14:$A$949,$A63,'09월 고철장입'!$C$14:$C$949,$B63))/1000)</f>
        <v/>
      </c>
      <c r="BV63" s="834" t="str">
        <f>IF($C63&lt;1,"",(AVERAGEIFS('09월 고철장입'!AK$14:AK$949,'09월 고철장입'!$A$14:$A$949,$A63,'09월 고철장입'!$C$14:$C$949,$B63)))</f>
        <v/>
      </c>
      <c r="BW63" s="834" t="str">
        <f>IF($C63&lt;1,"",(AVERAGEIFS('09월 고철장입'!AL$14:AL$949,'09월 고철장입'!$A$14:$A$949,$A63,'09월 고철장입'!$C$14:$C$949,$B63))*100)</f>
        <v/>
      </c>
      <c r="BX63" s="831" t="str">
        <f>IF($C63&lt;1,"",(AVERAGEIFS('09월 에너지'!G$14:G$949,'09월 에너지'!$A$14:$A$949,$A63,'09월 에너지'!$C$14:$C$949,$B63)))</f>
        <v/>
      </c>
      <c r="BY63" s="835" t="str">
        <f>IF($C63&lt;1,"",(AVERAGEIFS('09월 에너지'!H$14:H$949,'09월 에너지'!$A$14:$A$949,$A63,'09월 에너지'!$C$14:$C$949,$B63)))</f>
        <v/>
      </c>
      <c r="BZ63" s="831" t="str">
        <f>IF($C63&lt;1,"",(AVERAGEIFS('09월 에너지'!I$14:I$949,'09월 에너지'!$A$14:$A$949,$A63,'09월 에너지'!$C$14:$C$949,$B63)))</f>
        <v/>
      </c>
      <c r="CA63" s="835" t="str">
        <f>IF($C63&lt;1,"",(AVERAGEIFS('09월 에너지'!J$14:J$949,'09월 에너지'!$A$14:$A$949,$A63,'09월 에너지'!$C$14:$C$949,$B63)))</f>
        <v/>
      </c>
      <c r="CB63" s="831" t="str">
        <f>IF($C63&lt;1,"",(AVERAGEIFS('09월 에너지'!K$14:K$949,'09월 에너지'!$A$14:$A$949,$A63,'09월 에너지'!$C$14:$C$949,$B63)))</f>
        <v/>
      </c>
      <c r="CC63" s="835" t="str">
        <f>IF($C63&lt;1,"",(AVERAGEIFS('09월 에너지'!L$14:L$949,'09월 에너지'!$A$14:$A$949,$A63,'09월 에너지'!$C$14:$C$949,$B63)))</f>
        <v/>
      </c>
      <c r="CD63" s="831" t="str">
        <f>IF($C63&lt;1,"",(AVERAGEIFS('09월 에너지'!M$14:M$949,'09월 에너지'!$A$14:$A$949,$A63,'09월 에너지'!$C$14:$C$949,$B63)))</f>
        <v/>
      </c>
      <c r="CE63" s="835" t="str">
        <f>IF($C63&lt;1,"",(AVERAGEIFS('09월 에너지'!N$14:N$949,'09월 에너지'!$A$14:$A$949,$A63,'09월 에너지'!$C$14:$C$949,$B63)))</f>
        <v/>
      </c>
      <c r="CF63" s="831" t="str">
        <f>IF($C63&lt;1,"",(AVERAGEIFS('09월 에너지'!O$14:O$949,'09월 에너지'!$A$14:$A$949,$A63,'09월 에너지'!$C$14:$C$949,$B63)))</f>
        <v/>
      </c>
      <c r="CG63" s="831" t="str">
        <f>IF($C63&lt;1,"",(AVERAGEIFS('09월 에너지'!P$14:P$949,'09월 에너지'!$A$14:$A$949,$A63,'09월 에너지'!$C$14:$C$949,$B63)))</f>
        <v/>
      </c>
      <c r="CH63" s="831" t="str">
        <f>IF($C63&lt;1,"",(AVERAGEIFS('09월 에너지'!Q$14:Q$949,'09월 에너지'!$A$14:$A$949,$A63,'09월 에너지'!$C$14:$C$949,$B63)))</f>
        <v/>
      </c>
      <c r="CI63" s="831" t="str">
        <f>IF($C63&lt;1,"",(AVERAGEIFS('09월 에너지'!R$14:R$949,'09월 에너지'!$A$14:$A$949,$A63,'09월 에너지'!$C$14:$C$949,$B63)))</f>
        <v/>
      </c>
      <c r="CJ63" s="831" t="str">
        <f>IF($C63&lt;1,"",(AVERAGEIFS('09월 에너지'!S$14:S$949,'09월 에너지'!$A$14:$A$949,$A63,'09월 에너지'!$C$14:$C$949,$B63)))</f>
        <v/>
      </c>
      <c r="CK63" s="831" t="str">
        <f>IF($C63&lt;1,"",(AVERAGEIFS('09월 에너지'!T$14:T$949,'09월 에너지'!$A$14:$A$949,$A63,'09월 에너지'!$C$14:$C$949,$B63)))</f>
        <v/>
      </c>
      <c r="CL63" s="831" t="str">
        <f>IF($C63&lt;1,"",(AVERAGEIFS('09월 에너지'!U$14:U$949,'09월 에너지'!$A$14:$A$949,$A63,'09월 에너지'!$C$14:$C$949,$B63)))</f>
        <v/>
      </c>
      <c r="CM63" s="835" t="str">
        <f>IF($C63&lt;1,"",(AVERAGEIFS('09월 에너지'!V$14:V$949,'09월 에너지'!$A$14:$A$949,$A63,'09월 에너지'!$C$14:$C$949,$B63)))</f>
        <v/>
      </c>
      <c r="CN63" s="835" t="str">
        <f>IF($C63&lt;1,"",(AVERAGEIFS('09월 에너지'!W$14:W$949,'09월 에너지'!$A$14:$A$949,$A63,'09월 에너지'!$C$14:$C$949,$B63)))</f>
        <v/>
      </c>
      <c r="CO63" s="831" t="str">
        <f>IF($C63&lt;1,"",(AVERAGEIFS('09월 에너지'!X$14:X$949,'09월 에너지'!$A$14:$A$949,$A63,'09월 에너지'!$C$14:$C$949,$B63)))</f>
        <v/>
      </c>
      <c r="CP63" s="835" t="str">
        <f>IF($C63&lt;1,"",(AVERAGEIFS('09월 에너지'!Y$14:Y$949,'09월 에너지'!$A$14:$A$949,$A63,'09월 에너지'!$C$14:$C$949,$B63)))</f>
        <v/>
      </c>
      <c r="CQ63" s="835" t="str">
        <f>IF($C63&lt;1,"",(AVERAGEIFS('09월 에너지'!Z$14:Z$949,'09월 에너지'!$A$14:$A$949,$A63,'09월 에너지'!$C$14:$C$949,$B63)))</f>
        <v/>
      </c>
      <c r="CR63" s="835" t="str">
        <f>IF($C63&lt;1,"",(AVERAGEIFS('09월 에너지'!AA$14:AA$949,'09월 에너지'!$A$14:$A$949,$A63,'09월 에너지'!$C$14:$C$949,$B63)))</f>
        <v/>
      </c>
      <c r="CS63" s="835" t="str">
        <f>IF($C63&lt;1,"",(AVERAGEIFS('09월 에너지'!AB$14:AB$949,'09월 에너지'!$A$14:$A$949,$A63,'09월 에너지'!$C$14:$C$949,$B63)))</f>
        <v/>
      </c>
      <c r="CT63" s="831" t="str">
        <f>IF($C63&lt;1,"",(AVERAGEIFS('09월 에너지'!AC$14:AC$949,'09월 에너지'!$A$14:$A$949,$A63,'09월 에너지'!$C$14:$C$949,$B63)))</f>
        <v/>
      </c>
      <c r="CU63" s="836" t="str">
        <f>IF($C63&lt;1,"",(AVERAGEIFS('09월 에너지'!AD$14:AD$949,'09월 에너지'!$A$14:$A$949,$A63,'09월 에너지'!$C$14:$C$949,$B63)))</f>
        <v/>
      </c>
      <c r="CV63" s="837" t="str">
        <f>IF($C63&lt;1,"",(AVERAGEIFS('09월 에너지'!AE$14:AE$949,'09월 에너지'!$A$14:$A$949,$A63,'09월 에너지'!$C$14:$C$949,$B63)))</f>
        <v/>
      </c>
      <c r="CW63" s="831" t="str">
        <f>IF($C63&lt;1,"",(AVERAGEIFS('09월 에너지'!AF$14:AF$949,'09월 에너지'!$A$14:$A$949,$A63,'09월 에너지'!$C$14:$C$949,$B63)))</f>
        <v/>
      </c>
      <c r="CX63" s="831" t="str">
        <f>IF($C63&lt;1,"",(AVERAGEIFS('09월 에너지'!AG$14:AG$949,'09월 에너지'!$A$14:$A$949,$A63,'09월 에너지'!$C$14:$C$949,$B63)))</f>
        <v/>
      </c>
      <c r="CY63" s="831" t="str">
        <f>IF($C63&lt;1,"",(AVERAGEIFS('09월 에너지'!AH$14:AH$949,'09월 에너지'!$A$14:$A$949,$A63,'09월 에너지'!$C$14:$C$949,$B63)))</f>
        <v/>
      </c>
      <c r="CZ63" s="831" t="str">
        <f>IF($C63&lt;1,"",(AVERAGEIFS('09월 에너지'!AI$14:AI$949,'09월 에너지'!$A$14:$A$949,$A63,'09월 에너지'!$C$14:$C$949,$B63)))</f>
        <v/>
      </c>
      <c r="DA63" s="838" t="str">
        <f>IF($C63&lt;1,"",(AVERAGEIFS('09월 에너지'!AJ$14:AJ$949,'09월 에너지'!$A$14:$A$949,$A63,'09월 에너지'!$C$14:$C$949,$B63)))</f>
        <v/>
      </c>
    </row>
    <row r="64" spans="1:105" ht="13.5" customHeight="1">
      <c r="A64" s="849">
        <f t="shared" si="2"/>
        <v>44938</v>
      </c>
      <c r="B64" s="850" t="s">
        <v>10</v>
      </c>
      <c r="C64" s="823">
        <f>COUNTIFS('09월 조업일지'!$A$12:$A$952,A61,'09월 조업일지'!$E$12:$E$952,B64)</f>
        <v>0</v>
      </c>
      <c r="D64" s="824" t="str">
        <f t="shared" si="13"/>
        <v/>
      </c>
      <c r="E64" s="824" t="str">
        <f>IF($C64&lt;1,"",(SUMIFS('09월 조업일지'!$K$12:$K$952,'09월 조업일지'!$A$12:$A$952,$A64,'09월 조업일지'!$E$12:$E$952,$B64)/$C64))</f>
        <v/>
      </c>
      <c r="F64" s="824" t="str">
        <f>IF($C64&lt;1,"",(AVERAGEIFS('09월 조업일지'!$J$12:$J$952,'09월 조업일지'!$A$12:$A$952,$A64,'09월 조업일지'!$E$12:$E$952,$B64)))</f>
        <v/>
      </c>
      <c r="G64" s="825" t="str">
        <f>IF($C64&lt;1,"",(AVERAGEIFS('09월 에너지'!$M$14:$M$949,'09월 에너지'!$A$14:$A$949,$A64,'09월 에너지'!$C$14:$C$949,$B64)))</f>
        <v/>
      </c>
      <c r="H64" s="826" t="str">
        <f>IF($C64&lt;1,"",(AVERAGEIFS('09월 조업일지'!$AJ$12:$AJ$952,'09월 조업일지'!$A$12:$A$952,$A64,'09월 조업일지'!$E$12:$E$952,$B64)))</f>
        <v/>
      </c>
      <c r="I64" s="826" t="str">
        <f>IF($C64&lt;1,"",(AVERAGEIFS('09월 조업일지'!$AL$12:$AL$952,'09월 조업일지'!$A$12:$A$952,$A64,'09월 조업일지'!$E$12:$E$952,$B64)))</f>
        <v/>
      </c>
      <c r="J64" s="827" t="str">
        <f>IF($C64&lt;1,"",(AVERAGEIFS('09월 화학성분'!G$12:G$949,'09월 화학성분'!$A$12:$A$949,$A64,'09월 화학성분'!$D$12:$D$949,$B64)))</f>
        <v/>
      </c>
      <c r="K64" s="827" t="str">
        <f>IF($C64&lt;1,"",(AVERAGEIFS('09월 화학성분'!H$12:H$949,'09월 화학성분'!$A$12:$A$949,$A64,'09월 화학성분'!$D$12:$D$949,$B64)))</f>
        <v/>
      </c>
      <c r="L64" s="827" t="str">
        <f>IF($C64&lt;1,"",(AVERAGEIFS('09월 화학성분'!I$12:I$949,'09월 화학성분'!$A$12:$A$949,$A64,'09월 화학성분'!$D$12:$D$949,$B64)))</f>
        <v/>
      </c>
      <c r="M64" s="827" t="str">
        <f>IF($C64&lt;1,"",(AVERAGEIFS('09월 화학성분'!J$12:J$949,'09월 화학성분'!$A$12:$A$949,$A64,'09월 화학성분'!$D$12:$D$949,$B64)))</f>
        <v/>
      </c>
      <c r="N64" s="827" t="str">
        <f>IF($C64&lt;1,"",(AVERAGEIFS('09월 화학성분'!K$12:K$949,'09월 화학성분'!$A$12:$A$949,$A64,'09월 화학성분'!$D$12:$D$949,$B64)))</f>
        <v/>
      </c>
      <c r="O64" s="827" t="str">
        <f>IF($C64&lt;1,"",(AVERAGEIFS('09월 화학성분'!L$12:L$949,'09월 화학성분'!$A$12:$A$949,$A64,'09월 화학성분'!$D$12:$D$949,$B64)))</f>
        <v/>
      </c>
      <c r="P64" s="827" t="str">
        <f>IF($C64&lt;1,"",(AVERAGEIFS('09월 화학성분'!M$12:M$949,'09월 화학성분'!$A$12:$A$949,$A64,'09월 화학성분'!$D$12:$D$949,$B64)))</f>
        <v/>
      </c>
      <c r="Q64" s="827" t="str">
        <f>IFERROR(IF($C64&lt;1,"",(AVERAGEIFS('09월 조업일지'!$AA$12:$AA$952,'09월 조업일지'!$A$12:$A$952,$A64,'09월 조업일지'!$E$12:$E$952,$B64))),"")</f>
        <v/>
      </c>
      <c r="R64" s="827" t="str">
        <f>IF($C64&lt;1,"",(AVERAGEIFS('09월 조업일지'!$AK$12:$AK$952,'09월 조업일지'!$A$12:$A$952,$A64,'09월 조업일지'!$E$12:$E$952,$B64)))</f>
        <v/>
      </c>
      <c r="S64" s="827"/>
      <c r="T64" s="827"/>
      <c r="U64" s="827" t="str">
        <f>IF($C64&lt;1,"",(AVERAGEIFS('09월 화학성분'!$G$12:$G$949,'09월 화학성분'!$A$12:$A$949,$A64,'09월 화학성분'!$D$12:$D$949,$B64)))</f>
        <v/>
      </c>
      <c r="V64" s="827" t="str">
        <f>IF($C64&lt;1,"",(AVERAGEIFS('09월 조업일지'!$AI$12:$AI$952,'09월 조업일지'!$A$12:$A$952,$A64,'09월 조업일지'!$E$12:$E$952,$B64)))</f>
        <v/>
      </c>
      <c r="W64" s="828" t="str">
        <f>IF($C64&lt;1,"",(AVERAGEIFS('09월 화학성분'!$AM$12:$AM$949,'09월 화학성분'!$A$12:$A$949,$A64,'09월 화학성분'!$D$12:$D$949,$B64)))</f>
        <v/>
      </c>
      <c r="X64" s="829" t="str">
        <f>IF($C64&lt;1,"",(AVERAGEIFS('09월 화학성분'!N$12:N$949,'09월 화학성분'!$A$12:$A$949,$A64,'09월 화학성분'!$D$12:$D$949,$B64)))</f>
        <v/>
      </c>
      <c r="Y64" s="829" t="str">
        <f>IF($C64&lt;1,"",(AVERAGEIFS('09월 화학성분'!O$12:O$949,'09월 화학성분'!$A$12:$A$949,$A64,'09월 화학성분'!$D$12:$D$949,$B64)))</f>
        <v/>
      </c>
      <c r="Z64" s="829" t="str">
        <f>IF($C64&lt;1,"",(AVERAGEIFS('09월 화학성분'!P$12:P$949,'09월 화학성분'!$A$12:$A$949,$A64,'09월 화학성분'!$D$12:$D$949,$B64)))</f>
        <v/>
      </c>
      <c r="AA64" s="829" t="str">
        <f>IF($C64&lt;1,"",(AVERAGEIFS('09월 화학성분'!Q$12:Q$949,'09월 화학성분'!$A$12:$A$949,$A64,'09월 화학성분'!$D$12:$D$949,$B64)))</f>
        <v/>
      </c>
      <c r="AB64" s="829" t="str">
        <f>IF($C64&lt;1,"",(AVERAGEIFS('09월 화학성분'!R$12:R$949,'09월 화학성분'!$A$12:$A$949,$A64,'09월 화학성분'!$D$12:$D$949,$B64)))</f>
        <v/>
      </c>
      <c r="AC64" s="829" t="str">
        <f>IF($C64&lt;1,"",(AVERAGEIFS('09월 화학성분'!U$12:U$949,'09월 화학성분'!$A$12:$A$949,$A64,'09월 화학성분'!$D$12:$D$949,$B64)))</f>
        <v/>
      </c>
      <c r="AD64" s="829" t="str">
        <f>IF($C64&lt;1,"",(AVERAGEIFS('09월 화학성분'!V$12:V$949,'09월 화학성분'!$A$12:$A$949,$A64,'09월 화학성분'!$D$12:$D$949,$B64)))</f>
        <v/>
      </c>
      <c r="AE64" s="829" t="str">
        <f>IF($C64&lt;1,"",(AVERAGEIFS('09월 화학성분'!W$12:W$949,'09월 화학성분'!$A$12:$A$949,$A64,'09월 화학성분'!$D$12:$D$949,$B64)))</f>
        <v/>
      </c>
      <c r="AF64" s="829" t="str">
        <f>IF($C64&lt;1,"",(AVERAGEIFS('09월 화학성분'!AA$12:AA$949,'09월 화학성분'!$A$12:$A$949,$A64,'09월 화학성분'!$D$12:$D$949,$B64)))</f>
        <v/>
      </c>
      <c r="AG64" s="829" t="str">
        <f>IF($C64&lt;1,"",(AVERAGEIFS('09월 화학성분'!#REF!,'09월 화학성분'!$A$12:$A$949,$A64,'09월 화학성분'!$D$12:$D$949,$B64)))</f>
        <v/>
      </c>
      <c r="AH64" s="829" t="str">
        <f>IF($C64&lt;1,"",(AVERAGEIFS('09월 화학성분'!AB$12:AB$949,'09월 화학성분'!$A$12:$A$949,$A64,'09월 화학성분'!$D$12:$D$949,$B64)))</f>
        <v/>
      </c>
      <c r="AI64" s="829" t="str">
        <f>IF($C64&lt;1,"",(AVERAGEIFS('09월 화학성분'!AC$12:AC$949,'09월 화학성분'!$A$12:$A$949,$A64,'09월 화학성분'!$D$12:$D$949,$B64)))</f>
        <v/>
      </c>
      <c r="AJ64" s="829" t="str">
        <f>IF($C64&lt;1,"",(AVERAGEIFS('09월 화학성분'!AD$12:AD$949,'09월 화학성분'!$A$12:$A$949,$A64,'09월 화학성분'!$D$12:$D$949,$B64)))</f>
        <v/>
      </c>
      <c r="AK64" s="829" t="str">
        <f>IF($C64&lt;1,"",(AVERAGEIFS('09월 화학성분'!AF$12:AF$949,'09월 화학성분'!$A$12:$A$949,$A64,'09월 화학성분'!$D$12:$D$949,$B64)))</f>
        <v/>
      </c>
      <c r="AL64" s="829" t="str">
        <f>IF($C64&lt;1,"",(AVERAGEIFS('09월 화학성분'!AG$12:AG$949,'09월 화학성분'!$A$12:$A$949,$A64,'09월 화학성분'!$D$12:$D$949,$B64)))</f>
        <v/>
      </c>
      <c r="AM64" s="829" t="str">
        <f>IF($C64&lt;1,"",(AVERAGEIFS('09월 화학성분'!AH$12:AH$949,'09월 화학성분'!$A$12:$A$949,$A64,'09월 화학성분'!$D$12:$D$949,$B64)))</f>
        <v/>
      </c>
      <c r="AN64" s="829" t="str">
        <f>IF($C64&lt;1,"",(AVERAGEIFS('09월 화학성분'!AI$12:AI$949,'09월 화학성분'!$A$12:$A$949,$A64,'09월 화학성분'!$D$12:$D$949,$B64)))</f>
        <v/>
      </c>
      <c r="AO64" s="829" t="str">
        <f>IF($C64&lt;1,"",(AVERAGEIFS('09월 화학성분'!AJ$12:AJ$949,'09월 화학성분'!$A$12:$A$949,$A64,'09월 화학성분'!$D$12:$D$949,$B64)))</f>
        <v/>
      </c>
      <c r="AP64" s="829" t="str">
        <f>IF($C64&lt;1,"",(AVERAGEIFS('09월 화학성분'!#REF!,'09월 화학성분'!$A$12:$A$949,$A64,'09월 화학성분'!$D$12:$D$949,$B64)))</f>
        <v/>
      </c>
      <c r="AQ64" s="829" t="str">
        <f>IF($C64&lt;1,"",(AVERAGEIFS('09월 화학성분'!AL$12:AL$949,'09월 화학성분'!$A$12:$A$949,$A64,'09월 화학성분'!$D$12:$D$949,$B64)))</f>
        <v/>
      </c>
      <c r="AR64" s="829" t="str">
        <f>IF($C64&lt;1,"",(AVERAGEIFS('09월 화학성분'!AM$12:AM$949,'09월 화학성분'!$A$12:$A$949,$A64,'09월 화학성분'!$D$12:$D$949,$B64)))</f>
        <v/>
      </c>
      <c r="AS64" s="830" t="str">
        <f>IF($C64&lt;1,"",(AVERAGEIFS('09월 화학성분'!AN$12:AN$949,'09월 화학성분'!$A$12:$A$949,$A64,'09월 화학성분'!$D$12:$D$949,$B64)))</f>
        <v/>
      </c>
      <c r="AT64" s="830" t="str">
        <f>IF($C64&lt;1,"",(AVERAGEIFS('09월 화학성분'!AO$12:AO$949,'09월 화학성분'!$A$12:$A$949,$A64,'09월 화학성분'!$D$12:$D$949,$B64)))</f>
        <v/>
      </c>
      <c r="AU64" s="831" t="str">
        <f>IF($C64&lt;1,"",(AVERAGEIFS('09월 화학성분'!AP$12:AP$949,'09월 화학성분'!$A$12:$A$949,$A64,'09월 화학성분'!$D$12:$D$949,$B64)))</f>
        <v/>
      </c>
      <c r="AV64" s="832" t="str">
        <f>IF($C64&lt;1,"",(AVERAGEIFS('09월 고철장입'!G$14:G$949,'09월 고철장입'!$A$14:$A$949,$A64,'09월 고철장입'!$C$14:$C$949,$B64))/1000)</f>
        <v/>
      </c>
      <c r="AW64" s="832" t="str">
        <f>IF($C64&lt;1,"",(AVERAGEIFS('09월 고철장입'!H$14:H$949,'09월 고철장입'!$A$14:$A$949,$A64,'09월 고철장입'!$C$14:$C$949,$B64))/1000)</f>
        <v/>
      </c>
      <c r="AX64" s="832" t="str">
        <f>IF($C64&lt;1,"",(AVERAGEIFS('09월 고철장입'!I$14:I$949,'09월 고철장입'!$A$14:$A$949,$A64,'09월 고철장입'!$C$14:$C$949,$B64))/1000)</f>
        <v/>
      </c>
      <c r="AY64" s="832" t="str">
        <f>IF($C64&lt;1,"",(AVERAGEIFS('09월 고철장입'!J$14:J$949,'09월 고철장입'!$A$14:$A$949,$A64,'09월 고철장입'!$C$14:$C$949,$B64))/1000)</f>
        <v/>
      </c>
      <c r="AZ64" s="832" t="str">
        <f>IF($C64&lt;1,"",(AVERAGEIFS('09월 고철장입'!K$14:K$949,'09월 고철장입'!$A$14:$A$949,$A64,'09월 고철장입'!$C$14:$C$949,$B64))/1000)</f>
        <v/>
      </c>
      <c r="BA64" s="832" t="str">
        <f>IF($C64&lt;1,"",(AVERAGEIFS('09월 고철장입'!L$14:L$949,'09월 고철장입'!$A$14:$A$949,$A64,'09월 고철장입'!$C$14:$C$949,$B64))/1000)</f>
        <v/>
      </c>
      <c r="BB64" s="832" t="str">
        <f>IF($C64&lt;1,"",(AVERAGEIFS('09월 고철장입'!M$14:M$949,'09월 고철장입'!$A$14:$A$949,$A64,'09월 고철장입'!$C$14:$C$949,$B64))/1000)</f>
        <v/>
      </c>
      <c r="BC64" s="832" t="str">
        <f>IF($C64&lt;1,"",(AVERAGEIFS('09월 고철장입'!N$14:N$949,'09월 고철장입'!$A$14:$A$949,$A64,'09월 고철장입'!$C$14:$C$949,$B64))/1000)</f>
        <v/>
      </c>
      <c r="BD64" s="832" t="str">
        <f>IF($C64&lt;1,"",(AVERAGEIFS('09월 고철장입'!O$14:O$949,'09월 고철장입'!$A$14:$A$949,$A64,'09월 고철장입'!$C$14:$C$949,$B64))/1000)</f>
        <v/>
      </c>
      <c r="BE64" s="833" t="str">
        <f>IF($C64&lt;1,"",(AVERAGEIFS('09월 고철장입'!P$14:P$949,'09월 고철장입'!$A$14:$A$949,$A64,'09월 고철장입'!$C$14:$C$949,$B64))/1000)</f>
        <v/>
      </c>
      <c r="BF64" s="833" t="str">
        <f>IF($C64&lt;1,"",(AVERAGEIFS('09월 고철장입'!Q$14:Q$949,'09월 고철장입'!$A$14:$A$949,$A64,'09월 고철장입'!$C$14:$C$949,$B64))/1000)</f>
        <v/>
      </c>
      <c r="BG64" s="833" t="str">
        <f>IF($C64&lt;1,"",(AVERAGEIFS('09월 고철장입'!S$14:S$949,'09월 고철장입'!$A$14:$A$949,$A64,'09월 고철장입'!$C$14:$C$949,$B64))/1000)</f>
        <v/>
      </c>
      <c r="BH64" s="833" t="str">
        <f>IF($C64&lt;1,"",(AVERAGEIFS('09월 고철장입'!T$14:T$949,'09월 고철장입'!$A$14:$A$949,$A64,'09월 고철장입'!$C$14:$C$949,$B64))/1000)</f>
        <v/>
      </c>
      <c r="BI64" s="833" t="str">
        <f>IF($C64&lt;1,"",(AVERAGEIFS('09월 고철장입'!U$14:U$949,'09월 고철장입'!$A$14:$A$949,$A64,'09월 고철장입'!$C$14:$C$949,$B64))/1000)</f>
        <v/>
      </c>
      <c r="BJ64" s="833" t="str">
        <f>IF($C64&lt;1,"",(AVERAGEIFS('09월 고철장입'!V$14:V$949,'09월 고철장입'!$A$14:$A$949,$A64,'09월 고철장입'!$C$14:$C$949,$B64))/1000)</f>
        <v/>
      </c>
      <c r="BK64" s="833" t="str">
        <f>IF($C64&lt;1,"",(AVERAGEIFS('09월 고철장입'!W$14:W$949,'09월 고철장입'!$A$14:$A$949,$A64,'09월 고철장입'!$C$14:$C$949,$B64))/1000)</f>
        <v/>
      </c>
      <c r="BL64" s="833" t="str">
        <f>IF($C64&lt;1,"",(AVERAGEIFS('09월 고철장입'!Y$14:Y$949,'09월 고철장입'!$A$14:$A$949,$A64,'09월 고철장입'!$C$14:$C$949,$B64))/1000)</f>
        <v/>
      </c>
      <c r="BM64" s="833" t="str">
        <f>IF($C64&lt;1,"",(AVERAGEIFS('09월 고철장입'!AB$14:AB$949,'09월 고철장입'!$A$14:$A$949,$A64,'09월 고철장입'!$C$14:$C$949,$B64))/1000)</f>
        <v/>
      </c>
      <c r="BN64" s="833" t="str">
        <f>IF($C64&lt;1,"",(AVERAGEIFS('09월 고철장입'!AC$14:AC$949,'09월 고철장입'!$A$14:$A$949,$A64,'09월 고철장입'!$C$14:$C$949,$B64))/1000)</f>
        <v/>
      </c>
      <c r="BO64" s="833" t="str">
        <f>IF($C64&lt;1,"",(AVERAGEIFS('09월 고철장입'!AD$14:AD$949,'09월 고철장입'!$A$14:$A$949,$A64,'09월 고철장입'!$C$14:$C$949,$B64))/1000)</f>
        <v/>
      </c>
      <c r="BP64" s="833" t="str">
        <f>IF($C64&lt;1,"",(AVERAGEIFS('09월 고철장입'!AE$14:AE$949,'09월 고철장입'!$A$14:$A$949,$A64,'09월 고철장입'!$C$14:$C$949,$B64))/1000)</f>
        <v/>
      </c>
      <c r="BQ64" s="832" t="str">
        <f>IF($C64&lt;1,"",(AVERAGEIFS('09월 고철장입'!AF$14:AF$949,'09월 고철장입'!$A$14:$A$949,$A64,'09월 고철장입'!$C$14:$C$949,$B64))/1000)</f>
        <v/>
      </c>
      <c r="BR64" s="832" t="str">
        <f>IF($C64&lt;1,"",(AVERAGEIFS('09월 고철장입'!AG$14:AG$949,'09월 고철장입'!$A$14:$A$949,$A64,'09월 고철장입'!$C$14:$C$949,$B64))/1000)</f>
        <v/>
      </c>
      <c r="BS64" s="832" t="str">
        <f>IF($C64&lt;1,"",(AVERAGEIFS('09월 고철장입'!AH$14:AH$949,'09월 고철장입'!$A$14:$A$949,$A64,'09월 고철장입'!$C$14:$C$949,$B64))/1000)</f>
        <v/>
      </c>
      <c r="BT64" s="832" t="str">
        <f>IF($C64&lt;1,"",(AVERAGEIFS('09월 고철장입'!AI$14:AI$949,'09월 고철장입'!$A$14:$A$949,$A64,'09월 고철장입'!$C$14:$C$949,$B64))/1000)</f>
        <v/>
      </c>
      <c r="BU64" s="834" t="str">
        <f>IF($C64&lt;1,"",(AVERAGEIFS('09월 고철장입'!AJ$14:AJ$949,'09월 고철장입'!$A$14:$A$949,$A64,'09월 고철장입'!$C$14:$C$949,$B64))/1000)</f>
        <v/>
      </c>
      <c r="BV64" s="834" t="str">
        <f>IF($C64&lt;1,"",(AVERAGEIFS('09월 고철장입'!AK$14:AK$949,'09월 고철장입'!$A$14:$A$949,$A64,'09월 고철장입'!$C$14:$C$949,$B64)))</f>
        <v/>
      </c>
      <c r="BW64" s="834" t="str">
        <f>IF($C64&lt;1,"",(AVERAGEIFS('09월 고철장입'!AL$14:AL$949,'09월 고철장입'!$A$14:$A$949,$A64,'09월 고철장입'!$C$14:$C$949,$B64))*100)</f>
        <v/>
      </c>
      <c r="BX64" s="831" t="str">
        <f>IF($C64&lt;1,"",(AVERAGEIFS('09월 에너지'!G$14:G$949,'09월 에너지'!$A$14:$A$949,$A64,'09월 에너지'!$C$14:$C$949,$B64)))</f>
        <v/>
      </c>
      <c r="BY64" s="835" t="str">
        <f>IF($C64&lt;1,"",(AVERAGEIFS('09월 에너지'!H$14:H$949,'09월 에너지'!$A$14:$A$949,$A64,'09월 에너지'!$C$14:$C$949,$B64)))</f>
        <v/>
      </c>
      <c r="BZ64" s="831" t="str">
        <f>IF($C64&lt;1,"",(AVERAGEIFS('09월 에너지'!I$14:I$949,'09월 에너지'!$A$14:$A$949,$A64,'09월 에너지'!$C$14:$C$949,$B64)))</f>
        <v/>
      </c>
      <c r="CA64" s="835" t="str">
        <f>IF($C64&lt;1,"",(AVERAGEIFS('09월 에너지'!J$14:J$949,'09월 에너지'!$A$14:$A$949,$A64,'09월 에너지'!$C$14:$C$949,$B64)))</f>
        <v/>
      </c>
      <c r="CB64" s="831" t="str">
        <f>IF($C64&lt;1,"",(AVERAGEIFS('09월 에너지'!K$14:K$949,'09월 에너지'!$A$14:$A$949,$A64,'09월 에너지'!$C$14:$C$949,$B64)))</f>
        <v/>
      </c>
      <c r="CC64" s="835" t="str">
        <f>IF($C64&lt;1,"",(AVERAGEIFS('09월 에너지'!L$14:L$949,'09월 에너지'!$A$14:$A$949,$A64,'09월 에너지'!$C$14:$C$949,$B64)))</f>
        <v/>
      </c>
      <c r="CD64" s="831" t="str">
        <f>IF($C64&lt;1,"",(AVERAGEIFS('09월 에너지'!M$14:M$949,'09월 에너지'!$A$14:$A$949,$A64,'09월 에너지'!$C$14:$C$949,$B64)))</f>
        <v/>
      </c>
      <c r="CE64" s="835" t="str">
        <f>IF($C64&lt;1,"",(AVERAGEIFS('09월 에너지'!N$14:N$949,'09월 에너지'!$A$14:$A$949,$A64,'09월 에너지'!$C$14:$C$949,$B64)))</f>
        <v/>
      </c>
      <c r="CF64" s="831" t="str">
        <f>IF($C64&lt;1,"",(AVERAGEIFS('09월 에너지'!O$14:O$949,'09월 에너지'!$A$14:$A$949,$A64,'09월 에너지'!$C$14:$C$949,$B64)))</f>
        <v/>
      </c>
      <c r="CG64" s="831" t="str">
        <f>IF($C64&lt;1,"",(AVERAGEIFS('09월 에너지'!P$14:P$949,'09월 에너지'!$A$14:$A$949,$A64,'09월 에너지'!$C$14:$C$949,$B64)))</f>
        <v/>
      </c>
      <c r="CH64" s="831" t="str">
        <f>IF($C64&lt;1,"",(AVERAGEIFS('09월 에너지'!Q$14:Q$949,'09월 에너지'!$A$14:$A$949,$A64,'09월 에너지'!$C$14:$C$949,$B64)))</f>
        <v/>
      </c>
      <c r="CI64" s="831" t="str">
        <f>IF($C64&lt;1,"",(AVERAGEIFS('09월 에너지'!R$14:R$949,'09월 에너지'!$A$14:$A$949,$A64,'09월 에너지'!$C$14:$C$949,$B64)))</f>
        <v/>
      </c>
      <c r="CJ64" s="831" t="str">
        <f>IF($C64&lt;1,"",(AVERAGEIFS('09월 에너지'!S$14:S$949,'09월 에너지'!$A$14:$A$949,$A64,'09월 에너지'!$C$14:$C$949,$B64)))</f>
        <v/>
      </c>
      <c r="CK64" s="831" t="str">
        <f>IF($C64&lt;1,"",(AVERAGEIFS('09월 에너지'!T$14:T$949,'09월 에너지'!$A$14:$A$949,$A64,'09월 에너지'!$C$14:$C$949,$B64)))</f>
        <v/>
      </c>
      <c r="CL64" s="831" t="str">
        <f>IF($C64&lt;1,"",(AVERAGEIFS('09월 에너지'!U$14:U$949,'09월 에너지'!$A$14:$A$949,$A64,'09월 에너지'!$C$14:$C$949,$B64)))</f>
        <v/>
      </c>
      <c r="CM64" s="835" t="str">
        <f>IF($C64&lt;1,"",(AVERAGEIFS('09월 에너지'!V$14:V$949,'09월 에너지'!$A$14:$A$949,$A64,'09월 에너지'!$C$14:$C$949,$B64)))</f>
        <v/>
      </c>
      <c r="CN64" s="835" t="str">
        <f>IF($C64&lt;1,"",(AVERAGEIFS('09월 에너지'!W$14:W$949,'09월 에너지'!$A$14:$A$949,$A64,'09월 에너지'!$C$14:$C$949,$B64)))</f>
        <v/>
      </c>
      <c r="CO64" s="831" t="str">
        <f>IF($C64&lt;1,"",(AVERAGEIFS('09월 에너지'!X$14:X$949,'09월 에너지'!$A$14:$A$949,$A64,'09월 에너지'!$C$14:$C$949,$B64)))</f>
        <v/>
      </c>
      <c r="CP64" s="835" t="str">
        <f>IF($C64&lt;1,"",(AVERAGEIFS('09월 에너지'!Y$14:Y$949,'09월 에너지'!$A$14:$A$949,$A64,'09월 에너지'!$C$14:$C$949,$B64)))</f>
        <v/>
      </c>
      <c r="CQ64" s="835" t="str">
        <f>IF($C64&lt;1,"",(AVERAGEIFS('09월 에너지'!Z$14:Z$949,'09월 에너지'!$A$14:$A$949,$A64,'09월 에너지'!$C$14:$C$949,$B64)))</f>
        <v/>
      </c>
      <c r="CR64" s="835" t="str">
        <f>IF($C64&lt;1,"",(AVERAGEIFS('09월 에너지'!AA$14:AA$949,'09월 에너지'!$A$14:$A$949,$A64,'09월 에너지'!$C$14:$C$949,$B64)))</f>
        <v/>
      </c>
      <c r="CS64" s="835" t="str">
        <f>IF($C64&lt;1,"",(AVERAGEIFS('09월 에너지'!AB$14:AB$949,'09월 에너지'!$A$14:$A$949,$A64,'09월 에너지'!$C$14:$C$949,$B64)))</f>
        <v/>
      </c>
      <c r="CT64" s="831" t="str">
        <f>IF($C64&lt;1,"",(AVERAGEIFS('09월 에너지'!AC$14:AC$949,'09월 에너지'!$A$14:$A$949,$A64,'09월 에너지'!$C$14:$C$949,$B64)))</f>
        <v/>
      </c>
      <c r="CU64" s="836" t="str">
        <f>IF($C64&lt;1,"",(AVERAGEIFS('09월 에너지'!AD$14:AD$949,'09월 에너지'!$A$14:$A$949,$A64,'09월 에너지'!$C$14:$C$949,$B64)))</f>
        <v/>
      </c>
      <c r="CV64" s="837" t="str">
        <f>IF($C64&lt;1,"",(AVERAGEIFS('09월 에너지'!AE$14:AE$949,'09월 에너지'!$A$14:$A$949,$A64,'09월 에너지'!$C$14:$C$949,$B64)))</f>
        <v/>
      </c>
      <c r="CW64" s="831" t="str">
        <f>IF($C64&lt;1,"",(AVERAGEIFS('09월 에너지'!AF$14:AF$949,'09월 에너지'!$A$14:$A$949,$A64,'09월 에너지'!$C$14:$C$949,$B64)))</f>
        <v/>
      </c>
      <c r="CX64" s="831" t="str">
        <f>IF($C64&lt;1,"",(AVERAGEIFS('09월 에너지'!AG$14:AG$949,'09월 에너지'!$A$14:$A$949,$A64,'09월 에너지'!$C$14:$C$949,$B64)))</f>
        <v/>
      </c>
      <c r="CY64" s="831" t="str">
        <f>IF($C64&lt;1,"",(AVERAGEIFS('09월 에너지'!AH$14:AH$949,'09월 에너지'!$A$14:$A$949,$A64,'09월 에너지'!$C$14:$C$949,$B64)))</f>
        <v/>
      </c>
      <c r="CZ64" s="831" t="str">
        <f>IF($C64&lt;1,"",(AVERAGEIFS('09월 에너지'!AI$14:AI$949,'09월 에너지'!$A$14:$A$949,$A64,'09월 에너지'!$C$14:$C$949,$B64)))</f>
        <v/>
      </c>
      <c r="DA64" s="838" t="str">
        <f>IF($C64&lt;1,"",(AVERAGEIFS('09월 에너지'!AJ$14:AJ$949,'09월 에너지'!$A$14:$A$949,$A64,'09월 에너지'!$C$14:$C$949,$B64)))</f>
        <v/>
      </c>
    </row>
    <row r="65" spans="1:105" ht="13.5" customHeight="1" thickBot="1">
      <c r="A65" s="851">
        <f t="shared" si="2"/>
        <v>44938</v>
      </c>
      <c r="B65" s="852" t="s">
        <v>94</v>
      </c>
      <c r="C65" s="841">
        <f>COUNTIFS('09월 조업일지'!$A$12:$A$952,A61,'09월 조업일지'!$E$12:$E$952,B65)</f>
        <v>0</v>
      </c>
      <c r="D65" s="842" t="str">
        <f t="shared" si="13"/>
        <v/>
      </c>
      <c r="E65" s="842" t="str">
        <f>IF($C65&lt;1,"",(SUMIFS('09월 조업일지'!$K$12:$K$952,'09월 조업일지'!$A$12:$A$952,$A65,'09월 조업일지'!$E$12:$E$952,$B65)/$C65))</f>
        <v/>
      </c>
      <c r="F65" s="842" t="str">
        <f>IF($C65&lt;1,"",(AVERAGEIFS('09월 조업일지'!$J$12:$J$952,'09월 조업일지'!$A$12:$A$952,$A65,'09월 조업일지'!$E$12:$E$952,$B65)))</f>
        <v/>
      </c>
      <c r="G65" s="825" t="str">
        <f>IF($C65&lt;1,"",(AVERAGEIFS('09월 에너지'!$M$14:$M$949,'09월 에너지'!$A$14:$A$949,$A65,'09월 에너지'!$C$14:$C$949,$B65)))</f>
        <v/>
      </c>
      <c r="H65" s="844" t="str">
        <f>IF($C65&lt;1,"",(AVERAGEIFS('09월 조업일지'!$AJ$12:$AJ$952,'09월 조업일지'!$A$12:$A$952,$A65,'09월 조업일지'!$E$12:$E$952,$B65)))</f>
        <v/>
      </c>
      <c r="I65" s="844" t="str">
        <f>IF($C65&lt;1,"",(AVERAGEIFS('09월 조업일지'!$AL$12:$AL$952,'09월 조업일지'!$A$12:$A$952,$A65,'09월 조업일지'!$E$12:$E$952,$B65)))</f>
        <v/>
      </c>
      <c r="J65" s="845" t="str">
        <f>IF($C65&lt;1,"",(AVERAGEIFS('09월 화학성분'!G$12:G$949,'09월 화학성분'!$A$12:$A$949,$A65,'09월 화학성분'!$D$12:$D$949,$B65)))</f>
        <v/>
      </c>
      <c r="K65" s="845" t="str">
        <f>IF($C65&lt;1,"",(AVERAGEIFS('09월 화학성분'!H$12:H$949,'09월 화학성분'!$A$12:$A$949,$A65,'09월 화학성분'!$D$12:$D$949,$B65)))</f>
        <v/>
      </c>
      <c r="L65" s="845" t="str">
        <f>IF($C65&lt;1,"",(AVERAGEIFS('09월 화학성분'!I$12:I$949,'09월 화학성분'!$A$12:$A$949,$A65,'09월 화학성분'!$D$12:$D$949,$B65)))</f>
        <v/>
      </c>
      <c r="M65" s="845" t="str">
        <f>IF($C65&lt;1,"",(AVERAGEIFS('09월 화학성분'!J$12:J$949,'09월 화학성분'!$A$12:$A$949,$A65,'09월 화학성분'!$D$12:$D$949,$B65)))</f>
        <v/>
      </c>
      <c r="N65" s="845" t="str">
        <f>IF($C65&lt;1,"",(AVERAGEIFS('09월 화학성분'!K$12:K$949,'09월 화학성분'!$A$12:$A$949,$A65,'09월 화학성분'!$D$12:$D$949,$B65)))</f>
        <v/>
      </c>
      <c r="O65" s="845" t="str">
        <f>IF($C65&lt;1,"",(AVERAGEIFS('09월 화학성분'!L$12:L$949,'09월 화학성분'!$A$12:$A$949,$A65,'09월 화학성분'!$D$12:$D$949,$B65)))</f>
        <v/>
      </c>
      <c r="P65" s="845" t="str">
        <f>IF($C65&lt;1,"",(AVERAGEIFS('09월 화학성분'!M$12:M$949,'09월 화학성분'!$A$12:$A$949,$A65,'09월 화학성분'!$D$12:$D$949,$B65)))</f>
        <v/>
      </c>
      <c r="Q65" s="827" t="str">
        <f>IFERROR(IF($C65&lt;1,"",(AVERAGEIFS('09월 조업일지'!$AA$12:$AA$952,'09월 조업일지'!$A$12:$A$952,$A65,'09월 조업일지'!$E$12:$E$952,$B65))),"")</f>
        <v/>
      </c>
      <c r="R65" s="845" t="str">
        <f>IF($C65&lt;1,"",(AVERAGEIFS('09월 조업일지'!$AK$12:$AK$952,'09월 조업일지'!$A$12:$A$952,$A65,'09월 조업일지'!$E$12:$E$952,$B65)))</f>
        <v/>
      </c>
      <c r="S65" s="845"/>
      <c r="T65" s="845"/>
      <c r="U65" s="845" t="str">
        <f>IF($C65&lt;1,"",(AVERAGEIFS('09월 화학성분'!$G$12:$G$949,'09월 화학성분'!$A$12:$A$949,$A65,'09월 화학성분'!$D$12:$D$949,$B65)))</f>
        <v/>
      </c>
      <c r="V65" s="845" t="str">
        <f>IF($C65&lt;1,"",(AVERAGEIFS('09월 조업일지'!$AI$12:$AI$952,'09월 조업일지'!$A$12:$A$952,$A65,'09월 조업일지'!$E$12:$E$952,$B65)))</f>
        <v/>
      </c>
      <c r="W65" s="846" t="str">
        <f>IF($C65&lt;1,"",(AVERAGEIFS('09월 화학성분'!$AM$12:$AM$949,'09월 화학성분'!$A$12:$A$949,$A65,'09월 화학성분'!$D$12:$D$949,$B65)))</f>
        <v/>
      </c>
      <c r="X65" s="829" t="str">
        <f>IF($C65&lt;1,"",(AVERAGEIFS('09월 화학성분'!N$12:N$949,'09월 화학성분'!$A$12:$A$949,$A65,'09월 화학성분'!$D$12:$D$949,$B65)))</f>
        <v/>
      </c>
      <c r="Y65" s="829" t="str">
        <f>IF($C65&lt;1,"",(AVERAGEIFS('09월 화학성분'!O$12:O$949,'09월 화학성분'!$A$12:$A$949,$A65,'09월 화학성분'!$D$12:$D$949,$B65)))</f>
        <v/>
      </c>
      <c r="Z65" s="829" t="str">
        <f>IF($C65&lt;1,"",(AVERAGEIFS('09월 화학성분'!P$12:P$949,'09월 화학성분'!$A$12:$A$949,$A65,'09월 화학성분'!$D$12:$D$949,$B65)))</f>
        <v/>
      </c>
      <c r="AA65" s="829" t="str">
        <f>IF($C65&lt;1,"",(AVERAGEIFS('09월 화학성분'!Q$12:Q$949,'09월 화학성분'!$A$12:$A$949,$A65,'09월 화학성분'!$D$12:$D$949,$B65)))</f>
        <v/>
      </c>
      <c r="AB65" s="829" t="str">
        <f>IF($C65&lt;1,"",(AVERAGEIFS('09월 화학성분'!R$12:R$949,'09월 화학성분'!$A$12:$A$949,$A65,'09월 화학성분'!$D$12:$D$949,$B65)))</f>
        <v/>
      </c>
      <c r="AC65" s="829" t="str">
        <f>IF($C65&lt;1,"",(AVERAGEIFS('09월 화학성분'!U$12:U$949,'09월 화학성분'!$A$12:$A$949,$A65,'09월 화학성분'!$D$12:$D$949,$B65)))</f>
        <v/>
      </c>
      <c r="AD65" s="829" t="str">
        <f>IF($C65&lt;1,"",(AVERAGEIFS('09월 화학성분'!V$12:V$949,'09월 화학성분'!$A$12:$A$949,$A65,'09월 화학성분'!$D$12:$D$949,$B65)))</f>
        <v/>
      </c>
      <c r="AE65" s="829" t="str">
        <f>IF($C65&lt;1,"",(AVERAGEIFS('09월 화학성분'!W$12:W$949,'09월 화학성분'!$A$12:$A$949,$A65,'09월 화학성분'!$D$12:$D$949,$B65)))</f>
        <v/>
      </c>
      <c r="AF65" s="829" t="str">
        <f>IF($C65&lt;1,"",(AVERAGEIFS('09월 화학성분'!AA$12:AA$949,'09월 화학성분'!$A$12:$A$949,$A65,'09월 화학성분'!$D$12:$D$949,$B65)))</f>
        <v/>
      </c>
      <c r="AG65" s="829" t="str">
        <f>IF($C65&lt;1,"",(AVERAGEIFS('09월 화학성분'!#REF!,'09월 화학성분'!$A$12:$A$949,$A65,'09월 화학성분'!$D$12:$D$949,$B65)))</f>
        <v/>
      </c>
      <c r="AH65" s="829" t="str">
        <f>IF($C65&lt;1,"",(AVERAGEIFS('09월 화학성분'!AB$12:AB$949,'09월 화학성분'!$A$12:$A$949,$A65,'09월 화학성분'!$D$12:$D$949,$B65)))</f>
        <v/>
      </c>
      <c r="AI65" s="829" t="str">
        <f>IF($C65&lt;1,"",(AVERAGEIFS('09월 화학성분'!AC$12:AC$949,'09월 화학성분'!$A$12:$A$949,$A65,'09월 화학성분'!$D$12:$D$949,$B65)))</f>
        <v/>
      </c>
      <c r="AJ65" s="829" t="str">
        <f>IF($C65&lt;1,"",(AVERAGEIFS('09월 화학성분'!AD$12:AD$949,'09월 화학성분'!$A$12:$A$949,$A65,'09월 화학성분'!$D$12:$D$949,$B65)))</f>
        <v/>
      </c>
      <c r="AK65" s="829" t="str">
        <f>IF($C65&lt;1,"",(AVERAGEIFS('09월 화학성분'!AF$12:AF$949,'09월 화학성분'!$A$12:$A$949,$A65,'09월 화학성분'!$D$12:$D$949,$B65)))</f>
        <v/>
      </c>
      <c r="AL65" s="829" t="str">
        <f>IF($C65&lt;1,"",(AVERAGEIFS('09월 화학성분'!AG$12:AG$949,'09월 화학성분'!$A$12:$A$949,$A65,'09월 화학성분'!$D$12:$D$949,$B65)))</f>
        <v/>
      </c>
      <c r="AM65" s="829" t="str">
        <f>IF($C65&lt;1,"",(AVERAGEIFS('09월 화학성분'!AH$12:AH$949,'09월 화학성분'!$A$12:$A$949,$A65,'09월 화학성분'!$D$12:$D$949,$B65)))</f>
        <v/>
      </c>
      <c r="AN65" s="829" t="str">
        <f>IF($C65&lt;1,"",(AVERAGEIFS('09월 화학성분'!AI$12:AI$949,'09월 화학성분'!$A$12:$A$949,$A65,'09월 화학성분'!$D$12:$D$949,$B65)))</f>
        <v/>
      </c>
      <c r="AO65" s="829" t="str">
        <f>IF($C65&lt;1,"",(AVERAGEIFS('09월 화학성분'!AJ$12:AJ$949,'09월 화학성분'!$A$12:$A$949,$A65,'09월 화학성분'!$D$12:$D$949,$B65)))</f>
        <v/>
      </c>
      <c r="AP65" s="829" t="str">
        <f>IF($C65&lt;1,"",(AVERAGEIFS('09월 화학성분'!#REF!,'09월 화학성분'!$A$12:$A$949,$A65,'09월 화학성분'!$D$12:$D$949,$B65)))</f>
        <v/>
      </c>
      <c r="AQ65" s="829" t="str">
        <f>IF($C65&lt;1,"",(AVERAGEIFS('09월 화학성분'!AL$12:AL$949,'09월 화학성분'!$A$12:$A$949,$A65,'09월 화학성분'!$D$12:$D$949,$B65)))</f>
        <v/>
      </c>
      <c r="AR65" s="829" t="str">
        <f>IF($C65&lt;1,"",(AVERAGEIFS('09월 화학성분'!AM$12:AM$949,'09월 화학성분'!$A$12:$A$949,$A65,'09월 화학성분'!$D$12:$D$949,$B65)))</f>
        <v/>
      </c>
      <c r="AS65" s="830" t="str">
        <f>IF($C65&lt;1,"",(AVERAGEIFS('09월 화학성분'!AN$12:AN$949,'09월 화학성분'!$A$12:$A$949,$A65,'09월 화학성분'!$D$12:$D$949,$B65)))</f>
        <v/>
      </c>
      <c r="AT65" s="830" t="str">
        <f>IF($C65&lt;1,"",(AVERAGEIFS('09월 화학성분'!AO$12:AO$949,'09월 화학성분'!$A$12:$A$949,$A65,'09월 화학성분'!$D$12:$D$949,$B65)))</f>
        <v/>
      </c>
      <c r="AU65" s="831" t="str">
        <f>IF($C65&lt;1,"",(AVERAGEIFS('09월 화학성분'!AP$12:AP$949,'09월 화학성분'!$A$12:$A$949,$A65,'09월 화학성분'!$D$12:$D$949,$B65)))</f>
        <v/>
      </c>
      <c r="AV65" s="832" t="str">
        <f>IF($C65&lt;1,"",(AVERAGEIFS('09월 고철장입'!G$14:G$949,'09월 고철장입'!$A$14:$A$949,$A65,'09월 고철장입'!$C$14:$C$949,$B65))/1000)</f>
        <v/>
      </c>
      <c r="AW65" s="832" t="str">
        <f>IF($C65&lt;1,"",(AVERAGEIFS('09월 고철장입'!H$14:H$949,'09월 고철장입'!$A$14:$A$949,$A65,'09월 고철장입'!$C$14:$C$949,$B65))/1000)</f>
        <v/>
      </c>
      <c r="AX65" s="832" t="str">
        <f>IF($C65&lt;1,"",(AVERAGEIFS('09월 고철장입'!I$14:I$949,'09월 고철장입'!$A$14:$A$949,$A65,'09월 고철장입'!$C$14:$C$949,$B65))/1000)</f>
        <v/>
      </c>
      <c r="AY65" s="832" t="str">
        <f>IF($C65&lt;1,"",(AVERAGEIFS('09월 고철장입'!J$14:J$949,'09월 고철장입'!$A$14:$A$949,$A65,'09월 고철장입'!$C$14:$C$949,$B65))/1000)</f>
        <v/>
      </c>
      <c r="AZ65" s="832" t="str">
        <f>IF($C65&lt;1,"",(AVERAGEIFS('09월 고철장입'!K$14:K$949,'09월 고철장입'!$A$14:$A$949,$A65,'09월 고철장입'!$C$14:$C$949,$B65))/1000)</f>
        <v/>
      </c>
      <c r="BA65" s="832" t="str">
        <f>IF($C65&lt;1,"",(AVERAGEIFS('09월 고철장입'!L$14:L$949,'09월 고철장입'!$A$14:$A$949,$A65,'09월 고철장입'!$C$14:$C$949,$B65))/1000)</f>
        <v/>
      </c>
      <c r="BB65" s="832" t="str">
        <f>IF($C65&lt;1,"",(AVERAGEIFS('09월 고철장입'!M$14:M$949,'09월 고철장입'!$A$14:$A$949,$A65,'09월 고철장입'!$C$14:$C$949,$B65))/1000)</f>
        <v/>
      </c>
      <c r="BC65" s="832" t="str">
        <f>IF($C65&lt;1,"",(AVERAGEIFS('09월 고철장입'!N$14:N$949,'09월 고철장입'!$A$14:$A$949,$A65,'09월 고철장입'!$C$14:$C$949,$B65))/1000)</f>
        <v/>
      </c>
      <c r="BD65" s="832" t="str">
        <f>IF($C65&lt;1,"",(AVERAGEIFS('09월 고철장입'!O$14:O$949,'09월 고철장입'!$A$14:$A$949,$A65,'09월 고철장입'!$C$14:$C$949,$B65))/1000)</f>
        <v/>
      </c>
      <c r="BE65" s="833" t="str">
        <f>IF($C65&lt;1,"",(AVERAGEIFS('09월 고철장입'!P$14:P$949,'09월 고철장입'!$A$14:$A$949,$A65,'09월 고철장입'!$C$14:$C$949,$B65))/1000)</f>
        <v/>
      </c>
      <c r="BF65" s="833" t="str">
        <f>IF($C65&lt;1,"",(AVERAGEIFS('09월 고철장입'!Q$14:Q$949,'09월 고철장입'!$A$14:$A$949,$A65,'09월 고철장입'!$C$14:$C$949,$B65))/1000)</f>
        <v/>
      </c>
      <c r="BG65" s="833" t="str">
        <f>IF($C65&lt;1,"",(AVERAGEIFS('09월 고철장입'!S$14:S$949,'09월 고철장입'!$A$14:$A$949,$A65,'09월 고철장입'!$C$14:$C$949,$B65))/1000)</f>
        <v/>
      </c>
      <c r="BH65" s="833" t="str">
        <f>IF($C65&lt;1,"",(AVERAGEIFS('09월 고철장입'!T$14:T$949,'09월 고철장입'!$A$14:$A$949,$A65,'09월 고철장입'!$C$14:$C$949,$B65))/1000)</f>
        <v/>
      </c>
      <c r="BI65" s="833" t="str">
        <f>IF($C65&lt;1,"",(AVERAGEIFS('09월 고철장입'!U$14:U$949,'09월 고철장입'!$A$14:$A$949,$A65,'09월 고철장입'!$C$14:$C$949,$B65))/1000)</f>
        <v/>
      </c>
      <c r="BJ65" s="833" t="str">
        <f>IF($C65&lt;1,"",(AVERAGEIFS('09월 고철장입'!V$14:V$949,'09월 고철장입'!$A$14:$A$949,$A65,'09월 고철장입'!$C$14:$C$949,$B65))/1000)</f>
        <v/>
      </c>
      <c r="BK65" s="833" t="str">
        <f>IF($C65&lt;1,"",(AVERAGEIFS('09월 고철장입'!W$14:W$949,'09월 고철장입'!$A$14:$A$949,$A65,'09월 고철장입'!$C$14:$C$949,$B65))/1000)</f>
        <v/>
      </c>
      <c r="BL65" s="833" t="str">
        <f>IF($C65&lt;1,"",(AVERAGEIFS('09월 고철장입'!Y$14:Y$949,'09월 고철장입'!$A$14:$A$949,$A65,'09월 고철장입'!$C$14:$C$949,$B65))/1000)</f>
        <v/>
      </c>
      <c r="BM65" s="833" t="str">
        <f>IF($C65&lt;1,"",(AVERAGEIFS('09월 고철장입'!AB$14:AB$949,'09월 고철장입'!$A$14:$A$949,$A65,'09월 고철장입'!$C$14:$C$949,$B65))/1000)</f>
        <v/>
      </c>
      <c r="BN65" s="833" t="str">
        <f>IF($C65&lt;1,"",(AVERAGEIFS('09월 고철장입'!AC$14:AC$949,'09월 고철장입'!$A$14:$A$949,$A65,'09월 고철장입'!$C$14:$C$949,$B65))/1000)</f>
        <v/>
      </c>
      <c r="BO65" s="833" t="str">
        <f>IF($C65&lt;1,"",(AVERAGEIFS('09월 고철장입'!AD$14:AD$949,'09월 고철장입'!$A$14:$A$949,$A65,'09월 고철장입'!$C$14:$C$949,$B65))/1000)</f>
        <v/>
      </c>
      <c r="BP65" s="833" t="str">
        <f>IF($C65&lt;1,"",(AVERAGEIFS('09월 고철장입'!AE$14:AE$949,'09월 고철장입'!$A$14:$A$949,$A65,'09월 고철장입'!$C$14:$C$949,$B65))/1000)</f>
        <v/>
      </c>
      <c r="BQ65" s="832" t="str">
        <f>IF($C65&lt;1,"",(AVERAGEIFS('09월 고철장입'!AF$14:AF$949,'09월 고철장입'!$A$14:$A$949,$A65,'09월 고철장입'!$C$14:$C$949,$B65))/1000)</f>
        <v/>
      </c>
      <c r="BR65" s="832" t="str">
        <f>IF($C65&lt;1,"",(AVERAGEIFS('09월 고철장입'!AG$14:AG$949,'09월 고철장입'!$A$14:$A$949,$A65,'09월 고철장입'!$C$14:$C$949,$B65))/1000)</f>
        <v/>
      </c>
      <c r="BS65" s="832" t="str">
        <f>IF($C65&lt;1,"",(AVERAGEIFS('09월 고철장입'!AH$14:AH$949,'09월 고철장입'!$A$14:$A$949,$A65,'09월 고철장입'!$C$14:$C$949,$B65))/1000)</f>
        <v/>
      </c>
      <c r="BT65" s="832" t="str">
        <f>IF($C65&lt;1,"",(AVERAGEIFS('09월 고철장입'!AI$14:AI$949,'09월 고철장입'!$A$14:$A$949,$A65,'09월 고철장입'!$C$14:$C$949,$B65))/1000)</f>
        <v/>
      </c>
      <c r="BU65" s="834" t="str">
        <f>IF($C65&lt;1,"",(AVERAGEIFS('09월 고철장입'!AJ$14:AJ$949,'09월 고철장입'!$A$14:$A$949,$A65,'09월 고철장입'!$C$14:$C$949,$B65))/1000)</f>
        <v/>
      </c>
      <c r="BV65" s="834" t="str">
        <f>IF($C65&lt;1,"",(AVERAGEIFS('09월 고철장입'!AK$14:AK$949,'09월 고철장입'!$A$14:$A$949,$A65,'09월 고철장입'!$C$14:$C$949,$B65)))</f>
        <v/>
      </c>
      <c r="BW65" s="834" t="str">
        <f>IF($C65&lt;1,"",(AVERAGEIFS('09월 고철장입'!AL$14:AL$949,'09월 고철장입'!$A$14:$A$949,$A65,'09월 고철장입'!$C$14:$C$949,$B65))*100)</f>
        <v/>
      </c>
      <c r="BX65" s="831" t="str">
        <f>IF($C65&lt;1,"",(AVERAGEIFS('09월 에너지'!G$14:G$949,'09월 에너지'!$A$14:$A$949,$A65,'09월 에너지'!$C$14:$C$949,$B65)))</f>
        <v/>
      </c>
      <c r="BY65" s="835" t="str">
        <f>IF($C65&lt;1,"",(AVERAGEIFS('09월 에너지'!H$14:H$949,'09월 에너지'!$A$14:$A$949,$A65,'09월 에너지'!$C$14:$C$949,$B65)))</f>
        <v/>
      </c>
      <c r="BZ65" s="831" t="str">
        <f>IF($C65&lt;1,"",(AVERAGEIFS('09월 에너지'!I$14:I$949,'09월 에너지'!$A$14:$A$949,$A65,'09월 에너지'!$C$14:$C$949,$B65)))</f>
        <v/>
      </c>
      <c r="CA65" s="835" t="str">
        <f>IF($C65&lt;1,"",(AVERAGEIFS('09월 에너지'!J$14:J$949,'09월 에너지'!$A$14:$A$949,$A65,'09월 에너지'!$C$14:$C$949,$B65)))</f>
        <v/>
      </c>
      <c r="CB65" s="831" t="str">
        <f>IF($C65&lt;1,"",(AVERAGEIFS('09월 에너지'!K$14:K$949,'09월 에너지'!$A$14:$A$949,$A65,'09월 에너지'!$C$14:$C$949,$B65)))</f>
        <v/>
      </c>
      <c r="CC65" s="835" t="str">
        <f>IF($C65&lt;1,"",(AVERAGEIFS('09월 에너지'!L$14:L$949,'09월 에너지'!$A$14:$A$949,$A65,'09월 에너지'!$C$14:$C$949,$B65)))</f>
        <v/>
      </c>
      <c r="CD65" s="831" t="str">
        <f>IF($C65&lt;1,"",(AVERAGEIFS('09월 에너지'!M$14:M$949,'09월 에너지'!$A$14:$A$949,$A65,'09월 에너지'!$C$14:$C$949,$B65)))</f>
        <v/>
      </c>
      <c r="CE65" s="835" t="str">
        <f>IF($C65&lt;1,"",(AVERAGEIFS('09월 에너지'!N$14:N$949,'09월 에너지'!$A$14:$A$949,$A65,'09월 에너지'!$C$14:$C$949,$B65)))</f>
        <v/>
      </c>
      <c r="CF65" s="831" t="str">
        <f>IF($C65&lt;1,"",(AVERAGEIFS('09월 에너지'!O$14:O$949,'09월 에너지'!$A$14:$A$949,$A65,'09월 에너지'!$C$14:$C$949,$B65)))</f>
        <v/>
      </c>
      <c r="CG65" s="831" t="str">
        <f>IF($C65&lt;1,"",(AVERAGEIFS('09월 에너지'!P$14:P$949,'09월 에너지'!$A$14:$A$949,$A65,'09월 에너지'!$C$14:$C$949,$B65)))</f>
        <v/>
      </c>
      <c r="CH65" s="831" t="str">
        <f>IF($C65&lt;1,"",(AVERAGEIFS('09월 에너지'!Q$14:Q$949,'09월 에너지'!$A$14:$A$949,$A65,'09월 에너지'!$C$14:$C$949,$B65)))</f>
        <v/>
      </c>
      <c r="CI65" s="831" t="str">
        <f>IF($C65&lt;1,"",(AVERAGEIFS('09월 에너지'!R$14:R$949,'09월 에너지'!$A$14:$A$949,$A65,'09월 에너지'!$C$14:$C$949,$B65)))</f>
        <v/>
      </c>
      <c r="CJ65" s="831" t="str">
        <f>IF($C65&lt;1,"",(AVERAGEIFS('09월 에너지'!S$14:S$949,'09월 에너지'!$A$14:$A$949,$A65,'09월 에너지'!$C$14:$C$949,$B65)))</f>
        <v/>
      </c>
      <c r="CK65" s="831" t="str">
        <f>IF($C65&lt;1,"",(AVERAGEIFS('09월 에너지'!T$14:T$949,'09월 에너지'!$A$14:$A$949,$A65,'09월 에너지'!$C$14:$C$949,$B65)))</f>
        <v/>
      </c>
      <c r="CL65" s="831" t="str">
        <f>IF($C65&lt;1,"",(AVERAGEIFS('09월 에너지'!U$14:U$949,'09월 에너지'!$A$14:$A$949,$A65,'09월 에너지'!$C$14:$C$949,$B65)))</f>
        <v/>
      </c>
      <c r="CM65" s="835" t="str">
        <f>IF($C65&lt;1,"",(AVERAGEIFS('09월 에너지'!V$14:V$949,'09월 에너지'!$A$14:$A$949,$A65,'09월 에너지'!$C$14:$C$949,$B65)))</f>
        <v/>
      </c>
      <c r="CN65" s="835" t="str">
        <f>IF($C65&lt;1,"",(AVERAGEIFS('09월 에너지'!W$14:W$949,'09월 에너지'!$A$14:$A$949,$A65,'09월 에너지'!$C$14:$C$949,$B65)))</f>
        <v/>
      </c>
      <c r="CO65" s="831" t="str">
        <f>IF($C65&lt;1,"",(AVERAGEIFS('09월 에너지'!X$14:X$949,'09월 에너지'!$A$14:$A$949,$A65,'09월 에너지'!$C$14:$C$949,$B65)))</f>
        <v/>
      </c>
      <c r="CP65" s="835" t="str">
        <f>IF($C65&lt;1,"",(AVERAGEIFS('09월 에너지'!Y$14:Y$949,'09월 에너지'!$A$14:$A$949,$A65,'09월 에너지'!$C$14:$C$949,$B65)))</f>
        <v/>
      </c>
      <c r="CQ65" s="835" t="str">
        <f>IF($C65&lt;1,"",(AVERAGEIFS('09월 에너지'!Z$14:Z$949,'09월 에너지'!$A$14:$A$949,$A65,'09월 에너지'!$C$14:$C$949,$B65)))</f>
        <v/>
      </c>
      <c r="CR65" s="835" t="str">
        <f>IF($C65&lt;1,"",(AVERAGEIFS('09월 에너지'!AA$14:AA$949,'09월 에너지'!$A$14:$A$949,$A65,'09월 에너지'!$C$14:$C$949,$B65)))</f>
        <v/>
      </c>
      <c r="CS65" s="835" t="str">
        <f>IF($C65&lt;1,"",(AVERAGEIFS('09월 에너지'!AB$14:AB$949,'09월 에너지'!$A$14:$A$949,$A65,'09월 에너지'!$C$14:$C$949,$B65)))</f>
        <v/>
      </c>
      <c r="CT65" s="831" t="str">
        <f>IF($C65&lt;1,"",(AVERAGEIFS('09월 에너지'!AC$14:AC$949,'09월 에너지'!$A$14:$A$949,$A65,'09월 에너지'!$C$14:$C$949,$B65)))</f>
        <v/>
      </c>
      <c r="CU65" s="836" t="str">
        <f>IF($C65&lt;1,"",(AVERAGEIFS('09월 에너지'!AD$14:AD$949,'09월 에너지'!$A$14:$A$949,$A65,'09월 에너지'!$C$14:$C$949,$B65)))</f>
        <v/>
      </c>
      <c r="CV65" s="837" t="str">
        <f>IF($C65&lt;1,"",(AVERAGEIFS('09월 에너지'!AE$14:AE$949,'09월 에너지'!$A$14:$A$949,$A65,'09월 에너지'!$C$14:$C$949,$B65)))</f>
        <v/>
      </c>
      <c r="CW65" s="831" t="str">
        <f>IF($C65&lt;1,"",(AVERAGEIFS('09월 에너지'!AF$14:AF$949,'09월 에너지'!$A$14:$A$949,$A65,'09월 에너지'!$C$14:$C$949,$B65)))</f>
        <v/>
      </c>
      <c r="CX65" s="831" t="str">
        <f>IF($C65&lt;1,"",(AVERAGEIFS('09월 에너지'!AG$14:AG$949,'09월 에너지'!$A$14:$A$949,$A65,'09월 에너지'!$C$14:$C$949,$B65)))</f>
        <v/>
      </c>
      <c r="CY65" s="831" t="str">
        <f>IF($C65&lt;1,"",(AVERAGEIFS('09월 에너지'!AH$14:AH$949,'09월 에너지'!$A$14:$A$949,$A65,'09월 에너지'!$C$14:$C$949,$B65)))</f>
        <v/>
      </c>
      <c r="CZ65" s="831" t="str">
        <f>IF($C65&lt;1,"",(AVERAGEIFS('09월 에너지'!AI$14:AI$949,'09월 에너지'!$A$14:$A$949,$A65,'09월 에너지'!$C$14:$C$949,$B65)))</f>
        <v/>
      </c>
      <c r="DA65" s="838" t="str">
        <f>IF($C65&lt;1,"",(AVERAGEIFS('09월 에너지'!AJ$14:AJ$949,'09월 에너지'!$A$14:$A$949,$A65,'09월 에너지'!$C$14:$C$949,$B65)))</f>
        <v/>
      </c>
    </row>
    <row r="66" spans="1:105" ht="13.5" customHeight="1">
      <c r="A66" s="847">
        <f>A61+1</f>
        <v>44939</v>
      </c>
      <c r="B66" s="848" t="s">
        <v>31</v>
      </c>
      <c r="C66" s="810">
        <f>COUNTIF('09월 조업일지'!$A$12:$A$952,A66)</f>
        <v>0</v>
      </c>
      <c r="D66" s="787" t="str">
        <f>IF(C66&lt;1,"",F66-E66)</f>
        <v/>
      </c>
      <c r="E66" s="787" t="str">
        <f>IF($C66&lt;1,"",(SUMIF('09월 조업일지'!$A$12:$A$952,$A66,'09월 조업일지'!$K$12:$K$952))/C66)</f>
        <v/>
      </c>
      <c r="F66" s="787" t="str">
        <f>IF($C66&lt;1,"",AVERAGEIF('09월 조업일지'!$A$12:$A$952,$A66,'09월 조업일지'!$J$12:$J$952))</f>
        <v/>
      </c>
      <c r="G66" s="811" t="str">
        <f>IF($C66&lt;1,"",AVERAGEIF('09월 에너지'!$A$14:$A$949,$A66,'09월 에너지'!$M$14:M$949))</f>
        <v/>
      </c>
      <c r="H66" s="812" t="str">
        <f>IF($C66&lt;1,"",AVERAGEIF('09월 조업일지'!$A$12:$A$952,$A66,'09월 조업일지'!$AJ$12:$AJ$952))</f>
        <v/>
      </c>
      <c r="I66" s="812" t="str">
        <f>IF($C66&lt;1,"",AVERAGEIF('09월 조업일지'!$A$12:$A$952,$A66,'09월 조업일지'!$AL$12:$AL$952))</f>
        <v/>
      </c>
      <c r="J66" s="813" t="str">
        <f>IF($C66&lt;1,"",AVERAGEIF('09월 화학성분'!$A$12:$A$949,$A66,'09월 화학성분'!G$12:G$949))</f>
        <v/>
      </c>
      <c r="K66" s="813" t="str">
        <f>IF($C66&lt;1,"",AVERAGEIF('09월 화학성분'!$A$12:$A$949,$A66,'09월 화학성분'!H$12:H$949))</f>
        <v/>
      </c>
      <c r="L66" s="813" t="str">
        <f>IF($C66&lt;1,"",AVERAGEIF('09월 화학성분'!$A$12:$A$949,$A66,'09월 화학성분'!I$12:I$949))</f>
        <v/>
      </c>
      <c r="M66" s="813" t="str">
        <f>IF($C66&lt;1,"",AVERAGEIF('09월 화학성분'!$A$12:$A$949,$A66,'09월 화학성분'!J$12:J$949))</f>
        <v/>
      </c>
      <c r="N66" s="813" t="str">
        <f>IF($C66&lt;1,"",AVERAGEIF('09월 화학성분'!$A$12:$A$949,$A66,'09월 화학성분'!K$12:K$949))</f>
        <v/>
      </c>
      <c r="O66" s="813" t="str">
        <f>IF($C66&lt;1,"",AVERAGEIF('09월 화학성분'!$A$12:$A$949,$A66,'09월 화학성분'!L$12:L$949))</f>
        <v/>
      </c>
      <c r="P66" s="813" t="str">
        <f>IF($C66&lt;1,"",AVERAGEIF('09월 화학성분'!$A$12:$A$949,$A66,'09월 화학성분'!M$12:M$949))</f>
        <v/>
      </c>
      <c r="Q66" s="814" t="str">
        <f>IF($C66&lt;1,"",AVERAGEIF('09월 조업일지'!$A$12:$A$952,$A66,'09월 조업일지'!$AA$12:$AA$952))</f>
        <v/>
      </c>
      <c r="R66" s="814" t="str">
        <f>IF($C66&lt;1,"",AVERAGEIF('09월 조업일지'!$A$12:$A$952,$A66,'09월 조업일지'!$AK$12:$AK$952))</f>
        <v/>
      </c>
      <c r="S66" s="814"/>
      <c r="T66" s="814"/>
      <c r="U66" s="813" t="str">
        <f>IF($C66&lt;1,"",AVERAGEIF('09월 화학성분'!$A$12:$A$949,$A66,'09월 화학성분'!$G$12:$G$949))</f>
        <v/>
      </c>
      <c r="V66" s="814" t="str">
        <f>IF($C66&lt;1,"",AVERAGEIF('09월 조업일지'!$A$12:$A$952,$A66,'09월 조업일지'!$AI$12:$AI$952))</f>
        <v/>
      </c>
      <c r="W66" s="813" t="str">
        <f>IF($C66&lt;1,"",AVERAGEIF('09월 화학성분'!$A$12:$A$949,$A66,'09월 화학성분'!$AM$12:$AM$949))</f>
        <v/>
      </c>
      <c r="X66" s="815" t="str">
        <f>IF($C66&lt;1,"",AVERAGEIF('09월 화학성분'!$A$12:$A$949,$A66,'09월 화학성분'!N$12:N$949))</f>
        <v/>
      </c>
      <c r="Y66" s="815" t="str">
        <f>IF($C66&lt;1,"",AVERAGEIF('09월 화학성분'!$A$12:$A$949,$A66,'09월 화학성분'!O$12:O$949))</f>
        <v/>
      </c>
      <c r="Z66" s="815" t="str">
        <f>IF($C66&lt;1,"",AVERAGEIF('09월 화학성분'!$A$12:$A$949,$A66,'09월 화학성분'!P$12:P$949))</f>
        <v/>
      </c>
      <c r="AA66" s="815" t="str">
        <f>IF($C66&lt;1,"",AVERAGEIF('09월 화학성분'!$A$12:$A$949,$A66,'09월 화학성분'!Q$12:Q$949))</f>
        <v/>
      </c>
      <c r="AB66" s="815" t="str">
        <f>IF($C66&lt;1,"",AVERAGEIF('09월 화학성분'!$A$12:$A$949,$A66,'09월 화학성분'!R$12:R$949))</f>
        <v/>
      </c>
      <c r="AC66" s="815" t="str">
        <f>IF($C66&lt;1,"",AVERAGEIF('09월 화학성분'!$A$12:$A$949,$A66,'09월 화학성분'!U$12:U$949))</f>
        <v/>
      </c>
      <c r="AD66" s="815" t="str">
        <f>IF($C66&lt;1,"",AVERAGEIF('09월 화학성분'!$A$12:$A$949,$A66,'09월 화학성분'!V$12:V$949))</f>
        <v/>
      </c>
      <c r="AE66" s="815" t="str">
        <f>IF($C66&lt;1,"",AVERAGEIF('09월 화학성분'!$A$12:$A$949,$A66,'09월 화학성분'!W$12:W$949))</f>
        <v/>
      </c>
      <c r="AF66" s="815" t="str">
        <f>IF($C66&lt;1,"",AVERAGEIF('09월 화학성분'!$A$12:$A$949,$A66,'09월 화학성분'!AA$12:AA$949))</f>
        <v/>
      </c>
      <c r="AG66" s="815" t="str">
        <f>IF($C66&lt;1,"",AVERAGEIF('09월 화학성분'!$A$12:$A$949,$A66,'09월 화학성분'!#REF!))</f>
        <v/>
      </c>
      <c r="AH66" s="815" t="str">
        <f>IF($C66&lt;1,"",AVERAGEIF('09월 화학성분'!$A$12:$A$949,$A66,'09월 화학성분'!AB$12:AB$949))</f>
        <v/>
      </c>
      <c r="AI66" s="815" t="str">
        <f>IF($C66&lt;1,"",AVERAGEIF('09월 화학성분'!$A$12:$A$949,$A66,'09월 화학성분'!AC$12:AC$949))</f>
        <v/>
      </c>
      <c r="AJ66" s="815" t="str">
        <f>IF($C66&lt;1,"",AVERAGEIF('09월 화학성분'!$A$12:$A$949,$A66,'09월 화학성분'!AD$12:AD$949))</f>
        <v/>
      </c>
      <c r="AK66" s="815" t="str">
        <f>IF($C66&lt;1,"",AVERAGEIF('09월 화학성분'!$A$12:$A$949,$A66,'09월 화학성분'!AF$12:AF$949))</f>
        <v/>
      </c>
      <c r="AL66" s="815" t="str">
        <f>IF($C66&lt;1,"",AVERAGEIF('09월 화학성분'!$A$12:$A$949,$A66,'09월 화학성분'!AG$12:AG$949))</f>
        <v/>
      </c>
      <c r="AM66" s="815" t="str">
        <f>IF($C66&lt;1,"",AVERAGEIF('09월 화학성분'!$A$12:$A$949,$A66,'09월 화학성분'!AH$12:AH$949))</f>
        <v/>
      </c>
      <c r="AN66" s="815" t="str">
        <f>IF($C66&lt;1,"",AVERAGEIF('09월 화학성분'!$A$12:$A$949,$A66,'09월 화학성분'!AI$12:AI$949))</f>
        <v/>
      </c>
      <c r="AO66" s="815" t="str">
        <f>IF($C66&lt;1,"",AVERAGEIF('09월 화학성분'!$A$12:$A$949,$A66,'09월 화학성분'!AJ$12:AJ$949))</f>
        <v/>
      </c>
      <c r="AP66" s="815" t="str">
        <f>IF($C66&lt;1,"",AVERAGEIF('09월 화학성분'!$A$12:$A$949,$A66,'09월 화학성분'!#REF!))</f>
        <v/>
      </c>
      <c r="AQ66" s="815" t="str">
        <f>IF($C66&lt;1,"",AVERAGEIF('09월 화학성분'!$A$12:$A$949,$A66,'09월 화학성분'!AL$12:AL$949))</f>
        <v/>
      </c>
      <c r="AR66" s="815" t="str">
        <f>IF($C66&lt;1,"",AVERAGEIF('09월 화학성분'!$A$12:$A$949,$A66,'09월 화학성분'!AM$12:AM$949))</f>
        <v/>
      </c>
      <c r="AS66" s="816" t="str">
        <f>IF($C66&lt;1,"",AVERAGEIF('09월 화학성분'!$A$12:$A$949,$A66,'09월 화학성분'!AN$12:AN$949))</f>
        <v/>
      </c>
      <c r="AT66" s="816" t="str">
        <f>IF($C66&lt;1,"",AVERAGEIF('09월 화학성분'!$A$12:$A$949,$A66,'09월 화학성분'!AO$12:AO$949))</f>
        <v/>
      </c>
      <c r="AU66" s="815" t="str">
        <f>IF($C66&lt;1,"",AVERAGEIF('09월 화학성분'!$A$12:$A$949,$A66,'09월 화학성분'!AP$12:AP$949))</f>
        <v/>
      </c>
      <c r="AV66" s="815" t="str">
        <f>IF($C66&lt;1,"",AVERAGEIF('09월 고철장입'!$A$14:$A$949,$A66,'09월 고철장입'!G$14:G$949)/1000)</f>
        <v/>
      </c>
      <c r="AW66" s="815" t="str">
        <f>IF($C66&lt;1,"",AVERAGEIF('09월 고철장입'!$A$14:$A$949,$A66,'09월 고철장입'!H$14:H$949)/1000)</f>
        <v/>
      </c>
      <c r="AX66" s="815" t="str">
        <f>IF($C66&lt;1,"",AVERAGEIF('09월 고철장입'!$A$14:$A$949,$A66,'09월 고철장입'!I$14:I$949)/1000)</f>
        <v/>
      </c>
      <c r="AY66" s="815" t="str">
        <f>IF($C66&lt;1,"",AVERAGEIF('09월 고철장입'!$A$14:$A$949,$A66,'09월 고철장입'!J$14:J$949)/1000)</f>
        <v/>
      </c>
      <c r="AZ66" s="815" t="str">
        <f>IF($C66&lt;1,"",AVERAGEIF('09월 고철장입'!$A$14:$A$949,$A66,'09월 고철장입'!K$14:K$949)/1000)</f>
        <v/>
      </c>
      <c r="BA66" s="815" t="str">
        <f>IF($C66&lt;1,"",AVERAGEIF('09월 고철장입'!$A$14:$A$949,$A66,'09월 고철장입'!L$14:L$949)/1000)</f>
        <v/>
      </c>
      <c r="BB66" s="815" t="str">
        <f>IF($C66&lt;1,"",AVERAGEIF('09월 고철장입'!$A$14:$A$949,$A66,'09월 고철장입'!M$14:M$949)/1000)</f>
        <v/>
      </c>
      <c r="BC66" s="815" t="str">
        <f>IF($C66&lt;1,"",AVERAGEIF('09월 고철장입'!$A$14:$A$949,$A66,'09월 고철장입'!N$14:N$949)/1000)</f>
        <v/>
      </c>
      <c r="BD66" s="815" t="str">
        <f>IF($C66&lt;1,"",AVERAGEIF('09월 고철장입'!$A$14:$A$949,$A66,'09월 고철장입'!O$14:O$949)/1000)</f>
        <v/>
      </c>
      <c r="BE66" s="815" t="str">
        <f>IF($C66&lt;1,"",AVERAGEIF('09월 고철장입'!$A$14:$A$949,$A66,'09월 고철장입'!P$14:P$949)/1000)</f>
        <v/>
      </c>
      <c r="BF66" s="815" t="str">
        <f>IF($C66&lt;1,"",AVERAGEIF('09월 고철장입'!$A$14:$A$949,$A66,'09월 고철장입'!Q$14:Q$949)/1000)</f>
        <v/>
      </c>
      <c r="BG66" s="815" t="str">
        <f>IF($C66&lt;1,"",AVERAGEIF('09월 고철장입'!$A$14:$A$949,$A66,'09월 고철장입'!S$14:S$949)/1000)</f>
        <v/>
      </c>
      <c r="BH66" s="815" t="str">
        <f>IF($C66&lt;1,"",AVERAGEIF('09월 고철장입'!$A$14:$A$949,$A66,'09월 고철장입'!T$14:T$949)/1000)</f>
        <v/>
      </c>
      <c r="BI66" s="815" t="str">
        <f>IF($C66&lt;1,"",AVERAGEIF('09월 고철장입'!$A$14:$A$949,$A66,'09월 고철장입'!U$14:U$949)/1000)</f>
        <v/>
      </c>
      <c r="BJ66" s="815" t="str">
        <f>IF($C66&lt;1,"",AVERAGEIF('09월 고철장입'!$A$14:$A$949,$A66,'09월 고철장입'!V$14:V$949)/1000)</f>
        <v/>
      </c>
      <c r="BK66" s="815" t="str">
        <f>IF($C66&lt;1,"",AVERAGEIF('09월 고철장입'!$A$14:$A$949,$A66,'09월 고철장입'!W$14:W$949)/1000)</f>
        <v/>
      </c>
      <c r="BL66" s="815" t="str">
        <f>IF($C66&lt;1,"",AVERAGEIF('09월 고철장입'!$A$14:$A$949,$A66,'09월 고철장입'!Y$14:Y$949)/1000)</f>
        <v/>
      </c>
      <c r="BM66" s="815" t="str">
        <f>IF($C66&lt;1,"",AVERAGEIF('09월 고철장입'!$A$14:$A$949,$A66,'09월 고철장입'!AB$14:AB$949)/1000)</f>
        <v/>
      </c>
      <c r="BN66" s="815" t="str">
        <f>IF($C66&lt;1,"",AVERAGEIF('09월 고철장입'!$A$14:$A$949,$A66,'09월 고철장입'!AC$14:AC$949)/1000)</f>
        <v/>
      </c>
      <c r="BO66" s="815" t="str">
        <f>IF($C66&lt;1,"",AVERAGEIF('09월 고철장입'!$A$14:$A$949,$A66,'09월 고철장입'!AD$14:AD$949)/1000)</f>
        <v/>
      </c>
      <c r="BP66" s="815" t="str">
        <f>IF($C66&lt;1,"",AVERAGEIF('09월 고철장입'!$A$14:$A$949,$A66,'09월 고철장입'!AE$14:AE$949)/1000)</f>
        <v/>
      </c>
      <c r="BQ66" s="815" t="str">
        <f>IF($C66&lt;1,"",AVERAGEIF('09월 고철장입'!$A$14:$A$949,$A66,'09월 고철장입'!AF$14:AF$949)/1000)</f>
        <v/>
      </c>
      <c r="BR66" s="815" t="str">
        <f>IF($C66&lt;1,"",AVERAGEIF('09월 고철장입'!$A$14:$A$949,$A66,'09월 고철장입'!AG$14:AG$949)/1000)</f>
        <v/>
      </c>
      <c r="BS66" s="815" t="str">
        <f>IF($C66&lt;1,"",AVERAGEIF('09월 고철장입'!$A$14:$A$949,$A66,'09월 고철장입'!AH$14:AH$949)/1000)</f>
        <v/>
      </c>
      <c r="BT66" s="815" t="str">
        <f>IF($C66&lt;1,"",AVERAGEIF('09월 고철장입'!$A$14:$A$949,$A66,'09월 고철장입'!AI$14:AI$949)/1000)</f>
        <v/>
      </c>
      <c r="BU66" s="815" t="str">
        <f>IF($C66&lt;1,"",AVERAGEIF('09월 고철장입'!$A$14:$A$949,$A66,'09월 고철장입'!AJ$14:AJ$949)/1000)</f>
        <v/>
      </c>
      <c r="BV66" s="815" t="str">
        <f>IF($C66&lt;1,"",AVERAGEIF('09월 고철장입'!$A$14:$A$949,$A66,'09월 고철장입'!AK$14:AK$949))</f>
        <v/>
      </c>
      <c r="BW66" s="815" t="str">
        <f>IF($C66&lt;1,"",AVERAGEIF('09월 고철장입'!$A$14:$A$949,$A66,'09월 고철장입'!AL$14:AL$949)*100)</f>
        <v/>
      </c>
      <c r="BX66" s="815" t="str">
        <f>IF($C66&lt;1,"",AVERAGEIF('09월 에너지'!$A$14:$A$949,$A66,'09월 에너지'!G$14:G$949))</f>
        <v/>
      </c>
      <c r="BY66" s="817" t="str">
        <f>IF($C66&lt;1,"",AVERAGEIF('09월 에너지'!$A$14:$A$949,$A66,'09월 에너지'!H$14:H$949))</f>
        <v/>
      </c>
      <c r="BZ66" s="815" t="str">
        <f>IF($C66&lt;1,"",AVERAGEIF('09월 에너지'!$A$14:$A$949,$A66,'09월 에너지'!I$14:I$949))</f>
        <v/>
      </c>
      <c r="CA66" s="817" t="str">
        <f>IF($C66&lt;1,"",AVERAGEIF('09월 에너지'!$A$14:$A$949,$A66,'09월 에너지'!J$14:J$949))</f>
        <v/>
      </c>
      <c r="CB66" s="815" t="str">
        <f>IF($C66&lt;1,"",AVERAGEIF('09월 에너지'!$A$14:$A$949,$A66,'09월 에너지'!K$14:K$949))</f>
        <v/>
      </c>
      <c r="CC66" s="817" t="str">
        <f>IF($C66&lt;1,"",AVERAGEIF('09월 에너지'!$A$14:$A$949,$A66,'09월 에너지'!L$14:L$949))</f>
        <v/>
      </c>
      <c r="CD66" s="815" t="str">
        <f>IF($C66&lt;1,"",AVERAGEIF('09월 에너지'!$A$14:$A$949,$A66,'09월 에너지'!M$14:M$949))</f>
        <v/>
      </c>
      <c r="CE66" s="817" t="str">
        <f>IF($C66&lt;1,"",AVERAGEIF('09월 에너지'!$A$14:$A$949,$A66,'09월 에너지'!N$14:N$949))</f>
        <v/>
      </c>
      <c r="CF66" s="815" t="str">
        <f>IF($C66&lt;1,"",AVERAGEIF('09월 에너지'!$A$14:$A$949,$A66,'09월 에너지'!O$14:O$949))</f>
        <v/>
      </c>
      <c r="CG66" s="815" t="str">
        <f>IF($C66&lt;1,"",AVERAGEIF('09월 에너지'!$A$14:$A$949,$A66,'09월 에너지'!P$14:P$949))</f>
        <v/>
      </c>
      <c r="CH66" s="815" t="str">
        <f>IF($C66&lt;1,"",AVERAGEIF('09월 에너지'!$A$14:$A$949,$A66,'09월 에너지'!Q$14:Q$949))</f>
        <v/>
      </c>
      <c r="CI66" s="815" t="str">
        <f>IF($C66&lt;1,"",AVERAGEIF('09월 에너지'!$A$14:$A$949,$A66,'09월 에너지'!R$14:R$949))</f>
        <v/>
      </c>
      <c r="CJ66" s="815" t="str">
        <f>IF($C66&lt;1,"",AVERAGEIF('09월 에너지'!$A$14:$A$949,$A66,'09월 에너지'!S$14:S$949))</f>
        <v/>
      </c>
      <c r="CK66" s="815" t="str">
        <f>IF($C66&lt;1,"",AVERAGEIF('09월 에너지'!$A$14:$A$949,$A66,'09월 에너지'!T$14:T$949))</f>
        <v/>
      </c>
      <c r="CL66" s="815" t="str">
        <f>IF($C66&lt;1,"",AVERAGEIF('09월 에너지'!$A$14:$A$949,$A66,'09월 에너지'!U$14:U$949))</f>
        <v/>
      </c>
      <c r="CM66" s="817" t="str">
        <f>IF($C66&lt;1,"",AVERAGEIF('09월 에너지'!$A$14:$A$949,$A66,'09월 에너지'!V$14:V$949))</f>
        <v/>
      </c>
      <c r="CN66" s="817" t="str">
        <f>IF($C66&lt;1,"",AVERAGEIF('09월 에너지'!$A$14:$A$949,$A66,'09월 에너지'!W$14:W$949))</f>
        <v/>
      </c>
      <c r="CO66" s="815" t="str">
        <f>IF($C66&lt;1,"",AVERAGEIF('09월 에너지'!$A$14:$A$949,$A66,'09월 에너지'!X$14:X$949))</f>
        <v/>
      </c>
      <c r="CP66" s="817" t="str">
        <f>IF($C66&lt;1,"",AVERAGEIF('09월 에너지'!$A$14:$A$949,$A66,'09월 에너지'!Y$14:Y$949))</f>
        <v/>
      </c>
      <c r="CQ66" s="817" t="str">
        <f>IF($C66&lt;1,"",AVERAGEIF('09월 에너지'!$A$14:$A$949,$A66,'09월 에너지'!Z$14:Z$949))</f>
        <v/>
      </c>
      <c r="CR66" s="817" t="str">
        <f>IF($C66&lt;1,"",AVERAGEIF('09월 에너지'!$A$14:$A$949,$A66,'09월 에너지'!AA$14:AA$949))</f>
        <v/>
      </c>
      <c r="CS66" s="817" t="str">
        <f>IF($C66&lt;1,"",AVERAGEIF('09월 에너지'!$A$14:$A$949,$A66,'09월 에너지'!AB$14:AB$949))</f>
        <v/>
      </c>
      <c r="CT66" s="815" t="str">
        <f>IF($C66&lt;1,"",AVERAGEIF('09월 에너지'!$A$14:$A$949,$A66,'09월 에너지'!AC$14:AC$949))</f>
        <v/>
      </c>
      <c r="CU66" s="818" t="str">
        <f>IF($C66&lt;1,"",AVERAGEIF('09월 에너지'!$A$14:$A$949,$A66,'09월 에너지'!AD$14:AD$949))</f>
        <v/>
      </c>
      <c r="CV66" s="819" t="str">
        <f>IF($C66&lt;1,"",AVERAGEIF('09월 에너지'!$A$14:$A$949,$A66,'09월 에너지'!AE$14:AE$949))</f>
        <v/>
      </c>
      <c r="CW66" s="815" t="str">
        <f>IF($C66&lt;1,"",AVERAGEIF('09월 에너지'!$A$14:$A$949,$A66,'09월 에너지'!AF$14:AF$949))</f>
        <v/>
      </c>
      <c r="CX66" s="815" t="str">
        <f>IF($C66&lt;1,"",AVERAGEIF('09월 에너지'!$A$14:$A$949,$A66,'09월 에너지'!AG$14:AG$949))</f>
        <v/>
      </c>
      <c r="CY66" s="815" t="str">
        <f>IF($C66&lt;1,"",AVERAGEIF('09월 에너지'!$A$14:$A$949,$A66,'09월 에너지'!AH$14:AH$949))</f>
        <v/>
      </c>
      <c r="CZ66" s="815" t="str">
        <f>IF($C66&lt;1,"",AVERAGEIF('09월 에너지'!$A$14:$A$949,$A66,'09월 에너지'!AI$14:AI$949))</f>
        <v/>
      </c>
      <c r="DA66" s="820" t="str">
        <f>IF($C66&lt;1,"",AVERAGEIF('09월 에너지'!$A$14:$A$949,$A66,'09월 에너지'!AJ$14:AJ$949))</f>
        <v/>
      </c>
    </row>
    <row r="67" spans="1:105" ht="13.5" customHeight="1">
      <c r="A67" s="849">
        <f t="shared" si="2"/>
        <v>44939</v>
      </c>
      <c r="B67" s="850" t="s">
        <v>9</v>
      </c>
      <c r="C67" s="823">
        <f>COUNTIFS('09월 조업일지'!$A$12:$A$952,A66,'09월 조업일지'!$E$12:$E$952,B67)</f>
        <v>0</v>
      </c>
      <c r="D67" s="824" t="str">
        <f>IF(C67&lt;1,"",F67-E67)</f>
        <v/>
      </c>
      <c r="E67" s="824" t="str">
        <f>IF($C67&lt;1,"",(SUMIFS('09월 조업일지'!$K$12:$K$952,'09월 조업일지'!$A$12:$A$952,$A67,'09월 조업일지'!$E$12:$E$952,$B67)/$C67))</f>
        <v/>
      </c>
      <c r="F67" s="824" t="str">
        <f>IF($C67&lt;1,"",(AVERAGEIFS('09월 조업일지'!$J$12:$J$952,'09월 조업일지'!$A$12:$A$952,$A67,'09월 조업일지'!$E$12:$E$952,$B67)))</f>
        <v/>
      </c>
      <c r="G67" s="825" t="str">
        <f>IF($C67&lt;1,"",(AVERAGEIFS('09월 에너지'!$M$14:$M$949,'09월 에너지'!$A$14:$A$949,$A67,'09월 에너지'!$C$14:$C$949,$B67)))</f>
        <v/>
      </c>
      <c r="H67" s="826" t="str">
        <f>IF($C67&lt;1,"",(AVERAGEIFS('09월 조업일지'!$AJ$12:$AJ$952,'09월 조업일지'!$A$12:$A$952,$A67,'09월 조업일지'!$E$12:$E$952,$B67)))</f>
        <v/>
      </c>
      <c r="I67" s="826" t="str">
        <f>IF($C67&lt;1,"",(AVERAGEIFS('09월 조업일지'!$AL$12:$AL$952,'09월 조업일지'!$A$12:$A$952,$A67,'09월 조업일지'!$E$12:$E$952,$B67)))</f>
        <v/>
      </c>
      <c r="J67" s="827" t="str">
        <f>IF($C67&lt;1,"",(AVERAGEIFS('09월 화학성분'!G$12:G$949,'09월 화학성분'!$A$12:$A$949,$A67,'09월 화학성분'!$D$12:$D$949,$B67)))</f>
        <v/>
      </c>
      <c r="K67" s="827" t="str">
        <f>IF($C67&lt;1,"",(AVERAGEIFS('09월 화학성분'!H$12:H$949,'09월 화학성분'!$A$12:$A$949,$A67,'09월 화학성분'!$D$12:$D$949,$B67)))</f>
        <v/>
      </c>
      <c r="L67" s="827" t="str">
        <f>IF($C67&lt;1,"",(AVERAGEIFS('09월 화학성분'!I$12:I$949,'09월 화학성분'!$A$12:$A$949,$A67,'09월 화학성분'!$D$12:$D$949,$B67)))</f>
        <v/>
      </c>
      <c r="M67" s="827" t="str">
        <f>IF($C67&lt;1,"",(AVERAGEIFS('09월 화학성분'!J$12:J$949,'09월 화학성분'!$A$12:$A$949,$A67,'09월 화학성분'!$D$12:$D$949,$B67)))</f>
        <v/>
      </c>
      <c r="N67" s="827" t="str">
        <f>IF($C67&lt;1,"",(AVERAGEIFS('09월 화학성분'!K$12:K$949,'09월 화학성분'!$A$12:$A$949,$A67,'09월 화학성분'!$D$12:$D$949,$B67)))</f>
        <v/>
      </c>
      <c r="O67" s="827" t="str">
        <f>IF($C67&lt;1,"",(AVERAGEIFS('09월 화학성분'!L$12:L$949,'09월 화학성분'!$A$12:$A$949,$A67,'09월 화학성분'!$D$12:$D$949,$B67)))</f>
        <v/>
      </c>
      <c r="P67" s="827" t="str">
        <f>IF($C67&lt;1,"",(AVERAGEIFS('09월 화학성분'!M$12:M$949,'09월 화학성분'!$A$12:$A$949,$A67,'09월 화학성분'!$D$12:$D$949,$B67)))</f>
        <v/>
      </c>
      <c r="Q67" s="827" t="str">
        <f>IFERROR(IF($C67&lt;1,"",(AVERAGEIFS('09월 조업일지'!$AA$12:$AA$952,'09월 조업일지'!$A$12:$A$952,$A67,'09월 조업일지'!$E$12:$E$952,$B67))),"")</f>
        <v/>
      </c>
      <c r="R67" s="827" t="str">
        <f>IF($C67&lt;1,"",(AVERAGEIFS('09월 조업일지'!$AK$12:$AK$952,'09월 조업일지'!$A$12:$A$952,$A67,'09월 조업일지'!$E$12:$E$952,$B67)))</f>
        <v/>
      </c>
      <c r="S67" s="827"/>
      <c r="T67" s="827"/>
      <c r="U67" s="827" t="str">
        <f>IF($C67&lt;1,"",(AVERAGEIFS('09월 화학성분'!$G$12:$G$949,'09월 화학성분'!$A$12:$A$949,$A67,'09월 화학성분'!$D$12:$D$949,$B67)))</f>
        <v/>
      </c>
      <c r="V67" s="827" t="str">
        <f>IF($C67&lt;1,"",(AVERAGEIFS('09월 조업일지'!$AI$12:$AI$952,'09월 조업일지'!$A$12:$A$952,$A67,'09월 조업일지'!$E$12:$E$952,$B67)))</f>
        <v/>
      </c>
      <c r="W67" s="828" t="str">
        <f>IF($C67&lt;1,"",(AVERAGEIFS('09월 화학성분'!$AM$12:$AM$949,'09월 화학성분'!$A$12:$A$949,$A67,'09월 화학성분'!$D$12:$D$949,$B67)))</f>
        <v/>
      </c>
      <c r="X67" s="829" t="str">
        <f>IF($C67&lt;1,"",(AVERAGEIFS('09월 화학성분'!N$12:N$949,'09월 화학성분'!$A$12:$A$949,$A67,'09월 화학성분'!$D$12:$D$949,$B67)))</f>
        <v/>
      </c>
      <c r="Y67" s="829" t="str">
        <f>IF($C67&lt;1,"",(AVERAGEIFS('09월 화학성분'!O$12:O$949,'09월 화학성분'!$A$12:$A$949,$A67,'09월 화학성분'!$D$12:$D$949,$B67)))</f>
        <v/>
      </c>
      <c r="Z67" s="829" t="str">
        <f>IF($C67&lt;1,"",(AVERAGEIFS('09월 화학성분'!P$12:P$949,'09월 화학성분'!$A$12:$A$949,$A67,'09월 화학성분'!$D$12:$D$949,$B67)))</f>
        <v/>
      </c>
      <c r="AA67" s="829" t="str">
        <f>IF($C67&lt;1,"",(AVERAGEIFS('09월 화학성분'!Q$12:Q$949,'09월 화학성분'!$A$12:$A$949,$A67,'09월 화학성분'!$D$12:$D$949,$B67)))</f>
        <v/>
      </c>
      <c r="AB67" s="829" t="str">
        <f>IF($C67&lt;1,"",(AVERAGEIFS('09월 화학성분'!R$12:R$949,'09월 화학성분'!$A$12:$A$949,$A67,'09월 화학성분'!$D$12:$D$949,$B67)))</f>
        <v/>
      </c>
      <c r="AC67" s="829" t="str">
        <f>IF($C67&lt;1,"",(AVERAGEIFS('09월 화학성분'!U$12:U$949,'09월 화학성분'!$A$12:$A$949,$A67,'09월 화학성분'!$D$12:$D$949,$B67)))</f>
        <v/>
      </c>
      <c r="AD67" s="829" t="str">
        <f>IF($C67&lt;1,"",(AVERAGEIFS('09월 화학성분'!V$12:V$949,'09월 화학성분'!$A$12:$A$949,$A67,'09월 화학성분'!$D$12:$D$949,$B67)))</f>
        <v/>
      </c>
      <c r="AE67" s="829" t="str">
        <f>IF($C67&lt;1,"",(AVERAGEIFS('09월 화학성분'!W$12:W$949,'09월 화학성분'!$A$12:$A$949,$A67,'09월 화학성분'!$D$12:$D$949,$B67)))</f>
        <v/>
      </c>
      <c r="AF67" s="829" t="str">
        <f>IF($C67&lt;1,"",(AVERAGEIFS('09월 화학성분'!AA$12:AA$949,'09월 화학성분'!$A$12:$A$949,$A67,'09월 화학성분'!$D$12:$D$949,$B67)))</f>
        <v/>
      </c>
      <c r="AG67" s="829" t="str">
        <f>IF($C67&lt;1,"",(AVERAGEIFS('09월 화학성분'!#REF!,'09월 화학성분'!$A$12:$A$949,$A67,'09월 화학성분'!$D$12:$D$949,$B67)))</f>
        <v/>
      </c>
      <c r="AH67" s="829" t="str">
        <f>IF($C67&lt;1,"",(AVERAGEIFS('09월 화학성분'!AB$12:AB$949,'09월 화학성분'!$A$12:$A$949,$A67,'09월 화학성분'!$D$12:$D$949,$B67)))</f>
        <v/>
      </c>
      <c r="AI67" s="829" t="str">
        <f>IF($C67&lt;1,"",(AVERAGEIFS('09월 화학성분'!AC$12:AC$949,'09월 화학성분'!$A$12:$A$949,$A67,'09월 화학성분'!$D$12:$D$949,$B67)))</f>
        <v/>
      </c>
      <c r="AJ67" s="829" t="str">
        <f>IF($C67&lt;1,"",(AVERAGEIFS('09월 화학성분'!AD$12:AD$949,'09월 화학성분'!$A$12:$A$949,$A67,'09월 화학성분'!$D$12:$D$949,$B67)))</f>
        <v/>
      </c>
      <c r="AK67" s="829" t="str">
        <f>IF($C67&lt;1,"",(AVERAGEIFS('09월 화학성분'!AF$12:AF$949,'09월 화학성분'!$A$12:$A$949,$A67,'09월 화학성분'!$D$12:$D$949,$B67)))</f>
        <v/>
      </c>
      <c r="AL67" s="829" t="str">
        <f>IF($C67&lt;1,"",(AVERAGEIFS('09월 화학성분'!AG$12:AG$949,'09월 화학성분'!$A$12:$A$949,$A67,'09월 화학성분'!$D$12:$D$949,$B67)))</f>
        <v/>
      </c>
      <c r="AM67" s="829" t="str">
        <f>IF($C67&lt;1,"",(AVERAGEIFS('09월 화학성분'!AH$12:AH$949,'09월 화학성분'!$A$12:$A$949,$A67,'09월 화학성분'!$D$12:$D$949,$B67)))</f>
        <v/>
      </c>
      <c r="AN67" s="829" t="str">
        <f>IF($C67&lt;1,"",(AVERAGEIFS('09월 화학성분'!AI$12:AI$949,'09월 화학성분'!$A$12:$A$949,$A67,'09월 화학성분'!$D$12:$D$949,$B67)))</f>
        <v/>
      </c>
      <c r="AO67" s="829" t="str">
        <f>IF($C67&lt;1,"",(AVERAGEIFS('09월 화학성분'!AJ$12:AJ$949,'09월 화학성분'!$A$12:$A$949,$A67,'09월 화학성분'!$D$12:$D$949,$B67)))</f>
        <v/>
      </c>
      <c r="AP67" s="829" t="str">
        <f>IF($C67&lt;1,"",(AVERAGEIFS('09월 화학성분'!#REF!,'09월 화학성분'!$A$12:$A$949,$A67,'09월 화학성분'!$D$12:$D$949,$B67)))</f>
        <v/>
      </c>
      <c r="AQ67" s="829" t="str">
        <f>IF($C67&lt;1,"",(AVERAGEIFS('09월 화학성분'!AL$12:AL$949,'09월 화학성분'!$A$12:$A$949,$A67,'09월 화학성분'!$D$12:$D$949,$B67)))</f>
        <v/>
      </c>
      <c r="AR67" s="829" t="str">
        <f>IF($C67&lt;1,"",(AVERAGEIFS('09월 화학성분'!AM$12:AM$949,'09월 화학성분'!$A$12:$A$949,$A67,'09월 화학성분'!$D$12:$D$949,$B67)))</f>
        <v/>
      </c>
      <c r="AS67" s="830" t="str">
        <f>IF($C67&lt;1,"",(AVERAGEIFS('09월 화학성분'!AN$12:AN$949,'09월 화학성분'!$A$12:$A$949,$A67,'09월 화학성분'!$D$12:$D$949,$B67)))</f>
        <v/>
      </c>
      <c r="AT67" s="830" t="str">
        <f>IF($C67&lt;1,"",(AVERAGEIFS('09월 화학성분'!AO$12:AO$949,'09월 화학성분'!$A$12:$A$949,$A67,'09월 화학성분'!$D$12:$D$949,$B67)))</f>
        <v/>
      </c>
      <c r="AU67" s="831" t="str">
        <f>IF($C67&lt;1,"",(AVERAGEIFS('09월 화학성분'!AP$12:AP$949,'09월 화학성분'!$A$12:$A$949,$A67,'09월 화학성분'!$D$12:$D$949,$B67)))</f>
        <v/>
      </c>
      <c r="AV67" s="832" t="str">
        <f>IF($C67&lt;1,"",(AVERAGEIFS('09월 고철장입'!G$14:G$949,'09월 고철장입'!$A$14:$A$949,$A67,'09월 고철장입'!$C$14:$C$949,$B67))/1000)</f>
        <v/>
      </c>
      <c r="AW67" s="832" t="str">
        <f>IF($C67&lt;1,"",(AVERAGEIFS('09월 고철장입'!H$14:H$949,'09월 고철장입'!$A$14:$A$949,$A67,'09월 고철장입'!$C$14:$C$949,$B67))/1000)</f>
        <v/>
      </c>
      <c r="AX67" s="832" t="str">
        <f>IF($C67&lt;1,"",(AVERAGEIFS('09월 고철장입'!I$14:I$949,'09월 고철장입'!$A$14:$A$949,$A67,'09월 고철장입'!$C$14:$C$949,$B67))/1000)</f>
        <v/>
      </c>
      <c r="AY67" s="832" t="str">
        <f>IF($C67&lt;1,"",(AVERAGEIFS('09월 고철장입'!J$14:J$949,'09월 고철장입'!$A$14:$A$949,$A67,'09월 고철장입'!$C$14:$C$949,$B67))/1000)</f>
        <v/>
      </c>
      <c r="AZ67" s="832" t="str">
        <f>IF($C67&lt;1,"",(AVERAGEIFS('09월 고철장입'!K$14:K$949,'09월 고철장입'!$A$14:$A$949,$A67,'09월 고철장입'!$C$14:$C$949,$B67))/1000)</f>
        <v/>
      </c>
      <c r="BA67" s="832" t="str">
        <f>IF($C67&lt;1,"",(AVERAGEIFS('09월 고철장입'!L$14:L$949,'09월 고철장입'!$A$14:$A$949,$A67,'09월 고철장입'!$C$14:$C$949,$B67))/1000)</f>
        <v/>
      </c>
      <c r="BB67" s="832" t="str">
        <f>IF($C67&lt;1,"",(AVERAGEIFS('09월 고철장입'!M$14:M$949,'09월 고철장입'!$A$14:$A$949,$A67,'09월 고철장입'!$C$14:$C$949,$B67))/1000)</f>
        <v/>
      </c>
      <c r="BC67" s="832" t="str">
        <f>IF($C67&lt;1,"",(AVERAGEIFS('09월 고철장입'!N$14:N$949,'09월 고철장입'!$A$14:$A$949,$A67,'09월 고철장입'!$C$14:$C$949,$B67))/1000)</f>
        <v/>
      </c>
      <c r="BD67" s="832" t="str">
        <f>IF($C67&lt;1,"",(AVERAGEIFS('09월 고철장입'!O$14:O$949,'09월 고철장입'!$A$14:$A$949,$A67,'09월 고철장입'!$C$14:$C$949,$B67))/1000)</f>
        <v/>
      </c>
      <c r="BE67" s="833" t="str">
        <f>IF($C67&lt;1,"",(AVERAGEIFS('09월 고철장입'!P$14:P$949,'09월 고철장입'!$A$14:$A$949,$A67,'09월 고철장입'!$C$14:$C$949,$B67))/1000)</f>
        <v/>
      </c>
      <c r="BF67" s="833" t="str">
        <f>IF($C67&lt;1,"",(AVERAGEIFS('09월 고철장입'!Q$14:Q$949,'09월 고철장입'!$A$14:$A$949,$A67,'09월 고철장입'!$C$14:$C$949,$B67))/1000)</f>
        <v/>
      </c>
      <c r="BG67" s="833" t="str">
        <f>IF($C67&lt;1,"",(AVERAGEIFS('09월 고철장입'!S$14:S$949,'09월 고철장입'!$A$14:$A$949,$A67,'09월 고철장입'!$C$14:$C$949,$B67))/1000)</f>
        <v/>
      </c>
      <c r="BH67" s="833" t="str">
        <f>IF($C67&lt;1,"",(AVERAGEIFS('09월 고철장입'!T$14:T$949,'09월 고철장입'!$A$14:$A$949,$A67,'09월 고철장입'!$C$14:$C$949,$B67))/1000)</f>
        <v/>
      </c>
      <c r="BI67" s="833" t="str">
        <f>IF($C67&lt;1,"",(AVERAGEIFS('09월 고철장입'!U$14:U$949,'09월 고철장입'!$A$14:$A$949,$A67,'09월 고철장입'!$C$14:$C$949,$B67))/1000)</f>
        <v/>
      </c>
      <c r="BJ67" s="833" t="str">
        <f>IF($C67&lt;1,"",(AVERAGEIFS('09월 고철장입'!V$14:V$949,'09월 고철장입'!$A$14:$A$949,$A67,'09월 고철장입'!$C$14:$C$949,$B67))/1000)</f>
        <v/>
      </c>
      <c r="BK67" s="833" t="str">
        <f>IF($C67&lt;1,"",(AVERAGEIFS('09월 고철장입'!W$14:W$949,'09월 고철장입'!$A$14:$A$949,$A67,'09월 고철장입'!$C$14:$C$949,$B67))/1000)</f>
        <v/>
      </c>
      <c r="BL67" s="833" t="str">
        <f>IF($C67&lt;1,"",(AVERAGEIFS('09월 고철장입'!Y$14:Y$949,'09월 고철장입'!$A$14:$A$949,$A67,'09월 고철장입'!$C$14:$C$949,$B67))/1000)</f>
        <v/>
      </c>
      <c r="BM67" s="833" t="str">
        <f>IF($C67&lt;1,"",(AVERAGEIFS('09월 고철장입'!AB$14:AB$949,'09월 고철장입'!$A$14:$A$949,$A67,'09월 고철장입'!$C$14:$C$949,$B67))/1000)</f>
        <v/>
      </c>
      <c r="BN67" s="833" t="str">
        <f>IF($C67&lt;1,"",(AVERAGEIFS('09월 고철장입'!AC$14:AC$949,'09월 고철장입'!$A$14:$A$949,$A67,'09월 고철장입'!$C$14:$C$949,$B67))/1000)</f>
        <v/>
      </c>
      <c r="BO67" s="833" t="str">
        <f>IF($C67&lt;1,"",(AVERAGEIFS('09월 고철장입'!AD$14:AD$949,'09월 고철장입'!$A$14:$A$949,$A67,'09월 고철장입'!$C$14:$C$949,$B67))/1000)</f>
        <v/>
      </c>
      <c r="BP67" s="833" t="str">
        <f>IF($C67&lt;1,"",(AVERAGEIFS('09월 고철장입'!AE$14:AE$949,'09월 고철장입'!$A$14:$A$949,$A67,'09월 고철장입'!$C$14:$C$949,$B67))/1000)</f>
        <v/>
      </c>
      <c r="BQ67" s="832" t="str">
        <f>IF($C67&lt;1,"",(AVERAGEIFS('09월 고철장입'!AF$14:AF$949,'09월 고철장입'!$A$14:$A$949,$A67,'09월 고철장입'!$C$14:$C$949,$B67))/1000)</f>
        <v/>
      </c>
      <c r="BR67" s="832" t="str">
        <f>IF($C67&lt;1,"",(AVERAGEIFS('09월 고철장입'!AG$14:AG$949,'09월 고철장입'!$A$14:$A$949,$A67,'09월 고철장입'!$C$14:$C$949,$B67))/1000)</f>
        <v/>
      </c>
      <c r="BS67" s="832" t="str">
        <f>IF($C67&lt;1,"",(AVERAGEIFS('09월 고철장입'!AH$14:AH$949,'09월 고철장입'!$A$14:$A$949,$A67,'09월 고철장입'!$C$14:$C$949,$B67))/1000)</f>
        <v/>
      </c>
      <c r="BT67" s="832" t="str">
        <f>IF($C67&lt;1,"",(AVERAGEIFS('09월 고철장입'!AI$14:AI$949,'09월 고철장입'!$A$14:$A$949,$A67,'09월 고철장입'!$C$14:$C$949,$B67))/1000)</f>
        <v/>
      </c>
      <c r="BU67" s="834" t="str">
        <f>IF($C67&lt;1,"",(AVERAGEIFS('09월 고철장입'!AJ$14:AJ$949,'09월 고철장입'!$A$14:$A$949,$A67,'09월 고철장입'!$C$14:$C$949,$B67))/1000)</f>
        <v/>
      </c>
      <c r="BV67" s="834" t="str">
        <f>IF($C67&lt;1,"",(AVERAGEIFS('09월 고철장입'!AK$14:AK$949,'09월 고철장입'!$A$14:$A$949,$A67,'09월 고철장입'!$C$14:$C$949,$B67)))</f>
        <v/>
      </c>
      <c r="BW67" s="834" t="str">
        <f>IF($C67&lt;1,"",(AVERAGEIFS('09월 고철장입'!AL$14:AL$949,'09월 고철장입'!$A$14:$A$949,$A67,'09월 고철장입'!$C$14:$C$949,$B67))*100)</f>
        <v/>
      </c>
      <c r="BX67" s="831" t="str">
        <f>IF($C67&lt;1,"",(AVERAGEIFS('09월 에너지'!G$14:G$949,'09월 에너지'!$A$14:$A$949,$A67,'09월 에너지'!$C$14:$C$949,$B67)))</f>
        <v/>
      </c>
      <c r="BY67" s="835" t="str">
        <f>IF($C67&lt;1,"",(AVERAGEIFS('09월 에너지'!H$14:H$949,'09월 에너지'!$A$14:$A$949,$A67,'09월 에너지'!$C$14:$C$949,$B67)))</f>
        <v/>
      </c>
      <c r="BZ67" s="831" t="str">
        <f>IF($C67&lt;1,"",(AVERAGEIFS('09월 에너지'!I$14:I$949,'09월 에너지'!$A$14:$A$949,$A67,'09월 에너지'!$C$14:$C$949,$B67)))</f>
        <v/>
      </c>
      <c r="CA67" s="835" t="str">
        <f>IF($C67&lt;1,"",(AVERAGEIFS('09월 에너지'!J$14:J$949,'09월 에너지'!$A$14:$A$949,$A67,'09월 에너지'!$C$14:$C$949,$B67)))</f>
        <v/>
      </c>
      <c r="CB67" s="831" t="str">
        <f>IF($C67&lt;1,"",(AVERAGEIFS('09월 에너지'!K$14:K$949,'09월 에너지'!$A$14:$A$949,$A67,'09월 에너지'!$C$14:$C$949,$B67)))</f>
        <v/>
      </c>
      <c r="CC67" s="835" t="str">
        <f>IF($C67&lt;1,"",(AVERAGEIFS('09월 에너지'!L$14:L$949,'09월 에너지'!$A$14:$A$949,$A67,'09월 에너지'!$C$14:$C$949,$B67)))</f>
        <v/>
      </c>
      <c r="CD67" s="831" t="str">
        <f>IF($C67&lt;1,"",(AVERAGEIFS('09월 에너지'!M$14:M$949,'09월 에너지'!$A$14:$A$949,$A67,'09월 에너지'!$C$14:$C$949,$B67)))</f>
        <v/>
      </c>
      <c r="CE67" s="835" t="str">
        <f>IF($C67&lt;1,"",(AVERAGEIFS('09월 에너지'!N$14:N$949,'09월 에너지'!$A$14:$A$949,$A67,'09월 에너지'!$C$14:$C$949,$B67)))</f>
        <v/>
      </c>
      <c r="CF67" s="831" t="str">
        <f>IF($C67&lt;1,"",(AVERAGEIFS('09월 에너지'!O$14:O$949,'09월 에너지'!$A$14:$A$949,$A67,'09월 에너지'!$C$14:$C$949,$B67)))</f>
        <v/>
      </c>
      <c r="CG67" s="831" t="str">
        <f>IF($C67&lt;1,"",(AVERAGEIFS('09월 에너지'!P$14:P$949,'09월 에너지'!$A$14:$A$949,$A67,'09월 에너지'!$C$14:$C$949,$B67)))</f>
        <v/>
      </c>
      <c r="CH67" s="831" t="str">
        <f>IF($C67&lt;1,"",(AVERAGEIFS('09월 에너지'!Q$14:Q$949,'09월 에너지'!$A$14:$A$949,$A67,'09월 에너지'!$C$14:$C$949,$B67)))</f>
        <v/>
      </c>
      <c r="CI67" s="831" t="str">
        <f>IF($C67&lt;1,"",(AVERAGEIFS('09월 에너지'!R$14:R$949,'09월 에너지'!$A$14:$A$949,$A67,'09월 에너지'!$C$14:$C$949,$B67)))</f>
        <v/>
      </c>
      <c r="CJ67" s="831" t="str">
        <f>IF($C67&lt;1,"",(AVERAGEIFS('09월 에너지'!S$14:S$949,'09월 에너지'!$A$14:$A$949,$A67,'09월 에너지'!$C$14:$C$949,$B67)))</f>
        <v/>
      </c>
      <c r="CK67" s="831" t="str">
        <f>IF($C67&lt;1,"",(AVERAGEIFS('09월 에너지'!T$14:T$949,'09월 에너지'!$A$14:$A$949,$A67,'09월 에너지'!$C$14:$C$949,$B67)))</f>
        <v/>
      </c>
      <c r="CL67" s="831" t="str">
        <f>IF($C67&lt;1,"",(AVERAGEIFS('09월 에너지'!U$14:U$949,'09월 에너지'!$A$14:$A$949,$A67,'09월 에너지'!$C$14:$C$949,$B67)))</f>
        <v/>
      </c>
      <c r="CM67" s="835" t="str">
        <f>IF($C67&lt;1,"",(AVERAGEIFS('09월 에너지'!V$14:V$949,'09월 에너지'!$A$14:$A$949,$A67,'09월 에너지'!$C$14:$C$949,$B67)))</f>
        <v/>
      </c>
      <c r="CN67" s="835" t="str">
        <f>IF($C67&lt;1,"",(AVERAGEIFS('09월 에너지'!W$14:W$949,'09월 에너지'!$A$14:$A$949,$A67,'09월 에너지'!$C$14:$C$949,$B67)))</f>
        <v/>
      </c>
      <c r="CO67" s="831" t="str">
        <f>IF($C67&lt;1,"",(AVERAGEIFS('09월 에너지'!X$14:X$949,'09월 에너지'!$A$14:$A$949,$A67,'09월 에너지'!$C$14:$C$949,$B67)))</f>
        <v/>
      </c>
      <c r="CP67" s="835" t="str">
        <f>IF($C67&lt;1,"",(AVERAGEIFS('09월 에너지'!Y$14:Y$949,'09월 에너지'!$A$14:$A$949,$A67,'09월 에너지'!$C$14:$C$949,$B67)))</f>
        <v/>
      </c>
      <c r="CQ67" s="835" t="str">
        <f>IF($C67&lt;1,"",(AVERAGEIFS('09월 에너지'!Z$14:Z$949,'09월 에너지'!$A$14:$A$949,$A67,'09월 에너지'!$C$14:$C$949,$B67)))</f>
        <v/>
      </c>
      <c r="CR67" s="835" t="str">
        <f>IF($C67&lt;1,"",(AVERAGEIFS('09월 에너지'!AA$14:AA$949,'09월 에너지'!$A$14:$A$949,$A67,'09월 에너지'!$C$14:$C$949,$B67)))</f>
        <v/>
      </c>
      <c r="CS67" s="835" t="str">
        <f>IF($C67&lt;1,"",(AVERAGEIFS('09월 에너지'!AB$14:AB$949,'09월 에너지'!$A$14:$A$949,$A67,'09월 에너지'!$C$14:$C$949,$B67)))</f>
        <v/>
      </c>
      <c r="CT67" s="831" t="str">
        <f>IF($C67&lt;1,"",(AVERAGEIFS('09월 에너지'!AC$14:AC$949,'09월 에너지'!$A$14:$A$949,$A67,'09월 에너지'!$C$14:$C$949,$B67)))</f>
        <v/>
      </c>
      <c r="CU67" s="836" t="str">
        <f>IF($C67&lt;1,"",(AVERAGEIFS('09월 에너지'!AD$14:AD$949,'09월 에너지'!$A$14:$A$949,$A67,'09월 에너지'!$C$14:$C$949,$B67)))</f>
        <v/>
      </c>
      <c r="CV67" s="837" t="str">
        <f>IF($C67&lt;1,"",(AVERAGEIFS('09월 에너지'!AE$14:AE$949,'09월 에너지'!$A$14:$A$949,$A67,'09월 에너지'!$C$14:$C$949,$B67)))</f>
        <v/>
      </c>
      <c r="CW67" s="831" t="str">
        <f>IF($C67&lt;1,"",(AVERAGEIFS('09월 에너지'!AF$14:AF$949,'09월 에너지'!$A$14:$A$949,$A67,'09월 에너지'!$C$14:$C$949,$B67)))</f>
        <v/>
      </c>
      <c r="CX67" s="831" t="str">
        <f>IF($C67&lt;1,"",(AVERAGEIFS('09월 에너지'!AG$14:AG$949,'09월 에너지'!$A$14:$A$949,$A67,'09월 에너지'!$C$14:$C$949,$B67)))</f>
        <v/>
      </c>
      <c r="CY67" s="831" t="str">
        <f>IF($C67&lt;1,"",(AVERAGEIFS('09월 에너지'!AH$14:AH$949,'09월 에너지'!$A$14:$A$949,$A67,'09월 에너지'!$C$14:$C$949,$B67)))</f>
        <v/>
      </c>
      <c r="CZ67" s="831" t="str">
        <f>IF($C67&lt;1,"",(AVERAGEIFS('09월 에너지'!AI$14:AI$949,'09월 에너지'!$A$14:$A$949,$A67,'09월 에너지'!$C$14:$C$949,$B67)))</f>
        <v/>
      </c>
      <c r="DA67" s="838" t="str">
        <f>IF($C67&lt;1,"",(AVERAGEIFS('09월 에너지'!AJ$14:AJ$949,'09월 에너지'!$A$14:$A$949,$A67,'09월 에너지'!$C$14:$C$949,$B67)))</f>
        <v/>
      </c>
    </row>
    <row r="68" spans="1:105" ht="13.5" customHeight="1">
      <c r="A68" s="849">
        <f t="shared" si="2"/>
        <v>44939</v>
      </c>
      <c r="B68" s="850" t="s">
        <v>100</v>
      </c>
      <c r="C68" s="823">
        <f>COUNTIFS('09월 조업일지'!$A$12:$A$952,A66,'09월 조업일지'!$E$12:$E$952,B68)</f>
        <v>0</v>
      </c>
      <c r="D68" s="824" t="str">
        <f t="shared" ref="D68:D70" si="14">IF(C68&lt;1,"",F68-E68)</f>
        <v/>
      </c>
      <c r="E68" s="824" t="str">
        <f>IF($C68&lt;1,"",(SUMIFS('09월 조업일지'!$K$12:$K$952,'09월 조업일지'!$A$12:$A$952,$A68,'09월 조업일지'!$E$12:$E$952,$B68)/$C68))</f>
        <v/>
      </c>
      <c r="F68" s="824" t="str">
        <f>IF($C68&lt;1,"",(AVERAGEIFS('09월 조업일지'!$J$12:$J$952,'09월 조업일지'!$A$12:$A$952,$A68,'09월 조업일지'!$E$12:$E$952,$B68)))</f>
        <v/>
      </c>
      <c r="G68" s="825" t="str">
        <f>IF($C68&lt;1,"",(AVERAGEIFS('09월 에너지'!$M$14:$M$949,'09월 에너지'!$A$14:$A$949,$A68,'09월 에너지'!$C$14:$C$949,$B68)))</f>
        <v/>
      </c>
      <c r="H68" s="826" t="str">
        <f>IF($C68&lt;1,"",(AVERAGEIFS('09월 조업일지'!$AJ$12:$AJ$952,'09월 조업일지'!$A$12:$A$952,$A68,'09월 조업일지'!$E$12:$E$952,$B68)))</f>
        <v/>
      </c>
      <c r="I68" s="826" t="str">
        <f>IF($C68&lt;1,"",(AVERAGEIFS('09월 조업일지'!$AL$12:$AL$952,'09월 조업일지'!$A$12:$A$952,$A68,'09월 조업일지'!$E$12:$E$952,$B68)))</f>
        <v/>
      </c>
      <c r="J68" s="827" t="str">
        <f>IF($C68&lt;1,"",(AVERAGEIFS('09월 화학성분'!G$12:G$949,'09월 화학성분'!$A$12:$A$949,$A68,'09월 화학성분'!$D$12:$D$949,$B68)))</f>
        <v/>
      </c>
      <c r="K68" s="827" t="str">
        <f>IF($C68&lt;1,"",(AVERAGEIFS('09월 화학성분'!H$12:H$949,'09월 화학성분'!$A$12:$A$949,$A68,'09월 화학성분'!$D$12:$D$949,$B68)))</f>
        <v/>
      </c>
      <c r="L68" s="827" t="str">
        <f>IF($C68&lt;1,"",(AVERAGEIFS('09월 화학성분'!I$12:I$949,'09월 화학성분'!$A$12:$A$949,$A68,'09월 화학성분'!$D$12:$D$949,$B68)))</f>
        <v/>
      </c>
      <c r="M68" s="827" t="str">
        <f>IF($C68&lt;1,"",(AVERAGEIFS('09월 화학성분'!J$12:J$949,'09월 화학성분'!$A$12:$A$949,$A68,'09월 화학성분'!$D$12:$D$949,$B68)))</f>
        <v/>
      </c>
      <c r="N68" s="827" t="str">
        <f>IF($C68&lt;1,"",(AVERAGEIFS('09월 화학성분'!K$12:K$949,'09월 화학성분'!$A$12:$A$949,$A68,'09월 화학성분'!$D$12:$D$949,$B68)))</f>
        <v/>
      </c>
      <c r="O68" s="827" t="str">
        <f>IF($C68&lt;1,"",(AVERAGEIFS('09월 화학성분'!L$12:L$949,'09월 화학성분'!$A$12:$A$949,$A68,'09월 화학성분'!$D$12:$D$949,$B68)))</f>
        <v/>
      </c>
      <c r="P68" s="827" t="str">
        <f>IF($C68&lt;1,"",(AVERAGEIFS('09월 화학성분'!M$12:M$949,'09월 화학성분'!$A$12:$A$949,$A68,'09월 화학성분'!$D$12:$D$949,$B68)))</f>
        <v/>
      </c>
      <c r="Q68" s="827" t="str">
        <f>IFERROR(IF($C68&lt;1,"",(AVERAGEIFS('09월 조업일지'!$AA$12:$AA$952,'09월 조업일지'!$A$12:$A$952,$A68,'09월 조업일지'!$E$12:$E$952,$B68))),"")</f>
        <v/>
      </c>
      <c r="R68" s="827" t="str">
        <f>IF($C68&lt;1,"",(AVERAGEIFS('09월 조업일지'!$AK$12:$AK$952,'09월 조업일지'!$A$12:$A$952,$A68,'09월 조업일지'!$E$12:$E$952,$B68)))</f>
        <v/>
      </c>
      <c r="S68" s="827"/>
      <c r="T68" s="827"/>
      <c r="U68" s="827" t="str">
        <f>IF($C68&lt;1,"",(AVERAGEIFS('09월 화학성분'!$G$12:$G$949,'09월 화학성분'!$A$12:$A$949,$A68,'09월 화학성분'!$D$12:$D$949,$B68)))</f>
        <v/>
      </c>
      <c r="V68" s="827" t="str">
        <f>IF($C68&lt;1,"",(AVERAGEIFS('09월 조업일지'!$AI$12:$AI$952,'09월 조업일지'!$A$12:$A$952,$A68,'09월 조업일지'!$E$12:$E$952,$B68)))</f>
        <v/>
      </c>
      <c r="W68" s="828" t="str">
        <f>IF($C68&lt;1,"",(AVERAGEIFS('09월 화학성분'!$AM$12:$AM$949,'09월 화학성분'!$A$12:$A$949,$A68,'09월 화학성분'!$D$12:$D$949,$B68)))</f>
        <v/>
      </c>
      <c r="X68" s="829" t="str">
        <f>IF($C68&lt;1,"",(AVERAGEIFS('09월 화학성분'!N$12:N$949,'09월 화학성분'!$A$12:$A$949,$A68,'09월 화학성분'!$D$12:$D$949,$B68)))</f>
        <v/>
      </c>
      <c r="Y68" s="829" t="str">
        <f>IF($C68&lt;1,"",(AVERAGEIFS('09월 화학성분'!O$12:O$949,'09월 화학성분'!$A$12:$A$949,$A68,'09월 화학성분'!$D$12:$D$949,$B68)))</f>
        <v/>
      </c>
      <c r="Z68" s="829" t="str">
        <f>IF($C68&lt;1,"",(AVERAGEIFS('09월 화학성분'!P$12:P$949,'09월 화학성분'!$A$12:$A$949,$A68,'09월 화학성분'!$D$12:$D$949,$B68)))</f>
        <v/>
      </c>
      <c r="AA68" s="829" t="str">
        <f>IF($C68&lt;1,"",(AVERAGEIFS('09월 화학성분'!Q$12:Q$949,'09월 화학성분'!$A$12:$A$949,$A68,'09월 화학성분'!$D$12:$D$949,$B68)))</f>
        <v/>
      </c>
      <c r="AB68" s="829" t="str">
        <f>IF($C68&lt;1,"",(AVERAGEIFS('09월 화학성분'!R$12:R$949,'09월 화학성분'!$A$12:$A$949,$A68,'09월 화학성분'!$D$12:$D$949,$B68)))</f>
        <v/>
      </c>
      <c r="AC68" s="829" t="str">
        <f>IF($C68&lt;1,"",(AVERAGEIFS('09월 화학성분'!U$12:U$949,'09월 화학성분'!$A$12:$A$949,$A68,'09월 화학성분'!$D$12:$D$949,$B68)))</f>
        <v/>
      </c>
      <c r="AD68" s="829" t="str">
        <f>IF($C68&lt;1,"",(AVERAGEIFS('09월 화학성분'!V$12:V$949,'09월 화학성분'!$A$12:$A$949,$A68,'09월 화학성분'!$D$12:$D$949,$B68)))</f>
        <v/>
      </c>
      <c r="AE68" s="829" t="str">
        <f>IF($C68&lt;1,"",(AVERAGEIFS('09월 화학성분'!W$12:W$949,'09월 화학성분'!$A$12:$A$949,$A68,'09월 화학성분'!$D$12:$D$949,$B68)))</f>
        <v/>
      </c>
      <c r="AF68" s="829" t="str">
        <f>IF($C68&lt;1,"",(AVERAGEIFS('09월 화학성분'!AA$12:AA$949,'09월 화학성분'!$A$12:$A$949,$A68,'09월 화학성분'!$D$12:$D$949,$B68)))</f>
        <v/>
      </c>
      <c r="AG68" s="829" t="str">
        <f>IF($C68&lt;1,"",(AVERAGEIFS('09월 화학성분'!#REF!,'09월 화학성분'!$A$12:$A$949,$A68,'09월 화학성분'!$D$12:$D$949,$B68)))</f>
        <v/>
      </c>
      <c r="AH68" s="829" t="str">
        <f>IF($C68&lt;1,"",(AVERAGEIFS('09월 화학성분'!AB$12:AB$949,'09월 화학성분'!$A$12:$A$949,$A68,'09월 화학성분'!$D$12:$D$949,$B68)))</f>
        <v/>
      </c>
      <c r="AI68" s="829" t="str">
        <f>IF($C68&lt;1,"",(AVERAGEIFS('09월 화학성분'!AC$12:AC$949,'09월 화학성분'!$A$12:$A$949,$A68,'09월 화학성분'!$D$12:$D$949,$B68)))</f>
        <v/>
      </c>
      <c r="AJ68" s="829" t="str">
        <f>IF($C68&lt;1,"",(AVERAGEIFS('09월 화학성분'!AD$12:AD$949,'09월 화학성분'!$A$12:$A$949,$A68,'09월 화학성분'!$D$12:$D$949,$B68)))</f>
        <v/>
      </c>
      <c r="AK68" s="829" t="str">
        <f>IF($C68&lt;1,"",(AVERAGEIFS('09월 화학성분'!AF$12:AF$949,'09월 화학성분'!$A$12:$A$949,$A68,'09월 화학성분'!$D$12:$D$949,$B68)))</f>
        <v/>
      </c>
      <c r="AL68" s="829" t="str">
        <f>IF($C68&lt;1,"",(AVERAGEIFS('09월 화학성분'!AG$12:AG$949,'09월 화학성분'!$A$12:$A$949,$A68,'09월 화학성분'!$D$12:$D$949,$B68)))</f>
        <v/>
      </c>
      <c r="AM68" s="829" t="str">
        <f>IF($C68&lt;1,"",(AVERAGEIFS('09월 화학성분'!AH$12:AH$949,'09월 화학성분'!$A$12:$A$949,$A68,'09월 화학성분'!$D$12:$D$949,$B68)))</f>
        <v/>
      </c>
      <c r="AN68" s="829" t="str">
        <f>IF($C68&lt;1,"",(AVERAGEIFS('09월 화학성분'!AI$12:AI$949,'09월 화학성분'!$A$12:$A$949,$A68,'09월 화학성분'!$D$12:$D$949,$B68)))</f>
        <v/>
      </c>
      <c r="AO68" s="829" t="str">
        <f>IF($C68&lt;1,"",(AVERAGEIFS('09월 화학성분'!AJ$12:AJ$949,'09월 화학성분'!$A$12:$A$949,$A68,'09월 화학성분'!$D$12:$D$949,$B68)))</f>
        <v/>
      </c>
      <c r="AP68" s="829" t="str">
        <f>IF($C68&lt;1,"",(AVERAGEIFS('09월 화학성분'!#REF!,'09월 화학성분'!$A$12:$A$949,$A68,'09월 화학성분'!$D$12:$D$949,$B68)))</f>
        <v/>
      </c>
      <c r="AQ68" s="829" t="str">
        <f>IF($C68&lt;1,"",(AVERAGEIFS('09월 화학성분'!AL$12:AL$949,'09월 화학성분'!$A$12:$A$949,$A68,'09월 화학성분'!$D$12:$D$949,$B68)))</f>
        <v/>
      </c>
      <c r="AR68" s="829" t="str">
        <f>IF($C68&lt;1,"",(AVERAGEIFS('09월 화학성분'!AM$12:AM$949,'09월 화학성분'!$A$12:$A$949,$A68,'09월 화학성분'!$D$12:$D$949,$B68)))</f>
        <v/>
      </c>
      <c r="AS68" s="830" t="str">
        <f>IF($C68&lt;1,"",(AVERAGEIFS('09월 화학성분'!AN$12:AN$949,'09월 화학성분'!$A$12:$A$949,$A68,'09월 화학성분'!$D$12:$D$949,$B68)))</f>
        <v/>
      </c>
      <c r="AT68" s="830" t="str">
        <f>IF($C68&lt;1,"",(AVERAGEIFS('09월 화학성분'!AO$12:AO$949,'09월 화학성분'!$A$12:$A$949,$A68,'09월 화학성분'!$D$12:$D$949,$B68)))</f>
        <v/>
      </c>
      <c r="AU68" s="831" t="str">
        <f>IF($C68&lt;1,"",(AVERAGEIFS('09월 화학성분'!AP$12:AP$949,'09월 화학성분'!$A$12:$A$949,$A68,'09월 화학성분'!$D$12:$D$949,$B68)))</f>
        <v/>
      </c>
      <c r="AV68" s="832" t="str">
        <f>IF($C68&lt;1,"",(AVERAGEIFS('09월 고철장입'!G$14:G$949,'09월 고철장입'!$A$14:$A$949,$A68,'09월 고철장입'!$C$14:$C$949,$B68))/1000)</f>
        <v/>
      </c>
      <c r="AW68" s="832" t="str">
        <f>IF($C68&lt;1,"",(AVERAGEIFS('09월 고철장입'!H$14:H$949,'09월 고철장입'!$A$14:$A$949,$A68,'09월 고철장입'!$C$14:$C$949,$B68))/1000)</f>
        <v/>
      </c>
      <c r="AX68" s="832" t="str">
        <f>IF($C68&lt;1,"",(AVERAGEIFS('09월 고철장입'!I$14:I$949,'09월 고철장입'!$A$14:$A$949,$A68,'09월 고철장입'!$C$14:$C$949,$B68))/1000)</f>
        <v/>
      </c>
      <c r="AY68" s="832" t="str">
        <f>IF($C68&lt;1,"",(AVERAGEIFS('09월 고철장입'!J$14:J$949,'09월 고철장입'!$A$14:$A$949,$A68,'09월 고철장입'!$C$14:$C$949,$B68))/1000)</f>
        <v/>
      </c>
      <c r="AZ68" s="832" t="str">
        <f>IF($C68&lt;1,"",(AVERAGEIFS('09월 고철장입'!K$14:K$949,'09월 고철장입'!$A$14:$A$949,$A68,'09월 고철장입'!$C$14:$C$949,$B68))/1000)</f>
        <v/>
      </c>
      <c r="BA68" s="832" t="str">
        <f>IF($C68&lt;1,"",(AVERAGEIFS('09월 고철장입'!L$14:L$949,'09월 고철장입'!$A$14:$A$949,$A68,'09월 고철장입'!$C$14:$C$949,$B68))/1000)</f>
        <v/>
      </c>
      <c r="BB68" s="832" t="str">
        <f>IF($C68&lt;1,"",(AVERAGEIFS('09월 고철장입'!M$14:M$949,'09월 고철장입'!$A$14:$A$949,$A68,'09월 고철장입'!$C$14:$C$949,$B68))/1000)</f>
        <v/>
      </c>
      <c r="BC68" s="832" t="str">
        <f>IF($C68&lt;1,"",(AVERAGEIFS('09월 고철장입'!N$14:N$949,'09월 고철장입'!$A$14:$A$949,$A68,'09월 고철장입'!$C$14:$C$949,$B68))/1000)</f>
        <v/>
      </c>
      <c r="BD68" s="832" t="str">
        <f>IF($C68&lt;1,"",(AVERAGEIFS('09월 고철장입'!O$14:O$949,'09월 고철장입'!$A$14:$A$949,$A68,'09월 고철장입'!$C$14:$C$949,$B68))/1000)</f>
        <v/>
      </c>
      <c r="BE68" s="833" t="str">
        <f>IF($C68&lt;1,"",(AVERAGEIFS('09월 고철장입'!P$14:P$949,'09월 고철장입'!$A$14:$A$949,$A68,'09월 고철장입'!$C$14:$C$949,$B68))/1000)</f>
        <v/>
      </c>
      <c r="BF68" s="833" t="str">
        <f>IF($C68&lt;1,"",(AVERAGEIFS('09월 고철장입'!Q$14:Q$949,'09월 고철장입'!$A$14:$A$949,$A68,'09월 고철장입'!$C$14:$C$949,$B68))/1000)</f>
        <v/>
      </c>
      <c r="BG68" s="833" t="str">
        <f>IF($C68&lt;1,"",(AVERAGEIFS('09월 고철장입'!S$14:S$949,'09월 고철장입'!$A$14:$A$949,$A68,'09월 고철장입'!$C$14:$C$949,$B68))/1000)</f>
        <v/>
      </c>
      <c r="BH68" s="833" t="str">
        <f>IF($C68&lt;1,"",(AVERAGEIFS('09월 고철장입'!T$14:T$949,'09월 고철장입'!$A$14:$A$949,$A68,'09월 고철장입'!$C$14:$C$949,$B68))/1000)</f>
        <v/>
      </c>
      <c r="BI68" s="833" t="str">
        <f>IF($C68&lt;1,"",(AVERAGEIFS('09월 고철장입'!U$14:U$949,'09월 고철장입'!$A$14:$A$949,$A68,'09월 고철장입'!$C$14:$C$949,$B68))/1000)</f>
        <v/>
      </c>
      <c r="BJ68" s="833" t="str">
        <f>IF($C68&lt;1,"",(AVERAGEIFS('09월 고철장입'!V$14:V$949,'09월 고철장입'!$A$14:$A$949,$A68,'09월 고철장입'!$C$14:$C$949,$B68))/1000)</f>
        <v/>
      </c>
      <c r="BK68" s="833" t="str">
        <f>IF($C68&lt;1,"",(AVERAGEIFS('09월 고철장입'!W$14:W$949,'09월 고철장입'!$A$14:$A$949,$A68,'09월 고철장입'!$C$14:$C$949,$B68))/1000)</f>
        <v/>
      </c>
      <c r="BL68" s="833" t="str">
        <f>IF($C68&lt;1,"",(AVERAGEIFS('09월 고철장입'!Y$14:Y$949,'09월 고철장입'!$A$14:$A$949,$A68,'09월 고철장입'!$C$14:$C$949,$B68))/1000)</f>
        <v/>
      </c>
      <c r="BM68" s="833" t="str">
        <f>IF($C68&lt;1,"",(AVERAGEIFS('09월 고철장입'!AB$14:AB$949,'09월 고철장입'!$A$14:$A$949,$A68,'09월 고철장입'!$C$14:$C$949,$B68))/1000)</f>
        <v/>
      </c>
      <c r="BN68" s="833" t="str">
        <f>IF($C68&lt;1,"",(AVERAGEIFS('09월 고철장입'!AC$14:AC$949,'09월 고철장입'!$A$14:$A$949,$A68,'09월 고철장입'!$C$14:$C$949,$B68))/1000)</f>
        <v/>
      </c>
      <c r="BO68" s="833" t="str">
        <f>IF($C68&lt;1,"",(AVERAGEIFS('09월 고철장입'!AD$14:AD$949,'09월 고철장입'!$A$14:$A$949,$A68,'09월 고철장입'!$C$14:$C$949,$B68))/1000)</f>
        <v/>
      </c>
      <c r="BP68" s="833" t="str">
        <f>IF($C68&lt;1,"",(AVERAGEIFS('09월 고철장입'!AE$14:AE$949,'09월 고철장입'!$A$14:$A$949,$A68,'09월 고철장입'!$C$14:$C$949,$B68))/1000)</f>
        <v/>
      </c>
      <c r="BQ68" s="832" t="str">
        <f>IF($C68&lt;1,"",(AVERAGEIFS('09월 고철장입'!AF$14:AF$949,'09월 고철장입'!$A$14:$A$949,$A68,'09월 고철장입'!$C$14:$C$949,$B68))/1000)</f>
        <v/>
      </c>
      <c r="BR68" s="832" t="str">
        <f>IF($C68&lt;1,"",(AVERAGEIFS('09월 고철장입'!AG$14:AG$949,'09월 고철장입'!$A$14:$A$949,$A68,'09월 고철장입'!$C$14:$C$949,$B68))/1000)</f>
        <v/>
      </c>
      <c r="BS68" s="832" t="str">
        <f>IF($C68&lt;1,"",(AVERAGEIFS('09월 고철장입'!AH$14:AH$949,'09월 고철장입'!$A$14:$A$949,$A68,'09월 고철장입'!$C$14:$C$949,$B68))/1000)</f>
        <v/>
      </c>
      <c r="BT68" s="832" t="str">
        <f>IF($C68&lt;1,"",(AVERAGEIFS('09월 고철장입'!AI$14:AI$949,'09월 고철장입'!$A$14:$A$949,$A68,'09월 고철장입'!$C$14:$C$949,$B68))/1000)</f>
        <v/>
      </c>
      <c r="BU68" s="834" t="str">
        <f>IF($C68&lt;1,"",(AVERAGEIFS('09월 고철장입'!AJ$14:AJ$949,'09월 고철장입'!$A$14:$A$949,$A68,'09월 고철장입'!$C$14:$C$949,$B68))/1000)</f>
        <v/>
      </c>
      <c r="BV68" s="834" t="str">
        <f>IF($C68&lt;1,"",(AVERAGEIFS('09월 고철장입'!AK$14:AK$949,'09월 고철장입'!$A$14:$A$949,$A68,'09월 고철장입'!$C$14:$C$949,$B68)))</f>
        <v/>
      </c>
      <c r="BW68" s="834" t="str">
        <f>IF($C68&lt;1,"",(AVERAGEIFS('09월 고철장입'!AL$14:AL$949,'09월 고철장입'!$A$14:$A$949,$A68,'09월 고철장입'!$C$14:$C$949,$B68))*100)</f>
        <v/>
      </c>
      <c r="BX68" s="831" t="str">
        <f>IF($C68&lt;1,"",(AVERAGEIFS('09월 에너지'!G$14:G$949,'09월 에너지'!$A$14:$A$949,$A68,'09월 에너지'!$C$14:$C$949,$B68)))</f>
        <v/>
      </c>
      <c r="BY68" s="835" t="str">
        <f>IF($C68&lt;1,"",(AVERAGEIFS('09월 에너지'!H$14:H$949,'09월 에너지'!$A$14:$A$949,$A68,'09월 에너지'!$C$14:$C$949,$B68)))</f>
        <v/>
      </c>
      <c r="BZ68" s="831" t="str">
        <f>IF($C68&lt;1,"",(AVERAGEIFS('09월 에너지'!I$14:I$949,'09월 에너지'!$A$14:$A$949,$A68,'09월 에너지'!$C$14:$C$949,$B68)))</f>
        <v/>
      </c>
      <c r="CA68" s="835" t="str">
        <f>IF($C68&lt;1,"",(AVERAGEIFS('09월 에너지'!J$14:J$949,'09월 에너지'!$A$14:$A$949,$A68,'09월 에너지'!$C$14:$C$949,$B68)))</f>
        <v/>
      </c>
      <c r="CB68" s="831" t="str">
        <f>IF($C68&lt;1,"",(AVERAGEIFS('09월 에너지'!K$14:K$949,'09월 에너지'!$A$14:$A$949,$A68,'09월 에너지'!$C$14:$C$949,$B68)))</f>
        <v/>
      </c>
      <c r="CC68" s="835" t="str">
        <f>IF($C68&lt;1,"",(AVERAGEIFS('09월 에너지'!L$14:L$949,'09월 에너지'!$A$14:$A$949,$A68,'09월 에너지'!$C$14:$C$949,$B68)))</f>
        <v/>
      </c>
      <c r="CD68" s="831" t="str">
        <f>IF($C68&lt;1,"",(AVERAGEIFS('09월 에너지'!M$14:M$949,'09월 에너지'!$A$14:$A$949,$A68,'09월 에너지'!$C$14:$C$949,$B68)))</f>
        <v/>
      </c>
      <c r="CE68" s="835" t="str">
        <f>IF($C68&lt;1,"",(AVERAGEIFS('09월 에너지'!N$14:N$949,'09월 에너지'!$A$14:$A$949,$A68,'09월 에너지'!$C$14:$C$949,$B68)))</f>
        <v/>
      </c>
      <c r="CF68" s="831" t="str">
        <f>IF($C68&lt;1,"",(AVERAGEIFS('09월 에너지'!O$14:O$949,'09월 에너지'!$A$14:$A$949,$A68,'09월 에너지'!$C$14:$C$949,$B68)))</f>
        <v/>
      </c>
      <c r="CG68" s="831" t="str">
        <f>IF($C68&lt;1,"",(AVERAGEIFS('09월 에너지'!P$14:P$949,'09월 에너지'!$A$14:$A$949,$A68,'09월 에너지'!$C$14:$C$949,$B68)))</f>
        <v/>
      </c>
      <c r="CH68" s="831" t="str">
        <f>IF($C68&lt;1,"",(AVERAGEIFS('09월 에너지'!Q$14:Q$949,'09월 에너지'!$A$14:$A$949,$A68,'09월 에너지'!$C$14:$C$949,$B68)))</f>
        <v/>
      </c>
      <c r="CI68" s="831" t="str">
        <f>IF($C68&lt;1,"",(AVERAGEIFS('09월 에너지'!R$14:R$949,'09월 에너지'!$A$14:$A$949,$A68,'09월 에너지'!$C$14:$C$949,$B68)))</f>
        <v/>
      </c>
      <c r="CJ68" s="831" t="str">
        <f>IF($C68&lt;1,"",(AVERAGEIFS('09월 에너지'!S$14:S$949,'09월 에너지'!$A$14:$A$949,$A68,'09월 에너지'!$C$14:$C$949,$B68)))</f>
        <v/>
      </c>
      <c r="CK68" s="831" t="str">
        <f>IF($C68&lt;1,"",(AVERAGEIFS('09월 에너지'!T$14:T$949,'09월 에너지'!$A$14:$A$949,$A68,'09월 에너지'!$C$14:$C$949,$B68)))</f>
        <v/>
      </c>
      <c r="CL68" s="831" t="str">
        <f>IF($C68&lt;1,"",(AVERAGEIFS('09월 에너지'!U$14:U$949,'09월 에너지'!$A$14:$A$949,$A68,'09월 에너지'!$C$14:$C$949,$B68)))</f>
        <v/>
      </c>
      <c r="CM68" s="835" t="str">
        <f>IF($C68&lt;1,"",(AVERAGEIFS('09월 에너지'!V$14:V$949,'09월 에너지'!$A$14:$A$949,$A68,'09월 에너지'!$C$14:$C$949,$B68)))</f>
        <v/>
      </c>
      <c r="CN68" s="835" t="str">
        <f>IF($C68&lt;1,"",(AVERAGEIFS('09월 에너지'!W$14:W$949,'09월 에너지'!$A$14:$A$949,$A68,'09월 에너지'!$C$14:$C$949,$B68)))</f>
        <v/>
      </c>
      <c r="CO68" s="831" t="str">
        <f>IF($C68&lt;1,"",(AVERAGEIFS('09월 에너지'!X$14:X$949,'09월 에너지'!$A$14:$A$949,$A68,'09월 에너지'!$C$14:$C$949,$B68)))</f>
        <v/>
      </c>
      <c r="CP68" s="835" t="str">
        <f>IF($C68&lt;1,"",(AVERAGEIFS('09월 에너지'!Y$14:Y$949,'09월 에너지'!$A$14:$A$949,$A68,'09월 에너지'!$C$14:$C$949,$B68)))</f>
        <v/>
      </c>
      <c r="CQ68" s="835" t="str">
        <f>IF($C68&lt;1,"",(AVERAGEIFS('09월 에너지'!Z$14:Z$949,'09월 에너지'!$A$14:$A$949,$A68,'09월 에너지'!$C$14:$C$949,$B68)))</f>
        <v/>
      </c>
      <c r="CR68" s="835" t="str">
        <f>IF($C68&lt;1,"",(AVERAGEIFS('09월 에너지'!AA$14:AA$949,'09월 에너지'!$A$14:$A$949,$A68,'09월 에너지'!$C$14:$C$949,$B68)))</f>
        <v/>
      </c>
      <c r="CS68" s="835" t="str">
        <f>IF($C68&lt;1,"",(AVERAGEIFS('09월 에너지'!AB$14:AB$949,'09월 에너지'!$A$14:$A$949,$A68,'09월 에너지'!$C$14:$C$949,$B68)))</f>
        <v/>
      </c>
      <c r="CT68" s="831" t="str">
        <f>IF($C68&lt;1,"",(AVERAGEIFS('09월 에너지'!AC$14:AC$949,'09월 에너지'!$A$14:$A$949,$A68,'09월 에너지'!$C$14:$C$949,$B68)))</f>
        <v/>
      </c>
      <c r="CU68" s="836" t="str">
        <f>IF($C68&lt;1,"",(AVERAGEIFS('09월 에너지'!AD$14:AD$949,'09월 에너지'!$A$14:$A$949,$A68,'09월 에너지'!$C$14:$C$949,$B68)))</f>
        <v/>
      </c>
      <c r="CV68" s="837" t="str">
        <f>IF($C68&lt;1,"",(AVERAGEIFS('09월 에너지'!AE$14:AE$949,'09월 에너지'!$A$14:$A$949,$A68,'09월 에너지'!$C$14:$C$949,$B68)))</f>
        <v/>
      </c>
      <c r="CW68" s="831" t="str">
        <f>IF($C68&lt;1,"",(AVERAGEIFS('09월 에너지'!AF$14:AF$949,'09월 에너지'!$A$14:$A$949,$A68,'09월 에너지'!$C$14:$C$949,$B68)))</f>
        <v/>
      </c>
      <c r="CX68" s="831" t="str">
        <f>IF($C68&lt;1,"",(AVERAGEIFS('09월 에너지'!AG$14:AG$949,'09월 에너지'!$A$14:$A$949,$A68,'09월 에너지'!$C$14:$C$949,$B68)))</f>
        <v/>
      </c>
      <c r="CY68" s="831" t="str">
        <f>IF($C68&lt;1,"",(AVERAGEIFS('09월 에너지'!AH$14:AH$949,'09월 에너지'!$A$14:$A$949,$A68,'09월 에너지'!$C$14:$C$949,$B68)))</f>
        <v/>
      </c>
      <c r="CZ68" s="831" t="str">
        <f>IF($C68&lt;1,"",(AVERAGEIFS('09월 에너지'!AI$14:AI$949,'09월 에너지'!$A$14:$A$949,$A68,'09월 에너지'!$C$14:$C$949,$B68)))</f>
        <v/>
      </c>
      <c r="DA68" s="838" t="str">
        <f>IF($C68&lt;1,"",(AVERAGEIFS('09월 에너지'!AJ$14:AJ$949,'09월 에너지'!$A$14:$A$949,$A68,'09월 에너지'!$C$14:$C$949,$B68)))</f>
        <v/>
      </c>
    </row>
    <row r="69" spans="1:105" ht="13.5" customHeight="1">
      <c r="A69" s="849">
        <f t="shared" si="2"/>
        <v>44939</v>
      </c>
      <c r="B69" s="850" t="s">
        <v>10</v>
      </c>
      <c r="C69" s="823">
        <f>COUNTIFS('09월 조업일지'!$A$12:$A$952,A66,'09월 조업일지'!$E$12:$E$952,B69)</f>
        <v>0</v>
      </c>
      <c r="D69" s="824" t="str">
        <f t="shared" si="14"/>
        <v/>
      </c>
      <c r="E69" s="824" t="str">
        <f>IF($C69&lt;1,"",(SUMIFS('09월 조업일지'!$K$12:$K$952,'09월 조업일지'!$A$12:$A$952,$A69,'09월 조업일지'!$E$12:$E$952,$B69)/$C69))</f>
        <v/>
      </c>
      <c r="F69" s="824" t="str">
        <f>IF($C69&lt;1,"",(AVERAGEIFS('09월 조업일지'!$J$12:$J$952,'09월 조업일지'!$A$12:$A$952,$A69,'09월 조업일지'!$E$12:$E$952,$B69)))</f>
        <v/>
      </c>
      <c r="G69" s="825" t="str">
        <f>IF($C69&lt;1,"",(AVERAGEIFS('09월 에너지'!$M$14:$M$949,'09월 에너지'!$A$14:$A$949,$A69,'09월 에너지'!$C$14:$C$949,$B69)))</f>
        <v/>
      </c>
      <c r="H69" s="826" t="str">
        <f>IF($C69&lt;1,"",(AVERAGEIFS('09월 조업일지'!$AJ$12:$AJ$952,'09월 조업일지'!$A$12:$A$952,$A69,'09월 조업일지'!$E$12:$E$952,$B69)))</f>
        <v/>
      </c>
      <c r="I69" s="826" t="str">
        <f>IF($C69&lt;1,"",(AVERAGEIFS('09월 조업일지'!$AL$12:$AL$952,'09월 조업일지'!$A$12:$A$952,$A69,'09월 조업일지'!$E$12:$E$952,$B69)))</f>
        <v/>
      </c>
      <c r="J69" s="827" t="str">
        <f>IF($C69&lt;1,"",(AVERAGEIFS('09월 화학성분'!G$12:G$949,'09월 화학성분'!$A$12:$A$949,$A69,'09월 화학성분'!$D$12:$D$949,$B69)))</f>
        <v/>
      </c>
      <c r="K69" s="827" t="str">
        <f>IF($C69&lt;1,"",(AVERAGEIFS('09월 화학성분'!H$12:H$949,'09월 화학성분'!$A$12:$A$949,$A69,'09월 화학성분'!$D$12:$D$949,$B69)))</f>
        <v/>
      </c>
      <c r="L69" s="827" t="str">
        <f>IF($C69&lt;1,"",(AVERAGEIFS('09월 화학성분'!I$12:I$949,'09월 화학성분'!$A$12:$A$949,$A69,'09월 화학성분'!$D$12:$D$949,$B69)))</f>
        <v/>
      </c>
      <c r="M69" s="827" t="str">
        <f>IF($C69&lt;1,"",(AVERAGEIFS('09월 화학성분'!J$12:J$949,'09월 화학성분'!$A$12:$A$949,$A69,'09월 화학성분'!$D$12:$D$949,$B69)))</f>
        <v/>
      </c>
      <c r="N69" s="827" t="str">
        <f>IF($C69&lt;1,"",(AVERAGEIFS('09월 화학성분'!K$12:K$949,'09월 화학성분'!$A$12:$A$949,$A69,'09월 화학성분'!$D$12:$D$949,$B69)))</f>
        <v/>
      </c>
      <c r="O69" s="827" t="str">
        <f>IF($C69&lt;1,"",(AVERAGEIFS('09월 화학성분'!L$12:L$949,'09월 화학성분'!$A$12:$A$949,$A69,'09월 화학성분'!$D$12:$D$949,$B69)))</f>
        <v/>
      </c>
      <c r="P69" s="827" t="str">
        <f>IF($C69&lt;1,"",(AVERAGEIFS('09월 화학성분'!M$12:M$949,'09월 화학성분'!$A$12:$A$949,$A69,'09월 화학성분'!$D$12:$D$949,$B69)))</f>
        <v/>
      </c>
      <c r="Q69" s="827" t="str">
        <f>IFERROR(IF($C69&lt;1,"",(AVERAGEIFS('09월 조업일지'!$AA$12:$AA$952,'09월 조업일지'!$A$12:$A$952,$A69,'09월 조업일지'!$E$12:$E$952,$B69))),"")</f>
        <v/>
      </c>
      <c r="R69" s="827" t="str">
        <f>IF($C69&lt;1,"",(AVERAGEIFS('09월 조업일지'!$AK$12:$AK$952,'09월 조업일지'!$A$12:$A$952,$A69,'09월 조업일지'!$E$12:$E$952,$B69)))</f>
        <v/>
      </c>
      <c r="S69" s="827"/>
      <c r="T69" s="827"/>
      <c r="U69" s="827" t="str">
        <f>IF($C69&lt;1,"",(AVERAGEIFS('09월 화학성분'!$G$12:$G$949,'09월 화학성분'!$A$12:$A$949,$A69,'09월 화학성분'!$D$12:$D$949,$B69)))</f>
        <v/>
      </c>
      <c r="V69" s="827" t="str">
        <f>IF($C69&lt;1,"",(AVERAGEIFS('09월 조업일지'!$AI$12:$AI$952,'09월 조업일지'!$A$12:$A$952,$A69,'09월 조업일지'!$E$12:$E$952,$B69)))</f>
        <v/>
      </c>
      <c r="W69" s="828" t="str">
        <f>IF($C69&lt;1,"",(AVERAGEIFS('09월 화학성분'!$AM$12:$AM$949,'09월 화학성분'!$A$12:$A$949,$A69,'09월 화학성분'!$D$12:$D$949,$B69)))</f>
        <v/>
      </c>
      <c r="X69" s="829" t="str">
        <f>IF($C69&lt;1,"",(AVERAGEIFS('09월 화학성분'!N$12:N$949,'09월 화학성분'!$A$12:$A$949,$A69,'09월 화학성분'!$D$12:$D$949,$B69)))</f>
        <v/>
      </c>
      <c r="Y69" s="829" t="str">
        <f>IF($C69&lt;1,"",(AVERAGEIFS('09월 화학성분'!O$12:O$949,'09월 화학성분'!$A$12:$A$949,$A69,'09월 화학성분'!$D$12:$D$949,$B69)))</f>
        <v/>
      </c>
      <c r="Z69" s="829" t="str">
        <f>IF($C69&lt;1,"",(AVERAGEIFS('09월 화학성분'!P$12:P$949,'09월 화학성분'!$A$12:$A$949,$A69,'09월 화학성분'!$D$12:$D$949,$B69)))</f>
        <v/>
      </c>
      <c r="AA69" s="829" t="str">
        <f>IF($C69&lt;1,"",(AVERAGEIFS('09월 화학성분'!Q$12:Q$949,'09월 화학성분'!$A$12:$A$949,$A69,'09월 화학성분'!$D$12:$D$949,$B69)))</f>
        <v/>
      </c>
      <c r="AB69" s="829" t="str">
        <f>IF($C69&lt;1,"",(AVERAGEIFS('09월 화학성분'!R$12:R$949,'09월 화학성분'!$A$12:$A$949,$A69,'09월 화학성분'!$D$12:$D$949,$B69)))</f>
        <v/>
      </c>
      <c r="AC69" s="829" t="str">
        <f>IF($C69&lt;1,"",(AVERAGEIFS('09월 화학성분'!U$12:U$949,'09월 화학성분'!$A$12:$A$949,$A69,'09월 화학성분'!$D$12:$D$949,$B69)))</f>
        <v/>
      </c>
      <c r="AD69" s="829" t="str">
        <f>IF($C69&lt;1,"",(AVERAGEIFS('09월 화학성분'!V$12:V$949,'09월 화학성분'!$A$12:$A$949,$A69,'09월 화학성분'!$D$12:$D$949,$B69)))</f>
        <v/>
      </c>
      <c r="AE69" s="829" t="str">
        <f>IF($C69&lt;1,"",(AVERAGEIFS('09월 화학성분'!W$12:W$949,'09월 화학성분'!$A$12:$A$949,$A69,'09월 화학성분'!$D$12:$D$949,$B69)))</f>
        <v/>
      </c>
      <c r="AF69" s="829" t="str">
        <f>IF($C69&lt;1,"",(AVERAGEIFS('09월 화학성분'!AA$12:AA$949,'09월 화학성분'!$A$12:$A$949,$A69,'09월 화학성분'!$D$12:$D$949,$B69)))</f>
        <v/>
      </c>
      <c r="AG69" s="829" t="str">
        <f>IF($C69&lt;1,"",(AVERAGEIFS('09월 화학성분'!#REF!,'09월 화학성분'!$A$12:$A$949,$A69,'09월 화학성분'!$D$12:$D$949,$B69)))</f>
        <v/>
      </c>
      <c r="AH69" s="829" t="str">
        <f>IF($C69&lt;1,"",(AVERAGEIFS('09월 화학성분'!AB$12:AB$949,'09월 화학성분'!$A$12:$A$949,$A69,'09월 화학성분'!$D$12:$D$949,$B69)))</f>
        <v/>
      </c>
      <c r="AI69" s="829" t="str">
        <f>IF($C69&lt;1,"",(AVERAGEIFS('09월 화학성분'!AC$12:AC$949,'09월 화학성분'!$A$12:$A$949,$A69,'09월 화학성분'!$D$12:$D$949,$B69)))</f>
        <v/>
      </c>
      <c r="AJ69" s="829" t="str">
        <f>IF($C69&lt;1,"",(AVERAGEIFS('09월 화학성분'!AD$12:AD$949,'09월 화학성분'!$A$12:$A$949,$A69,'09월 화학성분'!$D$12:$D$949,$B69)))</f>
        <v/>
      </c>
      <c r="AK69" s="829" t="str">
        <f>IF($C69&lt;1,"",(AVERAGEIFS('09월 화학성분'!AF$12:AF$949,'09월 화학성분'!$A$12:$A$949,$A69,'09월 화학성분'!$D$12:$D$949,$B69)))</f>
        <v/>
      </c>
      <c r="AL69" s="829" t="str">
        <f>IF($C69&lt;1,"",(AVERAGEIFS('09월 화학성분'!AG$12:AG$949,'09월 화학성분'!$A$12:$A$949,$A69,'09월 화학성분'!$D$12:$D$949,$B69)))</f>
        <v/>
      </c>
      <c r="AM69" s="829" t="str">
        <f>IF($C69&lt;1,"",(AVERAGEIFS('09월 화학성분'!AH$12:AH$949,'09월 화학성분'!$A$12:$A$949,$A69,'09월 화학성분'!$D$12:$D$949,$B69)))</f>
        <v/>
      </c>
      <c r="AN69" s="829" t="str">
        <f>IF($C69&lt;1,"",(AVERAGEIFS('09월 화학성분'!AI$12:AI$949,'09월 화학성분'!$A$12:$A$949,$A69,'09월 화학성분'!$D$12:$D$949,$B69)))</f>
        <v/>
      </c>
      <c r="AO69" s="829" t="str">
        <f>IF($C69&lt;1,"",(AVERAGEIFS('09월 화학성분'!AJ$12:AJ$949,'09월 화학성분'!$A$12:$A$949,$A69,'09월 화학성분'!$D$12:$D$949,$B69)))</f>
        <v/>
      </c>
      <c r="AP69" s="829" t="str">
        <f>IF($C69&lt;1,"",(AVERAGEIFS('09월 화학성분'!#REF!,'09월 화학성분'!$A$12:$A$949,$A69,'09월 화학성분'!$D$12:$D$949,$B69)))</f>
        <v/>
      </c>
      <c r="AQ69" s="829" t="str">
        <f>IF($C69&lt;1,"",(AVERAGEIFS('09월 화학성분'!AL$12:AL$949,'09월 화학성분'!$A$12:$A$949,$A69,'09월 화학성분'!$D$12:$D$949,$B69)))</f>
        <v/>
      </c>
      <c r="AR69" s="829" t="str">
        <f>IF($C69&lt;1,"",(AVERAGEIFS('09월 화학성분'!AM$12:AM$949,'09월 화학성분'!$A$12:$A$949,$A69,'09월 화학성분'!$D$12:$D$949,$B69)))</f>
        <v/>
      </c>
      <c r="AS69" s="830" t="str">
        <f>IF($C69&lt;1,"",(AVERAGEIFS('09월 화학성분'!AN$12:AN$949,'09월 화학성분'!$A$12:$A$949,$A69,'09월 화학성분'!$D$12:$D$949,$B69)))</f>
        <v/>
      </c>
      <c r="AT69" s="830" t="str">
        <f>IF($C69&lt;1,"",(AVERAGEIFS('09월 화학성분'!AO$12:AO$949,'09월 화학성분'!$A$12:$A$949,$A69,'09월 화학성분'!$D$12:$D$949,$B69)))</f>
        <v/>
      </c>
      <c r="AU69" s="831" t="str">
        <f>IF($C69&lt;1,"",(AVERAGEIFS('09월 화학성분'!AP$12:AP$949,'09월 화학성분'!$A$12:$A$949,$A69,'09월 화학성분'!$D$12:$D$949,$B69)))</f>
        <v/>
      </c>
      <c r="AV69" s="832" t="str">
        <f>IF($C69&lt;1,"",(AVERAGEIFS('09월 고철장입'!G$14:G$949,'09월 고철장입'!$A$14:$A$949,$A69,'09월 고철장입'!$C$14:$C$949,$B69))/1000)</f>
        <v/>
      </c>
      <c r="AW69" s="832" t="str">
        <f>IF($C69&lt;1,"",(AVERAGEIFS('09월 고철장입'!H$14:H$949,'09월 고철장입'!$A$14:$A$949,$A69,'09월 고철장입'!$C$14:$C$949,$B69))/1000)</f>
        <v/>
      </c>
      <c r="AX69" s="832" t="str">
        <f>IF($C69&lt;1,"",(AVERAGEIFS('09월 고철장입'!I$14:I$949,'09월 고철장입'!$A$14:$A$949,$A69,'09월 고철장입'!$C$14:$C$949,$B69))/1000)</f>
        <v/>
      </c>
      <c r="AY69" s="832" t="str">
        <f>IF($C69&lt;1,"",(AVERAGEIFS('09월 고철장입'!J$14:J$949,'09월 고철장입'!$A$14:$A$949,$A69,'09월 고철장입'!$C$14:$C$949,$B69))/1000)</f>
        <v/>
      </c>
      <c r="AZ69" s="832" t="str">
        <f>IF($C69&lt;1,"",(AVERAGEIFS('09월 고철장입'!K$14:K$949,'09월 고철장입'!$A$14:$A$949,$A69,'09월 고철장입'!$C$14:$C$949,$B69))/1000)</f>
        <v/>
      </c>
      <c r="BA69" s="832" t="str">
        <f>IF($C69&lt;1,"",(AVERAGEIFS('09월 고철장입'!L$14:L$949,'09월 고철장입'!$A$14:$A$949,$A69,'09월 고철장입'!$C$14:$C$949,$B69))/1000)</f>
        <v/>
      </c>
      <c r="BB69" s="832" t="str">
        <f>IF($C69&lt;1,"",(AVERAGEIFS('09월 고철장입'!M$14:M$949,'09월 고철장입'!$A$14:$A$949,$A69,'09월 고철장입'!$C$14:$C$949,$B69))/1000)</f>
        <v/>
      </c>
      <c r="BC69" s="832" t="str">
        <f>IF($C69&lt;1,"",(AVERAGEIFS('09월 고철장입'!N$14:N$949,'09월 고철장입'!$A$14:$A$949,$A69,'09월 고철장입'!$C$14:$C$949,$B69))/1000)</f>
        <v/>
      </c>
      <c r="BD69" s="832" t="str">
        <f>IF($C69&lt;1,"",(AVERAGEIFS('09월 고철장입'!O$14:O$949,'09월 고철장입'!$A$14:$A$949,$A69,'09월 고철장입'!$C$14:$C$949,$B69))/1000)</f>
        <v/>
      </c>
      <c r="BE69" s="833" t="str">
        <f>IF($C69&lt;1,"",(AVERAGEIFS('09월 고철장입'!P$14:P$949,'09월 고철장입'!$A$14:$A$949,$A69,'09월 고철장입'!$C$14:$C$949,$B69))/1000)</f>
        <v/>
      </c>
      <c r="BF69" s="833" t="str">
        <f>IF($C69&lt;1,"",(AVERAGEIFS('09월 고철장입'!Q$14:Q$949,'09월 고철장입'!$A$14:$A$949,$A69,'09월 고철장입'!$C$14:$C$949,$B69))/1000)</f>
        <v/>
      </c>
      <c r="BG69" s="833" t="str">
        <f>IF($C69&lt;1,"",(AVERAGEIFS('09월 고철장입'!S$14:S$949,'09월 고철장입'!$A$14:$A$949,$A69,'09월 고철장입'!$C$14:$C$949,$B69))/1000)</f>
        <v/>
      </c>
      <c r="BH69" s="833" t="str">
        <f>IF($C69&lt;1,"",(AVERAGEIFS('09월 고철장입'!T$14:T$949,'09월 고철장입'!$A$14:$A$949,$A69,'09월 고철장입'!$C$14:$C$949,$B69))/1000)</f>
        <v/>
      </c>
      <c r="BI69" s="833" t="str">
        <f>IF($C69&lt;1,"",(AVERAGEIFS('09월 고철장입'!U$14:U$949,'09월 고철장입'!$A$14:$A$949,$A69,'09월 고철장입'!$C$14:$C$949,$B69))/1000)</f>
        <v/>
      </c>
      <c r="BJ69" s="833" t="str">
        <f>IF($C69&lt;1,"",(AVERAGEIFS('09월 고철장입'!V$14:V$949,'09월 고철장입'!$A$14:$A$949,$A69,'09월 고철장입'!$C$14:$C$949,$B69))/1000)</f>
        <v/>
      </c>
      <c r="BK69" s="833" t="str">
        <f>IF($C69&lt;1,"",(AVERAGEIFS('09월 고철장입'!W$14:W$949,'09월 고철장입'!$A$14:$A$949,$A69,'09월 고철장입'!$C$14:$C$949,$B69))/1000)</f>
        <v/>
      </c>
      <c r="BL69" s="833" t="str">
        <f>IF($C69&lt;1,"",(AVERAGEIFS('09월 고철장입'!Y$14:Y$949,'09월 고철장입'!$A$14:$A$949,$A69,'09월 고철장입'!$C$14:$C$949,$B69))/1000)</f>
        <v/>
      </c>
      <c r="BM69" s="833" t="str">
        <f>IF($C69&lt;1,"",(AVERAGEIFS('09월 고철장입'!AB$14:AB$949,'09월 고철장입'!$A$14:$A$949,$A69,'09월 고철장입'!$C$14:$C$949,$B69))/1000)</f>
        <v/>
      </c>
      <c r="BN69" s="833" t="str">
        <f>IF($C69&lt;1,"",(AVERAGEIFS('09월 고철장입'!AC$14:AC$949,'09월 고철장입'!$A$14:$A$949,$A69,'09월 고철장입'!$C$14:$C$949,$B69))/1000)</f>
        <v/>
      </c>
      <c r="BO69" s="833" t="str">
        <f>IF($C69&lt;1,"",(AVERAGEIFS('09월 고철장입'!AD$14:AD$949,'09월 고철장입'!$A$14:$A$949,$A69,'09월 고철장입'!$C$14:$C$949,$B69))/1000)</f>
        <v/>
      </c>
      <c r="BP69" s="833" t="str">
        <f>IF($C69&lt;1,"",(AVERAGEIFS('09월 고철장입'!AE$14:AE$949,'09월 고철장입'!$A$14:$A$949,$A69,'09월 고철장입'!$C$14:$C$949,$B69))/1000)</f>
        <v/>
      </c>
      <c r="BQ69" s="832" t="str">
        <f>IF($C69&lt;1,"",(AVERAGEIFS('09월 고철장입'!AF$14:AF$949,'09월 고철장입'!$A$14:$A$949,$A69,'09월 고철장입'!$C$14:$C$949,$B69))/1000)</f>
        <v/>
      </c>
      <c r="BR69" s="832" t="str">
        <f>IF($C69&lt;1,"",(AVERAGEIFS('09월 고철장입'!AG$14:AG$949,'09월 고철장입'!$A$14:$A$949,$A69,'09월 고철장입'!$C$14:$C$949,$B69))/1000)</f>
        <v/>
      </c>
      <c r="BS69" s="832" t="str">
        <f>IF($C69&lt;1,"",(AVERAGEIFS('09월 고철장입'!AH$14:AH$949,'09월 고철장입'!$A$14:$A$949,$A69,'09월 고철장입'!$C$14:$C$949,$B69))/1000)</f>
        <v/>
      </c>
      <c r="BT69" s="832" t="str">
        <f>IF($C69&lt;1,"",(AVERAGEIFS('09월 고철장입'!AI$14:AI$949,'09월 고철장입'!$A$14:$A$949,$A69,'09월 고철장입'!$C$14:$C$949,$B69))/1000)</f>
        <v/>
      </c>
      <c r="BU69" s="834" t="str">
        <f>IF($C69&lt;1,"",(AVERAGEIFS('09월 고철장입'!AJ$14:AJ$949,'09월 고철장입'!$A$14:$A$949,$A69,'09월 고철장입'!$C$14:$C$949,$B69))/1000)</f>
        <v/>
      </c>
      <c r="BV69" s="834" t="str">
        <f>IF($C69&lt;1,"",(AVERAGEIFS('09월 고철장입'!AK$14:AK$949,'09월 고철장입'!$A$14:$A$949,$A69,'09월 고철장입'!$C$14:$C$949,$B69)))</f>
        <v/>
      </c>
      <c r="BW69" s="834" t="str">
        <f>IF($C69&lt;1,"",(AVERAGEIFS('09월 고철장입'!AL$14:AL$949,'09월 고철장입'!$A$14:$A$949,$A69,'09월 고철장입'!$C$14:$C$949,$B69))*100)</f>
        <v/>
      </c>
      <c r="BX69" s="831" t="str">
        <f>IF($C69&lt;1,"",(AVERAGEIFS('09월 에너지'!G$14:G$949,'09월 에너지'!$A$14:$A$949,$A69,'09월 에너지'!$C$14:$C$949,$B69)))</f>
        <v/>
      </c>
      <c r="BY69" s="835" t="str">
        <f>IF($C69&lt;1,"",(AVERAGEIFS('09월 에너지'!H$14:H$949,'09월 에너지'!$A$14:$A$949,$A69,'09월 에너지'!$C$14:$C$949,$B69)))</f>
        <v/>
      </c>
      <c r="BZ69" s="831" t="str">
        <f>IF($C69&lt;1,"",(AVERAGEIFS('09월 에너지'!I$14:I$949,'09월 에너지'!$A$14:$A$949,$A69,'09월 에너지'!$C$14:$C$949,$B69)))</f>
        <v/>
      </c>
      <c r="CA69" s="835" t="str">
        <f>IF($C69&lt;1,"",(AVERAGEIFS('09월 에너지'!J$14:J$949,'09월 에너지'!$A$14:$A$949,$A69,'09월 에너지'!$C$14:$C$949,$B69)))</f>
        <v/>
      </c>
      <c r="CB69" s="831" t="str">
        <f>IF($C69&lt;1,"",(AVERAGEIFS('09월 에너지'!K$14:K$949,'09월 에너지'!$A$14:$A$949,$A69,'09월 에너지'!$C$14:$C$949,$B69)))</f>
        <v/>
      </c>
      <c r="CC69" s="835" t="str">
        <f>IF($C69&lt;1,"",(AVERAGEIFS('09월 에너지'!L$14:L$949,'09월 에너지'!$A$14:$A$949,$A69,'09월 에너지'!$C$14:$C$949,$B69)))</f>
        <v/>
      </c>
      <c r="CD69" s="831" t="str">
        <f>IF($C69&lt;1,"",(AVERAGEIFS('09월 에너지'!M$14:M$949,'09월 에너지'!$A$14:$A$949,$A69,'09월 에너지'!$C$14:$C$949,$B69)))</f>
        <v/>
      </c>
      <c r="CE69" s="835" t="str">
        <f>IF($C69&lt;1,"",(AVERAGEIFS('09월 에너지'!N$14:N$949,'09월 에너지'!$A$14:$A$949,$A69,'09월 에너지'!$C$14:$C$949,$B69)))</f>
        <v/>
      </c>
      <c r="CF69" s="831" t="str">
        <f>IF($C69&lt;1,"",(AVERAGEIFS('09월 에너지'!O$14:O$949,'09월 에너지'!$A$14:$A$949,$A69,'09월 에너지'!$C$14:$C$949,$B69)))</f>
        <v/>
      </c>
      <c r="CG69" s="831" t="str">
        <f>IF($C69&lt;1,"",(AVERAGEIFS('09월 에너지'!P$14:P$949,'09월 에너지'!$A$14:$A$949,$A69,'09월 에너지'!$C$14:$C$949,$B69)))</f>
        <v/>
      </c>
      <c r="CH69" s="831" t="str">
        <f>IF($C69&lt;1,"",(AVERAGEIFS('09월 에너지'!Q$14:Q$949,'09월 에너지'!$A$14:$A$949,$A69,'09월 에너지'!$C$14:$C$949,$B69)))</f>
        <v/>
      </c>
      <c r="CI69" s="831" t="str">
        <f>IF($C69&lt;1,"",(AVERAGEIFS('09월 에너지'!R$14:R$949,'09월 에너지'!$A$14:$A$949,$A69,'09월 에너지'!$C$14:$C$949,$B69)))</f>
        <v/>
      </c>
      <c r="CJ69" s="831" t="str">
        <f>IF($C69&lt;1,"",(AVERAGEIFS('09월 에너지'!S$14:S$949,'09월 에너지'!$A$14:$A$949,$A69,'09월 에너지'!$C$14:$C$949,$B69)))</f>
        <v/>
      </c>
      <c r="CK69" s="831" t="str">
        <f>IF($C69&lt;1,"",(AVERAGEIFS('09월 에너지'!T$14:T$949,'09월 에너지'!$A$14:$A$949,$A69,'09월 에너지'!$C$14:$C$949,$B69)))</f>
        <v/>
      </c>
      <c r="CL69" s="831" t="str">
        <f>IF($C69&lt;1,"",(AVERAGEIFS('09월 에너지'!U$14:U$949,'09월 에너지'!$A$14:$A$949,$A69,'09월 에너지'!$C$14:$C$949,$B69)))</f>
        <v/>
      </c>
      <c r="CM69" s="835" t="str">
        <f>IF($C69&lt;1,"",(AVERAGEIFS('09월 에너지'!V$14:V$949,'09월 에너지'!$A$14:$A$949,$A69,'09월 에너지'!$C$14:$C$949,$B69)))</f>
        <v/>
      </c>
      <c r="CN69" s="835" t="str">
        <f>IF($C69&lt;1,"",(AVERAGEIFS('09월 에너지'!W$14:W$949,'09월 에너지'!$A$14:$A$949,$A69,'09월 에너지'!$C$14:$C$949,$B69)))</f>
        <v/>
      </c>
      <c r="CO69" s="831" t="str">
        <f>IF($C69&lt;1,"",(AVERAGEIFS('09월 에너지'!X$14:X$949,'09월 에너지'!$A$14:$A$949,$A69,'09월 에너지'!$C$14:$C$949,$B69)))</f>
        <v/>
      </c>
      <c r="CP69" s="835" t="str">
        <f>IF($C69&lt;1,"",(AVERAGEIFS('09월 에너지'!Y$14:Y$949,'09월 에너지'!$A$14:$A$949,$A69,'09월 에너지'!$C$14:$C$949,$B69)))</f>
        <v/>
      </c>
      <c r="CQ69" s="835" t="str">
        <f>IF($C69&lt;1,"",(AVERAGEIFS('09월 에너지'!Z$14:Z$949,'09월 에너지'!$A$14:$A$949,$A69,'09월 에너지'!$C$14:$C$949,$B69)))</f>
        <v/>
      </c>
      <c r="CR69" s="835" t="str">
        <f>IF($C69&lt;1,"",(AVERAGEIFS('09월 에너지'!AA$14:AA$949,'09월 에너지'!$A$14:$A$949,$A69,'09월 에너지'!$C$14:$C$949,$B69)))</f>
        <v/>
      </c>
      <c r="CS69" s="835" t="str">
        <f>IF($C69&lt;1,"",(AVERAGEIFS('09월 에너지'!AB$14:AB$949,'09월 에너지'!$A$14:$A$949,$A69,'09월 에너지'!$C$14:$C$949,$B69)))</f>
        <v/>
      </c>
      <c r="CT69" s="831" t="str">
        <f>IF($C69&lt;1,"",(AVERAGEIFS('09월 에너지'!AC$14:AC$949,'09월 에너지'!$A$14:$A$949,$A69,'09월 에너지'!$C$14:$C$949,$B69)))</f>
        <v/>
      </c>
      <c r="CU69" s="836" t="str">
        <f>IF($C69&lt;1,"",(AVERAGEIFS('09월 에너지'!AD$14:AD$949,'09월 에너지'!$A$14:$A$949,$A69,'09월 에너지'!$C$14:$C$949,$B69)))</f>
        <v/>
      </c>
      <c r="CV69" s="837" t="str">
        <f>IF($C69&lt;1,"",(AVERAGEIFS('09월 에너지'!AE$14:AE$949,'09월 에너지'!$A$14:$A$949,$A69,'09월 에너지'!$C$14:$C$949,$B69)))</f>
        <v/>
      </c>
      <c r="CW69" s="831" t="str">
        <f>IF($C69&lt;1,"",(AVERAGEIFS('09월 에너지'!AF$14:AF$949,'09월 에너지'!$A$14:$A$949,$A69,'09월 에너지'!$C$14:$C$949,$B69)))</f>
        <v/>
      </c>
      <c r="CX69" s="831" t="str">
        <f>IF($C69&lt;1,"",(AVERAGEIFS('09월 에너지'!AG$14:AG$949,'09월 에너지'!$A$14:$A$949,$A69,'09월 에너지'!$C$14:$C$949,$B69)))</f>
        <v/>
      </c>
      <c r="CY69" s="831" t="str">
        <f>IF($C69&lt;1,"",(AVERAGEIFS('09월 에너지'!AH$14:AH$949,'09월 에너지'!$A$14:$A$949,$A69,'09월 에너지'!$C$14:$C$949,$B69)))</f>
        <v/>
      </c>
      <c r="CZ69" s="831" t="str">
        <f>IF($C69&lt;1,"",(AVERAGEIFS('09월 에너지'!AI$14:AI$949,'09월 에너지'!$A$14:$A$949,$A69,'09월 에너지'!$C$14:$C$949,$B69)))</f>
        <v/>
      </c>
      <c r="DA69" s="838" t="str">
        <f>IF($C69&lt;1,"",(AVERAGEIFS('09월 에너지'!AJ$14:AJ$949,'09월 에너지'!$A$14:$A$949,$A69,'09월 에너지'!$C$14:$C$949,$B69)))</f>
        <v/>
      </c>
    </row>
    <row r="70" spans="1:105" ht="13.5" customHeight="1" thickBot="1">
      <c r="A70" s="851">
        <f t="shared" si="2"/>
        <v>44939</v>
      </c>
      <c r="B70" s="852" t="s">
        <v>94</v>
      </c>
      <c r="C70" s="841">
        <f>COUNTIFS('09월 조업일지'!$A$12:$A$952,A66,'09월 조업일지'!$E$12:$E$952,B70)</f>
        <v>0</v>
      </c>
      <c r="D70" s="842" t="str">
        <f t="shared" si="14"/>
        <v/>
      </c>
      <c r="E70" s="842" t="str">
        <f>IF($C70&lt;1,"",(SUMIFS('09월 조업일지'!$K$12:$K$952,'09월 조업일지'!$A$12:$A$952,$A70,'09월 조업일지'!$E$12:$E$952,$B70)/$C70))</f>
        <v/>
      </c>
      <c r="F70" s="824" t="str">
        <f>IF($C70&lt;1,"",(AVERAGEIFS('09월 조업일지'!$J$12:$J$952,'09월 조업일지'!$A$12:$A$952,$A70,'09월 조업일지'!$E$12:$E$952,$B70)))</f>
        <v/>
      </c>
      <c r="G70" s="843" t="str">
        <f>IF($C70&lt;1,"",(AVERAGEIFS('09월 에너지'!$M$14:$M$949,'09월 에너지'!$A$14:$A$949,$A70,'09월 에너지'!$C$14:$C$949,$B70)))</f>
        <v/>
      </c>
      <c r="H70" s="844" t="str">
        <f>IF($C70&lt;1,"",(AVERAGEIFS('09월 조업일지'!$AJ$12:$AJ$952,'09월 조업일지'!$A$12:$A$952,$A70,'09월 조업일지'!$E$12:$E$952,$B70)))</f>
        <v/>
      </c>
      <c r="I70" s="844" t="str">
        <f>IF($C70&lt;1,"",(AVERAGEIFS('09월 조업일지'!$AL$12:$AL$952,'09월 조업일지'!$A$12:$A$952,$A70,'09월 조업일지'!$E$12:$E$952,$B70)))</f>
        <v/>
      </c>
      <c r="J70" s="845" t="str">
        <f>IF($C70&lt;1,"",(AVERAGEIFS('09월 화학성분'!G$12:G$949,'09월 화학성분'!$A$12:$A$949,$A70,'09월 화학성분'!$D$12:$D$949,$B70)))</f>
        <v/>
      </c>
      <c r="K70" s="845" t="str">
        <f>IF($C70&lt;1,"",(AVERAGEIFS('09월 화학성분'!H$12:H$949,'09월 화학성분'!$A$12:$A$949,$A70,'09월 화학성분'!$D$12:$D$949,$B70)))</f>
        <v/>
      </c>
      <c r="L70" s="845" t="str">
        <f>IF($C70&lt;1,"",(AVERAGEIFS('09월 화학성분'!I$12:I$949,'09월 화학성분'!$A$12:$A$949,$A70,'09월 화학성분'!$D$12:$D$949,$B70)))</f>
        <v/>
      </c>
      <c r="M70" s="845" t="str">
        <f>IF($C70&lt;1,"",(AVERAGEIFS('09월 화학성분'!J$12:J$949,'09월 화학성분'!$A$12:$A$949,$A70,'09월 화학성분'!$D$12:$D$949,$B70)))</f>
        <v/>
      </c>
      <c r="N70" s="845" t="str">
        <f>IF($C70&lt;1,"",(AVERAGEIFS('09월 화학성분'!K$12:K$949,'09월 화학성분'!$A$12:$A$949,$A70,'09월 화학성분'!$D$12:$D$949,$B70)))</f>
        <v/>
      </c>
      <c r="O70" s="845" t="str">
        <f>IF($C70&lt;1,"",(AVERAGEIFS('09월 화학성분'!L$12:L$949,'09월 화학성분'!$A$12:$A$949,$A70,'09월 화학성분'!$D$12:$D$949,$B70)))</f>
        <v/>
      </c>
      <c r="P70" s="845" t="str">
        <f>IF($C70&lt;1,"",(AVERAGEIFS('09월 화학성분'!M$12:M$949,'09월 화학성분'!$A$12:$A$949,$A70,'09월 화학성분'!$D$12:$D$949,$B70)))</f>
        <v/>
      </c>
      <c r="Q70" s="827" t="str">
        <f>IFERROR(IF($C70&lt;1,"",(AVERAGEIFS('09월 조업일지'!$AA$12:$AA$952,'09월 조업일지'!$A$12:$A$952,$A70,'09월 조업일지'!$E$12:$E$952,$B70))),"")</f>
        <v/>
      </c>
      <c r="R70" s="845" t="str">
        <f>IF($C70&lt;1,"",(AVERAGEIFS('09월 조업일지'!$AK$12:$AK$952,'09월 조업일지'!$A$12:$A$952,$A70,'09월 조업일지'!$E$12:$E$952,$B70)))</f>
        <v/>
      </c>
      <c r="S70" s="845"/>
      <c r="T70" s="845"/>
      <c r="U70" s="845" t="str">
        <f>IF($C70&lt;1,"",(AVERAGEIFS('09월 화학성분'!$G$12:$G$949,'09월 화학성분'!$A$12:$A$949,$A70,'09월 화학성분'!$D$12:$D$949,$B70)))</f>
        <v/>
      </c>
      <c r="V70" s="845" t="str">
        <f>IF($C70&lt;1,"",(AVERAGEIFS('09월 조업일지'!$AI$12:$AI$952,'09월 조업일지'!$A$12:$A$952,$A70,'09월 조업일지'!$E$12:$E$952,$B70)))</f>
        <v/>
      </c>
      <c r="W70" s="846" t="str">
        <f>IF($C70&lt;1,"",(AVERAGEIFS('09월 화학성분'!$AM$12:$AM$949,'09월 화학성분'!$A$12:$A$949,$A70,'09월 화학성분'!$D$12:$D$949,$B70)))</f>
        <v/>
      </c>
      <c r="X70" s="829" t="str">
        <f>IF($C70&lt;1,"",(AVERAGEIFS('09월 화학성분'!N$12:N$949,'09월 화학성분'!$A$12:$A$949,$A70,'09월 화학성분'!$D$12:$D$949,$B70)))</f>
        <v/>
      </c>
      <c r="Y70" s="829" t="str">
        <f>IF($C70&lt;1,"",(AVERAGEIFS('09월 화학성분'!O$12:O$949,'09월 화학성분'!$A$12:$A$949,$A70,'09월 화학성분'!$D$12:$D$949,$B70)))</f>
        <v/>
      </c>
      <c r="Z70" s="829" t="str">
        <f>IF($C70&lt;1,"",(AVERAGEIFS('09월 화학성분'!P$12:P$949,'09월 화학성분'!$A$12:$A$949,$A70,'09월 화학성분'!$D$12:$D$949,$B70)))</f>
        <v/>
      </c>
      <c r="AA70" s="829" t="str">
        <f>IF($C70&lt;1,"",(AVERAGEIFS('09월 화학성분'!Q$12:Q$949,'09월 화학성분'!$A$12:$A$949,$A70,'09월 화학성분'!$D$12:$D$949,$B70)))</f>
        <v/>
      </c>
      <c r="AB70" s="829" t="str">
        <f>IF($C70&lt;1,"",(AVERAGEIFS('09월 화학성분'!R$12:R$949,'09월 화학성분'!$A$12:$A$949,$A70,'09월 화학성분'!$D$12:$D$949,$B70)))</f>
        <v/>
      </c>
      <c r="AC70" s="829" t="str">
        <f>IF($C70&lt;1,"",(AVERAGEIFS('09월 화학성분'!U$12:U$949,'09월 화학성분'!$A$12:$A$949,$A70,'09월 화학성분'!$D$12:$D$949,$B70)))</f>
        <v/>
      </c>
      <c r="AD70" s="829" t="str">
        <f>IF($C70&lt;1,"",(AVERAGEIFS('09월 화학성분'!V$12:V$949,'09월 화학성분'!$A$12:$A$949,$A70,'09월 화학성분'!$D$12:$D$949,$B70)))</f>
        <v/>
      </c>
      <c r="AE70" s="829" t="str">
        <f>IF($C70&lt;1,"",(AVERAGEIFS('09월 화학성분'!W$12:W$949,'09월 화학성분'!$A$12:$A$949,$A70,'09월 화학성분'!$D$12:$D$949,$B70)))</f>
        <v/>
      </c>
      <c r="AF70" s="829" t="str">
        <f>IF($C70&lt;1,"",(AVERAGEIFS('09월 화학성분'!AA$12:AA$949,'09월 화학성분'!$A$12:$A$949,$A70,'09월 화학성분'!$D$12:$D$949,$B70)))</f>
        <v/>
      </c>
      <c r="AG70" s="829" t="str">
        <f>IF($C70&lt;1,"",(AVERAGEIFS('09월 화학성분'!#REF!,'09월 화학성분'!$A$12:$A$949,$A70,'09월 화학성분'!$D$12:$D$949,$B70)))</f>
        <v/>
      </c>
      <c r="AH70" s="829" t="str">
        <f>IF($C70&lt;1,"",(AVERAGEIFS('09월 화학성분'!AB$12:AB$949,'09월 화학성분'!$A$12:$A$949,$A70,'09월 화학성분'!$D$12:$D$949,$B70)))</f>
        <v/>
      </c>
      <c r="AI70" s="829" t="str">
        <f>IF($C70&lt;1,"",(AVERAGEIFS('09월 화학성분'!AC$12:AC$949,'09월 화학성분'!$A$12:$A$949,$A70,'09월 화학성분'!$D$12:$D$949,$B70)))</f>
        <v/>
      </c>
      <c r="AJ70" s="829" t="str">
        <f>IF($C70&lt;1,"",(AVERAGEIFS('09월 화학성분'!AD$12:AD$949,'09월 화학성분'!$A$12:$A$949,$A70,'09월 화학성분'!$D$12:$D$949,$B70)))</f>
        <v/>
      </c>
      <c r="AK70" s="829" t="str">
        <f>IF($C70&lt;1,"",(AVERAGEIFS('09월 화학성분'!AF$12:AF$949,'09월 화학성분'!$A$12:$A$949,$A70,'09월 화학성분'!$D$12:$D$949,$B70)))</f>
        <v/>
      </c>
      <c r="AL70" s="829" t="str">
        <f>IF($C70&lt;1,"",(AVERAGEIFS('09월 화학성분'!AG$12:AG$949,'09월 화학성분'!$A$12:$A$949,$A70,'09월 화학성분'!$D$12:$D$949,$B70)))</f>
        <v/>
      </c>
      <c r="AM70" s="829" t="str">
        <f>IF($C70&lt;1,"",(AVERAGEIFS('09월 화학성분'!AH$12:AH$949,'09월 화학성분'!$A$12:$A$949,$A70,'09월 화학성분'!$D$12:$D$949,$B70)))</f>
        <v/>
      </c>
      <c r="AN70" s="829" t="str">
        <f>IF($C70&lt;1,"",(AVERAGEIFS('09월 화학성분'!AI$12:AI$949,'09월 화학성분'!$A$12:$A$949,$A70,'09월 화학성분'!$D$12:$D$949,$B70)))</f>
        <v/>
      </c>
      <c r="AO70" s="829" t="str">
        <f>IF($C70&lt;1,"",(AVERAGEIFS('09월 화학성분'!AJ$12:AJ$949,'09월 화학성분'!$A$12:$A$949,$A70,'09월 화학성분'!$D$12:$D$949,$B70)))</f>
        <v/>
      </c>
      <c r="AP70" s="829" t="str">
        <f>IF($C70&lt;1,"",(AVERAGEIFS('09월 화학성분'!#REF!,'09월 화학성분'!$A$12:$A$949,$A70,'09월 화학성분'!$D$12:$D$949,$B70)))</f>
        <v/>
      </c>
      <c r="AQ70" s="829" t="str">
        <f>IF($C70&lt;1,"",(AVERAGEIFS('09월 화학성분'!AL$12:AL$949,'09월 화학성분'!$A$12:$A$949,$A70,'09월 화학성분'!$D$12:$D$949,$B70)))</f>
        <v/>
      </c>
      <c r="AR70" s="829" t="str">
        <f>IF($C70&lt;1,"",(AVERAGEIFS('09월 화학성분'!AM$12:AM$949,'09월 화학성분'!$A$12:$A$949,$A70,'09월 화학성분'!$D$12:$D$949,$B70)))</f>
        <v/>
      </c>
      <c r="AS70" s="830" t="str">
        <f>IF($C70&lt;1,"",(AVERAGEIFS('09월 화학성분'!AN$12:AN$949,'09월 화학성분'!$A$12:$A$949,$A70,'09월 화학성분'!$D$12:$D$949,$B70)))</f>
        <v/>
      </c>
      <c r="AT70" s="830" t="str">
        <f>IF($C70&lt;1,"",(AVERAGEIFS('09월 화학성분'!AO$12:AO$949,'09월 화학성분'!$A$12:$A$949,$A70,'09월 화학성분'!$D$12:$D$949,$B70)))</f>
        <v/>
      </c>
      <c r="AU70" s="831" t="str">
        <f>IF($C70&lt;1,"",(AVERAGEIFS('09월 화학성분'!AP$12:AP$949,'09월 화학성분'!$A$12:$A$949,$A70,'09월 화학성분'!$D$12:$D$949,$B70)))</f>
        <v/>
      </c>
      <c r="AV70" s="832" t="str">
        <f>IF($C70&lt;1,"",(AVERAGEIFS('09월 고철장입'!G$14:G$949,'09월 고철장입'!$A$14:$A$949,$A70,'09월 고철장입'!$C$14:$C$949,$B70))/1000)</f>
        <v/>
      </c>
      <c r="AW70" s="832" t="str">
        <f>IF($C70&lt;1,"",(AVERAGEIFS('09월 고철장입'!H$14:H$949,'09월 고철장입'!$A$14:$A$949,$A70,'09월 고철장입'!$C$14:$C$949,$B70))/1000)</f>
        <v/>
      </c>
      <c r="AX70" s="832" t="str">
        <f>IF($C70&lt;1,"",(AVERAGEIFS('09월 고철장입'!I$14:I$949,'09월 고철장입'!$A$14:$A$949,$A70,'09월 고철장입'!$C$14:$C$949,$B70))/1000)</f>
        <v/>
      </c>
      <c r="AY70" s="832" t="str">
        <f>IF($C70&lt;1,"",(AVERAGEIFS('09월 고철장입'!J$14:J$949,'09월 고철장입'!$A$14:$A$949,$A70,'09월 고철장입'!$C$14:$C$949,$B70))/1000)</f>
        <v/>
      </c>
      <c r="AZ70" s="832" t="str">
        <f>IF($C70&lt;1,"",(AVERAGEIFS('09월 고철장입'!K$14:K$949,'09월 고철장입'!$A$14:$A$949,$A70,'09월 고철장입'!$C$14:$C$949,$B70))/1000)</f>
        <v/>
      </c>
      <c r="BA70" s="832" t="str">
        <f>IF($C70&lt;1,"",(AVERAGEIFS('09월 고철장입'!L$14:L$949,'09월 고철장입'!$A$14:$A$949,$A70,'09월 고철장입'!$C$14:$C$949,$B70))/1000)</f>
        <v/>
      </c>
      <c r="BB70" s="832" t="str">
        <f>IF($C70&lt;1,"",(AVERAGEIFS('09월 고철장입'!M$14:M$949,'09월 고철장입'!$A$14:$A$949,$A70,'09월 고철장입'!$C$14:$C$949,$B70))/1000)</f>
        <v/>
      </c>
      <c r="BC70" s="832" t="str">
        <f>IF($C70&lt;1,"",(AVERAGEIFS('09월 고철장입'!N$14:N$949,'09월 고철장입'!$A$14:$A$949,$A70,'09월 고철장입'!$C$14:$C$949,$B70))/1000)</f>
        <v/>
      </c>
      <c r="BD70" s="832" t="str">
        <f>IF($C70&lt;1,"",(AVERAGEIFS('09월 고철장입'!O$14:O$949,'09월 고철장입'!$A$14:$A$949,$A70,'09월 고철장입'!$C$14:$C$949,$B70))/1000)</f>
        <v/>
      </c>
      <c r="BE70" s="833" t="str">
        <f>IF($C70&lt;1,"",(AVERAGEIFS('09월 고철장입'!P$14:P$949,'09월 고철장입'!$A$14:$A$949,$A70,'09월 고철장입'!$C$14:$C$949,$B70))/1000)</f>
        <v/>
      </c>
      <c r="BF70" s="833" t="str">
        <f>IF($C70&lt;1,"",(AVERAGEIFS('09월 고철장입'!Q$14:Q$949,'09월 고철장입'!$A$14:$A$949,$A70,'09월 고철장입'!$C$14:$C$949,$B70))/1000)</f>
        <v/>
      </c>
      <c r="BG70" s="833" t="str">
        <f>IF($C70&lt;1,"",(AVERAGEIFS('09월 고철장입'!S$14:S$949,'09월 고철장입'!$A$14:$A$949,$A70,'09월 고철장입'!$C$14:$C$949,$B70))/1000)</f>
        <v/>
      </c>
      <c r="BH70" s="833" t="str">
        <f>IF($C70&lt;1,"",(AVERAGEIFS('09월 고철장입'!T$14:T$949,'09월 고철장입'!$A$14:$A$949,$A70,'09월 고철장입'!$C$14:$C$949,$B70))/1000)</f>
        <v/>
      </c>
      <c r="BI70" s="833" t="str">
        <f>IF($C70&lt;1,"",(AVERAGEIFS('09월 고철장입'!U$14:U$949,'09월 고철장입'!$A$14:$A$949,$A70,'09월 고철장입'!$C$14:$C$949,$B70))/1000)</f>
        <v/>
      </c>
      <c r="BJ70" s="833" t="str">
        <f>IF($C70&lt;1,"",(AVERAGEIFS('09월 고철장입'!V$14:V$949,'09월 고철장입'!$A$14:$A$949,$A70,'09월 고철장입'!$C$14:$C$949,$B70))/1000)</f>
        <v/>
      </c>
      <c r="BK70" s="833" t="str">
        <f>IF($C70&lt;1,"",(AVERAGEIFS('09월 고철장입'!W$14:W$949,'09월 고철장입'!$A$14:$A$949,$A70,'09월 고철장입'!$C$14:$C$949,$B70))/1000)</f>
        <v/>
      </c>
      <c r="BL70" s="833" t="str">
        <f>IF($C70&lt;1,"",(AVERAGEIFS('09월 고철장입'!Y$14:Y$949,'09월 고철장입'!$A$14:$A$949,$A70,'09월 고철장입'!$C$14:$C$949,$B70))/1000)</f>
        <v/>
      </c>
      <c r="BM70" s="833" t="str">
        <f>IF($C70&lt;1,"",(AVERAGEIFS('09월 고철장입'!AB$14:AB$949,'09월 고철장입'!$A$14:$A$949,$A70,'09월 고철장입'!$C$14:$C$949,$B70))/1000)</f>
        <v/>
      </c>
      <c r="BN70" s="833" t="str">
        <f>IF($C70&lt;1,"",(AVERAGEIFS('09월 고철장입'!AC$14:AC$949,'09월 고철장입'!$A$14:$A$949,$A70,'09월 고철장입'!$C$14:$C$949,$B70))/1000)</f>
        <v/>
      </c>
      <c r="BO70" s="833" t="str">
        <f>IF($C70&lt;1,"",(AVERAGEIFS('09월 고철장입'!AD$14:AD$949,'09월 고철장입'!$A$14:$A$949,$A70,'09월 고철장입'!$C$14:$C$949,$B70))/1000)</f>
        <v/>
      </c>
      <c r="BP70" s="833" t="str">
        <f>IF($C70&lt;1,"",(AVERAGEIFS('09월 고철장입'!AE$14:AE$949,'09월 고철장입'!$A$14:$A$949,$A70,'09월 고철장입'!$C$14:$C$949,$B70))/1000)</f>
        <v/>
      </c>
      <c r="BQ70" s="832" t="str">
        <f>IF($C70&lt;1,"",(AVERAGEIFS('09월 고철장입'!AF$14:AF$949,'09월 고철장입'!$A$14:$A$949,$A70,'09월 고철장입'!$C$14:$C$949,$B70))/1000)</f>
        <v/>
      </c>
      <c r="BR70" s="832" t="str">
        <f>IF($C70&lt;1,"",(AVERAGEIFS('09월 고철장입'!AG$14:AG$949,'09월 고철장입'!$A$14:$A$949,$A70,'09월 고철장입'!$C$14:$C$949,$B70))/1000)</f>
        <v/>
      </c>
      <c r="BS70" s="832" t="str">
        <f>IF($C70&lt;1,"",(AVERAGEIFS('09월 고철장입'!AH$14:AH$949,'09월 고철장입'!$A$14:$A$949,$A70,'09월 고철장입'!$C$14:$C$949,$B70))/1000)</f>
        <v/>
      </c>
      <c r="BT70" s="832" t="str">
        <f>IF($C70&lt;1,"",(AVERAGEIFS('09월 고철장입'!AI$14:AI$949,'09월 고철장입'!$A$14:$A$949,$A70,'09월 고철장입'!$C$14:$C$949,$B70))/1000)</f>
        <v/>
      </c>
      <c r="BU70" s="834" t="str">
        <f>IF($C70&lt;1,"",(AVERAGEIFS('09월 고철장입'!AJ$14:AJ$949,'09월 고철장입'!$A$14:$A$949,$A70,'09월 고철장입'!$C$14:$C$949,$B70))/1000)</f>
        <v/>
      </c>
      <c r="BV70" s="834" t="str">
        <f>IF($C70&lt;1,"",(AVERAGEIFS('09월 고철장입'!AK$14:AK$949,'09월 고철장입'!$A$14:$A$949,$A70,'09월 고철장입'!$C$14:$C$949,$B70)))</f>
        <v/>
      </c>
      <c r="BW70" s="834" t="str">
        <f>IF($C70&lt;1,"",(AVERAGEIFS('09월 고철장입'!AL$14:AL$949,'09월 고철장입'!$A$14:$A$949,$A70,'09월 고철장입'!$C$14:$C$949,$B70))*100)</f>
        <v/>
      </c>
      <c r="BX70" s="831" t="str">
        <f>IF($C70&lt;1,"",(AVERAGEIFS('09월 에너지'!G$14:G$949,'09월 에너지'!$A$14:$A$949,$A70,'09월 에너지'!$C$14:$C$949,$B70)))</f>
        <v/>
      </c>
      <c r="BY70" s="835" t="str">
        <f>IF($C70&lt;1,"",(AVERAGEIFS('09월 에너지'!H$14:H$949,'09월 에너지'!$A$14:$A$949,$A70,'09월 에너지'!$C$14:$C$949,$B70)))</f>
        <v/>
      </c>
      <c r="BZ70" s="831" t="str">
        <f>IF($C70&lt;1,"",(AVERAGEIFS('09월 에너지'!I$14:I$949,'09월 에너지'!$A$14:$A$949,$A70,'09월 에너지'!$C$14:$C$949,$B70)))</f>
        <v/>
      </c>
      <c r="CA70" s="835" t="str">
        <f>IF($C70&lt;1,"",(AVERAGEIFS('09월 에너지'!J$14:J$949,'09월 에너지'!$A$14:$A$949,$A70,'09월 에너지'!$C$14:$C$949,$B70)))</f>
        <v/>
      </c>
      <c r="CB70" s="831" t="str">
        <f>IF($C70&lt;1,"",(AVERAGEIFS('09월 에너지'!K$14:K$949,'09월 에너지'!$A$14:$A$949,$A70,'09월 에너지'!$C$14:$C$949,$B70)))</f>
        <v/>
      </c>
      <c r="CC70" s="835" t="str">
        <f>IF($C70&lt;1,"",(AVERAGEIFS('09월 에너지'!L$14:L$949,'09월 에너지'!$A$14:$A$949,$A70,'09월 에너지'!$C$14:$C$949,$B70)))</f>
        <v/>
      </c>
      <c r="CD70" s="831" t="str">
        <f>IF($C70&lt;1,"",(AVERAGEIFS('09월 에너지'!M$14:M$949,'09월 에너지'!$A$14:$A$949,$A70,'09월 에너지'!$C$14:$C$949,$B70)))</f>
        <v/>
      </c>
      <c r="CE70" s="835" t="str">
        <f>IF($C70&lt;1,"",(AVERAGEIFS('09월 에너지'!N$14:N$949,'09월 에너지'!$A$14:$A$949,$A70,'09월 에너지'!$C$14:$C$949,$B70)))</f>
        <v/>
      </c>
      <c r="CF70" s="831" t="str">
        <f>IF($C70&lt;1,"",(AVERAGEIFS('09월 에너지'!O$14:O$949,'09월 에너지'!$A$14:$A$949,$A70,'09월 에너지'!$C$14:$C$949,$B70)))</f>
        <v/>
      </c>
      <c r="CG70" s="831" t="str">
        <f>IF($C70&lt;1,"",(AVERAGEIFS('09월 에너지'!P$14:P$949,'09월 에너지'!$A$14:$A$949,$A70,'09월 에너지'!$C$14:$C$949,$B70)))</f>
        <v/>
      </c>
      <c r="CH70" s="831" t="str">
        <f>IF($C70&lt;1,"",(AVERAGEIFS('09월 에너지'!Q$14:Q$949,'09월 에너지'!$A$14:$A$949,$A70,'09월 에너지'!$C$14:$C$949,$B70)))</f>
        <v/>
      </c>
      <c r="CI70" s="831" t="str">
        <f>IF($C70&lt;1,"",(AVERAGEIFS('09월 에너지'!R$14:R$949,'09월 에너지'!$A$14:$A$949,$A70,'09월 에너지'!$C$14:$C$949,$B70)))</f>
        <v/>
      </c>
      <c r="CJ70" s="831" t="str">
        <f>IF($C70&lt;1,"",(AVERAGEIFS('09월 에너지'!S$14:S$949,'09월 에너지'!$A$14:$A$949,$A70,'09월 에너지'!$C$14:$C$949,$B70)))</f>
        <v/>
      </c>
      <c r="CK70" s="831" t="str">
        <f>IF($C70&lt;1,"",(AVERAGEIFS('09월 에너지'!T$14:T$949,'09월 에너지'!$A$14:$A$949,$A70,'09월 에너지'!$C$14:$C$949,$B70)))</f>
        <v/>
      </c>
      <c r="CL70" s="831" t="str">
        <f>IF($C70&lt;1,"",(AVERAGEIFS('09월 에너지'!U$14:U$949,'09월 에너지'!$A$14:$A$949,$A70,'09월 에너지'!$C$14:$C$949,$B70)))</f>
        <v/>
      </c>
      <c r="CM70" s="835" t="str">
        <f>IF($C70&lt;1,"",(AVERAGEIFS('09월 에너지'!V$14:V$949,'09월 에너지'!$A$14:$A$949,$A70,'09월 에너지'!$C$14:$C$949,$B70)))</f>
        <v/>
      </c>
      <c r="CN70" s="835" t="str">
        <f>IF($C70&lt;1,"",(AVERAGEIFS('09월 에너지'!W$14:W$949,'09월 에너지'!$A$14:$A$949,$A70,'09월 에너지'!$C$14:$C$949,$B70)))</f>
        <v/>
      </c>
      <c r="CO70" s="831" t="str">
        <f>IF($C70&lt;1,"",(AVERAGEIFS('09월 에너지'!X$14:X$949,'09월 에너지'!$A$14:$A$949,$A70,'09월 에너지'!$C$14:$C$949,$B70)))</f>
        <v/>
      </c>
      <c r="CP70" s="835" t="str">
        <f>IF($C70&lt;1,"",(AVERAGEIFS('09월 에너지'!Y$14:Y$949,'09월 에너지'!$A$14:$A$949,$A70,'09월 에너지'!$C$14:$C$949,$B70)))</f>
        <v/>
      </c>
      <c r="CQ70" s="835" t="str">
        <f>IF($C70&lt;1,"",(AVERAGEIFS('09월 에너지'!Z$14:Z$949,'09월 에너지'!$A$14:$A$949,$A70,'09월 에너지'!$C$14:$C$949,$B70)))</f>
        <v/>
      </c>
      <c r="CR70" s="835" t="str">
        <f>IF($C70&lt;1,"",(AVERAGEIFS('09월 에너지'!AA$14:AA$949,'09월 에너지'!$A$14:$A$949,$A70,'09월 에너지'!$C$14:$C$949,$B70)))</f>
        <v/>
      </c>
      <c r="CS70" s="835" t="str">
        <f>IF($C70&lt;1,"",(AVERAGEIFS('09월 에너지'!AB$14:AB$949,'09월 에너지'!$A$14:$A$949,$A70,'09월 에너지'!$C$14:$C$949,$B70)))</f>
        <v/>
      </c>
      <c r="CT70" s="831" t="str">
        <f>IF($C70&lt;1,"",(AVERAGEIFS('09월 에너지'!AC$14:AC$949,'09월 에너지'!$A$14:$A$949,$A70,'09월 에너지'!$C$14:$C$949,$B70)))</f>
        <v/>
      </c>
      <c r="CU70" s="836" t="str">
        <f>IF($C70&lt;1,"",(AVERAGEIFS('09월 에너지'!AD$14:AD$949,'09월 에너지'!$A$14:$A$949,$A70,'09월 에너지'!$C$14:$C$949,$B70)))</f>
        <v/>
      </c>
      <c r="CV70" s="837" t="str">
        <f>IF($C70&lt;1,"",(AVERAGEIFS('09월 에너지'!AE$14:AE$949,'09월 에너지'!$A$14:$A$949,$A70,'09월 에너지'!$C$14:$C$949,$B70)))</f>
        <v/>
      </c>
      <c r="CW70" s="831" t="str">
        <f>IF($C70&lt;1,"",(AVERAGEIFS('09월 에너지'!AF$14:AF$949,'09월 에너지'!$A$14:$A$949,$A70,'09월 에너지'!$C$14:$C$949,$B70)))</f>
        <v/>
      </c>
      <c r="CX70" s="831" t="str">
        <f>IF($C70&lt;1,"",(AVERAGEIFS('09월 에너지'!AG$14:AG$949,'09월 에너지'!$A$14:$A$949,$A70,'09월 에너지'!$C$14:$C$949,$B70)))</f>
        <v/>
      </c>
      <c r="CY70" s="831" t="str">
        <f>IF($C70&lt;1,"",(AVERAGEIFS('09월 에너지'!AH$14:AH$949,'09월 에너지'!$A$14:$A$949,$A70,'09월 에너지'!$C$14:$C$949,$B70)))</f>
        <v/>
      </c>
      <c r="CZ70" s="831" t="str">
        <f>IF($C70&lt;1,"",(AVERAGEIFS('09월 에너지'!AI$14:AI$949,'09월 에너지'!$A$14:$A$949,$A70,'09월 에너지'!$C$14:$C$949,$B70)))</f>
        <v/>
      </c>
      <c r="DA70" s="838" t="str">
        <f>IF($C70&lt;1,"",(AVERAGEIFS('09월 에너지'!AJ$14:AJ$949,'09월 에너지'!$A$14:$A$949,$A70,'09월 에너지'!$C$14:$C$949,$B70)))</f>
        <v/>
      </c>
    </row>
    <row r="71" spans="1:105" ht="13.5" customHeight="1">
      <c r="A71" s="847">
        <f>A66+1</f>
        <v>44940</v>
      </c>
      <c r="B71" s="848" t="s">
        <v>31</v>
      </c>
      <c r="C71" s="810">
        <f>COUNTIF('09월 조업일지'!$A$12:$A$952,A71)</f>
        <v>0</v>
      </c>
      <c r="D71" s="787" t="str">
        <f>IF(C71&lt;1,"",F71-E71)</f>
        <v/>
      </c>
      <c r="E71" s="787" t="str">
        <f>IF($C71&lt;1,"",(SUMIF('09월 조업일지'!$A$12:$A$952,$A71,'09월 조업일지'!$K$12:$K$952))/C71)</f>
        <v/>
      </c>
      <c r="F71" s="787" t="str">
        <f>IF($C71&lt;1,"",AVERAGEIF('09월 조업일지'!$A$12:$A$952,$A71,'09월 조업일지'!$J$12:$J$952))</f>
        <v/>
      </c>
      <c r="G71" s="811" t="str">
        <f>IF($C71&lt;1,"",AVERAGEIF('09월 에너지'!$A$14:$A$949,$A71,'09월 에너지'!$M$14:M$949))</f>
        <v/>
      </c>
      <c r="H71" s="812" t="str">
        <f>IF($C71&lt;1,"",AVERAGEIF('09월 조업일지'!$A$12:$A$952,$A71,'09월 조업일지'!$AJ$12:$AJ$952))</f>
        <v/>
      </c>
      <c r="I71" s="812" t="str">
        <f>IF($C71&lt;1,"",AVERAGEIF('09월 조업일지'!$A$12:$A$952,$A71,'09월 조업일지'!$AL$12:$AL$952))</f>
        <v/>
      </c>
      <c r="J71" s="813" t="str">
        <f>IF($C71&lt;1,"",AVERAGEIF('09월 화학성분'!$A$12:$A$949,$A71,'09월 화학성분'!G$12:G$949))</f>
        <v/>
      </c>
      <c r="K71" s="813" t="str">
        <f>IF($C71&lt;1,"",AVERAGEIF('09월 화학성분'!$A$12:$A$949,$A71,'09월 화학성분'!H$12:H$949))</f>
        <v/>
      </c>
      <c r="L71" s="813" t="str">
        <f>IF($C71&lt;1,"",AVERAGEIF('09월 화학성분'!$A$12:$A$949,$A71,'09월 화학성분'!I$12:I$949))</f>
        <v/>
      </c>
      <c r="M71" s="813" t="str">
        <f>IF($C71&lt;1,"",AVERAGEIF('09월 화학성분'!$A$12:$A$949,$A71,'09월 화학성분'!J$12:J$949))</f>
        <v/>
      </c>
      <c r="N71" s="813" t="str">
        <f>IF($C71&lt;1,"",AVERAGEIF('09월 화학성분'!$A$12:$A$949,$A71,'09월 화학성분'!K$12:K$949))</f>
        <v/>
      </c>
      <c r="O71" s="813" t="str">
        <f>IF($C71&lt;1,"",AVERAGEIF('09월 화학성분'!$A$12:$A$949,$A71,'09월 화학성분'!L$12:L$949))</f>
        <v/>
      </c>
      <c r="P71" s="813" t="str">
        <f>IF($C71&lt;1,"",AVERAGEIF('09월 화학성분'!$A$12:$A$949,$A71,'09월 화학성분'!M$12:M$949))</f>
        <v/>
      </c>
      <c r="Q71" s="814" t="str">
        <f>IF($C71&lt;1,"",AVERAGEIF('09월 조업일지'!$A$12:$A$952,$A71,'09월 조업일지'!$AA$12:$AA$952))</f>
        <v/>
      </c>
      <c r="R71" s="814" t="str">
        <f>IF($C71&lt;1,"",AVERAGEIF('09월 조업일지'!$A$12:$A$952,$A71,'09월 조업일지'!$AK$12:$AK$952))</f>
        <v/>
      </c>
      <c r="S71" s="814"/>
      <c r="T71" s="814"/>
      <c r="U71" s="813" t="str">
        <f>IF($C71&lt;1,"",AVERAGEIF('09월 화학성분'!$A$12:$A$949,$A71,'09월 화학성분'!$G$12:$G$949))</f>
        <v/>
      </c>
      <c r="V71" s="814" t="str">
        <f>IF($C71&lt;1,"",AVERAGEIF('09월 조업일지'!$A$12:$A$952,$A71,'09월 조업일지'!$AI$12:$AI$952))</f>
        <v/>
      </c>
      <c r="W71" s="813" t="str">
        <f>IF($C71&lt;1,"",AVERAGEIF('09월 화학성분'!$A$12:$A$949,$A71,'09월 화학성분'!$AM$12:$AM$949))</f>
        <v/>
      </c>
      <c r="X71" s="815" t="str">
        <f>IF($C71&lt;1,"",AVERAGEIF('09월 화학성분'!$A$12:$A$949,$A71,'09월 화학성분'!N$12:N$949))</f>
        <v/>
      </c>
      <c r="Y71" s="815" t="str">
        <f>IF($C71&lt;1,"",AVERAGEIF('09월 화학성분'!$A$12:$A$949,$A71,'09월 화학성분'!O$12:O$949))</f>
        <v/>
      </c>
      <c r="Z71" s="815" t="str">
        <f>IF($C71&lt;1,"",AVERAGEIF('09월 화학성분'!$A$12:$A$949,$A71,'09월 화학성분'!P$12:P$949))</f>
        <v/>
      </c>
      <c r="AA71" s="815" t="str">
        <f>IF($C71&lt;1,"",AVERAGEIF('09월 화학성분'!$A$12:$A$949,$A71,'09월 화학성분'!Q$12:Q$949))</f>
        <v/>
      </c>
      <c r="AB71" s="815" t="str">
        <f>IF($C71&lt;1,"",AVERAGEIF('09월 화학성분'!$A$12:$A$949,$A71,'09월 화학성분'!R$12:R$949))</f>
        <v/>
      </c>
      <c r="AC71" s="815" t="str">
        <f>IF($C71&lt;1,"",AVERAGEIF('09월 화학성분'!$A$12:$A$949,$A71,'09월 화학성분'!U$12:U$949))</f>
        <v/>
      </c>
      <c r="AD71" s="815" t="str">
        <f>IF($C71&lt;1,"",AVERAGEIF('09월 화학성분'!$A$12:$A$949,$A71,'09월 화학성분'!V$12:V$949))</f>
        <v/>
      </c>
      <c r="AE71" s="815" t="str">
        <f>IF($C71&lt;1,"",AVERAGEIF('09월 화학성분'!$A$12:$A$949,$A71,'09월 화학성분'!W$12:W$949))</f>
        <v/>
      </c>
      <c r="AF71" s="815" t="str">
        <f>IF($C71&lt;1,"",AVERAGEIF('09월 화학성분'!$A$12:$A$949,$A71,'09월 화학성분'!AA$12:AA$949))</f>
        <v/>
      </c>
      <c r="AG71" s="815" t="str">
        <f>IF($C71&lt;1,"",AVERAGEIF('09월 화학성분'!$A$12:$A$949,$A71,'09월 화학성분'!#REF!))</f>
        <v/>
      </c>
      <c r="AH71" s="815" t="str">
        <f>IF($C71&lt;1,"",AVERAGEIF('09월 화학성분'!$A$12:$A$949,$A71,'09월 화학성분'!AB$12:AB$949))</f>
        <v/>
      </c>
      <c r="AI71" s="815" t="str">
        <f>IF($C71&lt;1,"",AVERAGEIF('09월 화학성분'!$A$12:$A$949,$A71,'09월 화학성분'!AC$12:AC$949))</f>
        <v/>
      </c>
      <c r="AJ71" s="815" t="str">
        <f>IF($C71&lt;1,"",AVERAGEIF('09월 화학성분'!$A$12:$A$949,$A71,'09월 화학성분'!AD$12:AD$949))</f>
        <v/>
      </c>
      <c r="AK71" s="815" t="str">
        <f>IF($C71&lt;1,"",AVERAGEIF('09월 화학성분'!$A$12:$A$949,$A71,'09월 화학성분'!AF$12:AF$949))</f>
        <v/>
      </c>
      <c r="AL71" s="815" t="str">
        <f>IF($C71&lt;1,"",AVERAGEIF('09월 화학성분'!$A$12:$A$949,$A71,'09월 화학성분'!AG$12:AG$949))</f>
        <v/>
      </c>
      <c r="AM71" s="815" t="str">
        <f>IF($C71&lt;1,"",AVERAGEIF('09월 화학성분'!$A$12:$A$949,$A71,'09월 화학성분'!AH$12:AH$949))</f>
        <v/>
      </c>
      <c r="AN71" s="815" t="str">
        <f>IF($C71&lt;1,"",AVERAGEIF('09월 화학성분'!$A$12:$A$949,$A71,'09월 화학성분'!AI$12:AI$949))</f>
        <v/>
      </c>
      <c r="AO71" s="815" t="str">
        <f>IF($C71&lt;1,"",AVERAGEIF('09월 화학성분'!$A$12:$A$949,$A71,'09월 화학성분'!AJ$12:AJ$949))</f>
        <v/>
      </c>
      <c r="AP71" s="815" t="str">
        <f>IF($C71&lt;1,"",AVERAGEIF('09월 화학성분'!$A$12:$A$949,$A71,'09월 화학성분'!#REF!))</f>
        <v/>
      </c>
      <c r="AQ71" s="815" t="str">
        <f>IF($C71&lt;1,"",AVERAGEIF('09월 화학성분'!$A$12:$A$949,$A71,'09월 화학성분'!AL$12:AL$949))</f>
        <v/>
      </c>
      <c r="AR71" s="815" t="str">
        <f>IF($C71&lt;1,"",AVERAGEIF('09월 화학성분'!$A$12:$A$949,$A71,'09월 화학성분'!AM$12:AM$949))</f>
        <v/>
      </c>
      <c r="AS71" s="816" t="str">
        <f>IF($C71&lt;1,"",AVERAGEIF('09월 화학성분'!$A$12:$A$949,$A71,'09월 화학성분'!AN$12:AN$949))</f>
        <v/>
      </c>
      <c r="AT71" s="816" t="str">
        <f>IF($C71&lt;1,"",AVERAGEIF('09월 화학성분'!$A$12:$A$949,$A71,'09월 화학성분'!AO$12:AO$949))</f>
        <v/>
      </c>
      <c r="AU71" s="815" t="str">
        <f>IF($C71&lt;1,"",AVERAGEIF('09월 화학성분'!$A$12:$A$949,$A71,'09월 화학성분'!AP$12:AP$949))</f>
        <v/>
      </c>
      <c r="AV71" s="815" t="str">
        <f>IF($C71&lt;1,"",AVERAGEIF('09월 고철장입'!$A$14:$A$949,$A71,'09월 고철장입'!G$14:G$949)/1000)</f>
        <v/>
      </c>
      <c r="AW71" s="815" t="str">
        <f>IF($C71&lt;1,"",AVERAGEIF('09월 고철장입'!$A$14:$A$949,$A71,'09월 고철장입'!H$14:H$949)/1000)</f>
        <v/>
      </c>
      <c r="AX71" s="815" t="str">
        <f>IF($C71&lt;1,"",AVERAGEIF('09월 고철장입'!$A$14:$A$949,$A71,'09월 고철장입'!I$14:I$949)/1000)</f>
        <v/>
      </c>
      <c r="AY71" s="815" t="str">
        <f>IF($C71&lt;1,"",AVERAGEIF('09월 고철장입'!$A$14:$A$949,$A71,'09월 고철장입'!J$14:J$949)/1000)</f>
        <v/>
      </c>
      <c r="AZ71" s="815" t="str">
        <f>IF($C71&lt;1,"",AVERAGEIF('09월 고철장입'!$A$14:$A$949,$A71,'09월 고철장입'!K$14:K$949)/1000)</f>
        <v/>
      </c>
      <c r="BA71" s="815" t="str">
        <f>IF($C71&lt;1,"",AVERAGEIF('09월 고철장입'!$A$14:$A$949,$A71,'09월 고철장입'!L$14:L$949)/1000)</f>
        <v/>
      </c>
      <c r="BB71" s="815" t="str">
        <f>IF($C71&lt;1,"",AVERAGEIF('09월 고철장입'!$A$14:$A$949,$A71,'09월 고철장입'!M$14:M$949)/1000)</f>
        <v/>
      </c>
      <c r="BC71" s="815" t="str">
        <f>IF($C71&lt;1,"",AVERAGEIF('09월 고철장입'!$A$14:$A$949,$A71,'09월 고철장입'!N$14:N$949)/1000)</f>
        <v/>
      </c>
      <c r="BD71" s="815" t="str">
        <f>IF($C71&lt;1,"",AVERAGEIF('09월 고철장입'!$A$14:$A$949,$A71,'09월 고철장입'!O$14:O$949)/1000)</f>
        <v/>
      </c>
      <c r="BE71" s="815" t="str">
        <f>IF($C71&lt;1,"",AVERAGEIF('09월 고철장입'!$A$14:$A$949,$A71,'09월 고철장입'!P$14:P$949)/1000)</f>
        <v/>
      </c>
      <c r="BF71" s="815" t="str">
        <f>IF($C71&lt;1,"",AVERAGEIF('09월 고철장입'!$A$14:$A$949,$A71,'09월 고철장입'!Q$14:Q$949)/1000)</f>
        <v/>
      </c>
      <c r="BG71" s="815" t="str">
        <f>IF($C71&lt;1,"",AVERAGEIF('09월 고철장입'!$A$14:$A$949,$A71,'09월 고철장입'!S$14:S$949)/1000)</f>
        <v/>
      </c>
      <c r="BH71" s="815" t="str">
        <f>IF($C71&lt;1,"",AVERAGEIF('09월 고철장입'!$A$14:$A$949,$A71,'09월 고철장입'!T$14:T$949)/1000)</f>
        <v/>
      </c>
      <c r="BI71" s="815" t="str">
        <f>IF($C71&lt;1,"",AVERAGEIF('09월 고철장입'!$A$14:$A$949,$A71,'09월 고철장입'!U$14:U$949)/1000)</f>
        <v/>
      </c>
      <c r="BJ71" s="815" t="str">
        <f>IF($C71&lt;1,"",AVERAGEIF('09월 고철장입'!$A$14:$A$949,$A71,'09월 고철장입'!V$14:V$949)/1000)</f>
        <v/>
      </c>
      <c r="BK71" s="815" t="str">
        <f>IF($C71&lt;1,"",AVERAGEIF('09월 고철장입'!$A$14:$A$949,$A71,'09월 고철장입'!W$14:W$949)/1000)</f>
        <v/>
      </c>
      <c r="BL71" s="815" t="str">
        <f>IF($C71&lt;1,"",AVERAGEIF('09월 고철장입'!$A$14:$A$949,$A71,'09월 고철장입'!Y$14:Y$949)/1000)</f>
        <v/>
      </c>
      <c r="BM71" s="815" t="str">
        <f>IF($C71&lt;1,"",AVERAGEIF('09월 고철장입'!$A$14:$A$949,$A71,'09월 고철장입'!AB$14:AB$949)/1000)</f>
        <v/>
      </c>
      <c r="BN71" s="815" t="str">
        <f>IF($C71&lt;1,"",AVERAGEIF('09월 고철장입'!$A$14:$A$949,$A71,'09월 고철장입'!AC$14:AC$949)/1000)</f>
        <v/>
      </c>
      <c r="BO71" s="815" t="str">
        <f>IF($C71&lt;1,"",AVERAGEIF('09월 고철장입'!$A$14:$A$949,$A71,'09월 고철장입'!AD$14:AD$949)/1000)</f>
        <v/>
      </c>
      <c r="BP71" s="815" t="str">
        <f>IF($C71&lt;1,"",AVERAGEIF('09월 고철장입'!$A$14:$A$949,$A71,'09월 고철장입'!AE$14:AE$949)/1000)</f>
        <v/>
      </c>
      <c r="BQ71" s="815" t="str">
        <f>IF($C71&lt;1,"",AVERAGEIF('09월 고철장입'!$A$14:$A$949,$A71,'09월 고철장입'!AF$14:AF$949)/1000)</f>
        <v/>
      </c>
      <c r="BR71" s="815" t="str">
        <f>IF($C71&lt;1,"",AVERAGEIF('09월 고철장입'!$A$14:$A$949,$A71,'09월 고철장입'!AG$14:AG$949)/1000)</f>
        <v/>
      </c>
      <c r="BS71" s="815" t="str">
        <f>IF($C71&lt;1,"",AVERAGEIF('09월 고철장입'!$A$14:$A$949,$A71,'09월 고철장입'!AH$14:AH$949)/1000)</f>
        <v/>
      </c>
      <c r="BT71" s="815" t="str">
        <f>IF($C71&lt;1,"",AVERAGEIF('09월 고철장입'!$A$14:$A$949,$A71,'09월 고철장입'!AI$14:AI$949)/1000)</f>
        <v/>
      </c>
      <c r="BU71" s="815" t="str">
        <f>IF($C71&lt;1,"",AVERAGEIF('09월 고철장입'!$A$14:$A$949,$A71,'09월 고철장입'!AJ$14:AJ$949)/1000)</f>
        <v/>
      </c>
      <c r="BV71" s="815" t="str">
        <f>IF($C71&lt;1,"",AVERAGEIF('09월 고철장입'!$A$14:$A$949,$A71,'09월 고철장입'!AK$14:AK$949))</f>
        <v/>
      </c>
      <c r="BW71" s="815" t="str">
        <f>IF($C71&lt;1,"",AVERAGEIF('09월 고철장입'!$A$14:$A$949,$A71,'09월 고철장입'!AL$14:AL$949)*100)</f>
        <v/>
      </c>
      <c r="BX71" s="815" t="str">
        <f>IF($C71&lt;1,"",AVERAGEIF('09월 에너지'!$A$14:$A$949,$A71,'09월 에너지'!G$14:G$949))</f>
        <v/>
      </c>
      <c r="BY71" s="817" t="str">
        <f>IF($C71&lt;1,"",AVERAGEIF('09월 에너지'!$A$14:$A$949,$A71,'09월 에너지'!H$14:H$949))</f>
        <v/>
      </c>
      <c r="BZ71" s="815" t="str">
        <f>IF($C71&lt;1,"",AVERAGEIF('09월 에너지'!$A$14:$A$949,$A71,'09월 에너지'!I$14:I$949))</f>
        <v/>
      </c>
      <c r="CA71" s="817" t="str">
        <f>IF($C71&lt;1,"",AVERAGEIF('09월 에너지'!$A$14:$A$949,$A71,'09월 에너지'!J$14:J$949))</f>
        <v/>
      </c>
      <c r="CB71" s="815" t="str">
        <f>IF($C71&lt;1,"",AVERAGEIF('09월 에너지'!$A$14:$A$949,$A71,'09월 에너지'!K$14:K$949))</f>
        <v/>
      </c>
      <c r="CC71" s="817" t="str">
        <f>IF($C71&lt;1,"",AVERAGEIF('09월 에너지'!$A$14:$A$949,$A71,'09월 에너지'!L$14:L$949))</f>
        <v/>
      </c>
      <c r="CD71" s="815" t="str">
        <f>IF($C71&lt;1,"",AVERAGEIF('09월 에너지'!$A$14:$A$949,$A71,'09월 에너지'!M$14:M$949))</f>
        <v/>
      </c>
      <c r="CE71" s="817" t="str">
        <f>IF($C71&lt;1,"",AVERAGEIF('09월 에너지'!$A$14:$A$949,$A71,'09월 에너지'!N$14:N$949))</f>
        <v/>
      </c>
      <c r="CF71" s="815" t="str">
        <f>IF($C71&lt;1,"",AVERAGEIF('09월 에너지'!$A$14:$A$949,$A71,'09월 에너지'!O$14:O$949))</f>
        <v/>
      </c>
      <c r="CG71" s="815" t="str">
        <f>IF($C71&lt;1,"",AVERAGEIF('09월 에너지'!$A$14:$A$949,$A71,'09월 에너지'!P$14:P$949))</f>
        <v/>
      </c>
      <c r="CH71" s="815" t="str">
        <f>IF($C71&lt;1,"",AVERAGEIF('09월 에너지'!$A$14:$A$949,$A71,'09월 에너지'!Q$14:Q$949))</f>
        <v/>
      </c>
      <c r="CI71" s="815" t="str">
        <f>IF($C71&lt;1,"",AVERAGEIF('09월 에너지'!$A$14:$A$949,$A71,'09월 에너지'!R$14:R$949))</f>
        <v/>
      </c>
      <c r="CJ71" s="815" t="str">
        <f>IF($C71&lt;1,"",AVERAGEIF('09월 에너지'!$A$14:$A$949,$A71,'09월 에너지'!S$14:S$949))</f>
        <v/>
      </c>
      <c r="CK71" s="815" t="str">
        <f>IF($C71&lt;1,"",AVERAGEIF('09월 에너지'!$A$14:$A$949,$A71,'09월 에너지'!T$14:T$949))</f>
        <v/>
      </c>
      <c r="CL71" s="815" t="str">
        <f>IF($C71&lt;1,"",AVERAGEIF('09월 에너지'!$A$14:$A$949,$A71,'09월 에너지'!U$14:U$949))</f>
        <v/>
      </c>
      <c r="CM71" s="817" t="str">
        <f>IF($C71&lt;1,"",AVERAGEIF('09월 에너지'!$A$14:$A$949,$A71,'09월 에너지'!V$14:V$949))</f>
        <v/>
      </c>
      <c r="CN71" s="817" t="str">
        <f>IF($C71&lt;1,"",AVERAGEIF('09월 에너지'!$A$14:$A$949,$A71,'09월 에너지'!W$14:W$949))</f>
        <v/>
      </c>
      <c r="CO71" s="815" t="str">
        <f>IF($C71&lt;1,"",AVERAGEIF('09월 에너지'!$A$14:$A$949,$A71,'09월 에너지'!X$14:X$949))</f>
        <v/>
      </c>
      <c r="CP71" s="817" t="str">
        <f>IF($C71&lt;1,"",AVERAGEIF('09월 에너지'!$A$14:$A$949,$A71,'09월 에너지'!Y$14:Y$949))</f>
        <v/>
      </c>
      <c r="CQ71" s="817" t="str">
        <f>IF($C71&lt;1,"",AVERAGEIF('09월 에너지'!$A$14:$A$949,$A71,'09월 에너지'!Z$14:Z$949))</f>
        <v/>
      </c>
      <c r="CR71" s="817" t="str">
        <f>IF($C71&lt;1,"",AVERAGEIF('09월 에너지'!$A$14:$A$949,$A71,'09월 에너지'!AA$14:AA$949))</f>
        <v/>
      </c>
      <c r="CS71" s="817" t="str">
        <f>IF($C71&lt;1,"",AVERAGEIF('09월 에너지'!$A$14:$A$949,$A71,'09월 에너지'!AB$14:AB$949))</f>
        <v/>
      </c>
      <c r="CT71" s="815" t="str">
        <f>IF($C71&lt;1,"",AVERAGEIF('09월 에너지'!$A$14:$A$949,$A71,'09월 에너지'!AC$14:AC$949))</f>
        <v/>
      </c>
      <c r="CU71" s="818" t="str">
        <f>IF($C71&lt;1,"",AVERAGEIF('09월 에너지'!$A$14:$A$949,$A71,'09월 에너지'!AD$14:AD$949))</f>
        <v/>
      </c>
      <c r="CV71" s="819" t="str">
        <f>IF($C71&lt;1,"",AVERAGEIF('09월 에너지'!$A$14:$A$949,$A71,'09월 에너지'!AE$14:AE$949))</f>
        <v/>
      </c>
      <c r="CW71" s="815" t="str">
        <f>IF($C71&lt;1,"",AVERAGEIF('09월 에너지'!$A$14:$A$949,$A71,'09월 에너지'!AF$14:AF$949))</f>
        <v/>
      </c>
      <c r="CX71" s="815" t="str">
        <f>IF($C71&lt;1,"",AVERAGEIF('09월 에너지'!$A$14:$A$949,$A71,'09월 에너지'!AG$14:AG$949))</f>
        <v/>
      </c>
      <c r="CY71" s="815" t="str">
        <f>IF($C71&lt;1,"",AVERAGEIF('09월 에너지'!$A$14:$A$949,$A71,'09월 에너지'!AH$14:AH$949))</f>
        <v/>
      </c>
      <c r="CZ71" s="815" t="str">
        <f>IF($C71&lt;1,"",AVERAGEIF('09월 에너지'!$A$14:$A$949,$A71,'09월 에너지'!AI$14:AI$949))</f>
        <v/>
      </c>
      <c r="DA71" s="820" t="str">
        <f>IF($C71&lt;1,"",AVERAGEIF('09월 에너지'!$A$14:$A$949,$A71,'09월 에너지'!AJ$14:AJ$949))</f>
        <v/>
      </c>
    </row>
    <row r="72" spans="1:105" ht="13.5" customHeight="1">
      <c r="A72" s="849">
        <f t="shared" si="2"/>
        <v>44940</v>
      </c>
      <c r="B72" s="850" t="s">
        <v>9</v>
      </c>
      <c r="C72" s="823">
        <f>COUNTIFS('09월 조업일지'!$A$12:$A$952,A71,'09월 조업일지'!$E$12:$E$952,B72)</f>
        <v>0</v>
      </c>
      <c r="D72" s="824" t="str">
        <f>IF(C72&lt;1,"",F72-E72)</f>
        <v/>
      </c>
      <c r="E72" s="824" t="str">
        <f>IF($C72&lt;1,"",(SUMIFS('09월 조업일지'!$K$12:$K$952,'09월 조업일지'!$A$12:$A$952,$A72,'09월 조업일지'!$E$12:$E$952,$B72)/$C72))</f>
        <v/>
      </c>
      <c r="F72" s="824" t="str">
        <f>IF($C72&lt;1,"",(AVERAGEIFS('09월 조업일지'!$J$12:$J$952,'09월 조업일지'!$A$12:$A$952,$A72,'09월 조업일지'!$E$12:$E$952,$B72)))</f>
        <v/>
      </c>
      <c r="G72" s="825" t="str">
        <f>IF($C72&lt;1,"",(AVERAGEIFS('09월 에너지'!$M$14:$M$949,'09월 에너지'!$A$14:$A$949,$A72,'09월 에너지'!$C$14:$C$949,$B72)))</f>
        <v/>
      </c>
      <c r="H72" s="826" t="str">
        <f>IF($C72&lt;1,"",(AVERAGEIFS('09월 조업일지'!$AJ$12:$AJ$952,'09월 조업일지'!$A$12:$A$952,$A72,'09월 조업일지'!$E$12:$E$952,$B72)))</f>
        <v/>
      </c>
      <c r="I72" s="826" t="str">
        <f>IF($C72&lt;1,"",(AVERAGEIFS('09월 조업일지'!$AL$12:$AL$952,'09월 조업일지'!$A$12:$A$952,$A72,'09월 조업일지'!$E$12:$E$952,$B72)))</f>
        <v/>
      </c>
      <c r="J72" s="827" t="str">
        <f>IF($C72&lt;1,"",(AVERAGEIFS('09월 화학성분'!G$12:G$949,'09월 화학성분'!$A$12:$A$949,$A72,'09월 화학성분'!$D$12:$D$949,$B72)))</f>
        <v/>
      </c>
      <c r="K72" s="827" t="str">
        <f>IF($C72&lt;1,"",(AVERAGEIFS('09월 화학성분'!H$12:H$949,'09월 화학성분'!$A$12:$A$949,$A72,'09월 화학성분'!$D$12:$D$949,$B72)))</f>
        <v/>
      </c>
      <c r="L72" s="827" t="str">
        <f>IF($C72&lt;1,"",(AVERAGEIFS('09월 화학성분'!I$12:I$949,'09월 화학성분'!$A$12:$A$949,$A72,'09월 화학성분'!$D$12:$D$949,$B72)))</f>
        <v/>
      </c>
      <c r="M72" s="827" t="str">
        <f>IF($C72&lt;1,"",(AVERAGEIFS('09월 화학성분'!J$12:J$949,'09월 화학성분'!$A$12:$A$949,$A72,'09월 화학성분'!$D$12:$D$949,$B72)))</f>
        <v/>
      </c>
      <c r="N72" s="827" t="str">
        <f>IF($C72&lt;1,"",(AVERAGEIFS('09월 화학성분'!K$12:K$949,'09월 화학성분'!$A$12:$A$949,$A72,'09월 화학성분'!$D$12:$D$949,$B72)))</f>
        <v/>
      </c>
      <c r="O72" s="827" t="str">
        <f>IF($C72&lt;1,"",(AVERAGEIFS('09월 화학성분'!L$12:L$949,'09월 화학성분'!$A$12:$A$949,$A72,'09월 화학성분'!$D$12:$D$949,$B72)))</f>
        <v/>
      </c>
      <c r="P72" s="827" t="str">
        <f>IF($C72&lt;1,"",(AVERAGEIFS('09월 화학성분'!M$12:M$949,'09월 화학성분'!$A$12:$A$949,$A72,'09월 화학성분'!$D$12:$D$949,$B72)))</f>
        <v/>
      </c>
      <c r="Q72" s="827" t="str">
        <f>IFERROR(IF($C72&lt;1,"",(AVERAGEIFS('09월 조업일지'!$AA$12:$AA$952,'09월 조업일지'!$A$12:$A$952,$A72,'09월 조업일지'!$E$12:$E$952,$B72))),"")</f>
        <v/>
      </c>
      <c r="R72" s="827" t="str">
        <f>IF($C72&lt;1,"",(AVERAGEIFS('09월 조업일지'!$AK$12:$AK$952,'09월 조업일지'!$A$12:$A$952,$A72,'09월 조업일지'!$E$12:$E$952,$B72)))</f>
        <v/>
      </c>
      <c r="S72" s="827"/>
      <c r="T72" s="827"/>
      <c r="U72" s="827" t="str">
        <f>IF($C72&lt;1,"",(AVERAGEIFS('09월 화학성분'!$G$12:$G$949,'09월 화학성분'!$A$12:$A$949,$A72,'09월 화학성분'!$D$12:$D$949,$B72)))</f>
        <v/>
      </c>
      <c r="V72" s="827" t="str">
        <f>IF($C72&lt;1,"",(AVERAGEIFS('09월 조업일지'!$AI$12:$AI$952,'09월 조업일지'!$A$12:$A$952,$A72,'09월 조업일지'!$E$12:$E$952,$B72)))</f>
        <v/>
      </c>
      <c r="W72" s="828" t="str">
        <f>IF($C72&lt;1,"",(AVERAGEIFS('09월 화학성분'!$AM$12:$AM$949,'09월 화학성분'!$A$12:$A$949,$A72,'09월 화학성분'!$D$12:$D$949,$B72)))</f>
        <v/>
      </c>
      <c r="X72" s="829" t="str">
        <f>IF($C72&lt;1,"",(AVERAGEIFS('09월 화학성분'!N$12:N$949,'09월 화학성분'!$A$12:$A$949,$A72,'09월 화학성분'!$D$12:$D$949,$B72)))</f>
        <v/>
      </c>
      <c r="Y72" s="829" t="str">
        <f>IF($C72&lt;1,"",(AVERAGEIFS('09월 화학성분'!O$12:O$949,'09월 화학성분'!$A$12:$A$949,$A72,'09월 화학성분'!$D$12:$D$949,$B72)))</f>
        <v/>
      </c>
      <c r="Z72" s="829" t="str">
        <f>IF($C72&lt;1,"",(AVERAGEIFS('09월 화학성분'!P$12:P$949,'09월 화학성분'!$A$12:$A$949,$A72,'09월 화학성분'!$D$12:$D$949,$B72)))</f>
        <v/>
      </c>
      <c r="AA72" s="829" t="str">
        <f>IF($C72&lt;1,"",(AVERAGEIFS('09월 화학성분'!Q$12:Q$949,'09월 화학성분'!$A$12:$A$949,$A72,'09월 화학성분'!$D$12:$D$949,$B72)))</f>
        <v/>
      </c>
      <c r="AB72" s="829" t="str">
        <f>IF($C72&lt;1,"",(AVERAGEIFS('09월 화학성분'!R$12:R$949,'09월 화학성분'!$A$12:$A$949,$A72,'09월 화학성분'!$D$12:$D$949,$B72)))</f>
        <v/>
      </c>
      <c r="AC72" s="829" t="str">
        <f>IF($C72&lt;1,"",(AVERAGEIFS('09월 화학성분'!U$12:U$949,'09월 화학성분'!$A$12:$A$949,$A72,'09월 화학성분'!$D$12:$D$949,$B72)))</f>
        <v/>
      </c>
      <c r="AD72" s="829" t="str">
        <f>IF($C72&lt;1,"",(AVERAGEIFS('09월 화학성분'!V$12:V$949,'09월 화학성분'!$A$12:$A$949,$A72,'09월 화학성분'!$D$12:$D$949,$B72)))</f>
        <v/>
      </c>
      <c r="AE72" s="829" t="str">
        <f>IF($C72&lt;1,"",(AVERAGEIFS('09월 화학성분'!W$12:W$949,'09월 화학성분'!$A$12:$A$949,$A72,'09월 화학성분'!$D$12:$D$949,$B72)))</f>
        <v/>
      </c>
      <c r="AF72" s="829" t="str">
        <f>IF($C72&lt;1,"",(AVERAGEIFS('09월 화학성분'!AA$12:AA$949,'09월 화학성분'!$A$12:$A$949,$A72,'09월 화학성분'!$D$12:$D$949,$B72)))</f>
        <v/>
      </c>
      <c r="AG72" s="829" t="str">
        <f>IF($C72&lt;1,"",(AVERAGEIFS('09월 화학성분'!#REF!,'09월 화학성분'!$A$12:$A$949,$A72,'09월 화학성분'!$D$12:$D$949,$B72)))</f>
        <v/>
      </c>
      <c r="AH72" s="829" t="str">
        <f>IF($C72&lt;1,"",(AVERAGEIFS('09월 화학성분'!AB$12:AB$949,'09월 화학성분'!$A$12:$A$949,$A72,'09월 화학성분'!$D$12:$D$949,$B72)))</f>
        <v/>
      </c>
      <c r="AI72" s="829" t="str">
        <f>IF($C72&lt;1,"",(AVERAGEIFS('09월 화학성분'!AC$12:AC$949,'09월 화학성분'!$A$12:$A$949,$A72,'09월 화학성분'!$D$12:$D$949,$B72)))</f>
        <v/>
      </c>
      <c r="AJ72" s="829" t="str">
        <f>IF($C72&lt;1,"",(AVERAGEIFS('09월 화학성분'!AD$12:AD$949,'09월 화학성분'!$A$12:$A$949,$A72,'09월 화학성분'!$D$12:$D$949,$B72)))</f>
        <v/>
      </c>
      <c r="AK72" s="829" t="str">
        <f>IF($C72&lt;1,"",(AVERAGEIFS('09월 화학성분'!AF$12:AF$949,'09월 화학성분'!$A$12:$A$949,$A72,'09월 화학성분'!$D$12:$D$949,$B72)))</f>
        <v/>
      </c>
      <c r="AL72" s="829" t="str">
        <f>IF($C72&lt;1,"",(AVERAGEIFS('09월 화학성분'!AG$12:AG$949,'09월 화학성분'!$A$12:$A$949,$A72,'09월 화학성분'!$D$12:$D$949,$B72)))</f>
        <v/>
      </c>
      <c r="AM72" s="829" t="str">
        <f>IF($C72&lt;1,"",(AVERAGEIFS('09월 화학성분'!AH$12:AH$949,'09월 화학성분'!$A$12:$A$949,$A72,'09월 화학성분'!$D$12:$D$949,$B72)))</f>
        <v/>
      </c>
      <c r="AN72" s="829" t="str">
        <f>IF($C72&lt;1,"",(AVERAGEIFS('09월 화학성분'!AI$12:AI$949,'09월 화학성분'!$A$12:$A$949,$A72,'09월 화학성분'!$D$12:$D$949,$B72)))</f>
        <v/>
      </c>
      <c r="AO72" s="829" t="str">
        <f>IF($C72&lt;1,"",(AVERAGEIFS('09월 화학성분'!AJ$12:AJ$949,'09월 화학성분'!$A$12:$A$949,$A72,'09월 화학성분'!$D$12:$D$949,$B72)))</f>
        <v/>
      </c>
      <c r="AP72" s="829" t="str">
        <f>IF($C72&lt;1,"",(AVERAGEIFS('09월 화학성분'!#REF!,'09월 화학성분'!$A$12:$A$949,$A72,'09월 화학성분'!$D$12:$D$949,$B72)))</f>
        <v/>
      </c>
      <c r="AQ72" s="829" t="str">
        <f>IF($C72&lt;1,"",(AVERAGEIFS('09월 화학성분'!AL$12:AL$949,'09월 화학성분'!$A$12:$A$949,$A72,'09월 화학성분'!$D$12:$D$949,$B72)))</f>
        <v/>
      </c>
      <c r="AR72" s="829" t="str">
        <f>IF($C72&lt;1,"",(AVERAGEIFS('09월 화학성분'!AM$12:AM$949,'09월 화학성분'!$A$12:$A$949,$A72,'09월 화학성분'!$D$12:$D$949,$B72)))</f>
        <v/>
      </c>
      <c r="AS72" s="830" t="str">
        <f>IF($C72&lt;1,"",(AVERAGEIFS('09월 화학성분'!AN$12:AN$949,'09월 화학성분'!$A$12:$A$949,$A72,'09월 화학성분'!$D$12:$D$949,$B72)))</f>
        <v/>
      </c>
      <c r="AT72" s="830" t="str">
        <f>IF($C72&lt;1,"",(AVERAGEIFS('09월 화학성분'!AO$12:AO$949,'09월 화학성분'!$A$12:$A$949,$A72,'09월 화학성분'!$D$12:$D$949,$B72)))</f>
        <v/>
      </c>
      <c r="AU72" s="831" t="str">
        <f>IF($C72&lt;1,"",(AVERAGEIFS('09월 화학성분'!AP$12:AP$949,'09월 화학성분'!$A$12:$A$949,$A72,'09월 화학성분'!$D$12:$D$949,$B72)))</f>
        <v/>
      </c>
      <c r="AV72" s="832" t="str">
        <f>IF($C72&lt;1,"",(AVERAGEIFS('09월 고철장입'!G$14:G$949,'09월 고철장입'!$A$14:$A$949,$A72,'09월 고철장입'!$C$14:$C$949,$B72))/1000)</f>
        <v/>
      </c>
      <c r="AW72" s="832" t="str">
        <f>IF($C72&lt;1,"",(AVERAGEIFS('09월 고철장입'!H$14:H$949,'09월 고철장입'!$A$14:$A$949,$A72,'09월 고철장입'!$C$14:$C$949,$B72))/1000)</f>
        <v/>
      </c>
      <c r="AX72" s="832" t="str">
        <f>IF($C72&lt;1,"",(AVERAGEIFS('09월 고철장입'!I$14:I$949,'09월 고철장입'!$A$14:$A$949,$A72,'09월 고철장입'!$C$14:$C$949,$B72))/1000)</f>
        <v/>
      </c>
      <c r="AY72" s="832" t="str">
        <f>IF($C72&lt;1,"",(AVERAGEIFS('09월 고철장입'!J$14:J$949,'09월 고철장입'!$A$14:$A$949,$A72,'09월 고철장입'!$C$14:$C$949,$B72))/1000)</f>
        <v/>
      </c>
      <c r="AZ72" s="832" t="str">
        <f>IF($C72&lt;1,"",(AVERAGEIFS('09월 고철장입'!K$14:K$949,'09월 고철장입'!$A$14:$A$949,$A72,'09월 고철장입'!$C$14:$C$949,$B72))/1000)</f>
        <v/>
      </c>
      <c r="BA72" s="832" t="str">
        <f>IF($C72&lt;1,"",(AVERAGEIFS('09월 고철장입'!L$14:L$949,'09월 고철장입'!$A$14:$A$949,$A72,'09월 고철장입'!$C$14:$C$949,$B72))/1000)</f>
        <v/>
      </c>
      <c r="BB72" s="832" t="str">
        <f>IF($C72&lt;1,"",(AVERAGEIFS('09월 고철장입'!M$14:M$949,'09월 고철장입'!$A$14:$A$949,$A72,'09월 고철장입'!$C$14:$C$949,$B72))/1000)</f>
        <v/>
      </c>
      <c r="BC72" s="832" t="str">
        <f>IF($C72&lt;1,"",(AVERAGEIFS('09월 고철장입'!N$14:N$949,'09월 고철장입'!$A$14:$A$949,$A72,'09월 고철장입'!$C$14:$C$949,$B72))/1000)</f>
        <v/>
      </c>
      <c r="BD72" s="832" t="str">
        <f>IF($C72&lt;1,"",(AVERAGEIFS('09월 고철장입'!O$14:O$949,'09월 고철장입'!$A$14:$A$949,$A72,'09월 고철장입'!$C$14:$C$949,$B72))/1000)</f>
        <v/>
      </c>
      <c r="BE72" s="833" t="str">
        <f>IF($C72&lt;1,"",(AVERAGEIFS('09월 고철장입'!P$14:P$949,'09월 고철장입'!$A$14:$A$949,$A72,'09월 고철장입'!$C$14:$C$949,$B72))/1000)</f>
        <v/>
      </c>
      <c r="BF72" s="833" t="str">
        <f>IF($C72&lt;1,"",(AVERAGEIFS('09월 고철장입'!Q$14:Q$949,'09월 고철장입'!$A$14:$A$949,$A72,'09월 고철장입'!$C$14:$C$949,$B72))/1000)</f>
        <v/>
      </c>
      <c r="BG72" s="833" t="str">
        <f>IF($C72&lt;1,"",(AVERAGEIFS('09월 고철장입'!S$14:S$949,'09월 고철장입'!$A$14:$A$949,$A72,'09월 고철장입'!$C$14:$C$949,$B72))/1000)</f>
        <v/>
      </c>
      <c r="BH72" s="833" t="str">
        <f>IF($C72&lt;1,"",(AVERAGEIFS('09월 고철장입'!T$14:T$949,'09월 고철장입'!$A$14:$A$949,$A72,'09월 고철장입'!$C$14:$C$949,$B72))/1000)</f>
        <v/>
      </c>
      <c r="BI72" s="833" t="str">
        <f>IF($C72&lt;1,"",(AVERAGEIFS('09월 고철장입'!U$14:U$949,'09월 고철장입'!$A$14:$A$949,$A72,'09월 고철장입'!$C$14:$C$949,$B72))/1000)</f>
        <v/>
      </c>
      <c r="BJ72" s="833" t="str">
        <f>IF($C72&lt;1,"",(AVERAGEIFS('09월 고철장입'!V$14:V$949,'09월 고철장입'!$A$14:$A$949,$A72,'09월 고철장입'!$C$14:$C$949,$B72))/1000)</f>
        <v/>
      </c>
      <c r="BK72" s="833" t="str">
        <f>IF($C72&lt;1,"",(AVERAGEIFS('09월 고철장입'!W$14:W$949,'09월 고철장입'!$A$14:$A$949,$A72,'09월 고철장입'!$C$14:$C$949,$B72))/1000)</f>
        <v/>
      </c>
      <c r="BL72" s="833" t="str">
        <f>IF($C72&lt;1,"",(AVERAGEIFS('09월 고철장입'!Y$14:Y$949,'09월 고철장입'!$A$14:$A$949,$A72,'09월 고철장입'!$C$14:$C$949,$B72))/1000)</f>
        <v/>
      </c>
      <c r="BM72" s="833" t="str">
        <f>IF($C72&lt;1,"",(AVERAGEIFS('09월 고철장입'!AB$14:AB$949,'09월 고철장입'!$A$14:$A$949,$A72,'09월 고철장입'!$C$14:$C$949,$B72))/1000)</f>
        <v/>
      </c>
      <c r="BN72" s="833" t="str">
        <f>IF($C72&lt;1,"",(AVERAGEIFS('09월 고철장입'!AC$14:AC$949,'09월 고철장입'!$A$14:$A$949,$A72,'09월 고철장입'!$C$14:$C$949,$B72))/1000)</f>
        <v/>
      </c>
      <c r="BO72" s="833" t="str">
        <f>IF($C72&lt;1,"",(AVERAGEIFS('09월 고철장입'!AD$14:AD$949,'09월 고철장입'!$A$14:$A$949,$A72,'09월 고철장입'!$C$14:$C$949,$B72))/1000)</f>
        <v/>
      </c>
      <c r="BP72" s="833" t="str">
        <f>IF($C72&lt;1,"",(AVERAGEIFS('09월 고철장입'!AE$14:AE$949,'09월 고철장입'!$A$14:$A$949,$A72,'09월 고철장입'!$C$14:$C$949,$B72))/1000)</f>
        <v/>
      </c>
      <c r="BQ72" s="832" t="str">
        <f>IF($C72&lt;1,"",(AVERAGEIFS('09월 고철장입'!AF$14:AF$949,'09월 고철장입'!$A$14:$A$949,$A72,'09월 고철장입'!$C$14:$C$949,$B72))/1000)</f>
        <v/>
      </c>
      <c r="BR72" s="832" t="str">
        <f>IF($C72&lt;1,"",(AVERAGEIFS('09월 고철장입'!AG$14:AG$949,'09월 고철장입'!$A$14:$A$949,$A72,'09월 고철장입'!$C$14:$C$949,$B72))/1000)</f>
        <v/>
      </c>
      <c r="BS72" s="832" t="str">
        <f>IF($C72&lt;1,"",(AVERAGEIFS('09월 고철장입'!AH$14:AH$949,'09월 고철장입'!$A$14:$A$949,$A72,'09월 고철장입'!$C$14:$C$949,$B72))/1000)</f>
        <v/>
      </c>
      <c r="BT72" s="832" t="str">
        <f>IF($C72&lt;1,"",(AVERAGEIFS('09월 고철장입'!AI$14:AI$949,'09월 고철장입'!$A$14:$A$949,$A72,'09월 고철장입'!$C$14:$C$949,$B72))/1000)</f>
        <v/>
      </c>
      <c r="BU72" s="834" t="str">
        <f>IF($C72&lt;1,"",(AVERAGEIFS('09월 고철장입'!AJ$14:AJ$949,'09월 고철장입'!$A$14:$A$949,$A72,'09월 고철장입'!$C$14:$C$949,$B72))/1000)</f>
        <v/>
      </c>
      <c r="BV72" s="834" t="str">
        <f>IF($C72&lt;1,"",(AVERAGEIFS('09월 고철장입'!AK$14:AK$949,'09월 고철장입'!$A$14:$A$949,$A72,'09월 고철장입'!$C$14:$C$949,$B72)))</f>
        <v/>
      </c>
      <c r="BW72" s="834" t="str">
        <f>IF($C72&lt;1,"",(AVERAGEIFS('09월 고철장입'!AL$14:AL$949,'09월 고철장입'!$A$14:$A$949,$A72,'09월 고철장입'!$C$14:$C$949,$B72))*100)</f>
        <v/>
      </c>
      <c r="BX72" s="831" t="str">
        <f>IF($C72&lt;1,"",(AVERAGEIFS('09월 에너지'!G$14:G$949,'09월 에너지'!$A$14:$A$949,$A72,'09월 에너지'!$C$14:$C$949,$B72)))</f>
        <v/>
      </c>
      <c r="BY72" s="835" t="str">
        <f>IF($C72&lt;1,"",(AVERAGEIFS('09월 에너지'!H$14:H$949,'09월 에너지'!$A$14:$A$949,$A72,'09월 에너지'!$C$14:$C$949,$B72)))</f>
        <v/>
      </c>
      <c r="BZ72" s="831" t="str">
        <f>IF($C72&lt;1,"",(AVERAGEIFS('09월 에너지'!I$14:I$949,'09월 에너지'!$A$14:$A$949,$A72,'09월 에너지'!$C$14:$C$949,$B72)))</f>
        <v/>
      </c>
      <c r="CA72" s="835" t="str">
        <f>IF($C72&lt;1,"",(AVERAGEIFS('09월 에너지'!J$14:J$949,'09월 에너지'!$A$14:$A$949,$A72,'09월 에너지'!$C$14:$C$949,$B72)))</f>
        <v/>
      </c>
      <c r="CB72" s="831" t="str">
        <f>IF($C72&lt;1,"",(AVERAGEIFS('09월 에너지'!K$14:K$949,'09월 에너지'!$A$14:$A$949,$A72,'09월 에너지'!$C$14:$C$949,$B72)))</f>
        <v/>
      </c>
      <c r="CC72" s="835" t="str">
        <f>IF($C72&lt;1,"",(AVERAGEIFS('09월 에너지'!L$14:L$949,'09월 에너지'!$A$14:$A$949,$A72,'09월 에너지'!$C$14:$C$949,$B72)))</f>
        <v/>
      </c>
      <c r="CD72" s="831" t="str">
        <f>IF($C72&lt;1,"",(AVERAGEIFS('09월 에너지'!M$14:M$949,'09월 에너지'!$A$14:$A$949,$A72,'09월 에너지'!$C$14:$C$949,$B72)))</f>
        <v/>
      </c>
      <c r="CE72" s="835" t="str">
        <f>IF($C72&lt;1,"",(AVERAGEIFS('09월 에너지'!N$14:N$949,'09월 에너지'!$A$14:$A$949,$A72,'09월 에너지'!$C$14:$C$949,$B72)))</f>
        <v/>
      </c>
      <c r="CF72" s="831" t="str">
        <f>IF($C72&lt;1,"",(AVERAGEIFS('09월 에너지'!O$14:O$949,'09월 에너지'!$A$14:$A$949,$A72,'09월 에너지'!$C$14:$C$949,$B72)))</f>
        <v/>
      </c>
      <c r="CG72" s="831" t="str">
        <f>IF($C72&lt;1,"",(AVERAGEIFS('09월 에너지'!P$14:P$949,'09월 에너지'!$A$14:$A$949,$A72,'09월 에너지'!$C$14:$C$949,$B72)))</f>
        <v/>
      </c>
      <c r="CH72" s="831" t="str">
        <f>IF($C72&lt;1,"",(AVERAGEIFS('09월 에너지'!Q$14:Q$949,'09월 에너지'!$A$14:$A$949,$A72,'09월 에너지'!$C$14:$C$949,$B72)))</f>
        <v/>
      </c>
      <c r="CI72" s="831" t="str">
        <f>IF($C72&lt;1,"",(AVERAGEIFS('09월 에너지'!R$14:R$949,'09월 에너지'!$A$14:$A$949,$A72,'09월 에너지'!$C$14:$C$949,$B72)))</f>
        <v/>
      </c>
      <c r="CJ72" s="831" t="str">
        <f>IF($C72&lt;1,"",(AVERAGEIFS('09월 에너지'!S$14:S$949,'09월 에너지'!$A$14:$A$949,$A72,'09월 에너지'!$C$14:$C$949,$B72)))</f>
        <v/>
      </c>
      <c r="CK72" s="831" t="str">
        <f>IF($C72&lt;1,"",(AVERAGEIFS('09월 에너지'!T$14:T$949,'09월 에너지'!$A$14:$A$949,$A72,'09월 에너지'!$C$14:$C$949,$B72)))</f>
        <v/>
      </c>
      <c r="CL72" s="831" t="str">
        <f>IF($C72&lt;1,"",(AVERAGEIFS('09월 에너지'!U$14:U$949,'09월 에너지'!$A$14:$A$949,$A72,'09월 에너지'!$C$14:$C$949,$B72)))</f>
        <v/>
      </c>
      <c r="CM72" s="835" t="str">
        <f>IF($C72&lt;1,"",(AVERAGEIFS('09월 에너지'!V$14:V$949,'09월 에너지'!$A$14:$A$949,$A72,'09월 에너지'!$C$14:$C$949,$B72)))</f>
        <v/>
      </c>
      <c r="CN72" s="835" t="str">
        <f>IF($C72&lt;1,"",(AVERAGEIFS('09월 에너지'!W$14:W$949,'09월 에너지'!$A$14:$A$949,$A72,'09월 에너지'!$C$14:$C$949,$B72)))</f>
        <v/>
      </c>
      <c r="CO72" s="831" t="str">
        <f>IF($C72&lt;1,"",(AVERAGEIFS('09월 에너지'!X$14:X$949,'09월 에너지'!$A$14:$A$949,$A72,'09월 에너지'!$C$14:$C$949,$B72)))</f>
        <v/>
      </c>
      <c r="CP72" s="835" t="str">
        <f>IF($C72&lt;1,"",(AVERAGEIFS('09월 에너지'!Y$14:Y$949,'09월 에너지'!$A$14:$A$949,$A72,'09월 에너지'!$C$14:$C$949,$B72)))</f>
        <v/>
      </c>
      <c r="CQ72" s="835" t="str">
        <f>IF($C72&lt;1,"",(AVERAGEIFS('09월 에너지'!Z$14:Z$949,'09월 에너지'!$A$14:$A$949,$A72,'09월 에너지'!$C$14:$C$949,$B72)))</f>
        <v/>
      </c>
      <c r="CR72" s="835" t="str">
        <f>IF($C72&lt;1,"",(AVERAGEIFS('09월 에너지'!AA$14:AA$949,'09월 에너지'!$A$14:$A$949,$A72,'09월 에너지'!$C$14:$C$949,$B72)))</f>
        <v/>
      </c>
      <c r="CS72" s="835" t="str">
        <f>IF($C72&lt;1,"",(AVERAGEIFS('09월 에너지'!AB$14:AB$949,'09월 에너지'!$A$14:$A$949,$A72,'09월 에너지'!$C$14:$C$949,$B72)))</f>
        <v/>
      </c>
      <c r="CT72" s="831" t="str">
        <f>IF($C72&lt;1,"",(AVERAGEIFS('09월 에너지'!AC$14:AC$949,'09월 에너지'!$A$14:$A$949,$A72,'09월 에너지'!$C$14:$C$949,$B72)))</f>
        <v/>
      </c>
      <c r="CU72" s="836" t="str">
        <f>IF($C72&lt;1,"",(AVERAGEIFS('09월 에너지'!AD$14:AD$949,'09월 에너지'!$A$14:$A$949,$A72,'09월 에너지'!$C$14:$C$949,$B72)))</f>
        <v/>
      </c>
      <c r="CV72" s="837" t="str">
        <f>IF($C72&lt;1,"",(AVERAGEIFS('09월 에너지'!AE$14:AE$949,'09월 에너지'!$A$14:$A$949,$A72,'09월 에너지'!$C$14:$C$949,$B72)))</f>
        <v/>
      </c>
      <c r="CW72" s="831" t="str">
        <f>IF($C72&lt;1,"",(AVERAGEIFS('09월 에너지'!AF$14:AF$949,'09월 에너지'!$A$14:$A$949,$A72,'09월 에너지'!$C$14:$C$949,$B72)))</f>
        <v/>
      </c>
      <c r="CX72" s="831" t="str">
        <f>IF($C72&lt;1,"",(AVERAGEIFS('09월 에너지'!AG$14:AG$949,'09월 에너지'!$A$14:$A$949,$A72,'09월 에너지'!$C$14:$C$949,$B72)))</f>
        <v/>
      </c>
      <c r="CY72" s="831" t="str">
        <f>IF($C72&lt;1,"",(AVERAGEIFS('09월 에너지'!AH$14:AH$949,'09월 에너지'!$A$14:$A$949,$A72,'09월 에너지'!$C$14:$C$949,$B72)))</f>
        <v/>
      </c>
      <c r="CZ72" s="831" t="str">
        <f>IF($C72&lt;1,"",(AVERAGEIFS('09월 에너지'!AI$14:AI$949,'09월 에너지'!$A$14:$A$949,$A72,'09월 에너지'!$C$14:$C$949,$B72)))</f>
        <v/>
      </c>
      <c r="DA72" s="838" t="str">
        <f>IF($C72&lt;1,"",(AVERAGEIFS('09월 에너지'!AJ$14:AJ$949,'09월 에너지'!$A$14:$A$949,$A72,'09월 에너지'!$C$14:$C$949,$B72)))</f>
        <v/>
      </c>
    </row>
    <row r="73" spans="1:105" ht="13.5" customHeight="1">
      <c r="A73" s="849">
        <f t="shared" si="2"/>
        <v>44940</v>
      </c>
      <c r="B73" s="850" t="s">
        <v>100</v>
      </c>
      <c r="C73" s="823">
        <f>COUNTIFS('09월 조업일지'!$A$12:$A$952,A71,'09월 조업일지'!$E$12:$E$952,B73)</f>
        <v>0</v>
      </c>
      <c r="D73" s="824" t="str">
        <f t="shared" ref="D73:D75" si="15">IF(C73&lt;1,"",F73-E73)</f>
        <v/>
      </c>
      <c r="E73" s="824" t="str">
        <f>IF($C73&lt;1,"",(SUMIFS('09월 조업일지'!$K$12:$K$952,'09월 조업일지'!$A$12:$A$952,$A73,'09월 조업일지'!$E$12:$E$952,$B73)/$C73))</f>
        <v/>
      </c>
      <c r="F73" s="824" t="str">
        <f>IF($C73&lt;1,"",(AVERAGEIFS('09월 조업일지'!$J$12:$J$952,'09월 조업일지'!$A$12:$A$952,$A73,'09월 조업일지'!$E$12:$E$952,$B73)))</f>
        <v/>
      </c>
      <c r="G73" s="825" t="str">
        <f>IF($C73&lt;1,"",(AVERAGEIFS('09월 에너지'!$M$14:$M$949,'09월 에너지'!$A$14:$A$949,$A73,'09월 에너지'!$C$14:$C$949,$B73)))</f>
        <v/>
      </c>
      <c r="H73" s="826" t="str">
        <f>IF($C73&lt;1,"",(AVERAGEIFS('09월 조업일지'!$AJ$12:$AJ$952,'09월 조업일지'!$A$12:$A$952,$A73,'09월 조업일지'!$E$12:$E$952,$B73)))</f>
        <v/>
      </c>
      <c r="I73" s="826" t="str">
        <f>IF($C73&lt;1,"",(AVERAGEIFS('09월 조업일지'!$AL$12:$AL$952,'09월 조업일지'!$A$12:$A$952,$A73,'09월 조업일지'!$E$12:$E$952,$B73)))</f>
        <v/>
      </c>
      <c r="J73" s="827" t="str">
        <f>IF($C73&lt;1,"",(AVERAGEIFS('09월 화학성분'!G$12:G$949,'09월 화학성분'!$A$12:$A$949,$A73,'09월 화학성분'!$D$12:$D$949,$B73)))</f>
        <v/>
      </c>
      <c r="K73" s="827" t="str">
        <f>IF($C73&lt;1,"",(AVERAGEIFS('09월 화학성분'!H$12:H$949,'09월 화학성분'!$A$12:$A$949,$A73,'09월 화학성분'!$D$12:$D$949,$B73)))</f>
        <v/>
      </c>
      <c r="L73" s="827" t="str">
        <f>IF($C73&lt;1,"",(AVERAGEIFS('09월 화학성분'!I$12:I$949,'09월 화학성분'!$A$12:$A$949,$A73,'09월 화학성분'!$D$12:$D$949,$B73)))</f>
        <v/>
      </c>
      <c r="M73" s="827" t="str">
        <f>IF($C73&lt;1,"",(AVERAGEIFS('09월 화학성분'!J$12:J$949,'09월 화학성분'!$A$12:$A$949,$A73,'09월 화학성분'!$D$12:$D$949,$B73)))</f>
        <v/>
      </c>
      <c r="N73" s="827" t="str">
        <f>IF($C73&lt;1,"",(AVERAGEIFS('09월 화학성분'!K$12:K$949,'09월 화학성분'!$A$12:$A$949,$A73,'09월 화학성분'!$D$12:$D$949,$B73)))</f>
        <v/>
      </c>
      <c r="O73" s="827" t="str">
        <f>IF($C73&lt;1,"",(AVERAGEIFS('09월 화학성분'!L$12:L$949,'09월 화학성분'!$A$12:$A$949,$A73,'09월 화학성분'!$D$12:$D$949,$B73)))</f>
        <v/>
      </c>
      <c r="P73" s="827" t="str">
        <f>IF($C73&lt;1,"",(AVERAGEIFS('09월 화학성분'!M$12:M$949,'09월 화학성분'!$A$12:$A$949,$A73,'09월 화학성분'!$D$12:$D$949,$B73)))</f>
        <v/>
      </c>
      <c r="Q73" s="827" t="str">
        <f>IFERROR(IF($C73&lt;1,"",(AVERAGEIFS('09월 조업일지'!$AA$12:$AA$952,'09월 조업일지'!$A$12:$A$952,$A73,'09월 조업일지'!$E$12:$E$952,$B73))),"")</f>
        <v/>
      </c>
      <c r="R73" s="827" t="str">
        <f>IF($C73&lt;1,"",(AVERAGEIFS('09월 조업일지'!$AK$12:$AK$952,'09월 조업일지'!$A$12:$A$952,$A73,'09월 조업일지'!$E$12:$E$952,$B73)))</f>
        <v/>
      </c>
      <c r="S73" s="827"/>
      <c r="T73" s="827"/>
      <c r="U73" s="827" t="str">
        <f>IF($C73&lt;1,"",(AVERAGEIFS('09월 화학성분'!$G$12:$G$949,'09월 화학성분'!$A$12:$A$949,$A73,'09월 화학성분'!$D$12:$D$949,$B73)))</f>
        <v/>
      </c>
      <c r="V73" s="827" t="str">
        <f>IF($C73&lt;1,"",(AVERAGEIFS('09월 조업일지'!$AI$12:$AI$952,'09월 조업일지'!$A$12:$A$952,$A73,'09월 조업일지'!$E$12:$E$952,$B73)))</f>
        <v/>
      </c>
      <c r="W73" s="828" t="str">
        <f>IF($C73&lt;1,"",(AVERAGEIFS('09월 화학성분'!$AM$12:$AM$949,'09월 화학성분'!$A$12:$A$949,$A73,'09월 화학성분'!$D$12:$D$949,$B73)))</f>
        <v/>
      </c>
      <c r="X73" s="829" t="str">
        <f>IF($C73&lt;1,"",(AVERAGEIFS('09월 화학성분'!N$12:N$949,'09월 화학성분'!$A$12:$A$949,$A73,'09월 화학성분'!$D$12:$D$949,$B73)))</f>
        <v/>
      </c>
      <c r="Y73" s="829" t="str">
        <f>IF($C73&lt;1,"",(AVERAGEIFS('09월 화학성분'!O$12:O$949,'09월 화학성분'!$A$12:$A$949,$A73,'09월 화학성분'!$D$12:$D$949,$B73)))</f>
        <v/>
      </c>
      <c r="Z73" s="829" t="str">
        <f>IF($C73&lt;1,"",(AVERAGEIFS('09월 화학성분'!P$12:P$949,'09월 화학성분'!$A$12:$A$949,$A73,'09월 화학성분'!$D$12:$D$949,$B73)))</f>
        <v/>
      </c>
      <c r="AA73" s="829" t="str">
        <f>IF($C73&lt;1,"",(AVERAGEIFS('09월 화학성분'!Q$12:Q$949,'09월 화학성분'!$A$12:$A$949,$A73,'09월 화학성분'!$D$12:$D$949,$B73)))</f>
        <v/>
      </c>
      <c r="AB73" s="829" t="str">
        <f>IF($C73&lt;1,"",(AVERAGEIFS('09월 화학성분'!R$12:R$949,'09월 화학성분'!$A$12:$A$949,$A73,'09월 화학성분'!$D$12:$D$949,$B73)))</f>
        <v/>
      </c>
      <c r="AC73" s="829" t="str">
        <f>IF($C73&lt;1,"",(AVERAGEIFS('09월 화학성분'!U$12:U$949,'09월 화학성분'!$A$12:$A$949,$A73,'09월 화학성분'!$D$12:$D$949,$B73)))</f>
        <v/>
      </c>
      <c r="AD73" s="829" t="str">
        <f>IF($C73&lt;1,"",(AVERAGEIFS('09월 화학성분'!V$12:V$949,'09월 화학성분'!$A$12:$A$949,$A73,'09월 화학성분'!$D$12:$D$949,$B73)))</f>
        <v/>
      </c>
      <c r="AE73" s="829" t="str">
        <f>IF($C73&lt;1,"",(AVERAGEIFS('09월 화학성분'!W$12:W$949,'09월 화학성분'!$A$12:$A$949,$A73,'09월 화학성분'!$D$12:$D$949,$B73)))</f>
        <v/>
      </c>
      <c r="AF73" s="829" t="str">
        <f>IF($C73&lt;1,"",(AVERAGEIFS('09월 화학성분'!AA$12:AA$949,'09월 화학성분'!$A$12:$A$949,$A73,'09월 화학성분'!$D$12:$D$949,$B73)))</f>
        <v/>
      </c>
      <c r="AG73" s="829" t="str">
        <f>IF($C73&lt;1,"",(AVERAGEIFS('09월 화학성분'!#REF!,'09월 화학성분'!$A$12:$A$949,$A73,'09월 화학성분'!$D$12:$D$949,$B73)))</f>
        <v/>
      </c>
      <c r="AH73" s="829" t="str">
        <f>IF($C73&lt;1,"",(AVERAGEIFS('09월 화학성분'!AB$12:AB$949,'09월 화학성분'!$A$12:$A$949,$A73,'09월 화학성분'!$D$12:$D$949,$B73)))</f>
        <v/>
      </c>
      <c r="AI73" s="829" t="str">
        <f>IF($C73&lt;1,"",(AVERAGEIFS('09월 화학성분'!AC$12:AC$949,'09월 화학성분'!$A$12:$A$949,$A73,'09월 화학성분'!$D$12:$D$949,$B73)))</f>
        <v/>
      </c>
      <c r="AJ73" s="829" t="str">
        <f>IF($C73&lt;1,"",(AVERAGEIFS('09월 화학성분'!AD$12:AD$949,'09월 화학성분'!$A$12:$A$949,$A73,'09월 화학성분'!$D$12:$D$949,$B73)))</f>
        <v/>
      </c>
      <c r="AK73" s="829" t="str">
        <f>IF($C73&lt;1,"",(AVERAGEIFS('09월 화학성분'!AF$12:AF$949,'09월 화학성분'!$A$12:$A$949,$A73,'09월 화학성분'!$D$12:$D$949,$B73)))</f>
        <v/>
      </c>
      <c r="AL73" s="829" t="str">
        <f>IF($C73&lt;1,"",(AVERAGEIFS('09월 화학성분'!AG$12:AG$949,'09월 화학성분'!$A$12:$A$949,$A73,'09월 화학성분'!$D$12:$D$949,$B73)))</f>
        <v/>
      </c>
      <c r="AM73" s="829" t="str">
        <f>IF($C73&lt;1,"",(AVERAGEIFS('09월 화학성분'!AH$12:AH$949,'09월 화학성분'!$A$12:$A$949,$A73,'09월 화학성분'!$D$12:$D$949,$B73)))</f>
        <v/>
      </c>
      <c r="AN73" s="829" t="str">
        <f>IF($C73&lt;1,"",(AVERAGEIFS('09월 화학성분'!AI$12:AI$949,'09월 화학성분'!$A$12:$A$949,$A73,'09월 화학성분'!$D$12:$D$949,$B73)))</f>
        <v/>
      </c>
      <c r="AO73" s="829" t="str">
        <f>IF($C73&lt;1,"",(AVERAGEIFS('09월 화학성분'!AJ$12:AJ$949,'09월 화학성분'!$A$12:$A$949,$A73,'09월 화학성분'!$D$12:$D$949,$B73)))</f>
        <v/>
      </c>
      <c r="AP73" s="829" t="str">
        <f>IF($C73&lt;1,"",(AVERAGEIFS('09월 화학성분'!#REF!,'09월 화학성분'!$A$12:$A$949,$A73,'09월 화학성분'!$D$12:$D$949,$B73)))</f>
        <v/>
      </c>
      <c r="AQ73" s="829" t="str">
        <f>IF($C73&lt;1,"",(AVERAGEIFS('09월 화학성분'!AL$12:AL$949,'09월 화학성분'!$A$12:$A$949,$A73,'09월 화학성분'!$D$12:$D$949,$B73)))</f>
        <v/>
      </c>
      <c r="AR73" s="829" t="str">
        <f>IF($C73&lt;1,"",(AVERAGEIFS('09월 화학성분'!AM$12:AM$949,'09월 화학성분'!$A$12:$A$949,$A73,'09월 화학성분'!$D$12:$D$949,$B73)))</f>
        <v/>
      </c>
      <c r="AS73" s="830" t="str">
        <f>IF($C73&lt;1,"",(AVERAGEIFS('09월 화학성분'!AN$12:AN$949,'09월 화학성분'!$A$12:$A$949,$A73,'09월 화학성분'!$D$12:$D$949,$B73)))</f>
        <v/>
      </c>
      <c r="AT73" s="830" t="str">
        <f>IF($C73&lt;1,"",(AVERAGEIFS('09월 화학성분'!AO$12:AO$949,'09월 화학성분'!$A$12:$A$949,$A73,'09월 화학성분'!$D$12:$D$949,$B73)))</f>
        <v/>
      </c>
      <c r="AU73" s="831" t="str">
        <f>IF($C73&lt;1,"",(AVERAGEIFS('09월 화학성분'!AP$12:AP$949,'09월 화학성분'!$A$12:$A$949,$A73,'09월 화학성분'!$D$12:$D$949,$B73)))</f>
        <v/>
      </c>
      <c r="AV73" s="832" t="str">
        <f>IF($C73&lt;1,"",(AVERAGEIFS('09월 고철장입'!G$14:G$949,'09월 고철장입'!$A$14:$A$949,$A73,'09월 고철장입'!$C$14:$C$949,$B73))/1000)</f>
        <v/>
      </c>
      <c r="AW73" s="832" t="str">
        <f>IF($C73&lt;1,"",(AVERAGEIFS('09월 고철장입'!H$14:H$949,'09월 고철장입'!$A$14:$A$949,$A73,'09월 고철장입'!$C$14:$C$949,$B73))/1000)</f>
        <v/>
      </c>
      <c r="AX73" s="832" t="str">
        <f>IF($C73&lt;1,"",(AVERAGEIFS('09월 고철장입'!I$14:I$949,'09월 고철장입'!$A$14:$A$949,$A73,'09월 고철장입'!$C$14:$C$949,$B73))/1000)</f>
        <v/>
      </c>
      <c r="AY73" s="832" t="str">
        <f>IF($C73&lt;1,"",(AVERAGEIFS('09월 고철장입'!J$14:J$949,'09월 고철장입'!$A$14:$A$949,$A73,'09월 고철장입'!$C$14:$C$949,$B73))/1000)</f>
        <v/>
      </c>
      <c r="AZ73" s="832" t="str">
        <f>IF($C73&lt;1,"",(AVERAGEIFS('09월 고철장입'!K$14:K$949,'09월 고철장입'!$A$14:$A$949,$A73,'09월 고철장입'!$C$14:$C$949,$B73))/1000)</f>
        <v/>
      </c>
      <c r="BA73" s="832" t="str">
        <f>IF($C73&lt;1,"",(AVERAGEIFS('09월 고철장입'!L$14:L$949,'09월 고철장입'!$A$14:$A$949,$A73,'09월 고철장입'!$C$14:$C$949,$B73))/1000)</f>
        <v/>
      </c>
      <c r="BB73" s="832" t="str">
        <f>IF($C73&lt;1,"",(AVERAGEIFS('09월 고철장입'!M$14:M$949,'09월 고철장입'!$A$14:$A$949,$A73,'09월 고철장입'!$C$14:$C$949,$B73))/1000)</f>
        <v/>
      </c>
      <c r="BC73" s="832" t="str">
        <f>IF($C73&lt;1,"",(AVERAGEIFS('09월 고철장입'!N$14:N$949,'09월 고철장입'!$A$14:$A$949,$A73,'09월 고철장입'!$C$14:$C$949,$B73))/1000)</f>
        <v/>
      </c>
      <c r="BD73" s="832" t="str">
        <f>IF($C73&lt;1,"",(AVERAGEIFS('09월 고철장입'!O$14:O$949,'09월 고철장입'!$A$14:$A$949,$A73,'09월 고철장입'!$C$14:$C$949,$B73))/1000)</f>
        <v/>
      </c>
      <c r="BE73" s="833" t="str">
        <f>IF($C73&lt;1,"",(AVERAGEIFS('09월 고철장입'!P$14:P$949,'09월 고철장입'!$A$14:$A$949,$A73,'09월 고철장입'!$C$14:$C$949,$B73))/1000)</f>
        <v/>
      </c>
      <c r="BF73" s="833" t="str">
        <f>IF($C73&lt;1,"",(AVERAGEIFS('09월 고철장입'!Q$14:Q$949,'09월 고철장입'!$A$14:$A$949,$A73,'09월 고철장입'!$C$14:$C$949,$B73))/1000)</f>
        <v/>
      </c>
      <c r="BG73" s="833" t="str">
        <f>IF($C73&lt;1,"",(AVERAGEIFS('09월 고철장입'!S$14:S$949,'09월 고철장입'!$A$14:$A$949,$A73,'09월 고철장입'!$C$14:$C$949,$B73))/1000)</f>
        <v/>
      </c>
      <c r="BH73" s="833" t="str">
        <f>IF($C73&lt;1,"",(AVERAGEIFS('09월 고철장입'!T$14:T$949,'09월 고철장입'!$A$14:$A$949,$A73,'09월 고철장입'!$C$14:$C$949,$B73))/1000)</f>
        <v/>
      </c>
      <c r="BI73" s="833" t="str">
        <f>IF($C73&lt;1,"",(AVERAGEIFS('09월 고철장입'!U$14:U$949,'09월 고철장입'!$A$14:$A$949,$A73,'09월 고철장입'!$C$14:$C$949,$B73))/1000)</f>
        <v/>
      </c>
      <c r="BJ73" s="833" t="str">
        <f>IF($C73&lt;1,"",(AVERAGEIFS('09월 고철장입'!V$14:V$949,'09월 고철장입'!$A$14:$A$949,$A73,'09월 고철장입'!$C$14:$C$949,$B73))/1000)</f>
        <v/>
      </c>
      <c r="BK73" s="833" t="str">
        <f>IF($C73&lt;1,"",(AVERAGEIFS('09월 고철장입'!W$14:W$949,'09월 고철장입'!$A$14:$A$949,$A73,'09월 고철장입'!$C$14:$C$949,$B73))/1000)</f>
        <v/>
      </c>
      <c r="BL73" s="833" t="str">
        <f>IF($C73&lt;1,"",(AVERAGEIFS('09월 고철장입'!Y$14:Y$949,'09월 고철장입'!$A$14:$A$949,$A73,'09월 고철장입'!$C$14:$C$949,$B73))/1000)</f>
        <v/>
      </c>
      <c r="BM73" s="833" t="str">
        <f>IF($C73&lt;1,"",(AVERAGEIFS('09월 고철장입'!AB$14:AB$949,'09월 고철장입'!$A$14:$A$949,$A73,'09월 고철장입'!$C$14:$C$949,$B73))/1000)</f>
        <v/>
      </c>
      <c r="BN73" s="833" t="str">
        <f>IF($C73&lt;1,"",(AVERAGEIFS('09월 고철장입'!AC$14:AC$949,'09월 고철장입'!$A$14:$A$949,$A73,'09월 고철장입'!$C$14:$C$949,$B73))/1000)</f>
        <v/>
      </c>
      <c r="BO73" s="833" t="str">
        <f>IF($C73&lt;1,"",(AVERAGEIFS('09월 고철장입'!AD$14:AD$949,'09월 고철장입'!$A$14:$A$949,$A73,'09월 고철장입'!$C$14:$C$949,$B73))/1000)</f>
        <v/>
      </c>
      <c r="BP73" s="833" t="str">
        <f>IF($C73&lt;1,"",(AVERAGEIFS('09월 고철장입'!AE$14:AE$949,'09월 고철장입'!$A$14:$A$949,$A73,'09월 고철장입'!$C$14:$C$949,$B73))/1000)</f>
        <v/>
      </c>
      <c r="BQ73" s="832" t="str">
        <f>IF($C73&lt;1,"",(AVERAGEIFS('09월 고철장입'!AF$14:AF$949,'09월 고철장입'!$A$14:$A$949,$A73,'09월 고철장입'!$C$14:$C$949,$B73))/1000)</f>
        <v/>
      </c>
      <c r="BR73" s="832" t="str">
        <f>IF($C73&lt;1,"",(AVERAGEIFS('09월 고철장입'!AG$14:AG$949,'09월 고철장입'!$A$14:$A$949,$A73,'09월 고철장입'!$C$14:$C$949,$B73))/1000)</f>
        <v/>
      </c>
      <c r="BS73" s="832" t="str">
        <f>IF($C73&lt;1,"",(AVERAGEIFS('09월 고철장입'!AH$14:AH$949,'09월 고철장입'!$A$14:$A$949,$A73,'09월 고철장입'!$C$14:$C$949,$B73))/1000)</f>
        <v/>
      </c>
      <c r="BT73" s="832" t="str">
        <f>IF($C73&lt;1,"",(AVERAGEIFS('09월 고철장입'!AI$14:AI$949,'09월 고철장입'!$A$14:$A$949,$A73,'09월 고철장입'!$C$14:$C$949,$B73))/1000)</f>
        <v/>
      </c>
      <c r="BU73" s="834" t="str">
        <f>IF($C73&lt;1,"",(AVERAGEIFS('09월 고철장입'!AJ$14:AJ$949,'09월 고철장입'!$A$14:$A$949,$A73,'09월 고철장입'!$C$14:$C$949,$B73))/1000)</f>
        <v/>
      </c>
      <c r="BV73" s="834" t="str">
        <f>IF($C73&lt;1,"",(AVERAGEIFS('09월 고철장입'!AK$14:AK$949,'09월 고철장입'!$A$14:$A$949,$A73,'09월 고철장입'!$C$14:$C$949,$B73)))</f>
        <v/>
      </c>
      <c r="BW73" s="834" t="str">
        <f>IF($C73&lt;1,"",(AVERAGEIFS('09월 고철장입'!AL$14:AL$949,'09월 고철장입'!$A$14:$A$949,$A73,'09월 고철장입'!$C$14:$C$949,$B73))*100)</f>
        <v/>
      </c>
      <c r="BX73" s="831" t="str">
        <f>IF($C73&lt;1,"",(AVERAGEIFS('09월 에너지'!G$14:G$949,'09월 에너지'!$A$14:$A$949,$A73,'09월 에너지'!$C$14:$C$949,$B73)))</f>
        <v/>
      </c>
      <c r="BY73" s="835" t="str">
        <f>IF($C73&lt;1,"",(AVERAGEIFS('09월 에너지'!H$14:H$949,'09월 에너지'!$A$14:$A$949,$A73,'09월 에너지'!$C$14:$C$949,$B73)))</f>
        <v/>
      </c>
      <c r="BZ73" s="831" t="str">
        <f>IF($C73&lt;1,"",(AVERAGEIFS('09월 에너지'!I$14:I$949,'09월 에너지'!$A$14:$A$949,$A73,'09월 에너지'!$C$14:$C$949,$B73)))</f>
        <v/>
      </c>
      <c r="CA73" s="835" t="str">
        <f>IF($C73&lt;1,"",(AVERAGEIFS('09월 에너지'!J$14:J$949,'09월 에너지'!$A$14:$A$949,$A73,'09월 에너지'!$C$14:$C$949,$B73)))</f>
        <v/>
      </c>
      <c r="CB73" s="831" t="str">
        <f>IF($C73&lt;1,"",(AVERAGEIFS('09월 에너지'!K$14:K$949,'09월 에너지'!$A$14:$A$949,$A73,'09월 에너지'!$C$14:$C$949,$B73)))</f>
        <v/>
      </c>
      <c r="CC73" s="835" t="str">
        <f>IF($C73&lt;1,"",(AVERAGEIFS('09월 에너지'!L$14:L$949,'09월 에너지'!$A$14:$A$949,$A73,'09월 에너지'!$C$14:$C$949,$B73)))</f>
        <v/>
      </c>
      <c r="CD73" s="831" t="str">
        <f>IF($C73&lt;1,"",(AVERAGEIFS('09월 에너지'!M$14:M$949,'09월 에너지'!$A$14:$A$949,$A73,'09월 에너지'!$C$14:$C$949,$B73)))</f>
        <v/>
      </c>
      <c r="CE73" s="835" t="str">
        <f>IF($C73&lt;1,"",(AVERAGEIFS('09월 에너지'!N$14:N$949,'09월 에너지'!$A$14:$A$949,$A73,'09월 에너지'!$C$14:$C$949,$B73)))</f>
        <v/>
      </c>
      <c r="CF73" s="831" t="str">
        <f>IF($C73&lt;1,"",(AVERAGEIFS('09월 에너지'!O$14:O$949,'09월 에너지'!$A$14:$A$949,$A73,'09월 에너지'!$C$14:$C$949,$B73)))</f>
        <v/>
      </c>
      <c r="CG73" s="831" t="str">
        <f>IF($C73&lt;1,"",(AVERAGEIFS('09월 에너지'!P$14:P$949,'09월 에너지'!$A$14:$A$949,$A73,'09월 에너지'!$C$14:$C$949,$B73)))</f>
        <v/>
      </c>
      <c r="CH73" s="831" t="str">
        <f>IF($C73&lt;1,"",(AVERAGEIFS('09월 에너지'!Q$14:Q$949,'09월 에너지'!$A$14:$A$949,$A73,'09월 에너지'!$C$14:$C$949,$B73)))</f>
        <v/>
      </c>
      <c r="CI73" s="831" t="str">
        <f>IF($C73&lt;1,"",(AVERAGEIFS('09월 에너지'!R$14:R$949,'09월 에너지'!$A$14:$A$949,$A73,'09월 에너지'!$C$14:$C$949,$B73)))</f>
        <v/>
      </c>
      <c r="CJ73" s="831" t="str">
        <f>IF($C73&lt;1,"",(AVERAGEIFS('09월 에너지'!S$14:S$949,'09월 에너지'!$A$14:$A$949,$A73,'09월 에너지'!$C$14:$C$949,$B73)))</f>
        <v/>
      </c>
      <c r="CK73" s="831" t="str">
        <f>IF($C73&lt;1,"",(AVERAGEIFS('09월 에너지'!T$14:T$949,'09월 에너지'!$A$14:$A$949,$A73,'09월 에너지'!$C$14:$C$949,$B73)))</f>
        <v/>
      </c>
      <c r="CL73" s="831" t="str">
        <f>IF($C73&lt;1,"",(AVERAGEIFS('09월 에너지'!U$14:U$949,'09월 에너지'!$A$14:$A$949,$A73,'09월 에너지'!$C$14:$C$949,$B73)))</f>
        <v/>
      </c>
      <c r="CM73" s="835" t="str">
        <f>IF($C73&lt;1,"",(AVERAGEIFS('09월 에너지'!V$14:V$949,'09월 에너지'!$A$14:$A$949,$A73,'09월 에너지'!$C$14:$C$949,$B73)))</f>
        <v/>
      </c>
      <c r="CN73" s="835" t="str">
        <f>IF($C73&lt;1,"",(AVERAGEIFS('09월 에너지'!W$14:W$949,'09월 에너지'!$A$14:$A$949,$A73,'09월 에너지'!$C$14:$C$949,$B73)))</f>
        <v/>
      </c>
      <c r="CO73" s="831" t="str">
        <f>IF($C73&lt;1,"",(AVERAGEIFS('09월 에너지'!X$14:X$949,'09월 에너지'!$A$14:$A$949,$A73,'09월 에너지'!$C$14:$C$949,$B73)))</f>
        <v/>
      </c>
      <c r="CP73" s="835" t="str">
        <f>IF($C73&lt;1,"",(AVERAGEIFS('09월 에너지'!Y$14:Y$949,'09월 에너지'!$A$14:$A$949,$A73,'09월 에너지'!$C$14:$C$949,$B73)))</f>
        <v/>
      </c>
      <c r="CQ73" s="835" t="str">
        <f>IF($C73&lt;1,"",(AVERAGEIFS('09월 에너지'!Z$14:Z$949,'09월 에너지'!$A$14:$A$949,$A73,'09월 에너지'!$C$14:$C$949,$B73)))</f>
        <v/>
      </c>
      <c r="CR73" s="835" t="str">
        <f>IF($C73&lt;1,"",(AVERAGEIFS('09월 에너지'!AA$14:AA$949,'09월 에너지'!$A$14:$A$949,$A73,'09월 에너지'!$C$14:$C$949,$B73)))</f>
        <v/>
      </c>
      <c r="CS73" s="835" t="str">
        <f>IF($C73&lt;1,"",(AVERAGEIFS('09월 에너지'!AB$14:AB$949,'09월 에너지'!$A$14:$A$949,$A73,'09월 에너지'!$C$14:$C$949,$B73)))</f>
        <v/>
      </c>
      <c r="CT73" s="831" t="str">
        <f>IF($C73&lt;1,"",(AVERAGEIFS('09월 에너지'!AC$14:AC$949,'09월 에너지'!$A$14:$A$949,$A73,'09월 에너지'!$C$14:$C$949,$B73)))</f>
        <v/>
      </c>
      <c r="CU73" s="836" t="str">
        <f>IF($C73&lt;1,"",(AVERAGEIFS('09월 에너지'!AD$14:AD$949,'09월 에너지'!$A$14:$A$949,$A73,'09월 에너지'!$C$14:$C$949,$B73)))</f>
        <v/>
      </c>
      <c r="CV73" s="837" t="str">
        <f>IF($C73&lt;1,"",(AVERAGEIFS('09월 에너지'!AE$14:AE$949,'09월 에너지'!$A$14:$A$949,$A73,'09월 에너지'!$C$14:$C$949,$B73)))</f>
        <v/>
      </c>
      <c r="CW73" s="831" t="str">
        <f>IF($C73&lt;1,"",(AVERAGEIFS('09월 에너지'!AF$14:AF$949,'09월 에너지'!$A$14:$A$949,$A73,'09월 에너지'!$C$14:$C$949,$B73)))</f>
        <v/>
      </c>
      <c r="CX73" s="831" t="str">
        <f>IF($C73&lt;1,"",(AVERAGEIFS('09월 에너지'!AG$14:AG$949,'09월 에너지'!$A$14:$A$949,$A73,'09월 에너지'!$C$14:$C$949,$B73)))</f>
        <v/>
      </c>
      <c r="CY73" s="831" t="str">
        <f>IF($C73&lt;1,"",(AVERAGEIFS('09월 에너지'!AH$14:AH$949,'09월 에너지'!$A$14:$A$949,$A73,'09월 에너지'!$C$14:$C$949,$B73)))</f>
        <v/>
      </c>
      <c r="CZ73" s="831" t="str">
        <f>IF($C73&lt;1,"",(AVERAGEIFS('09월 에너지'!AI$14:AI$949,'09월 에너지'!$A$14:$A$949,$A73,'09월 에너지'!$C$14:$C$949,$B73)))</f>
        <v/>
      </c>
      <c r="DA73" s="838" t="str">
        <f>IF($C73&lt;1,"",(AVERAGEIFS('09월 에너지'!AJ$14:AJ$949,'09월 에너지'!$A$14:$A$949,$A73,'09월 에너지'!$C$14:$C$949,$B73)))</f>
        <v/>
      </c>
    </row>
    <row r="74" spans="1:105" ht="13.5" customHeight="1">
      <c r="A74" s="849">
        <f t="shared" si="2"/>
        <v>44940</v>
      </c>
      <c r="B74" s="850" t="s">
        <v>10</v>
      </c>
      <c r="C74" s="823">
        <f>COUNTIFS('09월 조업일지'!$A$12:$A$952,A71,'09월 조업일지'!$E$12:$E$952,B74)</f>
        <v>0</v>
      </c>
      <c r="D74" s="824" t="str">
        <f t="shared" si="15"/>
        <v/>
      </c>
      <c r="E74" s="824" t="str">
        <f>IF($C74&lt;1,"",(SUMIFS('09월 조업일지'!$K$12:$K$952,'09월 조업일지'!$A$12:$A$952,$A74,'09월 조업일지'!$E$12:$E$952,$B74)/$C74))</f>
        <v/>
      </c>
      <c r="F74" s="824" t="str">
        <f>IF($C74&lt;1,"",(AVERAGEIFS('09월 조업일지'!$J$12:$J$952,'09월 조업일지'!$A$12:$A$952,$A74,'09월 조업일지'!$E$12:$E$952,$B74)))</f>
        <v/>
      </c>
      <c r="G74" s="825" t="str">
        <f>IF($C74&lt;1,"",(AVERAGEIFS('09월 에너지'!$M$14:$M$949,'09월 에너지'!$A$14:$A$949,$A74,'09월 에너지'!$C$14:$C$949,$B74)))</f>
        <v/>
      </c>
      <c r="H74" s="826" t="str">
        <f>IF($C74&lt;1,"",(AVERAGEIFS('09월 조업일지'!$AJ$12:$AJ$952,'09월 조업일지'!$A$12:$A$952,$A74,'09월 조업일지'!$E$12:$E$952,$B74)))</f>
        <v/>
      </c>
      <c r="I74" s="826" t="str">
        <f>IF($C74&lt;1,"",(AVERAGEIFS('09월 조업일지'!$AL$12:$AL$952,'09월 조업일지'!$A$12:$A$952,$A74,'09월 조업일지'!$E$12:$E$952,$B74)))</f>
        <v/>
      </c>
      <c r="J74" s="827" t="str">
        <f>IF($C74&lt;1,"",(AVERAGEIFS('09월 화학성분'!G$12:G$949,'09월 화학성분'!$A$12:$A$949,$A74,'09월 화학성분'!$D$12:$D$949,$B74)))</f>
        <v/>
      </c>
      <c r="K74" s="827" t="str">
        <f>IF($C74&lt;1,"",(AVERAGEIFS('09월 화학성분'!H$12:H$949,'09월 화학성분'!$A$12:$A$949,$A74,'09월 화학성분'!$D$12:$D$949,$B74)))</f>
        <v/>
      </c>
      <c r="L74" s="827" t="str">
        <f>IF($C74&lt;1,"",(AVERAGEIFS('09월 화학성분'!I$12:I$949,'09월 화학성분'!$A$12:$A$949,$A74,'09월 화학성분'!$D$12:$D$949,$B74)))</f>
        <v/>
      </c>
      <c r="M74" s="827" t="str">
        <f>IF($C74&lt;1,"",(AVERAGEIFS('09월 화학성분'!J$12:J$949,'09월 화학성분'!$A$12:$A$949,$A74,'09월 화학성분'!$D$12:$D$949,$B74)))</f>
        <v/>
      </c>
      <c r="N74" s="827" t="str">
        <f>IF($C74&lt;1,"",(AVERAGEIFS('09월 화학성분'!K$12:K$949,'09월 화학성분'!$A$12:$A$949,$A74,'09월 화학성분'!$D$12:$D$949,$B74)))</f>
        <v/>
      </c>
      <c r="O74" s="827" t="str">
        <f>IF($C74&lt;1,"",(AVERAGEIFS('09월 화학성분'!L$12:L$949,'09월 화학성분'!$A$12:$A$949,$A74,'09월 화학성분'!$D$12:$D$949,$B74)))</f>
        <v/>
      </c>
      <c r="P74" s="827" t="str">
        <f>IF($C74&lt;1,"",(AVERAGEIFS('09월 화학성분'!M$12:M$949,'09월 화학성분'!$A$12:$A$949,$A74,'09월 화학성분'!$D$12:$D$949,$B74)))</f>
        <v/>
      </c>
      <c r="Q74" s="827" t="str">
        <f>IFERROR(IF($C74&lt;1,"",(AVERAGEIFS('09월 조업일지'!$AA$12:$AA$952,'09월 조업일지'!$A$12:$A$952,$A74,'09월 조업일지'!$E$12:$E$952,$B74))),"")</f>
        <v/>
      </c>
      <c r="R74" s="827" t="str">
        <f>IF($C74&lt;1,"",(AVERAGEIFS('09월 조업일지'!$AK$12:$AK$952,'09월 조업일지'!$A$12:$A$952,$A74,'09월 조업일지'!$E$12:$E$952,$B74)))</f>
        <v/>
      </c>
      <c r="S74" s="827"/>
      <c r="T74" s="827"/>
      <c r="U74" s="827" t="str">
        <f>IF($C74&lt;1,"",(AVERAGEIFS('09월 화학성분'!$G$12:$G$949,'09월 화학성분'!$A$12:$A$949,$A74,'09월 화학성분'!$D$12:$D$949,$B74)))</f>
        <v/>
      </c>
      <c r="V74" s="827" t="str">
        <f>IF($C74&lt;1,"",(AVERAGEIFS('09월 조업일지'!$AI$12:$AI$952,'09월 조업일지'!$A$12:$A$952,$A74,'09월 조업일지'!$E$12:$E$952,$B74)))</f>
        <v/>
      </c>
      <c r="W74" s="828" t="str">
        <f>IF($C74&lt;1,"",(AVERAGEIFS('09월 화학성분'!$AM$12:$AM$949,'09월 화학성분'!$A$12:$A$949,$A74,'09월 화학성분'!$D$12:$D$949,$B74)))</f>
        <v/>
      </c>
      <c r="X74" s="829" t="str">
        <f>IF($C74&lt;1,"",(AVERAGEIFS('09월 화학성분'!N$12:N$949,'09월 화학성분'!$A$12:$A$949,$A74,'09월 화학성분'!$D$12:$D$949,$B74)))</f>
        <v/>
      </c>
      <c r="Y74" s="829" t="str">
        <f>IF($C74&lt;1,"",(AVERAGEIFS('09월 화학성분'!O$12:O$949,'09월 화학성분'!$A$12:$A$949,$A74,'09월 화학성분'!$D$12:$D$949,$B74)))</f>
        <v/>
      </c>
      <c r="Z74" s="829" t="str">
        <f>IF($C74&lt;1,"",(AVERAGEIFS('09월 화학성분'!P$12:P$949,'09월 화학성분'!$A$12:$A$949,$A74,'09월 화학성분'!$D$12:$D$949,$B74)))</f>
        <v/>
      </c>
      <c r="AA74" s="829" t="str">
        <f>IF($C74&lt;1,"",(AVERAGEIFS('09월 화학성분'!Q$12:Q$949,'09월 화학성분'!$A$12:$A$949,$A74,'09월 화학성분'!$D$12:$D$949,$B74)))</f>
        <v/>
      </c>
      <c r="AB74" s="829" t="str">
        <f>IF($C74&lt;1,"",(AVERAGEIFS('09월 화학성분'!R$12:R$949,'09월 화학성분'!$A$12:$A$949,$A74,'09월 화학성분'!$D$12:$D$949,$B74)))</f>
        <v/>
      </c>
      <c r="AC74" s="829" t="str">
        <f>IF($C74&lt;1,"",(AVERAGEIFS('09월 화학성분'!U$12:U$949,'09월 화학성분'!$A$12:$A$949,$A74,'09월 화학성분'!$D$12:$D$949,$B74)))</f>
        <v/>
      </c>
      <c r="AD74" s="829" t="str">
        <f>IF($C74&lt;1,"",(AVERAGEIFS('09월 화학성분'!V$12:V$949,'09월 화학성분'!$A$12:$A$949,$A74,'09월 화학성분'!$D$12:$D$949,$B74)))</f>
        <v/>
      </c>
      <c r="AE74" s="829" t="str">
        <f>IF($C74&lt;1,"",(AVERAGEIFS('09월 화학성분'!W$12:W$949,'09월 화학성분'!$A$12:$A$949,$A74,'09월 화학성분'!$D$12:$D$949,$B74)))</f>
        <v/>
      </c>
      <c r="AF74" s="829" t="str">
        <f>IF($C74&lt;1,"",(AVERAGEIFS('09월 화학성분'!AA$12:AA$949,'09월 화학성분'!$A$12:$A$949,$A74,'09월 화학성분'!$D$12:$D$949,$B74)))</f>
        <v/>
      </c>
      <c r="AG74" s="829" t="str">
        <f>IF($C74&lt;1,"",(AVERAGEIFS('09월 화학성분'!#REF!,'09월 화학성분'!$A$12:$A$949,$A74,'09월 화학성분'!$D$12:$D$949,$B74)))</f>
        <v/>
      </c>
      <c r="AH74" s="829" t="str">
        <f>IF($C74&lt;1,"",(AVERAGEIFS('09월 화학성분'!AB$12:AB$949,'09월 화학성분'!$A$12:$A$949,$A74,'09월 화학성분'!$D$12:$D$949,$B74)))</f>
        <v/>
      </c>
      <c r="AI74" s="829" t="str">
        <f>IF($C74&lt;1,"",(AVERAGEIFS('09월 화학성분'!AC$12:AC$949,'09월 화학성분'!$A$12:$A$949,$A74,'09월 화학성분'!$D$12:$D$949,$B74)))</f>
        <v/>
      </c>
      <c r="AJ74" s="829" t="str">
        <f>IF($C74&lt;1,"",(AVERAGEIFS('09월 화학성분'!AD$12:AD$949,'09월 화학성분'!$A$12:$A$949,$A74,'09월 화학성분'!$D$12:$D$949,$B74)))</f>
        <v/>
      </c>
      <c r="AK74" s="829" t="str">
        <f>IF($C74&lt;1,"",(AVERAGEIFS('09월 화학성분'!AF$12:AF$949,'09월 화학성분'!$A$12:$A$949,$A74,'09월 화학성분'!$D$12:$D$949,$B74)))</f>
        <v/>
      </c>
      <c r="AL74" s="829" t="str">
        <f>IF($C74&lt;1,"",(AVERAGEIFS('09월 화학성분'!AG$12:AG$949,'09월 화학성분'!$A$12:$A$949,$A74,'09월 화학성분'!$D$12:$D$949,$B74)))</f>
        <v/>
      </c>
      <c r="AM74" s="829" t="str">
        <f>IF($C74&lt;1,"",(AVERAGEIFS('09월 화학성분'!AH$12:AH$949,'09월 화학성분'!$A$12:$A$949,$A74,'09월 화학성분'!$D$12:$D$949,$B74)))</f>
        <v/>
      </c>
      <c r="AN74" s="829" t="str">
        <f>IF($C74&lt;1,"",(AVERAGEIFS('09월 화학성분'!AI$12:AI$949,'09월 화학성분'!$A$12:$A$949,$A74,'09월 화학성분'!$D$12:$D$949,$B74)))</f>
        <v/>
      </c>
      <c r="AO74" s="829" t="str">
        <f>IF($C74&lt;1,"",(AVERAGEIFS('09월 화학성분'!AJ$12:AJ$949,'09월 화학성분'!$A$12:$A$949,$A74,'09월 화학성분'!$D$12:$D$949,$B74)))</f>
        <v/>
      </c>
      <c r="AP74" s="829" t="str">
        <f>IF($C74&lt;1,"",(AVERAGEIFS('09월 화학성분'!#REF!,'09월 화학성분'!$A$12:$A$949,$A74,'09월 화학성분'!$D$12:$D$949,$B74)))</f>
        <v/>
      </c>
      <c r="AQ74" s="829" t="str">
        <f>IF($C74&lt;1,"",(AVERAGEIFS('09월 화학성분'!AL$12:AL$949,'09월 화학성분'!$A$12:$A$949,$A74,'09월 화학성분'!$D$12:$D$949,$B74)))</f>
        <v/>
      </c>
      <c r="AR74" s="829" t="str">
        <f>IF($C74&lt;1,"",(AVERAGEIFS('09월 화학성분'!AM$12:AM$949,'09월 화학성분'!$A$12:$A$949,$A74,'09월 화학성분'!$D$12:$D$949,$B74)))</f>
        <v/>
      </c>
      <c r="AS74" s="830" t="str">
        <f>IF($C74&lt;1,"",(AVERAGEIFS('09월 화학성분'!AN$12:AN$949,'09월 화학성분'!$A$12:$A$949,$A74,'09월 화학성분'!$D$12:$D$949,$B74)))</f>
        <v/>
      </c>
      <c r="AT74" s="830" t="str">
        <f>IF($C74&lt;1,"",(AVERAGEIFS('09월 화학성분'!AO$12:AO$949,'09월 화학성분'!$A$12:$A$949,$A74,'09월 화학성분'!$D$12:$D$949,$B74)))</f>
        <v/>
      </c>
      <c r="AU74" s="831" t="str">
        <f>IF($C74&lt;1,"",(AVERAGEIFS('09월 화학성분'!AP$12:AP$949,'09월 화학성분'!$A$12:$A$949,$A74,'09월 화학성분'!$D$12:$D$949,$B74)))</f>
        <v/>
      </c>
      <c r="AV74" s="832" t="str">
        <f>IF($C74&lt;1,"",(AVERAGEIFS('09월 고철장입'!G$14:G$949,'09월 고철장입'!$A$14:$A$949,$A74,'09월 고철장입'!$C$14:$C$949,$B74))/1000)</f>
        <v/>
      </c>
      <c r="AW74" s="832" t="str">
        <f>IF($C74&lt;1,"",(AVERAGEIFS('09월 고철장입'!H$14:H$949,'09월 고철장입'!$A$14:$A$949,$A74,'09월 고철장입'!$C$14:$C$949,$B74))/1000)</f>
        <v/>
      </c>
      <c r="AX74" s="832" t="str">
        <f>IF($C74&lt;1,"",(AVERAGEIFS('09월 고철장입'!I$14:I$949,'09월 고철장입'!$A$14:$A$949,$A74,'09월 고철장입'!$C$14:$C$949,$B74))/1000)</f>
        <v/>
      </c>
      <c r="AY74" s="832" t="str">
        <f>IF($C74&lt;1,"",(AVERAGEIFS('09월 고철장입'!J$14:J$949,'09월 고철장입'!$A$14:$A$949,$A74,'09월 고철장입'!$C$14:$C$949,$B74))/1000)</f>
        <v/>
      </c>
      <c r="AZ74" s="832" t="str">
        <f>IF($C74&lt;1,"",(AVERAGEIFS('09월 고철장입'!K$14:K$949,'09월 고철장입'!$A$14:$A$949,$A74,'09월 고철장입'!$C$14:$C$949,$B74))/1000)</f>
        <v/>
      </c>
      <c r="BA74" s="832" t="str">
        <f>IF($C74&lt;1,"",(AVERAGEIFS('09월 고철장입'!L$14:L$949,'09월 고철장입'!$A$14:$A$949,$A74,'09월 고철장입'!$C$14:$C$949,$B74))/1000)</f>
        <v/>
      </c>
      <c r="BB74" s="832" t="str">
        <f>IF($C74&lt;1,"",(AVERAGEIFS('09월 고철장입'!M$14:M$949,'09월 고철장입'!$A$14:$A$949,$A74,'09월 고철장입'!$C$14:$C$949,$B74))/1000)</f>
        <v/>
      </c>
      <c r="BC74" s="832" t="str">
        <f>IF($C74&lt;1,"",(AVERAGEIFS('09월 고철장입'!N$14:N$949,'09월 고철장입'!$A$14:$A$949,$A74,'09월 고철장입'!$C$14:$C$949,$B74))/1000)</f>
        <v/>
      </c>
      <c r="BD74" s="832" t="str">
        <f>IF($C74&lt;1,"",(AVERAGEIFS('09월 고철장입'!O$14:O$949,'09월 고철장입'!$A$14:$A$949,$A74,'09월 고철장입'!$C$14:$C$949,$B74))/1000)</f>
        <v/>
      </c>
      <c r="BE74" s="833" t="str">
        <f>IF($C74&lt;1,"",(AVERAGEIFS('09월 고철장입'!P$14:P$949,'09월 고철장입'!$A$14:$A$949,$A74,'09월 고철장입'!$C$14:$C$949,$B74))/1000)</f>
        <v/>
      </c>
      <c r="BF74" s="833" t="str">
        <f>IF($C74&lt;1,"",(AVERAGEIFS('09월 고철장입'!Q$14:Q$949,'09월 고철장입'!$A$14:$A$949,$A74,'09월 고철장입'!$C$14:$C$949,$B74))/1000)</f>
        <v/>
      </c>
      <c r="BG74" s="833" t="str">
        <f>IF($C74&lt;1,"",(AVERAGEIFS('09월 고철장입'!S$14:S$949,'09월 고철장입'!$A$14:$A$949,$A74,'09월 고철장입'!$C$14:$C$949,$B74))/1000)</f>
        <v/>
      </c>
      <c r="BH74" s="833" t="str">
        <f>IF($C74&lt;1,"",(AVERAGEIFS('09월 고철장입'!T$14:T$949,'09월 고철장입'!$A$14:$A$949,$A74,'09월 고철장입'!$C$14:$C$949,$B74))/1000)</f>
        <v/>
      </c>
      <c r="BI74" s="833" t="str">
        <f>IF($C74&lt;1,"",(AVERAGEIFS('09월 고철장입'!U$14:U$949,'09월 고철장입'!$A$14:$A$949,$A74,'09월 고철장입'!$C$14:$C$949,$B74))/1000)</f>
        <v/>
      </c>
      <c r="BJ74" s="833" t="str">
        <f>IF($C74&lt;1,"",(AVERAGEIFS('09월 고철장입'!V$14:V$949,'09월 고철장입'!$A$14:$A$949,$A74,'09월 고철장입'!$C$14:$C$949,$B74))/1000)</f>
        <v/>
      </c>
      <c r="BK74" s="833" t="str">
        <f>IF($C74&lt;1,"",(AVERAGEIFS('09월 고철장입'!W$14:W$949,'09월 고철장입'!$A$14:$A$949,$A74,'09월 고철장입'!$C$14:$C$949,$B74))/1000)</f>
        <v/>
      </c>
      <c r="BL74" s="833" t="str">
        <f>IF($C74&lt;1,"",(AVERAGEIFS('09월 고철장입'!Y$14:Y$949,'09월 고철장입'!$A$14:$A$949,$A74,'09월 고철장입'!$C$14:$C$949,$B74))/1000)</f>
        <v/>
      </c>
      <c r="BM74" s="833" t="str">
        <f>IF($C74&lt;1,"",(AVERAGEIFS('09월 고철장입'!AB$14:AB$949,'09월 고철장입'!$A$14:$A$949,$A74,'09월 고철장입'!$C$14:$C$949,$B74))/1000)</f>
        <v/>
      </c>
      <c r="BN74" s="833" t="str">
        <f>IF($C74&lt;1,"",(AVERAGEIFS('09월 고철장입'!AC$14:AC$949,'09월 고철장입'!$A$14:$A$949,$A74,'09월 고철장입'!$C$14:$C$949,$B74))/1000)</f>
        <v/>
      </c>
      <c r="BO74" s="833" t="str">
        <f>IF($C74&lt;1,"",(AVERAGEIFS('09월 고철장입'!AD$14:AD$949,'09월 고철장입'!$A$14:$A$949,$A74,'09월 고철장입'!$C$14:$C$949,$B74))/1000)</f>
        <v/>
      </c>
      <c r="BP74" s="833" t="str">
        <f>IF($C74&lt;1,"",(AVERAGEIFS('09월 고철장입'!AE$14:AE$949,'09월 고철장입'!$A$14:$A$949,$A74,'09월 고철장입'!$C$14:$C$949,$B74))/1000)</f>
        <v/>
      </c>
      <c r="BQ74" s="832" t="str">
        <f>IF($C74&lt;1,"",(AVERAGEIFS('09월 고철장입'!AF$14:AF$949,'09월 고철장입'!$A$14:$A$949,$A74,'09월 고철장입'!$C$14:$C$949,$B74))/1000)</f>
        <v/>
      </c>
      <c r="BR74" s="832" t="str">
        <f>IF($C74&lt;1,"",(AVERAGEIFS('09월 고철장입'!AG$14:AG$949,'09월 고철장입'!$A$14:$A$949,$A74,'09월 고철장입'!$C$14:$C$949,$B74))/1000)</f>
        <v/>
      </c>
      <c r="BS74" s="832" t="str">
        <f>IF($C74&lt;1,"",(AVERAGEIFS('09월 고철장입'!AH$14:AH$949,'09월 고철장입'!$A$14:$A$949,$A74,'09월 고철장입'!$C$14:$C$949,$B74))/1000)</f>
        <v/>
      </c>
      <c r="BT74" s="832" t="str">
        <f>IF($C74&lt;1,"",(AVERAGEIFS('09월 고철장입'!AI$14:AI$949,'09월 고철장입'!$A$14:$A$949,$A74,'09월 고철장입'!$C$14:$C$949,$B74))/1000)</f>
        <v/>
      </c>
      <c r="BU74" s="834" t="str">
        <f>IF($C74&lt;1,"",(AVERAGEIFS('09월 고철장입'!AJ$14:AJ$949,'09월 고철장입'!$A$14:$A$949,$A74,'09월 고철장입'!$C$14:$C$949,$B74))/1000)</f>
        <v/>
      </c>
      <c r="BV74" s="834" t="str">
        <f>IF($C74&lt;1,"",(AVERAGEIFS('09월 고철장입'!AK$14:AK$949,'09월 고철장입'!$A$14:$A$949,$A74,'09월 고철장입'!$C$14:$C$949,$B74)))</f>
        <v/>
      </c>
      <c r="BW74" s="834" t="str">
        <f>IF($C74&lt;1,"",(AVERAGEIFS('09월 고철장입'!AL$14:AL$949,'09월 고철장입'!$A$14:$A$949,$A74,'09월 고철장입'!$C$14:$C$949,$B74))*100)</f>
        <v/>
      </c>
      <c r="BX74" s="831" t="str">
        <f>IF($C74&lt;1,"",(AVERAGEIFS('09월 에너지'!G$14:G$949,'09월 에너지'!$A$14:$A$949,$A74,'09월 에너지'!$C$14:$C$949,$B74)))</f>
        <v/>
      </c>
      <c r="BY74" s="835" t="str">
        <f>IF($C74&lt;1,"",(AVERAGEIFS('09월 에너지'!H$14:H$949,'09월 에너지'!$A$14:$A$949,$A74,'09월 에너지'!$C$14:$C$949,$B74)))</f>
        <v/>
      </c>
      <c r="BZ74" s="831" t="str">
        <f>IF($C74&lt;1,"",(AVERAGEIFS('09월 에너지'!I$14:I$949,'09월 에너지'!$A$14:$A$949,$A74,'09월 에너지'!$C$14:$C$949,$B74)))</f>
        <v/>
      </c>
      <c r="CA74" s="835" t="str">
        <f>IF($C74&lt;1,"",(AVERAGEIFS('09월 에너지'!J$14:J$949,'09월 에너지'!$A$14:$A$949,$A74,'09월 에너지'!$C$14:$C$949,$B74)))</f>
        <v/>
      </c>
      <c r="CB74" s="831" t="str">
        <f>IF($C74&lt;1,"",(AVERAGEIFS('09월 에너지'!K$14:K$949,'09월 에너지'!$A$14:$A$949,$A74,'09월 에너지'!$C$14:$C$949,$B74)))</f>
        <v/>
      </c>
      <c r="CC74" s="835" t="str">
        <f>IF($C74&lt;1,"",(AVERAGEIFS('09월 에너지'!L$14:L$949,'09월 에너지'!$A$14:$A$949,$A74,'09월 에너지'!$C$14:$C$949,$B74)))</f>
        <v/>
      </c>
      <c r="CD74" s="831" t="str">
        <f>IF($C74&lt;1,"",(AVERAGEIFS('09월 에너지'!M$14:M$949,'09월 에너지'!$A$14:$A$949,$A74,'09월 에너지'!$C$14:$C$949,$B74)))</f>
        <v/>
      </c>
      <c r="CE74" s="835" t="str">
        <f>IF($C74&lt;1,"",(AVERAGEIFS('09월 에너지'!N$14:N$949,'09월 에너지'!$A$14:$A$949,$A74,'09월 에너지'!$C$14:$C$949,$B74)))</f>
        <v/>
      </c>
      <c r="CF74" s="831" t="str">
        <f>IF($C74&lt;1,"",(AVERAGEIFS('09월 에너지'!O$14:O$949,'09월 에너지'!$A$14:$A$949,$A74,'09월 에너지'!$C$14:$C$949,$B74)))</f>
        <v/>
      </c>
      <c r="CG74" s="831" t="str">
        <f>IF($C74&lt;1,"",(AVERAGEIFS('09월 에너지'!P$14:P$949,'09월 에너지'!$A$14:$A$949,$A74,'09월 에너지'!$C$14:$C$949,$B74)))</f>
        <v/>
      </c>
      <c r="CH74" s="831" t="str">
        <f>IF($C74&lt;1,"",(AVERAGEIFS('09월 에너지'!Q$14:Q$949,'09월 에너지'!$A$14:$A$949,$A74,'09월 에너지'!$C$14:$C$949,$B74)))</f>
        <v/>
      </c>
      <c r="CI74" s="831" t="str">
        <f>IF($C74&lt;1,"",(AVERAGEIFS('09월 에너지'!R$14:R$949,'09월 에너지'!$A$14:$A$949,$A74,'09월 에너지'!$C$14:$C$949,$B74)))</f>
        <v/>
      </c>
      <c r="CJ74" s="831" t="str">
        <f>IF($C74&lt;1,"",(AVERAGEIFS('09월 에너지'!S$14:S$949,'09월 에너지'!$A$14:$A$949,$A74,'09월 에너지'!$C$14:$C$949,$B74)))</f>
        <v/>
      </c>
      <c r="CK74" s="831" t="str">
        <f>IF($C74&lt;1,"",(AVERAGEIFS('09월 에너지'!T$14:T$949,'09월 에너지'!$A$14:$A$949,$A74,'09월 에너지'!$C$14:$C$949,$B74)))</f>
        <v/>
      </c>
      <c r="CL74" s="831" t="str">
        <f>IF($C74&lt;1,"",(AVERAGEIFS('09월 에너지'!U$14:U$949,'09월 에너지'!$A$14:$A$949,$A74,'09월 에너지'!$C$14:$C$949,$B74)))</f>
        <v/>
      </c>
      <c r="CM74" s="835" t="str">
        <f>IF($C74&lt;1,"",(AVERAGEIFS('09월 에너지'!V$14:V$949,'09월 에너지'!$A$14:$A$949,$A74,'09월 에너지'!$C$14:$C$949,$B74)))</f>
        <v/>
      </c>
      <c r="CN74" s="835" t="str">
        <f>IF($C74&lt;1,"",(AVERAGEIFS('09월 에너지'!W$14:W$949,'09월 에너지'!$A$14:$A$949,$A74,'09월 에너지'!$C$14:$C$949,$B74)))</f>
        <v/>
      </c>
      <c r="CO74" s="831" t="str">
        <f>IF($C74&lt;1,"",(AVERAGEIFS('09월 에너지'!X$14:X$949,'09월 에너지'!$A$14:$A$949,$A74,'09월 에너지'!$C$14:$C$949,$B74)))</f>
        <v/>
      </c>
      <c r="CP74" s="835" t="str">
        <f>IF($C74&lt;1,"",(AVERAGEIFS('09월 에너지'!Y$14:Y$949,'09월 에너지'!$A$14:$A$949,$A74,'09월 에너지'!$C$14:$C$949,$B74)))</f>
        <v/>
      </c>
      <c r="CQ74" s="835" t="str">
        <f>IF($C74&lt;1,"",(AVERAGEIFS('09월 에너지'!Z$14:Z$949,'09월 에너지'!$A$14:$A$949,$A74,'09월 에너지'!$C$14:$C$949,$B74)))</f>
        <v/>
      </c>
      <c r="CR74" s="835" t="str">
        <f>IF($C74&lt;1,"",(AVERAGEIFS('09월 에너지'!AA$14:AA$949,'09월 에너지'!$A$14:$A$949,$A74,'09월 에너지'!$C$14:$C$949,$B74)))</f>
        <v/>
      </c>
      <c r="CS74" s="835" t="str">
        <f>IF($C74&lt;1,"",(AVERAGEIFS('09월 에너지'!AB$14:AB$949,'09월 에너지'!$A$14:$A$949,$A74,'09월 에너지'!$C$14:$C$949,$B74)))</f>
        <v/>
      </c>
      <c r="CT74" s="831" t="str">
        <f>IF($C74&lt;1,"",(AVERAGEIFS('09월 에너지'!AC$14:AC$949,'09월 에너지'!$A$14:$A$949,$A74,'09월 에너지'!$C$14:$C$949,$B74)))</f>
        <v/>
      </c>
      <c r="CU74" s="836" t="str">
        <f>IF($C74&lt;1,"",(AVERAGEIFS('09월 에너지'!AD$14:AD$949,'09월 에너지'!$A$14:$A$949,$A74,'09월 에너지'!$C$14:$C$949,$B74)))</f>
        <v/>
      </c>
      <c r="CV74" s="837" t="str">
        <f>IF($C74&lt;1,"",(AVERAGEIFS('09월 에너지'!AE$14:AE$949,'09월 에너지'!$A$14:$A$949,$A74,'09월 에너지'!$C$14:$C$949,$B74)))</f>
        <v/>
      </c>
      <c r="CW74" s="831" t="str">
        <f>IF($C74&lt;1,"",(AVERAGEIFS('09월 에너지'!AF$14:AF$949,'09월 에너지'!$A$14:$A$949,$A74,'09월 에너지'!$C$14:$C$949,$B74)))</f>
        <v/>
      </c>
      <c r="CX74" s="831" t="str">
        <f>IF($C74&lt;1,"",(AVERAGEIFS('09월 에너지'!AG$14:AG$949,'09월 에너지'!$A$14:$A$949,$A74,'09월 에너지'!$C$14:$C$949,$B74)))</f>
        <v/>
      </c>
      <c r="CY74" s="831" t="str">
        <f>IF($C74&lt;1,"",(AVERAGEIFS('09월 에너지'!AH$14:AH$949,'09월 에너지'!$A$14:$A$949,$A74,'09월 에너지'!$C$14:$C$949,$B74)))</f>
        <v/>
      </c>
      <c r="CZ74" s="831" t="str">
        <f>IF($C74&lt;1,"",(AVERAGEIFS('09월 에너지'!AI$14:AI$949,'09월 에너지'!$A$14:$A$949,$A74,'09월 에너지'!$C$14:$C$949,$B74)))</f>
        <v/>
      </c>
      <c r="DA74" s="838" t="str">
        <f>IF($C74&lt;1,"",(AVERAGEIFS('09월 에너지'!AJ$14:AJ$949,'09월 에너지'!$A$14:$A$949,$A74,'09월 에너지'!$C$14:$C$949,$B74)))</f>
        <v/>
      </c>
    </row>
    <row r="75" spans="1:105" ht="13.5" customHeight="1" thickBot="1">
      <c r="A75" s="851">
        <f t="shared" si="2"/>
        <v>44940</v>
      </c>
      <c r="B75" s="852" t="s">
        <v>94</v>
      </c>
      <c r="C75" s="841">
        <f>COUNTIFS('09월 조업일지'!$A$12:$A$952,A71,'09월 조업일지'!$E$12:$E$952,B75)</f>
        <v>0</v>
      </c>
      <c r="D75" s="842" t="str">
        <f t="shared" si="15"/>
        <v/>
      </c>
      <c r="E75" s="842" t="str">
        <f>IF($C75&lt;1,"",(SUMIFS('09월 조업일지'!$K$12:$K$952,'09월 조업일지'!$A$12:$A$952,$A75,'09월 조업일지'!$E$12:$E$952,$B75)/$C75))</f>
        <v/>
      </c>
      <c r="F75" s="842" t="str">
        <f>IF($C75&lt;1,"",(AVERAGEIFS('09월 조업일지'!$J$12:$J$952,'09월 조업일지'!$A$12:$A$952,$A75,'09월 조업일지'!$E$12:$E$952,$B75)))</f>
        <v/>
      </c>
      <c r="G75" s="843" t="str">
        <f>IF($C75&lt;1,"",(AVERAGEIFS('09월 에너지'!$M$14:$M$949,'09월 에너지'!$A$14:$A$949,$A75,'09월 에너지'!$C$14:$C$949,$B75)))</f>
        <v/>
      </c>
      <c r="H75" s="844" t="str">
        <f>IF($C75&lt;1,"",(AVERAGEIFS('09월 조업일지'!$AJ$12:$AJ$952,'09월 조업일지'!$A$12:$A$952,$A75,'09월 조업일지'!$E$12:$E$952,$B75)))</f>
        <v/>
      </c>
      <c r="I75" s="844" t="str">
        <f>IF($C75&lt;1,"",(AVERAGEIFS('09월 조업일지'!$AL$12:$AL$952,'09월 조업일지'!$A$12:$A$952,$A75,'09월 조업일지'!$E$12:$E$952,$B75)))</f>
        <v/>
      </c>
      <c r="J75" s="845" t="str">
        <f>IF($C75&lt;1,"",(AVERAGEIFS('09월 화학성분'!G$12:G$949,'09월 화학성분'!$A$12:$A$949,$A75,'09월 화학성분'!$D$12:$D$949,$B75)))</f>
        <v/>
      </c>
      <c r="K75" s="845" t="str">
        <f>IF($C75&lt;1,"",(AVERAGEIFS('09월 화학성분'!H$12:H$949,'09월 화학성분'!$A$12:$A$949,$A75,'09월 화학성분'!$D$12:$D$949,$B75)))</f>
        <v/>
      </c>
      <c r="L75" s="845" t="str">
        <f>IF($C75&lt;1,"",(AVERAGEIFS('09월 화학성분'!I$12:I$949,'09월 화학성분'!$A$12:$A$949,$A75,'09월 화학성분'!$D$12:$D$949,$B75)))</f>
        <v/>
      </c>
      <c r="M75" s="845" t="str">
        <f>IF($C75&lt;1,"",(AVERAGEIFS('09월 화학성분'!J$12:J$949,'09월 화학성분'!$A$12:$A$949,$A75,'09월 화학성분'!$D$12:$D$949,$B75)))</f>
        <v/>
      </c>
      <c r="N75" s="845" t="str">
        <f>IF($C75&lt;1,"",(AVERAGEIFS('09월 화학성분'!K$12:K$949,'09월 화학성분'!$A$12:$A$949,$A75,'09월 화학성분'!$D$12:$D$949,$B75)))</f>
        <v/>
      </c>
      <c r="O75" s="845" t="str">
        <f>IF($C75&lt;1,"",(AVERAGEIFS('09월 화학성분'!L$12:L$949,'09월 화학성분'!$A$12:$A$949,$A75,'09월 화학성분'!$D$12:$D$949,$B75)))</f>
        <v/>
      </c>
      <c r="P75" s="845" t="str">
        <f>IF($C75&lt;1,"",(AVERAGEIFS('09월 화학성분'!M$12:M$949,'09월 화학성분'!$A$12:$A$949,$A75,'09월 화학성분'!$D$12:$D$949,$B75)))</f>
        <v/>
      </c>
      <c r="Q75" s="827" t="str">
        <f>IFERROR(IF($C75&lt;1,"",(AVERAGEIFS('09월 조업일지'!$AA$12:$AA$952,'09월 조업일지'!$A$12:$A$952,$A75,'09월 조업일지'!$E$12:$E$952,$B75))),"")</f>
        <v/>
      </c>
      <c r="R75" s="845" t="str">
        <f>IF($C75&lt;1,"",(AVERAGEIFS('09월 조업일지'!$AK$12:$AK$952,'09월 조업일지'!$A$12:$A$952,$A75,'09월 조업일지'!$E$12:$E$952,$B75)))</f>
        <v/>
      </c>
      <c r="S75" s="845"/>
      <c r="T75" s="845"/>
      <c r="U75" s="845" t="str">
        <f>IF($C75&lt;1,"",(AVERAGEIFS('09월 화학성분'!$G$12:$G$949,'09월 화학성분'!$A$12:$A$949,$A75,'09월 화학성분'!$D$12:$D$949,$B75)))</f>
        <v/>
      </c>
      <c r="V75" s="845" t="str">
        <f>IF($C75&lt;1,"",(AVERAGEIFS('09월 조업일지'!$AI$12:$AI$952,'09월 조업일지'!$A$12:$A$952,$A75,'09월 조업일지'!$E$12:$E$952,$B75)))</f>
        <v/>
      </c>
      <c r="W75" s="846" t="str">
        <f>IF($C75&lt;1,"",(AVERAGEIFS('09월 화학성분'!$AM$12:$AM$949,'09월 화학성분'!$A$12:$A$949,$A75,'09월 화학성분'!$D$12:$D$949,$B75)))</f>
        <v/>
      </c>
      <c r="X75" s="829" t="str">
        <f>IF($C75&lt;1,"",(AVERAGEIFS('09월 화학성분'!N$12:N$949,'09월 화학성분'!$A$12:$A$949,$A75,'09월 화학성분'!$D$12:$D$949,$B75)))</f>
        <v/>
      </c>
      <c r="Y75" s="829" t="str">
        <f>IF($C75&lt;1,"",(AVERAGEIFS('09월 화학성분'!O$12:O$949,'09월 화학성분'!$A$12:$A$949,$A75,'09월 화학성분'!$D$12:$D$949,$B75)))</f>
        <v/>
      </c>
      <c r="Z75" s="829" t="str">
        <f>IF($C75&lt;1,"",(AVERAGEIFS('09월 화학성분'!P$12:P$949,'09월 화학성분'!$A$12:$A$949,$A75,'09월 화학성분'!$D$12:$D$949,$B75)))</f>
        <v/>
      </c>
      <c r="AA75" s="829" t="str">
        <f>IF($C75&lt;1,"",(AVERAGEIFS('09월 화학성분'!Q$12:Q$949,'09월 화학성분'!$A$12:$A$949,$A75,'09월 화학성분'!$D$12:$D$949,$B75)))</f>
        <v/>
      </c>
      <c r="AB75" s="829" t="str">
        <f>IF($C75&lt;1,"",(AVERAGEIFS('09월 화학성분'!R$12:R$949,'09월 화학성분'!$A$12:$A$949,$A75,'09월 화학성분'!$D$12:$D$949,$B75)))</f>
        <v/>
      </c>
      <c r="AC75" s="829" t="str">
        <f>IF($C75&lt;1,"",(AVERAGEIFS('09월 화학성분'!U$12:U$949,'09월 화학성분'!$A$12:$A$949,$A75,'09월 화학성분'!$D$12:$D$949,$B75)))</f>
        <v/>
      </c>
      <c r="AD75" s="829" t="str">
        <f>IF($C75&lt;1,"",(AVERAGEIFS('09월 화학성분'!V$12:V$949,'09월 화학성분'!$A$12:$A$949,$A75,'09월 화학성분'!$D$12:$D$949,$B75)))</f>
        <v/>
      </c>
      <c r="AE75" s="829" t="str">
        <f>IF($C75&lt;1,"",(AVERAGEIFS('09월 화학성분'!W$12:W$949,'09월 화학성분'!$A$12:$A$949,$A75,'09월 화학성분'!$D$12:$D$949,$B75)))</f>
        <v/>
      </c>
      <c r="AF75" s="829" t="str">
        <f>IF($C75&lt;1,"",(AVERAGEIFS('09월 화학성분'!AA$12:AA$949,'09월 화학성분'!$A$12:$A$949,$A75,'09월 화학성분'!$D$12:$D$949,$B75)))</f>
        <v/>
      </c>
      <c r="AG75" s="829" t="str">
        <f>IF($C75&lt;1,"",(AVERAGEIFS('09월 화학성분'!#REF!,'09월 화학성분'!$A$12:$A$949,$A75,'09월 화학성분'!$D$12:$D$949,$B75)))</f>
        <v/>
      </c>
      <c r="AH75" s="829" t="str">
        <f>IF($C75&lt;1,"",(AVERAGEIFS('09월 화학성분'!AB$12:AB$949,'09월 화학성분'!$A$12:$A$949,$A75,'09월 화학성분'!$D$12:$D$949,$B75)))</f>
        <v/>
      </c>
      <c r="AI75" s="829" t="str">
        <f>IF($C75&lt;1,"",(AVERAGEIFS('09월 화학성분'!AC$12:AC$949,'09월 화학성분'!$A$12:$A$949,$A75,'09월 화학성분'!$D$12:$D$949,$B75)))</f>
        <v/>
      </c>
      <c r="AJ75" s="829" t="str">
        <f>IF($C75&lt;1,"",(AVERAGEIFS('09월 화학성분'!AD$12:AD$949,'09월 화학성분'!$A$12:$A$949,$A75,'09월 화학성분'!$D$12:$D$949,$B75)))</f>
        <v/>
      </c>
      <c r="AK75" s="829" t="str">
        <f>IF($C75&lt;1,"",(AVERAGEIFS('09월 화학성분'!AF$12:AF$949,'09월 화학성분'!$A$12:$A$949,$A75,'09월 화학성분'!$D$12:$D$949,$B75)))</f>
        <v/>
      </c>
      <c r="AL75" s="829" t="str">
        <f>IF($C75&lt;1,"",(AVERAGEIFS('09월 화학성분'!AG$12:AG$949,'09월 화학성분'!$A$12:$A$949,$A75,'09월 화학성분'!$D$12:$D$949,$B75)))</f>
        <v/>
      </c>
      <c r="AM75" s="829" t="str">
        <f>IF($C75&lt;1,"",(AVERAGEIFS('09월 화학성분'!AH$12:AH$949,'09월 화학성분'!$A$12:$A$949,$A75,'09월 화학성분'!$D$12:$D$949,$B75)))</f>
        <v/>
      </c>
      <c r="AN75" s="829" t="str">
        <f>IF($C75&lt;1,"",(AVERAGEIFS('09월 화학성분'!AI$12:AI$949,'09월 화학성분'!$A$12:$A$949,$A75,'09월 화학성분'!$D$12:$D$949,$B75)))</f>
        <v/>
      </c>
      <c r="AO75" s="829" t="str">
        <f>IF($C75&lt;1,"",(AVERAGEIFS('09월 화학성분'!AJ$12:AJ$949,'09월 화학성분'!$A$12:$A$949,$A75,'09월 화학성분'!$D$12:$D$949,$B75)))</f>
        <v/>
      </c>
      <c r="AP75" s="829" t="str">
        <f>IF($C75&lt;1,"",(AVERAGEIFS('09월 화학성분'!#REF!,'09월 화학성분'!$A$12:$A$949,$A75,'09월 화학성분'!$D$12:$D$949,$B75)))</f>
        <v/>
      </c>
      <c r="AQ75" s="829" t="str">
        <f>IF($C75&lt;1,"",(AVERAGEIFS('09월 화학성분'!AL$12:AL$949,'09월 화학성분'!$A$12:$A$949,$A75,'09월 화학성분'!$D$12:$D$949,$B75)))</f>
        <v/>
      </c>
      <c r="AR75" s="829" t="str">
        <f>IF($C75&lt;1,"",(AVERAGEIFS('09월 화학성분'!AM$12:AM$949,'09월 화학성분'!$A$12:$A$949,$A75,'09월 화학성분'!$D$12:$D$949,$B75)))</f>
        <v/>
      </c>
      <c r="AS75" s="830" t="str">
        <f>IF($C75&lt;1,"",(AVERAGEIFS('09월 화학성분'!AN$12:AN$949,'09월 화학성분'!$A$12:$A$949,$A75,'09월 화학성분'!$D$12:$D$949,$B75)))</f>
        <v/>
      </c>
      <c r="AT75" s="830" t="str">
        <f>IF($C75&lt;1,"",(AVERAGEIFS('09월 화학성분'!AO$12:AO$949,'09월 화학성분'!$A$12:$A$949,$A75,'09월 화학성분'!$D$12:$D$949,$B75)))</f>
        <v/>
      </c>
      <c r="AU75" s="831" t="str">
        <f>IF($C75&lt;1,"",(AVERAGEIFS('09월 화학성분'!AP$12:AP$949,'09월 화학성분'!$A$12:$A$949,$A75,'09월 화학성분'!$D$12:$D$949,$B75)))</f>
        <v/>
      </c>
      <c r="AV75" s="832" t="str">
        <f>IF($C75&lt;1,"",(AVERAGEIFS('09월 고철장입'!G$14:G$949,'09월 고철장입'!$A$14:$A$949,$A75,'09월 고철장입'!$C$14:$C$949,$B75))/1000)</f>
        <v/>
      </c>
      <c r="AW75" s="832" t="str">
        <f>IF($C75&lt;1,"",(AVERAGEIFS('09월 고철장입'!H$14:H$949,'09월 고철장입'!$A$14:$A$949,$A75,'09월 고철장입'!$C$14:$C$949,$B75))/1000)</f>
        <v/>
      </c>
      <c r="AX75" s="832" t="str">
        <f>IF($C75&lt;1,"",(AVERAGEIFS('09월 고철장입'!I$14:I$949,'09월 고철장입'!$A$14:$A$949,$A75,'09월 고철장입'!$C$14:$C$949,$B75))/1000)</f>
        <v/>
      </c>
      <c r="AY75" s="832" t="str">
        <f>IF($C75&lt;1,"",(AVERAGEIFS('09월 고철장입'!J$14:J$949,'09월 고철장입'!$A$14:$A$949,$A75,'09월 고철장입'!$C$14:$C$949,$B75))/1000)</f>
        <v/>
      </c>
      <c r="AZ75" s="832" t="str">
        <f>IF($C75&lt;1,"",(AVERAGEIFS('09월 고철장입'!K$14:K$949,'09월 고철장입'!$A$14:$A$949,$A75,'09월 고철장입'!$C$14:$C$949,$B75))/1000)</f>
        <v/>
      </c>
      <c r="BA75" s="832" t="str">
        <f>IF($C75&lt;1,"",(AVERAGEIFS('09월 고철장입'!L$14:L$949,'09월 고철장입'!$A$14:$A$949,$A75,'09월 고철장입'!$C$14:$C$949,$B75))/1000)</f>
        <v/>
      </c>
      <c r="BB75" s="832" t="str">
        <f>IF($C75&lt;1,"",(AVERAGEIFS('09월 고철장입'!M$14:M$949,'09월 고철장입'!$A$14:$A$949,$A75,'09월 고철장입'!$C$14:$C$949,$B75))/1000)</f>
        <v/>
      </c>
      <c r="BC75" s="832" t="str">
        <f>IF($C75&lt;1,"",(AVERAGEIFS('09월 고철장입'!N$14:N$949,'09월 고철장입'!$A$14:$A$949,$A75,'09월 고철장입'!$C$14:$C$949,$B75))/1000)</f>
        <v/>
      </c>
      <c r="BD75" s="832" t="str">
        <f>IF($C75&lt;1,"",(AVERAGEIFS('09월 고철장입'!O$14:O$949,'09월 고철장입'!$A$14:$A$949,$A75,'09월 고철장입'!$C$14:$C$949,$B75))/1000)</f>
        <v/>
      </c>
      <c r="BE75" s="833" t="str">
        <f>IF($C75&lt;1,"",(AVERAGEIFS('09월 고철장입'!P$14:P$949,'09월 고철장입'!$A$14:$A$949,$A75,'09월 고철장입'!$C$14:$C$949,$B75))/1000)</f>
        <v/>
      </c>
      <c r="BF75" s="833" t="str">
        <f>IF($C75&lt;1,"",(AVERAGEIFS('09월 고철장입'!Q$14:Q$949,'09월 고철장입'!$A$14:$A$949,$A75,'09월 고철장입'!$C$14:$C$949,$B75))/1000)</f>
        <v/>
      </c>
      <c r="BG75" s="833" t="str">
        <f>IF($C75&lt;1,"",(AVERAGEIFS('09월 고철장입'!S$14:S$949,'09월 고철장입'!$A$14:$A$949,$A75,'09월 고철장입'!$C$14:$C$949,$B75))/1000)</f>
        <v/>
      </c>
      <c r="BH75" s="833" t="str">
        <f>IF($C75&lt;1,"",(AVERAGEIFS('09월 고철장입'!T$14:T$949,'09월 고철장입'!$A$14:$A$949,$A75,'09월 고철장입'!$C$14:$C$949,$B75))/1000)</f>
        <v/>
      </c>
      <c r="BI75" s="833" t="str">
        <f>IF($C75&lt;1,"",(AVERAGEIFS('09월 고철장입'!U$14:U$949,'09월 고철장입'!$A$14:$A$949,$A75,'09월 고철장입'!$C$14:$C$949,$B75))/1000)</f>
        <v/>
      </c>
      <c r="BJ75" s="833" t="str">
        <f>IF($C75&lt;1,"",(AVERAGEIFS('09월 고철장입'!V$14:V$949,'09월 고철장입'!$A$14:$A$949,$A75,'09월 고철장입'!$C$14:$C$949,$B75))/1000)</f>
        <v/>
      </c>
      <c r="BK75" s="833" t="str">
        <f>IF($C75&lt;1,"",(AVERAGEIFS('09월 고철장입'!W$14:W$949,'09월 고철장입'!$A$14:$A$949,$A75,'09월 고철장입'!$C$14:$C$949,$B75))/1000)</f>
        <v/>
      </c>
      <c r="BL75" s="833" t="str">
        <f>IF($C75&lt;1,"",(AVERAGEIFS('09월 고철장입'!Y$14:Y$949,'09월 고철장입'!$A$14:$A$949,$A75,'09월 고철장입'!$C$14:$C$949,$B75))/1000)</f>
        <v/>
      </c>
      <c r="BM75" s="833" t="str">
        <f>IF($C75&lt;1,"",(AVERAGEIFS('09월 고철장입'!AB$14:AB$949,'09월 고철장입'!$A$14:$A$949,$A75,'09월 고철장입'!$C$14:$C$949,$B75))/1000)</f>
        <v/>
      </c>
      <c r="BN75" s="833" t="str">
        <f>IF($C75&lt;1,"",(AVERAGEIFS('09월 고철장입'!AC$14:AC$949,'09월 고철장입'!$A$14:$A$949,$A75,'09월 고철장입'!$C$14:$C$949,$B75))/1000)</f>
        <v/>
      </c>
      <c r="BO75" s="833" t="str">
        <f>IF($C75&lt;1,"",(AVERAGEIFS('09월 고철장입'!AD$14:AD$949,'09월 고철장입'!$A$14:$A$949,$A75,'09월 고철장입'!$C$14:$C$949,$B75))/1000)</f>
        <v/>
      </c>
      <c r="BP75" s="833" t="str">
        <f>IF($C75&lt;1,"",(AVERAGEIFS('09월 고철장입'!AE$14:AE$949,'09월 고철장입'!$A$14:$A$949,$A75,'09월 고철장입'!$C$14:$C$949,$B75))/1000)</f>
        <v/>
      </c>
      <c r="BQ75" s="832" t="str">
        <f>IF($C75&lt;1,"",(AVERAGEIFS('09월 고철장입'!AF$14:AF$949,'09월 고철장입'!$A$14:$A$949,$A75,'09월 고철장입'!$C$14:$C$949,$B75))/1000)</f>
        <v/>
      </c>
      <c r="BR75" s="832" t="str">
        <f>IF($C75&lt;1,"",(AVERAGEIFS('09월 고철장입'!AG$14:AG$949,'09월 고철장입'!$A$14:$A$949,$A75,'09월 고철장입'!$C$14:$C$949,$B75))/1000)</f>
        <v/>
      </c>
      <c r="BS75" s="832" t="str">
        <f>IF($C75&lt;1,"",(AVERAGEIFS('09월 고철장입'!AH$14:AH$949,'09월 고철장입'!$A$14:$A$949,$A75,'09월 고철장입'!$C$14:$C$949,$B75))/1000)</f>
        <v/>
      </c>
      <c r="BT75" s="832" t="str">
        <f>IF($C75&lt;1,"",(AVERAGEIFS('09월 고철장입'!AI$14:AI$949,'09월 고철장입'!$A$14:$A$949,$A75,'09월 고철장입'!$C$14:$C$949,$B75))/1000)</f>
        <v/>
      </c>
      <c r="BU75" s="834" t="str">
        <f>IF($C75&lt;1,"",(AVERAGEIFS('09월 고철장입'!AJ$14:AJ$949,'09월 고철장입'!$A$14:$A$949,$A75,'09월 고철장입'!$C$14:$C$949,$B75))/1000)</f>
        <v/>
      </c>
      <c r="BV75" s="834" t="str">
        <f>IF($C75&lt;1,"",(AVERAGEIFS('09월 고철장입'!AK$14:AK$949,'09월 고철장입'!$A$14:$A$949,$A75,'09월 고철장입'!$C$14:$C$949,$B75)))</f>
        <v/>
      </c>
      <c r="BW75" s="834" t="str">
        <f>IF($C75&lt;1,"",(AVERAGEIFS('09월 고철장입'!AL$14:AL$949,'09월 고철장입'!$A$14:$A$949,$A75,'09월 고철장입'!$C$14:$C$949,$B75))*100)</f>
        <v/>
      </c>
      <c r="BX75" s="831" t="str">
        <f>IF($C75&lt;1,"",(AVERAGEIFS('09월 에너지'!G$14:G$949,'09월 에너지'!$A$14:$A$949,$A75,'09월 에너지'!$C$14:$C$949,$B75)))</f>
        <v/>
      </c>
      <c r="BY75" s="835" t="str">
        <f>IF($C75&lt;1,"",(AVERAGEIFS('09월 에너지'!H$14:H$949,'09월 에너지'!$A$14:$A$949,$A75,'09월 에너지'!$C$14:$C$949,$B75)))</f>
        <v/>
      </c>
      <c r="BZ75" s="831" t="str">
        <f>IF($C75&lt;1,"",(AVERAGEIFS('09월 에너지'!I$14:I$949,'09월 에너지'!$A$14:$A$949,$A75,'09월 에너지'!$C$14:$C$949,$B75)))</f>
        <v/>
      </c>
      <c r="CA75" s="835" t="str">
        <f>IF($C75&lt;1,"",(AVERAGEIFS('09월 에너지'!J$14:J$949,'09월 에너지'!$A$14:$A$949,$A75,'09월 에너지'!$C$14:$C$949,$B75)))</f>
        <v/>
      </c>
      <c r="CB75" s="831" t="str">
        <f>IF($C75&lt;1,"",(AVERAGEIFS('09월 에너지'!K$14:K$949,'09월 에너지'!$A$14:$A$949,$A75,'09월 에너지'!$C$14:$C$949,$B75)))</f>
        <v/>
      </c>
      <c r="CC75" s="835" t="str">
        <f>IF($C75&lt;1,"",(AVERAGEIFS('09월 에너지'!L$14:L$949,'09월 에너지'!$A$14:$A$949,$A75,'09월 에너지'!$C$14:$C$949,$B75)))</f>
        <v/>
      </c>
      <c r="CD75" s="831" t="str">
        <f>IF($C75&lt;1,"",(AVERAGEIFS('09월 에너지'!M$14:M$949,'09월 에너지'!$A$14:$A$949,$A75,'09월 에너지'!$C$14:$C$949,$B75)))</f>
        <v/>
      </c>
      <c r="CE75" s="835" t="str">
        <f>IF($C75&lt;1,"",(AVERAGEIFS('09월 에너지'!N$14:N$949,'09월 에너지'!$A$14:$A$949,$A75,'09월 에너지'!$C$14:$C$949,$B75)))</f>
        <v/>
      </c>
      <c r="CF75" s="831" t="str">
        <f>IF($C75&lt;1,"",(AVERAGEIFS('09월 에너지'!O$14:O$949,'09월 에너지'!$A$14:$A$949,$A75,'09월 에너지'!$C$14:$C$949,$B75)))</f>
        <v/>
      </c>
      <c r="CG75" s="831" t="str">
        <f>IF($C75&lt;1,"",(AVERAGEIFS('09월 에너지'!P$14:P$949,'09월 에너지'!$A$14:$A$949,$A75,'09월 에너지'!$C$14:$C$949,$B75)))</f>
        <v/>
      </c>
      <c r="CH75" s="831" t="str">
        <f>IF($C75&lt;1,"",(AVERAGEIFS('09월 에너지'!Q$14:Q$949,'09월 에너지'!$A$14:$A$949,$A75,'09월 에너지'!$C$14:$C$949,$B75)))</f>
        <v/>
      </c>
      <c r="CI75" s="831" t="str">
        <f>IF($C75&lt;1,"",(AVERAGEIFS('09월 에너지'!R$14:R$949,'09월 에너지'!$A$14:$A$949,$A75,'09월 에너지'!$C$14:$C$949,$B75)))</f>
        <v/>
      </c>
      <c r="CJ75" s="831" t="str">
        <f>IF($C75&lt;1,"",(AVERAGEIFS('09월 에너지'!S$14:S$949,'09월 에너지'!$A$14:$A$949,$A75,'09월 에너지'!$C$14:$C$949,$B75)))</f>
        <v/>
      </c>
      <c r="CK75" s="831" t="str">
        <f>IF($C75&lt;1,"",(AVERAGEIFS('09월 에너지'!T$14:T$949,'09월 에너지'!$A$14:$A$949,$A75,'09월 에너지'!$C$14:$C$949,$B75)))</f>
        <v/>
      </c>
      <c r="CL75" s="831" t="str">
        <f>IF($C75&lt;1,"",(AVERAGEIFS('09월 에너지'!U$14:U$949,'09월 에너지'!$A$14:$A$949,$A75,'09월 에너지'!$C$14:$C$949,$B75)))</f>
        <v/>
      </c>
      <c r="CM75" s="835" t="str">
        <f>IF($C75&lt;1,"",(AVERAGEIFS('09월 에너지'!V$14:V$949,'09월 에너지'!$A$14:$A$949,$A75,'09월 에너지'!$C$14:$C$949,$B75)))</f>
        <v/>
      </c>
      <c r="CN75" s="835" t="str">
        <f>IF($C75&lt;1,"",(AVERAGEIFS('09월 에너지'!W$14:W$949,'09월 에너지'!$A$14:$A$949,$A75,'09월 에너지'!$C$14:$C$949,$B75)))</f>
        <v/>
      </c>
      <c r="CO75" s="831" t="str">
        <f>IF($C75&lt;1,"",(AVERAGEIFS('09월 에너지'!X$14:X$949,'09월 에너지'!$A$14:$A$949,$A75,'09월 에너지'!$C$14:$C$949,$B75)))</f>
        <v/>
      </c>
      <c r="CP75" s="835" t="str">
        <f>IF($C75&lt;1,"",(AVERAGEIFS('09월 에너지'!Y$14:Y$949,'09월 에너지'!$A$14:$A$949,$A75,'09월 에너지'!$C$14:$C$949,$B75)))</f>
        <v/>
      </c>
      <c r="CQ75" s="835" t="str">
        <f>IF($C75&lt;1,"",(AVERAGEIFS('09월 에너지'!Z$14:Z$949,'09월 에너지'!$A$14:$A$949,$A75,'09월 에너지'!$C$14:$C$949,$B75)))</f>
        <v/>
      </c>
      <c r="CR75" s="835" t="str">
        <f>IF($C75&lt;1,"",(AVERAGEIFS('09월 에너지'!AA$14:AA$949,'09월 에너지'!$A$14:$A$949,$A75,'09월 에너지'!$C$14:$C$949,$B75)))</f>
        <v/>
      </c>
      <c r="CS75" s="835" t="str">
        <f>IF($C75&lt;1,"",(AVERAGEIFS('09월 에너지'!AB$14:AB$949,'09월 에너지'!$A$14:$A$949,$A75,'09월 에너지'!$C$14:$C$949,$B75)))</f>
        <v/>
      </c>
      <c r="CT75" s="831" t="str">
        <f>IF($C75&lt;1,"",(AVERAGEIFS('09월 에너지'!AC$14:AC$949,'09월 에너지'!$A$14:$A$949,$A75,'09월 에너지'!$C$14:$C$949,$B75)))</f>
        <v/>
      </c>
      <c r="CU75" s="836" t="str">
        <f>IF($C75&lt;1,"",(AVERAGEIFS('09월 에너지'!AD$14:AD$949,'09월 에너지'!$A$14:$A$949,$A75,'09월 에너지'!$C$14:$C$949,$B75)))</f>
        <v/>
      </c>
      <c r="CV75" s="837" t="str">
        <f>IF($C75&lt;1,"",(AVERAGEIFS('09월 에너지'!AE$14:AE$949,'09월 에너지'!$A$14:$A$949,$A75,'09월 에너지'!$C$14:$C$949,$B75)))</f>
        <v/>
      </c>
      <c r="CW75" s="831" t="str">
        <f>IF($C75&lt;1,"",(AVERAGEIFS('09월 에너지'!AF$14:AF$949,'09월 에너지'!$A$14:$A$949,$A75,'09월 에너지'!$C$14:$C$949,$B75)))</f>
        <v/>
      </c>
      <c r="CX75" s="831" t="str">
        <f>IF($C75&lt;1,"",(AVERAGEIFS('09월 에너지'!AG$14:AG$949,'09월 에너지'!$A$14:$A$949,$A75,'09월 에너지'!$C$14:$C$949,$B75)))</f>
        <v/>
      </c>
      <c r="CY75" s="831" t="str">
        <f>IF($C75&lt;1,"",(AVERAGEIFS('09월 에너지'!AH$14:AH$949,'09월 에너지'!$A$14:$A$949,$A75,'09월 에너지'!$C$14:$C$949,$B75)))</f>
        <v/>
      </c>
      <c r="CZ75" s="831" t="str">
        <f>IF($C75&lt;1,"",(AVERAGEIFS('09월 에너지'!AI$14:AI$949,'09월 에너지'!$A$14:$A$949,$A75,'09월 에너지'!$C$14:$C$949,$B75)))</f>
        <v/>
      </c>
      <c r="DA75" s="838" t="str">
        <f>IF($C75&lt;1,"",(AVERAGEIFS('09월 에너지'!AJ$14:AJ$949,'09월 에너지'!$A$14:$A$949,$A75,'09월 에너지'!$C$14:$C$949,$B75)))</f>
        <v/>
      </c>
    </row>
    <row r="76" spans="1:105" ht="13.5" customHeight="1">
      <c r="A76" s="847">
        <f>A71+1</f>
        <v>44941</v>
      </c>
      <c r="B76" s="848" t="s">
        <v>31</v>
      </c>
      <c r="C76" s="810">
        <f>COUNTIF('09월 조업일지'!$A$12:$A$952,A76)</f>
        <v>0</v>
      </c>
      <c r="D76" s="787" t="str">
        <f>IF(C76&lt;1,"",F76-E76)</f>
        <v/>
      </c>
      <c r="E76" s="787" t="str">
        <f>IF($C76&lt;1,"",(SUMIF('09월 조업일지'!$A$12:$A$952,$A76,'09월 조업일지'!$K$12:$K$952))/C76)</f>
        <v/>
      </c>
      <c r="F76" s="787" t="str">
        <f>IF($C76&lt;1,"",AVERAGEIF('09월 조업일지'!$A$12:$A$952,$A76,'09월 조업일지'!$J$12:$J$952))</f>
        <v/>
      </c>
      <c r="G76" s="811" t="str">
        <f>IF($C76&lt;1,"",AVERAGEIF('09월 에너지'!$A$14:$A$949,$A76,'09월 에너지'!$M$14:M$949))</f>
        <v/>
      </c>
      <c r="H76" s="812" t="str">
        <f>IF($C76&lt;1,"",AVERAGEIF('09월 조업일지'!$A$12:$A$952,$A76,'09월 조업일지'!$AJ$12:$AJ$952))</f>
        <v/>
      </c>
      <c r="I76" s="812" t="str">
        <f>IF($C76&lt;1,"",AVERAGEIF('09월 조업일지'!$A$12:$A$952,$A76,'09월 조업일지'!$AL$12:$AL$952))</f>
        <v/>
      </c>
      <c r="J76" s="813" t="str">
        <f>IF($C76&lt;1,"",AVERAGEIF('09월 화학성분'!$A$12:$A$949,$A76,'09월 화학성분'!G$12:G$949))</f>
        <v/>
      </c>
      <c r="K76" s="813" t="str">
        <f>IF($C76&lt;1,"",AVERAGEIF('09월 화학성분'!$A$12:$A$949,$A76,'09월 화학성분'!H$12:H$949))</f>
        <v/>
      </c>
      <c r="L76" s="813" t="str">
        <f>IF($C76&lt;1,"",AVERAGEIF('09월 화학성분'!$A$12:$A$949,$A76,'09월 화학성분'!I$12:I$949))</f>
        <v/>
      </c>
      <c r="M76" s="813" t="str">
        <f>IF($C76&lt;1,"",AVERAGEIF('09월 화학성분'!$A$12:$A$949,$A76,'09월 화학성분'!J$12:J$949))</f>
        <v/>
      </c>
      <c r="N76" s="813" t="str">
        <f>IF($C76&lt;1,"",AVERAGEIF('09월 화학성분'!$A$12:$A$949,$A76,'09월 화학성분'!K$12:K$949))</f>
        <v/>
      </c>
      <c r="O76" s="813" t="str">
        <f>IF($C76&lt;1,"",AVERAGEIF('09월 화학성분'!$A$12:$A$949,$A76,'09월 화학성분'!L$12:L$949))</f>
        <v/>
      </c>
      <c r="P76" s="813" t="str">
        <f>IF($C76&lt;1,"",AVERAGEIF('09월 화학성분'!$A$12:$A$949,$A76,'09월 화학성분'!M$12:M$949))</f>
        <v/>
      </c>
      <c r="Q76" s="814" t="str">
        <f>IF($C76&lt;1,"",AVERAGEIF('09월 조업일지'!$A$12:$A$952,$A76,'09월 조업일지'!$AA$12:$AA$952))</f>
        <v/>
      </c>
      <c r="R76" s="814" t="str">
        <f>IF($C76&lt;1,"",AVERAGEIF('09월 조업일지'!$A$12:$A$952,$A76,'09월 조업일지'!$AK$12:$AK$952))</f>
        <v/>
      </c>
      <c r="S76" s="814"/>
      <c r="T76" s="814"/>
      <c r="U76" s="813" t="str">
        <f>IF($C76&lt;1,"",AVERAGEIF('09월 화학성분'!$A$12:$A$949,$A76,'09월 화학성분'!$G$12:$G$949))</f>
        <v/>
      </c>
      <c r="V76" s="814" t="str">
        <f>IF($C76&lt;1,"",AVERAGEIF('09월 조업일지'!$A$12:$A$952,$A76,'09월 조업일지'!$AI$12:$AI$952))</f>
        <v/>
      </c>
      <c r="W76" s="813" t="str">
        <f>IF($C76&lt;1,"",AVERAGEIF('09월 화학성분'!$A$12:$A$949,$A76,'09월 화학성분'!$AM$12:$AM$949))</f>
        <v/>
      </c>
      <c r="X76" s="815" t="str">
        <f>IF($C76&lt;1,"",AVERAGEIF('09월 화학성분'!$A$12:$A$949,$A76,'09월 화학성분'!N$12:N$949))</f>
        <v/>
      </c>
      <c r="Y76" s="815" t="str">
        <f>IF($C76&lt;1,"",AVERAGEIF('09월 화학성분'!$A$12:$A$949,$A76,'09월 화학성분'!O$12:O$949))</f>
        <v/>
      </c>
      <c r="Z76" s="815" t="str">
        <f>IF($C76&lt;1,"",AVERAGEIF('09월 화학성분'!$A$12:$A$949,$A76,'09월 화학성분'!P$12:P$949))</f>
        <v/>
      </c>
      <c r="AA76" s="815" t="str">
        <f>IF($C76&lt;1,"",AVERAGEIF('09월 화학성분'!$A$12:$A$949,$A76,'09월 화학성분'!Q$12:Q$949))</f>
        <v/>
      </c>
      <c r="AB76" s="815" t="str">
        <f>IF($C76&lt;1,"",AVERAGEIF('09월 화학성분'!$A$12:$A$949,$A76,'09월 화학성분'!R$12:R$949))</f>
        <v/>
      </c>
      <c r="AC76" s="815" t="str">
        <f>IF($C76&lt;1,"",AVERAGEIF('09월 화학성분'!$A$12:$A$949,$A76,'09월 화학성분'!U$12:U$949))</f>
        <v/>
      </c>
      <c r="AD76" s="815" t="str">
        <f>IF($C76&lt;1,"",AVERAGEIF('09월 화학성분'!$A$12:$A$949,$A76,'09월 화학성분'!V$12:V$949))</f>
        <v/>
      </c>
      <c r="AE76" s="815" t="str">
        <f>IF($C76&lt;1,"",AVERAGEIF('09월 화학성분'!$A$12:$A$949,$A76,'09월 화학성분'!W$12:W$949))</f>
        <v/>
      </c>
      <c r="AF76" s="815" t="str">
        <f>IF($C76&lt;1,"",AVERAGEIF('09월 화학성분'!$A$12:$A$949,$A76,'09월 화학성분'!AA$12:AA$949))</f>
        <v/>
      </c>
      <c r="AG76" s="815" t="str">
        <f>IF($C76&lt;1,"",AVERAGEIF('09월 화학성분'!$A$12:$A$949,$A76,'09월 화학성분'!#REF!))</f>
        <v/>
      </c>
      <c r="AH76" s="815" t="str">
        <f>IF($C76&lt;1,"",AVERAGEIF('09월 화학성분'!$A$12:$A$949,$A76,'09월 화학성분'!AB$12:AB$949))</f>
        <v/>
      </c>
      <c r="AI76" s="815" t="str">
        <f>IF($C76&lt;1,"",AVERAGEIF('09월 화학성분'!$A$12:$A$949,$A76,'09월 화학성분'!AC$12:AC$949))</f>
        <v/>
      </c>
      <c r="AJ76" s="815" t="str">
        <f>IF($C76&lt;1,"",AVERAGEIF('09월 화학성분'!$A$12:$A$949,$A76,'09월 화학성분'!AD$12:AD$949))</f>
        <v/>
      </c>
      <c r="AK76" s="815" t="str">
        <f>IF($C76&lt;1,"",AVERAGEIF('09월 화학성분'!$A$12:$A$949,$A76,'09월 화학성분'!AF$12:AF$949))</f>
        <v/>
      </c>
      <c r="AL76" s="815" t="str">
        <f>IF($C76&lt;1,"",AVERAGEIF('09월 화학성분'!$A$12:$A$949,$A76,'09월 화학성분'!AG$12:AG$949))</f>
        <v/>
      </c>
      <c r="AM76" s="815" t="str">
        <f>IF($C76&lt;1,"",AVERAGEIF('09월 화학성분'!$A$12:$A$949,$A76,'09월 화학성분'!AH$12:AH$949))</f>
        <v/>
      </c>
      <c r="AN76" s="815" t="str">
        <f>IF($C76&lt;1,"",AVERAGEIF('09월 화학성분'!$A$12:$A$949,$A76,'09월 화학성분'!AI$12:AI$949))</f>
        <v/>
      </c>
      <c r="AO76" s="815" t="str">
        <f>IF($C76&lt;1,"",AVERAGEIF('09월 화학성분'!$A$12:$A$949,$A76,'09월 화학성분'!AJ$12:AJ$949))</f>
        <v/>
      </c>
      <c r="AP76" s="815" t="str">
        <f>IF($C76&lt;1,"",AVERAGEIF('09월 화학성분'!$A$12:$A$949,$A76,'09월 화학성분'!#REF!))</f>
        <v/>
      </c>
      <c r="AQ76" s="815" t="str">
        <f>IF($C76&lt;1,"",AVERAGEIF('09월 화학성분'!$A$12:$A$949,$A76,'09월 화학성분'!AL$12:AL$949))</f>
        <v/>
      </c>
      <c r="AR76" s="815" t="str">
        <f>IF($C76&lt;1,"",AVERAGEIF('09월 화학성분'!$A$12:$A$949,$A76,'09월 화학성분'!AM$12:AM$949))</f>
        <v/>
      </c>
      <c r="AS76" s="816" t="str">
        <f>IF($C76&lt;1,"",AVERAGEIF('09월 화학성분'!$A$12:$A$949,$A76,'09월 화학성분'!AN$12:AN$949))</f>
        <v/>
      </c>
      <c r="AT76" s="816" t="str">
        <f>IF($C76&lt;1,"",AVERAGEIF('09월 화학성분'!$A$12:$A$949,$A76,'09월 화학성분'!AO$12:AO$949))</f>
        <v/>
      </c>
      <c r="AU76" s="815" t="str">
        <f>IF($C76&lt;1,"",AVERAGEIF('09월 화학성분'!$A$12:$A$949,$A76,'09월 화학성분'!AP$12:AP$949))</f>
        <v/>
      </c>
      <c r="AV76" s="815" t="str">
        <f>IF($C76&lt;1,"",AVERAGEIF('09월 고철장입'!$A$14:$A$949,$A76,'09월 고철장입'!G$14:G$949)/1000)</f>
        <v/>
      </c>
      <c r="AW76" s="815" t="str">
        <f>IF($C76&lt;1,"",AVERAGEIF('09월 고철장입'!$A$14:$A$949,$A76,'09월 고철장입'!H$14:H$949)/1000)</f>
        <v/>
      </c>
      <c r="AX76" s="815" t="str">
        <f>IF($C76&lt;1,"",AVERAGEIF('09월 고철장입'!$A$14:$A$949,$A76,'09월 고철장입'!I$14:I$949)/1000)</f>
        <v/>
      </c>
      <c r="AY76" s="815" t="str">
        <f>IF($C76&lt;1,"",AVERAGEIF('09월 고철장입'!$A$14:$A$949,$A76,'09월 고철장입'!J$14:J$949)/1000)</f>
        <v/>
      </c>
      <c r="AZ76" s="815" t="str">
        <f>IF($C76&lt;1,"",AVERAGEIF('09월 고철장입'!$A$14:$A$949,$A76,'09월 고철장입'!K$14:K$949)/1000)</f>
        <v/>
      </c>
      <c r="BA76" s="815" t="str">
        <f>IF($C76&lt;1,"",AVERAGEIF('09월 고철장입'!$A$14:$A$949,$A76,'09월 고철장입'!L$14:L$949)/1000)</f>
        <v/>
      </c>
      <c r="BB76" s="815" t="str">
        <f>IF($C76&lt;1,"",AVERAGEIF('09월 고철장입'!$A$14:$A$949,$A76,'09월 고철장입'!M$14:M$949)/1000)</f>
        <v/>
      </c>
      <c r="BC76" s="815" t="str">
        <f>IF($C76&lt;1,"",AVERAGEIF('09월 고철장입'!$A$14:$A$949,$A76,'09월 고철장입'!N$14:N$949)/1000)</f>
        <v/>
      </c>
      <c r="BD76" s="815" t="str">
        <f>IF($C76&lt;1,"",AVERAGEIF('09월 고철장입'!$A$14:$A$949,$A76,'09월 고철장입'!O$14:O$949)/1000)</f>
        <v/>
      </c>
      <c r="BE76" s="815" t="str">
        <f>IF($C76&lt;1,"",AVERAGEIF('09월 고철장입'!$A$14:$A$949,$A76,'09월 고철장입'!P$14:P$949)/1000)</f>
        <v/>
      </c>
      <c r="BF76" s="815" t="str">
        <f>IF($C76&lt;1,"",AVERAGEIF('09월 고철장입'!$A$14:$A$949,$A76,'09월 고철장입'!Q$14:Q$949)/1000)</f>
        <v/>
      </c>
      <c r="BG76" s="815" t="str">
        <f>IF($C76&lt;1,"",AVERAGEIF('09월 고철장입'!$A$14:$A$949,$A76,'09월 고철장입'!S$14:S$949)/1000)</f>
        <v/>
      </c>
      <c r="BH76" s="815" t="str">
        <f>IF($C76&lt;1,"",AVERAGEIF('09월 고철장입'!$A$14:$A$949,$A76,'09월 고철장입'!T$14:T$949)/1000)</f>
        <v/>
      </c>
      <c r="BI76" s="815" t="str">
        <f>IF($C76&lt;1,"",AVERAGEIF('09월 고철장입'!$A$14:$A$949,$A76,'09월 고철장입'!U$14:U$949)/1000)</f>
        <v/>
      </c>
      <c r="BJ76" s="815" t="str">
        <f>IF($C76&lt;1,"",AVERAGEIF('09월 고철장입'!$A$14:$A$949,$A76,'09월 고철장입'!V$14:V$949)/1000)</f>
        <v/>
      </c>
      <c r="BK76" s="815" t="str">
        <f>IF($C76&lt;1,"",AVERAGEIF('09월 고철장입'!$A$14:$A$949,$A76,'09월 고철장입'!W$14:W$949)/1000)</f>
        <v/>
      </c>
      <c r="BL76" s="815" t="str">
        <f>IF($C76&lt;1,"",AVERAGEIF('09월 고철장입'!$A$14:$A$949,$A76,'09월 고철장입'!Y$14:Y$949)/1000)</f>
        <v/>
      </c>
      <c r="BM76" s="815" t="str">
        <f>IF($C76&lt;1,"",AVERAGEIF('09월 고철장입'!$A$14:$A$949,$A76,'09월 고철장입'!AB$14:AB$949)/1000)</f>
        <v/>
      </c>
      <c r="BN76" s="815" t="str">
        <f>IF($C76&lt;1,"",AVERAGEIF('09월 고철장입'!$A$14:$A$949,$A76,'09월 고철장입'!AC$14:AC$949)/1000)</f>
        <v/>
      </c>
      <c r="BO76" s="815" t="str">
        <f>IF($C76&lt;1,"",AVERAGEIF('09월 고철장입'!$A$14:$A$949,$A76,'09월 고철장입'!AD$14:AD$949)/1000)</f>
        <v/>
      </c>
      <c r="BP76" s="815" t="str">
        <f>IF($C76&lt;1,"",AVERAGEIF('09월 고철장입'!$A$14:$A$949,$A76,'09월 고철장입'!AE$14:AE$949)/1000)</f>
        <v/>
      </c>
      <c r="BQ76" s="815" t="str">
        <f>IF($C76&lt;1,"",AVERAGEIF('09월 고철장입'!$A$14:$A$949,$A76,'09월 고철장입'!AF$14:AF$949)/1000)</f>
        <v/>
      </c>
      <c r="BR76" s="815" t="str">
        <f>IF($C76&lt;1,"",AVERAGEIF('09월 고철장입'!$A$14:$A$949,$A76,'09월 고철장입'!AG$14:AG$949)/1000)</f>
        <v/>
      </c>
      <c r="BS76" s="815" t="str">
        <f>IF($C76&lt;1,"",AVERAGEIF('09월 고철장입'!$A$14:$A$949,$A76,'09월 고철장입'!AH$14:AH$949)/1000)</f>
        <v/>
      </c>
      <c r="BT76" s="815" t="str">
        <f>IF($C76&lt;1,"",AVERAGEIF('09월 고철장입'!$A$14:$A$949,$A76,'09월 고철장입'!AI$14:AI$949)/1000)</f>
        <v/>
      </c>
      <c r="BU76" s="815" t="str">
        <f>IF($C76&lt;1,"",AVERAGEIF('09월 고철장입'!$A$14:$A$949,$A76,'09월 고철장입'!AJ$14:AJ$949)/1000)</f>
        <v/>
      </c>
      <c r="BV76" s="815" t="str">
        <f>IF($C76&lt;1,"",AVERAGEIF('09월 고철장입'!$A$14:$A$949,$A76,'09월 고철장입'!AK$14:AK$949))</f>
        <v/>
      </c>
      <c r="BW76" s="815" t="str">
        <f>IF($C76&lt;1,"",AVERAGEIF('09월 고철장입'!$A$14:$A$949,$A76,'09월 고철장입'!AL$14:AL$949)*100)</f>
        <v/>
      </c>
      <c r="BX76" s="815" t="str">
        <f>IF($C76&lt;1,"",AVERAGEIF('09월 에너지'!$A$14:$A$949,$A76,'09월 에너지'!G$14:G$949))</f>
        <v/>
      </c>
      <c r="BY76" s="817" t="str">
        <f>IF($C76&lt;1,"",AVERAGEIF('09월 에너지'!$A$14:$A$949,$A76,'09월 에너지'!H$14:H$949))</f>
        <v/>
      </c>
      <c r="BZ76" s="815" t="str">
        <f>IF($C76&lt;1,"",AVERAGEIF('09월 에너지'!$A$14:$A$949,$A76,'09월 에너지'!I$14:I$949))</f>
        <v/>
      </c>
      <c r="CA76" s="817" t="str">
        <f>IF($C76&lt;1,"",AVERAGEIF('09월 에너지'!$A$14:$A$949,$A76,'09월 에너지'!J$14:J$949))</f>
        <v/>
      </c>
      <c r="CB76" s="815" t="str">
        <f>IF($C76&lt;1,"",AVERAGEIF('09월 에너지'!$A$14:$A$949,$A76,'09월 에너지'!K$14:K$949))</f>
        <v/>
      </c>
      <c r="CC76" s="817" t="str">
        <f>IF($C76&lt;1,"",AVERAGEIF('09월 에너지'!$A$14:$A$949,$A76,'09월 에너지'!L$14:L$949))</f>
        <v/>
      </c>
      <c r="CD76" s="815" t="str">
        <f>IF($C76&lt;1,"",AVERAGEIF('09월 에너지'!$A$14:$A$949,$A76,'09월 에너지'!M$14:M$949))</f>
        <v/>
      </c>
      <c r="CE76" s="817" t="str">
        <f>IF($C76&lt;1,"",AVERAGEIF('09월 에너지'!$A$14:$A$949,$A76,'09월 에너지'!N$14:N$949))</f>
        <v/>
      </c>
      <c r="CF76" s="815" t="str">
        <f>IF($C76&lt;1,"",AVERAGEIF('09월 에너지'!$A$14:$A$949,$A76,'09월 에너지'!O$14:O$949))</f>
        <v/>
      </c>
      <c r="CG76" s="815" t="str">
        <f>IF($C76&lt;1,"",AVERAGEIF('09월 에너지'!$A$14:$A$949,$A76,'09월 에너지'!P$14:P$949))</f>
        <v/>
      </c>
      <c r="CH76" s="815" t="str">
        <f>IF($C76&lt;1,"",AVERAGEIF('09월 에너지'!$A$14:$A$949,$A76,'09월 에너지'!Q$14:Q$949))</f>
        <v/>
      </c>
      <c r="CI76" s="815" t="str">
        <f>IF($C76&lt;1,"",AVERAGEIF('09월 에너지'!$A$14:$A$949,$A76,'09월 에너지'!R$14:R$949))</f>
        <v/>
      </c>
      <c r="CJ76" s="815" t="str">
        <f>IF($C76&lt;1,"",AVERAGEIF('09월 에너지'!$A$14:$A$949,$A76,'09월 에너지'!S$14:S$949))</f>
        <v/>
      </c>
      <c r="CK76" s="815" t="str">
        <f>IF($C76&lt;1,"",AVERAGEIF('09월 에너지'!$A$14:$A$949,$A76,'09월 에너지'!T$14:T$949))</f>
        <v/>
      </c>
      <c r="CL76" s="815" t="str">
        <f>IF($C76&lt;1,"",AVERAGEIF('09월 에너지'!$A$14:$A$949,$A76,'09월 에너지'!U$14:U$949))</f>
        <v/>
      </c>
      <c r="CM76" s="817" t="str">
        <f>IF($C76&lt;1,"",AVERAGEIF('09월 에너지'!$A$14:$A$949,$A76,'09월 에너지'!V$14:V$949))</f>
        <v/>
      </c>
      <c r="CN76" s="817" t="str">
        <f>IF($C76&lt;1,"",AVERAGEIF('09월 에너지'!$A$14:$A$949,$A76,'09월 에너지'!W$14:W$949))</f>
        <v/>
      </c>
      <c r="CO76" s="815" t="str">
        <f>IF($C76&lt;1,"",AVERAGEIF('09월 에너지'!$A$14:$A$949,$A76,'09월 에너지'!X$14:X$949))</f>
        <v/>
      </c>
      <c r="CP76" s="817" t="str">
        <f>IF($C76&lt;1,"",AVERAGEIF('09월 에너지'!$A$14:$A$949,$A76,'09월 에너지'!Y$14:Y$949))</f>
        <v/>
      </c>
      <c r="CQ76" s="817" t="str">
        <f>IF($C76&lt;1,"",AVERAGEIF('09월 에너지'!$A$14:$A$949,$A76,'09월 에너지'!Z$14:Z$949))</f>
        <v/>
      </c>
      <c r="CR76" s="817" t="str">
        <f>IF($C76&lt;1,"",AVERAGEIF('09월 에너지'!$A$14:$A$949,$A76,'09월 에너지'!AA$14:AA$949))</f>
        <v/>
      </c>
      <c r="CS76" s="817" t="str">
        <f>IF($C76&lt;1,"",AVERAGEIF('09월 에너지'!$A$14:$A$949,$A76,'09월 에너지'!AB$14:AB$949))</f>
        <v/>
      </c>
      <c r="CT76" s="815" t="str">
        <f>IF($C76&lt;1,"",AVERAGEIF('09월 에너지'!$A$14:$A$949,$A76,'09월 에너지'!AC$14:AC$949))</f>
        <v/>
      </c>
      <c r="CU76" s="818" t="str">
        <f>IF($C76&lt;1,"",AVERAGEIF('09월 에너지'!$A$14:$A$949,$A76,'09월 에너지'!AD$14:AD$949))</f>
        <v/>
      </c>
      <c r="CV76" s="819" t="str">
        <f>IF($C76&lt;1,"",AVERAGEIF('09월 에너지'!$A$14:$A$949,$A76,'09월 에너지'!AE$14:AE$949))</f>
        <v/>
      </c>
      <c r="CW76" s="815" t="str">
        <f>IF($C76&lt;1,"",AVERAGEIF('09월 에너지'!$A$14:$A$949,$A76,'09월 에너지'!AF$14:AF$949))</f>
        <v/>
      </c>
      <c r="CX76" s="815" t="str">
        <f>IF($C76&lt;1,"",AVERAGEIF('09월 에너지'!$A$14:$A$949,$A76,'09월 에너지'!AG$14:AG$949))</f>
        <v/>
      </c>
      <c r="CY76" s="815" t="str">
        <f>IF($C76&lt;1,"",AVERAGEIF('09월 에너지'!$A$14:$A$949,$A76,'09월 에너지'!AH$14:AH$949))</f>
        <v/>
      </c>
      <c r="CZ76" s="815" t="str">
        <f>IF($C76&lt;1,"",AVERAGEIF('09월 에너지'!$A$14:$A$949,$A76,'09월 에너지'!AI$14:AI$949))</f>
        <v/>
      </c>
      <c r="DA76" s="820" t="str">
        <f>IF($C76&lt;1,"",AVERAGEIF('09월 에너지'!$A$14:$A$949,$A76,'09월 에너지'!AJ$14:AJ$949))</f>
        <v/>
      </c>
    </row>
    <row r="77" spans="1:105" ht="13.5" customHeight="1">
      <c r="A77" s="849">
        <f t="shared" ref="A77:A90" si="16">A72+1</f>
        <v>44941</v>
      </c>
      <c r="B77" s="850" t="s">
        <v>9</v>
      </c>
      <c r="C77" s="823">
        <f>COUNTIFS('09월 조업일지'!$A$12:$A$952,A76,'09월 조업일지'!$E$12:$E$952,B77)</f>
        <v>0</v>
      </c>
      <c r="D77" s="824" t="str">
        <f>IF(C77&lt;1,"",F77-E77)</f>
        <v/>
      </c>
      <c r="E77" s="824" t="str">
        <f>IF($C77&lt;1,"",(SUMIFS('09월 조업일지'!$K$12:$K$952,'09월 조업일지'!$A$12:$A$952,$A77,'09월 조업일지'!$E$12:$E$952,$B77)/$C77))</f>
        <v/>
      </c>
      <c r="F77" s="824" t="str">
        <f>IF($C77&lt;1,"",(AVERAGEIFS('09월 조업일지'!$J$12:$J$952,'09월 조업일지'!$A$12:$A$952,$A77,'09월 조업일지'!$E$12:$E$952,$B77)))</f>
        <v/>
      </c>
      <c r="G77" s="825" t="str">
        <f>IF($C77&lt;1,"",(AVERAGEIFS('09월 에너지'!$M$14:$M$949,'09월 에너지'!$A$14:$A$949,$A77,'09월 에너지'!$C$14:$C$949,$B77)))</f>
        <v/>
      </c>
      <c r="H77" s="826" t="str">
        <f>IF($C77&lt;1,"",(AVERAGEIFS('09월 조업일지'!$AJ$12:$AJ$952,'09월 조업일지'!$A$12:$A$952,$A77,'09월 조업일지'!$E$12:$E$952,$B77)))</f>
        <v/>
      </c>
      <c r="I77" s="826" t="str">
        <f>IF($C77&lt;1,"",(AVERAGEIFS('09월 조업일지'!$AL$12:$AL$952,'09월 조업일지'!$A$12:$A$952,$A77,'09월 조업일지'!$E$12:$E$952,$B77)))</f>
        <v/>
      </c>
      <c r="J77" s="827" t="str">
        <f>IF($C77&lt;1,"",(AVERAGEIFS('09월 화학성분'!G$12:G$949,'09월 화학성분'!$A$12:$A$949,$A77,'09월 화학성분'!$D$12:$D$949,$B77)))</f>
        <v/>
      </c>
      <c r="K77" s="827" t="str">
        <f>IF($C77&lt;1,"",(AVERAGEIFS('09월 화학성분'!H$12:H$949,'09월 화학성분'!$A$12:$A$949,$A77,'09월 화학성분'!$D$12:$D$949,$B77)))</f>
        <v/>
      </c>
      <c r="L77" s="827" t="str">
        <f>IF($C77&lt;1,"",(AVERAGEIFS('09월 화학성분'!I$12:I$949,'09월 화학성분'!$A$12:$A$949,$A77,'09월 화학성분'!$D$12:$D$949,$B77)))</f>
        <v/>
      </c>
      <c r="M77" s="827" t="str">
        <f>IF($C77&lt;1,"",(AVERAGEIFS('09월 화학성분'!J$12:J$949,'09월 화학성분'!$A$12:$A$949,$A77,'09월 화학성분'!$D$12:$D$949,$B77)))</f>
        <v/>
      </c>
      <c r="N77" s="827" t="str">
        <f>IF($C77&lt;1,"",(AVERAGEIFS('09월 화학성분'!K$12:K$949,'09월 화학성분'!$A$12:$A$949,$A77,'09월 화학성분'!$D$12:$D$949,$B77)))</f>
        <v/>
      </c>
      <c r="O77" s="827" t="str">
        <f>IF($C77&lt;1,"",(AVERAGEIFS('09월 화학성분'!L$12:L$949,'09월 화학성분'!$A$12:$A$949,$A77,'09월 화학성분'!$D$12:$D$949,$B77)))</f>
        <v/>
      </c>
      <c r="P77" s="827" t="str">
        <f>IF($C77&lt;1,"",(AVERAGEIFS('09월 화학성분'!M$12:M$949,'09월 화학성분'!$A$12:$A$949,$A77,'09월 화학성분'!$D$12:$D$949,$B77)))</f>
        <v/>
      </c>
      <c r="Q77" s="827" t="str">
        <f>IFERROR(IF($C77&lt;1,"",(AVERAGEIFS('09월 조업일지'!$AA$12:$AA$952,'09월 조업일지'!$A$12:$A$952,$A77,'09월 조업일지'!$E$12:$E$952,$B77))),"")</f>
        <v/>
      </c>
      <c r="R77" s="827" t="str">
        <f>IF($C77&lt;1,"",(AVERAGEIFS('09월 조업일지'!$AK$12:$AK$952,'09월 조업일지'!$A$12:$A$952,$A77,'09월 조업일지'!$E$12:$E$952,$B77)))</f>
        <v/>
      </c>
      <c r="S77" s="827"/>
      <c r="T77" s="827"/>
      <c r="U77" s="827" t="str">
        <f>IF($C77&lt;1,"",(AVERAGEIFS('09월 화학성분'!$G$12:$G$949,'09월 화학성분'!$A$12:$A$949,$A77,'09월 화학성분'!$D$12:$D$949,$B77)))</f>
        <v/>
      </c>
      <c r="V77" s="827" t="str">
        <f>IF($C77&lt;1,"",(AVERAGEIFS('09월 조업일지'!$AI$12:$AI$952,'09월 조업일지'!$A$12:$A$952,$A77,'09월 조업일지'!$E$12:$E$952,$B77)))</f>
        <v/>
      </c>
      <c r="W77" s="828" t="str">
        <f>IF($C77&lt;1,"",(AVERAGEIFS('09월 화학성분'!$AM$12:$AM$949,'09월 화학성분'!$A$12:$A$949,$A77,'09월 화학성분'!$D$12:$D$949,$B77)))</f>
        <v/>
      </c>
      <c r="X77" s="829" t="str">
        <f>IF($C77&lt;1,"",(AVERAGEIFS('09월 화학성분'!N$12:N$949,'09월 화학성분'!$A$12:$A$949,$A77,'09월 화학성분'!$D$12:$D$949,$B77)))</f>
        <v/>
      </c>
      <c r="Y77" s="829" t="str">
        <f>IF($C77&lt;1,"",(AVERAGEIFS('09월 화학성분'!O$12:O$949,'09월 화학성분'!$A$12:$A$949,$A77,'09월 화학성분'!$D$12:$D$949,$B77)))</f>
        <v/>
      </c>
      <c r="Z77" s="829" t="str">
        <f>IF($C77&lt;1,"",(AVERAGEIFS('09월 화학성분'!P$12:P$949,'09월 화학성분'!$A$12:$A$949,$A77,'09월 화학성분'!$D$12:$D$949,$B77)))</f>
        <v/>
      </c>
      <c r="AA77" s="829" t="str">
        <f>IF($C77&lt;1,"",(AVERAGEIFS('09월 화학성분'!Q$12:Q$949,'09월 화학성분'!$A$12:$A$949,$A77,'09월 화학성분'!$D$12:$D$949,$B77)))</f>
        <v/>
      </c>
      <c r="AB77" s="829" t="str">
        <f>IF($C77&lt;1,"",(AVERAGEIFS('09월 화학성분'!R$12:R$949,'09월 화학성분'!$A$12:$A$949,$A77,'09월 화학성분'!$D$12:$D$949,$B77)))</f>
        <v/>
      </c>
      <c r="AC77" s="829" t="str">
        <f>IF($C77&lt;1,"",(AVERAGEIFS('09월 화학성분'!U$12:U$949,'09월 화학성분'!$A$12:$A$949,$A77,'09월 화학성분'!$D$12:$D$949,$B77)))</f>
        <v/>
      </c>
      <c r="AD77" s="829" t="str">
        <f>IF($C77&lt;1,"",(AVERAGEIFS('09월 화학성분'!V$12:V$949,'09월 화학성분'!$A$12:$A$949,$A77,'09월 화학성분'!$D$12:$D$949,$B77)))</f>
        <v/>
      </c>
      <c r="AE77" s="829" t="str">
        <f>IF($C77&lt;1,"",(AVERAGEIFS('09월 화학성분'!W$12:W$949,'09월 화학성분'!$A$12:$A$949,$A77,'09월 화학성분'!$D$12:$D$949,$B77)))</f>
        <v/>
      </c>
      <c r="AF77" s="829" t="str">
        <f>IF($C77&lt;1,"",(AVERAGEIFS('09월 화학성분'!AA$12:AA$949,'09월 화학성분'!$A$12:$A$949,$A77,'09월 화학성분'!$D$12:$D$949,$B77)))</f>
        <v/>
      </c>
      <c r="AG77" s="829" t="str">
        <f>IF($C77&lt;1,"",(AVERAGEIFS('09월 화학성분'!#REF!,'09월 화학성분'!$A$12:$A$949,$A77,'09월 화학성분'!$D$12:$D$949,$B77)))</f>
        <v/>
      </c>
      <c r="AH77" s="829" t="str">
        <f>IF($C77&lt;1,"",(AVERAGEIFS('09월 화학성분'!AB$12:AB$949,'09월 화학성분'!$A$12:$A$949,$A77,'09월 화학성분'!$D$12:$D$949,$B77)))</f>
        <v/>
      </c>
      <c r="AI77" s="829" t="str">
        <f>IF($C77&lt;1,"",(AVERAGEIFS('09월 화학성분'!AC$12:AC$949,'09월 화학성분'!$A$12:$A$949,$A77,'09월 화학성분'!$D$12:$D$949,$B77)))</f>
        <v/>
      </c>
      <c r="AJ77" s="829" t="str">
        <f>IF($C77&lt;1,"",(AVERAGEIFS('09월 화학성분'!AD$12:AD$949,'09월 화학성분'!$A$12:$A$949,$A77,'09월 화학성분'!$D$12:$D$949,$B77)))</f>
        <v/>
      </c>
      <c r="AK77" s="829" t="str">
        <f>IF($C77&lt;1,"",(AVERAGEIFS('09월 화학성분'!AF$12:AF$949,'09월 화학성분'!$A$12:$A$949,$A77,'09월 화학성분'!$D$12:$D$949,$B77)))</f>
        <v/>
      </c>
      <c r="AL77" s="829" t="str">
        <f>IF($C77&lt;1,"",(AVERAGEIFS('09월 화학성분'!AG$12:AG$949,'09월 화학성분'!$A$12:$A$949,$A77,'09월 화학성분'!$D$12:$D$949,$B77)))</f>
        <v/>
      </c>
      <c r="AM77" s="829" t="str">
        <f>IF($C77&lt;1,"",(AVERAGEIFS('09월 화학성분'!AH$12:AH$949,'09월 화학성분'!$A$12:$A$949,$A77,'09월 화학성분'!$D$12:$D$949,$B77)))</f>
        <v/>
      </c>
      <c r="AN77" s="829" t="str">
        <f>IF($C77&lt;1,"",(AVERAGEIFS('09월 화학성분'!AI$12:AI$949,'09월 화학성분'!$A$12:$A$949,$A77,'09월 화학성분'!$D$12:$D$949,$B77)))</f>
        <v/>
      </c>
      <c r="AO77" s="829" t="str">
        <f>IF($C77&lt;1,"",(AVERAGEIFS('09월 화학성분'!AJ$12:AJ$949,'09월 화학성분'!$A$12:$A$949,$A77,'09월 화학성분'!$D$12:$D$949,$B77)))</f>
        <v/>
      </c>
      <c r="AP77" s="829" t="str">
        <f>IF($C77&lt;1,"",(AVERAGEIFS('09월 화학성분'!#REF!,'09월 화학성분'!$A$12:$A$949,$A77,'09월 화학성분'!$D$12:$D$949,$B77)))</f>
        <v/>
      </c>
      <c r="AQ77" s="829" t="str">
        <f>IF($C77&lt;1,"",(AVERAGEIFS('09월 화학성분'!AL$12:AL$949,'09월 화학성분'!$A$12:$A$949,$A77,'09월 화학성분'!$D$12:$D$949,$B77)))</f>
        <v/>
      </c>
      <c r="AR77" s="829" t="str">
        <f>IF($C77&lt;1,"",(AVERAGEIFS('09월 화학성분'!AM$12:AM$949,'09월 화학성분'!$A$12:$A$949,$A77,'09월 화학성분'!$D$12:$D$949,$B77)))</f>
        <v/>
      </c>
      <c r="AS77" s="830" t="str">
        <f>IF($C77&lt;1,"",(AVERAGEIFS('09월 화학성분'!AN$12:AN$949,'09월 화학성분'!$A$12:$A$949,$A77,'09월 화학성분'!$D$12:$D$949,$B77)))</f>
        <v/>
      </c>
      <c r="AT77" s="830" t="str">
        <f>IF($C77&lt;1,"",(AVERAGEIFS('09월 화학성분'!AO$12:AO$949,'09월 화학성분'!$A$12:$A$949,$A77,'09월 화학성분'!$D$12:$D$949,$B77)))</f>
        <v/>
      </c>
      <c r="AU77" s="831" t="str">
        <f>IF($C77&lt;1,"",(AVERAGEIFS('09월 화학성분'!AP$12:AP$949,'09월 화학성분'!$A$12:$A$949,$A77,'09월 화학성분'!$D$12:$D$949,$B77)))</f>
        <v/>
      </c>
      <c r="AV77" s="832" t="str">
        <f>IF($C77&lt;1,"",(AVERAGEIFS('09월 고철장입'!G$14:G$949,'09월 고철장입'!$A$14:$A$949,$A77,'09월 고철장입'!$C$14:$C$949,$B77))/1000)</f>
        <v/>
      </c>
      <c r="AW77" s="832" t="str">
        <f>IF($C77&lt;1,"",(AVERAGEIFS('09월 고철장입'!H$14:H$949,'09월 고철장입'!$A$14:$A$949,$A77,'09월 고철장입'!$C$14:$C$949,$B77))/1000)</f>
        <v/>
      </c>
      <c r="AX77" s="832" t="str">
        <f>IF($C77&lt;1,"",(AVERAGEIFS('09월 고철장입'!I$14:I$949,'09월 고철장입'!$A$14:$A$949,$A77,'09월 고철장입'!$C$14:$C$949,$B77))/1000)</f>
        <v/>
      </c>
      <c r="AY77" s="832" t="str">
        <f>IF($C77&lt;1,"",(AVERAGEIFS('09월 고철장입'!J$14:J$949,'09월 고철장입'!$A$14:$A$949,$A77,'09월 고철장입'!$C$14:$C$949,$B77))/1000)</f>
        <v/>
      </c>
      <c r="AZ77" s="832" t="str">
        <f>IF($C77&lt;1,"",(AVERAGEIFS('09월 고철장입'!K$14:K$949,'09월 고철장입'!$A$14:$A$949,$A77,'09월 고철장입'!$C$14:$C$949,$B77))/1000)</f>
        <v/>
      </c>
      <c r="BA77" s="832" t="str">
        <f>IF($C77&lt;1,"",(AVERAGEIFS('09월 고철장입'!L$14:L$949,'09월 고철장입'!$A$14:$A$949,$A77,'09월 고철장입'!$C$14:$C$949,$B77))/1000)</f>
        <v/>
      </c>
      <c r="BB77" s="832" t="str">
        <f>IF($C77&lt;1,"",(AVERAGEIFS('09월 고철장입'!M$14:M$949,'09월 고철장입'!$A$14:$A$949,$A77,'09월 고철장입'!$C$14:$C$949,$B77))/1000)</f>
        <v/>
      </c>
      <c r="BC77" s="832" t="str">
        <f>IF($C77&lt;1,"",(AVERAGEIFS('09월 고철장입'!N$14:N$949,'09월 고철장입'!$A$14:$A$949,$A77,'09월 고철장입'!$C$14:$C$949,$B77))/1000)</f>
        <v/>
      </c>
      <c r="BD77" s="832" t="str">
        <f>IF($C77&lt;1,"",(AVERAGEIFS('09월 고철장입'!O$14:O$949,'09월 고철장입'!$A$14:$A$949,$A77,'09월 고철장입'!$C$14:$C$949,$B77))/1000)</f>
        <v/>
      </c>
      <c r="BE77" s="833" t="str">
        <f>IF($C77&lt;1,"",(AVERAGEIFS('09월 고철장입'!P$14:P$949,'09월 고철장입'!$A$14:$A$949,$A77,'09월 고철장입'!$C$14:$C$949,$B77))/1000)</f>
        <v/>
      </c>
      <c r="BF77" s="833" t="str">
        <f>IF($C77&lt;1,"",(AVERAGEIFS('09월 고철장입'!Q$14:Q$949,'09월 고철장입'!$A$14:$A$949,$A77,'09월 고철장입'!$C$14:$C$949,$B77))/1000)</f>
        <v/>
      </c>
      <c r="BG77" s="833" t="str">
        <f>IF($C77&lt;1,"",(AVERAGEIFS('09월 고철장입'!S$14:S$949,'09월 고철장입'!$A$14:$A$949,$A77,'09월 고철장입'!$C$14:$C$949,$B77))/1000)</f>
        <v/>
      </c>
      <c r="BH77" s="833" t="str">
        <f>IF($C77&lt;1,"",(AVERAGEIFS('09월 고철장입'!T$14:T$949,'09월 고철장입'!$A$14:$A$949,$A77,'09월 고철장입'!$C$14:$C$949,$B77))/1000)</f>
        <v/>
      </c>
      <c r="BI77" s="833" t="str">
        <f>IF($C77&lt;1,"",(AVERAGEIFS('09월 고철장입'!U$14:U$949,'09월 고철장입'!$A$14:$A$949,$A77,'09월 고철장입'!$C$14:$C$949,$B77))/1000)</f>
        <v/>
      </c>
      <c r="BJ77" s="833" t="str">
        <f>IF($C77&lt;1,"",(AVERAGEIFS('09월 고철장입'!V$14:V$949,'09월 고철장입'!$A$14:$A$949,$A77,'09월 고철장입'!$C$14:$C$949,$B77))/1000)</f>
        <v/>
      </c>
      <c r="BK77" s="833" t="str">
        <f>IF($C77&lt;1,"",(AVERAGEIFS('09월 고철장입'!W$14:W$949,'09월 고철장입'!$A$14:$A$949,$A77,'09월 고철장입'!$C$14:$C$949,$B77))/1000)</f>
        <v/>
      </c>
      <c r="BL77" s="833" t="str">
        <f>IF($C77&lt;1,"",(AVERAGEIFS('09월 고철장입'!Y$14:Y$949,'09월 고철장입'!$A$14:$A$949,$A77,'09월 고철장입'!$C$14:$C$949,$B77))/1000)</f>
        <v/>
      </c>
      <c r="BM77" s="833" t="str">
        <f>IF($C77&lt;1,"",(AVERAGEIFS('09월 고철장입'!AB$14:AB$949,'09월 고철장입'!$A$14:$A$949,$A77,'09월 고철장입'!$C$14:$C$949,$B77))/1000)</f>
        <v/>
      </c>
      <c r="BN77" s="833" t="str">
        <f>IF($C77&lt;1,"",(AVERAGEIFS('09월 고철장입'!AC$14:AC$949,'09월 고철장입'!$A$14:$A$949,$A77,'09월 고철장입'!$C$14:$C$949,$B77))/1000)</f>
        <v/>
      </c>
      <c r="BO77" s="833" t="str">
        <f>IF($C77&lt;1,"",(AVERAGEIFS('09월 고철장입'!AD$14:AD$949,'09월 고철장입'!$A$14:$A$949,$A77,'09월 고철장입'!$C$14:$C$949,$B77))/1000)</f>
        <v/>
      </c>
      <c r="BP77" s="833" t="str">
        <f>IF($C77&lt;1,"",(AVERAGEIFS('09월 고철장입'!AE$14:AE$949,'09월 고철장입'!$A$14:$A$949,$A77,'09월 고철장입'!$C$14:$C$949,$B77))/1000)</f>
        <v/>
      </c>
      <c r="BQ77" s="832" t="str">
        <f>IF($C77&lt;1,"",(AVERAGEIFS('09월 고철장입'!AF$14:AF$949,'09월 고철장입'!$A$14:$A$949,$A77,'09월 고철장입'!$C$14:$C$949,$B77))/1000)</f>
        <v/>
      </c>
      <c r="BR77" s="832" t="str">
        <f>IF($C77&lt;1,"",(AVERAGEIFS('09월 고철장입'!AG$14:AG$949,'09월 고철장입'!$A$14:$A$949,$A77,'09월 고철장입'!$C$14:$C$949,$B77))/1000)</f>
        <v/>
      </c>
      <c r="BS77" s="832" t="str">
        <f>IF($C77&lt;1,"",(AVERAGEIFS('09월 고철장입'!AH$14:AH$949,'09월 고철장입'!$A$14:$A$949,$A77,'09월 고철장입'!$C$14:$C$949,$B77))/1000)</f>
        <v/>
      </c>
      <c r="BT77" s="832" t="str">
        <f>IF($C77&lt;1,"",(AVERAGEIFS('09월 고철장입'!AI$14:AI$949,'09월 고철장입'!$A$14:$A$949,$A77,'09월 고철장입'!$C$14:$C$949,$B77))/1000)</f>
        <v/>
      </c>
      <c r="BU77" s="834" t="str">
        <f>IF($C77&lt;1,"",(AVERAGEIFS('09월 고철장입'!AJ$14:AJ$949,'09월 고철장입'!$A$14:$A$949,$A77,'09월 고철장입'!$C$14:$C$949,$B77))/1000)</f>
        <v/>
      </c>
      <c r="BV77" s="834" t="str">
        <f>IF($C77&lt;1,"",(AVERAGEIFS('09월 고철장입'!AK$14:AK$949,'09월 고철장입'!$A$14:$A$949,$A77,'09월 고철장입'!$C$14:$C$949,$B77)))</f>
        <v/>
      </c>
      <c r="BW77" s="834" t="str">
        <f>IF($C77&lt;1,"",(AVERAGEIFS('09월 고철장입'!AL$14:AL$949,'09월 고철장입'!$A$14:$A$949,$A77,'09월 고철장입'!$C$14:$C$949,$B77))*100)</f>
        <v/>
      </c>
      <c r="BX77" s="831" t="str">
        <f>IF($C77&lt;1,"",(AVERAGEIFS('09월 에너지'!G$14:G$949,'09월 에너지'!$A$14:$A$949,$A77,'09월 에너지'!$C$14:$C$949,$B77)))</f>
        <v/>
      </c>
      <c r="BY77" s="835" t="str">
        <f>IF($C77&lt;1,"",(AVERAGEIFS('09월 에너지'!H$14:H$949,'09월 에너지'!$A$14:$A$949,$A77,'09월 에너지'!$C$14:$C$949,$B77)))</f>
        <v/>
      </c>
      <c r="BZ77" s="831" t="str">
        <f>IF($C77&lt;1,"",(AVERAGEIFS('09월 에너지'!I$14:I$949,'09월 에너지'!$A$14:$A$949,$A77,'09월 에너지'!$C$14:$C$949,$B77)))</f>
        <v/>
      </c>
      <c r="CA77" s="835" t="str">
        <f>IF($C77&lt;1,"",(AVERAGEIFS('09월 에너지'!J$14:J$949,'09월 에너지'!$A$14:$A$949,$A77,'09월 에너지'!$C$14:$C$949,$B77)))</f>
        <v/>
      </c>
      <c r="CB77" s="831" t="str">
        <f>IF($C77&lt;1,"",(AVERAGEIFS('09월 에너지'!K$14:K$949,'09월 에너지'!$A$14:$A$949,$A77,'09월 에너지'!$C$14:$C$949,$B77)))</f>
        <v/>
      </c>
      <c r="CC77" s="835" t="str">
        <f>IF($C77&lt;1,"",(AVERAGEIFS('09월 에너지'!L$14:L$949,'09월 에너지'!$A$14:$A$949,$A77,'09월 에너지'!$C$14:$C$949,$B77)))</f>
        <v/>
      </c>
      <c r="CD77" s="831" t="str">
        <f>IF($C77&lt;1,"",(AVERAGEIFS('09월 에너지'!M$14:M$949,'09월 에너지'!$A$14:$A$949,$A77,'09월 에너지'!$C$14:$C$949,$B77)))</f>
        <v/>
      </c>
      <c r="CE77" s="835" t="str">
        <f>IF($C77&lt;1,"",(AVERAGEIFS('09월 에너지'!N$14:N$949,'09월 에너지'!$A$14:$A$949,$A77,'09월 에너지'!$C$14:$C$949,$B77)))</f>
        <v/>
      </c>
      <c r="CF77" s="831" t="str">
        <f>IF($C77&lt;1,"",(AVERAGEIFS('09월 에너지'!O$14:O$949,'09월 에너지'!$A$14:$A$949,$A77,'09월 에너지'!$C$14:$C$949,$B77)))</f>
        <v/>
      </c>
      <c r="CG77" s="831" t="str">
        <f>IF($C77&lt;1,"",(AVERAGEIFS('09월 에너지'!P$14:P$949,'09월 에너지'!$A$14:$A$949,$A77,'09월 에너지'!$C$14:$C$949,$B77)))</f>
        <v/>
      </c>
      <c r="CH77" s="831" t="str">
        <f>IF($C77&lt;1,"",(AVERAGEIFS('09월 에너지'!Q$14:Q$949,'09월 에너지'!$A$14:$A$949,$A77,'09월 에너지'!$C$14:$C$949,$B77)))</f>
        <v/>
      </c>
      <c r="CI77" s="831" t="str">
        <f>IF($C77&lt;1,"",(AVERAGEIFS('09월 에너지'!R$14:R$949,'09월 에너지'!$A$14:$A$949,$A77,'09월 에너지'!$C$14:$C$949,$B77)))</f>
        <v/>
      </c>
      <c r="CJ77" s="831" t="str">
        <f>IF($C77&lt;1,"",(AVERAGEIFS('09월 에너지'!S$14:S$949,'09월 에너지'!$A$14:$A$949,$A77,'09월 에너지'!$C$14:$C$949,$B77)))</f>
        <v/>
      </c>
      <c r="CK77" s="831" t="str">
        <f>IF($C77&lt;1,"",(AVERAGEIFS('09월 에너지'!T$14:T$949,'09월 에너지'!$A$14:$A$949,$A77,'09월 에너지'!$C$14:$C$949,$B77)))</f>
        <v/>
      </c>
      <c r="CL77" s="831" t="str">
        <f>IF($C77&lt;1,"",(AVERAGEIFS('09월 에너지'!U$14:U$949,'09월 에너지'!$A$14:$A$949,$A77,'09월 에너지'!$C$14:$C$949,$B77)))</f>
        <v/>
      </c>
      <c r="CM77" s="835" t="str">
        <f>IF($C77&lt;1,"",(AVERAGEIFS('09월 에너지'!V$14:V$949,'09월 에너지'!$A$14:$A$949,$A77,'09월 에너지'!$C$14:$C$949,$B77)))</f>
        <v/>
      </c>
      <c r="CN77" s="835" t="str">
        <f>IF($C77&lt;1,"",(AVERAGEIFS('09월 에너지'!W$14:W$949,'09월 에너지'!$A$14:$A$949,$A77,'09월 에너지'!$C$14:$C$949,$B77)))</f>
        <v/>
      </c>
      <c r="CO77" s="831" t="str">
        <f>IF($C77&lt;1,"",(AVERAGEIFS('09월 에너지'!X$14:X$949,'09월 에너지'!$A$14:$A$949,$A77,'09월 에너지'!$C$14:$C$949,$B77)))</f>
        <v/>
      </c>
      <c r="CP77" s="835" t="str">
        <f>IF($C77&lt;1,"",(AVERAGEIFS('09월 에너지'!Y$14:Y$949,'09월 에너지'!$A$14:$A$949,$A77,'09월 에너지'!$C$14:$C$949,$B77)))</f>
        <v/>
      </c>
      <c r="CQ77" s="835" t="str">
        <f>IF($C77&lt;1,"",(AVERAGEIFS('09월 에너지'!Z$14:Z$949,'09월 에너지'!$A$14:$A$949,$A77,'09월 에너지'!$C$14:$C$949,$B77)))</f>
        <v/>
      </c>
      <c r="CR77" s="835" t="str">
        <f>IF($C77&lt;1,"",(AVERAGEIFS('09월 에너지'!AA$14:AA$949,'09월 에너지'!$A$14:$A$949,$A77,'09월 에너지'!$C$14:$C$949,$B77)))</f>
        <v/>
      </c>
      <c r="CS77" s="835" t="str">
        <f>IF($C77&lt;1,"",(AVERAGEIFS('09월 에너지'!AB$14:AB$949,'09월 에너지'!$A$14:$A$949,$A77,'09월 에너지'!$C$14:$C$949,$B77)))</f>
        <v/>
      </c>
      <c r="CT77" s="831" t="str">
        <f>IF($C77&lt;1,"",(AVERAGEIFS('09월 에너지'!AC$14:AC$949,'09월 에너지'!$A$14:$A$949,$A77,'09월 에너지'!$C$14:$C$949,$B77)))</f>
        <v/>
      </c>
      <c r="CU77" s="836" t="str">
        <f>IF($C77&lt;1,"",(AVERAGEIFS('09월 에너지'!AD$14:AD$949,'09월 에너지'!$A$14:$A$949,$A77,'09월 에너지'!$C$14:$C$949,$B77)))</f>
        <v/>
      </c>
      <c r="CV77" s="837" t="str">
        <f>IF($C77&lt;1,"",(AVERAGEIFS('09월 에너지'!AE$14:AE$949,'09월 에너지'!$A$14:$A$949,$A77,'09월 에너지'!$C$14:$C$949,$B77)))</f>
        <v/>
      </c>
      <c r="CW77" s="831" t="str">
        <f>IF($C77&lt;1,"",(AVERAGEIFS('09월 에너지'!AF$14:AF$949,'09월 에너지'!$A$14:$A$949,$A77,'09월 에너지'!$C$14:$C$949,$B77)))</f>
        <v/>
      </c>
      <c r="CX77" s="831" t="str">
        <f>IF($C77&lt;1,"",(AVERAGEIFS('09월 에너지'!AG$14:AG$949,'09월 에너지'!$A$14:$A$949,$A77,'09월 에너지'!$C$14:$C$949,$B77)))</f>
        <v/>
      </c>
      <c r="CY77" s="831" t="str">
        <f>IF($C77&lt;1,"",(AVERAGEIFS('09월 에너지'!AH$14:AH$949,'09월 에너지'!$A$14:$A$949,$A77,'09월 에너지'!$C$14:$C$949,$B77)))</f>
        <v/>
      </c>
      <c r="CZ77" s="831" t="str">
        <f>IF($C77&lt;1,"",(AVERAGEIFS('09월 에너지'!AI$14:AI$949,'09월 에너지'!$A$14:$A$949,$A77,'09월 에너지'!$C$14:$C$949,$B77)))</f>
        <v/>
      </c>
      <c r="DA77" s="838" t="str">
        <f>IF($C77&lt;1,"",(AVERAGEIFS('09월 에너지'!AJ$14:AJ$949,'09월 에너지'!$A$14:$A$949,$A77,'09월 에너지'!$C$14:$C$949,$B77)))</f>
        <v/>
      </c>
    </row>
    <row r="78" spans="1:105" ht="13.5" customHeight="1">
      <c r="A78" s="849">
        <f t="shared" si="16"/>
        <v>44941</v>
      </c>
      <c r="B78" s="850" t="s">
        <v>100</v>
      </c>
      <c r="C78" s="823">
        <f>COUNTIFS('09월 조업일지'!$A$12:$A$952,A76,'09월 조업일지'!$E$12:$E$952,B78)</f>
        <v>0</v>
      </c>
      <c r="D78" s="824" t="str">
        <f t="shared" ref="D78:D80" si="17">IF(C78&lt;1,"",F78-E78)</f>
        <v/>
      </c>
      <c r="E78" s="824" t="str">
        <f>IF($C78&lt;1,"",(SUMIFS('09월 조업일지'!$K$12:$K$952,'09월 조업일지'!$A$12:$A$952,$A78,'09월 조업일지'!$E$12:$E$952,$B78)/$C78))</f>
        <v/>
      </c>
      <c r="F78" s="824" t="str">
        <f>IF($C78&lt;1,"",(AVERAGEIFS('09월 조업일지'!$J$12:$J$952,'09월 조업일지'!$A$12:$A$952,$A78,'09월 조업일지'!$E$12:$E$952,$B78)))</f>
        <v/>
      </c>
      <c r="G78" s="825" t="str">
        <f>IF($C78&lt;1,"",(AVERAGEIFS('09월 에너지'!$M$14:$M$949,'09월 에너지'!$A$14:$A$949,$A78,'09월 에너지'!$C$14:$C$949,$B78)))</f>
        <v/>
      </c>
      <c r="H78" s="826" t="str">
        <f>IF($C78&lt;1,"",(AVERAGEIFS('09월 조업일지'!$AJ$12:$AJ$952,'09월 조업일지'!$A$12:$A$952,$A78,'09월 조업일지'!$E$12:$E$952,$B78)))</f>
        <v/>
      </c>
      <c r="I78" s="826" t="str">
        <f>IF($C78&lt;1,"",(AVERAGEIFS('09월 조업일지'!$AL$12:$AL$952,'09월 조업일지'!$A$12:$A$952,$A78,'09월 조업일지'!$E$12:$E$952,$B78)))</f>
        <v/>
      </c>
      <c r="J78" s="827" t="str">
        <f>IF($C78&lt;1,"",(AVERAGEIFS('09월 화학성분'!G$12:G$949,'09월 화학성분'!$A$12:$A$949,$A78,'09월 화학성분'!$D$12:$D$949,$B78)))</f>
        <v/>
      </c>
      <c r="K78" s="827" t="str">
        <f>IF($C78&lt;1,"",(AVERAGEIFS('09월 화학성분'!H$12:H$949,'09월 화학성분'!$A$12:$A$949,$A78,'09월 화학성분'!$D$12:$D$949,$B78)))</f>
        <v/>
      </c>
      <c r="L78" s="827" t="str">
        <f>IF($C78&lt;1,"",(AVERAGEIFS('09월 화학성분'!I$12:I$949,'09월 화학성분'!$A$12:$A$949,$A78,'09월 화학성분'!$D$12:$D$949,$B78)))</f>
        <v/>
      </c>
      <c r="M78" s="827" t="str">
        <f>IF($C78&lt;1,"",(AVERAGEIFS('09월 화학성분'!J$12:J$949,'09월 화학성분'!$A$12:$A$949,$A78,'09월 화학성분'!$D$12:$D$949,$B78)))</f>
        <v/>
      </c>
      <c r="N78" s="827" t="str">
        <f>IF($C78&lt;1,"",(AVERAGEIFS('09월 화학성분'!K$12:K$949,'09월 화학성분'!$A$12:$A$949,$A78,'09월 화학성분'!$D$12:$D$949,$B78)))</f>
        <v/>
      </c>
      <c r="O78" s="827" t="str">
        <f>IF($C78&lt;1,"",(AVERAGEIFS('09월 화학성분'!L$12:L$949,'09월 화학성분'!$A$12:$A$949,$A78,'09월 화학성분'!$D$12:$D$949,$B78)))</f>
        <v/>
      </c>
      <c r="P78" s="827" t="str">
        <f>IF($C78&lt;1,"",(AVERAGEIFS('09월 화학성분'!M$12:M$949,'09월 화학성분'!$A$12:$A$949,$A78,'09월 화학성분'!$D$12:$D$949,$B78)))</f>
        <v/>
      </c>
      <c r="Q78" s="827" t="str">
        <f>IFERROR(IF($C78&lt;1,"",(AVERAGEIFS('09월 조업일지'!$AA$12:$AA$952,'09월 조업일지'!$A$12:$A$952,$A78,'09월 조업일지'!$E$12:$E$952,$B78))),"")</f>
        <v/>
      </c>
      <c r="R78" s="827" t="str">
        <f>IF($C78&lt;1,"",(AVERAGEIFS('09월 조업일지'!$AK$12:$AK$952,'09월 조업일지'!$A$12:$A$952,$A78,'09월 조업일지'!$E$12:$E$952,$B78)))</f>
        <v/>
      </c>
      <c r="S78" s="827"/>
      <c r="T78" s="827"/>
      <c r="U78" s="827" t="str">
        <f>IF($C78&lt;1,"",(AVERAGEIFS('09월 화학성분'!$G$12:$G$949,'09월 화학성분'!$A$12:$A$949,$A78,'09월 화학성분'!$D$12:$D$949,$B78)))</f>
        <v/>
      </c>
      <c r="V78" s="827" t="str">
        <f>IF($C78&lt;1,"",(AVERAGEIFS('09월 조업일지'!$AI$12:$AI$952,'09월 조업일지'!$A$12:$A$952,$A78,'09월 조업일지'!$E$12:$E$952,$B78)))</f>
        <v/>
      </c>
      <c r="W78" s="828" t="str">
        <f>IF($C78&lt;1,"",(AVERAGEIFS('09월 화학성분'!$AM$12:$AM$949,'09월 화학성분'!$A$12:$A$949,$A78,'09월 화학성분'!$D$12:$D$949,$B78)))</f>
        <v/>
      </c>
      <c r="X78" s="829" t="str">
        <f>IF($C78&lt;1,"",(AVERAGEIFS('09월 화학성분'!N$12:N$949,'09월 화학성분'!$A$12:$A$949,$A78,'09월 화학성분'!$D$12:$D$949,$B78)))</f>
        <v/>
      </c>
      <c r="Y78" s="829" t="str">
        <f>IF($C78&lt;1,"",(AVERAGEIFS('09월 화학성분'!O$12:O$949,'09월 화학성분'!$A$12:$A$949,$A78,'09월 화학성분'!$D$12:$D$949,$B78)))</f>
        <v/>
      </c>
      <c r="Z78" s="829" t="str">
        <f>IF($C78&lt;1,"",(AVERAGEIFS('09월 화학성분'!P$12:P$949,'09월 화학성분'!$A$12:$A$949,$A78,'09월 화학성분'!$D$12:$D$949,$B78)))</f>
        <v/>
      </c>
      <c r="AA78" s="829" t="str">
        <f>IF($C78&lt;1,"",(AVERAGEIFS('09월 화학성분'!Q$12:Q$949,'09월 화학성분'!$A$12:$A$949,$A78,'09월 화학성분'!$D$12:$D$949,$B78)))</f>
        <v/>
      </c>
      <c r="AB78" s="829" t="str">
        <f>IF($C78&lt;1,"",(AVERAGEIFS('09월 화학성분'!R$12:R$949,'09월 화학성분'!$A$12:$A$949,$A78,'09월 화학성분'!$D$12:$D$949,$B78)))</f>
        <v/>
      </c>
      <c r="AC78" s="829" t="str">
        <f>IF($C78&lt;1,"",(AVERAGEIFS('09월 화학성분'!U$12:U$949,'09월 화학성분'!$A$12:$A$949,$A78,'09월 화학성분'!$D$12:$D$949,$B78)))</f>
        <v/>
      </c>
      <c r="AD78" s="829" t="str">
        <f>IF($C78&lt;1,"",(AVERAGEIFS('09월 화학성분'!V$12:V$949,'09월 화학성분'!$A$12:$A$949,$A78,'09월 화학성분'!$D$12:$D$949,$B78)))</f>
        <v/>
      </c>
      <c r="AE78" s="829" t="str">
        <f>IF($C78&lt;1,"",(AVERAGEIFS('09월 화학성분'!W$12:W$949,'09월 화학성분'!$A$12:$A$949,$A78,'09월 화학성분'!$D$12:$D$949,$B78)))</f>
        <v/>
      </c>
      <c r="AF78" s="829" t="str">
        <f>IF($C78&lt;1,"",(AVERAGEIFS('09월 화학성분'!AA$12:AA$949,'09월 화학성분'!$A$12:$A$949,$A78,'09월 화학성분'!$D$12:$D$949,$B78)))</f>
        <v/>
      </c>
      <c r="AG78" s="829" t="str">
        <f>IF($C78&lt;1,"",(AVERAGEIFS('09월 화학성분'!#REF!,'09월 화학성분'!$A$12:$A$949,$A78,'09월 화학성분'!$D$12:$D$949,$B78)))</f>
        <v/>
      </c>
      <c r="AH78" s="829" t="str">
        <f>IF($C78&lt;1,"",(AVERAGEIFS('09월 화학성분'!AB$12:AB$949,'09월 화학성분'!$A$12:$A$949,$A78,'09월 화학성분'!$D$12:$D$949,$B78)))</f>
        <v/>
      </c>
      <c r="AI78" s="829" t="str">
        <f>IF($C78&lt;1,"",(AVERAGEIFS('09월 화학성분'!AC$12:AC$949,'09월 화학성분'!$A$12:$A$949,$A78,'09월 화학성분'!$D$12:$D$949,$B78)))</f>
        <v/>
      </c>
      <c r="AJ78" s="829" t="str">
        <f>IF($C78&lt;1,"",(AVERAGEIFS('09월 화학성분'!AD$12:AD$949,'09월 화학성분'!$A$12:$A$949,$A78,'09월 화학성분'!$D$12:$D$949,$B78)))</f>
        <v/>
      </c>
      <c r="AK78" s="829" t="str">
        <f>IF($C78&lt;1,"",(AVERAGEIFS('09월 화학성분'!AF$12:AF$949,'09월 화학성분'!$A$12:$A$949,$A78,'09월 화학성분'!$D$12:$D$949,$B78)))</f>
        <v/>
      </c>
      <c r="AL78" s="829" t="str">
        <f>IF($C78&lt;1,"",(AVERAGEIFS('09월 화학성분'!AG$12:AG$949,'09월 화학성분'!$A$12:$A$949,$A78,'09월 화학성분'!$D$12:$D$949,$B78)))</f>
        <v/>
      </c>
      <c r="AM78" s="829" t="str">
        <f>IF($C78&lt;1,"",(AVERAGEIFS('09월 화학성분'!AH$12:AH$949,'09월 화학성분'!$A$12:$A$949,$A78,'09월 화학성분'!$D$12:$D$949,$B78)))</f>
        <v/>
      </c>
      <c r="AN78" s="829" t="str">
        <f>IF($C78&lt;1,"",(AVERAGEIFS('09월 화학성분'!AI$12:AI$949,'09월 화학성분'!$A$12:$A$949,$A78,'09월 화학성분'!$D$12:$D$949,$B78)))</f>
        <v/>
      </c>
      <c r="AO78" s="829" t="str">
        <f>IF($C78&lt;1,"",(AVERAGEIFS('09월 화학성분'!AJ$12:AJ$949,'09월 화학성분'!$A$12:$A$949,$A78,'09월 화학성분'!$D$12:$D$949,$B78)))</f>
        <v/>
      </c>
      <c r="AP78" s="829" t="str">
        <f>IF($C78&lt;1,"",(AVERAGEIFS('09월 화학성분'!#REF!,'09월 화학성분'!$A$12:$A$949,$A78,'09월 화학성분'!$D$12:$D$949,$B78)))</f>
        <v/>
      </c>
      <c r="AQ78" s="829" t="str">
        <f>IF($C78&lt;1,"",(AVERAGEIFS('09월 화학성분'!AL$12:AL$949,'09월 화학성분'!$A$12:$A$949,$A78,'09월 화학성분'!$D$12:$D$949,$B78)))</f>
        <v/>
      </c>
      <c r="AR78" s="829" t="str">
        <f>IF($C78&lt;1,"",(AVERAGEIFS('09월 화학성분'!AM$12:AM$949,'09월 화학성분'!$A$12:$A$949,$A78,'09월 화학성분'!$D$12:$D$949,$B78)))</f>
        <v/>
      </c>
      <c r="AS78" s="830" t="str">
        <f>IF($C78&lt;1,"",(AVERAGEIFS('09월 화학성분'!AN$12:AN$949,'09월 화학성분'!$A$12:$A$949,$A78,'09월 화학성분'!$D$12:$D$949,$B78)))</f>
        <v/>
      </c>
      <c r="AT78" s="830" t="str">
        <f>IF($C78&lt;1,"",(AVERAGEIFS('09월 화학성분'!AO$12:AO$949,'09월 화학성분'!$A$12:$A$949,$A78,'09월 화학성분'!$D$12:$D$949,$B78)))</f>
        <v/>
      </c>
      <c r="AU78" s="831" t="str">
        <f>IF($C78&lt;1,"",(AVERAGEIFS('09월 화학성분'!AP$12:AP$949,'09월 화학성분'!$A$12:$A$949,$A78,'09월 화학성분'!$D$12:$D$949,$B78)))</f>
        <v/>
      </c>
      <c r="AV78" s="832" t="str">
        <f>IF($C78&lt;1,"",(AVERAGEIFS('09월 고철장입'!G$14:G$949,'09월 고철장입'!$A$14:$A$949,$A78,'09월 고철장입'!$C$14:$C$949,$B78))/1000)</f>
        <v/>
      </c>
      <c r="AW78" s="832" t="str">
        <f>IF($C78&lt;1,"",(AVERAGEIFS('09월 고철장입'!H$14:H$949,'09월 고철장입'!$A$14:$A$949,$A78,'09월 고철장입'!$C$14:$C$949,$B78))/1000)</f>
        <v/>
      </c>
      <c r="AX78" s="832" t="str">
        <f>IF($C78&lt;1,"",(AVERAGEIFS('09월 고철장입'!I$14:I$949,'09월 고철장입'!$A$14:$A$949,$A78,'09월 고철장입'!$C$14:$C$949,$B78))/1000)</f>
        <v/>
      </c>
      <c r="AY78" s="832" t="str">
        <f>IF($C78&lt;1,"",(AVERAGEIFS('09월 고철장입'!J$14:J$949,'09월 고철장입'!$A$14:$A$949,$A78,'09월 고철장입'!$C$14:$C$949,$B78))/1000)</f>
        <v/>
      </c>
      <c r="AZ78" s="832" t="str">
        <f>IF($C78&lt;1,"",(AVERAGEIFS('09월 고철장입'!K$14:K$949,'09월 고철장입'!$A$14:$A$949,$A78,'09월 고철장입'!$C$14:$C$949,$B78))/1000)</f>
        <v/>
      </c>
      <c r="BA78" s="832" t="str">
        <f>IF($C78&lt;1,"",(AVERAGEIFS('09월 고철장입'!L$14:L$949,'09월 고철장입'!$A$14:$A$949,$A78,'09월 고철장입'!$C$14:$C$949,$B78))/1000)</f>
        <v/>
      </c>
      <c r="BB78" s="832" t="str">
        <f>IF($C78&lt;1,"",(AVERAGEIFS('09월 고철장입'!M$14:M$949,'09월 고철장입'!$A$14:$A$949,$A78,'09월 고철장입'!$C$14:$C$949,$B78))/1000)</f>
        <v/>
      </c>
      <c r="BC78" s="832" t="str">
        <f>IF($C78&lt;1,"",(AVERAGEIFS('09월 고철장입'!N$14:N$949,'09월 고철장입'!$A$14:$A$949,$A78,'09월 고철장입'!$C$14:$C$949,$B78))/1000)</f>
        <v/>
      </c>
      <c r="BD78" s="832" t="str">
        <f>IF($C78&lt;1,"",(AVERAGEIFS('09월 고철장입'!O$14:O$949,'09월 고철장입'!$A$14:$A$949,$A78,'09월 고철장입'!$C$14:$C$949,$B78))/1000)</f>
        <v/>
      </c>
      <c r="BE78" s="833" t="str">
        <f>IF($C78&lt;1,"",(AVERAGEIFS('09월 고철장입'!P$14:P$949,'09월 고철장입'!$A$14:$A$949,$A78,'09월 고철장입'!$C$14:$C$949,$B78))/1000)</f>
        <v/>
      </c>
      <c r="BF78" s="833" t="str">
        <f>IF($C78&lt;1,"",(AVERAGEIFS('09월 고철장입'!Q$14:Q$949,'09월 고철장입'!$A$14:$A$949,$A78,'09월 고철장입'!$C$14:$C$949,$B78))/1000)</f>
        <v/>
      </c>
      <c r="BG78" s="833" t="str">
        <f>IF($C78&lt;1,"",(AVERAGEIFS('09월 고철장입'!S$14:S$949,'09월 고철장입'!$A$14:$A$949,$A78,'09월 고철장입'!$C$14:$C$949,$B78))/1000)</f>
        <v/>
      </c>
      <c r="BH78" s="833" t="str">
        <f>IF($C78&lt;1,"",(AVERAGEIFS('09월 고철장입'!T$14:T$949,'09월 고철장입'!$A$14:$A$949,$A78,'09월 고철장입'!$C$14:$C$949,$B78))/1000)</f>
        <v/>
      </c>
      <c r="BI78" s="833" t="str">
        <f>IF($C78&lt;1,"",(AVERAGEIFS('09월 고철장입'!U$14:U$949,'09월 고철장입'!$A$14:$A$949,$A78,'09월 고철장입'!$C$14:$C$949,$B78))/1000)</f>
        <v/>
      </c>
      <c r="BJ78" s="833" t="str">
        <f>IF($C78&lt;1,"",(AVERAGEIFS('09월 고철장입'!V$14:V$949,'09월 고철장입'!$A$14:$A$949,$A78,'09월 고철장입'!$C$14:$C$949,$B78))/1000)</f>
        <v/>
      </c>
      <c r="BK78" s="833" t="str">
        <f>IF($C78&lt;1,"",(AVERAGEIFS('09월 고철장입'!W$14:W$949,'09월 고철장입'!$A$14:$A$949,$A78,'09월 고철장입'!$C$14:$C$949,$B78))/1000)</f>
        <v/>
      </c>
      <c r="BL78" s="833" t="str">
        <f>IF($C78&lt;1,"",(AVERAGEIFS('09월 고철장입'!Y$14:Y$949,'09월 고철장입'!$A$14:$A$949,$A78,'09월 고철장입'!$C$14:$C$949,$B78))/1000)</f>
        <v/>
      </c>
      <c r="BM78" s="833" t="str">
        <f>IF($C78&lt;1,"",(AVERAGEIFS('09월 고철장입'!AB$14:AB$949,'09월 고철장입'!$A$14:$A$949,$A78,'09월 고철장입'!$C$14:$C$949,$B78))/1000)</f>
        <v/>
      </c>
      <c r="BN78" s="833" t="str">
        <f>IF($C78&lt;1,"",(AVERAGEIFS('09월 고철장입'!AC$14:AC$949,'09월 고철장입'!$A$14:$A$949,$A78,'09월 고철장입'!$C$14:$C$949,$B78))/1000)</f>
        <v/>
      </c>
      <c r="BO78" s="833" t="str">
        <f>IF($C78&lt;1,"",(AVERAGEIFS('09월 고철장입'!AD$14:AD$949,'09월 고철장입'!$A$14:$A$949,$A78,'09월 고철장입'!$C$14:$C$949,$B78))/1000)</f>
        <v/>
      </c>
      <c r="BP78" s="833" t="str">
        <f>IF($C78&lt;1,"",(AVERAGEIFS('09월 고철장입'!AE$14:AE$949,'09월 고철장입'!$A$14:$A$949,$A78,'09월 고철장입'!$C$14:$C$949,$B78))/1000)</f>
        <v/>
      </c>
      <c r="BQ78" s="832" t="str">
        <f>IF($C78&lt;1,"",(AVERAGEIFS('09월 고철장입'!AF$14:AF$949,'09월 고철장입'!$A$14:$A$949,$A78,'09월 고철장입'!$C$14:$C$949,$B78))/1000)</f>
        <v/>
      </c>
      <c r="BR78" s="832" t="str">
        <f>IF($C78&lt;1,"",(AVERAGEIFS('09월 고철장입'!AG$14:AG$949,'09월 고철장입'!$A$14:$A$949,$A78,'09월 고철장입'!$C$14:$C$949,$B78))/1000)</f>
        <v/>
      </c>
      <c r="BS78" s="832" t="str">
        <f>IF($C78&lt;1,"",(AVERAGEIFS('09월 고철장입'!AH$14:AH$949,'09월 고철장입'!$A$14:$A$949,$A78,'09월 고철장입'!$C$14:$C$949,$B78))/1000)</f>
        <v/>
      </c>
      <c r="BT78" s="832" t="str">
        <f>IF($C78&lt;1,"",(AVERAGEIFS('09월 고철장입'!AI$14:AI$949,'09월 고철장입'!$A$14:$A$949,$A78,'09월 고철장입'!$C$14:$C$949,$B78))/1000)</f>
        <v/>
      </c>
      <c r="BU78" s="834" t="str">
        <f>IF($C78&lt;1,"",(AVERAGEIFS('09월 고철장입'!AJ$14:AJ$949,'09월 고철장입'!$A$14:$A$949,$A78,'09월 고철장입'!$C$14:$C$949,$B78))/1000)</f>
        <v/>
      </c>
      <c r="BV78" s="834" t="str">
        <f>IF($C78&lt;1,"",(AVERAGEIFS('09월 고철장입'!AK$14:AK$949,'09월 고철장입'!$A$14:$A$949,$A78,'09월 고철장입'!$C$14:$C$949,$B78)))</f>
        <v/>
      </c>
      <c r="BW78" s="834" t="str">
        <f>IF($C78&lt;1,"",(AVERAGEIFS('09월 고철장입'!AL$14:AL$949,'09월 고철장입'!$A$14:$A$949,$A78,'09월 고철장입'!$C$14:$C$949,$B78))*100)</f>
        <v/>
      </c>
      <c r="BX78" s="831" t="str">
        <f>IF($C78&lt;1,"",(AVERAGEIFS('09월 에너지'!G$14:G$949,'09월 에너지'!$A$14:$A$949,$A78,'09월 에너지'!$C$14:$C$949,$B78)))</f>
        <v/>
      </c>
      <c r="BY78" s="835" t="str">
        <f>IF($C78&lt;1,"",(AVERAGEIFS('09월 에너지'!H$14:H$949,'09월 에너지'!$A$14:$A$949,$A78,'09월 에너지'!$C$14:$C$949,$B78)))</f>
        <v/>
      </c>
      <c r="BZ78" s="831" t="str">
        <f>IF($C78&lt;1,"",(AVERAGEIFS('09월 에너지'!I$14:I$949,'09월 에너지'!$A$14:$A$949,$A78,'09월 에너지'!$C$14:$C$949,$B78)))</f>
        <v/>
      </c>
      <c r="CA78" s="835" t="str">
        <f>IF($C78&lt;1,"",(AVERAGEIFS('09월 에너지'!J$14:J$949,'09월 에너지'!$A$14:$A$949,$A78,'09월 에너지'!$C$14:$C$949,$B78)))</f>
        <v/>
      </c>
      <c r="CB78" s="831" t="str">
        <f>IF($C78&lt;1,"",(AVERAGEIFS('09월 에너지'!K$14:K$949,'09월 에너지'!$A$14:$A$949,$A78,'09월 에너지'!$C$14:$C$949,$B78)))</f>
        <v/>
      </c>
      <c r="CC78" s="835" t="str">
        <f>IF($C78&lt;1,"",(AVERAGEIFS('09월 에너지'!L$14:L$949,'09월 에너지'!$A$14:$A$949,$A78,'09월 에너지'!$C$14:$C$949,$B78)))</f>
        <v/>
      </c>
      <c r="CD78" s="831" t="str">
        <f>IF($C78&lt;1,"",(AVERAGEIFS('09월 에너지'!M$14:M$949,'09월 에너지'!$A$14:$A$949,$A78,'09월 에너지'!$C$14:$C$949,$B78)))</f>
        <v/>
      </c>
      <c r="CE78" s="835" t="str">
        <f>IF($C78&lt;1,"",(AVERAGEIFS('09월 에너지'!N$14:N$949,'09월 에너지'!$A$14:$A$949,$A78,'09월 에너지'!$C$14:$C$949,$B78)))</f>
        <v/>
      </c>
      <c r="CF78" s="831" t="str">
        <f>IF($C78&lt;1,"",(AVERAGEIFS('09월 에너지'!O$14:O$949,'09월 에너지'!$A$14:$A$949,$A78,'09월 에너지'!$C$14:$C$949,$B78)))</f>
        <v/>
      </c>
      <c r="CG78" s="831" t="str">
        <f>IF($C78&lt;1,"",(AVERAGEIFS('09월 에너지'!P$14:P$949,'09월 에너지'!$A$14:$A$949,$A78,'09월 에너지'!$C$14:$C$949,$B78)))</f>
        <v/>
      </c>
      <c r="CH78" s="831" t="str">
        <f>IF($C78&lt;1,"",(AVERAGEIFS('09월 에너지'!Q$14:Q$949,'09월 에너지'!$A$14:$A$949,$A78,'09월 에너지'!$C$14:$C$949,$B78)))</f>
        <v/>
      </c>
      <c r="CI78" s="831" t="str">
        <f>IF($C78&lt;1,"",(AVERAGEIFS('09월 에너지'!R$14:R$949,'09월 에너지'!$A$14:$A$949,$A78,'09월 에너지'!$C$14:$C$949,$B78)))</f>
        <v/>
      </c>
      <c r="CJ78" s="831" t="str">
        <f>IF($C78&lt;1,"",(AVERAGEIFS('09월 에너지'!S$14:S$949,'09월 에너지'!$A$14:$A$949,$A78,'09월 에너지'!$C$14:$C$949,$B78)))</f>
        <v/>
      </c>
      <c r="CK78" s="831" t="str">
        <f>IF($C78&lt;1,"",(AVERAGEIFS('09월 에너지'!T$14:T$949,'09월 에너지'!$A$14:$A$949,$A78,'09월 에너지'!$C$14:$C$949,$B78)))</f>
        <v/>
      </c>
      <c r="CL78" s="831" t="str">
        <f>IF($C78&lt;1,"",(AVERAGEIFS('09월 에너지'!U$14:U$949,'09월 에너지'!$A$14:$A$949,$A78,'09월 에너지'!$C$14:$C$949,$B78)))</f>
        <v/>
      </c>
      <c r="CM78" s="835" t="str">
        <f>IF($C78&lt;1,"",(AVERAGEIFS('09월 에너지'!V$14:V$949,'09월 에너지'!$A$14:$A$949,$A78,'09월 에너지'!$C$14:$C$949,$B78)))</f>
        <v/>
      </c>
      <c r="CN78" s="835" t="str">
        <f>IF($C78&lt;1,"",(AVERAGEIFS('09월 에너지'!W$14:W$949,'09월 에너지'!$A$14:$A$949,$A78,'09월 에너지'!$C$14:$C$949,$B78)))</f>
        <v/>
      </c>
      <c r="CO78" s="831" t="str">
        <f>IF($C78&lt;1,"",(AVERAGEIFS('09월 에너지'!X$14:X$949,'09월 에너지'!$A$14:$A$949,$A78,'09월 에너지'!$C$14:$C$949,$B78)))</f>
        <v/>
      </c>
      <c r="CP78" s="835" t="str">
        <f>IF($C78&lt;1,"",(AVERAGEIFS('09월 에너지'!Y$14:Y$949,'09월 에너지'!$A$14:$A$949,$A78,'09월 에너지'!$C$14:$C$949,$B78)))</f>
        <v/>
      </c>
      <c r="CQ78" s="835" t="str">
        <f>IF($C78&lt;1,"",(AVERAGEIFS('09월 에너지'!Z$14:Z$949,'09월 에너지'!$A$14:$A$949,$A78,'09월 에너지'!$C$14:$C$949,$B78)))</f>
        <v/>
      </c>
      <c r="CR78" s="835" t="str">
        <f>IF($C78&lt;1,"",(AVERAGEIFS('09월 에너지'!AA$14:AA$949,'09월 에너지'!$A$14:$A$949,$A78,'09월 에너지'!$C$14:$C$949,$B78)))</f>
        <v/>
      </c>
      <c r="CS78" s="835" t="str">
        <f>IF($C78&lt;1,"",(AVERAGEIFS('09월 에너지'!AB$14:AB$949,'09월 에너지'!$A$14:$A$949,$A78,'09월 에너지'!$C$14:$C$949,$B78)))</f>
        <v/>
      </c>
      <c r="CT78" s="831" t="str">
        <f>IF($C78&lt;1,"",(AVERAGEIFS('09월 에너지'!AC$14:AC$949,'09월 에너지'!$A$14:$A$949,$A78,'09월 에너지'!$C$14:$C$949,$B78)))</f>
        <v/>
      </c>
      <c r="CU78" s="836" t="str">
        <f>IF($C78&lt;1,"",(AVERAGEIFS('09월 에너지'!AD$14:AD$949,'09월 에너지'!$A$14:$A$949,$A78,'09월 에너지'!$C$14:$C$949,$B78)))</f>
        <v/>
      </c>
      <c r="CV78" s="837" t="str">
        <f>IF($C78&lt;1,"",(AVERAGEIFS('09월 에너지'!AE$14:AE$949,'09월 에너지'!$A$14:$A$949,$A78,'09월 에너지'!$C$14:$C$949,$B78)))</f>
        <v/>
      </c>
      <c r="CW78" s="831" t="str">
        <f>IF($C78&lt;1,"",(AVERAGEIFS('09월 에너지'!AF$14:AF$949,'09월 에너지'!$A$14:$A$949,$A78,'09월 에너지'!$C$14:$C$949,$B78)))</f>
        <v/>
      </c>
      <c r="CX78" s="831" t="str">
        <f>IF($C78&lt;1,"",(AVERAGEIFS('09월 에너지'!AG$14:AG$949,'09월 에너지'!$A$14:$A$949,$A78,'09월 에너지'!$C$14:$C$949,$B78)))</f>
        <v/>
      </c>
      <c r="CY78" s="831" t="str">
        <f>IF($C78&lt;1,"",(AVERAGEIFS('09월 에너지'!AH$14:AH$949,'09월 에너지'!$A$14:$A$949,$A78,'09월 에너지'!$C$14:$C$949,$B78)))</f>
        <v/>
      </c>
      <c r="CZ78" s="831" t="str">
        <f>IF($C78&lt;1,"",(AVERAGEIFS('09월 에너지'!AI$14:AI$949,'09월 에너지'!$A$14:$A$949,$A78,'09월 에너지'!$C$14:$C$949,$B78)))</f>
        <v/>
      </c>
      <c r="DA78" s="838" t="str">
        <f>IF($C78&lt;1,"",(AVERAGEIFS('09월 에너지'!AJ$14:AJ$949,'09월 에너지'!$A$14:$A$949,$A78,'09월 에너지'!$C$14:$C$949,$B78)))</f>
        <v/>
      </c>
    </row>
    <row r="79" spans="1:105" ht="13.5" customHeight="1">
      <c r="A79" s="849">
        <f t="shared" si="16"/>
        <v>44941</v>
      </c>
      <c r="B79" s="850" t="s">
        <v>10</v>
      </c>
      <c r="C79" s="823">
        <f>COUNTIFS('09월 조업일지'!$A$12:$A$952,A76,'09월 조업일지'!$E$12:$E$952,B79)</f>
        <v>0</v>
      </c>
      <c r="D79" s="824" t="str">
        <f t="shared" si="17"/>
        <v/>
      </c>
      <c r="E79" s="824" t="str">
        <f>IF($C79&lt;1,"",(SUMIFS('09월 조업일지'!$K$12:$K$952,'09월 조업일지'!$A$12:$A$952,$A79,'09월 조업일지'!$E$12:$E$952,$B79)/$C79))</f>
        <v/>
      </c>
      <c r="F79" s="824" t="str">
        <f>IF($C79&lt;1,"",(AVERAGEIFS('09월 조업일지'!$J$12:$J$952,'09월 조업일지'!$A$12:$A$952,$A79,'09월 조업일지'!$E$12:$E$952,$B79)))</f>
        <v/>
      </c>
      <c r="G79" s="825" t="str">
        <f>IF($C79&lt;1,"",(AVERAGEIFS('09월 에너지'!$M$14:$M$949,'09월 에너지'!$A$14:$A$949,$A79,'09월 에너지'!$C$14:$C$949,$B79)))</f>
        <v/>
      </c>
      <c r="H79" s="826" t="str">
        <f>IF($C79&lt;1,"",(AVERAGEIFS('09월 조업일지'!$AJ$12:$AJ$952,'09월 조업일지'!$A$12:$A$952,$A79,'09월 조업일지'!$E$12:$E$952,$B79)))</f>
        <v/>
      </c>
      <c r="I79" s="826" t="str">
        <f>IF($C79&lt;1,"",(AVERAGEIFS('09월 조업일지'!$AL$12:$AL$952,'09월 조업일지'!$A$12:$A$952,$A79,'09월 조업일지'!$E$12:$E$952,$B79)))</f>
        <v/>
      </c>
      <c r="J79" s="827" t="str">
        <f>IF($C79&lt;1,"",(AVERAGEIFS('09월 화학성분'!G$12:G$949,'09월 화학성분'!$A$12:$A$949,$A79,'09월 화학성분'!$D$12:$D$949,$B79)))</f>
        <v/>
      </c>
      <c r="K79" s="827" t="str">
        <f>IF($C79&lt;1,"",(AVERAGEIFS('09월 화학성분'!H$12:H$949,'09월 화학성분'!$A$12:$A$949,$A79,'09월 화학성분'!$D$12:$D$949,$B79)))</f>
        <v/>
      </c>
      <c r="L79" s="827" t="str">
        <f>IF($C79&lt;1,"",(AVERAGEIFS('09월 화학성분'!I$12:I$949,'09월 화학성분'!$A$12:$A$949,$A79,'09월 화학성분'!$D$12:$D$949,$B79)))</f>
        <v/>
      </c>
      <c r="M79" s="827" t="str">
        <f>IF($C79&lt;1,"",(AVERAGEIFS('09월 화학성분'!J$12:J$949,'09월 화학성분'!$A$12:$A$949,$A79,'09월 화학성분'!$D$12:$D$949,$B79)))</f>
        <v/>
      </c>
      <c r="N79" s="827" t="str">
        <f>IF($C79&lt;1,"",(AVERAGEIFS('09월 화학성분'!K$12:K$949,'09월 화학성분'!$A$12:$A$949,$A79,'09월 화학성분'!$D$12:$D$949,$B79)))</f>
        <v/>
      </c>
      <c r="O79" s="827" t="str">
        <f>IF($C79&lt;1,"",(AVERAGEIFS('09월 화학성분'!L$12:L$949,'09월 화학성분'!$A$12:$A$949,$A79,'09월 화학성분'!$D$12:$D$949,$B79)))</f>
        <v/>
      </c>
      <c r="P79" s="827" t="str">
        <f>IF($C79&lt;1,"",(AVERAGEIFS('09월 화학성분'!M$12:M$949,'09월 화학성분'!$A$12:$A$949,$A79,'09월 화학성분'!$D$12:$D$949,$B79)))</f>
        <v/>
      </c>
      <c r="Q79" s="827" t="str">
        <f>IFERROR(IF($C79&lt;1,"",(AVERAGEIFS('09월 조업일지'!$AA$12:$AA$952,'09월 조업일지'!$A$12:$A$952,$A79,'09월 조업일지'!$E$12:$E$952,$B79))),"")</f>
        <v/>
      </c>
      <c r="R79" s="827" t="str">
        <f>IF($C79&lt;1,"",(AVERAGEIFS('09월 조업일지'!$AK$12:$AK$952,'09월 조업일지'!$A$12:$A$952,$A79,'09월 조업일지'!$E$12:$E$952,$B79)))</f>
        <v/>
      </c>
      <c r="S79" s="827"/>
      <c r="T79" s="827"/>
      <c r="U79" s="827" t="str">
        <f>IF($C79&lt;1,"",(AVERAGEIFS('09월 화학성분'!$G$12:$G$949,'09월 화학성분'!$A$12:$A$949,$A79,'09월 화학성분'!$D$12:$D$949,$B79)))</f>
        <v/>
      </c>
      <c r="V79" s="827" t="str">
        <f>IF($C79&lt;1,"",(AVERAGEIFS('09월 조업일지'!$AI$12:$AI$952,'09월 조업일지'!$A$12:$A$952,$A79,'09월 조업일지'!$E$12:$E$952,$B79)))</f>
        <v/>
      </c>
      <c r="W79" s="828" t="str">
        <f>IF($C79&lt;1,"",(AVERAGEIFS('09월 화학성분'!$AM$12:$AM$949,'09월 화학성분'!$A$12:$A$949,$A79,'09월 화학성분'!$D$12:$D$949,$B79)))</f>
        <v/>
      </c>
      <c r="X79" s="829" t="str">
        <f>IF($C79&lt;1,"",(AVERAGEIFS('09월 화학성분'!N$12:N$949,'09월 화학성분'!$A$12:$A$949,$A79,'09월 화학성분'!$D$12:$D$949,$B79)))</f>
        <v/>
      </c>
      <c r="Y79" s="829" t="str">
        <f>IF($C79&lt;1,"",(AVERAGEIFS('09월 화학성분'!O$12:O$949,'09월 화학성분'!$A$12:$A$949,$A79,'09월 화학성분'!$D$12:$D$949,$B79)))</f>
        <v/>
      </c>
      <c r="Z79" s="829" t="str">
        <f>IF($C79&lt;1,"",(AVERAGEIFS('09월 화학성분'!P$12:P$949,'09월 화학성분'!$A$12:$A$949,$A79,'09월 화학성분'!$D$12:$D$949,$B79)))</f>
        <v/>
      </c>
      <c r="AA79" s="829" t="str">
        <f>IF($C79&lt;1,"",(AVERAGEIFS('09월 화학성분'!Q$12:Q$949,'09월 화학성분'!$A$12:$A$949,$A79,'09월 화학성분'!$D$12:$D$949,$B79)))</f>
        <v/>
      </c>
      <c r="AB79" s="829" t="str">
        <f>IF($C79&lt;1,"",(AVERAGEIFS('09월 화학성분'!R$12:R$949,'09월 화학성분'!$A$12:$A$949,$A79,'09월 화학성분'!$D$12:$D$949,$B79)))</f>
        <v/>
      </c>
      <c r="AC79" s="829" t="str">
        <f>IF($C79&lt;1,"",(AVERAGEIFS('09월 화학성분'!U$12:U$949,'09월 화학성분'!$A$12:$A$949,$A79,'09월 화학성분'!$D$12:$D$949,$B79)))</f>
        <v/>
      </c>
      <c r="AD79" s="829" t="str">
        <f>IF($C79&lt;1,"",(AVERAGEIFS('09월 화학성분'!V$12:V$949,'09월 화학성분'!$A$12:$A$949,$A79,'09월 화학성분'!$D$12:$D$949,$B79)))</f>
        <v/>
      </c>
      <c r="AE79" s="829" t="str">
        <f>IF($C79&lt;1,"",(AVERAGEIFS('09월 화학성분'!W$12:W$949,'09월 화학성분'!$A$12:$A$949,$A79,'09월 화학성분'!$D$12:$D$949,$B79)))</f>
        <v/>
      </c>
      <c r="AF79" s="829" t="str">
        <f>IF($C79&lt;1,"",(AVERAGEIFS('09월 화학성분'!AA$12:AA$949,'09월 화학성분'!$A$12:$A$949,$A79,'09월 화학성분'!$D$12:$D$949,$B79)))</f>
        <v/>
      </c>
      <c r="AG79" s="829" t="str">
        <f>IF($C79&lt;1,"",(AVERAGEIFS('09월 화학성분'!#REF!,'09월 화학성분'!$A$12:$A$949,$A79,'09월 화학성분'!$D$12:$D$949,$B79)))</f>
        <v/>
      </c>
      <c r="AH79" s="829" t="str">
        <f>IF($C79&lt;1,"",(AVERAGEIFS('09월 화학성분'!AB$12:AB$949,'09월 화학성분'!$A$12:$A$949,$A79,'09월 화학성분'!$D$12:$D$949,$B79)))</f>
        <v/>
      </c>
      <c r="AI79" s="829" t="str">
        <f>IF($C79&lt;1,"",(AVERAGEIFS('09월 화학성분'!AC$12:AC$949,'09월 화학성분'!$A$12:$A$949,$A79,'09월 화학성분'!$D$12:$D$949,$B79)))</f>
        <v/>
      </c>
      <c r="AJ79" s="829" t="str">
        <f>IF($C79&lt;1,"",(AVERAGEIFS('09월 화학성분'!AD$12:AD$949,'09월 화학성분'!$A$12:$A$949,$A79,'09월 화학성분'!$D$12:$D$949,$B79)))</f>
        <v/>
      </c>
      <c r="AK79" s="829" t="str">
        <f>IF($C79&lt;1,"",(AVERAGEIFS('09월 화학성분'!AF$12:AF$949,'09월 화학성분'!$A$12:$A$949,$A79,'09월 화학성분'!$D$12:$D$949,$B79)))</f>
        <v/>
      </c>
      <c r="AL79" s="829" t="str">
        <f>IF($C79&lt;1,"",(AVERAGEIFS('09월 화학성분'!AG$12:AG$949,'09월 화학성분'!$A$12:$A$949,$A79,'09월 화학성분'!$D$12:$D$949,$B79)))</f>
        <v/>
      </c>
      <c r="AM79" s="829" t="str">
        <f>IF($C79&lt;1,"",(AVERAGEIFS('09월 화학성분'!AH$12:AH$949,'09월 화학성분'!$A$12:$A$949,$A79,'09월 화학성분'!$D$12:$D$949,$B79)))</f>
        <v/>
      </c>
      <c r="AN79" s="829" t="str">
        <f>IF($C79&lt;1,"",(AVERAGEIFS('09월 화학성분'!AI$12:AI$949,'09월 화학성분'!$A$12:$A$949,$A79,'09월 화학성분'!$D$12:$D$949,$B79)))</f>
        <v/>
      </c>
      <c r="AO79" s="829" t="str">
        <f>IF($C79&lt;1,"",(AVERAGEIFS('09월 화학성분'!AJ$12:AJ$949,'09월 화학성분'!$A$12:$A$949,$A79,'09월 화학성분'!$D$12:$D$949,$B79)))</f>
        <v/>
      </c>
      <c r="AP79" s="829" t="str">
        <f>IF($C79&lt;1,"",(AVERAGEIFS('09월 화학성분'!#REF!,'09월 화학성분'!$A$12:$A$949,$A79,'09월 화학성분'!$D$12:$D$949,$B79)))</f>
        <v/>
      </c>
      <c r="AQ79" s="829" t="str">
        <f>IF($C79&lt;1,"",(AVERAGEIFS('09월 화학성분'!AL$12:AL$949,'09월 화학성분'!$A$12:$A$949,$A79,'09월 화학성분'!$D$12:$D$949,$B79)))</f>
        <v/>
      </c>
      <c r="AR79" s="829" t="str">
        <f>IF($C79&lt;1,"",(AVERAGEIFS('09월 화학성분'!AM$12:AM$949,'09월 화학성분'!$A$12:$A$949,$A79,'09월 화학성분'!$D$12:$D$949,$B79)))</f>
        <v/>
      </c>
      <c r="AS79" s="830" t="str">
        <f>IF($C79&lt;1,"",(AVERAGEIFS('09월 화학성분'!AN$12:AN$949,'09월 화학성분'!$A$12:$A$949,$A79,'09월 화학성분'!$D$12:$D$949,$B79)))</f>
        <v/>
      </c>
      <c r="AT79" s="830" t="str">
        <f>IF($C79&lt;1,"",(AVERAGEIFS('09월 화학성분'!AO$12:AO$949,'09월 화학성분'!$A$12:$A$949,$A79,'09월 화학성분'!$D$12:$D$949,$B79)))</f>
        <v/>
      </c>
      <c r="AU79" s="831" t="str">
        <f>IF($C79&lt;1,"",(AVERAGEIFS('09월 화학성분'!AP$12:AP$949,'09월 화학성분'!$A$12:$A$949,$A79,'09월 화학성분'!$D$12:$D$949,$B79)))</f>
        <v/>
      </c>
      <c r="AV79" s="832" t="str">
        <f>IF($C79&lt;1,"",(AVERAGEIFS('09월 고철장입'!G$14:G$949,'09월 고철장입'!$A$14:$A$949,$A79,'09월 고철장입'!$C$14:$C$949,$B79))/1000)</f>
        <v/>
      </c>
      <c r="AW79" s="832" t="str">
        <f>IF($C79&lt;1,"",(AVERAGEIFS('09월 고철장입'!H$14:H$949,'09월 고철장입'!$A$14:$A$949,$A79,'09월 고철장입'!$C$14:$C$949,$B79))/1000)</f>
        <v/>
      </c>
      <c r="AX79" s="832" t="str">
        <f>IF($C79&lt;1,"",(AVERAGEIFS('09월 고철장입'!I$14:I$949,'09월 고철장입'!$A$14:$A$949,$A79,'09월 고철장입'!$C$14:$C$949,$B79))/1000)</f>
        <v/>
      </c>
      <c r="AY79" s="832" t="str">
        <f>IF($C79&lt;1,"",(AVERAGEIFS('09월 고철장입'!J$14:J$949,'09월 고철장입'!$A$14:$A$949,$A79,'09월 고철장입'!$C$14:$C$949,$B79))/1000)</f>
        <v/>
      </c>
      <c r="AZ79" s="832" t="str">
        <f>IF($C79&lt;1,"",(AVERAGEIFS('09월 고철장입'!K$14:K$949,'09월 고철장입'!$A$14:$A$949,$A79,'09월 고철장입'!$C$14:$C$949,$B79))/1000)</f>
        <v/>
      </c>
      <c r="BA79" s="832" t="str">
        <f>IF($C79&lt;1,"",(AVERAGEIFS('09월 고철장입'!L$14:L$949,'09월 고철장입'!$A$14:$A$949,$A79,'09월 고철장입'!$C$14:$C$949,$B79))/1000)</f>
        <v/>
      </c>
      <c r="BB79" s="832" t="str">
        <f>IF($C79&lt;1,"",(AVERAGEIFS('09월 고철장입'!M$14:M$949,'09월 고철장입'!$A$14:$A$949,$A79,'09월 고철장입'!$C$14:$C$949,$B79))/1000)</f>
        <v/>
      </c>
      <c r="BC79" s="832" t="str">
        <f>IF($C79&lt;1,"",(AVERAGEIFS('09월 고철장입'!N$14:N$949,'09월 고철장입'!$A$14:$A$949,$A79,'09월 고철장입'!$C$14:$C$949,$B79))/1000)</f>
        <v/>
      </c>
      <c r="BD79" s="832" t="str">
        <f>IF($C79&lt;1,"",(AVERAGEIFS('09월 고철장입'!O$14:O$949,'09월 고철장입'!$A$14:$A$949,$A79,'09월 고철장입'!$C$14:$C$949,$B79))/1000)</f>
        <v/>
      </c>
      <c r="BE79" s="833" t="str">
        <f>IF($C79&lt;1,"",(AVERAGEIFS('09월 고철장입'!P$14:P$949,'09월 고철장입'!$A$14:$A$949,$A79,'09월 고철장입'!$C$14:$C$949,$B79))/1000)</f>
        <v/>
      </c>
      <c r="BF79" s="833" t="str">
        <f>IF($C79&lt;1,"",(AVERAGEIFS('09월 고철장입'!Q$14:Q$949,'09월 고철장입'!$A$14:$A$949,$A79,'09월 고철장입'!$C$14:$C$949,$B79))/1000)</f>
        <v/>
      </c>
      <c r="BG79" s="833" t="str">
        <f>IF($C79&lt;1,"",(AVERAGEIFS('09월 고철장입'!S$14:S$949,'09월 고철장입'!$A$14:$A$949,$A79,'09월 고철장입'!$C$14:$C$949,$B79))/1000)</f>
        <v/>
      </c>
      <c r="BH79" s="833" t="str">
        <f>IF($C79&lt;1,"",(AVERAGEIFS('09월 고철장입'!T$14:T$949,'09월 고철장입'!$A$14:$A$949,$A79,'09월 고철장입'!$C$14:$C$949,$B79))/1000)</f>
        <v/>
      </c>
      <c r="BI79" s="833" t="str">
        <f>IF($C79&lt;1,"",(AVERAGEIFS('09월 고철장입'!U$14:U$949,'09월 고철장입'!$A$14:$A$949,$A79,'09월 고철장입'!$C$14:$C$949,$B79))/1000)</f>
        <v/>
      </c>
      <c r="BJ79" s="833" t="str">
        <f>IF($C79&lt;1,"",(AVERAGEIFS('09월 고철장입'!V$14:V$949,'09월 고철장입'!$A$14:$A$949,$A79,'09월 고철장입'!$C$14:$C$949,$B79))/1000)</f>
        <v/>
      </c>
      <c r="BK79" s="833" t="str">
        <f>IF($C79&lt;1,"",(AVERAGEIFS('09월 고철장입'!W$14:W$949,'09월 고철장입'!$A$14:$A$949,$A79,'09월 고철장입'!$C$14:$C$949,$B79))/1000)</f>
        <v/>
      </c>
      <c r="BL79" s="833" t="str">
        <f>IF($C79&lt;1,"",(AVERAGEIFS('09월 고철장입'!Y$14:Y$949,'09월 고철장입'!$A$14:$A$949,$A79,'09월 고철장입'!$C$14:$C$949,$B79))/1000)</f>
        <v/>
      </c>
      <c r="BM79" s="833" t="str">
        <f>IF($C79&lt;1,"",(AVERAGEIFS('09월 고철장입'!AB$14:AB$949,'09월 고철장입'!$A$14:$A$949,$A79,'09월 고철장입'!$C$14:$C$949,$B79))/1000)</f>
        <v/>
      </c>
      <c r="BN79" s="833" t="str">
        <f>IF($C79&lt;1,"",(AVERAGEIFS('09월 고철장입'!AC$14:AC$949,'09월 고철장입'!$A$14:$A$949,$A79,'09월 고철장입'!$C$14:$C$949,$B79))/1000)</f>
        <v/>
      </c>
      <c r="BO79" s="833" t="str">
        <f>IF($C79&lt;1,"",(AVERAGEIFS('09월 고철장입'!AD$14:AD$949,'09월 고철장입'!$A$14:$A$949,$A79,'09월 고철장입'!$C$14:$C$949,$B79))/1000)</f>
        <v/>
      </c>
      <c r="BP79" s="833" t="str">
        <f>IF($C79&lt;1,"",(AVERAGEIFS('09월 고철장입'!AE$14:AE$949,'09월 고철장입'!$A$14:$A$949,$A79,'09월 고철장입'!$C$14:$C$949,$B79))/1000)</f>
        <v/>
      </c>
      <c r="BQ79" s="832" t="str">
        <f>IF($C79&lt;1,"",(AVERAGEIFS('09월 고철장입'!AF$14:AF$949,'09월 고철장입'!$A$14:$A$949,$A79,'09월 고철장입'!$C$14:$C$949,$B79))/1000)</f>
        <v/>
      </c>
      <c r="BR79" s="832" t="str">
        <f>IF($C79&lt;1,"",(AVERAGEIFS('09월 고철장입'!AG$14:AG$949,'09월 고철장입'!$A$14:$A$949,$A79,'09월 고철장입'!$C$14:$C$949,$B79))/1000)</f>
        <v/>
      </c>
      <c r="BS79" s="832" t="str">
        <f>IF($C79&lt;1,"",(AVERAGEIFS('09월 고철장입'!AH$14:AH$949,'09월 고철장입'!$A$14:$A$949,$A79,'09월 고철장입'!$C$14:$C$949,$B79))/1000)</f>
        <v/>
      </c>
      <c r="BT79" s="832" t="str">
        <f>IF($C79&lt;1,"",(AVERAGEIFS('09월 고철장입'!AI$14:AI$949,'09월 고철장입'!$A$14:$A$949,$A79,'09월 고철장입'!$C$14:$C$949,$B79))/1000)</f>
        <v/>
      </c>
      <c r="BU79" s="834" t="str">
        <f>IF($C79&lt;1,"",(AVERAGEIFS('09월 고철장입'!AJ$14:AJ$949,'09월 고철장입'!$A$14:$A$949,$A79,'09월 고철장입'!$C$14:$C$949,$B79))/1000)</f>
        <v/>
      </c>
      <c r="BV79" s="834" t="str">
        <f>IF($C79&lt;1,"",(AVERAGEIFS('09월 고철장입'!AK$14:AK$949,'09월 고철장입'!$A$14:$A$949,$A79,'09월 고철장입'!$C$14:$C$949,$B79)))</f>
        <v/>
      </c>
      <c r="BW79" s="834" t="str">
        <f>IF($C79&lt;1,"",(AVERAGEIFS('09월 고철장입'!AL$14:AL$949,'09월 고철장입'!$A$14:$A$949,$A79,'09월 고철장입'!$C$14:$C$949,$B79))*100)</f>
        <v/>
      </c>
      <c r="BX79" s="831" t="str">
        <f>IF($C79&lt;1,"",(AVERAGEIFS('09월 에너지'!G$14:G$949,'09월 에너지'!$A$14:$A$949,$A79,'09월 에너지'!$C$14:$C$949,$B79)))</f>
        <v/>
      </c>
      <c r="BY79" s="835" t="str">
        <f>IF($C79&lt;1,"",(AVERAGEIFS('09월 에너지'!H$14:H$949,'09월 에너지'!$A$14:$A$949,$A79,'09월 에너지'!$C$14:$C$949,$B79)))</f>
        <v/>
      </c>
      <c r="BZ79" s="831" t="str">
        <f>IF($C79&lt;1,"",(AVERAGEIFS('09월 에너지'!I$14:I$949,'09월 에너지'!$A$14:$A$949,$A79,'09월 에너지'!$C$14:$C$949,$B79)))</f>
        <v/>
      </c>
      <c r="CA79" s="835" t="str">
        <f>IF($C79&lt;1,"",(AVERAGEIFS('09월 에너지'!J$14:J$949,'09월 에너지'!$A$14:$A$949,$A79,'09월 에너지'!$C$14:$C$949,$B79)))</f>
        <v/>
      </c>
      <c r="CB79" s="831" t="str">
        <f>IF($C79&lt;1,"",(AVERAGEIFS('09월 에너지'!K$14:K$949,'09월 에너지'!$A$14:$A$949,$A79,'09월 에너지'!$C$14:$C$949,$B79)))</f>
        <v/>
      </c>
      <c r="CC79" s="835" t="str">
        <f>IF($C79&lt;1,"",(AVERAGEIFS('09월 에너지'!L$14:L$949,'09월 에너지'!$A$14:$A$949,$A79,'09월 에너지'!$C$14:$C$949,$B79)))</f>
        <v/>
      </c>
      <c r="CD79" s="831" t="str">
        <f>IF($C79&lt;1,"",(AVERAGEIFS('09월 에너지'!M$14:M$949,'09월 에너지'!$A$14:$A$949,$A79,'09월 에너지'!$C$14:$C$949,$B79)))</f>
        <v/>
      </c>
      <c r="CE79" s="835" t="str">
        <f>IF($C79&lt;1,"",(AVERAGEIFS('09월 에너지'!N$14:N$949,'09월 에너지'!$A$14:$A$949,$A79,'09월 에너지'!$C$14:$C$949,$B79)))</f>
        <v/>
      </c>
      <c r="CF79" s="831" t="str">
        <f>IF($C79&lt;1,"",(AVERAGEIFS('09월 에너지'!O$14:O$949,'09월 에너지'!$A$14:$A$949,$A79,'09월 에너지'!$C$14:$C$949,$B79)))</f>
        <v/>
      </c>
      <c r="CG79" s="831" t="str">
        <f>IF($C79&lt;1,"",(AVERAGEIFS('09월 에너지'!P$14:P$949,'09월 에너지'!$A$14:$A$949,$A79,'09월 에너지'!$C$14:$C$949,$B79)))</f>
        <v/>
      </c>
      <c r="CH79" s="831" t="str">
        <f>IF($C79&lt;1,"",(AVERAGEIFS('09월 에너지'!Q$14:Q$949,'09월 에너지'!$A$14:$A$949,$A79,'09월 에너지'!$C$14:$C$949,$B79)))</f>
        <v/>
      </c>
      <c r="CI79" s="831" t="str">
        <f>IF($C79&lt;1,"",(AVERAGEIFS('09월 에너지'!R$14:R$949,'09월 에너지'!$A$14:$A$949,$A79,'09월 에너지'!$C$14:$C$949,$B79)))</f>
        <v/>
      </c>
      <c r="CJ79" s="831" t="str">
        <f>IF($C79&lt;1,"",(AVERAGEIFS('09월 에너지'!S$14:S$949,'09월 에너지'!$A$14:$A$949,$A79,'09월 에너지'!$C$14:$C$949,$B79)))</f>
        <v/>
      </c>
      <c r="CK79" s="831" t="str">
        <f>IF($C79&lt;1,"",(AVERAGEIFS('09월 에너지'!T$14:T$949,'09월 에너지'!$A$14:$A$949,$A79,'09월 에너지'!$C$14:$C$949,$B79)))</f>
        <v/>
      </c>
      <c r="CL79" s="831" t="str">
        <f>IF($C79&lt;1,"",(AVERAGEIFS('09월 에너지'!U$14:U$949,'09월 에너지'!$A$14:$A$949,$A79,'09월 에너지'!$C$14:$C$949,$B79)))</f>
        <v/>
      </c>
      <c r="CM79" s="835" t="str">
        <f>IF($C79&lt;1,"",(AVERAGEIFS('09월 에너지'!V$14:V$949,'09월 에너지'!$A$14:$A$949,$A79,'09월 에너지'!$C$14:$C$949,$B79)))</f>
        <v/>
      </c>
      <c r="CN79" s="835" t="str">
        <f>IF($C79&lt;1,"",(AVERAGEIFS('09월 에너지'!W$14:W$949,'09월 에너지'!$A$14:$A$949,$A79,'09월 에너지'!$C$14:$C$949,$B79)))</f>
        <v/>
      </c>
      <c r="CO79" s="831" t="str">
        <f>IF($C79&lt;1,"",(AVERAGEIFS('09월 에너지'!X$14:X$949,'09월 에너지'!$A$14:$A$949,$A79,'09월 에너지'!$C$14:$C$949,$B79)))</f>
        <v/>
      </c>
      <c r="CP79" s="835" t="str">
        <f>IF($C79&lt;1,"",(AVERAGEIFS('09월 에너지'!Y$14:Y$949,'09월 에너지'!$A$14:$A$949,$A79,'09월 에너지'!$C$14:$C$949,$B79)))</f>
        <v/>
      </c>
      <c r="CQ79" s="835" t="str">
        <f>IF($C79&lt;1,"",(AVERAGEIFS('09월 에너지'!Z$14:Z$949,'09월 에너지'!$A$14:$A$949,$A79,'09월 에너지'!$C$14:$C$949,$B79)))</f>
        <v/>
      </c>
      <c r="CR79" s="835" t="str">
        <f>IF($C79&lt;1,"",(AVERAGEIFS('09월 에너지'!AA$14:AA$949,'09월 에너지'!$A$14:$A$949,$A79,'09월 에너지'!$C$14:$C$949,$B79)))</f>
        <v/>
      </c>
      <c r="CS79" s="835" t="str">
        <f>IF($C79&lt;1,"",(AVERAGEIFS('09월 에너지'!AB$14:AB$949,'09월 에너지'!$A$14:$A$949,$A79,'09월 에너지'!$C$14:$C$949,$B79)))</f>
        <v/>
      </c>
      <c r="CT79" s="831" t="str">
        <f>IF($C79&lt;1,"",(AVERAGEIFS('09월 에너지'!AC$14:AC$949,'09월 에너지'!$A$14:$A$949,$A79,'09월 에너지'!$C$14:$C$949,$B79)))</f>
        <v/>
      </c>
      <c r="CU79" s="836" t="str">
        <f>IF($C79&lt;1,"",(AVERAGEIFS('09월 에너지'!AD$14:AD$949,'09월 에너지'!$A$14:$A$949,$A79,'09월 에너지'!$C$14:$C$949,$B79)))</f>
        <v/>
      </c>
      <c r="CV79" s="837" t="str">
        <f>IF($C79&lt;1,"",(AVERAGEIFS('09월 에너지'!AE$14:AE$949,'09월 에너지'!$A$14:$A$949,$A79,'09월 에너지'!$C$14:$C$949,$B79)))</f>
        <v/>
      </c>
      <c r="CW79" s="831" t="str">
        <f>IF($C79&lt;1,"",(AVERAGEIFS('09월 에너지'!AF$14:AF$949,'09월 에너지'!$A$14:$A$949,$A79,'09월 에너지'!$C$14:$C$949,$B79)))</f>
        <v/>
      </c>
      <c r="CX79" s="831" t="str">
        <f>IF($C79&lt;1,"",(AVERAGEIFS('09월 에너지'!AG$14:AG$949,'09월 에너지'!$A$14:$A$949,$A79,'09월 에너지'!$C$14:$C$949,$B79)))</f>
        <v/>
      </c>
      <c r="CY79" s="831" t="str">
        <f>IF($C79&lt;1,"",(AVERAGEIFS('09월 에너지'!AH$14:AH$949,'09월 에너지'!$A$14:$A$949,$A79,'09월 에너지'!$C$14:$C$949,$B79)))</f>
        <v/>
      </c>
      <c r="CZ79" s="831" t="str">
        <f>IF($C79&lt;1,"",(AVERAGEIFS('09월 에너지'!AI$14:AI$949,'09월 에너지'!$A$14:$A$949,$A79,'09월 에너지'!$C$14:$C$949,$B79)))</f>
        <v/>
      </c>
      <c r="DA79" s="838" t="str">
        <f>IF($C79&lt;1,"",(AVERAGEIFS('09월 에너지'!AJ$14:AJ$949,'09월 에너지'!$A$14:$A$949,$A79,'09월 에너지'!$C$14:$C$949,$B79)))</f>
        <v/>
      </c>
    </row>
    <row r="80" spans="1:105" ht="13.5" customHeight="1" thickBot="1">
      <c r="A80" s="851">
        <f t="shared" si="16"/>
        <v>44941</v>
      </c>
      <c r="B80" s="852" t="s">
        <v>94</v>
      </c>
      <c r="C80" s="841">
        <f>COUNTIFS('09월 조업일지'!$A$12:$A$952,A76,'09월 조업일지'!$E$12:$E$952,B80)</f>
        <v>0</v>
      </c>
      <c r="D80" s="842" t="str">
        <f t="shared" si="17"/>
        <v/>
      </c>
      <c r="E80" s="842" t="str">
        <f>IF($C80&lt;1,"",(SUMIFS('09월 조업일지'!$K$12:$K$952,'09월 조업일지'!$A$12:$A$952,$A80,'09월 조업일지'!$E$12:$E$952,$B80)/$C80))</f>
        <v/>
      </c>
      <c r="F80" s="842" t="str">
        <f>IF($C80&lt;1,"",(AVERAGEIFS('09월 조업일지'!$J$12:$J$952,'09월 조업일지'!$A$12:$A$952,$A80,'09월 조업일지'!$E$12:$E$952,$B80)))</f>
        <v/>
      </c>
      <c r="G80" s="843" t="str">
        <f>IF($C80&lt;1,"",(AVERAGEIFS('09월 에너지'!$M$14:$M$949,'09월 에너지'!$A$14:$A$949,$A80,'09월 에너지'!$C$14:$C$949,$B80)))</f>
        <v/>
      </c>
      <c r="H80" s="844" t="str">
        <f>IF($C80&lt;1,"",(AVERAGEIFS('09월 조업일지'!$AJ$12:$AJ$952,'09월 조업일지'!$A$12:$A$952,$A80,'09월 조업일지'!$E$12:$E$952,$B80)))</f>
        <v/>
      </c>
      <c r="I80" s="844" t="str">
        <f>IF($C80&lt;1,"",(AVERAGEIFS('09월 조업일지'!$AL$12:$AL$952,'09월 조업일지'!$A$12:$A$952,$A80,'09월 조업일지'!$E$12:$E$952,$B80)))</f>
        <v/>
      </c>
      <c r="J80" s="845" t="str">
        <f>IF($C80&lt;1,"",(AVERAGEIFS('09월 화학성분'!G$12:G$949,'09월 화학성분'!$A$12:$A$949,$A80,'09월 화학성분'!$D$12:$D$949,$B80)))</f>
        <v/>
      </c>
      <c r="K80" s="845" t="str">
        <f>IF($C80&lt;1,"",(AVERAGEIFS('09월 화학성분'!H$12:H$949,'09월 화학성분'!$A$12:$A$949,$A80,'09월 화학성분'!$D$12:$D$949,$B80)))</f>
        <v/>
      </c>
      <c r="L80" s="845" t="str">
        <f>IF($C80&lt;1,"",(AVERAGEIFS('09월 화학성분'!I$12:I$949,'09월 화학성분'!$A$12:$A$949,$A80,'09월 화학성분'!$D$12:$D$949,$B80)))</f>
        <v/>
      </c>
      <c r="M80" s="845" t="str">
        <f>IF($C80&lt;1,"",(AVERAGEIFS('09월 화학성분'!J$12:J$949,'09월 화학성분'!$A$12:$A$949,$A80,'09월 화학성분'!$D$12:$D$949,$B80)))</f>
        <v/>
      </c>
      <c r="N80" s="845" t="str">
        <f>IF($C80&lt;1,"",(AVERAGEIFS('09월 화학성분'!K$12:K$949,'09월 화학성분'!$A$12:$A$949,$A80,'09월 화학성분'!$D$12:$D$949,$B80)))</f>
        <v/>
      </c>
      <c r="O80" s="845" t="str">
        <f>IF($C80&lt;1,"",(AVERAGEIFS('09월 화학성분'!L$12:L$949,'09월 화학성분'!$A$12:$A$949,$A80,'09월 화학성분'!$D$12:$D$949,$B80)))</f>
        <v/>
      </c>
      <c r="P80" s="845" t="str">
        <f>IF($C80&lt;1,"",(AVERAGEIFS('09월 화학성분'!M$12:M$949,'09월 화학성분'!$A$12:$A$949,$A80,'09월 화학성분'!$D$12:$D$949,$B80)))</f>
        <v/>
      </c>
      <c r="Q80" s="827" t="str">
        <f>IFERROR(IF($C80&lt;1,"",(AVERAGEIFS('09월 조업일지'!$AA$12:$AA$952,'09월 조업일지'!$A$12:$A$952,$A80,'09월 조업일지'!$E$12:$E$952,$B80))),"")</f>
        <v/>
      </c>
      <c r="R80" s="845" t="str">
        <f>IF($C80&lt;1,"",(AVERAGEIFS('09월 조업일지'!$AK$12:$AK$952,'09월 조업일지'!$A$12:$A$952,$A80,'09월 조업일지'!$E$12:$E$952,$B80)))</f>
        <v/>
      </c>
      <c r="S80" s="845"/>
      <c r="T80" s="845"/>
      <c r="U80" s="845" t="str">
        <f>IF($C80&lt;1,"",(AVERAGEIFS('09월 화학성분'!$G$12:$G$949,'09월 화학성분'!$A$12:$A$949,$A80,'09월 화학성분'!$D$12:$D$949,$B80)))</f>
        <v/>
      </c>
      <c r="V80" s="845" t="str">
        <f>IF($C80&lt;1,"",(AVERAGEIFS('09월 조업일지'!$AI$12:$AI$952,'09월 조업일지'!$A$12:$A$952,$A80,'09월 조업일지'!$E$12:$E$952,$B80)))</f>
        <v/>
      </c>
      <c r="W80" s="846" t="str">
        <f>IF($C80&lt;1,"",(AVERAGEIFS('09월 화학성분'!$AM$12:$AM$949,'09월 화학성분'!$A$12:$A$949,$A80,'09월 화학성분'!$D$12:$D$949,$B80)))</f>
        <v/>
      </c>
      <c r="X80" s="829" t="str">
        <f>IF($C80&lt;1,"",(AVERAGEIFS('09월 화학성분'!N$12:N$949,'09월 화학성분'!$A$12:$A$949,$A80,'09월 화학성분'!$D$12:$D$949,$B80)))</f>
        <v/>
      </c>
      <c r="Y80" s="829" t="str">
        <f>IF($C80&lt;1,"",(AVERAGEIFS('09월 화학성분'!O$12:O$949,'09월 화학성분'!$A$12:$A$949,$A80,'09월 화학성분'!$D$12:$D$949,$B80)))</f>
        <v/>
      </c>
      <c r="Z80" s="829" t="str">
        <f>IF($C80&lt;1,"",(AVERAGEIFS('09월 화학성분'!P$12:P$949,'09월 화학성분'!$A$12:$A$949,$A80,'09월 화학성분'!$D$12:$D$949,$B80)))</f>
        <v/>
      </c>
      <c r="AA80" s="829" t="str">
        <f>IF($C80&lt;1,"",(AVERAGEIFS('09월 화학성분'!Q$12:Q$949,'09월 화학성분'!$A$12:$A$949,$A80,'09월 화학성분'!$D$12:$D$949,$B80)))</f>
        <v/>
      </c>
      <c r="AB80" s="829" t="str">
        <f>IF($C80&lt;1,"",(AVERAGEIFS('09월 화학성분'!R$12:R$949,'09월 화학성분'!$A$12:$A$949,$A80,'09월 화학성분'!$D$12:$D$949,$B80)))</f>
        <v/>
      </c>
      <c r="AC80" s="829" t="str">
        <f>IF($C80&lt;1,"",(AVERAGEIFS('09월 화학성분'!U$12:U$949,'09월 화학성분'!$A$12:$A$949,$A80,'09월 화학성분'!$D$12:$D$949,$B80)))</f>
        <v/>
      </c>
      <c r="AD80" s="829" t="str">
        <f>IF($C80&lt;1,"",(AVERAGEIFS('09월 화학성분'!V$12:V$949,'09월 화학성분'!$A$12:$A$949,$A80,'09월 화학성분'!$D$12:$D$949,$B80)))</f>
        <v/>
      </c>
      <c r="AE80" s="829" t="str">
        <f>IF($C80&lt;1,"",(AVERAGEIFS('09월 화학성분'!W$12:W$949,'09월 화학성분'!$A$12:$A$949,$A80,'09월 화학성분'!$D$12:$D$949,$B80)))</f>
        <v/>
      </c>
      <c r="AF80" s="829" t="str">
        <f>IF($C80&lt;1,"",(AVERAGEIFS('09월 화학성분'!AA$12:AA$949,'09월 화학성분'!$A$12:$A$949,$A80,'09월 화학성분'!$D$12:$D$949,$B80)))</f>
        <v/>
      </c>
      <c r="AG80" s="829" t="str">
        <f>IF($C80&lt;1,"",(AVERAGEIFS('09월 화학성분'!#REF!,'09월 화학성분'!$A$12:$A$949,$A80,'09월 화학성분'!$D$12:$D$949,$B80)))</f>
        <v/>
      </c>
      <c r="AH80" s="829" t="str">
        <f>IF($C80&lt;1,"",(AVERAGEIFS('09월 화학성분'!AB$12:AB$949,'09월 화학성분'!$A$12:$A$949,$A80,'09월 화학성분'!$D$12:$D$949,$B80)))</f>
        <v/>
      </c>
      <c r="AI80" s="829" t="str">
        <f>IF($C80&lt;1,"",(AVERAGEIFS('09월 화학성분'!AC$12:AC$949,'09월 화학성분'!$A$12:$A$949,$A80,'09월 화학성분'!$D$12:$D$949,$B80)))</f>
        <v/>
      </c>
      <c r="AJ80" s="829" t="str">
        <f>IF($C80&lt;1,"",(AVERAGEIFS('09월 화학성분'!AD$12:AD$949,'09월 화학성분'!$A$12:$A$949,$A80,'09월 화학성분'!$D$12:$D$949,$B80)))</f>
        <v/>
      </c>
      <c r="AK80" s="829" t="str">
        <f>IF($C80&lt;1,"",(AVERAGEIFS('09월 화학성분'!AF$12:AF$949,'09월 화학성분'!$A$12:$A$949,$A80,'09월 화학성분'!$D$12:$D$949,$B80)))</f>
        <v/>
      </c>
      <c r="AL80" s="829" t="str">
        <f>IF($C80&lt;1,"",(AVERAGEIFS('09월 화학성분'!AG$12:AG$949,'09월 화학성분'!$A$12:$A$949,$A80,'09월 화학성분'!$D$12:$D$949,$B80)))</f>
        <v/>
      </c>
      <c r="AM80" s="829" t="str">
        <f>IF($C80&lt;1,"",(AVERAGEIFS('09월 화학성분'!AH$12:AH$949,'09월 화학성분'!$A$12:$A$949,$A80,'09월 화학성분'!$D$12:$D$949,$B80)))</f>
        <v/>
      </c>
      <c r="AN80" s="829" t="str">
        <f>IF($C80&lt;1,"",(AVERAGEIFS('09월 화학성분'!AI$12:AI$949,'09월 화학성분'!$A$12:$A$949,$A80,'09월 화학성분'!$D$12:$D$949,$B80)))</f>
        <v/>
      </c>
      <c r="AO80" s="829" t="str">
        <f>IF($C80&lt;1,"",(AVERAGEIFS('09월 화학성분'!AJ$12:AJ$949,'09월 화학성분'!$A$12:$A$949,$A80,'09월 화학성분'!$D$12:$D$949,$B80)))</f>
        <v/>
      </c>
      <c r="AP80" s="829" t="str">
        <f>IF($C80&lt;1,"",(AVERAGEIFS('09월 화학성분'!#REF!,'09월 화학성분'!$A$12:$A$949,$A80,'09월 화학성분'!$D$12:$D$949,$B80)))</f>
        <v/>
      </c>
      <c r="AQ80" s="829" t="str">
        <f>IF($C80&lt;1,"",(AVERAGEIFS('09월 화학성분'!AL$12:AL$949,'09월 화학성분'!$A$12:$A$949,$A80,'09월 화학성분'!$D$12:$D$949,$B80)))</f>
        <v/>
      </c>
      <c r="AR80" s="829" t="str">
        <f>IF($C80&lt;1,"",(AVERAGEIFS('09월 화학성분'!AM$12:AM$949,'09월 화학성분'!$A$12:$A$949,$A80,'09월 화학성분'!$D$12:$D$949,$B80)))</f>
        <v/>
      </c>
      <c r="AS80" s="830" t="str">
        <f>IF($C80&lt;1,"",(AVERAGEIFS('09월 화학성분'!AN$12:AN$949,'09월 화학성분'!$A$12:$A$949,$A80,'09월 화학성분'!$D$12:$D$949,$B80)))</f>
        <v/>
      </c>
      <c r="AT80" s="830" t="str">
        <f>IF($C80&lt;1,"",(AVERAGEIFS('09월 화학성분'!AO$12:AO$949,'09월 화학성분'!$A$12:$A$949,$A80,'09월 화학성분'!$D$12:$D$949,$B80)))</f>
        <v/>
      </c>
      <c r="AU80" s="831" t="str">
        <f>IF($C80&lt;1,"",(AVERAGEIFS('09월 화학성분'!AP$12:AP$949,'09월 화학성분'!$A$12:$A$949,$A80,'09월 화학성분'!$D$12:$D$949,$B80)))</f>
        <v/>
      </c>
      <c r="AV80" s="832" t="str">
        <f>IF($C80&lt;1,"",(AVERAGEIFS('09월 고철장입'!G$14:G$949,'09월 고철장입'!$A$14:$A$949,$A80,'09월 고철장입'!$C$14:$C$949,$B80))/1000)</f>
        <v/>
      </c>
      <c r="AW80" s="832" t="str">
        <f>IF($C80&lt;1,"",(AVERAGEIFS('09월 고철장입'!H$14:H$949,'09월 고철장입'!$A$14:$A$949,$A80,'09월 고철장입'!$C$14:$C$949,$B80))/1000)</f>
        <v/>
      </c>
      <c r="AX80" s="832" t="str">
        <f>IF($C80&lt;1,"",(AVERAGEIFS('09월 고철장입'!I$14:I$949,'09월 고철장입'!$A$14:$A$949,$A80,'09월 고철장입'!$C$14:$C$949,$B80))/1000)</f>
        <v/>
      </c>
      <c r="AY80" s="832" t="str">
        <f>IF($C80&lt;1,"",(AVERAGEIFS('09월 고철장입'!J$14:J$949,'09월 고철장입'!$A$14:$A$949,$A80,'09월 고철장입'!$C$14:$C$949,$B80))/1000)</f>
        <v/>
      </c>
      <c r="AZ80" s="832" t="str">
        <f>IF($C80&lt;1,"",(AVERAGEIFS('09월 고철장입'!K$14:K$949,'09월 고철장입'!$A$14:$A$949,$A80,'09월 고철장입'!$C$14:$C$949,$B80))/1000)</f>
        <v/>
      </c>
      <c r="BA80" s="832" t="str">
        <f>IF($C80&lt;1,"",(AVERAGEIFS('09월 고철장입'!L$14:L$949,'09월 고철장입'!$A$14:$A$949,$A80,'09월 고철장입'!$C$14:$C$949,$B80))/1000)</f>
        <v/>
      </c>
      <c r="BB80" s="832" t="str">
        <f>IF($C80&lt;1,"",(AVERAGEIFS('09월 고철장입'!M$14:M$949,'09월 고철장입'!$A$14:$A$949,$A80,'09월 고철장입'!$C$14:$C$949,$B80))/1000)</f>
        <v/>
      </c>
      <c r="BC80" s="832" t="str">
        <f>IF($C80&lt;1,"",(AVERAGEIFS('09월 고철장입'!N$14:N$949,'09월 고철장입'!$A$14:$A$949,$A80,'09월 고철장입'!$C$14:$C$949,$B80))/1000)</f>
        <v/>
      </c>
      <c r="BD80" s="832" t="str">
        <f>IF($C80&lt;1,"",(AVERAGEIFS('09월 고철장입'!O$14:O$949,'09월 고철장입'!$A$14:$A$949,$A80,'09월 고철장입'!$C$14:$C$949,$B80))/1000)</f>
        <v/>
      </c>
      <c r="BE80" s="833" t="str">
        <f>IF($C80&lt;1,"",(AVERAGEIFS('09월 고철장입'!P$14:P$949,'09월 고철장입'!$A$14:$A$949,$A80,'09월 고철장입'!$C$14:$C$949,$B80))/1000)</f>
        <v/>
      </c>
      <c r="BF80" s="833" t="str">
        <f>IF($C80&lt;1,"",(AVERAGEIFS('09월 고철장입'!Q$14:Q$949,'09월 고철장입'!$A$14:$A$949,$A80,'09월 고철장입'!$C$14:$C$949,$B80))/1000)</f>
        <v/>
      </c>
      <c r="BG80" s="833" t="str">
        <f>IF($C80&lt;1,"",(AVERAGEIFS('09월 고철장입'!S$14:S$949,'09월 고철장입'!$A$14:$A$949,$A80,'09월 고철장입'!$C$14:$C$949,$B80))/1000)</f>
        <v/>
      </c>
      <c r="BH80" s="833" t="str">
        <f>IF($C80&lt;1,"",(AVERAGEIFS('09월 고철장입'!T$14:T$949,'09월 고철장입'!$A$14:$A$949,$A80,'09월 고철장입'!$C$14:$C$949,$B80))/1000)</f>
        <v/>
      </c>
      <c r="BI80" s="833" t="str">
        <f>IF($C80&lt;1,"",(AVERAGEIFS('09월 고철장입'!U$14:U$949,'09월 고철장입'!$A$14:$A$949,$A80,'09월 고철장입'!$C$14:$C$949,$B80))/1000)</f>
        <v/>
      </c>
      <c r="BJ80" s="833" t="str">
        <f>IF($C80&lt;1,"",(AVERAGEIFS('09월 고철장입'!V$14:V$949,'09월 고철장입'!$A$14:$A$949,$A80,'09월 고철장입'!$C$14:$C$949,$B80))/1000)</f>
        <v/>
      </c>
      <c r="BK80" s="833" t="str">
        <f>IF($C80&lt;1,"",(AVERAGEIFS('09월 고철장입'!W$14:W$949,'09월 고철장입'!$A$14:$A$949,$A80,'09월 고철장입'!$C$14:$C$949,$B80))/1000)</f>
        <v/>
      </c>
      <c r="BL80" s="833" t="str">
        <f>IF($C80&lt;1,"",(AVERAGEIFS('09월 고철장입'!Y$14:Y$949,'09월 고철장입'!$A$14:$A$949,$A80,'09월 고철장입'!$C$14:$C$949,$B80))/1000)</f>
        <v/>
      </c>
      <c r="BM80" s="833" t="str">
        <f>IF($C80&lt;1,"",(AVERAGEIFS('09월 고철장입'!AB$14:AB$949,'09월 고철장입'!$A$14:$A$949,$A80,'09월 고철장입'!$C$14:$C$949,$B80))/1000)</f>
        <v/>
      </c>
      <c r="BN80" s="833" t="str">
        <f>IF($C80&lt;1,"",(AVERAGEIFS('09월 고철장입'!AC$14:AC$949,'09월 고철장입'!$A$14:$A$949,$A80,'09월 고철장입'!$C$14:$C$949,$B80))/1000)</f>
        <v/>
      </c>
      <c r="BO80" s="833" t="str">
        <f>IF($C80&lt;1,"",(AVERAGEIFS('09월 고철장입'!AD$14:AD$949,'09월 고철장입'!$A$14:$A$949,$A80,'09월 고철장입'!$C$14:$C$949,$B80))/1000)</f>
        <v/>
      </c>
      <c r="BP80" s="833" t="str">
        <f>IF($C80&lt;1,"",(AVERAGEIFS('09월 고철장입'!AE$14:AE$949,'09월 고철장입'!$A$14:$A$949,$A80,'09월 고철장입'!$C$14:$C$949,$B80))/1000)</f>
        <v/>
      </c>
      <c r="BQ80" s="832" t="str">
        <f>IF($C80&lt;1,"",(AVERAGEIFS('09월 고철장입'!AF$14:AF$949,'09월 고철장입'!$A$14:$A$949,$A80,'09월 고철장입'!$C$14:$C$949,$B80))/1000)</f>
        <v/>
      </c>
      <c r="BR80" s="832" t="str">
        <f>IF($C80&lt;1,"",(AVERAGEIFS('09월 고철장입'!AG$14:AG$949,'09월 고철장입'!$A$14:$A$949,$A80,'09월 고철장입'!$C$14:$C$949,$B80))/1000)</f>
        <v/>
      </c>
      <c r="BS80" s="832" t="str">
        <f>IF($C80&lt;1,"",(AVERAGEIFS('09월 고철장입'!AH$14:AH$949,'09월 고철장입'!$A$14:$A$949,$A80,'09월 고철장입'!$C$14:$C$949,$B80))/1000)</f>
        <v/>
      </c>
      <c r="BT80" s="832" t="str">
        <f>IF($C80&lt;1,"",(AVERAGEIFS('09월 고철장입'!AI$14:AI$949,'09월 고철장입'!$A$14:$A$949,$A80,'09월 고철장입'!$C$14:$C$949,$B80))/1000)</f>
        <v/>
      </c>
      <c r="BU80" s="834" t="str">
        <f>IF($C80&lt;1,"",(AVERAGEIFS('09월 고철장입'!AJ$14:AJ$949,'09월 고철장입'!$A$14:$A$949,$A80,'09월 고철장입'!$C$14:$C$949,$B80))/1000)</f>
        <v/>
      </c>
      <c r="BV80" s="834" t="str">
        <f>IF($C80&lt;1,"",(AVERAGEIFS('09월 고철장입'!AK$14:AK$949,'09월 고철장입'!$A$14:$A$949,$A80,'09월 고철장입'!$C$14:$C$949,$B80)))</f>
        <v/>
      </c>
      <c r="BW80" s="834" t="str">
        <f>IF($C80&lt;1,"",(AVERAGEIFS('09월 고철장입'!AL$14:AL$949,'09월 고철장입'!$A$14:$A$949,$A80,'09월 고철장입'!$C$14:$C$949,$B80))*100)</f>
        <v/>
      </c>
      <c r="BX80" s="831" t="str">
        <f>IF($C80&lt;1,"",(AVERAGEIFS('09월 에너지'!G$14:G$949,'09월 에너지'!$A$14:$A$949,$A80,'09월 에너지'!$C$14:$C$949,$B80)))</f>
        <v/>
      </c>
      <c r="BY80" s="835" t="str">
        <f>IF($C80&lt;1,"",(AVERAGEIFS('09월 에너지'!H$14:H$949,'09월 에너지'!$A$14:$A$949,$A80,'09월 에너지'!$C$14:$C$949,$B80)))</f>
        <v/>
      </c>
      <c r="BZ80" s="831" t="str">
        <f>IF($C80&lt;1,"",(AVERAGEIFS('09월 에너지'!I$14:I$949,'09월 에너지'!$A$14:$A$949,$A80,'09월 에너지'!$C$14:$C$949,$B80)))</f>
        <v/>
      </c>
      <c r="CA80" s="835" t="str">
        <f>IF($C80&lt;1,"",(AVERAGEIFS('09월 에너지'!J$14:J$949,'09월 에너지'!$A$14:$A$949,$A80,'09월 에너지'!$C$14:$C$949,$B80)))</f>
        <v/>
      </c>
      <c r="CB80" s="831" t="str">
        <f>IF($C80&lt;1,"",(AVERAGEIFS('09월 에너지'!K$14:K$949,'09월 에너지'!$A$14:$A$949,$A80,'09월 에너지'!$C$14:$C$949,$B80)))</f>
        <v/>
      </c>
      <c r="CC80" s="835" t="str">
        <f>IF($C80&lt;1,"",(AVERAGEIFS('09월 에너지'!L$14:L$949,'09월 에너지'!$A$14:$A$949,$A80,'09월 에너지'!$C$14:$C$949,$B80)))</f>
        <v/>
      </c>
      <c r="CD80" s="831" t="str">
        <f>IF($C80&lt;1,"",(AVERAGEIFS('09월 에너지'!M$14:M$949,'09월 에너지'!$A$14:$A$949,$A80,'09월 에너지'!$C$14:$C$949,$B80)))</f>
        <v/>
      </c>
      <c r="CE80" s="835" t="str">
        <f>IF($C80&lt;1,"",(AVERAGEIFS('09월 에너지'!N$14:N$949,'09월 에너지'!$A$14:$A$949,$A80,'09월 에너지'!$C$14:$C$949,$B80)))</f>
        <v/>
      </c>
      <c r="CF80" s="831" t="str">
        <f>IF($C80&lt;1,"",(AVERAGEIFS('09월 에너지'!O$14:O$949,'09월 에너지'!$A$14:$A$949,$A80,'09월 에너지'!$C$14:$C$949,$B80)))</f>
        <v/>
      </c>
      <c r="CG80" s="831" t="str">
        <f>IF($C80&lt;1,"",(AVERAGEIFS('09월 에너지'!P$14:P$949,'09월 에너지'!$A$14:$A$949,$A80,'09월 에너지'!$C$14:$C$949,$B80)))</f>
        <v/>
      </c>
      <c r="CH80" s="831" t="str">
        <f>IF($C80&lt;1,"",(AVERAGEIFS('09월 에너지'!Q$14:Q$949,'09월 에너지'!$A$14:$A$949,$A80,'09월 에너지'!$C$14:$C$949,$B80)))</f>
        <v/>
      </c>
      <c r="CI80" s="831" t="str">
        <f>IF($C80&lt;1,"",(AVERAGEIFS('09월 에너지'!R$14:R$949,'09월 에너지'!$A$14:$A$949,$A80,'09월 에너지'!$C$14:$C$949,$B80)))</f>
        <v/>
      </c>
      <c r="CJ80" s="831" t="str">
        <f>IF($C80&lt;1,"",(AVERAGEIFS('09월 에너지'!S$14:S$949,'09월 에너지'!$A$14:$A$949,$A80,'09월 에너지'!$C$14:$C$949,$B80)))</f>
        <v/>
      </c>
      <c r="CK80" s="831" t="str">
        <f>IF($C80&lt;1,"",(AVERAGEIFS('09월 에너지'!T$14:T$949,'09월 에너지'!$A$14:$A$949,$A80,'09월 에너지'!$C$14:$C$949,$B80)))</f>
        <v/>
      </c>
      <c r="CL80" s="831" t="str">
        <f>IF($C80&lt;1,"",(AVERAGEIFS('09월 에너지'!U$14:U$949,'09월 에너지'!$A$14:$A$949,$A80,'09월 에너지'!$C$14:$C$949,$B80)))</f>
        <v/>
      </c>
      <c r="CM80" s="835" t="str">
        <f>IF($C80&lt;1,"",(AVERAGEIFS('09월 에너지'!V$14:V$949,'09월 에너지'!$A$14:$A$949,$A80,'09월 에너지'!$C$14:$C$949,$B80)))</f>
        <v/>
      </c>
      <c r="CN80" s="835" t="str">
        <f>IF($C80&lt;1,"",(AVERAGEIFS('09월 에너지'!W$14:W$949,'09월 에너지'!$A$14:$A$949,$A80,'09월 에너지'!$C$14:$C$949,$B80)))</f>
        <v/>
      </c>
      <c r="CO80" s="831" t="str">
        <f>IF($C80&lt;1,"",(AVERAGEIFS('09월 에너지'!X$14:X$949,'09월 에너지'!$A$14:$A$949,$A80,'09월 에너지'!$C$14:$C$949,$B80)))</f>
        <v/>
      </c>
      <c r="CP80" s="835" t="str">
        <f>IF($C80&lt;1,"",(AVERAGEIFS('09월 에너지'!Y$14:Y$949,'09월 에너지'!$A$14:$A$949,$A80,'09월 에너지'!$C$14:$C$949,$B80)))</f>
        <v/>
      </c>
      <c r="CQ80" s="835" t="str">
        <f>IF($C80&lt;1,"",(AVERAGEIFS('09월 에너지'!Z$14:Z$949,'09월 에너지'!$A$14:$A$949,$A80,'09월 에너지'!$C$14:$C$949,$B80)))</f>
        <v/>
      </c>
      <c r="CR80" s="835" t="str">
        <f>IF($C80&lt;1,"",(AVERAGEIFS('09월 에너지'!AA$14:AA$949,'09월 에너지'!$A$14:$A$949,$A80,'09월 에너지'!$C$14:$C$949,$B80)))</f>
        <v/>
      </c>
      <c r="CS80" s="835" t="str">
        <f>IF($C80&lt;1,"",(AVERAGEIFS('09월 에너지'!AB$14:AB$949,'09월 에너지'!$A$14:$A$949,$A80,'09월 에너지'!$C$14:$C$949,$B80)))</f>
        <v/>
      </c>
      <c r="CT80" s="831" t="str">
        <f>IF($C80&lt;1,"",(AVERAGEIFS('09월 에너지'!AC$14:AC$949,'09월 에너지'!$A$14:$A$949,$A80,'09월 에너지'!$C$14:$C$949,$B80)))</f>
        <v/>
      </c>
      <c r="CU80" s="836" t="str">
        <f>IF($C80&lt;1,"",(AVERAGEIFS('09월 에너지'!AD$14:AD$949,'09월 에너지'!$A$14:$A$949,$A80,'09월 에너지'!$C$14:$C$949,$B80)))</f>
        <v/>
      </c>
      <c r="CV80" s="837" t="str">
        <f>IF($C80&lt;1,"",(AVERAGEIFS('09월 에너지'!AE$14:AE$949,'09월 에너지'!$A$14:$A$949,$A80,'09월 에너지'!$C$14:$C$949,$B80)))</f>
        <v/>
      </c>
      <c r="CW80" s="831" t="str">
        <f>IF($C80&lt;1,"",(AVERAGEIFS('09월 에너지'!AF$14:AF$949,'09월 에너지'!$A$14:$A$949,$A80,'09월 에너지'!$C$14:$C$949,$B80)))</f>
        <v/>
      </c>
      <c r="CX80" s="831" t="str">
        <f>IF($C80&lt;1,"",(AVERAGEIFS('09월 에너지'!AG$14:AG$949,'09월 에너지'!$A$14:$A$949,$A80,'09월 에너지'!$C$14:$C$949,$B80)))</f>
        <v/>
      </c>
      <c r="CY80" s="831" t="str">
        <f>IF($C80&lt;1,"",(AVERAGEIFS('09월 에너지'!AH$14:AH$949,'09월 에너지'!$A$14:$A$949,$A80,'09월 에너지'!$C$14:$C$949,$B80)))</f>
        <v/>
      </c>
      <c r="CZ80" s="831" t="str">
        <f>IF($C80&lt;1,"",(AVERAGEIFS('09월 에너지'!AI$14:AI$949,'09월 에너지'!$A$14:$A$949,$A80,'09월 에너지'!$C$14:$C$949,$B80)))</f>
        <v/>
      </c>
      <c r="DA80" s="838" t="str">
        <f>IF($C80&lt;1,"",(AVERAGEIFS('09월 에너지'!AJ$14:AJ$949,'09월 에너지'!$A$14:$A$949,$A80,'09월 에너지'!$C$14:$C$949,$B80)))</f>
        <v/>
      </c>
    </row>
    <row r="81" spans="1:105" ht="13.5" customHeight="1">
      <c r="A81" s="847">
        <f>A76+1</f>
        <v>44942</v>
      </c>
      <c r="B81" s="848" t="s">
        <v>31</v>
      </c>
      <c r="C81" s="810">
        <f>COUNTIF('09월 조업일지'!$A$12:$A$952,A81)</f>
        <v>0</v>
      </c>
      <c r="D81" s="787" t="str">
        <f>IF(C81&lt;1,"",F81-E81)</f>
        <v/>
      </c>
      <c r="E81" s="787" t="str">
        <f>IF($C81&lt;1,"",(SUMIF('09월 조업일지'!$A$12:$A$952,$A81,'09월 조업일지'!$K$12:$K$952))/C81)</f>
        <v/>
      </c>
      <c r="F81" s="787" t="str">
        <f>IF($C81&lt;1,"",AVERAGEIF('09월 조업일지'!$A$12:$A$952,$A81,'09월 조업일지'!$J$12:$J$952))</f>
        <v/>
      </c>
      <c r="G81" s="811" t="str">
        <f>IF($C81&lt;1,"",AVERAGEIF('09월 에너지'!$A$14:$A$949,$A81,'09월 에너지'!$M$14:M$949))</f>
        <v/>
      </c>
      <c r="H81" s="812" t="str">
        <f>IF($C81&lt;1,"",AVERAGEIF('09월 조업일지'!$A$12:$A$952,$A81,'09월 조업일지'!$AJ$12:$AJ$952))</f>
        <v/>
      </c>
      <c r="I81" s="812" t="str">
        <f>IF($C81&lt;1,"",AVERAGEIF('09월 조업일지'!$A$12:$A$952,$A81,'09월 조업일지'!$AL$12:$AL$952))</f>
        <v/>
      </c>
      <c r="J81" s="813" t="str">
        <f>IF($C81&lt;1,"",AVERAGEIF('09월 화학성분'!$A$12:$A$949,$A81,'09월 화학성분'!G$12:G$949))</f>
        <v/>
      </c>
      <c r="K81" s="813" t="str">
        <f>IF($C81&lt;1,"",AVERAGEIF('09월 화학성분'!$A$12:$A$949,$A81,'09월 화학성분'!H$12:H$949))</f>
        <v/>
      </c>
      <c r="L81" s="813" t="str">
        <f>IF($C81&lt;1,"",AVERAGEIF('09월 화학성분'!$A$12:$A$949,$A81,'09월 화학성분'!I$12:I$949))</f>
        <v/>
      </c>
      <c r="M81" s="813" t="str">
        <f>IF($C81&lt;1,"",AVERAGEIF('09월 화학성분'!$A$12:$A$949,$A81,'09월 화학성분'!J$12:J$949))</f>
        <v/>
      </c>
      <c r="N81" s="813" t="str">
        <f>IF($C81&lt;1,"",AVERAGEIF('09월 화학성분'!$A$12:$A$949,$A81,'09월 화학성분'!K$12:K$949))</f>
        <v/>
      </c>
      <c r="O81" s="813" t="str">
        <f>IF($C81&lt;1,"",AVERAGEIF('09월 화학성분'!$A$12:$A$949,$A81,'09월 화학성분'!L$12:L$949))</f>
        <v/>
      </c>
      <c r="P81" s="813" t="str">
        <f>IF($C81&lt;1,"",AVERAGEIF('09월 화학성분'!$A$12:$A$949,$A81,'09월 화학성분'!M$12:M$949))</f>
        <v/>
      </c>
      <c r="Q81" s="814" t="str">
        <f>IF($C81&lt;1,"",AVERAGEIF('09월 조업일지'!$A$12:$A$952,$A81,'09월 조업일지'!$AA$12:$AA$952))</f>
        <v/>
      </c>
      <c r="R81" s="814" t="str">
        <f>IF($C81&lt;1,"",AVERAGEIF('09월 조업일지'!$A$12:$A$952,$A81,'09월 조업일지'!$AK$12:$AK$952))</f>
        <v/>
      </c>
      <c r="S81" s="814"/>
      <c r="T81" s="814"/>
      <c r="U81" s="813" t="str">
        <f>IF($C81&lt;1,"",AVERAGEIF('09월 화학성분'!$A$12:$A$949,$A81,'09월 화학성분'!$G$12:$G$949))</f>
        <v/>
      </c>
      <c r="V81" s="814" t="str">
        <f>IF($C81&lt;1,"",AVERAGEIF('09월 조업일지'!$A$12:$A$952,$A81,'09월 조업일지'!$AI$12:$AI$952))</f>
        <v/>
      </c>
      <c r="W81" s="813" t="str">
        <f>IF($C81&lt;1,"",AVERAGEIF('09월 화학성분'!$A$12:$A$949,$A81,'09월 화학성분'!$AM$12:$AM$949))</f>
        <v/>
      </c>
      <c r="X81" s="815" t="str">
        <f>IF($C81&lt;1,"",AVERAGEIF('09월 화학성분'!$A$12:$A$949,$A81,'09월 화학성분'!N$12:N$949))</f>
        <v/>
      </c>
      <c r="Y81" s="815" t="str">
        <f>IF($C81&lt;1,"",AVERAGEIF('09월 화학성분'!$A$12:$A$949,$A81,'09월 화학성분'!O$12:O$949))</f>
        <v/>
      </c>
      <c r="Z81" s="815" t="str">
        <f>IF($C81&lt;1,"",AVERAGEIF('09월 화학성분'!$A$12:$A$949,$A81,'09월 화학성분'!P$12:P$949))</f>
        <v/>
      </c>
      <c r="AA81" s="815" t="str">
        <f>IF($C81&lt;1,"",AVERAGEIF('09월 화학성분'!$A$12:$A$949,$A81,'09월 화학성분'!Q$12:Q$949))</f>
        <v/>
      </c>
      <c r="AB81" s="815" t="str">
        <f>IF($C81&lt;1,"",AVERAGEIF('09월 화학성분'!$A$12:$A$949,$A81,'09월 화학성분'!R$12:R$949))</f>
        <v/>
      </c>
      <c r="AC81" s="815" t="str">
        <f>IF($C81&lt;1,"",AVERAGEIF('09월 화학성분'!$A$12:$A$949,$A81,'09월 화학성분'!U$12:U$949))</f>
        <v/>
      </c>
      <c r="AD81" s="815" t="str">
        <f>IF($C81&lt;1,"",AVERAGEIF('09월 화학성분'!$A$12:$A$949,$A81,'09월 화학성분'!V$12:V$949))</f>
        <v/>
      </c>
      <c r="AE81" s="815" t="str">
        <f>IF($C81&lt;1,"",AVERAGEIF('09월 화학성분'!$A$12:$A$949,$A81,'09월 화학성분'!W$12:W$949))</f>
        <v/>
      </c>
      <c r="AF81" s="815" t="str">
        <f>IF($C81&lt;1,"",AVERAGEIF('09월 화학성분'!$A$12:$A$949,$A81,'09월 화학성분'!AA$12:AA$949))</f>
        <v/>
      </c>
      <c r="AG81" s="815" t="str">
        <f>IF($C81&lt;1,"",AVERAGEIF('09월 화학성분'!$A$12:$A$949,$A81,'09월 화학성분'!#REF!))</f>
        <v/>
      </c>
      <c r="AH81" s="815" t="str">
        <f>IF($C81&lt;1,"",AVERAGEIF('09월 화학성분'!$A$12:$A$949,$A81,'09월 화학성분'!AB$12:AB$949))</f>
        <v/>
      </c>
      <c r="AI81" s="815" t="str">
        <f>IF($C81&lt;1,"",AVERAGEIF('09월 화학성분'!$A$12:$A$949,$A81,'09월 화학성분'!AC$12:AC$949))</f>
        <v/>
      </c>
      <c r="AJ81" s="815" t="str">
        <f>IF($C81&lt;1,"",AVERAGEIF('09월 화학성분'!$A$12:$A$949,$A81,'09월 화학성분'!AD$12:AD$949))</f>
        <v/>
      </c>
      <c r="AK81" s="815" t="str">
        <f>IF($C81&lt;1,"",AVERAGEIF('09월 화학성분'!$A$12:$A$949,$A81,'09월 화학성분'!AF$12:AF$949))</f>
        <v/>
      </c>
      <c r="AL81" s="815" t="str">
        <f>IF($C81&lt;1,"",AVERAGEIF('09월 화학성분'!$A$12:$A$949,$A81,'09월 화학성분'!AG$12:AG$949))</f>
        <v/>
      </c>
      <c r="AM81" s="815" t="str">
        <f>IF($C81&lt;1,"",AVERAGEIF('09월 화학성분'!$A$12:$A$949,$A81,'09월 화학성분'!AH$12:AH$949))</f>
        <v/>
      </c>
      <c r="AN81" s="815" t="str">
        <f>IF($C81&lt;1,"",AVERAGEIF('09월 화학성분'!$A$12:$A$949,$A81,'09월 화학성분'!AI$12:AI$949))</f>
        <v/>
      </c>
      <c r="AO81" s="815" t="str">
        <f>IF($C81&lt;1,"",AVERAGEIF('09월 화학성분'!$A$12:$A$949,$A81,'09월 화학성분'!AJ$12:AJ$949))</f>
        <v/>
      </c>
      <c r="AP81" s="815" t="str">
        <f>IF($C81&lt;1,"",AVERAGEIF('09월 화학성분'!$A$12:$A$949,$A81,'09월 화학성분'!#REF!))</f>
        <v/>
      </c>
      <c r="AQ81" s="815" t="str">
        <f>IF($C81&lt;1,"",AVERAGEIF('09월 화학성분'!$A$12:$A$949,$A81,'09월 화학성분'!AL$12:AL$949))</f>
        <v/>
      </c>
      <c r="AR81" s="815" t="str">
        <f>IF($C81&lt;1,"",AVERAGEIF('09월 화학성분'!$A$12:$A$949,$A81,'09월 화학성분'!AM$12:AM$949))</f>
        <v/>
      </c>
      <c r="AS81" s="816" t="str">
        <f>IF($C81&lt;1,"",AVERAGEIF('09월 화학성분'!$A$12:$A$949,$A81,'09월 화학성분'!AN$12:AN$949))</f>
        <v/>
      </c>
      <c r="AT81" s="816" t="str">
        <f>IF($C81&lt;1,"",AVERAGEIF('09월 화학성분'!$A$12:$A$949,$A81,'09월 화학성분'!AO$12:AO$949))</f>
        <v/>
      </c>
      <c r="AU81" s="815" t="str">
        <f>IF($C81&lt;1,"",AVERAGEIF('09월 화학성분'!$A$12:$A$949,$A81,'09월 화학성분'!AP$12:AP$949))</f>
        <v/>
      </c>
      <c r="AV81" s="815" t="str">
        <f>IF($C81&lt;1,"",AVERAGEIF('09월 고철장입'!$A$14:$A$949,$A81,'09월 고철장입'!G$14:G$949)/1000)</f>
        <v/>
      </c>
      <c r="AW81" s="815" t="str">
        <f>IF($C81&lt;1,"",AVERAGEIF('09월 고철장입'!$A$14:$A$949,$A81,'09월 고철장입'!H$14:H$949)/1000)</f>
        <v/>
      </c>
      <c r="AX81" s="815" t="str">
        <f>IF($C81&lt;1,"",AVERAGEIF('09월 고철장입'!$A$14:$A$949,$A81,'09월 고철장입'!I$14:I$949)/1000)</f>
        <v/>
      </c>
      <c r="AY81" s="815" t="str">
        <f>IF($C81&lt;1,"",AVERAGEIF('09월 고철장입'!$A$14:$A$949,$A81,'09월 고철장입'!J$14:J$949)/1000)</f>
        <v/>
      </c>
      <c r="AZ81" s="815" t="str">
        <f>IF($C81&lt;1,"",AVERAGEIF('09월 고철장입'!$A$14:$A$949,$A81,'09월 고철장입'!K$14:K$949)/1000)</f>
        <v/>
      </c>
      <c r="BA81" s="815" t="str">
        <f>IF($C81&lt;1,"",AVERAGEIF('09월 고철장입'!$A$14:$A$949,$A81,'09월 고철장입'!L$14:L$949)/1000)</f>
        <v/>
      </c>
      <c r="BB81" s="815" t="str">
        <f>IF($C81&lt;1,"",AVERAGEIF('09월 고철장입'!$A$14:$A$949,$A81,'09월 고철장입'!M$14:M$949)/1000)</f>
        <v/>
      </c>
      <c r="BC81" s="815" t="str">
        <f>IF($C81&lt;1,"",AVERAGEIF('09월 고철장입'!$A$14:$A$949,$A81,'09월 고철장입'!N$14:N$949)/1000)</f>
        <v/>
      </c>
      <c r="BD81" s="815" t="str">
        <f>IF($C81&lt;1,"",AVERAGEIF('09월 고철장입'!$A$14:$A$949,$A81,'09월 고철장입'!O$14:O$949)/1000)</f>
        <v/>
      </c>
      <c r="BE81" s="815" t="str">
        <f>IF($C81&lt;1,"",AVERAGEIF('09월 고철장입'!$A$14:$A$949,$A81,'09월 고철장입'!P$14:P$949)/1000)</f>
        <v/>
      </c>
      <c r="BF81" s="815" t="str">
        <f>IF($C81&lt;1,"",AVERAGEIF('09월 고철장입'!$A$14:$A$949,$A81,'09월 고철장입'!Q$14:Q$949)/1000)</f>
        <v/>
      </c>
      <c r="BG81" s="815" t="str">
        <f>IF($C81&lt;1,"",AVERAGEIF('09월 고철장입'!$A$14:$A$949,$A81,'09월 고철장입'!S$14:S$949)/1000)</f>
        <v/>
      </c>
      <c r="BH81" s="815" t="str">
        <f>IF($C81&lt;1,"",AVERAGEIF('09월 고철장입'!$A$14:$A$949,$A81,'09월 고철장입'!T$14:T$949)/1000)</f>
        <v/>
      </c>
      <c r="BI81" s="815" t="str">
        <f>IF($C81&lt;1,"",AVERAGEIF('09월 고철장입'!$A$14:$A$949,$A81,'09월 고철장입'!U$14:U$949)/1000)</f>
        <v/>
      </c>
      <c r="BJ81" s="815" t="str">
        <f>IF($C81&lt;1,"",AVERAGEIF('09월 고철장입'!$A$14:$A$949,$A81,'09월 고철장입'!V$14:V$949)/1000)</f>
        <v/>
      </c>
      <c r="BK81" s="815" t="str">
        <f>IF($C81&lt;1,"",AVERAGEIF('09월 고철장입'!$A$14:$A$949,$A81,'09월 고철장입'!W$14:W$949)/1000)</f>
        <v/>
      </c>
      <c r="BL81" s="815" t="str">
        <f>IF($C81&lt;1,"",AVERAGEIF('09월 고철장입'!$A$14:$A$949,$A81,'09월 고철장입'!Y$14:Y$949)/1000)</f>
        <v/>
      </c>
      <c r="BM81" s="815" t="str">
        <f>IF($C81&lt;1,"",AVERAGEIF('09월 고철장입'!$A$14:$A$949,$A81,'09월 고철장입'!AB$14:AB$949)/1000)</f>
        <v/>
      </c>
      <c r="BN81" s="815" t="str">
        <f>IF($C81&lt;1,"",AVERAGEIF('09월 고철장입'!$A$14:$A$949,$A81,'09월 고철장입'!AC$14:AC$949)/1000)</f>
        <v/>
      </c>
      <c r="BO81" s="815" t="str">
        <f>IF($C81&lt;1,"",AVERAGEIF('09월 고철장입'!$A$14:$A$949,$A81,'09월 고철장입'!AD$14:AD$949)/1000)</f>
        <v/>
      </c>
      <c r="BP81" s="815" t="str">
        <f>IF($C81&lt;1,"",AVERAGEIF('09월 고철장입'!$A$14:$A$949,$A81,'09월 고철장입'!AE$14:AE$949)/1000)</f>
        <v/>
      </c>
      <c r="BQ81" s="815" t="str">
        <f>IF($C81&lt;1,"",AVERAGEIF('09월 고철장입'!$A$14:$A$949,$A81,'09월 고철장입'!AF$14:AF$949)/1000)</f>
        <v/>
      </c>
      <c r="BR81" s="815" t="str">
        <f>IF($C81&lt;1,"",AVERAGEIF('09월 고철장입'!$A$14:$A$949,$A81,'09월 고철장입'!AG$14:AG$949)/1000)</f>
        <v/>
      </c>
      <c r="BS81" s="815" t="str">
        <f>IF($C81&lt;1,"",AVERAGEIF('09월 고철장입'!$A$14:$A$949,$A81,'09월 고철장입'!AH$14:AH$949)/1000)</f>
        <v/>
      </c>
      <c r="BT81" s="815" t="str">
        <f>IF($C81&lt;1,"",AVERAGEIF('09월 고철장입'!$A$14:$A$949,$A81,'09월 고철장입'!AI$14:AI$949)/1000)</f>
        <v/>
      </c>
      <c r="BU81" s="815" t="str">
        <f>IF($C81&lt;1,"",AVERAGEIF('09월 고철장입'!$A$14:$A$949,$A81,'09월 고철장입'!AJ$14:AJ$949)/1000)</f>
        <v/>
      </c>
      <c r="BV81" s="815" t="str">
        <f>IF($C81&lt;1,"",AVERAGEIF('09월 고철장입'!$A$14:$A$949,$A81,'09월 고철장입'!AK$14:AK$949))</f>
        <v/>
      </c>
      <c r="BW81" s="815" t="str">
        <f>IF($C81&lt;1,"",AVERAGEIF('09월 고철장입'!$A$14:$A$949,$A81,'09월 고철장입'!AL$14:AL$949)*100)</f>
        <v/>
      </c>
      <c r="BX81" s="815" t="str">
        <f>IF($C81&lt;1,"",AVERAGEIF('09월 에너지'!$A$14:$A$949,$A81,'09월 에너지'!G$14:G$949))</f>
        <v/>
      </c>
      <c r="BY81" s="817" t="str">
        <f>IF($C81&lt;1,"",AVERAGEIF('09월 에너지'!$A$14:$A$949,$A81,'09월 에너지'!H$14:H$949))</f>
        <v/>
      </c>
      <c r="BZ81" s="815" t="str">
        <f>IF($C81&lt;1,"",AVERAGEIF('09월 에너지'!$A$14:$A$949,$A81,'09월 에너지'!I$14:I$949))</f>
        <v/>
      </c>
      <c r="CA81" s="817" t="str">
        <f>IF($C81&lt;1,"",AVERAGEIF('09월 에너지'!$A$14:$A$949,$A81,'09월 에너지'!J$14:J$949))</f>
        <v/>
      </c>
      <c r="CB81" s="815" t="str">
        <f>IF($C81&lt;1,"",AVERAGEIF('09월 에너지'!$A$14:$A$949,$A81,'09월 에너지'!K$14:K$949))</f>
        <v/>
      </c>
      <c r="CC81" s="817" t="str">
        <f>IF($C81&lt;1,"",AVERAGEIF('09월 에너지'!$A$14:$A$949,$A81,'09월 에너지'!L$14:L$949))</f>
        <v/>
      </c>
      <c r="CD81" s="815" t="str">
        <f>IF($C81&lt;1,"",AVERAGEIF('09월 에너지'!$A$14:$A$949,$A81,'09월 에너지'!M$14:M$949))</f>
        <v/>
      </c>
      <c r="CE81" s="817" t="str">
        <f>IF($C81&lt;1,"",AVERAGEIF('09월 에너지'!$A$14:$A$949,$A81,'09월 에너지'!N$14:N$949))</f>
        <v/>
      </c>
      <c r="CF81" s="815" t="str">
        <f>IF($C81&lt;1,"",AVERAGEIF('09월 에너지'!$A$14:$A$949,$A81,'09월 에너지'!O$14:O$949))</f>
        <v/>
      </c>
      <c r="CG81" s="815" t="str">
        <f>IF($C81&lt;1,"",AVERAGEIF('09월 에너지'!$A$14:$A$949,$A81,'09월 에너지'!P$14:P$949))</f>
        <v/>
      </c>
      <c r="CH81" s="815" t="str">
        <f>IF($C81&lt;1,"",AVERAGEIF('09월 에너지'!$A$14:$A$949,$A81,'09월 에너지'!Q$14:Q$949))</f>
        <v/>
      </c>
      <c r="CI81" s="815" t="str">
        <f>IF($C81&lt;1,"",AVERAGEIF('09월 에너지'!$A$14:$A$949,$A81,'09월 에너지'!R$14:R$949))</f>
        <v/>
      </c>
      <c r="CJ81" s="815" t="str">
        <f>IF($C81&lt;1,"",AVERAGEIF('09월 에너지'!$A$14:$A$949,$A81,'09월 에너지'!S$14:S$949))</f>
        <v/>
      </c>
      <c r="CK81" s="815" t="str">
        <f>IF($C81&lt;1,"",AVERAGEIF('09월 에너지'!$A$14:$A$949,$A81,'09월 에너지'!T$14:T$949))</f>
        <v/>
      </c>
      <c r="CL81" s="815" t="str">
        <f>IF($C81&lt;1,"",AVERAGEIF('09월 에너지'!$A$14:$A$949,$A81,'09월 에너지'!U$14:U$949))</f>
        <v/>
      </c>
      <c r="CM81" s="817" t="str">
        <f>IF($C81&lt;1,"",AVERAGEIF('09월 에너지'!$A$14:$A$949,$A81,'09월 에너지'!V$14:V$949))</f>
        <v/>
      </c>
      <c r="CN81" s="817" t="str">
        <f>IF($C81&lt;1,"",AVERAGEIF('09월 에너지'!$A$14:$A$949,$A81,'09월 에너지'!W$14:W$949))</f>
        <v/>
      </c>
      <c r="CO81" s="815" t="str">
        <f>IF($C81&lt;1,"",AVERAGEIF('09월 에너지'!$A$14:$A$949,$A81,'09월 에너지'!X$14:X$949))</f>
        <v/>
      </c>
      <c r="CP81" s="817" t="str">
        <f>IF($C81&lt;1,"",AVERAGEIF('09월 에너지'!$A$14:$A$949,$A81,'09월 에너지'!Y$14:Y$949))</f>
        <v/>
      </c>
      <c r="CQ81" s="817" t="str">
        <f>IF($C81&lt;1,"",AVERAGEIF('09월 에너지'!$A$14:$A$949,$A81,'09월 에너지'!Z$14:Z$949))</f>
        <v/>
      </c>
      <c r="CR81" s="817" t="str">
        <f>IF($C81&lt;1,"",AVERAGEIF('09월 에너지'!$A$14:$A$949,$A81,'09월 에너지'!AA$14:AA$949))</f>
        <v/>
      </c>
      <c r="CS81" s="817" t="str">
        <f>IF($C81&lt;1,"",AVERAGEIF('09월 에너지'!$A$14:$A$949,$A81,'09월 에너지'!AB$14:AB$949))</f>
        <v/>
      </c>
      <c r="CT81" s="815" t="str">
        <f>IF($C81&lt;1,"",AVERAGEIF('09월 에너지'!$A$14:$A$949,$A81,'09월 에너지'!AC$14:AC$949))</f>
        <v/>
      </c>
      <c r="CU81" s="818" t="str">
        <f>IF($C81&lt;1,"",AVERAGEIF('09월 에너지'!$A$14:$A$949,$A81,'09월 에너지'!AD$14:AD$949))</f>
        <v/>
      </c>
      <c r="CV81" s="819" t="str">
        <f>IF($C81&lt;1,"",AVERAGEIF('09월 에너지'!$A$14:$A$949,$A81,'09월 에너지'!AE$14:AE$949))</f>
        <v/>
      </c>
      <c r="CW81" s="815" t="str">
        <f>IF($C81&lt;1,"",AVERAGEIF('09월 에너지'!$A$14:$A$949,$A81,'09월 에너지'!AF$14:AF$949))</f>
        <v/>
      </c>
      <c r="CX81" s="815" t="str">
        <f>IF($C81&lt;1,"",AVERAGEIF('09월 에너지'!$A$14:$A$949,$A81,'09월 에너지'!AG$14:AG$949))</f>
        <v/>
      </c>
      <c r="CY81" s="815" t="str">
        <f>IF($C81&lt;1,"",AVERAGEIF('09월 에너지'!$A$14:$A$949,$A81,'09월 에너지'!AH$14:AH$949))</f>
        <v/>
      </c>
      <c r="CZ81" s="815" t="str">
        <f>IF($C81&lt;1,"",AVERAGEIF('09월 에너지'!$A$14:$A$949,$A81,'09월 에너지'!AI$14:AI$949))</f>
        <v/>
      </c>
      <c r="DA81" s="820" t="str">
        <f>IF($C81&lt;1,"",AVERAGEIF('09월 에너지'!$A$14:$A$949,$A81,'09월 에너지'!AJ$14:AJ$949))</f>
        <v/>
      </c>
    </row>
    <row r="82" spans="1:105" ht="13.5" customHeight="1">
      <c r="A82" s="849">
        <f t="shared" si="16"/>
        <v>44942</v>
      </c>
      <c r="B82" s="850" t="s">
        <v>9</v>
      </c>
      <c r="C82" s="823">
        <f>COUNTIFS('09월 조업일지'!$A$12:$A$952,A81,'09월 조업일지'!$E$12:$E$952,B82)</f>
        <v>0</v>
      </c>
      <c r="D82" s="824" t="str">
        <f>IF(C82&lt;1,"",F82-E82)</f>
        <v/>
      </c>
      <c r="E82" s="824" t="str">
        <f>IF($C82&lt;1,"",(SUMIFS('09월 조업일지'!$K$12:$K$952,'09월 조업일지'!$A$12:$A$952,$A82,'09월 조업일지'!$E$12:$E$952,$B82)/$C82))</f>
        <v/>
      </c>
      <c r="F82" s="824" t="str">
        <f>IF($C82&lt;1,"",(AVERAGEIFS('09월 조업일지'!$J$12:$J$952,'09월 조업일지'!$A$12:$A$952,$A82,'09월 조업일지'!$E$12:$E$952,$B82)))</f>
        <v/>
      </c>
      <c r="G82" s="825" t="str">
        <f>IF($C82&lt;1,"",(AVERAGEIFS('09월 에너지'!$M$14:$M$949,'09월 에너지'!$A$14:$A$949,$A82,'09월 에너지'!$C$14:$C$949,$B82)))</f>
        <v/>
      </c>
      <c r="H82" s="826" t="str">
        <f>IF($C82&lt;1,"",(AVERAGEIFS('09월 조업일지'!$AJ$12:$AJ$952,'09월 조업일지'!$A$12:$A$952,$A82,'09월 조업일지'!$E$12:$E$952,$B82)))</f>
        <v/>
      </c>
      <c r="I82" s="826" t="str">
        <f>IF($C82&lt;1,"",(AVERAGEIFS('09월 조업일지'!$AL$12:$AL$952,'09월 조업일지'!$A$12:$A$952,$A82,'09월 조업일지'!$E$12:$E$952,$B82)))</f>
        <v/>
      </c>
      <c r="J82" s="827" t="str">
        <f>IF($C82&lt;1,"",(AVERAGEIFS('09월 화학성분'!G$12:G$949,'09월 화학성분'!$A$12:$A$949,$A82,'09월 화학성분'!$D$12:$D$949,$B82)))</f>
        <v/>
      </c>
      <c r="K82" s="827" t="str">
        <f>IF($C82&lt;1,"",(AVERAGEIFS('09월 화학성분'!H$12:H$949,'09월 화학성분'!$A$12:$A$949,$A82,'09월 화학성분'!$D$12:$D$949,$B82)))</f>
        <v/>
      </c>
      <c r="L82" s="827" t="str">
        <f>IF($C82&lt;1,"",(AVERAGEIFS('09월 화학성분'!I$12:I$949,'09월 화학성분'!$A$12:$A$949,$A82,'09월 화학성분'!$D$12:$D$949,$B82)))</f>
        <v/>
      </c>
      <c r="M82" s="827" t="str">
        <f>IF($C82&lt;1,"",(AVERAGEIFS('09월 화학성분'!J$12:J$949,'09월 화학성분'!$A$12:$A$949,$A82,'09월 화학성분'!$D$12:$D$949,$B82)))</f>
        <v/>
      </c>
      <c r="N82" s="827" t="str">
        <f>IF($C82&lt;1,"",(AVERAGEIFS('09월 화학성분'!K$12:K$949,'09월 화학성분'!$A$12:$A$949,$A82,'09월 화학성분'!$D$12:$D$949,$B82)))</f>
        <v/>
      </c>
      <c r="O82" s="827" t="str">
        <f>IF($C82&lt;1,"",(AVERAGEIFS('09월 화학성분'!L$12:L$949,'09월 화학성분'!$A$12:$A$949,$A82,'09월 화학성분'!$D$12:$D$949,$B82)))</f>
        <v/>
      </c>
      <c r="P82" s="827" t="str">
        <f>IF($C82&lt;1,"",(AVERAGEIFS('09월 화학성분'!M$12:M$949,'09월 화학성분'!$A$12:$A$949,$A82,'09월 화학성분'!$D$12:$D$949,$B82)))</f>
        <v/>
      </c>
      <c r="Q82" s="827" t="str">
        <f>IFERROR(IF($C82&lt;1,"",(AVERAGEIFS('09월 조업일지'!$AA$12:$AA$952,'09월 조업일지'!$A$12:$A$952,$A82,'09월 조업일지'!$E$12:$E$952,$B82))),"")</f>
        <v/>
      </c>
      <c r="R82" s="827" t="str">
        <f>IF($C82&lt;1,"",(AVERAGEIFS('09월 조업일지'!$AK$12:$AK$952,'09월 조업일지'!$A$12:$A$952,$A82,'09월 조업일지'!$E$12:$E$952,$B82)))</f>
        <v/>
      </c>
      <c r="S82" s="827"/>
      <c r="T82" s="827"/>
      <c r="U82" s="827" t="str">
        <f>IF($C82&lt;1,"",(AVERAGEIFS('09월 화학성분'!$G$12:$G$949,'09월 화학성분'!$A$12:$A$949,$A82,'09월 화학성분'!$D$12:$D$949,$B82)))</f>
        <v/>
      </c>
      <c r="V82" s="827" t="str">
        <f>IF($C82&lt;1,"",(AVERAGEIFS('09월 조업일지'!$AI$12:$AI$952,'09월 조업일지'!$A$12:$A$952,$A82,'09월 조업일지'!$E$12:$E$952,$B82)))</f>
        <v/>
      </c>
      <c r="W82" s="828" t="str">
        <f>IF($C82&lt;1,"",(AVERAGEIFS('09월 화학성분'!$AM$12:$AM$949,'09월 화학성분'!$A$12:$A$949,$A82,'09월 화학성분'!$D$12:$D$949,$B82)))</f>
        <v/>
      </c>
      <c r="X82" s="829" t="str">
        <f>IF($C82&lt;1,"",(AVERAGEIFS('09월 화학성분'!N$12:N$949,'09월 화학성분'!$A$12:$A$949,$A82,'09월 화학성분'!$D$12:$D$949,$B82)))</f>
        <v/>
      </c>
      <c r="Y82" s="829" t="str">
        <f>IF($C82&lt;1,"",(AVERAGEIFS('09월 화학성분'!O$12:O$949,'09월 화학성분'!$A$12:$A$949,$A82,'09월 화학성분'!$D$12:$D$949,$B82)))</f>
        <v/>
      </c>
      <c r="Z82" s="829" t="str">
        <f>IF($C82&lt;1,"",(AVERAGEIFS('09월 화학성분'!P$12:P$949,'09월 화학성분'!$A$12:$A$949,$A82,'09월 화학성분'!$D$12:$D$949,$B82)))</f>
        <v/>
      </c>
      <c r="AA82" s="829" t="str">
        <f>IF($C82&lt;1,"",(AVERAGEIFS('09월 화학성분'!Q$12:Q$949,'09월 화학성분'!$A$12:$A$949,$A82,'09월 화학성분'!$D$12:$D$949,$B82)))</f>
        <v/>
      </c>
      <c r="AB82" s="829" t="str">
        <f>IF($C82&lt;1,"",(AVERAGEIFS('09월 화학성분'!R$12:R$949,'09월 화학성분'!$A$12:$A$949,$A82,'09월 화학성분'!$D$12:$D$949,$B82)))</f>
        <v/>
      </c>
      <c r="AC82" s="829" t="str">
        <f>IF($C82&lt;1,"",(AVERAGEIFS('09월 화학성분'!U$12:U$949,'09월 화학성분'!$A$12:$A$949,$A82,'09월 화학성분'!$D$12:$D$949,$B82)))</f>
        <v/>
      </c>
      <c r="AD82" s="829" t="str">
        <f>IF($C82&lt;1,"",(AVERAGEIFS('09월 화학성분'!V$12:V$949,'09월 화학성분'!$A$12:$A$949,$A82,'09월 화학성분'!$D$12:$D$949,$B82)))</f>
        <v/>
      </c>
      <c r="AE82" s="829" t="str">
        <f>IF($C82&lt;1,"",(AVERAGEIFS('09월 화학성분'!W$12:W$949,'09월 화학성분'!$A$12:$A$949,$A82,'09월 화학성분'!$D$12:$D$949,$B82)))</f>
        <v/>
      </c>
      <c r="AF82" s="829" t="str">
        <f>IF($C82&lt;1,"",(AVERAGEIFS('09월 화학성분'!AA$12:AA$949,'09월 화학성분'!$A$12:$A$949,$A82,'09월 화학성분'!$D$12:$D$949,$B82)))</f>
        <v/>
      </c>
      <c r="AG82" s="829" t="str">
        <f>IF($C82&lt;1,"",(AVERAGEIFS('09월 화학성분'!#REF!,'09월 화학성분'!$A$12:$A$949,$A82,'09월 화학성분'!$D$12:$D$949,$B82)))</f>
        <v/>
      </c>
      <c r="AH82" s="829" t="str">
        <f>IF($C82&lt;1,"",(AVERAGEIFS('09월 화학성분'!AB$12:AB$949,'09월 화학성분'!$A$12:$A$949,$A82,'09월 화학성분'!$D$12:$D$949,$B82)))</f>
        <v/>
      </c>
      <c r="AI82" s="829" t="str">
        <f>IF($C82&lt;1,"",(AVERAGEIFS('09월 화학성분'!AC$12:AC$949,'09월 화학성분'!$A$12:$A$949,$A82,'09월 화학성분'!$D$12:$D$949,$B82)))</f>
        <v/>
      </c>
      <c r="AJ82" s="829" t="str">
        <f>IF($C82&lt;1,"",(AVERAGEIFS('09월 화학성분'!AD$12:AD$949,'09월 화학성분'!$A$12:$A$949,$A82,'09월 화학성분'!$D$12:$D$949,$B82)))</f>
        <v/>
      </c>
      <c r="AK82" s="829" t="str">
        <f>IF($C82&lt;1,"",(AVERAGEIFS('09월 화학성분'!AF$12:AF$949,'09월 화학성분'!$A$12:$A$949,$A82,'09월 화학성분'!$D$12:$D$949,$B82)))</f>
        <v/>
      </c>
      <c r="AL82" s="829" t="str">
        <f>IF($C82&lt;1,"",(AVERAGEIFS('09월 화학성분'!AG$12:AG$949,'09월 화학성분'!$A$12:$A$949,$A82,'09월 화학성분'!$D$12:$D$949,$B82)))</f>
        <v/>
      </c>
      <c r="AM82" s="829" t="str">
        <f>IF($C82&lt;1,"",(AVERAGEIFS('09월 화학성분'!AH$12:AH$949,'09월 화학성분'!$A$12:$A$949,$A82,'09월 화학성분'!$D$12:$D$949,$B82)))</f>
        <v/>
      </c>
      <c r="AN82" s="829" t="str">
        <f>IF($C82&lt;1,"",(AVERAGEIFS('09월 화학성분'!AI$12:AI$949,'09월 화학성분'!$A$12:$A$949,$A82,'09월 화학성분'!$D$12:$D$949,$B82)))</f>
        <v/>
      </c>
      <c r="AO82" s="829" t="str">
        <f>IF($C82&lt;1,"",(AVERAGEIFS('09월 화학성분'!AJ$12:AJ$949,'09월 화학성분'!$A$12:$A$949,$A82,'09월 화학성분'!$D$12:$D$949,$B82)))</f>
        <v/>
      </c>
      <c r="AP82" s="829" t="str">
        <f>IF($C82&lt;1,"",(AVERAGEIFS('09월 화학성분'!#REF!,'09월 화학성분'!$A$12:$A$949,$A82,'09월 화학성분'!$D$12:$D$949,$B82)))</f>
        <v/>
      </c>
      <c r="AQ82" s="829" t="str">
        <f>IF($C82&lt;1,"",(AVERAGEIFS('09월 화학성분'!AL$12:AL$949,'09월 화학성분'!$A$12:$A$949,$A82,'09월 화학성분'!$D$12:$D$949,$B82)))</f>
        <v/>
      </c>
      <c r="AR82" s="829" t="str">
        <f>IF($C82&lt;1,"",(AVERAGEIFS('09월 화학성분'!AM$12:AM$949,'09월 화학성분'!$A$12:$A$949,$A82,'09월 화학성분'!$D$12:$D$949,$B82)))</f>
        <v/>
      </c>
      <c r="AS82" s="830" t="str">
        <f>IF($C82&lt;1,"",(AVERAGEIFS('09월 화학성분'!AN$12:AN$949,'09월 화학성분'!$A$12:$A$949,$A82,'09월 화학성분'!$D$12:$D$949,$B82)))</f>
        <v/>
      </c>
      <c r="AT82" s="830" t="str">
        <f>IF($C82&lt;1,"",(AVERAGEIFS('09월 화학성분'!AO$12:AO$949,'09월 화학성분'!$A$12:$A$949,$A82,'09월 화학성분'!$D$12:$D$949,$B82)))</f>
        <v/>
      </c>
      <c r="AU82" s="831" t="str">
        <f>IF($C82&lt;1,"",(AVERAGEIFS('09월 화학성분'!AP$12:AP$949,'09월 화학성분'!$A$12:$A$949,$A82,'09월 화학성분'!$D$12:$D$949,$B82)))</f>
        <v/>
      </c>
      <c r="AV82" s="832" t="str">
        <f>IF($C82&lt;1,"",(AVERAGEIFS('09월 고철장입'!G$14:G$949,'09월 고철장입'!$A$14:$A$949,$A82,'09월 고철장입'!$C$14:$C$949,$B82))/1000)</f>
        <v/>
      </c>
      <c r="AW82" s="832" t="str">
        <f>IF($C82&lt;1,"",(AVERAGEIFS('09월 고철장입'!H$14:H$949,'09월 고철장입'!$A$14:$A$949,$A82,'09월 고철장입'!$C$14:$C$949,$B82))/1000)</f>
        <v/>
      </c>
      <c r="AX82" s="832" t="str">
        <f>IF($C82&lt;1,"",(AVERAGEIFS('09월 고철장입'!I$14:I$949,'09월 고철장입'!$A$14:$A$949,$A82,'09월 고철장입'!$C$14:$C$949,$B82))/1000)</f>
        <v/>
      </c>
      <c r="AY82" s="832" t="str">
        <f>IF($C82&lt;1,"",(AVERAGEIFS('09월 고철장입'!J$14:J$949,'09월 고철장입'!$A$14:$A$949,$A82,'09월 고철장입'!$C$14:$C$949,$B82))/1000)</f>
        <v/>
      </c>
      <c r="AZ82" s="832" t="str">
        <f>IF($C82&lt;1,"",(AVERAGEIFS('09월 고철장입'!K$14:K$949,'09월 고철장입'!$A$14:$A$949,$A82,'09월 고철장입'!$C$14:$C$949,$B82))/1000)</f>
        <v/>
      </c>
      <c r="BA82" s="832" t="str">
        <f>IF($C82&lt;1,"",(AVERAGEIFS('09월 고철장입'!L$14:L$949,'09월 고철장입'!$A$14:$A$949,$A82,'09월 고철장입'!$C$14:$C$949,$B82))/1000)</f>
        <v/>
      </c>
      <c r="BB82" s="832" t="str">
        <f>IF($C82&lt;1,"",(AVERAGEIFS('09월 고철장입'!M$14:M$949,'09월 고철장입'!$A$14:$A$949,$A82,'09월 고철장입'!$C$14:$C$949,$B82))/1000)</f>
        <v/>
      </c>
      <c r="BC82" s="832" t="str">
        <f>IF($C82&lt;1,"",(AVERAGEIFS('09월 고철장입'!N$14:N$949,'09월 고철장입'!$A$14:$A$949,$A82,'09월 고철장입'!$C$14:$C$949,$B82))/1000)</f>
        <v/>
      </c>
      <c r="BD82" s="832" t="str">
        <f>IF($C82&lt;1,"",(AVERAGEIFS('09월 고철장입'!O$14:O$949,'09월 고철장입'!$A$14:$A$949,$A82,'09월 고철장입'!$C$14:$C$949,$B82))/1000)</f>
        <v/>
      </c>
      <c r="BE82" s="833" t="str">
        <f>IF($C82&lt;1,"",(AVERAGEIFS('09월 고철장입'!P$14:P$949,'09월 고철장입'!$A$14:$A$949,$A82,'09월 고철장입'!$C$14:$C$949,$B82))/1000)</f>
        <v/>
      </c>
      <c r="BF82" s="833" t="str">
        <f>IF($C82&lt;1,"",(AVERAGEIFS('09월 고철장입'!Q$14:Q$949,'09월 고철장입'!$A$14:$A$949,$A82,'09월 고철장입'!$C$14:$C$949,$B82))/1000)</f>
        <v/>
      </c>
      <c r="BG82" s="833" t="str">
        <f>IF($C82&lt;1,"",(AVERAGEIFS('09월 고철장입'!S$14:S$949,'09월 고철장입'!$A$14:$A$949,$A82,'09월 고철장입'!$C$14:$C$949,$B82))/1000)</f>
        <v/>
      </c>
      <c r="BH82" s="833" t="str">
        <f>IF($C82&lt;1,"",(AVERAGEIFS('09월 고철장입'!T$14:T$949,'09월 고철장입'!$A$14:$A$949,$A82,'09월 고철장입'!$C$14:$C$949,$B82))/1000)</f>
        <v/>
      </c>
      <c r="BI82" s="833" t="str">
        <f>IF($C82&lt;1,"",(AVERAGEIFS('09월 고철장입'!U$14:U$949,'09월 고철장입'!$A$14:$A$949,$A82,'09월 고철장입'!$C$14:$C$949,$B82))/1000)</f>
        <v/>
      </c>
      <c r="BJ82" s="833" t="str">
        <f>IF($C82&lt;1,"",(AVERAGEIFS('09월 고철장입'!V$14:V$949,'09월 고철장입'!$A$14:$A$949,$A82,'09월 고철장입'!$C$14:$C$949,$B82))/1000)</f>
        <v/>
      </c>
      <c r="BK82" s="833" t="str">
        <f>IF($C82&lt;1,"",(AVERAGEIFS('09월 고철장입'!W$14:W$949,'09월 고철장입'!$A$14:$A$949,$A82,'09월 고철장입'!$C$14:$C$949,$B82))/1000)</f>
        <v/>
      </c>
      <c r="BL82" s="833" t="str">
        <f>IF($C82&lt;1,"",(AVERAGEIFS('09월 고철장입'!Y$14:Y$949,'09월 고철장입'!$A$14:$A$949,$A82,'09월 고철장입'!$C$14:$C$949,$B82))/1000)</f>
        <v/>
      </c>
      <c r="BM82" s="833" t="str">
        <f>IF($C82&lt;1,"",(AVERAGEIFS('09월 고철장입'!AB$14:AB$949,'09월 고철장입'!$A$14:$A$949,$A82,'09월 고철장입'!$C$14:$C$949,$B82))/1000)</f>
        <v/>
      </c>
      <c r="BN82" s="833" t="str">
        <f>IF($C82&lt;1,"",(AVERAGEIFS('09월 고철장입'!AC$14:AC$949,'09월 고철장입'!$A$14:$A$949,$A82,'09월 고철장입'!$C$14:$C$949,$B82))/1000)</f>
        <v/>
      </c>
      <c r="BO82" s="833" t="str">
        <f>IF($C82&lt;1,"",(AVERAGEIFS('09월 고철장입'!AD$14:AD$949,'09월 고철장입'!$A$14:$A$949,$A82,'09월 고철장입'!$C$14:$C$949,$B82))/1000)</f>
        <v/>
      </c>
      <c r="BP82" s="833" t="str">
        <f>IF($C82&lt;1,"",(AVERAGEIFS('09월 고철장입'!AE$14:AE$949,'09월 고철장입'!$A$14:$A$949,$A82,'09월 고철장입'!$C$14:$C$949,$B82))/1000)</f>
        <v/>
      </c>
      <c r="BQ82" s="832" t="str">
        <f>IF($C82&lt;1,"",(AVERAGEIFS('09월 고철장입'!AF$14:AF$949,'09월 고철장입'!$A$14:$A$949,$A82,'09월 고철장입'!$C$14:$C$949,$B82))/1000)</f>
        <v/>
      </c>
      <c r="BR82" s="832" t="str">
        <f>IF($C82&lt;1,"",(AVERAGEIFS('09월 고철장입'!AG$14:AG$949,'09월 고철장입'!$A$14:$A$949,$A82,'09월 고철장입'!$C$14:$C$949,$B82))/1000)</f>
        <v/>
      </c>
      <c r="BS82" s="832" t="str">
        <f>IF($C82&lt;1,"",(AVERAGEIFS('09월 고철장입'!AH$14:AH$949,'09월 고철장입'!$A$14:$A$949,$A82,'09월 고철장입'!$C$14:$C$949,$B82))/1000)</f>
        <v/>
      </c>
      <c r="BT82" s="832" t="str">
        <f>IF($C82&lt;1,"",(AVERAGEIFS('09월 고철장입'!AI$14:AI$949,'09월 고철장입'!$A$14:$A$949,$A82,'09월 고철장입'!$C$14:$C$949,$B82))/1000)</f>
        <v/>
      </c>
      <c r="BU82" s="834" t="str">
        <f>IF($C82&lt;1,"",(AVERAGEIFS('09월 고철장입'!AJ$14:AJ$949,'09월 고철장입'!$A$14:$A$949,$A82,'09월 고철장입'!$C$14:$C$949,$B82))/1000)</f>
        <v/>
      </c>
      <c r="BV82" s="834" t="str">
        <f>IF($C82&lt;1,"",(AVERAGEIFS('09월 고철장입'!AK$14:AK$949,'09월 고철장입'!$A$14:$A$949,$A82,'09월 고철장입'!$C$14:$C$949,$B82)))</f>
        <v/>
      </c>
      <c r="BW82" s="834" t="str">
        <f>IF($C82&lt;1,"",(AVERAGEIFS('09월 고철장입'!AL$14:AL$949,'09월 고철장입'!$A$14:$A$949,$A82,'09월 고철장입'!$C$14:$C$949,$B82))*100)</f>
        <v/>
      </c>
      <c r="BX82" s="831" t="str">
        <f>IF($C82&lt;1,"",(AVERAGEIFS('09월 에너지'!G$14:G$949,'09월 에너지'!$A$14:$A$949,$A82,'09월 에너지'!$C$14:$C$949,$B82)))</f>
        <v/>
      </c>
      <c r="BY82" s="835" t="str">
        <f>IF($C82&lt;1,"",(AVERAGEIFS('09월 에너지'!H$14:H$949,'09월 에너지'!$A$14:$A$949,$A82,'09월 에너지'!$C$14:$C$949,$B82)))</f>
        <v/>
      </c>
      <c r="BZ82" s="831" t="str">
        <f>IF($C82&lt;1,"",(AVERAGEIFS('09월 에너지'!I$14:I$949,'09월 에너지'!$A$14:$A$949,$A82,'09월 에너지'!$C$14:$C$949,$B82)))</f>
        <v/>
      </c>
      <c r="CA82" s="835" t="str">
        <f>IF($C82&lt;1,"",(AVERAGEIFS('09월 에너지'!J$14:J$949,'09월 에너지'!$A$14:$A$949,$A82,'09월 에너지'!$C$14:$C$949,$B82)))</f>
        <v/>
      </c>
      <c r="CB82" s="831" t="str">
        <f>IF($C82&lt;1,"",(AVERAGEIFS('09월 에너지'!K$14:K$949,'09월 에너지'!$A$14:$A$949,$A82,'09월 에너지'!$C$14:$C$949,$B82)))</f>
        <v/>
      </c>
      <c r="CC82" s="835" t="str">
        <f>IF($C82&lt;1,"",(AVERAGEIFS('09월 에너지'!L$14:L$949,'09월 에너지'!$A$14:$A$949,$A82,'09월 에너지'!$C$14:$C$949,$B82)))</f>
        <v/>
      </c>
      <c r="CD82" s="831" t="str">
        <f>IF($C82&lt;1,"",(AVERAGEIFS('09월 에너지'!M$14:M$949,'09월 에너지'!$A$14:$A$949,$A82,'09월 에너지'!$C$14:$C$949,$B82)))</f>
        <v/>
      </c>
      <c r="CE82" s="835" t="str">
        <f>IF($C82&lt;1,"",(AVERAGEIFS('09월 에너지'!N$14:N$949,'09월 에너지'!$A$14:$A$949,$A82,'09월 에너지'!$C$14:$C$949,$B82)))</f>
        <v/>
      </c>
      <c r="CF82" s="831" t="str">
        <f>IF($C82&lt;1,"",(AVERAGEIFS('09월 에너지'!O$14:O$949,'09월 에너지'!$A$14:$A$949,$A82,'09월 에너지'!$C$14:$C$949,$B82)))</f>
        <v/>
      </c>
      <c r="CG82" s="831" t="str">
        <f>IF($C82&lt;1,"",(AVERAGEIFS('09월 에너지'!P$14:P$949,'09월 에너지'!$A$14:$A$949,$A82,'09월 에너지'!$C$14:$C$949,$B82)))</f>
        <v/>
      </c>
      <c r="CH82" s="831" t="str">
        <f>IF($C82&lt;1,"",(AVERAGEIFS('09월 에너지'!Q$14:Q$949,'09월 에너지'!$A$14:$A$949,$A82,'09월 에너지'!$C$14:$C$949,$B82)))</f>
        <v/>
      </c>
      <c r="CI82" s="831" t="str">
        <f>IF($C82&lt;1,"",(AVERAGEIFS('09월 에너지'!R$14:R$949,'09월 에너지'!$A$14:$A$949,$A82,'09월 에너지'!$C$14:$C$949,$B82)))</f>
        <v/>
      </c>
      <c r="CJ82" s="831" t="str">
        <f>IF($C82&lt;1,"",(AVERAGEIFS('09월 에너지'!S$14:S$949,'09월 에너지'!$A$14:$A$949,$A82,'09월 에너지'!$C$14:$C$949,$B82)))</f>
        <v/>
      </c>
      <c r="CK82" s="831" t="str">
        <f>IF($C82&lt;1,"",(AVERAGEIFS('09월 에너지'!T$14:T$949,'09월 에너지'!$A$14:$A$949,$A82,'09월 에너지'!$C$14:$C$949,$B82)))</f>
        <v/>
      </c>
      <c r="CL82" s="831" t="str">
        <f>IF($C82&lt;1,"",(AVERAGEIFS('09월 에너지'!U$14:U$949,'09월 에너지'!$A$14:$A$949,$A82,'09월 에너지'!$C$14:$C$949,$B82)))</f>
        <v/>
      </c>
      <c r="CM82" s="835" t="str">
        <f>IF($C82&lt;1,"",(AVERAGEIFS('09월 에너지'!V$14:V$949,'09월 에너지'!$A$14:$A$949,$A82,'09월 에너지'!$C$14:$C$949,$B82)))</f>
        <v/>
      </c>
      <c r="CN82" s="835" t="str">
        <f>IF($C82&lt;1,"",(AVERAGEIFS('09월 에너지'!W$14:W$949,'09월 에너지'!$A$14:$A$949,$A82,'09월 에너지'!$C$14:$C$949,$B82)))</f>
        <v/>
      </c>
      <c r="CO82" s="831" t="str">
        <f>IF($C82&lt;1,"",(AVERAGEIFS('09월 에너지'!X$14:X$949,'09월 에너지'!$A$14:$A$949,$A82,'09월 에너지'!$C$14:$C$949,$B82)))</f>
        <v/>
      </c>
      <c r="CP82" s="835" t="str">
        <f>IF($C82&lt;1,"",(AVERAGEIFS('09월 에너지'!Y$14:Y$949,'09월 에너지'!$A$14:$A$949,$A82,'09월 에너지'!$C$14:$C$949,$B82)))</f>
        <v/>
      </c>
      <c r="CQ82" s="835" t="str">
        <f>IF($C82&lt;1,"",(AVERAGEIFS('09월 에너지'!Z$14:Z$949,'09월 에너지'!$A$14:$A$949,$A82,'09월 에너지'!$C$14:$C$949,$B82)))</f>
        <v/>
      </c>
      <c r="CR82" s="835" t="str">
        <f>IF($C82&lt;1,"",(AVERAGEIFS('09월 에너지'!AA$14:AA$949,'09월 에너지'!$A$14:$A$949,$A82,'09월 에너지'!$C$14:$C$949,$B82)))</f>
        <v/>
      </c>
      <c r="CS82" s="835" t="str">
        <f>IF($C82&lt;1,"",(AVERAGEIFS('09월 에너지'!AB$14:AB$949,'09월 에너지'!$A$14:$A$949,$A82,'09월 에너지'!$C$14:$C$949,$B82)))</f>
        <v/>
      </c>
      <c r="CT82" s="831" t="str">
        <f>IF($C82&lt;1,"",(AVERAGEIFS('09월 에너지'!AC$14:AC$949,'09월 에너지'!$A$14:$A$949,$A82,'09월 에너지'!$C$14:$C$949,$B82)))</f>
        <v/>
      </c>
      <c r="CU82" s="836" t="str">
        <f>IF($C82&lt;1,"",(AVERAGEIFS('09월 에너지'!AD$14:AD$949,'09월 에너지'!$A$14:$A$949,$A82,'09월 에너지'!$C$14:$C$949,$B82)))</f>
        <v/>
      </c>
      <c r="CV82" s="837" t="str">
        <f>IF($C82&lt;1,"",(AVERAGEIFS('09월 에너지'!AE$14:AE$949,'09월 에너지'!$A$14:$A$949,$A82,'09월 에너지'!$C$14:$C$949,$B82)))</f>
        <v/>
      </c>
      <c r="CW82" s="831" t="str">
        <f>IF($C82&lt;1,"",(AVERAGEIFS('09월 에너지'!AF$14:AF$949,'09월 에너지'!$A$14:$A$949,$A82,'09월 에너지'!$C$14:$C$949,$B82)))</f>
        <v/>
      </c>
      <c r="CX82" s="831" t="str">
        <f>IF($C82&lt;1,"",(AVERAGEIFS('09월 에너지'!AG$14:AG$949,'09월 에너지'!$A$14:$A$949,$A82,'09월 에너지'!$C$14:$C$949,$B82)))</f>
        <v/>
      </c>
      <c r="CY82" s="831" t="str">
        <f>IF($C82&lt;1,"",(AVERAGEIFS('09월 에너지'!AH$14:AH$949,'09월 에너지'!$A$14:$A$949,$A82,'09월 에너지'!$C$14:$C$949,$B82)))</f>
        <v/>
      </c>
      <c r="CZ82" s="831" t="str">
        <f>IF($C82&lt;1,"",(AVERAGEIFS('09월 에너지'!AI$14:AI$949,'09월 에너지'!$A$14:$A$949,$A82,'09월 에너지'!$C$14:$C$949,$B82)))</f>
        <v/>
      </c>
      <c r="DA82" s="838" t="str">
        <f>IF($C82&lt;1,"",(AVERAGEIFS('09월 에너지'!AJ$14:AJ$949,'09월 에너지'!$A$14:$A$949,$A82,'09월 에너지'!$C$14:$C$949,$B82)))</f>
        <v/>
      </c>
    </row>
    <row r="83" spans="1:105" ht="13.5" customHeight="1">
      <c r="A83" s="849">
        <f t="shared" si="16"/>
        <v>44942</v>
      </c>
      <c r="B83" s="850" t="s">
        <v>100</v>
      </c>
      <c r="C83" s="823">
        <f>COUNTIFS('09월 조업일지'!$A$12:$A$952,A81,'09월 조업일지'!$E$12:$E$952,B83)</f>
        <v>0</v>
      </c>
      <c r="D83" s="824" t="str">
        <f t="shared" ref="D83:D85" si="18">IF(C83&lt;1,"",F83-E83)</f>
        <v/>
      </c>
      <c r="E83" s="824" t="str">
        <f>IF($C83&lt;1,"",(SUMIFS('09월 조업일지'!$K$12:$K$952,'09월 조업일지'!$A$12:$A$952,$A83,'09월 조업일지'!$E$12:$E$952,$B83)/$C83))</f>
        <v/>
      </c>
      <c r="F83" s="824" t="str">
        <f>IF($C83&lt;1,"",(AVERAGEIFS('09월 조업일지'!$J$12:$J$952,'09월 조업일지'!$A$12:$A$952,$A83,'09월 조업일지'!$E$12:$E$952,$B83)))</f>
        <v/>
      </c>
      <c r="G83" s="825" t="str">
        <f>IF($C83&lt;1,"",(AVERAGEIFS('09월 에너지'!$M$14:$M$949,'09월 에너지'!$A$14:$A$949,$A83,'09월 에너지'!$C$14:$C$949,$B83)))</f>
        <v/>
      </c>
      <c r="H83" s="826" t="str">
        <f>IF($C83&lt;1,"",(AVERAGEIFS('09월 조업일지'!$AJ$12:$AJ$952,'09월 조업일지'!$A$12:$A$952,$A83,'09월 조업일지'!$E$12:$E$952,$B83)))</f>
        <v/>
      </c>
      <c r="I83" s="826" t="str">
        <f>IF($C83&lt;1,"",(AVERAGEIFS('09월 조업일지'!$AL$12:$AL$952,'09월 조업일지'!$A$12:$A$952,$A83,'09월 조업일지'!$E$12:$E$952,$B83)))</f>
        <v/>
      </c>
      <c r="J83" s="827" t="str">
        <f>IF($C83&lt;1,"",(AVERAGEIFS('09월 화학성분'!G$12:G$949,'09월 화학성분'!$A$12:$A$949,$A83,'09월 화학성분'!$D$12:$D$949,$B83)))</f>
        <v/>
      </c>
      <c r="K83" s="827" t="str">
        <f>IF($C83&lt;1,"",(AVERAGEIFS('09월 화학성분'!H$12:H$949,'09월 화학성분'!$A$12:$A$949,$A83,'09월 화학성분'!$D$12:$D$949,$B83)))</f>
        <v/>
      </c>
      <c r="L83" s="827" t="str">
        <f>IF($C83&lt;1,"",(AVERAGEIFS('09월 화학성분'!I$12:I$949,'09월 화학성분'!$A$12:$A$949,$A83,'09월 화학성분'!$D$12:$D$949,$B83)))</f>
        <v/>
      </c>
      <c r="M83" s="827" t="str">
        <f>IF($C83&lt;1,"",(AVERAGEIFS('09월 화학성분'!J$12:J$949,'09월 화학성분'!$A$12:$A$949,$A83,'09월 화학성분'!$D$12:$D$949,$B83)))</f>
        <v/>
      </c>
      <c r="N83" s="827" t="str">
        <f>IF($C83&lt;1,"",(AVERAGEIFS('09월 화학성분'!K$12:K$949,'09월 화학성분'!$A$12:$A$949,$A83,'09월 화학성분'!$D$12:$D$949,$B83)))</f>
        <v/>
      </c>
      <c r="O83" s="827" t="str">
        <f>IF($C83&lt;1,"",(AVERAGEIFS('09월 화학성분'!L$12:L$949,'09월 화학성분'!$A$12:$A$949,$A83,'09월 화학성분'!$D$12:$D$949,$B83)))</f>
        <v/>
      </c>
      <c r="P83" s="827" t="str">
        <f>IF($C83&lt;1,"",(AVERAGEIFS('09월 화학성분'!M$12:M$949,'09월 화학성분'!$A$12:$A$949,$A83,'09월 화학성분'!$D$12:$D$949,$B83)))</f>
        <v/>
      </c>
      <c r="Q83" s="827" t="str">
        <f>IFERROR(IF($C83&lt;1,"",(AVERAGEIFS('09월 조업일지'!$AA$12:$AA$952,'09월 조업일지'!$A$12:$A$952,$A83,'09월 조업일지'!$E$12:$E$952,$B83))),"")</f>
        <v/>
      </c>
      <c r="R83" s="827" t="str">
        <f>IF($C83&lt;1,"",(AVERAGEIFS('09월 조업일지'!$AK$12:$AK$952,'09월 조업일지'!$A$12:$A$952,$A83,'09월 조업일지'!$E$12:$E$952,$B83)))</f>
        <v/>
      </c>
      <c r="S83" s="827"/>
      <c r="T83" s="827"/>
      <c r="U83" s="827" t="str">
        <f>IF($C83&lt;1,"",(AVERAGEIFS('09월 화학성분'!$G$12:$G$949,'09월 화학성분'!$A$12:$A$949,$A83,'09월 화학성분'!$D$12:$D$949,$B83)))</f>
        <v/>
      </c>
      <c r="V83" s="827" t="str">
        <f>IF($C83&lt;1,"",(AVERAGEIFS('09월 조업일지'!$AI$12:$AI$952,'09월 조업일지'!$A$12:$A$952,$A83,'09월 조업일지'!$E$12:$E$952,$B83)))</f>
        <v/>
      </c>
      <c r="W83" s="828" t="str">
        <f>IF($C83&lt;1,"",(AVERAGEIFS('09월 화학성분'!$AM$12:$AM$949,'09월 화학성분'!$A$12:$A$949,$A83,'09월 화학성분'!$D$12:$D$949,$B83)))</f>
        <v/>
      </c>
      <c r="X83" s="829" t="str">
        <f>IF($C83&lt;1,"",(AVERAGEIFS('09월 화학성분'!N$12:N$949,'09월 화학성분'!$A$12:$A$949,$A83,'09월 화학성분'!$D$12:$D$949,$B83)))</f>
        <v/>
      </c>
      <c r="Y83" s="829" t="str">
        <f>IF($C83&lt;1,"",(AVERAGEIFS('09월 화학성분'!O$12:O$949,'09월 화학성분'!$A$12:$A$949,$A83,'09월 화학성분'!$D$12:$D$949,$B83)))</f>
        <v/>
      </c>
      <c r="Z83" s="829" t="str">
        <f>IF($C83&lt;1,"",(AVERAGEIFS('09월 화학성분'!P$12:P$949,'09월 화학성분'!$A$12:$A$949,$A83,'09월 화학성분'!$D$12:$D$949,$B83)))</f>
        <v/>
      </c>
      <c r="AA83" s="829" t="str">
        <f>IF($C83&lt;1,"",(AVERAGEIFS('09월 화학성분'!Q$12:Q$949,'09월 화학성분'!$A$12:$A$949,$A83,'09월 화학성분'!$D$12:$D$949,$B83)))</f>
        <v/>
      </c>
      <c r="AB83" s="829" t="str">
        <f>IF($C83&lt;1,"",(AVERAGEIFS('09월 화학성분'!R$12:R$949,'09월 화학성분'!$A$12:$A$949,$A83,'09월 화학성분'!$D$12:$D$949,$B83)))</f>
        <v/>
      </c>
      <c r="AC83" s="829" t="str">
        <f>IF($C83&lt;1,"",(AVERAGEIFS('09월 화학성분'!U$12:U$949,'09월 화학성분'!$A$12:$A$949,$A83,'09월 화학성분'!$D$12:$D$949,$B83)))</f>
        <v/>
      </c>
      <c r="AD83" s="829" t="str">
        <f>IF($C83&lt;1,"",(AVERAGEIFS('09월 화학성분'!V$12:V$949,'09월 화학성분'!$A$12:$A$949,$A83,'09월 화학성분'!$D$12:$D$949,$B83)))</f>
        <v/>
      </c>
      <c r="AE83" s="829" t="str">
        <f>IF($C83&lt;1,"",(AVERAGEIFS('09월 화학성분'!W$12:W$949,'09월 화학성분'!$A$12:$A$949,$A83,'09월 화학성분'!$D$12:$D$949,$B83)))</f>
        <v/>
      </c>
      <c r="AF83" s="829" t="str">
        <f>IF($C83&lt;1,"",(AVERAGEIFS('09월 화학성분'!AA$12:AA$949,'09월 화학성분'!$A$12:$A$949,$A83,'09월 화학성분'!$D$12:$D$949,$B83)))</f>
        <v/>
      </c>
      <c r="AG83" s="829" t="str">
        <f>IF($C83&lt;1,"",(AVERAGEIFS('09월 화학성분'!#REF!,'09월 화학성분'!$A$12:$A$949,$A83,'09월 화학성분'!$D$12:$D$949,$B83)))</f>
        <v/>
      </c>
      <c r="AH83" s="829" t="str">
        <f>IF($C83&lt;1,"",(AVERAGEIFS('09월 화학성분'!AB$12:AB$949,'09월 화학성분'!$A$12:$A$949,$A83,'09월 화학성분'!$D$12:$D$949,$B83)))</f>
        <v/>
      </c>
      <c r="AI83" s="829" t="str">
        <f>IF($C83&lt;1,"",(AVERAGEIFS('09월 화학성분'!AC$12:AC$949,'09월 화학성분'!$A$12:$A$949,$A83,'09월 화학성분'!$D$12:$D$949,$B83)))</f>
        <v/>
      </c>
      <c r="AJ83" s="829" t="str">
        <f>IF($C83&lt;1,"",(AVERAGEIFS('09월 화학성분'!AD$12:AD$949,'09월 화학성분'!$A$12:$A$949,$A83,'09월 화학성분'!$D$12:$D$949,$B83)))</f>
        <v/>
      </c>
      <c r="AK83" s="829" t="str">
        <f>IF($C83&lt;1,"",(AVERAGEIFS('09월 화학성분'!AF$12:AF$949,'09월 화학성분'!$A$12:$A$949,$A83,'09월 화학성분'!$D$12:$D$949,$B83)))</f>
        <v/>
      </c>
      <c r="AL83" s="829" t="str">
        <f>IF($C83&lt;1,"",(AVERAGEIFS('09월 화학성분'!AG$12:AG$949,'09월 화학성분'!$A$12:$A$949,$A83,'09월 화학성분'!$D$12:$D$949,$B83)))</f>
        <v/>
      </c>
      <c r="AM83" s="829" t="str">
        <f>IF($C83&lt;1,"",(AVERAGEIFS('09월 화학성분'!AH$12:AH$949,'09월 화학성분'!$A$12:$A$949,$A83,'09월 화학성분'!$D$12:$D$949,$B83)))</f>
        <v/>
      </c>
      <c r="AN83" s="829" t="str">
        <f>IF($C83&lt;1,"",(AVERAGEIFS('09월 화학성분'!AI$12:AI$949,'09월 화학성분'!$A$12:$A$949,$A83,'09월 화학성분'!$D$12:$D$949,$B83)))</f>
        <v/>
      </c>
      <c r="AO83" s="829" t="str">
        <f>IF($C83&lt;1,"",(AVERAGEIFS('09월 화학성분'!AJ$12:AJ$949,'09월 화학성분'!$A$12:$A$949,$A83,'09월 화학성분'!$D$12:$D$949,$B83)))</f>
        <v/>
      </c>
      <c r="AP83" s="829" t="str">
        <f>IF($C83&lt;1,"",(AVERAGEIFS('09월 화학성분'!#REF!,'09월 화학성분'!$A$12:$A$949,$A83,'09월 화학성분'!$D$12:$D$949,$B83)))</f>
        <v/>
      </c>
      <c r="AQ83" s="829" t="str">
        <f>IF($C83&lt;1,"",(AVERAGEIFS('09월 화학성분'!AL$12:AL$949,'09월 화학성분'!$A$12:$A$949,$A83,'09월 화학성분'!$D$12:$D$949,$B83)))</f>
        <v/>
      </c>
      <c r="AR83" s="829" t="str">
        <f>IF($C83&lt;1,"",(AVERAGEIFS('09월 화학성분'!AM$12:AM$949,'09월 화학성분'!$A$12:$A$949,$A83,'09월 화학성분'!$D$12:$D$949,$B83)))</f>
        <v/>
      </c>
      <c r="AS83" s="830" t="str">
        <f>IF($C83&lt;1,"",(AVERAGEIFS('09월 화학성분'!AN$12:AN$949,'09월 화학성분'!$A$12:$A$949,$A83,'09월 화학성분'!$D$12:$D$949,$B83)))</f>
        <v/>
      </c>
      <c r="AT83" s="830" t="str">
        <f>IF($C83&lt;1,"",(AVERAGEIFS('09월 화학성분'!AO$12:AO$949,'09월 화학성분'!$A$12:$A$949,$A83,'09월 화학성분'!$D$12:$D$949,$B83)))</f>
        <v/>
      </c>
      <c r="AU83" s="831" t="str">
        <f>IF($C83&lt;1,"",(AVERAGEIFS('09월 화학성분'!AP$12:AP$949,'09월 화학성분'!$A$12:$A$949,$A83,'09월 화학성분'!$D$12:$D$949,$B83)))</f>
        <v/>
      </c>
      <c r="AV83" s="832" t="str">
        <f>IF($C83&lt;1,"",(AVERAGEIFS('09월 고철장입'!G$14:G$949,'09월 고철장입'!$A$14:$A$949,$A83,'09월 고철장입'!$C$14:$C$949,$B83))/1000)</f>
        <v/>
      </c>
      <c r="AW83" s="832" t="str">
        <f>IF($C83&lt;1,"",(AVERAGEIFS('09월 고철장입'!H$14:H$949,'09월 고철장입'!$A$14:$A$949,$A83,'09월 고철장입'!$C$14:$C$949,$B83))/1000)</f>
        <v/>
      </c>
      <c r="AX83" s="832" t="str">
        <f>IF($C83&lt;1,"",(AVERAGEIFS('09월 고철장입'!I$14:I$949,'09월 고철장입'!$A$14:$A$949,$A83,'09월 고철장입'!$C$14:$C$949,$B83))/1000)</f>
        <v/>
      </c>
      <c r="AY83" s="832" t="str">
        <f>IF($C83&lt;1,"",(AVERAGEIFS('09월 고철장입'!J$14:J$949,'09월 고철장입'!$A$14:$A$949,$A83,'09월 고철장입'!$C$14:$C$949,$B83))/1000)</f>
        <v/>
      </c>
      <c r="AZ83" s="832" t="str">
        <f>IF($C83&lt;1,"",(AVERAGEIFS('09월 고철장입'!K$14:K$949,'09월 고철장입'!$A$14:$A$949,$A83,'09월 고철장입'!$C$14:$C$949,$B83))/1000)</f>
        <v/>
      </c>
      <c r="BA83" s="832" t="str">
        <f>IF($C83&lt;1,"",(AVERAGEIFS('09월 고철장입'!L$14:L$949,'09월 고철장입'!$A$14:$A$949,$A83,'09월 고철장입'!$C$14:$C$949,$B83))/1000)</f>
        <v/>
      </c>
      <c r="BB83" s="832" t="str">
        <f>IF($C83&lt;1,"",(AVERAGEIFS('09월 고철장입'!M$14:M$949,'09월 고철장입'!$A$14:$A$949,$A83,'09월 고철장입'!$C$14:$C$949,$B83))/1000)</f>
        <v/>
      </c>
      <c r="BC83" s="832" t="str">
        <f>IF($C83&lt;1,"",(AVERAGEIFS('09월 고철장입'!N$14:N$949,'09월 고철장입'!$A$14:$A$949,$A83,'09월 고철장입'!$C$14:$C$949,$B83))/1000)</f>
        <v/>
      </c>
      <c r="BD83" s="832" t="str">
        <f>IF($C83&lt;1,"",(AVERAGEIFS('09월 고철장입'!O$14:O$949,'09월 고철장입'!$A$14:$A$949,$A83,'09월 고철장입'!$C$14:$C$949,$B83))/1000)</f>
        <v/>
      </c>
      <c r="BE83" s="833" t="str">
        <f>IF($C83&lt;1,"",(AVERAGEIFS('09월 고철장입'!P$14:P$949,'09월 고철장입'!$A$14:$A$949,$A83,'09월 고철장입'!$C$14:$C$949,$B83))/1000)</f>
        <v/>
      </c>
      <c r="BF83" s="833" t="str">
        <f>IF($C83&lt;1,"",(AVERAGEIFS('09월 고철장입'!Q$14:Q$949,'09월 고철장입'!$A$14:$A$949,$A83,'09월 고철장입'!$C$14:$C$949,$B83))/1000)</f>
        <v/>
      </c>
      <c r="BG83" s="833" t="str">
        <f>IF($C83&lt;1,"",(AVERAGEIFS('09월 고철장입'!S$14:S$949,'09월 고철장입'!$A$14:$A$949,$A83,'09월 고철장입'!$C$14:$C$949,$B83))/1000)</f>
        <v/>
      </c>
      <c r="BH83" s="833" t="str">
        <f>IF($C83&lt;1,"",(AVERAGEIFS('09월 고철장입'!T$14:T$949,'09월 고철장입'!$A$14:$A$949,$A83,'09월 고철장입'!$C$14:$C$949,$B83))/1000)</f>
        <v/>
      </c>
      <c r="BI83" s="833" t="str">
        <f>IF($C83&lt;1,"",(AVERAGEIFS('09월 고철장입'!U$14:U$949,'09월 고철장입'!$A$14:$A$949,$A83,'09월 고철장입'!$C$14:$C$949,$B83))/1000)</f>
        <v/>
      </c>
      <c r="BJ83" s="833" t="str">
        <f>IF($C83&lt;1,"",(AVERAGEIFS('09월 고철장입'!V$14:V$949,'09월 고철장입'!$A$14:$A$949,$A83,'09월 고철장입'!$C$14:$C$949,$B83))/1000)</f>
        <v/>
      </c>
      <c r="BK83" s="833" t="str">
        <f>IF($C83&lt;1,"",(AVERAGEIFS('09월 고철장입'!W$14:W$949,'09월 고철장입'!$A$14:$A$949,$A83,'09월 고철장입'!$C$14:$C$949,$B83))/1000)</f>
        <v/>
      </c>
      <c r="BL83" s="833" t="str">
        <f>IF($C83&lt;1,"",(AVERAGEIFS('09월 고철장입'!Y$14:Y$949,'09월 고철장입'!$A$14:$A$949,$A83,'09월 고철장입'!$C$14:$C$949,$B83))/1000)</f>
        <v/>
      </c>
      <c r="BM83" s="833" t="str">
        <f>IF($C83&lt;1,"",(AVERAGEIFS('09월 고철장입'!AB$14:AB$949,'09월 고철장입'!$A$14:$A$949,$A83,'09월 고철장입'!$C$14:$C$949,$B83))/1000)</f>
        <v/>
      </c>
      <c r="BN83" s="833" t="str">
        <f>IF($C83&lt;1,"",(AVERAGEIFS('09월 고철장입'!AC$14:AC$949,'09월 고철장입'!$A$14:$A$949,$A83,'09월 고철장입'!$C$14:$C$949,$B83))/1000)</f>
        <v/>
      </c>
      <c r="BO83" s="833" t="str">
        <f>IF($C83&lt;1,"",(AVERAGEIFS('09월 고철장입'!AD$14:AD$949,'09월 고철장입'!$A$14:$A$949,$A83,'09월 고철장입'!$C$14:$C$949,$B83))/1000)</f>
        <v/>
      </c>
      <c r="BP83" s="833" t="str">
        <f>IF($C83&lt;1,"",(AVERAGEIFS('09월 고철장입'!AE$14:AE$949,'09월 고철장입'!$A$14:$A$949,$A83,'09월 고철장입'!$C$14:$C$949,$B83))/1000)</f>
        <v/>
      </c>
      <c r="BQ83" s="832" t="str">
        <f>IF($C83&lt;1,"",(AVERAGEIFS('09월 고철장입'!AF$14:AF$949,'09월 고철장입'!$A$14:$A$949,$A83,'09월 고철장입'!$C$14:$C$949,$B83))/1000)</f>
        <v/>
      </c>
      <c r="BR83" s="832" t="str">
        <f>IF($C83&lt;1,"",(AVERAGEIFS('09월 고철장입'!AG$14:AG$949,'09월 고철장입'!$A$14:$A$949,$A83,'09월 고철장입'!$C$14:$C$949,$B83))/1000)</f>
        <v/>
      </c>
      <c r="BS83" s="832" t="str">
        <f>IF($C83&lt;1,"",(AVERAGEIFS('09월 고철장입'!AH$14:AH$949,'09월 고철장입'!$A$14:$A$949,$A83,'09월 고철장입'!$C$14:$C$949,$B83))/1000)</f>
        <v/>
      </c>
      <c r="BT83" s="832" t="str">
        <f>IF($C83&lt;1,"",(AVERAGEIFS('09월 고철장입'!AI$14:AI$949,'09월 고철장입'!$A$14:$A$949,$A83,'09월 고철장입'!$C$14:$C$949,$B83))/1000)</f>
        <v/>
      </c>
      <c r="BU83" s="834" t="str">
        <f>IF($C83&lt;1,"",(AVERAGEIFS('09월 고철장입'!AJ$14:AJ$949,'09월 고철장입'!$A$14:$A$949,$A83,'09월 고철장입'!$C$14:$C$949,$B83))/1000)</f>
        <v/>
      </c>
      <c r="BV83" s="834" t="str">
        <f>IF($C83&lt;1,"",(AVERAGEIFS('09월 고철장입'!AK$14:AK$949,'09월 고철장입'!$A$14:$A$949,$A83,'09월 고철장입'!$C$14:$C$949,$B83)))</f>
        <v/>
      </c>
      <c r="BW83" s="834" t="str">
        <f>IF($C83&lt;1,"",(AVERAGEIFS('09월 고철장입'!AL$14:AL$949,'09월 고철장입'!$A$14:$A$949,$A83,'09월 고철장입'!$C$14:$C$949,$B83))*100)</f>
        <v/>
      </c>
      <c r="BX83" s="831" t="str">
        <f>IF($C83&lt;1,"",(AVERAGEIFS('09월 에너지'!G$14:G$949,'09월 에너지'!$A$14:$A$949,$A83,'09월 에너지'!$C$14:$C$949,$B83)))</f>
        <v/>
      </c>
      <c r="BY83" s="835" t="str">
        <f>IF($C83&lt;1,"",(AVERAGEIFS('09월 에너지'!H$14:H$949,'09월 에너지'!$A$14:$A$949,$A83,'09월 에너지'!$C$14:$C$949,$B83)))</f>
        <v/>
      </c>
      <c r="BZ83" s="831" t="str">
        <f>IF($C83&lt;1,"",(AVERAGEIFS('09월 에너지'!I$14:I$949,'09월 에너지'!$A$14:$A$949,$A83,'09월 에너지'!$C$14:$C$949,$B83)))</f>
        <v/>
      </c>
      <c r="CA83" s="835" t="str">
        <f>IF($C83&lt;1,"",(AVERAGEIFS('09월 에너지'!J$14:J$949,'09월 에너지'!$A$14:$A$949,$A83,'09월 에너지'!$C$14:$C$949,$B83)))</f>
        <v/>
      </c>
      <c r="CB83" s="831" t="str">
        <f>IF($C83&lt;1,"",(AVERAGEIFS('09월 에너지'!K$14:K$949,'09월 에너지'!$A$14:$A$949,$A83,'09월 에너지'!$C$14:$C$949,$B83)))</f>
        <v/>
      </c>
      <c r="CC83" s="835" t="str">
        <f>IF($C83&lt;1,"",(AVERAGEIFS('09월 에너지'!L$14:L$949,'09월 에너지'!$A$14:$A$949,$A83,'09월 에너지'!$C$14:$C$949,$B83)))</f>
        <v/>
      </c>
      <c r="CD83" s="831" t="str">
        <f>IF($C83&lt;1,"",(AVERAGEIFS('09월 에너지'!M$14:M$949,'09월 에너지'!$A$14:$A$949,$A83,'09월 에너지'!$C$14:$C$949,$B83)))</f>
        <v/>
      </c>
      <c r="CE83" s="835" t="str">
        <f>IF($C83&lt;1,"",(AVERAGEIFS('09월 에너지'!N$14:N$949,'09월 에너지'!$A$14:$A$949,$A83,'09월 에너지'!$C$14:$C$949,$B83)))</f>
        <v/>
      </c>
      <c r="CF83" s="831" t="str">
        <f>IF($C83&lt;1,"",(AVERAGEIFS('09월 에너지'!O$14:O$949,'09월 에너지'!$A$14:$A$949,$A83,'09월 에너지'!$C$14:$C$949,$B83)))</f>
        <v/>
      </c>
      <c r="CG83" s="831" t="str">
        <f>IF($C83&lt;1,"",(AVERAGEIFS('09월 에너지'!P$14:P$949,'09월 에너지'!$A$14:$A$949,$A83,'09월 에너지'!$C$14:$C$949,$B83)))</f>
        <v/>
      </c>
      <c r="CH83" s="831" t="str">
        <f>IF($C83&lt;1,"",(AVERAGEIFS('09월 에너지'!Q$14:Q$949,'09월 에너지'!$A$14:$A$949,$A83,'09월 에너지'!$C$14:$C$949,$B83)))</f>
        <v/>
      </c>
      <c r="CI83" s="831" t="str">
        <f>IF($C83&lt;1,"",(AVERAGEIFS('09월 에너지'!R$14:R$949,'09월 에너지'!$A$14:$A$949,$A83,'09월 에너지'!$C$14:$C$949,$B83)))</f>
        <v/>
      </c>
      <c r="CJ83" s="831" t="str">
        <f>IF($C83&lt;1,"",(AVERAGEIFS('09월 에너지'!S$14:S$949,'09월 에너지'!$A$14:$A$949,$A83,'09월 에너지'!$C$14:$C$949,$B83)))</f>
        <v/>
      </c>
      <c r="CK83" s="831" t="str">
        <f>IF($C83&lt;1,"",(AVERAGEIFS('09월 에너지'!T$14:T$949,'09월 에너지'!$A$14:$A$949,$A83,'09월 에너지'!$C$14:$C$949,$B83)))</f>
        <v/>
      </c>
      <c r="CL83" s="831" t="str">
        <f>IF($C83&lt;1,"",(AVERAGEIFS('09월 에너지'!U$14:U$949,'09월 에너지'!$A$14:$A$949,$A83,'09월 에너지'!$C$14:$C$949,$B83)))</f>
        <v/>
      </c>
      <c r="CM83" s="835" t="str">
        <f>IF($C83&lt;1,"",(AVERAGEIFS('09월 에너지'!V$14:V$949,'09월 에너지'!$A$14:$A$949,$A83,'09월 에너지'!$C$14:$C$949,$B83)))</f>
        <v/>
      </c>
      <c r="CN83" s="835" t="str">
        <f>IF($C83&lt;1,"",(AVERAGEIFS('09월 에너지'!W$14:W$949,'09월 에너지'!$A$14:$A$949,$A83,'09월 에너지'!$C$14:$C$949,$B83)))</f>
        <v/>
      </c>
      <c r="CO83" s="831" t="str">
        <f>IF($C83&lt;1,"",(AVERAGEIFS('09월 에너지'!X$14:X$949,'09월 에너지'!$A$14:$A$949,$A83,'09월 에너지'!$C$14:$C$949,$B83)))</f>
        <v/>
      </c>
      <c r="CP83" s="835" t="str">
        <f>IF($C83&lt;1,"",(AVERAGEIFS('09월 에너지'!Y$14:Y$949,'09월 에너지'!$A$14:$A$949,$A83,'09월 에너지'!$C$14:$C$949,$B83)))</f>
        <v/>
      </c>
      <c r="CQ83" s="835" t="str">
        <f>IF($C83&lt;1,"",(AVERAGEIFS('09월 에너지'!Z$14:Z$949,'09월 에너지'!$A$14:$A$949,$A83,'09월 에너지'!$C$14:$C$949,$B83)))</f>
        <v/>
      </c>
      <c r="CR83" s="835" t="str">
        <f>IF($C83&lt;1,"",(AVERAGEIFS('09월 에너지'!AA$14:AA$949,'09월 에너지'!$A$14:$A$949,$A83,'09월 에너지'!$C$14:$C$949,$B83)))</f>
        <v/>
      </c>
      <c r="CS83" s="835" t="str">
        <f>IF($C83&lt;1,"",(AVERAGEIFS('09월 에너지'!AB$14:AB$949,'09월 에너지'!$A$14:$A$949,$A83,'09월 에너지'!$C$14:$C$949,$B83)))</f>
        <v/>
      </c>
      <c r="CT83" s="831" t="str">
        <f>IF($C83&lt;1,"",(AVERAGEIFS('09월 에너지'!AC$14:AC$949,'09월 에너지'!$A$14:$A$949,$A83,'09월 에너지'!$C$14:$C$949,$B83)))</f>
        <v/>
      </c>
      <c r="CU83" s="836" t="str">
        <f>IF($C83&lt;1,"",(AVERAGEIFS('09월 에너지'!AD$14:AD$949,'09월 에너지'!$A$14:$A$949,$A83,'09월 에너지'!$C$14:$C$949,$B83)))</f>
        <v/>
      </c>
      <c r="CV83" s="837" t="str">
        <f>IF($C83&lt;1,"",(AVERAGEIFS('09월 에너지'!AE$14:AE$949,'09월 에너지'!$A$14:$A$949,$A83,'09월 에너지'!$C$14:$C$949,$B83)))</f>
        <v/>
      </c>
      <c r="CW83" s="831" t="str">
        <f>IF($C83&lt;1,"",(AVERAGEIFS('09월 에너지'!AF$14:AF$949,'09월 에너지'!$A$14:$A$949,$A83,'09월 에너지'!$C$14:$C$949,$B83)))</f>
        <v/>
      </c>
      <c r="CX83" s="831" t="str">
        <f>IF($C83&lt;1,"",(AVERAGEIFS('09월 에너지'!AG$14:AG$949,'09월 에너지'!$A$14:$A$949,$A83,'09월 에너지'!$C$14:$C$949,$B83)))</f>
        <v/>
      </c>
      <c r="CY83" s="831" t="str">
        <f>IF($C83&lt;1,"",(AVERAGEIFS('09월 에너지'!AH$14:AH$949,'09월 에너지'!$A$14:$A$949,$A83,'09월 에너지'!$C$14:$C$949,$B83)))</f>
        <v/>
      </c>
      <c r="CZ83" s="831" t="str">
        <f>IF($C83&lt;1,"",(AVERAGEIFS('09월 에너지'!AI$14:AI$949,'09월 에너지'!$A$14:$A$949,$A83,'09월 에너지'!$C$14:$C$949,$B83)))</f>
        <v/>
      </c>
      <c r="DA83" s="838" t="str">
        <f>IF($C83&lt;1,"",(AVERAGEIFS('09월 에너지'!AJ$14:AJ$949,'09월 에너지'!$A$14:$A$949,$A83,'09월 에너지'!$C$14:$C$949,$B83)))</f>
        <v/>
      </c>
    </row>
    <row r="84" spans="1:105" ht="13.5" customHeight="1">
      <c r="A84" s="849">
        <f t="shared" si="16"/>
        <v>44942</v>
      </c>
      <c r="B84" s="850" t="s">
        <v>10</v>
      </c>
      <c r="C84" s="823">
        <f>COUNTIFS('09월 조업일지'!$A$12:$A$952,A81,'09월 조업일지'!$E$12:$E$952,B84)</f>
        <v>0</v>
      </c>
      <c r="D84" s="824" t="str">
        <f t="shared" si="18"/>
        <v/>
      </c>
      <c r="E84" s="824" t="str">
        <f>IF($C84&lt;1,"",(SUMIFS('09월 조업일지'!$K$12:$K$952,'09월 조업일지'!$A$12:$A$952,$A84,'09월 조업일지'!$E$12:$E$952,$B84)/$C84))</f>
        <v/>
      </c>
      <c r="F84" s="824" t="str">
        <f>IF($C84&lt;1,"",(AVERAGEIFS('09월 조업일지'!$J$12:$J$952,'09월 조업일지'!$A$12:$A$952,$A84,'09월 조업일지'!$E$12:$E$952,$B84)))</f>
        <v/>
      </c>
      <c r="G84" s="825" t="str">
        <f>IF($C84&lt;1,"",(AVERAGEIFS('09월 에너지'!$M$14:$M$949,'09월 에너지'!$A$14:$A$949,$A84,'09월 에너지'!$C$14:$C$949,$B84)))</f>
        <v/>
      </c>
      <c r="H84" s="826" t="str">
        <f>IF($C84&lt;1,"",(AVERAGEIFS('09월 조업일지'!$AJ$12:$AJ$952,'09월 조업일지'!$A$12:$A$952,$A84,'09월 조업일지'!$E$12:$E$952,$B84)))</f>
        <v/>
      </c>
      <c r="I84" s="826" t="str">
        <f>IF($C84&lt;1,"",(AVERAGEIFS('09월 조업일지'!$AL$12:$AL$952,'09월 조업일지'!$A$12:$A$952,$A84,'09월 조업일지'!$E$12:$E$952,$B84)))</f>
        <v/>
      </c>
      <c r="J84" s="827" t="str">
        <f>IF($C84&lt;1,"",(AVERAGEIFS('09월 화학성분'!G$12:G$949,'09월 화학성분'!$A$12:$A$949,$A84,'09월 화학성분'!$D$12:$D$949,$B84)))</f>
        <v/>
      </c>
      <c r="K84" s="827" t="str">
        <f>IF($C84&lt;1,"",(AVERAGEIFS('09월 화학성분'!H$12:H$949,'09월 화학성분'!$A$12:$A$949,$A84,'09월 화학성분'!$D$12:$D$949,$B84)))</f>
        <v/>
      </c>
      <c r="L84" s="827" t="str">
        <f>IF($C84&lt;1,"",(AVERAGEIFS('09월 화학성분'!I$12:I$949,'09월 화학성분'!$A$12:$A$949,$A84,'09월 화학성분'!$D$12:$D$949,$B84)))</f>
        <v/>
      </c>
      <c r="M84" s="827" t="str">
        <f>IF($C84&lt;1,"",(AVERAGEIFS('09월 화학성분'!J$12:J$949,'09월 화학성분'!$A$12:$A$949,$A84,'09월 화학성분'!$D$12:$D$949,$B84)))</f>
        <v/>
      </c>
      <c r="N84" s="827" t="str">
        <f>IF($C84&lt;1,"",(AVERAGEIFS('09월 화학성분'!K$12:K$949,'09월 화학성분'!$A$12:$A$949,$A84,'09월 화학성분'!$D$12:$D$949,$B84)))</f>
        <v/>
      </c>
      <c r="O84" s="827" t="str">
        <f>IF($C84&lt;1,"",(AVERAGEIFS('09월 화학성분'!L$12:L$949,'09월 화학성분'!$A$12:$A$949,$A84,'09월 화학성분'!$D$12:$D$949,$B84)))</f>
        <v/>
      </c>
      <c r="P84" s="827" t="str">
        <f>IF($C84&lt;1,"",(AVERAGEIFS('09월 화학성분'!M$12:M$949,'09월 화학성분'!$A$12:$A$949,$A84,'09월 화학성분'!$D$12:$D$949,$B84)))</f>
        <v/>
      </c>
      <c r="Q84" s="827" t="str">
        <f>IFERROR(IF($C84&lt;1,"",(AVERAGEIFS('09월 조업일지'!$AA$12:$AA$952,'09월 조업일지'!$A$12:$A$952,$A84,'09월 조업일지'!$E$12:$E$952,$B84))),"")</f>
        <v/>
      </c>
      <c r="R84" s="827" t="str">
        <f>IF($C84&lt;1,"",(AVERAGEIFS('09월 조업일지'!$AK$12:$AK$952,'09월 조업일지'!$A$12:$A$952,$A84,'09월 조업일지'!$E$12:$E$952,$B84)))</f>
        <v/>
      </c>
      <c r="S84" s="827"/>
      <c r="T84" s="827"/>
      <c r="U84" s="827" t="str">
        <f>IF($C84&lt;1,"",(AVERAGEIFS('09월 화학성분'!$G$12:$G$949,'09월 화학성분'!$A$12:$A$949,$A84,'09월 화학성분'!$D$12:$D$949,$B84)))</f>
        <v/>
      </c>
      <c r="V84" s="827" t="str">
        <f>IF($C84&lt;1,"",(AVERAGEIFS('09월 조업일지'!$AI$12:$AI$952,'09월 조업일지'!$A$12:$A$952,$A84,'09월 조업일지'!$E$12:$E$952,$B84)))</f>
        <v/>
      </c>
      <c r="W84" s="828" t="str">
        <f>IF($C84&lt;1,"",(AVERAGEIFS('09월 화학성분'!$AM$12:$AM$949,'09월 화학성분'!$A$12:$A$949,$A84,'09월 화학성분'!$D$12:$D$949,$B84)))</f>
        <v/>
      </c>
      <c r="X84" s="829" t="str">
        <f>IF($C84&lt;1,"",(AVERAGEIFS('09월 화학성분'!N$12:N$949,'09월 화학성분'!$A$12:$A$949,$A84,'09월 화학성분'!$D$12:$D$949,$B84)))</f>
        <v/>
      </c>
      <c r="Y84" s="829" t="str">
        <f>IF($C84&lt;1,"",(AVERAGEIFS('09월 화학성분'!O$12:O$949,'09월 화학성분'!$A$12:$A$949,$A84,'09월 화학성분'!$D$12:$D$949,$B84)))</f>
        <v/>
      </c>
      <c r="Z84" s="829" t="str">
        <f>IF($C84&lt;1,"",(AVERAGEIFS('09월 화학성분'!P$12:P$949,'09월 화학성분'!$A$12:$A$949,$A84,'09월 화학성분'!$D$12:$D$949,$B84)))</f>
        <v/>
      </c>
      <c r="AA84" s="829" t="str">
        <f>IF($C84&lt;1,"",(AVERAGEIFS('09월 화학성분'!Q$12:Q$949,'09월 화학성분'!$A$12:$A$949,$A84,'09월 화학성분'!$D$12:$D$949,$B84)))</f>
        <v/>
      </c>
      <c r="AB84" s="829" t="str">
        <f>IF($C84&lt;1,"",(AVERAGEIFS('09월 화학성분'!R$12:R$949,'09월 화학성분'!$A$12:$A$949,$A84,'09월 화학성분'!$D$12:$D$949,$B84)))</f>
        <v/>
      </c>
      <c r="AC84" s="829" t="str">
        <f>IF($C84&lt;1,"",(AVERAGEIFS('09월 화학성분'!U$12:U$949,'09월 화학성분'!$A$12:$A$949,$A84,'09월 화학성분'!$D$12:$D$949,$B84)))</f>
        <v/>
      </c>
      <c r="AD84" s="829" t="str">
        <f>IF($C84&lt;1,"",(AVERAGEIFS('09월 화학성분'!V$12:V$949,'09월 화학성분'!$A$12:$A$949,$A84,'09월 화학성분'!$D$12:$D$949,$B84)))</f>
        <v/>
      </c>
      <c r="AE84" s="829" t="str">
        <f>IF($C84&lt;1,"",(AVERAGEIFS('09월 화학성분'!W$12:W$949,'09월 화학성분'!$A$12:$A$949,$A84,'09월 화학성분'!$D$12:$D$949,$B84)))</f>
        <v/>
      </c>
      <c r="AF84" s="829" t="str">
        <f>IF($C84&lt;1,"",(AVERAGEIFS('09월 화학성분'!AA$12:AA$949,'09월 화학성분'!$A$12:$A$949,$A84,'09월 화학성분'!$D$12:$D$949,$B84)))</f>
        <v/>
      </c>
      <c r="AG84" s="829" t="str">
        <f>IF($C84&lt;1,"",(AVERAGEIFS('09월 화학성분'!#REF!,'09월 화학성분'!$A$12:$A$949,$A84,'09월 화학성분'!$D$12:$D$949,$B84)))</f>
        <v/>
      </c>
      <c r="AH84" s="829" t="str">
        <f>IF($C84&lt;1,"",(AVERAGEIFS('09월 화학성분'!AB$12:AB$949,'09월 화학성분'!$A$12:$A$949,$A84,'09월 화학성분'!$D$12:$D$949,$B84)))</f>
        <v/>
      </c>
      <c r="AI84" s="829" t="str">
        <f>IF($C84&lt;1,"",(AVERAGEIFS('09월 화학성분'!AC$12:AC$949,'09월 화학성분'!$A$12:$A$949,$A84,'09월 화학성분'!$D$12:$D$949,$B84)))</f>
        <v/>
      </c>
      <c r="AJ84" s="829" t="str">
        <f>IF($C84&lt;1,"",(AVERAGEIFS('09월 화학성분'!AD$12:AD$949,'09월 화학성분'!$A$12:$A$949,$A84,'09월 화학성분'!$D$12:$D$949,$B84)))</f>
        <v/>
      </c>
      <c r="AK84" s="829" t="str">
        <f>IF($C84&lt;1,"",(AVERAGEIFS('09월 화학성분'!AF$12:AF$949,'09월 화학성분'!$A$12:$A$949,$A84,'09월 화학성분'!$D$12:$D$949,$B84)))</f>
        <v/>
      </c>
      <c r="AL84" s="829" t="str">
        <f>IF($C84&lt;1,"",(AVERAGEIFS('09월 화학성분'!AG$12:AG$949,'09월 화학성분'!$A$12:$A$949,$A84,'09월 화학성분'!$D$12:$D$949,$B84)))</f>
        <v/>
      </c>
      <c r="AM84" s="829" t="str">
        <f>IF($C84&lt;1,"",(AVERAGEIFS('09월 화학성분'!AH$12:AH$949,'09월 화학성분'!$A$12:$A$949,$A84,'09월 화학성분'!$D$12:$D$949,$B84)))</f>
        <v/>
      </c>
      <c r="AN84" s="829" t="str">
        <f>IF($C84&lt;1,"",(AVERAGEIFS('09월 화학성분'!AI$12:AI$949,'09월 화학성분'!$A$12:$A$949,$A84,'09월 화학성분'!$D$12:$D$949,$B84)))</f>
        <v/>
      </c>
      <c r="AO84" s="829" t="str">
        <f>IF($C84&lt;1,"",(AVERAGEIFS('09월 화학성분'!AJ$12:AJ$949,'09월 화학성분'!$A$12:$A$949,$A84,'09월 화학성분'!$D$12:$D$949,$B84)))</f>
        <v/>
      </c>
      <c r="AP84" s="829" t="str">
        <f>IF($C84&lt;1,"",(AVERAGEIFS('09월 화학성분'!#REF!,'09월 화학성분'!$A$12:$A$949,$A84,'09월 화학성분'!$D$12:$D$949,$B84)))</f>
        <v/>
      </c>
      <c r="AQ84" s="829" t="str">
        <f>IF($C84&lt;1,"",(AVERAGEIFS('09월 화학성분'!AL$12:AL$949,'09월 화학성분'!$A$12:$A$949,$A84,'09월 화학성분'!$D$12:$D$949,$B84)))</f>
        <v/>
      </c>
      <c r="AR84" s="829" t="str">
        <f>IF($C84&lt;1,"",(AVERAGEIFS('09월 화학성분'!AM$12:AM$949,'09월 화학성분'!$A$12:$A$949,$A84,'09월 화학성분'!$D$12:$D$949,$B84)))</f>
        <v/>
      </c>
      <c r="AS84" s="830" t="str">
        <f>IF($C84&lt;1,"",(AVERAGEIFS('09월 화학성분'!AN$12:AN$949,'09월 화학성분'!$A$12:$A$949,$A84,'09월 화학성분'!$D$12:$D$949,$B84)))</f>
        <v/>
      </c>
      <c r="AT84" s="830" t="str">
        <f>IF($C84&lt;1,"",(AVERAGEIFS('09월 화학성분'!AO$12:AO$949,'09월 화학성분'!$A$12:$A$949,$A84,'09월 화학성분'!$D$12:$D$949,$B84)))</f>
        <v/>
      </c>
      <c r="AU84" s="831" t="str">
        <f>IF($C84&lt;1,"",(AVERAGEIFS('09월 화학성분'!AP$12:AP$949,'09월 화학성분'!$A$12:$A$949,$A84,'09월 화학성분'!$D$12:$D$949,$B84)))</f>
        <v/>
      </c>
      <c r="AV84" s="832" t="str">
        <f>IF($C84&lt;1,"",(AVERAGEIFS('09월 고철장입'!G$14:G$949,'09월 고철장입'!$A$14:$A$949,$A84,'09월 고철장입'!$C$14:$C$949,$B84))/1000)</f>
        <v/>
      </c>
      <c r="AW84" s="832" t="str">
        <f>IF($C84&lt;1,"",(AVERAGEIFS('09월 고철장입'!H$14:H$949,'09월 고철장입'!$A$14:$A$949,$A84,'09월 고철장입'!$C$14:$C$949,$B84))/1000)</f>
        <v/>
      </c>
      <c r="AX84" s="832" t="str">
        <f>IF($C84&lt;1,"",(AVERAGEIFS('09월 고철장입'!I$14:I$949,'09월 고철장입'!$A$14:$A$949,$A84,'09월 고철장입'!$C$14:$C$949,$B84))/1000)</f>
        <v/>
      </c>
      <c r="AY84" s="832" t="str">
        <f>IF($C84&lt;1,"",(AVERAGEIFS('09월 고철장입'!J$14:J$949,'09월 고철장입'!$A$14:$A$949,$A84,'09월 고철장입'!$C$14:$C$949,$B84))/1000)</f>
        <v/>
      </c>
      <c r="AZ84" s="832" t="str">
        <f>IF($C84&lt;1,"",(AVERAGEIFS('09월 고철장입'!K$14:K$949,'09월 고철장입'!$A$14:$A$949,$A84,'09월 고철장입'!$C$14:$C$949,$B84))/1000)</f>
        <v/>
      </c>
      <c r="BA84" s="832" t="str">
        <f>IF($C84&lt;1,"",(AVERAGEIFS('09월 고철장입'!L$14:L$949,'09월 고철장입'!$A$14:$A$949,$A84,'09월 고철장입'!$C$14:$C$949,$B84))/1000)</f>
        <v/>
      </c>
      <c r="BB84" s="832" t="str">
        <f>IF($C84&lt;1,"",(AVERAGEIFS('09월 고철장입'!M$14:M$949,'09월 고철장입'!$A$14:$A$949,$A84,'09월 고철장입'!$C$14:$C$949,$B84))/1000)</f>
        <v/>
      </c>
      <c r="BC84" s="832" t="str">
        <f>IF($C84&lt;1,"",(AVERAGEIFS('09월 고철장입'!N$14:N$949,'09월 고철장입'!$A$14:$A$949,$A84,'09월 고철장입'!$C$14:$C$949,$B84))/1000)</f>
        <v/>
      </c>
      <c r="BD84" s="832" t="str">
        <f>IF($C84&lt;1,"",(AVERAGEIFS('09월 고철장입'!O$14:O$949,'09월 고철장입'!$A$14:$A$949,$A84,'09월 고철장입'!$C$14:$C$949,$B84))/1000)</f>
        <v/>
      </c>
      <c r="BE84" s="833" t="str">
        <f>IF($C84&lt;1,"",(AVERAGEIFS('09월 고철장입'!P$14:P$949,'09월 고철장입'!$A$14:$A$949,$A84,'09월 고철장입'!$C$14:$C$949,$B84))/1000)</f>
        <v/>
      </c>
      <c r="BF84" s="833" t="str">
        <f>IF($C84&lt;1,"",(AVERAGEIFS('09월 고철장입'!Q$14:Q$949,'09월 고철장입'!$A$14:$A$949,$A84,'09월 고철장입'!$C$14:$C$949,$B84))/1000)</f>
        <v/>
      </c>
      <c r="BG84" s="833" t="str">
        <f>IF($C84&lt;1,"",(AVERAGEIFS('09월 고철장입'!S$14:S$949,'09월 고철장입'!$A$14:$A$949,$A84,'09월 고철장입'!$C$14:$C$949,$B84))/1000)</f>
        <v/>
      </c>
      <c r="BH84" s="833" t="str">
        <f>IF($C84&lt;1,"",(AVERAGEIFS('09월 고철장입'!T$14:T$949,'09월 고철장입'!$A$14:$A$949,$A84,'09월 고철장입'!$C$14:$C$949,$B84))/1000)</f>
        <v/>
      </c>
      <c r="BI84" s="833" t="str">
        <f>IF($C84&lt;1,"",(AVERAGEIFS('09월 고철장입'!U$14:U$949,'09월 고철장입'!$A$14:$A$949,$A84,'09월 고철장입'!$C$14:$C$949,$B84))/1000)</f>
        <v/>
      </c>
      <c r="BJ84" s="833" t="str">
        <f>IF($C84&lt;1,"",(AVERAGEIFS('09월 고철장입'!V$14:V$949,'09월 고철장입'!$A$14:$A$949,$A84,'09월 고철장입'!$C$14:$C$949,$B84))/1000)</f>
        <v/>
      </c>
      <c r="BK84" s="833" t="str">
        <f>IF($C84&lt;1,"",(AVERAGEIFS('09월 고철장입'!W$14:W$949,'09월 고철장입'!$A$14:$A$949,$A84,'09월 고철장입'!$C$14:$C$949,$B84))/1000)</f>
        <v/>
      </c>
      <c r="BL84" s="833" t="str">
        <f>IF($C84&lt;1,"",(AVERAGEIFS('09월 고철장입'!Y$14:Y$949,'09월 고철장입'!$A$14:$A$949,$A84,'09월 고철장입'!$C$14:$C$949,$B84))/1000)</f>
        <v/>
      </c>
      <c r="BM84" s="833" t="str">
        <f>IF($C84&lt;1,"",(AVERAGEIFS('09월 고철장입'!AB$14:AB$949,'09월 고철장입'!$A$14:$A$949,$A84,'09월 고철장입'!$C$14:$C$949,$B84))/1000)</f>
        <v/>
      </c>
      <c r="BN84" s="833" t="str">
        <f>IF($C84&lt;1,"",(AVERAGEIFS('09월 고철장입'!AC$14:AC$949,'09월 고철장입'!$A$14:$A$949,$A84,'09월 고철장입'!$C$14:$C$949,$B84))/1000)</f>
        <v/>
      </c>
      <c r="BO84" s="833" t="str">
        <f>IF($C84&lt;1,"",(AVERAGEIFS('09월 고철장입'!AD$14:AD$949,'09월 고철장입'!$A$14:$A$949,$A84,'09월 고철장입'!$C$14:$C$949,$B84))/1000)</f>
        <v/>
      </c>
      <c r="BP84" s="833" t="str">
        <f>IF($C84&lt;1,"",(AVERAGEIFS('09월 고철장입'!AE$14:AE$949,'09월 고철장입'!$A$14:$A$949,$A84,'09월 고철장입'!$C$14:$C$949,$B84))/1000)</f>
        <v/>
      </c>
      <c r="BQ84" s="832" t="str">
        <f>IF($C84&lt;1,"",(AVERAGEIFS('09월 고철장입'!AF$14:AF$949,'09월 고철장입'!$A$14:$A$949,$A84,'09월 고철장입'!$C$14:$C$949,$B84))/1000)</f>
        <v/>
      </c>
      <c r="BR84" s="832" t="str">
        <f>IF($C84&lt;1,"",(AVERAGEIFS('09월 고철장입'!AG$14:AG$949,'09월 고철장입'!$A$14:$A$949,$A84,'09월 고철장입'!$C$14:$C$949,$B84))/1000)</f>
        <v/>
      </c>
      <c r="BS84" s="832" t="str">
        <f>IF($C84&lt;1,"",(AVERAGEIFS('09월 고철장입'!AH$14:AH$949,'09월 고철장입'!$A$14:$A$949,$A84,'09월 고철장입'!$C$14:$C$949,$B84))/1000)</f>
        <v/>
      </c>
      <c r="BT84" s="832" t="str">
        <f>IF($C84&lt;1,"",(AVERAGEIFS('09월 고철장입'!AI$14:AI$949,'09월 고철장입'!$A$14:$A$949,$A84,'09월 고철장입'!$C$14:$C$949,$B84))/1000)</f>
        <v/>
      </c>
      <c r="BU84" s="834" t="str">
        <f>IF($C84&lt;1,"",(AVERAGEIFS('09월 고철장입'!AJ$14:AJ$949,'09월 고철장입'!$A$14:$A$949,$A84,'09월 고철장입'!$C$14:$C$949,$B84))/1000)</f>
        <v/>
      </c>
      <c r="BV84" s="834" t="str">
        <f>IF($C84&lt;1,"",(AVERAGEIFS('09월 고철장입'!AK$14:AK$949,'09월 고철장입'!$A$14:$A$949,$A84,'09월 고철장입'!$C$14:$C$949,$B84)))</f>
        <v/>
      </c>
      <c r="BW84" s="834" t="str">
        <f>IF($C84&lt;1,"",(AVERAGEIFS('09월 고철장입'!AL$14:AL$949,'09월 고철장입'!$A$14:$A$949,$A84,'09월 고철장입'!$C$14:$C$949,$B84))*100)</f>
        <v/>
      </c>
      <c r="BX84" s="831" t="str">
        <f>IF($C84&lt;1,"",(AVERAGEIFS('09월 에너지'!G$14:G$949,'09월 에너지'!$A$14:$A$949,$A84,'09월 에너지'!$C$14:$C$949,$B84)))</f>
        <v/>
      </c>
      <c r="BY84" s="835" t="str">
        <f>IF($C84&lt;1,"",(AVERAGEIFS('09월 에너지'!H$14:H$949,'09월 에너지'!$A$14:$A$949,$A84,'09월 에너지'!$C$14:$C$949,$B84)))</f>
        <v/>
      </c>
      <c r="BZ84" s="831" t="str">
        <f>IF($C84&lt;1,"",(AVERAGEIFS('09월 에너지'!I$14:I$949,'09월 에너지'!$A$14:$A$949,$A84,'09월 에너지'!$C$14:$C$949,$B84)))</f>
        <v/>
      </c>
      <c r="CA84" s="835" t="str">
        <f>IF($C84&lt;1,"",(AVERAGEIFS('09월 에너지'!J$14:J$949,'09월 에너지'!$A$14:$A$949,$A84,'09월 에너지'!$C$14:$C$949,$B84)))</f>
        <v/>
      </c>
      <c r="CB84" s="831" t="str">
        <f>IF($C84&lt;1,"",(AVERAGEIFS('09월 에너지'!K$14:K$949,'09월 에너지'!$A$14:$A$949,$A84,'09월 에너지'!$C$14:$C$949,$B84)))</f>
        <v/>
      </c>
      <c r="CC84" s="835" t="str">
        <f>IF($C84&lt;1,"",(AVERAGEIFS('09월 에너지'!L$14:L$949,'09월 에너지'!$A$14:$A$949,$A84,'09월 에너지'!$C$14:$C$949,$B84)))</f>
        <v/>
      </c>
      <c r="CD84" s="831" t="str">
        <f>IF($C84&lt;1,"",(AVERAGEIFS('09월 에너지'!M$14:M$949,'09월 에너지'!$A$14:$A$949,$A84,'09월 에너지'!$C$14:$C$949,$B84)))</f>
        <v/>
      </c>
      <c r="CE84" s="835" t="str">
        <f>IF($C84&lt;1,"",(AVERAGEIFS('09월 에너지'!N$14:N$949,'09월 에너지'!$A$14:$A$949,$A84,'09월 에너지'!$C$14:$C$949,$B84)))</f>
        <v/>
      </c>
      <c r="CF84" s="831" t="str">
        <f>IF($C84&lt;1,"",(AVERAGEIFS('09월 에너지'!O$14:O$949,'09월 에너지'!$A$14:$A$949,$A84,'09월 에너지'!$C$14:$C$949,$B84)))</f>
        <v/>
      </c>
      <c r="CG84" s="831" t="str">
        <f>IF($C84&lt;1,"",(AVERAGEIFS('09월 에너지'!P$14:P$949,'09월 에너지'!$A$14:$A$949,$A84,'09월 에너지'!$C$14:$C$949,$B84)))</f>
        <v/>
      </c>
      <c r="CH84" s="831" t="str">
        <f>IF($C84&lt;1,"",(AVERAGEIFS('09월 에너지'!Q$14:Q$949,'09월 에너지'!$A$14:$A$949,$A84,'09월 에너지'!$C$14:$C$949,$B84)))</f>
        <v/>
      </c>
      <c r="CI84" s="831" t="str">
        <f>IF($C84&lt;1,"",(AVERAGEIFS('09월 에너지'!R$14:R$949,'09월 에너지'!$A$14:$A$949,$A84,'09월 에너지'!$C$14:$C$949,$B84)))</f>
        <v/>
      </c>
      <c r="CJ84" s="831" t="str">
        <f>IF($C84&lt;1,"",(AVERAGEIFS('09월 에너지'!S$14:S$949,'09월 에너지'!$A$14:$A$949,$A84,'09월 에너지'!$C$14:$C$949,$B84)))</f>
        <v/>
      </c>
      <c r="CK84" s="831" t="str">
        <f>IF($C84&lt;1,"",(AVERAGEIFS('09월 에너지'!T$14:T$949,'09월 에너지'!$A$14:$A$949,$A84,'09월 에너지'!$C$14:$C$949,$B84)))</f>
        <v/>
      </c>
      <c r="CL84" s="831" t="str">
        <f>IF($C84&lt;1,"",(AVERAGEIFS('09월 에너지'!U$14:U$949,'09월 에너지'!$A$14:$A$949,$A84,'09월 에너지'!$C$14:$C$949,$B84)))</f>
        <v/>
      </c>
      <c r="CM84" s="835" t="str">
        <f>IF($C84&lt;1,"",(AVERAGEIFS('09월 에너지'!V$14:V$949,'09월 에너지'!$A$14:$A$949,$A84,'09월 에너지'!$C$14:$C$949,$B84)))</f>
        <v/>
      </c>
      <c r="CN84" s="835" t="str">
        <f>IF($C84&lt;1,"",(AVERAGEIFS('09월 에너지'!W$14:W$949,'09월 에너지'!$A$14:$A$949,$A84,'09월 에너지'!$C$14:$C$949,$B84)))</f>
        <v/>
      </c>
      <c r="CO84" s="831" t="str">
        <f>IF($C84&lt;1,"",(AVERAGEIFS('09월 에너지'!X$14:X$949,'09월 에너지'!$A$14:$A$949,$A84,'09월 에너지'!$C$14:$C$949,$B84)))</f>
        <v/>
      </c>
      <c r="CP84" s="835" t="str">
        <f>IF($C84&lt;1,"",(AVERAGEIFS('09월 에너지'!Y$14:Y$949,'09월 에너지'!$A$14:$A$949,$A84,'09월 에너지'!$C$14:$C$949,$B84)))</f>
        <v/>
      </c>
      <c r="CQ84" s="835" t="str">
        <f>IF($C84&lt;1,"",(AVERAGEIFS('09월 에너지'!Z$14:Z$949,'09월 에너지'!$A$14:$A$949,$A84,'09월 에너지'!$C$14:$C$949,$B84)))</f>
        <v/>
      </c>
      <c r="CR84" s="835" t="str">
        <f>IF($C84&lt;1,"",(AVERAGEIFS('09월 에너지'!AA$14:AA$949,'09월 에너지'!$A$14:$A$949,$A84,'09월 에너지'!$C$14:$C$949,$B84)))</f>
        <v/>
      </c>
      <c r="CS84" s="835" t="str">
        <f>IF($C84&lt;1,"",(AVERAGEIFS('09월 에너지'!AB$14:AB$949,'09월 에너지'!$A$14:$A$949,$A84,'09월 에너지'!$C$14:$C$949,$B84)))</f>
        <v/>
      </c>
      <c r="CT84" s="831" t="str">
        <f>IF($C84&lt;1,"",(AVERAGEIFS('09월 에너지'!AC$14:AC$949,'09월 에너지'!$A$14:$A$949,$A84,'09월 에너지'!$C$14:$C$949,$B84)))</f>
        <v/>
      </c>
      <c r="CU84" s="836" t="str">
        <f>IF($C84&lt;1,"",(AVERAGEIFS('09월 에너지'!AD$14:AD$949,'09월 에너지'!$A$14:$A$949,$A84,'09월 에너지'!$C$14:$C$949,$B84)))</f>
        <v/>
      </c>
      <c r="CV84" s="837" t="str">
        <f>IF($C84&lt;1,"",(AVERAGEIFS('09월 에너지'!AE$14:AE$949,'09월 에너지'!$A$14:$A$949,$A84,'09월 에너지'!$C$14:$C$949,$B84)))</f>
        <v/>
      </c>
      <c r="CW84" s="831" t="str">
        <f>IF($C84&lt;1,"",(AVERAGEIFS('09월 에너지'!AF$14:AF$949,'09월 에너지'!$A$14:$A$949,$A84,'09월 에너지'!$C$14:$C$949,$B84)))</f>
        <v/>
      </c>
      <c r="CX84" s="831" t="str">
        <f>IF($C84&lt;1,"",(AVERAGEIFS('09월 에너지'!AG$14:AG$949,'09월 에너지'!$A$14:$A$949,$A84,'09월 에너지'!$C$14:$C$949,$B84)))</f>
        <v/>
      </c>
      <c r="CY84" s="831" t="str">
        <f>IF($C84&lt;1,"",(AVERAGEIFS('09월 에너지'!AH$14:AH$949,'09월 에너지'!$A$14:$A$949,$A84,'09월 에너지'!$C$14:$C$949,$B84)))</f>
        <v/>
      </c>
      <c r="CZ84" s="831" t="str">
        <f>IF($C84&lt;1,"",(AVERAGEIFS('09월 에너지'!AI$14:AI$949,'09월 에너지'!$A$14:$A$949,$A84,'09월 에너지'!$C$14:$C$949,$B84)))</f>
        <v/>
      </c>
      <c r="DA84" s="838" t="str">
        <f>IF($C84&lt;1,"",(AVERAGEIFS('09월 에너지'!AJ$14:AJ$949,'09월 에너지'!$A$14:$A$949,$A84,'09월 에너지'!$C$14:$C$949,$B84)))</f>
        <v/>
      </c>
    </row>
    <row r="85" spans="1:105" ht="13.5" customHeight="1" thickBot="1">
      <c r="A85" s="851">
        <f t="shared" si="16"/>
        <v>44942</v>
      </c>
      <c r="B85" s="852" t="s">
        <v>94</v>
      </c>
      <c r="C85" s="841">
        <f>COUNTIFS('09월 조업일지'!$A$12:$A$952,A81,'09월 조업일지'!$E$12:$E$952,B85)</f>
        <v>0</v>
      </c>
      <c r="D85" s="842" t="str">
        <f t="shared" si="18"/>
        <v/>
      </c>
      <c r="E85" s="842" t="str">
        <f>IF($C85&lt;1,"",(SUMIFS('09월 조업일지'!$K$12:$K$952,'09월 조업일지'!$A$12:$A$952,$A85,'09월 조업일지'!$E$12:$E$952,$B85)/$C85))</f>
        <v/>
      </c>
      <c r="F85" s="842" t="str">
        <f>IF($C85&lt;1,"",(AVERAGEIFS('09월 조업일지'!$J$12:$J$952,'09월 조업일지'!$A$12:$A$952,$A85,'09월 조업일지'!$E$12:$E$952,$B85)))</f>
        <v/>
      </c>
      <c r="G85" s="843" t="str">
        <f>IF($C85&lt;1,"",(AVERAGEIFS('09월 에너지'!$M$14:$M$949,'09월 에너지'!$A$14:$A$949,$A85,'09월 에너지'!$C$14:$C$949,$B85)))</f>
        <v/>
      </c>
      <c r="H85" s="844" t="str">
        <f>IF($C85&lt;1,"",(AVERAGEIFS('09월 조업일지'!$AJ$12:$AJ$952,'09월 조업일지'!$A$12:$A$952,$A85,'09월 조업일지'!$E$12:$E$952,$B85)))</f>
        <v/>
      </c>
      <c r="I85" s="844" t="str">
        <f>IF($C85&lt;1,"",(AVERAGEIFS('09월 조업일지'!$AL$12:$AL$952,'09월 조업일지'!$A$12:$A$952,$A85,'09월 조업일지'!$E$12:$E$952,$B85)))</f>
        <v/>
      </c>
      <c r="J85" s="845" t="str">
        <f>IF($C85&lt;1,"",(AVERAGEIFS('09월 화학성분'!G$12:G$949,'09월 화학성분'!$A$12:$A$949,$A85,'09월 화학성분'!$D$12:$D$949,$B85)))</f>
        <v/>
      </c>
      <c r="K85" s="845" t="str">
        <f>IF($C85&lt;1,"",(AVERAGEIFS('09월 화학성분'!H$12:H$949,'09월 화학성분'!$A$12:$A$949,$A85,'09월 화학성분'!$D$12:$D$949,$B85)))</f>
        <v/>
      </c>
      <c r="L85" s="845" t="str">
        <f>IF($C85&lt;1,"",(AVERAGEIFS('09월 화학성분'!I$12:I$949,'09월 화학성분'!$A$12:$A$949,$A85,'09월 화학성분'!$D$12:$D$949,$B85)))</f>
        <v/>
      </c>
      <c r="M85" s="845" t="str">
        <f>IF($C85&lt;1,"",(AVERAGEIFS('09월 화학성분'!J$12:J$949,'09월 화학성분'!$A$12:$A$949,$A85,'09월 화학성분'!$D$12:$D$949,$B85)))</f>
        <v/>
      </c>
      <c r="N85" s="845" t="str">
        <f>IF($C85&lt;1,"",(AVERAGEIFS('09월 화학성분'!K$12:K$949,'09월 화학성분'!$A$12:$A$949,$A85,'09월 화학성분'!$D$12:$D$949,$B85)))</f>
        <v/>
      </c>
      <c r="O85" s="845" t="str">
        <f>IF($C85&lt;1,"",(AVERAGEIFS('09월 화학성분'!L$12:L$949,'09월 화학성분'!$A$12:$A$949,$A85,'09월 화학성분'!$D$12:$D$949,$B85)))</f>
        <v/>
      </c>
      <c r="P85" s="845" t="str">
        <f>IF($C85&lt;1,"",(AVERAGEIFS('09월 화학성분'!M$12:M$949,'09월 화학성분'!$A$12:$A$949,$A85,'09월 화학성분'!$D$12:$D$949,$B85)))</f>
        <v/>
      </c>
      <c r="Q85" s="827" t="str">
        <f>IFERROR(IF($C85&lt;1,"",(AVERAGEIFS('09월 조업일지'!$AA$12:$AA$952,'09월 조업일지'!$A$12:$A$952,$A85,'09월 조업일지'!$E$12:$E$952,$B85))),"")</f>
        <v/>
      </c>
      <c r="R85" s="845" t="str">
        <f>IF($C85&lt;1,"",(AVERAGEIFS('09월 조업일지'!$AK$12:$AK$952,'09월 조업일지'!$A$12:$A$952,$A85,'09월 조업일지'!$E$12:$E$952,$B85)))</f>
        <v/>
      </c>
      <c r="S85" s="845"/>
      <c r="T85" s="845"/>
      <c r="U85" s="845" t="str">
        <f>IF($C85&lt;1,"",(AVERAGEIFS('09월 화학성분'!$G$12:$G$949,'09월 화학성분'!$A$12:$A$949,$A85,'09월 화학성분'!$D$12:$D$949,$B85)))</f>
        <v/>
      </c>
      <c r="V85" s="845" t="str">
        <f>IF($C85&lt;1,"",(AVERAGEIFS('09월 조업일지'!$AI$12:$AI$952,'09월 조업일지'!$A$12:$A$952,$A85,'09월 조업일지'!$E$12:$E$952,$B85)))</f>
        <v/>
      </c>
      <c r="W85" s="846" t="str">
        <f>IF($C85&lt;1,"",(AVERAGEIFS('09월 화학성분'!$AM$12:$AM$949,'09월 화학성분'!$A$12:$A$949,$A85,'09월 화학성분'!$D$12:$D$949,$B85)))</f>
        <v/>
      </c>
      <c r="X85" s="829" t="str">
        <f>IF($C85&lt;1,"",(AVERAGEIFS('09월 화학성분'!N$12:N$949,'09월 화학성분'!$A$12:$A$949,$A85,'09월 화학성분'!$D$12:$D$949,$B85)))</f>
        <v/>
      </c>
      <c r="Y85" s="829" t="str">
        <f>IF($C85&lt;1,"",(AVERAGEIFS('09월 화학성분'!O$12:O$949,'09월 화학성분'!$A$12:$A$949,$A85,'09월 화학성분'!$D$12:$D$949,$B85)))</f>
        <v/>
      </c>
      <c r="Z85" s="829" t="str">
        <f>IF($C85&lt;1,"",(AVERAGEIFS('09월 화학성분'!P$12:P$949,'09월 화학성분'!$A$12:$A$949,$A85,'09월 화학성분'!$D$12:$D$949,$B85)))</f>
        <v/>
      </c>
      <c r="AA85" s="829" t="str">
        <f>IF($C85&lt;1,"",(AVERAGEIFS('09월 화학성분'!Q$12:Q$949,'09월 화학성분'!$A$12:$A$949,$A85,'09월 화학성분'!$D$12:$D$949,$B85)))</f>
        <v/>
      </c>
      <c r="AB85" s="829" t="str">
        <f>IF($C85&lt;1,"",(AVERAGEIFS('09월 화학성분'!R$12:R$949,'09월 화학성분'!$A$12:$A$949,$A85,'09월 화학성분'!$D$12:$D$949,$B85)))</f>
        <v/>
      </c>
      <c r="AC85" s="829" t="str">
        <f>IF($C85&lt;1,"",(AVERAGEIFS('09월 화학성분'!U$12:U$949,'09월 화학성분'!$A$12:$A$949,$A85,'09월 화학성분'!$D$12:$D$949,$B85)))</f>
        <v/>
      </c>
      <c r="AD85" s="829" t="str">
        <f>IF($C85&lt;1,"",(AVERAGEIFS('09월 화학성분'!V$12:V$949,'09월 화학성분'!$A$12:$A$949,$A85,'09월 화학성분'!$D$12:$D$949,$B85)))</f>
        <v/>
      </c>
      <c r="AE85" s="829" t="str">
        <f>IF($C85&lt;1,"",(AVERAGEIFS('09월 화학성분'!W$12:W$949,'09월 화학성분'!$A$12:$A$949,$A85,'09월 화학성분'!$D$12:$D$949,$B85)))</f>
        <v/>
      </c>
      <c r="AF85" s="829" t="str">
        <f>IF($C85&lt;1,"",(AVERAGEIFS('09월 화학성분'!AA$12:AA$949,'09월 화학성분'!$A$12:$A$949,$A85,'09월 화학성분'!$D$12:$D$949,$B85)))</f>
        <v/>
      </c>
      <c r="AG85" s="829" t="str">
        <f>IF($C85&lt;1,"",(AVERAGEIFS('09월 화학성분'!#REF!,'09월 화학성분'!$A$12:$A$949,$A85,'09월 화학성분'!$D$12:$D$949,$B85)))</f>
        <v/>
      </c>
      <c r="AH85" s="829" t="str">
        <f>IF($C85&lt;1,"",(AVERAGEIFS('09월 화학성분'!AB$12:AB$949,'09월 화학성분'!$A$12:$A$949,$A85,'09월 화학성분'!$D$12:$D$949,$B85)))</f>
        <v/>
      </c>
      <c r="AI85" s="829" t="str">
        <f>IF($C85&lt;1,"",(AVERAGEIFS('09월 화학성분'!AC$12:AC$949,'09월 화학성분'!$A$12:$A$949,$A85,'09월 화학성분'!$D$12:$D$949,$B85)))</f>
        <v/>
      </c>
      <c r="AJ85" s="829" t="str">
        <f>IF($C85&lt;1,"",(AVERAGEIFS('09월 화학성분'!AD$12:AD$949,'09월 화학성분'!$A$12:$A$949,$A85,'09월 화학성분'!$D$12:$D$949,$B85)))</f>
        <v/>
      </c>
      <c r="AK85" s="829" t="str">
        <f>IF($C85&lt;1,"",(AVERAGEIFS('09월 화학성분'!AF$12:AF$949,'09월 화학성분'!$A$12:$A$949,$A85,'09월 화학성분'!$D$12:$D$949,$B85)))</f>
        <v/>
      </c>
      <c r="AL85" s="829" t="str">
        <f>IF($C85&lt;1,"",(AVERAGEIFS('09월 화학성분'!AG$12:AG$949,'09월 화학성분'!$A$12:$A$949,$A85,'09월 화학성분'!$D$12:$D$949,$B85)))</f>
        <v/>
      </c>
      <c r="AM85" s="829" t="str">
        <f>IF($C85&lt;1,"",(AVERAGEIFS('09월 화학성분'!AH$12:AH$949,'09월 화학성분'!$A$12:$A$949,$A85,'09월 화학성분'!$D$12:$D$949,$B85)))</f>
        <v/>
      </c>
      <c r="AN85" s="829" t="str">
        <f>IF($C85&lt;1,"",(AVERAGEIFS('09월 화학성분'!AI$12:AI$949,'09월 화학성분'!$A$12:$A$949,$A85,'09월 화학성분'!$D$12:$D$949,$B85)))</f>
        <v/>
      </c>
      <c r="AO85" s="829" t="str">
        <f>IF($C85&lt;1,"",(AVERAGEIFS('09월 화학성분'!AJ$12:AJ$949,'09월 화학성분'!$A$12:$A$949,$A85,'09월 화학성분'!$D$12:$D$949,$B85)))</f>
        <v/>
      </c>
      <c r="AP85" s="829" t="str">
        <f>IF($C85&lt;1,"",(AVERAGEIFS('09월 화학성분'!#REF!,'09월 화학성분'!$A$12:$A$949,$A85,'09월 화학성분'!$D$12:$D$949,$B85)))</f>
        <v/>
      </c>
      <c r="AQ85" s="829" t="str">
        <f>IF($C85&lt;1,"",(AVERAGEIFS('09월 화학성분'!AL$12:AL$949,'09월 화학성분'!$A$12:$A$949,$A85,'09월 화학성분'!$D$12:$D$949,$B85)))</f>
        <v/>
      </c>
      <c r="AR85" s="829" t="str">
        <f>IF($C85&lt;1,"",(AVERAGEIFS('09월 화학성분'!AM$12:AM$949,'09월 화학성분'!$A$12:$A$949,$A85,'09월 화학성분'!$D$12:$D$949,$B85)))</f>
        <v/>
      </c>
      <c r="AS85" s="830" t="str">
        <f>IF($C85&lt;1,"",(AVERAGEIFS('09월 화학성분'!AN$12:AN$949,'09월 화학성분'!$A$12:$A$949,$A85,'09월 화학성분'!$D$12:$D$949,$B85)))</f>
        <v/>
      </c>
      <c r="AT85" s="830" t="str">
        <f>IF($C85&lt;1,"",(AVERAGEIFS('09월 화학성분'!AO$12:AO$949,'09월 화학성분'!$A$12:$A$949,$A85,'09월 화학성분'!$D$12:$D$949,$B85)))</f>
        <v/>
      </c>
      <c r="AU85" s="831" t="str">
        <f>IF($C85&lt;1,"",(AVERAGEIFS('09월 화학성분'!AP$12:AP$949,'09월 화학성분'!$A$12:$A$949,$A85,'09월 화학성분'!$D$12:$D$949,$B85)))</f>
        <v/>
      </c>
      <c r="AV85" s="832" t="str">
        <f>IF($C85&lt;1,"",(AVERAGEIFS('09월 고철장입'!G$14:G$949,'09월 고철장입'!$A$14:$A$949,$A85,'09월 고철장입'!$C$14:$C$949,$B85))/1000)</f>
        <v/>
      </c>
      <c r="AW85" s="832" t="str">
        <f>IF($C85&lt;1,"",(AVERAGEIFS('09월 고철장입'!H$14:H$949,'09월 고철장입'!$A$14:$A$949,$A85,'09월 고철장입'!$C$14:$C$949,$B85))/1000)</f>
        <v/>
      </c>
      <c r="AX85" s="832" t="str">
        <f>IF($C85&lt;1,"",(AVERAGEIFS('09월 고철장입'!I$14:I$949,'09월 고철장입'!$A$14:$A$949,$A85,'09월 고철장입'!$C$14:$C$949,$B85))/1000)</f>
        <v/>
      </c>
      <c r="AY85" s="832" t="str">
        <f>IF($C85&lt;1,"",(AVERAGEIFS('09월 고철장입'!J$14:J$949,'09월 고철장입'!$A$14:$A$949,$A85,'09월 고철장입'!$C$14:$C$949,$B85))/1000)</f>
        <v/>
      </c>
      <c r="AZ85" s="832" t="str">
        <f>IF($C85&lt;1,"",(AVERAGEIFS('09월 고철장입'!K$14:K$949,'09월 고철장입'!$A$14:$A$949,$A85,'09월 고철장입'!$C$14:$C$949,$B85))/1000)</f>
        <v/>
      </c>
      <c r="BA85" s="832" t="str">
        <f>IF($C85&lt;1,"",(AVERAGEIFS('09월 고철장입'!L$14:L$949,'09월 고철장입'!$A$14:$A$949,$A85,'09월 고철장입'!$C$14:$C$949,$B85))/1000)</f>
        <v/>
      </c>
      <c r="BB85" s="832" t="str">
        <f>IF($C85&lt;1,"",(AVERAGEIFS('09월 고철장입'!M$14:M$949,'09월 고철장입'!$A$14:$A$949,$A85,'09월 고철장입'!$C$14:$C$949,$B85))/1000)</f>
        <v/>
      </c>
      <c r="BC85" s="832" t="str">
        <f>IF($C85&lt;1,"",(AVERAGEIFS('09월 고철장입'!N$14:N$949,'09월 고철장입'!$A$14:$A$949,$A85,'09월 고철장입'!$C$14:$C$949,$B85))/1000)</f>
        <v/>
      </c>
      <c r="BD85" s="832" t="str">
        <f>IF($C85&lt;1,"",(AVERAGEIFS('09월 고철장입'!O$14:O$949,'09월 고철장입'!$A$14:$A$949,$A85,'09월 고철장입'!$C$14:$C$949,$B85))/1000)</f>
        <v/>
      </c>
      <c r="BE85" s="833" t="str">
        <f>IF($C85&lt;1,"",(AVERAGEIFS('09월 고철장입'!P$14:P$949,'09월 고철장입'!$A$14:$A$949,$A85,'09월 고철장입'!$C$14:$C$949,$B85))/1000)</f>
        <v/>
      </c>
      <c r="BF85" s="833" t="str">
        <f>IF($C85&lt;1,"",(AVERAGEIFS('09월 고철장입'!Q$14:Q$949,'09월 고철장입'!$A$14:$A$949,$A85,'09월 고철장입'!$C$14:$C$949,$B85))/1000)</f>
        <v/>
      </c>
      <c r="BG85" s="833" t="str">
        <f>IF($C85&lt;1,"",(AVERAGEIFS('09월 고철장입'!S$14:S$949,'09월 고철장입'!$A$14:$A$949,$A85,'09월 고철장입'!$C$14:$C$949,$B85))/1000)</f>
        <v/>
      </c>
      <c r="BH85" s="833" t="str">
        <f>IF($C85&lt;1,"",(AVERAGEIFS('09월 고철장입'!T$14:T$949,'09월 고철장입'!$A$14:$A$949,$A85,'09월 고철장입'!$C$14:$C$949,$B85))/1000)</f>
        <v/>
      </c>
      <c r="BI85" s="833" t="str">
        <f>IF($C85&lt;1,"",(AVERAGEIFS('09월 고철장입'!U$14:U$949,'09월 고철장입'!$A$14:$A$949,$A85,'09월 고철장입'!$C$14:$C$949,$B85))/1000)</f>
        <v/>
      </c>
      <c r="BJ85" s="833" t="str">
        <f>IF($C85&lt;1,"",(AVERAGEIFS('09월 고철장입'!V$14:V$949,'09월 고철장입'!$A$14:$A$949,$A85,'09월 고철장입'!$C$14:$C$949,$B85))/1000)</f>
        <v/>
      </c>
      <c r="BK85" s="833" t="str">
        <f>IF($C85&lt;1,"",(AVERAGEIFS('09월 고철장입'!W$14:W$949,'09월 고철장입'!$A$14:$A$949,$A85,'09월 고철장입'!$C$14:$C$949,$B85))/1000)</f>
        <v/>
      </c>
      <c r="BL85" s="833" t="str">
        <f>IF($C85&lt;1,"",(AVERAGEIFS('09월 고철장입'!Y$14:Y$949,'09월 고철장입'!$A$14:$A$949,$A85,'09월 고철장입'!$C$14:$C$949,$B85))/1000)</f>
        <v/>
      </c>
      <c r="BM85" s="833" t="str">
        <f>IF($C85&lt;1,"",(AVERAGEIFS('09월 고철장입'!AB$14:AB$949,'09월 고철장입'!$A$14:$A$949,$A85,'09월 고철장입'!$C$14:$C$949,$B85))/1000)</f>
        <v/>
      </c>
      <c r="BN85" s="833" t="str">
        <f>IF($C85&lt;1,"",(AVERAGEIFS('09월 고철장입'!AC$14:AC$949,'09월 고철장입'!$A$14:$A$949,$A85,'09월 고철장입'!$C$14:$C$949,$B85))/1000)</f>
        <v/>
      </c>
      <c r="BO85" s="833" t="str">
        <f>IF($C85&lt;1,"",(AVERAGEIFS('09월 고철장입'!AD$14:AD$949,'09월 고철장입'!$A$14:$A$949,$A85,'09월 고철장입'!$C$14:$C$949,$B85))/1000)</f>
        <v/>
      </c>
      <c r="BP85" s="833" t="str">
        <f>IF($C85&lt;1,"",(AVERAGEIFS('09월 고철장입'!AE$14:AE$949,'09월 고철장입'!$A$14:$A$949,$A85,'09월 고철장입'!$C$14:$C$949,$B85))/1000)</f>
        <v/>
      </c>
      <c r="BQ85" s="832" t="str">
        <f>IF($C85&lt;1,"",(AVERAGEIFS('09월 고철장입'!AF$14:AF$949,'09월 고철장입'!$A$14:$A$949,$A85,'09월 고철장입'!$C$14:$C$949,$B85))/1000)</f>
        <v/>
      </c>
      <c r="BR85" s="832" t="str">
        <f>IF($C85&lt;1,"",(AVERAGEIFS('09월 고철장입'!AG$14:AG$949,'09월 고철장입'!$A$14:$A$949,$A85,'09월 고철장입'!$C$14:$C$949,$B85))/1000)</f>
        <v/>
      </c>
      <c r="BS85" s="832" t="str">
        <f>IF($C85&lt;1,"",(AVERAGEIFS('09월 고철장입'!AH$14:AH$949,'09월 고철장입'!$A$14:$A$949,$A85,'09월 고철장입'!$C$14:$C$949,$B85))/1000)</f>
        <v/>
      </c>
      <c r="BT85" s="832" t="str">
        <f>IF($C85&lt;1,"",(AVERAGEIFS('09월 고철장입'!AI$14:AI$949,'09월 고철장입'!$A$14:$A$949,$A85,'09월 고철장입'!$C$14:$C$949,$B85))/1000)</f>
        <v/>
      </c>
      <c r="BU85" s="834" t="str">
        <f>IF($C85&lt;1,"",(AVERAGEIFS('09월 고철장입'!AJ$14:AJ$949,'09월 고철장입'!$A$14:$A$949,$A85,'09월 고철장입'!$C$14:$C$949,$B85))/1000)</f>
        <v/>
      </c>
      <c r="BV85" s="834" t="str">
        <f>IF($C85&lt;1,"",(AVERAGEIFS('09월 고철장입'!AK$14:AK$949,'09월 고철장입'!$A$14:$A$949,$A85,'09월 고철장입'!$C$14:$C$949,$B85)))</f>
        <v/>
      </c>
      <c r="BW85" s="834" t="str">
        <f>IF($C85&lt;1,"",(AVERAGEIFS('09월 고철장입'!AL$14:AL$949,'09월 고철장입'!$A$14:$A$949,$A85,'09월 고철장입'!$C$14:$C$949,$B85))*100)</f>
        <v/>
      </c>
      <c r="BX85" s="831" t="str">
        <f>IF($C85&lt;1,"",(AVERAGEIFS('09월 에너지'!G$14:G$949,'09월 에너지'!$A$14:$A$949,$A85,'09월 에너지'!$C$14:$C$949,$B85)))</f>
        <v/>
      </c>
      <c r="BY85" s="835" t="str">
        <f>IF($C85&lt;1,"",(AVERAGEIFS('09월 에너지'!H$14:H$949,'09월 에너지'!$A$14:$A$949,$A85,'09월 에너지'!$C$14:$C$949,$B85)))</f>
        <v/>
      </c>
      <c r="BZ85" s="831" t="str">
        <f>IF($C85&lt;1,"",(AVERAGEIFS('09월 에너지'!I$14:I$949,'09월 에너지'!$A$14:$A$949,$A85,'09월 에너지'!$C$14:$C$949,$B85)))</f>
        <v/>
      </c>
      <c r="CA85" s="835" t="str">
        <f>IF($C85&lt;1,"",(AVERAGEIFS('09월 에너지'!J$14:J$949,'09월 에너지'!$A$14:$A$949,$A85,'09월 에너지'!$C$14:$C$949,$B85)))</f>
        <v/>
      </c>
      <c r="CB85" s="831" t="str">
        <f>IF($C85&lt;1,"",(AVERAGEIFS('09월 에너지'!K$14:K$949,'09월 에너지'!$A$14:$A$949,$A85,'09월 에너지'!$C$14:$C$949,$B85)))</f>
        <v/>
      </c>
      <c r="CC85" s="835" t="str">
        <f>IF($C85&lt;1,"",(AVERAGEIFS('09월 에너지'!L$14:L$949,'09월 에너지'!$A$14:$A$949,$A85,'09월 에너지'!$C$14:$C$949,$B85)))</f>
        <v/>
      </c>
      <c r="CD85" s="831" t="str">
        <f>IF($C85&lt;1,"",(AVERAGEIFS('09월 에너지'!M$14:M$949,'09월 에너지'!$A$14:$A$949,$A85,'09월 에너지'!$C$14:$C$949,$B85)))</f>
        <v/>
      </c>
      <c r="CE85" s="835" t="str">
        <f>IF($C85&lt;1,"",(AVERAGEIFS('09월 에너지'!N$14:N$949,'09월 에너지'!$A$14:$A$949,$A85,'09월 에너지'!$C$14:$C$949,$B85)))</f>
        <v/>
      </c>
      <c r="CF85" s="831" t="str">
        <f>IF($C85&lt;1,"",(AVERAGEIFS('09월 에너지'!O$14:O$949,'09월 에너지'!$A$14:$A$949,$A85,'09월 에너지'!$C$14:$C$949,$B85)))</f>
        <v/>
      </c>
      <c r="CG85" s="831" t="str">
        <f>IF($C85&lt;1,"",(AVERAGEIFS('09월 에너지'!P$14:P$949,'09월 에너지'!$A$14:$A$949,$A85,'09월 에너지'!$C$14:$C$949,$B85)))</f>
        <v/>
      </c>
      <c r="CH85" s="831" t="str">
        <f>IF($C85&lt;1,"",(AVERAGEIFS('09월 에너지'!Q$14:Q$949,'09월 에너지'!$A$14:$A$949,$A85,'09월 에너지'!$C$14:$C$949,$B85)))</f>
        <v/>
      </c>
      <c r="CI85" s="831" t="str">
        <f>IF($C85&lt;1,"",(AVERAGEIFS('09월 에너지'!R$14:R$949,'09월 에너지'!$A$14:$A$949,$A85,'09월 에너지'!$C$14:$C$949,$B85)))</f>
        <v/>
      </c>
      <c r="CJ85" s="831" t="str">
        <f>IF($C85&lt;1,"",(AVERAGEIFS('09월 에너지'!S$14:S$949,'09월 에너지'!$A$14:$A$949,$A85,'09월 에너지'!$C$14:$C$949,$B85)))</f>
        <v/>
      </c>
      <c r="CK85" s="831" t="str">
        <f>IF($C85&lt;1,"",(AVERAGEIFS('09월 에너지'!T$14:T$949,'09월 에너지'!$A$14:$A$949,$A85,'09월 에너지'!$C$14:$C$949,$B85)))</f>
        <v/>
      </c>
      <c r="CL85" s="831" t="str">
        <f>IF($C85&lt;1,"",(AVERAGEIFS('09월 에너지'!U$14:U$949,'09월 에너지'!$A$14:$A$949,$A85,'09월 에너지'!$C$14:$C$949,$B85)))</f>
        <v/>
      </c>
      <c r="CM85" s="835" t="str">
        <f>IF($C85&lt;1,"",(AVERAGEIFS('09월 에너지'!V$14:V$949,'09월 에너지'!$A$14:$A$949,$A85,'09월 에너지'!$C$14:$C$949,$B85)))</f>
        <v/>
      </c>
      <c r="CN85" s="835" t="str">
        <f>IF($C85&lt;1,"",(AVERAGEIFS('09월 에너지'!W$14:W$949,'09월 에너지'!$A$14:$A$949,$A85,'09월 에너지'!$C$14:$C$949,$B85)))</f>
        <v/>
      </c>
      <c r="CO85" s="831" t="str">
        <f>IF($C85&lt;1,"",(AVERAGEIFS('09월 에너지'!X$14:X$949,'09월 에너지'!$A$14:$A$949,$A85,'09월 에너지'!$C$14:$C$949,$B85)))</f>
        <v/>
      </c>
      <c r="CP85" s="835" t="str">
        <f>IF($C85&lt;1,"",(AVERAGEIFS('09월 에너지'!Y$14:Y$949,'09월 에너지'!$A$14:$A$949,$A85,'09월 에너지'!$C$14:$C$949,$B85)))</f>
        <v/>
      </c>
      <c r="CQ85" s="835" t="str">
        <f>IF($C85&lt;1,"",(AVERAGEIFS('09월 에너지'!Z$14:Z$949,'09월 에너지'!$A$14:$A$949,$A85,'09월 에너지'!$C$14:$C$949,$B85)))</f>
        <v/>
      </c>
      <c r="CR85" s="835" t="str">
        <f>IF($C85&lt;1,"",(AVERAGEIFS('09월 에너지'!AA$14:AA$949,'09월 에너지'!$A$14:$A$949,$A85,'09월 에너지'!$C$14:$C$949,$B85)))</f>
        <v/>
      </c>
      <c r="CS85" s="835" t="str">
        <f>IF($C85&lt;1,"",(AVERAGEIFS('09월 에너지'!AB$14:AB$949,'09월 에너지'!$A$14:$A$949,$A85,'09월 에너지'!$C$14:$C$949,$B85)))</f>
        <v/>
      </c>
      <c r="CT85" s="831" t="str">
        <f>IF($C85&lt;1,"",(AVERAGEIFS('09월 에너지'!AC$14:AC$949,'09월 에너지'!$A$14:$A$949,$A85,'09월 에너지'!$C$14:$C$949,$B85)))</f>
        <v/>
      </c>
      <c r="CU85" s="836" t="str">
        <f>IF($C85&lt;1,"",(AVERAGEIFS('09월 에너지'!AD$14:AD$949,'09월 에너지'!$A$14:$A$949,$A85,'09월 에너지'!$C$14:$C$949,$B85)))</f>
        <v/>
      </c>
      <c r="CV85" s="837" t="str">
        <f>IF($C85&lt;1,"",(AVERAGEIFS('09월 에너지'!AE$14:AE$949,'09월 에너지'!$A$14:$A$949,$A85,'09월 에너지'!$C$14:$C$949,$B85)))</f>
        <v/>
      </c>
      <c r="CW85" s="831" t="str">
        <f>IF($C85&lt;1,"",(AVERAGEIFS('09월 에너지'!AF$14:AF$949,'09월 에너지'!$A$14:$A$949,$A85,'09월 에너지'!$C$14:$C$949,$B85)))</f>
        <v/>
      </c>
      <c r="CX85" s="831" t="str">
        <f>IF($C85&lt;1,"",(AVERAGEIFS('09월 에너지'!AG$14:AG$949,'09월 에너지'!$A$14:$A$949,$A85,'09월 에너지'!$C$14:$C$949,$B85)))</f>
        <v/>
      </c>
      <c r="CY85" s="831" t="str">
        <f>IF($C85&lt;1,"",(AVERAGEIFS('09월 에너지'!AH$14:AH$949,'09월 에너지'!$A$14:$A$949,$A85,'09월 에너지'!$C$14:$C$949,$B85)))</f>
        <v/>
      </c>
      <c r="CZ85" s="831" t="str">
        <f>IF($C85&lt;1,"",(AVERAGEIFS('09월 에너지'!AI$14:AI$949,'09월 에너지'!$A$14:$A$949,$A85,'09월 에너지'!$C$14:$C$949,$B85)))</f>
        <v/>
      </c>
      <c r="DA85" s="838" t="str">
        <f>IF($C85&lt;1,"",(AVERAGEIFS('09월 에너지'!AJ$14:AJ$949,'09월 에너지'!$A$14:$A$949,$A85,'09월 에너지'!$C$14:$C$949,$B85)))</f>
        <v/>
      </c>
    </row>
    <row r="86" spans="1:105" ht="13.5" customHeight="1">
      <c r="A86" s="847">
        <f>A81+1</f>
        <v>44943</v>
      </c>
      <c r="B86" s="848" t="s">
        <v>31</v>
      </c>
      <c r="C86" s="810">
        <f>COUNTIF('09월 조업일지'!$A$12:$A$952,A86)</f>
        <v>0</v>
      </c>
      <c r="D86" s="787" t="str">
        <f>IF(C86&lt;1,"",F86-E86)</f>
        <v/>
      </c>
      <c r="E86" s="787" t="str">
        <f>IF($C86&lt;1,"",(SUMIF('09월 조업일지'!$A$12:$A$952,$A86,'09월 조업일지'!$K$12:$K$952))/C86)</f>
        <v/>
      </c>
      <c r="F86" s="787" t="str">
        <f>IF($C86&lt;1,"",AVERAGEIF('09월 조업일지'!$A$12:$A$952,$A86,'09월 조업일지'!$J$12:$J$952))</f>
        <v/>
      </c>
      <c r="G86" s="811" t="str">
        <f>IF($C86&lt;1,"",AVERAGEIF('09월 에너지'!$A$14:$A$949,$A86,'09월 에너지'!$M$14:M$949))</f>
        <v/>
      </c>
      <c r="H86" s="812" t="str">
        <f>IF($C86&lt;1,"",AVERAGEIF('09월 조업일지'!$A$12:$A$952,$A86,'09월 조업일지'!$AJ$12:$AJ$952))</f>
        <v/>
      </c>
      <c r="I86" s="812" t="str">
        <f>IF($C86&lt;1,"",AVERAGEIF('09월 조업일지'!$A$12:$A$952,$A86,'09월 조업일지'!$AL$12:$AL$952))</f>
        <v/>
      </c>
      <c r="J86" s="813" t="str">
        <f>IF($C86&lt;1,"",AVERAGEIF('09월 화학성분'!$A$12:$A$949,$A86,'09월 화학성분'!G$12:G$949))</f>
        <v/>
      </c>
      <c r="K86" s="813" t="str">
        <f>IF($C86&lt;1,"",AVERAGEIF('09월 화학성분'!$A$12:$A$949,$A86,'09월 화학성분'!H$12:H$949))</f>
        <v/>
      </c>
      <c r="L86" s="813" t="str">
        <f>IF($C86&lt;1,"",AVERAGEIF('09월 화학성분'!$A$12:$A$949,$A86,'09월 화학성분'!I$12:I$949))</f>
        <v/>
      </c>
      <c r="M86" s="813" t="str">
        <f>IF($C86&lt;1,"",AVERAGEIF('09월 화학성분'!$A$12:$A$949,$A86,'09월 화학성분'!J$12:J$949))</f>
        <v/>
      </c>
      <c r="N86" s="813" t="str">
        <f>IF($C86&lt;1,"",AVERAGEIF('09월 화학성분'!$A$12:$A$949,$A86,'09월 화학성분'!K$12:K$949))</f>
        <v/>
      </c>
      <c r="O86" s="813" t="str">
        <f>IF($C86&lt;1,"",AVERAGEIF('09월 화학성분'!$A$12:$A$949,$A86,'09월 화학성분'!L$12:L$949))</f>
        <v/>
      </c>
      <c r="P86" s="813" t="str">
        <f>IF($C86&lt;1,"",AVERAGEIF('09월 화학성분'!$A$12:$A$949,$A86,'09월 화학성분'!M$12:M$949))</f>
        <v/>
      </c>
      <c r="Q86" s="814" t="str">
        <f>IF($C86&lt;1,"",AVERAGEIF('09월 조업일지'!$A$12:$A$952,$A86,'09월 조업일지'!$AA$12:$AA$952))</f>
        <v/>
      </c>
      <c r="R86" s="814" t="str">
        <f>IF($C86&lt;1,"",AVERAGEIF('09월 조업일지'!$A$12:$A$952,$A86,'09월 조업일지'!$AK$12:$AK$952))</f>
        <v/>
      </c>
      <c r="S86" s="814"/>
      <c r="T86" s="814"/>
      <c r="U86" s="813" t="str">
        <f>IF($C86&lt;1,"",AVERAGEIF('09월 화학성분'!$A$12:$A$949,$A86,'09월 화학성분'!$G$12:$G$949))</f>
        <v/>
      </c>
      <c r="V86" s="814" t="str">
        <f>IF($C86&lt;1,"",AVERAGEIF('09월 조업일지'!$A$12:$A$952,$A86,'09월 조업일지'!$AI$12:$AI$952))</f>
        <v/>
      </c>
      <c r="W86" s="813" t="str">
        <f>IF($C86&lt;1,"",AVERAGEIF('09월 화학성분'!$A$12:$A$949,$A86,'09월 화학성분'!$AM$12:$AM$949))</f>
        <v/>
      </c>
      <c r="X86" s="815" t="str">
        <f>IF($C86&lt;1,"",AVERAGEIF('09월 화학성분'!$A$12:$A$949,$A86,'09월 화학성분'!N$12:N$949))</f>
        <v/>
      </c>
      <c r="Y86" s="815" t="str">
        <f>IF($C86&lt;1,"",AVERAGEIF('09월 화학성분'!$A$12:$A$949,$A86,'09월 화학성분'!O$12:O$949))</f>
        <v/>
      </c>
      <c r="Z86" s="815" t="str">
        <f>IF($C86&lt;1,"",AVERAGEIF('09월 화학성분'!$A$12:$A$949,$A86,'09월 화학성분'!P$12:P$949))</f>
        <v/>
      </c>
      <c r="AA86" s="815" t="str">
        <f>IF($C86&lt;1,"",AVERAGEIF('09월 화학성분'!$A$12:$A$949,$A86,'09월 화학성분'!Q$12:Q$949))</f>
        <v/>
      </c>
      <c r="AB86" s="815" t="str">
        <f>IF($C86&lt;1,"",AVERAGEIF('09월 화학성분'!$A$12:$A$949,$A86,'09월 화학성분'!R$12:R$949))</f>
        <v/>
      </c>
      <c r="AC86" s="815" t="str">
        <f>IF($C86&lt;1,"",AVERAGEIF('09월 화학성분'!$A$12:$A$949,$A86,'09월 화학성분'!U$12:U$949))</f>
        <v/>
      </c>
      <c r="AD86" s="815" t="str">
        <f>IF($C86&lt;1,"",AVERAGEIF('09월 화학성분'!$A$12:$A$949,$A86,'09월 화학성분'!V$12:V$949))</f>
        <v/>
      </c>
      <c r="AE86" s="815" t="str">
        <f>IF($C86&lt;1,"",AVERAGEIF('09월 화학성분'!$A$12:$A$949,$A86,'09월 화학성분'!W$12:W$949))</f>
        <v/>
      </c>
      <c r="AF86" s="815" t="str">
        <f>IF($C86&lt;1,"",AVERAGEIF('09월 화학성분'!$A$12:$A$949,$A86,'09월 화학성분'!AA$12:AA$949))</f>
        <v/>
      </c>
      <c r="AG86" s="815" t="str">
        <f>IF($C86&lt;1,"",AVERAGEIF('09월 화학성분'!$A$12:$A$949,$A86,'09월 화학성분'!#REF!))</f>
        <v/>
      </c>
      <c r="AH86" s="815" t="str">
        <f>IF($C86&lt;1,"",AVERAGEIF('09월 화학성분'!$A$12:$A$949,$A86,'09월 화학성분'!AB$12:AB$949))</f>
        <v/>
      </c>
      <c r="AI86" s="815" t="str">
        <f>IF($C86&lt;1,"",AVERAGEIF('09월 화학성분'!$A$12:$A$949,$A86,'09월 화학성분'!AC$12:AC$949))</f>
        <v/>
      </c>
      <c r="AJ86" s="815" t="str">
        <f>IF($C86&lt;1,"",AVERAGEIF('09월 화학성분'!$A$12:$A$949,$A86,'09월 화학성분'!AD$12:AD$949))</f>
        <v/>
      </c>
      <c r="AK86" s="815" t="str">
        <f>IF($C86&lt;1,"",AVERAGEIF('09월 화학성분'!$A$12:$A$949,$A86,'09월 화학성분'!AF$12:AF$949))</f>
        <v/>
      </c>
      <c r="AL86" s="815" t="str">
        <f>IF($C86&lt;1,"",AVERAGEIF('09월 화학성분'!$A$12:$A$949,$A86,'09월 화학성분'!AG$12:AG$949))</f>
        <v/>
      </c>
      <c r="AM86" s="815" t="str">
        <f>IF($C86&lt;1,"",AVERAGEIF('09월 화학성분'!$A$12:$A$949,$A86,'09월 화학성분'!AH$12:AH$949))</f>
        <v/>
      </c>
      <c r="AN86" s="815" t="str">
        <f>IF($C86&lt;1,"",AVERAGEIF('09월 화학성분'!$A$12:$A$949,$A86,'09월 화학성분'!AI$12:AI$949))</f>
        <v/>
      </c>
      <c r="AO86" s="815" t="str">
        <f>IF($C86&lt;1,"",AVERAGEIF('09월 화학성분'!$A$12:$A$949,$A86,'09월 화학성분'!AJ$12:AJ$949))</f>
        <v/>
      </c>
      <c r="AP86" s="815" t="str">
        <f>IF($C86&lt;1,"",AVERAGEIF('09월 화학성분'!$A$12:$A$949,$A86,'09월 화학성분'!#REF!))</f>
        <v/>
      </c>
      <c r="AQ86" s="815" t="str">
        <f>IF($C86&lt;1,"",AVERAGEIF('09월 화학성분'!$A$12:$A$949,$A86,'09월 화학성분'!AL$12:AL$949))</f>
        <v/>
      </c>
      <c r="AR86" s="815" t="str">
        <f>IF($C86&lt;1,"",AVERAGEIF('09월 화학성분'!$A$12:$A$949,$A86,'09월 화학성분'!AM$12:AM$949))</f>
        <v/>
      </c>
      <c r="AS86" s="816" t="str">
        <f>IF($C86&lt;1,"",AVERAGEIF('09월 화학성분'!$A$12:$A$949,$A86,'09월 화학성분'!AN$12:AN$949))</f>
        <v/>
      </c>
      <c r="AT86" s="816" t="str">
        <f>IF($C86&lt;1,"",AVERAGEIF('09월 화학성분'!$A$12:$A$949,$A86,'09월 화학성분'!AO$12:AO$949))</f>
        <v/>
      </c>
      <c r="AU86" s="815" t="str">
        <f>IF($C86&lt;1,"",AVERAGEIF('09월 화학성분'!$A$12:$A$949,$A86,'09월 화학성분'!AP$12:AP$949))</f>
        <v/>
      </c>
      <c r="AV86" s="815" t="str">
        <f>IF($C86&lt;1,"",AVERAGEIF('09월 고철장입'!$A$14:$A$949,$A86,'09월 고철장입'!G$14:G$949)/1000)</f>
        <v/>
      </c>
      <c r="AW86" s="815" t="str">
        <f>IF($C86&lt;1,"",AVERAGEIF('09월 고철장입'!$A$14:$A$949,$A86,'09월 고철장입'!H$14:H$949)/1000)</f>
        <v/>
      </c>
      <c r="AX86" s="815" t="str">
        <f>IF($C86&lt;1,"",AVERAGEIF('09월 고철장입'!$A$14:$A$949,$A86,'09월 고철장입'!I$14:I$949)/1000)</f>
        <v/>
      </c>
      <c r="AY86" s="815" t="str">
        <f>IF($C86&lt;1,"",AVERAGEIF('09월 고철장입'!$A$14:$A$949,$A86,'09월 고철장입'!J$14:J$949)/1000)</f>
        <v/>
      </c>
      <c r="AZ86" s="815" t="str">
        <f>IF($C86&lt;1,"",AVERAGEIF('09월 고철장입'!$A$14:$A$949,$A86,'09월 고철장입'!K$14:K$949)/1000)</f>
        <v/>
      </c>
      <c r="BA86" s="815" t="str">
        <f>IF($C86&lt;1,"",AVERAGEIF('09월 고철장입'!$A$14:$A$949,$A86,'09월 고철장입'!L$14:L$949)/1000)</f>
        <v/>
      </c>
      <c r="BB86" s="815" t="str">
        <f>IF($C86&lt;1,"",AVERAGEIF('09월 고철장입'!$A$14:$A$949,$A86,'09월 고철장입'!M$14:M$949)/1000)</f>
        <v/>
      </c>
      <c r="BC86" s="815" t="str">
        <f>IF($C86&lt;1,"",AVERAGEIF('09월 고철장입'!$A$14:$A$949,$A86,'09월 고철장입'!N$14:N$949)/1000)</f>
        <v/>
      </c>
      <c r="BD86" s="815" t="str">
        <f>IF($C86&lt;1,"",AVERAGEIF('09월 고철장입'!$A$14:$A$949,$A86,'09월 고철장입'!O$14:O$949)/1000)</f>
        <v/>
      </c>
      <c r="BE86" s="815" t="str">
        <f>IF($C86&lt;1,"",AVERAGEIF('09월 고철장입'!$A$14:$A$949,$A86,'09월 고철장입'!P$14:P$949)/1000)</f>
        <v/>
      </c>
      <c r="BF86" s="815" t="str">
        <f>IF($C86&lt;1,"",AVERAGEIF('09월 고철장입'!$A$14:$A$949,$A86,'09월 고철장입'!Q$14:Q$949)/1000)</f>
        <v/>
      </c>
      <c r="BG86" s="815" t="str">
        <f>IF($C86&lt;1,"",AVERAGEIF('09월 고철장입'!$A$14:$A$949,$A86,'09월 고철장입'!S$14:S$949)/1000)</f>
        <v/>
      </c>
      <c r="BH86" s="815" t="str">
        <f>IF($C86&lt;1,"",AVERAGEIF('09월 고철장입'!$A$14:$A$949,$A86,'09월 고철장입'!T$14:T$949)/1000)</f>
        <v/>
      </c>
      <c r="BI86" s="815" t="str">
        <f>IF($C86&lt;1,"",AVERAGEIF('09월 고철장입'!$A$14:$A$949,$A86,'09월 고철장입'!U$14:U$949)/1000)</f>
        <v/>
      </c>
      <c r="BJ86" s="815" t="str">
        <f>IF($C86&lt;1,"",AVERAGEIF('09월 고철장입'!$A$14:$A$949,$A86,'09월 고철장입'!V$14:V$949)/1000)</f>
        <v/>
      </c>
      <c r="BK86" s="815" t="str">
        <f>IF($C86&lt;1,"",AVERAGEIF('09월 고철장입'!$A$14:$A$949,$A86,'09월 고철장입'!W$14:W$949)/1000)</f>
        <v/>
      </c>
      <c r="BL86" s="815" t="str">
        <f>IF($C86&lt;1,"",AVERAGEIF('09월 고철장입'!$A$14:$A$949,$A86,'09월 고철장입'!Y$14:Y$949)/1000)</f>
        <v/>
      </c>
      <c r="BM86" s="815" t="str">
        <f>IF($C86&lt;1,"",AVERAGEIF('09월 고철장입'!$A$14:$A$949,$A86,'09월 고철장입'!AB$14:AB$949)/1000)</f>
        <v/>
      </c>
      <c r="BN86" s="815" t="str">
        <f>IF($C86&lt;1,"",AVERAGEIF('09월 고철장입'!$A$14:$A$949,$A86,'09월 고철장입'!AC$14:AC$949)/1000)</f>
        <v/>
      </c>
      <c r="BO86" s="815" t="str">
        <f>IF($C86&lt;1,"",AVERAGEIF('09월 고철장입'!$A$14:$A$949,$A86,'09월 고철장입'!AD$14:AD$949)/1000)</f>
        <v/>
      </c>
      <c r="BP86" s="815" t="str">
        <f>IF($C86&lt;1,"",AVERAGEIF('09월 고철장입'!$A$14:$A$949,$A86,'09월 고철장입'!AE$14:AE$949)/1000)</f>
        <v/>
      </c>
      <c r="BQ86" s="815" t="str">
        <f>IF($C86&lt;1,"",AVERAGEIF('09월 고철장입'!$A$14:$A$949,$A86,'09월 고철장입'!AF$14:AF$949)/1000)</f>
        <v/>
      </c>
      <c r="BR86" s="815" t="str">
        <f>IF($C86&lt;1,"",AVERAGEIF('09월 고철장입'!$A$14:$A$949,$A86,'09월 고철장입'!AG$14:AG$949)/1000)</f>
        <v/>
      </c>
      <c r="BS86" s="815" t="str">
        <f>IF($C86&lt;1,"",AVERAGEIF('09월 고철장입'!$A$14:$A$949,$A86,'09월 고철장입'!AH$14:AH$949)/1000)</f>
        <v/>
      </c>
      <c r="BT86" s="815" t="str">
        <f>IF($C86&lt;1,"",AVERAGEIF('09월 고철장입'!$A$14:$A$949,$A86,'09월 고철장입'!AI$14:AI$949)/1000)</f>
        <v/>
      </c>
      <c r="BU86" s="815" t="str">
        <f>IF($C86&lt;1,"",AVERAGEIF('09월 고철장입'!$A$14:$A$949,$A86,'09월 고철장입'!AJ$14:AJ$949)/1000)</f>
        <v/>
      </c>
      <c r="BV86" s="815" t="str">
        <f>IF($C86&lt;1,"",AVERAGEIF('09월 고철장입'!$A$14:$A$949,$A86,'09월 고철장입'!AK$14:AK$949))</f>
        <v/>
      </c>
      <c r="BW86" s="815" t="str">
        <f>IF($C86&lt;1,"",AVERAGEIF('09월 고철장입'!$A$14:$A$949,$A86,'09월 고철장입'!AL$14:AL$949)*100)</f>
        <v/>
      </c>
      <c r="BX86" s="815" t="str">
        <f>IF($C86&lt;1,"",AVERAGEIF('09월 에너지'!$A$14:$A$949,$A86,'09월 에너지'!G$14:G$949))</f>
        <v/>
      </c>
      <c r="BY86" s="817" t="str">
        <f>IF($C86&lt;1,"",AVERAGEIF('09월 에너지'!$A$14:$A$949,$A86,'09월 에너지'!H$14:H$949))</f>
        <v/>
      </c>
      <c r="BZ86" s="815" t="str">
        <f>IF($C86&lt;1,"",AVERAGEIF('09월 에너지'!$A$14:$A$949,$A86,'09월 에너지'!I$14:I$949))</f>
        <v/>
      </c>
      <c r="CA86" s="817" t="str">
        <f>IF($C86&lt;1,"",AVERAGEIF('09월 에너지'!$A$14:$A$949,$A86,'09월 에너지'!J$14:J$949))</f>
        <v/>
      </c>
      <c r="CB86" s="815" t="str">
        <f>IF($C86&lt;1,"",AVERAGEIF('09월 에너지'!$A$14:$A$949,$A86,'09월 에너지'!K$14:K$949))</f>
        <v/>
      </c>
      <c r="CC86" s="817" t="str">
        <f>IF($C86&lt;1,"",AVERAGEIF('09월 에너지'!$A$14:$A$949,$A86,'09월 에너지'!L$14:L$949))</f>
        <v/>
      </c>
      <c r="CD86" s="815" t="str">
        <f>IF($C86&lt;1,"",AVERAGEIF('09월 에너지'!$A$14:$A$949,$A86,'09월 에너지'!M$14:M$949))</f>
        <v/>
      </c>
      <c r="CE86" s="817" t="str">
        <f>IF($C86&lt;1,"",AVERAGEIF('09월 에너지'!$A$14:$A$949,$A86,'09월 에너지'!N$14:N$949))</f>
        <v/>
      </c>
      <c r="CF86" s="815" t="str">
        <f>IF($C86&lt;1,"",AVERAGEIF('09월 에너지'!$A$14:$A$949,$A86,'09월 에너지'!O$14:O$949))</f>
        <v/>
      </c>
      <c r="CG86" s="815" t="str">
        <f>IF($C86&lt;1,"",AVERAGEIF('09월 에너지'!$A$14:$A$949,$A86,'09월 에너지'!P$14:P$949))</f>
        <v/>
      </c>
      <c r="CH86" s="815" t="str">
        <f>IF($C86&lt;1,"",AVERAGEIF('09월 에너지'!$A$14:$A$949,$A86,'09월 에너지'!Q$14:Q$949))</f>
        <v/>
      </c>
      <c r="CI86" s="815" t="str">
        <f>IF($C86&lt;1,"",AVERAGEIF('09월 에너지'!$A$14:$A$949,$A86,'09월 에너지'!R$14:R$949))</f>
        <v/>
      </c>
      <c r="CJ86" s="815" t="str">
        <f>IF($C86&lt;1,"",AVERAGEIF('09월 에너지'!$A$14:$A$949,$A86,'09월 에너지'!S$14:S$949))</f>
        <v/>
      </c>
      <c r="CK86" s="815" t="str">
        <f>IF($C86&lt;1,"",AVERAGEIF('09월 에너지'!$A$14:$A$949,$A86,'09월 에너지'!T$14:T$949))</f>
        <v/>
      </c>
      <c r="CL86" s="815" t="str">
        <f>IF($C86&lt;1,"",AVERAGEIF('09월 에너지'!$A$14:$A$949,$A86,'09월 에너지'!U$14:U$949))</f>
        <v/>
      </c>
      <c r="CM86" s="817" t="str">
        <f>IF($C86&lt;1,"",AVERAGEIF('09월 에너지'!$A$14:$A$949,$A86,'09월 에너지'!V$14:V$949))</f>
        <v/>
      </c>
      <c r="CN86" s="817" t="str">
        <f>IF($C86&lt;1,"",AVERAGEIF('09월 에너지'!$A$14:$A$949,$A86,'09월 에너지'!W$14:W$949))</f>
        <v/>
      </c>
      <c r="CO86" s="815" t="str">
        <f>IF($C86&lt;1,"",AVERAGEIF('09월 에너지'!$A$14:$A$949,$A86,'09월 에너지'!X$14:X$949))</f>
        <v/>
      </c>
      <c r="CP86" s="817" t="str">
        <f>IF($C86&lt;1,"",AVERAGEIF('09월 에너지'!$A$14:$A$949,$A86,'09월 에너지'!Y$14:Y$949))</f>
        <v/>
      </c>
      <c r="CQ86" s="817" t="str">
        <f>IF($C86&lt;1,"",AVERAGEIF('09월 에너지'!$A$14:$A$949,$A86,'09월 에너지'!Z$14:Z$949))</f>
        <v/>
      </c>
      <c r="CR86" s="817" t="str">
        <f>IF($C86&lt;1,"",AVERAGEIF('09월 에너지'!$A$14:$A$949,$A86,'09월 에너지'!AA$14:AA$949))</f>
        <v/>
      </c>
      <c r="CS86" s="817" t="str">
        <f>IF($C86&lt;1,"",AVERAGEIF('09월 에너지'!$A$14:$A$949,$A86,'09월 에너지'!AB$14:AB$949))</f>
        <v/>
      </c>
      <c r="CT86" s="815" t="str">
        <f>IF($C86&lt;1,"",AVERAGEIF('09월 에너지'!$A$14:$A$949,$A86,'09월 에너지'!AC$14:AC$949))</f>
        <v/>
      </c>
      <c r="CU86" s="818" t="str">
        <f>IF($C86&lt;1,"",AVERAGEIF('09월 에너지'!$A$14:$A$949,$A86,'09월 에너지'!AD$14:AD$949))</f>
        <v/>
      </c>
      <c r="CV86" s="819" t="str">
        <f>IF($C86&lt;1,"",AVERAGEIF('09월 에너지'!$A$14:$A$949,$A86,'09월 에너지'!AE$14:AE$949))</f>
        <v/>
      </c>
      <c r="CW86" s="815" t="str">
        <f>IF($C86&lt;1,"",AVERAGEIF('09월 에너지'!$A$14:$A$949,$A86,'09월 에너지'!AF$14:AF$949))</f>
        <v/>
      </c>
      <c r="CX86" s="815" t="str">
        <f>IF($C86&lt;1,"",AVERAGEIF('09월 에너지'!$A$14:$A$949,$A86,'09월 에너지'!AG$14:AG$949))</f>
        <v/>
      </c>
      <c r="CY86" s="815" t="str">
        <f>IF($C86&lt;1,"",AVERAGEIF('09월 에너지'!$A$14:$A$949,$A86,'09월 에너지'!AH$14:AH$949))</f>
        <v/>
      </c>
      <c r="CZ86" s="815" t="str">
        <f>IF($C86&lt;1,"",AVERAGEIF('09월 에너지'!$A$14:$A$949,$A86,'09월 에너지'!AI$14:AI$949))</f>
        <v/>
      </c>
      <c r="DA86" s="820" t="str">
        <f>IF($C86&lt;1,"",AVERAGEIF('09월 에너지'!$A$14:$A$949,$A86,'09월 에너지'!AJ$14:AJ$949))</f>
        <v/>
      </c>
    </row>
    <row r="87" spans="1:105" ht="13.5" customHeight="1">
      <c r="A87" s="849">
        <f t="shared" si="16"/>
        <v>44943</v>
      </c>
      <c r="B87" s="850" t="s">
        <v>9</v>
      </c>
      <c r="C87" s="823">
        <f>COUNTIFS('09월 조업일지'!$A$12:$A$952,A86,'09월 조업일지'!$E$12:$E$952,B87)</f>
        <v>0</v>
      </c>
      <c r="D87" s="824" t="str">
        <f>IF(C87&lt;1,"",F87-E87)</f>
        <v/>
      </c>
      <c r="E87" s="824" t="str">
        <f>IF($C87&lt;1,"",(SUMIFS('09월 조업일지'!$K$12:$K$952,'09월 조업일지'!$A$12:$A$952,$A87,'09월 조업일지'!$E$12:$E$952,$B87)/$C87))</f>
        <v/>
      </c>
      <c r="F87" s="824" t="str">
        <f>IF($C87&lt;1,"",(AVERAGEIFS('09월 조업일지'!$J$12:$J$952,'09월 조업일지'!$A$12:$A$952,$A87,'09월 조업일지'!$E$12:$E$952,$B87)))</f>
        <v/>
      </c>
      <c r="G87" s="825" t="str">
        <f>IF($C87&lt;1,"",(AVERAGEIFS('09월 에너지'!$M$14:$M$949,'09월 에너지'!$A$14:$A$949,$A87,'09월 에너지'!$C$14:$C$949,$B87)))</f>
        <v/>
      </c>
      <c r="H87" s="826" t="str">
        <f>IF($C87&lt;1,"",(AVERAGEIFS('09월 조업일지'!$AJ$12:$AJ$952,'09월 조업일지'!$A$12:$A$952,$A87,'09월 조업일지'!$E$12:$E$952,$B87)))</f>
        <v/>
      </c>
      <c r="I87" s="826" t="str">
        <f>IF($C87&lt;1,"",(AVERAGEIFS('09월 조업일지'!$AL$12:$AL$952,'09월 조업일지'!$A$12:$A$952,$A87,'09월 조업일지'!$E$12:$E$952,$B87)))</f>
        <v/>
      </c>
      <c r="J87" s="827" t="str">
        <f>IF($C87&lt;1,"",(AVERAGEIFS('09월 화학성분'!G$12:G$949,'09월 화학성분'!$A$12:$A$949,$A87,'09월 화학성분'!$D$12:$D$949,$B87)))</f>
        <v/>
      </c>
      <c r="K87" s="827" t="str">
        <f>IF($C87&lt;1,"",(AVERAGEIFS('09월 화학성분'!H$12:H$949,'09월 화학성분'!$A$12:$A$949,$A87,'09월 화학성분'!$D$12:$D$949,$B87)))</f>
        <v/>
      </c>
      <c r="L87" s="827" t="str">
        <f>IF($C87&lt;1,"",(AVERAGEIFS('09월 화학성분'!I$12:I$949,'09월 화학성분'!$A$12:$A$949,$A87,'09월 화학성분'!$D$12:$D$949,$B87)))</f>
        <v/>
      </c>
      <c r="M87" s="827" t="str">
        <f>IF($C87&lt;1,"",(AVERAGEIFS('09월 화학성분'!J$12:J$949,'09월 화학성분'!$A$12:$A$949,$A87,'09월 화학성분'!$D$12:$D$949,$B87)))</f>
        <v/>
      </c>
      <c r="N87" s="827" t="str">
        <f>IF($C87&lt;1,"",(AVERAGEIFS('09월 화학성분'!K$12:K$949,'09월 화학성분'!$A$12:$A$949,$A87,'09월 화학성분'!$D$12:$D$949,$B87)))</f>
        <v/>
      </c>
      <c r="O87" s="827" t="str">
        <f>IF($C87&lt;1,"",(AVERAGEIFS('09월 화학성분'!L$12:L$949,'09월 화학성분'!$A$12:$A$949,$A87,'09월 화학성분'!$D$12:$D$949,$B87)))</f>
        <v/>
      </c>
      <c r="P87" s="827" t="str">
        <f>IF($C87&lt;1,"",(AVERAGEIFS('09월 화학성분'!M$12:M$949,'09월 화학성분'!$A$12:$A$949,$A87,'09월 화학성분'!$D$12:$D$949,$B87)))</f>
        <v/>
      </c>
      <c r="Q87" s="827" t="str">
        <f>IFERROR(IF($C87&lt;1,"",(AVERAGEIFS('09월 조업일지'!$AA$12:$AA$952,'09월 조업일지'!$A$12:$A$952,$A87,'09월 조업일지'!$E$12:$E$952,$B87))),"")</f>
        <v/>
      </c>
      <c r="R87" s="827" t="str">
        <f>IF($C87&lt;1,"",(AVERAGEIFS('09월 조업일지'!$AK$12:$AK$952,'09월 조업일지'!$A$12:$A$952,$A87,'09월 조업일지'!$E$12:$E$952,$B87)))</f>
        <v/>
      </c>
      <c r="S87" s="827"/>
      <c r="T87" s="827"/>
      <c r="U87" s="827" t="str">
        <f>IF($C87&lt;1,"",(AVERAGEIFS('09월 화학성분'!$G$12:$G$949,'09월 화학성분'!$A$12:$A$949,$A87,'09월 화학성분'!$D$12:$D$949,$B87)))</f>
        <v/>
      </c>
      <c r="V87" s="827" t="str">
        <f>IF($C87&lt;1,"",(AVERAGEIFS('09월 조업일지'!$AI$12:$AI$952,'09월 조업일지'!$A$12:$A$952,$A87,'09월 조업일지'!$E$12:$E$952,$B87)))</f>
        <v/>
      </c>
      <c r="W87" s="828" t="str">
        <f>IF($C87&lt;1,"",(AVERAGEIFS('09월 화학성분'!$AM$12:$AM$949,'09월 화학성분'!$A$12:$A$949,$A87,'09월 화학성분'!$D$12:$D$949,$B87)))</f>
        <v/>
      </c>
      <c r="X87" s="829" t="str">
        <f>IF($C87&lt;1,"",(AVERAGEIFS('09월 화학성분'!N$12:N$949,'09월 화학성분'!$A$12:$A$949,$A87,'09월 화학성분'!$D$12:$D$949,$B87)))</f>
        <v/>
      </c>
      <c r="Y87" s="829" t="str">
        <f>IF($C87&lt;1,"",(AVERAGEIFS('09월 화학성분'!O$12:O$949,'09월 화학성분'!$A$12:$A$949,$A87,'09월 화학성분'!$D$12:$D$949,$B87)))</f>
        <v/>
      </c>
      <c r="Z87" s="829" t="str">
        <f>IF($C87&lt;1,"",(AVERAGEIFS('09월 화학성분'!P$12:P$949,'09월 화학성분'!$A$12:$A$949,$A87,'09월 화학성분'!$D$12:$D$949,$B87)))</f>
        <v/>
      </c>
      <c r="AA87" s="829" t="str">
        <f>IF($C87&lt;1,"",(AVERAGEIFS('09월 화학성분'!Q$12:Q$949,'09월 화학성분'!$A$12:$A$949,$A87,'09월 화학성분'!$D$12:$D$949,$B87)))</f>
        <v/>
      </c>
      <c r="AB87" s="829" t="str">
        <f>IF($C87&lt;1,"",(AVERAGEIFS('09월 화학성분'!R$12:R$949,'09월 화학성분'!$A$12:$A$949,$A87,'09월 화학성분'!$D$12:$D$949,$B87)))</f>
        <v/>
      </c>
      <c r="AC87" s="829" t="str">
        <f>IF($C87&lt;1,"",(AVERAGEIFS('09월 화학성분'!U$12:U$949,'09월 화학성분'!$A$12:$A$949,$A87,'09월 화학성분'!$D$12:$D$949,$B87)))</f>
        <v/>
      </c>
      <c r="AD87" s="829" t="str">
        <f>IF($C87&lt;1,"",(AVERAGEIFS('09월 화학성분'!V$12:V$949,'09월 화학성분'!$A$12:$A$949,$A87,'09월 화학성분'!$D$12:$D$949,$B87)))</f>
        <v/>
      </c>
      <c r="AE87" s="829" t="str">
        <f>IF($C87&lt;1,"",(AVERAGEIFS('09월 화학성분'!W$12:W$949,'09월 화학성분'!$A$12:$A$949,$A87,'09월 화학성분'!$D$12:$D$949,$B87)))</f>
        <v/>
      </c>
      <c r="AF87" s="829" t="str">
        <f>IF($C87&lt;1,"",(AVERAGEIFS('09월 화학성분'!AA$12:AA$949,'09월 화학성분'!$A$12:$A$949,$A87,'09월 화학성분'!$D$12:$D$949,$B87)))</f>
        <v/>
      </c>
      <c r="AG87" s="829" t="str">
        <f>IF($C87&lt;1,"",(AVERAGEIFS('09월 화학성분'!#REF!,'09월 화학성분'!$A$12:$A$949,$A87,'09월 화학성분'!$D$12:$D$949,$B87)))</f>
        <v/>
      </c>
      <c r="AH87" s="829" t="str">
        <f>IF($C87&lt;1,"",(AVERAGEIFS('09월 화학성분'!AB$12:AB$949,'09월 화학성분'!$A$12:$A$949,$A87,'09월 화학성분'!$D$12:$D$949,$B87)))</f>
        <v/>
      </c>
      <c r="AI87" s="829" t="str">
        <f>IF($C87&lt;1,"",(AVERAGEIFS('09월 화학성분'!AC$12:AC$949,'09월 화학성분'!$A$12:$A$949,$A87,'09월 화학성분'!$D$12:$D$949,$B87)))</f>
        <v/>
      </c>
      <c r="AJ87" s="829" t="str">
        <f>IF($C87&lt;1,"",(AVERAGEIFS('09월 화학성분'!AD$12:AD$949,'09월 화학성분'!$A$12:$A$949,$A87,'09월 화학성분'!$D$12:$D$949,$B87)))</f>
        <v/>
      </c>
      <c r="AK87" s="829" t="str">
        <f>IF($C87&lt;1,"",(AVERAGEIFS('09월 화학성분'!AF$12:AF$949,'09월 화학성분'!$A$12:$A$949,$A87,'09월 화학성분'!$D$12:$D$949,$B87)))</f>
        <v/>
      </c>
      <c r="AL87" s="829" t="str">
        <f>IF($C87&lt;1,"",(AVERAGEIFS('09월 화학성분'!AG$12:AG$949,'09월 화학성분'!$A$12:$A$949,$A87,'09월 화학성분'!$D$12:$D$949,$B87)))</f>
        <v/>
      </c>
      <c r="AM87" s="829" t="str">
        <f>IF($C87&lt;1,"",(AVERAGEIFS('09월 화학성분'!AH$12:AH$949,'09월 화학성분'!$A$12:$A$949,$A87,'09월 화학성분'!$D$12:$D$949,$B87)))</f>
        <v/>
      </c>
      <c r="AN87" s="829" t="str">
        <f>IF($C87&lt;1,"",(AVERAGEIFS('09월 화학성분'!AI$12:AI$949,'09월 화학성분'!$A$12:$A$949,$A87,'09월 화학성분'!$D$12:$D$949,$B87)))</f>
        <v/>
      </c>
      <c r="AO87" s="829" t="str">
        <f>IF($C87&lt;1,"",(AVERAGEIFS('09월 화학성분'!AJ$12:AJ$949,'09월 화학성분'!$A$12:$A$949,$A87,'09월 화학성분'!$D$12:$D$949,$B87)))</f>
        <v/>
      </c>
      <c r="AP87" s="829" t="str">
        <f>IF($C87&lt;1,"",(AVERAGEIFS('09월 화학성분'!#REF!,'09월 화학성분'!$A$12:$A$949,$A87,'09월 화학성분'!$D$12:$D$949,$B87)))</f>
        <v/>
      </c>
      <c r="AQ87" s="829" t="str">
        <f>IF($C87&lt;1,"",(AVERAGEIFS('09월 화학성분'!AL$12:AL$949,'09월 화학성분'!$A$12:$A$949,$A87,'09월 화학성분'!$D$12:$D$949,$B87)))</f>
        <v/>
      </c>
      <c r="AR87" s="829" t="str">
        <f>IF($C87&lt;1,"",(AVERAGEIFS('09월 화학성분'!AM$12:AM$949,'09월 화학성분'!$A$12:$A$949,$A87,'09월 화학성분'!$D$12:$D$949,$B87)))</f>
        <v/>
      </c>
      <c r="AS87" s="830" t="str">
        <f>IF($C87&lt;1,"",(AVERAGEIFS('09월 화학성분'!AN$12:AN$949,'09월 화학성분'!$A$12:$A$949,$A87,'09월 화학성분'!$D$12:$D$949,$B87)))</f>
        <v/>
      </c>
      <c r="AT87" s="830" t="str">
        <f>IF($C87&lt;1,"",(AVERAGEIFS('09월 화학성분'!AO$12:AO$949,'09월 화학성분'!$A$12:$A$949,$A87,'09월 화학성분'!$D$12:$D$949,$B87)))</f>
        <v/>
      </c>
      <c r="AU87" s="831" t="str">
        <f>IF($C87&lt;1,"",(AVERAGEIFS('09월 화학성분'!AP$12:AP$949,'09월 화학성분'!$A$12:$A$949,$A87,'09월 화학성분'!$D$12:$D$949,$B87)))</f>
        <v/>
      </c>
      <c r="AV87" s="832" t="str">
        <f>IF($C87&lt;1,"",(AVERAGEIFS('09월 고철장입'!G$14:G$949,'09월 고철장입'!$A$14:$A$949,$A87,'09월 고철장입'!$C$14:$C$949,$B87))/1000)</f>
        <v/>
      </c>
      <c r="AW87" s="832" t="str">
        <f>IF($C87&lt;1,"",(AVERAGEIFS('09월 고철장입'!H$14:H$949,'09월 고철장입'!$A$14:$A$949,$A87,'09월 고철장입'!$C$14:$C$949,$B87))/1000)</f>
        <v/>
      </c>
      <c r="AX87" s="832" t="str">
        <f>IF($C87&lt;1,"",(AVERAGEIFS('09월 고철장입'!I$14:I$949,'09월 고철장입'!$A$14:$A$949,$A87,'09월 고철장입'!$C$14:$C$949,$B87))/1000)</f>
        <v/>
      </c>
      <c r="AY87" s="832" t="str">
        <f>IF($C87&lt;1,"",(AVERAGEIFS('09월 고철장입'!J$14:J$949,'09월 고철장입'!$A$14:$A$949,$A87,'09월 고철장입'!$C$14:$C$949,$B87))/1000)</f>
        <v/>
      </c>
      <c r="AZ87" s="832" t="str">
        <f>IF($C87&lt;1,"",(AVERAGEIFS('09월 고철장입'!K$14:K$949,'09월 고철장입'!$A$14:$A$949,$A87,'09월 고철장입'!$C$14:$C$949,$B87))/1000)</f>
        <v/>
      </c>
      <c r="BA87" s="832" t="str">
        <f>IF($C87&lt;1,"",(AVERAGEIFS('09월 고철장입'!L$14:L$949,'09월 고철장입'!$A$14:$A$949,$A87,'09월 고철장입'!$C$14:$C$949,$B87))/1000)</f>
        <v/>
      </c>
      <c r="BB87" s="832" t="str">
        <f>IF($C87&lt;1,"",(AVERAGEIFS('09월 고철장입'!M$14:M$949,'09월 고철장입'!$A$14:$A$949,$A87,'09월 고철장입'!$C$14:$C$949,$B87))/1000)</f>
        <v/>
      </c>
      <c r="BC87" s="832" t="str">
        <f>IF($C87&lt;1,"",(AVERAGEIFS('09월 고철장입'!N$14:N$949,'09월 고철장입'!$A$14:$A$949,$A87,'09월 고철장입'!$C$14:$C$949,$B87))/1000)</f>
        <v/>
      </c>
      <c r="BD87" s="832" t="str">
        <f>IF($C87&lt;1,"",(AVERAGEIFS('09월 고철장입'!O$14:O$949,'09월 고철장입'!$A$14:$A$949,$A87,'09월 고철장입'!$C$14:$C$949,$B87))/1000)</f>
        <v/>
      </c>
      <c r="BE87" s="833" t="str">
        <f>IF($C87&lt;1,"",(AVERAGEIFS('09월 고철장입'!P$14:P$949,'09월 고철장입'!$A$14:$A$949,$A87,'09월 고철장입'!$C$14:$C$949,$B87))/1000)</f>
        <v/>
      </c>
      <c r="BF87" s="833" t="str">
        <f>IF($C87&lt;1,"",(AVERAGEIFS('09월 고철장입'!Q$14:Q$949,'09월 고철장입'!$A$14:$A$949,$A87,'09월 고철장입'!$C$14:$C$949,$B87))/1000)</f>
        <v/>
      </c>
      <c r="BG87" s="833" t="str">
        <f>IF($C87&lt;1,"",(AVERAGEIFS('09월 고철장입'!S$14:S$949,'09월 고철장입'!$A$14:$A$949,$A87,'09월 고철장입'!$C$14:$C$949,$B87))/1000)</f>
        <v/>
      </c>
      <c r="BH87" s="833" t="str">
        <f>IF($C87&lt;1,"",(AVERAGEIFS('09월 고철장입'!T$14:T$949,'09월 고철장입'!$A$14:$A$949,$A87,'09월 고철장입'!$C$14:$C$949,$B87))/1000)</f>
        <v/>
      </c>
      <c r="BI87" s="833" t="str">
        <f>IF($C87&lt;1,"",(AVERAGEIFS('09월 고철장입'!U$14:U$949,'09월 고철장입'!$A$14:$A$949,$A87,'09월 고철장입'!$C$14:$C$949,$B87))/1000)</f>
        <v/>
      </c>
      <c r="BJ87" s="833" t="str">
        <f>IF($C87&lt;1,"",(AVERAGEIFS('09월 고철장입'!V$14:V$949,'09월 고철장입'!$A$14:$A$949,$A87,'09월 고철장입'!$C$14:$C$949,$B87))/1000)</f>
        <v/>
      </c>
      <c r="BK87" s="833" t="str">
        <f>IF($C87&lt;1,"",(AVERAGEIFS('09월 고철장입'!W$14:W$949,'09월 고철장입'!$A$14:$A$949,$A87,'09월 고철장입'!$C$14:$C$949,$B87))/1000)</f>
        <v/>
      </c>
      <c r="BL87" s="833" t="str">
        <f>IF($C87&lt;1,"",(AVERAGEIFS('09월 고철장입'!Y$14:Y$949,'09월 고철장입'!$A$14:$A$949,$A87,'09월 고철장입'!$C$14:$C$949,$B87))/1000)</f>
        <v/>
      </c>
      <c r="BM87" s="833" t="str">
        <f>IF($C87&lt;1,"",(AVERAGEIFS('09월 고철장입'!AB$14:AB$949,'09월 고철장입'!$A$14:$A$949,$A87,'09월 고철장입'!$C$14:$C$949,$B87))/1000)</f>
        <v/>
      </c>
      <c r="BN87" s="833" t="str">
        <f>IF($C87&lt;1,"",(AVERAGEIFS('09월 고철장입'!AC$14:AC$949,'09월 고철장입'!$A$14:$A$949,$A87,'09월 고철장입'!$C$14:$C$949,$B87))/1000)</f>
        <v/>
      </c>
      <c r="BO87" s="833" t="str">
        <f>IF($C87&lt;1,"",(AVERAGEIFS('09월 고철장입'!AD$14:AD$949,'09월 고철장입'!$A$14:$A$949,$A87,'09월 고철장입'!$C$14:$C$949,$B87))/1000)</f>
        <v/>
      </c>
      <c r="BP87" s="833" t="str">
        <f>IF($C87&lt;1,"",(AVERAGEIFS('09월 고철장입'!AE$14:AE$949,'09월 고철장입'!$A$14:$A$949,$A87,'09월 고철장입'!$C$14:$C$949,$B87))/1000)</f>
        <v/>
      </c>
      <c r="BQ87" s="832" t="str">
        <f>IF($C87&lt;1,"",(AVERAGEIFS('09월 고철장입'!AF$14:AF$949,'09월 고철장입'!$A$14:$A$949,$A87,'09월 고철장입'!$C$14:$C$949,$B87))/1000)</f>
        <v/>
      </c>
      <c r="BR87" s="832" t="str">
        <f>IF($C87&lt;1,"",(AVERAGEIFS('09월 고철장입'!AG$14:AG$949,'09월 고철장입'!$A$14:$A$949,$A87,'09월 고철장입'!$C$14:$C$949,$B87))/1000)</f>
        <v/>
      </c>
      <c r="BS87" s="832" t="str">
        <f>IF($C87&lt;1,"",(AVERAGEIFS('09월 고철장입'!AH$14:AH$949,'09월 고철장입'!$A$14:$A$949,$A87,'09월 고철장입'!$C$14:$C$949,$B87))/1000)</f>
        <v/>
      </c>
      <c r="BT87" s="832" t="str">
        <f>IF($C87&lt;1,"",(AVERAGEIFS('09월 고철장입'!AI$14:AI$949,'09월 고철장입'!$A$14:$A$949,$A87,'09월 고철장입'!$C$14:$C$949,$B87))/1000)</f>
        <v/>
      </c>
      <c r="BU87" s="834" t="str">
        <f>IF($C87&lt;1,"",(AVERAGEIFS('09월 고철장입'!AJ$14:AJ$949,'09월 고철장입'!$A$14:$A$949,$A87,'09월 고철장입'!$C$14:$C$949,$B87))/1000)</f>
        <v/>
      </c>
      <c r="BV87" s="834" t="str">
        <f>IF($C87&lt;1,"",(AVERAGEIFS('09월 고철장입'!AK$14:AK$949,'09월 고철장입'!$A$14:$A$949,$A87,'09월 고철장입'!$C$14:$C$949,$B87)))</f>
        <v/>
      </c>
      <c r="BW87" s="834" t="str">
        <f>IF($C87&lt;1,"",(AVERAGEIFS('09월 고철장입'!AL$14:AL$949,'09월 고철장입'!$A$14:$A$949,$A87,'09월 고철장입'!$C$14:$C$949,$B87))*100)</f>
        <v/>
      </c>
      <c r="BX87" s="831" t="str">
        <f>IF($C87&lt;1,"",(AVERAGEIFS('09월 에너지'!G$14:G$949,'09월 에너지'!$A$14:$A$949,$A87,'09월 에너지'!$C$14:$C$949,$B87)))</f>
        <v/>
      </c>
      <c r="BY87" s="835" t="str">
        <f>IF($C87&lt;1,"",(AVERAGEIFS('09월 에너지'!H$14:H$949,'09월 에너지'!$A$14:$A$949,$A87,'09월 에너지'!$C$14:$C$949,$B87)))</f>
        <v/>
      </c>
      <c r="BZ87" s="831" t="str">
        <f>IF($C87&lt;1,"",(AVERAGEIFS('09월 에너지'!I$14:I$949,'09월 에너지'!$A$14:$A$949,$A87,'09월 에너지'!$C$14:$C$949,$B87)))</f>
        <v/>
      </c>
      <c r="CA87" s="835" t="str">
        <f>IF($C87&lt;1,"",(AVERAGEIFS('09월 에너지'!J$14:J$949,'09월 에너지'!$A$14:$A$949,$A87,'09월 에너지'!$C$14:$C$949,$B87)))</f>
        <v/>
      </c>
      <c r="CB87" s="831" t="str">
        <f>IF($C87&lt;1,"",(AVERAGEIFS('09월 에너지'!K$14:K$949,'09월 에너지'!$A$14:$A$949,$A87,'09월 에너지'!$C$14:$C$949,$B87)))</f>
        <v/>
      </c>
      <c r="CC87" s="835" t="str">
        <f>IF($C87&lt;1,"",(AVERAGEIFS('09월 에너지'!L$14:L$949,'09월 에너지'!$A$14:$A$949,$A87,'09월 에너지'!$C$14:$C$949,$B87)))</f>
        <v/>
      </c>
      <c r="CD87" s="831" t="str">
        <f>IF($C87&lt;1,"",(AVERAGEIFS('09월 에너지'!M$14:M$949,'09월 에너지'!$A$14:$A$949,$A87,'09월 에너지'!$C$14:$C$949,$B87)))</f>
        <v/>
      </c>
      <c r="CE87" s="835" t="str">
        <f>IF($C87&lt;1,"",(AVERAGEIFS('09월 에너지'!N$14:N$949,'09월 에너지'!$A$14:$A$949,$A87,'09월 에너지'!$C$14:$C$949,$B87)))</f>
        <v/>
      </c>
      <c r="CF87" s="831" t="str">
        <f>IF($C87&lt;1,"",(AVERAGEIFS('09월 에너지'!O$14:O$949,'09월 에너지'!$A$14:$A$949,$A87,'09월 에너지'!$C$14:$C$949,$B87)))</f>
        <v/>
      </c>
      <c r="CG87" s="831" t="str">
        <f>IF($C87&lt;1,"",(AVERAGEIFS('09월 에너지'!P$14:P$949,'09월 에너지'!$A$14:$A$949,$A87,'09월 에너지'!$C$14:$C$949,$B87)))</f>
        <v/>
      </c>
      <c r="CH87" s="831" t="str">
        <f>IF($C87&lt;1,"",(AVERAGEIFS('09월 에너지'!Q$14:Q$949,'09월 에너지'!$A$14:$A$949,$A87,'09월 에너지'!$C$14:$C$949,$B87)))</f>
        <v/>
      </c>
      <c r="CI87" s="831" t="str">
        <f>IF($C87&lt;1,"",(AVERAGEIFS('09월 에너지'!R$14:R$949,'09월 에너지'!$A$14:$A$949,$A87,'09월 에너지'!$C$14:$C$949,$B87)))</f>
        <v/>
      </c>
      <c r="CJ87" s="831" t="str">
        <f>IF($C87&lt;1,"",(AVERAGEIFS('09월 에너지'!S$14:S$949,'09월 에너지'!$A$14:$A$949,$A87,'09월 에너지'!$C$14:$C$949,$B87)))</f>
        <v/>
      </c>
      <c r="CK87" s="831" t="str">
        <f>IF($C87&lt;1,"",(AVERAGEIFS('09월 에너지'!T$14:T$949,'09월 에너지'!$A$14:$A$949,$A87,'09월 에너지'!$C$14:$C$949,$B87)))</f>
        <v/>
      </c>
      <c r="CL87" s="831" t="str">
        <f>IF($C87&lt;1,"",(AVERAGEIFS('09월 에너지'!U$14:U$949,'09월 에너지'!$A$14:$A$949,$A87,'09월 에너지'!$C$14:$C$949,$B87)))</f>
        <v/>
      </c>
      <c r="CM87" s="835" t="str">
        <f>IF($C87&lt;1,"",(AVERAGEIFS('09월 에너지'!V$14:V$949,'09월 에너지'!$A$14:$A$949,$A87,'09월 에너지'!$C$14:$C$949,$B87)))</f>
        <v/>
      </c>
      <c r="CN87" s="835" t="str">
        <f>IF($C87&lt;1,"",(AVERAGEIFS('09월 에너지'!W$14:W$949,'09월 에너지'!$A$14:$A$949,$A87,'09월 에너지'!$C$14:$C$949,$B87)))</f>
        <v/>
      </c>
      <c r="CO87" s="831" t="str">
        <f>IF($C87&lt;1,"",(AVERAGEIFS('09월 에너지'!X$14:X$949,'09월 에너지'!$A$14:$A$949,$A87,'09월 에너지'!$C$14:$C$949,$B87)))</f>
        <v/>
      </c>
      <c r="CP87" s="835" t="str">
        <f>IF($C87&lt;1,"",(AVERAGEIFS('09월 에너지'!Y$14:Y$949,'09월 에너지'!$A$14:$A$949,$A87,'09월 에너지'!$C$14:$C$949,$B87)))</f>
        <v/>
      </c>
      <c r="CQ87" s="835" t="str">
        <f>IF($C87&lt;1,"",(AVERAGEIFS('09월 에너지'!Z$14:Z$949,'09월 에너지'!$A$14:$A$949,$A87,'09월 에너지'!$C$14:$C$949,$B87)))</f>
        <v/>
      </c>
      <c r="CR87" s="835" t="str">
        <f>IF($C87&lt;1,"",(AVERAGEIFS('09월 에너지'!AA$14:AA$949,'09월 에너지'!$A$14:$A$949,$A87,'09월 에너지'!$C$14:$C$949,$B87)))</f>
        <v/>
      </c>
      <c r="CS87" s="835" t="str">
        <f>IF($C87&lt;1,"",(AVERAGEIFS('09월 에너지'!AB$14:AB$949,'09월 에너지'!$A$14:$A$949,$A87,'09월 에너지'!$C$14:$C$949,$B87)))</f>
        <v/>
      </c>
      <c r="CT87" s="831" t="str">
        <f>IF($C87&lt;1,"",(AVERAGEIFS('09월 에너지'!AC$14:AC$949,'09월 에너지'!$A$14:$A$949,$A87,'09월 에너지'!$C$14:$C$949,$B87)))</f>
        <v/>
      </c>
      <c r="CU87" s="836" t="str">
        <f>IF($C87&lt;1,"",(AVERAGEIFS('09월 에너지'!AD$14:AD$949,'09월 에너지'!$A$14:$A$949,$A87,'09월 에너지'!$C$14:$C$949,$B87)))</f>
        <v/>
      </c>
      <c r="CV87" s="837" t="str">
        <f>IF($C87&lt;1,"",(AVERAGEIFS('09월 에너지'!AE$14:AE$949,'09월 에너지'!$A$14:$A$949,$A87,'09월 에너지'!$C$14:$C$949,$B87)))</f>
        <v/>
      </c>
      <c r="CW87" s="831" t="str">
        <f>IF($C87&lt;1,"",(AVERAGEIFS('09월 에너지'!AF$14:AF$949,'09월 에너지'!$A$14:$A$949,$A87,'09월 에너지'!$C$14:$C$949,$B87)))</f>
        <v/>
      </c>
      <c r="CX87" s="831" t="str">
        <f>IF($C87&lt;1,"",(AVERAGEIFS('09월 에너지'!AG$14:AG$949,'09월 에너지'!$A$14:$A$949,$A87,'09월 에너지'!$C$14:$C$949,$B87)))</f>
        <v/>
      </c>
      <c r="CY87" s="831" t="str">
        <f>IF($C87&lt;1,"",(AVERAGEIFS('09월 에너지'!AH$14:AH$949,'09월 에너지'!$A$14:$A$949,$A87,'09월 에너지'!$C$14:$C$949,$B87)))</f>
        <v/>
      </c>
      <c r="CZ87" s="831" t="str">
        <f>IF($C87&lt;1,"",(AVERAGEIFS('09월 에너지'!AI$14:AI$949,'09월 에너지'!$A$14:$A$949,$A87,'09월 에너지'!$C$14:$C$949,$B87)))</f>
        <v/>
      </c>
      <c r="DA87" s="838" t="str">
        <f>IF($C87&lt;1,"",(AVERAGEIFS('09월 에너지'!AJ$14:AJ$949,'09월 에너지'!$A$14:$A$949,$A87,'09월 에너지'!$C$14:$C$949,$B87)))</f>
        <v/>
      </c>
    </row>
    <row r="88" spans="1:105" ht="13.5" customHeight="1">
      <c r="A88" s="849">
        <f t="shared" si="16"/>
        <v>44943</v>
      </c>
      <c r="B88" s="850" t="s">
        <v>100</v>
      </c>
      <c r="C88" s="823">
        <f>COUNTIFS('09월 조업일지'!$A$12:$A$952,A86,'09월 조업일지'!$E$12:$E$952,B88)</f>
        <v>0</v>
      </c>
      <c r="D88" s="824" t="str">
        <f t="shared" ref="D88:D90" si="19">IF(C88&lt;1,"",F88-E88)</f>
        <v/>
      </c>
      <c r="E88" s="824" t="str">
        <f>IF($C88&lt;1,"",(SUMIFS('09월 조업일지'!$K$12:$K$952,'09월 조업일지'!$A$12:$A$952,$A88,'09월 조업일지'!$E$12:$E$952,$B88)/$C88))</f>
        <v/>
      </c>
      <c r="F88" s="824" t="str">
        <f>IF($C88&lt;1,"",(AVERAGEIFS('09월 조업일지'!$J$12:$J$952,'09월 조업일지'!$A$12:$A$952,$A88,'09월 조업일지'!$E$12:$E$952,$B88)))</f>
        <v/>
      </c>
      <c r="G88" s="825" t="str">
        <f>IF($C88&lt;1,"",(AVERAGEIFS('09월 에너지'!$M$14:$M$949,'09월 에너지'!$A$14:$A$949,$A88,'09월 에너지'!$C$14:$C$949,$B88)))</f>
        <v/>
      </c>
      <c r="H88" s="826" t="str">
        <f>IF($C88&lt;1,"",(AVERAGEIFS('09월 조업일지'!$AJ$12:$AJ$952,'09월 조업일지'!$A$12:$A$952,$A88,'09월 조업일지'!$E$12:$E$952,$B88)))</f>
        <v/>
      </c>
      <c r="I88" s="826" t="str">
        <f>IF($C88&lt;1,"",(AVERAGEIFS('09월 조업일지'!$AL$12:$AL$952,'09월 조업일지'!$A$12:$A$952,$A88,'09월 조업일지'!$E$12:$E$952,$B88)))</f>
        <v/>
      </c>
      <c r="J88" s="827" t="str">
        <f>IF($C88&lt;1,"",(AVERAGEIFS('09월 화학성분'!G$12:G$949,'09월 화학성분'!$A$12:$A$949,$A88,'09월 화학성분'!$D$12:$D$949,$B88)))</f>
        <v/>
      </c>
      <c r="K88" s="827" t="str">
        <f>IF($C88&lt;1,"",(AVERAGEIFS('09월 화학성분'!H$12:H$949,'09월 화학성분'!$A$12:$A$949,$A88,'09월 화학성분'!$D$12:$D$949,$B88)))</f>
        <v/>
      </c>
      <c r="L88" s="827" t="str">
        <f>IF($C88&lt;1,"",(AVERAGEIFS('09월 화학성분'!I$12:I$949,'09월 화학성분'!$A$12:$A$949,$A88,'09월 화학성분'!$D$12:$D$949,$B88)))</f>
        <v/>
      </c>
      <c r="M88" s="827" t="str">
        <f>IF($C88&lt;1,"",(AVERAGEIFS('09월 화학성분'!J$12:J$949,'09월 화학성분'!$A$12:$A$949,$A88,'09월 화학성분'!$D$12:$D$949,$B88)))</f>
        <v/>
      </c>
      <c r="N88" s="827" t="str">
        <f>IF($C88&lt;1,"",(AVERAGEIFS('09월 화학성분'!K$12:K$949,'09월 화학성분'!$A$12:$A$949,$A88,'09월 화학성분'!$D$12:$D$949,$B88)))</f>
        <v/>
      </c>
      <c r="O88" s="827" t="str">
        <f>IF($C88&lt;1,"",(AVERAGEIFS('09월 화학성분'!L$12:L$949,'09월 화학성분'!$A$12:$A$949,$A88,'09월 화학성분'!$D$12:$D$949,$B88)))</f>
        <v/>
      </c>
      <c r="P88" s="827" t="str">
        <f>IF($C88&lt;1,"",(AVERAGEIFS('09월 화학성분'!M$12:M$949,'09월 화학성분'!$A$12:$A$949,$A88,'09월 화학성분'!$D$12:$D$949,$B88)))</f>
        <v/>
      </c>
      <c r="Q88" s="827" t="str">
        <f>IFERROR(IF($C88&lt;1,"",(AVERAGEIFS('09월 조업일지'!$AA$12:$AA$952,'09월 조업일지'!$A$12:$A$952,$A88,'09월 조업일지'!$E$12:$E$952,$B88))),"")</f>
        <v/>
      </c>
      <c r="R88" s="827" t="str">
        <f>IF($C88&lt;1,"",(AVERAGEIFS('09월 조업일지'!$AK$12:$AK$952,'09월 조업일지'!$A$12:$A$952,$A88,'09월 조업일지'!$E$12:$E$952,$B88)))</f>
        <v/>
      </c>
      <c r="S88" s="827"/>
      <c r="T88" s="827"/>
      <c r="U88" s="827" t="str">
        <f>IF($C88&lt;1,"",(AVERAGEIFS('09월 화학성분'!$G$12:$G$949,'09월 화학성분'!$A$12:$A$949,$A88,'09월 화학성분'!$D$12:$D$949,$B88)))</f>
        <v/>
      </c>
      <c r="V88" s="827" t="str">
        <f>IF($C88&lt;1,"",(AVERAGEIFS('09월 조업일지'!$AI$12:$AI$952,'09월 조업일지'!$A$12:$A$952,$A88,'09월 조업일지'!$E$12:$E$952,$B88)))</f>
        <v/>
      </c>
      <c r="W88" s="828" t="str">
        <f>IF($C88&lt;1,"",(AVERAGEIFS('09월 화학성분'!$AM$12:$AM$949,'09월 화학성분'!$A$12:$A$949,$A88,'09월 화학성분'!$D$12:$D$949,$B88)))</f>
        <v/>
      </c>
      <c r="X88" s="829" t="str">
        <f>IF($C88&lt;1,"",(AVERAGEIFS('09월 화학성분'!N$12:N$949,'09월 화학성분'!$A$12:$A$949,$A88,'09월 화학성분'!$D$12:$D$949,$B88)))</f>
        <v/>
      </c>
      <c r="Y88" s="829" t="str">
        <f>IF($C88&lt;1,"",(AVERAGEIFS('09월 화학성분'!O$12:O$949,'09월 화학성분'!$A$12:$A$949,$A88,'09월 화학성분'!$D$12:$D$949,$B88)))</f>
        <v/>
      </c>
      <c r="Z88" s="829" t="str">
        <f>IF($C88&lt;1,"",(AVERAGEIFS('09월 화학성분'!P$12:P$949,'09월 화학성분'!$A$12:$A$949,$A88,'09월 화학성분'!$D$12:$D$949,$B88)))</f>
        <v/>
      </c>
      <c r="AA88" s="829" t="str">
        <f>IF($C88&lt;1,"",(AVERAGEIFS('09월 화학성분'!Q$12:Q$949,'09월 화학성분'!$A$12:$A$949,$A88,'09월 화학성분'!$D$12:$D$949,$B88)))</f>
        <v/>
      </c>
      <c r="AB88" s="829" t="str">
        <f>IF($C88&lt;1,"",(AVERAGEIFS('09월 화학성분'!R$12:R$949,'09월 화학성분'!$A$12:$A$949,$A88,'09월 화학성분'!$D$12:$D$949,$B88)))</f>
        <v/>
      </c>
      <c r="AC88" s="829" t="str">
        <f>IF($C88&lt;1,"",(AVERAGEIFS('09월 화학성분'!U$12:U$949,'09월 화학성분'!$A$12:$A$949,$A88,'09월 화학성분'!$D$12:$D$949,$B88)))</f>
        <v/>
      </c>
      <c r="AD88" s="829" t="str">
        <f>IF($C88&lt;1,"",(AVERAGEIFS('09월 화학성분'!V$12:V$949,'09월 화학성분'!$A$12:$A$949,$A88,'09월 화학성분'!$D$12:$D$949,$B88)))</f>
        <v/>
      </c>
      <c r="AE88" s="829" t="str">
        <f>IF($C88&lt;1,"",(AVERAGEIFS('09월 화학성분'!W$12:W$949,'09월 화학성분'!$A$12:$A$949,$A88,'09월 화학성분'!$D$12:$D$949,$B88)))</f>
        <v/>
      </c>
      <c r="AF88" s="829" t="str">
        <f>IF($C88&lt;1,"",(AVERAGEIFS('09월 화학성분'!AA$12:AA$949,'09월 화학성분'!$A$12:$A$949,$A88,'09월 화학성분'!$D$12:$D$949,$B88)))</f>
        <v/>
      </c>
      <c r="AG88" s="829" t="str">
        <f>IF($C88&lt;1,"",(AVERAGEIFS('09월 화학성분'!#REF!,'09월 화학성분'!$A$12:$A$949,$A88,'09월 화학성분'!$D$12:$D$949,$B88)))</f>
        <v/>
      </c>
      <c r="AH88" s="829" t="str">
        <f>IF($C88&lt;1,"",(AVERAGEIFS('09월 화학성분'!AB$12:AB$949,'09월 화학성분'!$A$12:$A$949,$A88,'09월 화학성분'!$D$12:$D$949,$B88)))</f>
        <v/>
      </c>
      <c r="AI88" s="829" t="str">
        <f>IF($C88&lt;1,"",(AVERAGEIFS('09월 화학성분'!AC$12:AC$949,'09월 화학성분'!$A$12:$A$949,$A88,'09월 화학성분'!$D$12:$D$949,$B88)))</f>
        <v/>
      </c>
      <c r="AJ88" s="829" t="str">
        <f>IF($C88&lt;1,"",(AVERAGEIFS('09월 화학성분'!AD$12:AD$949,'09월 화학성분'!$A$12:$A$949,$A88,'09월 화학성분'!$D$12:$D$949,$B88)))</f>
        <v/>
      </c>
      <c r="AK88" s="829" t="str">
        <f>IF($C88&lt;1,"",(AVERAGEIFS('09월 화학성분'!AF$12:AF$949,'09월 화학성분'!$A$12:$A$949,$A88,'09월 화학성분'!$D$12:$D$949,$B88)))</f>
        <v/>
      </c>
      <c r="AL88" s="829" t="str">
        <f>IF($C88&lt;1,"",(AVERAGEIFS('09월 화학성분'!AG$12:AG$949,'09월 화학성분'!$A$12:$A$949,$A88,'09월 화학성분'!$D$12:$D$949,$B88)))</f>
        <v/>
      </c>
      <c r="AM88" s="829" t="str">
        <f>IF($C88&lt;1,"",(AVERAGEIFS('09월 화학성분'!AH$12:AH$949,'09월 화학성분'!$A$12:$A$949,$A88,'09월 화학성분'!$D$12:$D$949,$B88)))</f>
        <v/>
      </c>
      <c r="AN88" s="829" t="str">
        <f>IF($C88&lt;1,"",(AVERAGEIFS('09월 화학성분'!AI$12:AI$949,'09월 화학성분'!$A$12:$A$949,$A88,'09월 화학성분'!$D$12:$D$949,$B88)))</f>
        <v/>
      </c>
      <c r="AO88" s="829" t="str">
        <f>IF($C88&lt;1,"",(AVERAGEIFS('09월 화학성분'!AJ$12:AJ$949,'09월 화학성분'!$A$12:$A$949,$A88,'09월 화학성분'!$D$12:$D$949,$B88)))</f>
        <v/>
      </c>
      <c r="AP88" s="829" t="str">
        <f>IF($C88&lt;1,"",(AVERAGEIFS('09월 화학성분'!#REF!,'09월 화학성분'!$A$12:$A$949,$A88,'09월 화학성분'!$D$12:$D$949,$B88)))</f>
        <v/>
      </c>
      <c r="AQ88" s="829" t="str">
        <f>IF($C88&lt;1,"",(AVERAGEIFS('09월 화학성분'!AL$12:AL$949,'09월 화학성분'!$A$12:$A$949,$A88,'09월 화학성분'!$D$12:$D$949,$B88)))</f>
        <v/>
      </c>
      <c r="AR88" s="829" t="str">
        <f>IF($C88&lt;1,"",(AVERAGEIFS('09월 화학성분'!AM$12:AM$949,'09월 화학성분'!$A$12:$A$949,$A88,'09월 화학성분'!$D$12:$D$949,$B88)))</f>
        <v/>
      </c>
      <c r="AS88" s="830" t="str">
        <f>IF($C88&lt;1,"",(AVERAGEIFS('09월 화학성분'!AN$12:AN$949,'09월 화학성분'!$A$12:$A$949,$A88,'09월 화학성분'!$D$12:$D$949,$B88)))</f>
        <v/>
      </c>
      <c r="AT88" s="830" t="str">
        <f>IF($C88&lt;1,"",(AVERAGEIFS('09월 화학성분'!AO$12:AO$949,'09월 화학성분'!$A$12:$A$949,$A88,'09월 화학성분'!$D$12:$D$949,$B88)))</f>
        <v/>
      </c>
      <c r="AU88" s="831" t="str">
        <f>IF($C88&lt;1,"",(AVERAGEIFS('09월 화학성분'!AP$12:AP$949,'09월 화학성분'!$A$12:$A$949,$A88,'09월 화학성분'!$D$12:$D$949,$B88)))</f>
        <v/>
      </c>
      <c r="AV88" s="832" t="str">
        <f>IF($C88&lt;1,"",(AVERAGEIFS('09월 고철장입'!G$14:G$949,'09월 고철장입'!$A$14:$A$949,$A88,'09월 고철장입'!$C$14:$C$949,$B88))/1000)</f>
        <v/>
      </c>
      <c r="AW88" s="832" t="str">
        <f>IF($C88&lt;1,"",(AVERAGEIFS('09월 고철장입'!H$14:H$949,'09월 고철장입'!$A$14:$A$949,$A88,'09월 고철장입'!$C$14:$C$949,$B88))/1000)</f>
        <v/>
      </c>
      <c r="AX88" s="832" t="str">
        <f>IF($C88&lt;1,"",(AVERAGEIFS('09월 고철장입'!I$14:I$949,'09월 고철장입'!$A$14:$A$949,$A88,'09월 고철장입'!$C$14:$C$949,$B88))/1000)</f>
        <v/>
      </c>
      <c r="AY88" s="832" t="str">
        <f>IF($C88&lt;1,"",(AVERAGEIFS('09월 고철장입'!J$14:J$949,'09월 고철장입'!$A$14:$A$949,$A88,'09월 고철장입'!$C$14:$C$949,$B88))/1000)</f>
        <v/>
      </c>
      <c r="AZ88" s="832" t="str">
        <f>IF($C88&lt;1,"",(AVERAGEIFS('09월 고철장입'!K$14:K$949,'09월 고철장입'!$A$14:$A$949,$A88,'09월 고철장입'!$C$14:$C$949,$B88))/1000)</f>
        <v/>
      </c>
      <c r="BA88" s="832" t="str">
        <f>IF($C88&lt;1,"",(AVERAGEIFS('09월 고철장입'!L$14:L$949,'09월 고철장입'!$A$14:$A$949,$A88,'09월 고철장입'!$C$14:$C$949,$B88))/1000)</f>
        <v/>
      </c>
      <c r="BB88" s="832" t="str">
        <f>IF($C88&lt;1,"",(AVERAGEIFS('09월 고철장입'!M$14:M$949,'09월 고철장입'!$A$14:$A$949,$A88,'09월 고철장입'!$C$14:$C$949,$B88))/1000)</f>
        <v/>
      </c>
      <c r="BC88" s="832" t="str">
        <f>IF($C88&lt;1,"",(AVERAGEIFS('09월 고철장입'!N$14:N$949,'09월 고철장입'!$A$14:$A$949,$A88,'09월 고철장입'!$C$14:$C$949,$B88))/1000)</f>
        <v/>
      </c>
      <c r="BD88" s="832" t="str">
        <f>IF($C88&lt;1,"",(AVERAGEIFS('09월 고철장입'!O$14:O$949,'09월 고철장입'!$A$14:$A$949,$A88,'09월 고철장입'!$C$14:$C$949,$B88))/1000)</f>
        <v/>
      </c>
      <c r="BE88" s="833" t="str">
        <f>IF($C88&lt;1,"",(AVERAGEIFS('09월 고철장입'!P$14:P$949,'09월 고철장입'!$A$14:$A$949,$A88,'09월 고철장입'!$C$14:$C$949,$B88))/1000)</f>
        <v/>
      </c>
      <c r="BF88" s="833" t="str">
        <f>IF($C88&lt;1,"",(AVERAGEIFS('09월 고철장입'!Q$14:Q$949,'09월 고철장입'!$A$14:$A$949,$A88,'09월 고철장입'!$C$14:$C$949,$B88))/1000)</f>
        <v/>
      </c>
      <c r="BG88" s="833" t="str">
        <f>IF($C88&lt;1,"",(AVERAGEIFS('09월 고철장입'!S$14:S$949,'09월 고철장입'!$A$14:$A$949,$A88,'09월 고철장입'!$C$14:$C$949,$B88))/1000)</f>
        <v/>
      </c>
      <c r="BH88" s="833" t="str">
        <f>IF($C88&lt;1,"",(AVERAGEIFS('09월 고철장입'!T$14:T$949,'09월 고철장입'!$A$14:$A$949,$A88,'09월 고철장입'!$C$14:$C$949,$B88))/1000)</f>
        <v/>
      </c>
      <c r="BI88" s="833" t="str">
        <f>IF($C88&lt;1,"",(AVERAGEIFS('09월 고철장입'!U$14:U$949,'09월 고철장입'!$A$14:$A$949,$A88,'09월 고철장입'!$C$14:$C$949,$B88))/1000)</f>
        <v/>
      </c>
      <c r="BJ88" s="833" t="str">
        <f>IF($C88&lt;1,"",(AVERAGEIFS('09월 고철장입'!V$14:V$949,'09월 고철장입'!$A$14:$A$949,$A88,'09월 고철장입'!$C$14:$C$949,$B88))/1000)</f>
        <v/>
      </c>
      <c r="BK88" s="833" t="str">
        <f>IF($C88&lt;1,"",(AVERAGEIFS('09월 고철장입'!W$14:W$949,'09월 고철장입'!$A$14:$A$949,$A88,'09월 고철장입'!$C$14:$C$949,$B88))/1000)</f>
        <v/>
      </c>
      <c r="BL88" s="833" t="str">
        <f>IF($C88&lt;1,"",(AVERAGEIFS('09월 고철장입'!Y$14:Y$949,'09월 고철장입'!$A$14:$A$949,$A88,'09월 고철장입'!$C$14:$C$949,$B88))/1000)</f>
        <v/>
      </c>
      <c r="BM88" s="833" t="str">
        <f>IF($C88&lt;1,"",(AVERAGEIFS('09월 고철장입'!AB$14:AB$949,'09월 고철장입'!$A$14:$A$949,$A88,'09월 고철장입'!$C$14:$C$949,$B88))/1000)</f>
        <v/>
      </c>
      <c r="BN88" s="833" t="str">
        <f>IF($C88&lt;1,"",(AVERAGEIFS('09월 고철장입'!AC$14:AC$949,'09월 고철장입'!$A$14:$A$949,$A88,'09월 고철장입'!$C$14:$C$949,$B88))/1000)</f>
        <v/>
      </c>
      <c r="BO88" s="833" t="str">
        <f>IF($C88&lt;1,"",(AVERAGEIFS('09월 고철장입'!AD$14:AD$949,'09월 고철장입'!$A$14:$A$949,$A88,'09월 고철장입'!$C$14:$C$949,$B88))/1000)</f>
        <v/>
      </c>
      <c r="BP88" s="833" t="str">
        <f>IF($C88&lt;1,"",(AVERAGEIFS('09월 고철장입'!AE$14:AE$949,'09월 고철장입'!$A$14:$A$949,$A88,'09월 고철장입'!$C$14:$C$949,$B88))/1000)</f>
        <v/>
      </c>
      <c r="BQ88" s="832" t="str">
        <f>IF($C88&lt;1,"",(AVERAGEIFS('09월 고철장입'!AF$14:AF$949,'09월 고철장입'!$A$14:$A$949,$A88,'09월 고철장입'!$C$14:$C$949,$B88))/1000)</f>
        <v/>
      </c>
      <c r="BR88" s="832" t="str">
        <f>IF($C88&lt;1,"",(AVERAGEIFS('09월 고철장입'!AG$14:AG$949,'09월 고철장입'!$A$14:$A$949,$A88,'09월 고철장입'!$C$14:$C$949,$B88))/1000)</f>
        <v/>
      </c>
      <c r="BS88" s="832" t="str">
        <f>IF($C88&lt;1,"",(AVERAGEIFS('09월 고철장입'!AH$14:AH$949,'09월 고철장입'!$A$14:$A$949,$A88,'09월 고철장입'!$C$14:$C$949,$B88))/1000)</f>
        <v/>
      </c>
      <c r="BT88" s="832" t="str">
        <f>IF($C88&lt;1,"",(AVERAGEIFS('09월 고철장입'!AI$14:AI$949,'09월 고철장입'!$A$14:$A$949,$A88,'09월 고철장입'!$C$14:$C$949,$B88))/1000)</f>
        <v/>
      </c>
      <c r="BU88" s="834" t="str">
        <f>IF($C88&lt;1,"",(AVERAGEIFS('09월 고철장입'!AJ$14:AJ$949,'09월 고철장입'!$A$14:$A$949,$A88,'09월 고철장입'!$C$14:$C$949,$B88))/1000)</f>
        <v/>
      </c>
      <c r="BV88" s="834" t="str">
        <f>IF($C88&lt;1,"",(AVERAGEIFS('09월 고철장입'!AK$14:AK$949,'09월 고철장입'!$A$14:$A$949,$A88,'09월 고철장입'!$C$14:$C$949,$B88)))</f>
        <v/>
      </c>
      <c r="BW88" s="834" t="str">
        <f>IF($C88&lt;1,"",(AVERAGEIFS('09월 고철장입'!AL$14:AL$949,'09월 고철장입'!$A$14:$A$949,$A88,'09월 고철장입'!$C$14:$C$949,$B88))*100)</f>
        <v/>
      </c>
      <c r="BX88" s="831" t="str">
        <f>IF($C88&lt;1,"",(AVERAGEIFS('09월 에너지'!G$14:G$949,'09월 에너지'!$A$14:$A$949,$A88,'09월 에너지'!$C$14:$C$949,$B88)))</f>
        <v/>
      </c>
      <c r="BY88" s="835" t="str">
        <f>IF($C88&lt;1,"",(AVERAGEIFS('09월 에너지'!H$14:H$949,'09월 에너지'!$A$14:$A$949,$A88,'09월 에너지'!$C$14:$C$949,$B88)))</f>
        <v/>
      </c>
      <c r="BZ88" s="831" t="str">
        <f>IF($C88&lt;1,"",(AVERAGEIFS('09월 에너지'!I$14:I$949,'09월 에너지'!$A$14:$A$949,$A88,'09월 에너지'!$C$14:$C$949,$B88)))</f>
        <v/>
      </c>
      <c r="CA88" s="835" t="str">
        <f>IF($C88&lt;1,"",(AVERAGEIFS('09월 에너지'!J$14:J$949,'09월 에너지'!$A$14:$A$949,$A88,'09월 에너지'!$C$14:$C$949,$B88)))</f>
        <v/>
      </c>
      <c r="CB88" s="831" t="str">
        <f>IF($C88&lt;1,"",(AVERAGEIFS('09월 에너지'!K$14:K$949,'09월 에너지'!$A$14:$A$949,$A88,'09월 에너지'!$C$14:$C$949,$B88)))</f>
        <v/>
      </c>
      <c r="CC88" s="835" t="str">
        <f>IF($C88&lt;1,"",(AVERAGEIFS('09월 에너지'!L$14:L$949,'09월 에너지'!$A$14:$A$949,$A88,'09월 에너지'!$C$14:$C$949,$B88)))</f>
        <v/>
      </c>
      <c r="CD88" s="831" t="str">
        <f>IF($C88&lt;1,"",(AVERAGEIFS('09월 에너지'!M$14:M$949,'09월 에너지'!$A$14:$A$949,$A88,'09월 에너지'!$C$14:$C$949,$B88)))</f>
        <v/>
      </c>
      <c r="CE88" s="835" t="str">
        <f>IF($C88&lt;1,"",(AVERAGEIFS('09월 에너지'!N$14:N$949,'09월 에너지'!$A$14:$A$949,$A88,'09월 에너지'!$C$14:$C$949,$B88)))</f>
        <v/>
      </c>
      <c r="CF88" s="831" t="str">
        <f>IF($C88&lt;1,"",(AVERAGEIFS('09월 에너지'!O$14:O$949,'09월 에너지'!$A$14:$A$949,$A88,'09월 에너지'!$C$14:$C$949,$B88)))</f>
        <v/>
      </c>
      <c r="CG88" s="831" t="str">
        <f>IF($C88&lt;1,"",(AVERAGEIFS('09월 에너지'!P$14:P$949,'09월 에너지'!$A$14:$A$949,$A88,'09월 에너지'!$C$14:$C$949,$B88)))</f>
        <v/>
      </c>
      <c r="CH88" s="831" t="str">
        <f>IF($C88&lt;1,"",(AVERAGEIFS('09월 에너지'!Q$14:Q$949,'09월 에너지'!$A$14:$A$949,$A88,'09월 에너지'!$C$14:$C$949,$B88)))</f>
        <v/>
      </c>
      <c r="CI88" s="831" t="str">
        <f>IF($C88&lt;1,"",(AVERAGEIFS('09월 에너지'!R$14:R$949,'09월 에너지'!$A$14:$A$949,$A88,'09월 에너지'!$C$14:$C$949,$B88)))</f>
        <v/>
      </c>
      <c r="CJ88" s="831" t="str">
        <f>IF($C88&lt;1,"",(AVERAGEIFS('09월 에너지'!S$14:S$949,'09월 에너지'!$A$14:$A$949,$A88,'09월 에너지'!$C$14:$C$949,$B88)))</f>
        <v/>
      </c>
      <c r="CK88" s="831" t="str">
        <f>IF($C88&lt;1,"",(AVERAGEIFS('09월 에너지'!T$14:T$949,'09월 에너지'!$A$14:$A$949,$A88,'09월 에너지'!$C$14:$C$949,$B88)))</f>
        <v/>
      </c>
      <c r="CL88" s="831" t="str">
        <f>IF($C88&lt;1,"",(AVERAGEIFS('09월 에너지'!U$14:U$949,'09월 에너지'!$A$14:$A$949,$A88,'09월 에너지'!$C$14:$C$949,$B88)))</f>
        <v/>
      </c>
      <c r="CM88" s="835" t="str">
        <f>IF($C88&lt;1,"",(AVERAGEIFS('09월 에너지'!V$14:V$949,'09월 에너지'!$A$14:$A$949,$A88,'09월 에너지'!$C$14:$C$949,$B88)))</f>
        <v/>
      </c>
      <c r="CN88" s="835" t="str">
        <f>IF($C88&lt;1,"",(AVERAGEIFS('09월 에너지'!W$14:W$949,'09월 에너지'!$A$14:$A$949,$A88,'09월 에너지'!$C$14:$C$949,$B88)))</f>
        <v/>
      </c>
      <c r="CO88" s="831" t="str">
        <f>IF($C88&lt;1,"",(AVERAGEIFS('09월 에너지'!X$14:X$949,'09월 에너지'!$A$14:$A$949,$A88,'09월 에너지'!$C$14:$C$949,$B88)))</f>
        <v/>
      </c>
      <c r="CP88" s="835" t="str">
        <f>IF($C88&lt;1,"",(AVERAGEIFS('09월 에너지'!Y$14:Y$949,'09월 에너지'!$A$14:$A$949,$A88,'09월 에너지'!$C$14:$C$949,$B88)))</f>
        <v/>
      </c>
      <c r="CQ88" s="835" t="str">
        <f>IF($C88&lt;1,"",(AVERAGEIFS('09월 에너지'!Z$14:Z$949,'09월 에너지'!$A$14:$A$949,$A88,'09월 에너지'!$C$14:$C$949,$B88)))</f>
        <v/>
      </c>
      <c r="CR88" s="835" t="str">
        <f>IF($C88&lt;1,"",(AVERAGEIFS('09월 에너지'!AA$14:AA$949,'09월 에너지'!$A$14:$A$949,$A88,'09월 에너지'!$C$14:$C$949,$B88)))</f>
        <v/>
      </c>
      <c r="CS88" s="835" t="str">
        <f>IF($C88&lt;1,"",(AVERAGEIFS('09월 에너지'!AB$14:AB$949,'09월 에너지'!$A$14:$A$949,$A88,'09월 에너지'!$C$14:$C$949,$B88)))</f>
        <v/>
      </c>
      <c r="CT88" s="831" t="str">
        <f>IF($C88&lt;1,"",(AVERAGEIFS('09월 에너지'!AC$14:AC$949,'09월 에너지'!$A$14:$A$949,$A88,'09월 에너지'!$C$14:$C$949,$B88)))</f>
        <v/>
      </c>
      <c r="CU88" s="836" t="str">
        <f>IF($C88&lt;1,"",(AVERAGEIFS('09월 에너지'!AD$14:AD$949,'09월 에너지'!$A$14:$A$949,$A88,'09월 에너지'!$C$14:$C$949,$B88)))</f>
        <v/>
      </c>
      <c r="CV88" s="837" t="str">
        <f>IF($C88&lt;1,"",(AVERAGEIFS('09월 에너지'!AE$14:AE$949,'09월 에너지'!$A$14:$A$949,$A88,'09월 에너지'!$C$14:$C$949,$B88)))</f>
        <v/>
      </c>
      <c r="CW88" s="831" t="str">
        <f>IF($C88&lt;1,"",(AVERAGEIFS('09월 에너지'!AF$14:AF$949,'09월 에너지'!$A$14:$A$949,$A88,'09월 에너지'!$C$14:$C$949,$B88)))</f>
        <v/>
      </c>
      <c r="CX88" s="831" t="str">
        <f>IF($C88&lt;1,"",(AVERAGEIFS('09월 에너지'!AG$14:AG$949,'09월 에너지'!$A$14:$A$949,$A88,'09월 에너지'!$C$14:$C$949,$B88)))</f>
        <v/>
      </c>
      <c r="CY88" s="831" t="str">
        <f>IF($C88&lt;1,"",(AVERAGEIFS('09월 에너지'!AH$14:AH$949,'09월 에너지'!$A$14:$A$949,$A88,'09월 에너지'!$C$14:$C$949,$B88)))</f>
        <v/>
      </c>
      <c r="CZ88" s="831" t="str">
        <f>IF($C88&lt;1,"",(AVERAGEIFS('09월 에너지'!AI$14:AI$949,'09월 에너지'!$A$14:$A$949,$A88,'09월 에너지'!$C$14:$C$949,$B88)))</f>
        <v/>
      </c>
      <c r="DA88" s="838" t="str">
        <f>IF($C88&lt;1,"",(AVERAGEIFS('09월 에너지'!AJ$14:AJ$949,'09월 에너지'!$A$14:$A$949,$A88,'09월 에너지'!$C$14:$C$949,$B88)))</f>
        <v/>
      </c>
    </row>
    <row r="89" spans="1:105" ht="13.5" customHeight="1">
      <c r="A89" s="849">
        <f t="shared" si="16"/>
        <v>44943</v>
      </c>
      <c r="B89" s="850" t="s">
        <v>10</v>
      </c>
      <c r="C89" s="823">
        <f>COUNTIFS('09월 조업일지'!$A$12:$A$952,A86,'09월 조업일지'!$E$12:$E$952,B89)</f>
        <v>0</v>
      </c>
      <c r="D89" s="824" t="str">
        <f t="shared" si="19"/>
        <v/>
      </c>
      <c r="E89" s="824" t="str">
        <f>IF($C89&lt;1,"",(SUMIFS('09월 조업일지'!$K$12:$K$952,'09월 조업일지'!$A$12:$A$952,$A89,'09월 조업일지'!$E$12:$E$952,$B89)/$C89))</f>
        <v/>
      </c>
      <c r="F89" s="824" t="str">
        <f>IF($C89&lt;1,"",(AVERAGEIFS('09월 조업일지'!$J$12:$J$952,'09월 조업일지'!$A$12:$A$952,$A89,'09월 조업일지'!$E$12:$E$952,$B89)))</f>
        <v/>
      </c>
      <c r="G89" s="825" t="str">
        <f>IF($C89&lt;1,"",(AVERAGEIFS('09월 에너지'!$M$14:$M$949,'09월 에너지'!$A$14:$A$949,$A89,'09월 에너지'!$C$14:$C$949,$B89)))</f>
        <v/>
      </c>
      <c r="H89" s="826" t="str">
        <f>IF($C89&lt;1,"",(AVERAGEIFS('09월 조업일지'!$AJ$12:$AJ$952,'09월 조업일지'!$A$12:$A$952,$A89,'09월 조업일지'!$E$12:$E$952,$B89)))</f>
        <v/>
      </c>
      <c r="I89" s="826" t="str">
        <f>IF($C89&lt;1,"",(AVERAGEIFS('09월 조업일지'!$AL$12:$AL$952,'09월 조업일지'!$A$12:$A$952,$A89,'09월 조업일지'!$E$12:$E$952,$B89)))</f>
        <v/>
      </c>
      <c r="J89" s="827" t="str">
        <f>IF($C89&lt;1,"",(AVERAGEIFS('09월 화학성분'!G$12:G$949,'09월 화학성분'!$A$12:$A$949,$A89,'09월 화학성분'!$D$12:$D$949,$B89)))</f>
        <v/>
      </c>
      <c r="K89" s="827" t="str">
        <f>IF($C89&lt;1,"",(AVERAGEIFS('09월 화학성분'!H$12:H$949,'09월 화학성분'!$A$12:$A$949,$A89,'09월 화학성분'!$D$12:$D$949,$B89)))</f>
        <v/>
      </c>
      <c r="L89" s="827" t="str">
        <f>IF($C89&lt;1,"",(AVERAGEIFS('09월 화학성분'!I$12:I$949,'09월 화학성분'!$A$12:$A$949,$A89,'09월 화학성분'!$D$12:$D$949,$B89)))</f>
        <v/>
      </c>
      <c r="M89" s="827" t="str">
        <f>IF($C89&lt;1,"",(AVERAGEIFS('09월 화학성분'!J$12:J$949,'09월 화학성분'!$A$12:$A$949,$A89,'09월 화학성분'!$D$12:$D$949,$B89)))</f>
        <v/>
      </c>
      <c r="N89" s="827" t="str">
        <f>IF($C89&lt;1,"",(AVERAGEIFS('09월 화학성분'!K$12:K$949,'09월 화학성분'!$A$12:$A$949,$A89,'09월 화학성분'!$D$12:$D$949,$B89)))</f>
        <v/>
      </c>
      <c r="O89" s="827" t="str">
        <f>IF($C89&lt;1,"",(AVERAGEIFS('09월 화학성분'!L$12:L$949,'09월 화학성분'!$A$12:$A$949,$A89,'09월 화학성분'!$D$12:$D$949,$B89)))</f>
        <v/>
      </c>
      <c r="P89" s="827" t="str">
        <f>IF($C89&lt;1,"",(AVERAGEIFS('09월 화학성분'!M$12:M$949,'09월 화학성분'!$A$12:$A$949,$A89,'09월 화학성분'!$D$12:$D$949,$B89)))</f>
        <v/>
      </c>
      <c r="Q89" s="827" t="str">
        <f>IFERROR(IF($C89&lt;1,"",(AVERAGEIFS('09월 조업일지'!$AA$12:$AA$952,'09월 조업일지'!$A$12:$A$952,$A89,'09월 조업일지'!$E$12:$E$952,$B89))),"")</f>
        <v/>
      </c>
      <c r="R89" s="827" t="str">
        <f>IF($C89&lt;1,"",(AVERAGEIFS('09월 조업일지'!$AK$12:$AK$952,'09월 조업일지'!$A$12:$A$952,$A89,'09월 조업일지'!$E$12:$E$952,$B89)))</f>
        <v/>
      </c>
      <c r="S89" s="827"/>
      <c r="T89" s="827"/>
      <c r="U89" s="827" t="str">
        <f>IF($C89&lt;1,"",(AVERAGEIFS('09월 화학성분'!$G$12:$G$949,'09월 화학성분'!$A$12:$A$949,$A89,'09월 화학성분'!$D$12:$D$949,$B89)))</f>
        <v/>
      </c>
      <c r="V89" s="827" t="str">
        <f>IF($C89&lt;1,"",(AVERAGEIFS('09월 조업일지'!$AI$12:$AI$952,'09월 조업일지'!$A$12:$A$952,$A89,'09월 조업일지'!$E$12:$E$952,$B89)))</f>
        <v/>
      </c>
      <c r="W89" s="828" t="str">
        <f>IF($C89&lt;1,"",(AVERAGEIFS('09월 화학성분'!$AM$12:$AM$949,'09월 화학성분'!$A$12:$A$949,$A89,'09월 화학성분'!$D$12:$D$949,$B89)))</f>
        <v/>
      </c>
      <c r="X89" s="829" t="str">
        <f>IF($C89&lt;1,"",(AVERAGEIFS('09월 화학성분'!N$12:N$949,'09월 화학성분'!$A$12:$A$949,$A89,'09월 화학성분'!$D$12:$D$949,$B89)))</f>
        <v/>
      </c>
      <c r="Y89" s="829" t="str">
        <f>IF($C89&lt;1,"",(AVERAGEIFS('09월 화학성분'!O$12:O$949,'09월 화학성분'!$A$12:$A$949,$A89,'09월 화학성분'!$D$12:$D$949,$B89)))</f>
        <v/>
      </c>
      <c r="Z89" s="829" t="str">
        <f>IF($C89&lt;1,"",(AVERAGEIFS('09월 화학성분'!P$12:P$949,'09월 화학성분'!$A$12:$A$949,$A89,'09월 화학성분'!$D$12:$D$949,$B89)))</f>
        <v/>
      </c>
      <c r="AA89" s="829" t="str">
        <f>IF($C89&lt;1,"",(AVERAGEIFS('09월 화학성분'!Q$12:Q$949,'09월 화학성분'!$A$12:$A$949,$A89,'09월 화학성분'!$D$12:$D$949,$B89)))</f>
        <v/>
      </c>
      <c r="AB89" s="829" t="str">
        <f>IF($C89&lt;1,"",(AVERAGEIFS('09월 화학성분'!R$12:R$949,'09월 화학성분'!$A$12:$A$949,$A89,'09월 화학성분'!$D$12:$D$949,$B89)))</f>
        <v/>
      </c>
      <c r="AC89" s="829" t="str">
        <f>IF($C89&lt;1,"",(AVERAGEIFS('09월 화학성분'!U$12:U$949,'09월 화학성분'!$A$12:$A$949,$A89,'09월 화학성분'!$D$12:$D$949,$B89)))</f>
        <v/>
      </c>
      <c r="AD89" s="829" t="str">
        <f>IF($C89&lt;1,"",(AVERAGEIFS('09월 화학성분'!V$12:V$949,'09월 화학성분'!$A$12:$A$949,$A89,'09월 화학성분'!$D$12:$D$949,$B89)))</f>
        <v/>
      </c>
      <c r="AE89" s="829" t="str">
        <f>IF($C89&lt;1,"",(AVERAGEIFS('09월 화학성분'!W$12:W$949,'09월 화학성분'!$A$12:$A$949,$A89,'09월 화학성분'!$D$12:$D$949,$B89)))</f>
        <v/>
      </c>
      <c r="AF89" s="829" t="str">
        <f>IF($C89&lt;1,"",(AVERAGEIFS('09월 화학성분'!AA$12:AA$949,'09월 화학성분'!$A$12:$A$949,$A89,'09월 화학성분'!$D$12:$D$949,$B89)))</f>
        <v/>
      </c>
      <c r="AG89" s="829" t="str">
        <f>IF($C89&lt;1,"",(AVERAGEIFS('09월 화학성분'!#REF!,'09월 화학성분'!$A$12:$A$949,$A89,'09월 화학성분'!$D$12:$D$949,$B89)))</f>
        <v/>
      </c>
      <c r="AH89" s="829" t="str">
        <f>IF($C89&lt;1,"",(AVERAGEIFS('09월 화학성분'!AB$12:AB$949,'09월 화학성분'!$A$12:$A$949,$A89,'09월 화학성분'!$D$12:$D$949,$B89)))</f>
        <v/>
      </c>
      <c r="AI89" s="829" t="str">
        <f>IF($C89&lt;1,"",(AVERAGEIFS('09월 화학성분'!AC$12:AC$949,'09월 화학성분'!$A$12:$A$949,$A89,'09월 화학성분'!$D$12:$D$949,$B89)))</f>
        <v/>
      </c>
      <c r="AJ89" s="829" t="str">
        <f>IF($C89&lt;1,"",(AVERAGEIFS('09월 화학성분'!AD$12:AD$949,'09월 화학성분'!$A$12:$A$949,$A89,'09월 화학성분'!$D$12:$D$949,$B89)))</f>
        <v/>
      </c>
      <c r="AK89" s="829" t="str">
        <f>IF($C89&lt;1,"",(AVERAGEIFS('09월 화학성분'!AF$12:AF$949,'09월 화학성분'!$A$12:$A$949,$A89,'09월 화학성분'!$D$12:$D$949,$B89)))</f>
        <v/>
      </c>
      <c r="AL89" s="829" t="str">
        <f>IF($C89&lt;1,"",(AVERAGEIFS('09월 화학성분'!AG$12:AG$949,'09월 화학성분'!$A$12:$A$949,$A89,'09월 화학성분'!$D$12:$D$949,$B89)))</f>
        <v/>
      </c>
      <c r="AM89" s="829" t="str">
        <f>IF($C89&lt;1,"",(AVERAGEIFS('09월 화학성분'!AH$12:AH$949,'09월 화학성분'!$A$12:$A$949,$A89,'09월 화학성분'!$D$12:$D$949,$B89)))</f>
        <v/>
      </c>
      <c r="AN89" s="829" t="str">
        <f>IF($C89&lt;1,"",(AVERAGEIFS('09월 화학성분'!AI$12:AI$949,'09월 화학성분'!$A$12:$A$949,$A89,'09월 화학성분'!$D$12:$D$949,$B89)))</f>
        <v/>
      </c>
      <c r="AO89" s="829" t="str">
        <f>IF($C89&lt;1,"",(AVERAGEIFS('09월 화학성분'!AJ$12:AJ$949,'09월 화학성분'!$A$12:$A$949,$A89,'09월 화학성분'!$D$12:$D$949,$B89)))</f>
        <v/>
      </c>
      <c r="AP89" s="829" t="str">
        <f>IF($C89&lt;1,"",(AVERAGEIFS('09월 화학성분'!#REF!,'09월 화학성분'!$A$12:$A$949,$A89,'09월 화학성분'!$D$12:$D$949,$B89)))</f>
        <v/>
      </c>
      <c r="AQ89" s="829" t="str">
        <f>IF($C89&lt;1,"",(AVERAGEIFS('09월 화학성분'!AL$12:AL$949,'09월 화학성분'!$A$12:$A$949,$A89,'09월 화학성분'!$D$12:$D$949,$B89)))</f>
        <v/>
      </c>
      <c r="AR89" s="829" t="str">
        <f>IF($C89&lt;1,"",(AVERAGEIFS('09월 화학성분'!AM$12:AM$949,'09월 화학성분'!$A$12:$A$949,$A89,'09월 화학성분'!$D$12:$D$949,$B89)))</f>
        <v/>
      </c>
      <c r="AS89" s="830" t="str">
        <f>IF($C89&lt;1,"",(AVERAGEIFS('09월 화학성분'!AN$12:AN$949,'09월 화학성분'!$A$12:$A$949,$A89,'09월 화학성분'!$D$12:$D$949,$B89)))</f>
        <v/>
      </c>
      <c r="AT89" s="830" t="str">
        <f>IF($C89&lt;1,"",(AVERAGEIFS('09월 화학성분'!AO$12:AO$949,'09월 화학성분'!$A$12:$A$949,$A89,'09월 화학성분'!$D$12:$D$949,$B89)))</f>
        <v/>
      </c>
      <c r="AU89" s="831" t="str">
        <f>IF($C89&lt;1,"",(AVERAGEIFS('09월 화학성분'!AP$12:AP$949,'09월 화학성분'!$A$12:$A$949,$A89,'09월 화학성분'!$D$12:$D$949,$B89)))</f>
        <v/>
      </c>
      <c r="AV89" s="832" t="str">
        <f>IF($C89&lt;1,"",(AVERAGEIFS('09월 고철장입'!G$14:G$949,'09월 고철장입'!$A$14:$A$949,$A89,'09월 고철장입'!$C$14:$C$949,$B89))/1000)</f>
        <v/>
      </c>
      <c r="AW89" s="832" t="str">
        <f>IF($C89&lt;1,"",(AVERAGEIFS('09월 고철장입'!H$14:H$949,'09월 고철장입'!$A$14:$A$949,$A89,'09월 고철장입'!$C$14:$C$949,$B89))/1000)</f>
        <v/>
      </c>
      <c r="AX89" s="832" t="str">
        <f>IF($C89&lt;1,"",(AVERAGEIFS('09월 고철장입'!I$14:I$949,'09월 고철장입'!$A$14:$A$949,$A89,'09월 고철장입'!$C$14:$C$949,$B89))/1000)</f>
        <v/>
      </c>
      <c r="AY89" s="832" t="str">
        <f>IF($C89&lt;1,"",(AVERAGEIFS('09월 고철장입'!J$14:J$949,'09월 고철장입'!$A$14:$A$949,$A89,'09월 고철장입'!$C$14:$C$949,$B89))/1000)</f>
        <v/>
      </c>
      <c r="AZ89" s="832" t="str">
        <f>IF($C89&lt;1,"",(AVERAGEIFS('09월 고철장입'!K$14:K$949,'09월 고철장입'!$A$14:$A$949,$A89,'09월 고철장입'!$C$14:$C$949,$B89))/1000)</f>
        <v/>
      </c>
      <c r="BA89" s="832" t="str">
        <f>IF($C89&lt;1,"",(AVERAGEIFS('09월 고철장입'!L$14:L$949,'09월 고철장입'!$A$14:$A$949,$A89,'09월 고철장입'!$C$14:$C$949,$B89))/1000)</f>
        <v/>
      </c>
      <c r="BB89" s="832" t="str">
        <f>IF($C89&lt;1,"",(AVERAGEIFS('09월 고철장입'!M$14:M$949,'09월 고철장입'!$A$14:$A$949,$A89,'09월 고철장입'!$C$14:$C$949,$B89))/1000)</f>
        <v/>
      </c>
      <c r="BC89" s="832" t="str">
        <f>IF($C89&lt;1,"",(AVERAGEIFS('09월 고철장입'!N$14:N$949,'09월 고철장입'!$A$14:$A$949,$A89,'09월 고철장입'!$C$14:$C$949,$B89))/1000)</f>
        <v/>
      </c>
      <c r="BD89" s="832" t="str">
        <f>IF($C89&lt;1,"",(AVERAGEIFS('09월 고철장입'!O$14:O$949,'09월 고철장입'!$A$14:$A$949,$A89,'09월 고철장입'!$C$14:$C$949,$B89))/1000)</f>
        <v/>
      </c>
      <c r="BE89" s="833" t="str">
        <f>IF($C89&lt;1,"",(AVERAGEIFS('09월 고철장입'!P$14:P$949,'09월 고철장입'!$A$14:$A$949,$A89,'09월 고철장입'!$C$14:$C$949,$B89))/1000)</f>
        <v/>
      </c>
      <c r="BF89" s="833" t="str">
        <f>IF($C89&lt;1,"",(AVERAGEIFS('09월 고철장입'!Q$14:Q$949,'09월 고철장입'!$A$14:$A$949,$A89,'09월 고철장입'!$C$14:$C$949,$B89))/1000)</f>
        <v/>
      </c>
      <c r="BG89" s="833" t="str">
        <f>IF($C89&lt;1,"",(AVERAGEIFS('09월 고철장입'!S$14:S$949,'09월 고철장입'!$A$14:$A$949,$A89,'09월 고철장입'!$C$14:$C$949,$B89))/1000)</f>
        <v/>
      </c>
      <c r="BH89" s="833" t="str">
        <f>IF($C89&lt;1,"",(AVERAGEIFS('09월 고철장입'!T$14:T$949,'09월 고철장입'!$A$14:$A$949,$A89,'09월 고철장입'!$C$14:$C$949,$B89))/1000)</f>
        <v/>
      </c>
      <c r="BI89" s="833" t="str">
        <f>IF($C89&lt;1,"",(AVERAGEIFS('09월 고철장입'!U$14:U$949,'09월 고철장입'!$A$14:$A$949,$A89,'09월 고철장입'!$C$14:$C$949,$B89))/1000)</f>
        <v/>
      </c>
      <c r="BJ89" s="833" t="str">
        <f>IF($C89&lt;1,"",(AVERAGEIFS('09월 고철장입'!V$14:V$949,'09월 고철장입'!$A$14:$A$949,$A89,'09월 고철장입'!$C$14:$C$949,$B89))/1000)</f>
        <v/>
      </c>
      <c r="BK89" s="833" t="str">
        <f>IF($C89&lt;1,"",(AVERAGEIFS('09월 고철장입'!W$14:W$949,'09월 고철장입'!$A$14:$A$949,$A89,'09월 고철장입'!$C$14:$C$949,$B89))/1000)</f>
        <v/>
      </c>
      <c r="BL89" s="833" t="str">
        <f>IF($C89&lt;1,"",(AVERAGEIFS('09월 고철장입'!Y$14:Y$949,'09월 고철장입'!$A$14:$A$949,$A89,'09월 고철장입'!$C$14:$C$949,$B89))/1000)</f>
        <v/>
      </c>
      <c r="BM89" s="833" t="str">
        <f>IF($C89&lt;1,"",(AVERAGEIFS('09월 고철장입'!AB$14:AB$949,'09월 고철장입'!$A$14:$A$949,$A89,'09월 고철장입'!$C$14:$C$949,$B89))/1000)</f>
        <v/>
      </c>
      <c r="BN89" s="833" t="str">
        <f>IF($C89&lt;1,"",(AVERAGEIFS('09월 고철장입'!AC$14:AC$949,'09월 고철장입'!$A$14:$A$949,$A89,'09월 고철장입'!$C$14:$C$949,$B89))/1000)</f>
        <v/>
      </c>
      <c r="BO89" s="833" t="str">
        <f>IF($C89&lt;1,"",(AVERAGEIFS('09월 고철장입'!AD$14:AD$949,'09월 고철장입'!$A$14:$A$949,$A89,'09월 고철장입'!$C$14:$C$949,$B89))/1000)</f>
        <v/>
      </c>
      <c r="BP89" s="833" t="str">
        <f>IF($C89&lt;1,"",(AVERAGEIFS('09월 고철장입'!AE$14:AE$949,'09월 고철장입'!$A$14:$A$949,$A89,'09월 고철장입'!$C$14:$C$949,$B89))/1000)</f>
        <v/>
      </c>
      <c r="BQ89" s="832" t="str">
        <f>IF($C89&lt;1,"",(AVERAGEIFS('09월 고철장입'!AF$14:AF$949,'09월 고철장입'!$A$14:$A$949,$A89,'09월 고철장입'!$C$14:$C$949,$B89))/1000)</f>
        <v/>
      </c>
      <c r="BR89" s="832" t="str">
        <f>IF($C89&lt;1,"",(AVERAGEIFS('09월 고철장입'!AG$14:AG$949,'09월 고철장입'!$A$14:$A$949,$A89,'09월 고철장입'!$C$14:$C$949,$B89))/1000)</f>
        <v/>
      </c>
      <c r="BS89" s="832" t="str">
        <f>IF($C89&lt;1,"",(AVERAGEIFS('09월 고철장입'!AH$14:AH$949,'09월 고철장입'!$A$14:$A$949,$A89,'09월 고철장입'!$C$14:$C$949,$B89))/1000)</f>
        <v/>
      </c>
      <c r="BT89" s="832" t="str">
        <f>IF($C89&lt;1,"",(AVERAGEIFS('09월 고철장입'!AI$14:AI$949,'09월 고철장입'!$A$14:$A$949,$A89,'09월 고철장입'!$C$14:$C$949,$B89))/1000)</f>
        <v/>
      </c>
      <c r="BU89" s="834" t="str">
        <f>IF($C89&lt;1,"",(AVERAGEIFS('09월 고철장입'!AJ$14:AJ$949,'09월 고철장입'!$A$14:$A$949,$A89,'09월 고철장입'!$C$14:$C$949,$B89))/1000)</f>
        <v/>
      </c>
      <c r="BV89" s="834" t="str">
        <f>IF($C89&lt;1,"",(AVERAGEIFS('09월 고철장입'!AK$14:AK$949,'09월 고철장입'!$A$14:$A$949,$A89,'09월 고철장입'!$C$14:$C$949,$B89)))</f>
        <v/>
      </c>
      <c r="BW89" s="834" t="str">
        <f>IF($C89&lt;1,"",(AVERAGEIFS('09월 고철장입'!AL$14:AL$949,'09월 고철장입'!$A$14:$A$949,$A89,'09월 고철장입'!$C$14:$C$949,$B89))*100)</f>
        <v/>
      </c>
      <c r="BX89" s="831" t="str">
        <f>IF($C89&lt;1,"",(AVERAGEIFS('09월 에너지'!G$14:G$949,'09월 에너지'!$A$14:$A$949,$A89,'09월 에너지'!$C$14:$C$949,$B89)))</f>
        <v/>
      </c>
      <c r="BY89" s="835" t="str">
        <f>IF($C89&lt;1,"",(AVERAGEIFS('09월 에너지'!H$14:H$949,'09월 에너지'!$A$14:$A$949,$A89,'09월 에너지'!$C$14:$C$949,$B89)))</f>
        <v/>
      </c>
      <c r="BZ89" s="831" t="str">
        <f>IF($C89&lt;1,"",(AVERAGEIFS('09월 에너지'!I$14:I$949,'09월 에너지'!$A$14:$A$949,$A89,'09월 에너지'!$C$14:$C$949,$B89)))</f>
        <v/>
      </c>
      <c r="CA89" s="835" t="str">
        <f>IF($C89&lt;1,"",(AVERAGEIFS('09월 에너지'!J$14:J$949,'09월 에너지'!$A$14:$A$949,$A89,'09월 에너지'!$C$14:$C$949,$B89)))</f>
        <v/>
      </c>
      <c r="CB89" s="831" t="str">
        <f>IF($C89&lt;1,"",(AVERAGEIFS('09월 에너지'!K$14:K$949,'09월 에너지'!$A$14:$A$949,$A89,'09월 에너지'!$C$14:$C$949,$B89)))</f>
        <v/>
      </c>
      <c r="CC89" s="835" t="str">
        <f>IF($C89&lt;1,"",(AVERAGEIFS('09월 에너지'!L$14:L$949,'09월 에너지'!$A$14:$A$949,$A89,'09월 에너지'!$C$14:$C$949,$B89)))</f>
        <v/>
      </c>
      <c r="CD89" s="831" t="str">
        <f>IF($C89&lt;1,"",(AVERAGEIFS('09월 에너지'!M$14:M$949,'09월 에너지'!$A$14:$A$949,$A89,'09월 에너지'!$C$14:$C$949,$B89)))</f>
        <v/>
      </c>
      <c r="CE89" s="835" t="str">
        <f>IF($C89&lt;1,"",(AVERAGEIFS('09월 에너지'!N$14:N$949,'09월 에너지'!$A$14:$A$949,$A89,'09월 에너지'!$C$14:$C$949,$B89)))</f>
        <v/>
      </c>
      <c r="CF89" s="831" t="str">
        <f>IF($C89&lt;1,"",(AVERAGEIFS('09월 에너지'!O$14:O$949,'09월 에너지'!$A$14:$A$949,$A89,'09월 에너지'!$C$14:$C$949,$B89)))</f>
        <v/>
      </c>
      <c r="CG89" s="831" t="str">
        <f>IF($C89&lt;1,"",(AVERAGEIFS('09월 에너지'!P$14:P$949,'09월 에너지'!$A$14:$A$949,$A89,'09월 에너지'!$C$14:$C$949,$B89)))</f>
        <v/>
      </c>
      <c r="CH89" s="831" t="str">
        <f>IF($C89&lt;1,"",(AVERAGEIFS('09월 에너지'!Q$14:Q$949,'09월 에너지'!$A$14:$A$949,$A89,'09월 에너지'!$C$14:$C$949,$B89)))</f>
        <v/>
      </c>
      <c r="CI89" s="831" t="str">
        <f>IF($C89&lt;1,"",(AVERAGEIFS('09월 에너지'!R$14:R$949,'09월 에너지'!$A$14:$A$949,$A89,'09월 에너지'!$C$14:$C$949,$B89)))</f>
        <v/>
      </c>
      <c r="CJ89" s="831" t="str">
        <f>IF($C89&lt;1,"",(AVERAGEIFS('09월 에너지'!S$14:S$949,'09월 에너지'!$A$14:$A$949,$A89,'09월 에너지'!$C$14:$C$949,$B89)))</f>
        <v/>
      </c>
      <c r="CK89" s="831" t="str">
        <f>IF($C89&lt;1,"",(AVERAGEIFS('09월 에너지'!T$14:T$949,'09월 에너지'!$A$14:$A$949,$A89,'09월 에너지'!$C$14:$C$949,$B89)))</f>
        <v/>
      </c>
      <c r="CL89" s="831" t="str">
        <f>IF($C89&lt;1,"",(AVERAGEIFS('09월 에너지'!U$14:U$949,'09월 에너지'!$A$14:$A$949,$A89,'09월 에너지'!$C$14:$C$949,$B89)))</f>
        <v/>
      </c>
      <c r="CM89" s="835" t="str">
        <f>IF($C89&lt;1,"",(AVERAGEIFS('09월 에너지'!V$14:V$949,'09월 에너지'!$A$14:$A$949,$A89,'09월 에너지'!$C$14:$C$949,$B89)))</f>
        <v/>
      </c>
      <c r="CN89" s="835" t="str">
        <f>IF($C89&lt;1,"",(AVERAGEIFS('09월 에너지'!W$14:W$949,'09월 에너지'!$A$14:$A$949,$A89,'09월 에너지'!$C$14:$C$949,$B89)))</f>
        <v/>
      </c>
      <c r="CO89" s="831" t="str">
        <f>IF($C89&lt;1,"",(AVERAGEIFS('09월 에너지'!X$14:X$949,'09월 에너지'!$A$14:$A$949,$A89,'09월 에너지'!$C$14:$C$949,$B89)))</f>
        <v/>
      </c>
      <c r="CP89" s="835" t="str">
        <f>IF($C89&lt;1,"",(AVERAGEIFS('09월 에너지'!Y$14:Y$949,'09월 에너지'!$A$14:$A$949,$A89,'09월 에너지'!$C$14:$C$949,$B89)))</f>
        <v/>
      </c>
      <c r="CQ89" s="835" t="str">
        <f>IF($C89&lt;1,"",(AVERAGEIFS('09월 에너지'!Z$14:Z$949,'09월 에너지'!$A$14:$A$949,$A89,'09월 에너지'!$C$14:$C$949,$B89)))</f>
        <v/>
      </c>
      <c r="CR89" s="835" t="str">
        <f>IF($C89&lt;1,"",(AVERAGEIFS('09월 에너지'!AA$14:AA$949,'09월 에너지'!$A$14:$A$949,$A89,'09월 에너지'!$C$14:$C$949,$B89)))</f>
        <v/>
      </c>
      <c r="CS89" s="835" t="str">
        <f>IF($C89&lt;1,"",(AVERAGEIFS('09월 에너지'!AB$14:AB$949,'09월 에너지'!$A$14:$A$949,$A89,'09월 에너지'!$C$14:$C$949,$B89)))</f>
        <v/>
      </c>
      <c r="CT89" s="831" t="str">
        <f>IF($C89&lt;1,"",(AVERAGEIFS('09월 에너지'!AC$14:AC$949,'09월 에너지'!$A$14:$A$949,$A89,'09월 에너지'!$C$14:$C$949,$B89)))</f>
        <v/>
      </c>
      <c r="CU89" s="836" t="str">
        <f>IF($C89&lt;1,"",(AVERAGEIFS('09월 에너지'!AD$14:AD$949,'09월 에너지'!$A$14:$A$949,$A89,'09월 에너지'!$C$14:$C$949,$B89)))</f>
        <v/>
      </c>
      <c r="CV89" s="837" t="str">
        <f>IF($C89&lt;1,"",(AVERAGEIFS('09월 에너지'!AE$14:AE$949,'09월 에너지'!$A$14:$A$949,$A89,'09월 에너지'!$C$14:$C$949,$B89)))</f>
        <v/>
      </c>
      <c r="CW89" s="831" t="str">
        <f>IF($C89&lt;1,"",(AVERAGEIFS('09월 에너지'!AF$14:AF$949,'09월 에너지'!$A$14:$A$949,$A89,'09월 에너지'!$C$14:$C$949,$B89)))</f>
        <v/>
      </c>
      <c r="CX89" s="831" t="str">
        <f>IF($C89&lt;1,"",(AVERAGEIFS('09월 에너지'!AG$14:AG$949,'09월 에너지'!$A$14:$A$949,$A89,'09월 에너지'!$C$14:$C$949,$B89)))</f>
        <v/>
      </c>
      <c r="CY89" s="831" t="str">
        <f>IF($C89&lt;1,"",(AVERAGEIFS('09월 에너지'!AH$14:AH$949,'09월 에너지'!$A$14:$A$949,$A89,'09월 에너지'!$C$14:$C$949,$B89)))</f>
        <v/>
      </c>
      <c r="CZ89" s="831" t="str">
        <f>IF($C89&lt;1,"",(AVERAGEIFS('09월 에너지'!AI$14:AI$949,'09월 에너지'!$A$14:$A$949,$A89,'09월 에너지'!$C$14:$C$949,$B89)))</f>
        <v/>
      </c>
      <c r="DA89" s="838" t="str">
        <f>IF($C89&lt;1,"",(AVERAGEIFS('09월 에너지'!AJ$14:AJ$949,'09월 에너지'!$A$14:$A$949,$A89,'09월 에너지'!$C$14:$C$949,$B89)))</f>
        <v/>
      </c>
    </row>
    <row r="90" spans="1:105" ht="13.5" customHeight="1" thickBot="1">
      <c r="A90" s="851">
        <f t="shared" si="16"/>
        <v>44943</v>
      </c>
      <c r="B90" s="852" t="s">
        <v>94</v>
      </c>
      <c r="C90" s="841">
        <f>COUNTIFS('09월 조업일지'!$A$12:$A$952,A86,'09월 조업일지'!$E$12:$E$952,B90)</f>
        <v>0</v>
      </c>
      <c r="D90" s="842" t="str">
        <f t="shared" si="19"/>
        <v/>
      </c>
      <c r="E90" s="842" t="str">
        <f>IF($C90&lt;1,"",(SUMIFS('09월 조업일지'!$K$12:$K$952,'09월 조업일지'!$A$12:$A$952,$A90,'09월 조업일지'!$E$12:$E$952,$B90)/$C90))</f>
        <v/>
      </c>
      <c r="F90" s="842" t="str">
        <f>IF($C90&lt;1,"",(AVERAGEIFS('09월 조업일지'!$J$12:$J$952,'09월 조업일지'!$A$12:$A$952,$A90,'09월 조업일지'!$E$12:$E$952,$B90)))</f>
        <v/>
      </c>
      <c r="G90" s="843" t="str">
        <f>IF($C90&lt;1,"",(AVERAGEIFS('09월 에너지'!$M$14:$M$949,'09월 에너지'!$A$14:$A$949,$A90,'09월 에너지'!$C$14:$C$949,$B90)))</f>
        <v/>
      </c>
      <c r="H90" s="844" t="str">
        <f>IF($C90&lt;1,"",(AVERAGEIFS('09월 조업일지'!$AJ$12:$AJ$952,'09월 조업일지'!$A$12:$A$952,$A90,'09월 조업일지'!$E$12:$E$952,$B90)))</f>
        <v/>
      </c>
      <c r="I90" s="844" t="str">
        <f>IF($C90&lt;1,"",(AVERAGEIFS('09월 조업일지'!$AL$12:$AL$952,'09월 조업일지'!$A$12:$A$952,$A90,'09월 조업일지'!$E$12:$E$952,$B90)))</f>
        <v/>
      </c>
      <c r="J90" s="845" t="str">
        <f>IF($C90&lt;1,"",(AVERAGEIFS('09월 화학성분'!G$12:G$949,'09월 화학성분'!$A$12:$A$949,$A90,'09월 화학성분'!$D$12:$D$949,$B90)))</f>
        <v/>
      </c>
      <c r="K90" s="845" t="str">
        <f>IF($C90&lt;1,"",(AVERAGEIFS('09월 화학성분'!H$12:H$949,'09월 화학성분'!$A$12:$A$949,$A90,'09월 화학성분'!$D$12:$D$949,$B90)))</f>
        <v/>
      </c>
      <c r="L90" s="845" t="str">
        <f>IF($C90&lt;1,"",(AVERAGEIFS('09월 화학성분'!I$12:I$949,'09월 화학성분'!$A$12:$A$949,$A90,'09월 화학성분'!$D$12:$D$949,$B90)))</f>
        <v/>
      </c>
      <c r="M90" s="845" t="str">
        <f>IF($C90&lt;1,"",(AVERAGEIFS('09월 화학성분'!J$12:J$949,'09월 화학성분'!$A$12:$A$949,$A90,'09월 화학성분'!$D$12:$D$949,$B90)))</f>
        <v/>
      </c>
      <c r="N90" s="845" t="str">
        <f>IF($C90&lt;1,"",(AVERAGEIFS('09월 화학성분'!K$12:K$949,'09월 화학성분'!$A$12:$A$949,$A90,'09월 화학성분'!$D$12:$D$949,$B90)))</f>
        <v/>
      </c>
      <c r="O90" s="845" t="str">
        <f>IF($C90&lt;1,"",(AVERAGEIFS('09월 화학성분'!L$12:L$949,'09월 화학성분'!$A$12:$A$949,$A90,'09월 화학성분'!$D$12:$D$949,$B90)))</f>
        <v/>
      </c>
      <c r="P90" s="845" t="str">
        <f>IF($C90&lt;1,"",(AVERAGEIFS('09월 화학성분'!M$12:M$949,'09월 화학성분'!$A$12:$A$949,$A90,'09월 화학성분'!$D$12:$D$949,$B90)))</f>
        <v/>
      </c>
      <c r="Q90" s="827" t="str">
        <f>IFERROR(IF($C90&lt;1,"",(AVERAGEIFS('09월 조업일지'!$AA$12:$AA$952,'09월 조업일지'!$A$12:$A$952,$A90,'09월 조업일지'!$E$12:$E$952,$B90))),"")</f>
        <v/>
      </c>
      <c r="R90" s="845" t="str">
        <f>IF($C90&lt;1,"",(AVERAGEIFS('09월 조업일지'!$AK$12:$AK$952,'09월 조업일지'!$A$12:$A$952,$A90,'09월 조업일지'!$E$12:$E$952,$B90)))</f>
        <v/>
      </c>
      <c r="S90" s="845"/>
      <c r="T90" s="845"/>
      <c r="U90" s="845" t="str">
        <f>IF($C90&lt;1,"",(AVERAGEIFS('09월 화학성분'!$G$12:$G$949,'09월 화학성분'!$A$12:$A$949,$A90,'09월 화학성분'!$D$12:$D$949,$B90)))</f>
        <v/>
      </c>
      <c r="V90" s="845" t="str">
        <f>IF($C90&lt;1,"",(AVERAGEIFS('09월 조업일지'!$AI$12:$AI$952,'09월 조업일지'!$A$12:$A$952,$A90,'09월 조업일지'!$E$12:$E$952,$B90)))</f>
        <v/>
      </c>
      <c r="W90" s="846" t="str">
        <f>IF($C90&lt;1,"",(AVERAGEIFS('09월 화학성분'!$AM$12:$AM$949,'09월 화학성분'!$A$12:$A$949,$A90,'09월 화학성분'!$D$12:$D$949,$B90)))</f>
        <v/>
      </c>
      <c r="X90" s="829" t="str">
        <f>IF($C90&lt;1,"",(AVERAGEIFS('09월 화학성분'!N$12:N$949,'09월 화학성분'!$A$12:$A$949,$A90,'09월 화학성분'!$D$12:$D$949,$B90)))</f>
        <v/>
      </c>
      <c r="Y90" s="829" t="str">
        <f>IF($C90&lt;1,"",(AVERAGEIFS('09월 화학성분'!O$12:O$949,'09월 화학성분'!$A$12:$A$949,$A90,'09월 화학성분'!$D$12:$D$949,$B90)))</f>
        <v/>
      </c>
      <c r="Z90" s="829" t="str">
        <f>IF($C90&lt;1,"",(AVERAGEIFS('09월 화학성분'!P$12:P$949,'09월 화학성분'!$A$12:$A$949,$A90,'09월 화학성분'!$D$12:$D$949,$B90)))</f>
        <v/>
      </c>
      <c r="AA90" s="829" t="str">
        <f>IF($C90&lt;1,"",(AVERAGEIFS('09월 화학성분'!Q$12:Q$949,'09월 화학성분'!$A$12:$A$949,$A90,'09월 화학성분'!$D$12:$D$949,$B90)))</f>
        <v/>
      </c>
      <c r="AB90" s="829" t="str">
        <f>IF($C90&lt;1,"",(AVERAGEIFS('09월 화학성분'!R$12:R$949,'09월 화학성분'!$A$12:$A$949,$A90,'09월 화학성분'!$D$12:$D$949,$B90)))</f>
        <v/>
      </c>
      <c r="AC90" s="829" t="str">
        <f>IF($C90&lt;1,"",(AVERAGEIFS('09월 화학성분'!U$12:U$949,'09월 화학성분'!$A$12:$A$949,$A90,'09월 화학성분'!$D$12:$D$949,$B90)))</f>
        <v/>
      </c>
      <c r="AD90" s="829" t="str">
        <f>IF($C90&lt;1,"",(AVERAGEIFS('09월 화학성분'!V$12:V$949,'09월 화학성분'!$A$12:$A$949,$A90,'09월 화학성분'!$D$12:$D$949,$B90)))</f>
        <v/>
      </c>
      <c r="AE90" s="829" t="str">
        <f>IF($C90&lt;1,"",(AVERAGEIFS('09월 화학성분'!W$12:W$949,'09월 화학성분'!$A$12:$A$949,$A90,'09월 화학성분'!$D$12:$D$949,$B90)))</f>
        <v/>
      </c>
      <c r="AF90" s="829" t="str">
        <f>IF($C90&lt;1,"",(AVERAGEIFS('09월 화학성분'!AA$12:AA$949,'09월 화학성분'!$A$12:$A$949,$A90,'09월 화학성분'!$D$12:$D$949,$B90)))</f>
        <v/>
      </c>
      <c r="AG90" s="829" t="str">
        <f>IF($C90&lt;1,"",(AVERAGEIFS('09월 화학성분'!#REF!,'09월 화학성분'!$A$12:$A$949,$A90,'09월 화학성분'!$D$12:$D$949,$B90)))</f>
        <v/>
      </c>
      <c r="AH90" s="829" t="str">
        <f>IF($C90&lt;1,"",(AVERAGEIFS('09월 화학성분'!AB$12:AB$949,'09월 화학성분'!$A$12:$A$949,$A90,'09월 화학성분'!$D$12:$D$949,$B90)))</f>
        <v/>
      </c>
      <c r="AI90" s="829" t="str">
        <f>IF($C90&lt;1,"",(AVERAGEIFS('09월 화학성분'!AC$12:AC$949,'09월 화학성분'!$A$12:$A$949,$A90,'09월 화학성분'!$D$12:$D$949,$B90)))</f>
        <v/>
      </c>
      <c r="AJ90" s="829" t="str">
        <f>IF($C90&lt;1,"",(AVERAGEIFS('09월 화학성분'!AD$12:AD$949,'09월 화학성분'!$A$12:$A$949,$A90,'09월 화학성분'!$D$12:$D$949,$B90)))</f>
        <v/>
      </c>
      <c r="AK90" s="829" t="str">
        <f>IF($C90&lt;1,"",(AVERAGEIFS('09월 화학성분'!AF$12:AF$949,'09월 화학성분'!$A$12:$A$949,$A90,'09월 화학성분'!$D$12:$D$949,$B90)))</f>
        <v/>
      </c>
      <c r="AL90" s="829" t="str">
        <f>IF($C90&lt;1,"",(AVERAGEIFS('09월 화학성분'!AG$12:AG$949,'09월 화학성분'!$A$12:$A$949,$A90,'09월 화학성분'!$D$12:$D$949,$B90)))</f>
        <v/>
      </c>
      <c r="AM90" s="829" t="str">
        <f>IF($C90&lt;1,"",(AVERAGEIFS('09월 화학성분'!AH$12:AH$949,'09월 화학성분'!$A$12:$A$949,$A90,'09월 화학성분'!$D$12:$D$949,$B90)))</f>
        <v/>
      </c>
      <c r="AN90" s="829" t="str">
        <f>IF($C90&lt;1,"",(AVERAGEIFS('09월 화학성분'!AI$12:AI$949,'09월 화학성분'!$A$12:$A$949,$A90,'09월 화학성분'!$D$12:$D$949,$B90)))</f>
        <v/>
      </c>
      <c r="AO90" s="829" t="str">
        <f>IF($C90&lt;1,"",(AVERAGEIFS('09월 화학성분'!AJ$12:AJ$949,'09월 화학성분'!$A$12:$A$949,$A90,'09월 화학성분'!$D$12:$D$949,$B90)))</f>
        <v/>
      </c>
      <c r="AP90" s="829" t="str">
        <f>IF($C90&lt;1,"",(AVERAGEIFS('09월 화학성분'!#REF!,'09월 화학성분'!$A$12:$A$949,$A90,'09월 화학성분'!$D$12:$D$949,$B90)))</f>
        <v/>
      </c>
      <c r="AQ90" s="829" t="str">
        <f>IF($C90&lt;1,"",(AVERAGEIFS('09월 화학성분'!AL$12:AL$949,'09월 화학성분'!$A$12:$A$949,$A90,'09월 화학성분'!$D$12:$D$949,$B90)))</f>
        <v/>
      </c>
      <c r="AR90" s="829" t="str">
        <f>IF($C90&lt;1,"",(AVERAGEIFS('09월 화학성분'!AM$12:AM$949,'09월 화학성분'!$A$12:$A$949,$A90,'09월 화학성분'!$D$12:$D$949,$B90)))</f>
        <v/>
      </c>
      <c r="AS90" s="830" t="str">
        <f>IF($C90&lt;1,"",(AVERAGEIFS('09월 화학성분'!AN$12:AN$949,'09월 화학성분'!$A$12:$A$949,$A90,'09월 화학성분'!$D$12:$D$949,$B90)))</f>
        <v/>
      </c>
      <c r="AT90" s="830" t="str">
        <f>IF($C90&lt;1,"",(AVERAGEIFS('09월 화학성분'!AO$12:AO$949,'09월 화학성분'!$A$12:$A$949,$A90,'09월 화학성분'!$D$12:$D$949,$B90)))</f>
        <v/>
      </c>
      <c r="AU90" s="831" t="str">
        <f>IF($C90&lt;1,"",(AVERAGEIFS('09월 화학성분'!AP$12:AP$949,'09월 화학성분'!$A$12:$A$949,$A90,'09월 화학성분'!$D$12:$D$949,$B90)))</f>
        <v/>
      </c>
      <c r="AV90" s="832" t="str">
        <f>IF($C90&lt;1,"",(AVERAGEIFS('09월 고철장입'!G$14:G$949,'09월 고철장입'!$A$14:$A$949,$A90,'09월 고철장입'!$C$14:$C$949,$B90))/1000)</f>
        <v/>
      </c>
      <c r="AW90" s="832" t="str">
        <f>IF($C90&lt;1,"",(AVERAGEIFS('09월 고철장입'!H$14:H$949,'09월 고철장입'!$A$14:$A$949,$A90,'09월 고철장입'!$C$14:$C$949,$B90))/1000)</f>
        <v/>
      </c>
      <c r="AX90" s="832" t="str">
        <f>IF($C90&lt;1,"",(AVERAGEIFS('09월 고철장입'!I$14:I$949,'09월 고철장입'!$A$14:$A$949,$A90,'09월 고철장입'!$C$14:$C$949,$B90))/1000)</f>
        <v/>
      </c>
      <c r="AY90" s="832" t="str">
        <f>IF($C90&lt;1,"",(AVERAGEIFS('09월 고철장입'!J$14:J$949,'09월 고철장입'!$A$14:$A$949,$A90,'09월 고철장입'!$C$14:$C$949,$B90))/1000)</f>
        <v/>
      </c>
      <c r="AZ90" s="832" t="str">
        <f>IF($C90&lt;1,"",(AVERAGEIFS('09월 고철장입'!K$14:K$949,'09월 고철장입'!$A$14:$A$949,$A90,'09월 고철장입'!$C$14:$C$949,$B90))/1000)</f>
        <v/>
      </c>
      <c r="BA90" s="832" t="str">
        <f>IF($C90&lt;1,"",(AVERAGEIFS('09월 고철장입'!L$14:L$949,'09월 고철장입'!$A$14:$A$949,$A90,'09월 고철장입'!$C$14:$C$949,$B90))/1000)</f>
        <v/>
      </c>
      <c r="BB90" s="832" t="str">
        <f>IF($C90&lt;1,"",(AVERAGEIFS('09월 고철장입'!M$14:M$949,'09월 고철장입'!$A$14:$A$949,$A90,'09월 고철장입'!$C$14:$C$949,$B90))/1000)</f>
        <v/>
      </c>
      <c r="BC90" s="832" t="str">
        <f>IF($C90&lt;1,"",(AVERAGEIFS('09월 고철장입'!N$14:N$949,'09월 고철장입'!$A$14:$A$949,$A90,'09월 고철장입'!$C$14:$C$949,$B90))/1000)</f>
        <v/>
      </c>
      <c r="BD90" s="832" t="str">
        <f>IF($C90&lt;1,"",(AVERAGEIFS('09월 고철장입'!O$14:O$949,'09월 고철장입'!$A$14:$A$949,$A90,'09월 고철장입'!$C$14:$C$949,$B90))/1000)</f>
        <v/>
      </c>
      <c r="BE90" s="833" t="str">
        <f>IF($C90&lt;1,"",(AVERAGEIFS('09월 고철장입'!P$14:P$949,'09월 고철장입'!$A$14:$A$949,$A90,'09월 고철장입'!$C$14:$C$949,$B90))/1000)</f>
        <v/>
      </c>
      <c r="BF90" s="833" t="str">
        <f>IF($C90&lt;1,"",(AVERAGEIFS('09월 고철장입'!Q$14:Q$949,'09월 고철장입'!$A$14:$A$949,$A90,'09월 고철장입'!$C$14:$C$949,$B90))/1000)</f>
        <v/>
      </c>
      <c r="BG90" s="833" t="str">
        <f>IF($C90&lt;1,"",(AVERAGEIFS('09월 고철장입'!S$14:S$949,'09월 고철장입'!$A$14:$A$949,$A90,'09월 고철장입'!$C$14:$C$949,$B90))/1000)</f>
        <v/>
      </c>
      <c r="BH90" s="833" t="str">
        <f>IF($C90&lt;1,"",(AVERAGEIFS('09월 고철장입'!T$14:T$949,'09월 고철장입'!$A$14:$A$949,$A90,'09월 고철장입'!$C$14:$C$949,$B90))/1000)</f>
        <v/>
      </c>
      <c r="BI90" s="833" t="str">
        <f>IF($C90&lt;1,"",(AVERAGEIFS('09월 고철장입'!U$14:U$949,'09월 고철장입'!$A$14:$A$949,$A90,'09월 고철장입'!$C$14:$C$949,$B90))/1000)</f>
        <v/>
      </c>
      <c r="BJ90" s="833" t="str">
        <f>IF($C90&lt;1,"",(AVERAGEIFS('09월 고철장입'!V$14:V$949,'09월 고철장입'!$A$14:$A$949,$A90,'09월 고철장입'!$C$14:$C$949,$B90))/1000)</f>
        <v/>
      </c>
      <c r="BK90" s="833" t="str">
        <f>IF($C90&lt;1,"",(AVERAGEIFS('09월 고철장입'!W$14:W$949,'09월 고철장입'!$A$14:$A$949,$A90,'09월 고철장입'!$C$14:$C$949,$B90))/1000)</f>
        <v/>
      </c>
      <c r="BL90" s="833" t="str">
        <f>IF($C90&lt;1,"",(AVERAGEIFS('09월 고철장입'!Y$14:Y$949,'09월 고철장입'!$A$14:$A$949,$A90,'09월 고철장입'!$C$14:$C$949,$B90))/1000)</f>
        <v/>
      </c>
      <c r="BM90" s="833" t="str">
        <f>IF($C90&lt;1,"",(AVERAGEIFS('09월 고철장입'!AB$14:AB$949,'09월 고철장입'!$A$14:$A$949,$A90,'09월 고철장입'!$C$14:$C$949,$B90))/1000)</f>
        <v/>
      </c>
      <c r="BN90" s="833" t="str">
        <f>IF($C90&lt;1,"",(AVERAGEIFS('09월 고철장입'!AC$14:AC$949,'09월 고철장입'!$A$14:$A$949,$A90,'09월 고철장입'!$C$14:$C$949,$B90))/1000)</f>
        <v/>
      </c>
      <c r="BO90" s="833" t="str">
        <f>IF($C90&lt;1,"",(AVERAGEIFS('09월 고철장입'!AD$14:AD$949,'09월 고철장입'!$A$14:$A$949,$A90,'09월 고철장입'!$C$14:$C$949,$B90))/1000)</f>
        <v/>
      </c>
      <c r="BP90" s="833" t="str">
        <f>IF($C90&lt;1,"",(AVERAGEIFS('09월 고철장입'!AE$14:AE$949,'09월 고철장입'!$A$14:$A$949,$A90,'09월 고철장입'!$C$14:$C$949,$B90))/1000)</f>
        <v/>
      </c>
      <c r="BQ90" s="832" t="str">
        <f>IF($C90&lt;1,"",(AVERAGEIFS('09월 고철장입'!AF$14:AF$949,'09월 고철장입'!$A$14:$A$949,$A90,'09월 고철장입'!$C$14:$C$949,$B90))/1000)</f>
        <v/>
      </c>
      <c r="BR90" s="832" t="str">
        <f>IF($C90&lt;1,"",(AVERAGEIFS('09월 고철장입'!AG$14:AG$949,'09월 고철장입'!$A$14:$A$949,$A90,'09월 고철장입'!$C$14:$C$949,$B90))/1000)</f>
        <v/>
      </c>
      <c r="BS90" s="832" t="str">
        <f>IF($C90&lt;1,"",(AVERAGEIFS('09월 고철장입'!AH$14:AH$949,'09월 고철장입'!$A$14:$A$949,$A90,'09월 고철장입'!$C$14:$C$949,$B90))/1000)</f>
        <v/>
      </c>
      <c r="BT90" s="832" t="str">
        <f>IF($C90&lt;1,"",(AVERAGEIFS('09월 고철장입'!AI$14:AI$949,'09월 고철장입'!$A$14:$A$949,$A90,'09월 고철장입'!$C$14:$C$949,$B90))/1000)</f>
        <v/>
      </c>
      <c r="BU90" s="834" t="str">
        <f>IF($C90&lt;1,"",(AVERAGEIFS('09월 고철장입'!AJ$14:AJ$949,'09월 고철장입'!$A$14:$A$949,$A90,'09월 고철장입'!$C$14:$C$949,$B90))/1000)</f>
        <v/>
      </c>
      <c r="BV90" s="834" t="str">
        <f>IF($C90&lt;1,"",(AVERAGEIFS('09월 고철장입'!AK$14:AK$949,'09월 고철장입'!$A$14:$A$949,$A90,'09월 고철장입'!$C$14:$C$949,$B90)))</f>
        <v/>
      </c>
      <c r="BW90" s="834" t="str">
        <f>IF($C90&lt;1,"",(AVERAGEIFS('09월 고철장입'!AL$14:AL$949,'09월 고철장입'!$A$14:$A$949,$A90,'09월 고철장입'!$C$14:$C$949,$B90))*100)</f>
        <v/>
      </c>
      <c r="BX90" s="831" t="str">
        <f>IF($C90&lt;1,"",(AVERAGEIFS('09월 에너지'!G$14:G$949,'09월 에너지'!$A$14:$A$949,$A90,'09월 에너지'!$C$14:$C$949,$B90)))</f>
        <v/>
      </c>
      <c r="BY90" s="835" t="str">
        <f>IF($C90&lt;1,"",(AVERAGEIFS('09월 에너지'!H$14:H$949,'09월 에너지'!$A$14:$A$949,$A90,'09월 에너지'!$C$14:$C$949,$B90)))</f>
        <v/>
      </c>
      <c r="BZ90" s="831" t="str">
        <f>IF($C90&lt;1,"",(AVERAGEIFS('09월 에너지'!I$14:I$949,'09월 에너지'!$A$14:$A$949,$A90,'09월 에너지'!$C$14:$C$949,$B90)))</f>
        <v/>
      </c>
      <c r="CA90" s="835" t="str">
        <f>IF($C90&lt;1,"",(AVERAGEIFS('09월 에너지'!J$14:J$949,'09월 에너지'!$A$14:$A$949,$A90,'09월 에너지'!$C$14:$C$949,$B90)))</f>
        <v/>
      </c>
      <c r="CB90" s="831" t="str">
        <f>IF($C90&lt;1,"",(AVERAGEIFS('09월 에너지'!K$14:K$949,'09월 에너지'!$A$14:$A$949,$A90,'09월 에너지'!$C$14:$C$949,$B90)))</f>
        <v/>
      </c>
      <c r="CC90" s="835" t="str">
        <f>IF($C90&lt;1,"",(AVERAGEIFS('09월 에너지'!L$14:L$949,'09월 에너지'!$A$14:$A$949,$A90,'09월 에너지'!$C$14:$C$949,$B90)))</f>
        <v/>
      </c>
      <c r="CD90" s="831" t="str">
        <f>IF($C90&lt;1,"",(AVERAGEIFS('09월 에너지'!M$14:M$949,'09월 에너지'!$A$14:$A$949,$A90,'09월 에너지'!$C$14:$C$949,$B90)))</f>
        <v/>
      </c>
      <c r="CE90" s="835" t="str">
        <f>IF($C90&lt;1,"",(AVERAGEIFS('09월 에너지'!N$14:N$949,'09월 에너지'!$A$14:$A$949,$A90,'09월 에너지'!$C$14:$C$949,$B90)))</f>
        <v/>
      </c>
      <c r="CF90" s="831" t="str">
        <f>IF($C90&lt;1,"",(AVERAGEIFS('09월 에너지'!O$14:O$949,'09월 에너지'!$A$14:$A$949,$A90,'09월 에너지'!$C$14:$C$949,$B90)))</f>
        <v/>
      </c>
      <c r="CG90" s="831" t="str">
        <f>IF($C90&lt;1,"",(AVERAGEIFS('09월 에너지'!P$14:P$949,'09월 에너지'!$A$14:$A$949,$A90,'09월 에너지'!$C$14:$C$949,$B90)))</f>
        <v/>
      </c>
      <c r="CH90" s="831" t="str">
        <f>IF($C90&lt;1,"",(AVERAGEIFS('09월 에너지'!Q$14:Q$949,'09월 에너지'!$A$14:$A$949,$A90,'09월 에너지'!$C$14:$C$949,$B90)))</f>
        <v/>
      </c>
      <c r="CI90" s="831" t="str">
        <f>IF($C90&lt;1,"",(AVERAGEIFS('09월 에너지'!R$14:R$949,'09월 에너지'!$A$14:$A$949,$A90,'09월 에너지'!$C$14:$C$949,$B90)))</f>
        <v/>
      </c>
      <c r="CJ90" s="831" t="str">
        <f>IF($C90&lt;1,"",(AVERAGEIFS('09월 에너지'!S$14:S$949,'09월 에너지'!$A$14:$A$949,$A90,'09월 에너지'!$C$14:$C$949,$B90)))</f>
        <v/>
      </c>
      <c r="CK90" s="831" t="str">
        <f>IF($C90&lt;1,"",(AVERAGEIFS('09월 에너지'!T$14:T$949,'09월 에너지'!$A$14:$A$949,$A90,'09월 에너지'!$C$14:$C$949,$B90)))</f>
        <v/>
      </c>
      <c r="CL90" s="831" t="str">
        <f>IF($C90&lt;1,"",(AVERAGEIFS('09월 에너지'!U$14:U$949,'09월 에너지'!$A$14:$A$949,$A90,'09월 에너지'!$C$14:$C$949,$B90)))</f>
        <v/>
      </c>
      <c r="CM90" s="835" t="str">
        <f>IF($C90&lt;1,"",(AVERAGEIFS('09월 에너지'!V$14:V$949,'09월 에너지'!$A$14:$A$949,$A90,'09월 에너지'!$C$14:$C$949,$B90)))</f>
        <v/>
      </c>
      <c r="CN90" s="835" t="str">
        <f>IF($C90&lt;1,"",(AVERAGEIFS('09월 에너지'!W$14:W$949,'09월 에너지'!$A$14:$A$949,$A90,'09월 에너지'!$C$14:$C$949,$B90)))</f>
        <v/>
      </c>
      <c r="CO90" s="831" t="str">
        <f>IF($C90&lt;1,"",(AVERAGEIFS('09월 에너지'!X$14:X$949,'09월 에너지'!$A$14:$A$949,$A90,'09월 에너지'!$C$14:$C$949,$B90)))</f>
        <v/>
      </c>
      <c r="CP90" s="835" t="str">
        <f>IF($C90&lt;1,"",(AVERAGEIFS('09월 에너지'!Y$14:Y$949,'09월 에너지'!$A$14:$A$949,$A90,'09월 에너지'!$C$14:$C$949,$B90)))</f>
        <v/>
      </c>
      <c r="CQ90" s="835" t="str">
        <f>IF($C90&lt;1,"",(AVERAGEIFS('09월 에너지'!Z$14:Z$949,'09월 에너지'!$A$14:$A$949,$A90,'09월 에너지'!$C$14:$C$949,$B90)))</f>
        <v/>
      </c>
      <c r="CR90" s="835" t="str">
        <f>IF($C90&lt;1,"",(AVERAGEIFS('09월 에너지'!AA$14:AA$949,'09월 에너지'!$A$14:$A$949,$A90,'09월 에너지'!$C$14:$C$949,$B90)))</f>
        <v/>
      </c>
      <c r="CS90" s="835" t="str">
        <f>IF($C90&lt;1,"",(AVERAGEIFS('09월 에너지'!AB$14:AB$949,'09월 에너지'!$A$14:$A$949,$A90,'09월 에너지'!$C$14:$C$949,$B90)))</f>
        <v/>
      </c>
      <c r="CT90" s="831" t="str">
        <f>IF($C90&lt;1,"",(AVERAGEIFS('09월 에너지'!AC$14:AC$949,'09월 에너지'!$A$14:$A$949,$A90,'09월 에너지'!$C$14:$C$949,$B90)))</f>
        <v/>
      </c>
      <c r="CU90" s="836" t="str">
        <f>IF($C90&lt;1,"",(AVERAGEIFS('09월 에너지'!AD$14:AD$949,'09월 에너지'!$A$14:$A$949,$A90,'09월 에너지'!$C$14:$C$949,$B90)))</f>
        <v/>
      </c>
      <c r="CV90" s="837" t="str">
        <f>IF($C90&lt;1,"",(AVERAGEIFS('09월 에너지'!AE$14:AE$949,'09월 에너지'!$A$14:$A$949,$A90,'09월 에너지'!$C$14:$C$949,$B90)))</f>
        <v/>
      </c>
      <c r="CW90" s="831" t="str">
        <f>IF($C90&lt;1,"",(AVERAGEIFS('09월 에너지'!AF$14:AF$949,'09월 에너지'!$A$14:$A$949,$A90,'09월 에너지'!$C$14:$C$949,$B90)))</f>
        <v/>
      </c>
      <c r="CX90" s="831" t="str">
        <f>IF($C90&lt;1,"",(AVERAGEIFS('09월 에너지'!AG$14:AG$949,'09월 에너지'!$A$14:$A$949,$A90,'09월 에너지'!$C$14:$C$949,$B90)))</f>
        <v/>
      </c>
      <c r="CY90" s="831" t="str">
        <f>IF($C90&lt;1,"",(AVERAGEIFS('09월 에너지'!AH$14:AH$949,'09월 에너지'!$A$14:$A$949,$A90,'09월 에너지'!$C$14:$C$949,$B90)))</f>
        <v/>
      </c>
      <c r="CZ90" s="831" t="str">
        <f>IF($C90&lt;1,"",(AVERAGEIFS('09월 에너지'!AI$14:AI$949,'09월 에너지'!$A$14:$A$949,$A90,'09월 에너지'!$C$14:$C$949,$B90)))</f>
        <v/>
      </c>
      <c r="DA90" s="838" t="str">
        <f>IF($C90&lt;1,"",(AVERAGEIFS('09월 에너지'!AJ$14:AJ$949,'09월 에너지'!$A$14:$A$949,$A90,'09월 에너지'!$C$14:$C$949,$B90)))</f>
        <v/>
      </c>
    </row>
    <row r="91" spans="1:105" ht="13.5" customHeight="1">
      <c r="A91" s="847">
        <f>A86+1</f>
        <v>44944</v>
      </c>
      <c r="B91" s="848" t="s">
        <v>31</v>
      </c>
      <c r="C91" s="810">
        <f>COUNTIF('09월 조업일지'!$A$12:$A$952,A91)</f>
        <v>0</v>
      </c>
      <c r="D91" s="787" t="str">
        <f>IF(C91&lt;1,"",F91-E91)</f>
        <v/>
      </c>
      <c r="E91" s="787" t="str">
        <f>IF($C91&lt;1,"",(SUMIF('09월 조업일지'!$A$12:$A$952,$A91,'09월 조업일지'!$K$12:$K$952))/C91)</f>
        <v/>
      </c>
      <c r="F91" s="787" t="str">
        <f>IF($C91&lt;1,"",AVERAGEIF('09월 조업일지'!$A$12:$A$952,$A91,'09월 조업일지'!$J$12:$J$952))</f>
        <v/>
      </c>
      <c r="G91" s="811" t="str">
        <f>IF($C91&lt;1,"",AVERAGEIF('09월 에너지'!$A$14:$A$949,$A91,'09월 에너지'!$M$14:M$949))</f>
        <v/>
      </c>
      <c r="H91" s="812" t="str">
        <f>IF($C91&lt;1,"",AVERAGEIF('09월 조업일지'!$A$12:$A$952,$A91,'09월 조업일지'!$AJ$12:$AJ$952))</f>
        <v/>
      </c>
      <c r="I91" s="812" t="str">
        <f>IF($C91&lt;1,"",AVERAGEIF('09월 조업일지'!$A$12:$A$952,$A91,'09월 조업일지'!$AL$12:$AL$952))</f>
        <v/>
      </c>
      <c r="J91" s="813" t="str">
        <f>IF($C91&lt;1,"",AVERAGEIF('09월 화학성분'!$A$12:$A$949,$A91,'09월 화학성분'!G$12:G$949))</f>
        <v/>
      </c>
      <c r="K91" s="813" t="str">
        <f>IF($C91&lt;1,"",AVERAGEIF('09월 화학성분'!$A$12:$A$949,$A91,'09월 화학성분'!H$12:H$949))</f>
        <v/>
      </c>
      <c r="L91" s="813" t="str">
        <f>IF($C91&lt;1,"",AVERAGEIF('09월 화학성분'!$A$12:$A$949,$A91,'09월 화학성분'!I$12:I$949))</f>
        <v/>
      </c>
      <c r="M91" s="813" t="str">
        <f>IF($C91&lt;1,"",AVERAGEIF('09월 화학성분'!$A$12:$A$949,$A91,'09월 화학성분'!J$12:J$949))</f>
        <v/>
      </c>
      <c r="N91" s="813" t="str">
        <f>IF($C91&lt;1,"",AVERAGEIF('09월 화학성분'!$A$12:$A$949,$A91,'09월 화학성분'!K$12:K$949))</f>
        <v/>
      </c>
      <c r="O91" s="813" t="str">
        <f>IF($C91&lt;1,"",AVERAGEIF('09월 화학성분'!$A$12:$A$949,$A91,'09월 화학성분'!L$12:L$949))</f>
        <v/>
      </c>
      <c r="P91" s="813" t="str">
        <f>IF($C91&lt;1,"",AVERAGEIF('09월 화학성분'!$A$12:$A$949,$A91,'09월 화학성분'!M$12:M$949))</f>
        <v/>
      </c>
      <c r="Q91" s="814" t="str">
        <f>IF($C91&lt;1,"",AVERAGEIF('09월 조업일지'!$A$12:$A$952,$A91,'09월 조업일지'!$AA$12:$AA$952))</f>
        <v/>
      </c>
      <c r="R91" s="814" t="str">
        <f>IF($C91&lt;1,"",AVERAGEIF('09월 조업일지'!$A$12:$A$952,$A91,'09월 조업일지'!$AK$12:$AK$952))</f>
        <v/>
      </c>
      <c r="S91" s="814"/>
      <c r="T91" s="814"/>
      <c r="U91" s="813" t="str">
        <f>IF($C91&lt;1,"",AVERAGEIF('09월 화학성분'!$A$12:$A$949,$A91,'09월 화학성분'!$G$12:$G$949))</f>
        <v/>
      </c>
      <c r="V91" s="814" t="str">
        <f>IF($C91&lt;1,"",AVERAGEIF('09월 조업일지'!$A$12:$A$952,$A91,'09월 조업일지'!$AI$12:$AI$952))</f>
        <v/>
      </c>
      <c r="W91" s="813" t="str">
        <f>IF($C91&lt;1,"",AVERAGEIF('09월 화학성분'!$A$12:$A$949,$A91,'09월 화학성분'!$AM$12:$AM$949))</f>
        <v/>
      </c>
      <c r="X91" s="815" t="str">
        <f>IF($C91&lt;1,"",AVERAGEIF('09월 화학성분'!$A$12:$A$949,$A91,'09월 화학성분'!N$12:N$949))</f>
        <v/>
      </c>
      <c r="Y91" s="815" t="str">
        <f>IF($C91&lt;1,"",AVERAGEIF('09월 화학성분'!$A$12:$A$949,$A91,'09월 화학성분'!O$12:O$949))</f>
        <v/>
      </c>
      <c r="Z91" s="815" t="str">
        <f>IF($C91&lt;1,"",AVERAGEIF('09월 화학성분'!$A$12:$A$949,$A91,'09월 화학성분'!P$12:P$949))</f>
        <v/>
      </c>
      <c r="AA91" s="815" t="str">
        <f>IF($C91&lt;1,"",AVERAGEIF('09월 화학성분'!$A$12:$A$949,$A91,'09월 화학성분'!Q$12:Q$949))</f>
        <v/>
      </c>
      <c r="AB91" s="815" t="str">
        <f>IF($C91&lt;1,"",AVERAGEIF('09월 화학성분'!$A$12:$A$949,$A91,'09월 화학성분'!R$12:R$949))</f>
        <v/>
      </c>
      <c r="AC91" s="815" t="str">
        <f>IF($C91&lt;1,"",AVERAGEIF('09월 화학성분'!$A$12:$A$949,$A91,'09월 화학성분'!U$12:U$949))</f>
        <v/>
      </c>
      <c r="AD91" s="815" t="str">
        <f>IF($C91&lt;1,"",AVERAGEIF('09월 화학성분'!$A$12:$A$949,$A91,'09월 화학성분'!V$12:V$949))</f>
        <v/>
      </c>
      <c r="AE91" s="815" t="str">
        <f>IF($C91&lt;1,"",AVERAGEIF('09월 화학성분'!$A$12:$A$949,$A91,'09월 화학성분'!W$12:W$949))</f>
        <v/>
      </c>
      <c r="AF91" s="815" t="str">
        <f>IF($C91&lt;1,"",AVERAGEIF('09월 화학성분'!$A$12:$A$949,$A91,'09월 화학성분'!AA$12:AA$949))</f>
        <v/>
      </c>
      <c r="AG91" s="815" t="str">
        <f>IF($C91&lt;1,"",AVERAGEIF('09월 화학성분'!$A$12:$A$949,$A91,'09월 화학성분'!#REF!))</f>
        <v/>
      </c>
      <c r="AH91" s="815" t="str">
        <f>IF($C91&lt;1,"",AVERAGEIF('09월 화학성분'!$A$12:$A$949,$A91,'09월 화학성분'!AB$12:AB$949))</f>
        <v/>
      </c>
      <c r="AI91" s="815" t="str">
        <f>IF($C91&lt;1,"",AVERAGEIF('09월 화학성분'!$A$12:$A$949,$A91,'09월 화학성분'!AC$12:AC$949))</f>
        <v/>
      </c>
      <c r="AJ91" s="815" t="str">
        <f>IF($C91&lt;1,"",AVERAGEIF('09월 화학성분'!$A$12:$A$949,$A91,'09월 화학성분'!AD$12:AD$949))</f>
        <v/>
      </c>
      <c r="AK91" s="815" t="str">
        <f>IF($C91&lt;1,"",AVERAGEIF('09월 화학성분'!$A$12:$A$949,$A91,'09월 화학성분'!AF$12:AF$949))</f>
        <v/>
      </c>
      <c r="AL91" s="815" t="str">
        <f>IF($C91&lt;1,"",AVERAGEIF('09월 화학성분'!$A$12:$A$949,$A91,'09월 화학성분'!AG$12:AG$949))</f>
        <v/>
      </c>
      <c r="AM91" s="815" t="str">
        <f>IF($C91&lt;1,"",AVERAGEIF('09월 화학성분'!$A$12:$A$949,$A91,'09월 화학성분'!AH$12:AH$949))</f>
        <v/>
      </c>
      <c r="AN91" s="815" t="str">
        <f>IF($C91&lt;1,"",AVERAGEIF('09월 화학성분'!$A$12:$A$949,$A91,'09월 화학성분'!AI$12:AI$949))</f>
        <v/>
      </c>
      <c r="AO91" s="815" t="str">
        <f>IF($C91&lt;1,"",AVERAGEIF('09월 화학성분'!$A$12:$A$949,$A91,'09월 화학성분'!AJ$12:AJ$949))</f>
        <v/>
      </c>
      <c r="AP91" s="815" t="str">
        <f>IF($C91&lt;1,"",AVERAGEIF('09월 화학성분'!$A$12:$A$949,$A91,'09월 화학성분'!#REF!))</f>
        <v/>
      </c>
      <c r="AQ91" s="815" t="str">
        <f>IF($C91&lt;1,"",AVERAGEIF('09월 화학성분'!$A$12:$A$949,$A91,'09월 화학성분'!AL$12:AL$949))</f>
        <v/>
      </c>
      <c r="AR91" s="815" t="str">
        <f>IF($C91&lt;1,"",AVERAGEIF('09월 화학성분'!$A$12:$A$949,$A91,'09월 화학성분'!AM$12:AM$949))</f>
        <v/>
      </c>
      <c r="AS91" s="816" t="str">
        <f>IF($C91&lt;1,"",AVERAGEIF('09월 화학성분'!$A$12:$A$949,$A91,'09월 화학성분'!AN$12:AN$949))</f>
        <v/>
      </c>
      <c r="AT91" s="816" t="str">
        <f>IF($C91&lt;1,"",AVERAGEIF('09월 화학성분'!$A$12:$A$949,$A91,'09월 화학성분'!AO$12:AO$949))</f>
        <v/>
      </c>
      <c r="AU91" s="815" t="str">
        <f>IF($C91&lt;1,"",AVERAGEIF('09월 화학성분'!$A$12:$A$949,$A91,'09월 화학성분'!AP$12:AP$949))</f>
        <v/>
      </c>
      <c r="AV91" s="815" t="str">
        <f>IF($C91&lt;1,"",AVERAGEIF('09월 고철장입'!$A$14:$A$949,$A91,'09월 고철장입'!G$14:G$949)/1000)</f>
        <v/>
      </c>
      <c r="AW91" s="815" t="str">
        <f>IF($C91&lt;1,"",AVERAGEIF('09월 고철장입'!$A$14:$A$949,$A91,'09월 고철장입'!H$14:H$949)/1000)</f>
        <v/>
      </c>
      <c r="AX91" s="815" t="str">
        <f>IF($C91&lt;1,"",AVERAGEIF('09월 고철장입'!$A$14:$A$949,$A91,'09월 고철장입'!I$14:I$949)/1000)</f>
        <v/>
      </c>
      <c r="AY91" s="815" t="str">
        <f>IF($C91&lt;1,"",AVERAGEIF('09월 고철장입'!$A$14:$A$949,$A91,'09월 고철장입'!J$14:J$949)/1000)</f>
        <v/>
      </c>
      <c r="AZ91" s="815" t="str">
        <f>IF($C91&lt;1,"",AVERAGEIF('09월 고철장입'!$A$14:$A$949,$A91,'09월 고철장입'!K$14:K$949)/1000)</f>
        <v/>
      </c>
      <c r="BA91" s="815" t="str">
        <f>IF($C91&lt;1,"",AVERAGEIF('09월 고철장입'!$A$14:$A$949,$A91,'09월 고철장입'!L$14:L$949)/1000)</f>
        <v/>
      </c>
      <c r="BB91" s="815" t="str">
        <f>IF($C91&lt;1,"",AVERAGEIF('09월 고철장입'!$A$14:$A$949,$A91,'09월 고철장입'!M$14:M$949)/1000)</f>
        <v/>
      </c>
      <c r="BC91" s="815" t="str">
        <f>IF($C91&lt;1,"",AVERAGEIF('09월 고철장입'!$A$14:$A$949,$A91,'09월 고철장입'!N$14:N$949)/1000)</f>
        <v/>
      </c>
      <c r="BD91" s="815" t="str">
        <f>IF($C91&lt;1,"",AVERAGEIF('09월 고철장입'!$A$14:$A$949,$A91,'09월 고철장입'!O$14:O$949)/1000)</f>
        <v/>
      </c>
      <c r="BE91" s="815" t="str">
        <f>IF($C91&lt;1,"",AVERAGEIF('09월 고철장입'!$A$14:$A$949,$A91,'09월 고철장입'!P$14:P$949)/1000)</f>
        <v/>
      </c>
      <c r="BF91" s="815" t="str">
        <f>IF($C91&lt;1,"",AVERAGEIF('09월 고철장입'!$A$14:$A$949,$A91,'09월 고철장입'!Q$14:Q$949)/1000)</f>
        <v/>
      </c>
      <c r="BG91" s="815" t="str">
        <f>IF($C91&lt;1,"",AVERAGEIF('09월 고철장입'!$A$14:$A$949,$A91,'09월 고철장입'!S$14:S$949)/1000)</f>
        <v/>
      </c>
      <c r="BH91" s="815" t="str">
        <f>IF($C91&lt;1,"",AVERAGEIF('09월 고철장입'!$A$14:$A$949,$A91,'09월 고철장입'!T$14:T$949)/1000)</f>
        <v/>
      </c>
      <c r="BI91" s="815" t="str">
        <f>IF($C91&lt;1,"",AVERAGEIF('09월 고철장입'!$A$14:$A$949,$A91,'09월 고철장입'!U$14:U$949)/1000)</f>
        <v/>
      </c>
      <c r="BJ91" s="815" t="str">
        <f>IF($C91&lt;1,"",AVERAGEIF('09월 고철장입'!$A$14:$A$949,$A91,'09월 고철장입'!V$14:V$949)/1000)</f>
        <v/>
      </c>
      <c r="BK91" s="815" t="str">
        <f>IF($C91&lt;1,"",AVERAGEIF('09월 고철장입'!$A$14:$A$949,$A91,'09월 고철장입'!W$14:W$949)/1000)</f>
        <v/>
      </c>
      <c r="BL91" s="815" t="str">
        <f>IF($C91&lt;1,"",AVERAGEIF('09월 고철장입'!$A$14:$A$949,$A91,'09월 고철장입'!Y$14:Y$949)/1000)</f>
        <v/>
      </c>
      <c r="BM91" s="815" t="str">
        <f>IF($C91&lt;1,"",AVERAGEIF('09월 고철장입'!$A$14:$A$949,$A91,'09월 고철장입'!AB$14:AB$949)/1000)</f>
        <v/>
      </c>
      <c r="BN91" s="815" t="str">
        <f>IF($C91&lt;1,"",AVERAGEIF('09월 고철장입'!$A$14:$A$949,$A91,'09월 고철장입'!AC$14:AC$949)/1000)</f>
        <v/>
      </c>
      <c r="BO91" s="815" t="str">
        <f>IF($C91&lt;1,"",AVERAGEIF('09월 고철장입'!$A$14:$A$949,$A91,'09월 고철장입'!AD$14:AD$949)/1000)</f>
        <v/>
      </c>
      <c r="BP91" s="815" t="str">
        <f>IF($C91&lt;1,"",AVERAGEIF('09월 고철장입'!$A$14:$A$949,$A91,'09월 고철장입'!AE$14:AE$949)/1000)</f>
        <v/>
      </c>
      <c r="BQ91" s="815" t="str">
        <f>IF($C91&lt;1,"",AVERAGEIF('09월 고철장입'!$A$14:$A$949,$A91,'09월 고철장입'!AF$14:AF$949)/1000)</f>
        <v/>
      </c>
      <c r="BR91" s="815" t="str">
        <f>IF($C91&lt;1,"",AVERAGEIF('09월 고철장입'!$A$14:$A$949,$A91,'09월 고철장입'!AG$14:AG$949)/1000)</f>
        <v/>
      </c>
      <c r="BS91" s="815" t="str">
        <f>IF($C91&lt;1,"",AVERAGEIF('09월 고철장입'!$A$14:$A$949,$A91,'09월 고철장입'!AH$14:AH$949)/1000)</f>
        <v/>
      </c>
      <c r="BT91" s="815" t="str">
        <f>IF($C91&lt;1,"",AVERAGEIF('09월 고철장입'!$A$14:$A$949,$A91,'09월 고철장입'!AI$14:AI$949)/1000)</f>
        <v/>
      </c>
      <c r="BU91" s="815" t="str">
        <f>IF($C91&lt;1,"",AVERAGEIF('09월 고철장입'!$A$14:$A$949,$A91,'09월 고철장입'!AJ$14:AJ$949)/1000)</f>
        <v/>
      </c>
      <c r="BV91" s="815" t="str">
        <f>IF($C91&lt;1,"",AVERAGEIF('09월 고철장입'!$A$14:$A$949,$A91,'09월 고철장입'!AK$14:AK$949))</f>
        <v/>
      </c>
      <c r="BW91" s="815" t="str">
        <f>IF($C91&lt;1,"",AVERAGEIF('09월 고철장입'!$A$14:$A$949,$A91,'09월 고철장입'!AL$14:AL$949)*100)</f>
        <v/>
      </c>
      <c r="BX91" s="815" t="str">
        <f>IF($C91&lt;1,"",AVERAGEIF('09월 에너지'!$A$14:$A$949,$A91,'09월 에너지'!G$14:G$949))</f>
        <v/>
      </c>
      <c r="BY91" s="817" t="str">
        <f>IF($C91&lt;1,"",AVERAGEIF('09월 에너지'!$A$14:$A$949,$A91,'09월 에너지'!H$14:H$949))</f>
        <v/>
      </c>
      <c r="BZ91" s="815" t="str">
        <f>IF($C91&lt;1,"",AVERAGEIF('09월 에너지'!$A$14:$A$949,$A91,'09월 에너지'!I$14:I$949))</f>
        <v/>
      </c>
      <c r="CA91" s="817" t="str">
        <f>IF($C91&lt;1,"",AVERAGEIF('09월 에너지'!$A$14:$A$949,$A91,'09월 에너지'!J$14:J$949))</f>
        <v/>
      </c>
      <c r="CB91" s="815" t="str">
        <f>IF($C91&lt;1,"",AVERAGEIF('09월 에너지'!$A$14:$A$949,$A91,'09월 에너지'!K$14:K$949))</f>
        <v/>
      </c>
      <c r="CC91" s="817" t="str">
        <f>IF($C91&lt;1,"",AVERAGEIF('09월 에너지'!$A$14:$A$949,$A91,'09월 에너지'!L$14:L$949))</f>
        <v/>
      </c>
      <c r="CD91" s="815" t="str">
        <f>IF($C91&lt;1,"",AVERAGEIF('09월 에너지'!$A$14:$A$949,$A91,'09월 에너지'!M$14:M$949))</f>
        <v/>
      </c>
      <c r="CE91" s="817" t="str">
        <f>IF($C91&lt;1,"",AVERAGEIF('09월 에너지'!$A$14:$A$949,$A91,'09월 에너지'!N$14:N$949))</f>
        <v/>
      </c>
      <c r="CF91" s="815" t="str">
        <f>IF($C91&lt;1,"",AVERAGEIF('09월 에너지'!$A$14:$A$949,$A91,'09월 에너지'!O$14:O$949))</f>
        <v/>
      </c>
      <c r="CG91" s="815" t="str">
        <f>IF($C91&lt;1,"",AVERAGEIF('09월 에너지'!$A$14:$A$949,$A91,'09월 에너지'!P$14:P$949))</f>
        <v/>
      </c>
      <c r="CH91" s="815" t="str">
        <f>IF($C91&lt;1,"",AVERAGEIF('09월 에너지'!$A$14:$A$949,$A91,'09월 에너지'!Q$14:Q$949))</f>
        <v/>
      </c>
      <c r="CI91" s="815" t="str">
        <f>IF($C91&lt;1,"",AVERAGEIF('09월 에너지'!$A$14:$A$949,$A91,'09월 에너지'!R$14:R$949))</f>
        <v/>
      </c>
      <c r="CJ91" s="815" t="str">
        <f>IF($C91&lt;1,"",AVERAGEIF('09월 에너지'!$A$14:$A$949,$A91,'09월 에너지'!S$14:S$949))</f>
        <v/>
      </c>
      <c r="CK91" s="815" t="str">
        <f>IF($C91&lt;1,"",AVERAGEIF('09월 에너지'!$A$14:$A$949,$A91,'09월 에너지'!T$14:T$949))</f>
        <v/>
      </c>
      <c r="CL91" s="815" t="str">
        <f>IF($C91&lt;1,"",AVERAGEIF('09월 에너지'!$A$14:$A$949,$A91,'09월 에너지'!U$14:U$949))</f>
        <v/>
      </c>
      <c r="CM91" s="817" t="str">
        <f>IF($C91&lt;1,"",AVERAGEIF('09월 에너지'!$A$14:$A$949,$A91,'09월 에너지'!V$14:V$949))</f>
        <v/>
      </c>
      <c r="CN91" s="817" t="str">
        <f>IF($C91&lt;1,"",AVERAGEIF('09월 에너지'!$A$14:$A$949,$A91,'09월 에너지'!W$14:W$949))</f>
        <v/>
      </c>
      <c r="CO91" s="815" t="str">
        <f>IF($C91&lt;1,"",AVERAGEIF('09월 에너지'!$A$14:$A$949,$A91,'09월 에너지'!X$14:X$949))</f>
        <v/>
      </c>
      <c r="CP91" s="817" t="str">
        <f>IF($C91&lt;1,"",AVERAGEIF('09월 에너지'!$A$14:$A$949,$A91,'09월 에너지'!Y$14:Y$949))</f>
        <v/>
      </c>
      <c r="CQ91" s="817" t="str">
        <f>IF($C91&lt;1,"",AVERAGEIF('09월 에너지'!$A$14:$A$949,$A91,'09월 에너지'!Z$14:Z$949))</f>
        <v/>
      </c>
      <c r="CR91" s="817" t="str">
        <f>IF($C91&lt;1,"",AVERAGEIF('09월 에너지'!$A$14:$A$949,$A91,'09월 에너지'!AA$14:AA$949))</f>
        <v/>
      </c>
      <c r="CS91" s="817" t="str">
        <f>IF($C91&lt;1,"",AVERAGEIF('09월 에너지'!$A$14:$A$949,$A91,'09월 에너지'!AB$14:AB$949))</f>
        <v/>
      </c>
      <c r="CT91" s="815" t="str">
        <f>IF($C91&lt;1,"",AVERAGEIF('09월 에너지'!$A$14:$A$949,$A91,'09월 에너지'!AC$14:AC$949))</f>
        <v/>
      </c>
      <c r="CU91" s="818" t="str">
        <f>IF($C91&lt;1,"",AVERAGEIF('09월 에너지'!$A$14:$A$949,$A91,'09월 에너지'!AD$14:AD$949))</f>
        <v/>
      </c>
      <c r="CV91" s="819" t="str">
        <f>IF($C91&lt;1,"",AVERAGEIF('09월 에너지'!$A$14:$A$949,$A91,'09월 에너지'!AE$14:AE$949))</f>
        <v/>
      </c>
      <c r="CW91" s="815" t="str">
        <f>IF($C91&lt;1,"",AVERAGEIF('09월 에너지'!$A$14:$A$949,$A91,'09월 에너지'!AF$14:AF$949))</f>
        <v/>
      </c>
      <c r="CX91" s="815" t="str">
        <f>IF($C91&lt;1,"",AVERAGEIF('09월 에너지'!$A$14:$A$949,$A91,'09월 에너지'!AG$14:AG$949))</f>
        <v/>
      </c>
      <c r="CY91" s="815" t="str">
        <f>IF($C91&lt;1,"",AVERAGEIF('09월 에너지'!$A$14:$A$949,$A91,'09월 에너지'!AH$14:AH$949))</f>
        <v/>
      </c>
      <c r="CZ91" s="815" t="str">
        <f>IF($C91&lt;1,"",AVERAGEIF('09월 에너지'!$A$14:$A$949,$A91,'09월 에너지'!AI$14:AI$949))</f>
        <v/>
      </c>
      <c r="DA91" s="820" t="str">
        <f>IF($C91&lt;1,"",AVERAGEIF('09월 에너지'!$A$14:$A$949,$A91,'09월 에너지'!AJ$14:AJ$949))</f>
        <v/>
      </c>
    </row>
    <row r="92" spans="1:105" ht="13.5" customHeight="1">
      <c r="A92" s="849">
        <f t="shared" ref="A92:A150" si="20">A87+1</f>
        <v>44944</v>
      </c>
      <c r="B92" s="850" t="s">
        <v>9</v>
      </c>
      <c r="C92" s="823">
        <f>COUNTIFS('09월 조업일지'!$A$12:$A$952,A91,'09월 조업일지'!$E$12:$E$952,B92)</f>
        <v>0</v>
      </c>
      <c r="D92" s="824" t="str">
        <f>IF(C92&lt;1,"",F92-E92)</f>
        <v/>
      </c>
      <c r="E92" s="824" t="str">
        <f>IF($C92&lt;1,"",(SUMIFS('09월 조업일지'!$K$12:$K$952,'09월 조업일지'!$A$12:$A$952,$A92,'09월 조업일지'!$E$12:$E$952,$B92)/$C92))</f>
        <v/>
      </c>
      <c r="F92" s="824" t="str">
        <f>IF($C92&lt;1,"",(AVERAGEIFS('09월 조업일지'!$J$12:$J$952,'09월 조업일지'!$A$12:$A$952,$A92,'09월 조업일지'!$E$12:$E$952,$B92)))</f>
        <v/>
      </c>
      <c r="G92" s="825" t="str">
        <f>IF($C92&lt;1,"",(AVERAGEIFS('09월 에너지'!$M$14:$M$949,'09월 에너지'!$A$14:$A$949,$A92,'09월 에너지'!$C$14:$C$949,$B92)))</f>
        <v/>
      </c>
      <c r="H92" s="826" t="str">
        <f>IF($C92&lt;1,"",(AVERAGEIFS('09월 조업일지'!$AJ$12:$AJ$952,'09월 조업일지'!$A$12:$A$952,$A92,'09월 조업일지'!$E$12:$E$952,$B92)))</f>
        <v/>
      </c>
      <c r="I92" s="826" t="str">
        <f>IF($C92&lt;1,"",(AVERAGEIFS('09월 조업일지'!$AL$12:$AL$952,'09월 조업일지'!$A$12:$A$952,$A92,'09월 조업일지'!$E$12:$E$952,$B92)))</f>
        <v/>
      </c>
      <c r="J92" s="827" t="str">
        <f>IF($C92&lt;1,"",(AVERAGEIFS('09월 화학성분'!G$12:G$949,'09월 화학성분'!$A$12:$A$949,$A92,'09월 화학성분'!$D$12:$D$949,$B92)))</f>
        <v/>
      </c>
      <c r="K92" s="827" t="str">
        <f>IF($C92&lt;1,"",(AVERAGEIFS('09월 화학성분'!H$12:H$949,'09월 화학성분'!$A$12:$A$949,$A92,'09월 화학성분'!$D$12:$D$949,$B92)))</f>
        <v/>
      </c>
      <c r="L92" s="827" t="str">
        <f>IF($C92&lt;1,"",(AVERAGEIFS('09월 화학성분'!I$12:I$949,'09월 화학성분'!$A$12:$A$949,$A92,'09월 화학성분'!$D$12:$D$949,$B92)))</f>
        <v/>
      </c>
      <c r="M92" s="827" t="str">
        <f>IF($C92&lt;1,"",(AVERAGEIFS('09월 화학성분'!J$12:J$949,'09월 화학성분'!$A$12:$A$949,$A92,'09월 화학성분'!$D$12:$D$949,$B92)))</f>
        <v/>
      </c>
      <c r="N92" s="827" t="str">
        <f>IF($C92&lt;1,"",(AVERAGEIFS('09월 화학성분'!K$12:K$949,'09월 화학성분'!$A$12:$A$949,$A92,'09월 화학성분'!$D$12:$D$949,$B92)))</f>
        <v/>
      </c>
      <c r="O92" s="827" t="str">
        <f>IF($C92&lt;1,"",(AVERAGEIFS('09월 화학성분'!L$12:L$949,'09월 화학성분'!$A$12:$A$949,$A92,'09월 화학성분'!$D$12:$D$949,$B92)))</f>
        <v/>
      </c>
      <c r="P92" s="827" t="str">
        <f>IF($C92&lt;1,"",(AVERAGEIFS('09월 화학성분'!M$12:M$949,'09월 화학성분'!$A$12:$A$949,$A92,'09월 화학성분'!$D$12:$D$949,$B92)))</f>
        <v/>
      </c>
      <c r="Q92" s="827" t="str">
        <f>IFERROR(IF($C92&lt;1,"",(AVERAGEIFS('09월 조업일지'!$AA$12:$AA$952,'09월 조업일지'!$A$12:$A$952,$A92,'09월 조업일지'!$E$12:$E$952,$B92))),"")</f>
        <v/>
      </c>
      <c r="R92" s="827" t="str">
        <f>IF($C92&lt;1,"",(AVERAGEIFS('09월 조업일지'!$AK$12:$AK$952,'09월 조업일지'!$A$12:$A$952,$A92,'09월 조업일지'!$E$12:$E$952,$B92)))</f>
        <v/>
      </c>
      <c r="S92" s="827"/>
      <c r="T92" s="827"/>
      <c r="U92" s="827" t="str">
        <f>IF($C92&lt;1,"",(AVERAGEIFS('09월 화학성분'!$G$12:$G$949,'09월 화학성분'!$A$12:$A$949,$A92,'09월 화학성분'!$D$12:$D$949,$B92)))</f>
        <v/>
      </c>
      <c r="V92" s="827" t="str">
        <f>IF($C92&lt;1,"",(AVERAGEIFS('09월 조업일지'!$AI$12:$AI$952,'09월 조업일지'!$A$12:$A$952,$A92,'09월 조업일지'!$E$12:$E$952,$B92)))</f>
        <v/>
      </c>
      <c r="W92" s="828" t="str">
        <f>IF($C92&lt;1,"",(AVERAGEIFS('09월 화학성분'!$AM$12:$AM$949,'09월 화학성분'!$A$12:$A$949,$A92,'09월 화학성분'!$D$12:$D$949,$B92)))</f>
        <v/>
      </c>
      <c r="X92" s="829" t="str">
        <f>IF($C92&lt;1,"",(AVERAGEIFS('09월 화학성분'!N$12:N$949,'09월 화학성분'!$A$12:$A$949,$A92,'09월 화학성분'!$D$12:$D$949,$B92)))</f>
        <v/>
      </c>
      <c r="Y92" s="829" t="str">
        <f>IF($C92&lt;1,"",(AVERAGEIFS('09월 화학성분'!O$12:O$949,'09월 화학성분'!$A$12:$A$949,$A92,'09월 화학성분'!$D$12:$D$949,$B92)))</f>
        <v/>
      </c>
      <c r="Z92" s="829" t="str">
        <f>IF($C92&lt;1,"",(AVERAGEIFS('09월 화학성분'!P$12:P$949,'09월 화학성분'!$A$12:$A$949,$A92,'09월 화학성분'!$D$12:$D$949,$B92)))</f>
        <v/>
      </c>
      <c r="AA92" s="829" t="str">
        <f>IF($C92&lt;1,"",(AVERAGEIFS('09월 화학성분'!Q$12:Q$949,'09월 화학성분'!$A$12:$A$949,$A92,'09월 화학성분'!$D$12:$D$949,$B92)))</f>
        <v/>
      </c>
      <c r="AB92" s="829" t="str">
        <f>IF($C92&lt;1,"",(AVERAGEIFS('09월 화학성분'!R$12:R$949,'09월 화학성분'!$A$12:$A$949,$A92,'09월 화학성분'!$D$12:$D$949,$B92)))</f>
        <v/>
      </c>
      <c r="AC92" s="829" t="str">
        <f>IF($C92&lt;1,"",(AVERAGEIFS('09월 화학성분'!U$12:U$949,'09월 화학성분'!$A$12:$A$949,$A92,'09월 화학성분'!$D$12:$D$949,$B92)))</f>
        <v/>
      </c>
      <c r="AD92" s="829" t="str">
        <f>IF($C92&lt;1,"",(AVERAGEIFS('09월 화학성분'!V$12:V$949,'09월 화학성분'!$A$12:$A$949,$A92,'09월 화학성분'!$D$12:$D$949,$B92)))</f>
        <v/>
      </c>
      <c r="AE92" s="829" t="str">
        <f>IF($C92&lt;1,"",(AVERAGEIFS('09월 화학성분'!W$12:W$949,'09월 화학성분'!$A$12:$A$949,$A92,'09월 화학성분'!$D$12:$D$949,$B92)))</f>
        <v/>
      </c>
      <c r="AF92" s="829" t="str">
        <f>IF($C92&lt;1,"",(AVERAGEIFS('09월 화학성분'!AA$12:AA$949,'09월 화학성분'!$A$12:$A$949,$A92,'09월 화학성분'!$D$12:$D$949,$B92)))</f>
        <v/>
      </c>
      <c r="AG92" s="829" t="str">
        <f>IF($C92&lt;1,"",(AVERAGEIFS('09월 화학성분'!#REF!,'09월 화학성분'!$A$12:$A$949,$A92,'09월 화학성분'!$D$12:$D$949,$B92)))</f>
        <v/>
      </c>
      <c r="AH92" s="829" t="str">
        <f>IF($C92&lt;1,"",(AVERAGEIFS('09월 화학성분'!AB$12:AB$949,'09월 화학성분'!$A$12:$A$949,$A92,'09월 화학성분'!$D$12:$D$949,$B92)))</f>
        <v/>
      </c>
      <c r="AI92" s="829" t="str">
        <f>IF($C92&lt;1,"",(AVERAGEIFS('09월 화학성분'!AC$12:AC$949,'09월 화학성분'!$A$12:$A$949,$A92,'09월 화학성분'!$D$12:$D$949,$B92)))</f>
        <v/>
      </c>
      <c r="AJ92" s="829" t="str">
        <f>IF($C92&lt;1,"",(AVERAGEIFS('09월 화학성분'!AD$12:AD$949,'09월 화학성분'!$A$12:$A$949,$A92,'09월 화학성분'!$D$12:$D$949,$B92)))</f>
        <v/>
      </c>
      <c r="AK92" s="829" t="str">
        <f>IF($C92&lt;1,"",(AVERAGEIFS('09월 화학성분'!AF$12:AF$949,'09월 화학성분'!$A$12:$A$949,$A92,'09월 화학성분'!$D$12:$D$949,$B92)))</f>
        <v/>
      </c>
      <c r="AL92" s="829" t="str">
        <f>IF($C92&lt;1,"",(AVERAGEIFS('09월 화학성분'!AG$12:AG$949,'09월 화학성분'!$A$12:$A$949,$A92,'09월 화학성분'!$D$12:$D$949,$B92)))</f>
        <v/>
      </c>
      <c r="AM92" s="829" t="str">
        <f>IF($C92&lt;1,"",(AVERAGEIFS('09월 화학성분'!AH$12:AH$949,'09월 화학성분'!$A$12:$A$949,$A92,'09월 화학성분'!$D$12:$D$949,$B92)))</f>
        <v/>
      </c>
      <c r="AN92" s="829" t="str">
        <f>IF($C92&lt;1,"",(AVERAGEIFS('09월 화학성분'!AI$12:AI$949,'09월 화학성분'!$A$12:$A$949,$A92,'09월 화학성분'!$D$12:$D$949,$B92)))</f>
        <v/>
      </c>
      <c r="AO92" s="829" t="str">
        <f>IF($C92&lt;1,"",(AVERAGEIFS('09월 화학성분'!AJ$12:AJ$949,'09월 화학성분'!$A$12:$A$949,$A92,'09월 화학성분'!$D$12:$D$949,$B92)))</f>
        <v/>
      </c>
      <c r="AP92" s="829" t="str">
        <f>IF($C92&lt;1,"",(AVERAGEIFS('09월 화학성분'!#REF!,'09월 화학성분'!$A$12:$A$949,$A92,'09월 화학성분'!$D$12:$D$949,$B92)))</f>
        <v/>
      </c>
      <c r="AQ92" s="829" t="str">
        <f>IF($C92&lt;1,"",(AVERAGEIFS('09월 화학성분'!AL$12:AL$949,'09월 화학성분'!$A$12:$A$949,$A92,'09월 화학성분'!$D$12:$D$949,$B92)))</f>
        <v/>
      </c>
      <c r="AR92" s="829" t="str">
        <f>IF($C92&lt;1,"",(AVERAGEIFS('09월 화학성분'!AM$12:AM$949,'09월 화학성분'!$A$12:$A$949,$A92,'09월 화학성분'!$D$12:$D$949,$B92)))</f>
        <v/>
      </c>
      <c r="AS92" s="830" t="str">
        <f>IF($C92&lt;1,"",(AVERAGEIFS('09월 화학성분'!AN$12:AN$949,'09월 화학성분'!$A$12:$A$949,$A92,'09월 화학성분'!$D$12:$D$949,$B92)))</f>
        <v/>
      </c>
      <c r="AT92" s="830" t="str">
        <f>IF($C92&lt;1,"",(AVERAGEIFS('09월 화학성분'!AO$12:AO$949,'09월 화학성분'!$A$12:$A$949,$A92,'09월 화학성분'!$D$12:$D$949,$B92)))</f>
        <v/>
      </c>
      <c r="AU92" s="831" t="str">
        <f>IF($C92&lt;1,"",(AVERAGEIFS('09월 화학성분'!AP$12:AP$949,'09월 화학성분'!$A$12:$A$949,$A92,'09월 화학성분'!$D$12:$D$949,$B92)))</f>
        <v/>
      </c>
      <c r="AV92" s="832" t="str">
        <f>IF($C92&lt;1,"",(AVERAGEIFS('09월 고철장입'!G$14:G$949,'09월 고철장입'!$A$14:$A$949,$A92,'09월 고철장입'!$C$14:$C$949,$B92))/1000)</f>
        <v/>
      </c>
      <c r="AW92" s="832" t="str">
        <f>IF($C92&lt;1,"",(AVERAGEIFS('09월 고철장입'!H$14:H$949,'09월 고철장입'!$A$14:$A$949,$A92,'09월 고철장입'!$C$14:$C$949,$B92))/1000)</f>
        <v/>
      </c>
      <c r="AX92" s="832" t="str">
        <f>IF($C92&lt;1,"",(AVERAGEIFS('09월 고철장입'!I$14:I$949,'09월 고철장입'!$A$14:$A$949,$A92,'09월 고철장입'!$C$14:$C$949,$B92))/1000)</f>
        <v/>
      </c>
      <c r="AY92" s="832" t="str">
        <f>IF($C92&lt;1,"",(AVERAGEIFS('09월 고철장입'!J$14:J$949,'09월 고철장입'!$A$14:$A$949,$A92,'09월 고철장입'!$C$14:$C$949,$B92))/1000)</f>
        <v/>
      </c>
      <c r="AZ92" s="832" t="str">
        <f>IF($C92&lt;1,"",(AVERAGEIFS('09월 고철장입'!K$14:K$949,'09월 고철장입'!$A$14:$A$949,$A92,'09월 고철장입'!$C$14:$C$949,$B92))/1000)</f>
        <v/>
      </c>
      <c r="BA92" s="832" t="str">
        <f>IF($C92&lt;1,"",(AVERAGEIFS('09월 고철장입'!L$14:L$949,'09월 고철장입'!$A$14:$A$949,$A92,'09월 고철장입'!$C$14:$C$949,$B92))/1000)</f>
        <v/>
      </c>
      <c r="BB92" s="832" t="str">
        <f>IF($C92&lt;1,"",(AVERAGEIFS('09월 고철장입'!M$14:M$949,'09월 고철장입'!$A$14:$A$949,$A92,'09월 고철장입'!$C$14:$C$949,$B92))/1000)</f>
        <v/>
      </c>
      <c r="BC92" s="832" t="str">
        <f>IF($C92&lt;1,"",(AVERAGEIFS('09월 고철장입'!N$14:N$949,'09월 고철장입'!$A$14:$A$949,$A92,'09월 고철장입'!$C$14:$C$949,$B92))/1000)</f>
        <v/>
      </c>
      <c r="BD92" s="832" t="str">
        <f>IF($C92&lt;1,"",(AVERAGEIFS('09월 고철장입'!O$14:O$949,'09월 고철장입'!$A$14:$A$949,$A92,'09월 고철장입'!$C$14:$C$949,$B92))/1000)</f>
        <v/>
      </c>
      <c r="BE92" s="833" t="str">
        <f>IF($C92&lt;1,"",(AVERAGEIFS('09월 고철장입'!P$14:P$949,'09월 고철장입'!$A$14:$A$949,$A92,'09월 고철장입'!$C$14:$C$949,$B92))/1000)</f>
        <v/>
      </c>
      <c r="BF92" s="833" t="str">
        <f>IF($C92&lt;1,"",(AVERAGEIFS('09월 고철장입'!Q$14:Q$949,'09월 고철장입'!$A$14:$A$949,$A92,'09월 고철장입'!$C$14:$C$949,$B92))/1000)</f>
        <v/>
      </c>
      <c r="BG92" s="833" t="str">
        <f>IF($C92&lt;1,"",(AVERAGEIFS('09월 고철장입'!S$14:S$949,'09월 고철장입'!$A$14:$A$949,$A92,'09월 고철장입'!$C$14:$C$949,$B92))/1000)</f>
        <v/>
      </c>
      <c r="BH92" s="833" t="str">
        <f>IF($C92&lt;1,"",(AVERAGEIFS('09월 고철장입'!T$14:T$949,'09월 고철장입'!$A$14:$A$949,$A92,'09월 고철장입'!$C$14:$C$949,$B92))/1000)</f>
        <v/>
      </c>
      <c r="BI92" s="833" t="str">
        <f>IF($C92&lt;1,"",(AVERAGEIFS('09월 고철장입'!U$14:U$949,'09월 고철장입'!$A$14:$A$949,$A92,'09월 고철장입'!$C$14:$C$949,$B92))/1000)</f>
        <v/>
      </c>
      <c r="BJ92" s="833" t="str">
        <f>IF($C92&lt;1,"",(AVERAGEIFS('09월 고철장입'!V$14:V$949,'09월 고철장입'!$A$14:$A$949,$A92,'09월 고철장입'!$C$14:$C$949,$B92))/1000)</f>
        <v/>
      </c>
      <c r="BK92" s="833" t="str">
        <f>IF($C92&lt;1,"",(AVERAGEIFS('09월 고철장입'!W$14:W$949,'09월 고철장입'!$A$14:$A$949,$A92,'09월 고철장입'!$C$14:$C$949,$B92))/1000)</f>
        <v/>
      </c>
      <c r="BL92" s="833" t="str">
        <f>IF($C92&lt;1,"",(AVERAGEIFS('09월 고철장입'!Y$14:Y$949,'09월 고철장입'!$A$14:$A$949,$A92,'09월 고철장입'!$C$14:$C$949,$B92))/1000)</f>
        <v/>
      </c>
      <c r="BM92" s="833" t="str">
        <f>IF($C92&lt;1,"",(AVERAGEIFS('09월 고철장입'!AB$14:AB$949,'09월 고철장입'!$A$14:$A$949,$A92,'09월 고철장입'!$C$14:$C$949,$B92))/1000)</f>
        <v/>
      </c>
      <c r="BN92" s="833" t="str">
        <f>IF($C92&lt;1,"",(AVERAGEIFS('09월 고철장입'!AC$14:AC$949,'09월 고철장입'!$A$14:$A$949,$A92,'09월 고철장입'!$C$14:$C$949,$B92))/1000)</f>
        <v/>
      </c>
      <c r="BO92" s="833" t="str">
        <f>IF($C92&lt;1,"",(AVERAGEIFS('09월 고철장입'!AD$14:AD$949,'09월 고철장입'!$A$14:$A$949,$A92,'09월 고철장입'!$C$14:$C$949,$B92))/1000)</f>
        <v/>
      </c>
      <c r="BP92" s="833" t="str">
        <f>IF($C92&lt;1,"",(AVERAGEIFS('09월 고철장입'!AE$14:AE$949,'09월 고철장입'!$A$14:$A$949,$A92,'09월 고철장입'!$C$14:$C$949,$B92))/1000)</f>
        <v/>
      </c>
      <c r="BQ92" s="832" t="str">
        <f>IF($C92&lt;1,"",(AVERAGEIFS('09월 고철장입'!AF$14:AF$949,'09월 고철장입'!$A$14:$A$949,$A92,'09월 고철장입'!$C$14:$C$949,$B92))/1000)</f>
        <v/>
      </c>
      <c r="BR92" s="832" t="str">
        <f>IF($C92&lt;1,"",(AVERAGEIFS('09월 고철장입'!AG$14:AG$949,'09월 고철장입'!$A$14:$A$949,$A92,'09월 고철장입'!$C$14:$C$949,$B92))/1000)</f>
        <v/>
      </c>
      <c r="BS92" s="832" t="str">
        <f>IF($C92&lt;1,"",(AVERAGEIFS('09월 고철장입'!AH$14:AH$949,'09월 고철장입'!$A$14:$A$949,$A92,'09월 고철장입'!$C$14:$C$949,$B92))/1000)</f>
        <v/>
      </c>
      <c r="BT92" s="832" t="str">
        <f>IF($C92&lt;1,"",(AVERAGEIFS('09월 고철장입'!AI$14:AI$949,'09월 고철장입'!$A$14:$A$949,$A92,'09월 고철장입'!$C$14:$C$949,$B92))/1000)</f>
        <v/>
      </c>
      <c r="BU92" s="834" t="str">
        <f>IF($C92&lt;1,"",(AVERAGEIFS('09월 고철장입'!AJ$14:AJ$949,'09월 고철장입'!$A$14:$A$949,$A92,'09월 고철장입'!$C$14:$C$949,$B92))/1000)</f>
        <v/>
      </c>
      <c r="BV92" s="834" t="str">
        <f>IF($C92&lt;1,"",(AVERAGEIFS('09월 고철장입'!AK$14:AK$949,'09월 고철장입'!$A$14:$A$949,$A92,'09월 고철장입'!$C$14:$C$949,$B92)))</f>
        <v/>
      </c>
      <c r="BW92" s="834" t="str">
        <f>IF($C92&lt;1,"",(AVERAGEIFS('09월 고철장입'!AL$14:AL$949,'09월 고철장입'!$A$14:$A$949,$A92,'09월 고철장입'!$C$14:$C$949,$B92))*100)</f>
        <v/>
      </c>
      <c r="BX92" s="831" t="str">
        <f>IF($C92&lt;1,"",(AVERAGEIFS('09월 에너지'!G$14:G$949,'09월 에너지'!$A$14:$A$949,$A92,'09월 에너지'!$C$14:$C$949,$B92)))</f>
        <v/>
      </c>
      <c r="BY92" s="835" t="str">
        <f>IF($C92&lt;1,"",(AVERAGEIFS('09월 에너지'!H$14:H$949,'09월 에너지'!$A$14:$A$949,$A92,'09월 에너지'!$C$14:$C$949,$B92)))</f>
        <v/>
      </c>
      <c r="BZ92" s="831" t="str">
        <f>IF($C92&lt;1,"",(AVERAGEIFS('09월 에너지'!I$14:I$949,'09월 에너지'!$A$14:$A$949,$A92,'09월 에너지'!$C$14:$C$949,$B92)))</f>
        <v/>
      </c>
      <c r="CA92" s="835" t="str">
        <f>IF($C92&lt;1,"",(AVERAGEIFS('09월 에너지'!J$14:J$949,'09월 에너지'!$A$14:$A$949,$A92,'09월 에너지'!$C$14:$C$949,$B92)))</f>
        <v/>
      </c>
      <c r="CB92" s="831" t="str">
        <f>IF($C92&lt;1,"",(AVERAGEIFS('09월 에너지'!K$14:K$949,'09월 에너지'!$A$14:$A$949,$A92,'09월 에너지'!$C$14:$C$949,$B92)))</f>
        <v/>
      </c>
      <c r="CC92" s="835" t="str">
        <f>IF($C92&lt;1,"",(AVERAGEIFS('09월 에너지'!L$14:L$949,'09월 에너지'!$A$14:$A$949,$A92,'09월 에너지'!$C$14:$C$949,$B92)))</f>
        <v/>
      </c>
      <c r="CD92" s="831" t="str">
        <f>IF($C92&lt;1,"",(AVERAGEIFS('09월 에너지'!M$14:M$949,'09월 에너지'!$A$14:$A$949,$A92,'09월 에너지'!$C$14:$C$949,$B92)))</f>
        <v/>
      </c>
      <c r="CE92" s="835" t="str">
        <f>IF($C92&lt;1,"",(AVERAGEIFS('09월 에너지'!N$14:N$949,'09월 에너지'!$A$14:$A$949,$A92,'09월 에너지'!$C$14:$C$949,$B92)))</f>
        <v/>
      </c>
      <c r="CF92" s="831" t="str">
        <f>IF($C92&lt;1,"",(AVERAGEIFS('09월 에너지'!O$14:O$949,'09월 에너지'!$A$14:$A$949,$A92,'09월 에너지'!$C$14:$C$949,$B92)))</f>
        <v/>
      </c>
      <c r="CG92" s="831" t="str">
        <f>IF($C92&lt;1,"",(AVERAGEIFS('09월 에너지'!P$14:P$949,'09월 에너지'!$A$14:$A$949,$A92,'09월 에너지'!$C$14:$C$949,$B92)))</f>
        <v/>
      </c>
      <c r="CH92" s="831" t="str">
        <f>IF($C92&lt;1,"",(AVERAGEIFS('09월 에너지'!Q$14:Q$949,'09월 에너지'!$A$14:$A$949,$A92,'09월 에너지'!$C$14:$C$949,$B92)))</f>
        <v/>
      </c>
      <c r="CI92" s="831" t="str">
        <f>IF($C92&lt;1,"",(AVERAGEIFS('09월 에너지'!R$14:R$949,'09월 에너지'!$A$14:$A$949,$A92,'09월 에너지'!$C$14:$C$949,$B92)))</f>
        <v/>
      </c>
      <c r="CJ92" s="831" t="str">
        <f>IF($C92&lt;1,"",(AVERAGEIFS('09월 에너지'!S$14:S$949,'09월 에너지'!$A$14:$A$949,$A92,'09월 에너지'!$C$14:$C$949,$B92)))</f>
        <v/>
      </c>
      <c r="CK92" s="831" t="str">
        <f>IF($C92&lt;1,"",(AVERAGEIFS('09월 에너지'!T$14:T$949,'09월 에너지'!$A$14:$A$949,$A92,'09월 에너지'!$C$14:$C$949,$B92)))</f>
        <v/>
      </c>
      <c r="CL92" s="831" t="str">
        <f>IF($C92&lt;1,"",(AVERAGEIFS('09월 에너지'!U$14:U$949,'09월 에너지'!$A$14:$A$949,$A92,'09월 에너지'!$C$14:$C$949,$B92)))</f>
        <v/>
      </c>
      <c r="CM92" s="835" t="str">
        <f>IF($C92&lt;1,"",(AVERAGEIFS('09월 에너지'!V$14:V$949,'09월 에너지'!$A$14:$A$949,$A92,'09월 에너지'!$C$14:$C$949,$B92)))</f>
        <v/>
      </c>
      <c r="CN92" s="835" t="str">
        <f>IF($C92&lt;1,"",(AVERAGEIFS('09월 에너지'!W$14:W$949,'09월 에너지'!$A$14:$A$949,$A92,'09월 에너지'!$C$14:$C$949,$B92)))</f>
        <v/>
      </c>
      <c r="CO92" s="831" t="str">
        <f>IF($C92&lt;1,"",(AVERAGEIFS('09월 에너지'!X$14:X$949,'09월 에너지'!$A$14:$A$949,$A92,'09월 에너지'!$C$14:$C$949,$B92)))</f>
        <v/>
      </c>
      <c r="CP92" s="835" t="str">
        <f>IF($C92&lt;1,"",(AVERAGEIFS('09월 에너지'!Y$14:Y$949,'09월 에너지'!$A$14:$A$949,$A92,'09월 에너지'!$C$14:$C$949,$B92)))</f>
        <v/>
      </c>
      <c r="CQ92" s="835" t="str">
        <f>IF($C92&lt;1,"",(AVERAGEIFS('09월 에너지'!Z$14:Z$949,'09월 에너지'!$A$14:$A$949,$A92,'09월 에너지'!$C$14:$C$949,$B92)))</f>
        <v/>
      </c>
      <c r="CR92" s="835" t="str">
        <f>IF($C92&lt;1,"",(AVERAGEIFS('09월 에너지'!AA$14:AA$949,'09월 에너지'!$A$14:$A$949,$A92,'09월 에너지'!$C$14:$C$949,$B92)))</f>
        <v/>
      </c>
      <c r="CS92" s="835" t="str">
        <f>IF($C92&lt;1,"",(AVERAGEIFS('09월 에너지'!AB$14:AB$949,'09월 에너지'!$A$14:$A$949,$A92,'09월 에너지'!$C$14:$C$949,$B92)))</f>
        <v/>
      </c>
      <c r="CT92" s="831" t="str">
        <f>IF($C92&lt;1,"",(AVERAGEIFS('09월 에너지'!AC$14:AC$949,'09월 에너지'!$A$14:$A$949,$A92,'09월 에너지'!$C$14:$C$949,$B92)))</f>
        <v/>
      </c>
      <c r="CU92" s="836" t="str">
        <f>IF($C92&lt;1,"",(AVERAGEIFS('09월 에너지'!AD$14:AD$949,'09월 에너지'!$A$14:$A$949,$A92,'09월 에너지'!$C$14:$C$949,$B92)))</f>
        <v/>
      </c>
      <c r="CV92" s="837" t="str">
        <f>IF($C92&lt;1,"",(AVERAGEIFS('09월 에너지'!AE$14:AE$949,'09월 에너지'!$A$14:$A$949,$A92,'09월 에너지'!$C$14:$C$949,$B92)))</f>
        <v/>
      </c>
      <c r="CW92" s="831" t="str">
        <f>IF($C92&lt;1,"",(AVERAGEIFS('09월 에너지'!AF$14:AF$949,'09월 에너지'!$A$14:$A$949,$A92,'09월 에너지'!$C$14:$C$949,$B92)))</f>
        <v/>
      </c>
      <c r="CX92" s="831" t="str">
        <f>IF($C92&lt;1,"",(AVERAGEIFS('09월 에너지'!AG$14:AG$949,'09월 에너지'!$A$14:$A$949,$A92,'09월 에너지'!$C$14:$C$949,$B92)))</f>
        <v/>
      </c>
      <c r="CY92" s="831" t="str">
        <f>IF($C92&lt;1,"",(AVERAGEIFS('09월 에너지'!AH$14:AH$949,'09월 에너지'!$A$14:$A$949,$A92,'09월 에너지'!$C$14:$C$949,$B92)))</f>
        <v/>
      </c>
      <c r="CZ92" s="831" t="str">
        <f>IF($C92&lt;1,"",(AVERAGEIFS('09월 에너지'!AI$14:AI$949,'09월 에너지'!$A$14:$A$949,$A92,'09월 에너지'!$C$14:$C$949,$B92)))</f>
        <v/>
      </c>
      <c r="DA92" s="838" t="str">
        <f>IF($C92&lt;1,"",(AVERAGEIFS('09월 에너지'!AJ$14:AJ$949,'09월 에너지'!$A$14:$A$949,$A92,'09월 에너지'!$C$14:$C$949,$B92)))</f>
        <v/>
      </c>
    </row>
    <row r="93" spans="1:105" ht="13.5" customHeight="1">
      <c r="A93" s="849">
        <f t="shared" si="20"/>
        <v>44944</v>
      </c>
      <c r="B93" s="850" t="s">
        <v>100</v>
      </c>
      <c r="C93" s="823">
        <f>COUNTIFS('09월 조업일지'!$A$12:$A$952,A91,'09월 조업일지'!$E$12:$E$952,B93)</f>
        <v>0</v>
      </c>
      <c r="D93" s="824" t="str">
        <f t="shared" ref="D93:D95" si="21">IF(C93&lt;1,"",F93-E93)</f>
        <v/>
      </c>
      <c r="E93" s="824" t="str">
        <f>IF($C93&lt;1,"",(SUMIFS('09월 조업일지'!$K$12:$K$952,'09월 조업일지'!$A$12:$A$952,$A93,'09월 조업일지'!$E$12:$E$952,$B93)/$C93))</f>
        <v/>
      </c>
      <c r="F93" s="824" t="str">
        <f>IF($C93&lt;1,"",(AVERAGEIFS('09월 조업일지'!$J$12:$J$952,'09월 조업일지'!$A$12:$A$952,$A93,'09월 조업일지'!$E$12:$E$952,$B93)))</f>
        <v/>
      </c>
      <c r="G93" s="825" t="str">
        <f>IF($C93&lt;1,"",(AVERAGEIFS('09월 에너지'!$M$14:$M$949,'09월 에너지'!$A$14:$A$949,$A93,'09월 에너지'!$C$14:$C$949,$B93)))</f>
        <v/>
      </c>
      <c r="H93" s="826" t="str">
        <f>IF($C93&lt;1,"",(AVERAGEIFS('09월 조업일지'!$AJ$12:$AJ$952,'09월 조업일지'!$A$12:$A$952,$A93,'09월 조업일지'!$E$12:$E$952,$B93)))</f>
        <v/>
      </c>
      <c r="I93" s="826" t="str">
        <f>IF($C93&lt;1,"",(AVERAGEIFS('09월 조업일지'!$AL$12:$AL$952,'09월 조업일지'!$A$12:$A$952,$A93,'09월 조업일지'!$E$12:$E$952,$B93)))</f>
        <v/>
      </c>
      <c r="J93" s="827" t="str">
        <f>IF($C93&lt;1,"",(AVERAGEIFS('09월 화학성분'!G$12:G$949,'09월 화학성분'!$A$12:$A$949,$A93,'09월 화학성분'!$D$12:$D$949,$B93)))</f>
        <v/>
      </c>
      <c r="K93" s="827" t="str">
        <f>IF($C93&lt;1,"",(AVERAGEIFS('09월 화학성분'!H$12:H$949,'09월 화학성분'!$A$12:$A$949,$A93,'09월 화학성분'!$D$12:$D$949,$B93)))</f>
        <v/>
      </c>
      <c r="L93" s="827" t="str">
        <f>IF($C93&lt;1,"",(AVERAGEIFS('09월 화학성분'!I$12:I$949,'09월 화학성분'!$A$12:$A$949,$A93,'09월 화학성분'!$D$12:$D$949,$B93)))</f>
        <v/>
      </c>
      <c r="M93" s="827" t="str">
        <f>IF($C93&lt;1,"",(AVERAGEIFS('09월 화학성분'!J$12:J$949,'09월 화학성분'!$A$12:$A$949,$A93,'09월 화학성분'!$D$12:$D$949,$B93)))</f>
        <v/>
      </c>
      <c r="N93" s="827" t="str">
        <f>IF($C93&lt;1,"",(AVERAGEIFS('09월 화학성분'!K$12:K$949,'09월 화학성분'!$A$12:$A$949,$A93,'09월 화학성분'!$D$12:$D$949,$B93)))</f>
        <v/>
      </c>
      <c r="O93" s="827" t="str">
        <f>IF($C93&lt;1,"",(AVERAGEIFS('09월 화학성분'!L$12:L$949,'09월 화학성분'!$A$12:$A$949,$A93,'09월 화학성분'!$D$12:$D$949,$B93)))</f>
        <v/>
      </c>
      <c r="P93" s="827" t="str">
        <f>IF($C93&lt;1,"",(AVERAGEIFS('09월 화학성분'!M$12:M$949,'09월 화학성분'!$A$12:$A$949,$A93,'09월 화학성분'!$D$12:$D$949,$B93)))</f>
        <v/>
      </c>
      <c r="Q93" s="827" t="str">
        <f>IFERROR(IF($C93&lt;1,"",(AVERAGEIFS('09월 조업일지'!$AA$12:$AA$952,'09월 조업일지'!$A$12:$A$952,$A93,'09월 조업일지'!$E$12:$E$952,$B93))),"")</f>
        <v/>
      </c>
      <c r="R93" s="827" t="str">
        <f>IF($C93&lt;1,"",(AVERAGEIFS('09월 조업일지'!$AK$12:$AK$952,'09월 조업일지'!$A$12:$A$952,$A93,'09월 조업일지'!$E$12:$E$952,$B93)))</f>
        <v/>
      </c>
      <c r="S93" s="827"/>
      <c r="T93" s="827"/>
      <c r="U93" s="827" t="str">
        <f>IF($C93&lt;1,"",(AVERAGEIFS('09월 화학성분'!$G$12:$G$949,'09월 화학성분'!$A$12:$A$949,$A93,'09월 화학성분'!$D$12:$D$949,$B93)))</f>
        <v/>
      </c>
      <c r="V93" s="827" t="str">
        <f>IF($C93&lt;1,"",(AVERAGEIFS('09월 조업일지'!$AI$12:$AI$952,'09월 조업일지'!$A$12:$A$952,$A93,'09월 조업일지'!$E$12:$E$952,$B93)))</f>
        <v/>
      </c>
      <c r="W93" s="828" t="str">
        <f>IF($C93&lt;1,"",(AVERAGEIFS('09월 화학성분'!$AM$12:$AM$949,'09월 화학성분'!$A$12:$A$949,$A93,'09월 화학성분'!$D$12:$D$949,$B93)))</f>
        <v/>
      </c>
      <c r="X93" s="829" t="str">
        <f>IF($C93&lt;1,"",(AVERAGEIFS('09월 화학성분'!N$12:N$949,'09월 화학성분'!$A$12:$A$949,$A93,'09월 화학성분'!$D$12:$D$949,$B93)))</f>
        <v/>
      </c>
      <c r="Y93" s="829" t="str">
        <f>IF($C93&lt;1,"",(AVERAGEIFS('09월 화학성분'!O$12:O$949,'09월 화학성분'!$A$12:$A$949,$A93,'09월 화학성분'!$D$12:$D$949,$B93)))</f>
        <v/>
      </c>
      <c r="Z93" s="829" t="str">
        <f>IF($C93&lt;1,"",(AVERAGEIFS('09월 화학성분'!P$12:P$949,'09월 화학성분'!$A$12:$A$949,$A93,'09월 화학성분'!$D$12:$D$949,$B93)))</f>
        <v/>
      </c>
      <c r="AA93" s="829" t="str">
        <f>IF($C93&lt;1,"",(AVERAGEIFS('09월 화학성분'!Q$12:Q$949,'09월 화학성분'!$A$12:$A$949,$A93,'09월 화학성분'!$D$12:$D$949,$B93)))</f>
        <v/>
      </c>
      <c r="AB93" s="829" t="str">
        <f>IF($C93&lt;1,"",(AVERAGEIFS('09월 화학성분'!R$12:R$949,'09월 화학성분'!$A$12:$A$949,$A93,'09월 화학성분'!$D$12:$D$949,$B93)))</f>
        <v/>
      </c>
      <c r="AC93" s="829" t="str">
        <f>IF($C93&lt;1,"",(AVERAGEIFS('09월 화학성분'!U$12:U$949,'09월 화학성분'!$A$12:$A$949,$A93,'09월 화학성분'!$D$12:$D$949,$B93)))</f>
        <v/>
      </c>
      <c r="AD93" s="829" t="str">
        <f>IF($C93&lt;1,"",(AVERAGEIFS('09월 화학성분'!V$12:V$949,'09월 화학성분'!$A$12:$A$949,$A93,'09월 화학성분'!$D$12:$D$949,$B93)))</f>
        <v/>
      </c>
      <c r="AE93" s="829" t="str">
        <f>IF($C93&lt;1,"",(AVERAGEIFS('09월 화학성분'!W$12:W$949,'09월 화학성분'!$A$12:$A$949,$A93,'09월 화학성분'!$D$12:$D$949,$B93)))</f>
        <v/>
      </c>
      <c r="AF93" s="829" t="str">
        <f>IF($C93&lt;1,"",(AVERAGEIFS('09월 화학성분'!AA$12:AA$949,'09월 화학성분'!$A$12:$A$949,$A93,'09월 화학성분'!$D$12:$D$949,$B93)))</f>
        <v/>
      </c>
      <c r="AG93" s="829" t="str">
        <f>IF($C93&lt;1,"",(AVERAGEIFS('09월 화학성분'!#REF!,'09월 화학성분'!$A$12:$A$949,$A93,'09월 화학성분'!$D$12:$D$949,$B93)))</f>
        <v/>
      </c>
      <c r="AH93" s="829" t="str">
        <f>IF($C93&lt;1,"",(AVERAGEIFS('09월 화학성분'!AB$12:AB$949,'09월 화학성분'!$A$12:$A$949,$A93,'09월 화학성분'!$D$12:$D$949,$B93)))</f>
        <v/>
      </c>
      <c r="AI93" s="829" t="str">
        <f>IF($C93&lt;1,"",(AVERAGEIFS('09월 화학성분'!AC$12:AC$949,'09월 화학성분'!$A$12:$A$949,$A93,'09월 화학성분'!$D$12:$D$949,$B93)))</f>
        <v/>
      </c>
      <c r="AJ93" s="829" t="str">
        <f>IF($C93&lt;1,"",(AVERAGEIFS('09월 화학성분'!AD$12:AD$949,'09월 화학성분'!$A$12:$A$949,$A93,'09월 화학성분'!$D$12:$D$949,$B93)))</f>
        <v/>
      </c>
      <c r="AK93" s="829" t="str">
        <f>IF($C93&lt;1,"",(AVERAGEIFS('09월 화학성분'!AF$12:AF$949,'09월 화학성분'!$A$12:$A$949,$A93,'09월 화학성분'!$D$12:$D$949,$B93)))</f>
        <v/>
      </c>
      <c r="AL93" s="829" t="str">
        <f>IF($C93&lt;1,"",(AVERAGEIFS('09월 화학성분'!AG$12:AG$949,'09월 화학성분'!$A$12:$A$949,$A93,'09월 화학성분'!$D$12:$D$949,$B93)))</f>
        <v/>
      </c>
      <c r="AM93" s="829" t="str">
        <f>IF($C93&lt;1,"",(AVERAGEIFS('09월 화학성분'!AH$12:AH$949,'09월 화학성분'!$A$12:$A$949,$A93,'09월 화학성분'!$D$12:$D$949,$B93)))</f>
        <v/>
      </c>
      <c r="AN93" s="829" t="str">
        <f>IF($C93&lt;1,"",(AVERAGEIFS('09월 화학성분'!AI$12:AI$949,'09월 화학성분'!$A$12:$A$949,$A93,'09월 화학성분'!$D$12:$D$949,$B93)))</f>
        <v/>
      </c>
      <c r="AO93" s="829" t="str">
        <f>IF($C93&lt;1,"",(AVERAGEIFS('09월 화학성분'!AJ$12:AJ$949,'09월 화학성분'!$A$12:$A$949,$A93,'09월 화학성분'!$D$12:$D$949,$B93)))</f>
        <v/>
      </c>
      <c r="AP93" s="829" t="str">
        <f>IF($C93&lt;1,"",(AVERAGEIFS('09월 화학성분'!#REF!,'09월 화학성분'!$A$12:$A$949,$A93,'09월 화학성분'!$D$12:$D$949,$B93)))</f>
        <v/>
      </c>
      <c r="AQ93" s="829" t="str">
        <f>IF($C93&lt;1,"",(AVERAGEIFS('09월 화학성분'!AL$12:AL$949,'09월 화학성분'!$A$12:$A$949,$A93,'09월 화학성분'!$D$12:$D$949,$B93)))</f>
        <v/>
      </c>
      <c r="AR93" s="829" t="str">
        <f>IF($C93&lt;1,"",(AVERAGEIFS('09월 화학성분'!AM$12:AM$949,'09월 화학성분'!$A$12:$A$949,$A93,'09월 화학성분'!$D$12:$D$949,$B93)))</f>
        <v/>
      </c>
      <c r="AS93" s="830" t="str">
        <f>IF($C93&lt;1,"",(AVERAGEIFS('09월 화학성분'!AN$12:AN$949,'09월 화학성분'!$A$12:$A$949,$A93,'09월 화학성분'!$D$12:$D$949,$B93)))</f>
        <v/>
      </c>
      <c r="AT93" s="830" t="str">
        <f>IF($C93&lt;1,"",(AVERAGEIFS('09월 화학성분'!AO$12:AO$949,'09월 화학성분'!$A$12:$A$949,$A93,'09월 화학성분'!$D$12:$D$949,$B93)))</f>
        <v/>
      </c>
      <c r="AU93" s="831" t="str">
        <f>IF($C93&lt;1,"",(AVERAGEIFS('09월 화학성분'!AP$12:AP$949,'09월 화학성분'!$A$12:$A$949,$A93,'09월 화학성분'!$D$12:$D$949,$B93)))</f>
        <v/>
      </c>
      <c r="AV93" s="832" t="str">
        <f>IF($C93&lt;1,"",(AVERAGEIFS('09월 고철장입'!G$14:G$949,'09월 고철장입'!$A$14:$A$949,$A93,'09월 고철장입'!$C$14:$C$949,$B93))/1000)</f>
        <v/>
      </c>
      <c r="AW93" s="832" t="str">
        <f>IF($C93&lt;1,"",(AVERAGEIFS('09월 고철장입'!H$14:H$949,'09월 고철장입'!$A$14:$A$949,$A93,'09월 고철장입'!$C$14:$C$949,$B93))/1000)</f>
        <v/>
      </c>
      <c r="AX93" s="832" t="str">
        <f>IF($C93&lt;1,"",(AVERAGEIFS('09월 고철장입'!I$14:I$949,'09월 고철장입'!$A$14:$A$949,$A93,'09월 고철장입'!$C$14:$C$949,$B93))/1000)</f>
        <v/>
      </c>
      <c r="AY93" s="832" t="str">
        <f>IF($C93&lt;1,"",(AVERAGEIFS('09월 고철장입'!J$14:J$949,'09월 고철장입'!$A$14:$A$949,$A93,'09월 고철장입'!$C$14:$C$949,$B93))/1000)</f>
        <v/>
      </c>
      <c r="AZ93" s="832" t="str">
        <f>IF($C93&lt;1,"",(AVERAGEIFS('09월 고철장입'!K$14:K$949,'09월 고철장입'!$A$14:$A$949,$A93,'09월 고철장입'!$C$14:$C$949,$B93))/1000)</f>
        <v/>
      </c>
      <c r="BA93" s="832" t="str">
        <f>IF($C93&lt;1,"",(AVERAGEIFS('09월 고철장입'!L$14:L$949,'09월 고철장입'!$A$14:$A$949,$A93,'09월 고철장입'!$C$14:$C$949,$B93))/1000)</f>
        <v/>
      </c>
      <c r="BB93" s="832" t="str">
        <f>IF($C93&lt;1,"",(AVERAGEIFS('09월 고철장입'!M$14:M$949,'09월 고철장입'!$A$14:$A$949,$A93,'09월 고철장입'!$C$14:$C$949,$B93))/1000)</f>
        <v/>
      </c>
      <c r="BC93" s="832" t="str">
        <f>IF($C93&lt;1,"",(AVERAGEIFS('09월 고철장입'!N$14:N$949,'09월 고철장입'!$A$14:$A$949,$A93,'09월 고철장입'!$C$14:$C$949,$B93))/1000)</f>
        <v/>
      </c>
      <c r="BD93" s="832" t="str">
        <f>IF($C93&lt;1,"",(AVERAGEIFS('09월 고철장입'!O$14:O$949,'09월 고철장입'!$A$14:$A$949,$A93,'09월 고철장입'!$C$14:$C$949,$B93))/1000)</f>
        <v/>
      </c>
      <c r="BE93" s="833" t="str">
        <f>IF($C93&lt;1,"",(AVERAGEIFS('09월 고철장입'!P$14:P$949,'09월 고철장입'!$A$14:$A$949,$A93,'09월 고철장입'!$C$14:$C$949,$B93))/1000)</f>
        <v/>
      </c>
      <c r="BF93" s="833" t="str">
        <f>IF($C93&lt;1,"",(AVERAGEIFS('09월 고철장입'!Q$14:Q$949,'09월 고철장입'!$A$14:$A$949,$A93,'09월 고철장입'!$C$14:$C$949,$B93))/1000)</f>
        <v/>
      </c>
      <c r="BG93" s="833" t="str">
        <f>IF($C93&lt;1,"",(AVERAGEIFS('09월 고철장입'!S$14:S$949,'09월 고철장입'!$A$14:$A$949,$A93,'09월 고철장입'!$C$14:$C$949,$B93))/1000)</f>
        <v/>
      </c>
      <c r="BH93" s="833" t="str">
        <f>IF($C93&lt;1,"",(AVERAGEIFS('09월 고철장입'!T$14:T$949,'09월 고철장입'!$A$14:$A$949,$A93,'09월 고철장입'!$C$14:$C$949,$B93))/1000)</f>
        <v/>
      </c>
      <c r="BI93" s="833" t="str">
        <f>IF($C93&lt;1,"",(AVERAGEIFS('09월 고철장입'!U$14:U$949,'09월 고철장입'!$A$14:$A$949,$A93,'09월 고철장입'!$C$14:$C$949,$B93))/1000)</f>
        <v/>
      </c>
      <c r="BJ93" s="833" t="str">
        <f>IF($C93&lt;1,"",(AVERAGEIFS('09월 고철장입'!V$14:V$949,'09월 고철장입'!$A$14:$A$949,$A93,'09월 고철장입'!$C$14:$C$949,$B93))/1000)</f>
        <v/>
      </c>
      <c r="BK93" s="833" t="str">
        <f>IF($C93&lt;1,"",(AVERAGEIFS('09월 고철장입'!W$14:W$949,'09월 고철장입'!$A$14:$A$949,$A93,'09월 고철장입'!$C$14:$C$949,$B93))/1000)</f>
        <v/>
      </c>
      <c r="BL93" s="833" t="str">
        <f>IF($C93&lt;1,"",(AVERAGEIFS('09월 고철장입'!Y$14:Y$949,'09월 고철장입'!$A$14:$A$949,$A93,'09월 고철장입'!$C$14:$C$949,$B93))/1000)</f>
        <v/>
      </c>
      <c r="BM93" s="833" t="str">
        <f>IF($C93&lt;1,"",(AVERAGEIFS('09월 고철장입'!AB$14:AB$949,'09월 고철장입'!$A$14:$A$949,$A93,'09월 고철장입'!$C$14:$C$949,$B93))/1000)</f>
        <v/>
      </c>
      <c r="BN93" s="833" t="str">
        <f>IF($C93&lt;1,"",(AVERAGEIFS('09월 고철장입'!AC$14:AC$949,'09월 고철장입'!$A$14:$A$949,$A93,'09월 고철장입'!$C$14:$C$949,$B93))/1000)</f>
        <v/>
      </c>
      <c r="BO93" s="833" t="str">
        <f>IF($C93&lt;1,"",(AVERAGEIFS('09월 고철장입'!AD$14:AD$949,'09월 고철장입'!$A$14:$A$949,$A93,'09월 고철장입'!$C$14:$C$949,$B93))/1000)</f>
        <v/>
      </c>
      <c r="BP93" s="833" t="str">
        <f>IF($C93&lt;1,"",(AVERAGEIFS('09월 고철장입'!AE$14:AE$949,'09월 고철장입'!$A$14:$A$949,$A93,'09월 고철장입'!$C$14:$C$949,$B93))/1000)</f>
        <v/>
      </c>
      <c r="BQ93" s="832" t="str">
        <f>IF($C93&lt;1,"",(AVERAGEIFS('09월 고철장입'!AF$14:AF$949,'09월 고철장입'!$A$14:$A$949,$A93,'09월 고철장입'!$C$14:$C$949,$B93))/1000)</f>
        <v/>
      </c>
      <c r="BR93" s="832" t="str">
        <f>IF($C93&lt;1,"",(AVERAGEIFS('09월 고철장입'!AG$14:AG$949,'09월 고철장입'!$A$14:$A$949,$A93,'09월 고철장입'!$C$14:$C$949,$B93))/1000)</f>
        <v/>
      </c>
      <c r="BS93" s="832" t="str">
        <f>IF($C93&lt;1,"",(AVERAGEIFS('09월 고철장입'!AH$14:AH$949,'09월 고철장입'!$A$14:$A$949,$A93,'09월 고철장입'!$C$14:$C$949,$B93))/1000)</f>
        <v/>
      </c>
      <c r="BT93" s="832" t="str">
        <f>IF($C93&lt;1,"",(AVERAGEIFS('09월 고철장입'!AI$14:AI$949,'09월 고철장입'!$A$14:$A$949,$A93,'09월 고철장입'!$C$14:$C$949,$B93))/1000)</f>
        <v/>
      </c>
      <c r="BU93" s="834" t="str">
        <f>IF($C93&lt;1,"",(AVERAGEIFS('09월 고철장입'!AJ$14:AJ$949,'09월 고철장입'!$A$14:$A$949,$A93,'09월 고철장입'!$C$14:$C$949,$B93))/1000)</f>
        <v/>
      </c>
      <c r="BV93" s="834" t="str">
        <f>IF($C93&lt;1,"",(AVERAGEIFS('09월 고철장입'!AK$14:AK$949,'09월 고철장입'!$A$14:$A$949,$A93,'09월 고철장입'!$C$14:$C$949,$B93)))</f>
        <v/>
      </c>
      <c r="BW93" s="834" t="str">
        <f>IF($C93&lt;1,"",(AVERAGEIFS('09월 고철장입'!AL$14:AL$949,'09월 고철장입'!$A$14:$A$949,$A93,'09월 고철장입'!$C$14:$C$949,$B93))*100)</f>
        <v/>
      </c>
      <c r="BX93" s="831" t="str">
        <f>IF($C93&lt;1,"",(AVERAGEIFS('09월 에너지'!G$14:G$949,'09월 에너지'!$A$14:$A$949,$A93,'09월 에너지'!$C$14:$C$949,$B93)))</f>
        <v/>
      </c>
      <c r="BY93" s="835" t="str">
        <f>IF($C93&lt;1,"",(AVERAGEIFS('09월 에너지'!H$14:H$949,'09월 에너지'!$A$14:$A$949,$A93,'09월 에너지'!$C$14:$C$949,$B93)))</f>
        <v/>
      </c>
      <c r="BZ93" s="831" t="str">
        <f>IF($C93&lt;1,"",(AVERAGEIFS('09월 에너지'!I$14:I$949,'09월 에너지'!$A$14:$A$949,$A93,'09월 에너지'!$C$14:$C$949,$B93)))</f>
        <v/>
      </c>
      <c r="CA93" s="835" t="str">
        <f>IF($C93&lt;1,"",(AVERAGEIFS('09월 에너지'!J$14:J$949,'09월 에너지'!$A$14:$A$949,$A93,'09월 에너지'!$C$14:$C$949,$B93)))</f>
        <v/>
      </c>
      <c r="CB93" s="831" t="str">
        <f>IF($C93&lt;1,"",(AVERAGEIFS('09월 에너지'!K$14:K$949,'09월 에너지'!$A$14:$A$949,$A93,'09월 에너지'!$C$14:$C$949,$B93)))</f>
        <v/>
      </c>
      <c r="CC93" s="835" t="str">
        <f>IF($C93&lt;1,"",(AVERAGEIFS('09월 에너지'!L$14:L$949,'09월 에너지'!$A$14:$A$949,$A93,'09월 에너지'!$C$14:$C$949,$B93)))</f>
        <v/>
      </c>
      <c r="CD93" s="831" t="str">
        <f>IF($C93&lt;1,"",(AVERAGEIFS('09월 에너지'!M$14:M$949,'09월 에너지'!$A$14:$A$949,$A93,'09월 에너지'!$C$14:$C$949,$B93)))</f>
        <v/>
      </c>
      <c r="CE93" s="835" t="str">
        <f>IF($C93&lt;1,"",(AVERAGEIFS('09월 에너지'!N$14:N$949,'09월 에너지'!$A$14:$A$949,$A93,'09월 에너지'!$C$14:$C$949,$B93)))</f>
        <v/>
      </c>
      <c r="CF93" s="831" t="str">
        <f>IF($C93&lt;1,"",(AVERAGEIFS('09월 에너지'!O$14:O$949,'09월 에너지'!$A$14:$A$949,$A93,'09월 에너지'!$C$14:$C$949,$B93)))</f>
        <v/>
      </c>
      <c r="CG93" s="831" t="str">
        <f>IF($C93&lt;1,"",(AVERAGEIFS('09월 에너지'!P$14:P$949,'09월 에너지'!$A$14:$A$949,$A93,'09월 에너지'!$C$14:$C$949,$B93)))</f>
        <v/>
      </c>
      <c r="CH93" s="831" t="str">
        <f>IF($C93&lt;1,"",(AVERAGEIFS('09월 에너지'!Q$14:Q$949,'09월 에너지'!$A$14:$A$949,$A93,'09월 에너지'!$C$14:$C$949,$B93)))</f>
        <v/>
      </c>
      <c r="CI93" s="831" t="str">
        <f>IF($C93&lt;1,"",(AVERAGEIFS('09월 에너지'!R$14:R$949,'09월 에너지'!$A$14:$A$949,$A93,'09월 에너지'!$C$14:$C$949,$B93)))</f>
        <v/>
      </c>
      <c r="CJ93" s="831" t="str">
        <f>IF($C93&lt;1,"",(AVERAGEIFS('09월 에너지'!S$14:S$949,'09월 에너지'!$A$14:$A$949,$A93,'09월 에너지'!$C$14:$C$949,$B93)))</f>
        <v/>
      </c>
      <c r="CK93" s="831" t="str">
        <f>IF($C93&lt;1,"",(AVERAGEIFS('09월 에너지'!T$14:T$949,'09월 에너지'!$A$14:$A$949,$A93,'09월 에너지'!$C$14:$C$949,$B93)))</f>
        <v/>
      </c>
      <c r="CL93" s="831" t="str">
        <f>IF($C93&lt;1,"",(AVERAGEIFS('09월 에너지'!U$14:U$949,'09월 에너지'!$A$14:$A$949,$A93,'09월 에너지'!$C$14:$C$949,$B93)))</f>
        <v/>
      </c>
      <c r="CM93" s="835" t="str">
        <f>IF($C93&lt;1,"",(AVERAGEIFS('09월 에너지'!V$14:V$949,'09월 에너지'!$A$14:$A$949,$A93,'09월 에너지'!$C$14:$C$949,$B93)))</f>
        <v/>
      </c>
      <c r="CN93" s="835" t="str">
        <f>IF($C93&lt;1,"",(AVERAGEIFS('09월 에너지'!W$14:W$949,'09월 에너지'!$A$14:$A$949,$A93,'09월 에너지'!$C$14:$C$949,$B93)))</f>
        <v/>
      </c>
      <c r="CO93" s="831" t="str">
        <f>IF($C93&lt;1,"",(AVERAGEIFS('09월 에너지'!X$14:X$949,'09월 에너지'!$A$14:$A$949,$A93,'09월 에너지'!$C$14:$C$949,$B93)))</f>
        <v/>
      </c>
      <c r="CP93" s="835" t="str">
        <f>IF($C93&lt;1,"",(AVERAGEIFS('09월 에너지'!Y$14:Y$949,'09월 에너지'!$A$14:$A$949,$A93,'09월 에너지'!$C$14:$C$949,$B93)))</f>
        <v/>
      </c>
      <c r="CQ93" s="835" t="str">
        <f>IF($C93&lt;1,"",(AVERAGEIFS('09월 에너지'!Z$14:Z$949,'09월 에너지'!$A$14:$A$949,$A93,'09월 에너지'!$C$14:$C$949,$B93)))</f>
        <v/>
      </c>
      <c r="CR93" s="835" t="str">
        <f>IF($C93&lt;1,"",(AVERAGEIFS('09월 에너지'!AA$14:AA$949,'09월 에너지'!$A$14:$A$949,$A93,'09월 에너지'!$C$14:$C$949,$B93)))</f>
        <v/>
      </c>
      <c r="CS93" s="835" t="str">
        <f>IF($C93&lt;1,"",(AVERAGEIFS('09월 에너지'!AB$14:AB$949,'09월 에너지'!$A$14:$A$949,$A93,'09월 에너지'!$C$14:$C$949,$B93)))</f>
        <v/>
      </c>
      <c r="CT93" s="831" t="str">
        <f>IF($C93&lt;1,"",(AVERAGEIFS('09월 에너지'!AC$14:AC$949,'09월 에너지'!$A$14:$A$949,$A93,'09월 에너지'!$C$14:$C$949,$B93)))</f>
        <v/>
      </c>
      <c r="CU93" s="836" t="str">
        <f>IF($C93&lt;1,"",(AVERAGEIFS('09월 에너지'!AD$14:AD$949,'09월 에너지'!$A$14:$A$949,$A93,'09월 에너지'!$C$14:$C$949,$B93)))</f>
        <v/>
      </c>
      <c r="CV93" s="837" t="str">
        <f>IF($C93&lt;1,"",(AVERAGEIFS('09월 에너지'!AE$14:AE$949,'09월 에너지'!$A$14:$A$949,$A93,'09월 에너지'!$C$14:$C$949,$B93)))</f>
        <v/>
      </c>
      <c r="CW93" s="831" t="str">
        <f>IF($C93&lt;1,"",(AVERAGEIFS('09월 에너지'!AF$14:AF$949,'09월 에너지'!$A$14:$A$949,$A93,'09월 에너지'!$C$14:$C$949,$B93)))</f>
        <v/>
      </c>
      <c r="CX93" s="831" t="str">
        <f>IF($C93&lt;1,"",(AVERAGEIFS('09월 에너지'!AG$14:AG$949,'09월 에너지'!$A$14:$A$949,$A93,'09월 에너지'!$C$14:$C$949,$B93)))</f>
        <v/>
      </c>
      <c r="CY93" s="831" t="str">
        <f>IF($C93&lt;1,"",(AVERAGEIFS('09월 에너지'!AH$14:AH$949,'09월 에너지'!$A$14:$A$949,$A93,'09월 에너지'!$C$14:$C$949,$B93)))</f>
        <v/>
      </c>
      <c r="CZ93" s="831" t="str">
        <f>IF($C93&lt;1,"",(AVERAGEIFS('09월 에너지'!AI$14:AI$949,'09월 에너지'!$A$14:$A$949,$A93,'09월 에너지'!$C$14:$C$949,$B93)))</f>
        <v/>
      </c>
      <c r="DA93" s="838" t="str">
        <f>IF($C93&lt;1,"",(AVERAGEIFS('09월 에너지'!AJ$14:AJ$949,'09월 에너지'!$A$14:$A$949,$A93,'09월 에너지'!$C$14:$C$949,$B93)))</f>
        <v/>
      </c>
    </row>
    <row r="94" spans="1:105" ht="13.5" customHeight="1">
      <c r="A94" s="849">
        <f t="shared" si="20"/>
        <v>44944</v>
      </c>
      <c r="B94" s="850" t="s">
        <v>10</v>
      </c>
      <c r="C94" s="823">
        <f>COUNTIFS('09월 조업일지'!$A$12:$A$952,A91,'09월 조업일지'!$E$12:$E$952,B94)</f>
        <v>0</v>
      </c>
      <c r="D94" s="824" t="str">
        <f t="shared" si="21"/>
        <v/>
      </c>
      <c r="E94" s="824" t="str">
        <f>IF($C94&lt;1,"",(SUMIFS('09월 조업일지'!$K$12:$K$952,'09월 조업일지'!$A$12:$A$952,$A94,'09월 조업일지'!$E$12:$E$952,$B94)/$C94))</f>
        <v/>
      </c>
      <c r="F94" s="824" t="str">
        <f>IF($C94&lt;1,"",(AVERAGEIFS('09월 조업일지'!$J$12:$J$952,'09월 조업일지'!$A$12:$A$952,$A94,'09월 조업일지'!$E$12:$E$952,$B94)))</f>
        <v/>
      </c>
      <c r="G94" s="825" t="str">
        <f>IF($C94&lt;1,"",(AVERAGEIFS('09월 에너지'!$M$14:$M$949,'09월 에너지'!$A$14:$A$949,$A94,'09월 에너지'!$C$14:$C$949,$B94)))</f>
        <v/>
      </c>
      <c r="H94" s="826" t="str">
        <f>IF($C94&lt;1,"",(AVERAGEIFS('09월 조업일지'!$AJ$12:$AJ$952,'09월 조업일지'!$A$12:$A$952,$A94,'09월 조업일지'!$E$12:$E$952,$B94)))</f>
        <v/>
      </c>
      <c r="I94" s="826" t="str">
        <f>IF($C94&lt;1,"",(AVERAGEIFS('09월 조업일지'!$AL$12:$AL$952,'09월 조업일지'!$A$12:$A$952,$A94,'09월 조업일지'!$E$12:$E$952,$B94)))</f>
        <v/>
      </c>
      <c r="J94" s="827" t="str">
        <f>IF($C94&lt;1,"",(AVERAGEIFS('09월 화학성분'!G$12:G$949,'09월 화학성분'!$A$12:$A$949,$A94,'09월 화학성분'!$D$12:$D$949,$B94)))</f>
        <v/>
      </c>
      <c r="K94" s="827" t="str">
        <f>IF($C94&lt;1,"",(AVERAGEIFS('09월 화학성분'!H$12:H$949,'09월 화학성분'!$A$12:$A$949,$A94,'09월 화학성분'!$D$12:$D$949,$B94)))</f>
        <v/>
      </c>
      <c r="L94" s="827" t="str">
        <f>IF($C94&lt;1,"",(AVERAGEIFS('09월 화학성분'!I$12:I$949,'09월 화학성분'!$A$12:$A$949,$A94,'09월 화학성분'!$D$12:$D$949,$B94)))</f>
        <v/>
      </c>
      <c r="M94" s="827" t="str">
        <f>IF($C94&lt;1,"",(AVERAGEIFS('09월 화학성분'!J$12:J$949,'09월 화학성분'!$A$12:$A$949,$A94,'09월 화학성분'!$D$12:$D$949,$B94)))</f>
        <v/>
      </c>
      <c r="N94" s="827" t="str">
        <f>IF($C94&lt;1,"",(AVERAGEIFS('09월 화학성분'!K$12:K$949,'09월 화학성분'!$A$12:$A$949,$A94,'09월 화학성분'!$D$12:$D$949,$B94)))</f>
        <v/>
      </c>
      <c r="O94" s="827" t="str">
        <f>IF($C94&lt;1,"",(AVERAGEIFS('09월 화학성분'!L$12:L$949,'09월 화학성분'!$A$12:$A$949,$A94,'09월 화학성분'!$D$12:$D$949,$B94)))</f>
        <v/>
      </c>
      <c r="P94" s="827" t="str">
        <f>IF($C94&lt;1,"",(AVERAGEIFS('09월 화학성분'!M$12:M$949,'09월 화학성분'!$A$12:$A$949,$A94,'09월 화학성분'!$D$12:$D$949,$B94)))</f>
        <v/>
      </c>
      <c r="Q94" s="827" t="str">
        <f>IFERROR(IF($C94&lt;1,"",(AVERAGEIFS('09월 조업일지'!$AA$12:$AA$952,'09월 조업일지'!$A$12:$A$952,$A94,'09월 조업일지'!$E$12:$E$952,$B94))),"")</f>
        <v/>
      </c>
      <c r="R94" s="827" t="str">
        <f>IF($C94&lt;1,"",(AVERAGEIFS('09월 조업일지'!$AK$12:$AK$952,'09월 조업일지'!$A$12:$A$952,$A94,'09월 조업일지'!$E$12:$E$952,$B94)))</f>
        <v/>
      </c>
      <c r="S94" s="827"/>
      <c r="T94" s="827"/>
      <c r="U94" s="827" t="str">
        <f>IF($C94&lt;1,"",(AVERAGEIFS('09월 화학성분'!$G$12:$G$949,'09월 화학성분'!$A$12:$A$949,$A94,'09월 화학성분'!$D$12:$D$949,$B94)))</f>
        <v/>
      </c>
      <c r="V94" s="827" t="str">
        <f>IF($C94&lt;1,"",(AVERAGEIFS('09월 조업일지'!$AI$12:$AI$952,'09월 조업일지'!$A$12:$A$952,$A94,'09월 조업일지'!$E$12:$E$952,$B94)))</f>
        <v/>
      </c>
      <c r="W94" s="828" t="str">
        <f>IF($C94&lt;1,"",(AVERAGEIFS('09월 화학성분'!$AM$12:$AM$949,'09월 화학성분'!$A$12:$A$949,$A94,'09월 화학성분'!$D$12:$D$949,$B94)))</f>
        <v/>
      </c>
      <c r="X94" s="829" t="str">
        <f>IF($C94&lt;1,"",(AVERAGEIFS('09월 화학성분'!N$12:N$949,'09월 화학성분'!$A$12:$A$949,$A94,'09월 화학성분'!$D$12:$D$949,$B94)))</f>
        <v/>
      </c>
      <c r="Y94" s="829" t="str">
        <f>IF($C94&lt;1,"",(AVERAGEIFS('09월 화학성분'!O$12:O$949,'09월 화학성분'!$A$12:$A$949,$A94,'09월 화학성분'!$D$12:$D$949,$B94)))</f>
        <v/>
      </c>
      <c r="Z94" s="829" t="str">
        <f>IF($C94&lt;1,"",(AVERAGEIFS('09월 화학성분'!P$12:P$949,'09월 화학성분'!$A$12:$A$949,$A94,'09월 화학성분'!$D$12:$D$949,$B94)))</f>
        <v/>
      </c>
      <c r="AA94" s="829" t="str">
        <f>IF($C94&lt;1,"",(AVERAGEIFS('09월 화학성분'!Q$12:Q$949,'09월 화학성분'!$A$12:$A$949,$A94,'09월 화학성분'!$D$12:$D$949,$B94)))</f>
        <v/>
      </c>
      <c r="AB94" s="829" t="str">
        <f>IF($C94&lt;1,"",(AVERAGEIFS('09월 화학성분'!R$12:R$949,'09월 화학성분'!$A$12:$A$949,$A94,'09월 화학성분'!$D$12:$D$949,$B94)))</f>
        <v/>
      </c>
      <c r="AC94" s="829" t="str">
        <f>IF($C94&lt;1,"",(AVERAGEIFS('09월 화학성분'!U$12:U$949,'09월 화학성분'!$A$12:$A$949,$A94,'09월 화학성분'!$D$12:$D$949,$B94)))</f>
        <v/>
      </c>
      <c r="AD94" s="829" t="str">
        <f>IF($C94&lt;1,"",(AVERAGEIFS('09월 화학성분'!V$12:V$949,'09월 화학성분'!$A$12:$A$949,$A94,'09월 화학성분'!$D$12:$D$949,$B94)))</f>
        <v/>
      </c>
      <c r="AE94" s="829" t="str">
        <f>IF($C94&lt;1,"",(AVERAGEIFS('09월 화학성분'!W$12:W$949,'09월 화학성분'!$A$12:$A$949,$A94,'09월 화학성분'!$D$12:$D$949,$B94)))</f>
        <v/>
      </c>
      <c r="AF94" s="829" t="str">
        <f>IF($C94&lt;1,"",(AVERAGEIFS('09월 화학성분'!AA$12:AA$949,'09월 화학성분'!$A$12:$A$949,$A94,'09월 화학성분'!$D$12:$D$949,$B94)))</f>
        <v/>
      </c>
      <c r="AG94" s="829" t="str">
        <f>IF($C94&lt;1,"",(AVERAGEIFS('09월 화학성분'!#REF!,'09월 화학성분'!$A$12:$A$949,$A94,'09월 화학성분'!$D$12:$D$949,$B94)))</f>
        <v/>
      </c>
      <c r="AH94" s="829" t="str">
        <f>IF($C94&lt;1,"",(AVERAGEIFS('09월 화학성분'!AB$12:AB$949,'09월 화학성분'!$A$12:$A$949,$A94,'09월 화학성분'!$D$12:$D$949,$B94)))</f>
        <v/>
      </c>
      <c r="AI94" s="829" t="str">
        <f>IF($C94&lt;1,"",(AVERAGEIFS('09월 화학성분'!AC$12:AC$949,'09월 화학성분'!$A$12:$A$949,$A94,'09월 화학성분'!$D$12:$D$949,$B94)))</f>
        <v/>
      </c>
      <c r="AJ94" s="829" t="str">
        <f>IF($C94&lt;1,"",(AVERAGEIFS('09월 화학성분'!AD$12:AD$949,'09월 화학성분'!$A$12:$A$949,$A94,'09월 화학성분'!$D$12:$D$949,$B94)))</f>
        <v/>
      </c>
      <c r="AK94" s="829" t="str">
        <f>IF($C94&lt;1,"",(AVERAGEIFS('09월 화학성분'!AF$12:AF$949,'09월 화학성분'!$A$12:$A$949,$A94,'09월 화학성분'!$D$12:$D$949,$B94)))</f>
        <v/>
      </c>
      <c r="AL94" s="829" t="str">
        <f>IF($C94&lt;1,"",(AVERAGEIFS('09월 화학성분'!AG$12:AG$949,'09월 화학성분'!$A$12:$A$949,$A94,'09월 화학성분'!$D$12:$D$949,$B94)))</f>
        <v/>
      </c>
      <c r="AM94" s="829" t="str">
        <f>IF($C94&lt;1,"",(AVERAGEIFS('09월 화학성분'!AH$12:AH$949,'09월 화학성분'!$A$12:$A$949,$A94,'09월 화학성분'!$D$12:$D$949,$B94)))</f>
        <v/>
      </c>
      <c r="AN94" s="829" t="str">
        <f>IF($C94&lt;1,"",(AVERAGEIFS('09월 화학성분'!AI$12:AI$949,'09월 화학성분'!$A$12:$A$949,$A94,'09월 화학성분'!$D$12:$D$949,$B94)))</f>
        <v/>
      </c>
      <c r="AO94" s="829" t="str">
        <f>IF($C94&lt;1,"",(AVERAGEIFS('09월 화학성분'!AJ$12:AJ$949,'09월 화학성분'!$A$12:$A$949,$A94,'09월 화학성분'!$D$12:$D$949,$B94)))</f>
        <v/>
      </c>
      <c r="AP94" s="829" t="str">
        <f>IF($C94&lt;1,"",(AVERAGEIFS('09월 화학성분'!#REF!,'09월 화학성분'!$A$12:$A$949,$A94,'09월 화학성분'!$D$12:$D$949,$B94)))</f>
        <v/>
      </c>
      <c r="AQ94" s="829" t="str">
        <f>IF($C94&lt;1,"",(AVERAGEIFS('09월 화학성분'!AL$12:AL$949,'09월 화학성분'!$A$12:$A$949,$A94,'09월 화학성분'!$D$12:$D$949,$B94)))</f>
        <v/>
      </c>
      <c r="AR94" s="829" t="str">
        <f>IF($C94&lt;1,"",(AVERAGEIFS('09월 화학성분'!AM$12:AM$949,'09월 화학성분'!$A$12:$A$949,$A94,'09월 화학성분'!$D$12:$D$949,$B94)))</f>
        <v/>
      </c>
      <c r="AS94" s="830" t="str">
        <f>IF($C94&lt;1,"",(AVERAGEIFS('09월 화학성분'!AN$12:AN$949,'09월 화학성분'!$A$12:$A$949,$A94,'09월 화학성분'!$D$12:$D$949,$B94)))</f>
        <v/>
      </c>
      <c r="AT94" s="830" t="str">
        <f>IF($C94&lt;1,"",(AVERAGEIFS('09월 화학성분'!AO$12:AO$949,'09월 화학성분'!$A$12:$A$949,$A94,'09월 화학성분'!$D$12:$D$949,$B94)))</f>
        <v/>
      </c>
      <c r="AU94" s="831" t="str">
        <f>IF($C94&lt;1,"",(AVERAGEIFS('09월 화학성분'!AP$12:AP$949,'09월 화학성분'!$A$12:$A$949,$A94,'09월 화학성분'!$D$12:$D$949,$B94)))</f>
        <v/>
      </c>
      <c r="AV94" s="832" t="str">
        <f>IF($C94&lt;1,"",(AVERAGEIFS('09월 고철장입'!G$14:G$949,'09월 고철장입'!$A$14:$A$949,$A94,'09월 고철장입'!$C$14:$C$949,$B94))/1000)</f>
        <v/>
      </c>
      <c r="AW94" s="832" t="str">
        <f>IF($C94&lt;1,"",(AVERAGEIFS('09월 고철장입'!H$14:H$949,'09월 고철장입'!$A$14:$A$949,$A94,'09월 고철장입'!$C$14:$C$949,$B94))/1000)</f>
        <v/>
      </c>
      <c r="AX94" s="832" t="str">
        <f>IF($C94&lt;1,"",(AVERAGEIFS('09월 고철장입'!I$14:I$949,'09월 고철장입'!$A$14:$A$949,$A94,'09월 고철장입'!$C$14:$C$949,$B94))/1000)</f>
        <v/>
      </c>
      <c r="AY94" s="832" t="str">
        <f>IF($C94&lt;1,"",(AVERAGEIFS('09월 고철장입'!J$14:J$949,'09월 고철장입'!$A$14:$A$949,$A94,'09월 고철장입'!$C$14:$C$949,$B94))/1000)</f>
        <v/>
      </c>
      <c r="AZ94" s="832" t="str">
        <f>IF($C94&lt;1,"",(AVERAGEIFS('09월 고철장입'!K$14:K$949,'09월 고철장입'!$A$14:$A$949,$A94,'09월 고철장입'!$C$14:$C$949,$B94))/1000)</f>
        <v/>
      </c>
      <c r="BA94" s="832" t="str">
        <f>IF($C94&lt;1,"",(AVERAGEIFS('09월 고철장입'!L$14:L$949,'09월 고철장입'!$A$14:$A$949,$A94,'09월 고철장입'!$C$14:$C$949,$B94))/1000)</f>
        <v/>
      </c>
      <c r="BB94" s="832" t="str">
        <f>IF($C94&lt;1,"",(AVERAGEIFS('09월 고철장입'!M$14:M$949,'09월 고철장입'!$A$14:$A$949,$A94,'09월 고철장입'!$C$14:$C$949,$B94))/1000)</f>
        <v/>
      </c>
      <c r="BC94" s="832" t="str">
        <f>IF($C94&lt;1,"",(AVERAGEIFS('09월 고철장입'!N$14:N$949,'09월 고철장입'!$A$14:$A$949,$A94,'09월 고철장입'!$C$14:$C$949,$B94))/1000)</f>
        <v/>
      </c>
      <c r="BD94" s="832" t="str">
        <f>IF($C94&lt;1,"",(AVERAGEIFS('09월 고철장입'!O$14:O$949,'09월 고철장입'!$A$14:$A$949,$A94,'09월 고철장입'!$C$14:$C$949,$B94))/1000)</f>
        <v/>
      </c>
      <c r="BE94" s="833" t="str">
        <f>IF($C94&lt;1,"",(AVERAGEIFS('09월 고철장입'!P$14:P$949,'09월 고철장입'!$A$14:$A$949,$A94,'09월 고철장입'!$C$14:$C$949,$B94))/1000)</f>
        <v/>
      </c>
      <c r="BF94" s="833" t="str">
        <f>IF($C94&lt;1,"",(AVERAGEIFS('09월 고철장입'!Q$14:Q$949,'09월 고철장입'!$A$14:$A$949,$A94,'09월 고철장입'!$C$14:$C$949,$B94))/1000)</f>
        <v/>
      </c>
      <c r="BG94" s="833" t="str">
        <f>IF($C94&lt;1,"",(AVERAGEIFS('09월 고철장입'!S$14:S$949,'09월 고철장입'!$A$14:$A$949,$A94,'09월 고철장입'!$C$14:$C$949,$B94))/1000)</f>
        <v/>
      </c>
      <c r="BH94" s="833" t="str">
        <f>IF($C94&lt;1,"",(AVERAGEIFS('09월 고철장입'!T$14:T$949,'09월 고철장입'!$A$14:$A$949,$A94,'09월 고철장입'!$C$14:$C$949,$B94))/1000)</f>
        <v/>
      </c>
      <c r="BI94" s="833" t="str">
        <f>IF($C94&lt;1,"",(AVERAGEIFS('09월 고철장입'!U$14:U$949,'09월 고철장입'!$A$14:$A$949,$A94,'09월 고철장입'!$C$14:$C$949,$B94))/1000)</f>
        <v/>
      </c>
      <c r="BJ94" s="833" t="str">
        <f>IF($C94&lt;1,"",(AVERAGEIFS('09월 고철장입'!V$14:V$949,'09월 고철장입'!$A$14:$A$949,$A94,'09월 고철장입'!$C$14:$C$949,$B94))/1000)</f>
        <v/>
      </c>
      <c r="BK94" s="833" t="str">
        <f>IF($C94&lt;1,"",(AVERAGEIFS('09월 고철장입'!W$14:W$949,'09월 고철장입'!$A$14:$A$949,$A94,'09월 고철장입'!$C$14:$C$949,$B94))/1000)</f>
        <v/>
      </c>
      <c r="BL94" s="833" t="str">
        <f>IF($C94&lt;1,"",(AVERAGEIFS('09월 고철장입'!Y$14:Y$949,'09월 고철장입'!$A$14:$A$949,$A94,'09월 고철장입'!$C$14:$C$949,$B94))/1000)</f>
        <v/>
      </c>
      <c r="BM94" s="833" t="str">
        <f>IF($C94&lt;1,"",(AVERAGEIFS('09월 고철장입'!AB$14:AB$949,'09월 고철장입'!$A$14:$A$949,$A94,'09월 고철장입'!$C$14:$C$949,$B94))/1000)</f>
        <v/>
      </c>
      <c r="BN94" s="833" t="str">
        <f>IF($C94&lt;1,"",(AVERAGEIFS('09월 고철장입'!AC$14:AC$949,'09월 고철장입'!$A$14:$A$949,$A94,'09월 고철장입'!$C$14:$C$949,$B94))/1000)</f>
        <v/>
      </c>
      <c r="BO94" s="833" t="str">
        <f>IF($C94&lt;1,"",(AVERAGEIFS('09월 고철장입'!AD$14:AD$949,'09월 고철장입'!$A$14:$A$949,$A94,'09월 고철장입'!$C$14:$C$949,$B94))/1000)</f>
        <v/>
      </c>
      <c r="BP94" s="833" t="str">
        <f>IF($C94&lt;1,"",(AVERAGEIFS('09월 고철장입'!AE$14:AE$949,'09월 고철장입'!$A$14:$A$949,$A94,'09월 고철장입'!$C$14:$C$949,$B94))/1000)</f>
        <v/>
      </c>
      <c r="BQ94" s="832" t="str">
        <f>IF($C94&lt;1,"",(AVERAGEIFS('09월 고철장입'!AF$14:AF$949,'09월 고철장입'!$A$14:$A$949,$A94,'09월 고철장입'!$C$14:$C$949,$B94))/1000)</f>
        <v/>
      </c>
      <c r="BR94" s="832" t="str">
        <f>IF($C94&lt;1,"",(AVERAGEIFS('09월 고철장입'!AG$14:AG$949,'09월 고철장입'!$A$14:$A$949,$A94,'09월 고철장입'!$C$14:$C$949,$B94))/1000)</f>
        <v/>
      </c>
      <c r="BS94" s="832" t="str">
        <f>IF($C94&lt;1,"",(AVERAGEIFS('09월 고철장입'!AH$14:AH$949,'09월 고철장입'!$A$14:$A$949,$A94,'09월 고철장입'!$C$14:$C$949,$B94))/1000)</f>
        <v/>
      </c>
      <c r="BT94" s="832" t="str">
        <f>IF($C94&lt;1,"",(AVERAGEIFS('09월 고철장입'!AI$14:AI$949,'09월 고철장입'!$A$14:$A$949,$A94,'09월 고철장입'!$C$14:$C$949,$B94))/1000)</f>
        <v/>
      </c>
      <c r="BU94" s="834" t="str">
        <f>IF($C94&lt;1,"",(AVERAGEIFS('09월 고철장입'!AJ$14:AJ$949,'09월 고철장입'!$A$14:$A$949,$A94,'09월 고철장입'!$C$14:$C$949,$B94))/1000)</f>
        <v/>
      </c>
      <c r="BV94" s="834" t="str">
        <f>IF($C94&lt;1,"",(AVERAGEIFS('09월 고철장입'!AK$14:AK$949,'09월 고철장입'!$A$14:$A$949,$A94,'09월 고철장입'!$C$14:$C$949,$B94)))</f>
        <v/>
      </c>
      <c r="BW94" s="834" t="str">
        <f>IF($C94&lt;1,"",(AVERAGEIFS('09월 고철장입'!AL$14:AL$949,'09월 고철장입'!$A$14:$A$949,$A94,'09월 고철장입'!$C$14:$C$949,$B94))*100)</f>
        <v/>
      </c>
      <c r="BX94" s="831" t="str">
        <f>IF($C94&lt;1,"",(AVERAGEIFS('09월 에너지'!G$14:G$949,'09월 에너지'!$A$14:$A$949,$A94,'09월 에너지'!$C$14:$C$949,$B94)))</f>
        <v/>
      </c>
      <c r="BY94" s="835" t="str">
        <f>IF($C94&lt;1,"",(AVERAGEIFS('09월 에너지'!H$14:H$949,'09월 에너지'!$A$14:$A$949,$A94,'09월 에너지'!$C$14:$C$949,$B94)))</f>
        <v/>
      </c>
      <c r="BZ94" s="831" t="str">
        <f>IF($C94&lt;1,"",(AVERAGEIFS('09월 에너지'!I$14:I$949,'09월 에너지'!$A$14:$A$949,$A94,'09월 에너지'!$C$14:$C$949,$B94)))</f>
        <v/>
      </c>
      <c r="CA94" s="835" t="str">
        <f>IF($C94&lt;1,"",(AVERAGEIFS('09월 에너지'!J$14:J$949,'09월 에너지'!$A$14:$A$949,$A94,'09월 에너지'!$C$14:$C$949,$B94)))</f>
        <v/>
      </c>
      <c r="CB94" s="831" t="str">
        <f>IF($C94&lt;1,"",(AVERAGEIFS('09월 에너지'!K$14:K$949,'09월 에너지'!$A$14:$A$949,$A94,'09월 에너지'!$C$14:$C$949,$B94)))</f>
        <v/>
      </c>
      <c r="CC94" s="835" t="str">
        <f>IF($C94&lt;1,"",(AVERAGEIFS('09월 에너지'!L$14:L$949,'09월 에너지'!$A$14:$A$949,$A94,'09월 에너지'!$C$14:$C$949,$B94)))</f>
        <v/>
      </c>
      <c r="CD94" s="831" t="str">
        <f>IF($C94&lt;1,"",(AVERAGEIFS('09월 에너지'!M$14:M$949,'09월 에너지'!$A$14:$A$949,$A94,'09월 에너지'!$C$14:$C$949,$B94)))</f>
        <v/>
      </c>
      <c r="CE94" s="835" t="str">
        <f>IF($C94&lt;1,"",(AVERAGEIFS('09월 에너지'!N$14:N$949,'09월 에너지'!$A$14:$A$949,$A94,'09월 에너지'!$C$14:$C$949,$B94)))</f>
        <v/>
      </c>
      <c r="CF94" s="831" t="str">
        <f>IF($C94&lt;1,"",(AVERAGEIFS('09월 에너지'!O$14:O$949,'09월 에너지'!$A$14:$A$949,$A94,'09월 에너지'!$C$14:$C$949,$B94)))</f>
        <v/>
      </c>
      <c r="CG94" s="831" t="str">
        <f>IF($C94&lt;1,"",(AVERAGEIFS('09월 에너지'!P$14:P$949,'09월 에너지'!$A$14:$A$949,$A94,'09월 에너지'!$C$14:$C$949,$B94)))</f>
        <v/>
      </c>
      <c r="CH94" s="831" t="str">
        <f>IF($C94&lt;1,"",(AVERAGEIFS('09월 에너지'!Q$14:Q$949,'09월 에너지'!$A$14:$A$949,$A94,'09월 에너지'!$C$14:$C$949,$B94)))</f>
        <v/>
      </c>
      <c r="CI94" s="831" t="str">
        <f>IF($C94&lt;1,"",(AVERAGEIFS('09월 에너지'!R$14:R$949,'09월 에너지'!$A$14:$A$949,$A94,'09월 에너지'!$C$14:$C$949,$B94)))</f>
        <v/>
      </c>
      <c r="CJ94" s="831" t="str">
        <f>IF($C94&lt;1,"",(AVERAGEIFS('09월 에너지'!S$14:S$949,'09월 에너지'!$A$14:$A$949,$A94,'09월 에너지'!$C$14:$C$949,$B94)))</f>
        <v/>
      </c>
      <c r="CK94" s="831" t="str">
        <f>IF($C94&lt;1,"",(AVERAGEIFS('09월 에너지'!T$14:T$949,'09월 에너지'!$A$14:$A$949,$A94,'09월 에너지'!$C$14:$C$949,$B94)))</f>
        <v/>
      </c>
      <c r="CL94" s="831" t="str">
        <f>IF($C94&lt;1,"",(AVERAGEIFS('09월 에너지'!U$14:U$949,'09월 에너지'!$A$14:$A$949,$A94,'09월 에너지'!$C$14:$C$949,$B94)))</f>
        <v/>
      </c>
      <c r="CM94" s="835" t="str">
        <f>IF($C94&lt;1,"",(AVERAGEIFS('09월 에너지'!V$14:V$949,'09월 에너지'!$A$14:$A$949,$A94,'09월 에너지'!$C$14:$C$949,$B94)))</f>
        <v/>
      </c>
      <c r="CN94" s="835" t="str">
        <f>IF($C94&lt;1,"",(AVERAGEIFS('09월 에너지'!W$14:W$949,'09월 에너지'!$A$14:$A$949,$A94,'09월 에너지'!$C$14:$C$949,$B94)))</f>
        <v/>
      </c>
      <c r="CO94" s="831" t="str">
        <f>IF($C94&lt;1,"",(AVERAGEIFS('09월 에너지'!X$14:X$949,'09월 에너지'!$A$14:$A$949,$A94,'09월 에너지'!$C$14:$C$949,$B94)))</f>
        <v/>
      </c>
      <c r="CP94" s="835" t="str">
        <f>IF($C94&lt;1,"",(AVERAGEIFS('09월 에너지'!Y$14:Y$949,'09월 에너지'!$A$14:$A$949,$A94,'09월 에너지'!$C$14:$C$949,$B94)))</f>
        <v/>
      </c>
      <c r="CQ94" s="835" t="str">
        <f>IF($C94&lt;1,"",(AVERAGEIFS('09월 에너지'!Z$14:Z$949,'09월 에너지'!$A$14:$A$949,$A94,'09월 에너지'!$C$14:$C$949,$B94)))</f>
        <v/>
      </c>
      <c r="CR94" s="835" t="str">
        <f>IF($C94&lt;1,"",(AVERAGEIFS('09월 에너지'!AA$14:AA$949,'09월 에너지'!$A$14:$A$949,$A94,'09월 에너지'!$C$14:$C$949,$B94)))</f>
        <v/>
      </c>
      <c r="CS94" s="835" t="str">
        <f>IF($C94&lt;1,"",(AVERAGEIFS('09월 에너지'!AB$14:AB$949,'09월 에너지'!$A$14:$A$949,$A94,'09월 에너지'!$C$14:$C$949,$B94)))</f>
        <v/>
      </c>
      <c r="CT94" s="831" t="str">
        <f>IF($C94&lt;1,"",(AVERAGEIFS('09월 에너지'!AC$14:AC$949,'09월 에너지'!$A$14:$A$949,$A94,'09월 에너지'!$C$14:$C$949,$B94)))</f>
        <v/>
      </c>
      <c r="CU94" s="836" t="str">
        <f>IF($C94&lt;1,"",(AVERAGEIFS('09월 에너지'!AD$14:AD$949,'09월 에너지'!$A$14:$A$949,$A94,'09월 에너지'!$C$14:$C$949,$B94)))</f>
        <v/>
      </c>
      <c r="CV94" s="837" t="str">
        <f>IF($C94&lt;1,"",(AVERAGEIFS('09월 에너지'!AE$14:AE$949,'09월 에너지'!$A$14:$A$949,$A94,'09월 에너지'!$C$14:$C$949,$B94)))</f>
        <v/>
      </c>
      <c r="CW94" s="831" t="str">
        <f>IF($C94&lt;1,"",(AVERAGEIFS('09월 에너지'!AF$14:AF$949,'09월 에너지'!$A$14:$A$949,$A94,'09월 에너지'!$C$14:$C$949,$B94)))</f>
        <v/>
      </c>
      <c r="CX94" s="831" t="str">
        <f>IF($C94&lt;1,"",(AVERAGEIFS('09월 에너지'!AG$14:AG$949,'09월 에너지'!$A$14:$A$949,$A94,'09월 에너지'!$C$14:$C$949,$B94)))</f>
        <v/>
      </c>
      <c r="CY94" s="831" t="str">
        <f>IF($C94&lt;1,"",(AVERAGEIFS('09월 에너지'!AH$14:AH$949,'09월 에너지'!$A$14:$A$949,$A94,'09월 에너지'!$C$14:$C$949,$B94)))</f>
        <v/>
      </c>
      <c r="CZ94" s="831" t="str">
        <f>IF($C94&lt;1,"",(AVERAGEIFS('09월 에너지'!AI$14:AI$949,'09월 에너지'!$A$14:$A$949,$A94,'09월 에너지'!$C$14:$C$949,$B94)))</f>
        <v/>
      </c>
      <c r="DA94" s="838" t="str">
        <f>IF($C94&lt;1,"",(AVERAGEIFS('09월 에너지'!AJ$14:AJ$949,'09월 에너지'!$A$14:$A$949,$A94,'09월 에너지'!$C$14:$C$949,$B94)))</f>
        <v/>
      </c>
    </row>
    <row r="95" spans="1:105" ht="13.5" customHeight="1" thickBot="1">
      <c r="A95" s="851">
        <f t="shared" si="20"/>
        <v>44944</v>
      </c>
      <c r="B95" s="852" t="s">
        <v>94</v>
      </c>
      <c r="C95" s="841">
        <f>COUNTIFS('09월 조업일지'!$A$12:$A$952,A91,'09월 조업일지'!$E$12:$E$952,B95)</f>
        <v>0</v>
      </c>
      <c r="D95" s="842" t="str">
        <f t="shared" si="21"/>
        <v/>
      </c>
      <c r="E95" s="842" t="str">
        <f>IF($C95&lt;1,"",(SUMIFS('09월 조업일지'!$K$12:$K$952,'09월 조업일지'!$A$12:$A$952,$A95,'09월 조업일지'!$E$12:$E$952,$B95)/$C95))</f>
        <v/>
      </c>
      <c r="F95" s="842" t="str">
        <f>IF($C95&lt;1,"",(AVERAGEIFS('09월 조업일지'!$J$12:$J$952,'09월 조업일지'!$A$12:$A$952,$A95,'09월 조업일지'!$E$12:$E$952,$B95)))</f>
        <v/>
      </c>
      <c r="G95" s="843" t="str">
        <f>IF($C95&lt;1,"",(AVERAGEIFS('09월 에너지'!$M$14:$M$949,'09월 에너지'!$A$14:$A$949,$A95,'09월 에너지'!$C$14:$C$949,$B95)))</f>
        <v/>
      </c>
      <c r="H95" s="844" t="str">
        <f>IF($C95&lt;1,"",(AVERAGEIFS('09월 조업일지'!$AJ$12:$AJ$952,'09월 조업일지'!$A$12:$A$952,$A95,'09월 조업일지'!$E$12:$E$952,$B95)))</f>
        <v/>
      </c>
      <c r="I95" s="844" t="str">
        <f>IF($C95&lt;1,"",(AVERAGEIFS('09월 조업일지'!$AL$12:$AL$952,'09월 조업일지'!$A$12:$A$952,$A95,'09월 조업일지'!$E$12:$E$952,$B95)))</f>
        <v/>
      </c>
      <c r="J95" s="845" t="str">
        <f>IF($C95&lt;1,"",(AVERAGEIFS('09월 화학성분'!G$12:G$949,'09월 화학성분'!$A$12:$A$949,$A95,'09월 화학성분'!$D$12:$D$949,$B95)))</f>
        <v/>
      </c>
      <c r="K95" s="845" t="str">
        <f>IF($C95&lt;1,"",(AVERAGEIFS('09월 화학성분'!H$12:H$949,'09월 화학성분'!$A$12:$A$949,$A95,'09월 화학성분'!$D$12:$D$949,$B95)))</f>
        <v/>
      </c>
      <c r="L95" s="845" t="str">
        <f>IF($C95&lt;1,"",(AVERAGEIFS('09월 화학성분'!I$12:I$949,'09월 화학성분'!$A$12:$A$949,$A95,'09월 화학성분'!$D$12:$D$949,$B95)))</f>
        <v/>
      </c>
      <c r="M95" s="845" t="str">
        <f>IF($C95&lt;1,"",(AVERAGEIFS('09월 화학성분'!J$12:J$949,'09월 화학성분'!$A$12:$A$949,$A95,'09월 화학성분'!$D$12:$D$949,$B95)))</f>
        <v/>
      </c>
      <c r="N95" s="845" t="str">
        <f>IF($C95&lt;1,"",(AVERAGEIFS('09월 화학성분'!K$12:K$949,'09월 화학성분'!$A$12:$A$949,$A95,'09월 화학성분'!$D$12:$D$949,$B95)))</f>
        <v/>
      </c>
      <c r="O95" s="845" t="str">
        <f>IF($C95&lt;1,"",(AVERAGEIFS('09월 화학성분'!L$12:L$949,'09월 화학성분'!$A$12:$A$949,$A95,'09월 화학성분'!$D$12:$D$949,$B95)))</f>
        <v/>
      </c>
      <c r="P95" s="845" t="str">
        <f>IF($C95&lt;1,"",(AVERAGEIFS('09월 화학성분'!M$12:M$949,'09월 화학성분'!$A$12:$A$949,$A95,'09월 화학성분'!$D$12:$D$949,$B95)))</f>
        <v/>
      </c>
      <c r="Q95" s="827" t="str">
        <f>IFERROR(IF($C95&lt;1,"",(AVERAGEIFS('09월 조업일지'!$AA$12:$AA$952,'09월 조업일지'!$A$12:$A$952,$A95,'09월 조업일지'!$E$12:$E$952,$B95))),"")</f>
        <v/>
      </c>
      <c r="R95" s="845" t="str">
        <f>IF($C95&lt;1,"",(AVERAGEIFS('09월 조업일지'!$AK$12:$AK$952,'09월 조업일지'!$A$12:$A$952,$A95,'09월 조업일지'!$E$12:$E$952,$B95)))</f>
        <v/>
      </c>
      <c r="S95" s="845"/>
      <c r="T95" s="845"/>
      <c r="U95" s="845" t="str">
        <f>IF($C95&lt;1,"",(AVERAGEIFS('09월 화학성분'!$G$12:$G$949,'09월 화학성분'!$A$12:$A$949,$A95,'09월 화학성분'!$D$12:$D$949,$B95)))</f>
        <v/>
      </c>
      <c r="V95" s="845" t="str">
        <f>IF($C95&lt;1,"",(AVERAGEIFS('09월 조업일지'!$AI$12:$AI$952,'09월 조업일지'!$A$12:$A$952,$A95,'09월 조업일지'!$E$12:$E$952,$B95)))</f>
        <v/>
      </c>
      <c r="W95" s="846" t="str">
        <f>IF($C95&lt;1,"",(AVERAGEIFS('09월 화학성분'!$AM$12:$AM$949,'09월 화학성분'!$A$12:$A$949,$A95,'09월 화학성분'!$D$12:$D$949,$B95)))</f>
        <v/>
      </c>
      <c r="X95" s="829" t="str">
        <f>IF($C95&lt;1,"",(AVERAGEIFS('09월 화학성분'!N$12:N$949,'09월 화학성분'!$A$12:$A$949,$A95,'09월 화학성분'!$D$12:$D$949,$B95)))</f>
        <v/>
      </c>
      <c r="Y95" s="829" t="str">
        <f>IF($C95&lt;1,"",(AVERAGEIFS('09월 화학성분'!O$12:O$949,'09월 화학성분'!$A$12:$A$949,$A95,'09월 화학성분'!$D$12:$D$949,$B95)))</f>
        <v/>
      </c>
      <c r="Z95" s="829" t="str">
        <f>IF($C95&lt;1,"",(AVERAGEIFS('09월 화학성분'!P$12:P$949,'09월 화학성분'!$A$12:$A$949,$A95,'09월 화학성분'!$D$12:$D$949,$B95)))</f>
        <v/>
      </c>
      <c r="AA95" s="829" t="str">
        <f>IF($C95&lt;1,"",(AVERAGEIFS('09월 화학성분'!Q$12:Q$949,'09월 화학성분'!$A$12:$A$949,$A95,'09월 화학성분'!$D$12:$D$949,$B95)))</f>
        <v/>
      </c>
      <c r="AB95" s="829" t="str">
        <f>IF($C95&lt;1,"",(AVERAGEIFS('09월 화학성분'!R$12:R$949,'09월 화학성분'!$A$12:$A$949,$A95,'09월 화학성분'!$D$12:$D$949,$B95)))</f>
        <v/>
      </c>
      <c r="AC95" s="829" t="str">
        <f>IF($C95&lt;1,"",(AVERAGEIFS('09월 화학성분'!U$12:U$949,'09월 화학성분'!$A$12:$A$949,$A95,'09월 화학성분'!$D$12:$D$949,$B95)))</f>
        <v/>
      </c>
      <c r="AD95" s="829" t="str">
        <f>IF($C95&lt;1,"",(AVERAGEIFS('09월 화학성분'!V$12:V$949,'09월 화학성분'!$A$12:$A$949,$A95,'09월 화학성분'!$D$12:$D$949,$B95)))</f>
        <v/>
      </c>
      <c r="AE95" s="829" t="str">
        <f>IF($C95&lt;1,"",(AVERAGEIFS('09월 화학성분'!W$12:W$949,'09월 화학성분'!$A$12:$A$949,$A95,'09월 화학성분'!$D$12:$D$949,$B95)))</f>
        <v/>
      </c>
      <c r="AF95" s="829" t="str">
        <f>IF($C95&lt;1,"",(AVERAGEIFS('09월 화학성분'!AA$12:AA$949,'09월 화학성분'!$A$12:$A$949,$A95,'09월 화학성분'!$D$12:$D$949,$B95)))</f>
        <v/>
      </c>
      <c r="AG95" s="829" t="str">
        <f>IF($C95&lt;1,"",(AVERAGEIFS('09월 화학성분'!#REF!,'09월 화학성분'!$A$12:$A$949,$A95,'09월 화학성분'!$D$12:$D$949,$B95)))</f>
        <v/>
      </c>
      <c r="AH95" s="829" t="str">
        <f>IF($C95&lt;1,"",(AVERAGEIFS('09월 화학성분'!AB$12:AB$949,'09월 화학성분'!$A$12:$A$949,$A95,'09월 화학성분'!$D$12:$D$949,$B95)))</f>
        <v/>
      </c>
      <c r="AI95" s="829" t="str">
        <f>IF($C95&lt;1,"",(AVERAGEIFS('09월 화학성분'!AC$12:AC$949,'09월 화학성분'!$A$12:$A$949,$A95,'09월 화학성분'!$D$12:$D$949,$B95)))</f>
        <v/>
      </c>
      <c r="AJ95" s="829" t="str">
        <f>IF($C95&lt;1,"",(AVERAGEIFS('09월 화학성분'!AD$12:AD$949,'09월 화학성분'!$A$12:$A$949,$A95,'09월 화학성분'!$D$12:$D$949,$B95)))</f>
        <v/>
      </c>
      <c r="AK95" s="829" t="str">
        <f>IF($C95&lt;1,"",(AVERAGEIFS('09월 화학성분'!AF$12:AF$949,'09월 화학성분'!$A$12:$A$949,$A95,'09월 화학성분'!$D$12:$D$949,$B95)))</f>
        <v/>
      </c>
      <c r="AL95" s="829" t="str">
        <f>IF($C95&lt;1,"",(AVERAGEIFS('09월 화학성분'!AG$12:AG$949,'09월 화학성분'!$A$12:$A$949,$A95,'09월 화학성분'!$D$12:$D$949,$B95)))</f>
        <v/>
      </c>
      <c r="AM95" s="829" t="str">
        <f>IF($C95&lt;1,"",(AVERAGEIFS('09월 화학성분'!AH$12:AH$949,'09월 화학성분'!$A$12:$A$949,$A95,'09월 화학성분'!$D$12:$D$949,$B95)))</f>
        <v/>
      </c>
      <c r="AN95" s="829" t="str">
        <f>IF($C95&lt;1,"",(AVERAGEIFS('09월 화학성분'!AI$12:AI$949,'09월 화학성분'!$A$12:$A$949,$A95,'09월 화학성분'!$D$12:$D$949,$B95)))</f>
        <v/>
      </c>
      <c r="AO95" s="829" t="str">
        <f>IF($C95&lt;1,"",(AVERAGEIFS('09월 화학성분'!AJ$12:AJ$949,'09월 화학성분'!$A$12:$A$949,$A95,'09월 화학성분'!$D$12:$D$949,$B95)))</f>
        <v/>
      </c>
      <c r="AP95" s="829" t="str">
        <f>IF($C95&lt;1,"",(AVERAGEIFS('09월 화학성분'!#REF!,'09월 화학성분'!$A$12:$A$949,$A95,'09월 화학성분'!$D$12:$D$949,$B95)))</f>
        <v/>
      </c>
      <c r="AQ95" s="829" t="str">
        <f>IF($C95&lt;1,"",(AVERAGEIFS('09월 화학성분'!AL$12:AL$949,'09월 화학성분'!$A$12:$A$949,$A95,'09월 화학성분'!$D$12:$D$949,$B95)))</f>
        <v/>
      </c>
      <c r="AR95" s="829" t="str">
        <f>IF($C95&lt;1,"",(AVERAGEIFS('09월 화학성분'!AM$12:AM$949,'09월 화학성분'!$A$12:$A$949,$A95,'09월 화학성분'!$D$12:$D$949,$B95)))</f>
        <v/>
      </c>
      <c r="AS95" s="830" t="str">
        <f>IF($C95&lt;1,"",(AVERAGEIFS('09월 화학성분'!AN$12:AN$949,'09월 화학성분'!$A$12:$A$949,$A95,'09월 화학성분'!$D$12:$D$949,$B95)))</f>
        <v/>
      </c>
      <c r="AT95" s="830" t="str">
        <f>IF($C95&lt;1,"",(AVERAGEIFS('09월 화학성분'!AO$12:AO$949,'09월 화학성분'!$A$12:$A$949,$A95,'09월 화학성분'!$D$12:$D$949,$B95)))</f>
        <v/>
      </c>
      <c r="AU95" s="831" t="str">
        <f>IF($C95&lt;1,"",(AVERAGEIFS('09월 화학성분'!AP$12:AP$949,'09월 화학성분'!$A$12:$A$949,$A95,'09월 화학성분'!$D$12:$D$949,$B95)))</f>
        <v/>
      </c>
      <c r="AV95" s="832" t="str">
        <f>IF($C95&lt;1,"",(AVERAGEIFS('09월 고철장입'!G$14:G$949,'09월 고철장입'!$A$14:$A$949,$A95,'09월 고철장입'!$C$14:$C$949,$B95))/1000)</f>
        <v/>
      </c>
      <c r="AW95" s="832" t="str">
        <f>IF($C95&lt;1,"",(AVERAGEIFS('09월 고철장입'!H$14:H$949,'09월 고철장입'!$A$14:$A$949,$A95,'09월 고철장입'!$C$14:$C$949,$B95))/1000)</f>
        <v/>
      </c>
      <c r="AX95" s="832" t="str">
        <f>IF($C95&lt;1,"",(AVERAGEIFS('09월 고철장입'!I$14:I$949,'09월 고철장입'!$A$14:$A$949,$A95,'09월 고철장입'!$C$14:$C$949,$B95))/1000)</f>
        <v/>
      </c>
      <c r="AY95" s="832" t="str">
        <f>IF($C95&lt;1,"",(AVERAGEIFS('09월 고철장입'!J$14:J$949,'09월 고철장입'!$A$14:$A$949,$A95,'09월 고철장입'!$C$14:$C$949,$B95))/1000)</f>
        <v/>
      </c>
      <c r="AZ95" s="832" t="str">
        <f>IF($C95&lt;1,"",(AVERAGEIFS('09월 고철장입'!K$14:K$949,'09월 고철장입'!$A$14:$A$949,$A95,'09월 고철장입'!$C$14:$C$949,$B95))/1000)</f>
        <v/>
      </c>
      <c r="BA95" s="832" t="str">
        <f>IF($C95&lt;1,"",(AVERAGEIFS('09월 고철장입'!L$14:L$949,'09월 고철장입'!$A$14:$A$949,$A95,'09월 고철장입'!$C$14:$C$949,$B95))/1000)</f>
        <v/>
      </c>
      <c r="BB95" s="832" t="str">
        <f>IF($C95&lt;1,"",(AVERAGEIFS('09월 고철장입'!M$14:M$949,'09월 고철장입'!$A$14:$A$949,$A95,'09월 고철장입'!$C$14:$C$949,$B95))/1000)</f>
        <v/>
      </c>
      <c r="BC95" s="832" t="str">
        <f>IF($C95&lt;1,"",(AVERAGEIFS('09월 고철장입'!N$14:N$949,'09월 고철장입'!$A$14:$A$949,$A95,'09월 고철장입'!$C$14:$C$949,$B95))/1000)</f>
        <v/>
      </c>
      <c r="BD95" s="832" t="str">
        <f>IF($C95&lt;1,"",(AVERAGEIFS('09월 고철장입'!O$14:O$949,'09월 고철장입'!$A$14:$A$949,$A95,'09월 고철장입'!$C$14:$C$949,$B95))/1000)</f>
        <v/>
      </c>
      <c r="BE95" s="833" t="str">
        <f>IF($C95&lt;1,"",(AVERAGEIFS('09월 고철장입'!P$14:P$949,'09월 고철장입'!$A$14:$A$949,$A95,'09월 고철장입'!$C$14:$C$949,$B95))/1000)</f>
        <v/>
      </c>
      <c r="BF95" s="833" t="str">
        <f>IF($C95&lt;1,"",(AVERAGEIFS('09월 고철장입'!Q$14:Q$949,'09월 고철장입'!$A$14:$A$949,$A95,'09월 고철장입'!$C$14:$C$949,$B95))/1000)</f>
        <v/>
      </c>
      <c r="BG95" s="833" t="str">
        <f>IF($C95&lt;1,"",(AVERAGEIFS('09월 고철장입'!S$14:S$949,'09월 고철장입'!$A$14:$A$949,$A95,'09월 고철장입'!$C$14:$C$949,$B95))/1000)</f>
        <v/>
      </c>
      <c r="BH95" s="833" t="str">
        <f>IF($C95&lt;1,"",(AVERAGEIFS('09월 고철장입'!T$14:T$949,'09월 고철장입'!$A$14:$A$949,$A95,'09월 고철장입'!$C$14:$C$949,$B95))/1000)</f>
        <v/>
      </c>
      <c r="BI95" s="833" t="str">
        <f>IF($C95&lt;1,"",(AVERAGEIFS('09월 고철장입'!U$14:U$949,'09월 고철장입'!$A$14:$A$949,$A95,'09월 고철장입'!$C$14:$C$949,$B95))/1000)</f>
        <v/>
      </c>
      <c r="BJ95" s="833" t="str">
        <f>IF($C95&lt;1,"",(AVERAGEIFS('09월 고철장입'!V$14:V$949,'09월 고철장입'!$A$14:$A$949,$A95,'09월 고철장입'!$C$14:$C$949,$B95))/1000)</f>
        <v/>
      </c>
      <c r="BK95" s="833" t="str">
        <f>IF($C95&lt;1,"",(AVERAGEIFS('09월 고철장입'!W$14:W$949,'09월 고철장입'!$A$14:$A$949,$A95,'09월 고철장입'!$C$14:$C$949,$B95))/1000)</f>
        <v/>
      </c>
      <c r="BL95" s="833" t="str">
        <f>IF($C95&lt;1,"",(AVERAGEIFS('09월 고철장입'!Y$14:Y$949,'09월 고철장입'!$A$14:$A$949,$A95,'09월 고철장입'!$C$14:$C$949,$B95))/1000)</f>
        <v/>
      </c>
      <c r="BM95" s="833" t="str">
        <f>IF($C95&lt;1,"",(AVERAGEIFS('09월 고철장입'!AB$14:AB$949,'09월 고철장입'!$A$14:$A$949,$A95,'09월 고철장입'!$C$14:$C$949,$B95))/1000)</f>
        <v/>
      </c>
      <c r="BN95" s="833" t="str">
        <f>IF($C95&lt;1,"",(AVERAGEIFS('09월 고철장입'!AC$14:AC$949,'09월 고철장입'!$A$14:$A$949,$A95,'09월 고철장입'!$C$14:$C$949,$B95))/1000)</f>
        <v/>
      </c>
      <c r="BO95" s="833" t="str">
        <f>IF($C95&lt;1,"",(AVERAGEIFS('09월 고철장입'!AD$14:AD$949,'09월 고철장입'!$A$14:$A$949,$A95,'09월 고철장입'!$C$14:$C$949,$B95))/1000)</f>
        <v/>
      </c>
      <c r="BP95" s="833" t="str">
        <f>IF($C95&lt;1,"",(AVERAGEIFS('09월 고철장입'!AE$14:AE$949,'09월 고철장입'!$A$14:$A$949,$A95,'09월 고철장입'!$C$14:$C$949,$B95))/1000)</f>
        <v/>
      </c>
      <c r="BQ95" s="832" t="str">
        <f>IF($C95&lt;1,"",(AVERAGEIFS('09월 고철장입'!AF$14:AF$949,'09월 고철장입'!$A$14:$A$949,$A95,'09월 고철장입'!$C$14:$C$949,$B95))/1000)</f>
        <v/>
      </c>
      <c r="BR95" s="832" t="str">
        <f>IF($C95&lt;1,"",(AVERAGEIFS('09월 고철장입'!AG$14:AG$949,'09월 고철장입'!$A$14:$A$949,$A95,'09월 고철장입'!$C$14:$C$949,$B95))/1000)</f>
        <v/>
      </c>
      <c r="BS95" s="832" t="str">
        <f>IF($C95&lt;1,"",(AVERAGEIFS('09월 고철장입'!AH$14:AH$949,'09월 고철장입'!$A$14:$A$949,$A95,'09월 고철장입'!$C$14:$C$949,$B95))/1000)</f>
        <v/>
      </c>
      <c r="BT95" s="832" t="str">
        <f>IF($C95&lt;1,"",(AVERAGEIFS('09월 고철장입'!AI$14:AI$949,'09월 고철장입'!$A$14:$A$949,$A95,'09월 고철장입'!$C$14:$C$949,$B95))/1000)</f>
        <v/>
      </c>
      <c r="BU95" s="834" t="str">
        <f>IF($C95&lt;1,"",(AVERAGEIFS('09월 고철장입'!AJ$14:AJ$949,'09월 고철장입'!$A$14:$A$949,$A95,'09월 고철장입'!$C$14:$C$949,$B95))/1000)</f>
        <v/>
      </c>
      <c r="BV95" s="834" t="str">
        <f>IF($C95&lt;1,"",(AVERAGEIFS('09월 고철장입'!AK$14:AK$949,'09월 고철장입'!$A$14:$A$949,$A95,'09월 고철장입'!$C$14:$C$949,$B95)))</f>
        <v/>
      </c>
      <c r="BW95" s="834" t="str">
        <f>IF($C95&lt;1,"",(AVERAGEIFS('09월 고철장입'!AL$14:AL$949,'09월 고철장입'!$A$14:$A$949,$A95,'09월 고철장입'!$C$14:$C$949,$B95))*100)</f>
        <v/>
      </c>
      <c r="BX95" s="831" t="str">
        <f>IF($C95&lt;1,"",(AVERAGEIFS('09월 에너지'!G$14:G$949,'09월 에너지'!$A$14:$A$949,$A95,'09월 에너지'!$C$14:$C$949,$B95)))</f>
        <v/>
      </c>
      <c r="BY95" s="835" t="str">
        <f>IF($C95&lt;1,"",(AVERAGEIFS('09월 에너지'!H$14:H$949,'09월 에너지'!$A$14:$A$949,$A95,'09월 에너지'!$C$14:$C$949,$B95)))</f>
        <v/>
      </c>
      <c r="BZ95" s="831" t="str">
        <f>IF($C95&lt;1,"",(AVERAGEIFS('09월 에너지'!I$14:I$949,'09월 에너지'!$A$14:$A$949,$A95,'09월 에너지'!$C$14:$C$949,$B95)))</f>
        <v/>
      </c>
      <c r="CA95" s="835" t="str">
        <f>IF($C95&lt;1,"",(AVERAGEIFS('09월 에너지'!J$14:J$949,'09월 에너지'!$A$14:$A$949,$A95,'09월 에너지'!$C$14:$C$949,$B95)))</f>
        <v/>
      </c>
      <c r="CB95" s="831" t="str">
        <f>IF($C95&lt;1,"",(AVERAGEIFS('09월 에너지'!K$14:K$949,'09월 에너지'!$A$14:$A$949,$A95,'09월 에너지'!$C$14:$C$949,$B95)))</f>
        <v/>
      </c>
      <c r="CC95" s="835" t="str">
        <f>IF($C95&lt;1,"",(AVERAGEIFS('09월 에너지'!L$14:L$949,'09월 에너지'!$A$14:$A$949,$A95,'09월 에너지'!$C$14:$C$949,$B95)))</f>
        <v/>
      </c>
      <c r="CD95" s="831" t="str">
        <f>IF($C95&lt;1,"",(AVERAGEIFS('09월 에너지'!M$14:M$949,'09월 에너지'!$A$14:$A$949,$A95,'09월 에너지'!$C$14:$C$949,$B95)))</f>
        <v/>
      </c>
      <c r="CE95" s="835" t="str">
        <f>IF($C95&lt;1,"",(AVERAGEIFS('09월 에너지'!N$14:N$949,'09월 에너지'!$A$14:$A$949,$A95,'09월 에너지'!$C$14:$C$949,$B95)))</f>
        <v/>
      </c>
      <c r="CF95" s="831" t="str">
        <f>IF($C95&lt;1,"",(AVERAGEIFS('09월 에너지'!O$14:O$949,'09월 에너지'!$A$14:$A$949,$A95,'09월 에너지'!$C$14:$C$949,$B95)))</f>
        <v/>
      </c>
      <c r="CG95" s="831" t="str">
        <f>IF($C95&lt;1,"",(AVERAGEIFS('09월 에너지'!P$14:P$949,'09월 에너지'!$A$14:$A$949,$A95,'09월 에너지'!$C$14:$C$949,$B95)))</f>
        <v/>
      </c>
      <c r="CH95" s="831" t="str">
        <f>IF($C95&lt;1,"",(AVERAGEIFS('09월 에너지'!Q$14:Q$949,'09월 에너지'!$A$14:$A$949,$A95,'09월 에너지'!$C$14:$C$949,$B95)))</f>
        <v/>
      </c>
      <c r="CI95" s="831" t="str">
        <f>IF($C95&lt;1,"",(AVERAGEIFS('09월 에너지'!R$14:R$949,'09월 에너지'!$A$14:$A$949,$A95,'09월 에너지'!$C$14:$C$949,$B95)))</f>
        <v/>
      </c>
      <c r="CJ95" s="831" t="str">
        <f>IF($C95&lt;1,"",(AVERAGEIFS('09월 에너지'!S$14:S$949,'09월 에너지'!$A$14:$A$949,$A95,'09월 에너지'!$C$14:$C$949,$B95)))</f>
        <v/>
      </c>
      <c r="CK95" s="831" t="str">
        <f>IF($C95&lt;1,"",(AVERAGEIFS('09월 에너지'!T$14:T$949,'09월 에너지'!$A$14:$A$949,$A95,'09월 에너지'!$C$14:$C$949,$B95)))</f>
        <v/>
      </c>
      <c r="CL95" s="831" t="str">
        <f>IF($C95&lt;1,"",(AVERAGEIFS('09월 에너지'!U$14:U$949,'09월 에너지'!$A$14:$A$949,$A95,'09월 에너지'!$C$14:$C$949,$B95)))</f>
        <v/>
      </c>
      <c r="CM95" s="835" t="str">
        <f>IF($C95&lt;1,"",(AVERAGEIFS('09월 에너지'!V$14:V$949,'09월 에너지'!$A$14:$A$949,$A95,'09월 에너지'!$C$14:$C$949,$B95)))</f>
        <v/>
      </c>
      <c r="CN95" s="835" t="str">
        <f>IF($C95&lt;1,"",(AVERAGEIFS('09월 에너지'!W$14:W$949,'09월 에너지'!$A$14:$A$949,$A95,'09월 에너지'!$C$14:$C$949,$B95)))</f>
        <v/>
      </c>
      <c r="CO95" s="831" t="str">
        <f>IF($C95&lt;1,"",(AVERAGEIFS('09월 에너지'!X$14:X$949,'09월 에너지'!$A$14:$A$949,$A95,'09월 에너지'!$C$14:$C$949,$B95)))</f>
        <v/>
      </c>
      <c r="CP95" s="835" t="str">
        <f>IF($C95&lt;1,"",(AVERAGEIFS('09월 에너지'!Y$14:Y$949,'09월 에너지'!$A$14:$A$949,$A95,'09월 에너지'!$C$14:$C$949,$B95)))</f>
        <v/>
      </c>
      <c r="CQ95" s="835" t="str">
        <f>IF($C95&lt;1,"",(AVERAGEIFS('09월 에너지'!Z$14:Z$949,'09월 에너지'!$A$14:$A$949,$A95,'09월 에너지'!$C$14:$C$949,$B95)))</f>
        <v/>
      </c>
      <c r="CR95" s="835" t="str">
        <f>IF($C95&lt;1,"",(AVERAGEIFS('09월 에너지'!AA$14:AA$949,'09월 에너지'!$A$14:$A$949,$A95,'09월 에너지'!$C$14:$C$949,$B95)))</f>
        <v/>
      </c>
      <c r="CS95" s="835" t="str">
        <f>IF($C95&lt;1,"",(AVERAGEIFS('09월 에너지'!AB$14:AB$949,'09월 에너지'!$A$14:$A$949,$A95,'09월 에너지'!$C$14:$C$949,$B95)))</f>
        <v/>
      </c>
      <c r="CT95" s="831" t="str">
        <f>IF($C95&lt;1,"",(AVERAGEIFS('09월 에너지'!AC$14:AC$949,'09월 에너지'!$A$14:$A$949,$A95,'09월 에너지'!$C$14:$C$949,$B95)))</f>
        <v/>
      </c>
      <c r="CU95" s="836" t="str">
        <f>IF($C95&lt;1,"",(AVERAGEIFS('09월 에너지'!AD$14:AD$949,'09월 에너지'!$A$14:$A$949,$A95,'09월 에너지'!$C$14:$C$949,$B95)))</f>
        <v/>
      </c>
      <c r="CV95" s="837" t="str">
        <f>IF($C95&lt;1,"",(AVERAGEIFS('09월 에너지'!AE$14:AE$949,'09월 에너지'!$A$14:$A$949,$A95,'09월 에너지'!$C$14:$C$949,$B95)))</f>
        <v/>
      </c>
      <c r="CW95" s="831" t="str">
        <f>IF($C95&lt;1,"",(AVERAGEIFS('09월 에너지'!AF$14:AF$949,'09월 에너지'!$A$14:$A$949,$A95,'09월 에너지'!$C$14:$C$949,$B95)))</f>
        <v/>
      </c>
      <c r="CX95" s="831" t="str">
        <f>IF($C95&lt;1,"",(AVERAGEIFS('09월 에너지'!AG$14:AG$949,'09월 에너지'!$A$14:$A$949,$A95,'09월 에너지'!$C$14:$C$949,$B95)))</f>
        <v/>
      </c>
      <c r="CY95" s="831" t="str">
        <f>IF($C95&lt;1,"",(AVERAGEIFS('09월 에너지'!AH$14:AH$949,'09월 에너지'!$A$14:$A$949,$A95,'09월 에너지'!$C$14:$C$949,$B95)))</f>
        <v/>
      </c>
      <c r="CZ95" s="831" t="str">
        <f>IF($C95&lt;1,"",(AVERAGEIFS('09월 에너지'!AI$14:AI$949,'09월 에너지'!$A$14:$A$949,$A95,'09월 에너지'!$C$14:$C$949,$B95)))</f>
        <v/>
      </c>
      <c r="DA95" s="838" t="str">
        <f>IF($C95&lt;1,"",(AVERAGEIFS('09월 에너지'!AJ$14:AJ$949,'09월 에너지'!$A$14:$A$949,$A95,'09월 에너지'!$C$14:$C$949,$B95)))</f>
        <v/>
      </c>
    </row>
    <row r="96" spans="1:105" ht="13.5" customHeight="1">
      <c r="A96" s="847">
        <f>A91+1</f>
        <v>44945</v>
      </c>
      <c r="B96" s="848" t="s">
        <v>31</v>
      </c>
      <c r="C96" s="810">
        <f>COUNTIF('09월 조업일지'!$A$12:$A$952,A96)</f>
        <v>0</v>
      </c>
      <c r="D96" s="787" t="str">
        <f>IF(C96&lt;1,"",F96-E96)</f>
        <v/>
      </c>
      <c r="E96" s="787" t="str">
        <f>IF($C96&lt;1,"",(SUMIF('09월 조업일지'!$A$12:$A$952,$A96,'09월 조업일지'!$K$12:$K$952))/C96)</f>
        <v/>
      </c>
      <c r="F96" s="787" t="str">
        <f>IF($C96&lt;1,"",AVERAGEIF('09월 조업일지'!$A$12:$A$952,$A96,'09월 조업일지'!$J$12:$J$952))</f>
        <v/>
      </c>
      <c r="G96" s="811" t="str">
        <f>IF($C96&lt;1,"",AVERAGEIF('09월 에너지'!$A$14:$A$949,$A96,'09월 에너지'!$M$14:M$949))</f>
        <v/>
      </c>
      <c r="H96" s="812" t="str">
        <f>IF($C96&lt;1,"",AVERAGEIF('09월 조업일지'!$A$12:$A$952,$A96,'09월 조업일지'!$AJ$12:$AJ$952))</f>
        <v/>
      </c>
      <c r="I96" s="812" t="str">
        <f>IF($C96&lt;1,"",AVERAGEIF('09월 조업일지'!$A$12:$A$952,$A96,'09월 조업일지'!$AL$12:$AL$952))</f>
        <v/>
      </c>
      <c r="J96" s="813" t="str">
        <f>IF($C96&lt;1,"",AVERAGEIF('09월 화학성분'!$A$12:$A$949,$A96,'09월 화학성분'!G$12:G$949))</f>
        <v/>
      </c>
      <c r="K96" s="813" t="str">
        <f>IF($C96&lt;1,"",AVERAGEIF('09월 화학성분'!$A$12:$A$949,$A96,'09월 화학성분'!H$12:H$949))</f>
        <v/>
      </c>
      <c r="L96" s="813" t="str">
        <f>IF($C96&lt;1,"",AVERAGEIF('09월 화학성분'!$A$12:$A$949,$A96,'09월 화학성분'!I$12:I$949))</f>
        <v/>
      </c>
      <c r="M96" s="813" t="str">
        <f>IF($C96&lt;1,"",AVERAGEIF('09월 화학성분'!$A$12:$A$949,$A96,'09월 화학성분'!J$12:J$949))</f>
        <v/>
      </c>
      <c r="N96" s="813" t="str">
        <f>IF($C96&lt;1,"",AVERAGEIF('09월 화학성분'!$A$12:$A$949,$A96,'09월 화학성분'!K$12:K$949))</f>
        <v/>
      </c>
      <c r="O96" s="813" t="str">
        <f>IF($C96&lt;1,"",AVERAGEIF('09월 화학성분'!$A$12:$A$949,$A96,'09월 화학성분'!L$12:L$949))</f>
        <v/>
      </c>
      <c r="P96" s="813" t="str">
        <f>IF($C96&lt;1,"",AVERAGEIF('09월 화학성분'!$A$12:$A$949,$A96,'09월 화학성분'!M$12:M$949))</f>
        <v/>
      </c>
      <c r="Q96" s="814" t="str">
        <f>IF($C96&lt;1,"",AVERAGEIF('09월 조업일지'!$A$12:$A$952,$A96,'09월 조업일지'!$AA$12:$AA$952))</f>
        <v/>
      </c>
      <c r="R96" s="814" t="str">
        <f>IF($C96&lt;1,"",AVERAGEIF('09월 조업일지'!$A$12:$A$952,$A96,'09월 조업일지'!$AK$12:$AK$952))</f>
        <v/>
      </c>
      <c r="S96" s="814"/>
      <c r="T96" s="814"/>
      <c r="U96" s="813" t="str">
        <f>IF($C96&lt;1,"",AVERAGEIF('09월 화학성분'!$A$12:$A$949,$A96,'09월 화학성분'!$G$12:$G$949))</f>
        <v/>
      </c>
      <c r="V96" s="814" t="str">
        <f>IF($C96&lt;1,"",AVERAGEIF('09월 조업일지'!$A$12:$A$952,$A96,'09월 조업일지'!$AI$12:$AI$952))</f>
        <v/>
      </c>
      <c r="W96" s="813" t="str">
        <f>IF($C96&lt;1,"",AVERAGEIF('09월 화학성분'!$A$12:$A$949,$A96,'09월 화학성분'!$AM$12:$AM$949))</f>
        <v/>
      </c>
      <c r="X96" s="815" t="str">
        <f>IF($C96&lt;1,"",AVERAGEIF('09월 화학성분'!$A$12:$A$949,$A96,'09월 화학성분'!N$12:N$949))</f>
        <v/>
      </c>
      <c r="Y96" s="815" t="str">
        <f>IF($C96&lt;1,"",AVERAGEIF('09월 화학성분'!$A$12:$A$949,$A96,'09월 화학성분'!O$12:O$949))</f>
        <v/>
      </c>
      <c r="Z96" s="815" t="str">
        <f>IF($C96&lt;1,"",AVERAGEIF('09월 화학성분'!$A$12:$A$949,$A96,'09월 화학성분'!P$12:P$949))</f>
        <v/>
      </c>
      <c r="AA96" s="815" t="str">
        <f>IF($C96&lt;1,"",AVERAGEIF('09월 화학성분'!$A$12:$A$949,$A96,'09월 화학성분'!Q$12:Q$949))</f>
        <v/>
      </c>
      <c r="AB96" s="815" t="str">
        <f>IF($C96&lt;1,"",AVERAGEIF('09월 화학성분'!$A$12:$A$949,$A96,'09월 화학성분'!R$12:R$949))</f>
        <v/>
      </c>
      <c r="AC96" s="815" t="str">
        <f>IF($C96&lt;1,"",AVERAGEIF('09월 화학성분'!$A$12:$A$949,$A96,'09월 화학성분'!U$12:U$949))</f>
        <v/>
      </c>
      <c r="AD96" s="815" t="str">
        <f>IF($C96&lt;1,"",AVERAGEIF('09월 화학성분'!$A$12:$A$949,$A96,'09월 화학성분'!V$12:V$949))</f>
        <v/>
      </c>
      <c r="AE96" s="815" t="str">
        <f>IF($C96&lt;1,"",AVERAGEIF('09월 화학성분'!$A$12:$A$949,$A96,'09월 화학성분'!W$12:W$949))</f>
        <v/>
      </c>
      <c r="AF96" s="815" t="str">
        <f>IF($C96&lt;1,"",AVERAGEIF('09월 화학성분'!$A$12:$A$949,$A96,'09월 화학성분'!AA$12:AA$949))</f>
        <v/>
      </c>
      <c r="AG96" s="815" t="str">
        <f>IF($C96&lt;1,"",AVERAGEIF('09월 화학성분'!$A$12:$A$949,$A96,'09월 화학성분'!#REF!))</f>
        <v/>
      </c>
      <c r="AH96" s="815" t="str">
        <f>IF($C96&lt;1,"",AVERAGEIF('09월 화학성분'!$A$12:$A$949,$A96,'09월 화학성분'!AB$12:AB$949))</f>
        <v/>
      </c>
      <c r="AI96" s="815" t="str">
        <f>IF($C96&lt;1,"",AVERAGEIF('09월 화학성분'!$A$12:$A$949,$A96,'09월 화학성분'!AC$12:AC$949))</f>
        <v/>
      </c>
      <c r="AJ96" s="815" t="str">
        <f>IF($C96&lt;1,"",AVERAGEIF('09월 화학성분'!$A$12:$A$949,$A96,'09월 화학성분'!AD$12:AD$949))</f>
        <v/>
      </c>
      <c r="AK96" s="815" t="str">
        <f>IF($C96&lt;1,"",AVERAGEIF('09월 화학성분'!$A$12:$A$949,$A96,'09월 화학성분'!AF$12:AF$949))</f>
        <v/>
      </c>
      <c r="AL96" s="815" t="str">
        <f>IF($C96&lt;1,"",AVERAGEIF('09월 화학성분'!$A$12:$A$949,$A96,'09월 화학성분'!AG$12:AG$949))</f>
        <v/>
      </c>
      <c r="AM96" s="815" t="str">
        <f>IF($C96&lt;1,"",AVERAGEIF('09월 화학성분'!$A$12:$A$949,$A96,'09월 화학성분'!AH$12:AH$949))</f>
        <v/>
      </c>
      <c r="AN96" s="815" t="str">
        <f>IF($C96&lt;1,"",AVERAGEIF('09월 화학성분'!$A$12:$A$949,$A96,'09월 화학성분'!AI$12:AI$949))</f>
        <v/>
      </c>
      <c r="AO96" s="815" t="str">
        <f>IF($C96&lt;1,"",AVERAGEIF('09월 화학성분'!$A$12:$A$949,$A96,'09월 화학성분'!AJ$12:AJ$949))</f>
        <v/>
      </c>
      <c r="AP96" s="815" t="str">
        <f>IF($C96&lt;1,"",AVERAGEIF('09월 화학성분'!$A$12:$A$949,$A96,'09월 화학성분'!#REF!))</f>
        <v/>
      </c>
      <c r="AQ96" s="815" t="str">
        <f>IF($C96&lt;1,"",AVERAGEIF('09월 화학성분'!$A$12:$A$949,$A96,'09월 화학성분'!AL$12:AL$949))</f>
        <v/>
      </c>
      <c r="AR96" s="815" t="str">
        <f>IF($C96&lt;1,"",AVERAGEIF('09월 화학성분'!$A$12:$A$949,$A96,'09월 화학성분'!AM$12:AM$949))</f>
        <v/>
      </c>
      <c r="AS96" s="816" t="str">
        <f>IF($C96&lt;1,"",AVERAGEIF('09월 화학성분'!$A$12:$A$949,$A96,'09월 화학성분'!AN$12:AN$949))</f>
        <v/>
      </c>
      <c r="AT96" s="816" t="str">
        <f>IF($C96&lt;1,"",AVERAGEIF('09월 화학성분'!$A$12:$A$949,$A96,'09월 화학성분'!AO$12:AO$949))</f>
        <v/>
      </c>
      <c r="AU96" s="815" t="str">
        <f>IF($C96&lt;1,"",AVERAGEIF('09월 화학성분'!$A$12:$A$949,$A96,'09월 화학성분'!AP$12:AP$949))</f>
        <v/>
      </c>
      <c r="AV96" s="815" t="str">
        <f>IF($C96&lt;1,"",AVERAGEIF('09월 고철장입'!$A$14:$A$949,$A96,'09월 고철장입'!G$14:G$949)/1000)</f>
        <v/>
      </c>
      <c r="AW96" s="815" t="str">
        <f>IF($C96&lt;1,"",AVERAGEIF('09월 고철장입'!$A$14:$A$949,$A96,'09월 고철장입'!H$14:H$949)/1000)</f>
        <v/>
      </c>
      <c r="AX96" s="815" t="str">
        <f>IF($C96&lt;1,"",AVERAGEIF('09월 고철장입'!$A$14:$A$949,$A96,'09월 고철장입'!I$14:I$949)/1000)</f>
        <v/>
      </c>
      <c r="AY96" s="815" t="str">
        <f>IF($C96&lt;1,"",AVERAGEIF('09월 고철장입'!$A$14:$A$949,$A96,'09월 고철장입'!J$14:J$949)/1000)</f>
        <v/>
      </c>
      <c r="AZ96" s="815" t="str">
        <f>IF($C96&lt;1,"",AVERAGEIF('09월 고철장입'!$A$14:$A$949,$A96,'09월 고철장입'!K$14:K$949)/1000)</f>
        <v/>
      </c>
      <c r="BA96" s="815" t="str">
        <f>IF($C96&lt;1,"",AVERAGEIF('09월 고철장입'!$A$14:$A$949,$A96,'09월 고철장입'!L$14:L$949)/1000)</f>
        <v/>
      </c>
      <c r="BB96" s="815" t="str">
        <f>IF($C96&lt;1,"",AVERAGEIF('09월 고철장입'!$A$14:$A$949,$A96,'09월 고철장입'!M$14:M$949)/1000)</f>
        <v/>
      </c>
      <c r="BC96" s="815" t="str">
        <f>IF($C96&lt;1,"",AVERAGEIF('09월 고철장입'!$A$14:$A$949,$A96,'09월 고철장입'!N$14:N$949)/1000)</f>
        <v/>
      </c>
      <c r="BD96" s="815" t="str">
        <f>IF($C96&lt;1,"",AVERAGEIF('09월 고철장입'!$A$14:$A$949,$A96,'09월 고철장입'!O$14:O$949)/1000)</f>
        <v/>
      </c>
      <c r="BE96" s="815" t="str">
        <f>IF($C96&lt;1,"",AVERAGEIF('09월 고철장입'!$A$14:$A$949,$A96,'09월 고철장입'!P$14:P$949)/1000)</f>
        <v/>
      </c>
      <c r="BF96" s="815" t="str">
        <f>IF($C96&lt;1,"",AVERAGEIF('09월 고철장입'!$A$14:$A$949,$A96,'09월 고철장입'!Q$14:Q$949)/1000)</f>
        <v/>
      </c>
      <c r="BG96" s="815" t="str">
        <f>IF($C96&lt;1,"",AVERAGEIF('09월 고철장입'!$A$14:$A$949,$A96,'09월 고철장입'!S$14:S$949)/1000)</f>
        <v/>
      </c>
      <c r="BH96" s="815" t="str">
        <f>IF($C96&lt;1,"",AVERAGEIF('09월 고철장입'!$A$14:$A$949,$A96,'09월 고철장입'!T$14:T$949)/1000)</f>
        <v/>
      </c>
      <c r="BI96" s="815" t="str">
        <f>IF($C96&lt;1,"",AVERAGEIF('09월 고철장입'!$A$14:$A$949,$A96,'09월 고철장입'!U$14:U$949)/1000)</f>
        <v/>
      </c>
      <c r="BJ96" s="815" t="str">
        <f>IF($C96&lt;1,"",AVERAGEIF('09월 고철장입'!$A$14:$A$949,$A96,'09월 고철장입'!V$14:V$949)/1000)</f>
        <v/>
      </c>
      <c r="BK96" s="815" t="str">
        <f>IF($C96&lt;1,"",AVERAGEIF('09월 고철장입'!$A$14:$A$949,$A96,'09월 고철장입'!W$14:W$949)/1000)</f>
        <v/>
      </c>
      <c r="BL96" s="815" t="str">
        <f>IF($C96&lt;1,"",AVERAGEIF('09월 고철장입'!$A$14:$A$949,$A96,'09월 고철장입'!Y$14:Y$949)/1000)</f>
        <v/>
      </c>
      <c r="BM96" s="815" t="str">
        <f>IF($C96&lt;1,"",AVERAGEIF('09월 고철장입'!$A$14:$A$949,$A96,'09월 고철장입'!AB$14:AB$949)/1000)</f>
        <v/>
      </c>
      <c r="BN96" s="815" t="str">
        <f>IF($C96&lt;1,"",AVERAGEIF('09월 고철장입'!$A$14:$A$949,$A96,'09월 고철장입'!AC$14:AC$949)/1000)</f>
        <v/>
      </c>
      <c r="BO96" s="815" t="str">
        <f>IF($C96&lt;1,"",AVERAGEIF('09월 고철장입'!$A$14:$A$949,$A96,'09월 고철장입'!AD$14:AD$949)/1000)</f>
        <v/>
      </c>
      <c r="BP96" s="815" t="str">
        <f>IF($C96&lt;1,"",AVERAGEIF('09월 고철장입'!$A$14:$A$949,$A96,'09월 고철장입'!AE$14:AE$949)/1000)</f>
        <v/>
      </c>
      <c r="BQ96" s="815" t="str">
        <f>IF($C96&lt;1,"",AVERAGEIF('09월 고철장입'!$A$14:$A$949,$A96,'09월 고철장입'!AF$14:AF$949)/1000)</f>
        <v/>
      </c>
      <c r="BR96" s="815" t="str">
        <f>IF($C96&lt;1,"",AVERAGEIF('09월 고철장입'!$A$14:$A$949,$A96,'09월 고철장입'!AG$14:AG$949)/1000)</f>
        <v/>
      </c>
      <c r="BS96" s="815" t="str">
        <f>IF($C96&lt;1,"",AVERAGEIF('09월 고철장입'!$A$14:$A$949,$A96,'09월 고철장입'!AH$14:AH$949)/1000)</f>
        <v/>
      </c>
      <c r="BT96" s="815" t="str">
        <f>IF($C96&lt;1,"",AVERAGEIF('09월 고철장입'!$A$14:$A$949,$A96,'09월 고철장입'!AI$14:AI$949)/1000)</f>
        <v/>
      </c>
      <c r="BU96" s="815" t="str">
        <f>IF($C96&lt;1,"",AVERAGEIF('09월 고철장입'!$A$14:$A$949,$A96,'09월 고철장입'!AJ$14:AJ$949)/1000)</f>
        <v/>
      </c>
      <c r="BV96" s="815" t="str">
        <f>IF($C96&lt;1,"",AVERAGEIF('09월 고철장입'!$A$14:$A$949,$A96,'09월 고철장입'!AK$14:AK$949))</f>
        <v/>
      </c>
      <c r="BW96" s="815" t="str">
        <f>IF($C96&lt;1,"",AVERAGEIF('09월 고철장입'!$A$14:$A$949,$A96,'09월 고철장입'!AL$14:AL$949)*100)</f>
        <v/>
      </c>
      <c r="BX96" s="815" t="str">
        <f>IF($C96&lt;1,"",AVERAGEIF('09월 에너지'!$A$14:$A$949,$A96,'09월 에너지'!G$14:G$949))</f>
        <v/>
      </c>
      <c r="BY96" s="817" t="str">
        <f>IF($C96&lt;1,"",AVERAGEIF('09월 에너지'!$A$14:$A$949,$A96,'09월 에너지'!H$14:H$949))</f>
        <v/>
      </c>
      <c r="BZ96" s="815" t="str">
        <f>IF($C96&lt;1,"",AVERAGEIF('09월 에너지'!$A$14:$A$949,$A96,'09월 에너지'!I$14:I$949))</f>
        <v/>
      </c>
      <c r="CA96" s="817" t="str">
        <f>IF($C96&lt;1,"",AVERAGEIF('09월 에너지'!$A$14:$A$949,$A96,'09월 에너지'!J$14:J$949))</f>
        <v/>
      </c>
      <c r="CB96" s="815" t="str">
        <f>IF($C96&lt;1,"",AVERAGEIF('09월 에너지'!$A$14:$A$949,$A96,'09월 에너지'!K$14:K$949))</f>
        <v/>
      </c>
      <c r="CC96" s="817" t="str">
        <f>IF($C96&lt;1,"",AVERAGEIF('09월 에너지'!$A$14:$A$949,$A96,'09월 에너지'!L$14:L$949))</f>
        <v/>
      </c>
      <c r="CD96" s="815" t="str">
        <f>IF($C96&lt;1,"",AVERAGEIF('09월 에너지'!$A$14:$A$949,$A96,'09월 에너지'!M$14:M$949))</f>
        <v/>
      </c>
      <c r="CE96" s="817" t="str">
        <f>IF($C96&lt;1,"",AVERAGEIF('09월 에너지'!$A$14:$A$949,$A96,'09월 에너지'!N$14:N$949))</f>
        <v/>
      </c>
      <c r="CF96" s="815" t="str">
        <f>IF($C96&lt;1,"",AVERAGEIF('09월 에너지'!$A$14:$A$949,$A96,'09월 에너지'!O$14:O$949))</f>
        <v/>
      </c>
      <c r="CG96" s="815" t="str">
        <f>IF($C96&lt;1,"",AVERAGEIF('09월 에너지'!$A$14:$A$949,$A96,'09월 에너지'!P$14:P$949))</f>
        <v/>
      </c>
      <c r="CH96" s="815" t="str">
        <f>IF($C96&lt;1,"",AVERAGEIF('09월 에너지'!$A$14:$A$949,$A96,'09월 에너지'!Q$14:Q$949))</f>
        <v/>
      </c>
      <c r="CI96" s="815" t="str">
        <f>IF($C96&lt;1,"",AVERAGEIF('09월 에너지'!$A$14:$A$949,$A96,'09월 에너지'!R$14:R$949))</f>
        <v/>
      </c>
      <c r="CJ96" s="815" t="str">
        <f>IF($C96&lt;1,"",AVERAGEIF('09월 에너지'!$A$14:$A$949,$A96,'09월 에너지'!S$14:S$949))</f>
        <v/>
      </c>
      <c r="CK96" s="815" t="str">
        <f>IF($C96&lt;1,"",AVERAGEIF('09월 에너지'!$A$14:$A$949,$A96,'09월 에너지'!T$14:T$949))</f>
        <v/>
      </c>
      <c r="CL96" s="815" t="str">
        <f>IF($C96&lt;1,"",AVERAGEIF('09월 에너지'!$A$14:$A$949,$A96,'09월 에너지'!U$14:U$949))</f>
        <v/>
      </c>
      <c r="CM96" s="817" t="str">
        <f>IF($C96&lt;1,"",AVERAGEIF('09월 에너지'!$A$14:$A$949,$A96,'09월 에너지'!V$14:V$949))</f>
        <v/>
      </c>
      <c r="CN96" s="817" t="str">
        <f>IF($C96&lt;1,"",AVERAGEIF('09월 에너지'!$A$14:$A$949,$A96,'09월 에너지'!W$14:W$949))</f>
        <v/>
      </c>
      <c r="CO96" s="815" t="str">
        <f>IF($C96&lt;1,"",AVERAGEIF('09월 에너지'!$A$14:$A$949,$A96,'09월 에너지'!X$14:X$949))</f>
        <v/>
      </c>
      <c r="CP96" s="817" t="str">
        <f>IF($C96&lt;1,"",AVERAGEIF('09월 에너지'!$A$14:$A$949,$A96,'09월 에너지'!Y$14:Y$949))</f>
        <v/>
      </c>
      <c r="CQ96" s="817" t="str">
        <f>IF($C96&lt;1,"",AVERAGEIF('09월 에너지'!$A$14:$A$949,$A96,'09월 에너지'!Z$14:Z$949))</f>
        <v/>
      </c>
      <c r="CR96" s="817" t="str">
        <f>IF($C96&lt;1,"",AVERAGEIF('09월 에너지'!$A$14:$A$949,$A96,'09월 에너지'!AA$14:AA$949))</f>
        <v/>
      </c>
      <c r="CS96" s="817" t="str">
        <f>IF($C96&lt;1,"",AVERAGEIF('09월 에너지'!$A$14:$A$949,$A96,'09월 에너지'!AB$14:AB$949))</f>
        <v/>
      </c>
      <c r="CT96" s="815" t="str">
        <f>IF($C96&lt;1,"",AVERAGEIF('09월 에너지'!$A$14:$A$949,$A96,'09월 에너지'!AC$14:AC$949))</f>
        <v/>
      </c>
      <c r="CU96" s="818" t="str">
        <f>IF($C96&lt;1,"",AVERAGEIF('09월 에너지'!$A$14:$A$949,$A96,'09월 에너지'!AD$14:AD$949))</f>
        <v/>
      </c>
      <c r="CV96" s="819" t="str">
        <f>IF($C96&lt;1,"",AVERAGEIF('09월 에너지'!$A$14:$A$949,$A96,'09월 에너지'!AE$14:AE$949))</f>
        <v/>
      </c>
      <c r="CW96" s="815" t="str">
        <f>IF($C96&lt;1,"",AVERAGEIF('09월 에너지'!$A$14:$A$949,$A96,'09월 에너지'!AF$14:AF$949))</f>
        <v/>
      </c>
      <c r="CX96" s="815" t="str">
        <f>IF($C96&lt;1,"",AVERAGEIF('09월 에너지'!$A$14:$A$949,$A96,'09월 에너지'!AG$14:AG$949))</f>
        <v/>
      </c>
      <c r="CY96" s="815" t="str">
        <f>IF($C96&lt;1,"",AVERAGEIF('09월 에너지'!$A$14:$A$949,$A96,'09월 에너지'!AH$14:AH$949))</f>
        <v/>
      </c>
      <c r="CZ96" s="815" t="str">
        <f>IF($C96&lt;1,"",AVERAGEIF('09월 에너지'!$A$14:$A$949,$A96,'09월 에너지'!AI$14:AI$949))</f>
        <v/>
      </c>
      <c r="DA96" s="820" t="str">
        <f>IF($C96&lt;1,"",AVERAGEIF('09월 에너지'!$A$14:$A$949,$A96,'09월 에너지'!AJ$14:AJ$949))</f>
        <v/>
      </c>
    </row>
    <row r="97" spans="1:105" ht="13.5" customHeight="1">
      <c r="A97" s="849">
        <f t="shared" si="20"/>
        <v>44945</v>
      </c>
      <c r="B97" s="850" t="s">
        <v>9</v>
      </c>
      <c r="C97" s="823">
        <f>COUNTIFS('09월 조업일지'!$A$12:$A$952,A96,'09월 조업일지'!$E$12:$E$952,B97)</f>
        <v>0</v>
      </c>
      <c r="D97" s="824" t="str">
        <f>IF(C97&lt;1,"",F97-E97)</f>
        <v/>
      </c>
      <c r="E97" s="824" t="str">
        <f>IF($C97&lt;1,"",(SUMIFS('09월 조업일지'!$K$12:$K$952,'09월 조업일지'!$A$12:$A$952,$A97,'09월 조업일지'!$E$12:$E$952,$B97)/$C97))</f>
        <v/>
      </c>
      <c r="F97" s="824" t="str">
        <f>IF($C97&lt;1,"",(AVERAGEIFS('09월 조업일지'!$J$12:$J$952,'09월 조업일지'!$A$12:$A$952,$A97,'09월 조업일지'!$E$12:$E$952,$B97)))</f>
        <v/>
      </c>
      <c r="G97" s="825" t="str">
        <f>IF($C97&lt;1,"",(AVERAGEIFS('09월 에너지'!$M$14:$M$949,'09월 에너지'!$A$14:$A$949,$A97,'09월 에너지'!$C$14:$C$949,$B97)))</f>
        <v/>
      </c>
      <c r="H97" s="826" t="str">
        <f>IF($C97&lt;1,"",(AVERAGEIFS('09월 조업일지'!$AJ$12:$AJ$952,'09월 조업일지'!$A$12:$A$952,$A97,'09월 조업일지'!$E$12:$E$952,$B97)))</f>
        <v/>
      </c>
      <c r="I97" s="826" t="str">
        <f>IF($C97&lt;1,"",(AVERAGEIFS('09월 조업일지'!$AL$12:$AL$952,'09월 조업일지'!$A$12:$A$952,$A97,'09월 조업일지'!$E$12:$E$952,$B97)))</f>
        <v/>
      </c>
      <c r="J97" s="827" t="str">
        <f>IF($C97&lt;1,"",(AVERAGEIFS('09월 화학성분'!G$12:G$949,'09월 화학성분'!$A$12:$A$949,$A97,'09월 화학성분'!$D$12:$D$949,$B97)))</f>
        <v/>
      </c>
      <c r="K97" s="827" t="str">
        <f>IF($C97&lt;1,"",(AVERAGEIFS('09월 화학성분'!H$12:H$949,'09월 화학성분'!$A$12:$A$949,$A97,'09월 화학성분'!$D$12:$D$949,$B97)))</f>
        <v/>
      </c>
      <c r="L97" s="827" t="str">
        <f>IF($C97&lt;1,"",(AVERAGEIFS('09월 화학성분'!I$12:I$949,'09월 화학성분'!$A$12:$A$949,$A97,'09월 화학성분'!$D$12:$D$949,$B97)))</f>
        <v/>
      </c>
      <c r="M97" s="827" t="str">
        <f>IF($C97&lt;1,"",(AVERAGEIFS('09월 화학성분'!J$12:J$949,'09월 화학성분'!$A$12:$A$949,$A97,'09월 화학성분'!$D$12:$D$949,$B97)))</f>
        <v/>
      </c>
      <c r="N97" s="827" t="str">
        <f>IF($C97&lt;1,"",(AVERAGEIFS('09월 화학성분'!K$12:K$949,'09월 화학성분'!$A$12:$A$949,$A97,'09월 화학성분'!$D$12:$D$949,$B97)))</f>
        <v/>
      </c>
      <c r="O97" s="827" t="str">
        <f>IF($C97&lt;1,"",(AVERAGEIFS('09월 화학성분'!L$12:L$949,'09월 화학성분'!$A$12:$A$949,$A97,'09월 화학성분'!$D$12:$D$949,$B97)))</f>
        <v/>
      </c>
      <c r="P97" s="827" t="str">
        <f>IF($C97&lt;1,"",(AVERAGEIFS('09월 화학성분'!M$12:M$949,'09월 화학성분'!$A$12:$A$949,$A97,'09월 화학성분'!$D$12:$D$949,$B97)))</f>
        <v/>
      </c>
      <c r="Q97" s="827" t="str">
        <f>IFERROR(IF($C97&lt;1,"",(AVERAGEIFS('09월 조업일지'!$AA$12:$AA$952,'09월 조업일지'!$A$12:$A$952,$A97,'09월 조업일지'!$E$12:$E$952,$B97))),"")</f>
        <v/>
      </c>
      <c r="R97" s="827" t="str">
        <f>IF($C97&lt;1,"",(AVERAGEIFS('09월 조업일지'!$AK$12:$AK$952,'09월 조업일지'!$A$12:$A$952,$A97,'09월 조업일지'!$E$12:$E$952,$B97)))</f>
        <v/>
      </c>
      <c r="S97" s="827"/>
      <c r="T97" s="827"/>
      <c r="U97" s="827" t="str">
        <f>IF($C97&lt;1,"",(AVERAGEIFS('09월 화학성분'!$G$12:$G$949,'09월 화학성분'!$A$12:$A$949,$A97,'09월 화학성분'!$D$12:$D$949,$B97)))</f>
        <v/>
      </c>
      <c r="V97" s="827" t="str">
        <f>IF($C97&lt;1,"",(AVERAGEIFS('09월 조업일지'!$AI$12:$AI$952,'09월 조업일지'!$A$12:$A$952,$A97,'09월 조업일지'!$E$12:$E$952,$B97)))</f>
        <v/>
      </c>
      <c r="W97" s="828" t="str">
        <f>IF($C97&lt;1,"",(AVERAGEIFS('09월 화학성분'!$AM$12:$AM$949,'09월 화학성분'!$A$12:$A$949,$A97,'09월 화학성분'!$D$12:$D$949,$B97)))</f>
        <v/>
      </c>
      <c r="X97" s="829" t="str">
        <f>IF($C97&lt;1,"",(AVERAGEIFS('09월 화학성분'!N$12:N$949,'09월 화학성분'!$A$12:$A$949,$A97,'09월 화학성분'!$D$12:$D$949,$B97)))</f>
        <v/>
      </c>
      <c r="Y97" s="829" t="str">
        <f>IF($C97&lt;1,"",(AVERAGEIFS('09월 화학성분'!O$12:O$949,'09월 화학성분'!$A$12:$A$949,$A97,'09월 화학성분'!$D$12:$D$949,$B97)))</f>
        <v/>
      </c>
      <c r="Z97" s="829" t="str">
        <f>IF($C97&lt;1,"",(AVERAGEIFS('09월 화학성분'!P$12:P$949,'09월 화학성분'!$A$12:$A$949,$A97,'09월 화학성분'!$D$12:$D$949,$B97)))</f>
        <v/>
      </c>
      <c r="AA97" s="829" t="str">
        <f>IF($C97&lt;1,"",(AVERAGEIFS('09월 화학성분'!Q$12:Q$949,'09월 화학성분'!$A$12:$A$949,$A97,'09월 화학성분'!$D$12:$D$949,$B97)))</f>
        <v/>
      </c>
      <c r="AB97" s="829" t="str">
        <f>IF($C97&lt;1,"",(AVERAGEIFS('09월 화학성분'!R$12:R$949,'09월 화학성분'!$A$12:$A$949,$A97,'09월 화학성분'!$D$12:$D$949,$B97)))</f>
        <v/>
      </c>
      <c r="AC97" s="829" t="str">
        <f>IF($C97&lt;1,"",(AVERAGEIFS('09월 화학성분'!U$12:U$949,'09월 화학성분'!$A$12:$A$949,$A97,'09월 화학성분'!$D$12:$D$949,$B97)))</f>
        <v/>
      </c>
      <c r="AD97" s="829" t="str">
        <f>IF($C97&lt;1,"",(AVERAGEIFS('09월 화학성분'!V$12:V$949,'09월 화학성분'!$A$12:$A$949,$A97,'09월 화학성분'!$D$12:$D$949,$B97)))</f>
        <v/>
      </c>
      <c r="AE97" s="829" t="str">
        <f>IF($C97&lt;1,"",(AVERAGEIFS('09월 화학성분'!W$12:W$949,'09월 화학성분'!$A$12:$A$949,$A97,'09월 화학성분'!$D$12:$D$949,$B97)))</f>
        <v/>
      </c>
      <c r="AF97" s="829" t="str">
        <f>IF($C97&lt;1,"",(AVERAGEIFS('09월 화학성분'!AA$12:AA$949,'09월 화학성분'!$A$12:$A$949,$A97,'09월 화학성분'!$D$12:$D$949,$B97)))</f>
        <v/>
      </c>
      <c r="AG97" s="829" t="str">
        <f>IF($C97&lt;1,"",(AVERAGEIFS('09월 화학성분'!#REF!,'09월 화학성분'!$A$12:$A$949,$A97,'09월 화학성분'!$D$12:$D$949,$B97)))</f>
        <v/>
      </c>
      <c r="AH97" s="829" t="str">
        <f>IF($C97&lt;1,"",(AVERAGEIFS('09월 화학성분'!AB$12:AB$949,'09월 화학성분'!$A$12:$A$949,$A97,'09월 화학성분'!$D$12:$D$949,$B97)))</f>
        <v/>
      </c>
      <c r="AI97" s="829" t="str">
        <f>IF($C97&lt;1,"",(AVERAGEIFS('09월 화학성분'!AC$12:AC$949,'09월 화학성분'!$A$12:$A$949,$A97,'09월 화학성분'!$D$12:$D$949,$B97)))</f>
        <v/>
      </c>
      <c r="AJ97" s="829" t="str">
        <f>IF($C97&lt;1,"",(AVERAGEIFS('09월 화학성분'!AD$12:AD$949,'09월 화학성분'!$A$12:$A$949,$A97,'09월 화학성분'!$D$12:$D$949,$B97)))</f>
        <v/>
      </c>
      <c r="AK97" s="829" t="str">
        <f>IF($C97&lt;1,"",(AVERAGEIFS('09월 화학성분'!AF$12:AF$949,'09월 화학성분'!$A$12:$A$949,$A97,'09월 화학성분'!$D$12:$D$949,$B97)))</f>
        <v/>
      </c>
      <c r="AL97" s="829" t="str">
        <f>IF($C97&lt;1,"",(AVERAGEIFS('09월 화학성분'!AG$12:AG$949,'09월 화학성분'!$A$12:$A$949,$A97,'09월 화학성분'!$D$12:$D$949,$B97)))</f>
        <v/>
      </c>
      <c r="AM97" s="829" t="str">
        <f>IF($C97&lt;1,"",(AVERAGEIFS('09월 화학성분'!AH$12:AH$949,'09월 화학성분'!$A$12:$A$949,$A97,'09월 화학성분'!$D$12:$D$949,$B97)))</f>
        <v/>
      </c>
      <c r="AN97" s="829" t="str">
        <f>IF($C97&lt;1,"",(AVERAGEIFS('09월 화학성분'!AI$12:AI$949,'09월 화학성분'!$A$12:$A$949,$A97,'09월 화학성분'!$D$12:$D$949,$B97)))</f>
        <v/>
      </c>
      <c r="AO97" s="829" t="str">
        <f>IF($C97&lt;1,"",(AVERAGEIFS('09월 화학성분'!AJ$12:AJ$949,'09월 화학성분'!$A$12:$A$949,$A97,'09월 화학성분'!$D$12:$D$949,$B97)))</f>
        <v/>
      </c>
      <c r="AP97" s="829" t="str">
        <f>IF($C97&lt;1,"",(AVERAGEIFS('09월 화학성분'!#REF!,'09월 화학성분'!$A$12:$A$949,$A97,'09월 화학성분'!$D$12:$D$949,$B97)))</f>
        <v/>
      </c>
      <c r="AQ97" s="829" t="str">
        <f>IF($C97&lt;1,"",(AVERAGEIFS('09월 화학성분'!AL$12:AL$949,'09월 화학성분'!$A$12:$A$949,$A97,'09월 화학성분'!$D$12:$D$949,$B97)))</f>
        <v/>
      </c>
      <c r="AR97" s="829" t="str">
        <f>IF($C97&lt;1,"",(AVERAGEIFS('09월 화학성분'!AM$12:AM$949,'09월 화학성분'!$A$12:$A$949,$A97,'09월 화학성분'!$D$12:$D$949,$B97)))</f>
        <v/>
      </c>
      <c r="AS97" s="830" t="str">
        <f>IF($C97&lt;1,"",(AVERAGEIFS('09월 화학성분'!AN$12:AN$949,'09월 화학성분'!$A$12:$A$949,$A97,'09월 화학성분'!$D$12:$D$949,$B97)))</f>
        <v/>
      </c>
      <c r="AT97" s="830" t="str">
        <f>IF($C97&lt;1,"",(AVERAGEIFS('09월 화학성분'!AO$12:AO$949,'09월 화학성분'!$A$12:$A$949,$A97,'09월 화학성분'!$D$12:$D$949,$B97)))</f>
        <v/>
      </c>
      <c r="AU97" s="831" t="str">
        <f>IF($C97&lt;1,"",(AVERAGEIFS('09월 화학성분'!AP$12:AP$949,'09월 화학성분'!$A$12:$A$949,$A97,'09월 화학성분'!$D$12:$D$949,$B97)))</f>
        <v/>
      </c>
      <c r="AV97" s="832" t="str">
        <f>IF($C97&lt;1,"",(AVERAGEIFS('09월 고철장입'!G$14:G$949,'09월 고철장입'!$A$14:$A$949,$A97,'09월 고철장입'!$C$14:$C$949,$B97))/1000)</f>
        <v/>
      </c>
      <c r="AW97" s="832" t="str">
        <f>IF($C97&lt;1,"",(AVERAGEIFS('09월 고철장입'!H$14:H$949,'09월 고철장입'!$A$14:$A$949,$A97,'09월 고철장입'!$C$14:$C$949,$B97))/1000)</f>
        <v/>
      </c>
      <c r="AX97" s="832" t="str">
        <f>IF($C97&lt;1,"",(AVERAGEIFS('09월 고철장입'!I$14:I$949,'09월 고철장입'!$A$14:$A$949,$A97,'09월 고철장입'!$C$14:$C$949,$B97))/1000)</f>
        <v/>
      </c>
      <c r="AY97" s="832" t="str">
        <f>IF($C97&lt;1,"",(AVERAGEIFS('09월 고철장입'!J$14:J$949,'09월 고철장입'!$A$14:$A$949,$A97,'09월 고철장입'!$C$14:$C$949,$B97))/1000)</f>
        <v/>
      </c>
      <c r="AZ97" s="832" t="str">
        <f>IF($C97&lt;1,"",(AVERAGEIFS('09월 고철장입'!K$14:K$949,'09월 고철장입'!$A$14:$A$949,$A97,'09월 고철장입'!$C$14:$C$949,$B97))/1000)</f>
        <v/>
      </c>
      <c r="BA97" s="832" t="str">
        <f>IF($C97&lt;1,"",(AVERAGEIFS('09월 고철장입'!L$14:L$949,'09월 고철장입'!$A$14:$A$949,$A97,'09월 고철장입'!$C$14:$C$949,$B97))/1000)</f>
        <v/>
      </c>
      <c r="BB97" s="832" t="str">
        <f>IF($C97&lt;1,"",(AVERAGEIFS('09월 고철장입'!M$14:M$949,'09월 고철장입'!$A$14:$A$949,$A97,'09월 고철장입'!$C$14:$C$949,$B97))/1000)</f>
        <v/>
      </c>
      <c r="BC97" s="832" t="str">
        <f>IF($C97&lt;1,"",(AVERAGEIFS('09월 고철장입'!N$14:N$949,'09월 고철장입'!$A$14:$A$949,$A97,'09월 고철장입'!$C$14:$C$949,$B97))/1000)</f>
        <v/>
      </c>
      <c r="BD97" s="832" t="str">
        <f>IF($C97&lt;1,"",(AVERAGEIFS('09월 고철장입'!O$14:O$949,'09월 고철장입'!$A$14:$A$949,$A97,'09월 고철장입'!$C$14:$C$949,$B97))/1000)</f>
        <v/>
      </c>
      <c r="BE97" s="833" t="str">
        <f>IF($C97&lt;1,"",(AVERAGEIFS('09월 고철장입'!P$14:P$949,'09월 고철장입'!$A$14:$A$949,$A97,'09월 고철장입'!$C$14:$C$949,$B97))/1000)</f>
        <v/>
      </c>
      <c r="BF97" s="833" t="str">
        <f>IF($C97&lt;1,"",(AVERAGEIFS('09월 고철장입'!Q$14:Q$949,'09월 고철장입'!$A$14:$A$949,$A97,'09월 고철장입'!$C$14:$C$949,$B97))/1000)</f>
        <v/>
      </c>
      <c r="BG97" s="833" t="str">
        <f>IF($C97&lt;1,"",(AVERAGEIFS('09월 고철장입'!S$14:S$949,'09월 고철장입'!$A$14:$A$949,$A97,'09월 고철장입'!$C$14:$C$949,$B97))/1000)</f>
        <v/>
      </c>
      <c r="BH97" s="833" t="str">
        <f>IF($C97&lt;1,"",(AVERAGEIFS('09월 고철장입'!T$14:T$949,'09월 고철장입'!$A$14:$A$949,$A97,'09월 고철장입'!$C$14:$C$949,$B97))/1000)</f>
        <v/>
      </c>
      <c r="BI97" s="833" t="str">
        <f>IF($C97&lt;1,"",(AVERAGEIFS('09월 고철장입'!U$14:U$949,'09월 고철장입'!$A$14:$A$949,$A97,'09월 고철장입'!$C$14:$C$949,$B97))/1000)</f>
        <v/>
      </c>
      <c r="BJ97" s="833" t="str">
        <f>IF($C97&lt;1,"",(AVERAGEIFS('09월 고철장입'!V$14:V$949,'09월 고철장입'!$A$14:$A$949,$A97,'09월 고철장입'!$C$14:$C$949,$B97))/1000)</f>
        <v/>
      </c>
      <c r="BK97" s="833" t="str">
        <f>IF($C97&lt;1,"",(AVERAGEIFS('09월 고철장입'!W$14:W$949,'09월 고철장입'!$A$14:$A$949,$A97,'09월 고철장입'!$C$14:$C$949,$B97))/1000)</f>
        <v/>
      </c>
      <c r="BL97" s="833" t="str">
        <f>IF($C97&lt;1,"",(AVERAGEIFS('09월 고철장입'!Y$14:Y$949,'09월 고철장입'!$A$14:$A$949,$A97,'09월 고철장입'!$C$14:$C$949,$B97))/1000)</f>
        <v/>
      </c>
      <c r="BM97" s="833" t="str">
        <f>IF($C97&lt;1,"",(AVERAGEIFS('09월 고철장입'!AB$14:AB$949,'09월 고철장입'!$A$14:$A$949,$A97,'09월 고철장입'!$C$14:$C$949,$B97))/1000)</f>
        <v/>
      </c>
      <c r="BN97" s="833" t="str">
        <f>IF($C97&lt;1,"",(AVERAGEIFS('09월 고철장입'!AC$14:AC$949,'09월 고철장입'!$A$14:$A$949,$A97,'09월 고철장입'!$C$14:$C$949,$B97))/1000)</f>
        <v/>
      </c>
      <c r="BO97" s="833" t="str">
        <f>IF($C97&lt;1,"",(AVERAGEIFS('09월 고철장입'!AD$14:AD$949,'09월 고철장입'!$A$14:$A$949,$A97,'09월 고철장입'!$C$14:$C$949,$B97))/1000)</f>
        <v/>
      </c>
      <c r="BP97" s="833" t="str">
        <f>IF($C97&lt;1,"",(AVERAGEIFS('09월 고철장입'!AE$14:AE$949,'09월 고철장입'!$A$14:$A$949,$A97,'09월 고철장입'!$C$14:$C$949,$B97))/1000)</f>
        <v/>
      </c>
      <c r="BQ97" s="832" t="str">
        <f>IF($C97&lt;1,"",(AVERAGEIFS('09월 고철장입'!AF$14:AF$949,'09월 고철장입'!$A$14:$A$949,$A97,'09월 고철장입'!$C$14:$C$949,$B97))/1000)</f>
        <v/>
      </c>
      <c r="BR97" s="832" t="str">
        <f>IF($C97&lt;1,"",(AVERAGEIFS('09월 고철장입'!AG$14:AG$949,'09월 고철장입'!$A$14:$A$949,$A97,'09월 고철장입'!$C$14:$C$949,$B97))/1000)</f>
        <v/>
      </c>
      <c r="BS97" s="832" t="str">
        <f>IF($C97&lt;1,"",(AVERAGEIFS('09월 고철장입'!AH$14:AH$949,'09월 고철장입'!$A$14:$A$949,$A97,'09월 고철장입'!$C$14:$C$949,$B97))/1000)</f>
        <v/>
      </c>
      <c r="BT97" s="832" t="str">
        <f>IF($C97&lt;1,"",(AVERAGEIFS('09월 고철장입'!AI$14:AI$949,'09월 고철장입'!$A$14:$A$949,$A97,'09월 고철장입'!$C$14:$C$949,$B97))/1000)</f>
        <v/>
      </c>
      <c r="BU97" s="834" t="str">
        <f>IF($C97&lt;1,"",(AVERAGEIFS('09월 고철장입'!AJ$14:AJ$949,'09월 고철장입'!$A$14:$A$949,$A97,'09월 고철장입'!$C$14:$C$949,$B97))/1000)</f>
        <v/>
      </c>
      <c r="BV97" s="834" t="str">
        <f>IF($C97&lt;1,"",(AVERAGEIFS('09월 고철장입'!AK$14:AK$949,'09월 고철장입'!$A$14:$A$949,$A97,'09월 고철장입'!$C$14:$C$949,$B97)))</f>
        <v/>
      </c>
      <c r="BW97" s="834" t="str">
        <f>IF($C97&lt;1,"",(AVERAGEIFS('09월 고철장입'!AL$14:AL$949,'09월 고철장입'!$A$14:$A$949,$A97,'09월 고철장입'!$C$14:$C$949,$B97))*100)</f>
        <v/>
      </c>
      <c r="BX97" s="831" t="str">
        <f>IF($C97&lt;1,"",(AVERAGEIFS('09월 에너지'!G$14:G$949,'09월 에너지'!$A$14:$A$949,$A97,'09월 에너지'!$C$14:$C$949,$B97)))</f>
        <v/>
      </c>
      <c r="BY97" s="835" t="str">
        <f>IF($C97&lt;1,"",(AVERAGEIFS('09월 에너지'!H$14:H$949,'09월 에너지'!$A$14:$A$949,$A97,'09월 에너지'!$C$14:$C$949,$B97)))</f>
        <v/>
      </c>
      <c r="BZ97" s="831" t="str">
        <f>IF($C97&lt;1,"",(AVERAGEIFS('09월 에너지'!I$14:I$949,'09월 에너지'!$A$14:$A$949,$A97,'09월 에너지'!$C$14:$C$949,$B97)))</f>
        <v/>
      </c>
      <c r="CA97" s="835" t="str">
        <f>IF($C97&lt;1,"",(AVERAGEIFS('09월 에너지'!J$14:J$949,'09월 에너지'!$A$14:$A$949,$A97,'09월 에너지'!$C$14:$C$949,$B97)))</f>
        <v/>
      </c>
      <c r="CB97" s="831" t="str">
        <f>IF($C97&lt;1,"",(AVERAGEIFS('09월 에너지'!K$14:K$949,'09월 에너지'!$A$14:$A$949,$A97,'09월 에너지'!$C$14:$C$949,$B97)))</f>
        <v/>
      </c>
      <c r="CC97" s="835" t="str">
        <f>IF($C97&lt;1,"",(AVERAGEIFS('09월 에너지'!L$14:L$949,'09월 에너지'!$A$14:$A$949,$A97,'09월 에너지'!$C$14:$C$949,$B97)))</f>
        <v/>
      </c>
      <c r="CD97" s="831" t="str">
        <f>IF($C97&lt;1,"",(AVERAGEIFS('09월 에너지'!M$14:M$949,'09월 에너지'!$A$14:$A$949,$A97,'09월 에너지'!$C$14:$C$949,$B97)))</f>
        <v/>
      </c>
      <c r="CE97" s="835" t="str">
        <f>IF($C97&lt;1,"",(AVERAGEIFS('09월 에너지'!N$14:N$949,'09월 에너지'!$A$14:$A$949,$A97,'09월 에너지'!$C$14:$C$949,$B97)))</f>
        <v/>
      </c>
      <c r="CF97" s="831" t="str">
        <f>IF($C97&lt;1,"",(AVERAGEIFS('09월 에너지'!O$14:O$949,'09월 에너지'!$A$14:$A$949,$A97,'09월 에너지'!$C$14:$C$949,$B97)))</f>
        <v/>
      </c>
      <c r="CG97" s="831" t="str">
        <f>IF($C97&lt;1,"",(AVERAGEIFS('09월 에너지'!P$14:P$949,'09월 에너지'!$A$14:$A$949,$A97,'09월 에너지'!$C$14:$C$949,$B97)))</f>
        <v/>
      </c>
      <c r="CH97" s="831" t="str">
        <f>IF($C97&lt;1,"",(AVERAGEIFS('09월 에너지'!Q$14:Q$949,'09월 에너지'!$A$14:$A$949,$A97,'09월 에너지'!$C$14:$C$949,$B97)))</f>
        <v/>
      </c>
      <c r="CI97" s="831" t="str">
        <f>IF($C97&lt;1,"",(AVERAGEIFS('09월 에너지'!R$14:R$949,'09월 에너지'!$A$14:$A$949,$A97,'09월 에너지'!$C$14:$C$949,$B97)))</f>
        <v/>
      </c>
      <c r="CJ97" s="831" t="str">
        <f>IF($C97&lt;1,"",(AVERAGEIFS('09월 에너지'!S$14:S$949,'09월 에너지'!$A$14:$A$949,$A97,'09월 에너지'!$C$14:$C$949,$B97)))</f>
        <v/>
      </c>
      <c r="CK97" s="831" t="str">
        <f>IF($C97&lt;1,"",(AVERAGEIFS('09월 에너지'!T$14:T$949,'09월 에너지'!$A$14:$A$949,$A97,'09월 에너지'!$C$14:$C$949,$B97)))</f>
        <v/>
      </c>
      <c r="CL97" s="831" t="str">
        <f>IF($C97&lt;1,"",(AVERAGEIFS('09월 에너지'!U$14:U$949,'09월 에너지'!$A$14:$A$949,$A97,'09월 에너지'!$C$14:$C$949,$B97)))</f>
        <v/>
      </c>
      <c r="CM97" s="835" t="str">
        <f>IF($C97&lt;1,"",(AVERAGEIFS('09월 에너지'!V$14:V$949,'09월 에너지'!$A$14:$A$949,$A97,'09월 에너지'!$C$14:$C$949,$B97)))</f>
        <v/>
      </c>
      <c r="CN97" s="835" t="str">
        <f>IF($C97&lt;1,"",(AVERAGEIFS('09월 에너지'!W$14:W$949,'09월 에너지'!$A$14:$A$949,$A97,'09월 에너지'!$C$14:$C$949,$B97)))</f>
        <v/>
      </c>
      <c r="CO97" s="831" t="str">
        <f>IF($C97&lt;1,"",(AVERAGEIFS('09월 에너지'!X$14:X$949,'09월 에너지'!$A$14:$A$949,$A97,'09월 에너지'!$C$14:$C$949,$B97)))</f>
        <v/>
      </c>
      <c r="CP97" s="835" t="str">
        <f>IF($C97&lt;1,"",(AVERAGEIFS('09월 에너지'!Y$14:Y$949,'09월 에너지'!$A$14:$A$949,$A97,'09월 에너지'!$C$14:$C$949,$B97)))</f>
        <v/>
      </c>
      <c r="CQ97" s="835" t="str">
        <f>IF($C97&lt;1,"",(AVERAGEIFS('09월 에너지'!Z$14:Z$949,'09월 에너지'!$A$14:$A$949,$A97,'09월 에너지'!$C$14:$C$949,$B97)))</f>
        <v/>
      </c>
      <c r="CR97" s="835" t="str">
        <f>IF($C97&lt;1,"",(AVERAGEIFS('09월 에너지'!AA$14:AA$949,'09월 에너지'!$A$14:$A$949,$A97,'09월 에너지'!$C$14:$C$949,$B97)))</f>
        <v/>
      </c>
      <c r="CS97" s="835" t="str">
        <f>IF($C97&lt;1,"",(AVERAGEIFS('09월 에너지'!AB$14:AB$949,'09월 에너지'!$A$14:$A$949,$A97,'09월 에너지'!$C$14:$C$949,$B97)))</f>
        <v/>
      </c>
      <c r="CT97" s="831" t="str">
        <f>IF($C97&lt;1,"",(AVERAGEIFS('09월 에너지'!AC$14:AC$949,'09월 에너지'!$A$14:$A$949,$A97,'09월 에너지'!$C$14:$C$949,$B97)))</f>
        <v/>
      </c>
      <c r="CU97" s="836" t="str">
        <f>IF($C97&lt;1,"",(AVERAGEIFS('09월 에너지'!AD$14:AD$949,'09월 에너지'!$A$14:$A$949,$A97,'09월 에너지'!$C$14:$C$949,$B97)))</f>
        <v/>
      </c>
      <c r="CV97" s="837" t="str">
        <f>IF($C97&lt;1,"",(AVERAGEIFS('09월 에너지'!AE$14:AE$949,'09월 에너지'!$A$14:$A$949,$A97,'09월 에너지'!$C$14:$C$949,$B97)))</f>
        <v/>
      </c>
      <c r="CW97" s="831" t="str">
        <f>IF($C97&lt;1,"",(AVERAGEIFS('09월 에너지'!AF$14:AF$949,'09월 에너지'!$A$14:$A$949,$A97,'09월 에너지'!$C$14:$C$949,$B97)))</f>
        <v/>
      </c>
      <c r="CX97" s="831" t="str">
        <f>IF($C97&lt;1,"",(AVERAGEIFS('09월 에너지'!AG$14:AG$949,'09월 에너지'!$A$14:$A$949,$A97,'09월 에너지'!$C$14:$C$949,$B97)))</f>
        <v/>
      </c>
      <c r="CY97" s="831" t="str">
        <f>IF($C97&lt;1,"",(AVERAGEIFS('09월 에너지'!AH$14:AH$949,'09월 에너지'!$A$14:$A$949,$A97,'09월 에너지'!$C$14:$C$949,$B97)))</f>
        <v/>
      </c>
      <c r="CZ97" s="831" t="str">
        <f>IF($C97&lt;1,"",(AVERAGEIFS('09월 에너지'!AI$14:AI$949,'09월 에너지'!$A$14:$A$949,$A97,'09월 에너지'!$C$14:$C$949,$B97)))</f>
        <v/>
      </c>
      <c r="DA97" s="838" t="str">
        <f>IF($C97&lt;1,"",(AVERAGEIFS('09월 에너지'!AJ$14:AJ$949,'09월 에너지'!$A$14:$A$949,$A97,'09월 에너지'!$C$14:$C$949,$B97)))</f>
        <v/>
      </c>
    </row>
    <row r="98" spans="1:105" ht="13.5" customHeight="1">
      <c r="A98" s="849">
        <f t="shared" si="20"/>
        <v>44945</v>
      </c>
      <c r="B98" s="850" t="s">
        <v>100</v>
      </c>
      <c r="C98" s="823">
        <f>COUNTIFS('09월 조업일지'!$A$12:$A$952,A96,'09월 조업일지'!$E$12:$E$952,B98)</f>
        <v>0</v>
      </c>
      <c r="D98" s="824" t="str">
        <f t="shared" ref="D98:D100" si="22">IF(C98&lt;1,"",F98-E98)</f>
        <v/>
      </c>
      <c r="E98" s="824" t="str">
        <f>IF($C98&lt;1,"",(SUMIFS('09월 조업일지'!$K$12:$K$952,'09월 조업일지'!$A$12:$A$952,$A98,'09월 조업일지'!$E$12:$E$952,$B98)/$C98))</f>
        <v/>
      </c>
      <c r="F98" s="824" t="str">
        <f>IF($C98&lt;1,"",(AVERAGEIFS('09월 조업일지'!$J$12:$J$952,'09월 조업일지'!$A$12:$A$952,$A98,'09월 조업일지'!$E$12:$E$952,$B98)))</f>
        <v/>
      </c>
      <c r="G98" s="825" t="str">
        <f>IF($C98&lt;1,"",(AVERAGEIFS('09월 에너지'!$M$14:$M$949,'09월 에너지'!$A$14:$A$949,$A98,'09월 에너지'!$C$14:$C$949,$B98)))</f>
        <v/>
      </c>
      <c r="H98" s="826" t="str">
        <f>IF($C98&lt;1,"",(AVERAGEIFS('09월 조업일지'!$AJ$12:$AJ$952,'09월 조업일지'!$A$12:$A$952,$A98,'09월 조업일지'!$E$12:$E$952,$B98)))</f>
        <v/>
      </c>
      <c r="I98" s="826" t="str">
        <f>IF($C98&lt;1,"",(AVERAGEIFS('09월 조업일지'!$AL$12:$AL$952,'09월 조업일지'!$A$12:$A$952,$A98,'09월 조업일지'!$E$12:$E$952,$B98)))</f>
        <v/>
      </c>
      <c r="J98" s="827" t="str">
        <f>IF($C98&lt;1,"",(AVERAGEIFS('09월 화학성분'!G$12:G$949,'09월 화학성분'!$A$12:$A$949,$A98,'09월 화학성분'!$D$12:$D$949,$B98)))</f>
        <v/>
      </c>
      <c r="K98" s="827" t="str">
        <f>IF($C98&lt;1,"",(AVERAGEIFS('09월 화학성분'!H$12:H$949,'09월 화학성분'!$A$12:$A$949,$A98,'09월 화학성분'!$D$12:$D$949,$B98)))</f>
        <v/>
      </c>
      <c r="L98" s="827" t="str">
        <f>IF($C98&lt;1,"",(AVERAGEIFS('09월 화학성분'!I$12:I$949,'09월 화학성분'!$A$12:$A$949,$A98,'09월 화학성분'!$D$12:$D$949,$B98)))</f>
        <v/>
      </c>
      <c r="M98" s="827" t="str">
        <f>IF($C98&lt;1,"",(AVERAGEIFS('09월 화학성분'!J$12:J$949,'09월 화학성분'!$A$12:$A$949,$A98,'09월 화학성분'!$D$12:$D$949,$B98)))</f>
        <v/>
      </c>
      <c r="N98" s="827" t="str">
        <f>IF($C98&lt;1,"",(AVERAGEIFS('09월 화학성분'!K$12:K$949,'09월 화학성분'!$A$12:$A$949,$A98,'09월 화학성분'!$D$12:$D$949,$B98)))</f>
        <v/>
      </c>
      <c r="O98" s="827" t="str">
        <f>IF($C98&lt;1,"",(AVERAGEIFS('09월 화학성분'!L$12:L$949,'09월 화학성분'!$A$12:$A$949,$A98,'09월 화학성분'!$D$12:$D$949,$B98)))</f>
        <v/>
      </c>
      <c r="P98" s="827" t="str">
        <f>IF($C98&lt;1,"",(AVERAGEIFS('09월 화학성분'!M$12:M$949,'09월 화학성분'!$A$12:$A$949,$A98,'09월 화학성분'!$D$12:$D$949,$B98)))</f>
        <v/>
      </c>
      <c r="Q98" s="827" t="str">
        <f>IFERROR(IF($C98&lt;1,"",(AVERAGEIFS('09월 조업일지'!$AA$12:$AA$952,'09월 조업일지'!$A$12:$A$952,$A98,'09월 조업일지'!$E$12:$E$952,$B98))),"")</f>
        <v/>
      </c>
      <c r="R98" s="827" t="str">
        <f>IF($C98&lt;1,"",(AVERAGEIFS('09월 조업일지'!$AK$12:$AK$952,'09월 조업일지'!$A$12:$A$952,$A98,'09월 조업일지'!$E$12:$E$952,$B98)))</f>
        <v/>
      </c>
      <c r="S98" s="827"/>
      <c r="T98" s="827"/>
      <c r="U98" s="827" t="str">
        <f>IF($C98&lt;1,"",(AVERAGEIFS('09월 화학성분'!$G$12:$G$949,'09월 화학성분'!$A$12:$A$949,$A98,'09월 화학성분'!$D$12:$D$949,$B98)))</f>
        <v/>
      </c>
      <c r="V98" s="827" t="str">
        <f>IF($C98&lt;1,"",(AVERAGEIFS('09월 조업일지'!$AI$12:$AI$952,'09월 조업일지'!$A$12:$A$952,$A98,'09월 조업일지'!$E$12:$E$952,$B98)))</f>
        <v/>
      </c>
      <c r="W98" s="828" t="str">
        <f>IF($C98&lt;1,"",(AVERAGEIFS('09월 화학성분'!$AM$12:$AM$949,'09월 화학성분'!$A$12:$A$949,$A98,'09월 화학성분'!$D$12:$D$949,$B98)))</f>
        <v/>
      </c>
      <c r="X98" s="829" t="str">
        <f>IF($C98&lt;1,"",(AVERAGEIFS('09월 화학성분'!N$12:N$949,'09월 화학성분'!$A$12:$A$949,$A98,'09월 화학성분'!$D$12:$D$949,$B98)))</f>
        <v/>
      </c>
      <c r="Y98" s="829" t="str">
        <f>IF($C98&lt;1,"",(AVERAGEIFS('09월 화학성분'!O$12:O$949,'09월 화학성분'!$A$12:$A$949,$A98,'09월 화학성분'!$D$12:$D$949,$B98)))</f>
        <v/>
      </c>
      <c r="Z98" s="829" t="str">
        <f>IF($C98&lt;1,"",(AVERAGEIFS('09월 화학성분'!P$12:P$949,'09월 화학성분'!$A$12:$A$949,$A98,'09월 화학성분'!$D$12:$D$949,$B98)))</f>
        <v/>
      </c>
      <c r="AA98" s="829" t="str">
        <f>IF($C98&lt;1,"",(AVERAGEIFS('09월 화학성분'!Q$12:Q$949,'09월 화학성분'!$A$12:$A$949,$A98,'09월 화학성분'!$D$12:$D$949,$B98)))</f>
        <v/>
      </c>
      <c r="AB98" s="829" t="str">
        <f>IF($C98&lt;1,"",(AVERAGEIFS('09월 화학성분'!R$12:R$949,'09월 화학성분'!$A$12:$A$949,$A98,'09월 화학성분'!$D$12:$D$949,$B98)))</f>
        <v/>
      </c>
      <c r="AC98" s="829" t="str">
        <f>IF($C98&lt;1,"",(AVERAGEIFS('09월 화학성분'!U$12:U$949,'09월 화학성분'!$A$12:$A$949,$A98,'09월 화학성분'!$D$12:$D$949,$B98)))</f>
        <v/>
      </c>
      <c r="AD98" s="829" t="str">
        <f>IF($C98&lt;1,"",(AVERAGEIFS('09월 화학성분'!V$12:V$949,'09월 화학성분'!$A$12:$A$949,$A98,'09월 화학성분'!$D$12:$D$949,$B98)))</f>
        <v/>
      </c>
      <c r="AE98" s="829" t="str">
        <f>IF($C98&lt;1,"",(AVERAGEIFS('09월 화학성분'!W$12:W$949,'09월 화학성분'!$A$12:$A$949,$A98,'09월 화학성분'!$D$12:$D$949,$B98)))</f>
        <v/>
      </c>
      <c r="AF98" s="829" t="str">
        <f>IF($C98&lt;1,"",(AVERAGEIFS('09월 화학성분'!AA$12:AA$949,'09월 화학성분'!$A$12:$A$949,$A98,'09월 화학성분'!$D$12:$D$949,$B98)))</f>
        <v/>
      </c>
      <c r="AG98" s="829" t="str">
        <f>IF($C98&lt;1,"",(AVERAGEIFS('09월 화학성분'!#REF!,'09월 화학성분'!$A$12:$A$949,$A98,'09월 화학성분'!$D$12:$D$949,$B98)))</f>
        <v/>
      </c>
      <c r="AH98" s="829" t="str">
        <f>IF($C98&lt;1,"",(AVERAGEIFS('09월 화학성분'!AB$12:AB$949,'09월 화학성분'!$A$12:$A$949,$A98,'09월 화학성분'!$D$12:$D$949,$B98)))</f>
        <v/>
      </c>
      <c r="AI98" s="829" t="str">
        <f>IF($C98&lt;1,"",(AVERAGEIFS('09월 화학성분'!AC$12:AC$949,'09월 화학성분'!$A$12:$A$949,$A98,'09월 화학성분'!$D$12:$D$949,$B98)))</f>
        <v/>
      </c>
      <c r="AJ98" s="829" t="str">
        <f>IF($C98&lt;1,"",(AVERAGEIFS('09월 화학성분'!AD$12:AD$949,'09월 화학성분'!$A$12:$A$949,$A98,'09월 화학성분'!$D$12:$D$949,$B98)))</f>
        <v/>
      </c>
      <c r="AK98" s="829" t="str">
        <f>IF($C98&lt;1,"",(AVERAGEIFS('09월 화학성분'!AF$12:AF$949,'09월 화학성분'!$A$12:$A$949,$A98,'09월 화학성분'!$D$12:$D$949,$B98)))</f>
        <v/>
      </c>
      <c r="AL98" s="829" t="str">
        <f>IF($C98&lt;1,"",(AVERAGEIFS('09월 화학성분'!AG$12:AG$949,'09월 화학성분'!$A$12:$A$949,$A98,'09월 화학성분'!$D$12:$D$949,$B98)))</f>
        <v/>
      </c>
      <c r="AM98" s="829" t="str">
        <f>IF($C98&lt;1,"",(AVERAGEIFS('09월 화학성분'!AH$12:AH$949,'09월 화학성분'!$A$12:$A$949,$A98,'09월 화학성분'!$D$12:$D$949,$B98)))</f>
        <v/>
      </c>
      <c r="AN98" s="829" t="str">
        <f>IF($C98&lt;1,"",(AVERAGEIFS('09월 화학성분'!AI$12:AI$949,'09월 화학성분'!$A$12:$A$949,$A98,'09월 화학성분'!$D$12:$D$949,$B98)))</f>
        <v/>
      </c>
      <c r="AO98" s="829" t="str">
        <f>IF($C98&lt;1,"",(AVERAGEIFS('09월 화학성분'!AJ$12:AJ$949,'09월 화학성분'!$A$12:$A$949,$A98,'09월 화학성분'!$D$12:$D$949,$B98)))</f>
        <v/>
      </c>
      <c r="AP98" s="829" t="str">
        <f>IF($C98&lt;1,"",(AVERAGEIFS('09월 화학성분'!#REF!,'09월 화학성분'!$A$12:$A$949,$A98,'09월 화학성분'!$D$12:$D$949,$B98)))</f>
        <v/>
      </c>
      <c r="AQ98" s="829" t="str">
        <f>IF($C98&lt;1,"",(AVERAGEIFS('09월 화학성분'!AL$12:AL$949,'09월 화학성분'!$A$12:$A$949,$A98,'09월 화학성분'!$D$12:$D$949,$B98)))</f>
        <v/>
      </c>
      <c r="AR98" s="829" t="str">
        <f>IF($C98&lt;1,"",(AVERAGEIFS('09월 화학성분'!AM$12:AM$949,'09월 화학성분'!$A$12:$A$949,$A98,'09월 화학성분'!$D$12:$D$949,$B98)))</f>
        <v/>
      </c>
      <c r="AS98" s="830" t="str">
        <f>IF($C98&lt;1,"",(AVERAGEIFS('09월 화학성분'!AN$12:AN$949,'09월 화학성분'!$A$12:$A$949,$A98,'09월 화학성분'!$D$12:$D$949,$B98)))</f>
        <v/>
      </c>
      <c r="AT98" s="830" t="str">
        <f>IF($C98&lt;1,"",(AVERAGEIFS('09월 화학성분'!AO$12:AO$949,'09월 화학성분'!$A$12:$A$949,$A98,'09월 화학성분'!$D$12:$D$949,$B98)))</f>
        <v/>
      </c>
      <c r="AU98" s="831" t="str">
        <f>IF($C98&lt;1,"",(AVERAGEIFS('09월 화학성분'!AP$12:AP$949,'09월 화학성분'!$A$12:$A$949,$A98,'09월 화학성분'!$D$12:$D$949,$B98)))</f>
        <v/>
      </c>
      <c r="AV98" s="832" t="str">
        <f>IF($C98&lt;1,"",(AVERAGEIFS('09월 고철장입'!G$14:G$949,'09월 고철장입'!$A$14:$A$949,$A98,'09월 고철장입'!$C$14:$C$949,$B98))/1000)</f>
        <v/>
      </c>
      <c r="AW98" s="832" t="str">
        <f>IF($C98&lt;1,"",(AVERAGEIFS('09월 고철장입'!H$14:H$949,'09월 고철장입'!$A$14:$A$949,$A98,'09월 고철장입'!$C$14:$C$949,$B98))/1000)</f>
        <v/>
      </c>
      <c r="AX98" s="832" t="str">
        <f>IF($C98&lt;1,"",(AVERAGEIFS('09월 고철장입'!I$14:I$949,'09월 고철장입'!$A$14:$A$949,$A98,'09월 고철장입'!$C$14:$C$949,$B98))/1000)</f>
        <v/>
      </c>
      <c r="AY98" s="832" t="str">
        <f>IF($C98&lt;1,"",(AVERAGEIFS('09월 고철장입'!J$14:J$949,'09월 고철장입'!$A$14:$A$949,$A98,'09월 고철장입'!$C$14:$C$949,$B98))/1000)</f>
        <v/>
      </c>
      <c r="AZ98" s="832" t="str">
        <f>IF($C98&lt;1,"",(AVERAGEIFS('09월 고철장입'!K$14:K$949,'09월 고철장입'!$A$14:$A$949,$A98,'09월 고철장입'!$C$14:$C$949,$B98))/1000)</f>
        <v/>
      </c>
      <c r="BA98" s="832" t="str">
        <f>IF($C98&lt;1,"",(AVERAGEIFS('09월 고철장입'!L$14:L$949,'09월 고철장입'!$A$14:$A$949,$A98,'09월 고철장입'!$C$14:$C$949,$B98))/1000)</f>
        <v/>
      </c>
      <c r="BB98" s="832" t="str">
        <f>IF($C98&lt;1,"",(AVERAGEIFS('09월 고철장입'!M$14:M$949,'09월 고철장입'!$A$14:$A$949,$A98,'09월 고철장입'!$C$14:$C$949,$B98))/1000)</f>
        <v/>
      </c>
      <c r="BC98" s="832" t="str">
        <f>IF($C98&lt;1,"",(AVERAGEIFS('09월 고철장입'!N$14:N$949,'09월 고철장입'!$A$14:$A$949,$A98,'09월 고철장입'!$C$14:$C$949,$B98))/1000)</f>
        <v/>
      </c>
      <c r="BD98" s="832" t="str">
        <f>IF($C98&lt;1,"",(AVERAGEIFS('09월 고철장입'!O$14:O$949,'09월 고철장입'!$A$14:$A$949,$A98,'09월 고철장입'!$C$14:$C$949,$B98))/1000)</f>
        <v/>
      </c>
      <c r="BE98" s="833" t="str">
        <f>IF($C98&lt;1,"",(AVERAGEIFS('09월 고철장입'!P$14:P$949,'09월 고철장입'!$A$14:$A$949,$A98,'09월 고철장입'!$C$14:$C$949,$B98))/1000)</f>
        <v/>
      </c>
      <c r="BF98" s="833" t="str">
        <f>IF($C98&lt;1,"",(AVERAGEIFS('09월 고철장입'!Q$14:Q$949,'09월 고철장입'!$A$14:$A$949,$A98,'09월 고철장입'!$C$14:$C$949,$B98))/1000)</f>
        <v/>
      </c>
      <c r="BG98" s="833" t="str">
        <f>IF($C98&lt;1,"",(AVERAGEIFS('09월 고철장입'!S$14:S$949,'09월 고철장입'!$A$14:$A$949,$A98,'09월 고철장입'!$C$14:$C$949,$B98))/1000)</f>
        <v/>
      </c>
      <c r="BH98" s="833" t="str">
        <f>IF($C98&lt;1,"",(AVERAGEIFS('09월 고철장입'!T$14:T$949,'09월 고철장입'!$A$14:$A$949,$A98,'09월 고철장입'!$C$14:$C$949,$B98))/1000)</f>
        <v/>
      </c>
      <c r="BI98" s="833" t="str">
        <f>IF($C98&lt;1,"",(AVERAGEIFS('09월 고철장입'!U$14:U$949,'09월 고철장입'!$A$14:$A$949,$A98,'09월 고철장입'!$C$14:$C$949,$B98))/1000)</f>
        <v/>
      </c>
      <c r="BJ98" s="833" t="str">
        <f>IF($C98&lt;1,"",(AVERAGEIFS('09월 고철장입'!V$14:V$949,'09월 고철장입'!$A$14:$A$949,$A98,'09월 고철장입'!$C$14:$C$949,$B98))/1000)</f>
        <v/>
      </c>
      <c r="BK98" s="833" t="str">
        <f>IF($C98&lt;1,"",(AVERAGEIFS('09월 고철장입'!W$14:W$949,'09월 고철장입'!$A$14:$A$949,$A98,'09월 고철장입'!$C$14:$C$949,$B98))/1000)</f>
        <v/>
      </c>
      <c r="BL98" s="833" t="str">
        <f>IF($C98&lt;1,"",(AVERAGEIFS('09월 고철장입'!Y$14:Y$949,'09월 고철장입'!$A$14:$A$949,$A98,'09월 고철장입'!$C$14:$C$949,$B98))/1000)</f>
        <v/>
      </c>
      <c r="BM98" s="833" t="str">
        <f>IF($C98&lt;1,"",(AVERAGEIFS('09월 고철장입'!AB$14:AB$949,'09월 고철장입'!$A$14:$A$949,$A98,'09월 고철장입'!$C$14:$C$949,$B98))/1000)</f>
        <v/>
      </c>
      <c r="BN98" s="833" t="str">
        <f>IF($C98&lt;1,"",(AVERAGEIFS('09월 고철장입'!AC$14:AC$949,'09월 고철장입'!$A$14:$A$949,$A98,'09월 고철장입'!$C$14:$C$949,$B98))/1000)</f>
        <v/>
      </c>
      <c r="BO98" s="833" t="str">
        <f>IF($C98&lt;1,"",(AVERAGEIFS('09월 고철장입'!AD$14:AD$949,'09월 고철장입'!$A$14:$A$949,$A98,'09월 고철장입'!$C$14:$C$949,$B98))/1000)</f>
        <v/>
      </c>
      <c r="BP98" s="833" t="str">
        <f>IF($C98&lt;1,"",(AVERAGEIFS('09월 고철장입'!AE$14:AE$949,'09월 고철장입'!$A$14:$A$949,$A98,'09월 고철장입'!$C$14:$C$949,$B98))/1000)</f>
        <v/>
      </c>
      <c r="BQ98" s="832" t="str">
        <f>IF($C98&lt;1,"",(AVERAGEIFS('09월 고철장입'!AF$14:AF$949,'09월 고철장입'!$A$14:$A$949,$A98,'09월 고철장입'!$C$14:$C$949,$B98))/1000)</f>
        <v/>
      </c>
      <c r="BR98" s="832" t="str">
        <f>IF($C98&lt;1,"",(AVERAGEIFS('09월 고철장입'!AG$14:AG$949,'09월 고철장입'!$A$14:$A$949,$A98,'09월 고철장입'!$C$14:$C$949,$B98))/1000)</f>
        <v/>
      </c>
      <c r="BS98" s="832" t="str">
        <f>IF($C98&lt;1,"",(AVERAGEIFS('09월 고철장입'!AH$14:AH$949,'09월 고철장입'!$A$14:$A$949,$A98,'09월 고철장입'!$C$14:$C$949,$B98))/1000)</f>
        <v/>
      </c>
      <c r="BT98" s="832" t="str">
        <f>IF($C98&lt;1,"",(AVERAGEIFS('09월 고철장입'!AI$14:AI$949,'09월 고철장입'!$A$14:$A$949,$A98,'09월 고철장입'!$C$14:$C$949,$B98))/1000)</f>
        <v/>
      </c>
      <c r="BU98" s="834" t="str">
        <f>IF($C98&lt;1,"",(AVERAGEIFS('09월 고철장입'!AJ$14:AJ$949,'09월 고철장입'!$A$14:$A$949,$A98,'09월 고철장입'!$C$14:$C$949,$B98))/1000)</f>
        <v/>
      </c>
      <c r="BV98" s="834" t="str">
        <f>IF($C98&lt;1,"",(AVERAGEIFS('09월 고철장입'!AK$14:AK$949,'09월 고철장입'!$A$14:$A$949,$A98,'09월 고철장입'!$C$14:$C$949,$B98)))</f>
        <v/>
      </c>
      <c r="BW98" s="834" t="str">
        <f>IF($C98&lt;1,"",(AVERAGEIFS('09월 고철장입'!AL$14:AL$949,'09월 고철장입'!$A$14:$A$949,$A98,'09월 고철장입'!$C$14:$C$949,$B98))*100)</f>
        <v/>
      </c>
      <c r="BX98" s="831" t="str">
        <f>IF($C98&lt;1,"",(AVERAGEIFS('09월 에너지'!G$14:G$949,'09월 에너지'!$A$14:$A$949,$A98,'09월 에너지'!$C$14:$C$949,$B98)))</f>
        <v/>
      </c>
      <c r="BY98" s="835" t="str">
        <f>IF($C98&lt;1,"",(AVERAGEIFS('09월 에너지'!H$14:H$949,'09월 에너지'!$A$14:$A$949,$A98,'09월 에너지'!$C$14:$C$949,$B98)))</f>
        <v/>
      </c>
      <c r="BZ98" s="831" t="str">
        <f>IF($C98&lt;1,"",(AVERAGEIFS('09월 에너지'!I$14:I$949,'09월 에너지'!$A$14:$A$949,$A98,'09월 에너지'!$C$14:$C$949,$B98)))</f>
        <v/>
      </c>
      <c r="CA98" s="835" t="str">
        <f>IF($C98&lt;1,"",(AVERAGEIFS('09월 에너지'!J$14:J$949,'09월 에너지'!$A$14:$A$949,$A98,'09월 에너지'!$C$14:$C$949,$B98)))</f>
        <v/>
      </c>
      <c r="CB98" s="831" t="str">
        <f>IF($C98&lt;1,"",(AVERAGEIFS('09월 에너지'!K$14:K$949,'09월 에너지'!$A$14:$A$949,$A98,'09월 에너지'!$C$14:$C$949,$B98)))</f>
        <v/>
      </c>
      <c r="CC98" s="835" t="str">
        <f>IF($C98&lt;1,"",(AVERAGEIFS('09월 에너지'!L$14:L$949,'09월 에너지'!$A$14:$A$949,$A98,'09월 에너지'!$C$14:$C$949,$B98)))</f>
        <v/>
      </c>
      <c r="CD98" s="831" t="str">
        <f>IF($C98&lt;1,"",(AVERAGEIFS('09월 에너지'!M$14:M$949,'09월 에너지'!$A$14:$A$949,$A98,'09월 에너지'!$C$14:$C$949,$B98)))</f>
        <v/>
      </c>
      <c r="CE98" s="835" t="str">
        <f>IF($C98&lt;1,"",(AVERAGEIFS('09월 에너지'!N$14:N$949,'09월 에너지'!$A$14:$A$949,$A98,'09월 에너지'!$C$14:$C$949,$B98)))</f>
        <v/>
      </c>
      <c r="CF98" s="831" t="str">
        <f>IF($C98&lt;1,"",(AVERAGEIFS('09월 에너지'!O$14:O$949,'09월 에너지'!$A$14:$A$949,$A98,'09월 에너지'!$C$14:$C$949,$B98)))</f>
        <v/>
      </c>
      <c r="CG98" s="831" t="str">
        <f>IF($C98&lt;1,"",(AVERAGEIFS('09월 에너지'!P$14:P$949,'09월 에너지'!$A$14:$A$949,$A98,'09월 에너지'!$C$14:$C$949,$B98)))</f>
        <v/>
      </c>
      <c r="CH98" s="831" t="str">
        <f>IF($C98&lt;1,"",(AVERAGEIFS('09월 에너지'!Q$14:Q$949,'09월 에너지'!$A$14:$A$949,$A98,'09월 에너지'!$C$14:$C$949,$B98)))</f>
        <v/>
      </c>
      <c r="CI98" s="831" t="str">
        <f>IF($C98&lt;1,"",(AVERAGEIFS('09월 에너지'!R$14:R$949,'09월 에너지'!$A$14:$A$949,$A98,'09월 에너지'!$C$14:$C$949,$B98)))</f>
        <v/>
      </c>
      <c r="CJ98" s="831" t="str">
        <f>IF($C98&lt;1,"",(AVERAGEIFS('09월 에너지'!S$14:S$949,'09월 에너지'!$A$14:$A$949,$A98,'09월 에너지'!$C$14:$C$949,$B98)))</f>
        <v/>
      </c>
      <c r="CK98" s="831" t="str">
        <f>IF($C98&lt;1,"",(AVERAGEIFS('09월 에너지'!T$14:T$949,'09월 에너지'!$A$14:$A$949,$A98,'09월 에너지'!$C$14:$C$949,$B98)))</f>
        <v/>
      </c>
      <c r="CL98" s="831" t="str">
        <f>IF($C98&lt;1,"",(AVERAGEIFS('09월 에너지'!U$14:U$949,'09월 에너지'!$A$14:$A$949,$A98,'09월 에너지'!$C$14:$C$949,$B98)))</f>
        <v/>
      </c>
      <c r="CM98" s="835" t="str">
        <f>IF($C98&lt;1,"",(AVERAGEIFS('09월 에너지'!V$14:V$949,'09월 에너지'!$A$14:$A$949,$A98,'09월 에너지'!$C$14:$C$949,$B98)))</f>
        <v/>
      </c>
      <c r="CN98" s="835" t="str">
        <f>IF($C98&lt;1,"",(AVERAGEIFS('09월 에너지'!W$14:W$949,'09월 에너지'!$A$14:$A$949,$A98,'09월 에너지'!$C$14:$C$949,$B98)))</f>
        <v/>
      </c>
      <c r="CO98" s="831" t="str">
        <f>IF($C98&lt;1,"",(AVERAGEIFS('09월 에너지'!X$14:X$949,'09월 에너지'!$A$14:$A$949,$A98,'09월 에너지'!$C$14:$C$949,$B98)))</f>
        <v/>
      </c>
      <c r="CP98" s="835" t="str">
        <f>IF($C98&lt;1,"",(AVERAGEIFS('09월 에너지'!Y$14:Y$949,'09월 에너지'!$A$14:$A$949,$A98,'09월 에너지'!$C$14:$C$949,$B98)))</f>
        <v/>
      </c>
      <c r="CQ98" s="835" t="str">
        <f>IF($C98&lt;1,"",(AVERAGEIFS('09월 에너지'!Z$14:Z$949,'09월 에너지'!$A$14:$A$949,$A98,'09월 에너지'!$C$14:$C$949,$B98)))</f>
        <v/>
      </c>
      <c r="CR98" s="835" t="str">
        <f>IF($C98&lt;1,"",(AVERAGEIFS('09월 에너지'!AA$14:AA$949,'09월 에너지'!$A$14:$A$949,$A98,'09월 에너지'!$C$14:$C$949,$B98)))</f>
        <v/>
      </c>
      <c r="CS98" s="835" t="str">
        <f>IF($C98&lt;1,"",(AVERAGEIFS('09월 에너지'!AB$14:AB$949,'09월 에너지'!$A$14:$A$949,$A98,'09월 에너지'!$C$14:$C$949,$B98)))</f>
        <v/>
      </c>
      <c r="CT98" s="831" t="str">
        <f>IF($C98&lt;1,"",(AVERAGEIFS('09월 에너지'!AC$14:AC$949,'09월 에너지'!$A$14:$A$949,$A98,'09월 에너지'!$C$14:$C$949,$B98)))</f>
        <v/>
      </c>
      <c r="CU98" s="836" t="str">
        <f>IF($C98&lt;1,"",(AVERAGEIFS('09월 에너지'!AD$14:AD$949,'09월 에너지'!$A$14:$A$949,$A98,'09월 에너지'!$C$14:$C$949,$B98)))</f>
        <v/>
      </c>
      <c r="CV98" s="837" t="str">
        <f>IF($C98&lt;1,"",(AVERAGEIFS('09월 에너지'!AE$14:AE$949,'09월 에너지'!$A$14:$A$949,$A98,'09월 에너지'!$C$14:$C$949,$B98)))</f>
        <v/>
      </c>
      <c r="CW98" s="831" t="str">
        <f>IF($C98&lt;1,"",(AVERAGEIFS('09월 에너지'!AF$14:AF$949,'09월 에너지'!$A$14:$A$949,$A98,'09월 에너지'!$C$14:$C$949,$B98)))</f>
        <v/>
      </c>
      <c r="CX98" s="831" t="str">
        <f>IF($C98&lt;1,"",(AVERAGEIFS('09월 에너지'!AG$14:AG$949,'09월 에너지'!$A$14:$A$949,$A98,'09월 에너지'!$C$14:$C$949,$B98)))</f>
        <v/>
      </c>
      <c r="CY98" s="831" t="str">
        <f>IF($C98&lt;1,"",(AVERAGEIFS('09월 에너지'!AH$14:AH$949,'09월 에너지'!$A$14:$A$949,$A98,'09월 에너지'!$C$14:$C$949,$B98)))</f>
        <v/>
      </c>
      <c r="CZ98" s="831" t="str">
        <f>IF($C98&lt;1,"",(AVERAGEIFS('09월 에너지'!AI$14:AI$949,'09월 에너지'!$A$14:$A$949,$A98,'09월 에너지'!$C$14:$C$949,$B98)))</f>
        <v/>
      </c>
      <c r="DA98" s="838" t="str">
        <f>IF($C98&lt;1,"",(AVERAGEIFS('09월 에너지'!AJ$14:AJ$949,'09월 에너지'!$A$14:$A$949,$A98,'09월 에너지'!$C$14:$C$949,$B98)))</f>
        <v/>
      </c>
    </row>
    <row r="99" spans="1:105" ht="13.5" customHeight="1">
      <c r="A99" s="849">
        <f t="shared" si="20"/>
        <v>44945</v>
      </c>
      <c r="B99" s="850" t="s">
        <v>10</v>
      </c>
      <c r="C99" s="823">
        <f>COUNTIFS('09월 조업일지'!$A$12:$A$952,A96,'09월 조업일지'!$E$12:$E$952,B99)</f>
        <v>0</v>
      </c>
      <c r="D99" s="824" t="str">
        <f t="shared" si="22"/>
        <v/>
      </c>
      <c r="E99" s="824" t="str">
        <f>IF($C99&lt;1,"",(SUMIFS('09월 조업일지'!$K$12:$K$952,'09월 조업일지'!$A$12:$A$952,$A99,'09월 조업일지'!$E$12:$E$952,$B99)/$C99))</f>
        <v/>
      </c>
      <c r="F99" s="824" t="str">
        <f>IF($C99&lt;1,"",(AVERAGEIFS('09월 조업일지'!$J$12:$J$952,'09월 조업일지'!$A$12:$A$952,$A99,'09월 조업일지'!$E$12:$E$952,$B99)))</f>
        <v/>
      </c>
      <c r="G99" s="825" t="str">
        <f>IF($C99&lt;1,"",(AVERAGEIFS('09월 에너지'!$M$14:$M$949,'09월 에너지'!$A$14:$A$949,$A99,'09월 에너지'!$C$14:$C$949,$B99)))</f>
        <v/>
      </c>
      <c r="H99" s="826" t="str">
        <f>IF($C99&lt;1,"",(AVERAGEIFS('09월 조업일지'!$AJ$12:$AJ$952,'09월 조업일지'!$A$12:$A$952,$A99,'09월 조업일지'!$E$12:$E$952,$B99)))</f>
        <v/>
      </c>
      <c r="I99" s="826" t="str">
        <f>IF($C99&lt;1,"",(AVERAGEIFS('09월 조업일지'!$AL$12:$AL$952,'09월 조업일지'!$A$12:$A$952,$A99,'09월 조업일지'!$E$12:$E$952,$B99)))</f>
        <v/>
      </c>
      <c r="J99" s="827" t="str">
        <f>IF($C99&lt;1,"",(AVERAGEIFS('09월 화학성분'!G$12:G$949,'09월 화학성분'!$A$12:$A$949,$A99,'09월 화학성분'!$D$12:$D$949,$B99)))</f>
        <v/>
      </c>
      <c r="K99" s="827" t="str">
        <f>IF($C99&lt;1,"",(AVERAGEIFS('09월 화학성분'!H$12:H$949,'09월 화학성분'!$A$12:$A$949,$A99,'09월 화학성분'!$D$12:$D$949,$B99)))</f>
        <v/>
      </c>
      <c r="L99" s="827" t="str">
        <f>IF($C99&lt;1,"",(AVERAGEIFS('09월 화학성분'!I$12:I$949,'09월 화학성분'!$A$12:$A$949,$A99,'09월 화학성분'!$D$12:$D$949,$B99)))</f>
        <v/>
      </c>
      <c r="M99" s="827" t="str">
        <f>IF($C99&lt;1,"",(AVERAGEIFS('09월 화학성분'!J$12:J$949,'09월 화학성분'!$A$12:$A$949,$A99,'09월 화학성분'!$D$12:$D$949,$B99)))</f>
        <v/>
      </c>
      <c r="N99" s="827" t="str">
        <f>IF($C99&lt;1,"",(AVERAGEIFS('09월 화학성분'!K$12:K$949,'09월 화학성분'!$A$12:$A$949,$A99,'09월 화학성분'!$D$12:$D$949,$B99)))</f>
        <v/>
      </c>
      <c r="O99" s="827" t="str">
        <f>IF($C99&lt;1,"",(AVERAGEIFS('09월 화학성분'!L$12:L$949,'09월 화학성분'!$A$12:$A$949,$A99,'09월 화학성분'!$D$12:$D$949,$B99)))</f>
        <v/>
      </c>
      <c r="P99" s="827" t="str">
        <f>IF($C99&lt;1,"",(AVERAGEIFS('09월 화학성분'!M$12:M$949,'09월 화학성분'!$A$12:$A$949,$A99,'09월 화학성분'!$D$12:$D$949,$B99)))</f>
        <v/>
      </c>
      <c r="Q99" s="827" t="str">
        <f>IFERROR(IF($C99&lt;1,"",(AVERAGEIFS('09월 조업일지'!$AA$12:$AA$952,'09월 조업일지'!$A$12:$A$952,$A99,'09월 조업일지'!$E$12:$E$952,$B99))),"")</f>
        <v/>
      </c>
      <c r="R99" s="827" t="str">
        <f>IF($C99&lt;1,"",(AVERAGEIFS('09월 조업일지'!$AK$12:$AK$952,'09월 조업일지'!$A$12:$A$952,$A99,'09월 조업일지'!$E$12:$E$952,$B99)))</f>
        <v/>
      </c>
      <c r="S99" s="827"/>
      <c r="T99" s="827"/>
      <c r="U99" s="827" t="str">
        <f>IF($C99&lt;1,"",(AVERAGEIFS('09월 화학성분'!$G$12:$G$949,'09월 화학성분'!$A$12:$A$949,$A99,'09월 화학성분'!$D$12:$D$949,$B99)))</f>
        <v/>
      </c>
      <c r="V99" s="827" t="str">
        <f>IF($C99&lt;1,"",(AVERAGEIFS('09월 조업일지'!$AI$12:$AI$952,'09월 조업일지'!$A$12:$A$952,$A99,'09월 조업일지'!$E$12:$E$952,$B99)))</f>
        <v/>
      </c>
      <c r="W99" s="828" t="str">
        <f>IF($C99&lt;1,"",(AVERAGEIFS('09월 화학성분'!$AM$12:$AM$949,'09월 화학성분'!$A$12:$A$949,$A99,'09월 화학성분'!$D$12:$D$949,$B99)))</f>
        <v/>
      </c>
      <c r="X99" s="829" t="str">
        <f>IF($C99&lt;1,"",(AVERAGEIFS('09월 화학성분'!N$12:N$949,'09월 화학성분'!$A$12:$A$949,$A99,'09월 화학성분'!$D$12:$D$949,$B99)))</f>
        <v/>
      </c>
      <c r="Y99" s="829" t="str">
        <f>IF($C99&lt;1,"",(AVERAGEIFS('09월 화학성분'!O$12:O$949,'09월 화학성분'!$A$12:$A$949,$A99,'09월 화학성분'!$D$12:$D$949,$B99)))</f>
        <v/>
      </c>
      <c r="Z99" s="829" t="str">
        <f>IF($C99&lt;1,"",(AVERAGEIFS('09월 화학성분'!P$12:P$949,'09월 화학성분'!$A$12:$A$949,$A99,'09월 화학성분'!$D$12:$D$949,$B99)))</f>
        <v/>
      </c>
      <c r="AA99" s="829" t="str">
        <f>IF($C99&lt;1,"",(AVERAGEIFS('09월 화학성분'!Q$12:Q$949,'09월 화학성분'!$A$12:$A$949,$A99,'09월 화학성분'!$D$12:$D$949,$B99)))</f>
        <v/>
      </c>
      <c r="AB99" s="829" t="str">
        <f>IF($C99&lt;1,"",(AVERAGEIFS('09월 화학성분'!R$12:R$949,'09월 화학성분'!$A$12:$A$949,$A99,'09월 화학성분'!$D$12:$D$949,$B99)))</f>
        <v/>
      </c>
      <c r="AC99" s="829" t="str">
        <f>IF($C99&lt;1,"",(AVERAGEIFS('09월 화학성분'!U$12:U$949,'09월 화학성분'!$A$12:$A$949,$A99,'09월 화학성분'!$D$12:$D$949,$B99)))</f>
        <v/>
      </c>
      <c r="AD99" s="829" t="str">
        <f>IF($C99&lt;1,"",(AVERAGEIFS('09월 화학성분'!V$12:V$949,'09월 화학성분'!$A$12:$A$949,$A99,'09월 화학성분'!$D$12:$D$949,$B99)))</f>
        <v/>
      </c>
      <c r="AE99" s="829" t="str">
        <f>IF($C99&lt;1,"",(AVERAGEIFS('09월 화학성분'!W$12:W$949,'09월 화학성분'!$A$12:$A$949,$A99,'09월 화학성분'!$D$12:$D$949,$B99)))</f>
        <v/>
      </c>
      <c r="AF99" s="829" t="str">
        <f>IF($C99&lt;1,"",(AVERAGEIFS('09월 화학성분'!AA$12:AA$949,'09월 화학성분'!$A$12:$A$949,$A99,'09월 화학성분'!$D$12:$D$949,$B99)))</f>
        <v/>
      </c>
      <c r="AG99" s="829" t="str">
        <f>IF($C99&lt;1,"",(AVERAGEIFS('09월 화학성분'!#REF!,'09월 화학성분'!$A$12:$A$949,$A99,'09월 화학성분'!$D$12:$D$949,$B99)))</f>
        <v/>
      </c>
      <c r="AH99" s="829" t="str">
        <f>IF($C99&lt;1,"",(AVERAGEIFS('09월 화학성분'!AB$12:AB$949,'09월 화학성분'!$A$12:$A$949,$A99,'09월 화학성분'!$D$12:$D$949,$B99)))</f>
        <v/>
      </c>
      <c r="AI99" s="829" t="str">
        <f>IF($C99&lt;1,"",(AVERAGEIFS('09월 화학성분'!AC$12:AC$949,'09월 화학성분'!$A$12:$A$949,$A99,'09월 화학성분'!$D$12:$D$949,$B99)))</f>
        <v/>
      </c>
      <c r="AJ99" s="829" t="str">
        <f>IF($C99&lt;1,"",(AVERAGEIFS('09월 화학성분'!AD$12:AD$949,'09월 화학성분'!$A$12:$A$949,$A99,'09월 화학성분'!$D$12:$D$949,$B99)))</f>
        <v/>
      </c>
      <c r="AK99" s="829" t="str">
        <f>IF($C99&lt;1,"",(AVERAGEIFS('09월 화학성분'!AF$12:AF$949,'09월 화학성분'!$A$12:$A$949,$A99,'09월 화학성분'!$D$12:$D$949,$B99)))</f>
        <v/>
      </c>
      <c r="AL99" s="829" t="str">
        <f>IF($C99&lt;1,"",(AVERAGEIFS('09월 화학성분'!AG$12:AG$949,'09월 화학성분'!$A$12:$A$949,$A99,'09월 화학성분'!$D$12:$D$949,$B99)))</f>
        <v/>
      </c>
      <c r="AM99" s="829" t="str">
        <f>IF($C99&lt;1,"",(AVERAGEIFS('09월 화학성분'!AH$12:AH$949,'09월 화학성분'!$A$12:$A$949,$A99,'09월 화학성분'!$D$12:$D$949,$B99)))</f>
        <v/>
      </c>
      <c r="AN99" s="829" t="str">
        <f>IF($C99&lt;1,"",(AVERAGEIFS('09월 화학성분'!AI$12:AI$949,'09월 화학성분'!$A$12:$A$949,$A99,'09월 화학성분'!$D$12:$D$949,$B99)))</f>
        <v/>
      </c>
      <c r="AO99" s="829" t="str">
        <f>IF($C99&lt;1,"",(AVERAGEIFS('09월 화학성분'!AJ$12:AJ$949,'09월 화학성분'!$A$12:$A$949,$A99,'09월 화학성분'!$D$12:$D$949,$B99)))</f>
        <v/>
      </c>
      <c r="AP99" s="829" t="str">
        <f>IF($C99&lt;1,"",(AVERAGEIFS('09월 화학성분'!#REF!,'09월 화학성분'!$A$12:$A$949,$A99,'09월 화학성분'!$D$12:$D$949,$B99)))</f>
        <v/>
      </c>
      <c r="AQ99" s="829" t="str">
        <f>IF($C99&lt;1,"",(AVERAGEIFS('09월 화학성분'!AL$12:AL$949,'09월 화학성분'!$A$12:$A$949,$A99,'09월 화학성분'!$D$12:$D$949,$B99)))</f>
        <v/>
      </c>
      <c r="AR99" s="829" t="str">
        <f>IF($C99&lt;1,"",(AVERAGEIFS('09월 화학성분'!AM$12:AM$949,'09월 화학성분'!$A$12:$A$949,$A99,'09월 화학성분'!$D$12:$D$949,$B99)))</f>
        <v/>
      </c>
      <c r="AS99" s="830" t="str">
        <f>IF($C99&lt;1,"",(AVERAGEIFS('09월 화학성분'!AN$12:AN$949,'09월 화학성분'!$A$12:$A$949,$A99,'09월 화학성분'!$D$12:$D$949,$B99)))</f>
        <v/>
      </c>
      <c r="AT99" s="830" t="str">
        <f>IF($C99&lt;1,"",(AVERAGEIFS('09월 화학성분'!AO$12:AO$949,'09월 화학성분'!$A$12:$A$949,$A99,'09월 화학성분'!$D$12:$D$949,$B99)))</f>
        <v/>
      </c>
      <c r="AU99" s="831" t="str">
        <f>IF($C99&lt;1,"",(AVERAGEIFS('09월 화학성분'!AP$12:AP$949,'09월 화학성분'!$A$12:$A$949,$A99,'09월 화학성분'!$D$12:$D$949,$B99)))</f>
        <v/>
      </c>
      <c r="AV99" s="832" t="str">
        <f>IF($C99&lt;1,"",(AVERAGEIFS('09월 고철장입'!G$14:G$949,'09월 고철장입'!$A$14:$A$949,$A99,'09월 고철장입'!$C$14:$C$949,$B99))/1000)</f>
        <v/>
      </c>
      <c r="AW99" s="832" t="str">
        <f>IF($C99&lt;1,"",(AVERAGEIFS('09월 고철장입'!H$14:H$949,'09월 고철장입'!$A$14:$A$949,$A99,'09월 고철장입'!$C$14:$C$949,$B99))/1000)</f>
        <v/>
      </c>
      <c r="AX99" s="832" t="str">
        <f>IF($C99&lt;1,"",(AVERAGEIFS('09월 고철장입'!I$14:I$949,'09월 고철장입'!$A$14:$A$949,$A99,'09월 고철장입'!$C$14:$C$949,$B99))/1000)</f>
        <v/>
      </c>
      <c r="AY99" s="832" t="str">
        <f>IF($C99&lt;1,"",(AVERAGEIFS('09월 고철장입'!J$14:J$949,'09월 고철장입'!$A$14:$A$949,$A99,'09월 고철장입'!$C$14:$C$949,$B99))/1000)</f>
        <v/>
      </c>
      <c r="AZ99" s="832" t="str">
        <f>IF($C99&lt;1,"",(AVERAGEIFS('09월 고철장입'!K$14:K$949,'09월 고철장입'!$A$14:$A$949,$A99,'09월 고철장입'!$C$14:$C$949,$B99))/1000)</f>
        <v/>
      </c>
      <c r="BA99" s="832" t="str">
        <f>IF($C99&lt;1,"",(AVERAGEIFS('09월 고철장입'!L$14:L$949,'09월 고철장입'!$A$14:$A$949,$A99,'09월 고철장입'!$C$14:$C$949,$B99))/1000)</f>
        <v/>
      </c>
      <c r="BB99" s="832" t="str">
        <f>IF($C99&lt;1,"",(AVERAGEIFS('09월 고철장입'!M$14:M$949,'09월 고철장입'!$A$14:$A$949,$A99,'09월 고철장입'!$C$14:$C$949,$B99))/1000)</f>
        <v/>
      </c>
      <c r="BC99" s="832" t="str">
        <f>IF($C99&lt;1,"",(AVERAGEIFS('09월 고철장입'!N$14:N$949,'09월 고철장입'!$A$14:$A$949,$A99,'09월 고철장입'!$C$14:$C$949,$B99))/1000)</f>
        <v/>
      </c>
      <c r="BD99" s="832" t="str">
        <f>IF($C99&lt;1,"",(AVERAGEIFS('09월 고철장입'!O$14:O$949,'09월 고철장입'!$A$14:$A$949,$A99,'09월 고철장입'!$C$14:$C$949,$B99))/1000)</f>
        <v/>
      </c>
      <c r="BE99" s="833" t="str">
        <f>IF($C99&lt;1,"",(AVERAGEIFS('09월 고철장입'!P$14:P$949,'09월 고철장입'!$A$14:$A$949,$A99,'09월 고철장입'!$C$14:$C$949,$B99))/1000)</f>
        <v/>
      </c>
      <c r="BF99" s="833" t="str">
        <f>IF($C99&lt;1,"",(AVERAGEIFS('09월 고철장입'!Q$14:Q$949,'09월 고철장입'!$A$14:$A$949,$A99,'09월 고철장입'!$C$14:$C$949,$B99))/1000)</f>
        <v/>
      </c>
      <c r="BG99" s="833" t="str">
        <f>IF($C99&lt;1,"",(AVERAGEIFS('09월 고철장입'!S$14:S$949,'09월 고철장입'!$A$14:$A$949,$A99,'09월 고철장입'!$C$14:$C$949,$B99))/1000)</f>
        <v/>
      </c>
      <c r="BH99" s="833" t="str">
        <f>IF($C99&lt;1,"",(AVERAGEIFS('09월 고철장입'!T$14:T$949,'09월 고철장입'!$A$14:$A$949,$A99,'09월 고철장입'!$C$14:$C$949,$B99))/1000)</f>
        <v/>
      </c>
      <c r="BI99" s="833" t="str">
        <f>IF($C99&lt;1,"",(AVERAGEIFS('09월 고철장입'!U$14:U$949,'09월 고철장입'!$A$14:$A$949,$A99,'09월 고철장입'!$C$14:$C$949,$B99))/1000)</f>
        <v/>
      </c>
      <c r="BJ99" s="833" t="str">
        <f>IF($C99&lt;1,"",(AVERAGEIFS('09월 고철장입'!V$14:V$949,'09월 고철장입'!$A$14:$A$949,$A99,'09월 고철장입'!$C$14:$C$949,$B99))/1000)</f>
        <v/>
      </c>
      <c r="BK99" s="833" t="str">
        <f>IF($C99&lt;1,"",(AVERAGEIFS('09월 고철장입'!W$14:W$949,'09월 고철장입'!$A$14:$A$949,$A99,'09월 고철장입'!$C$14:$C$949,$B99))/1000)</f>
        <v/>
      </c>
      <c r="BL99" s="833" t="str">
        <f>IF($C99&lt;1,"",(AVERAGEIFS('09월 고철장입'!Y$14:Y$949,'09월 고철장입'!$A$14:$A$949,$A99,'09월 고철장입'!$C$14:$C$949,$B99))/1000)</f>
        <v/>
      </c>
      <c r="BM99" s="833" t="str">
        <f>IF($C99&lt;1,"",(AVERAGEIFS('09월 고철장입'!AB$14:AB$949,'09월 고철장입'!$A$14:$A$949,$A99,'09월 고철장입'!$C$14:$C$949,$B99))/1000)</f>
        <v/>
      </c>
      <c r="BN99" s="833" t="str">
        <f>IF($C99&lt;1,"",(AVERAGEIFS('09월 고철장입'!AC$14:AC$949,'09월 고철장입'!$A$14:$A$949,$A99,'09월 고철장입'!$C$14:$C$949,$B99))/1000)</f>
        <v/>
      </c>
      <c r="BO99" s="833" t="str">
        <f>IF($C99&lt;1,"",(AVERAGEIFS('09월 고철장입'!AD$14:AD$949,'09월 고철장입'!$A$14:$A$949,$A99,'09월 고철장입'!$C$14:$C$949,$B99))/1000)</f>
        <v/>
      </c>
      <c r="BP99" s="833" t="str">
        <f>IF($C99&lt;1,"",(AVERAGEIFS('09월 고철장입'!AE$14:AE$949,'09월 고철장입'!$A$14:$A$949,$A99,'09월 고철장입'!$C$14:$C$949,$B99))/1000)</f>
        <v/>
      </c>
      <c r="BQ99" s="832" t="str">
        <f>IF($C99&lt;1,"",(AVERAGEIFS('09월 고철장입'!AF$14:AF$949,'09월 고철장입'!$A$14:$A$949,$A99,'09월 고철장입'!$C$14:$C$949,$B99))/1000)</f>
        <v/>
      </c>
      <c r="BR99" s="832" t="str">
        <f>IF($C99&lt;1,"",(AVERAGEIFS('09월 고철장입'!AG$14:AG$949,'09월 고철장입'!$A$14:$A$949,$A99,'09월 고철장입'!$C$14:$C$949,$B99))/1000)</f>
        <v/>
      </c>
      <c r="BS99" s="832" t="str">
        <f>IF($C99&lt;1,"",(AVERAGEIFS('09월 고철장입'!AH$14:AH$949,'09월 고철장입'!$A$14:$A$949,$A99,'09월 고철장입'!$C$14:$C$949,$B99))/1000)</f>
        <v/>
      </c>
      <c r="BT99" s="832" t="str">
        <f>IF($C99&lt;1,"",(AVERAGEIFS('09월 고철장입'!AI$14:AI$949,'09월 고철장입'!$A$14:$A$949,$A99,'09월 고철장입'!$C$14:$C$949,$B99))/1000)</f>
        <v/>
      </c>
      <c r="BU99" s="834" t="str">
        <f>IF($C99&lt;1,"",(AVERAGEIFS('09월 고철장입'!AJ$14:AJ$949,'09월 고철장입'!$A$14:$A$949,$A99,'09월 고철장입'!$C$14:$C$949,$B99))/1000)</f>
        <v/>
      </c>
      <c r="BV99" s="834" t="str">
        <f>IF($C99&lt;1,"",(AVERAGEIFS('09월 고철장입'!AK$14:AK$949,'09월 고철장입'!$A$14:$A$949,$A99,'09월 고철장입'!$C$14:$C$949,$B99)))</f>
        <v/>
      </c>
      <c r="BW99" s="834" t="str">
        <f>IF($C99&lt;1,"",(AVERAGEIFS('09월 고철장입'!AL$14:AL$949,'09월 고철장입'!$A$14:$A$949,$A99,'09월 고철장입'!$C$14:$C$949,$B99))*100)</f>
        <v/>
      </c>
      <c r="BX99" s="831" t="str">
        <f>IF($C99&lt;1,"",(AVERAGEIFS('09월 에너지'!G$14:G$949,'09월 에너지'!$A$14:$A$949,$A99,'09월 에너지'!$C$14:$C$949,$B99)))</f>
        <v/>
      </c>
      <c r="BY99" s="835" t="str">
        <f>IF($C99&lt;1,"",(AVERAGEIFS('09월 에너지'!H$14:H$949,'09월 에너지'!$A$14:$A$949,$A99,'09월 에너지'!$C$14:$C$949,$B99)))</f>
        <v/>
      </c>
      <c r="BZ99" s="831" t="str">
        <f>IF($C99&lt;1,"",(AVERAGEIFS('09월 에너지'!I$14:I$949,'09월 에너지'!$A$14:$A$949,$A99,'09월 에너지'!$C$14:$C$949,$B99)))</f>
        <v/>
      </c>
      <c r="CA99" s="835" t="str">
        <f>IF($C99&lt;1,"",(AVERAGEIFS('09월 에너지'!J$14:J$949,'09월 에너지'!$A$14:$A$949,$A99,'09월 에너지'!$C$14:$C$949,$B99)))</f>
        <v/>
      </c>
      <c r="CB99" s="831" t="str">
        <f>IF($C99&lt;1,"",(AVERAGEIFS('09월 에너지'!K$14:K$949,'09월 에너지'!$A$14:$A$949,$A99,'09월 에너지'!$C$14:$C$949,$B99)))</f>
        <v/>
      </c>
      <c r="CC99" s="835" t="str">
        <f>IF($C99&lt;1,"",(AVERAGEIFS('09월 에너지'!L$14:L$949,'09월 에너지'!$A$14:$A$949,$A99,'09월 에너지'!$C$14:$C$949,$B99)))</f>
        <v/>
      </c>
      <c r="CD99" s="831" t="str">
        <f>IF($C99&lt;1,"",(AVERAGEIFS('09월 에너지'!M$14:M$949,'09월 에너지'!$A$14:$A$949,$A99,'09월 에너지'!$C$14:$C$949,$B99)))</f>
        <v/>
      </c>
      <c r="CE99" s="835" t="str">
        <f>IF($C99&lt;1,"",(AVERAGEIFS('09월 에너지'!N$14:N$949,'09월 에너지'!$A$14:$A$949,$A99,'09월 에너지'!$C$14:$C$949,$B99)))</f>
        <v/>
      </c>
      <c r="CF99" s="831" t="str">
        <f>IF($C99&lt;1,"",(AVERAGEIFS('09월 에너지'!O$14:O$949,'09월 에너지'!$A$14:$A$949,$A99,'09월 에너지'!$C$14:$C$949,$B99)))</f>
        <v/>
      </c>
      <c r="CG99" s="831" t="str">
        <f>IF($C99&lt;1,"",(AVERAGEIFS('09월 에너지'!P$14:P$949,'09월 에너지'!$A$14:$A$949,$A99,'09월 에너지'!$C$14:$C$949,$B99)))</f>
        <v/>
      </c>
      <c r="CH99" s="831" t="str">
        <f>IF($C99&lt;1,"",(AVERAGEIFS('09월 에너지'!Q$14:Q$949,'09월 에너지'!$A$14:$A$949,$A99,'09월 에너지'!$C$14:$C$949,$B99)))</f>
        <v/>
      </c>
      <c r="CI99" s="831" t="str">
        <f>IF($C99&lt;1,"",(AVERAGEIFS('09월 에너지'!R$14:R$949,'09월 에너지'!$A$14:$A$949,$A99,'09월 에너지'!$C$14:$C$949,$B99)))</f>
        <v/>
      </c>
      <c r="CJ99" s="831" t="str">
        <f>IF($C99&lt;1,"",(AVERAGEIFS('09월 에너지'!S$14:S$949,'09월 에너지'!$A$14:$A$949,$A99,'09월 에너지'!$C$14:$C$949,$B99)))</f>
        <v/>
      </c>
      <c r="CK99" s="831" t="str">
        <f>IF($C99&lt;1,"",(AVERAGEIFS('09월 에너지'!T$14:T$949,'09월 에너지'!$A$14:$A$949,$A99,'09월 에너지'!$C$14:$C$949,$B99)))</f>
        <v/>
      </c>
      <c r="CL99" s="831" t="str">
        <f>IF($C99&lt;1,"",(AVERAGEIFS('09월 에너지'!U$14:U$949,'09월 에너지'!$A$14:$A$949,$A99,'09월 에너지'!$C$14:$C$949,$B99)))</f>
        <v/>
      </c>
      <c r="CM99" s="835" t="str">
        <f>IF($C99&lt;1,"",(AVERAGEIFS('09월 에너지'!V$14:V$949,'09월 에너지'!$A$14:$A$949,$A99,'09월 에너지'!$C$14:$C$949,$B99)))</f>
        <v/>
      </c>
      <c r="CN99" s="835" t="str">
        <f>IF($C99&lt;1,"",(AVERAGEIFS('09월 에너지'!W$14:W$949,'09월 에너지'!$A$14:$A$949,$A99,'09월 에너지'!$C$14:$C$949,$B99)))</f>
        <v/>
      </c>
      <c r="CO99" s="831" t="str">
        <f>IF($C99&lt;1,"",(AVERAGEIFS('09월 에너지'!X$14:X$949,'09월 에너지'!$A$14:$A$949,$A99,'09월 에너지'!$C$14:$C$949,$B99)))</f>
        <v/>
      </c>
      <c r="CP99" s="835" t="str">
        <f>IF($C99&lt;1,"",(AVERAGEIFS('09월 에너지'!Y$14:Y$949,'09월 에너지'!$A$14:$A$949,$A99,'09월 에너지'!$C$14:$C$949,$B99)))</f>
        <v/>
      </c>
      <c r="CQ99" s="835" t="str">
        <f>IF($C99&lt;1,"",(AVERAGEIFS('09월 에너지'!Z$14:Z$949,'09월 에너지'!$A$14:$A$949,$A99,'09월 에너지'!$C$14:$C$949,$B99)))</f>
        <v/>
      </c>
      <c r="CR99" s="835" t="str">
        <f>IF($C99&lt;1,"",(AVERAGEIFS('09월 에너지'!AA$14:AA$949,'09월 에너지'!$A$14:$A$949,$A99,'09월 에너지'!$C$14:$C$949,$B99)))</f>
        <v/>
      </c>
      <c r="CS99" s="835" t="str">
        <f>IF($C99&lt;1,"",(AVERAGEIFS('09월 에너지'!AB$14:AB$949,'09월 에너지'!$A$14:$A$949,$A99,'09월 에너지'!$C$14:$C$949,$B99)))</f>
        <v/>
      </c>
      <c r="CT99" s="831" t="str">
        <f>IF($C99&lt;1,"",(AVERAGEIFS('09월 에너지'!AC$14:AC$949,'09월 에너지'!$A$14:$A$949,$A99,'09월 에너지'!$C$14:$C$949,$B99)))</f>
        <v/>
      </c>
      <c r="CU99" s="836" t="str">
        <f>IF($C99&lt;1,"",(AVERAGEIFS('09월 에너지'!AD$14:AD$949,'09월 에너지'!$A$14:$A$949,$A99,'09월 에너지'!$C$14:$C$949,$B99)))</f>
        <v/>
      </c>
      <c r="CV99" s="837" t="str">
        <f>IF($C99&lt;1,"",(AVERAGEIFS('09월 에너지'!AE$14:AE$949,'09월 에너지'!$A$14:$A$949,$A99,'09월 에너지'!$C$14:$C$949,$B99)))</f>
        <v/>
      </c>
      <c r="CW99" s="831" t="str">
        <f>IF($C99&lt;1,"",(AVERAGEIFS('09월 에너지'!AF$14:AF$949,'09월 에너지'!$A$14:$A$949,$A99,'09월 에너지'!$C$14:$C$949,$B99)))</f>
        <v/>
      </c>
      <c r="CX99" s="831" t="str">
        <f>IF($C99&lt;1,"",(AVERAGEIFS('09월 에너지'!AG$14:AG$949,'09월 에너지'!$A$14:$A$949,$A99,'09월 에너지'!$C$14:$C$949,$B99)))</f>
        <v/>
      </c>
      <c r="CY99" s="831" t="str">
        <f>IF($C99&lt;1,"",(AVERAGEIFS('09월 에너지'!AH$14:AH$949,'09월 에너지'!$A$14:$A$949,$A99,'09월 에너지'!$C$14:$C$949,$B99)))</f>
        <v/>
      </c>
      <c r="CZ99" s="831" t="str">
        <f>IF($C99&lt;1,"",(AVERAGEIFS('09월 에너지'!AI$14:AI$949,'09월 에너지'!$A$14:$A$949,$A99,'09월 에너지'!$C$14:$C$949,$B99)))</f>
        <v/>
      </c>
      <c r="DA99" s="838" t="str">
        <f>IF($C99&lt;1,"",(AVERAGEIFS('09월 에너지'!AJ$14:AJ$949,'09월 에너지'!$A$14:$A$949,$A99,'09월 에너지'!$C$14:$C$949,$B99)))</f>
        <v/>
      </c>
    </row>
    <row r="100" spans="1:105" ht="13.5" customHeight="1" thickBot="1">
      <c r="A100" s="851">
        <f t="shared" si="20"/>
        <v>44945</v>
      </c>
      <c r="B100" s="852" t="s">
        <v>94</v>
      </c>
      <c r="C100" s="841">
        <f>COUNTIFS('09월 조업일지'!$A$12:$A$952,A96,'09월 조업일지'!$E$12:$E$952,B100)</f>
        <v>0</v>
      </c>
      <c r="D100" s="842" t="str">
        <f t="shared" si="22"/>
        <v/>
      </c>
      <c r="E100" s="842" t="str">
        <f>IF($C100&lt;1,"",(SUMIFS('09월 조업일지'!$K$12:$K$952,'09월 조업일지'!$A$12:$A$952,$A100,'09월 조업일지'!$E$12:$E$952,$B100)/$C100))</f>
        <v/>
      </c>
      <c r="F100" s="842" t="str">
        <f>IF($C100&lt;1,"",(AVERAGEIFS('09월 조업일지'!$J$12:$J$952,'09월 조업일지'!$A$12:$A$952,$A100,'09월 조업일지'!$E$12:$E$952,$B100)))</f>
        <v/>
      </c>
      <c r="G100" s="843" t="str">
        <f>IF($C100&lt;1,"",(AVERAGEIFS('09월 에너지'!$M$14:$M$949,'09월 에너지'!$A$14:$A$949,$A100,'09월 에너지'!$C$14:$C$949,$B100)))</f>
        <v/>
      </c>
      <c r="H100" s="844" t="str">
        <f>IF($C100&lt;1,"",(AVERAGEIFS('09월 조업일지'!$AJ$12:$AJ$952,'09월 조업일지'!$A$12:$A$952,$A100,'09월 조업일지'!$E$12:$E$952,$B100)))</f>
        <v/>
      </c>
      <c r="I100" s="844" t="str">
        <f>IF($C100&lt;1,"",(AVERAGEIFS('09월 조업일지'!$AL$12:$AL$952,'09월 조업일지'!$A$12:$A$952,$A100,'09월 조업일지'!$E$12:$E$952,$B100)))</f>
        <v/>
      </c>
      <c r="J100" s="845" t="str">
        <f>IF($C100&lt;1,"",(AVERAGEIFS('09월 화학성분'!G$12:G$949,'09월 화학성분'!$A$12:$A$949,$A100,'09월 화학성분'!$D$12:$D$949,$B100)))</f>
        <v/>
      </c>
      <c r="K100" s="845" t="str">
        <f>IF($C100&lt;1,"",(AVERAGEIFS('09월 화학성분'!H$12:H$949,'09월 화학성분'!$A$12:$A$949,$A100,'09월 화학성분'!$D$12:$D$949,$B100)))</f>
        <v/>
      </c>
      <c r="L100" s="845" t="str">
        <f>IF($C100&lt;1,"",(AVERAGEIFS('09월 화학성분'!I$12:I$949,'09월 화학성분'!$A$12:$A$949,$A100,'09월 화학성분'!$D$12:$D$949,$B100)))</f>
        <v/>
      </c>
      <c r="M100" s="845" t="str">
        <f>IF($C100&lt;1,"",(AVERAGEIFS('09월 화학성분'!J$12:J$949,'09월 화학성분'!$A$12:$A$949,$A100,'09월 화학성분'!$D$12:$D$949,$B100)))</f>
        <v/>
      </c>
      <c r="N100" s="845" t="str">
        <f>IF($C100&lt;1,"",(AVERAGEIFS('09월 화학성분'!K$12:K$949,'09월 화학성분'!$A$12:$A$949,$A100,'09월 화학성분'!$D$12:$D$949,$B100)))</f>
        <v/>
      </c>
      <c r="O100" s="845" t="str">
        <f>IF($C100&lt;1,"",(AVERAGEIFS('09월 화학성분'!L$12:L$949,'09월 화학성분'!$A$12:$A$949,$A100,'09월 화학성분'!$D$12:$D$949,$B100)))</f>
        <v/>
      </c>
      <c r="P100" s="845" t="str">
        <f>IF($C100&lt;1,"",(AVERAGEIFS('09월 화학성분'!M$12:M$949,'09월 화학성분'!$A$12:$A$949,$A100,'09월 화학성분'!$D$12:$D$949,$B100)))</f>
        <v/>
      </c>
      <c r="Q100" s="827" t="str">
        <f>IFERROR(IF($C100&lt;1,"",(AVERAGEIFS('09월 조업일지'!$AA$12:$AA$952,'09월 조업일지'!$A$12:$A$952,$A100,'09월 조업일지'!$E$12:$E$952,$B100))),"")</f>
        <v/>
      </c>
      <c r="R100" s="845" t="str">
        <f>IF($C100&lt;1,"",(AVERAGEIFS('09월 조업일지'!$AK$12:$AK$952,'09월 조업일지'!$A$12:$A$952,$A100,'09월 조업일지'!$E$12:$E$952,$B100)))</f>
        <v/>
      </c>
      <c r="S100" s="845"/>
      <c r="T100" s="845"/>
      <c r="U100" s="845" t="str">
        <f>IF($C100&lt;1,"",(AVERAGEIFS('09월 화학성분'!$G$12:$G$949,'09월 화학성분'!$A$12:$A$949,$A100,'09월 화학성분'!$D$12:$D$949,$B100)))</f>
        <v/>
      </c>
      <c r="V100" s="845" t="str">
        <f>IF($C100&lt;1,"",(AVERAGEIFS('09월 조업일지'!$AI$12:$AI$952,'09월 조업일지'!$A$12:$A$952,$A100,'09월 조업일지'!$E$12:$E$952,$B100)))</f>
        <v/>
      </c>
      <c r="W100" s="846" t="str">
        <f>IF($C100&lt;1,"",(AVERAGEIFS('09월 화학성분'!$AM$12:$AM$949,'09월 화학성분'!$A$12:$A$949,$A100,'09월 화학성분'!$D$12:$D$949,$B100)))</f>
        <v/>
      </c>
      <c r="X100" s="829" t="str">
        <f>IF($C100&lt;1,"",(AVERAGEIFS('09월 화학성분'!N$12:N$949,'09월 화학성분'!$A$12:$A$949,$A100,'09월 화학성분'!$D$12:$D$949,$B100)))</f>
        <v/>
      </c>
      <c r="Y100" s="829" t="str">
        <f>IF($C100&lt;1,"",(AVERAGEIFS('09월 화학성분'!O$12:O$949,'09월 화학성분'!$A$12:$A$949,$A100,'09월 화학성분'!$D$12:$D$949,$B100)))</f>
        <v/>
      </c>
      <c r="Z100" s="829" t="str">
        <f>IF($C100&lt;1,"",(AVERAGEIFS('09월 화학성분'!P$12:P$949,'09월 화학성분'!$A$12:$A$949,$A100,'09월 화학성분'!$D$12:$D$949,$B100)))</f>
        <v/>
      </c>
      <c r="AA100" s="829" t="str">
        <f>IF($C100&lt;1,"",(AVERAGEIFS('09월 화학성분'!Q$12:Q$949,'09월 화학성분'!$A$12:$A$949,$A100,'09월 화학성분'!$D$12:$D$949,$B100)))</f>
        <v/>
      </c>
      <c r="AB100" s="829" t="str">
        <f>IF($C100&lt;1,"",(AVERAGEIFS('09월 화학성분'!R$12:R$949,'09월 화학성분'!$A$12:$A$949,$A100,'09월 화학성분'!$D$12:$D$949,$B100)))</f>
        <v/>
      </c>
      <c r="AC100" s="829" t="str">
        <f>IF($C100&lt;1,"",(AVERAGEIFS('09월 화학성분'!U$12:U$949,'09월 화학성분'!$A$12:$A$949,$A100,'09월 화학성분'!$D$12:$D$949,$B100)))</f>
        <v/>
      </c>
      <c r="AD100" s="829" t="str">
        <f>IF($C100&lt;1,"",(AVERAGEIFS('09월 화학성분'!V$12:V$949,'09월 화학성분'!$A$12:$A$949,$A100,'09월 화학성분'!$D$12:$D$949,$B100)))</f>
        <v/>
      </c>
      <c r="AE100" s="829" t="str">
        <f>IF($C100&lt;1,"",(AVERAGEIFS('09월 화학성분'!W$12:W$949,'09월 화학성분'!$A$12:$A$949,$A100,'09월 화학성분'!$D$12:$D$949,$B100)))</f>
        <v/>
      </c>
      <c r="AF100" s="829" t="str">
        <f>IF($C100&lt;1,"",(AVERAGEIFS('09월 화학성분'!AA$12:AA$949,'09월 화학성분'!$A$12:$A$949,$A100,'09월 화학성분'!$D$12:$D$949,$B100)))</f>
        <v/>
      </c>
      <c r="AG100" s="829" t="str">
        <f>IF($C100&lt;1,"",(AVERAGEIFS('09월 화학성분'!#REF!,'09월 화학성분'!$A$12:$A$949,$A100,'09월 화학성분'!$D$12:$D$949,$B100)))</f>
        <v/>
      </c>
      <c r="AH100" s="829" t="str">
        <f>IF($C100&lt;1,"",(AVERAGEIFS('09월 화학성분'!AB$12:AB$949,'09월 화학성분'!$A$12:$A$949,$A100,'09월 화학성분'!$D$12:$D$949,$B100)))</f>
        <v/>
      </c>
      <c r="AI100" s="829" t="str">
        <f>IF($C100&lt;1,"",(AVERAGEIFS('09월 화학성분'!AC$12:AC$949,'09월 화학성분'!$A$12:$A$949,$A100,'09월 화학성분'!$D$12:$D$949,$B100)))</f>
        <v/>
      </c>
      <c r="AJ100" s="829" t="str">
        <f>IF($C100&lt;1,"",(AVERAGEIFS('09월 화학성분'!AD$12:AD$949,'09월 화학성분'!$A$12:$A$949,$A100,'09월 화학성분'!$D$12:$D$949,$B100)))</f>
        <v/>
      </c>
      <c r="AK100" s="829" t="str">
        <f>IF($C100&lt;1,"",(AVERAGEIFS('09월 화학성분'!AF$12:AF$949,'09월 화학성분'!$A$12:$A$949,$A100,'09월 화학성분'!$D$12:$D$949,$B100)))</f>
        <v/>
      </c>
      <c r="AL100" s="829" t="str">
        <f>IF($C100&lt;1,"",(AVERAGEIFS('09월 화학성분'!AG$12:AG$949,'09월 화학성분'!$A$12:$A$949,$A100,'09월 화학성분'!$D$12:$D$949,$B100)))</f>
        <v/>
      </c>
      <c r="AM100" s="829" t="str">
        <f>IF($C100&lt;1,"",(AVERAGEIFS('09월 화학성분'!AH$12:AH$949,'09월 화학성분'!$A$12:$A$949,$A100,'09월 화학성분'!$D$12:$D$949,$B100)))</f>
        <v/>
      </c>
      <c r="AN100" s="829" t="str">
        <f>IF($C100&lt;1,"",(AVERAGEIFS('09월 화학성분'!AI$12:AI$949,'09월 화학성분'!$A$12:$A$949,$A100,'09월 화학성분'!$D$12:$D$949,$B100)))</f>
        <v/>
      </c>
      <c r="AO100" s="829" t="str">
        <f>IF($C100&lt;1,"",(AVERAGEIFS('09월 화학성분'!AJ$12:AJ$949,'09월 화학성분'!$A$12:$A$949,$A100,'09월 화학성분'!$D$12:$D$949,$B100)))</f>
        <v/>
      </c>
      <c r="AP100" s="829" t="str">
        <f>IF($C100&lt;1,"",(AVERAGEIFS('09월 화학성분'!#REF!,'09월 화학성분'!$A$12:$A$949,$A100,'09월 화학성분'!$D$12:$D$949,$B100)))</f>
        <v/>
      </c>
      <c r="AQ100" s="829" t="str">
        <f>IF($C100&lt;1,"",(AVERAGEIFS('09월 화학성분'!AL$12:AL$949,'09월 화학성분'!$A$12:$A$949,$A100,'09월 화학성분'!$D$12:$D$949,$B100)))</f>
        <v/>
      </c>
      <c r="AR100" s="829" t="str">
        <f>IF($C100&lt;1,"",(AVERAGEIFS('09월 화학성분'!AM$12:AM$949,'09월 화학성분'!$A$12:$A$949,$A100,'09월 화학성분'!$D$12:$D$949,$B100)))</f>
        <v/>
      </c>
      <c r="AS100" s="830" t="str">
        <f>IF($C100&lt;1,"",(AVERAGEIFS('09월 화학성분'!AN$12:AN$949,'09월 화학성분'!$A$12:$A$949,$A100,'09월 화학성분'!$D$12:$D$949,$B100)))</f>
        <v/>
      </c>
      <c r="AT100" s="830" t="str">
        <f>IF($C100&lt;1,"",(AVERAGEIFS('09월 화학성분'!AO$12:AO$949,'09월 화학성분'!$A$12:$A$949,$A100,'09월 화학성분'!$D$12:$D$949,$B100)))</f>
        <v/>
      </c>
      <c r="AU100" s="831" t="str">
        <f>IF($C100&lt;1,"",(AVERAGEIFS('09월 화학성분'!AP$12:AP$949,'09월 화학성분'!$A$12:$A$949,$A100,'09월 화학성분'!$D$12:$D$949,$B100)))</f>
        <v/>
      </c>
      <c r="AV100" s="832" t="str">
        <f>IF($C100&lt;1,"",(AVERAGEIFS('09월 고철장입'!G$14:G$949,'09월 고철장입'!$A$14:$A$949,$A100,'09월 고철장입'!$C$14:$C$949,$B100))/1000)</f>
        <v/>
      </c>
      <c r="AW100" s="832" t="str">
        <f>IF($C100&lt;1,"",(AVERAGEIFS('09월 고철장입'!H$14:H$949,'09월 고철장입'!$A$14:$A$949,$A100,'09월 고철장입'!$C$14:$C$949,$B100))/1000)</f>
        <v/>
      </c>
      <c r="AX100" s="832" t="str">
        <f>IF($C100&lt;1,"",(AVERAGEIFS('09월 고철장입'!I$14:I$949,'09월 고철장입'!$A$14:$A$949,$A100,'09월 고철장입'!$C$14:$C$949,$B100))/1000)</f>
        <v/>
      </c>
      <c r="AY100" s="832" t="str">
        <f>IF($C100&lt;1,"",(AVERAGEIFS('09월 고철장입'!J$14:J$949,'09월 고철장입'!$A$14:$A$949,$A100,'09월 고철장입'!$C$14:$C$949,$B100))/1000)</f>
        <v/>
      </c>
      <c r="AZ100" s="832" t="str">
        <f>IF($C100&lt;1,"",(AVERAGEIFS('09월 고철장입'!K$14:K$949,'09월 고철장입'!$A$14:$A$949,$A100,'09월 고철장입'!$C$14:$C$949,$B100))/1000)</f>
        <v/>
      </c>
      <c r="BA100" s="832" t="str">
        <f>IF($C100&lt;1,"",(AVERAGEIFS('09월 고철장입'!L$14:L$949,'09월 고철장입'!$A$14:$A$949,$A100,'09월 고철장입'!$C$14:$C$949,$B100))/1000)</f>
        <v/>
      </c>
      <c r="BB100" s="832" t="str">
        <f>IF($C100&lt;1,"",(AVERAGEIFS('09월 고철장입'!M$14:M$949,'09월 고철장입'!$A$14:$A$949,$A100,'09월 고철장입'!$C$14:$C$949,$B100))/1000)</f>
        <v/>
      </c>
      <c r="BC100" s="832" t="str">
        <f>IF($C100&lt;1,"",(AVERAGEIFS('09월 고철장입'!N$14:N$949,'09월 고철장입'!$A$14:$A$949,$A100,'09월 고철장입'!$C$14:$C$949,$B100))/1000)</f>
        <v/>
      </c>
      <c r="BD100" s="832" t="str">
        <f>IF($C100&lt;1,"",(AVERAGEIFS('09월 고철장입'!O$14:O$949,'09월 고철장입'!$A$14:$A$949,$A100,'09월 고철장입'!$C$14:$C$949,$B100))/1000)</f>
        <v/>
      </c>
      <c r="BE100" s="833" t="str">
        <f>IF($C100&lt;1,"",(AVERAGEIFS('09월 고철장입'!P$14:P$949,'09월 고철장입'!$A$14:$A$949,$A100,'09월 고철장입'!$C$14:$C$949,$B100))/1000)</f>
        <v/>
      </c>
      <c r="BF100" s="833" t="str">
        <f>IF($C100&lt;1,"",(AVERAGEIFS('09월 고철장입'!Q$14:Q$949,'09월 고철장입'!$A$14:$A$949,$A100,'09월 고철장입'!$C$14:$C$949,$B100))/1000)</f>
        <v/>
      </c>
      <c r="BG100" s="833" t="str">
        <f>IF($C100&lt;1,"",(AVERAGEIFS('09월 고철장입'!S$14:S$949,'09월 고철장입'!$A$14:$A$949,$A100,'09월 고철장입'!$C$14:$C$949,$B100))/1000)</f>
        <v/>
      </c>
      <c r="BH100" s="833" t="str">
        <f>IF($C100&lt;1,"",(AVERAGEIFS('09월 고철장입'!T$14:T$949,'09월 고철장입'!$A$14:$A$949,$A100,'09월 고철장입'!$C$14:$C$949,$B100))/1000)</f>
        <v/>
      </c>
      <c r="BI100" s="833" t="str">
        <f>IF($C100&lt;1,"",(AVERAGEIFS('09월 고철장입'!U$14:U$949,'09월 고철장입'!$A$14:$A$949,$A100,'09월 고철장입'!$C$14:$C$949,$B100))/1000)</f>
        <v/>
      </c>
      <c r="BJ100" s="833" t="str">
        <f>IF($C100&lt;1,"",(AVERAGEIFS('09월 고철장입'!V$14:V$949,'09월 고철장입'!$A$14:$A$949,$A100,'09월 고철장입'!$C$14:$C$949,$B100))/1000)</f>
        <v/>
      </c>
      <c r="BK100" s="833" t="str">
        <f>IF($C100&lt;1,"",(AVERAGEIFS('09월 고철장입'!W$14:W$949,'09월 고철장입'!$A$14:$A$949,$A100,'09월 고철장입'!$C$14:$C$949,$B100))/1000)</f>
        <v/>
      </c>
      <c r="BL100" s="833" t="str">
        <f>IF($C100&lt;1,"",(AVERAGEIFS('09월 고철장입'!Y$14:Y$949,'09월 고철장입'!$A$14:$A$949,$A100,'09월 고철장입'!$C$14:$C$949,$B100))/1000)</f>
        <v/>
      </c>
      <c r="BM100" s="833" t="str">
        <f>IF($C100&lt;1,"",(AVERAGEIFS('09월 고철장입'!AB$14:AB$949,'09월 고철장입'!$A$14:$A$949,$A100,'09월 고철장입'!$C$14:$C$949,$B100))/1000)</f>
        <v/>
      </c>
      <c r="BN100" s="833" t="str">
        <f>IF($C100&lt;1,"",(AVERAGEIFS('09월 고철장입'!AC$14:AC$949,'09월 고철장입'!$A$14:$A$949,$A100,'09월 고철장입'!$C$14:$C$949,$B100))/1000)</f>
        <v/>
      </c>
      <c r="BO100" s="833" t="str">
        <f>IF($C100&lt;1,"",(AVERAGEIFS('09월 고철장입'!AD$14:AD$949,'09월 고철장입'!$A$14:$A$949,$A100,'09월 고철장입'!$C$14:$C$949,$B100))/1000)</f>
        <v/>
      </c>
      <c r="BP100" s="833" t="str">
        <f>IF($C100&lt;1,"",(AVERAGEIFS('09월 고철장입'!AE$14:AE$949,'09월 고철장입'!$A$14:$A$949,$A100,'09월 고철장입'!$C$14:$C$949,$B100))/1000)</f>
        <v/>
      </c>
      <c r="BQ100" s="832" t="str">
        <f>IF($C100&lt;1,"",(AVERAGEIFS('09월 고철장입'!AF$14:AF$949,'09월 고철장입'!$A$14:$A$949,$A100,'09월 고철장입'!$C$14:$C$949,$B100))/1000)</f>
        <v/>
      </c>
      <c r="BR100" s="832" t="str">
        <f>IF($C100&lt;1,"",(AVERAGEIFS('09월 고철장입'!AG$14:AG$949,'09월 고철장입'!$A$14:$A$949,$A100,'09월 고철장입'!$C$14:$C$949,$B100))/1000)</f>
        <v/>
      </c>
      <c r="BS100" s="832" t="str">
        <f>IF($C100&lt;1,"",(AVERAGEIFS('09월 고철장입'!AH$14:AH$949,'09월 고철장입'!$A$14:$A$949,$A100,'09월 고철장입'!$C$14:$C$949,$B100))/1000)</f>
        <v/>
      </c>
      <c r="BT100" s="832" t="str">
        <f>IF($C100&lt;1,"",(AVERAGEIFS('09월 고철장입'!AI$14:AI$949,'09월 고철장입'!$A$14:$A$949,$A100,'09월 고철장입'!$C$14:$C$949,$B100))/1000)</f>
        <v/>
      </c>
      <c r="BU100" s="834" t="str">
        <f>IF($C100&lt;1,"",(AVERAGEIFS('09월 고철장입'!AJ$14:AJ$949,'09월 고철장입'!$A$14:$A$949,$A100,'09월 고철장입'!$C$14:$C$949,$B100))/1000)</f>
        <v/>
      </c>
      <c r="BV100" s="834" t="str">
        <f>IF($C100&lt;1,"",(AVERAGEIFS('09월 고철장입'!AK$14:AK$949,'09월 고철장입'!$A$14:$A$949,$A100,'09월 고철장입'!$C$14:$C$949,$B100)))</f>
        <v/>
      </c>
      <c r="BW100" s="834" t="str">
        <f>IF($C100&lt;1,"",(AVERAGEIFS('09월 고철장입'!AL$14:AL$949,'09월 고철장입'!$A$14:$A$949,$A100,'09월 고철장입'!$C$14:$C$949,$B100))*100)</f>
        <v/>
      </c>
      <c r="BX100" s="831" t="str">
        <f>IF($C100&lt;1,"",(AVERAGEIFS('09월 에너지'!G$14:G$949,'09월 에너지'!$A$14:$A$949,$A100,'09월 에너지'!$C$14:$C$949,$B100)))</f>
        <v/>
      </c>
      <c r="BY100" s="835" t="str">
        <f>IF($C100&lt;1,"",(AVERAGEIFS('09월 에너지'!H$14:H$949,'09월 에너지'!$A$14:$A$949,$A100,'09월 에너지'!$C$14:$C$949,$B100)))</f>
        <v/>
      </c>
      <c r="BZ100" s="831" t="str">
        <f>IF($C100&lt;1,"",(AVERAGEIFS('09월 에너지'!I$14:I$949,'09월 에너지'!$A$14:$A$949,$A100,'09월 에너지'!$C$14:$C$949,$B100)))</f>
        <v/>
      </c>
      <c r="CA100" s="835" t="str">
        <f>IF($C100&lt;1,"",(AVERAGEIFS('09월 에너지'!J$14:J$949,'09월 에너지'!$A$14:$A$949,$A100,'09월 에너지'!$C$14:$C$949,$B100)))</f>
        <v/>
      </c>
      <c r="CB100" s="831" t="str">
        <f>IF($C100&lt;1,"",(AVERAGEIFS('09월 에너지'!K$14:K$949,'09월 에너지'!$A$14:$A$949,$A100,'09월 에너지'!$C$14:$C$949,$B100)))</f>
        <v/>
      </c>
      <c r="CC100" s="835" t="str">
        <f>IF($C100&lt;1,"",(AVERAGEIFS('09월 에너지'!L$14:L$949,'09월 에너지'!$A$14:$A$949,$A100,'09월 에너지'!$C$14:$C$949,$B100)))</f>
        <v/>
      </c>
      <c r="CD100" s="831" t="str">
        <f>IF($C100&lt;1,"",(AVERAGEIFS('09월 에너지'!M$14:M$949,'09월 에너지'!$A$14:$A$949,$A100,'09월 에너지'!$C$14:$C$949,$B100)))</f>
        <v/>
      </c>
      <c r="CE100" s="835" t="str">
        <f>IF($C100&lt;1,"",(AVERAGEIFS('09월 에너지'!N$14:N$949,'09월 에너지'!$A$14:$A$949,$A100,'09월 에너지'!$C$14:$C$949,$B100)))</f>
        <v/>
      </c>
      <c r="CF100" s="831" t="str">
        <f>IF($C100&lt;1,"",(AVERAGEIFS('09월 에너지'!O$14:O$949,'09월 에너지'!$A$14:$A$949,$A100,'09월 에너지'!$C$14:$C$949,$B100)))</f>
        <v/>
      </c>
      <c r="CG100" s="831" t="str">
        <f>IF($C100&lt;1,"",(AVERAGEIFS('09월 에너지'!P$14:P$949,'09월 에너지'!$A$14:$A$949,$A100,'09월 에너지'!$C$14:$C$949,$B100)))</f>
        <v/>
      </c>
      <c r="CH100" s="831" t="str">
        <f>IF($C100&lt;1,"",(AVERAGEIFS('09월 에너지'!Q$14:Q$949,'09월 에너지'!$A$14:$A$949,$A100,'09월 에너지'!$C$14:$C$949,$B100)))</f>
        <v/>
      </c>
      <c r="CI100" s="831" t="str">
        <f>IF($C100&lt;1,"",(AVERAGEIFS('09월 에너지'!R$14:R$949,'09월 에너지'!$A$14:$A$949,$A100,'09월 에너지'!$C$14:$C$949,$B100)))</f>
        <v/>
      </c>
      <c r="CJ100" s="831" t="str">
        <f>IF($C100&lt;1,"",(AVERAGEIFS('09월 에너지'!S$14:S$949,'09월 에너지'!$A$14:$A$949,$A100,'09월 에너지'!$C$14:$C$949,$B100)))</f>
        <v/>
      </c>
      <c r="CK100" s="831" t="str">
        <f>IF($C100&lt;1,"",(AVERAGEIFS('09월 에너지'!T$14:T$949,'09월 에너지'!$A$14:$A$949,$A100,'09월 에너지'!$C$14:$C$949,$B100)))</f>
        <v/>
      </c>
      <c r="CL100" s="831" t="str">
        <f>IF($C100&lt;1,"",(AVERAGEIFS('09월 에너지'!U$14:U$949,'09월 에너지'!$A$14:$A$949,$A100,'09월 에너지'!$C$14:$C$949,$B100)))</f>
        <v/>
      </c>
      <c r="CM100" s="835" t="str">
        <f>IF($C100&lt;1,"",(AVERAGEIFS('09월 에너지'!V$14:V$949,'09월 에너지'!$A$14:$A$949,$A100,'09월 에너지'!$C$14:$C$949,$B100)))</f>
        <v/>
      </c>
      <c r="CN100" s="835" t="str">
        <f>IF($C100&lt;1,"",(AVERAGEIFS('09월 에너지'!W$14:W$949,'09월 에너지'!$A$14:$A$949,$A100,'09월 에너지'!$C$14:$C$949,$B100)))</f>
        <v/>
      </c>
      <c r="CO100" s="831" t="str">
        <f>IF($C100&lt;1,"",(AVERAGEIFS('09월 에너지'!X$14:X$949,'09월 에너지'!$A$14:$A$949,$A100,'09월 에너지'!$C$14:$C$949,$B100)))</f>
        <v/>
      </c>
      <c r="CP100" s="835" t="str">
        <f>IF($C100&lt;1,"",(AVERAGEIFS('09월 에너지'!Y$14:Y$949,'09월 에너지'!$A$14:$A$949,$A100,'09월 에너지'!$C$14:$C$949,$B100)))</f>
        <v/>
      </c>
      <c r="CQ100" s="835" t="str">
        <f>IF($C100&lt;1,"",(AVERAGEIFS('09월 에너지'!Z$14:Z$949,'09월 에너지'!$A$14:$A$949,$A100,'09월 에너지'!$C$14:$C$949,$B100)))</f>
        <v/>
      </c>
      <c r="CR100" s="835" t="str">
        <f>IF($C100&lt;1,"",(AVERAGEIFS('09월 에너지'!AA$14:AA$949,'09월 에너지'!$A$14:$A$949,$A100,'09월 에너지'!$C$14:$C$949,$B100)))</f>
        <v/>
      </c>
      <c r="CS100" s="835" t="str">
        <f>IF($C100&lt;1,"",(AVERAGEIFS('09월 에너지'!AB$14:AB$949,'09월 에너지'!$A$14:$A$949,$A100,'09월 에너지'!$C$14:$C$949,$B100)))</f>
        <v/>
      </c>
      <c r="CT100" s="831" t="str">
        <f>IF($C100&lt;1,"",(AVERAGEIFS('09월 에너지'!AC$14:AC$949,'09월 에너지'!$A$14:$A$949,$A100,'09월 에너지'!$C$14:$C$949,$B100)))</f>
        <v/>
      </c>
      <c r="CU100" s="836" t="str">
        <f>IF($C100&lt;1,"",(AVERAGEIFS('09월 에너지'!AD$14:AD$949,'09월 에너지'!$A$14:$A$949,$A100,'09월 에너지'!$C$14:$C$949,$B100)))</f>
        <v/>
      </c>
      <c r="CV100" s="837" t="str">
        <f>IF($C100&lt;1,"",(AVERAGEIFS('09월 에너지'!AE$14:AE$949,'09월 에너지'!$A$14:$A$949,$A100,'09월 에너지'!$C$14:$C$949,$B100)))</f>
        <v/>
      </c>
      <c r="CW100" s="831" t="str">
        <f>IF($C100&lt;1,"",(AVERAGEIFS('09월 에너지'!AF$14:AF$949,'09월 에너지'!$A$14:$A$949,$A100,'09월 에너지'!$C$14:$C$949,$B100)))</f>
        <v/>
      </c>
      <c r="CX100" s="831" t="str">
        <f>IF($C100&lt;1,"",(AVERAGEIFS('09월 에너지'!AG$14:AG$949,'09월 에너지'!$A$14:$A$949,$A100,'09월 에너지'!$C$14:$C$949,$B100)))</f>
        <v/>
      </c>
      <c r="CY100" s="831" t="str">
        <f>IF($C100&lt;1,"",(AVERAGEIFS('09월 에너지'!AH$14:AH$949,'09월 에너지'!$A$14:$A$949,$A100,'09월 에너지'!$C$14:$C$949,$B100)))</f>
        <v/>
      </c>
      <c r="CZ100" s="831" t="str">
        <f>IF($C100&lt;1,"",(AVERAGEIFS('09월 에너지'!AI$14:AI$949,'09월 에너지'!$A$14:$A$949,$A100,'09월 에너지'!$C$14:$C$949,$B100)))</f>
        <v/>
      </c>
      <c r="DA100" s="838" t="str">
        <f>IF($C100&lt;1,"",(AVERAGEIFS('09월 에너지'!AJ$14:AJ$949,'09월 에너지'!$A$14:$A$949,$A100,'09월 에너지'!$C$14:$C$949,$B100)))</f>
        <v/>
      </c>
    </row>
    <row r="101" spans="1:105" ht="13.5" customHeight="1">
      <c r="A101" s="847">
        <f>A96+1</f>
        <v>44946</v>
      </c>
      <c r="B101" s="848" t="s">
        <v>31</v>
      </c>
      <c r="C101" s="810">
        <f>COUNTIF('09월 조업일지'!$A$12:$A$952,A101)</f>
        <v>0</v>
      </c>
      <c r="D101" s="787" t="str">
        <f>IF(C101&lt;1,"",F101-E101)</f>
        <v/>
      </c>
      <c r="E101" s="787" t="str">
        <f>IF($C101&lt;1,"",(SUMIF('09월 조업일지'!$A$12:$A$952,$A101,'09월 조업일지'!$K$12:$K$952))/C101)</f>
        <v/>
      </c>
      <c r="F101" s="787" t="str">
        <f>IF($C101&lt;1,"",AVERAGEIF('09월 조업일지'!$A$12:$A$952,$A101,'09월 조업일지'!$J$12:$J$952))</f>
        <v/>
      </c>
      <c r="G101" s="811" t="str">
        <f>IF($C101&lt;1,"",AVERAGEIF('09월 에너지'!$A$14:$A$949,$A101,'09월 에너지'!$M$14:M$949))</f>
        <v/>
      </c>
      <c r="H101" s="812" t="str">
        <f>IF($C101&lt;1,"",AVERAGEIF('09월 조업일지'!$A$12:$A$952,$A101,'09월 조업일지'!$AJ$12:$AJ$952))</f>
        <v/>
      </c>
      <c r="I101" s="812" t="str">
        <f>IF($C101&lt;1,"",AVERAGEIF('09월 조업일지'!$A$12:$A$952,$A101,'09월 조업일지'!$AL$12:$AL$952))</f>
        <v/>
      </c>
      <c r="J101" s="813" t="str">
        <f>IF($C101&lt;1,"",AVERAGEIF('09월 화학성분'!$A$12:$A$949,$A101,'09월 화학성분'!G$12:G$949))</f>
        <v/>
      </c>
      <c r="K101" s="813" t="str">
        <f>IF($C101&lt;1,"",AVERAGEIF('09월 화학성분'!$A$12:$A$949,$A101,'09월 화학성분'!H$12:H$949))</f>
        <v/>
      </c>
      <c r="L101" s="813" t="str">
        <f>IF($C101&lt;1,"",AVERAGEIF('09월 화학성분'!$A$12:$A$949,$A101,'09월 화학성분'!I$12:I$949))</f>
        <v/>
      </c>
      <c r="M101" s="813" t="str">
        <f>IF($C101&lt;1,"",AVERAGEIF('09월 화학성분'!$A$12:$A$949,$A101,'09월 화학성분'!J$12:J$949))</f>
        <v/>
      </c>
      <c r="N101" s="813" t="str">
        <f>IF($C101&lt;1,"",AVERAGEIF('09월 화학성분'!$A$12:$A$949,$A101,'09월 화학성분'!K$12:K$949))</f>
        <v/>
      </c>
      <c r="O101" s="813" t="str">
        <f>IF($C101&lt;1,"",AVERAGEIF('09월 화학성분'!$A$12:$A$949,$A101,'09월 화학성분'!L$12:L$949))</f>
        <v/>
      </c>
      <c r="P101" s="813" t="str">
        <f>IF($C101&lt;1,"",AVERAGEIF('09월 화학성분'!$A$12:$A$949,$A101,'09월 화학성분'!M$12:M$949))</f>
        <v/>
      </c>
      <c r="Q101" s="814" t="str">
        <f>IF($C101&lt;1,"",AVERAGEIF('09월 조업일지'!$A$12:$A$952,$A101,'09월 조업일지'!$AA$12:$AA$952))</f>
        <v/>
      </c>
      <c r="R101" s="814" t="str">
        <f>IF($C101&lt;1,"",AVERAGEIF('09월 조업일지'!$A$12:$A$952,$A101,'09월 조업일지'!$AK$12:$AK$952))</f>
        <v/>
      </c>
      <c r="S101" s="814"/>
      <c r="T101" s="814"/>
      <c r="U101" s="813" t="str">
        <f>IF($C101&lt;1,"",AVERAGEIF('09월 화학성분'!$A$12:$A$949,$A101,'09월 화학성분'!$G$12:$G$949))</f>
        <v/>
      </c>
      <c r="V101" s="814" t="str">
        <f>IF($C101&lt;1,"",AVERAGEIF('09월 조업일지'!$A$12:$A$952,$A101,'09월 조업일지'!$AI$12:$AI$952))</f>
        <v/>
      </c>
      <c r="W101" s="813" t="str">
        <f>IF($C101&lt;1,"",AVERAGEIF('09월 화학성분'!$A$12:$A$949,$A101,'09월 화학성분'!$AM$12:$AM$949))</f>
        <v/>
      </c>
      <c r="X101" s="815" t="str">
        <f>IF($C101&lt;1,"",AVERAGEIF('09월 화학성분'!$A$12:$A$949,$A101,'09월 화학성분'!N$12:N$949))</f>
        <v/>
      </c>
      <c r="Y101" s="815" t="str">
        <f>IF($C101&lt;1,"",AVERAGEIF('09월 화학성분'!$A$12:$A$949,$A101,'09월 화학성분'!O$12:O$949))</f>
        <v/>
      </c>
      <c r="Z101" s="815" t="str">
        <f>IF($C101&lt;1,"",AVERAGEIF('09월 화학성분'!$A$12:$A$949,$A101,'09월 화학성분'!P$12:P$949))</f>
        <v/>
      </c>
      <c r="AA101" s="815" t="str">
        <f>IF($C101&lt;1,"",AVERAGEIF('09월 화학성분'!$A$12:$A$949,$A101,'09월 화학성분'!Q$12:Q$949))</f>
        <v/>
      </c>
      <c r="AB101" s="815" t="str">
        <f>IF($C101&lt;1,"",AVERAGEIF('09월 화학성분'!$A$12:$A$949,$A101,'09월 화학성분'!R$12:R$949))</f>
        <v/>
      </c>
      <c r="AC101" s="815" t="str">
        <f>IF($C101&lt;1,"",AVERAGEIF('09월 화학성분'!$A$12:$A$949,$A101,'09월 화학성분'!U$12:U$949))</f>
        <v/>
      </c>
      <c r="AD101" s="815" t="str">
        <f>IF($C101&lt;1,"",AVERAGEIF('09월 화학성분'!$A$12:$A$949,$A101,'09월 화학성분'!V$12:V$949))</f>
        <v/>
      </c>
      <c r="AE101" s="815" t="str">
        <f>IF($C101&lt;1,"",AVERAGEIF('09월 화학성분'!$A$12:$A$949,$A101,'09월 화학성분'!W$12:W$949))</f>
        <v/>
      </c>
      <c r="AF101" s="815" t="str">
        <f>IF($C101&lt;1,"",AVERAGEIF('09월 화학성분'!$A$12:$A$949,$A101,'09월 화학성분'!AA$12:AA$949))</f>
        <v/>
      </c>
      <c r="AG101" s="815" t="str">
        <f>IF($C101&lt;1,"",AVERAGEIF('09월 화학성분'!$A$12:$A$949,$A101,'09월 화학성분'!#REF!))</f>
        <v/>
      </c>
      <c r="AH101" s="815" t="str">
        <f>IF($C101&lt;1,"",AVERAGEIF('09월 화학성분'!$A$12:$A$949,$A101,'09월 화학성분'!AB$12:AB$949))</f>
        <v/>
      </c>
      <c r="AI101" s="815" t="str">
        <f>IF($C101&lt;1,"",AVERAGEIF('09월 화학성분'!$A$12:$A$949,$A101,'09월 화학성분'!AC$12:AC$949))</f>
        <v/>
      </c>
      <c r="AJ101" s="815" t="str">
        <f>IF($C101&lt;1,"",AVERAGEIF('09월 화학성분'!$A$12:$A$949,$A101,'09월 화학성분'!AD$12:AD$949))</f>
        <v/>
      </c>
      <c r="AK101" s="815" t="str">
        <f>IF($C101&lt;1,"",AVERAGEIF('09월 화학성분'!$A$12:$A$949,$A101,'09월 화학성분'!AF$12:AF$949))</f>
        <v/>
      </c>
      <c r="AL101" s="815" t="str">
        <f>IF($C101&lt;1,"",AVERAGEIF('09월 화학성분'!$A$12:$A$949,$A101,'09월 화학성분'!AG$12:AG$949))</f>
        <v/>
      </c>
      <c r="AM101" s="815" t="str">
        <f>IF($C101&lt;1,"",AVERAGEIF('09월 화학성분'!$A$12:$A$949,$A101,'09월 화학성분'!AH$12:AH$949))</f>
        <v/>
      </c>
      <c r="AN101" s="815" t="str">
        <f>IF($C101&lt;1,"",AVERAGEIF('09월 화학성분'!$A$12:$A$949,$A101,'09월 화학성분'!AI$12:AI$949))</f>
        <v/>
      </c>
      <c r="AO101" s="815" t="str">
        <f>IF($C101&lt;1,"",AVERAGEIF('09월 화학성분'!$A$12:$A$949,$A101,'09월 화학성분'!AJ$12:AJ$949))</f>
        <v/>
      </c>
      <c r="AP101" s="815" t="str">
        <f>IF($C101&lt;1,"",AVERAGEIF('09월 화학성분'!$A$12:$A$949,$A101,'09월 화학성분'!#REF!))</f>
        <v/>
      </c>
      <c r="AQ101" s="815" t="str">
        <f>IF($C101&lt;1,"",AVERAGEIF('09월 화학성분'!$A$12:$A$949,$A101,'09월 화학성분'!AL$12:AL$949))</f>
        <v/>
      </c>
      <c r="AR101" s="815" t="str">
        <f>IF($C101&lt;1,"",AVERAGEIF('09월 화학성분'!$A$12:$A$949,$A101,'09월 화학성분'!AM$12:AM$949))</f>
        <v/>
      </c>
      <c r="AS101" s="816" t="str">
        <f>IF($C101&lt;1,"",AVERAGEIF('09월 화학성분'!$A$12:$A$949,$A101,'09월 화학성분'!AN$12:AN$949))</f>
        <v/>
      </c>
      <c r="AT101" s="816" t="str">
        <f>IF($C101&lt;1,"",AVERAGEIF('09월 화학성분'!$A$12:$A$949,$A101,'09월 화학성분'!AO$12:AO$949))</f>
        <v/>
      </c>
      <c r="AU101" s="815" t="str">
        <f>IF($C101&lt;1,"",AVERAGEIF('09월 화학성분'!$A$12:$A$949,$A101,'09월 화학성분'!AP$12:AP$949))</f>
        <v/>
      </c>
      <c r="AV101" s="815" t="str">
        <f>IF($C101&lt;1,"",AVERAGEIF('09월 고철장입'!$A$14:$A$949,$A101,'09월 고철장입'!G$14:G$949)/1000)</f>
        <v/>
      </c>
      <c r="AW101" s="815" t="str">
        <f>IF($C101&lt;1,"",AVERAGEIF('09월 고철장입'!$A$14:$A$949,$A101,'09월 고철장입'!H$14:H$949)/1000)</f>
        <v/>
      </c>
      <c r="AX101" s="815" t="str">
        <f>IF($C101&lt;1,"",AVERAGEIF('09월 고철장입'!$A$14:$A$949,$A101,'09월 고철장입'!I$14:I$949)/1000)</f>
        <v/>
      </c>
      <c r="AY101" s="815" t="str">
        <f>IF($C101&lt;1,"",AVERAGEIF('09월 고철장입'!$A$14:$A$949,$A101,'09월 고철장입'!J$14:J$949)/1000)</f>
        <v/>
      </c>
      <c r="AZ101" s="815" t="str">
        <f>IF($C101&lt;1,"",AVERAGEIF('09월 고철장입'!$A$14:$A$949,$A101,'09월 고철장입'!K$14:K$949)/1000)</f>
        <v/>
      </c>
      <c r="BA101" s="815" t="str">
        <f>IF($C101&lt;1,"",AVERAGEIF('09월 고철장입'!$A$14:$A$949,$A101,'09월 고철장입'!L$14:L$949)/1000)</f>
        <v/>
      </c>
      <c r="BB101" s="815" t="str">
        <f>IF($C101&lt;1,"",AVERAGEIF('09월 고철장입'!$A$14:$A$949,$A101,'09월 고철장입'!M$14:M$949)/1000)</f>
        <v/>
      </c>
      <c r="BC101" s="815" t="str">
        <f>IF($C101&lt;1,"",AVERAGEIF('09월 고철장입'!$A$14:$A$949,$A101,'09월 고철장입'!N$14:N$949)/1000)</f>
        <v/>
      </c>
      <c r="BD101" s="815" t="str">
        <f>IF($C101&lt;1,"",AVERAGEIF('09월 고철장입'!$A$14:$A$949,$A101,'09월 고철장입'!O$14:O$949)/1000)</f>
        <v/>
      </c>
      <c r="BE101" s="815" t="str">
        <f>IF($C101&lt;1,"",AVERAGEIF('09월 고철장입'!$A$14:$A$949,$A101,'09월 고철장입'!P$14:P$949)/1000)</f>
        <v/>
      </c>
      <c r="BF101" s="815" t="str">
        <f>IF($C101&lt;1,"",AVERAGEIF('09월 고철장입'!$A$14:$A$949,$A101,'09월 고철장입'!Q$14:Q$949)/1000)</f>
        <v/>
      </c>
      <c r="BG101" s="815" t="str">
        <f>IF($C101&lt;1,"",AVERAGEIF('09월 고철장입'!$A$14:$A$949,$A101,'09월 고철장입'!S$14:S$949)/1000)</f>
        <v/>
      </c>
      <c r="BH101" s="815" t="str">
        <f>IF($C101&lt;1,"",AVERAGEIF('09월 고철장입'!$A$14:$A$949,$A101,'09월 고철장입'!T$14:T$949)/1000)</f>
        <v/>
      </c>
      <c r="BI101" s="815" t="str">
        <f>IF($C101&lt;1,"",AVERAGEIF('09월 고철장입'!$A$14:$A$949,$A101,'09월 고철장입'!U$14:U$949)/1000)</f>
        <v/>
      </c>
      <c r="BJ101" s="815" t="str">
        <f>IF($C101&lt;1,"",AVERAGEIF('09월 고철장입'!$A$14:$A$949,$A101,'09월 고철장입'!V$14:V$949)/1000)</f>
        <v/>
      </c>
      <c r="BK101" s="815" t="str">
        <f>IF($C101&lt;1,"",AVERAGEIF('09월 고철장입'!$A$14:$A$949,$A101,'09월 고철장입'!W$14:W$949)/1000)</f>
        <v/>
      </c>
      <c r="BL101" s="815" t="str">
        <f>IF($C101&lt;1,"",AVERAGEIF('09월 고철장입'!$A$14:$A$949,$A101,'09월 고철장입'!Y$14:Y$949)/1000)</f>
        <v/>
      </c>
      <c r="BM101" s="815" t="str">
        <f>IF($C101&lt;1,"",AVERAGEIF('09월 고철장입'!$A$14:$A$949,$A101,'09월 고철장입'!AB$14:AB$949)/1000)</f>
        <v/>
      </c>
      <c r="BN101" s="815" t="str">
        <f>IF($C101&lt;1,"",AVERAGEIF('09월 고철장입'!$A$14:$A$949,$A101,'09월 고철장입'!AC$14:AC$949)/1000)</f>
        <v/>
      </c>
      <c r="BO101" s="815" t="str">
        <f>IF($C101&lt;1,"",AVERAGEIF('09월 고철장입'!$A$14:$A$949,$A101,'09월 고철장입'!AD$14:AD$949)/1000)</f>
        <v/>
      </c>
      <c r="BP101" s="815" t="str">
        <f>IF($C101&lt;1,"",AVERAGEIF('09월 고철장입'!$A$14:$A$949,$A101,'09월 고철장입'!AE$14:AE$949)/1000)</f>
        <v/>
      </c>
      <c r="BQ101" s="815" t="str">
        <f>IF($C101&lt;1,"",AVERAGEIF('09월 고철장입'!$A$14:$A$949,$A101,'09월 고철장입'!AF$14:AF$949)/1000)</f>
        <v/>
      </c>
      <c r="BR101" s="815" t="str">
        <f>IF($C101&lt;1,"",AVERAGEIF('09월 고철장입'!$A$14:$A$949,$A101,'09월 고철장입'!AG$14:AG$949)/1000)</f>
        <v/>
      </c>
      <c r="BS101" s="815" t="str">
        <f>IF($C101&lt;1,"",AVERAGEIF('09월 고철장입'!$A$14:$A$949,$A101,'09월 고철장입'!AH$14:AH$949)/1000)</f>
        <v/>
      </c>
      <c r="BT101" s="815" t="str">
        <f>IF($C101&lt;1,"",AVERAGEIF('09월 고철장입'!$A$14:$A$949,$A101,'09월 고철장입'!AI$14:AI$949)/1000)</f>
        <v/>
      </c>
      <c r="BU101" s="815" t="str">
        <f>IF($C101&lt;1,"",AVERAGEIF('09월 고철장입'!$A$14:$A$949,$A101,'09월 고철장입'!AJ$14:AJ$949)/1000)</f>
        <v/>
      </c>
      <c r="BV101" s="815" t="str">
        <f>IF($C101&lt;1,"",AVERAGEIF('09월 고철장입'!$A$14:$A$949,$A101,'09월 고철장입'!AK$14:AK$949))</f>
        <v/>
      </c>
      <c r="BW101" s="815" t="str">
        <f>IF($C101&lt;1,"",AVERAGEIF('09월 고철장입'!$A$14:$A$949,$A101,'09월 고철장입'!AL$14:AL$949)*100)</f>
        <v/>
      </c>
      <c r="BX101" s="815" t="str">
        <f>IF($C101&lt;1,"",AVERAGEIF('09월 에너지'!$A$14:$A$949,$A101,'09월 에너지'!G$14:G$949))</f>
        <v/>
      </c>
      <c r="BY101" s="817" t="str">
        <f>IF($C101&lt;1,"",AVERAGEIF('09월 에너지'!$A$14:$A$949,$A101,'09월 에너지'!H$14:H$949))</f>
        <v/>
      </c>
      <c r="BZ101" s="815" t="str">
        <f>IF($C101&lt;1,"",AVERAGEIF('09월 에너지'!$A$14:$A$949,$A101,'09월 에너지'!I$14:I$949))</f>
        <v/>
      </c>
      <c r="CA101" s="817" t="str">
        <f>IF($C101&lt;1,"",AVERAGEIF('09월 에너지'!$A$14:$A$949,$A101,'09월 에너지'!J$14:J$949))</f>
        <v/>
      </c>
      <c r="CB101" s="815" t="str">
        <f>IF($C101&lt;1,"",AVERAGEIF('09월 에너지'!$A$14:$A$949,$A101,'09월 에너지'!K$14:K$949))</f>
        <v/>
      </c>
      <c r="CC101" s="817" t="str">
        <f>IF($C101&lt;1,"",AVERAGEIF('09월 에너지'!$A$14:$A$949,$A101,'09월 에너지'!L$14:L$949))</f>
        <v/>
      </c>
      <c r="CD101" s="815" t="str">
        <f>IF($C101&lt;1,"",AVERAGEIF('09월 에너지'!$A$14:$A$949,$A101,'09월 에너지'!M$14:M$949))</f>
        <v/>
      </c>
      <c r="CE101" s="817" t="str">
        <f>IF($C101&lt;1,"",AVERAGEIF('09월 에너지'!$A$14:$A$949,$A101,'09월 에너지'!N$14:N$949))</f>
        <v/>
      </c>
      <c r="CF101" s="815" t="str">
        <f>IF($C101&lt;1,"",AVERAGEIF('09월 에너지'!$A$14:$A$949,$A101,'09월 에너지'!O$14:O$949))</f>
        <v/>
      </c>
      <c r="CG101" s="815" t="str">
        <f>IF($C101&lt;1,"",AVERAGEIF('09월 에너지'!$A$14:$A$949,$A101,'09월 에너지'!P$14:P$949))</f>
        <v/>
      </c>
      <c r="CH101" s="815" t="str">
        <f>IF($C101&lt;1,"",AVERAGEIF('09월 에너지'!$A$14:$A$949,$A101,'09월 에너지'!Q$14:Q$949))</f>
        <v/>
      </c>
      <c r="CI101" s="815" t="str">
        <f>IF($C101&lt;1,"",AVERAGEIF('09월 에너지'!$A$14:$A$949,$A101,'09월 에너지'!R$14:R$949))</f>
        <v/>
      </c>
      <c r="CJ101" s="815" t="str">
        <f>IF($C101&lt;1,"",AVERAGEIF('09월 에너지'!$A$14:$A$949,$A101,'09월 에너지'!S$14:S$949))</f>
        <v/>
      </c>
      <c r="CK101" s="815" t="str">
        <f>IF($C101&lt;1,"",AVERAGEIF('09월 에너지'!$A$14:$A$949,$A101,'09월 에너지'!T$14:T$949))</f>
        <v/>
      </c>
      <c r="CL101" s="815" t="str">
        <f>IF($C101&lt;1,"",AVERAGEIF('09월 에너지'!$A$14:$A$949,$A101,'09월 에너지'!U$14:U$949))</f>
        <v/>
      </c>
      <c r="CM101" s="817" t="str">
        <f>IF($C101&lt;1,"",AVERAGEIF('09월 에너지'!$A$14:$A$949,$A101,'09월 에너지'!V$14:V$949))</f>
        <v/>
      </c>
      <c r="CN101" s="817" t="str">
        <f>IF($C101&lt;1,"",AVERAGEIF('09월 에너지'!$A$14:$A$949,$A101,'09월 에너지'!W$14:W$949))</f>
        <v/>
      </c>
      <c r="CO101" s="815" t="str">
        <f>IF($C101&lt;1,"",AVERAGEIF('09월 에너지'!$A$14:$A$949,$A101,'09월 에너지'!X$14:X$949))</f>
        <v/>
      </c>
      <c r="CP101" s="817" t="str">
        <f>IF($C101&lt;1,"",AVERAGEIF('09월 에너지'!$A$14:$A$949,$A101,'09월 에너지'!Y$14:Y$949))</f>
        <v/>
      </c>
      <c r="CQ101" s="817" t="str">
        <f>IF($C101&lt;1,"",AVERAGEIF('09월 에너지'!$A$14:$A$949,$A101,'09월 에너지'!Z$14:Z$949))</f>
        <v/>
      </c>
      <c r="CR101" s="817" t="str">
        <f>IF($C101&lt;1,"",AVERAGEIF('09월 에너지'!$A$14:$A$949,$A101,'09월 에너지'!AA$14:AA$949))</f>
        <v/>
      </c>
      <c r="CS101" s="817" t="str">
        <f>IF($C101&lt;1,"",AVERAGEIF('09월 에너지'!$A$14:$A$949,$A101,'09월 에너지'!AB$14:AB$949))</f>
        <v/>
      </c>
      <c r="CT101" s="815" t="str">
        <f>IF($C101&lt;1,"",AVERAGEIF('09월 에너지'!$A$14:$A$949,$A101,'09월 에너지'!AC$14:AC$949))</f>
        <v/>
      </c>
      <c r="CU101" s="818" t="str">
        <f>IF($C101&lt;1,"",AVERAGEIF('09월 에너지'!$A$14:$A$949,$A101,'09월 에너지'!AD$14:AD$949))</f>
        <v/>
      </c>
      <c r="CV101" s="819" t="str">
        <f>IF($C101&lt;1,"",AVERAGEIF('09월 에너지'!$A$14:$A$949,$A101,'09월 에너지'!AE$14:AE$949))</f>
        <v/>
      </c>
      <c r="CW101" s="815" t="str">
        <f>IF($C101&lt;1,"",AVERAGEIF('09월 에너지'!$A$14:$A$949,$A101,'09월 에너지'!AF$14:AF$949))</f>
        <v/>
      </c>
      <c r="CX101" s="815" t="str">
        <f>IF($C101&lt;1,"",AVERAGEIF('09월 에너지'!$A$14:$A$949,$A101,'09월 에너지'!AG$14:AG$949))</f>
        <v/>
      </c>
      <c r="CY101" s="815" t="str">
        <f>IF($C101&lt;1,"",AVERAGEIF('09월 에너지'!$A$14:$A$949,$A101,'09월 에너지'!AH$14:AH$949))</f>
        <v/>
      </c>
      <c r="CZ101" s="815" t="str">
        <f>IF($C101&lt;1,"",AVERAGEIF('09월 에너지'!$A$14:$A$949,$A101,'09월 에너지'!AI$14:AI$949))</f>
        <v/>
      </c>
      <c r="DA101" s="820" t="str">
        <f>IF($C101&lt;1,"",AVERAGEIF('09월 에너지'!$A$14:$A$949,$A101,'09월 에너지'!AJ$14:AJ$949))</f>
        <v/>
      </c>
    </row>
    <row r="102" spans="1:105" ht="13.5" customHeight="1">
      <c r="A102" s="849">
        <f t="shared" si="20"/>
        <v>44946</v>
      </c>
      <c r="B102" s="850" t="s">
        <v>9</v>
      </c>
      <c r="C102" s="823">
        <f>COUNTIFS('09월 조업일지'!$A$12:$A$952,A101,'09월 조업일지'!$E$12:$E$952,B102)</f>
        <v>0</v>
      </c>
      <c r="D102" s="824" t="str">
        <f>IF(C102&lt;1,"",F102-E102)</f>
        <v/>
      </c>
      <c r="E102" s="824" t="str">
        <f>IF($C102&lt;1,"",(SUMIFS('09월 조업일지'!$K$12:$K$952,'09월 조업일지'!$A$12:$A$952,$A102,'09월 조업일지'!$E$12:$E$952,$B102)/$C102))</f>
        <v/>
      </c>
      <c r="F102" s="824" t="str">
        <f>IF($C102&lt;1,"",(AVERAGEIFS('09월 조업일지'!$J$12:$J$952,'09월 조업일지'!$A$12:$A$952,$A102,'09월 조업일지'!$E$12:$E$952,$B102)))</f>
        <v/>
      </c>
      <c r="G102" s="825" t="str">
        <f>IF($C102&lt;1,"",(AVERAGEIFS('09월 에너지'!$M$14:$M$949,'09월 에너지'!$A$14:$A$949,$A102,'09월 에너지'!$C$14:$C$949,$B102)))</f>
        <v/>
      </c>
      <c r="H102" s="826" t="str">
        <f>IF($C102&lt;1,"",(AVERAGEIFS('09월 조업일지'!$AJ$12:$AJ$952,'09월 조업일지'!$A$12:$A$952,$A102,'09월 조업일지'!$E$12:$E$952,$B102)))</f>
        <v/>
      </c>
      <c r="I102" s="826" t="str">
        <f>IF($C102&lt;1,"",(AVERAGEIFS('09월 조업일지'!$AL$12:$AL$952,'09월 조업일지'!$A$12:$A$952,$A102,'09월 조업일지'!$E$12:$E$952,$B102)))</f>
        <v/>
      </c>
      <c r="J102" s="827" t="str">
        <f>IF($C102&lt;1,"",(AVERAGEIFS('09월 화학성분'!G$12:G$949,'09월 화학성분'!$A$12:$A$949,$A102,'09월 화학성분'!$D$12:$D$949,$B102)))</f>
        <v/>
      </c>
      <c r="K102" s="827" t="str">
        <f>IF($C102&lt;1,"",(AVERAGEIFS('09월 화학성분'!H$12:H$949,'09월 화학성분'!$A$12:$A$949,$A102,'09월 화학성분'!$D$12:$D$949,$B102)))</f>
        <v/>
      </c>
      <c r="L102" s="827" t="str">
        <f>IF($C102&lt;1,"",(AVERAGEIFS('09월 화학성분'!I$12:I$949,'09월 화학성분'!$A$12:$A$949,$A102,'09월 화학성분'!$D$12:$D$949,$B102)))</f>
        <v/>
      </c>
      <c r="M102" s="827" t="str">
        <f>IF($C102&lt;1,"",(AVERAGEIFS('09월 화학성분'!J$12:J$949,'09월 화학성분'!$A$12:$A$949,$A102,'09월 화학성분'!$D$12:$D$949,$B102)))</f>
        <v/>
      </c>
      <c r="N102" s="827" t="str">
        <f>IF($C102&lt;1,"",(AVERAGEIFS('09월 화학성분'!K$12:K$949,'09월 화학성분'!$A$12:$A$949,$A102,'09월 화학성분'!$D$12:$D$949,$B102)))</f>
        <v/>
      </c>
      <c r="O102" s="827" t="str">
        <f>IF($C102&lt;1,"",(AVERAGEIFS('09월 화학성분'!L$12:L$949,'09월 화학성분'!$A$12:$A$949,$A102,'09월 화학성분'!$D$12:$D$949,$B102)))</f>
        <v/>
      </c>
      <c r="P102" s="827" t="str">
        <f>IF($C102&lt;1,"",(AVERAGEIFS('09월 화학성분'!M$12:M$949,'09월 화학성분'!$A$12:$A$949,$A102,'09월 화학성분'!$D$12:$D$949,$B102)))</f>
        <v/>
      </c>
      <c r="Q102" s="827" t="str">
        <f>IFERROR(IF($C102&lt;1,"",(AVERAGEIFS('09월 조업일지'!$AA$12:$AA$952,'09월 조업일지'!$A$12:$A$952,$A102,'09월 조업일지'!$E$12:$E$952,$B102))),"")</f>
        <v/>
      </c>
      <c r="R102" s="827" t="str">
        <f>IF($C102&lt;1,"",(AVERAGEIFS('09월 조업일지'!$AK$12:$AK$952,'09월 조업일지'!$A$12:$A$952,$A102,'09월 조업일지'!$E$12:$E$952,$B102)))</f>
        <v/>
      </c>
      <c r="S102" s="827"/>
      <c r="T102" s="827"/>
      <c r="U102" s="827" t="str">
        <f>IF($C102&lt;1,"",(AVERAGEIFS('09월 화학성분'!$G$12:$G$949,'09월 화학성분'!$A$12:$A$949,$A102,'09월 화학성분'!$D$12:$D$949,$B102)))</f>
        <v/>
      </c>
      <c r="V102" s="827" t="str">
        <f>IF($C102&lt;1,"",(AVERAGEIFS('09월 조업일지'!$AI$12:$AI$952,'09월 조업일지'!$A$12:$A$952,$A102,'09월 조업일지'!$E$12:$E$952,$B102)))</f>
        <v/>
      </c>
      <c r="W102" s="828" t="str">
        <f>IF($C102&lt;1,"",(AVERAGEIFS('09월 화학성분'!$AM$12:$AM$949,'09월 화학성분'!$A$12:$A$949,$A102,'09월 화학성분'!$D$12:$D$949,$B102)))</f>
        <v/>
      </c>
      <c r="X102" s="829" t="str">
        <f>IF($C102&lt;1,"",(AVERAGEIFS('09월 화학성분'!N$12:N$949,'09월 화학성분'!$A$12:$A$949,$A102,'09월 화학성분'!$D$12:$D$949,$B102)))</f>
        <v/>
      </c>
      <c r="Y102" s="829" t="str">
        <f>IF($C102&lt;1,"",(AVERAGEIFS('09월 화학성분'!O$12:O$949,'09월 화학성분'!$A$12:$A$949,$A102,'09월 화학성분'!$D$12:$D$949,$B102)))</f>
        <v/>
      </c>
      <c r="Z102" s="829" t="str">
        <f>IF($C102&lt;1,"",(AVERAGEIFS('09월 화학성분'!P$12:P$949,'09월 화학성분'!$A$12:$A$949,$A102,'09월 화학성분'!$D$12:$D$949,$B102)))</f>
        <v/>
      </c>
      <c r="AA102" s="829" t="str">
        <f>IF($C102&lt;1,"",(AVERAGEIFS('09월 화학성분'!Q$12:Q$949,'09월 화학성분'!$A$12:$A$949,$A102,'09월 화학성분'!$D$12:$D$949,$B102)))</f>
        <v/>
      </c>
      <c r="AB102" s="829" t="str">
        <f>IF($C102&lt;1,"",(AVERAGEIFS('09월 화학성분'!R$12:R$949,'09월 화학성분'!$A$12:$A$949,$A102,'09월 화학성분'!$D$12:$D$949,$B102)))</f>
        <v/>
      </c>
      <c r="AC102" s="829" t="str">
        <f>IF($C102&lt;1,"",(AVERAGEIFS('09월 화학성분'!U$12:U$949,'09월 화학성분'!$A$12:$A$949,$A102,'09월 화학성분'!$D$12:$D$949,$B102)))</f>
        <v/>
      </c>
      <c r="AD102" s="829" t="str">
        <f>IF($C102&lt;1,"",(AVERAGEIFS('09월 화학성분'!V$12:V$949,'09월 화학성분'!$A$12:$A$949,$A102,'09월 화학성분'!$D$12:$D$949,$B102)))</f>
        <v/>
      </c>
      <c r="AE102" s="829" t="str">
        <f>IF($C102&lt;1,"",(AVERAGEIFS('09월 화학성분'!W$12:W$949,'09월 화학성분'!$A$12:$A$949,$A102,'09월 화학성분'!$D$12:$D$949,$B102)))</f>
        <v/>
      </c>
      <c r="AF102" s="829" t="str">
        <f>IF($C102&lt;1,"",(AVERAGEIFS('09월 화학성분'!AA$12:AA$949,'09월 화학성분'!$A$12:$A$949,$A102,'09월 화학성분'!$D$12:$D$949,$B102)))</f>
        <v/>
      </c>
      <c r="AG102" s="829" t="str">
        <f>IF($C102&lt;1,"",(AVERAGEIFS('09월 화학성분'!#REF!,'09월 화학성분'!$A$12:$A$949,$A102,'09월 화학성분'!$D$12:$D$949,$B102)))</f>
        <v/>
      </c>
      <c r="AH102" s="829" t="str">
        <f>IF($C102&lt;1,"",(AVERAGEIFS('09월 화학성분'!AB$12:AB$949,'09월 화학성분'!$A$12:$A$949,$A102,'09월 화학성분'!$D$12:$D$949,$B102)))</f>
        <v/>
      </c>
      <c r="AI102" s="829" t="str">
        <f>IF($C102&lt;1,"",(AVERAGEIFS('09월 화학성분'!AC$12:AC$949,'09월 화학성분'!$A$12:$A$949,$A102,'09월 화학성분'!$D$12:$D$949,$B102)))</f>
        <v/>
      </c>
      <c r="AJ102" s="829" t="str">
        <f>IF($C102&lt;1,"",(AVERAGEIFS('09월 화학성분'!AD$12:AD$949,'09월 화학성분'!$A$12:$A$949,$A102,'09월 화학성분'!$D$12:$D$949,$B102)))</f>
        <v/>
      </c>
      <c r="AK102" s="829" t="str">
        <f>IF($C102&lt;1,"",(AVERAGEIFS('09월 화학성분'!AF$12:AF$949,'09월 화학성분'!$A$12:$A$949,$A102,'09월 화학성분'!$D$12:$D$949,$B102)))</f>
        <v/>
      </c>
      <c r="AL102" s="829" t="str">
        <f>IF($C102&lt;1,"",(AVERAGEIFS('09월 화학성분'!AG$12:AG$949,'09월 화학성분'!$A$12:$A$949,$A102,'09월 화학성분'!$D$12:$D$949,$B102)))</f>
        <v/>
      </c>
      <c r="AM102" s="829" t="str">
        <f>IF($C102&lt;1,"",(AVERAGEIFS('09월 화학성분'!AH$12:AH$949,'09월 화학성분'!$A$12:$A$949,$A102,'09월 화학성분'!$D$12:$D$949,$B102)))</f>
        <v/>
      </c>
      <c r="AN102" s="829" t="str">
        <f>IF($C102&lt;1,"",(AVERAGEIFS('09월 화학성분'!AI$12:AI$949,'09월 화학성분'!$A$12:$A$949,$A102,'09월 화학성분'!$D$12:$D$949,$B102)))</f>
        <v/>
      </c>
      <c r="AO102" s="829" t="str">
        <f>IF($C102&lt;1,"",(AVERAGEIFS('09월 화학성분'!AJ$12:AJ$949,'09월 화학성분'!$A$12:$A$949,$A102,'09월 화학성분'!$D$12:$D$949,$B102)))</f>
        <v/>
      </c>
      <c r="AP102" s="829" t="str">
        <f>IF($C102&lt;1,"",(AVERAGEIFS('09월 화학성분'!#REF!,'09월 화학성분'!$A$12:$A$949,$A102,'09월 화학성분'!$D$12:$D$949,$B102)))</f>
        <v/>
      </c>
      <c r="AQ102" s="829" t="str">
        <f>IF($C102&lt;1,"",(AVERAGEIFS('09월 화학성분'!AL$12:AL$949,'09월 화학성분'!$A$12:$A$949,$A102,'09월 화학성분'!$D$12:$D$949,$B102)))</f>
        <v/>
      </c>
      <c r="AR102" s="829" t="str">
        <f>IF($C102&lt;1,"",(AVERAGEIFS('09월 화학성분'!AM$12:AM$949,'09월 화학성분'!$A$12:$A$949,$A102,'09월 화학성분'!$D$12:$D$949,$B102)))</f>
        <v/>
      </c>
      <c r="AS102" s="830" t="str">
        <f>IF($C102&lt;1,"",(AVERAGEIFS('09월 화학성분'!AN$12:AN$949,'09월 화학성분'!$A$12:$A$949,$A102,'09월 화학성분'!$D$12:$D$949,$B102)))</f>
        <v/>
      </c>
      <c r="AT102" s="830" t="str">
        <f>IF($C102&lt;1,"",(AVERAGEIFS('09월 화학성분'!AO$12:AO$949,'09월 화학성분'!$A$12:$A$949,$A102,'09월 화학성분'!$D$12:$D$949,$B102)))</f>
        <v/>
      </c>
      <c r="AU102" s="831" t="str">
        <f>IF($C102&lt;1,"",(AVERAGEIFS('09월 화학성분'!AP$12:AP$949,'09월 화학성분'!$A$12:$A$949,$A102,'09월 화학성분'!$D$12:$D$949,$B102)))</f>
        <v/>
      </c>
      <c r="AV102" s="832" t="str">
        <f>IF($C102&lt;1,"",(AVERAGEIFS('09월 고철장입'!G$14:G$949,'09월 고철장입'!$A$14:$A$949,$A102,'09월 고철장입'!$C$14:$C$949,$B102))/1000)</f>
        <v/>
      </c>
      <c r="AW102" s="832" t="str">
        <f>IF($C102&lt;1,"",(AVERAGEIFS('09월 고철장입'!H$14:H$949,'09월 고철장입'!$A$14:$A$949,$A102,'09월 고철장입'!$C$14:$C$949,$B102))/1000)</f>
        <v/>
      </c>
      <c r="AX102" s="832" t="str">
        <f>IF($C102&lt;1,"",(AVERAGEIFS('09월 고철장입'!I$14:I$949,'09월 고철장입'!$A$14:$A$949,$A102,'09월 고철장입'!$C$14:$C$949,$B102))/1000)</f>
        <v/>
      </c>
      <c r="AY102" s="832" t="str">
        <f>IF($C102&lt;1,"",(AVERAGEIFS('09월 고철장입'!J$14:J$949,'09월 고철장입'!$A$14:$A$949,$A102,'09월 고철장입'!$C$14:$C$949,$B102))/1000)</f>
        <v/>
      </c>
      <c r="AZ102" s="832" t="str">
        <f>IF($C102&lt;1,"",(AVERAGEIFS('09월 고철장입'!K$14:K$949,'09월 고철장입'!$A$14:$A$949,$A102,'09월 고철장입'!$C$14:$C$949,$B102))/1000)</f>
        <v/>
      </c>
      <c r="BA102" s="832" t="str">
        <f>IF($C102&lt;1,"",(AVERAGEIFS('09월 고철장입'!L$14:L$949,'09월 고철장입'!$A$14:$A$949,$A102,'09월 고철장입'!$C$14:$C$949,$B102))/1000)</f>
        <v/>
      </c>
      <c r="BB102" s="832" t="str">
        <f>IF($C102&lt;1,"",(AVERAGEIFS('09월 고철장입'!M$14:M$949,'09월 고철장입'!$A$14:$A$949,$A102,'09월 고철장입'!$C$14:$C$949,$B102))/1000)</f>
        <v/>
      </c>
      <c r="BC102" s="832" t="str">
        <f>IF($C102&lt;1,"",(AVERAGEIFS('09월 고철장입'!N$14:N$949,'09월 고철장입'!$A$14:$A$949,$A102,'09월 고철장입'!$C$14:$C$949,$B102))/1000)</f>
        <v/>
      </c>
      <c r="BD102" s="832" t="str">
        <f>IF($C102&lt;1,"",(AVERAGEIFS('09월 고철장입'!O$14:O$949,'09월 고철장입'!$A$14:$A$949,$A102,'09월 고철장입'!$C$14:$C$949,$B102))/1000)</f>
        <v/>
      </c>
      <c r="BE102" s="833" t="str">
        <f>IF($C102&lt;1,"",(AVERAGEIFS('09월 고철장입'!P$14:P$949,'09월 고철장입'!$A$14:$A$949,$A102,'09월 고철장입'!$C$14:$C$949,$B102))/1000)</f>
        <v/>
      </c>
      <c r="BF102" s="833" t="str">
        <f>IF($C102&lt;1,"",(AVERAGEIFS('09월 고철장입'!Q$14:Q$949,'09월 고철장입'!$A$14:$A$949,$A102,'09월 고철장입'!$C$14:$C$949,$B102))/1000)</f>
        <v/>
      </c>
      <c r="BG102" s="833" t="str">
        <f>IF($C102&lt;1,"",(AVERAGEIFS('09월 고철장입'!S$14:S$949,'09월 고철장입'!$A$14:$A$949,$A102,'09월 고철장입'!$C$14:$C$949,$B102))/1000)</f>
        <v/>
      </c>
      <c r="BH102" s="833" t="str">
        <f>IF($C102&lt;1,"",(AVERAGEIFS('09월 고철장입'!T$14:T$949,'09월 고철장입'!$A$14:$A$949,$A102,'09월 고철장입'!$C$14:$C$949,$B102))/1000)</f>
        <v/>
      </c>
      <c r="BI102" s="833" t="str">
        <f>IF($C102&lt;1,"",(AVERAGEIFS('09월 고철장입'!U$14:U$949,'09월 고철장입'!$A$14:$A$949,$A102,'09월 고철장입'!$C$14:$C$949,$B102))/1000)</f>
        <v/>
      </c>
      <c r="BJ102" s="833" t="str">
        <f>IF($C102&lt;1,"",(AVERAGEIFS('09월 고철장입'!V$14:V$949,'09월 고철장입'!$A$14:$A$949,$A102,'09월 고철장입'!$C$14:$C$949,$B102))/1000)</f>
        <v/>
      </c>
      <c r="BK102" s="833" t="str">
        <f>IF($C102&lt;1,"",(AVERAGEIFS('09월 고철장입'!W$14:W$949,'09월 고철장입'!$A$14:$A$949,$A102,'09월 고철장입'!$C$14:$C$949,$B102))/1000)</f>
        <v/>
      </c>
      <c r="BL102" s="833" t="str">
        <f>IF($C102&lt;1,"",(AVERAGEIFS('09월 고철장입'!Y$14:Y$949,'09월 고철장입'!$A$14:$A$949,$A102,'09월 고철장입'!$C$14:$C$949,$B102))/1000)</f>
        <v/>
      </c>
      <c r="BM102" s="833" t="str">
        <f>IF($C102&lt;1,"",(AVERAGEIFS('09월 고철장입'!AB$14:AB$949,'09월 고철장입'!$A$14:$A$949,$A102,'09월 고철장입'!$C$14:$C$949,$B102))/1000)</f>
        <v/>
      </c>
      <c r="BN102" s="833" t="str">
        <f>IF($C102&lt;1,"",(AVERAGEIFS('09월 고철장입'!AC$14:AC$949,'09월 고철장입'!$A$14:$A$949,$A102,'09월 고철장입'!$C$14:$C$949,$B102))/1000)</f>
        <v/>
      </c>
      <c r="BO102" s="833" t="str">
        <f>IF($C102&lt;1,"",(AVERAGEIFS('09월 고철장입'!AD$14:AD$949,'09월 고철장입'!$A$14:$A$949,$A102,'09월 고철장입'!$C$14:$C$949,$B102))/1000)</f>
        <v/>
      </c>
      <c r="BP102" s="833" t="str">
        <f>IF($C102&lt;1,"",(AVERAGEIFS('09월 고철장입'!AE$14:AE$949,'09월 고철장입'!$A$14:$A$949,$A102,'09월 고철장입'!$C$14:$C$949,$B102))/1000)</f>
        <v/>
      </c>
      <c r="BQ102" s="832" t="str">
        <f>IF($C102&lt;1,"",(AVERAGEIFS('09월 고철장입'!AF$14:AF$949,'09월 고철장입'!$A$14:$A$949,$A102,'09월 고철장입'!$C$14:$C$949,$B102))/1000)</f>
        <v/>
      </c>
      <c r="BR102" s="832" t="str">
        <f>IF($C102&lt;1,"",(AVERAGEIFS('09월 고철장입'!AG$14:AG$949,'09월 고철장입'!$A$14:$A$949,$A102,'09월 고철장입'!$C$14:$C$949,$B102))/1000)</f>
        <v/>
      </c>
      <c r="BS102" s="832" t="str">
        <f>IF($C102&lt;1,"",(AVERAGEIFS('09월 고철장입'!AH$14:AH$949,'09월 고철장입'!$A$14:$A$949,$A102,'09월 고철장입'!$C$14:$C$949,$B102))/1000)</f>
        <v/>
      </c>
      <c r="BT102" s="832" t="str">
        <f>IF($C102&lt;1,"",(AVERAGEIFS('09월 고철장입'!AI$14:AI$949,'09월 고철장입'!$A$14:$A$949,$A102,'09월 고철장입'!$C$14:$C$949,$B102))/1000)</f>
        <v/>
      </c>
      <c r="BU102" s="834" t="str">
        <f>IF($C102&lt;1,"",(AVERAGEIFS('09월 고철장입'!AJ$14:AJ$949,'09월 고철장입'!$A$14:$A$949,$A102,'09월 고철장입'!$C$14:$C$949,$B102))/1000)</f>
        <v/>
      </c>
      <c r="BV102" s="834" t="str">
        <f>IF($C102&lt;1,"",(AVERAGEIFS('09월 고철장입'!AK$14:AK$949,'09월 고철장입'!$A$14:$A$949,$A102,'09월 고철장입'!$C$14:$C$949,$B102)))</f>
        <v/>
      </c>
      <c r="BW102" s="834" t="str">
        <f>IF($C102&lt;1,"",(AVERAGEIFS('09월 고철장입'!AL$14:AL$949,'09월 고철장입'!$A$14:$A$949,$A102,'09월 고철장입'!$C$14:$C$949,$B102))*100)</f>
        <v/>
      </c>
      <c r="BX102" s="831" t="str">
        <f>IF($C102&lt;1,"",(AVERAGEIFS('09월 에너지'!G$14:G$949,'09월 에너지'!$A$14:$A$949,$A102,'09월 에너지'!$C$14:$C$949,$B102)))</f>
        <v/>
      </c>
      <c r="BY102" s="835" t="str">
        <f>IF($C102&lt;1,"",(AVERAGEIFS('09월 에너지'!H$14:H$949,'09월 에너지'!$A$14:$A$949,$A102,'09월 에너지'!$C$14:$C$949,$B102)))</f>
        <v/>
      </c>
      <c r="BZ102" s="831" t="str">
        <f>IF($C102&lt;1,"",(AVERAGEIFS('09월 에너지'!I$14:I$949,'09월 에너지'!$A$14:$A$949,$A102,'09월 에너지'!$C$14:$C$949,$B102)))</f>
        <v/>
      </c>
      <c r="CA102" s="835" t="str">
        <f>IF($C102&lt;1,"",(AVERAGEIFS('09월 에너지'!J$14:J$949,'09월 에너지'!$A$14:$A$949,$A102,'09월 에너지'!$C$14:$C$949,$B102)))</f>
        <v/>
      </c>
      <c r="CB102" s="831" t="str">
        <f>IF($C102&lt;1,"",(AVERAGEIFS('09월 에너지'!K$14:K$949,'09월 에너지'!$A$14:$A$949,$A102,'09월 에너지'!$C$14:$C$949,$B102)))</f>
        <v/>
      </c>
      <c r="CC102" s="835" t="str">
        <f>IF($C102&lt;1,"",(AVERAGEIFS('09월 에너지'!L$14:L$949,'09월 에너지'!$A$14:$A$949,$A102,'09월 에너지'!$C$14:$C$949,$B102)))</f>
        <v/>
      </c>
      <c r="CD102" s="831" t="str">
        <f>IF($C102&lt;1,"",(AVERAGEIFS('09월 에너지'!M$14:M$949,'09월 에너지'!$A$14:$A$949,$A102,'09월 에너지'!$C$14:$C$949,$B102)))</f>
        <v/>
      </c>
      <c r="CE102" s="835" t="str">
        <f>IF($C102&lt;1,"",(AVERAGEIFS('09월 에너지'!N$14:N$949,'09월 에너지'!$A$14:$A$949,$A102,'09월 에너지'!$C$14:$C$949,$B102)))</f>
        <v/>
      </c>
      <c r="CF102" s="831" t="str">
        <f>IF($C102&lt;1,"",(AVERAGEIFS('09월 에너지'!O$14:O$949,'09월 에너지'!$A$14:$A$949,$A102,'09월 에너지'!$C$14:$C$949,$B102)))</f>
        <v/>
      </c>
      <c r="CG102" s="831" t="str">
        <f>IF($C102&lt;1,"",(AVERAGEIFS('09월 에너지'!P$14:P$949,'09월 에너지'!$A$14:$A$949,$A102,'09월 에너지'!$C$14:$C$949,$B102)))</f>
        <v/>
      </c>
      <c r="CH102" s="831" t="str">
        <f>IF($C102&lt;1,"",(AVERAGEIFS('09월 에너지'!Q$14:Q$949,'09월 에너지'!$A$14:$A$949,$A102,'09월 에너지'!$C$14:$C$949,$B102)))</f>
        <v/>
      </c>
      <c r="CI102" s="831" t="str">
        <f>IF($C102&lt;1,"",(AVERAGEIFS('09월 에너지'!R$14:R$949,'09월 에너지'!$A$14:$A$949,$A102,'09월 에너지'!$C$14:$C$949,$B102)))</f>
        <v/>
      </c>
      <c r="CJ102" s="831" t="str">
        <f>IF($C102&lt;1,"",(AVERAGEIFS('09월 에너지'!S$14:S$949,'09월 에너지'!$A$14:$A$949,$A102,'09월 에너지'!$C$14:$C$949,$B102)))</f>
        <v/>
      </c>
      <c r="CK102" s="831" t="str">
        <f>IF($C102&lt;1,"",(AVERAGEIFS('09월 에너지'!T$14:T$949,'09월 에너지'!$A$14:$A$949,$A102,'09월 에너지'!$C$14:$C$949,$B102)))</f>
        <v/>
      </c>
      <c r="CL102" s="831" t="str">
        <f>IF($C102&lt;1,"",(AVERAGEIFS('09월 에너지'!U$14:U$949,'09월 에너지'!$A$14:$A$949,$A102,'09월 에너지'!$C$14:$C$949,$B102)))</f>
        <v/>
      </c>
      <c r="CM102" s="835" t="str">
        <f>IF($C102&lt;1,"",(AVERAGEIFS('09월 에너지'!V$14:V$949,'09월 에너지'!$A$14:$A$949,$A102,'09월 에너지'!$C$14:$C$949,$B102)))</f>
        <v/>
      </c>
      <c r="CN102" s="835" t="str">
        <f>IF($C102&lt;1,"",(AVERAGEIFS('09월 에너지'!W$14:W$949,'09월 에너지'!$A$14:$A$949,$A102,'09월 에너지'!$C$14:$C$949,$B102)))</f>
        <v/>
      </c>
      <c r="CO102" s="831" t="str">
        <f>IF($C102&lt;1,"",(AVERAGEIFS('09월 에너지'!X$14:X$949,'09월 에너지'!$A$14:$A$949,$A102,'09월 에너지'!$C$14:$C$949,$B102)))</f>
        <v/>
      </c>
      <c r="CP102" s="835" t="str">
        <f>IF($C102&lt;1,"",(AVERAGEIFS('09월 에너지'!Y$14:Y$949,'09월 에너지'!$A$14:$A$949,$A102,'09월 에너지'!$C$14:$C$949,$B102)))</f>
        <v/>
      </c>
      <c r="CQ102" s="835" t="str">
        <f>IF($C102&lt;1,"",(AVERAGEIFS('09월 에너지'!Z$14:Z$949,'09월 에너지'!$A$14:$A$949,$A102,'09월 에너지'!$C$14:$C$949,$B102)))</f>
        <v/>
      </c>
      <c r="CR102" s="835" t="str">
        <f>IF($C102&lt;1,"",(AVERAGEIFS('09월 에너지'!AA$14:AA$949,'09월 에너지'!$A$14:$A$949,$A102,'09월 에너지'!$C$14:$C$949,$B102)))</f>
        <v/>
      </c>
      <c r="CS102" s="835" t="str">
        <f>IF($C102&lt;1,"",(AVERAGEIFS('09월 에너지'!AB$14:AB$949,'09월 에너지'!$A$14:$A$949,$A102,'09월 에너지'!$C$14:$C$949,$B102)))</f>
        <v/>
      </c>
      <c r="CT102" s="831" t="str">
        <f>IF($C102&lt;1,"",(AVERAGEIFS('09월 에너지'!AC$14:AC$949,'09월 에너지'!$A$14:$A$949,$A102,'09월 에너지'!$C$14:$C$949,$B102)))</f>
        <v/>
      </c>
      <c r="CU102" s="836" t="str">
        <f>IF($C102&lt;1,"",(AVERAGEIFS('09월 에너지'!AD$14:AD$949,'09월 에너지'!$A$14:$A$949,$A102,'09월 에너지'!$C$14:$C$949,$B102)))</f>
        <v/>
      </c>
      <c r="CV102" s="837" t="str">
        <f>IF($C102&lt;1,"",(AVERAGEIFS('09월 에너지'!AE$14:AE$949,'09월 에너지'!$A$14:$A$949,$A102,'09월 에너지'!$C$14:$C$949,$B102)))</f>
        <v/>
      </c>
      <c r="CW102" s="831" t="str">
        <f>IF($C102&lt;1,"",(AVERAGEIFS('09월 에너지'!AF$14:AF$949,'09월 에너지'!$A$14:$A$949,$A102,'09월 에너지'!$C$14:$C$949,$B102)))</f>
        <v/>
      </c>
      <c r="CX102" s="831" t="str">
        <f>IF($C102&lt;1,"",(AVERAGEIFS('09월 에너지'!AG$14:AG$949,'09월 에너지'!$A$14:$A$949,$A102,'09월 에너지'!$C$14:$C$949,$B102)))</f>
        <v/>
      </c>
      <c r="CY102" s="831" t="str">
        <f>IF($C102&lt;1,"",(AVERAGEIFS('09월 에너지'!AH$14:AH$949,'09월 에너지'!$A$14:$A$949,$A102,'09월 에너지'!$C$14:$C$949,$B102)))</f>
        <v/>
      </c>
      <c r="CZ102" s="831" t="str">
        <f>IF($C102&lt;1,"",(AVERAGEIFS('09월 에너지'!AI$14:AI$949,'09월 에너지'!$A$14:$A$949,$A102,'09월 에너지'!$C$14:$C$949,$B102)))</f>
        <v/>
      </c>
      <c r="DA102" s="838" t="str">
        <f>IF($C102&lt;1,"",(AVERAGEIFS('09월 에너지'!AJ$14:AJ$949,'09월 에너지'!$A$14:$A$949,$A102,'09월 에너지'!$C$14:$C$949,$B102)))</f>
        <v/>
      </c>
    </row>
    <row r="103" spans="1:105" ht="13.5" customHeight="1">
      <c r="A103" s="849">
        <f t="shared" si="20"/>
        <v>44946</v>
      </c>
      <c r="B103" s="850" t="s">
        <v>100</v>
      </c>
      <c r="C103" s="823">
        <f>COUNTIFS('09월 조업일지'!$A$12:$A$952,A101,'09월 조업일지'!$E$12:$E$952,B103)</f>
        <v>0</v>
      </c>
      <c r="D103" s="824" t="str">
        <f t="shared" ref="D103:D105" si="23">IF(C103&lt;1,"",F103-E103)</f>
        <v/>
      </c>
      <c r="E103" s="824" t="str">
        <f>IF($C103&lt;1,"",(SUMIFS('09월 조업일지'!$K$12:$K$952,'09월 조업일지'!$A$12:$A$952,$A103,'09월 조업일지'!$E$12:$E$952,$B103)/$C103))</f>
        <v/>
      </c>
      <c r="F103" s="824" t="str">
        <f>IF($C103&lt;1,"",(AVERAGEIFS('09월 조업일지'!$J$12:$J$952,'09월 조업일지'!$A$12:$A$952,$A103,'09월 조업일지'!$E$12:$E$952,$B103)))</f>
        <v/>
      </c>
      <c r="G103" s="825" t="str">
        <f>IF($C103&lt;1,"",(AVERAGEIFS('09월 에너지'!$M$14:$M$949,'09월 에너지'!$A$14:$A$949,$A103,'09월 에너지'!$C$14:$C$949,$B103)))</f>
        <v/>
      </c>
      <c r="H103" s="826" t="str">
        <f>IF($C103&lt;1,"",(AVERAGEIFS('09월 조업일지'!$AJ$12:$AJ$952,'09월 조업일지'!$A$12:$A$952,$A103,'09월 조업일지'!$E$12:$E$952,$B103)))</f>
        <v/>
      </c>
      <c r="I103" s="826" t="str">
        <f>IF($C103&lt;1,"",(AVERAGEIFS('09월 조업일지'!$AL$12:$AL$952,'09월 조업일지'!$A$12:$A$952,$A103,'09월 조업일지'!$E$12:$E$952,$B103)))</f>
        <v/>
      </c>
      <c r="J103" s="827" t="str">
        <f>IF($C103&lt;1,"",(AVERAGEIFS('09월 화학성분'!G$12:G$949,'09월 화학성분'!$A$12:$A$949,$A103,'09월 화학성분'!$D$12:$D$949,$B103)))</f>
        <v/>
      </c>
      <c r="K103" s="827" t="str">
        <f>IF($C103&lt;1,"",(AVERAGEIFS('09월 화학성분'!H$12:H$949,'09월 화학성분'!$A$12:$A$949,$A103,'09월 화학성분'!$D$12:$D$949,$B103)))</f>
        <v/>
      </c>
      <c r="L103" s="827" t="str">
        <f>IF($C103&lt;1,"",(AVERAGEIFS('09월 화학성분'!I$12:I$949,'09월 화학성분'!$A$12:$A$949,$A103,'09월 화학성분'!$D$12:$D$949,$B103)))</f>
        <v/>
      </c>
      <c r="M103" s="827" t="str">
        <f>IF($C103&lt;1,"",(AVERAGEIFS('09월 화학성분'!J$12:J$949,'09월 화학성분'!$A$12:$A$949,$A103,'09월 화학성분'!$D$12:$D$949,$B103)))</f>
        <v/>
      </c>
      <c r="N103" s="827" t="str">
        <f>IF($C103&lt;1,"",(AVERAGEIFS('09월 화학성분'!K$12:K$949,'09월 화학성분'!$A$12:$A$949,$A103,'09월 화학성분'!$D$12:$D$949,$B103)))</f>
        <v/>
      </c>
      <c r="O103" s="827" t="str">
        <f>IF($C103&lt;1,"",(AVERAGEIFS('09월 화학성분'!L$12:L$949,'09월 화학성분'!$A$12:$A$949,$A103,'09월 화학성분'!$D$12:$D$949,$B103)))</f>
        <v/>
      </c>
      <c r="P103" s="827" t="str">
        <f>IF($C103&lt;1,"",(AVERAGEIFS('09월 화학성분'!M$12:M$949,'09월 화학성분'!$A$12:$A$949,$A103,'09월 화학성분'!$D$12:$D$949,$B103)))</f>
        <v/>
      </c>
      <c r="Q103" s="827" t="str">
        <f>IFERROR(IF($C103&lt;1,"",(AVERAGEIFS('09월 조업일지'!$AA$12:$AA$952,'09월 조업일지'!$A$12:$A$952,$A103,'09월 조업일지'!$E$12:$E$952,$B103))),"")</f>
        <v/>
      </c>
      <c r="R103" s="827" t="str">
        <f>IF($C103&lt;1,"",(AVERAGEIFS('09월 조업일지'!$AK$12:$AK$952,'09월 조업일지'!$A$12:$A$952,$A103,'09월 조업일지'!$E$12:$E$952,$B103)))</f>
        <v/>
      </c>
      <c r="S103" s="827"/>
      <c r="T103" s="827"/>
      <c r="U103" s="827" t="str">
        <f>IF($C103&lt;1,"",(AVERAGEIFS('09월 화학성분'!$G$12:$G$949,'09월 화학성분'!$A$12:$A$949,$A103,'09월 화학성분'!$D$12:$D$949,$B103)))</f>
        <v/>
      </c>
      <c r="V103" s="827" t="str">
        <f>IF($C103&lt;1,"",(AVERAGEIFS('09월 조업일지'!$AI$12:$AI$952,'09월 조업일지'!$A$12:$A$952,$A103,'09월 조업일지'!$E$12:$E$952,$B103)))</f>
        <v/>
      </c>
      <c r="W103" s="828" t="str">
        <f>IF($C103&lt;1,"",(AVERAGEIFS('09월 화학성분'!$AM$12:$AM$949,'09월 화학성분'!$A$12:$A$949,$A103,'09월 화학성분'!$D$12:$D$949,$B103)))</f>
        <v/>
      </c>
      <c r="X103" s="829" t="str">
        <f>IF($C103&lt;1,"",(AVERAGEIFS('09월 화학성분'!N$12:N$949,'09월 화학성분'!$A$12:$A$949,$A103,'09월 화학성분'!$D$12:$D$949,$B103)))</f>
        <v/>
      </c>
      <c r="Y103" s="829" t="str">
        <f>IF($C103&lt;1,"",(AVERAGEIFS('09월 화학성분'!O$12:O$949,'09월 화학성분'!$A$12:$A$949,$A103,'09월 화학성분'!$D$12:$D$949,$B103)))</f>
        <v/>
      </c>
      <c r="Z103" s="829" t="str">
        <f>IF($C103&lt;1,"",(AVERAGEIFS('09월 화학성분'!P$12:P$949,'09월 화학성분'!$A$12:$A$949,$A103,'09월 화학성분'!$D$12:$D$949,$B103)))</f>
        <v/>
      </c>
      <c r="AA103" s="829" t="str">
        <f>IF($C103&lt;1,"",(AVERAGEIFS('09월 화학성분'!Q$12:Q$949,'09월 화학성분'!$A$12:$A$949,$A103,'09월 화학성분'!$D$12:$D$949,$B103)))</f>
        <v/>
      </c>
      <c r="AB103" s="829" t="str">
        <f>IF($C103&lt;1,"",(AVERAGEIFS('09월 화학성분'!R$12:R$949,'09월 화학성분'!$A$12:$A$949,$A103,'09월 화학성분'!$D$12:$D$949,$B103)))</f>
        <v/>
      </c>
      <c r="AC103" s="829" t="str">
        <f>IF($C103&lt;1,"",(AVERAGEIFS('09월 화학성분'!U$12:U$949,'09월 화학성분'!$A$12:$A$949,$A103,'09월 화학성분'!$D$12:$D$949,$B103)))</f>
        <v/>
      </c>
      <c r="AD103" s="829" t="str">
        <f>IF($C103&lt;1,"",(AVERAGEIFS('09월 화학성분'!V$12:V$949,'09월 화학성분'!$A$12:$A$949,$A103,'09월 화학성분'!$D$12:$D$949,$B103)))</f>
        <v/>
      </c>
      <c r="AE103" s="829" t="str">
        <f>IF($C103&lt;1,"",(AVERAGEIFS('09월 화학성분'!W$12:W$949,'09월 화학성분'!$A$12:$A$949,$A103,'09월 화학성분'!$D$12:$D$949,$B103)))</f>
        <v/>
      </c>
      <c r="AF103" s="829" t="str">
        <f>IF($C103&lt;1,"",(AVERAGEIFS('09월 화학성분'!AA$12:AA$949,'09월 화학성분'!$A$12:$A$949,$A103,'09월 화학성분'!$D$12:$D$949,$B103)))</f>
        <v/>
      </c>
      <c r="AG103" s="829" t="str">
        <f>IF($C103&lt;1,"",(AVERAGEIFS('09월 화학성분'!#REF!,'09월 화학성분'!$A$12:$A$949,$A103,'09월 화학성분'!$D$12:$D$949,$B103)))</f>
        <v/>
      </c>
      <c r="AH103" s="829" t="str">
        <f>IF($C103&lt;1,"",(AVERAGEIFS('09월 화학성분'!AB$12:AB$949,'09월 화학성분'!$A$12:$A$949,$A103,'09월 화학성분'!$D$12:$D$949,$B103)))</f>
        <v/>
      </c>
      <c r="AI103" s="829" t="str">
        <f>IF($C103&lt;1,"",(AVERAGEIFS('09월 화학성분'!AC$12:AC$949,'09월 화학성분'!$A$12:$A$949,$A103,'09월 화학성분'!$D$12:$D$949,$B103)))</f>
        <v/>
      </c>
      <c r="AJ103" s="829" t="str">
        <f>IF($C103&lt;1,"",(AVERAGEIFS('09월 화학성분'!AD$12:AD$949,'09월 화학성분'!$A$12:$A$949,$A103,'09월 화학성분'!$D$12:$D$949,$B103)))</f>
        <v/>
      </c>
      <c r="AK103" s="829" t="str">
        <f>IF($C103&lt;1,"",(AVERAGEIFS('09월 화학성분'!AF$12:AF$949,'09월 화학성분'!$A$12:$A$949,$A103,'09월 화학성분'!$D$12:$D$949,$B103)))</f>
        <v/>
      </c>
      <c r="AL103" s="829" t="str">
        <f>IF($C103&lt;1,"",(AVERAGEIFS('09월 화학성분'!AG$12:AG$949,'09월 화학성분'!$A$12:$A$949,$A103,'09월 화학성분'!$D$12:$D$949,$B103)))</f>
        <v/>
      </c>
      <c r="AM103" s="829" t="str">
        <f>IF($C103&lt;1,"",(AVERAGEIFS('09월 화학성분'!AH$12:AH$949,'09월 화학성분'!$A$12:$A$949,$A103,'09월 화학성분'!$D$12:$D$949,$B103)))</f>
        <v/>
      </c>
      <c r="AN103" s="829" t="str">
        <f>IF($C103&lt;1,"",(AVERAGEIFS('09월 화학성분'!AI$12:AI$949,'09월 화학성분'!$A$12:$A$949,$A103,'09월 화학성분'!$D$12:$D$949,$B103)))</f>
        <v/>
      </c>
      <c r="AO103" s="829" t="str">
        <f>IF($C103&lt;1,"",(AVERAGEIFS('09월 화학성분'!AJ$12:AJ$949,'09월 화학성분'!$A$12:$A$949,$A103,'09월 화학성분'!$D$12:$D$949,$B103)))</f>
        <v/>
      </c>
      <c r="AP103" s="829" t="str">
        <f>IF($C103&lt;1,"",(AVERAGEIFS('09월 화학성분'!#REF!,'09월 화학성분'!$A$12:$A$949,$A103,'09월 화학성분'!$D$12:$D$949,$B103)))</f>
        <v/>
      </c>
      <c r="AQ103" s="829" t="str">
        <f>IF($C103&lt;1,"",(AVERAGEIFS('09월 화학성분'!AL$12:AL$949,'09월 화학성분'!$A$12:$A$949,$A103,'09월 화학성분'!$D$12:$D$949,$B103)))</f>
        <v/>
      </c>
      <c r="AR103" s="829" t="str">
        <f>IF($C103&lt;1,"",(AVERAGEIFS('09월 화학성분'!AM$12:AM$949,'09월 화학성분'!$A$12:$A$949,$A103,'09월 화학성분'!$D$12:$D$949,$B103)))</f>
        <v/>
      </c>
      <c r="AS103" s="830" t="str">
        <f>IF($C103&lt;1,"",(AVERAGEIFS('09월 화학성분'!AN$12:AN$949,'09월 화학성분'!$A$12:$A$949,$A103,'09월 화학성분'!$D$12:$D$949,$B103)))</f>
        <v/>
      </c>
      <c r="AT103" s="830" t="str">
        <f>IF($C103&lt;1,"",(AVERAGEIFS('09월 화학성분'!AO$12:AO$949,'09월 화학성분'!$A$12:$A$949,$A103,'09월 화학성분'!$D$12:$D$949,$B103)))</f>
        <v/>
      </c>
      <c r="AU103" s="831" t="str">
        <f>IF($C103&lt;1,"",(AVERAGEIFS('09월 화학성분'!AP$12:AP$949,'09월 화학성분'!$A$12:$A$949,$A103,'09월 화학성분'!$D$12:$D$949,$B103)))</f>
        <v/>
      </c>
      <c r="AV103" s="832" t="str">
        <f>IF($C103&lt;1,"",(AVERAGEIFS('09월 고철장입'!G$14:G$949,'09월 고철장입'!$A$14:$A$949,$A103,'09월 고철장입'!$C$14:$C$949,$B103))/1000)</f>
        <v/>
      </c>
      <c r="AW103" s="832" t="str">
        <f>IF($C103&lt;1,"",(AVERAGEIFS('09월 고철장입'!H$14:H$949,'09월 고철장입'!$A$14:$A$949,$A103,'09월 고철장입'!$C$14:$C$949,$B103))/1000)</f>
        <v/>
      </c>
      <c r="AX103" s="832" t="str">
        <f>IF($C103&lt;1,"",(AVERAGEIFS('09월 고철장입'!I$14:I$949,'09월 고철장입'!$A$14:$A$949,$A103,'09월 고철장입'!$C$14:$C$949,$B103))/1000)</f>
        <v/>
      </c>
      <c r="AY103" s="832" t="str">
        <f>IF($C103&lt;1,"",(AVERAGEIFS('09월 고철장입'!J$14:J$949,'09월 고철장입'!$A$14:$A$949,$A103,'09월 고철장입'!$C$14:$C$949,$B103))/1000)</f>
        <v/>
      </c>
      <c r="AZ103" s="832" t="str">
        <f>IF($C103&lt;1,"",(AVERAGEIFS('09월 고철장입'!K$14:K$949,'09월 고철장입'!$A$14:$A$949,$A103,'09월 고철장입'!$C$14:$C$949,$B103))/1000)</f>
        <v/>
      </c>
      <c r="BA103" s="832" t="str">
        <f>IF($C103&lt;1,"",(AVERAGEIFS('09월 고철장입'!L$14:L$949,'09월 고철장입'!$A$14:$A$949,$A103,'09월 고철장입'!$C$14:$C$949,$B103))/1000)</f>
        <v/>
      </c>
      <c r="BB103" s="832" t="str">
        <f>IF($C103&lt;1,"",(AVERAGEIFS('09월 고철장입'!M$14:M$949,'09월 고철장입'!$A$14:$A$949,$A103,'09월 고철장입'!$C$14:$C$949,$B103))/1000)</f>
        <v/>
      </c>
      <c r="BC103" s="832" t="str">
        <f>IF($C103&lt;1,"",(AVERAGEIFS('09월 고철장입'!N$14:N$949,'09월 고철장입'!$A$14:$A$949,$A103,'09월 고철장입'!$C$14:$C$949,$B103))/1000)</f>
        <v/>
      </c>
      <c r="BD103" s="832" t="str">
        <f>IF($C103&lt;1,"",(AVERAGEIFS('09월 고철장입'!O$14:O$949,'09월 고철장입'!$A$14:$A$949,$A103,'09월 고철장입'!$C$14:$C$949,$B103))/1000)</f>
        <v/>
      </c>
      <c r="BE103" s="833" t="str">
        <f>IF($C103&lt;1,"",(AVERAGEIFS('09월 고철장입'!P$14:P$949,'09월 고철장입'!$A$14:$A$949,$A103,'09월 고철장입'!$C$14:$C$949,$B103))/1000)</f>
        <v/>
      </c>
      <c r="BF103" s="833" t="str">
        <f>IF($C103&lt;1,"",(AVERAGEIFS('09월 고철장입'!Q$14:Q$949,'09월 고철장입'!$A$14:$A$949,$A103,'09월 고철장입'!$C$14:$C$949,$B103))/1000)</f>
        <v/>
      </c>
      <c r="BG103" s="833" t="str">
        <f>IF($C103&lt;1,"",(AVERAGEIFS('09월 고철장입'!S$14:S$949,'09월 고철장입'!$A$14:$A$949,$A103,'09월 고철장입'!$C$14:$C$949,$B103))/1000)</f>
        <v/>
      </c>
      <c r="BH103" s="833" t="str">
        <f>IF($C103&lt;1,"",(AVERAGEIFS('09월 고철장입'!T$14:T$949,'09월 고철장입'!$A$14:$A$949,$A103,'09월 고철장입'!$C$14:$C$949,$B103))/1000)</f>
        <v/>
      </c>
      <c r="BI103" s="833" t="str">
        <f>IF($C103&lt;1,"",(AVERAGEIFS('09월 고철장입'!U$14:U$949,'09월 고철장입'!$A$14:$A$949,$A103,'09월 고철장입'!$C$14:$C$949,$B103))/1000)</f>
        <v/>
      </c>
      <c r="BJ103" s="833" t="str">
        <f>IF($C103&lt;1,"",(AVERAGEIFS('09월 고철장입'!V$14:V$949,'09월 고철장입'!$A$14:$A$949,$A103,'09월 고철장입'!$C$14:$C$949,$B103))/1000)</f>
        <v/>
      </c>
      <c r="BK103" s="833" t="str">
        <f>IF($C103&lt;1,"",(AVERAGEIFS('09월 고철장입'!W$14:W$949,'09월 고철장입'!$A$14:$A$949,$A103,'09월 고철장입'!$C$14:$C$949,$B103))/1000)</f>
        <v/>
      </c>
      <c r="BL103" s="833" t="str">
        <f>IF($C103&lt;1,"",(AVERAGEIFS('09월 고철장입'!Y$14:Y$949,'09월 고철장입'!$A$14:$A$949,$A103,'09월 고철장입'!$C$14:$C$949,$B103))/1000)</f>
        <v/>
      </c>
      <c r="BM103" s="833" t="str">
        <f>IF($C103&lt;1,"",(AVERAGEIFS('09월 고철장입'!AB$14:AB$949,'09월 고철장입'!$A$14:$A$949,$A103,'09월 고철장입'!$C$14:$C$949,$B103))/1000)</f>
        <v/>
      </c>
      <c r="BN103" s="833" t="str">
        <f>IF($C103&lt;1,"",(AVERAGEIFS('09월 고철장입'!AC$14:AC$949,'09월 고철장입'!$A$14:$A$949,$A103,'09월 고철장입'!$C$14:$C$949,$B103))/1000)</f>
        <v/>
      </c>
      <c r="BO103" s="833" t="str">
        <f>IF($C103&lt;1,"",(AVERAGEIFS('09월 고철장입'!AD$14:AD$949,'09월 고철장입'!$A$14:$A$949,$A103,'09월 고철장입'!$C$14:$C$949,$B103))/1000)</f>
        <v/>
      </c>
      <c r="BP103" s="833" t="str">
        <f>IF($C103&lt;1,"",(AVERAGEIFS('09월 고철장입'!AE$14:AE$949,'09월 고철장입'!$A$14:$A$949,$A103,'09월 고철장입'!$C$14:$C$949,$B103))/1000)</f>
        <v/>
      </c>
      <c r="BQ103" s="832" t="str">
        <f>IF($C103&lt;1,"",(AVERAGEIFS('09월 고철장입'!AF$14:AF$949,'09월 고철장입'!$A$14:$A$949,$A103,'09월 고철장입'!$C$14:$C$949,$B103))/1000)</f>
        <v/>
      </c>
      <c r="BR103" s="832" t="str">
        <f>IF($C103&lt;1,"",(AVERAGEIFS('09월 고철장입'!AG$14:AG$949,'09월 고철장입'!$A$14:$A$949,$A103,'09월 고철장입'!$C$14:$C$949,$B103))/1000)</f>
        <v/>
      </c>
      <c r="BS103" s="832" t="str">
        <f>IF($C103&lt;1,"",(AVERAGEIFS('09월 고철장입'!AH$14:AH$949,'09월 고철장입'!$A$14:$A$949,$A103,'09월 고철장입'!$C$14:$C$949,$B103))/1000)</f>
        <v/>
      </c>
      <c r="BT103" s="832" t="str">
        <f>IF($C103&lt;1,"",(AVERAGEIFS('09월 고철장입'!AI$14:AI$949,'09월 고철장입'!$A$14:$A$949,$A103,'09월 고철장입'!$C$14:$C$949,$B103))/1000)</f>
        <v/>
      </c>
      <c r="BU103" s="834" t="str">
        <f>IF($C103&lt;1,"",(AVERAGEIFS('09월 고철장입'!AJ$14:AJ$949,'09월 고철장입'!$A$14:$A$949,$A103,'09월 고철장입'!$C$14:$C$949,$B103))/1000)</f>
        <v/>
      </c>
      <c r="BV103" s="834" t="str">
        <f>IF($C103&lt;1,"",(AVERAGEIFS('09월 고철장입'!AK$14:AK$949,'09월 고철장입'!$A$14:$A$949,$A103,'09월 고철장입'!$C$14:$C$949,$B103)))</f>
        <v/>
      </c>
      <c r="BW103" s="834" t="str">
        <f>IF($C103&lt;1,"",(AVERAGEIFS('09월 고철장입'!AL$14:AL$949,'09월 고철장입'!$A$14:$A$949,$A103,'09월 고철장입'!$C$14:$C$949,$B103))*100)</f>
        <v/>
      </c>
      <c r="BX103" s="831" t="str">
        <f>IF($C103&lt;1,"",(AVERAGEIFS('09월 에너지'!G$14:G$949,'09월 에너지'!$A$14:$A$949,$A103,'09월 에너지'!$C$14:$C$949,$B103)))</f>
        <v/>
      </c>
      <c r="BY103" s="835" t="str">
        <f>IF($C103&lt;1,"",(AVERAGEIFS('09월 에너지'!H$14:H$949,'09월 에너지'!$A$14:$A$949,$A103,'09월 에너지'!$C$14:$C$949,$B103)))</f>
        <v/>
      </c>
      <c r="BZ103" s="831" t="str">
        <f>IF($C103&lt;1,"",(AVERAGEIFS('09월 에너지'!I$14:I$949,'09월 에너지'!$A$14:$A$949,$A103,'09월 에너지'!$C$14:$C$949,$B103)))</f>
        <v/>
      </c>
      <c r="CA103" s="835" t="str">
        <f>IF($C103&lt;1,"",(AVERAGEIFS('09월 에너지'!J$14:J$949,'09월 에너지'!$A$14:$A$949,$A103,'09월 에너지'!$C$14:$C$949,$B103)))</f>
        <v/>
      </c>
      <c r="CB103" s="831" t="str">
        <f>IF($C103&lt;1,"",(AVERAGEIFS('09월 에너지'!K$14:K$949,'09월 에너지'!$A$14:$A$949,$A103,'09월 에너지'!$C$14:$C$949,$B103)))</f>
        <v/>
      </c>
      <c r="CC103" s="835" t="str">
        <f>IF($C103&lt;1,"",(AVERAGEIFS('09월 에너지'!L$14:L$949,'09월 에너지'!$A$14:$A$949,$A103,'09월 에너지'!$C$14:$C$949,$B103)))</f>
        <v/>
      </c>
      <c r="CD103" s="831" t="str">
        <f>IF($C103&lt;1,"",(AVERAGEIFS('09월 에너지'!M$14:M$949,'09월 에너지'!$A$14:$A$949,$A103,'09월 에너지'!$C$14:$C$949,$B103)))</f>
        <v/>
      </c>
      <c r="CE103" s="835" t="str">
        <f>IF($C103&lt;1,"",(AVERAGEIFS('09월 에너지'!N$14:N$949,'09월 에너지'!$A$14:$A$949,$A103,'09월 에너지'!$C$14:$C$949,$B103)))</f>
        <v/>
      </c>
      <c r="CF103" s="831" t="str">
        <f>IF($C103&lt;1,"",(AVERAGEIFS('09월 에너지'!O$14:O$949,'09월 에너지'!$A$14:$A$949,$A103,'09월 에너지'!$C$14:$C$949,$B103)))</f>
        <v/>
      </c>
      <c r="CG103" s="831" t="str">
        <f>IF($C103&lt;1,"",(AVERAGEIFS('09월 에너지'!P$14:P$949,'09월 에너지'!$A$14:$A$949,$A103,'09월 에너지'!$C$14:$C$949,$B103)))</f>
        <v/>
      </c>
      <c r="CH103" s="831" t="str">
        <f>IF($C103&lt;1,"",(AVERAGEIFS('09월 에너지'!Q$14:Q$949,'09월 에너지'!$A$14:$A$949,$A103,'09월 에너지'!$C$14:$C$949,$B103)))</f>
        <v/>
      </c>
      <c r="CI103" s="831" t="str">
        <f>IF($C103&lt;1,"",(AVERAGEIFS('09월 에너지'!R$14:R$949,'09월 에너지'!$A$14:$A$949,$A103,'09월 에너지'!$C$14:$C$949,$B103)))</f>
        <v/>
      </c>
      <c r="CJ103" s="831" t="str">
        <f>IF($C103&lt;1,"",(AVERAGEIFS('09월 에너지'!S$14:S$949,'09월 에너지'!$A$14:$A$949,$A103,'09월 에너지'!$C$14:$C$949,$B103)))</f>
        <v/>
      </c>
      <c r="CK103" s="831" t="str">
        <f>IF($C103&lt;1,"",(AVERAGEIFS('09월 에너지'!T$14:T$949,'09월 에너지'!$A$14:$A$949,$A103,'09월 에너지'!$C$14:$C$949,$B103)))</f>
        <v/>
      </c>
      <c r="CL103" s="831" t="str">
        <f>IF($C103&lt;1,"",(AVERAGEIFS('09월 에너지'!U$14:U$949,'09월 에너지'!$A$14:$A$949,$A103,'09월 에너지'!$C$14:$C$949,$B103)))</f>
        <v/>
      </c>
      <c r="CM103" s="835" t="str">
        <f>IF($C103&lt;1,"",(AVERAGEIFS('09월 에너지'!V$14:V$949,'09월 에너지'!$A$14:$A$949,$A103,'09월 에너지'!$C$14:$C$949,$B103)))</f>
        <v/>
      </c>
      <c r="CN103" s="835" t="str">
        <f>IF($C103&lt;1,"",(AVERAGEIFS('09월 에너지'!W$14:W$949,'09월 에너지'!$A$14:$A$949,$A103,'09월 에너지'!$C$14:$C$949,$B103)))</f>
        <v/>
      </c>
      <c r="CO103" s="831" t="str">
        <f>IF($C103&lt;1,"",(AVERAGEIFS('09월 에너지'!X$14:X$949,'09월 에너지'!$A$14:$A$949,$A103,'09월 에너지'!$C$14:$C$949,$B103)))</f>
        <v/>
      </c>
      <c r="CP103" s="835" t="str">
        <f>IF($C103&lt;1,"",(AVERAGEIFS('09월 에너지'!Y$14:Y$949,'09월 에너지'!$A$14:$A$949,$A103,'09월 에너지'!$C$14:$C$949,$B103)))</f>
        <v/>
      </c>
      <c r="CQ103" s="835" t="str">
        <f>IF($C103&lt;1,"",(AVERAGEIFS('09월 에너지'!Z$14:Z$949,'09월 에너지'!$A$14:$A$949,$A103,'09월 에너지'!$C$14:$C$949,$B103)))</f>
        <v/>
      </c>
      <c r="CR103" s="835" t="str">
        <f>IF($C103&lt;1,"",(AVERAGEIFS('09월 에너지'!AA$14:AA$949,'09월 에너지'!$A$14:$A$949,$A103,'09월 에너지'!$C$14:$C$949,$B103)))</f>
        <v/>
      </c>
      <c r="CS103" s="835" t="str">
        <f>IF($C103&lt;1,"",(AVERAGEIFS('09월 에너지'!AB$14:AB$949,'09월 에너지'!$A$14:$A$949,$A103,'09월 에너지'!$C$14:$C$949,$B103)))</f>
        <v/>
      </c>
      <c r="CT103" s="831" t="str">
        <f>IF($C103&lt;1,"",(AVERAGEIFS('09월 에너지'!AC$14:AC$949,'09월 에너지'!$A$14:$A$949,$A103,'09월 에너지'!$C$14:$C$949,$B103)))</f>
        <v/>
      </c>
      <c r="CU103" s="836" t="str">
        <f>IF($C103&lt;1,"",(AVERAGEIFS('09월 에너지'!AD$14:AD$949,'09월 에너지'!$A$14:$A$949,$A103,'09월 에너지'!$C$14:$C$949,$B103)))</f>
        <v/>
      </c>
      <c r="CV103" s="837" t="str">
        <f>IF($C103&lt;1,"",(AVERAGEIFS('09월 에너지'!AE$14:AE$949,'09월 에너지'!$A$14:$A$949,$A103,'09월 에너지'!$C$14:$C$949,$B103)))</f>
        <v/>
      </c>
      <c r="CW103" s="831" t="str">
        <f>IF($C103&lt;1,"",(AVERAGEIFS('09월 에너지'!AF$14:AF$949,'09월 에너지'!$A$14:$A$949,$A103,'09월 에너지'!$C$14:$C$949,$B103)))</f>
        <v/>
      </c>
      <c r="CX103" s="831" t="str">
        <f>IF($C103&lt;1,"",(AVERAGEIFS('09월 에너지'!AG$14:AG$949,'09월 에너지'!$A$14:$A$949,$A103,'09월 에너지'!$C$14:$C$949,$B103)))</f>
        <v/>
      </c>
      <c r="CY103" s="831" t="str">
        <f>IF($C103&lt;1,"",(AVERAGEIFS('09월 에너지'!AH$14:AH$949,'09월 에너지'!$A$14:$A$949,$A103,'09월 에너지'!$C$14:$C$949,$B103)))</f>
        <v/>
      </c>
      <c r="CZ103" s="831" t="str">
        <f>IF($C103&lt;1,"",(AVERAGEIFS('09월 에너지'!AI$14:AI$949,'09월 에너지'!$A$14:$A$949,$A103,'09월 에너지'!$C$14:$C$949,$B103)))</f>
        <v/>
      </c>
      <c r="DA103" s="838" t="str">
        <f>IF($C103&lt;1,"",(AVERAGEIFS('09월 에너지'!AJ$14:AJ$949,'09월 에너지'!$A$14:$A$949,$A103,'09월 에너지'!$C$14:$C$949,$B103)))</f>
        <v/>
      </c>
    </row>
    <row r="104" spans="1:105" ht="13.5" customHeight="1">
      <c r="A104" s="849">
        <f t="shared" si="20"/>
        <v>44946</v>
      </c>
      <c r="B104" s="850" t="s">
        <v>10</v>
      </c>
      <c r="C104" s="823">
        <f>COUNTIFS('09월 조업일지'!$A$12:$A$952,A101,'09월 조업일지'!$E$12:$E$952,B104)</f>
        <v>0</v>
      </c>
      <c r="D104" s="824" t="str">
        <f t="shared" si="23"/>
        <v/>
      </c>
      <c r="E104" s="824" t="str">
        <f>IF($C104&lt;1,"",(SUMIFS('09월 조업일지'!$K$12:$K$952,'09월 조업일지'!$A$12:$A$952,$A104,'09월 조업일지'!$E$12:$E$952,$B104)/$C104))</f>
        <v/>
      </c>
      <c r="F104" s="824" t="str">
        <f>IF($C104&lt;1,"",(AVERAGEIFS('09월 조업일지'!$J$12:$J$952,'09월 조업일지'!$A$12:$A$952,$A104,'09월 조업일지'!$E$12:$E$952,$B104)))</f>
        <v/>
      </c>
      <c r="G104" s="825" t="str">
        <f>IF($C104&lt;1,"",(AVERAGEIFS('09월 에너지'!$M$14:$M$949,'09월 에너지'!$A$14:$A$949,$A104,'09월 에너지'!$C$14:$C$949,$B104)))</f>
        <v/>
      </c>
      <c r="H104" s="826" t="str">
        <f>IF($C104&lt;1,"",(AVERAGEIFS('09월 조업일지'!$AJ$12:$AJ$952,'09월 조업일지'!$A$12:$A$952,$A104,'09월 조업일지'!$E$12:$E$952,$B104)))</f>
        <v/>
      </c>
      <c r="I104" s="826" t="str">
        <f>IF($C104&lt;1,"",(AVERAGEIFS('09월 조업일지'!$AL$12:$AL$952,'09월 조업일지'!$A$12:$A$952,$A104,'09월 조업일지'!$E$12:$E$952,$B104)))</f>
        <v/>
      </c>
      <c r="J104" s="827" t="str">
        <f>IF($C104&lt;1,"",(AVERAGEIFS('09월 화학성분'!G$12:G$949,'09월 화학성분'!$A$12:$A$949,$A104,'09월 화학성분'!$D$12:$D$949,$B104)))</f>
        <v/>
      </c>
      <c r="K104" s="827" t="str">
        <f>IF($C104&lt;1,"",(AVERAGEIFS('09월 화학성분'!H$12:H$949,'09월 화학성분'!$A$12:$A$949,$A104,'09월 화학성분'!$D$12:$D$949,$B104)))</f>
        <v/>
      </c>
      <c r="L104" s="827" t="str">
        <f>IF($C104&lt;1,"",(AVERAGEIFS('09월 화학성분'!I$12:I$949,'09월 화학성분'!$A$12:$A$949,$A104,'09월 화학성분'!$D$12:$D$949,$B104)))</f>
        <v/>
      </c>
      <c r="M104" s="827" t="str">
        <f>IF($C104&lt;1,"",(AVERAGEIFS('09월 화학성분'!J$12:J$949,'09월 화학성분'!$A$12:$A$949,$A104,'09월 화학성분'!$D$12:$D$949,$B104)))</f>
        <v/>
      </c>
      <c r="N104" s="827" t="str">
        <f>IF($C104&lt;1,"",(AVERAGEIFS('09월 화학성분'!K$12:K$949,'09월 화학성분'!$A$12:$A$949,$A104,'09월 화학성분'!$D$12:$D$949,$B104)))</f>
        <v/>
      </c>
      <c r="O104" s="827" t="str">
        <f>IF($C104&lt;1,"",(AVERAGEIFS('09월 화학성분'!L$12:L$949,'09월 화학성분'!$A$12:$A$949,$A104,'09월 화학성분'!$D$12:$D$949,$B104)))</f>
        <v/>
      </c>
      <c r="P104" s="827" t="str">
        <f>IF($C104&lt;1,"",(AVERAGEIFS('09월 화학성분'!M$12:M$949,'09월 화학성분'!$A$12:$A$949,$A104,'09월 화학성분'!$D$12:$D$949,$B104)))</f>
        <v/>
      </c>
      <c r="Q104" s="827" t="str">
        <f>IFERROR(IF($C104&lt;1,"",(AVERAGEIFS('09월 조업일지'!$AA$12:$AA$952,'09월 조업일지'!$A$12:$A$952,$A104,'09월 조업일지'!$E$12:$E$952,$B104))),"")</f>
        <v/>
      </c>
      <c r="R104" s="827" t="str">
        <f>IF($C104&lt;1,"",(AVERAGEIFS('09월 조업일지'!$AK$12:$AK$952,'09월 조업일지'!$A$12:$A$952,$A104,'09월 조업일지'!$E$12:$E$952,$B104)))</f>
        <v/>
      </c>
      <c r="S104" s="827"/>
      <c r="T104" s="827"/>
      <c r="U104" s="827" t="str">
        <f>IF($C104&lt;1,"",(AVERAGEIFS('09월 화학성분'!$G$12:$G$949,'09월 화학성분'!$A$12:$A$949,$A104,'09월 화학성분'!$D$12:$D$949,$B104)))</f>
        <v/>
      </c>
      <c r="V104" s="827" t="str">
        <f>IF($C104&lt;1,"",(AVERAGEIFS('09월 조업일지'!$AI$12:$AI$952,'09월 조업일지'!$A$12:$A$952,$A104,'09월 조업일지'!$E$12:$E$952,$B104)))</f>
        <v/>
      </c>
      <c r="W104" s="828" t="str">
        <f>IF($C104&lt;1,"",(AVERAGEIFS('09월 화학성분'!$AM$12:$AM$949,'09월 화학성분'!$A$12:$A$949,$A104,'09월 화학성분'!$D$12:$D$949,$B104)))</f>
        <v/>
      </c>
      <c r="X104" s="829" t="str">
        <f>IF($C104&lt;1,"",(AVERAGEIFS('09월 화학성분'!N$12:N$949,'09월 화학성분'!$A$12:$A$949,$A104,'09월 화학성분'!$D$12:$D$949,$B104)))</f>
        <v/>
      </c>
      <c r="Y104" s="829" t="str">
        <f>IF($C104&lt;1,"",(AVERAGEIFS('09월 화학성분'!O$12:O$949,'09월 화학성분'!$A$12:$A$949,$A104,'09월 화학성분'!$D$12:$D$949,$B104)))</f>
        <v/>
      </c>
      <c r="Z104" s="829" t="str">
        <f>IF($C104&lt;1,"",(AVERAGEIFS('09월 화학성분'!P$12:P$949,'09월 화학성분'!$A$12:$A$949,$A104,'09월 화학성분'!$D$12:$D$949,$B104)))</f>
        <v/>
      </c>
      <c r="AA104" s="829" t="str">
        <f>IF($C104&lt;1,"",(AVERAGEIFS('09월 화학성분'!Q$12:Q$949,'09월 화학성분'!$A$12:$A$949,$A104,'09월 화학성분'!$D$12:$D$949,$B104)))</f>
        <v/>
      </c>
      <c r="AB104" s="829" t="str">
        <f>IF($C104&lt;1,"",(AVERAGEIFS('09월 화학성분'!R$12:R$949,'09월 화학성분'!$A$12:$A$949,$A104,'09월 화학성분'!$D$12:$D$949,$B104)))</f>
        <v/>
      </c>
      <c r="AC104" s="829" t="str">
        <f>IF($C104&lt;1,"",(AVERAGEIFS('09월 화학성분'!U$12:U$949,'09월 화학성분'!$A$12:$A$949,$A104,'09월 화학성분'!$D$12:$D$949,$B104)))</f>
        <v/>
      </c>
      <c r="AD104" s="829" t="str">
        <f>IF($C104&lt;1,"",(AVERAGEIFS('09월 화학성분'!V$12:V$949,'09월 화학성분'!$A$12:$A$949,$A104,'09월 화학성분'!$D$12:$D$949,$B104)))</f>
        <v/>
      </c>
      <c r="AE104" s="829" t="str">
        <f>IF($C104&lt;1,"",(AVERAGEIFS('09월 화학성분'!W$12:W$949,'09월 화학성분'!$A$12:$A$949,$A104,'09월 화학성분'!$D$12:$D$949,$B104)))</f>
        <v/>
      </c>
      <c r="AF104" s="829" t="str">
        <f>IF($C104&lt;1,"",(AVERAGEIFS('09월 화학성분'!AA$12:AA$949,'09월 화학성분'!$A$12:$A$949,$A104,'09월 화학성분'!$D$12:$D$949,$B104)))</f>
        <v/>
      </c>
      <c r="AG104" s="829" t="str">
        <f>IF($C104&lt;1,"",(AVERAGEIFS('09월 화학성분'!#REF!,'09월 화학성분'!$A$12:$A$949,$A104,'09월 화학성분'!$D$12:$D$949,$B104)))</f>
        <v/>
      </c>
      <c r="AH104" s="829" t="str">
        <f>IF($C104&lt;1,"",(AVERAGEIFS('09월 화학성분'!AB$12:AB$949,'09월 화학성분'!$A$12:$A$949,$A104,'09월 화학성분'!$D$12:$D$949,$B104)))</f>
        <v/>
      </c>
      <c r="AI104" s="829" t="str">
        <f>IF($C104&lt;1,"",(AVERAGEIFS('09월 화학성분'!AC$12:AC$949,'09월 화학성분'!$A$12:$A$949,$A104,'09월 화학성분'!$D$12:$D$949,$B104)))</f>
        <v/>
      </c>
      <c r="AJ104" s="829" t="str">
        <f>IF($C104&lt;1,"",(AVERAGEIFS('09월 화학성분'!AD$12:AD$949,'09월 화학성분'!$A$12:$A$949,$A104,'09월 화학성분'!$D$12:$D$949,$B104)))</f>
        <v/>
      </c>
      <c r="AK104" s="829" t="str">
        <f>IF($C104&lt;1,"",(AVERAGEIFS('09월 화학성분'!AF$12:AF$949,'09월 화학성분'!$A$12:$A$949,$A104,'09월 화학성분'!$D$12:$D$949,$B104)))</f>
        <v/>
      </c>
      <c r="AL104" s="829" t="str">
        <f>IF($C104&lt;1,"",(AVERAGEIFS('09월 화학성분'!AG$12:AG$949,'09월 화학성분'!$A$12:$A$949,$A104,'09월 화학성분'!$D$12:$D$949,$B104)))</f>
        <v/>
      </c>
      <c r="AM104" s="829" t="str">
        <f>IF($C104&lt;1,"",(AVERAGEIFS('09월 화학성분'!AH$12:AH$949,'09월 화학성분'!$A$12:$A$949,$A104,'09월 화학성분'!$D$12:$D$949,$B104)))</f>
        <v/>
      </c>
      <c r="AN104" s="829" t="str">
        <f>IF($C104&lt;1,"",(AVERAGEIFS('09월 화학성분'!AI$12:AI$949,'09월 화학성분'!$A$12:$A$949,$A104,'09월 화학성분'!$D$12:$D$949,$B104)))</f>
        <v/>
      </c>
      <c r="AO104" s="829" t="str">
        <f>IF($C104&lt;1,"",(AVERAGEIFS('09월 화학성분'!AJ$12:AJ$949,'09월 화학성분'!$A$12:$A$949,$A104,'09월 화학성분'!$D$12:$D$949,$B104)))</f>
        <v/>
      </c>
      <c r="AP104" s="829" t="str">
        <f>IF($C104&lt;1,"",(AVERAGEIFS('09월 화학성분'!#REF!,'09월 화학성분'!$A$12:$A$949,$A104,'09월 화학성분'!$D$12:$D$949,$B104)))</f>
        <v/>
      </c>
      <c r="AQ104" s="829" t="str">
        <f>IF($C104&lt;1,"",(AVERAGEIFS('09월 화학성분'!AL$12:AL$949,'09월 화학성분'!$A$12:$A$949,$A104,'09월 화학성분'!$D$12:$D$949,$B104)))</f>
        <v/>
      </c>
      <c r="AR104" s="829" t="str">
        <f>IF($C104&lt;1,"",(AVERAGEIFS('09월 화학성분'!AM$12:AM$949,'09월 화학성분'!$A$12:$A$949,$A104,'09월 화학성분'!$D$12:$D$949,$B104)))</f>
        <v/>
      </c>
      <c r="AS104" s="830" t="str">
        <f>IF($C104&lt;1,"",(AVERAGEIFS('09월 화학성분'!AN$12:AN$949,'09월 화학성분'!$A$12:$A$949,$A104,'09월 화학성분'!$D$12:$D$949,$B104)))</f>
        <v/>
      </c>
      <c r="AT104" s="830" t="str">
        <f>IF($C104&lt;1,"",(AVERAGEIFS('09월 화학성분'!AO$12:AO$949,'09월 화학성분'!$A$12:$A$949,$A104,'09월 화학성분'!$D$12:$D$949,$B104)))</f>
        <v/>
      </c>
      <c r="AU104" s="831" t="str">
        <f>IF($C104&lt;1,"",(AVERAGEIFS('09월 화학성분'!AP$12:AP$949,'09월 화학성분'!$A$12:$A$949,$A104,'09월 화학성분'!$D$12:$D$949,$B104)))</f>
        <v/>
      </c>
      <c r="AV104" s="832" t="str">
        <f>IF($C104&lt;1,"",(AVERAGEIFS('09월 고철장입'!G$14:G$949,'09월 고철장입'!$A$14:$A$949,$A104,'09월 고철장입'!$C$14:$C$949,$B104))/1000)</f>
        <v/>
      </c>
      <c r="AW104" s="832" t="str">
        <f>IF($C104&lt;1,"",(AVERAGEIFS('09월 고철장입'!H$14:H$949,'09월 고철장입'!$A$14:$A$949,$A104,'09월 고철장입'!$C$14:$C$949,$B104))/1000)</f>
        <v/>
      </c>
      <c r="AX104" s="832" t="str">
        <f>IF($C104&lt;1,"",(AVERAGEIFS('09월 고철장입'!I$14:I$949,'09월 고철장입'!$A$14:$A$949,$A104,'09월 고철장입'!$C$14:$C$949,$B104))/1000)</f>
        <v/>
      </c>
      <c r="AY104" s="832" t="str">
        <f>IF($C104&lt;1,"",(AVERAGEIFS('09월 고철장입'!J$14:J$949,'09월 고철장입'!$A$14:$A$949,$A104,'09월 고철장입'!$C$14:$C$949,$B104))/1000)</f>
        <v/>
      </c>
      <c r="AZ104" s="832" t="str">
        <f>IF($C104&lt;1,"",(AVERAGEIFS('09월 고철장입'!K$14:K$949,'09월 고철장입'!$A$14:$A$949,$A104,'09월 고철장입'!$C$14:$C$949,$B104))/1000)</f>
        <v/>
      </c>
      <c r="BA104" s="832" t="str">
        <f>IF($C104&lt;1,"",(AVERAGEIFS('09월 고철장입'!L$14:L$949,'09월 고철장입'!$A$14:$A$949,$A104,'09월 고철장입'!$C$14:$C$949,$B104))/1000)</f>
        <v/>
      </c>
      <c r="BB104" s="832" t="str">
        <f>IF($C104&lt;1,"",(AVERAGEIFS('09월 고철장입'!M$14:M$949,'09월 고철장입'!$A$14:$A$949,$A104,'09월 고철장입'!$C$14:$C$949,$B104))/1000)</f>
        <v/>
      </c>
      <c r="BC104" s="832" t="str">
        <f>IF($C104&lt;1,"",(AVERAGEIFS('09월 고철장입'!N$14:N$949,'09월 고철장입'!$A$14:$A$949,$A104,'09월 고철장입'!$C$14:$C$949,$B104))/1000)</f>
        <v/>
      </c>
      <c r="BD104" s="832" t="str">
        <f>IF($C104&lt;1,"",(AVERAGEIFS('09월 고철장입'!O$14:O$949,'09월 고철장입'!$A$14:$A$949,$A104,'09월 고철장입'!$C$14:$C$949,$B104))/1000)</f>
        <v/>
      </c>
      <c r="BE104" s="833" t="str">
        <f>IF($C104&lt;1,"",(AVERAGEIFS('09월 고철장입'!P$14:P$949,'09월 고철장입'!$A$14:$A$949,$A104,'09월 고철장입'!$C$14:$C$949,$B104))/1000)</f>
        <v/>
      </c>
      <c r="BF104" s="833" t="str">
        <f>IF($C104&lt;1,"",(AVERAGEIFS('09월 고철장입'!Q$14:Q$949,'09월 고철장입'!$A$14:$A$949,$A104,'09월 고철장입'!$C$14:$C$949,$B104))/1000)</f>
        <v/>
      </c>
      <c r="BG104" s="833" t="str">
        <f>IF($C104&lt;1,"",(AVERAGEIFS('09월 고철장입'!S$14:S$949,'09월 고철장입'!$A$14:$A$949,$A104,'09월 고철장입'!$C$14:$C$949,$B104))/1000)</f>
        <v/>
      </c>
      <c r="BH104" s="833" t="str">
        <f>IF($C104&lt;1,"",(AVERAGEIFS('09월 고철장입'!T$14:T$949,'09월 고철장입'!$A$14:$A$949,$A104,'09월 고철장입'!$C$14:$C$949,$B104))/1000)</f>
        <v/>
      </c>
      <c r="BI104" s="833" t="str">
        <f>IF($C104&lt;1,"",(AVERAGEIFS('09월 고철장입'!U$14:U$949,'09월 고철장입'!$A$14:$A$949,$A104,'09월 고철장입'!$C$14:$C$949,$B104))/1000)</f>
        <v/>
      </c>
      <c r="BJ104" s="833" t="str">
        <f>IF($C104&lt;1,"",(AVERAGEIFS('09월 고철장입'!V$14:V$949,'09월 고철장입'!$A$14:$A$949,$A104,'09월 고철장입'!$C$14:$C$949,$B104))/1000)</f>
        <v/>
      </c>
      <c r="BK104" s="833" t="str">
        <f>IF($C104&lt;1,"",(AVERAGEIFS('09월 고철장입'!W$14:W$949,'09월 고철장입'!$A$14:$A$949,$A104,'09월 고철장입'!$C$14:$C$949,$B104))/1000)</f>
        <v/>
      </c>
      <c r="BL104" s="833" t="str">
        <f>IF($C104&lt;1,"",(AVERAGEIFS('09월 고철장입'!Y$14:Y$949,'09월 고철장입'!$A$14:$A$949,$A104,'09월 고철장입'!$C$14:$C$949,$B104))/1000)</f>
        <v/>
      </c>
      <c r="BM104" s="833" t="str">
        <f>IF($C104&lt;1,"",(AVERAGEIFS('09월 고철장입'!AB$14:AB$949,'09월 고철장입'!$A$14:$A$949,$A104,'09월 고철장입'!$C$14:$C$949,$B104))/1000)</f>
        <v/>
      </c>
      <c r="BN104" s="833" t="str">
        <f>IF($C104&lt;1,"",(AVERAGEIFS('09월 고철장입'!AC$14:AC$949,'09월 고철장입'!$A$14:$A$949,$A104,'09월 고철장입'!$C$14:$C$949,$B104))/1000)</f>
        <v/>
      </c>
      <c r="BO104" s="833" t="str">
        <f>IF($C104&lt;1,"",(AVERAGEIFS('09월 고철장입'!AD$14:AD$949,'09월 고철장입'!$A$14:$A$949,$A104,'09월 고철장입'!$C$14:$C$949,$B104))/1000)</f>
        <v/>
      </c>
      <c r="BP104" s="833" t="str">
        <f>IF($C104&lt;1,"",(AVERAGEIFS('09월 고철장입'!AE$14:AE$949,'09월 고철장입'!$A$14:$A$949,$A104,'09월 고철장입'!$C$14:$C$949,$B104))/1000)</f>
        <v/>
      </c>
      <c r="BQ104" s="832" t="str">
        <f>IF($C104&lt;1,"",(AVERAGEIFS('09월 고철장입'!AF$14:AF$949,'09월 고철장입'!$A$14:$A$949,$A104,'09월 고철장입'!$C$14:$C$949,$B104))/1000)</f>
        <v/>
      </c>
      <c r="BR104" s="832" t="str">
        <f>IF($C104&lt;1,"",(AVERAGEIFS('09월 고철장입'!AG$14:AG$949,'09월 고철장입'!$A$14:$A$949,$A104,'09월 고철장입'!$C$14:$C$949,$B104))/1000)</f>
        <v/>
      </c>
      <c r="BS104" s="832" t="str">
        <f>IF($C104&lt;1,"",(AVERAGEIFS('09월 고철장입'!AH$14:AH$949,'09월 고철장입'!$A$14:$A$949,$A104,'09월 고철장입'!$C$14:$C$949,$B104))/1000)</f>
        <v/>
      </c>
      <c r="BT104" s="832" t="str">
        <f>IF($C104&lt;1,"",(AVERAGEIFS('09월 고철장입'!AI$14:AI$949,'09월 고철장입'!$A$14:$A$949,$A104,'09월 고철장입'!$C$14:$C$949,$B104))/1000)</f>
        <v/>
      </c>
      <c r="BU104" s="834" t="str">
        <f>IF($C104&lt;1,"",(AVERAGEIFS('09월 고철장입'!AJ$14:AJ$949,'09월 고철장입'!$A$14:$A$949,$A104,'09월 고철장입'!$C$14:$C$949,$B104))/1000)</f>
        <v/>
      </c>
      <c r="BV104" s="834" t="str">
        <f>IF($C104&lt;1,"",(AVERAGEIFS('09월 고철장입'!AK$14:AK$949,'09월 고철장입'!$A$14:$A$949,$A104,'09월 고철장입'!$C$14:$C$949,$B104)))</f>
        <v/>
      </c>
      <c r="BW104" s="834" t="str">
        <f>IF($C104&lt;1,"",(AVERAGEIFS('09월 고철장입'!AL$14:AL$949,'09월 고철장입'!$A$14:$A$949,$A104,'09월 고철장입'!$C$14:$C$949,$B104))*100)</f>
        <v/>
      </c>
      <c r="BX104" s="831" t="str">
        <f>IF($C104&lt;1,"",(AVERAGEIFS('09월 에너지'!G$14:G$949,'09월 에너지'!$A$14:$A$949,$A104,'09월 에너지'!$C$14:$C$949,$B104)))</f>
        <v/>
      </c>
      <c r="BY104" s="835" t="str">
        <f>IF($C104&lt;1,"",(AVERAGEIFS('09월 에너지'!H$14:H$949,'09월 에너지'!$A$14:$A$949,$A104,'09월 에너지'!$C$14:$C$949,$B104)))</f>
        <v/>
      </c>
      <c r="BZ104" s="831" t="str">
        <f>IF($C104&lt;1,"",(AVERAGEIFS('09월 에너지'!I$14:I$949,'09월 에너지'!$A$14:$A$949,$A104,'09월 에너지'!$C$14:$C$949,$B104)))</f>
        <v/>
      </c>
      <c r="CA104" s="835" t="str">
        <f>IF($C104&lt;1,"",(AVERAGEIFS('09월 에너지'!J$14:J$949,'09월 에너지'!$A$14:$A$949,$A104,'09월 에너지'!$C$14:$C$949,$B104)))</f>
        <v/>
      </c>
      <c r="CB104" s="831" t="str">
        <f>IF($C104&lt;1,"",(AVERAGEIFS('09월 에너지'!K$14:K$949,'09월 에너지'!$A$14:$A$949,$A104,'09월 에너지'!$C$14:$C$949,$B104)))</f>
        <v/>
      </c>
      <c r="CC104" s="835" t="str">
        <f>IF($C104&lt;1,"",(AVERAGEIFS('09월 에너지'!L$14:L$949,'09월 에너지'!$A$14:$A$949,$A104,'09월 에너지'!$C$14:$C$949,$B104)))</f>
        <v/>
      </c>
      <c r="CD104" s="831" t="str">
        <f>IF($C104&lt;1,"",(AVERAGEIFS('09월 에너지'!M$14:M$949,'09월 에너지'!$A$14:$A$949,$A104,'09월 에너지'!$C$14:$C$949,$B104)))</f>
        <v/>
      </c>
      <c r="CE104" s="835" t="str">
        <f>IF($C104&lt;1,"",(AVERAGEIFS('09월 에너지'!N$14:N$949,'09월 에너지'!$A$14:$A$949,$A104,'09월 에너지'!$C$14:$C$949,$B104)))</f>
        <v/>
      </c>
      <c r="CF104" s="831" t="str">
        <f>IF($C104&lt;1,"",(AVERAGEIFS('09월 에너지'!O$14:O$949,'09월 에너지'!$A$14:$A$949,$A104,'09월 에너지'!$C$14:$C$949,$B104)))</f>
        <v/>
      </c>
      <c r="CG104" s="831" t="str">
        <f>IF($C104&lt;1,"",(AVERAGEIFS('09월 에너지'!P$14:P$949,'09월 에너지'!$A$14:$A$949,$A104,'09월 에너지'!$C$14:$C$949,$B104)))</f>
        <v/>
      </c>
      <c r="CH104" s="831" t="str">
        <f>IF($C104&lt;1,"",(AVERAGEIFS('09월 에너지'!Q$14:Q$949,'09월 에너지'!$A$14:$A$949,$A104,'09월 에너지'!$C$14:$C$949,$B104)))</f>
        <v/>
      </c>
      <c r="CI104" s="831" t="str">
        <f>IF($C104&lt;1,"",(AVERAGEIFS('09월 에너지'!R$14:R$949,'09월 에너지'!$A$14:$A$949,$A104,'09월 에너지'!$C$14:$C$949,$B104)))</f>
        <v/>
      </c>
      <c r="CJ104" s="831" t="str">
        <f>IF($C104&lt;1,"",(AVERAGEIFS('09월 에너지'!S$14:S$949,'09월 에너지'!$A$14:$A$949,$A104,'09월 에너지'!$C$14:$C$949,$B104)))</f>
        <v/>
      </c>
      <c r="CK104" s="831" t="str">
        <f>IF($C104&lt;1,"",(AVERAGEIFS('09월 에너지'!T$14:T$949,'09월 에너지'!$A$14:$A$949,$A104,'09월 에너지'!$C$14:$C$949,$B104)))</f>
        <v/>
      </c>
      <c r="CL104" s="831" t="str">
        <f>IF($C104&lt;1,"",(AVERAGEIFS('09월 에너지'!U$14:U$949,'09월 에너지'!$A$14:$A$949,$A104,'09월 에너지'!$C$14:$C$949,$B104)))</f>
        <v/>
      </c>
      <c r="CM104" s="835" t="str">
        <f>IF($C104&lt;1,"",(AVERAGEIFS('09월 에너지'!V$14:V$949,'09월 에너지'!$A$14:$A$949,$A104,'09월 에너지'!$C$14:$C$949,$B104)))</f>
        <v/>
      </c>
      <c r="CN104" s="835" t="str">
        <f>IF($C104&lt;1,"",(AVERAGEIFS('09월 에너지'!W$14:W$949,'09월 에너지'!$A$14:$A$949,$A104,'09월 에너지'!$C$14:$C$949,$B104)))</f>
        <v/>
      </c>
      <c r="CO104" s="831" t="str">
        <f>IF($C104&lt;1,"",(AVERAGEIFS('09월 에너지'!X$14:X$949,'09월 에너지'!$A$14:$A$949,$A104,'09월 에너지'!$C$14:$C$949,$B104)))</f>
        <v/>
      </c>
      <c r="CP104" s="835" t="str">
        <f>IF($C104&lt;1,"",(AVERAGEIFS('09월 에너지'!Y$14:Y$949,'09월 에너지'!$A$14:$A$949,$A104,'09월 에너지'!$C$14:$C$949,$B104)))</f>
        <v/>
      </c>
      <c r="CQ104" s="835" t="str">
        <f>IF($C104&lt;1,"",(AVERAGEIFS('09월 에너지'!Z$14:Z$949,'09월 에너지'!$A$14:$A$949,$A104,'09월 에너지'!$C$14:$C$949,$B104)))</f>
        <v/>
      </c>
      <c r="CR104" s="835" t="str">
        <f>IF($C104&lt;1,"",(AVERAGEIFS('09월 에너지'!AA$14:AA$949,'09월 에너지'!$A$14:$A$949,$A104,'09월 에너지'!$C$14:$C$949,$B104)))</f>
        <v/>
      </c>
      <c r="CS104" s="835" t="str">
        <f>IF($C104&lt;1,"",(AVERAGEIFS('09월 에너지'!AB$14:AB$949,'09월 에너지'!$A$14:$A$949,$A104,'09월 에너지'!$C$14:$C$949,$B104)))</f>
        <v/>
      </c>
      <c r="CT104" s="831" t="str">
        <f>IF($C104&lt;1,"",(AVERAGEIFS('09월 에너지'!AC$14:AC$949,'09월 에너지'!$A$14:$A$949,$A104,'09월 에너지'!$C$14:$C$949,$B104)))</f>
        <v/>
      </c>
      <c r="CU104" s="836" t="str">
        <f>IF($C104&lt;1,"",(AVERAGEIFS('09월 에너지'!AD$14:AD$949,'09월 에너지'!$A$14:$A$949,$A104,'09월 에너지'!$C$14:$C$949,$B104)))</f>
        <v/>
      </c>
      <c r="CV104" s="837" t="str">
        <f>IF($C104&lt;1,"",(AVERAGEIFS('09월 에너지'!AE$14:AE$949,'09월 에너지'!$A$14:$A$949,$A104,'09월 에너지'!$C$14:$C$949,$B104)))</f>
        <v/>
      </c>
      <c r="CW104" s="831" t="str">
        <f>IF($C104&lt;1,"",(AVERAGEIFS('09월 에너지'!AF$14:AF$949,'09월 에너지'!$A$14:$A$949,$A104,'09월 에너지'!$C$14:$C$949,$B104)))</f>
        <v/>
      </c>
      <c r="CX104" s="831" t="str">
        <f>IF($C104&lt;1,"",(AVERAGEIFS('09월 에너지'!AG$14:AG$949,'09월 에너지'!$A$14:$A$949,$A104,'09월 에너지'!$C$14:$C$949,$B104)))</f>
        <v/>
      </c>
      <c r="CY104" s="831" t="str">
        <f>IF($C104&lt;1,"",(AVERAGEIFS('09월 에너지'!AH$14:AH$949,'09월 에너지'!$A$14:$A$949,$A104,'09월 에너지'!$C$14:$C$949,$B104)))</f>
        <v/>
      </c>
      <c r="CZ104" s="831" t="str">
        <f>IF($C104&lt;1,"",(AVERAGEIFS('09월 에너지'!AI$14:AI$949,'09월 에너지'!$A$14:$A$949,$A104,'09월 에너지'!$C$14:$C$949,$B104)))</f>
        <v/>
      </c>
      <c r="DA104" s="838" t="str">
        <f>IF($C104&lt;1,"",(AVERAGEIFS('09월 에너지'!AJ$14:AJ$949,'09월 에너지'!$A$14:$A$949,$A104,'09월 에너지'!$C$14:$C$949,$B104)))</f>
        <v/>
      </c>
    </row>
    <row r="105" spans="1:105" ht="13.5" customHeight="1" thickBot="1">
      <c r="A105" s="851">
        <f t="shared" si="20"/>
        <v>44946</v>
      </c>
      <c r="B105" s="852" t="s">
        <v>94</v>
      </c>
      <c r="C105" s="841">
        <f>COUNTIFS('09월 조업일지'!$A$12:$A$952,A101,'09월 조업일지'!$E$12:$E$952,B105)</f>
        <v>0</v>
      </c>
      <c r="D105" s="842" t="str">
        <f t="shared" si="23"/>
        <v/>
      </c>
      <c r="E105" s="842" t="str">
        <f>IF($C105&lt;1,"",(SUMIFS('09월 조업일지'!$K$12:$K$952,'09월 조업일지'!$A$12:$A$952,$A105,'09월 조업일지'!$E$12:$E$952,$B105)/$C105))</f>
        <v/>
      </c>
      <c r="F105" s="842" t="str">
        <f>IF($C105&lt;1,"",(AVERAGEIFS('09월 조업일지'!$J$12:$J$952,'09월 조업일지'!$A$12:$A$952,$A105,'09월 조업일지'!$E$12:$E$952,$B105)))</f>
        <v/>
      </c>
      <c r="G105" s="843" t="str">
        <f>IF($C105&lt;1,"",(AVERAGEIFS('09월 에너지'!$M$14:$M$949,'09월 에너지'!$A$14:$A$949,$A105,'09월 에너지'!$C$14:$C$949,$B105)))</f>
        <v/>
      </c>
      <c r="H105" s="844" t="str">
        <f>IF($C105&lt;1,"",(AVERAGEIFS('09월 조업일지'!$AJ$12:$AJ$952,'09월 조업일지'!$A$12:$A$952,$A105,'09월 조업일지'!$E$12:$E$952,$B105)))</f>
        <v/>
      </c>
      <c r="I105" s="844" t="str">
        <f>IF($C105&lt;1,"",(AVERAGEIFS('09월 조업일지'!$AL$12:$AL$952,'09월 조업일지'!$A$12:$A$952,$A105,'09월 조업일지'!$E$12:$E$952,$B105)))</f>
        <v/>
      </c>
      <c r="J105" s="845" t="str">
        <f>IF($C105&lt;1,"",(AVERAGEIFS('09월 화학성분'!G$12:G$949,'09월 화학성분'!$A$12:$A$949,$A105,'09월 화학성분'!$D$12:$D$949,$B105)))</f>
        <v/>
      </c>
      <c r="K105" s="845" t="str">
        <f>IF($C105&lt;1,"",(AVERAGEIFS('09월 화학성분'!H$12:H$949,'09월 화학성분'!$A$12:$A$949,$A105,'09월 화학성분'!$D$12:$D$949,$B105)))</f>
        <v/>
      </c>
      <c r="L105" s="845" t="str">
        <f>IF($C105&lt;1,"",(AVERAGEIFS('09월 화학성분'!I$12:I$949,'09월 화학성분'!$A$12:$A$949,$A105,'09월 화학성분'!$D$12:$D$949,$B105)))</f>
        <v/>
      </c>
      <c r="M105" s="845" t="str">
        <f>IF($C105&lt;1,"",(AVERAGEIFS('09월 화학성분'!J$12:J$949,'09월 화학성분'!$A$12:$A$949,$A105,'09월 화학성분'!$D$12:$D$949,$B105)))</f>
        <v/>
      </c>
      <c r="N105" s="845" t="str">
        <f>IF($C105&lt;1,"",(AVERAGEIFS('09월 화학성분'!K$12:K$949,'09월 화학성분'!$A$12:$A$949,$A105,'09월 화학성분'!$D$12:$D$949,$B105)))</f>
        <v/>
      </c>
      <c r="O105" s="845" t="str">
        <f>IF($C105&lt;1,"",(AVERAGEIFS('09월 화학성분'!L$12:L$949,'09월 화학성분'!$A$12:$A$949,$A105,'09월 화학성분'!$D$12:$D$949,$B105)))</f>
        <v/>
      </c>
      <c r="P105" s="845" t="str">
        <f>IF($C105&lt;1,"",(AVERAGEIFS('09월 화학성분'!M$12:M$949,'09월 화학성분'!$A$12:$A$949,$A105,'09월 화학성분'!$D$12:$D$949,$B105)))</f>
        <v/>
      </c>
      <c r="Q105" s="827" t="str">
        <f>IFERROR(IF($C105&lt;1,"",(AVERAGEIFS('09월 조업일지'!$AA$12:$AA$952,'09월 조업일지'!$A$12:$A$952,$A105,'09월 조업일지'!$E$12:$E$952,$B105))),"")</f>
        <v/>
      </c>
      <c r="R105" s="845" t="str">
        <f>IF($C105&lt;1,"",(AVERAGEIFS('09월 조업일지'!$AK$12:$AK$952,'09월 조업일지'!$A$12:$A$952,$A105,'09월 조업일지'!$E$12:$E$952,$B105)))</f>
        <v/>
      </c>
      <c r="S105" s="845"/>
      <c r="T105" s="845"/>
      <c r="U105" s="845" t="str">
        <f>IF($C105&lt;1,"",(AVERAGEIFS('09월 화학성분'!$G$12:$G$949,'09월 화학성분'!$A$12:$A$949,$A105,'09월 화학성분'!$D$12:$D$949,$B105)))</f>
        <v/>
      </c>
      <c r="V105" s="845" t="str">
        <f>IF($C105&lt;1,"",(AVERAGEIFS('09월 조업일지'!$AI$12:$AI$952,'09월 조업일지'!$A$12:$A$952,$A105,'09월 조업일지'!$E$12:$E$952,$B105)))</f>
        <v/>
      </c>
      <c r="W105" s="846" t="str">
        <f>IF($C105&lt;1,"",(AVERAGEIFS('09월 화학성분'!$AM$12:$AM$949,'09월 화학성분'!$A$12:$A$949,$A105,'09월 화학성분'!$D$12:$D$949,$B105)))</f>
        <v/>
      </c>
      <c r="X105" s="829" t="str">
        <f>IF($C105&lt;1,"",(AVERAGEIFS('09월 화학성분'!N$12:N$949,'09월 화학성분'!$A$12:$A$949,$A105,'09월 화학성분'!$D$12:$D$949,$B105)))</f>
        <v/>
      </c>
      <c r="Y105" s="829" t="str">
        <f>IF($C105&lt;1,"",(AVERAGEIFS('09월 화학성분'!O$12:O$949,'09월 화학성분'!$A$12:$A$949,$A105,'09월 화학성분'!$D$12:$D$949,$B105)))</f>
        <v/>
      </c>
      <c r="Z105" s="829" t="str">
        <f>IF($C105&lt;1,"",(AVERAGEIFS('09월 화학성분'!P$12:P$949,'09월 화학성분'!$A$12:$A$949,$A105,'09월 화학성분'!$D$12:$D$949,$B105)))</f>
        <v/>
      </c>
      <c r="AA105" s="829" t="str">
        <f>IF($C105&lt;1,"",(AVERAGEIFS('09월 화학성분'!Q$12:Q$949,'09월 화학성분'!$A$12:$A$949,$A105,'09월 화학성분'!$D$12:$D$949,$B105)))</f>
        <v/>
      </c>
      <c r="AB105" s="829" t="str">
        <f>IF($C105&lt;1,"",(AVERAGEIFS('09월 화학성분'!R$12:R$949,'09월 화학성분'!$A$12:$A$949,$A105,'09월 화학성분'!$D$12:$D$949,$B105)))</f>
        <v/>
      </c>
      <c r="AC105" s="829" t="str">
        <f>IF($C105&lt;1,"",(AVERAGEIFS('09월 화학성분'!U$12:U$949,'09월 화학성분'!$A$12:$A$949,$A105,'09월 화학성분'!$D$12:$D$949,$B105)))</f>
        <v/>
      </c>
      <c r="AD105" s="829" t="str">
        <f>IF($C105&lt;1,"",(AVERAGEIFS('09월 화학성분'!V$12:V$949,'09월 화학성분'!$A$12:$A$949,$A105,'09월 화학성분'!$D$12:$D$949,$B105)))</f>
        <v/>
      </c>
      <c r="AE105" s="829" t="str">
        <f>IF($C105&lt;1,"",(AVERAGEIFS('09월 화학성분'!W$12:W$949,'09월 화학성분'!$A$12:$A$949,$A105,'09월 화학성분'!$D$12:$D$949,$B105)))</f>
        <v/>
      </c>
      <c r="AF105" s="829" t="str">
        <f>IF($C105&lt;1,"",(AVERAGEIFS('09월 화학성분'!AA$12:AA$949,'09월 화학성분'!$A$12:$A$949,$A105,'09월 화학성분'!$D$12:$D$949,$B105)))</f>
        <v/>
      </c>
      <c r="AG105" s="829" t="str">
        <f>IF($C105&lt;1,"",(AVERAGEIFS('09월 화학성분'!#REF!,'09월 화학성분'!$A$12:$A$949,$A105,'09월 화학성분'!$D$12:$D$949,$B105)))</f>
        <v/>
      </c>
      <c r="AH105" s="829" t="str">
        <f>IF($C105&lt;1,"",(AVERAGEIFS('09월 화학성분'!AB$12:AB$949,'09월 화학성분'!$A$12:$A$949,$A105,'09월 화학성분'!$D$12:$D$949,$B105)))</f>
        <v/>
      </c>
      <c r="AI105" s="829" t="str">
        <f>IF($C105&lt;1,"",(AVERAGEIFS('09월 화학성분'!AC$12:AC$949,'09월 화학성분'!$A$12:$A$949,$A105,'09월 화학성분'!$D$12:$D$949,$B105)))</f>
        <v/>
      </c>
      <c r="AJ105" s="829" t="str">
        <f>IF($C105&lt;1,"",(AVERAGEIFS('09월 화학성분'!AD$12:AD$949,'09월 화학성분'!$A$12:$A$949,$A105,'09월 화학성분'!$D$12:$D$949,$B105)))</f>
        <v/>
      </c>
      <c r="AK105" s="829" t="str">
        <f>IF($C105&lt;1,"",(AVERAGEIFS('09월 화학성분'!AF$12:AF$949,'09월 화학성분'!$A$12:$A$949,$A105,'09월 화학성분'!$D$12:$D$949,$B105)))</f>
        <v/>
      </c>
      <c r="AL105" s="829" t="str">
        <f>IF($C105&lt;1,"",(AVERAGEIFS('09월 화학성분'!AG$12:AG$949,'09월 화학성분'!$A$12:$A$949,$A105,'09월 화학성분'!$D$12:$D$949,$B105)))</f>
        <v/>
      </c>
      <c r="AM105" s="829" t="str">
        <f>IF($C105&lt;1,"",(AVERAGEIFS('09월 화학성분'!AH$12:AH$949,'09월 화학성분'!$A$12:$A$949,$A105,'09월 화학성분'!$D$12:$D$949,$B105)))</f>
        <v/>
      </c>
      <c r="AN105" s="829" t="str">
        <f>IF($C105&lt;1,"",(AVERAGEIFS('09월 화학성분'!AI$12:AI$949,'09월 화학성분'!$A$12:$A$949,$A105,'09월 화학성분'!$D$12:$D$949,$B105)))</f>
        <v/>
      </c>
      <c r="AO105" s="829" t="str">
        <f>IF($C105&lt;1,"",(AVERAGEIFS('09월 화학성분'!AJ$12:AJ$949,'09월 화학성분'!$A$12:$A$949,$A105,'09월 화학성분'!$D$12:$D$949,$B105)))</f>
        <v/>
      </c>
      <c r="AP105" s="829" t="str">
        <f>IF($C105&lt;1,"",(AVERAGEIFS('09월 화학성분'!#REF!,'09월 화학성분'!$A$12:$A$949,$A105,'09월 화학성분'!$D$12:$D$949,$B105)))</f>
        <v/>
      </c>
      <c r="AQ105" s="829" t="str">
        <f>IF($C105&lt;1,"",(AVERAGEIFS('09월 화학성분'!AL$12:AL$949,'09월 화학성분'!$A$12:$A$949,$A105,'09월 화학성분'!$D$12:$D$949,$B105)))</f>
        <v/>
      </c>
      <c r="AR105" s="829" t="str">
        <f>IF($C105&lt;1,"",(AVERAGEIFS('09월 화학성분'!AM$12:AM$949,'09월 화학성분'!$A$12:$A$949,$A105,'09월 화학성분'!$D$12:$D$949,$B105)))</f>
        <v/>
      </c>
      <c r="AS105" s="830" t="str">
        <f>IF($C105&lt;1,"",(AVERAGEIFS('09월 화학성분'!AN$12:AN$949,'09월 화학성분'!$A$12:$A$949,$A105,'09월 화학성분'!$D$12:$D$949,$B105)))</f>
        <v/>
      </c>
      <c r="AT105" s="830" t="str">
        <f>IF($C105&lt;1,"",(AVERAGEIFS('09월 화학성분'!AO$12:AO$949,'09월 화학성분'!$A$12:$A$949,$A105,'09월 화학성분'!$D$12:$D$949,$B105)))</f>
        <v/>
      </c>
      <c r="AU105" s="831" t="str">
        <f>IF($C105&lt;1,"",(AVERAGEIFS('09월 화학성분'!AP$12:AP$949,'09월 화학성분'!$A$12:$A$949,$A105,'09월 화학성분'!$D$12:$D$949,$B105)))</f>
        <v/>
      </c>
      <c r="AV105" s="832" t="str">
        <f>IF($C105&lt;1,"",(AVERAGEIFS('09월 고철장입'!G$14:G$949,'09월 고철장입'!$A$14:$A$949,$A105,'09월 고철장입'!$C$14:$C$949,$B105))/1000)</f>
        <v/>
      </c>
      <c r="AW105" s="832" t="str">
        <f>IF($C105&lt;1,"",(AVERAGEIFS('09월 고철장입'!H$14:H$949,'09월 고철장입'!$A$14:$A$949,$A105,'09월 고철장입'!$C$14:$C$949,$B105))/1000)</f>
        <v/>
      </c>
      <c r="AX105" s="832" t="str">
        <f>IF($C105&lt;1,"",(AVERAGEIFS('09월 고철장입'!I$14:I$949,'09월 고철장입'!$A$14:$A$949,$A105,'09월 고철장입'!$C$14:$C$949,$B105))/1000)</f>
        <v/>
      </c>
      <c r="AY105" s="832" t="str">
        <f>IF($C105&lt;1,"",(AVERAGEIFS('09월 고철장입'!J$14:J$949,'09월 고철장입'!$A$14:$A$949,$A105,'09월 고철장입'!$C$14:$C$949,$B105))/1000)</f>
        <v/>
      </c>
      <c r="AZ105" s="832" t="str">
        <f>IF($C105&lt;1,"",(AVERAGEIFS('09월 고철장입'!K$14:K$949,'09월 고철장입'!$A$14:$A$949,$A105,'09월 고철장입'!$C$14:$C$949,$B105))/1000)</f>
        <v/>
      </c>
      <c r="BA105" s="832" t="str">
        <f>IF($C105&lt;1,"",(AVERAGEIFS('09월 고철장입'!L$14:L$949,'09월 고철장입'!$A$14:$A$949,$A105,'09월 고철장입'!$C$14:$C$949,$B105))/1000)</f>
        <v/>
      </c>
      <c r="BB105" s="832" t="str">
        <f>IF($C105&lt;1,"",(AVERAGEIFS('09월 고철장입'!M$14:M$949,'09월 고철장입'!$A$14:$A$949,$A105,'09월 고철장입'!$C$14:$C$949,$B105))/1000)</f>
        <v/>
      </c>
      <c r="BC105" s="832" t="str">
        <f>IF($C105&lt;1,"",(AVERAGEIFS('09월 고철장입'!N$14:N$949,'09월 고철장입'!$A$14:$A$949,$A105,'09월 고철장입'!$C$14:$C$949,$B105))/1000)</f>
        <v/>
      </c>
      <c r="BD105" s="832" t="str">
        <f>IF($C105&lt;1,"",(AVERAGEIFS('09월 고철장입'!O$14:O$949,'09월 고철장입'!$A$14:$A$949,$A105,'09월 고철장입'!$C$14:$C$949,$B105))/1000)</f>
        <v/>
      </c>
      <c r="BE105" s="833" t="str">
        <f>IF($C105&lt;1,"",(AVERAGEIFS('09월 고철장입'!P$14:P$949,'09월 고철장입'!$A$14:$A$949,$A105,'09월 고철장입'!$C$14:$C$949,$B105))/1000)</f>
        <v/>
      </c>
      <c r="BF105" s="833" t="str">
        <f>IF($C105&lt;1,"",(AVERAGEIFS('09월 고철장입'!Q$14:Q$949,'09월 고철장입'!$A$14:$A$949,$A105,'09월 고철장입'!$C$14:$C$949,$B105))/1000)</f>
        <v/>
      </c>
      <c r="BG105" s="833" t="str">
        <f>IF($C105&lt;1,"",(AVERAGEIFS('09월 고철장입'!S$14:S$949,'09월 고철장입'!$A$14:$A$949,$A105,'09월 고철장입'!$C$14:$C$949,$B105))/1000)</f>
        <v/>
      </c>
      <c r="BH105" s="833" t="str">
        <f>IF($C105&lt;1,"",(AVERAGEIFS('09월 고철장입'!T$14:T$949,'09월 고철장입'!$A$14:$A$949,$A105,'09월 고철장입'!$C$14:$C$949,$B105))/1000)</f>
        <v/>
      </c>
      <c r="BI105" s="833" t="str">
        <f>IF($C105&lt;1,"",(AVERAGEIFS('09월 고철장입'!U$14:U$949,'09월 고철장입'!$A$14:$A$949,$A105,'09월 고철장입'!$C$14:$C$949,$B105))/1000)</f>
        <v/>
      </c>
      <c r="BJ105" s="833" t="str">
        <f>IF($C105&lt;1,"",(AVERAGEIFS('09월 고철장입'!V$14:V$949,'09월 고철장입'!$A$14:$A$949,$A105,'09월 고철장입'!$C$14:$C$949,$B105))/1000)</f>
        <v/>
      </c>
      <c r="BK105" s="833" t="str">
        <f>IF($C105&lt;1,"",(AVERAGEIFS('09월 고철장입'!W$14:W$949,'09월 고철장입'!$A$14:$A$949,$A105,'09월 고철장입'!$C$14:$C$949,$B105))/1000)</f>
        <v/>
      </c>
      <c r="BL105" s="833" t="str">
        <f>IF($C105&lt;1,"",(AVERAGEIFS('09월 고철장입'!Y$14:Y$949,'09월 고철장입'!$A$14:$A$949,$A105,'09월 고철장입'!$C$14:$C$949,$B105))/1000)</f>
        <v/>
      </c>
      <c r="BM105" s="833" t="str">
        <f>IF($C105&lt;1,"",(AVERAGEIFS('09월 고철장입'!AB$14:AB$949,'09월 고철장입'!$A$14:$A$949,$A105,'09월 고철장입'!$C$14:$C$949,$B105))/1000)</f>
        <v/>
      </c>
      <c r="BN105" s="833" t="str">
        <f>IF($C105&lt;1,"",(AVERAGEIFS('09월 고철장입'!AC$14:AC$949,'09월 고철장입'!$A$14:$A$949,$A105,'09월 고철장입'!$C$14:$C$949,$B105))/1000)</f>
        <v/>
      </c>
      <c r="BO105" s="833" t="str">
        <f>IF($C105&lt;1,"",(AVERAGEIFS('09월 고철장입'!AD$14:AD$949,'09월 고철장입'!$A$14:$A$949,$A105,'09월 고철장입'!$C$14:$C$949,$B105))/1000)</f>
        <v/>
      </c>
      <c r="BP105" s="833" t="str">
        <f>IF($C105&lt;1,"",(AVERAGEIFS('09월 고철장입'!AE$14:AE$949,'09월 고철장입'!$A$14:$A$949,$A105,'09월 고철장입'!$C$14:$C$949,$B105))/1000)</f>
        <v/>
      </c>
      <c r="BQ105" s="832" t="str">
        <f>IF($C105&lt;1,"",(AVERAGEIFS('09월 고철장입'!AF$14:AF$949,'09월 고철장입'!$A$14:$A$949,$A105,'09월 고철장입'!$C$14:$C$949,$B105))/1000)</f>
        <v/>
      </c>
      <c r="BR105" s="832" t="str">
        <f>IF($C105&lt;1,"",(AVERAGEIFS('09월 고철장입'!AG$14:AG$949,'09월 고철장입'!$A$14:$A$949,$A105,'09월 고철장입'!$C$14:$C$949,$B105))/1000)</f>
        <v/>
      </c>
      <c r="BS105" s="832" t="str">
        <f>IF($C105&lt;1,"",(AVERAGEIFS('09월 고철장입'!AH$14:AH$949,'09월 고철장입'!$A$14:$A$949,$A105,'09월 고철장입'!$C$14:$C$949,$B105))/1000)</f>
        <v/>
      </c>
      <c r="BT105" s="832" t="str">
        <f>IF($C105&lt;1,"",(AVERAGEIFS('09월 고철장입'!AI$14:AI$949,'09월 고철장입'!$A$14:$A$949,$A105,'09월 고철장입'!$C$14:$C$949,$B105))/1000)</f>
        <v/>
      </c>
      <c r="BU105" s="834" t="str">
        <f>IF($C105&lt;1,"",(AVERAGEIFS('09월 고철장입'!AJ$14:AJ$949,'09월 고철장입'!$A$14:$A$949,$A105,'09월 고철장입'!$C$14:$C$949,$B105))/1000)</f>
        <v/>
      </c>
      <c r="BV105" s="834" t="str">
        <f>IF($C105&lt;1,"",(AVERAGEIFS('09월 고철장입'!AK$14:AK$949,'09월 고철장입'!$A$14:$A$949,$A105,'09월 고철장입'!$C$14:$C$949,$B105)))</f>
        <v/>
      </c>
      <c r="BW105" s="834" t="str">
        <f>IF($C105&lt;1,"",(AVERAGEIFS('09월 고철장입'!AL$14:AL$949,'09월 고철장입'!$A$14:$A$949,$A105,'09월 고철장입'!$C$14:$C$949,$B105))*100)</f>
        <v/>
      </c>
      <c r="BX105" s="831" t="str">
        <f>IF($C105&lt;1,"",(AVERAGEIFS('09월 에너지'!G$14:G$949,'09월 에너지'!$A$14:$A$949,$A105,'09월 에너지'!$C$14:$C$949,$B105)))</f>
        <v/>
      </c>
      <c r="BY105" s="835" t="str">
        <f>IF($C105&lt;1,"",(AVERAGEIFS('09월 에너지'!H$14:H$949,'09월 에너지'!$A$14:$A$949,$A105,'09월 에너지'!$C$14:$C$949,$B105)))</f>
        <v/>
      </c>
      <c r="BZ105" s="831" t="str">
        <f>IF($C105&lt;1,"",(AVERAGEIFS('09월 에너지'!I$14:I$949,'09월 에너지'!$A$14:$A$949,$A105,'09월 에너지'!$C$14:$C$949,$B105)))</f>
        <v/>
      </c>
      <c r="CA105" s="835" t="str">
        <f>IF($C105&lt;1,"",(AVERAGEIFS('09월 에너지'!J$14:J$949,'09월 에너지'!$A$14:$A$949,$A105,'09월 에너지'!$C$14:$C$949,$B105)))</f>
        <v/>
      </c>
      <c r="CB105" s="831" t="str">
        <f>IF($C105&lt;1,"",(AVERAGEIFS('09월 에너지'!K$14:K$949,'09월 에너지'!$A$14:$A$949,$A105,'09월 에너지'!$C$14:$C$949,$B105)))</f>
        <v/>
      </c>
      <c r="CC105" s="835" t="str">
        <f>IF($C105&lt;1,"",(AVERAGEIFS('09월 에너지'!L$14:L$949,'09월 에너지'!$A$14:$A$949,$A105,'09월 에너지'!$C$14:$C$949,$B105)))</f>
        <v/>
      </c>
      <c r="CD105" s="831" t="str">
        <f>IF($C105&lt;1,"",(AVERAGEIFS('09월 에너지'!M$14:M$949,'09월 에너지'!$A$14:$A$949,$A105,'09월 에너지'!$C$14:$C$949,$B105)))</f>
        <v/>
      </c>
      <c r="CE105" s="835" t="str">
        <f>IF($C105&lt;1,"",(AVERAGEIFS('09월 에너지'!N$14:N$949,'09월 에너지'!$A$14:$A$949,$A105,'09월 에너지'!$C$14:$C$949,$B105)))</f>
        <v/>
      </c>
      <c r="CF105" s="831" t="str">
        <f>IF($C105&lt;1,"",(AVERAGEIFS('09월 에너지'!O$14:O$949,'09월 에너지'!$A$14:$A$949,$A105,'09월 에너지'!$C$14:$C$949,$B105)))</f>
        <v/>
      </c>
      <c r="CG105" s="831" t="str">
        <f>IF($C105&lt;1,"",(AVERAGEIFS('09월 에너지'!P$14:P$949,'09월 에너지'!$A$14:$A$949,$A105,'09월 에너지'!$C$14:$C$949,$B105)))</f>
        <v/>
      </c>
      <c r="CH105" s="831" t="str">
        <f>IF($C105&lt;1,"",(AVERAGEIFS('09월 에너지'!Q$14:Q$949,'09월 에너지'!$A$14:$A$949,$A105,'09월 에너지'!$C$14:$C$949,$B105)))</f>
        <v/>
      </c>
      <c r="CI105" s="831" t="str">
        <f>IF($C105&lt;1,"",(AVERAGEIFS('09월 에너지'!R$14:R$949,'09월 에너지'!$A$14:$A$949,$A105,'09월 에너지'!$C$14:$C$949,$B105)))</f>
        <v/>
      </c>
      <c r="CJ105" s="831" t="str">
        <f>IF($C105&lt;1,"",(AVERAGEIFS('09월 에너지'!S$14:S$949,'09월 에너지'!$A$14:$A$949,$A105,'09월 에너지'!$C$14:$C$949,$B105)))</f>
        <v/>
      </c>
      <c r="CK105" s="831" t="str">
        <f>IF($C105&lt;1,"",(AVERAGEIFS('09월 에너지'!T$14:T$949,'09월 에너지'!$A$14:$A$949,$A105,'09월 에너지'!$C$14:$C$949,$B105)))</f>
        <v/>
      </c>
      <c r="CL105" s="831" t="str">
        <f>IF($C105&lt;1,"",(AVERAGEIFS('09월 에너지'!U$14:U$949,'09월 에너지'!$A$14:$A$949,$A105,'09월 에너지'!$C$14:$C$949,$B105)))</f>
        <v/>
      </c>
      <c r="CM105" s="835" t="str">
        <f>IF($C105&lt;1,"",(AVERAGEIFS('09월 에너지'!V$14:V$949,'09월 에너지'!$A$14:$A$949,$A105,'09월 에너지'!$C$14:$C$949,$B105)))</f>
        <v/>
      </c>
      <c r="CN105" s="835" t="str">
        <f>IF($C105&lt;1,"",(AVERAGEIFS('09월 에너지'!W$14:W$949,'09월 에너지'!$A$14:$A$949,$A105,'09월 에너지'!$C$14:$C$949,$B105)))</f>
        <v/>
      </c>
      <c r="CO105" s="831" t="str">
        <f>IF($C105&lt;1,"",(AVERAGEIFS('09월 에너지'!X$14:X$949,'09월 에너지'!$A$14:$A$949,$A105,'09월 에너지'!$C$14:$C$949,$B105)))</f>
        <v/>
      </c>
      <c r="CP105" s="835" t="str">
        <f>IF($C105&lt;1,"",(AVERAGEIFS('09월 에너지'!Y$14:Y$949,'09월 에너지'!$A$14:$A$949,$A105,'09월 에너지'!$C$14:$C$949,$B105)))</f>
        <v/>
      </c>
      <c r="CQ105" s="835" t="str">
        <f>IF($C105&lt;1,"",(AVERAGEIFS('09월 에너지'!Z$14:Z$949,'09월 에너지'!$A$14:$A$949,$A105,'09월 에너지'!$C$14:$C$949,$B105)))</f>
        <v/>
      </c>
      <c r="CR105" s="835" t="str">
        <f>IF($C105&lt;1,"",(AVERAGEIFS('09월 에너지'!AA$14:AA$949,'09월 에너지'!$A$14:$A$949,$A105,'09월 에너지'!$C$14:$C$949,$B105)))</f>
        <v/>
      </c>
      <c r="CS105" s="835" t="str">
        <f>IF($C105&lt;1,"",(AVERAGEIFS('09월 에너지'!AB$14:AB$949,'09월 에너지'!$A$14:$A$949,$A105,'09월 에너지'!$C$14:$C$949,$B105)))</f>
        <v/>
      </c>
      <c r="CT105" s="831" t="str">
        <f>IF($C105&lt;1,"",(AVERAGEIFS('09월 에너지'!AC$14:AC$949,'09월 에너지'!$A$14:$A$949,$A105,'09월 에너지'!$C$14:$C$949,$B105)))</f>
        <v/>
      </c>
      <c r="CU105" s="836" t="str">
        <f>IF($C105&lt;1,"",(AVERAGEIFS('09월 에너지'!AD$14:AD$949,'09월 에너지'!$A$14:$A$949,$A105,'09월 에너지'!$C$14:$C$949,$B105)))</f>
        <v/>
      </c>
      <c r="CV105" s="837" t="str">
        <f>IF($C105&lt;1,"",(AVERAGEIFS('09월 에너지'!AE$14:AE$949,'09월 에너지'!$A$14:$A$949,$A105,'09월 에너지'!$C$14:$C$949,$B105)))</f>
        <v/>
      </c>
      <c r="CW105" s="831" t="str">
        <f>IF($C105&lt;1,"",(AVERAGEIFS('09월 에너지'!AF$14:AF$949,'09월 에너지'!$A$14:$A$949,$A105,'09월 에너지'!$C$14:$C$949,$B105)))</f>
        <v/>
      </c>
      <c r="CX105" s="831" t="str">
        <f>IF($C105&lt;1,"",(AVERAGEIFS('09월 에너지'!AG$14:AG$949,'09월 에너지'!$A$14:$A$949,$A105,'09월 에너지'!$C$14:$C$949,$B105)))</f>
        <v/>
      </c>
      <c r="CY105" s="831" t="str">
        <f>IF($C105&lt;1,"",(AVERAGEIFS('09월 에너지'!AH$14:AH$949,'09월 에너지'!$A$14:$A$949,$A105,'09월 에너지'!$C$14:$C$949,$B105)))</f>
        <v/>
      </c>
      <c r="CZ105" s="831" t="str">
        <f>IF($C105&lt;1,"",(AVERAGEIFS('09월 에너지'!AI$14:AI$949,'09월 에너지'!$A$14:$A$949,$A105,'09월 에너지'!$C$14:$C$949,$B105)))</f>
        <v/>
      </c>
      <c r="DA105" s="838" t="str">
        <f>IF($C105&lt;1,"",(AVERAGEIFS('09월 에너지'!AJ$14:AJ$949,'09월 에너지'!$A$14:$A$949,$A105,'09월 에너지'!$C$14:$C$949,$B105)))</f>
        <v/>
      </c>
    </row>
    <row r="106" spans="1:105" ht="13.5" customHeight="1">
      <c r="A106" s="847">
        <f>A101+1</f>
        <v>44947</v>
      </c>
      <c r="B106" s="848" t="s">
        <v>31</v>
      </c>
      <c r="C106" s="810">
        <f>COUNTIF('09월 조업일지'!$A$12:$A$952,A106)</f>
        <v>0</v>
      </c>
      <c r="D106" s="787" t="str">
        <f>IF(C106&lt;1,"",F106-E106)</f>
        <v/>
      </c>
      <c r="E106" s="787" t="str">
        <f>IF($C106&lt;1,"",(SUMIF('09월 조업일지'!$A$12:$A$952,$A106,'09월 조업일지'!$K$12:$K$952))/C106)</f>
        <v/>
      </c>
      <c r="F106" s="787" t="str">
        <f>IF($C106&lt;1,"",AVERAGEIF('09월 조업일지'!$A$12:$A$952,$A106,'09월 조업일지'!$J$12:$J$952))</f>
        <v/>
      </c>
      <c r="G106" s="811" t="str">
        <f>IF($C106&lt;1,"",AVERAGEIF('09월 에너지'!$A$14:$A$949,$A106,'09월 에너지'!$M$14:M$949))</f>
        <v/>
      </c>
      <c r="H106" s="812" t="str">
        <f>IF($C106&lt;1,"",AVERAGEIF('09월 조업일지'!$A$12:$A$952,$A106,'09월 조업일지'!$AJ$12:$AJ$952))</f>
        <v/>
      </c>
      <c r="I106" s="812" t="str">
        <f>IF($C106&lt;1,"",AVERAGEIF('09월 조업일지'!$A$12:$A$952,$A106,'09월 조업일지'!$AL$12:$AL$952))</f>
        <v/>
      </c>
      <c r="J106" s="813" t="str">
        <f>IF($C106&lt;1,"",AVERAGEIF('09월 화학성분'!$A$12:$A$949,$A106,'09월 화학성분'!G$12:G$949))</f>
        <v/>
      </c>
      <c r="K106" s="813" t="str">
        <f>IF($C106&lt;1,"",AVERAGEIF('09월 화학성분'!$A$12:$A$949,$A106,'09월 화학성분'!H$12:H$949))</f>
        <v/>
      </c>
      <c r="L106" s="813" t="str">
        <f>IF($C106&lt;1,"",AVERAGEIF('09월 화학성분'!$A$12:$A$949,$A106,'09월 화학성분'!I$12:I$949))</f>
        <v/>
      </c>
      <c r="M106" s="813" t="str">
        <f>IF($C106&lt;1,"",AVERAGEIF('09월 화학성분'!$A$12:$A$949,$A106,'09월 화학성분'!J$12:J$949))</f>
        <v/>
      </c>
      <c r="N106" s="813" t="str">
        <f>IF($C106&lt;1,"",AVERAGEIF('09월 화학성분'!$A$12:$A$949,$A106,'09월 화학성분'!K$12:K$949))</f>
        <v/>
      </c>
      <c r="O106" s="813" t="str">
        <f>IF($C106&lt;1,"",AVERAGEIF('09월 화학성분'!$A$12:$A$949,$A106,'09월 화학성분'!L$12:L$949))</f>
        <v/>
      </c>
      <c r="P106" s="813" t="str">
        <f>IF($C106&lt;1,"",AVERAGEIF('09월 화학성분'!$A$12:$A$949,$A106,'09월 화학성분'!M$12:M$949))</f>
        <v/>
      </c>
      <c r="Q106" s="814" t="str">
        <f>IF($C106&lt;1,"",AVERAGEIF('09월 조업일지'!$A$12:$A$952,$A106,'09월 조업일지'!$AA$12:$AA$952))</f>
        <v/>
      </c>
      <c r="R106" s="814" t="str">
        <f>IF($C106&lt;1,"",AVERAGEIF('09월 조업일지'!$A$12:$A$952,$A106,'09월 조업일지'!$AK$12:$AK$952))</f>
        <v/>
      </c>
      <c r="S106" s="814"/>
      <c r="T106" s="814"/>
      <c r="U106" s="813" t="str">
        <f>IF($C106&lt;1,"",AVERAGEIF('09월 화학성분'!$A$12:$A$949,$A106,'09월 화학성분'!$G$12:$G$949))</f>
        <v/>
      </c>
      <c r="V106" s="814" t="str">
        <f>IF($C106&lt;1,"",AVERAGEIF('09월 조업일지'!$A$12:$A$952,$A106,'09월 조업일지'!$AI$12:$AI$952))</f>
        <v/>
      </c>
      <c r="W106" s="813" t="str">
        <f>IF($C106&lt;1,"",AVERAGEIF('09월 화학성분'!$A$12:$A$949,$A106,'09월 화학성분'!$AM$12:$AM$949))</f>
        <v/>
      </c>
      <c r="X106" s="815" t="str">
        <f>IF($C106&lt;1,"",AVERAGEIF('09월 화학성분'!$A$12:$A$949,$A106,'09월 화학성분'!N$12:N$949))</f>
        <v/>
      </c>
      <c r="Y106" s="815" t="str">
        <f>IF($C106&lt;1,"",AVERAGEIF('09월 화학성분'!$A$12:$A$949,$A106,'09월 화학성분'!O$12:O$949))</f>
        <v/>
      </c>
      <c r="Z106" s="815" t="str">
        <f>IF($C106&lt;1,"",AVERAGEIF('09월 화학성분'!$A$12:$A$949,$A106,'09월 화학성분'!P$12:P$949))</f>
        <v/>
      </c>
      <c r="AA106" s="815" t="str">
        <f>IF($C106&lt;1,"",AVERAGEIF('09월 화학성분'!$A$12:$A$949,$A106,'09월 화학성분'!Q$12:Q$949))</f>
        <v/>
      </c>
      <c r="AB106" s="815" t="str">
        <f>IF($C106&lt;1,"",AVERAGEIF('09월 화학성분'!$A$12:$A$949,$A106,'09월 화학성분'!R$12:R$949))</f>
        <v/>
      </c>
      <c r="AC106" s="815" t="str">
        <f>IF($C106&lt;1,"",AVERAGEIF('09월 화학성분'!$A$12:$A$949,$A106,'09월 화학성분'!U$12:U$949))</f>
        <v/>
      </c>
      <c r="AD106" s="815" t="str">
        <f>IF($C106&lt;1,"",AVERAGEIF('09월 화학성분'!$A$12:$A$949,$A106,'09월 화학성분'!V$12:V$949))</f>
        <v/>
      </c>
      <c r="AE106" s="815" t="str">
        <f>IF($C106&lt;1,"",AVERAGEIF('09월 화학성분'!$A$12:$A$949,$A106,'09월 화학성분'!W$12:W$949))</f>
        <v/>
      </c>
      <c r="AF106" s="815" t="str">
        <f>IF($C106&lt;1,"",AVERAGEIF('09월 화학성분'!$A$12:$A$949,$A106,'09월 화학성분'!AA$12:AA$949))</f>
        <v/>
      </c>
      <c r="AG106" s="815" t="str">
        <f>IF($C106&lt;1,"",AVERAGEIF('09월 화학성분'!$A$12:$A$949,$A106,'09월 화학성분'!#REF!))</f>
        <v/>
      </c>
      <c r="AH106" s="815" t="str">
        <f>IF($C106&lt;1,"",AVERAGEIF('09월 화학성분'!$A$12:$A$949,$A106,'09월 화학성분'!AB$12:AB$949))</f>
        <v/>
      </c>
      <c r="AI106" s="815" t="str">
        <f>IF($C106&lt;1,"",AVERAGEIF('09월 화학성분'!$A$12:$A$949,$A106,'09월 화학성분'!AC$12:AC$949))</f>
        <v/>
      </c>
      <c r="AJ106" s="815" t="str">
        <f>IF($C106&lt;1,"",AVERAGEIF('09월 화학성분'!$A$12:$A$949,$A106,'09월 화학성분'!AD$12:AD$949))</f>
        <v/>
      </c>
      <c r="AK106" s="815" t="str">
        <f>IF($C106&lt;1,"",AVERAGEIF('09월 화학성분'!$A$12:$A$949,$A106,'09월 화학성분'!AF$12:AF$949))</f>
        <v/>
      </c>
      <c r="AL106" s="815" t="str">
        <f>IF($C106&lt;1,"",AVERAGEIF('09월 화학성분'!$A$12:$A$949,$A106,'09월 화학성분'!AG$12:AG$949))</f>
        <v/>
      </c>
      <c r="AM106" s="815" t="str">
        <f>IF($C106&lt;1,"",AVERAGEIF('09월 화학성분'!$A$12:$A$949,$A106,'09월 화학성분'!AH$12:AH$949))</f>
        <v/>
      </c>
      <c r="AN106" s="815" t="str">
        <f>IF($C106&lt;1,"",AVERAGEIF('09월 화학성분'!$A$12:$A$949,$A106,'09월 화학성분'!AI$12:AI$949))</f>
        <v/>
      </c>
      <c r="AO106" s="815" t="str">
        <f>IF($C106&lt;1,"",AVERAGEIF('09월 화학성분'!$A$12:$A$949,$A106,'09월 화학성분'!AJ$12:AJ$949))</f>
        <v/>
      </c>
      <c r="AP106" s="815" t="str">
        <f>IF($C106&lt;1,"",AVERAGEIF('09월 화학성분'!$A$12:$A$949,$A106,'09월 화학성분'!#REF!))</f>
        <v/>
      </c>
      <c r="AQ106" s="815" t="str">
        <f>IF($C106&lt;1,"",AVERAGEIF('09월 화학성분'!$A$12:$A$949,$A106,'09월 화학성분'!AL$12:AL$949))</f>
        <v/>
      </c>
      <c r="AR106" s="815" t="str">
        <f>IF($C106&lt;1,"",AVERAGEIF('09월 화학성분'!$A$12:$A$949,$A106,'09월 화학성분'!AM$12:AM$949))</f>
        <v/>
      </c>
      <c r="AS106" s="816" t="str">
        <f>IF($C106&lt;1,"",AVERAGEIF('09월 화학성분'!$A$12:$A$949,$A106,'09월 화학성분'!AN$12:AN$949))</f>
        <v/>
      </c>
      <c r="AT106" s="816" t="str">
        <f>IF($C106&lt;1,"",AVERAGEIF('09월 화학성분'!$A$12:$A$949,$A106,'09월 화학성분'!AO$12:AO$949))</f>
        <v/>
      </c>
      <c r="AU106" s="815" t="str">
        <f>IF($C106&lt;1,"",AVERAGEIF('09월 화학성분'!$A$12:$A$949,$A106,'09월 화학성분'!AP$12:AP$949))</f>
        <v/>
      </c>
      <c r="AV106" s="815" t="str">
        <f>IF($C106&lt;1,"",AVERAGEIF('09월 고철장입'!$A$14:$A$949,$A106,'09월 고철장입'!G$14:G$949)/1000)</f>
        <v/>
      </c>
      <c r="AW106" s="815" t="str">
        <f>IF($C106&lt;1,"",AVERAGEIF('09월 고철장입'!$A$14:$A$949,$A106,'09월 고철장입'!H$14:H$949)/1000)</f>
        <v/>
      </c>
      <c r="AX106" s="815" t="str">
        <f>IF($C106&lt;1,"",AVERAGEIF('09월 고철장입'!$A$14:$A$949,$A106,'09월 고철장입'!I$14:I$949)/1000)</f>
        <v/>
      </c>
      <c r="AY106" s="815" t="str">
        <f>IF($C106&lt;1,"",AVERAGEIF('09월 고철장입'!$A$14:$A$949,$A106,'09월 고철장입'!J$14:J$949)/1000)</f>
        <v/>
      </c>
      <c r="AZ106" s="815" t="str">
        <f>IF($C106&lt;1,"",AVERAGEIF('09월 고철장입'!$A$14:$A$949,$A106,'09월 고철장입'!K$14:K$949)/1000)</f>
        <v/>
      </c>
      <c r="BA106" s="815" t="str">
        <f>IF($C106&lt;1,"",AVERAGEIF('09월 고철장입'!$A$14:$A$949,$A106,'09월 고철장입'!L$14:L$949)/1000)</f>
        <v/>
      </c>
      <c r="BB106" s="815" t="str">
        <f>IF($C106&lt;1,"",AVERAGEIF('09월 고철장입'!$A$14:$A$949,$A106,'09월 고철장입'!M$14:M$949)/1000)</f>
        <v/>
      </c>
      <c r="BC106" s="815" t="str">
        <f>IF($C106&lt;1,"",AVERAGEIF('09월 고철장입'!$A$14:$A$949,$A106,'09월 고철장입'!N$14:N$949)/1000)</f>
        <v/>
      </c>
      <c r="BD106" s="815" t="str">
        <f>IF($C106&lt;1,"",AVERAGEIF('09월 고철장입'!$A$14:$A$949,$A106,'09월 고철장입'!O$14:O$949)/1000)</f>
        <v/>
      </c>
      <c r="BE106" s="815" t="str">
        <f>IF($C106&lt;1,"",AVERAGEIF('09월 고철장입'!$A$14:$A$949,$A106,'09월 고철장입'!P$14:P$949)/1000)</f>
        <v/>
      </c>
      <c r="BF106" s="815" t="str">
        <f>IF($C106&lt;1,"",AVERAGEIF('09월 고철장입'!$A$14:$A$949,$A106,'09월 고철장입'!Q$14:Q$949)/1000)</f>
        <v/>
      </c>
      <c r="BG106" s="815" t="str">
        <f>IF($C106&lt;1,"",AVERAGEIF('09월 고철장입'!$A$14:$A$949,$A106,'09월 고철장입'!S$14:S$949)/1000)</f>
        <v/>
      </c>
      <c r="BH106" s="815" t="str">
        <f>IF($C106&lt;1,"",AVERAGEIF('09월 고철장입'!$A$14:$A$949,$A106,'09월 고철장입'!T$14:T$949)/1000)</f>
        <v/>
      </c>
      <c r="BI106" s="815" t="str">
        <f>IF($C106&lt;1,"",AVERAGEIF('09월 고철장입'!$A$14:$A$949,$A106,'09월 고철장입'!U$14:U$949)/1000)</f>
        <v/>
      </c>
      <c r="BJ106" s="815" t="str">
        <f>IF($C106&lt;1,"",AVERAGEIF('09월 고철장입'!$A$14:$A$949,$A106,'09월 고철장입'!V$14:V$949)/1000)</f>
        <v/>
      </c>
      <c r="BK106" s="815" t="str">
        <f>IF($C106&lt;1,"",AVERAGEIF('09월 고철장입'!$A$14:$A$949,$A106,'09월 고철장입'!W$14:W$949)/1000)</f>
        <v/>
      </c>
      <c r="BL106" s="815" t="str">
        <f>IF($C106&lt;1,"",AVERAGEIF('09월 고철장입'!$A$14:$A$949,$A106,'09월 고철장입'!Y$14:Y$949)/1000)</f>
        <v/>
      </c>
      <c r="BM106" s="815" t="str">
        <f>IF($C106&lt;1,"",AVERAGEIF('09월 고철장입'!$A$14:$A$949,$A106,'09월 고철장입'!AB$14:AB$949)/1000)</f>
        <v/>
      </c>
      <c r="BN106" s="815" t="str">
        <f>IF($C106&lt;1,"",AVERAGEIF('09월 고철장입'!$A$14:$A$949,$A106,'09월 고철장입'!AC$14:AC$949)/1000)</f>
        <v/>
      </c>
      <c r="BO106" s="815" t="str">
        <f>IF($C106&lt;1,"",AVERAGEIF('09월 고철장입'!$A$14:$A$949,$A106,'09월 고철장입'!AD$14:AD$949)/1000)</f>
        <v/>
      </c>
      <c r="BP106" s="815" t="str">
        <f>IF($C106&lt;1,"",AVERAGEIF('09월 고철장입'!$A$14:$A$949,$A106,'09월 고철장입'!AE$14:AE$949)/1000)</f>
        <v/>
      </c>
      <c r="BQ106" s="815" t="str">
        <f>IF($C106&lt;1,"",AVERAGEIF('09월 고철장입'!$A$14:$A$949,$A106,'09월 고철장입'!AF$14:AF$949)/1000)</f>
        <v/>
      </c>
      <c r="BR106" s="815" t="str">
        <f>IF($C106&lt;1,"",AVERAGEIF('09월 고철장입'!$A$14:$A$949,$A106,'09월 고철장입'!AG$14:AG$949)/1000)</f>
        <v/>
      </c>
      <c r="BS106" s="815" t="str">
        <f>IF($C106&lt;1,"",AVERAGEIF('09월 고철장입'!$A$14:$A$949,$A106,'09월 고철장입'!AH$14:AH$949)/1000)</f>
        <v/>
      </c>
      <c r="BT106" s="815" t="str">
        <f>IF($C106&lt;1,"",AVERAGEIF('09월 고철장입'!$A$14:$A$949,$A106,'09월 고철장입'!AI$14:AI$949)/1000)</f>
        <v/>
      </c>
      <c r="BU106" s="815" t="str">
        <f>IF($C106&lt;1,"",AVERAGEIF('09월 고철장입'!$A$14:$A$949,$A106,'09월 고철장입'!AJ$14:AJ$949)/1000)</f>
        <v/>
      </c>
      <c r="BV106" s="815" t="str">
        <f>IF($C106&lt;1,"",AVERAGEIF('09월 고철장입'!$A$14:$A$949,$A106,'09월 고철장입'!AK$14:AK$949))</f>
        <v/>
      </c>
      <c r="BW106" s="815" t="str">
        <f>IF($C106&lt;1,"",AVERAGEIF('09월 고철장입'!$A$14:$A$949,$A106,'09월 고철장입'!AL$14:AL$949)*100)</f>
        <v/>
      </c>
      <c r="BX106" s="815" t="str">
        <f>IF($C106&lt;1,"",AVERAGEIF('09월 에너지'!$A$14:$A$949,$A106,'09월 에너지'!G$14:G$949))</f>
        <v/>
      </c>
      <c r="BY106" s="817" t="str">
        <f>IF($C106&lt;1,"",AVERAGEIF('09월 에너지'!$A$14:$A$949,$A106,'09월 에너지'!H$14:H$949))</f>
        <v/>
      </c>
      <c r="BZ106" s="815" t="str">
        <f>IF($C106&lt;1,"",AVERAGEIF('09월 에너지'!$A$14:$A$949,$A106,'09월 에너지'!I$14:I$949))</f>
        <v/>
      </c>
      <c r="CA106" s="817" t="str">
        <f>IF($C106&lt;1,"",AVERAGEIF('09월 에너지'!$A$14:$A$949,$A106,'09월 에너지'!J$14:J$949))</f>
        <v/>
      </c>
      <c r="CB106" s="815" t="str">
        <f>IF($C106&lt;1,"",AVERAGEIF('09월 에너지'!$A$14:$A$949,$A106,'09월 에너지'!K$14:K$949))</f>
        <v/>
      </c>
      <c r="CC106" s="817" t="str">
        <f>IF($C106&lt;1,"",AVERAGEIF('09월 에너지'!$A$14:$A$949,$A106,'09월 에너지'!L$14:L$949))</f>
        <v/>
      </c>
      <c r="CD106" s="815" t="str">
        <f>IF($C106&lt;1,"",AVERAGEIF('09월 에너지'!$A$14:$A$949,$A106,'09월 에너지'!M$14:M$949))</f>
        <v/>
      </c>
      <c r="CE106" s="817" t="str">
        <f>IF($C106&lt;1,"",AVERAGEIF('09월 에너지'!$A$14:$A$949,$A106,'09월 에너지'!N$14:N$949))</f>
        <v/>
      </c>
      <c r="CF106" s="815" t="str">
        <f>IF($C106&lt;1,"",AVERAGEIF('09월 에너지'!$A$14:$A$949,$A106,'09월 에너지'!O$14:O$949))</f>
        <v/>
      </c>
      <c r="CG106" s="815" t="str">
        <f>IF($C106&lt;1,"",AVERAGEIF('09월 에너지'!$A$14:$A$949,$A106,'09월 에너지'!P$14:P$949))</f>
        <v/>
      </c>
      <c r="CH106" s="815" t="str">
        <f>IF($C106&lt;1,"",AVERAGEIF('09월 에너지'!$A$14:$A$949,$A106,'09월 에너지'!Q$14:Q$949))</f>
        <v/>
      </c>
      <c r="CI106" s="815" t="str">
        <f>IF($C106&lt;1,"",AVERAGEIF('09월 에너지'!$A$14:$A$949,$A106,'09월 에너지'!R$14:R$949))</f>
        <v/>
      </c>
      <c r="CJ106" s="815" t="str">
        <f>IF($C106&lt;1,"",AVERAGEIF('09월 에너지'!$A$14:$A$949,$A106,'09월 에너지'!S$14:S$949))</f>
        <v/>
      </c>
      <c r="CK106" s="815" t="str">
        <f>IF($C106&lt;1,"",AVERAGEIF('09월 에너지'!$A$14:$A$949,$A106,'09월 에너지'!T$14:T$949))</f>
        <v/>
      </c>
      <c r="CL106" s="815" t="str">
        <f>IF($C106&lt;1,"",AVERAGEIF('09월 에너지'!$A$14:$A$949,$A106,'09월 에너지'!U$14:U$949))</f>
        <v/>
      </c>
      <c r="CM106" s="817" t="str">
        <f>IF($C106&lt;1,"",AVERAGEIF('09월 에너지'!$A$14:$A$949,$A106,'09월 에너지'!V$14:V$949))</f>
        <v/>
      </c>
      <c r="CN106" s="817" t="str">
        <f>IF($C106&lt;1,"",AVERAGEIF('09월 에너지'!$A$14:$A$949,$A106,'09월 에너지'!W$14:W$949))</f>
        <v/>
      </c>
      <c r="CO106" s="815" t="str">
        <f>IF($C106&lt;1,"",AVERAGEIF('09월 에너지'!$A$14:$A$949,$A106,'09월 에너지'!X$14:X$949))</f>
        <v/>
      </c>
      <c r="CP106" s="817" t="str">
        <f>IF($C106&lt;1,"",AVERAGEIF('09월 에너지'!$A$14:$A$949,$A106,'09월 에너지'!Y$14:Y$949))</f>
        <v/>
      </c>
      <c r="CQ106" s="817" t="str">
        <f>IF($C106&lt;1,"",AVERAGEIF('09월 에너지'!$A$14:$A$949,$A106,'09월 에너지'!Z$14:Z$949))</f>
        <v/>
      </c>
      <c r="CR106" s="817" t="str">
        <f>IF($C106&lt;1,"",AVERAGEIF('09월 에너지'!$A$14:$A$949,$A106,'09월 에너지'!AA$14:AA$949))</f>
        <v/>
      </c>
      <c r="CS106" s="817" t="str">
        <f>IF($C106&lt;1,"",AVERAGEIF('09월 에너지'!$A$14:$A$949,$A106,'09월 에너지'!AB$14:AB$949))</f>
        <v/>
      </c>
      <c r="CT106" s="815" t="str">
        <f>IF($C106&lt;1,"",AVERAGEIF('09월 에너지'!$A$14:$A$949,$A106,'09월 에너지'!AC$14:AC$949))</f>
        <v/>
      </c>
      <c r="CU106" s="818" t="str">
        <f>IF($C106&lt;1,"",AVERAGEIF('09월 에너지'!$A$14:$A$949,$A106,'09월 에너지'!AD$14:AD$949))</f>
        <v/>
      </c>
      <c r="CV106" s="819" t="str">
        <f>IF($C106&lt;1,"",AVERAGEIF('09월 에너지'!$A$14:$A$949,$A106,'09월 에너지'!AE$14:AE$949))</f>
        <v/>
      </c>
      <c r="CW106" s="815" t="str">
        <f>IF($C106&lt;1,"",AVERAGEIF('09월 에너지'!$A$14:$A$949,$A106,'09월 에너지'!AF$14:AF$949))</f>
        <v/>
      </c>
      <c r="CX106" s="815" t="str">
        <f>IF($C106&lt;1,"",AVERAGEIF('09월 에너지'!$A$14:$A$949,$A106,'09월 에너지'!AG$14:AG$949))</f>
        <v/>
      </c>
      <c r="CY106" s="815" t="str">
        <f>IF($C106&lt;1,"",AVERAGEIF('09월 에너지'!$A$14:$A$949,$A106,'09월 에너지'!AH$14:AH$949))</f>
        <v/>
      </c>
      <c r="CZ106" s="815" t="str">
        <f>IF($C106&lt;1,"",AVERAGEIF('09월 에너지'!$A$14:$A$949,$A106,'09월 에너지'!AI$14:AI$949))</f>
        <v/>
      </c>
      <c r="DA106" s="820" t="str">
        <f>IF($C106&lt;1,"",AVERAGEIF('09월 에너지'!$A$14:$A$949,$A106,'09월 에너지'!AJ$14:AJ$949))</f>
        <v/>
      </c>
    </row>
    <row r="107" spans="1:105" ht="13.5" customHeight="1">
      <c r="A107" s="849">
        <f t="shared" si="20"/>
        <v>44947</v>
      </c>
      <c r="B107" s="850" t="s">
        <v>9</v>
      </c>
      <c r="C107" s="823">
        <f>COUNTIFS('09월 조업일지'!$A$12:$A$952,A106,'09월 조업일지'!$E$12:$E$952,B107)</f>
        <v>0</v>
      </c>
      <c r="D107" s="824" t="str">
        <f>IF(C107&lt;1,"",F107-E107)</f>
        <v/>
      </c>
      <c r="E107" s="824" t="str">
        <f>IF($C107&lt;1,"",(SUMIFS('09월 조업일지'!$K$12:$K$952,'09월 조업일지'!$A$12:$A$952,$A107,'09월 조업일지'!$E$12:$E$952,$B107)/$C107))</f>
        <v/>
      </c>
      <c r="F107" s="824" t="str">
        <f>IF($C107&lt;1,"",(AVERAGEIFS('09월 조업일지'!$J$12:$J$952,'09월 조업일지'!$A$12:$A$952,$A107,'09월 조업일지'!$E$12:$E$952,$B107)))</f>
        <v/>
      </c>
      <c r="G107" s="825" t="str">
        <f>IF($C107&lt;1,"",(AVERAGEIFS('09월 에너지'!$M$14:$M$949,'09월 에너지'!$A$14:$A$949,$A107,'09월 에너지'!$C$14:$C$949,$B107)))</f>
        <v/>
      </c>
      <c r="H107" s="826" t="str">
        <f>IF($C107&lt;1,"",(AVERAGEIFS('09월 조업일지'!$AJ$12:$AJ$952,'09월 조업일지'!$A$12:$A$952,$A107,'09월 조업일지'!$E$12:$E$952,$B107)))</f>
        <v/>
      </c>
      <c r="I107" s="826" t="str">
        <f>IF($C107&lt;1,"",(AVERAGEIFS('09월 조업일지'!$AL$12:$AL$952,'09월 조업일지'!$A$12:$A$952,$A107,'09월 조업일지'!$E$12:$E$952,$B107)))</f>
        <v/>
      </c>
      <c r="J107" s="827" t="str">
        <f>IF($C107&lt;1,"",(AVERAGEIFS('09월 화학성분'!G$12:G$949,'09월 화학성분'!$A$12:$A$949,$A107,'09월 화학성분'!$D$12:$D$949,$B107)))</f>
        <v/>
      </c>
      <c r="K107" s="827" t="str">
        <f>IF($C107&lt;1,"",(AVERAGEIFS('09월 화학성분'!H$12:H$949,'09월 화학성분'!$A$12:$A$949,$A107,'09월 화학성분'!$D$12:$D$949,$B107)))</f>
        <v/>
      </c>
      <c r="L107" s="827" t="str">
        <f>IF($C107&lt;1,"",(AVERAGEIFS('09월 화학성분'!I$12:I$949,'09월 화학성분'!$A$12:$A$949,$A107,'09월 화학성분'!$D$12:$D$949,$B107)))</f>
        <v/>
      </c>
      <c r="M107" s="827" t="str">
        <f>IF($C107&lt;1,"",(AVERAGEIFS('09월 화학성분'!J$12:J$949,'09월 화학성분'!$A$12:$A$949,$A107,'09월 화학성분'!$D$12:$D$949,$B107)))</f>
        <v/>
      </c>
      <c r="N107" s="827" t="str">
        <f>IF($C107&lt;1,"",(AVERAGEIFS('09월 화학성분'!K$12:K$949,'09월 화학성분'!$A$12:$A$949,$A107,'09월 화학성분'!$D$12:$D$949,$B107)))</f>
        <v/>
      </c>
      <c r="O107" s="827" t="str">
        <f>IF($C107&lt;1,"",(AVERAGEIFS('09월 화학성분'!L$12:L$949,'09월 화학성분'!$A$12:$A$949,$A107,'09월 화학성분'!$D$12:$D$949,$B107)))</f>
        <v/>
      </c>
      <c r="P107" s="827" t="str">
        <f>IF($C107&lt;1,"",(AVERAGEIFS('09월 화학성분'!M$12:M$949,'09월 화학성분'!$A$12:$A$949,$A107,'09월 화학성분'!$D$12:$D$949,$B107)))</f>
        <v/>
      </c>
      <c r="Q107" s="827" t="str">
        <f>IFERROR(IF($C107&lt;1,"",(AVERAGEIFS('09월 조업일지'!$AA$12:$AA$952,'09월 조업일지'!$A$12:$A$952,$A107,'09월 조업일지'!$E$12:$E$952,$B107))),"")</f>
        <v/>
      </c>
      <c r="R107" s="827" t="str">
        <f>IF($C107&lt;1,"",(AVERAGEIFS('09월 조업일지'!$AK$12:$AK$952,'09월 조업일지'!$A$12:$A$952,$A107,'09월 조업일지'!$E$12:$E$952,$B107)))</f>
        <v/>
      </c>
      <c r="S107" s="827"/>
      <c r="T107" s="827"/>
      <c r="U107" s="827" t="str">
        <f>IF($C107&lt;1,"",(AVERAGEIFS('09월 화학성분'!$G$12:$G$949,'09월 화학성분'!$A$12:$A$949,$A107,'09월 화학성분'!$D$12:$D$949,$B107)))</f>
        <v/>
      </c>
      <c r="V107" s="827" t="str">
        <f>IF($C107&lt;1,"",(AVERAGEIFS('09월 조업일지'!$AI$12:$AI$952,'09월 조업일지'!$A$12:$A$952,$A107,'09월 조업일지'!$E$12:$E$952,$B107)))</f>
        <v/>
      </c>
      <c r="W107" s="828" t="str">
        <f>IF($C107&lt;1,"",(AVERAGEIFS('09월 화학성분'!$AM$12:$AM$949,'09월 화학성분'!$A$12:$A$949,$A107,'09월 화학성분'!$D$12:$D$949,$B107)))</f>
        <v/>
      </c>
      <c r="X107" s="829" t="str">
        <f>IF($C107&lt;1,"",(AVERAGEIFS('09월 화학성분'!N$12:N$949,'09월 화학성분'!$A$12:$A$949,$A107,'09월 화학성분'!$D$12:$D$949,$B107)))</f>
        <v/>
      </c>
      <c r="Y107" s="829" t="str">
        <f>IF($C107&lt;1,"",(AVERAGEIFS('09월 화학성분'!O$12:O$949,'09월 화학성분'!$A$12:$A$949,$A107,'09월 화학성분'!$D$12:$D$949,$B107)))</f>
        <v/>
      </c>
      <c r="Z107" s="829" t="str">
        <f>IF($C107&lt;1,"",(AVERAGEIFS('09월 화학성분'!P$12:P$949,'09월 화학성분'!$A$12:$A$949,$A107,'09월 화학성분'!$D$12:$D$949,$B107)))</f>
        <v/>
      </c>
      <c r="AA107" s="829" t="str">
        <f>IF($C107&lt;1,"",(AVERAGEIFS('09월 화학성분'!Q$12:Q$949,'09월 화학성분'!$A$12:$A$949,$A107,'09월 화학성분'!$D$12:$D$949,$B107)))</f>
        <v/>
      </c>
      <c r="AB107" s="829" t="str">
        <f>IF($C107&lt;1,"",(AVERAGEIFS('09월 화학성분'!R$12:R$949,'09월 화학성분'!$A$12:$A$949,$A107,'09월 화학성분'!$D$12:$D$949,$B107)))</f>
        <v/>
      </c>
      <c r="AC107" s="829" t="str">
        <f>IF($C107&lt;1,"",(AVERAGEIFS('09월 화학성분'!U$12:U$949,'09월 화학성분'!$A$12:$A$949,$A107,'09월 화학성분'!$D$12:$D$949,$B107)))</f>
        <v/>
      </c>
      <c r="AD107" s="829" t="str">
        <f>IF($C107&lt;1,"",(AVERAGEIFS('09월 화학성분'!V$12:V$949,'09월 화학성분'!$A$12:$A$949,$A107,'09월 화학성분'!$D$12:$D$949,$B107)))</f>
        <v/>
      </c>
      <c r="AE107" s="829" t="str">
        <f>IF($C107&lt;1,"",(AVERAGEIFS('09월 화학성분'!W$12:W$949,'09월 화학성분'!$A$12:$A$949,$A107,'09월 화학성분'!$D$12:$D$949,$B107)))</f>
        <v/>
      </c>
      <c r="AF107" s="829" t="str">
        <f>IF($C107&lt;1,"",(AVERAGEIFS('09월 화학성분'!AA$12:AA$949,'09월 화학성분'!$A$12:$A$949,$A107,'09월 화학성분'!$D$12:$D$949,$B107)))</f>
        <v/>
      </c>
      <c r="AG107" s="829" t="str">
        <f>IF($C107&lt;1,"",(AVERAGEIFS('09월 화학성분'!#REF!,'09월 화학성분'!$A$12:$A$949,$A107,'09월 화학성분'!$D$12:$D$949,$B107)))</f>
        <v/>
      </c>
      <c r="AH107" s="829" t="str">
        <f>IF($C107&lt;1,"",(AVERAGEIFS('09월 화학성분'!AB$12:AB$949,'09월 화학성분'!$A$12:$A$949,$A107,'09월 화학성분'!$D$12:$D$949,$B107)))</f>
        <v/>
      </c>
      <c r="AI107" s="829" t="str">
        <f>IF($C107&lt;1,"",(AVERAGEIFS('09월 화학성분'!AC$12:AC$949,'09월 화학성분'!$A$12:$A$949,$A107,'09월 화학성분'!$D$12:$D$949,$B107)))</f>
        <v/>
      </c>
      <c r="AJ107" s="829" t="str">
        <f>IF($C107&lt;1,"",(AVERAGEIFS('09월 화학성분'!AD$12:AD$949,'09월 화학성분'!$A$12:$A$949,$A107,'09월 화학성분'!$D$12:$D$949,$B107)))</f>
        <v/>
      </c>
      <c r="AK107" s="829" t="str">
        <f>IF($C107&lt;1,"",(AVERAGEIFS('09월 화학성분'!AF$12:AF$949,'09월 화학성분'!$A$12:$A$949,$A107,'09월 화학성분'!$D$12:$D$949,$B107)))</f>
        <v/>
      </c>
      <c r="AL107" s="829" t="str">
        <f>IF($C107&lt;1,"",(AVERAGEIFS('09월 화학성분'!AG$12:AG$949,'09월 화학성분'!$A$12:$A$949,$A107,'09월 화학성분'!$D$12:$D$949,$B107)))</f>
        <v/>
      </c>
      <c r="AM107" s="829" t="str">
        <f>IF($C107&lt;1,"",(AVERAGEIFS('09월 화학성분'!AH$12:AH$949,'09월 화학성분'!$A$12:$A$949,$A107,'09월 화학성분'!$D$12:$D$949,$B107)))</f>
        <v/>
      </c>
      <c r="AN107" s="829" t="str">
        <f>IF($C107&lt;1,"",(AVERAGEIFS('09월 화학성분'!AI$12:AI$949,'09월 화학성분'!$A$12:$A$949,$A107,'09월 화학성분'!$D$12:$D$949,$B107)))</f>
        <v/>
      </c>
      <c r="AO107" s="829" t="str">
        <f>IF($C107&lt;1,"",(AVERAGEIFS('09월 화학성분'!AJ$12:AJ$949,'09월 화학성분'!$A$12:$A$949,$A107,'09월 화학성분'!$D$12:$D$949,$B107)))</f>
        <v/>
      </c>
      <c r="AP107" s="829" t="str">
        <f>IF($C107&lt;1,"",(AVERAGEIFS('09월 화학성분'!#REF!,'09월 화학성분'!$A$12:$A$949,$A107,'09월 화학성분'!$D$12:$D$949,$B107)))</f>
        <v/>
      </c>
      <c r="AQ107" s="829" t="str">
        <f>IF($C107&lt;1,"",(AVERAGEIFS('09월 화학성분'!AL$12:AL$949,'09월 화학성분'!$A$12:$A$949,$A107,'09월 화학성분'!$D$12:$D$949,$B107)))</f>
        <v/>
      </c>
      <c r="AR107" s="829" t="str">
        <f>IF($C107&lt;1,"",(AVERAGEIFS('09월 화학성분'!AM$12:AM$949,'09월 화학성분'!$A$12:$A$949,$A107,'09월 화학성분'!$D$12:$D$949,$B107)))</f>
        <v/>
      </c>
      <c r="AS107" s="830" t="str">
        <f>IF($C107&lt;1,"",(AVERAGEIFS('09월 화학성분'!AN$12:AN$949,'09월 화학성분'!$A$12:$A$949,$A107,'09월 화학성분'!$D$12:$D$949,$B107)))</f>
        <v/>
      </c>
      <c r="AT107" s="830" t="str">
        <f>IF($C107&lt;1,"",(AVERAGEIFS('09월 화학성분'!AO$12:AO$949,'09월 화학성분'!$A$12:$A$949,$A107,'09월 화학성분'!$D$12:$D$949,$B107)))</f>
        <v/>
      </c>
      <c r="AU107" s="831" t="str">
        <f>IF($C107&lt;1,"",(AVERAGEIFS('09월 화학성분'!AP$12:AP$949,'09월 화학성분'!$A$12:$A$949,$A107,'09월 화학성분'!$D$12:$D$949,$B107)))</f>
        <v/>
      </c>
      <c r="AV107" s="832" t="str">
        <f>IF($C107&lt;1,"",(AVERAGEIFS('09월 고철장입'!G$14:G$949,'09월 고철장입'!$A$14:$A$949,$A107,'09월 고철장입'!$C$14:$C$949,$B107))/1000)</f>
        <v/>
      </c>
      <c r="AW107" s="832" t="str">
        <f>IF($C107&lt;1,"",(AVERAGEIFS('09월 고철장입'!H$14:H$949,'09월 고철장입'!$A$14:$A$949,$A107,'09월 고철장입'!$C$14:$C$949,$B107))/1000)</f>
        <v/>
      </c>
      <c r="AX107" s="832" t="str">
        <f>IF($C107&lt;1,"",(AVERAGEIFS('09월 고철장입'!I$14:I$949,'09월 고철장입'!$A$14:$A$949,$A107,'09월 고철장입'!$C$14:$C$949,$B107))/1000)</f>
        <v/>
      </c>
      <c r="AY107" s="832" t="str">
        <f>IF($C107&lt;1,"",(AVERAGEIFS('09월 고철장입'!J$14:J$949,'09월 고철장입'!$A$14:$A$949,$A107,'09월 고철장입'!$C$14:$C$949,$B107))/1000)</f>
        <v/>
      </c>
      <c r="AZ107" s="832" t="str">
        <f>IF($C107&lt;1,"",(AVERAGEIFS('09월 고철장입'!K$14:K$949,'09월 고철장입'!$A$14:$A$949,$A107,'09월 고철장입'!$C$14:$C$949,$B107))/1000)</f>
        <v/>
      </c>
      <c r="BA107" s="832" t="str">
        <f>IF($C107&lt;1,"",(AVERAGEIFS('09월 고철장입'!L$14:L$949,'09월 고철장입'!$A$14:$A$949,$A107,'09월 고철장입'!$C$14:$C$949,$B107))/1000)</f>
        <v/>
      </c>
      <c r="BB107" s="832" t="str">
        <f>IF($C107&lt;1,"",(AVERAGEIFS('09월 고철장입'!M$14:M$949,'09월 고철장입'!$A$14:$A$949,$A107,'09월 고철장입'!$C$14:$C$949,$B107))/1000)</f>
        <v/>
      </c>
      <c r="BC107" s="832" t="str">
        <f>IF($C107&lt;1,"",(AVERAGEIFS('09월 고철장입'!N$14:N$949,'09월 고철장입'!$A$14:$A$949,$A107,'09월 고철장입'!$C$14:$C$949,$B107))/1000)</f>
        <v/>
      </c>
      <c r="BD107" s="832" t="str">
        <f>IF($C107&lt;1,"",(AVERAGEIFS('09월 고철장입'!O$14:O$949,'09월 고철장입'!$A$14:$A$949,$A107,'09월 고철장입'!$C$14:$C$949,$B107))/1000)</f>
        <v/>
      </c>
      <c r="BE107" s="833" t="str">
        <f>IF($C107&lt;1,"",(AVERAGEIFS('09월 고철장입'!P$14:P$949,'09월 고철장입'!$A$14:$A$949,$A107,'09월 고철장입'!$C$14:$C$949,$B107))/1000)</f>
        <v/>
      </c>
      <c r="BF107" s="833" t="str">
        <f>IF($C107&lt;1,"",(AVERAGEIFS('09월 고철장입'!Q$14:Q$949,'09월 고철장입'!$A$14:$A$949,$A107,'09월 고철장입'!$C$14:$C$949,$B107))/1000)</f>
        <v/>
      </c>
      <c r="BG107" s="833" t="str">
        <f>IF($C107&lt;1,"",(AVERAGEIFS('09월 고철장입'!S$14:S$949,'09월 고철장입'!$A$14:$A$949,$A107,'09월 고철장입'!$C$14:$C$949,$B107))/1000)</f>
        <v/>
      </c>
      <c r="BH107" s="833" t="str">
        <f>IF($C107&lt;1,"",(AVERAGEIFS('09월 고철장입'!T$14:T$949,'09월 고철장입'!$A$14:$A$949,$A107,'09월 고철장입'!$C$14:$C$949,$B107))/1000)</f>
        <v/>
      </c>
      <c r="BI107" s="833" t="str">
        <f>IF($C107&lt;1,"",(AVERAGEIFS('09월 고철장입'!U$14:U$949,'09월 고철장입'!$A$14:$A$949,$A107,'09월 고철장입'!$C$14:$C$949,$B107))/1000)</f>
        <v/>
      </c>
      <c r="BJ107" s="833" t="str">
        <f>IF($C107&lt;1,"",(AVERAGEIFS('09월 고철장입'!V$14:V$949,'09월 고철장입'!$A$14:$A$949,$A107,'09월 고철장입'!$C$14:$C$949,$B107))/1000)</f>
        <v/>
      </c>
      <c r="BK107" s="833" t="str">
        <f>IF($C107&lt;1,"",(AVERAGEIFS('09월 고철장입'!W$14:W$949,'09월 고철장입'!$A$14:$A$949,$A107,'09월 고철장입'!$C$14:$C$949,$B107))/1000)</f>
        <v/>
      </c>
      <c r="BL107" s="833" t="str">
        <f>IF($C107&lt;1,"",(AVERAGEIFS('09월 고철장입'!Y$14:Y$949,'09월 고철장입'!$A$14:$A$949,$A107,'09월 고철장입'!$C$14:$C$949,$B107))/1000)</f>
        <v/>
      </c>
      <c r="BM107" s="833" t="str">
        <f>IF($C107&lt;1,"",(AVERAGEIFS('09월 고철장입'!AB$14:AB$949,'09월 고철장입'!$A$14:$A$949,$A107,'09월 고철장입'!$C$14:$C$949,$B107))/1000)</f>
        <v/>
      </c>
      <c r="BN107" s="833" t="str">
        <f>IF($C107&lt;1,"",(AVERAGEIFS('09월 고철장입'!AC$14:AC$949,'09월 고철장입'!$A$14:$A$949,$A107,'09월 고철장입'!$C$14:$C$949,$B107))/1000)</f>
        <v/>
      </c>
      <c r="BO107" s="833" t="str">
        <f>IF($C107&lt;1,"",(AVERAGEIFS('09월 고철장입'!AD$14:AD$949,'09월 고철장입'!$A$14:$A$949,$A107,'09월 고철장입'!$C$14:$C$949,$B107))/1000)</f>
        <v/>
      </c>
      <c r="BP107" s="833" t="str">
        <f>IF($C107&lt;1,"",(AVERAGEIFS('09월 고철장입'!AE$14:AE$949,'09월 고철장입'!$A$14:$A$949,$A107,'09월 고철장입'!$C$14:$C$949,$B107))/1000)</f>
        <v/>
      </c>
      <c r="BQ107" s="832" t="str">
        <f>IF($C107&lt;1,"",(AVERAGEIFS('09월 고철장입'!AF$14:AF$949,'09월 고철장입'!$A$14:$A$949,$A107,'09월 고철장입'!$C$14:$C$949,$B107))/1000)</f>
        <v/>
      </c>
      <c r="BR107" s="832" t="str">
        <f>IF($C107&lt;1,"",(AVERAGEIFS('09월 고철장입'!AG$14:AG$949,'09월 고철장입'!$A$14:$A$949,$A107,'09월 고철장입'!$C$14:$C$949,$B107))/1000)</f>
        <v/>
      </c>
      <c r="BS107" s="832" t="str">
        <f>IF($C107&lt;1,"",(AVERAGEIFS('09월 고철장입'!AH$14:AH$949,'09월 고철장입'!$A$14:$A$949,$A107,'09월 고철장입'!$C$14:$C$949,$B107))/1000)</f>
        <v/>
      </c>
      <c r="BT107" s="832" t="str">
        <f>IF($C107&lt;1,"",(AVERAGEIFS('09월 고철장입'!AI$14:AI$949,'09월 고철장입'!$A$14:$A$949,$A107,'09월 고철장입'!$C$14:$C$949,$B107))/1000)</f>
        <v/>
      </c>
      <c r="BU107" s="834" t="str">
        <f>IF($C107&lt;1,"",(AVERAGEIFS('09월 고철장입'!AJ$14:AJ$949,'09월 고철장입'!$A$14:$A$949,$A107,'09월 고철장입'!$C$14:$C$949,$B107))/1000)</f>
        <v/>
      </c>
      <c r="BV107" s="834" t="str">
        <f>IF($C107&lt;1,"",(AVERAGEIFS('09월 고철장입'!AK$14:AK$949,'09월 고철장입'!$A$14:$A$949,$A107,'09월 고철장입'!$C$14:$C$949,$B107)))</f>
        <v/>
      </c>
      <c r="BW107" s="834" t="str">
        <f>IF($C107&lt;1,"",(AVERAGEIFS('09월 고철장입'!AL$14:AL$949,'09월 고철장입'!$A$14:$A$949,$A107,'09월 고철장입'!$C$14:$C$949,$B107))*100)</f>
        <v/>
      </c>
      <c r="BX107" s="831" t="str">
        <f>IF($C107&lt;1,"",(AVERAGEIFS('09월 에너지'!G$14:G$949,'09월 에너지'!$A$14:$A$949,$A107,'09월 에너지'!$C$14:$C$949,$B107)))</f>
        <v/>
      </c>
      <c r="BY107" s="835" t="str">
        <f>IF($C107&lt;1,"",(AVERAGEIFS('09월 에너지'!H$14:H$949,'09월 에너지'!$A$14:$A$949,$A107,'09월 에너지'!$C$14:$C$949,$B107)))</f>
        <v/>
      </c>
      <c r="BZ107" s="831" t="str">
        <f>IF($C107&lt;1,"",(AVERAGEIFS('09월 에너지'!I$14:I$949,'09월 에너지'!$A$14:$A$949,$A107,'09월 에너지'!$C$14:$C$949,$B107)))</f>
        <v/>
      </c>
      <c r="CA107" s="835" t="str">
        <f>IF($C107&lt;1,"",(AVERAGEIFS('09월 에너지'!J$14:J$949,'09월 에너지'!$A$14:$A$949,$A107,'09월 에너지'!$C$14:$C$949,$B107)))</f>
        <v/>
      </c>
      <c r="CB107" s="831" t="str">
        <f>IF($C107&lt;1,"",(AVERAGEIFS('09월 에너지'!K$14:K$949,'09월 에너지'!$A$14:$A$949,$A107,'09월 에너지'!$C$14:$C$949,$B107)))</f>
        <v/>
      </c>
      <c r="CC107" s="835" t="str">
        <f>IF($C107&lt;1,"",(AVERAGEIFS('09월 에너지'!L$14:L$949,'09월 에너지'!$A$14:$A$949,$A107,'09월 에너지'!$C$14:$C$949,$B107)))</f>
        <v/>
      </c>
      <c r="CD107" s="831" t="str">
        <f>IF($C107&lt;1,"",(AVERAGEIFS('09월 에너지'!M$14:M$949,'09월 에너지'!$A$14:$A$949,$A107,'09월 에너지'!$C$14:$C$949,$B107)))</f>
        <v/>
      </c>
      <c r="CE107" s="835" t="str">
        <f>IF($C107&lt;1,"",(AVERAGEIFS('09월 에너지'!N$14:N$949,'09월 에너지'!$A$14:$A$949,$A107,'09월 에너지'!$C$14:$C$949,$B107)))</f>
        <v/>
      </c>
      <c r="CF107" s="831" t="str">
        <f>IF($C107&lt;1,"",(AVERAGEIFS('09월 에너지'!O$14:O$949,'09월 에너지'!$A$14:$A$949,$A107,'09월 에너지'!$C$14:$C$949,$B107)))</f>
        <v/>
      </c>
      <c r="CG107" s="831" t="str">
        <f>IF($C107&lt;1,"",(AVERAGEIFS('09월 에너지'!P$14:P$949,'09월 에너지'!$A$14:$A$949,$A107,'09월 에너지'!$C$14:$C$949,$B107)))</f>
        <v/>
      </c>
      <c r="CH107" s="831" t="str">
        <f>IF($C107&lt;1,"",(AVERAGEIFS('09월 에너지'!Q$14:Q$949,'09월 에너지'!$A$14:$A$949,$A107,'09월 에너지'!$C$14:$C$949,$B107)))</f>
        <v/>
      </c>
      <c r="CI107" s="831" t="str">
        <f>IF($C107&lt;1,"",(AVERAGEIFS('09월 에너지'!R$14:R$949,'09월 에너지'!$A$14:$A$949,$A107,'09월 에너지'!$C$14:$C$949,$B107)))</f>
        <v/>
      </c>
      <c r="CJ107" s="831" t="str">
        <f>IF($C107&lt;1,"",(AVERAGEIFS('09월 에너지'!S$14:S$949,'09월 에너지'!$A$14:$A$949,$A107,'09월 에너지'!$C$14:$C$949,$B107)))</f>
        <v/>
      </c>
      <c r="CK107" s="831" t="str">
        <f>IF($C107&lt;1,"",(AVERAGEIFS('09월 에너지'!T$14:T$949,'09월 에너지'!$A$14:$A$949,$A107,'09월 에너지'!$C$14:$C$949,$B107)))</f>
        <v/>
      </c>
      <c r="CL107" s="831" t="str">
        <f>IF($C107&lt;1,"",(AVERAGEIFS('09월 에너지'!U$14:U$949,'09월 에너지'!$A$14:$A$949,$A107,'09월 에너지'!$C$14:$C$949,$B107)))</f>
        <v/>
      </c>
      <c r="CM107" s="835" t="str">
        <f>IF($C107&lt;1,"",(AVERAGEIFS('09월 에너지'!V$14:V$949,'09월 에너지'!$A$14:$A$949,$A107,'09월 에너지'!$C$14:$C$949,$B107)))</f>
        <v/>
      </c>
      <c r="CN107" s="835" t="str">
        <f>IF($C107&lt;1,"",(AVERAGEIFS('09월 에너지'!W$14:W$949,'09월 에너지'!$A$14:$A$949,$A107,'09월 에너지'!$C$14:$C$949,$B107)))</f>
        <v/>
      </c>
      <c r="CO107" s="831" t="str">
        <f>IF($C107&lt;1,"",(AVERAGEIFS('09월 에너지'!X$14:X$949,'09월 에너지'!$A$14:$A$949,$A107,'09월 에너지'!$C$14:$C$949,$B107)))</f>
        <v/>
      </c>
      <c r="CP107" s="835" t="str">
        <f>IF($C107&lt;1,"",(AVERAGEIFS('09월 에너지'!Y$14:Y$949,'09월 에너지'!$A$14:$A$949,$A107,'09월 에너지'!$C$14:$C$949,$B107)))</f>
        <v/>
      </c>
      <c r="CQ107" s="835" t="str">
        <f>IF($C107&lt;1,"",(AVERAGEIFS('09월 에너지'!Z$14:Z$949,'09월 에너지'!$A$14:$A$949,$A107,'09월 에너지'!$C$14:$C$949,$B107)))</f>
        <v/>
      </c>
      <c r="CR107" s="835" t="str">
        <f>IF($C107&lt;1,"",(AVERAGEIFS('09월 에너지'!AA$14:AA$949,'09월 에너지'!$A$14:$A$949,$A107,'09월 에너지'!$C$14:$C$949,$B107)))</f>
        <v/>
      </c>
      <c r="CS107" s="835" t="str">
        <f>IF($C107&lt;1,"",(AVERAGEIFS('09월 에너지'!AB$14:AB$949,'09월 에너지'!$A$14:$A$949,$A107,'09월 에너지'!$C$14:$C$949,$B107)))</f>
        <v/>
      </c>
      <c r="CT107" s="831" t="str">
        <f>IF($C107&lt;1,"",(AVERAGEIFS('09월 에너지'!AC$14:AC$949,'09월 에너지'!$A$14:$A$949,$A107,'09월 에너지'!$C$14:$C$949,$B107)))</f>
        <v/>
      </c>
      <c r="CU107" s="836" t="str">
        <f>IF($C107&lt;1,"",(AVERAGEIFS('09월 에너지'!AD$14:AD$949,'09월 에너지'!$A$14:$A$949,$A107,'09월 에너지'!$C$14:$C$949,$B107)))</f>
        <v/>
      </c>
      <c r="CV107" s="837" t="str">
        <f>IF($C107&lt;1,"",(AVERAGEIFS('09월 에너지'!AE$14:AE$949,'09월 에너지'!$A$14:$A$949,$A107,'09월 에너지'!$C$14:$C$949,$B107)))</f>
        <v/>
      </c>
      <c r="CW107" s="831" t="str">
        <f>IF($C107&lt;1,"",(AVERAGEIFS('09월 에너지'!AF$14:AF$949,'09월 에너지'!$A$14:$A$949,$A107,'09월 에너지'!$C$14:$C$949,$B107)))</f>
        <v/>
      </c>
      <c r="CX107" s="831" t="str">
        <f>IF($C107&lt;1,"",(AVERAGEIFS('09월 에너지'!AG$14:AG$949,'09월 에너지'!$A$14:$A$949,$A107,'09월 에너지'!$C$14:$C$949,$B107)))</f>
        <v/>
      </c>
      <c r="CY107" s="831" t="str">
        <f>IF($C107&lt;1,"",(AVERAGEIFS('09월 에너지'!AH$14:AH$949,'09월 에너지'!$A$14:$A$949,$A107,'09월 에너지'!$C$14:$C$949,$B107)))</f>
        <v/>
      </c>
      <c r="CZ107" s="831" t="str">
        <f>IF($C107&lt;1,"",(AVERAGEIFS('09월 에너지'!AI$14:AI$949,'09월 에너지'!$A$14:$A$949,$A107,'09월 에너지'!$C$14:$C$949,$B107)))</f>
        <v/>
      </c>
      <c r="DA107" s="838" t="str">
        <f>IF($C107&lt;1,"",(AVERAGEIFS('09월 에너지'!AJ$14:AJ$949,'09월 에너지'!$A$14:$A$949,$A107,'09월 에너지'!$C$14:$C$949,$B107)))</f>
        <v/>
      </c>
    </row>
    <row r="108" spans="1:105" ht="13.5" customHeight="1">
      <c r="A108" s="849">
        <f t="shared" si="20"/>
        <v>44947</v>
      </c>
      <c r="B108" s="850" t="s">
        <v>100</v>
      </c>
      <c r="C108" s="823">
        <f>COUNTIFS('09월 조업일지'!$A$12:$A$952,A106,'09월 조업일지'!$E$12:$E$952,B108)</f>
        <v>0</v>
      </c>
      <c r="D108" s="824" t="str">
        <f t="shared" ref="D108:D110" si="24">IF(C108&lt;1,"",F108-E108)</f>
        <v/>
      </c>
      <c r="E108" s="824" t="str">
        <f>IF($C108&lt;1,"",(SUMIFS('09월 조업일지'!$K$12:$K$952,'09월 조업일지'!$A$12:$A$952,$A108,'09월 조업일지'!$E$12:$E$952,$B108)/$C108))</f>
        <v/>
      </c>
      <c r="F108" s="824" t="str">
        <f>IF($C108&lt;1,"",(AVERAGEIFS('09월 조업일지'!$J$12:$J$952,'09월 조업일지'!$A$12:$A$952,$A108,'09월 조업일지'!$E$12:$E$952,$B108)))</f>
        <v/>
      </c>
      <c r="G108" s="825" t="str">
        <f>IF($C108&lt;1,"",(AVERAGEIFS('09월 에너지'!$M$14:$M$949,'09월 에너지'!$A$14:$A$949,$A108,'09월 에너지'!$C$14:$C$949,$B108)))</f>
        <v/>
      </c>
      <c r="H108" s="826" t="str">
        <f>IF($C108&lt;1,"",(AVERAGEIFS('09월 조업일지'!$AJ$12:$AJ$952,'09월 조업일지'!$A$12:$A$952,$A108,'09월 조업일지'!$E$12:$E$952,$B108)))</f>
        <v/>
      </c>
      <c r="I108" s="826" t="str">
        <f>IF($C108&lt;1,"",(AVERAGEIFS('09월 조업일지'!$AL$12:$AL$952,'09월 조업일지'!$A$12:$A$952,$A108,'09월 조업일지'!$E$12:$E$952,$B108)))</f>
        <v/>
      </c>
      <c r="J108" s="827" t="str">
        <f>IF($C108&lt;1,"",(AVERAGEIFS('09월 화학성분'!G$12:G$949,'09월 화학성분'!$A$12:$A$949,$A108,'09월 화학성분'!$D$12:$D$949,$B108)))</f>
        <v/>
      </c>
      <c r="K108" s="827" t="str">
        <f>IF($C108&lt;1,"",(AVERAGEIFS('09월 화학성분'!H$12:H$949,'09월 화학성분'!$A$12:$A$949,$A108,'09월 화학성분'!$D$12:$D$949,$B108)))</f>
        <v/>
      </c>
      <c r="L108" s="827" t="str">
        <f>IF($C108&lt;1,"",(AVERAGEIFS('09월 화학성분'!I$12:I$949,'09월 화학성분'!$A$12:$A$949,$A108,'09월 화학성분'!$D$12:$D$949,$B108)))</f>
        <v/>
      </c>
      <c r="M108" s="827" t="str">
        <f>IF($C108&lt;1,"",(AVERAGEIFS('09월 화학성분'!J$12:J$949,'09월 화학성분'!$A$12:$A$949,$A108,'09월 화학성분'!$D$12:$D$949,$B108)))</f>
        <v/>
      </c>
      <c r="N108" s="827" t="str">
        <f>IF($C108&lt;1,"",(AVERAGEIFS('09월 화학성분'!K$12:K$949,'09월 화학성분'!$A$12:$A$949,$A108,'09월 화학성분'!$D$12:$D$949,$B108)))</f>
        <v/>
      </c>
      <c r="O108" s="827" t="str">
        <f>IF($C108&lt;1,"",(AVERAGEIFS('09월 화학성분'!L$12:L$949,'09월 화학성분'!$A$12:$A$949,$A108,'09월 화학성분'!$D$12:$D$949,$B108)))</f>
        <v/>
      </c>
      <c r="P108" s="827" t="str">
        <f>IF($C108&lt;1,"",(AVERAGEIFS('09월 화학성분'!M$12:M$949,'09월 화학성분'!$A$12:$A$949,$A108,'09월 화학성분'!$D$12:$D$949,$B108)))</f>
        <v/>
      </c>
      <c r="Q108" s="827" t="str">
        <f>IFERROR(IF($C108&lt;1,"",(AVERAGEIFS('09월 조업일지'!$AA$12:$AA$952,'09월 조업일지'!$A$12:$A$952,$A108,'09월 조업일지'!$E$12:$E$952,$B108))),"")</f>
        <v/>
      </c>
      <c r="R108" s="827" t="str">
        <f>IF($C108&lt;1,"",(AVERAGEIFS('09월 조업일지'!$AK$12:$AK$952,'09월 조업일지'!$A$12:$A$952,$A108,'09월 조업일지'!$E$12:$E$952,$B108)))</f>
        <v/>
      </c>
      <c r="S108" s="827"/>
      <c r="T108" s="827"/>
      <c r="U108" s="827" t="str">
        <f>IF($C108&lt;1,"",(AVERAGEIFS('09월 화학성분'!$G$12:$G$949,'09월 화학성분'!$A$12:$A$949,$A108,'09월 화학성분'!$D$12:$D$949,$B108)))</f>
        <v/>
      </c>
      <c r="V108" s="827" t="str">
        <f>IF($C108&lt;1,"",(AVERAGEIFS('09월 조업일지'!$AI$12:$AI$952,'09월 조업일지'!$A$12:$A$952,$A108,'09월 조업일지'!$E$12:$E$952,$B108)))</f>
        <v/>
      </c>
      <c r="W108" s="828" t="str">
        <f>IF($C108&lt;1,"",(AVERAGEIFS('09월 화학성분'!$AM$12:$AM$949,'09월 화학성분'!$A$12:$A$949,$A108,'09월 화학성분'!$D$12:$D$949,$B108)))</f>
        <v/>
      </c>
      <c r="X108" s="829" t="str">
        <f>IF($C108&lt;1,"",(AVERAGEIFS('09월 화학성분'!N$12:N$949,'09월 화학성분'!$A$12:$A$949,$A108,'09월 화학성분'!$D$12:$D$949,$B108)))</f>
        <v/>
      </c>
      <c r="Y108" s="829" t="str">
        <f>IF($C108&lt;1,"",(AVERAGEIFS('09월 화학성분'!O$12:O$949,'09월 화학성분'!$A$12:$A$949,$A108,'09월 화학성분'!$D$12:$D$949,$B108)))</f>
        <v/>
      </c>
      <c r="Z108" s="829" t="str">
        <f>IF($C108&lt;1,"",(AVERAGEIFS('09월 화학성분'!P$12:P$949,'09월 화학성분'!$A$12:$A$949,$A108,'09월 화학성분'!$D$12:$D$949,$B108)))</f>
        <v/>
      </c>
      <c r="AA108" s="829" t="str">
        <f>IF($C108&lt;1,"",(AVERAGEIFS('09월 화학성분'!Q$12:Q$949,'09월 화학성분'!$A$12:$A$949,$A108,'09월 화학성분'!$D$12:$D$949,$B108)))</f>
        <v/>
      </c>
      <c r="AB108" s="829" t="str">
        <f>IF($C108&lt;1,"",(AVERAGEIFS('09월 화학성분'!R$12:R$949,'09월 화학성분'!$A$12:$A$949,$A108,'09월 화학성분'!$D$12:$D$949,$B108)))</f>
        <v/>
      </c>
      <c r="AC108" s="829" t="str">
        <f>IF($C108&lt;1,"",(AVERAGEIFS('09월 화학성분'!U$12:U$949,'09월 화학성분'!$A$12:$A$949,$A108,'09월 화학성분'!$D$12:$D$949,$B108)))</f>
        <v/>
      </c>
      <c r="AD108" s="829" t="str">
        <f>IF($C108&lt;1,"",(AVERAGEIFS('09월 화학성분'!V$12:V$949,'09월 화학성분'!$A$12:$A$949,$A108,'09월 화학성분'!$D$12:$D$949,$B108)))</f>
        <v/>
      </c>
      <c r="AE108" s="829" t="str">
        <f>IF($C108&lt;1,"",(AVERAGEIFS('09월 화학성분'!W$12:W$949,'09월 화학성분'!$A$12:$A$949,$A108,'09월 화학성분'!$D$12:$D$949,$B108)))</f>
        <v/>
      </c>
      <c r="AF108" s="829" t="str">
        <f>IF($C108&lt;1,"",(AVERAGEIFS('09월 화학성분'!AA$12:AA$949,'09월 화학성분'!$A$12:$A$949,$A108,'09월 화학성분'!$D$12:$D$949,$B108)))</f>
        <v/>
      </c>
      <c r="AG108" s="829" t="str">
        <f>IF($C108&lt;1,"",(AVERAGEIFS('09월 화학성분'!#REF!,'09월 화학성분'!$A$12:$A$949,$A108,'09월 화학성분'!$D$12:$D$949,$B108)))</f>
        <v/>
      </c>
      <c r="AH108" s="829" t="str">
        <f>IF($C108&lt;1,"",(AVERAGEIFS('09월 화학성분'!AB$12:AB$949,'09월 화학성분'!$A$12:$A$949,$A108,'09월 화학성분'!$D$12:$D$949,$B108)))</f>
        <v/>
      </c>
      <c r="AI108" s="829" t="str">
        <f>IF($C108&lt;1,"",(AVERAGEIFS('09월 화학성분'!AC$12:AC$949,'09월 화학성분'!$A$12:$A$949,$A108,'09월 화학성분'!$D$12:$D$949,$B108)))</f>
        <v/>
      </c>
      <c r="AJ108" s="829" t="str">
        <f>IF($C108&lt;1,"",(AVERAGEIFS('09월 화학성분'!AD$12:AD$949,'09월 화학성분'!$A$12:$A$949,$A108,'09월 화학성분'!$D$12:$D$949,$B108)))</f>
        <v/>
      </c>
      <c r="AK108" s="829" t="str">
        <f>IF($C108&lt;1,"",(AVERAGEIFS('09월 화학성분'!AF$12:AF$949,'09월 화학성분'!$A$12:$A$949,$A108,'09월 화학성분'!$D$12:$D$949,$B108)))</f>
        <v/>
      </c>
      <c r="AL108" s="829" t="str">
        <f>IF($C108&lt;1,"",(AVERAGEIFS('09월 화학성분'!AG$12:AG$949,'09월 화학성분'!$A$12:$A$949,$A108,'09월 화학성분'!$D$12:$D$949,$B108)))</f>
        <v/>
      </c>
      <c r="AM108" s="829" t="str">
        <f>IF($C108&lt;1,"",(AVERAGEIFS('09월 화학성분'!AH$12:AH$949,'09월 화학성분'!$A$12:$A$949,$A108,'09월 화학성분'!$D$12:$D$949,$B108)))</f>
        <v/>
      </c>
      <c r="AN108" s="829" t="str">
        <f>IF($C108&lt;1,"",(AVERAGEIFS('09월 화학성분'!AI$12:AI$949,'09월 화학성분'!$A$12:$A$949,$A108,'09월 화학성분'!$D$12:$D$949,$B108)))</f>
        <v/>
      </c>
      <c r="AO108" s="829" t="str">
        <f>IF($C108&lt;1,"",(AVERAGEIFS('09월 화학성분'!AJ$12:AJ$949,'09월 화학성분'!$A$12:$A$949,$A108,'09월 화학성분'!$D$12:$D$949,$B108)))</f>
        <v/>
      </c>
      <c r="AP108" s="829" t="str">
        <f>IF($C108&lt;1,"",(AVERAGEIFS('09월 화학성분'!#REF!,'09월 화학성분'!$A$12:$A$949,$A108,'09월 화학성분'!$D$12:$D$949,$B108)))</f>
        <v/>
      </c>
      <c r="AQ108" s="829" t="str">
        <f>IF($C108&lt;1,"",(AVERAGEIFS('09월 화학성분'!AL$12:AL$949,'09월 화학성분'!$A$12:$A$949,$A108,'09월 화학성분'!$D$12:$D$949,$B108)))</f>
        <v/>
      </c>
      <c r="AR108" s="829" t="str">
        <f>IF($C108&lt;1,"",(AVERAGEIFS('09월 화학성분'!AM$12:AM$949,'09월 화학성분'!$A$12:$A$949,$A108,'09월 화학성분'!$D$12:$D$949,$B108)))</f>
        <v/>
      </c>
      <c r="AS108" s="830" t="str">
        <f>IF($C108&lt;1,"",(AVERAGEIFS('09월 화학성분'!AN$12:AN$949,'09월 화학성분'!$A$12:$A$949,$A108,'09월 화학성분'!$D$12:$D$949,$B108)))</f>
        <v/>
      </c>
      <c r="AT108" s="830" t="str">
        <f>IF($C108&lt;1,"",(AVERAGEIFS('09월 화학성분'!AO$12:AO$949,'09월 화학성분'!$A$12:$A$949,$A108,'09월 화학성분'!$D$12:$D$949,$B108)))</f>
        <v/>
      </c>
      <c r="AU108" s="831" t="str">
        <f>IF($C108&lt;1,"",(AVERAGEIFS('09월 화학성분'!AP$12:AP$949,'09월 화학성분'!$A$12:$A$949,$A108,'09월 화학성분'!$D$12:$D$949,$B108)))</f>
        <v/>
      </c>
      <c r="AV108" s="832" t="str">
        <f>IF($C108&lt;1,"",(AVERAGEIFS('09월 고철장입'!G$14:G$949,'09월 고철장입'!$A$14:$A$949,$A108,'09월 고철장입'!$C$14:$C$949,$B108))/1000)</f>
        <v/>
      </c>
      <c r="AW108" s="832" t="str">
        <f>IF($C108&lt;1,"",(AVERAGEIFS('09월 고철장입'!H$14:H$949,'09월 고철장입'!$A$14:$A$949,$A108,'09월 고철장입'!$C$14:$C$949,$B108))/1000)</f>
        <v/>
      </c>
      <c r="AX108" s="832" t="str">
        <f>IF($C108&lt;1,"",(AVERAGEIFS('09월 고철장입'!I$14:I$949,'09월 고철장입'!$A$14:$A$949,$A108,'09월 고철장입'!$C$14:$C$949,$B108))/1000)</f>
        <v/>
      </c>
      <c r="AY108" s="832" t="str">
        <f>IF($C108&lt;1,"",(AVERAGEIFS('09월 고철장입'!J$14:J$949,'09월 고철장입'!$A$14:$A$949,$A108,'09월 고철장입'!$C$14:$C$949,$B108))/1000)</f>
        <v/>
      </c>
      <c r="AZ108" s="832" t="str">
        <f>IF($C108&lt;1,"",(AVERAGEIFS('09월 고철장입'!K$14:K$949,'09월 고철장입'!$A$14:$A$949,$A108,'09월 고철장입'!$C$14:$C$949,$B108))/1000)</f>
        <v/>
      </c>
      <c r="BA108" s="832" t="str">
        <f>IF($C108&lt;1,"",(AVERAGEIFS('09월 고철장입'!L$14:L$949,'09월 고철장입'!$A$14:$A$949,$A108,'09월 고철장입'!$C$14:$C$949,$B108))/1000)</f>
        <v/>
      </c>
      <c r="BB108" s="832" t="str">
        <f>IF($C108&lt;1,"",(AVERAGEIFS('09월 고철장입'!M$14:M$949,'09월 고철장입'!$A$14:$A$949,$A108,'09월 고철장입'!$C$14:$C$949,$B108))/1000)</f>
        <v/>
      </c>
      <c r="BC108" s="832" t="str">
        <f>IF($C108&lt;1,"",(AVERAGEIFS('09월 고철장입'!N$14:N$949,'09월 고철장입'!$A$14:$A$949,$A108,'09월 고철장입'!$C$14:$C$949,$B108))/1000)</f>
        <v/>
      </c>
      <c r="BD108" s="832" t="str">
        <f>IF($C108&lt;1,"",(AVERAGEIFS('09월 고철장입'!O$14:O$949,'09월 고철장입'!$A$14:$A$949,$A108,'09월 고철장입'!$C$14:$C$949,$B108))/1000)</f>
        <v/>
      </c>
      <c r="BE108" s="833" t="str">
        <f>IF($C108&lt;1,"",(AVERAGEIFS('09월 고철장입'!P$14:P$949,'09월 고철장입'!$A$14:$A$949,$A108,'09월 고철장입'!$C$14:$C$949,$B108))/1000)</f>
        <v/>
      </c>
      <c r="BF108" s="833" t="str">
        <f>IF($C108&lt;1,"",(AVERAGEIFS('09월 고철장입'!Q$14:Q$949,'09월 고철장입'!$A$14:$A$949,$A108,'09월 고철장입'!$C$14:$C$949,$B108))/1000)</f>
        <v/>
      </c>
      <c r="BG108" s="833" t="str">
        <f>IF($C108&lt;1,"",(AVERAGEIFS('09월 고철장입'!S$14:S$949,'09월 고철장입'!$A$14:$A$949,$A108,'09월 고철장입'!$C$14:$C$949,$B108))/1000)</f>
        <v/>
      </c>
      <c r="BH108" s="833" t="str">
        <f>IF($C108&lt;1,"",(AVERAGEIFS('09월 고철장입'!T$14:T$949,'09월 고철장입'!$A$14:$A$949,$A108,'09월 고철장입'!$C$14:$C$949,$B108))/1000)</f>
        <v/>
      </c>
      <c r="BI108" s="833" t="str">
        <f>IF($C108&lt;1,"",(AVERAGEIFS('09월 고철장입'!U$14:U$949,'09월 고철장입'!$A$14:$A$949,$A108,'09월 고철장입'!$C$14:$C$949,$B108))/1000)</f>
        <v/>
      </c>
      <c r="BJ108" s="833" t="str">
        <f>IF($C108&lt;1,"",(AVERAGEIFS('09월 고철장입'!V$14:V$949,'09월 고철장입'!$A$14:$A$949,$A108,'09월 고철장입'!$C$14:$C$949,$B108))/1000)</f>
        <v/>
      </c>
      <c r="BK108" s="833" t="str">
        <f>IF($C108&lt;1,"",(AVERAGEIFS('09월 고철장입'!W$14:W$949,'09월 고철장입'!$A$14:$A$949,$A108,'09월 고철장입'!$C$14:$C$949,$B108))/1000)</f>
        <v/>
      </c>
      <c r="BL108" s="833" t="str">
        <f>IF($C108&lt;1,"",(AVERAGEIFS('09월 고철장입'!Y$14:Y$949,'09월 고철장입'!$A$14:$A$949,$A108,'09월 고철장입'!$C$14:$C$949,$B108))/1000)</f>
        <v/>
      </c>
      <c r="BM108" s="833" t="str">
        <f>IF($C108&lt;1,"",(AVERAGEIFS('09월 고철장입'!AB$14:AB$949,'09월 고철장입'!$A$14:$A$949,$A108,'09월 고철장입'!$C$14:$C$949,$B108))/1000)</f>
        <v/>
      </c>
      <c r="BN108" s="833" t="str">
        <f>IF($C108&lt;1,"",(AVERAGEIFS('09월 고철장입'!AC$14:AC$949,'09월 고철장입'!$A$14:$A$949,$A108,'09월 고철장입'!$C$14:$C$949,$B108))/1000)</f>
        <v/>
      </c>
      <c r="BO108" s="833" t="str">
        <f>IF($C108&lt;1,"",(AVERAGEIFS('09월 고철장입'!AD$14:AD$949,'09월 고철장입'!$A$14:$A$949,$A108,'09월 고철장입'!$C$14:$C$949,$B108))/1000)</f>
        <v/>
      </c>
      <c r="BP108" s="833" t="str">
        <f>IF($C108&lt;1,"",(AVERAGEIFS('09월 고철장입'!AE$14:AE$949,'09월 고철장입'!$A$14:$A$949,$A108,'09월 고철장입'!$C$14:$C$949,$B108))/1000)</f>
        <v/>
      </c>
      <c r="BQ108" s="832" t="str">
        <f>IF($C108&lt;1,"",(AVERAGEIFS('09월 고철장입'!AF$14:AF$949,'09월 고철장입'!$A$14:$A$949,$A108,'09월 고철장입'!$C$14:$C$949,$B108))/1000)</f>
        <v/>
      </c>
      <c r="BR108" s="832" t="str">
        <f>IF($C108&lt;1,"",(AVERAGEIFS('09월 고철장입'!AG$14:AG$949,'09월 고철장입'!$A$14:$A$949,$A108,'09월 고철장입'!$C$14:$C$949,$B108))/1000)</f>
        <v/>
      </c>
      <c r="BS108" s="832" t="str">
        <f>IF($C108&lt;1,"",(AVERAGEIFS('09월 고철장입'!AH$14:AH$949,'09월 고철장입'!$A$14:$A$949,$A108,'09월 고철장입'!$C$14:$C$949,$B108))/1000)</f>
        <v/>
      </c>
      <c r="BT108" s="832" t="str">
        <f>IF($C108&lt;1,"",(AVERAGEIFS('09월 고철장입'!AI$14:AI$949,'09월 고철장입'!$A$14:$A$949,$A108,'09월 고철장입'!$C$14:$C$949,$B108))/1000)</f>
        <v/>
      </c>
      <c r="BU108" s="834" t="str">
        <f>IF($C108&lt;1,"",(AVERAGEIFS('09월 고철장입'!AJ$14:AJ$949,'09월 고철장입'!$A$14:$A$949,$A108,'09월 고철장입'!$C$14:$C$949,$B108))/1000)</f>
        <v/>
      </c>
      <c r="BV108" s="834" t="str">
        <f>IF($C108&lt;1,"",(AVERAGEIFS('09월 고철장입'!AK$14:AK$949,'09월 고철장입'!$A$14:$A$949,$A108,'09월 고철장입'!$C$14:$C$949,$B108)))</f>
        <v/>
      </c>
      <c r="BW108" s="834" t="str">
        <f>IF($C108&lt;1,"",(AVERAGEIFS('09월 고철장입'!AL$14:AL$949,'09월 고철장입'!$A$14:$A$949,$A108,'09월 고철장입'!$C$14:$C$949,$B108))*100)</f>
        <v/>
      </c>
      <c r="BX108" s="831" t="str">
        <f>IF($C108&lt;1,"",(AVERAGEIFS('09월 에너지'!G$14:G$949,'09월 에너지'!$A$14:$A$949,$A108,'09월 에너지'!$C$14:$C$949,$B108)))</f>
        <v/>
      </c>
      <c r="BY108" s="835" t="str">
        <f>IF($C108&lt;1,"",(AVERAGEIFS('09월 에너지'!H$14:H$949,'09월 에너지'!$A$14:$A$949,$A108,'09월 에너지'!$C$14:$C$949,$B108)))</f>
        <v/>
      </c>
      <c r="BZ108" s="831" t="str">
        <f>IF($C108&lt;1,"",(AVERAGEIFS('09월 에너지'!I$14:I$949,'09월 에너지'!$A$14:$A$949,$A108,'09월 에너지'!$C$14:$C$949,$B108)))</f>
        <v/>
      </c>
      <c r="CA108" s="835" t="str">
        <f>IF($C108&lt;1,"",(AVERAGEIFS('09월 에너지'!J$14:J$949,'09월 에너지'!$A$14:$A$949,$A108,'09월 에너지'!$C$14:$C$949,$B108)))</f>
        <v/>
      </c>
      <c r="CB108" s="831" t="str">
        <f>IF($C108&lt;1,"",(AVERAGEIFS('09월 에너지'!K$14:K$949,'09월 에너지'!$A$14:$A$949,$A108,'09월 에너지'!$C$14:$C$949,$B108)))</f>
        <v/>
      </c>
      <c r="CC108" s="835" t="str">
        <f>IF($C108&lt;1,"",(AVERAGEIFS('09월 에너지'!L$14:L$949,'09월 에너지'!$A$14:$A$949,$A108,'09월 에너지'!$C$14:$C$949,$B108)))</f>
        <v/>
      </c>
      <c r="CD108" s="831" t="str">
        <f>IF($C108&lt;1,"",(AVERAGEIFS('09월 에너지'!M$14:M$949,'09월 에너지'!$A$14:$A$949,$A108,'09월 에너지'!$C$14:$C$949,$B108)))</f>
        <v/>
      </c>
      <c r="CE108" s="835" t="str">
        <f>IF($C108&lt;1,"",(AVERAGEIFS('09월 에너지'!N$14:N$949,'09월 에너지'!$A$14:$A$949,$A108,'09월 에너지'!$C$14:$C$949,$B108)))</f>
        <v/>
      </c>
      <c r="CF108" s="831" t="str">
        <f>IF($C108&lt;1,"",(AVERAGEIFS('09월 에너지'!O$14:O$949,'09월 에너지'!$A$14:$A$949,$A108,'09월 에너지'!$C$14:$C$949,$B108)))</f>
        <v/>
      </c>
      <c r="CG108" s="831" t="str">
        <f>IF($C108&lt;1,"",(AVERAGEIFS('09월 에너지'!P$14:P$949,'09월 에너지'!$A$14:$A$949,$A108,'09월 에너지'!$C$14:$C$949,$B108)))</f>
        <v/>
      </c>
      <c r="CH108" s="831" t="str">
        <f>IF($C108&lt;1,"",(AVERAGEIFS('09월 에너지'!Q$14:Q$949,'09월 에너지'!$A$14:$A$949,$A108,'09월 에너지'!$C$14:$C$949,$B108)))</f>
        <v/>
      </c>
      <c r="CI108" s="831" t="str">
        <f>IF($C108&lt;1,"",(AVERAGEIFS('09월 에너지'!R$14:R$949,'09월 에너지'!$A$14:$A$949,$A108,'09월 에너지'!$C$14:$C$949,$B108)))</f>
        <v/>
      </c>
      <c r="CJ108" s="831" t="str">
        <f>IF($C108&lt;1,"",(AVERAGEIFS('09월 에너지'!S$14:S$949,'09월 에너지'!$A$14:$A$949,$A108,'09월 에너지'!$C$14:$C$949,$B108)))</f>
        <v/>
      </c>
      <c r="CK108" s="831" t="str">
        <f>IF($C108&lt;1,"",(AVERAGEIFS('09월 에너지'!T$14:T$949,'09월 에너지'!$A$14:$A$949,$A108,'09월 에너지'!$C$14:$C$949,$B108)))</f>
        <v/>
      </c>
      <c r="CL108" s="831" t="str">
        <f>IF($C108&lt;1,"",(AVERAGEIFS('09월 에너지'!U$14:U$949,'09월 에너지'!$A$14:$A$949,$A108,'09월 에너지'!$C$14:$C$949,$B108)))</f>
        <v/>
      </c>
      <c r="CM108" s="835" t="str">
        <f>IF($C108&lt;1,"",(AVERAGEIFS('09월 에너지'!V$14:V$949,'09월 에너지'!$A$14:$A$949,$A108,'09월 에너지'!$C$14:$C$949,$B108)))</f>
        <v/>
      </c>
      <c r="CN108" s="835" t="str">
        <f>IF($C108&lt;1,"",(AVERAGEIFS('09월 에너지'!W$14:W$949,'09월 에너지'!$A$14:$A$949,$A108,'09월 에너지'!$C$14:$C$949,$B108)))</f>
        <v/>
      </c>
      <c r="CO108" s="831" t="str">
        <f>IF($C108&lt;1,"",(AVERAGEIFS('09월 에너지'!X$14:X$949,'09월 에너지'!$A$14:$A$949,$A108,'09월 에너지'!$C$14:$C$949,$B108)))</f>
        <v/>
      </c>
      <c r="CP108" s="835" t="str">
        <f>IF($C108&lt;1,"",(AVERAGEIFS('09월 에너지'!Y$14:Y$949,'09월 에너지'!$A$14:$A$949,$A108,'09월 에너지'!$C$14:$C$949,$B108)))</f>
        <v/>
      </c>
      <c r="CQ108" s="835" t="str">
        <f>IF($C108&lt;1,"",(AVERAGEIFS('09월 에너지'!Z$14:Z$949,'09월 에너지'!$A$14:$A$949,$A108,'09월 에너지'!$C$14:$C$949,$B108)))</f>
        <v/>
      </c>
      <c r="CR108" s="835" t="str">
        <f>IF($C108&lt;1,"",(AVERAGEIFS('09월 에너지'!AA$14:AA$949,'09월 에너지'!$A$14:$A$949,$A108,'09월 에너지'!$C$14:$C$949,$B108)))</f>
        <v/>
      </c>
      <c r="CS108" s="835" t="str">
        <f>IF($C108&lt;1,"",(AVERAGEIFS('09월 에너지'!AB$14:AB$949,'09월 에너지'!$A$14:$A$949,$A108,'09월 에너지'!$C$14:$C$949,$B108)))</f>
        <v/>
      </c>
      <c r="CT108" s="831" t="str">
        <f>IF($C108&lt;1,"",(AVERAGEIFS('09월 에너지'!AC$14:AC$949,'09월 에너지'!$A$14:$A$949,$A108,'09월 에너지'!$C$14:$C$949,$B108)))</f>
        <v/>
      </c>
      <c r="CU108" s="836" t="str">
        <f>IF($C108&lt;1,"",(AVERAGEIFS('09월 에너지'!AD$14:AD$949,'09월 에너지'!$A$14:$A$949,$A108,'09월 에너지'!$C$14:$C$949,$B108)))</f>
        <v/>
      </c>
      <c r="CV108" s="837" t="str">
        <f>IF($C108&lt;1,"",(AVERAGEIFS('09월 에너지'!AE$14:AE$949,'09월 에너지'!$A$14:$A$949,$A108,'09월 에너지'!$C$14:$C$949,$B108)))</f>
        <v/>
      </c>
      <c r="CW108" s="831" t="str">
        <f>IF($C108&lt;1,"",(AVERAGEIFS('09월 에너지'!AF$14:AF$949,'09월 에너지'!$A$14:$A$949,$A108,'09월 에너지'!$C$14:$C$949,$B108)))</f>
        <v/>
      </c>
      <c r="CX108" s="831" t="str">
        <f>IF($C108&lt;1,"",(AVERAGEIFS('09월 에너지'!AG$14:AG$949,'09월 에너지'!$A$14:$A$949,$A108,'09월 에너지'!$C$14:$C$949,$B108)))</f>
        <v/>
      </c>
      <c r="CY108" s="831" t="str">
        <f>IF($C108&lt;1,"",(AVERAGEIFS('09월 에너지'!AH$14:AH$949,'09월 에너지'!$A$14:$A$949,$A108,'09월 에너지'!$C$14:$C$949,$B108)))</f>
        <v/>
      </c>
      <c r="CZ108" s="831" t="str">
        <f>IF($C108&lt;1,"",(AVERAGEIFS('09월 에너지'!AI$14:AI$949,'09월 에너지'!$A$14:$A$949,$A108,'09월 에너지'!$C$14:$C$949,$B108)))</f>
        <v/>
      </c>
      <c r="DA108" s="838" t="str">
        <f>IF($C108&lt;1,"",(AVERAGEIFS('09월 에너지'!AJ$14:AJ$949,'09월 에너지'!$A$14:$A$949,$A108,'09월 에너지'!$C$14:$C$949,$B108)))</f>
        <v/>
      </c>
    </row>
    <row r="109" spans="1:105" ht="13.5" customHeight="1">
      <c r="A109" s="849">
        <f t="shared" si="20"/>
        <v>44947</v>
      </c>
      <c r="B109" s="850" t="s">
        <v>10</v>
      </c>
      <c r="C109" s="823">
        <f>COUNTIFS('09월 조업일지'!$A$12:$A$952,A106,'09월 조업일지'!$E$12:$E$952,B109)</f>
        <v>0</v>
      </c>
      <c r="D109" s="824" t="str">
        <f t="shared" si="24"/>
        <v/>
      </c>
      <c r="E109" s="824" t="str">
        <f>IF($C109&lt;1,"",(SUMIFS('09월 조업일지'!$K$12:$K$952,'09월 조업일지'!$A$12:$A$952,$A109,'09월 조업일지'!$E$12:$E$952,$B109)/$C109))</f>
        <v/>
      </c>
      <c r="F109" s="824" t="str">
        <f>IF($C109&lt;1,"",(AVERAGEIFS('09월 조업일지'!$J$12:$J$952,'09월 조업일지'!$A$12:$A$952,$A109,'09월 조업일지'!$E$12:$E$952,$B109)))</f>
        <v/>
      </c>
      <c r="G109" s="825" t="str">
        <f>IF($C109&lt;1,"",(AVERAGEIFS('09월 에너지'!$M$14:$M$949,'09월 에너지'!$A$14:$A$949,$A109,'09월 에너지'!$C$14:$C$949,$B109)))</f>
        <v/>
      </c>
      <c r="H109" s="826" t="str">
        <f>IF($C109&lt;1,"",(AVERAGEIFS('09월 조업일지'!$AJ$12:$AJ$952,'09월 조업일지'!$A$12:$A$952,$A109,'09월 조업일지'!$E$12:$E$952,$B109)))</f>
        <v/>
      </c>
      <c r="I109" s="826" t="str">
        <f>IF($C109&lt;1,"",(AVERAGEIFS('09월 조업일지'!$AL$12:$AL$952,'09월 조업일지'!$A$12:$A$952,$A109,'09월 조업일지'!$E$12:$E$952,$B109)))</f>
        <v/>
      </c>
      <c r="J109" s="827" t="str">
        <f>IF($C109&lt;1,"",(AVERAGEIFS('09월 화학성분'!G$12:G$949,'09월 화학성분'!$A$12:$A$949,$A109,'09월 화학성분'!$D$12:$D$949,$B109)))</f>
        <v/>
      </c>
      <c r="K109" s="827" t="str">
        <f>IF($C109&lt;1,"",(AVERAGEIFS('09월 화학성분'!H$12:H$949,'09월 화학성분'!$A$12:$A$949,$A109,'09월 화학성분'!$D$12:$D$949,$B109)))</f>
        <v/>
      </c>
      <c r="L109" s="827" t="str">
        <f>IF($C109&lt;1,"",(AVERAGEIFS('09월 화학성분'!I$12:I$949,'09월 화학성분'!$A$12:$A$949,$A109,'09월 화학성분'!$D$12:$D$949,$B109)))</f>
        <v/>
      </c>
      <c r="M109" s="827" t="str">
        <f>IF($C109&lt;1,"",(AVERAGEIFS('09월 화학성분'!J$12:J$949,'09월 화학성분'!$A$12:$A$949,$A109,'09월 화학성분'!$D$12:$D$949,$B109)))</f>
        <v/>
      </c>
      <c r="N109" s="827" t="str">
        <f>IF($C109&lt;1,"",(AVERAGEIFS('09월 화학성분'!K$12:K$949,'09월 화학성분'!$A$12:$A$949,$A109,'09월 화학성분'!$D$12:$D$949,$B109)))</f>
        <v/>
      </c>
      <c r="O109" s="827" t="str">
        <f>IF($C109&lt;1,"",(AVERAGEIFS('09월 화학성분'!L$12:L$949,'09월 화학성분'!$A$12:$A$949,$A109,'09월 화학성분'!$D$12:$D$949,$B109)))</f>
        <v/>
      </c>
      <c r="P109" s="827" t="str">
        <f>IF($C109&lt;1,"",(AVERAGEIFS('09월 화학성분'!M$12:M$949,'09월 화학성분'!$A$12:$A$949,$A109,'09월 화학성분'!$D$12:$D$949,$B109)))</f>
        <v/>
      </c>
      <c r="Q109" s="827" t="str">
        <f>IFERROR(IF($C109&lt;1,"",(AVERAGEIFS('09월 조업일지'!$AA$12:$AA$952,'09월 조업일지'!$A$12:$A$952,$A109,'09월 조업일지'!$E$12:$E$952,$B109))),"")</f>
        <v/>
      </c>
      <c r="R109" s="827" t="str">
        <f>IF($C109&lt;1,"",(AVERAGEIFS('09월 조업일지'!$AK$12:$AK$952,'09월 조업일지'!$A$12:$A$952,$A109,'09월 조업일지'!$E$12:$E$952,$B109)))</f>
        <v/>
      </c>
      <c r="S109" s="827"/>
      <c r="T109" s="827"/>
      <c r="U109" s="827" t="str">
        <f>IF($C109&lt;1,"",(AVERAGEIFS('09월 화학성분'!$G$12:$G$949,'09월 화학성분'!$A$12:$A$949,$A109,'09월 화학성분'!$D$12:$D$949,$B109)))</f>
        <v/>
      </c>
      <c r="V109" s="827" t="str">
        <f>IF($C109&lt;1,"",(AVERAGEIFS('09월 조업일지'!$AI$12:$AI$952,'09월 조업일지'!$A$12:$A$952,$A109,'09월 조업일지'!$E$12:$E$952,$B109)))</f>
        <v/>
      </c>
      <c r="W109" s="828" t="str">
        <f>IF($C109&lt;1,"",(AVERAGEIFS('09월 화학성분'!$AM$12:$AM$949,'09월 화학성분'!$A$12:$A$949,$A109,'09월 화학성분'!$D$12:$D$949,$B109)))</f>
        <v/>
      </c>
      <c r="X109" s="829" t="str">
        <f>IF($C109&lt;1,"",(AVERAGEIFS('09월 화학성분'!N$12:N$949,'09월 화학성분'!$A$12:$A$949,$A109,'09월 화학성분'!$D$12:$D$949,$B109)))</f>
        <v/>
      </c>
      <c r="Y109" s="829" t="str">
        <f>IF($C109&lt;1,"",(AVERAGEIFS('09월 화학성분'!O$12:O$949,'09월 화학성분'!$A$12:$A$949,$A109,'09월 화학성분'!$D$12:$D$949,$B109)))</f>
        <v/>
      </c>
      <c r="Z109" s="829" t="str">
        <f>IF($C109&lt;1,"",(AVERAGEIFS('09월 화학성분'!P$12:P$949,'09월 화학성분'!$A$12:$A$949,$A109,'09월 화학성분'!$D$12:$D$949,$B109)))</f>
        <v/>
      </c>
      <c r="AA109" s="829" t="str">
        <f>IF($C109&lt;1,"",(AVERAGEIFS('09월 화학성분'!Q$12:Q$949,'09월 화학성분'!$A$12:$A$949,$A109,'09월 화학성분'!$D$12:$D$949,$B109)))</f>
        <v/>
      </c>
      <c r="AB109" s="829" t="str">
        <f>IF($C109&lt;1,"",(AVERAGEIFS('09월 화학성분'!R$12:R$949,'09월 화학성분'!$A$12:$A$949,$A109,'09월 화학성분'!$D$12:$D$949,$B109)))</f>
        <v/>
      </c>
      <c r="AC109" s="829" t="str">
        <f>IF($C109&lt;1,"",(AVERAGEIFS('09월 화학성분'!U$12:U$949,'09월 화학성분'!$A$12:$A$949,$A109,'09월 화학성분'!$D$12:$D$949,$B109)))</f>
        <v/>
      </c>
      <c r="AD109" s="829" t="str">
        <f>IF($C109&lt;1,"",(AVERAGEIFS('09월 화학성분'!V$12:V$949,'09월 화학성분'!$A$12:$A$949,$A109,'09월 화학성분'!$D$12:$D$949,$B109)))</f>
        <v/>
      </c>
      <c r="AE109" s="829" t="str">
        <f>IF($C109&lt;1,"",(AVERAGEIFS('09월 화학성분'!W$12:W$949,'09월 화학성분'!$A$12:$A$949,$A109,'09월 화학성분'!$D$12:$D$949,$B109)))</f>
        <v/>
      </c>
      <c r="AF109" s="829" t="str">
        <f>IF($C109&lt;1,"",(AVERAGEIFS('09월 화학성분'!AA$12:AA$949,'09월 화학성분'!$A$12:$A$949,$A109,'09월 화학성분'!$D$12:$D$949,$B109)))</f>
        <v/>
      </c>
      <c r="AG109" s="829" t="str">
        <f>IF($C109&lt;1,"",(AVERAGEIFS('09월 화학성분'!#REF!,'09월 화학성분'!$A$12:$A$949,$A109,'09월 화학성분'!$D$12:$D$949,$B109)))</f>
        <v/>
      </c>
      <c r="AH109" s="829" t="str">
        <f>IF($C109&lt;1,"",(AVERAGEIFS('09월 화학성분'!AB$12:AB$949,'09월 화학성분'!$A$12:$A$949,$A109,'09월 화학성분'!$D$12:$D$949,$B109)))</f>
        <v/>
      </c>
      <c r="AI109" s="829" t="str">
        <f>IF($C109&lt;1,"",(AVERAGEIFS('09월 화학성분'!AC$12:AC$949,'09월 화학성분'!$A$12:$A$949,$A109,'09월 화학성분'!$D$12:$D$949,$B109)))</f>
        <v/>
      </c>
      <c r="AJ109" s="829" t="str">
        <f>IF($C109&lt;1,"",(AVERAGEIFS('09월 화학성분'!AD$12:AD$949,'09월 화학성분'!$A$12:$A$949,$A109,'09월 화학성분'!$D$12:$D$949,$B109)))</f>
        <v/>
      </c>
      <c r="AK109" s="829" t="str">
        <f>IF($C109&lt;1,"",(AVERAGEIFS('09월 화학성분'!AF$12:AF$949,'09월 화학성분'!$A$12:$A$949,$A109,'09월 화학성분'!$D$12:$D$949,$B109)))</f>
        <v/>
      </c>
      <c r="AL109" s="829" t="str">
        <f>IF($C109&lt;1,"",(AVERAGEIFS('09월 화학성분'!AG$12:AG$949,'09월 화학성분'!$A$12:$A$949,$A109,'09월 화학성분'!$D$12:$D$949,$B109)))</f>
        <v/>
      </c>
      <c r="AM109" s="829" t="str">
        <f>IF($C109&lt;1,"",(AVERAGEIFS('09월 화학성분'!AH$12:AH$949,'09월 화학성분'!$A$12:$A$949,$A109,'09월 화학성분'!$D$12:$D$949,$B109)))</f>
        <v/>
      </c>
      <c r="AN109" s="829" t="str">
        <f>IF($C109&lt;1,"",(AVERAGEIFS('09월 화학성분'!AI$12:AI$949,'09월 화학성분'!$A$12:$A$949,$A109,'09월 화학성분'!$D$12:$D$949,$B109)))</f>
        <v/>
      </c>
      <c r="AO109" s="829" t="str">
        <f>IF($C109&lt;1,"",(AVERAGEIFS('09월 화학성분'!AJ$12:AJ$949,'09월 화학성분'!$A$12:$A$949,$A109,'09월 화학성분'!$D$12:$D$949,$B109)))</f>
        <v/>
      </c>
      <c r="AP109" s="829" t="str">
        <f>IF($C109&lt;1,"",(AVERAGEIFS('09월 화학성분'!#REF!,'09월 화학성분'!$A$12:$A$949,$A109,'09월 화학성분'!$D$12:$D$949,$B109)))</f>
        <v/>
      </c>
      <c r="AQ109" s="829" t="str">
        <f>IF($C109&lt;1,"",(AVERAGEIFS('09월 화학성분'!AL$12:AL$949,'09월 화학성분'!$A$12:$A$949,$A109,'09월 화학성분'!$D$12:$D$949,$B109)))</f>
        <v/>
      </c>
      <c r="AR109" s="829" t="str">
        <f>IF($C109&lt;1,"",(AVERAGEIFS('09월 화학성분'!AM$12:AM$949,'09월 화학성분'!$A$12:$A$949,$A109,'09월 화학성분'!$D$12:$D$949,$B109)))</f>
        <v/>
      </c>
      <c r="AS109" s="830" t="str">
        <f>IF($C109&lt;1,"",(AVERAGEIFS('09월 화학성분'!AN$12:AN$949,'09월 화학성분'!$A$12:$A$949,$A109,'09월 화학성분'!$D$12:$D$949,$B109)))</f>
        <v/>
      </c>
      <c r="AT109" s="830" t="str">
        <f>IF($C109&lt;1,"",(AVERAGEIFS('09월 화학성분'!AO$12:AO$949,'09월 화학성분'!$A$12:$A$949,$A109,'09월 화학성분'!$D$12:$D$949,$B109)))</f>
        <v/>
      </c>
      <c r="AU109" s="831" t="str">
        <f>IF($C109&lt;1,"",(AVERAGEIFS('09월 화학성분'!AP$12:AP$949,'09월 화학성분'!$A$12:$A$949,$A109,'09월 화학성분'!$D$12:$D$949,$B109)))</f>
        <v/>
      </c>
      <c r="AV109" s="832" t="str">
        <f>IF($C109&lt;1,"",(AVERAGEIFS('09월 고철장입'!G$14:G$949,'09월 고철장입'!$A$14:$A$949,$A109,'09월 고철장입'!$C$14:$C$949,$B109))/1000)</f>
        <v/>
      </c>
      <c r="AW109" s="832" t="str">
        <f>IF($C109&lt;1,"",(AVERAGEIFS('09월 고철장입'!H$14:H$949,'09월 고철장입'!$A$14:$A$949,$A109,'09월 고철장입'!$C$14:$C$949,$B109))/1000)</f>
        <v/>
      </c>
      <c r="AX109" s="832" t="str">
        <f>IF($C109&lt;1,"",(AVERAGEIFS('09월 고철장입'!I$14:I$949,'09월 고철장입'!$A$14:$A$949,$A109,'09월 고철장입'!$C$14:$C$949,$B109))/1000)</f>
        <v/>
      </c>
      <c r="AY109" s="832" t="str">
        <f>IF($C109&lt;1,"",(AVERAGEIFS('09월 고철장입'!J$14:J$949,'09월 고철장입'!$A$14:$A$949,$A109,'09월 고철장입'!$C$14:$C$949,$B109))/1000)</f>
        <v/>
      </c>
      <c r="AZ109" s="832" t="str">
        <f>IF($C109&lt;1,"",(AVERAGEIFS('09월 고철장입'!K$14:K$949,'09월 고철장입'!$A$14:$A$949,$A109,'09월 고철장입'!$C$14:$C$949,$B109))/1000)</f>
        <v/>
      </c>
      <c r="BA109" s="832" t="str">
        <f>IF($C109&lt;1,"",(AVERAGEIFS('09월 고철장입'!L$14:L$949,'09월 고철장입'!$A$14:$A$949,$A109,'09월 고철장입'!$C$14:$C$949,$B109))/1000)</f>
        <v/>
      </c>
      <c r="BB109" s="832" t="str">
        <f>IF($C109&lt;1,"",(AVERAGEIFS('09월 고철장입'!M$14:M$949,'09월 고철장입'!$A$14:$A$949,$A109,'09월 고철장입'!$C$14:$C$949,$B109))/1000)</f>
        <v/>
      </c>
      <c r="BC109" s="832" t="str">
        <f>IF($C109&lt;1,"",(AVERAGEIFS('09월 고철장입'!N$14:N$949,'09월 고철장입'!$A$14:$A$949,$A109,'09월 고철장입'!$C$14:$C$949,$B109))/1000)</f>
        <v/>
      </c>
      <c r="BD109" s="832" t="str">
        <f>IF($C109&lt;1,"",(AVERAGEIFS('09월 고철장입'!O$14:O$949,'09월 고철장입'!$A$14:$A$949,$A109,'09월 고철장입'!$C$14:$C$949,$B109))/1000)</f>
        <v/>
      </c>
      <c r="BE109" s="833" t="str">
        <f>IF($C109&lt;1,"",(AVERAGEIFS('09월 고철장입'!P$14:P$949,'09월 고철장입'!$A$14:$A$949,$A109,'09월 고철장입'!$C$14:$C$949,$B109))/1000)</f>
        <v/>
      </c>
      <c r="BF109" s="833" t="str">
        <f>IF($C109&lt;1,"",(AVERAGEIFS('09월 고철장입'!Q$14:Q$949,'09월 고철장입'!$A$14:$A$949,$A109,'09월 고철장입'!$C$14:$C$949,$B109))/1000)</f>
        <v/>
      </c>
      <c r="BG109" s="833" t="str">
        <f>IF($C109&lt;1,"",(AVERAGEIFS('09월 고철장입'!S$14:S$949,'09월 고철장입'!$A$14:$A$949,$A109,'09월 고철장입'!$C$14:$C$949,$B109))/1000)</f>
        <v/>
      </c>
      <c r="BH109" s="833" t="str">
        <f>IF($C109&lt;1,"",(AVERAGEIFS('09월 고철장입'!T$14:T$949,'09월 고철장입'!$A$14:$A$949,$A109,'09월 고철장입'!$C$14:$C$949,$B109))/1000)</f>
        <v/>
      </c>
      <c r="BI109" s="833" t="str">
        <f>IF($C109&lt;1,"",(AVERAGEIFS('09월 고철장입'!U$14:U$949,'09월 고철장입'!$A$14:$A$949,$A109,'09월 고철장입'!$C$14:$C$949,$B109))/1000)</f>
        <v/>
      </c>
      <c r="BJ109" s="833" t="str">
        <f>IF($C109&lt;1,"",(AVERAGEIFS('09월 고철장입'!V$14:V$949,'09월 고철장입'!$A$14:$A$949,$A109,'09월 고철장입'!$C$14:$C$949,$B109))/1000)</f>
        <v/>
      </c>
      <c r="BK109" s="833" t="str">
        <f>IF($C109&lt;1,"",(AVERAGEIFS('09월 고철장입'!W$14:W$949,'09월 고철장입'!$A$14:$A$949,$A109,'09월 고철장입'!$C$14:$C$949,$B109))/1000)</f>
        <v/>
      </c>
      <c r="BL109" s="833" t="str">
        <f>IF($C109&lt;1,"",(AVERAGEIFS('09월 고철장입'!Y$14:Y$949,'09월 고철장입'!$A$14:$A$949,$A109,'09월 고철장입'!$C$14:$C$949,$B109))/1000)</f>
        <v/>
      </c>
      <c r="BM109" s="833" t="str">
        <f>IF($C109&lt;1,"",(AVERAGEIFS('09월 고철장입'!AB$14:AB$949,'09월 고철장입'!$A$14:$A$949,$A109,'09월 고철장입'!$C$14:$C$949,$B109))/1000)</f>
        <v/>
      </c>
      <c r="BN109" s="833" t="str">
        <f>IF($C109&lt;1,"",(AVERAGEIFS('09월 고철장입'!AC$14:AC$949,'09월 고철장입'!$A$14:$A$949,$A109,'09월 고철장입'!$C$14:$C$949,$B109))/1000)</f>
        <v/>
      </c>
      <c r="BO109" s="833" t="str">
        <f>IF($C109&lt;1,"",(AVERAGEIFS('09월 고철장입'!AD$14:AD$949,'09월 고철장입'!$A$14:$A$949,$A109,'09월 고철장입'!$C$14:$C$949,$B109))/1000)</f>
        <v/>
      </c>
      <c r="BP109" s="833" t="str">
        <f>IF($C109&lt;1,"",(AVERAGEIFS('09월 고철장입'!AE$14:AE$949,'09월 고철장입'!$A$14:$A$949,$A109,'09월 고철장입'!$C$14:$C$949,$B109))/1000)</f>
        <v/>
      </c>
      <c r="BQ109" s="832" t="str">
        <f>IF($C109&lt;1,"",(AVERAGEIFS('09월 고철장입'!AF$14:AF$949,'09월 고철장입'!$A$14:$A$949,$A109,'09월 고철장입'!$C$14:$C$949,$B109))/1000)</f>
        <v/>
      </c>
      <c r="BR109" s="832" t="str">
        <f>IF($C109&lt;1,"",(AVERAGEIFS('09월 고철장입'!AG$14:AG$949,'09월 고철장입'!$A$14:$A$949,$A109,'09월 고철장입'!$C$14:$C$949,$B109))/1000)</f>
        <v/>
      </c>
      <c r="BS109" s="832" t="str">
        <f>IF($C109&lt;1,"",(AVERAGEIFS('09월 고철장입'!AH$14:AH$949,'09월 고철장입'!$A$14:$A$949,$A109,'09월 고철장입'!$C$14:$C$949,$B109))/1000)</f>
        <v/>
      </c>
      <c r="BT109" s="832" t="str">
        <f>IF($C109&lt;1,"",(AVERAGEIFS('09월 고철장입'!AI$14:AI$949,'09월 고철장입'!$A$14:$A$949,$A109,'09월 고철장입'!$C$14:$C$949,$B109))/1000)</f>
        <v/>
      </c>
      <c r="BU109" s="834" t="str">
        <f>IF($C109&lt;1,"",(AVERAGEIFS('09월 고철장입'!AJ$14:AJ$949,'09월 고철장입'!$A$14:$A$949,$A109,'09월 고철장입'!$C$14:$C$949,$B109))/1000)</f>
        <v/>
      </c>
      <c r="BV109" s="834" t="str">
        <f>IF($C109&lt;1,"",(AVERAGEIFS('09월 고철장입'!AK$14:AK$949,'09월 고철장입'!$A$14:$A$949,$A109,'09월 고철장입'!$C$14:$C$949,$B109)))</f>
        <v/>
      </c>
      <c r="BW109" s="834" t="str">
        <f>IF($C109&lt;1,"",(AVERAGEIFS('09월 고철장입'!AL$14:AL$949,'09월 고철장입'!$A$14:$A$949,$A109,'09월 고철장입'!$C$14:$C$949,$B109))*100)</f>
        <v/>
      </c>
      <c r="BX109" s="831" t="str">
        <f>IF($C109&lt;1,"",(AVERAGEIFS('09월 에너지'!G$14:G$949,'09월 에너지'!$A$14:$A$949,$A109,'09월 에너지'!$C$14:$C$949,$B109)))</f>
        <v/>
      </c>
      <c r="BY109" s="835" t="str">
        <f>IF($C109&lt;1,"",(AVERAGEIFS('09월 에너지'!H$14:H$949,'09월 에너지'!$A$14:$A$949,$A109,'09월 에너지'!$C$14:$C$949,$B109)))</f>
        <v/>
      </c>
      <c r="BZ109" s="831" t="str">
        <f>IF($C109&lt;1,"",(AVERAGEIFS('09월 에너지'!I$14:I$949,'09월 에너지'!$A$14:$A$949,$A109,'09월 에너지'!$C$14:$C$949,$B109)))</f>
        <v/>
      </c>
      <c r="CA109" s="835" t="str">
        <f>IF($C109&lt;1,"",(AVERAGEIFS('09월 에너지'!J$14:J$949,'09월 에너지'!$A$14:$A$949,$A109,'09월 에너지'!$C$14:$C$949,$B109)))</f>
        <v/>
      </c>
      <c r="CB109" s="831" t="str">
        <f>IF($C109&lt;1,"",(AVERAGEIFS('09월 에너지'!K$14:K$949,'09월 에너지'!$A$14:$A$949,$A109,'09월 에너지'!$C$14:$C$949,$B109)))</f>
        <v/>
      </c>
      <c r="CC109" s="835" t="str">
        <f>IF($C109&lt;1,"",(AVERAGEIFS('09월 에너지'!L$14:L$949,'09월 에너지'!$A$14:$A$949,$A109,'09월 에너지'!$C$14:$C$949,$B109)))</f>
        <v/>
      </c>
      <c r="CD109" s="831" t="str">
        <f>IF($C109&lt;1,"",(AVERAGEIFS('09월 에너지'!M$14:M$949,'09월 에너지'!$A$14:$A$949,$A109,'09월 에너지'!$C$14:$C$949,$B109)))</f>
        <v/>
      </c>
      <c r="CE109" s="835" t="str">
        <f>IF($C109&lt;1,"",(AVERAGEIFS('09월 에너지'!N$14:N$949,'09월 에너지'!$A$14:$A$949,$A109,'09월 에너지'!$C$14:$C$949,$B109)))</f>
        <v/>
      </c>
      <c r="CF109" s="831" t="str">
        <f>IF($C109&lt;1,"",(AVERAGEIFS('09월 에너지'!O$14:O$949,'09월 에너지'!$A$14:$A$949,$A109,'09월 에너지'!$C$14:$C$949,$B109)))</f>
        <v/>
      </c>
      <c r="CG109" s="831" t="str">
        <f>IF($C109&lt;1,"",(AVERAGEIFS('09월 에너지'!P$14:P$949,'09월 에너지'!$A$14:$A$949,$A109,'09월 에너지'!$C$14:$C$949,$B109)))</f>
        <v/>
      </c>
      <c r="CH109" s="831" t="str">
        <f>IF($C109&lt;1,"",(AVERAGEIFS('09월 에너지'!Q$14:Q$949,'09월 에너지'!$A$14:$A$949,$A109,'09월 에너지'!$C$14:$C$949,$B109)))</f>
        <v/>
      </c>
      <c r="CI109" s="831" t="str">
        <f>IF($C109&lt;1,"",(AVERAGEIFS('09월 에너지'!R$14:R$949,'09월 에너지'!$A$14:$A$949,$A109,'09월 에너지'!$C$14:$C$949,$B109)))</f>
        <v/>
      </c>
      <c r="CJ109" s="831" t="str">
        <f>IF($C109&lt;1,"",(AVERAGEIFS('09월 에너지'!S$14:S$949,'09월 에너지'!$A$14:$A$949,$A109,'09월 에너지'!$C$14:$C$949,$B109)))</f>
        <v/>
      </c>
      <c r="CK109" s="831" t="str">
        <f>IF($C109&lt;1,"",(AVERAGEIFS('09월 에너지'!T$14:T$949,'09월 에너지'!$A$14:$A$949,$A109,'09월 에너지'!$C$14:$C$949,$B109)))</f>
        <v/>
      </c>
      <c r="CL109" s="831" t="str">
        <f>IF($C109&lt;1,"",(AVERAGEIFS('09월 에너지'!U$14:U$949,'09월 에너지'!$A$14:$A$949,$A109,'09월 에너지'!$C$14:$C$949,$B109)))</f>
        <v/>
      </c>
      <c r="CM109" s="835" t="str">
        <f>IF($C109&lt;1,"",(AVERAGEIFS('09월 에너지'!V$14:V$949,'09월 에너지'!$A$14:$A$949,$A109,'09월 에너지'!$C$14:$C$949,$B109)))</f>
        <v/>
      </c>
      <c r="CN109" s="835" t="str">
        <f>IF($C109&lt;1,"",(AVERAGEIFS('09월 에너지'!W$14:W$949,'09월 에너지'!$A$14:$A$949,$A109,'09월 에너지'!$C$14:$C$949,$B109)))</f>
        <v/>
      </c>
      <c r="CO109" s="831" t="str">
        <f>IF($C109&lt;1,"",(AVERAGEIFS('09월 에너지'!X$14:X$949,'09월 에너지'!$A$14:$A$949,$A109,'09월 에너지'!$C$14:$C$949,$B109)))</f>
        <v/>
      </c>
      <c r="CP109" s="835" t="str">
        <f>IF($C109&lt;1,"",(AVERAGEIFS('09월 에너지'!Y$14:Y$949,'09월 에너지'!$A$14:$A$949,$A109,'09월 에너지'!$C$14:$C$949,$B109)))</f>
        <v/>
      </c>
      <c r="CQ109" s="835" t="str">
        <f>IF($C109&lt;1,"",(AVERAGEIFS('09월 에너지'!Z$14:Z$949,'09월 에너지'!$A$14:$A$949,$A109,'09월 에너지'!$C$14:$C$949,$B109)))</f>
        <v/>
      </c>
      <c r="CR109" s="835" t="str">
        <f>IF($C109&lt;1,"",(AVERAGEIFS('09월 에너지'!AA$14:AA$949,'09월 에너지'!$A$14:$A$949,$A109,'09월 에너지'!$C$14:$C$949,$B109)))</f>
        <v/>
      </c>
      <c r="CS109" s="835" t="str">
        <f>IF($C109&lt;1,"",(AVERAGEIFS('09월 에너지'!AB$14:AB$949,'09월 에너지'!$A$14:$A$949,$A109,'09월 에너지'!$C$14:$C$949,$B109)))</f>
        <v/>
      </c>
      <c r="CT109" s="831" t="str">
        <f>IF($C109&lt;1,"",(AVERAGEIFS('09월 에너지'!AC$14:AC$949,'09월 에너지'!$A$14:$A$949,$A109,'09월 에너지'!$C$14:$C$949,$B109)))</f>
        <v/>
      </c>
      <c r="CU109" s="836" t="str">
        <f>IF($C109&lt;1,"",(AVERAGEIFS('09월 에너지'!AD$14:AD$949,'09월 에너지'!$A$14:$A$949,$A109,'09월 에너지'!$C$14:$C$949,$B109)))</f>
        <v/>
      </c>
      <c r="CV109" s="837" t="str">
        <f>IF($C109&lt;1,"",(AVERAGEIFS('09월 에너지'!AE$14:AE$949,'09월 에너지'!$A$14:$A$949,$A109,'09월 에너지'!$C$14:$C$949,$B109)))</f>
        <v/>
      </c>
      <c r="CW109" s="831" t="str">
        <f>IF($C109&lt;1,"",(AVERAGEIFS('09월 에너지'!AF$14:AF$949,'09월 에너지'!$A$14:$A$949,$A109,'09월 에너지'!$C$14:$C$949,$B109)))</f>
        <v/>
      </c>
      <c r="CX109" s="831" t="str">
        <f>IF($C109&lt;1,"",(AVERAGEIFS('09월 에너지'!AG$14:AG$949,'09월 에너지'!$A$14:$A$949,$A109,'09월 에너지'!$C$14:$C$949,$B109)))</f>
        <v/>
      </c>
      <c r="CY109" s="831" t="str">
        <f>IF($C109&lt;1,"",(AVERAGEIFS('09월 에너지'!AH$14:AH$949,'09월 에너지'!$A$14:$A$949,$A109,'09월 에너지'!$C$14:$C$949,$B109)))</f>
        <v/>
      </c>
      <c r="CZ109" s="831" t="str">
        <f>IF($C109&lt;1,"",(AVERAGEIFS('09월 에너지'!AI$14:AI$949,'09월 에너지'!$A$14:$A$949,$A109,'09월 에너지'!$C$14:$C$949,$B109)))</f>
        <v/>
      </c>
      <c r="DA109" s="838" t="str">
        <f>IF($C109&lt;1,"",(AVERAGEIFS('09월 에너지'!AJ$14:AJ$949,'09월 에너지'!$A$14:$A$949,$A109,'09월 에너지'!$C$14:$C$949,$B109)))</f>
        <v/>
      </c>
    </row>
    <row r="110" spans="1:105" ht="13.5" customHeight="1" thickBot="1">
      <c r="A110" s="851">
        <f t="shared" si="20"/>
        <v>44947</v>
      </c>
      <c r="B110" s="852" t="s">
        <v>94</v>
      </c>
      <c r="C110" s="841">
        <f>COUNTIFS('09월 조업일지'!$A$12:$A$952,A106,'09월 조업일지'!$E$12:$E$952,B110)</f>
        <v>0</v>
      </c>
      <c r="D110" s="842" t="str">
        <f t="shared" si="24"/>
        <v/>
      </c>
      <c r="E110" s="842" t="str">
        <f>IF($C110&lt;1,"",(SUMIFS('09월 조업일지'!$K$12:$K$952,'09월 조업일지'!$A$12:$A$952,$A110,'09월 조업일지'!$E$12:$E$952,$B110)/$C110))</f>
        <v/>
      </c>
      <c r="F110" s="842" t="str">
        <f>IF($C110&lt;1,"",(AVERAGEIFS('09월 조업일지'!$J$12:$J$952,'09월 조업일지'!$A$12:$A$952,$A110,'09월 조업일지'!$E$12:$E$952,$B110)))</f>
        <v/>
      </c>
      <c r="G110" s="843" t="str">
        <f>IF($C110&lt;1,"",(AVERAGEIFS('09월 에너지'!$M$14:$M$949,'09월 에너지'!$A$14:$A$949,$A110,'09월 에너지'!$C$14:$C$949,$B110)))</f>
        <v/>
      </c>
      <c r="H110" s="844" t="str">
        <f>IF($C110&lt;1,"",(AVERAGEIFS('09월 조업일지'!$AJ$12:$AJ$952,'09월 조업일지'!$A$12:$A$952,$A110,'09월 조업일지'!$E$12:$E$952,$B110)))</f>
        <v/>
      </c>
      <c r="I110" s="844" t="str">
        <f>IF($C110&lt;1,"",(AVERAGEIFS('09월 조업일지'!$AL$12:$AL$952,'09월 조업일지'!$A$12:$A$952,$A110,'09월 조업일지'!$E$12:$E$952,$B110)))</f>
        <v/>
      </c>
      <c r="J110" s="845" t="str">
        <f>IF($C110&lt;1,"",(AVERAGEIFS('09월 화학성분'!G$12:G$949,'09월 화학성분'!$A$12:$A$949,$A110,'09월 화학성분'!$D$12:$D$949,$B110)))</f>
        <v/>
      </c>
      <c r="K110" s="845" t="str">
        <f>IF($C110&lt;1,"",(AVERAGEIFS('09월 화학성분'!H$12:H$949,'09월 화학성분'!$A$12:$A$949,$A110,'09월 화학성분'!$D$12:$D$949,$B110)))</f>
        <v/>
      </c>
      <c r="L110" s="845" t="str">
        <f>IF($C110&lt;1,"",(AVERAGEIFS('09월 화학성분'!I$12:I$949,'09월 화학성분'!$A$12:$A$949,$A110,'09월 화학성분'!$D$12:$D$949,$B110)))</f>
        <v/>
      </c>
      <c r="M110" s="845" t="str">
        <f>IF($C110&lt;1,"",(AVERAGEIFS('09월 화학성분'!J$12:J$949,'09월 화학성분'!$A$12:$A$949,$A110,'09월 화학성분'!$D$12:$D$949,$B110)))</f>
        <v/>
      </c>
      <c r="N110" s="845" t="str">
        <f>IF($C110&lt;1,"",(AVERAGEIFS('09월 화학성분'!K$12:K$949,'09월 화학성분'!$A$12:$A$949,$A110,'09월 화학성분'!$D$12:$D$949,$B110)))</f>
        <v/>
      </c>
      <c r="O110" s="845" t="str">
        <f>IF($C110&lt;1,"",(AVERAGEIFS('09월 화학성분'!L$12:L$949,'09월 화학성분'!$A$12:$A$949,$A110,'09월 화학성분'!$D$12:$D$949,$B110)))</f>
        <v/>
      </c>
      <c r="P110" s="845" t="str">
        <f>IF($C110&lt;1,"",(AVERAGEIFS('09월 화학성분'!M$12:M$949,'09월 화학성분'!$A$12:$A$949,$A110,'09월 화학성분'!$D$12:$D$949,$B110)))</f>
        <v/>
      </c>
      <c r="Q110" s="827" t="str">
        <f>IFERROR(IF($C110&lt;1,"",(AVERAGEIFS('09월 조업일지'!$AA$12:$AA$952,'09월 조업일지'!$A$12:$A$952,$A110,'09월 조업일지'!$E$12:$E$952,$B110))),"")</f>
        <v/>
      </c>
      <c r="R110" s="845" t="str">
        <f>IF($C110&lt;1,"",(AVERAGEIFS('09월 조업일지'!$AK$12:$AK$952,'09월 조업일지'!$A$12:$A$952,$A110,'09월 조업일지'!$E$12:$E$952,$B110)))</f>
        <v/>
      </c>
      <c r="S110" s="845"/>
      <c r="T110" s="845"/>
      <c r="U110" s="845" t="str">
        <f>IF($C110&lt;1,"",(AVERAGEIFS('09월 화학성분'!$G$12:$G$949,'09월 화학성분'!$A$12:$A$949,$A110,'09월 화학성분'!$D$12:$D$949,$B110)))</f>
        <v/>
      </c>
      <c r="V110" s="845" t="str">
        <f>IF($C110&lt;1,"",(AVERAGEIFS('09월 조업일지'!$AI$12:$AI$952,'09월 조업일지'!$A$12:$A$952,$A110,'09월 조업일지'!$E$12:$E$952,$B110)))</f>
        <v/>
      </c>
      <c r="W110" s="846" t="str">
        <f>IF($C110&lt;1,"",(AVERAGEIFS('09월 화학성분'!$AM$12:$AM$949,'09월 화학성분'!$A$12:$A$949,$A110,'09월 화학성분'!$D$12:$D$949,$B110)))</f>
        <v/>
      </c>
      <c r="X110" s="829" t="str">
        <f>IF($C110&lt;1,"",(AVERAGEIFS('09월 화학성분'!N$12:N$949,'09월 화학성분'!$A$12:$A$949,$A110,'09월 화학성분'!$D$12:$D$949,$B110)))</f>
        <v/>
      </c>
      <c r="Y110" s="829" t="str">
        <f>IF($C110&lt;1,"",(AVERAGEIFS('09월 화학성분'!O$12:O$949,'09월 화학성분'!$A$12:$A$949,$A110,'09월 화학성분'!$D$12:$D$949,$B110)))</f>
        <v/>
      </c>
      <c r="Z110" s="829" t="str">
        <f>IF($C110&lt;1,"",(AVERAGEIFS('09월 화학성분'!P$12:P$949,'09월 화학성분'!$A$12:$A$949,$A110,'09월 화학성분'!$D$12:$D$949,$B110)))</f>
        <v/>
      </c>
      <c r="AA110" s="829" t="str">
        <f>IF($C110&lt;1,"",(AVERAGEIFS('09월 화학성분'!Q$12:Q$949,'09월 화학성분'!$A$12:$A$949,$A110,'09월 화학성분'!$D$12:$D$949,$B110)))</f>
        <v/>
      </c>
      <c r="AB110" s="829" t="str">
        <f>IF($C110&lt;1,"",(AVERAGEIFS('09월 화학성분'!R$12:R$949,'09월 화학성분'!$A$12:$A$949,$A110,'09월 화학성분'!$D$12:$D$949,$B110)))</f>
        <v/>
      </c>
      <c r="AC110" s="829" t="str">
        <f>IF($C110&lt;1,"",(AVERAGEIFS('09월 화학성분'!U$12:U$949,'09월 화학성분'!$A$12:$A$949,$A110,'09월 화학성분'!$D$12:$D$949,$B110)))</f>
        <v/>
      </c>
      <c r="AD110" s="829" t="str">
        <f>IF($C110&lt;1,"",(AVERAGEIFS('09월 화학성분'!V$12:V$949,'09월 화학성분'!$A$12:$A$949,$A110,'09월 화학성분'!$D$12:$D$949,$B110)))</f>
        <v/>
      </c>
      <c r="AE110" s="829" t="str">
        <f>IF($C110&lt;1,"",(AVERAGEIFS('09월 화학성분'!W$12:W$949,'09월 화학성분'!$A$12:$A$949,$A110,'09월 화학성분'!$D$12:$D$949,$B110)))</f>
        <v/>
      </c>
      <c r="AF110" s="829" t="str">
        <f>IF($C110&lt;1,"",(AVERAGEIFS('09월 화학성분'!AA$12:AA$949,'09월 화학성분'!$A$12:$A$949,$A110,'09월 화학성분'!$D$12:$D$949,$B110)))</f>
        <v/>
      </c>
      <c r="AG110" s="829" t="str">
        <f>IF($C110&lt;1,"",(AVERAGEIFS('09월 화학성분'!#REF!,'09월 화학성분'!$A$12:$A$949,$A110,'09월 화학성분'!$D$12:$D$949,$B110)))</f>
        <v/>
      </c>
      <c r="AH110" s="829" t="str">
        <f>IF($C110&lt;1,"",(AVERAGEIFS('09월 화학성분'!AB$12:AB$949,'09월 화학성분'!$A$12:$A$949,$A110,'09월 화학성분'!$D$12:$D$949,$B110)))</f>
        <v/>
      </c>
      <c r="AI110" s="829" t="str">
        <f>IF($C110&lt;1,"",(AVERAGEIFS('09월 화학성분'!AC$12:AC$949,'09월 화학성분'!$A$12:$A$949,$A110,'09월 화학성분'!$D$12:$D$949,$B110)))</f>
        <v/>
      </c>
      <c r="AJ110" s="829" t="str">
        <f>IF($C110&lt;1,"",(AVERAGEIFS('09월 화학성분'!AD$12:AD$949,'09월 화학성분'!$A$12:$A$949,$A110,'09월 화학성분'!$D$12:$D$949,$B110)))</f>
        <v/>
      </c>
      <c r="AK110" s="829" t="str">
        <f>IF($C110&lt;1,"",(AVERAGEIFS('09월 화학성분'!AF$12:AF$949,'09월 화학성분'!$A$12:$A$949,$A110,'09월 화학성분'!$D$12:$D$949,$B110)))</f>
        <v/>
      </c>
      <c r="AL110" s="829" t="str">
        <f>IF($C110&lt;1,"",(AVERAGEIFS('09월 화학성분'!AG$12:AG$949,'09월 화학성분'!$A$12:$A$949,$A110,'09월 화학성분'!$D$12:$D$949,$B110)))</f>
        <v/>
      </c>
      <c r="AM110" s="829" t="str">
        <f>IF($C110&lt;1,"",(AVERAGEIFS('09월 화학성분'!AH$12:AH$949,'09월 화학성분'!$A$12:$A$949,$A110,'09월 화학성분'!$D$12:$D$949,$B110)))</f>
        <v/>
      </c>
      <c r="AN110" s="829" t="str">
        <f>IF($C110&lt;1,"",(AVERAGEIFS('09월 화학성분'!AI$12:AI$949,'09월 화학성분'!$A$12:$A$949,$A110,'09월 화학성분'!$D$12:$D$949,$B110)))</f>
        <v/>
      </c>
      <c r="AO110" s="829" t="str">
        <f>IF($C110&lt;1,"",(AVERAGEIFS('09월 화학성분'!AJ$12:AJ$949,'09월 화학성분'!$A$12:$A$949,$A110,'09월 화학성분'!$D$12:$D$949,$B110)))</f>
        <v/>
      </c>
      <c r="AP110" s="829" t="str">
        <f>IF($C110&lt;1,"",(AVERAGEIFS('09월 화학성분'!#REF!,'09월 화학성분'!$A$12:$A$949,$A110,'09월 화학성분'!$D$12:$D$949,$B110)))</f>
        <v/>
      </c>
      <c r="AQ110" s="829" t="str">
        <f>IF($C110&lt;1,"",(AVERAGEIFS('09월 화학성분'!AL$12:AL$949,'09월 화학성분'!$A$12:$A$949,$A110,'09월 화학성분'!$D$12:$D$949,$B110)))</f>
        <v/>
      </c>
      <c r="AR110" s="829" t="str">
        <f>IF($C110&lt;1,"",(AVERAGEIFS('09월 화학성분'!AM$12:AM$949,'09월 화학성분'!$A$12:$A$949,$A110,'09월 화학성분'!$D$12:$D$949,$B110)))</f>
        <v/>
      </c>
      <c r="AS110" s="830" t="str">
        <f>IF($C110&lt;1,"",(AVERAGEIFS('09월 화학성분'!AN$12:AN$949,'09월 화학성분'!$A$12:$A$949,$A110,'09월 화학성분'!$D$12:$D$949,$B110)))</f>
        <v/>
      </c>
      <c r="AT110" s="830" t="str">
        <f>IF($C110&lt;1,"",(AVERAGEIFS('09월 화학성분'!AO$12:AO$949,'09월 화학성분'!$A$12:$A$949,$A110,'09월 화학성분'!$D$12:$D$949,$B110)))</f>
        <v/>
      </c>
      <c r="AU110" s="831" t="str">
        <f>IF($C110&lt;1,"",(AVERAGEIFS('09월 화학성분'!AP$12:AP$949,'09월 화학성분'!$A$12:$A$949,$A110,'09월 화학성분'!$D$12:$D$949,$B110)))</f>
        <v/>
      </c>
      <c r="AV110" s="832" t="str">
        <f>IF($C110&lt;1,"",(AVERAGEIFS('09월 고철장입'!G$14:G$949,'09월 고철장입'!$A$14:$A$949,$A110,'09월 고철장입'!$C$14:$C$949,$B110))/1000)</f>
        <v/>
      </c>
      <c r="AW110" s="832" t="str">
        <f>IF($C110&lt;1,"",(AVERAGEIFS('09월 고철장입'!H$14:H$949,'09월 고철장입'!$A$14:$A$949,$A110,'09월 고철장입'!$C$14:$C$949,$B110))/1000)</f>
        <v/>
      </c>
      <c r="AX110" s="832" t="str">
        <f>IF($C110&lt;1,"",(AVERAGEIFS('09월 고철장입'!I$14:I$949,'09월 고철장입'!$A$14:$A$949,$A110,'09월 고철장입'!$C$14:$C$949,$B110))/1000)</f>
        <v/>
      </c>
      <c r="AY110" s="832" t="str">
        <f>IF($C110&lt;1,"",(AVERAGEIFS('09월 고철장입'!J$14:J$949,'09월 고철장입'!$A$14:$A$949,$A110,'09월 고철장입'!$C$14:$C$949,$B110))/1000)</f>
        <v/>
      </c>
      <c r="AZ110" s="832" t="str">
        <f>IF($C110&lt;1,"",(AVERAGEIFS('09월 고철장입'!K$14:K$949,'09월 고철장입'!$A$14:$A$949,$A110,'09월 고철장입'!$C$14:$C$949,$B110))/1000)</f>
        <v/>
      </c>
      <c r="BA110" s="832" t="str">
        <f>IF($C110&lt;1,"",(AVERAGEIFS('09월 고철장입'!L$14:L$949,'09월 고철장입'!$A$14:$A$949,$A110,'09월 고철장입'!$C$14:$C$949,$B110))/1000)</f>
        <v/>
      </c>
      <c r="BB110" s="832" t="str">
        <f>IF($C110&lt;1,"",(AVERAGEIFS('09월 고철장입'!M$14:M$949,'09월 고철장입'!$A$14:$A$949,$A110,'09월 고철장입'!$C$14:$C$949,$B110))/1000)</f>
        <v/>
      </c>
      <c r="BC110" s="832" t="str">
        <f>IF($C110&lt;1,"",(AVERAGEIFS('09월 고철장입'!N$14:N$949,'09월 고철장입'!$A$14:$A$949,$A110,'09월 고철장입'!$C$14:$C$949,$B110))/1000)</f>
        <v/>
      </c>
      <c r="BD110" s="832" t="str">
        <f>IF($C110&lt;1,"",(AVERAGEIFS('09월 고철장입'!O$14:O$949,'09월 고철장입'!$A$14:$A$949,$A110,'09월 고철장입'!$C$14:$C$949,$B110))/1000)</f>
        <v/>
      </c>
      <c r="BE110" s="833" t="str">
        <f>IF($C110&lt;1,"",(AVERAGEIFS('09월 고철장입'!P$14:P$949,'09월 고철장입'!$A$14:$A$949,$A110,'09월 고철장입'!$C$14:$C$949,$B110))/1000)</f>
        <v/>
      </c>
      <c r="BF110" s="833" t="str">
        <f>IF($C110&lt;1,"",(AVERAGEIFS('09월 고철장입'!Q$14:Q$949,'09월 고철장입'!$A$14:$A$949,$A110,'09월 고철장입'!$C$14:$C$949,$B110))/1000)</f>
        <v/>
      </c>
      <c r="BG110" s="833" t="str">
        <f>IF($C110&lt;1,"",(AVERAGEIFS('09월 고철장입'!S$14:S$949,'09월 고철장입'!$A$14:$A$949,$A110,'09월 고철장입'!$C$14:$C$949,$B110))/1000)</f>
        <v/>
      </c>
      <c r="BH110" s="833" t="str">
        <f>IF($C110&lt;1,"",(AVERAGEIFS('09월 고철장입'!T$14:T$949,'09월 고철장입'!$A$14:$A$949,$A110,'09월 고철장입'!$C$14:$C$949,$B110))/1000)</f>
        <v/>
      </c>
      <c r="BI110" s="833" t="str">
        <f>IF($C110&lt;1,"",(AVERAGEIFS('09월 고철장입'!U$14:U$949,'09월 고철장입'!$A$14:$A$949,$A110,'09월 고철장입'!$C$14:$C$949,$B110))/1000)</f>
        <v/>
      </c>
      <c r="BJ110" s="833" t="str">
        <f>IF($C110&lt;1,"",(AVERAGEIFS('09월 고철장입'!V$14:V$949,'09월 고철장입'!$A$14:$A$949,$A110,'09월 고철장입'!$C$14:$C$949,$B110))/1000)</f>
        <v/>
      </c>
      <c r="BK110" s="833" t="str">
        <f>IF($C110&lt;1,"",(AVERAGEIFS('09월 고철장입'!W$14:W$949,'09월 고철장입'!$A$14:$A$949,$A110,'09월 고철장입'!$C$14:$C$949,$B110))/1000)</f>
        <v/>
      </c>
      <c r="BL110" s="833" t="str">
        <f>IF($C110&lt;1,"",(AVERAGEIFS('09월 고철장입'!Y$14:Y$949,'09월 고철장입'!$A$14:$A$949,$A110,'09월 고철장입'!$C$14:$C$949,$B110))/1000)</f>
        <v/>
      </c>
      <c r="BM110" s="833" t="str">
        <f>IF($C110&lt;1,"",(AVERAGEIFS('09월 고철장입'!AB$14:AB$949,'09월 고철장입'!$A$14:$A$949,$A110,'09월 고철장입'!$C$14:$C$949,$B110))/1000)</f>
        <v/>
      </c>
      <c r="BN110" s="833" t="str">
        <f>IF($C110&lt;1,"",(AVERAGEIFS('09월 고철장입'!AC$14:AC$949,'09월 고철장입'!$A$14:$A$949,$A110,'09월 고철장입'!$C$14:$C$949,$B110))/1000)</f>
        <v/>
      </c>
      <c r="BO110" s="833" t="str">
        <f>IF($C110&lt;1,"",(AVERAGEIFS('09월 고철장입'!AD$14:AD$949,'09월 고철장입'!$A$14:$A$949,$A110,'09월 고철장입'!$C$14:$C$949,$B110))/1000)</f>
        <v/>
      </c>
      <c r="BP110" s="833" t="str">
        <f>IF($C110&lt;1,"",(AVERAGEIFS('09월 고철장입'!AE$14:AE$949,'09월 고철장입'!$A$14:$A$949,$A110,'09월 고철장입'!$C$14:$C$949,$B110))/1000)</f>
        <v/>
      </c>
      <c r="BQ110" s="832" t="str">
        <f>IF($C110&lt;1,"",(AVERAGEIFS('09월 고철장입'!AF$14:AF$949,'09월 고철장입'!$A$14:$A$949,$A110,'09월 고철장입'!$C$14:$C$949,$B110))/1000)</f>
        <v/>
      </c>
      <c r="BR110" s="832" t="str">
        <f>IF($C110&lt;1,"",(AVERAGEIFS('09월 고철장입'!AG$14:AG$949,'09월 고철장입'!$A$14:$A$949,$A110,'09월 고철장입'!$C$14:$C$949,$B110))/1000)</f>
        <v/>
      </c>
      <c r="BS110" s="832" t="str">
        <f>IF($C110&lt;1,"",(AVERAGEIFS('09월 고철장입'!AH$14:AH$949,'09월 고철장입'!$A$14:$A$949,$A110,'09월 고철장입'!$C$14:$C$949,$B110))/1000)</f>
        <v/>
      </c>
      <c r="BT110" s="832" t="str">
        <f>IF($C110&lt;1,"",(AVERAGEIFS('09월 고철장입'!AI$14:AI$949,'09월 고철장입'!$A$14:$A$949,$A110,'09월 고철장입'!$C$14:$C$949,$B110))/1000)</f>
        <v/>
      </c>
      <c r="BU110" s="834" t="str">
        <f>IF($C110&lt;1,"",(AVERAGEIFS('09월 고철장입'!AJ$14:AJ$949,'09월 고철장입'!$A$14:$A$949,$A110,'09월 고철장입'!$C$14:$C$949,$B110))/1000)</f>
        <v/>
      </c>
      <c r="BV110" s="834" t="str">
        <f>IF($C110&lt;1,"",(AVERAGEIFS('09월 고철장입'!AK$14:AK$949,'09월 고철장입'!$A$14:$A$949,$A110,'09월 고철장입'!$C$14:$C$949,$B110)))</f>
        <v/>
      </c>
      <c r="BW110" s="834" t="str">
        <f>IF($C110&lt;1,"",(AVERAGEIFS('09월 고철장입'!AL$14:AL$949,'09월 고철장입'!$A$14:$A$949,$A110,'09월 고철장입'!$C$14:$C$949,$B110))*100)</f>
        <v/>
      </c>
      <c r="BX110" s="831" t="str">
        <f>IF($C110&lt;1,"",(AVERAGEIFS('09월 에너지'!G$14:G$949,'09월 에너지'!$A$14:$A$949,$A110,'09월 에너지'!$C$14:$C$949,$B110)))</f>
        <v/>
      </c>
      <c r="BY110" s="835" t="str">
        <f>IF($C110&lt;1,"",(AVERAGEIFS('09월 에너지'!H$14:H$949,'09월 에너지'!$A$14:$A$949,$A110,'09월 에너지'!$C$14:$C$949,$B110)))</f>
        <v/>
      </c>
      <c r="BZ110" s="831" t="str">
        <f>IF($C110&lt;1,"",(AVERAGEIFS('09월 에너지'!I$14:I$949,'09월 에너지'!$A$14:$A$949,$A110,'09월 에너지'!$C$14:$C$949,$B110)))</f>
        <v/>
      </c>
      <c r="CA110" s="835" t="str">
        <f>IF($C110&lt;1,"",(AVERAGEIFS('09월 에너지'!J$14:J$949,'09월 에너지'!$A$14:$A$949,$A110,'09월 에너지'!$C$14:$C$949,$B110)))</f>
        <v/>
      </c>
      <c r="CB110" s="831" t="str">
        <f>IF($C110&lt;1,"",(AVERAGEIFS('09월 에너지'!K$14:K$949,'09월 에너지'!$A$14:$A$949,$A110,'09월 에너지'!$C$14:$C$949,$B110)))</f>
        <v/>
      </c>
      <c r="CC110" s="835" t="str">
        <f>IF($C110&lt;1,"",(AVERAGEIFS('09월 에너지'!L$14:L$949,'09월 에너지'!$A$14:$A$949,$A110,'09월 에너지'!$C$14:$C$949,$B110)))</f>
        <v/>
      </c>
      <c r="CD110" s="831" t="str">
        <f>IF($C110&lt;1,"",(AVERAGEIFS('09월 에너지'!M$14:M$949,'09월 에너지'!$A$14:$A$949,$A110,'09월 에너지'!$C$14:$C$949,$B110)))</f>
        <v/>
      </c>
      <c r="CE110" s="835" t="str">
        <f>IF($C110&lt;1,"",(AVERAGEIFS('09월 에너지'!N$14:N$949,'09월 에너지'!$A$14:$A$949,$A110,'09월 에너지'!$C$14:$C$949,$B110)))</f>
        <v/>
      </c>
      <c r="CF110" s="831" t="str">
        <f>IF($C110&lt;1,"",(AVERAGEIFS('09월 에너지'!O$14:O$949,'09월 에너지'!$A$14:$A$949,$A110,'09월 에너지'!$C$14:$C$949,$B110)))</f>
        <v/>
      </c>
      <c r="CG110" s="831" t="str">
        <f>IF($C110&lt;1,"",(AVERAGEIFS('09월 에너지'!P$14:P$949,'09월 에너지'!$A$14:$A$949,$A110,'09월 에너지'!$C$14:$C$949,$B110)))</f>
        <v/>
      </c>
      <c r="CH110" s="831" t="str">
        <f>IF($C110&lt;1,"",(AVERAGEIFS('09월 에너지'!Q$14:Q$949,'09월 에너지'!$A$14:$A$949,$A110,'09월 에너지'!$C$14:$C$949,$B110)))</f>
        <v/>
      </c>
      <c r="CI110" s="831" t="str">
        <f>IF($C110&lt;1,"",(AVERAGEIFS('09월 에너지'!R$14:R$949,'09월 에너지'!$A$14:$A$949,$A110,'09월 에너지'!$C$14:$C$949,$B110)))</f>
        <v/>
      </c>
      <c r="CJ110" s="831" t="str">
        <f>IF($C110&lt;1,"",(AVERAGEIFS('09월 에너지'!S$14:S$949,'09월 에너지'!$A$14:$A$949,$A110,'09월 에너지'!$C$14:$C$949,$B110)))</f>
        <v/>
      </c>
      <c r="CK110" s="831" t="str">
        <f>IF($C110&lt;1,"",(AVERAGEIFS('09월 에너지'!T$14:T$949,'09월 에너지'!$A$14:$A$949,$A110,'09월 에너지'!$C$14:$C$949,$B110)))</f>
        <v/>
      </c>
      <c r="CL110" s="831" t="str">
        <f>IF($C110&lt;1,"",(AVERAGEIFS('09월 에너지'!U$14:U$949,'09월 에너지'!$A$14:$A$949,$A110,'09월 에너지'!$C$14:$C$949,$B110)))</f>
        <v/>
      </c>
      <c r="CM110" s="835" t="str">
        <f>IF($C110&lt;1,"",(AVERAGEIFS('09월 에너지'!V$14:V$949,'09월 에너지'!$A$14:$A$949,$A110,'09월 에너지'!$C$14:$C$949,$B110)))</f>
        <v/>
      </c>
      <c r="CN110" s="835" t="str">
        <f>IF($C110&lt;1,"",(AVERAGEIFS('09월 에너지'!W$14:W$949,'09월 에너지'!$A$14:$A$949,$A110,'09월 에너지'!$C$14:$C$949,$B110)))</f>
        <v/>
      </c>
      <c r="CO110" s="831" t="str">
        <f>IF($C110&lt;1,"",(AVERAGEIFS('09월 에너지'!X$14:X$949,'09월 에너지'!$A$14:$A$949,$A110,'09월 에너지'!$C$14:$C$949,$B110)))</f>
        <v/>
      </c>
      <c r="CP110" s="835" t="str">
        <f>IF($C110&lt;1,"",(AVERAGEIFS('09월 에너지'!Y$14:Y$949,'09월 에너지'!$A$14:$A$949,$A110,'09월 에너지'!$C$14:$C$949,$B110)))</f>
        <v/>
      </c>
      <c r="CQ110" s="835" t="str">
        <f>IF($C110&lt;1,"",(AVERAGEIFS('09월 에너지'!Z$14:Z$949,'09월 에너지'!$A$14:$A$949,$A110,'09월 에너지'!$C$14:$C$949,$B110)))</f>
        <v/>
      </c>
      <c r="CR110" s="835" t="str">
        <f>IF($C110&lt;1,"",(AVERAGEIFS('09월 에너지'!AA$14:AA$949,'09월 에너지'!$A$14:$A$949,$A110,'09월 에너지'!$C$14:$C$949,$B110)))</f>
        <v/>
      </c>
      <c r="CS110" s="835" t="str">
        <f>IF($C110&lt;1,"",(AVERAGEIFS('09월 에너지'!AB$14:AB$949,'09월 에너지'!$A$14:$A$949,$A110,'09월 에너지'!$C$14:$C$949,$B110)))</f>
        <v/>
      </c>
      <c r="CT110" s="831" t="str">
        <f>IF($C110&lt;1,"",(AVERAGEIFS('09월 에너지'!AC$14:AC$949,'09월 에너지'!$A$14:$A$949,$A110,'09월 에너지'!$C$14:$C$949,$B110)))</f>
        <v/>
      </c>
      <c r="CU110" s="836" t="str">
        <f>IF($C110&lt;1,"",(AVERAGEIFS('09월 에너지'!AD$14:AD$949,'09월 에너지'!$A$14:$A$949,$A110,'09월 에너지'!$C$14:$C$949,$B110)))</f>
        <v/>
      </c>
      <c r="CV110" s="837" t="str">
        <f>IF($C110&lt;1,"",(AVERAGEIFS('09월 에너지'!AE$14:AE$949,'09월 에너지'!$A$14:$A$949,$A110,'09월 에너지'!$C$14:$C$949,$B110)))</f>
        <v/>
      </c>
      <c r="CW110" s="831" t="str">
        <f>IF($C110&lt;1,"",(AVERAGEIFS('09월 에너지'!AF$14:AF$949,'09월 에너지'!$A$14:$A$949,$A110,'09월 에너지'!$C$14:$C$949,$B110)))</f>
        <v/>
      </c>
      <c r="CX110" s="831" t="str">
        <f>IF($C110&lt;1,"",(AVERAGEIFS('09월 에너지'!AG$14:AG$949,'09월 에너지'!$A$14:$A$949,$A110,'09월 에너지'!$C$14:$C$949,$B110)))</f>
        <v/>
      </c>
      <c r="CY110" s="831" t="str">
        <f>IF($C110&lt;1,"",(AVERAGEIFS('09월 에너지'!AH$14:AH$949,'09월 에너지'!$A$14:$A$949,$A110,'09월 에너지'!$C$14:$C$949,$B110)))</f>
        <v/>
      </c>
      <c r="CZ110" s="831" t="str">
        <f>IF($C110&lt;1,"",(AVERAGEIFS('09월 에너지'!AI$14:AI$949,'09월 에너지'!$A$14:$A$949,$A110,'09월 에너지'!$C$14:$C$949,$B110)))</f>
        <v/>
      </c>
      <c r="DA110" s="838" t="str">
        <f>IF($C110&lt;1,"",(AVERAGEIFS('09월 에너지'!AJ$14:AJ$949,'09월 에너지'!$A$14:$A$949,$A110,'09월 에너지'!$C$14:$C$949,$B110)))</f>
        <v/>
      </c>
    </row>
    <row r="111" spans="1:105" ht="13.5" customHeight="1">
      <c r="A111" s="847">
        <f>A106+1</f>
        <v>44948</v>
      </c>
      <c r="B111" s="848" t="s">
        <v>31</v>
      </c>
      <c r="C111" s="810">
        <f>COUNTIF('09월 조업일지'!$A$12:$A$952,A111)</f>
        <v>0</v>
      </c>
      <c r="D111" s="787" t="str">
        <f>IF(C111&lt;1,"",F111-E111)</f>
        <v/>
      </c>
      <c r="E111" s="787" t="str">
        <f>IF($C111&lt;1,"",(SUMIF('09월 조업일지'!$A$12:$A$952,$A111,'09월 조업일지'!$K$12:$K$952))/C111)</f>
        <v/>
      </c>
      <c r="F111" s="787" t="str">
        <f>IF($C111&lt;1,"",AVERAGEIF('09월 조업일지'!$A$12:$A$952,$A111,'09월 조업일지'!$J$12:$J$952))</f>
        <v/>
      </c>
      <c r="G111" s="811" t="str">
        <f>IF($C111&lt;1,"",AVERAGEIF('09월 에너지'!$A$14:$A$949,$A111,'09월 에너지'!$M$14:M$949))</f>
        <v/>
      </c>
      <c r="H111" s="812" t="str">
        <f>IF($C111&lt;1,"",AVERAGEIF('09월 조업일지'!$A$12:$A$952,$A111,'09월 조업일지'!$AJ$12:$AJ$952))</f>
        <v/>
      </c>
      <c r="I111" s="812" t="str">
        <f>IF($C111&lt;1,"",AVERAGEIF('09월 조업일지'!$A$12:$A$952,$A111,'09월 조업일지'!$AL$12:$AL$952))</f>
        <v/>
      </c>
      <c r="J111" s="813" t="str">
        <f>IF($C111&lt;1,"",AVERAGEIF('09월 화학성분'!$A$12:$A$949,$A111,'09월 화학성분'!G$12:G$949))</f>
        <v/>
      </c>
      <c r="K111" s="813" t="str">
        <f>IF($C111&lt;1,"",AVERAGEIF('09월 화학성분'!$A$12:$A$949,$A111,'09월 화학성분'!H$12:H$949))</f>
        <v/>
      </c>
      <c r="L111" s="813" t="str">
        <f>IF($C111&lt;1,"",AVERAGEIF('09월 화학성분'!$A$12:$A$949,$A111,'09월 화학성분'!I$12:I$949))</f>
        <v/>
      </c>
      <c r="M111" s="813" t="str">
        <f>IF($C111&lt;1,"",AVERAGEIF('09월 화학성분'!$A$12:$A$949,$A111,'09월 화학성분'!J$12:J$949))</f>
        <v/>
      </c>
      <c r="N111" s="813" t="str">
        <f>IF($C111&lt;1,"",AVERAGEIF('09월 화학성분'!$A$12:$A$949,$A111,'09월 화학성분'!K$12:K$949))</f>
        <v/>
      </c>
      <c r="O111" s="813" t="str">
        <f>IF($C111&lt;1,"",AVERAGEIF('09월 화학성분'!$A$12:$A$949,$A111,'09월 화학성분'!L$12:L$949))</f>
        <v/>
      </c>
      <c r="P111" s="813" t="str">
        <f>IF($C111&lt;1,"",AVERAGEIF('09월 화학성분'!$A$12:$A$949,$A111,'09월 화학성분'!M$12:M$949))</f>
        <v/>
      </c>
      <c r="Q111" s="814" t="str">
        <f>IF($C111&lt;1,"",AVERAGEIF('09월 조업일지'!$A$12:$A$952,$A111,'09월 조업일지'!$AA$12:$AA$952))</f>
        <v/>
      </c>
      <c r="R111" s="814" t="str">
        <f>IF($C111&lt;1,"",AVERAGEIF('09월 조업일지'!$A$12:$A$952,$A111,'09월 조업일지'!$AK$12:$AK$952))</f>
        <v/>
      </c>
      <c r="S111" s="814"/>
      <c r="T111" s="814"/>
      <c r="U111" s="813" t="str">
        <f>IF($C111&lt;1,"",AVERAGEIF('09월 화학성분'!$A$12:$A$949,$A111,'09월 화학성분'!$G$12:$G$949))</f>
        <v/>
      </c>
      <c r="V111" s="814" t="str">
        <f>IF($C111&lt;1,"",AVERAGEIF('09월 조업일지'!$A$12:$A$952,$A111,'09월 조업일지'!$AI$12:$AI$952))</f>
        <v/>
      </c>
      <c r="W111" s="813" t="str">
        <f>IF($C111&lt;1,"",AVERAGEIF('09월 화학성분'!$A$12:$A$949,$A111,'09월 화학성분'!$AM$12:$AM$949))</f>
        <v/>
      </c>
      <c r="X111" s="815" t="str">
        <f>IF($C111&lt;1,"",AVERAGEIF('09월 화학성분'!$A$12:$A$949,$A111,'09월 화학성분'!N$12:N$949))</f>
        <v/>
      </c>
      <c r="Y111" s="815" t="str">
        <f>IF($C111&lt;1,"",AVERAGEIF('09월 화학성분'!$A$12:$A$949,$A111,'09월 화학성분'!O$12:O$949))</f>
        <v/>
      </c>
      <c r="Z111" s="815" t="str">
        <f>IF($C111&lt;1,"",AVERAGEIF('09월 화학성분'!$A$12:$A$949,$A111,'09월 화학성분'!P$12:P$949))</f>
        <v/>
      </c>
      <c r="AA111" s="815" t="str">
        <f>IF($C111&lt;1,"",AVERAGEIF('09월 화학성분'!$A$12:$A$949,$A111,'09월 화학성분'!Q$12:Q$949))</f>
        <v/>
      </c>
      <c r="AB111" s="815" t="str">
        <f>IF($C111&lt;1,"",AVERAGEIF('09월 화학성분'!$A$12:$A$949,$A111,'09월 화학성분'!R$12:R$949))</f>
        <v/>
      </c>
      <c r="AC111" s="815" t="str">
        <f>IF($C111&lt;1,"",AVERAGEIF('09월 화학성분'!$A$12:$A$949,$A111,'09월 화학성분'!U$12:U$949))</f>
        <v/>
      </c>
      <c r="AD111" s="815" t="str">
        <f>IF($C111&lt;1,"",AVERAGEIF('09월 화학성분'!$A$12:$A$949,$A111,'09월 화학성분'!V$12:V$949))</f>
        <v/>
      </c>
      <c r="AE111" s="815" t="str">
        <f>IF($C111&lt;1,"",AVERAGEIF('09월 화학성분'!$A$12:$A$949,$A111,'09월 화학성분'!W$12:W$949))</f>
        <v/>
      </c>
      <c r="AF111" s="815" t="str">
        <f>IF($C111&lt;1,"",AVERAGEIF('09월 화학성분'!$A$12:$A$949,$A111,'09월 화학성분'!AA$12:AA$949))</f>
        <v/>
      </c>
      <c r="AG111" s="815" t="str">
        <f>IF($C111&lt;1,"",AVERAGEIF('09월 화학성분'!$A$12:$A$949,$A111,'09월 화학성분'!#REF!))</f>
        <v/>
      </c>
      <c r="AH111" s="815" t="str">
        <f>IF($C111&lt;1,"",AVERAGEIF('09월 화학성분'!$A$12:$A$949,$A111,'09월 화학성분'!AB$12:AB$949))</f>
        <v/>
      </c>
      <c r="AI111" s="815" t="str">
        <f>IF($C111&lt;1,"",AVERAGEIF('09월 화학성분'!$A$12:$A$949,$A111,'09월 화학성분'!AC$12:AC$949))</f>
        <v/>
      </c>
      <c r="AJ111" s="815" t="str">
        <f>IF($C111&lt;1,"",AVERAGEIF('09월 화학성분'!$A$12:$A$949,$A111,'09월 화학성분'!AD$12:AD$949))</f>
        <v/>
      </c>
      <c r="AK111" s="815" t="str">
        <f>IF($C111&lt;1,"",AVERAGEIF('09월 화학성분'!$A$12:$A$949,$A111,'09월 화학성분'!AF$12:AF$949))</f>
        <v/>
      </c>
      <c r="AL111" s="815" t="str">
        <f>IF($C111&lt;1,"",AVERAGEIF('09월 화학성분'!$A$12:$A$949,$A111,'09월 화학성분'!AG$12:AG$949))</f>
        <v/>
      </c>
      <c r="AM111" s="815" t="str">
        <f>IF($C111&lt;1,"",AVERAGEIF('09월 화학성분'!$A$12:$A$949,$A111,'09월 화학성분'!AH$12:AH$949))</f>
        <v/>
      </c>
      <c r="AN111" s="815" t="str">
        <f>IF($C111&lt;1,"",AVERAGEIF('09월 화학성분'!$A$12:$A$949,$A111,'09월 화학성분'!AI$12:AI$949))</f>
        <v/>
      </c>
      <c r="AO111" s="815" t="str">
        <f>IF($C111&lt;1,"",AVERAGEIF('09월 화학성분'!$A$12:$A$949,$A111,'09월 화학성분'!AJ$12:AJ$949))</f>
        <v/>
      </c>
      <c r="AP111" s="815" t="str">
        <f>IF($C111&lt;1,"",AVERAGEIF('09월 화학성분'!$A$12:$A$949,$A111,'09월 화학성분'!#REF!))</f>
        <v/>
      </c>
      <c r="AQ111" s="815" t="str">
        <f>IF($C111&lt;1,"",AVERAGEIF('09월 화학성분'!$A$12:$A$949,$A111,'09월 화학성분'!AL$12:AL$949))</f>
        <v/>
      </c>
      <c r="AR111" s="815" t="str">
        <f>IF($C111&lt;1,"",AVERAGEIF('09월 화학성분'!$A$12:$A$949,$A111,'09월 화학성분'!AM$12:AM$949))</f>
        <v/>
      </c>
      <c r="AS111" s="816" t="str">
        <f>IF($C111&lt;1,"",AVERAGEIF('09월 화학성분'!$A$12:$A$949,$A111,'09월 화학성분'!AN$12:AN$949))</f>
        <v/>
      </c>
      <c r="AT111" s="816" t="str">
        <f>IF($C111&lt;1,"",AVERAGEIF('09월 화학성분'!$A$12:$A$949,$A111,'09월 화학성분'!AO$12:AO$949))</f>
        <v/>
      </c>
      <c r="AU111" s="815" t="str">
        <f>IF($C111&lt;1,"",AVERAGEIF('09월 화학성분'!$A$12:$A$949,$A111,'09월 화학성분'!AP$12:AP$949))</f>
        <v/>
      </c>
      <c r="AV111" s="815" t="str">
        <f>IF($C111&lt;1,"",AVERAGEIF('09월 고철장입'!$A$14:$A$949,$A111,'09월 고철장입'!G$14:G$949)/1000)</f>
        <v/>
      </c>
      <c r="AW111" s="815" t="str">
        <f>IF($C111&lt;1,"",AVERAGEIF('09월 고철장입'!$A$14:$A$949,$A111,'09월 고철장입'!H$14:H$949)/1000)</f>
        <v/>
      </c>
      <c r="AX111" s="815" t="str">
        <f>IF($C111&lt;1,"",AVERAGEIF('09월 고철장입'!$A$14:$A$949,$A111,'09월 고철장입'!I$14:I$949)/1000)</f>
        <v/>
      </c>
      <c r="AY111" s="815" t="str">
        <f>IF($C111&lt;1,"",AVERAGEIF('09월 고철장입'!$A$14:$A$949,$A111,'09월 고철장입'!J$14:J$949)/1000)</f>
        <v/>
      </c>
      <c r="AZ111" s="815" t="str">
        <f>IF($C111&lt;1,"",AVERAGEIF('09월 고철장입'!$A$14:$A$949,$A111,'09월 고철장입'!K$14:K$949)/1000)</f>
        <v/>
      </c>
      <c r="BA111" s="815" t="str">
        <f>IF($C111&lt;1,"",AVERAGEIF('09월 고철장입'!$A$14:$A$949,$A111,'09월 고철장입'!L$14:L$949)/1000)</f>
        <v/>
      </c>
      <c r="BB111" s="815" t="str">
        <f>IF($C111&lt;1,"",AVERAGEIF('09월 고철장입'!$A$14:$A$949,$A111,'09월 고철장입'!M$14:M$949)/1000)</f>
        <v/>
      </c>
      <c r="BC111" s="815" t="str">
        <f>IF($C111&lt;1,"",AVERAGEIF('09월 고철장입'!$A$14:$A$949,$A111,'09월 고철장입'!N$14:N$949)/1000)</f>
        <v/>
      </c>
      <c r="BD111" s="815" t="str">
        <f>IF($C111&lt;1,"",AVERAGEIF('09월 고철장입'!$A$14:$A$949,$A111,'09월 고철장입'!O$14:O$949)/1000)</f>
        <v/>
      </c>
      <c r="BE111" s="815" t="str">
        <f>IF($C111&lt;1,"",AVERAGEIF('09월 고철장입'!$A$14:$A$949,$A111,'09월 고철장입'!P$14:P$949)/1000)</f>
        <v/>
      </c>
      <c r="BF111" s="815" t="str">
        <f>IF($C111&lt;1,"",AVERAGEIF('09월 고철장입'!$A$14:$A$949,$A111,'09월 고철장입'!Q$14:Q$949)/1000)</f>
        <v/>
      </c>
      <c r="BG111" s="815" t="str">
        <f>IF($C111&lt;1,"",AVERAGEIF('09월 고철장입'!$A$14:$A$949,$A111,'09월 고철장입'!S$14:S$949)/1000)</f>
        <v/>
      </c>
      <c r="BH111" s="815" t="str">
        <f>IF($C111&lt;1,"",AVERAGEIF('09월 고철장입'!$A$14:$A$949,$A111,'09월 고철장입'!T$14:T$949)/1000)</f>
        <v/>
      </c>
      <c r="BI111" s="815" t="str">
        <f>IF($C111&lt;1,"",AVERAGEIF('09월 고철장입'!$A$14:$A$949,$A111,'09월 고철장입'!U$14:U$949)/1000)</f>
        <v/>
      </c>
      <c r="BJ111" s="815" t="str">
        <f>IF($C111&lt;1,"",AVERAGEIF('09월 고철장입'!$A$14:$A$949,$A111,'09월 고철장입'!V$14:V$949)/1000)</f>
        <v/>
      </c>
      <c r="BK111" s="815" t="str">
        <f>IF($C111&lt;1,"",AVERAGEIF('09월 고철장입'!$A$14:$A$949,$A111,'09월 고철장입'!W$14:W$949)/1000)</f>
        <v/>
      </c>
      <c r="BL111" s="815" t="str">
        <f>IF($C111&lt;1,"",AVERAGEIF('09월 고철장입'!$A$14:$A$949,$A111,'09월 고철장입'!Y$14:Y$949)/1000)</f>
        <v/>
      </c>
      <c r="BM111" s="815" t="str">
        <f>IF($C111&lt;1,"",AVERAGEIF('09월 고철장입'!$A$14:$A$949,$A111,'09월 고철장입'!AB$14:AB$949)/1000)</f>
        <v/>
      </c>
      <c r="BN111" s="815" t="str">
        <f>IF($C111&lt;1,"",AVERAGEIF('09월 고철장입'!$A$14:$A$949,$A111,'09월 고철장입'!AC$14:AC$949)/1000)</f>
        <v/>
      </c>
      <c r="BO111" s="815" t="str">
        <f>IF($C111&lt;1,"",AVERAGEIF('09월 고철장입'!$A$14:$A$949,$A111,'09월 고철장입'!AD$14:AD$949)/1000)</f>
        <v/>
      </c>
      <c r="BP111" s="815" t="str">
        <f>IF($C111&lt;1,"",AVERAGEIF('09월 고철장입'!$A$14:$A$949,$A111,'09월 고철장입'!AE$14:AE$949)/1000)</f>
        <v/>
      </c>
      <c r="BQ111" s="815" t="str">
        <f>IF($C111&lt;1,"",AVERAGEIF('09월 고철장입'!$A$14:$A$949,$A111,'09월 고철장입'!AF$14:AF$949)/1000)</f>
        <v/>
      </c>
      <c r="BR111" s="815" t="str">
        <f>IF($C111&lt;1,"",AVERAGEIF('09월 고철장입'!$A$14:$A$949,$A111,'09월 고철장입'!AG$14:AG$949)/1000)</f>
        <v/>
      </c>
      <c r="BS111" s="815" t="str">
        <f>IF($C111&lt;1,"",AVERAGEIF('09월 고철장입'!$A$14:$A$949,$A111,'09월 고철장입'!AH$14:AH$949)/1000)</f>
        <v/>
      </c>
      <c r="BT111" s="815" t="str">
        <f>IF($C111&lt;1,"",AVERAGEIF('09월 고철장입'!$A$14:$A$949,$A111,'09월 고철장입'!AI$14:AI$949)/1000)</f>
        <v/>
      </c>
      <c r="BU111" s="815" t="str">
        <f>IF($C111&lt;1,"",AVERAGEIF('09월 고철장입'!$A$14:$A$949,$A111,'09월 고철장입'!AJ$14:AJ$949)/1000)</f>
        <v/>
      </c>
      <c r="BV111" s="815" t="str">
        <f>IF($C111&lt;1,"",AVERAGEIF('09월 고철장입'!$A$14:$A$949,$A111,'09월 고철장입'!AK$14:AK$949))</f>
        <v/>
      </c>
      <c r="BW111" s="815" t="str">
        <f>IF($C111&lt;1,"",AVERAGEIF('09월 고철장입'!$A$14:$A$949,$A111,'09월 고철장입'!AL$14:AL$949)*100)</f>
        <v/>
      </c>
      <c r="BX111" s="815" t="str">
        <f>IF($C111&lt;1,"",AVERAGEIF('09월 에너지'!$A$14:$A$949,$A111,'09월 에너지'!G$14:G$949))</f>
        <v/>
      </c>
      <c r="BY111" s="817" t="str">
        <f>IF($C111&lt;1,"",AVERAGEIF('09월 에너지'!$A$14:$A$949,$A111,'09월 에너지'!H$14:H$949))</f>
        <v/>
      </c>
      <c r="BZ111" s="815" t="str">
        <f>IF($C111&lt;1,"",AVERAGEIF('09월 에너지'!$A$14:$A$949,$A111,'09월 에너지'!I$14:I$949))</f>
        <v/>
      </c>
      <c r="CA111" s="817" t="str">
        <f>IF($C111&lt;1,"",AVERAGEIF('09월 에너지'!$A$14:$A$949,$A111,'09월 에너지'!J$14:J$949))</f>
        <v/>
      </c>
      <c r="CB111" s="815" t="str">
        <f>IF($C111&lt;1,"",AVERAGEIF('09월 에너지'!$A$14:$A$949,$A111,'09월 에너지'!K$14:K$949))</f>
        <v/>
      </c>
      <c r="CC111" s="817" t="str">
        <f>IF($C111&lt;1,"",AVERAGEIF('09월 에너지'!$A$14:$A$949,$A111,'09월 에너지'!L$14:L$949))</f>
        <v/>
      </c>
      <c r="CD111" s="815" t="str">
        <f>IF($C111&lt;1,"",AVERAGEIF('09월 에너지'!$A$14:$A$949,$A111,'09월 에너지'!M$14:M$949))</f>
        <v/>
      </c>
      <c r="CE111" s="817" t="str">
        <f>IF($C111&lt;1,"",AVERAGEIF('09월 에너지'!$A$14:$A$949,$A111,'09월 에너지'!N$14:N$949))</f>
        <v/>
      </c>
      <c r="CF111" s="815" t="str">
        <f>IF($C111&lt;1,"",AVERAGEIF('09월 에너지'!$A$14:$A$949,$A111,'09월 에너지'!O$14:O$949))</f>
        <v/>
      </c>
      <c r="CG111" s="815" t="str">
        <f>IF($C111&lt;1,"",AVERAGEIF('09월 에너지'!$A$14:$A$949,$A111,'09월 에너지'!P$14:P$949))</f>
        <v/>
      </c>
      <c r="CH111" s="815" t="str">
        <f>IF($C111&lt;1,"",AVERAGEIF('09월 에너지'!$A$14:$A$949,$A111,'09월 에너지'!Q$14:Q$949))</f>
        <v/>
      </c>
      <c r="CI111" s="815" t="str">
        <f>IF($C111&lt;1,"",AVERAGEIF('09월 에너지'!$A$14:$A$949,$A111,'09월 에너지'!R$14:R$949))</f>
        <v/>
      </c>
      <c r="CJ111" s="815" t="str">
        <f>IF($C111&lt;1,"",AVERAGEIF('09월 에너지'!$A$14:$A$949,$A111,'09월 에너지'!S$14:S$949))</f>
        <v/>
      </c>
      <c r="CK111" s="815" t="str">
        <f>IF($C111&lt;1,"",AVERAGEIF('09월 에너지'!$A$14:$A$949,$A111,'09월 에너지'!T$14:T$949))</f>
        <v/>
      </c>
      <c r="CL111" s="815" t="str">
        <f>IF($C111&lt;1,"",AVERAGEIF('09월 에너지'!$A$14:$A$949,$A111,'09월 에너지'!U$14:U$949))</f>
        <v/>
      </c>
      <c r="CM111" s="817" t="str">
        <f>IF($C111&lt;1,"",AVERAGEIF('09월 에너지'!$A$14:$A$949,$A111,'09월 에너지'!V$14:V$949))</f>
        <v/>
      </c>
      <c r="CN111" s="817" t="str">
        <f>IF($C111&lt;1,"",AVERAGEIF('09월 에너지'!$A$14:$A$949,$A111,'09월 에너지'!W$14:W$949))</f>
        <v/>
      </c>
      <c r="CO111" s="815" t="str">
        <f>IF($C111&lt;1,"",AVERAGEIF('09월 에너지'!$A$14:$A$949,$A111,'09월 에너지'!X$14:X$949))</f>
        <v/>
      </c>
      <c r="CP111" s="817" t="str">
        <f>IF($C111&lt;1,"",AVERAGEIF('09월 에너지'!$A$14:$A$949,$A111,'09월 에너지'!Y$14:Y$949))</f>
        <v/>
      </c>
      <c r="CQ111" s="817" t="str">
        <f>IF($C111&lt;1,"",AVERAGEIF('09월 에너지'!$A$14:$A$949,$A111,'09월 에너지'!Z$14:Z$949))</f>
        <v/>
      </c>
      <c r="CR111" s="817" t="str">
        <f>IF($C111&lt;1,"",AVERAGEIF('09월 에너지'!$A$14:$A$949,$A111,'09월 에너지'!AA$14:AA$949))</f>
        <v/>
      </c>
      <c r="CS111" s="817" t="str">
        <f>IF($C111&lt;1,"",AVERAGEIF('09월 에너지'!$A$14:$A$949,$A111,'09월 에너지'!AB$14:AB$949))</f>
        <v/>
      </c>
      <c r="CT111" s="815" t="str">
        <f>IF($C111&lt;1,"",AVERAGEIF('09월 에너지'!$A$14:$A$949,$A111,'09월 에너지'!AC$14:AC$949))</f>
        <v/>
      </c>
      <c r="CU111" s="818" t="str">
        <f>IF($C111&lt;1,"",AVERAGEIF('09월 에너지'!$A$14:$A$949,$A111,'09월 에너지'!AD$14:AD$949))</f>
        <v/>
      </c>
      <c r="CV111" s="819" t="str">
        <f>IF($C111&lt;1,"",AVERAGEIF('09월 에너지'!$A$14:$A$949,$A111,'09월 에너지'!AE$14:AE$949))</f>
        <v/>
      </c>
      <c r="CW111" s="815" t="str">
        <f>IF($C111&lt;1,"",AVERAGEIF('09월 에너지'!$A$14:$A$949,$A111,'09월 에너지'!AF$14:AF$949))</f>
        <v/>
      </c>
      <c r="CX111" s="815" t="str">
        <f>IF($C111&lt;1,"",AVERAGEIF('09월 에너지'!$A$14:$A$949,$A111,'09월 에너지'!AG$14:AG$949))</f>
        <v/>
      </c>
      <c r="CY111" s="815" t="str">
        <f>IF($C111&lt;1,"",AVERAGEIF('09월 에너지'!$A$14:$A$949,$A111,'09월 에너지'!AH$14:AH$949))</f>
        <v/>
      </c>
      <c r="CZ111" s="815" t="str">
        <f>IF($C111&lt;1,"",AVERAGEIF('09월 에너지'!$A$14:$A$949,$A111,'09월 에너지'!AI$14:AI$949))</f>
        <v/>
      </c>
      <c r="DA111" s="820" t="str">
        <f>IF($C111&lt;1,"",AVERAGEIF('09월 에너지'!$A$14:$A$949,$A111,'09월 에너지'!AJ$14:AJ$949))</f>
        <v/>
      </c>
    </row>
    <row r="112" spans="1:105" ht="13.5" customHeight="1">
      <c r="A112" s="849">
        <f t="shared" si="20"/>
        <v>44948</v>
      </c>
      <c r="B112" s="850" t="s">
        <v>9</v>
      </c>
      <c r="C112" s="823">
        <f>COUNTIFS('09월 조업일지'!$A$12:$A$952,A111,'09월 조업일지'!$E$12:$E$952,B112)</f>
        <v>0</v>
      </c>
      <c r="D112" s="824" t="str">
        <f>IF(C112&lt;1,"",F112-E112)</f>
        <v/>
      </c>
      <c r="E112" s="824" t="str">
        <f>IF($C112&lt;1,"",(SUMIFS('09월 조업일지'!$K$12:$K$952,'09월 조업일지'!$A$12:$A$952,$A112,'09월 조업일지'!$E$12:$E$952,$B112)/$C112))</f>
        <v/>
      </c>
      <c r="F112" s="824" t="str">
        <f>IF($C112&lt;1,"",(AVERAGEIFS('09월 조업일지'!$J$12:$J$952,'09월 조업일지'!$A$12:$A$952,$A112,'09월 조업일지'!$E$12:$E$952,$B112)))</f>
        <v/>
      </c>
      <c r="G112" s="825" t="str">
        <f>IF($C112&lt;1,"",(AVERAGEIFS('09월 에너지'!$M$14:$M$949,'09월 에너지'!$A$14:$A$949,$A112,'09월 에너지'!$C$14:$C$949,$B112)))</f>
        <v/>
      </c>
      <c r="H112" s="826" t="str">
        <f>IF($C112&lt;1,"",(AVERAGEIFS('09월 조업일지'!$AJ$12:$AJ$952,'09월 조업일지'!$A$12:$A$952,$A112,'09월 조업일지'!$E$12:$E$952,$B112)))</f>
        <v/>
      </c>
      <c r="I112" s="826" t="str">
        <f>IF($C112&lt;1,"",(AVERAGEIFS('09월 조업일지'!$AL$12:$AL$952,'09월 조업일지'!$A$12:$A$952,$A112,'09월 조업일지'!$E$12:$E$952,$B112)))</f>
        <v/>
      </c>
      <c r="J112" s="827" t="str">
        <f>IF($C112&lt;1,"",(AVERAGEIFS('09월 화학성분'!G$12:G$949,'09월 화학성분'!$A$12:$A$949,$A112,'09월 화학성분'!$D$12:$D$949,$B112)))</f>
        <v/>
      </c>
      <c r="K112" s="827" t="str">
        <f>IF($C112&lt;1,"",(AVERAGEIFS('09월 화학성분'!H$12:H$949,'09월 화학성분'!$A$12:$A$949,$A112,'09월 화학성분'!$D$12:$D$949,$B112)))</f>
        <v/>
      </c>
      <c r="L112" s="827" t="str">
        <f>IF($C112&lt;1,"",(AVERAGEIFS('09월 화학성분'!I$12:I$949,'09월 화학성분'!$A$12:$A$949,$A112,'09월 화학성분'!$D$12:$D$949,$B112)))</f>
        <v/>
      </c>
      <c r="M112" s="827" t="str">
        <f>IF($C112&lt;1,"",(AVERAGEIFS('09월 화학성분'!J$12:J$949,'09월 화학성분'!$A$12:$A$949,$A112,'09월 화학성분'!$D$12:$D$949,$B112)))</f>
        <v/>
      </c>
      <c r="N112" s="827" t="str">
        <f>IF($C112&lt;1,"",(AVERAGEIFS('09월 화학성분'!K$12:K$949,'09월 화학성분'!$A$12:$A$949,$A112,'09월 화학성분'!$D$12:$D$949,$B112)))</f>
        <v/>
      </c>
      <c r="O112" s="827" t="str">
        <f>IF($C112&lt;1,"",(AVERAGEIFS('09월 화학성분'!L$12:L$949,'09월 화학성분'!$A$12:$A$949,$A112,'09월 화학성분'!$D$12:$D$949,$B112)))</f>
        <v/>
      </c>
      <c r="P112" s="827" t="str">
        <f>IF($C112&lt;1,"",(AVERAGEIFS('09월 화학성분'!M$12:M$949,'09월 화학성분'!$A$12:$A$949,$A112,'09월 화학성분'!$D$12:$D$949,$B112)))</f>
        <v/>
      </c>
      <c r="Q112" s="827" t="str">
        <f>IFERROR(IF($C112&lt;1,"",(AVERAGEIFS('09월 조업일지'!$AA$12:$AA$952,'09월 조업일지'!$A$12:$A$952,$A112,'09월 조업일지'!$E$12:$E$952,$B112))),"")</f>
        <v/>
      </c>
      <c r="R112" s="827" t="str">
        <f>IF($C112&lt;1,"",(AVERAGEIFS('09월 조업일지'!$AK$12:$AK$952,'09월 조업일지'!$A$12:$A$952,$A112,'09월 조업일지'!$E$12:$E$952,$B112)))</f>
        <v/>
      </c>
      <c r="S112" s="827"/>
      <c r="T112" s="827"/>
      <c r="U112" s="827" t="str">
        <f>IF($C112&lt;1,"",(AVERAGEIFS('09월 화학성분'!$G$12:$G$949,'09월 화학성분'!$A$12:$A$949,$A112,'09월 화학성분'!$D$12:$D$949,$B112)))</f>
        <v/>
      </c>
      <c r="V112" s="827" t="str">
        <f>IF($C112&lt;1,"",(AVERAGEIFS('09월 조업일지'!$AI$12:$AI$952,'09월 조업일지'!$A$12:$A$952,$A112,'09월 조업일지'!$E$12:$E$952,$B112)))</f>
        <v/>
      </c>
      <c r="W112" s="828" t="str">
        <f>IF($C112&lt;1,"",(AVERAGEIFS('09월 화학성분'!$AM$12:$AM$949,'09월 화학성분'!$A$12:$A$949,$A112,'09월 화학성분'!$D$12:$D$949,$B112)))</f>
        <v/>
      </c>
      <c r="X112" s="829" t="str">
        <f>IF($C112&lt;1,"",(AVERAGEIFS('09월 화학성분'!N$12:N$949,'09월 화학성분'!$A$12:$A$949,$A112,'09월 화학성분'!$D$12:$D$949,$B112)))</f>
        <v/>
      </c>
      <c r="Y112" s="829" t="str">
        <f>IF($C112&lt;1,"",(AVERAGEIFS('09월 화학성분'!O$12:O$949,'09월 화학성분'!$A$12:$A$949,$A112,'09월 화학성분'!$D$12:$D$949,$B112)))</f>
        <v/>
      </c>
      <c r="Z112" s="829" t="str">
        <f>IF($C112&lt;1,"",(AVERAGEIFS('09월 화학성분'!P$12:P$949,'09월 화학성분'!$A$12:$A$949,$A112,'09월 화학성분'!$D$12:$D$949,$B112)))</f>
        <v/>
      </c>
      <c r="AA112" s="829" t="str">
        <f>IF($C112&lt;1,"",(AVERAGEIFS('09월 화학성분'!Q$12:Q$949,'09월 화학성분'!$A$12:$A$949,$A112,'09월 화학성분'!$D$12:$D$949,$B112)))</f>
        <v/>
      </c>
      <c r="AB112" s="829" t="str">
        <f>IF($C112&lt;1,"",(AVERAGEIFS('09월 화학성분'!R$12:R$949,'09월 화학성분'!$A$12:$A$949,$A112,'09월 화학성분'!$D$12:$D$949,$B112)))</f>
        <v/>
      </c>
      <c r="AC112" s="829" t="str">
        <f>IF($C112&lt;1,"",(AVERAGEIFS('09월 화학성분'!U$12:U$949,'09월 화학성분'!$A$12:$A$949,$A112,'09월 화학성분'!$D$12:$D$949,$B112)))</f>
        <v/>
      </c>
      <c r="AD112" s="829" t="str">
        <f>IF($C112&lt;1,"",(AVERAGEIFS('09월 화학성분'!V$12:V$949,'09월 화학성분'!$A$12:$A$949,$A112,'09월 화학성분'!$D$12:$D$949,$B112)))</f>
        <v/>
      </c>
      <c r="AE112" s="829" t="str">
        <f>IF($C112&lt;1,"",(AVERAGEIFS('09월 화학성분'!W$12:W$949,'09월 화학성분'!$A$12:$A$949,$A112,'09월 화학성분'!$D$12:$D$949,$B112)))</f>
        <v/>
      </c>
      <c r="AF112" s="829" t="str">
        <f>IF($C112&lt;1,"",(AVERAGEIFS('09월 화학성분'!AA$12:AA$949,'09월 화학성분'!$A$12:$A$949,$A112,'09월 화학성분'!$D$12:$D$949,$B112)))</f>
        <v/>
      </c>
      <c r="AG112" s="829" t="str">
        <f>IF($C112&lt;1,"",(AVERAGEIFS('09월 화학성분'!#REF!,'09월 화학성분'!$A$12:$A$949,$A112,'09월 화학성분'!$D$12:$D$949,$B112)))</f>
        <v/>
      </c>
      <c r="AH112" s="829" t="str">
        <f>IF($C112&lt;1,"",(AVERAGEIFS('09월 화학성분'!AB$12:AB$949,'09월 화학성분'!$A$12:$A$949,$A112,'09월 화학성분'!$D$12:$D$949,$B112)))</f>
        <v/>
      </c>
      <c r="AI112" s="829" t="str">
        <f>IF($C112&lt;1,"",(AVERAGEIFS('09월 화학성분'!AC$12:AC$949,'09월 화학성분'!$A$12:$A$949,$A112,'09월 화학성분'!$D$12:$D$949,$B112)))</f>
        <v/>
      </c>
      <c r="AJ112" s="829" t="str">
        <f>IF($C112&lt;1,"",(AVERAGEIFS('09월 화학성분'!AD$12:AD$949,'09월 화학성분'!$A$12:$A$949,$A112,'09월 화학성분'!$D$12:$D$949,$B112)))</f>
        <v/>
      </c>
      <c r="AK112" s="829" t="str">
        <f>IF($C112&lt;1,"",(AVERAGEIFS('09월 화학성분'!AF$12:AF$949,'09월 화학성분'!$A$12:$A$949,$A112,'09월 화학성분'!$D$12:$D$949,$B112)))</f>
        <v/>
      </c>
      <c r="AL112" s="829" t="str">
        <f>IF($C112&lt;1,"",(AVERAGEIFS('09월 화학성분'!AG$12:AG$949,'09월 화학성분'!$A$12:$A$949,$A112,'09월 화학성분'!$D$12:$D$949,$B112)))</f>
        <v/>
      </c>
      <c r="AM112" s="829" t="str">
        <f>IF($C112&lt;1,"",(AVERAGEIFS('09월 화학성분'!AH$12:AH$949,'09월 화학성분'!$A$12:$A$949,$A112,'09월 화학성분'!$D$12:$D$949,$B112)))</f>
        <v/>
      </c>
      <c r="AN112" s="829" t="str">
        <f>IF($C112&lt;1,"",(AVERAGEIFS('09월 화학성분'!AI$12:AI$949,'09월 화학성분'!$A$12:$A$949,$A112,'09월 화학성분'!$D$12:$D$949,$B112)))</f>
        <v/>
      </c>
      <c r="AO112" s="829" t="str">
        <f>IF($C112&lt;1,"",(AVERAGEIFS('09월 화학성분'!AJ$12:AJ$949,'09월 화학성분'!$A$12:$A$949,$A112,'09월 화학성분'!$D$12:$D$949,$B112)))</f>
        <v/>
      </c>
      <c r="AP112" s="829" t="str">
        <f>IF($C112&lt;1,"",(AVERAGEIFS('09월 화학성분'!#REF!,'09월 화학성분'!$A$12:$A$949,$A112,'09월 화학성분'!$D$12:$D$949,$B112)))</f>
        <v/>
      </c>
      <c r="AQ112" s="829" t="str">
        <f>IF($C112&lt;1,"",(AVERAGEIFS('09월 화학성분'!AL$12:AL$949,'09월 화학성분'!$A$12:$A$949,$A112,'09월 화학성분'!$D$12:$D$949,$B112)))</f>
        <v/>
      </c>
      <c r="AR112" s="829" t="str">
        <f>IF($C112&lt;1,"",(AVERAGEIFS('09월 화학성분'!AM$12:AM$949,'09월 화학성분'!$A$12:$A$949,$A112,'09월 화학성분'!$D$12:$D$949,$B112)))</f>
        <v/>
      </c>
      <c r="AS112" s="830" t="str">
        <f>IF($C112&lt;1,"",(AVERAGEIFS('09월 화학성분'!AN$12:AN$949,'09월 화학성분'!$A$12:$A$949,$A112,'09월 화학성분'!$D$12:$D$949,$B112)))</f>
        <v/>
      </c>
      <c r="AT112" s="830" t="str">
        <f>IF($C112&lt;1,"",(AVERAGEIFS('09월 화학성분'!AO$12:AO$949,'09월 화학성분'!$A$12:$A$949,$A112,'09월 화학성분'!$D$12:$D$949,$B112)))</f>
        <v/>
      </c>
      <c r="AU112" s="831" t="str">
        <f>IF($C112&lt;1,"",(AVERAGEIFS('09월 화학성분'!AP$12:AP$949,'09월 화학성분'!$A$12:$A$949,$A112,'09월 화학성분'!$D$12:$D$949,$B112)))</f>
        <v/>
      </c>
      <c r="AV112" s="832" t="str">
        <f>IF($C112&lt;1,"",(AVERAGEIFS('09월 고철장입'!G$14:G$949,'09월 고철장입'!$A$14:$A$949,$A112,'09월 고철장입'!$C$14:$C$949,$B112))/1000)</f>
        <v/>
      </c>
      <c r="AW112" s="832" t="str">
        <f>IF($C112&lt;1,"",(AVERAGEIFS('09월 고철장입'!H$14:H$949,'09월 고철장입'!$A$14:$A$949,$A112,'09월 고철장입'!$C$14:$C$949,$B112))/1000)</f>
        <v/>
      </c>
      <c r="AX112" s="832" t="str">
        <f>IF($C112&lt;1,"",(AVERAGEIFS('09월 고철장입'!I$14:I$949,'09월 고철장입'!$A$14:$A$949,$A112,'09월 고철장입'!$C$14:$C$949,$B112))/1000)</f>
        <v/>
      </c>
      <c r="AY112" s="832" t="str">
        <f>IF($C112&lt;1,"",(AVERAGEIFS('09월 고철장입'!J$14:J$949,'09월 고철장입'!$A$14:$A$949,$A112,'09월 고철장입'!$C$14:$C$949,$B112))/1000)</f>
        <v/>
      </c>
      <c r="AZ112" s="832" t="str">
        <f>IF($C112&lt;1,"",(AVERAGEIFS('09월 고철장입'!K$14:K$949,'09월 고철장입'!$A$14:$A$949,$A112,'09월 고철장입'!$C$14:$C$949,$B112))/1000)</f>
        <v/>
      </c>
      <c r="BA112" s="832" t="str">
        <f>IF($C112&lt;1,"",(AVERAGEIFS('09월 고철장입'!L$14:L$949,'09월 고철장입'!$A$14:$A$949,$A112,'09월 고철장입'!$C$14:$C$949,$B112))/1000)</f>
        <v/>
      </c>
      <c r="BB112" s="832" t="str">
        <f>IF($C112&lt;1,"",(AVERAGEIFS('09월 고철장입'!M$14:M$949,'09월 고철장입'!$A$14:$A$949,$A112,'09월 고철장입'!$C$14:$C$949,$B112))/1000)</f>
        <v/>
      </c>
      <c r="BC112" s="832" t="str">
        <f>IF($C112&lt;1,"",(AVERAGEIFS('09월 고철장입'!N$14:N$949,'09월 고철장입'!$A$14:$A$949,$A112,'09월 고철장입'!$C$14:$C$949,$B112))/1000)</f>
        <v/>
      </c>
      <c r="BD112" s="832" t="str">
        <f>IF($C112&lt;1,"",(AVERAGEIFS('09월 고철장입'!O$14:O$949,'09월 고철장입'!$A$14:$A$949,$A112,'09월 고철장입'!$C$14:$C$949,$B112))/1000)</f>
        <v/>
      </c>
      <c r="BE112" s="833" t="str">
        <f>IF($C112&lt;1,"",(AVERAGEIFS('09월 고철장입'!P$14:P$949,'09월 고철장입'!$A$14:$A$949,$A112,'09월 고철장입'!$C$14:$C$949,$B112))/1000)</f>
        <v/>
      </c>
      <c r="BF112" s="833" t="str">
        <f>IF($C112&lt;1,"",(AVERAGEIFS('09월 고철장입'!Q$14:Q$949,'09월 고철장입'!$A$14:$A$949,$A112,'09월 고철장입'!$C$14:$C$949,$B112))/1000)</f>
        <v/>
      </c>
      <c r="BG112" s="833" t="str">
        <f>IF($C112&lt;1,"",(AVERAGEIFS('09월 고철장입'!S$14:S$949,'09월 고철장입'!$A$14:$A$949,$A112,'09월 고철장입'!$C$14:$C$949,$B112))/1000)</f>
        <v/>
      </c>
      <c r="BH112" s="833" t="str">
        <f>IF($C112&lt;1,"",(AVERAGEIFS('09월 고철장입'!T$14:T$949,'09월 고철장입'!$A$14:$A$949,$A112,'09월 고철장입'!$C$14:$C$949,$B112))/1000)</f>
        <v/>
      </c>
      <c r="BI112" s="833" t="str">
        <f>IF($C112&lt;1,"",(AVERAGEIFS('09월 고철장입'!U$14:U$949,'09월 고철장입'!$A$14:$A$949,$A112,'09월 고철장입'!$C$14:$C$949,$B112))/1000)</f>
        <v/>
      </c>
      <c r="BJ112" s="833" t="str">
        <f>IF($C112&lt;1,"",(AVERAGEIFS('09월 고철장입'!V$14:V$949,'09월 고철장입'!$A$14:$A$949,$A112,'09월 고철장입'!$C$14:$C$949,$B112))/1000)</f>
        <v/>
      </c>
      <c r="BK112" s="833" t="str">
        <f>IF($C112&lt;1,"",(AVERAGEIFS('09월 고철장입'!W$14:W$949,'09월 고철장입'!$A$14:$A$949,$A112,'09월 고철장입'!$C$14:$C$949,$B112))/1000)</f>
        <v/>
      </c>
      <c r="BL112" s="833" t="str">
        <f>IF($C112&lt;1,"",(AVERAGEIFS('09월 고철장입'!Y$14:Y$949,'09월 고철장입'!$A$14:$A$949,$A112,'09월 고철장입'!$C$14:$C$949,$B112))/1000)</f>
        <v/>
      </c>
      <c r="BM112" s="833" t="str">
        <f>IF($C112&lt;1,"",(AVERAGEIFS('09월 고철장입'!AB$14:AB$949,'09월 고철장입'!$A$14:$A$949,$A112,'09월 고철장입'!$C$14:$C$949,$B112))/1000)</f>
        <v/>
      </c>
      <c r="BN112" s="833" t="str">
        <f>IF($C112&lt;1,"",(AVERAGEIFS('09월 고철장입'!AC$14:AC$949,'09월 고철장입'!$A$14:$A$949,$A112,'09월 고철장입'!$C$14:$C$949,$B112))/1000)</f>
        <v/>
      </c>
      <c r="BO112" s="833" t="str">
        <f>IF($C112&lt;1,"",(AVERAGEIFS('09월 고철장입'!AD$14:AD$949,'09월 고철장입'!$A$14:$A$949,$A112,'09월 고철장입'!$C$14:$C$949,$B112))/1000)</f>
        <v/>
      </c>
      <c r="BP112" s="833" t="str">
        <f>IF($C112&lt;1,"",(AVERAGEIFS('09월 고철장입'!AE$14:AE$949,'09월 고철장입'!$A$14:$A$949,$A112,'09월 고철장입'!$C$14:$C$949,$B112))/1000)</f>
        <v/>
      </c>
      <c r="BQ112" s="832" t="str">
        <f>IF($C112&lt;1,"",(AVERAGEIFS('09월 고철장입'!AF$14:AF$949,'09월 고철장입'!$A$14:$A$949,$A112,'09월 고철장입'!$C$14:$C$949,$B112))/1000)</f>
        <v/>
      </c>
      <c r="BR112" s="832" t="str">
        <f>IF($C112&lt;1,"",(AVERAGEIFS('09월 고철장입'!AG$14:AG$949,'09월 고철장입'!$A$14:$A$949,$A112,'09월 고철장입'!$C$14:$C$949,$B112))/1000)</f>
        <v/>
      </c>
      <c r="BS112" s="832" t="str">
        <f>IF($C112&lt;1,"",(AVERAGEIFS('09월 고철장입'!AH$14:AH$949,'09월 고철장입'!$A$14:$A$949,$A112,'09월 고철장입'!$C$14:$C$949,$B112))/1000)</f>
        <v/>
      </c>
      <c r="BT112" s="832" t="str">
        <f>IF($C112&lt;1,"",(AVERAGEIFS('09월 고철장입'!AI$14:AI$949,'09월 고철장입'!$A$14:$A$949,$A112,'09월 고철장입'!$C$14:$C$949,$B112))/1000)</f>
        <v/>
      </c>
      <c r="BU112" s="834" t="str">
        <f>IF($C112&lt;1,"",(AVERAGEIFS('09월 고철장입'!AJ$14:AJ$949,'09월 고철장입'!$A$14:$A$949,$A112,'09월 고철장입'!$C$14:$C$949,$B112))/1000)</f>
        <v/>
      </c>
      <c r="BV112" s="834" t="str">
        <f>IF($C112&lt;1,"",(AVERAGEIFS('09월 고철장입'!AK$14:AK$949,'09월 고철장입'!$A$14:$A$949,$A112,'09월 고철장입'!$C$14:$C$949,$B112)))</f>
        <v/>
      </c>
      <c r="BW112" s="834" t="str">
        <f>IF($C112&lt;1,"",(AVERAGEIFS('09월 고철장입'!AL$14:AL$949,'09월 고철장입'!$A$14:$A$949,$A112,'09월 고철장입'!$C$14:$C$949,$B112))*100)</f>
        <v/>
      </c>
      <c r="BX112" s="831" t="str">
        <f>IF($C112&lt;1,"",(AVERAGEIFS('09월 에너지'!G$14:G$949,'09월 에너지'!$A$14:$A$949,$A112,'09월 에너지'!$C$14:$C$949,$B112)))</f>
        <v/>
      </c>
      <c r="BY112" s="835" t="str">
        <f>IF($C112&lt;1,"",(AVERAGEIFS('09월 에너지'!H$14:H$949,'09월 에너지'!$A$14:$A$949,$A112,'09월 에너지'!$C$14:$C$949,$B112)))</f>
        <v/>
      </c>
      <c r="BZ112" s="831" t="str">
        <f>IF($C112&lt;1,"",(AVERAGEIFS('09월 에너지'!I$14:I$949,'09월 에너지'!$A$14:$A$949,$A112,'09월 에너지'!$C$14:$C$949,$B112)))</f>
        <v/>
      </c>
      <c r="CA112" s="835" t="str">
        <f>IF($C112&lt;1,"",(AVERAGEIFS('09월 에너지'!J$14:J$949,'09월 에너지'!$A$14:$A$949,$A112,'09월 에너지'!$C$14:$C$949,$B112)))</f>
        <v/>
      </c>
      <c r="CB112" s="831" t="str">
        <f>IF($C112&lt;1,"",(AVERAGEIFS('09월 에너지'!K$14:K$949,'09월 에너지'!$A$14:$A$949,$A112,'09월 에너지'!$C$14:$C$949,$B112)))</f>
        <v/>
      </c>
      <c r="CC112" s="835" t="str">
        <f>IF($C112&lt;1,"",(AVERAGEIFS('09월 에너지'!L$14:L$949,'09월 에너지'!$A$14:$A$949,$A112,'09월 에너지'!$C$14:$C$949,$B112)))</f>
        <v/>
      </c>
      <c r="CD112" s="831" t="str">
        <f>IF($C112&lt;1,"",(AVERAGEIFS('09월 에너지'!M$14:M$949,'09월 에너지'!$A$14:$A$949,$A112,'09월 에너지'!$C$14:$C$949,$B112)))</f>
        <v/>
      </c>
      <c r="CE112" s="835" t="str">
        <f>IF($C112&lt;1,"",(AVERAGEIFS('09월 에너지'!N$14:N$949,'09월 에너지'!$A$14:$A$949,$A112,'09월 에너지'!$C$14:$C$949,$B112)))</f>
        <v/>
      </c>
      <c r="CF112" s="831" t="str">
        <f>IF($C112&lt;1,"",(AVERAGEIFS('09월 에너지'!O$14:O$949,'09월 에너지'!$A$14:$A$949,$A112,'09월 에너지'!$C$14:$C$949,$B112)))</f>
        <v/>
      </c>
      <c r="CG112" s="831" t="str">
        <f>IF($C112&lt;1,"",(AVERAGEIFS('09월 에너지'!P$14:P$949,'09월 에너지'!$A$14:$A$949,$A112,'09월 에너지'!$C$14:$C$949,$B112)))</f>
        <v/>
      </c>
      <c r="CH112" s="831" t="str">
        <f>IF($C112&lt;1,"",(AVERAGEIFS('09월 에너지'!Q$14:Q$949,'09월 에너지'!$A$14:$A$949,$A112,'09월 에너지'!$C$14:$C$949,$B112)))</f>
        <v/>
      </c>
      <c r="CI112" s="831" t="str">
        <f>IF($C112&lt;1,"",(AVERAGEIFS('09월 에너지'!R$14:R$949,'09월 에너지'!$A$14:$A$949,$A112,'09월 에너지'!$C$14:$C$949,$B112)))</f>
        <v/>
      </c>
      <c r="CJ112" s="831" t="str">
        <f>IF($C112&lt;1,"",(AVERAGEIFS('09월 에너지'!S$14:S$949,'09월 에너지'!$A$14:$A$949,$A112,'09월 에너지'!$C$14:$C$949,$B112)))</f>
        <v/>
      </c>
      <c r="CK112" s="831" t="str">
        <f>IF($C112&lt;1,"",(AVERAGEIFS('09월 에너지'!T$14:T$949,'09월 에너지'!$A$14:$A$949,$A112,'09월 에너지'!$C$14:$C$949,$B112)))</f>
        <v/>
      </c>
      <c r="CL112" s="831" t="str">
        <f>IF($C112&lt;1,"",(AVERAGEIFS('09월 에너지'!U$14:U$949,'09월 에너지'!$A$14:$A$949,$A112,'09월 에너지'!$C$14:$C$949,$B112)))</f>
        <v/>
      </c>
      <c r="CM112" s="835" t="str">
        <f>IF($C112&lt;1,"",(AVERAGEIFS('09월 에너지'!V$14:V$949,'09월 에너지'!$A$14:$A$949,$A112,'09월 에너지'!$C$14:$C$949,$B112)))</f>
        <v/>
      </c>
      <c r="CN112" s="835" t="str">
        <f>IF($C112&lt;1,"",(AVERAGEIFS('09월 에너지'!W$14:W$949,'09월 에너지'!$A$14:$A$949,$A112,'09월 에너지'!$C$14:$C$949,$B112)))</f>
        <v/>
      </c>
      <c r="CO112" s="831" t="str">
        <f>IF($C112&lt;1,"",(AVERAGEIFS('09월 에너지'!X$14:X$949,'09월 에너지'!$A$14:$A$949,$A112,'09월 에너지'!$C$14:$C$949,$B112)))</f>
        <v/>
      </c>
      <c r="CP112" s="835" t="str">
        <f>IF($C112&lt;1,"",(AVERAGEIFS('09월 에너지'!Y$14:Y$949,'09월 에너지'!$A$14:$A$949,$A112,'09월 에너지'!$C$14:$C$949,$B112)))</f>
        <v/>
      </c>
      <c r="CQ112" s="835" t="str">
        <f>IF($C112&lt;1,"",(AVERAGEIFS('09월 에너지'!Z$14:Z$949,'09월 에너지'!$A$14:$A$949,$A112,'09월 에너지'!$C$14:$C$949,$B112)))</f>
        <v/>
      </c>
      <c r="CR112" s="835" t="str">
        <f>IF($C112&lt;1,"",(AVERAGEIFS('09월 에너지'!AA$14:AA$949,'09월 에너지'!$A$14:$A$949,$A112,'09월 에너지'!$C$14:$C$949,$B112)))</f>
        <v/>
      </c>
      <c r="CS112" s="835" t="str">
        <f>IF($C112&lt;1,"",(AVERAGEIFS('09월 에너지'!AB$14:AB$949,'09월 에너지'!$A$14:$A$949,$A112,'09월 에너지'!$C$14:$C$949,$B112)))</f>
        <v/>
      </c>
      <c r="CT112" s="831" t="str">
        <f>IF($C112&lt;1,"",(AVERAGEIFS('09월 에너지'!AC$14:AC$949,'09월 에너지'!$A$14:$A$949,$A112,'09월 에너지'!$C$14:$C$949,$B112)))</f>
        <v/>
      </c>
      <c r="CU112" s="836" t="str">
        <f>IF($C112&lt;1,"",(AVERAGEIFS('09월 에너지'!AD$14:AD$949,'09월 에너지'!$A$14:$A$949,$A112,'09월 에너지'!$C$14:$C$949,$B112)))</f>
        <v/>
      </c>
      <c r="CV112" s="837" t="str">
        <f>IF($C112&lt;1,"",(AVERAGEIFS('09월 에너지'!AE$14:AE$949,'09월 에너지'!$A$14:$A$949,$A112,'09월 에너지'!$C$14:$C$949,$B112)))</f>
        <v/>
      </c>
      <c r="CW112" s="831" t="str">
        <f>IF($C112&lt;1,"",(AVERAGEIFS('09월 에너지'!AF$14:AF$949,'09월 에너지'!$A$14:$A$949,$A112,'09월 에너지'!$C$14:$C$949,$B112)))</f>
        <v/>
      </c>
      <c r="CX112" s="831" t="str">
        <f>IF($C112&lt;1,"",(AVERAGEIFS('09월 에너지'!AG$14:AG$949,'09월 에너지'!$A$14:$A$949,$A112,'09월 에너지'!$C$14:$C$949,$B112)))</f>
        <v/>
      </c>
      <c r="CY112" s="831" t="str">
        <f>IF($C112&lt;1,"",(AVERAGEIFS('09월 에너지'!AH$14:AH$949,'09월 에너지'!$A$14:$A$949,$A112,'09월 에너지'!$C$14:$C$949,$B112)))</f>
        <v/>
      </c>
      <c r="CZ112" s="831" t="str">
        <f>IF($C112&lt;1,"",(AVERAGEIFS('09월 에너지'!AI$14:AI$949,'09월 에너지'!$A$14:$A$949,$A112,'09월 에너지'!$C$14:$C$949,$B112)))</f>
        <v/>
      </c>
      <c r="DA112" s="838" t="str">
        <f>IF($C112&lt;1,"",(AVERAGEIFS('09월 에너지'!AJ$14:AJ$949,'09월 에너지'!$A$14:$A$949,$A112,'09월 에너지'!$C$14:$C$949,$B112)))</f>
        <v/>
      </c>
    </row>
    <row r="113" spans="1:105" ht="13.5" customHeight="1">
      <c r="A113" s="849">
        <f t="shared" si="20"/>
        <v>44948</v>
      </c>
      <c r="B113" s="850" t="s">
        <v>100</v>
      </c>
      <c r="C113" s="823">
        <f>COUNTIFS('09월 조업일지'!$A$12:$A$952,A111,'09월 조업일지'!$E$12:$E$952,B113)</f>
        <v>0</v>
      </c>
      <c r="D113" s="824" t="str">
        <f t="shared" ref="D113:D115" si="25">IF(C113&lt;1,"",F113-E113)</f>
        <v/>
      </c>
      <c r="E113" s="824" t="str">
        <f>IF($C113&lt;1,"",(SUMIFS('09월 조업일지'!$K$12:$K$952,'09월 조업일지'!$A$12:$A$952,$A113,'09월 조업일지'!$E$12:$E$952,$B113)/$C113))</f>
        <v/>
      </c>
      <c r="F113" s="824" t="str">
        <f>IF($C113&lt;1,"",(AVERAGEIFS('09월 조업일지'!$J$12:$J$952,'09월 조업일지'!$A$12:$A$952,$A113,'09월 조업일지'!$E$12:$E$952,$B113)))</f>
        <v/>
      </c>
      <c r="G113" s="825" t="str">
        <f>IF($C113&lt;1,"",(AVERAGEIFS('09월 에너지'!$M$14:$M$949,'09월 에너지'!$A$14:$A$949,$A113,'09월 에너지'!$C$14:$C$949,$B113)))</f>
        <v/>
      </c>
      <c r="H113" s="826" t="str">
        <f>IF($C113&lt;1,"",(AVERAGEIFS('09월 조업일지'!$AJ$12:$AJ$952,'09월 조업일지'!$A$12:$A$952,$A113,'09월 조업일지'!$E$12:$E$952,$B113)))</f>
        <v/>
      </c>
      <c r="I113" s="826" t="str">
        <f>IF($C113&lt;1,"",(AVERAGEIFS('09월 조업일지'!$AL$12:$AL$952,'09월 조업일지'!$A$12:$A$952,$A113,'09월 조업일지'!$E$12:$E$952,$B113)))</f>
        <v/>
      </c>
      <c r="J113" s="827" t="str">
        <f>IF($C113&lt;1,"",(AVERAGEIFS('09월 화학성분'!G$12:G$949,'09월 화학성분'!$A$12:$A$949,$A113,'09월 화학성분'!$D$12:$D$949,$B113)))</f>
        <v/>
      </c>
      <c r="K113" s="827" t="str">
        <f>IF($C113&lt;1,"",(AVERAGEIFS('09월 화학성분'!H$12:H$949,'09월 화학성분'!$A$12:$A$949,$A113,'09월 화학성분'!$D$12:$D$949,$B113)))</f>
        <v/>
      </c>
      <c r="L113" s="827" t="str">
        <f>IF($C113&lt;1,"",(AVERAGEIFS('09월 화학성분'!I$12:I$949,'09월 화학성분'!$A$12:$A$949,$A113,'09월 화학성분'!$D$12:$D$949,$B113)))</f>
        <v/>
      </c>
      <c r="M113" s="827" t="str">
        <f>IF($C113&lt;1,"",(AVERAGEIFS('09월 화학성분'!J$12:J$949,'09월 화학성분'!$A$12:$A$949,$A113,'09월 화학성분'!$D$12:$D$949,$B113)))</f>
        <v/>
      </c>
      <c r="N113" s="827" t="str">
        <f>IF($C113&lt;1,"",(AVERAGEIFS('09월 화학성분'!K$12:K$949,'09월 화학성분'!$A$12:$A$949,$A113,'09월 화학성분'!$D$12:$D$949,$B113)))</f>
        <v/>
      </c>
      <c r="O113" s="827" t="str">
        <f>IF($C113&lt;1,"",(AVERAGEIFS('09월 화학성분'!L$12:L$949,'09월 화학성분'!$A$12:$A$949,$A113,'09월 화학성분'!$D$12:$D$949,$B113)))</f>
        <v/>
      </c>
      <c r="P113" s="827" t="str">
        <f>IF($C113&lt;1,"",(AVERAGEIFS('09월 화학성분'!M$12:M$949,'09월 화학성분'!$A$12:$A$949,$A113,'09월 화학성분'!$D$12:$D$949,$B113)))</f>
        <v/>
      </c>
      <c r="Q113" s="827" t="str">
        <f>IFERROR(IF($C113&lt;1,"",(AVERAGEIFS('09월 조업일지'!$AA$12:$AA$952,'09월 조업일지'!$A$12:$A$952,$A113,'09월 조업일지'!$E$12:$E$952,$B113))),"")</f>
        <v/>
      </c>
      <c r="R113" s="827" t="str">
        <f>IF($C113&lt;1,"",(AVERAGEIFS('09월 조업일지'!$AK$12:$AK$952,'09월 조업일지'!$A$12:$A$952,$A113,'09월 조업일지'!$E$12:$E$952,$B113)))</f>
        <v/>
      </c>
      <c r="S113" s="827"/>
      <c r="T113" s="827"/>
      <c r="U113" s="827" t="str">
        <f>IF($C113&lt;1,"",(AVERAGEIFS('09월 화학성분'!$G$12:$G$949,'09월 화학성분'!$A$12:$A$949,$A113,'09월 화학성분'!$D$12:$D$949,$B113)))</f>
        <v/>
      </c>
      <c r="V113" s="827" t="str">
        <f>IF($C113&lt;1,"",(AVERAGEIFS('09월 조업일지'!$AI$12:$AI$952,'09월 조업일지'!$A$12:$A$952,$A113,'09월 조업일지'!$E$12:$E$952,$B113)))</f>
        <v/>
      </c>
      <c r="W113" s="828" t="str">
        <f>IF($C113&lt;1,"",(AVERAGEIFS('09월 화학성분'!$AM$12:$AM$949,'09월 화학성분'!$A$12:$A$949,$A113,'09월 화학성분'!$D$12:$D$949,$B113)))</f>
        <v/>
      </c>
      <c r="X113" s="829" t="str">
        <f>IF($C113&lt;1,"",(AVERAGEIFS('09월 화학성분'!N$12:N$949,'09월 화학성분'!$A$12:$A$949,$A113,'09월 화학성분'!$D$12:$D$949,$B113)))</f>
        <v/>
      </c>
      <c r="Y113" s="829" t="str">
        <f>IF($C113&lt;1,"",(AVERAGEIFS('09월 화학성분'!O$12:O$949,'09월 화학성분'!$A$12:$A$949,$A113,'09월 화학성분'!$D$12:$D$949,$B113)))</f>
        <v/>
      </c>
      <c r="Z113" s="829" t="str">
        <f>IF($C113&lt;1,"",(AVERAGEIFS('09월 화학성분'!P$12:P$949,'09월 화학성분'!$A$12:$A$949,$A113,'09월 화학성분'!$D$12:$D$949,$B113)))</f>
        <v/>
      </c>
      <c r="AA113" s="829" t="str">
        <f>IF($C113&lt;1,"",(AVERAGEIFS('09월 화학성분'!Q$12:Q$949,'09월 화학성분'!$A$12:$A$949,$A113,'09월 화학성분'!$D$12:$D$949,$B113)))</f>
        <v/>
      </c>
      <c r="AB113" s="829" t="str">
        <f>IF($C113&lt;1,"",(AVERAGEIFS('09월 화학성분'!R$12:R$949,'09월 화학성분'!$A$12:$A$949,$A113,'09월 화학성분'!$D$12:$D$949,$B113)))</f>
        <v/>
      </c>
      <c r="AC113" s="829" t="str">
        <f>IF($C113&lt;1,"",(AVERAGEIFS('09월 화학성분'!U$12:U$949,'09월 화학성분'!$A$12:$A$949,$A113,'09월 화학성분'!$D$12:$D$949,$B113)))</f>
        <v/>
      </c>
      <c r="AD113" s="829" t="str">
        <f>IF($C113&lt;1,"",(AVERAGEIFS('09월 화학성분'!V$12:V$949,'09월 화학성분'!$A$12:$A$949,$A113,'09월 화학성분'!$D$12:$D$949,$B113)))</f>
        <v/>
      </c>
      <c r="AE113" s="829" t="str">
        <f>IF($C113&lt;1,"",(AVERAGEIFS('09월 화학성분'!W$12:W$949,'09월 화학성분'!$A$12:$A$949,$A113,'09월 화학성분'!$D$12:$D$949,$B113)))</f>
        <v/>
      </c>
      <c r="AF113" s="829" t="str">
        <f>IF($C113&lt;1,"",(AVERAGEIFS('09월 화학성분'!AA$12:AA$949,'09월 화학성분'!$A$12:$A$949,$A113,'09월 화학성분'!$D$12:$D$949,$B113)))</f>
        <v/>
      </c>
      <c r="AG113" s="829" t="str">
        <f>IF($C113&lt;1,"",(AVERAGEIFS('09월 화학성분'!#REF!,'09월 화학성분'!$A$12:$A$949,$A113,'09월 화학성분'!$D$12:$D$949,$B113)))</f>
        <v/>
      </c>
      <c r="AH113" s="829" t="str">
        <f>IF($C113&lt;1,"",(AVERAGEIFS('09월 화학성분'!AB$12:AB$949,'09월 화학성분'!$A$12:$A$949,$A113,'09월 화학성분'!$D$12:$D$949,$B113)))</f>
        <v/>
      </c>
      <c r="AI113" s="829" t="str">
        <f>IF($C113&lt;1,"",(AVERAGEIFS('09월 화학성분'!AC$12:AC$949,'09월 화학성분'!$A$12:$A$949,$A113,'09월 화학성분'!$D$12:$D$949,$B113)))</f>
        <v/>
      </c>
      <c r="AJ113" s="829" t="str">
        <f>IF($C113&lt;1,"",(AVERAGEIFS('09월 화학성분'!AD$12:AD$949,'09월 화학성분'!$A$12:$A$949,$A113,'09월 화학성분'!$D$12:$D$949,$B113)))</f>
        <v/>
      </c>
      <c r="AK113" s="829" t="str">
        <f>IF($C113&lt;1,"",(AVERAGEIFS('09월 화학성분'!AF$12:AF$949,'09월 화학성분'!$A$12:$A$949,$A113,'09월 화학성분'!$D$12:$D$949,$B113)))</f>
        <v/>
      </c>
      <c r="AL113" s="829" t="str">
        <f>IF($C113&lt;1,"",(AVERAGEIFS('09월 화학성분'!AG$12:AG$949,'09월 화학성분'!$A$12:$A$949,$A113,'09월 화학성분'!$D$12:$D$949,$B113)))</f>
        <v/>
      </c>
      <c r="AM113" s="829" t="str">
        <f>IF($C113&lt;1,"",(AVERAGEIFS('09월 화학성분'!AH$12:AH$949,'09월 화학성분'!$A$12:$A$949,$A113,'09월 화학성분'!$D$12:$D$949,$B113)))</f>
        <v/>
      </c>
      <c r="AN113" s="829" t="str">
        <f>IF($C113&lt;1,"",(AVERAGEIFS('09월 화학성분'!AI$12:AI$949,'09월 화학성분'!$A$12:$A$949,$A113,'09월 화학성분'!$D$12:$D$949,$B113)))</f>
        <v/>
      </c>
      <c r="AO113" s="829" t="str">
        <f>IF($C113&lt;1,"",(AVERAGEIFS('09월 화학성분'!AJ$12:AJ$949,'09월 화학성분'!$A$12:$A$949,$A113,'09월 화학성분'!$D$12:$D$949,$B113)))</f>
        <v/>
      </c>
      <c r="AP113" s="829" t="str">
        <f>IF($C113&lt;1,"",(AVERAGEIFS('09월 화학성분'!#REF!,'09월 화학성분'!$A$12:$A$949,$A113,'09월 화학성분'!$D$12:$D$949,$B113)))</f>
        <v/>
      </c>
      <c r="AQ113" s="829" t="str">
        <f>IF($C113&lt;1,"",(AVERAGEIFS('09월 화학성분'!AL$12:AL$949,'09월 화학성분'!$A$12:$A$949,$A113,'09월 화학성분'!$D$12:$D$949,$B113)))</f>
        <v/>
      </c>
      <c r="AR113" s="829" t="str">
        <f>IF($C113&lt;1,"",(AVERAGEIFS('09월 화학성분'!AM$12:AM$949,'09월 화학성분'!$A$12:$A$949,$A113,'09월 화학성분'!$D$12:$D$949,$B113)))</f>
        <v/>
      </c>
      <c r="AS113" s="830" t="str">
        <f>IF($C113&lt;1,"",(AVERAGEIFS('09월 화학성분'!AN$12:AN$949,'09월 화학성분'!$A$12:$A$949,$A113,'09월 화학성분'!$D$12:$D$949,$B113)))</f>
        <v/>
      </c>
      <c r="AT113" s="830" t="str">
        <f>IF($C113&lt;1,"",(AVERAGEIFS('09월 화학성분'!AO$12:AO$949,'09월 화학성분'!$A$12:$A$949,$A113,'09월 화학성분'!$D$12:$D$949,$B113)))</f>
        <v/>
      </c>
      <c r="AU113" s="831" t="str">
        <f>IF($C113&lt;1,"",(AVERAGEIFS('09월 화학성분'!AP$12:AP$949,'09월 화학성분'!$A$12:$A$949,$A113,'09월 화학성분'!$D$12:$D$949,$B113)))</f>
        <v/>
      </c>
      <c r="AV113" s="832" t="str">
        <f>IF($C113&lt;1,"",(AVERAGEIFS('09월 고철장입'!G$14:G$949,'09월 고철장입'!$A$14:$A$949,$A113,'09월 고철장입'!$C$14:$C$949,$B113))/1000)</f>
        <v/>
      </c>
      <c r="AW113" s="832" t="str">
        <f>IF($C113&lt;1,"",(AVERAGEIFS('09월 고철장입'!H$14:H$949,'09월 고철장입'!$A$14:$A$949,$A113,'09월 고철장입'!$C$14:$C$949,$B113))/1000)</f>
        <v/>
      </c>
      <c r="AX113" s="832" t="str">
        <f>IF($C113&lt;1,"",(AVERAGEIFS('09월 고철장입'!I$14:I$949,'09월 고철장입'!$A$14:$A$949,$A113,'09월 고철장입'!$C$14:$C$949,$B113))/1000)</f>
        <v/>
      </c>
      <c r="AY113" s="832" t="str">
        <f>IF($C113&lt;1,"",(AVERAGEIFS('09월 고철장입'!J$14:J$949,'09월 고철장입'!$A$14:$A$949,$A113,'09월 고철장입'!$C$14:$C$949,$B113))/1000)</f>
        <v/>
      </c>
      <c r="AZ113" s="832" t="str">
        <f>IF($C113&lt;1,"",(AVERAGEIFS('09월 고철장입'!K$14:K$949,'09월 고철장입'!$A$14:$A$949,$A113,'09월 고철장입'!$C$14:$C$949,$B113))/1000)</f>
        <v/>
      </c>
      <c r="BA113" s="832" t="str">
        <f>IF($C113&lt;1,"",(AVERAGEIFS('09월 고철장입'!L$14:L$949,'09월 고철장입'!$A$14:$A$949,$A113,'09월 고철장입'!$C$14:$C$949,$B113))/1000)</f>
        <v/>
      </c>
      <c r="BB113" s="832" t="str">
        <f>IF($C113&lt;1,"",(AVERAGEIFS('09월 고철장입'!M$14:M$949,'09월 고철장입'!$A$14:$A$949,$A113,'09월 고철장입'!$C$14:$C$949,$B113))/1000)</f>
        <v/>
      </c>
      <c r="BC113" s="832" t="str">
        <f>IF($C113&lt;1,"",(AVERAGEIFS('09월 고철장입'!N$14:N$949,'09월 고철장입'!$A$14:$A$949,$A113,'09월 고철장입'!$C$14:$C$949,$B113))/1000)</f>
        <v/>
      </c>
      <c r="BD113" s="832" t="str">
        <f>IF($C113&lt;1,"",(AVERAGEIFS('09월 고철장입'!O$14:O$949,'09월 고철장입'!$A$14:$A$949,$A113,'09월 고철장입'!$C$14:$C$949,$B113))/1000)</f>
        <v/>
      </c>
      <c r="BE113" s="833" t="str">
        <f>IF($C113&lt;1,"",(AVERAGEIFS('09월 고철장입'!P$14:P$949,'09월 고철장입'!$A$14:$A$949,$A113,'09월 고철장입'!$C$14:$C$949,$B113))/1000)</f>
        <v/>
      </c>
      <c r="BF113" s="833" t="str">
        <f>IF($C113&lt;1,"",(AVERAGEIFS('09월 고철장입'!Q$14:Q$949,'09월 고철장입'!$A$14:$A$949,$A113,'09월 고철장입'!$C$14:$C$949,$B113))/1000)</f>
        <v/>
      </c>
      <c r="BG113" s="833" t="str">
        <f>IF($C113&lt;1,"",(AVERAGEIFS('09월 고철장입'!S$14:S$949,'09월 고철장입'!$A$14:$A$949,$A113,'09월 고철장입'!$C$14:$C$949,$B113))/1000)</f>
        <v/>
      </c>
      <c r="BH113" s="833" t="str">
        <f>IF($C113&lt;1,"",(AVERAGEIFS('09월 고철장입'!T$14:T$949,'09월 고철장입'!$A$14:$A$949,$A113,'09월 고철장입'!$C$14:$C$949,$B113))/1000)</f>
        <v/>
      </c>
      <c r="BI113" s="833" t="str">
        <f>IF($C113&lt;1,"",(AVERAGEIFS('09월 고철장입'!U$14:U$949,'09월 고철장입'!$A$14:$A$949,$A113,'09월 고철장입'!$C$14:$C$949,$B113))/1000)</f>
        <v/>
      </c>
      <c r="BJ113" s="833" t="str">
        <f>IF($C113&lt;1,"",(AVERAGEIFS('09월 고철장입'!V$14:V$949,'09월 고철장입'!$A$14:$A$949,$A113,'09월 고철장입'!$C$14:$C$949,$B113))/1000)</f>
        <v/>
      </c>
      <c r="BK113" s="833" t="str">
        <f>IF($C113&lt;1,"",(AVERAGEIFS('09월 고철장입'!W$14:W$949,'09월 고철장입'!$A$14:$A$949,$A113,'09월 고철장입'!$C$14:$C$949,$B113))/1000)</f>
        <v/>
      </c>
      <c r="BL113" s="833" t="str">
        <f>IF($C113&lt;1,"",(AVERAGEIFS('09월 고철장입'!Y$14:Y$949,'09월 고철장입'!$A$14:$A$949,$A113,'09월 고철장입'!$C$14:$C$949,$B113))/1000)</f>
        <v/>
      </c>
      <c r="BM113" s="833" t="str">
        <f>IF($C113&lt;1,"",(AVERAGEIFS('09월 고철장입'!AB$14:AB$949,'09월 고철장입'!$A$14:$A$949,$A113,'09월 고철장입'!$C$14:$C$949,$B113))/1000)</f>
        <v/>
      </c>
      <c r="BN113" s="833" t="str">
        <f>IF($C113&lt;1,"",(AVERAGEIFS('09월 고철장입'!AC$14:AC$949,'09월 고철장입'!$A$14:$A$949,$A113,'09월 고철장입'!$C$14:$C$949,$B113))/1000)</f>
        <v/>
      </c>
      <c r="BO113" s="833" t="str">
        <f>IF($C113&lt;1,"",(AVERAGEIFS('09월 고철장입'!AD$14:AD$949,'09월 고철장입'!$A$14:$A$949,$A113,'09월 고철장입'!$C$14:$C$949,$B113))/1000)</f>
        <v/>
      </c>
      <c r="BP113" s="833" t="str">
        <f>IF($C113&lt;1,"",(AVERAGEIFS('09월 고철장입'!AE$14:AE$949,'09월 고철장입'!$A$14:$A$949,$A113,'09월 고철장입'!$C$14:$C$949,$B113))/1000)</f>
        <v/>
      </c>
      <c r="BQ113" s="832" t="str">
        <f>IF($C113&lt;1,"",(AVERAGEIFS('09월 고철장입'!AF$14:AF$949,'09월 고철장입'!$A$14:$A$949,$A113,'09월 고철장입'!$C$14:$C$949,$B113))/1000)</f>
        <v/>
      </c>
      <c r="BR113" s="832" t="str">
        <f>IF($C113&lt;1,"",(AVERAGEIFS('09월 고철장입'!AG$14:AG$949,'09월 고철장입'!$A$14:$A$949,$A113,'09월 고철장입'!$C$14:$C$949,$B113))/1000)</f>
        <v/>
      </c>
      <c r="BS113" s="832" t="str">
        <f>IF($C113&lt;1,"",(AVERAGEIFS('09월 고철장입'!AH$14:AH$949,'09월 고철장입'!$A$14:$A$949,$A113,'09월 고철장입'!$C$14:$C$949,$B113))/1000)</f>
        <v/>
      </c>
      <c r="BT113" s="832" t="str">
        <f>IF($C113&lt;1,"",(AVERAGEIFS('09월 고철장입'!AI$14:AI$949,'09월 고철장입'!$A$14:$A$949,$A113,'09월 고철장입'!$C$14:$C$949,$B113))/1000)</f>
        <v/>
      </c>
      <c r="BU113" s="834" t="str">
        <f>IF($C113&lt;1,"",(AVERAGEIFS('09월 고철장입'!AJ$14:AJ$949,'09월 고철장입'!$A$14:$A$949,$A113,'09월 고철장입'!$C$14:$C$949,$B113))/1000)</f>
        <v/>
      </c>
      <c r="BV113" s="834" t="str">
        <f>IF($C113&lt;1,"",(AVERAGEIFS('09월 고철장입'!AK$14:AK$949,'09월 고철장입'!$A$14:$A$949,$A113,'09월 고철장입'!$C$14:$C$949,$B113)))</f>
        <v/>
      </c>
      <c r="BW113" s="834" t="str">
        <f>IF($C113&lt;1,"",(AVERAGEIFS('09월 고철장입'!AL$14:AL$949,'09월 고철장입'!$A$14:$A$949,$A113,'09월 고철장입'!$C$14:$C$949,$B113))*100)</f>
        <v/>
      </c>
      <c r="BX113" s="831" t="str">
        <f>IF($C113&lt;1,"",(AVERAGEIFS('09월 에너지'!G$14:G$949,'09월 에너지'!$A$14:$A$949,$A113,'09월 에너지'!$C$14:$C$949,$B113)))</f>
        <v/>
      </c>
      <c r="BY113" s="835" t="str">
        <f>IF($C113&lt;1,"",(AVERAGEIFS('09월 에너지'!H$14:H$949,'09월 에너지'!$A$14:$A$949,$A113,'09월 에너지'!$C$14:$C$949,$B113)))</f>
        <v/>
      </c>
      <c r="BZ113" s="831" t="str">
        <f>IF($C113&lt;1,"",(AVERAGEIFS('09월 에너지'!I$14:I$949,'09월 에너지'!$A$14:$A$949,$A113,'09월 에너지'!$C$14:$C$949,$B113)))</f>
        <v/>
      </c>
      <c r="CA113" s="835" t="str">
        <f>IF($C113&lt;1,"",(AVERAGEIFS('09월 에너지'!J$14:J$949,'09월 에너지'!$A$14:$A$949,$A113,'09월 에너지'!$C$14:$C$949,$B113)))</f>
        <v/>
      </c>
      <c r="CB113" s="831" t="str">
        <f>IF($C113&lt;1,"",(AVERAGEIFS('09월 에너지'!K$14:K$949,'09월 에너지'!$A$14:$A$949,$A113,'09월 에너지'!$C$14:$C$949,$B113)))</f>
        <v/>
      </c>
      <c r="CC113" s="835" t="str">
        <f>IF($C113&lt;1,"",(AVERAGEIFS('09월 에너지'!L$14:L$949,'09월 에너지'!$A$14:$A$949,$A113,'09월 에너지'!$C$14:$C$949,$B113)))</f>
        <v/>
      </c>
      <c r="CD113" s="831" t="str">
        <f>IF($C113&lt;1,"",(AVERAGEIFS('09월 에너지'!M$14:M$949,'09월 에너지'!$A$14:$A$949,$A113,'09월 에너지'!$C$14:$C$949,$B113)))</f>
        <v/>
      </c>
      <c r="CE113" s="835" t="str">
        <f>IF($C113&lt;1,"",(AVERAGEIFS('09월 에너지'!N$14:N$949,'09월 에너지'!$A$14:$A$949,$A113,'09월 에너지'!$C$14:$C$949,$B113)))</f>
        <v/>
      </c>
      <c r="CF113" s="831" t="str">
        <f>IF($C113&lt;1,"",(AVERAGEIFS('09월 에너지'!O$14:O$949,'09월 에너지'!$A$14:$A$949,$A113,'09월 에너지'!$C$14:$C$949,$B113)))</f>
        <v/>
      </c>
      <c r="CG113" s="831" t="str">
        <f>IF($C113&lt;1,"",(AVERAGEIFS('09월 에너지'!P$14:P$949,'09월 에너지'!$A$14:$A$949,$A113,'09월 에너지'!$C$14:$C$949,$B113)))</f>
        <v/>
      </c>
      <c r="CH113" s="831" t="str">
        <f>IF($C113&lt;1,"",(AVERAGEIFS('09월 에너지'!Q$14:Q$949,'09월 에너지'!$A$14:$A$949,$A113,'09월 에너지'!$C$14:$C$949,$B113)))</f>
        <v/>
      </c>
      <c r="CI113" s="831" t="str">
        <f>IF($C113&lt;1,"",(AVERAGEIFS('09월 에너지'!R$14:R$949,'09월 에너지'!$A$14:$A$949,$A113,'09월 에너지'!$C$14:$C$949,$B113)))</f>
        <v/>
      </c>
      <c r="CJ113" s="831" t="str">
        <f>IF($C113&lt;1,"",(AVERAGEIFS('09월 에너지'!S$14:S$949,'09월 에너지'!$A$14:$A$949,$A113,'09월 에너지'!$C$14:$C$949,$B113)))</f>
        <v/>
      </c>
      <c r="CK113" s="831" t="str">
        <f>IF($C113&lt;1,"",(AVERAGEIFS('09월 에너지'!T$14:T$949,'09월 에너지'!$A$14:$A$949,$A113,'09월 에너지'!$C$14:$C$949,$B113)))</f>
        <v/>
      </c>
      <c r="CL113" s="831" t="str">
        <f>IF($C113&lt;1,"",(AVERAGEIFS('09월 에너지'!U$14:U$949,'09월 에너지'!$A$14:$A$949,$A113,'09월 에너지'!$C$14:$C$949,$B113)))</f>
        <v/>
      </c>
      <c r="CM113" s="835" t="str">
        <f>IF($C113&lt;1,"",(AVERAGEIFS('09월 에너지'!V$14:V$949,'09월 에너지'!$A$14:$A$949,$A113,'09월 에너지'!$C$14:$C$949,$B113)))</f>
        <v/>
      </c>
      <c r="CN113" s="835" t="str">
        <f>IF($C113&lt;1,"",(AVERAGEIFS('09월 에너지'!W$14:W$949,'09월 에너지'!$A$14:$A$949,$A113,'09월 에너지'!$C$14:$C$949,$B113)))</f>
        <v/>
      </c>
      <c r="CO113" s="831" t="str">
        <f>IF($C113&lt;1,"",(AVERAGEIFS('09월 에너지'!X$14:X$949,'09월 에너지'!$A$14:$A$949,$A113,'09월 에너지'!$C$14:$C$949,$B113)))</f>
        <v/>
      </c>
      <c r="CP113" s="835" t="str">
        <f>IF($C113&lt;1,"",(AVERAGEIFS('09월 에너지'!Y$14:Y$949,'09월 에너지'!$A$14:$A$949,$A113,'09월 에너지'!$C$14:$C$949,$B113)))</f>
        <v/>
      </c>
      <c r="CQ113" s="835" t="str">
        <f>IF($C113&lt;1,"",(AVERAGEIFS('09월 에너지'!Z$14:Z$949,'09월 에너지'!$A$14:$A$949,$A113,'09월 에너지'!$C$14:$C$949,$B113)))</f>
        <v/>
      </c>
      <c r="CR113" s="835" t="str">
        <f>IF($C113&lt;1,"",(AVERAGEIFS('09월 에너지'!AA$14:AA$949,'09월 에너지'!$A$14:$A$949,$A113,'09월 에너지'!$C$14:$C$949,$B113)))</f>
        <v/>
      </c>
      <c r="CS113" s="835" t="str">
        <f>IF($C113&lt;1,"",(AVERAGEIFS('09월 에너지'!AB$14:AB$949,'09월 에너지'!$A$14:$A$949,$A113,'09월 에너지'!$C$14:$C$949,$B113)))</f>
        <v/>
      </c>
      <c r="CT113" s="831" t="str">
        <f>IF($C113&lt;1,"",(AVERAGEIFS('09월 에너지'!AC$14:AC$949,'09월 에너지'!$A$14:$A$949,$A113,'09월 에너지'!$C$14:$C$949,$B113)))</f>
        <v/>
      </c>
      <c r="CU113" s="836" t="str">
        <f>IF($C113&lt;1,"",(AVERAGEIFS('09월 에너지'!AD$14:AD$949,'09월 에너지'!$A$14:$A$949,$A113,'09월 에너지'!$C$14:$C$949,$B113)))</f>
        <v/>
      </c>
      <c r="CV113" s="837" t="str">
        <f>IF($C113&lt;1,"",(AVERAGEIFS('09월 에너지'!AE$14:AE$949,'09월 에너지'!$A$14:$A$949,$A113,'09월 에너지'!$C$14:$C$949,$B113)))</f>
        <v/>
      </c>
      <c r="CW113" s="831" t="str">
        <f>IF($C113&lt;1,"",(AVERAGEIFS('09월 에너지'!AF$14:AF$949,'09월 에너지'!$A$14:$A$949,$A113,'09월 에너지'!$C$14:$C$949,$B113)))</f>
        <v/>
      </c>
      <c r="CX113" s="831" t="str">
        <f>IF($C113&lt;1,"",(AVERAGEIFS('09월 에너지'!AG$14:AG$949,'09월 에너지'!$A$14:$A$949,$A113,'09월 에너지'!$C$14:$C$949,$B113)))</f>
        <v/>
      </c>
      <c r="CY113" s="831" t="str">
        <f>IF($C113&lt;1,"",(AVERAGEIFS('09월 에너지'!AH$14:AH$949,'09월 에너지'!$A$14:$A$949,$A113,'09월 에너지'!$C$14:$C$949,$B113)))</f>
        <v/>
      </c>
      <c r="CZ113" s="831" t="str">
        <f>IF($C113&lt;1,"",(AVERAGEIFS('09월 에너지'!AI$14:AI$949,'09월 에너지'!$A$14:$A$949,$A113,'09월 에너지'!$C$14:$C$949,$B113)))</f>
        <v/>
      </c>
      <c r="DA113" s="838" t="str">
        <f>IF($C113&lt;1,"",(AVERAGEIFS('09월 에너지'!AJ$14:AJ$949,'09월 에너지'!$A$14:$A$949,$A113,'09월 에너지'!$C$14:$C$949,$B113)))</f>
        <v/>
      </c>
    </row>
    <row r="114" spans="1:105" ht="13.5" customHeight="1">
      <c r="A114" s="849">
        <f t="shared" si="20"/>
        <v>44948</v>
      </c>
      <c r="B114" s="850" t="s">
        <v>10</v>
      </c>
      <c r="C114" s="823">
        <f>COUNTIFS('09월 조업일지'!$A$12:$A$952,A111,'09월 조업일지'!$E$12:$E$952,B114)</f>
        <v>0</v>
      </c>
      <c r="D114" s="824" t="str">
        <f t="shared" si="25"/>
        <v/>
      </c>
      <c r="E114" s="824" t="str">
        <f>IF($C114&lt;1,"",(SUMIFS('09월 조업일지'!$K$12:$K$952,'09월 조업일지'!$A$12:$A$952,$A114,'09월 조업일지'!$E$12:$E$952,$B114)/$C114))</f>
        <v/>
      </c>
      <c r="F114" s="824" t="str">
        <f>IF($C114&lt;1,"",(AVERAGEIFS('09월 조업일지'!$J$12:$J$952,'09월 조업일지'!$A$12:$A$952,$A114,'09월 조업일지'!$E$12:$E$952,$B114)))</f>
        <v/>
      </c>
      <c r="G114" s="825" t="str">
        <f>IF($C114&lt;1,"",(AVERAGEIFS('09월 에너지'!$M$14:$M$949,'09월 에너지'!$A$14:$A$949,$A114,'09월 에너지'!$C$14:$C$949,$B114)))</f>
        <v/>
      </c>
      <c r="H114" s="826" t="str">
        <f>IF($C114&lt;1,"",(AVERAGEIFS('09월 조업일지'!$AJ$12:$AJ$952,'09월 조업일지'!$A$12:$A$952,$A114,'09월 조업일지'!$E$12:$E$952,$B114)))</f>
        <v/>
      </c>
      <c r="I114" s="826" t="str">
        <f>IF($C114&lt;1,"",(AVERAGEIFS('09월 조업일지'!$AL$12:$AL$952,'09월 조업일지'!$A$12:$A$952,$A114,'09월 조업일지'!$E$12:$E$952,$B114)))</f>
        <v/>
      </c>
      <c r="J114" s="827" t="str">
        <f>IF($C114&lt;1,"",(AVERAGEIFS('09월 화학성분'!G$12:G$949,'09월 화학성분'!$A$12:$A$949,$A114,'09월 화학성분'!$D$12:$D$949,$B114)))</f>
        <v/>
      </c>
      <c r="K114" s="827" t="str">
        <f>IF($C114&lt;1,"",(AVERAGEIFS('09월 화학성분'!H$12:H$949,'09월 화학성분'!$A$12:$A$949,$A114,'09월 화학성분'!$D$12:$D$949,$B114)))</f>
        <v/>
      </c>
      <c r="L114" s="827" t="str">
        <f>IF($C114&lt;1,"",(AVERAGEIFS('09월 화학성분'!I$12:I$949,'09월 화학성분'!$A$12:$A$949,$A114,'09월 화학성분'!$D$12:$D$949,$B114)))</f>
        <v/>
      </c>
      <c r="M114" s="827" t="str">
        <f>IF($C114&lt;1,"",(AVERAGEIFS('09월 화학성분'!J$12:J$949,'09월 화학성분'!$A$12:$A$949,$A114,'09월 화학성분'!$D$12:$D$949,$B114)))</f>
        <v/>
      </c>
      <c r="N114" s="827" t="str">
        <f>IF($C114&lt;1,"",(AVERAGEIFS('09월 화학성분'!K$12:K$949,'09월 화학성분'!$A$12:$A$949,$A114,'09월 화학성분'!$D$12:$D$949,$B114)))</f>
        <v/>
      </c>
      <c r="O114" s="827" t="str">
        <f>IF($C114&lt;1,"",(AVERAGEIFS('09월 화학성분'!L$12:L$949,'09월 화학성분'!$A$12:$A$949,$A114,'09월 화학성분'!$D$12:$D$949,$B114)))</f>
        <v/>
      </c>
      <c r="P114" s="827" t="str">
        <f>IF($C114&lt;1,"",(AVERAGEIFS('09월 화학성분'!M$12:M$949,'09월 화학성분'!$A$12:$A$949,$A114,'09월 화학성분'!$D$12:$D$949,$B114)))</f>
        <v/>
      </c>
      <c r="Q114" s="827" t="str">
        <f>IFERROR(IF($C114&lt;1,"",(AVERAGEIFS('09월 조업일지'!$AA$12:$AA$952,'09월 조업일지'!$A$12:$A$952,$A114,'09월 조업일지'!$E$12:$E$952,$B114))),"")</f>
        <v/>
      </c>
      <c r="R114" s="827" t="str">
        <f>IF($C114&lt;1,"",(AVERAGEIFS('09월 조업일지'!$AK$12:$AK$952,'09월 조업일지'!$A$12:$A$952,$A114,'09월 조업일지'!$E$12:$E$952,$B114)))</f>
        <v/>
      </c>
      <c r="S114" s="827"/>
      <c r="T114" s="827"/>
      <c r="U114" s="827" t="str">
        <f>IF($C114&lt;1,"",(AVERAGEIFS('09월 화학성분'!$G$12:$G$949,'09월 화학성분'!$A$12:$A$949,$A114,'09월 화학성분'!$D$12:$D$949,$B114)))</f>
        <v/>
      </c>
      <c r="V114" s="827" t="str">
        <f>IF($C114&lt;1,"",(AVERAGEIFS('09월 조업일지'!$AI$12:$AI$952,'09월 조업일지'!$A$12:$A$952,$A114,'09월 조업일지'!$E$12:$E$952,$B114)))</f>
        <v/>
      </c>
      <c r="W114" s="828" t="str">
        <f>IF($C114&lt;1,"",(AVERAGEIFS('09월 화학성분'!$AM$12:$AM$949,'09월 화학성분'!$A$12:$A$949,$A114,'09월 화학성분'!$D$12:$D$949,$B114)))</f>
        <v/>
      </c>
      <c r="X114" s="829" t="str">
        <f>IF($C114&lt;1,"",(AVERAGEIFS('09월 화학성분'!N$12:N$949,'09월 화학성분'!$A$12:$A$949,$A114,'09월 화학성분'!$D$12:$D$949,$B114)))</f>
        <v/>
      </c>
      <c r="Y114" s="829" t="str">
        <f>IF($C114&lt;1,"",(AVERAGEIFS('09월 화학성분'!O$12:O$949,'09월 화학성분'!$A$12:$A$949,$A114,'09월 화학성분'!$D$12:$D$949,$B114)))</f>
        <v/>
      </c>
      <c r="Z114" s="829" t="str">
        <f>IF($C114&lt;1,"",(AVERAGEIFS('09월 화학성분'!P$12:P$949,'09월 화학성분'!$A$12:$A$949,$A114,'09월 화학성분'!$D$12:$D$949,$B114)))</f>
        <v/>
      </c>
      <c r="AA114" s="829" t="str">
        <f>IF($C114&lt;1,"",(AVERAGEIFS('09월 화학성분'!Q$12:Q$949,'09월 화학성분'!$A$12:$A$949,$A114,'09월 화학성분'!$D$12:$D$949,$B114)))</f>
        <v/>
      </c>
      <c r="AB114" s="829" t="str">
        <f>IF($C114&lt;1,"",(AVERAGEIFS('09월 화학성분'!R$12:R$949,'09월 화학성분'!$A$12:$A$949,$A114,'09월 화학성분'!$D$12:$D$949,$B114)))</f>
        <v/>
      </c>
      <c r="AC114" s="829" t="str">
        <f>IF($C114&lt;1,"",(AVERAGEIFS('09월 화학성분'!U$12:U$949,'09월 화학성분'!$A$12:$A$949,$A114,'09월 화학성분'!$D$12:$D$949,$B114)))</f>
        <v/>
      </c>
      <c r="AD114" s="829" t="str">
        <f>IF($C114&lt;1,"",(AVERAGEIFS('09월 화학성분'!V$12:V$949,'09월 화학성분'!$A$12:$A$949,$A114,'09월 화학성분'!$D$12:$D$949,$B114)))</f>
        <v/>
      </c>
      <c r="AE114" s="829" t="str">
        <f>IF($C114&lt;1,"",(AVERAGEIFS('09월 화학성분'!W$12:W$949,'09월 화학성분'!$A$12:$A$949,$A114,'09월 화학성분'!$D$12:$D$949,$B114)))</f>
        <v/>
      </c>
      <c r="AF114" s="829" t="str">
        <f>IF($C114&lt;1,"",(AVERAGEIFS('09월 화학성분'!AA$12:AA$949,'09월 화학성분'!$A$12:$A$949,$A114,'09월 화학성분'!$D$12:$D$949,$B114)))</f>
        <v/>
      </c>
      <c r="AG114" s="829" t="str">
        <f>IF($C114&lt;1,"",(AVERAGEIFS('09월 화학성분'!#REF!,'09월 화학성분'!$A$12:$A$949,$A114,'09월 화학성분'!$D$12:$D$949,$B114)))</f>
        <v/>
      </c>
      <c r="AH114" s="829" t="str">
        <f>IF($C114&lt;1,"",(AVERAGEIFS('09월 화학성분'!AB$12:AB$949,'09월 화학성분'!$A$12:$A$949,$A114,'09월 화학성분'!$D$12:$D$949,$B114)))</f>
        <v/>
      </c>
      <c r="AI114" s="829" t="str">
        <f>IF($C114&lt;1,"",(AVERAGEIFS('09월 화학성분'!AC$12:AC$949,'09월 화학성분'!$A$12:$A$949,$A114,'09월 화학성분'!$D$12:$D$949,$B114)))</f>
        <v/>
      </c>
      <c r="AJ114" s="829" t="str">
        <f>IF($C114&lt;1,"",(AVERAGEIFS('09월 화학성분'!AD$12:AD$949,'09월 화학성분'!$A$12:$A$949,$A114,'09월 화학성분'!$D$12:$D$949,$B114)))</f>
        <v/>
      </c>
      <c r="AK114" s="829" t="str">
        <f>IF($C114&lt;1,"",(AVERAGEIFS('09월 화학성분'!AF$12:AF$949,'09월 화학성분'!$A$12:$A$949,$A114,'09월 화학성분'!$D$12:$D$949,$B114)))</f>
        <v/>
      </c>
      <c r="AL114" s="829" t="str">
        <f>IF($C114&lt;1,"",(AVERAGEIFS('09월 화학성분'!AG$12:AG$949,'09월 화학성분'!$A$12:$A$949,$A114,'09월 화학성분'!$D$12:$D$949,$B114)))</f>
        <v/>
      </c>
      <c r="AM114" s="829" t="str">
        <f>IF($C114&lt;1,"",(AVERAGEIFS('09월 화학성분'!AH$12:AH$949,'09월 화학성분'!$A$12:$A$949,$A114,'09월 화학성분'!$D$12:$D$949,$B114)))</f>
        <v/>
      </c>
      <c r="AN114" s="829" t="str">
        <f>IF($C114&lt;1,"",(AVERAGEIFS('09월 화학성분'!AI$12:AI$949,'09월 화학성분'!$A$12:$A$949,$A114,'09월 화학성분'!$D$12:$D$949,$B114)))</f>
        <v/>
      </c>
      <c r="AO114" s="829" t="str">
        <f>IF($C114&lt;1,"",(AVERAGEIFS('09월 화학성분'!AJ$12:AJ$949,'09월 화학성분'!$A$12:$A$949,$A114,'09월 화학성분'!$D$12:$D$949,$B114)))</f>
        <v/>
      </c>
      <c r="AP114" s="829" t="str">
        <f>IF($C114&lt;1,"",(AVERAGEIFS('09월 화학성분'!#REF!,'09월 화학성분'!$A$12:$A$949,$A114,'09월 화학성분'!$D$12:$D$949,$B114)))</f>
        <v/>
      </c>
      <c r="AQ114" s="829" t="str">
        <f>IF($C114&lt;1,"",(AVERAGEIFS('09월 화학성분'!AL$12:AL$949,'09월 화학성분'!$A$12:$A$949,$A114,'09월 화학성분'!$D$12:$D$949,$B114)))</f>
        <v/>
      </c>
      <c r="AR114" s="829" t="str">
        <f>IF($C114&lt;1,"",(AVERAGEIFS('09월 화학성분'!AM$12:AM$949,'09월 화학성분'!$A$12:$A$949,$A114,'09월 화학성분'!$D$12:$D$949,$B114)))</f>
        <v/>
      </c>
      <c r="AS114" s="830" t="str">
        <f>IF($C114&lt;1,"",(AVERAGEIFS('09월 화학성분'!AN$12:AN$949,'09월 화학성분'!$A$12:$A$949,$A114,'09월 화학성분'!$D$12:$D$949,$B114)))</f>
        <v/>
      </c>
      <c r="AT114" s="830" t="str">
        <f>IF($C114&lt;1,"",(AVERAGEIFS('09월 화학성분'!AO$12:AO$949,'09월 화학성분'!$A$12:$A$949,$A114,'09월 화학성분'!$D$12:$D$949,$B114)))</f>
        <v/>
      </c>
      <c r="AU114" s="831" t="str">
        <f>IF($C114&lt;1,"",(AVERAGEIFS('09월 화학성분'!AP$12:AP$949,'09월 화학성분'!$A$12:$A$949,$A114,'09월 화학성분'!$D$12:$D$949,$B114)))</f>
        <v/>
      </c>
      <c r="AV114" s="832" t="str">
        <f>IF($C114&lt;1,"",(AVERAGEIFS('09월 고철장입'!G$14:G$949,'09월 고철장입'!$A$14:$A$949,$A114,'09월 고철장입'!$C$14:$C$949,$B114))/1000)</f>
        <v/>
      </c>
      <c r="AW114" s="832" t="str">
        <f>IF($C114&lt;1,"",(AVERAGEIFS('09월 고철장입'!H$14:H$949,'09월 고철장입'!$A$14:$A$949,$A114,'09월 고철장입'!$C$14:$C$949,$B114))/1000)</f>
        <v/>
      </c>
      <c r="AX114" s="832" t="str">
        <f>IF($C114&lt;1,"",(AVERAGEIFS('09월 고철장입'!I$14:I$949,'09월 고철장입'!$A$14:$A$949,$A114,'09월 고철장입'!$C$14:$C$949,$B114))/1000)</f>
        <v/>
      </c>
      <c r="AY114" s="832" t="str">
        <f>IF($C114&lt;1,"",(AVERAGEIFS('09월 고철장입'!J$14:J$949,'09월 고철장입'!$A$14:$A$949,$A114,'09월 고철장입'!$C$14:$C$949,$B114))/1000)</f>
        <v/>
      </c>
      <c r="AZ114" s="832" t="str">
        <f>IF($C114&lt;1,"",(AVERAGEIFS('09월 고철장입'!K$14:K$949,'09월 고철장입'!$A$14:$A$949,$A114,'09월 고철장입'!$C$14:$C$949,$B114))/1000)</f>
        <v/>
      </c>
      <c r="BA114" s="832" t="str">
        <f>IF($C114&lt;1,"",(AVERAGEIFS('09월 고철장입'!L$14:L$949,'09월 고철장입'!$A$14:$A$949,$A114,'09월 고철장입'!$C$14:$C$949,$B114))/1000)</f>
        <v/>
      </c>
      <c r="BB114" s="832" t="str">
        <f>IF($C114&lt;1,"",(AVERAGEIFS('09월 고철장입'!M$14:M$949,'09월 고철장입'!$A$14:$A$949,$A114,'09월 고철장입'!$C$14:$C$949,$B114))/1000)</f>
        <v/>
      </c>
      <c r="BC114" s="832" t="str">
        <f>IF($C114&lt;1,"",(AVERAGEIFS('09월 고철장입'!N$14:N$949,'09월 고철장입'!$A$14:$A$949,$A114,'09월 고철장입'!$C$14:$C$949,$B114))/1000)</f>
        <v/>
      </c>
      <c r="BD114" s="832" t="str">
        <f>IF($C114&lt;1,"",(AVERAGEIFS('09월 고철장입'!O$14:O$949,'09월 고철장입'!$A$14:$A$949,$A114,'09월 고철장입'!$C$14:$C$949,$B114))/1000)</f>
        <v/>
      </c>
      <c r="BE114" s="833" t="str">
        <f>IF($C114&lt;1,"",(AVERAGEIFS('09월 고철장입'!P$14:P$949,'09월 고철장입'!$A$14:$A$949,$A114,'09월 고철장입'!$C$14:$C$949,$B114))/1000)</f>
        <v/>
      </c>
      <c r="BF114" s="833" t="str">
        <f>IF($C114&lt;1,"",(AVERAGEIFS('09월 고철장입'!Q$14:Q$949,'09월 고철장입'!$A$14:$A$949,$A114,'09월 고철장입'!$C$14:$C$949,$B114))/1000)</f>
        <v/>
      </c>
      <c r="BG114" s="833" t="str">
        <f>IF($C114&lt;1,"",(AVERAGEIFS('09월 고철장입'!S$14:S$949,'09월 고철장입'!$A$14:$A$949,$A114,'09월 고철장입'!$C$14:$C$949,$B114))/1000)</f>
        <v/>
      </c>
      <c r="BH114" s="833" t="str">
        <f>IF($C114&lt;1,"",(AVERAGEIFS('09월 고철장입'!T$14:T$949,'09월 고철장입'!$A$14:$A$949,$A114,'09월 고철장입'!$C$14:$C$949,$B114))/1000)</f>
        <v/>
      </c>
      <c r="BI114" s="833" t="str">
        <f>IF($C114&lt;1,"",(AVERAGEIFS('09월 고철장입'!U$14:U$949,'09월 고철장입'!$A$14:$A$949,$A114,'09월 고철장입'!$C$14:$C$949,$B114))/1000)</f>
        <v/>
      </c>
      <c r="BJ114" s="833" t="str">
        <f>IF($C114&lt;1,"",(AVERAGEIFS('09월 고철장입'!V$14:V$949,'09월 고철장입'!$A$14:$A$949,$A114,'09월 고철장입'!$C$14:$C$949,$B114))/1000)</f>
        <v/>
      </c>
      <c r="BK114" s="833" t="str">
        <f>IF($C114&lt;1,"",(AVERAGEIFS('09월 고철장입'!W$14:W$949,'09월 고철장입'!$A$14:$A$949,$A114,'09월 고철장입'!$C$14:$C$949,$B114))/1000)</f>
        <v/>
      </c>
      <c r="BL114" s="833" t="str">
        <f>IF($C114&lt;1,"",(AVERAGEIFS('09월 고철장입'!Y$14:Y$949,'09월 고철장입'!$A$14:$A$949,$A114,'09월 고철장입'!$C$14:$C$949,$B114))/1000)</f>
        <v/>
      </c>
      <c r="BM114" s="833" t="str">
        <f>IF($C114&lt;1,"",(AVERAGEIFS('09월 고철장입'!AB$14:AB$949,'09월 고철장입'!$A$14:$A$949,$A114,'09월 고철장입'!$C$14:$C$949,$B114))/1000)</f>
        <v/>
      </c>
      <c r="BN114" s="833" t="str">
        <f>IF($C114&lt;1,"",(AVERAGEIFS('09월 고철장입'!AC$14:AC$949,'09월 고철장입'!$A$14:$A$949,$A114,'09월 고철장입'!$C$14:$C$949,$B114))/1000)</f>
        <v/>
      </c>
      <c r="BO114" s="833" t="str">
        <f>IF($C114&lt;1,"",(AVERAGEIFS('09월 고철장입'!AD$14:AD$949,'09월 고철장입'!$A$14:$A$949,$A114,'09월 고철장입'!$C$14:$C$949,$B114))/1000)</f>
        <v/>
      </c>
      <c r="BP114" s="833" t="str">
        <f>IF($C114&lt;1,"",(AVERAGEIFS('09월 고철장입'!AE$14:AE$949,'09월 고철장입'!$A$14:$A$949,$A114,'09월 고철장입'!$C$14:$C$949,$B114))/1000)</f>
        <v/>
      </c>
      <c r="BQ114" s="832" t="str">
        <f>IF($C114&lt;1,"",(AVERAGEIFS('09월 고철장입'!AF$14:AF$949,'09월 고철장입'!$A$14:$A$949,$A114,'09월 고철장입'!$C$14:$C$949,$B114))/1000)</f>
        <v/>
      </c>
      <c r="BR114" s="832" t="str">
        <f>IF($C114&lt;1,"",(AVERAGEIFS('09월 고철장입'!AG$14:AG$949,'09월 고철장입'!$A$14:$A$949,$A114,'09월 고철장입'!$C$14:$C$949,$B114))/1000)</f>
        <v/>
      </c>
      <c r="BS114" s="832" t="str">
        <f>IF($C114&lt;1,"",(AVERAGEIFS('09월 고철장입'!AH$14:AH$949,'09월 고철장입'!$A$14:$A$949,$A114,'09월 고철장입'!$C$14:$C$949,$B114))/1000)</f>
        <v/>
      </c>
      <c r="BT114" s="832" t="str">
        <f>IF($C114&lt;1,"",(AVERAGEIFS('09월 고철장입'!AI$14:AI$949,'09월 고철장입'!$A$14:$A$949,$A114,'09월 고철장입'!$C$14:$C$949,$B114))/1000)</f>
        <v/>
      </c>
      <c r="BU114" s="834" t="str">
        <f>IF($C114&lt;1,"",(AVERAGEIFS('09월 고철장입'!AJ$14:AJ$949,'09월 고철장입'!$A$14:$A$949,$A114,'09월 고철장입'!$C$14:$C$949,$B114))/1000)</f>
        <v/>
      </c>
      <c r="BV114" s="834" t="str">
        <f>IF($C114&lt;1,"",(AVERAGEIFS('09월 고철장입'!AK$14:AK$949,'09월 고철장입'!$A$14:$A$949,$A114,'09월 고철장입'!$C$14:$C$949,$B114)))</f>
        <v/>
      </c>
      <c r="BW114" s="834" t="str">
        <f>IF($C114&lt;1,"",(AVERAGEIFS('09월 고철장입'!AL$14:AL$949,'09월 고철장입'!$A$14:$A$949,$A114,'09월 고철장입'!$C$14:$C$949,$B114))*100)</f>
        <v/>
      </c>
      <c r="BX114" s="831" t="str">
        <f>IF($C114&lt;1,"",(AVERAGEIFS('09월 에너지'!G$14:G$949,'09월 에너지'!$A$14:$A$949,$A114,'09월 에너지'!$C$14:$C$949,$B114)))</f>
        <v/>
      </c>
      <c r="BY114" s="835" t="str">
        <f>IF($C114&lt;1,"",(AVERAGEIFS('09월 에너지'!H$14:H$949,'09월 에너지'!$A$14:$A$949,$A114,'09월 에너지'!$C$14:$C$949,$B114)))</f>
        <v/>
      </c>
      <c r="BZ114" s="831" t="str">
        <f>IF($C114&lt;1,"",(AVERAGEIFS('09월 에너지'!I$14:I$949,'09월 에너지'!$A$14:$A$949,$A114,'09월 에너지'!$C$14:$C$949,$B114)))</f>
        <v/>
      </c>
      <c r="CA114" s="835" t="str">
        <f>IF($C114&lt;1,"",(AVERAGEIFS('09월 에너지'!J$14:J$949,'09월 에너지'!$A$14:$A$949,$A114,'09월 에너지'!$C$14:$C$949,$B114)))</f>
        <v/>
      </c>
      <c r="CB114" s="831" t="str">
        <f>IF($C114&lt;1,"",(AVERAGEIFS('09월 에너지'!K$14:K$949,'09월 에너지'!$A$14:$A$949,$A114,'09월 에너지'!$C$14:$C$949,$B114)))</f>
        <v/>
      </c>
      <c r="CC114" s="835" t="str">
        <f>IF($C114&lt;1,"",(AVERAGEIFS('09월 에너지'!L$14:L$949,'09월 에너지'!$A$14:$A$949,$A114,'09월 에너지'!$C$14:$C$949,$B114)))</f>
        <v/>
      </c>
      <c r="CD114" s="831" t="str">
        <f>IF($C114&lt;1,"",(AVERAGEIFS('09월 에너지'!M$14:M$949,'09월 에너지'!$A$14:$A$949,$A114,'09월 에너지'!$C$14:$C$949,$B114)))</f>
        <v/>
      </c>
      <c r="CE114" s="835" t="str">
        <f>IF($C114&lt;1,"",(AVERAGEIFS('09월 에너지'!N$14:N$949,'09월 에너지'!$A$14:$A$949,$A114,'09월 에너지'!$C$14:$C$949,$B114)))</f>
        <v/>
      </c>
      <c r="CF114" s="831" t="str">
        <f>IF($C114&lt;1,"",(AVERAGEIFS('09월 에너지'!O$14:O$949,'09월 에너지'!$A$14:$A$949,$A114,'09월 에너지'!$C$14:$C$949,$B114)))</f>
        <v/>
      </c>
      <c r="CG114" s="831" t="str">
        <f>IF($C114&lt;1,"",(AVERAGEIFS('09월 에너지'!P$14:P$949,'09월 에너지'!$A$14:$A$949,$A114,'09월 에너지'!$C$14:$C$949,$B114)))</f>
        <v/>
      </c>
      <c r="CH114" s="831" t="str">
        <f>IF($C114&lt;1,"",(AVERAGEIFS('09월 에너지'!Q$14:Q$949,'09월 에너지'!$A$14:$A$949,$A114,'09월 에너지'!$C$14:$C$949,$B114)))</f>
        <v/>
      </c>
      <c r="CI114" s="831" t="str">
        <f>IF($C114&lt;1,"",(AVERAGEIFS('09월 에너지'!R$14:R$949,'09월 에너지'!$A$14:$A$949,$A114,'09월 에너지'!$C$14:$C$949,$B114)))</f>
        <v/>
      </c>
      <c r="CJ114" s="831" t="str">
        <f>IF($C114&lt;1,"",(AVERAGEIFS('09월 에너지'!S$14:S$949,'09월 에너지'!$A$14:$A$949,$A114,'09월 에너지'!$C$14:$C$949,$B114)))</f>
        <v/>
      </c>
      <c r="CK114" s="831" t="str">
        <f>IF($C114&lt;1,"",(AVERAGEIFS('09월 에너지'!T$14:T$949,'09월 에너지'!$A$14:$A$949,$A114,'09월 에너지'!$C$14:$C$949,$B114)))</f>
        <v/>
      </c>
      <c r="CL114" s="831" t="str">
        <f>IF($C114&lt;1,"",(AVERAGEIFS('09월 에너지'!U$14:U$949,'09월 에너지'!$A$14:$A$949,$A114,'09월 에너지'!$C$14:$C$949,$B114)))</f>
        <v/>
      </c>
      <c r="CM114" s="835" t="str">
        <f>IF($C114&lt;1,"",(AVERAGEIFS('09월 에너지'!V$14:V$949,'09월 에너지'!$A$14:$A$949,$A114,'09월 에너지'!$C$14:$C$949,$B114)))</f>
        <v/>
      </c>
      <c r="CN114" s="835" t="str">
        <f>IF($C114&lt;1,"",(AVERAGEIFS('09월 에너지'!W$14:W$949,'09월 에너지'!$A$14:$A$949,$A114,'09월 에너지'!$C$14:$C$949,$B114)))</f>
        <v/>
      </c>
      <c r="CO114" s="831" t="str">
        <f>IF($C114&lt;1,"",(AVERAGEIFS('09월 에너지'!X$14:X$949,'09월 에너지'!$A$14:$A$949,$A114,'09월 에너지'!$C$14:$C$949,$B114)))</f>
        <v/>
      </c>
      <c r="CP114" s="835" t="str">
        <f>IF($C114&lt;1,"",(AVERAGEIFS('09월 에너지'!Y$14:Y$949,'09월 에너지'!$A$14:$A$949,$A114,'09월 에너지'!$C$14:$C$949,$B114)))</f>
        <v/>
      </c>
      <c r="CQ114" s="835" t="str">
        <f>IF($C114&lt;1,"",(AVERAGEIFS('09월 에너지'!Z$14:Z$949,'09월 에너지'!$A$14:$A$949,$A114,'09월 에너지'!$C$14:$C$949,$B114)))</f>
        <v/>
      </c>
      <c r="CR114" s="835" t="str">
        <f>IF($C114&lt;1,"",(AVERAGEIFS('09월 에너지'!AA$14:AA$949,'09월 에너지'!$A$14:$A$949,$A114,'09월 에너지'!$C$14:$C$949,$B114)))</f>
        <v/>
      </c>
      <c r="CS114" s="835" t="str">
        <f>IF($C114&lt;1,"",(AVERAGEIFS('09월 에너지'!AB$14:AB$949,'09월 에너지'!$A$14:$A$949,$A114,'09월 에너지'!$C$14:$C$949,$B114)))</f>
        <v/>
      </c>
      <c r="CT114" s="831" t="str">
        <f>IF($C114&lt;1,"",(AVERAGEIFS('09월 에너지'!AC$14:AC$949,'09월 에너지'!$A$14:$A$949,$A114,'09월 에너지'!$C$14:$C$949,$B114)))</f>
        <v/>
      </c>
      <c r="CU114" s="836" t="str">
        <f>IF($C114&lt;1,"",(AVERAGEIFS('09월 에너지'!AD$14:AD$949,'09월 에너지'!$A$14:$A$949,$A114,'09월 에너지'!$C$14:$C$949,$B114)))</f>
        <v/>
      </c>
      <c r="CV114" s="837" t="str">
        <f>IF($C114&lt;1,"",(AVERAGEIFS('09월 에너지'!AE$14:AE$949,'09월 에너지'!$A$14:$A$949,$A114,'09월 에너지'!$C$14:$C$949,$B114)))</f>
        <v/>
      </c>
      <c r="CW114" s="831" t="str">
        <f>IF($C114&lt;1,"",(AVERAGEIFS('09월 에너지'!AF$14:AF$949,'09월 에너지'!$A$14:$A$949,$A114,'09월 에너지'!$C$14:$C$949,$B114)))</f>
        <v/>
      </c>
      <c r="CX114" s="831" t="str">
        <f>IF($C114&lt;1,"",(AVERAGEIFS('09월 에너지'!AG$14:AG$949,'09월 에너지'!$A$14:$A$949,$A114,'09월 에너지'!$C$14:$C$949,$B114)))</f>
        <v/>
      </c>
      <c r="CY114" s="831" t="str">
        <f>IF($C114&lt;1,"",(AVERAGEIFS('09월 에너지'!AH$14:AH$949,'09월 에너지'!$A$14:$A$949,$A114,'09월 에너지'!$C$14:$C$949,$B114)))</f>
        <v/>
      </c>
      <c r="CZ114" s="831" t="str">
        <f>IF($C114&lt;1,"",(AVERAGEIFS('09월 에너지'!AI$14:AI$949,'09월 에너지'!$A$14:$A$949,$A114,'09월 에너지'!$C$14:$C$949,$B114)))</f>
        <v/>
      </c>
      <c r="DA114" s="838" t="str">
        <f>IF($C114&lt;1,"",(AVERAGEIFS('09월 에너지'!AJ$14:AJ$949,'09월 에너지'!$A$14:$A$949,$A114,'09월 에너지'!$C$14:$C$949,$B114)))</f>
        <v/>
      </c>
    </row>
    <row r="115" spans="1:105" ht="13.5" customHeight="1" thickBot="1">
      <c r="A115" s="851">
        <f t="shared" si="20"/>
        <v>44948</v>
      </c>
      <c r="B115" s="852" t="s">
        <v>94</v>
      </c>
      <c r="C115" s="841">
        <f>COUNTIFS('09월 조업일지'!$A$12:$A$952,A111,'09월 조업일지'!$E$12:$E$952,B115)</f>
        <v>0</v>
      </c>
      <c r="D115" s="842" t="str">
        <f t="shared" si="25"/>
        <v/>
      </c>
      <c r="E115" s="842" t="str">
        <f>IF($C115&lt;1,"",(SUMIFS('09월 조업일지'!$K$12:$K$952,'09월 조업일지'!$A$12:$A$952,$A115,'09월 조업일지'!$E$12:$E$952,$B115)/$C115))</f>
        <v/>
      </c>
      <c r="F115" s="842" t="str">
        <f>IF($C115&lt;1,"",(AVERAGEIFS('09월 조업일지'!$J$12:$J$952,'09월 조업일지'!$A$12:$A$952,$A115,'09월 조업일지'!$E$12:$E$952,$B115)))</f>
        <v/>
      </c>
      <c r="G115" s="843" t="str">
        <f>IF($C115&lt;1,"",(AVERAGEIFS('09월 에너지'!$M$14:$M$949,'09월 에너지'!$A$14:$A$949,$A115,'09월 에너지'!$C$14:$C$949,$B115)))</f>
        <v/>
      </c>
      <c r="H115" s="844" t="str">
        <f>IF($C115&lt;1,"",(AVERAGEIFS('09월 조업일지'!$AJ$12:$AJ$952,'09월 조업일지'!$A$12:$A$952,$A115,'09월 조업일지'!$E$12:$E$952,$B115)))</f>
        <v/>
      </c>
      <c r="I115" s="844" t="str">
        <f>IF($C115&lt;1,"",(AVERAGEIFS('09월 조업일지'!$AL$12:$AL$952,'09월 조업일지'!$A$12:$A$952,$A115,'09월 조업일지'!$E$12:$E$952,$B115)))</f>
        <v/>
      </c>
      <c r="J115" s="845" t="str">
        <f>IF($C115&lt;1,"",(AVERAGEIFS('09월 화학성분'!G$12:G$949,'09월 화학성분'!$A$12:$A$949,$A115,'09월 화학성분'!$D$12:$D$949,$B115)))</f>
        <v/>
      </c>
      <c r="K115" s="845" t="str">
        <f>IF($C115&lt;1,"",(AVERAGEIFS('09월 화학성분'!H$12:H$949,'09월 화학성분'!$A$12:$A$949,$A115,'09월 화학성분'!$D$12:$D$949,$B115)))</f>
        <v/>
      </c>
      <c r="L115" s="845" t="str">
        <f>IF($C115&lt;1,"",(AVERAGEIFS('09월 화학성분'!I$12:I$949,'09월 화학성분'!$A$12:$A$949,$A115,'09월 화학성분'!$D$12:$D$949,$B115)))</f>
        <v/>
      </c>
      <c r="M115" s="845" t="str">
        <f>IF($C115&lt;1,"",(AVERAGEIFS('09월 화학성분'!J$12:J$949,'09월 화학성분'!$A$12:$A$949,$A115,'09월 화학성분'!$D$12:$D$949,$B115)))</f>
        <v/>
      </c>
      <c r="N115" s="845" t="str">
        <f>IF($C115&lt;1,"",(AVERAGEIFS('09월 화학성분'!K$12:K$949,'09월 화학성분'!$A$12:$A$949,$A115,'09월 화학성분'!$D$12:$D$949,$B115)))</f>
        <v/>
      </c>
      <c r="O115" s="845" t="str">
        <f>IF($C115&lt;1,"",(AVERAGEIFS('09월 화학성분'!L$12:L$949,'09월 화학성분'!$A$12:$A$949,$A115,'09월 화학성분'!$D$12:$D$949,$B115)))</f>
        <v/>
      </c>
      <c r="P115" s="845" t="str">
        <f>IF($C115&lt;1,"",(AVERAGEIFS('09월 화학성분'!M$12:M$949,'09월 화학성분'!$A$12:$A$949,$A115,'09월 화학성분'!$D$12:$D$949,$B115)))</f>
        <v/>
      </c>
      <c r="Q115" s="827" t="str">
        <f>IFERROR(IF($C115&lt;1,"",(AVERAGEIFS('09월 조업일지'!$AA$12:$AA$952,'09월 조업일지'!$A$12:$A$952,$A115,'09월 조업일지'!$E$12:$E$952,$B115))),"")</f>
        <v/>
      </c>
      <c r="R115" s="845" t="str">
        <f>IF($C115&lt;1,"",(AVERAGEIFS('09월 조업일지'!$AK$12:$AK$952,'09월 조업일지'!$A$12:$A$952,$A115,'09월 조업일지'!$E$12:$E$952,$B115)))</f>
        <v/>
      </c>
      <c r="S115" s="845"/>
      <c r="T115" s="845"/>
      <c r="U115" s="845" t="str">
        <f>IF($C115&lt;1,"",(AVERAGEIFS('09월 화학성분'!$G$12:$G$949,'09월 화학성분'!$A$12:$A$949,$A115,'09월 화학성분'!$D$12:$D$949,$B115)))</f>
        <v/>
      </c>
      <c r="V115" s="845" t="str">
        <f>IF($C115&lt;1,"",(AVERAGEIFS('09월 조업일지'!$AI$12:$AI$952,'09월 조업일지'!$A$12:$A$952,$A115,'09월 조업일지'!$E$12:$E$952,$B115)))</f>
        <v/>
      </c>
      <c r="W115" s="846" t="str">
        <f>IF($C115&lt;1,"",(AVERAGEIFS('09월 화학성분'!$AM$12:$AM$949,'09월 화학성분'!$A$12:$A$949,$A115,'09월 화학성분'!$D$12:$D$949,$B115)))</f>
        <v/>
      </c>
      <c r="X115" s="829" t="str">
        <f>IF($C115&lt;1,"",(AVERAGEIFS('09월 화학성분'!N$12:N$949,'09월 화학성분'!$A$12:$A$949,$A115,'09월 화학성분'!$D$12:$D$949,$B115)))</f>
        <v/>
      </c>
      <c r="Y115" s="829" t="str">
        <f>IF($C115&lt;1,"",(AVERAGEIFS('09월 화학성분'!O$12:O$949,'09월 화학성분'!$A$12:$A$949,$A115,'09월 화학성분'!$D$12:$D$949,$B115)))</f>
        <v/>
      </c>
      <c r="Z115" s="829" t="str">
        <f>IF($C115&lt;1,"",(AVERAGEIFS('09월 화학성분'!P$12:P$949,'09월 화학성분'!$A$12:$A$949,$A115,'09월 화학성분'!$D$12:$D$949,$B115)))</f>
        <v/>
      </c>
      <c r="AA115" s="829" t="str">
        <f>IF($C115&lt;1,"",(AVERAGEIFS('09월 화학성분'!Q$12:Q$949,'09월 화학성분'!$A$12:$A$949,$A115,'09월 화학성분'!$D$12:$D$949,$B115)))</f>
        <v/>
      </c>
      <c r="AB115" s="829" t="str">
        <f>IF($C115&lt;1,"",(AVERAGEIFS('09월 화학성분'!R$12:R$949,'09월 화학성분'!$A$12:$A$949,$A115,'09월 화학성분'!$D$12:$D$949,$B115)))</f>
        <v/>
      </c>
      <c r="AC115" s="829" t="str">
        <f>IF($C115&lt;1,"",(AVERAGEIFS('09월 화학성분'!U$12:U$949,'09월 화학성분'!$A$12:$A$949,$A115,'09월 화학성분'!$D$12:$D$949,$B115)))</f>
        <v/>
      </c>
      <c r="AD115" s="829" t="str">
        <f>IF($C115&lt;1,"",(AVERAGEIFS('09월 화학성분'!V$12:V$949,'09월 화학성분'!$A$12:$A$949,$A115,'09월 화학성분'!$D$12:$D$949,$B115)))</f>
        <v/>
      </c>
      <c r="AE115" s="829" t="str">
        <f>IF($C115&lt;1,"",(AVERAGEIFS('09월 화학성분'!W$12:W$949,'09월 화학성분'!$A$12:$A$949,$A115,'09월 화학성분'!$D$12:$D$949,$B115)))</f>
        <v/>
      </c>
      <c r="AF115" s="829" t="str">
        <f>IF($C115&lt;1,"",(AVERAGEIFS('09월 화학성분'!AA$12:AA$949,'09월 화학성분'!$A$12:$A$949,$A115,'09월 화학성분'!$D$12:$D$949,$B115)))</f>
        <v/>
      </c>
      <c r="AG115" s="829" t="str">
        <f>IF($C115&lt;1,"",(AVERAGEIFS('09월 화학성분'!#REF!,'09월 화학성분'!$A$12:$A$949,$A115,'09월 화학성분'!$D$12:$D$949,$B115)))</f>
        <v/>
      </c>
      <c r="AH115" s="829" t="str">
        <f>IF($C115&lt;1,"",(AVERAGEIFS('09월 화학성분'!AB$12:AB$949,'09월 화학성분'!$A$12:$A$949,$A115,'09월 화학성분'!$D$12:$D$949,$B115)))</f>
        <v/>
      </c>
      <c r="AI115" s="829" t="str">
        <f>IF($C115&lt;1,"",(AVERAGEIFS('09월 화학성분'!AC$12:AC$949,'09월 화학성분'!$A$12:$A$949,$A115,'09월 화학성분'!$D$12:$D$949,$B115)))</f>
        <v/>
      </c>
      <c r="AJ115" s="829" t="str">
        <f>IF($C115&lt;1,"",(AVERAGEIFS('09월 화학성분'!AD$12:AD$949,'09월 화학성분'!$A$12:$A$949,$A115,'09월 화학성분'!$D$12:$D$949,$B115)))</f>
        <v/>
      </c>
      <c r="AK115" s="829" t="str">
        <f>IF($C115&lt;1,"",(AVERAGEIFS('09월 화학성분'!AF$12:AF$949,'09월 화학성분'!$A$12:$A$949,$A115,'09월 화학성분'!$D$12:$D$949,$B115)))</f>
        <v/>
      </c>
      <c r="AL115" s="829" t="str">
        <f>IF($C115&lt;1,"",(AVERAGEIFS('09월 화학성분'!AG$12:AG$949,'09월 화학성분'!$A$12:$A$949,$A115,'09월 화학성분'!$D$12:$D$949,$B115)))</f>
        <v/>
      </c>
      <c r="AM115" s="829" t="str">
        <f>IF($C115&lt;1,"",(AVERAGEIFS('09월 화학성분'!AH$12:AH$949,'09월 화학성분'!$A$12:$A$949,$A115,'09월 화학성분'!$D$12:$D$949,$B115)))</f>
        <v/>
      </c>
      <c r="AN115" s="829" t="str">
        <f>IF($C115&lt;1,"",(AVERAGEIFS('09월 화학성분'!AI$12:AI$949,'09월 화학성분'!$A$12:$A$949,$A115,'09월 화학성분'!$D$12:$D$949,$B115)))</f>
        <v/>
      </c>
      <c r="AO115" s="829" t="str">
        <f>IF($C115&lt;1,"",(AVERAGEIFS('09월 화학성분'!AJ$12:AJ$949,'09월 화학성분'!$A$12:$A$949,$A115,'09월 화학성분'!$D$12:$D$949,$B115)))</f>
        <v/>
      </c>
      <c r="AP115" s="829" t="str">
        <f>IF($C115&lt;1,"",(AVERAGEIFS('09월 화학성분'!#REF!,'09월 화학성분'!$A$12:$A$949,$A115,'09월 화학성분'!$D$12:$D$949,$B115)))</f>
        <v/>
      </c>
      <c r="AQ115" s="829" t="str">
        <f>IF($C115&lt;1,"",(AVERAGEIFS('09월 화학성분'!AL$12:AL$949,'09월 화학성분'!$A$12:$A$949,$A115,'09월 화학성분'!$D$12:$D$949,$B115)))</f>
        <v/>
      </c>
      <c r="AR115" s="829" t="str">
        <f>IF($C115&lt;1,"",(AVERAGEIFS('09월 화학성분'!AM$12:AM$949,'09월 화학성분'!$A$12:$A$949,$A115,'09월 화학성분'!$D$12:$D$949,$B115)))</f>
        <v/>
      </c>
      <c r="AS115" s="830" t="str">
        <f>IF($C115&lt;1,"",(AVERAGEIFS('09월 화학성분'!AN$12:AN$949,'09월 화학성분'!$A$12:$A$949,$A115,'09월 화학성분'!$D$12:$D$949,$B115)))</f>
        <v/>
      </c>
      <c r="AT115" s="830" t="str">
        <f>IF($C115&lt;1,"",(AVERAGEIFS('09월 화학성분'!AO$12:AO$949,'09월 화학성분'!$A$12:$A$949,$A115,'09월 화학성분'!$D$12:$D$949,$B115)))</f>
        <v/>
      </c>
      <c r="AU115" s="831" t="str">
        <f>IF($C115&lt;1,"",(AVERAGEIFS('09월 화학성분'!AP$12:AP$949,'09월 화학성분'!$A$12:$A$949,$A115,'09월 화학성분'!$D$12:$D$949,$B115)))</f>
        <v/>
      </c>
      <c r="AV115" s="832" t="str">
        <f>IF($C115&lt;1,"",(AVERAGEIFS('09월 고철장입'!G$14:G$949,'09월 고철장입'!$A$14:$A$949,$A115,'09월 고철장입'!$C$14:$C$949,$B115))/1000)</f>
        <v/>
      </c>
      <c r="AW115" s="832" t="str">
        <f>IF($C115&lt;1,"",(AVERAGEIFS('09월 고철장입'!H$14:H$949,'09월 고철장입'!$A$14:$A$949,$A115,'09월 고철장입'!$C$14:$C$949,$B115))/1000)</f>
        <v/>
      </c>
      <c r="AX115" s="832" t="str">
        <f>IF($C115&lt;1,"",(AVERAGEIFS('09월 고철장입'!I$14:I$949,'09월 고철장입'!$A$14:$A$949,$A115,'09월 고철장입'!$C$14:$C$949,$B115))/1000)</f>
        <v/>
      </c>
      <c r="AY115" s="832" t="str">
        <f>IF($C115&lt;1,"",(AVERAGEIFS('09월 고철장입'!J$14:J$949,'09월 고철장입'!$A$14:$A$949,$A115,'09월 고철장입'!$C$14:$C$949,$B115))/1000)</f>
        <v/>
      </c>
      <c r="AZ115" s="832" t="str">
        <f>IF($C115&lt;1,"",(AVERAGEIFS('09월 고철장입'!K$14:K$949,'09월 고철장입'!$A$14:$A$949,$A115,'09월 고철장입'!$C$14:$C$949,$B115))/1000)</f>
        <v/>
      </c>
      <c r="BA115" s="832" t="str">
        <f>IF($C115&lt;1,"",(AVERAGEIFS('09월 고철장입'!L$14:L$949,'09월 고철장입'!$A$14:$A$949,$A115,'09월 고철장입'!$C$14:$C$949,$B115))/1000)</f>
        <v/>
      </c>
      <c r="BB115" s="832" t="str">
        <f>IF($C115&lt;1,"",(AVERAGEIFS('09월 고철장입'!M$14:M$949,'09월 고철장입'!$A$14:$A$949,$A115,'09월 고철장입'!$C$14:$C$949,$B115))/1000)</f>
        <v/>
      </c>
      <c r="BC115" s="832" t="str">
        <f>IF($C115&lt;1,"",(AVERAGEIFS('09월 고철장입'!N$14:N$949,'09월 고철장입'!$A$14:$A$949,$A115,'09월 고철장입'!$C$14:$C$949,$B115))/1000)</f>
        <v/>
      </c>
      <c r="BD115" s="832" t="str">
        <f>IF($C115&lt;1,"",(AVERAGEIFS('09월 고철장입'!O$14:O$949,'09월 고철장입'!$A$14:$A$949,$A115,'09월 고철장입'!$C$14:$C$949,$B115))/1000)</f>
        <v/>
      </c>
      <c r="BE115" s="833" t="str">
        <f>IF($C115&lt;1,"",(AVERAGEIFS('09월 고철장입'!P$14:P$949,'09월 고철장입'!$A$14:$A$949,$A115,'09월 고철장입'!$C$14:$C$949,$B115))/1000)</f>
        <v/>
      </c>
      <c r="BF115" s="833" t="str">
        <f>IF($C115&lt;1,"",(AVERAGEIFS('09월 고철장입'!Q$14:Q$949,'09월 고철장입'!$A$14:$A$949,$A115,'09월 고철장입'!$C$14:$C$949,$B115))/1000)</f>
        <v/>
      </c>
      <c r="BG115" s="833" t="str">
        <f>IF($C115&lt;1,"",(AVERAGEIFS('09월 고철장입'!S$14:S$949,'09월 고철장입'!$A$14:$A$949,$A115,'09월 고철장입'!$C$14:$C$949,$B115))/1000)</f>
        <v/>
      </c>
      <c r="BH115" s="833" t="str">
        <f>IF($C115&lt;1,"",(AVERAGEIFS('09월 고철장입'!T$14:T$949,'09월 고철장입'!$A$14:$A$949,$A115,'09월 고철장입'!$C$14:$C$949,$B115))/1000)</f>
        <v/>
      </c>
      <c r="BI115" s="833" t="str">
        <f>IF($C115&lt;1,"",(AVERAGEIFS('09월 고철장입'!U$14:U$949,'09월 고철장입'!$A$14:$A$949,$A115,'09월 고철장입'!$C$14:$C$949,$B115))/1000)</f>
        <v/>
      </c>
      <c r="BJ115" s="833" t="str">
        <f>IF($C115&lt;1,"",(AVERAGEIFS('09월 고철장입'!V$14:V$949,'09월 고철장입'!$A$14:$A$949,$A115,'09월 고철장입'!$C$14:$C$949,$B115))/1000)</f>
        <v/>
      </c>
      <c r="BK115" s="833" t="str">
        <f>IF($C115&lt;1,"",(AVERAGEIFS('09월 고철장입'!W$14:W$949,'09월 고철장입'!$A$14:$A$949,$A115,'09월 고철장입'!$C$14:$C$949,$B115))/1000)</f>
        <v/>
      </c>
      <c r="BL115" s="833" t="str">
        <f>IF($C115&lt;1,"",(AVERAGEIFS('09월 고철장입'!Y$14:Y$949,'09월 고철장입'!$A$14:$A$949,$A115,'09월 고철장입'!$C$14:$C$949,$B115))/1000)</f>
        <v/>
      </c>
      <c r="BM115" s="833" t="str">
        <f>IF($C115&lt;1,"",(AVERAGEIFS('09월 고철장입'!AB$14:AB$949,'09월 고철장입'!$A$14:$A$949,$A115,'09월 고철장입'!$C$14:$C$949,$B115))/1000)</f>
        <v/>
      </c>
      <c r="BN115" s="833" t="str">
        <f>IF($C115&lt;1,"",(AVERAGEIFS('09월 고철장입'!AC$14:AC$949,'09월 고철장입'!$A$14:$A$949,$A115,'09월 고철장입'!$C$14:$C$949,$B115))/1000)</f>
        <v/>
      </c>
      <c r="BO115" s="833" t="str">
        <f>IF($C115&lt;1,"",(AVERAGEIFS('09월 고철장입'!AD$14:AD$949,'09월 고철장입'!$A$14:$A$949,$A115,'09월 고철장입'!$C$14:$C$949,$B115))/1000)</f>
        <v/>
      </c>
      <c r="BP115" s="833" t="str">
        <f>IF($C115&lt;1,"",(AVERAGEIFS('09월 고철장입'!AE$14:AE$949,'09월 고철장입'!$A$14:$A$949,$A115,'09월 고철장입'!$C$14:$C$949,$B115))/1000)</f>
        <v/>
      </c>
      <c r="BQ115" s="832" t="str">
        <f>IF($C115&lt;1,"",(AVERAGEIFS('09월 고철장입'!AF$14:AF$949,'09월 고철장입'!$A$14:$A$949,$A115,'09월 고철장입'!$C$14:$C$949,$B115))/1000)</f>
        <v/>
      </c>
      <c r="BR115" s="832" t="str">
        <f>IF($C115&lt;1,"",(AVERAGEIFS('09월 고철장입'!AG$14:AG$949,'09월 고철장입'!$A$14:$A$949,$A115,'09월 고철장입'!$C$14:$C$949,$B115))/1000)</f>
        <v/>
      </c>
      <c r="BS115" s="832" t="str">
        <f>IF($C115&lt;1,"",(AVERAGEIFS('09월 고철장입'!AH$14:AH$949,'09월 고철장입'!$A$14:$A$949,$A115,'09월 고철장입'!$C$14:$C$949,$B115))/1000)</f>
        <v/>
      </c>
      <c r="BT115" s="832" t="str">
        <f>IF($C115&lt;1,"",(AVERAGEIFS('09월 고철장입'!AI$14:AI$949,'09월 고철장입'!$A$14:$A$949,$A115,'09월 고철장입'!$C$14:$C$949,$B115))/1000)</f>
        <v/>
      </c>
      <c r="BU115" s="834" t="str">
        <f>IF($C115&lt;1,"",(AVERAGEIFS('09월 고철장입'!AJ$14:AJ$949,'09월 고철장입'!$A$14:$A$949,$A115,'09월 고철장입'!$C$14:$C$949,$B115))/1000)</f>
        <v/>
      </c>
      <c r="BV115" s="834" t="str">
        <f>IF($C115&lt;1,"",(AVERAGEIFS('09월 고철장입'!AK$14:AK$949,'09월 고철장입'!$A$14:$A$949,$A115,'09월 고철장입'!$C$14:$C$949,$B115)))</f>
        <v/>
      </c>
      <c r="BW115" s="834" t="str">
        <f>IF($C115&lt;1,"",(AVERAGEIFS('09월 고철장입'!AL$14:AL$949,'09월 고철장입'!$A$14:$A$949,$A115,'09월 고철장입'!$C$14:$C$949,$B115))*100)</f>
        <v/>
      </c>
      <c r="BX115" s="831" t="str">
        <f>IF($C115&lt;1,"",(AVERAGEIFS('09월 에너지'!G$14:G$949,'09월 에너지'!$A$14:$A$949,$A115,'09월 에너지'!$C$14:$C$949,$B115)))</f>
        <v/>
      </c>
      <c r="BY115" s="835" t="str">
        <f>IF($C115&lt;1,"",(AVERAGEIFS('09월 에너지'!H$14:H$949,'09월 에너지'!$A$14:$A$949,$A115,'09월 에너지'!$C$14:$C$949,$B115)))</f>
        <v/>
      </c>
      <c r="BZ115" s="831" t="str">
        <f>IF($C115&lt;1,"",(AVERAGEIFS('09월 에너지'!I$14:I$949,'09월 에너지'!$A$14:$A$949,$A115,'09월 에너지'!$C$14:$C$949,$B115)))</f>
        <v/>
      </c>
      <c r="CA115" s="835" t="str">
        <f>IF($C115&lt;1,"",(AVERAGEIFS('09월 에너지'!J$14:J$949,'09월 에너지'!$A$14:$A$949,$A115,'09월 에너지'!$C$14:$C$949,$B115)))</f>
        <v/>
      </c>
      <c r="CB115" s="831" t="str">
        <f>IF($C115&lt;1,"",(AVERAGEIFS('09월 에너지'!K$14:K$949,'09월 에너지'!$A$14:$A$949,$A115,'09월 에너지'!$C$14:$C$949,$B115)))</f>
        <v/>
      </c>
      <c r="CC115" s="835" t="str">
        <f>IF($C115&lt;1,"",(AVERAGEIFS('09월 에너지'!L$14:L$949,'09월 에너지'!$A$14:$A$949,$A115,'09월 에너지'!$C$14:$C$949,$B115)))</f>
        <v/>
      </c>
      <c r="CD115" s="831" t="str">
        <f>IF($C115&lt;1,"",(AVERAGEIFS('09월 에너지'!M$14:M$949,'09월 에너지'!$A$14:$A$949,$A115,'09월 에너지'!$C$14:$C$949,$B115)))</f>
        <v/>
      </c>
      <c r="CE115" s="835" t="str">
        <f>IF($C115&lt;1,"",(AVERAGEIFS('09월 에너지'!N$14:N$949,'09월 에너지'!$A$14:$A$949,$A115,'09월 에너지'!$C$14:$C$949,$B115)))</f>
        <v/>
      </c>
      <c r="CF115" s="831" t="str">
        <f>IF($C115&lt;1,"",(AVERAGEIFS('09월 에너지'!O$14:O$949,'09월 에너지'!$A$14:$A$949,$A115,'09월 에너지'!$C$14:$C$949,$B115)))</f>
        <v/>
      </c>
      <c r="CG115" s="831" t="str">
        <f>IF($C115&lt;1,"",(AVERAGEIFS('09월 에너지'!P$14:P$949,'09월 에너지'!$A$14:$A$949,$A115,'09월 에너지'!$C$14:$C$949,$B115)))</f>
        <v/>
      </c>
      <c r="CH115" s="831" t="str">
        <f>IF($C115&lt;1,"",(AVERAGEIFS('09월 에너지'!Q$14:Q$949,'09월 에너지'!$A$14:$A$949,$A115,'09월 에너지'!$C$14:$C$949,$B115)))</f>
        <v/>
      </c>
      <c r="CI115" s="831" t="str">
        <f>IF($C115&lt;1,"",(AVERAGEIFS('09월 에너지'!R$14:R$949,'09월 에너지'!$A$14:$A$949,$A115,'09월 에너지'!$C$14:$C$949,$B115)))</f>
        <v/>
      </c>
      <c r="CJ115" s="831" t="str">
        <f>IF($C115&lt;1,"",(AVERAGEIFS('09월 에너지'!S$14:S$949,'09월 에너지'!$A$14:$A$949,$A115,'09월 에너지'!$C$14:$C$949,$B115)))</f>
        <v/>
      </c>
      <c r="CK115" s="831" t="str">
        <f>IF($C115&lt;1,"",(AVERAGEIFS('09월 에너지'!T$14:T$949,'09월 에너지'!$A$14:$A$949,$A115,'09월 에너지'!$C$14:$C$949,$B115)))</f>
        <v/>
      </c>
      <c r="CL115" s="831" t="str">
        <f>IF($C115&lt;1,"",(AVERAGEIFS('09월 에너지'!U$14:U$949,'09월 에너지'!$A$14:$A$949,$A115,'09월 에너지'!$C$14:$C$949,$B115)))</f>
        <v/>
      </c>
      <c r="CM115" s="835" t="str">
        <f>IF($C115&lt;1,"",(AVERAGEIFS('09월 에너지'!V$14:V$949,'09월 에너지'!$A$14:$A$949,$A115,'09월 에너지'!$C$14:$C$949,$B115)))</f>
        <v/>
      </c>
      <c r="CN115" s="835" t="str">
        <f>IF($C115&lt;1,"",(AVERAGEIFS('09월 에너지'!W$14:W$949,'09월 에너지'!$A$14:$A$949,$A115,'09월 에너지'!$C$14:$C$949,$B115)))</f>
        <v/>
      </c>
      <c r="CO115" s="831" t="str">
        <f>IF($C115&lt;1,"",(AVERAGEIFS('09월 에너지'!X$14:X$949,'09월 에너지'!$A$14:$A$949,$A115,'09월 에너지'!$C$14:$C$949,$B115)))</f>
        <v/>
      </c>
      <c r="CP115" s="835" t="str">
        <f>IF($C115&lt;1,"",(AVERAGEIFS('09월 에너지'!Y$14:Y$949,'09월 에너지'!$A$14:$A$949,$A115,'09월 에너지'!$C$14:$C$949,$B115)))</f>
        <v/>
      </c>
      <c r="CQ115" s="835" t="str">
        <f>IF($C115&lt;1,"",(AVERAGEIFS('09월 에너지'!Z$14:Z$949,'09월 에너지'!$A$14:$A$949,$A115,'09월 에너지'!$C$14:$C$949,$B115)))</f>
        <v/>
      </c>
      <c r="CR115" s="835" t="str">
        <f>IF($C115&lt;1,"",(AVERAGEIFS('09월 에너지'!AA$14:AA$949,'09월 에너지'!$A$14:$A$949,$A115,'09월 에너지'!$C$14:$C$949,$B115)))</f>
        <v/>
      </c>
      <c r="CS115" s="835" t="str">
        <f>IF($C115&lt;1,"",(AVERAGEIFS('09월 에너지'!AB$14:AB$949,'09월 에너지'!$A$14:$A$949,$A115,'09월 에너지'!$C$14:$C$949,$B115)))</f>
        <v/>
      </c>
      <c r="CT115" s="831" t="str">
        <f>IF($C115&lt;1,"",(AVERAGEIFS('09월 에너지'!AC$14:AC$949,'09월 에너지'!$A$14:$A$949,$A115,'09월 에너지'!$C$14:$C$949,$B115)))</f>
        <v/>
      </c>
      <c r="CU115" s="836" t="str">
        <f>IF($C115&lt;1,"",(AVERAGEIFS('09월 에너지'!AD$14:AD$949,'09월 에너지'!$A$14:$A$949,$A115,'09월 에너지'!$C$14:$C$949,$B115)))</f>
        <v/>
      </c>
      <c r="CV115" s="837" t="str">
        <f>IF($C115&lt;1,"",(AVERAGEIFS('09월 에너지'!AE$14:AE$949,'09월 에너지'!$A$14:$A$949,$A115,'09월 에너지'!$C$14:$C$949,$B115)))</f>
        <v/>
      </c>
      <c r="CW115" s="831" t="str">
        <f>IF($C115&lt;1,"",(AVERAGEIFS('09월 에너지'!AF$14:AF$949,'09월 에너지'!$A$14:$A$949,$A115,'09월 에너지'!$C$14:$C$949,$B115)))</f>
        <v/>
      </c>
      <c r="CX115" s="831" t="str">
        <f>IF($C115&lt;1,"",(AVERAGEIFS('09월 에너지'!AG$14:AG$949,'09월 에너지'!$A$14:$A$949,$A115,'09월 에너지'!$C$14:$C$949,$B115)))</f>
        <v/>
      </c>
      <c r="CY115" s="831" t="str">
        <f>IF($C115&lt;1,"",(AVERAGEIFS('09월 에너지'!AH$14:AH$949,'09월 에너지'!$A$14:$A$949,$A115,'09월 에너지'!$C$14:$C$949,$B115)))</f>
        <v/>
      </c>
      <c r="CZ115" s="831" t="str">
        <f>IF($C115&lt;1,"",(AVERAGEIFS('09월 에너지'!AI$14:AI$949,'09월 에너지'!$A$14:$A$949,$A115,'09월 에너지'!$C$14:$C$949,$B115)))</f>
        <v/>
      </c>
      <c r="DA115" s="838" t="str">
        <f>IF($C115&lt;1,"",(AVERAGEIFS('09월 에너지'!AJ$14:AJ$949,'09월 에너지'!$A$14:$A$949,$A115,'09월 에너지'!$C$14:$C$949,$B115)))</f>
        <v/>
      </c>
    </row>
    <row r="116" spans="1:105" ht="13.5" customHeight="1">
      <c r="A116" s="847">
        <f>A111+1</f>
        <v>44949</v>
      </c>
      <c r="B116" s="848" t="s">
        <v>31</v>
      </c>
      <c r="C116" s="810">
        <f>COUNTIF('09월 조업일지'!$A$12:$A$952,A116)</f>
        <v>0</v>
      </c>
      <c r="D116" s="787" t="str">
        <f>IF(C116&lt;1,"",F116-E116)</f>
        <v/>
      </c>
      <c r="E116" s="787" t="str">
        <f>IF($C116&lt;1,"",(SUMIF('09월 조업일지'!$A$12:$A$952,$A116,'09월 조업일지'!$K$12:$K$952))/C116)</f>
        <v/>
      </c>
      <c r="F116" s="787" t="str">
        <f>IF($C116&lt;1,"",AVERAGEIF('09월 조업일지'!$A$12:$A$952,$A116,'09월 조업일지'!$J$12:$J$952))</f>
        <v/>
      </c>
      <c r="G116" s="811" t="str">
        <f>IF($C116&lt;1,"",AVERAGEIF('09월 에너지'!$A$14:$A$949,$A116,'09월 에너지'!$M$14:M$949))</f>
        <v/>
      </c>
      <c r="H116" s="812" t="str">
        <f>IF($C116&lt;1,"",AVERAGEIF('09월 조업일지'!$A$12:$A$952,$A116,'09월 조업일지'!$AJ$12:$AJ$952))</f>
        <v/>
      </c>
      <c r="I116" s="812" t="str">
        <f>IF($C116&lt;1,"",AVERAGEIF('09월 조업일지'!$A$12:$A$952,$A116,'09월 조업일지'!$AL$12:$AL$952))</f>
        <v/>
      </c>
      <c r="J116" s="813" t="str">
        <f>IF($C116&lt;1,"",AVERAGEIF('09월 화학성분'!$A$12:$A$949,$A116,'09월 화학성분'!G$12:G$949))</f>
        <v/>
      </c>
      <c r="K116" s="813" t="str">
        <f>IF($C116&lt;1,"",AVERAGEIF('09월 화학성분'!$A$12:$A$949,$A116,'09월 화학성분'!H$12:H$949))</f>
        <v/>
      </c>
      <c r="L116" s="813" t="str">
        <f>IF($C116&lt;1,"",AVERAGEIF('09월 화학성분'!$A$12:$A$949,$A116,'09월 화학성분'!I$12:I$949))</f>
        <v/>
      </c>
      <c r="M116" s="813" t="str">
        <f>IF($C116&lt;1,"",AVERAGEIF('09월 화학성분'!$A$12:$A$949,$A116,'09월 화학성분'!J$12:J$949))</f>
        <v/>
      </c>
      <c r="N116" s="813" t="str">
        <f>IF($C116&lt;1,"",AVERAGEIF('09월 화학성분'!$A$12:$A$949,$A116,'09월 화학성분'!K$12:K$949))</f>
        <v/>
      </c>
      <c r="O116" s="813" t="str">
        <f>IF($C116&lt;1,"",AVERAGEIF('09월 화학성분'!$A$12:$A$949,$A116,'09월 화학성분'!L$12:L$949))</f>
        <v/>
      </c>
      <c r="P116" s="813" t="str">
        <f>IF($C116&lt;1,"",AVERAGEIF('09월 화학성분'!$A$12:$A$949,$A116,'09월 화학성분'!M$12:M$949))</f>
        <v/>
      </c>
      <c r="Q116" s="814" t="str">
        <f>IF($C116&lt;1,"",AVERAGEIF('09월 조업일지'!$A$12:$A$952,$A116,'09월 조업일지'!$AA$12:$AA$952))</f>
        <v/>
      </c>
      <c r="R116" s="814" t="str">
        <f>IF($C116&lt;1,"",AVERAGEIF('09월 조업일지'!$A$12:$A$952,$A116,'09월 조업일지'!$AK$12:$AK$952))</f>
        <v/>
      </c>
      <c r="S116" s="814"/>
      <c r="T116" s="814"/>
      <c r="U116" s="813" t="str">
        <f>IF($C116&lt;1,"",AVERAGEIF('09월 화학성분'!$A$12:$A$949,$A116,'09월 화학성분'!$G$12:$G$949))</f>
        <v/>
      </c>
      <c r="V116" s="814" t="str">
        <f>IF($C116&lt;1,"",AVERAGEIF('09월 조업일지'!$A$12:$A$952,$A116,'09월 조업일지'!$AI$12:$AI$952))</f>
        <v/>
      </c>
      <c r="W116" s="813" t="str">
        <f>IF($C116&lt;1,"",AVERAGEIF('09월 화학성분'!$A$12:$A$949,$A116,'09월 화학성분'!$AM$12:$AM$949))</f>
        <v/>
      </c>
      <c r="X116" s="815" t="str">
        <f>IF($C116&lt;1,"",AVERAGEIF('09월 화학성분'!$A$12:$A$949,$A116,'09월 화학성분'!N$12:N$949))</f>
        <v/>
      </c>
      <c r="Y116" s="815" t="str">
        <f>IF($C116&lt;1,"",AVERAGEIF('09월 화학성분'!$A$12:$A$949,$A116,'09월 화학성분'!O$12:O$949))</f>
        <v/>
      </c>
      <c r="Z116" s="815" t="str">
        <f>IF($C116&lt;1,"",AVERAGEIF('09월 화학성분'!$A$12:$A$949,$A116,'09월 화학성분'!P$12:P$949))</f>
        <v/>
      </c>
      <c r="AA116" s="815" t="str">
        <f>IF($C116&lt;1,"",AVERAGEIF('09월 화학성분'!$A$12:$A$949,$A116,'09월 화학성분'!Q$12:Q$949))</f>
        <v/>
      </c>
      <c r="AB116" s="815" t="str">
        <f>IF($C116&lt;1,"",AVERAGEIF('09월 화학성분'!$A$12:$A$949,$A116,'09월 화학성분'!R$12:R$949))</f>
        <v/>
      </c>
      <c r="AC116" s="815" t="str">
        <f>IF($C116&lt;1,"",AVERAGEIF('09월 화학성분'!$A$12:$A$949,$A116,'09월 화학성분'!U$12:U$949))</f>
        <v/>
      </c>
      <c r="AD116" s="815" t="str">
        <f>IF($C116&lt;1,"",AVERAGEIF('09월 화학성분'!$A$12:$A$949,$A116,'09월 화학성분'!V$12:V$949))</f>
        <v/>
      </c>
      <c r="AE116" s="815" t="str">
        <f>IF($C116&lt;1,"",AVERAGEIF('09월 화학성분'!$A$12:$A$949,$A116,'09월 화학성분'!W$12:W$949))</f>
        <v/>
      </c>
      <c r="AF116" s="815" t="str">
        <f>IF($C116&lt;1,"",AVERAGEIF('09월 화학성분'!$A$12:$A$949,$A116,'09월 화학성분'!AA$12:AA$949))</f>
        <v/>
      </c>
      <c r="AG116" s="815" t="str">
        <f>IF($C116&lt;1,"",AVERAGEIF('09월 화학성분'!$A$12:$A$949,$A116,'09월 화학성분'!#REF!))</f>
        <v/>
      </c>
      <c r="AH116" s="815" t="str">
        <f>IF($C116&lt;1,"",AVERAGEIF('09월 화학성분'!$A$12:$A$949,$A116,'09월 화학성분'!AB$12:AB$949))</f>
        <v/>
      </c>
      <c r="AI116" s="815" t="str">
        <f>IF($C116&lt;1,"",AVERAGEIF('09월 화학성분'!$A$12:$A$949,$A116,'09월 화학성분'!AC$12:AC$949))</f>
        <v/>
      </c>
      <c r="AJ116" s="815" t="str">
        <f>IF($C116&lt;1,"",AVERAGEIF('09월 화학성분'!$A$12:$A$949,$A116,'09월 화학성분'!AD$12:AD$949))</f>
        <v/>
      </c>
      <c r="AK116" s="815" t="str">
        <f>IF($C116&lt;1,"",AVERAGEIF('09월 화학성분'!$A$12:$A$949,$A116,'09월 화학성분'!AF$12:AF$949))</f>
        <v/>
      </c>
      <c r="AL116" s="815" t="str">
        <f>IF($C116&lt;1,"",AVERAGEIF('09월 화학성분'!$A$12:$A$949,$A116,'09월 화학성분'!AG$12:AG$949))</f>
        <v/>
      </c>
      <c r="AM116" s="815" t="str">
        <f>IF($C116&lt;1,"",AVERAGEIF('09월 화학성분'!$A$12:$A$949,$A116,'09월 화학성분'!AH$12:AH$949))</f>
        <v/>
      </c>
      <c r="AN116" s="815" t="str">
        <f>IF($C116&lt;1,"",AVERAGEIF('09월 화학성분'!$A$12:$A$949,$A116,'09월 화학성분'!AI$12:AI$949))</f>
        <v/>
      </c>
      <c r="AO116" s="815" t="str">
        <f>IF($C116&lt;1,"",AVERAGEIF('09월 화학성분'!$A$12:$A$949,$A116,'09월 화학성분'!AJ$12:AJ$949))</f>
        <v/>
      </c>
      <c r="AP116" s="815" t="str">
        <f>IF($C116&lt;1,"",AVERAGEIF('09월 화학성분'!$A$12:$A$949,$A116,'09월 화학성분'!#REF!))</f>
        <v/>
      </c>
      <c r="AQ116" s="815" t="str">
        <f>IF($C116&lt;1,"",AVERAGEIF('09월 화학성분'!$A$12:$A$949,$A116,'09월 화학성분'!AL$12:AL$949))</f>
        <v/>
      </c>
      <c r="AR116" s="815" t="str">
        <f>IF($C116&lt;1,"",AVERAGEIF('09월 화학성분'!$A$12:$A$949,$A116,'09월 화학성분'!AM$12:AM$949))</f>
        <v/>
      </c>
      <c r="AS116" s="816" t="str">
        <f>IF($C116&lt;1,"",AVERAGEIF('09월 화학성분'!$A$12:$A$949,$A116,'09월 화학성분'!AN$12:AN$949))</f>
        <v/>
      </c>
      <c r="AT116" s="816" t="str">
        <f>IF($C116&lt;1,"",AVERAGEIF('09월 화학성분'!$A$12:$A$949,$A116,'09월 화학성분'!AO$12:AO$949))</f>
        <v/>
      </c>
      <c r="AU116" s="815" t="str">
        <f>IF($C116&lt;1,"",AVERAGEIF('09월 화학성분'!$A$12:$A$949,$A116,'09월 화학성분'!AP$12:AP$949))</f>
        <v/>
      </c>
      <c r="AV116" s="815" t="str">
        <f>IF($C116&lt;1,"",AVERAGEIF('09월 고철장입'!$A$14:$A$949,$A116,'09월 고철장입'!G$14:G$949)/1000)</f>
        <v/>
      </c>
      <c r="AW116" s="815" t="str">
        <f>IF($C116&lt;1,"",AVERAGEIF('09월 고철장입'!$A$14:$A$949,$A116,'09월 고철장입'!H$14:H$949)/1000)</f>
        <v/>
      </c>
      <c r="AX116" s="815" t="str">
        <f>IF($C116&lt;1,"",AVERAGEIF('09월 고철장입'!$A$14:$A$949,$A116,'09월 고철장입'!I$14:I$949)/1000)</f>
        <v/>
      </c>
      <c r="AY116" s="815" t="str">
        <f>IF($C116&lt;1,"",AVERAGEIF('09월 고철장입'!$A$14:$A$949,$A116,'09월 고철장입'!J$14:J$949)/1000)</f>
        <v/>
      </c>
      <c r="AZ116" s="815" t="str">
        <f>IF($C116&lt;1,"",AVERAGEIF('09월 고철장입'!$A$14:$A$949,$A116,'09월 고철장입'!K$14:K$949)/1000)</f>
        <v/>
      </c>
      <c r="BA116" s="815" t="str">
        <f>IF($C116&lt;1,"",AVERAGEIF('09월 고철장입'!$A$14:$A$949,$A116,'09월 고철장입'!L$14:L$949)/1000)</f>
        <v/>
      </c>
      <c r="BB116" s="815" t="str">
        <f>IF($C116&lt;1,"",AVERAGEIF('09월 고철장입'!$A$14:$A$949,$A116,'09월 고철장입'!M$14:M$949)/1000)</f>
        <v/>
      </c>
      <c r="BC116" s="815" t="str">
        <f>IF($C116&lt;1,"",AVERAGEIF('09월 고철장입'!$A$14:$A$949,$A116,'09월 고철장입'!N$14:N$949)/1000)</f>
        <v/>
      </c>
      <c r="BD116" s="815" t="str">
        <f>IF($C116&lt;1,"",AVERAGEIF('09월 고철장입'!$A$14:$A$949,$A116,'09월 고철장입'!O$14:O$949)/1000)</f>
        <v/>
      </c>
      <c r="BE116" s="815" t="str">
        <f>IF($C116&lt;1,"",AVERAGEIF('09월 고철장입'!$A$14:$A$949,$A116,'09월 고철장입'!P$14:P$949)/1000)</f>
        <v/>
      </c>
      <c r="BF116" s="815" t="str">
        <f>IF($C116&lt;1,"",AVERAGEIF('09월 고철장입'!$A$14:$A$949,$A116,'09월 고철장입'!Q$14:Q$949)/1000)</f>
        <v/>
      </c>
      <c r="BG116" s="815" t="str">
        <f>IF($C116&lt;1,"",AVERAGEIF('09월 고철장입'!$A$14:$A$949,$A116,'09월 고철장입'!S$14:S$949)/1000)</f>
        <v/>
      </c>
      <c r="BH116" s="815" t="str">
        <f>IF($C116&lt;1,"",AVERAGEIF('09월 고철장입'!$A$14:$A$949,$A116,'09월 고철장입'!T$14:T$949)/1000)</f>
        <v/>
      </c>
      <c r="BI116" s="815" t="str">
        <f>IF($C116&lt;1,"",AVERAGEIF('09월 고철장입'!$A$14:$A$949,$A116,'09월 고철장입'!U$14:U$949)/1000)</f>
        <v/>
      </c>
      <c r="BJ116" s="815" t="str">
        <f>IF($C116&lt;1,"",AVERAGEIF('09월 고철장입'!$A$14:$A$949,$A116,'09월 고철장입'!V$14:V$949)/1000)</f>
        <v/>
      </c>
      <c r="BK116" s="815" t="str">
        <f>IF($C116&lt;1,"",AVERAGEIF('09월 고철장입'!$A$14:$A$949,$A116,'09월 고철장입'!W$14:W$949)/1000)</f>
        <v/>
      </c>
      <c r="BL116" s="815" t="str">
        <f>IF($C116&lt;1,"",AVERAGEIF('09월 고철장입'!$A$14:$A$949,$A116,'09월 고철장입'!Y$14:Y$949)/1000)</f>
        <v/>
      </c>
      <c r="BM116" s="815" t="str">
        <f>IF($C116&lt;1,"",AVERAGEIF('09월 고철장입'!$A$14:$A$949,$A116,'09월 고철장입'!AB$14:AB$949)/1000)</f>
        <v/>
      </c>
      <c r="BN116" s="815" t="str">
        <f>IF($C116&lt;1,"",AVERAGEIF('09월 고철장입'!$A$14:$A$949,$A116,'09월 고철장입'!AC$14:AC$949)/1000)</f>
        <v/>
      </c>
      <c r="BO116" s="815" t="str">
        <f>IF($C116&lt;1,"",AVERAGEIF('09월 고철장입'!$A$14:$A$949,$A116,'09월 고철장입'!AD$14:AD$949)/1000)</f>
        <v/>
      </c>
      <c r="BP116" s="815" t="str">
        <f>IF($C116&lt;1,"",AVERAGEIF('09월 고철장입'!$A$14:$A$949,$A116,'09월 고철장입'!AE$14:AE$949)/1000)</f>
        <v/>
      </c>
      <c r="BQ116" s="815" t="str">
        <f>IF($C116&lt;1,"",AVERAGEIF('09월 고철장입'!$A$14:$A$949,$A116,'09월 고철장입'!AF$14:AF$949)/1000)</f>
        <v/>
      </c>
      <c r="BR116" s="815" t="str">
        <f>IF($C116&lt;1,"",AVERAGEIF('09월 고철장입'!$A$14:$A$949,$A116,'09월 고철장입'!AG$14:AG$949)/1000)</f>
        <v/>
      </c>
      <c r="BS116" s="815" t="str">
        <f>IF($C116&lt;1,"",AVERAGEIF('09월 고철장입'!$A$14:$A$949,$A116,'09월 고철장입'!AH$14:AH$949)/1000)</f>
        <v/>
      </c>
      <c r="BT116" s="815" t="str">
        <f>IF($C116&lt;1,"",AVERAGEIF('09월 고철장입'!$A$14:$A$949,$A116,'09월 고철장입'!AI$14:AI$949)/1000)</f>
        <v/>
      </c>
      <c r="BU116" s="815" t="str">
        <f>IF($C116&lt;1,"",AVERAGEIF('09월 고철장입'!$A$14:$A$949,$A116,'09월 고철장입'!AJ$14:AJ$949)/1000)</f>
        <v/>
      </c>
      <c r="BV116" s="815" t="str">
        <f>IF($C116&lt;1,"",AVERAGEIF('09월 고철장입'!$A$14:$A$949,$A116,'09월 고철장입'!AK$14:AK$949))</f>
        <v/>
      </c>
      <c r="BW116" s="815" t="str">
        <f>IF($C116&lt;1,"",AVERAGEIF('09월 고철장입'!$A$14:$A$949,$A116,'09월 고철장입'!AL$14:AL$949)*100)</f>
        <v/>
      </c>
      <c r="BX116" s="815" t="str">
        <f>IF($C116&lt;1,"",AVERAGEIF('09월 에너지'!$A$14:$A$949,$A116,'09월 에너지'!G$14:G$949))</f>
        <v/>
      </c>
      <c r="BY116" s="817" t="str">
        <f>IF($C116&lt;1,"",AVERAGEIF('09월 에너지'!$A$14:$A$949,$A116,'09월 에너지'!H$14:H$949))</f>
        <v/>
      </c>
      <c r="BZ116" s="815" t="str">
        <f>IF($C116&lt;1,"",AVERAGEIF('09월 에너지'!$A$14:$A$949,$A116,'09월 에너지'!I$14:I$949))</f>
        <v/>
      </c>
      <c r="CA116" s="817" t="str">
        <f>IF($C116&lt;1,"",AVERAGEIF('09월 에너지'!$A$14:$A$949,$A116,'09월 에너지'!J$14:J$949))</f>
        <v/>
      </c>
      <c r="CB116" s="815" t="str">
        <f>IF($C116&lt;1,"",AVERAGEIF('09월 에너지'!$A$14:$A$949,$A116,'09월 에너지'!K$14:K$949))</f>
        <v/>
      </c>
      <c r="CC116" s="817" t="str">
        <f>IF($C116&lt;1,"",AVERAGEIF('09월 에너지'!$A$14:$A$949,$A116,'09월 에너지'!L$14:L$949))</f>
        <v/>
      </c>
      <c r="CD116" s="815" t="str">
        <f>IF($C116&lt;1,"",AVERAGEIF('09월 에너지'!$A$14:$A$949,$A116,'09월 에너지'!M$14:M$949))</f>
        <v/>
      </c>
      <c r="CE116" s="817" t="str">
        <f>IF($C116&lt;1,"",AVERAGEIF('09월 에너지'!$A$14:$A$949,$A116,'09월 에너지'!N$14:N$949))</f>
        <v/>
      </c>
      <c r="CF116" s="815" t="str">
        <f>IF($C116&lt;1,"",AVERAGEIF('09월 에너지'!$A$14:$A$949,$A116,'09월 에너지'!O$14:O$949))</f>
        <v/>
      </c>
      <c r="CG116" s="815" t="str">
        <f>IF($C116&lt;1,"",AVERAGEIF('09월 에너지'!$A$14:$A$949,$A116,'09월 에너지'!P$14:P$949))</f>
        <v/>
      </c>
      <c r="CH116" s="815" t="str">
        <f>IF($C116&lt;1,"",AVERAGEIF('09월 에너지'!$A$14:$A$949,$A116,'09월 에너지'!Q$14:Q$949))</f>
        <v/>
      </c>
      <c r="CI116" s="815" t="str">
        <f>IF($C116&lt;1,"",AVERAGEIF('09월 에너지'!$A$14:$A$949,$A116,'09월 에너지'!R$14:R$949))</f>
        <v/>
      </c>
      <c r="CJ116" s="815" t="str">
        <f>IF($C116&lt;1,"",AVERAGEIF('09월 에너지'!$A$14:$A$949,$A116,'09월 에너지'!S$14:S$949))</f>
        <v/>
      </c>
      <c r="CK116" s="815" t="str">
        <f>IF($C116&lt;1,"",AVERAGEIF('09월 에너지'!$A$14:$A$949,$A116,'09월 에너지'!T$14:T$949))</f>
        <v/>
      </c>
      <c r="CL116" s="815" t="str">
        <f>IF($C116&lt;1,"",AVERAGEIF('09월 에너지'!$A$14:$A$949,$A116,'09월 에너지'!U$14:U$949))</f>
        <v/>
      </c>
      <c r="CM116" s="817" t="str">
        <f>IF($C116&lt;1,"",AVERAGEIF('09월 에너지'!$A$14:$A$949,$A116,'09월 에너지'!V$14:V$949))</f>
        <v/>
      </c>
      <c r="CN116" s="817" t="str">
        <f>IF($C116&lt;1,"",AVERAGEIF('09월 에너지'!$A$14:$A$949,$A116,'09월 에너지'!W$14:W$949))</f>
        <v/>
      </c>
      <c r="CO116" s="815" t="str">
        <f>IF($C116&lt;1,"",AVERAGEIF('09월 에너지'!$A$14:$A$949,$A116,'09월 에너지'!X$14:X$949))</f>
        <v/>
      </c>
      <c r="CP116" s="817" t="str">
        <f>IF($C116&lt;1,"",AVERAGEIF('09월 에너지'!$A$14:$A$949,$A116,'09월 에너지'!Y$14:Y$949))</f>
        <v/>
      </c>
      <c r="CQ116" s="817" t="str">
        <f>IF($C116&lt;1,"",AVERAGEIF('09월 에너지'!$A$14:$A$949,$A116,'09월 에너지'!Z$14:Z$949))</f>
        <v/>
      </c>
      <c r="CR116" s="817" t="str">
        <f>IF($C116&lt;1,"",AVERAGEIF('09월 에너지'!$A$14:$A$949,$A116,'09월 에너지'!AA$14:AA$949))</f>
        <v/>
      </c>
      <c r="CS116" s="817" t="str">
        <f>IF($C116&lt;1,"",AVERAGEIF('09월 에너지'!$A$14:$A$949,$A116,'09월 에너지'!AB$14:AB$949))</f>
        <v/>
      </c>
      <c r="CT116" s="815" t="str">
        <f>IF($C116&lt;1,"",AVERAGEIF('09월 에너지'!$A$14:$A$949,$A116,'09월 에너지'!AC$14:AC$949))</f>
        <v/>
      </c>
      <c r="CU116" s="818" t="str">
        <f>IF($C116&lt;1,"",AVERAGEIF('09월 에너지'!$A$14:$A$949,$A116,'09월 에너지'!AD$14:AD$949))</f>
        <v/>
      </c>
      <c r="CV116" s="819" t="str">
        <f>IF($C116&lt;1,"",AVERAGEIF('09월 에너지'!$A$14:$A$949,$A116,'09월 에너지'!AE$14:AE$949))</f>
        <v/>
      </c>
      <c r="CW116" s="815" t="str">
        <f>IF($C116&lt;1,"",AVERAGEIF('09월 에너지'!$A$14:$A$949,$A116,'09월 에너지'!AF$14:AF$949))</f>
        <v/>
      </c>
      <c r="CX116" s="815" t="str">
        <f>IF($C116&lt;1,"",AVERAGEIF('09월 에너지'!$A$14:$A$949,$A116,'09월 에너지'!AG$14:AG$949))</f>
        <v/>
      </c>
      <c r="CY116" s="815" t="str">
        <f>IF($C116&lt;1,"",AVERAGEIF('09월 에너지'!$A$14:$A$949,$A116,'09월 에너지'!AH$14:AH$949))</f>
        <v/>
      </c>
      <c r="CZ116" s="815" t="str">
        <f>IF($C116&lt;1,"",AVERAGEIF('09월 에너지'!$A$14:$A$949,$A116,'09월 에너지'!AI$14:AI$949))</f>
        <v/>
      </c>
      <c r="DA116" s="820" t="str">
        <f>IF($C116&lt;1,"",AVERAGEIF('09월 에너지'!$A$14:$A$949,$A116,'09월 에너지'!AJ$14:AJ$949))</f>
        <v/>
      </c>
    </row>
    <row r="117" spans="1:105" ht="13.5" customHeight="1">
      <c r="A117" s="849">
        <f t="shared" si="20"/>
        <v>44949</v>
      </c>
      <c r="B117" s="850" t="s">
        <v>9</v>
      </c>
      <c r="C117" s="823">
        <f>COUNTIFS('09월 조업일지'!$A$12:$A$952,A116,'09월 조업일지'!$E$12:$E$952,B117)</f>
        <v>0</v>
      </c>
      <c r="D117" s="824" t="str">
        <f>IF(C117&lt;1,"",F117-E117)</f>
        <v/>
      </c>
      <c r="E117" s="824" t="str">
        <f>IF($C117&lt;1,"",(SUMIFS('09월 조업일지'!$K$12:$K$952,'09월 조업일지'!$A$12:$A$952,$A117,'09월 조업일지'!$E$12:$E$952,$B117)/$C117))</f>
        <v/>
      </c>
      <c r="F117" s="824" t="str">
        <f>IF($C117&lt;1,"",(AVERAGEIFS('09월 조업일지'!$J$12:$J$952,'09월 조업일지'!$A$12:$A$952,$A117,'09월 조업일지'!$E$12:$E$952,$B117)))</f>
        <v/>
      </c>
      <c r="G117" s="825" t="str">
        <f>IF($C117&lt;1,"",(AVERAGEIFS('09월 에너지'!$M$14:$M$949,'09월 에너지'!$A$14:$A$949,$A117,'09월 에너지'!$C$14:$C$949,$B117)))</f>
        <v/>
      </c>
      <c r="H117" s="826" t="str">
        <f>IF($C117&lt;1,"",(AVERAGEIFS('09월 조업일지'!$AJ$12:$AJ$952,'09월 조업일지'!$A$12:$A$952,$A117,'09월 조업일지'!$E$12:$E$952,$B117)))</f>
        <v/>
      </c>
      <c r="I117" s="826" t="str">
        <f>IF($C117&lt;1,"",(AVERAGEIFS('09월 조업일지'!$AL$12:$AL$952,'09월 조업일지'!$A$12:$A$952,$A117,'09월 조업일지'!$E$12:$E$952,$B117)))</f>
        <v/>
      </c>
      <c r="J117" s="827" t="str">
        <f>IF($C117&lt;1,"",(AVERAGEIFS('09월 화학성분'!G$12:G$949,'09월 화학성분'!$A$12:$A$949,$A117,'09월 화학성분'!$D$12:$D$949,$B117)))</f>
        <v/>
      </c>
      <c r="K117" s="827" t="str">
        <f>IF($C117&lt;1,"",(AVERAGEIFS('09월 화학성분'!H$12:H$949,'09월 화학성분'!$A$12:$A$949,$A117,'09월 화학성분'!$D$12:$D$949,$B117)))</f>
        <v/>
      </c>
      <c r="L117" s="827" t="str">
        <f>IF($C117&lt;1,"",(AVERAGEIFS('09월 화학성분'!I$12:I$949,'09월 화학성분'!$A$12:$A$949,$A117,'09월 화학성분'!$D$12:$D$949,$B117)))</f>
        <v/>
      </c>
      <c r="M117" s="827" t="str">
        <f>IF($C117&lt;1,"",(AVERAGEIFS('09월 화학성분'!J$12:J$949,'09월 화학성분'!$A$12:$A$949,$A117,'09월 화학성분'!$D$12:$D$949,$B117)))</f>
        <v/>
      </c>
      <c r="N117" s="827" t="str">
        <f>IF($C117&lt;1,"",(AVERAGEIFS('09월 화학성분'!K$12:K$949,'09월 화학성분'!$A$12:$A$949,$A117,'09월 화학성분'!$D$12:$D$949,$B117)))</f>
        <v/>
      </c>
      <c r="O117" s="827" t="str">
        <f>IF($C117&lt;1,"",(AVERAGEIFS('09월 화학성분'!L$12:L$949,'09월 화학성분'!$A$12:$A$949,$A117,'09월 화학성분'!$D$12:$D$949,$B117)))</f>
        <v/>
      </c>
      <c r="P117" s="827" t="str">
        <f>IF($C117&lt;1,"",(AVERAGEIFS('09월 화학성분'!M$12:M$949,'09월 화학성분'!$A$12:$A$949,$A117,'09월 화학성분'!$D$12:$D$949,$B117)))</f>
        <v/>
      </c>
      <c r="Q117" s="827" t="str">
        <f>IFERROR(IF($C117&lt;1,"",(AVERAGEIFS('09월 조업일지'!$AA$12:$AA$952,'09월 조업일지'!$A$12:$A$952,$A117,'09월 조업일지'!$E$12:$E$952,$B117))),"")</f>
        <v/>
      </c>
      <c r="R117" s="827" t="str">
        <f>IF($C117&lt;1,"",(AVERAGEIFS('09월 조업일지'!$AK$12:$AK$952,'09월 조업일지'!$A$12:$A$952,$A117,'09월 조업일지'!$E$12:$E$952,$B117)))</f>
        <v/>
      </c>
      <c r="S117" s="827"/>
      <c r="T117" s="827"/>
      <c r="U117" s="827" t="str">
        <f>IF($C117&lt;1,"",(AVERAGEIFS('09월 화학성분'!$G$12:$G$949,'09월 화학성분'!$A$12:$A$949,$A117,'09월 화학성분'!$D$12:$D$949,$B117)))</f>
        <v/>
      </c>
      <c r="V117" s="827" t="str">
        <f>IF($C117&lt;1,"",(AVERAGEIFS('09월 조업일지'!$AI$12:$AI$952,'09월 조업일지'!$A$12:$A$952,$A117,'09월 조업일지'!$E$12:$E$952,$B117)))</f>
        <v/>
      </c>
      <c r="W117" s="828" t="str">
        <f>IF($C117&lt;1,"",(AVERAGEIFS('09월 화학성분'!$AM$12:$AM$949,'09월 화학성분'!$A$12:$A$949,$A117,'09월 화학성분'!$D$12:$D$949,$B117)))</f>
        <v/>
      </c>
      <c r="X117" s="829" t="str">
        <f>IF($C117&lt;1,"",(AVERAGEIFS('09월 화학성분'!N$12:N$949,'09월 화학성분'!$A$12:$A$949,$A117,'09월 화학성분'!$D$12:$D$949,$B117)))</f>
        <v/>
      </c>
      <c r="Y117" s="829" t="str">
        <f>IF($C117&lt;1,"",(AVERAGEIFS('09월 화학성분'!O$12:O$949,'09월 화학성분'!$A$12:$A$949,$A117,'09월 화학성분'!$D$12:$D$949,$B117)))</f>
        <v/>
      </c>
      <c r="Z117" s="829" t="str">
        <f>IF($C117&lt;1,"",(AVERAGEIFS('09월 화학성분'!P$12:P$949,'09월 화학성분'!$A$12:$A$949,$A117,'09월 화학성분'!$D$12:$D$949,$B117)))</f>
        <v/>
      </c>
      <c r="AA117" s="829" t="str">
        <f>IF($C117&lt;1,"",(AVERAGEIFS('09월 화학성분'!Q$12:Q$949,'09월 화학성분'!$A$12:$A$949,$A117,'09월 화학성분'!$D$12:$D$949,$B117)))</f>
        <v/>
      </c>
      <c r="AB117" s="829" t="str">
        <f>IF($C117&lt;1,"",(AVERAGEIFS('09월 화학성분'!R$12:R$949,'09월 화학성분'!$A$12:$A$949,$A117,'09월 화학성분'!$D$12:$D$949,$B117)))</f>
        <v/>
      </c>
      <c r="AC117" s="829" t="str">
        <f>IF($C117&lt;1,"",(AVERAGEIFS('09월 화학성분'!U$12:U$949,'09월 화학성분'!$A$12:$A$949,$A117,'09월 화학성분'!$D$12:$D$949,$B117)))</f>
        <v/>
      </c>
      <c r="AD117" s="829" t="str">
        <f>IF($C117&lt;1,"",(AVERAGEIFS('09월 화학성분'!V$12:V$949,'09월 화학성분'!$A$12:$A$949,$A117,'09월 화학성분'!$D$12:$D$949,$B117)))</f>
        <v/>
      </c>
      <c r="AE117" s="829" t="str">
        <f>IF($C117&lt;1,"",(AVERAGEIFS('09월 화학성분'!W$12:W$949,'09월 화학성분'!$A$12:$A$949,$A117,'09월 화학성분'!$D$12:$D$949,$B117)))</f>
        <v/>
      </c>
      <c r="AF117" s="829" t="str">
        <f>IF($C117&lt;1,"",(AVERAGEIFS('09월 화학성분'!AA$12:AA$949,'09월 화학성분'!$A$12:$A$949,$A117,'09월 화학성분'!$D$12:$D$949,$B117)))</f>
        <v/>
      </c>
      <c r="AG117" s="829" t="str">
        <f>IF($C117&lt;1,"",(AVERAGEIFS('09월 화학성분'!#REF!,'09월 화학성분'!$A$12:$A$949,$A117,'09월 화학성분'!$D$12:$D$949,$B117)))</f>
        <v/>
      </c>
      <c r="AH117" s="829" t="str">
        <f>IF($C117&lt;1,"",(AVERAGEIFS('09월 화학성분'!AB$12:AB$949,'09월 화학성분'!$A$12:$A$949,$A117,'09월 화학성분'!$D$12:$D$949,$B117)))</f>
        <v/>
      </c>
      <c r="AI117" s="829" t="str">
        <f>IF($C117&lt;1,"",(AVERAGEIFS('09월 화학성분'!AC$12:AC$949,'09월 화학성분'!$A$12:$A$949,$A117,'09월 화학성분'!$D$12:$D$949,$B117)))</f>
        <v/>
      </c>
      <c r="AJ117" s="829" t="str">
        <f>IF($C117&lt;1,"",(AVERAGEIFS('09월 화학성분'!AD$12:AD$949,'09월 화학성분'!$A$12:$A$949,$A117,'09월 화학성분'!$D$12:$D$949,$B117)))</f>
        <v/>
      </c>
      <c r="AK117" s="829" t="str">
        <f>IF($C117&lt;1,"",(AVERAGEIFS('09월 화학성분'!AF$12:AF$949,'09월 화학성분'!$A$12:$A$949,$A117,'09월 화학성분'!$D$12:$D$949,$B117)))</f>
        <v/>
      </c>
      <c r="AL117" s="829" t="str">
        <f>IF($C117&lt;1,"",(AVERAGEIFS('09월 화학성분'!AG$12:AG$949,'09월 화학성분'!$A$12:$A$949,$A117,'09월 화학성분'!$D$12:$D$949,$B117)))</f>
        <v/>
      </c>
      <c r="AM117" s="829" t="str">
        <f>IF($C117&lt;1,"",(AVERAGEIFS('09월 화학성분'!AH$12:AH$949,'09월 화학성분'!$A$12:$A$949,$A117,'09월 화학성분'!$D$12:$D$949,$B117)))</f>
        <v/>
      </c>
      <c r="AN117" s="829" t="str">
        <f>IF($C117&lt;1,"",(AVERAGEIFS('09월 화학성분'!AI$12:AI$949,'09월 화학성분'!$A$12:$A$949,$A117,'09월 화학성분'!$D$12:$D$949,$B117)))</f>
        <v/>
      </c>
      <c r="AO117" s="829" t="str">
        <f>IF($C117&lt;1,"",(AVERAGEIFS('09월 화학성분'!AJ$12:AJ$949,'09월 화학성분'!$A$12:$A$949,$A117,'09월 화학성분'!$D$12:$D$949,$B117)))</f>
        <v/>
      </c>
      <c r="AP117" s="829" t="str">
        <f>IF($C117&lt;1,"",(AVERAGEIFS('09월 화학성분'!#REF!,'09월 화학성분'!$A$12:$A$949,$A117,'09월 화학성분'!$D$12:$D$949,$B117)))</f>
        <v/>
      </c>
      <c r="AQ117" s="829" t="str">
        <f>IF($C117&lt;1,"",(AVERAGEIFS('09월 화학성분'!AL$12:AL$949,'09월 화학성분'!$A$12:$A$949,$A117,'09월 화학성분'!$D$12:$D$949,$B117)))</f>
        <v/>
      </c>
      <c r="AR117" s="829" t="str">
        <f>IF($C117&lt;1,"",(AVERAGEIFS('09월 화학성분'!AM$12:AM$949,'09월 화학성분'!$A$12:$A$949,$A117,'09월 화학성분'!$D$12:$D$949,$B117)))</f>
        <v/>
      </c>
      <c r="AS117" s="830" t="str">
        <f>IF($C117&lt;1,"",(AVERAGEIFS('09월 화학성분'!AN$12:AN$949,'09월 화학성분'!$A$12:$A$949,$A117,'09월 화학성분'!$D$12:$D$949,$B117)))</f>
        <v/>
      </c>
      <c r="AT117" s="830" t="str">
        <f>IF($C117&lt;1,"",(AVERAGEIFS('09월 화학성분'!AO$12:AO$949,'09월 화학성분'!$A$12:$A$949,$A117,'09월 화학성분'!$D$12:$D$949,$B117)))</f>
        <v/>
      </c>
      <c r="AU117" s="831" t="str">
        <f>IF($C117&lt;1,"",(AVERAGEIFS('09월 화학성분'!AP$12:AP$949,'09월 화학성분'!$A$12:$A$949,$A117,'09월 화학성분'!$D$12:$D$949,$B117)))</f>
        <v/>
      </c>
      <c r="AV117" s="832" t="str">
        <f>IF($C117&lt;1,"",(AVERAGEIFS('09월 고철장입'!G$14:G$949,'09월 고철장입'!$A$14:$A$949,$A117,'09월 고철장입'!$C$14:$C$949,$B117))/1000)</f>
        <v/>
      </c>
      <c r="AW117" s="832" t="str">
        <f>IF($C117&lt;1,"",(AVERAGEIFS('09월 고철장입'!H$14:H$949,'09월 고철장입'!$A$14:$A$949,$A117,'09월 고철장입'!$C$14:$C$949,$B117))/1000)</f>
        <v/>
      </c>
      <c r="AX117" s="832" t="str">
        <f>IF($C117&lt;1,"",(AVERAGEIFS('09월 고철장입'!I$14:I$949,'09월 고철장입'!$A$14:$A$949,$A117,'09월 고철장입'!$C$14:$C$949,$B117))/1000)</f>
        <v/>
      </c>
      <c r="AY117" s="832" t="str">
        <f>IF($C117&lt;1,"",(AVERAGEIFS('09월 고철장입'!J$14:J$949,'09월 고철장입'!$A$14:$A$949,$A117,'09월 고철장입'!$C$14:$C$949,$B117))/1000)</f>
        <v/>
      </c>
      <c r="AZ117" s="832" t="str">
        <f>IF($C117&lt;1,"",(AVERAGEIFS('09월 고철장입'!K$14:K$949,'09월 고철장입'!$A$14:$A$949,$A117,'09월 고철장입'!$C$14:$C$949,$B117))/1000)</f>
        <v/>
      </c>
      <c r="BA117" s="832" t="str">
        <f>IF($C117&lt;1,"",(AVERAGEIFS('09월 고철장입'!L$14:L$949,'09월 고철장입'!$A$14:$A$949,$A117,'09월 고철장입'!$C$14:$C$949,$B117))/1000)</f>
        <v/>
      </c>
      <c r="BB117" s="832" t="str">
        <f>IF($C117&lt;1,"",(AVERAGEIFS('09월 고철장입'!M$14:M$949,'09월 고철장입'!$A$14:$A$949,$A117,'09월 고철장입'!$C$14:$C$949,$B117))/1000)</f>
        <v/>
      </c>
      <c r="BC117" s="832" t="str">
        <f>IF($C117&lt;1,"",(AVERAGEIFS('09월 고철장입'!N$14:N$949,'09월 고철장입'!$A$14:$A$949,$A117,'09월 고철장입'!$C$14:$C$949,$B117))/1000)</f>
        <v/>
      </c>
      <c r="BD117" s="832" t="str">
        <f>IF($C117&lt;1,"",(AVERAGEIFS('09월 고철장입'!O$14:O$949,'09월 고철장입'!$A$14:$A$949,$A117,'09월 고철장입'!$C$14:$C$949,$B117))/1000)</f>
        <v/>
      </c>
      <c r="BE117" s="833" t="str">
        <f>IF($C117&lt;1,"",(AVERAGEIFS('09월 고철장입'!P$14:P$949,'09월 고철장입'!$A$14:$A$949,$A117,'09월 고철장입'!$C$14:$C$949,$B117))/1000)</f>
        <v/>
      </c>
      <c r="BF117" s="833" t="str">
        <f>IF($C117&lt;1,"",(AVERAGEIFS('09월 고철장입'!Q$14:Q$949,'09월 고철장입'!$A$14:$A$949,$A117,'09월 고철장입'!$C$14:$C$949,$B117))/1000)</f>
        <v/>
      </c>
      <c r="BG117" s="833" t="str">
        <f>IF($C117&lt;1,"",(AVERAGEIFS('09월 고철장입'!S$14:S$949,'09월 고철장입'!$A$14:$A$949,$A117,'09월 고철장입'!$C$14:$C$949,$B117))/1000)</f>
        <v/>
      </c>
      <c r="BH117" s="833" t="str">
        <f>IF($C117&lt;1,"",(AVERAGEIFS('09월 고철장입'!T$14:T$949,'09월 고철장입'!$A$14:$A$949,$A117,'09월 고철장입'!$C$14:$C$949,$B117))/1000)</f>
        <v/>
      </c>
      <c r="BI117" s="833" t="str">
        <f>IF($C117&lt;1,"",(AVERAGEIFS('09월 고철장입'!U$14:U$949,'09월 고철장입'!$A$14:$A$949,$A117,'09월 고철장입'!$C$14:$C$949,$B117))/1000)</f>
        <v/>
      </c>
      <c r="BJ117" s="833" t="str">
        <f>IF($C117&lt;1,"",(AVERAGEIFS('09월 고철장입'!V$14:V$949,'09월 고철장입'!$A$14:$A$949,$A117,'09월 고철장입'!$C$14:$C$949,$B117))/1000)</f>
        <v/>
      </c>
      <c r="BK117" s="833" t="str">
        <f>IF($C117&lt;1,"",(AVERAGEIFS('09월 고철장입'!W$14:W$949,'09월 고철장입'!$A$14:$A$949,$A117,'09월 고철장입'!$C$14:$C$949,$B117))/1000)</f>
        <v/>
      </c>
      <c r="BL117" s="833" t="str">
        <f>IF($C117&lt;1,"",(AVERAGEIFS('09월 고철장입'!Y$14:Y$949,'09월 고철장입'!$A$14:$A$949,$A117,'09월 고철장입'!$C$14:$C$949,$B117))/1000)</f>
        <v/>
      </c>
      <c r="BM117" s="833" t="str">
        <f>IF($C117&lt;1,"",(AVERAGEIFS('09월 고철장입'!AB$14:AB$949,'09월 고철장입'!$A$14:$A$949,$A117,'09월 고철장입'!$C$14:$C$949,$B117))/1000)</f>
        <v/>
      </c>
      <c r="BN117" s="833" t="str">
        <f>IF($C117&lt;1,"",(AVERAGEIFS('09월 고철장입'!AC$14:AC$949,'09월 고철장입'!$A$14:$A$949,$A117,'09월 고철장입'!$C$14:$C$949,$B117))/1000)</f>
        <v/>
      </c>
      <c r="BO117" s="833" t="str">
        <f>IF($C117&lt;1,"",(AVERAGEIFS('09월 고철장입'!AD$14:AD$949,'09월 고철장입'!$A$14:$A$949,$A117,'09월 고철장입'!$C$14:$C$949,$B117))/1000)</f>
        <v/>
      </c>
      <c r="BP117" s="833" t="str">
        <f>IF($C117&lt;1,"",(AVERAGEIFS('09월 고철장입'!AE$14:AE$949,'09월 고철장입'!$A$14:$A$949,$A117,'09월 고철장입'!$C$14:$C$949,$B117))/1000)</f>
        <v/>
      </c>
      <c r="BQ117" s="832" t="str">
        <f>IF($C117&lt;1,"",(AVERAGEIFS('09월 고철장입'!AF$14:AF$949,'09월 고철장입'!$A$14:$A$949,$A117,'09월 고철장입'!$C$14:$C$949,$B117))/1000)</f>
        <v/>
      </c>
      <c r="BR117" s="832" t="str">
        <f>IF($C117&lt;1,"",(AVERAGEIFS('09월 고철장입'!AG$14:AG$949,'09월 고철장입'!$A$14:$A$949,$A117,'09월 고철장입'!$C$14:$C$949,$B117))/1000)</f>
        <v/>
      </c>
      <c r="BS117" s="832" t="str">
        <f>IF($C117&lt;1,"",(AVERAGEIFS('09월 고철장입'!AH$14:AH$949,'09월 고철장입'!$A$14:$A$949,$A117,'09월 고철장입'!$C$14:$C$949,$B117))/1000)</f>
        <v/>
      </c>
      <c r="BT117" s="832" t="str">
        <f>IF($C117&lt;1,"",(AVERAGEIFS('09월 고철장입'!AI$14:AI$949,'09월 고철장입'!$A$14:$A$949,$A117,'09월 고철장입'!$C$14:$C$949,$B117))/1000)</f>
        <v/>
      </c>
      <c r="BU117" s="834" t="str">
        <f>IF($C117&lt;1,"",(AVERAGEIFS('09월 고철장입'!AJ$14:AJ$949,'09월 고철장입'!$A$14:$A$949,$A117,'09월 고철장입'!$C$14:$C$949,$B117))/1000)</f>
        <v/>
      </c>
      <c r="BV117" s="834" t="str">
        <f>IF($C117&lt;1,"",(AVERAGEIFS('09월 고철장입'!AK$14:AK$949,'09월 고철장입'!$A$14:$A$949,$A117,'09월 고철장입'!$C$14:$C$949,$B117)))</f>
        <v/>
      </c>
      <c r="BW117" s="834" t="str">
        <f>IF($C117&lt;1,"",(AVERAGEIFS('09월 고철장입'!AL$14:AL$949,'09월 고철장입'!$A$14:$A$949,$A117,'09월 고철장입'!$C$14:$C$949,$B117))*100)</f>
        <v/>
      </c>
      <c r="BX117" s="831" t="str">
        <f>IF($C117&lt;1,"",(AVERAGEIFS('09월 에너지'!G$14:G$949,'09월 에너지'!$A$14:$A$949,$A117,'09월 에너지'!$C$14:$C$949,$B117)))</f>
        <v/>
      </c>
      <c r="BY117" s="835" t="str">
        <f>IF($C117&lt;1,"",(AVERAGEIFS('09월 에너지'!H$14:H$949,'09월 에너지'!$A$14:$A$949,$A117,'09월 에너지'!$C$14:$C$949,$B117)))</f>
        <v/>
      </c>
      <c r="BZ117" s="831" t="str">
        <f>IF($C117&lt;1,"",(AVERAGEIFS('09월 에너지'!I$14:I$949,'09월 에너지'!$A$14:$A$949,$A117,'09월 에너지'!$C$14:$C$949,$B117)))</f>
        <v/>
      </c>
      <c r="CA117" s="835" t="str">
        <f>IF($C117&lt;1,"",(AVERAGEIFS('09월 에너지'!J$14:J$949,'09월 에너지'!$A$14:$A$949,$A117,'09월 에너지'!$C$14:$C$949,$B117)))</f>
        <v/>
      </c>
      <c r="CB117" s="831" t="str">
        <f>IF($C117&lt;1,"",(AVERAGEIFS('09월 에너지'!K$14:K$949,'09월 에너지'!$A$14:$A$949,$A117,'09월 에너지'!$C$14:$C$949,$B117)))</f>
        <v/>
      </c>
      <c r="CC117" s="835" t="str">
        <f>IF($C117&lt;1,"",(AVERAGEIFS('09월 에너지'!L$14:L$949,'09월 에너지'!$A$14:$A$949,$A117,'09월 에너지'!$C$14:$C$949,$B117)))</f>
        <v/>
      </c>
      <c r="CD117" s="831" t="str">
        <f>IF($C117&lt;1,"",(AVERAGEIFS('09월 에너지'!M$14:M$949,'09월 에너지'!$A$14:$A$949,$A117,'09월 에너지'!$C$14:$C$949,$B117)))</f>
        <v/>
      </c>
      <c r="CE117" s="835" t="str">
        <f>IF($C117&lt;1,"",(AVERAGEIFS('09월 에너지'!N$14:N$949,'09월 에너지'!$A$14:$A$949,$A117,'09월 에너지'!$C$14:$C$949,$B117)))</f>
        <v/>
      </c>
      <c r="CF117" s="831" t="str">
        <f>IF($C117&lt;1,"",(AVERAGEIFS('09월 에너지'!O$14:O$949,'09월 에너지'!$A$14:$A$949,$A117,'09월 에너지'!$C$14:$C$949,$B117)))</f>
        <v/>
      </c>
      <c r="CG117" s="831" t="str">
        <f>IF($C117&lt;1,"",(AVERAGEIFS('09월 에너지'!P$14:P$949,'09월 에너지'!$A$14:$A$949,$A117,'09월 에너지'!$C$14:$C$949,$B117)))</f>
        <v/>
      </c>
      <c r="CH117" s="831" t="str">
        <f>IF($C117&lt;1,"",(AVERAGEIFS('09월 에너지'!Q$14:Q$949,'09월 에너지'!$A$14:$A$949,$A117,'09월 에너지'!$C$14:$C$949,$B117)))</f>
        <v/>
      </c>
      <c r="CI117" s="831" t="str">
        <f>IF($C117&lt;1,"",(AVERAGEIFS('09월 에너지'!R$14:R$949,'09월 에너지'!$A$14:$A$949,$A117,'09월 에너지'!$C$14:$C$949,$B117)))</f>
        <v/>
      </c>
      <c r="CJ117" s="831" t="str">
        <f>IF($C117&lt;1,"",(AVERAGEIFS('09월 에너지'!S$14:S$949,'09월 에너지'!$A$14:$A$949,$A117,'09월 에너지'!$C$14:$C$949,$B117)))</f>
        <v/>
      </c>
      <c r="CK117" s="831" t="str">
        <f>IF($C117&lt;1,"",(AVERAGEIFS('09월 에너지'!T$14:T$949,'09월 에너지'!$A$14:$A$949,$A117,'09월 에너지'!$C$14:$C$949,$B117)))</f>
        <v/>
      </c>
      <c r="CL117" s="831" t="str">
        <f>IF($C117&lt;1,"",(AVERAGEIFS('09월 에너지'!U$14:U$949,'09월 에너지'!$A$14:$A$949,$A117,'09월 에너지'!$C$14:$C$949,$B117)))</f>
        <v/>
      </c>
      <c r="CM117" s="835" t="str">
        <f>IF($C117&lt;1,"",(AVERAGEIFS('09월 에너지'!V$14:V$949,'09월 에너지'!$A$14:$A$949,$A117,'09월 에너지'!$C$14:$C$949,$B117)))</f>
        <v/>
      </c>
      <c r="CN117" s="835" t="str">
        <f>IF($C117&lt;1,"",(AVERAGEIFS('09월 에너지'!W$14:W$949,'09월 에너지'!$A$14:$A$949,$A117,'09월 에너지'!$C$14:$C$949,$B117)))</f>
        <v/>
      </c>
      <c r="CO117" s="831" t="str">
        <f>IF($C117&lt;1,"",(AVERAGEIFS('09월 에너지'!X$14:X$949,'09월 에너지'!$A$14:$A$949,$A117,'09월 에너지'!$C$14:$C$949,$B117)))</f>
        <v/>
      </c>
      <c r="CP117" s="835" t="str">
        <f>IF($C117&lt;1,"",(AVERAGEIFS('09월 에너지'!Y$14:Y$949,'09월 에너지'!$A$14:$A$949,$A117,'09월 에너지'!$C$14:$C$949,$B117)))</f>
        <v/>
      </c>
      <c r="CQ117" s="835" t="str">
        <f>IF($C117&lt;1,"",(AVERAGEIFS('09월 에너지'!Z$14:Z$949,'09월 에너지'!$A$14:$A$949,$A117,'09월 에너지'!$C$14:$C$949,$B117)))</f>
        <v/>
      </c>
      <c r="CR117" s="835" t="str">
        <f>IF($C117&lt;1,"",(AVERAGEIFS('09월 에너지'!AA$14:AA$949,'09월 에너지'!$A$14:$A$949,$A117,'09월 에너지'!$C$14:$C$949,$B117)))</f>
        <v/>
      </c>
      <c r="CS117" s="835" t="str">
        <f>IF($C117&lt;1,"",(AVERAGEIFS('09월 에너지'!AB$14:AB$949,'09월 에너지'!$A$14:$A$949,$A117,'09월 에너지'!$C$14:$C$949,$B117)))</f>
        <v/>
      </c>
      <c r="CT117" s="831" t="str">
        <f>IF($C117&lt;1,"",(AVERAGEIFS('09월 에너지'!AC$14:AC$949,'09월 에너지'!$A$14:$A$949,$A117,'09월 에너지'!$C$14:$C$949,$B117)))</f>
        <v/>
      </c>
      <c r="CU117" s="836" t="str">
        <f>IF($C117&lt;1,"",(AVERAGEIFS('09월 에너지'!AD$14:AD$949,'09월 에너지'!$A$14:$A$949,$A117,'09월 에너지'!$C$14:$C$949,$B117)))</f>
        <v/>
      </c>
      <c r="CV117" s="837" t="str">
        <f>IF($C117&lt;1,"",(AVERAGEIFS('09월 에너지'!AE$14:AE$949,'09월 에너지'!$A$14:$A$949,$A117,'09월 에너지'!$C$14:$C$949,$B117)))</f>
        <v/>
      </c>
      <c r="CW117" s="831" t="str">
        <f>IF($C117&lt;1,"",(AVERAGEIFS('09월 에너지'!AF$14:AF$949,'09월 에너지'!$A$14:$A$949,$A117,'09월 에너지'!$C$14:$C$949,$B117)))</f>
        <v/>
      </c>
      <c r="CX117" s="831" t="str">
        <f>IF($C117&lt;1,"",(AVERAGEIFS('09월 에너지'!AG$14:AG$949,'09월 에너지'!$A$14:$A$949,$A117,'09월 에너지'!$C$14:$C$949,$B117)))</f>
        <v/>
      </c>
      <c r="CY117" s="831" t="str">
        <f>IF($C117&lt;1,"",(AVERAGEIFS('09월 에너지'!AH$14:AH$949,'09월 에너지'!$A$14:$A$949,$A117,'09월 에너지'!$C$14:$C$949,$B117)))</f>
        <v/>
      </c>
      <c r="CZ117" s="831" t="str">
        <f>IF($C117&lt;1,"",(AVERAGEIFS('09월 에너지'!AI$14:AI$949,'09월 에너지'!$A$14:$A$949,$A117,'09월 에너지'!$C$14:$C$949,$B117)))</f>
        <v/>
      </c>
      <c r="DA117" s="838" t="str">
        <f>IF($C117&lt;1,"",(AVERAGEIFS('09월 에너지'!AJ$14:AJ$949,'09월 에너지'!$A$14:$A$949,$A117,'09월 에너지'!$C$14:$C$949,$B117)))</f>
        <v/>
      </c>
    </row>
    <row r="118" spans="1:105" ht="13.5" customHeight="1">
      <c r="A118" s="849">
        <f t="shared" si="20"/>
        <v>44949</v>
      </c>
      <c r="B118" s="850" t="s">
        <v>100</v>
      </c>
      <c r="C118" s="823">
        <f>COUNTIFS('09월 조업일지'!$A$12:$A$952,A116,'09월 조업일지'!$E$12:$E$952,B118)</f>
        <v>0</v>
      </c>
      <c r="D118" s="824" t="str">
        <f t="shared" ref="D118:D120" si="26">IF(C118&lt;1,"",F118-E118)</f>
        <v/>
      </c>
      <c r="E118" s="824" t="str">
        <f>IF($C118&lt;1,"",(SUMIFS('09월 조업일지'!$K$12:$K$952,'09월 조업일지'!$A$12:$A$952,$A118,'09월 조업일지'!$E$12:$E$952,$B118)/$C118))</f>
        <v/>
      </c>
      <c r="F118" s="824" t="str">
        <f>IF($C118&lt;1,"",(AVERAGEIFS('09월 조업일지'!$J$12:$J$952,'09월 조업일지'!$A$12:$A$952,$A118,'09월 조업일지'!$E$12:$E$952,$B118)))</f>
        <v/>
      </c>
      <c r="G118" s="825" t="str">
        <f>IF($C118&lt;1,"",(AVERAGEIFS('09월 에너지'!$M$14:$M$949,'09월 에너지'!$A$14:$A$949,$A118,'09월 에너지'!$C$14:$C$949,$B118)))</f>
        <v/>
      </c>
      <c r="H118" s="826" t="str">
        <f>IF($C118&lt;1,"",(AVERAGEIFS('09월 조업일지'!$AJ$12:$AJ$952,'09월 조업일지'!$A$12:$A$952,$A118,'09월 조업일지'!$E$12:$E$952,$B118)))</f>
        <v/>
      </c>
      <c r="I118" s="826" t="str">
        <f>IF($C118&lt;1,"",(AVERAGEIFS('09월 조업일지'!$AL$12:$AL$952,'09월 조업일지'!$A$12:$A$952,$A118,'09월 조업일지'!$E$12:$E$952,$B118)))</f>
        <v/>
      </c>
      <c r="J118" s="827" t="str">
        <f>IF($C118&lt;1,"",(AVERAGEIFS('09월 화학성분'!G$12:G$949,'09월 화학성분'!$A$12:$A$949,$A118,'09월 화학성분'!$D$12:$D$949,$B118)))</f>
        <v/>
      </c>
      <c r="K118" s="827" t="str">
        <f>IF($C118&lt;1,"",(AVERAGEIFS('09월 화학성분'!H$12:H$949,'09월 화학성분'!$A$12:$A$949,$A118,'09월 화학성분'!$D$12:$D$949,$B118)))</f>
        <v/>
      </c>
      <c r="L118" s="827" t="str">
        <f>IF($C118&lt;1,"",(AVERAGEIFS('09월 화학성분'!I$12:I$949,'09월 화학성분'!$A$12:$A$949,$A118,'09월 화학성분'!$D$12:$D$949,$B118)))</f>
        <v/>
      </c>
      <c r="M118" s="827" t="str">
        <f>IF($C118&lt;1,"",(AVERAGEIFS('09월 화학성분'!J$12:J$949,'09월 화학성분'!$A$12:$A$949,$A118,'09월 화학성분'!$D$12:$D$949,$B118)))</f>
        <v/>
      </c>
      <c r="N118" s="827" t="str">
        <f>IF($C118&lt;1,"",(AVERAGEIFS('09월 화학성분'!K$12:K$949,'09월 화학성분'!$A$12:$A$949,$A118,'09월 화학성분'!$D$12:$D$949,$B118)))</f>
        <v/>
      </c>
      <c r="O118" s="827" t="str">
        <f>IF($C118&lt;1,"",(AVERAGEIFS('09월 화학성분'!L$12:L$949,'09월 화학성분'!$A$12:$A$949,$A118,'09월 화학성분'!$D$12:$D$949,$B118)))</f>
        <v/>
      </c>
      <c r="P118" s="827" t="str">
        <f>IF($C118&lt;1,"",(AVERAGEIFS('09월 화학성분'!M$12:M$949,'09월 화학성분'!$A$12:$A$949,$A118,'09월 화학성분'!$D$12:$D$949,$B118)))</f>
        <v/>
      </c>
      <c r="Q118" s="827" t="str">
        <f>IFERROR(IF($C118&lt;1,"",(AVERAGEIFS('09월 조업일지'!$AA$12:$AA$952,'09월 조업일지'!$A$12:$A$952,$A118,'09월 조업일지'!$E$12:$E$952,$B118))),"")</f>
        <v/>
      </c>
      <c r="R118" s="827" t="str">
        <f>IF($C118&lt;1,"",(AVERAGEIFS('09월 조업일지'!$AK$12:$AK$952,'09월 조업일지'!$A$12:$A$952,$A118,'09월 조업일지'!$E$12:$E$952,$B118)))</f>
        <v/>
      </c>
      <c r="S118" s="827"/>
      <c r="T118" s="827"/>
      <c r="U118" s="827" t="str">
        <f>IF($C118&lt;1,"",(AVERAGEIFS('09월 화학성분'!$G$12:$G$949,'09월 화학성분'!$A$12:$A$949,$A118,'09월 화학성분'!$D$12:$D$949,$B118)))</f>
        <v/>
      </c>
      <c r="V118" s="827" t="str">
        <f>IF($C118&lt;1,"",(AVERAGEIFS('09월 조업일지'!$AI$12:$AI$952,'09월 조업일지'!$A$12:$A$952,$A118,'09월 조업일지'!$E$12:$E$952,$B118)))</f>
        <v/>
      </c>
      <c r="W118" s="828" t="str">
        <f>IF($C118&lt;1,"",(AVERAGEIFS('09월 화학성분'!$AM$12:$AM$949,'09월 화학성분'!$A$12:$A$949,$A118,'09월 화학성분'!$D$12:$D$949,$B118)))</f>
        <v/>
      </c>
      <c r="X118" s="829" t="str">
        <f>IF($C118&lt;1,"",(AVERAGEIFS('09월 화학성분'!N$12:N$949,'09월 화학성분'!$A$12:$A$949,$A118,'09월 화학성분'!$D$12:$D$949,$B118)))</f>
        <v/>
      </c>
      <c r="Y118" s="829" t="str">
        <f>IF($C118&lt;1,"",(AVERAGEIFS('09월 화학성분'!O$12:O$949,'09월 화학성분'!$A$12:$A$949,$A118,'09월 화학성분'!$D$12:$D$949,$B118)))</f>
        <v/>
      </c>
      <c r="Z118" s="829" t="str">
        <f>IF($C118&lt;1,"",(AVERAGEIFS('09월 화학성분'!P$12:P$949,'09월 화학성분'!$A$12:$A$949,$A118,'09월 화학성분'!$D$12:$D$949,$B118)))</f>
        <v/>
      </c>
      <c r="AA118" s="829" t="str">
        <f>IF($C118&lt;1,"",(AVERAGEIFS('09월 화학성분'!Q$12:Q$949,'09월 화학성분'!$A$12:$A$949,$A118,'09월 화학성분'!$D$12:$D$949,$B118)))</f>
        <v/>
      </c>
      <c r="AB118" s="829" t="str">
        <f>IF($C118&lt;1,"",(AVERAGEIFS('09월 화학성분'!R$12:R$949,'09월 화학성분'!$A$12:$A$949,$A118,'09월 화학성분'!$D$12:$D$949,$B118)))</f>
        <v/>
      </c>
      <c r="AC118" s="829" t="str">
        <f>IF($C118&lt;1,"",(AVERAGEIFS('09월 화학성분'!U$12:U$949,'09월 화학성분'!$A$12:$A$949,$A118,'09월 화학성분'!$D$12:$D$949,$B118)))</f>
        <v/>
      </c>
      <c r="AD118" s="829" t="str">
        <f>IF($C118&lt;1,"",(AVERAGEIFS('09월 화학성분'!V$12:V$949,'09월 화학성분'!$A$12:$A$949,$A118,'09월 화학성분'!$D$12:$D$949,$B118)))</f>
        <v/>
      </c>
      <c r="AE118" s="829" t="str">
        <f>IF($C118&lt;1,"",(AVERAGEIFS('09월 화학성분'!W$12:W$949,'09월 화학성분'!$A$12:$A$949,$A118,'09월 화학성분'!$D$12:$D$949,$B118)))</f>
        <v/>
      </c>
      <c r="AF118" s="829" t="str">
        <f>IF($C118&lt;1,"",(AVERAGEIFS('09월 화학성분'!AA$12:AA$949,'09월 화학성분'!$A$12:$A$949,$A118,'09월 화학성분'!$D$12:$D$949,$B118)))</f>
        <v/>
      </c>
      <c r="AG118" s="829" t="str">
        <f>IF($C118&lt;1,"",(AVERAGEIFS('09월 화학성분'!#REF!,'09월 화학성분'!$A$12:$A$949,$A118,'09월 화학성분'!$D$12:$D$949,$B118)))</f>
        <v/>
      </c>
      <c r="AH118" s="829" t="str">
        <f>IF($C118&lt;1,"",(AVERAGEIFS('09월 화학성분'!AB$12:AB$949,'09월 화학성분'!$A$12:$A$949,$A118,'09월 화학성분'!$D$12:$D$949,$B118)))</f>
        <v/>
      </c>
      <c r="AI118" s="829" t="str">
        <f>IF($C118&lt;1,"",(AVERAGEIFS('09월 화학성분'!AC$12:AC$949,'09월 화학성분'!$A$12:$A$949,$A118,'09월 화학성분'!$D$12:$D$949,$B118)))</f>
        <v/>
      </c>
      <c r="AJ118" s="829" t="str">
        <f>IF($C118&lt;1,"",(AVERAGEIFS('09월 화학성분'!AD$12:AD$949,'09월 화학성분'!$A$12:$A$949,$A118,'09월 화학성분'!$D$12:$D$949,$B118)))</f>
        <v/>
      </c>
      <c r="AK118" s="829" t="str">
        <f>IF($C118&lt;1,"",(AVERAGEIFS('09월 화학성분'!AF$12:AF$949,'09월 화학성분'!$A$12:$A$949,$A118,'09월 화학성분'!$D$12:$D$949,$B118)))</f>
        <v/>
      </c>
      <c r="AL118" s="829" t="str">
        <f>IF($C118&lt;1,"",(AVERAGEIFS('09월 화학성분'!AG$12:AG$949,'09월 화학성분'!$A$12:$A$949,$A118,'09월 화학성분'!$D$12:$D$949,$B118)))</f>
        <v/>
      </c>
      <c r="AM118" s="829" t="str">
        <f>IF($C118&lt;1,"",(AVERAGEIFS('09월 화학성분'!AH$12:AH$949,'09월 화학성분'!$A$12:$A$949,$A118,'09월 화학성분'!$D$12:$D$949,$B118)))</f>
        <v/>
      </c>
      <c r="AN118" s="829" t="str">
        <f>IF($C118&lt;1,"",(AVERAGEIFS('09월 화학성분'!AI$12:AI$949,'09월 화학성분'!$A$12:$A$949,$A118,'09월 화학성분'!$D$12:$D$949,$B118)))</f>
        <v/>
      </c>
      <c r="AO118" s="829" t="str">
        <f>IF($C118&lt;1,"",(AVERAGEIFS('09월 화학성분'!AJ$12:AJ$949,'09월 화학성분'!$A$12:$A$949,$A118,'09월 화학성분'!$D$12:$D$949,$B118)))</f>
        <v/>
      </c>
      <c r="AP118" s="829" t="str">
        <f>IF($C118&lt;1,"",(AVERAGEIFS('09월 화학성분'!#REF!,'09월 화학성분'!$A$12:$A$949,$A118,'09월 화학성분'!$D$12:$D$949,$B118)))</f>
        <v/>
      </c>
      <c r="AQ118" s="829" t="str">
        <f>IF($C118&lt;1,"",(AVERAGEIFS('09월 화학성분'!AL$12:AL$949,'09월 화학성분'!$A$12:$A$949,$A118,'09월 화학성분'!$D$12:$D$949,$B118)))</f>
        <v/>
      </c>
      <c r="AR118" s="829" t="str">
        <f>IF($C118&lt;1,"",(AVERAGEIFS('09월 화학성분'!AM$12:AM$949,'09월 화학성분'!$A$12:$A$949,$A118,'09월 화학성분'!$D$12:$D$949,$B118)))</f>
        <v/>
      </c>
      <c r="AS118" s="830" t="str">
        <f>IF($C118&lt;1,"",(AVERAGEIFS('09월 화학성분'!AN$12:AN$949,'09월 화학성분'!$A$12:$A$949,$A118,'09월 화학성분'!$D$12:$D$949,$B118)))</f>
        <v/>
      </c>
      <c r="AT118" s="830" t="str">
        <f>IF($C118&lt;1,"",(AVERAGEIFS('09월 화학성분'!AO$12:AO$949,'09월 화학성분'!$A$12:$A$949,$A118,'09월 화학성분'!$D$12:$D$949,$B118)))</f>
        <v/>
      </c>
      <c r="AU118" s="831" t="str">
        <f>IF($C118&lt;1,"",(AVERAGEIFS('09월 화학성분'!AP$12:AP$949,'09월 화학성분'!$A$12:$A$949,$A118,'09월 화학성분'!$D$12:$D$949,$B118)))</f>
        <v/>
      </c>
      <c r="AV118" s="832" t="str">
        <f>IF($C118&lt;1,"",(AVERAGEIFS('09월 고철장입'!G$14:G$949,'09월 고철장입'!$A$14:$A$949,$A118,'09월 고철장입'!$C$14:$C$949,$B118))/1000)</f>
        <v/>
      </c>
      <c r="AW118" s="832" t="str">
        <f>IF($C118&lt;1,"",(AVERAGEIFS('09월 고철장입'!H$14:H$949,'09월 고철장입'!$A$14:$A$949,$A118,'09월 고철장입'!$C$14:$C$949,$B118))/1000)</f>
        <v/>
      </c>
      <c r="AX118" s="832" t="str">
        <f>IF($C118&lt;1,"",(AVERAGEIFS('09월 고철장입'!I$14:I$949,'09월 고철장입'!$A$14:$A$949,$A118,'09월 고철장입'!$C$14:$C$949,$B118))/1000)</f>
        <v/>
      </c>
      <c r="AY118" s="832" t="str">
        <f>IF($C118&lt;1,"",(AVERAGEIFS('09월 고철장입'!J$14:J$949,'09월 고철장입'!$A$14:$A$949,$A118,'09월 고철장입'!$C$14:$C$949,$B118))/1000)</f>
        <v/>
      </c>
      <c r="AZ118" s="832" t="str">
        <f>IF($C118&lt;1,"",(AVERAGEIFS('09월 고철장입'!K$14:K$949,'09월 고철장입'!$A$14:$A$949,$A118,'09월 고철장입'!$C$14:$C$949,$B118))/1000)</f>
        <v/>
      </c>
      <c r="BA118" s="832" t="str">
        <f>IF($C118&lt;1,"",(AVERAGEIFS('09월 고철장입'!L$14:L$949,'09월 고철장입'!$A$14:$A$949,$A118,'09월 고철장입'!$C$14:$C$949,$B118))/1000)</f>
        <v/>
      </c>
      <c r="BB118" s="832" t="str">
        <f>IF($C118&lt;1,"",(AVERAGEIFS('09월 고철장입'!M$14:M$949,'09월 고철장입'!$A$14:$A$949,$A118,'09월 고철장입'!$C$14:$C$949,$B118))/1000)</f>
        <v/>
      </c>
      <c r="BC118" s="832" t="str">
        <f>IF($C118&lt;1,"",(AVERAGEIFS('09월 고철장입'!N$14:N$949,'09월 고철장입'!$A$14:$A$949,$A118,'09월 고철장입'!$C$14:$C$949,$B118))/1000)</f>
        <v/>
      </c>
      <c r="BD118" s="832" t="str">
        <f>IF($C118&lt;1,"",(AVERAGEIFS('09월 고철장입'!O$14:O$949,'09월 고철장입'!$A$14:$A$949,$A118,'09월 고철장입'!$C$14:$C$949,$B118))/1000)</f>
        <v/>
      </c>
      <c r="BE118" s="833" t="str">
        <f>IF($C118&lt;1,"",(AVERAGEIFS('09월 고철장입'!P$14:P$949,'09월 고철장입'!$A$14:$A$949,$A118,'09월 고철장입'!$C$14:$C$949,$B118))/1000)</f>
        <v/>
      </c>
      <c r="BF118" s="833" t="str">
        <f>IF($C118&lt;1,"",(AVERAGEIFS('09월 고철장입'!Q$14:Q$949,'09월 고철장입'!$A$14:$A$949,$A118,'09월 고철장입'!$C$14:$C$949,$B118))/1000)</f>
        <v/>
      </c>
      <c r="BG118" s="833" t="str">
        <f>IF($C118&lt;1,"",(AVERAGEIFS('09월 고철장입'!S$14:S$949,'09월 고철장입'!$A$14:$A$949,$A118,'09월 고철장입'!$C$14:$C$949,$B118))/1000)</f>
        <v/>
      </c>
      <c r="BH118" s="833" t="str">
        <f>IF($C118&lt;1,"",(AVERAGEIFS('09월 고철장입'!T$14:T$949,'09월 고철장입'!$A$14:$A$949,$A118,'09월 고철장입'!$C$14:$C$949,$B118))/1000)</f>
        <v/>
      </c>
      <c r="BI118" s="833" t="str">
        <f>IF($C118&lt;1,"",(AVERAGEIFS('09월 고철장입'!U$14:U$949,'09월 고철장입'!$A$14:$A$949,$A118,'09월 고철장입'!$C$14:$C$949,$B118))/1000)</f>
        <v/>
      </c>
      <c r="BJ118" s="833" t="str">
        <f>IF($C118&lt;1,"",(AVERAGEIFS('09월 고철장입'!V$14:V$949,'09월 고철장입'!$A$14:$A$949,$A118,'09월 고철장입'!$C$14:$C$949,$B118))/1000)</f>
        <v/>
      </c>
      <c r="BK118" s="833" t="str">
        <f>IF($C118&lt;1,"",(AVERAGEIFS('09월 고철장입'!W$14:W$949,'09월 고철장입'!$A$14:$A$949,$A118,'09월 고철장입'!$C$14:$C$949,$B118))/1000)</f>
        <v/>
      </c>
      <c r="BL118" s="833" t="str">
        <f>IF($C118&lt;1,"",(AVERAGEIFS('09월 고철장입'!Y$14:Y$949,'09월 고철장입'!$A$14:$A$949,$A118,'09월 고철장입'!$C$14:$C$949,$B118))/1000)</f>
        <v/>
      </c>
      <c r="BM118" s="833" t="str">
        <f>IF($C118&lt;1,"",(AVERAGEIFS('09월 고철장입'!AB$14:AB$949,'09월 고철장입'!$A$14:$A$949,$A118,'09월 고철장입'!$C$14:$C$949,$B118))/1000)</f>
        <v/>
      </c>
      <c r="BN118" s="833" t="str">
        <f>IF($C118&lt;1,"",(AVERAGEIFS('09월 고철장입'!AC$14:AC$949,'09월 고철장입'!$A$14:$A$949,$A118,'09월 고철장입'!$C$14:$C$949,$B118))/1000)</f>
        <v/>
      </c>
      <c r="BO118" s="833" t="str">
        <f>IF($C118&lt;1,"",(AVERAGEIFS('09월 고철장입'!AD$14:AD$949,'09월 고철장입'!$A$14:$A$949,$A118,'09월 고철장입'!$C$14:$C$949,$B118))/1000)</f>
        <v/>
      </c>
      <c r="BP118" s="833" t="str">
        <f>IF($C118&lt;1,"",(AVERAGEIFS('09월 고철장입'!AE$14:AE$949,'09월 고철장입'!$A$14:$A$949,$A118,'09월 고철장입'!$C$14:$C$949,$B118))/1000)</f>
        <v/>
      </c>
      <c r="BQ118" s="832" t="str">
        <f>IF($C118&lt;1,"",(AVERAGEIFS('09월 고철장입'!AF$14:AF$949,'09월 고철장입'!$A$14:$A$949,$A118,'09월 고철장입'!$C$14:$C$949,$B118))/1000)</f>
        <v/>
      </c>
      <c r="BR118" s="832" t="str">
        <f>IF($C118&lt;1,"",(AVERAGEIFS('09월 고철장입'!AG$14:AG$949,'09월 고철장입'!$A$14:$A$949,$A118,'09월 고철장입'!$C$14:$C$949,$B118))/1000)</f>
        <v/>
      </c>
      <c r="BS118" s="832" t="str">
        <f>IF($C118&lt;1,"",(AVERAGEIFS('09월 고철장입'!AH$14:AH$949,'09월 고철장입'!$A$14:$A$949,$A118,'09월 고철장입'!$C$14:$C$949,$B118))/1000)</f>
        <v/>
      </c>
      <c r="BT118" s="832" t="str">
        <f>IF($C118&lt;1,"",(AVERAGEIFS('09월 고철장입'!AI$14:AI$949,'09월 고철장입'!$A$14:$A$949,$A118,'09월 고철장입'!$C$14:$C$949,$B118))/1000)</f>
        <v/>
      </c>
      <c r="BU118" s="834" t="str">
        <f>IF($C118&lt;1,"",(AVERAGEIFS('09월 고철장입'!AJ$14:AJ$949,'09월 고철장입'!$A$14:$A$949,$A118,'09월 고철장입'!$C$14:$C$949,$B118))/1000)</f>
        <v/>
      </c>
      <c r="BV118" s="834" t="str">
        <f>IF($C118&lt;1,"",(AVERAGEIFS('09월 고철장입'!AK$14:AK$949,'09월 고철장입'!$A$14:$A$949,$A118,'09월 고철장입'!$C$14:$C$949,$B118)))</f>
        <v/>
      </c>
      <c r="BW118" s="834" t="str">
        <f>IF($C118&lt;1,"",(AVERAGEIFS('09월 고철장입'!AL$14:AL$949,'09월 고철장입'!$A$14:$A$949,$A118,'09월 고철장입'!$C$14:$C$949,$B118))*100)</f>
        <v/>
      </c>
      <c r="BX118" s="831" t="str">
        <f>IF($C118&lt;1,"",(AVERAGEIFS('09월 에너지'!G$14:G$949,'09월 에너지'!$A$14:$A$949,$A118,'09월 에너지'!$C$14:$C$949,$B118)))</f>
        <v/>
      </c>
      <c r="BY118" s="835" t="str">
        <f>IF($C118&lt;1,"",(AVERAGEIFS('09월 에너지'!H$14:H$949,'09월 에너지'!$A$14:$A$949,$A118,'09월 에너지'!$C$14:$C$949,$B118)))</f>
        <v/>
      </c>
      <c r="BZ118" s="831" t="str">
        <f>IF($C118&lt;1,"",(AVERAGEIFS('09월 에너지'!I$14:I$949,'09월 에너지'!$A$14:$A$949,$A118,'09월 에너지'!$C$14:$C$949,$B118)))</f>
        <v/>
      </c>
      <c r="CA118" s="835" t="str">
        <f>IF($C118&lt;1,"",(AVERAGEIFS('09월 에너지'!J$14:J$949,'09월 에너지'!$A$14:$A$949,$A118,'09월 에너지'!$C$14:$C$949,$B118)))</f>
        <v/>
      </c>
      <c r="CB118" s="831" t="str">
        <f>IF($C118&lt;1,"",(AVERAGEIFS('09월 에너지'!K$14:K$949,'09월 에너지'!$A$14:$A$949,$A118,'09월 에너지'!$C$14:$C$949,$B118)))</f>
        <v/>
      </c>
      <c r="CC118" s="835" t="str">
        <f>IF($C118&lt;1,"",(AVERAGEIFS('09월 에너지'!L$14:L$949,'09월 에너지'!$A$14:$A$949,$A118,'09월 에너지'!$C$14:$C$949,$B118)))</f>
        <v/>
      </c>
      <c r="CD118" s="831" t="str">
        <f>IF($C118&lt;1,"",(AVERAGEIFS('09월 에너지'!M$14:M$949,'09월 에너지'!$A$14:$A$949,$A118,'09월 에너지'!$C$14:$C$949,$B118)))</f>
        <v/>
      </c>
      <c r="CE118" s="835" t="str">
        <f>IF($C118&lt;1,"",(AVERAGEIFS('09월 에너지'!N$14:N$949,'09월 에너지'!$A$14:$A$949,$A118,'09월 에너지'!$C$14:$C$949,$B118)))</f>
        <v/>
      </c>
      <c r="CF118" s="831" t="str">
        <f>IF($C118&lt;1,"",(AVERAGEIFS('09월 에너지'!O$14:O$949,'09월 에너지'!$A$14:$A$949,$A118,'09월 에너지'!$C$14:$C$949,$B118)))</f>
        <v/>
      </c>
      <c r="CG118" s="831" t="str">
        <f>IF($C118&lt;1,"",(AVERAGEIFS('09월 에너지'!P$14:P$949,'09월 에너지'!$A$14:$A$949,$A118,'09월 에너지'!$C$14:$C$949,$B118)))</f>
        <v/>
      </c>
      <c r="CH118" s="831" t="str">
        <f>IF($C118&lt;1,"",(AVERAGEIFS('09월 에너지'!Q$14:Q$949,'09월 에너지'!$A$14:$A$949,$A118,'09월 에너지'!$C$14:$C$949,$B118)))</f>
        <v/>
      </c>
      <c r="CI118" s="831" t="str">
        <f>IF($C118&lt;1,"",(AVERAGEIFS('09월 에너지'!R$14:R$949,'09월 에너지'!$A$14:$A$949,$A118,'09월 에너지'!$C$14:$C$949,$B118)))</f>
        <v/>
      </c>
      <c r="CJ118" s="831" t="str">
        <f>IF($C118&lt;1,"",(AVERAGEIFS('09월 에너지'!S$14:S$949,'09월 에너지'!$A$14:$A$949,$A118,'09월 에너지'!$C$14:$C$949,$B118)))</f>
        <v/>
      </c>
      <c r="CK118" s="831" t="str">
        <f>IF($C118&lt;1,"",(AVERAGEIFS('09월 에너지'!T$14:T$949,'09월 에너지'!$A$14:$A$949,$A118,'09월 에너지'!$C$14:$C$949,$B118)))</f>
        <v/>
      </c>
      <c r="CL118" s="831" t="str">
        <f>IF($C118&lt;1,"",(AVERAGEIFS('09월 에너지'!U$14:U$949,'09월 에너지'!$A$14:$A$949,$A118,'09월 에너지'!$C$14:$C$949,$B118)))</f>
        <v/>
      </c>
      <c r="CM118" s="835" t="str">
        <f>IF($C118&lt;1,"",(AVERAGEIFS('09월 에너지'!V$14:V$949,'09월 에너지'!$A$14:$A$949,$A118,'09월 에너지'!$C$14:$C$949,$B118)))</f>
        <v/>
      </c>
      <c r="CN118" s="835" t="str">
        <f>IF($C118&lt;1,"",(AVERAGEIFS('09월 에너지'!W$14:W$949,'09월 에너지'!$A$14:$A$949,$A118,'09월 에너지'!$C$14:$C$949,$B118)))</f>
        <v/>
      </c>
      <c r="CO118" s="831" t="str">
        <f>IF($C118&lt;1,"",(AVERAGEIFS('09월 에너지'!X$14:X$949,'09월 에너지'!$A$14:$A$949,$A118,'09월 에너지'!$C$14:$C$949,$B118)))</f>
        <v/>
      </c>
      <c r="CP118" s="835" t="str">
        <f>IF($C118&lt;1,"",(AVERAGEIFS('09월 에너지'!Y$14:Y$949,'09월 에너지'!$A$14:$A$949,$A118,'09월 에너지'!$C$14:$C$949,$B118)))</f>
        <v/>
      </c>
      <c r="CQ118" s="835" t="str">
        <f>IF($C118&lt;1,"",(AVERAGEIFS('09월 에너지'!Z$14:Z$949,'09월 에너지'!$A$14:$A$949,$A118,'09월 에너지'!$C$14:$C$949,$B118)))</f>
        <v/>
      </c>
      <c r="CR118" s="835" t="str">
        <f>IF($C118&lt;1,"",(AVERAGEIFS('09월 에너지'!AA$14:AA$949,'09월 에너지'!$A$14:$A$949,$A118,'09월 에너지'!$C$14:$C$949,$B118)))</f>
        <v/>
      </c>
      <c r="CS118" s="835" t="str">
        <f>IF($C118&lt;1,"",(AVERAGEIFS('09월 에너지'!AB$14:AB$949,'09월 에너지'!$A$14:$A$949,$A118,'09월 에너지'!$C$14:$C$949,$B118)))</f>
        <v/>
      </c>
      <c r="CT118" s="831" t="str">
        <f>IF($C118&lt;1,"",(AVERAGEIFS('09월 에너지'!AC$14:AC$949,'09월 에너지'!$A$14:$A$949,$A118,'09월 에너지'!$C$14:$C$949,$B118)))</f>
        <v/>
      </c>
      <c r="CU118" s="836" t="str">
        <f>IF($C118&lt;1,"",(AVERAGEIFS('09월 에너지'!AD$14:AD$949,'09월 에너지'!$A$14:$A$949,$A118,'09월 에너지'!$C$14:$C$949,$B118)))</f>
        <v/>
      </c>
      <c r="CV118" s="837" t="str">
        <f>IF($C118&lt;1,"",(AVERAGEIFS('09월 에너지'!AE$14:AE$949,'09월 에너지'!$A$14:$A$949,$A118,'09월 에너지'!$C$14:$C$949,$B118)))</f>
        <v/>
      </c>
      <c r="CW118" s="831" t="str">
        <f>IF($C118&lt;1,"",(AVERAGEIFS('09월 에너지'!AF$14:AF$949,'09월 에너지'!$A$14:$A$949,$A118,'09월 에너지'!$C$14:$C$949,$B118)))</f>
        <v/>
      </c>
      <c r="CX118" s="831" t="str">
        <f>IF($C118&lt;1,"",(AVERAGEIFS('09월 에너지'!AG$14:AG$949,'09월 에너지'!$A$14:$A$949,$A118,'09월 에너지'!$C$14:$C$949,$B118)))</f>
        <v/>
      </c>
      <c r="CY118" s="831" t="str">
        <f>IF($C118&lt;1,"",(AVERAGEIFS('09월 에너지'!AH$14:AH$949,'09월 에너지'!$A$14:$A$949,$A118,'09월 에너지'!$C$14:$C$949,$B118)))</f>
        <v/>
      </c>
      <c r="CZ118" s="831" t="str">
        <f>IF($C118&lt;1,"",(AVERAGEIFS('09월 에너지'!AI$14:AI$949,'09월 에너지'!$A$14:$A$949,$A118,'09월 에너지'!$C$14:$C$949,$B118)))</f>
        <v/>
      </c>
      <c r="DA118" s="838" t="str">
        <f>IF($C118&lt;1,"",(AVERAGEIFS('09월 에너지'!AJ$14:AJ$949,'09월 에너지'!$A$14:$A$949,$A118,'09월 에너지'!$C$14:$C$949,$B118)))</f>
        <v/>
      </c>
    </row>
    <row r="119" spans="1:105" ht="13.5" customHeight="1">
      <c r="A119" s="849">
        <f t="shared" si="20"/>
        <v>44949</v>
      </c>
      <c r="B119" s="850" t="s">
        <v>10</v>
      </c>
      <c r="C119" s="823">
        <f>COUNTIFS('09월 조업일지'!$A$12:$A$952,A116,'09월 조업일지'!$E$12:$E$952,B119)</f>
        <v>0</v>
      </c>
      <c r="D119" s="824" t="str">
        <f t="shared" si="26"/>
        <v/>
      </c>
      <c r="E119" s="824" t="str">
        <f>IF($C119&lt;1,"",(SUMIFS('09월 조업일지'!$K$12:$K$952,'09월 조업일지'!$A$12:$A$952,$A119,'09월 조업일지'!$E$12:$E$952,$B119)/$C119))</f>
        <v/>
      </c>
      <c r="F119" s="824" t="str">
        <f>IF($C119&lt;1,"",(AVERAGEIFS('09월 조업일지'!$J$12:$J$952,'09월 조업일지'!$A$12:$A$952,$A119,'09월 조업일지'!$E$12:$E$952,$B119)))</f>
        <v/>
      </c>
      <c r="G119" s="825" t="str">
        <f>IF($C119&lt;1,"",(AVERAGEIFS('09월 에너지'!$M$14:$M$949,'09월 에너지'!$A$14:$A$949,$A119,'09월 에너지'!$C$14:$C$949,$B119)))</f>
        <v/>
      </c>
      <c r="H119" s="826" t="str">
        <f>IF($C119&lt;1,"",(AVERAGEIFS('09월 조업일지'!$AJ$12:$AJ$952,'09월 조업일지'!$A$12:$A$952,$A119,'09월 조업일지'!$E$12:$E$952,$B119)))</f>
        <v/>
      </c>
      <c r="I119" s="826" t="str">
        <f>IF($C119&lt;1,"",(AVERAGEIFS('09월 조업일지'!$AL$12:$AL$952,'09월 조업일지'!$A$12:$A$952,$A119,'09월 조업일지'!$E$12:$E$952,$B119)))</f>
        <v/>
      </c>
      <c r="J119" s="827" t="str">
        <f>IF($C119&lt;1,"",(AVERAGEIFS('09월 화학성분'!G$12:G$949,'09월 화학성분'!$A$12:$A$949,$A119,'09월 화학성분'!$D$12:$D$949,$B119)))</f>
        <v/>
      </c>
      <c r="K119" s="827" t="str">
        <f>IF($C119&lt;1,"",(AVERAGEIFS('09월 화학성분'!H$12:H$949,'09월 화학성분'!$A$12:$A$949,$A119,'09월 화학성분'!$D$12:$D$949,$B119)))</f>
        <v/>
      </c>
      <c r="L119" s="827" t="str">
        <f>IF($C119&lt;1,"",(AVERAGEIFS('09월 화학성분'!I$12:I$949,'09월 화학성분'!$A$12:$A$949,$A119,'09월 화학성분'!$D$12:$D$949,$B119)))</f>
        <v/>
      </c>
      <c r="M119" s="827" t="str">
        <f>IF($C119&lt;1,"",(AVERAGEIFS('09월 화학성분'!J$12:J$949,'09월 화학성분'!$A$12:$A$949,$A119,'09월 화학성분'!$D$12:$D$949,$B119)))</f>
        <v/>
      </c>
      <c r="N119" s="827" t="str">
        <f>IF($C119&lt;1,"",(AVERAGEIFS('09월 화학성분'!K$12:K$949,'09월 화학성분'!$A$12:$A$949,$A119,'09월 화학성분'!$D$12:$D$949,$B119)))</f>
        <v/>
      </c>
      <c r="O119" s="827" t="str">
        <f>IF($C119&lt;1,"",(AVERAGEIFS('09월 화학성분'!L$12:L$949,'09월 화학성분'!$A$12:$A$949,$A119,'09월 화학성분'!$D$12:$D$949,$B119)))</f>
        <v/>
      </c>
      <c r="P119" s="827" t="str">
        <f>IF($C119&lt;1,"",(AVERAGEIFS('09월 화학성분'!M$12:M$949,'09월 화학성분'!$A$12:$A$949,$A119,'09월 화학성분'!$D$12:$D$949,$B119)))</f>
        <v/>
      </c>
      <c r="Q119" s="827" t="str">
        <f>IFERROR(IF($C119&lt;1,"",(AVERAGEIFS('09월 조업일지'!$AA$12:$AA$952,'09월 조업일지'!$A$12:$A$952,$A119,'09월 조업일지'!$E$12:$E$952,$B119))),"")</f>
        <v/>
      </c>
      <c r="R119" s="827" t="str">
        <f>IF($C119&lt;1,"",(AVERAGEIFS('09월 조업일지'!$AK$12:$AK$952,'09월 조업일지'!$A$12:$A$952,$A119,'09월 조업일지'!$E$12:$E$952,$B119)))</f>
        <v/>
      </c>
      <c r="S119" s="827"/>
      <c r="T119" s="827"/>
      <c r="U119" s="827" t="str">
        <f>IF($C119&lt;1,"",(AVERAGEIFS('09월 화학성분'!$G$12:$G$949,'09월 화학성분'!$A$12:$A$949,$A119,'09월 화학성분'!$D$12:$D$949,$B119)))</f>
        <v/>
      </c>
      <c r="V119" s="827" t="str">
        <f>IF($C119&lt;1,"",(AVERAGEIFS('09월 조업일지'!$AI$12:$AI$952,'09월 조업일지'!$A$12:$A$952,$A119,'09월 조업일지'!$E$12:$E$952,$B119)))</f>
        <v/>
      </c>
      <c r="W119" s="828" t="str">
        <f>IF($C119&lt;1,"",(AVERAGEIFS('09월 화학성분'!$AM$12:$AM$949,'09월 화학성분'!$A$12:$A$949,$A119,'09월 화학성분'!$D$12:$D$949,$B119)))</f>
        <v/>
      </c>
      <c r="X119" s="829" t="str">
        <f>IF($C119&lt;1,"",(AVERAGEIFS('09월 화학성분'!N$12:N$949,'09월 화학성분'!$A$12:$A$949,$A119,'09월 화학성분'!$D$12:$D$949,$B119)))</f>
        <v/>
      </c>
      <c r="Y119" s="829" t="str">
        <f>IF($C119&lt;1,"",(AVERAGEIFS('09월 화학성분'!O$12:O$949,'09월 화학성분'!$A$12:$A$949,$A119,'09월 화학성분'!$D$12:$D$949,$B119)))</f>
        <v/>
      </c>
      <c r="Z119" s="829" t="str">
        <f>IF($C119&lt;1,"",(AVERAGEIFS('09월 화학성분'!P$12:P$949,'09월 화학성분'!$A$12:$A$949,$A119,'09월 화학성분'!$D$12:$D$949,$B119)))</f>
        <v/>
      </c>
      <c r="AA119" s="829" t="str">
        <f>IF($C119&lt;1,"",(AVERAGEIFS('09월 화학성분'!Q$12:Q$949,'09월 화학성분'!$A$12:$A$949,$A119,'09월 화학성분'!$D$12:$D$949,$B119)))</f>
        <v/>
      </c>
      <c r="AB119" s="829" t="str">
        <f>IF($C119&lt;1,"",(AVERAGEIFS('09월 화학성분'!R$12:R$949,'09월 화학성분'!$A$12:$A$949,$A119,'09월 화학성분'!$D$12:$D$949,$B119)))</f>
        <v/>
      </c>
      <c r="AC119" s="829" t="str">
        <f>IF($C119&lt;1,"",(AVERAGEIFS('09월 화학성분'!U$12:U$949,'09월 화학성분'!$A$12:$A$949,$A119,'09월 화학성분'!$D$12:$D$949,$B119)))</f>
        <v/>
      </c>
      <c r="AD119" s="829" t="str">
        <f>IF($C119&lt;1,"",(AVERAGEIFS('09월 화학성분'!V$12:V$949,'09월 화학성분'!$A$12:$A$949,$A119,'09월 화학성분'!$D$12:$D$949,$B119)))</f>
        <v/>
      </c>
      <c r="AE119" s="829" t="str">
        <f>IF($C119&lt;1,"",(AVERAGEIFS('09월 화학성분'!W$12:W$949,'09월 화학성분'!$A$12:$A$949,$A119,'09월 화학성분'!$D$12:$D$949,$B119)))</f>
        <v/>
      </c>
      <c r="AF119" s="829" t="str">
        <f>IF($C119&lt;1,"",(AVERAGEIFS('09월 화학성분'!AA$12:AA$949,'09월 화학성분'!$A$12:$A$949,$A119,'09월 화학성분'!$D$12:$D$949,$B119)))</f>
        <v/>
      </c>
      <c r="AG119" s="829" t="str">
        <f>IF($C119&lt;1,"",(AVERAGEIFS('09월 화학성분'!#REF!,'09월 화학성분'!$A$12:$A$949,$A119,'09월 화학성분'!$D$12:$D$949,$B119)))</f>
        <v/>
      </c>
      <c r="AH119" s="829" t="str">
        <f>IF($C119&lt;1,"",(AVERAGEIFS('09월 화학성분'!AB$12:AB$949,'09월 화학성분'!$A$12:$A$949,$A119,'09월 화학성분'!$D$12:$D$949,$B119)))</f>
        <v/>
      </c>
      <c r="AI119" s="829" t="str">
        <f>IF($C119&lt;1,"",(AVERAGEIFS('09월 화학성분'!AC$12:AC$949,'09월 화학성분'!$A$12:$A$949,$A119,'09월 화학성분'!$D$12:$D$949,$B119)))</f>
        <v/>
      </c>
      <c r="AJ119" s="829" t="str">
        <f>IF($C119&lt;1,"",(AVERAGEIFS('09월 화학성분'!AD$12:AD$949,'09월 화학성분'!$A$12:$A$949,$A119,'09월 화학성분'!$D$12:$D$949,$B119)))</f>
        <v/>
      </c>
      <c r="AK119" s="829" t="str">
        <f>IF($C119&lt;1,"",(AVERAGEIFS('09월 화학성분'!AF$12:AF$949,'09월 화학성분'!$A$12:$A$949,$A119,'09월 화학성분'!$D$12:$D$949,$B119)))</f>
        <v/>
      </c>
      <c r="AL119" s="829" t="str">
        <f>IF($C119&lt;1,"",(AVERAGEIFS('09월 화학성분'!AG$12:AG$949,'09월 화학성분'!$A$12:$A$949,$A119,'09월 화학성분'!$D$12:$D$949,$B119)))</f>
        <v/>
      </c>
      <c r="AM119" s="829" t="str">
        <f>IF($C119&lt;1,"",(AVERAGEIFS('09월 화학성분'!AH$12:AH$949,'09월 화학성분'!$A$12:$A$949,$A119,'09월 화학성분'!$D$12:$D$949,$B119)))</f>
        <v/>
      </c>
      <c r="AN119" s="829" t="str">
        <f>IF($C119&lt;1,"",(AVERAGEIFS('09월 화학성분'!AI$12:AI$949,'09월 화학성분'!$A$12:$A$949,$A119,'09월 화학성분'!$D$12:$D$949,$B119)))</f>
        <v/>
      </c>
      <c r="AO119" s="829" t="str">
        <f>IF($C119&lt;1,"",(AVERAGEIFS('09월 화학성분'!AJ$12:AJ$949,'09월 화학성분'!$A$12:$A$949,$A119,'09월 화학성분'!$D$12:$D$949,$B119)))</f>
        <v/>
      </c>
      <c r="AP119" s="829" t="str">
        <f>IF($C119&lt;1,"",(AVERAGEIFS('09월 화학성분'!#REF!,'09월 화학성분'!$A$12:$A$949,$A119,'09월 화학성분'!$D$12:$D$949,$B119)))</f>
        <v/>
      </c>
      <c r="AQ119" s="829" t="str">
        <f>IF($C119&lt;1,"",(AVERAGEIFS('09월 화학성분'!AL$12:AL$949,'09월 화학성분'!$A$12:$A$949,$A119,'09월 화학성분'!$D$12:$D$949,$B119)))</f>
        <v/>
      </c>
      <c r="AR119" s="829" t="str">
        <f>IF($C119&lt;1,"",(AVERAGEIFS('09월 화학성분'!AM$12:AM$949,'09월 화학성분'!$A$12:$A$949,$A119,'09월 화학성분'!$D$12:$D$949,$B119)))</f>
        <v/>
      </c>
      <c r="AS119" s="830" t="str">
        <f>IF($C119&lt;1,"",(AVERAGEIFS('09월 화학성분'!AN$12:AN$949,'09월 화학성분'!$A$12:$A$949,$A119,'09월 화학성분'!$D$12:$D$949,$B119)))</f>
        <v/>
      </c>
      <c r="AT119" s="830" t="str">
        <f>IF($C119&lt;1,"",(AVERAGEIFS('09월 화학성분'!AO$12:AO$949,'09월 화학성분'!$A$12:$A$949,$A119,'09월 화학성분'!$D$12:$D$949,$B119)))</f>
        <v/>
      </c>
      <c r="AU119" s="831" t="str">
        <f>IF($C119&lt;1,"",(AVERAGEIFS('09월 화학성분'!AP$12:AP$949,'09월 화학성분'!$A$12:$A$949,$A119,'09월 화학성분'!$D$12:$D$949,$B119)))</f>
        <v/>
      </c>
      <c r="AV119" s="832" t="str">
        <f>IF($C119&lt;1,"",(AVERAGEIFS('09월 고철장입'!G$14:G$949,'09월 고철장입'!$A$14:$A$949,$A119,'09월 고철장입'!$C$14:$C$949,$B119))/1000)</f>
        <v/>
      </c>
      <c r="AW119" s="832" t="str">
        <f>IF($C119&lt;1,"",(AVERAGEIFS('09월 고철장입'!H$14:H$949,'09월 고철장입'!$A$14:$A$949,$A119,'09월 고철장입'!$C$14:$C$949,$B119))/1000)</f>
        <v/>
      </c>
      <c r="AX119" s="832" t="str">
        <f>IF($C119&lt;1,"",(AVERAGEIFS('09월 고철장입'!I$14:I$949,'09월 고철장입'!$A$14:$A$949,$A119,'09월 고철장입'!$C$14:$C$949,$B119))/1000)</f>
        <v/>
      </c>
      <c r="AY119" s="832" t="str">
        <f>IF($C119&lt;1,"",(AVERAGEIFS('09월 고철장입'!J$14:J$949,'09월 고철장입'!$A$14:$A$949,$A119,'09월 고철장입'!$C$14:$C$949,$B119))/1000)</f>
        <v/>
      </c>
      <c r="AZ119" s="832" t="str">
        <f>IF($C119&lt;1,"",(AVERAGEIFS('09월 고철장입'!K$14:K$949,'09월 고철장입'!$A$14:$A$949,$A119,'09월 고철장입'!$C$14:$C$949,$B119))/1000)</f>
        <v/>
      </c>
      <c r="BA119" s="832" t="str">
        <f>IF($C119&lt;1,"",(AVERAGEIFS('09월 고철장입'!L$14:L$949,'09월 고철장입'!$A$14:$A$949,$A119,'09월 고철장입'!$C$14:$C$949,$B119))/1000)</f>
        <v/>
      </c>
      <c r="BB119" s="832" t="str">
        <f>IF($C119&lt;1,"",(AVERAGEIFS('09월 고철장입'!M$14:M$949,'09월 고철장입'!$A$14:$A$949,$A119,'09월 고철장입'!$C$14:$C$949,$B119))/1000)</f>
        <v/>
      </c>
      <c r="BC119" s="832" t="str">
        <f>IF($C119&lt;1,"",(AVERAGEIFS('09월 고철장입'!N$14:N$949,'09월 고철장입'!$A$14:$A$949,$A119,'09월 고철장입'!$C$14:$C$949,$B119))/1000)</f>
        <v/>
      </c>
      <c r="BD119" s="832" t="str">
        <f>IF($C119&lt;1,"",(AVERAGEIFS('09월 고철장입'!O$14:O$949,'09월 고철장입'!$A$14:$A$949,$A119,'09월 고철장입'!$C$14:$C$949,$B119))/1000)</f>
        <v/>
      </c>
      <c r="BE119" s="833" t="str">
        <f>IF($C119&lt;1,"",(AVERAGEIFS('09월 고철장입'!P$14:P$949,'09월 고철장입'!$A$14:$A$949,$A119,'09월 고철장입'!$C$14:$C$949,$B119))/1000)</f>
        <v/>
      </c>
      <c r="BF119" s="833" t="str">
        <f>IF($C119&lt;1,"",(AVERAGEIFS('09월 고철장입'!Q$14:Q$949,'09월 고철장입'!$A$14:$A$949,$A119,'09월 고철장입'!$C$14:$C$949,$B119))/1000)</f>
        <v/>
      </c>
      <c r="BG119" s="833" t="str">
        <f>IF($C119&lt;1,"",(AVERAGEIFS('09월 고철장입'!S$14:S$949,'09월 고철장입'!$A$14:$A$949,$A119,'09월 고철장입'!$C$14:$C$949,$B119))/1000)</f>
        <v/>
      </c>
      <c r="BH119" s="833" t="str">
        <f>IF($C119&lt;1,"",(AVERAGEIFS('09월 고철장입'!T$14:T$949,'09월 고철장입'!$A$14:$A$949,$A119,'09월 고철장입'!$C$14:$C$949,$B119))/1000)</f>
        <v/>
      </c>
      <c r="BI119" s="833" t="str">
        <f>IF($C119&lt;1,"",(AVERAGEIFS('09월 고철장입'!U$14:U$949,'09월 고철장입'!$A$14:$A$949,$A119,'09월 고철장입'!$C$14:$C$949,$B119))/1000)</f>
        <v/>
      </c>
      <c r="BJ119" s="833" t="str">
        <f>IF($C119&lt;1,"",(AVERAGEIFS('09월 고철장입'!V$14:V$949,'09월 고철장입'!$A$14:$A$949,$A119,'09월 고철장입'!$C$14:$C$949,$B119))/1000)</f>
        <v/>
      </c>
      <c r="BK119" s="833" t="str">
        <f>IF($C119&lt;1,"",(AVERAGEIFS('09월 고철장입'!W$14:W$949,'09월 고철장입'!$A$14:$A$949,$A119,'09월 고철장입'!$C$14:$C$949,$B119))/1000)</f>
        <v/>
      </c>
      <c r="BL119" s="833" t="str">
        <f>IF($C119&lt;1,"",(AVERAGEIFS('09월 고철장입'!Y$14:Y$949,'09월 고철장입'!$A$14:$A$949,$A119,'09월 고철장입'!$C$14:$C$949,$B119))/1000)</f>
        <v/>
      </c>
      <c r="BM119" s="833" t="str">
        <f>IF($C119&lt;1,"",(AVERAGEIFS('09월 고철장입'!AB$14:AB$949,'09월 고철장입'!$A$14:$A$949,$A119,'09월 고철장입'!$C$14:$C$949,$B119))/1000)</f>
        <v/>
      </c>
      <c r="BN119" s="833" t="str">
        <f>IF($C119&lt;1,"",(AVERAGEIFS('09월 고철장입'!AC$14:AC$949,'09월 고철장입'!$A$14:$A$949,$A119,'09월 고철장입'!$C$14:$C$949,$B119))/1000)</f>
        <v/>
      </c>
      <c r="BO119" s="833" t="str">
        <f>IF($C119&lt;1,"",(AVERAGEIFS('09월 고철장입'!AD$14:AD$949,'09월 고철장입'!$A$14:$A$949,$A119,'09월 고철장입'!$C$14:$C$949,$B119))/1000)</f>
        <v/>
      </c>
      <c r="BP119" s="833" t="str">
        <f>IF($C119&lt;1,"",(AVERAGEIFS('09월 고철장입'!AE$14:AE$949,'09월 고철장입'!$A$14:$A$949,$A119,'09월 고철장입'!$C$14:$C$949,$B119))/1000)</f>
        <v/>
      </c>
      <c r="BQ119" s="832" t="str">
        <f>IF($C119&lt;1,"",(AVERAGEIFS('09월 고철장입'!AF$14:AF$949,'09월 고철장입'!$A$14:$A$949,$A119,'09월 고철장입'!$C$14:$C$949,$B119))/1000)</f>
        <v/>
      </c>
      <c r="BR119" s="832" t="str">
        <f>IF($C119&lt;1,"",(AVERAGEIFS('09월 고철장입'!AG$14:AG$949,'09월 고철장입'!$A$14:$A$949,$A119,'09월 고철장입'!$C$14:$C$949,$B119))/1000)</f>
        <v/>
      </c>
      <c r="BS119" s="832" t="str">
        <f>IF($C119&lt;1,"",(AVERAGEIFS('09월 고철장입'!AH$14:AH$949,'09월 고철장입'!$A$14:$A$949,$A119,'09월 고철장입'!$C$14:$C$949,$B119))/1000)</f>
        <v/>
      </c>
      <c r="BT119" s="832" t="str">
        <f>IF($C119&lt;1,"",(AVERAGEIFS('09월 고철장입'!AI$14:AI$949,'09월 고철장입'!$A$14:$A$949,$A119,'09월 고철장입'!$C$14:$C$949,$B119))/1000)</f>
        <v/>
      </c>
      <c r="BU119" s="834" t="str">
        <f>IF($C119&lt;1,"",(AVERAGEIFS('09월 고철장입'!AJ$14:AJ$949,'09월 고철장입'!$A$14:$A$949,$A119,'09월 고철장입'!$C$14:$C$949,$B119))/1000)</f>
        <v/>
      </c>
      <c r="BV119" s="834" t="str">
        <f>IF($C119&lt;1,"",(AVERAGEIFS('09월 고철장입'!AK$14:AK$949,'09월 고철장입'!$A$14:$A$949,$A119,'09월 고철장입'!$C$14:$C$949,$B119)))</f>
        <v/>
      </c>
      <c r="BW119" s="834" t="str">
        <f>IF($C119&lt;1,"",(AVERAGEIFS('09월 고철장입'!AL$14:AL$949,'09월 고철장입'!$A$14:$A$949,$A119,'09월 고철장입'!$C$14:$C$949,$B119))*100)</f>
        <v/>
      </c>
      <c r="BX119" s="831" t="str">
        <f>IF($C119&lt;1,"",(AVERAGEIFS('09월 에너지'!G$14:G$949,'09월 에너지'!$A$14:$A$949,$A119,'09월 에너지'!$C$14:$C$949,$B119)))</f>
        <v/>
      </c>
      <c r="BY119" s="835" t="str">
        <f>IF($C119&lt;1,"",(AVERAGEIFS('09월 에너지'!H$14:H$949,'09월 에너지'!$A$14:$A$949,$A119,'09월 에너지'!$C$14:$C$949,$B119)))</f>
        <v/>
      </c>
      <c r="BZ119" s="831" t="str">
        <f>IF($C119&lt;1,"",(AVERAGEIFS('09월 에너지'!I$14:I$949,'09월 에너지'!$A$14:$A$949,$A119,'09월 에너지'!$C$14:$C$949,$B119)))</f>
        <v/>
      </c>
      <c r="CA119" s="835" t="str">
        <f>IF($C119&lt;1,"",(AVERAGEIFS('09월 에너지'!J$14:J$949,'09월 에너지'!$A$14:$A$949,$A119,'09월 에너지'!$C$14:$C$949,$B119)))</f>
        <v/>
      </c>
      <c r="CB119" s="831" t="str">
        <f>IF($C119&lt;1,"",(AVERAGEIFS('09월 에너지'!K$14:K$949,'09월 에너지'!$A$14:$A$949,$A119,'09월 에너지'!$C$14:$C$949,$B119)))</f>
        <v/>
      </c>
      <c r="CC119" s="835" t="str">
        <f>IF($C119&lt;1,"",(AVERAGEIFS('09월 에너지'!L$14:L$949,'09월 에너지'!$A$14:$A$949,$A119,'09월 에너지'!$C$14:$C$949,$B119)))</f>
        <v/>
      </c>
      <c r="CD119" s="831" t="str">
        <f>IF($C119&lt;1,"",(AVERAGEIFS('09월 에너지'!M$14:M$949,'09월 에너지'!$A$14:$A$949,$A119,'09월 에너지'!$C$14:$C$949,$B119)))</f>
        <v/>
      </c>
      <c r="CE119" s="835" t="str">
        <f>IF($C119&lt;1,"",(AVERAGEIFS('09월 에너지'!N$14:N$949,'09월 에너지'!$A$14:$A$949,$A119,'09월 에너지'!$C$14:$C$949,$B119)))</f>
        <v/>
      </c>
      <c r="CF119" s="831" t="str">
        <f>IF($C119&lt;1,"",(AVERAGEIFS('09월 에너지'!O$14:O$949,'09월 에너지'!$A$14:$A$949,$A119,'09월 에너지'!$C$14:$C$949,$B119)))</f>
        <v/>
      </c>
      <c r="CG119" s="831" t="str">
        <f>IF($C119&lt;1,"",(AVERAGEIFS('09월 에너지'!P$14:P$949,'09월 에너지'!$A$14:$A$949,$A119,'09월 에너지'!$C$14:$C$949,$B119)))</f>
        <v/>
      </c>
      <c r="CH119" s="831" t="str">
        <f>IF($C119&lt;1,"",(AVERAGEIFS('09월 에너지'!Q$14:Q$949,'09월 에너지'!$A$14:$A$949,$A119,'09월 에너지'!$C$14:$C$949,$B119)))</f>
        <v/>
      </c>
      <c r="CI119" s="831" t="str">
        <f>IF($C119&lt;1,"",(AVERAGEIFS('09월 에너지'!R$14:R$949,'09월 에너지'!$A$14:$A$949,$A119,'09월 에너지'!$C$14:$C$949,$B119)))</f>
        <v/>
      </c>
      <c r="CJ119" s="831" t="str">
        <f>IF($C119&lt;1,"",(AVERAGEIFS('09월 에너지'!S$14:S$949,'09월 에너지'!$A$14:$A$949,$A119,'09월 에너지'!$C$14:$C$949,$B119)))</f>
        <v/>
      </c>
      <c r="CK119" s="831" t="str">
        <f>IF($C119&lt;1,"",(AVERAGEIFS('09월 에너지'!T$14:T$949,'09월 에너지'!$A$14:$A$949,$A119,'09월 에너지'!$C$14:$C$949,$B119)))</f>
        <v/>
      </c>
      <c r="CL119" s="831" t="str">
        <f>IF($C119&lt;1,"",(AVERAGEIFS('09월 에너지'!U$14:U$949,'09월 에너지'!$A$14:$A$949,$A119,'09월 에너지'!$C$14:$C$949,$B119)))</f>
        <v/>
      </c>
      <c r="CM119" s="835" t="str">
        <f>IF($C119&lt;1,"",(AVERAGEIFS('09월 에너지'!V$14:V$949,'09월 에너지'!$A$14:$A$949,$A119,'09월 에너지'!$C$14:$C$949,$B119)))</f>
        <v/>
      </c>
      <c r="CN119" s="835" t="str">
        <f>IF($C119&lt;1,"",(AVERAGEIFS('09월 에너지'!W$14:W$949,'09월 에너지'!$A$14:$A$949,$A119,'09월 에너지'!$C$14:$C$949,$B119)))</f>
        <v/>
      </c>
      <c r="CO119" s="831" t="str">
        <f>IF($C119&lt;1,"",(AVERAGEIFS('09월 에너지'!X$14:X$949,'09월 에너지'!$A$14:$A$949,$A119,'09월 에너지'!$C$14:$C$949,$B119)))</f>
        <v/>
      </c>
      <c r="CP119" s="835" t="str">
        <f>IF($C119&lt;1,"",(AVERAGEIFS('09월 에너지'!Y$14:Y$949,'09월 에너지'!$A$14:$A$949,$A119,'09월 에너지'!$C$14:$C$949,$B119)))</f>
        <v/>
      </c>
      <c r="CQ119" s="835" t="str">
        <f>IF($C119&lt;1,"",(AVERAGEIFS('09월 에너지'!Z$14:Z$949,'09월 에너지'!$A$14:$A$949,$A119,'09월 에너지'!$C$14:$C$949,$B119)))</f>
        <v/>
      </c>
      <c r="CR119" s="835" t="str">
        <f>IF($C119&lt;1,"",(AVERAGEIFS('09월 에너지'!AA$14:AA$949,'09월 에너지'!$A$14:$A$949,$A119,'09월 에너지'!$C$14:$C$949,$B119)))</f>
        <v/>
      </c>
      <c r="CS119" s="835" t="str">
        <f>IF($C119&lt;1,"",(AVERAGEIFS('09월 에너지'!AB$14:AB$949,'09월 에너지'!$A$14:$A$949,$A119,'09월 에너지'!$C$14:$C$949,$B119)))</f>
        <v/>
      </c>
      <c r="CT119" s="831" t="str">
        <f>IF($C119&lt;1,"",(AVERAGEIFS('09월 에너지'!AC$14:AC$949,'09월 에너지'!$A$14:$A$949,$A119,'09월 에너지'!$C$14:$C$949,$B119)))</f>
        <v/>
      </c>
      <c r="CU119" s="836" t="str">
        <f>IF($C119&lt;1,"",(AVERAGEIFS('09월 에너지'!AD$14:AD$949,'09월 에너지'!$A$14:$A$949,$A119,'09월 에너지'!$C$14:$C$949,$B119)))</f>
        <v/>
      </c>
      <c r="CV119" s="837" t="str">
        <f>IF($C119&lt;1,"",(AVERAGEIFS('09월 에너지'!AE$14:AE$949,'09월 에너지'!$A$14:$A$949,$A119,'09월 에너지'!$C$14:$C$949,$B119)))</f>
        <v/>
      </c>
      <c r="CW119" s="831" t="str">
        <f>IF($C119&lt;1,"",(AVERAGEIFS('09월 에너지'!AF$14:AF$949,'09월 에너지'!$A$14:$A$949,$A119,'09월 에너지'!$C$14:$C$949,$B119)))</f>
        <v/>
      </c>
      <c r="CX119" s="831" t="str">
        <f>IF($C119&lt;1,"",(AVERAGEIFS('09월 에너지'!AG$14:AG$949,'09월 에너지'!$A$14:$A$949,$A119,'09월 에너지'!$C$14:$C$949,$B119)))</f>
        <v/>
      </c>
      <c r="CY119" s="831" t="str">
        <f>IF($C119&lt;1,"",(AVERAGEIFS('09월 에너지'!AH$14:AH$949,'09월 에너지'!$A$14:$A$949,$A119,'09월 에너지'!$C$14:$C$949,$B119)))</f>
        <v/>
      </c>
      <c r="CZ119" s="831" t="str">
        <f>IF($C119&lt;1,"",(AVERAGEIFS('09월 에너지'!AI$14:AI$949,'09월 에너지'!$A$14:$A$949,$A119,'09월 에너지'!$C$14:$C$949,$B119)))</f>
        <v/>
      </c>
      <c r="DA119" s="838" t="str">
        <f>IF($C119&lt;1,"",(AVERAGEIFS('09월 에너지'!AJ$14:AJ$949,'09월 에너지'!$A$14:$A$949,$A119,'09월 에너지'!$C$14:$C$949,$B119)))</f>
        <v/>
      </c>
    </row>
    <row r="120" spans="1:105" ht="13.5" customHeight="1" thickBot="1">
      <c r="A120" s="851">
        <f t="shared" si="20"/>
        <v>44949</v>
      </c>
      <c r="B120" s="852" t="s">
        <v>94</v>
      </c>
      <c r="C120" s="841">
        <f>COUNTIFS('09월 조업일지'!$A$12:$A$952,A116,'09월 조업일지'!$E$12:$E$952,B120)</f>
        <v>0</v>
      </c>
      <c r="D120" s="842" t="str">
        <f t="shared" si="26"/>
        <v/>
      </c>
      <c r="E120" s="842" t="str">
        <f>IF($C120&lt;1,"",(SUMIFS('09월 조업일지'!$K$12:$K$952,'09월 조업일지'!$A$12:$A$952,$A120,'09월 조업일지'!$E$12:$E$952,$B120)/$C120))</f>
        <v/>
      </c>
      <c r="F120" s="842" t="str">
        <f>IF($C120&lt;1,"",(AVERAGEIFS('09월 조업일지'!$J$12:$J$952,'09월 조업일지'!$A$12:$A$952,$A120,'09월 조업일지'!$E$12:$E$952,$B120)))</f>
        <v/>
      </c>
      <c r="G120" s="843" t="str">
        <f>IF($C120&lt;1,"",(AVERAGEIFS('09월 에너지'!$M$14:$M$949,'09월 에너지'!$A$14:$A$949,$A120,'09월 에너지'!$C$14:$C$949,$B120)))</f>
        <v/>
      </c>
      <c r="H120" s="844" t="str">
        <f>IF($C120&lt;1,"",(AVERAGEIFS('09월 조업일지'!$AJ$12:$AJ$952,'09월 조업일지'!$A$12:$A$952,$A120,'09월 조업일지'!$E$12:$E$952,$B120)))</f>
        <v/>
      </c>
      <c r="I120" s="844" t="str">
        <f>IF($C120&lt;1,"",(AVERAGEIFS('09월 조업일지'!$AL$12:$AL$952,'09월 조업일지'!$A$12:$A$952,$A120,'09월 조업일지'!$E$12:$E$952,$B120)))</f>
        <v/>
      </c>
      <c r="J120" s="845" t="str">
        <f>IF($C120&lt;1,"",(AVERAGEIFS('09월 화학성분'!G$12:G$949,'09월 화학성분'!$A$12:$A$949,$A120,'09월 화학성분'!$D$12:$D$949,$B120)))</f>
        <v/>
      </c>
      <c r="K120" s="845" t="str">
        <f>IF($C120&lt;1,"",(AVERAGEIFS('09월 화학성분'!H$12:H$949,'09월 화학성분'!$A$12:$A$949,$A120,'09월 화학성분'!$D$12:$D$949,$B120)))</f>
        <v/>
      </c>
      <c r="L120" s="845" t="str">
        <f>IF($C120&lt;1,"",(AVERAGEIFS('09월 화학성분'!I$12:I$949,'09월 화학성분'!$A$12:$A$949,$A120,'09월 화학성분'!$D$12:$D$949,$B120)))</f>
        <v/>
      </c>
      <c r="M120" s="845" t="str">
        <f>IF($C120&lt;1,"",(AVERAGEIFS('09월 화학성분'!J$12:J$949,'09월 화학성분'!$A$12:$A$949,$A120,'09월 화학성분'!$D$12:$D$949,$B120)))</f>
        <v/>
      </c>
      <c r="N120" s="845" t="str">
        <f>IF($C120&lt;1,"",(AVERAGEIFS('09월 화학성분'!K$12:K$949,'09월 화학성분'!$A$12:$A$949,$A120,'09월 화학성분'!$D$12:$D$949,$B120)))</f>
        <v/>
      </c>
      <c r="O120" s="845" t="str">
        <f>IF($C120&lt;1,"",(AVERAGEIFS('09월 화학성분'!L$12:L$949,'09월 화학성분'!$A$12:$A$949,$A120,'09월 화학성분'!$D$12:$D$949,$B120)))</f>
        <v/>
      </c>
      <c r="P120" s="845" t="str">
        <f>IF($C120&lt;1,"",(AVERAGEIFS('09월 화학성분'!M$12:M$949,'09월 화학성분'!$A$12:$A$949,$A120,'09월 화학성분'!$D$12:$D$949,$B120)))</f>
        <v/>
      </c>
      <c r="Q120" s="827" t="str">
        <f>IFERROR(IF($C120&lt;1,"",(AVERAGEIFS('09월 조업일지'!$AA$12:$AA$952,'09월 조업일지'!$A$12:$A$952,$A120,'09월 조업일지'!$E$12:$E$952,$B120))),"")</f>
        <v/>
      </c>
      <c r="R120" s="845" t="str">
        <f>IF($C120&lt;1,"",(AVERAGEIFS('09월 조업일지'!$AK$12:$AK$952,'09월 조업일지'!$A$12:$A$952,$A120,'09월 조업일지'!$E$12:$E$952,$B120)))</f>
        <v/>
      </c>
      <c r="S120" s="845"/>
      <c r="T120" s="845"/>
      <c r="U120" s="845" t="str">
        <f>IF($C120&lt;1,"",(AVERAGEIFS('09월 화학성분'!$G$12:$G$949,'09월 화학성분'!$A$12:$A$949,$A120,'09월 화학성분'!$D$12:$D$949,$B120)))</f>
        <v/>
      </c>
      <c r="V120" s="845" t="str">
        <f>IF($C120&lt;1,"",(AVERAGEIFS('09월 조업일지'!$AI$12:$AI$952,'09월 조업일지'!$A$12:$A$952,$A120,'09월 조업일지'!$E$12:$E$952,$B120)))</f>
        <v/>
      </c>
      <c r="W120" s="846" t="str">
        <f>IF($C120&lt;1,"",(AVERAGEIFS('09월 화학성분'!$AM$12:$AM$949,'09월 화학성분'!$A$12:$A$949,$A120,'09월 화학성분'!$D$12:$D$949,$B120)))</f>
        <v/>
      </c>
      <c r="X120" s="829" t="str">
        <f>IF($C120&lt;1,"",(AVERAGEIFS('09월 화학성분'!N$12:N$949,'09월 화학성분'!$A$12:$A$949,$A120,'09월 화학성분'!$D$12:$D$949,$B120)))</f>
        <v/>
      </c>
      <c r="Y120" s="829" t="str">
        <f>IF($C120&lt;1,"",(AVERAGEIFS('09월 화학성분'!O$12:O$949,'09월 화학성분'!$A$12:$A$949,$A120,'09월 화학성분'!$D$12:$D$949,$B120)))</f>
        <v/>
      </c>
      <c r="Z120" s="829" t="str">
        <f>IF($C120&lt;1,"",(AVERAGEIFS('09월 화학성분'!P$12:P$949,'09월 화학성분'!$A$12:$A$949,$A120,'09월 화학성분'!$D$12:$D$949,$B120)))</f>
        <v/>
      </c>
      <c r="AA120" s="829" t="str">
        <f>IF($C120&lt;1,"",(AVERAGEIFS('09월 화학성분'!Q$12:Q$949,'09월 화학성분'!$A$12:$A$949,$A120,'09월 화학성분'!$D$12:$D$949,$B120)))</f>
        <v/>
      </c>
      <c r="AB120" s="829" t="str">
        <f>IF($C120&lt;1,"",(AVERAGEIFS('09월 화학성분'!R$12:R$949,'09월 화학성분'!$A$12:$A$949,$A120,'09월 화학성분'!$D$12:$D$949,$B120)))</f>
        <v/>
      </c>
      <c r="AC120" s="829" t="str">
        <f>IF($C120&lt;1,"",(AVERAGEIFS('09월 화학성분'!U$12:U$949,'09월 화학성분'!$A$12:$A$949,$A120,'09월 화학성분'!$D$12:$D$949,$B120)))</f>
        <v/>
      </c>
      <c r="AD120" s="829" t="str">
        <f>IF($C120&lt;1,"",(AVERAGEIFS('09월 화학성분'!V$12:V$949,'09월 화학성분'!$A$12:$A$949,$A120,'09월 화학성분'!$D$12:$D$949,$B120)))</f>
        <v/>
      </c>
      <c r="AE120" s="829" t="str">
        <f>IF($C120&lt;1,"",(AVERAGEIFS('09월 화학성분'!W$12:W$949,'09월 화학성분'!$A$12:$A$949,$A120,'09월 화학성분'!$D$12:$D$949,$B120)))</f>
        <v/>
      </c>
      <c r="AF120" s="829" t="str">
        <f>IF($C120&lt;1,"",(AVERAGEIFS('09월 화학성분'!AA$12:AA$949,'09월 화학성분'!$A$12:$A$949,$A120,'09월 화학성분'!$D$12:$D$949,$B120)))</f>
        <v/>
      </c>
      <c r="AG120" s="829" t="str">
        <f>IF($C120&lt;1,"",(AVERAGEIFS('09월 화학성분'!#REF!,'09월 화학성분'!$A$12:$A$949,$A120,'09월 화학성분'!$D$12:$D$949,$B120)))</f>
        <v/>
      </c>
      <c r="AH120" s="829" t="str">
        <f>IF($C120&lt;1,"",(AVERAGEIFS('09월 화학성분'!AB$12:AB$949,'09월 화학성분'!$A$12:$A$949,$A120,'09월 화학성분'!$D$12:$D$949,$B120)))</f>
        <v/>
      </c>
      <c r="AI120" s="829" t="str">
        <f>IF($C120&lt;1,"",(AVERAGEIFS('09월 화학성분'!AC$12:AC$949,'09월 화학성분'!$A$12:$A$949,$A120,'09월 화학성분'!$D$12:$D$949,$B120)))</f>
        <v/>
      </c>
      <c r="AJ120" s="829" t="str">
        <f>IF($C120&lt;1,"",(AVERAGEIFS('09월 화학성분'!AD$12:AD$949,'09월 화학성분'!$A$12:$A$949,$A120,'09월 화학성분'!$D$12:$D$949,$B120)))</f>
        <v/>
      </c>
      <c r="AK120" s="829" t="str">
        <f>IF($C120&lt;1,"",(AVERAGEIFS('09월 화학성분'!AF$12:AF$949,'09월 화학성분'!$A$12:$A$949,$A120,'09월 화학성분'!$D$12:$D$949,$B120)))</f>
        <v/>
      </c>
      <c r="AL120" s="829" t="str">
        <f>IF($C120&lt;1,"",(AVERAGEIFS('09월 화학성분'!AG$12:AG$949,'09월 화학성분'!$A$12:$A$949,$A120,'09월 화학성분'!$D$12:$D$949,$B120)))</f>
        <v/>
      </c>
      <c r="AM120" s="829" t="str">
        <f>IF($C120&lt;1,"",(AVERAGEIFS('09월 화학성분'!AH$12:AH$949,'09월 화학성분'!$A$12:$A$949,$A120,'09월 화학성분'!$D$12:$D$949,$B120)))</f>
        <v/>
      </c>
      <c r="AN120" s="829" t="str">
        <f>IF($C120&lt;1,"",(AVERAGEIFS('09월 화학성분'!AI$12:AI$949,'09월 화학성분'!$A$12:$A$949,$A120,'09월 화학성분'!$D$12:$D$949,$B120)))</f>
        <v/>
      </c>
      <c r="AO120" s="829" t="str">
        <f>IF($C120&lt;1,"",(AVERAGEIFS('09월 화학성분'!AJ$12:AJ$949,'09월 화학성분'!$A$12:$A$949,$A120,'09월 화학성분'!$D$12:$D$949,$B120)))</f>
        <v/>
      </c>
      <c r="AP120" s="829" t="str">
        <f>IF($C120&lt;1,"",(AVERAGEIFS('09월 화학성분'!#REF!,'09월 화학성분'!$A$12:$A$949,$A120,'09월 화학성분'!$D$12:$D$949,$B120)))</f>
        <v/>
      </c>
      <c r="AQ120" s="829" t="str">
        <f>IF($C120&lt;1,"",(AVERAGEIFS('09월 화학성분'!AL$12:AL$949,'09월 화학성분'!$A$12:$A$949,$A120,'09월 화학성분'!$D$12:$D$949,$B120)))</f>
        <v/>
      </c>
      <c r="AR120" s="829" t="str">
        <f>IF($C120&lt;1,"",(AVERAGEIFS('09월 화학성분'!AM$12:AM$949,'09월 화학성분'!$A$12:$A$949,$A120,'09월 화학성분'!$D$12:$D$949,$B120)))</f>
        <v/>
      </c>
      <c r="AS120" s="830" t="str">
        <f>IF($C120&lt;1,"",(AVERAGEIFS('09월 화학성분'!AN$12:AN$949,'09월 화학성분'!$A$12:$A$949,$A120,'09월 화학성분'!$D$12:$D$949,$B120)))</f>
        <v/>
      </c>
      <c r="AT120" s="830" t="str">
        <f>IF($C120&lt;1,"",(AVERAGEIFS('09월 화학성분'!AO$12:AO$949,'09월 화학성분'!$A$12:$A$949,$A120,'09월 화학성분'!$D$12:$D$949,$B120)))</f>
        <v/>
      </c>
      <c r="AU120" s="831" t="str">
        <f>IF($C120&lt;1,"",(AVERAGEIFS('09월 화학성분'!AP$12:AP$949,'09월 화학성분'!$A$12:$A$949,$A120,'09월 화학성분'!$D$12:$D$949,$B120)))</f>
        <v/>
      </c>
      <c r="AV120" s="832" t="str">
        <f>IF($C120&lt;1,"",(AVERAGEIFS('09월 고철장입'!G$14:G$949,'09월 고철장입'!$A$14:$A$949,$A120,'09월 고철장입'!$C$14:$C$949,$B120))/1000)</f>
        <v/>
      </c>
      <c r="AW120" s="832" t="str">
        <f>IF($C120&lt;1,"",(AVERAGEIFS('09월 고철장입'!H$14:H$949,'09월 고철장입'!$A$14:$A$949,$A120,'09월 고철장입'!$C$14:$C$949,$B120))/1000)</f>
        <v/>
      </c>
      <c r="AX120" s="832" t="str">
        <f>IF($C120&lt;1,"",(AVERAGEIFS('09월 고철장입'!I$14:I$949,'09월 고철장입'!$A$14:$A$949,$A120,'09월 고철장입'!$C$14:$C$949,$B120))/1000)</f>
        <v/>
      </c>
      <c r="AY120" s="832" t="str">
        <f>IF($C120&lt;1,"",(AVERAGEIFS('09월 고철장입'!J$14:J$949,'09월 고철장입'!$A$14:$A$949,$A120,'09월 고철장입'!$C$14:$C$949,$B120))/1000)</f>
        <v/>
      </c>
      <c r="AZ120" s="832" t="str">
        <f>IF($C120&lt;1,"",(AVERAGEIFS('09월 고철장입'!K$14:K$949,'09월 고철장입'!$A$14:$A$949,$A120,'09월 고철장입'!$C$14:$C$949,$B120))/1000)</f>
        <v/>
      </c>
      <c r="BA120" s="832" t="str">
        <f>IF($C120&lt;1,"",(AVERAGEIFS('09월 고철장입'!L$14:L$949,'09월 고철장입'!$A$14:$A$949,$A120,'09월 고철장입'!$C$14:$C$949,$B120))/1000)</f>
        <v/>
      </c>
      <c r="BB120" s="832" t="str">
        <f>IF($C120&lt;1,"",(AVERAGEIFS('09월 고철장입'!M$14:M$949,'09월 고철장입'!$A$14:$A$949,$A120,'09월 고철장입'!$C$14:$C$949,$B120))/1000)</f>
        <v/>
      </c>
      <c r="BC120" s="832" t="str">
        <f>IF($C120&lt;1,"",(AVERAGEIFS('09월 고철장입'!N$14:N$949,'09월 고철장입'!$A$14:$A$949,$A120,'09월 고철장입'!$C$14:$C$949,$B120))/1000)</f>
        <v/>
      </c>
      <c r="BD120" s="832" t="str">
        <f>IF($C120&lt;1,"",(AVERAGEIFS('09월 고철장입'!O$14:O$949,'09월 고철장입'!$A$14:$A$949,$A120,'09월 고철장입'!$C$14:$C$949,$B120))/1000)</f>
        <v/>
      </c>
      <c r="BE120" s="833" t="str">
        <f>IF($C120&lt;1,"",(AVERAGEIFS('09월 고철장입'!P$14:P$949,'09월 고철장입'!$A$14:$A$949,$A120,'09월 고철장입'!$C$14:$C$949,$B120))/1000)</f>
        <v/>
      </c>
      <c r="BF120" s="833" t="str">
        <f>IF($C120&lt;1,"",(AVERAGEIFS('09월 고철장입'!Q$14:Q$949,'09월 고철장입'!$A$14:$A$949,$A120,'09월 고철장입'!$C$14:$C$949,$B120))/1000)</f>
        <v/>
      </c>
      <c r="BG120" s="833" t="str">
        <f>IF($C120&lt;1,"",(AVERAGEIFS('09월 고철장입'!S$14:S$949,'09월 고철장입'!$A$14:$A$949,$A120,'09월 고철장입'!$C$14:$C$949,$B120))/1000)</f>
        <v/>
      </c>
      <c r="BH120" s="833" t="str">
        <f>IF($C120&lt;1,"",(AVERAGEIFS('09월 고철장입'!T$14:T$949,'09월 고철장입'!$A$14:$A$949,$A120,'09월 고철장입'!$C$14:$C$949,$B120))/1000)</f>
        <v/>
      </c>
      <c r="BI120" s="833" t="str">
        <f>IF($C120&lt;1,"",(AVERAGEIFS('09월 고철장입'!U$14:U$949,'09월 고철장입'!$A$14:$A$949,$A120,'09월 고철장입'!$C$14:$C$949,$B120))/1000)</f>
        <v/>
      </c>
      <c r="BJ120" s="833" t="str">
        <f>IF($C120&lt;1,"",(AVERAGEIFS('09월 고철장입'!V$14:V$949,'09월 고철장입'!$A$14:$A$949,$A120,'09월 고철장입'!$C$14:$C$949,$B120))/1000)</f>
        <v/>
      </c>
      <c r="BK120" s="833" t="str">
        <f>IF($C120&lt;1,"",(AVERAGEIFS('09월 고철장입'!W$14:W$949,'09월 고철장입'!$A$14:$A$949,$A120,'09월 고철장입'!$C$14:$C$949,$B120))/1000)</f>
        <v/>
      </c>
      <c r="BL120" s="833" t="str">
        <f>IF($C120&lt;1,"",(AVERAGEIFS('09월 고철장입'!Y$14:Y$949,'09월 고철장입'!$A$14:$A$949,$A120,'09월 고철장입'!$C$14:$C$949,$B120))/1000)</f>
        <v/>
      </c>
      <c r="BM120" s="833" t="str">
        <f>IF($C120&lt;1,"",(AVERAGEIFS('09월 고철장입'!AB$14:AB$949,'09월 고철장입'!$A$14:$A$949,$A120,'09월 고철장입'!$C$14:$C$949,$B120))/1000)</f>
        <v/>
      </c>
      <c r="BN120" s="833" t="str">
        <f>IF($C120&lt;1,"",(AVERAGEIFS('09월 고철장입'!AC$14:AC$949,'09월 고철장입'!$A$14:$A$949,$A120,'09월 고철장입'!$C$14:$C$949,$B120))/1000)</f>
        <v/>
      </c>
      <c r="BO120" s="833" t="str">
        <f>IF($C120&lt;1,"",(AVERAGEIFS('09월 고철장입'!AD$14:AD$949,'09월 고철장입'!$A$14:$A$949,$A120,'09월 고철장입'!$C$14:$C$949,$B120))/1000)</f>
        <v/>
      </c>
      <c r="BP120" s="833" t="str">
        <f>IF($C120&lt;1,"",(AVERAGEIFS('09월 고철장입'!AE$14:AE$949,'09월 고철장입'!$A$14:$A$949,$A120,'09월 고철장입'!$C$14:$C$949,$B120))/1000)</f>
        <v/>
      </c>
      <c r="BQ120" s="832" t="str">
        <f>IF($C120&lt;1,"",(AVERAGEIFS('09월 고철장입'!AF$14:AF$949,'09월 고철장입'!$A$14:$A$949,$A120,'09월 고철장입'!$C$14:$C$949,$B120))/1000)</f>
        <v/>
      </c>
      <c r="BR120" s="832" t="str">
        <f>IF($C120&lt;1,"",(AVERAGEIFS('09월 고철장입'!AG$14:AG$949,'09월 고철장입'!$A$14:$A$949,$A120,'09월 고철장입'!$C$14:$C$949,$B120))/1000)</f>
        <v/>
      </c>
      <c r="BS120" s="832" t="str">
        <f>IF($C120&lt;1,"",(AVERAGEIFS('09월 고철장입'!AH$14:AH$949,'09월 고철장입'!$A$14:$A$949,$A120,'09월 고철장입'!$C$14:$C$949,$B120))/1000)</f>
        <v/>
      </c>
      <c r="BT120" s="832" t="str">
        <f>IF($C120&lt;1,"",(AVERAGEIFS('09월 고철장입'!AI$14:AI$949,'09월 고철장입'!$A$14:$A$949,$A120,'09월 고철장입'!$C$14:$C$949,$B120))/1000)</f>
        <v/>
      </c>
      <c r="BU120" s="834" t="str">
        <f>IF($C120&lt;1,"",(AVERAGEIFS('09월 고철장입'!AJ$14:AJ$949,'09월 고철장입'!$A$14:$A$949,$A120,'09월 고철장입'!$C$14:$C$949,$B120))/1000)</f>
        <v/>
      </c>
      <c r="BV120" s="834" t="str">
        <f>IF($C120&lt;1,"",(AVERAGEIFS('09월 고철장입'!AK$14:AK$949,'09월 고철장입'!$A$14:$A$949,$A120,'09월 고철장입'!$C$14:$C$949,$B120)))</f>
        <v/>
      </c>
      <c r="BW120" s="834" t="str">
        <f>IF($C120&lt;1,"",(AVERAGEIFS('09월 고철장입'!AL$14:AL$949,'09월 고철장입'!$A$14:$A$949,$A120,'09월 고철장입'!$C$14:$C$949,$B120))*100)</f>
        <v/>
      </c>
      <c r="BX120" s="831" t="str">
        <f>IF($C120&lt;1,"",(AVERAGEIFS('09월 에너지'!G$14:G$949,'09월 에너지'!$A$14:$A$949,$A120,'09월 에너지'!$C$14:$C$949,$B120)))</f>
        <v/>
      </c>
      <c r="BY120" s="835" t="str">
        <f>IF($C120&lt;1,"",(AVERAGEIFS('09월 에너지'!H$14:H$949,'09월 에너지'!$A$14:$A$949,$A120,'09월 에너지'!$C$14:$C$949,$B120)))</f>
        <v/>
      </c>
      <c r="BZ120" s="831" t="str">
        <f>IF($C120&lt;1,"",(AVERAGEIFS('09월 에너지'!I$14:I$949,'09월 에너지'!$A$14:$A$949,$A120,'09월 에너지'!$C$14:$C$949,$B120)))</f>
        <v/>
      </c>
      <c r="CA120" s="835" t="str">
        <f>IF($C120&lt;1,"",(AVERAGEIFS('09월 에너지'!J$14:J$949,'09월 에너지'!$A$14:$A$949,$A120,'09월 에너지'!$C$14:$C$949,$B120)))</f>
        <v/>
      </c>
      <c r="CB120" s="831" t="str">
        <f>IF($C120&lt;1,"",(AVERAGEIFS('09월 에너지'!K$14:K$949,'09월 에너지'!$A$14:$A$949,$A120,'09월 에너지'!$C$14:$C$949,$B120)))</f>
        <v/>
      </c>
      <c r="CC120" s="835" t="str">
        <f>IF($C120&lt;1,"",(AVERAGEIFS('09월 에너지'!L$14:L$949,'09월 에너지'!$A$14:$A$949,$A120,'09월 에너지'!$C$14:$C$949,$B120)))</f>
        <v/>
      </c>
      <c r="CD120" s="831" t="str">
        <f>IF($C120&lt;1,"",(AVERAGEIFS('09월 에너지'!M$14:M$949,'09월 에너지'!$A$14:$A$949,$A120,'09월 에너지'!$C$14:$C$949,$B120)))</f>
        <v/>
      </c>
      <c r="CE120" s="835" t="str">
        <f>IF($C120&lt;1,"",(AVERAGEIFS('09월 에너지'!N$14:N$949,'09월 에너지'!$A$14:$A$949,$A120,'09월 에너지'!$C$14:$C$949,$B120)))</f>
        <v/>
      </c>
      <c r="CF120" s="831" t="str">
        <f>IF($C120&lt;1,"",(AVERAGEIFS('09월 에너지'!O$14:O$949,'09월 에너지'!$A$14:$A$949,$A120,'09월 에너지'!$C$14:$C$949,$B120)))</f>
        <v/>
      </c>
      <c r="CG120" s="831" t="str">
        <f>IF($C120&lt;1,"",(AVERAGEIFS('09월 에너지'!P$14:P$949,'09월 에너지'!$A$14:$A$949,$A120,'09월 에너지'!$C$14:$C$949,$B120)))</f>
        <v/>
      </c>
      <c r="CH120" s="831" t="str">
        <f>IF($C120&lt;1,"",(AVERAGEIFS('09월 에너지'!Q$14:Q$949,'09월 에너지'!$A$14:$A$949,$A120,'09월 에너지'!$C$14:$C$949,$B120)))</f>
        <v/>
      </c>
      <c r="CI120" s="831" t="str">
        <f>IF($C120&lt;1,"",(AVERAGEIFS('09월 에너지'!R$14:R$949,'09월 에너지'!$A$14:$A$949,$A120,'09월 에너지'!$C$14:$C$949,$B120)))</f>
        <v/>
      </c>
      <c r="CJ120" s="831" t="str">
        <f>IF($C120&lt;1,"",(AVERAGEIFS('09월 에너지'!S$14:S$949,'09월 에너지'!$A$14:$A$949,$A120,'09월 에너지'!$C$14:$C$949,$B120)))</f>
        <v/>
      </c>
      <c r="CK120" s="831" t="str">
        <f>IF($C120&lt;1,"",(AVERAGEIFS('09월 에너지'!T$14:T$949,'09월 에너지'!$A$14:$A$949,$A120,'09월 에너지'!$C$14:$C$949,$B120)))</f>
        <v/>
      </c>
      <c r="CL120" s="831" t="str">
        <f>IF($C120&lt;1,"",(AVERAGEIFS('09월 에너지'!U$14:U$949,'09월 에너지'!$A$14:$A$949,$A120,'09월 에너지'!$C$14:$C$949,$B120)))</f>
        <v/>
      </c>
      <c r="CM120" s="835" t="str">
        <f>IF($C120&lt;1,"",(AVERAGEIFS('09월 에너지'!V$14:V$949,'09월 에너지'!$A$14:$A$949,$A120,'09월 에너지'!$C$14:$C$949,$B120)))</f>
        <v/>
      </c>
      <c r="CN120" s="835" t="str">
        <f>IF($C120&lt;1,"",(AVERAGEIFS('09월 에너지'!W$14:W$949,'09월 에너지'!$A$14:$A$949,$A120,'09월 에너지'!$C$14:$C$949,$B120)))</f>
        <v/>
      </c>
      <c r="CO120" s="831" t="str">
        <f>IF($C120&lt;1,"",(AVERAGEIFS('09월 에너지'!X$14:X$949,'09월 에너지'!$A$14:$A$949,$A120,'09월 에너지'!$C$14:$C$949,$B120)))</f>
        <v/>
      </c>
      <c r="CP120" s="835" t="str">
        <f>IF($C120&lt;1,"",(AVERAGEIFS('09월 에너지'!Y$14:Y$949,'09월 에너지'!$A$14:$A$949,$A120,'09월 에너지'!$C$14:$C$949,$B120)))</f>
        <v/>
      </c>
      <c r="CQ120" s="835" t="str">
        <f>IF($C120&lt;1,"",(AVERAGEIFS('09월 에너지'!Z$14:Z$949,'09월 에너지'!$A$14:$A$949,$A120,'09월 에너지'!$C$14:$C$949,$B120)))</f>
        <v/>
      </c>
      <c r="CR120" s="835" t="str">
        <f>IF($C120&lt;1,"",(AVERAGEIFS('09월 에너지'!AA$14:AA$949,'09월 에너지'!$A$14:$A$949,$A120,'09월 에너지'!$C$14:$C$949,$B120)))</f>
        <v/>
      </c>
      <c r="CS120" s="835" t="str">
        <f>IF($C120&lt;1,"",(AVERAGEIFS('09월 에너지'!AB$14:AB$949,'09월 에너지'!$A$14:$A$949,$A120,'09월 에너지'!$C$14:$C$949,$B120)))</f>
        <v/>
      </c>
      <c r="CT120" s="831" t="str">
        <f>IF($C120&lt;1,"",(AVERAGEIFS('09월 에너지'!AC$14:AC$949,'09월 에너지'!$A$14:$A$949,$A120,'09월 에너지'!$C$14:$C$949,$B120)))</f>
        <v/>
      </c>
      <c r="CU120" s="836" t="str">
        <f>IF($C120&lt;1,"",(AVERAGEIFS('09월 에너지'!AD$14:AD$949,'09월 에너지'!$A$14:$A$949,$A120,'09월 에너지'!$C$14:$C$949,$B120)))</f>
        <v/>
      </c>
      <c r="CV120" s="837" t="str">
        <f>IF($C120&lt;1,"",(AVERAGEIFS('09월 에너지'!AE$14:AE$949,'09월 에너지'!$A$14:$A$949,$A120,'09월 에너지'!$C$14:$C$949,$B120)))</f>
        <v/>
      </c>
      <c r="CW120" s="831" t="str">
        <f>IF($C120&lt;1,"",(AVERAGEIFS('09월 에너지'!AF$14:AF$949,'09월 에너지'!$A$14:$A$949,$A120,'09월 에너지'!$C$14:$C$949,$B120)))</f>
        <v/>
      </c>
      <c r="CX120" s="831" t="str">
        <f>IF($C120&lt;1,"",(AVERAGEIFS('09월 에너지'!AG$14:AG$949,'09월 에너지'!$A$14:$A$949,$A120,'09월 에너지'!$C$14:$C$949,$B120)))</f>
        <v/>
      </c>
      <c r="CY120" s="831" t="str">
        <f>IF($C120&lt;1,"",(AVERAGEIFS('09월 에너지'!AH$14:AH$949,'09월 에너지'!$A$14:$A$949,$A120,'09월 에너지'!$C$14:$C$949,$B120)))</f>
        <v/>
      </c>
      <c r="CZ120" s="831" t="str">
        <f>IF($C120&lt;1,"",(AVERAGEIFS('09월 에너지'!AI$14:AI$949,'09월 에너지'!$A$14:$A$949,$A120,'09월 에너지'!$C$14:$C$949,$B120)))</f>
        <v/>
      </c>
      <c r="DA120" s="838" t="str">
        <f>IF($C120&lt;1,"",(AVERAGEIFS('09월 에너지'!AJ$14:AJ$949,'09월 에너지'!$A$14:$A$949,$A120,'09월 에너지'!$C$14:$C$949,$B120)))</f>
        <v/>
      </c>
    </row>
    <row r="121" spans="1:105" ht="13.5" customHeight="1">
      <c r="A121" s="847">
        <f>A116+1</f>
        <v>44950</v>
      </c>
      <c r="B121" s="848" t="s">
        <v>31</v>
      </c>
      <c r="C121" s="810">
        <f>COUNTIF('09월 조업일지'!$A$12:$A$952,A121)</f>
        <v>0</v>
      </c>
      <c r="D121" s="787" t="str">
        <f>IF(C121&lt;1,"",F121-E121)</f>
        <v/>
      </c>
      <c r="E121" s="787" t="str">
        <f>IF($C121&lt;1,"",(SUMIF('09월 조업일지'!$A$12:$A$952,$A121,'09월 조업일지'!$K$12:$K$952))/C121)</f>
        <v/>
      </c>
      <c r="F121" s="787" t="str">
        <f>IF($C121&lt;1,"",AVERAGEIF('09월 조업일지'!$A$12:$A$952,$A121,'09월 조업일지'!$J$12:$J$952))</f>
        <v/>
      </c>
      <c r="G121" s="811" t="str">
        <f>IF($C121&lt;1,"",AVERAGEIF('09월 에너지'!$A$14:$A$949,$A121,'09월 에너지'!$M$14:M$949))</f>
        <v/>
      </c>
      <c r="H121" s="812" t="str">
        <f>IF($C121&lt;1,"",AVERAGEIF('09월 조업일지'!$A$12:$A$952,$A121,'09월 조업일지'!$AJ$12:$AJ$952))</f>
        <v/>
      </c>
      <c r="I121" s="812" t="str">
        <f>IF($C121&lt;1,"",AVERAGEIF('09월 조업일지'!$A$12:$A$952,$A121,'09월 조업일지'!$AL$12:$AL$952))</f>
        <v/>
      </c>
      <c r="J121" s="813" t="str">
        <f>IF($C121&lt;1,"",AVERAGEIF('09월 화학성분'!$A$12:$A$949,$A121,'09월 화학성분'!G$12:G$949))</f>
        <v/>
      </c>
      <c r="K121" s="813" t="str">
        <f>IF($C121&lt;1,"",AVERAGEIF('09월 화학성분'!$A$12:$A$949,$A121,'09월 화학성분'!H$12:H$949))</f>
        <v/>
      </c>
      <c r="L121" s="813" t="str">
        <f>IF($C121&lt;1,"",AVERAGEIF('09월 화학성분'!$A$12:$A$949,$A121,'09월 화학성분'!I$12:I$949))</f>
        <v/>
      </c>
      <c r="M121" s="813" t="str">
        <f>IF($C121&lt;1,"",AVERAGEIF('09월 화학성분'!$A$12:$A$949,$A121,'09월 화학성분'!J$12:J$949))</f>
        <v/>
      </c>
      <c r="N121" s="813" t="str">
        <f>IF($C121&lt;1,"",AVERAGEIF('09월 화학성분'!$A$12:$A$949,$A121,'09월 화학성분'!K$12:K$949))</f>
        <v/>
      </c>
      <c r="O121" s="813" t="str">
        <f>IF($C121&lt;1,"",AVERAGEIF('09월 화학성분'!$A$12:$A$949,$A121,'09월 화학성분'!L$12:L$949))</f>
        <v/>
      </c>
      <c r="P121" s="813" t="str">
        <f>IF($C121&lt;1,"",AVERAGEIF('09월 화학성분'!$A$12:$A$949,$A121,'09월 화학성분'!M$12:M$949))</f>
        <v/>
      </c>
      <c r="Q121" s="814" t="str">
        <f>IF($C121&lt;1,"",AVERAGEIF('09월 조업일지'!$A$12:$A$952,$A121,'09월 조업일지'!$AA$12:$AA$952))</f>
        <v/>
      </c>
      <c r="R121" s="814" t="str">
        <f>IF($C121&lt;1,"",AVERAGEIF('09월 조업일지'!$A$12:$A$952,$A121,'09월 조업일지'!$AK$12:$AK$952))</f>
        <v/>
      </c>
      <c r="S121" s="814"/>
      <c r="T121" s="814"/>
      <c r="U121" s="813" t="str">
        <f>IF($C121&lt;1,"",AVERAGEIF('09월 화학성분'!$A$12:$A$949,$A121,'09월 화학성분'!$G$12:$G$949))</f>
        <v/>
      </c>
      <c r="V121" s="814" t="str">
        <f>IF($C121&lt;1,"",AVERAGEIF('09월 조업일지'!$A$12:$A$952,$A121,'09월 조업일지'!$AI$12:$AI$952))</f>
        <v/>
      </c>
      <c r="W121" s="813" t="str">
        <f>IF($C121&lt;1,"",AVERAGEIF('09월 화학성분'!$A$12:$A$949,$A121,'09월 화학성분'!$AM$12:$AM$949))</f>
        <v/>
      </c>
      <c r="X121" s="815" t="str">
        <f>IF($C121&lt;1,"",AVERAGEIF('09월 화학성분'!$A$12:$A$949,$A121,'09월 화학성분'!N$12:N$949))</f>
        <v/>
      </c>
      <c r="Y121" s="815" t="str">
        <f>IF($C121&lt;1,"",AVERAGEIF('09월 화학성분'!$A$12:$A$949,$A121,'09월 화학성분'!O$12:O$949))</f>
        <v/>
      </c>
      <c r="Z121" s="815" t="str">
        <f>IF($C121&lt;1,"",AVERAGEIF('09월 화학성분'!$A$12:$A$949,$A121,'09월 화학성분'!P$12:P$949))</f>
        <v/>
      </c>
      <c r="AA121" s="815" t="str">
        <f>IF($C121&lt;1,"",AVERAGEIF('09월 화학성분'!$A$12:$A$949,$A121,'09월 화학성분'!Q$12:Q$949))</f>
        <v/>
      </c>
      <c r="AB121" s="815" t="str">
        <f>IF($C121&lt;1,"",AVERAGEIF('09월 화학성분'!$A$12:$A$949,$A121,'09월 화학성분'!R$12:R$949))</f>
        <v/>
      </c>
      <c r="AC121" s="815" t="str">
        <f>IF($C121&lt;1,"",AVERAGEIF('09월 화학성분'!$A$12:$A$949,$A121,'09월 화학성분'!U$12:U$949))</f>
        <v/>
      </c>
      <c r="AD121" s="815" t="str">
        <f>IF($C121&lt;1,"",AVERAGEIF('09월 화학성분'!$A$12:$A$949,$A121,'09월 화학성분'!V$12:V$949))</f>
        <v/>
      </c>
      <c r="AE121" s="815" t="str">
        <f>IF($C121&lt;1,"",AVERAGEIF('09월 화학성분'!$A$12:$A$949,$A121,'09월 화학성분'!W$12:W$949))</f>
        <v/>
      </c>
      <c r="AF121" s="815" t="str">
        <f>IF($C121&lt;1,"",AVERAGEIF('09월 화학성분'!$A$12:$A$949,$A121,'09월 화학성분'!AA$12:AA$949))</f>
        <v/>
      </c>
      <c r="AG121" s="815" t="str">
        <f>IF($C121&lt;1,"",AVERAGEIF('09월 화학성분'!$A$12:$A$949,$A121,'09월 화학성분'!#REF!))</f>
        <v/>
      </c>
      <c r="AH121" s="815" t="str">
        <f>IF($C121&lt;1,"",AVERAGEIF('09월 화학성분'!$A$12:$A$949,$A121,'09월 화학성분'!AB$12:AB$949))</f>
        <v/>
      </c>
      <c r="AI121" s="815" t="str">
        <f>IF($C121&lt;1,"",AVERAGEIF('09월 화학성분'!$A$12:$A$949,$A121,'09월 화학성분'!AC$12:AC$949))</f>
        <v/>
      </c>
      <c r="AJ121" s="815" t="str">
        <f>IF($C121&lt;1,"",AVERAGEIF('09월 화학성분'!$A$12:$A$949,$A121,'09월 화학성분'!AD$12:AD$949))</f>
        <v/>
      </c>
      <c r="AK121" s="815" t="str">
        <f>IF($C121&lt;1,"",AVERAGEIF('09월 화학성분'!$A$12:$A$949,$A121,'09월 화학성분'!AF$12:AF$949))</f>
        <v/>
      </c>
      <c r="AL121" s="815" t="str">
        <f>IF($C121&lt;1,"",AVERAGEIF('09월 화학성분'!$A$12:$A$949,$A121,'09월 화학성분'!AG$12:AG$949))</f>
        <v/>
      </c>
      <c r="AM121" s="815" t="str">
        <f>IF($C121&lt;1,"",AVERAGEIF('09월 화학성분'!$A$12:$A$949,$A121,'09월 화학성분'!AH$12:AH$949))</f>
        <v/>
      </c>
      <c r="AN121" s="815" t="str">
        <f>IF($C121&lt;1,"",AVERAGEIF('09월 화학성분'!$A$12:$A$949,$A121,'09월 화학성분'!AI$12:AI$949))</f>
        <v/>
      </c>
      <c r="AO121" s="815" t="str">
        <f>IF($C121&lt;1,"",AVERAGEIF('09월 화학성분'!$A$12:$A$949,$A121,'09월 화학성분'!AJ$12:AJ$949))</f>
        <v/>
      </c>
      <c r="AP121" s="815" t="str">
        <f>IF($C121&lt;1,"",AVERAGEIF('09월 화학성분'!$A$12:$A$949,$A121,'09월 화학성분'!#REF!))</f>
        <v/>
      </c>
      <c r="AQ121" s="815" t="str">
        <f>IF($C121&lt;1,"",AVERAGEIF('09월 화학성분'!$A$12:$A$949,$A121,'09월 화학성분'!AL$12:AL$949))</f>
        <v/>
      </c>
      <c r="AR121" s="815" t="str">
        <f>IF($C121&lt;1,"",AVERAGEIF('09월 화학성분'!$A$12:$A$949,$A121,'09월 화학성분'!AM$12:AM$949))</f>
        <v/>
      </c>
      <c r="AS121" s="816" t="str">
        <f>IF($C121&lt;1,"",AVERAGEIF('09월 화학성분'!$A$12:$A$949,$A121,'09월 화학성분'!AN$12:AN$949))</f>
        <v/>
      </c>
      <c r="AT121" s="816" t="str">
        <f>IF($C121&lt;1,"",AVERAGEIF('09월 화학성분'!$A$12:$A$949,$A121,'09월 화학성분'!AO$12:AO$949))</f>
        <v/>
      </c>
      <c r="AU121" s="815" t="str">
        <f>IF($C121&lt;1,"",AVERAGEIF('09월 화학성분'!$A$12:$A$949,$A121,'09월 화학성분'!AP$12:AP$949))</f>
        <v/>
      </c>
      <c r="AV121" s="815" t="str">
        <f>IF($C121&lt;1,"",AVERAGEIF('09월 고철장입'!$A$14:$A$949,$A121,'09월 고철장입'!G$14:G$949)/1000)</f>
        <v/>
      </c>
      <c r="AW121" s="815" t="str">
        <f>IF($C121&lt;1,"",AVERAGEIF('09월 고철장입'!$A$14:$A$949,$A121,'09월 고철장입'!H$14:H$949)/1000)</f>
        <v/>
      </c>
      <c r="AX121" s="815" t="str">
        <f>IF($C121&lt;1,"",AVERAGEIF('09월 고철장입'!$A$14:$A$949,$A121,'09월 고철장입'!I$14:I$949)/1000)</f>
        <v/>
      </c>
      <c r="AY121" s="815" t="str">
        <f>IF($C121&lt;1,"",AVERAGEIF('09월 고철장입'!$A$14:$A$949,$A121,'09월 고철장입'!J$14:J$949)/1000)</f>
        <v/>
      </c>
      <c r="AZ121" s="815" t="str">
        <f>IF($C121&lt;1,"",AVERAGEIF('09월 고철장입'!$A$14:$A$949,$A121,'09월 고철장입'!K$14:K$949)/1000)</f>
        <v/>
      </c>
      <c r="BA121" s="815" t="str">
        <f>IF($C121&lt;1,"",AVERAGEIF('09월 고철장입'!$A$14:$A$949,$A121,'09월 고철장입'!L$14:L$949)/1000)</f>
        <v/>
      </c>
      <c r="BB121" s="815" t="str">
        <f>IF($C121&lt;1,"",AVERAGEIF('09월 고철장입'!$A$14:$A$949,$A121,'09월 고철장입'!M$14:M$949)/1000)</f>
        <v/>
      </c>
      <c r="BC121" s="815" t="str">
        <f>IF($C121&lt;1,"",AVERAGEIF('09월 고철장입'!$A$14:$A$949,$A121,'09월 고철장입'!N$14:N$949)/1000)</f>
        <v/>
      </c>
      <c r="BD121" s="815" t="str">
        <f>IF($C121&lt;1,"",AVERAGEIF('09월 고철장입'!$A$14:$A$949,$A121,'09월 고철장입'!O$14:O$949)/1000)</f>
        <v/>
      </c>
      <c r="BE121" s="815" t="str">
        <f>IF($C121&lt;1,"",AVERAGEIF('09월 고철장입'!$A$14:$A$949,$A121,'09월 고철장입'!P$14:P$949)/1000)</f>
        <v/>
      </c>
      <c r="BF121" s="815" t="str">
        <f>IF($C121&lt;1,"",AVERAGEIF('09월 고철장입'!$A$14:$A$949,$A121,'09월 고철장입'!Q$14:Q$949)/1000)</f>
        <v/>
      </c>
      <c r="BG121" s="815" t="str">
        <f>IF($C121&lt;1,"",AVERAGEIF('09월 고철장입'!$A$14:$A$949,$A121,'09월 고철장입'!S$14:S$949)/1000)</f>
        <v/>
      </c>
      <c r="BH121" s="815" t="str">
        <f>IF($C121&lt;1,"",AVERAGEIF('09월 고철장입'!$A$14:$A$949,$A121,'09월 고철장입'!T$14:T$949)/1000)</f>
        <v/>
      </c>
      <c r="BI121" s="815" t="str">
        <f>IF($C121&lt;1,"",AVERAGEIF('09월 고철장입'!$A$14:$A$949,$A121,'09월 고철장입'!U$14:U$949)/1000)</f>
        <v/>
      </c>
      <c r="BJ121" s="815" t="str">
        <f>IF($C121&lt;1,"",AVERAGEIF('09월 고철장입'!$A$14:$A$949,$A121,'09월 고철장입'!V$14:V$949)/1000)</f>
        <v/>
      </c>
      <c r="BK121" s="815" t="str">
        <f>IF($C121&lt;1,"",AVERAGEIF('09월 고철장입'!$A$14:$A$949,$A121,'09월 고철장입'!W$14:W$949)/1000)</f>
        <v/>
      </c>
      <c r="BL121" s="815" t="str">
        <f>IF($C121&lt;1,"",AVERAGEIF('09월 고철장입'!$A$14:$A$949,$A121,'09월 고철장입'!Y$14:Y$949)/1000)</f>
        <v/>
      </c>
      <c r="BM121" s="815" t="str">
        <f>IF($C121&lt;1,"",AVERAGEIF('09월 고철장입'!$A$14:$A$949,$A121,'09월 고철장입'!AB$14:AB$949)/1000)</f>
        <v/>
      </c>
      <c r="BN121" s="815" t="str">
        <f>IF($C121&lt;1,"",AVERAGEIF('09월 고철장입'!$A$14:$A$949,$A121,'09월 고철장입'!AC$14:AC$949)/1000)</f>
        <v/>
      </c>
      <c r="BO121" s="815" t="str">
        <f>IF($C121&lt;1,"",AVERAGEIF('09월 고철장입'!$A$14:$A$949,$A121,'09월 고철장입'!AD$14:AD$949)/1000)</f>
        <v/>
      </c>
      <c r="BP121" s="815" t="str">
        <f>IF($C121&lt;1,"",AVERAGEIF('09월 고철장입'!$A$14:$A$949,$A121,'09월 고철장입'!AE$14:AE$949)/1000)</f>
        <v/>
      </c>
      <c r="BQ121" s="815" t="str">
        <f>IF($C121&lt;1,"",AVERAGEIF('09월 고철장입'!$A$14:$A$949,$A121,'09월 고철장입'!AF$14:AF$949)/1000)</f>
        <v/>
      </c>
      <c r="BR121" s="815" t="str">
        <f>IF($C121&lt;1,"",AVERAGEIF('09월 고철장입'!$A$14:$A$949,$A121,'09월 고철장입'!AG$14:AG$949)/1000)</f>
        <v/>
      </c>
      <c r="BS121" s="815" t="str">
        <f>IF($C121&lt;1,"",AVERAGEIF('09월 고철장입'!$A$14:$A$949,$A121,'09월 고철장입'!AH$14:AH$949)/1000)</f>
        <v/>
      </c>
      <c r="BT121" s="815" t="str">
        <f>IF($C121&lt;1,"",AVERAGEIF('09월 고철장입'!$A$14:$A$949,$A121,'09월 고철장입'!AI$14:AI$949)/1000)</f>
        <v/>
      </c>
      <c r="BU121" s="815" t="str">
        <f>IF($C121&lt;1,"",AVERAGEIF('09월 고철장입'!$A$14:$A$949,$A121,'09월 고철장입'!AJ$14:AJ$949)/1000)</f>
        <v/>
      </c>
      <c r="BV121" s="815" t="str">
        <f>IF($C121&lt;1,"",AVERAGEIF('09월 고철장입'!$A$14:$A$949,$A121,'09월 고철장입'!AK$14:AK$949))</f>
        <v/>
      </c>
      <c r="BW121" s="815" t="str">
        <f>IF($C121&lt;1,"",AVERAGEIF('09월 고철장입'!$A$14:$A$949,$A121,'09월 고철장입'!AL$14:AL$949)*100)</f>
        <v/>
      </c>
      <c r="BX121" s="815" t="str">
        <f>IF($C121&lt;1,"",AVERAGEIF('09월 에너지'!$A$14:$A$949,$A121,'09월 에너지'!G$14:G$949))</f>
        <v/>
      </c>
      <c r="BY121" s="817" t="str">
        <f>IF($C121&lt;1,"",AVERAGEIF('09월 에너지'!$A$14:$A$949,$A121,'09월 에너지'!H$14:H$949))</f>
        <v/>
      </c>
      <c r="BZ121" s="815" t="str">
        <f>IF($C121&lt;1,"",AVERAGEIF('09월 에너지'!$A$14:$A$949,$A121,'09월 에너지'!I$14:I$949))</f>
        <v/>
      </c>
      <c r="CA121" s="817" t="str">
        <f>IF($C121&lt;1,"",AVERAGEIF('09월 에너지'!$A$14:$A$949,$A121,'09월 에너지'!J$14:J$949))</f>
        <v/>
      </c>
      <c r="CB121" s="815" t="str">
        <f>IF($C121&lt;1,"",AVERAGEIF('09월 에너지'!$A$14:$A$949,$A121,'09월 에너지'!K$14:K$949))</f>
        <v/>
      </c>
      <c r="CC121" s="817" t="str">
        <f>IF($C121&lt;1,"",AVERAGEIF('09월 에너지'!$A$14:$A$949,$A121,'09월 에너지'!L$14:L$949))</f>
        <v/>
      </c>
      <c r="CD121" s="815" t="str">
        <f>IF($C121&lt;1,"",AVERAGEIF('09월 에너지'!$A$14:$A$949,$A121,'09월 에너지'!M$14:M$949))</f>
        <v/>
      </c>
      <c r="CE121" s="817" t="str">
        <f>IF($C121&lt;1,"",AVERAGEIF('09월 에너지'!$A$14:$A$949,$A121,'09월 에너지'!N$14:N$949))</f>
        <v/>
      </c>
      <c r="CF121" s="815" t="str">
        <f>IF($C121&lt;1,"",AVERAGEIF('09월 에너지'!$A$14:$A$949,$A121,'09월 에너지'!O$14:O$949))</f>
        <v/>
      </c>
      <c r="CG121" s="815" t="str">
        <f>IF($C121&lt;1,"",AVERAGEIF('09월 에너지'!$A$14:$A$949,$A121,'09월 에너지'!P$14:P$949))</f>
        <v/>
      </c>
      <c r="CH121" s="815" t="str">
        <f>IF($C121&lt;1,"",AVERAGEIF('09월 에너지'!$A$14:$A$949,$A121,'09월 에너지'!Q$14:Q$949))</f>
        <v/>
      </c>
      <c r="CI121" s="815" t="str">
        <f>IF($C121&lt;1,"",AVERAGEIF('09월 에너지'!$A$14:$A$949,$A121,'09월 에너지'!R$14:R$949))</f>
        <v/>
      </c>
      <c r="CJ121" s="815" t="str">
        <f>IF($C121&lt;1,"",AVERAGEIF('09월 에너지'!$A$14:$A$949,$A121,'09월 에너지'!S$14:S$949))</f>
        <v/>
      </c>
      <c r="CK121" s="815" t="str">
        <f>IF($C121&lt;1,"",AVERAGEIF('09월 에너지'!$A$14:$A$949,$A121,'09월 에너지'!T$14:T$949))</f>
        <v/>
      </c>
      <c r="CL121" s="815" t="str">
        <f>IF($C121&lt;1,"",AVERAGEIF('09월 에너지'!$A$14:$A$949,$A121,'09월 에너지'!U$14:U$949))</f>
        <v/>
      </c>
      <c r="CM121" s="817" t="str">
        <f>IF($C121&lt;1,"",AVERAGEIF('09월 에너지'!$A$14:$A$949,$A121,'09월 에너지'!V$14:V$949))</f>
        <v/>
      </c>
      <c r="CN121" s="817" t="str">
        <f>IF($C121&lt;1,"",AVERAGEIF('09월 에너지'!$A$14:$A$949,$A121,'09월 에너지'!W$14:W$949))</f>
        <v/>
      </c>
      <c r="CO121" s="815" t="str">
        <f>IF($C121&lt;1,"",AVERAGEIF('09월 에너지'!$A$14:$A$949,$A121,'09월 에너지'!X$14:X$949))</f>
        <v/>
      </c>
      <c r="CP121" s="817" t="str">
        <f>IF($C121&lt;1,"",AVERAGEIF('09월 에너지'!$A$14:$A$949,$A121,'09월 에너지'!Y$14:Y$949))</f>
        <v/>
      </c>
      <c r="CQ121" s="817" t="str">
        <f>IF($C121&lt;1,"",AVERAGEIF('09월 에너지'!$A$14:$A$949,$A121,'09월 에너지'!Z$14:Z$949))</f>
        <v/>
      </c>
      <c r="CR121" s="817" t="str">
        <f>IF($C121&lt;1,"",AVERAGEIF('09월 에너지'!$A$14:$A$949,$A121,'09월 에너지'!AA$14:AA$949))</f>
        <v/>
      </c>
      <c r="CS121" s="817" t="str">
        <f>IF($C121&lt;1,"",AVERAGEIF('09월 에너지'!$A$14:$A$949,$A121,'09월 에너지'!AB$14:AB$949))</f>
        <v/>
      </c>
      <c r="CT121" s="815" t="str">
        <f>IF($C121&lt;1,"",AVERAGEIF('09월 에너지'!$A$14:$A$949,$A121,'09월 에너지'!AC$14:AC$949))</f>
        <v/>
      </c>
      <c r="CU121" s="818" t="str">
        <f>IF($C121&lt;1,"",AVERAGEIF('09월 에너지'!$A$14:$A$949,$A121,'09월 에너지'!AD$14:AD$949))</f>
        <v/>
      </c>
      <c r="CV121" s="819" t="str">
        <f>IF($C121&lt;1,"",AVERAGEIF('09월 에너지'!$A$14:$A$949,$A121,'09월 에너지'!AE$14:AE$949))</f>
        <v/>
      </c>
      <c r="CW121" s="815" t="str">
        <f>IF($C121&lt;1,"",AVERAGEIF('09월 에너지'!$A$14:$A$949,$A121,'09월 에너지'!AF$14:AF$949))</f>
        <v/>
      </c>
      <c r="CX121" s="815" t="str">
        <f>IF($C121&lt;1,"",AVERAGEIF('09월 에너지'!$A$14:$A$949,$A121,'09월 에너지'!AG$14:AG$949))</f>
        <v/>
      </c>
      <c r="CY121" s="815" t="str">
        <f>IF($C121&lt;1,"",AVERAGEIF('09월 에너지'!$A$14:$A$949,$A121,'09월 에너지'!AH$14:AH$949))</f>
        <v/>
      </c>
      <c r="CZ121" s="815" t="str">
        <f>IF($C121&lt;1,"",AVERAGEIF('09월 에너지'!$A$14:$A$949,$A121,'09월 에너지'!AI$14:AI$949))</f>
        <v/>
      </c>
      <c r="DA121" s="820" t="str">
        <f>IF($C121&lt;1,"",AVERAGEIF('09월 에너지'!$A$14:$A$949,$A121,'09월 에너지'!AJ$14:AJ$949))</f>
        <v/>
      </c>
    </row>
    <row r="122" spans="1:105" ht="13.5" customHeight="1">
      <c r="A122" s="849">
        <f t="shared" si="20"/>
        <v>44950</v>
      </c>
      <c r="B122" s="850" t="s">
        <v>9</v>
      </c>
      <c r="C122" s="823">
        <f>COUNTIFS('09월 조업일지'!$A$12:$A$952,A121,'09월 조업일지'!$E$12:$E$952,B122)</f>
        <v>0</v>
      </c>
      <c r="D122" s="824" t="str">
        <f>IF(C122&lt;1,"",F122-E122)</f>
        <v/>
      </c>
      <c r="E122" s="824" t="str">
        <f>IF($C122&lt;1,"",(SUMIFS('09월 조업일지'!$K$12:$K$952,'09월 조업일지'!$A$12:$A$952,$A122,'09월 조업일지'!$E$12:$E$952,$B122)/$C122))</f>
        <v/>
      </c>
      <c r="F122" s="824" t="str">
        <f>IF($C122&lt;1,"",(AVERAGEIFS('09월 조업일지'!$J$12:$J$952,'09월 조업일지'!$A$12:$A$952,$A122,'09월 조업일지'!$E$12:$E$952,$B122)))</f>
        <v/>
      </c>
      <c r="G122" s="825" t="str">
        <f>IF($C122&lt;1,"",(AVERAGEIFS('09월 에너지'!$M$14:$M$949,'09월 에너지'!$A$14:$A$949,$A122,'09월 에너지'!$C$14:$C$949,$B122)))</f>
        <v/>
      </c>
      <c r="H122" s="826" t="str">
        <f>IF($C122&lt;1,"",(AVERAGEIFS('09월 조업일지'!$AJ$12:$AJ$952,'09월 조업일지'!$A$12:$A$952,$A122,'09월 조업일지'!$E$12:$E$952,$B122)))</f>
        <v/>
      </c>
      <c r="I122" s="826" t="str">
        <f>IF($C122&lt;1,"",(AVERAGEIFS('09월 조업일지'!$AL$12:$AL$952,'09월 조업일지'!$A$12:$A$952,$A122,'09월 조업일지'!$E$12:$E$952,$B122)))</f>
        <v/>
      </c>
      <c r="J122" s="827" t="str">
        <f>IF($C122&lt;1,"",(AVERAGEIFS('09월 화학성분'!G$12:G$949,'09월 화학성분'!$A$12:$A$949,$A122,'09월 화학성분'!$D$12:$D$949,$B122)))</f>
        <v/>
      </c>
      <c r="K122" s="827" t="str">
        <f>IF($C122&lt;1,"",(AVERAGEIFS('09월 화학성분'!H$12:H$949,'09월 화학성분'!$A$12:$A$949,$A122,'09월 화학성분'!$D$12:$D$949,$B122)))</f>
        <v/>
      </c>
      <c r="L122" s="827" t="str">
        <f>IF($C122&lt;1,"",(AVERAGEIFS('09월 화학성분'!I$12:I$949,'09월 화학성분'!$A$12:$A$949,$A122,'09월 화학성분'!$D$12:$D$949,$B122)))</f>
        <v/>
      </c>
      <c r="M122" s="827" t="str">
        <f>IF($C122&lt;1,"",(AVERAGEIFS('09월 화학성분'!J$12:J$949,'09월 화학성분'!$A$12:$A$949,$A122,'09월 화학성분'!$D$12:$D$949,$B122)))</f>
        <v/>
      </c>
      <c r="N122" s="827" t="str">
        <f>IF($C122&lt;1,"",(AVERAGEIFS('09월 화학성분'!K$12:K$949,'09월 화학성분'!$A$12:$A$949,$A122,'09월 화학성분'!$D$12:$D$949,$B122)))</f>
        <v/>
      </c>
      <c r="O122" s="827" t="str">
        <f>IF($C122&lt;1,"",(AVERAGEIFS('09월 화학성분'!L$12:L$949,'09월 화학성분'!$A$12:$A$949,$A122,'09월 화학성분'!$D$12:$D$949,$B122)))</f>
        <v/>
      </c>
      <c r="P122" s="827" t="str">
        <f>IF($C122&lt;1,"",(AVERAGEIFS('09월 화학성분'!M$12:M$949,'09월 화학성분'!$A$12:$A$949,$A122,'09월 화학성분'!$D$12:$D$949,$B122)))</f>
        <v/>
      </c>
      <c r="Q122" s="827" t="str">
        <f>IFERROR(IF($C122&lt;1,"",(AVERAGEIFS('09월 조업일지'!$AA$12:$AA$952,'09월 조업일지'!$A$12:$A$952,$A122,'09월 조업일지'!$E$12:$E$952,$B122))),"")</f>
        <v/>
      </c>
      <c r="R122" s="827" t="str">
        <f>IF($C122&lt;1,"",(AVERAGEIFS('09월 조업일지'!$AK$12:$AK$952,'09월 조업일지'!$A$12:$A$952,$A122,'09월 조업일지'!$E$12:$E$952,$B122)))</f>
        <v/>
      </c>
      <c r="S122" s="827"/>
      <c r="T122" s="827"/>
      <c r="U122" s="827" t="str">
        <f>IF($C122&lt;1,"",(AVERAGEIFS('09월 화학성분'!$G$12:$G$949,'09월 화학성분'!$A$12:$A$949,$A122,'09월 화학성분'!$D$12:$D$949,$B122)))</f>
        <v/>
      </c>
      <c r="V122" s="827" t="str">
        <f>IF($C122&lt;1,"",(AVERAGEIFS('09월 조업일지'!$AI$12:$AI$952,'09월 조업일지'!$A$12:$A$952,$A122,'09월 조업일지'!$E$12:$E$952,$B122)))</f>
        <v/>
      </c>
      <c r="W122" s="828" t="str">
        <f>IF($C122&lt;1,"",(AVERAGEIFS('09월 화학성분'!$AM$12:$AM$949,'09월 화학성분'!$A$12:$A$949,$A122,'09월 화학성분'!$D$12:$D$949,$B122)))</f>
        <v/>
      </c>
      <c r="X122" s="829" t="str">
        <f>IF($C122&lt;1,"",(AVERAGEIFS('09월 화학성분'!N$12:N$949,'09월 화학성분'!$A$12:$A$949,$A122,'09월 화학성분'!$D$12:$D$949,$B122)))</f>
        <v/>
      </c>
      <c r="Y122" s="829" t="str">
        <f>IF($C122&lt;1,"",(AVERAGEIFS('09월 화학성분'!O$12:O$949,'09월 화학성분'!$A$12:$A$949,$A122,'09월 화학성분'!$D$12:$D$949,$B122)))</f>
        <v/>
      </c>
      <c r="Z122" s="829" t="str">
        <f>IF($C122&lt;1,"",(AVERAGEIFS('09월 화학성분'!P$12:P$949,'09월 화학성분'!$A$12:$A$949,$A122,'09월 화학성분'!$D$12:$D$949,$B122)))</f>
        <v/>
      </c>
      <c r="AA122" s="829" t="str">
        <f>IF($C122&lt;1,"",(AVERAGEIFS('09월 화학성분'!Q$12:Q$949,'09월 화학성분'!$A$12:$A$949,$A122,'09월 화학성분'!$D$12:$D$949,$B122)))</f>
        <v/>
      </c>
      <c r="AB122" s="829" t="str">
        <f>IF($C122&lt;1,"",(AVERAGEIFS('09월 화학성분'!R$12:R$949,'09월 화학성분'!$A$12:$A$949,$A122,'09월 화학성분'!$D$12:$D$949,$B122)))</f>
        <v/>
      </c>
      <c r="AC122" s="829" t="str">
        <f>IF($C122&lt;1,"",(AVERAGEIFS('09월 화학성분'!U$12:U$949,'09월 화학성분'!$A$12:$A$949,$A122,'09월 화학성분'!$D$12:$D$949,$B122)))</f>
        <v/>
      </c>
      <c r="AD122" s="829" t="str">
        <f>IF($C122&lt;1,"",(AVERAGEIFS('09월 화학성분'!V$12:V$949,'09월 화학성분'!$A$12:$A$949,$A122,'09월 화학성분'!$D$12:$D$949,$B122)))</f>
        <v/>
      </c>
      <c r="AE122" s="829" t="str">
        <f>IF($C122&lt;1,"",(AVERAGEIFS('09월 화학성분'!W$12:W$949,'09월 화학성분'!$A$12:$A$949,$A122,'09월 화학성분'!$D$12:$D$949,$B122)))</f>
        <v/>
      </c>
      <c r="AF122" s="829" t="str">
        <f>IF($C122&lt;1,"",(AVERAGEIFS('09월 화학성분'!AA$12:AA$949,'09월 화학성분'!$A$12:$A$949,$A122,'09월 화학성분'!$D$12:$D$949,$B122)))</f>
        <v/>
      </c>
      <c r="AG122" s="829" t="str">
        <f>IF($C122&lt;1,"",(AVERAGEIFS('09월 화학성분'!#REF!,'09월 화학성분'!$A$12:$A$949,$A122,'09월 화학성분'!$D$12:$D$949,$B122)))</f>
        <v/>
      </c>
      <c r="AH122" s="829" t="str">
        <f>IF($C122&lt;1,"",(AVERAGEIFS('09월 화학성분'!AB$12:AB$949,'09월 화학성분'!$A$12:$A$949,$A122,'09월 화학성분'!$D$12:$D$949,$B122)))</f>
        <v/>
      </c>
      <c r="AI122" s="829" t="str">
        <f>IF($C122&lt;1,"",(AVERAGEIFS('09월 화학성분'!AC$12:AC$949,'09월 화학성분'!$A$12:$A$949,$A122,'09월 화학성분'!$D$12:$D$949,$B122)))</f>
        <v/>
      </c>
      <c r="AJ122" s="829" t="str">
        <f>IF($C122&lt;1,"",(AVERAGEIFS('09월 화학성분'!AD$12:AD$949,'09월 화학성분'!$A$12:$A$949,$A122,'09월 화학성분'!$D$12:$D$949,$B122)))</f>
        <v/>
      </c>
      <c r="AK122" s="829" t="str">
        <f>IF($C122&lt;1,"",(AVERAGEIFS('09월 화학성분'!AF$12:AF$949,'09월 화학성분'!$A$12:$A$949,$A122,'09월 화학성분'!$D$12:$D$949,$B122)))</f>
        <v/>
      </c>
      <c r="AL122" s="829" t="str">
        <f>IF($C122&lt;1,"",(AVERAGEIFS('09월 화학성분'!AG$12:AG$949,'09월 화학성분'!$A$12:$A$949,$A122,'09월 화학성분'!$D$12:$D$949,$B122)))</f>
        <v/>
      </c>
      <c r="AM122" s="829" t="str">
        <f>IF($C122&lt;1,"",(AVERAGEIFS('09월 화학성분'!AH$12:AH$949,'09월 화학성분'!$A$12:$A$949,$A122,'09월 화학성분'!$D$12:$D$949,$B122)))</f>
        <v/>
      </c>
      <c r="AN122" s="829" t="str">
        <f>IF($C122&lt;1,"",(AVERAGEIFS('09월 화학성분'!AI$12:AI$949,'09월 화학성분'!$A$12:$A$949,$A122,'09월 화학성분'!$D$12:$D$949,$B122)))</f>
        <v/>
      </c>
      <c r="AO122" s="829" t="str">
        <f>IF($C122&lt;1,"",(AVERAGEIFS('09월 화학성분'!AJ$12:AJ$949,'09월 화학성분'!$A$12:$A$949,$A122,'09월 화학성분'!$D$12:$D$949,$B122)))</f>
        <v/>
      </c>
      <c r="AP122" s="829" t="str">
        <f>IF($C122&lt;1,"",(AVERAGEIFS('09월 화학성분'!#REF!,'09월 화학성분'!$A$12:$A$949,$A122,'09월 화학성분'!$D$12:$D$949,$B122)))</f>
        <v/>
      </c>
      <c r="AQ122" s="829" t="str">
        <f>IF($C122&lt;1,"",(AVERAGEIFS('09월 화학성분'!AL$12:AL$949,'09월 화학성분'!$A$12:$A$949,$A122,'09월 화학성분'!$D$12:$D$949,$B122)))</f>
        <v/>
      </c>
      <c r="AR122" s="829" t="str">
        <f>IF($C122&lt;1,"",(AVERAGEIFS('09월 화학성분'!AM$12:AM$949,'09월 화학성분'!$A$12:$A$949,$A122,'09월 화학성분'!$D$12:$D$949,$B122)))</f>
        <v/>
      </c>
      <c r="AS122" s="830" t="str">
        <f>IF($C122&lt;1,"",(AVERAGEIFS('09월 화학성분'!AN$12:AN$949,'09월 화학성분'!$A$12:$A$949,$A122,'09월 화학성분'!$D$12:$D$949,$B122)))</f>
        <v/>
      </c>
      <c r="AT122" s="830" t="str">
        <f>IF($C122&lt;1,"",(AVERAGEIFS('09월 화학성분'!AO$12:AO$949,'09월 화학성분'!$A$12:$A$949,$A122,'09월 화학성분'!$D$12:$D$949,$B122)))</f>
        <v/>
      </c>
      <c r="AU122" s="831" t="str">
        <f>IF($C122&lt;1,"",(AVERAGEIFS('09월 화학성분'!AP$12:AP$949,'09월 화학성분'!$A$12:$A$949,$A122,'09월 화학성분'!$D$12:$D$949,$B122)))</f>
        <v/>
      </c>
      <c r="AV122" s="832" t="str">
        <f>IF($C122&lt;1,"",(AVERAGEIFS('09월 고철장입'!G$14:G$949,'09월 고철장입'!$A$14:$A$949,$A122,'09월 고철장입'!$C$14:$C$949,$B122))/1000)</f>
        <v/>
      </c>
      <c r="AW122" s="832" t="str">
        <f>IF($C122&lt;1,"",(AVERAGEIFS('09월 고철장입'!H$14:H$949,'09월 고철장입'!$A$14:$A$949,$A122,'09월 고철장입'!$C$14:$C$949,$B122))/1000)</f>
        <v/>
      </c>
      <c r="AX122" s="832" t="str">
        <f>IF($C122&lt;1,"",(AVERAGEIFS('09월 고철장입'!I$14:I$949,'09월 고철장입'!$A$14:$A$949,$A122,'09월 고철장입'!$C$14:$C$949,$B122))/1000)</f>
        <v/>
      </c>
      <c r="AY122" s="832" t="str">
        <f>IF($C122&lt;1,"",(AVERAGEIFS('09월 고철장입'!J$14:J$949,'09월 고철장입'!$A$14:$A$949,$A122,'09월 고철장입'!$C$14:$C$949,$B122))/1000)</f>
        <v/>
      </c>
      <c r="AZ122" s="832" t="str">
        <f>IF($C122&lt;1,"",(AVERAGEIFS('09월 고철장입'!K$14:K$949,'09월 고철장입'!$A$14:$A$949,$A122,'09월 고철장입'!$C$14:$C$949,$B122))/1000)</f>
        <v/>
      </c>
      <c r="BA122" s="832" t="str">
        <f>IF($C122&lt;1,"",(AVERAGEIFS('09월 고철장입'!L$14:L$949,'09월 고철장입'!$A$14:$A$949,$A122,'09월 고철장입'!$C$14:$C$949,$B122))/1000)</f>
        <v/>
      </c>
      <c r="BB122" s="832" t="str">
        <f>IF($C122&lt;1,"",(AVERAGEIFS('09월 고철장입'!M$14:M$949,'09월 고철장입'!$A$14:$A$949,$A122,'09월 고철장입'!$C$14:$C$949,$B122))/1000)</f>
        <v/>
      </c>
      <c r="BC122" s="832" t="str">
        <f>IF($C122&lt;1,"",(AVERAGEIFS('09월 고철장입'!N$14:N$949,'09월 고철장입'!$A$14:$A$949,$A122,'09월 고철장입'!$C$14:$C$949,$B122))/1000)</f>
        <v/>
      </c>
      <c r="BD122" s="832" t="str">
        <f>IF($C122&lt;1,"",(AVERAGEIFS('09월 고철장입'!O$14:O$949,'09월 고철장입'!$A$14:$A$949,$A122,'09월 고철장입'!$C$14:$C$949,$B122))/1000)</f>
        <v/>
      </c>
      <c r="BE122" s="833" t="str">
        <f>IF($C122&lt;1,"",(AVERAGEIFS('09월 고철장입'!P$14:P$949,'09월 고철장입'!$A$14:$A$949,$A122,'09월 고철장입'!$C$14:$C$949,$B122))/1000)</f>
        <v/>
      </c>
      <c r="BF122" s="833" t="str">
        <f>IF($C122&lt;1,"",(AVERAGEIFS('09월 고철장입'!Q$14:Q$949,'09월 고철장입'!$A$14:$A$949,$A122,'09월 고철장입'!$C$14:$C$949,$B122))/1000)</f>
        <v/>
      </c>
      <c r="BG122" s="833" t="str">
        <f>IF($C122&lt;1,"",(AVERAGEIFS('09월 고철장입'!S$14:S$949,'09월 고철장입'!$A$14:$A$949,$A122,'09월 고철장입'!$C$14:$C$949,$B122))/1000)</f>
        <v/>
      </c>
      <c r="BH122" s="833" t="str">
        <f>IF($C122&lt;1,"",(AVERAGEIFS('09월 고철장입'!T$14:T$949,'09월 고철장입'!$A$14:$A$949,$A122,'09월 고철장입'!$C$14:$C$949,$B122))/1000)</f>
        <v/>
      </c>
      <c r="BI122" s="833" t="str">
        <f>IF($C122&lt;1,"",(AVERAGEIFS('09월 고철장입'!U$14:U$949,'09월 고철장입'!$A$14:$A$949,$A122,'09월 고철장입'!$C$14:$C$949,$B122))/1000)</f>
        <v/>
      </c>
      <c r="BJ122" s="833" t="str">
        <f>IF($C122&lt;1,"",(AVERAGEIFS('09월 고철장입'!V$14:V$949,'09월 고철장입'!$A$14:$A$949,$A122,'09월 고철장입'!$C$14:$C$949,$B122))/1000)</f>
        <v/>
      </c>
      <c r="BK122" s="833" t="str">
        <f>IF($C122&lt;1,"",(AVERAGEIFS('09월 고철장입'!W$14:W$949,'09월 고철장입'!$A$14:$A$949,$A122,'09월 고철장입'!$C$14:$C$949,$B122))/1000)</f>
        <v/>
      </c>
      <c r="BL122" s="833" t="str">
        <f>IF($C122&lt;1,"",(AVERAGEIFS('09월 고철장입'!Y$14:Y$949,'09월 고철장입'!$A$14:$A$949,$A122,'09월 고철장입'!$C$14:$C$949,$B122))/1000)</f>
        <v/>
      </c>
      <c r="BM122" s="833" t="str">
        <f>IF($C122&lt;1,"",(AVERAGEIFS('09월 고철장입'!AB$14:AB$949,'09월 고철장입'!$A$14:$A$949,$A122,'09월 고철장입'!$C$14:$C$949,$B122))/1000)</f>
        <v/>
      </c>
      <c r="BN122" s="833" t="str">
        <f>IF($C122&lt;1,"",(AVERAGEIFS('09월 고철장입'!AC$14:AC$949,'09월 고철장입'!$A$14:$A$949,$A122,'09월 고철장입'!$C$14:$C$949,$B122))/1000)</f>
        <v/>
      </c>
      <c r="BO122" s="833" t="str">
        <f>IF($C122&lt;1,"",(AVERAGEIFS('09월 고철장입'!AD$14:AD$949,'09월 고철장입'!$A$14:$A$949,$A122,'09월 고철장입'!$C$14:$C$949,$B122))/1000)</f>
        <v/>
      </c>
      <c r="BP122" s="833" t="str">
        <f>IF($C122&lt;1,"",(AVERAGEIFS('09월 고철장입'!AE$14:AE$949,'09월 고철장입'!$A$14:$A$949,$A122,'09월 고철장입'!$C$14:$C$949,$B122))/1000)</f>
        <v/>
      </c>
      <c r="BQ122" s="832" t="str">
        <f>IF($C122&lt;1,"",(AVERAGEIFS('09월 고철장입'!AF$14:AF$949,'09월 고철장입'!$A$14:$A$949,$A122,'09월 고철장입'!$C$14:$C$949,$B122))/1000)</f>
        <v/>
      </c>
      <c r="BR122" s="832" t="str">
        <f>IF($C122&lt;1,"",(AVERAGEIFS('09월 고철장입'!AG$14:AG$949,'09월 고철장입'!$A$14:$A$949,$A122,'09월 고철장입'!$C$14:$C$949,$B122))/1000)</f>
        <v/>
      </c>
      <c r="BS122" s="832" t="str">
        <f>IF($C122&lt;1,"",(AVERAGEIFS('09월 고철장입'!AH$14:AH$949,'09월 고철장입'!$A$14:$A$949,$A122,'09월 고철장입'!$C$14:$C$949,$B122))/1000)</f>
        <v/>
      </c>
      <c r="BT122" s="832" t="str">
        <f>IF($C122&lt;1,"",(AVERAGEIFS('09월 고철장입'!AI$14:AI$949,'09월 고철장입'!$A$14:$A$949,$A122,'09월 고철장입'!$C$14:$C$949,$B122))/1000)</f>
        <v/>
      </c>
      <c r="BU122" s="834" t="str">
        <f>IF($C122&lt;1,"",(AVERAGEIFS('09월 고철장입'!AJ$14:AJ$949,'09월 고철장입'!$A$14:$A$949,$A122,'09월 고철장입'!$C$14:$C$949,$B122))/1000)</f>
        <v/>
      </c>
      <c r="BV122" s="834" t="str">
        <f>IF($C122&lt;1,"",(AVERAGEIFS('09월 고철장입'!AK$14:AK$949,'09월 고철장입'!$A$14:$A$949,$A122,'09월 고철장입'!$C$14:$C$949,$B122)))</f>
        <v/>
      </c>
      <c r="BW122" s="834" t="str">
        <f>IF($C122&lt;1,"",(AVERAGEIFS('09월 고철장입'!AL$14:AL$949,'09월 고철장입'!$A$14:$A$949,$A122,'09월 고철장입'!$C$14:$C$949,$B122))*100)</f>
        <v/>
      </c>
      <c r="BX122" s="831" t="str">
        <f>IF($C122&lt;1,"",(AVERAGEIFS('09월 에너지'!G$14:G$949,'09월 에너지'!$A$14:$A$949,$A122,'09월 에너지'!$C$14:$C$949,$B122)))</f>
        <v/>
      </c>
      <c r="BY122" s="835" t="str">
        <f>IF($C122&lt;1,"",(AVERAGEIFS('09월 에너지'!H$14:H$949,'09월 에너지'!$A$14:$A$949,$A122,'09월 에너지'!$C$14:$C$949,$B122)))</f>
        <v/>
      </c>
      <c r="BZ122" s="831" t="str">
        <f>IF($C122&lt;1,"",(AVERAGEIFS('09월 에너지'!I$14:I$949,'09월 에너지'!$A$14:$A$949,$A122,'09월 에너지'!$C$14:$C$949,$B122)))</f>
        <v/>
      </c>
      <c r="CA122" s="835" t="str">
        <f>IF($C122&lt;1,"",(AVERAGEIFS('09월 에너지'!J$14:J$949,'09월 에너지'!$A$14:$A$949,$A122,'09월 에너지'!$C$14:$C$949,$B122)))</f>
        <v/>
      </c>
      <c r="CB122" s="831" t="str">
        <f>IF($C122&lt;1,"",(AVERAGEIFS('09월 에너지'!K$14:K$949,'09월 에너지'!$A$14:$A$949,$A122,'09월 에너지'!$C$14:$C$949,$B122)))</f>
        <v/>
      </c>
      <c r="CC122" s="835" t="str">
        <f>IF($C122&lt;1,"",(AVERAGEIFS('09월 에너지'!L$14:L$949,'09월 에너지'!$A$14:$A$949,$A122,'09월 에너지'!$C$14:$C$949,$B122)))</f>
        <v/>
      </c>
      <c r="CD122" s="831" t="str">
        <f>IF($C122&lt;1,"",(AVERAGEIFS('09월 에너지'!M$14:M$949,'09월 에너지'!$A$14:$A$949,$A122,'09월 에너지'!$C$14:$C$949,$B122)))</f>
        <v/>
      </c>
      <c r="CE122" s="835" t="str">
        <f>IF($C122&lt;1,"",(AVERAGEIFS('09월 에너지'!N$14:N$949,'09월 에너지'!$A$14:$A$949,$A122,'09월 에너지'!$C$14:$C$949,$B122)))</f>
        <v/>
      </c>
      <c r="CF122" s="831" t="str">
        <f>IF($C122&lt;1,"",(AVERAGEIFS('09월 에너지'!O$14:O$949,'09월 에너지'!$A$14:$A$949,$A122,'09월 에너지'!$C$14:$C$949,$B122)))</f>
        <v/>
      </c>
      <c r="CG122" s="831" t="str">
        <f>IF($C122&lt;1,"",(AVERAGEIFS('09월 에너지'!P$14:P$949,'09월 에너지'!$A$14:$A$949,$A122,'09월 에너지'!$C$14:$C$949,$B122)))</f>
        <v/>
      </c>
      <c r="CH122" s="831" t="str">
        <f>IF($C122&lt;1,"",(AVERAGEIFS('09월 에너지'!Q$14:Q$949,'09월 에너지'!$A$14:$A$949,$A122,'09월 에너지'!$C$14:$C$949,$B122)))</f>
        <v/>
      </c>
      <c r="CI122" s="831" t="str">
        <f>IF($C122&lt;1,"",(AVERAGEIFS('09월 에너지'!R$14:R$949,'09월 에너지'!$A$14:$A$949,$A122,'09월 에너지'!$C$14:$C$949,$B122)))</f>
        <v/>
      </c>
      <c r="CJ122" s="831" t="str">
        <f>IF($C122&lt;1,"",(AVERAGEIFS('09월 에너지'!S$14:S$949,'09월 에너지'!$A$14:$A$949,$A122,'09월 에너지'!$C$14:$C$949,$B122)))</f>
        <v/>
      </c>
      <c r="CK122" s="831" t="str">
        <f>IF($C122&lt;1,"",(AVERAGEIFS('09월 에너지'!T$14:T$949,'09월 에너지'!$A$14:$A$949,$A122,'09월 에너지'!$C$14:$C$949,$B122)))</f>
        <v/>
      </c>
      <c r="CL122" s="831" t="str">
        <f>IF($C122&lt;1,"",(AVERAGEIFS('09월 에너지'!U$14:U$949,'09월 에너지'!$A$14:$A$949,$A122,'09월 에너지'!$C$14:$C$949,$B122)))</f>
        <v/>
      </c>
      <c r="CM122" s="835" t="str">
        <f>IF($C122&lt;1,"",(AVERAGEIFS('09월 에너지'!V$14:V$949,'09월 에너지'!$A$14:$A$949,$A122,'09월 에너지'!$C$14:$C$949,$B122)))</f>
        <v/>
      </c>
      <c r="CN122" s="835" t="str">
        <f>IF($C122&lt;1,"",(AVERAGEIFS('09월 에너지'!W$14:W$949,'09월 에너지'!$A$14:$A$949,$A122,'09월 에너지'!$C$14:$C$949,$B122)))</f>
        <v/>
      </c>
      <c r="CO122" s="831" t="str">
        <f>IF($C122&lt;1,"",(AVERAGEIFS('09월 에너지'!X$14:X$949,'09월 에너지'!$A$14:$A$949,$A122,'09월 에너지'!$C$14:$C$949,$B122)))</f>
        <v/>
      </c>
      <c r="CP122" s="835" t="str">
        <f>IF($C122&lt;1,"",(AVERAGEIFS('09월 에너지'!Y$14:Y$949,'09월 에너지'!$A$14:$A$949,$A122,'09월 에너지'!$C$14:$C$949,$B122)))</f>
        <v/>
      </c>
      <c r="CQ122" s="835" t="str">
        <f>IF($C122&lt;1,"",(AVERAGEIFS('09월 에너지'!Z$14:Z$949,'09월 에너지'!$A$14:$A$949,$A122,'09월 에너지'!$C$14:$C$949,$B122)))</f>
        <v/>
      </c>
      <c r="CR122" s="835" t="str">
        <f>IF($C122&lt;1,"",(AVERAGEIFS('09월 에너지'!AA$14:AA$949,'09월 에너지'!$A$14:$A$949,$A122,'09월 에너지'!$C$14:$C$949,$B122)))</f>
        <v/>
      </c>
      <c r="CS122" s="835" t="str">
        <f>IF($C122&lt;1,"",(AVERAGEIFS('09월 에너지'!AB$14:AB$949,'09월 에너지'!$A$14:$A$949,$A122,'09월 에너지'!$C$14:$C$949,$B122)))</f>
        <v/>
      </c>
      <c r="CT122" s="831" t="str">
        <f>IF($C122&lt;1,"",(AVERAGEIFS('09월 에너지'!AC$14:AC$949,'09월 에너지'!$A$14:$A$949,$A122,'09월 에너지'!$C$14:$C$949,$B122)))</f>
        <v/>
      </c>
      <c r="CU122" s="836" t="str">
        <f>IF($C122&lt;1,"",(AVERAGEIFS('09월 에너지'!AD$14:AD$949,'09월 에너지'!$A$14:$A$949,$A122,'09월 에너지'!$C$14:$C$949,$B122)))</f>
        <v/>
      </c>
      <c r="CV122" s="837" t="str">
        <f>IF($C122&lt;1,"",(AVERAGEIFS('09월 에너지'!AE$14:AE$949,'09월 에너지'!$A$14:$A$949,$A122,'09월 에너지'!$C$14:$C$949,$B122)))</f>
        <v/>
      </c>
      <c r="CW122" s="831" t="str">
        <f>IF($C122&lt;1,"",(AVERAGEIFS('09월 에너지'!AF$14:AF$949,'09월 에너지'!$A$14:$A$949,$A122,'09월 에너지'!$C$14:$C$949,$B122)))</f>
        <v/>
      </c>
      <c r="CX122" s="831" t="str">
        <f>IF($C122&lt;1,"",(AVERAGEIFS('09월 에너지'!AG$14:AG$949,'09월 에너지'!$A$14:$A$949,$A122,'09월 에너지'!$C$14:$C$949,$B122)))</f>
        <v/>
      </c>
      <c r="CY122" s="831" t="str">
        <f>IF($C122&lt;1,"",(AVERAGEIFS('09월 에너지'!AH$14:AH$949,'09월 에너지'!$A$14:$A$949,$A122,'09월 에너지'!$C$14:$C$949,$B122)))</f>
        <v/>
      </c>
      <c r="CZ122" s="831" t="str">
        <f>IF($C122&lt;1,"",(AVERAGEIFS('09월 에너지'!AI$14:AI$949,'09월 에너지'!$A$14:$A$949,$A122,'09월 에너지'!$C$14:$C$949,$B122)))</f>
        <v/>
      </c>
      <c r="DA122" s="838" t="str">
        <f>IF($C122&lt;1,"",(AVERAGEIFS('09월 에너지'!AJ$14:AJ$949,'09월 에너지'!$A$14:$A$949,$A122,'09월 에너지'!$C$14:$C$949,$B122)))</f>
        <v/>
      </c>
    </row>
    <row r="123" spans="1:105" ht="13.5" customHeight="1">
      <c r="A123" s="849">
        <f t="shared" si="20"/>
        <v>44950</v>
      </c>
      <c r="B123" s="850" t="s">
        <v>100</v>
      </c>
      <c r="C123" s="823">
        <f>COUNTIFS('09월 조업일지'!$A$12:$A$952,A121,'09월 조업일지'!$E$12:$E$952,B123)</f>
        <v>0</v>
      </c>
      <c r="D123" s="824" t="str">
        <f t="shared" ref="D123:D125" si="27">IF(C123&lt;1,"",F123-E123)</f>
        <v/>
      </c>
      <c r="E123" s="824" t="str">
        <f>IF($C123&lt;1,"",(SUMIFS('09월 조업일지'!$K$12:$K$952,'09월 조업일지'!$A$12:$A$952,$A123,'09월 조업일지'!$E$12:$E$952,$B123)/$C123))</f>
        <v/>
      </c>
      <c r="F123" s="824" t="str">
        <f>IF($C123&lt;1,"",(AVERAGEIFS('09월 조업일지'!$J$12:$J$952,'09월 조업일지'!$A$12:$A$952,$A123,'09월 조업일지'!$E$12:$E$952,$B123)))</f>
        <v/>
      </c>
      <c r="G123" s="825" t="str">
        <f>IF($C123&lt;1,"",(AVERAGEIFS('09월 에너지'!$M$14:$M$949,'09월 에너지'!$A$14:$A$949,$A123,'09월 에너지'!$C$14:$C$949,$B123)))</f>
        <v/>
      </c>
      <c r="H123" s="826" t="str">
        <f>IF($C123&lt;1,"",(AVERAGEIFS('09월 조업일지'!$AJ$12:$AJ$952,'09월 조업일지'!$A$12:$A$952,$A123,'09월 조업일지'!$E$12:$E$952,$B123)))</f>
        <v/>
      </c>
      <c r="I123" s="826" t="str">
        <f>IF($C123&lt;1,"",(AVERAGEIFS('09월 조업일지'!$AL$12:$AL$952,'09월 조업일지'!$A$12:$A$952,$A123,'09월 조업일지'!$E$12:$E$952,$B123)))</f>
        <v/>
      </c>
      <c r="J123" s="827" t="str">
        <f>IF($C123&lt;1,"",(AVERAGEIFS('09월 화학성분'!G$12:G$949,'09월 화학성분'!$A$12:$A$949,$A123,'09월 화학성분'!$D$12:$D$949,$B123)))</f>
        <v/>
      </c>
      <c r="K123" s="827" t="str">
        <f>IF($C123&lt;1,"",(AVERAGEIFS('09월 화학성분'!H$12:H$949,'09월 화학성분'!$A$12:$A$949,$A123,'09월 화학성분'!$D$12:$D$949,$B123)))</f>
        <v/>
      </c>
      <c r="L123" s="827" t="str">
        <f>IF($C123&lt;1,"",(AVERAGEIFS('09월 화학성분'!I$12:I$949,'09월 화학성분'!$A$12:$A$949,$A123,'09월 화학성분'!$D$12:$D$949,$B123)))</f>
        <v/>
      </c>
      <c r="M123" s="827" t="str">
        <f>IF($C123&lt;1,"",(AVERAGEIFS('09월 화학성분'!J$12:J$949,'09월 화학성분'!$A$12:$A$949,$A123,'09월 화학성분'!$D$12:$D$949,$B123)))</f>
        <v/>
      </c>
      <c r="N123" s="827" t="str">
        <f>IF($C123&lt;1,"",(AVERAGEIFS('09월 화학성분'!K$12:K$949,'09월 화학성분'!$A$12:$A$949,$A123,'09월 화학성분'!$D$12:$D$949,$B123)))</f>
        <v/>
      </c>
      <c r="O123" s="827" t="str">
        <f>IF($C123&lt;1,"",(AVERAGEIFS('09월 화학성분'!L$12:L$949,'09월 화학성분'!$A$12:$A$949,$A123,'09월 화학성분'!$D$12:$D$949,$B123)))</f>
        <v/>
      </c>
      <c r="P123" s="827" t="str">
        <f>IF($C123&lt;1,"",(AVERAGEIFS('09월 화학성분'!M$12:M$949,'09월 화학성분'!$A$12:$A$949,$A123,'09월 화학성분'!$D$12:$D$949,$B123)))</f>
        <v/>
      </c>
      <c r="Q123" s="827" t="str">
        <f>IFERROR(IF($C123&lt;1,"",(AVERAGEIFS('09월 조업일지'!$AA$12:$AA$952,'09월 조업일지'!$A$12:$A$952,$A123,'09월 조업일지'!$E$12:$E$952,$B123))),"")</f>
        <v/>
      </c>
      <c r="R123" s="827" t="str">
        <f>IF($C123&lt;1,"",(AVERAGEIFS('09월 조업일지'!$AK$12:$AK$952,'09월 조업일지'!$A$12:$A$952,$A123,'09월 조업일지'!$E$12:$E$952,$B123)))</f>
        <v/>
      </c>
      <c r="S123" s="827"/>
      <c r="T123" s="827"/>
      <c r="U123" s="827" t="str">
        <f>IF($C123&lt;1,"",(AVERAGEIFS('09월 화학성분'!$G$12:$G$949,'09월 화학성분'!$A$12:$A$949,$A123,'09월 화학성분'!$D$12:$D$949,$B123)))</f>
        <v/>
      </c>
      <c r="V123" s="827" t="str">
        <f>IF($C123&lt;1,"",(AVERAGEIFS('09월 조업일지'!$AI$12:$AI$952,'09월 조업일지'!$A$12:$A$952,$A123,'09월 조업일지'!$E$12:$E$952,$B123)))</f>
        <v/>
      </c>
      <c r="W123" s="828" t="str">
        <f>IF($C123&lt;1,"",(AVERAGEIFS('09월 화학성분'!$AM$12:$AM$949,'09월 화학성분'!$A$12:$A$949,$A123,'09월 화학성분'!$D$12:$D$949,$B123)))</f>
        <v/>
      </c>
      <c r="X123" s="829" t="str">
        <f>IF($C123&lt;1,"",(AVERAGEIFS('09월 화학성분'!N$12:N$949,'09월 화학성분'!$A$12:$A$949,$A123,'09월 화학성분'!$D$12:$D$949,$B123)))</f>
        <v/>
      </c>
      <c r="Y123" s="829" t="str">
        <f>IF($C123&lt;1,"",(AVERAGEIFS('09월 화학성분'!O$12:O$949,'09월 화학성분'!$A$12:$A$949,$A123,'09월 화학성분'!$D$12:$D$949,$B123)))</f>
        <v/>
      </c>
      <c r="Z123" s="829" t="str">
        <f>IF($C123&lt;1,"",(AVERAGEIFS('09월 화학성분'!P$12:P$949,'09월 화학성분'!$A$12:$A$949,$A123,'09월 화학성분'!$D$12:$D$949,$B123)))</f>
        <v/>
      </c>
      <c r="AA123" s="829" t="str">
        <f>IF($C123&lt;1,"",(AVERAGEIFS('09월 화학성분'!Q$12:Q$949,'09월 화학성분'!$A$12:$A$949,$A123,'09월 화학성분'!$D$12:$D$949,$B123)))</f>
        <v/>
      </c>
      <c r="AB123" s="829" t="str">
        <f>IF($C123&lt;1,"",(AVERAGEIFS('09월 화학성분'!R$12:R$949,'09월 화학성분'!$A$12:$A$949,$A123,'09월 화학성분'!$D$12:$D$949,$B123)))</f>
        <v/>
      </c>
      <c r="AC123" s="829" t="str">
        <f>IF($C123&lt;1,"",(AVERAGEIFS('09월 화학성분'!U$12:U$949,'09월 화학성분'!$A$12:$A$949,$A123,'09월 화학성분'!$D$12:$D$949,$B123)))</f>
        <v/>
      </c>
      <c r="AD123" s="829" t="str">
        <f>IF($C123&lt;1,"",(AVERAGEIFS('09월 화학성분'!V$12:V$949,'09월 화학성분'!$A$12:$A$949,$A123,'09월 화학성분'!$D$12:$D$949,$B123)))</f>
        <v/>
      </c>
      <c r="AE123" s="829" t="str">
        <f>IF($C123&lt;1,"",(AVERAGEIFS('09월 화학성분'!W$12:W$949,'09월 화학성분'!$A$12:$A$949,$A123,'09월 화학성분'!$D$12:$D$949,$B123)))</f>
        <v/>
      </c>
      <c r="AF123" s="829" t="str">
        <f>IF($C123&lt;1,"",(AVERAGEIFS('09월 화학성분'!AA$12:AA$949,'09월 화학성분'!$A$12:$A$949,$A123,'09월 화학성분'!$D$12:$D$949,$B123)))</f>
        <v/>
      </c>
      <c r="AG123" s="829" t="str">
        <f>IF($C123&lt;1,"",(AVERAGEIFS('09월 화학성분'!#REF!,'09월 화학성분'!$A$12:$A$949,$A123,'09월 화학성분'!$D$12:$D$949,$B123)))</f>
        <v/>
      </c>
      <c r="AH123" s="829" t="str">
        <f>IF($C123&lt;1,"",(AVERAGEIFS('09월 화학성분'!AB$12:AB$949,'09월 화학성분'!$A$12:$A$949,$A123,'09월 화학성분'!$D$12:$D$949,$B123)))</f>
        <v/>
      </c>
      <c r="AI123" s="829" t="str">
        <f>IF($C123&lt;1,"",(AVERAGEIFS('09월 화학성분'!AC$12:AC$949,'09월 화학성분'!$A$12:$A$949,$A123,'09월 화학성분'!$D$12:$D$949,$B123)))</f>
        <v/>
      </c>
      <c r="AJ123" s="829" t="str">
        <f>IF($C123&lt;1,"",(AVERAGEIFS('09월 화학성분'!AD$12:AD$949,'09월 화학성분'!$A$12:$A$949,$A123,'09월 화학성분'!$D$12:$D$949,$B123)))</f>
        <v/>
      </c>
      <c r="AK123" s="829" t="str">
        <f>IF($C123&lt;1,"",(AVERAGEIFS('09월 화학성분'!AF$12:AF$949,'09월 화학성분'!$A$12:$A$949,$A123,'09월 화학성분'!$D$12:$D$949,$B123)))</f>
        <v/>
      </c>
      <c r="AL123" s="829" t="str">
        <f>IF($C123&lt;1,"",(AVERAGEIFS('09월 화학성분'!AG$12:AG$949,'09월 화학성분'!$A$12:$A$949,$A123,'09월 화학성분'!$D$12:$D$949,$B123)))</f>
        <v/>
      </c>
      <c r="AM123" s="829" t="str">
        <f>IF($C123&lt;1,"",(AVERAGEIFS('09월 화학성분'!AH$12:AH$949,'09월 화학성분'!$A$12:$A$949,$A123,'09월 화학성분'!$D$12:$D$949,$B123)))</f>
        <v/>
      </c>
      <c r="AN123" s="829" t="str">
        <f>IF($C123&lt;1,"",(AVERAGEIFS('09월 화학성분'!AI$12:AI$949,'09월 화학성분'!$A$12:$A$949,$A123,'09월 화학성분'!$D$12:$D$949,$B123)))</f>
        <v/>
      </c>
      <c r="AO123" s="829" t="str">
        <f>IF($C123&lt;1,"",(AVERAGEIFS('09월 화학성분'!AJ$12:AJ$949,'09월 화학성분'!$A$12:$A$949,$A123,'09월 화학성분'!$D$12:$D$949,$B123)))</f>
        <v/>
      </c>
      <c r="AP123" s="829" t="str">
        <f>IF($C123&lt;1,"",(AVERAGEIFS('09월 화학성분'!#REF!,'09월 화학성분'!$A$12:$A$949,$A123,'09월 화학성분'!$D$12:$D$949,$B123)))</f>
        <v/>
      </c>
      <c r="AQ123" s="829" t="str">
        <f>IF($C123&lt;1,"",(AVERAGEIFS('09월 화학성분'!AL$12:AL$949,'09월 화학성분'!$A$12:$A$949,$A123,'09월 화학성분'!$D$12:$D$949,$B123)))</f>
        <v/>
      </c>
      <c r="AR123" s="829" t="str">
        <f>IF($C123&lt;1,"",(AVERAGEIFS('09월 화학성분'!AM$12:AM$949,'09월 화학성분'!$A$12:$A$949,$A123,'09월 화학성분'!$D$12:$D$949,$B123)))</f>
        <v/>
      </c>
      <c r="AS123" s="830" t="str">
        <f>IF($C123&lt;1,"",(AVERAGEIFS('09월 화학성분'!AN$12:AN$949,'09월 화학성분'!$A$12:$A$949,$A123,'09월 화학성분'!$D$12:$D$949,$B123)))</f>
        <v/>
      </c>
      <c r="AT123" s="830" t="str">
        <f>IF($C123&lt;1,"",(AVERAGEIFS('09월 화학성분'!AO$12:AO$949,'09월 화학성분'!$A$12:$A$949,$A123,'09월 화학성분'!$D$12:$D$949,$B123)))</f>
        <v/>
      </c>
      <c r="AU123" s="831" t="str">
        <f>IF($C123&lt;1,"",(AVERAGEIFS('09월 화학성분'!AP$12:AP$949,'09월 화학성분'!$A$12:$A$949,$A123,'09월 화학성분'!$D$12:$D$949,$B123)))</f>
        <v/>
      </c>
      <c r="AV123" s="832" t="str">
        <f>IF($C123&lt;1,"",(AVERAGEIFS('09월 고철장입'!G$14:G$949,'09월 고철장입'!$A$14:$A$949,$A123,'09월 고철장입'!$C$14:$C$949,$B123))/1000)</f>
        <v/>
      </c>
      <c r="AW123" s="832" t="str">
        <f>IF($C123&lt;1,"",(AVERAGEIFS('09월 고철장입'!H$14:H$949,'09월 고철장입'!$A$14:$A$949,$A123,'09월 고철장입'!$C$14:$C$949,$B123))/1000)</f>
        <v/>
      </c>
      <c r="AX123" s="832" t="str">
        <f>IF($C123&lt;1,"",(AVERAGEIFS('09월 고철장입'!I$14:I$949,'09월 고철장입'!$A$14:$A$949,$A123,'09월 고철장입'!$C$14:$C$949,$B123))/1000)</f>
        <v/>
      </c>
      <c r="AY123" s="832" t="str">
        <f>IF($C123&lt;1,"",(AVERAGEIFS('09월 고철장입'!J$14:J$949,'09월 고철장입'!$A$14:$A$949,$A123,'09월 고철장입'!$C$14:$C$949,$B123))/1000)</f>
        <v/>
      </c>
      <c r="AZ123" s="832" t="str">
        <f>IF($C123&lt;1,"",(AVERAGEIFS('09월 고철장입'!K$14:K$949,'09월 고철장입'!$A$14:$A$949,$A123,'09월 고철장입'!$C$14:$C$949,$B123))/1000)</f>
        <v/>
      </c>
      <c r="BA123" s="832" t="str">
        <f>IF($C123&lt;1,"",(AVERAGEIFS('09월 고철장입'!L$14:L$949,'09월 고철장입'!$A$14:$A$949,$A123,'09월 고철장입'!$C$14:$C$949,$B123))/1000)</f>
        <v/>
      </c>
      <c r="BB123" s="832" t="str">
        <f>IF($C123&lt;1,"",(AVERAGEIFS('09월 고철장입'!M$14:M$949,'09월 고철장입'!$A$14:$A$949,$A123,'09월 고철장입'!$C$14:$C$949,$B123))/1000)</f>
        <v/>
      </c>
      <c r="BC123" s="832" t="str">
        <f>IF($C123&lt;1,"",(AVERAGEIFS('09월 고철장입'!N$14:N$949,'09월 고철장입'!$A$14:$A$949,$A123,'09월 고철장입'!$C$14:$C$949,$B123))/1000)</f>
        <v/>
      </c>
      <c r="BD123" s="832" t="str">
        <f>IF($C123&lt;1,"",(AVERAGEIFS('09월 고철장입'!O$14:O$949,'09월 고철장입'!$A$14:$A$949,$A123,'09월 고철장입'!$C$14:$C$949,$B123))/1000)</f>
        <v/>
      </c>
      <c r="BE123" s="833" t="str">
        <f>IF($C123&lt;1,"",(AVERAGEIFS('09월 고철장입'!P$14:P$949,'09월 고철장입'!$A$14:$A$949,$A123,'09월 고철장입'!$C$14:$C$949,$B123))/1000)</f>
        <v/>
      </c>
      <c r="BF123" s="833" t="str">
        <f>IF($C123&lt;1,"",(AVERAGEIFS('09월 고철장입'!Q$14:Q$949,'09월 고철장입'!$A$14:$A$949,$A123,'09월 고철장입'!$C$14:$C$949,$B123))/1000)</f>
        <v/>
      </c>
      <c r="BG123" s="833" t="str">
        <f>IF($C123&lt;1,"",(AVERAGEIFS('09월 고철장입'!S$14:S$949,'09월 고철장입'!$A$14:$A$949,$A123,'09월 고철장입'!$C$14:$C$949,$B123))/1000)</f>
        <v/>
      </c>
      <c r="BH123" s="833" t="str">
        <f>IF($C123&lt;1,"",(AVERAGEIFS('09월 고철장입'!T$14:T$949,'09월 고철장입'!$A$14:$A$949,$A123,'09월 고철장입'!$C$14:$C$949,$B123))/1000)</f>
        <v/>
      </c>
      <c r="BI123" s="833" t="str">
        <f>IF($C123&lt;1,"",(AVERAGEIFS('09월 고철장입'!U$14:U$949,'09월 고철장입'!$A$14:$A$949,$A123,'09월 고철장입'!$C$14:$C$949,$B123))/1000)</f>
        <v/>
      </c>
      <c r="BJ123" s="833" t="str">
        <f>IF($C123&lt;1,"",(AVERAGEIFS('09월 고철장입'!V$14:V$949,'09월 고철장입'!$A$14:$A$949,$A123,'09월 고철장입'!$C$14:$C$949,$B123))/1000)</f>
        <v/>
      </c>
      <c r="BK123" s="833" t="str">
        <f>IF($C123&lt;1,"",(AVERAGEIFS('09월 고철장입'!W$14:W$949,'09월 고철장입'!$A$14:$A$949,$A123,'09월 고철장입'!$C$14:$C$949,$B123))/1000)</f>
        <v/>
      </c>
      <c r="BL123" s="833" t="str">
        <f>IF($C123&lt;1,"",(AVERAGEIFS('09월 고철장입'!Y$14:Y$949,'09월 고철장입'!$A$14:$A$949,$A123,'09월 고철장입'!$C$14:$C$949,$B123))/1000)</f>
        <v/>
      </c>
      <c r="BM123" s="833" t="str">
        <f>IF($C123&lt;1,"",(AVERAGEIFS('09월 고철장입'!AB$14:AB$949,'09월 고철장입'!$A$14:$A$949,$A123,'09월 고철장입'!$C$14:$C$949,$B123))/1000)</f>
        <v/>
      </c>
      <c r="BN123" s="833" t="str">
        <f>IF($C123&lt;1,"",(AVERAGEIFS('09월 고철장입'!AC$14:AC$949,'09월 고철장입'!$A$14:$A$949,$A123,'09월 고철장입'!$C$14:$C$949,$B123))/1000)</f>
        <v/>
      </c>
      <c r="BO123" s="833" t="str">
        <f>IF($C123&lt;1,"",(AVERAGEIFS('09월 고철장입'!AD$14:AD$949,'09월 고철장입'!$A$14:$A$949,$A123,'09월 고철장입'!$C$14:$C$949,$B123))/1000)</f>
        <v/>
      </c>
      <c r="BP123" s="833" t="str">
        <f>IF($C123&lt;1,"",(AVERAGEIFS('09월 고철장입'!AE$14:AE$949,'09월 고철장입'!$A$14:$A$949,$A123,'09월 고철장입'!$C$14:$C$949,$B123))/1000)</f>
        <v/>
      </c>
      <c r="BQ123" s="832" t="str">
        <f>IF($C123&lt;1,"",(AVERAGEIFS('09월 고철장입'!AF$14:AF$949,'09월 고철장입'!$A$14:$A$949,$A123,'09월 고철장입'!$C$14:$C$949,$B123))/1000)</f>
        <v/>
      </c>
      <c r="BR123" s="832" t="str">
        <f>IF($C123&lt;1,"",(AVERAGEIFS('09월 고철장입'!AG$14:AG$949,'09월 고철장입'!$A$14:$A$949,$A123,'09월 고철장입'!$C$14:$C$949,$B123))/1000)</f>
        <v/>
      </c>
      <c r="BS123" s="832" t="str">
        <f>IF($C123&lt;1,"",(AVERAGEIFS('09월 고철장입'!AH$14:AH$949,'09월 고철장입'!$A$14:$A$949,$A123,'09월 고철장입'!$C$14:$C$949,$B123))/1000)</f>
        <v/>
      </c>
      <c r="BT123" s="832" t="str">
        <f>IF($C123&lt;1,"",(AVERAGEIFS('09월 고철장입'!AI$14:AI$949,'09월 고철장입'!$A$14:$A$949,$A123,'09월 고철장입'!$C$14:$C$949,$B123))/1000)</f>
        <v/>
      </c>
      <c r="BU123" s="834" t="str">
        <f>IF($C123&lt;1,"",(AVERAGEIFS('09월 고철장입'!AJ$14:AJ$949,'09월 고철장입'!$A$14:$A$949,$A123,'09월 고철장입'!$C$14:$C$949,$B123))/1000)</f>
        <v/>
      </c>
      <c r="BV123" s="834" t="str">
        <f>IF($C123&lt;1,"",(AVERAGEIFS('09월 고철장입'!AK$14:AK$949,'09월 고철장입'!$A$14:$A$949,$A123,'09월 고철장입'!$C$14:$C$949,$B123)))</f>
        <v/>
      </c>
      <c r="BW123" s="834" t="str">
        <f>IF($C123&lt;1,"",(AVERAGEIFS('09월 고철장입'!AL$14:AL$949,'09월 고철장입'!$A$14:$A$949,$A123,'09월 고철장입'!$C$14:$C$949,$B123))*100)</f>
        <v/>
      </c>
      <c r="BX123" s="831" t="str">
        <f>IF($C123&lt;1,"",(AVERAGEIFS('09월 에너지'!G$14:G$949,'09월 에너지'!$A$14:$A$949,$A123,'09월 에너지'!$C$14:$C$949,$B123)))</f>
        <v/>
      </c>
      <c r="BY123" s="835" t="str">
        <f>IF($C123&lt;1,"",(AVERAGEIFS('09월 에너지'!H$14:H$949,'09월 에너지'!$A$14:$A$949,$A123,'09월 에너지'!$C$14:$C$949,$B123)))</f>
        <v/>
      </c>
      <c r="BZ123" s="831" t="str">
        <f>IF($C123&lt;1,"",(AVERAGEIFS('09월 에너지'!I$14:I$949,'09월 에너지'!$A$14:$A$949,$A123,'09월 에너지'!$C$14:$C$949,$B123)))</f>
        <v/>
      </c>
      <c r="CA123" s="835" t="str">
        <f>IF($C123&lt;1,"",(AVERAGEIFS('09월 에너지'!J$14:J$949,'09월 에너지'!$A$14:$A$949,$A123,'09월 에너지'!$C$14:$C$949,$B123)))</f>
        <v/>
      </c>
      <c r="CB123" s="831" t="str">
        <f>IF($C123&lt;1,"",(AVERAGEIFS('09월 에너지'!K$14:K$949,'09월 에너지'!$A$14:$A$949,$A123,'09월 에너지'!$C$14:$C$949,$B123)))</f>
        <v/>
      </c>
      <c r="CC123" s="835" t="str">
        <f>IF($C123&lt;1,"",(AVERAGEIFS('09월 에너지'!L$14:L$949,'09월 에너지'!$A$14:$A$949,$A123,'09월 에너지'!$C$14:$C$949,$B123)))</f>
        <v/>
      </c>
      <c r="CD123" s="831" t="str">
        <f>IF($C123&lt;1,"",(AVERAGEIFS('09월 에너지'!M$14:M$949,'09월 에너지'!$A$14:$A$949,$A123,'09월 에너지'!$C$14:$C$949,$B123)))</f>
        <v/>
      </c>
      <c r="CE123" s="835" t="str">
        <f>IF($C123&lt;1,"",(AVERAGEIFS('09월 에너지'!N$14:N$949,'09월 에너지'!$A$14:$A$949,$A123,'09월 에너지'!$C$14:$C$949,$B123)))</f>
        <v/>
      </c>
      <c r="CF123" s="831" t="str">
        <f>IF($C123&lt;1,"",(AVERAGEIFS('09월 에너지'!O$14:O$949,'09월 에너지'!$A$14:$A$949,$A123,'09월 에너지'!$C$14:$C$949,$B123)))</f>
        <v/>
      </c>
      <c r="CG123" s="831" t="str">
        <f>IF($C123&lt;1,"",(AVERAGEIFS('09월 에너지'!P$14:P$949,'09월 에너지'!$A$14:$A$949,$A123,'09월 에너지'!$C$14:$C$949,$B123)))</f>
        <v/>
      </c>
      <c r="CH123" s="831" t="str">
        <f>IF($C123&lt;1,"",(AVERAGEIFS('09월 에너지'!Q$14:Q$949,'09월 에너지'!$A$14:$A$949,$A123,'09월 에너지'!$C$14:$C$949,$B123)))</f>
        <v/>
      </c>
      <c r="CI123" s="831" t="str">
        <f>IF($C123&lt;1,"",(AVERAGEIFS('09월 에너지'!R$14:R$949,'09월 에너지'!$A$14:$A$949,$A123,'09월 에너지'!$C$14:$C$949,$B123)))</f>
        <v/>
      </c>
      <c r="CJ123" s="831" t="str">
        <f>IF($C123&lt;1,"",(AVERAGEIFS('09월 에너지'!S$14:S$949,'09월 에너지'!$A$14:$A$949,$A123,'09월 에너지'!$C$14:$C$949,$B123)))</f>
        <v/>
      </c>
      <c r="CK123" s="831" t="str">
        <f>IF($C123&lt;1,"",(AVERAGEIFS('09월 에너지'!T$14:T$949,'09월 에너지'!$A$14:$A$949,$A123,'09월 에너지'!$C$14:$C$949,$B123)))</f>
        <v/>
      </c>
      <c r="CL123" s="831" t="str">
        <f>IF($C123&lt;1,"",(AVERAGEIFS('09월 에너지'!U$14:U$949,'09월 에너지'!$A$14:$A$949,$A123,'09월 에너지'!$C$14:$C$949,$B123)))</f>
        <v/>
      </c>
      <c r="CM123" s="835" t="str">
        <f>IF($C123&lt;1,"",(AVERAGEIFS('09월 에너지'!V$14:V$949,'09월 에너지'!$A$14:$A$949,$A123,'09월 에너지'!$C$14:$C$949,$B123)))</f>
        <v/>
      </c>
      <c r="CN123" s="835" t="str">
        <f>IF($C123&lt;1,"",(AVERAGEIFS('09월 에너지'!W$14:W$949,'09월 에너지'!$A$14:$A$949,$A123,'09월 에너지'!$C$14:$C$949,$B123)))</f>
        <v/>
      </c>
      <c r="CO123" s="831" t="str">
        <f>IF($C123&lt;1,"",(AVERAGEIFS('09월 에너지'!X$14:X$949,'09월 에너지'!$A$14:$A$949,$A123,'09월 에너지'!$C$14:$C$949,$B123)))</f>
        <v/>
      </c>
      <c r="CP123" s="835" t="str">
        <f>IF($C123&lt;1,"",(AVERAGEIFS('09월 에너지'!Y$14:Y$949,'09월 에너지'!$A$14:$A$949,$A123,'09월 에너지'!$C$14:$C$949,$B123)))</f>
        <v/>
      </c>
      <c r="CQ123" s="835" t="str">
        <f>IF($C123&lt;1,"",(AVERAGEIFS('09월 에너지'!Z$14:Z$949,'09월 에너지'!$A$14:$A$949,$A123,'09월 에너지'!$C$14:$C$949,$B123)))</f>
        <v/>
      </c>
      <c r="CR123" s="835" t="str">
        <f>IF($C123&lt;1,"",(AVERAGEIFS('09월 에너지'!AA$14:AA$949,'09월 에너지'!$A$14:$A$949,$A123,'09월 에너지'!$C$14:$C$949,$B123)))</f>
        <v/>
      </c>
      <c r="CS123" s="835" t="str">
        <f>IF($C123&lt;1,"",(AVERAGEIFS('09월 에너지'!AB$14:AB$949,'09월 에너지'!$A$14:$A$949,$A123,'09월 에너지'!$C$14:$C$949,$B123)))</f>
        <v/>
      </c>
      <c r="CT123" s="831" t="str">
        <f>IF($C123&lt;1,"",(AVERAGEIFS('09월 에너지'!AC$14:AC$949,'09월 에너지'!$A$14:$A$949,$A123,'09월 에너지'!$C$14:$C$949,$B123)))</f>
        <v/>
      </c>
      <c r="CU123" s="836" t="str">
        <f>IF($C123&lt;1,"",(AVERAGEIFS('09월 에너지'!AD$14:AD$949,'09월 에너지'!$A$14:$A$949,$A123,'09월 에너지'!$C$14:$C$949,$B123)))</f>
        <v/>
      </c>
      <c r="CV123" s="837" t="str">
        <f>IF($C123&lt;1,"",(AVERAGEIFS('09월 에너지'!AE$14:AE$949,'09월 에너지'!$A$14:$A$949,$A123,'09월 에너지'!$C$14:$C$949,$B123)))</f>
        <v/>
      </c>
      <c r="CW123" s="831" t="str">
        <f>IF($C123&lt;1,"",(AVERAGEIFS('09월 에너지'!AF$14:AF$949,'09월 에너지'!$A$14:$A$949,$A123,'09월 에너지'!$C$14:$C$949,$B123)))</f>
        <v/>
      </c>
      <c r="CX123" s="831" t="str">
        <f>IF($C123&lt;1,"",(AVERAGEIFS('09월 에너지'!AG$14:AG$949,'09월 에너지'!$A$14:$A$949,$A123,'09월 에너지'!$C$14:$C$949,$B123)))</f>
        <v/>
      </c>
      <c r="CY123" s="831" t="str">
        <f>IF($C123&lt;1,"",(AVERAGEIFS('09월 에너지'!AH$14:AH$949,'09월 에너지'!$A$14:$A$949,$A123,'09월 에너지'!$C$14:$C$949,$B123)))</f>
        <v/>
      </c>
      <c r="CZ123" s="831" t="str">
        <f>IF($C123&lt;1,"",(AVERAGEIFS('09월 에너지'!AI$14:AI$949,'09월 에너지'!$A$14:$A$949,$A123,'09월 에너지'!$C$14:$C$949,$B123)))</f>
        <v/>
      </c>
      <c r="DA123" s="838" t="str">
        <f>IF($C123&lt;1,"",(AVERAGEIFS('09월 에너지'!AJ$14:AJ$949,'09월 에너지'!$A$14:$A$949,$A123,'09월 에너지'!$C$14:$C$949,$B123)))</f>
        <v/>
      </c>
    </row>
    <row r="124" spans="1:105" ht="13.5" customHeight="1">
      <c r="A124" s="849">
        <f t="shared" si="20"/>
        <v>44950</v>
      </c>
      <c r="B124" s="850" t="s">
        <v>10</v>
      </c>
      <c r="C124" s="823">
        <f>COUNTIFS('09월 조업일지'!$A$12:$A$952,A121,'09월 조업일지'!$E$12:$E$952,B124)</f>
        <v>0</v>
      </c>
      <c r="D124" s="824" t="str">
        <f t="shared" si="27"/>
        <v/>
      </c>
      <c r="E124" s="824" t="str">
        <f>IF($C124&lt;1,"",(SUMIFS('09월 조업일지'!$K$12:$K$952,'09월 조업일지'!$A$12:$A$952,$A124,'09월 조업일지'!$E$12:$E$952,$B124)/$C124))</f>
        <v/>
      </c>
      <c r="F124" s="824" t="str">
        <f>IF($C124&lt;1,"",(AVERAGEIFS('09월 조업일지'!$J$12:$J$952,'09월 조업일지'!$A$12:$A$952,$A124,'09월 조업일지'!$E$12:$E$952,$B124)))</f>
        <v/>
      </c>
      <c r="G124" s="825" t="str">
        <f>IF($C124&lt;1,"",(AVERAGEIFS('09월 에너지'!$M$14:$M$949,'09월 에너지'!$A$14:$A$949,$A124,'09월 에너지'!$C$14:$C$949,$B124)))</f>
        <v/>
      </c>
      <c r="H124" s="826" t="str">
        <f>IF($C124&lt;1,"",(AVERAGEIFS('09월 조업일지'!$AJ$12:$AJ$952,'09월 조업일지'!$A$12:$A$952,$A124,'09월 조업일지'!$E$12:$E$952,$B124)))</f>
        <v/>
      </c>
      <c r="I124" s="826" t="str">
        <f>IF($C124&lt;1,"",(AVERAGEIFS('09월 조업일지'!$AL$12:$AL$952,'09월 조업일지'!$A$12:$A$952,$A124,'09월 조업일지'!$E$12:$E$952,$B124)))</f>
        <v/>
      </c>
      <c r="J124" s="827" t="str">
        <f>IF($C124&lt;1,"",(AVERAGEIFS('09월 화학성분'!G$12:G$949,'09월 화학성분'!$A$12:$A$949,$A124,'09월 화학성분'!$D$12:$D$949,$B124)))</f>
        <v/>
      </c>
      <c r="K124" s="827" t="str">
        <f>IF($C124&lt;1,"",(AVERAGEIFS('09월 화학성분'!H$12:H$949,'09월 화학성분'!$A$12:$A$949,$A124,'09월 화학성분'!$D$12:$D$949,$B124)))</f>
        <v/>
      </c>
      <c r="L124" s="827" t="str">
        <f>IF($C124&lt;1,"",(AVERAGEIFS('09월 화학성분'!I$12:I$949,'09월 화학성분'!$A$12:$A$949,$A124,'09월 화학성분'!$D$12:$D$949,$B124)))</f>
        <v/>
      </c>
      <c r="M124" s="827" t="str">
        <f>IF($C124&lt;1,"",(AVERAGEIFS('09월 화학성분'!J$12:J$949,'09월 화학성분'!$A$12:$A$949,$A124,'09월 화학성분'!$D$12:$D$949,$B124)))</f>
        <v/>
      </c>
      <c r="N124" s="827" t="str">
        <f>IF($C124&lt;1,"",(AVERAGEIFS('09월 화학성분'!K$12:K$949,'09월 화학성분'!$A$12:$A$949,$A124,'09월 화학성분'!$D$12:$D$949,$B124)))</f>
        <v/>
      </c>
      <c r="O124" s="827" t="str">
        <f>IF($C124&lt;1,"",(AVERAGEIFS('09월 화학성분'!L$12:L$949,'09월 화학성분'!$A$12:$A$949,$A124,'09월 화학성분'!$D$12:$D$949,$B124)))</f>
        <v/>
      </c>
      <c r="P124" s="827" t="str">
        <f>IF($C124&lt;1,"",(AVERAGEIFS('09월 화학성분'!M$12:M$949,'09월 화학성분'!$A$12:$A$949,$A124,'09월 화학성분'!$D$12:$D$949,$B124)))</f>
        <v/>
      </c>
      <c r="Q124" s="827" t="str">
        <f>IFERROR(IF($C124&lt;1,"",(AVERAGEIFS('09월 조업일지'!$AA$12:$AA$952,'09월 조업일지'!$A$12:$A$952,$A124,'09월 조업일지'!$E$12:$E$952,$B124))),"")</f>
        <v/>
      </c>
      <c r="R124" s="827" t="str">
        <f>IF($C124&lt;1,"",(AVERAGEIFS('09월 조업일지'!$AK$12:$AK$952,'09월 조업일지'!$A$12:$A$952,$A124,'09월 조업일지'!$E$12:$E$952,$B124)))</f>
        <v/>
      </c>
      <c r="S124" s="827"/>
      <c r="T124" s="827"/>
      <c r="U124" s="827" t="str">
        <f>IF($C124&lt;1,"",(AVERAGEIFS('09월 화학성분'!$G$12:$G$949,'09월 화학성분'!$A$12:$A$949,$A124,'09월 화학성분'!$D$12:$D$949,$B124)))</f>
        <v/>
      </c>
      <c r="V124" s="827" t="str">
        <f>IF($C124&lt;1,"",(AVERAGEIFS('09월 조업일지'!$AI$12:$AI$952,'09월 조업일지'!$A$12:$A$952,$A124,'09월 조업일지'!$E$12:$E$952,$B124)))</f>
        <v/>
      </c>
      <c r="W124" s="828" t="str">
        <f>IF($C124&lt;1,"",(AVERAGEIFS('09월 화학성분'!$AM$12:$AM$949,'09월 화학성분'!$A$12:$A$949,$A124,'09월 화학성분'!$D$12:$D$949,$B124)))</f>
        <v/>
      </c>
      <c r="X124" s="829" t="str">
        <f>IF($C124&lt;1,"",(AVERAGEIFS('09월 화학성분'!N$12:N$949,'09월 화학성분'!$A$12:$A$949,$A124,'09월 화학성분'!$D$12:$D$949,$B124)))</f>
        <v/>
      </c>
      <c r="Y124" s="829" t="str">
        <f>IF($C124&lt;1,"",(AVERAGEIFS('09월 화학성분'!O$12:O$949,'09월 화학성분'!$A$12:$A$949,$A124,'09월 화학성분'!$D$12:$D$949,$B124)))</f>
        <v/>
      </c>
      <c r="Z124" s="829" t="str">
        <f>IF($C124&lt;1,"",(AVERAGEIFS('09월 화학성분'!P$12:P$949,'09월 화학성분'!$A$12:$A$949,$A124,'09월 화학성분'!$D$12:$D$949,$B124)))</f>
        <v/>
      </c>
      <c r="AA124" s="829" t="str">
        <f>IF($C124&lt;1,"",(AVERAGEIFS('09월 화학성분'!Q$12:Q$949,'09월 화학성분'!$A$12:$A$949,$A124,'09월 화학성분'!$D$12:$D$949,$B124)))</f>
        <v/>
      </c>
      <c r="AB124" s="829" t="str">
        <f>IF($C124&lt;1,"",(AVERAGEIFS('09월 화학성분'!R$12:R$949,'09월 화학성분'!$A$12:$A$949,$A124,'09월 화학성분'!$D$12:$D$949,$B124)))</f>
        <v/>
      </c>
      <c r="AC124" s="829" t="str">
        <f>IF($C124&lt;1,"",(AVERAGEIFS('09월 화학성분'!U$12:U$949,'09월 화학성분'!$A$12:$A$949,$A124,'09월 화학성분'!$D$12:$D$949,$B124)))</f>
        <v/>
      </c>
      <c r="AD124" s="829" t="str">
        <f>IF($C124&lt;1,"",(AVERAGEIFS('09월 화학성분'!V$12:V$949,'09월 화학성분'!$A$12:$A$949,$A124,'09월 화학성분'!$D$12:$D$949,$B124)))</f>
        <v/>
      </c>
      <c r="AE124" s="829" t="str">
        <f>IF($C124&lt;1,"",(AVERAGEIFS('09월 화학성분'!W$12:W$949,'09월 화학성분'!$A$12:$A$949,$A124,'09월 화학성분'!$D$12:$D$949,$B124)))</f>
        <v/>
      </c>
      <c r="AF124" s="829" t="str">
        <f>IF($C124&lt;1,"",(AVERAGEIFS('09월 화학성분'!AA$12:AA$949,'09월 화학성분'!$A$12:$A$949,$A124,'09월 화학성분'!$D$12:$D$949,$B124)))</f>
        <v/>
      </c>
      <c r="AG124" s="829" t="str">
        <f>IF($C124&lt;1,"",(AVERAGEIFS('09월 화학성분'!#REF!,'09월 화학성분'!$A$12:$A$949,$A124,'09월 화학성분'!$D$12:$D$949,$B124)))</f>
        <v/>
      </c>
      <c r="AH124" s="829" t="str">
        <f>IF($C124&lt;1,"",(AVERAGEIFS('09월 화학성분'!AB$12:AB$949,'09월 화학성분'!$A$12:$A$949,$A124,'09월 화학성분'!$D$12:$D$949,$B124)))</f>
        <v/>
      </c>
      <c r="AI124" s="829" t="str">
        <f>IF($C124&lt;1,"",(AVERAGEIFS('09월 화학성분'!AC$12:AC$949,'09월 화학성분'!$A$12:$A$949,$A124,'09월 화학성분'!$D$12:$D$949,$B124)))</f>
        <v/>
      </c>
      <c r="AJ124" s="829" t="str">
        <f>IF($C124&lt;1,"",(AVERAGEIFS('09월 화학성분'!AD$12:AD$949,'09월 화학성분'!$A$12:$A$949,$A124,'09월 화학성분'!$D$12:$D$949,$B124)))</f>
        <v/>
      </c>
      <c r="AK124" s="829" t="str">
        <f>IF($C124&lt;1,"",(AVERAGEIFS('09월 화학성분'!AF$12:AF$949,'09월 화학성분'!$A$12:$A$949,$A124,'09월 화학성분'!$D$12:$D$949,$B124)))</f>
        <v/>
      </c>
      <c r="AL124" s="829" t="str">
        <f>IF($C124&lt;1,"",(AVERAGEIFS('09월 화학성분'!AG$12:AG$949,'09월 화학성분'!$A$12:$A$949,$A124,'09월 화학성분'!$D$12:$D$949,$B124)))</f>
        <v/>
      </c>
      <c r="AM124" s="829" t="str">
        <f>IF($C124&lt;1,"",(AVERAGEIFS('09월 화학성분'!AH$12:AH$949,'09월 화학성분'!$A$12:$A$949,$A124,'09월 화학성분'!$D$12:$D$949,$B124)))</f>
        <v/>
      </c>
      <c r="AN124" s="829" t="str">
        <f>IF($C124&lt;1,"",(AVERAGEIFS('09월 화학성분'!AI$12:AI$949,'09월 화학성분'!$A$12:$A$949,$A124,'09월 화학성분'!$D$12:$D$949,$B124)))</f>
        <v/>
      </c>
      <c r="AO124" s="829" t="str">
        <f>IF($C124&lt;1,"",(AVERAGEIFS('09월 화학성분'!AJ$12:AJ$949,'09월 화학성분'!$A$12:$A$949,$A124,'09월 화학성분'!$D$12:$D$949,$B124)))</f>
        <v/>
      </c>
      <c r="AP124" s="829" t="str">
        <f>IF($C124&lt;1,"",(AVERAGEIFS('09월 화학성분'!#REF!,'09월 화학성분'!$A$12:$A$949,$A124,'09월 화학성분'!$D$12:$D$949,$B124)))</f>
        <v/>
      </c>
      <c r="AQ124" s="829" t="str">
        <f>IF($C124&lt;1,"",(AVERAGEIFS('09월 화학성분'!AL$12:AL$949,'09월 화학성분'!$A$12:$A$949,$A124,'09월 화학성분'!$D$12:$D$949,$B124)))</f>
        <v/>
      </c>
      <c r="AR124" s="829" t="str">
        <f>IF($C124&lt;1,"",(AVERAGEIFS('09월 화학성분'!AM$12:AM$949,'09월 화학성분'!$A$12:$A$949,$A124,'09월 화학성분'!$D$12:$D$949,$B124)))</f>
        <v/>
      </c>
      <c r="AS124" s="830" t="str">
        <f>IF($C124&lt;1,"",(AVERAGEIFS('09월 화학성분'!AN$12:AN$949,'09월 화학성분'!$A$12:$A$949,$A124,'09월 화학성분'!$D$12:$D$949,$B124)))</f>
        <v/>
      </c>
      <c r="AT124" s="830" t="str">
        <f>IF($C124&lt;1,"",(AVERAGEIFS('09월 화학성분'!AO$12:AO$949,'09월 화학성분'!$A$12:$A$949,$A124,'09월 화학성분'!$D$12:$D$949,$B124)))</f>
        <v/>
      </c>
      <c r="AU124" s="831" t="str">
        <f>IF($C124&lt;1,"",(AVERAGEIFS('09월 화학성분'!AP$12:AP$949,'09월 화학성분'!$A$12:$A$949,$A124,'09월 화학성분'!$D$12:$D$949,$B124)))</f>
        <v/>
      </c>
      <c r="AV124" s="832" t="str">
        <f>IF($C124&lt;1,"",(AVERAGEIFS('09월 고철장입'!G$14:G$949,'09월 고철장입'!$A$14:$A$949,$A124,'09월 고철장입'!$C$14:$C$949,$B124))/1000)</f>
        <v/>
      </c>
      <c r="AW124" s="832" t="str">
        <f>IF($C124&lt;1,"",(AVERAGEIFS('09월 고철장입'!H$14:H$949,'09월 고철장입'!$A$14:$A$949,$A124,'09월 고철장입'!$C$14:$C$949,$B124))/1000)</f>
        <v/>
      </c>
      <c r="AX124" s="832" t="str">
        <f>IF($C124&lt;1,"",(AVERAGEIFS('09월 고철장입'!I$14:I$949,'09월 고철장입'!$A$14:$A$949,$A124,'09월 고철장입'!$C$14:$C$949,$B124))/1000)</f>
        <v/>
      </c>
      <c r="AY124" s="832" t="str">
        <f>IF($C124&lt;1,"",(AVERAGEIFS('09월 고철장입'!J$14:J$949,'09월 고철장입'!$A$14:$A$949,$A124,'09월 고철장입'!$C$14:$C$949,$B124))/1000)</f>
        <v/>
      </c>
      <c r="AZ124" s="832" t="str">
        <f>IF($C124&lt;1,"",(AVERAGEIFS('09월 고철장입'!K$14:K$949,'09월 고철장입'!$A$14:$A$949,$A124,'09월 고철장입'!$C$14:$C$949,$B124))/1000)</f>
        <v/>
      </c>
      <c r="BA124" s="832" t="str">
        <f>IF($C124&lt;1,"",(AVERAGEIFS('09월 고철장입'!L$14:L$949,'09월 고철장입'!$A$14:$A$949,$A124,'09월 고철장입'!$C$14:$C$949,$B124))/1000)</f>
        <v/>
      </c>
      <c r="BB124" s="832" t="str">
        <f>IF($C124&lt;1,"",(AVERAGEIFS('09월 고철장입'!M$14:M$949,'09월 고철장입'!$A$14:$A$949,$A124,'09월 고철장입'!$C$14:$C$949,$B124))/1000)</f>
        <v/>
      </c>
      <c r="BC124" s="832" t="str">
        <f>IF($C124&lt;1,"",(AVERAGEIFS('09월 고철장입'!N$14:N$949,'09월 고철장입'!$A$14:$A$949,$A124,'09월 고철장입'!$C$14:$C$949,$B124))/1000)</f>
        <v/>
      </c>
      <c r="BD124" s="832" t="str">
        <f>IF($C124&lt;1,"",(AVERAGEIFS('09월 고철장입'!O$14:O$949,'09월 고철장입'!$A$14:$A$949,$A124,'09월 고철장입'!$C$14:$C$949,$B124))/1000)</f>
        <v/>
      </c>
      <c r="BE124" s="833" t="str">
        <f>IF($C124&lt;1,"",(AVERAGEIFS('09월 고철장입'!P$14:P$949,'09월 고철장입'!$A$14:$A$949,$A124,'09월 고철장입'!$C$14:$C$949,$B124))/1000)</f>
        <v/>
      </c>
      <c r="BF124" s="833" t="str">
        <f>IF($C124&lt;1,"",(AVERAGEIFS('09월 고철장입'!Q$14:Q$949,'09월 고철장입'!$A$14:$A$949,$A124,'09월 고철장입'!$C$14:$C$949,$B124))/1000)</f>
        <v/>
      </c>
      <c r="BG124" s="833" t="str">
        <f>IF($C124&lt;1,"",(AVERAGEIFS('09월 고철장입'!S$14:S$949,'09월 고철장입'!$A$14:$A$949,$A124,'09월 고철장입'!$C$14:$C$949,$B124))/1000)</f>
        <v/>
      </c>
      <c r="BH124" s="833" t="str">
        <f>IF($C124&lt;1,"",(AVERAGEIFS('09월 고철장입'!T$14:T$949,'09월 고철장입'!$A$14:$A$949,$A124,'09월 고철장입'!$C$14:$C$949,$B124))/1000)</f>
        <v/>
      </c>
      <c r="BI124" s="833" t="str">
        <f>IF($C124&lt;1,"",(AVERAGEIFS('09월 고철장입'!U$14:U$949,'09월 고철장입'!$A$14:$A$949,$A124,'09월 고철장입'!$C$14:$C$949,$B124))/1000)</f>
        <v/>
      </c>
      <c r="BJ124" s="833" t="str">
        <f>IF($C124&lt;1,"",(AVERAGEIFS('09월 고철장입'!V$14:V$949,'09월 고철장입'!$A$14:$A$949,$A124,'09월 고철장입'!$C$14:$C$949,$B124))/1000)</f>
        <v/>
      </c>
      <c r="BK124" s="833" t="str">
        <f>IF($C124&lt;1,"",(AVERAGEIFS('09월 고철장입'!W$14:W$949,'09월 고철장입'!$A$14:$A$949,$A124,'09월 고철장입'!$C$14:$C$949,$B124))/1000)</f>
        <v/>
      </c>
      <c r="BL124" s="833" t="str">
        <f>IF($C124&lt;1,"",(AVERAGEIFS('09월 고철장입'!Y$14:Y$949,'09월 고철장입'!$A$14:$A$949,$A124,'09월 고철장입'!$C$14:$C$949,$B124))/1000)</f>
        <v/>
      </c>
      <c r="BM124" s="833" t="str">
        <f>IF($C124&lt;1,"",(AVERAGEIFS('09월 고철장입'!AB$14:AB$949,'09월 고철장입'!$A$14:$A$949,$A124,'09월 고철장입'!$C$14:$C$949,$B124))/1000)</f>
        <v/>
      </c>
      <c r="BN124" s="833" t="str">
        <f>IF($C124&lt;1,"",(AVERAGEIFS('09월 고철장입'!AC$14:AC$949,'09월 고철장입'!$A$14:$A$949,$A124,'09월 고철장입'!$C$14:$C$949,$B124))/1000)</f>
        <v/>
      </c>
      <c r="BO124" s="833" t="str">
        <f>IF($C124&lt;1,"",(AVERAGEIFS('09월 고철장입'!AD$14:AD$949,'09월 고철장입'!$A$14:$A$949,$A124,'09월 고철장입'!$C$14:$C$949,$B124))/1000)</f>
        <v/>
      </c>
      <c r="BP124" s="833" t="str">
        <f>IF($C124&lt;1,"",(AVERAGEIFS('09월 고철장입'!AE$14:AE$949,'09월 고철장입'!$A$14:$A$949,$A124,'09월 고철장입'!$C$14:$C$949,$B124))/1000)</f>
        <v/>
      </c>
      <c r="BQ124" s="832" t="str">
        <f>IF($C124&lt;1,"",(AVERAGEIFS('09월 고철장입'!AF$14:AF$949,'09월 고철장입'!$A$14:$A$949,$A124,'09월 고철장입'!$C$14:$C$949,$B124))/1000)</f>
        <v/>
      </c>
      <c r="BR124" s="832" t="str">
        <f>IF($C124&lt;1,"",(AVERAGEIFS('09월 고철장입'!AG$14:AG$949,'09월 고철장입'!$A$14:$A$949,$A124,'09월 고철장입'!$C$14:$C$949,$B124))/1000)</f>
        <v/>
      </c>
      <c r="BS124" s="832" t="str">
        <f>IF($C124&lt;1,"",(AVERAGEIFS('09월 고철장입'!AH$14:AH$949,'09월 고철장입'!$A$14:$A$949,$A124,'09월 고철장입'!$C$14:$C$949,$B124))/1000)</f>
        <v/>
      </c>
      <c r="BT124" s="832" t="str">
        <f>IF($C124&lt;1,"",(AVERAGEIFS('09월 고철장입'!AI$14:AI$949,'09월 고철장입'!$A$14:$A$949,$A124,'09월 고철장입'!$C$14:$C$949,$B124))/1000)</f>
        <v/>
      </c>
      <c r="BU124" s="834" t="str">
        <f>IF($C124&lt;1,"",(AVERAGEIFS('09월 고철장입'!AJ$14:AJ$949,'09월 고철장입'!$A$14:$A$949,$A124,'09월 고철장입'!$C$14:$C$949,$B124))/1000)</f>
        <v/>
      </c>
      <c r="BV124" s="834" t="str">
        <f>IF($C124&lt;1,"",(AVERAGEIFS('09월 고철장입'!AK$14:AK$949,'09월 고철장입'!$A$14:$A$949,$A124,'09월 고철장입'!$C$14:$C$949,$B124)))</f>
        <v/>
      </c>
      <c r="BW124" s="834" t="str">
        <f>IF($C124&lt;1,"",(AVERAGEIFS('09월 고철장입'!AL$14:AL$949,'09월 고철장입'!$A$14:$A$949,$A124,'09월 고철장입'!$C$14:$C$949,$B124))*100)</f>
        <v/>
      </c>
      <c r="BX124" s="831" t="str">
        <f>IF($C124&lt;1,"",(AVERAGEIFS('09월 에너지'!G$14:G$949,'09월 에너지'!$A$14:$A$949,$A124,'09월 에너지'!$C$14:$C$949,$B124)))</f>
        <v/>
      </c>
      <c r="BY124" s="835" t="str">
        <f>IF($C124&lt;1,"",(AVERAGEIFS('09월 에너지'!H$14:H$949,'09월 에너지'!$A$14:$A$949,$A124,'09월 에너지'!$C$14:$C$949,$B124)))</f>
        <v/>
      </c>
      <c r="BZ124" s="831" t="str">
        <f>IF($C124&lt;1,"",(AVERAGEIFS('09월 에너지'!I$14:I$949,'09월 에너지'!$A$14:$A$949,$A124,'09월 에너지'!$C$14:$C$949,$B124)))</f>
        <v/>
      </c>
      <c r="CA124" s="835" t="str">
        <f>IF($C124&lt;1,"",(AVERAGEIFS('09월 에너지'!J$14:J$949,'09월 에너지'!$A$14:$A$949,$A124,'09월 에너지'!$C$14:$C$949,$B124)))</f>
        <v/>
      </c>
      <c r="CB124" s="831" t="str">
        <f>IF($C124&lt;1,"",(AVERAGEIFS('09월 에너지'!K$14:K$949,'09월 에너지'!$A$14:$A$949,$A124,'09월 에너지'!$C$14:$C$949,$B124)))</f>
        <v/>
      </c>
      <c r="CC124" s="835" t="str">
        <f>IF($C124&lt;1,"",(AVERAGEIFS('09월 에너지'!L$14:L$949,'09월 에너지'!$A$14:$A$949,$A124,'09월 에너지'!$C$14:$C$949,$B124)))</f>
        <v/>
      </c>
      <c r="CD124" s="831" t="str">
        <f>IF($C124&lt;1,"",(AVERAGEIFS('09월 에너지'!M$14:M$949,'09월 에너지'!$A$14:$A$949,$A124,'09월 에너지'!$C$14:$C$949,$B124)))</f>
        <v/>
      </c>
      <c r="CE124" s="835" t="str">
        <f>IF($C124&lt;1,"",(AVERAGEIFS('09월 에너지'!N$14:N$949,'09월 에너지'!$A$14:$A$949,$A124,'09월 에너지'!$C$14:$C$949,$B124)))</f>
        <v/>
      </c>
      <c r="CF124" s="831" t="str">
        <f>IF($C124&lt;1,"",(AVERAGEIFS('09월 에너지'!O$14:O$949,'09월 에너지'!$A$14:$A$949,$A124,'09월 에너지'!$C$14:$C$949,$B124)))</f>
        <v/>
      </c>
      <c r="CG124" s="831" t="str">
        <f>IF($C124&lt;1,"",(AVERAGEIFS('09월 에너지'!P$14:P$949,'09월 에너지'!$A$14:$A$949,$A124,'09월 에너지'!$C$14:$C$949,$B124)))</f>
        <v/>
      </c>
      <c r="CH124" s="831" t="str">
        <f>IF($C124&lt;1,"",(AVERAGEIFS('09월 에너지'!Q$14:Q$949,'09월 에너지'!$A$14:$A$949,$A124,'09월 에너지'!$C$14:$C$949,$B124)))</f>
        <v/>
      </c>
      <c r="CI124" s="831" t="str">
        <f>IF($C124&lt;1,"",(AVERAGEIFS('09월 에너지'!R$14:R$949,'09월 에너지'!$A$14:$A$949,$A124,'09월 에너지'!$C$14:$C$949,$B124)))</f>
        <v/>
      </c>
      <c r="CJ124" s="831" t="str">
        <f>IF($C124&lt;1,"",(AVERAGEIFS('09월 에너지'!S$14:S$949,'09월 에너지'!$A$14:$A$949,$A124,'09월 에너지'!$C$14:$C$949,$B124)))</f>
        <v/>
      </c>
      <c r="CK124" s="831" t="str">
        <f>IF($C124&lt;1,"",(AVERAGEIFS('09월 에너지'!T$14:T$949,'09월 에너지'!$A$14:$A$949,$A124,'09월 에너지'!$C$14:$C$949,$B124)))</f>
        <v/>
      </c>
      <c r="CL124" s="831" t="str">
        <f>IF($C124&lt;1,"",(AVERAGEIFS('09월 에너지'!U$14:U$949,'09월 에너지'!$A$14:$A$949,$A124,'09월 에너지'!$C$14:$C$949,$B124)))</f>
        <v/>
      </c>
      <c r="CM124" s="835" t="str">
        <f>IF($C124&lt;1,"",(AVERAGEIFS('09월 에너지'!V$14:V$949,'09월 에너지'!$A$14:$A$949,$A124,'09월 에너지'!$C$14:$C$949,$B124)))</f>
        <v/>
      </c>
      <c r="CN124" s="835" t="str">
        <f>IF($C124&lt;1,"",(AVERAGEIFS('09월 에너지'!W$14:W$949,'09월 에너지'!$A$14:$A$949,$A124,'09월 에너지'!$C$14:$C$949,$B124)))</f>
        <v/>
      </c>
      <c r="CO124" s="831" t="str">
        <f>IF($C124&lt;1,"",(AVERAGEIFS('09월 에너지'!X$14:X$949,'09월 에너지'!$A$14:$A$949,$A124,'09월 에너지'!$C$14:$C$949,$B124)))</f>
        <v/>
      </c>
      <c r="CP124" s="835" t="str">
        <f>IF($C124&lt;1,"",(AVERAGEIFS('09월 에너지'!Y$14:Y$949,'09월 에너지'!$A$14:$A$949,$A124,'09월 에너지'!$C$14:$C$949,$B124)))</f>
        <v/>
      </c>
      <c r="CQ124" s="835" t="str">
        <f>IF($C124&lt;1,"",(AVERAGEIFS('09월 에너지'!Z$14:Z$949,'09월 에너지'!$A$14:$A$949,$A124,'09월 에너지'!$C$14:$C$949,$B124)))</f>
        <v/>
      </c>
      <c r="CR124" s="835" t="str">
        <f>IF($C124&lt;1,"",(AVERAGEIFS('09월 에너지'!AA$14:AA$949,'09월 에너지'!$A$14:$A$949,$A124,'09월 에너지'!$C$14:$C$949,$B124)))</f>
        <v/>
      </c>
      <c r="CS124" s="835" t="str">
        <f>IF($C124&lt;1,"",(AVERAGEIFS('09월 에너지'!AB$14:AB$949,'09월 에너지'!$A$14:$A$949,$A124,'09월 에너지'!$C$14:$C$949,$B124)))</f>
        <v/>
      </c>
      <c r="CT124" s="831" t="str">
        <f>IF($C124&lt;1,"",(AVERAGEIFS('09월 에너지'!AC$14:AC$949,'09월 에너지'!$A$14:$A$949,$A124,'09월 에너지'!$C$14:$C$949,$B124)))</f>
        <v/>
      </c>
      <c r="CU124" s="836" t="str">
        <f>IF($C124&lt;1,"",(AVERAGEIFS('09월 에너지'!AD$14:AD$949,'09월 에너지'!$A$14:$A$949,$A124,'09월 에너지'!$C$14:$C$949,$B124)))</f>
        <v/>
      </c>
      <c r="CV124" s="837" t="str">
        <f>IF($C124&lt;1,"",(AVERAGEIFS('09월 에너지'!AE$14:AE$949,'09월 에너지'!$A$14:$A$949,$A124,'09월 에너지'!$C$14:$C$949,$B124)))</f>
        <v/>
      </c>
      <c r="CW124" s="831" t="str">
        <f>IF($C124&lt;1,"",(AVERAGEIFS('09월 에너지'!AF$14:AF$949,'09월 에너지'!$A$14:$A$949,$A124,'09월 에너지'!$C$14:$C$949,$B124)))</f>
        <v/>
      </c>
      <c r="CX124" s="831" t="str">
        <f>IF($C124&lt;1,"",(AVERAGEIFS('09월 에너지'!AG$14:AG$949,'09월 에너지'!$A$14:$A$949,$A124,'09월 에너지'!$C$14:$C$949,$B124)))</f>
        <v/>
      </c>
      <c r="CY124" s="831" t="str">
        <f>IF($C124&lt;1,"",(AVERAGEIFS('09월 에너지'!AH$14:AH$949,'09월 에너지'!$A$14:$A$949,$A124,'09월 에너지'!$C$14:$C$949,$B124)))</f>
        <v/>
      </c>
      <c r="CZ124" s="831" t="str">
        <f>IF($C124&lt;1,"",(AVERAGEIFS('09월 에너지'!AI$14:AI$949,'09월 에너지'!$A$14:$A$949,$A124,'09월 에너지'!$C$14:$C$949,$B124)))</f>
        <v/>
      </c>
      <c r="DA124" s="838" t="str">
        <f>IF($C124&lt;1,"",(AVERAGEIFS('09월 에너지'!AJ$14:AJ$949,'09월 에너지'!$A$14:$A$949,$A124,'09월 에너지'!$C$14:$C$949,$B124)))</f>
        <v/>
      </c>
    </row>
    <row r="125" spans="1:105" ht="13.5" customHeight="1" thickBot="1">
      <c r="A125" s="851">
        <f t="shared" si="20"/>
        <v>44950</v>
      </c>
      <c r="B125" s="852" t="s">
        <v>94</v>
      </c>
      <c r="C125" s="841">
        <f>COUNTIFS('09월 조업일지'!$A$12:$A$952,A121,'09월 조업일지'!$E$12:$E$952,B125)</f>
        <v>0</v>
      </c>
      <c r="D125" s="842" t="str">
        <f t="shared" si="27"/>
        <v/>
      </c>
      <c r="E125" s="842" t="str">
        <f>IF($C125&lt;1,"",(SUMIFS('09월 조업일지'!$K$12:$K$952,'09월 조업일지'!$A$12:$A$952,$A125,'09월 조업일지'!$E$12:$E$952,$B125)/$C125))</f>
        <v/>
      </c>
      <c r="F125" s="842" t="str">
        <f>IF($C125&lt;1,"",(AVERAGEIFS('09월 조업일지'!$J$12:$J$952,'09월 조업일지'!$A$12:$A$952,$A125,'09월 조업일지'!$E$12:$E$952,$B125)))</f>
        <v/>
      </c>
      <c r="G125" s="843" t="str">
        <f>IF($C125&lt;1,"",(AVERAGEIFS('09월 에너지'!$M$14:$M$949,'09월 에너지'!$A$14:$A$949,$A125,'09월 에너지'!$C$14:$C$949,$B125)))</f>
        <v/>
      </c>
      <c r="H125" s="844" t="str">
        <f>IF($C125&lt;1,"",(AVERAGEIFS('09월 조업일지'!$AJ$12:$AJ$952,'09월 조업일지'!$A$12:$A$952,$A125,'09월 조업일지'!$E$12:$E$952,$B125)))</f>
        <v/>
      </c>
      <c r="I125" s="844" t="str">
        <f>IF($C125&lt;1,"",(AVERAGEIFS('09월 조업일지'!$AL$12:$AL$952,'09월 조업일지'!$A$12:$A$952,$A125,'09월 조업일지'!$E$12:$E$952,$B125)))</f>
        <v/>
      </c>
      <c r="J125" s="845" t="str">
        <f>IF($C125&lt;1,"",(AVERAGEIFS('09월 화학성분'!G$12:G$949,'09월 화학성분'!$A$12:$A$949,$A125,'09월 화학성분'!$D$12:$D$949,$B125)))</f>
        <v/>
      </c>
      <c r="K125" s="845" t="str">
        <f>IF($C125&lt;1,"",(AVERAGEIFS('09월 화학성분'!H$12:H$949,'09월 화학성분'!$A$12:$A$949,$A125,'09월 화학성분'!$D$12:$D$949,$B125)))</f>
        <v/>
      </c>
      <c r="L125" s="845" t="str">
        <f>IF($C125&lt;1,"",(AVERAGEIFS('09월 화학성분'!I$12:I$949,'09월 화학성분'!$A$12:$A$949,$A125,'09월 화학성분'!$D$12:$D$949,$B125)))</f>
        <v/>
      </c>
      <c r="M125" s="845" t="str">
        <f>IF($C125&lt;1,"",(AVERAGEIFS('09월 화학성분'!J$12:J$949,'09월 화학성분'!$A$12:$A$949,$A125,'09월 화학성분'!$D$12:$D$949,$B125)))</f>
        <v/>
      </c>
      <c r="N125" s="845" t="str">
        <f>IF($C125&lt;1,"",(AVERAGEIFS('09월 화학성분'!K$12:K$949,'09월 화학성분'!$A$12:$A$949,$A125,'09월 화학성분'!$D$12:$D$949,$B125)))</f>
        <v/>
      </c>
      <c r="O125" s="845" t="str">
        <f>IF($C125&lt;1,"",(AVERAGEIFS('09월 화학성분'!L$12:L$949,'09월 화학성분'!$A$12:$A$949,$A125,'09월 화학성분'!$D$12:$D$949,$B125)))</f>
        <v/>
      </c>
      <c r="P125" s="845" t="str">
        <f>IF($C125&lt;1,"",(AVERAGEIFS('09월 화학성분'!M$12:M$949,'09월 화학성분'!$A$12:$A$949,$A125,'09월 화학성분'!$D$12:$D$949,$B125)))</f>
        <v/>
      </c>
      <c r="Q125" s="827" t="str">
        <f>IFERROR(IF($C125&lt;1,"",(AVERAGEIFS('09월 조업일지'!$AA$12:$AA$952,'09월 조업일지'!$A$12:$A$952,$A125,'09월 조업일지'!$E$12:$E$952,$B125))),"")</f>
        <v/>
      </c>
      <c r="R125" s="845" t="str">
        <f>IF($C125&lt;1,"",(AVERAGEIFS('09월 조업일지'!$AK$12:$AK$952,'09월 조업일지'!$A$12:$A$952,$A125,'09월 조업일지'!$E$12:$E$952,$B125)))</f>
        <v/>
      </c>
      <c r="S125" s="845"/>
      <c r="T125" s="845"/>
      <c r="U125" s="845" t="str">
        <f>IF($C125&lt;1,"",(AVERAGEIFS('09월 화학성분'!$G$12:$G$949,'09월 화학성분'!$A$12:$A$949,$A125,'09월 화학성분'!$D$12:$D$949,$B125)))</f>
        <v/>
      </c>
      <c r="V125" s="845" t="str">
        <f>IF($C125&lt;1,"",(AVERAGEIFS('09월 조업일지'!$AI$12:$AI$952,'09월 조업일지'!$A$12:$A$952,$A125,'09월 조업일지'!$E$12:$E$952,$B125)))</f>
        <v/>
      </c>
      <c r="W125" s="846" t="str">
        <f>IF($C125&lt;1,"",(AVERAGEIFS('09월 화학성분'!$AM$12:$AM$949,'09월 화학성분'!$A$12:$A$949,$A125,'09월 화학성분'!$D$12:$D$949,$B125)))</f>
        <v/>
      </c>
      <c r="X125" s="829" t="str">
        <f>IF($C125&lt;1,"",(AVERAGEIFS('09월 화학성분'!N$12:N$949,'09월 화학성분'!$A$12:$A$949,$A125,'09월 화학성분'!$D$12:$D$949,$B125)))</f>
        <v/>
      </c>
      <c r="Y125" s="829" t="str">
        <f>IF($C125&lt;1,"",(AVERAGEIFS('09월 화학성분'!O$12:O$949,'09월 화학성분'!$A$12:$A$949,$A125,'09월 화학성분'!$D$12:$D$949,$B125)))</f>
        <v/>
      </c>
      <c r="Z125" s="829" t="str">
        <f>IF($C125&lt;1,"",(AVERAGEIFS('09월 화학성분'!P$12:P$949,'09월 화학성분'!$A$12:$A$949,$A125,'09월 화학성분'!$D$12:$D$949,$B125)))</f>
        <v/>
      </c>
      <c r="AA125" s="829" t="str">
        <f>IF($C125&lt;1,"",(AVERAGEIFS('09월 화학성분'!Q$12:Q$949,'09월 화학성분'!$A$12:$A$949,$A125,'09월 화학성분'!$D$12:$D$949,$B125)))</f>
        <v/>
      </c>
      <c r="AB125" s="829" t="str">
        <f>IF($C125&lt;1,"",(AVERAGEIFS('09월 화학성분'!R$12:R$949,'09월 화학성분'!$A$12:$A$949,$A125,'09월 화학성분'!$D$12:$D$949,$B125)))</f>
        <v/>
      </c>
      <c r="AC125" s="829" t="str">
        <f>IF($C125&lt;1,"",(AVERAGEIFS('09월 화학성분'!U$12:U$949,'09월 화학성분'!$A$12:$A$949,$A125,'09월 화학성분'!$D$12:$D$949,$B125)))</f>
        <v/>
      </c>
      <c r="AD125" s="829" t="str">
        <f>IF($C125&lt;1,"",(AVERAGEIFS('09월 화학성분'!V$12:V$949,'09월 화학성분'!$A$12:$A$949,$A125,'09월 화학성분'!$D$12:$D$949,$B125)))</f>
        <v/>
      </c>
      <c r="AE125" s="829" t="str">
        <f>IF($C125&lt;1,"",(AVERAGEIFS('09월 화학성분'!W$12:W$949,'09월 화학성분'!$A$12:$A$949,$A125,'09월 화학성분'!$D$12:$D$949,$B125)))</f>
        <v/>
      </c>
      <c r="AF125" s="829" t="str">
        <f>IF($C125&lt;1,"",(AVERAGEIFS('09월 화학성분'!AA$12:AA$949,'09월 화학성분'!$A$12:$A$949,$A125,'09월 화학성분'!$D$12:$D$949,$B125)))</f>
        <v/>
      </c>
      <c r="AG125" s="829" t="str">
        <f>IF($C125&lt;1,"",(AVERAGEIFS('09월 화학성분'!#REF!,'09월 화학성분'!$A$12:$A$949,$A125,'09월 화학성분'!$D$12:$D$949,$B125)))</f>
        <v/>
      </c>
      <c r="AH125" s="829" t="str">
        <f>IF($C125&lt;1,"",(AVERAGEIFS('09월 화학성분'!AB$12:AB$949,'09월 화학성분'!$A$12:$A$949,$A125,'09월 화학성분'!$D$12:$D$949,$B125)))</f>
        <v/>
      </c>
      <c r="AI125" s="829" t="str">
        <f>IF($C125&lt;1,"",(AVERAGEIFS('09월 화학성분'!AC$12:AC$949,'09월 화학성분'!$A$12:$A$949,$A125,'09월 화학성분'!$D$12:$D$949,$B125)))</f>
        <v/>
      </c>
      <c r="AJ125" s="829" t="str">
        <f>IF($C125&lt;1,"",(AVERAGEIFS('09월 화학성분'!AD$12:AD$949,'09월 화학성분'!$A$12:$A$949,$A125,'09월 화학성분'!$D$12:$D$949,$B125)))</f>
        <v/>
      </c>
      <c r="AK125" s="829" t="str">
        <f>IF($C125&lt;1,"",(AVERAGEIFS('09월 화학성분'!AF$12:AF$949,'09월 화학성분'!$A$12:$A$949,$A125,'09월 화학성분'!$D$12:$D$949,$B125)))</f>
        <v/>
      </c>
      <c r="AL125" s="829" t="str">
        <f>IF($C125&lt;1,"",(AVERAGEIFS('09월 화학성분'!AG$12:AG$949,'09월 화학성분'!$A$12:$A$949,$A125,'09월 화학성분'!$D$12:$D$949,$B125)))</f>
        <v/>
      </c>
      <c r="AM125" s="829" t="str">
        <f>IF($C125&lt;1,"",(AVERAGEIFS('09월 화학성분'!AH$12:AH$949,'09월 화학성분'!$A$12:$A$949,$A125,'09월 화학성분'!$D$12:$D$949,$B125)))</f>
        <v/>
      </c>
      <c r="AN125" s="829" t="str">
        <f>IF($C125&lt;1,"",(AVERAGEIFS('09월 화학성분'!AI$12:AI$949,'09월 화학성분'!$A$12:$A$949,$A125,'09월 화학성분'!$D$12:$D$949,$B125)))</f>
        <v/>
      </c>
      <c r="AO125" s="829" t="str">
        <f>IF($C125&lt;1,"",(AVERAGEIFS('09월 화학성분'!AJ$12:AJ$949,'09월 화학성분'!$A$12:$A$949,$A125,'09월 화학성분'!$D$12:$D$949,$B125)))</f>
        <v/>
      </c>
      <c r="AP125" s="829" t="str">
        <f>IF($C125&lt;1,"",(AVERAGEIFS('09월 화학성분'!#REF!,'09월 화학성분'!$A$12:$A$949,$A125,'09월 화학성분'!$D$12:$D$949,$B125)))</f>
        <v/>
      </c>
      <c r="AQ125" s="829" t="str">
        <f>IF($C125&lt;1,"",(AVERAGEIFS('09월 화학성분'!AL$12:AL$949,'09월 화학성분'!$A$12:$A$949,$A125,'09월 화학성분'!$D$12:$D$949,$B125)))</f>
        <v/>
      </c>
      <c r="AR125" s="829" t="str">
        <f>IF($C125&lt;1,"",(AVERAGEIFS('09월 화학성분'!AM$12:AM$949,'09월 화학성분'!$A$12:$A$949,$A125,'09월 화학성분'!$D$12:$D$949,$B125)))</f>
        <v/>
      </c>
      <c r="AS125" s="830" t="str">
        <f>IF($C125&lt;1,"",(AVERAGEIFS('09월 화학성분'!AN$12:AN$949,'09월 화학성분'!$A$12:$A$949,$A125,'09월 화학성분'!$D$12:$D$949,$B125)))</f>
        <v/>
      </c>
      <c r="AT125" s="830" t="str">
        <f>IF($C125&lt;1,"",(AVERAGEIFS('09월 화학성분'!AO$12:AO$949,'09월 화학성분'!$A$12:$A$949,$A125,'09월 화학성분'!$D$12:$D$949,$B125)))</f>
        <v/>
      </c>
      <c r="AU125" s="831" t="str">
        <f>IF($C125&lt;1,"",(AVERAGEIFS('09월 화학성분'!AP$12:AP$949,'09월 화학성분'!$A$12:$A$949,$A125,'09월 화학성분'!$D$12:$D$949,$B125)))</f>
        <v/>
      </c>
      <c r="AV125" s="832" t="str">
        <f>IF($C125&lt;1,"",(AVERAGEIFS('09월 고철장입'!G$14:G$949,'09월 고철장입'!$A$14:$A$949,$A125,'09월 고철장입'!$C$14:$C$949,$B125))/1000)</f>
        <v/>
      </c>
      <c r="AW125" s="832" t="str">
        <f>IF($C125&lt;1,"",(AVERAGEIFS('09월 고철장입'!H$14:H$949,'09월 고철장입'!$A$14:$A$949,$A125,'09월 고철장입'!$C$14:$C$949,$B125))/1000)</f>
        <v/>
      </c>
      <c r="AX125" s="832" t="str">
        <f>IF($C125&lt;1,"",(AVERAGEIFS('09월 고철장입'!I$14:I$949,'09월 고철장입'!$A$14:$A$949,$A125,'09월 고철장입'!$C$14:$C$949,$B125))/1000)</f>
        <v/>
      </c>
      <c r="AY125" s="832" t="str">
        <f>IF($C125&lt;1,"",(AVERAGEIFS('09월 고철장입'!J$14:J$949,'09월 고철장입'!$A$14:$A$949,$A125,'09월 고철장입'!$C$14:$C$949,$B125))/1000)</f>
        <v/>
      </c>
      <c r="AZ125" s="832" t="str">
        <f>IF($C125&lt;1,"",(AVERAGEIFS('09월 고철장입'!K$14:K$949,'09월 고철장입'!$A$14:$A$949,$A125,'09월 고철장입'!$C$14:$C$949,$B125))/1000)</f>
        <v/>
      </c>
      <c r="BA125" s="832" t="str">
        <f>IF($C125&lt;1,"",(AVERAGEIFS('09월 고철장입'!L$14:L$949,'09월 고철장입'!$A$14:$A$949,$A125,'09월 고철장입'!$C$14:$C$949,$B125))/1000)</f>
        <v/>
      </c>
      <c r="BB125" s="832" t="str">
        <f>IF($C125&lt;1,"",(AVERAGEIFS('09월 고철장입'!M$14:M$949,'09월 고철장입'!$A$14:$A$949,$A125,'09월 고철장입'!$C$14:$C$949,$B125))/1000)</f>
        <v/>
      </c>
      <c r="BC125" s="832" t="str">
        <f>IF($C125&lt;1,"",(AVERAGEIFS('09월 고철장입'!N$14:N$949,'09월 고철장입'!$A$14:$A$949,$A125,'09월 고철장입'!$C$14:$C$949,$B125))/1000)</f>
        <v/>
      </c>
      <c r="BD125" s="832" t="str">
        <f>IF($C125&lt;1,"",(AVERAGEIFS('09월 고철장입'!O$14:O$949,'09월 고철장입'!$A$14:$A$949,$A125,'09월 고철장입'!$C$14:$C$949,$B125))/1000)</f>
        <v/>
      </c>
      <c r="BE125" s="833" t="str">
        <f>IF($C125&lt;1,"",(AVERAGEIFS('09월 고철장입'!P$14:P$949,'09월 고철장입'!$A$14:$A$949,$A125,'09월 고철장입'!$C$14:$C$949,$B125))/1000)</f>
        <v/>
      </c>
      <c r="BF125" s="833" t="str">
        <f>IF($C125&lt;1,"",(AVERAGEIFS('09월 고철장입'!Q$14:Q$949,'09월 고철장입'!$A$14:$A$949,$A125,'09월 고철장입'!$C$14:$C$949,$B125))/1000)</f>
        <v/>
      </c>
      <c r="BG125" s="833" t="str">
        <f>IF($C125&lt;1,"",(AVERAGEIFS('09월 고철장입'!S$14:S$949,'09월 고철장입'!$A$14:$A$949,$A125,'09월 고철장입'!$C$14:$C$949,$B125))/1000)</f>
        <v/>
      </c>
      <c r="BH125" s="833" t="str">
        <f>IF($C125&lt;1,"",(AVERAGEIFS('09월 고철장입'!T$14:T$949,'09월 고철장입'!$A$14:$A$949,$A125,'09월 고철장입'!$C$14:$C$949,$B125))/1000)</f>
        <v/>
      </c>
      <c r="BI125" s="833" t="str">
        <f>IF($C125&lt;1,"",(AVERAGEIFS('09월 고철장입'!U$14:U$949,'09월 고철장입'!$A$14:$A$949,$A125,'09월 고철장입'!$C$14:$C$949,$B125))/1000)</f>
        <v/>
      </c>
      <c r="BJ125" s="833" t="str">
        <f>IF($C125&lt;1,"",(AVERAGEIFS('09월 고철장입'!V$14:V$949,'09월 고철장입'!$A$14:$A$949,$A125,'09월 고철장입'!$C$14:$C$949,$B125))/1000)</f>
        <v/>
      </c>
      <c r="BK125" s="833" t="str">
        <f>IF($C125&lt;1,"",(AVERAGEIFS('09월 고철장입'!W$14:W$949,'09월 고철장입'!$A$14:$A$949,$A125,'09월 고철장입'!$C$14:$C$949,$B125))/1000)</f>
        <v/>
      </c>
      <c r="BL125" s="833" t="str">
        <f>IF($C125&lt;1,"",(AVERAGEIFS('09월 고철장입'!Y$14:Y$949,'09월 고철장입'!$A$14:$A$949,$A125,'09월 고철장입'!$C$14:$C$949,$B125))/1000)</f>
        <v/>
      </c>
      <c r="BM125" s="833" t="str">
        <f>IF($C125&lt;1,"",(AVERAGEIFS('09월 고철장입'!AB$14:AB$949,'09월 고철장입'!$A$14:$A$949,$A125,'09월 고철장입'!$C$14:$C$949,$B125))/1000)</f>
        <v/>
      </c>
      <c r="BN125" s="833" t="str">
        <f>IF($C125&lt;1,"",(AVERAGEIFS('09월 고철장입'!AC$14:AC$949,'09월 고철장입'!$A$14:$A$949,$A125,'09월 고철장입'!$C$14:$C$949,$B125))/1000)</f>
        <v/>
      </c>
      <c r="BO125" s="833" t="str">
        <f>IF($C125&lt;1,"",(AVERAGEIFS('09월 고철장입'!AD$14:AD$949,'09월 고철장입'!$A$14:$A$949,$A125,'09월 고철장입'!$C$14:$C$949,$B125))/1000)</f>
        <v/>
      </c>
      <c r="BP125" s="833" t="str">
        <f>IF($C125&lt;1,"",(AVERAGEIFS('09월 고철장입'!AE$14:AE$949,'09월 고철장입'!$A$14:$A$949,$A125,'09월 고철장입'!$C$14:$C$949,$B125))/1000)</f>
        <v/>
      </c>
      <c r="BQ125" s="832" t="str">
        <f>IF($C125&lt;1,"",(AVERAGEIFS('09월 고철장입'!AF$14:AF$949,'09월 고철장입'!$A$14:$A$949,$A125,'09월 고철장입'!$C$14:$C$949,$B125))/1000)</f>
        <v/>
      </c>
      <c r="BR125" s="832" t="str">
        <f>IF($C125&lt;1,"",(AVERAGEIFS('09월 고철장입'!AG$14:AG$949,'09월 고철장입'!$A$14:$A$949,$A125,'09월 고철장입'!$C$14:$C$949,$B125))/1000)</f>
        <v/>
      </c>
      <c r="BS125" s="832" t="str">
        <f>IF($C125&lt;1,"",(AVERAGEIFS('09월 고철장입'!AH$14:AH$949,'09월 고철장입'!$A$14:$A$949,$A125,'09월 고철장입'!$C$14:$C$949,$B125))/1000)</f>
        <v/>
      </c>
      <c r="BT125" s="832" t="str">
        <f>IF($C125&lt;1,"",(AVERAGEIFS('09월 고철장입'!AI$14:AI$949,'09월 고철장입'!$A$14:$A$949,$A125,'09월 고철장입'!$C$14:$C$949,$B125))/1000)</f>
        <v/>
      </c>
      <c r="BU125" s="834" t="str">
        <f>IF($C125&lt;1,"",(AVERAGEIFS('09월 고철장입'!AJ$14:AJ$949,'09월 고철장입'!$A$14:$A$949,$A125,'09월 고철장입'!$C$14:$C$949,$B125))/1000)</f>
        <v/>
      </c>
      <c r="BV125" s="834" t="str">
        <f>IF($C125&lt;1,"",(AVERAGEIFS('09월 고철장입'!AK$14:AK$949,'09월 고철장입'!$A$14:$A$949,$A125,'09월 고철장입'!$C$14:$C$949,$B125)))</f>
        <v/>
      </c>
      <c r="BW125" s="834" t="str">
        <f>IF($C125&lt;1,"",(AVERAGEIFS('09월 고철장입'!AL$14:AL$949,'09월 고철장입'!$A$14:$A$949,$A125,'09월 고철장입'!$C$14:$C$949,$B125))*100)</f>
        <v/>
      </c>
      <c r="BX125" s="831" t="str">
        <f>IF($C125&lt;1,"",(AVERAGEIFS('09월 에너지'!G$14:G$949,'09월 에너지'!$A$14:$A$949,$A125,'09월 에너지'!$C$14:$C$949,$B125)))</f>
        <v/>
      </c>
      <c r="BY125" s="835" t="str">
        <f>IF($C125&lt;1,"",(AVERAGEIFS('09월 에너지'!H$14:H$949,'09월 에너지'!$A$14:$A$949,$A125,'09월 에너지'!$C$14:$C$949,$B125)))</f>
        <v/>
      </c>
      <c r="BZ125" s="831" t="str">
        <f>IF($C125&lt;1,"",(AVERAGEIFS('09월 에너지'!I$14:I$949,'09월 에너지'!$A$14:$A$949,$A125,'09월 에너지'!$C$14:$C$949,$B125)))</f>
        <v/>
      </c>
      <c r="CA125" s="835" t="str">
        <f>IF($C125&lt;1,"",(AVERAGEIFS('09월 에너지'!J$14:J$949,'09월 에너지'!$A$14:$A$949,$A125,'09월 에너지'!$C$14:$C$949,$B125)))</f>
        <v/>
      </c>
      <c r="CB125" s="831" t="str">
        <f>IF($C125&lt;1,"",(AVERAGEIFS('09월 에너지'!K$14:K$949,'09월 에너지'!$A$14:$A$949,$A125,'09월 에너지'!$C$14:$C$949,$B125)))</f>
        <v/>
      </c>
      <c r="CC125" s="835" t="str">
        <f>IF($C125&lt;1,"",(AVERAGEIFS('09월 에너지'!L$14:L$949,'09월 에너지'!$A$14:$A$949,$A125,'09월 에너지'!$C$14:$C$949,$B125)))</f>
        <v/>
      </c>
      <c r="CD125" s="831" t="str">
        <f>IF($C125&lt;1,"",(AVERAGEIFS('09월 에너지'!M$14:M$949,'09월 에너지'!$A$14:$A$949,$A125,'09월 에너지'!$C$14:$C$949,$B125)))</f>
        <v/>
      </c>
      <c r="CE125" s="835" t="str">
        <f>IF($C125&lt;1,"",(AVERAGEIFS('09월 에너지'!N$14:N$949,'09월 에너지'!$A$14:$A$949,$A125,'09월 에너지'!$C$14:$C$949,$B125)))</f>
        <v/>
      </c>
      <c r="CF125" s="831" t="str">
        <f>IF($C125&lt;1,"",(AVERAGEIFS('09월 에너지'!O$14:O$949,'09월 에너지'!$A$14:$A$949,$A125,'09월 에너지'!$C$14:$C$949,$B125)))</f>
        <v/>
      </c>
      <c r="CG125" s="831" t="str">
        <f>IF($C125&lt;1,"",(AVERAGEIFS('09월 에너지'!P$14:P$949,'09월 에너지'!$A$14:$A$949,$A125,'09월 에너지'!$C$14:$C$949,$B125)))</f>
        <v/>
      </c>
      <c r="CH125" s="831" t="str">
        <f>IF($C125&lt;1,"",(AVERAGEIFS('09월 에너지'!Q$14:Q$949,'09월 에너지'!$A$14:$A$949,$A125,'09월 에너지'!$C$14:$C$949,$B125)))</f>
        <v/>
      </c>
      <c r="CI125" s="831" t="str">
        <f>IF($C125&lt;1,"",(AVERAGEIFS('09월 에너지'!R$14:R$949,'09월 에너지'!$A$14:$A$949,$A125,'09월 에너지'!$C$14:$C$949,$B125)))</f>
        <v/>
      </c>
      <c r="CJ125" s="831" t="str">
        <f>IF($C125&lt;1,"",(AVERAGEIFS('09월 에너지'!S$14:S$949,'09월 에너지'!$A$14:$A$949,$A125,'09월 에너지'!$C$14:$C$949,$B125)))</f>
        <v/>
      </c>
      <c r="CK125" s="831" t="str">
        <f>IF($C125&lt;1,"",(AVERAGEIFS('09월 에너지'!T$14:T$949,'09월 에너지'!$A$14:$A$949,$A125,'09월 에너지'!$C$14:$C$949,$B125)))</f>
        <v/>
      </c>
      <c r="CL125" s="831" t="str">
        <f>IF($C125&lt;1,"",(AVERAGEIFS('09월 에너지'!U$14:U$949,'09월 에너지'!$A$14:$A$949,$A125,'09월 에너지'!$C$14:$C$949,$B125)))</f>
        <v/>
      </c>
      <c r="CM125" s="835" t="str">
        <f>IF($C125&lt;1,"",(AVERAGEIFS('09월 에너지'!V$14:V$949,'09월 에너지'!$A$14:$A$949,$A125,'09월 에너지'!$C$14:$C$949,$B125)))</f>
        <v/>
      </c>
      <c r="CN125" s="835" t="str">
        <f>IF($C125&lt;1,"",(AVERAGEIFS('09월 에너지'!W$14:W$949,'09월 에너지'!$A$14:$A$949,$A125,'09월 에너지'!$C$14:$C$949,$B125)))</f>
        <v/>
      </c>
      <c r="CO125" s="831" t="str">
        <f>IF($C125&lt;1,"",(AVERAGEIFS('09월 에너지'!X$14:X$949,'09월 에너지'!$A$14:$A$949,$A125,'09월 에너지'!$C$14:$C$949,$B125)))</f>
        <v/>
      </c>
      <c r="CP125" s="835" t="str">
        <f>IF($C125&lt;1,"",(AVERAGEIFS('09월 에너지'!Y$14:Y$949,'09월 에너지'!$A$14:$A$949,$A125,'09월 에너지'!$C$14:$C$949,$B125)))</f>
        <v/>
      </c>
      <c r="CQ125" s="835" t="str">
        <f>IF($C125&lt;1,"",(AVERAGEIFS('09월 에너지'!Z$14:Z$949,'09월 에너지'!$A$14:$A$949,$A125,'09월 에너지'!$C$14:$C$949,$B125)))</f>
        <v/>
      </c>
      <c r="CR125" s="835" t="str">
        <f>IF($C125&lt;1,"",(AVERAGEIFS('09월 에너지'!AA$14:AA$949,'09월 에너지'!$A$14:$A$949,$A125,'09월 에너지'!$C$14:$C$949,$B125)))</f>
        <v/>
      </c>
      <c r="CS125" s="835" t="str">
        <f>IF($C125&lt;1,"",(AVERAGEIFS('09월 에너지'!AB$14:AB$949,'09월 에너지'!$A$14:$A$949,$A125,'09월 에너지'!$C$14:$C$949,$B125)))</f>
        <v/>
      </c>
      <c r="CT125" s="831" t="str">
        <f>IF($C125&lt;1,"",(AVERAGEIFS('09월 에너지'!AC$14:AC$949,'09월 에너지'!$A$14:$A$949,$A125,'09월 에너지'!$C$14:$C$949,$B125)))</f>
        <v/>
      </c>
      <c r="CU125" s="836" t="str">
        <f>IF($C125&lt;1,"",(AVERAGEIFS('09월 에너지'!AD$14:AD$949,'09월 에너지'!$A$14:$A$949,$A125,'09월 에너지'!$C$14:$C$949,$B125)))</f>
        <v/>
      </c>
      <c r="CV125" s="837" t="str">
        <f>IF($C125&lt;1,"",(AVERAGEIFS('09월 에너지'!AE$14:AE$949,'09월 에너지'!$A$14:$A$949,$A125,'09월 에너지'!$C$14:$C$949,$B125)))</f>
        <v/>
      </c>
      <c r="CW125" s="831" t="str">
        <f>IF($C125&lt;1,"",(AVERAGEIFS('09월 에너지'!AF$14:AF$949,'09월 에너지'!$A$14:$A$949,$A125,'09월 에너지'!$C$14:$C$949,$B125)))</f>
        <v/>
      </c>
      <c r="CX125" s="831" t="str">
        <f>IF($C125&lt;1,"",(AVERAGEIFS('09월 에너지'!AG$14:AG$949,'09월 에너지'!$A$14:$A$949,$A125,'09월 에너지'!$C$14:$C$949,$B125)))</f>
        <v/>
      </c>
      <c r="CY125" s="831" t="str">
        <f>IF($C125&lt;1,"",(AVERAGEIFS('09월 에너지'!AH$14:AH$949,'09월 에너지'!$A$14:$A$949,$A125,'09월 에너지'!$C$14:$C$949,$B125)))</f>
        <v/>
      </c>
      <c r="CZ125" s="831" t="str">
        <f>IF($C125&lt;1,"",(AVERAGEIFS('09월 에너지'!AI$14:AI$949,'09월 에너지'!$A$14:$A$949,$A125,'09월 에너지'!$C$14:$C$949,$B125)))</f>
        <v/>
      </c>
      <c r="DA125" s="838" t="str">
        <f>IF($C125&lt;1,"",(AVERAGEIFS('09월 에너지'!AJ$14:AJ$949,'09월 에너지'!$A$14:$A$949,$A125,'09월 에너지'!$C$14:$C$949,$B125)))</f>
        <v/>
      </c>
    </row>
    <row r="126" spans="1:105" ht="13.5" customHeight="1">
      <c r="A126" s="847">
        <f>A121+1</f>
        <v>44951</v>
      </c>
      <c r="B126" s="848" t="s">
        <v>31</v>
      </c>
      <c r="C126" s="810">
        <f>COUNTIF('09월 조업일지'!$A$12:$A$952,A126)</f>
        <v>0</v>
      </c>
      <c r="D126" s="787" t="str">
        <f>IF(C126&lt;1,"",F126-E126)</f>
        <v/>
      </c>
      <c r="E126" s="787" t="str">
        <f>IF($C126&lt;1,"",(SUMIF('09월 조업일지'!$A$12:$A$952,$A126,'09월 조업일지'!$K$12:$K$952))/C126)</f>
        <v/>
      </c>
      <c r="F126" s="787" t="str">
        <f>IF($C126&lt;1,"",AVERAGEIF('09월 조업일지'!$A$12:$A$952,$A126,'09월 조업일지'!$J$12:$J$952))</f>
        <v/>
      </c>
      <c r="G126" s="811" t="str">
        <f>IF($C126&lt;1,"",AVERAGEIF('09월 에너지'!$A$14:$A$949,$A126,'09월 에너지'!$M$14:M$949))</f>
        <v/>
      </c>
      <c r="H126" s="812" t="str">
        <f>IF($C126&lt;1,"",AVERAGEIF('09월 조업일지'!$A$12:$A$952,$A126,'09월 조업일지'!$AJ$12:$AJ$952))</f>
        <v/>
      </c>
      <c r="I126" s="812" t="str">
        <f>IF($C126&lt;1,"",AVERAGEIF('09월 조업일지'!$A$12:$A$952,$A126,'09월 조업일지'!$AL$12:$AL$952))</f>
        <v/>
      </c>
      <c r="J126" s="813" t="str">
        <f>IF($C126&lt;1,"",AVERAGEIF('09월 화학성분'!$A$12:$A$949,$A126,'09월 화학성분'!G$12:G$949))</f>
        <v/>
      </c>
      <c r="K126" s="813" t="str">
        <f>IF($C126&lt;1,"",AVERAGEIF('09월 화학성분'!$A$12:$A$949,$A126,'09월 화학성분'!H$12:H$949))</f>
        <v/>
      </c>
      <c r="L126" s="813" t="str">
        <f>IF($C126&lt;1,"",AVERAGEIF('09월 화학성분'!$A$12:$A$949,$A126,'09월 화학성분'!I$12:I$949))</f>
        <v/>
      </c>
      <c r="M126" s="813" t="str">
        <f>IF($C126&lt;1,"",AVERAGEIF('09월 화학성분'!$A$12:$A$949,$A126,'09월 화학성분'!J$12:J$949))</f>
        <v/>
      </c>
      <c r="N126" s="813" t="str">
        <f>IF($C126&lt;1,"",AVERAGEIF('09월 화학성분'!$A$12:$A$949,$A126,'09월 화학성분'!K$12:K$949))</f>
        <v/>
      </c>
      <c r="O126" s="813" t="str">
        <f>IF($C126&lt;1,"",AVERAGEIF('09월 화학성분'!$A$12:$A$949,$A126,'09월 화학성분'!L$12:L$949))</f>
        <v/>
      </c>
      <c r="P126" s="813" t="str">
        <f>IF($C126&lt;1,"",AVERAGEIF('09월 화학성분'!$A$12:$A$949,$A126,'09월 화학성분'!M$12:M$949))</f>
        <v/>
      </c>
      <c r="Q126" s="814" t="str">
        <f>IF($C126&lt;1,"",AVERAGEIF('09월 조업일지'!$A$12:$A$952,$A126,'09월 조업일지'!$AA$12:$AA$952))</f>
        <v/>
      </c>
      <c r="R126" s="814" t="str">
        <f>IF($C126&lt;1,"",AVERAGEIF('09월 조업일지'!$A$12:$A$952,$A126,'09월 조업일지'!$AK$12:$AK$952))</f>
        <v/>
      </c>
      <c r="S126" s="814"/>
      <c r="T126" s="814"/>
      <c r="U126" s="813" t="str">
        <f>IF($C126&lt;1,"",AVERAGEIF('09월 화학성분'!$A$12:$A$949,$A126,'09월 화학성분'!$G$12:$G$949))</f>
        <v/>
      </c>
      <c r="V126" s="814" t="str">
        <f>IF($C126&lt;1,"",AVERAGEIF('09월 조업일지'!$A$12:$A$952,$A126,'09월 조업일지'!$AI$12:$AI$952))</f>
        <v/>
      </c>
      <c r="W126" s="813" t="str">
        <f>IF($C126&lt;1,"",AVERAGEIF('09월 화학성분'!$A$12:$A$949,$A126,'09월 화학성분'!$AM$12:$AM$949))</f>
        <v/>
      </c>
      <c r="X126" s="815" t="str">
        <f>IF($C126&lt;1,"",AVERAGEIF('09월 화학성분'!$A$12:$A$949,$A126,'09월 화학성분'!N$12:N$949))</f>
        <v/>
      </c>
      <c r="Y126" s="815" t="str">
        <f>IF($C126&lt;1,"",AVERAGEIF('09월 화학성분'!$A$12:$A$949,$A126,'09월 화학성분'!O$12:O$949))</f>
        <v/>
      </c>
      <c r="Z126" s="815" t="str">
        <f>IF($C126&lt;1,"",AVERAGEIF('09월 화학성분'!$A$12:$A$949,$A126,'09월 화학성분'!P$12:P$949))</f>
        <v/>
      </c>
      <c r="AA126" s="815" t="str">
        <f>IF($C126&lt;1,"",AVERAGEIF('09월 화학성분'!$A$12:$A$949,$A126,'09월 화학성분'!Q$12:Q$949))</f>
        <v/>
      </c>
      <c r="AB126" s="815" t="str">
        <f>IF($C126&lt;1,"",AVERAGEIF('09월 화학성분'!$A$12:$A$949,$A126,'09월 화학성분'!R$12:R$949))</f>
        <v/>
      </c>
      <c r="AC126" s="815" t="str">
        <f>IF($C126&lt;1,"",AVERAGEIF('09월 화학성분'!$A$12:$A$949,$A126,'09월 화학성분'!U$12:U$949))</f>
        <v/>
      </c>
      <c r="AD126" s="815" t="str">
        <f>IF($C126&lt;1,"",AVERAGEIF('09월 화학성분'!$A$12:$A$949,$A126,'09월 화학성분'!V$12:V$949))</f>
        <v/>
      </c>
      <c r="AE126" s="815" t="str">
        <f>IF($C126&lt;1,"",AVERAGEIF('09월 화학성분'!$A$12:$A$949,$A126,'09월 화학성분'!W$12:W$949))</f>
        <v/>
      </c>
      <c r="AF126" s="815" t="str">
        <f>IF($C126&lt;1,"",AVERAGEIF('09월 화학성분'!$A$12:$A$949,$A126,'09월 화학성분'!AA$12:AA$949))</f>
        <v/>
      </c>
      <c r="AG126" s="815" t="str">
        <f>IF($C126&lt;1,"",AVERAGEIF('09월 화학성분'!$A$12:$A$949,$A126,'09월 화학성분'!#REF!))</f>
        <v/>
      </c>
      <c r="AH126" s="815" t="str">
        <f>IF($C126&lt;1,"",AVERAGEIF('09월 화학성분'!$A$12:$A$949,$A126,'09월 화학성분'!AB$12:AB$949))</f>
        <v/>
      </c>
      <c r="AI126" s="815" t="str">
        <f>IF($C126&lt;1,"",AVERAGEIF('09월 화학성분'!$A$12:$A$949,$A126,'09월 화학성분'!AC$12:AC$949))</f>
        <v/>
      </c>
      <c r="AJ126" s="815" t="str">
        <f>IF($C126&lt;1,"",AVERAGEIF('09월 화학성분'!$A$12:$A$949,$A126,'09월 화학성분'!AD$12:AD$949))</f>
        <v/>
      </c>
      <c r="AK126" s="815" t="str">
        <f>IF($C126&lt;1,"",AVERAGEIF('09월 화학성분'!$A$12:$A$949,$A126,'09월 화학성분'!AF$12:AF$949))</f>
        <v/>
      </c>
      <c r="AL126" s="815" t="str">
        <f>IF($C126&lt;1,"",AVERAGEIF('09월 화학성분'!$A$12:$A$949,$A126,'09월 화학성분'!AG$12:AG$949))</f>
        <v/>
      </c>
      <c r="AM126" s="815" t="str">
        <f>IF($C126&lt;1,"",AVERAGEIF('09월 화학성분'!$A$12:$A$949,$A126,'09월 화학성분'!AH$12:AH$949))</f>
        <v/>
      </c>
      <c r="AN126" s="815" t="str">
        <f>IF($C126&lt;1,"",AVERAGEIF('09월 화학성분'!$A$12:$A$949,$A126,'09월 화학성분'!AI$12:AI$949))</f>
        <v/>
      </c>
      <c r="AO126" s="815" t="str">
        <f>IF($C126&lt;1,"",AVERAGEIF('09월 화학성분'!$A$12:$A$949,$A126,'09월 화학성분'!AJ$12:AJ$949))</f>
        <v/>
      </c>
      <c r="AP126" s="815" t="str">
        <f>IF($C126&lt;1,"",AVERAGEIF('09월 화학성분'!$A$12:$A$949,$A126,'09월 화학성분'!#REF!))</f>
        <v/>
      </c>
      <c r="AQ126" s="815" t="str">
        <f>IF($C126&lt;1,"",AVERAGEIF('09월 화학성분'!$A$12:$A$949,$A126,'09월 화학성분'!AL$12:AL$949))</f>
        <v/>
      </c>
      <c r="AR126" s="815" t="str">
        <f>IF($C126&lt;1,"",AVERAGEIF('09월 화학성분'!$A$12:$A$949,$A126,'09월 화학성분'!AM$12:AM$949))</f>
        <v/>
      </c>
      <c r="AS126" s="816" t="str">
        <f>IF($C126&lt;1,"",AVERAGEIF('09월 화학성분'!$A$12:$A$949,$A126,'09월 화학성분'!AN$12:AN$949))</f>
        <v/>
      </c>
      <c r="AT126" s="816" t="str">
        <f>IF($C126&lt;1,"",AVERAGEIF('09월 화학성분'!$A$12:$A$949,$A126,'09월 화학성분'!AO$12:AO$949))</f>
        <v/>
      </c>
      <c r="AU126" s="815" t="str">
        <f>IF($C126&lt;1,"",AVERAGEIF('09월 화학성분'!$A$12:$A$949,$A126,'09월 화학성분'!AP$12:AP$949))</f>
        <v/>
      </c>
      <c r="AV126" s="815" t="str">
        <f>IF($C126&lt;1,"",AVERAGEIF('09월 고철장입'!$A$14:$A$949,$A126,'09월 고철장입'!G$14:G$949)/1000)</f>
        <v/>
      </c>
      <c r="AW126" s="815" t="str">
        <f>IF($C126&lt;1,"",AVERAGEIF('09월 고철장입'!$A$14:$A$949,$A126,'09월 고철장입'!H$14:H$949)/1000)</f>
        <v/>
      </c>
      <c r="AX126" s="815" t="str">
        <f>IF($C126&lt;1,"",AVERAGEIF('09월 고철장입'!$A$14:$A$949,$A126,'09월 고철장입'!I$14:I$949)/1000)</f>
        <v/>
      </c>
      <c r="AY126" s="815" t="str">
        <f>IF($C126&lt;1,"",AVERAGEIF('09월 고철장입'!$A$14:$A$949,$A126,'09월 고철장입'!J$14:J$949)/1000)</f>
        <v/>
      </c>
      <c r="AZ126" s="815" t="str">
        <f>IF($C126&lt;1,"",AVERAGEIF('09월 고철장입'!$A$14:$A$949,$A126,'09월 고철장입'!K$14:K$949)/1000)</f>
        <v/>
      </c>
      <c r="BA126" s="815" t="str">
        <f>IF($C126&lt;1,"",AVERAGEIF('09월 고철장입'!$A$14:$A$949,$A126,'09월 고철장입'!L$14:L$949)/1000)</f>
        <v/>
      </c>
      <c r="BB126" s="815" t="str">
        <f>IF($C126&lt;1,"",AVERAGEIF('09월 고철장입'!$A$14:$A$949,$A126,'09월 고철장입'!M$14:M$949)/1000)</f>
        <v/>
      </c>
      <c r="BC126" s="815" t="str">
        <f>IF($C126&lt;1,"",AVERAGEIF('09월 고철장입'!$A$14:$A$949,$A126,'09월 고철장입'!N$14:N$949)/1000)</f>
        <v/>
      </c>
      <c r="BD126" s="815" t="str">
        <f>IF($C126&lt;1,"",AVERAGEIF('09월 고철장입'!$A$14:$A$949,$A126,'09월 고철장입'!O$14:O$949)/1000)</f>
        <v/>
      </c>
      <c r="BE126" s="815" t="str">
        <f>IF($C126&lt;1,"",AVERAGEIF('09월 고철장입'!$A$14:$A$949,$A126,'09월 고철장입'!P$14:P$949)/1000)</f>
        <v/>
      </c>
      <c r="BF126" s="815" t="str">
        <f>IF($C126&lt;1,"",AVERAGEIF('09월 고철장입'!$A$14:$A$949,$A126,'09월 고철장입'!Q$14:Q$949)/1000)</f>
        <v/>
      </c>
      <c r="BG126" s="815" t="str">
        <f>IF($C126&lt;1,"",AVERAGEIF('09월 고철장입'!$A$14:$A$949,$A126,'09월 고철장입'!S$14:S$949)/1000)</f>
        <v/>
      </c>
      <c r="BH126" s="815" t="str">
        <f>IF($C126&lt;1,"",AVERAGEIF('09월 고철장입'!$A$14:$A$949,$A126,'09월 고철장입'!T$14:T$949)/1000)</f>
        <v/>
      </c>
      <c r="BI126" s="815" t="str">
        <f>IF($C126&lt;1,"",AVERAGEIF('09월 고철장입'!$A$14:$A$949,$A126,'09월 고철장입'!U$14:U$949)/1000)</f>
        <v/>
      </c>
      <c r="BJ126" s="815" t="str">
        <f>IF($C126&lt;1,"",AVERAGEIF('09월 고철장입'!$A$14:$A$949,$A126,'09월 고철장입'!V$14:V$949)/1000)</f>
        <v/>
      </c>
      <c r="BK126" s="815" t="str">
        <f>IF($C126&lt;1,"",AVERAGEIF('09월 고철장입'!$A$14:$A$949,$A126,'09월 고철장입'!W$14:W$949)/1000)</f>
        <v/>
      </c>
      <c r="BL126" s="815" t="str">
        <f>IF($C126&lt;1,"",AVERAGEIF('09월 고철장입'!$A$14:$A$949,$A126,'09월 고철장입'!Y$14:Y$949)/1000)</f>
        <v/>
      </c>
      <c r="BM126" s="815" t="str">
        <f>IF($C126&lt;1,"",AVERAGEIF('09월 고철장입'!$A$14:$A$949,$A126,'09월 고철장입'!AB$14:AB$949)/1000)</f>
        <v/>
      </c>
      <c r="BN126" s="815" t="str">
        <f>IF($C126&lt;1,"",AVERAGEIF('09월 고철장입'!$A$14:$A$949,$A126,'09월 고철장입'!AC$14:AC$949)/1000)</f>
        <v/>
      </c>
      <c r="BO126" s="815" t="str">
        <f>IF($C126&lt;1,"",AVERAGEIF('09월 고철장입'!$A$14:$A$949,$A126,'09월 고철장입'!AD$14:AD$949)/1000)</f>
        <v/>
      </c>
      <c r="BP126" s="815" t="str">
        <f>IF($C126&lt;1,"",AVERAGEIF('09월 고철장입'!$A$14:$A$949,$A126,'09월 고철장입'!AE$14:AE$949)/1000)</f>
        <v/>
      </c>
      <c r="BQ126" s="815" t="str">
        <f>IF($C126&lt;1,"",AVERAGEIF('09월 고철장입'!$A$14:$A$949,$A126,'09월 고철장입'!AF$14:AF$949)/1000)</f>
        <v/>
      </c>
      <c r="BR126" s="815" t="str">
        <f>IF($C126&lt;1,"",AVERAGEIF('09월 고철장입'!$A$14:$A$949,$A126,'09월 고철장입'!AG$14:AG$949)/1000)</f>
        <v/>
      </c>
      <c r="BS126" s="815" t="str">
        <f>IF($C126&lt;1,"",AVERAGEIF('09월 고철장입'!$A$14:$A$949,$A126,'09월 고철장입'!AH$14:AH$949)/1000)</f>
        <v/>
      </c>
      <c r="BT126" s="815" t="str">
        <f>IF($C126&lt;1,"",AVERAGEIF('09월 고철장입'!$A$14:$A$949,$A126,'09월 고철장입'!AI$14:AI$949)/1000)</f>
        <v/>
      </c>
      <c r="BU126" s="815" t="str">
        <f>IF($C126&lt;1,"",AVERAGEIF('09월 고철장입'!$A$14:$A$949,$A126,'09월 고철장입'!AJ$14:AJ$949)/1000)</f>
        <v/>
      </c>
      <c r="BV126" s="815" t="str">
        <f>IF($C126&lt;1,"",AVERAGEIF('09월 고철장입'!$A$14:$A$949,$A126,'09월 고철장입'!AK$14:AK$949))</f>
        <v/>
      </c>
      <c r="BW126" s="815" t="str">
        <f>IF($C126&lt;1,"",AVERAGEIF('09월 고철장입'!$A$14:$A$949,$A126,'09월 고철장입'!AL$14:AL$949)*100)</f>
        <v/>
      </c>
      <c r="BX126" s="815" t="str">
        <f>IF($C126&lt;1,"",AVERAGEIF('09월 에너지'!$A$14:$A$949,$A126,'09월 에너지'!G$14:G$949))</f>
        <v/>
      </c>
      <c r="BY126" s="817" t="str">
        <f>IF($C126&lt;1,"",AVERAGEIF('09월 에너지'!$A$14:$A$949,$A126,'09월 에너지'!H$14:H$949))</f>
        <v/>
      </c>
      <c r="BZ126" s="815" t="str">
        <f>IF($C126&lt;1,"",AVERAGEIF('09월 에너지'!$A$14:$A$949,$A126,'09월 에너지'!I$14:I$949))</f>
        <v/>
      </c>
      <c r="CA126" s="817" t="str">
        <f>IF($C126&lt;1,"",AVERAGEIF('09월 에너지'!$A$14:$A$949,$A126,'09월 에너지'!J$14:J$949))</f>
        <v/>
      </c>
      <c r="CB126" s="815" t="str">
        <f>IF($C126&lt;1,"",AVERAGEIF('09월 에너지'!$A$14:$A$949,$A126,'09월 에너지'!K$14:K$949))</f>
        <v/>
      </c>
      <c r="CC126" s="817" t="str">
        <f>IF($C126&lt;1,"",AVERAGEIF('09월 에너지'!$A$14:$A$949,$A126,'09월 에너지'!L$14:L$949))</f>
        <v/>
      </c>
      <c r="CD126" s="815" t="str">
        <f>IF($C126&lt;1,"",AVERAGEIF('09월 에너지'!$A$14:$A$949,$A126,'09월 에너지'!M$14:M$949))</f>
        <v/>
      </c>
      <c r="CE126" s="817" t="str">
        <f>IF($C126&lt;1,"",AVERAGEIF('09월 에너지'!$A$14:$A$949,$A126,'09월 에너지'!N$14:N$949))</f>
        <v/>
      </c>
      <c r="CF126" s="815" t="str">
        <f>IF($C126&lt;1,"",AVERAGEIF('09월 에너지'!$A$14:$A$949,$A126,'09월 에너지'!O$14:O$949))</f>
        <v/>
      </c>
      <c r="CG126" s="815" t="str">
        <f>IF($C126&lt;1,"",AVERAGEIF('09월 에너지'!$A$14:$A$949,$A126,'09월 에너지'!P$14:P$949))</f>
        <v/>
      </c>
      <c r="CH126" s="815" t="str">
        <f>IF($C126&lt;1,"",AVERAGEIF('09월 에너지'!$A$14:$A$949,$A126,'09월 에너지'!Q$14:Q$949))</f>
        <v/>
      </c>
      <c r="CI126" s="815" t="str">
        <f>IF($C126&lt;1,"",AVERAGEIF('09월 에너지'!$A$14:$A$949,$A126,'09월 에너지'!R$14:R$949))</f>
        <v/>
      </c>
      <c r="CJ126" s="815" t="str">
        <f>IF($C126&lt;1,"",AVERAGEIF('09월 에너지'!$A$14:$A$949,$A126,'09월 에너지'!S$14:S$949))</f>
        <v/>
      </c>
      <c r="CK126" s="815" t="str">
        <f>IF($C126&lt;1,"",AVERAGEIF('09월 에너지'!$A$14:$A$949,$A126,'09월 에너지'!T$14:T$949))</f>
        <v/>
      </c>
      <c r="CL126" s="815" t="str">
        <f>IF($C126&lt;1,"",AVERAGEIF('09월 에너지'!$A$14:$A$949,$A126,'09월 에너지'!U$14:U$949))</f>
        <v/>
      </c>
      <c r="CM126" s="817" t="str">
        <f>IF($C126&lt;1,"",AVERAGEIF('09월 에너지'!$A$14:$A$949,$A126,'09월 에너지'!V$14:V$949))</f>
        <v/>
      </c>
      <c r="CN126" s="817" t="str">
        <f>IF($C126&lt;1,"",AVERAGEIF('09월 에너지'!$A$14:$A$949,$A126,'09월 에너지'!W$14:W$949))</f>
        <v/>
      </c>
      <c r="CO126" s="815" t="str">
        <f>IF($C126&lt;1,"",AVERAGEIF('09월 에너지'!$A$14:$A$949,$A126,'09월 에너지'!X$14:X$949))</f>
        <v/>
      </c>
      <c r="CP126" s="817" t="str">
        <f>IF($C126&lt;1,"",AVERAGEIF('09월 에너지'!$A$14:$A$949,$A126,'09월 에너지'!Y$14:Y$949))</f>
        <v/>
      </c>
      <c r="CQ126" s="817" t="str">
        <f>IF($C126&lt;1,"",AVERAGEIF('09월 에너지'!$A$14:$A$949,$A126,'09월 에너지'!Z$14:Z$949))</f>
        <v/>
      </c>
      <c r="CR126" s="817" t="str">
        <f>IF($C126&lt;1,"",AVERAGEIF('09월 에너지'!$A$14:$A$949,$A126,'09월 에너지'!AA$14:AA$949))</f>
        <v/>
      </c>
      <c r="CS126" s="817" t="str">
        <f>IF($C126&lt;1,"",AVERAGEIF('09월 에너지'!$A$14:$A$949,$A126,'09월 에너지'!AB$14:AB$949))</f>
        <v/>
      </c>
      <c r="CT126" s="815" t="str">
        <f>IF($C126&lt;1,"",AVERAGEIF('09월 에너지'!$A$14:$A$949,$A126,'09월 에너지'!AC$14:AC$949))</f>
        <v/>
      </c>
      <c r="CU126" s="818" t="str">
        <f>IF($C126&lt;1,"",AVERAGEIF('09월 에너지'!$A$14:$A$949,$A126,'09월 에너지'!AD$14:AD$949))</f>
        <v/>
      </c>
      <c r="CV126" s="819" t="str">
        <f>IF($C126&lt;1,"",AVERAGEIF('09월 에너지'!$A$14:$A$949,$A126,'09월 에너지'!AE$14:AE$949))</f>
        <v/>
      </c>
      <c r="CW126" s="815" t="str">
        <f>IF($C126&lt;1,"",AVERAGEIF('09월 에너지'!$A$14:$A$949,$A126,'09월 에너지'!AF$14:AF$949))</f>
        <v/>
      </c>
      <c r="CX126" s="815" t="str">
        <f>IF($C126&lt;1,"",AVERAGEIF('09월 에너지'!$A$14:$A$949,$A126,'09월 에너지'!AG$14:AG$949))</f>
        <v/>
      </c>
      <c r="CY126" s="815" t="str">
        <f>IF($C126&lt;1,"",AVERAGEIF('09월 에너지'!$A$14:$A$949,$A126,'09월 에너지'!AH$14:AH$949))</f>
        <v/>
      </c>
      <c r="CZ126" s="815" t="str">
        <f>IF($C126&lt;1,"",AVERAGEIF('09월 에너지'!$A$14:$A$949,$A126,'09월 에너지'!AI$14:AI$949))</f>
        <v/>
      </c>
      <c r="DA126" s="820" t="str">
        <f>IF($C126&lt;1,"",AVERAGEIF('09월 에너지'!$A$14:$A$949,$A126,'09월 에너지'!AJ$14:AJ$949))</f>
        <v/>
      </c>
    </row>
    <row r="127" spans="1:105" ht="13.5" customHeight="1">
      <c r="A127" s="849">
        <f t="shared" si="20"/>
        <v>44951</v>
      </c>
      <c r="B127" s="850" t="s">
        <v>9</v>
      </c>
      <c r="C127" s="823">
        <f>COUNTIFS('09월 조업일지'!$A$12:$A$952,A126,'09월 조업일지'!$E$12:$E$952,B127)</f>
        <v>0</v>
      </c>
      <c r="D127" s="824" t="str">
        <f>IF(C127&lt;1,"",F127-E127)</f>
        <v/>
      </c>
      <c r="E127" s="824" t="str">
        <f>IF($C127&lt;1,"",(SUMIFS('09월 조업일지'!$K$12:$K$952,'09월 조업일지'!$A$12:$A$952,$A127,'09월 조업일지'!$E$12:$E$952,$B127)/$C127))</f>
        <v/>
      </c>
      <c r="F127" s="824" t="str">
        <f>IF($C127&lt;1,"",(AVERAGEIFS('09월 조업일지'!$J$12:$J$952,'09월 조업일지'!$A$12:$A$952,$A127,'09월 조업일지'!$E$12:$E$952,$B127)))</f>
        <v/>
      </c>
      <c r="G127" s="825" t="str">
        <f>IF($C127&lt;1,"",(AVERAGEIFS('09월 에너지'!$M$14:$M$949,'09월 에너지'!$A$14:$A$949,$A127,'09월 에너지'!$C$14:$C$949,$B127)))</f>
        <v/>
      </c>
      <c r="H127" s="826" t="str">
        <f>IF($C127&lt;1,"",(AVERAGEIFS('09월 조업일지'!$AJ$12:$AJ$952,'09월 조업일지'!$A$12:$A$952,$A127,'09월 조업일지'!$E$12:$E$952,$B127)))</f>
        <v/>
      </c>
      <c r="I127" s="826" t="str">
        <f>IF($C127&lt;1,"",(AVERAGEIFS('09월 조업일지'!$AL$12:$AL$952,'09월 조업일지'!$A$12:$A$952,$A127,'09월 조업일지'!$E$12:$E$952,$B127)))</f>
        <v/>
      </c>
      <c r="J127" s="827" t="str">
        <f>IF($C127&lt;1,"",(AVERAGEIFS('09월 화학성분'!G$12:G$949,'09월 화학성분'!$A$12:$A$949,$A127,'09월 화학성분'!$D$12:$D$949,$B127)))</f>
        <v/>
      </c>
      <c r="K127" s="827" t="str">
        <f>IF($C127&lt;1,"",(AVERAGEIFS('09월 화학성분'!H$12:H$949,'09월 화학성분'!$A$12:$A$949,$A127,'09월 화학성분'!$D$12:$D$949,$B127)))</f>
        <v/>
      </c>
      <c r="L127" s="827" t="str">
        <f>IF($C127&lt;1,"",(AVERAGEIFS('09월 화학성분'!I$12:I$949,'09월 화학성분'!$A$12:$A$949,$A127,'09월 화학성분'!$D$12:$D$949,$B127)))</f>
        <v/>
      </c>
      <c r="M127" s="827" t="str">
        <f>IF($C127&lt;1,"",(AVERAGEIFS('09월 화학성분'!J$12:J$949,'09월 화학성분'!$A$12:$A$949,$A127,'09월 화학성분'!$D$12:$D$949,$B127)))</f>
        <v/>
      </c>
      <c r="N127" s="827" t="str">
        <f>IF($C127&lt;1,"",(AVERAGEIFS('09월 화학성분'!K$12:K$949,'09월 화학성분'!$A$12:$A$949,$A127,'09월 화학성분'!$D$12:$D$949,$B127)))</f>
        <v/>
      </c>
      <c r="O127" s="827" t="str">
        <f>IF($C127&lt;1,"",(AVERAGEIFS('09월 화학성분'!L$12:L$949,'09월 화학성분'!$A$12:$A$949,$A127,'09월 화학성분'!$D$12:$D$949,$B127)))</f>
        <v/>
      </c>
      <c r="P127" s="827" t="str">
        <f>IF($C127&lt;1,"",(AVERAGEIFS('09월 화학성분'!M$12:M$949,'09월 화학성분'!$A$12:$A$949,$A127,'09월 화학성분'!$D$12:$D$949,$B127)))</f>
        <v/>
      </c>
      <c r="Q127" s="827" t="str">
        <f>IFERROR(IF($C127&lt;1,"",(AVERAGEIFS('09월 조업일지'!$AA$12:$AA$952,'09월 조업일지'!$A$12:$A$952,$A127,'09월 조업일지'!$E$12:$E$952,$B127))),"")</f>
        <v/>
      </c>
      <c r="R127" s="827" t="str">
        <f>IF($C127&lt;1,"",(AVERAGEIFS('09월 조업일지'!$AK$12:$AK$952,'09월 조업일지'!$A$12:$A$952,$A127,'09월 조업일지'!$E$12:$E$952,$B127)))</f>
        <v/>
      </c>
      <c r="S127" s="827"/>
      <c r="T127" s="827"/>
      <c r="U127" s="827" t="str">
        <f>IF($C127&lt;1,"",(AVERAGEIFS('09월 화학성분'!$G$12:$G$949,'09월 화학성분'!$A$12:$A$949,$A127,'09월 화학성분'!$D$12:$D$949,$B127)))</f>
        <v/>
      </c>
      <c r="V127" s="827" t="str">
        <f>IF($C127&lt;1,"",(AVERAGEIFS('09월 조업일지'!$AI$12:$AI$952,'09월 조업일지'!$A$12:$A$952,$A127,'09월 조업일지'!$E$12:$E$952,$B127)))</f>
        <v/>
      </c>
      <c r="W127" s="828" t="str">
        <f>IF($C127&lt;1,"",(AVERAGEIFS('09월 화학성분'!$AM$12:$AM$949,'09월 화학성분'!$A$12:$A$949,$A127,'09월 화학성분'!$D$12:$D$949,$B127)))</f>
        <v/>
      </c>
      <c r="X127" s="829" t="str">
        <f>IF($C127&lt;1,"",(AVERAGEIFS('09월 화학성분'!N$12:N$949,'09월 화학성분'!$A$12:$A$949,$A127,'09월 화학성분'!$D$12:$D$949,$B127)))</f>
        <v/>
      </c>
      <c r="Y127" s="829" t="str">
        <f>IF($C127&lt;1,"",(AVERAGEIFS('09월 화학성분'!O$12:O$949,'09월 화학성분'!$A$12:$A$949,$A127,'09월 화학성분'!$D$12:$D$949,$B127)))</f>
        <v/>
      </c>
      <c r="Z127" s="829" t="str">
        <f>IF($C127&lt;1,"",(AVERAGEIFS('09월 화학성분'!P$12:P$949,'09월 화학성분'!$A$12:$A$949,$A127,'09월 화학성분'!$D$12:$D$949,$B127)))</f>
        <v/>
      </c>
      <c r="AA127" s="829" t="str">
        <f>IF($C127&lt;1,"",(AVERAGEIFS('09월 화학성분'!Q$12:Q$949,'09월 화학성분'!$A$12:$A$949,$A127,'09월 화학성분'!$D$12:$D$949,$B127)))</f>
        <v/>
      </c>
      <c r="AB127" s="829" t="str">
        <f>IF($C127&lt;1,"",(AVERAGEIFS('09월 화학성분'!R$12:R$949,'09월 화학성분'!$A$12:$A$949,$A127,'09월 화학성분'!$D$12:$D$949,$B127)))</f>
        <v/>
      </c>
      <c r="AC127" s="829" t="str">
        <f>IF($C127&lt;1,"",(AVERAGEIFS('09월 화학성분'!U$12:U$949,'09월 화학성분'!$A$12:$A$949,$A127,'09월 화학성분'!$D$12:$D$949,$B127)))</f>
        <v/>
      </c>
      <c r="AD127" s="829" t="str">
        <f>IF($C127&lt;1,"",(AVERAGEIFS('09월 화학성분'!V$12:V$949,'09월 화학성분'!$A$12:$A$949,$A127,'09월 화학성분'!$D$12:$D$949,$B127)))</f>
        <v/>
      </c>
      <c r="AE127" s="829" t="str">
        <f>IF($C127&lt;1,"",(AVERAGEIFS('09월 화학성분'!W$12:W$949,'09월 화학성분'!$A$12:$A$949,$A127,'09월 화학성분'!$D$12:$D$949,$B127)))</f>
        <v/>
      </c>
      <c r="AF127" s="829" t="str">
        <f>IF($C127&lt;1,"",(AVERAGEIFS('09월 화학성분'!AA$12:AA$949,'09월 화학성분'!$A$12:$A$949,$A127,'09월 화학성분'!$D$12:$D$949,$B127)))</f>
        <v/>
      </c>
      <c r="AG127" s="829" t="str">
        <f>IF($C127&lt;1,"",(AVERAGEIFS('09월 화학성분'!#REF!,'09월 화학성분'!$A$12:$A$949,$A127,'09월 화학성분'!$D$12:$D$949,$B127)))</f>
        <v/>
      </c>
      <c r="AH127" s="829" t="str">
        <f>IF($C127&lt;1,"",(AVERAGEIFS('09월 화학성분'!AB$12:AB$949,'09월 화학성분'!$A$12:$A$949,$A127,'09월 화학성분'!$D$12:$D$949,$B127)))</f>
        <v/>
      </c>
      <c r="AI127" s="829" t="str">
        <f>IF($C127&lt;1,"",(AVERAGEIFS('09월 화학성분'!AC$12:AC$949,'09월 화학성분'!$A$12:$A$949,$A127,'09월 화학성분'!$D$12:$D$949,$B127)))</f>
        <v/>
      </c>
      <c r="AJ127" s="829" t="str">
        <f>IF($C127&lt;1,"",(AVERAGEIFS('09월 화학성분'!AD$12:AD$949,'09월 화학성분'!$A$12:$A$949,$A127,'09월 화학성분'!$D$12:$D$949,$B127)))</f>
        <v/>
      </c>
      <c r="AK127" s="829" t="str">
        <f>IF($C127&lt;1,"",(AVERAGEIFS('09월 화학성분'!AF$12:AF$949,'09월 화학성분'!$A$12:$A$949,$A127,'09월 화학성분'!$D$12:$D$949,$B127)))</f>
        <v/>
      </c>
      <c r="AL127" s="829" t="str">
        <f>IF($C127&lt;1,"",(AVERAGEIFS('09월 화학성분'!AG$12:AG$949,'09월 화학성분'!$A$12:$A$949,$A127,'09월 화학성분'!$D$12:$D$949,$B127)))</f>
        <v/>
      </c>
      <c r="AM127" s="829" t="str">
        <f>IF($C127&lt;1,"",(AVERAGEIFS('09월 화학성분'!AH$12:AH$949,'09월 화학성분'!$A$12:$A$949,$A127,'09월 화학성분'!$D$12:$D$949,$B127)))</f>
        <v/>
      </c>
      <c r="AN127" s="829" t="str">
        <f>IF($C127&lt;1,"",(AVERAGEIFS('09월 화학성분'!AI$12:AI$949,'09월 화학성분'!$A$12:$A$949,$A127,'09월 화학성분'!$D$12:$D$949,$B127)))</f>
        <v/>
      </c>
      <c r="AO127" s="829" t="str">
        <f>IF($C127&lt;1,"",(AVERAGEIFS('09월 화학성분'!AJ$12:AJ$949,'09월 화학성분'!$A$12:$A$949,$A127,'09월 화학성분'!$D$12:$D$949,$B127)))</f>
        <v/>
      </c>
      <c r="AP127" s="829" t="str">
        <f>IF($C127&lt;1,"",(AVERAGEIFS('09월 화학성분'!#REF!,'09월 화학성분'!$A$12:$A$949,$A127,'09월 화학성분'!$D$12:$D$949,$B127)))</f>
        <v/>
      </c>
      <c r="AQ127" s="829" t="str">
        <f>IF($C127&lt;1,"",(AVERAGEIFS('09월 화학성분'!AL$12:AL$949,'09월 화학성분'!$A$12:$A$949,$A127,'09월 화학성분'!$D$12:$D$949,$B127)))</f>
        <v/>
      </c>
      <c r="AR127" s="829" t="str">
        <f>IF($C127&lt;1,"",(AVERAGEIFS('09월 화학성분'!AM$12:AM$949,'09월 화학성분'!$A$12:$A$949,$A127,'09월 화학성분'!$D$12:$D$949,$B127)))</f>
        <v/>
      </c>
      <c r="AS127" s="830" t="str">
        <f>IF($C127&lt;1,"",(AVERAGEIFS('09월 화학성분'!AN$12:AN$949,'09월 화학성분'!$A$12:$A$949,$A127,'09월 화학성분'!$D$12:$D$949,$B127)))</f>
        <v/>
      </c>
      <c r="AT127" s="830" t="str">
        <f>IF($C127&lt;1,"",(AVERAGEIFS('09월 화학성분'!AO$12:AO$949,'09월 화학성분'!$A$12:$A$949,$A127,'09월 화학성분'!$D$12:$D$949,$B127)))</f>
        <v/>
      </c>
      <c r="AU127" s="831" t="str">
        <f>IF($C127&lt;1,"",(AVERAGEIFS('09월 화학성분'!AP$12:AP$949,'09월 화학성분'!$A$12:$A$949,$A127,'09월 화학성분'!$D$12:$D$949,$B127)))</f>
        <v/>
      </c>
      <c r="AV127" s="832" t="str">
        <f>IF($C127&lt;1,"",(AVERAGEIFS('09월 고철장입'!G$14:G$949,'09월 고철장입'!$A$14:$A$949,$A127,'09월 고철장입'!$C$14:$C$949,$B127))/1000)</f>
        <v/>
      </c>
      <c r="AW127" s="832" t="str">
        <f>IF($C127&lt;1,"",(AVERAGEIFS('09월 고철장입'!H$14:H$949,'09월 고철장입'!$A$14:$A$949,$A127,'09월 고철장입'!$C$14:$C$949,$B127))/1000)</f>
        <v/>
      </c>
      <c r="AX127" s="832" t="str">
        <f>IF($C127&lt;1,"",(AVERAGEIFS('09월 고철장입'!I$14:I$949,'09월 고철장입'!$A$14:$A$949,$A127,'09월 고철장입'!$C$14:$C$949,$B127))/1000)</f>
        <v/>
      </c>
      <c r="AY127" s="832" t="str">
        <f>IF($C127&lt;1,"",(AVERAGEIFS('09월 고철장입'!J$14:J$949,'09월 고철장입'!$A$14:$A$949,$A127,'09월 고철장입'!$C$14:$C$949,$B127))/1000)</f>
        <v/>
      </c>
      <c r="AZ127" s="832" t="str">
        <f>IF($C127&lt;1,"",(AVERAGEIFS('09월 고철장입'!K$14:K$949,'09월 고철장입'!$A$14:$A$949,$A127,'09월 고철장입'!$C$14:$C$949,$B127))/1000)</f>
        <v/>
      </c>
      <c r="BA127" s="832" t="str">
        <f>IF($C127&lt;1,"",(AVERAGEIFS('09월 고철장입'!L$14:L$949,'09월 고철장입'!$A$14:$A$949,$A127,'09월 고철장입'!$C$14:$C$949,$B127))/1000)</f>
        <v/>
      </c>
      <c r="BB127" s="832" t="str">
        <f>IF($C127&lt;1,"",(AVERAGEIFS('09월 고철장입'!M$14:M$949,'09월 고철장입'!$A$14:$A$949,$A127,'09월 고철장입'!$C$14:$C$949,$B127))/1000)</f>
        <v/>
      </c>
      <c r="BC127" s="832" t="str">
        <f>IF($C127&lt;1,"",(AVERAGEIFS('09월 고철장입'!N$14:N$949,'09월 고철장입'!$A$14:$A$949,$A127,'09월 고철장입'!$C$14:$C$949,$B127))/1000)</f>
        <v/>
      </c>
      <c r="BD127" s="832" t="str">
        <f>IF($C127&lt;1,"",(AVERAGEIFS('09월 고철장입'!O$14:O$949,'09월 고철장입'!$A$14:$A$949,$A127,'09월 고철장입'!$C$14:$C$949,$B127))/1000)</f>
        <v/>
      </c>
      <c r="BE127" s="833" t="str">
        <f>IF($C127&lt;1,"",(AVERAGEIFS('09월 고철장입'!P$14:P$949,'09월 고철장입'!$A$14:$A$949,$A127,'09월 고철장입'!$C$14:$C$949,$B127))/1000)</f>
        <v/>
      </c>
      <c r="BF127" s="833" t="str">
        <f>IF($C127&lt;1,"",(AVERAGEIFS('09월 고철장입'!Q$14:Q$949,'09월 고철장입'!$A$14:$A$949,$A127,'09월 고철장입'!$C$14:$C$949,$B127))/1000)</f>
        <v/>
      </c>
      <c r="BG127" s="833" t="str">
        <f>IF($C127&lt;1,"",(AVERAGEIFS('09월 고철장입'!S$14:S$949,'09월 고철장입'!$A$14:$A$949,$A127,'09월 고철장입'!$C$14:$C$949,$B127))/1000)</f>
        <v/>
      </c>
      <c r="BH127" s="833" t="str">
        <f>IF($C127&lt;1,"",(AVERAGEIFS('09월 고철장입'!T$14:T$949,'09월 고철장입'!$A$14:$A$949,$A127,'09월 고철장입'!$C$14:$C$949,$B127))/1000)</f>
        <v/>
      </c>
      <c r="BI127" s="833" t="str">
        <f>IF($C127&lt;1,"",(AVERAGEIFS('09월 고철장입'!U$14:U$949,'09월 고철장입'!$A$14:$A$949,$A127,'09월 고철장입'!$C$14:$C$949,$B127))/1000)</f>
        <v/>
      </c>
      <c r="BJ127" s="833" t="str">
        <f>IF($C127&lt;1,"",(AVERAGEIFS('09월 고철장입'!V$14:V$949,'09월 고철장입'!$A$14:$A$949,$A127,'09월 고철장입'!$C$14:$C$949,$B127))/1000)</f>
        <v/>
      </c>
      <c r="BK127" s="833" t="str">
        <f>IF($C127&lt;1,"",(AVERAGEIFS('09월 고철장입'!W$14:W$949,'09월 고철장입'!$A$14:$A$949,$A127,'09월 고철장입'!$C$14:$C$949,$B127))/1000)</f>
        <v/>
      </c>
      <c r="BL127" s="833" t="str">
        <f>IF($C127&lt;1,"",(AVERAGEIFS('09월 고철장입'!Y$14:Y$949,'09월 고철장입'!$A$14:$A$949,$A127,'09월 고철장입'!$C$14:$C$949,$B127))/1000)</f>
        <v/>
      </c>
      <c r="BM127" s="833" t="str">
        <f>IF($C127&lt;1,"",(AVERAGEIFS('09월 고철장입'!AB$14:AB$949,'09월 고철장입'!$A$14:$A$949,$A127,'09월 고철장입'!$C$14:$C$949,$B127))/1000)</f>
        <v/>
      </c>
      <c r="BN127" s="833" t="str">
        <f>IF($C127&lt;1,"",(AVERAGEIFS('09월 고철장입'!AC$14:AC$949,'09월 고철장입'!$A$14:$A$949,$A127,'09월 고철장입'!$C$14:$C$949,$B127))/1000)</f>
        <v/>
      </c>
      <c r="BO127" s="833" t="str">
        <f>IF($C127&lt;1,"",(AVERAGEIFS('09월 고철장입'!AD$14:AD$949,'09월 고철장입'!$A$14:$A$949,$A127,'09월 고철장입'!$C$14:$C$949,$B127))/1000)</f>
        <v/>
      </c>
      <c r="BP127" s="833" t="str">
        <f>IF($C127&lt;1,"",(AVERAGEIFS('09월 고철장입'!AE$14:AE$949,'09월 고철장입'!$A$14:$A$949,$A127,'09월 고철장입'!$C$14:$C$949,$B127))/1000)</f>
        <v/>
      </c>
      <c r="BQ127" s="832" t="str">
        <f>IF($C127&lt;1,"",(AVERAGEIFS('09월 고철장입'!AF$14:AF$949,'09월 고철장입'!$A$14:$A$949,$A127,'09월 고철장입'!$C$14:$C$949,$B127))/1000)</f>
        <v/>
      </c>
      <c r="BR127" s="832" t="str">
        <f>IF($C127&lt;1,"",(AVERAGEIFS('09월 고철장입'!AG$14:AG$949,'09월 고철장입'!$A$14:$A$949,$A127,'09월 고철장입'!$C$14:$C$949,$B127))/1000)</f>
        <v/>
      </c>
      <c r="BS127" s="832" t="str">
        <f>IF($C127&lt;1,"",(AVERAGEIFS('09월 고철장입'!AH$14:AH$949,'09월 고철장입'!$A$14:$A$949,$A127,'09월 고철장입'!$C$14:$C$949,$B127))/1000)</f>
        <v/>
      </c>
      <c r="BT127" s="832" t="str">
        <f>IF($C127&lt;1,"",(AVERAGEIFS('09월 고철장입'!AI$14:AI$949,'09월 고철장입'!$A$14:$A$949,$A127,'09월 고철장입'!$C$14:$C$949,$B127))/1000)</f>
        <v/>
      </c>
      <c r="BU127" s="834" t="str">
        <f>IF($C127&lt;1,"",(AVERAGEIFS('09월 고철장입'!AJ$14:AJ$949,'09월 고철장입'!$A$14:$A$949,$A127,'09월 고철장입'!$C$14:$C$949,$B127))/1000)</f>
        <v/>
      </c>
      <c r="BV127" s="834" t="str">
        <f>IF($C127&lt;1,"",(AVERAGEIFS('09월 고철장입'!AK$14:AK$949,'09월 고철장입'!$A$14:$A$949,$A127,'09월 고철장입'!$C$14:$C$949,$B127)))</f>
        <v/>
      </c>
      <c r="BW127" s="834" t="str">
        <f>IF($C127&lt;1,"",(AVERAGEIFS('09월 고철장입'!AL$14:AL$949,'09월 고철장입'!$A$14:$A$949,$A127,'09월 고철장입'!$C$14:$C$949,$B127))*100)</f>
        <v/>
      </c>
      <c r="BX127" s="831" t="str">
        <f>IF($C127&lt;1,"",(AVERAGEIFS('09월 에너지'!G$14:G$949,'09월 에너지'!$A$14:$A$949,$A127,'09월 에너지'!$C$14:$C$949,$B127)))</f>
        <v/>
      </c>
      <c r="BY127" s="835" t="str">
        <f>IF($C127&lt;1,"",(AVERAGEIFS('09월 에너지'!H$14:H$949,'09월 에너지'!$A$14:$A$949,$A127,'09월 에너지'!$C$14:$C$949,$B127)))</f>
        <v/>
      </c>
      <c r="BZ127" s="831" t="str">
        <f>IF($C127&lt;1,"",(AVERAGEIFS('09월 에너지'!I$14:I$949,'09월 에너지'!$A$14:$A$949,$A127,'09월 에너지'!$C$14:$C$949,$B127)))</f>
        <v/>
      </c>
      <c r="CA127" s="835" t="str">
        <f>IF($C127&lt;1,"",(AVERAGEIFS('09월 에너지'!J$14:J$949,'09월 에너지'!$A$14:$A$949,$A127,'09월 에너지'!$C$14:$C$949,$B127)))</f>
        <v/>
      </c>
      <c r="CB127" s="831" t="str">
        <f>IF($C127&lt;1,"",(AVERAGEIFS('09월 에너지'!K$14:K$949,'09월 에너지'!$A$14:$A$949,$A127,'09월 에너지'!$C$14:$C$949,$B127)))</f>
        <v/>
      </c>
      <c r="CC127" s="835" t="str">
        <f>IF($C127&lt;1,"",(AVERAGEIFS('09월 에너지'!L$14:L$949,'09월 에너지'!$A$14:$A$949,$A127,'09월 에너지'!$C$14:$C$949,$B127)))</f>
        <v/>
      </c>
      <c r="CD127" s="831" t="str">
        <f>IF($C127&lt;1,"",(AVERAGEIFS('09월 에너지'!M$14:M$949,'09월 에너지'!$A$14:$A$949,$A127,'09월 에너지'!$C$14:$C$949,$B127)))</f>
        <v/>
      </c>
      <c r="CE127" s="835" t="str">
        <f>IF($C127&lt;1,"",(AVERAGEIFS('09월 에너지'!N$14:N$949,'09월 에너지'!$A$14:$A$949,$A127,'09월 에너지'!$C$14:$C$949,$B127)))</f>
        <v/>
      </c>
      <c r="CF127" s="831" t="str">
        <f>IF($C127&lt;1,"",(AVERAGEIFS('09월 에너지'!O$14:O$949,'09월 에너지'!$A$14:$A$949,$A127,'09월 에너지'!$C$14:$C$949,$B127)))</f>
        <v/>
      </c>
      <c r="CG127" s="831" t="str">
        <f>IF($C127&lt;1,"",(AVERAGEIFS('09월 에너지'!P$14:P$949,'09월 에너지'!$A$14:$A$949,$A127,'09월 에너지'!$C$14:$C$949,$B127)))</f>
        <v/>
      </c>
      <c r="CH127" s="831" t="str">
        <f>IF($C127&lt;1,"",(AVERAGEIFS('09월 에너지'!Q$14:Q$949,'09월 에너지'!$A$14:$A$949,$A127,'09월 에너지'!$C$14:$C$949,$B127)))</f>
        <v/>
      </c>
      <c r="CI127" s="831" t="str">
        <f>IF($C127&lt;1,"",(AVERAGEIFS('09월 에너지'!R$14:R$949,'09월 에너지'!$A$14:$A$949,$A127,'09월 에너지'!$C$14:$C$949,$B127)))</f>
        <v/>
      </c>
      <c r="CJ127" s="831" t="str">
        <f>IF($C127&lt;1,"",(AVERAGEIFS('09월 에너지'!S$14:S$949,'09월 에너지'!$A$14:$A$949,$A127,'09월 에너지'!$C$14:$C$949,$B127)))</f>
        <v/>
      </c>
      <c r="CK127" s="831" t="str">
        <f>IF($C127&lt;1,"",(AVERAGEIFS('09월 에너지'!T$14:T$949,'09월 에너지'!$A$14:$A$949,$A127,'09월 에너지'!$C$14:$C$949,$B127)))</f>
        <v/>
      </c>
      <c r="CL127" s="831" t="str">
        <f>IF($C127&lt;1,"",(AVERAGEIFS('09월 에너지'!U$14:U$949,'09월 에너지'!$A$14:$A$949,$A127,'09월 에너지'!$C$14:$C$949,$B127)))</f>
        <v/>
      </c>
      <c r="CM127" s="835" t="str">
        <f>IF($C127&lt;1,"",(AVERAGEIFS('09월 에너지'!V$14:V$949,'09월 에너지'!$A$14:$A$949,$A127,'09월 에너지'!$C$14:$C$949,$B127)))</f>
        <v/>
      </c>
      <c r="CN127" s="835" t="str">
        <f>IF($C127&lt;1,"",(AVERAGEIFS('09월 에너지'!W$14:W$949,'09월 에너지'!$A$14:$A$949,$A127,'09월 에너지'!$C$14:$C$949,$B127)))</f>
        <v/>
      </c>
      <c r="CO127" s="831" t="str">
        <f>IF($C127&lt;1,"",(AVERAGEIFS('09월 에너지'!X$14:X$949,'09월 에너지'!$A$14:$A$949,$A127,'09월 에너지'!$C$14:$C$949,$B127)))</f>
        <v/>
      </c>
      <c r="CP127" s="835" t="str">
        <f>IF($C127&lt;1,"",(AVERAGEIFS('09월 에너지'!Y$14:Y$949,'09월 에너지'!$A$14:$A$949,$A127,'09월 에너지'!$C$14:$C$949,$B127)))</f>
        <v/>
      </c>
      <c r="CQ127" s="835" t="str">
        <f>IF($C127&lt;1,"",(AVERAGEIFS('09월 에너지'!Z$14:Z$949,'09월 에너지'!$A$14:$A$949,$A127,'09월 에너지'!$C$14:$C$949,$B127)))</f>
        <v/>
      </c>
      <c r="CR127" s="835" t="str">
        <f>IF($C127&lt;1,"",(AVERAGEIFS('09월 에너지'!AA$14:AA$949,'09월 에너지'!$A$14:$A$949,$A127,'09월 에너지'!$C$14:$C$949,$B127)))</f>
        <v/>
      </c>
      <c r="CS127" s="835" t="str">
        <f>IF($C127&lt;1,"",(AVERAGEIFS('09월 에너지'!AB$14:AB$949,'09월 에너지'!$A$14:$A$949,$A127,'09월 에너지'!$C$14:$C$949,$B127)))</f>
        <v/>
      </c>
      <c r="CT127" s="831" t="str">
        <f>IF($C127&lt;1,"",(AVERAGEIFS('09월 에너지'!AC$14:AC$949,'09월 에너지'!$A$14:$A$949,$A127,'09월 에너지'!$C$14:$C$949,$B127)))</f>
        <v/>
      </c>
      <c r="CU127" s="836" t="str">
        <f>IF($C127&lt;1,"",(AVERAGEIFS('09월 에너지'!AD$14:AD$949,'09월 에너지'!$A$14:$A$949,$A127,'09월 에너지'!$C$14:$C$949,$B127)))</f>
        <v/>
      </c>
      <c r="CV127" s="837" t="str">
        <f>IF($C127&lt;1,"",(AVERAGEIFS('09월 에너지'!AE$14:AE$949,'09월 에너지'!$A$14:$A$949,$A127,'09월 에너지'!$C$14:$C$949,$B127)))</f>
        <v/>
      </c>
      <c r="CW127" s="831" t="str">
        <f>IF($C127&lt;1,"",(AVERAGEIFS('09월 에너지'!AF$14:AF$949,'09월 에너지'!$A$14:$A$949,$A127,'09월 에너지'!$C$14:$C$949,$B127)))</f>
        <v/>
      </c>
      <c r="CX127" s="831" t="str">
        <f>IF($C127&lt;1,"",(AVERAGEIFS('09월 에너지'!AG$14:AG$949,'09월 에너지'!$A$14:$A$949,$A127,'09월 에너지'!$C$14:$C$949,$B127)))</f>
        <v/>
      </c>
      <c r="CY127" s="831" t="str">
        <f>IF($C127&lt;1,"",(AVERAGEIFS('09월 에너지'!AH$14:AH$949,'09월 에너지'!$A$14:$A$949,$A127,'09월 에너지'!$C$14:$C$949,$B127)))</f>
        <v/>
      </c>
      <c r="CZ127" s="831" t="str">
        <f>IF($C127&lt;1,"",(AVERAGEIFS('09월 에너지'!AI$14:AI$949,'09월 에너지'!$A$14:$A$949,$A127,'09월 에너지'!$C$14:$C$949,$B127)))</f>
        <v/>
      </c>
      <c r="DA127" s="838" t="str">
        <f>IF($C127&lt;1,"",(AVERAGEIFS('09월 에너지'!AJ$14:AJ$949,'09월 에너지'!$A$14:$A$949,$A127,'09월 에너지'!$C$14:$C$949,$B127)))</f>
        <v/>
      </c>
    </row>
    <row r="128" spans="1:105" ht="13.5" customHeight="1">
      <c r="A128" s="849">
        <f t="shared" si="20"/>
        <v>44951</v>
      </c>
      <c r="B128" s="850" t="s">
        <v>100</v>
      </c>
      <c r="C128" s="823">
        <f>COUNTIFS('09월 조업일지'!$A$12:$A$952,A126,'09월 조업일지'!$E$12:$E$952,B128)</f>
        <v>0</v>
      </c>
      <c r="D128" s="824" t="str">
        <f t="shared" ref="D128:D130" si="28">IF(C128&lt;1,"",F128-E128)</f>
        <v/>
      </c>
      <c r="E128" s="824" t="str">
        <f>IF($C128&lt;1,"",(SUMIFS('09월 조업일지'!$K$12:$K$952,'09월 조업일지'!$A$12:$A$952,$A128,'09월 조업일지'!$E$12:$E$952,$B128)/$C128))</f>
        <v/>
      </c>
      <c r="F128" s="824" t="str">
        <f>IF($C128&lt;1,"",(AVERAGEIFS('09월 조업일지'!$J$12:$J$952,'09월 조업일지'!$A$12:$A$952,$A128,'09월 조업일지'!$E$12:$E$952,$B128)))</f>
        <v/>
      </c>
      <c r="G128" s="825" t="str">
        <f>IF($C128&lt;1,"",(AVERAGEIFS('09월 에너지'!$M$14:$M$949,'09월 에너지'!$A$14:$A$949,$A128,'09월 에너지'!$C$14:$C$949,$B128)))</f>
        <v/>
      </c>
      <c r="H128" s="826" t="str">
        <f>IF($C128&lt;1,"",(AVERAGEIFS('09월 조업일지'!$AJ$12:$AJ$952,'09월 조업일지'!$A$12:$A$952,$A128,'09월 조업일지'!$E$12:$E$952,$B128)))</f>
        <v/>
      </c>
      <c r="I128" s="826" t="str">
        <f>IF($C128&lt;1,"",(AVERAGEIFS('09월 조업일지'!$AL$12:$AL$952,'09월 조업일지'!$A$12:$A$952,$A128,'09월 조업일지'!$E$12:$E$952,$B128)))</f>
        <v/>
      </c>
      <c r="J128" s="827" t="str">
        <f>IF($C128&lt;1,"",(AVERAGEIFS('09월 화학성분'!G$12:G$949,'09월 화학성분'!$A$12:$A$949,$A128,'09월 화학성분'!$D$12:$D$949,$B128)))</f>
        <v/>
      </c>
      <c r="K128" s="827" t="str">
        <f>IF($C128&lt;1,"",(AVERAGEIFS('09월 화학성분'!H$12:H$949,'09월 화학성분'!$A$12:$A$949,$A128,'09월 화학성분'!$D$12:$D$949,$B128)))</f>
        <v/>
      </c>
      <c r="L128" s="827" t="str">
        <f>IF($C128&lt;1,"",(AVERAGEIFS('09월 화학성분'!I$12:I$949,'09월 화학성분'!$A$12:$A$949,$A128,'09월 화학성분'!$D$12:$D$949,$B128)))</f>
        <v/>
      </c>
      <c r="M128" s="827" t="str">
        <f>IF($C128&lt;1,"",(AVERAGEIFS('09월 화학성분'!J$12:J$949,'09월 화학성분'!$A$12:$A$949,$A128,'09월 화학성분'!$D$12:$D$949,$B128)))</f>
        <v/>
      </c>
      <c r="N128" s="827" t="str">
        <f>IF($C128&lt;1,"",(AVERAGEIFS('09월 화학성분'!K$12:K$949,'09월 화학성분'!$A$12:$A$949,$A128,'09월 화학성분'!$D$12:$D$949,$B128)))</f>
        <v/>
      </c>
      <c r="O128" s="827" t="str">
        <f>IF($C128&lt;1,"",(AVERAGEIFS('09월 화학성분'!L$12:L$949,'09월 화학성분'!$A$12:$A$949,$A128,'09월 화학성분'!$D$12:$D$949,$B128)))</f>
        <v/>
      </c>
      <c r="P128" s="827" t="str">
        <f>IF($C128&lt;1,"",(AVERAGEIFS('09월 화학성분'!M$12:M$949,'09월 화학성분'!$A$12:$A$949,$A128,'09월 화학성분'!$D$12:$D$949,$B128)))</f>
        <v/>
      </c>
      <c r="Q128" s="827" t="str">
        <f>IFERROR(IF($C128&lt;1,"",(AVERAGEIFS('09월 조업일지'!$AA$12:$AA$952,'09월 조업일지'!$A$12:$A$952,$A128,'09월 조업일지'!$E$12:$E$952,$B128))),"")</f>
        <v/>
      </c>
      <c r="R128" s="827" t="str">
        <f>IF($C128&lt;1,"",(AVERAGEIFS('09월 조업일지'!$AK$12:$AK$952,'09월 조업일지'!$A$12:$A$952,$A128,'09월 조업일지'!$E$12:$E$952,$B128)))</f>
        <v/>
      </c>
      <c r="S128" s="827"/>
      <c r="T128" s="827"/>
      <c r="U128" s="827" t="str">
        <f>IF($C128&lt;1,"",(AVERAGEIFS('09월 화학성분'!$G$12:$G$949,'09월 화학성분'!$A$12:$A$949,$A128,'09월 화학성분'!$D$12:$D$949,$B128)))</f>
        <v/>
      </c>
      <c r="V128" s="827" t="str">
        <f>IF($C128&lt;1,"",(AVERAGEIFS('09월 조업일지'!$AI$12:$AI$952,'09월 조업일지'!$A$12:$A$952,$A128,'09월 조업일지'!$E$12:$E$952,$B128)))</f>
        <v/>
      </c>
      <c r="W128" s="828" t="str">
        <f>IF($C128&lt;1,"",(AVERAGEIFS('09월 화학성분'!$AM$12:$AM$949,'09월 화학성분'!$A$12:$A$949,$A128,'09월 화학성분'!$D$12:$D$949,$B128)))</f>
        <v/>
      </c>
      <c r="X128" s="829" t="str">
        <f>IF($C128&lt;1,"",(AVERAGEIFS('09월 화학성분'!N$12:N$949,'09월 화학성분'!$A$12:$A$949,$A128,'09월 화학성분'!$D$12:$D$949,$B128)))</f>
        <v/>
      </c>
      <c r="Y128" s="829" t="str">
        <f>IF($C128&lt;1,"",(AVERAGEIFS('09월 화학성분'!O$12:O$949,'09월 화학성분'!$A$12:$A$949,$A128,'09월 화학성분'!$D$12:$D$949,$B128)))</f>
        <v/>
      </c>
      <c r="Z128" s="829" t="str">
        <f>IF($C128&lt;1,"",(AVERAGEIFS('09월 화학성분'!P$12:P$949,'09월 화학성분'!$A$12:$A$949,$A128,'09월 화학성분'!$D$12:$D$949,$B128)))</f>
        <v/>
      </c>
      <c r="AA128" s="829" t="str">
        <f>IF($C128&lt;1,"",(AVERAGEIFS('09월 화학성분'!Q$12:Q$949,'09월 화학성분'!$A$12:$A$949,$A128,'09월 화학성분'!$D$12:$D$949,$B128)))</f>
        <v/>
      </c>
      <c r="AB128" s="829" t="str">
        <f>IF($C128&lt;1,"",(AVERAGEIFS('09월 화학성분'!R$12:R$949,'09월 화학성분'!$A$12:$A$949,$A128,'09월 화학성분'!$D$12:$D$949,$B128)))</f>
        <v/>
      </c>
      <c r="AC128" s="829" t="str">
        <f>IF($C128&lt;1,"",(AVERAGEIFS('09월 화학성분'!U$12:U$949,'09월 화학성분'!$A$12:$A$949,$A128,'09월 화학성분'!$D$12:$D$949,$B128)))</f>
        <v/>
      </c>
      <c r="AD128" s="829" t="str">
        <f>IF($C128&lt;1,"",(AVERAGEIFS('09월 화학성분'!V$12:V$949,'09월 화학성분'!$A$12:$A$949,$A128,'09월 화학성분'!$D$12:$D$949,$B128)))</f>
        <v/>
      </c>
      <c r="AE128" s="829" t="str">
        <f>IF($C128&lt;1,"",(AVERAGEIFS('09월 화학성분'!W$12:W$949,'09월 화학성분'!$A$12:$A$949,$A128,'09월 화학성분'!$D$12:$D$949,$B128)))</f>
        <v/>
      </c>
      <c r="AF128" s="829" t="str">
        <f>IF($C128&lt;1,"",(AVERAGEIFS('09월 화학성분'!AA$12:AA$949,'09월 화학성분'!$A$12:$A$949,$A128,'09월 화학성분'!$D$12:$D$949,$B128)))</f>
        <v/>
      </c>
      <c r="AG128" s="829" t="str">
        <f>IF($C128&lt;1,"",(AVERAGEIFS('09월 화학성분'!#REF!,'09월 화학성분'!$A$12:$A$949,$A128,'09월 화학성분'!$D$12:$D$949,$B128)))</f>
        <v/>
      </c>
      <c r="AH128" s="829" t="str">
        <f>IF($C128&lt;1,"",(AVERAGEIFS('09월 화학성분'!AB$12:AB$949,'09월 화학성분'!$A$12:$A$949,$A128,'09월 화학성분'!$D$12:$D$949,$B128)))</f>
        <v/>
      </c>
      <c r="AI128" s="829" t="str">
        <f>IF($C128&lt;1,"",(AVERAGEIFS('09월 화학성분'!AC$12:AC$949,'09월 화학성분'!$A$12:$A$949,$A128,'09월 화학성분'!$D$12:$D$949,$B128)))</f>
        <v/>
      </c>
      <c r="AJ128" s="829" t="str">
        <f>IF($C128&lt;1,"",(AVERAGEIFS('09월 화학성분'!AD$12:AD$949,'09월 화학성분'!$A$12:$A$949,$A128,'09월 화학성분'!$D$12:$D$949,$B128)))</f>
        <v/>
      </c>
      <c r="AK128" s="829" t="str">
        <f>IF($C128&lt;1,"",(AVERAGEIFS('09월 화학성분'!AF$12:AF$949,'09월 화학성분'!$A$12:$A$949,$A128,'09월 화학성분'!$D$12:$D$949,$B128)))</f>
        <v/>
      </c>
      <c r="AL128" s="829" t="str">
        <f>IF($C128&lt;1,"",(AVERAGEIFS('09월 화학성분'!AG$12:AG$949,'09월 화학성분'!$A$12:$A$949,$A128,'09월 화학성분'!$D$12:$D$949,$B128)))</f>
        <v/>
      </c>
      <c r="AM128" s="829" t="str">
        <f>IF($C128&lt;1,"",(AVERAGEIFS('09월 화학성분'!AH$12:AH$949,'09월 화학성분'!$A$12:$A$949,$A128,'09월 화학성분'!$D$12:$D$949,$B128)))</f>
        <v/>
      </c>
      <c r="AN128" s="829" t="str">
        <f>IF($C128&lt;1,"",(AVERAGEIFS('09월 화학성분'!AI$12:AI$949,'09월 화학성분'!$A$12:$A$949,$A128,'09월 화학성분'!$D$12:$D$949,$B128)))</f>
        <v/>
      </c>
      <c r="AO128" s="829" t="str">
        <f>IF($C128&lt;1,"",(AVERAGEIFS('09월 화학성분'!AJ$12:AJ$949,'09월 화학성분'!$A$12:$A$949,$A128,'09월 화학성분'!$D$12:$D$949,$B128)))</f>
        <v/>
      </c>
      <c r="AP128" s="829" t="str">
        <f>IF($C128&lt;1,"",(AVERAGEIFS('09월 화학성분'!#REF!,'09월 화학성분'!$A$12:$A$949,$A128,'09월 화학성분'!$D$12:$D$949,$B128)))</f>
        <v/>
      </c>
      <c r="AQ128" s="829" t="str">
        <f>IF($C128&lt;1,"",(AVERAGEIFS('09월 화학성분'!AL$12:AL$949,'09월 화학성분'!$A$12:$A$949,$A128,'09월 화학성분'!$D$12:$D$949,$B128)))</f>
        <v/>
      </c>
      <c r="AR128" s="829" t="str">
        <f>IF($C128&lt;1,"",(AVERAGEIFS('09월 화학성분'!AM$12:AM$949,'09월 화학성분'!$A$12:$A$949,$A128,'09월 화학성분'!$D$12:$D$949,$B128)))</f>
        <v/>
      </c>
      <c r="AS128" s="830" t="str">
        <f>IF($C128&lt;1,"",(AVERAGEIFS('09월 화학성분'!AN$12:AN$949,'09월 화학성분'!$A$12:$A$949,$A128,'09월 화학성분'!$D$12:$D$949,$B128)))</f>
        <v/>
      </c>
      <c r="AT128" s="830" t="str">
        <f>IF($C128&lt;1,"",(AVERAGEIFS('09월 화학성분'!AO$12:AO$949,'09월 화학성분'!$A$12:$A$949,$A128,'09월 화학성분'!$D$12:$D$949,$B128)))</f>
        <v/>
      </c>
      <c r="AU128" s="831" t="str">
        <f>IF($C128&lt;1,"",(AVERAGEIFS('09월 화학성분'!AP$12:AP$949,'09월 화학성분'!$A$12:$A$949,$A128,'09월 화학성분'!$D$12:$D$949,$B128)))</f>
        <v/>
      </c>
      <c r="AV128" s="832" t="str">
        <f>IF($C128&lt;1,"",(AVERAGEIFS('09월 고철장입'!G$14:G$949,'09월 고철장입'!$A$14:$A$949,$A128,'09월 고철장입'!$C$14:$C$949,$B128))/1000)</f>
        <v/>
      </c>
      <c r="AW128" s="832" t="str">
        <f>IF($C128&lt;1,"",(AVERAGEIFS('09월 고철장입'!H$14:H$949,'09월 고철장입'!$A$14:$A$949,$A128,'09월 고철장입'!$C$14:$C$949,$B128))/1000)</f>
        <v/>
      </c>
      <c r="AX128" s="832" t="str">
        <f>IF($C128&lt;1,"",(AVERAGEIFS('09월 고철장입'!I$14:I$949,'09월 고철장입'!$A$14:$A$949,$A128,'09월 고철장입'!$C$14:$C$949,$B128))/1000)</f>
        <v/>
      </c>
      <c r="AY128" s="832" t="str">
        <f>IF($C128&lt;1,"",(AVERAGEIFS('09월 고철장입'!J$14:J$949,'09월 고철장입'!$A$14:$A$949,$A128,'09월 고철장입'!$C$14:$C$949,$B128))/1000)</f>
        <v/>
      </c>
      <c r="AZ128" s="832" t="str">
        <f>IF($C128&lt;1,"",(AVERAGEIFS('09월 고철장입'!K$14:K$949,'09월 고철장입'!$A$14:$A$949,$A128,'09월 고철장입'!$C$14:$C$949,$B128))/1000)</f>
        <v/>
      </c>
      <c r="BA128" s="832" t="str">
        <f>IF($C128&lt;1,"",(AVERAGEIFS('09월 고철장입'!L$14:L$949,'09월 고철장입'!$A$14:$A$949,$A128,'09월 고철장입'!$C$14:$C$949,$B128))/1000)</f>
        <v/>
      </c>
      <c r="BB128" s="832" t="str">
        <f>IF($C128&lt;1,"",(AVERAGEIFS('09월 고철장입'!M$14:M$949,'09월 고철장입'!$A$14:$A$949,$A128,'09월 고철장입'!$C$14:$C$949,$B128))/1000)</f>
        <v/>
      </c>
      <c r="BC128" s="832" t="str">
        <f>IF($C128&lt;1,"",(AVERAGEIFS('09월 고철장입'!N$14:N$949,'09월 고철장입'!$A$14:$A$949,$A128,'09월 고철장입'!$C$14:$C$949,$B128))/1000)</f>
        <v/>
      </c>
      <c r="BD128" s="832" t="str">
        <f>IF($C128&lt;1,"",(AVERAGEIFS('09월 고철장입'!O$14:O$949,'09월 고철장입'!$A$14:$A$949,$A128,'09월 고철장입'!$C$14:$C$949,$B128))/1000)</f>
        <v/>
      </c>
      <c r="BE128" s="833" t="str">
        <f>IF($C128&lt;1,"",(AVERAGEIFS('09월 고철장입'!P$14:P$949,'09월 고철장입'!$A$14:$A$949,$A128,'09월 고철장입'!$C$14:$C$949,$B128))/1000)</f>
        <v/>
      </c>
      <c r="BF128" s="833" t="str">
        <f>IF($C128&lt;1,"",(AVERAGEIFS('09월 고철장입'!Q$14:Q$949,'09월 고철장입'!$A$14:$A$949,$A128,'09월 고철장입'!$C$14:$C$949,$B128))/1000)</f>
        <v/>
      </c>
      <c r="BG128" s="833" t="str">
        <f>IF($C128&lt;1,"",(AVERAGEIFS('09월 고철장입'!S$14:S$949,'09월 고철장입'!$A$14:$A$949,$A128,'09월 고철장입'!$C$14:$C$949,$B128))/1000)</f>
        <v/>
      </c>
      <c r="BH128" s="833" t="str">
        <f>IF($C128&lt;1,"",(AVERAGEIFS('09월 고철장입'!T$14:T$949,'09월 고철장입'!$A$14:$A$949,$A128,'09월 고철장입'!$C$14:$C$949,$B128))/1000)</f>
        <v/>
      </c>
      <c r="BI128" s="833" t="str">
        <f>IF($C128&lt;1,"",(AVERAGEIFS('09월 고철장입'!U$14:U$949,'09월 고철장입'!$A$14:$A$949,$A128,'09월 고철장입'!$C$14:$C$949,$B128))/1000)</f>
        <v/>
      </c>
      <c r="BJ128" s="833" t="str">
        <f>IF($C128&lt;1,"",(AVERAGEIFS('09월 고철장입'!V$14:V$949,'09월 고철장입'!$A$14:$A$949,$A128,'09월 고철장입'!$C$14:$C$949,$B128))/1000)</f>
        <v/>
      </c>
      <c r="BK128" s="833" t="str">
        <f>IF($C128&lt;1,"",(AVERAGEIFS('09월 고철장입'!W$14:W$949,'09월 고철장입'!$A$14:$A$949,$A128,'09월 고철장입'!$C$14:$C$949,$B128))/1000)</f>
        <v/>
      </c>
      <c r="BL128" s="833" t="str">
        <f>IF($C128&lt;1,"",(AVERAGEIFS('09월 고철장입'!Y$14:Y$949,'09월 고철장입'!$A$14:$A$949,$A128,'09월 고철장입'!$C$14:$C$949,$B128))/1000)</f>
        <v/>
      </c>
      <c r="BM128" s="833" t="str">
        <f>IF($C128&lt;1,"",(AVERAGEIFS('09월 고철장입'!AB$14:AB$949,'09월 고철장입'!$A$14:$A$949,$A128,'09월 고철장입'!$C$14:$C$949,$B128))/1000)</f>
        <v/>
      </c>
      <c r="BN128" s="833" t="str">
        <f>IF($C128&lt;1,"",(AVERAGEIFS('09월 고철장입'!AC$14:AC$949,'09월 고철장입'!$A$14:$A$949,$A128,'09월 고철장입'!$C$14:$C$949,$B128))/1000)</f>
        <v/>
      </c>
      <c r="BO128" s="833" t="str">
        <f>IF($C128&lt;1,"",(AVERAGEIFS('09월 고철장입'!AD$14:AD$949,'09월 고철장입'!$A$14:$A$949,$A128,'09월 고철장입'!$C$14:$C$949,$B128))/1000)</f>
        <v/>
      </c>
      <c r="BP128" s="833" t="str">
        <f>IF($C128&lt;1,"",(AVERAGEIFS('09월 고철장입'!AE$14:AE$949,'09월 고철장입'!$A$14:$A$949,$A128,'09월 고철장입'!$C$14:$C$949,$B128))/1000)</f>
        <v/>
      </c>
      <c r="BQ128" s="832" t="str">
        <f>IF($C128&lt;1,"",(AVERAGEIFS('09월 고철장입'!AF$14:AF$949,'09월 고철장입'!$A$14:$A$949,$A128,'09월 고철장입'!$C$14:$C$949,$B128))/1000)</f>
        <v/>
      </c>
      <c r="BR128" s="832" t="str">
        <f>IF($C128&lt;1,"",(AVERAGEIFS('09월 고철장입'!AG$14:AG$949,'09월 고철장입'!$A$14:$A$949,$A128,'09월 고철장입'!$C$14:$C$949,$B128))/1000)</f>
        <v/>
      </c>
      <c r="BS128" s="832" t="str">
        <f>IF($C128&lt;1,"",(AVERAGEIFS('09월 고철장입'!AH$14:AH$949,'09월 고철장입'!$A$14:$A$949,$A128,'09월 고철장입'!$C$14:$C$949,$B128))/1000)</f>
        <v/>
      </c>
      <c r="BT128" s="832" t="str">
        <f>IF($C128&lt;1,"",(AVERAGEIFS('09월 고철장입'!AI$14:AI$949,'09월 고철장입'!$A$14:$A$949,$A128,'09월 고철장입'!$C$14:$C$949,$B128))/1000)</f>
        <v/>
      </c>
      <c r="BU128" s="834" t="str">
        <f>IF($C128&lt;1,"",(AVERAGEIFS('09월 고철장입'!AJ$14:AJ$949,'09월 고철장입'!$A$14:$A$949,$A128,'09월 고철장입'!$C$14:$C$949,$B128))/1000)</f>
        <v/>
      </c>
      <c r="BV128" s="834" t="str">
        <f>IF($C128&lt;1,"",(AVERAGEIFS('09월 고철장입'!AK$14:AK$949,'09월 고철장입'!$A$14:$A$949,$A128,'09월 고철장입'!$C$14:$C$949,$B128)))</f>
        <v/>
      </c>
      <c r="BW128" s="834" t="str">
        <f>IF($C128&lt;1,"",(AVERAGEIFS('09월 고철장입'!AL$14:AL$949,'09월 고철장입'!$A$14:$A$949,$A128,'09월 고철장입'!$C$14:$C$949,$B128))*100)</f>
        <v/>
      </c>
      <c r="BX128" s="831" t="str">
        <f>IF($C128&lt;1,"",(AVERAGEIFS('09월 에너지'!G$14:G$949,'09월 에너지'!$A$14:$A$949,$A128,'09월 에너지'!$C$14:$C$949,$B128)))</f>
        <v/>
      </c>
      <c r="BY128" s="835" t="str">
        <f>IF($C128&lt;1,"",(AVERAGEIFS('09월 에너지'!H$14:H$949,'09월 에너지'!$A$14:$A$949,$A128,'09월 에너지'!$C$14:$C$949,$B128)))</f>
        <v/>
      </c>
      <c r="BZ128" s="831" t="str">
        <f>IF($C128&lt;1,"",(AVERAGEIFS('09월 에너지'!I$14:I$949,'09월 에너지'!$A$14:$A$949,$A128,'09월 에너지'!$C$14:$C$949,$B128)))</f>
        <v/>
      </c>
      <c r="CA128" s="835" t="str">
        <f>IF($C128&lt;1,"",(AVERAGEIFS('09월 에너지'!J$14:J$949,'09월 에너지'!$A$14:$A$949,$A128,'09월 에너지'!$C$14:$C$949,$B128)))</f>
        <v/>
      </c>
      <c r="CB128" s="831" t="str">
        <f>IF($C128&lt;1,"",(AVERAGEIFS('09월 에너지'!K$14:K$949,'09월 에너지'!$A$14:$A$949,$A128,'09월 에너지'!$C$14:$C$949,$B128)))</f>
        <v/>
      </c>
      <c r="CC128" s="835" t="str">
        <f>IF($C128&lt;1,"",(AVERAGEIFS('09월 에너지'!L$14:L$949,'09월 에너지'!$A$14:$A$949,$A128,'09월 에너지'!$C$14:$C$949,$B128)))</f>
        <v/>
      </c>
      <c r="CD128" s="831" t="str">
        <f>IF($C128&lt;1,"",(AVERAGEIFS('09월 에너지'!M$14:M$949,'09월 에너지'!$A$14:$A$949,$A128,'09월 에너지'!$C$14:$C$949,$B128)))</f>
        <v/>
      </c>
      <c r="CE128" s="835" t="str">
        <f>IF($C128&lt;1,"",(AVERAGEIFS('09월 에너지'!N$14:N$949,'09월 에너지'!$A$14:$A$949,$A128,'09월 에너지'!$C$14:$C$949,$B128)))</f>
        <v/>
      </c>
      <c r="CF128" s="831" t="str">
        <f>IF($C128&lt;1,"",(AVERAGEIFS('09월 에너지'!O$14:O$949,'09월 에너지'!$A$14:$A$949,$A128,'09월 에너지'!$C$14:$C$949,$B128)))</f>
        <v/>
      </c>
      <c r="CG128" s="831" t="str">
        <f>IF($C128&lt;1,"",(AVERAGEIFS('09월 에너지'!P$14:P$949,'09월 에너지'!$A$14:$A$949,$A128,'09월 에너지'!$C$14:$C$949,$B128)))</f>
        <v/>
      </c>
      <c r="CH128" s="831" t="str">
        <f>IF($C128&lt;1,"",(AVERAGEIFS('09월 에너지'!Q$14:Q$949,'09월 에너지'!$A$14:$A$949,$A128,'09월 에너지'!$C$14:$C$949,$B128)))</f>
        <v/>
      </c>
      <c r="CI128" s="831" t="str">
        <f>IF($C128&lt;1,"",(AVERAGEIFS('09월 에너지'!R$14:R$949,'09월 에너지'!$A$14:$A$949,$A128,'09월 에너지'!$C$14:$C$949,$B128)))</f>
        <v/>
      </c>
      <c r="CJ128" s="831" t="str">
        <f>IF($C128&lt;1,"",(AVERAGEIFS('09월 에너지'!S$14:S$949,'09월 에너지'!$A$14:$A$949,$A128,'09월 에너지'!$C$14:$C$949,$B128)))</f>
        <v/>
      </c>
      <c r="CK128" s="831" t="str">
        <f>IF($C128&lt;1,"",(AVERAGEIFS('09월 에너지'!T$14:T$949,'09월 에너지'!$A$14:$A$949,$A128,'09월 에너지'!$C$14:$C$949,$B128)))</f>
        <v/>
      </c>
      <c r="CL128" s="831" t="str">
        <f>IF($C128&lt;1,"",(AVERAGEIFS('09월 에너지'!U$14:U$949,'09월 에너지'!$A$14:$A$949,$A128,'09월 에너지'!$C$14:$C$949,$B128)))</f>
        <v/>
      </c>
      <c r="CM128" s="835" t="str">
        <f>IF($C128&lt;1,"",(AVERAGEIFS('09월 에너지'!V$14:V$949,'09월 에너지'!$A$14:$A$949,$A128,'09월 에너지'!$C$14:$C$949,$B128)))</f>
        <v/>
      </c>
      <c r="CN128" s="835" t="str">
        <f>IF($C128&lt;1,"",(AVERAGEIFS('09월 에너지'!W$14:W$949,'09월 에너지'!$A$14:$A$949,$A128,'09월 에너지'!$C$14:$C$949,$B128)))</f>
        <v/>
      </c>
      <c r="CO128" s="831" t="str">
        <f>IF($C128&lt;1,"",(AVERAGEIFS('09월 에너지'!X$14:X$949,'09월 에너지'!$A$14:$A$949,$A128,'09월 에너지'!$C$14:$C$949,$B128)))</f>
        <v/>
      </c>
      <c r="CP128" s="835" t="str">
        <f>IF($C128&lt;1,"",(AVERAGEIFS('09월 에너지'!Y$14:Y$949,'09월 에너지'!$A$14:$A$949,$A128,'09월 에너지'!$C$14:$C$949,$B128)))</f>
        <v/>
      </c>
      <c r="CQ128" s="835" t="str">
        <f>IF($C128&lt;1,"",(AVERAGEIFS('09월 에너지'!Z$14:Z$949,'09월 에너지'!$A$14:$A$949,$A128,'09월 에너지'!$C$14:$C$949,$B128)))</f>
        <v/>
      </c>
      <c r="CR128" s="835" t="str">
        <f>IF($C128&lt;1,"",(AVERAGEIFS('09월 에너지'!AA$14:AA$949,'09월 에너지'!$A$14:$A$949,$A128,'09월 에너지'!$C$14:$C$949,$B128)))</f>
        <v/>
      </c>
      <c r="CS128" s="835" t="str">
        <f>IF($C128&lt;1,"",(AVERAGEIFS('09월 에너지'!AB$14:AB$949,'09월 에너지'!$A$14:$A$949,$A128,'09월 에너지'!$C$14:$C$949,$B128)))</f>
        <v/>
      </c>
      <c r="CT128" s="831" t="str">
        <f>IF($C128&lt;1,"",(AVERAGEIFS('09월 에너지'!AC$14:AC$949,'09월 에너지'!$A$14:$A$949,$A128,'09월 에너지'!$C$14:$C$949,$B128)))</f>
        <v/>
      </c>
      <c r="CU128" s="836" t="str">
        <f>IF($C128&lt;1,"",(AVERAGEIFS('09월 에너지'!AD$14:AD$949,'09월 에너지'!$A$14:$A$949,$A128,'09월 에너지'!$C$14:$C$949,$B128)))</f>
        <v/>
      </c>
      <c r="CV128" s="837" t="str">
        <f>IF($C128&lt;1,"",(AVERAGEIFS('09월 에너지'!AE$14:AE$949,'09월 에너지'!$A$14:$A$949,$A128,'09월 에너지'!$C$14:$C$949,$B128)))</f>
        <v/>
      </c>
      <c r="CW128" s="831" t="str">
        <f>IF($C128&lt;1,"",(AVERAGEIFS('09월 에너지'!AF$14:AF$949,'09월 에너지'!$A$14:$A$949,$A128,'09월 에너지'!$C$14:$C$949,$B128)))</f>
        <v/>
      </c>
      <c r="CX128" s="831" t="str">
        <f>IF($C128&lt;1,"",(AVERAGEIFS('09월 에너지'!AG$14:AG$949,'09월 에너지'!$A$14:$A$949,$A128,'09월 에너지'!$C$14:$C$949,$B128)))</f>
        <v/>
      </c>
      <c r="CY128" s="831" t="str">
        <f>IF($C128&lt;1,"",(AVERAGEIFS('09월 에너지'!AH$14:AH$949,'09월 에너지'!$A$14:$A$949,$A128,'09월 에너지'!$C$14:$C$949,$B128)))</f>
        <v/>
      </c>
      <c r="CZ128" s="831" t="str">
        <f>IF($C128&lt;1,"",(AVERAGEIFS('09월 에너지'!AI$14:AI$949,'09월 에너지'!$A$14:$A$949,$A128,'09월 에너지'!$C$14:$C$949,$B128)))</f>
        <v/>
      </c>
      <c r="DA128" s="838" t="str">
        <f>IF($C128&lt;1,"",(AVERAGEIFS('09월 에너지'!AJ$14:AJ$949,'09월 에너지'!$A$14:$A$949,$A128,'09월 에너지'!$C$14:$C$949,$B128)))</f>
        <v/>
      </c>
    </row>
    <row r="129" spans="1:105" ht="13.5" customHeight="1">
      <c r="A129" s="849">
        <f t="shared" si="20"/>
        <v>44951</v>
      </c>
      <c r="B129" s="850" t="s">
        <v>10</v>
      </c>
      <c r="C129" s="823">
        <f>COUNTIFS('09월 조업일지'!$A$12:$A$952,A126,'09월 조업일지'!$E$12:$E$952,B129)</f>
        <v>0</v>
      </c>
      <c r="D129" s="824" t="str">
        <f t="shared" si="28"/>
        <v/>
      </c>
      <c r="E129" s="824" t="str">
        <f>IF($C129&lt;1,"",(SUMIFS('09월 조업일지'!$K$12:$K$952,'09월 조업일지'!$A$12:$A$952,$A129,'09월 조업일지'!$E$12:$E$952,$B129)/$C129))</f>
        <v/>
      </c>
      <c r="F129" s="824" t="str">
        <f>IF($C129&lt;1,"",(AVERAGEIFS('09월 조업일지'!$J$12:$J$952,'09월 조업일지'!$A$12:$A$952,$A129,'09월 조업일지'!$E$12:$E$952,$B129)))</f>
        <v/>
      </c>
      <c r="G129" s="825" t="str">
        <f>IF($C129&lt;1,"",(AVERAGEIFS('09월 에너지'!$M$14:$M$949,'09월 에너지'!$A$14:$A$949,$A129,'09월 에너지'!$C$14:$C$949,$B129)))</f>
        <v/>
      </c>
      <c r="H129" s="826" t="str">
        <f>IF($C129&lt;1,"",(AVERAGEIFS('09월 조업일지'!$AJ$12:$AJ$952,'09월 조업일지'!$A$12:$A$952,$A129,'09월 조업일지'!$E$12:$E$952,$B129)))</f>
        <v/>
      </c>
      <c r="I129" s="826" t="str">
        <f>IF($C129&lt;1,"",(AVERAGEIFS('09월 조업일지'!$AL$12:$AL$952,'09월 조업일지'!$A$12:$A$952,$A129,'09월 조업일지'!$E$12:$E$952,$B129)))</f>
        <v/>
      </c>
      <c r="J129" s="827" t="str">
        <f>IF($C129&lt;1,"",(AVERAGEIFS('09월 화학성분'!G$12:G$949,'09월 화학성분'!$A$12:$A$949,$A129,'09월 화학성분'!$D$12:$D$949,$B129)))</f>
        <v/>
      </c>
      <c r="K129" s="827" t="str">
        <f>IF($C129&lt;1,"",(AVERAGEIFS('09월 화학성분'!H$12:H$949,'09월 화학성분'!$A$12:$A$949,$A129,'09월 화학성분'!$D$12:$D$949,$B129)))</f>
        <v/>
      </c>
      <c r="L129" s="827" t="str">
        <f>IF($C129&lt;1,"",(AVERAGEIFS('09월 화학성분'!I$12:I$949,'09월 화학성분'!$A$12:$A$949,$A129,'09월 화학성분'!$D$12:$D$949,$B129)))</f>
        <v/>
      </c>
      <c r="M129" s="827" t="str">
        <f>IF($C129&lt;1,"",(AVERAGEIFS('09월 화학성분'!J$12:J$949,'09월 화학성분'!$A$12:$A$949,$A129,'09월 화학성분'!$D$12:$D$949,$B129)))</f>
        <v/>
      </c>
      <c r="N129" s="827" t="str">
        <f>IF($C129&lt;1,"",(AVERAGEIFS('09월 화학성분'!K$12:K$949,'09월 화학성분'!$A$12:$A$949,$A129,'09월 화학성분'!$D$12:$D$949,$B129)))</f>
        <v/>
      </c>
      <c r="O129" s="827" t="str">
        <f>IF($C129&lt;1,"",(AVERAGEIFS('09월 화학성분'!L$12:L$949,'09월 화학성분'!$A$12:$A$949,$A129,'09월 화학성분'!$D$12:$D$949,$B129)))</f>
        <v/>
      </c>
      <c r="P129" s="827" t="str">
        <f>IF($C129&lt;1,"",(AVERAGEIFS('09월 화학성분'!M$12:M$949,'09월 화학성분'!$A$12:$A$949,$A129,'09월 화학성분'!$D$12:$D$949,$B129)))</f>
        <v/>
      </c>
      <c r="Q129" s="827" t="str">
        <f>IFERROR(IF($C129&lt;1,"",(AVERAGEIFS('09월 조업일지'!$AA$12:$AA$952,'09월 조업일지'!$A$12:$A$952,$A129,'09월 조업일지'!$E$12:$E$952,$B129))),"")</f>
        <v/>
      </c>
      <c r="R129" s="827" t="str">
        <f>IF($C129&lt;1,"",(AVERAGEIFS('09월 조업일지'!$AK$12:$AK$952,'09월 조업일지'!$A$12:$A$952,$A129,'09월 조업일지'!$E$12:$E$952,$B129)))</f>
        <v/>
      </c>
      <c r="S129" s="827"/>
      <c r="T129" s="827"/>
      <c r="U129" s="827" t="str">
        <f>IF($C129&lt;1,"",(AVERAGEIFS('09월 화학성분'!$G$12:$G$949,'09월 화학성분'!$A$12:$A$949,$A129,'09월 화학성분'!$D$12:$D$949,$B129)))</f>
        <v/>
      </c>
      <c r="V129" s="827" t="str">
        <f>IF($C129&lt;1,"",(AVERAGEIFS('09월 조업일지'!$AI$12:$AI$952,'09월 조업일지'!$A$12:$A$952,$A129,'09월 조업일지'!$E$12:$E$952,$B129)))</f>
        <v/>
      </c>
      <c r="W129" s="828" t="str">
        <f>IF($C129&lt;1,"",(AVERAGEIFS('09월 화학성분'!$AM$12:$AM$949,'09월 화학성분'!$A$12:$A$949,$A129,'09월 화학성분'!$D$12:$D$949,$B129)))</f>
        <v/>
      </c>
      <c r="X129" s="829" t="str">
        <f>IF($C129&lt;1,"",(AVERAGEIFS('09월 화학성분'!N$12:N$949,'09월 화학성분'!$A$12:$A$949,$A129,'09월 화학성분'!$D$12:$D$949,$B129)))</f>
        <v/>
      </c>
      <c r="Y129" s="829" t="str">
        <f>IF($C129&lt;1,"",(AVERAGEIFS('09월 화학성분'!O$12:O$949,'09월 화학성분'!$A$12:$A$949,$A129,'09월 화학성분'!$D$12:$D$949,$B129)))</f>
        <v/>
      </c>
      <c r="Z129" s="829" t="str">
        <f>IF($C129&lt;1,"",(AVERAGEIFS('09월 화학성분'!P$12:P$949,'09월 화학성분'!$A$12:$A$949,$A129,'09월 화학성분'!$D$12:$D$949,$B129)))</f>
        <v/>
      </c>
      <c r="AA129" s="829" t="str">
        <f>IF($C129&lt;1,"",(AVERAGEIFS('09월 화학성분'!Q$12:Q$949,'09월 화학성분'!$A$12:$A$949,$A129,'09월 화학성분'!$D$12:$D$949,$B129)))</f>
        <v/>
      </c>
      <c r="AB129" s="829" t="str">
        <f>IF($C129&lt;1,"",(AVERAGEIFS('09월 화학성분'!R$12:R$949,'09월 화학성분'!$A$12:$A$949,$A129,'09월 화학성분'!$D$12:$D$949,$B129)))</f>
        <v/>
      </c>
      <c r="AC129" s="829" t="str">
        <f>IF($C129&lt;1,"",(AVERAGEIFS('09월 화학성분'!U$12:U$949,'09월 화학성분'!$A$12:$A$949,$A129,'09월 화학성분'!$D$12:$D$949,$B129)))</f>
        <v/>
      </c>
      <c r="AD129" s="829" t="str">
        <f>IF($C129&lt;1,"",(AVERAGEIFS('09월 화학성분'!V$12:V$949,'09월 화학성분'!$A$12:$A$949,$A129,'09월 화학성분'!$D$12:$D$949,$B129)))</f>
        <v/>
      </c>
      <c r="AE129" s="829" t="str">
        <f>IF($C129&lt;1,"",(AVERAGEIFS('09월 화학성분'!W$12:W$949,'09월 화학성분'!$A$12:$A$949,$A129,'09월 화학성분'!$D$12:$D$949,$B129)))</f>
        <v/>
      </c>
      <c r="AF129" s="829" t="str">
        <f>IF($C129&lt;1,"",(AVERAGEIFS('09월 화학성분'!AA$12:AA$949,'09월 화학성분'!$A$12:$A$949,$A129,'09월 화학성분'!$D$12:$D$949,$B129)))</f>
        <v/>
      </c>
      <c r="AG129" s="829" t="str">
        <f>IF($C129&lt;1,"",(AVERAGEIFS('09월 화학성분'!#REF!,'09월 화학성분'!$A$12:$A$949,$A129,'09월 화학성분'!$D$12:$D$949,$B129)))</f>
        <v/>
      </c>
      <c r="AH129" s="829" t="str">
        <f>IF($C129&lt;1,"",(AVERAGEIFS('09월 화학성분'!AB$12:AB$949,'09월 화학성분'!$A$12:$A$949,$A129,'09월 화학성분'!$D$12:$D$949,$B129)))</f>
        <v/>
      </c>
      <c r="AI129" s="829" t="str">
        <f>IF($C129&lt;1,"",(AVERAGEIFS('09월 화학성분'!AC$12:AC$949,'09월 화학성분'!$A$12:$A$949,$A129,'09월 화학성분'!$D$12:$D$949,$B129)))</f>
        <v/>
      </c>
      <c r="AJ129" s="829" t="str">
        <f>IF($C129&lt;1,"",(AVERAGEIFS('09월 화학성분'!AD$12:AD$949,'09월 화학성분'!$A$12:$A$949,$A129,'09월 화학성분'!$D$12:$D$949,$B129)))</f>
        <v/>
      </c>
      <c r="AK129" s="829" t="str">
        <f>IF($C129&lt;1,"",(AVERAGEIFS('09월 화학성분'!AF$12:AF$949,'09월 화학성분'!$A$12:$A$949,$A129,'09월 화학성분'!$D$12:$D$949,$B129)))</f>
        <v/>
      </c>
      <c r="AL129" s="829" t="str">
        <f>IF($C129&lt;1,"",(AVERAGEIFS('09월 화학성분'!AG$12:AG$949,'09월 화학성분'!$A$12:$A$949,$A129,'09월 화학성분'!$D$12:$D$949,$B129)))</f>
        <v/>
      </c>
      <c r="AM129" s="829" t="str">
        <f>IF($C129&lt;1,"",(AVERAGEIFS('09월 화학성분'!AH$12:AH$949,'09월 화학성분'!$A$12:$A$949,$A129,'09월 화학성분'!$D$12:$D$949,$B129)))</f>
        <v/>
      </c>
      <c r="AN129" s="829" t="str">
        <f>IF($C129&lt;1,"",(AVERAGEIFS('09월 화학성분'!AI$12:AI$949,'09월 화학성분'!$A$12:$A$949,$A129,'09월 화학성분'!$D$12:$D$949,$B129)))</f>
        <v/>
      </c>
      <c r="AO129" s="829" t="str">
        <f>IF($C129&lt;1,"",(AVERAGEIFS('09월 화학성분'!AJ$12:AJ$949,'09월 화학성분'!$A$12:$A$949,$A129,'09월 화학성분'!$D$12:$D$949,$B129)))</f>
        <v/>
      </c>
      <c r="AP129" s="829" t="str">
        <f>IF($C129&lt;1,"",(AVERAGEIFS('09월 화학성분'!#REF!,'09월 화학성분'!$A$12:$A$949,$A129,'09월 화학성분'!$D$12:$D$949,$B129)))</f>
        <v/>
      </c>
      <c r="AQ129" s="829" t="str">
        <f>IF($C129&lt;1,"",(AVERAGEIFS('09월 화학성분'!AL$12:AL$949,'09월 화학성분'!$A$12:$A$949,$A129,'09월 화학성분'!$D$12:$D$949,$B129)))</f>
        <v/>
      </c>
      <c r="AR129" s="829" t="str">
        <f>IF($C129&lt;1,"",(AVERAGEIFS('09월 화학성분'!AM$12:AM$949,'09월 화학성분'!$A$12:$A$949,$A129,'09월 화학성분'!$D$12:$D$949,$B129)))</f>
        <v/>
      </c>
      <c r="AS129" s="830" t="str">
        <f>IF($C129&lt;1,"",(AVERAGEIFS('09월 화학성분'!AN$12:AN$949,'09월 화학성분'!$A$12:$A$949,$A129,'09월 화학성분'!$D$12:$D$949,$B129)))</f>
        <v/>
      </c>
      <c r="AT129" s="830" t="str">
        <f>IF($C129&lt;1,"",(AVERAGEIFS('09월 화학성분'!AO$12:AO$949,'09월 화학성분'!$A$12:$A$949,$A129,'09월 화학성분'!$D$12:$D$949,$B129)))</f>
        <v/>
      </c>
      <c r="AU129" s="831" t="str">
        <f>IF($C129&lt;1,"",(AVERAGEIFS('09월 화학성분'!AP$12:AP$949,'09월 화학성분'!$A$12:$A$949,$A129,'09월 화학성분'!$D$12:$D$949,$B129)))</f>
        <v/>
      </c>
      <c r="AV129" s="832" t="str">
        <f>IF($C129&lt;1,"",(AVERAGEIFS('09월 고철장입'!G$14:G$949,'09월 고철장입'!$A$14:$A$949,$A129,'09월 고철장입'!$C$14:$C$949,$B129))/1000)</f>
        <v/>
      </c>
      <c r="AW129" s="832" t="str">
        <f>IF($C129&lt;1,"",(AVERAGEIFS('09월 고철장입'!H$14:H$949,'09월 고철장입'!$A$14:$A$949,$A129,'09월 고철장입'!$C$14:$C$949,$B129))/1000)</f>
        <v/>
      </c>
      <c r="AX129" s="832" t="str">
        <f>IF($C129&lt;1,"",(AVERAGEIFS('09월 고철장입'!I$14:I$949,'09월 고철장입'!$A$14:$A$949,$A129,'09월 고철장입'!$C$14:$C$949,$B129))/1000)</f>
        <v/>
      </c>
      <c r="AY129" s="832" t="str">
        <f>IF($C129&lt;1,"",(AVERAGEIFS('09월 고철장입'!J$14:J$949,'09월 고철장입'!$A$14:$A$949,$A129,'09월 고철장입'!$C$14:$C$949,$B129))/1000)</f>
        <v/>
      </c>
      <c r="AZ129" s="832" t="str">
        <f>IF($C129&lt;1,"",(AVERAGEIFS('09월 고철장입'!K$14:K$949,'09월 고철장입'!$A$14:$A$949,$A129,'09월 고철장입'!$C$14:$C$949,$B129))/1000)</f>
        <v/>
      </c>
      <c r="BA129" s="832" t="str">
        <f>IF($C129&lt;1,"",(AVERAGEIFS('09월 고철장입'!L$14:L$949,'09월 고철장입'!$A$14:$A$949,$A129,'09월 고철장입'!$C$14:$C$949,$B129))/1000)</f>
        <v/>
      </c>
      <c r="BB129" s="832" t="str">
        <f>IF($C129&lt;1,"",(AVERAGEIFS('09월 고철장입'!M$14:M$949,'09월 고철장입'!$A$14:$A$949,$A129,'09월 고철장입'!$C$14:$C$949,$B129))/1000)</f>
        <v/>
      </c>
      <c r="BC129" s="832" t="str">
        <f>IF($C129&lt;1,"",(AVERAGEIFS('09월 고철장입'!N$14:N$949,'09월 고철장입'!$A$14:$A$949,$A129,'09월 고철장입'!$C$14:$C$949,$B129))/1000)</f>
        <v/>
      </c>
      <c r="BD129" s="832" t="str">
        <f>IF($C129&lt;1,"",(AVERAGEIFS('09월 고철장입'!O$14:O$949,'09월 고철장입'!$A$14:$A$949,$A129,'09월 고철장입'!$C$14:$C$949,$B129))/1000)</f>
        <v/>
      </c>
      <c r="BE129" s="833" t="str">
        <f>IF($C129&lt;1,"",(AVERAGEIFS('09월 고철장입'!P$14:P$949,'09월 고철장입'!$A$14:$A$949,$A129,'09월 고철장입'!$C$14:$C$949,$B129))/1000)</f>
        <v/>
      </c>
      <c r="BF129" s="833" t="str">
        <f>IF($C129&lt;1,"",(AVERAGEIFS('09월 고철장입'!Q$14:Q$949,'09월 고철장입'!$A$14:$A$949,$A129,'09월 고철장입'!$C$14:$C$949,$B129))/1000)</f>
        <v/>
      </c>
      <c r="BG129" s="833" t="str">
        <f>IF($C129&lt;1,"",(AVERAGEIFS('09월 고철장입'!S$14:S$949,'09월 고철장입'!$A$14:$A$949,$A129,'09월 고철장입'!$C$14:$C$949,$B129))/1000)</f>
        <v/>
      </c>
      <c r="BH129" s="833" t="str">
        <f>IF($C129&lt;1,"",(AVERAGEIFS('09월 고철장입'!T$14:T$949,'09월 고철장입'!$A$14:$A$949,$A129,'09월 고철장입'!$C$14:$C$949,$B129))/1000)</f>
        <v/>
      </c>
      <c r="BI129" s="833" t="str">
        <f>IF($C129&lt;1,"",(AVERAGEIFS('09월 고철장입'!U$14:U$949,'09월 고철장입'!$A$14:$A$949,$A129,'09월 고철장입'!$C$14:$C$949,$B129))/1000)</f>
        <v/>
      </c>
      <c r="BJ129" s="833" t="str">
        <f>IF($C129&lt;1,"",(AVERAGEIFS('09월 고철장입'!V$14:V$949,'09월 고철장입'!$A$14:$A$949,$A129,'09월 고철장입'!$C$14:$C$949,$B129))/1000)</f>
        <v/>
      </c>
      <c r="BK129" s="833" t="str">
        <f>IF($C129&lt;1,"",(AVERAGEIFS('09월 고철장입'!W$14:W$949,'09월 고철장입'!$A$14:$A$949,$A129,'09월 고철장입'!$C$14:$C$949,$B129))/1000)</f>
        <v/>
      </c>
      <c r="BL129" s="833" t="str">
        <f>IF($C129&lt;1,"",(AVERAGEIFS('09월 고철장입'!Y$14:Y$949,'09월 고철장입'!$A$14:$A$949,$A129,'09월 고철장입'!$C$14:$C$949,$B129))/1000)</f>
        <v/>
      </c>
      <c r="BM129" s="833" t="str">
        <f>IF($C129&lt;1,"",(AVERAGEIFS('09월 고철장입'!AB$14:AB$949,'09월 고철장입'!$A$14:$A$949,$A129,'09월 고철장입'!$C$14:$C$949,$B129))/1000)</f>
        <v/>
      </c>
      <c r="BN129" s="833" t="str">
        <f>IF($C129&lt;1,"",(AVERAGEIFS('09월 고철장입'!AC$14:AC$949,'09월 고철장입'!$A$14:$A$949,$A129,'09월 고철장입'!$C$14:$C$949,$B129))/1000)</f>
        <v/>
      </c>
      <c r="BO129" s="833" t="str">
        <f>IF($C129&lt;1,"",(AVERAGEIFS('09월 고철장입'!AD$14:AD$949,'09월 고철장입'!$A$14:$A$949,$A129,'09월 고철장입'!$C$14:$C$949,$B129))/1000)</f>
        <v/>
      </c>
      <c r="BP129" s="833" t="str">
        <f>IF($C129&lt;1,"",(AVERAGEIFS('09월 고철장입'!AE$14:AE$949,'09월 고철장입'!$A$14:$A$949,$A129,'09월 고철장입'!$C$14:$C$949,$B129))/1000)</f>
        <v/>
      </c>
      <c r="BQ129" s="832" t="str">
        <f>IF($C129&lt;1,"",(AVERAGEIFS('09월 고철장입'!AF$14:AF$949,'09월 고철장입'!$A$14:$A$949,$A129,'09월 고철장입'!$C$14:$C$949,$B129))/1000)</f>
        <v/>
      </c>
      <c r="BR129" s="832" t="str">
        <f>IF($C129&lt;1,"",(AVERAGEIFS('09월 고철장입'!AG$14:AG$949,'09월 고철장입'!$A$14:$A$949,$A129,'09월 고철장입'!$C$14:$C$949,$B129))/1000)</f>
        <v/>
      </c>
      <c r="BS129" s="832" t="str">
        <f>IF($C129&lt;1,"",(AVERAGEIFS('09월 고철장입'!AH$14:AH$949,'09월 고철장입'!$A$14:$A$949,$A129,'09월 고철장입'!$C$14:$C$949,$B129))/1000)</f>
        <v/>
      </c>
      <c r="BT129" s="832" t="str">
        <f>IF($C129&lt;1,"",(AVERAGEIFS('09월 고철장입'!AI$14:AI$949,'09월 고철장입'!$A$14:$A$949,$A129,'09월 고철장입'!$C$14:$C$949,$B129))/1000)</f>
        <v/>
      </c>
      <c r="BU129" s="834" t="str">
        <f>IF($C129&lt;1,"",(AVERAGEIFS('09월 고철장입'!AJ$14:AJ$949,'09월 고철장입'!$A$14:$A$949,$A129,'09월 고철장입'!$C$14:$C$949,$B129))/1000)</f>
        <v/>
      </c>
      <c r="BV129" s="834" t="str">
        <f>IF($C129&lt;1,"",(AVERAGEIFS('09월 고철장입'!AK$14:AK$949,'09월 고철장입'!$A$14:$A$949,$A129,'09월 고철장입'!$C$14:$C$949,$B129)))</f>
        <v/>
      </c>
      <c r="BW129" s="834" t="str">
        <f>IF($C129&lt;1,"",(AVERAGEIFS('09월 고철장입'!AL$14:AL$949,'09월 고철장입'!$A$14:$A$949,$A129,'09월 고철장입'!$C$14:$C$949,$B129))*100)</f>
        <v/>
      </c>
      <c r="BX129" s="831" t="str">
        <f>IF($C129&lt;1,"",(AVERAGEIFS('09월 에너지'!G$14:G$949,'09월 에너지'!$A$14:$A$949,$A129,'09월 에너지'!$C$14:$C$949,$B129)))</f>
        <v/>
      </c>
      <c r="BY129" s="835" t="str">
        <f>IF($C129&lt;1,"",(AVERAGEIFS('09월 에너지'!H$14:H$949,'09월 에너지'!$A$14:$A$949,$A129,'09월 에너지'!$C$14:$C$949,$B129)))</f>
        <v/>
      </c>
      <c r="BZ129" s="831" t="str">
        <f>IF($C129&lt;1,"",(AVERAGEIFS('09월 에너지'!I$14:I$949,'09월 에너지'!$A$14:$A$949,$A129,'09월 에너지'!$C$14:$C$949,$B129)))</f>
        <v/>
      </c>
      <c r="CA129" s="835" t="str">
        <f>IF($C129&lt;1,"",(AVERAGEIFS('09월 에너지'!J$14:J$949,'09월 에너지'!$A$14:$A$949,$A129,'09월 에너지'!$C$14:$C$949,$B129)))</f>
        <v/>
      </c>
      <c r="CB129" s="831" t="str">
        <f>IF($C129&lt;1,"",(AVERAGEIFS('09월 에너지'!K$14:K$949,'09월 에너지'!$A$14:$A$949,$A129,'09월 에너지'!$C$14:$C$949,$B129)))</f>
        <v/>
      </c>
      <c r="CC129" s="835" t="str">
        <f>IF($C129&lt;1,"",(AVERAGEIFS('09월 에너지'!L$14:L$949,'09월 에너지'!$A$14:$A$949,$A129,'09월 에너지'!$C$14:$C$949,$B129)))</f>
        <v/>
      </c>
      <c r="CD129" s="831" t="str">
        <f>IF($C129&lt;1,"",(AVERAGEIFS('09월 에너지'!M$14:M$949,'09월 에너지'!$A$14:$A$949,$A129,'09월 에너지'!$C$14:$C$949,$B129)))</f>
        <v/>
      </c>
      <c r="CE129" s="835" t="str">
        <f>IF($C129&lt;1,"",(AVERAGEIFS('09월 에너지'!N$14:N$949,'09월 에너지'!$A$14:$A$949,$A129,'09월 에너지'!$C$14:$C$949,$B129)))</f>
        <v/>
      </c>
      <c r="CF129" s="831" t="str">
        <f>IF($C129&lt;1,"",(AVERAGEIFS('09월 에너지'!O$14:O$949,'09월 에너지'!$A$14:$A$949,$A129,'09월 에너지'!$C$14:$C$949,$B129)))</f>
        <v/>
      </c>
      <c r="CG129" s="831" t="str">
        <f>IF($C129&lt;1,"",(AVERAGEIFS('09월 에너지'!P$14:P$949,'09월 에너지'!$A$14:$A$949,$A129,'09월 에너지'!$C$14:$C$949,$B129)))</f>
        <v/>
      </c>
      <c r="CH129" s="831" t="str">
        <f>IF($C129&lt;1,"",(AVERAGEIFS('09월 에너지'!Q$14:Q$949,'09월 에너지'!$A$14:$A$949,$A129,'09월 에너지'!$C$14:$C$949,$B129)))</f>
        <v/>
      </c>
      <c r="CI129" s="831" t="str">
        <f>IF($C129&lt;1,"",(AVERAGEIFS('09월 에너지'!R$14:R$949,'09월 에너지'!$A$14:$A$949,$A129,'09월 에너지'!$C$14:$C$949,$B129)))</f>
        <v/>
      </c>
      <c r="CJ129" s="831" t="str">
        <f>IF($C129&lt;1,"",(AVERAGEIFS('09월 에너지'!S$14:S$949,'09월 에너지'!$A$14:$A$949,$A129,'09월 에너지'!$C$14:$C$949,$B129)))</f>
        <v/>
      </c>
      <c r="CK129" s="831" t="str">
        <f>IF($C129&lt;1,"",(AVERAGEIFS('09월 에너지'!T$14:T$949,'09월 에너지'!$A$14:$A$949,$A129,'09월 에너지'!$C$14:$C$949,$B129)))</f>
        <v/>
      </c>
      <c r="CL129" s="831" t="str">
        <f>IF($C129&lt;1,"",(AVERAGEIFS('09월 에너지'!U$14:U$949,'09월 에너지'!$A$14:$A$949,$A129,'09월 에너지'!$C$14:$C$949,$B129)))</f>
        <v/>
      </c>
      <c r="CM129" s="835" t="str">
        <f>IF($C129&lt;1,"",(AVERAGEIFS('09월 에너지'!V$14:V$949,'09월 에너지'!$A$14:$A$949,$A129,'09월 에너지'!$C$14:$C$949,$B129)))</f>
        <v/>
      </c>
      <c r="CN129" s="835" t="str">
        <f>IF($C129&lt;1,"",(AVERAGEIFS('09월 에너지'!W$14:W$949,'09월 에너지'!$A$14:$A$949,$A129,'09월 에너지'!$C$14:$C$949,$B129)))</f>
        <v/>
      </c>
      <c r="CO129" s="831" t="str">
        <f>IF($C129&lt;1,"",(AVERAGEIFS('09월 에너지'!X$14:X$949,'09월 에너지'!$A$14:$A$949,$A129,'09월 에너지'!$C$14:$C$949,$B129)))</f>
        <v/>
      </c>
      <c r="CP129" s="835" t="str">
        <f>IF($C129&lt;1,"",(AVERAGEIFS('09월 에너지'!Y$14:Y$949,'09월 에너지'!$A$14:$A$949,$A129,'09월 에너지'!$C$14:$C$949,$B129)))</f>
        <v/>
      </c>
      <c r="CQ129" s="835" t="str">
        <f>IF($C129&lt;1,"",(AVERAGEIFS('09월 에너지'!Z$14:Z$949,'09월 에너지'!$A$14:$A$949,$A129,'09월 에너지'!$C$14:$C$949,$B129)))</f>
        <v/>
      </c>
      <c r="CR129" s="835" t="str">
        <f>IF($C129&lt;1,"",(AVERAGEIFS('09월 에너지'!AA$14:AA$949,'09월 에너지'!$A$14:$A$949,$A129,'09월 에너지'!$C$14:$C$949,$B129)))</f>
        <v/>
      </c>
      <c r="CS129" s="835" t="str">
        <f>IF($C129&lt;1,"",(AVERAGEIFS('09월 에너지'!AB$14:AB$949,'09월 에너지'!$A$14:$A$949,$A129,'09월 에너지'!$C$14:$C$949,$B129)))</f>
        <v/>
      </c>
      <c r="CT129" s="831" t="str">
        <f>IF($C129&lt;1,"",(AVERAGEIFS('09월 에너지'!AC$14:AC$949,'09월 에너지'!$A$14:$A$949,$A129,'09월 에너지'!$C$14:$C$949,$B129)))</f>
        <v/>
      </c>
      <c r="CU129" s="836" t="str">
        <f>IF($C129&lt;1,"",(AVERAGEIFS('09월 에너지'!AD$14:AD$949,'09월 에너지'!$A$14:$A$949,$A129,'09월 에너지'!$C$14:$C$949,$B129)))</f>
        <v/>
      </c>
      <c r="CV129" s="837" t="str">
        <f>IF($C129&lt;1,"",(AVERAGEIFS('09월 에너지'!AE$14:AE$949,'09월 에너지'!$A$14:$A$949,$A129,'09월 에너지'!$C$14:$C$949,$B129)))</f>
        <v/>
      </c>
      <c r="CW129" s="831" t="str">
        <f>IF($C129&lt;1,"",(AVERAGEIFS('09월 에너지'!AF$14:AF$949,'09월 에너지'!$A$14:$A$949,$A129,'09월 에너지'!$C$14:$C$949,$B129)))</f>
        <v/>
      </c>
      <c r="CX129" s="831" t="str">
        <f>IF($C129&lt;1,"",(AVERAGEIFS('09월 에너지'!AG$14:AG$949,'09월 에너지'!$A$14:$A$949,$A129,'09월 에너지'!$C$14:$C$949,$B129)))</f>
        <v/>
      </c>
      <c r="CY129" s="831" t="str">
        <f>IF($C129&lt;1,"",(AVERAGEIFS('09월 에너지'!AH$14:AH$949,'09월 에너지'!$A$14:$A$949,$A129,'09월 에너지'!$C$14:$C$949,$B129)))</f>
        <v/>
      </c>
      <c r="CZ129" s="831" t="str">
        <f>IF($C129&lt;1,"",(AVERAGEIFS('09월 에너지'!AI$14:AI$949,'09월 에너지'!$A$14:$A$949,$A129,'09월 에너지'!$C$14:$C$949,$B129)))</f>
        <v/>
      </c>
      <c r="DA129" s="838" t="str">
        <f>IF($C129&lt;1,"",(AVERAGEIFS('09월 에너지'!AJ$14:AJ$949,'09월 에너지'!$A$14:$A$949,$A129,'09월 에너지'!$C$14:$C$949,$B129)))</f>
        <v/>
      </c>
    </row>
    <row r="130" spans="1:105" ht="13.5" customHeight="1" thickBot="1">
      <c r="A130" s="851">
        <f t="shared" si="20"/>
        <v>44951</v>
      </c>
      <c r="B130" s="852" t="s">
        <v>94</v>
      </c>
      <c r="C130" s="841">
        <f>COUNTIFS('09월 조업일지'!$A$12:$A$952,A126,'09월 조업일지'!$E$12:$E$952,B130)</f>
        <v>0</v>
      </c>
      <c r="D130" s="842" t="str">
        <f t="shared" si="28"/>
        <v/>
      </c>
      <c r="E130" s="842" t="str">
        <f>IF($C130&lt;1,"",(SUMIFS('09월 조업일지'!$K$12:$K$952,'09월 조업일지'!$A$12:$A$952,$A130,'09월 조업일지'!$E$12:$E$952,$B130)/$C130))</f>
        <v/>
      </c>
      <c r="F130" s="842" t="str">
        <f>IF($C130&lt;1,"",(AVERAGEIFS('09월 조업일지'!$J$12:$J$952,'09월 조업일지'!$A$12:$A$952,$A130,'09월 조업일지'!$E$12:$E$952,$B130)))</f>
        <v/>
      </c>
      <c r="G130" s="843" t="str">
        <f>IF($C130&lt;1,"",(AVERAGEIFS('09월 에너지'!$M$14:$M$949,'09월 에너지'!$A$14:$A$949,$A130,'09월 에너지'!$C$14:$C$949,$B130)))</f>
        <v/>
      </c>
      <c r="H130" s="844" t="str">
        <f>IF($C130&lt;1,"",(AVERAGEIFS('09월 조업일지'!$AJ$12:$AJ$952,'09월 조업일지'!$A$12:$A$952,$A130,'09월 조업일지'!$E$12:$E$952,$B130)))</f>
        <v/>
      </c>
      <c r="I130" s="844" t="str">
        <f>IF($C130&lt;1,"",(AVERAGEIFS('09월 조업일지'!$AL$12:$AL$952,'09월 조업일지'!$A$12:$A$952,$A130,'09월 조업일지'!$E$12:$E$952,$B130)))</f>
        <v/>
      </c>
      <c r="J130" s="845" t="str">
        <f>IF($C130&lt;1,"",(AVERAGEIFS('09월 화학성분'!G$12:G$949,'09월 화학성분'!$A$12:$A$949,$A130,'09월 화학성분'!$D$12:$D$949,$B130)))</f>
        <v/>
      </c>
      <c r="K130" s="845" t="str">
        <f>IF($C130&lt;1,"",(AVERAGEIFS('09월 화학성분'!H$12:H$949,'09월 화학성분'!$A$12:$A$949,$A130,'09월 화학성분'!$D$12:$D$949,$B130)))</f>
        <v/>
      </c>
      <c r="L130" s="845" t="str">
        <f>IF($C130&lt;1,"",(AVERAGEIFS('09월 화학성분'!I$12:I$949,'09월 화학성분'!$A$12:$A$949,$A130,'09월 화학성분'!$D$12:$D$949,$B130)))</f>
        <v/>
      </c>
      <c r="M130" s="845" t="str">
        <f>IF($C130&lt;1,"",(AVERAGEIFS('09월 화학성분'!J$12:J$949,'09월 화학성분'!$A$12:$A$949,$A130,'09월 화학성분'!$D$12:$D$949,$B130)))</f>
        <v/>
      </c>
      <c r="N130" s="845" t="str">
        <f>IF($C130&lt;1,"",(AVERAGEIFS('09월 화학성분'!K$12:K$949,'09월 화학성분'!$A$12:$A$949,$A130,'09월 화학성분'!$D$12:$D$949,$B130)))</f>
        <v/>
      </c>
      <c r="O130" s="845" t="str">
        <f>IF($C130&lt;1,"",(AVERAGEIFS('09월 화학성분'!L$12:L$949,'09월 화학성분'!$A$12:$A$949,$A130,'09월 화학성분'!$D$12:$D$949,$B130)))</f>
        <v/>
      </c>
      <c r="P130" s="845" t="str">
        <f>IF($C130&lt;1,"",(AVERAGEIFS('09월 화학성분'!M$12:M$949,'09월 화학성분'!$A$12:$A$949,$A130,'09월 화학성분'!$D$12:$D$949,$B130)))</f>
        <v/>
      </c>
      <c r="Q130" s="827" t="str">
        <f>IFERROR(IF($C130&lt;1,"",(AVERAGEIFS('09월 조업일지'!$AA$12:$AA$952,'09월 조업일지'!$A$12:$A$952,$A130,'09월 조업일지'!$E$12:$E$952,$B130))),"")</f>
        <v/>
      </c>
      <c r="R130" s="845" t="str">
        <f>IF($C130&lt;1,"",(AVERAGEIFS('09월 조업일지'!$AK$12:$AK$952,'09월 조업일지'!$A$12:$A$952,$A130,'09월 조업일지'!$E$12:$E$952,$B130)))</f>
        <v/>
      </c>
      <c r="S130" s="845"/>
      <c r="T130" s="845"/>
      <c r="U130" s="845" t="str">
        <f>IF($C130&lt;1,"",(AVERAGEIFS('09월 화학성분'!$G$12:$G$949,'09월 화학성분'!$A$12:$A$949,$A130,'09월 화학성분'!$D$12:$D$949,$B130)))</f>
        <v/>
      </c>
      <c r="V130" s="845" t="str">
        <f>IF($C130&lt;1,"",(AVERAGEIFS('09월 조업일지'!$AI$12:$AI$952,'09월 조업일지'!$A$12:$A$952,$A130,'09월 조업일지'!$E$12:$E$952,$B130)))</f>
        <v/>
      </c>
      <c r="W130" s="846" t="str">
        <f>IF($C130&lt;1,"",(AVERAGEIFS('09월 화학성분'!$AM$12:$AM$949,'09월 화학성분'!$A$12:$A$949,$A130,'09월 화학성분'!$D$12:$D$949,$B130)))</f>
        <v/>
      </c>
      <c r="X130" s="829" t="str">
        <f>IF($C130&lt;1,"",(AVERAGEIFS('09월 화학성분'!N$12:N$949,'09월 화학성분'!$A$12:$A$949,$A130,'09월 화학성분'!$D$12:$D$949,$B130)))</f>
        <v/>
      </c>
      <c r="Y130" s="829" t="str">
        <f>IF($C130&lt;1,"",(AVERAGEIFS('09월 화학성분'!O$12:O$949,'09월 화학성분'!$A$12:$A$949,$A130,'09월 화학성분'!$D$12:$D$949,$B130)))</f>
        <v/>
      </c>
      <c r="Z130" s="829" t="str">
        <f>IF($C130&lt;1,"",(AVERAGEIFS('09월 화학성분'!P$12:P$949,'09월 화학성분'!$A$12:$A$949,$A130,'09월 화학성분'!$D$12:$D$949,$B130)))</f>
        <v/>
      </c>
      <c r="AA130" s="829" t="str">
        <f>IF($C130&lt;1,"",(AVERAGEIFS('09월 화학성분'!Q$12:Q$949,'09월 화학성분'!$A$12:$A$949,$A130,'09월 화학성분'!$D$12:$D$949,$B130)))</f>
        <v/>
      </c>
      <c r="AB130" s="829" t="str">
        <f>IF($C130&lt;1,"",(AVERAGEIFS('09월 화학성분'!R$12:R$949,'09월 화학성분'!$A$12:$A$949,$A130,'09월 화학성분'!$D$12:$D$949,$B130)))</f>
        <v/>
      </c>
      <c r="AC130" s="829" t="str">
        <f>IF($C130&lt;1,"",(AVERAGEIFS('09월 화학성분'!U$12:U$949,'09월 화학성분'!$A$12:$A$949,$A130,'09월 화학성분'!$D$12:$D$949,$B130)))</f>
        <v/>
      </c>
      <c r="AD130" s="829" t="str">
        <f>IF($C130&lt;1,"",(AVERAGEIFS('09월 화학성분'!V$12:V$949,'09월 화학성분'!$A$12:$A$949,$A130,'09월 화학성분'!$D$12:$D$949,$B130)))</f>
        <v/>
      </c>
      <c r="AE130" s="829" t="str">
        <f>IF($C130&lt;1,"",(AVERAGEIFS('09월 화학성분'!W$12:W$949,'09월 화학성분'!$A$12:$A$949,$A130,'09월 화학성분'!$D$12:$D$949,$B130)))</f>
        <v/>
      </c>
      <c r="AF130" s="829" t="str">
        <f>IF($C130&lt;1,"",(AVERAGEIFS('09월 화학성분'!AA$12:AA$949,'09월 화학성분'!$A$12:$A$949,$A130,'09월 화학성분'!$D$12:$D$949,$B130)))</f>
        <v/>
      </c>
      <c r="AG130" s="829" t="str">
        <f>IF($C130&lt;1,"",(AVERAGEIFS('09월 화학성분'!#REF!,'09월 화학성분'!$A$12:$A$949,$A130,'09월 화학성분'!$D$12:$D$949,$B130)))</f>
        <v/>
      </c>
      <c r="AH130" s="829" t="str">
        <f>IF($C130&lt;1,"",(AVERAGEIFS('09월 화학성분'!AB$12:AB$949,'09월 화학성분'!$A$12:$A$949,$A130,'09월 화학성분'!$D$12:$D$949,$B130)))</f>
        <v/>
      </c>
      <c r="AI130" s="829" t="str">
        <f>IF($C130&lt;1,"",(AVERAGEIFS('09월 화학성분'!AC$12:AC$949,'09월 화학성분'!$A$12:$A$949,$A130,'09월 화학성분'!$D$12:$D$949,$B130)))</f>
        <v/>
      </c>
      <c r="AJ130" s="829" t="str">
        <f>IF($C130&lt;1,"",(AVERAGEIFS('09월 화학성분'!AD$12:AD$949,'09월 화학성분'!$A$12:$A$949,$A130,'09월 화학성분'!$D$12:$D$949,$B130)))</f>
        <v/>
      </c>
      <c r="AK130" s="829" t="str">
        <f>IF($C130&lt;1,"",(AVERAGEIFS('09월 화학성분'!AF$12:AF$949,'09월 화학성분'!$A$12:$A$949,$A130,'09월 화학성분'!$D$12:$D$949,$B130)))</f>
        <v/>
      </c>
      <c r="AL130" s="829" t="str">
        <f>IF($C130&lt;1,"",(AVERAGEIFS('09월 화학성분'!AG$12:AG$949,'09월 화학성분'!$A$12:$A$949,$A130,'09월 화학성분'!$D$12:$D$949,$B130)))</f>
        <v/>
      </c>
      <c r="AM130" s="829" t="str">
        <f>IF($C130&lt;1,"",(AVERAGEIFS('09월 화학성분'!AH$12:AH$949,'09월 화학성분'!$A$12:$A$949,$A130,'09월 화학성분'!$D$12:$D$949,$B130)))</f>
        <v/>
      </c>
      <c r="AN130" s="829" t="str">
        <f>IF($C130&lt;1,"",(AVERAGEIFS('09월 화학성분'!AI$12:AI$949,'09월 화학성분'!$A$12:$A$949,$A130,'09월 화학성분'!$D$12:$D$949,$B130)))</f>
        <v/>
      </c>
      <c r="AO130" s="829" t="str">
        <f>IF($C130&lt;1,"",(AVERAGEIFS('09월 화학성분'!AJ$12:AJ$949,'09월 화학성분'!$A$12:$A$949,$A130,'09월 화학성분'!$D$12:$D$949,$B130)))</f>
        <v/>
      </c>
      <c r="AP130" s="829" t="str">
        <f>IF($C130&lt;1,"",(AVERAGEIFS('09월 화학성분'!#REF!,'09월 화학성분'!$A$12:$A$949,$A130,'09월 화학성분'!$D$12:$D$949,$B130)))</f>
        <v/>
      </c>
      <c r="AQ130" s="829" t="str">
        <f>IF($C130&lt;1,"",(AVERAGEIFS('09월 화학성분'!AL$12:AL$949,'09월 화학성분'!$A$12:$A$949,$A130,'09월 화학성분'!$D$12:$D$949,$B130)))</f>
        <v/>
      </c>
      <c r="AR130" s="829" t="str">
        <f>IF($C130&lt;1,"",(AVERAGEIFS('09월 화학성분'!AM$12:AM$949,'09월 화학성분'!$A$12:$A$949,$A130,'09월 화학성분'!$D$12:$D$949,$B130)))</f>
        <v/>
      </c>
      <c r="AS130" s="830" t="str">
        <f>IF($C130&lt;1,"",(AVERAGEIFS('09월 화학성분'!AN$12:AN$949,'09월 화학성분'!$A$12:$A$949,$A130,'09월 화학성분'!$D$12:$D$949,$B130)))</f>
        <v/>
      </c>
      <c r="AT130" s="830" t="str">
        <f>IF($C130&lt;1,"",(AVERAGEIFS('09월 화학성분'!AO$12:AO$949,'09월 화학성분'!$A$12:$A$949,$A130,'09월 화학성분'!$D$12:$D$949,$B130)))</f>
        <v/>
      </c>
      <c r="AU130" s="831" t="str">
        <f>IF($C130&lt;1,"",(AVERAGEIFS('09월 화학성분'!AP$12:AP$949,'09월 화학성분'!$A$12:$A$949,$A130,'09월 화학성분'!$D$12:$D$949,$B130)))</f>
        <v/>
      </c>
      <c r="AV130" s="832" t="str">
        <f>IF($C130&lt;1,"",(AVERAGEIFS('09월 고철장입'!G$14:G$949,'09월 고철장입'!$A$14:$A$949,$A130,'09월 고철장입'!$C$14:$C$949,$B130))/1000)</f>
        <v/>
      </c>
      <c r="AW130" s="832" t="str">
        <f>IF($C130&lt;1,"",(AVERAGEIFS('09월 고철장입'!H$14:H$949,'09월 고철장입'!$A$14:$A$949,$A130,'09월 고철장입'!$C$14:$C$949,$B130))/1000)</f>
        <v/>
      </c>
      <c r="AX130" s="832" t="str">
        <f>IF($C130&lt;1,"",(AVERAGEIFS('09월 고철장입'!I$14:I$949,'09월 고철장입'!$A$14:$A$949,$A130,'09월 고철장입'!$C$14:$C$949,$B130))/1000)</f>
        <v/>
      </c>
      <c r="AY130" s="832" t="str">
        <f>IF($C130&lt;1,"",(AVERAGEIFS('09월 고철장입'!J$14:J$949,'09월 고철장입'!$A$14:$A$949,$A130,'09월 고철장입'!$C$14:$C$949,$B130))/1000)</f>
        <v/>
      </c>
      <c r="AZ130" s="832" t="str">
        <f>IF($C130&lt;1,"",(AVERAGEIFS('09월 고철장입'!K$14:K$949,'09월 고철장입'!$A$14:$A$949,$A130,'09월 고철장입'!$C$14:$C$949,$B130))/1000)</f>
        <v/>
      </c>
      <c r="BA130" s="832" t="str">
        <f>IF($C130&lt;1,"",(AVERAGEIFS('09월 고철장입'!L$14:L$949,'09월 고철장입'!$A$14:$A$949,$A130,'09월 고철장입'!$C$14:$C$949,$B130))/1000)</f>
        <v/>
      </c>
      <c r="BB130" s="832" t="str">
        <f>IF($C130&lt;1,"",(AVERAGEIFS('09월 고철장입'!M$14:M$949,'09월 고철장입'!$A$14:$A$949,$A130,'09월 고철장입'!$C$14:$C$949,$B130))/1000)</f>
        <v/>
      </c>
      <c r="BC130" s="832" t="str">
        <f>IF($C130&lt;1,"",(AVERAGEIFS('09월 고철장입'!N$14:N$949,'09월 고철장입'!$A$14:$A$949,$A130,'09월 고철장입'!$C$14:$C$949,$B130))/1000)</f>
        <v/>
      </c>
      <c r="BD130" s="832" t="str">
        <f>IF($C130&lt;1,"",(AVERAGEIFS('09월 고철장입'!O$14:O$949,'09월 고철장입'!$A$14:$A$949,$A130,'09월 고철장입'!$C$14:$C$949,$B130))/1000)</f>
        <v/>
      </c>
      <c r="BE130" s="833" t="str">
        <f>IF($C130&lt;1,"",(AVERAGEIFS('09월 고철장입'!P$14:P$949,'09월 고철장입'!$A$14:$A$949,$A130,'09월 고철장입'!$C$14:$C$949,$B130))/1000)</f>
        <v/>
      </c>
      <c r="BF130" s="833" t="str">
        <f>IF($C130&lt;1,"",(AVERAGEIFS('09월 고철장입'!Q$14:Q$949,'09월 고철장입'!$A$14:$A$949,$A130,'09월 고철장입'!$C$14:$C$949,$B130))/1000)</f>
        <v/>
      </c>
      <c r="BG130" s="833" t="str">
        <f>IF($C130&lt;1,"",(AVERAGEIFS('09월 고철장입'!S$14:S$949,'09월 고철장입'!$A$14:$A$949,$A130,'09월 고철장입'!$C$14:$C$949,$B130))/1000)</f>
        <v/>
      </c>
      <c r="BH130" s="833" t="str">
        <f>IF($C130&lt;1,"",(AVERAGEIFS('09월 고철장입'!T$14:T$949,'09월 고철장입'!$A$14:$A$949,$A130,'09월 고철장입'!$C$14:$C$949,$B130))/1000)</f>
        <v/>
      </c>
      <c r="BI130" s="833" t="str">
        <f>IF($C130&lt;1,"",(AVERAGEIFS('09월 고철장입'!U$14:U$949,'09월 고철장입'!$A$14:$A$949,$A130,'09월 고철장입'!$C$14:$C$949,$B130))/1000)</f>
        <v/>
      </c>
      <c r="BJ130" s="833" t="str">
        <f>IF($C130&lt;1,"",(AVERAGEIFS('09월 고철장입'!V$14:V$949,'09월 고철장입'!$A$14:$A$949,$A130,'09월 고철장입'!$C$14:$C$949,$B130))/1000)</f>
        <v/>
      </c>
      <c r="BK130" s="833" t="str">
        <f>IF($C130&lt;1,"",(AVERAGEIFS('09월 고철장입'!W$14:W$949,'09월 고철장입'!$A$14:$A$949,$A130,'09월 고철장입'!$C$14:$C$949,$B130))/1000)</f>
        <v/>
      </c>
      <c r="BL130" s="833" t="str">
        <f>IF($C130&lt;1,"",(AVERAGEIFS('09월 고철장입'!Y$14:Y$949,'09월 고철장입'!$A$14:$A$949,$A130,'09월 고철장입'!$C$14:$C$949,$B130))/1000)</f>
        <v/>
      </c>
      <c r="BM130" s="833" t="str">
        <f>IF($C130&lt;1,"",(AVERAGEIFS('09월 고철장입'!AB$14:AB$949,'09월 고철장입'!$A$14:$A$949,$A130,'09월 고철장입'!$C$14:$C$949,$B130))/1000)</f>
        <v/>
      </c>
      <c r="BN130" s="833" t="str">
        <f>IF($C130&lt;1,"",(AVERAGEIFS('09월 고철장입'!AC$14:AC$949,'09월 고철장입'!$A$14:$A$949,$A130,'09월 고철장입'!$C$14:$C$949,$B130))/1000)</f>
        <v/>
      </c>
      <c r="BO130" s="833" t="str">
        <f>IF($C130&lt;1,"",(AVERAGEIFS('09월 고철장입'!AD$14:AD$949,'09월 고철장입'!$A$14:$A$949,$A130,'09월 고철장입'!$C$14:$C$949,$B130))/1000)</f>
        <v/>
      </c>
      <c r="BP130" s="833" t="str">
        <f>IF($C130&lt;1,"",(AVERAGEIFS('09월 고철장입'!AE$14:AE$949,'09월 고철장입'!$A$14:$A$949,$A130,'09월 고철장입'!$C$14:$C$949,$B130))/1000)</f>
        <v/>
      </c>
      <c r="BQ130" s="832" t="str">
        <f>IF($C130&lt;1,"",(AVERAGEIFS('09월 고철장입'!AF$14:AF$949,'09월 고철장입'!$A$14:$A$949,$A130,'09월 고철장입'!$C$14:$C$949,$B130))/1000)</f>
        <v/>
      </c>
      <c r="BR130" s="832" t="str">
        <f>IF($C130&lt;1,"",(AVERAGEIFS('09월 고철장입'!AG$14:AG$949,'09월 고철장입'!$A$14:$A$949,$A130,'09월 고철장입'!$C$14:$C$949,$B130))/1000)</f>
        <v/>
      </c>
      <c r="BS130" s="832" t="str">
        <f>IF($C130&lt;1,"",(AVERAGEIFS('09월 고철장입'!AH$14:AH$949,'09월 고철장입'!$A$14:$A$949,$A130,'09월 고철장입'!$C$14:$C$949,$B130))/1000)</f>
        <v/>
      </c>
      <c r="BT130" s="832" t="str">
        <f>IF($C130&lt;1,"",(AVERAGEIFS('09월 고철장입'!AI$14:AI$949,'09월 고철장입'!$A$14:$A$949,$A130,'09월 고철장입'!$C$14:$C$949,$B130))/1000)</f>
        <v/>
      </c>
      <c r="BU130" s="834" t="str">
        <f>IF($C130&lt;1,"",(AVERAGEIFS('09월 고철장입'!AJ$14:AJ$949,'09월 고철장입'!$A$14:$A$949,$A130,'09월 고철장입'!$C$14:$C$949,$B130))/1000)</f>
        <v/>
      </c>
      <c r="BV130" s="834" t="str">
        <f>IF($C130&lt;1,"",(AVERAGEIFS('09월 고철장입'!AK$14:AK$949,'09월 고철장입'!$A$14:$A$949,$A130,'09월 고철장입'!$C$14:$C$949,$B130)))</f>
        <v/>
      </c>
      <c r="BW130" s="834" t="str">
        <f>IF($C130&lt;1,"",(AVERAGEIFS('09월 고철장입'!AL$14:AL$949,'09월 고철장입'!$A$14:$A$949,$A130,'09월 고철장입'!$C$14:$C$949,$B130))*100)</f>
        <v/>
      </c>
      <c r="BX130" s="831" t="str">
        <f>IF($C130&lt;1,"",(AVERAGEIFS('09월 에너지'!G$14:G$949,'09월 에너지'!$A$14:$A$949,$A130,'09월 에너지'!$C$14:$C$949,$B130)))</f>
        <v/>
      </c>
      <c r="BY130" s="835" t="str">
        <f>IF($C130&lt;1,"",(AVERAGEIFS('09월 에너지'!H$14:H$949,'09월 에너지'!$A$14:$A$949,$A130,'09월 에너지'!$C$14:$C$949,$B130)))</f>
        <v/>
      </c>
      <c r="BZ130" s="831" t="str">
        <f>IF($C130&lt;1,"",(AVERAGEIFS('09월 에너지'!I$14:I$949,'09월 에너지'!$A$14:$A$949,$A130,'09월 에너지'!$C$14:$C$949,$B130)))</f>
        <v/>
      </c>
      <c r="CA130" s="835" t="str">
        <f>IF($C130&lt;1,"",(AVERAGEIFS('09월 에너지'!J$14:J$949,'09월 에너지'!$A$14:$A$949,$A130,'09월 에너지'!$C$14:$C$949,$B130)))</f>
        <v/>
      </c>
      <c r="CB130" s="831" t="str">
        <f>IF($C130&lt;1,"",(AVERAGEIFS('09월 에너지'!K$14:K$949,'09월 에너지'!$A$14:$A$949,$A130,'09월 에너지'!$C$14:$C$949,$B130)))</f>
        <v/>
      </c>
      <c r="CC130" s="835" t="str">
        <f>IF($C130&lt;1,"",(AVERAGEIFS('09월 에너지'!L$14:L$949,'09월 에너지'!$A$14:$A$949,$A130,'09월 에너지'!$C$14:$C$949,$B130)))</f>
        <v/>
      </c>
      <c r="CD130" s="831" t="str">
        <f>IF($C130&lt;1,"",(AVERAGEIFS('09월 에너지'!M$14:M$949,'09월 에너지'!$A$14:$A$949,$A130,'09월 에너지'!$C$14:$C$949,$B130)))</f>
        <v/>
      </c>
      <c r="CE130" s="835" t="str">
        <f>IF($C130&lt;1,"",(AVERAGEIFS('09월 에너지'!N$14:N$949,'09월 에너지'!$A$14:$A$949,$A130,'09월 에너지'!$C$14:$C$949,$B130)))</f>
        <v/>
      </c>
      <c r="CF130" s="831" t="str">
        <f>IF($C130&lt;1,"",(AVERAGEIFS('09월 에너지'!O$14:O$949,'09월 에너지'!$A$14:$A$949,$A130,'09월 에너지'!$C$14:$C$949,$B130)))</f>
        <v/>
      </c>
      <c r="CG130" s="831" t="str">
        <f>IF($C130&lt;1,"",(AVERAGEIFS('09월 에너지'!P$14:P$949,'09월 에너지'!$A$14:$A$949,$A130,'09월 에너지'!$C$14:$C$949,$B130)))</f>
        <v/>
      </c>
      <c r="CH130" s="831" t="str">
        <f>IF($C130&lt;1,"",(AVERAGEIFS('09월 에너지'!Q$14:Q$949,'09월 에너지'!$A$14:$A$949,$A130,'09월 에너지'!$C$14:$C$949,$B130)))</f>
        <v/>
      </c>
      <c r="CI130" s="831" t="str">
        <f>IF($C130&lt;1,"",(AVERAGEIFS('09월 에너지'!R$14:R$949,'09월 에너지'!$A$14:$A$949,$A130,'09월 에너지'!$C$14:$C$949,$B130)))</f>
        <v/>
      </c>
      <c r="CJ130" s="831" t="str">
        <f>IF($C130&lt;1,"",(AVERAGEIFS('09월 에너지'!S$14:S$949,'09월 에너지'!$A$14:$A$949,$A130,'09월 에너지'!$C$14:$C$949,$B130)))</f>
        <v/>
      </c>
      <c r="CK130" s="831" t="str">
        <f>IF($C130&lt;1,"",(AVERAGEIFS('09월 에너지'!T$14:T$949,'09월 에너지'!$A$14:$A$949,$A130,'09월 에너지'!$C$14:$C$949,$B130)))</f>
        <v/>
      </c>
      <c r="CL130" s="831" t="str">
        <f>IF($C130&lt;1,"",(AVERAGEIFS('09월 에너지'!U$14:U$949,'09월 에너지'!$A$14:$A$949,$A130,'09월 에너지'!$C$14:$C$949,$B130)))</f>
        <v/>
      </c>
      <c r="CM130" s="835" t="str">
        <f>IF($C130&lt;1,"",(AVERAGEIFS('09월 에너지'!V$14:V$949,'09월 에너지'!$A$14:$A$949,$A130,'09월 에너지'!$C$14:$C$949,$B130)))</f>
        <v/>
      </c>
      <c r="CN130" s="835" t="str">
        <f>IF($C130&lt;1,"",(AVERAGEIFS('09월 에너지'!W$14:W$949,'09월 에너지'!$A$14:$A$949,$A130,'09월 에너지'!$C$14:$C$949,$B130)))</f>
        <v/>
      </c>
      <c r="CO130" s="831" t="str">
        <f>IF($C130&lt;1,"",(AVERAGEIFS('09월 에너지'!X$14:X$949,'09월 에너지'!$A$14:$A$949,$A130,'09월 에너지'!$C$14:$C$949,$B130)))</f>
        <v/>
      </c>
      <c r="CP130" s="835" t="str">
        <f>IF($C130&lt;1,"",(AVERAGEIFS('09월 에너지'!Y$14:Y$949,'09월 에너지'!$A$14:$A$949,$A130,'09월 에너지'!$C$14:$C$949,$B130)))</f>
        <v/>
      </c>
      <c r="CQ130" s="835" t="str">
        <f>IF($C130&lt;1,"",(AVERAGEIFS('09월 에너지'!Z$14:Z$949,'09월 에너지'!$A$14:$A$949,$A130,'09월 에너지'!$C$14:$C$949,$B130)))</f>
        <v/>
      </c>
      <c r="CR130" s="835" t="str">
        <f>IF($C130&lt;1,"",(AVERAGEIFS('09월 에너지'!AA$14:AA$949,'09월 에너지'!$A$14:$A$949,$A130,'09월 에너지'!$C$14:$C$949,$B130)))</f>
        <v/>
      </c>
      <c r="CS130" s="835" t="str">
        <f>IF($C130&lt;1,"",(AVERAGEIFS('09월 에너지'!AB$14:AB$949,'09월 에너지'!$A$14:$A$949,$A130,'09월 에너지'!$C$14:$C$949,$B130)))</f>
        <v/>
      </c>
      <c r="CT130" s="831" t="str">
        <f>IF($C130&lt;1,"",(AVERAGEIFS('09월 에너지'!AC$14:AC$949,'09월 에너지'!$A$14:$A$949,$A130,'09월 에너지'!$C$14:$C$949,$B130)))</f>
        <v/>
      </c>
      <c r="CU130" s="836" t="str">
        <f>IF($C130&lt;1,"",(AVERAGEIFS('09월 에너지'!AD$14:AD$949,'09월 에너지'!$A$14:$A$949,$A130,'09월 에너지'!$C$14:$C$949,$B130)))</f>
        <v/>
      </c>
      <c r="CV130" s="837" t="str">
        <f>IF($C130&lt;1,"",(AVERAGEIFS('09월 에너지'!AE$14:AE$949,'09월 에너지'!$A$14:$A$949,$A130,'09월 에너지'!$C$14:$C$949,$B130)))</f>
        <v/>
      </c>
      <c r="CW130" s="831" t="str">
        <f>IF($C130&lt;1,"",(AVERAGEIFS('09월 에너지'!AF$14:AF$949,'09월 에너지'!$A$14:$A$949,$A130,'09월 에너지'!$C$14:$C$949,$B130)))</f>
        <v/>
      </c>
      <c r="CX130" s="831" t="str">
        <f>IF($C130&lt;1,"",(AVERAGEIFS('09월 에너지'!AG$14:AG$949,'09월 에너지'!$A$14:$A$949,$A130,'09월 에너지'!$C$14:$C$949,$B130)))</f>
        <v/>
      </c>
      <c r="CY130" s="831" t="str">
        <f>IF($C130&lt;1,"",(AVERAGEIFS('09월 에너지'!AH$14:AH$949,'09월 에너지'!$A$14:$A$949,$A130,'09월 에너지'!$C$14:$C$949,$B130)))</f>
        <v/>
      </c>
      <c r="CZ130" s="831" t="str">
        <f>IF($C130&lt;1,"",(AVERAGEIFS('09월 에너지'!AI$14:AI$949,'09월 에너지'!$A$14:$A$949,$A130,'09월 에너지'!$C$14:$C$949,$B130)))</f>
        <v/>
      </c>
      <c r="DA130" s="838" t="str">
        <f>IF($C130&lt;1,"",(AVERAGEIFS('09월 에너지'!AJ$14:AJ$949,'09월 에너지'!$A$14:$A$949,$A130,'09월 에너지'!$C$14:$C$949,$B130)))</f>
        <v/>
      </c>
    </row>
    <row r="131" spans="1:105" ht="13.5" customHeight="1">
      <c r="A131" s="847">
        <f>A126+1</f>
        <v>44952</v>
      </c>
      <c r="B131" s="848" t="s">
        <v>31</v>
      </c>
      <c r="C131" s="810">
        <f>COUNTIF('09월 조업일지'!$A$12:$A$952,A131)</f>
        <v>0</v>
      </c>
      <c r="D131" s="787" t="str">
        <f>IF(C131&lt;1,"",F131-E131)</f>
        <v/>
      </c>
      <c r="E131" s="787" t="str">
        <f>IF($C131&lt;1,"",(SUMIF('09월 조업일지'!$A$12:$A$952,$A131,'09월 조업일지'!$K$12:$K$952))/C131)</f>
        <v/>
      </c>
      <c r="F131" s="787" t="str">
        <f>IF($C131&lt;1,"",AVERAGEIF('09월 조업일지'!$A$12:$A$952,$A131,'09월 조업일지'!$J$12:$J$952))</f>
        <v/>
      </c>
      <c r="G131" s="811" t="str">
        <f>IF($C131&lt;1,"",AVERAGEIF('09월 에너지'!$A$14:$A$949,$A131,'09월 에너지'!$M$14:M$949))</f>
        <v/>
      </c>
      <c r="H131" s="812" t="str">
        <f>IF($C131&lt;1,"",AVERAGEIF('09월 조업일지'!$A$12:$A$952,$A131,'09월 조업일지'!$AJ$12:$AJ$952))</f>
        <v/>
      </c>
      <c r="I131" s="812" t="str">
        <f>IF($C131&lt;1,"",AVERAGEIF('09월 조업일지'!$A$12:$A$952,$A131,'09월 조업일지'!$AL$12:$AL$952))</f>
        <v/>
      </c>
      <c r="J131" s="813" t="str">
        <f>IF($C131&lt;1,"",AVERAGEIF('09월 화학성분'!$A$12:$A$949,$A131,'09월 화학성분'!G$12:G$949))</f>
        <v/>
      </c>
      <c r="K131" s="813" t="str">
        <f>IF($C131&lt;1,"",AVERAGEIF('09월 화학성분'!$A$12:$A$949,$A131,'09월 화학성분'!H$12:H$949))</f>
        <v/>
      </c>
      <c r="L131" s="813" t="str">
        <f>IF($C131&lt;1,"",AVERAGEIF('09월 화학성분'!$A$12:$A$949,$A131,'09월 화학성분'!I$12:I$949))</f>
        <v/>
      </c>
      <c r="M131" s="813" t="str">
        <f>IF($C131&lt;1,"",AVERAGEIF('09월 화학성분'!$A$12:$A$949,$A131,'09월 화학성분'!J$12:J$949))</f>
        <v/>
      </c>
      <c r="N131" s="813" t="str">
        <f>IF($C131&lt;1,"",AVERAGEIF('09월 화학성분'!$A$12:$A$949,$A131,'09월 화학성분'!K$12:K$949))</f>
        <v/>
      </c>
      <c r="O131" s="813" t="str">
        <f>IF($C131&lt;1,"",AVERAGEIF('09월 화학성분'!$A$12:$A$949,$A131,'09월 화학성분'!L$12:L$949))</f>
        <v/>
      </c>
      <c r="P131" s="813" t="str">
        <f>IF($C131&lt;1,"",AVERAGEIF('09월 화학성분'!$A$12:$A$949,$A131,'09월 화학성분'!M$12:M$949))</f>
        <v/>
      </c>
      <c r="Q131" s="814" t="str">
        <f>IF($C131&lt;1,"",AVERAGEIF('09월 조업일지'!$A$12:$A$952,$A131,'09월 조업일지'!$AA$12:$AA$952))</f>
        <v/>
      </c>
      <c r="R131" s="814" t="str">
        <f>IF($C131&lt;1,"",AVERAGEIF('09월 조업일지'!$A$12:$A$952,$A131,'09월 조업일지'!$AK$12:$AK$952))</f>
        <v/>
      </c>
      <c r="S131" s="814"/>
      <c r="T131" s="814"/>
      <c r="U131" s="813" t="str">
        <f>IF($C131&lt;1,"",AVERAGEIF('09월 화학성분'!$A$12:$A$949,$A131,'09월 화학성분'!$G$12:$G$949))</f>
        <v/>
      </c>
      <c r="V131" s="814" t="str">
        <f>IF($C131&lt;1,"",AVERAGEIF('09월 조업일지'!$A$12:$A$952,$A131,'09월 조업일지'!$AI$12:$AI$952))</f>
        <v/>
      </c>
      <c r="W131" s="813" t="str">
        <f>IF($C131&lt;1,"",AVERAGEIF('09월 화학성분'!$A$12:$A$949,$A131,'09월 화학성분'!$AM$12:$AM$949))</f>
        <v/>
      </c>
      <c r="X131" s="815" t="str">
        <f>IF($C131&lt;1,"",AVERAGEIF('09월 화학성분'!$A$12:$A$949,$A131,'09월 화학성분'!N$12:N$949))</f>
        <v/>
      </c>
      <c r="Y131" s="815" t="str">
        <f>IF($C131&lt;1,"",AVERAGEIF('09월 화학성분'!$A$12:$A$949,$A131,'09월 화학성분'!O$12:O$949))</f>
        <v/>
      </c>
      <c r="Z131" s="815" t="str">
        <f>IF($C131&lt;1,"",AVERAGEIF('09월 화학성분'!$A$12:$A$949,$A131,'09월 화학성분'!P$12:P$949))</f>
        <v/>
      </c>
      <c r="AA131" s="815" t="str">
        <f>IF($C131&lt;1,"",AVERAGEIF('09월 화학성분'!$A$12:$A$949,$A131,'09월 화학성분'!Q$12:Q$949))</f>
        <v/>
      </c>
      <c r="AB131" s="815" t="str">
        <f>IF($C131&lt;1,"",AVERAGEIF('09월 화학성분'!$A$12:$A$949,$A131,'09월 화학성분'!R$12:R$949))</f>
        <v/>
      </c>
      <c r="AC131" s="815" t="str">
        <f>IF($C131&lt;1,"",AVERAGEIF('09월 화학성분'!$A$12:$A$949,$A131,'09월 화학성분'!U$12:U$949))</f>
        <v/>
      </c>
      <c r="AD131" s="815" t="str">
        <f>IF($C131&lt;1,"",AVERAGEIF('09월 화학성분'!$A$12:$A$949,$A131,'09월 화학성분'!V$12:V$949))</f>
        <v/>
      </c>
      <c r="AE131" s="815" t="str">
        <f>IF($C131&lt;1,"",AVERAGEIF('09월 화학성분'!$A$12:$A$949,$A131,'09월 화학성분'!W$12:W$949))</f>
        <v/>
      </c>
      <c r="AF131" s="815" t="str">
        <f>IF($C131&lt;1,"",AVERAGEIF('09월 화학성분'!$A$12:$A$949,$A131,'09월 화학성분'!AA$12:AA$949))</f>
        <v/>
      </c>
      <c r="AG131" s="815" t="str">
        <f>IF($C131&lt;1,"",AVERAGEIF('09월 화학성분'!$A$12:$A$949,$A131,'09월 화학성분'!#REF!))</f>
        <v/>
      </c>
      <c r="AH131" s="815" t="str">
        <f>IF($C131&lt;1,"",AVERAGEIF('09월 화학성분'!$A$12:$A$949,$A131,'09월 화학성분'!AB$12:AB$949))</f>
        <v/>
      </c>
      <c r="AI131" s="815" t="str">
        <f>IF($C131&lt;1,"",AVERAGEIF('09월 화학성분'!$A$12:$A$949,$A131,'09월 화학성분'!AC$12:AC$949))</f>
        <v/>
      </c>
      <c r="AJ131" s="815" t="str">
        <f>IF($C131&lt;1,"",AVERAGEIF('09월 화학성분'!$A$12:$A$949,$A131,'09월 화학성분'!AD$12:AD$949))</f>
        <v/>
      </c>
      <c r="AK131" s="815" t="str">
        <f>IF($C131&lt;1,"",AVERAGEIF('09월 화학성분'!$A$12:$A$949,$A131,'09월 화학성분'!AF$12:AF$949))</f>
        <v/>
      </c>
      <c r="AL131" s="815" t="str">
        <f>IF($C131&lt;1,"",AVERAGEIF('09월 화학성분'!$A$12:$A$949,$A131,'09월 화학성분'!AG$12:AG$949))</f>
        <v/>
      </c>
      <c r="AM131" s="815" t="str">
        <f>IF($C131&lt;1,"",AVERAGEIF('09월 화학성분'!$A$12:$A$949,$A131,'09월 화학성분'!AH$12:AH$949))</f>
        <v/>
      </c>
      <c r="AN131" s="815" t="str">
        <f>IF($C131&lt;1,"",AVERAGEIF('09월 화학성분'!$A$12:$A$949,$A131,'09월 화학성분'!AI$12:AI$949))</f>
        <v/>
      </c>
      <c r="AO131" s="815" t="str">
        <f>IF($C131&lt;1,"",AVERAGEIF('09월 화학성분'!$A$12:$A$949,$A131,'09월 화학성분'!AJ$12:AJ$949))</f>
        <v/>
      </c>
      <c r="AP131" s="815" t="str">
        <f>IF($C131&lt;1,"",AVERAGEIF('09월 화학성분'!$A$12:$A$949,$A131,'09월 화학성분'!#REF!))</f>
        <v/>
      </c>
      <c r="AQ131" s="815" t="str">
        <f>IF($C131&lt;1,"",AVERAGEIF('09월 화학성분'!$A$12:$A$949,$A131,'09월 화학성분'!AL$12:AL$949))</f>
        <v/>
      </c>
      <c r="AR131" s="815" t="str">
        <f>IF($C131&lt;1,"",AVERAGEIF('09월 화학성분'!$A$12:$A$949,$A131,'09월 화학성분'!AM$12:AM$949))</f>
        <v/>
      </c>
      <c r="AS131" s="816" t="str">
        <f>IF($C131&lt;1,"",AVERAGEIF('09월 화학성분'!$A$12:$A$949,$A131,'09월 화학성분'!AN$12:AN$949))</f>
        <v/>
      </c>
      <c r="AT131" s="816" t="str">
        <f>IF($C131&lt;1,"",AVERAGEIF('09월 화학성분'!$A$12:$A$949,$A131,'09월 화학성분'!AO$12:AO$949))</f>
        <v/>
      </c>
      <c r="AU131" s="815" t="str">
        <f>IF($C131&lt;1,"",AVERAGEIF('09월 화학성분'!$A$12:$A$949,$A131,'09월 화학성분'!AP$12:AP$949))</f>
        <v/>
      </c>
      <c r="AV131" s="815" t="str">
        <f>IF($C131&lt;1,"",AVERAGEIF('09월 고철장입'!$A$14:$A$949,$A131,'09월 고철장입'!G$14:G$949)/1000)</f>
        <v/>
      </c>
      <c r="AW131" s="815" t="str">
        <f>IF($C131&lt;1,"",AVERAGEIF('09월 고철장입'!$A$14:$A$949,$A131,'09월 고철장입'!H$14:H$949)/1000)</f>
        <v/>
      </c>
      <c r="AX131" s="815" t="str">
        <f>IF($C131&lt;1,"",AVERAGEIF('09월 고철장입'!$A$14:$A$949,$A131,'09월 고철장입'!I$14:I$949)/1000)</f>
        <v/>
      </c>
      <c r="AY131" s="815" t="str">
        <f>IF($C131&lt;1,"",AVERAGEIF('09월 고철장입'!$A$14:$A$949,$A131,'09월 고철장입'!J$14:J$949)/1000)</f>
        <v/>
      </c>
      <c r="AZ131" s="815" t="str">
        <f>IF($C131&lt;1,"",AVERAGEIF('09월 고철장입'!$A$14:$A$949,$A131,'09월 고철장입'!K$14:K$949)/1000)</f>
        <v/>
      </c>
      <c r="BA131" s="815" t="str">
        <f>IF($C131&lt;1,"",AVERAGEIF('09월 고철장입'!$A$14:$A$949,$A131,'09월 고철장입'!L$14:L$949)/1000)</f>
        <v/>
      </c>
      <c r="BB131" s="815" t="str">
        <f>IF($C131&lt;1,"",AVERAGEIF('09월 고철장입'!$A$14:$A$949,$A131,'09월 고철장입'!M$14:M$949)/1000)</f>
        <v/>
      </c>
      <c r="BC131" s="815" t="str">
        <f>IF($C131&lt;1,"",AVERAGEIF('09월 고철장입'!$A$14:$A$949,$A131,'09월 고철장입'!N$14:N$949)/1000)</f>
        <v/>
      </c>
      <c r="BD131" s="815" t="str">
        <f>IF($C131&lt;1,"",AVERAGEIF('09월 고철장입'!$A$14:$A$949,$A131,'09월 고철장입'!O$14:O$949)/1000)</f>
        <v/>
      </c>
      <c r="BE131" s="815" t="str">
        <f>IF($C131&lt;1,"",AVERAGEIF('09월 고철장입'!$A$14:$A$949,$A131,'09월 고철장입'!P$14:P$949)/1000)</f>
        <v/>
      </c>
      <c r="BF131" s="815" t="str">
        <f>IF($C131&lt;1,"",AVERAGEIF('09월 고철장입'!$A$14:$A$949,$A131,'09월 고철장입'!Q$14:Q$949)/1000)</f>
        <v/>
      </c>
      <c r="BG131" s="815" t="str">
        <f>IF($C131&lt;1,"",AVERAGEIF('09월 고철장입'!$A$14:$A$949,$A131,'09월 고철장입'!S$14:S$949)/1000)</f>
        <v/>
      </c>
      <c r="BH131" s="815" t="str">
        <f>IF($C131&lt;1,"",AVERAGEIF('09월 고철장입'!$A$14:$A$949,$A131,'09월 고철장입'!T$14:T$949)/1000)</f>
        <v/>
      </c>
      <c r="BI131" s="815" t="str">
        <f>IF($C131&lt;1,"",AVERAGEIF('09월 고철장입'!$A$14:$A$949,$A131,'09월 고철장입'!U$14:U$949)/1000)</f>
        <v/>
      </c>
      <c r="BJ131" s="815" t="str">
        <f>IF($C131&lt;1,"",AVERAGEIF('09월 고철장입'!$A$14:$A$949,$A131,'09월 고철장입'!V$14:V$949)/1000)</f>
        <v/>
      </c>
      <c r="BK131" s="815" t="str">
        <f>IF($C131&lt;1,"",AVERAGEIF('09월 고철장입'!$A$14:$A$949,$A131,'09월 고철장입'!W$14:W$949)/1000)</f>
        <v/>
      </c>
      <c r="BL131" s="815" t="str">
        <f>IF($C131&lt;1,"",AVERAGEIF('09월 고철장입'!$A$14:$A$949,$A131,'09월 고철장입'!Y$14:Y$949)/1000)</f>
        <v/>
      </c>
      <c r="BM131" s="815" t="str">
        <f>IF($C131&lt;1,"",AVERAGEIF('09월 고철장입'!$A$14:$A$949,$A131,'09월 고철장입'!AB$14:AB$949)/1000)</f>
        <v/>
      </c>
      <c r="BN131" s="815" t="str">
        <f>IF($C131&lt;1,"",AVERAGEIF('09월 고철장입'!$A$14:$A$949,$A131,'09월 고철장입'!AC$14:AC$949)/1000)</f>
        <v/>
      </c>
      <c r="BO131" s="815" t="str">
        <f>IF($C131&lt;1,"",AVERAGEIF('09월 고철장입'!$A$14:$A$949,$A131,'09월 고철장입'!AD$14:AD$949)/1000)</f>
        <v/>
      </c>
      <c r="BP131" s="815" t="str">
        <f>IF($C131&lt;1,"",AVERAGEIF('09월 고철장입'!$A$14:$A$949,$A131,'09월 고철장입'!AE$14:AE$949)/1000)</f>
        <v/>
      </c>
      <c r="BQ131" s="815" t="str">
        <f>IF($C131&lt;1,"",AVERAGEIF('09월 고철장입'!$A$14:$A$949,$A131,'09월 고철장입'!AF$14:AF$949)/1000)</f>
        <v/>
      </c>
      <c r="BR131" s="815" t="str">
        <f>IF($C131&lt;1,"",AVERAGEIF('09월 고철장입'!$A$14:$A$949,$A131,'09월 고철장입'!AG$14:AG$949)/1000)</f>
        <v/>
      </c>
      <c r="BS131" s="815" t="str">
        <f>IF($C131&lt;1,"",AVERAGEIF('09월 고철장입'!$A$14:$A$949,$A131,'09월 고철장입'!AH$14:AH$949)/1000)</f>
        <v/>
      </c>
      <c r="BT131" s="815" t="str">
        <f>IF($C131&lt;1,"",AVERAGEIF('09월 고철장입'!$A$14:$A$949,$A131,'09월 고철장입'!AI$14:AI$949)/1000)</f>
        <v/>
      </c>
      <c r="BU131" s="815" t="str">
        <f>IF($C131&lt;1,"",AVERAGEIF('09월 고철장입'!$A$14:$A$949,$A131,'09월 고철장입'!AJ$14:AJ$949)/1000)</f>
        <v/>
      </c>
      <c r="BV131" s="815" t="str">
        <f>IF($C131&lt;1,"",AVERAGEIF('09월 고철장입'!$A$14:$A$949,$A131,'09월 고철장입'!AK$14:AK$949))</f>
        <v/>
      </c>
      <c r="BW131" s="815" t="str">
        <f>IF($C131&lt;1,"",AVERAGEIF('09월 고철장입'!$A$14:$A$949,$A131,'09월 고철장입'!AL$14:AL$949)*100)</f>
        <v/>
      </c>
      <c r="BX131" s="815" t="str">
        <f>IF($C131&lt;1,"",AVERAGEIF('09월 에너지'!$A$14:$A$949,$A131,'09월 에너지'!G$14:G$949))</f>
        <v/>
      </c>
      <c r="BY131" s="817" t="str">
        <f>IF($C131&lt;1,"",AVERAGEIF('09월 에너지'!$A$14:$A$949,$A131,'09월 에너지'!H$14:H$949))</f>
        <v/>
      </c>
      <c r="BZ131" s="815" t="str">
        <f>IF($C131&lt;1,"",AVERAGEIF('09월 에너지'!$A$14:$A$949,$A131,'09월 에너지'!I$14:I$949))</f>
        <v/>
      </c>
      <c r="CA131" s="817" t="str">
        <f>IF($C131&lt;1,"",AVERAGEIF('09월 에너지'!$A$14:$A$949,$A131,'09월 에너지'!J$14:J$949))</f>
        <v/>
      </c>
      <c r="CB131" s="815" t="str">
        <f>IF($C131&lt;1,"",AVERAGEIF('09월 에너지'!$A$14:$A$949,$A131,'09월 에너지'!K$14:K$949))</f>
        <v/>
      </c>
      <c r="CC131" s="817" t="str">
        <f>IF($C131&lt;1,"",AVERAGEIF('09월 에너지'!$A$14:$A$949,$A131,'09월 에너지'!L$14:L$949))</f>
        <v/>
      </c>
      <c r="CD131" s="815" t="str">
        <f>IF($C131&lt;1,"",AVERAGEIF('09월 에너지'!$A$14:$A$949,$A131,'09월 에너지'!M$14:M$949))</f>
        <v/>
      </c>
      <c r="CE131" s="817" t="str">
        <f>IF($C131&lt;1,"",AVERAGEIF('09월 에너지'!$A$14:$A$949,$A131,'09월 에너지'!N$14:N$949))</f>
        <v/>
      </c>
      <c r="CF131" s="815" t="str">
        <f>IF($C131&lt;1,"",AVERAGEIF('09월 에너지'!$A$14:$A$949,$A131,'09월 에너지'!O$14:O$949))</f>
        <v/>
      </c>
      <c r="CG131" s="815" t="str">
        <f>IF($C131&lt;1,"",AVERAGEIF('09월 에너지'!$A$14:$A$949,$A131,'09월 에너지'!P$14:P$949))</f>
        <v/>
      </c>
      <c r="CH131" s="815" t="str">
        <f>IF($C131&lt;1,"",AVERAGEIF('09월 에너지'!$A$14:$A$949,$A131,'09월 에너지'!Q$14:Q$949))</f>
        <v/>
      </c>
      <c r="CI131" s="815" t="str">
        <f>IF($C131&lt;1,"",AVERAGEIF('09월 에너지'!$A$14:$A$949,$A131,'09월 에너지'!R$14:R$949))</f>
        <v/>
      </c>
      <c r="CJ131" s="815" t="str">
        <f>IF($C131&lt;1,"",AVERAGEIF('09월 에너지'!$A$14:$A$949,$A131,'09월 에너지'!S$14:S$949))</f>
        <v/>
      </c>
      <c r="CK131" s="815" t="str">
        <f>IF($C131&lt;1,"",AVERAGEIF('09월 에너지'!$A$14:$A$949,$A131,'09월 에너지'!T$14:T$949))</f>
        <v/>
      </c>
      <c r="CL131" s="815" t="str">
        <f>IF($C131&lt;1,"",AVERAGEIF('09월 에너지'!$A$14:$A$949,$A131,'09월 에너지'!U$14:U$949))</f>
        <v/>
      </c>
      <c r="CM131" s="817" t="str">
        <f>IF($C131&lt;1,"",AVERAGEIF('09월 에너지'!$A$14:$A$949,$A131,'09월 에너지'!V$14:V$949))</f>
        <v/>
      </c>
      <c r="CN131" s="817" t="str">
        <f>IF($C131&lt;1,"",AVERAGEIF('09월 에너지'!$A$14:$A$949,$A131,'09월 에너지'!W$14:W$949))</f>
        <v/>
      </c>
      <c r="CO131" s="815" t="str">
        <f>IF($C131&lt;1,"",AVERAGEIF('09월 에너지'!$A$14:$A$949,$A131,'09월 에너지'!X$14:X$949))</f>
        <v/>
      </c>
      <c r="CP131" s="817" t="str">
        <f>IF($C131&lt;1,"",AVERAGEIF('09월 에너지'!$A$14:$A$949,$A131,'09월 에너지'!Y$14:Y$949))</f>
        <v/>
      </c>
      <c r="CQ131" s="817" t="str">
        <f>IF($C131&lt;1,"",AVERAGEIF('09월 에너지'!$A$14:$A$949,$A131,'09월 에너지'!Z$14:Z$949))</f>
        <v/>
      </c>
      <c r="CR131" s="817" t="str">
        <f>IF($C131&lt;1,"",AVERAGEIF('09월 에너지'!$A$14:$A$949,$A131,'09월 에너지'!AA$14:AA$949))</f>
        <v/>
      </c>
      <c r="CS131" s="817" t="str">
        <f>IF($C131&lt;1,"",AVERAGEIF('09월 에너지'!$A$14:$A$949,$A131,'09월 에너지'!AB$14:AB$949))</f>
        <v/>
      </c>
      <c r="CT131" s="815" t="str">
        <f>IF($C131&lt;1,"",AVERAGEIF('09월 에너지'!$A$14:$A$949,$A131,'09월 에너지'!AC$14:AC$949))</f>
        <v/>
      </c>
      <c r="CU131" s="818" t="str">
        <f>IF($C131&lt;1,"",AVERAGEIF('09월 에너지'!$A$14:$A$949,$A131,'09월 에너지'!AD$14:AD$949))</f>
        <v/>
      </c>
      <c r="CV131" s="819" t="str">
        <f>IF($C131&lt;1,"",AVERAGEIF('09월 에너지'!$A$14:$A$949,$A131,'09월 에너지'!AE$14:AE$949))</f>
        <v/>
      </c>
      <c r="CW131" s="815" t="str">
        <f>IF($C131&lt;1,"",AVERAGEIF('09월 에너지'!$A$14:$A$949,$A131,'09월 에너지'!AF$14:AF$949))</f>
        <v/>
      </c>
      <c r="CX131" s="815" t="str">
        <f>IF($C131&lt;1,"",AVERAGEIF('09월 에너지'!$A$14:$A$949,$A131,'09월 에너지'!AG$14:AG$949))</f>
        <v/>
      </c>
      <c r="CY131" s="815" t="str">
        <f>IF($C131&lt;1,"",AVERAGEIF('09월 에너지'!$A$14:$A$949,$A131,'09월 에너지'!AH$14:AH$949))</f>
        <v/>
      </c>
      <c r="CZ131" s="815" t="str">
        <f>IF($C131&lt;1,"",AVERAGEIF('09월 에너지'!$A$14:$A$949,$A131,'09월 에너지'!AI$14:AI$949))</f>
        <v/>
      </c>
      <c r="DA131" s="820" t="str">
        <f>IF($C131&lt;1,"",AVERAGEIF('09월 에너지'!$A$14:$A$949,$A131,'09월 에너지'!AJ$14:AJ$949))</f>
        <v/>
      </c>
    </row>
    <row r="132" spans="1:105" ht="13.5" customHeight="1">
      <c r="A132" s="849">
        <f t="shared" si="20"/>
        <v>44952</v>
      </c>
      <c r="B132" s="850" t="s">
        <v>9</v>
      </c>
      <c r="C132" s="823">
        <f>COUNTIFS('09월 조업일지'!$A$12:$A$952,A131,'09월 조업일지'!$E$12:$E$952,B132)</f>
        <v>0</v>
      </c>
      <c r="D132" s="824" t="str">
        <f>IF(C132&lt;1,"",F132-E132)</f>
        <v/>
      </c>
      <c r="E132" s="824" t="str">
        <f>IF($C132&lt;1,"",(SUMIFS('09월 조업일지'!$K$12:$K$952,'09월 조업일지'!$A$12:$A$952,$A132,'09월 조업일지'!$E$12:$E$952,$B132)/$C132))</f>
        <v/>
      </c>
      <c r="F132" s="824" t="str">
        <f>IF($C132&lt;1,"",(AVERAGEIFS('09월 조업일지'!$J$12:$J$952,'09월 조업일지'!$A$12:$A$952,$A132,'09월 조업일지'!$E$12:$E$952,$B132)))</f>
        <v/>
      </c>
      <c r="G132" s="825" t="str">
        <f>IF($C132&lt;1,"",(AVERAGEIFS('09월 에너지'!$M$14:$M$949,'09월 에너지'!$A$14:$A$949,$A132,'09월 에너지'!$C$14:$C$949,$B132)))</f>
        <v/>
      </c>
      <c r="H132" s="826" t="str">
        <f>IF($C132&lt;1,"",(AVERAGEIFS('09월 조업일지'!$AJ$12:$AJ$952,'09월 조업일지'!$A$12:$A$952,$A132,'09월 조업일지'!$E$12:$E$952,$B132)))</f>
        <v/>
      </c>
      <c r="I132" s="826" t="str">
        <f>IF($C132&lt;1,"",(AVERAGEIFS('09월 조업일지'!$AL$12:$AL$952,'09월 조업일지'!$A$12:$A$952,$A132,'09월 조업일지'!$E$12:$E$952,$B132)))</f>
        <v/>
      </c>
      <c r="J132" s="827" t="str">
        <f>IF($C132&lt;1,"",(AVERAGEIFS('09월 화학성분'!G$12:G$949,'09월 화학성분'!$A$12:$A$949,$A132,'09월 화학성분'!$D$12:$D$949,$B132)))</f>
        <v/>
      </c>
      <c r="K132" s="827" t="str">
        <f>IF($C132&lt;1,"",(AVERAGEIFS('09월 화학성분'!H$12:H$949,'09월 화학성분'!$A$12:$A$949,$A132,'09월 화학성분'!$D$12:$D$949,$B132)))</f>
        <v/>
      </c>
      <c r="L132" s="827" t="str">
        <f>IF($C132&lt;1,"",(AVERAGEIFS('09월 화학성분'!I$12:I$949,'09월 화학성분'!$A$12:$A$949,$A132,'09월 화학성분'!$D$12:$D$949,$B132)))</f>
        <v/>
      </c>
      <c r="M132" s="827" t="str">
        <f>IF($C132&lt;1,"",(AVERAGEIFS('09월 화학성분'!J$12:J$949,'09월 화학성분'!$A$12:$A$949,$A132,'09월 화학성분'!$D$12:$D$949,$B132)))</f>
        <v/>
      </c>
      <c r="N132" s="827" t="str">
        <f>IF($C132&lt;1,"",(AVERAGEIFS('09월 화학성분'!K$12:K$949,'09월 화학성분'!$A$12:$A$949,$A132,'09월 화학성분'!$D$12:$D$949,$B132)))</f>
        <v/>
      </c>
      <c r="O132" s="827" t="str">
        <f>IF($C132&lt;1,"",(AVERAGEIFS('09월 화학성분'!L$12:L$949,'09월 화학성분'!$A$12:$A$949,$A132,'09월 화학성분'!$D$12:$D$949,$B132)))</f>
        <v/>
      </c>
      <c r="P132" s="827" t="str">
        <f>IF($C132&lt;1,"",(AVERAGEIFS('09월 화학성분'!M$12:M$949,'09월 화학성분'!$A$12:$A$949,$A132,'09월 화학성분'!$D$12:$D$949,$B132)))</f>
        <v/>
      </c>
      <c r="Q132" s="827" t="str">
        <f>IFERROR(IF($C132&lt;1,"",(AVERAGEIFS('09월 조업일지'!$AA$12:$AA$952,'09월 조업일지'!$A$12:$A$952,$A132,'09월 조업일지'!$E$12:$E$952,$B132))),"")</f>
        <v/>
      </c>
      <c r="R132" s="827" t="str">
        <f>IF($C132&lt;1,"",(AVERAGEIFS('09월 조업일지'!$AK$12:$AK$952,'09월 조업일지'!$A$12:$A$952,$A132,'09월 조업일지'!$E$12:$E$952,$B132)))</f>
        <v/>
      </c>
      <c r="S132" s="827"/>
      <c r="T132" s="827"/>
      <c r="U132" s="827" t="str">
        <f>IF($C132&lt;1,"",(AVERAGEIFS('09월 화학성분'!$G$12:$G$949,'09월 화학성분'!$A$12:$A$949,$A132,'09월 화학성분'!$D$12:$D$949,$B132)))</f>
        <v/>
      </c>
      <c r="V132" s="827" t="str">
        <f>IF($C132&lt;1,"",(AVERAGEIFS('09월 조업일지'!$AI$12:$AI$952,'09월 조업일지'!$A$12:$A$952,$A132,'09월 조업일지'!$E$12:$E$952,$B132)))</f>
        <v/>
      </c>
      <c r="W132" s="828" t="str">
        <f>IF($C132&lt;1,"",(AVERAGEIFS('09월 화학성분'!$AM$12:$AM$949,'09월 화학성분'!$A$12:$A$949,$A132,'09월 화학성분'!$D$12:$D$949,$B132)))</f>
        <v/>
      </c>
      <c r="X132" s="829" t="str">
        <f>IF($C132&lt;1,"",(AVERAGEIFS('09월 화학성분'!N$12:N$949,'09월 화학성분'!$A$12:$A$949,$A132,'09월 화학성분'!$D$12:$D$949,$B132)))</f>
        <v/>
      </c>
      <c r="Y132" s="829" t="str">
        <f>IF($C132&lt;1,"",(AVERAGEIFS('09월 화학성분'!O$12:O$949,'09월 화학성분'!$A$12:$A$949,$A132,'09월 화학성분'!$D$12:$D$949,$B132)))</f>
        <v/>
      </c>
      <c r="Z132" s="829" t="str">
        <f>IF($C132&lt;1,"",(AVERAGEIFS('09월 화학성분'!P$12:P$949,'09월 화학성분'!$A$12:$A$949,$A132,'09월 화학성분'!$D$12:$D$949,$B132)))</f>
        <v/>
      </c>
      <c r="AA132" s="829" t="str">
        <f>IF($C132&lt;1,"",(AVERAGEIFS('09월 화학성분'!Q$12:Q$949,'09월 화학성분'!$A$12:$A$949,$A132,'09월 화학성분'!$D$12:$D$949,$B132)))</f>
        <v/>
      </c>
      <c r="AB132" s="829" t="str">
        <f>IF($C132&lt;1,"",(AVERAGEIFS('09월 화학성분'!R$12:R$949,'09월 화학성분'!$A$12:$A$949,$A132,'09월 화학성분'!$D$12:$D$949,$B132)))</f>
        <v/>
      </c>
      <c r="AC132" s="829" t="str">
        <f>IF($C132&lt;1,"",(AVERAGEIFS('09월 화학성분'!U$12:U$949,'09월 화학성분'!$A$12:$A$949,$A132,'09월 화학성분'!$D$12:$D$949,$B132)))</f>
        <v/>
      </c>
      <c r="AD132" s="829" t="str">
        <f>IF($C132&lt;1,"",(AVERAGEIFS('09월 화학성분'!V$12:V$949,'09월 화학성분'!$A$12:$A$949,$A132,'09월 화학성분'!$D$12:$D$949,$B132)))</f>
        <v/>
      </c>
      <c r="AE132" s="829" t="str">
        <f>IF($C132&lt;1,"",(AVERAGEIFS('09월 화학성분'!W$12:W$949,'09월 화학성분'!$A$12:$A$949,$A132,'09월 화학성분'!$D$12:$D$949,$B132)))</f>
        <v/>
      </c>
      <c r="AF132" s="829" t="str">
        <f>IF($C132&lt;1,"",(AVERAGEIFS('09월 화학성분'!AA$12:AA$949,'09월 화학성분'!$A$12:$A$949,$A132,'09월 화학성분'!$D$12:$D$949,$B132)))</f>
        <v/>
      </c>
      <c r="AG132" s="829" t="str">
        <f>IF($C132&lt;1,"",(AVERAGEIFS('09월 화학성분'!#REF!,'09월 화학성분'!$A$12:$A$949,$A132,'09월 화학성분'!$D$12:$D$949,$B132)))</f>
        <v/>
      </c>
      <c r="AH132" s="829" t="str">
        <f>IF($C132&lt;1,"",(AVERAGEIFS('09월 화학성분'!AB$12:AB$949,'09월 화학성분'!$A$12:$A$949,$A132,'09월 화학성분'!$D$12:$D$949,$B132)))</f>
        <v/>
      </c>
      <c r="AI132" s="829" t="str">
        <f>IF($C132&lt;1,"",(AVERAGEIFS('09월 화학성분'!AC$12:AC$949,'09월 화학성분'!$A$12:$A$949,$A132,'09월 화학성분'!$D$12:$D$949,$B132)))</f>
        <v/>
      </c>
      <c r="AJ132" s="829" t="str">
        <f>IF($C132&lt;1,"",(AVERAGEIFS('09월 화학성분'!AD$12:AD$949,'09월 화학성분'!$A$12:$A$949,$A132,'09월 화학성분'!$D$12:$D$949,$B132)))</f>
        <v/>
      </c>
      <c r="AK132" s="829" t="str">
        <f>IF($C132&lt;1,"",(AVERAGEIFS('09월 화학성분'!AF$12:AF$949,'09월 화학성분'!$A$12:$A$949,$A132,'09월 화학성분'!$D$12:$D$949,$B132)))</f>
        <v/>
      </c>
      <c r="AL132" s="829" t="str">
        <f>IF($C132&lt;1,"",(AVERAGEIFS('09월 화학성분'!AG$12:AG$949,'09월 화학성분'!$A$12:$A$949,$A132,'09월 화학성분'!$D$12:$D$949,$B132)))</f>
        <v/>
      </c>
      <c r="AM132" s="829" t="str">
        <f>IF($C132&lt;1,"",(AVERAGEIFS('09월 화학성분'!AH$12:AH$949,'09월 화학성분'!$A$12:$A$949,$A132,'09월 화학성분'!$D$12:$D$949,$B132)))</f>
        <v/>
      </c>
      <c r="AN132" s="829" t="str">
        <f>IF($C132&lt;1,"",(AVERAGEIFS('09월 화학성분'!AI$12:AI$949,'09월 화학성분'!$A$12:$A$949,$A132,'09월 화학성분'!$D$12:$D$949,$B132)))</f>
        <v/>
      </c>
      <c r="AO132" s="829" t="str">
        <f>IF($C132&lt;1,"",(AVERAGEIFS('09월 화학성분'!AJ$12:AJ$949,'09월 화학성분'!$A$12:$A$949,$A132,'09월 화학성분'!$D$12:$D$949,$B132)))</f>
        <v/>
      </c>
      <c r="AP132" s="829" t="str">
        <f>IF($C132&lt;1,"",(AVERAGEIFS('09월 화학성분'!#REF!,'09월 화학성분'!$A$12:$A$949,$A132,'09월 화학성분'!$D$12:$D$949,$B132)))</f>
        <v/>
      </c>
      <c r="AQ132" s="829" t="str">
        <f>IF($C132&lt;1,"",(AVERAGEIFS('09월 화학성분'!AL$12:AL$949,'09월 화학성분'!$A$12:$A$949,$A132,'09월 화학성분'!$D$12:$D$949,$B132)))</f>
        <v/>
      </c>
      <c r="AR132" s="829" t="str">
        <f>IF($C132&lt;1,"",(AVERAGEIFS('09월 화학성분'!AM$12:AM$949,'09월 화학성분'!$A$12:$A$949,$A132,'09월 화학성분'!$D$12:$D$949,$B132)))</f>
        <v/>
      </c>
      <c r="AS132" s="830" t="str">
        <f>IF($C132&lt;1,"",(AVERAGEIFS('09월 화학성분'!AN$12:AN$949,'09월 화학성분'!$A$12:$A$949,$A132,'09월 화학성분'!$D$12:$D$949,$B132)))</f>
        <v/>
      </c>
      <c r="AT132" s="830" t="str">
        <f>IF($C132&lt;1,"",(AVERAGEIFS('09월 화학성분'!AO$12:AO$949,'09월 화학성분'!$A$12:$A$949,$A132,'09월 화학성분'!$D$12:$D$949,$B132)))</f>
        <v/>
      </c>
      <c r="AU132" s="831" t="str">
        <f>IF($C132&lt;1,"",(AVERAGEIFS('09월 화학성분'!AP$12:AP$949,'09월 화학성분'!$A$12:$A$949,$A132,'09월 화학성분'!$D$12:$D$949,$B132)))</f>
        <v/>
      </c>
      <c r="AV132" s="832" t="str">
        <f>IF($C132&lt;1,"",(AVERAGEIFS('09월 고철장입'!G$14:G$949,'09월 고철장입'!$A$14:$A$949,$A132,'09월 고철장입'!$C$14:$C$949,$B132))/1000)</f>
        <v/>
      </c>
      <c r="AW132" s="832" t="str">
        <f>IF($C132&lt;1,"",(AVERAGEIFS('09월 고철장입'!H$14:H$949,'09월 고철장입'!$A$14:$A$949,$A132,'09월 고철장입'!$C$14:$C$949,$B132))/1000)</f>
        <v/>
      </c>
      <c r="AX132" s="832" t="str">
        <f>IF($C132&lt;1,"",(AVERAGEIFS('09월 고철장입'!I$14:I$949,'09월 고철장입'!$A$14:$A$949,$A132,'09월 고철장입'!$C$14:$C$949,$B132))/1000)</f>
        <v/>
      </c>
      <c r="AY132" s="832" t="str">
        <f>IF($C132&lt;1,"",(AVERAGEIFS('09월 고철장입'!J$14:J$949,'09월 고철장입'!$A$14:$A$949,$A132,'09월 고철장입'!$C$14:$C$949,$B132))/1000)</f>
        <v/>
      </c>
      <c r="AZ132" s="832" t="str">
        <f>IF($C132&lt;1,"",(AVERAGEIFS('09월 고철장입'!K$14:K$949,'09월 고철장입'!$A$14:$A$949,$A132,'09월 고철장입'!$C$14:$C$949,$B132))/1000)</f>
        <v/>
      </c>
      <c r="BA132" s="832" t="str">
        <f>IF($C132&lt;1,"",(AVERAGEIFS('09월 고철장입'!L$14:L$949,'09월 고철장입'!$A$14:$A$949,$A132,'09월 고철장입'!$C$14:$C$949,$B132))/1000)</f>
        <v/>
      </c>
      <c r="BB132" s="832" t="str">
        <f>IF($C132&lt;1,"",(AVERAGEIFS('09월 고철장입'!M$14:M$949,'09월 고철장입'!$A$14:$A$949,$A132,'09월 고철장입'!$C$14:$C$949,$B132))/1000)</f>
        <v/>
      </c>
      <c r="BC132" s="832" t="str">
        <f>IF($C132&lt;1,"",(AVERAGEIFS('09월 고철장입'!N$14:N$949,'09월 고철장입'!$A$14:$A$949,$A132,'09월 고철장입'!$C$14:$C$949,$B132))/1000)</f>
        <v/>
      </c>
      <c r="BD132" s="832" t="str">
        <f>IF($C132&lt;1,"",(AVERAGEIFS('09월 고철장입'!O$14:O$949,'09월 고철장입'!$A$14:$A$949,$A132,'09월 고철장입'!$C$14:$C$949,$B132))/1000)</f>
        <v/>
      </c>
      <c r="BE132" s="833" t="str">
        <f>IF($C132&lt;1,"",(AVERAGEIFS('09월 고철장입'!P$14:P$949,'09월 고철장입'!$A$14:$A$949,$A132,'09월 고철장입'!$C$14:$C$949,$B132))/1000)</f>
        <v/>
      </c>
      <c r="BF132" s="833" t="str">
        <f>IF($C132&lt;1,"",(AVERAGEIFS('09월 고철장입'!Q$14:Q$949,'09월 고철장입'!$A$14:$A$949,$A132,'09월 고철장입'!$C$14:$C$949,$B132))/1000)</f>
        <v/>
      </c>
      <c r="BG132" s="833" t="str">
        <f>IF($C132&lt;1,"",(AVERAGEIFS('09월 고철장입'!S$14:S$949,'09월 고철장입'!$A$14:$A$949,$A132,'09월 고철장입'!$C$14:$C$949,$B132))/1000)</f>
        <v/>
      </c>
      <c r="BH132" s="833" t="str">
        <f>IF($C132&lt;1,"",(AVERAGEIFS('09월 고철장입'!T$14:T$949,'09월 고철장입'!$A$14:$A$949,$A132,'09월 고철장입'!$C$14:$C$949,$B132))/1000)</f>
        <v/>
      </c>
      <c r="BI132" s="833" t="str">
        <f>IF($C132&lt;1,"",(AVERAGEIFS('09월 고철장입'!U$14:U$949,'09월 고철장입'!$A$14:$A$949,$A132,'09월 고철장입'!$C$14:$C$949,$B132))/1000)</f>
        <v/>
      </c>
      <c r="BJ132" s="833" t="str">
        <f>IF($C132&lt;1,"",(AVERAGEIFS('09월 고철장입'!V$14:V$949,'09월 고철장입'!$A$14:$A$949,$A132,'09월 고철장입'!$C$14:$C$949,$B132))/1000)</f>
        <v/>
      </c>
      <c r="BK132" s="833" t="str">
        <f>IF($C132&lt;1,"",(AVERAGEIFS('09월 고철장입'!W$14:W$949,'09월 고철장입'!$A$14:$A$949,$A132,'09월 고철장입'!$C$14:$C$949,$B132))/1000)</f>
        <v/>
      </c>
      <c r="BL132" s="833" t="str">
        <f>IF($C132&lt;1,"",(AVERAGEIFS('09월 고철장입'!Y$14:Y$949,'09월 고철장입'!$A$14:$A$949,$A132,'09월 고철장입'!$C$14:$C$949,$B132))/1000)</f>
        <v/>
      </c>
      <c r="BM132" s="833" t="str">
        <f>IF($C132&lt;1,"",(AVERAGEIFS('09월 고철장입'!AB$14:AB$949,'09월 고철장입'!$A$14:$A$949,$A132,'09월 고철장입'!$C$14:$C$949,$B132))/1000)</f>
        <v/>
      </c>
      <c r="BN132" s="833" t="str">
        <f>IF($C132&lt;1,"",(AVERAGEIFS('09월 고철장입'!AC$14:AC$949,'09월 고철장입'!$A$14:$A$949,$A132,'09월 고철장입'!$C$14:$C$949,$B132))/1000)</f>
        <v/>
      </c>
      <c r="BO132" s="833" t="str">
        <f>IF($C132&lt;1,"",(AVERAGEIFS('09월 고철장입'!AD$14:AD$949,'09월 고철장입'!$A$14:$A$949,$A132,'09월 고철장입'!$C$14:$C$949,$B132))/1000)</f>
        <v/>
      </c>
      <c r="BP132" s="833" t="str">
        <f>IF($C132&lt;1,"",(AVERAGEIFS('09월 고철장입'!AE$14:AE$949,'09월 고철장입'!$A$14:$A$949,$A132,'09월 고철장입'!$C$14:$C$949,$B132))/1000)</f>
        <v/>
      </c>
      <c r="BQ132" s="832" t="str">
        <f>IF($C132&lt;1,"",(AVERAGEIFS('09월 고철장입'!AF$14:AF$949,'09월 고철장입'!$A$14:$A$949,$A132,'09월 고철장입'!$C$14:$C$949,$B132))/1000)</f>
        <v/>
      </c>
      <c r="BR132" s="832" t="str">
        <f>IF($C132&lt;1,"",(AVERAGEIFS('09월 고철장입'!AG$14:AG$949,'09월 고철장입'!$A$14:$A$949,$A132,'09월 고철장입'!$C$14:$C$949,$B132))/1000)</f>
        <v/>
      </c>
      <c r="BS132" s="832" t="str">
        <f>IF($C132&lt;1,"",(AVERAGEIFS('09월 고철장입'!AH$14:AH$949,'09월 고철장입'!$A$14:$A$949,$A132,'09월 고철장입'!$C$14:$C$949,$B132))/1000)</f>
        <v/>
      </c>
      <c r="BT132" s="832" t="str">
        <f>IF($C132&lt;1,"",(AVERAGEIFS('09월 고철장입'!AI$14:AI$949,'09월 고철장입'!$A$14:$A$949,$A132,'09월 고철장입'!$C$14:$C$949,$B132))/1000)</f>
        <v/>
      </c>
      <c r="BU132" s="834" t="str">
        <f>IF($C132&lt;1,"",(AVERAGEIFS('09월 고철장입'!AJ$14:AJ$949,'09월 고철장입'!$A$14:$A$949,$A132,'09월 고철장입'!$C$14:$C$949,$B132))/1000)</f>
        <v/>
      </c>
      <c r="BV132" s="834" t="str">
        <f>IF($C132&lt;1,"",(AVERAGEIFS('09월 고철장입'!AK$14:AK$949,'09월 고철장입'!$A$14:$A$949,$A132,'09월 고철장입'!$C$14:$C$949,$B132)))</f>
        <v/>
      </c>
      <c r="BW132" s="834" t="str">
        <f>IF($C132&lt;1,"",(AVERAGEIFS('09월 고철장입'!AL$14:AL$949,'09월 고철장입'!$A$14:$A$949,$A132,'09월 고철장입'!$C$14:$C$949,$B132))*100)</f>
        <v/>
      </c>
      <c r="BX132" s="831" t="str">
        <f>IF($C132&lt;1,"",(AVERAGEIFS('09월 에너지'!G$14:G$949,'09월 에너지'!$A$14:$A$949,$A132,'09월 에너지'!$C$14:$C$949,$B132)))</f>
        <v/>
      </c>
      <c r="BY132" s="835" t="str">
        <f>IF($C132&lt;1,"",(AVERAGEIFS('09월 에너지'!H$14:H$949,'09월 에너지'!$A$14:$A$949,$A132,'09월 에너지'!$C$14:$C$949,$B132)))</f>
        <v/>
      </c>
      <c r="BZ132" s="831" t="str">
        <f>IF($C132&lt;1,"",(AVERAGEIFS('09월 에너지'!I$14:I$949,'09월 에너지'!$A$14:$A$949,$A132,'09월 에너지'!$C$14:$C$949,$B132)))</f>
        <v/>
      </c>
      <c r="CA132" s="835" t="str">
        <f>IF($C132&lt;1,"",(AVERAGEIFS('09월 에너지'!J$14:J$949,'09월 에너지'!$A$14:$A$949,$A132,'09월 에너지'!$C$14:$C$949,$B132)))</f>
        <v/>
      </c>
      <c r="CB132" s="831" t="str">
        <f>IF($C132&lt;1,"",(AVERAGEIFS('09월 에너지'!K$14:K$949,'09월 에너지'!$A$14:$A$949,$A132,'09월 에너지'!$C$14:$C$949,$B132)))</f>
        <v/>
      </c>
      <c r="CC132" s="835" t="str">
        <f>IF($C132&lt;1,"",(AVERAGEIFS('09월 에너지'!L$14:L$949,'09월 에너지'!$A$14:$A$949,$A132,'09월 에너지'!$C$14:$C$949,$B132)))</f>
        <v/>
      </c>
      <c r="CD132" s="831" t="str">
        <f>IF($C132&lt;1,"",(AVERAGEIFS('09월 에너지'!M$14:M$949,'09월 에너지'!$A$14:$A$949,$A132,'09월 에너지'!$C$14:$C$949,$B132)))</f>
        <v/>
      </c>
      <c r="CE132" s="835" t="str">
        <f>IF($C132&lt;1,"",(AVERAGEIFS('09월 에너지'!N$14:N$949,'09월 에너지'!$A$14:$A$949,$A132,'09월 에너지'!$C$14:$C$949,$B132)))</f>
        <v/>
      </c>
      <c r="CF132" s="831" t="str">
        <f>IF($C132&lt;1,"",(AVERAGEIFS('09월 에너지'!O$14:O$949,'09월 에너지'!$A$14:$A$949,$A132,'09월 에너지'!$C$14:$C$949,$B132)))</f>
        <v/>
      </c>
      <c r="CG132" s="831" t="str">
        <f>IF($C132&lt;1,"",(AVERAGEIFS('09월 에너지'!P$14:P$949,'09월 에너지'!$A$14:$A$949,$A132,'09월 에너지'!$C$14:$C$949,$B132)))</f>
        <v/>
      </c>
      <c r="CH132" s="831" t="str">
        <f>IF($C132&lt;1,"",(AVERAGEIFS('09월 에너지'!Q$14:Q$949,'09월 에너지'!$A$14:$A$949,$A132,'09월 에너지'!$C$14:$C$949,$B132)))</f>
        <v/>
      </c>
      <c r="CI132" s="831" t="str">
        <f>IF($C132&lt;1,"",(AVERAGEIFS('09월 에너지'!R$14:R$949,'09월 에너지'!$A$14:$A$949,$A132,'09월 에너지'!$C$14:$C$949,$B132)))</f>
        <v/>
      </c>
      <c r="CJ132" s="831" t="str">
        <f>IF($C132&lt;1,"",(AVERAGEIFS('09월 에너지'!S$14:S$949,'09월 에너지'!$A$14:$A$949,$A132,'09월 에너지'!$C$14:$C$949,$B132)))</f>
        <v/>
      </c>
      <c r="CK132" s="831" t="str">
        <f>IF($C132&lt;1,"",(AVERAGEIFS('09월 에너지'!T$14:T$949,'09월 에너지'!$A$14:$A$949,$A132,'09월 에너지'!$C$14:$C$949,$B132)))</f>
        <v/>
      </c>
      <c r="CL132" s="831" t="str">
        <f>IF($C132&lt;1,"",(AVERAGEIFS('09월 에너지'!U$14:U$949,'09월 에너지'!$A$14:$A$949,$A132,'09월 에너지'!$C$14:$C$949,$B132)))</f>
        <v/>
      </c>
      <c r="CM132" s="835" t="str">
        <f>IF($C132&lt;1,"",(AVERAGEIFS('09월 에너지'!V$14:V$949,'09월 에너지'!$A$14:$A$949,$A132,'09월 에너지'!$C$14:$C$949,$B132)))</f>
        <v/>
      </c>
      <c r="CN132" s="835" t="str">
        <f>IF($C132&lt;1,"",(AVERAGEIFS('09월 에너지'!W$14:W$949,'09월 에너지'!$A$14:$A$949,$A132,'09월 에너지'!$C$14:$C$949,$B132)))</f>
        <v/>
      </c>
      <c r="CO132" s="831" t="str">
        <f>IF($C132&lt;1,"",(AVERAGEIFS('09월 에너지'!X$14:X$949,'09월 에너지'!$A$14:$A$949,$A132,'09월 에너지'!$C$14:$C$949,$B132)))</f>
        <v/>
      </c>
      <c r="CP132" s="835" t="str">
        <f>IF($C132&lt;1,"",(AVERAGEIFS('09월 에너지'!Y$14:Y$949,'09월 에너지'!$A$14:$A$949,$A132,'09월 에너지'!$C$14:$C$949,$B132)))</f>
        <v/>
      </c>
      <c r="CQ132" s="835" t="str">
        <f>IF($C132&lt;1,"",(AVERAGEIFS('09월 에너지'!Z$14:Z$949,'09월 에너지'!$A$14:$A$949,$A132,'09월 에너지'!$C$14:$C$949,$B132)))</f>
        <v/>
      </c>
      <c r="CR132" s="835" t="str">
        <f>IF($C132&lt;1,"",(AVERAGEIFS('09월 에너지'!AA$14:AA$949,'09월 에너지'!$A$14:$A$949,$A132,'09월 에너지'!$C$14:$C$949,$B132)))</f>
        <v/>
      </c>
      <c r="CS132" s="835" t="str">
        <f>IF($C132&lt;1,"",(AVERAGEIFS('09월 에너지'!AB$14:AB$949,'09월 에너지'!$A$14:$A$949,$A132,'09월 에너지'!$C$14:$C$949,$B132)))</f>
        <v/>
      </c>
      <c r="CT132" s="831" t="str">
        <f>IF($C132&lt;1,"",(AVERAGEIFS('09월 에너지'!AC$14:AC$949,'09월 에너지'!$A$14:$A$949,$A132,'09월 에너지'!$C$14:$C$949,$B132)))</f>
        <v/>
      </c>
      <c r="CU132" s="836" t="str">
        <f>IF($C132&lt;1,"",(AVERAGEIFS('09월 에너지'!AD$14:AD$949,'09월 에너지'!$A$14:$A$949,$A132,'09월 에너지'!$C$14:$C$949,$B132)))</f>
        <v/>
      </c>
      <c r="CV132" s="837" t="str">
        <f>IF($C132&lt;1,"",(AVERAGEIFS('09월 에너지'!AE$14:AE$949,'09월 에너지'!$A$14:$A$949,$A132,'09월 에너지'!$C$14:$C$949,$B132)))</f>
        <v/>
      </c>
      <c r="CW132" s="831" t="str">
        <f>IF($C132&lt;1,"",(AVERAGEIFS('09월 에너지'!AF$14:AF$949,'09월 에너지'!$A$14:$A$949,$A132,'09월 에너지'!$C$14:$C$949,$B132)))</f>
        <v/>
      </c>
      <c r="CX132" s="831" t="str">
        <f>IF($C132&lt;1,"",(AVERAGEIFS('09월 에너지'!AG$14:AG$949,'09월 에너지'!$A$14:$A$949,$A132,'09월 에너지'!$C$14:$C$949,$B132)))</f>
        <v/>
      </c>
      <c r="CY132" s="831" t="str">
        <f>IF($C132&lt;1,"",(AVERAGEIFS('09월 에너지'!AH$14:AH$949,'09월 에너지'!$A$14:$A$949,$A132,'09월 에너지'!$C$14:$C$949,$B132)))</f>
        <v/>
      </c>
      <c r="CZ132" s="831" t="str">
        <f>IF($C132&lt;1,"",(AVERAGEIFS('09월 에너지'!AI$14:AI$949,'09월 에너지'!$A$14:$A$949,$A132,'09월 에너지'!$C$14:$C$949,$B132)))</f>
        <v/>
      </c>
      <c r="DA132" s="838" t="str">
        <f>IF($C132&lt;1,"",(AVERAGEIFS('09월 에너지'!AJ$14:AJ$949,'09월 에너지'!$A$14:$A$949,$A132,'09월 에너지'!$C$14:$C$949,$B132)))</f>
        <v/>
      </c>
    </row>
    <row r="133" spans="1:105" ht="13.5" customHeight="1">
      <c r="A133" s="849">
        <f t="shared" si="20"/>
        <v>44952</v>
      </c>
      <c r="B133" s="850" t="s">
        <v>100</v>
      </c>
      <c r="C133" s="823">
        <f>COUNTIFS('09월 조업일지'!$A$12:$A$952,A131,'09월 조업일지'!$E$12:$E$952,B133)</f>
        <v>0</v>
      </c>
      <c r="D133" s="824" t="str">
        <f t="shared" ref="D133:D135" si="29">IF(C133&lt;1,"",F133-E133)</f>
        <v/>
      </c>
      <c r="E133" s="824" t="str">
        <f>IF($C133&lt;1,"",(SUMIFS('09월 조업일지'!$K$12:$K$952,'09월 조업일지'!$A$12:$A$952,$A133,'09월 조업일지'!$E$12:$E$952,$B133)/$C133))</f>
        <v/>
      </c>
      <c r="F133" s="824" t="str">
        <f>IF($C133&lt;1,"",(AVERAGEIFS('09월 조업일지'!$J$12:$J$952,'09월 조업일지'!$A$12:$A$952,$A133,'09월 조업일지'!$E$12:$E$952,$B133)))</f>
        <v/>
      </c>
      <c r="G133" s="825" t="str">
        <f>IF($C133&lt;1,"",(AVERAGEIFS('09월 에너지'!$M$14:$M$949,'09월 에너지'!$A$14:$A$949,$A133,'09월 에너지'!$C$14:$C$949,$B133)))</f>
        <v/>
      </c>
      <c r="H133" s="826" t="str">
        <f>IF($C133&lt;1,"",(AVERAGEIFS('09월 조업일지'!$AJ$12:$AJ$952,'09월 조업일지'!$A$12:$A$952,$A133,'09월 조업일지'!$E$12:$E$952,$B133)))</f>
        <v/>
      </c>
      <c r="I133" s="826" t="str">
        <f>IF($C133&lt;1,"",(AVERAGEIFS('09월 조업일지'!$AL$12:$AL$952,'09월 조업일지'!$A$12:$A$952,$A133,'09월 조업일지'!$E$12:$E$952,$B133)))</f>
        <v/>
      </c>
      <c r="J133" s="827" t="str">
        <f>IF($C133&lt;1,"",(AVERAGEIFS('09월 화학성분'!G$12:G$949,'09월 화학성분'!$A$12:$A$949,$A133,'09월 화학성분'!$D$12:$D$949,$B133)))</f>
        <v/>
      </c>
      <c r="K133" s="827" t="str">
        <f>IF($C133&lt;1,"",(AVERAGEIFS('09월 화학성분'!H$12:H$949,'09월 화학성분'!$A$12:$A$949,$A133,'09월 화학성분'!$D$12:$D$949,$B133)))</f>
        <v/>
      </c>
      <c r="L133" s="827" t="str">
        <f>IF($C133&lt;1,"",(AVERAGEIFS('09월 화학성분'!I$12:I$949,'09월 화학성분'!$A$12:$A$949,$A133,'09월 화학성분'!$D$12:$D$949,$B133)))</f>
        <v/>
      </c>
      <c r="M133" s="827" t="str">
        <f>IF($C133&lt;1,"",(AVERAGEIFS('09월 화학성분'!J$12:J$949,'09월 화학성분'!$A$12:$A$949,$A133,'09월 화학성분'!$D$12:$D$949,$B133)))</f>
        <v/>
      </c>
      <c r="N133" s="827" t="str">
        <f>IF($C133&lt;1,"",(AVERAGEIFS('09월 화학성분'!K$12:K$949,'09월 화학성분'!$A$12:$A$949,$A133,'09월 화학성분'!$D$12:$D$949,$B133)))</f>
        <v/>
      </c>
      <c r="O133" s="827" t="str">
        <f>IF($C133&lt;1,"",(AVERAGEIFS('09월 화학성분'!L$12:L$949,'09월 화학성분'!$A$12:$A$949,$A133,'09월 화학성분'!$D$12:$D$949,$B133)))</f>
        <v/>
      </c>
      <c r="P133" s="827" t="str">
        <f>IF($C133&lt;1,"",(AVERAGEIFS('09월 화학성분'!M$12:M$949,'09월 화학성분'!$A$12:$A$949,$A133,'09월 화학성분'!$D$12:$D$949,$B133)))</f>
        <v/>
      </c>
      <c r="Q133" s="827" t="str">
        <f>IFERROR(IF($C133&lt;1,"",(AVERAGEIFS('09월 조업일지'!$AA$12:$AA$952,'09월 조업일지'!$A$12:$A$952,$A133,'09월 조업일지'!$E$12:$E$952,$B133))),"")</f>
        <v/>
      </c>
      <c r="R133" s="827" t="str">
        <f>IF($C133&lt;1,"",(AVERAGEIFS('09월 조업일지'!$AK$12:$AK$952,'09월 조업일지'!$A$12:$A$952,$A133,'09월 조업일지'!$E$12:$E$952,$B133)))</f>
        <v/>
      </c>
      <c r="S133" s="827"/>
      <c r="T133" s="827"/>
      <c r="U133" s="827" t="str">
        <f>IF($C133&lt;1,"",(AVERAGEIFS('09월 화학성분'!$G$12:$G$949,'09월 화학성분'!$A$12:$A$949,$A133,'09월 화학성분'!$D$12:$D$949,$B133)))</f>
        <v/>
      </c>
      <c r="V133" s="827" t="str">
        <f>IF($C133&lt;1,"",(AVERAGEIFS('09월 조업일지'!$AI$12:$AI$952,'09월 조업일지'!$A$12:$A$952,$A133,'09월 조업일지'!$E$12:$E$952,$B133)))</f>
        <v/>
      </c>
      <c r="W133" s="828" t="str">
        <f>IF($C133&lt;1,"",(AVERAGEIFS('09월 화학성분'!$AM$12:$AM$949,'09월 화학성분'!$A$12:$A$949,$A133,'09월 화학성분'!$D$12:$D$949,$B133)))</f>
        <v/>
      </c>
      <c r="X133" s="829" t="str">
        <f>IF($C133&lt;1,"",(AVERAGEIFS('09월 화학성분'!N$12:N$949,'09월 화학성분'!$A$12:$A$949,$A133,'09월 화학성분'!$D$12:$D$949,$B133)))</f>
        <v/>
      </c>
      <c r="Y133" s="829" t="str">
        <f>IF($C133&lt;1,"",(AVERAGEIFS('09월 화학성분'!O$12:O$949,'09월 화학성분'!$A$12:$A$949,$A133,'09월 화학성분'!$D$12:$D$949,$B133)))</f>
        <v/>
      </c>
      <c r="Z133" s="829" t="str">
        <f>IF($C133&lt;1,"",(AVERAGEIFS('09월 화학성분'!P$12:P$949,'09월 화학성분'!$A$12:$A$949,$A133,'09월 화학성분'!$D$12:$D$949,$B133)))</f>
        <v/>
      </c>
      <c r="AA133" s="829" t="str">
        <f>IF($C133&lt;1,"",(AVERAGEIFS('09월 화학성분'!Q$12:Q$949,'09월 화학성분'!$A$12:$A$949,$A133,'09월 화학성분'!$D$12:$D$949,$B133)))</f>
        <v/>
      </c>
      <c r="AB133" s="829" t="str">
        <f>IF($C133&lt;1,"",(AVERAGEIFS('09월 화학성분'!R$12:R$949,'09월 화학성분'!$A$12:$A$949,$A133,'09월 화학성분'!$D$12:$D$949,$B133)))</f>
        <v/>
      </c>
      <c r="AC133" s="829" t="str">
        <f>IF($C133&lt;1,"",(AVERAGEIFS('09월 화학성분'!U$12:U$949,'09월 화학성분'!$A$12:$A$949,$A133,'09월 화학성분'!$D$12:$D$949,$B133)))</f>
        <v/>
      </c>
      <c r="AD133" s="829" t="str">
        <f>IF($C133&lt;1,"",(AVERAGEIFS('09월 화학성분'!V$12:V$949,'09월 화학성분'!$A$12:$A$949,$A133,'09월 화학성분'!$D$12:$D$949,$B133)))</f>
        <v/>
      </c>
      <c r="AE133" s="829" t="str">
        <f>IF($C133&lt;1,"",(AVERAGEIFS('09월 화학성분'!W$12:W$949,'09월 화학성분'!$A$12:$A$949,$A133,'09월 화학성분'!$D$12:$D$949,$B133)))</f>
        <v/>
      </c>
      <c r="AF133" s="829" t="str">
        <f>IF($C133&lt;1,"",(AVERAGEIFS('09월 화학성분'!AA$12:AA$949,'09월 화학성분'!$A$12:$A$949,$A133,'09월 화학성분'!$D$12:$D$949,$B133)))</f>
        <v/>
      </c>
      <c r="AG133" s="829" t="str">
        <f>IF($C133&lt;1,"",(AVERAGEIFS('09월 화학성분'!#REF!,'09월 화학성분'!$A$12:$A$949,$A133,'09월 화학성분'!$D$12:$D$949,$B133)))</f>
        <v/>
      </c>
      <c r="AH133" s="829" t="str">
        <f>IF($C133&lt;1,"",(AVERAGEIFS('09월 화학성분'!AB$12:AB$949,'09월 화학성분'!$A$12:$A$949,$A133,'09월 화학성분'!$D$12:$D$949,$B133)))</f>
        <v/>
      </c>
      <c r="AI133" s="829" t="str">
        <f>IF($C133&lt;1,"",(AVERAGEIFS('09월 화학성분'!AC$12:AC$949,'09월 화학성분'!$A$12:$A$949,$A133,'09월 화학성분'!$D$12:$D$949,$B133)))</f>
        <v/>
      </c>
      <c r="AJ133" s="829" t="str">
        <f>IF($C133&lt;1,"",(AVERAGEIFS('09월 화학성분'!AD$12:AD$949,'09월 화학성분'!$A$12:$A$949,$A133,'09월 화학성분'!$D$12:$D$949,$B133)))</f>
        <v/>
      </c>
      <c r="AK133" s="829" t="str">
        <f>IF($C133&lt;1,"",(AVERAGEIFS('09월 화학성분'!AF$12:AF$949,'09월 화학성분'!$A$12:$A$949,$A133,'09월 화학성분'!$D$12:$D$949,$B133)))</f>
        <v/>
      </c>
      <c r="AL133" s="829" t="str">
        <f>IF($C133&lt;1,"",(AVERAGEIFS('09월 화학성분'!AG$12:AG$949,'09월 화학성분'!$A$12:$A$949,$A133,'09월 화학성분'!$D$12:$D$949,$B133)))</f>
        <v/>
      </c>
      <c r="AM133" s="829" t="str">
        <f>IF($C133&lt;1,"",(AVERAGEIFS('09월 화학성분'!AH$12:AH$949,'09월 화학성분'!$A$12:$A$949,$A133,'09월 화학성분'!$D$12:$D$949,$B133)))</f>
        <v/>
      </c>
      <c r="AN133" s="829" t="str">
        <f>IF($C133&lt;1,"",(AVERAGEIFS('09월 화학성분'!AI$12:AI$949,'09월 화학성분'!$A$12:$A$949,$A133,'09월 화학성분'!$D$12:$D$949,$B133)))</f>
        <v/>
      </c>
      <c r="AO133" s="829" t="str">
        <f>IF($C133&lt;1,"",(AVERAGEIFS('09월 화학성분'!AJ$12:AJ$949,'09월 화학성분'!$A$12:$A$949,$A133,'09월 화학성분'!$D$12:$D$949,$B133)))</f>
        <v/>
      </c>
      <c r="AP133" s="829" t="str">
        <f>IF($C133&lt;1,"",(AVERAGEIFS('09월 화학성분'!#REF!,'09월 화학성분'!$A$12:$A$949,$A133,'09월 화학성분'!$D$12:$D$949,$B133)))</f>
        <v/>
      </c>
      <c r="AQ133" s="829" t="str">
        <f>IF($C133&lt;1,"",(AVERAGEIFS('09월 화학성분'!AL$12:AL$949,'09월 화학성분'!$A$12:$A$949,$A133,'09월 화학성분'!$D$12:$D$949,$B133)))</f>
        <v/>
      </c>
      <c r="AR133" s="829" t="str">
        <f>IF($C133&lt;1,"",(AVERAGEIFS('09월 화학성분'!AM$12:AM$949,'09월 화학성분'!$A$12:$A$949,$A133,'09월 화학성분'!$D$12:$D$949,$B133)))</f>
        <v/>
      </c>
      <c r="AS133" s="830" t="str">
        <f>IF($C133&lt;1,"",(AVERAGEIFS('09월 화학성분'!AN$12:AN$949,'09월 화학성분'!$A$12:$A$949,$A133,'09월 화학성분'!$D$12:$D$949,$B133)))</f>
        <v/>
      </c>
      <c r="AT133" s="830" t="str">
        <f>IF($C133&lt;1,"",(AVERAGEIFS('09월 화학성분'!AO$12:AO$949,'09월 화학성분'!$A$12:$A$949,$A133,'09월 화학성분'!$D$12:$D$949,$B133)))</f>
        <v/>
      </c>
      <c r="AU133" s="831" t="str">
        <f>IF($C133&lt;1,"",(AVERAGEIFS('09월 화학성분'!AP$12:AP$949,'09월 화학성분'!$A$12:$A$949,$A133,'09월 화학성분'!$D$12:$D$949,$B133)))</f>
        <v/>
      </c>
      <c r="AV133" s="832" t="str">
        <f>IF($C133&lt;1,"",(AVERAGEIFS('09월 고철장입'!G$14:G$949,'09월 고철장입'!$A$14:$A$949,$A133,'09월 고철장입'!$C$14:$C$949,$B133))/1000)</f>
        <v/>
      </c>
      <c r="AW133" s="832" t="str">
        <f>IF($C133&lt;1,"",(AVERAGEIFS('09월 고철장입'!H$14:H$949,'09월 고철장입'!$A$14:$A$949,$A133,'09월 고철장입'!$C$14:$C$949,$B133))/1000)</f>
        <v/>
      </c>
      <c r="AX133" s="832" t="str">
        <f>IF($C133&lt;1,"",(AVERAGEIFS('09월 고철장입'!I$14:I$949,'09월 고철장입'!$A$14:$A$949,$A133,'09월 고철장입'!$C$14:$C$949,$B133))/1000)</f>
        <v/>
      </c>
      <c r="AY133" s="832" t="str">
        <f>IF($C133&lt;1,"",(AVERAGEIFS('09월 고철장입'!J$14:J$949,'09월 고철장입'!$A$14:$A$949,$A133,'09월 고철장입'!$C$14:$C$949,$B133))/1000)</f>
        <v/>
      </c>
      <c r="AZ133" s="832" t="str">
        <f>IF($C133&lt;1,"",(AVERAGEIFS('09월 고철장입'!K$14:K$949,'09월 고철장입'!$A$14:$A$949,$A133,'09월 고철장입'!$C$14:$C$949,$B133))/1000)</f>
        <v/>
      </c>
      <c r="BA133" s="832" t="str">
        <f>IF($C133&lt;1,"",(AVERAGEIFS('09월 고철장입'!L$14:L$949,'09월 고철장입'!$A$14:$A$949,$A133,'09월 고철장입'!$C$14:$C$949,$B133))/1000)</f>
        <v/>
      </c>
      <c r="BB133" s="832" t="str">
        <f>IF($C133&lt;1,"",(AVERAGEIFS('09월 고철장입'!M$14:M$949,'09월 고철장입'!$A$14:$A$949,$A133,'09월 고철장입'!$C$14:$C$949,$B133))/1000)</f>
        <v/>
      </c>
      <c r="BC133" s="832" t="str">
        <f>IF($C133&lt;1,"",(AVERAGEIFS('09월 고철장입'!N$14:N$949,'09월 고철장입'!$A$14:$A$949,$A133,'09월 고철장입'!$C$14:$C$949,$B133))/1000)</f>
        <v/>
      </c>
      <c r="BD133" s="832" t="str">
        <f>IF($C133&lt;1,"",(AVERAGEIFS('09월 고철장입'!O$14:O$949,'09월 고철장입'!$A$14:$A$949,$A133,'09월 고철장입'!$C$14:$C$949,$B133))/1000)</f>
        <v/>
      </c>
      <c r="BE133" s="833" t="str">
        <f>IF($C133&lt;1,"",(AVERAGEIFS('09월 고철장입'!P$14:P$949,'09월 고철장입'!$A$14:$A$949,$A133,'09월 고철장입'!$C$14:$C$949,$B133))/1000)</f>
        <v/>
      </c>
      <c r="BF133" s="833" t="str">
        <f>IF($C133&lt;1,"",(AVERAGEIFS('09월 고철장입'!Q$14:Q$949,'09월 고철장입'!$A$14:$A$949,$A133,'09월 고철장입'!$C$14:$C$949,$B133))/1000)</f>
        <v/>
      </c>
      <c r="BG133" s="833" t="str">
        <f>IF($C133&lt;1,"",(AVERAGEIFS('09월 고철장입'!S$14:S$949,'09월 고철장입'!$A$14:$A$949,$A133,'09월 고철장입'!$C$14:$C$949,$B133))/1000)</f>
        <v/>
      </c>
      <c r="BH133" s="833" t="str">
        <f>IF($C133&lt;1,"",(AVERAGEIFS('09월 고철장입'!T$14:T$949,'09월 고철장입'!$A$14:$A$949,$A133,'09월 고철장입'!$C$14:$C$949,$B133))/1000)</f>
        <v/>
      </c>
      <c r="BI133" s="833" t="str">
        <f>IF($C133&lt;1,"",(AVERAGEIFS('09월 고철장입'!U$14:U$949,'09월 고철장입'!$A$14:$A$949,$A133,'09월 고철장입'!$C$14:$C$949,$B133))/1000)</f>
        <v/>
      </c>
      <c r="BJ133" s="833" t="str">
        <f>IF($C133&lt;1,"",(AVERAGEIFS('09월 고철장입'!V$14:V$949,'09월 고철장입'!$A$14:$A$949,$A133,'09월 고철장입'!$C$14:$C$949,$B133))/1000)</f>
        <v/>
      </c>
      <c r="BK133" s="833" t="str">
        <f>IF($C133&lt;1,"",(AVERAGEIFS('09월 고철장입'!W$14:W$949,'09월 고철장입'!$A$14:$A$949,$A133,'09월 고철장입'!$C$14:$C$949,$B133))/1000)</f>
        <v/>
      </c>
      <c r="BL133" s="833" t="str">
        <f>IF($C133&lt;1,"",(AVERAGEIFS('09월 고철장입'!Y$14:Y$949,'09월 고철장입'!$A$14:$A$949,$A133,'09월 고철장입'!$C$14:$C$949,$B133))/1000)</f>
        <v/>
      </c>
      <c r="BM133" s="833" t="str">
        <f>IF($C133&lt;1,"",(AVERAGEIFS('09월 고철장입'!AB$14:AB$949,'09월 고철장입'!$A$14:$A$949,$A133,'09월 고철장입'!$C$14:$C$949,$B133))/1000)</f>
        <v/>
      </c>
      <c r="BN133" s="833" t="str">
        <f>IF($C133&lt;1,"",(AVERAGEIFS('09월 고철장입'!AC$14:AC$949,'09월 고철장입'!$A$14:$A$949,$A133,'09월 고철장입'!$C$14:$C$949,$B133))/1000)</f>
        <v/>
      </c>
      <c r="BO133" s="833" t="str">
        <f>IF($C133&lt;1,"",(AVERAGEIFS('09월 고철장입'!AD$14:AD$949,'09월 고철장입'!$A$14:$A$949,$A133,'09월 고철장입'!$C$14:$C$949,$B133))/1000)</f>
        <v/>
      </c>
      <c r="BP133" s="833" t="str">
        <f>IF($C133&lt;1,"",(AVERAGEIFS('09월 고철장입'!AE$14:AE$949,'09월 고철장입'!$A$14:$A$949,$A133,'09월 고철장입'!$C$14:$C$949,$B133))/1000)</f>
        <v/>
      </c>
      <c r="BQ133" s="832" t="str">
        <f>IF($C133&lt;1,"",(AVERAGEIFS('09월 고철장입'!AF$14:AF$949,'09월 고철장입'!$A$14:$A$949,$A133,'09월 고철장입'!$C$14:$C$949,$B133))/1000)</f>
        <v/>
      </c>
      <c r="BR133" s="832" t="str">
        <f>IF($C133&lt;1,"",(AVERAGEIFS('09월 고철장입'!AG$14:AG$949,'09월 고철장입'!$A$14:$A$949,$A133,'09월 고철장입'!$C$14:$C$949,$B133))/1000)</f>
        <v/>
      </c>
      <c r="BS133" s="832" t="str">
        <f>IF($C133&lt;1,"",(AVERAGEIFS('09월 고철장입'!AH$14:AH$949,'09월 고철장입'!$A$14:$A$949,$A133,'09월 고철장입'!$C$14:$C$949,$B133))/1000)</f>
        <v/>
      </c>
      <c r="BT133" s="832" t="str">
        <f>IF($C133&lt;1,"",(AVERAGEIFS('09월 고철장입'!AI$14:AI$949,'09월 고철장입'!$A$14:$A$949,$A133,'09월 고철장입'!$C$14:$C$949,$B133))/1000)</f>
        <v/>
      </c>
      <c r="BU133" s="834" t="str">
        <f>IF($C133&lt;1,"",(AVERAGEIFS('09월 고철장입'!AJ$14:AJ$949,'09월 고철장입'!$A$14:$A$949,$A133,'09월 고철장입'!$C$14:$C$949,$B133))/1000)</f>
        <v/>
      </c>
      <c r="BV133" s="834" t="str">
        <f>IF($C133&lt;1,"",(AVERAGEIFS('09월 고철장입'!AK$14:AK$949,'09월 고철장입'!$A$14:$A$949,$A133,'09월 고철장입'!$C$14:$C$949,$B133)))</f>
        <v/>
      </c>
      <c r="BW133" s="834" t="str">
        <f>IF($C133&lt;1,"",(AVERAGEIFS('09월 고철장입'!AL$14:AL$949,'09월 고철장입'!$A$14:$A$949,$A133,'09월 고철장입'!$C$14:$C$949,$B133))*100)</f>
        <v/>
      </c>
      <c r="BX133" s="831" t="str">
        <f>IF($C133&lt;1,"",(AVERAGEIFS('09월 에너지'!G$14:G$949,'09월 에너지'!$A$14:$A$949,$A133,'09월 에너지'!$C$14:$C$949,$B133)))</f>
        <v/>
      </c>
      <c r="BY133" s="835" t="str">
        <f>IF($C133&lt;1,"",(AVERAGEIFS('09월 에너지'!H$14:H$949,'09월 에너지'!$A$14:$A$949,$A133,'09월 에너지'!$C$14:$C$949,$B133)))</f>
        <v/>
      </c>
      <c r="BZ133" s="831" t="str">
        <f>IF($C133&lt;1,"",(AVERAGEIFS('09월 에너지'!I$14:I$949,'09월 에너지'!$A$14:$A$949,$A133,'09월 에너지'!$C$14:$C$949,$B133)))</f>
        <v/>
      </c>
      <c r="CA133" s="835" t="str">
        <f>IF($C133&lt;1,"",(AVERAGEIFS('09월 에너지'!J$14:J$949,'09월 에너지'!$A$14:$A$949,$A133,'09월 에너지'!$C$14:$C$949,$B133)))</f>
        <v/>
      </c>
      <c r="CB133" s="831" t="str">
        <f>IF($C133&lt;1,"",(AVERAGEIFS('09월 에너지'!K$14:K$949,'09월 에너지'!$A$14:$A$949,$A133,'09월 에너지'!$C$14:$C$949,$B133)))</f>
        <v/>
      </c>
      <c r="CC133" s="835" t="str">
        <f>IF($C133&lt;1,"",(AVERAGEIFS('09월 에너지'!L$14:L$949,'09월 에너지'!$A$14:$A$949,$A133,'09월 에너지'!$C$14:$C$949,$B133)))</f>
        <v/>
      </c>
      <c r="CD133" s="831" t="str">
        <f>IF($C133&lt;1,"",(AVERAGEIFS('09월 에너지'!M$14:M$949,'09월 에너지'!$A$14:$A$949,$A133,'09월 에너지'!$C$14:$C$949,$B133)))</f>
        <v/>
      </c>
      <c r="CE133" s="835" t="str">
        <f>IF($C133&lt;1,"",(AVERAGEIFS('09월 에너지'!N$14:N$949,'09월 에너지'!$A$14:$A$949,$A133,'09월 에너지'!$C$14:$C$949,$B133)))</f>
        <v/>
      </c>
      <c r="CF133" s="831" t="str">
        <f>IF($C133&lt;1,"",(AVERAGEIFS('09월 에너지'!O$14:O$949,'09월 에너지'!$A$14:$A$949,$A133,'09월 에너지'!$C$14:$C$949,$B133)))</f>
        <v/>
      </c>
      <c r="CG133" s="831" t="str">
        <f>IF($C133&lt;1,"",(AVERAGEIFS('09월 에너지'!P$14:P$949,'09월 에너지'!$A$14:$A$949,$A133,'09월 에너지'!$C$14:$C$949,$B133)))</f>
        <v/>
      </c>
      <c r="CH133" s="831" t="str">
        <f>IF($C133&lt;1,"",(AVERAGEIFS('09월 에너지'!Q$14:Q$949,'09월 에너지'!$A$14:$A$949,$A133,'09월 에너지'!$C$14:$C$949,$B133)))</f>
        <v/>
      </c>
      <c r="CI133" s="831" t="str">
        <f>IF($C133&lt;1,"",(AVERAGEIFS('09월 에너지'!R$14:R$949,'09월 에너지'!$A$14:$A$949,$A133,'09월 에너지'!$C$14:$C$949,$B133)))</f>
        <v/>
      </c>
      <c r="CJ133" s="831" t="str">
        <f>IF($C133&lt;1,"",(AVERAGEIFS('09월 에너지'!S$14:S$949,'09월 에너지'!$A$14:$A$949,$A133,'09월 에너지'!$C$14:$C$949,$B133)))</f>
        <v/>
      </c>
      <c r="CK133" s="831" t="str">
        <f>IF($C133&lt;1,"",(AVERAGEIFS('09월 에너지'!T$14:T$949,'09월 에너지'!$A$14:$A$949,$A133,'09월 에너지'!$C$14:$C$949,$B133)))</f>
        <v/>
      </c>
      <c r="CL133" s="831" t="str">
        <f>IF($C133&lt;1,"",(AVERAGEIFS('09월 에너지'!U$14:U$949,'09월 에너지'!$A$14:$A$949,$A133,'09월 에너지'!$C$14:$C$949,$B133)))</f>
        <v/>
      </c>
      <c r="CM133" s="835" t="str">
        <f>IF($C133&lt;1,"",(AVERAGEIFS('09월 에너지'!V$14:V$949,'09월 에너지'!$A$14:$A$949,$A133,'09월 에너지'!$C$14:$C$949,$B133)))</f>
        <v/>
      </c>
      <c r="CN133" s="835" t="str">
        <f>IF($C133&lt;1,"",(AVERAGEIFS('09월 에너지'!W$14:W$949,'09월 에너지'!$A$14:$A$949,$A133,'09월 에너지'!$C$14:$C$949,$B133)))</f>
        <v/>
      </c>
      <c r="CO133" s="831" t="str">
        <f>IF($C133&lt;1,"",(AVERAGEIFS('09월 에너지'!X$14:X$949,'09월 에너지'!$A$14:$A$949,$A133,'09월 에너지'!$C$14:$C$949,$B133)))</f>
        <v/>
      </c>
      <c r="CP133" s="835" t="str">
        <f>IF($C133&lt;1,"",(AVERAGEIFS('09월 에너지'!Y$14:Y$949,'09월 에너지'!$A$14:$A$949,$A133,'09월 에너지'!$C$14:$C$949,$B133)))</f>
        <v/>
      </c>
      <c r="CQ133" s="835" t="str">
        <f>IF($C133&lt;1,"",(AVERAGEIFS('09월 에너지'!Z$14:Z$949,'09월 에너지'!$A$14:$A$949,$A133,'09월 에너지'!$C$14:$C$949,$B133)))</f>
        <v/>
      </c>
      <c r="CR133" s="835" t="str">
        <f>IF($C133&lt;1,"",(AVERAGEIFS('09월 에너지'!AA$14:AA$949,'09월 에너지'!$A$14:$A$949,$A133,'09월 에너지'!$C$14:$C$949,$B133)))</f>
        <v/>
      </c>
      <c r="CS133" s="835" t="str">
        <f>IF($C133&lt;1,"",(AVERAGEIFS('09월 에너지'!AB$14:AB$949,'09월 에너지'!$A$14:$A$949,$A133,'09월 에너지'!$C$14:$C$949,$B133)))</f>
        <v/>
      </c>
      <c r="CT133" s="831" t="str">
        <f>IF($C133&lt;1,"",(AVERAGEIFS('09월 에너지'!AC$14:AC$949,'09월 에너지'!$A$14:$A$949,$A133,'09월 에너지'!$C$14:$C$949,$B133)))</f>
        <v/>
      </c>
      <c r="CU133" s="836" t="str">
        <f>IF($C133&lt;1,"",(AVERAGEIFS('09월 에너지'!AD$14:AD$949,'09월 에너지'!$A$14:$A$949,$A133,'09월 에너지'!$C$14:$C$949,$B133)))</f>
        <v/>
      </c>
      <c r="CV133" s="837" t="str">
        <f>IF($C133&lt;1,"",(AVERAGEIFS('09월 에너지'!AE$14:AE$949,'09월 에너지'!$A$14:$A$949,$A133,'09월 에너지'!$C$14:$C$949,$B133)))</f>
        <v/>
      </c>
      <c r="CW133" s="831" t="str">
        <f>IF($C133&lt;1,"",(AVERAGEIFS('09월 에너지'!AF$14:AF$949,'09월 에너지'!$A$14:$A$949,$A133,'09월 에너지'!$C$14:$C$949,$B133)))</f>
        <v/>
      </c>
      <c r="CX133" s="831" t="str">
        <f>IF($C133&lt;1,"",(AVERAGEIFS('09월 에너지'!AG$14:AG$949,'09월 에너지'!$A$14:$A$949,$A133,'09월 에너지'!$C$14:$C$949,$B133)))</f>
        <v/>
      </c>
      <c r="CY133" s="831" t="str">
        <f>IF($C133&lt;1,"",(AVERAGEIFS('09월 에너지'!AH$14:AH$949,'09월 에너지'!$A$14:$A$949,$A133,'09월 에너지'!$C$14:$C$949,$B133)))</f>
        <v/>
      </c>
      <c r="CZ133" s="831" t="str">
        <f>IF($C133&lt;1,"",(AVERAGEIFS('09월 에너지'!AI$14:AI$949,'09월 에너지'!$A$14:$A$949,$A133,'09월 에너지'!$C$14:$C$949,$B133)))</f>
        <v/>
      </c>
      <c r="DA133" s="838" t="str">
        <f>IF($C133&lt;1,"",(AVERAGEIFS('09월 에너지'!AJ$14:AJ$949,'09월 에너지'!$A$14:$A$949,$A133,'09월 에너지'!$C$14:$C$949,$B133)))</f>
        <v/>
      </c>
    </row>
    <row r="134" spans="1:105" ht="13.5" customHeight="1">
      <c r="A134" s="849">
        <f t="shared" si="20"/>
        <v>44952</v>
      </c>
      <c r="B134" s="850" t="s">
        <v>10</v>
      </c>
      <c r="C134" s="823">
        <f>COUNTIFS('09월 조업일지'!$A$12:$A$952,A131,'09월 조업일지'!$E$12:$E$952,B134)</f>
        <v>0</v>
      </c>
      <c r="D134" s="824" t="str">
        <f t="shared" si="29"/>
        <v/>
      </c>
      <c r="E134" s="824" t="str">
        <f>IF($C134&lt;1,"",(SUMIFS('09월 조업일지'!$K$12:$K$952,'09월 조업일지'!$A$12:$A$952,$A134,'09월 조업일지'!$E$12:$E$952,$B134)/$C134))</f>
        <v/>
      </c>
      <c r="F134" s="824" t="str">
        <f>IF($C134&lt;1,"",(AVERAGEIFS('09월 조업일지'!$J$12:$J$952,'09월 조업일지'!$A$12:$A$952,$A134,'09월 조업일지'!$E$12:$E$952,$B134)))</f>
        <v/>
      </c>
      <c r="G134" s="825" t="str">
        <f>IF($C134&lt;1,"",(AVERAGEIFS('09월 에너지'!$M$14:$M$949,'09월 에너지'!$A$14:$A$949,$A134,'09월 에너지'!$C$14:$C$949,$B134)))</f>
        <v/>
      </c>
      <c r="H134" s="826" t="str">
        <f>IF($C134&lt;1,"",(AVERAGEIFS('09월 조업일지'!$AJ$12:$AJ$952,'09월 조업일지'!$A$12:$A$952,$A134,'09월 조업일지'!$E$12:$E$952,$B134)))</f>
        <v/>
      </c>
      <c r="I134" s="826" t="str">
        <f>IF($C134&lt;1,"",(AVERAGEIFS('09월 조업일지'!$AL$12:$AL$952,'09월 조업일지'!$A$12:$A$952,$A134,'09월 조업일지'!$E$12:$E$952,$B134)))</f>
        <v/>
      </c>
      <c r="J134" s="827" t="str">
        <f>IF($C134&lt;1,"",(AVERAGEIFS('09월 화학성분'!G$12:G$949,'09월 화학성분'!$A$12:$A$949,$A134,'09월 화학성분'!$D$12:$D$949,$B134)))</f>
        <v/>
      </c>
      <c r="K134" s="827" t="str">
        <f>IF($C134&lt;1,"",(AVERAGEIFS('09월 화학성분'!H$12:H$949,'09월 화학성분'!$A$12:$A$949,$A134,'09월 화학성분'!$D$12:$D$949,$B134)))</f>
        <v/>
      </c>
      <c r="L134" s="827" t="str">
        <f>IF($C134&lt;1,"",(AVERAGEIFS('09월 화학성분'!I$12:I$949,'09월 화학성분'!$A$12:$A$949,$A134,'09월 화학성분'!$D$12:$D$949,$B134)))</f>
        <v/>
      </c>
      <c r="M134" s="827" t="str">
        <f>IF($C134&lt;1,"",(AVERAGEIFS('09월 화학성분'!J$12:J$949,'09월 화학성분'!$A$12:$A$949,$A134,'09월 화학성분'!$D$12:$D$949,$B134)))</f>
        <v/>
      </c>
      <c r="N134" s="827" t="str">
        <f>IF($C134&lt;1,"",(AVERAGEIFS('09월 화학성분'!K$12:K$949,'09월 화학성분'!$A$12:$A$949,$A134,'09월 화학성분'!$D$12:$D$949,$B134)))</f>
        <v/>
      </c>
      <c r="O134" s="827" t="str">
        <f>IF($C134&lt;1,"",(AVERAGEIFS('09월 화학성분'!L$12:L$949,'09월 화학성분'!$A$12:$A$949,$A134,'09월 화학성분'!$D$12:$D$949,$B134)))</f>
        <v/>
      </c>
      <c r="P134" s="827" t="str">
        <f>IF($C134&lt;1,"",(AVERAGEIFS('09월 화학성분'!M$12:M$949,'09월 화학성분'!$A$12:$A$949,$A134,'09월 화학성분'!$D$12:$D$949,$B134)))</f>
        <v/>
      </c>
      <c r="Q134" s="827" t="str">
        <f>IFERROR(IF($C134&lt;1,"",(AVERAGEIFS('09월 조업일지'!$AA$12:$AA$952,'09월 조업일지'!$A$12:$A$952,$A134,'09월 조업일지'!$E$12:$E$952,$B134))),"")</f>
        <v/>
      </c>
      <c r="R134" s="827" t="str">
        <f>IF($C134&lt;1,"",(AVERAGEIFS('09월 조업일지'!$AK$12:$AK$952,'09월 조업일지'!$A$12:$A$952,$A134,'09월 조업일지'!$E$12:$E$952,$B134)))</f>
        <v/>
      </c>
      <c r="S134" s="827"/>
      <c r="T134" s="827"/>
      <c r="U134" s="827" t="str">
        <f>IF($C134&lt;1,"",(AVERAGEIFS('09월 화학성분'!$G$12:$G$949,'09월 화학성분'!$A$12:$A$949,$A134,'09월 화학성분'!$D$12:$D$949,$B134)))</f>
        <v/>
      </c>
      <c r="V134" s="827" t="str">
        <f>IF($C134&lt;1,"",(AVERAGEIFS('09월 조업일지'!$AI$12:$AI$952,'09월 조업일지'!$A$12:$A$952,$A134,'09월 조업일지'!$E$12:$E$952,$B134)))</f>
        <v/>
      </c>
      <c r="W134" s="828" t="str">
        <f>IF($C134&lt;1,"",(AVERAGEIFS('09월 화학성분'!$AM$12:$AM$949,'09월 화학성분'!$A$12:$A$949,$A134,'09월 화학성분'!$D$12:$D$949,$B134)))</f>
        <v/>
      </c>
      <c r="X134" s="829" t="str">
        <f>IF($C134&lt;1,"",(AVERAGEIFS('09월 화학성분'!N$12:N$949,'09월 화학성분'!$A$12:$A$949,$A134,'09월 화학성분'!$D$12:$D$949,$B134)))</f>
        <v/>
      </c>
      <c r="Y134" s="829" t="str">
        <f>IF($C134&lt;1,"",(AVERAGEIFS('09월 화학성분'!O$12:O$949,'09월 화학성분'!$A$12:$A$949,$A134,'09월 화학성분'!$D$12:$D$949,$B134)))</f>
        <v/>
      </c>
      <c r="Z134" s="829" t="str">
        <f>IF($C134&lt;1,"",(AVERAGEIFS('09월 화학성분'!P$12:P$949,'09월 화학성분'!$A$12:$A$949,$A134,'09월 화학성분'!$D$12:$D$949,$B134)))</f>
        <v/>
      </c>
      <c r="AA134" s="829" t="str">
        <f>IF($C134&lt;1,"",(AVERAGEIFS('09월 화학성분'!Q$12:Q$949,'09월 화학성분'!$A$12:$A$949,$A134,'09월 화학성분'!$D$12:$D$949,$B134)))</f>
        <v/>
      </c>
      <c r="AB134" s="829" t="str">
        <f>IF($C134&lt;1,"",(AVERAGEIFS('09월 화학성분'!R$12:R$949,'09월 화학성분'!$A$12:$A$949,$A134,'09월 화학성분'!$D$12:$D$949,$B134)))</f>
        <v/>
      </c>
      <c r="AC134" s="829" t="str">
        <f>IF($C134&lt;1,"",(AVERAGEIFS('09월 화학성분'!U$12:U$949,'09월 화학성분'!$A$12:$A$949,$A134,'09월 화학성분'!$D$12:$D$949,$B134)))</f>
        <v/>
      </c>
      <c r="AD134" s="829" t="str">
        <f>IF($C134&lt;1,"",(AVERAGEIFS('09월 화학성분'!V$12:V$949,'09월 화학성분'!$A$12:$A$949,$A134,'09월 화학성분'!$D$12:$D$949,$B134)))</f>
        <v/>
      </c>
      <c r="AE134" s="829" t="str">
        <f>IF($C134&lt;1,"",(AVERAGEIFS('09월 화학성분'!W$12:W$949,'09월 화학성분'!$A$12:$A$949,$A134,'09월 화학성분'!$D$12:$D$949,$B134)))</f>
        <v/>
      </c>
      <c r="AF134" s="829" t="str">
        <f>IF($C134&lt;1,"",(AVERAGEIFS('09월 화학성분'!AA$12:AA$949,'09월 화학성분'!$A$12:$A$949,$A134,'09월 화학성분'!$D$12:$D$949,$B134)))</f>
        <v/>
      </c>
      <c r="AG134" s="829" t="str">
        <f>IF($C134&lt;1,"",(AVERAGEIFS('09월 화학성분'!#REF!,'09월 화학성분'!$A$12:$A$949,$A134,'09월 화학성분'!$D$12:$D$949,$B134)))</f>
        <v/>
      </c>
      <c r="AH134" s="829" t="str">
        <f>IF($C134&lt;1,"",(AVERAGEIFS('09월 화학성분'!AB$12:AB$949,'09월 화학성분'!$A$12:$A$949,$A134,'09월 화학성분'!$D$12:$D$949,$B134)))</f>
        <v/>
      </c>
      <c r="AI134" s="829" t="str">
        <f>IF($C134&lt;1,"",(AVERAGEIFS('09월 화학성분'!AC$12:AC$949,'09월 화학성분'!$A$12:$A$949,$A134,'09월 화학성분'!$D$12:$D$949,$B134)))</f>
        <v/>
      </c>
      <c r="AJ134" s="829" t="str">
        <f>IF($C134&lt;1,"",(AVERAGEIFS('09월 화학성분'!AD$12:AD$949,'09월 화학성분'!$A$12:$A$949,$A134,'09월 화학성분'!$D$12:$D$949,$B134)))</f>
        <v/>
      </c>
      <c r="AK134" s="829" t="str">
        <f>IF($C134&lt;1,"",(AVERAGEIFS('09월 화학성분'!AF$12:AF$949,'09월 화학성분'!$A$12:$A$949,$A134,'09월 화학성분'!$D$12:$D$949,$B134)))</f>
        <v/>
      </c>
      <c r="AL134" s="829" t="str">
        <f>IF($C134&lt;1,"",(AVERAGEIFS('09월 화학성분'!AG$12:AG$949,'09월 화학성분'!$A$12:$A$949,$A134,'09월 화학성분'!$D$12:$D$949,$B134)))</f>
        <v/>
      </c>
      <c r="AM134" s="829" t="str">
        <f>IF($C134&lt;1,"",(AVERAGEIFS('09월 화학성분'!AH$12:AH$949,'09월 화학성분'!$A$12:$A$949,$A134,'09월 화학성분'!$D$12:$D$949,$B134)))</f>
        <v/>
      </c>
      <c r="AN134" s="829" t="str">
        <f>IF($C134&lt;1,"",(AVERAGEIFS('09월 화학성분'!AI$12:AI$949,'09월 화학성분'!$A$12:$A$949,$A134,'09월 화학성분'!$D$12:$D$949,$B134)))</f>
        <v/>
      </c>
      <c r="AO134" s="829" t="str">
        <f>IF($C134&lt;1,"",(AVERAGEIFS('09월 화학성분'!AJ$12:AJ$949,'09월 화학성분'!$A$12:$A$949,$A134,'09월 화학성분'!$D$12:$D$949,$B134)))</f>
        <v/>
      </c>
      <c r="AP134" s="829" t="str">
        <f>IF($C134&lt;1,"",(AVERAGEIFS('09월 화학성분'!#REF!,'09월 화학성분'!$A$12:$A$949,$A134,'09월 화학성분'!$D$12:$D$949,$B134)))</f>
        <v/>
      </c>
      <c r="AQ134" s="829" t="str">
        <f>IF($C134&lt;1,"",(AVERAGEIFS('09월 화학성분'!AL$12:AL$949,'09월 화학성분'!$A$12:$A$949,$A134,'09월 화학성분'!$D$12:$D$949,$B134)))</f>
        <v/>
      </c>
      <c r="AR134" s="829" t="str">
        <f>IF($C134&lt;1,"",(AVERAGEIFS('09월 화학성분'!AM$12:AM$949,'09월 화학성분'!$A$12:$A$949,$A134,'09월 화학성분'!$D$12:$D$949,$B134)))</f>
        <v/>
      </c>
      <c r="AS134" s="830" t="str">
        <f>IF($C134&lt;1,"",(AVERAGEIFS('09월 화학성분'!AN$12:AN$949,'09월 화학성분'!$A$12:$A$949,$A134,'09월 화학성분'!$D$12:$D$949,$B134)))</f>
        <v/>
      </c>
      <c r="AT134" s="830" t="str">
        <f>IF($C134&lt;1,"",(AVERAGEIFS('09월 화학성분'!AO$12:AO$949,'09월 화학성분'!$A$12:$A$949,$A134,'09월 화학성분'!$D$12:$D$949,$B134)))</f>
        <v/>
      </c>
      <c r="AU134" s="831" t="str">
        <f>IF($C134&lt;1,"",(AVERAGEIFS('09월 화학성분'!AP$12:AP$949,'09월 화학성분'!$A$12:$A$949,$A134,'09월 화학성분'!$D$12:$D$949,$B134)))</f>
        <v/>
      </c>
      <c r="AV134" s="832" t="str">
        <f>IF($C134&lt;1,"",(AVERAGEIFS('09월 고철장입'!G$14:G$949,'09월 고철장입'!$A$14:$A$949,$A134,'09월 고철장입'!$C$14:$C$949,$B134))/1000)</f>
        <v/>
      </c>
      <c r="AW134" s="832" t="str">
        <f>IF($C134&lt;1,"",(AVERAGEIFS('09월 고철장입'!H$14:H$949,'09월 고철장입'!$A$14:$A$949,$A134,'09월 고철장입'!$C$14:$C$949,$B134))/1000)</f>
        <v/>
      </c>
      <c r="AX134" s="832" t="str">
        <f>IF($C134&lt;1,"",(AVERAGEIFS('09월 고철장입'!I$14:I$949,'09월 고철장입'!$A$14:$A$949,$A134,'09월 고철장입'!$C$14:$C$949,$B134))/1000)</f>
        <v/>
      </c>
      <c r="AY134" s="832" t="str">
        <f>IF($C134&lt;1,"",(AVERAGEIFS('09월 고철장입'!J$14:J$949,'09월 고철장입'!$A$14:$A$949,$A134,'09월 고철장입'!$C$14:$C$949,$B134))/1000)</f>
        <v/>
      </c>
      <c r="AZ134" s="832" t="str">
        <f>IF($C134&lt;1,"",(AVERAGEIFS('09월 고철장입'!K$14:K$949,'09월 고철장입'!$A$14:$A$949,$A134,'09월 고철장입'!$C$14:$C$949,$B134))/1000)</f>
        <v/>
      </c>
      <c r="BA134" s="832" t="str">
        <f>IF($C134&lt;1,"",(AVERAGEIFS('09월 고철장입'!L$14:L$949,'09월 고철장입'!$A$14:$A$949,$A134,'09월 고철장입'!$C$14:$C$949,$B134))/1000)</f>
        <v/>
      </c>
      <c r="BB134" s="832" t="str">
        <f>IF($C134&lt;1,"",(AVERAGEIFS('09월 고철장입'!M$14:M$949,'09월 고철장입'!$A$14:$A$949,$A134,'09월 고철장입'!$C$14:$C$949,$B134))/1000)</f>
        <v/>
      </c>
      <c r="BC134" s="832" t="str">
        <f>IF($C134&lt;1,"",(AVERAGEIFS('09월 고철장입'!N$14:N$949,'09월 고철장입'!$A$14:$A$949,$A134,'09월 고철장입'!$C$14:$C$949,$B134))/1000)</f>
        <v/>
      </c>
      <c r="BD134" s="832" t="str">
        <f>IF($C134&lt;1,"",(AVERAGEIFS('09월 고철장입'!O$14:O$949,'09월 고철장입'!$A$14:$A$949,$A134,'09월 고철장입'!$C$14:$C$949,$B134))/1000)</f>
        <v/>
      </c>
      <c r="BE134" s="833" t="str">
        <f>IF($C134&lt;1,"",(AVERAGEIFS('09월 고철장입'!P$14:P$949,'09월 고철장입'!$A$14:$A$949,$A134,'09월 고철장입'!$C$14:$C$949,$B134))/1000)</f>
        <v/>
      </c>
      <c r="BF134" s="833" t="str">
        <f>IF($C134&lt;1,"",(AVERAGEIFS('09월 고철장입'!Q$14:Q$949,'09월 고철장입'!$A$14:$A$949,$A134,'09월 고철장입'!$C$14:$C$949,$B134))/1000)</f>
        <v/>
      </c>
      <c r="BG134" s="833" t="str">
        <f>IF($C134&lt;1,"",(AVERAGEIFS('09월 고철장입'!S$14:S$949,'09월 고철장입'!$A$14:$A$949,$A134,'09월 고철장입'!$C$14:$C$949,$B134))/1000)</f>
        <v/>
      </c>
      <c r="BH134" s="833" t="str">
        <f>IF($C134&lt;1,"",(AVERAGEIFS('09월 고철장입'!T$14:T$949,'09월 고철장입'!$A$14:$A$949,$A134,'09월 고철장입'!$C$14:$C$949,$B134))/1000)</f>
        <v/>
      </c>
      <c r="BI134" s="833" t="str">
        <f>IF($C134&lt;1,"",(AVERAGEIFS('09월 고철장입'!U$14:U$949,'09월 고철장입'!$A$14:$A$949,$A134,'09월 고철장입'!$C$14:$C$949,$B134))/1000)</f>
        <v/>
      </c>
      <c r="BJ134" s="833" t="str">
        <f>IF($C134&lt;1,"",(AVERAGEIFS('09월 고철장입'!V$14:V$949,'09월 고철장입'!$A$14:$A$949,$A134,'09월 고철장입'!$C$14:$C$949,$B134))/1000)</f>
        <v/>
      </c>
      <c r="BK134" s="833" t="str">
        <f>IF($C134&lt;1,"",(AVERAGEIFS('09월 고철장입'!W$14:W$949,'09월 고철장입'!$A$14:$A$949,$A134,'09월 고철장입'!$C$14:$C$949,$B134))/1000)</f>
        <v/>
      </c>
      <c r="BL134" s="833" t="str">
        <f>IF($C134&lt;1,"",(AVERAGEIFS('09월 고철장입'!Y$14:Y$949,'09월 고철장입'!$A$14:$A$949,$A134,'09월 고철장입'!$C$14:$C$949,$B134))/1000)</f>
        <v/>
      </c>
      <c r="BM134" s="833" t="str">
        <f>IF($C134&lt;1,"",(AVERAGEIFS('09월 고철장입'!AB$14:AB$949,'09월 고철장입'!$A$14:$A$949,$A134,'09월 고철장입'!$C$14:$C$949,$B134))/1000)</f>
        <v/>
      </c>
      <c r="BN134" s="833" t="str">
        <f>IF($C134&lt;1,"",(AVERAGEIFS('09월 고철장입'!AC$14:AC$949,'09월 고철장입'!$A$14:$A$949,$A134,'09월 고철장입'!$C$14:$C$949,$B134))/1000)</f>
        <v/>
      </c>
      <c r="BO134" s="833" t="str">
        <f>IF($C134&lt;1,"",(AVERAGEIFS('09월 고철장입'!AD$14:AD$949,'09월 고철장입'!$A$14:$A$949,$A134,'09월 고철장입'!$C$14:$C$949,$B134))/1000)</f>
        <v/>
      </c>
      <c r="BP134" s="833" t="str">
        <f>IF($C134&lt;1,"",(AVERAGEIFS('09월 고철장입'!AE$14:AE$949,'09월 고철장입'!$A$14:$A$949,$A134,'09월 고철장입'!$C$14:$C$949,$B134))/1000)</f>
        <v/>
      </c>
      <c r="BQ134" s="832" t="str">
        <f>IF($C134&lt;1,"",(AVERAGEIFS('09월 고철장입'!AF$14:AF$949,'09월 고철장입'!$A$14:$A$949,$A134,'09월 고철장입'!$C$14:$C$949,$B134))/1000)</f>
        <v/>
      </c>
      <c r="BR134" s="832" t="str">
        <f>IF($C134&lt;1,"",(AVERAGEIFS('09월 고철장입'!AG$14:AG$949,'09월 고철장입'!$A$14:$A$949,$A134,'09월 고철장입'!$C$14:$C$949,$B134))/1000)</f>
        <v/>
      </c>
      <c r="BS134" s="832" t="str">
        <f>IF($C134&lt;1,"",(AVERAGEIFS('09월 고철장입'!AH$14:AH$949,'09월 고철장입'!$A$14:$A$949,$A134,'09월 고철장입'!$C$14:$C$949,$B134))/1000)</f>
        <v/>
      </c>
      <c r="BT134" s="832" t="str">
        <f>IF($C134&lt;1,"",(AVERAGEIFS('09월 고철장입'!AI$14:AI$949,'09월 고철장입'!$A$14:$A$949,$A134,'09월 고철장입'!$C$14:$C$949,$B134))/1000)</f>
        <v/>
      </c>
      <c r="BU134" s="834" t="str">
        <f>IF($C134&lt;1,"",(AVERAGEIFS('09월 고철장입'!AJ$14:AJ$949,'09월 고철장입'!$A$14:$A$949,$A134,'09월 고철장입'!$C$14:$C$949,$B134))/1000)</f>
        <v/>
      </c>
      <c r="BV134" s="834" t="str">
        <f>IF($C134&lt;1,"",(AVERAGEIFS('09월 고철장입'!AK$14:AK$949,'09월 고철장입'!$A$14:$A$949,$A134,'09월 고철장입'!$C$14:$C$949,$B134)))</f>
        <v/>
      </c>
      <c r="BW134" s="834" t="str">
        <f>IF($C134&lt;1,"",(AVERAGEIFS('09월 고철장입'!AL$14:AL$949,'09월 고철장입'!$A$14:$A$949,$A134,'09월 고철장입'!$C$14:$C$949,$B134))*100)</f>
        <v/>
      </c>
      <c r="BX134" s="831" t="str">
        <f>IF($C134&lt;1,"",(AVERAGEIFS('09월 에너지'!G$14:G$949,'09월 에너지'!$A$14:$A$949,$A134,'09월 에너지'!$C$14:$C$949,$B134)))</f>
        <v/>
      </c>
      <c r="BY134" s="835" t="str">
        <f>IF($C134&lt;1,"",(AVERAGEIFS('09월 에너지'!H$14:H$949,'09월 에너지'!$A$14:$A$949,$A134,'09월 에너지'!$C$14:$C$949,$B134)))</f>
        <v/>
      </c>
      <c r="BZ134" s="831" t="str">
        <f>IF($C134&lt;1,"",(AVERAGEIFS('09월 에너지'!I$14:I$949,'09월 에너지'!$A$14:$A$949,$A134,'09월 에너지'!$C$14:$C$949,$B134)))</f>
        <v/>
      </c>
      <c r="CA134" s="835" t="str">
        <f>IF($C134&lt;1,"",(AVERAGEIFS('09월 에너지'!J$14:J$949,'09월 에너지'!$A$14:$A$949,$A134,'09월 에너지'!$C$14:$C$949,$B134)))</f>
        <v/>
      </c>
      <c r="CB134" s="831" t="str">
        <f>IF($C134&lt;1,"",(AVERAGEIFS('09월 에너지'!K$14:K$949,'09월 에너지'!$A$14:$A$949,$A134,'09월 에너지'!$C$14:$C$949,$B134)))</f>
        <v/>
      </c>
      <c r="CC134" s="835" t="str">
        <f>IF($C134&lt;1,"",(AVERAGEIFS('09월 에너지'!L$14:L$949,'09월 에너지'!$A$14:$A$949,$A134,'09월 에너지'!$C$14:$C$949,$B134)))</f>
        <v/>
      </c>
      <c r="CD134" s="831" t="str">
        <f>IF($C134&lt;1,"",(AVERAGEIFS('09월 에너지'!M$14:M$949,'09월 에너지'!$A$14:$A$949,$A134,'09월 에너지'!$C$14:$C$949,$B134)))</f>
        <v/>
      </c>
      <c r="CE134" s="835" t="str">
        <f>IF($C134&lt;1,"",(AVERAGEIFS('09월 에너지'!N$14:N$949,'09월 에너지'!$A$14:$A$949,$A134,'09월 에너지'!$C$14:$C$949,$B134)))</f>
        <v/>
      </c>
      <c r="CF134" s="831" t="str">
        <f>IF($C134&lt;1,"",(AVERAGEIFS('09월 에너지'!O$14:O$949,'09월 에너지'!$A$14:$A$949,$A134,'09월 에너지'!$C$14:$C$949,$B134)))</f>
        <v/>
      </c>
      <c r="CG134" s="831" t="str">
        <f>IF($C134&lt;1,"",(AVERAGEIFS('09월 에너지'!P$14:P$949,'09월 에너지'!$A$14:$A$949,$A134,'09월 에너지'!$C$14:$C$949,$B134)))</f>
        <v/>
      </c>
      <c r="CH134" s="831" t="str">
        <f>IF($C134&lt;1,"",(AVERAGEIFS('09월 에너지'!Q$14:Q$949,'09월 에너지'!$A$14:$A$949,$A134,'09월 에너지'!$C$14:$C$949,$B134)))</f>
        <v/>
      </c>
      <c r="CI134" s="831" t="str">
        <f>IF($C134&lt;1,"",(AVERAGEIFS('09월 에너지'!R$14:R$949,'09월 에너지'!$A$14:$A$949,$A134,'09월 에너지'!$C$14:$C$949,$B134)))</f>
        <v/>
      </c>
      <c r="CJ134" s="831" t="str">
        <f>IF($C134&lt;1,"",(AVERAGEIFS('09월 에너지'!S$14:S$949,'09월 에너지'!$A$14:$A$949,$A134,'09월 에너지'!$C$14:$C$949,$B134)))</f>
        <v/>
      </c>
      <c r="CK134" s="831" t="str">
        <f>IF($C134&lt;1,"",(AVERAGEIFS('09월 에너지'!T$14:T$949,'09월 에너지'!$A$14:$A$949,$A134,'09월 에너지'!$C$14:$C$949,$B134)))</f>
        <v/>
      </c>
      <c r="CL134" s="831" t="str">
        <f>IF($C134&lt;1,"",(AVERAGEIFS('09월 에너지'!U$14:U$949,'09월 에너지'!$A$14:$A$949,$A134,'09월 에너지'!$C$14:$C$949,$B134)))</f>
        <v/>
      </c>
      <c r="CM134" s="835" t="str">
        <f>IF($C134&lt;1,"",(AVERAGEIFS('09월 에너지'!V$14:V$949,'09월 에너지'!$A$14:$A$949,$A134,'09월 에너지'!$C$14:$C$949,$B134)))</f>
        <v/>
      </c>
      <c r="CN134" s="835" t="str">
        <f>IF($C134&lt;1,"",(AVERAGEIFS('09월 에너지'!W$14:W$949,'09월 에너지'!$A$14:$A$949,$A134,'09월 에너지'!$C$14:$C$949,$B134)))</f>
        <v/>
      </c>
      <c r="CO134" s="831" t="str">
        <f>IF($C134&lt;1,"",(AVERAGEIFS('09월 에너지'!X$14:X$949,'09월 에너지'!$A$14:$A$949,$A134,'09월 에너지'!$C$14:$C$949,$B134)))</f>
        <v/>
      </c>
      <c r="CP134" s="835" t="str">
        <f>IF($C134&lt;1,"",(AVERAGEIFS('09월 에너지'!Y$14:Y$949,'09월 에너지'!$A$14:$A$949,$A134,'09월 에너지'!$C$14:$C$949,$B134)))</f>
        <v/>
      </c>
      <c r="CQ134" s="835" t="str">
        <f>IF($C134&lt;1,"",(AVERAGEIFS('09월 에너지'!Z$14:Z$949,'09월 에너지'!$A$14:$A$949,$A134,'09월 에너지'!$C$14:$C$949,$B134)))</f>
        <v/>
      </c>
      <c r="CR134" s="835" t="str">
        <f>IF($C134&lt;1,"",(AVERAGEIFS('09월 에너지'!AA$14:AA$949,'09월 에너지'!$A$14:$A$949,$A134,'09월 에너지'!$C$14:$C$949,$B134)))</f>
        <v/>
      </c>
      <c r="CS134" s="835" t="str">
        <f>IF($C134&lt;1,"",(AVERAGEIFS('09월 에너지'!AB$14:AB$949,'09월 에너지'!$A$14:$A$949,$A134,'09월 에너지'!$C$14:$C$949,$B134)))</f>
        <v/>
      </c>
      <c r="CT134" s="831" t="str">
        <f>IF($C134&lt;1,"",(AVERAGEIFS('09월 에너지'!AC$14:AC$949,'09월 에너지'!$A$14:$A$949,$A134,'09월 에너지'!$C$14:$C$949,$B134)))</f>
        <v/>
      </c>
      <c r="CU134" s="836" t="str">
        <f>IF($C134&lt;1,"",(AVERAGEIFS('09월 에너지'!AD$14:AD$949,'09월 에너지'!$A$14:$A$949,$A134,'09월 에너지'!$C$14:$C$949,$B134)))</f>
        <v/>
      </c>
      <c r="CV134" s="837" t="str">
        <f>IF($C134&lt;1,"",(AVERAGEIFS('09월 에너지'!AE$14:AE$949,'09월 에너지'!$A$14:$A$949,$A134,'09월 에너지'!$C$14:$C$949,$B134)))</f>
        <v/>
      </c>
      <c r="CW134" s="831" t="str">
        <f>IF($C134&lt;1,"",(AVERAGEIFS('09월 에너지'!AF$14:AF$949,'09월 에너지'!$A$14:$A$949,$A134,'09월 에너지'!$C$14:$C$949,$B134)))</f>
        <v/>
      </c>
      <c r="CX134" s="831" t="str">
        <f>IF($C134&lt;1,"",(AVERAGEIFS('09월 에너지'!AG$14:AG$949,'09월 에너지'!$A$14:$A$949,$A134,'09월 에너지'!$C$14:$C$949,$B134)))</f>
        <v/>
      </c>
      <c r="CY134" s="831" t="str">
        <f>IF($C134&lt;1,"",(AVERAGEIFS('09월 에너지'!AH$14:AH$949,'09월 에너지'!$A$14:$A$949,$A134,'09월 에너지'!$C$14:$C$949,$B134)))</f>
        <v/>
      </c>
      <c r="CZ134" s="831" t="str">
        <f>IF($C134&lt;1,"",(AVERAGEIFS('09월 에너지'!AI$14:AI$949,'09월 에너지'!$A$14:$A$949,$A134,'09월 에너지'!$C$14:$C$949,$B134)))</f>
        <v/>
      </c>
      <c r="DA134" s="838" t="str">
        <f>IF($C134&lt;1,"",(AVERAGEIFS('09월 에너지'!AJ$14:AJ$949,'09월 에너지'!$A$14:$A$949,$A134,'09월 에너지'!$C$14:$C$949,$B134)))</f>
        <v/>
      </c>
    </row>
    <row r="135" spans="1:105" ht="13.5" customHeight="1" thickBot="1">
      <c r="A135" s="851">
        <f t="shared" si="20"/>
        <v>44952</v>
      </c>
      <c r="B135" s="852" t="s">
        <v>94</v>
      </c>
      <c r="C135" s="841">
        <f>COUNTIFS('09월 조업일지'!$A$12:$A$952,A131,'09월 조업일지'!$E$12:$E$952,B135)</f>
        <v>0</v>
      </c>
      <c r="D135" s="842" t="str">
        <f t="shared" si="29"/>
        <v/>
      </c>
      <c r="E135" s="842" t="str">
        <f>IF($C135&lt;1,"",(SUMIFS('09월 조업일지'!$K$12:$K$952,'09월 조업일지'!$A$12:$A$952,$A135,'09월 조업일지'!$E$12:$E$952,$B135)/$C135))</f>
        <v/>
      </c>
      <c r="F135" s="842" t="str">
        <f>IF($C135&lt;1,"",(AVERAGEIFS('09월 조업일지'!$J$12:$J$952,'09월 조업일지'!$A$12:$A$952,$A135,'09월 조업일지'!$E$12:$E$952,$B135)))</f>
        <v/>
      </c>
      <c r="G135" s="843" t="str">
        <f>IF($C135&lt;1,"",(AVERAGEIFS('09월 에너지'!$M$14:$M$949,'09월 에너지'!$A$14:$A$949,$A135,'09월 에너지'!$C$14:$C$949,$B135)))</f>
        <v/>
      </c>
      <c r="H135" s="844" t="str">
        <f>IF($C135&lt;1,"",(AVERAGEIFS('09월 조업일지'!$AJ$12:$AJ$952,'09월 조업일지'!$A$12:$A$952,$A135,'09월 조업일지'!$E$12:$E$952,$B135)))</f>
        <v/>
      </c>
      <c r="I135" s="844" t="str">
        <f>IF($C135&lt;1,"",(AVERAGEIFS('09월 조업일지'!$AL$12:$AL$952,'09월 조업일지'!$A$12:$A$952,$A135,'09월 조업일지'!$E$12:$E$952,$B135)))</f>
        <v/>
      </c>
      <c r="J135" s="845" t="str">
        <f>IF($C135&lt;1,"",(AVERAGEIFS('09월 화학성분'!G$12:G$949,'09월 화학성분'!$A$12:$A$949,$A135,'09월 화학성분'!$D$12:$D$949,$B135)))</f>
        <v/>
      </c>
      <c r="K135" s="845" t="str">
        <f>IF($C135&lt;1,"",(AVERAGEIFS('09월 화학성분'!H$12:H$949,'09월 화학성분'!$A$12:$A$949,$A135,'09월 화학성분'!$D$12:$D$949,$B135)))</f>
        <v/>
      </c>
      <c r="L135" s="845" t="str">
        <f>IF($C135&lt;1,"",(AVERAGEIFS('09월 화학성분'!I$12:I$949,'09월 화학성분'!$A$12:$A$949,$A135,'09월 화학성분'!$D$12:$D$949,$B135)))</f>
        <v/>
      </c>
      <c r="M135" s="845" t="str">
        <f>IF($C135&lt;1,"",(AVERAGEIFS('09월 화학성분'!J$12:J$949,'09월 화학성분'!$A$12:$A$949,$A135,'09월 화학성분'!$D$12:$D$949,$B135)))</f>
        <v/>
      </c>
      <c r="N135" s="845" t="str">
        <f>IF($C135&lt;1,"",(AVERAGEIFS('09월 화학성분'!K$12:K$949,'09월 화학성분'!$A$12:$A$949,$A135,'09월 화학성분'!$D$12:$D$949,$B135)))</f>
        <v/>
      </c>
      <c r="O135" s="845" t="str">
        <f>IF($C135&lt;1,"",(AVERAGEIFS('09월 화학성분'!L$12:L$949,'09월 화학성분'!$A$12:$A$949,$A135,'09월 화학성분'!$D$12:$D$949,$B135)))</f>
        <v/>
      </c>
      <c r="P135" s="845" t="str">
        <f>IF($C135&lt;1,"",(AVERAGEIFS('09월 화학성분'!M$12:M$949,'09월 화학성분'!$A$12:$A$949,$A135,'09월 화학성분'!$D$12:$D$949,$B135)))</f>
        <v/>
      </c>
      <c r="Q135" s="827" t="str">
        <f>IFERROR(IF($C135&lt;1,"",(AVERAGEIFS('09월 조업일지'!$AA$12:$AA$952,'09월 조업일지'!$A$12:$A$952,$A135,'09월 조업일지'!$E$12:$E$952,$B135))),"")</f>
        <v/>
      </c>
      <c r="R135" s="845" t="str">
        <f>IF($C135&lt;1,"",(AVERAGEIFS('09월 조업일지'!$AK$12:$AK$952,'09월 조업일지'!$A$12:$A$952,$A135,'09월 조업일지'!$E$12:$E$952,$B135)))</f>
        <v/>
      </c>
      <c r="S135" s="845"/>
      <c r="T135" s="845"/>
      <c r="U135" s="845" t="str">
        <f>IF($C135&lt;1,"",(AVERAGEIFS('09월 화학성분'!$G$12:$G$949,'09월 화학성분'!$A$12:$A$949,$A135,'09월 화학성분'!$D$12:$D$949,$B135)))</f>
        <v/>
      </c>
      <c r="V135" s="845" t="str">
        <f>IF($C135&lt;1,"",(AVERAGEIFS('09월 조업일지'!$AI$12:$AI$952,'09월 조업일지'!$A$12:$A$952,$A135,'09월 조업일지'!$E$12:$E$952,$B135)))</f>
        <v/>
      </c>
      <c r="W135" s="846" t="str">
        <f>IF($C135&lt;1,"",(AVERAGEIFS('09월 화학성분'!$AM$12:$AM$949,'09월 화학성분'!$A$12:$A$949,$A135,'09월 화학성분'!$D$12:$D$949,$B135)))</f>
        <v/>
      </c>
      <c r="X135" s="829" t="str">
        <f>IF($C135&lt;1,"",(AVERAGEIFS('09월 화학성분'!N$12:N$949,'09월 화학성분'!$A$12:$A$949,$A135,'09월 화학성분'!$D$12:$D$949,$B135)))</f>
        <v/>
      </c>
      <c r="Y135" s="829" t="str">
        <f>IF($C135&lt;1,"",(AVERAGEIFS('09월 화학성분'!O$12:O$949,'09월 화학성분'!$A$12:$A$949,$A135,'09월 화학성분'!$D$12:$D$949,$B135)))</f>
        <v/>
      </c>
      <c r="Z135" s="829" t="str">
        <f>IF($C135&lt;1,"",(AVERAGEIFS('09월 화학성분'!P$12:P$949,'09월 화학성분'!$A$12:$A$949,$A135,'09월 화학성분'!$D$12:$D$949,$B135)))</f>
        <v/>
      </c>
      <c r="AA135" s="829" t="str">
        <f>IF($C135&lt;1,"",(AVERAGEIFS('09월 화학성분'!Q$12:Q$949,'09월 화학성분'!$A$12:$A$949,$A135,'09월 화학성분'!$D$12:$D$949,$B135)))</f>
        <v/>
      </c>
      <c r="AB135" s="829" t="str">
        <f>IF($C135&lt;1,"",(AVERAGEIFS('09월 화학성분'!R$12:R$949,'09월 화학성분'!$A$12:$A$949,$A135,'09월 화학성분'!$D$12:$D$949,$B135)))</f>
        <v/>
      </c>
      <c r="AC135" s="829" t="str">
        <f>IF($C135&lt;1,"",(AVERAGEIFS('09월 화학성분'!U$12:U$949,'09월 화학성분'!$A$12:$A$949,$A135,'09월 화학성분'!$D$12:$D$949,$B135)))</f>
        <v/>
      </c>
      <c r="AD135" s="829" t="str">
        <f>IF($C135&lt;1,"",(AVERAGEIFS('09월 화학성분'!V$12:V$949,'09월 화학성분'!$A$12:$A$949,$A135,'09월 화학성분'!$D$12:$D$949,$B135)))</f>
        <v/>
      </c>
      <c r="AE135" s="829" t="str">
        <f>IF($C135&lt;1,"",(AVERAGEIFS('09월 화학성분'!W$12:W$949,'09월 화학성분'!$A$12:$A$949,$A135,'09월 화학성분'!$D$12:$D$949,$B135)))</f>
        <v/>
      </c>
      <c r="AF135" s="829" t="str">
        <f>IF($C135&lt;1,"",(AVERAGEIFS('09월 화학성분'!AA$12:AA$949,'09월 화학성분'!$A$12:$A$949,$A135,'09월 화학성분'!$D$12:$D$949,$B135)))</f>
        <v/>
      </c>
      <c r="AG135" s="829" t="str">
        <f>IF($C135&lt;1,"",(AVERAGEIFS('09월 화학성분'!#REF!,'09월 화학성분'!$A$12:$A$949,$A135,'09월 화학성분'!$D$12:$D$949,$B135)))</f>
        <v/>
      </c>
      <c r="AH135" s="829" t="str">
        <f>IF($C135&lt;1,"",(AVERAGEIFS('09월 화학성분'!AB$12:AB$949,'09월 화학성분'!$A$12:$A$949,$A135,'09월 화학성분'!$D$12:$D$949,$B135)))</f>
        <v/>
      </c>
      <c r="AI135" s="829" t="str">
        <f>IF($C135&lt;1,"",(AVERAGEIFS('09월 화학성분'!AC$12:AC$949,'09월 화학성분'!$A$12:$A$949,$A135,'09월 화학성분'!$D$12:$D$949,$B135)))</f>
        <v/>
      </c>
      <c r="AJ135" s="829" t="str">
        <f>IF($C135&lt;1,"",(AVERAGEIFS('09월 화학성분'!AD$12:AD$949,'09월 화학성분'!$A$12:$A$949,$A135,'09월 화학성분'!$D$12:$D$949,$B135)))</f>
        <v/>
      </c>
      <c r="AK135" s="829" t="str">
        <f>IF($C135&lt;1,"",(AVERAGEIFS('09월 화학성분'!AF$12:AF$949,'09월 화학성분'!$A$12:$A$949,$A135,'09월 화학성분'!$D$12:$D$949,$B135)))</f>
        <v/>
      </c>
      <c r="AL135" s="829" t="str">
        <f>IF($C135&lt;1,"",(AVERAGEIFS('09월 화학성분'!AG$12:AG$949,'09월 화학성분'!$A$12:$A$949,$A135,'09월 화학성분'!$D$12:$D$949,$B135)))</f>
        <v/>
      </c>
      <c r="AM135" s="829" t="str">
        <f>IF($C135&lt;1,"",(AVERAGEIFS('09월 화학성분'!AH$12:AH$949,'09월 화학성분'!$A$12:$A$949,$A135,'09월 화학성분'!$D$12:$D$949,$B135)))</f>
        <v/>
      </c>
      <c r="AN135" s="829" t="str">
        <f>IF($C135&lt;1,"",(AVERAGEIFS('09월 화학성분'!AI$12:AI$949,'09월 화학성분'!$A$12:$A$949,$A135,'09월 화학성분'!$D$12:$D$949,$B135)))</f>
        <v/>
      </c>
      <c r="AO135" s="829" t="str">
        <f>IF($C135&lt;1,"",(AVERAGEIFS('09월 화학성분'!AJ$12:AJ$949,'09월 화학성분'!$A$12:$A$949,$A135,'09월 화학성분'!$D$12:$D$949,$B135)))</f>
        <v/>
      </c>
      <c r="AP135" s="829" t="str">
        <f>IF($C135&lt;1,"",(AVERAGEIFS('09월 화학성분'!#REF!,'09월 화학성분'!$A$12:$A$949,$A135,'09월 화학성분'!$D$12:$D$949,$B135)))</f>
        <v/>
      </c>
      <c r="AQ135" s="829" t="str">
        <f>IF($C135&lt;1,"",(AVERAGEIFS('09월 화학성분'!AL$12:AL$949,'09월 화학성분'!$A$12:$A$949,$A135,'09월 화학성분'!$D$12:$D$949,$B135)))</f>
        <v/>
      </c>
      <c r="AR135" s="829" t="str">
        <f>IF($C135&lt;1,"",(AVERAGEIFS('09월 화학성분'!AM$12:AM$949,'09월 화학성분'!$A$12:$A$949,$A135,'09월 화학성분'!$D$12:$D$949,$B135)))</f>
        <v/>
      </c>
      <c r="AS135" s="830" t="str">
        <f>IF($C135&lt;1,"",(AVERAGEIFS('09월 화학성분'!AN$12:AN$949,'09월 화학성분'!$A$12:$A$949,$A135,'09월 화학성분'!$D$12:$D$949,$B135)))</f>
        <v/>
      </c>
      <c r="AT135" s="830" t="str">
        <f>IF($C135&lt;1,"",(AVERAGEIFS('09월 화학성분'!AO$12:AO$949,'09월 화학성분'!$A$12:$A$949,$A135,'09월 화학성분'!$D$12:$D$949,$B135)))</f>
        <v/>
      </c>
      <c r="AU135" s="831" t="str">
        <f>IF($C135&lt;1,"",(AVERAGEIFS('09월 화학성분'!AP$12:AP$949,'09월 화학성분'!$A$12:$A$949,$A135,'09월 화학성분'!$D$12:$D$949,$B135)))</f>
        <v/>
      </c>
      <c r="AV135" s="832" t="str">
        <f>IF($C135&lt;1,"",(AVERAGEIFS('09월 고철장입'!G$14:G$949,'09월 고철장입'!$A$14:$A$949,$A135,'09월 고철장입'!$C$14:$C$949,$B135))/1000)</f>
        <v/>
      </c>
      <c r="AW135" s="832" t="str">
        <f>IF($C135&lt;1,"",(AVERAGEIFS('09월 고철장입'!H$14:H$949,'09월 고철장입'!$A$14:$A$949,$A135,'09월 고철장입'!$C$14:$C$949,$B135))/1000)</f>
        <v/>
      </c>
      <c r="AX135" s="832" t="str">
        <f>IF($C135&lt;1,"",(AVERAGEIFS('09월 고철장입'!I$14:I$949,'09월 고철장입'!$A$14:$A$949,$A135,'09월 고철장입'!$C$14:$C$949,$B135))/1000)</f>
        <v/>
      </c>
      <c r="AY135" s="832" t="str">
        <f>IF($C135&lt;1,"",(AVERAGEIFS('09월 고철장입'!J$14:J$949,'09월 고철장입'!$A$14:$A$949,$A135,'09월 고철장입'!$C$14:$C$949,$B135))/1000)</f>
        <v/>
      </c>
      <c r="AZ135" s="832" t="str">
        <f>IF($C135&lt;1,"",(AVERAGEIFS('09월 고철장입'!K$14:K$949,'09월 고철장입'!$A$14:$A$949,$A135,'09월 고철장입'!$C$14:$C$949,$B135))/1000)</f>
        <v/>
      </c>
      <c r="BA135" s="832" t="str">
        <f>IF($C135&lt;1,"",(AVERAGEIFS('09월 고철장입'!L$14:L$949,'09월 고철장입'!$A$14:$A$949,$A135,'09월 고철장입'!$C$14:$C$949,$B135))/1000)</f>
        <v/>
      </c>
      <c r="BB135" s="832" t="str">
        <f>IF($C135&lt;1,"",(AVERAGEIFS('09월 고철장입'!M$14:M$949,'09월 고철장입'!$A$14:$A$949,$A135,'09월 고철장입'!$C$14:$C$949,$B135))/1000)</f>
        <v/>
      </c>
      <c r="BC135" s="832" t="str">
        <f>IF($C135&lt;1,"",(AVERAGEIFS('09월 고철장입'!N$14:N$949,'09월 고철장입'!$A$14:$A$949,$A135,'09월 고철장입'!$C$14:$C$949,$B135))/1000)</f>
        <v/>
      </c>
      <c r="BD135" s="832" t="str">
        <f>IF($C135&lt;1,"",(AVERAGEIFS('09월 고철장입'!O$14:O$949,'09월 고철장입'!$A$14:$A$949,$A135,'09월 고철장입'!$C$14:$C$949,$B135))/1000)</f>
        <v/>
      </c>
      <c r="BE135" s="833" t="str">
        <f>IF($C135&lt;1,"",(AVERAGEIFS('09월 고철장입'!P$14:P$949,'09월 고철장입'!$A$14:$A$949,$A135,'09월 고철장입'!$C$14:$C$949,$B135))/1000)</f>
        <v/>
      </c>
      <c r="BF135" s="833" t="str">
        <f>IF($C135&lt;1,"",(AVERAGEIFS('09월 고철장입'!Q$14:Q$949,'09월 고철장입'!$A$14:$A$949,$A135,'09월 고철장입'!$C$14:$C$949,$B135))/1000)</f>
        <v/>
      </c>
      <c r="BG135" s="833" t="str">
        <f>IF($C135&lt;1,"",(AVERAGEIFS('09월 고철장입'!S$14:S$949,'09월 고철장입'!$A$14:$A$949,$A135,'09월 고철장입'!$C$14:$C$949,$B135))/1000)</f>
        <v/>
      </c>
      <c r="BH135" s="833" t="str">
        <f>IF($C135&lt;1,"",(AVERAGEIFS('09월 고철장입'!T$14:T$949,'09월 고철장입'!$A$14:$A$949,$A135,'09월 고철장입'!$C$14:$C$949,$B135))/1000)</f>
        <v/>
      </c>
      <c r="BI135" s="833" t="str">
        <f>IF($C135&lt;1,"",(AVERAGEIFS('09월 고철장입'!U$14:U$949,'09월 고철장입'!$A$14:$A$949,$A135,'09월 고철장입'!$C$14:$C$949,$B135))/1000)</f>
        <v/>
      </c>
      <c r="BJ135" s="833" t="str">
        <f>IF($C135&lt;1,"",(AVERAGEIFS('09월 고철장입'!V$14:V$949,'09월 고철장입'!$A$14:$A$949,$A135,'09월 고철장입'!$C$14:$C$949,$B135))/1000)</f>
        <v/>
      </c>
      <c r="BK135" s="833" t="str">
        <f>IF($C135&lt;1,"",(AVERAGEIFS('09월 고철장입'!W$14:W$949,'09월 고철장입'!$A$14:$A$949,$A135,'09월 고철장입'!$C$14:$C$949,$B135))/1000)</f>
        <v/>
      </c>
      <c r="BL135" s="833" t="str">
        <f>IF($C135&lt;1,"",(AVERAGEIFS('09월 고철장입'!Y$14:Y$949,'09월 고철장입'!$A$14:$A$949,$A135,'09월 고철장입'!$C$14:$C$949,$B135))/1000)</f>
        <v/>
      </c>
      <c r="BM135" s="833" t="str">
        <f>IF($C135&lt;1,"",(AVERAGEIFS('09월 고철장입'!AB$14:AB$949,'09월 고철장입'!$A$14:$A$949,$A135,'09월 고철장입'!$C$14:$C$949,$B135))/1000)</f>
        <v/>
      </c>
      <c r="BN135" s="833" t="str">
        <f>IF($C135&lt;1,"",(AVERAGEIFS('09월 고철장입'!AC$14:AC$949,'09월 고철장입'!$A$14:$A$949,$A135,'09월 고철장입'!$C$14:$C$949,$B135))/1000)</f>
        <v/>
      </c>
      <c r="BO135" s="833" t="str">
        <f>IF($C135&lt;1,"",(AVERAGEIFS('09월 고철장입'!AD$14:AD$949,'09월 고철장입'!$A$14:$A$949,$A135,'09월 고철장입'!$C$14:$C$949,$B135))/1000)</f>
        <v/>
      </c>
      <c r="BP135" s="833" t="str">
        <f>IF($C135&lt;1,"",(AVERAGEIFS('09월 고철장입'!AE$14:AE$949,'09월 고철장입'!$A$14:$A$949,$A135,'09월 고철장입'!$C$14:$C$949,$B135))/1000)</f>
        <v/>
      </c>
      <c r="BQ135" s="832" t="str">
        <f>IF($C135&lt;1,"",(AVERAGEIFS('09월 고철장입'!AF$14:AF$949,'09월 고철장입'!$A$14:$A$949,$A135,'09월 고철장입'!$C$14:$C$949,$B135))/1000)</f>
        <v/>
      </c>
      <c r="BR135" s="832" t="str">
        <f>IF($C135&lt;1,"",(AVERAGEIFS('09월 고철장입'!AG$14:AG$949,'09월 고철장입'!$A$14:$A$949,$A135,'09월 고철장입'!$C$14:$C$949,$B135))/1000)</f>
        <v/>
      </c>
      <c r="BS135" s="832" t="str">
        <f>IF($C135&lt;1,"",(AVERAGEIFS('09월 고철장입'!AH$14:AH$949,'09월 고철장입'!$A$14:$A$949,$A135,'09월 고철장입'!$C$14:$C$949,$B135))/1000)</f>
        <v/>
      </c>
      <c r="BT135" s="832" t="str">
        <f>IF($C135&lt;1,"",(AVERAGEIFS('09월 고철장입'!AI$14:AI$949,'09월 고철장입'!$A$14:$A$949,$A135,'09월 고철장입'!$C$14:$C$949,$B135))/1000)</f>
        <v/>
      </c>
      <c r="BU135" s="834" t="str">
        <f>IF($C135&lt;1,"",(AVERAGEIFS('09월 고철장입'!AJ$14:AJ$949,'09월 고철장입'!$A$14:$A$949,$A135,'09월 고철장입'!$C$14:$C$949,$B135))/1000)</f>
        <v/>
      </c>
      <c r="BV135" s="834" t="str">
        <f>IF($C135&lt;1,"",(AVERAGEIFS('09월 고철장입'!AK$14:AK$949,'09월 고철장입'!$A$14:$A$949,$A135,'09월 고철장입'!$C$14:$C$949,$B135)))</f>
        <v/>
      </c>
      <c r="BW135" s="834" t="str">
        <f>IF($C135&lt;1,"",(AVERAGEIFS('09월 고철장입'!AL$14:AL$949,'09월 고철장입'!$A$14:$A$949,$A135,'09월 고철장입'!$C$14:$C$949,$B135))*100)</f>
        <v/>
      </c>
      <c r="BX135" s="831" t="str">
        <f>IF($C135&lt;1,"",(AVERAGEIFS('09월 에너지'!G$14:G$949,'09월 에너지'!$A$14:$A$949,$A135,'09월 에너지'!$C$14:$C$949,$B135)))</f>
        <v/>
      </c>
      <c r="BY135" s="835" t="str">
        <f>IF($C135&lt;1,"",(AVERAGEIFS('09월 에너지'!H$14:H$949,'09월 에너지'!$A$14:$A$949,$A135,'09월 에너지'!$C$14:$C$949,$B135)))</f>
        <v/>
      </c>
      <c r="BZ135" s="831" t="str">
        <f>IF($C135&lt;1,"",(AVERAGEIFS('09월 에너지'!I$14:I$949,'09월 에너지'!$A$14:$A$949,$A135,'09월 에너지'!$C$14:$C$949,$B135)))</f>
        <v/>
      </c>
      <c r="CA135" s="835" t="str">
        <f>IF($C135&lt;1,"",(AVERAGEIFS('09월 에너지'!J$14:J$949,'09월 에너지'!$A$14:$A$949,$A135,'09월 에너지'!$C$14:$C$949,$B135)))</f>
        <v/>
      </c>
      <c r="CB135" s="831" t="str">
        <f>IF($C135&lt;1,"",(AVERAGEIFS('09월 에너지'!K$14:K$949,'09월 에너지'!$A$14:$A$949,$A135,'09월 에너지'!$C$14:$C$949,$B135)))</f>
        <v/>
      </c>
      <c r="CC135" s="835" t="str">
        <f>IF($C135&lt;1,"",(AVERAGEIFS('09월 에너지'!L$14:L$949,'09월 에너지'!$A$14:$A$949,$A135,'09월 에너지'!$C$14:$C$949,$B135)))</f>
        <v/>
      </c>
      <c r="CD135" s="831" t="str">
        <f>IF($C135&lt;1,"",(AVERAGEIFS('09월 에너지'!M$14:M$949,'09월 에너지'!$A$14:$A$949,$A135,'09월 에너지'!$C$14:$C$949,$B135)))</f>
        <v/>
      </c>
      <c r="CE135" s="835" t="str">
        <f>IF($C135&lt;1,"",(AVERAGEIFS('09월 에너지'!N$14:N$949,'09월 에너지'!$A$14:$A$949,$A135,'09월 에너지'!$C$14:$C$949,$B135)))</f>
        <v/>
      </c>
      <c r="CF135" s="831" t="str">
        <f>IF($C135&lt;1,"",(AVERAGEIFS('09월 에너지'!O$14:O$949,'09월 에너지'!$A$14:$A$949,$A135,'09월 에너지'!$C$14:$C$949,$B135)))</f>
        <v/>
      </c>
      <c r="CG135" s="831" t="str">
        <f>IF($C135&lt;1,"",(AVERAGEIFS('09월 에너지'!P$14:P$949,'09월 에너지'!$A$14:$A$949,$A135,'09월 에너지'!$C$14:$C$949,$B135)))</f>
        <v/>
      </c>
      <c r="CH135" s="831" t="str">
        <f>IF($C135&lt;1,"",(AVERAGEIFS('09월 에너지'!Q$14:Q$949,'09월 에너지'!$A$14:$A$949,$A135,'09월 에너지'!$C$14:$C$949,$B135)))</f>
        <v/>
      </c>
      <c r="CI135" s="831" t="str">
        <f>IF($C135&lt;1,"",(AVERAGEIFS('09월 에너지'!R$14:R$949,'09월 에너지'!$A$14:$A$949,$A135,'09월 에너지'!$C$14:$C$949,$B135)))</f>
        <v/>
      </c>
      <c r="CJ135" s="831" t="str">
        <f>IF($C135&lt;1,"",(AVERAGEIFS('09월 에너지'!S$14:S$949,'09월 에너지'!$A$14:$A$949,$A135,'09월 에너지'!$C$14:$C$949,$B135)))</f>
        <v/>
      </c>
      <c r="CK135" s="831" t="str">
        <f>IF($C135&lt;1,"",(AVERAGEIFS('09월 에너지'!T$14:T$949,'09월 에너지'!$A$14:$A$949,$A135,'09월 에너지'!$C$14:$C$949,$B135)))</f>
        <v/>
      </c>
      <c r="CL135" s="831" t="str">
        <f>IF($C135&lt;1,"",(AVERAGEIFS('09월 에너지'!U$14:U$949,'09월 에너지'!$A$14:$A$949,$A135,'09월 에너지'!$C$14:$C$949,$B135)))</f>
        <v/>
      </c>
      <c r="CM135" s="835" t="str">
        <f>IF($C135&lt;1,"",(AVERAGEIFS('09월 에너지'!V$14:V$949,'09월 에너지'!$A$14:$A$949,$A135,'09월 에너지'!$C$14:$C$949,$B135)))</f>
        <v/>
      </c>
      <c r="CN135" s="835" t="str">
        <f>IF($C135&lt;1,"",(AVERAGEIFS('09월 에너지'!W$14:W$949,'09월 에너지'!$A$14:$A$949,$A135,'09월 에너지'!$C$14:$C$949,$B135)))</f>
        <v/>
      </c>
      <c r="CO135" s="831" t="str">
        <f>IF($C135&lt;1,"",(AVERAGEIFS('09월 에너지'!X$14:X$949,'09월 에너지'!$A$14:$A$949,$A135,'09월 에너지'!$C$14:$C$949,$B135)))</f>
        <v/>
      </c>
      <c r="CP135" s="835" t="str">
        <f>IF($C135&lt;1,"",(AVERAGEIFS('09월 에너지'!Y$14:Y$949,'09월 에너지'!$A$14:$A$949,$A135,'09월 에너지'!$C$14:$C$949,$B135)))</f>
        <v/>
      </c>
      <c r="CQ135" s="835" t="str">
        <f>IF($C135&lt;1,"",(AVERAGEIFS('09월 에너지'!Z$14:Z$949,'09월 에너지'!$A$14:$A$949,$A135,'09월 에너지'!$C$14:$C$949,$B135)))</f>
        <v/>
      </c>
      <c r="CR135" s="835" t="str">
        <f>IF($C135&lt;1,"",(AVERAGEIFS('09월 에너지'!AA$14:AA$949,'09월 에너지'!$A$14:$A$949,$A135,'09월 에너지'!$C$14:$C$949,$B135)))</f>
        <v/>
      </c>
      <c r="CS135" s="835" t="str">
        <f>IF($C135&lt;1,"",(AVERAGEIFS('09월 에너지'!AB$14:AB$949,'09월 에너지'!$A$14:$A$949,$A135,'09월 에너지'!$C$14:$C$949,$B135)))</f>
        <v/>
      </c>
      <c r="CT135" s="831" t="str">
        <f>IF($C135&lt;1,"",(AVERAGEIFS('09월 에너지'!AC$14:AC$949,'09월 에너지'!$A$14:$A$949,$A135,'09월 에너지'!$C$14:$C$949,$B135)))</f>
        <v/>
      </c>
      <c r="CU135" s="836" t="str">
        <f>IF($C135&lt;1,"",(AVERAGEIFS('09월 에너지'!AD$14:AD$949,'09월 에너지'!$A$14:$A$949,$A135,'09월 에너지'!$C$14:$C$949,$B135)))</f>
        <v/>
      </c>
      <c r="CV135" s="837" t="str">
        <f>IF($C135&lt;1,"",(AVERAGEIFS('09월 에너지'!AE$14:AE$949,'09월 에너지'!$A$14:$A$949,$A135,'09월 에너지'!$C$14:$C$949,$B135)))</f>
        <v/>
      </c>
      <c r="CW135" s="831" t="str">
        <f>IF($C135&lt;1,"",(AVERAGEIFS('09월 에너지'!AF$14:AF$949,'09월 에너지'!$A$14:$A$949,$A135,'09월 에너지'!$C$14:$C$949,$B135)))</f>
        <v/>
      </c>
      <c r="CX135" s="831" t="str">
        <f>IF($C135&lt;1,"",(AVERAGEIFS('09월 에너지'!AG$14:AG$949,'09월 에너지'!$A$14:$A$949,$A135,'09월 에너지'!$C$14:$C$949,$B135)))</f>
        <v/>
      </c>
      <c r="CY135" s="831" t="str">
        <f>IF($C135&lt;1,"",(AVERAGEIFS('09월 에너지'!AH$14:AH$949,'09월 에너지'!$A$14:$A$949,$A135,'09월 에너지'!$C$14:$C$949,$B135)))</f>
        <v/>
      </c>
      <c r="CZ135" s="831" t="str">
        <f>IF($C135&lt;1,"",(AVERAGEIFS('09월 에너지'!AI$14:AI$949,'09월 에너지'!$A$14:$A$949,$A135,'09월 에너지'!$C$14:$C$949,$B135)))</f>
        <v/>
      </c>
      <c r="DA135" s="838" t="str">
        <f>IF($C135&lt;1,"",(AVERAGEIFS('09월 에너지'!AJ$14:AJ$949,'09월 에너지'!$A$14:$A$949,$A135,'09월 에너지'!$C$14:$C$949,$B135)))</f>
        <v/>
      </c>
    </row>
    <row r="136" spans="1:105" ht="13.5" customHeight="1">
      <c r="A136" s="847">
        <f>A131+1</f>
        <v>44953</v>
      </c>
      <c r="B136" s="848" t="s">
        <v>31</v>
      </c>
      <c r="C136" s="810">
        <f>COUNTIF('09월 조업일지'!$A$12:$A$952,A136)</f>
        <v>0</v>
      </c>
      <c r="D136" s="787" t="str">
        <f>IF(C136&lt;1,"",F136-E136)</f>
        <v/>
      </c>
      <c r="E136" s="787" t="str">
        <f>IF($C136&lt;1,"",(SUMIF('09월 조업일지'!$A$12:$A$952,$A136,'09월 조업일지'!$K$12:$K$952))/C136)</f>
        <v/>
      </c>
      <c r="F136" s="787" t="str">
        <f>IF($C136&lt;1,"",AVERAGEIF('09월 조업일지'!$A$12:$A$952,$A136,'09월 조업일지'!$J$12:$J$952))</f>
        <v/>
      </c>
      <c r="G136" s="811" t="str">
        <f>IF($C136&lt;1,"",AVERAGEIF('09월 에너지'!$A$14:$A$949,$A136,'09월 에너지'!$M$14:M$949))</f>
        <v/>
      </c>
      <c r="H136" s="812" t="str">
        <f>IF($C136&lt;1,"",AVERAGEIF('09월 조업일지'!$A$12:$A$952,$A136,'09월 조업일지'!$AJ$12:$AJ$952))</f>
        <v/>
      </c>
      <c r="I136" s="812" t="str">
        <f>IF($C136&lt;1,"",AVERAGEIF('09월 조업일지'!$A$12:$A$952,$A136,'09월 조업일지'!$AL$12:$AL$952))</f>
        <v/>
      </c>
      <c r="J136" s="813" t="str">
        <f>IF($C136&lt;1,"",AVERAGEIF('09월 화학성분'!$A$12:$A$949,$A136,'09월 화학성분'!G$12:G$949))</f>
        <v/>
      </c>
      <c r="K136" s="813" t="str">
        <f>IF($C136&lt;1,"",AVERAGEIF('09월 화학성분'!$A$12:$A$949,$A136,'09월 화학성분'!H$12:H$949))</f>
        <v/>
      </c>
      <c r="L136" s="813" t="str">
        <f>IF($C136&lt;1,"",AVERAGEIF('09월 화학성분'!$A$12:$A$949,$A136,'09월 화학성분'!I$12:I$949))</f>
        <v/>
      </c>
      <c r="M136" s="813" t="str">
        <f>IF($C136&lt;1,"",AVERAGEIF('09월 화학성분'!$A$12:$A$949,$A136,'09월 화학성분'!J$12:J$949))</f>
        <v/>
      </c>
      <c r="N136" s="813" t="str">
        <f>IF($C136&lt;1,"",AVERAGEIF('09월 화학성분'!$A$12:$A$949,$A136,'09월 화학성분'!K$12:K$949))</f>
        <v/>
      </c>
      <c r="O136" s="813" t="str">
        <f>IF($C136&lt;1,"",AVERAGEIF('09월 화학성분'!$A$12:$A$949,$A136,'09월 화학성분'!L$12:L$949))</f>
        <v/>
      </c>
      <c r="P136" s="813" t="str">
        <f>IF($C136&lt;1,"",AVERAGEIF('09월 화학성분'!$A$12:$A$949,$A136,'09월 화학성분'!M$12:M$949))</f>
        <v/>
      </c>
      <c r="Q136" s="814" t="str">
        <f>IF($C136&lt;1,"",AVERAGEIF('09월 조업일지'!$A$12:$A$952,$A136,'09월 조업일지'!$AA$12:$AA$952))</f>
        <v/>
      </c>
      <c r="R136" s="814" t="str">
        <f>IF($C136&lt;1,"",AVERAGEIF('09월 조업일지'!$A$12:$A$952,$A136,'09월 조업일지'!$AK$12:$AK$952))</f>
        <v/>
      </c>
      <c r="S136" s="814"/>
      <c r="T136" s="814"/>
      <c r="U136" s="813" t="str">
        <f>IF($C136&lt;1,"",AVERAGEIF('09월 화학성분'!$A$12:$A$949,$A136,'09월 화학성분'!$G$12:$G$949))</f>
        <v/>
      </c>
      <c r="V136" s="814" t="str">
        <f>IF($C136&lt;1,"",AVERAGEIF('09월 조업일지'!$A$12:$A$952,$A136,'09월 조업일지'!$AI$12:$AI$952))</f>
        <v/>
      </c>
      <c r="W136" s="813" t="str">
        <f>IF($C136&lt;1,"",AVERAGEIF('09월 화학성분'!$A$12:$A$949,$A136,'09월 화학성분'!$AM$12:$AM$949))</f>
        <v/>
      </c>
      <c r="X136" s="815" t="str">
        <f>IF($C136&lt;1,"",AVERAGEIF('09월 화학성분'!$A$12:$A$949,$A136,'09월 화학성분'!N$12:N$949))</f>
        <v/>
      </c>
      <c r="Y136" s="815" t="str">
        <f>IF($C136&lt;1,"",AVERAGEIF('09월 화학성분'!$A$12:$A$949,$A136,'09월 화학성분'!O$12:O$949))</f>
        <v/>
      </c>
      <c r="Z136" s="815" t="str">
        <f>IF($C136&lt;1,"",AVERAGEIF('09월 화학성분'!$A$12:$A$949,$A136,'09월 화학성분'!P$12:P$949))</f>
        <v/>
      </c>
      <c r="AA136" s="815" t="str">
        <f>IF($C136&lt;1,"",AVERAGEIF('09월 화학성분'!$A$12:$A$949,$A136,'09월 화학성분'!Q$12:Q$949))</f>
        <v/>
      </c>
      <c r="AB136" s="815" t="str">
        <f>IF($C136&lt;1,"",AVERAGEIF('09월 화학성분'!$A$12:$A$949,$A136,'09월 화학성분'!R$12:R$949))</f>
        <v/>
      </c>
      <c r="AC136" s="815" t="str">
        <f>IF($C136&lt;1,"",AVERAGEIF('09월 화학성분'!$A$12:$A$949,$A136,'09월 화학성분'!U$12:U$949))</f>
        <v/>
      </c>
      <c r="AD136" s="815" t="str">
        <f>IF($C136&lt;1,"",AVERAGEIF('09월 화학성분'!$A$12:$A$949,$A136,'09월 화학성분'!V$12:V$949))</f>
        <v/>
      </c>
      <c r="AE136" s="815" t="str">
        <f>IF($C136&lt;1,"",AVERAGEIF('09월 화학성분'!$A$12:$A$949,$A136,'09월 화학성분'!W$12:W$949))</f>
        <v/>
      </c>
      <c r="AF136" s="815" t="str">
        <f>IF($C136&lt;1,"",AVERAGEIF('09월 화학성분'!$A$12:$A$949,$A136,'09월 화학성분'!AA$12:AA$949))</f>
        <v/>
      </c>
      <c r="AG136" s="815" t="str">
        <f>IF($C136&lt;1,"",AVERAGEIF('09월 화학성분'!$A$12:$A$949,$A136,'09월 화학성분'!#REF!))</f>
        <v/>
      </c>
      <c r="AH136" s="815" t="str">
        <f>IF($C136&lt;1,"",AVERAGEIF('09월 화학성분'!$A$12:$A$949,$A136,'09월 화학성분'!AB$12:AB$949))</f>
        <v/>
      </c>
      <c r="AI136" s="815" t="str">
        <f>IF($C136&lt;1,"",AVERAGEIF('09월 화학성분'!$A$12:$A$949,$A136,'09월 화학성분'!AC$12:AC$949))</f>
        <v/>
      </c>
      <c r="AJ136" s="815" t="str">
        <f>IF($C136&lt;1,"",AVERAGEIF('09월 화학성분'!$A$12:$A$949,$A136,'09월 화학성분'!AD$12:AD$949))</f>
        <v/>
      </c>
      <c r="AK136" s="815" t="str">
        <f>IF($C136&lt;1,"",AVERAGEIF('09월 화학성분'!$A$12:$A$949,$A136,'09월 화학성분'!AF$12:AF$949))</f>
        <v/>
      </c>
      <c r="AL136" s="815" t="str">
        <f>IF($C136&lt;1,"",AVERAGEIF('09월 화학성분'!$A$12:$A$949,$A136,'09월 화학성분'!AG$12:AG$949))</f>
        <v/>
      </c>
      <c r="AM136" s="815" t="str">
        <f>IF($C136&lt;1,"",AVERAGEIF('09월 화학성분'!$A$12:$A$949,$A136,'09월 화학성분'!AH$12:AH$949))</f>
        <v/>
      </c>
      <c r="AN136" s="815" t="str">
        <f>IF($C136&lt;1,"",AVERAGEIF('09월 화학성분'!$A$12:$A$949,$A136,'09월 화학성분'!AI$12:AI$949))</f>
        <v/>
      </c>
      <c r="AO136" s="815" t="str">
        <f>IF($C136&lt;1,"",AVERAGEIF('09월 화학성분'!$A$12:$A$949,$A136,'09월 화학성분'!AJ$12:AJ$949))</f>
        <v/>
      </c>
      <c r="AP136" s="815" t="str">
        <f>IF($C136&lt;1,"",AVERAGEIF('09월 화학성분'!$A$12:$A$949,$A136,'09월 화학성분'!#REF!))</f>
        <v/>
      </c>
      <c r="AQ136" s="815" t="str">
        <f>IF($C136&lt;1,"",AVERAGEIF('09월 화학성분'!$A$12:$A$949,$A136,'09월 화학성분'!AL$12:AL$949))</f>
        <v/>
      </c>
      <c r="AR136" s="815" t="str">
        <f>IF($C136&lt;1,"",AVERAGEIF('09월 화학성분'!$A$12:$A$949,$A136,'09월 화학성분'!AM$12:AM$949))</f>
        <v/>
      </c>
      <c r="AS136" s="816" t="str">
        <f>IF($C136&lt;1,"",AVERAGEIF('09월 화학성분'!$A$12:$A$949,$A136,'09월 화학성분'!AN$12:AN$949))</f>
        <v/>
      </c>
      <c r="AT136" s="816" t="str">
        <f>IF($C136&lt;1,"",AVERAGEIF('09월 화학성분'!$A$12:$A$949,$A136,'09월 화학성분'!AO$12:AO$949))</f>
        <v/>
      </c>
      <c r="AU136" s="815" t="str">
        <f>IF($C136&lt;1,"",AVERAGEIF('09월 화학성분'!$A$12:$A$949,$A136,'09월 화학성분'!AP$12:AP$949))</f>
        <v/>
      </c>
      <c r="AV136" s="815" t="str">
        <f>IF($C136&lt;1,"",AVERAGEIF('09월 고철장입'!$A$14:$A$949,$A136,'09월 고철장입'!G$14:G$949)/1000)</f>
        <v/>
      </c>
      <c r="AW136" s="815" t="str">
        <f>IF($C136&lt;1,"",AVERAGEIF('09월 고철장입'!$A$14:$A$949,$A136,'09월 고철장입'!H$14:H$949)/1000)</f>
        <v/>
      </c>
      <c r="AX136" s="815" t="str">
        <f>IF($C136&lt;1,"",AVERAGEIF('09월 고철장입'!$A$14:$A$949,$A136,'09월 고철장입'!I$14:I$949)/1000)</f>
        <v/>
      </c>
      <c r="AY136" s="815" t="str">
        <f>IF($C136&lt;1,"",AVERAGEIF('09월 고철장입'!$A$14:$A$949,$A136,'09월 고철장입'!J$14:J$949)/1000)</f>
        <v/>
      </c>
      <c r="AZ136" s="815" t="str">
        <f>IF($C136&lt;1,"",AVERAGEIF('09월 고철장입'!$A$14:$A$949,$A136,'09월 고철장입'!K$14:K$949)/1000)</f>
        <v/>
      </c>
      <c r="BA136" s="815" t="str">
        <f>IF($C136&lt;1,"",AVERAGEIF('09월 고철장입'!$A$14:$A$949,$A136,'09월 고철장입'!L$14:L$949)/1000)</f>
        <v/>
      </c>
      <c r="BB136" s="815" t="str">
        <f>IF($C136&lt;1,"",AVERAGEIF('09월 고철장입'!$A$14:$A$949,$A136,'09월 고철장입'!M$14:M$949)/1000)</f>
        <v/>
      </c>
      <c r="BC136" s="815" t="str">
        <f>IF($C136&lt;1,"",AVERAGEIF('09월 고철장입'!$A$14:$A$949,$A136,'09월 고철장입'!N$14:N$949)/1000)</f>
        <v/>
      </c>
      <c r="BD136" s="815" t="str">
        <f>IF($C136&lt;1,"",AVERAGEIF('09월 고철장입'!$A$14:$A$949,$A136,'09월 고철장입'!O$14:O$949)/1000)</f>
        <v/>
      </c>
      <c r="BE136" s="815" t="str">
        <f>IF($C136&lt;1,"",AVERAGEIF('09월 고철장입'!$A$14:$A$949,$A136,'09월 고철장입'!P$14:P$949)/1000)</f>
        <v/>
      </c>
      <c r="BF136" s="815" t="str">
        <f>IF($C136&lt;1,"",AVERAGEIF('09월 고철장입'!$A$14:$A$949,$A136,'09월 고철장입'!Q$14:Q$949)/1000)</f>
        <v/>
      </c>
      <c r="BG136" s="815" t="str">
        <f>IF($C136&lt;1,"",AVERAGEIF('09월 고철장입'!$A$14:$A$949,$A136,'09월 고철장입'!S$14:S$949)/1000)</f>
        <v/>
      </c>
      <c r="BH136" s="815" t="str">
        <f>IF($C136&lt;1,"",AVERAGEIF('09월 고철장입'!$A$14:$A$949,$A136,'09월 고철장입'!T$14:T$949)/1000)</f>
        <v/>
      </c>
      <c r="BI136" s="815" t="str">
        <f>IF($C136&lt;1,"",AVERAGEIF('09월 고철장입'!$A$14:$A$949,$A136,'09월 고철장입'!U$14:U$949)/1000)</f>
        <v/>
      </c>
      <c r="BJ136" s="815" t="str">
        <f>IF($C136&lt;1,"",AVERAGEIF('09월 고철장입'!$A$14:$A$949,$A136,'09월 고철장입'!V$14:V$949)/1000)</f>
        <v/>
      </c>
      <c r="BK136" s="815" t="str">
        <f>IF($C136&lt;1,"",AVERAGEIF('09월 고철장입'!$A$14:$A$949,$A136,'09월 고철장입'!W$14:W$949)/1000)</f>
        <v/>
      </c>
      <c r="BL136" s="815" t="str">
        <f>IF($C136&lt;1,"",AVERAGEIF('09월 고철장입'!$A$14:$A$949,$A136,'09월 고철장입'!Y$14:Y$949)/1000)</f>
        <v/>
      </c>
      <c r="BM136" s="815" t="str">
        <f>IF($C136&lt;1,"",AVERAGEIF('09월 고철장입'!$A$14:$A$949,$A136,'09월 고철장입'!AB$14:AB$949)/1000)</f>
        <v/>
      </c>
      <c r="BN136" s="815" t="str">
        <f>IF($C136&lt;1,"",AVERAGEIF('09월 고철장입'!$A$14:$A$949,$A136,'09월 고철장입'!AC$14:AC$949)/1000)</f>
        <v/>
      </c>
      <c r="BO136" s="815" t="str">
        <f>IF($C136&lt;1,"",AVERAGEIF('09월 고철장입'!$A$14:$A$949,$A136,'09월 고철장입'!AD$14:AD$949)/1000)</f>
        <v/>
      </c>
      <c r="BP136" s="815" t="str">
        <f>IF($C136&lt;1,"",AVERAGEIF('09월 고철장입'!$A$14:$A$949,$A136,'09월 고철장입'!AE$14:AE$949)/1000)</f>
        <v/>
      </c>
      <c r="BQ136" s="815" t="str">
        <f>IF($C136&lt;1,"",AVERAGEIF('09월 고철장입'!$A$14:$A$949,$A136,'09월 고철장입'!AF$14:AF$949)/1000)</f>
        <v/>
      </c>
      <c r="BR136" s="815" t="str">
        <f>IF($C136&lt;1,"",AVERAGEIF('09월 고철장입'!$A$14:$A$949,$A136,'09월 고철장입'!AG$14:AG$949)/1000)</f>
        <v/>
      </c>
      <c r="BS136" s="815" t="str">
        <f>IF($C136&lt;1,"",AVERAGEIF('09월 고철장입'!$A$14:$A$949,$A136,'09월 고철장입'!AH$14:AH$949)/1000)</f>
        <v/>
      </c>
      <c r="BT136" s="815" t="str">
        <f>IF($C136&lt;1,"",AVERAGEIF('09월 고철장입'!$A$14:$A$949,$A136,'09월 고철장입'!AI$14:AI$949)/1000)</f>
        <v/>
      </c>
      <c r="BU136" s="815" t="str">
        <f>IF($C136&lt;1,"",AVERAGEIF('09월 고철장입'!$A$14:$A$949,$A136,'09월 고철장입'!AJ$14:AJ$949)/1000)</f>
        <v/>
      </c>
      <c r="BV136" s="815" t="str">
        <f>IF($C136&lt;1,"",AVERAGEIF('09월 고철장입'!$A$14:$A$949,$A136,'09월 고철장입'!AK$14:AK$949))</f>
        <v/>
      </c>
      <c r="BW136" s="815" t="str">
        <f>IF($C136&lt;1,"",AVERAGEIF('09월 고철장입'!$A$14:$A$949,$A136,'09월 고철장입'!AL$14:AL$949)*100)</f>
        <v/>
      </c>
      <c r="BX136" s="815" t="str">
        <f>IF($C136&lt;1,"",AVERAGEIF('09월 에너지'!$A$14:$A$949,$A136,'09월 에너지'!G$14:G$949))</f>
        <v/>
      </c>
      <c r="BY136" s="817" t="str">
        <f>IF($C136&lt;1,"",AVERAGEIF('09월 에너지'!$A$14:$A$949,$A136,'09월 에너지'!H$14:H$949))</f>
        <v/>
      </c>
      <c r="BZ136" s="815" t="str">
        <f>IF($C136&lt;1,"",AVERAGEIF('09월 에너지'!$A$14:$A$949,$A136,'09월 에너지'!I$14:I$949))</f>
        <v/>
      </c>
      <c r="CA136" s="817" t="str">
        <f>IF($C136&lt;1,"",AVERAGEIF('09월 에너지'!$A$14:$A$949,$A136,'09월 에너지'!J$14:J$949))</f>
        <v/>
      </c>
      <c r="CB136" s="815" t="str">
        <f>IF($C136&lt;1,"",AVERAGEIF('09월 에너지'!$A$14:$A$949,$A136,'09월 에너지'!K$14:K$949))</f>
        <v/>
      </c>
      <c r="CC136" s="817" t="str">
        <f>IF($C136&lt;1,"",AVERAGEIF('09월 에너지'!$A$14:$A$949,$A136,'09월 에너지'!L$14:L$949))</f>
        <v/>
      </c>
      <c r="CD136" s="815" t="str">
        <f>IF($C136&lt;1,"",AVERAGEIF('09월 에너지'!$A$14:$A$949,$A136,'09월 에너지'!M$14:M$949))</f>
        <v/>
      </c>
      <c r="CE136" s="817" t="str">
        <f>IF($C136&lt;1,"",AVERAGEIF('09월 에너지'!$A$14:$A$949,$A136,'09월 에너지'!N$14:N$949))</f>
        <v/>
      </c>
      <c r="CF136" s="815" t="str">
        <f>IF($C136&lt;1,"",AVERAGEIF('09월 에너지'!$A$14:$A$949,$A136,'09월 에너지'!O$14:O$949))</f>
        <v/>
      </c>
      <c r="CG136" s="815" t="str">
        <f>IF($C136&lt;1,"",AVERAGEIF('09월 에너지'!$A$14:$A$949,$A136,'09월 에너지'!P$14:P$949))</f>
        <v/>
      </c>
      <c r="CH136" s="815" t="str">
        <f>IF($C136&lt;1,"",AVERAGEIF('09월 에너지'!$A$14:$A$949,$A136,'09월 에너지'!Q$14:Q$949))</f>
        <v/>
      </c>
      <c r="CI136" s="815" t="str">
        <f>IF($C136&lt;1,"",AVERAGEIF('09월 에너지'!$A$14:$A$949,$A136,'09월 에너지'!R$14:R$949))</f>
        <v/>
      </c>
      <c r="CJ136" s="815" t="str">
        <f>IF($C136&lt;1,"",AVERAGEIF('09월 에너지'!$A$14:$A$949,$A136,'09월 에너지'!S$14:S$949))</f>
        <v/>
      </c>
      <c r="CK136" s="815" t="str">
        <f>IF($C136&lt;1,"",AVERAGEIF('09월 에너지'!$A$14:$A$949,$A136,'09월 에너지'!T$14:T$949))</f>
        <v/>
      </c>
      <c r="CL136" s="815" t="str">
        <f>IF($C136&lt;1,"",AVERAGEIF('09월 에너지'!$A$14:$A$949,$A136,'09월 에너지'!U$14:U$949))</f>
        <v/>
      </c>
      <c r="CM136" s="817" t="str">
        <f>IF($C136&lt;1,"",AVERAGEIF('09월 에너지'!$A$14:$A$949,$A136,'09월 에너지'!V$14:V$949))</f>
        <v/>
      </c>
      <c r="CN136" s="817" t="str">
        <f>IF($C136&lt;1,"",AVERAGEIF('09월 에너지'!$A$14:$A$949,$A136,'09월 에너지'!W$14:W$949))</f>
        <v/>
      </c>
      <c r="CO136" s="815" t="str">
        <f>IF($C136&lt;1,"",AVERAGEIF('09월 에너지'!$A$14:$A$949,$A136,'09월 에너지'!X$14:X$949))</f>
        <v/>
      </c>
      <c r="CP136" s="817" t="str">
        <f>IF($C136&lt;1,"",AVERAGEIF('09월 에너지'!$A$14:$A$949,$A136,'09월 에너지'!Y$14:Y$949))</f>
        <v/>
      </c>
      <c r="CQ136" s="817" t="str">
        <f>IF($C136&lt;1,"",AVERAGEIF('09월 에너지'!$A$14:$A$949,$A136,'09월 에너지'!Z$14:Z$949))</f>
        <v/>
      </c>
      <c r="CR136" s="817" t="str">
        <f>IF($C136&lt;1,"",AVERAGEIF('09월 에너지'!$A$14:$A$949,$A136,'09월 에너지'!AA$14:AA$949))</f>
        <v/>
      </c>
      <c r="CS136" s="817" t="str">
        <f>IF($C136&lt;1,"",AVERAGEIF('09월 에너지'!$A$14:$A$949,$A136,'09월 에너지'!AB$14:AB$949))</f>
        <v/>
      </c>
      <c r="CT136" s="815" t="str">
        <f>IF($C136&lt;1,"",AVERAGEIF('09월 에너지'!$A$14:$A$949,$A136,'09월 에너지'!AC$14:AC$949))</f>
        <v/>
      </c>
      <c r="CU136" s="818" t="str">
        <f>IF($C136&lt;1,"",AVERAGEIF('09월 에너지'!$A$14:$A$949,$A136,'09월 에너지'!AD$14:AD$949))</f>
        <v/>
      </c>
      <c r="CV136" s="819" t="str">
        <f>IF($C136&lt;1,"",AVERAGEIF('09월 에너지'!$A$14:$A$949,$A136,'09월 에너지'!AE$14:AE$949))</f>
        <v/>
      </c>
      <c r="CW136" s="815" t="str">
        <f>IF($C136&lt;1,"",AVERAGEIF('09월 에너지'!$A$14:$A$949,$A136,'09월 에너지'!AF$14:AF$949))</f>
        <v/>
      </c>
      <c r="CX136" s="815" t="str">
        <f>IF($C136&lt;1,"",AVERAGEIF('09월 에너지'!$A$14:$A$949,$A136,'09월 에너지'!AG$14:AG$949))</f>
        <v/>
      </c>
      <c r="CY136" s="815" t="str">
        <f>IF($C136&lt;1,"",AVERAGEIF('09월 에너지'!$A$14:$A$949,$A136,'09월 에너지'!AH$14:AH$949))</f>
        <v/>
      </c>
      <c r="CZ136" s="815" t="str">
        <f>IF($C136&lt;1,"",AVERAGEIF('09월 에너지'!$A$14:$A$949,$A136,'09월 에너지'!AI$14:AI$949))</f>
        <v/>
      </c>
      <c r="DA136" s="820" t="str">
        <f>IF($C136&lt;1,"",AVERAGEIF('09월 에너지'!$A$14:$A$949,$A136,'09월 에너지'!AJ$14:AJ$949))</f>
        <v/>
      </c>
    </row>
    <row r="137" spans="1:105" ht="13.5" customHeight="1">
      <c r="A137" s="849">
        <f t="shared" si="20"/>
        <v>44953</v>
      </c>
      <c r="B137" s="850" t="s">
        <v>9</v>
      </c>
      <c r="C137" s="823">
        <f>COUNTIFS('09월 조업일지'!$A$12:$A$952,A136,'09월 조업일지'!$E$12:$E$952,B137)</f>
        <v>0</v>
      </c>
      <c r="D137" s="824" t="str">
        <f>IF(C137&lt;1,"",F137-E137)</f>
        <v/>
      </c>
      <c r="E137" s="824" t="str">
        <f>IF($C137&lt;1,"",(SUMIFS('09월 조업일지'!$K$12:$K$952,'09월 조업일지'!$A$12:$A$952,$A137,'09월 조업일지'!$E$12:$E$952,$B137)/$C137))</f>
        <v/>
      </c>
      <c r="F137" s="824" t="str">
        <f>IF($C137&lt;1,"",(AVERAGEIFS('09월 조업일지'!$J$12:$J$952,'09월 조업일지'!$A$12:$A$952,$A137,'09월 조업일지'!$E$12:$E$952,$B137)))</f>
        <v/>
      </c>
      <c r="G137" s="825" t="str">
        <f>IF($C137&lt;1,"",(AVERAGEIFS('09월 에너지'!$M$14:$M$949,'09월 에너지'!$A$14:$A$949,$A137,'09월 에너지'!$C$14:$C$949,$B137)))</f>
        <v/>
      </c>
      <c r="H137" s="826" t="str">
        <f>IF($C137&lt;1,"",(AVERAGEIFS('09월 조업일지'!$AJ$12:$AJ$952,'09월 조업일지'!$A$12:$A$952,$A137,'09월 조업일지'!$E$12:$E$952,$B137)))</f>
        <v/>
      </c>
      <c r="I137" s="826" t="str">
        <f>IF($C137&lt;1,"",(AVERAGEIFS('09월 조업일지'!$AL$12:$AL$952,'09월 조업일지'!$A$12:$A$952,$A137,'09월 조업일지'!$E$12:$E$952,$B137)))</f>
        <v/>
      </c>
      <c r="J137" s="827" t="str">
        <f>IF($C137&lt;1,"",(AVERAGEIFS('09월 화학성분'!G$12:G$949,'09월 화학성분'!$A$12:$A$949,$A137,'09월 화학성분'!$D$12:$D$949,$B137)))</f>
        <v/>
      </c>
      <c r="K137" s="827" t="str">
        <f>IF($C137&lt;1,"",(AVERAGEIFS('09월 화학성분'!H$12:H$949,'09월 화학성분'!$A$12:$A$949,$A137,'09월 화학성분'!$D$12:$D$949,$B137)))</f>
        <v/>
      </c>
      <c r="L137" s="827" t="str">
        <f>IF($C137&lt;1,"",(AVERAGEIFS('09월 화학성분'!I$12:I$949,'09월 화학성분'!$A$12:$A$949,$A137,'09월 화학성분'!$D$12:$D$949,$B137)))</f>
        <v/>
      </c>
      <c r="M137" s="827" t="str">
        <f>IF($C137&lt;1,"",(AVERAGEIFS('09월 화학성분'!J$12:J$949,'09월 화학성분'!$A$12:$A$949,$A137,'09월 화학성분'!$D$12:$D$949,$B137)))</f>
        <v/>
      </c>
      <c r="N137" s="827" t="str">
        <f>IF($C137&lt;1,"",(AVERAGEIFS('09월 화학성분'!K$12:K$949,'09월 화학성분'!$A$12:$A$949,$A137,'09월 화학성분'!$D$12:$D$949,$B137)))</f>
        <v/>
      </c>
      <c r="O137" s="827" t="str">
        <f>IF($C137&lt;1,"",(AVERAGEIFS('09월 화학성분'!L$12:L$949,'09월 화학성분'!$A$12:$A$949,$A137,'09월 화학성분'!$D$12:$D$949,$B137)))</f>
        <v/>
      </c>
      <c r="P137" s="827" t="str">
        <f>IF($C137&lt;1,"",(AVERAGEIFS('09월 화학성분'!M$12:M$949,'09월 화학성분'!$A$12:$A$949,$A137,'09월 화학성분'!$D$12:$D$949,$B137)))</f>
        <v/>
      </c>
      <c r="Q137" s="827" t="str">
        <f>IFERROR(IF($C137&lt;1,"",(AVERAGEIFS('09월 조업일지'!$AA$12:$AA$952,'09월 조업일지'!$A$12:$A$952,$A137,'09월 조업일지'!$E$12:$E$952,$B137))),"")</f>
        <v/>
      </c>
      <c r="R137" s="827" t="str">
        <f>IF($C137&lt;1,"",(AVERAGEIFS('09월 조업일지'!$AK$12:$AK$952,'09월 조업일지'!$A$12:$A$952,$A137,'09월 조업일지'!$E$12:$E$952,$B137)))</f>
        <v/>
      </c>
      <c r="S137" s="827"/>
      <c r="T137" s="827"/>
      <c r="U137" s="827" t="str">
        <f>IF($C137&lt;1,"",(AVERAGEIFS('09월 화학성분'!$G$12:$G$949,'09월 화학성분'!$A$12:$A$949,$A137,'09월 화학성분'!$D$12:$D$949,$B137)))</f>
        <v/>
      </c>
      <c r="V137" s="827" t="str">
        <f>IF($C137&lt;1,"",(AVERAGEIFS('09월 조업일지'!$AI$12:$AI$952,'09월 조업일지'!$A$12:$A$952,$A137,'09월 조업일지'!$E$12:$E$952,$B137)))</f>
        <v/>
      </c>
      <c r="W137" s="828" t="str">
        <f>IF($C137&lt;1,"",(AVERAGEIFS('09월 화학성분'!$AM$12:$AM$949,'09월 화학성분'!$A$12:$A$949,$A137,'09월 화학성분'!$D$12:$D$949,$B137)))</f>
        <v/>
      </c>
      <c r="X137" s="829" t="str">
        <f>IF($C137&lt;1,"",(AVERAGEIFS('09월 화학성분'!N$12:N$949,'09월 화학성분'!$A$12:$A$949,$A137,'09월 화학성분'!$D$12:$D$949,$B137)))</f>
        <v/>
      </c>
      <c r="Y137" s="829" t="str">
        <f>IF($C137&lt;1,"",(AVERAGEIFS('09월 화학성분'!O$12:O$949,'09월 화학성분'!$A$12:$A$949,$A137,'09월 화학성분'!$D$12:$D$949,$B137)))</f>
        <v/>
      </c>
      <c r="Z137" s="829" t="str">
        <f>IF($C137&lt;1,"",(AVERAGEIFS('09월 화학성분'!P$12:P$949,'09월 화학성분'!$A$12:$A$949,$A137,'09월 화학성분'!$D$12:$D$949,$B137)))</f>
        <v/>
      </c>
      <c r="AA137" s="829" t="str">
        <f>IF($C137&lt;1,"",(AVERAGEIFS('09월 화학성분'!Q$12:Q$949,'09월 화학성분'!$A$12:$A$949,$A137,'09월 화학성분'!$D$12:$D$949,$B137)))</f>
        <v/>
      </c>
      <c r="AB137" s="829" t="str">
        <f>IF($C137&lt;1,"",(AVERAGEIFS('09월 화학성분'!R$12:R$949,'09월 화학성분'!$A$12:$A$949,$A137,'09월 화학성분'!$D$12:$D$949,$B137)))</f>
        <v/>
      </c>
      <c r="AC137" s="829" t="str">
        <f>IF($C137&lt;1,"",(AVERAGEIFS('09월 화학성분'!U$12:U$949,'09월 화학성분'!$A$12:$A$949,$A137,'09월 화학성분'!$D$12:$D$949,$B137)))</f>
        <v/>
      </c>
      <c r="AD137" s="829" t="str">
        <f>IF($C137&lt;1,"",(AVERAGEIFS('09월 화학성분'!V$12:V$949,'09월 화학성분'!$A$12:$A$949,$A137,'09월 화학성분'!$D$12:$D$949,$B137)))</f>
        <v/>
      </c>
      <c r="AE137" s="829" t="str">
        <f>IF($C137&lt;1,"",(AVERAGEIFS('09월 화학성분'!W$12:W$949,'09월 화학성분'!$A$12:$A$949,$A137,'09월 화학성분'!$D$12:$D$949,$B137)))</f>
        <v/>
      </c>
      <c r="AF137" s="829" t="str">
        <f>IF($C137&lt;1,"",(AVERAGEIFS('09월 화학성분'!AA$12:AA$949,'09월 화학성분'!$A$12:$A$949,$A137,'09월 화학성분'!$D$12:$D$949,$B137)))</f>
        <v/>
      </c>
      <c r="AG137" s="829" t="str">
        <f>IF($C137&lt;1,"",(AVERAGEIFS('09월 화학성분'!#REF!,'09월 화학성분'!$A$12:$A$949,$A137,'09월 화학성분'!$D$12:$D$949,$B137)))</f>
        <v/>
      </c>
      <c r="AH137" s="829" t="str">
        <f>IF($C137&lt;1,"",(AVERAGEIFS('09월 화학성분'!AB$12:AB$949,'09월 화학성분'!$A$12:$A$949,$A137,'09월 화학성분'!$D$12:$D$949,$B137)))</f>
        <v/>
      </c>
      <c r="AI137" s="829" t="str">
        <f>IF($C137&lt;1,"",(AVERAGEIFS('09월 화학성분'!AC$12:AC$949,'09월 화학성분'!$A$12:$A$949,$A137,'09월 화학성분'!$D$12:$D$949,$B137)))</f>
        <v/>
      </c>
      <c r="AJ137" s="829" t="str">
        <f>IF($C137&lt;1,"",(AVERAGEIFS('09월 화학성분'!AD$12:AD$949,'09월 화학성분'!$A$12:$A$949,$A137,'09월 화학성분'!$D$12:$D$949,$B137)))</f>
        <v/>
      </c>
      <c r="AK137" s="829" t="str">
        <f>IF($C137&lt;1,"",(AVERAGEIFS('09월 화학성분'!AF$12:AF$949,'09월 화학성분'!$A$12:$A$949,$A137,'09월 화학성분'!$D$12:$D$949,$B137)))</f>
        <v/>
      </c>
      <c r="AL137" s="829" t="str">
        <f>IF($C137&lt;1,"",(AVERAGEIFS('09월 화학성분'!AG$12:AG$949,'09월 화학성분'!$A$12:$A$949,$A137,'09월 화학성분'!$D$12:$D$949,$B137)))</f>
        <v/>
      </c>
      <c r="AM137" s="829" t="str">
        <f>IF($C137&lt;1,"",(AVERAGEIFS('09월 화학성분'!AH$12:AH$949,'09월 화학성분'!$A$12:$A$949,$A137,'09월 화학성분'!$D$12:$D$949,$B137)))</f>
        <v/>
      </c>
      <c r="AN137" s="829" t="str">
        <f>IF($C137&lt;1,"",(AVERAGEIFS('09월 화학성분'!AI$12:AI$949,'09월 화학성분'!$A$12:$A$949,$A137,'09월 화학성분'!$D$12:$D$949,$B137)))</f>
        <v/>
      </c>
      <c r="AO137" s="829" t="str">
        <f>IF($C137&lt;1,"",(AVERAGEIFS('09월 화학성분'!AJ$12:AJ$949,'09월 화학성분'!$A$12:$A$949,$A137,'09월 화학성분'!$D$12:$D$949,$B137)))</f>
        <v/>
      </c>
      <c r="AP137" s="829" t="str">
        <f>IF($C137&lt;1,"",(AVERAGEIFS('09월 화학성분'!#REF!,'09월 화학성분'!$A$12:$A$949,$A137,'09월 화학성분'!$D$12:$D$949,$B137)))</f>
        <v/>
      </c>
      <c r="AQ137" s="829" t="str">
        <f>IF($C137&lt;1,"",(AVERAGEIFS('09월 화학성분'!AL$12:AL$949,'09월 화학성분'!$A$12:$A$949,$A137,'09월 화학성분'!$D$12:$D$949,$B137)))</f>
        <v/>
      </c>
      <c r="AR137" s="829" t="str">
        <f>IF($C137&lt;1,"",(AVERAGEIFS('09월 화학성분'!AM$12:AM$949,'09월 화학성분'!$A$12:$A$949,$A137,'09월 화학성분'!$D$12:$D$949,$B137)))</f>
        <v/>
      </c>
      <c r="AS137" s="830" t="str">
        <f>IF($C137&lt;1,"",(AVERAGEIFS('09월 화학성분'!AN$12:AN$949,'09월 화학성분'!$A$12:$A$949,$A137,'09월 화학성분'!$D$12:$D$949,$B137)))</f>
        <v/>
      </c>
      <c r="AT137" s="830" t="str">
        <f>IF($C137&lt;1,"",(AVERAGEIFS('09월 화학성분'!AO$12:AO$949,'09월 화학성분'!$A$12:$A$949,$A137,'09월 화학성분'!$D$12:$D$949,$B137)))</f>
        <v/>
      </c>
      <c r="AU137" s="831" t="str">
        <f>IF($C137&lt;1,"",(AVERAGEIFS('09월 화학성분'!AP$12:AP$949,'09월 화학성분'!$A$12:$A$949,$A137,'09월 화학성분'!$D$12:$D$949,$B137)))</f>
        <v/>
      </c>
      <c r="AV137" s="832" t="str">
        <f>IF($C137&lt;1,"",(AVERAGEIFS('09월 고철장입'!G$14:G$949,'09월 고철장입'!$A$14:$A$949,$A137,'09월 고철장입'!$C$14:$C$949,$B137))/1000)</f>
        <v/>
      </c>
      <c r="AW137" s="832" t="str">
        <f>IF($C137&lt;1,"",(AVERAGEIFS('09월 고철장입'!H$14:H$949,'09월 고철장입'!$A$14:$A$949,$A137,'09월 고철장입'!$C$14:$C$949,$B137))/1000)</f>
        <v/>
      </c>
      <c r="AX137" s="832" t="str">
        <f>IF($C137&lt;1,"",(AVERAGEIFS('09월 고철장입'!I$14:I$949,'09월 고철장입'!$A$14:$A$949,$A137,'09월 고철장입'!$C$14:$C$949,$B137))/1000)</f>
        <v/>
      </c>
      <c r="AY137" s="832" t="str">
        <f>IF($C137&lt;1,"",(AVERAGEIFS('09월 고철장입'!J$14:J$949,'09월 고철장입'!$A$14:$A$949,$A137,'09월 고철장입'!$C$14:$C$949,$B137))/1000)</f>
        <v/>
      </c>
      <c r="AZ137" s="832" t="str">
        <f>IF($C137&lt;1,"",(AVERAGEIFS('09월 고철장입'!K$14:K$949,'09월 고철장입'!$A$14:$A$949,$A137,'09월 고철장입'!$C$14:$C$949,$B137))/1000)</f>
        <v/>
      </c>
      <c r="BA137" s="832" t="str">
        <f>IF($C137&lt;1,"",(AVERAGEIFS('09월 고철장입'!L$14:L$949,'09월 고철장입'!$A$14:$A$949,$A137,'09월 고철장입'!$C$14:$C$949,$B137))/1000)</f>
        <v/>
      </c>
      <c r="BB137" s="832" t="str">
        <f>IF($C137&lt;1,"",(AVERAGEIFS('09월 고철장입'!M$14:M$949,'09월 고철장입'!$A$14:$A$949,$A137,'09월 고철장입'!$C$14:$C$949,$B137))/1000)</f>
        <v/>
      </c>
      <c r="BC137" s="832" t="str">
        <f>IF($C137&lt;1,"",(AVERAGEIFS('09월 고철장입'!N$14:N$949,'09월 고철장입'!$A$14:$A$949,$A137,'09월 고철장입'!$C$14:$C$949,$B137))/1000)</f>
        <v/>
      </c>
      <c r="BD137" s="832" t="str">
        <f>IF($C137&lt;1,"",(AVERAGEIFS('09월 고철장입'!O$14:O$949,'09월 고철장입'!$A$14:$A$949,$A137,'09월 고철장입'!$C$14:$C$949,$B137))/1000)</f>
        <v/>
      </c>
      <c r="BE137" s="833" t="str">
        <f>IF($C137&lt;1,"",(AVERAGEIFS('09월 고철장입'!P$14:P$949,'09월 고철장입'!$A$14:$A$949,$A137,'09월 고철장입'!$C$14:$C$949,$B137))/1000)</f>
        <v/>
      </c>
      <c r="BF137" s="833" t="str">
        <f>IF($C137&lt;1,"",(AVERAGEIFS('09월 고철장입'!Q$14:Q$949,'09월 고철장입'!$A$14:$A$949,$A137,'09월 고철장입'!$C$14:$C$949,$B137))/1000)</f>
        <v/>
      </c>
      <c r="BG137" s="833" t="str">
        <f>IF($C137&lt;1,"",(AVERAGEIFS('09월 고철장입'!S$14:S$949,'09월 고철장입'!$A$14:$A$949,$A137,'09월 고철장입'!$C$14:$C$949,$B137))/1000)</f>
        <v/>
      </c>
      <c r="BH137" s="833" t="str">
        <f>IF($C137&lt;1,"",(AVERAGEIFS('09월 고철장입'!T$14:T$949,'09월 고철장입'!$A$14:$A$949,$A137,'09월 고철장입'!$C$14:$C$949,$B137))/1000)</f>
        <v/>
      </c>
      <c r="BI137" s="833" t="str">
        <f>IF($C137&lt;1,"",(AVERAGEIFS('09월 고철장입'!U$14:U$949,'09월 고철장입'!$A$14:$A$949,$A137,'09월 고철장입'!$C$14:$C$949,$B137))/1000)</f>
        <v/>
      </c>
      <c r="BJ137" s="833" t="str">
        <f>IF($C137&lt;1,"",(AVERAGEIFS('09월 고철장입'!V$14:V$949,'09월 고철장입'!$A$14:$A$949,$A137,'09월 고철장입'!$C$14:$C$949,$B137))/1000)</f>
        <v/>
      </c>
      <c r="BK137" s="833" t="str">
        <f>IF($C137&lt;1,"",(AVERAGEIFS('09월 고철장입'!W$14:W$949,'09월 고철장입'!$A$14:$A$949,$A137,'09월 고철장입'!$C$14:$C$949,$B137))/1000)</f>
        <v/>
      </c>
      <c r="BL137" s="833" t="str">
        <f>IF($C137&lt;1,"",(AVERAGEIFS('09월 고철장입'!Y$14:Y$949,'09월 고철장입'!$A$14:$A$949,$A137,'09월 고철장입'!$C$14:$C$949,$B137))/1000)</f>
        <v/>
      </c>
      <c r="BM137" s="833" t="str">
        <f>IF($C137&lt;1,"",(AVERAGEIFS('09월 고철장입'!AB$14:AB$949,'09월 고철장입'!$A$14:$A$949,$A137,'09월 고철장입'!$C$14:$C$949,$B137))/1000)</f>
        <v/>
      </c>
      <c r="BN137" s="833" t="str">
        <f>IF($C137&lt;1,"",(AVERAGEIFS('09월 고철장입'!AC$14:AC$949,'09월 고철장입'!$A$14:$A$949,$A137,'09월 고철장입'!$C$14:$C$949,$B137))/1000)</f>
        <v/>
      </c>
      <c r="BO137" s="833" t="str">
        <f>IF($C137&lt;1,"",(AVERAGEIFS('09월 고철장입'!AD$14:AD$949,'09월 고철장입'!$A$14:$A$949,$A137,'09월 고철장입'!$C$14:$C$949,$B137))/1000)</f>
        <v/>
      </c>
      <c r="BP137" s="833" t="str">
        <f>IF($C137&lt;1,"",(AVERAGEIFS('09월 고철장입'!AE$14:AE$949,'09월 고철장입'!$A$14:$A$949,$A137,'09월 고철장입'!$C$14:$C$949,$B137))/1000)</f>
        <v/>
      </c>
      <c r="BQ137" s="832" t="str">
        <f>IF($C137&lt;1,"",(AVERAGEIFS('09월 고철장입'!AF$14:AF$949,'09월 고철장입'!$A$14:$A$949,$A137,'09월 고철장입'!$C$14:$C$949,$B137))/1000)</f>
        <v/>
      </c>
      <c r="BR137" s="832" t="str">
        <f>IF($C137&lt;1,"",(AVERAGEIFS('09월 고철장입'!AG$14:AG$949,'09월 고철장입'!$A$14:$A$949,$A137,'09월 고철장입'!$C$14:$C$949,$B137))/1000)</f>
        <v/>
      </c>
      <c r="BS137" s="832" t="str">
        <f>IF($C137&lt;1,"",(AVERAGEIFS('09월 고철장입'!AH$14:AH$949,'09월 고철장입'!$A$14:$A$949,$A137,'09월 고철장입'!$C$14:$C$949,$B137))/1000)</f>
        <v/>
      </c>
      <c r="BT137" s="832" t="str">
        <f>IF($C137&lt;1,"",(AVERAGEIFS('09월 고철장입'!AI$14:AI$949,'09월 고철장입'!$A$14:$A$949,$A137,'09월 고철장입'!$C$14:$C$949,$B137))/1000)</f>
        <v/>
      </c>
      <c r="BU137" s="834" t="str">
        <f>IF($C137&lt;1,"",(AVERAGEIFS('09월 고철장입'!AJ$14:AJ$949,'09월 고철장입'!$A$14:$A$949,$A137,'09월 고철장입'!$C$14:$C$949,$B137))/1000)</f>
        <v/>
      </c>
      <c r="BV137" s="834" t="str">
        <f>IF($C137&lt;1,"",(AVERAGEIFS('09월 고철장입'!AK$14:AK$949,'09월 고철장입'!$A$14:$A$949,$A137,'09월 고철장입'!$C$14:$C$949,$B137)))</f>
        <v/>
      </c>
      <c r="BW137" s="834" t="str">
        <f>IF($C137&lt;1,"",(AVERAGEIFS('09월 고철장입'!AL$14:AL$949,'09월 고철장입'!$A$14:$A$949,$A137,'09월 고철장입'!$C$14:$C$949,$B137))*100)</f>
        <v/>
      </c>
      <c r="BX137" s="831" t="str">
        <f>IF($C137&lt;1,"",(AVERAGEIFS('09월 에너지'!G$14:G$949,'09월 에너지'!$A$14:$A$949,$A137,'09월 에너지'!$C$14:$C$949,$B137)))</f>
        <v/>
      </c>
      <c r="BY137" s="835" t="str">
        <f>IF($C137&lt;1,"",(AVERAGEIFS('09월 에너지'!H$14:H$949,'09월 에너지'!$A$14:$A$949,$A137,'09월 에너지'!$C$14:$C$949,$B137)))</f>
        <v/>
      </c>
      <c r="BZ137" s="831" t="str">
        <f>IF($C137&lt;1,"",(AVERAGEIFS('09월 에너지'!I$14:I$949,'09월 에너지'!$A$14:$A$949,$A137,'09월 에너지'!$C$14:$C$949,$B137)))</f>
        <v/>
      </c>
      <c r="CA137" s="835" t="str">
        <f>IF($C137&lt;1,"",(AVERAGEIFS('09월 에너지'!J$14:J$949,'09월 에너지'!$A$14:$A$949,$A137,'09월 에너지'!$C$14:$C$949,$B137)))</f>
        <v/>
      </c>
      <c r="CB137" s="831" t="str">
        <f>IF($C137&lt;1,"",(AVERAGEIFS('09월 에너지'!K$14:K$949,'09월 에너지'!$A$14:$A$949,$A137,'09월 에너지'!$C$14:$C$949,$B137)))</f>
        <v/>
      </c>
      <c r="CC137" s="835" t="str">
        <f>IF($C137&lt;1,"",(AVERAGEIFS('09월 에너지'!L$14:L$949,'09월 에너지'!$A$14:$A$949,$A137,'09월 에너지'!$C$14:$C$949,$B137)))</f>
        <v/>
      </c>
      <c r="CD137" s="831" t="str">
        <f>IF($C137&lt;1,"",(AVERAGEIFS('09월 에너지'!M$14:M$949,'09월 에너지'!$A$14:$A$949,$A137,'09월 에너지'!$C$14:$C$949,$B137)))</f>
        <v/>
      </c>
      <c r="CE137" s="835" t="str">
        <f>IF($C137&lt;1,"",(AVERAGEIFS('09월 에너지'!N$14:N$949,'09월 에너지'!$A$14:$A$949,$A137,'09월 에너지'!$C$14:$C$949,$B137)))</f>
        <v/>
      </c>
      <c r="CF137" s="831" t="str">
        <f>IF($C137&lt;1,"",(AVERAGEIFS('09월 에너지'!O$14:O$949,'09월 에너지'!$A$14:$A$949,$A137,'09월 에너지'!$C$14:$C$949,$B137)))</f>
        <v/>
      </c>
      <c r="CG137" s="831" t="str">
        <f>IF($C137&lt;1,"",(AVERAGEIFS('09월 에너지'!P$14:P$949,'09월 에너지'!$A$14:$A$949,$A137,'09월 에너지'!$C$14:$C$949,$B137)))</f>
        <v/>
      </c>
      <c r="CH137" s="831" t="str">
        <f>IF($C137&lt;1,"",(AVERAGEIFS('09월 에너지'!Q$14:Q$949,'09월 에너지'!$A$14:$A$949,$A137,'09월 에너지'!$C$14:$C$949,$B137)))</f>
        <v/>
      </c>
      <c r="CI137" s="831" t="str">
        <f>IF($C137&lt;1,"",(AVERAGEIFS('09월 에너지'!R$14:R$949,'09월 에너지'!$A$14:$A$949,$A137,'09월 에너지'!$C$14:$C$949,$B137)))</f>
        <v/>
      </c>
      <c r="CJ137" s="831" t="str">
        <f>IF($C137&lt;1,"",(AVERAGEIFS('09월 에너지'!S$14:S$949,'09월 에너지'!$A$14:$A$949,$A137,'09월 에너지'!$C$14:$C$949,$B137)))</f>
        <v/>
      </c>
      <c r="CK137" s="831" t="str">
        <f>IF($C137&lt;1,"",(AVERAGEIFS('09월 에너지'!T$14:T$949,'09월 에너지'!$A$14:$A$949,$A137,'09월 에너지'!$C$14:$C$949,$B137)))</f>
        <v/>
      </c>
      <c r="CL137" s="831" t="str">
        <f>IF($C137&lt;1,"",(AVERAGEIFS('09월 에너지'!U$14:U$949,'09월 에너지'!$A$14:$A$949,$A137,'09월 에너지'!$C$14:$C$949,$B137)))</f>
        <v/>
      </c>
      <c r="CM137" s="835" t="str">
        <f>IF($C137&lt;1,"",(AVERAGEIFS('09월 에너지'!V$14:V$949,'09월 에너지'!$A$14:$A$949,$A137,'09월 에너지'!$C$14:$C$949,$B137)))</f>
        <v/>
      </c>
      <c r="CN137" s="835" t="str">
        <f>IF($C137&lt;1,"",(AVERAGEIFS('09월 에너지'!W$14:W$949,'09월 에너지'!$A$14:$A$949,$A137,'09월 에너지'!$C$14:$C$949,$B137)))</f>
        <v/>
      </c>
      <c r="CO137" s="831" t="str">
        <f>IF($C137&lt;1,"",(AVERAGEIFS('09월 에너지'!X$14:X$949,'09월 에너지'!$A$14:$A$949,$A137,'09월 에너지'!$C$14:$C$949,$B137)))</f>
        <v/>
      </c>
      <c r="CP137" s="835" t="str">
        <f>IF($C137&lt;1,"",(AVERAGEIFS('09월 에너지'!Y$14:Y$949,'09월 에너지'!$A$14:$A$949,$A137,'09월 에너지'!$C$14:$C$949,$B137)))</f>
        <v/>
      </c>
      <c r="CQ137" s="835" t="str">
        <f>IF($C137&lt;1,"",(AVERAGEIFS('09월 에너지'!Z$14:Z$949,'09월 에너지'!$A$14:$A$949,$A137,'09월 에너지'!$C$14:$C$949,$B137)))</f>
        <v/>
      </c>
      <c r="CR137" s="835" t="str">
        <f>IF($C137&lt;1,"",(AVERAGEIFS('09월 에너지'!AA$14:AA$949,'09월 에너지'!$A$14:$A$949,$A137,'09월 에너지'!$C$14:$C$949,$B137)))</f>
        <v/>
      </c>
      <c r="CS137" s="835" t="str">
        <f>IF($C137&lt;1,"",(AVERAGEIFS('09월 에너지'!AB$14:AB$949,'09월 에너지'!$A$14:$A$949,$A137,'09월 에너지'!$C$14:$C$949,$B137)))</f>
        <v/>
      </c>
      <c r="CT137" s="831" t="str">
        <f>IF($C137&lt;1,"",(AVERAGEIFS('09월 에너지'!AC$14:AC$949,'09월 에너지'!$A$14:$A$949,$A137,'09월 에너지'!$C$14:$C$949,$B137)))</f>
        <v/>
      </c>
      <c r="CU137" s="836" t="str">
        <f>IF($C137&lt;1,"",(AVERAGEIFS('09월 에너지'!AD$14:AD$949,'09월 에너지'!$A$14:$A$949,$A137,'09월 에너지'!$C$14:$C$949,$B137)))</f>
        <v/>
      </c>
      <c r="CV137" s="837" t="str">
        <f>IF($C137&lt;1,"",(AVERAGEIFS('09월 에너지'!AE$14:AE$949,'09월 에너지'!$A$14:$A$949,$A137,'09월 에너지'!$C$14:$C$949,$B137)))</f>
        <v/>
      </c>
      <c r="CW137" s="831" t="str">
        <f>IF($C137&lt;1,"",(AVERAGEIFS('09월 에너지'!AF$14:AF$949,'09월 에너지'!$A$14:$A$949,$A137,'09월 에너지'!$C$14:$C$949,$B137)))</f>
        <v/>
      </c>
      <c r="CX137" s="831" t="str">
        <f>IF($C137&lt;1,"",(AVERAGEIFS('09월 에너지'!AG$14:AG$949,'09월 에너지'!$A$14:$A$949,$A137,'09월 에너지'!$C$14:$C$949,$B137)))</f>
        <v/>
      </c>
      <c r="CY137" s="831" t="str">
        <f>IF($C137&lt;1,"",(AVERAGEIFS('09월 에너지'!AH$14:AH$949,'09월 에너지'!$A$14:$A$949,$A137,'09월 에너지'!$C$14:$C$949,$B137)))</f>
        <v/>
      </c>
      <c r="CZ137" s="831" t="str">
        <f>IF($C137&lt;1,"",(AVERAGEIFS('09월 에너지'!AI$14:AI$949,'09월 에너지'!$A$14:$A$949,$A137,'09월 에너지'!$C$14:$C$949,$B137)))</f>
        <v/>
      </c>
      <c r="DA137" s="838" t="str">
        <f>IF($C137&lt;1,"",(AVERAGEIFS('09월 에너지'!AJ$14:AJ$949,'09월 에너지'!$A$14:$A$949,$A137,'09월 에너지'!$C$14:$C$949,$B137)))</f>
        <v/>
      </c>
    </row>
    <row r="138" spans="1:105" ht="13.5" customHeight="1">
      <c r="A138" s="849">
        <f t="shared" si="20"/>
        <v>44953</v>
      </c>
      <c r="B138" s="850" t="s">
        <v>100</v>
      </c>
      <c r="C138" s="823">
        <f>COUNTIFS('09월 조업일지'!$A$12:$A$952,A136,'09월 조업일지'!$E$12:$E$952,B138)</f>
        <v>0</v>
      </c>
      <c r="D138" s="824" t="str">
        <f t="shared" ref="D138:D140" si="30">IF(C138&lt;1,"",F138-E138)</f>
        <v/>
      </c>
      <c r="E138" s="824" t="str">
        <f>IF($C138&lt;1,"",(SUMIFS('09월 조업일지'!$K$12:$K$952,'09월 조업일지'!$A$12:$A$952,$A138,'09월 조업일지'!$E$12:$E$952,$B138)/$C138))</f>
        <v/>
      </c>
      <c r="F138" s="824" t="str">
        <f>IF($C138&lt;1,"",(AVERAGEIFS('09월 조업일지'!$J$12:$J$952,'09월 조업일지'!$A$12:$A$952,$A138,'09월 조업일지'!$E$12:$E$952,$B138)))</f>
        <v/>
      </c>
      <c r="G138" s="825" t="str">
        <f>IF($C138&lt;1,"",(AVERAGEIFS('09월 에너지'!$M$14:$M$949,'09월 에너지'!$A$14:$A$949,$A138,'09월 에너지'!$C$14:$C$949,$B138)))</f>
        <v/>
      </c>
      <c r="H138" s="826" t="str">
        <f>IF($C138&lt;1,"",(AVERAGEIFS('09월 조업일지'!$AJ$12:$AJ$952,'09월 조업일지'!$A$12:$A$952,$A138,'09월 조업일지'!$E$12:$E$952,$B138)))</f>
        <v/>
      </c>
      <c r="I138" s="826" t="str">
        <f>IF($C138&lt;1,"",(AVERAGEIFS('09월 조업일지'!$AL$12:$AL$952,'09월 조업일지'!$A$12:$A$952,$A138,'09월 조업일지'!$E$12:$E$952,$B138)))</f>
        <v/>
      </c>
      <c r="J138" s="827" t="str">
        <f>IF($C138&lt;1,"",(AVERAGEIFS('09월 화학성분'!G$12:G$949,'09월 화학성분'!$A$12:$A$949,$A138,'09월 화학성분'!$D$12:$D$949,$B138)))</f>
        <v/>
      </c>
      <c r="K138" s="827" t="str">
        <f>IF($C138&lt;1,"",(AVERAGEIFS('09월 화학성분'!H$12:H$949,'09월 화학성분'!$A$12:$A$949,$A138,'09월 화학성분'!$D$12:$D$949,$B138)))</f>
        <v/>
      </c>
      <c r="L138" s="827" t="str">
        <f>IF($C138&lt;1,"",(AVERAGEIFS('09월 화학성분'!I$12:I$949,'09월 화학성분'!$A$12:$A$949,$A138,'09월 화학성분'!$D$12:$D$949,$B138)))</f>
        <v/>
      </c>
      <c r="M138" s="827" t="str">
        <f>IF($C138&lt;1,"",(AVERAGEIFS('09월 화학성분'!J$12:J$949,'09월 화학성분'!$A$12:$A$949,$A138,'09월 화학성분'!$D$12:$D$949,$B138)))</f>
        <v/>
      </c>
      <c r="N138" s="827" t="str">
        <f>IF($C138&lt;1,"",(AVERAGEIFS('09월 화학성분'!K$12:K$949,'09월 화학성분'!$A$12:$A$949,$A138,'09월 화학성분'!$D$12:$D$949,$B138)))</f>
        <v/>
      </c>
      <c r="O138" s="827" t="str">
        <f>IF($C138&lt;1,"",(AVERAGEIFS('09월 화학성분'!L$12:L$949,'09월 화학성분'!$A$12:$A$949,$A138,'09월 화학성분'!$D$12:$D$949,$B138)))</f>
        <v/>
      </c>
      <c r="P138" s="827" t="str">
        <f>IF($C138&lt;1,"",(AVERAGEIFS('09월 화학성분'!M$12:M$949,'09월 화학성분'!$A$12:$A$949,$A138,'09월 화학성분'!$D$12:$D$949,$B138)))</f>
        <v/>
      </c>
      <c r="Q138" s="827" t="str">
        <f>IFERROR(IF($C138&lt;1,"",(AVERAGEIFS('09월 조업일지'!$AA$12:$AA$952,'09월 조업일지'!$A$12:$A$952,$A138,'09월 조업일지'!$E$12:$E$952,$B138))),"")</f>
        <v/>
      </c>
      <c r="R138" s="827" t="str">
        <f>IF($C138&lt;1,"",(AVERAGEIFS('09월 조업일지'!$AK$12:$AK$952,'09월 조업일지'!$A$12:$A$952,$A138,'09월 조업일지'!$E$12:$E$952,$B138)))</f>
        <v/>
      </c>
      <c r="S138" s="827"/>
      <c r="T138" s="827"/>
      <c r="U138" s="827" t="str">
        <f>IF($C138&lt;1,"",(AVERAGEIFS('09월 화학성분'!$G$12:$G$949,'09월 화학성분'!$A$12:$A$949,$A138,'09월 화학성분'!$D$12:$D$949,$B138)))</f>
        <v/>
      </c>
      <c r="V138" s="827" t="str">
        <f>IF($C138&lt;1,"",(AVERAGEIFS('09월 조업일지'!$AI$12:$AI$952,'09월 조업일지'!$A$12:$A$952,$A138,'09월 조업일지'!$E$12:$E$952,$B138)))</f>
        <v/>
      </c>
      <c r="W138" s="828" t="str">
        <f>IF($C138&lt;1,"",(AVERAGEIFS('09월 화학성분'!$AM$12:$AM$949,'09월 화학성분'!$A$12:$A$949,$A138,'09월 화학성분'!$D$12:$D$949,$B138)))</f>
        <v/>
      </c>
      <c r="X138" s="829" t="str">
        <f>IF($C138&lt;1,"",(AVERAGEIFS('09월 화학성분'!N$12:N$949,'09월 화학성분'!$A$12:$A$949,$A138,'09월 화학성분'!$D$12:$D$949,$B138)))</f>
        <v/>
      </c>
      <c r="Y138" s="829" t="str">
        <f>IF($C138&lt;1,"",(AVERAGEIFS('09월 화학성분'!O$12:O$949,'09월 화학성분'!$A$12:$A$949,$A138,'09월 화학성분'!$D$12:$D$949,$B138)))</f>
        <v/>
      </c>
      <c r="Z138" s="829" t="str">
        <f>IF($C138&lt;1,"",(AVERAGEIFS('09월 화학성분'!P$12:P$949,'09월 화학성분'!$A$12:$A$949,$A138,'09월 화학성분'!$D$12:$D$949,$B138)))</f>
        <v/>
      </c>
      <c r="AA138" s="829" t="str">
        <f>IF($C138&lt;1,"",(AVERAGEIFS('09월 화학성분'!Q$12:Q$949,'09월 화학성분'!$A$12:$A$949,$A138,'09월 화학성분'!$D$12:$D$949,$B138)))</f>
        <v/>
      </c>
      <c r="AB138" s="829" t="str">
        <f>IF($C138&lt;1,"",(AVERAGEIFS('09월 화학성분'!R$12:R$949,'09월 화학성분'!$A$12:$A$949,$A138,'09월 화학성분'!$D$12:$D$949,$B138)))</f>
        <v/>
      </c>
      <c r="AC138" s="829" t="str">
        <f>IF($C138&lt;1,"",(AVERAGEIFS('09월 화학성분'!U$12:U$949,'09월 화학성분'!$A$12:$A$949,$A138,'09월 화학성분'!$D$12:$D$949,$B138)))</f>
        <v/>
      </c>
      <c r="AD138" s="829" t="str">
        <f>IF($C138&lt;1,"",(AVERAGEIFS('09월 화학성분'!V$12:V$949,'09월 화학성분'!$A$12:$A$949,$A138,'09월 화학성분'!$D$12:$D$949,$B138)))</f>
        <v/>
      </c>
      <c r="AE138" s="829" t="str">
        <f>IF($C138&lt;1,"",(AVERAGEIFS('09월 화학성분'!W$12:W$949,'09월 화학성분'!$A$12:$A$949,$A138,'09월 화학성분'!$D$12:$D$949,$B138)))</f>
        <v/>
      </c>
      <c r="AF138" s="829" t="str">
        <f>IF($C138&lt;1,"",(AVERAGEIFS('09월 화학성분'!AA$12:AA$949,'09월 화학성분'!$A$12:$A$949,$A138,'09월 화학성분'!$D$12:$D$949,$B138)))</f>
        <v/>
      </c>
      <c r="AG138" s="829" t="str">
        <f>IF($C138&lt;1,"",(AVERAGEIFS('09월 화학성분'!#REF!,'09월 화학성분'!$A$12:$A$949,$A138,'09월 화학성분'!$D$12:$D$949,$B138)))</f>
        <v/>
      </c>
      <c r="AH138" s="829" t="str">
        <f>IF($C138&lt;1,"",(AVERAGEIFS('09월 화학성분'!AB$12:AB$949,'09월 화학성분'!$A$12:$A$949,$A138,'09월 화학성분'!$D$12:$D$949,$B138)))</f>
        <v/>
      </c>
      <c r="AI138" s="829" t="str">
        <f>IF($C138&lt;1,"",(AVERAGEIFS('09월 화학성분'!AC$12:AC$949,'09월 화학성분'!$A$12:$A$949,$A138,'09월 화학성분'!$D$12:$D$949,$B138)))</f>
        <v/>
      </c>
      <c r="AJ138" s="829" t="str">
        <f>IF($C138&lt;1,"",(AVERAGEIFS('09월 화학성분'!AD$12:AD$949,'09월 화학성분'!$A$12:$A$949,$A138,'09월 화학성분'!$D$12:$D$949,$B138)))</f>
        <v/>
      </c>
      <c r="AK138" s="829" t="str">
        <f>IF($C138&lt;1,"",(AVERAGEIFS('09월 화학성분'!AF$12:AF$949,'09월 화학성분'!$A$12:$A$949,$A138,'09월 화학성분'!$D$12:$D$949,$B138)))</f>
        <v/>
      </c>
      <c r="AL138" s="829" t="str">
        <f>IF($C138&lt;1,"",(AVERAGEIFS('09월 화학성분'!AG$12:AG$949,'09월 화학성분'!$A$12:$A$949,$A138,'09월 화학성분'!$D$12:$D$949,$B138)))</f>
        <v/>
      </c>
      <c r="AM138" s="829" t="str">
        <f>IF($C138&lt;1,"",(AVERAGEIFS('09월 화학성분'!AH$12:AH$949,'09월 화학성분'!$A$12:$A$949,$A138,'09월 화학성분'!$D$12:$D$949,$B138)))</f>
        <v/>
      </c>
      <c r="AN138" s="829" t="str">
        <f>IF($C138&lt;1,"",(AVERAGEIFS('09월 화학성분'!AI$12:AI$949,'09월 화학성분'!$A$12:$A$949,$A138,'09월 화학성분'!$D$12:$D$949,$B138)))</f>
        <v/>
      </c>
      <c r="AO138" s="829" t="str">
        <f>IF($C138&lt;1,"",(AVERAGEIFS('09월 화학성분'!AJ$12:AJ$949,'09월 화학성분'!$A$12:$A$949,$A138,'09월 화학성분'!$D$12:$D$949,$B138)))</f>
        <v/>
      </c>
      <c r="AP138" s="829" t="str">
        <f>IF($C138&lt;1,"",(AVERAGEIFS('09월 화학성분'!#REF!,'09월 화학성분'!$A$12:$A$949,$A138,'09월 화학성분'!$D$12:$D$949,$B138)))</f>
        <v/>
      </c>
      <c r="AQ138" s="829" t="str">
        <f>IF($C138&lt;1,"",(AVERAGEIFS('09월 화학성분'!AL$12:AL$949,'09월 화학성분'!$A$12:$A$949,$A138,'09월 화학성분'!$D$12:$D$949,$B138)))</f>
        <v/>
      </c>
      <c r="AR138" s="829" t="str">
        <f>IF($C138&lt;1,"",(AVERAGEIFS('09월 화학성분'!AM$12:AM$949,'09월 화학성분'!$A$12:$A$949,$A138,'09월 화학성분'!$D$12:$D$949,$B138)))</f>
        <v/>
      </c>
      <c r="AS138" s="830" t="str">
        <f>IF($C138&lt;1,"",(AVERAGEIFS('09월 화학성분'!AN$12:AN$949,'09월 화학성분'!$A$12:$A$949,$A138,'09월 화학성분'!$D$12:$D$949,$B138)))</f>
        <v/>
      </c>
      <c r="AT138" s="830" t="str">
        <f>IF($C138&lt;1,"",(AVERAGEIFS('09월 화학성분'!AO$12:AO$949,'09월 화학성분'!$A$12:$A$949,$A138,'09월 화학성분'!$D$12:$D$949,$B138)))</f>
        <v/>
      </c>
      <c r="AU138" s="831" t="str">
        <f>IF($C138&lt;1,"",(AVERAGEIFS('09월 화학성분'!AP$12:AP$949,'09월 화학성분'!$A$12:$A$949,$A138,'09월 화학성분'!$D$12:$D$949,$B138)))</f>
        <v/>
      </c>
      <c r="AV138" s="832" t="str">
        <f>IF($C138&lt;1,"",(AVERAGEIFS('09월 고철장입'!G$14:G$949,'09월 고철장입'!$A$14:$A$949,$A138,'09월 고철장입'!$C$14:$C$949,$B138))/1000)</f>
        <v/>
      </c>
      <c r="AW138" s="832" t="str">
        <f>IF($C138&lt;1,"",(AVERAGEIFS('09월 고철장입'!H$14:H$949,'09월 고철장입'!$A$14:$A$949,$A138,'09월 고철장입'!$C$14:$C$949,$B138))/1000)</f>
        <v/>
      </c>
      <c r="AX138" s="832" t="str">
        <f>IF($C138&lt;1,"",(AVERAGEIFS('09월 고철장입'!I$14:I$949,'09월 고철장입'!$A$14:$A$949,$A138,'09월 고철장입'!$C$14:$C$949,$B138))/1000)</f>
        <v/>
      </c>
      <c r="AY138" s="832" t="str">
        <f>IF($C138&lt;1,"",(AVERAGEIFS('09월 고철장입'!J$14:J$949,'09월 고철장입'!$A$14:$A$949,$A138,'09월 고철장입'!$C$14:$C$949,$B138))/1000)</f>
        <v/>
      </c>
      <c r="AZ138" s="832" t="str">
        <f>IF($C138&lt;1,"",(AVERAGEIFS('09월 고철장입'!K$14:K$949,'09월 고철장입'!$A$14:$A$949,$A138,'09월 고철장입'!$C$14:$C$949,$B138))/1000)</f>
        <v/>
      </c>
      <c r="BA138" s="832" t="str">
        <f>IF($C138&lt;1,"",(AVERAGEIFS('09월 고철장입'!L$14:L$949,'09월 고철장입'!$A$14:$A$949,$A138,'09월 고철장입'!$C$14:$C$949,$B138))/1000)</f>
        <v/>
      </c>
      <c r="BB138" s="832" t="str">
        <f>IF($C138&lt;1,"",(AVERAGEIFS('09월 고철장입'!M$14:M$949,'09월 고철장입'!$A$14:$A$949,$A138,'09월 고철장입'!$C$14:$C$949,$B138))/1000)</f>
        <v/>
      </c>
      <c r="BC138" s="832" t="str">
        <f>IF($C138&lt;1,"",(AVERAGEIFS('09월 고철장입'!N$14:N$949,'09월 고철장입'!$A$14:$A$949,$A138,'09월 고철장입'!$C$14:$C$949,$B138))/1000)</f>
        <v/>
      </c>
      <c r="BD138" s="832" t="str">
        <f>IF($C138&lt;1,"",(AVERAGEIFS('09월 고철장입'!O$14:O$949,'09월 고철장입'!$A$14:$A$949,$A138,'09월 고철장입'!$C$14:$C$949,$B138))/1000)</f>
        <v/>
      </c>
      <c r="BE138" s="833" t="str">
        <f>IF($C138&lt;1,"",(AVERAGEIFS('09월 고철장입'!P$14:P$949,'09월 고철장입'!$A$14:$A$949,$A138,'09월 고철장입'!$C$14:$C$949,$B138))/1000)</f>
        <v/>
      </c>
      <c r="BF138" s="833" t="str">
        <f>IF($C138&lt;1,"",(AVERAGEIFS('09월 고철장입'!Q$14:Q$949,'09월 고철장입'!$A$14:$A$949,$A138,'09월 고철장입'!$C$14:$C$949,$B138))/1000)</f>
        <v/>
      </c>
      <c r="BG138" s="833" t="str">
        <f>IF($C138&lt;1,"",(AVERAGEIFS('09월 고철장입'!S$14:S$949,'09월 고철장입'!$A$14:$A$949,$A138,'09월 고철장입'!$C$14:$C$949,$B138))/1000)</f>
        <v/>
      </c>
      <c r="BH138" s="833" t="str">
        <f>IF($C138&lt;1,"",(AVERAGEIFS('09월 고철장입'!T$14:T$949,'09월 고철장입'!$A$14:$A$949,$A138,'09월 고철장입'!$C$14:$C$949,$B138))/1000)</f>
        <v/>
      </c>
      <c r="BI138" s="833" t="str">
        <f>IF($C138&lt;1,"",(AVERAGEIFS('09월 고철장입'!U$14:U$949,'09월 고철장입'!$A$14:$A$949,$A138,'09월 고철장입'!$C$14:$C$949,$B138))/1000)</f>
        <v/>
      </c>
      <c r="BJ138" s="833" t="str">
        <f>IF($C138&lt;1,"",(AVERAGEIFS('09월 고철장입'!V$14:V$949,'09월 고철장입'!$A$14:$A$949,$A138,'09월 고철장입'!$C$14:$C$949,$B138))/1000)</f>
        <v/>
      </c>
      <c r="BK138" s="833" t="str">
        <f>IF($C138&lt;1,"",(AVERAGEIFS('09월 고철장입'!W$14:W$949,'09월 고철장입'!$A$14:$A$949,$A138,'09월 고철장입'!$C$14:$C$949,$B138))/1000)</f>
        <v/>
      </c>
      <c r="BL138" s="833" t="str">
        <f>IF($C138&lt;1,"",(AVERAGEIFS('09월 고철장입'!Y$14:Y$949,'09월 고철장입'!$A$14:$A$949,$A138,'09월 고철장입'!$C$14:$C$949,$B138))/1000)</f>
        <v/>
      </c>
      <c r="BM138" s="833" t="str">
        <f>IF($C138&lt;1,"",(AVERAGEIFS('09월 고철장입'!AB$14:AB$949,'09월 고철장입'!$A$14:$A$949,$A138,'09월 고철장입'!$C$14:$C$949,$B138))/1000)</f>
        <v/>
      </c>
      <c r="BN138" s="833" t="str">
        <f>IF($C138&lt;1,"",(AVERAGEIFS('09월 고철장입'!AC$14:AC$949,'09월 고철장입'!$A$14:$A$949,$A138,'09월 고철장입'!$C$14:$C$949,$B138))/1000)</f>
        <v/>
      </c>
      <c r="BO138" s="833" t="str">
        <f>IF($C138&lt;1,"",(AVERAGEIFS('09월 고철장입'!AD$14:AD$949,'09월 고철장입'!$A$14:$A$949,$A138,'09월 고철장입'!$C$14:$C$949,$B138))/1000)</f>
        <v/>
      </c>
      <c r="BP138" s="833" t="str">
        <f>IF($C138&lt;1,"",(AVERAGEIFS('09월 고철장입'!AE$14:AE$949,'09월 고철장입'!$A$14:$A$949,$A138,'09월 고철장입'!$C$14:$C$949,$B138))/1000)</f>
        <v/>
      </c>
      <c r="BQ138" s="832" t="str">
        <f>IF($C138&lt;1,"",(AVERAGEIFS('09월 고철장입'!AF$14:AF$949,'09월 고철장입'!$A$14:$A$949,$A138,'09월 고철장입'!$C$14:$C$949,$B138))/1000)</f>
        <v/>
      </c>
      <c r="BR138" s="832" t="str">
        <f>IF($C138&lt;1,"",(AVERAGEIFS('09월 고철장입'!AG$14:AG$949,'09월 고철장입'!$A$14:$A$949,$A138,'09월 고철장입'!$C$14:$C$949,$B138))/1000)</f>
        <v/>
      </c>
      <c r="BS138" s="832" t="str">
        <f>IF($C138&lt;1,"",(AVERAGEIFS('09월 고철장입'!AH$14:AH$949,'09월 고철장입'!$A$14:$A$949,$A138,'09월 고철장입'!$C$14:$C$949,$B138))/1000)</f>
        <v/>
      </c>
      <c r="BT138" s="832" t="str">
        <f>IF($C138&lt;1,"",(AVERAGEIFS('09월 고철장입'!AI$14:AI$949,'09월 고철장입'!$A$14:$A$949,$A138,'09월 고철장입'!$C$14:$C$949,$B138))/1000)</f>
        <v/>
      </c>
      <c r="BU138" s="834" t="str">
        <f>IF($C138&lt;1,"",(AVERAGEIFS('09월 고철장입'!AJ$14:AJ$949,'09월 고철장입'!$A$14:$A$949,$A138,'09월 고철장입'!$C$14:$C$949,$B138))/1000)</f>
        <v/>
      </c>
      <c r="BV138" s="834" t="str">
        <f>IF($C138&lt;1,"",(AVERAGEIFS('09월 고철장입'!AK$14:AK$949,'09월 고철장입'!$A$14:$A$949,$A138,'09월 고철장입'!$C$14:$C$949,$B138)))</f>
        <v/>
      </c>
      <c r="BW138" s="834" t="str">
        <f>IF($C138&lt;1,"",(AVERAGEIFS('09월 고철장입'!AL$14:AL$949,'09월 고철장입'!$A$14:$A$949,$A138,'09월 고철장입'!$C$14:$C$949,$B138))*100)</f>
        <v/>
      </c>
      <c r="BX138" s="831" t="str">
        <f>IF($C138&lt;1,"",(AVERAGEIFS('09월 에너지'!G$14:G$949,'09월 에너지'!$A$14:$A$949,$A138,'09월 에너지'!$C$14:$C$949,$B138)))</f>
        <v/>
      </c>
      <c r="BY138" s="835" t="str">
        <f>IF($C138&lt;1,"",(AVERAGEIFS('09월 에너지'!H$14:H$949,'09월 에너지'!$A$14:$A$949,$A138,'09월 에너지'!$C$14:$C$949,$B138)))</f>
        <v/>
      </c>
      <c r="BZ138" s="831" t="str">
        <f>IF($C138&lt;1,"",(AVERAGEIFS('09월 에너지'!I$14:I$949,'09월 에너지'!$A$14:$A$949,$A138,'09월 에너지'!$C$14:$C$949,$B138)))</f>
        <v/>
      </c>
      <c r="CA138" s="835" t="str">
        <f>IF($C138&lt;1,"",(AVERAGEIFS('09월 에너지'!J$14:J$949,'09월 에너지'!$A$14:$A$949,$A138,'09월 에너지'!$C$14:$C$949,$B138)))</f>
        <v/>
      </c>
      <c r="CB138" s="831" t="str">
        <f>IF($C138&lt;1,"",(AVERAGEIFS('09월 에너지'!K$14:K$949,'09월 에너지'!$A$14:$A$949,$A138,'09월 에너지'!$C$14:$C$949,$B138)))</f>
        <v/>
      </c>
      <c r="CC138" s="835" t="str">
        <f>IF($C138&lt;1,"",(AVERAGEIFS('09월 에너지'!L$14:L$949,'09월 에너지'!$A$14:$A$949,$A138,'09월 에너지'!$C$14:$C$949,$B138)))</f>
        <v/>
      </c>
      <c r="CD138" s="831" t="str">
        <f>IF($C138&lt;1,"",(AVERAGEIFS('09월 에너지'!M$14:M$949,'09월 에너지'!$A$14:$A$949,$A138,'09월 에너지'!$C$14:$C$949,$B138)))</f>
        <v/>
      </c>
      <c r="CE138" s="835" t="str">
        <f>IF($C138&lt;1,"",(AVERAGEIFS('09월 에너지'!N$14:N$949,'09월 에너지'!$A$14:$A$949,$A138,'09월 에너지'!$C$14:$C$949,$B138)))</f>
        <v/>
      </c>
      <c r="CF138" s="831" t="str">
        <f>IF($C138&lt;1,"",(AVERAGEIFS('09월 에너지'!O$14:O$949,'09월 에너지'!$A$14:$A$949,$A138,'09월 에너지'!$C$14:$C$949,$B138)))</f>
        <v/>
      </c>
      <c r="CG138" s="831" t="str">
        <f>IF($C138&lt;1,"",(AVERAGEIFS('09월 에너지'!P$14:P$949,'09월 에너지'!$A$14:$A$949,$A138,'09월 에너지'!$C$14:$C$949,$B138)))</f>
        <v/>
      </c>
      <c r="CH138" s="831" t="str">
        <f>IF($C138&lt;1,"",(AVERAGEIFS('09월 에너지'!Q$14:Q$949,'09월 에너지'!$A$14:$A$949,$A138,'09월 에너지'!$C$14:$C$949,$B138)))</f>
        <v/>
      </c>
      <c r="CI138" s="831" t="str">
        <f>IF($C138&lt;1,"",(AVERAGEIFS('09월 에너지'!R$14:R$949,'09월 에너지'!$A$14:$A$949,$A138,'09월 에너지'!$C$14:$C$949,$B138)))</f>
        <v/>
      </c>
      <c r="CJ138" s="831" t="str">
        <f>IF($C138&lt;1,"",(AVERAGEIFS('09월 에너지'!S$14:S$949,'09월 에너지'!$A$14:$A$949,$A138,'09월 에너지'!$C$14:$C$949,$B138)))</f>
        <v/>
      </c>
      <c r="CK138" s="831" t="str">
        <f>IF($C138&lt;1,"",(AVERAGEIFS('09월 에너지'!T$14:T$949,'09월 에너지'!$A$14:$A$949,$A138,'09월 에너지'!$C$14:$C$949,$B138)))</f>
        <v/>
      </c>
      <c r="CL138" s="831" t="str">
        <f>IF($C138&lt;1,"",(AVERAGEIFS('09월 에너지'!U$14:U$949,'09월 에너지'!$A$14:$A$949,$A138,'09월 에너지'!$C$14:$C$949,$B138)))</f>
        <v/>
      </c>
      <c r="CM138" s="835" t="str">
        <f>IF($C138&lt;1,"",(AVERAGEIFS('09월 에너지'!V$14:V$949,'09월 에너지'!$A$14:$A$949,$A138,'09월 에너지'!$C$14:$C$949,$B138)))</f>
        <v/>
      </c>
      <c r="CN138" s="835" t="str">
        <f>IF($C138&lt;1,"",(AVERAGEIFS('09월 에너지'!W$14:W$949,'09월 에너지'!$A$14:$A$949,$A138,'09월 에너지'!$C$14:$C$949,$B138)))</f>
        <v/>
      </c>
      <c r="CO138" s="831" t="str">
        <f>IF($C138&lt;1,"",(AVERAGEIFS('09월 에너지'!X$14:X$949,'09월 에너지'!$A$14:$A$949,$A138,'09월 에너지'!$C$14:$C$949,$B138)))</f>
        <v/>
      </c>
      <c r="CP138" s="835" t="str">
        <f>IF($C138&lt;1,"",(AVERAGEIFS('09월 에너지'!Y$14:Y$949,'09월 에너지'!$A$14:$A$949,$A138,'09월 에너지'!$C$14:$C$949,$B138)))</f>
        <v/>
      </c>
      <c r="CQ138" s="835" t="str">
        <f>IF($C138&lt;1,"",(AVERAGEIFS('09월 에너지'!Z$14:Z$949,'09월 에너지'!$A$14:$A$949,$A138,'09월 에너지'!$C$14:$C$949,$B138)))</f>
        <v/>
      </c>
      <c r="CR138" s="835" t="str">
        <f>IF($C138&lt;1,"",(AVERAGEIFS('09월 에너지'!AA$14:AA$949,'09월 에너지'!$A$14:$A$949,$A138,'09월 에너지'!$C$14:$C$949,$B138)))</f>
        <v/>
      </c>
      <c r="CS138" s="835" t="str">
        <f>IF($C138&lt;1,"",(AVERAGEIFS('09월 에너지'!AB$14:AB$949,'09월 에너지'!$A$14:$A$949,$A138,'09월 에너지'!$C$14:$C$949,$B138)))</f>
        <v/>
      </c>
      <c r="CT138" s="831" t="str">
        <f>IF($C138&lt;1,"",(AVERAGEIFS('09월 에너지'!AC$14:AC$949,'09월 에너지'!$A$14:$A$949,$A138,'09월 에너지'!$C$14:$C$949,$B138)))</f>
        <v/>
      </c>
      <c r="CU138" s="836" t="str">
        <f>IF($C138&lt;1,"",(AVERAGEIFS('09월 에너지'!AD$14:AD$949,'09월 에너지'!$A$14:$A$949,$A138,'09월 에너지'!$C$14:$C$949,$B138)))</f>
        <v/>
      </c>
      <c r="CV138" s="837" t="str">
        <f>IF($C138&lt;1,"",(AVERAGEIFS('09월 에너지'!AE$14:AE$949,'09월 에너지'!$A$14:$A$949,$A138,'09월 에너지'!$C$14:$C$949,$B138)))</f>
        <v/>
      </c>
      <c r="CW138" s="831" t="str">
        <f>IF($C138&lt;1,"",(AVERAGEIFS('09월 에너지'!AF$14:AF$949,'09월 에너지'!$A$14:$A$949,$A138,'09월 에너지'!$C$14:$C$949,$B138)))</f>
        <v/>
      </c>
      <c r="CX138" s="831" t="str">
        <f>IF($C138&lt;1,"",(AVERAGEIFS('09월 에너지'!AG$14:AG$949,'09월 에너지'!$A$14:$A$949,$A138,'09월 에너지'!$C$14:$C$949,$B138)))</f>
        <v/>
      </c>
      <c r="CY138" s="831" t="str">
        <f>IF($C138&lt;1,"",(AVERAGEIFS('09월 에너지'!AH$14:AH$949,'09월 에너지'!$A$14:$A$949,$A138,'09월 에너지'!$C$14:$C$949,$B138)))</f>
        <v/>
      </c>
      <c r="CZ138" s="831" t="str">
        <f>IF($C138&lt;1,"",(AVERAGEIFS('09월 에너지'!AI$14:AI$949,'09월 에너지'!$A$14:$A$949,$A138,'09월 에너지'!$C$14:$C$949,$B138)))</f>
        <v/>
      </c>
      <c r="DA138" s="838" t="str">
        <f>IF($C138&lt;1,"",(AVERAGEIFS('09월 에너지'!AJ$14:AJ$949,'09월 에너지'!$A$14:$A$949,$A138,'09월 에너지'!$C$14:$C$949,$B138)))</f>
        <v/>
      </c>
    </row>
    <row r="139" spans="1:105" ht="13.5" customHeight="1">
      <c r="A139" s="849">
        <f t="shared" si="20"/>
        <v>44953</v>
      </c>
      <c r="B139" s="850" t="s">
        <v>10</v>
      </c>
      <c r="C139" s="823">
        <f>COUNTIFS('09월 조업일지'!$A$12:$A$952,A136,'09월 조업일지'!$E$12:$E$952,B139)</f>
        <v>0</v>
      </c>
      <c r="D139" s="824" t="str">
        <f t="shared" si="30"/>
        <v/>
      </c>
      <c r="E139" s="824" t="str">
        <f>IF($C139&lt;1,"",(SUMIFS('09월 조업일지'!$K$12:$K$952,'09월 조업일지'!$A$12:$A$952,$A139,'09월 조업일지'!$E$12:$E$952,$B139)/$C139))</f>
        <v/>
      </c>
      <c r="F139" s="824" t="str">
        <f>IF($C139&lt;1,"",(AVERAGEIFS('09월 조업일지'!$J$12:$J$952,'09월 조업일지'!$A$12:$A$952,$A139,'09월 조업일지'!$E$12:$E$952,$B139)))</f>
        <v/>
      </c>
      <c r="G139" s="825" t="str">
        <f>IF($C139&lt;1,"",(AVERAGEIFS('09월 에너지'!$M$14:$M$949,'09월 에너지'!$A$14:$A$949,$A139,'09월 에너지'!$C$14:$C$949,$B139)))</f>
        <v/>
      </c>
      <c r="H139" s="826" t="str">
        <f>IF($C139&lt;1,"",(AVERAGEIFS('09월 조업일지'!$AJ$12:$AJ$952,'09월 조업일지'!$A$12:$A$952,$A139,'09월 조업일지'!$E$12:$E$952,$B139)))</f>
        <v/>
      </c>
      <c r="I139" s="826" t="str">
        <f>IF($C139&lt;1,"",(AVERAGEIFS('09월 조업일지'!$AL$12:$AL$952,'09월 조업일지'!$A$12:$A$952,$A139,'09월 조업일지'!$E$12:$E$952,$B139)))</f>
        <v/>
      </c>
      <c r="J139" s="827" t="str">
        <f>IF($C139&lt;1,"",(AVERAGEIFS('09월 화학성분'!G$12:G$949,'09월 화학성분'!$A$12:$A$949,$A139,'09월 화학성분'!$D$12:$D$949,$B139)))</f>
        <v/>
      </c>
      <c r="K139" s="827" t="str">
        <f>IF($C139&lt;1,"",(AVERAGEIFS('09월 화학성분'!H$12:H$949,'09월 화학성분'!$A$12:$A$949,$A139,'09월 화학성분'!$D$12:$D$949,$B139)))</f>
        <v/>
      </c>
      <c r="L139" s="827" t="str">
        <f>IF($C139&lt;1,"",(AVERAGEIFS('09월 화학성분'!I$12:I$949,'09월 화학성분'!$A$12:$A$949,$A139,'09월 화학성분'!$D$12:$D$949,$B139)))</f>
        <v/>
      </c>
      <c r="M139" s="827" t="str">
        <f>IF($C139&lt;1,"",(AVERAGEIFS('09월 화학성분'!J$12:J$949,'09월 화학성분'!$A$12:$A$949,$A139,'09월 화학성분'!$D$12:$D$949,$B139)))</f>
        <v/>
      </c>
      <c r="N139" s="827" t="str">
        <f>IF($C139&lt;1,"",(AVERAGEIFS('09월 화학성분'!K$12:K$949,'09월 화학성분'!$A$12:$A$949,$A139,'09월 화학성분'!$D$12:$D$949,$B139)))</f>
        <v/>
      </c>
      <c r="O139" s="827" t="str">
        <f>IF($C139&lt;1,"",(AVERAGEIFS('09월 화학성분'!L$12:L$949,'09월 화학성분'!$A$12:$A$949,$A139,'09월 화학성분'!$D$12:$D$949,$B139)))</f>
        <v/>
      </c>
      <c r="P139" s="827" t="str">
        <f>IF($C139&lt;1,"",(AVERAGEIFS('09월 화학성분'!M$12:M$949,'09월 화학성분'!$A$12:$A$949,$A139,'09월 화학성분'!$D$12:$D$949,$B139)))</f>
        <v/>
      </c>
      <c r="Q139" s="827" t="str">
        <f>IFERROR(IF($C139&lt;1,"",(AVERAGEIFS('09월 조업일지'!$AA$12:$AA$952,'09월 조업일지'!$A$12:$A$952,$A139,'09월 조업일지'!$E$12:$E$952,$B139))),"")</f>
        <v/>
      </c>
      <c r="R139" s="827" t="str">
        <f>IF($C139&lt;1,"",(AVERAGEIFS('09월 조업일지'!$AK$12:$AK$952,'09월 조업일지'!$A$12:$A$952,$A139,'09월 조업일지'!$E$12:$E$952,$B139)))</f>
        <v/>
      </c>
      <c r="S139" s="827"/>
      <c r="T139" s="827"/>
      <c r="U139" s="827" t="str">
        <f>IF($C139&lt;1,"",(AVERAGEIFS('09월 화학성분'!$G$12:$G$949,'09월 화학성분'!$A$12:$A$949,$A139,'09월 화학성분'!$D$12:$D$949,$B139)))</f>
        <v/>
      </c>
      <c r="V139" s="827" t="str">
        <f>IF($C139&lt;1,"",(AVERAGEIFS('09월 조업일지'!$AI$12:$AI$952,'09월 조업일지'!$A$12:$A$952,$A139,'09월 조업일지'!$E$12:$E$952,$B139)))</f>
        <v/>
      </c>
      <c r="W139" s="828" t="str">
        <f>IF($C139&lt;1,"",(AVERAGEIFS('09월 화학성분'!$AM$12:$AM$949,'09월 화학성분'!$A$12:$A$949,$A139,'09월 화학성분'!$D$12:$D$949,$B139)))</f>
        <v/>
      </c>
      <c r="X139" s="829" t="str">
        <f>IF($C139&lt;1,"",(AVERAGEIFS('09월 화학성분'!N$12:N$949,'09월 화학성분'!$A$12:$A$949,$A139,'09월 화학성분'!$D$12:$D$949,$B139)))</f>
        <v/>
      </c>
      <c r="Y139" s="829" t="str">
        <f>IF($C139&lt;1,"",(AVERAGEIFS('09월 화학성분'!O$12:O$949,'09월 화학성분'!$A$12:$A$949,$A139,'09월 화학성분'!$D$12:$D$949,$B139)))</f>
        <v/>
      </c>
      <c r="Z139" s="829" t="str">
        <f>IF($C139&lt;1,"",(AVERAGEIFS('09월 화학성분'!P$12:P$949,'09월 화학성분'!$A$12:$A$949,$A139,'09월 화학성분'!$D$12:$D$949,$B139)))</f>
        <v/>
      </c>
      <c r="AA139" s="829" t="str">
        <f>IF($C139&lt;1,"",(AVERAGEIFS('09월 화학성분'!Q$12:Q$949,'09월 화학성분'!$A$12:$A$949,$A139,'09월 화학성분'!$D$12:$D$949,$B139)))</f>
        <v/>
      </c>
      <c r="AB139" s="829" t="str">
        <f>IF($C139&lt;1,"",(AVERAGEIFS('09월 화학성분'!R$12:R$949,'09월 화학성분'!$A$12:$A$949,$A139,'09월 화학성분'!$D$12:$D$949,$B139)))</f>
        <v/>
      </c>
      <c r="AC139" s="829" t="str">
        <f>IF($C139&lt;1,"",(AVERAGEIFS('09월 화학성분'!U$12:U$949,'09월 화학성분'!$A$12:$A$949,$A139,'09월 화학성분'!$D$12:$D$949,$B139)))</f>
        <v/>
      </c>
      <c r="AD139" s="829" t="str">
        <f>IF($C139&lt;1,"",(AVERAGEIFS('09월 화학성분'!V$12:V$949,'09월 화학성분'!$A$12:$A$949,$A139,'09월 화학성분'!$D$12:$D$949,$B139)))</f>
        <v/>
      </c>
      <c r="AE139" s="829" t="str">
        <f>IF($C139&lt;1,"",(AVERAGEIFS('09월 화학성분'!W$12:W$949,'09월 화학성분'!$A$12:$A$949,$A139,'09월 화학성분'!$D$12:$D$949,$B139)))</f>
        <v/>
      </c>
      <c r="AF139" s="829" t="str">
        <f>IF($C139&lt;1,"",(AVERAGEIFS('09월 화학성분'!AA$12:AA$949,'09월 화학성분'!$A$12:$A$949,$A139,'09월 화학성분'!$D$12:$D$949,$B139)))</f>
        <v/>
      </c>
      <c r="AG139" s="829" t="str">
        <f>IF($C139&lt;1,"",(AVERAGEIFS('09월 화학성분'!#REF!,'09월 화학성분'!$A$12:$A$949,$A139,'09월 화학성분'!$D$12:$D$949,$B139)))</f>
        <v/>
      </c>
      <c r="AH139" s="829" t="str">
        <f>IF($C139&lt;1,"",(AVERAGEIFS('09월 화학성분'!AB$12:AB$949,'09월 화학성분'!$A$12:$A$949,$A139,'09월 화학성분'!$D$12:$D$949,$B139)))</f>
        <v/>
      </c>
      <c r="AI139" s="829" t="str">
        <f>IF($C139&lt;1,"",(AVERAGEIFS('09월 화학성분'!AC$12:AC$949,'09월 화학성분'!$A$12:$A$949,$A139,'09월 화학성분'!$D$12:$D$949,$B139)))</f>
        <v/>
      </c>
      <c r="AJ139" s="829" t="str">
        <f>IF($C139&lt;1,"",(AVERAGEIFS('09월 화학성분'!AD$12:AD$949,'09월 화학성분'!$A$12:$A$949,$A139,'09월 화학성분'!$D$12:$D$949,$B139)))</f>
        <v/>
      </c>
      <c r="AK139" s="829" t="str">
        <f>IF($C139&lt;1,"",(AVERAGEIFS('09월 화학성분'!AF$12:AF$949,'09월 화학성분'!$A$12:$A$949,$A139,'09월 화학성분'!$D$12:$D$949,$B139)))</f>
        <v/>
      </c>
      <c r="AL139" s="829" t="str">
        <f>IF($C139&lt;1,"",(AVERAGEIFS('09월 화학성분'!AG$12:AG$949,'09월 화학성분'!$A$12:$A$949,$A139,'09월 화학성분'!$D$12:$D$949,$B139)))</f>
        <v/>
      </c>
      <c r="AM139" s="829" t="str">
        <f>IF($C139&lt;1,"",(AVERAGEIFS('09월 화학성분'!AH$12:AH$949,'09월 화학성분'!$A$12:$A$949,$A139,'09월 화학성분'!$D$12:$D$949,$B139)))</f>
        <v/>
      </c>
      <c r="AN139" s="829" t="str">
        <f>IF($C139&lt;1,"",(AVERAGEIFS('09월 화학성분'!AI$12:AI$949,'09월 화학성분'!$A$12:$A$949,$A139,'09월 화학성분'!$D$12:$D$949,$B139)))</f>
        <v/>
      </c>
      <c r="AO139" s="829" t="str">
        <f>IF($C139&lt;1,"",(AVERAGEIFS('09월 화학성분'!AJ$12:AJ$949,'09월 화학성분'!$A$12:$A$949,$A139,'09월 화학성분'!$D$12:$D$949,$B139)))</f>
        <v/>
      </c>
      <c r="AP139" s="829" t="str">
        <f>IF($C139&lt;1,"",(AVERAGEIFS('09월 화학성분'!#REF!,'09월 화학성분'!$A$12:$A$949,$A139,'09월 화학성분'!$D$12:$D$949,$B139)))</f>
        <v/>
      </c>
      <c r="AQ139" s="829" t="str">
        <f>IF($C139&lt;1,"",(AVERAGEIFS('09월 화학성분'!AL$12:AL$949,'09월 화학성분'!$A$12:$A$949,$A139,'09월 화학성분'!$D$12:$D$949,$B139)))</f>
        <v/>
      </c>
      <c r="AR139" s="829" t="str">
        <f>IF($C139&lt;1,"",(AVERAGEIFS('09월 화학성분'!AM$12:AM$949,'09월 화학성분'!$A$12:$A$949,$A139,'09월 화학성분'!$D$12:$D$949,$B139)))</f>
        <v/>
      </c>
      <c r="AS139" s="830" t="str">
        <f>IF($C139&lt;1,"",(AVERAGEIFS('09월 화학성분'!AN$12:AN$949,'09월 화학성분'!$A$12:$A$949,$A139,'09월 화학성분'!$D$12:$D$949,$B139)))</f>
        <v/>
      </c>
      <c r="AT139" s="830" t="str">
        <f>IF($C139&lt;1,"",(AVERAGEIFS('09월 화학성분'!AO$12:AO$949,'09월 화학성분'!$A$12:$A$949,$A139,'09월 화학성분'!$D$12:$D$949,$B139)))</f>
        <v/>
      </c>
      <c r="AU139" s="831" t="str">
        <f>IF($C139&lt;1,"",(AVERAGEIFS('09월 화학성분'!AP$12:AP$949,'09월 화학성분'!$A$12:$A$949,$A139,'09월 화학성분'!$D$12:$D$949,$B139)))</f>
        <v/>
      </c>
      <c r="AV139" s="832" t="str">
        <f>IF($C139&lt;1,"",(AVERAGEIFS('09월 고철장입'!G$14:G$949,'09월 고철장입'!$A$14:$A$949,$A139,'09월 고철장입'!$C$14:$C$949,$B139))/1000)</f>
        <v/>
      </c>
      <c r="AW139" s="832" t="str">
        <f>IF($C139&lt;1,"",(AVERAGEIFS('09월 고철장입'!H$14:H$949,'09월 고철장입'!$A$14:$A$949,$A139,'09월 고철장입'!$C$14:$C$949,$B139))/1000)</f>
        <v/>
      </c>
      <c r="AX139" s="832" t="str">
        <f>IF($C139&lt;1,"",(AVERAGEIFS('09월 고철장입'!I$14:I$949,'09월 고철장입'!$A$14:$A$949,$A139,'09월 고철장입'!$C$14:$C$949,$B139))/1000)</f>
        <v/>
      </c>
      <c r="AY139" s="832" t="str">
        <f>IF($C139&lt;1,"",(AVERAGEIFS('09월 고철장입'!J$14:J$949,'09월 고철장입'!$A$14:$A$949,$A139,'09월 고철장입'!$C$14:$C$949,$B139))/1000)</f>
        <v/>
      </c>
      <c r="AZ139" s="832" t="str">
        <f>IF($C139&lt;1,"",(AVERAGEIFS('09월 고철장입'!K$14:K$949,'09월 고철장입'!$A$14:$A$949,$A139,'09월 고철장입'!$C$14:$C$949,$B139))/1000)</f>
        <v/>
      </c>
      <c r="BA139" s="832" t="str">
        <f>IF($C139&lt;1,"",(AVERAGEIFS('09월 고철장입'!L$14:L$949,'09월 고철장입'!$A$14:$A$949,$A139,'09월 고철장입'!$C$14:$C$949,$B139))/1000)</f>
        <v/>
      </c>
      <c r="BB139" s="832" t="str">
        <f>IF($C139&lt;1,"",(AVERAGEIFS('09월 고철장입'!M$14:M$949,'09월 고철장입'!$A$14:$A$949,$A139,'09월 고철장입'!$C$14:$C$949,$B139))/1000)</f>
        <v/>
      </c>
      <c r="BC139" s="832" t="str">
        <f>IF($C139&lt;1,"",(AVERAGEIFS('09월 고철장입'!N$14:N$949,'09월 고철장입'!$A$14:$A$949,$A139,'09월 고철장입'!$C$14:$C$949,$B139))/1000)</f>
        <v/>
      </c>
      <c r="BD139" s="832" t="str">
        <f>IF($C139&lt;1,"",(AVERAGEIFS('09월 고철장입'!O$14:O$949,'09월 고철장입'!$A$14:$A$949,$A139,'09월 고철장입'!$C$14:$C$949,$B139))/1000)</f>
        <v/>
      </c>
      <c r="BE139" s="833" t="str">
        <f>IF($C139&lt;1,"",(AVERAGEIFS('09월 고철장입'!P$14:P$949,'09월 고철장입'!$A$14:$A$949,$A139,'09월 고철장입'!$C$14:$C$949,$B139))/1000)</f>
        <v/>
      </c>
      <c r="BF139" s="833" t="str">
        <f>IF($C139&lt;1,"",(AVERAGEIFS('09월 고철장입'!Q$14:Q$949,'09월 고철장입'!$A$14:$A$949,$A139,'09월 고철장입'!$C$14:$C$949,$B139))/1000)</f>
        <v/>
      </c>
      <c r="BG139" s="833" t="str">
        <f>IF($C139&lt;1,"",(AVERAGEIFS('09월 고철장입'!S$14:S$949,'09월 고철장입'!$A$14:$A$949,$A139,'09월 고철장입'!$C$14:$C$949,$B139))/1000)</f>
        <v/>
      </c>
      <c r="BH139" s="833" t="str">
        <f>IF($C139&lt;1,"",(AVERAGEIFS('09월 고철장입'!T$14:T$949,'09월 고철장입'!$A$14:$A$949,$A139,'09월 고철장입'!$C$14:$C$949,$B139))/1000)</f>
        <v/>
      </c>
      <c r="BI139" s="833" t="str">
        <f>IF($C139&lt;1,"",(AVERAGEIFS('09월 고철장입'!U$14:U$949,'09월 고철장입'!$A$14:$A$949,$A139,'09월 고철장입'!$C$14:$C$949,$B139))/1000)</f>
        <v/>
      </c>
      <c r="BJ139" s="833" t="str">
        <f>IF($C139&lt;1,"",(AVERAGEIFS('09월 고철장입'!V$14:V$949,'09월 고철장입'!$A$14:$A$949,$A139,'09월 고철장입'!$C$14:$C$949,$B139))/1000)</f>
        <v/>
      </c>
      <c r="BK139" s="833" t="str">
        <f>IF($C139&lt;1,"",(AVERAGEIFS('09월 고철장입'!W$14:W$949,'09월 고철장입'!$A$14:$A$949,$A139,'09월 고철장입'!$C$14:$C$949,$B139))/1000)</f>
        <v/>
      </c>
      <c r="BL139" s="833" t="str">
        <f>IF($C139&lt;1,"",(AVERAGEIFS('09월 고철장입'!Y$14:Y$949,'09월 고철장입'!$A$14:$A$949,$A139,'09월 고철장입'!$C$14:$C$949,$B139))/1000)</f>
        <v/>
      </c>
      <c r="BM139" s="833" t="str">
        <f>IF($C139&lt;1,"",(AVERAGEIFS('09월 고철장입'!AB$14:AB$949,'09월 고철장입'!$A$14:$A$949,$A139,'09월 고철장입'!$C$14:$C$949,$B139))/1000)</f>
        <v/>
      </c>
      <c r="BN139" s="833" t="str">
        <f>IF($C139&lt;1,"",(AVERAGEIFS('09월 고철장입'!AC$14:AC$949,'09월 고철장입'!$A$14:$A$949,$A139,'09월 고철장입'!$C$14:$C$949,$B139))/1000)</f>
        <v/>
      </c>
      <c r="BO139" s="833" t="str">
        <f>IF($C139&lt;1,"",(AVERAGEIFS('09월 고철장입'!AD$14:AD$949,'09월 고철장입'!$A$14:$A$949,$A139,'09월 고철장입'!$C$14:$C$949,$B139))/1000)</f>
        <v/>
      </c>
      <c r="BP139" s="833" t="str">
        <f>IF($C139&lt;1,"",(AVERAGEIFS('09월 고철장입'!AE$14:AE$949,'09월 고철장입'!$A$14:$A$949,$A139,'09월 고철장입'!$C$14:$C$949,$B139))/1000)</f>
        <v/>
      </c>
      <c r="BQ139" s="832" t="str">
        <f>IF($C139&lt;1,"",(AVERAGEIFS('09월 고철장입'!AF$14:AF$949,'09월 고철장입'!$A$14:$A$949,$A139,'09월 고철장입'!$C$14:$C$949,$B139))/1000)</f>
        <v/>
      </c>
      <c r="BR139" s="832" t="str">
        <f>IF($C139&lt;1,"",(AVERAGEIFS('09월 고철장입'!AG$14:AG$949,'09월 고철장입'!$A$14:$A$949,$A139,'09월 고철장입'!$C$14:$C$949,$B139))/1000)</f>
        <v/>
      </c>
      <c r="BS139" s="832" t="str">
        <f>IF($C139&lt;1,"",(AVERAGEIFS('09월 고철장입'!AH$14:AH$949,'09월 고철장입'!$A$14:$A$949,$A139,'09월 고철장입'!$C$14:$C$949,$B139))/1000)</f>
        <v/>
      </c>
      <c r="BT139" s="832" t="str">
        <f>IF($C139&lt;1,"",(AVERAGEIFS('09월 고철장입'!AI$14:AI$949,'09월 고철장입'!$A$14:$A$949,$A139,'09월 고철장입'!$C$14:$C$949,$B139))/1000)</f>
        <v/>
      </c>
      <c r="BU139" s="834" t="str">
        <f>IF($C139&lt;1,"",(AVERAGEIFS('09월 고철장입'!AJ$14:AJ$949,'09월 고철장입'!$A$14:$A$949,$A139,'09월 고철장입'!$C$14:$C$949,$B139))/1000)</f>
        <v/>
      </c>
      <c r="BV139" s="834" t="str">
        <f>IF($C139&lt;1,"",(AVERAGEIFS('09월 고철장입'!AK$14:AK$949,'09월 고철장입'!$A$14:$A$949,$A139,'09월 고철장입'!$C$14:$C$949,$B139)))</f>
        <v/>
      </c>
      <c r="BW139" s="834" t="str">
        <f>IF($C139&lt;1,"",(AVERAGEIFS('09월 고철장입'!AL$14:AL$949,'09월 고철장입'!$A$14:$A$949,$A139,'09월 고철장입'!$C$14:$C$949,$B139))*100)</f>
        <v/>
      </c>
      <c r="BX139" s="831" t="str">
        <f>IF($C139&lt;1,"",(AVERAGEIFS('09월 에너지'!G$14:G$949,'09월 에너지'!$A$14:$A$949,$A139,'09월 에너지'!$C$14:$C$949,$B139)))</f>
        <v/>
      </c>
      <c r="BY139" s="835" t="str">
        <f>IF($C139&lt;1,"",(AVERAGEIFS('09월 에너지'!H$14:H$949,'09월 에너지'!$A$14:$A$949,$A139,'09월 에너지'!$C$14:$C$949,$B139)))</f>
        <v/>
      </c>
      <c r="BZ139" s="831" t="str">
        <f>IF($C139&lt;1,"",(AVERAGEIFS('09월 에너지'!I$14:I$949,'09월 에너지'!$A$14:$A$949,$A139,'09월 에너지'!$C$14:$C$949,$B139)))</f>
        <v/>
      </c>
      <c r="CA139" s="835" t="str">
        <f>IF($C139&lt;1,"",(AVERAGEIFS('09월 에너지'!J$14:J$949,'09월 에너지'!$A$14:$A$949,$A139,'09월 에너지'!$C$14:$C$949,$B139)))</f>
        <v/>
      </c>
      <c r="CB139" s="831" t="str">
        <f>IF($C139&lt;1,"",(AVERAGEIFS('09월 에너지'!K$14:K$949,'09월 에너지'!$A$14:$A$949,$A139,'09월 에너지'!$C$14:$C$949,$B139)))</f>
        <v/>
      </c>
      <c r="CC139" s="835" t="str">
        <f>IF($C139&lt;1,"",(AVERAGEIFS('09월 에너지'!L$14:L$949,'09월 에너지'!$A$14:$A$949,$A139,'09월 에너지'!$C$14:$C$949,$B139)))</f>
        <v/>
      </c>
      <c r="CD139" s="831" t="str">
        <f>IF($C139&lt;1,"",(AVERAGEIFS('09월 에너지'!M$14:M$949,'09월 에너지'!$A$14:$A$949,$A139,'09월 에너지'!$C$14:$C$949,$B139)))</f>
        <v/>
      </c>
      <c r="CE139" s="835" t="str">
        <f>IF($C139&lt;1,"",(AVERAGEIFS('09월 에너지'!N$14:N$949,'09월 에너지'!$A$14:$A$949,$A139,'09월 에너지'!$C$14:$C$949,$B139)))</f>
        <v/>
      </c>
      <c r="CF139" s="831" t="str">
        <f>IF($C139&lt;1,"",(AVERAGEIFS('09월 에너지'!O$14:O$949,'09월 에너지'!$A$14:$A$949,$A139,'09월 에너지'!$C$14:$C$949,$B139)))</f>
        <v/>
      </c>
      <c r="CG139" s="831" t="str">
        <f>IF($C139&lt;1,"",(AVERAGEIFS('09월 에너지'!P$14:P$949,'09월 에너지'!$A$14:$A$949,$A139,'09월 에너지'!$C$14:$C$949,$B139)))</f>
        <v/>
      </c>
      <c r="CH139" s="831" t="str">
        <f>IF($C139&lt;1,"",(AVERAGEIFS('09월 에너지'!Q$14:Q$949,'09월 에너지'!$A$14:$A$949,$A139,'09월 에너지'!$C$14:$C$949,$B139)))</f>
        <v/>
      </c>
      <c r="CI139" s="831" t="str">
        <f>IF($C139&lt;1,"",(AVERAGEIFS('09월 에너지'!R$14:R$949,'09월 에너지'!$A$14:$A$949,$A139,'09월 에너지'!$C$14:$C$949,$B139)))</f>
        <v/>
      </c>
      <c r="CJ139" s="831" t="str">
        <f>IF($C139&lt;1,"",(AVERAGEIFS('09월 에너지'!S$14:S$949,'09월 에너지'!$A$14:$A$949,$A139,'09월 에너지'!$C$14:$C$949,$B139)))</f>
        <v/>
      </c>
      <c r="CK139" s="831" t="str">
        <f>IF($C139&lt;1,"",(AVERAGEIFS('09월 에너지'!T$14:T$949,'09월 에너지'!$A$14:$A$949,$A139,'09월 에너지'!$C$14:$C$949,$B139)))</f>
        <v/>
      </c>
      <c r="CL139" s="831" t="str">
        <f>IF($C139&lt;1,"",(AVERAGEIFS('09월 에너지'!U$14:U$949,'09월 에너지'!$A$14:$A$949,$A139,'09월 에너지'!$C$14:$C$949,$B139)))</f>
        <v/>
      </c>
      <c r="CM139" s="835" t="str">
        <f>IF($C139&lt;1,"",(AVERAGEIFS('09월 에너지'!V$14:V$949,'09월 에너지'!$A$14:$A$949,$A139,'09월 에너지'!$C$14:$C$949,$B139)))</f>
        <v/>
      </c>
      <c r="CN139" s="835" t="str">
        <f>IF($C139&lt;1,"",(AVERAGEIFS('09월 에너지'!W$14:W$949,'09월 에너지'!$A$14:$A$949,$A139,'09월 에너지'!$C$14:$C$949,$B139)))</f>
        <v/>
      </c>
      <c r="CO139" s="831" t="str">
        <f>IF($C139&lt;1,"",(AVERAGEIFS('09월 에너지'!X$14:X$949,'09월 에너지'!$A$14:$A$949,$A139,'09월 에너지'!$C$14:$C$949,$B139)))</f>
        <v/>
      </c>
      <c r="CP139" s="835" t="str">
        <f>IF($C139&lt;1,"",(AVERAGEIFS('09월 에너지'!Y$14:Y$949,'09월 에너지'!$A$14:$A$949,$A139,'09월 에너지'!$C$14:$C$949,$B139)))</f>
        <v/>
      </c>
      <c r="CQ139" s="835" t="str">
        <f>IF($C139&lt;1,"",(AVERAGEIFS('09월 에너지'!Z$14:Z$949,'09월 에너지'!$A$14:$A$949,$A139,'09월 에너지'!$C$14:$C$949,$B139)))</f>
        <v/>
      </c>
      <c r="CR139" s="835" t="str">
        <f>IF($C139&lt;1,"",(AVERAGEIFS('09월 에너지'!AA$14:AA$949,'09월 에너지'!$A$14:$A$949,$A139,'09월 에너지'!$C$14:$C$949,$B139)))</f>
        <v/>
      </c>
      <c r="CS139" s="835" t="str">
        <f>IF($C139&lt;1,"",(AVERAGEIFS('09월 에너지'!AB$14:AB$949,'09월 에너지'!$A$14:$A$949,$A139,'09월 에너지'!$C$14:$C$949,$B139)))</f>
        <v/>
      </c>
      <c r="CT139" s="831" t="str">
        <f>IF($C139&lt;1,"",(AVERAGEIFS('09월 에너지'!AC$14:AC$949,'09월 에너지'!$A$14:$A$949,$A139,'09월 에너지'!$C$14:$C$949,$B139)))</f>
        <v/>
      </c>
      <c r="CU139" s="836" t="str">
        <f>IF($C139&lt;1,"",(AVERAGEIFS('09월 에너지'!AD$14:AD$949,'09월 에너지'!$A$14:$A$949,$A139,'09월 에너지'!$C$14:$C$949,$B139)))</f>
        <v/>
      </c>
      <c r="CV139" s="837" t="str">
        <f>IF($C139&lt;1,"",(AVERAGEIFS('09월 에너지'!AE$14:AE$949,'09월 에너지'!$A$14:$A$949,$A139,'09월 에너지'!$C$14:$C$949,$B139)))</f>
        <v/>
      </c>
      <c r="CW139" s="831" t="str">
        <f>IF($C139&lt;1,"",(AVERAGEIFS('09월 에너지'!AF$14:AF$949,'09월 에너지'!$A$14:$A$949,$A139,'09월 에너지'!$C$14:$C$949,$B139)))</f>
        <v/>
      </c>
      <c r="CX139" s="831" t="str">
        <f>IF($C139&lt;1,"",(AVERAGEIFS('09월 에너지'!AG$14:AG$949,'09월 에너지'!$A$14:$A$949,$A139,'09월 에너지'!$C$14:$C$949,$B139)))</f>
        <v/>
      </c>
      <c r="CY139" s="831" t="str">
        <f>IF($C139&lt;1,"",(AVERAGEIFS('09월 에너지'!AH$14:AH$949,'09월 에너지'!$A$14:$A$949,$A139,'09월 에너지'!$C$14:$C$949,$B139)))</f>
        <v/>
      </c>
      <c r="CZ139" s="831" t="str">
        <f>IF($C139&lt;1,"",(AVERAGEIFS('09월 에너지'!AI$14:AI$949,'09월 에너지'!$A$14:$A$949,$A139,'09월 에너지'!$C$14:$C$949,$B139)))</f>
        <v/>
      </c>
      <c r="DA139" s="838" t="str">
        <f>IF($C139&lt;1,"",(AVERAGEIFS('09월 에너지'!AJ$14:AJ$949,'09월 에너지'!$A$14:$A$949,$A139,'09월 에너지'!$C$14:$C$949,$B139)))</f>
        <v/>
      </c>
    </row>
    <row r="140" spans="1:105" ht="13.5" customHeight="1" thickBot="1">
      <c r="A140" s="851">
        <f t="shared" si="20"/>
        <v>44953</v>
      </c>
      <c r="B140" s="852" t="s">
        <v>94</v>
      </c>
      <c r="C140" s="841">
        <f>COUNTIFS('09월 조업일지'!$A$12:$A$952,A136,'09월 조업일지'!$E$12:$E$952,B140)</f>
        <v>0</v>
      </c>
      <c r="D140" s="842" t="str">
        <f t="shared" si="30"/>
        <v/>
      </c>
      <c r="E140" s="842" t="str">
        <f>IF($C140&lt;1,"",(SUMIFS('09월 조업일지'!$K$12:$K$952,'09월 조업일지'!$A$12:$A$952,$A140,'09월 조업일지'!$E$12:$E$952,$B140)/$C140))</f>
        <v/>
      </c>
      <c r="F140" s="842" t="str">
        <f>IF($C140&lt;1,"",(AVERAGEIFS('09월 조업일지'!$J$12:$J$952,'09월 조업일지'!$A$12:$A$952,$A140,'09월 조업일지'!$E$12:$E$952,$B140)))</f>
        <v/>
      </c>
      <c r="G140" s="843" t="str">
        <f>IF($C140&lt;1,"",(AVERAGEIFS('09월 에너지'!$M$14:$M$949,'09월 에너지'!$A$14:$A$949,$A140,'09월 에너지'!$C$14:$C$949,$B140)))</f>
        <v/>
      </c>
      <c r="H140" s="844" t="str">
        <f>IF($C140&lt;1,"",(AVERAGEIFS('09월 조업일지'!$AJ$12:$AJ$952,'09월 조업일지'!$A$12:$A$952,$A140,'09월 조업일지'!$E$12:$E$952,$B140)))</f>
        <v/>
      </c>
      <c r="I140" s="844" t="str">
        <f>IF($C140&lt;1,"",(AVERAGEIFS('09월 조업일지'!$AL$12:$AL$952,'09월 조업일지'!$A$12:$A$952,$A140,'09월 조업일지'!$E$12:$E$952,$B140)))</f>
        <v/>
      </c>
      <c r="J140" s="845" t="str">
        <f>IF($C140&lt;1,"",(AVERAGEIFS('09월 화학성분'!G$12:G$949,'09월 화학성분'!$A$12:$A$949,$A140,'09월 화학성분'!$D$12:$D$949,$B140)))</f>
        <v/>
      </c>
      <c r="K140" s="845" t="str">
        <f>IF($C140&lt;1,"",(AVERAGEIFS('09월 화학성분'!H$12:H$949,'09월 화학성분'!$A$12:$A$949,$A140,'09월 화학성분'!$D$12:$D$949,$B140)))</f>
        <v/>
      </c>
      <c r="L140" s="845" t="str">
        <f>IF($C140&lt;1,"",(AVERAGEIFS('09월 화학성분'!I$12:I$949,'09월 화학성분'!$A$12:$A$949,$A140,'09월 화학성분'!$D$12:$D$949,$B140)))</f>
        <v/>
      </c>
      <c r="M140" s="845" t="str">
        <f>IF($C140&lt;1,"",(AVERAGEIFS('09월 화학성분'!J$12:J$949,'09월 화학성분'!$A$12:$A$949,$A140,'09월 화학성분'!$D$12:$D$949,$B140)))</f>
        <v/>
      </c>
      <c r="N140" s="845" t="str">
        <f>IF($C140&lt;1,"",(AVERAGEIFS('09월 화학성분'!K$12:K$949,'09월 화학성분'!$A$12:$A$949,$A140,'09월 화학성분'!$D$12:$D$949,$B140)))</f>
        <v/>
      </c>
      <c r="O140" s="845" t="str">
        <f>IF($C140&lt;1,"",(AVERAGEIFS('09월 화학성분'!L$12:L$949,'09월 화학성분'!$A$12:$A$949,$A140,'09월 화학성분'!$D$12:$D$949,$B140)))</f>
        <v/>
      </c>
      <c r="P140" s="845" t="str">
        <f>IF($C140&lt;1,"",(AVERAGEIFS('09월 화학성분'!M$12:M$949,'09월 화학성분'!$A$12:$A$949,$A140,'09월 화학성분'!$D$12:$D$949,$B140)))</f>
        <v/>
      </c>
      <c r="Q140" s="827" t="str">
        <f>IFERROR(IF($C140&lt;1,"",(AVERAGEIFS('09월 조업일지'!$AA$12:$AA$952,'09월 조업일지'!$A$12:$A$952,$A140,'09월 조업일지'!$E$12:$E$952,$B140))),"")</f>
        <v/>
      </c>
      <c r="R140" s="845" t="str">
        <f>IF($C140&lt;1,"",(AVERAGEIFS('09월 조업일지'!$AK$12:$AK$952,'09월 조업일지'!$A$12:$A$952,$A140,'09월 조업일지'!$E$12:$E$952,$B140)))</f>
        <v/>
      </c>
      <c r="S140" s="845"/>
      <c r="T140" s="845"/>
      <c r="U140" s="845" t="str">
        <f>IF($C140&lt;1,"",(AVERAGEIFS('09월 화학성분'!$G$12:$G$949,'09월 화학성분'!$A$12:$A$949,$A140,'09월 화학성분'!$D$12:$D$949,$B140)))</f>
        <v/>
      </c>
      <c r="V140" s="845" t="str">
        <f>IF($C140&lt;1,"",(AVERAGEIFS('09월 조업일지'!$AI$12:$AI$952,'09월 조업일지'!$A$12:$A$952,$A140,'09월 조업일지'!$E$12:$E$952,$B140)))</f>
        <v/>
      </c>
      <c r="W140" s="846" t="str">
        <f>IF($C140&lt;1,"",(AVERAGEIFS('09월 화학성분'!$AM$12:$AM$949,'09월 화학성분'!$A$12:$A$949,$A140,'09월 화학성분'!$D$12:$D$949,$B140)))</f>
        <v/>
      </c>
      <c r="X140" s="829" t="str">
        <f>IF($C140&lt;1,"",(AVERAGEIFS('09월 화학성분'!N$12:N$949,'09월 화학성분'!$A$12:$A$949,$A140,'09월 화학성분'!$D$12:$D$949,$B140)))</f>
        <v/>
      </c>
      <c r="Y140" s="829" t="str">
        <f>IF($C140&lt;1,"",(AVERAGEIFS('09월 화학성분'!O$12:O$949,'09월 화학성분'!$A$12:$A$949,$A140,'09월 화학성분'!$D$12:$D$949,$B140)))</f>
        <v/>
      </c>
      <c r="Z140" s="829" t="str">
        <f>IF($C140&lt;1,"",(AVERAGEIFS('09월 화학성분'!P$12:P$949,'09월 화학성분'!$A$12:$A$949,$A140,'09월 화학성분'!$D$12:$D$949,$B140)))</f>
        <v/>
      </c>
      <c r="AA140" s="829" t="str">
        <f>IF($C140&lt;1,"",(AVERAGEIFS('09월 화학성분'!Q$12:Q$949,'09월 화학성분'!$A$12:$A$949,$A140,'09월 화학성분'!$D$12:$D$949,$B140)))</f>
        <v/>
      </c>
      <c r="AB140" s="829" t="str">
        <f>IF($C140&lt;1,"",(AVERAGEIFS('09월 화학성분'!R$12:R$949,'09월 화학성분'!$A$12:$A$949,$A140,'09월 화학성분'!$D$12:$D$949,$B140)))</f>
        <v/>
      </c>
      <c r="AC140" s="829" t="str">
        <f>IF($C140&lt;1,"",(AVERAGEIFS('09월 화학성분'!U$12:U$949,'09월 화학성분'!$A$12:$A$949,$A140,'09월 화학성분'!$D$12:$D$949,$B140)))</f>
        <v/>
      </c>
      <c r="AD140" s="829" t="str">
        <f>IF($C140&lt;1,"",(AVERAGEIFS('09월 화학성분'!V$12:V$949,'09월 화학성분'!$A$12:$A$949,$A140,'09월 화학성분'!$D$12:$D$949,$B140)))</f>
        <v/>
      </c>
      <c r="AE140" s="829" t="str">
        <f>IF($C140&lt;1,"",(AVERAGEIFS('09월 화학성분'!W$12:W$949,'09월 화학성분'!$A$12:$A$949,$A140,'09월 화학성분'!$D$12:$D$949,$B140)))</f>
        <v/>
      </c>
      <c r="AF140" s="829" t="str">
        <f>IF($C140&lt;1,"",(AVERAGEIFS('09월 화학성분'!AA$12:AA$949,'09월 화학성분'!$A$12:$A$949,$A140,'09월 화학성분'!$D$12:$D$949,$B140)))</f>
        <v/>
      </c>
      <c r="AG140" s="829" t="str">
        <f>IF($C140&lt;1,"",(AVERAGEIFS('09월 화학성분'!#REF!,'09월 화학성분'!$A$12:$A$949,$A140,'09월 화학성분'!$D$12:$D$949,$B140)))</f>
        <v/>
      </c>
      <c r="AH140" s="829" t="str">
        <f>IF($C140&lt;1,"",(AVERAGEIFS('09월 화학성분'!AB$12:AB$949,'09월 화학성분'!$A$12:$A$949,$A140,'09월 화학성분'!$D$12:$D$949,$B140)))</f>
        <v/>
      </c>
      <c r="AI140" s="829" t="str">
        <f>IF($C140&lt;1,"",(AVERAGEIFS('09월 화학성분'!AC$12:AC$949,'09월 화학성분'!$A$12:$A$949,$A140,'09월 화학성분'!$D$12:$D$949,$B140)))</f>
        <v/>
      </c>
      <c r="AJ140" s="829" t="str">
        <f>IF($C140&lt;1,"",(AVERAGEIFS('09월 화학성분'!AD$12:AD$949,'09월 화학성분'!$A$12:$A$949,$A140,'09월 화학성분'!$D$12:$D$949,$B140)))</f>
        <v/>
      </c>
      <c r="AK140" s="829" t="str">
        <f>IF($C140&lt;1,"",(AVERAGEIFS('09월 화학성분'!AF$12:AF$949,'09월 화학성분'!$A$12:$A$949,$A140,'09월 화학성분'!$D$12:$D$949,$B140)))</f>
        <v/>
      </c>
      <c r="AL140" s="829" t="str">
        <f>IF($C140&lt;1,"",(AVERAGEIFS('09월 화학성분'!AG$12:AG$949,'09월 화학성분'!$A$12:$A$949,$A140,'09월 화학성분'!$D$12:$D$949,$B140)))</f>
        <v/>
      </c>
      <c r="AM140" s="829" t="str">
        <f>IF($C140&lt;1,"",(AVERAGEIFS('09월 화학성분'!AH$12:AH$949,'09월 화학성분'!$A$12:$A$949,$A140,'09월 화학성분'!$D$12:$D$949,$B140)))</f>
        <v/>
      </c>
      <c r="AN140" s="829" t="str">
        <f>IF($C140&lt;1,"",(AVERAGEIFS('09월 화학성분'!AI$12:AI$949,'09월 화학성분'!$A$12:$A$949,$A140,'09월 화학성분'!$D$12:$D$949,$B140)))</f>
        <v/>
      </c>
      <c r="AO140" s="829" t="str">
        <f>IF($C140&lt;1,"",(AVERAGEIFS('09월 화학성분'!AJ$12:AJ$949,'09월 화학성분'!$A$12:$A$949,$A140,'09월 화학성분'!$D$12:$D$949,$B140)))</f>
        <v/>
      </c>
      <c r="AP140" s="829" t="str">
        <f>IF($C140&lt;1,"",(AVERAGEIFS('09월 화학성분'!#REF!,'09월 화학성분'!$A$12:$A$949,$A140,'09월 화학성분'!$D$12:$D$949,$B140)))</f>
        <v/>
      </c>
      <c r="AQ140" s="829" t="str">
        <f>IF($C140&lt;1,"",(AVERAGEIFS('09월 화학성분'!AL$12:AL$949,'09월 화학성분'!$A$12:$A$949,$A140,'09월 화학성분'!$D$12:$D$949,$B140)))</f>
        <v/>
      </c>
      <c r="AR140" s="829" t="str">
        <f>IF($C140&lt;1,"",(AVERAGEIFS('09월 화학성분'!AM$12:AM$949,'09월 화학성분'!$A$12:$A$949,$A140,'09월 화학성분'!$D$12:$D$949,$B140)))</f>
        <v/>
      </c>
      <c r="AS140" s="830" t="str">
        <f>IF($C140&lt;1,"",(AVERAGEIFS('09월 화학성분'!AN$12:AN$949,'09월 화학성분'!$A$12:$A$949,$A140,'09월 화학성분'!$D$12:$D$949,$B140)))</f>
        <v/>
      </c>
      <c r="AT140" s="830" t="str">
        <f>IF($C140&lt;1,"",(AVERAGEIFS('09월 화학성분'!AO$12:AO$949,'09월 화학성분'!$A$12:$A$949,$A140,'09월 화학성분'!$D$12:$D$949,$B140)))</f>
        <v/>
      </c>
      <c r="AU140" s="831" t="str">
        <f>IF($C140&lt;1,"",(AVERAGEIFS('09월 화학성분'!AP$12:AP$949,'09월 화학성분'!$A$12:$A$949,$A140,'09월 화학성분'!$D$12:$D$949,$B140)))</f>
        <v/>
      </c>
      <c r="AV140" s="832" t="str">
        <f>IF($C140&lt;1,"",(AVERAGEIFS('09월 고철장입'!G$14:G$949,'09월 고철장입'!$A$14:$A$949,$A140,'09월 고철장입'!$C$14:$C$949,$B140))/1000)</f>
        <v/>
      </c>
      <c r="AW140" s="832" t="str">
        <f>IF($C140&lt;1,"",(AVERAGEIFS('09월 고철장입'!H$14:H$949,'09월 고철장입'!$A$14:$A$949,$A140,'09월 고철장입'!$C$14:$C$949,$B140))/1000)</f>
        <v/>
      </c>
      <c r="AX140" s="832" t="str">
        <f>IF($C140&lt;1,"",(AVERAGEIFS('09월 고철장입'!I$14:I$949,'09월 고철장입'!$A$14:$A$949,$A140,'09월 고철장입'!$C$14:$C$949,$B140))/1000)</f>
        <v/>
      </c>
      <c r="AY140" s="832" t="str">
        <f>IF($C140&lt;1,"",(AVERAGEIFS('09월 고철장입'!J$14:J$949,'09월 고철장입'!$A$14:$A$949,$A140,'09월 고철장입'!$C$14:$C$949,$B140))/1000)</f>
        <v/>
      </c>
      <c r="AZ140" s="832" t="str">
        <f>IF($C140&lt;1,"",(AVERAGEIFS('09월 고철장입'!K$14:K$949,'09월 고철장입'!$A$14:$A$949,$A140,'09월 고철장입'!$C$14:$C$949,$B140))/1000)</f>
        <v/>
      </c>
      <c r="BA140" s="832" t="str">
        <f>IF($C140&lt;1,"",(AVERAGEIFS('09월 고철장입'!L$14:L$949,'09월 고철장입'!$A$14:$A$949,$A140,'09월 고철장입'!$C$14:$C$949,$B140))/1000)</f>
        <v/>
      </c>
      <c r="BB140" s="832" t="str">
        <f>IF($C140&lt;1,"",(AVERAGEIFS('09월 고철장입'!M$14:M$949,'09월 고철장입'!$A$14:$A$949,$A140,'09월 고철장입'!$C$14:$C$949,$B140))/1000)</f>
        <v/>
      </c>
      <c r="BC140" s="832" t="str">
        <f>IF($C140&lt;1,"",(AVERAGEIFS('09월 고철장입'!N$14:N$949,'09월 고철장입'!$A$14:$A$949,$A140,'09월 고철장입'!$C$14:$C$949,$B140))/1000)</f>
        <v/>
      </c>
      <c r="BD140" s="832" t="str">
        <f>IF($C140&lt;1,"",(AVERAGEIFS('09월 고철장입'!O$14:O$949,'09월 고철장입'!$A$14:$A$949,$A140,'09월 고철장입'!$C$14:$C$949,$B140))/1000)</f>
        <v/>
      </c>
      <c r="BE140" s="833" t="str">
        <f>IF($C140&lt;1,"",(AVERAGEIFS('09월 고철장입'!P$14:P$949,'09월 고철장입'!$A$14:$A$949,$A140,'09월 고철장입'!$C$14:$C$949,$B140))/1000)</f>
        <v/>
      </c>
      <c r="BF140" s="833" t="str">
        <f>IF($C140&lt;1,"",(AVERAGEIFS('09월 고철장입'!Q$14:Q$949,'09월 고철장입'!$A$14:$A$949,$A140,'09월 고철장입'!$C$14:$C$949,$B140))/1000)</f>
        <v/>
      </c>
      <c r="BG140" s="833" t="str">
        <f>IF($C140&lt;1,"",(AVERAGEIFS('09월 고철장입'!S$14:S$949,'09월 고철장입'!$A$14:$A$949,$A140,'09월 고철장입'!$C$14:$C$949,$B140))/1000)</f>
        <v/>
      </c>
      <c r="BH140" s="833" t="str">
        <f>IF($C140&lt;1,"",(AVERAGEIFS('09월 고철장입'!T$14:T$949,'09월 고철장입'!$A$14:$A$949,$A140,'09월 고철장입'!$C$14:$C$949,$B140))/1000)</f>
        <v/>
      </c>
      <c r="BI140" s="833" t="str">
        <f>IF($C140&lt;1,"",(AVERAGEIFS('09월 고철장입'!U$14:U$949,'09월 고철장입'!$A$14:$A$949,$A140,'09월 고철장입'!$C$14:$C$949,$B140))/1000)</f>
        <v/>
      </c>
      <c r="BJ140" s="833" t="str">
        <f>IF($C140&lt;1,"",(AVERAGEIFS('09월 고철장입'!V$14:V$949,'09월 고철장입'!$A$14:$A$949,$A140,'09월 고철장입'!$C$14:$C$949,$B140))/1000)</f>
        <v/>
      </c>
      <c r="BK140" s="833" t="str">
        <f>IF($C140&lt;1,"",(AVERAGEIFS('09월 고철장입'!W$14:W$949,'09월 고철장입'!$A$14:$A$949,$A140,'09월 고철장입'!$C$14:$C$949,$B140))/1000)</f>
        <v/>
      </c>
      <c r="BL140" s="833" t="str">
        <f>IF($C140&lt;1,"",(AVERAGEIFS('09월 고철장입'!Y$14:Y$949,'09월 고철장입'!$A$14:$A$949,$A140,'09월 고철장입'!$C$14:$C$949,$B140))/1000)</f>
        <v/>
      </c>
      <c r="BM140" s="833" t="str">
        <f>IF($C140&lt;1,"",(AVERAGEIFS('09월 고철장입'!AB$14:AB$949,'09월 고철장입'!$A$14:$A$949,$A140,'09월 고철장입'!$C$14:$C$949,$B140))/1000)</f>
        <v/>
      </c>
      <c r="BN140" s="833" t="str">
        <f>IF($C140&lt;1,"",(AVERAGEIFS('09월 고철장입'!AC$14:AC$949,'09월 고철장입'!$A$14:$A$949,$A140,'09월 고철장입'!$C$14:$C$949,$B140))/1000)</f>
        <v/>
      </c>
      <c r="BO140" s="833" t="str">
        <f>IF($C140&lt;1,"",(AVERAGEIFS('09월 고철장입'!AD$14:AD$949,'09월 고철장입'!$A$14:$A$949,$A140,'09월 고철장입'!$C$14:$C$949,$B140))/1000)</f>
        <v/>
      </c>
      <c r="BP140" s="833" t="str">
        <f>IF($C140&lt;1,"",(AVERAGEIFS('09월 고철장입'!AE$14:AE$949,'09월 고철장입'!$A$14:$A$949,$A140,'09월 고철장입'!$C$14:$C$949,$B140))/1000)</f>
        <v/>
      </c>
      <c r="BQ140" s="832" t="str">
        <f>IF($C140&lt;1,"",(AVERAGEIFS('09월 고철장입'!AF$14:AF$949,'09월 고철장입'!$A$14:$A$949,$A140,'09월 고철장입'!$C$14:$C$949,$B140))/1000)</f>
        <v/>
      </c>
      <c r="BR140" s="832" t="str">
        <f>IF($C140&lt;1,"",(AVERAGEIFS('09월 고철장입'!AG$14:AG$949,'09월 고철장입'!$A$14:$A$949,$A140,'09월 고철장입'!$C$14:$C$949,$B140))/1000)</f>
        <v/>
      </c>
      <c r="BS140" s="832" t="str">
        <f>IF($C140&lt;1,"",(AVERAGEIFS('09월 고철장입'!AH$14:AH$949,'09월 고철장입'!$A$14:$A$949,$A140,'09월 고철장입'!$C$14:$C$949,$B140))/1000)</f>
        <v/>
      </c>
      <c r="BT140" s="832" t="str">
        <f>IF($C140&lt;1,"",(AVERAGEIFS('09월 고철장입'!AI$14:AI$949,'09월 고철장입'!$A$14:$A$949,$A140,'09월 고철장입'!$C$14:$C$949,$B140))/1000)</f>
        <v/>
      </c>
      <c r="BU140" s="834" t="str">
        <f>IF($C140&lt;1,"",(AVERAGEIFS('09월 고철장입'!AJ$14:AJ$949,'09월 고철장입'!$A$14:$A$949,$A140,'09월 고철장입'!$C$14:$C$949,$B140))/1000)</f>
        <v/>
      </c>
      <c r="BV140" s="834" t="str">
        <f>IF($C140&lt;1,"",(AVERAGEIFS('09월 고철장입'!AK$14:AK$949,'09월 고철장입'!$A$14:$A$949,$A140,'09월 고철장입'!$C$14:$C$949,$B140)))</f>
        <v/>
      </c>
      <c r="BW140" s="834" t="str">
        <f>IF($C140&lt;1,"",(AVERAGEIFS('09월 고철장입'!AL$14:AL$949,'09월 고철장입'!$A$14:$A$949,$A140,'09월 고철장입'!$C$14:$C$949,$B140))*100)</f>
        <v/>
      </c>
      <c r="BX140" s="831" t="str">
        <f>IF($C140&lt;1,"",(AVERAGEIFS('09월 에너지'!G$14:G$949,'09월 에너지'!$A$14:$A$949,$A140,'09월 에너지'!$C$14:$C$949,$B140)))</f>
        <v/>
      </c>
      <c r="BY140" s="835" t="str">
        <f>IF($C140&lt;1,"",(AVERAGEIFS('09월 에너지'!H$14:H$949,'09월 에너지'!$A$14:$A$949,$A140,'09월 에너지'!$C$14:$C$949,$B140)))</f>
        <v/>
      </c>
      <c r="BZ140" s="831" t="str">
        <f>IF($C140&lt;1,"",(AVERAGEIFS('09월 에너지'!I$14:I$949,'09월 에너지'!$A$14:$A$949,$A140,'09월 에너지'!$C$14:$C$949,$B140)))</f>
        <v/>
      </c>
      <c r="CA140" s="835" t="str">
        <f>IF($C140&lt;1,"",(AVERAGEIFS('09월 에너지'!J$14:J$949,'09월 에너지'!$A$14:$A$949,$A140,'09월 에너지'!$C$14:$C$949,$B140)))</f>
        <v/>
      </c>
      <c r="CB140" s="831" t="str">
        <f>IF($C140&lt;1,"",(AVERAGEIFS('09월 에너지'!K$14:K$949,'09월 에너지'!$A$14:$A$949,$A140,'09월 에너지'!$C$14:$C$949,$B140)))</f>
        <v/>
      </c>
      <c r="CC140" s="835" t="str">
        <f>IF($C140&lt;1,"",(AVERAGEIFS('09월 에너지'!L$14:L$949,'09월 에너지'!$A$14:$A$949,$A140,'09월 에너지'!$C$14:$C$949,$B140)))</f>
        <v/>
      </c>
      <c r="CD140" s="831" t="str">
        <f>IF($C140&lt;1,"",(AVERAGEIFS('09월 에너지'!M$14:M$949,'09월 에너지'!$A$14:$A$949,$A140,'09월 에너지'!$C$14:$C$949,$B140)))</f>
        <v/>
      </c>
      <c r="CE140" s="835" t="str">
        <f>IF($C140&lt;1,"",(AVERAGEIFS('09월 에너지'!N$14:N$949,'09월 에너지'!$A$14:$A$949,$A140,'09월 에너지'!$C$14:$C$949,$B140)))</f>
        <v/>
      </c>
      <c r="CF140" s="831" t="str">
        <f>IF($C140&lt;1,"",(AVERAGEIFS('09월 에너지'!O$14:O$949,'09월 에너지'!$A$14:$A$949,$A140,'09월 에너지'!$C$14:$C$949,$B140)))</f>
        <v/>
      </c>
      <c r="CG140" s="831" t="str">
        <f>IF($C140&lt;1,"",(AVERAGEIFS('09월 에너지'!P$14:P$949,'09월 에너지'!$A$14:$A$949,$A140,'09월 에너지'!$C$14:$C$949,$B140)))</f>
        <v/>
      </c>
      <c r="CH140" s="831" t="str">
        <f>IF($C140&lt;1,"",(AVERAGEIFS('09월 에너지'!Q$14:Q$949,'09월 에너지'!$A$14:$A$949,$A140,'09월 에너지'!$C$14:$C$949,$B140)))</f>
        <v/>
      </c>
      <c r="CI140" s="831" t="str">
        <f>IF($C140&lt;1,"",(AVERAGEIFS('09월 에너지'!R$14:R$949,'09월 에너지'!$A$14:$A$949,$A140,'09월 에너지'!$C$14:$C$949,$B140)))</f>
        <v/>
      </c>
      <c r="CJ140" s="831" t="str">
        <f>IF($C140&lt;1,"",(AVERAGEIFS('09월 에너지'!S$14:S$949,'09월 에너지'!$A$14:$A$949,$A140,'09월 에너지'!$C$14:$C$949,$B140)))</f>
        <v/>
      </c>
      <c r="CK140" s="831" t="str">
        <f>IF($C140&lt;1,"",(AVERAGEIFS('09월 에너지'!T$14:T$949,'09월 에너지'!$A$14:$A$949,$A140,'09월 에너지'!$C$14:$C$949,$B140)))</f>
        <v/>
      </c>
      <c r="CL140" s="831" t="str">
        <f>IF($C140&lt;1,"",(AVERAGEIFS('09월 에너지'!U$14:U$949,'09월 에너지'!$A$14:$A$949,$A140,'09월 에너지'!$C$14:$C$949,$B140)))</f>
        <v/>
      </c>
      <c r="CM140" s="835" t="str">
        <f>IF($C140&lt;1,"",(AVERAGEIFS('09월 에너지'!V$14:V$949,'09월 에너지'!$A$14:$A$949,$A140,'09월 에너지'!$C$14:$C$949,$B140)))</f>
        <v/>
      </c>
      <c r="CN140" s="835" t="str">
        <f>IF($C140&lt;1,"",(AVERAGEIFS('09월 에너지'!W$14:W$949,'09월 에너지'!$A$14:$A$949,$A140,'09월 에너지'!$C$14:$C$949,$B140)))</f>
        <v/>
      </c>
      <c r="CO140" s="831" t="str">
        <f>IF($C140&lt;1,"",(AVERAGEIFS('09월 에너지'!X$14:X$949,'09월 에너지'!$A$14:$A$949,$A140,'09월 에너지'!$C$14:$C$949,$B140)))</f>
        <v/>
      </c>
      <c r="CP140" s="835" t="str">
        <f>IF($C140&lt;1,"",(AVERAGEIFS('09월 에너지'!Y$14:Y$949,'09월 에너지'!$A$14:$A$949,$A140,'09월 에너지'!$C$14:$C$949,$B140)))</f>
        <v/>
      </c>
      <c r="CQ140" s="835" t="str">
        <f>IF($C140&lt;1,"",(AVERAGEIFS('09월 에너지'!Z$14:Z$949,'09월 에너지'!$A$14:$A$949,$A140,'09월 에너지'!$C$14:$C$949,$B140)))</f>
        <v/>
      </c>
      <c r="CR140" s="835" t="str">
        <f>IF($C140&lt;1,"",(AVERAGEIFS('09월 에너지'!AA$14:AA$949,'09월 에너지'!$A$14:$A$949,$A140,'09월 에너지'!$C$14:$C$949,$B140)))</f>
        <v/>
      </c>
      <c r="CS140" s="835" t="str">
        <f>IF($C140&lt;1,"",(AVERAGEIFS('09월 에너지'!AB$14:AB$949,'09월 에너지'!$A$14:$A$949,$A140,'09월 에너지'!$C$14:$C$949,$B140)))</f>
        <v/>
      </c>
      <c r="CT140" s="831" t="str">
        <f>IF($C140&lt;1,"",(AVERAGEIFS('09월 에너지'!AC$14:AC$949,'09월 에너지'!$A$14:$A$949,$A140,'09월 에너지'!$C$14:$C$949,$B140)))</f>
        <v/>
      </c>
      <c r="CU140" s="836" t="str">
        <f>IF($C140&lt;1,"",(AVERAGEIFS('09월 에너지'!AD$14:AD$949,'09월 에너지'!$A$14:$A$949,$A140,'09월 에너지'!$C$14:$C$949,$B140)))</f>
        <v/>
      </c>
      <c r="CV140" s="837" t="str">
        <f>IF($C140&lt;1,"",(AVERAGEIFS('09월 에너지'!AE$14:AE$949,'09월 에너지'!$A$14:$A$949,$A140,'09월 에너지'!$C$14:$C$949,$B140)))</f>
        <v/>
      </c>
      <c r="CW140" s="831" t="str">
        <f>IF($C140&lt;1,"",(AVERAGEIFS('09월 에너지'!AF$14:AF$949,'09월 에너지'!$A$14:$A$949,$A140,'09월 에너지'!$C$14:$C$949,$B140)))</f>
        <v/>
      </c>
      <c r="CX140" s="831" t="str">
        <f>IF($C140&lt;1,"",(AVERAGEIFS('09월 에너지'!AG$14:AG$949,'09월 에너지'!$A$14:$A$949,$A140,'09월 에너지'!$C$14:$C$949,$B140)))</f>
        <v/>
      </c>
      <c r="CY140" s="831" t="str">
        <f>IF($C140&lt;1,"",(AVERAGEIFS('09월 에너지'!AH$14:AH$949,'09월 에너지'!$A$14:$A$949,$A140,'09월 에너지'!$C$14:$C$949,$B140)))</f>
        <v/>
      </c>
      <c r="CZ140" s="831" t="str">
        <f>IF($C140&lt;1,"",(AVERAGEIFS('09월 에너지'!AI$14:AI$949,'09월 에너지'!$A$14:$A$949,$A140,'09월 에너지'!$C$14:$C$949,$B140)))</f>
        <v/>
      </c>
      <c r="DA140" s="838" t="str">
        <f>IF($C140&lt;1,"",(AVERAGEIFS('09월 에너지'!AJ$14:AJ$949,'09월 에너지'!$A$14:$A$949,$A140,'09월 에너지'!$C$14:$C$949,$B140)))</f>
        <v/>
      </c>
    </row>
    <row r="141" spans="1:105" ht="13.5" customHeight="1">
      <c r="A141" s="847">
        <f>A136+1</f>
        <v>44954</v>
      </c>
      <c r="B141" s="848" t="s">
        <v>31</v>
      </c>
      <c r="C141" s="810">
        <f>COUNTIF('09월 조업일지'!$A$12:$A$952,A141)</f>
        <v>0</v>
      </c>
      <c r="D141" s="787" t="str">
        <f>IF(C141&lt;1,"",F141-E141)</f>
        <v/>
      </c>
      <c r="E141" s="787" t="str">
        <f>IF($C141&lt;1,"",(SUMIF('09월 조업일지'!$A$12:$A$952,$A141,'09월 조업일지'!$K$12:$K$952))/C141)</f>
        <v/>
      </c>
      <c r="F141" s="787" t="str">
        <f>IF($C141&lt;1,"",AVERAGEIF('09월 조업일지'!$A$12:$A$952,$A141,'09월 조업일지'!$J$12:$J$952))</f>
        <v/>
      </c>
      <c r="G141" s="811" t="str">
        <f>IF($C141&lt;1,"",AVERAGEIF('09월 에너지'!$A$14:$A$949,$A141,'09월 에너지'!$M$14:M$949))</f>
        <v/>
      </c>
      <c r="H141" s="812" t="str">
        <f>IF($C141&lt;1,"",AVERAGEIF('09월 조업일지'!$A$12:$A$952,$A141,'09월 조업일지'!$AJ$12:$AJ$952))</f>
        <v/>
      </c>
      <c r="I141" s="812" t="str">
        <f>IF($C141&lt;1,"",AVERAGEIF('09월 조업일지'!$A$12:$A$952,$A141,'09월 조업일지'!$AL$12:$AL$952))</f>
        <v/>
      </c>
      <c r="J141" s="813" t="str">
        <f>IF($C141&lt;1,"",AVERAGEIF('09월 화학성분'!$A$12:$A$949,$A141,'09월 화학성분'!G$12:G$949))</f>
        <v/>
      </c>
      <c r="K141" s="813" t="str">
        <f>IF($C141&lt;1,"",AVERAGEIF('09월 화학성분'!$A$12:$A$949,$A141,'09월 화학성분'!H$12:H$949))</f>
        <v/>
      </c>
      <c r="L141" s="813" t="str">
        <f>IF($C141&lt;1,"",AVERAGEIF('09월 화학성분'!$A$12:$A$949,$A141,'09월 화학성분'!I$12:I$949))</f>
        <v/>
      </c>
      <c r="M141" s="813" t="str">
        <f>IF($C141&lt;1,"",AVERAGEIF('09월 화학성분'!$A$12:$A$949,$A141,'09월 화학성분'!J$12:J$949))</f>
        <v/>
      </c>
      <c r="N141" s="813" t="str">
        <f>IF($C141&lt;1,"",AVERAGEIF('09월 화학성분'!$A$12:$A$949,$A141,'09월 화학성분'!K$12:K$949))</f>
        <v/>
      </c>
      <c r="O141" s="813" t="str">
        <f>IF($C141&lt;1,"",AVERAGEIF('09월 화학성분'!$A$12:$A$949,$A141,'09월 화학성분'!L$12:L$949))</f>
        <v/>
      </c>
      <c r="P141" s="813" t="str">
        <f>IF($C141&lt;1,"",AVERAGEIF('09월 화학성분'!$A$12:$A$949,$A141,'09월 화학성분'!M$12:M$949))</f>
        <v/>
      </c>
      <c r="Q141" s="814" t="str">
        <f>IF($C141&lt;1,"",AVERAGEIF('09월 조업일지'!$A$12:$A$952,$A141,'09월 조업일지'!$AA$12:$AA$952))</f>
        <v/>
      </c>
      <c r="R141" s="814" t="str">
        <f>IF($C141&lt;1,"",AVERAGEIF('09월 조업일지'!$A$12:$A$952,$A141,'09월 조업일지'!$AK$12:$AK$952))</f>
        <v/>
      </c>
      <c r="S141" s="814"/>
      <c r="T141" s="814"/>
      <c r="U141" s="813" t="str">
        <f>IF($C141&lt;1,"",AVERAGEIF('09월 화학성분'!$A$12:$A$949,$A141,'09월 화학성분'!$G$12:$G$949))</f>
        <v/>
      </c>
      <c r="V141" s="814" t="str">
        <f>IF($C141&lt;1,"",AVERAGEIF('09월 조업일지'!$A$12:$A$952,$A141,'09월 조업일지'!$AI$12:$AI$952))</f>
        <v/>
      </c>
      <c r="W141" s="813" t="str">
        <f>IF($C141&lt;1,"",AVERAGEIF('09월 화학성분'!$A$12:$A$949,$A141,'09월 화학성분'!$AM$12:$AM$949))</f>
        <v/>
      </c>
      <c r="X141" s="815" t="str">
        <f>IF($C141&lt;1,"",AVERAGEIF('09월 화학성분'!$A$12:$A$949,$A141,'09월 화학성분'!N$12:N$949))</f>
        <v/>
      </c>
      <c r="Y141" s="815" t="str">
        <f>IF($C141&lt;1,"",AVERAGEIF('09월 화학성분'!$A$12:$A$949,$A141,'09월 화학성분'!O$12:O$949))</f>
        <v/>
      </c>
      <c r="Z141" s="815" t="str">
        <f>IF($C141&lt;1,"",AVERAGEIF('09월 화학성분'!$A$12:$A$949,$A141,'09월 화학성분'!P$12:P$949))</f>
        <v/>
      </c>
      <c r="AA141" s="815" t="str">
        <f>IF($C141&lt;1,"",AVERAGEIF('09월 화학성분'!$A$12:$A$949,$A141,'09월 화학성분'!Q$12:Q$949))</f>
        <v/>
      </c>
      <c r="AB141" s="815" t="str">
        <f>IF($C141&lt;1,"",AVERAGEIF('09월 화학성분'!$A$12:$A$949,$A141,'09월 화학성분'!R$12:R$949))</f>
        <v/>
      </c>
      <c r="AC141" s="815" t="str">
        <f>IF($C141&lt;1,"",AVERAGEIF('09월 화학성분'!$A$12:$A$949,$A141,'09월 화학성분'!U$12:U$949))</f>
        <v/>
      </c>
      <c r="AD141" s="815" t="str">
        <f>IF($C141&lt;1,"",AVERAGEIF('09월 화학성분'!$A$12:$A$949,$A141,'09월 화학성분'!V$12:V$949))</f>
        <v/>
      </c>
      <c r="AE141" s="815" t="str">
        <f>IF($C141&lt;1,"",AVERAGEIF('09월 화학성분'!$A$12:$A$949,$A141,'09월 화학성분'!W$12:W$949))</f>
        <v/>
      </c>
      <c r="AF141" s="815" t="str">
        <f>IF($C141&lt;1,"",AVERAGEIF('09월 화학성분'!$A$12:$A$949,$A141,'09월 화학성분'!AA$12:AA$949))</f>
        <v/>
      </c>
      <c r="AG141" s="815" t="str">
        <f>IF($C141&lt;1,"",AVERAGEIF('09월 화학성분'!$A$12:$A$949,$A141,'09월 화학성분'!#REF!))</f>
        <v/>
      </c>
      <c r="AH141" s="815" t="str">
        <f>IF($C141&lt;1,"",AVERAGEIF('09월 화학성분'!$A$12:$A$949,$A141,'09월 화학성분'!AB$12:AB$949))</f>
        <v/>
      </c>
      <c r="AI141" s="815" t="str">
        <f>IF($C141&lt;1,"",AVERAGEIF('09월 화학성분'!$A$12:$A$949,$A141,'09월 화학성분'!AC$12:AC$949))</f>
        <v/>
      </c>
      <c r="AJ141" s="815" t="str">
        <f>IF($C141&lt;1,"",AVERAGEIF('09월 화학성분'!$A$12:$A$949,$A141,'09월 화학성분'!AD$12:AD$949))</f>
        <v/>
      </c>
      <c r="AK141" s="815" t="str">
        <f>IF($C141&lt;1,"",AVERAGEIF('09월 화학성분'!$A$12:$A$949,$A141,'09월 화학성분'!AF$12:AF$949))</f>
        <v/>
      </c>
      <c r="AL141" s="815" t="str">
        <f>IF($C141&lt;1,"",AVERAGEIF('09월 화학성분'!$A$12:$A$949,$A141,'09월 화학성분'!AG$12:AG$949))</f>
        <v/>
      </c>
      <c r="AM141" s="815" t="str">
        <f>IF($C141&lt;1,"",AVERAGEIF('09월 화학성분'!$A$12:$A$949,$A141,'09월 화학성분'!AH$12:AH$949))</f>
        <v/>
      </c>
      <c r="AN141" s="815" t="str">
        <f>IF($C141&lt;1,"",AVERAGEIF('09월 화학성분'!$A$12:$A$949,$A141,'09월 화학성분'!AI$12:AI$949))</f>
        <v/>
      </c>
      <c r="AO141" s="815" t="str">
        <f>IF($C141&lt;1,"",AVERAGEIF('09월 화학성분'!$A$12:$A$949,$A141,'09월 화학성분'!AJ$12:AJ$949))</f>
        <v/>
      </c>
      <c r="AP141" s="815" t="str">
        <f>IF($C141&lt;1,"",AVERAGEIF('09월 화학성분'!$A$12:$A$949,$A141,'09월 화학성분'!#REF!))</f>
        <v/>
      </c>
      <c r="AQ141" s="815" t="str">
        <f>IF($C141&lt;1,"",AVERAGEIF('09월 화학성분'!$A$12:$A$949,$A141,'09월 화학성분'!AL$12:AL$949))</f>
        <v/>
      </c>
      <c r="AR141" s="815" t="str">
        <f>IF($C141&lt;1,"",AVERAGEIF('09월 화학성분'!$A$12:$A$949,$A141,'09월 화학성분'!AM$12:AM$949))</f>
        <v/>
      </c>
      <c r="AS141" s="816" t="str">
        <f>IF($C141&lt;1,"",AVERAGEIF('09월 화학성분'!$A$12:$A$949,$A141,'09월 화학성분'!AN$12:AN$949))</f>
        <v/>
      </c>
      <c r="AT141" s="816" t="str">
        <f>IF($C141&lt;1,"",AVERAGEIF('09월 화학성분'!$A$12:$A$949,$A141,'09월 화학성분'!AO$12:AO$949))</f>
        <v/>
      </c>
      <c r="AU141" s="815" t="str">
        <f>IF($C141&lt;1,"",AVERAGEIF('09월 화학성분'!$A$12:$A$949,$A141,'09월 화학성분'!AP$12:AP$949))</f>
        <v/>
      </c>
      <c r="AV141" s="815" t="str">
        <f>IF($C141&lt;1,"",AVERAGEIF('09월 고철장입'!$A$14:$A$949,$A141,'09월 고철장입'!G$14:G$949)/1000)</f>
        <v/>
      </c>
      <c r="AW141" s="815" t="str">
        <f>IF($C141&lt;1,"",AVERAGEIF('09월 고철장입'!$A$14:$A$949,$A141,'09월 고철장입'!H$14:H$949)/1000)</f>
        <v/>
      </c>
      <c r="AX141" s="815" t="str">
        <f>IF($C141&lt;1,"",AVERAGEIF('09월 고철장입'!$A$14:$A$949,$A141,'09월 고철장입'!I$14:I$949)/1000)</f>
        <v/>
      </c>
      <c r="AY141" s="815" t="str">
        <f>IF($C141&lt;1,"",AVERAGEIF('09월 고철장입'!$A$14:$A$949,$A141,'09월 고철장입'!J$14:J$949)/1000)</f>
        <v/>
      </c>
      <c r="AZ141" s="815" t="str">
        <f>IF($C141&lt;1,"",AVERAGEIF('09월 고철장입'!$A$14:$A$949,$A141,'09월 고철장입'!K$14:K$949)/1000)</f>
        <v/>
      </c>
      <c r="BA141" s="815" t="str">
        <f>IF($C141&lt;1,"",AVERAGEIF('09월 고철장입'!$A$14:$A$949,$A141,'09월 고철장입'!L$14:L$949)/1000)</f>
        <v/>
      </c>
      <c r="BB141" s="815" t="str">
        <f>IF($C141&lt;1,"",AVERAGEIF('09월 고철장입'!$A$14:$A$949,$A141,'09월 고철장입'!M$14:M$949)/1000)</f>
        <v/>
      </c>
      <c r="BC141" s="815" t="str">
        <f>IF($C141&lt;1,"",AVERAGEIF('09월 고철장입'!$A$14:$A$949,$A141,'09월 고철장입'!N$14:N$949)/1000)</f>
        <v/>
      </c>
      <c r="BD141" s="815" t="str">
        <f>IF($C141&lt;1,"",AVERAGEIF('09월 고철장입'!$A$14:$A$949,$A141,'09월 고철장입'!O$14:O$949)/1000)</f>
        <v/>
      </c>
      <c r="BE141" s="815" t="str">
        <f>IF($C141&lt;1,"",AVERAGEIF('09월 고철장입'!$A$14:$A$949,$A141,'09월 고철장입'!P$14:P$949)/1000)</f>
        <v/>
      </c>
      <c r="BF141" s="815" t="str">
        <f>IF($C141&lt;1,"",AVERAGEIF('09월 고철장입'!$A$14:$A$949,$A141,'09월 고철장입'!Q$14:Q$949)/1000)</f>
        <v/>
      </c>
      <c r="BG141" s="815" t="str">
        <f>IF($C141&lt;1,"",AVERAGEIF('09월 고철장입'!$A$14:$A$949,$A141,'09월 고철장입'!S$14:S$949)/1000)</f>
        <v/>
      </c>
      <c r="BH141" s="815" t="str">
        <f>IF($C141&lt;1,"",AVERAGEIF('09월 고철장입'!$A$14:$A$949,$A141,'09월 고철장입'!T$14:T$949)/1000)</f>
        <v/>
      </c>
      <c r="BI141" s="815" t="str">
        <f>IF($C141&lt;1,"",AVERAGEIF('09월 고철장입'!$A$14:$A$949,$A141,'09월 고철장입'!U$14:U$949)/1000)</f>
        <v/>
      </c>
      <c r="BJ141" s="815" t="str">
        <f>IF($C141&lt;1,"",AVERAGEIF('09월 고철장입'!$A$14:$A$949,$A141,'09월 고철장입'!V$14:V$949)/1000)</f>
        <v/>
      </c>
      <c r="BK141" s="815" t="str">
        <f>IF($C141&lt;1,"",AVERAGEIF('09월 고철장입'!$A$14:$A$949,$A141,'09월 고철장입'!W$14:W$949)/1000)</f>
        <v/>
      </c>
      <c r="BL141" s="815" t="str">
        <f>IF($C141&lt;1,"",AVERAGEIF('09월 고철장입'!$A$14:$A$949,$A141,'09월 고철장입'!Y$14:Y$949)/1000)</f>
        <v/>
      </c>
      <c r="BM141" s="815" t="str">
        <f>IF($C141&lt;1,"",AVERAGEIF('09월 고철장입'!$A$14:$A$949,$A141,'09월 고철장입'!AB$14:AB$949)/1000)</f>
        <v/>
      </c>
      <c r="BN141" s="815" t="str">
        <f>IF($C141&lt;1,"",AVERAGEIF('09월 고철장입'!$A$14:$A$949,$A141,'09월 고철장입'!AC$14:AC$949)/1000)</f>
        <v/>
      </c>
      <c r="BO141" s="815" t="str">
        <f>IF($C141&lt;1,"",AVERAGEIF('09월 고철장입'!$A$14:$A$949,$A141,'09월 고철장입'!AD$14:AD$949)/1000)</f>
        <v/>
      </c>
      <c r="BP141" s="815" t="str">
        <f>IF($C141&lt;1,"",AVERAGEIF('09월 고철장입'!$A$14:$A$949,$A141,'09월 고철장입'!AE$14:AE$949)/1000)</f>
        <v/>
      </c>
      <c r="BQ141" s="815" t="str">
        <f>IF($C141&lt;1,"",AVERAGEIF('09월 고철장입'!$A$14:$A$949,$A141,'09월 고철장입'!AF$14:AF$949)/1000)</f>
        <v/>
      </c>
      <c r="BR141" s="815" t="str">
        <f>IF($C141&lt;1,"",AVERAGEIF('09월 고철장입'!$A$14:$A$949,$A141,'09월 고철장입'!AG$14:AG$949)/1000)</f>
        <v/>
      </c>
      <c r="BS141" s="815" t="str">
        <f>IF($C141&lt;1,"",AVERAGEIF('09월 고철장입'!$A$14:$A$949,$A141,'09월 고철장입'!AH$14:AH$949)/1000)</f>
        <v/>
      </c>
      <c r="BT141" s="815" t="str">
        <f>IF($C141&lt;1,"",AVERAGEIF('09월 고철장입'!$A$14:$A$949,$A141,'09월 고철장입'!AI$14:AI$949)/1000)</f>
        <v/>
      </c>
      <c r="BU141" s="815" t="str">
        <f>IF($C141&lt;1,"",AVERAGEIF('09월 고철장입'!$A$14:$A$949,$A141,'09월 고철장입'!AJ$14:AJ$949)/1000)</f>
        <v/>
      </c>
      <c r="BV141" s="815" t="str">
        <f>IF($C141&lt;1,"",AVERAGEIF('09월 고철장입'!$A$14:$A$949,$A141,'09월 고철장입'!AK$14:AK$949))</f>
        <v/>
      </c>
      <c r="BW141" s="815" t="str">
        <f>IF($C141&lt;1,"",AVERAGEIF('09월 고철장입'!$A$14:$A$949,$A141,'09월 고철장입'!AL$14:AL$949)*100)</f>
        <v/>
      </c>
      <c r="BX141" s="815" t="str">
        <f>IF($C141&lt;1,"",AVERAGEIF('09월 에너지'!$A$14:$A$949,$A141,'09월 에너지'!G$14:G$949))</f>
        <v/>
      </c>
      <c r="BY141" s="817" t="str">
        <f>IF($C141&lt;1,"",AVERAGEIF('09월 에너지'!$A$14:$A$949,$A141,'09월 에너지'!H$14:H$949))</f>
        <v/>
      </c>
      <c r="BZ141" s="815" t="str">
        <f>IF($C141&lt;1,"",AVERAGEIF('09월 에너지'!$A$14:$A$949,$A141,'09월 에너지'!I$14:I$949))</f>
        <v/>
      </c>
      <c r="CA141" s="817" t="str">
        <f>IF($C141&lt;1,"",AVERAGEIF('09월 에너지'!$A$14:$A$949,$A141,'09월 에너지'!J$14:J$949))</f>
        <v/>
      </c>
      <c r="CB141" s="815" t="str">
        <f>IF($C141&lt;1,"",AVERAGEIF('09월 에너지'!$A$14:$A$949,$A141,'09월 에너지'!K$14:K$949))</f>
        <v/>
      </c>
      <c r="CC141" s="817" t="str">
        <f>IF($C141&lt;1,"",AVERAGEIF('09월 에너지'!$A$14:$A$949,$A141,'09월 에너지'!L$14:L$949))</f>
        <v/>
      </c>
      <c r="CD141" s="815" t="str">
        <f>IF($C141&lt;1,"",AVERAGEIF('09월 에너지'!$A$14:$A$949,$A141,'09월 에너지'!M$14:M$949))</f>
        <v/>
      </c>
      <c r="CE141" s="817" t="str">
        <f>IF($C141&lt;1,"",AVERAGEIF('09월 에너지'!$A$14:$A$949,$A141,'09월 에너지'!N$14:N$949))</f>
        <v/>
      </c>
      <c r="CF141" s="815" t="str">
        <f>IF($C141&lt;1,"",AVERAGEIF('09월 에너지'!$A$14:$A$949,$A141,'09월 에너지'!O$14:O$949))</f>
        <v/>
      </c>
      <c r="CG141" s="815" t="str">
        <f>IF($C141&lt;1,"",AVERAGEIF('09월 에너지'!$A$14:$A$949,$A141,'09월 에너지'!P$14:P$949))</f>
        <v/>
      </c>
      <c r="CH141" s="815" t="str">
        <f>IF($C141&lt;1,"",AVERAGEIF('09월 에너지'!$A$14:$A$949,$A141,'09월 에너지'!Q$14:Q$949))</f>
        <v/>
      </c>
      <c r="CI141" s="815" t="str">
        <f>IF($C141&lt;1,"",AVERAGEIF('09월 에너지'!$A$14:$A$949,$A141,'09월 에너지'!R$14:R$949))</f>
        <v/>
      </c>
      <c r="CJ141" s="815" t="str">
        <f>IF($C141&lt;1,"",AVERAGEIF('09월 에너지'!$A$14:$A$949,$A141,'09월 에너지'!S$14:S$949))</f>
        <v/>
      </c>
      <c r="CK141" s="815" t="str">
        <f>IF($C141&lt;1,"",AVERAGEIF('09월 에너지'!$A$14:$A$949,$A141,'09월 에너지'!T$14:T$949))</f>
        <v/>
      </c>
      <c r="CL141" s="815" t="str">
        <f>IF($C141&lt;1,"",AVERAGEIF('09월 에너지'!$A$14:$A$949,$A141,'09월 에너지'!U$14:U$949))</f>
        <v/>
      </c>
      <c r="CM141" s="817" t="str">
        <f>IF($C141&lt;1,"",AVERAGEIF('09월 에너지'!$A$14:$A$949,$A141,'09월 에너지'!V$14:V$949))</f>
        <v/>
      </c>
      <c r="CN141" s="817" t="str">
        <f>IF($C141&lt;1,"",AVERAGEIF('09월 에너지'!$A$14:$A$949,$A141,'09월 에너지'!W$14:W$949))</f>
        <v/>
      </c>
      <c r="CO141" s="815" t="str">
        <f>IF($C141&lt;1,"",AVERAGEIF('09월 에너지'!$A$14:$A$949,$A141,'09월 에너지'!X$14:X$949))</f>
        <v/>
      </c>
      <c r="CP141" s="817" t="str">
        <f>IF($C141&lt;1,"",AVERAGEIF('09월 에너지'!$A$14:$A$949,$A141,'09월 에너지'!Y$14:Y$949))</f>
        <v/>
      </c>
      <c r="CQ141" s="817" t="str">
        <f>IF($C141&lt;1,"",AVERAGEIF('09월 에너지'!$A$14:$A$949,$A141,'09월 에너지'!Z$14:Z$949))</f>
        <v/>
      </c>
      <c r="CR141" s="817" t="str">
        <f>IF($C141&lt;1,"",AVERAGEIF('09월 에너지'!$A$14:$A$949,$A141,'09월 에너지'!AA$14:AA$949))</f>
        <v/>
      </c>
      <c r="CS141" s="817" t="str">
        <f>IF($C141&lt;1,"",AVERAGEIF('09월 에너지'!$A$14:$A$949,$A141,'09월 에너지'!AB$14:AB$949))</f>
        <v/>
      </c>
      <c r="CT141" s="815" t="str">
        <f>IF($C141&lt;1,"",AVERAGEIF('09월 에너지'!$A$14:$A$949,$A141,'09월 에너지'!AC$14:AC$949))</f>
        <v/>
      </c>
      <c r="CU141" s="818" t="str">
        <f>IF($C141&lt;1,"",AVERAGEIF('09월 에너지'!$A$14:$A$949,$A141,'09월 에너지'!AD$14:AD$949))</f>
        <v/>
      </c>
      <c r="CV141" s="819" t="str">
        <f>IF($C141&lt;1,"",AVERAGEIF('09월 에너지'!$A$14:$A$949,$A141,'09월 에너지'!AE$14:AE$949))</f>
        <v/>
      </c>
      <c r="CW141" s="815" t="str">
        <f>IF($C141&lt;1,"",AVERAGEIF('09월 에너지'!$A$14:$A$949,$A141,'09월 에너지'!AF$14:AF$949))</f>
        <v/>
      </c>
      <c r="CX141" s="815" t="str">
        <f>IF($C141&lt;1,"",AVERAGEIF('09월 에너지'!$A$14:$A$949,$A141,'09월 에너지'!AG$14:AG$949))</f>
        <v/>
      </c>
      <c r="CY141" s="815" t="str">
        <f>IF($C141&lt;1,"",AVERAGEIF('09월 에너지'!$A$14:$A$949,$A141,'09월 에너지'!AH$14:AH$949))</f>
        <v/>
      </c>
      <c r="CZ141" s="815" t="str">
        <f>IF($C141&lt;1,"",AVERAGEIF('09월 에너지'!$A$14:$A$949,$A141,'09월 에너지'!AI$14:AI$949))</f>
        <v/>
      </c>
      <c r="DA141" s="820" t="str">
        <f>IF($C141&lt;1,"",AVERAGEIF('09월 에너지'!$A$14:$A$949,$A141,'09월 에너지'!AJ$14:AJ$949))</f>
        <v/>
      </c>
    </row>
    <row r="142" spans="1:105" ht="13.5" customHeight="1">
      <c r="A142" s="849">
        <f t="shared" si="20"/>
        <v>44954</v>
      </c>
      <c r="B142" s="850" t="s">
        <v>9</v>
      </c>
      <c r="C142" s="823">
        <f>COUNTIFS('09월 조업일지'!$A$12:$A$952,A141,'09월 조업일지'!$E$12:$E$952,B142)</f>
        <v>0</v>
      </c>
      <c r="D142" s="824" t="str">
        <f>IF(C142&lt;1,"",F142-E142)</f>
        <v/>
      </c>
      <c r="E142" s="824" t="str">
        <f>IF($C142&lt;1,"",(SUMIFS('09월 조업일지'!$K$12:$K$952,'09월 조업일지'!$A$12:$A$952,$A142,'09월 조업일지'!$E$12:$E$952,$B142)/$C142))</f>
        <v/>
      </c>
      <c r="F142" s="824" t="str">
        <f>IF($C142&lt;1,"",(AVERAGEIFS('09월 조업일지'!$J$12:$J$952,'09월 조업일지'!$A$12:$A$952,$A142,'09월 조업일지'!$E$12:$E$952,$B142)))</f>
        <v/>
      </c>
      <c r="G142" s="825" t="str">
        <f>IF($C142&lt;1,"",(AVERAGEIFS('09월 에너지'!$M$14:$M$949,'09월 에너지'!$A$14:$A$949,$A142,'09월 에너지'!$C$14:$C$949,$B142)))</f>
        <v/>
      </c>
      <c r="H142" s="826" t="str">
        <f>IF($C142&lt;1,"",(AVERAGEIFS('09월 조업일지'!$AJ$12:$AJ$952,'09월 조업일지'!$A$12:$A$952,$A142,'09월 조업일지'!$E$12:$E$952,$B142)))</f>
        <v/>
      </c>
      <c r="I142" s="826" t="str">
        <f>IF($C142&lt;1,"",(AVERAGEIFS('09월 조업일지'!$AL$12:$AL$952,'09월 조업일지'!$A$12:$A$952,$A142,'09월 조업일지'!$E$12:$E$952,$B142)))</f>
        <v/>
      </c>
      <c r="J142" s="827" t="str">
        <f>IF($C142&lt;1,"",(AVERAGEIFS('09월 화학성분'!G$12:G$949,'09월 화학성분'!$A$12:$A$949,$A142,'09월 화학성분'!$D$12:$D$949,$B142)))</f>
        <v/>
      </c>
      <c r="K142" s="827" t="str">
        <f>IF($C142&lt;1,"",(AVERAGEIFS('09월 화학성분'!H$12:H$949,'09월 화학성분'!$A$12:$A$949,$A142,'09월 화학성분'!$D$12:$D$949,$B142)))</f>
        <v/>
      </c>
      <c r="L142" s="827" t="str">
        <f>IF($C142&lt;1,"",(AVERAGEIFS('09월 화학성분'!I$12:I$949,'09월 화학성분'!$A$12:$A$949,$A142,'09월 화학성분'!$D$12:$D$949,$B142)))</f>
        <v/>
      </c>
      <c r="M142" s="827" t="str">
        <f>IF($C142&lt;1,"",(AVERAGEIFS('09월 화학성분'!J$12:J$949,'09월 화학성분'!$A$12:$A$949,$A142,'09월 화학성분'!$D$12:$D$949,$B142)))</f>
        <v/>
      </c>
      <c r="N142" s="827" t="str">
        <f>IF($C142&lt;1,"",(AVERAGEIFS('09월 화학성분'!K$12:K$949,'09월 화학성분'!$A$12:$A$949,$A142,'09월 화학성분'!$D$12:$D$949,$B142)))</f>
        <v/>
      </c>
      <c r="O142" s="827" t="str">
        <f>IF($C142&lt;1,"",(AVERAGEIFS('09월 화학성분'!L$12:L$949,'09월 화학성분'!$A$12:$A$949,$A142,'09월 화학성분'!$D$12:$D$949,$B142)))</f>
        <v/>
      </c>
      <c r="P142" s="827" t="str">
        <f>IF($C142&lt;1,"",(AVERAGEIFS('09월 화학성분'!M$12:M$949,'09월 화학성분'!$A$12:$A$949,$A142,'09월 화학성분'!$D$12:$D$949,$B142)))</f>
        <v/>
      </c>
      <c r="Q142" s="827" t="str">
        <f>IFERROR(IF($C142&lt;1,"",(AVERAGEIFS('09월 조업일지'!$AA$12:$AA$952,'09월 조업일지'!$A$12:$A$952,$A142,'09월 조업일지'!$E$12:$E$952,$B142))),"")</f>
        <v/>
      </c>
      <c r="R142" s="827" t="str">
        <f>IF($C142&lt;1,"",(AVERAGEIFS('09월 조업일지'!$AK$12:$AK$952,'09월 조업일지'!$A$12:$A$952,$A142,'09월 조업일지'!$E$12:$E$952,$B142)))</f>
        <v/>
      </c>
      <c r="S142" s="827"/>
      <c r="T142" s="827"/>
      <c r="U142" s="827" t="str">
        <f>IF($C142&lt;1,"",(AVERAGEIFS('09월 화학성분'!$G$12:$G$949,'09월 화학성분'!$A$12:$A$949,$A142,'09월 화학성분'!$D$12:$D$949,$B142)))</f>
        <v/>
      </c>
      <c r="V142" s="827" t="str">
        <f>IF($C142&lt;1,"",(AVERAGEIFS('09월 조업일지'!$AI$12:$AI$952,'09월 조업일지'!$A$12:$A$952,$A142,'09월 조업일지'!$E$12:$E$952,$B142)))</f>
        <v/>
      </c>
      <c r="W142" s="828" t="str">
        <f>IF($C142&lt;1,"",(AVERAGEIFS('09월 화학성분'!$AM$12:$AM$949,'09월 화학성분'!$A$12:$A$949,$A142,'09월 화학성분'!$D$12:$D$949,$B142)))</f>
        <v/>
      </c>
      <c r="X142" s="829" t="str">
        <f>IF($C142&lt;1,"",(AVERAGEIFS('09월 화학성분'!N$12:N$949,'09월 화학성분'!$A$12:$A$949,$A142,'09월 화학성분'!$D$12:$D$949,$B142)))</f>
        <v/>
      </c>
      <c r="Y142" s="829" t="str">
        <f>IF($C142&lt;1,"",(AVERAGEIFS('09월 화학성분'!O$12:O$949,'09월 화학성분'!$A$12:$A$949,$A142,'09월 화학성분'!$D$12:$D$949,$B142)))</f>
        <v/>
      </c>
      <c r="Z142" s="829" t="str">
        <f>IF($C142&lt;1,"",(AVERAGEIFS('09월 화학성분'!P$12:P$949,'09월 화학성분'!$A$12:$A$949,$A142,'09월 화학성분'!$D$12:$D$949,$B142)))</f>
        <v/>
      </c>
      <c r="AA142" s="829" t="str">
        <f>IF($C142&lt;1,"",(AVERAGEIFS('09월 화학성분'!Q$12:Q$949,'09월 화학성분'!$A$12:$A$949,$A142,'09월 화학성분'!$D$12:$D$949,$B142)))</f>
        <v/>
      </c>
      <c r="AB142" s="829" t="str">
        <f>IF($C142&lt;1,"",(AVERAGEIFS('09월 화학성분'!R$12:R$949,'09월 화학성분'!$A$12:$A$949,$A142,'09월 화학성분'!$D$12:$D$949,$B142)))</f>
        <v/>
      </c>
      <c r="AC142" s="829" t="str">
        <f>IF($C142&lt;1,"",(AVERAGEIFS('09월 화학성분'!U$12:U$949,'09월 화학성분'!$A$12:$A$949,$A142,'09월 화학성분'!$D$12:$D$949,$B142)))</f>
        <v/>
      </c>
      <c r="AD142" s="829" t="str">
        <f>IF($C142&lt;1,"",(AVERAGEIFS('09월 화학성분'!V$12:V$949,'09월 화학성분'!$A$12:$A$949,$A142,'09월 화학성분'!$D$12:$D$949,$B142)))</f>
        <v/>
      </c>
      <c r="AE142" s="829" t="str">
        <f>IF($C142&lt;1,"",(AVERAGEIFS('09월 화학성분'!W$12:W$949,'09월 화학성분'!$A$12:$A$949,$A142,'09월 화학성분'!$D$12:$D$949,$B142)))</f>
        <v/>
      </c>
      <c r="AF142" s="829" t="str">
        <f>IF($C142&lt;1,"",(AVERAGEIFS('09월 화학성분'!AA$12:AA$949,'09월 화학성분'!$A$12:$A$949,$A142,'09월 화학성분'!$D$12:$D$949,$B142)))</f>
        <v/>
      </c>
      <c r="AG142" s="829" t="str">
        <f>IF($C142&lt;1,"",(AVERAGEIFS('09월 화학성분'!#REF!,'09월 화학성분'!$A$12:$A$949,$A142,'09월 화학성분'!$D$12:$D$949,$B142)))</f>
        <v/>
      </c>
      <c r="AH142" s="829" t="str">
        <f>IF($C142&lt;1,"",(AVERAGEIFS('09월 화학성분'!AB$12:AB$949,'09월 화학성분'!$A$12:$A$949,$A142,'09월 화학성분'!$D$12:$D$949,$B142)))</f>
        <v/>
      </c>
      <c r="AI142" s="829" t="str">
        <f>IF($C142&lt;1,"",(AVERAGEIFS('09월 화학성분'!AC$12:AC$949,'09월 화학성분'!$A$12:$A$949,$A142,'09월 화학성분'!$D$12:$D$949,$B142)))</f>
        <v/>
      </c>
      <c r="AJ142" s="829" t="str">
        <f>IF($C142&lt;1,"",(AVERAGEIFS('09월 화학성분'!AD$12:AD$949,'09월 화학성분'!$A$12:$A$949,$A142,'09월 화학성분'!$D$12:$D$949,$B142)))</f>
        <v/>
      </c>
      <c r="AK142" s="829" t="str">
        <f>IF($C142&lt;1,"",(AVERAGEIFS('09월 화학성분'!AF$12:AF$949,'09월 화학성분'!$A$12:$A$949,$A142,'09월 화학성분'!$D$12:$D$949,$B142)))</f>
        <v/>
      </c>
      <c r="AL142" s="829" t="str">
        <f>IF($C142&lt;1,"",(AVERAGEIFS('09월 화학성분'!AG$12:AG$949,'09월 화학성분'!$A$12:$A$949,$A142,'09월 화학성분'!$D$12:$D$949,$B142)))</f>
        <v/>
      </c>
      <c r="AM142" s="829" t="str">
        <f>IF($C142&lt;1,"",(AVERAGEIFS('09월 화학성분'!AH$12:AH$949,'09월 화학성분'!$A$12:$A$949,$A142,'09월 화학성분'!$D$12:$D$949,$B142)))</f>
        <v/>
      </c>
      <c r="AN142" s="829" t="str">
        <f>IF($C142&lt;1,"",(AVERAGEIFS('09월 화학성분'!AI$12:AI$949,'09월 화학성분'!$A$12:$A$949,$A142,'09월 화학성분'!$D$12:$D$949,$B142)))</f>
        <v/>
      </c>
      <c r="AO142" s="829" t="str">
        <f>IF($C142&lt;1,"",(AVERAGEIFS('09월 화학성분'!AJ$12:AJ$949,'09월 화학성분'!$A$12:$A$949,$A142,'09월 화학성분'!$D$12:$D$949,$B142)))</f>
        <v/>
      </c>
      <c r="AP142" s="829" t="str">
        <f>IF($C142&lt;1,"",(AVERAGEIFS('09월 화학성분'!#REF!,'09월 화학성분'!$A$12:$A$949,$A142,'09월 화학성분'!$D$12:$D$949,$B142)))</f>
        <v/>
      </c>
      <c r="AQ142" s="829" t="str">
        <f>IF($C142&lt;1,"",(AVERAGEIFS('09월 화학성분'!AL$12:AL$949,'09월 화학성분'!$A$12:$A$949,$A142,'09월 화학성분'!$D$12:$D$949,$B142)))</f>
        <v/>
      </c>
      <c r="AR142" s="829" t="str">
        <f>IF($C142&lt;1,"",(AVERAGEIFS('09월 화학성분'!AM$12:AM$949,'09월 화학성분'!$A$12:$A$949,$A142,'09월 화학성분'!$D$12:$D$949,$B142)))</f>
        <v/>
      </c>
      <c r="AS142" s="830" t="str">
        <f>IF($C142&lt;1,"",(AVERAGEIFS('09월 화학성분'!AN$12:AN$949,'09월 화학성분'!$A$12:$A$949,$A142,'09월 화학성분'!$D$12:$D$949,$B142)))</f>
        <v/>
      </c>
      <c r="AT142" s="830" t="str">
        <f>IF($C142&lt;1,"",(AVERAGEIFS('09월 화학성분'!AO$12:AO$949,'09월 화학성분'!$A$12:$A$949,$A142,'09월 화학성분'!$D$12:$D$949,$B142)))</f>
        <v/>
      </c>
      <c r="AU142" s="831" t="str">
        <f>IF($C142&lt;1,"",(AVERAGEIFS('09월 화학성분'!AP$12:AP$949,'09월 화학성분'!$A$12:$A$949,$A142,'09월 화학성분'!$D$12:$D$949,$B142)))</f>
        <v/>
      </c>
      <c r="AV142" s="832" t="str">
        <f>IF($C142&lt;1,"",(AVERAGEIFS('09월 고철장입'!G$14:G$949,'09월 고철장입'!$A$14:$A$949,$A142,'09월 고철장입'!$C$14:$C$949,$B142))/1000)</f>
        <v/>
      </c>
      <c r="AW142" s="832" t="str">
        <f>IF($C142&lt;1,"",(AVERAGEIFS('09월 고철장입'!H$14:H$949,'09월 고철장입'!$A$14:$A$949,$A142,'09월 고철장입'!$C$14:$C$949,$B142))/1000)</f>
        <v/>
      </c>
      <c r="AX142" s="832" t="str">
        <f>IF($C142&lt;1,"",(AVERAGEIFS('09월 고철장입'!I$14:I$949,'09월 고철장입'!$A$14:$A$949,$A142,'09월 고철장입'!$C$14:$C$949,$B142))/1000)</f>
        <v/>
      </c>
      <c r="AY142" s="832" t="str">
        <f>IF($C142&lt;1,"",(AVERAGEIFS('09월 고철장입'!J$14:J$949,'09월 고철장입'!$A$14:$A$949,$A142,'09월 고철장입'!$C$14:$C$949,$B142))/1000)</f>
        <v/>
      </c>
      <c r="AZ142" s="832" t="str">
        <f>IF($C142&lt;1,"",(AVERAGEIFS('09월 고철장입'!K$14:K$949,'09월 고철장입'!$A$14:$A$949,$A142,'09월 고철장입'!$C$14:$C$949,$B142))/1000)</f>
        <v/>
      </c>
      <c r="BA142" s="832" t="str">
        <f>IF($C142&lt;1,"",(AVERAGEIFS('09월 고철장입'!L$14:L$949,'09월 고철장입'!$A$14:$A$949,$A142,'09월 고철장입'!$C$14:$C$949,$B142))/1000)</f>
        <v/>
      </c>
      <c r="BB142" s="832" t="str">
        <f>IF($C142&lt;1,"",(AVERAGEIFS('09월 고철장입'!M$14:M$949,'09월 고철장입'!$A$14:$A$949,$A142,'09월 고철장입'!$C$14:$C$949,$B142))/1000)</f>
        <v/>
      </c>
      <c r="BC142" s="832" t="str">
        <f>IF($C142&lt;1,"",(AVERAGEIFS('09월 고철장입'!N$14:N$949,'09월 고철장입'!$A$14:$A$949,$A142,'09월 고철장입'!$C$14:$C$949,$B142))/1000)</f>
        <v/>
      </c>
      <c r="BD142" s="832" t="str">
        <f>IF($C142&lt;1,"",(AVERAGEIFS('09월 고철장입'!O$14:O$949,'09월 고철장입'!$A$14:$A$949,$A142,'09월 고철장입'!$C$14:$C$949,$B142))/1000)</f>
        <v/>
      </c>
      <c r="BE142" s="833" t="str">
        <f>IF($C142&lt;1,"",(AVERAGEIFS('09월 고철장입'!P$14:P$949,'09월 고철장입'!$A$14:$A$949,$A142,'09월 고철장입'!$C$14:$C$949,$B142))/1000)</f>
        <v/>
      </c>
      <c r="BF142" s="833" t="str">
        <f>IF($C142&lt;1,"",(AVERAGEIFS('09월 고철장입'!Q$14:Q$949,'09월 고철장입'!$A$14:$A$949,$A142,'09월 고철장입'!$C$14:$C$949,$B142))/1000)</f>
        <v/>
      </c>
      <c r="BG142" s="833" t="str">
        <f>IF($C142&lt;1,"",(AVERAGEIFS('09월 고철장입'!S$14:S$949,'09월 고철장입'!$A$14:$A$949,$A142,'09월 고철장입'!$C$14:$C$949,$B142))/1000)</f>
        <v/>
      </c>
      <c r="BH142" s="833" t="str">
        <f>IF($C142&lt;1,"",(AVERAGEIFS('09월 고철장입'!T$14:T$949,'09월 고철장입'!$A$14:$A$949,$A142,'09월 고철장입'!$C$14:$C$949,$B142))/1000)</f>
        <v/>
      </c>
      <c r="BI142" s="833" t="str">
        <f>IF($C142&lt;1,"",(AVERAGEIFS('09월 고철장입'!U$14:U$949,'09월 고철장입'!$A$14:$A$949,$A142,'09월 고철장입'!$C$14:$C$949,$B142))/1000)</f>
        <v/>
      </c>
      <c r="BJ142" s="833" t="str">
        <f>IF($C142&lt;1,"",(AVERAGEIFS('09월 고철장입'!V$14:V$949,'09월 고철장입'!$A$14:$A$949,$A142,'09월 고철장입'!$C$14:$C$949,$B142))/1000)</f>
        <v/>
      </c>
      <c r="BK142" s="833" t="str">
        <f>IF($C142&lt;1,"",(AVERAGEIFS('09월 고철장입'!W$14:W$949,'09월 고철장입'!$A$14:$A$949,$A142,'09월 고철장입'!$C$14:$C$949,$B142))/1000)</f>
        <v/>
      </c>
      <c r="BL142" s="833" t="str">
        <f>IF($C142&lt;1,"",(AVERAGEIFS('09월 고철장입'!Y$14:Y$949,'09월 고철장입'!$A$14:$A$949,$A142,'09월 고철장입'!$C$14:$C$949,$B142))/1000)</f>
        <v/>
      </c>
      <c r="BM142" s="833" t="str">
        <f>IF($C142&lt;1,"",(AVERAGEIFS('09월 고철장입'!AB$14:AB$949,'09월 고철장입'!$A$14:$A$949,$A142,'09월 고철장입'!$C$14:$C$949,$B142))/1000)</f>
        <v/>
      </c>
      <c r="BN142" s="833" t="str">
        <f>IF($C142&lt;1,"",(AVERAGEIFS('09월 고철장입'!AC$14:AC$949,'09월 고철장입'!$A$14:$A$949,$A142,'09월 고철장입'!$C$14:$C$949,$B142))/1000)</f>
        <v/>
      </c>
      <c r="BO142" s="833" t="str">
        <f>IF($C142&lt;1,"",(AVERAGEIFS('09월 고철장입'!AD$14:AD$949,'09월 고철장입'!$A$14:$A$949,$A142,'09월 고철장입'!$C$14:$C$949,$B142))/1000)</f>
        <v/>
      </c>
      <c r="BP142" s="833" t="str">
        <f>IF($C142&lt;1,"",(AVERAGEIFS('09월 고철장입'!AE$14:AE$949,'09월 고철장입'!$A$14:$A$949,$A142,'09월 고철장입'!$C$14:$C$949,$B142))/1000)</f>
        <v/>
      </c>
      <c r="BQ142" s="832" t="str">
        <f>IF($C142&lt;1,"",(AVERAGEIFS('09월 고철장입'!AF$14:AF$949,'09월 고철장입'!$A$14:$A$949,$A142,'09월 고철장입'!$C$14:$C$949,$B142))/1000)</f>
        <v/>
      </c>
      <c r="BR142" s="832" t="str">
        <f>IF($C142&lt;1,"",(AVERAGEIFS('09월 고철장입'!AG$14:AG$949,'09월 고철장입'!$A$14:$A$949,$A142,'09월 고철장입'!$C$14:$C$949,$B142))/1000)</f>
        <v/>
      </c>
      <c r="BS142" s="832" t="str">
        <f>IF($C142&lt;1,"",(AVERAGEIFS('09월 고철장입'!AH$14:AH$949,'09월 고철장입'!$A$14:$A$949,$A142,'09월 고철장입'!$C$14:$C$949,$B142))/1000)</f>
        <v/>
      </c>
      <c r="BT142" s="832" t="str">
        <f>IF($C142&lt;1,"",(AVERAGEIFS('09월 고철장입'!AI$14:AI$949,'09월 고철장입'!$A$14:$A$949,$A142,'09월 고철장입'!$C$14:$C$949,$B142))/1000)</f>
        <v/>
      </c>
      <c r="BU142" s="834" t="str">
        <f>IF($C142&lt;1,"",(AVERAGEIFS('09월 고철장입'!AJ$14:AJ$949,'09월 고철장입'!$A$14:$A$949,$A142,'09월 고철장입'!$C$14:$C$949,$B142))/1000)</f>
        <v/>
      </c>
      <c r="BV142" s="834" t="str">
        <f>IF($C142&lt;1,"",(AVERAGEIFS('09월 고철장입'!AK$14:AK$949,'09월 고철장입'!$A$14:$A$949,$A142,'09월 고철장입'!$C$14:$C$949,$B142)))</f>
        <v/>
      </c>
      <c r="BW142" s="834" t="str">
        <f>IF($C142&lt;1,"",(AVERAGEIFS('09월 고철장입'!AL$14:AL$949,'09월 고철장입'!$A$14:$A$949,$A142,'09월 고철장입'!$C$14:$C$949,$B142))*100)</f>
        <v/>
      </c>
      <c r="BX142" s="831" t="str">
        <f>IF($C142&lt;1,"",(AVERAGEIFS('09월 에너지'!G$14:G$949,'09월 에너지'!$A$14:$A$949,$A142,'09월 에너지'!$C$14:$C$949,$B142)))</f>
        <v/>
      </c>
      <c r="BY142" s="835" t="str">
        <f>IF($C142&lt;1,"",(AVERAGEIFS('09월 에너지'!H$14:H$949,'09월 에너지'!$A$14:$A$949,$A142,'09월 에너지'!$C$14:$C$949,$B142)))</f>
        <v/>
      </c>
      <c r="BZ142" s="831" t="str">
        <f>IF($C142&lt;1,"",(AVERAGEIFS('09월 에너지'!I$14:I$949,'09월 에너지'!$A$14:$A$949,$A142,'09월 에너지'!$C$14:$C$949,$B142)))</f>
        <v/>
      </c>
      <c r="CA142" s="835" t="str">
        <f>IF($C142&lt;1,"",(AVERAGEIFS('09월 에너지'!J$14:J$949,'09월 에너지'!$A$14:$A$949,$A142,'09월 에너지'!$C$14:$C$949,$B142)))</f>
        <v/>
      </c>
      <c r="CB142" s="831" t="str">
        <f>IF($C142&lt;1,"",(AVERAGEIFS('09월 에너지'!K$14:K$949,'09월 에너지'!$A$14:$A$949,$A142,'09월 에너지'!$C$14:$C$949,$B142)))</f>
        <v/>
      </c>
      <c r="CC142" s="835" t="str">
        <f>IF($C142&lt;1,"",(AVERAGEIFS('09월 에너지'!L$14:L$949,'09월 에너지'!$A$14:$A$949,$A142,'09월 에너지'!$C$14:$C$949,$B142)))</f>
        <v/>
      </c>
      <c r="CD142" s="831" t="str">
        <f>IF($C142&lt;1,"",(AVERAGEIFS('09월 에너지'!M$14:M$949,'09월 에너지'!$A$14:$A$949,$A142,'09월 에너지'!$C$14:$C$949,$B142)))</f>
        <v/>
      </c>
      <c r="CE142" s="835" t="str">
        <f>IF($C142&lt;1,"",(AVERAGEIFS('09월 에너지'!N$14:N$949,'09월 에너지'!$A$14:$A$949,$A142,'09월 에너지'!$C$14:$C$949,$B142)))</f>
        <v/>
      </c>
      <c r="CF142" s="831" t="str">
        <f>IF($C142&lt;1,"",(AVERAGEIFS('09월 에너지'!O$14:O$949,'09월 에너지'!$A$14:$A$949,$A142,'09월 에너지'!$C$14:$C$949,$B142)))</f>
        <v/>
      </c>
      <c r="CG142" s="831" t="str">
        <f>IF($C142&lt;1,"",(AVERAGEIFS('09월 에너지'!P$14:P$949,'09월 에너지'!$A$14:$A$949,$A142,'09월 에너지'!$C$14:$C$949,$B142)))</f>
        <v/>
      </c>
      <c r="CH142" s="831" t="str">
        <f>IF($C142&lt;1,"",(AVERAGEIFS('09월 에너지'!Q$14:Q$949,'09월 에너지'!$A$14:$A$949,$A142,'09월 에너지'!$C$14:$C$949,$B142)))</f>
        <v/>
      </c>
      <c r="CI142" s="831" t="str">
        <f>IF($C142&lt;1,"",(AVERAGEIFS('09월 에너지'!R$14:R$949,'09월 에너지'!$A$14:$A$949,$A142,'09월 에너지'!$C$14:$C$949,$B142)))</f>
        <v/>
      </c>
      <c r="CJ142" s="831" t="str">
        <f>IF($C142&lt;1,"",(AVERAGEIFS('09월 에너지'!S$14:S$949,'09월 에너지'!$A$14:$A$949,$A142,'09월 에너지'!$C$14:$C$949,$B142)))</f>
        <v/>
      </c>
      <c r="CK142" s="831" t="str">
        <f>IF($C142&lt;1,"",(AVERAGEIFS('09월 에너지'!T$14:T$949,'09월 에너지'!$A$14:$A$949,$A142,'09월 에너지'!$C$14:$C$949,$B142)))</f>
        <v/>
      </c>
      <c r="CL142" s="831" t="str">
        <f>IF($C142&lt;1,"",(AVERAGEIFS('09월 에너지'!U$14:U$949,'09월 에너지'!$A$14:$A$949,$A142,'09월 에너지'!$C$14:$C$949,$B142)))</f>
        <v/>
      </c>
      <c r="CM142" s="835" t="str">
        <f>IF($C142&lt;1,"",(AVERAGEIFS('09월 에너지'!V$14:V$949,'09월 에너지'!$A$14:$A$949,$A142,'09월 에너지'!$C$14:$C$949,$B142)))</f>
        <v/>
      </c>
      <c r="CN142" s="835" t="str">
        <f>IF($C142&lt;1,"",(AVERAGEIFS('09월 에너지'!W$14:W$949,'09월 에너지'!$A$14:$A$949,$A142,'09월 에너지'!$C$14:$C$949,$B142)))</f>
        <v/>
      </c>
      <c r="CO142" s="831" t="str">
        <f>IF($C142&lt;1,"",(AVERAGEIFS('09월 에너지'!X$14:X$949,'09월 에너지'!$A$14:$A$949,$A142,'09월 에너지'!$C$14:$C$949,$B142)))</f>
        <v/>
      </c>
      <c r="CP142" s="835" t="str">
        <f>IF($C142&lt;1,"",(AVERAGEIFS('09월 에너지'!Y$14:Y$949,'09월 에너지'!$A$14:$A$949,$A142,'09월 에너지'!$C$14:$C$949,$B142)))</f>
        <v/>
      </c>
      <c r="CQ142" s="835" t="str">
        <f>IF($C142&lt;1,"",(AVERAGEIFS('09월 에너지'!Z$14:Z$949,'09월 에너지'!$A$14:$A$949,$A142,'09월 에너지'!$C$14:$C$949,$B142)))</f>
        <v/>
      </c>
      <c r="CR142" s="835" t="str">
        <f>IF($C142&lt;1,"",(AVERAGEIFS('09월 에너지'!AA$14:AA$949,'09월 에너지'!$A$14:$A$949,$A142,'09월 에너지'!$C$14:$C$949,$B142)))</f>
        <v/>
      </c>
      <c r="CS142" s="835" t="str">
        <f>IF($C142&lt;1,"",(AVERAGEIFS('09월 에너지'!AB$14:AB$949,'09월 에너지'!$A$14:$A$949,$A142,'09월 에너지'!$C$14:$C$949,$B142)))</f>
        <v/>
      </c>
      <c r="CT142" s="831" t="str">
        <f>IF($C142&lt;1,"",(AVERAGEIFS('09월 에너지'!AC$14:AC$949,'09월 에너지'!$A$14:$A$949,$A142,'09월 에너지'!$C$14:$C$949,$B142)))</f>
        <v/>
      </c>
      <c r="CU142" s="836" t="str">
        <f>IF($C142&lt;1,"",(AVERAGEIFS('09월 에너지'!AD$14:AD$949,'09월 에너지'!$A$14:$A$949,$A142,'09월 에너지'!$C$14:$C$949,$B142)))</f>
        <v/>
      </c>
      <c r="CV142" s="837" t="str">
        <f>IF($C142&lt;1,"",(AVERAGEIFS('09월 에너지'!AE$14:AE$949,'09월 에너지'!$A$14:$A$949,$A142,'09월 에너지'!$C$14:$C$949,$B142)))</f>
        <v/>
      </c>
      <c r="CW142" s="831" t="str">
        <f>IF($C142&lt;1,"",(AVERAGEIFS('09월 에너지'!AF$14:AF$949,'09월 에너지'!$A$14:$A$949,$A142,'09월 에너지'!$C$14:$C$949,$B142)))</f>
        <v/>
      </c>
      <c r="CX142" s="831" t="str">
        <f>IF($C142&lt;1,"",(AVERAGEIFS('09월 에너지'!AG$14:AG$949,'09월 에너지'!$A$14:$A$949,$A142,'09월 에너지'!$C$14:$C$949,$B142)))</f>
        <v/>
      </c>
      <c r="CY142" s="831" t="str">
        <f>IF($C142&lt;1,"",(AVERAGEIFS('09월 에너지'!AH$14:AH$949,'09월 에너지'!$A$14:$A$949,$A142,'09월 에너지'!$C$14:$C$949,$B142)))</f>
        <v/>
      </c>
      <c r="CZ142" s="831" t="str">
        <f>IF($C142&lt;1,"",(AVERAGEIFS('09월 에너지'!AI$14:AI$949,'09월 에너지'!$A$14:$A$949,$A142,'09월 에너지'!$C$14:$C$949,$B142)))</f>
        <v/>
      </c>
      <c r="DA142" s="838" t="str">
        <f>IF($C142&lt;1,"",(AVERAGEIFS('09월 에너지'!AJ$14:AJ$949,'09월 에너지'!$A$14:$A$949,$A142,'09월 에너지'!$C$14:$C$949,$B142)))</f>
        <v/>
      </c>
    </row>
    <row r="143" spans="1:105" ht="13.5" customHeight="1">
      <c r="A143" s="849">
        <f t="shared" si="20"/>
        <v>44954</v>
      </c>
      <c r="B143" s="850" t="s">
        <v>100</v>
      </c>
      <c r="C143" s="823">
        <f>COUNTIFS('09월 조업일지'!$A$12:$A$952,A141,'09월 조업일지'!$E$12:$E$952,B143)</f>
        <v>0</v>
      </c>
      <c r="D143" s="824" t="str">
        <f t="shared" ref="D143:D145" si="31">IF(C143&lt;1,"",F143-E143)</f>
        <v/>
      </c>
      <c r="E143" s="824" t="str">
        <f>IF($C143&lt;1,"",(SUMIFS('09월 조업일지'!$K$12:$K$952,'09월 조업일지'!$A$12:$A$952,$A143,'09월 조업일지'!$E$12:$E$952,$B143)/$C143))</f>
        <v/>
      </c>
      <c r="F143" s="824" t="str">
        <f>IF($C143&lt;1,"",(AVERAGEIFS('09월 조업일지'!$J$12:$J$952,'09월 조업일지'!$A$12:$A$952,$A143,'09월 조업일지'!$E$12:$E$952,$B143)))</f>
        <v/>
      </c>
      <c r="G143" s="825" t="str">
        <f>IF($C143&lt;1,"",(AVERAGEIFS('09월 에너지'!$M$14:$M$949,'09월 에너지'!$A$14:$A$949,$A143,'09월 에너지'!$C$14:$C$949,$B143)))</f>
        <v/>
      </c>
      <c r="H143" s="826" t="str">
        <f>IF($C143&lt;1,"",(AVERAGEIFS('09월 조업일지'!$AJ$12:$AJ$952,'09월 조업일지'!$A$12:$A$952,$A143,'09월 조업일지'!$E$12:$E$952,$B143)))</f>
        <v/>
      </c>
      <c r="I143" s="826" t="str">
        <f>IF($C143&lt;1,"",(AVERAGEIFS('09월 조업일지'!$AL$12:$AL$952,'09월 조업일지'!$A$12:$A$952,$A143,'09월 조업일지'!$E$12:$E$952,$B143)))</f>
        <v/>
      </c>
      <c r="J143" s="827" t="str">
        <f>IF($C143&lt;1,"",(AVERAGEIFS('09월 화학성분'!G$12:G$949,'09월 화학성분'!$A$12:$A$949,$A143,'09월 화학성분'!$D$12:$D$949,$B143)))</f>
        <v/>
      </c>
      <c r="K143" s="827" t="str">
        <f>IF($C143&lt;1,"",(AVERAGEIFS('09월 화학성분'!H$12:H$949,'09월 화학성분'!$A$12:$A$949,$A143,'09월 화학성분'!$D$12:$D$949,$B143)))</f>
        <v/>
      </c>
      <c r="L143" s="827" t="str">
        <f>IF($C143&lt;1,"",(AVERAGEIFS('09월 화학성분'!I$12:I$949,'09월 화학성분'!$A$12:$A$949,$A143,'09월 화학성분'!$D$12:$D$949,$B143)))</f>
        <v/>
      </c>
      <c r="M143" s="827" t="str">
        <f>IF($C143&lt;1,"",(AVERAGEIFS('09월 화학성분'!J$12:J$949,'09월 화학성분'!$A$12:$A$949,$A143,'09월 화학성분'!$D$12:$D$949,$B143)))</f>
        <v/>
      </c>
      <c r="N143" s="827" t="str">
        <f>IF($C143&lt;1,"",(AVERAGEIFS('09월 화학성분'!K$12:K$949,'09월 화학성분'!$A$12:$A$949,$A143,'09월 화학성분'!$D$12:$D$949,$B143)))</f>
        <v/>
      </c>
      <c r="O143" s="827" t="str">
        <f>IF($C143&lt;1,"",(AVERAGEIFS('09월 화학성분'!L$12:L$949,'09월 화학성분'!$A$12:$A$949,$A143,'09월 화학성분'!$D$12:$D$949,$B143)))</f>
        <v/>
      </c>
      <c r="P143" s="827" t="str">
        <f>IF($C143&lt;1,"",(AVERAGEIFS('09월 화학성분'!M$12:M$949,'09월 화학성분'!$A$12:$A$949,$A143,'09월 화학성분'!$D$12:$D$949,$B143)))</f>
        <v/>
      </c>
      <c r="Q143" s="827" t="str">
        <f>IFERROR(IF($C143&lt;1,"",(AVERAGEIFS('09월 조업일지'!$AA$12:$AA$952,'09월 조업일지'!$A$12:$A$952,$A143,'09월 조업일지'!$E$12:$E$952,$B143))),"")</f>
        <v/>
      </c>
      <c r="R143" s="827" t="str">
        <f>IF($C143&lt;1,"",(AVERAGEIFS('09월 조업일지'!$AK$12:$AK$952,'09월 조업일지'!$A$12:$A$952,$A143,'09월 조업일지'!$E$12:$E$952,$B143)))</f>
        <v/>
      </c>
      <c r="S143" s="827"/>
      <c r="T143" s="827"/>
      <c r="U143" s="827" t="str">
        <f>IF($C143&lt;1,"",(AVERAGEIFS('09월 화학성분'!$G$12:$G$949,'09월 화학성분'!$A$12:$A$949,$A143,'09월 화학성분'!$D$12:$D$949,$B143)))</f>
        <v/>
      </c>
      <c r="V143" s="827" t="str">
        <f>IF($C143&lt;1,"",(AVERAGEIFS('09월 조업일지'!$AI$12:$AI$952,'09월 조업일지'!$A$12:$A$952,$A143,'09월 조업일지'!$E$12:$E$952,$B143)))</f>
        <v/>
      </c>
      <c r="W143" s="828" t="str">
        <f>IF($C143&lt;1,"",(AVERAGEIFS('09월 화학성분'!$AM$12:$AM$949,'09월 화학성분'!$A$12:$A$949,$A143,'09월 화학성분'!$D$12:$D$949,$B143)))</f>
        <v/>
      </c>
      <c r="X143" s="829" t="str">
        <f>IF($C143&lt;1,"",(AVERAGEIFS('09월 화학성분'!N$12:N$949,'09월 화학성분'!$A$12:$A$949,$A143,'09월 화학성분'!$D$12:$D$949,$B143)))</f>
        <v/>
      </c>
      <c r="Y143" s="829" t="str">
        <f>IF($C143&lt;1,"",(AVERAGEIFS('09월 화학성분'!O$12:O$949,'09월 화학성분'!$A$12:$A$949,$A143,'09월 화학성분'!$D$12:$D$949,$B143)))</f>
        <v/>
      </c>
      <c r="Z143" s="829" t="str">
        <f>IF($C143&lt;1,"",(AVERAGEIFS('09월 화학성분'!P$12:P$949,'09월 화학성분'!$A$12:$A$949,$A143,'09월 화학성분'!$D$12:$D$949,$B143)))</f>
        <v/>
      </c>
      <c r="AA143" s="829" t="str">
        <f>IF($C143&lt;1,"",(AVERAGEIFS('09월 화학성분'!Q$12:Q$949,'09월 화학성분'!$A$12:$A$949,$A143,'09월 화학성분'!$D$12:$D$949,$B143)))</f>
        <v/>
      </c>
      <c r="AB143" s="829" t="str">
        <f>IF($C143&lt;1,"",(AVERAGEIFS('09월 화학성분'!R$12:R$949,'09월 화학성분'!$A$12:$A$949,$A143,'09월 화학성분'!$D$12:$D$949,$B143)))</f>
        <v/>
      </c>
      <c r="AC143" s="829" t="str">
        <f>IF($C143&lt;1,"",(AVERAGEIFS('09월 화학성분'!U$12:U$949,'09월 화학성분'!$A$12:$A$949,$A143,'09월 화학성분'!$D$12:$D$949,$B143)))</f>
        <v/>
      </c>
      <c r="AD143" s="829" t="str">
        <f>IF($C143&lt;1,"",(AVERAGEIFS('09월 화학성분'!V$12:V$949,'09월 화학성분'!$A$12:$A$949,$A143,'09월 화학성분'!$D$12:$D$949,$B143)))</f>
        <v/>
      </c>
      <c r="AE143" s="829" t="str">
        <f>IF($C143&lt;1,"",(AVERAGEIFS('09월 화학성분'!W$12:W$949,'09월 화학성분'!$A$12:$A$949,$A143,'09월 화학성분'!$D$12:$D$949,$B143)))</f>
        <v/>
      </c>
      <c r="AF143" s="829" t="str">
        <f>IF($C143&lt;1,"",(AVERAGEIFS('09월 화학성분'!AA$12:AA$949,'09월 화학성분'!$A$12:$A$949,$A143,'09월 화학성분'!$D$12:$D$949,$B143)))</f>
        <v/>
      </c>
      <c r="AG143" s="829" t="str">
        <f>IF($C143&lt;1,"",(AVERAGEIFS('09월 화학성분'!#REF!,'09월 화학성분'!$A$12:$A$949,$A143,'09월 화학성분'!$D$12:$D$949,$B143)))</f>
        <v/>
      </c>
      <c r="AH143" s="829" t="str">
        <f>IF($C143&lt;1,"",(AVERAGEIFS('09월 화학성분'!AB$12:AB$949,'09월 화학성분'!$A$12:$A$949,$A143,'09월 화학성분'!$D$12:$D$949,$B143)))</f>
        <v/>
      </c>
      <c r="AI143" s="829" t="str">
        <f>IF($C143&lt;1,"",(AVERAGEIFS('09월 화학성분'!AC$12:AC$949,'09월 화학성분'!$A$12:$A$949,$A143,'09월 화학성분'!$D$12:$D$949,$B143)))</f>
        <v/>
      </c>
      <c r="AJ143" s="829" t="str">
        <f>IF($C143&lt;1,"",(AVERAGEIFS('09월 화학성분'!AD$12:AD$949,'09월 화학성분'!$A$12:$A$949,$A143,'09월 화학성분'!$D$12:$D$949,$B143)))</f>
        <v/>
      </c>
      <c r="AK143" s="829" t="str">
        <f>IF($C143&lt;1,"",(AVERAGEIFS('09월 화학성분'!AF$12:AF$949,'09월 화학성분'!$A$12:$A$949,$A143,'09월 화학성분'!$D$12:$D$949,$B143)))</f>
        <v/>
      </c>
      <c r="AL143" s="829" t="str">
        <f>IF($C143&lt;1,"",(AVERAGEIFS('09월 화학성분'!AG$12:AG$949,'09월 화학성분'!$A$12:$A$949,$A143,'09월 화학성분'!$D$12:$D$949,$B143)))</f>
        <v/>
      </c>
      <c r="AM143" s="829" t="str">
        <f>IF($C143&lt;1,"",(AVERAGEIFS('09월 화학성분'!AH$12:AH$949,'09월 화학성분'!$A$12:$A$949,$A143,'09월 화학성분'!$D$12:$D$949,$B143)))</f>
        <v/>
      </c>
      <c r="AN143" s="829" t="str">
        <f>IF($C143&lt;1,"",(AVERAGEIFS('09월 화학성분'!AI$12:AI$949,'09월 화학성분'!$A$12:$A$949,$A143,'09월 화학성분'!$D$12:$D$949,$B143)))</f>
        <v/>
      </c>
      <c r="AO143" s="829" t="str">
        <f>IF($C143&lt;1,"",(AVERAGEIFS('09월 화학성분'!AJ$12:AJ$949,'09월 화학성분'!$A$12:$A$949,$A143,'09월 화학성분'!$D$12:$D$949,$B143)))</f>
        <v/>
      </c>
      <c r="AP143" s="829" t="str">
        <f>IF($C143&lt;1,"",(AVERAGEIFS('09월 화학성분'!#REF!,'09월 화학성분'!$A$12:$A$949,$A143,'09월 화학성분'!$D$12:$D$949,$B143)))</f>
        <v/>
      </c>
      <c r="AQ143" s="829" t="str">
        <f>IF($C143&lt;1,"",(AVERAGEIFS('09월 화학성분'!AL$12:AL$949,'09월 화학성분'!$A$12:$A$949,$A143,'09월 화학성분'!$D$12:$D$949,$B143)))</f>
        <v/>
      </c>
      <c r="AR143" s="829" t="str">
        <f>IF($C143&lt;1,"",(AVERAGEIFS('09월 화학성분'!AM$12:AM$949,'09월 화학성분'!$A$12:$A$949,$A143,'09월 화학성분'!$D$12:$D$949,$B143)))</f>
        <v/>
      </c>
      <c r="AS143" s="830" t="str">
        <f>IF($C143&lt;1,"",(AVERAGEIFS('09월 화학성분'!AN$12:AN$949,'09월 화학성분'!$A$12:$A$949,$A143,'09월 화학성분'!$D$12:$D$949,$B143)))</f>
        <v/>
      </c>
      <c r="AT143" s="830" t="str">
        <f>IF($C143&lt;1,"",(AVERAGEIFS('09월 화학성분'!AO$12:AO$949,'09월 화학성분'!$A$12:$A$949,$A143,'09월 화학성분'!$D$12:$D$949,$B143)))</f>
        <v/>
      </c>
      <c r="AU143" s="831" t="str">
        <f>IF($C143&lt;1,"",(AVERAGEIFS('09월 화학성분'!AP$12:AP$949,'09월 화학성분'!$A$12:$A$949,$A143,'09월 화학성분'!$D$12:$D$949,$B143)))</f>
        <v/>
      </c>
      <c r="AV143" s="832" t="str">
        <f>IF($C143&lt;1,"",(AVERAGEIFS('09월 고철장입'!G$14:G$949,'09월 고철장입'!$A$14:$A$949,$A143,'09월 고철장입'!$C$14:$C$949,$B143))/1000)</f>
        <v/>
      </c>
      <c r="AW143" s="832" t="str">
        <f>IF($C143&lt;1,"",(AVERAGEIFS('09월 고철장입'!H$14:H$949,'09월 고철장입'!$A$14:$A$949,$A143,'09월 고철장입'!$C$14:$C$949,$B143))/1000)</f>
        <v/>
      </c>
      <c r="AX143" s="832" t="str">
        <f>IF($C143&lt;1,"",(AVERAGEIFS('09월 고철장입'!I$14:I$949,'09월 고철장입'!$A$14:$A$949,$A143,'09월 고철장입'!$C$14:$C$949,$B143))/1000)</f>
        <v/>
      </c>
      <c r="AY143" s="832" t="str">
        <f>IF($C143&lt;1,"",(AVERAGEIFS('09월 고철장입'!J$14:J$949,'09월 고철장입'!$A$14:$A$949,$A143,'09월 고철장입'!$C$14:$C$949,$B143))/1000)</f>
        <v/>
      </c>
      <c r="AZ143" s="832" t="str">
        <f>IF($C143&lt;1,"",(AVERAGEIFS('09월 고철장입'!K$14:K$949,'09월 고철장입'!$A$14:$A$949,$A143,'09월 고철장입'!$C$14:$C$949,$B143))/1000)</f>
        <v/>
      </c>
      <c r="BA143" s="832" t="str">
        <f>IF($C143&lt;1,"",(AVERAGEIFS('09월 고철장입'!L$14:L$949,'09월 고철장입'!$A$14:$A$949,$A143,'09월 고철장입'!$C$14:$C$949,$B143))/1000)</f>
        <v/>
      </c>
      <c r="BB143" s="832" t="str">
        <f>IF($C143&lt;1,"",(AVERAGEIFS('09월 고철장입'!M$14:M$949,'09월 고철장입'!$A$14:$A$949,$A143,'09월 고철장입'!$C$14:$C$949,$B143))/1000)</f>
        <v/>
      </c>
      <c r="BC143" s="832" t="str">
        <f>IF($C143&lt;1,"",(AVERAGEIFS('09월 고철장입'!N$14:N$949,'09월 고철장입'!$A$14:$A$949,$A143,'09월 고철장입'!$C$14:$C$949,$B143))/1000)</f>
        <v/>
      </c>
      <c r="BD143" s="832" t="str">
        <f>IF($C143&lt;1,"",(AVERAGEIFS('09월 고철장입'!O$14:O$949,'09월 고철장입'!$A$14:$A$949,$A143,'09월 고철장입'!$C$14:$C$949,$B143))/1000)</f>
        <v/>
      </c>
      <c r="BE143" s="833" t="str">
        <f>IF($C143&lt;1,"",(AVERAGEIFS('09월 고철장입'!P$14:P$949,'09월 고철장입'!$A$14:$A$949,$A143,'09월 고철장입'!$C$14:$C$949,$B143))/1000)</f>
        <v/>
      </c>
      <c r="BF143" s="833" t="str">
        <f>IF($C143&lt;1,"",(AVERAGEIFS('09월 고철장입'!Q$14:Q$949,'09월 고철장입'!$A$14:$A$949,$A143,'09월 고철장입'!$C$14:$C$949,$B143))/1000)</f>
        <v/>
      </c>
      <c r="BG143" s="833" t="str">
        <f>IF($C143&lt;1,"",(AVERAGEIFS('09월 고철장입'!S$14:S$949,'09월 고철장입'!$A$14:$A$949,$A143,'09월 고철장입'!$C$14:$C$949,$B143))/1000)</f>
        <v/>
      </c>
      <c r="BH143" s="833" t="str">
        <f>IF($C143&lt;1,"",(AVERAGEIFS('09월 고철장입'!T$14:T$949,'09월 고철장입'!$A$14:$A$949,$A143,'09월 고철장입'!$C$14:$C$949,$B143))/1000)</f>
        <v/>
      </c>
      <c r="BI143" s="833" t="str">
        <f>IF($C143&lt;1,"",(AVERAGEIFS('09월 고철장입'!U$14:U$949,'09월 고철장입'!$A$14:$A$949,$A143,'09월 고철장입'!$C$14:$C$949,$B143))/1000)</f>
        <v/>
      </c>
      <c r="BJ143" s="833" t="str">
        <f>IF($C143&lt;1,"",(AVERAGEIFS('09월 고철장입'!V$14:V$949,'09월 고철장입'!$A$14:$A$949,$A143,'09월 고철장입'!$C$14:$C$949,$B143))/1000)</f>
        <v/>
      </c>
      <c r="BK143" s="833" t="str">
        <f>IF($C143&lt;1,"",(AVERAGEIFS('09월 고철장입'!W$14:W$949,'09월 고철장입'!$A$14:$A$949,$A143,'09월 고철장입'!$C$14:$C$949,$B143))/1000)</f>
        <v/>
      </c>
      <c r="BL143" s="833" t="str">
        <f>IF($C143&lt;1,"",(AVERAGEIFS('09월 고철장입'!Y$14:Y$949,'09월 고철장입'!$A$14:$A$949,$A143,'09월 고철장입'!$C$14:$C$949,$B143))/1000)</f>
        <v/>
      </c>
      <c r="BM143" s="833" t="str">
        <f>IF($C143&lt;1,"",(AVERAGEIFS('09월 고철장입'!AB$14:AB$949,'09월 고철장입'!$A$14:$A$949,$A143,'09월 고철장입'!$C$14:$C$949,$B143))/1000)</f>
        <v/>
      </c>
      <c r="BN143" s="833" t="str">
        <f>IF($C143&lt;1,"",(AVERAGEIFS('09월 고철장입'!AC$14:AC$949,'09월 고철장입'!$A$14:$A$949,$A143,'09월 고철장입'!$C$14:$C$949,$B143))/1000)</f>
        <v/>
      </c>
      <c r="BO143" s="833" t="str">
        <f>IF($C143&lt;1,"",(AVERAGEIFS('09월 고철장입'!AD$14:AD$949,'09월 고철장입'!$A$14:$A$949,$A143,'09월 고철장입'!$C$14:$C$949,$B143))/1000)</f>
        <v/>
      </c>
      <c r="BP143" s="833" t="str">
        <f>IF($C143&lt;1,"",(AVERAGEIFS('09월 고철장입'!AE$14:AE$949,'09월 고철장입'!$A$14:$A$949,$A143,'09월 고철장입'!$C$14:$C$949,$B143))/1000)</f>
        <v/>
      </c>
      <c r="BQ143" s="832" t="str">
        <f>IF($C143&lt;1,"",(AVERAGEIFS('09월 고철장입'!AF$14:AF$949,'09월 고철장입'!$A$14:$A$949,$A143,'09월 고철장입'!$C$14:$C$949,$B143))/1000)</f>
        <v/>
      </c>
      <c r="BR143" s="832" t="str">
        <f>IF($C143&lt;1,"",(AVERAGEIFS('09월 고철장입'!AG$14:AG$949,'09월 고철장입'!$A$14:$A$949,$A143,'09월 고철장입'!$C$14:$C$949,$B143))/1000)</f>
        <v/>
      </c>
      <c r="BS143" s="832" t="str">
        <f>IF($C143&lt;1,"",(AVERAGEIFS('09월 고철장입'!AH$14:AH$949,'09월 고철장입'!$A$14:$A$949,$A143,'09월 고철장입'!$C$14:$C$949,$B143))/1000)</f>
        <v/>
      </c>
      <c r="BT143" s="832" t="str">
        <f>IF($C143&lt;1,"",(AVERAGEIFS('09월 고철장입'!AI$14:AI$949,'09월 고철장입'!$A$14:$A$949,$A143,'09월 고철장입'!$C$14:$C$949,$B143))/1000)</f>
        <v/>
      </c>
      <c r="BU143" s="834" t="str">
        <f>IF($C143&lt;1,"",(AVERAGEIFS('09월 고철장입'!AJ$14:AJ$949,'09월 고철장입'!$A$14:$A$949,$A143,'09월 고철장입'!$C$14:$C$949,$B143))/1000)</f>
        <v/>
      </c>
      <c r="BV143" s="834" t="str">
        <f>IF($C143&lt;1,"",(AVERAGEIFS('09월 고철장입'!AK$14:AK$949,'09월 고철장입'!$A$14:$A$949,$A143,'09월 고철장입'!$C$14:$C$949,$B143)))</f>
        <v/>
      </c>
      <c r="BW143" s="834" t="str">
        <f>IF($C143&lt;1,"",(AVERAGEIFS('09월 고철장입'!AL$14:AL$949,'09월 고철장입'!$A$14:$A$949,$A143,'09월 고철장입'!$C$14:$C$949,$B143))*100)</f>
        <v/>
      </c>
      <c r="BX143" s="831" t="str">
        <f>IF($C143&lt;1,"",(AVERAGEIFS('09월 에너지'!G$14:G$949,'09월 에너지'!$A$14:$A$949,$A143,'09월 에너지'!$C$14:$C$949,$B143)))</f>
        <v/>
      </c>
      <c r="BY143" s="835" t="str">
        <f>IF($C143&lt;1,"",(AVERAGEIFS('09월 에너지'!H$14:H$949,'09월 에너지'!$A$14:$A$949,$A143,'09월 에너지'!$C$14:$C$949,$B143)))</f>
        <v/>
      </c>
      <c r="BZ143" s="831" t="str">
        <f>IF($C143&lt;1,"",(AVERAGEIFS('09월 에너지'!I$14:I$949,'09월 에너지'!$A$14:$A$949,$A143,'09월 에너지'!$C$14:$C$949,$B143)))</f>
        <v/>
      </c>
      <c r="CA143" s="835" t="str">
        <f>IF($C143&lt;1,"",(AVERAGEIFS('09월 에너지'!J$14:J$949,'09월 에너지'!$A$14:$A$949,$A143,'09월 에너지'!$C$14:$C$949,$B143)))</f>
        <v/>
      </c>
      <c r="CB143" s="831" t="str">
        <f>IF($C143&lt;1,"",(AVERAGEIFS('09월 에너지'!K$14:K$949,'09월 에너지'!$A$14:$A$949,$A143,'09월 에너지'!$C$14:$C$949,$B143)))</f>
        <v/>
      </c>
      <c r="CC143" s="835" t="str">
        <f>IF($C143&lt;1,"",(AVERAGEIFS('09월 에너지'!L$14:L$949,'09월 에너지'!$A$14:$A$949,$A143,'09월 에너지'!$C$14:$C$949,$B143)))</f>
        <v/>
      </c>
      <c r="CD143" s="831" t="str">
        <f>IF($C143&lt;1,"",(AVERAGEIFS('09월 에너지'!M$14:M$949,'09월 에너지'!$A$14:$A$949,$A143,'09월 에너지'!$C$14:$C$949,$B143)))</f>
        <v/>
      </c>
      <c r="CE143" s="835" t="str">
        <f>IF($C143&lt;1,"",(AVERAGEIFS('09월 에너지'!N$14:N$949,'09월 에너지'!$A$14:$A$949,$A143,'09월 에너지'!$C$14:$C$949,$B143)))</f>
        <v/>
      </c>
      <c r="CF143" s="831" t="str">
        <f>IF($C143&lt;1,"",(AVERAGEIFS('09월 에너지'!O$14:O$949,'09월 에너지'!$A$14:$A$949,$A143,'09월 에너지'!$C$14:$C$949,$B143)))</f>
        <v/>
      </c>
      <c r="CG143" s="831" t="str">
        <f>IF($C143&lt;1,"",(AVERAGEIFS('09월 에너지'!P$14:P$949,'09월 에너지'!$A$14:$A$949,$A143,'09월 에너지'!$C$14:$C$949,$B143)))</f>
        <v/>
      </c>
      <c r="CH143" s="831" t="str">
        <f>IF($C143&lt;1,"",(AVERAGEIFS('09월 에너지'!Q$14:Q$949,'09월 에너지'!$A$14:$A$949,$A143,'09월 에너지'!$C$14:$C$949,$B143)))</f>
        <v/>
      </c>
      <c r="CI143" s="831" t="str">
        <f>IF($C143&lt;1,"",(AVERAGEIFS('09월 에너지'!R$14:R$949,'09월 에너지'!$A$14:$A$949,$A143,'09월 에너지'!$C$14:$C$949,$B143)))</f>
        <v/>
      </c>
      <c r="CJ143" s="831" t="str">
        <f>IF($C143&lt;1,"",(AVERAGEIFS('09월 에너지'!S$14:S$949,'09월 에너지'!$A$14:$A$949,$A143,'09월 에너지'!$C$14:$C$949,$B143)))</f>
        <v/>
      </c>
      <c r="CK143" s="831" t="str">
        <f>IF($C143&lt;1,"",(AVERAGEIFS('09월 에너지'!T$14:T$949,'09월 에너지'!$A$14:$A$949,$A143,'09월 에너지'!$C$14:$C$949,$B143)))</f>
        <v/>
      </c>
      <c r="CL143" s="831" t="str">
        <f>IF($C143&lt;1,"",(AVERAGEIFS('09월 에너지'!U$14:U$949,'09월 에너지'!$A$14:$A$949,$A143,'09월 에너지'!$C$14:$C$949,$B143)))</f>
        <v/>
      </c>
      <c r="CM143" s="835" t="str">
        <f>IF($C143&lt;1,"",(AVERAGEIFS('09월 에너지'!V$14:V$949,'09월 에너지'!$A$14:$A$949,$A143,'09월 에너지'!$C$14:$C$949,$B143)))</f>
        <v/>
      </c>
      <c r="CN143" s="835" t="str">
        <f>IF($C143&lt;1,"",(AVERAGEIFS('09월 에너지'!W$14:W$949,'09월 에너지'!$A$14:$A$949,$A143,'09월 에너지'!$C$14:$C$949,$B143)))</f>
        <v/>
      </c>
      <c r="CO143" s="831" t="str">
        <f>IF($C143&lt;1,"",(AVERAGEIFS('09월 에너지'!X$14:X$949,'09월 에너지'!$A$14:$A$949,$A143,'09월 에너지'!$C$14:$C$949,$B143)))</f>
        <v/>
      </c>
      <c r="CP143" s="835" t="str">
        <f>IF($C143&lt;1,"",(AVERAGEIFS('09월 에너지'!Y$14:Y$949,'09월 에너지'!$A$14:$A$949,$A143,'09월 에너지'!$C$14:$C$949,$B143)))</f>
        <v/>
      </c>
      <c r="CQ143" s="835" t="str">
        <f>IF($C143&lt;1,"",(AVERAGEIFS('09월 에너지'!Z$14:Z$949,'09월 에너지'!$A$14:$A$949,$A143,'09월 에너지'!$C$14:$C$949,$B143)))</f>
        <v/>
      </c>
      <c r="CR143" s="835" t="str">
        <f>IF($C143&lt;1,"",(AVERAGEIFS('09월 에너지'!AA$14:AA$949,'09월 에너지'!$A$14:$A$949,$A143,'09월 에너지'!$C$14:$C$949,$B143)))</f>
        <v/>
      </c>
      <c r="CS143" s="835" t="str">
        <f>IF($C143&lt;1,"",(AVERAGEIFS('09월 에너지'!AB$14:AB$949,'09월 에너지'!$A$14:$A$949,$A143,'09월 에너지'!$C$14:$C$949,$B143)))</f>
        <v/>
      </c>
      <c r="CT143" s="831" t="str">
        <f>IF($C143&lt;1,"",(AVERAGEIFS('09월 에너지'!AC$14:AC$949,'09월 에너지'!$A$14:$A$949,$A143,'09월 에너지'!$C$14:$C$949,$B143)))</f>
        <v/>
      </c>
      <c r="CU143" s="836" t="str">
        <f>IF($C143&lt;1,"",(AVERAGEIFS('09월 에너지'!AD$14:AD$949,'09월 에너지'!$A$14:$A$949,$A143,'09월 에너지'!$C$14:$C$949,$B143)))</f>
        <v/>
      </c>
      <c r="CV143" s="837" t="str">
        <f>IF($C143&lt;1,"",(AVERAGEIFS('09월 에너지'!AE$14:AE$949,'09월 에너지'!$A$14:$A$949,$A143,'09월 에너지'!$C$14:$C$949,$B143)))</f>
        <v/>
      </c>
      <c r="CW143" s="831" t="str">
        <f>IF($C143&lt;1,"",(AVERAGEIFS('09월 에너지'!AF$14:AF$949,'09월 에너지'!$A$14:$A$949,$A143,'09월 에너지'!$C$14:$C$949,$B143)))</f>
        <v/>
      </c>
      <c r="CX143" s="831" t="str">
        <f>IF($C143&lt;1,"",(AVERAGEIFS('09월 에너지'!AG$14:AG$949,'09월 에너지'!$A$14:$A$949,$A143,'09월 에너지'!$C$14:$C$949,$B143)))</f>
        <v/>
      </c>
      <c r="CY143" s="831" t="str">
        <f>IF($C143&lt;1,"",(AVERAGEIFS('09월 에너지'!AH$14:AH$949,'09월 에너지'!$A$14:$A$949,$A143,'09월 에너지'!$C$14:$C$949,$B143)))</f>
        <v/>
      </c>
      <c r="CZ143" s="831" t="str">
        <f>IF($C143&lt;1,"",(AVERAGEIFS('09월 에너지'!AI$14:AI$949,'09월 에너지'!$A$14:$A$949,$A143,'09월 에너지'!$C$14:$C$949,$B143)))</f>
        <v/>
      </c>
      <c r="DA143" s="838" t="str">
        <f>IF($C143&lt;1,"",(AVERAGEIFS('09월 에너지'!AJ$14:AJ$949,'09월 에너지'!$A$14:$A$949,$A143,'09월 에너지'!$C$14:$C$949,$B143)))</f>
        <v/>
      </c>
    </row>
    <row r="144" spans="1:105" ht="13.5" customHeight="1">
      <c r="A144" s="849">
        <f t="shared" si="20"/>
        <v>44954</v>
      </c>
      <c r="B144" s="850" t="s">
        <v>10</v>
      </c>
      <c r="C144" s="823">
        <f>COUNTIFS('09월 조업일지'!$A$12:$A$952,A141,'09월 조업일지'!$E$12:$E$952,B144)</f>
        <v>0</v>
      </c>
      <c r="D144" s="824" t="str">
        <f t="shared" si="31"/>
        <v/>
      </c>
      <c r="E144" s="824" t="str">
        <f>IF($C144&lt;1,"",(SUMIFS('09월 조업일지'!$K$12:$K$952,'09월 조업일지'!$A$12:$A$952,$A144,'09월 조업일지'!$E$12:$E$952,$B144)/$C144))</f>
        <v/>
      </c>
      <c r="F144" s="824" t="str">
        <f>IF($C144&lt;1,"",(AVERAGEIFS('09월 조업일지'!$J$12:$J$952,'09월 조업일지'!$A$12:$A$952,$A144,'09월 조업일지'!$E$12:$E$952,$B144)))</f>
        <v/>
      </c>
      <c r="G144" s="825" t="str">
        <f>IF($C144&lt;1,"",(AVERAGEIFS('09월 에너지'!$M$14:$M$949,'09월 에너지'!$A$14:$A$949,$A144,'09월 에너지'!$C$14:$C$949,$B144)))</f>
        <v/>
      </c>
      <c r="H144" s="826" t="str">
        <f>IF($C144&lt;1,"",(AVERAGEIFS('09월 조업일지'!$AJ$12:$AJ$952,'09월 조업일지'!$A$12:$A$952,$A144,'09월 조업일지'!$E$12:$E$952,$B144)))</f>
        <v/>
      </c>
      <c r="I144" s="826" t="str">
        <f>IF($C144&lt;1,"",(AVERAGEIFS('09월 조업일지'!$AL$12:$AL$952,'09월 조업일지'!$A$12:$A$952,$A144,'09월 조업일지'!$E$12:$E$952,$B144)))</f>
        <v/>
      </c>
      <c r="J144" s="827" t="str">
        <f>IF($C144&lt;1,"",(AVERAGEIFS('09월 화학성분'!G$12:G$949,'09월 화학성분'!$A$12:$A$949,$A144,'09월 화학성분'!$D$12:$D$949,$B144)))</f>
        <v/>
      </c>
      <c r="K144" s="827" t="str">
        <f>IF($C144&lt;1,"",(AVERAGEIFS('09월 화학성분'!H$12:H$949,'09월 화학성분'!$A$12:$A$949,$A144,'09월 화학성분'!$D$12:$D$949,$B144)))</f>
        <v/>
      </c>
      <c r="L144" s="827" t="str">
        <f>IF($C144&lt;1,"",(AVERAGEIFS('09월 화학성분'!I$12:I$949,'09월 화학성분'!$A$12:$A$949,$A144,'09월 화학성분'!$D$12:$D$949,$B144)))</f>
        <v/>
      </c>
      <c r="M144" s="827" t="str">
        <f>IF($C144&lt;1,"",(AVERAGEIFS('09월 화학성분'!J$12:J$949,'09월 화학성분'!$A$12:$A$949,$A144,'09월 화학성분'!$D$12:$D$949,$B144)))</f>
        <v/>
      </c>
      <c r="N144" s="827" t="str">
        <f>IF($C144&lt;1,"",(AVERAGEIFS('09월 화학성분'!K$12:K$949,'09월 화학성분'!$A$12:$A$949,$A144,'09월 화학성분'!$D$12:$D$949,$B144)))</f>
        <v/>
      </c>
      <c r="O144" s="827" t="str">
        <f>IF($C144&lt;1,"",(AVERAGEIFS('09월 화학성분'!L$12:L$949,'09월 화학성분'!$A$12:$A$949,$A144,'09월 화학성분'!$D$12:$D$949,$B144)))</f>
        <v/>
      </c>
      <c r="P144" s="827" t="str">
        <f>IF($C144&lt;1,"",(AVERAGEIFS('09월 화학성분'!M$12:M$949,'09월 화학성분'!$A$12:$A$949,$A144,'09월 화학성분'!$D$12:$D$949,$B144)))</f>
        <v/>
      </c>
      <c r="Q144" s="827" t="str">
        <f>IFERROR(IF($C144&lt;1,"",(AVERAGEIFS('09월 조업일지'!$AA$12:$AA$952,'09월 조업일지'!$A$12:$A$952,$A144,'09월 조업일지'!$E$12:$E$952,$B144))),"")</f>
        <v/>
      </c>
      <c r="R144" s="827" t="str">
        <f>IF($C144&lt;1,"",(AVERAGEIFS('09월 조업일지'!$AK$12:$AK$952,'09월 조업일지'!$A$12:$A$952,$A144,'09월 조업일지'!$E$12:$E$952,$B144)))</f>
        <v/>
      </c>
      <c r="S144" s="827"/>
      <c r="T144" s="827"/>
      <c r="U144" s="827" t="str">
        <f>IF($C144&lt;1,"",(AVERAGEIFS('09월 화학성분'!$G$12:$G$949,'09월 화학성분'!$A$12:$A$949,$A144,'09월 화학성분'!$D$12:$D$949,$B144)))</f>
        <v/>
      </c>
      <c r="V144" s="827" t="str">
        <f>IF($C144&lt;1,"",(AVERAGEIFS('09월 조업일지'!$AI$12:$AI$952,'09월 조업일지'!$A$12:$A$952,$A144,'09월 조업일지'!$E$12:$E$952,$B144)))</f>
        <v/>
      </c>
      <c r="W144" s="828" t="str">
        <f>IF($C144&lt;1,"",(AVERAGEIFS('09월 화학성분'!$AM$12:$AM$949,'09월 화학성분'!$A$12:$A$949,$A144,'09월 화학성분'!$D$12:$D$949,$B144)))</f>
        <v/>
      </c>
      <c r="X144" s="829" t="str">
        <f>IF($C144&lt;1,"",(AVERAGEIFS('09월 화학성분'!N$12:N$949,'09월 화학성분'!$A$12:$A$949,$A144,'09월 화학성분'!$D$12:$D$949,$B144)))</f>
        <v/>
      </c>
      <c r="Y144" s="829" t="str">
        <f>IF($C144&lt;1,"",(AVERAGEIFS('09월 화학성분'!O$12:O$949,'09월 화학성분'!$A$12:$A$949,$A144,'09월 화학성분'!$D$12:$D$949,$B144)))</f>
        <v/>
      </c>
      <c r="Z144" s="829" t="str">
        <f>IF($C144&lt;1,"",(AVERAGEIFS('09월 화학성분'!P$12:P$949,'09월 화학성분'!$A$12:$A$949,$A144,'09월 화학성분'!$D$12:$D$949,$B144)))</f>
        <v/>
      </c>
      <c r="AA144" s="829" t="str">
        <f>IF($C144&lt;1,"",(AVERAGEIFS('09월 화학성분'!Q$12:Q$949,'09월 화학성분'!$A$12:$A$949,$A144,'09월 화학성분'!$D$12:$D$949,$B144)))</f>
        <v/>
      </c>
      <c r="AB144" s="829" t="str">
        <f>IF($C144&lt;1,"",(AVERAGEIFS('09월 화학성분'!R$12:R$949,'09월 화학성분'!$A$12:$A$949,$A144,'09월 화학성분'!$D$12:$D$949,$B144)))</f>
        <v/>
      </c>
      <c r="AC144" s="829" t="str">
        <f>IF($C144&lt;1,"",(AVERAGEIFS('09월 화학성분'!U$12:U$949,'09월 화학성분'!$A$12:$A$949,$A144,'09월 화학성분'!$D$12:$D$949,$B144)))</f>
        <v/>
      </c>
      <c r="AD144" s="829" t="str">
        <f>IF($C144&lt;1,"",(AVERAGEIFS('09월 화학성분'!V$12:V$949,'09월 화학성분'!$A$12:$A$949,$A144,'09월 화학성분'!$D$12:$D$949,$B144)))</f>
        <v/>
      </c>
      <c r="AE144" s="829" t="str">
        <f>IF($C144&lt;1,"",(AVERAGEIFS('09월 화학성분'!W$12:W$949,'09월 화학성분'!$A$12:$A$949,$A144,'09월 화학성분'!$D$12:$D$949,$B144)))</f>
        <v/>
      </c>
      <c r="AF144" s="829" t="str">
        <f>IF($C144&lt;1,"",(AVERAGEIFS('09월 화학성분'!AA$12:AA$949,'09월 화학성분'!$A$12:$A$949,$A144,'09월 화학성분'!$D$12:$D$949,$B144)))</f>
        <v/>
      </c>
      <c r="AG144" s="829" t="str">
        <f>IF($C144&lt;1,"",(AVERAGEIFS('09월 화학성분'!#REF!,'09월 화학성분'!$A$12:$A$949,$A144,'09월 화학성분'!$D$12:$D$949,$B144)))</f>
        <v/>
      </c>
      <c r="AH144" s="829" t="str">
        <f>IF($C144&lt;1,"",(AVERAGEIFS('09월 화학성분'!AB$12:AB$949,'09월 화학성분'!$A$12:$A$949,$A144,'09월 화학성분'!$D$12:$D$949,$B144)))</f>
        <v/>
      </c>
      <c r="AI144" s="829" t="str">
        <f>IF($C144&lt;1,"",(AVERAGEIFS('09월 화학성분'!AC$12:AC$949,'09월 화학성분'!$A$12:$A$949,$A144,'09월 화학성분'!$D$12:$D$949,$B144)))</f>
        <v/>
      </c>
      <c r="AJ144" s="829" t="str">
        <f>IF($C144&lt;1,"",(AVERAGEIFS('09월 화학성분'!AD$12:AD$949,'09월 화학성분'!$A$12:$A$949,$A144,'09월 화학성분'!$D$12:$D$949,$B144)))</f>
        <v/>
      </c>
      <c r="AK144" s="829" t="str">
        <f>IF($C144&lt;1,"",(AVERAGEIFS('09월 화학성분'!AF$12:AF$949,'09월 화학성분'!$A$12:$A$949,$A144,'09월 화학성분'!$D$12:$D$949,$B144)))</f>
        <v/>
      </c>
      <c r="AL144" s="829" t="str">
        <f>IF($C144&lt;1,"",(AVERAGEIFS('09월 화학성분'!AG$12:AG$949,'09월 화학성분'!$A$12:$A$949,$A144,'09월 화학성분'!$D$12:$D$949,$B144)))</f>
        <v/>
      </c>
      <c r="AM144" s="829" t="str">
        <f>IF($C144&lt;1,"",(AVERAGEIFS('09월 화학성분'!AH$12:AH$949,'09월 화학성분'!$A$12:$A$949,$A144,'09월 화학성분'!$D$12:$D$949,$B144)))</f>
        <v/>
      </c>
      <c r="AN144" s="829" t="str">
        <f>IF($C144&lt;1,"",(AVERAGEIFS('09월 화학성분'!AI$12:AI$949,'09월 화학성분'!$A$12:$A$949,$A144,'09월 화학성분'!$D$12:$D$949,$B144)))</f>
        <v/>
      </c>
      <c r="AO144" s="829" t="str">
        <f>IF($C144&lt;1,"",(AVERAGEIFS('09월 화학성분'!AJ$12:AJ$949,'09월 화학성분'!$A$12:$A$949,$A144,'09월 화학성분'!$D$12:$D$949,$B144)))</f>
        <v/>
      </c>
      <c r="AP144" s="829" t="str">
        <f>IF($C144&lt;1,"",(AVERAGEIFS('09월 화학성분'!#REF!,'09월 화학성분'!$A$12:$A$949,$A144,'09월 화학성분'!$D$12:$D$949,$B144)))</f>
        <v/>
      </c>
      <c r="AQ144" s="829" t="str">
        <f>IF($C144&lt;1,"",(AVERAGEIFS('09월 화학성분'!AL$12:AL$949,'09월 화학성분'!$A$12:$A$949,$A144,'09월 화학성분'!$D$12:$D$949,$B144)))</f>
        <v/>
      </c>
      <c r="AR144" s="829" t="str">
        <f>IF($C144&lt;1,"",(AVERAGEIFS('09월 화학성분'!AM$12:AM$949,'09월 화학성분'!$A$12:$A$949,$A144,'09월 화학성분'!$D$12:$D$949,$B144)))</f>
        <v/>
      </c>
      <c r="AS144" s="830" t="str">
        <f>IF($C144&lt;1,"",(AVERAGEIFS('09월 화학성분'!AN$12:AN$949,'09월 화학성분'!$A$12:$A$949,$A144,'09월 화학성분'!$D$12:$D$949,$B144)))</f>
        <v/>
      </c>
      <c r="AT144" s="830" t="str">
        <f>IF($C144&lt;1,"",(AVERAGEIFS('09월 화학성분'!AO$12:AO$949,'09월 화학성분'!$A$12:$A$949,$A144,'09월 화학성분'!$D$12:$D$949,$B144)))</f>
        <v/>
      </c>
      <c r="AU144" s="831" t="str">
        <f>IF($C144&lt;1,"",(AVERAGEIFS('09월 화학성분'!AP$12:AP$949,'09월 화학성분'!$A$12:$A$949,$A144,'09월 화학성분'!$D$12:$D$949,$B144)))</f>
        <v/>
      </c>
      <c r="AV144" s="832" t="str">
        <f>IF($C144&lt;1,"",(AVERAGEIFS('09월 고철장입'!G$14:G$949,'09월 고철장입'!$A$14:$A$949,$A144,'09월 고철장입'!$C$14:$C$949,$B144))/1000)</f>
        <v/>
      </c>
      <c r="AW144" s="832" t="str">
        <f>IF($C144&lt;1,"",(AVERAGEIFS('09월 고철장입'!H$14:H$949,'09월 고철장입'!$A$14:$A$949,$A144,'09월 고철장입'!$C$14:$C$949,$B144))/1000)</f>
        <v/>
      </c>
      <c r="AX144" s="832" t="str">
        <f>IF($C144&lt;1,"",(AVERAGEIFS('09월 고철장입'!I$14:I$949,'09월 고철장입'!$A$14:$A$949,$A144,'09월 고철장입'!$C$14:$C$949,$B144))/1000)</f>
        <v/>
      </c>
      <c r="AY144" s="832" t="str">
        <f>IF($C144&lt;1,"",(AVERAGEIFS('09월 고철장입'!J$14:J$949,'09월 고철장입'!$A$14:$A$949,$A144,'09월 고철장입'!$C$14:$C$949,$B144))/1000)</f>
        <v/>
      </c>
      <c r="AZ144" s="832" t="str">
        <f>IF($C144&lt;1,"",(AVERAGEIFS('09월 고철장입'!K$14:K$949,'09월 고철장입'!$A$14:$A$949,$A144,'09월 고철장입'!$C$14:$C$949,$B144))/1000)</f>
        <v/>
      </c>
      <c r="BA144" s="832" t="str">
        <f>IF($C144&lt;1,"",(AVERAGEIFS('09월 고철장입'!L$14:L$949,'09월 고철장입'!$A$14:$A$949,$A144,'09월 고철장입'!$C$14:$C$949,$B144))/1000)</f>
        <v/>
      </c>
      <c r="BB144" s="832" t="str">
        <f>IF($C144&lt;1,"",(AVERAGEIFS('09월 고철장입'!M$14:M$949,'09월 고철장입'!$A$14:$A$949,$A144,'09월 고철장입'!$C$14:$C$949,$B144))/1000)</f>
        <v/>
      </c>
      <c r="BC144" s="832" t="str">
        <f>IF($C144&lt;1,"",(AVERAGEIFS('09월 고철장입'!N$14:N$949,'09월 고철장입'!$A$14:$A$949,$A144,'09월 고철장입'!$C$14:$C$949,$B144))/1000)</f>
        <v/>
      </c>
      <c r="BD144" s="832" t="str">
        <f>IF($C144&lt;1,"",(AVERAGEIFS('09월 고철장입'!O$14:O$949,'09월 고철장입'!$A$14:$A$949,$A144,'09월 고철장입'!$C$14:$C$949,$B144))/1000)</f>
        <v/>
      </c>
      <c r="BE144" s="833" t="str">
        <f>IF($C144&lt;1,"",(AVERAGEIFS('09월 고철장입'!P$14:P$949,'09월 고철장입'!$A$14:$A$949,$A144,'09월 고철장입'!$C$14:$C$949,$B144))/1000)</f>
        <v/>
      </c>
      <c r="BF144" s="833" t="str">
        <f>IF($C144&lt;1,"",(AVERAGEIFS('09월 고철장입'!Q$14:Q$949,'09월 고철장입'!$A$14:$A$949,$A144,'09월 고철장입'!$C$14:$C$949,$B144))/1000)</f>
        <v/>
      </c>
      <c r="BG144" s="833" t="str">
        <f>IF($C144&lt;1,"",(AVERAGEIFS('09월 고철장입'!S$14:S$949,'09월 고철장입'!$A$14:$A$949,$A144,'09월 고철장입'!$C$14:$C$949,$B144))/1000)</f>
        <v/>
      </c>
      <c r="BH144" s="833" t="str">
        <f>IF($C144&lt;1,"",(AVERAGEIFS('09월 고철장입'!T$14:T$949,'09월 고철장입'!$A$14:$A$949,$A144,'09월 고철장입'!$C$14:$C$949,$B144))/1000)</f>
        <v/>
      </c>
      <c r="BI144" s="833" t="str">
        <f>IF($C144&lt;1,"",(AVERAGEIFS('09월 고철장입'!U$14:U$949,'09월 고철장입'!$A$14:$A$949,$A144,'09월 고철장입'!$C$14:$C$949,$B144))/1000)</f>
        <v/>
      </c>
      <c r="BJ144" s="833" t="str">
        <f>IF($C144&lt;1,"",(AVERAGEIFS('09월 고철장입'!V$14:V$949,'09월 고철장입'!$A$14:$A$949,$A144,'09월 고철장입'!$C$14:$C$949,$B144))/1000)</f>
        <v/>
      </c>
      <c r="BK144" s="833" t="str">
        <f>IF($C144&lt;1,"",(AVERAGEIFS('09월 고철장입'!W$14:W$949,'09월 고철장입'!$A$14:$A$949,$A144,'09월 고철장입'!$C$14:$C$949,$B144))/1000)</f>
        <v/>
      </c>
      <c r="BL144" s="833" t="str">
        <f>IF($C144&lt;1,"",(AVERAGEIFS('09월 고철장입'!Y$14:Y$949,'09월 고철장입'!$A$14:$A$949,$A144,'09월 고철장입'!$C$14:$C$949,$B144))/1000)</f>
        <v/>
      </c>
      <c r="BM144" s="833" t="str">
        <f>IF($C144&lt;1,"",(AVERAGEIFS('09월 고철장입'!AB$14:AB$949,'09월 고철장입'!$A$14:$A$949,$A144,'09월 고철장입'!$C$14:$C$949,$B144))/1000)</f>
        <v/>
      </c>
      <c r="BN144" s="833" t="str">
        <f>IF($C144&lt;1,"",(AVERAGEIFS('09월 고철장입'!AC$14:AC$949,'09월 고철장입'!$A$14:$A$949,$A144,'09월 고철장입'!$C$14:$C$949,$B144))/1000)</f>
        <v/>
      </c>
      <c r="BO144" s="833" t="str">
        <f>IF($C144&lt;1,"",(AVERAGEIFS('09월 고철장입'!AD$14:AD$949,'09월 고철장입'!$A$14:$A$949,$A144,'09월 고철장입'!$C$14:$C$949,$B144))/1000)</f>
        <v/>
      </c>
      <c r="BP144" s="833" t="str">
        <f>IF($C144&lt;1,"",(AVERAGEIFS('09월 고철장입'!AE$14:AE$949,'09월 고철장입'!$A$14:$A$949,$A144,'09월 고철장입'!$C$14:$C$949,$B144))/1000)</f>
        <v/>
      </c>
      <c r="BQ144" s="832" t="str">
        <f>IF($C144&lt;1,"",(AVERAGEIFS('09월 고철장입'!AF$14:AF$949,'09월 고철장입'!$A$14:$A$949,$A144,'09월 고철장입'!$C$14:$C$949,$B144))/1000)</f>
        <v/>
      </c>
      <c r="BR144" s="832" t="str">
        <f>IF($C144&lt;1,"",(AVERAGEIFS('09월 고철장입'!AG$14:AG$949,'09월 고철장입'!$A$14:$A$949,$A144,'09월 고철장입'!$C$14:$C$949,$B144))/1000)</f>
        <v/>
      </c>
      <c r="BS144" s="832" t="str">
        <f>IF($C144&lt;1,"",(AVERAGEIFS('09월 고철장입'!AH$14:AH$949,'09월 고철장입'!$A$14:$A$949,$A144,'09월 고철장입'!$C$14:$C$949,$B144))/1000)</f>
        <v/>
      </c>
      <c r="BT144" s="832" t="str">
        <f>IF($C144&lt;1,"",(AVERAGEIFS('09월 고철장입'!AI$14:AI$949,'09월 고철장입'!$A$14:$A$949,$A144,'09월 고철장입'!$C$14:$C$949,$B144))/1000)</f>
        <v/>
      </c>
      <c r="BU144" s="834" t="str">
        <f>IF($C144&lt;1,"",(AVERAGEIFS('09월 고철장입'!AJ$14:AJ$949,'09월 고철장입'!$A$14:$A$949,$A144,'09월 고철장입'!$C$14:$C$949,$B144))/1000)</f>
        <v/>
      </c>
      <c r="BV144" s="834" t="str">
        <f>IF($C144&lt;1,"",(AVERAGEIFS('09월 고철장입'!AK$14:AK$949,'09월 고철장입'!$A$14:$A$949,$A144,'09월 고철장입'!$C$14:$C$949,$B144)))</f>
        <v/>
      </c>
      <c r="BW144" s="834" t="str">
        <f>IF($C144&lt;1,"",(AVERAGEIFS('09월 고철장입'!AL$14:AL$949,'09월 고철장입'!$A$14:$A$949,$A144,'09월 고철장입'!$C$14:$C$949,$B144))*100)</f>
        <v/>
      </c>
      <c r="BX144" s="831" t="str">
        <f>IF($C144&lt;1,"",(AVERAGEIFS('09월 에너지'!G$14:G$949,'09월 에너지'!$A$14:$A$949,$A144,'09월 에너지'!$C$14:$C$949,$B144)))</f>
        <v/>
      </c>
      <c r="BY144" s="835" t="str">
        <f>IF($C144&lt;1,"",(AVERAGEIFS('09월 에너지'!H$14:H$949,'09월 에너지'!$A$14:$A$949,$A144,'09월 에너지'!$C$14:$C$949,$B144)))</f>
        <v/>
      </c>
      <c r="BZ144" s="831" t="str">
        <f>IF($C144&lt;1,"",(AVERAGEIFS('09월 에너지'!I$14:I$949,'09월 에너지'!$A$14:$A$949,$A144,'09월 에너지'!$C$14:$C$949,$B144)))</f>
        <v/>
      </c>
      <c r="CA144" s="835" t="str">
        <f>IF($C144&lt;1,"",(AVERAGEIFS('09월 에너지'!J$14:J$949,'09월 에너지'!$A$14:$A$949,$A144,'09월 에너지'!$C$14:$C$949,$B144)))</f>
        <v/>
      </c>
      <c r="CB144" s="831" t="str">
        <f>IF($C144&lt;1,"",(AVERAGEIFS('09월 에너지'!K$14:K$949,'09월 에너지'!$A$14:$A$949,$A144,'09월 에너지'!$C$14:$C$949,$B144)))</f>
        <v/>
      </c>
      <c r="CC144" s="835" t="str">
        <f>IF($C144&lt;1,"",(AVERAGEIFS('09월 에너지'!L$14:L$949,'09월 에너지'!$A$14:$A$949,$A144,'09월 에너지'!$C$14:$C$949,$B144)))</f>
        <v/>
      </c>
      <c r="CD144" s="831" t="str">
        <f>IF($C144&lt;1,"",(AVERAGEIFS('09월 에너지'!M$14:M$949,'09월 에너지'!$A$14:$A$949,$A144,'09월 에너지'!$C$14:$C$949,$B144)))</f>
        <v/>
      </c>
      <c r="CE144" s="835" t="str">
        <f>IF($C144&lt;1,"",(AVERAGEIFS('09월 에너지'!N$14:N$949,'09월 에너지'!$A$14:$A$949,$A144,'09월 에너지'!$C$14:$C$949,$B144)))</f>
        <v/>
      </c>
      <c r="CF144" s="831" t="str">
        <f>IF($C144&lt;1,"",(AVERAGEIFS('09월 에너지'!O$14:O$949,'09월 에너지'!$A$14:$A$949,$A144,'09월 에너지'!$C$14:$C$949,$B144)))</f>
        <v/>
      </c>
      <c r="CG144" s="831" t="str">
        <f>IF($C144&lt;1,"",(AVERAGEIFS('09월 에너지'!P$14:P$949,'09월 에너지'!$A$14:$A$949,$A144,'09월 에너지'!$C$14:$C$949,$B144)))</f>
        <v/>
      </c>
      <c r="CH144" s="831" t="str">
        <f>IF($C144&lt;1,"",(AVERAGEIFS('09월 에너지'!Q$14:Q$949,'09월 에너지'!$A$14:$A$949,$A144,'09월 에너지'!$C$14:$C$949,$B144)))</f>
        <v/>
      </c>
      <c r="CI144" s="831" t="str">
        <f>IF($C144&lt;1,"",(AVERAGEIFS('09월 에너지'!R$14:R$949,'09월 에너지'!$A$14:$A$949,$A144,'09월 에너지'!$C$14:$C$949,$B144)))</f>
        <v/>
      </c>
      <c r="CJ144" s="831" t="str">
        <f>IF($C144&lt;1,"",(AVERAGEIFS('09월 에너지'!S$14:S$949,'09월 에너지'!$A$14:$A$949,$A144,'09월 에너지'!$C$14:$C$949,$B144)))</f>
        <v/>
      </c>
      <c r="CK144" s="831" t="str">
        <f>IF($C144&lt;1,"",(AVERAGEIFS('09월 에너지'!T$14:T$949,'09월 에너지'!$A$14:$A$949,$A144,'09월 에너지'!$C$14:$C$949,$B144)))</f>
        <v/>
      </c>
      <c r="CL144" s="831" t="str">
        <f>IF($C144&lt;1,"",(AVERAGEIFS('09월 에너지'!U$14:U$949,'09월 에너지'!$A$14:$A$949,$A144,'09월 에너지'!$C$14:$C$949,$B144)))</f>
        <v/>
      </c>
      <c r="CM144" s="835" t="str">
        <f>IF($C144&lt;1,"",(AVERAGEIFS('09월 에너지'!V$14:V$949,'09월 에너지'!$A$14:$A$949,$A144,'09월 에너지'!$C$14:$C$949,$B144)))</f>
        <v/>
      </c>
      <c r="CN144" s="835" t="str">
        <f>IF($C144&lt;1,"",(AVERAGEIFS('09월 에너지'!W$14:W$949,'09월 에너지'!$A$14:$A$949,$A144,'09월 에너지'!$C$14:$C$949,$B144)))</f>
        <v/>
      </c>
      <c r="CO144" s="831" t="str">
        <f>IF($C144&lt;1,"",(AVERAGEIFS('09월 에너지'!X$14:X$949,'09월 에너지'!$A$14:$A$949,$A144,'09월 에너지'!$C$14:$C$949,$B144)))</f>
        <v/>
      </c>
      <c r="CP144" s="835" t="str">
        <f>IF($C144&lt;1,"",(AVERAGEIFS('09월 에너지'!Y$14:Y$949,'09월 에너지'!$A$14:$A$949,$A144,'09월 에너지'!$C$14:$C$949,$B144)))</f>
        <v/>
      </c>
      <c r="CQ144" s="835" t="str">
        <f>IF($C144&lt;1,"",(AVERAGEIFS('09월 에너지'!Z$14:Z$949,'09월 에너지'!$A$14:$A$949,$A144,'09월 에너지'!$C$14:$C$949,$B144)))</f>
        <v/>
      </c>
      <c r="CR144" s="835" t="str">
        <f>IF($C144&lt;1,"",(AVERAGEIFS('09월 에너지'!AA$14:AA$949,'09월 에너지'!$A$14:$A$949,$A144,'09월 에너지'!$C$14:$C$949,$B144)))</f>
        <v/>
      </c>
      <c r="CS144" s="835" t="str">
        <f>IF($C144&lt;1,"",(AVERAGEIFS('09월 에너지'!AB$14:AB$949,'09월 에너지'!$A$14:$A$949,$A144,'09월 에너지'!$C$14:$C$949,$B144)))</f>
        <v/>
      </c>
      <c r="CT144" s="831" t="str">
        <f>IF($C144&lt;1,"",(AVERAGEIFS('09월 에너지'!AC$14:AC$949,'09월 에너지'!$A$14:$A$949,$A144,'09월 에너지'!$C$14:$C$949,$B144)))</f>
        <v/>
      </c>
      <c r="CU144" s="836" t="str">
        <f>IF($C144&lt;1,"",(AVERAGEIFS('09월 에너지'!AD$14:AD$949,'09월 에너지'!$A$14:$A$949,$A144,'09월 에너지'!$C$14:$C$949,$B144)))</f>
        <v/>
      </c>
      <c r="CV144" s="837" t="str">
        <f>IF($C144&lt;1,"",(AVERAGEIFS('09월 에너지'!AE$14:AE$949,'09월 에너지'!$A$14:$A$949,$A144,'09월 에너지'!$C$14:$C$949,$B144)))</f>
        <v/>
      </c>
      <c r="CW144" s="831" t="str">
        <f>IF($C144&lt;1,"",(AVERAGEIFS('09월 에너지'!AF$14:AF$949,'09월 에너지'!$A$14:$A$949,$A144,'09월 에너지'!$C$14:$C$949,$B144)))</f>
        <v/>
      </c>
      <c r="CX144" s="831" t="str">
        <f>IF($C144&lt;1,"",(AVERAGEIFS('09월 에너지'!AG$14:AG$949,'09월 에너지'!$A$14:$A$949,$A144,'09월 에너지'!$C$14:$C$949,$B144)))</f>
        <v/>
      </c>
      <c r="CY144" s="831" t="str">
        <f>IF($C144&lt;1,"",(AVERAGEIFS('09월 에너지'!AH$14:AH$949,'09월 에너지'!$A$14:$A$949,$A144,'09월 에너지'!$C$14:$C$949,$B144)))</f>
        <v/>
      </c>
      <c r="CZ144" s="831" t="str">
        <f>IF($C144&lt;1,"",(AVERAGEIFS('09월 에너지'!AI$14:AI$949,'09월 에너지'!$A$14:$A$949,$A144,'09월 에너지'!$C$14:$C$949,$B144)))</f>
        <v/>
      </c>
      <c r="DA144" s="838" t="str">
        <f>IF($C144&lt;1,"",(AVERAGEIFS('09월 에너지'!AJ$14:AJ$949,'09월 에너지'!$A$14:$A$949,$A144,'09월 에너지'!$C$14:$C$949,$B144)))</f>
        <v/>
      </c>
    </row>
    <row r="145" spans="1:105" ht="13.5" customHeight="1" thickBot="1">
      <c r="A145" s="851">
        <f t="shared" si="20"/>
        <v>44954</v>
      </c>
      <c r="B145" s="852" t="s">
        <v>94</v>
      </c>
      <c r="C145" s="841">
        <f>COUNTIFS('09월 조업일지'!$A$12:$A$952,A141,'09월 조업일지'!$E$12:$E$952,B145)</f>
        <v>0</v>
      </c>
      <c r="D145" s="842" t="str">
        <f t="shared" si="31"/>
        <v/>
      </c>
      <c r="E145" s="842" t="str">
        <f>IF($C145&lt;1,"",(SUMIFS('09월 조업일지'!$K$12:$K$952,'09월 조업일지'!$A$12:$A$952,$A145,'09월 조업일지'!$E$12:$E$952,$B145)/$C145))</f>
        <v/>
      </c>
      <c r="F145" s="842" t="str">
        <f>IF($C145&lt;1,"",(AVERAGEIFS('09월 조업일지'!$J$12:$J$952,'09월 조업일지'!$A$12:$A$952,$A145,'09월 조업일지'!$E$12:$E$952,$B145)))</f>
        <v/>
      </c>
      <c r="G145" s="843" t="str">
        <f>IF($C145&lt;1,"",(AVERAGEIFS('09월 에너지'!$M$14:$M$949,'09월 에너지'!$A$14:$A$949,$A145,'09월 에너지'!$C$14:$C$949,$B145)))</f>
        <v/>
      </c>
      <c r="H145" s="844" t="str">
        <f>IF($C145&lt;1,"",(AVERAGEIFS('09월 조업일지'!$AJ$12:$AJ$952,'09월 조업일지'!$A$12:$A$952,$A145,'09월 조업일지'!$E$12:$E$952,$B145)))</f>
        <v/>
      </c>
      <c r="I145" s="844" t="str">
        <f>IF($C145&lt;1,"",(AVERAGEIFS('09월 조업일지'!$AL$12:$AL$952,'09월 조업일지'!$A$12:$A$952,$A145,'09월 조업일지'!$E$12:$E$952,$B145)))</f>
        <v/>
      </c>
      <c r="J145" s="845" t="str">
        <f>IF($C145&lt;1,"",(AVERAGEIFS('09월 화학성분'!G$12:G$949,'09월 화학성분'!$A$12:$A$949,$A145,'09월 화학성분'!$D$12:$D$949,$B145)))</f>
        <v/>
      </c>
      <c r="K145" s="845" t="str">
        <f>IF($C145&lt;1,"",(AVERAGEIFS('09월 화학성분'!H$12:H$949,'09월 화학성분'!$A$12:$A$949,$A145,'09월 화학성분'!$D$12:$D$949,$B145)))</f>
        <v/>
      </c>
      <c r="L145" s="845" t="str">
        <f>IF($C145&lt;1,"",(AVERAGEIFS('09월 화학성분'!I$12:I$949,'09월 화학성분'!$A$12:$A$949,$A145,'09월 화학성분'!$D$12:$D$949,$B145)))</f>
        <v/>
      </c>
      <c r="M145" s="845" t="str">
        <f>IF($C145&lt;1,"",(AVERAGEIFS('09월 화학성분'!J$12:J$949,'09월 화학성분'!$A$12:$A$949,$A145,'09월 화학성분'!$D$12:$D$949,$B145)))</f>
        <v/>
      </c>
      <c r="N145" s="845" t="str">
        <f>IF($C145&lt;1,"",(AVERAGEIFS('09월 화학성분'!K$12:K$949,'09월 화학성분'!$A$12:$A$949,$A145,'09월 화학성분'!$D$12:$D$949,$B145)))</f>
        <v/>
      </c>
      <c r="O145" s="845" t="str">
        <f>IF($C145&lt;1,"",(AVERAGEIFS('09월 화학성분'!L$12:L$949,'09월 화학성분'!$A$12:$A$949,$A145,'09월 화학성분'!$D$12:$D$949,$B145)))</f>
        <v/>
      </c>
      <c r="P145" s="845" t="str">
        <f>IF($C145&lt;1,"",(AVERAGEIFS('09월 화학성분'!M$12:M$949,'09월 화학성분'!$A$12:$A$949,$A145,'09월 화학성분'!$D$12:$D$949,$B145)))</f>
        <v/>
      </c>
      <c r="Q145" s="827" t="str">
        <f>IFERROR(IF($C145&lt;1,"",(AVERAGEIFS('09월 조업일지'!$AA$12:$AA$952,'09월 조업일지'!$A$12:$A$952,$A145,'09월 조업일지'!$E$12:$E$952,$B145))),"")</f>
        <v/>
      </c>
      <c r="R145" s="845" t="str">
        <f>IF($C145&lt;1,"",(AVERAGEIFS('09월 조업일지'!$AK$12:$AK$952,'09월 조업일지'!$A$12:$A$952,$A145,'09월 조업일지'!$E$12:$E$952,$B145)))</f>
        <v/>
      </c>
      <c r="S145" s="845"/>
      <c r="T145" s="845"/>
      <c r="U145" s="845" t="str">
        <f>IF($C145&lt;1,"",(AVERAGEIFS('09월 화학성분'!$G$12:$G$949,'09월 화학성분'!$A$12:$A$949,$A145,'09월 화학성분'!$D$12:$D$949,$B145)))</f>
        <v/>
      </c>
      <c r="V145" s="845" t="str">
        <f>IF($C145&lt;1,"",(AVERAGEIFS('09월 조업일지'!$AI$12:$AI$952,'09월 조업일지'!$A$12:$A$952,$A145,'09월 조업일지'!$E$12:$E$952,$B145)))</f>
        <v/>
      </c>
      <c r="W145" s="846" t="str">
        <f>IF($C145&lt;1,"",(AVERAGEIFS('09월 화학성분'!$AM$12:$AM$949,'09월 화학성분'!$A$12:$A$949,$A145,'09월 화학성분'!$D$12:$D$949,$B145)))</f>
        <v/>
      </c>
      <c r="X145" s="829" t="str">
        <f>IF($C145&lt;1,"",(AVERAGEIFS('09월 화학성분'!N$12:N$949,'09월 화학성분'!$A$12:$A$949,$A145,'09월 화학성분'!$D$12:$D$949,$B145)))</f>
        <v/>
      </c>
      <c r="Y145" s="829" t="str">
        <f>IF($C145&lt;1,"",(AVERAGEIFS('09월 화학성분'!O$12:O$949,'09월 화학성분'!$A$12:$A$949,$A145,'09월 화학성분'!$D$12:$D$949,$B145)))</f>
        <v/>
      </c>
      <c r="Z145" s="829" t="str">
        <f>IF($C145&lt;1,"",(AVERAGEIFS('09월 화학성분'!P$12:P$949,'09월 화학성분'!$A$12:$A$949,$A145,'09월 화학성분'!$D$12:$D$949,$B145)))</f>
        <v/>
      </c>
      <c r="AA145" s="829" t="str">
        <f>IF($C145&lt;1,"",(AVERAGEIFS('09월 화학성분'!Q$12:Q$949,'09월 화학성분'!$A$12:$A$949,$A145,'09월 화학성분'!$D$12:$D$949,$B145)))</f>
        <v/>
      </c>
      <c r="AB145" s="829" t="str">
        <f>IF($C145&lt;1,"",(AVERAGEIFS('09월 화학성분'!R$12:R$949,'09월 화학성분'!$A$12:$A$949,$A145,'09월 화학성분'!$D$12:$D$949,$B145)))</f>
        <v/>
      </c>
      <c r="AC145" s="829" t="str">
        <f>IF($C145&lt;1,"",(AVERAGEIFS('09월 화학성분'!U$12:U$949,'09월 화학성분'!$A$12:$A$949,$A145,'09월 화학성분'!$D$12:$D$949,$B145)))</f>
        <v/>
      </c>
      <c r="AD145" s="829" t="str">
        <f>IF($C145&lt;1,"",(AVERAGEIFS('09월 화학성분'!V$12:V$949,'09월 화학성분'!$A$12:$A$949,$A145,'09월 화학성분'!$D$12:$D$949,$B145)))</f>
        <v/>
      </c>
      <c r="AE145" s="829" t="str">
        <f>IF($C145&lt;1,"",(AVERAGEIFS('09월 화학성분'!W$12:W$949,'09월 화학성분'!$A$12:$A$949,$A145,'09월 화학성분'!$D$12:$D$949,$B145)))</f>
        <v/>
      </c>
      <c r="AF145" s="829" t="str">
        <f>IF($C145&lt;1,"",(AVERAGEIFS('09월 화학성분'!AA$12:AA$949,'09월 화학성분'!$A$12:$A$949,$A145,'09월 화학성분'!$D$12:$D$949,$B145)))</f>
        <v/>
      </c>
      <c r="AG145" s="829" t="str">
        <f>IF($C145&lt;1,"",(AVERAGEIFS('09월 화학성분'!#REF!,'09월 화학성분'!$A$12:$A$949,$A145,'09월 화학성분'!$D$12:$D$949,$B145)))</f>
        <v/>
      </c>
      <c r="AH145" s="829" t="str">
        <f>IF($C145&lt;1,"",(AVERAGEIFS('09월 화학성분'!AB$12:AB$949,'09월 화학성분'!$A$12:$A$949,$A145,'09월 화학성분'!$D$12:$D$949,$B145)))</f>
        <v/>
      </c>
      <c r="AI145" s="829" t="str">
        <f>IF($C145&lt;1,"",(AVERAGEIFS('09월 화학성분'!AC$12:AC$949,'09월 화학성분'!$A$12:$A$949,$A145,'09월 화학성분'!$D$12:$D$949,$B145)))</f>
        <v/>
      </c>
      <c r="AJ145" s="829" t="str">
        <f>IF($C145&lt;1,"",(AVERAGEIFS('09월 화학성분'!AD$12:AD$949,'09월 화학성분'!$A$12:$A$949,$A145,'09월 화학성분'!$D$12:$D$949,$B145)))</f>
        <v/>
      </c>
      <c r="AK145" s="829" t="str">
        <f>IF($C145&lt;1,"",(AVERAGEIFS('09월 화학성분'!AF$12:AF$949,'09월 화학성분'!$A$12:$A$949,$A145,'09월 화학성분'!$D$12:$D$949,$B145)))</f>
        <v/>
      </c>
      <c r="AL145" s="829" t="str">
        <f>IF($C145&lt;1,"",(AVERAGEIFS('09월 화학성분'!AG$12:AG$949,'09월 화학성분'!$A$12:$A$949,$A145,'09월 화학성분'!$D$12:$D$949,$B145)))</f>
        <v/>
      </c>
      <c r="AM145" s="829" t="str">
        <f>IF($C145&lt;1,"",(AVERAGEIFS('09월 화학성분'!AH$12:AH$949,'09월 화학성분'!$A$12:$A$949,$A145,'09월 화학성분'!$D$12:$D$949,$B145)))</f>
        <v/>
      </c>
      <c r="AN145" s="829" t="str">
        <f>IF($C145&lt;1,"",(AVERAGEIFS('09월 화학성분'!AI$12:AI$949,'09월 화학성분'!$A$12:$A$949,$A145,'09월 화학성분'!$D$12:$D$949,$B145)))</f>
        <v/>
      </c>
      <c r="AO145" s="829" t="str">
        <f>IF($C145&lt;1,"",(AVERAGEIFS('09월 화학성분'!AJ$12:AJ$949,'09월 화학성분'!$A$12:$A$949,$A145,'09월 화학성분'!$D$12:$D$949,$B145)))</f>
        <v/>
      </c>
      <c r="AP145" s="829" t="str">
        <f>IF($C145&lt;1,"",(AVERAGEIFS('09월 화학성분'!#REF!,'09월 화학성분'!$A$12:$A$949,$A145,'09월 화학성분'!$D$12:$D$949,$B145)))</f>
        <v/>
      </c>
      <c r="AQ145" s="829" t="str">
        <f>IF($C145&lt;1,"",(AVERAGEIFS('09월 화학성분'!AL$12:AL$949,'09월 화학성분'!$A$12:$A$949,$A145,'09월 화학성분'!$D$12:$D$949,$B145)))</f>
        <v/>
      </c>
      <c r="AR145" s="829" t="str">
        <f>IF($C145&lt;1,"",(AVERAGEIFS('09월 화학성분'!AM$12:AM$949,'09월 화학성분'!$A$12:$A$949,$A145,'09월 화학성분'!$D$12:$D$949,$B145)))</f>
        <v/>
      </c>
      <c r="AS145" s="830" t="str">
        <f>IF($C145&lt;1,"",(AVERAGEIFS('09월 화학성분'!AN$12:AN$949,'09월 화학성분'!$A$12:$A$949,$A145,'09월 화학성분'!$D$12:$D$949,$B145)))</f>
        <v/>
      </c>
      <c r="AT145" s="830" t="str">
        <f>IF($C145&lt;1,"",(AVERAGEIFS('09월 화학성분'!AO$12:AO$949,'09월 화학성분'!$A$12:$A$949,$A145,'09월 화학성분'!$D$12:$D$949,$B145)))</f>
        <v/>
      </c>
      <c r="AU145" s="831" t="str">
        <f>IF($C145&lt;1,"",(AVERAGEIFS('09월 화학성분'!AP$12:AP$949,'09월 화학성분'!$A$12:$A$949,$A145,'09월 화학성분'!$D$12:$D$949,$B145)))</f>
        <v/>
      </c>
      <c r="AV145" s="832" t="str">
        <f>IF($C145&lt;1,"",(AVERAGEIFS('09월 고철장입'!G$14:G$949,'09월 고철장입'!$A$14:$A$949,$A145,'09월 고철장입'!$C$14:$C$949,$B145))/1000)</f>
        <v/>
      </c>
      <c r="AW145" s="832" t="str">
        <f>IF($C145&lt;1,"",(AVERAGEIFS('09월 고철장입'!H$14:H$949,'09월 고철장입'!$A$14:$A$949,$A145,'09월 고철장입'!$C$14:$C$949,$B145))/1000)</f>
        <v/>
      </c>
      <c r="AX145" s="832" t="str">
        <f>IF($C145&lt;1,"",(AVERAGEIFS('09월 고철장입'!I$14:I$949,'09월 고철장입'!$A$14:$A$949,$A145,'09월 고철장입'!$C$14:$C$949,$B145))/1000)</f>
        <v/>
      </c>
      <c r="AY145" s="832" t="str">
        <f>IF($C145&lt;1,"",(AVERAGEIFS('09월 고철장입'!J$14:J$949,'09월 고철장입'!$A$14:$A$949,$A145,'09월 고철장입'!$C$14:$C$949,$B145))/1000)</f>
        <v/>
      </c>
      <c r="AZ145" s="832" t="str">
        <f>IF($C145&lt;1,"",(AVERAGEIFS('09월 고철장입'!K$14:K$949,'09월 고철장입'!$A$14:$A$949,$A145,'09월 고철장입'!$C$14:$C$949,$B145))/1000)</f>
        <v/>
      </c>
      <c r="BA145" s="832" t="str">
        <f>IF($C145&lt;1,"",(AVERAGEIFS('09월 고철장입'!L$14:L$949,'09월 고철장입'!$A$14:$A$949,$A145,'09월 고철장입'!$C$14:$C$949,$B145))/1000)</f>
        <v/>
      </c>
      <c r="BB145" s="832" t="str">
        <f>IF($C145&lt;1,"",(AVERAGEIFS('09월 고철장입'!M$14:M$949,'09월 고철장입'!$A$14:$A$949,$A145,'09월 고철장입'!$C$14:$C$949,$B145))/1000)</f>
        <v/>
      </c>
      <c r="BC145" s="832" t="str">
        <f>IF($C145&lt;1,"",(AVERAGEIFS('09월 고철장입'!N$14:N$949,'09월 고철장입'!$A$14:$A$949,$A145,'09월 고철장입'!$C$14:$C$949,$B145))/1000)</f>
        <v/>
      </c>
      <c r="BD145" s="832" t="str">
        <f>IF($C145&lt;1,"",(AVERAGEIFS('09월 고철장입'!O$14:O$949,'09월 고철장입'!$A$14:$A$949,$A145,'09월 고철장입'!$C$14:$C$949,$B145))/1000)</f>
        <v/>
      </c>
      <c r="BE145" s="833" t="str">
        <f>IF($C145&lt;1,"",(AVERAGEIFS('09월 고철장입'!P$14:P$949,'09월 고철장입'!$A$14:$A$949,$A145,'09월 고철장입'!$C$14:$C$949,$B145))/1000)</f>
        <v/>
      </c>
      <c r="BF145" s="833" t="str">
        <f>IF($C145&lt;1,"",(AVERAGEIFS('09월 고철장입'!Q$14:Q$949,'09월 고철장입'!$A$14:$A$949,$A145,'09월 고철장입'!$C$14:$C$949,$B145))/1000)</f>
        <v/>
      </c>
      <c r="BG145" s="833" t="str">
        <f>IF($C145&lt;1,"",(AVERAGEIFS('09월 고철장입'!S$14:S$949,'09월 고철장입'!$A$14:$A$949,$A145,'09월 고철장입'!$C$14:$C$949,$B145))/1000)</f>
        <v/>
      </c>
      <c r="BH145" s="833" t="str">
        <f>IF($C145&lt;1,"",(AVERAGEIFS('09월 고철장입'!T$14:T$949,'09월 고철장입'!$A$14:$A$949,$A145,'09월 고철장입'!$C$14:$C$949,$B145))/1000)</f>
        <v/>
      </c>
      <c r="BI145" s="833" t="str">
        <f>IF($C145&lt;1,"",(AVERAGEIFS('09월 고철장입'!U$14:U$949,'09월 고철장입'!$A$14:$A$949,$A145,'09월 고철장입'!$C$14:$C$949,$B145))/1000)</f>
        <v/>
      </c>
      <c r="BJ145" s="833" t="str">
        <f>IF($C145&lt;1,"",(AVERAGEIFS('09월 고철장입'!V$14:V$949,'09월 고철장입'!$A$14:$A$949,$A145,'09월 고철장입'!$C$14:$C$949,$B145))/1000)</f>
        <v/>
      </c>
      <c r="BK145" s="833" t="str">
        <f>IF($C145&lt;1,"",(AVERAGEIFS('09월 고철장입'!W$14:W$949,'09월 고철장입'!$A$14:$A$949,$A145,'09월 고철장입'!$C$14:$C$949,$B145))/1000)</f>
        <v/>
      </c>
      <c r="BL145" s="833" t="str">
        <f>IF($C145&lt;1,"",(AVERAGEIFS('09월 고철장입'!Y$14:Y$949,'09월 고철장입'!$A$14:$A$949,$A145,'09월 고철장입'!$C$14:$C$949,$B145))/1000)</f>
        <v/>
      </c>
      <c r="BM145" s="833" t="str">
        <f>IF($C145&lt;1,"",(AVERAGEIFS('09월 고철장입'!AB$14:AB$949,'09월 고철장입'!$A$14:$A$949,$A145,'09월 고철장입'!$C$14:$C$949,$B145))/1000)</f>
        <v/>
      </c>
      <c r="BN145" s="833" t="str">
        <f>IF($C145&lt;1,"",(AVERAGEIFS('09월 고철장입'!AC$14:AC$949,'09월 고철장입'!$A$14:$A$949,$A145,'09월 고철장입'!$C$14:$C$949,$B145))/1000)</f>
        <v/>
      </c>
      <c r="BO145" s="833" t="str">
        <f>IF($C145&lt;1,"",(AVERAGEIFS('09월 고철장입'!AD$14:AD$949,'09월 고철장입'!$A$14:$A$949,$A145,'09월 고철장입'!$C$14:$C$949,$B145))/1000)</f>
        <v/>
      </c>
      <c r="BP145" s="833" t="str">
        <f>IF($C145&lt;1,"",(AVERAGEIFS('09월 고철장입'!AE$14:AE$949,'09월 고철장입'!$A$14:$A$949,$A145,'09월 고철장입'!$C$14:$C$949,$B145))/1000)</f>
        <v/>
      </c>
      <c r="BQ145" s="832" t="str">
        <f>IF($C145&lt;1,"",(AVERAGEIFS('09월 고철장입'!AF$14:AF$949,'09월 고철장입'!$A$14:$A$949,$A145,'09월 고철장입'!$C$14:$C$949,$B145))/1000)</f>
        <v/>
      </c>
      <c r="BR145" s="832" t="str">
        <f>IF($C145&lt;1,"",(AVERAGEIFS('09월 고철장입'!AG$14:AG$949,'09월 고철장입'!$A$14:$A$949,$A145,'09월 고철장입'!$C$14:$C$949,$B145))/1000)</f>
        <v/>
      </c>
      <c r="BS145" s="832" t="str">
        <f>IF($C145&lt;1,"",(AVERAGEIFS('09월 고철장입'!AH$14:AH$949,'09월 고철장입'!$A$14:$A$949,$A145,'09월 고철장입'!$C$14:$C$949,$B145))/1000)</f>
        <v/>
      </c>
      <c r="BT145" s="832" t="str">
        <f>IF($C145&lt;1,"",(AVERAGEIFS('09월 고철장입'!AI$14:AI$949,'09월 고철장입'!$A$14:$A$949,$A145,'09월 고철장입'!$C$14:$C$949,$B145))/1000)</f>
        <v/>
      </c>
      <c r="BU145" s="834" t="str">
        <f>IF($C145&lt;1,"",(AVERAGEIFS('09월 고철장입'!AJ$14:AJ$949,'09월 고철장입'!$A$14:$A$949,$A145,'09월 고철장입'!$C$14:$C$949,$B145))/1000)</f>
        <v/>
      </c>
      <c r="BV145" s="834" t="str">
        <f>IF($C145&lt;1,"",(AVERAGEIFS('09월 고철장입'!AK$14:AK$949,'09월 고철장입'!$A$14:$A$949,$A145,'09월 고철장입'!$C$14:$C$949,$B145)))</f>
        <v/>
      </c>
      <c r="BW145" s="834" t="str">
        <f>IF($C145&lt;1,"",(AVERAGEIFS('09월 고철장입'!AL$14:AL$949,'09월 고철장입'!$A$14:$A$949,$A145,'09월 고철장입'!$C$14:$C$949,$B145))*100)</f>
        <v/>
      </c>
      <c r="BX145" s="831" t="str">
        <f>IF($C145&lt;1,"",(AVERAGEIFS('09월 에너지'!G$14:G$949,'09월 에너지'!$A$14:$A$949,$A145,'09월 에너지'!$C$14:$C$949,$B145)))</f>
        <v/>
      </c>
      <c r="BY145" s="835" t="str">
        <f>IF($C145&lt;1,"",(AVERAGEIFS('09월 에너지'!H$14:H$949,'09월 에너지'!$A$14:$A$949,$A145,'09월 에너지'!$C$14:$C$949,$B145)))</f>
        <v/>
      </c>
      <c r="BZ145" s="831" t="str">
        <f>IF($C145&lt;1,"",(AVERAGEIFS('09월 에너지'!I$14:I$949,'09월 에너지'!$A$14:$A$949,$A145,'09월 에너지'!$C$14:$C$949,$B145)))</f>
        <v/>
      </c>
      <c r="CA145" s="835" t="str">
        <f>IF($C145&lt;1,"",(AVERAGEIFS('09월 에너지'!J$14:J$949,'09월 에너지'!$A$14:$A$949,$A145,'09월 에너지'!$C$14:$C$949,$B145)))</f>
        <v/>
      </c>
      <c r="CB145" s="831" t="str">
        <f>IF($C145&lt;1,"",(AVERAGEIFS('09월 에너지'!K$14:K$949,'09월 에너지'!$A$14:$A$949,$A145,'09월 에너지'!$C$14:$C$949,$B145)))</f>
        <v/>
      </c>
      <c r="CC145" s="835" t="str">
        <f>IF($C145&lt;1,"",(AVERAGEIFS('09월 에너지'!L$14:L$949,'09월 에너지'!$A$14:$A$949,$A145,'09월 에너지'!$C$14:$C$949,$B145)))</f>
        <v/>
      </c>
      <c r="CD145" s="831" t="str">
        <f>IF($C145&lt;1,"",(AVERAGEIFS('09월 에너지'!M$14:M$949,'09월 에너지'!$A$14:$A$949,$A145,'09월 에너지'!$C$14:$C$949,$B145)))</f>
        <v/>
      </c>
      <c r="CE145" s="835" t="str">
        <f>IF($C145&lt;1,"",(AVERAGEIFS('09월 에너지'!N$14:N$949,'09월 에너지'!$A$14:$A$949,$A145,'09월 에너지'!$C$14:$C$949,$B145)))</f>
        <v/>
      </c>
      <c r="CF145" s="831" t="str">
        <f>IF($C145&lt;1,"",(AVERAGEIFS('09월 에너지'!O$14:O$949,'09월 에너지'!$A$14:$A$949,$A145,'09월 에너지'!$C$14:$C$949,$B145)))</f>
        <v/>
      </c>
      <c r="CG145" s="831" t="str">
        <f>IF($C145&lt;1,"",(AVERAGEIFS('09월 에너지'!P$14:P$949,'09월 에너지'!$A$14:$A$949,$A145,'09월 에너지'!$C$14:$C$949,$B145)))</f>
        <v/>
      </c>
      <c r="CH145" s="831" t="str">
        <f>IF($C145&lt;1,"",(AVERAGEIFS('09월 에너지'!Q$14:Q$949,'09월 에너지'!$A$14:$A$949,$A145,'09월 에너지'!$C$14:$C$949,$B145)))</f>
        <v/>
      </c>
      <c r="CI145" s="831" t="str">
        <f>IF($C145&lt;1,"",(AVERAGEIFS('09월 에너지'!R$14:R$949,'09월 에너지'!$A$14:$A$949,$A145,'09월 에너지'!$C$14:$C$949,$B145)))</f>
        <v/>
      </c>
      <c r="CJ145" s="831" t="str">
        <f>IF($C145&lt;1,"",(AVERAGEIFS('09월 에너지'!S$14:S$949,'09월 에너지'!$A$14:$A$949,$A145,'09월 에너지'!$C$14:$C$949,$B145)))</f>
        <v/>
      </c>
      <c r="CK145" s="831" t="str">
        <f>IF($C145&lt;1,"",(AVERAGEIFS('09월 에너지'!T$14:T$949,'09월 에너지'!$A$14:$A$949,$A145,'09월 에너지'!$C$14:$C$949,$B145)))</f>
        <v/>
      </c>
      <c r="CL145" s="831" t="str">
        <f>IF($C145&lt;1,"",(AVERAGEIFS('09월 에너지'!U$14:U$949,'09월 에너지'!$A$14:$A$949,$A145,'09월 에너지'!$C$14:$C$949,$B145)))</f>
        <v/>
      </c>
      <c r="CM145" s="835" t="str">
        <f>IF($C145&lt;1,"",(AVERAGEIFS('09월 에너지'!V$14:V$949,'09월 에너지'!$A$14:$A$949,$A145,'09월 에너지'!$C$14:$C$949,$B145)))</f>
        <v/>
      </c>
      <c r="CN145" s="835" t="str">
        <f>IF($C145&lt;1,"",(AVERAGEIFS('09월 에너지'!W$14:W$949,'09월 에너지'!$A$14:$A$949,$A145,'09월 에너지'!$C$14:$C$949,$B145)))</f>
        <v/>
      </c>
      <c r="CO145" s="831" t="str">
        <f>IF($C145&lt;1,"",(AVERAGEIFS('09월 에너지'!X$14:X$949,'09월 에너지'!$A$14:$A$949,$A145,'09월 에너지'!$C$14:$C$949,$B145)))</f>
        <v/>
      </c>
      <c r="CP145" s="835" t="str">
        <f>IF($C145&lt;1,"",(AVERAGEIFS('09월 에너지'!Y$14:Y$949,'09월 에너지'!$A$14:$A$949,$A145,'09월 에너지'!$C$14:$C$949,$B145)))</f>
        <v/>
      </c>
      <c r="CQ145" s="835" t="str">
        <f>IF($C145&lt;1,"",(AVERAGEIFS('09월 에너지'!Z$14:Z$949,'09월 에너지'!$A$14:$A$949,$A145,'09월 에너지'!$C$14:$C$949,$B145)))</f>
        <v/>
      </c>
      <c r="CR145" s="835" t="str">
        <f>IF($C145&lt;1,"",(AVERAGEIFS('09월 에너지'!AA$14:AA$949,'09월 에너지'!$A$14:$A$949,$A145,'09월 에너지'!$C$14:$C$949,$B145)))</f>
        <v/>
      </c>
      <c r="CS145" s="835" t="str">
        <f>IF($C145&lt;1,"",(AVERAGEIFS('09월 에너지'!AB$14:AB$949,'09월 에너지'!$A$14:$A$949,$A145,'09월 에너지'!$C$14:$C$949,$B145)))</f>
        <v/>
      </c>
      <c r="CT145" s="831" t="str">
        <f>IF($C145&lt;1,"",(AVERAGEIFS('09월 에너지'!AC$14:AC$949,'09월 에너지'!$A$14:$A$949,$A145,'09월 에너지'!$C$14:$C$949,$B145)))</f>
        <v/>
      </c>
      <c r="CU145" s="836" t="str">
        <f>IF($C145&lt;1,"",(AVERAGEIFS('09월 에너지'!AD$14:AD$949,'09월 에너지'!$A$14:$A$949,$A145,'09월 에너지'!$C$14:$C$949,$B145)))</f>
        <v/>
      </c>
      <c r="CV145" s="837" t="str">
        <f>IF($C145&lt;1,"",(AVERAGEIFS('09월 에너지'!AE$14:AE$949,'09월 에너지'!$A$14:$A$949,$A145,'09월 에너지'!$C$14:$C$949,$B145)))</f>
        <v/>
      </c>
      <c r="CW145" s="831" t="str">
        <f>IF($C145&lt;1,"",(AVERAGEIFS('09월 에너지'!AF$14:AF$949,'09월 에너지'!$A$14:$A$949,$A145,'09월 에너지'!$C$14:$C$949,$B145)))</f>
        <v/>
      </c>
      <c r="CX145" s="831" t="str">
        <f>IF($C145&lt;1,"",(AVERAGEIFS('09월 에너지'!AG$14:AG$949,'09월 에너지'!$A$14:$A$949,$A145,'09월 에너지'!$C$14:$C$949,$B145)))</f>
        <v/>
      </c>
      <c r="CY145" s="831" t="str">
        <f>IF($C145&lt;1,"",(AVERAGEIFS('09월 에너지'!AH$14:AH$949,'09월 에너지'!$A$14:$A$949,$A145,'09월 에너지'!$C$14:$C$949,$B145)))</f>
        <v/>
      </c>
      <c r="CZ145" s="831" t="str">
        <f>IF($C145&lt;1,"",(AVERAGEIFS('09월 에너지'!AI$14:AI$949,'09월 에너지'!$A$14:$A$949,$A145,'09월 에너지'!$C$14:$C$949,$B145)))</f>
        <v/>
      </c>
      <c r="DA145" s="838" t="str">
        <f>IF($C145&lt;1,"",(AVERAGEIFS('09월 에너지'!AJ$14:AJ$949,'09월 에너지'!$A$14:$A$949,$A145,'09월 에너지'!$C$14:$C$949,$B145)))</f>
        <v/>
      </c>
    </row>
    <row r="146" spans="1:105" ht="13.5" customHeight="1">
      <c r="A146" s="847">
        <f>A141+1</f>
        <v>44955</v>
      </c>
      <c r="B146" s="848" t="s">
        <v>31</v>
      </c>
      <c r="C146" s="810">
        <f>COUNTIF('09월 조업일지'!$A$12:$A$952,A146)</f>
        <v>0</v>
      </c>
      <c r="D146" s="787" t="str">
        <f>IF(C146&lt;1,"",F146-E146)</f>
        <v/>
      </c>
      <c r="E146" s="787" t="str">
        <f>IF($C146&lt;1,"",(SUMIF('09월 조업일지'!$A$12:$A$952,$A146,'09월 조업일지'!$K$12:$K$952))/C146)</f>
        <v/>
      </c>
      <c r="F146" s="787" t="str">
        <f>IF($C146&lt;1,"",AVERAGEIF('09월 조업일지'!$A$12:$A$952,$A146,'09월 조업일지'!$J$12:$J$952))</f>
        <v/>
      </c>
      <c r="G146" s="811" t="str">
        <f>IF($C146&lt;1,"",AVERAGEIF('09월 에너지'!$A$14:$A$949,$A146,'09월 에너지'!$M$14:M$949))</f>
        <v/>
      </c>
      <c r="H146" s="812" t="str">
        <f>IF($C146&lt;1,"",AVERAGEIF('09월 조업일지'!$A$12:$A$952,$A146,'09월 조업일지'!$AJ$12:$AJ$952))</f>
        <v/>
      </c>
      <c r="I146" s="812" t="str">
        <f>IF($C146&lt;1,"",AVERAGEIF('09월 조업일지'!$A$12:$A$952,$A146,'09월 조업일지'!$AL$12:$AL$952))</f>
        <v/>
      </c>
      <c r="J146" s="813" t="str">
        <f>IF($C146&lt;1,"",AVERAGEIF('09월 화학성분'!$A$12:$A$949,$A146,'09월 화학성분'!G$12:G$949))</f>
        <v/>
      </c>
      <c r="K146" s="813" t="str">
        <f>IF($C146&lt;1,"",AVERAGEIF('09월 화학성분'!$A$12:$A$949,$A146,'09월 화학성분'!H$12:H$949))</f>
        <v/>
      </c>
      <c r="L146" s="813" t="str">
        <f>IF($C146&lt;1,"",AVERAGEIF('09월 화학성분'!$A$12:$A$949,$A146,'09월 화학성분'!I$12:I$949))</f>
        <v/>
      </c>
      <c r="M146" s="813" t="str">
        <f>IF($C146&lt;1,"",AVERAGEIF('09월 화학성분'!$A$12:$A$949,$A146,'09월 화학성분'!J$12:J$949))</f>
        <v/>
      </c>
      <c r="N146" s="813" t="str">
        <f>IF($C146&lt;1,"",AVERAGEIF('09월 화학성분'!$A$12:$A$949,$A146,'09월 화학성분'!K$12:K$949))</f>
        <v/>
      </c>
      <c r="O146" s="813" t="str">
        <f>IF($C146&lt;1,"",AVERAGEIF('09월 화학성분'!$A$12:$A$949,$A146,'09월 화학성분'!L$12:L$949))</f>
        <v/>
      </c>
      <c r="P146" s="813" t="str">
        <f>IF($C146&lt;1,"",AVERAGEIF('09월 화학성분'!$A$12:$A$949,$A146,'09월 화학성분'!M$12:M$949))</f>
        <v/>
      </c>
      <c r="Q146" s="814" t="str">
        <f>IF($C146&lt;1,"",AVERAGEIF('09월 조업일지'!$A$12:$A$952,$A146,'09월 조업일지'!$AA$12:$AA$952))</f>
        <v/>
      </c>
      <c r="R146" s="814" t="str">
        <f>IF($C146&lt;1,"",AVERAGEIF('09월 조업일지'!$A$12:$A$952,$A146,'09월 조업일지'!$AK$12:$AK$952))</f>
        <v/>
      </c>
      <c r="S146" s="814"/>
      <c r="T146" s="814"/>
      <c r="U146" s="813" t="str">
        <f>IF($C146&lt;1,"",AVERAGEIF('09월 화학성분'!$A$12:$A$949,$A146,'09월 화학성분'!$G$12:$G$949))</f>
        <v/>
      </c>
      <c r="V146" s="814" t="str">
        <f>IF($C146&lt;1,"",AVERAGEIF('09월 조업일지'!$A$12:$A$952,$A146,'09월 조업일지'!$AI$12:$AI$952))</f>
        <v/>
      </c>
      <c r="W146" s="813" t="str">
        <f>IF($C146&lt;1,"",AVERAGEIF('09월 화학성분'!$A$12:$A$949,$A146,'09월 화학성분'!$AM$12:$AM$949))</f>
        <v/>
      </c>
      <c r="X146" s="815" t="str">
        <f>IF($C146&lt;1,"",AVERAGEIF('09월 화학성분'!$A$12:$A$949,$A146,'09월 화학성분'!N$12:N$949))</f>
        <v/>
      </c>
      <c r="Y146" s="815" t="str">
        <f>IF($C146&lt;1,"",AVERAGEIF('09월 화학성분'!$A$12:$A$949,$A146,'09월 화학성분'!O$12:O$949))</f>
        <v/>
      </c>
      <c r="Z146" s="815" t="str">
        <f>IF($C146&lt;1,"",AVERAGEIF('09월 화학성분'!$A$12:$A$949,$A146,'09월 화학성분'!P$12:P$949))</f>
        <v/>
      </c>
      <c r="AA146" s="815" t="str">
        <f>IF($C146&lt;1,"",AVERAGEIF('09월 화학성분'!$A$12:$A$949,$A146,'09월 화학성분'!Q$12:Q$949))</f>
        <v/>
      </c>
      <c r="AB146" s="815" t="str">
        <f>IF($C146&lt;1,"",AVERAGEIF('09월 화학성분'!$A$12:$A$949,$A146,'09월 화학성분'!R$12:R$949))</f>
        <v/>
      </c>
      <c r="AC146" s="815" t="str">
        <f>IF($C146&lt;1,"",AVERAGEIF('09월 화학성분'!$A$12:$A$949,$A146,'09월 화학성분'!U$12:U$949))</f>
        <v/>
      </c>
      <c r="AD146" s="815" t="str">
        <f>IF($C146&lt;1,"",AVERAGEIF('09월 화학성분'!$A$12:$A$949,$A146,'09월 화학성분'!V$12:V$949))</f>
        <v/>
      </c>
      <c r="AE146" s="815" t="str">
        <f>IF($C146&lt;1,"",AVERAGEIF('09월 화학성분'!$A$12:$A$949,$A146,'09월 화학성분'!W$12:W$949))</f>
        <v/>
      </c>
      <c r="AF146" s="815" t="str">
        <f>IF($C146&lt;1,"",AVERAGEIF('09월 화학성분'!$A$12:$A$949,$A146,'09월 화학성분'!AA$12:AA$949))</f>
        <v/>
      </c>
      <c r="AG146" s="815" t="str">
        <f>IF($C146&lt;1,"",AVERAGEIF('09월 화학성분'!$A$12:$A$949,$A146,'09월 화학성분'!#REF!))</f>
        <v/>
      </c>
      <c r="AH146" s="815" t="str">
        <f>IF($C146&lt;1,"",AVERAGEIF('09월 화학성분'!$A$12:$A$949,$A146,'09월 화학성분'!AB$12:AB$949))</f>
        <v/>
      </c>
      <c r="AI146" s="815" t="str">
        <f>IF($C146&lt;1,"",AVERAGEIF('09월 화학성분'!$A$12:$A$949,$A146,'09월 화학성분'!AC$12:AC$949))</f>
        <v/>
      </c>
      <c r="AJ146" s="815" t="str">
        <f>IF($C146&lt;1,"",AVERAGEIF('09월 화학성분'!$A$12:$A$949,$A146,'09월 화학성분'!AD$12:AD$949))</f>
        <v/>
      </c>
      <c r="AK146" s="815" t="str">
        <f>IF($C146&lt;1,"",AVERAGEIF('09월 화학성분'!$A$12:$A$949,$A146,'09월 화학성분'!AF$12:AF$949))</f>
        <v/>
      </c>
      <c r="AL146" s="815" t="str">
        <f>IF($C146&lt;1,"",AVERAGEIF('09월 화학성분'!$A$12:$A$949,$A146,'09월 화학성분'!AG$12:AG$949))</f>
        <v/>
      </c>
      <c r="AM146" s="815" t="str">
        <f>IF($C146&lt;1,"",AVERAGEIF('09월 화학성분'!$A$12:$A$949,$A146,'09월 화학성분'!AH$12:AH$949))</f>
        <v/>
      </c>
      <c r="AN146" s="815" t="str">
        <f>IF($C146&lt;1,"",AVERAGEIF('09월 화학성분'!$A$12:$A$949,$A146,'09월 화학성분'!AI$12:AI$949))</f>
        <v/>
      </c>
      <c r="AO146" s="815" t="str">
        <f>IF($C146&lt;1,"",AVERAGEIF('09월 화학성분'!$A$12:$A$949,$A146,'09월 화학성분'!AJ$12:AJ$949))</f>
        <v/>
      </c>
      <c r="AP146" s="815" t="str">
        <f>IF($C146&lt;1,"",AVERAGEIF('09월 화학성분'!$A$12:$A$949,$A146,'09월 화학성분'!#REF!))</f>
        <v/>
      </c>
      <c r="AQ146" s="815" t="str">
        <f>IF($C146&lt;1,"",AVERAGEIF('09월 화학성분'!$A$12:$A$949,$A146,'09월 화학성분'!AL$12:AL$949))</f>
        <v/>
      </c>
      <c r="AR146" s="815" t="str">
        <f>IF($C146&lt;1,"",AVERAGEIF('09월 화학성분'!$A$12:$A$949,$A146,'09월 화학성분'!AM$12:AM$949))</f>
        <v/>
      </c>
      <c r="AS146" s="816" t="str">
        <f>IF($C146&lt;1,"",AVERAGEIF('09월 화학성분'!$A$12:$A$949,$A146,'09월 화학성분'!AN$12:AN$949))</f>
        <v/>
      </c>
      <c r="AT146" s="816" t="str">
        <f>IF($C146&lt;1,"",AVERAGEIF('09월 화학성분'!$A$12:$A$949,$A146,'09월 화학성분'!AO$12:AO$949))</f>
        <v/>
      </c>
      <c r="AU146" s="815" t="str">
        <f>IF($C146&lt;1,"",AVERAGEIF('09월 화학성분'!$A$12:$A$949,$A146,'09월 화학성분'!AP$12:AP$949))</f>
        <v/>
      </c>
      <c r="AV146" s="815" t="str">
        <f>IF($C146&lt;1,"",AVERAGEIF('09월 고철장입'!$A$14:$A$949,$A146,'09월 고철장입'!G$14:G$949)/1000)</f>
        <v/>
      </c>
      <c r="AW146" s="815" t="str">
        <f>IF($C146&lt;1,"",AVERAGEIF('09월 고철장입'!$A$14:$A$949,$A146,'09월 고철장입'!H$14:H$949)/1000)</f>
        <v/>
      </c>
      <c r="AX146" s="815" t="str">
        <f>IF($C146&lt;1,"",AVERAGEIF('09월 고철장입'!$A$14:$A$949,$A146,'09월 고철장입'!I$14:I$949)/1000)</f>
        <v/>
      </c>
      <c r="AY146" s="815" t="str">
        <f>IF($C146&lt;1,"",AVERAGEIF('09월 고철장입'!$A$14:$A$949,$A146,'09월 고철장입'!J$14:J$949)/1000)</f>
        <v/>
      </c>
      <c r="AZ146" s="815" t="str">
        <f>IF($C146&lt;1,"",AVERAGEIF('09월 고철장입'!$A$14:$A$949,$A146,'09월 고철장입'!K$14:K$949)/1000)</f>
        <v/>
      </c>
      <c r="BA146" s="815" t="str">
        <f>IF($C146&lt;1,"",AVERAGEIF('09월 고철장입'!$A$14:$A$949,$A146,'09월 고철장입'!L$14:L$949)/1000)</f>
        <v/>
      </c>
      <c r="BB146" s="815" t="str">
        <f>IF($C146&lt;1,"",AVERAGEIF('09월 고철장입'!$A$14:$A$949,$A146,'09월 고철장입'!M$14:M$949)/1000)</f>
        <v/>
      </c>
      <c r="BC146" s="815" t="str">
        <f>IF($C146&lt;1,"",AVERAGEIF('09월 고철장입'!$A$14:$A$949,$A146,'09월 고철장입'!N$14:N$949)/1000)</f>
        <v/>
      </c>
      <c r="BD146" s="815" t="str">
        <f>IF($C146&lt;1,"",AVERAGEIF('09월 고철장입'!$A$14:$A$949,$A146,'09월 고철장입'!O$14:O$949)/1000)</f>
        <v/>
      </c>
      <c r="BE146" s="815" t="str">
        <f>IF($C146&lt;1,"",AVERAGEIF('09월 고철장입'!$A$14:$A$949,$A146,'09월 고철장입'!P$14:P$949)/1000)</f>
        <v/>
      </c>
      <c r="BF146" s="815" t="str">
        <f>IF($C146&lt;1,"",AVERAGEIF('09월 고철장입'!$A$14:$A$949,$A146,'09월 고철장입'!Q$14:Q$949)/1000)</f>
        <v/>
      </c>
      <c r="BG146" s="815" t="str">
        <f>IF($C146&lt;1,"",AVERAGEIF('09월 고철장입'!$A$14:$A$949,$A146,'09월 고철장입'!S$14:S$949)/1000)</f>
        <v/>
      </c>
      <c r="BH146" s="815" t="str">
        <f>IF($C146&lt;1,"",AVERAGEIF('09월 고철장입'!$A$14:$A$949,$A146,'09월 고철장입'!T$14:T$949)/1000)</f>
        <v/>
      </c>
      <c r="BI146" s="815" t="str">
        <f>IF($C146&lt;1,"",AVERAGEIF('09월 고철장입'!$A$14:$A$949,$A146,'09월 고철장입'!U$14:U$949)/1000)</f>
        <v/>
      </c>
      <c r="BJ146" s="815" t="str">
        <f>IF($C146&lt;1,"",AVERAGEIF('09월 고철장입'!$A$14:$A$949,$A146,'09월 고철장입'!V$14:V$949)/1000)</f>
        <v/>
      </c>
      <c r="BK146" s="815" t="str">
        <f>IF($C146&lt;1,"",AVERAGEIF('09월 고철장입'!$A$14:$A$949,$A146,'09월 고철장입'!W$14:W$949)/1000)</f>
        <v/>
      </c>
      <c r="BL146" s="815" t="str">
        <f>IF($C146&lt;1,"",AVERAGEIF('09월 고철장입'!$A$14:$A$949,$A146,'09월 고철장입'!Y$14:Y$949)/1000)</f>
        <v/>
      </c>
      <c r="BM146" s="815" t="str">
        <f>IF($C146&lt;1,"",AVERAGEIF('09월 고철장입'!$A$14:$A$949,$A146,'09월 고철장입'!AB$14:AB$949)/1000)</f>
        <v/>
      </c>
      <c r="BN146" s="815" t="str">
        <f>IF($C146&lt;1,"",AVERAGEIF('09월 고철장입'!$A$14:$A$949,$A146,'09월 고철장입'!AC$14:AC$949)/1000)</f>
        <v/>
      </c>
      <c r="BO146" s="815" t="str">
        <f>IF($C146&lt;1,"",AVERAGEIF('09월 고철장입'!$A$14:$A$949,$A146,'09월 고철장입'!AD$14:AD$949)/1000)</f>
        <v/>
      </c>
      <c r="BP146" s="815" t="str">
        <f>IF($C146&lt;1,"",AVERAGEIF('09월 고철장입'!$A$14:$A$949,$A146,'09월 고철장입'!AE$14:AE$949)/1000)</f>
        <v/>
      </c>
      <c r="BQ146" s="815" t="str">
        <f>IF($C146&lt;1,"",AVERAGEIF('09월 고철장입'!$A$14:$A$949,$A146,'09월 고철장입'!AF$14:AF$949)/1000)</f>
        <v/>
      </c>
      <c r="BR146" s="815" t="str">
        <f>IF($C146&lt;1,"",AVERAGEIF('09월 고철장입'!$A$14:$A$949,$A146,'09월 고철장입'!AG$14:AG$949)/1000)</f>
        <v/>
      </c>
      <c r="BS146" s="815" t="str">
        <f>IF($C146&lt;1,"",AVERAGEIF('09월 고철장입'!$A$14:$A$949,$A146,'09월 고철장입'!AH$14:AH$949)/1000)</f>
        <v/>
      </c>
      <c r="BT146" s="815" t="str">
        <f>IF($C146&lt;1,"",AVERAGEIF('09월 고철장입'!$A$14:$A$949,$A146,'09월 고철장입'!AI$14:AI$949)/1000)</f>
        <v/>
      </c>
      <c r="BU146" s="815" t="str">
        <f>IF($C146&lt;1,"",AVERAGEIF('09월 고철장입'!$A$14:$A$949,$A146,'09월 고철장입'!AJ$14:AJ$949)/1000)</f>
        <v/>
      </c>
      <c r="BV146" s="815" t="str">
        <f>IF($C146&lt;1,"",AVERAGEIF('09월 고철장입'!$A$14:$A$949,$A146,'09월 고철장입'!AK$14:AK$949))</f>
        <v/>
      </c>
      <c r="BW146" s="815" t="str">
        <f>IF($C146&lt;1,"",AVERAGEIF('09월 고철장입'!$A$14:$A$949,$A146,'09월 고철장입'!AL$14:AL$949)*100)</f>
        <v/>
      </c>
      <c r="BX146" s="815" t="str">
        <f>IF($C146&lt;1,"",AVERAGEIF('09월 에너지'!$A$14:$A$949,$A146,'09월 에너지'!G$14:G$949))</f>
        <v/>
      </c>
      <c r="BY146" s="817" t="str">
        <f>IF($C146&lt;1,"",AVERAGEIF('09월 에너지'!$A$14:$A$949,$A146,'09월 에너지'!H$14:H$949))</f>
        <v/>
      </c>
      <c r="BZ146" s="815" t="str">
        <f>IF($C146&lt;1,"",AVERAGEIF('09월 에너지'!$A$14:$A$949,$A146,'09월 에너지'!I$14:I$949))</f>
        <v/>
      </c>
      <c r="CA146" s="817" t="str">
        <f>IF($C146&lt;1,"",AVERAGEIF('09월 에너지'!$A$14:$A$949,$A146,'09월 에너지'!J$14:J$949))</f>
        <v/>
      </c>
      <c r="CB146" s="815" t="str">
        <f>IF($C146&lt;1,"",AVERAGEIF('09월 에너지'!$A$14:$A$949,$A146,'09월 에너지'!K$14:K$949))</f>
        <v/>
      </c>
      <c r="CC146" s="817" t="str">
        <f>IF($C146&lt;1,"",AVERAGEIF('09월 에너지'!$A$14:$A$949,$A146,'09월 에너지'!L$14:L$949))</f>
        <v/>
      </c>
      <c r="CD146" s="815" t="str">
        <f>IF($C146&lt;1,"",AVERAGEIF('09월 에너지'!$A$14:$A$949,$A146,'09월 에너지'!M$14:M$949))</f>
        <v/>
      </c>
      <c r="CE146" s="817" t="str">
        <f>IF($C146&lt;1,"",AVERAGEIF('09월 에너지'!$A$14:$A$949,$A146,'09월 에너지'!N$14:N$949))</f>
        <v/>
      </c>
      <c r="CF146" s="815" t="str">
        <f>IF($C146&lt;1,"",AVERAGEIF('09월 에너지'!$A$14:$A$949,$A146,'09월 에너지'!O$14:O$949))</f>
        <v/>
      </c>
      <c r="CG146" s="815" t="str">
        <f>IF($C146&lt;1,"",AVERAGEIF('09월 에너지'!$A$14:$A$949,$A146,'09월 에너지'!P$14:P$949))</f>
        <v/>
      </c>
      <c r="CH146" s="815" t="str">
        <f>IF($C146&lt;1,"",AVERAGEIF('09월 에너지'!$A$14:$A$949,$A146,'09월 에너지'!Q$14:Q$949))</f>
        <v/>
      </c>
      <c r="CI146" s="815" t="str">
        <f>IF($C146&lt;1,"",AVERAGEIF('09월 에너지'!$A$14:$A$949,$A146,'09월 에너지'!R$14:R$949))</f>
        <v/>
      </c>
      <c r="CJ146" s="815" t="str">
        <f>IF($C146&lt;1,"",AVERAGEIF('09월 에너지'!$A$14:$A$949,$A146,'09월 에너지'!S$14:S$949))</f>
        <v/>
      </c>
      <c r="CK146" s="815" t="str">
        <f>IF($C146&lt;1,"",AVERAGEIF('09월 에너지'!$A$14:$A$949,$A146,'09월 에너지'!T$14:T$949))</f>
        <v/>
      </c>
      <c r="CL146" s="815" t="str">
        <f>IF($C146&lt;1,"",AVERAGEIF('09월 에너지'!$A$14:$A$949,$A146,'09월 에너지'!U$14:U$949))</f>
        <v/>
      </c>
      <c r="CM146" s="817" t="str">
        <f>IF($C146&lt;1,"",AVERAGEIF('09월 에너지'!$A$14:$A$949,$A146,'09월 에너지'!V$14:V$949))</f>
        <v/>
      </c>
      <c r="CN146" s="817" t="str">
        <f>IF($C146&lt;1,"",AVERAGEIF('09월 에너지'!$A$14:$A$949,$A146,'09월 에너지'!W$14:W$949))</f>
        <v/>
      </c>
      <c r="CO146" s="815" t="str">
        <f>IF($C146&lt;1,"",AVERAGEIF('09월 에너지'!$A$14:$A$949,$A146,'09월 에너지'!X$14:X$949))</f>
        <v/>
      </c>
      <c r="CP146" s="817" t="str">
        <f>IF($C146&lt;1,"",AVERAGEIF('09월 에너지'!$A$14:$A$949,$A146,'09월 에너지'!Y$14:Y$949))</f>
        <v/>
      </c>
      <c r="CQ146" s="817" t="str">
        <f>IF($C146&lt;1,"",AVERAGEIF('09월 에너지'!$A$14:$A$949,$A146,'09월 에너지'!Z$14:Z$949))</f>
        <v/>
      </c>
      <c r="CR146" s="817" t="str">
        <f>IF($C146&lt;1,"",AVERAGEIF('09월 에너지'!$A$14:$A$949,$A146,'09월 에너지'!AA$14:AA$949))</f>
        <v/>
      </c>
      <c r="CS146" s="817" t="str">
        <f>IF($C146&lt;1,"",AVERAGEIF('09월 에너지'!$A$14:$A$949,$A146,'09월 에너지'!AB$14:AB$949))</f>
        <v/>
      </c>
      <c r="CT146" s="815" t="str">
        <f>IF($C146&lt;1,"",AVERAGEIF('09월 에너지'!$A$14:$A$949,$A146,'09월 에너지'!AC$14:AC$949))</f>
        <v/>
      </c>
      <c r="CU146" s="818" t="str">
        <f>IF($C146&lt;1,"",AVERAGEIF('09월 에너지'!$A$14:$A$949,$A146,'09월 에너지'!AD$14:AD$949))</f>
        <v/>
      </c>
      <c r="CV146" s="819" t="str">
        <f>IF($C146&lt;1,"",AVERAGEIF('09월 에너지'!$A$14:$A$949,$A146,'09월 에너지'!AE$14:AE$949))</f>
        <v/>
      </c>
      <c r="CW146" s="815" t="str">
        <f>IF($C146&lt;1,"",AVERAGEIF('09월 에너지'!$A$14:$A$949,$A146,'09월 에너지'!AF$14:AF$949))</f>
        <v/>
      </c>
      <c r="CX146" s="815" t="str">
        <f>IF($C146&lt;1,"",AVERAGEIF('09월 에너지'!$A$14:$A$949,$A146,'09월 에너지'!AG$14:AG$949))</f>
        <v/>
      </c>
      <c r="CY146" s="815" t="str">
        <f>IF($C146&lt;1,"",AVERAGEIF('09월 에너지'!$A$14:$A$949,$A146,'09월 에너지'!AH$14:AH$949))</f>
        <v/>
      </c>
      <c r="CZ146" s="815" t="str">
        <f>IF($C146&lt;1,"",AVERAGEIF('09월 에너지'!$A$14:$A$949,$A146,'09월 에너지'!AI$14:AI$949))</f>
        <v/>
      </c>
      <c r="DA146" s="820" t="str">
        <f>IF($C146&lt;1,"",AVERAGEIF('09월 에너지'!$A$14:$A$949,$A146,'09월 에너지'!AJ$14:AJ$949))</f>
        <v/>
      </c>
    </row>
    <row r="147" spans="1:105" ht="13.5" customHeight="1">
      <c r="A147" s="849">
        <f t="shared" si="20"/>
        <v>44955</v>
      </c>
      <c r="B147" s="850" t="s">
        <v>9</v>
      </c>
      <c r="C147" s="823">
        <f>COUNTIFS('09월 조업일지'!$A$12:$A$952,A146,'09월 조업일지'!$E$12:$E$952,B147)</f>
        <v>0</v>
      </c>
      <c r="D147" s="824" t="str">
        <f>IF(C147&lt;1,"",F147-E147)</f>
        <v/>
      </c>
      <c r="E147" s="824" t="str">
        <f>IF($C147&lt;1,"",(SUMIFS('09월 조업일지'!$K$12:$K$952,'09월 조업일지'!$A$12:$A$952,$A147,'09월 조업일지'!$E$12:$E$952,$B147)/$C147))</f>
        <v/>
      </c>
      <c r="F147" s="824" t="str">
        <f>IF($C147&lt;1,"",(AVERAGEIFS('09월 조업일지'!$J$12:$J$952,'09월 조업일지'!$A$12:$A$952,$A147,'09월 조업일지'!$E$12:$E$952,$B147)))</f>
        <v/>
      </c>
      <c r="G147" s="825" t="str">
        <f>IF($C147&lt;1,"",(AVERAGEIFS('09월 에너지'!$M$14:$M$949,'09월 에너지'!$A$14:$A$949,$A147,'09월 에너지'!$C$14:$C$949,$B147)))</f>
        <v/>
      </c>
      <c r="H147" s="826" t="str">
        <f>IF($C147&lt;1,"",(AVERAGEIFS('09월 조업일지'!$AJ$12:$AJ$952,'09월 조업일지'!$A$12:$A$952,$A147,'09월 조업일지'!$E$12:$E$952,$B147)))</f>
        <v/>
      </c>
      <c r="I147" s="826" t="str">
        <f>IF($C147&lt;1,"",(AVERAGEIFS('09월 조업일지'!$AL$12:$AL$952,'09월 조업일지'!$A$12:$A$952,$A147,'09월 조업일지'!$E$12:$E$952,$B147)))</f>
        <v/>
      </c>
      <c r="J147" s="827" t="str">
        <f>IF($C147&lt;1,"",(AVERAGEIFS('09월 화학성분'!G$12:G$949,'09월 화학성분'!$A$12:$A$949,$A147,'09월 화학성분'!$D$12:$D$949,$B147)))</f>
        <v/>
      </c>
      <c r="K147" s="827" t="str">
        <f>IF($C147&lt;1,"",(AVERAGEIFS('09월 화학성분'!H$12:H$949,'09월 화학성분'!$A$12:$A$949,$A147,'09월 화학성분'!$D$12:$D$949,$B147)))</f>
        <v/>
      </c>
      <c r="L147" s="827" t="str">
        <f>IF($C147&lt;1,"",(AVERAGEIFS('09월 화학성분'!I$12:I$949,'09월 화학성분'!$A$12:$A$949,$A147,'09월 화학성분'!$D$12:$D$949,$B147)))</f>
        <v/>
      </c>
      <c r="M147" s="827" t="str">
        <f>IF($C147&lt;1,"",(AVERAGEIFS('09월 화학성분'!J$12:J$949,'09월 화학성분'!$A$12:$A$949,$A147,'09월 화학성분'!$D$12:$D$949,$B147)))</f>
        <v/>
      </c>
      <c r="N147" s="827" t="str">
        <f>IF($C147&lt;1,"",(AVERAGEIFS('09월 화학성분'!K$12:K$949,'09월 화학성분'!$A$12:$A$949,$A147,'09월 화학성분'!$D$12:$D$949,$B147)))</f>
        <v/>
      </c>
      <c r="O147" s="827" t="str">
        <f>IF($C147&lt;1,"",(AVERAGEIFS('09월 화학성분'!L$12:L$949,'09월 화학성분'!$A$12:$A$949,$A147,'09월 화학성분'!$D$12:$D$949,$B147)))</f>
        <v/>
      </c>
      <c r="P147" s="827" t="str">
        <f>IF($C147&lt;1,"",(AVERAGEIFS('09월 화학성분'!M$12:M$949,'09월 화학성분'!$A$12:$A$949,$A147,'09월 화학성분'!$D$12:$D$949,$B147)))</f>
        <v/>
      </c>
      <c r="Q147" s="827" t="str">
        <f>IFERROR(IF($C147&lt;1,"",(AVERAGEIFS('09월 조업일지'!$AA$12:$AA$952,'09월 조업일지'!$A$12:$A$952,$A147,'09월 조업일지'!$E$12:$E$952,$B147))),"")</f>
        <v/>
      </c>
      <c r="R147" s="827" t="str">
        <f>IF($C147&lt;1,"",(AVERAGEIFS('09월 조업일지'!$AK$12:$AK$952,'09월 조업일지'!$A$12:$A$952,$A147,'09월 조업일지'!$E$12:$E$952,$B147)))</f>
        <v/>
      </c>
      <c r="S147" s="827"/>
      <c r="T147" s="827"/>
      <c r="U147" s="827" t="str">
        <f>IF($C147&lt;1,"",(AVERAGEIFS('09월 화학성분'!$G$12:$G$949,'09월 화학성분'!$A$12:$A$949,$A147,'09월 화학성분'!$D$12:$D$949,$B147)))</f>
        <v/>
      </c>
      <c r="V147" s="827" t="str">
        <f>IF($C147&lt;1,"",(AVERAGEIFS('09월 조업일지'!$AI$12:$AI$952,'09월 조업일지'!$A$12:$A$952,$A147,'09월 조업일지'!$E$12:$E$952,$B147)))</f>
        <v/>
      </c>
      <c r="W147" s="828" t="str">
        <f>IF($C147&lt;1,"",(AVERAGEIFS('09월 화학성분'!$AM$12:$AM$949,'09월 화학성분'!$A$12:$A$949,$A147,'09월 화학성분'!$D$12:$D$949,$B147)))</f>
        <v/>
      </c>
      <c r="X147" s="829" t="str">
        <f>IF($C147&lt;1,"",(AVERAGEIFS('09월 화학성분'!N$12:N$949,'09월 화학성분'!$A$12:$A$949,$A147,'09월 화학성분'!$D$12:$D$949,$B147)))</f>
        <v/>
      </c>
      <c r="Y147" s="829" t="str">
        <f>IF($C147&lt;1,"",(AVERAGEIFS('09월 화학성분'!O$12:O$949,'09월 화학성분'!$A$12:$A$949,$A147,'09월 화학성분'!$D$12:$D$949,$B147)))</f>
        <v/>
      </c>
      <c r="Z147" s="829" t="str">
        <f>IF($C147&lt;1,"",(AVERAGEIFS('09월 화학성분'!P$12:P$949,'09월 화학성분'!$A$12:$A$949,$A147,'09월 화학성분'!$D$12:$D$949,$B147)))</f>
        <v/>
      </c>
      <c r="AA147" s="829" t="str">
        <f>IF($C147&lt;1,"",(AVERAGEIFS('09월 화학성분'!Q$12:Q$949,'09월 화학성분'!$A$12:$A$949,$A147,'09월 화학성분'!$D$12:$D$949,$B147)))</f>
        <v/>
      </c>
      <c r="AB147" s="829" t="str">
        <f>IF($C147&lt;1,"",(AVERAGEIFS('09월 화학성분'!R$12:R$949,'09월 화학성분'!$A$12:$A$949,$A147,'09월 화학성분'!$D$12:$D$949,$B147)))</f>
        <v/>
      </c>
      <c r="AC147" s="829" t="str">
        <f>IF($C147&lt;1,"",(AVERAGEIFS('09월 화학성분'!U$12:U$949,'09월 화학성분'!$A$12:$A$949,$A147,'09월 화학성분'!$D$12:$D$949,$B147)))</f>
        <v/>
      </c>
      <c r="AD147" s="829" t="str">
        <f>IF($C147&lt;1,"",(AVERAGEIFS('09월 화학성분'!V$12:V$949,'09월 화학성분'!$A$12:$A$949,$A147,'09월 화학성분'!$D$12:$D$949,$B147)))</f>
        <v/>
      </c>
      <c r="AE147" s="829" t="str">
        <f>IF($C147&lt;1,"",(AVERAGEIFS('09월 화학성분'!W$12:W$949,'09월 화학성분'!$A$12:$A$949,$A147,'09월 화학성분'!$D$12:$D$949,$B147)))</f>
        <v/>
      </c>
      <c r="AF147" s="829" t="str">
        <f>IF($C147&lt;1,"",(AVERAGEIFS('09월 화학성분'!AA$12:AA$949,'09월 화학성분'!$A$12:$A$949,$A147,'09월 화학성분'!$D$12:$D$949,$B147)))</f>
        <v/>
      </c>
      <c r="AG147" s="829" t="str">
        <f>IF($C147&lt;1,"",(AVERAGEIFS('09월 화학성분'!#REF!,'09월 화학성분'!$A$12:$A$949,$A147,'09월 화학성분'!$D$12:$D$949,$B147)))</f>
        <v/>
      </c>
      <c r="AH147" s="829" t="str">
        <f>IF($C147&lt;1,"",(AVERAGEIFS('09월 화학성분'!AB$12:AB$949,'09월 화학성분'!$A$12:$A$949,$A147,'09월 화학성분'!$D$12:$D$949,$B147)))</f>
        <v/>
      </c>
      <c r="AI147" s="829" t="str">
        <f>IF($C147&lt;1,"",(AVERAGEIFS('09월 화학성분'!AC$12:AC$949,'09월 화학성분'!$A$12:$A$949,$A147,'09월 화학성분'!$D$12:$D$949,$B147)))</f>
        <v/>
      </c>
      <c r="AJ147" s="829" t="str">
        <f>IF($C147&lt;1,"",(AVERAGEIFS('09월 화학성분'!AD$12:AD$949,'09월 화학성분'!$A$12:$A$949,$A147,'09월 화학성분'!$D$12:$D$949,$B147)))</f>
        <v/>
      </c>
      <c r="AK147" s="829" t="str">
        <f>IF($C147&lt;1,"",(AVERAGEIFS('09월 화학성분'!AF$12:AF$949,'09월 화학성분'!$A$12:$A$949,$A147,'09월 화학성분'!$D$12:$D$949,$B147)))</f>
        <v/>
      </c>
      <c r="AL147" s="829" t="str">
        <f>IF($C147&lt;1,"",(AVERAGEIFS('09월 화학성분'!AG$12:AG$949,'09월 화학성분'!$A$12:$A$949,$A147,'09월 화학성분'!$D$12:$D$949,$B147)))</f>
        <v/>
      </c>
      <c r="AM147" s="829" t="str">
        <f>IF($C147&lt;1,"",(AVERAGEIFS('09월 화학성분'!AH$12:AH$949,'09월 화학성분'!$A$12:$A$949,$A147,'09월 화학성분'!$D$12:$D$949,$B147)))</f>
        <v/>
      </c>
      <c r="AN147" s="829" t="str">
        <f>IF($C147&lt;1,"",(AVERAGEIFS('09월 화학성분'!AI$12:AI$949,'09월 화학성분'!$A$12:$A$949,$A147,'09월 화학성분'!$D$12:$D$949,$B147)))</f>
        <v/>
      </c>
      <c r="AO147" s="829" t="str">
        <f>IF($C147&lt;1,"",(AVERAGEIFS('09월 화학성분'!AJ$12:AJ$949,'09월 화학성분'!$A$12:$A$949,$A147,'09월 화학성분'!$D$12:$D$949,$B147)))</f>
        <v/>
      </c>
      <c r="AP147" s="829" t="str">
        <f>IF($C147&lt;1,"",(AVERAGEIFS('09월 화학성분'!#REF!,'09월 화학성분'!$A$12:$A$949,$A147,'09월 화학성분'!$D$12:$D$949,$B147)))</f>
        <v/>
      </c>
      <c r="AQ147" s="829" t="str">
        <f>IF($C147&lt;1,"",(AVERAGEIFS('09월 화학성분'!AL$12:AL$949,'09월 화학성분'!$A$12:$A$949,$A147,'09월 화학성분'!$D$12:$D$949,$B147)))</f>
        <v/>
      </c>
      <c r="AR147" s="829" t="str">
        <f>IF($C147&lt;1,"",(AVERAGEIFS('09월 화학성분'!AM$12:AM$949,'09월 화학성분'!$A$12:$A$949,$A147,'09월 화학성분'!$D$12:$D$949,$B147)))</f>
        <v/>
      </c>
      <c r="AS147" s="830" t="str">
        <f>IF($C147&lt;1,"",(AVERAGEIFS('09월 화학성분'!AN$12:AN$949,'09월 화학성분'!$A$12:$A$949,$A147,'09월 화학성분'!$D$12:$D$949,$B147)))</f>
        <v/>
      </c>
      <c r="AT147" s="830" t="str">
        <f>IF($C147&lt;1,"",(AVERAGEIFS('09월 화학성분'!AO$12:AO$949,'09월 화학성분'!$A$12:$A$949,$A147,'09월 화학성분'!$D$12:$D$949,$B147)))</f>
        <v/>
      </c>
      <c r="AU147" s="831" t="str">
        <f>IF($C147&lt;1,"",(AVERAGEIFS('09월 화학성분'!AP$12:AP$949,'09월 화학성분'!$A$12:$A$949,$A147,'09월 화학성분'!$D$12:$D$949,$B147)))</f>
        <v/>
      </c>
      <c r="AV147" s="832" t="str">
        <f>IF($C147&lt;1,"",(AVERAGEIFS('09월 고철장입'!G$14:G$949,'09월 고철장입'!$A$14:$A$949,$A147,'09월 고철장입'!$C$14:$C$949,$B147))/1000)</f>
        <v/>
      </c>
      <c r="AW147" s="832" t="str">
        <f>IF($C147&lt;1,"",(AVERAGEIFS('09월 고철장입'!H$14:H$949,'09월 고철장입'!$A$14:$A$949,$A147,'09월 고철장입'!$C$14:$C$949,$B147))/1000)</f>
        <v/>
      </c>
      <c r="AX147" s="832" t="str">
        <f>IF($C147&lt;1,"",(AVERAGEIFS('09월 고철장입'!I$14:I$949,'09월 고철장입'!$A$14:$A$949,$A147,'09월 고철장입'!$C$14:$C$949,$B147))/1000)</f>
        <v/>
      </c>
      <c r="AY147" s="832" t="str">
        <f>IF($C147&lt;1,"",(AVERAGEIFS('09월 고철장입'!J$14:J$949,'09월 고철장입'!$A$14:$A$949,$A147,'09월 고철장입'!$C$14:$C$949,$B147))/1000)</f>
        <v/>
      </c>
      <c r="AZ147" s="832" t="str">
        <f>IF($C147&lt;1,"",(AVERAGEIFS('09월 고철장입'!K$14:K$949,'09월 고철장입'!$A$14:$A$949,$A147,'09월 고철장입'!$C$14:$C$949,$B147))/1000)</f>
        <v/>
      </c>
      <c r="BA147" s="832" t="str">
        <f>IF($C147&lt;1,"",(AVERAGEIFS('09월 고철장입'!L$14:L$949,'09월 고철장입'!$A$14:$A$949,$A147,'09월 고철장입'!$C$14:$C$949,$B147))/1000)</f>
        <v/>
      </c>
      <c r="BB147" s="832" t="str">
        <f>IF($C147&lt;1,"",(AVERAGEIFS('09월 고철장입'!M$14:M$949,'09월 고철장입'!$A$14:$A$949,$A147,'09월 고철장입'!$C$14:$C$949,$B147))/1000)</f>
        <v/>
      </c>
      <c r="BC147" s="832" t="str">
        <f>IF($C147&lt;1,"",(AVERAGEIFS('09월 고철장입'!N$14:N$949,'09월 고철장입'!$A$14:$A$949,$A147,'09월 고철장입'!$C$14:$C$949,$B147))/1000)</f>
        <v/>
      </c>
      <c r="BD147" s="832" t="str">
        <f>IF($C147&lt;1,"",(AVERAGEIFS('09월 고철장입'!O$14:O$949,'09월 고철장입'!$A$14:$A$949,$A147,'09월 고철장입'!$C$14:$C$949,$B147))/1000)</f>
        <v/>
      </c>
      <c r="BE147" s="833" t="str">
        <f>IF($C147&lt;1,"",(AVERAGEIFS('09월 고철장입'!P$14:P$949,'09월 고철장입'!$A$14:$A$949,$A147,'09월 고철장입'!$C$14:$C$949,$B147))/1000)</f>
        <v/>
      </c>
      <c r="BF147" s="833" t="str">
        <f>IF($C147&lt;1,"",(AVERAGEIFS('09월 고철장입'!Q$14:Q$949,'09월 고철장입'!$A$14:$A$949,$A147,'09월 고철장입'!$C$14:$C$949,$B147))/1000)</f>
        <v/>
      </c>
      <c r="BG147" s="833" t="str">
        <f>IF($C147&lt;1,"",(AVERAGEIFS('09월 고철장입'!S$14:S$949,'09월 고철장입'!$A$14:$A$949,$A147,'09월 고철장입'!$C$14:$C$949,$B147))/1000)</f>
        <v/>
      </c>
      <c r="BH147" s="833" t="str">
        <f>IF($C147&lt;1,"",(AVERAGEIFS('09월 고철장입'!T$14:T$949,'09월 고철장입'!$A$14:$A$949,$A147,'09월 고철장입'!$C$14:$C$949,$B147))/1000)</f>
        <v/>
      </c>
      <c r="BI147" s="833" t="str">
        <f>IF($C147&lt;1,"",(AVERAGEIFS('09월 고철장입'!U$14:U$949,'09월 고철장입'!$A$14:$A$949,$A147,'09월 고철장입'!$C$14:$C$949,$B147))/1000)</f>
        <v/>
      </c>
      <c r="BJ147" s="833" t="str">
        <f>IF($C147&lt;1,"",(AVERAGEIFS('09월 고철장입'!V$14:V$949,'09월 고철장입'!$A$14:$A$949,$A147,'09월 고철장입'!$C$14:$C$949,$B147))/1000)</f>
        <v/>
      </c>
      <c r="BK147" s="833" t="str">
        <f>IF($C147&lt;1,"",(AVERAGEIFS('09월 고철장입'!W$14:W$949,'09월 고철장입'!$A$14:$A$949,$A147,'09월 고철장입'!$C$14:$C$949,$B147))/1000)</f>
        <v/>
      </c>
      <c r="BL147" s="833" t="str">
        <f>IF($C147&lt;1,"",(AVERAGEIFS('09월 고철장입'!Y$14:Y$949,'09월 고철장입'!$A$14:$A$949,$A147,'09월 고철장입'!$C$14:$C$949,$B147))/1000)</f>
        <v/>
      </c>
      <c r="BM147" s="833" t="str">
        <f>IF($C147&lt;1,"",(AVERAGEIFS('09월 고철장입'!AB$14:AB$949,'09월 고철장입'!$A$14:$A$949,$A147,'09월 고철장입'!$C$14:$C$949,$B147))/1000)</f>
        <v/>
      </c>
      <c r="BN147" s="833" t="str">
        <f>IF($C147&lt;1,"",(AVERAGEIFS('09월 고철장입'!AC$14:AC$949,'09월 고철장입'!$A$14:$A$949,$A147,'09월 고철장입'!$C$14:$C$949,$B147))/1000)</f>
        <v/>
      </c>
      <c r="BO147" s="833" t="str">
        <f>IF($C147&lt;1,"",(AVERAGEIFS('09월 고철장입'!AD$14:AD$949,'09월 고철장입'!$A$14:$A$949,$A147,'09월 고철장입'!$C$14:$C$949,$B147))/1000)</f>
        <v/>
      </c>
      <c r="BP147" s="833" t="str">
        <f>IF($C147&lt;1,"",(AVERAGEIFS('09월 고철장입'!AE$14:AE$949,'09월 고철장입'!$A$14:$A$949,$A147,'09월 고철장입'!$C$14:$C$949,$B147))/1000)</f>
        <v/>
      </c>
      <c r="BQ147" s="832" t="str">
        <f>IF($C147&lt;1,"",(AVERAGEIFS('09월 고철장입'!AF$14:AF$949,'09월 고철장입'!$A$14:$A$949,$A147,'09월 고철장입'!$C$14:$C$949,$B147))/1000)</f>
        <v/>
      </c>
      <c r="BR147" s="832" t="str">
        <f>IF($C147&lt;1,"",(AVERAGEIFS('09월 고철장입'!AG$14:AG$949,'09월 고철장입'!$A$14:$A$949,$A147,'09월 고철장입'!$C$14:$C$949,$B147))/1000)</f>
        <v/>
      </c>
      <c r="BS147" s="832" t="str">
        <f>IF($C147&lt;1,"",(AVERAGEIFS('09월 고철장입'!AH$14:AH$949,'09월 고철장입'!$A$14:$A$949,$A147,'09월 고철장입'!$C$14:$C$949,$B147))/1000)</f>
        <v/>
      </c>
      <c r="BT147" s="832" t="str">
        <f>IF($C147&lt;1,"",(AVERAGEIFS('09월 고철장입'!AI$14:AI$949,'09월 고철장입'!$A$14:$A$949,$A147,'09월 고철장입'!$C$14:$C$949,$B147))/1000)</f>
        <v/>
      </c>
      <c r="BU147" s="834" t="str">
        <f>IF($C147&lt;1,"",(AVERAGEIFS('09월 고철장입'!AJ$14:AJ$949,'09월 고철장입'!$A$14:$A$949,$A147,'09월 고철장입'!$C$14:$C$949,$B147))/1000)</f>
        <v/>
      </c>
      <c r="BV147" s="834" t="str">
        <f>IF($C147&lt;1,"",(AVERAGEIFS('09월 고철장입'!AK$14:AK$949,'09월 고철장입'!$A$14:$A$949,$A147,'09월 고철장입'!$C$14:$C$949,$B147)))</f>
        <v/>
      </c>
      <c r="BW147" s="834" t="str">
        <f>IF($C147&lt;1,"",(AVERAGEIFS('09월 고철장입'!AL$14:AL$949,'09월 고철장입'!$A$14:$A$949,$A147,'09월 고철장입'!$C$14:$C$949,$B147))*100)</f>
        <v/>
      </c>
      <c r="BX147" s="831" t="str">
        <f>IF($C147&lt;1,"",(AVERAGEIFS('09월 에너지'!G$14:G$949,'09월 에너지'!$A$14:$A$949,$A147,'09월 에너지'!$C$14:$C$949,$B147)))</f>
        <v/>
      </c>
      <c r="BY147" s="835" t="str">
        <f>IF($C147&lt;1,"",(AVERAGEIFS('09월 에너지'!H$14:H$949,'09월 에너지'!$A$14:$A$949,$A147,'09월 에너지'!$C$14:$C$949,$B147)))</f>
        <v/>
      </c>
      <c r="BZ147" s="831" t="str">
        <f>IF($C147&lt;1,"",(AVERAGEIFS('09월 에너지'!I$14:I$949,'09월 에너지'!$A$14:$A$949,$A147,'09월 에너지'!$C$14:$C$949,$B147)))</f>
        <v/>
      </c>
      <c r="CA147" s="835" t="str">
        <f>IF($C147&lt;1,"",(AVERAGEIFS('09월 에너지'!J$14:J$949,'09월 에너지'!$A$14:$A$949,$A147,'09월 에너지'!$C$14:$C$949,$B147)))</f>
        <v/>
      </c>
      <c r="CB147" s="831" t="str">
        <f>IF($C147&lt;1,"",(AVERAGEIFS('09월 에너지'!K$14:K$949,'09월 에너지'!$A$14:$A$949,$A147,'09월 에너지'!$C$14:$C$949,$B147)))</f>
        <v/>
      </c>
      <c r="CC147" s="835" t="str">
        <f>IF($C147&lt;1,"",(AVERAGEIFS('09월 에너지'!L$14:L$949,'09월 에너지'!$A$14:$A$949,$A147,'09월 에너지'!$C$14:$C$949,$B147)))</f>
        <v/>
      </c>
      <c r="CD147" s="831" t="str">
        <f>IF($C147&lt;1,"",(AVERAGEIFS('09월 에너지'!M$14:M$949,'09월 에너지'!$A$14:$A$949,$A147,'09월 에너지'!$C$14:$C$949,$B147)))</f>
        <v/>
      </c>
      <c r="CE147" s="835" t="str">
        <f>IF($C147&lt;1,"",(AVERAGEIFS('09월 에너지'!N$14:N$949,'09월 에너지'!$A$14:$A$949,$A147,'09월 에너지'!$C$14:$C$949,$B147)))</f>
        <v/>
      </c>
      <c r="CF147" s="831" t="str">
        <f>IF($C147&lt;1,"",(AVERAGEIFS('09월 에너지'!O$14:O$949,'09월 에너지'!$A$14:$A$949,$A147,'09월 에너지'!$C$14:$C$949,$B147)))</f>
        <v/>
      </c>
      <c r="CG147" s="831" t="str">
        <f>IF($C147&lt;1,"",(AVERAGEIFS('09월 에너지'!P$14:P$949,'09월 에너지'!$A$14:$A$949,$A147,'09월 에너지'!$C$14:$C$949,$B147)))</f>
        <v/>
      </c>
      <c r="CH147" s="831" t="str">
        <f>IF($C147&lt;1,"",(AVERAGEIFS('09월 에너지'!Q$14:Q$949,'09월 에너지'!$A$14:$A$949,$A147,'09월 에너지'!$C$14:$C$949,$B147)))</f>
        <v/>
      </c>
      <c r="CI147" s="831" t="str">
        <f>IF($C147&lt;1,"",(AVERAGEIFS('09월 에너지'!R$14:R$949,'09월 에너지'!$A$14:$A$949,$A147,'09월 에너지'!$C$14:$C$949,$B147)))</f>
        <v/>
      </c>
      <c r="CJ147" s="831" t="str">
        <f>IF($C147&lt;1,"",(AVERAGEIFS('09월 에너지'!S$14:S$949,'09월 에너지'!$A$14:$A$949,$A147,'09월 에너지'!$C$14:$C$949,$B147)))</f>
        <v/>
      </c>
      <c r="CK147" s="831" t="str">
        <f>IF($C147&lt;1,"",(AVERAGEIFS('09월 에너지'!T$14:T$949,'09월 에너지'!$A$14:$A$949,$A147,'09월 에너지'!$C$14:$C$949,$B147)))</f>
        <v/>
      </c>
      <c r="CL147" s="831" t="str">
        <f>IF($C147&lt;1,"",(AVERAGEIFS('09월 에너지'!U$14:U$949,'09월 에너지'!$A$14:$A$949,$A147,'09월 에너지'!$C$14:$C$949,$B147)))</f>
        <v/>
      </c>
      <c r="CM147" s="835" t="str">
        <f>IF($C147&lt;1,"",(AVERAGEIFS('09월 에너지'!V$14:V$949,'09월 에너지'!$A$14:$A$949,$A147,'09월 에너지'!$C$14:$C$949,$B147)))</f>
        <v/>
      </c>
      <c r="CN147" s="835" t="str">
        <f>IF($C147&lt;1,"",(AVERAGEIFS('09월 에너지'!W$14:W$949,'09월 에너지'!$A$14:$A$949,$A147,'09월 에너지'!$C$14:$C$949,$B147)))</f>
        <v/>
      </c>
      <c r="CO147" s="831" t="str">
        <f>IF($C147&lt;1,"",(AVERAGEIFS('09월 에너지'!X$14:X$949,'09월 에너지'!$A$14:$A$949,$A147,'09월 에너지'!$C$14:$C$949,$B147)))</f>
        <v/>
      </c>
      <c r="CP147" s="835" t="str">
        <f>IF($C147&lt;1,"",(AVERAGEIFS('09월 에너지'!Y$14:Y$949,'09월 에너지'!$A$14:$A$949,$A147,'09월 에너지'!$C$14:$C$949,$B147)))</f>
        <v/>
      </c>
      <c r="CQ147" s="835" t="str">
        <f>IF($C147&lt;1,"",(AVERAGEIFS('09월 에너지'!Z$14:Z$949,'09월 에너지'!$A$14:$A$949,$A147,'09월 에너지'!$C$14:$C$949,$B147)))</f>
        <v/>
      </c>
      <c r="CR147" s="835" t="str">
        <f>IF($C147&lt;1,"",(AVERAGEIFS('09월 에너지'!AA$14:AA$949,'09월 에너지'!$A$14:$A$949,$A147,'09월 에너지'!$C$14:$C$949,$B147)))</f>
        <v/>
      </c>
      <c r="CS147" s="835" t="str">
        <f>IF($C147&lt;1,"",(AVERAGEIFS('09월 에너지'!AB$14:AB$949,'09월 에너지'!$A$14:$A$949,$A147,'09월 에너지'!$C$14:$C$949,$B147)))</f>
        <v/>
      </c>
      <c r="CT147" s="831" t="str">
        <f>IF($C147&lt;1,"",(AVERAGEIFS('09월 에너지'!AC$14:AC$949,'09월 에너지'!$A$14:$A$949,$A147,'09월 에너지'!$C$14:$C$949,$B147)))</f>
        <v/>
      </c>
      <c r="CU147" s="836" t="str">
        <f>IF($C147&lt;1,"",(AVERAGEIFS('09월 에너지'!AD$14:AD$949,'09월 에너지'!$A$14:$A$949,$A147,'09월 에너지'!$C$14:$C$949,$B147)))</f>
        <v/>
      </c>
      <c r="CV147" s="837" t="str">
        <f>IF($C147&lt;1,"",(AVERAGEIFS('09월 에너지'!AE$14:AE$949,'09월 에너지'!$A$14:$A$949,$A147,'09월 에너지'!$C$14:$C$949,$B147)))</f>
        <v/>
      </c>
      <c r="CW147" s="831" t="str">
        <f>IF($C147&lt;1,"",(AVERAGEIFS('09월 에너지'!AF$14:AF$949,'09월 에너지'!$A$14:$A$949,$A147,'09월 에너지'!$C$14:$C$949,$B147)))</f>
        <v/>
      </c>
      <c r="CX147" s="831" t="str">
        <f>IF($C147&lt;1,"",(AVERAGEIFS('09월 에너지'!AG$14:AG$949,'09월 에너지'!$A$14:$A$949,$A147,'09월 에너지'!$C$14:$C$949,$B147)))</f>
        <v/>
      </c>
      <c r="CY147" s="831" t="str">
        <f>IF($C147&lt;1,"",(AVERAGEIFS('09월 에너지'!AH$14:AH$949,'09월 에너지'!$A$14:$A$949,$A147,'09월 에너지'!$C$14:$C$949,$B147)))</f>
        <v/>
      </c>
      <c r="CZ147" s="831" t="str">
        <f>IF($C147&lt;1,"",(AVERAGEIFS('09월 에너지'!AI$14:AI$949,'09월 에너지'!$A$14:$A$949,$A147,'09월 에너지'!$C$14:$C$949,$B147)))</f>
        <v/>
      </c>
      <c r="DA147" s="838" t="str">
        <f>IF($C147&lt;1,"",(AVERAGEIFS('09월 에너지'!AJ$14:AJ$949,'09월 에너지'!$A$14:$A$949,$A147,'09월 에너지'!$C$14:$C$949,$B147)))</f>
        <v/>
      </c>
    </row>
    <row r="148" spans="1:105" ht="13.5" customHeight="1">
      <c r="A148" s="849">
        <f t="shared" si="20"/>
        <v>44955</v>
      </c>
      <c r="B148" s="850" t="s">
        <v>100</v>
      </c>
      <c r="C148" s="823">
        <f>COUNTIFS('09월 조업일지'!$A$12:$A$952,A146,'09월 조업일지'!$E$12:$E$952,B148)</f>
        <v>0</v>
      </c>
      <c r="D148" s="824" t="str">
        <f t="shared" ref="D148:D150" si="32">IF(C148&lt;1,"",F148-E148)</f>
        <v/>
      </c>
      <c r="E148" s="824" t="str">
        <f>IF($C148&lt;1,"",(SUMIFS('09월 조업일지'!$K$12:$K$952,'09월 조업일지'!$A$12:$A$952,$A148,'09월 조업일지'!$E$12:$E$952,$B148)/$C148))</f>
        <v/>
      </c>
      <c r="F148" s="824" t="str">
        <f>IF($C148&lt;1,"",(AVERAGEIFS('09월 조업일지'!$J$12:$J$952,'09월 조업일지'!$A$12:$A$952,$A148,'09월 조업일지'!$E$12:$E$952,$B148)))</f>
        <v/>
      </c>
      <c r="G148" s="825" t="str">
        <f>IF($C148&lt;1,"",(AVERAGEIFS('09월 에너지'!$M$14:$M$949,'09월 에너지'!$A$14:$A$949,$A148,'09월 에너지'!$C$14:$C$949,$B148)))</f>
        <v/>
      </c>
      <c r="H148" s="826" t="str">
        <f>IF($C148&lt;1,"",(AVERAGEIFS('09월 조업일지'!$AJ$12:$AJ$952,'09월 조업일지'!$A$12:$A$952,$A148,'09월 조업일지'!$E$12:$E$952,$B148)))</f>
        <v/>
      </c>
      <c r="I148" s="826" t="str">
        <f>IF($C148&lt;1,"",(AVERAGEIFS('09월 조업일지'!$AL$12:$AL$952,'09월 조업일지'!$A$12:$A$952,$A148,'09월 조업일지'!$E$12:$E$952,$B148)))</f>
        <v/>
      </c>
      <c r="J148" s="827" t="str">
        <f>IF($C148&lt;1,"",(AVERAGEIFS('09월 화학성분'!G$12:G$949,'09월 화학성분'!$A$12:$A$949,$A148,'09월 화학성분'!$D$12:$D$949,$B148)))</f>
        <v/>
      </c>
      <c r="K148" s="827" t="str">
        <f>IF($C148&lt;1,"",(AVERAGEIFS('09월 화학성분'!H$12:H$949,'09월 화학성분'!$A$12:$A$949,$A148,'09월 화학성분'!$D$12:$D$949,$B148)))</f>
        <v/>
      </c>
      <c r="L148" s="827" t="str">
        <f>IF($C148&lt;1,"",(AVERAGEIFS('09월 화학성분'!I$12:I$949,'09월 화학성분'!$A$12:$A$949,$A148,'09월 화학성분'!$D$12:$D$949,$B148)))</f>
        <v/>
      </c>
      <c r="M148" s="827" t="str">
        <f>IF($C148&lt;1,"",(AVERAGEIFS('09월 화학성분'!J$12:J$949,'09월 화학성분'!$A$12:$A$949,$A148,'09월 화학성분'!$D$12:$D$949,$B148)))</f>
        <v/>
      </c>
      <c r="N148" s="827" t="str">
        <f>IF($C148&lt;1,"",(AVERAGEIFS('09월 화학성분'!K$12:K$949,'09월 화학성분'!$A$12:$A$949,$A148,'09월 화학성분'!$D$12:$D$949,$B148)))</f>
        <v/>
      </c>
      <c r="O148" s="827" t="str">
        <f>IF($C148&lt;1,"",(AVERAGEIFS('09월 화학성분'!L$12:L$949,'09월 화학성분'!$A$12:$A$949,$A148,'09월 화학성분'!$D$12:$D$949,$B148)))</f>
        <v/>
      </c>
      <c r="P148" s="827" t="str">
        <f>IF($C148&lt;1,"",(AVERAGEIFS('09월 화학성분'!M$12:M$949,'09월 화학성분'!$A$12:$A$949,$A148,'09월 화학성분'!$D$12:$D$949,$B148)))</f>
        <v/>
      </c>
      <c r="Q148" s="827" t="str">
        <f>IFERROR(IF($C148&lt;1,"",(AVERAGEIFS('09월 조업일지'!$AA$12:$AA$952,'09월 조업일지'!$A$12:$A$952,$A148,'09월 조업일지'!$E$12:$E$952,$B148))),"")</f>
        <v/>
      </c>
      <c r="R148" s="827" t="str">
        <f>IF($C148&lt;1,"",(AVERAGEIFS('09월 조업일지'!$AK$12:$AK$952,'09월 조업일지'!$A$12:$A$952,$A148,'09월 조업일지'!$E$12:$E$952,$B148)))</f>
        <v/>
      </c>
      <c r="S148" s="827"/>
      <c r="T148" s="827"/>
      <c r="U148" s="827" t="str">
        <f>IF($C148&lt;1,"",(AVERAGEIFS('09월 화학성분'!$G$12:$G$949,'09월 화학성분'!$A$12:$A$949,$A148,'09월 화학성분'!$D$12:$D$949,$B148)))</f>
        <v/>
      </c>
      <c r="V148" s="827" t="str">
        <f>IF($C148&lt;1,"",(AVERAGEIFS('09월 조업일지'!$AI$12:$AI$952,'09월 조업일지'!$A$12:$A$952,$A148,'09월 조업일지'!$E$12:$E$952,$B148)))</f>
        <v/>
      </c>
      <c r="W148" s="828" t="str">
        <f>IF($C148&lt;1,"",(AVERAGEIFS('09월 화학성분'!$AM$12:$AM$949,'09월 화학성분'!$A$12:$A$949,$A148,'09월 화학성분'!$D$12:$D$949,$B148)))</f>
        <v/>
      </c>
      <c r="X148" s="829" t="str">
        <f>IF($C148&lt;1,"",(AVERAGEIFS('09월 화학성분'!N$12:N$949,'09월 화학성분'!$A$12:$A$949,$A148,'09월 화학성분'!$D$12:$D$949,$B148)))</f>
        <v/>
      </c>
      <c r="Y148" s="829" t="str">
        <f>IF($C148&lt;1,"",(AVERAGEIFS('09월 화학성분'!O$12:O$949,'09월 화학성분'!$A$12:$A$949,$A148,'09월 화학성분'!$D$12:$D$949,$B148)))</f>
        <v/>
      </c>
      <c r="Z148" s="829" t="str">
        <f>IF($C148&lt;1,"",(AVERAGEIFS('09월 화학성분'!P$12:P$949,'09월 화학성분'!$A$12:$A$949,$A148,'09월 화학성분'!$D$12:$D$949,$B148)))</f>
        <v/>
      </c>
      <c r="AA148" s="829" t="str">
        <f>IF($C148&lt;1,"",(AVERAGEIFS('09월 화학성분'!Q$12:Q$949,'09월 화학성분'!$A$12:$A$949,$A148,'09월 화학성분'!$D$12:$D$949,$B148)))</f>
        <v/>
      </c>
      <c r="AB148" s="829" t="str">
        <f>IF($C148&lt;1,"",(AVERAGEIFS('09월 화학성분'!R$12:R$949,'09월 화학성분'!$A$12:$A$949,$A148,'09월 화학성분'!$D$12:$D$949,$B148)))</f>
        <v/>
      </c>
      <c r="AC148" s="829" t="str">
        <f>IF($C148&lt;1,"",(AVERAGEIFS('09월 화학성분'!U$12:U$949,'09월 화학성분'!$A$12:$A$949,$A148,'09월 화학성분'!$D$12:$D$949,$B148)))</f>
        <v/>
      </c>
      <c r="AD148" s="829" t="str">
        <f>IF($C148&lt;1,"",(AVERAGEIFS('09월 화학성분'!V$12:V$949,'09월 화학성분'!$A$12:$A$949,$A148,'09월 화학성분'!$D$12:$D$949,$B148)))</f>
        <v/>
      </c>
      <c r="AE148" s="829" t="str">
        <f>IF($C148&lt;1,"",(AVERAGEIFS('09월 화학성분'!W$12:W$949,'09월 화학성분'!$A$12:$A$949,$A148,'09월 화학성분'!$D$12:$D$949,$B148)))</f>
        <v/>
      </c>
      <c r="AF148" s="829" t="str">
        <f>IF($C148&lt;1,"",(AVERAGEIFS('09월 화학성분'!AA$12:AA$949,'09월 화학성분'!$A$12:$A$949,$A148,'09월 화학성분'!$D$12:$D$949,$B148)))</f>
        <v/>
      </c>
      <c r="AG148" s="829" t="str">
        <f>IF($C148&lt;1,"",(AVERAGEIFS('09월 화학성분'!#REF!,'09월 화학성분'!$A$12:$A$949,$A148,'09월 화학성분'!$D$12:$D$949,$B148)))</f>
        <v/>
      </c>
      <c r="AH148" s="829" t="str">
        <f>IF($C148&lt;1,"",(AVERAGEIFS('09월 화학성분'!AB$12:AB$949,'09월 화학성분'!$A$12:$A$949,$A148,'09월 화학성분'!$D$12:$D$949,$B148)))</f>
        <v/>
      </c>
      <c r="AI148" s="829" t="str">
        <f>IF($C148&lt;1,"",(AVERAGEIFS('09월 화학성분'!AC$12:AC$949,'09월 화학성분'!$A$12:$A$949,$A148,'09월 화학성분'!$D$12:$D$949,$B148)))</f>
        <v/>
      </c>
      <c r="AJ148" s="829" t="str">
        <f>IF($C148&lt;1,"",(AVERAGEIFS('09월 화학성분'!AD$12:AD$949,'09월 화학성분'!$A$12:$A$949,$A148,'09월 화학성분'!$D$12:$D$949,$B148)))</f>
        <v/>
      </c>
      <c r="AK148" s="829" t="str">
        <f>IF($C148&lt;1,"",(AVERAGEIFS('09월 화학성분'!AF$12:AF$949,'09월 화학성분'!$A$12:$A$949,$A148,'09월 화학성분'!$D$12:$D$949,$B148)))</f>
        <v/>
      </c>
      <c r="AL148" s="829" t="str">
        <f>IF($C148&lt;1,"",(AVERAGEIFS('09월 화학성분'!AG$12:AG$949,'09월 화학성분'!$A$12:$A$949,$A148,'09월 화학성분'!$D$12:$D$949,$B148)))</f>
        <v/>
      </c>
      <c r="AM148" s="829" t="str">
        <f>IF($C148&lt;1,"",(AVERAGEIFS('09월 화학성분'!AH$12:AH$949,'09월 화학성분'!$A$12:$A$949,$A148,'09월 화학성분'!$D$12:$D$949,$B148)))</f>
        <v/>
      </c>
      <c r="AN148" s="829" t="str">
        <f>IF($C148&lt;1,"",(AVERAGEIFS('09월 화학성분'!AI$12:AI$949,'09월 화학성분'!$A$12:$A$949,$A148,'09월 화학성분'!$D$12:$D$949,$B148)))</f>
        <v/>
      </c>
      <c r="AO148" s="829" t="str">
        <f>IF($C148&lt;1,"",(AVERAGEIFS('09월 화학성분'!AJ$12:AJ$949,'09월 화학성분'!$A$12:$A$949,$A148,'09월 화학성분'!$D$12:$D$949,$B148)))</f>
        <v/>
      </c>
      <c r="AP148" s="829" t="str">
        <f>IF($C148&lt;1,"",(AVERAGEIFS('09월 화학성분'!#REF!,'09월 화학성분'!$A$12:$A$949,$A148,'09월 화학성분'!$D$12:$D$949,$B148)))</f>
        <v/>
      </c>
      <c r="AQ148" s="829" t="str">
        <f>IF($C148&lt;1,"",(AVERAGEIFS('09월 화학성분'!AL$12:AL$949,'09월 화학성분'!$A$12:$A$949,$A148,'09월 화학성분'!$D$12:$D$949,$B148)))</f>
        <v/>
      </c>
      <c r="AR148" s="829" t="str">
        <f>IF($C148&lt;1,"",(AVERAGEIFS('09월 화학성분'!AM$12:AM$949,'09월 화학성분'!$A$12:$A$949,$A148,'09월 화학성분'!$D$12:$D$949,$B148)))</f>
        <v/>
      </c>
      <c r="AS148" s="830" t="str">
        <f>IF($C148&lt;1,"",(AVERAGEIFS('09월 화학성분'!AN$12:AN$949,'09월 화학성분'!$A$12:$A$949,$A148,'09월 화학성분'!$D$12:$D$949,$B148)))</f>
        <v/>
      </c>
      <c r="AT148" s="830" t="str">
        <f>IF($C148&lt;1,"",(AVERAGEIFS('09월 화학성분'!AO$12:AO$949,'09월 화학성분'!$A$12:$A$949,$A148,'09월 화학성분'!$D$12:$D$949,$B148)))</f>
        <v/>
      </c>
      <c r="AU148" s="831" t="str">
        <f>IF($C148&lt;1,"",(AVERAGEIFS('09월 화학성분'!AP$12:AP$949,'09월 화학성분'!$A$12:$A$949,$A148,'09월 화학성분'!$D$12:$D$949,$B148)))</f>
        <v/>
      </c>
      <c r="AV148" s="832" t="str">
        <f>IF($C148&lt;1,"",(AVERAGEIFS('09월 고철장입'!G$14:G$949,'09월 고철장입'!$A$14:$A$949,$A148,'09월 고철장입'!$C$14:$C$949,$B148))/1000)</f>
        <v/>
      </c>
      <c r="AW148" s="832" t="str">
        <f>IF($C148&lt;1,"",(AVERAGEIFS('09월 고철장입'!H$14:H$949,'09월 고철장입'!$A$14:$A$949,$A148,'09월 고철장입'!$C$14:$C$949,$B148))/1000)</f>
        <v/>
      </c>
      <c r="AX148" s="832" t="str">
        <f>IF($C148&lt;1,"",(AVERAGEIFS('09월 고철장입'!I$14:I$949,'09월 고철장입'!$A$14:$A$949,$A148,'09월 고철장입'!$C$14:$C$949,$B148))/1000)</f>
        <v/>
      </c>
      <c r="AY148" s="832" t="str">
        <f>IF($C148&lt;1,"",(AVERAGEIFS('09월 고철장입'!J$14:J$949,'09월 고철장입'!$A$14:$A$949,$A148,'09월 고철장입'!$C$14:$C$949,$B148))/1000)</f>
        <v/>
      </c>
      <c r="AZ148" s="832" t="str">
        <f>IF($C148&lt;1,"",(AVERAGEIFS('09월 고철장입'!K$14:K$949,'09월 고철장입'!$A$14:$A$949,$A148,'09월 고철장입'!$C$14:$C$949,$B148))/1000)</f>
        <v/>
      </c>
      <c r="BA148" s="832" t="str">
        <f>IF($C148&lt;1,"",(AVERAGEIFS('09월 고철장입'!L$14:L$949,'09월 고철장입'!$A$14:$A$949,$A148,'09월 고철장입'!$C$14:$C$949,$B148))/1000)</f>
        <v/>
      </c>
      <c r="BB148" s="832" t="str">
        <f>IF($C148&lt;1,"",(AVERAGEIFS('09월 고철장입'!M$14:M$949,'09월 고철장입'!$A$14:$A$949,$A148,'09월 고철장입'!$C$14:$C$949,$B148))/1000)</f>
        <v/>
      </c>
      <c r="BC148" s="832" t="str">
        <f>IF($C148&lt;1,"",(AVERAGEIFS('09월 고철장입'!N$14:N$949,'09월 고철장입'!$A$14:$A$949,$A148,'09월 고철장입'!$C$14:$C$949,$B148))/1000)</f>
        <v/>
      </c>
      <c r="BD148" s="832" t="str">
        <f>IF($C148&lt;1,"",(AVERAGEIFS('09월 고철장입'!O$14:O$949,'09월 고철장입'!$A$14:$A$949,$A148,'09월 고철장입'!$C$14:$C$949,$B148))/1000)</f>
        <v/>
      </c>
      <c r="BE148" s="833" t="str">
        <f>IF($C148&lt;1,"",(AVERAGEIFS('09월 고철장입'!P$14:P$949,'09월 고철장입'!$A$14:$A$949,$A148,'09월 고철장입'!$C$14:$C$949,$B148))/1000)</f>
        <v/>
      </c>
      <c r="BF148" s="833" t="str">
        <f>IF($C148&lt;1,"",(AVERAGEIFS('09월 고철장입'!Q$14:Q$949,'09월 고철장입'!$A$14:$A$949,$A148,'09월 고철장입'!$C$14:$C$949,$B148))/1000)</f>
        <v/>
      </c>
      <c r="BG148" s="833" t="str">
        <f>IF($C148&lt;1,"",(AVERAGEIFS('09월 고철장입'!S$14:S$949,'09월 고철장입'!$A$14:$A$949,$A148,'09월 고철장입'!$C$14:$C$949,$B148))/1000)</f>
        <v/>
      </c>
      <c r="BH148" s="833" t="str">
        <f>IF($C148&lt;1,"",(AVERAGEIFS('09월 고철장입'!T$14:T$949,'09월 고철장입'!$A$14:$A$949,$A148,'09월 고철장입'!$C$14:$C$949,$B148))/1000)</f>
        <v/>
      </c>
      <c r="BI148" s="833" t="str">
        <f>IF($C148&lt;1,"",(AVERAGEIFS('09월 고철장입'!U$14:U$949,'09월 고철장입'!$A$14:$A$949,$A148,'09월 고철장입'!$C$14:$C$949,$B148))/1000)</f>
        <v/>
      </c>
      <c r="BJ148" s="833" t="str">
        <f>IF($C148&lt;1,"",(AVERAGEIFS('09월 고철장입'!V$14:V$949,'09월 고철장입'!$A$14:$A$949,$A148,'09월 고철장입'!$C$14:$C$949,$B148))/1000)</f>
        <v/>
      </c>
      <c r="BK148" s="833" t="str">
        <f>IF($C148&lt;1,"",(AVERAGEIFS('09월 고철장입'!W$14:W$949,'09월 고철장입'!$A$14:$A$949,$A148,'09월 고철장입'!$C$14:$C$949,$B148))/1000)</f>
        <v/>
      </c>
      <c r="BL148" s="833" t="str">
        <f>IF($C148&lt;1,"",(AVERAGEIFS('09월 고철장입'!Y$14:Y$949,'09월 고철장입'!$A$14:$A$949,$A148,'09월 고철장입'!$C$14:$C$949,$B148))/1000)</f>
        <v/>
      </c>
      <c r="BM148" s="833" t="str">
        <f>IF($C148&lt;1,"",(AVERAGEIFS('09월 고철장입'!AB$14:AB$949,'09월 고철장입'!$A$14:$A$949,$A148,'09월 고철장입'!$C$14:$C$949,$B148))/1000)</f>
        <v/>
      </c>
      <c r="BN148" s="833" t="str">
        <f>IF($C148&lt;1,"",(AVERAGEIFS('09월 고철장입'!AC$14:AC$949,'09월 고철장입'!$A$14:$A$949,$A148,'09월 고철장입'!$C$14:$C$949,$B148))/1000)</f>
        <v/>
      </c>
      <c r="BO148" s="833" t="str">
        <f>IF($C148&lt;1,"",(AVERAGEIFS('09월 고철장입'!AD$14:AD$949,'09월 고철장입'!$A$14:$A$949,$A148,'09월 고철장입'!$C$14:$C$949,$B148))/1000)</f>
        <v/>
      </c>
      <c r="BP148" s="833" t="str">
        <f>IF($C148&lt;1,"",(AVERAGEIFS('09월 고철장입'!AE$14:AE$949,'09월 고철장입'!$A$14:$A$949,$A148,'09월 고철장입'!$C$14:$C$949,$B148))/1000)</f>
        <v/>
      </c>
      <c r="BQ148" s="832" t="str">
        <f>IF($C148&lt;1,"",(AVERAGEIFS('09월 고철장입'!AF$14:AF$949,'09월 고철장입'!$A$14:$A$949,$A148,'09월 고철장입'!$C$14:$C$949,$B148))/1000)</f>
        <v/>
      </c>
      <c r="BR148" s="832" t="str">
        <f>IF($C148&lt;1,"",(AVERAGEIFS('09월 고철장입'!AG$14:AG$949,'09월 고철장입'!$A$14:$A$949,$A148,'09월 고철장입'!$C$14:$C$949,$B148))/1000)</f>
        <v/>
      </c>
      <c r="BS148" s="832" t="str">
        <f>IF($C148&lt;1,"",(AVERAGEIFS('09월 고철장입'!AH$14:AH$949,'09월 고철장입'!$A$14:$A$949,$A148,'09월 고철장입'!$C$14:$C$949,$B148))/1000)</f>
        <v/>
      </c>
      <c r="BT148" s="832" t="str">
        <f>IF($C148&lt;1,"",(AVERAGEIFS('09월 고철장입'!AI$14:AI$949,'09월 고철장입'!$A$14:$A$949,$A148,'09월 고철장입'!$C$14:$C$949,$B148))/1000)</f>
        <v/>
      </c>
      <c r="BU148" s="834" t="str">
        <f>IF($C148&lt;1,"",(AVERAGEIFS('09월 고철장입'!AJ$14:AJ$949,'09월 고철장입'!$A$14:$A$949,$A148,'09월 고철장입'!$C$14:$C$949,$B148))/1000)</f>
        <v/>
      </c>
      <c r="BV148" s="834" t="str">
        <f>IF($C148&lt;1,"",(AVERAGEIFS('09월 고철장입'!AK$14:AK$949,'09월 고철장입'!$A$14:$A$949,$A148,'09월 고철장입'!$C$14:$C$949,$B148)))</f>
        <v/>
      </c>
      <c r="BW148" s="834" t="str">
        <f>IF($C148&lt;1,"",(AVERAGEIFS('09월 고철장입'!AL$14:AL$949,'09월 고철장입'!$A$14:$A$949,$A148,'09월 고철장입'!$C$14:$C$949,$B148))*100)</f>
        <v/>
      </c>
      <c r="BX148" s="831" t="str">
        <f>IF($C148&lt;1,"",(AVERAGEIFS('09월 에너지'!G$14:G$949,'09월 에너지'!$A$14:$A$949,$A148,'09월 에너지'!$C$14:$C$949,$B148)))</f>
        <v/>
      </c>
      <c r="BY148" s="835" t="str">
        <f>IF($C148&lt;1,"",(AVERAGEIFS('09월 에너지'!H$14:H$949,'09월 에너지'!$A$14:$A$949,$A148,'09월 에너지'!$C$14:$C$949,$B148)))</f>
        <v/>
      </c>
      <c r="BZ148" s="831" t="str">
        <f>IF($C148&lt;1,"",(AVERAGEIFS('09월 에너지'!I$14:I$949,'09월 에너지'!$A$14:$A$949,$A148,'09월 에너지'!$C$14:$C$949,$B148)))</f>
        <v/>
      </c>
      <c r="CA148" s="835" t="str">
        <f>IF($C148&lt;1,"",(AVERAGEIFS('09월 에너지'!J$14:J$949,'09월 에너지'!$A$14:$A$949,$A148,'09월 에너지'!$C$14:$C$949,$B148)))</f>
        <v/>
      </c>
      <c r="CB148" s="831" t="str">
        <f>IF($C148&lt;1,"",(AVERAGEIFS('09월 에너지'!K$14:K$949,'09월 에너지'!$A$14:$A$949,$A148,'09월 에너지'!$C$14:$C$949,$B148)))</f>
        <v/>
      </c>
      <c r="CC148" s="835" t="str">
        <f>IF($C148&lt;1,"",(AVERAGEIFS('09월 에너지'!L$14:L$949,'09월 에너지'!$A$14:$A$949,$A148,'09월 에너지'!$C$14:$C$949,$B148)))</f>
        <v/>
      </c>
      <c r="CD148" s="831" t="str">
        <f>IF($C148&lt;1,"",(AVERAGEIFS('09월 에너지'!M$14:M$949,'09월 에너지'!$A$14:$A$949,$A148,'09월 에너지'!$C$14:$C$949,$B148)))</f>
        <v/>
      </c>
      <c r="CE148" s="835" t="str">
        <f>IF($C148&lt;1,"",(AVERAGEIFS('09월 에너지'!N$14:N$949,'09월 에너지'!$A$14:$A$949,$A148,'09월 에너지'!$C$14:$C$949,$B148)))</f>
        <v/>
      </c>
      <c r="CF148" s="831" t="str">
        <f>IF($C148&lt;1,"",(AVERAGEIFS('09월 에너지'!O$14:O$949,'09월 에너지'!$A$14:$A$949,$A148,'09월 에너지'!$C$14:$C$949,$B148)))</f>
        <v/>
      </c>
      <c r="CG148" s="831" t="str">
        <f>IF($C148&lt;1,"",(AVERAGEIFS('09월 에너지'!P$14:P$949,'09월 에너지'!$A$14:$A$949,$A148,'09월 에너지'!$C$14:$C$949,$B148)))</f>
        <v/>
      </c>
      <c r="CH148" s="831" t="str">
        <f>IF($C148&lt;1,"",(AVERAGEIFS('09월 에너지'!Q$14:Q$949,'09월 에너지'!$A$14:$A$949,$A148,'09월 에너지'!$C$14:$C$949,$B148)))</f>
        <v/>
      </c>
      <c r="CI148" s="831" t="str">
        <f>IF($C148&lt;1,"",(AVERAGEIFS('09월 에너지'!R$14:R$949,'09월 에너지'!$A$14:$A$949,$A148,'09월 에너지'!$C$14:$C$949,$B148)))</f>
        <v/>
      </c>
      <c r="CJ148" s="831" t="str">
        <f>IF($C148&lt;1,"",(AVERAGEIFS('09월 에너지'!S$14:S$949,'09월 에너지'!$A$14:$A$949,$A148,'09월 에너지'!$C$14:$C$949,$B148)))</f>
        <v/>
      </c>
      <c r="CK148" s="831" t="str">
        <f>IF($C148&lt;1,"",(AVERAGEIFS('09월 에너지'!T$14:T$949,'09월 에너지'!$A$14:$A$949,$A148,'09월 에너지'!$C$14:$C$949,$B148)))</f>
        <v/>
      </c>
      <c r="CL148" s="831" t="str">
        <f>IF($C148&lt;1,"",(AVERAGEIFS('09월 에너지'!U$14:U$949,'09월 에너지'!$A$14:$A$949,$A148,'09월 에너지'!$C$14:$C$949,$B148)))</f>
        <v/>
      </c>
      <c r="CM148" s="835" t="str">
        <f>IF($C148&lt;1,"",(AVERAGEIFS('09월 에너지'!V$14:V$949,'09월 에너지'!$A$14:$A$949,$A148,'09월 에너지'!$C$14:$C$949,$B148)))</f>
        <v/>
      </c>
      <c r="CN148" s="835" t="str">
        <f>IF($C148&lt;1,"",(AVERAGEIFS('09월 에너지'!W$14:W$949,'09월 에너지'!$A$14:$A$949,$A148,'09월 에너지'!$C$14:$C$949,$B148)))</f>
        <v/>
      </c>
      <c r="CO148" s="831" t="str">
        <f>IF($C148&lt;1,"",(AVERAGEIFS('09월 에너지'!X$14:X$949,'09월 에너지'!$A$14:$A$949,$A148,'09월 에너지'!$C$14:$C$949,$B148)))</f>
        <v/>
      </c>
      <c r="CP148" s="835" t="str">
        <f>IF($C148&lt;1,"",(AVERAGEIFS('09월 에너지'!Y$14:Y$949,'09월 에너지'!$A$14:$A$949,$A148,'09월 에너지'!$C$14:$C$949,$B148)))</f>
        <v/>
      </c>
      <c r="CQ148" s="835" t="str">
        <f>IF($C148&lt;1,"",(AVERAGEIFS('09월 에너지'!Z$14:Z$949,'09월 에너지'!$A$14:$A$949,$A148,'09월 에너지'!$C$14:$C$949,$B148)))</f>
        <v/>
      </c>
      <c r="CR148" s="835" t="str">
        <f>IF($C148&lt;1,"",(AVERAGEIFS('09월 에너지'!AA$14:AA$949,'09월 에너지'!$A$14:$A$949,$A148,'09월 에너지'!$C$14:$C$949,$B148)))</f>
        <v/>
      </c>
      <c r="CS148" s="835" t="str">
        <f>IF($C148&lt;1,"",(AVERAGEIFS('09월 에너지'!AB$14:AB$949,'09월 에너지'!$A$14:$A$949,$A148,'09월 에너지'!$C$14:$C$949,$B148)))</f>
        <v/>
      </c>
      <c r="CT148" s="831" t="str">
        <f>IF($C148&lt;1,"",(AVERAGEIFS('09월 에너지'!AC$14:AC$949,'09월 에너지'!$A$14:$A$949,$A148,'09월 에너지'!$C$14:$C$949,$B148)))</f>
        <v/>
      </c>
      <c r="CU148" s="836" t="str">
        <f>IF($C148&lt;1,"",(AVERAGEIFS('09월 에너지'!AD$14:AD$949,'09월 에너지'!$A$14:$A$949,$A148,'09월 에너지'!$C$14:$C$949,$B148)))</f>
        <v/>
      </c>
      <c r="CV148" s="837" t="str">
        <f>IF($C148&lt;1,"",(AVERAGEIFS('09월 에너지'!AE$14:AE$949,'09월 에너지'!$A$14:$A$949,$A148,'09월 에너지'!$C$14:$C$949,$B148)))</f>
        <v/>
      </c>
      <c r="CW148" s="831" t="str">
        <f>IF($C148&lt;1,"",(AVERAGEIFS('09월 에너지'!AF$14:AF$949,'09월 에너지'!$A$14:$A$949,$A148,'09월 에너지'!$C$14:$C$949,$B148)))</f>
        <v/>
      </c>
      <c r="CX148" s="831" t="str">
        <f>IF($C148&lt;1,"",(AVERAGEIFS('09월 에너지'!AG$14:AG$949,'09월 에너지'!$A$14:$A$949,$A148,'09월 에너지'!$C$14:$C$949,$B148)))</f>
        <v/>
      </c>
      <c r="CY148" s="831" t="str">
        <f>IF($C148&lt;1,"",(AVERAGEIFS('09월 에너지'!AH$14:AH$949,'09월 에너지'!$A$14:$A$949,$A148,'09월 에너지'!$C$14:$C$949,$B148)))</f>
        <v/>
      </c>
      <c r="CZ148" s="831" t="str">
        <f>IF($C148&lt;1,"",(AVERAGEIFS('09월 에너지'!AI$14:AI$949,'09월 에너지'!$A$14:$A$949,$A148,'09월 에너지'!$C$14:$C$949,$B148)))</f>
        <v/>
      </c>
      <c r="DA148" s="838" t="str">
        <f>IF($C148&lt;1,"",(AVERAGEIFS('09월 에너지'!AJ$14:AJ$949,'09월 에너지'!$A$14:$A$949,$A148,'09월 에너지'!$C$14:$C$949,$B148)))</f>
        <v/>
      </c>
    </row>
    <row r="149" spans="1:105" ht="13.5" customHeight="1">
      <c r="A149" s="849">
        <f t="shared" si="20"/>
        <v>44955</v>
      </c>
      <c r="B149" s="850" t="s">
        <v>10</v>
      </c>
      <c r="C149" s="823">
        <f>COUNTIFS('09월 조업일지'!$A$12:$A$952,A146,'09월 조업일지'!$E$12:$E$952,B149)</f>
        <v>0</v>
      </c>
      <c r="D149" s="824" t="str">
        <f t="shared" si="32"/>
        <v/>
      </c>
      <c r="E149" s="824" t="str">
        <f>IF($C149&lt;1,"",(SUMIFS('09월 조업일지'!$K$12:$K$952,'09월 조업일지'!$A$12:$A$952,$A149,'09월 조업일지'!$E$12:$E$952,$B149)/$C149))</f>
        <v/>
      </c>
      <c r="F149" s="824" t="str">
        <f>IF($C149&lt;1,"",(AVERAGEIFS('09월 조업일지'!$J$12:$J$952,'09월 조업일지'!$A$12:$A$952,$A149,'09월 조업일지'!$E$12:$E$952,$B149)))</f>
        <v/>
      </c>
      <c r="G149" s="825" t="str">
        <f>IF($C149&lt;1,"",(AVERAGEIFS('09월 에너지'!$M$14:$M$949,'09월 에너지'!$A$14:$A$949,$A149,'09월 에너지'!$C$14:$C$949,$B149)))</f>
        <v/>
      </c>
      <c r="H149" s="826" t="str">
        <f>IF($C149&lt;1,"",(AVERAGEIFS('09월 조업일지'!$AJ$12:$AJ$952,'09월 조업일지'!$A$12:$A$952,$A149,'09월 조업일지'!$E$12:$E$952,$B149)))</f>
        <v/>
      </c>
      <c r="I149" s="826" t="str">
        <f>IF($C149&lt;1,"",(AVERAGEIFS('09월 조업일지'!$AL$12:$AL$952,'09월 조업일지'!$A$12:$A$952,$A149,'09월 조업일지'!$E$12:$E$952,$B149)))</f>
        <v/>
      </c>
      <c r="J149" s="827" t="str">
        <f>IF($C149&lt;1,"",(AVERAGEIFS('09월 화학성분'!G$12:G$949,'09월 화학성분'!$A$12:$A$949,$A149,'09월 화학성분'!$D$12:$D$949,$B149)))</f>
        <v/>
      </c>
      <c r="K149" s="827" t="str">
        <f>IF($C149&lt;1,"",(AVERAGEIFS('09월 화학성분'!H$12:H$949,'09월 화학성분'!$A$12:$A$949,$A149,'09월 화학성분'!$D$12:$D$949,$B149)))</f>
        <v/>
      </c>
      <c r="L149" s="827" t="str">
        <f>IF($C149&lt;1,"",(AVERAGEIFS('09월 화학성분'!I$12:I$949,'09월 화학성분'!$A$12:$A$949,$A149,'09월 화학성분'!$D$12:$D$949,$B149)))</f>
        <v/>
      </c>
      <c r="M149" s="827" t="str">
        <f>IF($C149&lt;1,"",(AVERAGEIFS('09월 화학성분'!J$12:J$949,'09월 화학성분'!$A$12:$A$949,$A149,'09월 화학성분'!$D$12:$D$949,$B149)))</f>
        <v/>
      </c>
      <c r="N149" s="827" t="str">
        <f>IF($C149&lt;1,"",(AVERAGEIFS('09월 화학성분'!K$12:K$949,'09월 화학성분'!$A$12:$A$949,$A149,'09월 화학성분'!$D$12:$D$949,$B149)))</f>
        <v/>
      </c>
      <c r="O149" s="827" t="str">
        <f>IF($C149&lt;1,"",(AVERAGEIFS('09월 화학성분'!L$12:L$949,'09월 화학성분'!$A$12:$A$949,$A149,'09월 화학성분'!$D$12:$D$949,$B149)))</f>
        <v/>
      </c>
      <c r="P149" s="827" t="str">
        <f>IF($C149&lt;1,"",(AVERAGEIFS('09월 화학성분'!M$12:M$949,'09월 화학성분'!$A$12:$A$949,$A149,'09월 화학성분'!$D$12:$D$949,$B149)))</f>
        <v/>
      </c>
      <c r="Q149" s="827" t="str">
        <f>IFERROR(IF($C149&lt;1,"",(AVERAGEIFS('09월 조업일지'!$AA$12:$AA$952,'09월 조업일지'!$A$12:$A$952,$A149,'09월 조업일지'!$E$12:$E$952,$B149))),"")</f>
        <v/>
      </c>
      <c r="R149" s="827" t="str">
        <f>IF($C149&lt;1,"",(AVERAGEIFS('09월 조업일지'!$AK$12:$AK$952,'09월 조업일지'!$A$12:$A$952,$A149,'09월 조업일지'!$E$12:$E$952,$B149)))</f>
        <v/>
      </c>
      <c r="S149" s="827"/>
      <c r="T149" s="827"/>
      <c r="U149" s="827" t="str">
        <f>IF($C149&lt;1,"",(AVERAGEIFS('09월 화학성분'!$G$12:$G$949,'09월 화학성분'!$A$12:$A$949,$A149,'09월 화학성분'!$D$12:$D$949,$B149)))</f>
        <v/>
      </c>
      <c r="V149" s="827" t="str">
        <f>IF($C149&lt;1,"",(AVERAGEIFS('09월 조업일지'!$AI$12:$AI$952,'09월 조업일지'!$A$12:$A$952,$A149,'09월 조업일지'!$E$12:$E$952,$B149)))</f>
        <v/>
      </c>
      <c r="W149" s="828" t="str">
        <f>IF($C149&lt;1,"",(AVERAGEIFS('09월 화학성분'!$AM$12:$AM$949,'09월 화학성분'!$A$12:$A$949,$A149,'09월 화학성분'!$D$12:$D$949,$B149)))</f>
        <v/>
      </c>
      <c r="X149" s="829" t="str">
        <f>IF($C149&lt;1,"",(AVERAGEIFS('09월 화학성분'!N$12:N$949,'09월 화학성분'!$A$12:$A$949,$A149,'09월 화학성분'!$D$12:$D$949,$B149)))</f>
        <v/>
      </c>
      <c r="Y149" s="829" t="str">
        <f>IF($C149&lt;1,"",(AVERAGEIFS('09월 화학성분'!O$12:O$949,'09월 화학성분'!$A$12:$A$949,$A149,'09월 화학성분'!$D$12:$D$949,$B149)))</f>
        <v/>
      </c>
      <c r="Z149" s="829" t="str">
        <f>IF($C149&lt;1,"",(AVERAGEIFS('09월 화학성분'!P$12:P$949,'09월 화학성분'!$A$12:$A$949,$A149,'09월 화학성분'!$D$12:$D$949,$B149)))</f>
        <v/>
      </c>
      <c r="AA149" s="829" t="str">
        <f>IF($C149&lt;1,"",(AVERAGEIFS('09월 화학성분'!Q$12:Q$949,'09월 화학성분'!$A$12:$A$949,$A149,'09월 화학성분'!$D$12:$D$949,$B149)))</f>
        <v/>
      </c>
      <c r="AB149" s="829" t="str">
        <f>IF($C149&lt;1,"",(AVERAGEIFS('09월 화학성분'!R$12:R$949,'09월 화학성분'!$A$12:$A$949,$A149,'09월 화학성분'!$D$12:$D$949,$B149)))</f>
        <v/>
      </c>
      <c r="AC149" s="829" t="str">
        <f>IF($C149&lt;1,"",(AVERAGEIFS('09월 화학성분'!U$12:U$949,'09월 화학성분'!$A$12:$A$949,$A149,'09월 화학성분'!$D$12:$D$949,$B149)))</f>
        <v/>
      </c>
      <c r="AD149" s="829" t="str">
        <f>IF($C149&lt;1,"",(AVERAGEIFS('09월 화학성분'!V$12:V$949,'09월 화학성분'!$A$12:$A$949,$A149,'09월 화학성분'!$D$12:$D$949,$B149)))</f>
        <v/>
      </c>
      <c r="AE149" s="829" t="str">
        <f>IF($C149&lt;1,"",(AVERAGEIFS('09월 화학성분'!W$12:W$949,'09월 화학성분'!$A$12:$A$949,$A149,'09월 화학성분'!$D$12:$D$949,$B149)))</f>
        <v/>
      </c>
      <c r="AF149" s="829" t="str">
        <f>IF($C149&lt;1,"",(AVERAGEIFS('09월 화학성분'!AA$12:AA$949,'09월 화학성분'!$A$12:$A$949,$A149,'09월 화학성분'!$D$12:$D$949,$B149)))</f>
        <v/>
      </c>
      <c r="AG149" s="829" t="str">
        <f>IF($C149&lt;1,"",(AVERAGEIFS('09월 화학성분'!#REF!,'09월 화학성분'!$A$12:$A$949,$A149,'09월 화학성분'!$D$12:$D$949,$B149)))</f>
        <v/>
      </c>
      <c r="AH149" s="829" t="str">
        <f>IF($C149&lt;1,"",(AVERAGEIFS('09월 화학성분'!AB$12:AB$949,'09월 화학성분'!$A$12:$A$949,$A149,'09월 화학성분'!$D$12:$D$949,$B149)))</f>
        <v/>
      </c>
      <c r="AI149" s="829" t="str">
        <f>IF($C149&lt;1,"",(AVERAGEIFS('09월 화학성분'!AC$12:AC$949,'09월 화학성분'!$A$12:$A$949,$A149,'09월 화학성분'!$D$12:$D$949,$B149)))</f>
        <v/>
      </c>
      <c r="AJ149" s="829" t="str">
        <f>IF($C149&lt;1,"",(AVERAGEIFS('09월 화학성분'!AD$12:AD$949,'09월 화학성분'!$A$12:$A$949,$A149,'09월 화학성분'!$D$12:$D$949,$B149)))</f>
        <v/>
      </c>
      <c r="AK149" s="829" t="str">
        <f>IF($C149&lt;1,"",(AVERAGEIFS('09월 화학성분'!AF$12:AF$949,'09월 화학성분'!$A$12:$A$949,$A149,'09월 화학성분'!$D$12:$D$949,$B149)))</f>
        <v/>
      </c>
      <c r="AL149" s="829" t="str">
        <f>IF($C149&lt;1,"",(AVERAGEIFS('09월 화학성분'!AG$12:AG$949,'09월 화학성분'!$A$12:$A$949,$A149,'09월 화학성분'!$D$12:$D$949,$B149)))</f>
        <v/>
      </c>
      <c r="AM149" s="829" t="str">
        <f>IF($C149&lt;1,"",(AVERAGEIFS('09월 화학성분'!AH$12:AH$949,'09월 화학성분'!$A$12:$A$949,$A149,'09월 화학성분'!$D$12:$D$949,$B149)))</f>
        <v/>
      </c>
      <c r="AN149" s="829" t="str">
        <f>IF($C149&lt;1,"",(AVERAGEIFS('09월 화학성분'!AI$12:AI$949,'09월 화학성분'!$A$12:$A$949,$A149,'09월 화학성분'!$D$12:$D$949,$B149)))</f>
        <v/>
      </c>
      <c r="AO149" s="829" t="str">
        <f>IF($C149&lt;1,"",(AVERAGEIFS('09월 화학성분'!AJ$12:AJ$949,'09월 화학성분'!$A$12:$A$949,$A149,'09월 화학성분'!$D$12:$D$949,$B149)))</f>
        <v/>
      </c>
      <c r="AP149" s="829" t="str">
        <f>IF($C149&lt;1,"",(AVERAGEIFS('09월 화학성분'!#REF!,'09월 화학성분'!$A$12:$A$949,$A149,'09월 화학성분'!$D$12:$D$949,$B149)))</f>
        <v/>
      </c>
      <c r="AQ149" s="829" t="str">
        <f>IF($C149&lt;1,"",(AVERAGEIFS('09월 화학성분'!AL$12:AL$949,'09월 화학성분'!$A$12:$A$949,$A149,'09월 화학성분'!$D$12:$D$949,$B149)))</f>
        <v/>
      </c>
      <c r="AR149" s="829" t="str">
        <f>IF($C149&lt;1,"",(AVERAGEIFS('09월 화학성분'!AM$12:AM$949,'09월 화학성분'!$A$12:$A$949,$A149,'09월 화학성분'!$D$12:$D$949,$B149)))</f>
        <v/>
      </c>
      <c r="AS149" s="830" t="str">
        <f>IF($C149&lt;1,"",(AVERAGEIFS('09월 화학성분'!AN$12:AN$949,'09월 화학성분'!$A$12:$A$949,$A149,'09월 화학성분'!$D$12:$D$949,$B149)))</f>
        <v/>
      </c>
      <c r="AT149" s="830" t="str">
        <f>IF($C149&lt;1,"",(AVERAGEIFS('09월 화학성분'!AO$12:AO$949,'09월 화학성분'!$A$12:$A$949,$A149,'09월 화학성분'!$D$12:$D$949,$B149)))</f>
        <v/>
      </c>
      <c r="AU149" s="831" t="str">
        <f>IF($C149&lt;1,"",(AVERAGEIFS('09월 화학성분'!AP$12:AP$949,'09월 화학성분'!$A$12:$A$949,$A149,'09월 화학성분'!$D$12:$D$949,$B149)))</f>
        <v/>
      </c>
      <c r="AV149" s="832" t="str">
        <f>IF($C149&lt;1,"",(AVERAGEIFS('09월 고철장입'!G$14:G$949,'09월 고철장입'!$A$14:$A$949,$A149,'09월 고철장입'!$C$14:$C$949,$B149))/1000)</f>
        <v/>
      </c>
      <c r="AW149" s="832" t="str">
        <f>IF($C149&lt;1,"",(AVERAGEIFS('09월 고철장입'!H$14:H$949,'09월 고철장입'!$A$14:$A$949,$A149,'09월 고철장입'!$C$14:$C$949,$B149))/1000)</f>
        <v/>
      </c>
      <c r="AX149" s="832" t="str">
        <f>IF($C149&lt;1,"",(AVERAGEIFS('09월 고철장입'!I$14:I$949,'09월 고철장입'!$A$14:$A$949,$A149,'09월 고철장입'!$C$14:$C$949,$B149))/1000)</f>
        <v/>
      </c>
      <c r="AY149" s="832" t="str">
        <f>IF($C149&lt;1,"",(AVERAGEIFS('09월 고철장입'!J$14:J$949,'09월 고철장입'!$A$14:$A$949,$A149,'09월 고철장입'!$C$14:$C$949,$B149))/1000)</f>
        <v/>
      </c>
      <c r="AZ149" s="832" t="str">
        <f>IF($C149&lt;1,"",(AVERAGEIFS('09월 고철장입'!K$14:K$949,'09월 고철장입'!$A$14:$A$949,$A149,'09월 고철장입'!$C$14:$C$949,$B149))/1000)</f>
        <v/>
      </c>
      <c r="BA149" s="832" t="str">
        <f>IF($C149&lt;1,"",(AVERAGEIFS('09월 고철장입'!L$14:L$949,'09월 고철장입'!$A$14:$A$949,$A149,'09월 고철장입'!$C$14:$C$949,$B149))/1000)</f>
        <v/>
      </c>
      <c r="BB149" s="832" t="str">
        <f>IF($C149&lt;1,"",(AVERAGEIFS('09월 고철장입'!M$14:M$949,'09월 고철장입'!$A$14:$A$949,$A149,'09월 고철장입'!$C$14:$C$949,$B149))/1000)</f>
        <v/>
      </c>
      <c r="BC149" s="832" t="str">
        <f>IF($C149&lt;1,"",(AVERAGEIFS('09월 고철장입'!N$14:N$949,'09월 고철장입'!$A$14:$A$949,$A149,'09월 고철장입'!$C$14:$C$949,$B149))/1000)</f>
        <v/>
      </c>
      <c r="BD149" s="832" t="str">
        <f>IF($C149&lt;1,"",(AVERAGEIFS('09월 고철장입'!O$14:O$949,'09월 고철장입'!$A$14:$A$949,$A149,'09월 고철장입'!$C$14:$C$949,$B149))/1000)</f>
        <v/>
      </c>
      <c r="BE149" s="833" t="str">
        <f>IF($C149&lt;1,"",(AVERAGEIFS('09월 고철장입'!P$14:P$949,'09월 고철장입'!$A$14:$A$949,$A149,'09월 고철장입'!$C$14:$C$949,$B149))/1000)</f>
        <v/>
      </c>
      <c r="BF149" s="833" t="str">
        <f>IF($C149&lt;1,"",(AVERAGEIFS('09월 고철장입'!Q$14:Q$949,'09월 고철장입'!$A$14:$A$949,$A149,'09월 고철장입'!$C$14:$C$949,$B149))/1000)</f>
        <v/>
      </c>
      <c r="BG149" s="833" t="str">
        <f>IF($C149&lt;1,"",(AVERAGEIFS('09월 고철장입'!S$14:S$949,'09월 고철장입'!$A$14:$A$949,$A149,'09월 고철장입'!$C$14:$C$949,$B149))/1000)</f>
        <v/>
      </c>
      <c r="BH149" s="833" t="str">
        <f>IF($C149&lt;1,"",(AVERAGEIFS('09월 고철장입'!T$14:T$949,'09월 고철장입'!$A$14:$A$949,$A149,'09월 고철장입'!$C$14:$C$949,$B149))/1000)</f>
        <v/>
      </c>
      <c r="BI149" s="833" t="str">
        <f>IF($C149&lt;1,"",(AVERAGEIFS('09월 고철장입'!U$14:U$949,'09월 고철장입'!$A$14:$A$949,$A149,'09월 고철장입'!$C$14:$C$949,$B149))/1000)</f>
        <v/>
      </c>
      <c r="BJ149" s="833" t="str">
        <f>IF($C149&lt;1,"",(AVERAGEIFS('09월 고철장입'!V$14:V$949,'09월 고철장입'!$A$14:$A$949,$A149,'09월 고철장입'!$C$14:$C$949,$B149))/1000)</f>
        <v/>
      </c>
      <c r="BK149" s="833" t="str">
        <f>IF($C149&lt;1,"",(AVERAGEIFS('09월 고철장입'!W$14:W$949,'09월 고철장입'!$A$14:$A$949,$A149,'09월 고철장입'!$C$14:$C$949,$B149))/1000)</f>
        <v/>
      </c>
      <c r="BL149" s="833" t="str">
        <f>IF($C149&lt;1,"",(AVERAGEIFS('09월 고철장입'!Y$14:Y$949,'09월 고철장입'!$A$14:$A$949,$A149,'09월 고철장입'!$C$14:$C$949,$B149))/1000)</f>
        <v/>
      </c>
      <c r="BM149" s="833" t="str">
        <f>IF($C149&lt;1,"",(AVERAGEIFS('09월 고철장입'!AB$14:AB$949,'09월 고철장입'!$A$14:$A$949,$A149,'09월 고철장입'!$C$14:$C$949,$B149))/1000)</f>
        <v/>
      </c>
      <c r="BN149" s="833" t="str">
        <f>IF($C149&lt;1,"",(AVERAGEIFS('09월 고철장입'!AC$14:AC$949,'09월 고철장입'!$A$14:$A$949,$A149,'09월 고철장입'!$C$14:$C$949,$B149))/1000)</f>
        <v/>
      </c>
      <c r="BO149" s="833" t="str">
        <f>IF($C149&lt;1,"",(AVERAGEIFS('09월 고철장입'!AD$14:AD$949,'09월 고철장입'!$A$14:$A$949,$A149,'09월 고철장입'!$C$14:$C$949,$B149))/1000)</f>
        <v/>
      </c>
      <c r="BP149" s="833" t="str">
        <f>IF($C149&lt;1,"",(AVERAGEIFS('09월 고철장입'!AE$14:AE$949,'09월 고철장입'!$A$14:$A$949,$A149,'09월 고철장입'!$C$14:$C$949,$B149))/1000)</f>
        <v/>
      </c>
      <c r="BQ149" s="832" t="str">
        <f>IF($C149&lt;1,"",(AVERAGEIFS('09월 고철장입'!AF$14:AF$949,'09월 고철장입'!$A$14:$A$949,$A149,'09월 고철장입'!$C$14:$C$949,$B149))/1000)</f>
        <v/>
      </c>
      <c r="BR149" s="832" t="str">
        <f>IF($C149&lt;1,"",(AVERAGEIFS('09월 고철장입'!AG$14:AG$949,'09월 고철장입'!$A$14:$A$949,$A149,'09월 고철장입'!$C$14:$C$949,$B149))/1000)</f>
        <v/>
      </c>
      <c r="BS149" s="832" t="str">
        <f>IF($C149&lt;1,"",(AVERAGEIFS('09월 고철장입'!AH$14:AH$949,'09월 고철장입'!$A$14:$A$949,$A149,'09월 고철장입'!$C$14:$C$949,$B149))/1000)</f>
        <v/>
      </c>
      <c r="BT149" s="832" t="str">
        <f>IF($C149&lt;1,"",(AVERAGEIFS('09월 고철장입'!AI$14:AI$949,'09월 고철장입'!$A$14:$A$949,$A149,'09월 고철장입'!$C$14:$C$949,$B149))/1000)</f>
        <v/>
      </c>
      <c r="BU149" s="834" t="str">
        <f>IF($C149&lt;1,"",(AVERAGEIFS('09월 고철장입'!AJ$14:AJ$949,'09월 고철장입'!$A$14:$A$949,$A149,'09월 고철장입'!$C$14:$C$949,$B149))/1000)</f>
        <v/>
      </c>
      <c r="BV149" s="834" t="str">
        <f>IF($C149&lt;1,"",(AVERAGEIFS('09월 고철장입'!AK$14:AK$949,'09월 고철장입'!$A$14:$A$949,$A149,'09월 고철장입'!$C$14:$C$949,$B149)))</f>
        <v/>
      </c>
      <c r="BW149" s="834" t="str">
        <f>IF($C149&lt;1,"",(AVERAGEIFS('09월 고철장입'!AL$14:AL$949,'09월 고철장입'!$A$14:$A$949,$A149,'09월 고철장입'!$C$14:$C$949,$B149))*100)</f>
        <v/>
      </c>
      <c r="BX149" s="831" t="str">
        <f>IF($C149&lt;1,"",(AVERAGEIFS('09월 에너지'!G$14:G$949,'09월 에너지'!$A$14:$A$949,$A149,'09월 에너지'!$C$14:$C$949,$B149)))</f>
        <v/>
      </c>
      <c r="BY149" s="835" t="str">
        <f>IF($C149&lt;1,"",(AVERAGEIFS('09월 에너지'!H$14:H$949,'09월 에너지'!$A$14:$A$949,$A149,'09월 에너지'!$C$14:$C$949,$B149)))</f>
        <v/>
      </c>
      <c r="BZ149" s="831" t="str">
        <f>IF($C149&lt;1,"",(AVERAGEIFS('09월 에너지'!I$14:I$949,'09월 에너지'!$A$14:$A$949,$A149,'09월 에너지'!$C$14:$C$949,$B149)))</f>
        <v/>
      </c>
      <c r="CA149" s="835" t="str">
        <f>IF($C149&lt;1,"",(AVERAGEIFS('09월 에너지'!J$14:J$949,'09월 에너지'!$A$14:$A$949,$A149,'09월 에너지'!$C$14:$C$949,$B149)))</f>
        <v/>
      </c>
      <c r="CB149" s="831" t="str">
        <f>IF($C149&lt;1,"",(AVERAGEIFS('09월 에너지'!K$14:K$949,'09월 에너지'!$A$14:$A$949,$A149,'09월 에너지'!$C$14:$C$949,$B149)))</f>
        <v/>
      </c>
      <c r="CC149" s="835" t="str">
        <f>IF($C149&lt;1,"",(AVERAGEIFS('09월 에너지'!L$14:L$949,'09월 에너지'!$A$14:$A$949,$A149,'09월 에너지'!$C$14:$C$949,$B149)))</f>
        <v/>
      </c>
      <c r="CD149" s="831" t="str">
        <f>IF($C149&lt;1,"",(AVERAGEIFS('09월 에너지'!M$14:M$949,'09월 에너지'!$A$14:$A$949,$A149,'09월 에너지'!$C$14:$C$949,$B149)))</f>
        <v/>
      </c>
      <c r="CE149" s="835" t="str">
        <f>IF($C149&lt;1,"",(AVERAGEIFS('09월 에너지'!N$14:N$949,'09월 에너지'!$A$14:$A$949,$A149,'09월 에너지'!$C$14:$C$949,$B149)))</f>
        <v/>
      </c>
      <c r="CF149" s="831" t="str">
        <f>IF($C149&lt;1,"",(AVERAGEIFS('09월 에너지'!O$14:O$949,'09월 에너지'!$A$14:$A$949,$A149,'09월 에너지'!$C$14:$C$949,$B149)))</f>
        <v/>
      </c>
      <c r="CG149" s="831" t="str">
        <f>IF($C149&lt;1,"",(AVERAGEIFS('09월 에너지'!P$14:P$949,'09월 에너지'!$A$14:$A$949,$A149,'09월 에너지'!$C$14:$C$949,$B149)))</f>
        <v/>
      </c>
      <c r="CH149" s="831" t="str">
        <f>IF($C149&lt;1,"",(AVERAGEIFS('09월 에너지'!Q$14:Q$949,'09월 에너지'!$A$14:$A$949,$A149,'09월 에너지'!$C$14:$C$949,$B149)))</f>
        <v/>
      </c>
      <c r="CI149" s="831" t="str">
        <f>IF($C149&lt;1,"",(AVERAGEIFS('09월 에너지'!R$14:R$949,'09월 에너지'!$A$14:$A$949,$A149,'09월 에너지'!$C$14:$C$949,$B149)))</f>
        <v/>
      </c>
      <c r="CJ149" s="831" t="str">
        <f>IF($C149&lt;1,"",(AVERAGEIFS('09월 에너지'!S$14:S$949,'09월 에너지'!$A$14:$A$949,$A149,'09월 에너지'!$C$14:$C$949,$B149)))</f>
        <v/>
      </c>
      <c r="CK149" s="831" t="str">
        <f>IF($C149&lt;1,"",(AVERAGEIFS('09월 에너지'!T$14:T$949,'09월 에너지'!$A$14:$A$949,$A149,'09월 에너지'!$C$14:$C$949,$B149)))</f>
        <v/>
      </c>
      <c r="CL149" s="831" t="str">
        <f>IF($C149&lt;1,"",(AVERAGEIFS('09월 에너지'!U$14:U$949,'09월 에너지'!$A$14:$A$949,$A149,'09월 에너지'!$C$14:$C$949,$B149)))</f>
        <v/>
      </c>
      <c r="CM149" s="835" t="str">
        <f>IF($C149&lt;1,"",(AVERAGEIFS('09월 에너지'!V$14:V$949,'09월 에너지'!$A$14:$A$949,$A149,'09월 에너지'!$C$14:$C$949,$B149)))</f>
        <v/>
      </c>
      <c r="CN149" s="835" t="str">
        <f>IF($C149&lt;1,"",(AVERAGEIFS('09월 에너지'!W$14:W$949,'09월 에너지'!$A$14:$A$949,$A149,'09월 에너지'!$C$14:$C$949,$B149)))</f>
        <v/>
      </c>
      <c r="CO149" s="831" t="str">
        <f>IF($C149&lt;1,"",(AVERAGEIFS('09월 에너지'!X$14:X$949,'09월 에너지'!$A$14:$A$949,$A149,'09월 에너지'!$C$14:$C$949,$B149)))</f>
        <v/>
      </c>
      <c r="CP149" s="835" t="str">
        <f>IF($C149&lt;1,"",(AVERAGEIFS('09월 에너지'!Y$14:Y$949,'09월 에너지'!$A$14:$A$949,$A149,'09월 에너지'!$C$14:$C$949,$B149)))</f>
        <v/>
      </c>
      <c r="CQ149" s="835" t="str">
        <f>IF($C149&lt;1,"",(AVERAGEIFS('09월 에너지'!Z$14:Z$949,'09월 에너지'!$A$14:$A$949,$A149,'09월 에너지'!$C$14:$C$949,$B149)))</f>
        <v/>
      </c>
      <c r="CR149" s="835" t="str">
        <f>IF($C149&lt;1,"",(AVERAGEIFS('09월 에너지'!AA$14:AA$949,'09월 에너지'!$A$14:$A$949,$A149,'09월 에너지'!$C$14:$C$949,$B149)))</f>
        <v/>
      </c>
      <c r="CS149" s="835" t="str">
        <f>IF($C149&lt;1,"",(AVERAGEIFS('09월 에너지'!AB$14:AB$949,'09월 에너지'!$A$14:$A$949,$A149,'09월 에너지'!$C$14:$C$949,$B149)))</f>
        <v/>
      </c>
      <c r="CT149" s="831" t="str">
        <f>IF($C149&lt;1,"",(AVERAGEIFS('09월 에너지'!AC$14:AC$949,'09월 에너지'!$A$14:$A$949,$A149,'09월 에너지'!$C$14:$C$949,$B149)))</f>
        <v/>
      </c>
      <c r="CU149" s="836" t="str">
        <f>IF($C149&lt;1,"",(AVERAGEIFS('09월 에너지'!AD$14:AD$949,'09월 에너지'!$A$14:$A$949,$A149,'09월 에너지'!$C$14:$C$949,$B149)))</f>
        <v/>
      </c>
      <c r="CV149" s="837" t="str">
        <f>IF($C149&lt;1,"",(AVERAGEIFS('09월 에너지'!AE$14:AE$949,'09월 에너지'!$A$14:$A$949,$A149,'09월 에너지'!$C$14:$C$949,$B149)))</f>
        <v/>
      </c>
      <c r="CW149" s="831" t="str">
        <f>IF($C149&lt;1,"",(AVERAGEIFS('09월 에너지'!AF$14:AF$949,'09월 에너지'!$A$14:$A$949,$A149,'09월 에너지'!$C$14:$C$949,$B149)))</f>
        <v/>
      </c>
      <c r="CX149" s="831" t="str">
        <f>IF($C149&lt;1,"",(AVERAGEIFS('09월 에너지'!AG$14:AG$949,'09월 에너지'!$A$14:$A$949,$A149,'09월 에너지'!$C$14:$C$949,$B149)))</f>
        <v/>
      </c>
      <c r="CY149" s="831" t="str">
        <f>IF($C149&lt;1,"",(AVERAGEIFS('09월 에너지'!AH$14:AH$949,'09월 에너지'!$A$14:$A$949,$A149,'09월 에너지'!$C$14:$C$949,$B149)))</f>
        <v/>
      </c>
      <c r="CZ149" s="831" t="str">
        <f>IF($C149&lt;1,"",(AVERAGEIFS('09월 에너지'!AI$14:AI$949,'09월 에너지'!$A$14:$A$949,$A149,'09월 에너지'!$C$14:$C$949,$B149)))</f>
        <v/>
      </c>
      <c r="DA149" s="838" t="str">
        <f>IF($C149&lt;1,"",(AVERAGEIFS('09월 에너지'!AJ$14:AJ$949,'09월 에너지'!$A$14:$A$949,$A149,'09월 에너지'!$C$14:$C$949,$B149)))</f>
        <v/>
      </c>
    </row>
    <row r="150" spans="1:105" ht="13.5" customHeight="1" thickBot="1">
      <c r="A150" s="851">
        <f t="shared" si="20"/>
        <v>44955</v>
      </c>
      <c r="B150" s="852" t="s">
        <v>94</v>
      </c>
      <c r="C150" s="841">
        <f>COUNTIFS('09월 조업일지'!$A$12:$A$952,A146,'09월 조업일지'!$E$12:$E$952,B150)</f>
        <v>0</v>
      </c>
      <c r="D150" s="842" t="str">
        <f t="shared" si="32"/>
        <v/>
      </c>
      <c r="E150" s="842" t="str">
        <f>IF($C150&lt;1,"",(SUMIFS('09월 조업일지'!$K$12:$K$952,'09월 조업일지'!$A$12:$A$952,$A150,'09월 조업일지'!$E$12:$E$952,$B150)/$C150))</f>
        <v/>
      </c>
      <c r="F150" s="842" t="str">
        <f>IF($C150&lt;1,"",(AVERAGEIFS('09월 조업일지'!$J$12:$J$952,'09월 조업일지'!$A$12:$A$952,$A150,'09월 조업일지'!$E$12:$E$952,$B150)))</f>
        <v/>
      </c>
      <c r="G150" s="843" t="str">
        <f>IF($C150&lt;1,"",(AVERAGEIFS('09월 에너지'!$M$14:$M$949,'09월 에너지'!$A$14:$A$949,$A150,'09월 에너지'!$C$14:$C$949,$B150)))</f>
        <v/>
      </c>
      <c r="H150" s="844" t="str">
        <f>IF($C150&lt;1,"",(AVERAGEIFS('09월 조업일지'!$AJ$12:$AJ$952,'09월 조업일지'!$A$12:$A$952,$A150,'09월 조업일지'!$E$12:$E$952,$B150)))</f>
        <v/>
      </c>
      <c r="I150" s="844" t="str">
        <f>IF($C150&lt;1,"",(AVERAGEIFS('09월 조업일지'!$AL$12:$AL$952,'09월 조업일지'!$A$12:$A$952,$A150,'09월 조업일지'!$E$12:$E$952,$B150)))</f>
        <v/>
      </c>
      <c r="J150" s="845" t="str">
        <f>IF($C150&lt;1,"",(AVERAGEIFS('09월 화학성분'!G$12:G$949,'09월 화학성분'!$A$12:$A$949,$A150,'09월 화학성분'!$D$12:$D$949,$B150)))</f>
        <v/>
      </c>
      <c r="K150" s="845" t="str">
        <f>IF($C150&lt;1,"",(AVERAGEIFS('09월 화학성분'!H$12:H$949,'09월 화학성분'!$A$12:$A$949,$A150,'09월 화학성분'!$D$12:$D$949,$B150)))</f>
        <v/>
      </c>
      <c r="L150" s="845" t="str">
        <f>IF($C150&lt;1,"",(AVERAGEIFS('09월 화학성분'!I$12:I$949,'09월 화학성분'!$A$12:$A$949,$A150,'09월 화학성분'!$D$12:$D$949,$B150)))</f>
        <v/>
      </c>
      <c r="M150" s="845" t="str">
        <f>IF($C150&lt;1,"",(AVERAGEIFS('09월 화학성분'!J$12:J$949,'09월 화학성분'!$A$12:$A$949,$A150,'09월 화학성분'!$D$12:$D$949,$B150)))</f>
        <v/>
      </c>
      <c r="N150" s="845" t="str">
        <f>IF($C150&lt;1,"",(AVERAGEIFS('09월 화학성분'!K$12:K$949,'09월 화학성분'!$A$12:$A$949,$A150,'09월 화학성분'!$D$12:$D$949,$B150)))</f>
        <v/>
      </c>
      <c r="O150" s="845" t="str">
        <f>IF($C150&lt;1,"",(AVERAGEIFS('09월 화학성분'!L$12:L$949,'09월 화학성분'!$A$12:$A$949,$A150,'09월 화학성분'!$D$12:$D$949,$B150)))</f>
        <v/>
      </c>
      <c r="P150" s="845" t="str">
        <f>IF($C150&lt;1,"",(AVERAGEIFS('09월 화학성분'!M$12:M$949,'09월 화학성분'!$A$12:$A$949,$A150,'09월 화학성분'!$D$12:$D$949,$B150)))</f>
        <v/>
      </c>
      <c r="Q150" s="827" t="str">
        <f>IFERROR(IF($C150&lt;1,"",(AVERAGEIFS('09월 조업일지'!$AA$12:$AA$952,'09월 조업일지'!$A$12:$A$952,$A150,'09월 조업일지'!$E$12:$E$952,$B150))),"")</f>
        <v/>
      </c>
      <c r="R150" s="845" t="str">
        <f>IF($C150&lt;1,"",(AVERAGEIFS('09월 조업일지'!$AK$12:$AK$952,'09월 조업일지'!$A$12:$A$952,$A150,'09월 조업일지'!$E$12:$E$952,$B150)))</f>
        <v/>
      </c>
      <c r="S150" s="845"/>
      <c r="T150" s="845"/>
      <c r="U150" s="845" t="str">
        <f>IF($C150&lt;1,"",(AVERAGEIFS('09월 화학성분'!$G$12:$G$949,'09월 화학성분'!$A$12:$A$949,$A150,'09월 화학성분'!$D$12:$D$949,$B150)))</f>
        <v/>
      </c>
      <c r="V150" s="845" t="str">
        <f>IF($C150&lt;1,"",(AVERAGEIFS('09월 조업일지'!$AI$12:$AI$952,'09월 조업일지'!$A$12:$A$952,$A150,'09월 조업일지'!$E$12:$E$952,$B150)))</f>
        <v/>
      </c>
      <c r="W150" s="846" t="str">
        <f>IF($C150&lt;1,"",(AVERAGEIFS('09월 화학성분'!$AM$12:$AM$949,'09월 화학성분'!$A$12:$A$949,$A150,'09월 화학성분'!$D$12:$D$949,$B150)))</f>
        <v/>
      </c>
      <c r="X150" s="829" t="str">
        <f>IF($C150&lt;1,"",(AVERAGEIFS('09월 화학성분'!N$12:N$949,'09월 화학성분'!$A$12:$A$949,$A150,'09월 화학성분'!$D$12:$D$949,$B150)))</f>
        <v/>
      </c>
      <c r="Y150" s="829" t="str">
        <f>IF($C150&lt;1,"",(AVERAGEIFS('09월 화학성분'!O$12:O$949,'09월 화학성분'!$A$12:$A$949,$A150,'09월 화학성분'!$D$12:$D$949,$B150)))</f>
        <v/>
      </c>
      <c r="Z150" s="829" t="str">
        <f>IF($C150&lt;1,"",(AVERAGEIFS('09월 화학성분'!P$12:P$949,'09월 화학성분'!$A$12:$A$949,$A150,'09월 화학성분'!$D$12:$D$949,$B150)))</f>
        <v/>
      </c>
      <c r="AA150" s="829" t="str">
        <f>IF($C150&lt;1,"",(AVERAGEIFS('09월 화학성분'!Q$12:Q$949,'09월 화학성분'!$A$12:$A$949,$A150,'09월 화학성분'!$D$12:$D$949,$B150)))</f>
        <v/>
      </c>
      <c r="AB150" s="829" t="str">
        <f>IF($C150&lt;1,"",(AVERAGEIFS('09월 화학성분'!R$12:R$949,'09월 화학성분'!$A$12:$A$949,$A150,'09월 화학성분'!$D$12:$D$949,$B150)))</f>
        <v/>
      </c>
      <c r="AC150" s="829" t="str">
        <f>IF($C150&lt;1,"",(AVERAGEIFS('09월 화학성분'!U$12:U$949,'09월 화학성분'!$A$12:$A$949,$A150,'09월 화학성분'!$D$12:$D$949,$B150)))</f>
        <v/>
      </c>
      <c r="AD150" s="829" t="str">
        <f>IF($C150&lt;1,"",(AVERAGEIFS('09월 화학성분'!V$12:V$949,'09월 화학성분'!$A$12:$A$949,$A150,'09월 화학성분'!$D$12:$D$949,$B150)))</f>
        <v/>
      </c>
      <c r="AE150" s="829" t="str">
        <f>IF($C150&lt;1,"",(AVERAGEIFS('09월 화학성분'!W$12:W$949,'09월 화학성분'!$A$12:$A$949,$A150,'09월 화학성분'!$D$12:$D$949,$B150)))</f>
        <v/>
      </c>
      <c r="AF150" s="829" t="str">
        <f>IF($C150&lt;1,"",(AVERAGEIFS('09월 화학성분'!AA$12:AA$949,'09월 화학성분'!$A$12:$A$949,$A150,'09월 화학성분'!$D$12:$D$949,$B150)))</f>
        <v/>
      </c>
      <c r="AG150" s="829" t="str">
        <f>IF($C150&lt;1,"",(AVERAGEIFS('09월 화학성분'!#REF!,'09월 화학성분'!$A$12:$A$949,$A150,'09월 화학성분'!$D$12:$D$949,$B150)))</f>
        <v/>
      </c>
      <c r="AH150" s="829" t="str">
        <f>IF($C150&lt;1,"",(AVERAGEIFS('09월 화학성분'!AB$12:AB$949,'09월 화학성분'!$A$12:$A$949,$A150,'09월 화학성분'!$D$12:$D$949,$B150)))</f>
        <v/>
      </c>
      <c r="AI150" s="829" t="str">
        <f>IF($C150&lt;1,"",(AVERAGEIFS('09월 화학성분'!AC$12:AC$949,'09월 화학성분'!$A$12:$A$949,$A150,'09월 화학성분'!$D$12:$D$949,$B150)))</f>
        <v/>
      </c>
      <c r="AJ150" s="829" t="str">
        <f>IF($C150&lt;1,"",(AVERAGEIFS('09월 화학성분'!AD$12:AD$949,'09월 화학성분'!$A$12:$A$949,$A150,'09월 화학성분'!$D$12:$D$949,$B150)))</f>
        <v/>
      </c>
      <c r="AK150" s="829" t="str">
        <f>IF($C150&lt;1,"",(AVERAGEIFS('09월 화학성분'!AF$12:AF$949,'09월 화학성분'!$A$12:$A$949,$A150,'09월 화학성분'!$D$12:$D$949,$B150)))</f>
        <v/>
      </c>
      <c r="AL150" s="829" t="str">
        <f>IF($C150&lt;1,"",(AVERAGEIFS('09월 화학성분'!AG$12:AG$949,'09월 화학성분'!$A$12:$A$949,$A150,'09월 화학성분'!$D$12:$D$949,$B150)))</f>
        <v/>
      </c>
      <c r="AM150" s="829" t="str">
        <f>IF($C150&lt;1,"",(AVERAGEIFS('09월 화학성분'!AH$12:AH$949,'09월 화학성분'!$A$12:$A$949,$A150,'09월 화학성분'!$D$12:$D$949,$B150)))</f>
        <v/>
      </c>
      <c r="AN150" s="829" t="str">
        <f>IF($C150&lt;1,"",(AVERAGEIFS('09월 화학성분'!AI$12:AI$949,'09월 화학성분'!$A$12:$A$949,$A150,'09월 화학성분'!$D$12:$D$949,$B150)))</f>
        <v/>
      </c>
      <c r="AO150" s="829" t="str">
        <f>IF($C150&lt;1,"",(AVERAGEIFS('09월 화학성분'!AJ$12:AJ$949,'09월 화학성분'!$A$12:$A$949,$A150,'09월 화학성분'!$D$12:$D$949,$B150)))</f>
        <v/>
      </c>
      <c r="AP150" s="829" t="str">
        <f>IF($C150&lt;1,"",(AVERAGEIFS('09월 화학성분'!#REF!,'09월 화학성분'!$A$12:$A$949,$A150,'09월 화학성분'!$D$12:$D$949,$B150)))</f>
        <v/>
      </c>
      <c r="AQ150" s="829" t="str">
        <f>IF($C150&lt;1,"",(AVERAGEIFS('09월 화학성분'!AL$12:AL$949,'09월 화학성분'!$A$12:$A$949,$A150,'09월 화학성분'!$D$12:$D$949,$B150)))</f>
        <v/>
      </c>
      <c r="AR150" s="829" t="str">
        <f>IF($C150&lt;1,"",(AVERAGEIFS('09월 화학성분'!AM$12:AM$949,'09월 화학성분'!$A$12:$A$949,$A150,'09월 화학성분'!$D$12:$D$949,$B150)))</f>
        <v/>
      </c>
      <c r="AS150" s="830" t="str">
        <f>IF($C150&lt;1,"",(AVERAGEIFS('09월 화학성분'!AN$12:AN$949,'09월 화학성분'!$A$12:$A$949,$A150,'09월 화학성분'!$D$12:$D$949,$B150)))</f>
        <v/>
      </c>
      <c r="AT150" s="830" t="str">
        <f>IF($C150&lt;1,"",(AVERAGEIFS('09월 화학성분'!AO$12:AO$949,'09월 화학성분'!$A$12:$A$949,$A150,'09월 화학성분'!$D$12:$D$949,$B150)))</f>
        <v/>
      </c>
      <c r="AU150" s="831" t="str">
        <f>IF($C150&lt;1,"",(AVERAGEIFS('09월 화학성분'!AP$12:AP$949,'09월 화학성분'!$A$12:$A$949,$A150,'09월 화학성분'!$D$12:$D$949,$B150)))</f>
        <v/>
      </c>
      <c r="AV150" s="832" t="str">
        <f>IF($C150&lt;1,"",(AVERAGEIFS('09월 고철장입'!G$14:G$949,'09월 고철장입'!$A$14:$A$949,$A150,'09월 고철장입'!$C$14:$C$949,$B150))/1000)</f>
        <v/>
      </c>
      <c r="AW150" s="832" t="str">
        <f>IF($C150&lt;1,"",(AVERAGEIFS('09월 고철장입'!H$14:H$949,'09월 고철장입'!$A$14:$A$949,$A150,'09월 고철장입'!$C$14:$C$949,$B150))/1000)</f>
        <v/>
      </c>
      <c r="AX150" s="832" t="str">
        <f>IF($C150&lt;1,"",(AVERAGEIFS('09월 고철장입'!I$14:I$949,'09월 고철장입'!$A$14:$A$949,$A150,'09월 고철장입'!$C$14:$C$949,$B150))/1000)</f>
        <v/>
      </c>
      <c r="AY150" s="832" t="str">
        <f>IF($C150&lt;1,"",(AVERAGEIFS('09월 고철장입'!J$14:J$949,'09월 고철장입'!$A$14:$A$949,$A150,'09월 고철장입'!$C$14:$C$949,$B150))/1000)</f>
        <v/>
      </c>
      <c r="AZ150" s="832" t="str">
        <f>IF($C150&lt;1,"",(AVERAGEIFS('09월 고철장입'!K$14:K$949,'09월 고철장입'!$A$14:$A$949,$A150,'09월 고철장입'!$C$14:$C$949,$B150))/1000)</f>
        <v/>
      </c>
      <c r="BA150" s="832" t="str">
        <f>IF($C150&lt;1,"",(AVERAGEIFS('09월 고철장입'!L$14:L$949,'09월 고철장입'!$A$14:$A$949,$A150,'09월 고철장입'!$C$14:$C$949,$B150))/1000)</f>
        <v/>
      </c>
      <c r="BB150" s="832" t="str">
        <f>IF($C150&lt;1,"",(AVERAGEIFS('09월 고철장입'!M$14:M$949,'09월 고철장입'!$A$14:$A$949,$A150,'09월 고철장입'!$C$14:$C$949,$B150))/1000)</f>
        <v/>
      </c>
      <c r="BC150" s="832" t="str">
        <f>IF($C150&lt;1,"",(AVERAGEIFS('09월 고철장입'!N$14:N$949,'09월 고철장입'!$A$14:$A$949,$A150,'09월 고철장입'!$C$14:$C$949,$B150))/1000)</f>
        <v/>
      </c>
      <c r="BD150" s="832" t="str">
        <f>IF($C150&lt;1,"",(AVERAGEIFS('09월 고철장입'!O$14:O$949,'09월 고철장입'!$A$14:$A$949,$A150,'09월 고철장입'!$C$14:$C$949,$B150))/1000)</f>
        <v/>
      </c>
      <c r="BE150" s="833" t="str">
        <f>IF($C150&lt;1,"",(AVERAGEIFS('09월 고철장입'!P$14:P$949,'09월 고철장입'!$A$14:$A$949,$A150,'09월 고철장입'!$C$14:$C$949,$B150))/1000)</f>
        <v/>
      </c>
      <c r="BF150" s="833" t="str">
        <f>IF($C150&lt;1,"",(AVERAGEIFS('09월 고철장입'!Q$14:Q$949,'09월 고철장입'!$A$14:$A$949,$A150,'09월 고철장입'!$C$14:$C$949,$B150))/1000)</f>
        <v/>
      </c>
      <c r="BG150" s="833" t="str">
        <f>IF($C150&lt;1,"",(AVERAGEIFS('09월 고철장입'!S$14:S$949,'09월 고철장입'!$A$14:$A$949,$A150,'09월 고철장입'!$C$14:$C$949,$B150))/1000)</f>
        <v/>
      </c>
      <c r="BH150" s="833" t="str">
        <f>IF($C150&lt;1,"",(AVERAGEIFS('09월 고철장입'!T$14:T$949,'09월 고철장입'!$A$14:$A$949,$A150,'09월 고철장입'!$C$14:$C$949,$B150))/1000)</f>
        <v/>
      </c>
      <c r="BI150" s="833" t="str">
        <f>IF($C150&lt;1,"",(AVERAGEIFS('09월 고철장입'!U$14:U$949,'09월 고철장입'!$A$14:$A$949,$A150,'09월 고철장입'!$C$14:$C$949,$B150))/1000)</f>
        <v/>
      </c>
      <c r="BJ150" s="833" t="str">
        <f>IF($C150&lt;1,"",(AVERAGEIFS('09월 고철장입'!V$14:V$949,'09월 고철장입'!$A$14:$A$949,$A150,'09월 고철장입'!$C$14:$C$949,$B150))/1000)</f>
        <v/>
      </c>
      <c r="BK150" s="833" t="str">
        <f>IF($C150&lt;1,"",(AVERAGEIFS('09월 고철장입'!W$14:W$949,'09월 고철장입'!$A$14:$A$949,$A150,'09월 고철장입'!$C$14:$C$949,$B150))/1000)</f>
        <v/>
      </c>
      <c r="BL150" s="833" t="str">
        <f>IF($C150&lt;1,"",(AVERAGEIFS('09월 고철장입'!Y$14:Y$949,'09월 고철장입'!$A$14:$A$949,$A150,'09월 고철장입'!$C$14:$C$949,$B150))/1000)</f>
        <v/>
      </c>
      <c r="BM150" s="833" t="str">
        <f>IF($C150&lt;1,"",(AVERAGEIFS('09월 고철장입'!AB$14:AB$949,'09월 고철장입'!$A$14:$A$949,$A150,'09월 고철장입'!$C$14:$C$949,$B150))/1000)</f>
        <v/>
      </c>
      <c r="BN150" s="833" t="str">
        <f>IF($C150&lt;1,"",(AVERAGEIFS('09월 고철장입'!AC$14:AC$949,'09월 고철장입'!$A$14:$A$949,$A150,'09월 고철장입'!$C$14:$C$949,$B150))/1000)</f>
        <v/>
      </c>
      <c r="BO150" s="833" t="str">
        <f>IF($C150&lt;1,"",(AVERAGEIFS('09월 고철장입'!AD$14:AD$949,'09월 고철장입'!$A$14:$A$949,$A150,'09월 고철장입'!$C$14:$C$949,$B150))/1000)</f>
        <v/>
      </c>
      <c r="BP150" s="833" t="str">
        <f>IF($C150&lt;1,"",(AVERAGEIFS('09월 고철장입'!AE$14:AE$949,'09월 고철장입'!$A$14:$A$949,$A150,'09월 고철장입'!$C$14:$C$949,$B150))/1000)</f>
        <v/>
      </c>
      <c r="BQ150" s="832" t="str">
        <f>IF($C150&lt;1,"",(AVERAGEIFS('09월 고철장입'!AF$14:AF$949,'09월 고철장입'!$A$14:$A$949,$A150,'09월 고철장입'!$C$14:$C$949,$B150))/1000)</f>
        <v/>
      </c>
      <c r="BR150" s="832" t="str">
        <f>IF($C150&lt;1,"",(AVERAGEIFS('09월 고철장입'!AG$14:AG$949,'09월 고철장입'!$A$14:$A$949,$A150,'09월 고철장입'!$C$14:$C$949,$B150))/1000)</f>
        <v/>
      </c>
      <c r="BS150" s="832" t="str">
        <f>IF($C150&lt;1,"",(AVERAGEIFS('09월 고철장입'!AH$14:AH$949,'09월 고철장입'!$A$14:$A$949,$A150,'09월 고철장입'!$C$14:$C$949,$B150))/1000)</f>
        <v/>
      </c>
      <c r="BT150" s="832" t="str">
        <f>IF($C150&lt;1,"",(AVERAGEIFS('09월 고철장입'!AI$14:AI$949,'09월 고철장입'!$A$14:$A$949,$A150,'09월 고철장입'!$C$14:$C$949,$B150))/1000)</f>
        <v/>
      </c>
      <c r="BU150" s="834" t="str">
        <f>IF($C150&lt;1,"",(AVERAGEIFS('09월 고철장입'!AJ$14:AJ$949,'09월 고철장입'!$A$14:$A$949,$A150,'09월 고철장입'!$C$14:$C$949,$B150))/1000)</f>
        <v/>
      </c>
      <c r="BV150" s="834" t="str">
        <f>IF($C150&lt;1,"",(AVERAGEIFS('09월 고철장입'!AK$14:AK$949,'09월 고철장입'!$A$14:$A$949,$A150,'09월 고철장입'!$C$14:$C$949,$B150)))</f>
        <v/>
      </c>
      <c r="BW150" s="834" t="str">
        <f>IF($C150&lt;1,"",(AVERAGEIFS('09월 고철장입'!AL$14:AL$949,'09월 고철장입'!$A$14:$A$949,$A150,'09월 고철장입'!$C$14:$C$949,$B150))*100)</f>
        <v/>
      </c>
      <c r="BX150" s="831" t="str">
        <f>IF($C150&lt;1,"",(AVERAGEIFS('09월 에너지'!G$14:G$949,'09월 에너지'!$A$14:$A$949,$A150,'09월 에너지'!$C$14:$C$949,$B150)))</f>
        <v/>
      </c>
      <c r="BY150" s="835" t="str">
        <f>IF($C150&lt;1,"",(AVERAGEIFS('09월 에너지'!H$14:H$949,'09월 에너지'!$A$14:$A$949,$A150,'09월 에너지'!$C$14:$C$949,$B150)))</f>
        <v/>
      </c>
      <c r="BZ150" s="831" t="str">
        <f>IF($C150&lt;1,"",(AVERAGEIFS('09월 에너지'!I$14:I$949,'09월 에너지'!$A$14:$A$949,$A150,'09월 에너지'!$C$14:$C$949,$B150)))</f>
        <v/>
      </c>
      <c r="CA150" s="835" t="str">
        <f>IF($C150&lt;1,"",(AVERAGEIFS('09월 에너지'!J$14:J$949,'09월 에너지'!$A$14:$A$949,$A150,'09월 에너지'!$C$14:$C$949,$B150)))</f>
        <v/>
      </c>
      <c r="CB150" s="831" t="str">
        <f>IF($C150&lt;1,"",(AVERAGEIFS('09월 에너지'!K$14:K$949,'09월 에너지'!$A$14:$A$949,$A150,'09월 에너지'!$C$14:$C$949,$B150)))</f>
        <v/>
      </c>
      <c r="CC150" s="835" t="str">
        <f>IF($C150&lt;1,"",(AVERAGEIFS('09월 에너지'!L$14:L$949,'09월 에너지'!$A$14:$A$949,$A150,'09월 에너지'!$C$14:$C$949,$B150)))</f>
        <v/>
      </c>
      <c r="CD150" s="831" t="str">
        <f>IF($C150&lt;1,"",(AVERAGEIFS('09월 에너지'!M$14:M$949,'09월 에너지'!$A$14:$A$949,$A150,'09월 에너지'!$C$14:$C$949,$B150)))</f>
        <v/>
      </c>
      <c r="CE150" s="835" t="str">
        <f>IF($C150&lt;1,"",(AVERAGEIFS('09월 에너지'!N$14:N$949,'09월 에너지'!$A$14:$A$949,$A150,'09월 에너지'!$C$14:$C$949,$B150)))</f>
        <v/>
      </c>
      <c r="CF150" s="831" t="str">
        <f>IF($C150&lt;1,"",(AVERAGEIFS('09월 에너지'!O$14:O$949,'09월 에너지'!$A$14:$A$949,$A150,'09월 에너지'!$C$14:$C$949,$B150)))</f>
        <v/>
      </c>
      <c r="CG150" s="831" t="str">
        <f>IF($C150&lt;1,"",(AVERAGEIFS('09월 에너지'!P$14:P$949,'09월 에너지'!$A$14:$A$949,$A150,'09월 에너지'!$C$14:$C$949,$B150)))</f>
        <v/>
      </c>
      <c r="CH150" s="831" t="str">
        <f>IF($C150&lt;1,"",(AVERAGEIFS('09월 에너지'!Q$14:Q$949,'09월 에너지'!$A$14:$A$949,$A150,'09월 에너지'!$C$14:$C$949,$B150)))</f>
        <v/>
      </c>
      <c r="CI150" s="831" t="str">
        <f>IF($C150&lt;1,"",(AVERAGEIFS('09월 에너지'!R$14:R$949,'09월 에너지'!$A$14:$A$949,$A150,'09월 에너지'!$C$14:$C$949,$B150)))</f>
        <v/>
      </c>
      <c r="CJ150" s="831" t="str">
        <f>IF($C150&lt;1,"",(AVERAGEIFS('09월 에너지'!S$14:S$949,'09월 에너지'!$A$14:$A$949,$A150,'09월 에너지'!$C$14:$C$949,$B150)))</f>
        <v/>
      </c>
      <c r="CK150" s="831" t="str">
        <f>IF($C150&lt;1,"",(AVERAGEIFS('09월 에너지'!T$14:T$949,'09월 에너지'!$A$14:$A$949,$A150,'09월 에너지'!$C$14:$C$949,$B150)))</f>
        <v/>
      </c>
      <c r="CL150" s="831" t="str">
        <f>IF($C150&lt;1,"",(AVERAGEIFS('09월 에너지'!U$14:U$949,'09월 에너지'!$A$14:$A$949,$A150,'09월 에너지'!$C$14:$C$949,$B150)))</f>
        <v/>
      </c>
      <c r="CM150" s="835" t="str">
        <f>IF($C150&lt;1,"",(AVERAGEIFS('09월 에너지'!V$14:V$949,'09월 에너지'!$A$14:$A$949,$A150,'09월 에너지'!$C$14:$C$949,$B150)))</f>
        <v/>
      </c>
      <c r="CN150" s="835" t="str">
        <f>IF($C150&lt;1,"",(AVERAGEIFS('09월 에너지'!W$14:W$949,'09월 에너지'!$A$14:$A$949,$A150,'09월 에너지'!$C$14:$C$949,$B150)))</f>
        <v/>
      </c>
      <c r="CO150" s="831" t="str">
        <f>IF($C150&lt;1,"",(AVERAGEIFS('09월 에너지'!X$14:X$949,'09월 에너지'!$A$14:$A$949,$A150,'09월 에너지'!$C$14:$C$949,$B150)))</f>
        <v/>
      </c>
      <c r="CP150" s="835" t="str">
        <f>IF($C150&lt;1,"",(AVERAGEIFS('09월 에너지'!Y$14:Y$949,'09월 에너지'!$A$14:$A$949,$A150,'09월 에너지'!$C$14:$C$949,$B150)))</f>
        <v/>
      </c>
      <c r="CQ150" s="835" t="str">
        <f>IF($C150&lt;1,"",(AVERAGEIFS('09월 에너지'!Z$14:Z$949,'09월 에너지'!$A$14:$A$949,$A150,'09월 에너지'!$C$14:$C$949,$B150)))</f>
        <v/>
      </c>
      <c r="CR150" s="835" t="str">
        <f>IF($C150&lt;1,"",(AVERAGEIFS('09월 에너지'!AA$14:AA$949,'09월 에너지'!$A$14:$A$949,$A150,'09월 에너지'!$C$14:$C$949,$B150)))</f>
        <v/>
      </c>
      <c r="CS150" s="835" t="str">
        <f>IF($C150&lt;1,"",(AVERAGEIFS('09월 에너지'!AB$14:AB$949,'09월 에너지'!$A$14:$A$949,$A150,'09월 에너지'!$C$14:$C$949,$B150)))</f>
        <v/>
      </c>
      <c r="CT150" s="831" t="str">
        <f>IF($C150&lt;1,"",(AVERAGEIFS('09월 에너지'!AC$14:AC$949,'09월 에너지'!$A$14:$A$949,$A150,'09월 에너지'!$C$14:$C$949,$B150)))</f>
        <v/>
      </c>
      <c r="CU150" s="836" t="str">
        <f>IF($C150&lt;1,"",(AVERAGEIFS('09월 에너지'!AD$14:AD$949,'09월 에너지'!$A$14:$A$949,$A150,'09월 에너지'!$C$14:$C$949,$B150)))</f>
        <v/>
      </c>
      <c r="CV150" s="837" t="str">
        <f>IF($C150&lt;1,"",(AVERAGEIFS('09월 에너지'!AE$14:AE$949,'09월 에너지'!$A$14:$A$949,$A150,'09월 에너지'!$C$14:$C$949,$B150)))</f>
        <v/>
      </c>
      <c r="CW150" s="831" t="str">
        <f>IF($C150&lt;1,"",(AVERAGEIFS('09월 에너지'!AF$14:AF$949,'09월 에너지'!$A$14:$A$949,$A150,'09월 에너지'!$C$14:$C$949,$B150)))</f>
        <v/>
      </c>
      <c r="CX150" s="831" t="str">
        <f>IF($C150&lt;1,"",(AVERAGEIFS('09월 에너지'!AG$14:AG$949,'09월 에너지'!$A$14:$A$949,$A150,'09월 에너지'!$C$14:$C$949,$B150)))</f>
        <v/>
      </c>
      <c r="CY150" s="831" t="str">
        <f>IF($C150&lt;1,"",(AVERAGEIFS('09월 에너지'!AH$14:AH$949,'09월 에너지'!$A$14:$A$949,$A150,'09월 에너지'!$C$14:$C$949,$B150)))</f>
        <v/>
      </c>
      <c r="CZ150" s="831" t="str">
        <f>IF($C150&lt;1,"",(AVERAGEIFS('09월 에너지'!AI$14:AI$949,'09월 에너지'!$A$14:$A$949,$A150,'09월 에너지'!$C$14:$C$949,$B150)))</f>
        <v/>
      </c>
      <c r="DA150" s="838" t="str">
        <f>IF($C150&lt;1,"",(AVERAGEIFS('09월 에너지'!AJ$14:AJ$949,'09월 에너지'!$A$14:$A$949,$A150,'09월 에너지'!$C$14:$C$949,$B150)))</f>
        <v/>
      </c>
    </row>
    <row r="151" spans="1:105" ht="13.5" customHeight="1">
      <c r="A151" s="847">
        <f>A146+1</f>
        <v>44956</v>
      </c>
      <c r="B151" s="848" t="s">
        <v>31</v>
      </c>
      <c r="C151" s="810">
        <f>COUNTIF('09월 조업일지'!$A$12:$A$952,A151)</f>
        <v>0</v>
      </c>
      <c r="D151" s="787" t="str">
        <f>IF(C151&lt;1,"",F151-E151)</f>
        <v/>
      </c>
      <c r="E151" s="787" t="str">
        <f>IF($C151&lt;1,"",(SUMIF('09월 조업일지'!$A$12:$A$952,$A151,'09월 조업일지'!$K$12:$K$952))/C151)</f>
        <v/>
      </c>
      <c r="F151" s="787" t="str">
        <f>IF($C151&lt;1,"",AVERAGEIF('09월 조업일지'!$A$12:$A$952,$A151,'09월 조업일지'!$J$12:$J$952))</f>
        <v/>
      </c>
      <c r="G151" s="811" t="str">
        <f>IF($C151&lt;1,"",AVERAGEIF('09월 에너지'!$A$14:$A$949,$A151,'09월 에너지'!$M$14:M$949))</f>
        <v/>
      </c>
      <c r="H151" s="812" t="str">
        <f>IF($C151&lt;1,"",AVERAGEIF('09월 조업일지'!$A$12:$A$952,$A151,'09월 조업일지'!$AJ$12:$AJ$952))</f>
        <v/>
      </c>
      <c r="I151" s="812" t="str">
        <f>IF($C151&lt;1,"",AVERAGEIF('09월 조업일지'!$A$12:$A$952,$A151,'09월 조업일지'!$AL$12:$AL$952))</f>
        <v/>
      </c>
      <c r="J151" s="813" t="str">
        <f>IF($C151&lt;1,"",AVERAGEIF('09월 화학성분'!$A$12:$A$949,$A151,'09월 화학성분'!G$12:G$949))</f>
        <v/>
      </c>
      <c r="K151" s="813" t="str">
        <f>IF($C151&lt;1,"",AVERAGEIF('09월 화학성분'!$A$12:$A$949,$A151,'09월 화학성분'!H$12:H$949))</f>
        <v/>
      </c>
      <c r="L151" s="813" t="str">
        <f>IF($C151&lt;1,"",AVERAGEIF('09월 화학성분'!$A$12:$A$949,$A151,'09월 화학성분'!I$12:I$949))</f>
        <v/>
      </c>
      <c r="M151" s="813" t="str">
        <f>IF($C151&lt;1,"",AVERAGEIF('09월 화학성분'!$A$12:$A$949,$A151,'09월 화학성분'!J$12:J$949))</f>
        <v/>
      </c>
      <c r="N151" s="813" t="str">
        <f>IF($C151&lt;1,"",AVERAGEIF('09월 화학성분'!$A$12:$A$949,$A151,'09월 화학성분'!K$12:K$949))</f>
        <v/>
      </c>
      <c r="O151" s="813" t="str">
        <f>IF($C151&lt;1,"",AVERAGEIF('09월 화학성분'!$A$12:$A$949,$A151,'09월 화학성분'!L$12:L$949))</f>
        <v/>
      </c>
      <c r="P151" s="813" t="str">
        <f>IF($C151&lt;1,"",AVERAGEIF('09월 화학성분'!$A$12:$A$949,$A151,'09월 화학성분'!M$12:M$949))</f>
        <v/>
      </c>
      <c r="Q151" s="814" t="str">
        <f>IF($C151&lt;1,"",AVERAGEIF('09월 조업일지'!$A$12:$A$952,$A151,'09월 조업일지'!$AA$12:$AA$952))</f>
        <v/>
      </c>
      <c r="R151" s="814" t="str">
        <f>IF($C151&lt;1,"",AVERAGEIF('09월 조업일지'!$A$12:$A$952,$A151,'09월 조업일지'!$AK$12:$AK$952))</f>
        <v/>
      </c>
      <c r="S151" s="814"/>
      <c r="T151" s="814"/>
      <c r="U151" s="813" t="str">
        <f>IF($C151&lt;1,"",AVERAGEIF('09월 화학성분'!$A$12:$A$949,$A151,'09월 화학성분'!$G$12:$G$949))</f>
        <v/>
      </c>
      <c r="V151" s="814" t="str">
        <f>IF($C151&lt;1,"",AVERAGEIF('09월 조업일지'!$A$12:$A$952,$A151,'09월 조업일지'!$AI$12:$AI$952))</f>
        <v/>
      </c>
      <c r="W151" s="813" t="str">
        <f>IF($C151&lt;1,"",AVERAGEIF('09월 화학성분'!$A$12:$A$949,$A151,'09월 화학성분'!$AM$12:$AM$949))</f>
        <v/>
      </c>
      <c r="X151" s="815" t="str">
        <f>IF($C151&lt;1,"",AVERAGEIF('09월 화학성분'!$A$12:$A$949,$A151,'09월 화학성분'!N$12:N$949))</f>
        <v/>
      </c>
      <c r="Y151" s="815" t="str">
        <f>IF($C151&lt;1,"",AVERAGEIF('09월 화학성분'!$A$12:$A$949,$A151,'09월 화학성분'!O$12:O$949))</f>
        <v/>
      </c>
      <c r="Z151" s="815" t="str">
        <f>IF($C151&lt;1,"",AVERAGEIF('09월 화학성분'!$A$12:$A$949,$A151,'09월 화학성분'!P$12:P$949))</f>
        <v/>
      </c>
      <c r="AA151" s="815" t="str">
        <f>IF($C151&lt;1,"",AVERAGEIF('09월 화학성분'!$A$12:$A$949,$A151,'09월 화학성분'!Q$12:Q$949))</f>
        <v/>
      </c>
      <c r="AB151" s="815" t="str">
        <f>IF($C151&lt;1,"",AVERAGEIF('09월 화학성분'!$A$12:$A$949,$A151,'09월 화학성분'!R$12:R$949))</f>
        <v/>
      </c>
      <c r="AC151" s="815" t="str">
        <f>IF($C151&lt;1,"",AVERAGEIF('09월 화학성분'!$A$12:$A$949,$A151,'09월 화학성분'!U$12:U$949))</f>
        <v/>
      </c>
      <c r="AD151" s="815" t="str">
        <f>IF($C151&lt;1,"",AVERAGEIF('09월 화학성분'!$A$12:$A$949,$A151,'09월 화학성분'!V$12:V$949))</f>
        <v/>
      </c>
      <c r="AE151" s="815" t="str">
        <f>IF($C151&lt;1,"",AVERAGEIF('09월 화학성분'!$A$12:$A$949,$A151,'09월 화학성분'!W$12:W$949))</f>
        <v/>
      </c>
      <c r="AF151" s="815" t="str">
        <f>IF($C151&lt;1,"",AVERAGEIF('09월 화학성분'!$A$12:$A$949,$A151,'09월 화학성분'!AA$12:AA$949))</f>
        <v/>
      </c>
      <c r="AG151" s="815" t="str">
        <f>IF($C151&lt;1,"",AVERAGEIF('09월 화학성분'!$A$12:$A$949,$A151,'09월 화학성분'!#REF!))</f>
        <v/>
      </c>
      <c r="AH151" s="815" t="str">
        <f>IF($C151&lt;1,"",AVERAGEIF('09월 화학성분'!$A$12:$A$949,$A151,'09월 화학성분'!AB$12:AB$949))</f>
        <v/>
      </c>
      <c r="AI151" s="815" t="str">
        <f>IF($C151&lt;1,"",AVERAGEIF('09월 화학성분'!$A$12:$A$949,$A151,'09월 화학성분'!AC$12:AC$949))</f>
        <v/>
      </c>
      <c r="AJ151" s="815" t="str">
        <f>IF($C151&lt;1,"",AVERAGEIF('09월 화학성분'!$A$12:$A$949,$A151,'09월 화학성분'!AD$12:AD$949))</f>
        <v/>
      </c>
      <c r="AK151" s="815" t="str">
        <f>IF($C151&lt;1,"",AVERAGEIF('09월 화학성분'!$A$12:$A$949,$A151,'09월 화학성분'!AF$12:AF$949))</f>
        <v/>
      </c>
      <c r="AL151" s="815" t="str">
        <f>IF($C151&lt;1,"",AVERAGEIF('09월 화학성분'!$A$12:$A$949,$A151,'09월 화학성분'!AG$12:AG$949))</f>
        <v/>
      </c>
      <c r="AM151" s="815" t="str">
        <f>IF($C151&lt;1,"",AVERAGEIF('09월 화학성분'!$A$12:$A$949,$A151,'09월 화학성분'!AH$12:AH$949))</f>
        <v/>
      </c>
      <c r="AN151" s="815" t="str">
        <f>IF($C151&lt;1,"",AVERAGEIF('09월 화학성분'!$A$12:$A$949,$A151,'09월 화학성분'!AI$12:AI$949))</f>
        <v/>
      </c>
      <c r="AO151" s="815" t="str">
        <f>IF($C151&lt;1,"",AVERAGEIF('09월 화학성분'!$A$12:$A$949,$A151,'09월 화학성분'!AJ$12:AJ$949))</f>
        <v/>
      </c>
      <c r="AP151" s="815" t="str">
        <f>IF($C151&lt;1,"",AVERAGEIF('09월 화학성분'!$A$12:$A$949,$A151,'09월 화학성분'!#REF!))</f>
        <v/>
      </c>
      <c r="AQ151" s="815" t="str">
        <f>IF($C151&lt;1,"",AVERAGEIF('09월 화학성분'!$A$12:$A$949,$A151,'09월 화학성분'!AL$12:AL$949))</f>
        <v/>
      </c>
      <c r="AR151" s="815" t="str">
        <f>IF($C151&lt;1,"",AVERAGEIF('09월 화학성분'!$A$12:$A$949,$A151,'09월 화학성분'!AM$12:AM$949))</f>
        <v/>
      </c>
      <c r="AS151" s="816" t="str">
        <f>IF($C151&lt;1,"",AVERAGEIF('09월 화학성분'!$A$12:$A$949,$A151,'09월 화학성분'!AN$12:AN$949))</f>
        <v/>
      </c>
      <c r="AT151" s="816" t="str">
        <f>IF($C151&lt;1,"",AVERAGEIF('09월 화학성분'!$A$12:$A$949,$A151,'09월 화학성분'!AO$12:AO$949))</f>
        <v/>
      </c>
      <c r="AU151" s="815" t="str">
        <f>IF($C151&lt;1,"",AVERAGEIF('09월 화학성분'!$A$12:$A$949,$A151,'09월 화학성분'!AP$12:AP$949))</f>
        <v/>
      </c>
      <c r="AV151" s="815" t="str">
        <f>IF($C151&lt;1,"",AVERAGEIF('09월 고철장입'!$A$14:$A$949,$A151,'09월 고철장입'!G$14:G$949)/1000)</f>
        <v/>
      </c>
      <c r="AW151" s="815" t="str">
        <f>IF($C151&lt;1,"",AVERAGEIF('09월 고철장입'!$A$14:$A$949,$A151,'09월 고철장입'!H$14:H$949)/1000)</f>
        <v/>
      </c>
      <c r="AX151" s="815" t="str">
        <f>IF($C151&lt;1,"",AVERAGEIF('09월 고철장입'!$A$14:$A$949,$A151,'09월 고철장입'!I$14:I$949)/1000)</f>
        <v/>
      </c>
      <c r="AY151" s="815" t="str">
        <f>IF($C151&lt;1,"",AVERAGEIF('09월 고철장입'!$A$14:$A$949,$A151,'09월 고철장입'!J$14:J$949)/1000)</f>
        <v/>
      </c>
      <c r="AZ151" s="815" t="str">
        <f>IF($C151&lt;1,"",AVERAGEIF('09월 고철장입'!$A$14:$A$949,$A151,'09월 고철장입'!K$14:K$949)/1000)</f>
        <v/>
      </c>
      <c r="BA151" s="815" t="str">
        <f>IF($C151&lt;1,"",AVERAGEIF('09월 고철장입'!$A$14:$A$949,$A151,'09월 고철장입'!L$14:L$949)/1000)</f>
        <v/>
      </c>
      <c r="BB151" s="815" t="str">
        <f>IF($C151&lt;1,"",AVERAGEIF('09월 고철장입'!$A$14:$A$949,$A151,'09월 고철장입'!M$14:M$949)/1000)</f>
        <v/>
      </c>
      <c r="BC151" s="815" t="str">
        <f>IF($C151&lt;1,"",AVERAGEIF('09월 고철장입'!$A$14:$A$949,$A151,'09월 고철장입'!N$14:N$949)/1000)</f>
        <v/>
      </c>
      <c r="BD151" s="815" t="str">
        <f>IF($C151&lt;1,"",AVERAGEIF('09월 고철장입'!$A$14:$A$949,$A151,'09월 고철장입'!O$14:O$949)/1000)</f>
        <v/>
      </c>
      <c r="BE151" s="815" t="str">
        <f>IF($C151&lt;1,"",AVERAGEIF('09월 고철장입'!$A$14:$A$949,$A151,'09월 고철장입'!P$14:P$949)/1000)</f>
        <v/>
      </c>
      <c r="BF151" s="815" t="str">
        <f>IF($C151&lt;1,"",AVERAGEIF('09월 고철장입'!$A$14:$A$949,$A151,'09월 고철장입'!Q$14:Q$949)/1000)</f>
        <v/>
      </c>
      <c r="BG151" s="815" t="str">
        <f>IF($C151&lt;1,"",AVERAGEIF('09월 고철장입'!$A$14:$A$949,$A151,'09월 고철장입'!S$14:S$949)/1000)</f>
        <v/>
      </c>
      <c r="BH151" s="815" t="str">
        <f>IF($C151&lt;1,"",AVERAGEIF('09월 고철장입'!$A$14:$A$949,$A151,'09월 고철장입'!T$14:T$949)/1000)</f>
        <v/>
      </c>
      <c r="BI151" s="815" t="str">
        <f>IF($C151&lt;1,"",AVERAGEIF('09월 고철장입'!$A$14:$A$949,$A151,'09월 고철장입'!U$14:U$949)/1000)</f>
        <v/>
      </c>
      <c r="BJ151" s="815" t="str">
        <f>IF($C151&lt;1,"",AVERAGEIF('09월 고철장입'!$A$14:$A$949,$A151,'09월 고철장입'!V$14:V$949)/1000)</f>
        <v/>
      </c>
      <c r="BK151" s="815" t="str">
        <f>IF($C151&lt;1,"",AVERAGEIF('09월 고철장입'!$A$14:$A$949,$A151,'09월 고철장입'!W$14:W$949)/1000)</f>
        <v/>
      </c>
      <c r="BL151" s="815" t="str">
        <f>IF($C151&lt;1,"",AVERAGEIF('09월 고철장입'!$A$14:$A$949,$A151,'09월 고철장입'!Y$14:Y$949)/1000)</f>
        <v/>
      </c>
      <c r="BM151" s="815" t="str">
        <f>IF($C151&lt;1,"",AVERAGEIF('09월 고철장입'!$A$14:$A$949,$A151,'09월 고철장입'!AB$14:AB$949)/1000)</f>
        <v/>
      </c>
      <c r="BN151" s="815" t="str">
        <f>IF($C151&lt;1,"",AVERAGEIF('09월 고철장입'!$A$14:$A$949,$A151,'09월 고철장입'!AC$14:AC$949)/1000)</f>
        <v/>
      </c>
      <c r="BO151" s="815" t="str">
        <f>IF($C151&lt;1,"",AVERAGEIF('09월 고철장입'!$A$14:$A$949,$A151,'09월 고철장입'!AD$14:AD$949)/1000)</f>
        <v/>
      </c>
      <c r="BP151" s="815" t="str">
        <f>IF($C151&lt;1,"",AVERAGEIF('09월 고철장입'!$A$14:$A$949,$A151,'09월 고철장입'!AE$14:AE$949)/1000)</f>
        <v/>
      </c>
      <c r="BQ151" s="815" t="str">
        <f>IF($C151&lt;1,"",AVERAGEIF('09월 고철장입'!$A$14:$A$949,$A151,'09월 고철장입'!AF$14:AF$949)/1000)</f>
        <v/>
      </c>
      <c r="BR151" s="815" t="str">
        <f>IF($C151&lt;1,"",AVERAGEIF('09월 고철장입'!$A$14:$A$949,$A151,'09월 고철장입'!AG$14:AG$949)/1000)</f>
        <v/>
      </c>
      <c r="BS151" s="815" t="str">
        <f>IF($C151&lt;1,"",AVERAGEIF('09월 고철장입'!$A$14:$A$949,$A151,'09월 고철장입'!AH$14:AH$949)/1000)</f>
        <v/>
      </c>
      <c r="BT151" s="815" t="str">
        <f>IF($C151&lt;1,"",AVERAGEIF('09월 고철장입'!$A$14:$A$949,$A151,'09월 고철장입'!AI$14:AI$949)/1000)</f>
        <v/>
      </c>
      <c r="BU151" s="815" t="str">
        <f>IF($C151&lt;1,"",AVERAGEIF('09월 고철장입'!$A$14:$A$949,$A151,'09월 고철장입'!AJ$14:AJ$949)/1000)</f>
        <v/>
      </c>
      <c r="BV151" s="815" t="str">
        <f>IF($C151&lt;1,"",AVERAGEIF('09월 고철장입'!$A$14:$A$949,$A151,'09월 고철장입'!AK$14:AK$949))</f>
        <v/>
      </c>
      <c r="BW151" s="815" t="str">
        <f>IF($C151&lt;1,"",AVERAGEIF('09월 고철장입'!$A$14:$A$949,$A151,'09월 고철장입'!AL$14:AL$949)*100)</f>
        <v/>
      </c>
      <c r="BX151" s="815" t="str">
        <f>IF($C151&lt;1,"",AVERAGEIF('09월 에너지'!$A$14:$A$949,$A151,'09월 에너지'!G$14:G$949))</f>
        <v/>
      </c>
      <c r="BY151" s="817" t="str">
        <f>IF($C151&lt;1,"",AVERAGEIF('09월 에너지'!$A$14:$A$949,$A151,'09월 에너지'!H$14:H$949))</f>
        <v/>
      </c>
      <c r="BZ151" s="815" t="str">
        <f>IF($C151&lt;1,"",AVERAGEIF('09월 에너지'!$A$14:$A$949,$A151,'09월 에너지'!I$14:I$949))</f>
        <v/>
      </c>
      <c r="CA151" s="817" t="str">
        <f>IF($C151&lt;1,"",AVERAGEIF('09월 에너지'!$A$14:$A$949,$A151,'09월 에너지'!J$14:J$949))</f>
        <v/>
      </c>
      <c r="CB151" s="815" t="str">
        <f>IF($C151&lt;1,"",AVERAGEIF('09월 에너지'!$A$14:$A$949,$A151,'09월 에너지'!K$14:K$949))</f>
        <v/>
      </c>
      <c r="CC151" s="817" t="str">
        <f>IF($C151&lt;1,"",AVERAGEIF('09월 에너지'!$A$14:$A$949,$A151,'09월 에너지'!L$14:L$949))</f>
        <v/>
      </c>
      <c r="CD151" s="815" t="str">
        <f>IF($C151&lt;1,"",AVERAGEIF('09월 에너지'!$A$14:$A$949,$A151,'09월 에너지'!M$14:M$949))</f>
        <v/>
      </c>
      <c r="CE151" s="817" t="str">
        <f>IF($C151&lt;1,"",AVERAGEIF('09월 에너지'!$A$14:$A$949,$A151,'09월 에너지'!N$14:N$949))</f>
        <v/>
      </c>
      <c r="CF151" s="815" t="str">
        <f>IF($C151&lt;1,"",AVERAGEIF('09월 에너지'!$A$14:$A$949,$A151,'09월 에너지'!O$14:O$949))</f>
        <v/>
      </c>
      <c r="CG151" s="815" t="str">
        <f>IF($C151&lt;1,"",AVERAGEIF('09월 에너지'!$A$14:$A$949,$A151,'09월 에너지'!P$14:P$949))</f>
        <v/>
      </c>
      <c r="CH151" s="815" t="str">
        <f>IF($C151&lt;1,"",AVERAGEIF('09월 에너지'!$A$14:$A$949,$A151,'09월 에너지'!Q$14:Q$949))</f>
        <v/>
      </c>
      <c r="CI151" s="815" t="str">
        <f>IF($C151&lt;1,"",AVERAGEIF('09월 에너지'!$A$14:$A$949,$A151,'09월 에너지'!R$14:R$949))</f>
        <v/>
      </c>
      <c r="CJ151" s="815" t="str">
        <f>IF($C151&lt;1,"",AVERAGEIF('09월 에너지'!$A$14:$A$949,$A151,'09월 에너지'!S$14:S$949))</f>
        <v/>
      </c>
      <c r="CK151" s="815" t="str">
        <f>IF($C151&lt;1,"",AVERAGEIF('09월 에너지'!$A$14:$A$949,$A151,'09월 에너지'!T$14:T$949))</f>
        <v/>
      </c>
      <c r="CL151" s="815" t="str">
        <f>IF($C151&lt;1,"",AVERAGEIF('09월 에너지'!$A$14:$A$949,$A151,'09월 에너지'!U$14:U$949))</f>
        <v/>
      </c>
      <c r="CM151" s="817" t="str">
        <f>IF($C151&lt;1,"",AVERAGEIF('09월 에너지'!$A$14:$A$949,$A151,'09월 에너지'!V$14:V$949))</f>
        <v/>
      </c>
      <c r="CN151" s="817" t="str">
        <f>IF($C151&lt;1,"",AVERAGEIF('09월 에너지'!$A$14:$A$949,$A151,'09월 에너지'!W$14:W$949))</f>
        <v/>
      </c>
      <c r="CO151" s="815" t="str">
        <f>IF($C151&lt;1,"",AVERAGEIF('09월 에너지'!$A$14:$A$949,$A151,'09월 에너지'!X$14:X$949))</f>
        <v/>
      </c>
      <c r="CP151" s="817" t="str">
        <f>IF($C151&lt;1,"",AVERAGEIF('09월 에너지'!$A$14:$A$949,$A151,'09월 에너지'!Y$14:Y$949))</f>
        <v/>
      </c>
      <c r="CQ151" s="817" t="str">
        <f>IF($C151&lt;1,"",AVERAGEIF('09월 에너지'!$A$14:$A$949,$A151,'09월 에너지'!Z$14:Z$949))</f>
        <v/>
      </c>
      <c r="CR151" s="817" t="str">
        <f>IF($C151&lt;1,"",AVERAGEIF('09월 에너지'!$A$14:$A$949,$A151,'09월 에너지'!AA$14:AA$949))</f>
        <v/>
      </c>
      <c r="CS151" s="817" t="str">
        <f>IF($C151&lt;1,"",AVERAGEIF('09월 에너지'!$A$14:$A$949,$A151,'09월 에너지'!AB$14:AB$949))</f>
        <v/>
      </c>
      <c r="CT151" s="815" t="str">
        <f>IF($C151&lt;1,"",AVERAGEIF('09월 에너지'!$A$14:$A$949,$A151,'09월 에너지'!AC$14:AC$949))</f>
        <v/>
      </c>
      <c r="CU151" s="818" t="str">
        <f>IF($C151&lt;1,"",AVERAGEIF('09월 에너지'!$A$14:$A$949,$A151,'09월 에너지'!AD$14:AD$949))</f>
        <v/>
      </c>
      <c r="CV151" s="819" t="str">
        <f>IF($C151&lt;1,"",AVERAGEIF('09월 에너지'!$A$14:$A$949,$A151,'09월 에너지'!AE$14:AE$949))</f>
        <v/>
      </c>
      <c r="CW151" s="815" t="str">
        <f>IF($C151&lt;1,"",AVERAGEIF('09월 에너지'!$A$14:$A$949,$A151,'09월 에너지'!AF$14:AF$949))</f>
        <v/>
      </c>
      <c r="CX151" s="815" t="str">
        <f>IF($C151&lt;1,"",AVERAGEIF('09월 에너지'!$A$14:$A$949,$A151,'09월 에너지'!AG$14:AG$949))</f>
        <v/>
      </c>
      <c r="CY151" s="815" t="str">
        <f>IF($C151&lt;1,"",AVERAGEIF('09월 에너지'!$A$14:$A$949,$A151,'09월 에너지'!AH$14:AH$949))</f>
        <v/>
      </c>
      <c r="CZ151" s="815" t="str">
        <f>IF($C151&lt;1,"",AVERAGEIF('09월 에너지'!$A$14:$A$949,$A151,'09월 에너지'!AI$14:AI$949))</f>
        <v/>
      </c>
      <c r="DA151" s="820" t="str">
        <f>IF($C151&lt;1,"",AVERAGEIF('09월 에너지'!$A$14:$A$949,$A151,'09월 에너지'!AJ$14:AJ$949))</f>
        <v/>
      </c>
    </row>
    <row r="152" spans="1:105" ht="13.5" customHeight="1">
      <c r="A152" s="849">
        <f t="shared" ref="A152:A160" si="33">A147+1</f>
        <v>44956</v>
      </c>
      <c r="B152" s="850" t="s">
        <v>9</v>
      </c>
      <c r="C152" s="823">
        <f>COUNTIFS('09월 조업일지'!$A$12:$A$952,A151,'09월 조업일지'!$E$12:$E$952,B152)</f>
        <v>0</v>
      </c>
      <c r="D152" s="824" t="str">
        <f>IF(C152&lt;1,"",F152-E152)</f>
        <v/>
      </c>
      <c r="E152" s="824" t="str">
        <f>IF($C152&lt;1,"",(SUMIFS('09월 조업일지'!$K$12:$K$952,'09월 조업일지'!$A$12:$A$952,$A152,'09월 조업일지'!$E$12:$E$952,$B152)/$C152))</f>
        <v/>
      </c>
      <c r="F152" s="824" t="str">
        <f>IF($C152&lt;1,"",(AVERAGEIFS('09월 조업일지'!$J$12:$J$952,'09월 조업일지'!$A$12:$A$952,$A152,'09월 조업일지'!$E$12:$E$952,$B152)))</f>
        <v/>
      </c>
      <c r="G152" s="825" t="str">
        <f>IF($C152&lt;1,"",(AVERAGEIFS('09월 에너지'!$M$14:$M$949,'09월 에너지'!$A$14:$A$949,$A152,'09월 에너지'!$C$14:$C$949,$B152)))</f>
        <v/>
      </c>
      <c r="H152" s="826" t="str">
        <f>IF($C152&lt;1,"",(AVERAGEIFS('09월 조업일지'!$AJ$12:$AJ$952,'09월 조업일지'!$A$12:$A$952,$A152,'09월 조업일지'!$E$12:$E$952,$B152)))</f>
        <v/>
      </c>
      <c r="I152" s="826" t="str">
        <f>IF($C152&lt;1,"",(AVERAGEIFS('09월 조업일지'!$AL$12:$AL$952,'09월 조업일지'!$A$12:$A$952,$A152,'09월 조업일지'!$E$12:$E$952,$B152)))</f>
        <v/>
      </c>
      <c r="J152" s="827" t="str">
        <f>IF($C152&lt;1,"",(AVERAGEIFS('09월 화학성분'!G$12:G$949,'09월 화학성분'!$A$12:$A$949,$A152,'09월 화학성분'!$D$12:$D$949,$B152)))</f>
        <v/>
      </c>
      <c r="K152" s="827" t="str">
        <f>IF($C152&lt;1,"",(AVERAGEIFS('09월 화학성분'!H$12:H$949,'09월 화학성분'!$A$12:$A$949,$A152,'09월 화학성분'!$D$12:$D$949,$B152)))</f>
        <v/>
      </c>
      <c r="L152" s="827" t="str">
        <f>IF($C152&lt;1,"",(AVERAGEIFS('09월 화학성분'!I$12:I$949,'09월 화학성분'!$A$12:$A$949,$A152,'09월 화학성분'!$D$12:$D$949,$B152)))</f>
        <v/>
      </c>
      <c r="M152" s="827" t="str">
        <f>IF($C152&lt;1,"",(AVERAGEIFS('09월 화학성분'!J$12:J$949,'09월 화학성분'!$A$12:$A$949,$A152,'09월 화학성분'!$D$12:$D$949,$B152)))</f>
        <v/>
      </c>
      <c r="N152" s="827" t="str">
        <f>IF($C152&lt;1,"",(AVERAGEIFS('09월 화학성분'!K$12:K$949,'09월 화학성분'!$A$12:$A$949,$A152,'09월 화학성분'!$D$12:$D$949,$B152)))</f>
        <v/>
      </c>
      <c r="O152" s="827" t="str">
        <f>IF($C152&lt;1,"",(AVERAGEIFS('09월 화학성분'!L$12:L$949,'09월 화학성분'!$A$12:$A$949,$A152,'09월 화학성분'!$D$12:$D$949,$B152)))</f>
        <v/>
      </c>
      <c r="P152" s="827" t="str">
        <f>IF($C152&lt;1,"",(AVERAGEIFS('09월 화학성분'!M$12:M$949,'09월 화학성분'!$A$12:$A$949,$A152,'09월 화학성분'!$D$12:$D$949,$B152)))</f>
        <v/>
      </c>
      <c r="Q152" s="827" t="str">
        <f>IFERROR(IF($C152&lt;1,"",(AVERAGEIFS('09월 조업일지'!$AA$12:$AA$952,'09월 조업일지'!$A$12:$A$952,$A152,'09월 조업일지'!$E$12:$E$952,$B152))),"")</f>
        <v/>
      </c>
      <c r="R152" s="827" t="str">
        <f>IF($C152&lt;1,"",(AVERAGEIFS('09월 조업일지'!$AK$12:$AK$952,'09월 조업일지'!$A$12:$A$952,$A152,'09월 조업일지'!$E$12:$E$952,$B152)))</f>
        <v/>
      </c>
      <c r="S152" s="827"/>
      <c r="T152" s="827"/>
      <c r="U152" s="827" t="str">
        <f>IF($C152&lt;1,"",(AVERAGEIFS('09월 화학성분'!$G$12:$G$949,'09월 화학성분'!$A$12:$A$949,$A152,'09월 화학성분'!$D$12:$D$949,$B152)))</f>
        <v/>
      </c>
      <c r="V152" s="827" t="str">
        <f>IF($C152&lt;1,"",(AVERAGEIFS('09월 조업일지'!$AI$12:$AI$952,'09월 조업일지'!$A$12:$A$952,$A152,'09월 조업일지'!$E$12:$E$952,$B152)))</f>
        <v/>
      </c>
      <c r="W152" s="828" t="str">
        <f>IF($C152&lt;1,"",(AVERAGEIFS('09월 화학성분'!$AM$12:$AM$949,'09월 화학성분'!$A$12:$A$949,$A152,'09월 화학성분'!$D$12:$D$949,$B152)))</f>
        <v/>
      </c>
      <c r="X152" s="829" t="str">
        <f>IF($C152&lt;1,"",(AVERAGEIFS('09월 화학성분'!N$12:N$949,'09월 화학성분'!$A$12:$A$949,$A152,'09월 화학성분'!$D$12:$D$949,$B152)))</f>
        <v/>
      </c>
      <c r="Y152" s="829" t="str">
        <f>IF($C152&lt;1,"",(AVERAGEIFS('09월 화학성분'!O$12:O$949,'09월 화학성분'!$A$12:$A$949,$A152,'09월 화학성분'!$D$12:$D$949,$B152)))</f>
        <v/>
      </c>
      <c r="Z152" s="829" t="str">
        <f>IF($C152&lt;1,"",(AVERAGEIFS('09월 화학성분'!P$12:P$949,'09월 화학성분'!$A$12:$A$949,$A152,'09월 화학성분'!$D$12:$D$949,$B152)))</f>
        <v/>
      </c>
      <c r="AA152" s="829" t="str">
        <f>IF($C152&lt;1,"",(AVERAGEIFS('09월 화학성분'!Q$12:Q$949,'09월 화학성분'!$A$12:$A$949,$A152,'09월 화학성분'!$D$12:$D$949,$B152)))</f>
        <v/>
      </c>
      <c r="AB152" s="829" t="str">
        <f>IF($C152&lt;1,"",(AVERAGEIFS('09월 화학성분'!R$12:R$949,'09월 화학성분'!$A$12:$A$949,$A152,'09월 화학성분'!$D$12:$D$949,$B152)))</f>
        <v/>
      </c>
      <c r="AC152" s="829" t="str">
        <f>IF($C152&lt;1,"",(AVERAGEIFS('09월 화학성분'!U$12:U$949,'09월 화학성분'!$A$12:$A$949,$A152,'09월 화학성분'!$D$12:$D$949,$B152)))</f>
        <v/>
      </c>
      <c r="AD152" s="829" t="str">
        <f>IF($C152&lt;1,"",(AVERAGEIFS('09월 화학성분'!V$12:V$949,'09월 화학성분'!$A$12:$A$949,$A152,'09월 화학성분'!$D$12:$D$949,$B152)))</f>
        <v/>
      </c>
      <c r="AE152" s="829" t="str">
        <f>IF($C152&lt;1,"",(AVERAGEIFS('09월 화학성분'!W$12:W$949,'09월 화학성분'!$A$12:$A$949,$A152,'09월 화학성분'!$D$12:$D$949,$B152)))</f>
        <v/>
      </c>
      <c r="AF152" s="829" t="str">
        <f>IF($C152&lt;1,"",(AVERAGEIFS('09월 화학성분'!AA$12:AA$949,'09월 화학성분'!$A$12:$A$949,$A152,'09월 화학성분'!$D$12:$D$949,$B152)))</f>
        <v/>
      </c>
      <c r="AG152" s="829" t="str">
        <f>IF($C152&lt;1,"",(AVERAGEIFS('09월 화학성분'!#REF!,'09월 화학성분'!$A$12:$A$949,$A152,'09월 화학성분'!$D$12:$D$949,$B152)))</f>
        <v/>
      </c>
      <c r="AH152" s="829" t="str">
        <f>IF($C152&lt;1,"",(AVERAGEIFS('09월 화학성분'!AB$12:AB$949,'09월 화학성분'!$A$12:$A$949,$A152,'09월 화학성분'!$D$12:$D$949,$B152)))</f>
        <v/>
      </c>
      <c r="AI152" s="829" t="str">
        <f>IF($C152&lt;1,"",(AVERAGEIFS('09월 화학성분'!AC$12:AC$949,'09월 화학성분'!$A$12:$A$949,$A152,'09월 화학성분'!$D$12:$D$949,$B152)))</f>
        <v/>
      </c>
      <c r="AJ152" s="829" t="str">
        <f>IF($C152&lt;1,"",(AVERAGEIFS('09월 화학성분'!AD$12:AD$949,'09월 화학성분'!$A$12:$A$949,$A152,'09월 화학성분'!$D$12:$D$949,$B152)))</f>
        <v/>
      </c>
      <c r="AK152" s="829" t="str">
        <f>IF($C152&lt;1,"",(AVERAGEIFS('09월 화학성분'!AF$12:AF$949,'09월 화학성분'!$A$12:$A$949,$A152,'09월 화학성분'!$D$12:$D$949,$B152)))</f>
        <v/>
      </c>
      <c r="AL152" s="829" t="str">
        <f>IF($C152&lt;1,"",(AVERAGEIFS('09월 화학성분'!AG$12:AG$949,'09월 화학성분'!$A$12:$A$949,$A152,'09월 화학성분'!$D$12:$D$949,$B152)))</f>
        <v/>
      </c>
      <c r="AM152" s="829" t="str">
        <f>IF($C152&lt;1,"",(AVERAGEIFS('09월 화학성분'!AH$12:AH$949,'09월 화학성분'!$A$12:$A$949,$A152,'09월 화학성분'!$D$12:$D$949,$B152)))</f>
        <v/>
      </c>
      <c r="AN152" s="829" t="str">
        <f>IF($C152&lt;1,"",(AVERAGEIFS('09월 화학성분'!AI$12:AI$949,'09월 화학성분'!$A$12:$A$949,$A152,'09월 화학성분'!$D$12:$D$949,$B152)))</f>
        <v/>
      </c>
      <c r="AO152" s="829" t="str">
        <f>IF($C152&lt;1,"",(AVERAGEIFS('09월 화학성분'!AJ$12:AJ$949,'09월 화학성분'!$A$12:$A$949,$A152,'09월 화학성분'!$D$12:$D$949,$B152)))</f>
        <v/>
      </c>
      <c r="AP152" s="829" t="str">
        <f>IF($C152&lt;1,"",(AVERAGEIFS('09월 화학성분'!#REF!,'09월 화학성분'!$A$12:$A$949,$A152,'09월 화학성분'!$D$12:$D$949,$B152)))</f>
        <v/>
      </c>
      <c r="AQ152" s="829" t="str">
        <f>IF($C152&lt;1,"",(AVERAGEIFS('09월 화학성분'!AL$12:AL$949,'09월 화학성분'!$A$12:$A$949,$A152,'09월 화학성분'!$D$12:$D$949,$B152)))</f>
        <v/>
      </c>
      <c r="AR152" s="829" t="str">
        <f>IF($C152&lt;1,"",(AVERAGEIFS('09월 화학성분'!AM$12:AM$949,'09월 화학성분'!$A$12:$A$949,$A152,'09월 화학성분'!$D$12:$D$949,$B152)))</f>
        <v/>
      </c>
      <c r="AS152" s="830" t="str">
        <f>IF($C152&lt;1,"",(AVERAGEIFS('09월 화학성분'!AN$12:AN$949,'09월 화학성분'!$A$12:$A$949,$A152,'09월 화학성분'!$D$12:$D$949,$B152)))</f>
        <v/>
      </c>
      <c r="AT152" s="830" t="str">
        <f>IF($C152&lt;1,"",(AVERAGEIFS('09월 화학성분'!AO$12:AO$949,'09월 화학성분'!$A$12:$A$949,$A152,'09월 화학성분'!$D$12:$D$949,$B152)))</f>
        <v/>
      </c>
      <c r="AU152" s="831" t="str">
        <f>IF($C152&lt;1,"",(AVERAGEIFS('09월 화학성분'!AP$12:AP$949,'09월 화학성분'!$A$12:$A$949,$A152,'09월 화학성분'!$D$12:$D$949,$B152)))</f>
        <v/>
      </c>
      <c r="AV152" s="832" t="str">
        <f>IF($C152&lt;1,"",(AVERAGEIFS('09월 고철장입'!G$14:G$949,'09월 고철장입'!$A$14:$A$949,$A152,'09월 고철장입'!$C$14:$C$949,$B152))/1000)</f>
        <v/>
      </c>
      <c r="AW152" s="832" t="str">
        <f>IF($C152&lt;1,"",(AVERAGEIFS('09월 고철장입'!H$14:H$949,'09월 고철장입'!$A$14:$A$949,$A152,'09월 고철장입'!$C$14:$C$949,$B152))/1000)</f>
        <v/>
      </c>
      <c r="AX152" s="832" t="str">
        <f>IF($C152&lt;1,"",(AVERAGEIFS('09월 고철장입'!I$14:I$949,'09월 고철장입'!$A$14:$A$949,$A152,'09월 고철장입'!$C$14:$C$949,$B152))/1000)</f>
        <v/>
      </c>
      <c r="AY152" s="832" t="str">
        <f>IF($C152&lt;1,"",(AVERAGEIFS('09월 고철장입'!J$14:J$949,'09월 고철장입'!$A$14:$A$949,$A152,'09월 고철장입'!$C$14:$C$949,$B152))/1000)</f>
        <v/>
      </c>
      <c r="AZ152" s="832" t="str">
        <f>IF($C152&lt;1,"",(AVERAGEIFS('09월 고철장입'!K$14:K$949,'09월 고철장입'!$A$14:$A$949,$A152,'09월 고철장입'!$C$14:$C$949,$B152))/1000)</f>
        <v/>
      </c>
      <c r="BA152" s="832" t="str">
        <f>IF($C152&lt;1,"",(AVERAGEIFS('09월 고철장입'!L$14:L$949,'09월 고철장입'!$A$14:$A$949,$A152,'09월 고철장입'!$C$14:$C$949,$B152))/1000)</f>
        <v/>
      </c>
      <c r="BB152" s="832" t="str">
        <f>IF($C152&lt;1,"",(AVERAGEIFS('09월 고철장입'!M$14:M$949,'09월 고철장입'!$A$14:$A$949,$A152,'09월 고철장입'!$C$14:$C$949,$B152))/1000)</f>
        <v/>
      </c>
      <c r="BC152" s="832" t="str">
        <f>IF($C152&lt;1,"",(AVERAGEIFS('09월 고철장입'!N$14:N$949,'09월 고철장입'!$A$14:$A$949,$A152,'09월 고철장입'!$C$14:$C$949,$B152))/1000)</f>
        <v/>
      </c>
      <c r="BD152" s="832" t="str">
        <f>IF($C152&lt;1,"",(AVERAGEIFS('09월 고철장입'!O$14:O$949,'09월 고철장입'!$A$14:$A$949,$A152,'09월 고철장입'!$C$14:$C$949,$B152))/1000)</f>
        <v/>
      </c>
      <c r="BE152" s="833" t="str">
        <f>IF($C152&lt;1,"",(AVERAGEIFS('09월 고철장입'!P$14:P$949,'09월 고철장입'!$A$14:$A$949,$A152,'09월 고철장입'!$C$14:$C$949,$B152))/1000)</f>
        <v/>
      </c>
      <c r="BF152" s="833" t="str">
        <f>IF($C152&lt;1,"",(AVERAGEIFS('09월 고철장입'!Q$14:Q$949,'09월 고철장입'!$A$14:$A$949,$A152,'09월 고철장입'!$C$14:$C$949,$B152))/1000)</f>
        <v/>
      </c>
      <c r="BG152" s="833" t="str">
        <f>IF($C152&lt;1,"",(AVERAGEIFS('09월 고철장입'!S$14:S$949,'09월 고철장입'!$A$14:$A$949,$A152,'09월 고철장입'!$C$14:$C$949,$B152))/1000)</f>
        <v/>
      </c>
      <c r="BH152" s="833" t="str">
        <f>IF($C152&lt;1,"",(AVERAGEIFS('09월 고철장입'!T$14:T$949,'09월 고철장입'!$A$14:$A$949,$A152,'09월 고철장입'!$C$14:$C$949,$B152))/1000)</f>
        <v/>
      </c>
      <c r="BI152" s="833" t="str">
        <f>IF($C152&lt;1,"",(AVERAGEIFS('09월 고철장입'!U$14:U$949,'09월 고철장입'!$A$14:$A$949,$A152,'09월 고철장입'!$C$14:$C$949,$B152))/1000)</f>
        <v/>
      </c>
      <c r="BJ152" s="833" t="str">
        <f>IF($C152&lt;1,"",(AVERAGEIFS('09월 고철장입'!V$14:V$949,'09월 고철장입'!$A$14:$A$949,$A152,'09월 고철장입'!$C$14:$C$949,$B152))/1000)</f>
        <v/>
      </c>
      <c r="BK152" s="833" t="str">
        <f>IF($C152&lt;1,"",(AVERAGEIFS('09월 고철장입'!W$14:W$949,'09월 고철장입'!$A$14:$A$949,$A152,'09월 고철장입'!$C$14:$C$949,$B152))/1000)</f>
        <v/>
      </c>
      <c r="BL152" s="833" t="str">
        <f>IF($C152&lt;1,"",(AVERAGEIFS('09월 고철장입'!Y$14:Y$949,'09월 고철장입'!$A$14:$A$949,$A152,'09월 고철장입'!$C$14:$C$949,$B152))/1000)</f>
        <v/>
      </c>
      <c r="BM152" s="833" t="str">
        <f>IF($C152&lt;1,"",(AVERAGEIFS('09월 고철장입'!AB$14:AB$949,'09월 고철장입'!$A$14:$A$949,$A152,'09월 고철장입'!$C$14:$C$949,$B152))/1000)</f>
        <v/>
      </c>
      <c r="BN152" s="833" t="str">
        <f>IF($C152&lt;1,"",(AVERAGEIFS('09월 고철장입'!AC$14:AC$949,'09월 고철장입'!$A$14:$A$949,$A152,'09월 고철장입'!$C$14:$C$949,$B152))/1000)</f>
        <v/>
      </c>
      <c r="BO152" s="833" t="str">
        <f>IF($C152&lt;1,"",(AVERAGEIFS('09월 고철장입'!AD$14:AD$949,'09월 고철장입'!$A$14:$A$949,$A152,'09월 고철장입'!$C$14:$C$949,$B152))/1000)</f>
        <v/>
      </c>
      <c r="BP152" s="833" t="str">
        <f>IF($C152&lt;1,"",(AVERAGEIFS('09월 고철장입'!AE$14:AE$949,'09월 고철장입'!$A$14:$A$949,$A152,'09월 고철장입'!$C$14:$C$949,$B152))/1000)</f>
        <v/>
      </c>
      <c r="BQ152" s="832" t="str">
        <f>IF($C152&lt;1,"",(AVERAGEIFS('09월 고철장입'!AF$14:AF$949,'09월 고철장입'!$A$14:$A$949,$A152,'09월 고철장입'!$C$14:$C$949,$B152))/1000)</f>
        <v/>
      </c>
      <c r="BR152" s="832" t="str">
        <f>IF($C152&lt;1,"",(AVERAGEIFS('09월 고철장입'!AG$14:AG$949,'09월 고철장입'!$A$14:$A$949,$A152,'09월 고철장입'!$C$14:$C$949,$B152))/1000)</f>
        <v/>
      </c>
      <c r="BS152" s="832" t="str">
        <f>IF($C152&lt;1,"",(AVERAGEIFS('09월 고철장입'!AH$14:AH$949,'09월 고철장입'!$A$14:$A$949,$A152,'09월 고철장입'!$C$14:$C$949,$B152))/1000)</f>
        <v/>
      </c>
      <c r="BT152" s="832" t="str">
        <f>IF($C152&lt;1,"",(AVERAGEIFS('09월 고철장입'!AI$14:AI$949,'09월 고철장입'!$A$14:$A$949,$A152,'09월 고철장입'!$C$14:$C$949,$B152))/1000)</f>
        <v/>
      </c>
      <c r="BU152" s="834" t="str">
        <f>IF($C152&lt;1,"",(AVERAGEIFS('09월 고철장입'!AJ$14:AJ$949,'09월 고철장입'!$A$14:$A$949,$A152,'09월 고철장입'!$C$14:$C$949,$B152))/1000)</f>
        <v/>
      </c>
      <c r="BV152" s="834" t="str">
        <f>IF($C152&lt;1,"",(AVERAGEIFS('09월 고철장입'!AK$14:AK$949,'09월 고철장입'!$A$14:$A$949,$A152,'09월 고철장입'!$C$14:$C$949,$B152)))</f>
        <v/>
      </c>
      <c r="BW152" s="834" t="str">
        <f>IF($C152&lt;1,"",(AVERAGEIFS('09월 고철장입'!AL$14:AL$949,'09월 고철장입'!$A$14:$A$949,$A152,'09월 고철장입'!$C$14:$C$949,$B152))*100)</f>
        <v/>
      </c>
      <c r="BX152" s="831" t="str">
        <f>IF($C152&lt;1,"",(AVERAGEIFS('09월 에너지'!G$14:G$949,'09월 에너지'!$A$14:$A$949,$A152,'09월 에너지'!$C$14:$C$949,$B152)))</f>
        <v/>
      </c>
      <c r="BY152" s="835" t="str">
        <f>IF($C152&lt;1,"",(AVERAGEIFS('09월 에너지'!H$14:H$949,'09월 에너지'!$A$14:$A$949,$A152,'09월 에너지'!$C$14:$C$949,$B152)))</f>
        <v/>
      </c>
      <c r="BZ152" s="831" t="str">
        <f>IF($C152&lt;1,"",(AVERAGEIFS('09월 에너지'!I$14:I$949,'09월 에너지'!$A$14:$A$949,$A152,'09월 에너지'!$C$14:$C$949,$B152)))</f>
        <v/>
      </c>
      <c r="CA152" s="835" t="str">
        <f>IF($C152&lt;1,"",(AVERAGEIFS('09월 에너지'!J$14:J$949,'09월 에너지'!$A$14:$A$949,$A152,'09월 에너지'!$C$14:$C$949,$B152)))</f>
        <v/>
      </c>
      <c r="CB152" s="831" t="str">
        <f>IF($C152&lt;1,"",(AVERAGEIFS('09월 에너지'!K$14:K$949,'09월 에너지'!$A$14:$A$949,$A152,'09월 에너지'!$C$14:$C$949,$B152)))</f>
        <v/>
      </c>
      <c r="CC152" s="835" t="str">
        <f>IF($C152&lt;1,"",(AVERAGEIFS('09월 에너지'!L$14:L$949,'09월 에너지'!$A$14:$A$949,$A152,'09월 에너지'!$C$14:$C$949,$B152)))</f>
        <v/>
      </c>
      <c r="CD152" s="831" t="str">
        <f>IF($C152&lt;1,"",(AVERAGEIFS('09월 에너지'!M$14:M$949,'09월 에너지'!$A$14:$A$949,$A152,'09월 에너지'!$C$14:$C$949,$B152)))</f>
        <v/>
      </c>
      <c r="CE152" s="835" t="str">
        <f>IF($C152&lt;1,"",(AVERAGEIFS('09월 에너지'!N$14:N$949,'09월 에너지'!$A$14:$A$949,$A152,'09월 에너지'!$C$14:$C$949,$B152)))</f>
        <v/>
      </c>
      <c r="CF152" s="831" t="str">
        <f>IF($C152&lt;1,"",(AVERAGEIFS('09월 에너지'!O$14:O$949,'09월 에너지'!$A$14:$A$949,$A152,'09월 에너지'!$C$14:$C$949,$B152)))</f>
        <v/>
      </c>
      <c r="CG152" s="831" t="str">
        <f>IF($C152&lt;1,"",(AVERAGEIFS('09월 에너지'!P$14:P$949,'09월 에너지'!$A$14:$A$949,$A152,'09월 에너지'!$C$14:$C$949,$B152)))</f>
        <v/>
      </c>
      <c r="CH152" s="831" t="str">
        <f>IF($C152&lt;1,"",(AVERAGEIFS('09월 에너지'!Q$14:Q$949,'09월 에너지'!$A$14:$A$949,$A152,'09월 에너지'!$C$14:$C$949,$B152)))</f>
        <v/>
      </c>
      <c r="CI152" s="831" t="str">
        <f>IF($C152&lt;1,"",(AVERAGEIFS('09월 에너지'!R$14:R$949,'09월 에너지'!$A$14:$A$949,$A152,'09월 에너지'!$C$14:$C$949,$B152)))</f>
        <v/>
      </c>
      <c r="CJ152" s="831" t="str">
        <f>IF($C152&lt;1,"",(AVERAGEIFS('09월 에너지'!S$14:S$949,'09월 에너지'!$A$14:$A$949,$A152,'09월 에너지'!$C$14:$C$949,$B152)))</f>
        <v/>
      </c>
      <c r="CK152" s="831" t="str">
        <f>IF($C152&lt;1,"",(AVERAGEIFS('09월 에너지'!T$14:T$949,'09월 에너지'!$A$14:$A$949,$A152,'09월 에너지'!$C$14:$C$949,$B152)))</f>
        <v/>
      </c>
      <c r="CL152" s="831" t="str">
        <f>IF($C152&lt;1,"",(AVERAGEIFS('09월 에너지'!U$14:U$949,'09월 에너지'!$A$14:$A$949,$A152,'09월 에너지'!$C$14:$C$949,$B152)))</f>
        <v/>
      </c>
      <c r="CM152" s="835" t="str">
        <f>IF($C152&lt;1,"",(AVERAGEIFS('09월 에너지'!V$14:V$949,'09월 에너지'!$A$14:$A$949,$A152,'09월 에너지'!$C$14:$C$949,$B152)))</f>
        <v/>
      </c>
      <c r="CN152" s="835" t="str">
        <f>IF($C152&lt;1,"",(AVERAGEIFS('09월 에너지'!W$14:W$949,'09월 에너지'!$A$14:$A$949,$A152,'09월 에너지'!$C$14:$C$949,$B152)))</f>
        <v/>
      </c>
      <c r="CO152" s="831" t="str">
        <f>IF($C152&lt;1,"",(AVERAGEIFS('09월 에너지'!X$14:X$949,'09월 에너지'!$A$14:$A$949,$A152,'09월 에너지'!$C$14:$C$949,$B152)))</f>
        <v/>
      </c>
      <c r="CP152" s="835" t="str">
        <f>IF($C152&lt;1,"",(AVERAGEIFS('09월 에너지'!Y$14:Y$949,'09월 에너지'!$A$14:$A$949,$A152,'09월 에너지'!$C$14:$C$949,$B152)))</f>
        <v/>
      </c>
      <c r="CQ152" s="835" t="str">
        <f>IF($C152&lt;1,"",(AVERAGEIFS('09월 에너지'!Z$14:Z$949,'09월 에너지'!$A$14:$A$949,$A152,'09월 에너지'!$C$14:$C$949,$B152)))</f>
        <v/>
      </c>
      <c r="CR152" s="835" t="str">
        <f>IF($C152&lt;1,"",(AVERAGEIFS('09월 에너지'!AA$14:AA$949,'09월 에너지'!$A$14:$A$949,$A152,'09월 에너지'!$C$14:$C$949,$B152)))</f>
        <v/>
      </c>
      <c r="CS152" s="835" t="str">
        <f>IF($C152&lt;1,"",(AVERAGEIFS('09월 에너지'!AB$14:AB$949,'09월 에너지'!$A$14:$A$949,$A152,'09월 에너지'!$C$14:$C$949,$B152)))</f>
        <v/>
      </c>
      <c r="CT152" s="831" t="str">
        <f>IF($C152&lt;1,"",(AVERAGEIFS('09월 에너지'!AC$14:AC$949,'09월 에너지'!$A$14:$A$949,$A152,'09월 에너지'!$C$14:$C$949,$B152)))</f>
        <v/>
      </c>
      <c r="CU152" s="836" t="str">
        <f>IF($C152&lt;1,"",(AVERAGEIFS('09월 에너지'!AD$14:AD$949,'09월 에너지'!$A$14:$A$949,$A152,'09월 에너지'!$C$14:$C$949,$B152)))</f>
        <v/>
      </c>
      <c r="CV152" s="837" t="str">
        <f>IF($C152&lt;1,"",(AVERAGEIFS('09월 에너지'!AE$14:AE$949,'09월 에너지'!$A$14:$A$949,$A152,'09월 에너지'!$C$14:$C$949,$B152)))</f>
        <v/>
      </c>
      <c r="CW152" s="831" t="str">
        <f>IF($C152&lt;1,"",(AVERAGEIFS('09월 에너지'!AF$14:AF$949,'09월 에너지'!$A$14:$A$949,$A152,'09월 에너지'!$C$14:$C$949,$B152)))</f>
        <v/>
      </c>
      <c r="CX152" s="831" t="str">
        <f>IF($C152&lt;1,"",(AVERAGEIFS('09월 에너지'!AG$14:AG$949,'09월 에너지'!$A$14:$A$949,$A152,'09월 에너지'!$C$14:$C$949,$B152)))</f>
        <v/>
      </c>
      <c r="CY152" s="831" t="str">
        <f>IF($C152&lt;1,"",(AVERAGEIFS('09월 에너지'!AH$14:AH$949,'09월 에너지'!$A$14:$A$949,$A152,'09월 에너지'!$C$14:$C$949,$B152)))</f>
        <v/>
      </c>
      <c r="CZ152" s="831" t="str">
        <f>IF($C152&lt;1,"",(AVERAGEIFS('09월 에너지'!AI$14:AI$949,'09월 에너지'!$A$14:$A$949,$A152,'09월 에너지'!$C$14:$C$949,$B152)))</f>
        <v/>
      </c>
      <c r="DA152" s="838" t="str">
        <f>IF($C152&lt;1,"",(AVERAGEIFS('09월 에너지'!AJ$14:AJ$949,'09월 에너지'!$A$14:$A$949,$A152,'09월 에너지'!$C$14:$C$949,$B152)))</f>
        <v/>
      </c>
    </row>
    <row r="153" spans="1:105" ht="13.5" customHeight="1">
      <c r="A153" s="849">
        <f t="shared" si="33"/>
        <v>44956</v>
      </c>
      <c r="B153" s="850" t="s">
        <v>100</v>
      </c>
      <c r="C153" s="823">
        <f>COUNTIFS('09월 조업일지'!$A$12:$A$952,A151,'09월 조업일지'!$E$12:$E$952,B153)</f>
        <v>0</v>
      </c>
      <c r="D153" s="824" t="str">
        <f t="shared" ref="D153:D155" si="34">IF(C153&lt;1,"",F153-E153)</f>
        <v/>
      </c>
      <c r="E153" s="824" t="str">
        <f>IF($C153&lt;1,"",(SUMIFS('09월 조업일지'!$K$12:$K$952,'09월 조업일지'!$A$12:$A$952,$A153,'09월 조업일지'!$E$12:$E$952,$B153)/$C153))</f>
        <v/>
      </c>
      <c r="F153" s="824" t="str">
        <f>IF($C153&lt;1,"",(AVERAGEIFS('09월 조업일지'!$J$12:$J$952,'09월 조업일지'!$A$12:$A$952,$A153,'09월 조업일지'!$E$12:$E$952,$B153)))</f>
        <v/>
      </c>
      <c r="G153" s="825" t="str">
        <f>IF($C153&lt;1,"",(AVERAGEIFS('09월 에너지'!$M$14:$M$949,'09월 에너지'!$A$14:$A$949,$A153,'09월 에너지'!$C$14:$C$949,$B153)))</f>
        <v/>
      </c>
      <c r="H153" s="826" t="str">
        <f>IF($C153&lt;1,"",(AVERAGEIFS('09월 조업일지'!$AJ$12:$AJ$952,'09월 조업일지'!$A$12:$A$952,$A153,'09월 조업일지'!$E$12:$E$952,$B153)))</f>
        <v/>
      </c>
      <c r="I153" s="826" t="str">
        <f>IF($C153&lt;1,"",(AVERAGEIFS('09월 조업일지'!$AL$12:$AL$952,'09월 조업일지'!$A$12:$A$952,$A153,'09월 조업일지'!$E$12:$E$952,$B153)))</f>
        <v/>
      </c>
      <c r="J153" s="827" t="str">
        <f>IF($C153&lt;1,"",(AVERAGEIFS('09월 화학성분'!G$12:G$949,'09월 화학성분'!$A$12:$A$949,$A153,'09월 화학성분'!$D$12:$D$949,$B153)))</f>
        <v/>
      </c>
      <c r="K153" s="827" t="str">
        <f>IF($C153&lt;1,"",(AVERAGEIFS('09월 화학성분'!H$12:H$949,'09월 화학성분'!$A$12:$A$949,$A153,'09월 화학성분'!$D$12:$D$949,$B153)))</f>
        <v/>
      </c>
      <c r="L153" s="827" t="str">
        <f>IF($C153&lt;1,"",(AVERAGEIFS('09월 화학성분'!I$12:I$949,'09월 화학성분'!$A$12:$A$949,$A153,'09월 화학성분'!$D$12:$D$949,$B153)))</f>
        <v/>
      </c>
      <c r="M153" s="827" t="str">
        <f>IF($C153&lt;1,"",(AVERAGEIFS('09월 화학성분'!J$12:J$949,'09월 화학성분'!$A$12:$A$949,$A153,'09월 화학성분'!$D$12:$D$949,$B153)))</f>
        <v/>
      </c>
      <c r="N153" s="827" t="str">
        <f>IF($C153&lt;1,"",(AVERAGEIFS('09월 화학성분'!K$12:K$949,'09월 화학성분'!$A$12:$A$949,$A153,'09월 화학성분'!$D$12:$D$949,$B153)))</f>
        <v/>
      </c>
      <c r="O153" s="827" t="str">
        <f>IF($C153&lt;1,"",(AVERAGEIFS('09월 화학성분'!L$12:L$949,'09월 화학성분'!$A$12:$A$949,$A153,'09월 화학성분'!$D$12:$D$949,$B153)))</f>
        <v/>
      </c>
      <c r="P153" s="827" t="str">
        <f>IF($C153&lt;1,"",(AVERAGEIFS('09월 화학성분'!M$12:M$949,'09월 화학성분'!$A$12:$A$949,$A153,'09월 화학성분'!$D$12:$D$949,$B153)))</f>
        <v/>
      </c>
      <c r="Q153" s="827" t="str">
        <f>IFERROR(IF($C153&lt;1,"",(AVERAGEIFS('09월 조업일지'!$AA$12:$AA$952,'09월 조업일지'!$A$12:$A$952,$A153,'09월 조업일지'!$E$12:$E$952,$B153))),"")</f>
        <v/>
      </c>
      <c r="R153" s="827" t="str">
        <f>IF($C153&lt;1,"",(AVERAGEIFS('09월 조업일지'!$AK$12:$AK$952,'09월 조업일지'!$A$12:$A$952,$A153,'09월 조업일지'!$E$12:$E$952,$B153)))</f>
        <v/>
      </c>
      <c r="S153" s="827"/>
      <c r="T153" s="827"/>
      <c r="U153" s="827" t="str">
        <f>IF($C153&lt;1,"",(AVERAGEIFS('09월 화학성분'!$G$12:$G$949,'09월 화학성분'!$A$12:$A$949,$A153,'09월 화학성분'!$D$12:$D$949,$B153)))</f>
        <v/>
      </c>
      <c r="V153" s="827" t="str">
        <f>IF($C153&lt;1,"",(AVERAGEIFS('09월 조업일지'!$AI$12:$AI$952,'09월 조업일지'!$A$12:$A$952,$A153,'09월 조업일지'!$E$12:$E$952,$B153)))</f>
        <v/>
      </c>
      <c r="W153" s="828" t="str">
        <f>IF($C153&lt;1,"",(AVERAGEIFS('09월 화학성분'!$AM$12:$AM$949,'09월 화학성분'!$A$12:$A$949,$A153,'09월 화학성분'!$D$12:$D$949,$B153)))</f>
        <v/>
      </c>
      <c r="X153" s="829" t="str">
        <f>IF($C153&lt;1,"",(AVERAGEIFS('09월 화학성분'!N$12:N$949,'09월 화학성분'!$A$12:$A$949,$A153,'09월 화학성분'!$D$12:$D$949,$B153)))</f>
        <v/>
      </c>
      <c r="Y153" s="829" t="str">
        <f>IF($C153&lt;1,"",(AVERAGEIFS('09월 화학성분'!O$12:O$949,'09월 화학성분'!$A$12:$A$949,$A153,'09월 화학성분'!$D$12:$D$949,$B153)))</f>
        <v/>
      </c>
      <c r="Z153" s="829" t="str">
        <f>IF($C153&lt;1,"",(AVERAGEIFS('09월 화학성분'!P$12:P$949,'09월 화학성분'!$A$12:$A$949,$A153,'09월 화학성분'!$D$12:$D$949,$B153)))</f>
        <v/>
      </c>
      <c r="AA153" s="829" t="str">
        <f>IF($C153&lt;1,"",(AVERAGEIFS('09월 화학성분'!Q$12:Q$949,'09월 화학성분'!$A$12:$A$949,$A153,'09월 화학성분'!$D$12:$D$949,$B153)))</f>
        <v/>
      </c>
      <c r="AB153" s="829" t="str">
        <f>IF($C153&lt;1,"",(AVERAGEIFS('09월 화학성분'!R$12:R$949,'09월 화학성분'!$A$12:$A$949,$A153,'09월 화학성분'!$D$12:$D$949,$B153)))</f>
        <v/>
      </c>
      <c r="AC153" s="829" t="str">
        <f>IF($C153&lt;1,"",(AVERAGEIFS('09월 화학성분'!U$12:U$949,'09월 화학성분'!$A$12:$A$949,$A153,'09월 화학성분'!$D$12:$D$949,$B153)))</f>
        <v/>
      </c>
      <c r="AD153" s="829" t="str">
        <f>IF($C153&lt;1,"",(AVERAGEIFS('09월 화학성분'!V$12:V$949,'09월 화학성분'!$A$12:$A$949,$A153,'09월 화학성분'!$D$12:$D$949,$B153)))</f>
        <v/>
      </c>
      <c r="AE153" s="829" t="str">
        <f>IF($C153&lt;1,"",(AVERAGEIFS('09월 화학성분'!W$12:W$949,'09월 화학성분'!$A$12:$A$949,$A153,'09월 화학성분'!$D$12:$D$949,$B153)))</f>
        <v/>
      </c>
      <c r="AF153" s="829" t="str">
        <f>IF($C153&lt;1,"",(AVERAGEIFS('09월 화학성분'!AA$12:AA$949,'09월 화학성분'!$A$12:$A$949,$A153,'09월 화학성분'!$D$12:$D$949,$B153)))</f>
        <v/>
      </c>
      <c r="AG153" s="829" t="str">
        <f>IF($C153&lt;1,"",(AVERAGEIFS('09월 화학성분'!#REF!,'09월 화학성분'!$A$12:$A$949,$A153,'09월 화학성분'!$D$12:$D$949,$B153)))</f>
        <v/>
      </c>
      <c r="AH153" s="829" t="str">
        <f>IF($C153&lt;1,"",(AVERAGEIFS('09월 화학성분'!AB$12:AB$949,'09월 화학성분'!$A$12:$A$949,$A153,'09월 화학성분'!$D$12:$D$949,$B153)))</f>
        <v/>
      </c>
      <c r="AI153" s="829" t="str">
        <f>IF($C153&lt;1,"",(AVERAGEIFS('09월 화학성분'!AC$12:AC$949,'09월 화학성분'!$A$12:$A$949,$A153,'09월 화학성분'!$D$12:$D$949,$B153)))</f>
        <v/>
      </c>
      <c r="AJ153" s="829" t="str">
        <f>IF($C153&lt;1,"",(AVERAGEIFS('09월 화학성분'!AD$12:AD$949,'09월 화학성분'!$A$12:$A$949,$A153,'09월 화학성분'!$D$12:$D$949,$B153)))</f>
        <v/>
      </c>
      <c r="AK153" s="829" t="str">
        <f>IF($C153&lt;1,"",(AVERAGEIFS('09월 화학성분'!AF$12:AF$949,'09월 화학성분'!$A$12:$A$949,$A153,'09월 화학성분'!$D$12:$D$949,$B153)))</f>
        <v/>
      </c>
      <c r="AL153" s="829" t="str">
        <f>IF($C153&lt;1,"",(AVERAGEIFS('09월 화학성분'!AG$12:AG$949,'09월 화학성분'!$A$12:$A$949,$A153,'09월 화학성분'!$D$12:$D$949,$B153)))</f>
        <v/>
      </c>
      <c r="AM153" s="829" t="str">
        <f>IF($C153&lt;1,"",(AVERAGEIFS('09월 화학성분'!AH$12:AH$949,'09월 화학성분'!$A$12:$A$949,$A153,'09월 화학성분'!$D$12:$D$949,$B153)))</f>
        <v/>
      </c>
      <c r="AN153" s="829" t="str">
        <f>IF($C153&lt;1,"",(AVERAGEIFS('09월 화학성분'!AI$12:AI$949,'09월 화학성분'!$A$12:$A$949,$A153,'09월 화학성분'!$D$12:$D$949,$B153)))</f>
        <v/>
      </c>
      <c r="AO153" s="829" t="str">
        <f>IF($C153&lt;1,"",(AVERAGEIFS('09월 화학성분'!AJ$12:AJ$949,'09월 화학성분'!$A$12:$A$949,$A153,'09월 화학성분'!$D$12:$D$949,$B153)))</f>
        <v/>
      </c>
      <c r="AP153" s="829" t="str">
        <f>IF($C153&lt;1,"",(AVERAGEIFS('09월 화학성분'!#REF!,'09월 화학성분'!$A$12:$A$949,$A153,'09월 화학성분'!$D$12:$D$949,$B153)))</f>
        <v/>
      </c>
      <c r="AQ153" s="829" t="str">
        <f>IF($C153&lt;1,"",(AVERAGEIFS('09월 화학성분'!AL$12:AL$949,'09월 화학성분'!$A$12:$A$949,$A153,'09월 화학성분'!$D$12:$D$949,$B153)))</f>
        <v/>
      </c>
      <c r="AR153" s="829" t="str">
        <f>IF($C153&lt;1,"",(AVERAGEIFS('09월 화학성분'!AM$12:AM$949,'09월 화학성분'!$A$12:$A$949,$A153,'09월 화학성분'!$D$12:$D$949,$B153)))</f>
        <v/>
      </c>
      <c r="AS153" s="830" t="str">
        <f>IF($C153&lt;1,"",(AVERAGEIFS('09월 화학성분'!AN$12:AN$949,'09월 화학성분'!$A$12:$A$949,$A153,'09월 화학성분'!$D$12:$D$949,$B153)))</f>
        <v/>
      </c>
      <c r="AT153" s="830" t="str">
        <f>IF($C153&lt;1,"",(AVERAGEIFS('09월 화학성분'!AO$12:AO$949,'09월 화학성분'!$A$12:$A$949,$A153,'09월 화학성분'!$D$12:$D$949,$B153)))</f>
        <v/>
      </c>
      <c r="AU153" s="831" t="str">
        <f>IF($C153&lt;1,"",(AVERAGEIFS('09월 화학성분'!AP$12:AP$949,'09월 화학성분'!$A$12:$A$949,$A153,'09월 화학성분'!$D$12:$D$949,$B153)))</f>
        <v/>
      </c>
      <c r="AV153" s="832" t="str">
        <f>IF($C153&lt;1,"",(AVERAGEIFS('09월 고철장입'!G$14:G$949,'09월 고철장입'!$A$14:$A$949,$A153,'09월 고철장입'!$C$14:$C$949,$B153))/1000)</f>
        <v/>
      </c>
      <c r="AW153" s="832" t="str">
        <f>IF($C153&lt;1,"",(AVERAGEIFS('09월 고철장입'!H$14:H$949,'09월 고철장입'!$A$14:$A$949,$A153,'09월 고철장입'!$C$14:$C$949,$B153))/1000)</f>
        <v/>
      </c>
      <c r="AX153" s="832" t="str">
        <f>IF($C153&lt;1,"",(AVERAGEIFS('09월 고철장입'!I$14:I$949,'09월 고철장입'!$A$14:$A$949,$A153,'09월 고철장입'!$C$14:$C$949,$B153))/1000)</f>
        <v/>
      </c>
      <c r="AY153" s="832" t="str">
        <f>IF($C153&lt;1,"",(AVERAGEIFS('09월 고철장입'!J$14:J$949,'09월 고철장입'!$A$14:$A$949,$A153,'09월 고철장입'!$C$14:$C$949,$B153))/1000)</f>
        <v/>
      </c>
      <c r="AZ153" s="832" t="str">
        <f>IF($C153&lt;1,"",(AVERAGEIFS('09월 고철장입'!K$14:K$949,'09월 고철장입'!$A$14:$A$949,$A153,'09월 고철장입'!$C$14:$C$949,$B153))/1000)</f>
        <v/>
      </c>
      <c r="BA153" s="832" t="str">
        <f>IF($C153&lt;1,"",(AVERAGEIFS('09월 고철장입'!L$14:L$949,'09월 고철장입'!$A$14:$A$949,$A153,'09월 고철장입'!$C$14:$C$949,$B153))/1000)</f>
        <v/>
      </c>
      <c r="BB153" s="832" t="str">
        <f>IF($C153&lt;1,"",(AVERAGEIFS('09월 고철장입'!M$14:M$949,'09월 고철장입'!$A$14:$A$949,$A153,'09월 고철장입'!$C$14:$C$949,$B153))/1000)</f>
        <v/>
      </c>
      <c r="BC153" s="832" t="str">
        <f>IF($C153&lt;1,"",(AVERAGEIFS('09월 고철장입'!N$14:N$949,'09월 고철장입'!$A$14:$A$949,$A153,'09월 고철장입'!$C$14:$C$949,$B153))/1000)</f>
        <v/>
      </c>
      <c r="BD153" s="832" t="str">
        <f>IF($C153&lt;1,"",(AVERAGEIFS('09월 고철장입'!O$14:O$949,'09월 고철장입'!$A$14:$A$949,$A153,'09월 고철장입'!$C$14:$C$949,$B153))/1000)</f>
        <v/>
      </c>
      <c r="BE153" s="833" t="str">
        <f>IF($C153&lt;1,"",(AVERAGEIFS('09월 고철장입'!P$14:P$949,'09월 고철장입'!$A$14:$A$949,$A153,'09월 고철장입'!$C$14:$C$949,$B153))/1000)</f>
        <v/>
      </c>
      <c r="BF153" s="833" t="str">
        <f>IF($C153&lt;1,"",(AVERAGEIFS('09월 고철장입'!Q$14:Q$949,'09월 고철장입'!$A$14:$A$949,$A153,'09월 고철장입'!$C$14:$C$949,$B153))/1000)</f>
        <v/>
      </c>
      <c r="BG153" s="833" t="str">
        <f>IF($C153&lt;1,"",(AVERAGEIFS('09월 고철장입'!S$14:S$949,'09월 고철장입'!$A$14:$A$949,$A153,'09월 고철장입'!$C$14:$C$949,$B153))/1000)</f>
        <v/>
      </c>
      <c r="BH153" s="833" t="str">
        <f>IF($C153&lt;1,"",(AVERAGEIFS('09월 고철장입'!T$14:T$949,'09월 고철장입'!$A$14:$A$949,$A153,'09월 고철장입'!$C$14:$C$949,$B153))/1000)</f>
        <v/>
      </c>
      <c r="BI153" s="833" t="str">
        <f>IF($C153&lt;1,"",(AVERAGEIFS('09월 고철장입'!U$14:U$949,'09월 고철장입'!$A$14:$A$949,$A153,'09월 고철장입'!$C$14:$C$949,$B153))/1000)</f>
        <v/>
      </c>
      <c r="BJ153" s="833" t="str">
        <f>IF($C153&lt;1,"",(AVERAGEIFS('09월 고철장입'!V$14:V$949,'09월 고철장입'!$A$14:$A$949,$A153,'09월 고철장입'!$C$14:$C$949,$B153))/1000)</f>
        <v/>
      </c>
      <c r="BK153" s="833" t="str">
        <f>IF($C153&lt;1,"",(AVERAGEIFS('09월 고철장입'!W$14:W$949,'09월 고철장입'!$A$14:$A$949,$A153,'09월 고철장입'!$C$14:$C$949,$B153))/1000)</f>
        <v/>
      </c>
      <c r="BL153" s="833" t="str">
        <f>IF($C153&lt;1,"",(AVERAGEIFS('09월 고철장입'!Y$14:Y$949,'09월 고철장입'!$A$14:$A$949,$A153,'09월 고철장입'!$C$14:$C$949,$B153))/1000)</f>
        <v/>
      </c>
      <c r="BM153" s="833" t="str">
        <f>IF($C153&lt;1,"",(AVERAGEIFS('09월 고철장입'!AB$14:AB$949,'09월 고철장입'!$A$14:$A$949,$A153,'09월 고철장입'!$C$14:$C$949,$B153))/1000)</f>
        <v/>
      </c>
      <c r="BN153" s="833" t="str">
        <f>IF($C153&lt;1,"",(AVERAGEIFS('09월 고철장입'!AC$14:AC$949,'09월 고철장입'!$A$14:$A$949,$A153,'09월 고철장입'!$C$14:$C$949,$B153))/1000)</f>
        <v/>
      </c>
      <c r="BO153" s="833" t="str">
        <f>IF($C153&lt;1,"",(AVERAGEIFS('09월 고철장입'!AD$14:AD$949,'09월 고철장입'!$A$14:$A$949,$A153,'09월 고철장입'!$C$14:$C$949,$B153))/1000)</f>
        <v/>
      </c>
      <c r="BP153" s="833" t="str">
        <f>IF($C153&lt;1,"",(AVERAGEIFS('09월 고철장입'!AE$14:AE$949,'09월 고철장입'!$A$14:$A$949,$A153,'09월 고철장입'!$C$14:$C$949,$B153))/1000)</f>
        <v/>
      </c>
      <c r="BQ153" s="832" t="str">
        <f>IF($C153&lt;1,"",(AVERAGEIFS('09월 고철장입'!AF$14:AF$949,'09월 고철장입'!$A$14:$A$949,$A153,'09월 고철장입'!$C$14:$C$949,$B153))/1000)</f>
        <v/>
      </c>
      <c r="BR153" s="832" t="str">
        <f>IF($C153&lt;1,"",(AVERAGEIFS('09월 고철장입'!AG$14:AG$949,'09월 고철장입'!$A$14:$A$949,$A153,'09월 고철장입'!$C$14:$C$949,$B153))/1000)</f>
        <v/>
      </c>
      <c r="BS153" s="832" t="str">
        <f>IF($C153&lt;1,"",(AVERAGEIFS('09월 고철장입'!AH$14:AH$949,'09월 고철장입'!$A$14:$A$949,$A153,'09월 고철장입'!$C$14:$C$949,$B153))/1000)</f>
        <v/>
      </c>
      <c r="BT153" s="832" t="str">
        <f>IF($C153&lt;1,"",(AVERAGEIFS('09월 고철장입'!AI$14:AI$949,'09월 고철장입'!$A$14:$A$949,$A153,'09월 고철장입'!$C$14:$C$949,$B153))/1000)</f>
        <v/>
      </c>
      <c r="BU153" s="834" t="str">
        <f>IF($C153&lt;1,"",(AVERAGEIFS('09월 고철장입'!AJ$14:AJ$949,'09월 고철장입'!$A$14:$A$949,$A153,'09월 고철장입'!$C$14:$C$949,$B153))/1000)</f>
        <v/>
      </c>
      <c r="BV153" s="834" t="str">
        <f>IF($C153&lt;1,"",(AVERAGEIFS('09월 고철장입'!AK$14:AK$949,'09월 고철장입'!$A$14:$A$949,$A153,'09월 고철장입'!$C$14:$C$949,$B153)))</f>
        <v/>
      </c>
      <c r="BW153" s="834" t="str">
        <f>IF($C153&lt;1,"",(AVERAGEIFS('09월 고철장입'!AL$14:AL$949,'09월 고철장입'!$A$14:$A$949,$A153,'09월 고철장입'!$C$14:$C$949,$B153))*100)</f>
        <v/>
      </c>
      <c r="BX153" s="831" t="str">
        <f>IF($C153&lt;1,"",(AVERAGEIFS('09월 에너지'!G$14:G$949,'09월 에너지'!$A$14:$A$949,$A153,'09월 에너지'!$C$14:$C$949,$B153)))</f>
        <v/>
      </c>
      <c r="BY153" s="835" t="str">
        <f>IF($C153&lt;1,"",(AVERAGEIFS('09월 에너지'!H$14:H$949,'09월 에너지'!$A$14:$A$949,$A153,'09월 에너지'!$C$14:$C$949,$B153)))</f>
        <v/>
      </c>
      <c r="BZ153" s="831" t="str">
        <f>IF($C153&lt;1,"",(AVERAGEIFS('09월 에너지'!I$14:I$949,'09월 에너지'!$A$14:$A$949,$A153,'09월 에너지'!$C$14:$C$949,$B153)))</f>
        <v/>
      </c>
      <c r="CA153" s="835" t="str">
        <f>IF($C153&lt;1,"",(AVERAGEIFS('09월 에너지'!J$14:J$949,'09월 에너지'!$A$14:$A$949,$A153,'09월 에너지'!$C$14:$C$949,$B153)))</f>
        <v/>
      </c>
      <c r="CB153" s="831" t="str">
        <f>IF($C153&lt;1,"",(AVERAGEIFS('09월 에너지'!K$14:K$949,'09월 에너지'!$A$14:$A$949,$A153,'09월 에너지'!$C$14:$C$949,$B153)))</f>
        <v/>
      </c>
      <c r="CC153" s="835" t="str">
        <f>IF($C153&lt;1,"",(AVERAGEIFS('09월 에너지'!L$14:L$949,'09월 에너지'!$A$14:$A$949,$A153,'09월 에너지'!$C$14:$C$949,$B153)))</f>
        <v/>
      </c>
      <c r="CD153" s="831" t="str">
        <f>IF($C153&lt;1,"",(AVERAGEIFS('09월 에너지'!M$14:M$949,'09월 에너지'!$A$14:$A$949,$A153,'09월 에너지'!$C$14:$C$949,$B153)))</f>
        <v/>
      </c>
      <c r="CE153" s="835" t="str">
        <f>IF($C153&lt;1,"",(AVERAGEIFS('09월 에너지'!N$14:N$949,'09월 에너지'!$A$14:$A$949,$A153,'09월 에너지'!$C$14:$C$949,$B153)))</f>
        <v/>
      </c>
      <c r="CF153" s="831" t="str">
        <f>IF($C153&lt;1,"",(AVERAGEIFS('09월 에너지'!O$14:O$949,'09월 에너지'!$A$14:$A$949,$A153,'09월 에너지'!$C$14:$C$949,$B153)))</f>
        <v/>
      </c>
      <c r="CG153" s="831" t="str">
        <f>IF($C153&lt;1,"",(AVERAGEIFS('09월 에너지'!P$14:P$949,'09월 에너지'!$A$14:$A$949,$A153,'09월 에너지'!$C$14:$C$949,$B153)))</f>
        <v/>
      </c>
      <c r="CH153" s="831" t="str">
        <f>IF($C153&lt;1,"",(AVERAGEIFS('09월 에너지'!Q$14:Q$949,'09월 에너지'!$A$14:$A$949,$A153,'09월 에너지'!$C$14:$C$949,$B153)))</f>
        <v/>
      </c>
      <c r="CI153" s="831" t="str">
        <f>IF($C153&lt;1,"",(AVERAGEIFS('09월 에너지'!R$14:R$949,'09월 에너지'!$A$14:$A$949,$A153,'09월 에너지'!$C$14:$C$949,$B153)))</f>
        <v/>
      </c>
      <c r="CJ153" s="831" t="str">
        <f>IF($C153&lt;1,"",(AVERAGEIFS('09월 에너지'!S$14:S$949,'09월 에너지'!$A$14:$A$949,$A153,'09월 에너지'!$C$14:$C$949,$B153)))</f>
        <v/>
      </c>
      <c r="CK153" s="831" t="str">
        <f>IF($C153&lt;1,"",(AVERAGEIFS('09월 에너지'!T$14:T$949,'09월 에너지'!$A$14:$A$949,$A153,'09월 에너지'!$C$14:$C$949,$B153)))</f>
        <v/>
      </c>
      <c r="CL153" s="831" t="str">
        <f>IF($C153&lt;1,"",(AVERAGEIFS('09월 에너지'!U$14:U$949,'09월 에너지'!$A$14:$A$949,$A153,'09월 에너지'!$C$14:$C$949,$B153)))</f>
        <v/>
      </c>
      <c r="CM153" s="835" t="str">
        <f>IF($C153&lt;1,"",(AVERAGEIFS('09월 에너지'!V$14:V$949,'09월 에너지'!$A$14:$A$949,$A153,'09월 에너지'!$C$14:$C$949,$B153)))</f>
        <v/>
      </c>
      <c r="CN153" s="835" t="str">
        <f>IF($C153&lt;1,"",(AVERAGEIFS('09월 에너지'!W$14:W$949,'09월 에너지'!$A$14:$A$949,$A153,'09월 에너지'!$C$14:$C$949,$B153)))</f>
        <v/>
      </c>
      <c r="CO153" s="831" t="str">
        <f>IF($C153&lt;1,"",(AVERAGEIFS('09월 에너지'!X$14:X$949,'09월 에너지'!$A$14:$A$949,$A153,'09월 에너지'!$C$14:$C$949,$B153)))</f>
        <v/>
      </c>
      <c r="CP153" s="835" t="str">
        <f>IF($C153&lt;1,"",(AVERAGEIFS('09월 에너지'!Y$14:Y$949,'09월 에너지'!$A$14:$A$949,$A153,'09월 에너지'!$C$14:$C$949,$B153)))</f>
        <v/>
      </c>
      <c r="CQ153" s="835" t="str">
        <f>IF($C153&lt;1,"",(AVERAGEIFS('09월 에너지'!Z$14:Z$949,'09월 에너지'!$A$14:$A$949,$A153,'09월 에너지'!$C$14:$C$949,$B153)))</f>
        <v/>
      </c>
      <c r="CR153" s="835" t="str">
        <f>IF($C153&lt;1,"",(AVERAGEIFS('09월 에너지'!AA$14:AA$949,'09월 에너지'!$A$14:$A$949,$A153,'09월 에너지'!$C$14:$C$949,$B153)))</f>
        <v/>
      </c>
      <c r="CS153" s="835" t="str">
        <f>IF($C153&lt;1,"",(AVERAGEIFS('09월 에너지'!AB$14:AB$949,'09월 에너지'!$A$14:$A$949,$A153,'09월 에너지'!$C$14:$C$949,$B153)))</f>
        <v/>
      </c>
      <c r="CT153" s="831" t="str">
        <f>IF($C153&lt;1,"",(AVERAGEIFS('09월 에너지'!AC$14:AC$949,'09월 에너지'!$A$14:$A$949,$A153,'09월 에너지'!$C$14:$C$949,$B153)))</f>
        <v/>
      </c>
      <c r="CU153" s="836" t="str">
        <f>IF($C153&lt;1,"",(AVERAGEIFS('09월 에너지'!AD$14:AD$949,'09월 에너지'!$A$14:$A$949,$A153,'09월 에너지'!$C$14:$C$949,$B153)))</f>
        <v/>
      </c>
      <c r="CV153" s="837" t="str">
        <f>IF($C153&lt;1,"",(AVERAGEIFS('09월 에너지'!AE$14:AE$949,'09월 에너지'!$A$14:$A$949,$A153,'09월 에너지'!$C$14:$C$949,$B153)))</f>
        <v/>
      </c>
      <c r="CW153" s="831" t="str">
        <f>IF($C153&lt;1,"",(AVERAGEIFS('09월 에너지'!AF$14:AF$949,'09월 에너지'!$A$14:$A$949,$A153,'09월 에너지'!$C$14:$C$949,$B153)))</f>
        <v/>
      </c>
      <c r="CX153" s="831" t="str">
        <f>IF($C153&lt;1,"",(AVERAGEIFS('09월 에너지'!AG$14:AG$949,'09월 에너지'!$A$14:$A$949,$A153,'09월 에너지'!$C$14:$C$949,$B153)))</f>
        <v/>
      </c>
      <c r="CY153" s="831" t="str">
        <f>IF($C153&lt;1,"",(AVERAGEIFS('09월 에너지'!AH$14:AH$949,'09월 에너지'!$A$14:$A$949,$A153,'09월 에너지'!$C$14:$C$949,$B153)))</f>
        <v/>
      </c>
      <c r="CZ153" s="831" t="str">
        <f>IF($C153&lt;1,"",(AVERAGEIFS('09월 에너지'!AI$14:AI$949,'09월 에너지'!$A$14:$A$949,$A153,'09월 에너지'!$C$14:$C$949,$B153)))</f>
        <v/>
      </c>
      <c r="DA153" s="838" t="str">
        <f>IF($C153&lt;1,"",(AVERAGEIFS('09월 에너지'!AJ$14:AJ$949,'09월 에너지'!$A$14:$A$949,$A153,'09월 에너지'!$C$14:$C$949,$B153)))</f>
        <v/>
      </c>
    </row>
    <row r="154" spans="1:105" ht="13.5" customHeight="1">
      <c r="A154" s="849">
        <f t="shared" si="33"/>
        <v>44956</v>
      </c>
      <c r="B154" s="850" t="s">
        <v>10</v>
      </c>
      <c r="C154" s="823">
        <f>COUNTIFS('09월 조업일지'!$A$12:$A$952,A151,'09월 조업일지'!$E$12:$E$952,B154)</f>
        <v>0</v>
      </c>
      <c r="D154" s="824" t="str">
        <f t="shared" si="34"/>
        <v/>
      </c>
      <c r="E154" s="824" t="str">
        <f>IF($C154&lt;1,"",(SUMIFS('09월 조업일지'!$K$12:$K$952,'09월 조업일지'!$A$12:$A$952,$A154,'09월 조업일지'!$E$12:$E$952,$B154)/$C154))</f>
        <v/>
      </c>
      <c r="F154" s="824" t="str">
        <f>IF($C154&lt;1,"",(AVERAGEIFS('09월 조업일지'!$J$12:$J$952,'09월 조업일지'!$A$12:$A$952,$A154,'09월 조업일지'!$E$12:$E$952,$B154)))</f>
        <v/>
      </c>
      <c r="G154" s="825" t="str">
        <f>IF($C154&lt;1,"",(AVERAGEIFS('09월 에너지'!$M$14:$M$949,'09월 에너지'!$A$14:$A$949,$A154,'09월 에너지'!$C$14:$C$949,$B154)))</f>
        <v/>
      </c>
      <c r="H154" s="826" t="str">
        <f>IF($C154&lt;1,"",(AVERAGEIFS('09월 조업일지'!$AJ$12:$AJ$952,'09월 조업일지'!$A$12:$A$952,$A154,'09월 조업일지'!$E$12:$E$952,$B154)))</f>
        <v/>
      </c>
      <c r="I154" s="826" t="str">
        <f>IF($C154&lt;1,"",(AVERAGEIFS('09월 조업일지'!$AL$12:$AL$952,'09월 조업일지'!$A$12:$A$952,$A154,'09월 조업일지'!$E$12:$E$952,$B154)))</f>
        <v/>
      </c>
      <c r="J154" s="827" t="str">
        <f>IF($C154&lt;1,"",(AVERAGEIFS('09월 화학성분'!G$12:G$949,'09월 화학성분'!$A$12:$A$949,$A154,'09월 화학성분'!$D$12:$D$949,$B154)))</f>
        <v/>
      </c>
      <c r="K154" s="827" t="str">
        <f>IF($C154&lt;1,"",(AVERAGEIFS('09월 화학성분'!H$12:H$949,'09월 화학성분'!$A$12:$A$949,$A154,'09월 화학성분'!$D$12:$D$949,$B154)))</f>
        <v/>
      </c>
      <c r="L154" s="827" t="str">
        <f>IF($C154&lt;1,"",(AVERAGEIFS('09월 화학성분'!I$12:I$949,'09월 화학성분'!$A$12:$A$949,$A154,'09월 화학성분'!$D$12:$D$949,$B154)))</f>
        <v/>
      </c>
      <c r="M154" s="827" t="str">
        <f>IF($C154&lt;1,"",(AVERAGEIFS('09월 화학성분'!J$12:J$949,'09월 화학성분'!$A$12:$A$949,$A154,'09월 화학성분'!$D$12:$D$949,$B154)))</f>
        <v/>
      </c>
      <c r="N154" s="827" t="str">
        <f>IF($C154&lt;1,"",(AVERAGEIFS('09월 화학성분'!K$12:K$949,'09월 화학성분'!$A$12:$A$949,$A154,'09월 화학성분'!$D$12:$D$949,$B154)))</f>
        <v/>
      </c>
      <c r="O154" s="827" t="str">
        <f>IF($C154&lt;1,"",(AVERAGEIFS('09월 화학성분'!L$12:L$949,'09월 화학성분'!$A$12:$A$949,$A154,'09월 화학성분'!$D$12:$D$949,$B154)))</f>
        <v/>
      </c>
      <c r="P154" s="827" t="str">
        <f>IF($C154&lt;1,"",(AVERAGEIFS('09월 화학성분'!M$12:M$949,'09월 화학성분'!$A$12:$A$949,$A154,'09월 화학성분'!$D$12:$D$949,$B154)))</f>
        <v/>
      </c>
      <c r="Q154" s="827" t="str">
        <f>IFERROR(IF($C154&lt;1,"",(AVERAGEIFS('09월 조업일지'!$AA$12:$AA$952,'09월 조업일지'!$A$12:$A$952,$A154,'09월 조업일지'!$E$12:$E$952,$B154))),"")</f>
        <v/>
      </c>
      <c r="R154" s="827" t="str">
        <f>IF($C154&lt;1,"",(AVERAGEIFS('09월 조업일지'!$AK$12:$AK$952,'09월 조업일지'!$A$12:$A$952,$A154,'09월 조업일지'!$E$12:$E$952,$B154)))</f>
        <v/>
      </c>
      <c r="S154" s="827"/>
      <c r="T154" s="827"/>
      <c r="U154" s="827" t="str">
        <f>IF($C154&lt;1,"",(AVERAGEIFS('09월 화학성분'!$G$12:$G$949,'09월 화학성분'!$A$12:$A$949,$A154,'09월 화학성분'!$D$12:$D$949,$B154)))</f>
        <v/>
      </c>
      <c r="V154" s="827" t="str">
        <f>IF($C154&lt;1,"",(AVERAGEIFS('09월 조업일지'!$AI$12:$AI$952,'09월 조업일지'!$A$12:$A$952,$A154,'09월 조업일지'!$E$12:$E$952,$B154)))</f>
        <v/>
      </c>
      <c r="W154" s="828" t="str">
        <f>IF($C154&lt;1,"",(AVERAGEIFS('09월 화학성분'!$AM$12:$AM$949,'09월 화학성분'!$A$12:$A$949,$A154,'09월 화학성분'!$D$12:$D$949,$B154)))</f>
        <v/>
      </c>
      <c r="X154" s="829" t="str">
        <f>IF($C154&lt;1,"",(AVERAGEIFS('09월 화학성분'!N$12:N$949,'09월 화학성분'!$A$12:$A$949,$A154,'09월 화학성분'!$D$12:$D$949,$B154)))</f>
        <v/>
      </c>
      <c r="Y154" s="829" t="str">
        <f>IF($C154&lt;1,"",(AVERAGEIFS('09월 화학성분'!O$12:O$949,'09월 화학성분'!$A$12:$A$949,$A154,'09월 화학성분'!$D$12:$D$949,$B154)))</f>
        <v/>
      </c>
      <c r="Z154" s="829" t="str">
        <f>IF($C154&lt;1,"",(AVERAGEIFS('09월 화학성분'!P$12:P$949,'09월 화학성분'!$A$12:$A$949,$A154,'09월 화학성분'!$D$12:$D$949,$B154)))</f>
        <v/>
      </c>
      <c r="AA154" s="829" t="str">
        <f>IF($C154&lt;1,"",(AVERAGEIFS('09월 화학성분'!Q$12:Q$949,'09월 화학성분'!$A$12:$A$949,$A154,'09월 화학성분'!$D$12:$D$949,$B154)))</f>
        <v/>
      </c>
      <c r="AB154" s="829" t="str">
        <f>IF($C154&lt;1,"",(AVERAGEIFS('09월 화학성분'!R$12:R$949,'09월 화학성분'!$A$12:$A$949,$A154,'09월 화학성분'!$D$12:$D$949,$B154)))</f>
        <v/>
      </c>
      <c r="AC154" s="829" t="str">
        <f>IF($C154&lt;1,"",(AVERAGEIFS('09월 화학성분'!U$12:U$949,'09월 화학성분'!$A$12:$A$949,$A154,'09월 화학성분'!$D$12:$D$949,$B154)))</f>
        <v/>
      </c>
      <c r="AD154" s="829" t="str">
        <f>IF($C154&lt;1,"",(AVERAGEIFS('09월 화학성분'!V$12:V$949,'09월 화학성분'!$A$12:$A$949,$A154,'09월 화학성분'!$D$12:$D$949,$B154)))</f>
        <v/>
      </c>
      <c r="AE154" s="829" t="str">
        <f>IF($C154&lt;1,"",(AVERAGEIFS('09월 화학성분'!W$12:W$949,'09월 화학성분'!$A$12:$A$949,$A154,'09월 화학성분'!$D$12:$D$949,$B154)))</f>
        <v/>
      </c>
      <c r="AF154" s="829" t="str">
        <f>IF($C154&lt;1,"",(AVERAGEIFS('09월 화학성분'!AA$12:AA$949,'09월 화학성분'!$A$12:$A$949,$A154,'09월 화학성분'!$D$12:$D$949,$B154)))</f>
        <v/>
      </c>
      <c r="AG154" s="829" t="str">
        <f>IF($C154&lt;1,"",(AVERAGEIFS('09월 화학성분'!#REF!,'09월 화학성분'!$A$12:$A$949,$A154,'09월 화학성분'!$D$12:$D$949,$B154)))</f>
        <v/>
      </c>
      <c r="AH154" s="829" t="str">
        <f>IF($C154&lt;1,"",(AVERAGEIFS('09월 화학성분'!AB$12:AB$949,'09월 화학성분'!$A$12:$A$949,$A154,'09월 화학성분'!$D$12:$D$949,$B154)))</f>
        <v/>
      </c>
      <c r="AI154" s="829" t="str">
        <f>IF($C154&lt;1,"",(AVERAGEIFS('09월 화학성분'!AC$12:AC$949,'09월 화학성분'!$A$12:$A$949,$A154,'09월 화학성분'!$D$12:$D$949,$B154)))</f>
        <v/>
      </c>
      <c r="AJ154" s="829" t="str">
        <f>IF($C154&lt;1,"",(AVERAGEIFS('09월 화학성분'!AD$12:AD$949,'09월 화학성분'!$A$12:$A$949,$A154,'09월 화학성분'!$D$12:$D$949,$B154)))</f>
        <v/>
      </c>
      <c r="AK154" s="829" t="str">
        <f>IF($C154&lt;1,"",(AVERAGEIFS('09월 화학성분'!AF$12:AF$949,'09월 화학성분'!$A$12:$A$949,$A154,'09월 화학성분'!$D$12:$D$949,$B154)))</f>
        <v/>
      </c>
      <c r="AL154" s="829" t="str">
        <f>IF($C154&lt;1,"",(AVERAGEIFS('09월 화학성분'!AG$12:AG$949,'09월 화학성분'!$A$12:$A$949,$A154,'09월 화학성분'!$D$12:$D$949,$B154)))</f>
        <v/>
      </c>
      <c r="AM154" s="829" t="str">
        <f>IF($C154&lt;1,"",(AVERAGEIFS('09월 화학성분'!AH$12:AH$949,'09월 화학성분'!$A$12:$A$949,$A154,'09월 화학성분'!$D$12:$D$949,$B154)))</f>
        <v/>
      </c>
      <c r="AN154" s="829" t="str">
        <f>IF($C154&lt;1,"",(AVERAGEIFS('09월 화학성분'!AI$12:AI$949,'09월 화학성분'!$A$12:$A$949,$A154,'09월 화학성분'!$D$12:$D$949,$B154)))</f>
        <v/>
      </c>
      <c r="AO154" s="829" t="str">
        <f>IF($C154&lt;1,"",(AVERAGEIFS('09월 화학성분'!AJ$12:AJ$949,'09월 화학성분'!$A$12:$A$949,$A154,'09월 화학성분'!$D$12:$D$949,$B154)))</f>
        <v/>
      </c>
      <c r="AP154" s="829" t="str">
        <f>IF($C154&lt;1,"",(AVERAGEIFS('09월 화학성분'!#REF!,'09월 화학성분'!$A$12:$A$949,$A154,'09월 화학성분'!$D$12:$D$949,$B154)))</f>
        <v/>
      </c>
      <c r="AQ154" s="829" t="str">
        <f>IF($C154&lt;1,"",(AVERAGEIFS('09월 화학성분'!AL$12:AL$949,'09월 화학성분'!$A$12:$A$949,$A154,'09월 화학성분'!$D$12:$D$949,$B154)))</f>
        <v/>
      </c>
      <c r="AR154" s="829" t="str">
        <f>IF($C154&lt;1,"",(AVERAGEIFS('09월 화학성분'!AM$12:AM$949,'09월 화학성분'!$A$12:$A$949,$A154,'09월 화학성분'!$D$12:$D$949,$B154)))</f>
        <v/>
      </c>
      <c r="AS154" s="830" t="str">
        <f>IF($C154&lt;1,"",(AVERAGEIFS('09월 화학성분'!AN$12:AN$949,'09월 화학성분'!$A$12:$A$949,$A154,'09월 화학성분'!$D$12:$D$949,$B154)))</f>
        <v/>
      </c>
      <c r="AT154" s="830" t="str">
        <f>IF($C154&lt;1,"",(AVERAGEIFS('09월 화학성분'!AO$12:AO$949,'09월 화학성분'!$A$12:$A$949,$A154,'09월 화학성분'!$D$12:$D$949,$B154)))</f>
        <v/>
      </c>
      <c r="AU154" s="831" t="str">
        <f>IF($C154&lt;1,"",(AVERAGEIFS('09월 화학성분'!AP$12:AP$949,'09월 화학성분'!$A$12:$A$949,$A154,'09월 화학성분'!$D$12:$D$949,$B154)))</f>
        <v/>
      </c>
      <c r="AV154" s="832" t="str">
        <f>IF($C154&lt;1,"",(AVERAGEIFS('09월 고철장입'!G$14:G$949,'09월 고철장입'!$A$14:$A$949,$A154,'09월 고철장입'!$C$14:$C$949,$B154))/1000)</f>
        <v/>
      </c>
      <c r="AW154" s="832" t="str">
        <f>IF($C154&lt;1,"",(AVERAGEIFS('09월 고철장입'!H$14:H$949,'09월 고철장입'!$A$14:$A$949,$A154,'09월 고철장입'!$C$14:$C$949,$B154))/1000)</f>
        <v/>
      </c>
      <c r="AX154" s="832" t="str">
        <f>IF($C154&lt;1,"",(AVERAGEIFS('09월 고철장입'!I$14:I$949,'09월 고철장입'!$A$14:$A$949,$A154,'09월 고철장입'!$C$14:$C$949,$B154))/1000)</f>
        <v/>
      </c>
      <c r="AY154" s="832" t="str">
        <f>IF($C154&lt;1,"",(AVERAGEIFS('09월 고철장입'!J$14:J$949,'09월 고철장입'!$A$14:$A$949,$A154,'09월 고철장입'!$C$14:$C$949,$B154))/1000)</f>
        <v/>
      </c>
      <c r="AZ154" s="832" t="str">
        <f>IF($C154&lt;1,"",(AVERAGEIFS('09월 고철장입'!K$14:K$949,'09월 고철장입'!$A$14:$A$949,$A154,'09월 고철장입'!$C$14:$C$949,$B154))/1000)</f>
        <v/>
      </c>
      <c r="BA154" s="832" t="str">
        <f>IF($C154&lt;1,"",(AVERAGEIFS('09월 고철장입'!L$14:L$949,'09월 고철장입'!$A$14:$A$949,$A154,'09월 고철장입'!$C$14:$C$949,$B154))/1000)</f>
        <v/>
      </c>
      <c r="BB154" s="832" t="str">
        <f>IF($C154&lt;1,"",(AVERAGEIFS('09월 고철장입'!M$14:M$949,'09월 고철장입'!$A$14:$A$949,$A154,'09월 고철장입'!$C$14:$C$949,$B154))/1000)</f>
        <v/>
      </c>
      <c r="BC154" s="832" t="str">
        <f>IF($C154&lt;1,"",(AVERAGEIFS('09월 고철장입'!N$14:N$949,'09월 고철장입'!$A$14:$A$949,$A154,'09월 고철장입'!$C$14:$C$949,$B154))/1000)</f>
        <v/>
      </c>
      <c r="BD154" s="832" t="str">
        <f>IF($C154&lt;1,"",(AVERAGEIFS('09월 고철장입'!O$14:O$949,'09월 고철장입'!$A$14:$A$949,$A154,'09월 고철장입'!$C$14:$C$949,$B154))/1000)</f>
        <v/>
      </c>
      <c r="BE154" s="833" t="str">
        <f>IF($C154&lt;1,"",(AVERAGEIFS('09월 고철장입'!P$14:P$949,'09월 고철장입'!$A$14:$A$949,$A154,'09월 고철장입'!$C$14:$C$949,$B154))/1000)</f>
        <v/>
      </c>
      <c r="BF154" s="833" t="str">
        <f>IF($C154&lt;1,"",(AVERAGEIFS('09월 고철장입'!Q$14:Q$949,'09월 고철장입'!$A$14:$A$949,$A154,'09월 고철장입'!$C$14:$C$949,$B154))/1000)</f>
        <v/>
      </c>
      <c r="BG154" s="833" t="str">
        <f>IF($C154&lt;1,"",(AVERAGEIFS('09월 고철장입'!S$14:S$949,'09월 고철장입'!$A$14:$A$949,$A154,'09월 고철장입'!$C$14:$C$949,$B154))/1000)</f>
        <v/>
      </c>
      <c r="BH154" s="833" t="str">
        <f>IF($C154&lt;1,"",(AVERAGEIFS('09월 고철장입'!T$14:T$949,'09월 고철장입'!$A$14:$A$949,$A154,'09월 고철장입'!$C$14:$C$949,$B154))/1000)</f>
        <v/>
      </c>
      <c r="BI154" s="833" t="str">
        <f>IF($C154&lt;1,"",(AVERAGEIFS('09월 고철장입'!U$14:U$949,'09월 고철장입'!$A$14:$A$949,$A154,'09월 고철장입'!$C$14:$C$949,$B154))/1000)</f>
        <v/>
      </c>
      <c r="BJ154" s="833" t="str">
        <f>IF($C154&lt;1,"",(AVERAGEIFS('09월 고철장입'!V$14:V$949,'09월 고철장입'!$A$14:$A$949,$A154,'09월 고철장입'!$C$14:$C$949,$B154))/1000)</f>
        <v/>
      </c>
      <c r="BK154" s="833" t="str">
        <f>IF($C154&lt;1,"",(AVERAGEIFS('09월 고철장입'!W$14:W$949,'09월 고철장입'!$A$14:$A$949,$A154,'09월 고철장입'!$C$14:$C$949,$B154))/1000)</f>
        <v/>
      </c>
      <c r="BL154" s="833" t="str">
        <f>IF($C154&lt;1,"",(AVERAGEIFS('09월 고철장입'!Y$14:Y$949,'09월 고철장입'!$A$14:$A$949,$A154,'09월 고철장입'!$C$14:$C$949,$B154))/1000)</f>
        <v/>
      </c>
      <c r="BM154" s="833" t="str">
        <f>IF($C154&lt;1,"",(AVERAGEIFS('09월 고철장입'!AB$14:AB$949,'09월 고철장입'!$A$14:$A$949,$A154,'09월 고철장입'!$C$14:$C$949,$B154))/1000)</f>
        <v/>
      </c>
      <c r="BN154" s="833" t="str">
        <f>IF($C154&lt;1,"",(AVERAGEIFS('09월 고철장입'!AC$14:AC$949,'09월 고철장입'!$A$14:$A$949,$A154,'09월 고철장입'!$C$14:$C$949,$B154))/1000)</f>
        <v/>
      </c>
      <c r="BO154" s="833" t="str">
        <f>IF($C154&lt;1,"",(AVERAGEIFS('09월 고철장입'!AD$14:AD$949,'09월 고철장입'!$A$14:$A$949,$A154,'09월 고철장입'!$C$14:$C$949,$B154))/1000)</f>
        <v/>
      </c>
      <c r="BP154" s="833" t="str">
        <f>IF($C154&lt;1,"",(AVERAGEIFS('09월 고철장입'!AE$14:AE$949,'09월 고철장입'!$A$14:$A$949,$A154,'09월 고철장입'!$C$14:$C$949,$B154))/1000)</f>
        <v/>
      </c>
      <c r="BQ154" s="832" t="str">
        <f>IF($C154&lt;1,"",(AVERAGEIFS('09월 고철장입'!AF$14:AF$949,'09월 고철장입'!$A$14:$A$949,$A154,'09월 고철장입'!$C$14:$C$949,$B154))/1000)</f>
        <v/>
      </c>
      <c r="BR154" s="832" t="str">
        <f>IF($C154&lt;1,"",(AVERAGEIFS('09월 고철장입'!AG$14:AG$949,'09월 고철장입'!$A$14:$A$949,$A154,'09월 고철장입'!$C$14:$C$949,$B154))/1000)</f>
        <v/>
      </c>
      <c r="BS154" s="832" t="str">
        <f>IF($C154&lt;1,"",(AVERAGEIFS('09월 고철장입'!AH$14:AH$949,'09월 고철장입'!$A$14:$A$949,$A154,'09월 고철장입'!$C$14:$C$949,$B154))/1000)</f>
        <v/>
      </c>
      <c r="BT154" s="832" t="str">
        <f>IF($C154&lt;1,"",(AVERAGEIFS('09월 고철장입'!AI$14:AI$949,'09월 고철장입'!$A$14:$A$949,$A154,'09월 고철장입'!$C$14:$C$949,$B154))/1000)</f>
        <v/>
      </c>
      <c r="BU154" s="834" t="str">
        <f>IF($C154&lt;1,"",(AVERAGEIFS('09월 고철장입'!AJ$14:AJ$949,'09월 고철장입'!$A$14:$A$949,$A154,'09월 고철장입'!$C$14:$C$949,$B154))/1000)</f>
        <v/>
      </c>
      <c r="BV154" s="834" t="str">
        <f>IF($C154&lt;1,"",(AVERAGEIFS('09월 고철장입'!AK$14:AK$949,'09월 고철장입'!$A$14:$A$949,$A154,'09월 고철장입'!$C$14:$C$949,$B154)))</f>
        <v/>
      </c>
      <c r="BW154" s="834" t="str">
        <f>IF($C154&lt;1,"",(AVERAGEIFS('09월 고철장입'!AL$14:AL$949,'09월 고철장입'!$A$14:$A$949,$A154,'09월 고철장입'!$C$14:$C$949,$B154))*100)</f>
        <v/>
      </c>
      <c r="BX154" s="831" t="str">
        <f>IF($C154&lt;1,"",(AVERAGEIFS('09월 에너지'!G$14:G$949,'09월 에너지'!$A$14:$A$949,$A154,'09월 에너지'!$C$14:$C$949,$B154)))</f>
        <v/>
      </c>
      <c r="BY154" s="835" t="str">
        <f>IF($C154&lt;1,"",(AVERAGEIFS('09월 에너지'!H$14:H$949,'09월 에너지'!$A$14:$A$949,$A154,'09월 에너지'!$C$14:$C$949,$B154)))</f>
        <v/>
      </c>
      <c r="BZ154" s="831" t="str">
        <f>IF($C154&lt;1,"",(AVERAGEIFS('09월 에너지'!I$14:I$949,'09월 에너지'!$A$14:$A$949,$A154,'09월 에너지'!$C$14:$C$949,$B154)))</f>
        <v/>
      </c>
      <c r="CA154" s="835" t="str">
        <f>IF($C154&lt;1,"",(AVERAGEIFS('09월 에너지'!J$14:J$949,'09월 에너지'!$A$14:$A$949,$A154,'09월 에너지'!$C$14:$C$949,$B154)))</f>
        <v/>
      </c>
      <c r="CB154" s="831" t="str">
        <f>IF($C154&lt;1,"",(AVERAGEIFS('09월 에너지'!K$14:K$949,'09월 에너지'!$A$14:$A$949,$A154,'09월 에너지'!$C$14:$C$949,$B154)))</f>
        <v/>
      </c>
      <c r="CC154" s="835" t="str">
        <f>IF($C154&lt;1,"",(AVERAGEIFS('09월 에너지'!L$14:L$949,'09월 에너지'!$A$14:$A$949,$A154,'09월 에너지'!$C$14:$C$949,$B154)))</f>
        <v/>
      </c>
      <c r="CD154" s="831" t="str">
        <f>IF($C154&lt;1,"",(AVERAGEIFS('09월 에너지'!M$14:M$949,'09월 에너지'!$A$14:$A$949,$A154,'09월 에너지'!$C$14:$C$949,$B154)))</f>
        <v/>
      </c>
      <c r="CE154" s="835" t="str">
        <f>IF($C154&lt;1,"",(AVERAGEIFS('09월 에너지'!N$14:N$949,'09월 에너지'!$A$14:$A$949,$A154,'09월 에너지'!$C$14:$C$949,$B154)))</f>
        <v/>
      </c>
      <c r="CF154" s="831" t="str">
        <f>IF($C154&lt;1,"",(AVERAGEIFS('09월 에너지'!O$14:O$949,'09월 에너지'!$A$14:$A$949,$A154,'09월 에너지'!$C$14:$C$949,$B154)))</f>
        <v/>
      </c>
      <c r="CG154" s="831" t="str">
        <f>IF($C154&lt;1,"",(AVERAGEIFS('09월 에너지'!P$14:P$949,'09월 에너지'!$A$14:$A$949,$A154,'09월 에너지'!$C$14:$C$949,$B154)))</f>
        <v/>
      </c>
      <c r="CH154" s="831" t="str">
        <f>IF($C154&lt;1,"",(AVERAGEIFS('09월 에너지'!Q$14:Q$949,'09월 에너지'!$A$14:$A$949,$A154,'09월 에너지'!$C$14:$C$949,$B154)))</f>
        <v/>
      </c>
      <c r="CI154" s="831" t="str">
        <f>IF($C154&lt;1,"",(AVERAGEIFS('09월 에너지'!R$14:R$949,'09월 에너지'!$A$14:$A$949,$A154,'09월 에너지'!$C$14:$C$949,$B154)))</f>
        <v/>
      </c>
      <c r="CJ154" s="831" t="str">
        <f>IF($C154&lt;1,"",(AVERAGEIFS('09월 에너지'!S$14:S$949,'09월 에너지'!$A$14:$A$949,$A154,'09월 에너지'!$C$14:$C$949,$B154)))</f>
        <v/>
      </c>
      <c r="CK154" s="831" t="str">
        <f>IF($C154&lt;1,"",(AVERAGEIFS('09월 에너지'!T$14:T$949,'09월 에너지'!$A$14:$A$949,$A154,'09월 에너지'!$C$14:$C$949,$B154)))</f>
        <v/>
      </c>
      <c r="CL154" s="831" t="str">
        <f>IF($C154&lt;1,"",(AVERAGEIFS('09월 에너지'!U$14:U$949,'09월 에너지'!$A$14:$A$949,$A154,'09월 에너지'!$C$14:$C$949,$B154)))</f>
        <v/>
      </c>
      <c r="CM154" s="835" t="str">
        <f>IF($C154&lt;1,"",(AVERAGEIFS('09월 에너지'!V$14:V$949,'09월 에너지'!$A$14:$A$949,$A154,'09월 에너지'!$C$14:$C$949,$B154)))</f>
        <v/>
      </c>
      <c r="CN154" s="835" t="str">
        <f>IF($C154&lt;1,"",(AVERAGEIFS('09월 에너지'!W$14:W$949,'09월 에너지'!$A$14:$A$949,$A154,'09월 에너지'!$C$14:$C$949,$B154)))</f>
        <v/>
      </c>
      <c r="CO154" s="831" t="str">
        <f>IF($C154&lt;1,"",(AVERAGEIFS('09월 에너지'!X$14:X$949,'09월 에너지'!$A$14:$A$949,$A154,'09월 에너지'!$C$14:$C$949,$B154)))</f>
        <v/>
      </c>
      <c r="CP154" s="835" t="str">
        <f>IF($C154&lt;1,"",(AVERAGEIFS('09월 에너지'!Y$14:Y$949,'09월 에너지'!$A$14:$A$949,$A154,'09월 에너지'!$C$14:$C$949,$B154)))</f>
        <v/>
      </c>
      <c r="CQ154" s="835" t="str">
        <f>IF($C154&lt;1,"",(AVERAGEIFS('09월 에너지'!Z$14:Z$949,'09월 에너지'!$A$14:$A$949,$A154,'09월 에너지'!$C$14:$C$949,$B154)))</f>
        <v/>
      </c>
      <c r="CR154" s="835" t="str">
        <f>IF($C154&lt;1,"",(AVERAGEIFS('09월 에너지'!AA$14:AA$949,'09월 에너지'!$A$14:$A$949,$A154,'09월 에너지'!$C$14:$C$949,$B154)))</f>
        <v/>
      </c>
      <c r="CS154" s="835" t="str">
        <f>IF($C154&lt;1,"",(AVERAGEIFS('09월 에너지'!AB$14:AB$949,'09월 에너지'!$A$14:$A$949,$A154,'09월 에너지'!$C$14:$C$949,$B154)))</f>
        <v/>
      </c>
      <c r="CT154" s="831" t="str">
        <f>IF($C154&lt;1,"",(AVERAGEIFS('09월 에너지'!AC$14:AC$949,'09월 에너지'!$A$14:$A$949,$A154,'09월 에너지'!$C$14:$C$949,$B154)))</f>
        <v/>
      </c>
      <c r="CU154" s="836" t="str">
        <f>IF($C154&lt;1,"",(AVERAGEIFS('09월 에너지'!AD$14:AD$949,'09월 에너지'!$A$14:$A$949,$A154,'09월 에너지'!$C$14:$C$949,$B154)))</f>
        <v/>
      </c>
      <c r="CV154" s="837" t="str">
        <f>IF($C154&lt;1,"",(AVERAGEIFS('09월 에너지'!AE$14:AE$949,'09월 에너지'!$A$14:$A$949,$A154,'09월 에너지'!$C$14:$C$949,$B154)))</f>
        <v/>
      </c>
      <c r="CW154" s="831" t="str">
        <f>IF($C154&lt;1,"",(AVERAGEIFS('09월 에너지'!AF$14:AF$949,'09월 에너지'!$A$14:$A$949,$A154,'09월 에너지'!$C$14:$C$949,$B154)))</f>
        <v/>
      </c>
      <c r="CX154" s="831" t="str">
        <f>IF($C154&lt;1,"",(AVERAGEIFS('09월 에너지'!AG$14:AG$949,'09월 에너지'!$A$14:$A$949,$A154,'09월 에너지'!$C$14:$C$949,$B154)))</f>
        <v/>
      </c>
      <c r="CY154" s="831" t="str">
        <f>IF($C154&lt;1,"",(AVERAGEIFS('09월 에너지'!AH$14:AH$949,'09월 에너지'!$A$14:$A$949,$A154,'09월 에너지'!$C$14:$C$949,$B154)))</f>
        <v/>
      </c>
      <c r="CZ154" s="831" t="str">
        <f>IF($C154&lt;1,"",(AVERAGEIFS('09월 에너지'!AI$14:AI$949,'09월 에너지'!$A$14:$A$949,$A154,'09월 에너지'!$C$14:$C$949,$B154)))</f>
        <v/>
      </c>
      <c r="DA154" s="838" t="str">
        <f>IF($C154&lt;1,"",(AVERAGEIFS('09월 에너지'!AJ$14:AJ$949,'09월 에너지'!$A$14:$A$949,$A154,'09월 에너지'!$C$14:$C$949,$B154)))</f>
        <v/>
      </c>
    </row>
    <row r="155" spans="1:105" ht="13.5" customHeight="1" thickBot="1">
      <c r="A155" s="851">
        <f t="shared" si="33"/>
        <v>44956</v>
      </c>
      <c r="B155" s="852" t="s">
        <v>94</v>
      </c>
      <c r="C155" s="841">
        <f>COUNTIFS('09월 조업일지'!$A$12:$A$952,A151,'09월 조업일지'!$E$12:$E$952,B155)</f>
        <v>0</v>
      </c>
      <c r="D155" s="842" t="str">
        <f t="shared" si="34"/>
        <v/>
      </c>
      <c r="E155" s="842" t="str">
        <f>IF($C155&lt;1,"",(SUMIFS('09월 조업일지'!$K$12:$K$952,'09월 조업일지'!$A$12:$A$952,$A155,'09월 조업일지'!$E$12:$E$952,$B155)/$C155))</f>
        <v/>
      </c>
      <c r="F155" s="842" t="str">
        <f>IF($C155&lt;1,"",(AVERAGEIFS('09월 조업일지'!$J$12:$J$952,'09월 조업일지'!$A$12:$A$952,$A155,'09월 조업일지'!$E$12:$E$952,$B155)))</f>
        <v/>
      </c>
      <c r="G155" s="843" t="str">
        <f>IF($C155&lt;1,"",(AVERAGEIFS('09월 에너지'!$M$14:$M$949,'09월 에너지'!$A$14:$A$949,$A155,'09월 에너지'!$C$14:$C$949,$B155)))</f>
        <v/>
      </c>
      <c r="H155" s="844" t="str">
        <f>IF($C155&lt;1,"",(AVERAGEIFS('09월 조업일지'!$AJ$12:$AJ$952,'09월 조업일지'!$A$12:$A$952,$A155,'09월 조업일지'!$E$12:$E$952,$B155)))</f>
        <v/>
      </c>
      <c r="I155" s="844" t="str">
        <f>IF($C155&lt;1,"",(AVERAGEIFS('09월 조업일지'!$AL$12:$AL$952,'09월 조업일지'!$A$12:$A$952,$A155,'09월 조업일지'!$E$12:$E$952,$B155)))</f>
        <v/>
      </c>
      <c r="J155" s="845" t="str">
        <f>IF($C155&lt;1,"",(AVERAGEIFS('09월 화학성분'!G$12:G$949,'09월 화학성분'!$A$12:$A$949,$A155,'09월 화학성분'!$D$12:$D$949,$B155)))</f>
        <v/>
      </c>
      <c r="K155" s="845" t="str">
        <f>IF($C155&lt;1,"",(AVERAGEIFS('09월 화학성분'!H$12:H$949,'09월 화학성분'!$A$12:$A$949,$A155,'09월 화학성분'!$D$12:$D$949,$B155)))</f>
        <v/>
      </c>
      <c r="L155" s="845" t="str">
        <f>IF($C155&lt;1,"",(AVERAGEIFS('09월 화학성분'!I$12:I$949,'09월 화학성분'!$A$12:$A$949,$A155,'09월 화학성분'!$D$12:$D$949,$B155)))</f>
        <v/>
      </c>
      <c r="M155" s="845" t="str">
        <f>IF($C155&lt;1,"",(AVERAGEIFS('09월 화학성분'!J$12:J$949,'09월 화학성분'!$A$12:$A$949,$A155,'09월 화학성분'!$D$12:$D$949,$B155)))</f>
        <v/>
      </c>
      <c r="N155" s="845" t="str">
        <f>IF($C155&lt;1,"",(AVERAGEIFS('09월 화학성분'!K$12:K$949,'09월 화학성분'!$A$12:$A$949,$A155,'09월 화학성분'!$D$12:$D$949,$B155)))</f>
        <v/>
      </c>
      <c r="O155" s="845" t="str">
        <f>IF($C155&lt;1,"",(AVERAGEIFS('09월 화학성분'!L$12:L$949,'09월 화학성분'!$A$12:$A$949,$A155,'09월 화학성분'!$D$12:$D$949,$B155)))</f>
        <v/>
      </c>
      <c r="P155" s="845" t="str">
        <f>IF($C155&lt;1,"",(AVERAGEIFS('09월 화학성분'!M$12:M$949,'09월 화학성분'!$A$12:$A$949,$A155,'09월 화학성분'!$D$12:$D$949,$B155)))</f>
        <v/>
      </c>
      <c r="Q155" s="827" t="str">
        <f>IFERROR(IF($C155&lt;1,"",(AVERAGEIFS('09월 조업일지'!$AA$12:$AA$952,'09월 조업일지'!$A$12:$A$952,$A155,'09월 조업일지'!$E$12:$E$952,$B155))),"")</f>
        <v/>
      </c>
      <c r="R155" s="845" t="str">
        <f>IF($C155&lt;1,"",(AVERAGEIFS('09월 조업일지'!$AK$12:$AK$952,'09월 조업일지'!$A$12:$A$952,$A155,'09월 조업일지'!$E$12:$E$952,$B155)))</f>
        <v/>
      </c>
      <c r="S155" s="845"/>
      <c r="T155" s="845"/>
      <c r="U155" s="845" t="str">
        <f>IF($C155&lt;1,"",(AVERAGEIFS('09월 화학성분'!$G$12:$G$949,'09월 화학성분'!$A$12:$A$949,$A155,'09월 화학성분'!$D$12:$D$949,$B155)))</f>
        <v/>
      </c>
      <c r="V155" s="845" t="str">
        <f>IF($C155&lt;1,"",(AVERAGEIFS('09월 조업일지'!$AI$12:$AI$952,'09월 조업일지'!$A$12:$A$952,$A155,'09월 조업일지'!$E$12:$E$952,$B155)))</f>
        <v/>
      </c>
      <c r="W155" s="846" t="str">
        <f>IF($C155&lt;1,"",(AVERAGEIFS('09월 화학성분'!$AM$12:$AM$949,'09월 화학성분'!$A$12:$A$949,$A155,'09월 화학성분'!$D$12:$D$949,$B155)))</f>
        <v/>
      </c>
      <c r="X155" s="829" t="str">
        <f>IF($C155&lt;1,"",(AVERAGEIFS('09월 화학성분'!N$12:N$949,'09월 화학성분'!$A$12:$A$949,$A155,'09월 화학성분'!$D$12:$D$949,$B155)))</f>
        <v/>
      </c>
      <c r="Y155" s="829" t="str">
        <f>IF($C155&lt;1,"",(AVERAGEIFS('09월 화학성분'!O$12:O$949,'09월 화학성분'!$A$12:$A$949,$A155,'09월 화학성분'!$D$12:$D$949,$B155)))</f>
        <v/>
      </c>
      <c r="Z155" s="829" t="str">
        <f>IF($C155&lt;1,"",(AVERAGEIFS('09월 화학성분'!P$12:P$949,'09월 화학성분'!$A$12:$A$949,$A155,'09월 화학성분'!$D$12:$D$949,$B155)))</f>
        <v/>
      </c>
      <c r="AA155" s="829" t="str">
        <f>IF($C155&lt;1,"",(AVERAGEIFS('09월 화학성분'!Q$12:Q$949,'09월 화학성분'!$A$12:$A$949,$A155,'09월 화학성분'!$D$12:$D$949,$B155)))</f>
        <v/>
      </c>
      <c r="AB155" s="829" t="str">
        <f>IF($C155&lt;1,"",(AVERAGEIFS('09월 화학성분'!R$12:R$949,'09월 화학성분'!$A$12:$A$949,$A155,'09월 화학성분'!$D$12:$D$949,$B155)))</f>
        <v/>
      </c>
      <c r="AC155" s="829" t="str">
        <f>IF($C155&lt;1,"",(AVERAGEIFS('09월 화학성분'!U$12:U$949,'09월 화학성분'!$A$12:$A$949,$A155,'09월 화학성분'!$D$12:$D$949,$B155)))</f>
        <v/>
      </c>
      <c r="AD155" s="829" t="str">
        <f>IF($C155&lt;1,"",(AVERAGEIFS('09월 화학성분'!V$12:V$949,'09월 화학성분'!$A$12:$A$949,$A155,'09월 화학성분'!$D$12:$D$949,$B155)))</f>
        <v/>
      </c>
      <c r="AE155" s="829" t="str">
        <f>IF($C155&lt;1,"",(AVERAGEIFS('09월 화학성분'!W$12:W$949,'09월 화학성분'!$A$12:$A$949,$A155,'09월 화학성분'!$D$12:$D$949,$B155)))</f>
        <v/>
      </c>
      <c r="AF155" s="829" t="str">
        <f>IF($C155&lt;1,"",(AVERAGEIFS('09월 화학성분'!AA$12:AA$949,'09월 화학성분'!$A$12:$A$949,$A155,'09월 화학성분'!$D$12:$D$949,$B155)))</f>
        <v/>
      </c>
      <c r="AG155" s="829" t="str">
        <f>IF($C155&lt;1,"",(AVERAGEIFS('09월 화학성분'!#REF!,'09월 화학성분'!$A$12:$A$949,$A155,'09월 화학성분'!$D$12:$D$949,$B155)))</f>
        <v/>
      </c>
      <c r="AH155" s="829" t="str">
        <f>IF($C155&lt;1,"",(AVERAGEIFS('09월 화학성분'!AB$12:AB$949,'09월 화학성분'!$A$12:$A$949,$A155,'09월 화학성분'!$D$12:$D$949,$B155)))</f>
        <v/>
      </c>
      <c r="AI155" s="829" t="str">
        <f>IF($C155&lt;1,"",(AVERAGEIFS('09월 화학성분'!AC$12:AC$949,'09월 화학성분'!$A$12:$A$949,$A155,'09월 화학성분'!$D$12:$D$949,$B155)))</f>
        <v/>
      </c>
      <c r="AJ155" s="829" t="str">
        <f>IF($C155&lt;1,"",(AVERAGEIFS('09월 화학성분'!AD$12:AD$949,'09월 화학성분'!$A$12:$A$949,$A155,'09월 화학성분'!$D$12:$D$949,$B155)))</f>
        <v/>
      </c>
      <c r="AK155" s="829" t="str">
        <f>IF($C155&lt;1,"",(AVERAGEIFS('09월 화학성분'!AF$12:AF$949,'09월 화학성분'!$A$12:$A$949,$A155,'09월 화학성분'!$D$12:$D$949,$B155)))</f>
        <v/>
      </c>
      <c r="AL155" s="829" t="str">
        <f>IF($C155&lt;1,"",(AVERAGEIFS('09월 화학성분'!AG$12:AG$949,'09월 화학성분'!$A$12:$A$949,$A155,'09월 화학성분'!$D$12:$D$949,$B155)))</f>
        <v/>
      </c>
      <c r="AM155" s="829" t="str">
        <f>IF($C155&lt;1,"",(AVERAGEIFS('09월 화학성분'!AH$12:AH$949,'09월 화학성분'!$A$12:$A$949,$A155,'09월 화학성분'!$D$12:$D$949,$B155)))</f>
        <v/>
      </c>
      <c r="AN155" s="829" t="str">
        <f>IF($C155&lt;1,"",(AVERAGEIFS('09월 화학성분'!AI$12:AI$949,'09월 화학성분'!$A$12:$A$949,$A155,'09월 화학성분'!$D$12:$D$949,$B155)))</f>
        <v/>
      </c>
      <c r="AO155" s="829" t="str">
        <f>IF($C155&lt;1,"",(AVERAGEIFS('09월 화학성분'!AJ$12:AJ$949,'09월 화학성분'!$A$12:$A$949,$A155,'09월 화학성분'!$D$12:$D$949,$B155)))</f>
        <v/>
      </c>
      <c r="AP155" s="829" t="str">
        <f>IF($C155&lt;1,"",(AVERAGEIFS('09월 화학성분'!#REF!,'09월 화학성분'!$A$12:$A$949,$A155,'09월 화학성분'!$D$12:$D$949,$B155)))</f>
        <v/>
      </c>
      <c r="AQ155" s="829" t="str">
        <f>IF($C155&lt;1,"",(AVERAGEIFS('09월 화학성분'!AL$12:AL$949,'09월 화학성분'!$A$12:$A$949,$A155,'09월 화학성분'!$D$12:$D$949,$B155)))</f>
        <v/>
      </c>
      <c r="AR155" s="829" t="str">
        <f>IF($C155&lt;1,"",(AVERAGEIFS('09월 화학성분'!AM$12:AM$949,'09월 화학성분'!$A$12:$A$949,$A155,'09월 화학성분'!$D$12:$D$949,$B155)))</f>
        <v/>
      </c>
      <c r="AS155" s="830" t="str">
        <f>IF($C155&lt;1,"",(AVERAGEIFS('09월 화학성분'!AN$12:AN$949,'09월 화학성분'!$A$12:$A$949,$A155,'09월 화학성분'!$D$12:$D$949,$B155)))</f>
        <v/>
      </c>
      <c r="AT155" s="830" t="str">
        <f>IF($C155&lt;1,"",(AVERAGEIFS('09월 화학성분'!AO$12:AO$949,'09월 화학성분'!$A$12:$A$949,$A155,'09월 화학성분'!$D$12:$D$949,$B155)))</f>
        <v/>
      </c>
      <c r="AU155" s="831" t="str">
        <f>IF($C155&lt;1,"",(AVERAGEIFS('09월 화학성분'!AP$12:AP$949,'09월 화학성분'!$A$12:$A$949,$A155,'09월 화학성분'!$D$12:$D$949,$B155)))</f>
        <v/>
      </c>
      <c r="AV155" s="832" t="str">
        <f>IF($C155&lt;1,"",(AVERAGEIFS('09월 고철장입'!G$14:G$949,'09월 고철장입'!$A$14:$A$949,$A155,'09월 고철장입'!$C$14:$C$949,$B155))/1000)</f>
        <v/>
      </c>
      <c r="AW155" s="832" t="str">
        <f>IF($C155&lt;1,"",(AVERAGEIFS('09월 고철장입'!H$14:H$949,'09월 고철장입'!$A$14:$A$949,$A155,'09월 고철장입'!$C$14:$C$949,$B155))/1000)</f>
        <v/>
      </c>
      <c r="AX155" s="832" t="str">
        <f>IF($C155&lt;1,"",(AVERAGEIFS('09월 고철장입'!I$14:I$949,'09월 고철장입'!$A$14:$A$949,$A155,'09월 고철장입'!$C$14:$C$949,$B155))/1000)</f>
        <v/>
      </c>
      <c r="AY155" s="832" t="str">
        <f>IF($C155&lt;1,"",(AVERAGEIFS('09월 고철장입'!J$14:J$949,'09월 고철장입'!$A$14:$A$949,$A155,'09월 고철장입'!$C$14:$C$949,$B155))/1000)</f>
        <v/>
      </c>
      <c r="AZ155" s="832" t="str">
        <f>IF($C155&lt;1,"",(AVERAGEIFS('09월 고철장입'!K$14:K$949,'09월 고철장입'!$A$14:$A$949,$A155,'09월 고철장입'!$C$14:$C$949,$B155))/1000)</f>
        <v/>
      </c>
      <c r="BA155" s="832" t="str">
        <f>IF($C155&lt;1,"",(AVERAGEIFS('09월 고철장입'!L$14:L$949,'09월 고철장입'!$A$14:$A$949,$A155,'09월 고철장입'!$C$14:$C$949,$B155))/1000)</f>
        <v/>
      </c>
      <c r="BB155" s="832" t="str">
        <f>IF($C155&lt;1,"",(AVERAGEIFS('09월 고철장입'!M$14:M$949,'09월 고철장입'!$A$14:$A$949,$A155,'09월 고철장입'!$C$14:$C$949,$B155))/1000)</f>
        <v/>
      </c>
      <c r="BC155" s="832" t="str">
        <f>IF($C155&lt;1,"",(AVERAGEIFS('09월 고철장입'!N$14:N$949,'09월 고철장입'!$A$14:$A$949,$A155,'09월 고철장입'!$C$14:$C$949,$B155))/1000)</f>
        <v/>
      </c>
      <c r="BD155" s="832" t="str">
        <f>IF($C155&lt;1,"",(AVERAGEIFS('09월 고철장입'!O$14:O$949,'09월 고철장입'!$A$14:$A$949,$A155,'09월 고철장입'!$C$14:$C$949,$B155))/1000)</f>
        <v/>
      </c>
      <c r="BE155" s="833" t="str">
        <f>IF($C155&lt;1,"",(AVERAGEIFS('09월 고철장입'!P$14:P$949,'09월 고철장입'!$A$14:$A$949,$A155,'09월 고철장입'!$C$14:$C$949,$B155))/1000)</f>
        <v/>
      </c>
      <c r="BF155" s="833" t="str">
        <f>IF($C155&lt;1,"",(AVERAGEIFS('09월 고철장입'!Q$14:Q$949,'09월 고철장입'!$A$14:$A$949,$A155,'09월 고철장입'!$C$14:$C$949,$B155))/1000)</f>
        <v/>
      </c>
      <c r="BG155" s="833" t="str">
        <f>IF($C155&lt;1,"",(AVERAGEIFS('09월 고철장입'!S$14:S$949,'09월 고철장입'!$A$14:$A$949,$A155,'09월 고철장입'!$C$14:$C$949,$B155))/1000)</f>
        <v/>
      </c>
      <c r="BH155" s="833" t="str">
        <f>IF($C155&lt;1,"",(AVERAGEIFS('09월 고철장입'!T$14:T$949,'09월 고철장입'!$A$14:$A$949,$A155,'09월 고철장입'!$C$14:$C$949,$B155))/1000)</f>
        <v/>
      </c>
      <c r="BI155" s="833" t="str">
        <f>IF($C155&lt;1,"",(AVERAGEIFS('09월 고철장입'!U$14:U$949,'09월 고철장입'!$A$14:$A$949,$A155,'09월 고철장입'!$C$14:$C$949,$B155))/1000)</f>
        <v/>
      </c>
      <c r="BJ155" s="833" t="str">
        <f>IF($C155&lt;1,"",(AVERAGEIFS('09월 고철장입'!V$14:V$949,'09월 고철장입'!$A$14:$A$949,$A155,'09월 고철장입'!$C$14:$C$949,$B155))/1000)</f>
        <v/>
      </c>
      <c r="BK155" s="833" t="str">
        <f>IF($C155&lt;1,"",(AVERAGEIFS('09월 고철장입'!W$14:W$949,'09월 고철장입'!$A$14:$A$949,$A155,'09월 고철장입'!$C$14:$C$949,$B155))/1000)</f>
        <v/>
      </c>
      <c r="BL155" s="833" t="str">
        <f>IF($C155&lt;1,"",(AVERAGEIFS('09월 고철장입'!Y$14:Y$949,'09월 고철장입'!$A$14:$A$949,$A155,'09월 고철장입'!$C$14:$C$949,$B155))/1000)</f>
        <v/>
      </c>
      <c r="BM155" s="833" t="str">
        <f>IF($C155&lt;1,"",(AVERAGEIFS('09월 고철장입'!AB$14:AB$949,'09월 고철장입'!$A$14:$A$949,$A155,'09월 고철장입'!$C$14:$C$949,$B155))/1000)</f>
        <v/>
      </c>
      <c r="BN155" s="833" t="str">
        <f>IF($C155&lt;1,"",(AVERAGEIFS('09월 고철장입'!AC$14:AC$949,'09월 고철장입'!$A$14:$A$949,$A155,'09월 고철장입'!$C$14:$C$949,$B155))/1000)</f>
        <v/>
      </c>
      <c r="BO155" s="833" t="str">
        <f>IF($C155&lt;1,"",(AVERAGEIFS('09월 고철장입'!AD$14:AD$949,'09월 고철장입'!$A$14:$A$949,$A155,'09월 고철장입'!$C$14:$C$949,$B155))/1000)</f>
        <v/>
      </c>
      <c r="BP155" s="833" t="str">
        <f>IF($C155&lt;1,"",(AVERAGEIFS('09월 고철장입'!AE$14:AE$949,'09월 고철장입'!$A$14:$A$949,$A155,'09월 고철장입'!$C$14:$C$949,$B155))/1000)</f>
        <v/>
      </c>
      <c r="BQ155" s="832" t="str">
        <f>IF($C155&lt;1,"",(AVERAGEIFS('09월 고철장입'!AF$14:AF$949,'09월 고철장입'!$A$14:$A$949,$A155,'09월 고철장입'!$C$14:$C$949,$B155))/1000)</f>
        <v/>
      </c>
      <c r="BR155" s="832" t="str">
        <f>IF($C155&lt;1,"",(AVERAGEIFS('09월 고철장입'!AG$14:AG$949,'09월 고철장입'!$A$14:$A$949,$A155,'09월 고철장입'!$C$14:$C$949,$B155))/1000)</f>
        <v/>
      </c>
      <c r="BS155" s="832" t="str">
        <f>IF($C155&lt;1,"",(AVERAGEIFS('09월 고철장입'!AH$14:AH$949,'09월 고철장입'!$A$14:$A$949,$A155,'09월 고철장입'!$C$14:$C$949,$B155))/1000)</f>
        <v/>
      </c>
      <c r="BT155" s="832" t="str">
        <f>IF($C155&lt;1,"",(AVERAGEIFS('09월 고철장입'!AI$14:AI$949,'09월 고철장입'!$A$14:$A$949,$A155,'09월 고철장입'!$C$14:$C$949,$B155))/1000)</f>
        <v/>
      </c>
      <c r="BU155" s="834" t="str">
        <f>IF($C155&lt;1,"",(AVERAGEIFS('09월 고철장입'!AJ$14:AJ$949,'09월 고철장입'!$A$14:$A$949,$A155,'09월 고철장입'!$C$14:$C$949,$B155))/1000)</f>
        <v/>
      </c>
      <c r="BV155" s="834" t="str">
        <f>IF($C155&lt;1,"",(AVERAGEIFS('09월 고철장입'!AK$14:AK$949,'09월 고철장입'!$A$14:$A$949,$A155,'09월 고철장입'!$C$14:$C$949,$B155)))</f>
        <v/>
      </c>
      <c r="BW155" s="834" t="str">
        <f>IF($C155&lt;1,"",(AVERAGEIFS('09월 고철장입'!AL$14:AL$949,'09월 고철장입'!$A$14:$A$949,$A155,'09월 고철장입'!$C$14:$C$949,$B155))*100)</f>
        <v/>
      </c>
      <c r="BX155" s="831" t="str">
        <f>IF($C155&lt;1,"",(AVERAGEIFS('09월 에너지'!G$14:G$949,'09월 에너지'!$A$14:$A$949,$A155,'09월 에너지'!$C$14:$C$949,$B155)))</f>
        <v/>
      </c>
      <c r="BY155" s="835" t="str">
        <f>IF($C155&lt;1,"",(AVERAGEIFS('09월 에너지'!H$14:H$949,'09월 에너지'!$A$14:$A$949,$A155,'09월 에너지'!$C$14:$C$949,$B155)))</f>
        <v/>
      </c>
      <c r="BZ155" s="831" t="str">
        <f>IF($C155&lt;1,"",(AVERAGEIFS('09월 에너지'!I$14:I$949,'09월 에너지'!$A$14:$A$949,$A155,'09월 에너지'!$C$14:$C$949,$B155)))</f>
        <v/>
      </c>
      <c r="CA155" s="835" t="str">
        <f>IF($C155&lt;1,"",(AVERAGEIFS('09월 에너지'!J$14:J$949,'09월 에너지'!$A$14:$A$949,$A155,'09월 에너지'!$C$14:$C$949,$B155)))</f>
        <v/>
      </c>
      <c r="CB155" s="831" t="str">
        <f>IF($C155&lt;1,"",(AVERAGEIFS('09월 에너지'!K$14:K$949,'09월 에너지'!$A$14:$A$949,$A155,'09월 에너지'!$C$14:$C$949,$B155)))</f>
        <v/>
      </c>
      <c r="CC155" s="835" t="str">
        <f>IF($C155&lt;1,"",(AVERAGEIFS('09월 에너지'!L$14:L$949,'09월 에너지'!$A$14:$A$949,$A155,'09월 에너지'!$C$14:$C$949,$B155)))</f>
        <v/>
      </c>
      <c r="CD155" s="831" t="str">
        <f>IF($C155&lt;1,"",(AVERAGEIFS('09월 에너지'!M$14:M$949,'09월 에너지'!$A$14:$A$949,$A155,'09월 에너지'!$C$14:$C$949,$B155)))</f>
        <v/>
      </c>
      <c r="CE155" s="835" t="str">
        <f>IF($C155&lt;1,"",(AVERAGEIFS('09월 에너지'!N$14:N$949,'09월 에너지'!$A$14:$A$949,$A155,'09월 에너지'!$C$14:$C$949,$B155)))</f>
        <v/>
      </c>
      <c r="CF155" s="831" t="str">
        <f>IF($C155&lt;1,"",(AVERAGEIFS('09월 에너지'!O$14:O$949,'09월 에너지'!$A$14:$A$949,$A155,'09월 에너지'!$C$14:$C$949,$B155)))</f>
        <v/>
      </c>
      <c r="CG155" s="831" t="str">
        <f>IF($C155&lt;1,"",(AVERAGEIFS('09월 에너지'!P$14:P$949,'09월 에너지'!$A$14:$A$949,$A155,'09월 에너지'!$C$14:$C$949,$B155)))</f>
        <v/>
      </c>
      <c r="CH155" s="831" t="str">
        <f>IF($C155&lt;1,"",(AVERAGEIFS('09월 에너지'!Q$14:Q$949,'09월 에너지'!$A$14:$A$949,$A155,'09월 에너지'!$C$14:$C$949,$B155)))</f>
        <v/>
      </c>
      <c r="CI155" s="831" t="str">
        <f>IF($C155&lt;1,"",(AVERAGEIFS('09월 에너지'!R$14:R$949,'09월 에너지'!$A$14:$A$949,$A155,'09월 에너지'!$C$14:$C$949,$B155)))</f>
        <v/>
      </c>
      <c r="CJ155" s="831" t="str">
        <f>IF($C155&lt;1,"",(AVERAGEIFS('09월 에너지'!S$14:S$949,'09월 에너지'!$A$14:$A$949,$A155,'09월 에너지'!$C$14:$C$949,$B155)))</f>
        <v/>
      </c>
      <c r="CK155" s="831" t="str">
        <f>IF($C155&lt;1,"",(AVERAGEIFS('09월 에너지'!T$14:T$949,'09월 에너지'!$A$14:$A$949,$A155,'09월 에너지'!$C$14:$C$949,$B155)))</f>
        <v/>
      </c>
      <c r="CL155" s="831" t="str">
        <f>IF($C155&lt;1,"",(AVERAGEIFS('09월 에너지'!U$14:U$949,'09월 에너지'!$A$14:$A$949,$A155,'09월 에너지'!$C$14:$C$949,$B155)))</f>
        <v/>
      </c>
      <c r="CM155" s="835" t="str">
        <f>IF($C155&lt;1,"",(AVERAGEIFS('09월 에너지'!V$14:V$949,'09월 에너지'!$A$14:$A$949,$A155,'09월 에너지'!$C$14:$C$949,$B155)))</f>
        <v/>
      </c>
      <c r="CN155" s="835" t="str">
        <f>IF($C155&lt;1,"",(AVERAGEIFS('09월 에너지'!W$14:W$949,'09월 에너지'!$A$14:$A$949,$A155,'09월 에너지'!$C$14:$C$949,$B155)))</f>
        <v/>
      </c>
      <c r="CO155" s="831" t="str">
        <f>IF($C155&lt;1,"",(AVERAGEIFS('09월 에너지'!X$14:X$949,'09월 에너지'!$A$14:$A$949,$A155,'09월 에너지'!$C$14:$C$949,$B155)))</f>
        <v/>
      </c>
      <c r="CP155" s="835" t="str">
        <f>IF($C155&lt;1,"",(AVERAGEIFS('09월 에너지'!Y$14:Y$949,'09월 에너지'!$A$14:$A$949,$A155,'09월 에너지'!$C$14:$C$949,$B155)))</f>
        <v/>
      </c>
      <c r="CQ155" s="835" t="str">
        <f>IF($C155&lt;1,"",(AVERAGEIFS('09월 에너지'!Z$14:Z$949,'09월 에너지'!$A$14:$A$949,$A155,'09월 에너지'!$C$14:$C$949,$B155)))</f>
        <v/>
      </c>
      <c r="CR155" s="835" t="str">
        <f>IF($C155&lt;1,"",(AVERAGEIFS('09월 에너지'!AA$14:AA$949,'09월 에너지'!$A$14:$A$949,$A155,'09월 에너지'!$C$14:$C$949,$B155)))</f>
        <v/>
      </c>
      <c r="CS155" s="835" t="str">
        <f>IF($C155&lt;1,"",(AVERAGEIFS('09월 에너지'!AB$14:AB$949,'09월 에너지'!$A$14:$A$949,$A155,'09월 에너지'!$C$14:$C$949,$B155)))</f>
        <v/>
      </c>
      <c r="CT155" s="831" t="str">
        <f>IF($C155&lt;1,"",(AVERAGEIFS('09월 에너지'!AC$14:AC$949,'09월 에너지'!$A$14:$A$949,$A155,'09월 에너지'!$C$14:$C$949,$B155)))</f>
        <v/>
      </c>
      <c r="CU155" s="836" t="str">
        <f>IF($C155&lt;1,"",(AVERAGEIFS('09월 에너지'!AD$14:AD$949,'09월 에너지'!$A$14:$A$949,$A155,'09월 에너지'!$C$14:$C$949,$B155)))</f>
        <v/>
      </c>
      <c r="CV155" s="837" t="str">
        <f>IF($C155&lt;1,"",(AVERAGEIFS('09월 에너지'!AE$14:AE$949,'09월 에너지'!$A$14:$A$949,$A155,'09월 에너지'!$C$14:$C$949,$B155)))</f>
        <v/>
      </c>
      <c r="CW155" s="831" t="str">
        <f>IF($C155&lt;1,"",(AVERAGEIFS('09월 에너지'!AF$14:AF$949,'09월 에너지'!$A$14:$A$949,$A155,'09월 에너지'!$C$14:$C$949,$B155)))</f>
        <v/>
      </c>
      <c r="CX155" s="831" t="str">
        <f>IF($C155&lt;1,"",(AVERAGEIFS('09월 에너지'!AG$14:AG$949,'09월 에너지'!$A$14:$A$949,$A155,'09월 에너지'!$C$14:$C$949,$B155)))</f>
        <v/>
      </c>
      <c r="CY155" s="831" t="str">
        <f>IF($C155&lt;1,"",(AVERAGEIFS('09월 에너지'!AH$14:AH$949,'09월 에너지'!$A$14:$A$949,$A155,'09월 에너지'!$C$14:$C$949,$B155)))</f>
        <v/>
      </c>
      <c r="CZ155" s="831" t="str">
        <f>IF($C155&lt;1,"",(AVERAGEIFS('09월 에너지'!AI$14:AI$949,'09월 에너지'!$A$14:$A$949,$A155,'09월 에너지'!$C$14:$C$949,$B155)))</f>
        <v/>
      </c>
      <c r="DA155" s="838" t="str">
        <f>IF($C155&lt;1,"",(AVERAGEIFS('09월 에너지'!AJ$14:AJ$949,'09월 에너지'!$A$14:$A$949,$A155,'09월 에너지'!$C$14:$C$949,$B155)))</f>
        <v/>
      </c>
    </row>
    <row r="156" spans="1:105" ht="13.5" customHeight="1">
      <c r="A156" s="847">
        <f>A151+1</f>
        <v>44957</v>
      </c>
      <c r="B156" s="848" t="s">
        <v>31</v>
      </c>
      <c r="C156" s="810">
        <f>COUNTIF('09월 조업일지'!$A$12:$A$952,A156)</f>
        <v>0</v>
      </c>
      <c r="D156" s="787" t="str">
        <f>IF(C156&lt;1,"",F156-E156)</f>
        <v/>
      </c>
      <c r="E156" s="787" t="str">
        <f>IF($C156&lt;1,"",(SUMIF('09월 조업일지'!$A$12:$A$952,$A156,'09월 조업일지'!$K$12:$K$952))/C156)</f>
        <v/>
      </c>
      <c r="F156" s="787" t="str">
        <f>IF($C156&lt;1,"",AVERAGEIF('09월 조업일지'!$A$12:$A$952,$A156,'09월 조업일지'!$J$12:$J$952))</f>
        <v/>
      </c>
      <c r="G156" s="811" t="str">
        <f>IF($C156&lt;1,"",AVERAGEIF('09월 에너지'!$A$14:$A$949,$A156,'09월 에너지'!$M$14:M$949))</f>
        <v/>
      </c>
      <c r="H156" s="812" t="str">
        <f>IF($C156&lt;1,"",AVERAGEIF('09월 조업일지'!$A$12:$A$952,$A156,'09월 조업일지'!$AJ$12:$AJ$952))</f>
        <v/>
      </c>
      <c r="I156" s="812" t="str">
        <f>IF($C156&lt;1,"",AVERAGEIF('09월 조업일지'!$A$12:$A$952,$A156,'09월 조업일지'!$AL$12:$AL$952))</f>
        <v/>
      </c>
      <c r="J156" s="813" t="str">
        <f>IF($C156&lt;1,"",AVERAGEIF('09월 화학성분'!$A$12:$A$949,$A156,'09월 화학성분'!G$12:G$949))</f>
        <v/>
      </c>
      <c r="K156" s="813" t="str">
        <f>IF($C156&lt;1,"",AVERAGEIF('09월 화학성분'!$A$12:$A$949,$A156,'09월 화학성분'!H$12:H$949))</f>
        <v/>
      </c>
      <c r="L156" s="813" t="str">
        <f>IF($C156&lt;1,"",AVERAGEIF('09월 화학성분'!$A$12:$A$949,$A156,'09월 화학성분'!I$12:I$949))</f>
        <v/>
      </c>
      <c r="M156" s="813" t="str">
        <f>IF($C156&lt;1,"",AVERAGEIF('09월 화학성분'!$A$12:$A$949,$A156,'09월 화학성분'!J$12:J$949))</f>
        <v/>
      </c>
      <c r="N156" s="813" t="str">
        <f>IF($C156&lt;1,"",AVERAGEIF('09월 화학성분'!$A$12:$A$949,$A156,'09월 화학성분'!K$12:K$949))</f>
        <v/>
      </c>
      <c r="O156" s="813" t="str">
        <f>IF($C156&lt;1,"",AVERAGEIF('09월 화학성분'!$A$12:$A$949,$A156,'09월 화학성분'!L$12:L$949))</f>
        <v/>
      </c>
      <c r="P156" s="813" t="str">
        <f>IF($C156&lt;1,"",AVERAGEIF('09월 화학성분'!$A$12:$A$949,$A156,'09월 화학성분'!M$12:M$949))</f>
        <v/>
      </c>
      <c r="Q156" s="814" t="str">
        <f>IF($C156&lt;1,"",AVERAGEIF('09월 조업일지'!$A$12:$A$952,$A156,'09월 조업일지'!$AA$12:$AA$952))</f>
        <v/>
      </c>
      <c r="R156" s="814" t="str">
        <f>IF($C156&lt;1,"",AVERAGEIF('09월 조업일지'!$A$12:$A$952,$A156,'09월 조업일지'!$AK$12:$AK$952))</f>
        <v/>
      </c>
      <c r="S156" s="814"/>
      <c r="T156" s="814"/>
      <c r="U156" s="813" t="str">
        <f>IF($C156&lt;1,"",AVERAGEIF('09월 화학성분'!$A$12:$A$949,$A156,'09월 화학성분'!$G$12:$G$949))</f>
        <v/>
      </c>
      <c r="V156" s="814" t="str">
        <f>IF($C156&lt;1,"",AVERAGEIF('09월 조업일지'!$A$12:$A$952,$A156,'09월 조업일지'!$AI$12:$AI$952))</f>
        <v/>
      </c>
      <c r="W156" s="813" t="str">
        <f>IF($C156&lt;1,"",AVERAGEIF('09월 화학성분'!$A$12:$A$949,$A156,'09월 화학성분'!$AM$12:$AM$949))</f>
        <v/>
      </c>
      <c r="X156" s="815" t="str">
        <f>IF($C156&lt;1,"",AVERAGEIF('09월 화학성분'!$A$12:$A$949,$A156,'09월 화학성분'!N$12:N$949))</f>
        <v/>
      </c>
      <c r="Y156" s="815" t="str">
        <f>IF($C156&lt;1,"",AVERAGEIF('09월 화학성분'!$A$12:$A$949,$A156,'09월 화학성분'!O$12:O$949))</f>
        <v/>
      </c>
      <c r="Z156" s="815" t="str">
        <f>IF($C156&lt;1,"",AVERAGEIF('09월 화학성분'!$A$12:$A$949,$A156,'09월 화학성분'!P$12:P$949))</f>
        <v/>
      </c>
      <c r="AA156" s="815" t="str">
        <f>IF($C156&lt;1,"",AVERAGEIF('09월 화학성분'!$A$12:$A$949,$A156,'09월 화학성분'!Q$12:Q$949))</f>
        <v/>
      </c>
      <c r="AB156" s="815" t="str">
        <f>IF($C156&lt;1,"",AVERAGEIF('09월 화학성분'!$A$12:$A$949,$A156,'09월 화학성분'!R$12:R$949))</f>
        <v/>
      </c>
      <c r="AC156" s="815" t="str">
        <f>IF($C156&lt;1,"",AVERAGEIF('09월 화학성분'!$A$12:$A$949,$A156,'09월 화학성분'!U$12:U$949))</f>
        <v/>
      </c>
      <c r="AD156" s="815" t="str">
        <f>IF($C156&lt;1,"",AVERAGEIF('09월 화학성분'!$A$12:$A$949,$A156,'09월 화학성분'!V$12:V$949))</f>
        <v/>
      </c>
      <c r="AE156" s="815" t="str">
        <f>IF($C156&lt;1,"",AVERAGEIF('09월 화학성분'!$A$12:$A$949,$A156,'09월 화학성분'!W$12:W$949))</f>
        <v/>
      </c>
      <c r="AF156" s="815" t="str">
        <f>IF($C156&lt;1,"",AVERAGEIF('09월 화학성분'!$A$12:$A$949,$A156,'09월 화학성분'!AA$12:AA$949))</f>
        <v/>
      </c>
      <c r="AG156" s="815" t="str">
        <f>IF($C156&lt;1,"",AVERAGEIF('09월 화학성분'!$A$12:$A$949,$A156,'09월 화학성분'!#REF!))</f>
        <v/>
      </c>
      <c r="AH156" s="815" t="str">
        <f>IF($C156&lt;1,"",AVERAGEIF('09월 화학성분'!$A$12:$A$949,$A156,'09월 화학성분'!AB$12:AB$949))</f>
        <v/>
      </c>
      <c r="AI156" s="815" t="str">
        <f>IF($C156&lt;1,"",AVERAGEIF('09월 화학성분'!$A$12:$A$949,$A156,'09월 화학성분'!AC$12:AC$949))</f>
        <v/>
      </c>
      <c r="AJ156" s="815" t="str">
        <f>IF($C156&lt;1,"",AVERAGEIF('09월 화학성분'!$A$12:$A$949,$A156,'09월 화학성분'!AD$12:AD$949))</f>
        <v/>
      </c>
      <c r="AK156" s="815" t="str">
        <f>IF($C156&lt;1,"",AVERAGEIF('09월 화학성분'!$A$12:$A$949,$A156,'09월 화학성분'!AF$12:AF$949))</f>
        <v/>
      </c>
      <c r="AL156" s="815" t="str">
        <f>IF($C156&lt;1,"",AVERAGEIF('09월 화학성분'!$A$12:$A$949,$A156,'09월 화학성분'!AG$12:AG$949))</f>
        <v/>
      </c>
      <c r="AM156" s="815" t="str">
        <f>IF($C156&lt;1,"",AVERAGEIF('09월 화학성분'!$A$12:$A$949,$A156,'09월 화학성분'!AH$12:AH$949))</f>
        <v/>
      </c>
      <c r="AN156" s="815" t="str">
        <f>IF($C156&lt;1,"",AVERAGEIF('09월 화학성분'!$A$12:$A$949,$A156,'09월 화학성분'!AI$12:AI$949))</f>
        <v/>
      </c>
      <c r="AO156" s="815" t="str">
        <f>IF($C156&lt;1,"",AVERAGEIF('09월 화학성분'!$A$12:$A$949,$A156,'09월 화학성분'!AJ$12:AJ$949))</f>
        <v/>
      </c>
      <c r="AP156" s="815" t="str">
        <f>IF($C156&lt;1,"",AVERAGEIF('09월 화학성분'!$A$12:$A$949,$A156,'09월 화학성분'!#REF!))</f>
        <v/>
      </c>
      <c r="AQ156" s="815" t="str">
        <f>IF($C156&lt;1,"",AVERAGEIF('09월 화학성분'!$A$12:$A$949,$A156,'09월 화학성분'!AL$12:AL$949))</f>
        <v/>
      </c>
      <c r="AR156" s="815" t="str">
        <f>IF($C156&lt;1,"",AVERAGEIF('09월 화학성분'!$A$12:$A$949,$A156,'09월 화학성분'!AM$12:AM$949))</f>
        <v/>
      </c>
      <c r="AS156" s="816" t="str">
        <f>IF($C156&lt;1,"",AVERAGEIF('09월 화학성분'!$A$12:$A$949,$A156,'09월 화학성분'!AN$12:AN$949))</f>
        <v/>
      </c>
      <c r="AT156" s="816" t="str">
        <f>IF($C156&lt;1,"",AVERAGEIF('09월 화학성분'!$A$12:$A$949,$A156,'09월 화학성분'!AO$12:AO$949))</f>
        <v/>
      </c>
      <c r="AU156" s="815" t="str">
        <f>IF($C156&lt;1,"",AVERAGEIF('09월 화학성분'!$A$12:$A$949,$A156,'09월 화학성분'!AP$12:AP$949))</f>
        <v/>
      </c>
      <c r="AV156" s="815" t="str">
        <f>IF($C156&lt;1,"",AVERAGEIF('09월 고철장입'!$A$14:$A$949,$A156,'09월 고철장입'!G$14:G$949)/1000)</f>
        <v/>
      </c>
      <c r="AW156" s="815" t="str">
        <f>IF($C156&lt;1,"",AVERAGEIF('09월 고철장입'!$A$14:$A$949,$A156,'09월 고철장입'!H$14:H$949)/1000)</f>
        <v/>
      </c>
      <c r="AX156" s="815" t="str">
        <f>IF($C156&lt;1,"",AVERAGEIF('09월 고철장입'!$A$14:$A$949,$A156,'09월 고철장입'!I$14:I$949)/1000)</f>
        <v/>
      </c>
      <c r="AY156" s="815" t="str">
        <f>IF($C156&lt;1,"",AVERAGEIF('09월 고철장입'!$A$14:$A$949,$A156,'09월 고철장입'!J$14:J$949)/1000)</f>
        <v/>
      </c>
      <c r="AZ156" s="815" t="str">
        <f>IF($C156&lt;1,"",AVERAGEIF('09월 고철장입'!$A$14:$A$949,$A156,'09월 고철장입'!K$14:K$949)/1000)</f>
        <v/>
      </c>
      <c r="BA156" s="815" t="str">
        <f>IF($C156&lt;1,"",AVERAGEIF('09월 고철장입'!$A$14:$A$949,$A156,'09월 고철장입'!L$14:L$949)/1000)</f>
        <v/>
      </c>
      <c r="BB156" s="815" t="str">
        <f>IF($C156&lt;1,"",AVERAGEIF('09월 고철장입'!$A$14:$A$949,$A156,'09월 고철장입'!M$14:M$949)/1000)</f>
        <v/>
      </c>
      <c r="BC156" s="815" t="str">
        <f>IF($C156&lt;1,"",AVERAGEIF('09월 고철장입'!$A$14:$A$949,$A156,'09월 고철장입'!N$14:N$949)/1000)</f>
        <v/>
      </c>
      <c r="BD156" s="815" t="str">
        <f>IF($C156&lt;1,"",AVERAGEIF('09월 고철장입'!$A$14:$A$949,$A156,'09월 고철장입'!O$14:O$949)/1000)</f>
        <v/>
      </c>
      <c r="BE156" s="815" t="str">
        <f>IF($C156&lt;1,"",AVERAGEIF('09월 고철장입'!$A$14:$A$949,$A156,'09월 고철장입'!P$14:P$949)/1000)</f>
        <v/>
      </c>
      <c r="BF156" s="815" t="str">
        <f>IF($C156&lt;1,"",AVERAGEIF('09월 고철장입'!$A$14:$A$949,$A156,'09월 고철장입'!Q$14:Q$949)/1000)</f>
        <v/>
      </c>
      <c r="BG156" s="815" t="str">
        <f>IF($C156&lt;1,"",AVERAGEIF('09월 고철장입'!$A$14:$A$949,$A156,'09월 고철장입'!S$14:S$949)/1000)</f>
        <v/>
      </c>
      <c r="BH156" s="815" t="str">
        <f>IF($C156&lt;1,"",AVERAGEIF('09월 고철장입'!$A$14:$A$949,$A156,'09월 고철장입'!T$14:T$949)/1000)</f>
        <v/>
      </c>
      <c r="BI156" s="815" t="str">
        <f>IF($C156&lt;1,"",AVERAGEIF('09월 고철장입'!$A$14:$A$949,$A156,'09월 고철장입'!U$14:U$949)/1000)</f>
        <v/>
      </c>
      <c r="BJ156" s="815" t="str">
        <f>IF($C156&lt;1,"",AVERAGEIF('09월 고철장입'!$A$14:$A$949,$A156,'09월 고철장입'!V$14:V$949)/1000)</f>
        <v/>
      </c>
      <c r="BK156" s="815" t="str">
        <f>IF($C156&lt;1,"",AVERAGEIF('09월 고철장입'!$A$14:$A$949,$A156,'09월 고철장입'!W$14:W$949)/1000)</f>
        <v/>
      </c>
      <c r="BL156" s="815" t="str">
        <f>IF($C156&lt;1,"",AVERAGEIF('09월 고철장입'!$A$14:$A$949,$A156,'09월 고철장입'!Y$14:Y$949)/1000)</f>
        <v/>
      </c>
      <c r="BM156" s="815" t="str">
        <f>IF($C156&lt;1,"",AVERAGEIF('09월 고철장입'!$A$14:$A$949,$A156,'09월 고철장입'!AB$14:AB$949)/1000)</f>
        <v/>
      </c>
      <c r="BN156" s="815" t="str">
        <f>IF($C156&lt;1,"",AVERAGEIF('09월 고철장입'!$A$14:$A$949,$A156,'09월 고철장입'!AC$14:AC$949)/1000)</f>
        <v/>
      </c>
      <c r="BO156" s="815" t="str">
        <f>IF($C156&lt;1,"",AVERAGEIF('09월 고철장입'!$A$14:$A$949,$A156,'09월 고철장입'!AD$14:AD$949)/1000)</f>
        <v/>
      </c>
      <c r="BP156" s="815" t="str">
        <f>IF($C156&lt;1,"",AVERAGEIF('09월 고철장입'!$A$14:$A$949,$A156,'09월 고철장입'!AE$14:AE$949)/1000)</f>
        <v/>
      </c>
      <c r="BQ156" s="815" t="str">
        <f>IF($C156&lt;1,"",AVERAGEIF('09월 고철장입'!$A$14:$A$949,$A156,'09월 고철장입'!AF$14:AF$949)/1000)</f>
        <v/>
      </c>
      <c r="BR156" s="815" t="str">
        <f>IF($C156&lt;1,"",AVERAGEIF('09월 고철장입'!$A$14:$A$949,$A156,'09월 고철장입'!AG$14:AG$949)/1000)</f>
        <v/>
      </c>
      <c r="BS156" s="815" t="str">
        <f>IF($C156&lt;1,"",AVERAGEIF('09월 고철장입'!$A$14:$A$949,$A156,'09월 고철장입'!AH$14:AH$949)/1000)</f>
        <v/>
      </c>
      <c r="BT156" s="815" t="str">
        <f>IF($C156&lt;1,"",AVERAGEIF('09월 고철장입'!$A$14:$A$949,$A156,'09월 고철장입'!AI$14:AI$949)/1000)</f>
        <v/>
      </c>
      <c r="BU156" s="815" t="str">
        <f>IF($C156&lt;1,"",AVERAGEIF('09월 고철장입'!$A$14:$A$949,$A156,'09월 고철장입'!AJ$14:AJ$949)/1000)</f>
        <v/>
      </c>
      <c r="BV156" s="815" t="str">
        <f>IF($C156&lt;1,"",AVERAGEIF('09월 고철장입'!$A$14:$A$949,$A156,'09월 고철장입'!AK$14:AK$949))</f>
        <v/>
      </c>
      <c r="BW156" s="815" t="str">
        <f>IF($C156&lt;1,"",AVERAGEIF('09월 고철장입'!$A$14:$A$949,$A156,'09월 고철장입'!AL$14:AL$949)*100)</f>
        <v/>
      </c>
      <c r="BX156" s="815" t="str">
        <f>IF($C156&lt;1,"",AVERAGEIF('09월 에너지'!$A$14:$A$949,$A156,'09월 에너지'!G$14:G$949))</f>
        <v/>
      </c>
      <c r="BY156" s="817" t="str">
        <f>IF($C156&lt;1,"",AVERAGEIF('09월 에너지'!$A$14:$A$949,$A156,'09월 에너지'!H$14:H$949))</f>
        <v/>
      </c>
      <c r="BZ156" s="815" t="str">
        <f>IF($C156&lt;1,"",AVERAGEIF('09월 에너지'!$A$14:$A$949,$A156,'09월 에너지'!I$14:I$949))</f>
        <v/>
      </c>
      <c r="CA156" s="817" t="str">
        <f>IF($C156&lt;1,"",AVERAGEIF('09월 에너지'!$A$14:$A$949,$A156,'09월 에너지'!J$14:J$949))</f>
        <v/>
      </c>
      <c r="CB156" s="815" t="str">
        <f>IF($C156&lt;1,"",AVERAGEIF('09월 에너지'!$A$14:$A$949,$A156,'09월 에너지'!K$14:K$949))</f>
        <v/>
      </c>
      <c r="CC156" s="817" t="str">
        <f>IF($C156&lt;1,"",AVERAGEIF('09월 에너지'!$A$14:$A$949,$A156,'09월 에너지'!L$14:L$949))</f>
        <v/>
      </c>
      <c r="CD156" s="815" t="str">
        <f>IF($C156&lt;1,"",AVERAGEIF('09월 에너지'!$A$14:$A$949,$A156,'09월 에너지'!M$14:M$949))</f>
        <v/>
      </c>
      <c r="CE156" s="817" t="str">
        <f>IF($C156&lt;1,"",AVERAGEIF('09월 에너지'!$A$14:$A$949,$A156,'09월 에너지'!N$14:N$949))</f>
        <v/>
      </c>
      <c r="CF156" s="815" t="str">
        <f>IF($C156&lt;1,"",AVERAGEIF('09월 에너지'!$A$14:$A$949,$A156,'09월 에너지'!O$14:O$949))</f>
        <v/>
      </c>
      <c r="CG156" s="815" t="str">
        <f>IF($C156&lt;1,"",AVERAGEIF('09월 에너지'!$A$14:$A$949,$A156,'09월 에너지'!P$14:P$949))</f>
        <v/>
      </c>
      <c r="CH156" s="815" t="str">
        <f>IF($C156&lt;1,"",AVERAGEIF('09월 에너지'!$A$14:$A$949,$A156,'09월 에너지'!Q$14:Q$949))</f>
        <v/>
      </c>
      <c r="CI156" s="815" t="str">
        <f>IF($C156&lt;1,"",AVERAGEIF('09월 에너지'!$A$14:$A$949,$A156,'09월 에너지'!R$14:R$949))</f>
        <v/>
      </c>
      <c r="CJ156" s="815" t="str">
        <f>IF($C156&lt;1,"",AVERAGEIF('09월 에너지'!$A$14:$A$949,$A156,'09월 에너지'!S$14:S$949))</f>
        <v/>
      </c>
      <c r="CK156" s="815" t="str">
        <f>IF($C156&lt;1,"",AVERAGEIF('09월 에너지'!$A$14:$A$949,$A156,'09월 에너지'!T$14:T$949))</f>
        <v/>
      </c>
      <c r="CL156" s="815" t="str">
        <f>IF($C156&lt;1,"",AVERAGEIF('09월 에너지'!$A$14:$A$949,$A156,'09월 에너지'!U$14:U$949))</f>
        <v/>
      </c>
      <c r="CM156" s="817" t="str">
        <f>IF($C156&lt;1,"",AVERAGEIF('09월 에너지'!$A$14:$A$949,$A156,'09월 에너지'!V$14:V$949))</f>
        <v/>
      </c>
      <c r="CN156" s="817" t="str">
        <f>IF($C156&lt;1,"",AVERAGEIF('09월 에너지'!$A$14:$A$949,$A156,'09월 에너지'!W$14:W$949))</f>
        <v/>
      </c>
      <c r="CO156" s="815" t="str">
        <f>IF($C156&lt;1,"",AVERAGEIF('09월 에너지'!$A$14:$A$949,$A156,'09월 에너지'!X$14:X$949))</f>
        <v/>
      </c>
      <c r="CP156" s="817" t="str">
        <f>IF($C156&lt;1,"",AVERAGEIF('09월 에너지'!$A$14:$A$949,$A156,'09월 에너지'!Y$14:Y$949))</f>
        <v/>
      </c>
      <c r="CQ156" s="817" t="str">
        <f>IF($C156&lt;1,"",AVERAGEIF('09월 에너지'!$A$14:$A$949,$A156,'09월 에너지'!Z$14:Z$949))</f>
        <v/>
      </c>
      <c r="CR156" s="817" t="str">
        <f>IF($C156&lt;1,"",AVERAGEIF('09월 에너지'!$A$14:$A$949,$A156,'09월 에너지'!AA$14:AA$949))</f>
        <v/>
      </c>
      <c r="CS156" s="817" t="str">
        <f>IF($C156&lt;1,"",AVERAGEIF('09월 에너지'!$A$14:$A$949,$A156,'09월 에너지'!AB$14:AB$949))</f>
        <v/>
      </c>
      <c r="CT156" s="815" t="str">
        <f>IF($C156&lt;1,"",AVERAGEIF('09월 에너지'!$A$14:$A$949,$A156,'09월 에너지'!AC$14:AC$949))</f>
        <v/>
      </c>
      <c r="CU156" s="818" t="str">
        <f>IF($C156&lt;1,"",AVERAGEIF('09월 에너지'!$A$14:$A$949,$A156,'09월 에너지'!AD$14:AD$949))</f>
        <v/>
      </c>
      <c r="CV156" s="819" t="str">
        <f>IF($C156&lt;1,"",AVERAGEIF('09월 에너지'!$A$14:$A$949,$A156,'09월 에너지'!AE$14:AE$949))</f>
        <v/>
      </c>
      <c r="CW156" s="815" t="str">
        <f>IF($C156&lt;1,"",AVERAGEIF('09월 에너지'!$A$14:$A$949,$A156,'09월 에너지'!AF$14:AF$949))</f>
        <v/>
      </c>
      <c r="CX156" s="815" t="str">
        <f>IF($C156&lt;1,"",AVERAGEIF('09월 에너지'!$A$14:$A$949,$A156,'09월 에너지'!AG$14:AG$949))</f>
        <v/>
      </c>
      <c r="CY156" s="815" t="str">
        <f>IF($C156&lt;1,"",AVERAGEIF('09월 에너지'!$A$14:$A$949,$A156,'09월 에너지'!AH$14:AH$949))</f>
        <v/>
      </c>
      <c r="CZ156" s="815" t="str">
        <f>IF($C156&lt;1,"",AVERAGEIF('09월 에너지'!$A$14:$A$949,$A156,'09월 에너지'!AI$14:AI$949))</f>
        <v/>
      </c>
      <c r="DA156" s="820" t="str">
        <f>IF($C156&lt;1,"",AVERAGEIF('09월 에너지'!$A$14:$A$949,$A156,'09월 에너지'!AJ$14:AJ$949))</f>
        <v/>
      </c>
    </row>
    <row r="157" spans="1:105" ht="13.5" customHeight="1">
      <c r="A157" s="849">
        <f t="shared" si="33"/>
        <v>44957</v>
      </c>
      <c r="B157" s="850" t="s">
        <v>9</v>
      </c>
      <c r="C157" s="823">
        <f>COUNTIFS('09월 조업일지'!$A$12:$A$952,A156,'09월 조업일지'!$E$12:$E$952,B157)</f>
        <v>0</v>
      </c>
      <c r="D157" s="824" t="str">
        <f>IF(C157&lt;1,"",F157-E157)</f>
        <v/>
      </c>
      <c r="E157" s="824" t="str">
        <f>IF($C157&lt;1,"",(SUMIFS('09월 조업일지'!$K$12:$K$952,'09월 조업일지'!$A$12:$A$952,$A157,'09월 조업일지'!$E$12:$E$952,$B157)/$C157))</f>
        <v/>
      </c>
      <c r="F157" s="824" t="str">
        <f>IF($C157&lt;1,"",(AVERAGEIFS('09월 조업일지'!$J$12:$J$952,'09월 조업일지'!$A$12:$A$952,$A157,'09월 조업일지'!$E$12:$E$952,$B157)))</f>
        <v/>
      </c>
      <c r="G157" s="825" t="str">
        <f>IF($C157&lt;1,"",(AVERAGEIFS('09월 에너지'!$M$14:$M$949,'09월 에너지'!$A$14:$A$949,$A157,'09월 에너지'!$C$14:$C$949,$B157)))</f>
        <v/>
      </c>
      <c r="H157" s="826" t="str">
        <f>IF($C157&lt;1,"",(AVERAGEIFS('09월 조업일지'!$AJ$12:$AJ$952,'09월 조업일지'!$A$12:$A$952,$A157,'09월 조업일지'!$E$12:$E$952,$B157)))</f>
        <v/>
      </c>
      <c r="I157" s="826" t="str">
        <f>IF($C157&lt;1,"",(AVERAGEIFS('09월 조업일지'!$AL$12:$AL$952,'09월 조업일지'!$A$12:$A$952,$A157,'09월 조업일지'!$E$12:$E$952,$B157)))</f>
        <v/>
      </c>
      <c r="J157" s="827" t="str">
        <f>IF($C157&lt;1,"",(AVERAGEIFS('09월 화학성분'!G$12:G$949,'09월 화학성분'!$A$12:$A$949,$A157,'09월 화학성분'!$D$12:$D$949,$B157)))</f>
        <v/>
      </c>
      <c r="K157" s="827" t="str">
        <f>IF($C157&lt;1,"",(AVERAGEIFS('09월 화학성분'!H$12:H$949,'09월 화학성분'!$A$12:$A$949,$A157,'09월 화학성분'!$D$12:$D$949,$B157)))</f>
        <v/>
      </c>
      <c r="L157" s="827" t="str">
        <f>IF($C157&lt;1,"",(AVERAGEIFS('09월 화학성분'!I$12:I$949,'09월 화학성분'!$A$12:$A$949,$A157,'09월 화학성분'!$D$12:$D$949,$B157)))</f>
        <v/>
      </c>
      <c r="M157" s="827" t="str">
        <f>IF($C157&lt;1,"",(AVERAGEIFS('09월 화학성분'!J$12:J$949,'09월 화학성분'!$A$12:$A$949,$A157,'09월 화학성분'!$D$12:$D$949,$B157)))</f>
        <v/>
      </c>
      <c r="N157" s="827" t="str">
        <f>IF($C157&lt;1,"",(AVERAGEIFS('09월 화학성분'!K$12:K$949,'09월 화학성분'!$A$12:$A$949,$A157,'09월 화학성분'!$D$12:$D$949,$B157)))</f>
        <v/>
      </c>
      <c r="O157" s="827" t="str">
        <f>IF($C157&lt;1,"",(AVERAGEIFS('09월 화학성분'!L$12:L$949,'09월 화학성분'!$A$12:$A$949,$A157,'09월 화학성분'!$D$12:$D$949,$B157)))</f>
        <v/>
      </c>
      <c r="P157" s="827" t="str">
        <f>IF($C157&lt;1,"",(AVERAGEIFS('09월 화학성분'!M$12:M$949,'09월 화학성분'!$A$12:$A$949,$A157,'09월 화학성분'!$D$12:$D$949,$B157)))</f>
        <v/>
      </c>
      <c r="Q157" s="827" t="str">
        <f>IFERROR(IF($C157&lt;1,"",(AVERAGEIFS('09월 조업일지'!$AA$12:$AA$952,'09월 조업일지'!$A$12:$A$952,$A157,'09월 조업일지'!$E$12:$E$952,$B157))),"")</f>
        <v/>
      </c>
      <c r="R157" s="827" t="str">
        <f>IF($C157&lt;1,"",(AVERAGEIFS('09월 조업일지'!$AK$12:$AK$952,'09월 조업일지'!$A$12:$A$952,$A157,'09월 조업일지'!$E$12:$E$952,$B157)))</f>
        <v/>
      </c>
      <c r="S157" s="827"/>
      <c r="T157" s="827"/>
      <c r="U157" s="827" t="str">
        <f>IF($C157&lt;1,"",(AVERAGEIFS('09월 화학성분'!$G$12:$G$949,'09월 화학성분'!$A$12:$A$949,$A157,'09월 화학성분'!$D$12:$D$949,$B157)))</f>
        <v/>
      </c>
      <c r="V157" s="827" t="str">
        <f>IF($C157&lt;1,"",(AVERAGEIFS('09월 조업일지'!$AI$12:$AI$952,'09월 조업일지'!$A$12:$A$952,$A157,'09월 조업일지'!$E$12:$E$952,$B157)))</f>
        <v/>
      </c>
      <c r="W157" s="828" t="str">
        <f>IF($C157&lt;1,"",(AVERAGEIFS('09월 화학성분'!$AM$12:$AM$949,'09월 화학성분'!$A$12:$A$949,$A157,'09월 화학성분'!$D$12:$D$949,$B157)))</f>
        <v/>
      </c>
      <c r="X157" s="829" t="str">
        <f>IF($C157&lt;1,"",(AVERAGEIFS('09월 화학성분'!N$12:N$949,'09월 화학성분'!$A$12:$A$949,$A157,'09월 화학성분'!$D$12:$D$949,$B157)))</f>
        <v/>
      </c>
      <c r="Y157" s="829" t="str">
        <f>IF($C157&lt;1,"",(AVERAGEIFS('09월 화학성분'!O$12:O$949,'09월 화학성분'!$A$12:$A$949,$A157,'09월 화학성분'!$D$12:$D$949,$B157)))</f>
        <v/>
      </c>
      <c r="Z157" s="829" t="str">
        <f>IF($C157&lt;1,"",(AVERAGEIFS('09월 화학성분'!P$12:P$949,'09월 화학성분'!$A$12:$A$949,$A157,'09월 화학성분'!$D$12:$D$949,$B157)))</f>
        <v/>
      </c>
      <c r="AA157" s="829" t="str">
        <f>IF($C157&lt;1,"",(AVERAGEIFS('09월 화학성분'!Q$12:Q$949,'09월 화학성분'!$A$12:$A$949,$A157,'09월 화학성분'!$D$12:$D$949,$B157)))</f>
        <v/>
      </c>
      <c r="AB157" s="829" t="str">
        <f>IF($C157&lt;1,"",(AVERAGEIFS('09월 화학성분'!R$12:R$949,'09월 화학성분'!$A$12:$A$949,$A157,'09월 화학성분'!$D$12:$D$949,$B157)))</f>
        <v/>
      </c>
      <c r="AC157" s="829" t="str">
        <f>IF($C157&lt;1,"",(AVERAGEIFS('09월 화학성분'!U$12:U$949,'09월 화학성분'!$A$12:$A$949,$A157,'09월 화학성분'!$D$12:$D$949,$B157)))</f>
        <v/>
      </c>
      <c r="AD157" s="829" t="str">
        <f>IF($C157&lt;1,"",(AVERAGEIFS('09월 화학성분'!V$12:V$949,'09월 화학성분'!$A$12:$A$949,$A157,'09월 화학성분'!$D$12:$D$949,$B157)))</f>
        <v/>
      </c>
      <c r="AE157" s="829" t="str">
        <f>IF($C157&lt;1,"",(AVERAGEIFS('09월 화학성분'!W$12:W$949,'09월 화학성분'!$A$12:$A$949,$A157,'09월 화학성분'!$D$12:$D$949,$B157)))</f>
        <v/>
      </c>
      <c r="AF157" s="829" t="str">
        <f>IF($C157&lt;1,"",(AVERAGEIFS('09월 화학성분'!AA$12:AA$949,'09월 화학성분'!$A$12:$A$949,$A157,'09월 화학성분'!$D$12:$D$949,$B157)))</f>
        <v/>
      </c>
      <c r="AG157" s="829" t="str">
        <f>IF($C157&lt;1,"",(AVERAGEIFS('09월 화학성분'!#REF!,'09월 화학성분'!$A$12:$A$949,$A157,'09월 화학성분'!$D$12:$D$949,$B157)))</f>
        <v/>
      </c>
      <c r="AH157" s="829" t="str">
        <f>IF($C157&lt;1,"",(AVERAGEIFS('09월 화학성분'!AB$12:AB$949,'09월 화학성분'!$A$12:$A$949,$A157,'09월 화학성분'!$D$12:$D$949,$B157)))</f>
        <v/>
      </c>
      <c r="AI157" s="829" t="str">
        <f>IF($C157&lt;1,"",(AVERAGEIFS('09월 화학성분'!AC$12:AC$949,'09월 화학성분'!$A$12:$A$949,$A157,'09월 화학성분'!$D$12:$D$949,$B157)))</f>
        <v/>
      </c>
      <c r="AJ157" s="829" t="str">
        <f>IF($C157&lt;1,"",(AVERAGEIFS('09월 화학성분'!AD$12:AD$949,'09월 화학성분'!$A$12:$A$949,$A157,'09월 화학성분'!$D$12:$D$949,$B157)))</f>
        <v/>
      </c>
      <c r="AK157" s="829" t="str">
        <f>IF($C157&lt;1,"",(AVERAGEIFS('09월 화학성분'!AF$12:AF$949,'09월 화학성분'!$A$12:$A$949,$A157,'09월 화학성분'!$D$12:$D$949,$B157)))</f>
        <v/>
      </c>
      <c r="AL157" s="829" t="str">
        <f>IF($C157&lt;1,"",(AVERAGEIFS('09월 화학성분'!AG$12:AG$949,'09월 화학성분'!$A$12:$A$949,$A157,'09월 화학성분'!$D$12:$D$949,$B157)))</f>
        <v/>
      </c>
      <c r="AM157" s="829" t="str">
        <f>IF($C157&lt;1,"",(AVERAGEIFS('09월 화학성분'!AH$12:AH$949,'09월 화학성분'!$A$12:$A$949,$A157,'09월 화학성분'!$D$12:$D$949,$B157)))</f>
        <v/>
      </c>
      <c r="AN157" s="829" t="str">
        <f>IF($C157&lt;1,"",(AVERAGEIFS('09월 화학성분'!AI$12:AI$949,'09월 화학성분'!$A$12:$A$949,$A157,'09월 화학성분'!$D$12:$D$949,$B157)))</f>
        <v/>
      </c>
      <c r="AO157" s="829" t="str">
        <f>IF($C157&lt;1,"",(AVERAGEIFS('09월 화학성분'!AJ$12:AJ$949,'09월 화학성분'!$A$12:$A$949,$A157,'09월 화학성분'!$D$12:$D$949,$B157)))</f>
        <v/>
      </c>
      <c r="AP157" s="829" t="str">
        <f>IF($C157&lt;1,"",(AVERAGEIFS('09월 화학성분'!#REF!,'09월 화학성분'!$A$12:$A$949,$A157,'09월 화학성분'!$D$12:$D$949,$B157)))</f>
        <v/>
      </c>
      <c r="AQ157" s="829" t="str">
        <f>IF($C157&lt;1,"",(AVERAGEIFS('09월 화학성분'!AL$12:AL$949,'09월 화학성분'!$A$12:$A$949,$A157,'09월 화학성분'!$D$12:$D$949,$B157)))</f>
        <v/>
      </c>
      <c r="AR157" s="829" t="str">
        <f>IF($C157&lt;1,"",(AVERAGEIFS('09월 화학성분'!AM$12:AM$949,'09월 화학성분'!$A$12:$A$949,$A157,'09월 화학성분'!$D$12:$D$949,$B157)))</f>
        <v/>
      </c>
      <c r="AS157" s="830" t="str">
        <f>IF($C157&lt;1,"",(AVERAGEIFS('09월 화학성분'!AN$12:AN$949,'09월 화학성분'!$A$12:$A$949,$A157,'09월 화학성분'!$D$12:$D$949,$B157)))</f>
        <v/>
      </c>
      <c r="AT157" s="830" t="str">
        <f>IF($C157&lt;1,"",(AVERAGEIFS('09월 화학성분'!AO$12:AO$949,'09월 화학성분'!$A$12:$A$949,$A157,'09월 화학성분'!$D$12:$D$949,$B157)))</f>
        <v/>
      </c>
      <c r="AU157" s="831" t="str">
        <f>IF($C157&lt;1,"",(AVERAGEIFS('09월 화학성분'!AP$12:AP$949,'09월 화학성분'!$A$12:$A$949,$A157,'09월 화학성분'!$D$12:$D$949,$B157)))</f>
        <v/>
      </c>
      <c r="AV157" s="832" t="str">
        <f>IF($C157&lt;1,"",(AVERAGEIFS('09월 고철장입'!G$14:G$949,'09월 고철장입'!$A$14:$A$949,$A157,'09월 고철장입'!$C$14:$C$949,$B157))/1000)</f>
        <v/>
      </c>
      <c r="AW157" s="832" t="str">
        <f>IF($C157&lt;1,"",(AVERAGEIFS('09월 고철장입'!H$14:H$949,'09월 고철장입'!$A$14:$A$949,$A157,'09월 고철장입'!$C$14:$C$949,$B157))/1000)</f>
        <v/>
      </c>
      <c r="AX157" s="832" t="str">
        <f>IF($C157&lt;1,"",(AVERAGEIFS('09월 고철장입'!I$14:I$949,'09월 고철장입'!$A$14:$A$949,$A157,'09월 고철장입'!$C$14:$C$949,$B157))/1000)</f>
        <v/>
      </c>
      <c r="AY157" s="832" t="str">
        <f>IF($C157&lt;1,"",(AVERAGEIFS('09월 고철장입'!J$14:J$949,'09월 고철장입'!$A$14:$A$949,$A157,'09월 고철장입'!$C$14:$C$949,$B157))/1000)</f>
        <v/>
      </c>
      <c r="AZ157" s="832" t="str">
        <f>IF($C157&lt;1,"",(AVERAGEIFS('09월 고철장입'!K$14:K$949,'09월 고철장입'!$A$14:$A$949,$A157,'09월 고철장입'!$C$14:$C$949,$B157))/1000)</f>
        <v/>
      </c>
      <c r="BA157" s="832" t="str">
        <f>IF($C157&lt;1,"",(AVERAGEIFS('09월 고철장입'!L$14:L$949,'09월 고철장입'!$A$14:$A$949,$A157,'09월 고철장입'!$C$14:$C$949,$B157))/1000)</f>
        <v/>
      </c>
      <c r="BB157" s="832" t="str">
        <f>IF($C157&lt;1,"",(AVERAGEIFS('09월 고철장입'!M$14:M$949,'09월 고철장입'!$A$14:$A$949,$A157,'09월 고철장입'!$C$14:$C$949,$B157))/1000)</f>
        <v/>
      </c>
      <c r="BC157" s="832" t="str">
        <f>IF($C157&lt;1,"",(AVERAGEIFS('09월 고철장입'!N$14:N$949,'09월 고철장입'!$A$14:$A$949,$A157,'09월 고철장입'!$C$14:$C$949,$B157))/1000)</f>
        <v/>
      </c>
      <c r="BD157" s="832" t="str">
        <f>IF($C157&lt;1,"",(AVERAGEIFS('09월 고철장입'!O$14:O$949,'09월 고철장입'!$A$14:$A$949,$A157,'09월 고철장입'!$C$14:$C$949,$B157))/1000)</f>
        <v/>
      </c>
      <c r="BE157" s="833" t="str">
        <f>IF($C157&lt;1,"",(AVERAGEIFS('09월 고철장입'!P$14:P$949,'09월 고철장입'!$A$14:$A$949,$A157,'09월 고철장입'!$C$14:$C$949,$B157))/1000)</f>
        <v/>
      </c>
      <c r="BF157" s="833" t="str">
        <f>IF($C157&lt;1,"",(AVERAGEIFS('09월 고철장입'!Q$14:Q$949,'09월 고철장입'!$A$14:$A$949,$A157,'09월 고철장입'!$C$14:$C$949,$B157))/1000)</f>
        <v/>
      </c>
      <c r="BG157" s="833" t="str">
        <f>IF($C157&lt;1,"",(AVERAGEIFS('09월 고철장입'!S$14:S$949,'09월 고철장입'!$A$14:$A$949,$A157,'09월 고철장입'!$C$14:$C$949,$B157))/1000)</f>
        <v/>
      </c>
      <c r="BH157" s="833" t="str">
        <f>IF($C157&lt;1,"",(AVERAGEIFS('09월 고철장입'!T$14:T$949,'09월 고철장입'!$A$14:$A$949,$A157,'09월 고철장입'!$C$14:$C$949,$B157))/1000)</f>
        <v/>
      </c>
      <c r="BI157" s="833" t="str">
        <f>IF($C157&lt;1,"",(AVERAGEIFS('09월 고철장입'!U$14:U$949,'09월 고철장입'!$A$14:$A$949,$A157,'09월 고철장입'!$C$14:$C$949,$B157))/1000)</f>
        <v/>
      </c>
      <c r="BJ157" s="833" t="str">
        <f>IF($C157&lt;1,"",(AVERAGEIFS('09월 고철장입'!V$14:V$949,'09월 고철장입'!$A$14:$A$949,$A157,'09월 고철장입'!$C$14:$C$949,$B157))/1000)</f>
        <v/>
      </c>
      <c r="BK157" s="833" t="str">
        <f>IF($C157&lt;1,"",(AVERAGEIFS('09월 고철장입'!W$14:W$949,'09월 고철장입'!$A$14:$A$949,$A157,'09월 고철장입'!$C$14:$C$949,$B157))/1000)</f>
        <v/>
      </c>
      <c r="BL157" s="833" t="str">
        <f>IF($C157&lt;1,"",(AVERAGEIFS('09월 고철장입'!Y$14:Y$949,'09월 고철장입'!$A$14:$A$949,$A157,'09월 고철장입'!$C$14:$C$949,$B157))/1000)</f>
        <v/>
      </c>
      <c r="BM157" s="833" t="str">
        <f>IF($C157&lt;1,"",(AVERAGEIFS('09월 고철장입'!AB$14:AB$949,'09월 고철장입'!$A$14:$A$949,$A157,'09월 고철장입'!$C$14:$C$949,$B157))/1000)</f>
        <v/>
      </c>
      <c r="BN157" s="833" t="str">
        <f>IF($C157&lt;1,"",(AVERAGEIFS('09월 고철장입'!AC$14:AC$949,'09월 고철장입'!$A$14:$A$949,$A157,'09월 고철장입'!$C$14:$C$949,$B157))/1000)</f>
        <v/>
      </c>
      <c r="BO157" s="833" t="str">
        <f>IF($C157&lt;1,"",(AVERAGEIFS('09월 고철장입'!AD$14:AD$949,'09월 고철장입'!$A$14:$A$949,$A157,'09월 고철장입'!$C$14:$C$949,$B157))/1000)</f>
        <v/>
      </c>
      <c r="BP157" s="833" t="str">
        <f>IF($C157&lt;1,"",(AVERAGEIFS('09월 고철장입'!AE$14:AE$949,'09월 고철장입'!$A$14:$A$949,$A157,'09월 고철장입'!$C$14:$C$949,$B157))/1000)</f>
        <v/>
      </c>
      <c r="BQ157" s="832" t="str">
        <f>IF($C157&lt;1,"",(AVERAGEIFS('09월 고철장입'!AF$14:AF$949,'09월 고철장입'!$A$14:$A$949,$A157,'09월 고철장입'!$C$14:$C$949,$B157))/1000)</f>
        <v/>
      </c>
      <c r="BR157" s="832" t="str">
        <f>IF($C157&lt;1,"",(AVERAGEIFS('09월 고철장입'!AG$14:AG$949,'09월 고철장입'!$A$14:$A$949,$A157,'09월 고철장입'!$C$14:$C$949,$B157))/1000)</f>
        <v/>
      </c>
      <c r="BS157" s="832" t="str">
        <f>IF($C157&lt;1,"",(AVERAGEIFS('09월 고철장입'!AH$14:AH$949,'09월 고철장입'!$A$14:$A$949,$A157,'09월 고철장입'!$C$14:$C$949,$B157))/1000)</f>
        <v/>
      </c>
      <c r="BT157" s="832" t="str">
        <f>IF($C157&lt;1,"",(AVERAGEIFS('09월 고철장입'!AI$14:AI$949,'09월 고철장입'!$A$14:$A$949,$A157,'09월 고철장입'!$C$14:$C$949,$B157))/1000)</f>
        <v/>
      </c>
      <c r="BU157" s="834" t="str">
        <f>IF($C157&lt;1,"",(AVERAGEIFS('09월 고철장입'!AJ$14:AJ$949,'09월 고철장입'!$A$14:$A$949,$A157,'09월 고철장입'!$C$14:$C$949,$B157))/1000)</f>
        <v/>
      </c>
      <c r="BV157" s="834" t="str">
        <f>IF($C157&lt;1,"",(AVERAGEIFS('09월 고철장입'!AK$14:AK$949,'09월 고철장입'!$A$14:$A$949,$A157,'09월 고철장입'!$C$14:$C$949,$B157)))</f>
        <v/>
      </c>
      <c r="BW157" s="834" t="str">
        <f>IF($C157&lt;1,"",(AVERAGEIFS('09월 고철장입'!AL$14:AL$949,'09월 고철장입'!$A$14:$A$949,$A157,'09월 고철장입'!$C$14:$C$949,$B157))*100)</f>
        <v/>
      </c>
      <c r="BX157" s="831" t="str">
        <f>IF($C157&lt;1,"",(AVERAGEIFS('09월 에너지'!G$14:G$949,'09월 에너지'!$A$14:$A$949,$A157,'09월 에너지'!$C$14:$C$949,$B157)))</f>
        <v/>
      </c>
      <c r="BY157" s="835" t="str">
        <f>IF($C157&lt;1,"",(AVERAGEIFS('09월 에너지'!H$14:H$949,'09월 에너지'!$A$14:$A$949,$A157,'09월 에너지'!$C$14:$C$949,$B157)))</f>
        <v/>
      </c>
      <c r="BZ157" s="831" t="str">
        <f>IF($C157&lt;1,"",(AVERAGEIFS('09월 에너지'!I$14:I$949,'09월 에너지'!$A$14:$A$949,$A157,'09월 에너지'!$C$14:$C$949,$B157)))</f>
        <v/>
      </c>
      <c r="CA157" s="835" t="str">
        <f>IF($C157&lt;1,"",(AVERAGEIFS('09월 에너지'!J$14:J$949,'09월 에너지'!$A$14:$A$949,$A157,'09월 에너지'!$C$14:$C$949,$B157)))</f>
        <v/>
      </c>
      <c r="CB157" s="831" t="str">
        <f>IF($C157&lt;1,"",(AVERAGEIFS('09월 에너지'!K$14:K$949,'09월 에너지'!$A$14:$A$949,$A157,'09월 에너지'!$C$14:$C$949,$B157)))</f>
        <v/>
      </c>
      <c r="CC157" s="835" t="str">
        <f>IF($C157&lt;1,"",(AVERAGEIFS('09월 에너지'!L$14:L$949,'09월 에너지'!$A$14:$A$949,$A157,'09월 에너지'!$C$14:$C$949,$B157)))</f>
        <v/>
      </c>
      <c r="CD157" s="831" t="str">
        <f>IF($C157&lt;1,"",(AVERAGEIFS('09월 에너지'!M$14:M$949,'09월 에너지'!$A$14:$A$949,$A157,'09월 에너지'!$C$14:$C$949,$B157)))</f>
        <v/>
      </c>
      <c r="CE157" s="835" t="str">
        <f>IF($C157&lt;1,"",(AVERAGEIFS('09월 에너지'!N$14:N$949,'09월 에너지'!$A$14:$A$949,$A157,'09월 에너지'!$C$14:$C$949,$B157)))</f>
        <v/>
      </c>
      <c r="CF157" s="831" t="str">
        <f>IF($C157&lt;1,"",(AVERAGEIFS('09월 에너지'!O$14:O$949,'09월 에너지'!$A$14:$A$949,$A157,'09월 에너지'!$C$14:$C$949,$B157)))</f>
        <v/>
      </c>
      <c r="CG157" s="831" t="str">
        <f>IF($C157&lt;1,"",(AVERAGEIFS('09월 에너지'!P$14:P$949,'09월 에너지'!$A$14:$A$949,$A157,'09월 에너지'!$C$14:$C$949,$B157)))</f>
        <v/>
      </c>
      <c r="CH157" s="831" t="str">
        <f>IF($C157&lt;1,"",(AVERAGEIFS('09월 에너지'!Q$14:Q$949,'09월 에너지'!$A$14:$A$949,$A157,'09월 에너지'!$C$14:$C$949,$B157)))</f>
        <v/>
      </c>
      <c r="CI157" s="831" t="str">
        <f>IF($C157&lt;1,"",(AVERAGEIFS('09월 에너지'!R$14:R$949,'09월 에너지'!$A$14:$A$949,$A157,'09월 에너지'!$C$14:$C$949,$B157)))</f>
        <v/>
      </c>
      <c r="CJ157" s="831" t="str">
        <f>IF($C157&lt;1,"",(AVERAGEIFS('09월 에너지'!S$14:S$949,'09월 에너지'!$A$14:$A$949,$A157,'09월 에너지'!$C$14:$C$949,$B157)))</f>
        <v/>
      </c>
      <c r="CK157" s="831" t="str">
        <f>IF($C157&lt;1,"",(AVERAGEIFS('09월 에너지'!T$14:T$949,'09월 에너지'!$A$14:$A$949,$A157,'09월 에너지'!$C$14:$C$949,$B157)))</f>
        <v/>
      </c>
      <c r="CL157" s="831" t="str">
        <f>IF($C157&lt;1,"",(AVERAGEIFS('09월 에너지'!U$14:U$949,'09월 에너지'!$A$14:$A$949,$A157,'09월 에너지'!$C$14:$C$949,$B157)))</f>
        <v/>
      </c>
      <c r="CM157" s="835" t="str">
        <f>IF($C157&lt;1,"",(AVERAGEIFS('09월 에너지'!V$14:V$949,'09월 에너지'!$A$14:$A$949,$A157,'09월 에너지'!$C$14:$C$949,$B157)))</f>
        <v/>
      </c>
      <c r="CN157" s="835" t="str">
        <f>IF($C157&lt;1,"",(AVERAGEIFS('09월 에너지'!W$14:W$949,'09월 에너지'!$A$14:$A$949,$A157,'09월 에너지'!$C$14:$C$949,$B157)))</f>
        <v/>
      </c>
      <c r="CO157" s="831" t="str">
        <f>IF($C157&lt;1,"",(AVERAGEIFS('09월 에너지'!X$14:X$949,'09월 에너지'!$A$14:$A$949,$A157,'09월 에너지'!$C$14:$C$949,$B157)))</f>
        <v/>
      </c>
      <c r="CP157" s="835" t="str">
        <f>IF($C157&lt;1,"",(AVERAGEIFS('09월 에너지'!Y$14:Y$949,'09월 에너지'!$A$14:$A$949,$A157,'09월 에너지'!$C$14:$C$949,$B157)))</f>
        <v/>
      </c>
      <c r="CQ157" s="835" t="str">
        <f>IF($C157&lt;1,"",(AVERAGEIFS('09월 에너지'!Z$14:Z$949,'09월 에너지'!$A$14:$A$949,$A157,'09월 에너지'!$C$14:$C$949,$B157)))</f>
        <v/>
      </c>
      <c r="CR157" s="835" t="str">
        <f>IF($C157&lt;1,"",(AVERAGEIFS('09월 에너지'!AA$14:AA$949,'09월 에너지'!$A$14:$A$949,$A157,'09월 에너지'!$C$14:$C$949,$B157)))</f>
        <v/>
      </c>
      <c r="CS157" s="835" t="str">
        <f>IF($C157&lt;1,"",(AVERAGEIFS('09월 에너지'!AB$14:AB$949,'09월 에너지'!$A$14:$A$949,$A157,'09월 에너지'!$C$14:$C$949,$B157)))</f>
        <v/>
      </c>
      <c r="CT157" s="831" t="str">
        <f>IF($C157&lt;1,"",(AVERAGEIFS('09월 에너지'!AC$14:AC$949,'09월 에너지'!$A$14:$A$949,$A157,'09월 에너지'!$C$14:$C$949,$B157)))</f>
        <v/>
      </c>
      <c r="CU157" s="836" t="str">
        <f>IF($C157&lt;1,"",(AVERAGEIFS('09월 에너지'!AD$14:AD$949,'09월 에너지'!$A$14:$A$949,$A157,'09월 에너지'!$C$14:$C$949,$B157)))</f>
        <v/>
      </c>
      <c r="CV157" s="837" t="str">
        <f>IF($C157&lt;1,"",(AVERAGEIFS('09월 에너지'!AE$14:AE$949,'09월 에너지'!$A$14:$A$949,$A157,'09월 에너지'!$C$14:$C$949,$B157)))</f>
        <v/>
      </c>
      <c r="CW157" s="831" t="str">
        <f>IF($C157&lt;1,"",(AVERAGEIFS('09월 에너지'!AF$14:AF$949,'09월 에너지'!$A$14:$A$949,$A157,'09월 에너지'!$C$14:$C$949,$B157)))</f>
        <v/>
      </c>
      <c r="CX157" s="831" t="str">
        <f>IF($C157&lt;1,"",(AVERAGEIFS('09월 에너지'!AG$14:AG$949,'09월 에너지'!$A$14:$A$949,$A157,'09월 에너지'!$C$14:$C$949,$B157)))</f>
        <v/>
      </c>
      <c r="CY157" s="831" t="str">
        <f>IF($C157&lt;1,"",(AVERAGEIFS('09월 에너지'!AH$14:AH$949,'09월 에너지'!$A$14:$A$949,$A157,'09월 에너지'!$C$14:$C$949,$B157)))</f>
        <v/>
      </c>
      <c r="CZ157" s="831" t="str">
        <f>IF($C157&lt;1,"",(AVERAGEIFS('09월 에너지'!AI$14:AI$949,'09월 에너지'!$A$14:$A$949,$A157,'09월 에너지'!$C$14:$C$949,$B157)))</f>
        <v/>
      </c>
      <c r="DA157" s="838" t="str">
        <f>IF($C157&lt;1,"",(AVERAGEIFS('09월 에너지'!AJ$14:AJ$949,'09월 에너지'!$A$14:$A$949,$A157,'09월 에너지'!$C$14:$C$949,$B157)))</f>
        <v/>
      </c>
    </row>
    <row r="158" spans="1:105" ht="13.5" customHeight="1">
      <c r="A158" s="849">
        <f t="shared" si="33"/>
        <v>44957</v>
      </c>
      <c r="B158" s="850" t="s">
        <v>100</v>
      </c>
      <c r="C158" s="823">
        <f>COUNTIFS('09월 조업일지'!$A$12:$A$952,A156,'09월 조업일지'!$E$12:$E$952,B158)</f>
        <v>0</v>
      </c>
      <c r="D158" s="824" t="str">
        <f t="shared" ref="D158:D160" si="35">IF(C158&lt;1,"",F158-E158)</f>
        <v/>
      </c>
      <c r="E158" s="824" t="str">
        <f>IF($C158&lt;1,"",(SUMIFS('09월 조업일지'!$K$12:$K$952,'09월 조업일지'!$A$12:$A$952,$A158,'09월 조업일지'!$E$12:$E$952,$B158)/$C158))</f>
        <v/>
      </c>
      <c r="F158" s="824" t="str">
        <f>IF($C158&lt;1,"",(AVERAGEIFS('09월 조업일지'!$J$12:$J$952,'09월 조업일지'!$A$12:$A$952,$A158,'09월 조업일지'!$E$12:$E$952,$B158)))</f>
        <v/>
      </c>
      <c r="G158" s="825" t="str">
        <f>IF($C158&lt;1,"",(AVERAGEIFS('09월 에너지'!$M$14:$M$949,'09월 에너지'!$A$14:$A$949,$A158,'09월 에너지'!$C$14:$C$949,$B158)))</f>
        <v/>
      </c>
      <c r="H158" s="826" t="str">
        <f>IF($C158&lt;1,"",(AVERAGEIFS('09월 조업일지'!$AJ$12:$AJ$952,'09월 조업일지'!$A$12:$A$952,$A158,'09월 조업일지'!$E$12:$E$952,$B158)))</f>
        <v/>
      </c>
      <c r="I158" s="826" t="str">
        <f>IF($C158&lt;1,"",(AVERAGEIFS('09월 조업일지'!$AL$12:$AL$952,'09월 조업일지'!$A$12:$A$952,$A158,'09월 조업일지'!$E$12:$E$952,$B158)))</f>
        <v/>
      </c>
      <c r="J158" s="827" t="str">
        <f>IF($C158&lt;1,"",(AVERAGEIFS('09월 화학성분'!G$12:G$949,'09월 화학성분'!$A$12:$A$949,$A158,'09월 화학성분'!$D$12:$D$949,$B158)))</f>
        <v/>
      </c>
      <c r="K158" s="827" t="str">
        <f>IF($C158&lt;1,"",(AVERAGEIFS('09월 화학성분'!H$12:H$949,'09월 화학성분'!$A$12:$A$949,$A158,'09월 화학성분'!$D$12:$D$949,$B158)))</f>
        <v/>
      </c>
      <c r="L158" s="827" t="str">
        <f>IF($C158&lt;1,"",(AVERAGEIFS('09월 화학성분'!I$12:I$949,'09월 화학성분'!$A$12:$A$949,$A158,'09월 화학성분'!$D$12:$D$949,$B158)))</f>
        <v/>
      </c>
      <c r="M158" s="827" t="str">
        <f>IF($C158&lt;1,"",(AVERAGEIFS('09월 화학성분'!J$12:J$949,'09월 화학성분'!$A$12:$A$949,$A158,'09월 화학성분'!$D$12:$D$949,$B158)))</f>
        <v/>
      </c>
      <c r="N158" s="827" t="str">
        <f>IF($C158&lt;1,"",(AVERAGEIFS('09월 화학성분'!K$12:K$949,'09월 화학성분'!$A$12:$A$949,$A158,'09월 화학성분'!$D$12:$D$949,$B158)))</f>
        <v/>
      </c>
      <c r="O158" s="827" t="str">
        <f>IF($C158&lt;1,"",(AVERAGEIFS('09월 화학성분'!L$12:L$949,'09월 화학성분'!$A$12:$A$949,$A158,'09월 화학성분'!$D$12:$D$949,$B158)))</f>
        <v/>
      </c>
      <c r="P158" s="827" t="str">
        <f>IF($C158&lt;1,"",(AVERAGEIFS('09월 화학성분'!M$12:M$949,'09월 화학성분'!$A$12:$A$949,$A158,'09월 화학성분'!$D$12:$D$949,$B158)))</f>
        <v/>
      </c>
      <c r="Q158" s="827" t="str">
        <f>IFERROR(IF($C158&lt;1,"",(AVERAGEIFS('09월 조업일지'!$AA$12:$AA$952,'09월 조업일지'!$A$12:$A$952,$A158,'09월 조업일지'!$E$12:$E$952,$B158))),"")</f>
        <v/>
      </c>
      <c r="R158" s="827" t="str">
        <f>IF($C158&lt;1,"",(AVERAGEIFS('09월 조업일지'!$AK$12:$AK$952,'09월 조업일지'!$A$12:$A$952,$A158,'09월 조업일지'!$E$12:$E$952,$B158)))</f>
        <v/>
      </c>
      <c r="S158" s="827"/>
      <c r="T158" s="827"/>
      <c r="U158" s="827" t="str">
        <f>IF($C158&lt;1,"",(AVERAGEIFS('09월 화학성분'!$G$12:$G$949,'09월 화학성분'!$A$12:$A$949,$A158,'09월 화학성분'!$D$12:$D$949,$B158)))</f>
        <v/>
      </c>
      <c r="V158" s="827" t="str">
        <f>IF($C158&lt;1,"",(AVERAGEIFS('09월 조업일지'!$AI$12:$AI$952,'09월 조업일지'!$A$12:$A$952,$A158,'09월 조업일지'!$E$12:$E$952,$B158)))</f>
        <v/>
      </c>
      <c r="W158" s="828" t="str">
        <f>IF($C158&lt;1,"",(AVERAGEIFS('09월 화학성분'!$AM$12:$AM$949,'09월 화학성분'!$A$12:$A$949,$A158,'09월 화학성분'!$D$12:$D$949,$B158)))</f>
        <v/>
      </c>
      <c r="X158" s="829" t="str">
        <f>IF($C158&lt;1,"",(AVERAGEIFS('09월 화학성분'!N$12:N$949,'09월 화학성분'!$A$12:$A$949,$A158,'09월 화학성분'!$D$12:$D$949,$B158)))</f>
        <v/>
      </c>
      <c r="Y158" s="829" t="str">
        <f>IF($C158&lt;1,"",(AVERAGEIFS('09월 화학성분'!O$12:O$949,'09월 화학성분'!$A$12:$A$949,$A158,'09월 화학성분'!$D$12:$D$949,$B158)))</f>
        <v/>
      </c>
      <c r="Z158" s="829" t="str">
        <f>IF($C158&lt;1,"",(AVERAGEIFS('09월 화학성분'!P$12:P$949,'09월 화학성분'!$A$12:$A$949,$A158,'09월 화학성분'!$D$12:$D$949,$B158)))</f>
        <v/>
      </c>
      <c r="AA158" s="829" t="str">
        <f>IF($C158&lt;1,"",(AVERAGEIFS('09월 화학성분'!Q$12:Q$949,'09월 화학성분'!$A$12:$A$949,$A158,'09월 화학성분'!$D$12:$D$949,$B158)))</f>
        <v/>
      </c>
      <c r="AB158" s="829" t="str">
        <f>IF($C158&lt;1,"",(AVERAGEIFS('09월 화학성분'!R$12:R$949,'09월 화학성분'!$A$12:$A$949,$A158,'09월 화학성분'!$D$12:$D$949,$B158)))</f>
        <v/>
      </c>
      <c r="AC158" s="829" t="str">
        <f>IF($C158&lt;1,"",(AVERAGEIFS('09월 화학성분'!U$12:U$949,'09월 화학성분'!$A$12:$A$949,$A158,'09월 화학성분'!$D$12:$D$949,$B158)))</f>
        <v/>
      </c>
      <c r="AD158" s="829" t="str">
        <f>IF($C158&lt;1,"",(AVERAGEIFS('09월 화학성분'!V$12:V$949,'09월 화학성분'!$A$12:$A$949,$A158,'09월 화학성분'!$D$12:$D$949,$B158)))</f>
        <v/>
      </c>
      <c r="AE158" s="829" t="str">
        <f>IF($C158&lt;1,"",(AVERAGEIFS('09월 화학성분'!W$12:W$949,'09월 화학성분'!$A$12:$A$949,$A158,'09월 화학성분'!$D$12:$D$949,$B158)))</f>
        <v/>
      </c>
      <c r="AF158" s="829" t="str">
        <f>IF($C158&lt;1,"",(AVERAGEIFS('09월 화학성분'!AA$12:AA$949,'09월 화학성분'!$A$12:$A$949,$A158,'09월 화학성분'!$D$12:$D$949,$B158)))</f>
        <v/>
      </c>
      <c r="AG158" s="829" t="str">
        <f>IF($C158&lt;1,"",(AVERAGEIFS('09월 화학성분'!#REF!,'09월 화학성분'!$A$12:$A$949,$A158,'09월 화학성분'!$D$12:$D$949,$B158)))</f>
        <v/>
      </c>
      <c r="AH158" s="829" t="str">
        <f>IF($C158&lt;1,"",(AVERAGEIFS('09월 화학성분'!AB$12:AB$949,'09월 화학성분'!$A$12:$A$949,$A158,'09월 화학성분'!$D$12:$D$949,$B158)))</f>
        <v/>
      </c>
      <c r="AI158" s="829" t="str">
        <f>IF($C158&lt;1,"",(AVERAGEIFS('09월 화학성분'!AC$12:AC$949,'09월 화학성분'!$A$12:$A$949,$A158,'09월 화학성분'!$D$12:$D$949,$B158)))</f>
        <v/>
      </c>
      <c r="AJ158" s="829" t="str">
        <f>IF($C158&lt;1,"",(AVERAGEIFS('09월 화학성분'!AD$12:AD$949,'09월 화학성분'!$A$12:$A$949,$A158,'09월 화학성분'!$D$12:$D$949,$B158)))</f>
        <v/>
      </c>
      <c r="AK158" s="829" t="str">
        <f>IF($C158&lt;1,"",(AVERAGEIFS('09월 화학성분'!AF$12:AF$949,'09월 화학성분'!$A$12:$A$949,$A158,'09월 화학성분'!$D$12:$D$949,$B158)))</f>
        <v/>
      </c>
      <c r="AL158" s="829" t="str">
        <f>IF($C158&lt;1,"",(AVERAGEIFS('09월 화학성분'!AG$12:AG$949,'09월 화학성분'!$A$12:$A$949,$A158,'09월 화학성분'!$D$12:$D$949,$B158)))</f>
        <v/>
      </c>
      <c r="AM158" s="829" t="str">
        <f>IF($C158&lt;1,"",(AVERAGEIFS('09월 화학성분'!AH$12:AH$949,'09월 화학성분'!$A$12:$A$949,$A158,'09월 화학성분'!$D$12:$D$949,$B158)))</f>
        <v/>
      </c>
      <c r="AN158" s="829" t="str">
        <f>IF($C158&lt;1,"",(AVERAGEIFS('09월 화학성분'!AI$12:AI$949,'09월 화학성분'!$A$12:$A$949,$A158,'09월 화학성분'!$D$12:$D$949,$B158)))</f>
        <v/>
      </c>
      <c r="AO158" s="829" t="str">
        <f>IF($C158&lt;1,"",(AVERAGEIFS('09월 화학성분'!AJ$12:AJ$949,'09월 화학성분'!$A$12:$A$949,$A158,'09월 화학성분'!$D$12:$D$949,$B158)))</f>
        <v/>
      </c>
      <c r="AP158" s="829" t="str">
        <f>IF($C158&lt;1,"",(AVERAGEIFS('09월 화학성분'!#REF!,'09월 화학성분'!$A$12:$A$949,$A158,'09월 화학성분'!$D$12:$D$949,$B158)))</f>
        <v/>
      </c>
      <c r="AQ158" s="829" t="str">
        <f>IF($C158&lt;1,"",(AVERAGEIFS('09월 화학성분'!AL$12:AL$949,'09월 화학성분'!$A$12:$A$949,$A158,'09월 화학성분'!$D$12:$D$949,$B158)))</f>
        <v/>
      </c>
      <c r="AR158" s="829" t="str">
        <f>IF($C158&lt;1,"",(AVERAGEIFS('09월 화학성분'!AM$12:AM$949,'09월 화학성분'!$A$12:$A$949,$A158,'09월 화학성분'!$D$12:$D$949,$B158)))</f>
        <v/>
      </c>
      <c r="AS158" s="830" t="str">
        <f>IF($C158&lt;1,"",(AVERAGEIFS('09월 화학성분'!AN$12:AN$949,'09월 화학성분'!$A$12:$A$949,$A158,'09월 화학성분'!$D$12:$D$949,$B158)))</f>
        <v/>
      </c>
      <c r="AT158" s="830" t="str">
        <f>IF($C158&lt;1,"",(AVERAGEIFS('09월 화학성분'!AO$12:AO$949,'09월 화학성분'!$A$12:$A$949,$A158,'09월 화학성분'!$D$12:$D$949,$B158)))</f>
        <v/>
      </c>
      <c r="AU158" s="831" t="str">
        <f>IF($C158&lt;1,"",(AVERAGEIFS('09월 화학성분'!AP$12:AP$949,'09월 화학성분'!$A$12:$A$949,$A158,'09월 화학성분'!$D$12:$D$949,$B158)))</f>
        <v/>
      </c>
      <c r="AV158" s="832" t="str">
        <f>IF($C158&lt;1,"",(AVERAGEIFS('09월 고철장입'!G$14:G$949,'09월 고철장입'!$A$14:$A$949,$A158,'09월 고철장입'!$C$14:$C$949,$B158))/1000)</f>
        <v/>
      </c>
      <c r="AW158" s="832" t="str">
        <f>IF($C158&lt;1,"",(AVERAGEIFS('09월 고철장입'!H$14:H$949,'09월 고철장입'!$A$14:$A$949,$A158,'09월 고철장입'!$C$14:$C$949,$B158))/1000)</f>
        <v/>
      </c>
      <c r="AX158" s="832" t="str">
        <f>IF($C158&lt;1,"",(AVERAGEIFS('09월 고철장입'!I$14:I$949,'09월 고철장입'!$A$14:$A$949,$A158,'09월 고철장입'!$C$14:$C$949,$B158))/1000)</f>
        <v/>
      </c>
      <c r="AY158" s="832" t="str">
        <f>IF($C158&lt;1,"",(AVERAGEIFS('09월 고철장입'!J$14:J$949,'09월 고철장입'!$A$14:$A$949,$A158,'09월 고철장입'!$C$14:$C$949,$B158))/1000)</f>
        <v/>
      </c>
      <c r="AZ158" s="832" t="str">
        <f>IF($C158&lt;1,"",(AVERAGEIFS('09월 고철장입'!K$14:K$949,'09월 고철장입'!$A$14:$A$949,$A158,'09월 고철장입'!$C$14:$C$949,$B158))/1000)</f>
        <v/>
      </c>
      <c r="BA158" s="832" t="str">
        <f>IF($C158&lt;1,"",(AVERAGEIFS('09월 고철장입'!L$14:L$949,'09월 고철장입'!$A$14:$A$949,$A158,'09월 고철장입'!$C$14:$C$949,$B158))/1000)</f>
        <v/>
      </c>
      <c r="BB158" s="832" t="str">
        <f>IF($C158&lt;1,"",(AVERAGEIFS('09월 고철장입'!M$14:M$949,'09월 고철장입'!$A$14:$A$949,$A158,'09월 고철장입'!$C$14:$C$949,$B158))/1000)</f>
        <v/>
      </c>
      <c r="BC158" s="832" t="str">
        <f>IF($C158&lt;1,"",(AVERAGEIFS('09월 고철장입'!N$14:N$949,'09월 고철장입'!$A$14:$A$949,$A158,'09월 고철장입'!$C$14:$C$949,$B158))/1000)</f>
        <v/>
      </c>
      <c r="BD158" s="832" t="str">
        <f>IF($C158&lt;1,"",(AVERAGEIFS('09월 고철장입'!O$14:O$949,'09월 고철장입'!$A$14:$A$949,$A158,'09월 고철장입'!$C$14:$C$949,$B158))/1000)</f>
        <v/>
      </c>
      <c r="BE158" s="833" t="str">
        <f>IF($C158&lt;1,"",(AVERAGEIFS('09월 고철장입'!P$14:P$949,'09월 고철장입'!$A$14:$A$949,$A158,'09월 고철장입'!$C$14:$C$949,$B158))/1000)</f>
        <v/>
      </c>
      <c r="BF158" s="833" t="str">
        <f>IF($C158&lt;1,"",(AVERAGEIFS('09월 고철장입'!Q$14:Q$949,'09월 고철장입'!$A$14:$A$949,$A158,'09월 고철장입'!$C$14:$C$949,$B158))/1000)</f>
        <v/>
      </c>
      <c r="BG158" s="833" t="str">
        <f>IF($C158&lt;1,"",(AVERAGEIFS('09월 고철장입'!S$14:S$949,'09월 고철장입'!$A$14:$A$949,$A158,'09월 고철장입'!$C$14:$C$949,$B158))/1000)</f>
        <v/>
      </c>
      <c r="BH158" s="833" t="str">
        <f>IF($C158&lt;1,"",(AVERAGEIFS('09월 고철장입'!T$14:T$949,'09월 고철장입'!$A$14:$A$949,$A158,'09월 고철장입'!$C$14:$C$949,$B158))/1000)</f>
        <v/>
      </c>
      <c r="BI158" s="833" t="str">
        <f>IF($C158&lt;1,"",(AVERAGEIFS('09월 고철장입'!U$14:U$949,'09월 고철장입'!$A$14:$A$949,$A158,'09월 고철장입'!$C$14:$C$949,$B158))/1000)</f>
        <v/>
      </c>
      <c r="BJ158" s="833" t="str">
        <f>IF($C158&lt;1,"",(AVERAGEIFS('09월 고철장입'!V$14:V$949,'09월 고철장입'!$A$14:$A$949,$A158,'09월 고철장입'!$C$14:$C$949,$B158))/1000)</f>
        <v/>
      </c>
      <c r="BK158" s="833" t="str">
        <f>IF($C158&lt;1,"",(AVERAGEIFS('09월 고철장입'!W$14:W$949,'09월 고철장입'!$A$14:$A$949,$A158,'09월 고철장입'!$C$14:$C$949,$B158))/1000)</f>
        <v/>
      </c>
      <c r="BL158" s="833" t="str">
        <f>IF($C158&lt;1,"",(AVERAGEIFS('09월 고철장입'!Y$14:Y$949,'09월 고철장입'!$A$14:$A$949,$A158,'09월 고철장입'!$C$14:$C$949,$B158))/1000)</f>
        <v/>
      </c>
      <c r="BM158" s="833" t="str">
        <f>IF($C158&lt;1,"",(AVERAGEIFS('09월 고철장입'!AB$14:AB$949,'09월 고철장입'!$A$14:$A$949,$A158,'09월 고철장입'!$C$14:$C$949,$B158))/1000)</f>
        <v/>
      </c>
      <c r="BN158" s="833" t="str">
        <f>IF($C158&lt;1,"",(AVERAGEIFS('09월 고철장입'!AC$14:AC$949,'09월 고철장입'!$A$14:$A$949,$A158,'09월 고철장입'!$C$14:$C$949,$B158))/1000)</f>
        <v/>
      </c>
      <c r="BO158" s="833" t="str">
        <f>IF($C158&lt;1,"",(AVERAGEIFS('09월 고철장입'!AD$14:AD$949,'09월 고철장입'!$A$14:$A$949,$A158,'09월 고철장입'!$C$14:$C$949,$B158))/1000)</f>
        <v/>
      </c>
      <c r="BP158" s="833" t="str">
        <f>IF($C158&lt;1,"",(AVERAGEIFS('09월 고철장입'!AE$14:AE$949,'09월 고철장입'!$A$14:$A$949,$A158,'09월 고철장입'!$C$14:$C$949,$B158))/1000)</f>
        <v/>
      </c>
      <c r="BQ158" s="832" t="str">
        <f>IF($C158&lt;1,"",(AVERAGEIFS('09월 고철장입'!AF$14:AF$949,'09월 고철장입'!$A$14:$A$949,$A158,'09월 고철장입'!$C$14:$C$949,$B158))/1000)</f>
        <v/>
      </c>
      <c r="BR158" s="832" t="str">
        <f>IF($C158&lt;1,"",(AVERAGEIFS('09월 고철장입'!AG$14:AG$949,'09월 고철장입'!$A$14:$A$949,$A158,'09월 고철장입'!$C$14:$C$949,$B158))/1000)</f>
        <v/>
      </c>
      <c r="BS158" s="832" t="str">
        <f>IF($C158&lt;1,"",(AVERAGEIFS('09월 고철장입'!AH$14:AH$949,'09월 고철장입'!$A$14:$A$949,$A158,'09월 고철장입'!$C$14:$C$949,$B158))/1000)</f>
        <v/>
      </c>
      <c r="BT158" s="832" t="str">
        <f>IF($C158&lt;1,"",(AVERAGEIFS('09월 고철장입'!AI$14:AI$949,'09월 고철장입'!$A$14:$A$949,$A158,'09월 고철장입'!$C$14:$C$949,$B158))/1000)</f>
        <v/>
      </c>
      <c r="BU158" s="834" t="str">
        <f>IF($C158&lt;1,"",(AVERAGEIFS('09월 고철장입'!AJ$14:AJ$949,'09월 고철장입'!$A$14:$A$949,$A158,'09월 고철장입'!$C$14:$C$949,$B158))/1000)</f>
        <v/>
      </c>
      <c r="BV158" s="834" t="str">
        <f>IF($C158&lt;1,"",(AVERAGEIFS('09월 고철장입'!AK$14:AK$949,'09월 고철장입'!$A$14:$A$949,$A158,'09월 고철장입'!$C$14:$C$949,$B158)))</f>
        <v/>
      </c>
      <c r="BW158" s="834" t="str">
        <f>IF($C158&lt;1,"",(AVERAGEIFS('09월 고철장입'!AL$14:AL$949,'09월 고철장입'!$A$14:$A$949,$A158,'09월 고철장입'!$C$14:$C$949,$B158))*100)</f>
        <v/>
      </c>
      <c r="BX158" s="831" t="str">
        <f>IF($C158&lt;1,"",(AVERAGEIFS('09월 에너지'!G$14:G$949,'09월 에너지'!$A$14:$A$949,$A158,'09월 에너지'!$C$14:$C$949,$B158)))</f>
        <v/>
      </c>
      <c r="BY158" s="835" t="str">
        <f>IF($C158&lt;1,"",(AVERAGEIFS('09월 에너지'!H$14:H$949,'09월 에너지'!$A$14:$A$949,$A158,'09월 에너지'!$C$14:$C$949,$B158)))</f>
        <v/>
      </c>
      <c r="BZ158" s="831" t="str">
        <f>IF($C158&lt;1,"",(AVERAGEIFS('09월 에너지'!I$14:I$949,'09월 에너지'!$A$14:$A$949,$A158,'09월 에너지'!$C$14:$C$949,$B158)))</f>
        <v/>
      </c>
      <c r="CA158" s="835" t="str">
        <f>IF($C158&lt;1,"",(AVERAGEIFS('09월 에너지'!J$14:J$949,'09월 에너지'!$A$14:$A$949,$A158,'09월 에너지'!$C$14:$C$949,$B158)))</f>
        <v/>
      </c>
      <c r="CB158" s="831" t="str">
        <f>IF($C158&lt;1,"",(AVERAGEIFS('09월 에너지'!K$14:K$949,'09월 에너지'!$A$14:$A$949,$A158,'09월 에너지'!$C$14:$C$949,$B158)))</f>
        <v/>
      </c>
      <c r="CC158" s="835" t="str">
        <f>IF($C158&lt;1,"",(AVERAGEIFS('09월 에너지'!L$14:L$949,'09월 에너지'!$A$14:$A$949,$A158,'09월 에너지'!$C$14:$C$949,$B158)))</f>
        <v/>
      </c>
      <c r="CD158" s="831" t="str">
        <f>IF($C158&lt;1,"",(AVERAGEIFS('09월 에너지'!M$14:M$949,'09월 에너지'!$A$14:$A$949,$A158,'09월 에너지'!$C$14:$C$949,$B158)))</f>
        <v/>
      </c>
      <c r="CE158" s="835" t="str">
        <f>IF($C158&lt;1,"",(AVERAGEIFS('09월 에너지'!N$14:N$949,'09월 에너지'!$A$14:$A$949,$A158,'09월 에너지'!$C$14:$C$949,$B158)))</f>
        <v/>
      </c>
      <c r="CF158" s="831" t="str">
        <f>IF($C158&lt;1,"",(AVERAGEIFS('09월 에너지'!O$14:O$949,'09월 에너지'!$A$14:$A$949,$A158,'09월 에너지'!$C$14:$C$949,$B158)))</f>
        <v/>
      </c>
      <c r="CG158" s="831" t="str">
        <f>IF($C158&lt;1,"",(AVERAGEIFS('09월 에너지'!P$14:P$949,'09월 에너지'!$A$14:$A$949,$A158,'09월 에너지'!$C$14:$C$949,$B158)))</f>
        <v/>
      </c>
      <c r="CH158" s="831" t="str">
        <f>IF($C158&lt;1,"",(AVERAGEIFS('09월 에너지'!Q$14:Q$949,'09월 에너지'!$A$14:$A$949,$A158,'09월 에너지'!$C$14:$C$949,$B158)))</f>
        <v/>
      </c>
      <c r="CI158" s="831" t="str">
        <f>IF($C158&lt;1,"",(AVERAGEIFS('09월 에너지'!R$14:R$949,'09월 에너지'!$A$14:$A$949,$A158,'09월 에너지'!$C$14:$C$949,$B158)))</f>
        <v/>
      </c>
      <c r="CJ158" s="831" t="str">
        <f>IF($C158&lt;1,"",(AVERAGEIFS('09월 에너지'!S$14:S$949,'09월 에너지'!$A$14:$A$949,$A158,'09월 에너지'!$C$14:$C$949,$B158)))</f>
        <v/>
      </c>
      <c r="CK158" s="831" t="str">
        <f>IF($C158&lt;1,"",(AVERAGEIFS('09월 에너지'!T$14:T$949,'09월 에너지'!$A$14:$A$949,$A158,'09월 에너지'!$C$14:$C$949,$B158)))</f>
        <v/>
      </c>
      <c r="CL158" s="831" t="str">
        <f>IF($C158&lt;1,"",(AVERAGEIFS('09월 에너지'!U$14:U$949,'09월 에너지'!$A$14:$A$949,$A158,'09월 에너지'!$C$14:$C$949,$B158)))</f>
        <v/>
      </c>
      <c r="CM158" s="835" t="str">
        <f>IF($C158&lt;1,"",(AVERAGEIFS('09월 에너지'!V$14:V$949,'09월 에너지'!$A$14:$A$949,$A158,'09월 에너지'!$C$14:$C$949,$B158)))</f>
        <v/>
      </c>
      <c r="CN158" s="835" t="str">
        <f>IF($C158&lt;1,"",(AVERAGEIFS('09월 에너지'!W$14:W$949,'09월 에너지'!$A$14:$A$949,$A158,'09월 에너지'!$C$14:$C$949,$B158)))</f>
        <v/>
      </c>
      <c r="CO158" s="831" t="str">
        <f>IF($C158&lt;1,"",(AVERAGEIFS('09월 에너지'!X$14:X$949,'09월 에너지'!$A$14:$A$949,$A158,'09월 에너지'!$C$14:$C$949,$B158)))</f>
        <v/>
      </c>
      <c r="CP158" s="835" t="str">
        <f>IF($C158&lt;1,"",(AVERAGEIFS('09월 에너지'!Y$14:Y$949,'09월 에너지'!$A$14:$A$949,$A158,'09월 에너지'!$C$14:$C$949,$B158)))</f>
        <v/>
      </c>
      <c r="CQ158" s="835" t="str">
        <f>IF($C158&lt;1,"",(AVERAGEIFS('09월 에너지'!Z$14:Z$949,'09월 에너지'!$A$14:$A$949,$A158,'09월 에너지'!$C$14:$C$949,$B158)))</f>
        <v/>
      </c>
      <c r="CR158" s="835" t="str">
        <f>IF($C158&lt;1,"",(AVERAGEIFS('09월 에너지'!AA$14:AA$949,'09월 에너지'!$A$14:$A$949,$A158,'09월 에너지'!$C$14:$C$949,$B158)))</f>
        <v/>
      </c>
      <c r="CS158" s="835" t="str">
        <f>IF($C158&lt;1,"",(AVERAGEIFS('09월 에너지'!AB$14:AB$949,'09월 에너지'!$A$14:$A$949,$A158,'09월 에너지'!$C$14:$C$949,$B158)))</f>
        <v/>
      </c>
      <c r="CT158" s="831" t="str">
        <f>IF($C158&lt;1,"",(AVERAGEIFS('09월 에너지'!AC$14:AC$949,'09월 에너지'!$A$14:$A$949,$A158,'09월 에너지'!$C$14:$C$949,$B158)))</f>
        <v/>
      </c>
      <c r="CU158" s="836" t="str">
        <f>IF($C158&lt;1,"",(AVERAGEIFS('09월 에너지'!AD$14:AD$949,'09월 에너지'!$A$14:$A$949,$A158,'09월 에너지'!$C$14:$C$949,$B158)))</f>
        <v/>
      </c>
      <c r="CV158" s="837" t="str">
        <f>IF($C158&lt;1,"",(AVERAGEIFS('09월 에너지'!AE$14:AE$949,'09월 에너지'!$A$14:$A$949,$A158,'09월 에너지'!$C$14:$C$949,$B158)))</f>
        <v/>
      </c>
      <c r="CW158" s="831" t="str">
        <f>IF($C158&lt;1,"",(AVERAGEIFS('09월 에너지'!AF$14:AF$949,'09월 에너지'!$A$14:$A$949,$A158,'09월 에너지'!$C$14:$C$949,$B158)))</f>
        <v/>
      </c>
      <c r="CX158" s="831" t="str">
        <f>IF($C158&lt;1,"",(AVERAGEIFS('09월 에너지'!AG$14:AG$949,'09월 에너지'!$A$14:$A$949,$A158,'09월 에너지'!$C$14:$C$949,$B158)))</f>
        <v/>
      </c>
      <c r="CY158" s="831" t="str">
        <f>IF($C158&lt;1,"",(AVERAGEIFS('09월 에너지'!AH$14:AH$949,'09월 에너지'!$A$14:$A$949,$A158,'09월 에너지'!$C$14:$C$949,$B158)))</f>
        <v/>
      </c>
      <c r="CZ158" s="831" t="str">
        <f>IF($C158&lt;1,"",(AVERAGEIFS('09월 에너지'!AI$14:AI$949,'09월 에너지'!$A$14:$A$949,$A158,'09월 에너지'!$C$14:$C$949,$B158)))</f>
        <v/>
      </c>
      <c r="DA158" s="838" t="str">
        <f>IF($C158&lt;1,"",(AVERAGEIFS('09월 에너지'!AJ$14:AJ$949,'09월 에너지'!$A$14:$A$949,$A158,'09월 에너지'!$C$14:$C$949,$B158)))</f>
        <v/>
      </c>
    </row>
    <row r="159" spans="1:105" ht="13.5" customHeight="1">
      <c r="A159" s="849">
        <f t="shared" si="33"/>
        <v>44957</v>
      </c>
      <c r="B159" s="850" t="s">
        <v>10</v>
      </c>
      <c r="C159" s="823">
        <f>COUNTIFS('09월 조업일지'!$A$12:$A$952,A156,'09월 조업일지'!$E$12:$E$952,B159)</f>
        <v>0</v>
      </c>
      <c r="D159" s="824" t="str">
        <f t="shared" si="35"/>
        <v/>
      </c>
      <c r="E159" s="824" t="str">
        <f>IF($C159&lt;1,"",(SUMIFS('09월 조업일지'!$K$12:$K$952,'09월 조업일지'!$A$12:$A$952,$A159,'09월 조업일지'!$E$12:$E$952,$B159)/$C159))</f>
        <v/>
      </c>
      <c r="F159" s="824" t="str">
        <f>IF($C159&lt;1,"",(AVERAGEIFS('09월 조업일지'!$J$12:$J$952,'09월 조업일지'!$A$12:$A$952,$A159,'09월 조업일지'!$E$12:$E$952,$B159)))</f>
        <v/>
      </c>
      <c r="G159" s="825" t="str">
        <f>IF($C159&lt;1,"",(AVERAGEIFS('09월 에너지'!$M$14:$M$949,'09월 에너지'!$A$14:$A$949,$A159,'09월 에너지'!$C$14:$C$949,$B159)))</f>
        <v/>
      </c>
      <c r="H159" s="826" t="str">
        <f>IF($C159&lt;1,"",(AVERAGEIFS('09월 조업일지'!$AJ$12:$AJ$952,'09월 조업일지'!$A$12:$A$952,$A159,'09월 조업일지'!$E$12:$E$952,$B159)))</f>
        <v/>
      </c>
      <c r="I159" s="826" t="str">
        <f>IF($C159&lt;1,"",(AVERAGEIFS('09월 조업일지'!$AL$12:$AL$952,'09월 조업일지'!$A$12:$A$952,$A159,'09월 조업일지'!$E$12:$E$952,$B159)))</f>
        <v/>
      </c>
      <c r="J159" s="827" t="str">
        <f>IF($C159&lt;1,"",(AVERAGEIFS('09월 화학성분'!G$12:G$949,'09월 화학성분'!$A$12:$A$949,$A159,'09월 화학성분'!$D$12:$D$949,$B159)))</f>
        <v/>
      </c>
      <c r="K159" s="827" t="str">
        <f>IF($C159&lt;1,"",(AVERAGEIFS('09월 화학성분'!H$12:H$949,'09월 화학성분'!$A$12:$A$949,$A159,'09월 화학성분'!$D$12:$D$949,$B159)))</f>
        <v/>
      </c>
      <c r="L159" s="827" t="str">
        <f>IF($C159&lt;1,"",(AVERAGEIFS('09월 화학성분'!I$12:I$949,'09월 화학성분'!$A$12:$A$949,$A159,'09월 화학성분'!$D$12:$D$949,$B159)))</f>
        <v/>
      </c>
      <c r="M159" s="827" t="str">
        <f>IF($C159&lt;1,"",(AVERAGEIFS('09월 화학성분'!J$12:J$949,'09월 화학성분'!$A$12:$A$949,$A159,'09월 화학성분'!$D$12:$D$949,$B159)))</f>
        <v/>
      </c>
      <c r="N159" s="827" t="str">
        <f>IF($C159&lt;1,"",(AVERAGEIFS('09월 화학성분'!K$12:K$949,'09월 화학성분'!$A$12:$A$949,$A159,'09월 화학성분'!$D$12:$D$949,$B159)))</f>
        <v/>
      </c>
      <c r="O159" s="827" t="str">
        <f>IF($C159&lt;1,"",(AVERAGEIFS('09월 화학성분'!L$12:L$949,'09월 화학성분'!$A$12:$A$949,$A159,'09월 화학성분'!$D$12:$D$949,$B159)))</f>
        <v/>
      </c>
      <c r="P159" s="827" t="str">
        <f>IF($C159&lt;1,"",(AVERAGEIFS('09월 화학성분'!M$12:M$949,'09월 화학성분'!$A$12:$A$949,$A159,'09월 화학성분'!$D$12:$D$949,$B159)))</f>
        <v/>
      </c>
      <c r="Q159" s="827" t="str">
        <f>IFERROR(IF($C159&lt;1,"",(AVERAGEIFS('09월 조업일지'!$AA$12:$AA$952,'09월 조업일지'!$A$12:$A$952,$A159,'09월 조업일지'!$E$12:$E$952,$B159))),"")</f>
        <v/>
      </c>
      <c r="R159" s="827" t="str">
        <f>IF($C159&lt;1,"",(AVERAGEIFS('09월 조업일지'!$AK$12:$AK$952,'09월 조업일지'!$A$12:$A$952,$A159,'09월 조업일지'!$E$12:$E$952,$B159)))</f>
        <v/>
      </c>
      <c r="S159" s="827"/>
      <c r="T159" s="827"/>
      <c r="U159" s="827" t="str">
        <f>IF($C159&lt;1,"",(AVERAGEIFS('09월 화학성분'!$G$12:$G$949,'09월 화학성분'!$A$12:$A$949,$A159,'09월 화학성분'!$D$12:$D$949,$B159)))</f>
        <v/>
      </c>
      <c r="V159" s="827" t="str">
        <f>IF($C159&lt;1,"",(AVERAGEIFS('09월 조업일지'!$AI$12:$AI$952,'09월 조업일지'!$A$12:$A$952,$A159,'09월 조업일지'!$E$12:$E$952,$B159)))</f>
        <v/>
      </c>
      <c r="W159" s="828" t="str">
        <f>IF($C159&lt;1,"",(AVERAGEIFS('09월 화학성분'!$AM$12:$AM$949,'09월 화학성분'!$A$12:$A$949,$A159,'09월 화학성분'!$D$12:$D$949,$B159)))</f>
        <v/>
      </c>
      <c r="X159" s="829" t="str">
        <f>IF($C159&lt;1,"",(AVERAGEIFS('09월 화학성분'!N$12:N$949,'09월 화학성분'!$A$12:$A$949,$A159,'09월 화학성분'!$D$12:$D$949,$B159)))</f>
        <v/>
      </c>
      <c r="Y159" s="829" t="str">
        <f>IF($C159&lt;1,"",(AVERAGEIFS('09월 화학성분'!O$12:O$949,'09월 화학성분'!$A$12:$A$949,$A159,'09월 화학성분'!$D$12:$D$949,$B159)))</f>
        <v/>
      </c>
      <c r="Z159" s="829" t="str">
        <f>IF($C159&lt;1,"",(AVERAGEIFS('09월 화학성분'!P$12:P$949,'09월 화학성분'!$A$12:$A$949,$A159,'09월 화학성분'!$D$12:$D$949,$B159)))</f>
        <v/>
      </c>
      <c r="AA159" s="829" t="str">
        <f>IF($C159&lt;1,"",(AVERAGEIFS('09월 화학성분'!Q$12:Q$949,'09월 화학성분'!$A$12:$A$949,$A159,'09월 화학성분'!$D$12:$D$949,$B159)))</f>
        <v/>
      </c>
      <c r="AB159" s="829" t="str">
        <f>IF($C159&lt;1,"",(AVERAGEIFS('09월 화학성분'!R$12:R$949,'09월 화학성분'!$A$12:$A$949,$A159,'09월 화학성분'!$D$12:$D$949,$B159)))</f>
        <v/>
      </c>
      <c r="AC159" s="829" t="str">
        <f>IF($C159&lt;1,"",(AVERAGEIFS('09월 화학성분'!U$12:U$949,'09월 화학성분'!$A$12:$A$949,$A159,'09월 화학성분'!$D$12:$D$949,$B159)))</f>
        <v/>
      </c>
      <c r="AD159" s="829" t="str">
        <f>IF($C159&lt;1,"",(AVERAGEIFS('09월 화학성분'!V$12:V$949,'09월 화학성분'!$A$12:$A$949,$A159,'09월 화학성분'!$D$12:$D$949,$B159)))</f>
        <v/>
      </c>
      <c r="AE159" s="829" t="str">
        <f>IF($C159&lt;1,"",(AVERAGEIFS('09월 화학성분'!W$12:W$949,'09월 화학성분'!$A$12:$A$949,$A159,'09월 화학성분'!$D$12:$D$949,$B159)))</f>
        <v/>
      </c>
      <c r="AF159" s="829" t="str">
        <f>IF($C159&lt;1,"",(AVERAGEIFS('09월 화학성분'!AA$12:AA$949,'09월 화학성분'!$A$12:$A$949,$A159,'09월 화학성분'!$D$12:$D$949,$B159)))</f>
        <v/>
      </c>
      <c r="AG159" s="829" t="str">
        <f>IF($C159&lt;1,"",(AVERAGEIFS('09월 화학성분'!#REF!,'09월 화학성분'!$A$12:$A$949,$A159,'09월 화학성분'!$D$12:$D$949,$B159)))</f>
        <v/>
      </c>
      <c r="AH159" s="829" t="str">
        <f>IF($C159&lt;1,"",(AVERAGEIFS('09월 화학성분'!AB$12:AB$949,'09월 화학성분'!$A$12:$A$949,$A159,'09월 화학성분'!$D$12:$D$949,$B159)))</f>
        <v/>
      </c>
      <c r="AI159" s="829" t="str">
        <f>IF($C159&lt;1,"",(AVERAGEIFS('09월 화학성분'!AC$12:AC$949,'09월 화학성분'!$A$12:$A$949,$A159,'09월 화학성분'!$D$12:$D$949,$B159)))</f>
        <v/>
      </c>
      <c r="AJ159" s="829" t="str">
        <f>IF($C159&lt;1,"",(AVERAGEIFS('09월 화학성분'!AD$12:AD$949,'09월 화학성분'!$A$12:$A$949,$A159,'09월 화학성분'!$D$12:$D$949,$B159)))</f>
        <v/>
      </c>
      <c r="AK159" s="829" t="str">
        <f>IF($C159&lt;1,"",(AVERAGEIFS('09월 화학성분'!AF$12:AF$949,'09월 화학성분'!$A$12:$A$949,$A159,'09월 화학성분'!$D$12:$D$949,$B159)))</f>
        <v/>
      </c>
      <c r="AL159" s="829" t="str">
        <f>IF($C159&lt;1,"",(AVERAGEIFS('09월 화학성분'!AG$12:AG$949,'09월 화학성분'!$A$12:$A$949,$A159,'09월 화학성분'!$D$12:$D$949,$B159)))</f>
        <v/>
      </c>
      <c r="AM159" s="829" t="str">
        <f>IF($C159&lt;1,"",(AVERAGEIFS('09월 화학성분'!AH$12:AH$949,'09월 화학성분'!$A$12:$A$949,$A159,'09월 화학성분'!$D$12:$D$949,$B159)))</f>
        <v/>
      </c>
      <c r="AN159" s="829" t="str">
        <f>IF($C159&lt;1,"",(AVERAGEIFS('09월 화학성분'!AI$12:AI$949,'09월 화학성분'!$A$12:$A$949,$A159,'09월 화학성분'!$D$12:$D$949,$B159)))</f>
        <v/>
      </c>
      <c r="AO159" s="829" t="str">
        <f>IF($C159&lt;1,"",(AVERAGEIFS('09월 화학성분'!AJ$12:AJ$949,'09월 화학성분'!$A$12:$A$949,$A159,'09월 화학성분'!$D$12:$D$949,$B159)))</f>
        <v/>
      </c>
      <c r="AP159" s="829" t="str">
        <f>IF($C159&lt;1,"",(AVERAGEIFS('09월 화학성분'!#REF!,'09월 화학성분'!$A$12:$A$949,$A159,'09월 화학성분'!$D$12:$D$949,$B159)))</f>
        <v/>
      </c>
      <c r="AQ159" s="829" t="str">
        <f>IF($C159&lt;1,"",(AVERAGEIFS('09월 화학성분'!AL$12:AL$949,'09월 화학성분'!$A$12:$A$949,$A159,'09월 화학성분'!$D$12:$D$949,$B159)))</f>
        <v/>
      </c>
      <c r="AR159" s="829" t="str">
        <f>IF($C159&lt;1,"",(AVERAGEIFS('09월 화학성분'!AM$12:AM$949,'09월 화학성분'!$A$12:$A$949,$A159,'09월 화학성분'!$D$12:$D$949,$B159)))</f>
        <v/>
      </c>
      <c r="AS159" s="830" t="str">
        <f>IF($C159&lt;1,"",(AVERAGEIFS('09월 화학성분'!AN$12:AN$949,'09월 화학성분'!$A$12:$A$949,$A159,'09월 화학성분'!$D$12:$D$949,$B159)))</f>
        <v/>
      </c>
      <c r="AT159" s="830" t="str">
        <f>IF($C159&lt;1,"",(AVERAGEIFS('09월 화학성분'!AO$12:AO$949,'09월 화학성분'!$A$12:$A$949,$A159,'09월 화학성분'!$D$12:$D$949,$B159)))</f>
        <v/>
      </c>
      <c r="AU159" s="831" t="str">
        <f>IF($C159&lt;1,"",(AVERAGEIFS('09월 화학성분'!AP$12:AP$949,'09월 화학성분'!$A$12:$A$949,$A159,'09월 화학성분'!$D$12:$D$949,$B159)))</f>
        <v/>
      </c>
      <c r="AV159" s="832" t="str">
        <f>IF($C159&lt;1,"",(AVERAGEIFS('09월 고철장입'!G$14:G$949,'09월 고철장입'!$A$14:$A$949,$A159,'09월 고철장입'!$C$14:$C$949,$B159))/1000)</f>
        <v/>
      </c>
      <c r="AW159" s="832" t="str">
        <f>IF($C159&lt;1,"",(AVERAGEIFS('09월 고철장입'!H$14:H$949,'09월 고철장입'!$A$14:$A$949,$A159,'09월 고철장입'!$C$14:$C$949,$B159))/1000)</f>
        <v/>
      </c>
      <c r="AX159" s="832" t="str">
        <f>IF($C159&lt;1,"",(AVERAGEIFS('09월 고철장입'!I$14:I$949,'09월 고철장입'!$A$14:$A$949,$A159,'09월 고철장입'!$C$14:$C$949,$B159))/1000)</f>
        <v/>
      </c>
      <c r="AY159" s="832" t="str">
        <f>IF($C159&lt;1,"",(AVERAGEIFS('09월 고철장입'!J$14:J$949,'09월 고철장입'!$A$14:$A$949,$A159,'09월 고철장입'!$C$14:$C$949,$B159))/1000)</f>
        <v/>
      </c>
      <c r="AZ159" s="832" t="str">
        <f>IF($C159&lt;1,"",(AVERAGEIFS('09월 고철장입'!K$14:K$949,'09월 고철장입'!$A$14:$A$949,$A159,'09월 고철장입'!$C$14:$C$949,$B159))/1000)</f>
        <v/>
      </c>
      <c r="BA159" s="832" t="str">
        <f>IF($C159&lt;1,"",(AVERAGEIFS('09월 고철장입'!L$14:L$949,'09월 고철장입'!$A$14:$A$949,$A159,'09월 고철장입'!$C$14:$C$949,$B159))/1000)</f>
        <v/>
      </c>
      <c r="BB159" s="832" t="str">
        <f>IF($C159&lt;1,"",(AVERAGEIFS('09월 고철장입'!M$14:M$949,'09월 고철장입'!$A$14:$A$949,$A159,'09월 고철장입'!$C$14:$C$949,$B159))/1000)</f>
        <v/>
      </c>
      <c r="BC159" s="832" t="str">
        <f>IF($C159&lt;1,"",(AVERAGEIFS('09월 고철장입'!N$14:N$949,'09월 고철장입'!$A$14:$A$949,$A159,'09월 고철장입'!$C$14:$C$949,$B159))/1000)</f>
        <v/>
      </c>
      <c r="BD159" s="832" t="str">
        <f>IF($C159&lt;1,"",(AVERAGEIFS('09월 고철장입'!O$14:O$949,'09월 고철장입'!$A$14:$A$949,$A159,'09월 고철장입'!$C$14:$C$949,$B159))/1000)</f>
        <v/>
      </c>
      <c r="BE159" s="833" t="str">
        <f>IF($C159&lt;1,"",(AVERAGEIFS('09월 고철장입'!P$14:P$949,'09월 고철장입'!$A$14:$A$949,$A159,'09월 고철장입'!$C$14:$C$949,$B159))/1000)</f>
        <v/>
      </c>
      <c r="BF159" s="833" t="str">
        <f>IF($C159&lt;1,"",(AVERAGEIFS('09월 고철장입'!Q$14:Q$949,'09월 고철장입'!$A$14:$A$949,$A159,'09월 고철장입'!$C$14:$C$949,$B159))/1000)</f>
        <v/>
      </c>
      <c r="BG159" s="833" t="str">
        <f>IF($C159&lt;1,"",(AVERAGEIFS('09월 고철장입'!S$14:S$949,'09월 고철장입'!$A$14:$A$949,$A159,'09월 고철장입'!$C$14:$C$949,$B159))/1000)</f>
        <v/>
      </c>
      <c r="BH159" s="833" t="str">
        <f>IF($C159&lt;1,"",(AVERAGEIFS('09월 고철장입'!T$14:T$949,'09월 고철장입'!$A$14:$A$949,$A159,'09월 고철장입'!$C$14:$C$949,$B159))/1000)</f>
        <v/>
      </c>
      <c r="BI159" s="833" t="str">
        <f>IF($C159&lt;1,"",(AVERAGEIFS('09월 고철장입'!U$14:U$949,'09월 고철장입'!$A$14:$A$949,$A159,'09월 고철장입'!$C$14:$C$949,$B159))/1000)</f>
        <v/>
      </c>
      <c r="BJ159" s="833" t="str">
        <f>IF($C159&lt;1,"",(AVERAGEIFS('09월 고철장입'!V$14:V$949,'09월 고철장입'!$A$14:$A$949,$A159,'09월 고철장입'!$C$14:$C$949,$B159))/1000)</f>
        <v/>
      </c>
      <c r="BK159" s="833" t="str">
        <f>IF($C159&lt;1,"",(AVERAGEIFS('09월 고철장입'!W$14:W$949,'09월 고철장입'!$A$14:$A$949,$A159,'09월 고철장입'!$C$14:$C$949,$B159))/1000)</f>
        <v/>
      </c>
      <c r="BL159" s="833" t="str">
        <f>IF($C159&lt;1,"",(AVERAGEIFS('09월 고철장입'!Y$14:Y$949,'09월 고철장입'!$A$14:$A$949,$A159,'09월 고철장입'!$C$14:$C$949,$B159))/1000)</f>
        <v/>
      </c>
      <c r="BM159" s="833" t="str">
        <f>IF($C159&lt;1,"",(AVERAGEIFS('09월 고철장입'!AB$14:AB$949,'09월 고철장입'!$A$14:$A$949,$A159,'09월 고철장입'!$C$14:$C$949,$B159))/1000)</f>
        <v/>
      </c>
      <c r="BN159" s="833" t="str">
        <f>IF($C159&lt;1,"",(AVERAGEIFS('09월 고철장입'!AC$14:AC$949,'09월 고철장입'!$A$14:$A$949,$A159,'09월 고철장입'!$C$14:$C$949,$B159))/1000)</f>
        <v/>
      </c>
      <c r="BO159" s="833" t="str">
        <f>IF($C159&lt;1,"",(AVERAGEIFS('09월 고철장입'!AD$14:AD$949,'09월 고철장입'!$A$14:$A$949,$A159,'09월 고철장입'!$C$14:$C$949,$B159))/1000)</f>
        <v/>
      </c>
      <c r="BP159" s="833" t="str">
        <f>IF($C159&lt;1,"",(AVERAGEIFS('09월 고철장입'!AE$14:AE$949,'09월 고철장입'!$A$14:$A$949,$A159,'09월 고철장입'!$C$14:$C$949,$B159))/1000)</f>
        <v/>
      </c>
      <c r="BQ159" s="832" t="str">
        <f>IF($C159&lt;1,"",(AVERAGEIFS('09월 고철장입'!AF$14:AF$949,'09월 고철장입'!$A$14:$A$949,$A159,'09월 고철장입'!$C$14:$C$949,$B159))/1000)</f>
        <v/>
      </c>
      <c r="BR159" s="832" t="str">
        <f>IF($C159&lt;1,"",(AVERAGEIFS('09월 고철장입'!AG$14:AG$949,'09월 고철장입'!$A$14:$A$949,$A159,'09월 고철장입'!$C$14:$C$949,$B159))/1000)</f>
        <v/>
      </c>
      <c r="BS159" s="832" t="str">
        <f>IF($C159&lt;1,"",(AVERAGEIFS('09월 고철장입'!AH$14:AH$949,'09월 고철장입'!$A$14:$A$949,$A159,'09월 고철장입'!$C$14:$C$949,$B159))/1000)</f>
        <v/>
      </c>
      <c r="BT159" s="832" t="str">
        <f>IF($C159&lt;1,"",(AVERAGEIFS('09월 고철장입'!AI$14:AI$949,'09월 고철장입'!$A$14:$A$949,$A159,'09월 고철장입'!$C$14:$C$949,$B159))/1000)</f>
        <v/>
      </c>
      <c r="BU159" s="834" t="str">
        <f>IF($C159&lt;1,"",(AVERAGEIFS('09월 고철장입'!AJ$14:AJ$949,'09월 고철장입'!$A$14:$A$949,$A159,'09월 고철장입'!$C$14:$C$949,$B159))/1000)</f>
        <v/>
      </c>
      <c r="BV159" s="834" t="str">
        <f>IF($C159&lt;1,"",(AVERAGEIFS('09월 고철장입'!AK$14:AK$949,'09월 고철장입'!$A$14:$A$949,$A159,'09월 고철장입'!$C$14:$C$949,$B159)))</f>
        <v/>
      </c>
      <c r="BW159" s="834" t="str">
        <f>IF($C159&lt;1,"",(AVERAGEIFS('09월 고철장입'!AL$14:AL$949,'09월 고철장입'!$A$14:$A$949,$A159,'09월 고철장입'!$C$14:$C$949,$B159))*100)</f>
        <v/>
      </c>
      <c r="BX159" s="831" t="str">
        <f>IF($C159&lt;1,"",(AVERAGEIFS('09월 에너지'!G$14:G$949,'09월 에너지'!$A$14:$A$949,$A159,'09월 에너지'!$C$14:$C$949,$B159)))</f>
        <v/>
      </c>
      <c r="BY159" s="835" t="str">
        <f>IF($C159&lt;1,"",(AVERAGEIFS('09월 에너지'!H$14:H$949,'09월 에너지'!$A$14:$A$949,$A159,'09월 에너지'!$C$14:$C$949,$B159)))</f>
        <v/>
      </c>
      <c r="BZ159" s="831" t="str">
        <f>IF($C159&lt;1,"",(AVERAGEIFS('09월 에너지'!I$14:I$949,'09월 에너지'!$A$14:$A$949,$A159,'09월 에너지'!$C$14:$C$949,$B159)))</f>
        <v/>
      </c>
      <c r="CA159" s="835" t="str">
        <f>IF($C159&lt;1,"",(AVERAGEIFS('09월 에너지'!J$14:J$949,'09월 에너지'!$A$14:$A$949,$A159,'09월 에너지'!$C$14:$C$949,$B159)))</f>
        <v/>
      </c>
      <c r="CB159" s="831" t="str">
        <f>IF($C159&lt;1,"",(AVERAGEIFS('09월 에너지'!K$14:K$949,'09월 에너지'!$A$14:$A$949,$A159,'09월 에너지'!$C$14:$C$949,$B159)))</f>
        <v/>
      </c>
      <c r="CC159" s="835" t="str">
        <f>IF($C159&lt;1,"",(AVERAGEIFS('09월 에너지'!L$14:L$949,'09월 에너지'!$A$14:$A$949,$A159,'09월 에너지'!$C$14:$C$949,$B159)))</f>
        <v/>
      </c>
      <c r="CD159" s="831" t="str">
        <f>IF($C159&lt;1,"",(AVERAGEIFS('09월 에너지'!M$14:M$949,'09월 에너지'!$A$14:$A$949,$A159,'09월 에너지'!$C$14:$C$949,$B159)))</f>
        <v/>
      </c>
      <c r="CE159" s="835" t="str">
        <f>IF($C159&lt;1,"",(AVERAGEIFS('09월 에너지'!N$14:N$949,'09월 에너지'!$A$14:$A$949,$A159,'09월 에너지'!$C$14:$C$949,$B159)))</f>
        <v/>
      </c>
      <c r="CF159" s="831" t="str">
        <f>IF($C159&lt;1,"",(AVERAGEIFS('09월 에너지'!O$14:O$949,'09월 에너지'!$A$14:$A$949,$A159,'09월 에너지'!$C$14:$C$949,$B159)))</f>
        <v/>
      </c>
      <c r="CG159" s="831" t="str">
        <f>IF($C159&lt;1,"",(AVERAGEIFS('09월 에너지'!P$14:P$949,'09월 에너지'!$A$14:$A$949,$A159,'09월 에너지'!$C$14:$C$949,$B159)))</f>
        <v/>
      </c>
      <c r="CH159" s="831" t="str">
        <f>IF($C159&lt;1,"",(AVERAGEIFS('09월 에너지'!Q$14:Q$949,'09월 에너지'!$A$14:$A$949,$A159,'09월 에너지'!$C$14:$C$949,$B159)))</f>
        <v/>
      </c>
      <c r="CI159" s="831" t="str">
        <f>IF($C159&lt;1,"",(AVERAGEIFS('09월 에너지'!R$14:R$949,'09월 에너지'!$A$14:$A$949,$A159,'09월 에너지'!$C$14:$C$949,$B159)))</f>
        <v/>
      </c>
      <c r="CJ159" s="831" t="str">
        <f>IF($C159&lt;1,"",(AVERAGEIFS('09월 에너지'!S$14:S$949,'09월 에너지'!$A$14:$A$949,$A159,'09월 에너지'!$C$14:$C$949,$B159)))</f>
        <v/>
      </c>
      <c r="CK159" s="831" t="str">
        <f>IF($C159&lt;1,"",(AVERAGEIFS('09월 에너지'!T$14:T$949,'09월 에너지'!$A$14:$A$949,$A159,'09월 에너지'!$C$14:$C$949,$B159)))</f>
        <v/>
      </c>
      <c r="CL159" s="831" t="str">
        <f>IF($C159&lt;1,"",(AVERAGEIFS('09월 에너지'!U$14:U$949,'09월 에너지'!$A$14:$A$949,$A159,'09월 에너지'!$C$14:$C$949,$B159)))</f>
        <v/>
      </c>
      <c r="CM159" s="835" t="str">
        <f>IF($C159&lt;1,"",(AVERAGEIFS('09월 에너지'!V$14:V$949,'09월 에너지'!$A$14:$A$949,$A159,'09월 에너지'!$C$14:$C$949,$B159)))</f>
        <v/>
      </c>
      <c r="CN159" s="835" t="str">
        <f>IF($C159&lt;1,"",(AVERAGEIFS('09월 에너지'!W$14:W$949,'09월 에너지'!$A$14:$A$949,$A159,'09월 에너지'!$C$14:$C$949,$B159)))</f>
        <v/>
      </c>
      <c r="CO159" s="831" t="str">
        <f>IF($C159&lt;1,"",(AVERAGEIFS('09월 에너지'!X$14:X$949,'09월 에너지'!$A$14:$A$949,$A159,'09월 에너지'!$C$14:$C$949,$B159)))</f>
        <v/>
      </c>
      <c r="CP159" s="835" t="str">
        <f>IF($C159&lt;1,"",(AVERAGEIFS('09월 에너지'!Y$14:Y$949,'09월 에너지'!$A$14:$A$949,$A159,'09월 에너지'!$C$14:$C$949,$B159)))</f>
        <v/>
      </c>
      <c r="CQ159" s="835" t="str">
        <f>IF($C159&lt;1,"",(AVERAGEIFS('09월 에너지'!Z$14:Z$949,'09월 에너지'!$A$14:$A$949,$A159,'09월 에너지'!$C$14:$C$949,$B159)))</f>
        <v/>
      </c>
      <c r="CR159" s="835" t="str">
        <f>IF($C159&lt;1,"",(AVERAGEIFS('09월 에너지'!AA$14:AA$949,'09월 에너지'!$A$14:$A$949,$A159,'09월 에너지'!$C$14:$C$949,$B159)))</f>
        <v/>
      </c>
      <c r="CS159" s="835" t="str">
        <f>IF($C159&lt;1,"",(AVERAGEIFS('09월 에너지'!AB$14:AB$949,'09월 에너지'!$A$14:$A$949,$A159,'09월 에너지'!$C$14:$C$949,$B159)))</f>
        <v/>
      </c>
      <c r="CT159" s="831" t="str">
        <f>IF($C159&lt;1,"",(AVERAGEIFS('09월 에너지'!AC$14:AC$949,'09월 에너지'!$A$14:$A$949,$A159,'09월 에너지'!$C$14:$C$949,$B159)))</f>
        <v/>
      </c>
      <c r="CU159" s="836" t="str">
        <f>IF($C159&lt;1,"",(AVERAGEIFS('09월 에너지'!AD$14:AD$949,'09월 에너지'!$A$14:$A$949,$A159,'09월 에너지'!$C$14:$C$949,$B159)))</f>
        <v/>
      </c>
      <c r="CV159" s="837" t="str">
        <f>IF($C159&lt;1,"",(AVERAGEIFS('09월 에너지'!AE$14:AE$949,'09월 에너지'!$A$14:$A$949,$A159,'09월 에너지'!$C$14:$C$949,$B159)))</f>
        <v/>
      </c>
      <c r="CW159" s="831" t="str">
        <f>IF($C159&lt;1,"",(AVERAGEIFS('09월 에너지'!AF$14:AF$949,'09월 에너지'!$A$14:$A$949,$A159,'09월 에너지'!$C$14:$C$949,$B159)))</f>
        <v/>
      </c>
      <c r="CX159" s="831" t="str">
        <f>IF($C159&lt;1,"",(AVERAGEIFS('09월 에너지'!AG$14:AG$949,'09월 에너지'!$A$14:$A$949,$A159,'09월 에너지'!$C$14:$C$949,$B159)))</f>
        <v/>
      </c>
      <c r="CY159" s="831" t="str">
        <f>IF($C159&lt;1,"",(AVERAGEIFS('09월 에너지'!AH$14:AH$949,'09월 에너지'!$A$14:$A$949,$A159,'09월 에너지'!$C$14:$C$949,$B159)))</f>
        <v/>
      </c>
      <c r="CZ159" s="831" t="str">
        <f>IF($C159&lt;1,"",(AVERAGEIFS('09월 에너지'!AI$14:AI$949,'09월 에너지'!$A$14:$A$949,$A159,'09월 에너지'!$C$14:$C$949,$B159)))</f>
        <v/>
      </c>
      <c r="DA159" s="838" t="str">
        <f>IF($C159&lt;1,"",(AVERAGEIFS('09월 에너지'!AJ$14:AJ$949,'09월 에너지'!$A$14:$A$949,$A159,'09월 에너지'!$C$14:$C$949,$B159)))</f>
        <v/>
      </c>
    </row>
    <row r="160" spans="1:105" ht="13.5" customHeight="1" thickBot="1">
      <c r="A160" s="851">
        <f t="shared" si="33"/>
        <v>44957</v>
      </c>
      <c r="B160" s="852" t="s">
        <v>94</v>
      </c>
      <c r="C160" s="841">
        <f>COUNTIFS('09월 조업일지'!$A$12:$A$952,A156,'09월 조업일지'!$E$12:$E$952,B160)</f>
        <v>0</v>
      </c>
      <c r="D160" s="842" t="str">
        <f t="shared" si="35"/>
        <v/>
      </c>
      <c r="E160" s="842" t="str">
        <f>IF($C160&lt;1,"",(SUMIFS('09월 조업일지'!$K$12:$K$952,'09월 조업일지'!$A$12:$A$952,$A160,'09월 조업일지'!$E$12:$E$952,$B160)/$C160))</f>
        <v/>
      </c>
      <c r="F160" s="842" t="str">
        <f>IF($C160&lt;1,"",(AVERAGEIFS('09월 조업일지'!$J$12:$J$952,'09월 조업일지'!$A$12:$A$952,$A160,'09월 조업일지'!$E$12:$E$952,$B160)))</f>
        <v/>
      </c>
      <c r="G160" s="843" t="str">
        <f>IF($C160&lt;1,"",(AVERAGEIFS('09월 에너지'!$M$14:$M$949,'09월 에너지'!$A$14:$A$949,$A160,'09월 에너지'!$C$14:$C$949,$B160)))</f>
        <v/>
      </c>
      <c r="H160" s="844" t="str">
        <f>IF($C160&lt;1,"",(AVERAGEIFS('09월 조업일지'!$AJ$12:$AJ$952,'09월 조업일지'!$A$12:$A$952,$A160,'09월 조업일지'!$E$12:$E$952,$B160)))</f>
        <v/>
      </c>
      <c r="I160" s="844" t="str">
        <f>IF($C160&lt;1,"",(AVERAGEIFS('09월 조업일지'!$AL$12:$AL$952,'09월 조업일지'!$A$12:$A$952,$A160,'09월 조업일지'!$E$12:$E$952,$B160)))</f>
        <v/>
      </c>
      <c r="J160" s="845" t="str">
        <f>IF($C160&lt;1,"",(AVERAGEIFS('09월 화학성분'!G$12:G$949,'09월 화학성분'!$A$12:$A$949,$A160,'09월 화학성분'!$D$12:$D$949,$B160)))</f>
        <v/>
      </c>
      <c r="K160" s="845" t="str">
        <f>IF($C160&lt;1,"",(AVERAGEIFS('09월 화학성분'!H$12:H$949,'09월 화학성분'!$A$12:$A$949,$A160,'09월 화학성분'!$D$12:$D$949,$B160)))</f>
        <v/>
      </c>
      <c r="L160" s="845" t="str">
        <f>IF($C160&lt;1,"",(AVERAGEIFS('09월 화학성분'!I$12:I$949,'09월 화학성분'!$A$12:$A$949,$A160,'09월 화학성분'!$D$12:$D$949,$B160)))</f>
        <v/>
      </c>
      <c r="M160" s="845" t="str">
        <f>IF($C160&lt;1,"",(AVERAGEIFS('09월 화학성분'!J$12:J$949,'09월 화학성분'!$A$12:$A$949,$A160,'09월 화학성분'!$D$12:$D$949,$B160)))</f>
        <v/>
      </c>
      <c r="N160" s="845" t="str">
        <f>IF($C160&lt;1,"",(AVERAGEIFS('09월 화학성분'!K$12:K$949,'09월 화학성분'!$A$12:$A$949,$A160,'09월 화학성분'!$D$12:$D$949,$B160)))</f>
        <v/>
      </c>
      <c r="O160" s="845" t="str">
        <f>IF($C160&lt;1,"",(AVERAGEIFS('09월 화학성분'!L$12:L$949,'09월 화학성분'!$A$12:$A$949,$A160,'09월 화학성분'!$D$12:$D$949,$B160)))</f>
        <v/>
      </c>
      <c r="P160" s="845" t="str">
        <f>IF($C160&lt;1,"",(AVERAGEIFS('09월 화학성분'!M$12:M$949,'09월 화학성분'!$A$12:$A$949,$A160,'09월 화학성분'!$D$12:$D$949,$B160)))</f>
        <v/>
      </c>
      <c r="Q160" s="827" t="str">
        <f>IFERROR(IF($C160&lt;1,"",(AVERAGEIFS('09월 조업일지'!$AA$12:$AA$952,'09월 조업일지'!$A$12:$A$952,$A160,'09월 조업일지'!$E$12:$E$952,$B160))),"")</f>
        <v/>
      </c>
      <c r="R160" s="845" t="str">
        <f>IF($C160&lt;1,"",(AVERAGEIFS('09월 조업일지'!$AK$12:$AK$952,'09월 조업일지'!$A$12:$A$952,$A160,'09월 조업일지'!$E$12:$E$952,$B160)))</f>
        <v/>
      </c>
      <c r="S160" s="845"/>
      <c r="T160" s="845"/>
      <c r="U160" s="845" t="str">
        <f>IF($C160&lt;1,"",(AVERAGEIFS('09월 화학성분'!$G$12:$G$949,'09월 화학성분'!$A$12:$A$949,$A160,'09월 화학성분'!$D$12:$D$949,$B160)))</f>
        <v/>
      </c>
      <c r="V160" s="845" t="str">
        <f>IF($C160&lt;1,"",(AVERAGEIFS('09월 조업일지'!$AI$12:$AI$952,'09월 조업일지'!$A$12:$A$952,$A160,'09월 조업일지'!$E$12:$E$952,$B160)))</f>
        <v/>
      </c>
      <c r="W160" s="846" t="str">
        <f>IF($C160&lt;1,"",(AVERAGEIFS('09월 화학성분'!$AM$12:$AM$949,'09월 화학성분'!$A$12:$A$949,$A160,'09월 화학성분'!$D$12:$D$949,$B160)))</f>
        <v/>
      </c>
      <c r="X160" s="829" t="str">
        <f>IF($C160&lt;1,"",(AVERAGEIFS('09월 화학성분'!N$12:N$949,'09월 화학성분'!$A$12:$A$949,$A160,'09월 화학성분'!$D$12:$D$949,$B160)))</f>
        <v/>
      </c>
      <c r="Y160" s="829" t="str">
        <f>IF($C160&lt;1,"",(AVERAGEIFS('09월 화학성분'!O$12:O$949,'09월 화학성분'!$A$12:$A$949,$A160,'09월 화학성분'!$D$12:$D$949,$B160)))</f>
        <v/>
      </c>
      <c r="Z160" s="829" t="str">
        <f>IF($C160&lt;1,"",(AVERAGEIFS('09월 화학성분'!P$12:P$949,'09월 화학성분'!$A$12:$A$949,$A160,'09월 화학성분'!$D$12:$D$949,$B160)))</f>
        <v/>
      </c>
      <c r="AA160" s="829" t="str">
        <f>IF($C160&lt;1,"",(AVERAGEIFS('09월 화학성분'!Q$12:Q$949,'09월 화학성분'!$A$12:$A$949,$A160,'09월 화학성분'!$D$12:$D$949,$B160)))</f>
        <v/>
      </c>
      <c r="AB160" s="829" t="str">
        <f>IF($C160&lt;1,"",(AVERAGEIFS('09월 화학성분'!R$12:R$949,'09월 화학성분'!$A$12:$A$949,$A160,'09월 화학성분'!$D$12:$D$949,$B160)))</f>
        <v/>
      </c>
      <c r="AC160" s="829" t="str">
        <f>IF($C160&lt;1,"",(AVERAGEIFS('09월 화학성분'!U$12:U$949,'09월 화학성분'!$A$12:$A$949,$A160,'09월 화학성분'!$D$12:$D$949,$B160)))</f>
        <v/>
      </c>
      <c r="AD160" s="829" t="str">
        <f>IF($C160&lt;1,"",(AVERAGEIFS('09월 화학성분'!V$12:V$949,'09월 화학성분'!$A$12:$A$949,$A160,'09월 화학성분'!$D$12:$D$949,$B160)))</f>
        <v/>
      </c>
      <c r="AE160" s="829" t="str">
        <f>IF($C160&lt;1,"",(AVERAGEIFS('09월 화학성분'!W$12:W$949,'09월 화학성분'!$A$12:$A$949,$A160,'09월 화학성분'!$D$12:$D$949,$B160)))</f>
        <v/>
      </c>
      <c r="AF160" s="829" t="str">
        <f>IF($C160&lt;1,"",(AVERAGEIFS('09월 화학성분'!AA$12:AA$949,'09월 화학성분'!$A$12:$A$949,$A160,'09월 화학성분'!$D$12:$D$949,$B160)))</f>
        <v/>
      </c>
      <c r="AG160" s="829" t="str">
        <f>IF($C160&lt;1,"",(AVERAGEIFS('09월 화학성분'!#REF!,'09월 화학성분'!$A$12:$A$949,$A160,'09월 화학성분'!$D$12:$D$949,$B160)))</f>
        <v/>
      </c>
      <c r="AH160" s="829" t="str">
        <f>IF($C160&lt;1,"",(AVERAGEIFS('09월 화학성분'!AB$12:AB$949,'09월 화학성분'!$A$12:$A$949,$A160,'09월 화학성분'!$D$12:$D$949,$B160)))</f>
        <v/>
      </c>
      <c r="AI160" s="829" t="str">
        <f>IF($C160&lt;1,"",(AVERAGEIFS('09월 화학성분'!AC$12:AC$949,'09월 화학성분'!$A$12:$A$949,$A160,'09월 화학성분'!$D$12:$D$949,$B160)))</f>
        <v/>
      </c>
      <c r="AJ160" s="829" t="str">
        <f>IF($C160&lt;1,"",(AVERAGEIFS('09월 화학성분'!AD$12:AD$949,'09월 화학성분'!$A$12:$A$949,$A160,'09월 화학성분'!$D$12:$D$949,$B160)))</f>
        <v/>
      </c>
      <c r="AK160" s="829" t="str">
        <f>IF($C160&lt;1,"",(AVERAGEIFS('09월 화학성분'!AF$12:AF$949,'09월 화학성분'!$A$12:$A$949,$A160,'09월 화학성분'!$D$12:$D$949,$B160)))</f>
        <v/>
      </c>
      <c r="AL160" s="829" t="str">
        <f>IF($C160&lt;1,"",(AVERAGEIFS('09월 화학성분'!AG$12:AG$949,'09월 화학성분'!$A$12:$A$949,$A160,'09월 화학성분'!$D$12:$D$949,$B160)))</f>
        <v/>
      </c>
      <c r="AM160" s="829" t="str">
        <f>IF($C160&lt;1,"",(AVERAGEIFS('09월 화학성분'!AH$12:AH$949,'09월 화학성분'!$A$12:$A$949,$A160,'09월 화학성분'!$D$12:$D$949,$B160)))</f>
        <v/>
      </c>
      <c r="AN160" s="829" t="str">
        <f>IF($C160&lt;1,"",(AVERAGEIFS('09월 화학성분'!AI$12:AI$949,'09월 화학성분'!$A$12:$A$949,$A160,'09월 화학성분'!$D$12:$D$949,$B160)))</f>
        <v/>
      </c>
      <c r="AO160" s="829" t="str">
        <f>IF($C160&lt;1,"",(AVERAGEIFS('09월 화학성분'!AJ$12:AJ$949,'09월 화학성분'!$A$12:$A$949,$A160,'09월 화학성분'!$D$12:$D$949,$B160)))</f>
        <v/>
      </c>
      <c r="AP160" s="829" t="str">
        <f>IF($C160&lt;1,"",(AVERAGEIFS('09월 화학성분'!#REF!,'09월 화학성분'!$A$12:$A$949,$A160,'09월 화학성분'!$D$12:$D$949,$B160)))</f>
        <v/>
      </c>
      <c r="AQ160" s="829" t="str">
        <f>IF($C160&lt;1,"",(AVERAGEIFS('09월 화학성분'!AL$12:AL$949,'09월 화학성분'!$A$12:$A$949,$A160,'09월 화학성분'!$D$12:$D$949,$B160)))</f>
        <v/>
      </c>
      <c r="AR160" s="829" t="str">
        <f>IF($C160&lt;1,"",(AVERAGEIFS('09월 화학성분'!AM$12:AM$949,'09월 화학성분'!$A$12:$A$949,$A160,'09월 화학성분'!$D$12:$D$949,$B160)))</f>
        <v/>
      </c>
      <c r="AS160" s="830" t="str">
        <f>IF($C160&lt;1,"",(AVERAGEIFS('09월 화학성분'!AN$12:AN$949,'09월 화학성분'!$A$12:$A$949,$A160,'09월 화학성분'!$D$12:$D$949,$B160)))</f>
        <v/>
      </c>
      <c r="AT160" s="830" t="str">
        <f>IF($C160&lt;1,"",(AVERAGEIFS('09월 화학성분'!AO$12:AO$949,'09월 화학성분'!$A$12:$A$949,$A160,'09월 화학성분'!$D$12:$D$949,$B160)))</f>
        <v/>
      </c>
      <c r="AU160" s="831" t="str">
        <f>IF($C160&lt;1,"",(AVERAGEIFS('09월 화학성분'!AP$12:AP$949,'09월 화학성분'!$A$12:$A$949,$A160,'09월 화학성분'!$D$12:$D$949,$B160)))</f>
        <v/>
      </c>
      <c r="AV160" s="832" t="str">
        <f>IF($C160&lt;1,"",(AVERAGEIFS('09월 고철장입'!G$14:G$949,'09월 고철장입'!$A$14:$A$949,$A160,'09월 고철장입'!$C$14:$C$949,$B160))/1000)</f>
        <v/>
      </c>
      <c r="AW160" s="832" t="str">
        <f>IF($C160&lt;1,"",(AVERAGEIFS('09월 고철장입'!H$14:H$949,'09월 고철장입'!$A$14:$A$949,$A160,'09월 고철장입'!$C$14:$C$949,$B160))/1000)</f>
        <v/>
      </c>
      <c r="AX160" s="832" t="str">
        <f>IF($C160&lt;1,"",(AVERAGEIFS('09월 고철장입'!I$14:I$949,'09월 고철장입'!$A$14:$A$949,$A160,'09월 고철장입'!$C$14:$C$949,$B160))/1000)</f>
        <v/>
      </c>
      <c r="AY160" s="832" t="str">
        <f>IF($C160&lt;1,"",(AVERAGEIFS('09월 고철장입'!J$14:J$949,'09월 고철장입'!$A$14:$A$949,$A160,'09월 고철장입'!$C$14:$C$949,$B160))/1000)</f>
        <v/>
      </c>
      <c r="AZ160" s="832" t="str">
        <f>IF($C160&lt;1,"",(AVERAGEIFS('09월 고철장입'!K$14:K$949,'09월 고철장입'!$A$14:$A$949,$A160,'09월 고철장입'!$C$14:$C$949,$B160))/1000)</f>
        <v/>
      </c>
      <c r="BA160" s="832" t="str">
        <f>IF($C160&lt;1,"",(AVERAGEIFS('09월 고철장입'!L$14:L$949,'09월 고철장입'!$A$14:$A$949,$A160,'09월 고철장입'!$C$14:$C$949,$B160))/1000)</f>
        <v/>
      </c>
      <c r="BB160" s="832" t="str">
        <f>IF($C160&lt;1,"",(AVERAGEIFS('09월 고철장입'!M$14:M$949,'09월 고철장입'!$A$14:$A$949,$A160,'09월 고철장입'!$C$14:$C$949,$B160))/1000)</f>
        <v/>
      </c>
      <c r="BC160" s="832" t="str">
        <f>IF($C160&lt;1,"",(AVERAGEIFS('09월 고철장입'!N$14:N$949,'09월 고철장입'!$A$14:$A$949,$A160,'09월 고철장입'!$C$14:$C$949,$B160))/1000)</f>
        <v/>
      </c>
      <c r="BD160" s="832" t="str">
        <f>IF($C160&lt;1,"",(AVERAGEIFS('09월 고철장입'!O$14:O$949,'09월 고철장입'!$A$14:$A$949,$A160,'09월 고철장입'!$C$14:$C$949,$B160))/1000)</f>
        <v/>
      </c>
      <c r="BE160" s="833" t="str">
        <f>IF($C160&lt;1,"",(AVERAGEIFS('09월 고철장입'!P$14:P$949,'09월 고철장입'!$A$14:$A$949,$A160,'09월 고철장입'!$C$14:$C$949,$B160))/1000)</f>
        <v/>
      </c>
      <c r="BF160" s="833" t="str">
        <f>IF($C160&lt;1,"",(AVERAGEIFS('09월 고철장입'!Q$14:Q$949,'09월 고철장입'!$A$14:$A$949,$A160,'09월 고철장입'!$C$14:$C$949,$B160))/1000)</f>
        <v/>
      </c>
      <c r="BG160" s="833" t="str">
        <f>IF($C160&lt;1,"",(AVERAGEIFS('09월 고철장입'!S$14:S$949,'09월 고철장입'!$A$14:$A$949,$A160,'09월 고철장입'!$C$14:$C$949,$B160))/1000)</f>
        <v/>
      </c>
      <c r="BH160" s="833" t="str">
        <f>IF($C160&lt;1,"",(AVERAGEIFS('09월 고철장입'!T$14:T$949,'09월 고철장입'!$A$14:$A$949,$A160,'09월 고철장입'!$C$14:$C$949,$B160))/1000)</f>
        <v/>
      </c>
      <c r="BI160" s="833" t="str">
        <f>IF($C160&lt;1,"",(AVERAGEIFS('09월 고철장입'!U$14:U$949,'09월 고철장입'!$A$14:$A$949,$A160,'09월 고철장입'!$C$14:$C$949,$B160))/1000)</f>
        <v/>
      </c>
      <c r="BJ160" s="833" t="str">
        <f>IF($C160&lt;1,"",(AVERAGEIFS('09월 고철장입'!V$14:V$949,'09월 고철장입'!$A$14:$A$949,$A160,'09월 고철장입'!$C$14:$C$949,$B160))/1000)</f>
        <v/>
      </c>
      <c r="BK160" s="833" t="str">
        <f>IF($C160&lt;1,"",(AVERAGEIFS('09월 고철장입'!W$14:W$949,'09월 고철장입'!$A$14:$A$949,$A160,'09월 고철장입'!$C$14:$C$949,$B160))/1000)</f>
        <v/>
      </c>
      <c r="BL160" s="833" t="str">
        <f>IF($C160&lt;1,"",(AVERAGEIFS('09월 고철장입'!Y$14:Y$949,'09월 고철장입'!$A$14:$A$949,$A160,'09월 고철장입'!$C$14:$C$949,$B160))/1000)</f>
        <v/>
      </c>
      <c r="BM160" s="833" t="str">
        <f>IF($C160&lt;1,"",(AVERAGEIFS('09월 고철장입'!AB$14:AB$949,'09월 고철장입'!$A$14:$A$949,$A160,'09월 고철장입'!$C$14:$C$949,$B160))/1000)</f>
        <v/>
      </c>
      <c r="BN160" s="833" t="str">
        <f>IF($C160&lt;1,"",(AVERAGEIFS('09월 고철장입'!AC$14:AC$949,'09월 고철장입'!$A$14:$A$949,$A160,'09월 고철장입'!$C$14:$C$949,$B160))/1000)</f>
        <v/>
      </c>
      <c r="BO160" s="833" t="str">
        <f>IF($C160&lt;1,"",(AVERAGEIFS('09월 고철장입'!AD$14:AD$949,'09월 고철장입'!$A$14:$A$949,$A160,'09월 고철장입'!$C$14:$C$949,$B160))/1000)</f>
        <v/>
      </c>
      <c r="BP160" s="833" t="str">
        <f>IF($C160&lt;1,"",(AVERAGEIFS('09월 고철장입'!AE$14:AE$949,'09월 고철장입'!$A$14:$A$949,$A160,'09월 고철장입'!$C$14:$C$949,$B160))/1000)</f>
        <v/>
      </c>
      <c r="BQ160" s="832" t="str">
        <f>IF($C160&lt;1,"",(AVERAGEIFS('09월 고철장입'!AF$14:AF$949,'09월 고철장입'!$A$14:$A$949,$A160,'09월 고철장입'!$C$14:$C$949,$B160))/1000)</f>
        <v/>
      </c>
      <c r="BR160" s="832" t="str">
        <f>IF($C160&lt;1,"",(AVERAGEIFS('09월 고철장입'!AG$14:AG$949,'09월 고철장입'!$A$14:$A$949,$A160,'09월 고철장입'!$C$14:$C$949,$B160))/1000)</f>
        <v/>
      </c>
      <c r="BS160" s="832" t="str">
        <f>IF($C160&lt;1,"",(AVERAGEIFS('09월 고철장입'!AH$14:AH$949,'09월 고철장입'!$A$14:$A$949,$A160,'09월 고철장입'!$C$14:$C$949,$B160))/1000)</f>
        <v/>
      </c>
      <c r="BT160" s="832" t="str">
        <f>IF($C160&lt;1,"",(AVERAGEIFS('09월 고철장입'!AI$14:AI$949,'09월 고철장입'!$A$14:$A$949,$A160,'09월 고철장입'!$C$14:$C$949,$B160))/1000)</f>
        <v/>
      </c>
      <c r="BU160" s="834" t="str">
        <f>IF($C160&lt;1,"",(AVERAGEIFS('09월 고철장입'!AJ$14:AJ$949,'09월 고철장입'!$A$14:$A$949,$A160,'09월 고철장입'!$C$14:$C$949,$B160))/1000)</f>
        <v/>
      </c>
      <c r="BV160" s="834" t="str">
        <f>IF($C160&lt;1,"",(AVERAGEIFS('09월 고철장입'!AK$14:AK$949,'09월 고철장입'!$A$14:$A$949,$A160,'09월 고철장입'!$C$14:$C$949,$B160)))</f>
        <v/>
      </c>
      <c r="BW160" s="834" t="str">
        <f>IF($C160&lt;1,"",(AVERAGEIFS('09월 고철장입'!AL$14:AL$949,'09월 고철장입'!$A$14:$A$949,$A160,'09월 고철장입'!$C$14:$C$949,$B160))*100)</f>
        <v/>
      </c>
      <c r="BX160" s="831" t="str">
        <f>IF($C160&lt;1,"",(AVERAGEIFS('09월 에너지'!G$14:G$949,'09월 에너지'!$A$14:$A$949,$A160,'09월 에너지'!$C$14:$C$949,$B160)))</f>
        <v/>
      </c>
      <c r="BY160" s="835" t="str">
        <f>IF($C160&lt;1,"",(AVERAGEIFS('09월 에너지'!H$14:H$949,'09월 에너지'!$A$14:$A$949,$A160,'09월 에너지'!$C$14:$C$949,$B160)))</f>
        <v/>
      </c>
      <c r="BZ160" s="831" t="str">
        <f>IF($C160&lt;1,"",(AVERAGEIFS('09월 에너지'!I$14:I$949,'09월 에너지'!$A$14:$A$949,$A160,'09월 에너지'!$C$14:$C$949,$B160)))</f>
        <v/>
      </c>
      <c r="CA160" s="835" t="str">
        <f>IF($C160&lt;1,"",(AVERAGEIFS('09월 에너지'!J$14:J$949,'09월 에너지'!$A$14:$A$949,$A160,'09월 에너지'!$C$14:$C$949,$B160)))</f>
        <v/>
      </c>
      <c r="CB160" s="831" t="str">
        <f>IF($C160&lt;1,"",(AVERAGEIFS('09월 에너지'!K$14:K$949,'09월 에너지'!$A$14:$A$949,$A160,'09월 에너지'!$C$14:$C$949,$B160)))</f>
        <v/>
      </c>
      <c r="CC160" s="835" t="str">
        <f>IF($C160&lt;1,"",(AVERAGEIFS('09월 에너지'!L$14:L$949,'09월 에너지'!$A$14:$A$949,$A160,'09월 에너지'!$C$14:$C$949,$B160)))</f>
        <v/>
      </c>
      <c r="CD160" s="831" t="str">
        <f>IF($C160&lt;1,"",(AVERAGEIFS('09월 에너지'!M$14:M$949,'09월 에너지'!$A$14:$A$949,$A160,'09월 에너지'!$C$14:$C$949,$B160)))</f>
        <v/>
      </c>
      <c r="CE160" s="835" t="str">
        <f>IF($C160&lt;1,"",(AVERAGEIFS('09월 에너지'!N$14:N$949,'09월 에너지'!$A$14:$A$949,$A160,'09월 에너지'!$C$14:$C$949,$B160)))</f>
        <v/>
      </c>
      <c r="CF160" s="831" t="str">
        <f>IF($C160&lt;1,"",(AVERAGEIFS('09월 에너지'!O$14:O$949,'09월 에너지'!$A$14:$A$949,$A160,'09월 에너지'!$C$14:$C$949,$B160)))</f>
        <v/>
      </c>
      <c r="CG160" s="831" t="str">
        <f>IF($C160&lt;1,"",(AVERAGEIFS('09월 에너지'!P$14:P$949,'09월 에너지'!$A$14:$A$949,$A160,'09월 에너지'!$C$14:$C$949,$B160)))</f>
        <v/>
      </c>
      <c r="CH160" s="831" t="str">
        <f>IF($C160&lt;1,"",(AVERAGEIFS('09월 에너지'!Q$14:Q$949,'09월 에너지'!$A$14:$A$949,$A160,'09월 에너지'!$C$14:$C$949,$B160)))</f>
        <v/>
      </c>
      <c r="CI160" s="831" t="str">
        <f>IF($C160&lt;1,"",(AVERAGEIFS('09월 에너지'!R$14:R$949,'09월 에너지'!$A$14:$A$949,$A160,'09월 에너지'!$C$14:$C$949,$B160)))</f>
        <v/>
      </c>
      <c r="CJ160" s="831" t="str">
        <f>IF($C160&lt;1,"",(AVERAGEIFS('09월 에너지'!S$14:S$949,'09월 에너지'!$A$14:$A$949,$A160,'09월 에너지'!$C$14:$C$949,$B160)))</f>
        <v/>
      </c>
      <c r="CK160" s="831" t="str">
        <f>IF($C160&lt;1,"",(AVERAGEIFS('09월 에너지'!T$14:T$949,'09월 에너지'!$A$14:$A$949,$A160,'09월 에너지'!$C$14:$C$949,$B160)))</f>
        <v/>
      </c>
      <c r="CL160" s="831" t="str">
        <f>IF($C160&lt;1,"",(AVERAGEIFS('09월 에너지'!U$14:U$949,'09월 에너지'!$A$14:$A$949,$A160,'09월 에너지'!$C$14:$C$949,$B160)))</f>
        <v/>
      </c>
      <c r="CM160" s="835" t="str">
        <f>IF($C160&lt;1,"",(AVERAGEIFS('09월 에너지'!V$14:V$949,'09월 에너지'!$A$14:$A$949,$A160,'09월 에너지'!$C$14:$C$949,$B160)))</f>
        <v/>
      </c>
      <c r="CN160" s="835" t="str">
        <f>IF($C160&lt;1,"",(AVERAGEIFS('09월 에너지'!W$14:W$949,'09월 에너지'!$A$14:$A$949,$A160,'09월 에너지'!$C$14:$C$949,$B160)))</f>
        <v/>
      </c>
      <c r="CO160" s="831" t="str">
        <f>IF($C160&lt;1,"",(AVERAGEIFS('09월 에너지'!X$14:X$949,'09월 에너지'!$A$14:$A$949,$A160,'09월 에너지'!$C$14:$C$949,$B160)))</f>
        <v/>
      </c>
      <c r="CP160" s="835" t="str">
        <f>IF($C160&lt;1,"",(AVERAGEIFS('09월 에너지'!Y$14:Y$949,'09월 에너지'!$A$14:$A$949,$A160,'09월 에너지'!$C$14:$C$949,$B160)))</f>
        <v/>
      </c>
      <c r="CQ160" s="835" t="str">
        <f>IF($C160&lt;1,"",(AVERAGEIFS('09월 에너지'!Z$14:Z$949,'09월 에너지'!$A$14:$A$949,$A160,'09월 에너지'!$C$14:$C$949,$B160)))</f>
        <v/>
      </c>
      <c r="CR160" s="835" t="str">
        <f>IF($C160&lt;1,"",(AVERAGEIFS('09월 에너지'!AA$14:AA$949,'09월 에너지'!$A$14:$A$949,$A160,'09월 에너지'!$C$14:$C$949,$B160)))</f>
        <v/>
      </c>
      <c r="CS160" s="835" t="str">
        <f>IF($C160&lt;1,"",(AVERAGEIFS('09월 에너지'!AB$14:AB$949,'09월 에너지'!$A$14:$A$949,$A160,'09월 에너지'!$C$14:$C$949,$B160)))</f>
        <v/>
      </c>
      <c r="CT160" s="831" t="str">
        <f>IF($C160&lt;1,"",(AVERAGEIFS('09월 에너지'!AC$14:AC$949,'09월 에너지'!$A$14:$A$949,$A160,'09월 에너지'!$C$14:$C$949,$B160)))</f>
        <v/>
      </c>
      <c r="CU160" s="836" t="str">
        <f>IF($C160&lt;1,"",(AVERAGEIFS('09월 에너지'!AD$14:AD$949,'09월 에너지'!$A$14:$A$949,$A160,'09월 에너지'!$C$14:$C$949,$B160)))</f>
        <v/>
      </c>
      <c r="CV160" s="837" t="str">
        <f>IF($C160&lt;1,"",(AVERAGEIFS('09월 에너지'!AE$14:AE$949,'09월 에너지'!$A$14:$A$949,$A160,'09월 에너지'!$C$14:$C$949,$B160)))</f>
        <v/>
      </c>
      <c r="CW160" s="831" t="str">
        <f>IF($C160&lt;1,"",(AVERAGEIFS('09월 에너지'!AF$14:AF$949,'09월 에너지'!$A$14:$A$949,$A160,'09월 에너지'!$C$14:$C$949,$B160)))</f>
        <v/>
      </c>
      <c r="CX160" s="831" t="str">
        <f>IF($C160&lt;1,"",(AVERAGEIFS('09월 에너지'!AG$14:AG$949,'09월 에너지'!$A$14:$A$949,$A160,'09월 에너지'!$C$14:$C$949,$B160)))</f>
        <v/>
      </c>
      <c r="CY160" s="831" t="str">
        <f>IF($C160&lt;1,"",(AVERAGEIFS('09월 에너지'!AH$14:AH$949,'09월 에너지'!$A$14:$A$949,$A160,'09월 에너지'!$C$14:$C$949,$B160)))</f>
        <v/>
      </c>
      <c r="CZ160" s="831" t="str">
        <f>IF($C160&lt;1,"",(AVERAGEIFS('09월 에너지'!AI$14:AI$949,'09월 에너지'!$A$14:$A$949,$A160,'09월 에너지'!$C$14:$C$949,$B160)))</f>
        <v/>
      </c>
      <c r="DA160" s="838" t="str">
        <f>IF($C160&lt;1,"",(AVERAGEIFS('09월 에너지'!AJ$14:AJ$949,'09월 에너지'!$A$14:$A$949,$A160,'09월 에너지'!$C$14:$C$949,$B160)))</f>
        <v/>
      </c>
    </row>
    <row r="161" ht="13.5" customHeight="1"/>
  </sheetData>
  <mergeCells count="42">
    <mergeCell ref="CP4:CT4"/>
    <mergeCell ref="CU4:CV4"/>
    <mergeCell ref="CW4:DA4"/>
    <mergeCell ref="B4:B5"/>
    <mergeCell ref="G4:G5"/>
    <mergeCell ref="H4:H5"/>
    <mergeCell ref="U4:V4"/>
    <mergeCell ref="W4:W5"/>
    <mergeCell ref="BZ4:CA4"/>
    <mergeCell ref="CB4:CC4"/>
    <mergeCell ref="CD4:CE4"/>
    <mergeCell ref="CF4:CI4"/>
    <mergeCell ref="CJ4:CJ5"/>
    <mergeCell ref="CK4:CO4"/>
    <mergeCell ref="BQ4:BT4"/>
    <mergeCell ref="BU4:BU5"/>
    <mergeCell ref="BV4:BV5"/>
    <mergeCell ref="BW4:BW5"/>
    <mergeCell ref="BX4:BY4"/>
    <mergeCell ref="AD4:AG4"/>
    <mergeCell ref="AH4:AQ4"/>
    <mergeCell ref="AR4:AR5"/>
    <mergeCell ref="AS4:AT4"/>
    <mergeCell ref="AU4:AU5"/>
    <mergeCell ref="AV4:AW4"/>
    <mergeCell ref="AX4:AY4"/>
    <mergeCell ref="AZ4:BA4"/>
    <mergeCell ref="BB4:BC4"/>
    <mergeCell ref="BD4:BD5"/>
    <mergeCell ref="BE4:BH4"/>
    <mergeCell ref="BI4:BK4"/>
    <mergeCell ref="BL4:BM4"/>
    <mergeCell ref="BN4:BO4"/>
    <mergeCell ref="BP4:BP5"/>
    <mergeCell ref="X4:AC4"/>
    <mergeCell ref="A1:K1"/>
    <mergeCell ref="A4:A5"/>
    <mergeCell ref="C4:C5"/>
    <mergeCell ref="D4:F4"/>
    <mergeCell ref="J4:P4"/>
    <mergeCell ref="A2:B2"/>
    <mergeCell ref="Q4:Q5"/>
  </mergeCells>
  <phoneticPr fontId="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D161"/>
  <sheetViews>
    <sheetView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Y29" sqref="Y29"/>
    </sheetView>
  </sheetViews>
  <sheetFormatPr defaultRowHeight="14.4"/>
  <cols>
    <col min="1" max="1" width="9.09765625" customWidth="1"/>
    <col min="2" max="2" width="4.09765625" customWidth="1"/>
    <col min="3" max="3" width="5.3984375" customWidth="1"/>
    <col min="4" max="4" width="10.796875" style="393" customWidth="1"/>
    <col min="5" max="20" width="2" hidden="1" customWidth="1"/>
    <col min="21" max="21" width="10.296875" style="393" customWidth="1"/>
    <col min="22" max="22" width="9.296875" style="393" customWidth="1"/>
    <col min="23" max="23" width="9.59765625" style="393" customWidth="1"/>
    <col min="24" max="26" width="7.09765625" customWidth="1"/>
    <col min="27" max="27" width="9.296875" style="393" customWidth="1"/>
    <col min="28" max="28" width="9.3984375" style="393" customWidth="1"/>
    <col min="29" max="29" width="9.69921875" customWidth="1"/>
    <col min="30" max="30" width="7.3984375" customWidth="1"/>
    <col min="31" max="31" width="10.59765625" customWidth="1"/>
    <col min="32" max="32" width="8.8984375" style="393" customWidth="1"/>
    <col min="33" max="33" width="9.19921875" style="393" customWidth="1"/>
    <col min="34" max="34" width="7.3984375" style="393" customWidth="1"/>
    <col min="35" max="35" width="7.8984375" style="393" customWidth="1"/>
    <col min="36" max="36" width="10.8984375" style="393" customWidth="1"/>
    <col min="37" max="37" width="9.69921875" style="393" customWidth="1"/>
    <col min="38" max="38" width="8.59765625" style="393" customWidth="1"/>
    <col min="39" max="39" width="8.3984375" style="393" customWidth="1"/>
    <col min="40" max="40" width="7.8984375" style="393" customWidth="1"/>
    <col min="41" max="41" width="9.796875" style="393" customWidth="1"/>
    <col min="42" max="43" width="6.3984375" style="393" customWidth="1"/>
    <col min="44" max="44" width="6" style="393" customWidth="1"/>
    <col min="45" max="53" width="9.19921875" style="393" customWidth="1"/>
    <col min="54" max="64" width="7" style="393" customWidth="1"/>
    <col min="65" max="65" width="11.59765625" style="393" customWidth="1"/>
    <col min="66" max="68" width="7" style="393" customWidth="1"/>
    <col min="69" max="69" width="10.69921875" style="393" customWidth="1"/>
    <col min="70" max="70" width="7" style="393" customWidth="1"/>
    <col min="71" max="72" width="5.8984375" style="393" customWidth="1"/>
    <col min="73" max="73" width="5.09765625" style="393" customWidth="1"/>
    <col min="74" max="74" width="8.8984375" style="393" bestFit="1" customWidth="1"/>
    <col min="75" max="75" width="5.09765625" style="393" customWidth="1"/>
    <col min="76" max="76" width="8.8984375" style="393" bestFit="1" customWidth="1"/>
    <col min="77" max="77" width="5.09765625" style="393" customWidth="1"/>
    <col min="78" max="78" width="8.8984375" style="393" bestFit="1" customWidth="1"/>
    <col min="79" max="79" width="5.09765625" style="393" customWidth="1"/>
    <col min="80" max="80" width="11.19921875" style="393" customWidth="1"/>
    <col min="81" max="85" width="6.59765625" style="393" customWidth="1"/>
    <col min="86" max="86" width="6" style="393" customWidth="1"/>
    <col min="87" max="87" width="5.09765625" style="393" customWidth="1"/>
    <col min="88" max="88" width="6.296875" style="393" customWidth="1"/>
    <col min="89" max="89" width="7.19921875" style="393" customWidth="1"/>
    <col min="90" max="90" width="5.09765625" style="393" customWidth="1"/>
    <col min="91" max="91" width="7.59765625" style="393" customWidth="1"/>
    <col min="92" max="92" width="7.296875" style="393" customWidth="1"/>
    <col min="93" max="93" width="7.59765625" style="393" customWidth="1"/>
    <col min="94" max="94" width="7.3984375" style="393" customWidth="1"/>
    <col min="95" max="95" width="5.09765625" style="393" customWidth="1"/>
    <col min="96" max="96" width="9.296875" style="393" customWidth="1"/>
    <col min="97" max="97" width="5.09765625" style="393" customWidth="1"/>
    <col min="98" max="100" width="6.8984375" style="393" customWidth="1"/>
    <col min="101" max="101" width="10" style="393" customWidth="1"/>
    <col min="102" max="102" width="6.8984375" style="393" customWidth="1"/>
    <col min="103" max="103" width="8.8984375" style="393"/>
    <col min="104" max="104" width="8.296875" style="393" customWidth="1"/>
    <col min="105" max="108" width="8.8984375" style="393"/>
  </cols>
  <sheetData>
    <row r="1" spans="1:108" ht="26.4" thickBot="1">
      <c r="A1" s="1721" t="s">
        <v>209</v>
      </c>
      <c r="B1" s="1721"/>
      <c r="C1" s="1721"/>
      <c r="D1" s="1721"/>
      <c r="E1" s="1721"/>
      <c r="F1" s="1721"/>
      <c r="G1" s="1721"/>
      <c r="H1" s="1721"/>
      <c r="I1" s="1721"/>
      <c r="J1" s="1721"/>
      <c r="K1" s="1721"/>
    </row>
    <row r="2" spans="1:108" ht="21" customHeight="1" thickBot="1">
      <c r="A2" s="1722" t="s">
        <v>199</v>
      </c>
      <c r="B2" s="1723"/>
      <c r="C2" s="309">
        <f>COUNT('09월 조업일지'!$J$12:$J792)</f>
        <v>781</v>
      </c>
      <c r="D2" s="313">
        <f>IF(C2&lt;1,0,SUM(E2:CX2)/(일별반별!BV2-1.5))+(CY2+CZ2+DA2+DB2)</f>
        <v>293781.66567791434</v>
      </c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310"/>
      <c r="R2" s="311"/>
      <c r="S2" s="310"/>
      <c r="T2" s="311"/>
      <c r="U2" s="296">
        <f>IFERROR(IF($C2&lt;1,"",U$3*일별반별!X2),0)</f>
        <v>105258.24175824175</v>
      </c>
      <c r="V2" s="296">
        <f>IFERROR(IF($C2&lt;1,"",V$3*일별반별!Y2),0)</f>
        <v>0</v>
      </c>
      <c r="W2" s="296">
        <f>IFERROR(IF($C2&lt;1,"",W$3*일별반별!Z2),0)</f>
        <v>82873.260073260084</v>
      </c>
      <c r="X2" s="296">
        <f>IFERROR(IF($C2&lt;1,"",X$3*일별반별!AA2),0)</f>
        <v>0</v>
      </c>
      <c r="Y2" s="296">
        <f>IFERROR(IF($C2&lt;1,"",Y$3*일별반별!AB2),0)</f>
        <v>0</v>
      </c>
      <c r="Z2" s="296">
        <f>IFERROR(IF($C2&lt;1,"",Z$3*일별반별!AC2),0)</f>
        <v>0</v>
      </c>
      <c r="AA2" s="296">
        <f>IFERROR(IF($C2&lt;1,"",AA$3*일별반별!AD2),0)</f>
        <v>107577.70270270271</v>
      </c>
      <c r="AB2" s="296">
        <f>IFERROR(IF($C2&lt;1,"",AB$3*일별반별!AE2),0)</f>
        <v>0</v>
      </c>
      <c r="AC2" s="296">
        <f>IFERROR(IF($C2&lt;1,"",AC$3*일별반별!AF2),0)</f>
        <v>0</v>
      </c>
      <c r="AD2" s="296">
        <f>IFERROR(IF($C2&lt;1,"",AD$3*일별반별!AG2),0)</f>
        <v>0</v>
      </c>
      <c r="AE2" s="296">
        <f>IFERROR(IF($C2&lt;1,"",AE$3*일별반별!AH2),0)</f>
        <v>7689.090909090909</v>
      </c>
      <c r="AF2" s="296">
        <f>IFERROR(IF($C2&lt;1,"",AF$3*일별반별!AI2),0)</f>
        <v>0</v>
      </c>
      <c r="AG2" s="296">
        <f>IFERROR(IF($C2&lt;1,"",AG$3*일별반별!AJ2),0)</f>
        <v>21781.300613496933</v>
      </c>
      <c r="AH2" s="296">
        <f>IFERROR(IF($C2&lt;1,"",AH$3*일별반별!AK2),0)</f>
        <v>14518.910447761195</v>
      </c>
      <c r="AI2" s="296">
        <f>IFERROR(IF($C2&lt;1,"",AI$3*일별반별!AL2),0)</f>
        <v>72226.942392909885</v>
      </c>
      <c r="AJ2" s="296">
        <f>IFERROR(IF($C2&lt;1,"",AJ$3*일별반별!AM2),0)</f>
        <v>1163223.5225885226</v>
      </c>
      <c r="AK2" s="296">
        <f>IFERROR(IF($C2&lt;1,"",AK$3*일별반별!AN2),0)</f>
        <v>306914.22475106688</v>
      </c>
      <c r="AL2" s="296">
        <f>IFERROR(IF($C2&lt;1,"",AL$3*일별반별!AO2),0)</f>
        <v>142028.00589101619</v>
      </c>
      <c r="AM2" s="296">
        <f>IFERROR(IF($C2&lt;1,"",AM$3*일별반별!AP2),0)</f>
        <v>0</v>
      </c>
      <c r="AN2" s="296">
        <f>IFERROR(IF($C2&lt;1,"",AN$3*일별반별!AQ2),0)</f>
        <v>0</v>
      </c>
      <c r="AO2" s="296">
        <f>IFERROR(IF($C2&lt;1,"",AO$3*일별반별!AR2),0)</f>
        <v>357036.92063492065</v>
      </c>
      <c r="AP2" s="296">
        <f>IFERROR(IF($C2&lt;1,"",AP$3*일별반별!AS2),0)</f>
        <v>0</v>
      </c>
      <c r="AQ2" s="296">
        <f>IFERROR(IF($C2&lt;1,"",AQ$3*일별반별!AT2),0)</f>
        <v>0</v>
      </c>
      <c r="AR2" s="296">
        <f>IFERROR(IF($C2&lt;1,"",AR$3*일별반별!AU2),0)</f>
        <v>0</v>
      </c>
      <c r="AS2" s="296">
        <f>IFERROR(IF($C2&lt;1,"",AS$3*일별반별!AV2),0)</f>
        <v>0</v>
      </c>
      <c r="AT2" s="296">
        <f>IFERROR(IF($C2&lt;1,"",AT$3*일별반별!AW2),0)</f>
        <v>0</v>
      </c>
      <c r="AU2" s="296">
        <f>IFERROR(IF($C2&lt;1,"",AU$3*일별반별!AX2),0)</f>
        <v>2405960.0206673346</v>
      </c>
      <c r="AV2" s="296">
        <f>IFERROR(IF($C2&lt;1,"",AV$3*일별반별!AY2),0)</f>
        <v>0</v>
      </c>
      <c r="AW2" s="296">
        <f>IFERROR(IF($C2&lt;1,"",AW$3*일별반별!AZ2),0)</f>
        <v>0</v>
      </c>
      <c r="AX2" s="296">
        <f>IFERROR(IF($C2&lt;1,"",AX$3*일별반별!BA2),0)</f>
        <v>0</v>
      </c>
      <c r="AY2" s="296">
        <f>IFERROR(IF($C2&lt;1,"",AY$3*일별반별!BB2),0)</f>
        <v>0</v>
      </c>
      <c r="AZ2" s="296">
        <f>IFERROR(IF($C2&lt;1,"",AZ$3*일별반별!BC2),0)</f>
        <v>0</v>
      </c>
      <c r="BA2" s="296">
        <f>IFERROR(IF($C2&lt;1,"",BA$3*일별반별!BD2),0)</f>
        <v>0</v>
      </c>
      <c r="BB2" s="296">
        <f>IFERROR(IF($C2&lt;1,"",BB$3*일별반별!BE2),0)</f>
        <v>10932268.108058607</v>
      </c>
      <c r="BC2" s="296">
        <f>IFERROR(IF($C2&lt;1,"",BC$3*일별반별!BF2),0)</f>
        <v>4353620.8406593408</v>
      </c>
      <c r="BD2" s="296">
        <f>IFERROR(IF($C2&lt;1,"",BD$3*일별반별!BG2),0)</f>
        <v>0</v>
      </c>
      <c r="BE2" s="296">
        <f>IFERROR(IF($C2&lt;1,"",BE$3*일별반별!BH2),0)</f>
        <v>288643</v>
      </c>
      <c r="BF2" s="296">
        <f>IFERROR(IF($C2&lt;1,"",BF$3*일별반별!BI2),0)</f>
        <v>2216925.54</v>
      </c>
      <c r="BG2" s="296">
        <f>IFERROR(IF($C2&lt;1,"",BG$3*일별반별!BJ2),0)</f>
        <v>5627336.0307692308</v>
      </c>
      <c r="BH2" s="296">
        <f>IFERROR(IF($C2&lt;1,"",BH$3*일별반별!BK2),0)</f>
        <v>719374.73582278483</v>
      </c>
      <c r="BI2" s="296">
        <f>IFERROR(IF($C2&lt;1,"",BI$3*일별반별!BL2),0)</f>
        <v>3547218.1483476129</v>
      </c>
      <c r="BJ2" s="296">
        <f>IFERROR(IF($C2&lt;1,"",BJ$3*일별반별!BM2),0)</f>
        <v>687601.14447403455</v>
      </c>
      <c r="BK2" s="296">
        <f>IFERROR(IF($C2&lt;1,"",BK$3*일별반별!BN2),0)</f>
        <v>520597.70114942529</v>
      </c>
      <c r="BL2" s="296">
        <f>IFERROR(IF($C2&lt;1,"",BL$3*일별반별!BO2),0)</f>
        <v>746223.03030303039</v>
      </c>
      <c r="BM2" s="296">
        <f>IFERROR(IF($C2&lt;1,"",BM$3*일별반별!BP2),0)</f>
        <v>0</v>
      </c>
      <c r="BN2" s="296">
        <f>IFERROR(IF($C2&lt;1,"",BN$3*일별반별!BQ2),0)</f>
        <v>0</v>
      </c>
      <c r="BO2" s="296">
        <f>IFERROR(IF($C2&lt;1,"",BO$3*일별반별!BR2),0)</f>
        <v>0</v>
      </c>
      <c r="BP2" s="296">
        <f>IFERROR(IF($C2&lt;1,"",BP$3*일별반별!BS2),0)</f>
        <v>0</v>
      </c>
      <c r="BQ2" s="296">
        <f>IFERROR(IF($C2&lt;1,"",BQ$3*일별반별!BT2),0)</f>
        <v>4065095.5230769236</v>
      </c>
      <c r="BR2" s="296">
        <f>IFERROR(IF($C2&lt;1,"",BR$3*일별반별!BU2),0)</f>
        <v>0</v>
      </c>
      <c r="BS2" s="296">
        <f>IFERROR(IF($C2&lt;1,"",BS$3*일별반별!BV2),0)</f>
        <v>0</v>
      </c>
      <c r="BT2" s="296">
        <f>IFERROR(IF($C2&lt;1,"",BT$3*일별반별!BW2),0)</f>
        <v>0</v>
      </c>
      <c r="BU2" s="296">
        <f>IFERROR(IF($C2&lt;1,"",BU$3*일별반별!BX2),0)</f>
        <v>0</v>
      </c>
      <c r="BV2" s="296">
        <f>IFERROR(IF($C2&lt;1,"",BV$3*일별반별!BY2),0)</f>
        <v>0</v>
      </c>
      <c r="BW2" s="296">
        <f>IFERROR(IF($C2&lt;1,"",BW$3*일별반별!BZ2),0)</f>
        <v>0</v>
      </c>
      <c r="BX2" s="296">
        <f>IFERROR(IF($C2&lt;1,"",BX$3*일별반별!CA2),0)</f>
        <v>0</v>
      </c>
      <c r="BY2" s="296">
        <f>IFERROR(IF($C2&lt;1,"",BY$3*일별반별!CB2),0)</f>
        <v>0</v>
      </c>
      <c r="BZ2" s="296">
        <f>IFERROR(IF($C2&lt;1,"",BZ$3*일별반별!CC2),0)</f>
        <v>0</v>
      </c>
      <c r="CA2" s="296">
        <f>IFERROR(IF($C2&lt;1,"",CA$3*일별반별!CD2),0)</f>
        <v>0</v>
      </c>
      <c r="CB2" s="296">
        <f>IFERROR(IF($C2&lt;1,"",CB$3*일별반별!CE2),0)</f>
        <v>4830234.6275946274</v>
      </c>
      <c r="CC2" s="296">
        <f>IFERROR(IF($C2&lt;1,"",CC$3*일별반별!CF2),0)</f>
        <v>0</v>
      </c>
      <c r="CD2" s="296">
        <f>IFERROR(IF($C2&lt;1,"",CD$3*일별반별!CG2),0)</f>
        <v>0</v>
      </c>
      <c r="CE2" s="296">
        <f>IFERROR(IF($C2&lt;1,"",CE$3*일별반별!CH2),0)</f>
        <v>0</v>
      </c>
      <c r="CF2" s="296">
        <f>IFERROR(IF($C2&lt;1,"",CF$3*일별반별!CI2),0)</f>
        <v>0</v>
      </c>
      <c r="CG2" s="296">
        <f>IFERROR(IF($C2&lt;1,"",CG$3*일별반별!CJ2),0)</f>
        <v>0</v>
      </c>
      <c r="CH2" s="296">
        <f>IFERROR(IF($C2&lt;1,"",CH$3*일별반별!CK2),0)</f>
        <v>0</v>
      </c>
      <c r="CI2" s="296">
        <f>IFERROR(IF($C2&lt;1,"",CI$3*일별반별!CL2),0)</f>
        <v>0</v>
      </c>
      <c r="CJ2" s="296">
        <f>IFERROR(IF($C2&lt;1,"",CJ$3*일별반별!CM2),0)</f>
        <v>0</v>
      </c>
      <c r="CK2" s="296">
        <f>IFERROR(IF($C2&lt;1,"",CK$3*일별반별!CN2),0)</f>
        <v>0</v>
      </c>
      <c r="CL2" s="296">
        <f>IFERROR(IF($C2&lt;1,"",CL$3*일별반별!CO2),0)</f>
        <v>0</v>
      </c>
      <c r="CM2" s="296">
        <f>IFERROR(IF($C2&lt;1,"",CM$3*일별반별!CP2),0)</f>
        <v>0</v>
      </c>
      <c r="CN2" s="296">
        <f>IFERROR(IF($C2&lt;1,"",CN$3*일별반별!CQ2),0)</f>
        <v>0</v>
      </c>
      <c r="CO2" s="296">
        <f>IFERROR(IF($C2&lt;1,"",CO$3*일별반별!CR2),0)</f>
        <v>0</v>
      </c>
      <c r="CP2" s="296">
        <f>IFERROR(IF($C2&lt;1,"",CP$3*일별반별!CS2),0)</f>
        <v>0</v>
      </c>
      <c r="CQ2" s="296">
        <f>IFERROR(IF($C2&lt;1,"",CQ$3*일별반별!CT2),0)</f>
        <v>0</v>
      </c>
      <c r="CR2" s="296">
        <f>IFERROR(IF($C2&lt;1,"",CR$3*일별반별!CU2),0)</f>
        <v>345736.34798534797</v>
      </c>
      <c r="CS2" s="296">
        <f>IFERROR(IF($C2&lt;1,"",CS$3*일별반별!CV2),0)</f>
        <v>0</v>
      </c>
      <c r="CT2" s="296">
        <f>IFERROR(IF($C2&lt;1,"",CT$3*일별반별!CW2),0)</f>
        <v>0</v>
      </c>
      <c r="CU2" s="296">
        <f>IFERROR(IF($C2&lt;1,"",CU$3*일별반별!CX2),0)</f>
        <v>0</v>
      </c>
      <c r="CV2" s="296">
        <f>IFERROR(IF($C2&lt;1,"",CV$3*일별반별!CY2),0)</f>
        <v>0</v>
      </c>
      <c r="CW2" s="296">
        <f>IFERROR(IF($C2&lt;1,"",CW$3*일별반별!CZ2),0)</f>
        <v>117564.98290598291</v>
      </c>
      <c r="CX2" s="296">
        <f>IFERROR(IF($C2&lt;1,"",CX$3*일별반별!DA2),0)</f>
        <v>0</v>
      </c>
      <c r="CY2" s="296">
        <f>IFERROR(IF($C2&lt;1,"",CY$3*일별반별!DB2),0)</f>
        <v>0</v>
      </c>
      <c r="CZ2" s="296">
        <f>IFERROR(IF($C2&lt;1,"",CZ$3*일별반별!DC2),0)</f>
        <v>0</v>
      </c>
      <c r="DA2" s="296">
        <f>IFERROR(IF($C2&lt;1,"",DA$3*일별반별!DD2),0)</f>
        <v>0</v>
      </c>
      <c r="DB2" s="296">
        <f>IFERROR(IF($C2&lt;1,"",DB$3*일별반별!DE2),0)</f>
        <v>0</v>
      </c>
      <c r="DC2" s="296"/>
      <c r="DD2" s="312"/>
    </row>
    <row r="3" spans="1:108" ht="18" customHeight="1" thickBot="1">
      <c r="A3" s="1734" t="s">
        <v>358</v>
      </c>
      <c r="B3" s="1735"/>
      <c r="C3" s="297"/>
      <c r="D3" s="299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300"/>
      <c r="R3" s="301"/>
      <c r="S3" s="300"/>
      <c r="T3" s="301"/>
      <c r="U3" s="298">
        <v>250</v>
      </c>
      <c r="V3" s="298">
        <v>97</v>
      </c>
      <c r="W3" s="298">
        <v>80</v>
      </c>
      <c r="X3" s="298"/>
      <c r="Y3" s="298"/>
      <c r="Z3" s="298"/>
      <c r="AA3" s="298">
        <v>250</v>
      </c>
      <c r="AB3" s="298">
        <v>97</v>
      </c>
      <c r="AC3" s="298">
        <v>80</v>
      </c>
      <c r="AD3" s="298"/>
      <c r="AE3" s="298">
        <v>250</v>
      </c>
      <c r="AF3" s="298">
        <v>97</v>
      </c>
      <c r="AG3" s="298">
        <v>80</v>
      </c>
      <c r="AH3" s="302">
        <v>305</v>
      </c>
      <c r="AI3" s="302">
        <v>760</v>
      </c>
      <c r="AJ3" s="298">
        <v>895</v>
      </c>
      <c r="AK3" s="298">
        <v>1150</v>
      </c>
      <c r="AL3" s="302">
        <v>1773</v>
      </c>
      <c r="AM3" s="302">
        <v>920</v>
      </c>
      <c r="AN3" s="298">
        <v>0</v>
      </c>
      <c r="AO3" s="298">
        <v>178</v>
      </c>
      <c r="AP3" s="298"/>
      <c r="AQ3" s="298"/>
      <c r="AR3" s="298"/>
      <c r="AS3" s="303">
        <v>249354</v>
      </c>
      <c r="AT3" s="303">
        <v>249354</v>
      </c>
      <c r="AU3" s="303">
        <v>230813</v>
      </c>
      <c r="AV3" s="303">
        <v>230813</v>
      </c>
      <c r="AW3" s="303">
        <v>249354</v>
      </c>
      <c r="AX3" s="303">
        <v>249354</v>
      </c>
      <c r="AY3" s="303">
        <v>243338</v>
      </c>
      <c r="AZ3" s="303">
        <v>243338</v>
      </c>
      <c r="BA3" s="303"/>
      <c r="BB3" s="303">
        <v>254685</v>
      </c>
      <c r="BC3" s="303">
        <v>254685</v>
      </c>
      <c r="BD3" s="303">
        <v>254685</v>
      </c>
      <c r="BE3" s="303">
        <v>254685</v>
      </c>
      <c r="BF3" s="303">
        <v>242379</v>
      </c>
      <c r="BG3" s="303">
        <v>242379</v>
      </c>
      <c r="BH3" s="303">
        <v>242379</v>
      </c>
      <c r="BI3" s="303">
        <v>242379</v>
      </c>
      <c r="BJ3" s="303">
        <v>242379</v>
      </c>
      <c r="BK3" s="303">
        <v>240000</v>
      </c>
      <c r="BL3" s="303">
        <v>240000</v>
      </c>
      <c r="BM3" s="303"/>
      <c r="BN3" s="303"/>
      <c r="BO3" s="303"/>
      <c r="BP3" s="303"/>
      <c r="BQ3" s="303">
        <v>212718</v>
      </c>
      <c r="BR3" s="303"/>
      <c r="BS3" s="298"/>
      <c r="BT3" s="298"/>
      <c r="BU3" s="298"/>
      <c r="BV3" s="298"/>
      <c r="BW3" s="298"/>
      <c r="BX3" s="298"/>
      <c r="BY3" s="298"/>
      <c r="BZ3" s="298"/>
      <c r="CA3" s="298"/>
      <c r="CB3" s="298">
        <v>86</v>
      </c>
      <c r="CC3" s="298"/>
      <c r="CD3" s="298"/>
      <c r="CE3" s="298"/>
      <c r="CF3" s="298"/>
      <c r="CG3" s="298"/>
      <c r="CH3" s="298"/>
      <c r="CI3" s="298"/>
      <c r="CJ3" s="298"/>
      <c r="CK3" s="298"/>
      <c r="CL3" s="298"/>
      <c r="CM3" s="298"/>
      <c r="CN3" s="298"/>
      <c r="CO3" s="298"/>
      <c r="CP3" s="298"/>
      <c r="CQ3" s="298"/>
      <c r="CR3" s="298">
        <v>83</v>
      </c>
      <c r="CS3" s="298"/>
      <c r="CT3" s="298"/>
      <c r="CU3" s="298"/>
      <c r="CV3" s="298"/>
      <c r="CW3" s="298">
        <v>769</v>
      </c>
      <c r="CX3" s="304"/>
      <c r="CY3" s="298">
        <v>4715</v>
      </c>
      <c r="CZ3" s="298">
        <v>8000</v>
      </c>
      <c r="DA3" s="298">
        <v>10000</v>
      </c>
      <c r="DB3" s="298"/>
      <c r="DC3" s="298"/>
      <c r="DD3" s="304"/>
    </row>
    <row r="4" spans="1:108" ht="15" customHeight="1">
      <c r="A4" s="1724" t="s">
        <v>30</v>
      </c>
      <c r="B4" s="1726" t="s">
        <v>12</v>
      </c>
      <c r="C4" s="1728" t="s">
        <v>207</v>
      </c>
      <c r="D4" s="1741" t="s">
        <v>210</v>
      </c>
      <c r="E4" s="305" t="s">
        <v>0</v>
      </c>
      <c r="F4" s="306"/>
      <c r="G4" s="1729" t="s">
        <v>187</v>
      </c>
      <c r="H4" s="1731" t="s">
        <v>193</v>
      </c>
      <c r="I4" s="270" t="s">
        <v>184</v>
      </c>
      <c r="J4" s="1733" t="s">
        <v>41</v>
      </c>
      <c r="K4" s="1733"/>
      <c r="L4" s="1733"/>
      <c r="M4" s="1733"/>
      <c r="N4" s="1733"/>
      <c r="O4" s="1733"/>
      <c r="P4" s="1733"/>
      <c r="Q4" s="271" t="s">
        <v>18</v>
      </c>
      <c r="R4" s="1736" t="s">
        <v>191</v>
      </c>
      <c r="S4" s="1737"/>
      <c r="T4" s="1738" t="s">
        <v>186</v>
      </c>
      <c r="U4" s="1740" t="s">
        <v>42</v>
      </c>
      <c r="V4" s="1740"/>
      <c r="W4" s="1740"/>
      <c r="X4" s="1740"/>
      <c r="Y4" s="1740"/>
      <c r="Z4" s="1740"/>
      <c r="AA4" s="1740" t="s">
        <v>43</v>
      </c>
      <c r="AB4" s="1740"/>
      <c r="AC4" s="1740"/>
      <c r="AD4" s="1740"/>
      <c r="AE4" s="1740" t="s">
        <v>44</v>
      </c>
      <c r="AF4" s="1740"/>
      <c r="AG4" s="1740"/>
      <c r="AH4" s="1740"/>
      <c r="AI4" s="1740"/>
      <c r="AJ4" s="1740"/>
      <c r="AK4" s="1740"/>
      <c r="AL4" s="1740"/>
      <c r="AM4" s="1740"/>
      <c r="AN4" s="1740"/>
      <c r="AO4" s="1719" t="s">
        <v>45</v>
      </c>
      <c r="AP4" s="1692" t="s">
        <v>46</v>
      </c>
      <c r="AQ4" s="1692"/>
      <c r="AR4" s="1693" t="s">
        <v>47</v>
      </c>
      <c r="AS4" s="1713" t="s">
        <v>221</v>
      </c>
      <c r="AT4" s="1713"/>
      <c r="AU4" s="1713" t="s">
        <v>223</v>
      </c>
      <c r="AV4" s="1713"/>
      <c r="AW4" s="1713" t="s">
        <v>227</v>
      </c>
      <c r="AX4" s="1713"/>
      <c r="AY4" s="1713" t="s">
        <v>248</v>
      </c>
      <c r="AZ4" s="1713"/>
      <c r="BA4" s="1714" t="s">
        <v>72</v>
      </c>
      <c r="BB4" s="1716" t="s">
        <v>240</v>
      </c>
      <c r="BC4" s="1716"/>
      <c r="BD4" s="1716"/>
      <c r="BE4" s="1716"/>
      <c r="BF4" s="1716" t="s">
        <v>241</v>
      </c>
      <c r="BG4" s="1716"/>
      <c r="BH4" s="1716"/>
      <c r="BI4" s="1716" t="s">
        <v>242</v>
      </c>
      <c r="BJ4" s="1716"/>
      <c r="BK4" s="1716" t="s">
        <v>243</v>
      </c>
      <c r="BL4" s="1716"/>
      <c r="BM4" s="1717" t="s">
        <v>72</v>
      </c>
      <c r="BN4" s="1711" t="s">
        <v>131</v>
      </c>
      <c r="BO4" s="1711"/>
      <c r="BP4" s="1711"/>
      <c r="BQ4" s="1711"/>
      <c r="BR4" s="1712" t="s">
        <v>132</v>
      </c>
      <c r="BS4" s="1697" t="s">
        <v>133</v>
      </c>
      <c r="BT4" s="1699" t="s">
        <v>134</v>
      </c>
      <c r="BU4" s="1701" t="s">
        <v>70</v>
      </c>
      <c r="BV4" s="1701"/>
      <c r="BW4" s="1701" t="s">
        <v>43</v>
      </c>
      <c r="BX4" s="1701"/>
      <c r="BY4" s="1701" t="s">
        <v>71</v>
      </c>
      <c r="BZ4" s="1701"/>
      <c r="CA4" s="1695" t="s">
        <v>72</v>
      </c>
      <c r="CB4" s="1696"/>
      <c r="CC4" s="1704" t="s">
        <v>73</v>
      </c>
      <c r="CD4" s="1705"/>
      <c r="CE4" s="1705"/>
      <c r="CF4" s="1705"/>
      <c r="CG4" s="1704" t="s">
        <v>47</v>
      </c>
      <c r="CH4" s="1701" t="s">
        <v>75</v>
      </c>
      <c r="CI4" s="1701"/>
      <c r="CJ4" s="1701"/>
      <c r="CK4" s="1701"/>
      <c r="CL4" s="1701"/>
      <c r="CM4" s="1707" t="s">
        <v>76</v>
      </c>
      <c r="CN4" s="1707"/>
      <c r="CO4" s="1707"/>
      <c r="CP4" s="1707"/>
      <c r="CQ4" s="1707"/>
      <c r="CR4" s="1708" t="s">
        <v>77</v>
      </c>
      <c r="CS4" s="1709"/>
      <c r="CT4" s="1707" t="s">
        <v>78</v>
      </c>
      <c r="CU4" s="1707"/>
      <c r="CV4" s="1707"/>
      <c r="CW4" s="1707"/>
      <c r="CX4" s="1710"/>
      <c r="CY4" s="1702" t="s">
        <v>197</v>
      </c>
      <c r="CZ4" s="1688" t="s">
        <v>196</v>
      </c>
      <c r="DA4" s="1688" t="s">
        <v>195</v>
      </c>
      <c r="DB4" s="1688" t="s">
        <v>194</v>
      </c>
      <c r="DC4" s="1688"/>
      <c r="DD4" s="1690"/>
    </row>
    <row r="5" spans="1:108" ht="15" customHeight="1" thickBot="1">
      <c r="A5" s="1725"/>
      <c r="B5" s="1727"/>
      <c r="C5" s="1727"/>
      <c r="D5" s="1742"/>
      <c r="E5" s="289" t="s">
        <v>6</v>
      </c>
      <c r="F5" s="289" t="s">
        <v>7</v>
      </c>
      <c r="G5" s="1730"/>
      <c r="H5" s="1732"/>
      <c r="I5" s="290" t="s">
        <v>10</v>
      </c>
      <c r="J5" s="295" t="s">
        <v>48</v>
      </c>
      <c r="K5" s="295" t="s">
        <v>49</v>
      </c>
      <c r="L5" s="295" t="s">
        <v>50</v>
      </c>
      <c r="M5" s="295" t="s">
        <v>51</v>
      </c>
      <c r="N5" s="295" t="s">
        <v>52</v>
      </c>
      <c r="O5" s="295" t="s">
        <v>53</v>
      </c>
      <c r="P5" s="295" t="s">
        <v>54</v>
      </c>
      <c r="Q5" s="291" t="s">
        <v>23</v>
      </c>
      <c r="R5" s="292" t="s">
        <v>10</v>
      </c>
      <c r="S5" s="293" t="s">
        <v>192</v>
      </c>
      <c r="T5" s="1739"/>
      <c r="U5" s="394" t="s">
        <v>55</v>
      </c>
      <c r="V5" s="394" t="s">
        <v>56</v>
      </c>
      <c r="W5" s="394" t="s">
        <v>57</v>
      </c>
      <c r="X5" s="294" t="s">
        <v>63</v>
      </c>
      <c r="Y5" s="294" t="s">
        <v>58</v>
      </c>
      <c r="Z5" s="294" t="s">
        <v>59</v>
      </c>
      <c r="AA5" s="394" t="s">
        <v>55</v>
      </c>
      <c r="AB5" s="394" t="s">
        <v>56</v>
      </c>
      <c r="AC5" s="294" t="s">
        <v>57</v>
      </c>
      <c r="AD5" s="294" t="s">
        <v>58</v>
      </c>
      <c r="AE5" s="294" t="s">
        <v>60</v>
      </c>
      <c r="AF5" s="394" t="s">
        <v>61</v>
      </c>
      <c r="AG5" s="394" t="s">
        <v>57</v>
      </c>
      <c r="AH5" s="394" t="s">
        <v>62</v>
      </c>
      <c r="AI5" s="394" t="s">
        <v>63</v>
      </c>
      <c r="AJ5" s="394" t="s">
        <v>64</v>
      </c>
      <c r="AK5" s="394" t="s">
        <v>65</v>
      </c>
      <c r="AL5" s="394" t="s">
        <v>66</v>
      </c>
      <c r="AM5" s="394" t="s">
        <v>200</v>
      </c>
      <c r="AN5" s="394" t="s">
        <v>67</v>
      </c>
      <c r="AO5" s="1720"/>
      <c r="AP5" s="397" t="s">
        <v>49</v>
      </c>
      <c r="AQ5" s="397" t="s">
        <v>50</v>
      </c>
      <c r="AR5" s="1694"/>
      <c r="AS5" s="398" t="s">
        <v>212</v>
      </c>
      <c r="AT5" s="398" t="s">
        <v>214</v>
      </c>
      <c r="AU5" s="398" t="s">
        <v>215</v>
      </c>
      <c r="AV5" s="398" t="s">
        <v>217</v>
      </c>
      <c r="AW5" s="398" t="s">
        <v>219</v>
      </c>
      <c r="AX5" s="398" t="s">
        <v>225</v>
      </c>
      <c r="AY5" s="398" t="s">
        <v>244</v>
      </c>
      <c r="AZ5" s="398" t="s">
        <v>246</v>
      </c>
      <c r="BA5" s="1715"/>
      <c r="BB5" s="399" t="s">
        <v>230</v>
      </c>
      <c r="BC5" s="399" t="s">
        <v>229</v>
      </c>
      <c r="BD5" s="399" t="s">
        <v>231</v>
      </c>
      <c r="BE5" s="400" t="s">
        <v>232</v>
      </c>
      <c r="BF5" s="399" t="s">
        <v>233</v>
      </c>
      <c r="BG5" s="399" t="s">
        <v>234</v>
      </c>
      <c r="BH5" s="399" t="s">
        <v>235</v>
      </c>
      <c r="BI5" s="399" t="s">
        <v>236</v>
      </c>
      <c r="BJ5" s="399" t="s">
        <v>237</v>
      </c>
      <c r="BK5" s="400" t="s">
        <v>238</v>
      </c>
      <c r="BL5" s="399" t="s">
        <v>239</v>
      </c>
      <c r="BM5" s="1718"/>
      <c r="BN5" s="398" t="s">
        <v>145</v>
      </c>
      <c r="BO5" s="398" t="s">
        <v>146</v>
      </c>
      <c r="BP5" s="398" t="s">
        <v>147</v>
      </c>
      <c r="BQ5" s="406" t="s">
        <v>72</v>
      </c>
      <c r="BR5" s="1698"/>
      <c r="BS5" s="1698"/>
      <c r="BT5" s="1700"/>
      <c r="BU5" s="407" t="s">
        <v>79</v>
      </c>
      <c r="BV5" s="408" t="s">
        <v>80</v>
      </c>
      <c r="BW5" s="407" t="s">
        <v>79</v>
      </c>
      <c r="BX5" s="408" t="s">
        <v>80</v>
      </c>
      <c r="BY5" s="407" t="s">
        <v>79</v>
      </c>
      <c r="BZ5" s="408" t="s">
        <v>80</v>
      </c>
      <c r="CA5" s="409" t="s">
        <v>79</v>
      </c>
      <c r="CB5" s="410" t="s">
        <v>80</v>
      </c>
      <c r="CC5" s="411" t="s">
        <v>70</v>
      </c>
      <c r="CD5" s="411" t="s">
        <v>43</v>
      </c>
      <c r="CE5" s="411" t="s">
        <v>71</v>
      </c>
      <c r="CF5" s="412" t="s">
        <v>72</v>
      </c>
      <c r="CG5" s="1706"/>
      <c r="CH5" s="413" t="s">
        <v>70</v>
      </c>
      <c r="CI5" s="413" t="s">
        <v>43</v>
      </c>
      <c r="CJ5" s="413" t="s">
        <v>71</v>
      </c>
      <c r="CK5" s="412" t="s">
        <v>72</v>
      </c>
      <c r="CL5" s="412" t="s">
        <v>73</v>
      </c>
      <c r="CM5" s="413" t="s">
        <v>70</v>
      </c>
      <c r="CN5" s="413" t="s">
        <v>43</v>
      </c>
      <c r="CO5" s="413" t="s">
        <v>71</v>
      </c>
      <c r="CP5" s="412" t="s">
        <v>72</v>
      </c>
      <c r="CQ5" s="412" t="s">
        <v>73</v>
      </c>
      <c r="CR5" s="414" t="s">
        <v>90</v>
      </c>
      <c r="CS5" s="415" t="s">
        <v>91</v>
      </c>
      <c r="CT5" s="413" t="s">
        <v>70</v>
      </c>
      <c r="CU5" s="413" t="s">
        <v>43</v>
      </c>
      <c r="CV5" s="413" t="s">
        <v>71</v>
      </c>
      <c r="CW5" s="412" t="s">
        <v>72</v>
      </c>
      <c r="CX5" s="416" t="s">
        <v>73</v>
      </c>
      <c r="CY5" s="1703"/>
      <c r="CZ5" s="1689"/>
      <c r="DA5" s="1689"/>
      <c r="DB5" s="1689"/>
      <c r="DC5" s="1689"/>
      <c r="DD5" s="1691"/>
    </row>
    <row r="6" spans="1:108" ht="15" customHeight="1">
      <c r="A6" s="280">
        <v>44013</v>
      </c>
      <c r="B6" s="317" t="s">
        <v>31</v>
      </c>
      <c r="C6" s="318">
        <f>COUNTIF('09월 조업일지'!$A$12:$A$952,A6)</f>
        <v>0</v>
      </c>
      <c r="D6" s="319">
        <f>IF(C6&lt;1,0,(SUM(E6:CX6)/(일별반별!BV6-1.5))+(CY6+CZ6+DA6+DB6))</f>
        <v>0</v>
      </c>
      <c r="E6" s="320"/>
      <c r="F6" s="320"/>
      <c r="G6" s="321"/>
      <c r="H6" s="322"/>
      <c r="I6" s="322"/>
      <c r="J6" s="321"/>
      <c r="K6" s="321"/>
      <c r="L6" s="321"/>
      <c r="M6" s="321"/>
      <c r="N6" s="321"/>
      <c r="O6" s="321"/>
      <c r="P6" s="321"/>
      <c r="Q6" s="322"/>
      <c r="R6" s="321"/>
      <c r="S6" s="322"/>
      <c r="T6" s="321"/>
      <c r="U6" s="323" t="str">
        <f>IFERROR(IF($C6&lt;1,"",U$3*일별반별!X6),0)</f>
        <v/>
      </c>
      <c r="V6" s="323" t="str">
        <f>IFERROR(IF($C6&lt;1,"",V$3*일별반별!Y6),0)</f>
        <v/>
      </c>
      <c r="W6" s="323" t="str">
        <f>IFERROR(IF($C6&lt;1,"",W$3*일별반별!Z6),0)</f>
        <v/>
      </c>
      <c r="X6" s="323" t="str">
        <f>IFERROR(IF($C6&lt;1,"",X$3*일별반별!AA6),0)</f>
        <v/>
      </c>
      <c r="Y6" s="323" t="str">
        <f>IFERROR(IF($C6&lt;1,"",Y$3*일별반별!AB6),0)</f>
        <v/>
      </c>
      <c r="Z6" s="323" t="str">
        <f>IFERROR(IF($C6&lt;1,"",Z$3*일별반별!AC6),0)</f>
        <v/>
      </c>
      <c r="AA6" s="323" t="str">
        <f>IFERROR(IF($C6&lt;1,"",AA$3*일별반별!AD6),0)</f>
        <v/>
      </c>
      <c r="AB6" s="323" t="str">
        <f>IFERROR(IF($C6&lt;1,"",AB$3*일별반별!AE6),0)</f>
        <v/>
      </c>
      <c r="AC6" s="323" t="str">
        <f>IFERROR(IF($C6&lt;1,"",AC$3*일별반별!AF6),0)</f>
        <v/>
      </c>
      <c r="AD6" s="323" t="str">
        <f>IFERROR(IF($C6&lt;1,"",AD$3*일별반별!AG6),0)</f>
        <v/>
      </c>
      <c r="AE6" s="323" t="str">
        <f>IFERROR(IF($C6&lt;1,"",AE$3*일별반별!AH6),0)</f>
        <v/>
      </c>
      <c r="AF6" s="323" t="str">
        <f>IFERROR(IF($C6&lt;1,"",AF$3*일별반별!AI6),0)</f>
        <v/>
      </c>
      <c r="AG6" s="323" t="str">
        <f>IFERROR(IF($C6&lt;1,"",AG$3*일별반별!AJ6),0)</f>
        <v/>
      </c>
      <c r="AH6" s="323" t="str">
        <f>IFERROR(IF($C6&lt;1,"",AH$3*일별반별!AK6),0)</f>
        <v/>
      </c>
      <c r="AI6" s="323" t="str">
        <f>IFERROR(IF($C6&lt;1,"",AI$3*일별반별!AL6),0)</f>
        <v/>
      </c>
      <c r="AJ6" s="323" t="str">
        <f>IFERROR(IF($C6&lt;1,"",AJ$3*일별반별!AM6),0)</f>
        <v/>
      </c>
      <c r="AK6" s="323" t="str">
        <f>IFERROR(IF($C6&lt;1,"",AK$3*일별반별!AN6),0)</f>
        <v/>
      </c>
      <c r="AL6" s="323" t="str">
        <f>IFERROR(IF($C6&lt;1,"",AL$3*일별반별!AO6),0)</f>
        <v/>
      </c>
      <c r="AM6" s="323" t="str">
        <f>IFERROR(IF($C6&lt;1,"",AM$3*일별반별!AP6),0)</f>
        <v/>
      </c>
      <c r="AN6" s="323" t="str">
        <f>IFERROR(IF($C6&lt;1,"",AN$3*일별반별!AQ6),0)</f>
        <v/>
      </c>
      <c r="AO6" s="323" t="str">
        <f>IFERROR(IF($C6&lt;1,"",AO$3*일별반별!AR6),0)</f>
        <v/>
      </c>
      <c r="AP6" s="323" t="str">
        <f>IFERROR(IF($C6&lt;1,"",AP$3*일별반별!AS6),0)</f>
        <v/>
      </c>
      <c r="AQ6" s="323" t="str">
        <f>IFERROR(IF($C6&lt;1,"",AQ$3*일별반별!AT6),0)</f>
        <v/>
      </c>
      <c r="AR6" s="323" t="str">
        <f>IFERROR(IF($C6&lt;1,"",AR$3*일별반별!AU6),0)</f>
        <v/>
      </c>
      <c r="AS6" s="324" t="str">
        <f>IFERROR(IF($C6&lt;1,"",AS$3*일별반별!AV6),0)</f>
        <v/>
      </c>
      <c r="AT6" s="324" t="str">
        <f>IFERROR(IF($C6&lt;1,"",AT$3*일별반별!AW6),0)</f>
        <v/>
      </c>
      <c r="AU6" s="324" t="str">
        <f>IFERROR(IF($C6&lt;1,"",AU$3*일별반별!AX6),0)</f>
        <v/>
      </c>
      <c r="AV6" s="324" t="str">
        <f>IFERROR(IF($C6&lt;1,"",AV$3*일별반별!AY6),0)</f>
        <v/>
      </c>
      <c r="AW6" s="324" t="str">
        <f>IFERROR(IF($C6&lt;1,"",AW$3*일별반별!AZ6),0)</f>
        <v/>
      </c>
      <c r="AX6" s="324" t="str">
        <f>IFERROR(IF($C6&lt;1,"",AX$3*일별반별!BA6),0)</f>
        <v/>
      </c>
      <c r="AY6" s="324" t="str">
        <f>IFERROR(IF($C6&lt;1,"",AY$3*일별반별!BB6),0)</f>
        <v/>
      </c>
      <c r="AZ6" s="324" t="str">
        <f>IFERROR(IF($C6&lt;1,"",AZ$3*일별반별!BC6),0)</f>
        <v/>
      </c>
      <c r="BA6" s="324" t="str">
        <f>IFERROR(IF($C6&lt;1,"",BA$3*일별반별!BD6),0)</f>
        <v/>
      </c>
      <c r="BB6" s="324" t="str">
        <f>IFERROR(IF($C6&lt;1,"",BB$3*일별반별!BE6),0)</f>
        <v/>
      </c>
      <c r="BC6" s="324" t="str">
        <f>IFERROR(IF($C6&lt;1,"",BC$3*일별반별!BF6),0)</f>
        <v/>
      </c>
      <c r="BD6" s="324" t="str">
        <f>IFERROR(IF($C6&lt;1,"",BD$3*일별반별!BG6),0)</f>
        <v/>
      </c>
      <c r="BE6" s="324" t="str">
        <f>IFERROR(IF($C6&lt;1,"",BE$3*일별반별!BH6),0)</f>
        <v/>
      </c>
      <c r="BF6" s="324" t="str">
        <f>IFERROR(IF($C6&lt;1,"",BF$3*일별반별!BI6),0)</f>
        <v/>
      </c>
      <c r="BG6" s="324" t="str">
        <f>IFERROR(IF($C6&lt;1,"",BG$3*일별반별!BJ6),0)</f>
        <v/>
      </c>
      <c r="BH6" s="324" t="str">
        <f>IFERROR(IF($C6&lt;1,"",BH$3*일별반별!BK6),0)</f>
        <v/>
      </c>
      <c r="BI6" s="324" t="str">
        <f>IFERROR(IF($C6&lt;1,"",BI$3*일별반별!BL6),0)</f>
        <v/>
      </c>
      <c r="BJ6" s="324" t="str">
        <f>IFERROR(IF($C6&lt;1,"",BJ$3*일별반별!BM6),0)</f>
        <v/>
      </c>
      <c r="BK6" s="324" t="str">
        <f>IFERROR(IF($C6&lt;1,"",BK$3*일별반별!BN6),0)</f>
        <v/>
      </c>
      <c r="BL6" s="324" t="str">
        <f>IFERROR(IF($C6&lt;1,"",BL$3*일별반별!BH6),0)</f>
        <v/>
      </c>
      <c r="BM6" s="324" t="str">
        <f>IFERROR(IF($C6&lt;1,"",BM$3*일별반별!BP6),0)</f>
        <v/>
      </c>
      <c r="BN6" s="324" t="str">
        <f>IFERROR(IF($C6&lt;1,"",BN$3*일별반별!BQ6),0)</f>
        <v/>
      </c>
      <c r="BO6" s="324" t="str">
        <f>IFERROR(IF($C6&lt;1,"",BO$3*일별반별!BR6),0)</f>
        <v/>
      </c>
      <c r="BP6" s="324" t="str">
        <f>IFERROR(IF($C6&lt;1,"",BP$3*일별반별!BS6),0)</f>
        <v/>
      </c>
      <c r="BQ6" s="324" t="str">
        <f>IFERROR(IF($C6&lt;1,"",BQ$3*일별반별!BT6),0)</f>
        <v/>
      </c>
      <c r="BR6" s="323" t="str">
        <f>IFERROR(IF($C6&lt;1,"",BR$3*일별반별!BU6),0)</f>
        <v/>
      </c>
      <c r="BS6" s="323" t="str">
        <f>IFERROR(IF($C6&lt;1,"",BS$3*일별반별!BV6),0)</f>
        <v/>
      </c>
      <c r="BT6" s="323" t="str">
        <f>IFERROR(IF($C6&lt;1,"",BT$3*일별반별!BW6),0)</f>
        <v/>
      </c>
      <c r="BU6" s="323" t="str">
        <f>IFERROR(IF($C6&lt;1,"",BU$3*일별반별!BX6),0)</f>
        <v/>
      </c>
      <c r="BV6" s="323" t="str">
        <f>IFERROR(IF($C6&lt;1,"",BV$3*일별반별!BY6),0)</f>
        <v/>
      </c>
      <c r="BW6" s="323" t="str">
        <f>IFERROR(IF($C6&lt;1,"",BW$3*일별반별!BZ6),0)</f>
        <v/>
      </c>
      <c r="BX6" s="323" t="str">
        <f>IFERROR(IF($C6&lt;1,"",BX$3*일별반별!CA6),0)</f>
        <v/>
      </c>
      <c r="BY6" s="323" t="str">
        <f>IFERROR(IF($C6&lt;1,"",BY$3*일별반별!CB6),0)</f>
        <v/>
      </c>
      <c r="BZ6" s="323" t="str">
        <f>IFERROR(IF($C6&lt;1,"",BZ$3*일별반별!CC6),0)</f>
        <v/>
      </c>
      <c r="CA6" s="323" t="str">
        <f>IFERROR(IF($C6&lt;1,"",CA$3*일별반별!CD6),0)</f>
        <v/>
      </c>
      <c r="CB6" s="323" t="str">
        <f>IFERROR(IF($C6&lt;1,"",CB$3*일별반별!CE6),0)</f>
        <v/>
      </c>
      <c r="CC6" s="323" t="str">
        <f>IFERROR(IF($C6&lt;1,"",CC$3*일별반별!CF6),0)</f>
        <v/>
      </c>
      <c r="CD6" s="323" t="str">
        <f>IFERROR(IF($C6&lt;1,"",CD$3*일별반별!CG6),0)</f>
        <v/>
      </c>
      <c r="CE6" s="323" t="str">
        <f>IFERROR(IF($C6&lt;1,"",CE$3*일별반별!CH6),0)</f>
        <v/>
      </c>
      <c r="CF6" s="323" t="str">
        <f>IFERROR(IF($C6&lt;1,"",CF$3*일별반별!CI6),0)</f>
        <v/>
      </c>
      <c r="CG6" s="323" t="str">
        <f>IFERROR(IF($C6&lt;1,"",CG$3*일별반별!CJ6),0)</f>
        <v/>
      </c>
      <c r="CH6" s="323" t="str">
        <f>IFERROR(IF($C6&lt;1,"",CH$3*일별반별!CK6),0)</f>
        <v/>
      </c>
      <c r="CI6" s="323" t="str">
        <f>IFERROR(IF($C6&lt;1,"",CI$3*일별반별!CL6),0)</f>
        <v/>
      </c>
      <c r="CJ6" s="323" t="str">
        <f>IFERROR(IF($C6&lt;1,"",CJ$3*일별반별!CM6),0)</f>
        <v/>
      </c>
      <c r="CK6" s="323" t="str">
        <f>IFERROR(IF($C6&lt;1,"",CK$3*일별반별!CN6),0)</f>
        <v/>
      </c>
      <c r="CL6" s="323" t="str">
        <f>IFERROR(IF($C6&lt;1,"",CL$3*일별반별!CO6),0)</f>
        <v/>
      </c>
      <c r="CM6" s="323" t="str">
        <f>IFERROR(IF($C6&lt;1,"",CM$3*일별반별!CP6),0)</f>
        <v/>
      </c>
      <c r="CN6" s="323" t="str">
        <f>IFERROR(IF($C6&lt;1,"",CN$3*일별반별!CQ6),0)</f>
        <v/>
      </c>
      <c r="CO6" s="323" t="str">
        <f>IFERROR(IF($C6&lt;1,"",CO$3*일별반별!CR6),0)</f>
        <v/>
      </c>
      <c r="CP6" s="323" t="str">
        <f>IFERROR(IF($C6&lt;1,"",CP$3*일별반별!CS6),0)</f>
        <v/>
      </c>
      <c r="CQ6" s="323" t="str">
        <f>IFERROR(IF($C6&lt;1,"",CQ$3*일별반별!CT6),0)</f>
        <v/>
      </c>
      <c r="CR6" s="325" t="str">
        <f>IFERROR(IF($C6&lt;1,"",CR$3*일별반별!CU6),0)</f>
        <v/>
      </c>
      <c r="CS6" s="325" t="str">
        <f>IFERROR(IF($C6&lt;1,"",CS$3*일별반별!CV6),0)</f>
        <v/>
      </c>
      <c r="CT6" s="323" t="str">
        <f>IFERROR(IF($C6&lt;1,"",CT$3*일별반별!CW6),0)</f>
        <v/>
      </c>
      <c r="CU6" s="323" t="str">
        <f>IFERROR(IF($C6&lt;1,"",CU$3*일별반별!CX6),0)</f>
        <v/>
      </c>
      <c r="CV6" s="323" t="str">
        <f>IFERROR(IF($C6&lt;1,"",CV$3*일별반별!CY6),0)</f>
        <v/>
      </c>
      <c r="CW6" s="323" t="str">
        <f>IFERROR(IF($C6&lt;1,"",CW$3*일별반별!CZ6),0)</f>
        <v/>
      </c>
      <c r="CX6" s="323" t="str">
        <f>IFERROR(IF($C6&lt;1,"",CX$3*일별반별!DA6),0)</f>
        <v/>
      </c>
      <c r="CY6" s="307" t="str">
        <f>IF(C6&lt;1,"",(CY$3*'09월 조업일지'!AV$7))</f>
        <v/>
      </c>
      <c r="CZ6" s="307" t="str">
        <f>IF($C6&lt;1,"",CZ$3)</f>
        <v/>
      </c>
      <c r="DA6" s="307" t="str">
        <f t="shared" ref="DA6:DB21" si="0">IF($C6&lt;1,"",DA$3)</f>
        <v/>
      </c>
      <c r="DB6" s="307" t="str">
        <f t="shared" si="0"/>
        <v/>
      </c>
      <c r="DC6" s="307"/>
      <c r="DD6" s="308"/>
    </row>
    <row r="7" spans="1:108" ht="15" customHeight="1">
      <c r="A7" s="274">
        <f>A6</f>
        <v>44013</v>
      </c>
      <c r="B7" s="275" t="s">
        <v>9</v>
      </c>
      <c r="C7" s="201">
        <f>COUNTIFS('09월 조업일지'!$A$12:$A$952,A6,'09월 조업일지'!$E$12:$E$952,B7)</f>
        <v>0</v>
      </c>
      <c r="D7" s="314">
        <f>IF(C7&lt;1,0,(SUM(E7:CX7)/(일별반별!BV7-1.5))+(CY7+CZ7+DA7+DB7))</f>
        <v>0</v>
      </c>
      <c r="E7" s="278"/>
      <c r="F7" s="281"/>
      <c r="G7" s="282"/>
      <c r="H7" s="283"/>
      <c r="I7" s="283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326"/>
      <c r="U7" s="395" t="str">
        <f>IFERROR(IF($C7&lt;1,"",U$3*일별반별!X7),0)</f>
        <v/>
      </c>
      <c r="V7" s="395" t="str">
        <f>IFERROR(IF($C7&lt;1,"",V$3*일별반별!Y7),0)</f>
        <v/>
      </c>
      <c r="W7" s="395" t="str">
        <f>IFERROR(IF($C7&lt;1,"",W$3*일별반별!Z7),0)</f>
        <v/>
      </c>
      <c r="X7" s="208" t="str">
        <f>IFERROR(IF($C7&lt;1,"",X$3*일별반별!AA7),0)</f>
        <v/>
      </c>
      <c r="Y7" s="208" t="str">
        <f>IFERROR(IF($C7&lt;1,"",Y$3*일별반별!AB7),0)</f>
        <v/>
      </c>
      <c r="Z7" s="208" t="str">
        <f>IFERROR(IF($C7&lt;1,"",Z$3*일별반별!AC7),0)</f>
        <v/>
      </c>
      <c r="AA7" s="395" t="str">
        <f>IFERROR(IF($C7&lt;1,"",AA$3*일별반별!AD7),0)</f>
        <v/>
      </c>
      <c r="AB7" s="395" t="str">
        <f>IFERROR(IF($C7&lt;1,"",AB$3*일별반별!AE7),0)</f>
        <v/>
      </c>
      <c r="AC7" s="208" t="str">
        <f>IFERROR(IF($C7&lt;1,"",AC$3*일별반별!AF7),0)</f>
        <v/>
      </c>
      <c r="AD7" s="208" t="str">
        <f>IFERROR(IF($C7&lt;1,"",AD$3*일별반별!AG7),0)</f>
        <v/>
      </c>
      <c r="AE7" s="208" t="str">
        <f>IFERROR(IF($C7&lt;1,"",AE$3*일별반별!AH7),0)</f>
        <v/>
      </c>
      <c r="AF7" s="395" t="str">
        <f>IFERROR(IF($C7&lt;1,"",AF$3*일별반별!AI7),0)</f>
        <v/>
      </c>
      <c r="AG7" s="395" t="str">
        <f>IFERROR(IF($C7&lt;1,"",AG$3*일별반별!AJ7),0)</f>
        <v/>
      </c>
      <c r="AH7" s="395" t="str">
        <f>IFERROR(IF($C7&lt;1,"",AH$3*일별반별!AK7),0)</f>
        <v/>
      </c>
      <c r="AI7" s="395" t="str">
        <f>IFERROR(IF($C7&lt;1,"",AI$3*일별반별!AL7),0)</f>
        <v/>
      </c>
      <c r="AJ7" s="395" t="str">
        <f>IFERROR(IF($C7&lt;1,"",AJ$3*일별반별!AM7),0)</f>
        <v/>
      </c>
      <c r="AK7" s="395" t="str">
        <f>IFERROR(IF($C7&lt;1,"",AK$3*일별반별!AN7),0)</f>
        <v/>
      </c>
      <c r="AL7" s="395" t="str">
        <f>IFERROR(IF($C7&lt;1,"",AL$3*일별반별!AO7),0)</f>
        <v/>
      </c>
      <c r="AM7" s="395" t="str">
        <f>IFERROR(IF($C7&lt;1,"",AM$3*일별반별!AP7),0)</f>
        <v/>
      </c>
      <c r="AN7" s="395" t="str">
        <f>IFERROR(IF($C7&lt;1,"",AN$3*일별반별!AQ7),0)</f>
        <v/>
      </c>
      <c r="AO7" s="395" t="str">
        <f>IFERROR(IF($C7&lt;1,"",AO$3*일별반별!AR7),0)</f>
        <v/>
      </c>
      <c r="AP7" s="347" t="str">
        <f>IFERROR(IF($C7&lt;1,"",AP$3*일별반별!AS7),0)</f>
        <v/>
      </c>
      <c r="AQ7" s="347" t="str">
        <f>IFERROR(IF($C7&lt;1,"",AQ$3*일별반별!AT7),0)</f>
        <v/>
      </c>
      <c r="AR7" s="316" t="str">
        <f>IFERROR(IF($C7&lt;1,"",AR$3*일별반별!AU7),0)</f>
        <v/>
      </c>
      <c r="AS7" s="401" t="str">
        <f>IFERROR(IF($C7&lt;1,"",AS$3*일별반별!AV7),0)</f>
        <v/>
      </c>
      <c r="AT7" s="401" t="str">
        <f>IFERROR(IF($C7&lt;1,"",AT$3*일별반별!AW7),0)</f>
        <v/>
      </c>
      <c r="AU7" s="401" t="str">
        <f>IFERROR(IF($C7&lt;1,"",AU$3*일별반별!AX7),0)</f>
        <v/>
      </c>
      <c r="AV7" s="401" t="str">
        <f>IFERROR(IF($C7&lt;1,"",AV$3*일별반별!AY7),0)</f>
        <v/>
      </c>
      <c r="AW7" s="401" t="str">
        <f>IFERROR(IF($C7&lt;1,"",AW$3*일별반별!AZ7),0)</f>
        <v/>
      </c>
      <c r="AX7" s="401" t="str">
        <f>IFERROR(IF($C7&lt;1,"",AX$3*일별반별!BA7),0)</f>
        <v/>
      </c>
      <c r="AY7" s="401" t="str">
        <f>IFERROR(IF($C7&lt;1,"",AY$3*일별반별!BB7),0)</f>
        <v/>
      </c>
      <c r="AZ7" s="401" t="str">
        <f>IFERROR(IF($C7&lt;1,"",AZ$3*일별반별!BC7),0)</f>
        <v/>
      </c>
      <c r="BA7" s="401" t="str">
        <f>IFERROR(IF($C7&lt;1,"",BA$3*일별반별!BD7),0)</f>
        <v/>
      </c>
      <c r="BB7" s="402" t="str">
        <f>IFERROR(IF($C7&lt;1,"",BB$3*일별반별!BE7),0)</f>
        <v/>
      </c>
      <c r="BC7" s="402" t="str">
        <f>IFERROR(IF($C7&lt;1,"",BC$3*일별반별!BF7),0)</f>
        <v/>
      </c>
      <c r="BD7" s="402" t="str">
        <f>IFERROR(IF($C7&lt;1,"",BD$3*일별반별!BG7),0)</f>
        <v/>
      </c>
      <c r="BE7" s="402" t="str">
        <f>IFERROR(IF($C7&lt;1,"",BE$3*일별반별!BH7),0)</f>
        <v/>
      </c>
      <c r="BF7" s="402" t="str">
        <f>IFERROR(IF($C7&lt;1,"",BF$3*일별반별!BI7),0)</f>
        <v/>
      </c>
      <c r="BG7" s="402" t="str">
        <f>IFERROR(IF($C7&lt;1,"",BG$3*일별반별!BJ7),0)</f>
        <v/>
      </c>
      <c r="BH7" s="402" t="str">
        <f>IFERROR(IF($C7&lt;1,"",BH$3*일별반별!BK7),0)</f>
        <v/>
      </c>
      <c r="BI7" s="402" t="str">
        <f>IFERROR(IF($C7&lt;1,"",BI$3*일별반별!BL7),0)</f>
        <v/>
      </c>
      <c r="BJ7" s="402" t="str">
        <f>IFERROR(IF($C7&lt;1,"",BJ$3*일별반별!BM7),0)</f>
        <v/>
      </c>
      <c r="BK7" s="402" t="str">
        <f>IFERROR(IF($C7&lt;1,"",BK$3*일별반별!BN7),0)</f>
        <v/>
      </c>
      <c r="BL7" s="402" t="str">
        <f>IFERROR(IF($C7&lt;1,"",BL$3*일별반별!BH7),0)</f>
        <v/>
      </c>
      <c r="BM7" s="402" t="str">
        <f>IFERROR(IF($C7&lt;1,"",BM$3*일별반별!BP7),0)</f>
        <v/>
      </c>
      <c r="BN7" s="401" t="str">
        <f>IFERROR(IF($C7&lt;1,"",BN$3*일별반별!BQ7),0)</f>
        <v/>
      </c>
      <c r="BO7" s="401" t="str">
        <f>IFERROR(IF($C7&lt;1,"",BO$3*일별반별!BR7),0)</f>
        <v/>
      </c>
      <c r="BP7" s="401" t="str">
        <f>IFERROR(IF($C7&lt;1,"",BP$3*일별반별!BS7),0)</f>
        <v/>
      </c>
      <c r="BQ7" s="401" t="str">
        <f>IFERROR(IF($C7&lt;1,"",BQ$3*일별반별!BT7),0)</f>
        <v/>
      </c>
      <c r="BR7" s="417" t="str">
        <f>IFERROR(IF($C7&lt;1,"",BR$3*일별반별!BU7),0)</f>
        <v/>
      </c>
      <c r="BS7" s="417" t="str">
        <f>IFERROR(IF($C7&lt;1,"",BS$3*일별반별!BV7),0)</f>
        <v/>
      </c>
      <c r="BT7" s="417" t="str">
        <f>IFERROR(IF($C7&lt;1,"",BT$3*일별반별!BW7),0)</f>
        <v/>
      </c>
      <c r="BU7" s="316" t="str">
        <f>IFERROR(IF($C7&lt;1,"",BU$3*일별반별!BX7),0)</f>
        <v/>
      </c>
      <c r="BV7" s="316" t="str">
        <f>IFERROR(IF($C7&lt;1,"",BV$3*일별반별!BY7),0)</f>
        <v/>
      </c>
      <c r="BW7" s="316" t="str">
        <f>IFERROR(IF($C7&lt;1,"",BW$3*일별반별!BZ7),0)</f>
        <v/>
      </c>
      <c r="BX7" s="316" t="str">
        <f>IFERROR(IF($C7&lt;1,"",BX$3*일별반별!CA7),0)</f>
        <v/>
      </c>
      <c r="BY7" s="316" t="str">
        <f>IFERROR(IF($C7&lt;1,"",BY$3*일별반별!CB7),0)</f>
        <v/>
      </c>
      <c r="BZ7" s="316" t="str">
        <f>IFERROR(IF($C7&lt;1,"",BZ$3*일별반별!CC7),0)</f>
        <v/>
      </c>
      <c r="CA7" s="316" t="str">
        <f>IFERROR(IF($C7&lt;1,"",CA$3*일별반별!CD7),0)</f>
        <v/>
      </c>
      <c r="CB7" s="316" t="str">
        <f>IFERROR(IF($C7&lt;1,"",CB$3*일별반별!CE7),0)</f>
        <v/>
      </c>
      <c r="CC7" s="316" t="str">
        <f>IFERROR(IF($C7&lt;1,"",CC$3*일별반별!CF7),0)</f>
        <v/>
      </c>
      <c r="CD7" s="316" t="str">
        <f>IFERROR(IF($C7&lt;1,"",CD$3*일별반별!CG7),0)</f>
        <v/>
      </c>
      <c r="CE7" s="316" t="str">
        <f>IFERROR(IF($C7&lt;1,"",CE$3*일별반별!CH7),0)</f>
        <v/>
      </c>
      <c r="CF7" s="316" t="str">
        <f>IFERROR(IF($C7&lt;1,"",CF$3*일별반별!CI7),0)</f>
        <v/>
      </c>
      <c r="CG7" s="316" t="str">
        <f>IFERROR(IF($C7&lt;1,"",CG$3*일별반별!CJ7),0)</f>
        <v/>
      </c>
      <c r="CH7" s="316" t="str">
        <f>IFERROR(IF($C7&lt;1,"",CH$3*일별반별!CK7),0)</f>
        <v/>
      </c>
      <c r="CI7" s="316" t="str">
        <f>IFERROR(IF($C7&lt;1,"",CI$3*일별반별!CL7),0)</f>
        <v/>
      </c>
      <c r="CJ7" s="316" t="str">
        <f>IFERROR(IF($C7&lt;1,"",CJ$3*일별반별!CM7),0)</f>
        <v/>
      </c>
      <c r="CK7" s="316" t="str">
        <f>IFERROR(IF($C7&lt;1,"",CK$3*일별반별!CN7),0)</f>
        <v/>
      </c>
      <c r="CL7" s="316" t="str">
        <f>IFERROR(IF($C7&lt;1,"",CL$3*일별반별!CO7),0)</f>
        <v/>
      </c>
      <c r="CM7" s="316" t="str">
        <f>IFERROR(IF($C7&lt;1,"",CM$3*일별반별!CP7),0)</f>
        <v/>
      </c>
      <c r="CN7" s="316" t="str">
        <f>IFERROR(IF($C7&lt;1,"",CN$3*일별반별!CQ7),0)</f>
        <v/>
      </c>
      <c r="CO7" s="316" t="str">
        <f>IFERROR(IF($C7&lt;1,"",CO$3*일별반별!CR7),0)</f>
        <v/>
      </c>
      <c r="CP7" s="316" t="str">
        <f>IFERROR(IF($C7&lt;1,"",CP$3*일별반별!CS7),0)</f>
        <v/>
      </c>
      <c r="CQ7" s="316" t="str">
        <f>IFERROR(IF($C7&lt;1,"",CQ$3*일별반별!CT7),0)</f>
        <v/>
      </c>
      <c r="CR7" s="418" t="str">
        <f>IFERROR(IF($C7&lt;1,"",CR$3*일별반별!CU7),0)</f>
        <v/>
      </c>
      <c r="CS7" s="418" t="str">
        <f>IFERROR(IF($C7&lt;1,"",CS$3*일별반별!CV7),0)</f>
        <v/>
      </c>
      <c r="CT7" s="316" t="str">
        <f>IFERROR(IF($C7&lt;1,"",CT$3*일별반별!CW7),0)</f>
        <v/>
      </c>
      <c r="CU7" s="316" t="str">
        <f>IFERROR(IF($C7&lt;1,"",CU$3*일별반별!CX7),0)</f>
        <v/>
      </c>
      <c r="CV7" s="316" t="str">
        <f>IFERROR(IF($C7&lt;1,"",CV$3*일별반별!CY7),0)</f>
        <v/>
      </c>
      <c r="CW7" s="316" t="str">
        <f>IFERROR(IF($C7&lt;1,"",CW$3*일별반별!CZ7),0)</f>
        <v/>
      </c>
      <c r="CX7" s="316" t="str">
        <f>IFERROR(IF($C7&lt;1,"",CX$3*일별반별!DA7),0)</f>
        <v/>
      </c>
      <c r="CY7" s="316" t="str">
        <f>IF(C7&lt;1,"",(CY$3*'09월 조업일지'!AV$7))</f>
        <v/>
      </c>
      <c r="CZ7" s="316" t="str">
        <f t="shared" ref="CZ7:DB38" si="1">IF($C7&lt;1,"",CZ$3)</f>
        <v/>
      </c>
      <c r="DA7" s="316" t="str">
        <f t="shared" si="0"/>
        <v/>
      </c>
      <c r="DB7" s="316" t="str">
        <f t="shared" si="0"/>
        <v/>
      </c>
      <c r="DC7" s="316"/>
      <c r="DD7" s="419"/>
    </row>
    <row r="8" spans="1:108" ht="15" customHeight="1">
      <c r="A8" s="274">
        <f>A6</f>
        <v>44013</v>
      </c>
      <c r="B8" s="275" t="s">
        <v>100</v>
      </c>
      <c r="C8" s="201">
        <f>COUNTIFS('09월 조업일지'!$A$12:$A$952,A6,'09월 조업일지'!$E$12:$E$952,B8)</f>
        <v>0</v>
      </c>
      <c r="D8" s="314">
        <f>IF(C8&lt;1,0,(SUM(E8:CX8)/(일별반별!BV8-1.5))+(CY8+CZ8+DA8+DB8))</f>
        <v>0</v>
      </c>
      <c r="E8" s="278"/>
      <c r="F8" s="281"/>
      <c r="G8" s="282"/>
      <c r="H8" s="283"/>
      <c r="I8" s="283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326"/>
      <c r="U8" s="395" t="str">
        <f>IFERROR(IF($C8&lt;1,"",U$3*일별반별!X8),0)</f>
        <v/>
      </c>
      <c r="V8" s="395" t="str">
        <f>IFERROR(IF($C8&lt;1,"",V$3*일별반별!Y8),0)</f>
        <v/>
      </c>
      <c r="W8" s="395" t="str">
        <f>IFERROR(IF($C8&lt;1,"",W$3*일별반별!Z8),0)</f>
        <v/>
      </c>
      <c r="X8" s="208" t="str">
        <f>IFERROR(IF($C8&lt;1,"",X$3*일별반별!AA8),0)</f>
        <v/>
      </c>
      <c r="Y8" s="208" t="str">
        <f>IFERROR(IF($C8&lt;1,"",Y$3*일별반별!AB8),0)</f>
        <v/>
      </c>
      <c r="Z8" s="208" t="str">
        <f>IFERROR(IF($C8&lt;1,"",Z$3*일별반별!AC8),0)</f>
        <v/>
      </c>
      <c r="AA8" s="395" t="str">
        <f>IFERROR(IF($C8&lt;1,"",AA$3*일별반별!AD8),0)</f>
        <v/>
      </c>
      <c r="AB8" s="395" t="str">
        <f>IFERROR(IF($C8&lt;1,"",AB$3*일별반별!AE8),0)</f>
        <v/>
      </c>
      <c r="AC8" s="208" t="str">
        <f>IFERROR(IF($C8&lt;1,"",AC$3*일별반별!AF8),0)</f>
        <v/>
      </c>
      <c r="AD8" s="208" t="str">
        <f>IFERROR(IF($C8&lt;1,"",AD$3*일별반별!AG8),0)</f>
        <v/>
      </c>
      <c r="AE8" s="208" t="str">
        <f>IFERROR(IF($C8&lt;1,"",AE$3*일별반별!AH8),0)</f>
        <v/>
      </c>
      <c r="AF8" s="395" t="str">
        <f>IFERROR(IF($C8&lt;1,"",AF$3*일별반별!AI8),0)</f>
        <v/>
      </c>
      <c r="AG8" s="395" t="str">
        <f>IFERROR(IF($C8&lt;1,"",AG$3*일별반별!AJ8),0)</f>
        <v/>
      </c>
      <c r="AH8" s="395" t="str">
        <f>IFERROR(IF($C8&lt;1,"",AH$3*일별반별!AK8),0)</f>
        <v/>
      </c>
      <c r="AI8" s="395" t="str">
        <f>IFERROR(IF($C8&lt;1,"",AI$3*일별반별!AL8),0)</f>
        <v/>
      </c>
      <c r="AJ8" s="395" t="str">
        <f>IFERROR(IF($C8&lt;1,"",AJ$3*일별반별!AM8),0)</f>
        <v/>
      </c>
      <c r="AK8" s="395" t="str">
        <f>IFERROR(IF($C8&lt;1,"",AK$3*일별반별!AN8),0)</f>
        <v/>
      </c>
      <c r="AL8" s="395" t="str">
        <f>IFERROR(IF($C8&lt;1,"",AL$3*일별반별!AO8),0)</f>
        <v/>
      </c>
      <c r="AM8" s="395" t="str">
        <f>IFERROR(IF($C8&lt;1,"",AM$3*일별반별!AP8),0)</f>
        <v/>
      </c>
      <c r="AN8" s="395" t="str">
        <f>IFERROR(IF($C8&lt;1,"",AN$3*일별반별!AQ8),0)</f>
        <v/>
      </c>
      <c r="AO8" s="395" t="str">
        <f>IFERROR(IF($C8&lt;1,"",AO$3*일별반별!AR8),0)</f>
        <v/>
      </c>
      <c r="AP8" s="347" t="str">
        <f>IFERROR(IF($C8&lt;1,"",AP$3*일별반별!AS8),0)</f>
        <v/>
      </c>
      <c r="AQ8" s="347" t="str">
        <f>IFERROR(IF($C8&lt;1,"",AQ$3*일별반별!AT8),0)</f>
        <v/>
      </c>
      <c r="AR8" s="316" t="str">
        <f>IFERROR(IF($C8&lt;1,"",AR$3*일별반별!AU8),0)</f>
        <v/>
      </c>
      <c r="AS8" s="401" t="str">
        <f>IFERROR(IF($C8&lt;1,"",AS$3*일별반별!AV8),0)</f>
        <v/>
      </c>
      <c r="AT8" s="401" t="str">
        <f>IFERROR(IF($C8&lt;1,"",AT$3*일별반별!AW8),0)</f>
        <v/>
      </c>
      <c r="AU8" s="401" t="str">
        <f>IFERROR(IF($C8&lt;1,"",AU$3*일별반별!AX8),0)</f>
        <v/>
      </c>
      <c r="AV8" s="401" t="str">
        <f>IFERROR(IF($C8&lt;1,"",AV$3*일별반별!AY8),0)</f>
        <v/>
      </c>
      <c r="AW8" s="401" t="str">
        <f>IFERROR(IF($C8&lt;1,"",AW$3*일별반별!AZ8),0)</f>
        <v/>
      </c>
      <c r="AX8" s="401" t="str">
        <f>IFERROR(IF($C8&lt;1,"",AX$3*일별반별!BA8),0)</f>
        <v/>
      </c>
      <c r="AY8" s="401" t="str">
        <f>IFERROR(IF($C8&lt;1,"",AY$3*일별반별!BB8),0)</f>
        <v/>
      </c>
      <c r="AZ8" s="401" t="str">
        <f>IFERROR(IF($C8&lt;1,"",AZ$3*일별반별!BC8),0)</f>
        <v/>
      </c>
      <c r="BA8" s="401" t="str">
        <f>IFERROR(IF($C8&lt;1,"",BA$3*일별반별!BD8),0)</f>
        <v/>
      </c>
      <c r="BB8" s="402" t="str">
        <f>IFERROR(IF($C8&lt;1,"",BB$3*일별반별!BE8),0)</f>
        <v/>
      </c>
      <c r="BC8" s="402" t="str">
        <f>IFERROR(IF($C8&lt;1,"",BC$3*일별반별!BF8),0)</f>
        <v/>
      </c>
      <c r="BD8" s="402" t="str">
        <f>IFERROR(IF($C8&lt;1,"",BD$3*일별반별!BG8),0)</f>
        <v/>
      </c>
      <c r="BE8" s="402" t="str">
        <f>IFERROR(IF($C8&lt;1,"",BE$3*일별반별!BH8),0)</f>
        <v/>
      </c>
      <c r="BF8" s="402" t="str">
        <f>IFERROR(IF($C8&lt;1,"",BF$3*일별반별!BI8),0)</f>
        <v/>
      </c>
      <c r="BG8" s="402" t="str">
        <f>IFERROR(IF($C8&lt;1,"",BG$3*일별반별!BJ8),0)</f>
        <v/>
      </c>
      <c r="BH8" s="402" t="str">
        <f>IFERROR(IF($C8&lt;1,"",BH$3*일별반별!BK8),0)</f>
        <v/>
      </c>
      <c r="BI8" s="402" t="str">
        <f>IFERROR(IF($C8&lt;1,"",BI$3*일별반별!BL8),0)</f>
        <v/>
      </c>
      <c r="BJ8" s="402" t="str">
        <f>IFERROR(IF($C8&lt;1,"",BJ$3*일별반별!BM8),0)</f>
        <v/>
      </c>
      <c r="BK8" s="402" t="str">
        <f>IFERROR(IF($C8&lt;1,"",BK$3*일별반별!BN8),0)</f>
        <v/>
      </c>
      <c r="BL8" s="402" t="str">
        <f>IFERROR(IF($C8&lt;1,"",BL$3*일별반별!BH8),0)</f>
        <v/>
      </c>
      <c r="BM8" s="402" t="str">
        <f>IFERROR(IF($C8&lt;1,"",BM$3*일별반별!BP8),0)</f>
        <v/>
      </c>
      <c r="BN8" s="401" t="str">
        <f>IFERROR(IF($C8&lt;1,"",BN$3*일별반별!BQ8),0)</f>
        <v/>
      </c>
      <c r="BO8" s="401" t="str">
        <f>IFERROR(IF($C8&lt;1,"",BO$3*일별반별!BR8),0)</f>
        <v/>
      </c>
      <c r="BP8" s="401" t="str">
        <f>IFERROR(IF($C8&lt;1,"",BP$3*일별반별!BS8),0)</f>
        <v/>
      </c>
      <c r="BQ8" s="401" t="str">
        <f>IFERROR(IF($C8&lt;1,"",BQ$3*일별반별!BT8),0)</f>
        <v/>
      </c>
      <c r="BR8" s="417" t="str">
        <f>IFERROR(IF($C8&lt;1,"",BR$3*일별반별!BU8),0)</f>
        <v/>
      </c>
      <c r="BS8" s="417" t="str">
        <f>IFERROR(IF($C8&lt;1,"",BS$3*일별반별!BV8),0)</f>
        <v/>
      </c>
      <c r="BT8" s="417" t="str">
        <f>IFERROR(IF($C8&lt;1,"",BT$3*일별반별!BW8),0)</f>
        <v/>
      </c>
      <c r="BU8" s="316" t="str">
        <f>IFERROR(IF($C8&lt;1,"",BU$3*일별반별!BX8),0)</f>
        <v/>
      </c>
      <c r="BV8" s="316" t="str">
        <f>IFERROR(IF($C8&lt;1,"",BV$3*일별반별!BY8),0)</f>
        <v/>
      </c>
      <c r="BW8" s="316" t="str">
        <f>IFERROR(IF($C8&lt;1,"",BW$3*일별반별!BZ8),0)</f>
        <v/>
      </c>
      <c r="BX8" s="316" t="str">
        <f>IFERROR(IF($C8&lt;1,"",BX$3*일별반별!CA8),0)</f>
        <v/>
      </c>
      <c r="BY8" s="316" t="str">
        <f>IFERROR(IF($C8&lt;1,"",BY$3*일별반별!CB8),0)</f>
        <v/>
      </c>
      <c r="BZ8" s="316" t="str">
        <f>IFERROR(IF($C8&lt;1,"",BZ$3*일별반별!CC8),0)</f>
        <v/>
      </c>
      <c r="CA8" s="316" t="str">
        <f>IFERROR(IF($C8&lt;1,"",CA$3*일별반별!CD8),0)</f>
        <v/>
      </c>
      <c r="CB8" s="316" t="str">
        <f>IFERROR(IF($C8&lt;1,"",CB$3*일별반별!CE8),0)</f>
        <v/>
      </c>
      <c r="CC8" s="316" t="str">
        <f>IFERROR(IF($C8&lt;1,"",CC$3*일별반별!CF8),0)</f>
        <v/>
      </c>
      <c r="CD8" s="316" t="str">
        <f>IFERROR(IF($C8&lt;1,"",CD$3*일별반별!CG8),0)</f>
        <v/>
      </c>
      <c r="CE8" s="316" t="str">
        <f>IFERROR(IF($C8&lt;1,"",CE$3*일별반별!CH8),0)</f>
        <v/>
      </c>
      <c r="CF8" s="316" t="str">
        <f>IFERROR(IF($C8&lt;1,"",CF$3*일별반별!CI8),0)</f>
        <v/>
      </c>
      <c r="CG8" s="316" t="str">
        <f>IFERROR(IF($C8&lt;1,"",CG$3*일별반별!CJ8),0)</f>
        <v/>
      </c>
      <c r="CH8" s="316" t="str">
        <f>IFERROR(IF($C8&lt;1,"",CH$3*일별반별!CK8),0)</f>
        <v/>
      </c>
      <c r="CI8" s="316" t="str">
        <f>IFERROR(IF($C8&lt;1,"",CI$3*일별반별!CL8),0)</f>
        <v/>
      </c>
      <c r="CJ8" s="316" t="str">
        <f>IFERROR(IF($C8&lt;1,"",CJ$3*일별반별!CM8),0)</f>
        <v/>
      </c>
      <c r="CK8" s="316" t="str">
        <f>IFERROR(IF($C8&lt;1,"",CK$3*일별반별!CN8),0)</f>
        <v/>
      </c>
      <c r="CL8" s="316" t="str">
        <f>IFERROR(IF($C8&lt;1,"",CL$3*일별반별!CO8),0)</f>
        <v/>
      </c>
      <c r="CM8" s="316" t="str">
        <f>IFERROR(IF($C8&lt;1,"",CM$3*일별반별!CP8),0)</f>
        <v/>
      </c>
      <c r="CN8" s="316" t="str">
        <f>IFERROR(IF($C8&lt;1,"",CN$3*일별반별!CQ8),0)</f>
        <v/>
      </c>
      <c r="CO8" s="316" t="str">
        <f>IFERROR(IF($C8&lt;1,"",CO$3*일별반별!CR8),0)</f>
        <v/>
      </c>
      <c r="CP8" s="316" t="str">
        <f>IFERROR(IF($C8&lt;1,"",CP$3*일별반별!CS8),0)</f>
        <v/>
      </c>
      <c r="CQ8" s="316" t="str">
        <f>IFERROR(IF($C8&lt;1,"",CQ$3*일별반별!CT8),0)</f>
        <v/>
      </c>
      <c r="CR8" s="418" t="str">
        <f>IFERROR(IF($C8&lt;1,"",CR$3*일별반별!CU8),0)</f>
        <v/>
      </c>
      <c r="CS8" s="418" t="str">
        <f>IFERROR(IF($C8&lt;1,"",CS$3*일별반별!CV8),0)</f>
        <v/>
      </c>
      <c r="CT8" s="316" t="str">
        <f>IFERROR(IF($C8&lt;1,"",CT$3*일별반별!CW8),0)</f>
        <v/>
      </c>
      <c r="CU8" s="316" t="str">
        <f>IFERROR(IF($C8&lt;1,"",CU$3*일별반별!CX8),0)</f>
        <v/>
      </c>
      <c r="CV8" s="316" t="str">
        <f>IFERROR(IF($C8&lt;1,"",CV$3*일별반별!CY8),0)</f>
        <v/>
      </c>
      <c r="CW8" s="316" t="str">
        <f>IFERROR(IF($C8&lt;1,"",CW$3*일별반별!CZ8),0)</f>
        <v/>
      </c>
      <c r="CX8" s="316" t="str">
        <f>IFERROR(IF($C8&lt;1,"",CX$3*일별반별!DA8),0)</f>
        <v/>
      </c>
      <c r="CY8" s="316" t="str">
        <f>IF(C8&lt;1,"",(CY$3*'09월 조업일지'!AV$7))</f>
        <v/>
      </c>
      <c r="CZ8" s="316" t="str">
        <f t="shared" si="1"/>
        <v/>
      </c>
      <c r="DA8" s="316" t="str">
        <f t="shared" si="0"/>
        <v/>
      </c>
      <c r="DB8" s="316" t="str">
        <f t="shared" si="0"/>
        <v/>
      </c>
      <c r="DC8" s="316"/>
      <c r="DD8" s="419"/>
    </row>
    <row r="9" spans="1:108" ht="15" customHeight="1">
      <c r="A9" s="274">
        <f>A6</f>
        <v>44013</v>
      </c>
      <c r="B9" s="275" t="s">
        <v>10</v>
      </c>
      <c r="C9" s="201">
        <f>COUNTIFS('09월 조업일지'!$A$12:$A$952,A6,'09월 조업일지'!$E$12:$E$952,B9)</f>
        <v>0</v>
      </c>
      <c r="D9" s="314">
        <f>IF(C9&lt;1,0,(SUM(E9:CX9)/(일별반별!BV9-1.5))+(CY9+CZ9+DA9+DB9))</f>
        <v>0</v>
      </c>
      <c r="E9" s="278"/>
      <c r="F9" s="281"/>
      <c r="G9" s="282"/>
      <c r="H9" s="283"/>
      <c r="I9" s="283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326"/>
      <c r="U9" s="395" t="str">
        <f>IFERROR(IF($C9&lt;1,"",U$3*일별반별!X9),0)</f>
        <v/>
      </c>
      <c r="V9" s="395" t="str">
        <f>IFERROR(IF($C9&lt;1,"",V$3*일별반별!Y9),0)</f>
        <v/>
      </c>
      <c r="W9" s="395" t="str">
        <f>IFERROR(IF($C9&lt;1,"",W$3*일별반별!Z9),0)</f>
        <v/>
      </c>
      <c r="X9" s="208" t="str">
        <f>IFERROR(IF($C9&lt;1,"",X$3*일별반별!AA9),0)</f>
        <v/>
      </c>
      <c r="Y9" s="208" t="str">
        <f>IFERROR(IF($C9&lt;1,"",Y$3*일별반별!AB9),0)</f>
        <v/>
      </c>
      <c r="Z9" s="208" t="str">
        <f>IFERROR(IF($C9&lt;1,"",Z$3*일별반별!AC9),0)</f>
        <v/>
      </c>
      <c r="AA9" s="395" t="str">
        <f>IFERROR(IF($C9&lt;1,"",AA$3*일별반별!AD9),0)</f>
        <v/>
      </c>
      <c r="AB9" s="395" t="str">
        <f>IFERROR(IF($C9&lt;1,"",AB$3*일별반별!AE9),0)</f>
        <v/>
      </c>
      <c r="AC9" s="208" t="str">
        <f>IFERROR(IF($C9&lt;1,"",AC$3*일별반별!AF9),0)</f>
        <v/>
      </c>
      <c r="AD9" s="208" t="str">
        <f>IFERROR(IF($C9&lt;1,"",AD$3*일별반별!AG9),0)</f>
        <v/>
      </c>
      <c r="AE9" s="208" t="str">
        <f>IFERROR(IF($C9&lt;1,"",AE$3*일별반별!AH9),0)</f>
        <v/>
      </c>
      <c r="AF9" s="395" t="str">
        <f>IFERROR(IF($C9&lt;1,"",AF$3*일별반별!AI9),0)</f>
        <v/>
      </c>
      <c r="AG9" s="395" t="str">
        <f>IFERROR(IF($C9&lt;1,"",AG$3*일별반별!AJ9),0)</f>
        <v/>
      </c>
      <c r="AH9" s="395" t="str">
        <f>IFERROR(IF($C9&lt;1,"",AH$3*일별반별!AK9),0)</f>
        <v/>
      </c>
      <c r="AI9" s="395" t="str">
        <f>IFERROR(IF($C9&lt;1,"",AI$3*일별반별!AL9),0)</f>
        <v/>
      </c>
      <c r="AJ9" s="395" t="str">
        <f>IFERROR(IF($C9&lt;1,"",AJ$3*일별반별!AM9),0)</f>
        <v/>
      </c>
      <c r="AK9" s="395" t="str">
        <f>IFERROR(IF($C9&lt;1,"",AK$3*일별반별!AN9),0)</f>
        <v/>
      </c>
      <c r="AL9" s="395" t="str">
        <f>IFERROR(IF($C9&lt;1,"",AL$3*일별반별!AO9),0)</f>
        <v/>
      </c>
      <c r="AM9" s="395" t="str">
        <f>IFERROR(IF($C9&lt;1,"",AM$3*일별반별!AP9),0)</f>
        <v/>
      </c>
      <c r="AN9" s="395" t="str">
        <f>IFERROR(IF($C9&lt;1,"",AN$3*일별반별!AQ9),0)</f>
        <v/>
      </c>
      <c r="AO9" s="395" t="str">
        <f>IFERROR(IF($C9&lt;1,"",AO$3*일별반별!AR9),0)</f>
        <v/>
      </c>
      <c r="AP9" s="347" t="str">
        <f>IFERROR(IF($C9&lt;1,"",AP$3*일별반별!AS9),0)</f>
        <v/>
      </c>
      <c r="AQ9" s="347" t="str">
        <f>IFERROR(IF($C9&lt;1,"",AQ$3*일별반별!AT9),0)</f>
        <v/>
      </c>
      <c r="AR9" s="316" t="str">
        <f>IFERROR(IF($C9&lt;1,"",AR$3*일별반별!AU9),0)</f>
        <v/>
      </c>
      <c r="AS9" s="401" t="str">
        <f>IFERROR(IF($C9&lt;1,"",AS$3*일별반별!AV9),0)</f>
        <v/>
      </c>
      <c r="AT9" s="401" t="str">
        <f>IFERROR(IF($C9&lt;1,"",AT$3*일별반별!AW9),0)</f>
        <v/>
      </c>
      <c r="AU9" s="401" t="str">
        <f>IFERROR(IF($C9&lt;1,"",AU$3*일별반별!AX9),0)</f>
        <v/>
      </c>
      <c r="AV9" s="401" t="str">
        <f>IFERROR(IF($C9&lt;1,"",AV$3*일별반별!AY9),0)</f>
        <v/>
      </c>
      <c r="AW9" s="401" t="str">
        <f>IFERROR(IF($C9&lt;1,"",AW$3*일별반별!AZ9),0)</f>
        <v/>
      </c>
      <c r="AX9" s="401" t="str">
        <f>IFERROR(IF($C9&lt;1,"",AX$3*일별반별!BA9),0)</f>
        <v/>
      </c>
      <c r="AY9" s="401" t="str">
        <f>IFERROR(IF($C9&lt;1,"",AY$3*일별반별!BB9),0)</f>
        <v/>
      </c>
      <c r="AZ9" s="401" t="str">
        <f>IFERROR(IF($C9&lt;1,"",AZ$3*일별반별!BC9),0)</f>
        <v/>
      </c>
      <c r="BA9" s="401" t="str">
        <f>IFERROR(IF($C9&lt;1,"",BA$3*일별반별!BD9),0)</f>
        <v/>
      </c>
      <c r="BB9" s="402" t="str">
        <f>IFERROR(IF($C9&lt;1,"",BB$3*일별반별!BE9),0)</f>
        <v/>
      </c>
      <c r="BC9" s="402" t="str">
        <f>IFERROR(IF($C9&lt;1,"",BC$3*일별반별!BF9),0)</f>
        <v/>
      </c>
      <c r="BD9" s="402" t="str">
        <f>IFERROR(IF($C9&lt;1,"",BD$3*일별반별!BG9),0)</f>
        <v/>
      </c>
      <c r="BE9" s="402" t="str">
        <f>IFERROR(IF($C9&lt;1,"",BE$3*일별반별!BH9),0)</f>
        <v/>
      </c>
      <c r="BF9" s="402" t="str">
        <f>IFERROR(IF($C9&lt;1,"",BF$3*일별반별!BI9),0)</f>
        <v/>
      </c>
      <c r="BG9" s="402" t="str">
        <f>IFERROR(IF($C9&lt;1,"",BG$3*일별반별!BJ9),0)</f>
        <v/>
      </c>
      <c r="BH9" s="402" t="str">
        <f>IFERROR(IF($C9&lt;1,"",BH$3*일별반별!BK9),0)</f>
        <v/>
      </c>
      <c r="BI9" s="402" t="str">
        <f>IFERROR(IF($C9&lt;1,"",BI$3*일별반별!BL9),0)</f>
        <v/>
      </c>
      <c r="BJ9" s="402" t="str">
        <f>IFERROR(IF($C9&lt;1,"",BJ$3*일별반별!BM9),0)</f>
        <v/>
      </c>
      <c r="BK9" s="402" t="str">
        <f>IFERROR(IF($C9&lt;1,"",BK$3*일별반별!BN9),0)</f>
        <v/>
      </c>
      <c r="BL9" s="402" t="str">
        <f>IFERROR(IF($C9&lt;1,"",BL$3*일별반별!BH9),0)</f>
        <v/>
      </c>
      <c r="BM9" s="402" t="str">
        <f>IFERROR(IF($C9&lt;1,"",BM$3*일별반별!BP9),0)</f>
        <v/>
      </c>
      <c r="BN9" s="401" t="str">
        <f>IFERROR(IF($C9&lt;1,"",BN$3*일별반별!BQ9),0)</f>
        <v/>
      </c>
      <c r="BO9" s="401" t="str">
        <f>IFERROR(IF($C9&lt;1,"",BO$3*일별반별!BR9),0)</f>
        <v/>
      </c>
      <c r="BP9" s="401" t="str">
        <f>IFERROR(IF($C9&lt;1,"",BP$3*일별반별!BS9),0)</f>
        <v/>
      </c>
      <c r="BQ9" s="401" t="str">
        <f>IFERROR(IF($C9&lt;1,"",BQ$3*일별반별!BT9),0)</f>
        <v/>
      </c>
      <c r="BR9" s="417" t="str">
        <f>IFERROR(IF($C9&lt;1,"",BR$3*일별반별!BU9),0)</f>
        <v/>
      </c>
      <c r="BS9" s="417" t="str">
        <f>IFERROR(IF($C9&lt;1,"",BS$3*일별반별!BV9),0)</f>
        <v/>
      </c>
      <c r="BT9" s="417" t="str">
        <f>IFERROR(IF($C9&lt;1,"",BT$3*일별반별!BW9),0)</f>
        <v/>
      </c>
      <c r="BU9" s="316" t="str">
        <f>IFERROR(IF($C9&lt;1,"",BU$3*일별반별!BX9),0)</f>
        <v/>
      </c>
      <c r="BV9" s="316" t="str">
        <f>IFERROR(IF($C9&lt;1,"",BV$3*일별반별!BY9),0)</f>
        <v/>
      </c>
      <c r="BW9" s="316" t="str">
        <f>IFERROR(IF($C9&lt;1,"",BW$3*일별반별!BZ9),0)</f>
        <v/>
      </c>
      <c r="BX9" s="316" t="str">
        <f>IFERROR(IF($C9&lt;1,"",BX$3*일별반별!CA9),0)</f>
        <v/>
      </c>
      <c r="BY9" s="316" t="str">
        <f>IFERROR(IF($C9&lt;1,"",BY$3*일별반별!CB9),0)</f>
        <v/>
      </c>
      <c r="BZ9" s="316" t="str">
        <f>IFERROR(IF($C9&lt;1,"",BZ$3*일별반별!CC9),0)</f>
        <v/>
      </c>
      <c r="CA9" s="316" t="str">
        <f>IFERROR(IF($C9&lt;1,"",CA$3*일별반별!CD9),0)</f>
        <v/>
      </c>
      <c r="CB9" s="316" t="str">
        <f>IFERROR(IF($C9&lt;1,"",CB$3*일별반별!CE9),0)</f>
        <v/>
      </c>
      <c r="CC9" s="316" t="str">
        <f>IFERROR(IF($C9&lt;1,"",CC$3*일별반별!CF9),0)</f>
        <v/>
      </c>
      <c r="CD9" s="316" t="str">
        <f>IFERROR(IF($C9&lt;1,"",CD$3*일별반별!CG9),0)</f>
        <v/>
      </c>
      <c r="CE9" s="316" t="str">
        <f>IFERROR(IF($C9&lt;1,"",CE$3*일별반별!CH9),0)</f>
        <v/>
      </c>
      <c r="CF9" s="316" t="str">
        <f>IFERROR(IF($C9&lt;1,"",CF$3*일별반별!CI9),0)</f>
        <v/>
      </c>
      <c r="CG9" s="316" t="str">
        <f>IFERROR(IF($C9&lt;1,"",CG$3*일별반별!CJ9),0)</f>
        <v/>
      </c>
      <c r="CH9" s="316" t="str">
        <f>IFERROR(IF($C9&lt;1,"",CH$3*일별반별!CK9),0)</f>
        <v/>
      </c>
      <c r="CI9" s="316" t="str">
        <f>IFERROR(IF($C9&lt;1,"",CI$3*일별반별!CL9),0)</f>
        <v/>
      </c>
      <c r="CJ9" s="316" t="str">
        <f>IFERROR(IF($C9&lt;1,"",CJ$3*일별반별!CM9),0)</f>
        <v/>
      </c>
      <c r="CK9" s="316" t="str">
        <f>IFERROR(IF($C9&lt;1,"",CK$3*일별반별!CN9),0)</f>
        <v/>
      </c>
      <c r="CL9" s="316" t="str">
        <f>IFERROR(IF($C9&lt;1,"",CL$3*일별반별!CO9),0)</f>
        <v/>
      </c>
      <c r="CM9" s="316" t="str">
        <f>IFERROR(IF($C9&lt;1,"",CM$3*일별반별!CP9),0)</f>
        <v/>
      </c>
      <c r="CN9" s="316" t="str">
        <f>IFERROR(IF($C9&lt;1,"",CN$3*일별반별!CQ9),0)</f>
        <v/>
      </c>
      <c r="CO9" s="316" t="str">
        <f>IFERROR(IF($C9&lt;1,"",CO$3*일별반별!CR9),0)</f>
        <v/>
      </c>
      <c r="CP9" s="316" t="str">
        <f>IFERROR(IF($C9&lt;1,"",CP$3*일별반별!CS9),0)</f>
        <v/>
      </c>
      <c r="CQ9" s="316" t="str">
        <f>IFERROR(IF($C9&lt;1,"",CQ$3*일별반별!CT9),0)</f>
        <v/>
      </c>
      <c r="CR9" s="418" t="str">
        <f>IFERROR(IF($C9&lt;1,"",CR$3*일별반별!CU9),0)</f>
        <v/>
      </c>
      <c r="CS9" s="418" t="str">
        <f>IFERROR(IF($C9&lt;1,"",CS$3*일별반별!CV9),0)</f>
        <v/>
      </c>
      <c r="CT9" s="316" t="str">
        <f>IFERROR(IF($C9&lt;1,"",CT$3*일별반별!CW9),0)</f>
        <v/>
      </c>
      <c r="CU9" s="316" t="str">
        <f>IFERROR(IF($C9&lt;1,"",CU$3*일별반별!CX9),0)</f>
        <v/>
      </c>
      <c r="CV9" s="316" t="str">
        <f>IFERROR(IF($C9&lt;1,"",CV$3*일별반별!CY9),0)</f>
        <v/>
      </c>
      <c r="CW9" s="316" t="str">
        <f>IFERROR(IF($C9&lt;1,"",CW$3*일별반별!CZ9),0)</f>
        <v/>
      </c>
      <c r="CX9" s="316" t="str">
        <f>IFERROR(IF($C9&lt;1,"",CX$3*일별반별!DA9),0)</f>
        <v/>
      </c>
      <c r="CY9" s="316" t="str">
        <f>IF(C9&lt;1,"",(CY$3*'09월 조업일지'!AV$7))</f>
        <v/>
      </c>
      <c r="CZ9" s="316" t="str">
        <f t="shared" si="1"/>
        <v/>
      </c>
      <c r="DA9" s="316" t="str">
        <f t="shared" si="0"/>
        <v/>
      </c>
      <c r="DB9" s="316" t="str">
        <f t="shared" si="0"/>
        <v/>
      </c>
      <c r="DC9" s="316"/>
      <c r="DD9" s="419"/>
    </row>
    <row r="10" spans="1:108" ht="15" customHeight="1">
      <c r="A10" s="274">
        <f>A6</f>
        <v>44013</v>
      </c>
      <c r="B10" s="275" t="s">
        <v>94</v>
      </c>
      <c r="C10" s="201">
        <f>COUNTIFS('09월 조업일지'!$A$12:$A$952,A6,'09월 조업일지'!$E$12:$E$952,B10)</f>
        <v>0</v>
      </c>
      <c r="D10" s="314">
        <f>IF(C10&lt;1,0,(SUM(E10:CX10)/(일별반별!BV10-1.5))+(CY10+CZ10+DA10+DB10))</f>
        <v>0</v>
      </c>
      <c r="E10" s="278"/>
      <c r="F10" s="281"/>
      <c r="G10" s="282"/>
      <c r="H10" s="283"/>
      <c r="I10" s="283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326"/>
      <c r="U10" s="395" t="str">
        <f>IFERROR(IF($C10&lt;1,"",U$3*일별반별!X10),0)</f>
        <v/>
      </c>
      <c r="V10" s="395" t="str">
        <f>IFERROR(IF($C10&lt;1,"",V$3*일별반별!Y10),0)</f>
        <v/>
      </c>
      <c r="W10" s="395" t="str">
        <f>IFERROR(IF($C10&lt;1,"",W$3*일별반별!Z10),0)</f>
        <v/>
      </c>
      <c r="X10" s="208" t="str">
        <f>IFERROR(IF($C10&lt;1,"",X$3*일별반별!AA10),0)</f>
        <v/>
      </c>
      <c r="Y10" s="208" t="str">
        <f>IFERROR(IF($C10&lt;1,"",Y$3*일별반별!AB10),0)</f>
        <v/>
      </c>
      <c r="Z10" s="208" t="str">
        <f>IFERROR(IF($C10&lt;1,"",Z$3*일별반별!AC10),0)</f>
        <v/>
      </c>
      <c r="AA10" s="395" t="str">
        <f>IFERROR(IF($C10&lt;1,"",AA$3*일별반별!AD10),0)</f>
        <v/>
      </c>
      <c r="AB10" s="395" t="str">
        <f>IFERROR(IF($C10&lt;1,"",AB$3*일별반별!AE10),0)</f>
        <v/>
      </c>
      <c r="AC10" s="208" t="str">
        <f>IFERROR(IF($C10&lt;1,"",AC$3*일별반별!AF10),0)</f>
        <v/>
      </c>
      <c r="AD10" s="208" t="str">
        <f>IFERROR(IF($C10&lt;1,"",AD$3*일별반별!AG10),0)</f>
        <v/>
      </c>
      <c r="AE10" s="208" t="str">
        <f>IFERROR(IF($C10&lt;1,"",AE$3*일별반별!AH10),0)</f>
        <v/>
      </c>
      <c r="AF10" s="395" t="str">
        <f>IFERROR(IF($C10&lt;1,"",AF$3*일별반별!AI10),0)</f>
        <v/>
      </c>
      <c r="AG10" s="395" t="str">
        <f>IFERROR(IF($C10&lt;1,"",AG$3*일별반별!AJ10),0)</f>
        <v/>
      </c>
      <c r="AH10" s="395" t="str">
        <f>IFERROR(IF($C10&lt;1,"",AH$3*일별반별!AK10),0)</f>
        <v/>
      </c>
      <c r="AI10" s="395" t="str">
        <f>IFERROR(IF($C10&lt;1,"",AI$3*일별반별!AL10),0)</f>
        <v/>
      </c>
      <c r="AJ10" s="395" t="str">
        <f>IFERROR(IF($C10&lt;1,"",AJ$3*일별반별!AM10),0)</f>
        <v/>
      </c>
      <c r="AK10" s="395" t="str">
        <f>IFERROR(IF($C10&lt;1,"",AK$3*일별반별!AN10),0)</f>
        <v/>
      </c>
      <c r="AL10" s="395" t="str">
        <f>IFERROR(IF($C10&lt;1,"",AL$3*일별반별!AO10),0)</f>
        <v/>
      </c>
      <c r="AM10" s="395" t="str">
        <f>IFERROR(IF($C10&lt;1,"",AM$3*일별반별!AP10),0)</f>
        <v/>
      </c>
      <c r="AN10" s="395" t="str">
        <f>IFERROR(IF($C10&lt;1,"",AN$3*일별반별!AQ10),0)</f>
        <v/>
      </c>
      <c r="AO10" s="395" t="str">
        <f>IFERROR(IF($C10&lt;1,"",AO$3*일별반별!AR10),0)</f>
        <v/>
      </c>
      <c r="AP10" s="347" t="str">
        <f>IFERROR(IF($C10&lt;1,"",AP$3*일별반별!AS10),0)</f>
        <v/>
      </c>
      <c r="AQ10" s="347" t="str">
        <f>IFERROR(IF($C10&lt;1,"",AQ$3*일별반별!AT10),0)</f>
        <v/>
      </c>
      <c r="AR10" s="316" t="str">
        <f>IFERROR(IF($C10&lt;1,"",AR$3*일별반별!AU10),0)</f>
        <v/>
      </c>
      <c r="AS10" s="401" t="str">
        <f>IFERROR(IF($C10&lt;1,"",AS$3*일별반별!AV10),0)</f>
        <v/>
      </c>
      <c r="AT10" s="401" t="str">
        <f>IFERROR(IF($C10&lt;1,"",AT$3*일별반별!AW10),0)</f>
        <v/>
      </c>
      <c r="AU10" s="401" t="str">
        <f>IFERROR(IF($C10&lt;1,"",AU$3*일별반별!AX10),0)</f>
        <v/>
      </c>
      <c r="AV10" s="401" t="str">
        <f>IFERROR(IF($C10&lt;1,"",AV$3*일별반별!AY10),0)</f>
        <v/>
      </c>
      <c r="AW10" s="401" t="str">
        <f>IFERROR(IF($C10&lt;1,"",AW$3*일별반별!AZ10),0)</f>
        <v/>
      </c>
      <c r="AX10" s="401" t="str">
        <f>IFERROR(IF($C10&lt;1,"",AX$3*일별반별!BA10),0)</f>
        <v/>
      </c>
      <c r="AY10" s="401" t="str">
        <f>IFERROR(IF($C10&lt;1,"",AY$3*일별반별!BB10),0)</f>
        <v/>
      </c>
      <c r="AZ10" s="401" t="str">
        <f>IFERROR(IF($C10&lt;1,"",AZ$3*일별반별!BC10),0)</f>
        <v/>
      </c>
      <c r="BA10" s="401" t="str">
        <f>IFERROR(IF($C10&lt;1,"",BA$3*일별반별!BD10),0)</f>
        <v/>
      </c>
      <c r="BB10" s="402" t="str">
        <f>IFERROR(IF($C10&lt;1,"",BB$3*일별반별!BE10),0)</f>
        <v/>
      </c>
      <c r="BC10" s="402" t="str">
        <f>IFERROR(IF($C10&lt;1,"",BC$3*일별반별!BF10),0)</f>
        <v/>
      </c>
      <c r="BD10" s="402" t="str">
        <f>IFERROR(IF($C10&lt;1,"",BD$3*일별반별!BG10),0)</f>
        <v/>
      </c>
      <c r="BE10" s="402" t="str">
        <f>IFERROR(IF($C10&lt;1,"",BE$3*일별반별!BH10),0)</f>
        <v/>
      </c>
      <c r="BF10" s="402" t="str">
        <f>IFERROR(IF($C10&lt;1,"",BF$3*일별반별!BI10),0)</f>
        <v/>
      </c>
      <c r="BG10" s="402" t="str">
        <f>IFERROR(IF($C10&lt;1,"",BG$3*일별반별!BJ10),0)</f>
        <v/>
      </c>
      <c r="BH10" s="402" t="str">
        <f>IFERROR(IF($C10&lt;1,"",BH$3*일별반별!BK10),0)</f>
        <v/>
      </c>
      <c r="BI10" s="402" t="str">
        <f>IFERROR(IF($C10&lt;1,"",BI$3*일별반별!BL10),0)</f>
        <v/>
      </c>
      <c r="BJ10" s="402" t="str">
        <f>IFERROR(IF($C10&lt;1,"",BJ$3*일별반별!BM10),0)</f>
        <v/>
      </c>
      <c r="BK10" s="402" t="str">
        <f>IFERROR(IF($C10&lt;1,"",BK$3*일별반별!BN10),0)</f>
        <v/>
      </c>
      <c r="BL10" s="402" t="str">
        <f>IFERROR(IF($C10&lt;1,"",BL$3*일별반별!BH10),0)</f>
        <v/>
      </c>
      <c r="BM10" s="402" t="str">
        <f>IFERROR(IF($C10&lt;1,"",BM$3*일별반별!BP10),0)</f>
        <v/>
      </c>
      <c r="BN10" s="401" t="str">
        <f>IFERROR(IF($C10&lt;1,"",BN$3*일별반별!BQ10),0)</f>
        <v/>
      </c>
      <c r="BO10" s="401" t="str">
        <f>IFERROR(IF($C10&lt;1,"",BO$3*일별반별!BR10),0)</f>
        <v/>
      </c>
      <c r="BP10" s="401" t="str">
        <f>IFERROR(IF($C10&lt;1,"",BP$3*일별반별!BS10),0)</f>
        <v/>
      </c>
      <c r="BQ10" s="401" t="str">
        <f>IFERROR(IF($C10&lt;1,"",BQ$3*일별반별!BT10),0)</f>
        <v/>
      </c>
      <c r="BR10" s="417" t="str">
        <f>IFERROR(IF($C10&lt;1,"",BR$3*일별반별!BU10),0)</f>
        <v/>
      </c>
      <c r="BS10" s="417" t="str">
        <f>IFERROR(IF($C10&lt;1,"",BS$3*일별반별!BV10),0)</f>
        <v/>
      </c>
      <c r="BT10" s="417" t="str">
        <f>IFERROR(IF($C10&lt;1,"",BT$3*일별반별!BW10),0)</f>
        <v/>
      </c>
      <c r="BU10" s="316" t="str">
        <f>IFERROR(IF($C10&lt;1,"",BU$3*일별반별!BX10),0)</f>
        <v/>
      </c>
      <c r="BV10" s="316" t="str">
        <f>IFERROR(IF($C10&lt;1,"",BV$3*일별반별!BY10),0)</f>
        <v/>
      </c>
      <c r="BW10" s="316" t="str">
        <f>IFERROR(IF($C10&lt;1,"",BW$3*일별반별!BZ10),0)</f>
        <v/>
      </c>
      <c r="BX10" s="316" t="str">
        <f>IFERROR(IF($C10&lt;1,"",BX$3*일별반별!CA10),0)</f>
        <v/>
      </c>
      <c r="BY10" s="316" t="str">
        <f>IFERROR(IF($C10&lt;1,"",BY$3*일별반별!CB10),0)</f>
        <v/>
      </c>
      <c r="BZ10" s="316" t="str">
        <f>IFERROR(IF($C10&lt;1,"",BZ$3*일별반별!CC10),0)</f>
        <v/>
      </c>
      <c r="CA10" s="316" t="str">
        <f>IFERROR(IF($C10&lt;1,"",CA$3*일별반별!CD10),0)</f>
        <v/>
      </c>
      <c r="CB10" s="316" t="str">
        <f>IFERROR(IF($C10&lt;1,"",CB$3*일별반별!CE10),0)</f>
        <v/>
      </c>
      <c r="CC10" s="316" t="str">
        <f>IFERROR(IF($C10&lt;1,"",CC$3*일별반별!CF10),0)</f>
        <v/>
      </c>
      <c r="CD10" s="316" t="str">
        <f>IFERROR(IF($C10&lt;1,"",CD$3*일별반별!CG10),0)</f>
        <v/>
      </c>
      <c r="CE10" s="316" t="str">
        <f>IFERROR(IF($C10&lt;1,"",CE$3*일별반별!CH10),0)</f>
        <v/>
      </c>
      <c r="CF10" s="316" t="str">
        <f>IFERROR(IF($C10&lt;1,"",CF$3*일별반별!CI10),0)</f>
        <v/>
      </c>
      <c r="CG10" s="316" t="str">
        <f>IFERROR(IF($C10&lt;1,"",CG$3*일별반별!CJ10),0)</f>
        <v/>
      </c>
      <c r="CH10" s="316" t="str">
        <f>IFERROR(IF($C10&lt;1,"",CH$3*일별반별!CK10),0)</f>
        <v/>
      </c>
      <c r="CI10" s="316" t="str">
        <f>IFERROR(IF($C10&lt;1,"",CI$3*일별반별!CL10),0)</f>
        <v/>
      </c>
      <c r="CJ10" s="316" t="str">
        <f>IFERROR(IF($C10&lt;1,"",CJ$3*일별반별!CM10),0)</f>
        <v/>
      </c>
      <c r="CK10" s="316" t="str">
        <f>IFERROR(IF($C10&lt;1,"",CK$3*일별반별!CN10),0)</f>
        <v/>
      </c>
      <c r="CL10" s="316" t="str">
        <f>IFERROR(IF($C10&lt;1,"",CL$3*일별반별!CO10),0)</f>
        <v/>
      </c>
      <c r="CM10" s="316" t="str">
        <f>IFERROR(IF($C10&lt;1,"",CM$3*일별반별!CP10),0)</f>
        <v/>
      </c>
      <c r="CN10" s="316" t="str">
        <f>IFERROR(IF($C10&lt;1,"",CN$3*일별반별!CQ10),0)</f>
        <v/>
      </c>
      <c r="CO10" s="316" t="str">
        <f>IFERROR(IF($C10&lt;1,"",CO$3*일별반별!CR10),0)</f>
        <v/>
      </c>
      <c r="CP10" s="316" t="str">
        <f>IFERROR(IF($C10&lt;1,"",CP$3*일별반별!CS10),0)</f>
        <v/>
      </c>
      <c r="CQ10" s="316" t="str">
        <f>IFERROR(IF($C10&lt;1,"",CQ$3*일별반별!CT10),0)</f>
        <v/>
      </c>
      <c r="CR10" s="418" t="str">
        <f>IFERROR(IF($C10&lt;1,"",CR$3*일별반별!CU10),0)</f>
        <v/>
      </c>
      <c r="CS10" s="418" t="str">
        <f>IFERROR(IF($C10&lt;1,"",CS$3*일별반별!CV10),0)</f>
        <v/>
      </c>
      <c r="CT10" s="316" t="str">
        <f>IFERROR(IF($C10&lt;1,"",CT$3*일별반별!CW10),0)</f>
        <v/>
      </c>
      <c r="CU10" s="316" t="str">
        <f>IFERROR(IF($C10&lt;1,"",CU$3*일별반별!CX10),0)</f>
        <v/>
      </c>
      <c r="CV10" s="316" t="str">
        <f>IFERROR(IF($C10&lt;1,"",CV$3*일별반별!CY10),0)</f>
        <v/>
      </c>
      <c r="CW10" s="316" t="str">
        <f>IFERROR(IF($C10&lt;1,"",CW$3*일별반별!CZ10),0)</f>
        <v/>
      </c>
      <c r="CX10" s="316" t="str">
        <f>IFERROR(IF($C10&lt;1,"",CX$3*일별반별!DA10),0)</f>
        <v/>
      </c>
      <c r="CY10" s="316" t="str">
        <f>IF(C10&lt;1,"",(CY$3*'09월 조업일지'!AV$7))</f>
        <v/>
      </c>
      <c r="CZ10" s="316" t="str">
        <f t="shared" si="1"/>
        <v/>
      </c>
      <c r="DA10" s="316" t="str">
        <f t="shared" si="0"/>
        <v/>
      </c>
      <c r="DB10" s="316" t="str">
        <f t="shared" si="0"/>
        <v/>
      </c>
      <c r="DC10" s="316"/>
      <c r="DD10" s="419"/>
    </row>
    <row r="11" spans="1:108" ht="15" customHeight="1">
      <c r="A11" s="327">
        <f>A6+1</f>
        <v>44014</v>
      </c>
      <c r="B11" s="328" t="s">
        <v>31</v>
      </c>
      <c r="C11" s="329">
        <f>COUNTIF('09월 조업일지'!$A$12:$A$952,A11)</f>
        <v>0</v>
      </c>
      <c r="D11" s="330">
        <f>IF(C11&lt;1,0,(SUM(E11:CX11)/(일별반별!BV11-1.5)+(CY11+CZ11+DA11+DB11)))</f>
        <v>0</v>
      </c>
      <c r="E11" s="331"/>
      <c r="F11" s="331"/>
      <c r="G11" s="332"/>
      <c r="H11" s="333"/>
      <c r="I11" s="333"/>
      <c r="J11" s="334"/>
      <c r="K11" s="334"/>
      <c r="L11" s="334"/>
      <c r="M11" s="334"/>
      <c r="N11" s="334"/>
      <c r="O11" s="334"/>
      <c r="P11" s="334"/>
      <c r="Q11" s="335"/>
      <c r="R11" s="334"/>
      <c r="S11" s="335"/>
      <c r="T11" s="334"/>
      <c r="U11" s="337" t="str">
        <f>IFERROR(IF($C11&lt;1,"",U$3*일별반별!X11),0)</f>
        <v/>
      </c>
      <c r="V11" s="337" t="str">
        <f>IFERROR(IF($C11&lt;1,"",V$3*일별반별!Y11),0)</f>
        <v/>
      </c>
      <c r="W11" s="337" t="str">
        <f>IFERROR(IF($C11&lt;1,"",W$3*일별반별!Z11),0)</f>
        <v/>
      </c>
      <c r="X11" s="336" t="str">
        <f>IFERROR(IF($C11&lt;1,"",X$3*일별반별!AA11),0)</f>
        <v/>
      </c>
      <c r="Y11" s="336" t="str">
        <f>IFERROR(IF($C11&lt;1,"",Y$3*일별반별!AB11),0)</f>
        <v/>
      </c>
      <c r="Z11" s="336" t="str">
        <f>IFERROR(IF($C11&lt;1,"",Z$3*일별반별!AC11),0)</f>
        <v/>
      </c>
      <c r="AA11" s="337" t="str">
        <f>IFERROR(IF($C11&lt;1,"",AA$3*일별반별!AD11),0)</f>
        <v/>
      </c>
      <c r="AB11" s="337" t="str">
        <f>IFERROR(IF($C11&lt;1,"",AB$3*일별반별!AE11),0)</f>
        <v/>
      </c>
      <c r="AC11" s="336" t="str">
        <f>IFERROR(IF($C11&lt;1,"",AC$3*일별반별!AF11),0)</f>
        <v/>
      </c>
      <c r="AD11" s="336" t="str">
        <f>IFERROR(IF($C11&lt;1,"",AD$3*일별반별!AG11),0)</f>
        <v/>
      </c>
      <c r="AE11" s="336" t="str">
        <f>IFERROR(IF($C11&lt;1,"",AE$3*일별반별!AH11),0)</f>
        <v/>
      </c>
      <c r="AF11" s="337" t="str">
        <f>IFERROR(IF($C11&lt;1,"",AF$3*일별반별!AI11),0)</f>
        <v/>
      </c>
      <c r="AG11" s="337" t="str">
        <f>IFERROR(IF($C11&lt;1,"",AG$3*일별반별!AJ11),0)</f>
        <v/>
      </c>
      <c r="AH11" s="337" t="str">
        <f>IFERROR(IF($C11&lt;1,"",AH$3*일별반별!AK11),0)</f>
        <v/>
      </c>
      <c r="AI11" s="337" t="str">
        <f>IFERROR(IF($C11&lt;1,"",AI$3*일별반별!AL11),0)</f>
        <v/>
      </c>
      <c r="AJ11" s="337" t="str">
        <f>IFERROR(IF($C11&lt;1,"",AJ$3*일별반별!AM11),0)</f>
        <v/>
      </c>
      <c r="AK11" s="337" t="str">
        <f>IFERROR(IF($C11&lt;1,"",AK$3*일별반별!AN11),0)</f>
        <v/>
      </c>
      <c r="AL11" s="337" t="str">
        <f>IFERROR(IF($C11&lt;1,"",AL$3*일별반별!AO11),0)</f>
        <v/>
      </c>
      <c r="AM11" s="337" t="str">
        <f>IFERROR(IF($C11&lt;1,"",AM$3*일별반별!AP11),0)</f>
        <v/>
      </c>
      <c r="AN11" s="337" t="str">
        <f>IFERROR(IF($C11&lt;1,"",AN$3*일별반별!AQ11),0)</f>
        <v/>
      </c>
      <c r="AO11" s="337" t="str">
        <f>IFERROR(IF($C11&lt;1,"",AO$3*일별반별!AR11),0)</f>
        <v/>
      </c>
      <c r="AP11" s="337" t="str">
        <f>IFERROR(IF($C11&lt;1,"",AP$3*일별반별!AS11),0)</f>
        <v/>
      </c>
      <c r="AQ11" s="337" t="str">
        <f>IFERROR(IF($C11&lt;1,"",AQ$3*일별반별!AT11),0)</f>
        <v/>
      </c>
      <c r="AR11" s="337" t="str">
        <f>IFERROR(IF($C11&lt;1,"",AR$3*일별반별!AU11),0)</f>
        <v/>
      </c>
      <c r="AS11" s="403" t="str">
        <f>IFERROR(IF($C11&lt;1,"",AS$3*일별반별!AV11),0)</f>
        <v/>
      </c>
      <c r="AT11" s="403" t="str">
        <f>IFERROR(IF($C11&lt;1,"",AT$3*일별반별!AW11),0)</f>
        <v/>
      </c>
      <c r="AU11" s="403" t="str">
        <f>IFERROR(IF($C11&lt;1,"",AU$3*일별반별!AX11),0)</f>
        <v/>
      </c>
      <c r="AV11" s="403" t="str">
        <f>IFERROR(IF($C11&lt;1,"",AV$3*일별반별!AY11),0)</f>
        <v/>
      </c>
      <c r="AW11" s="403" t="str">
        <f>IFERROR(IF($C11&lt;1,"",AW$3*일별반별!AZ11),0)</f>
        <v/>
      </c>
      <c r="AX11" s="403" t="str">
        <f>IFERROR(IF($C11&lt;1,"",AX$3*일별반별!BA11),0)</f>
        <v/>
      </c>
      <c r="AY11" s="403" t="str">
        <f>IFERROR(IF($C11&lt;1,"",AY$3*일별반별!BB11),0)</f>
        <v/>
      </c>
      <c r="AZ11" s="403" t="str">
        <f>IFERROR(IF($C11&lt;1,"",AZ$3*일별반별!BC11),0)</f>
        <v/>
      </c>
      <c r="BA11" s="403" t="str">
        <f>IFERROR(IF($C11&lt;1,"",BA$3*일별반별!BD11),0)</f>
        <v/>
      </c>
      <c r="BB11" s="403" t="str">
        <f>IFERROR(IF($C11&lt;1,"",BB$3*일별반별!BE11),0)</f>
        <v/>
      </c>
      <c r="BC11" s="403" t="str">
        <f>IFERROR(IF($C11&lt;1,"",BC$3*일별반별!BF11),0)</f>
        <v/>
      </c>
      <c r="BD11" s="403" t="str">
        <f>IFERROR(IF($C11&lt;1,"",BD$3*일별반별!BG11),0)</f>
        <v/>
      </c>
      <c r="BE11" s="403" t="str">
        <f>IFERROR(IF($C11&lt;1,"",BE$3*일별반별!BH11),0)</f>
        <v/>
      </c>
      <c r="BF11" s="403" t="str">
        <f>IFERROR(IF($C11&lt;1,"",BF$3*일별반별!BI11),0)</f>
        <v/>
      </c>
      <c r="BG11" s="403" t="str">
        <f>IFERROR(IF($C11&lt;1,"",BG$3*일별반별!BJ11),0)</f>
        <v/>
      </c>
      <c r="BH11" s="403" t="str">
        <f>IFERROR(IF($C11&lt;1,"",BH$3*일별반별!BK11),0)</f>
        <v/>
      </c>
      <c r="BI11" s="403" t="str">
        <f>IFERROR(IF($C11&lt;1,"",BI$3*일별반별!BL11),0)</f>
        <v/>
      </c>
      <c r="BJ11" s="403" t="str">
        <f>IFERROR(IF($C11&lt;1,"",BJ$3*일별반별!BM11),0)</f>
        <v/>
      </c>
      <c r="BK11" s="403" t="str">
        <f>IFERROR(IF($C11&lt;1,"",BK$3*일별반별!BN11),0)</f>
        <v/>
      </c>
      <c r="BL11" s="403" t="str">
        <f>IFERROR(IF($C11&lt;1,"",BL$3*일별반별!BH11),0)</f>
        <v/>
      </c>
      <c r="BM11" s="403" t="str">
        <f>IFERROR(IF($C11&lt;1,"",BM$3*일별반별!BP11),0)</f>
        <v/>
      </c>
      <c r="BN11" s="403" t="str">
        <f>IFERROR(IF($C11&lt;1,"",BN$3*일별반별!BQ11),0)</f>
        <v/>
      </c>
      <c r="BO11" s="403" t="str">
        <f>IFERROR(IF($C11&lt;1,"",BO$3*일별반별!BR11),0)</f>
        <v/>
      </c>
      <c r="BP11" s="403" t="str">
        <f>IFERROR(IF($C11&lt;1,"",BP$3*일별반별!BS11),0)</f>
        <v/>
      </c>
      <c r="BQ11" s="403" t="str">
        <f>IFERROR(IF($C11&lt;1,"",BQ$3*일별반별!BT11),0)</f>
        <v/>
      </c>
      <c r="BR11" s="337" t="str">
        <f>IFERROR(IF($C11&lt;1,"",BR$3*일별반별!BU11),0)</f>
        <v/>
      </c>
      <c r="BS11" s="337" t="str">
        <f>IFERROR(IF($C11&lt;1,"",BS$3*일별반별!BV11),0)</f>
        <v/>
      </c>
      <c r="BT11" s="337" t="str">
        <f>IFERROR(IF($C11&lt;1,"",BT$3*일별반별!BW11),0)</f>
        <v/>
      </c>
      <c r="BU11" s="337" t="str">
        <f>IFERROR(IF($C11&lt;1,"",BU$3*일별반별!BX11),0)</f>
        <v/>
      </c>
      <c r="BV11" s="337" t="str">
        <f>IFERROR(IF($C11&lt;1,"",BV$3*일별반별!BY11),0)</f>
        <v/>
      </c>
      <c r="BW11" s="337" t="str">
        <f>IFERROR(IF($C11&lt;1,"",BW$3*일별반별!BZ11),0)</f>
        <v/>
      </c>
      <c r="BX11" s="337" t="str">
        <f>IFERROR(IF($C11&lt;1,"",BX$3*일별반별!CA11),0)</f>
        <v/>
      </c>
      <c r="BY11" s="337" t="str">
        <f>IFERROR(IF($C11&lt;1,"",BY$3*일별반별!CB11),0)</f>
        <v/>
      </c>
      <c r="BZ11" s="337" t="str">
        <f>IFERROR(IF($C11&lt;1,"",BZ$3*일별반별!CC11),0)</f>
        <v/>
      </c>
      <c r="CA11" s="337" t="str">
        <f>IFERROR(IF($C11&lt;1,"",CA$3*일별반별!CD11),0)</f>
        <v/>
      </c>
      <c r="CB11" s="337" t="str">
        <f>IFERROR(IF($C11&lt;1,"",CB$3*일별반별!CE11),0)</f>
        <v/>
      </c>
      <c r="CC11" s="337" t="str">
        <f>IFERROR(IF($C11&lt;1,"",CC$3*일별반별!CF11),0)</f>
        <v/>
      </c>
      <c r="CD11" s="337" t="str">
        <f>IFERROR(IF($C11&lt;1,"",CD$3*일별반별!CG11),0)</f>
        <v/>
      </c>
      <c r="CE11" s="337" t="str">
        <f>IFERROR(IF($C11&lt;1,"",CE$3*일별반별!CH11),0)</f>
        <v/>
      </c>
      <c r="CF11" s="337" t="str">
        <f>IFERROR(IF($C11&lt;1,"",CF$3*일별반별!CI11),0)</f>
        <v/>
      </c>
      <c r="CG11" s="337" t="str">
        <f>IFERROR(IF($C11&lt;1,"",CG$3*일별반별!CJ11),0)</f>
        <v/>
      </c>
      <c r="CH11" s="337" t="str">
        <f>IFERROR(IF($C11&lt;1,"",CH$3*일별반별!CK11),0)</f>
        <v/>
      </c>
      <c r="CI11" s="337" t="str">
        <f>IFERROR(IF($C11&lt;1,"",CI$3*일별반별!CL11),0)</f>
        <v/>
      </c>
      <c r="CJ11" s="337" t="str">
        <f>IFERROR(IF($C11&lt;1,"",CJ$3*일별반별!CM11),0)</f>
        <v/>
      </c>
      <c r="CK11" s="337" t="str">
        <f>IFERROR(IF($C11&lt;1,"",CK$3*일별반별!CN11),0)</f>
        <v/>
      </c>
      <c r="CL11" s="337" t="str">
        <f>IFERROR(IF($C11&lt;1,"",CL$3*일별반별!CO11),0)</f>
        <v/>
      </c>
      <c r="CM11" s="337" t="str">
        <f>IFERROR(IF($C11&lt;1,"",CM$3*일별반별!CP11),0)</f>
        <v/>
      </c>
      <c r="CN11" s="337" t="str">
        <f>IFERROR(IF($C11&lt;1,"",CN$3*일별반별!CQ11),0)</f>
        <v/>
      </c>
      <c r="CO11" s="337" t="str">
        <f>IFERROR(IF($C11&lt;1,"",CO$3*일별반별!CR11),0)</f>
        <v/>
      </c>
      <c r="CP11" s="337" t="str">
        <f>IFERROR(IF($C11&lt;1,"",CP$3*일별반별!CS11),0)</f>
        <v/>
      </c>
      <c r="CQ11" s="337" t="str">
        <f>IFERROR(IF($C11&lt;1,"",CQ$3*일별반별!CT11),0)</f>
        <v/>
      </c>
      <c r="CR11" s="420" t="str">
        <f>IFERROR(IF($C11&lt;1,"",CR$3*일별반별!CU11),0)</f>
        <v/>
      </c>
      <c r="CS11" s="420" t="str">
        <f>IFERROR(IF($C11&lt;1,"",CS$3*일별반별!CV11),0)</f>
        <v/>
      </c>
      <c r="CT11" s="337" t="str">
        <f>IFERROR(IF($C11&lt;1,"",CT$3*일별반별!CW11),0)</f>
        <v/>
      </c>
      <c r="CU11" s="337" t="str">
        <f>IFERROR(IF($C11&lt;1,"",CU$3*일별반별!CX11),0)</f>
        <v/>
      </c>
      <c r="CV11" s="337" t="str">
        <f>IFERROR(IF($C11&lt;1,"",CV$3*일별반별!CY11),0)</f>
        <v/>
      </c>
      <c r="CW11" s="337" t="str">
        <f>IFERROR(IF($C11&lt;1,"",CW$3*일별반별!CZ11),0)</f>
        <v/>
      </c>
      <c r="CX11" s="337" t="str">
        <f>IFERROR(IF($C11&lt;1,"",CX$3*일별반별!DA11),0)</f>
        <v/>
      </c>
      <c r="CY11" s="316" t="str">
        <f>IF(C11&lt;1,"",(CY$3*'09월 조업일지'!AV$7))</f>
        <v/>
      </c>
      <c r="CZ11" s="316" t="str">
        <f t="shared" si="1"/>
        <v/>
      </c>
      <c r="DA11" s="316" t="str">
        <f t="shared" si="0"/>
        <v/>
      </c>
      <c r="DB11" s="316" t="str">
        <f t="shared" si="0"/>
        <v/>
      </c>
      <c r="DC11" s="316"/>
      <c r="DD11" s="419"/>
    </row>
    <row r="12" spans="1:108" ht="15" customHeight="1">
      <c r="A12" s="274">
        <f t="shared" ref="A12:A75" si="2">A7+1</f>
        <v>44014</v>
      </c>
      <c r="B12" s="275" t="s">
        <v>9</v>
      </c>
      <c r="C12" s="201">
        <f>COUNTIFS('09월 조업일지'!$A$12:$A$952,A11,'09월 조업일지'!$E$12:$E$952,B12)</f>
        <v>0</v>
      </c>
      <c r="D12" s="314">
        <f>IF(C12&lt;1,0,(SUM(E12:CX12)/(일별반별!BV12-1.5)+(CY12+CZ12+DA12+DB12)))</f>
        <v>0</v>
      </c>
      <c r="E12" s="278"/>
      <c r="F12" s="281"/>
      <c r="G12" s="282"/>
      <c r="H12" s="283"/>
      <c r="I12" s="283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326"/>
      <c r="U12" s="395" t="str">
        <f>IFERROR(IF($C12&lt;1,"",U$3*일별반별!X12),0)</f>
        <v/>
      </c>
      <c r="V12" s="395" t="str">
        <f>IFERROR(IF($C12&lt;1,"",V$3*일별반별!Y12),0)</f>
        <v/>
      </c>
      <c r="W12" s="395" t="str">
        <f>IFERROR(IF($C12&lt;1,"",W$3*일별반별!Z12),0)</f>
        <v/>
      </c>
      <c r="X12" s="208" t="str">
        <f>IFERROR(IF($C12&lt;1,"",X$3*일별반별!AA12),0)</f>
        <v/>
      </c>
      <c r="Y12" s="208" t="str">
        <f>IFERROR(IF($C12&lt;1,"",Y$3*일별반별!AB12),0)</f>
        <v/>
      </c>
      <c r="Z12" s="208" t="str">
        <f>IFERROR(IF($C12&lt;1,"",Z$3*일별반별!AC12),0)</f>
        <v/>
      </c>
      <c r="AA12" s="395" t="str">
        <f>IFERROR(IF($C12&lt;1,"",AA$3*일별반별!AD12),0)</f>
        <v/>
      </c>
      <c r="AB12" s="395" t="str">
        <f>IFERROR(IF($C12&lt;1,"",AB$3*일별반별!AE12),0)</f>
        <v/>
      </c>
      <c r="AC12" s="208" t="str">
        <f>IFERROR(IF($C12&lt;1,"",AC$3*일별반별!AF12),0)</f>
        <v/>
      </c>
      <c r="AD12" s="208" t="str">
        <f>IFERROR(IF($C12&lt;1,"",AD$3*일별반별!AG12),0)</f>
        <v/>
      </c>
      <c r="AE12" s="208" t="str">
        <f>IFERROR(IF($C12&lt;1,"",AE$3*일별반별!AH12),0)</f>
        <v/>
      </c>
      <c r="AF12" s="395" t="str">
        <f>IFERROR(IF($C12&lt;1,"",AF$3*일별반별!AI12),0)</f>
        <v/>
      </c>
      <c r="AG12" s="395" t="str">
        <f>IFERROR(IF($C12&lt;1,"",AG$3*일별반별!AJ12),0)</f>
        <v/>
      </c>
      <c r="AH12" s="395" t="str">
        <f>IFERROR(IF($C12&lt;1,"",AH$3*일별반별!AK12),0)</f>
        <v/>
      </c>
      <c r="AI12" s="395" t="str">
        <f>IFERROR(IF($C12&lt;1,"",AI$3*일별반별!AL12),0)</f>
        <v/>
      </c>
      <c r="AJ12" s="395" t="str">
        <f>IFERROR(IF($C12&lt;1,"",AJ$3*일별반별!AM12),0)</f>
        <v/>
      </c>
      <c r="AK12" s="395" t="str">
        <f>IFERROR(IF($C12&lt;1,"",AK$3*일별반별!AN12),0)</f>
        <v/>
      </c>
      <c r="AL12" s="395" t="str">
        <f>IFERROR(IF($C12&lt;1,"",AL$3*일별반별!AO12),0)</f>
        <v/>
      </c>
      <c r="AM12" s="395" t="str">
        <f>IFERROR(IF($C12&lt;1,"",AM$3*일별반별!AP12),0)</f>
        <v/>
      </c>
      <c r="AN12" s="395" t="str">
        <f>IFERROR(IF($C12&lt;1,"",AN$3*일별반별!AQ12),0)</f>
        <v/>
      </c>
      <c r="AO12" s="395" t="str">
        <f>IFERROR(IF($C12&lt;1,"",AO$3*일별반별!AR12),0)</f>
        <v/>
      </c>
      <c r="AP12" s="347" t="str">
        <f>IFERROR(IF($C12&lt;1,"",AP$3*일별반별!AS12),0)</f>
        <v/>
      </c>
      <c r="AQ12" s="347" t="str">
        <f>IFERROR(IF($C12&lt;1,"",AQ$3*일별반별!AT12),0)</f>
        <v/>
      </c>
      <c r="AR12" s="316" t="str">
        <f>IFERROR(IF($C12&lt;1,"",AR$3*일별반별!AU12),0)</f>
        <v/>
      </c>
      <c r="AS12" s="401" t="str">
        <f>IFERROR(IF($C12&lt;1,"",AS$3*일별반별!AV12),0)</f>
        <v/>
      </c>
      <c r="AT12" s="401" t="str">
        <f>IFERROR(IF($C12&lt;1,"",AT$3*일별반별!AW12),0)</f>
        <v/>
      </c>
      <c r="AU12" s="401" t="str">
        <f>IFERROR(IF($C12&lt;1,"",AU$3*일별반별!AX12),0)</f>
        <v/>
      </c>
      <c r="AV12" s="401" t="str">
        <f>IFERROR(IF($C12&lt;1,"",AV$3*일별반별!AY12),0)</f>
        <v/>
      </c>
      <c r="AW12" s="401" t="str">
        <f>IFERROR(IF($C12&lt;1,"",AW$3*일별반별!AZ12),0)</f>
        <v/>
      </c>
      <c r="AX12" s="401" t="str">
        <f>IFERROR(IF($C12&lt;1,"",AX$3*일별반별!BA12),0)</f>
        <v/>
      </c>
      <c r="AY12" s="401" t="str">
        <f>IFERROR(IF($C12&lt;1,"",AY$3*일별반별!BB12),0)</f>
        <v/>
      </c>
      <c r="AZ12" s="401" t="str">
        <f>IFERROR(IF($C12&lt;1,"",AZ$3*일별반별!BC12),0)</f>
        <v/>
      </c>
      <c r="BA12" s="401" t="str">
        <f>IFERROR(IF($C12&lt;1,"",BA$3*일별반별!BD12),0)</f>
        <v/>
      </c>
      <c r="BB12" s="402" t="str">
        <f>IFERROR(IF($C12&lt;1,"",BB$3*일별반별!BE12),0)</f>
        <v/>
      </c>
      <c r="BC12" s="402" t="str">
        <f>IFERROR(IF($C12&lt;1,"",BC$3*일별반별!BF12),0)</f>
        <v/>
      </c>
      <c r="BD12" s="402" t="str">
        <f>IFERROR(IF($C12&lt;1,"",BD$3*일별반별!BG12),0)</f>
        <v/>
      </c>
      <c r="BE12" s="402" t="str">
        <f>IFERROR(IF($C12&lt;1,"",BE$3*일별반별!BH12),0)</f>
        <v/>
      </c>
      <c r="BF12" s="402" t="str">
        <f>IFERROR(IF($C12&lt;1,"",BF$3*일별반별!BI12),0)</f>
        <v/>
      </c>
      <c r="BG12" s="402" t="str">
        <f>IFERROR(IF($C12&lt;1,"",BG$3*일별반별!BJ12),0)</f>
        <v/>
      </c>
      <c r="BH12" s="402" t="str">
        <f>IFERROR(IF($C12&lt;1,"",BH$3*일별반별!BK12),0)</f>
        <v/>
      </c>
      <c r="BI12" s="402" t="str">
        <f>IFERROR(IF($C12&lt;1,"",BI$3*일별반별!BL12),0)</f>
        <v/>
      </c>
      <c r="BJ12" s="402" t="str">
        <f>IFERROR(IF($C12&lt;1,"",BJ$3*일별반별!BM12),0)</f>
        <v/>
      </c>
      <c r="BK12" s="402" t="str">
        <f>IFERROR(IF($C12&lt;1,"",BK$3*일별반별!BN12),0)</f>
        <v/>
      </c>
      <c r="BL12" s="402" t="str">
        <f>IFERROR(IF($C12&lt;1,"",BL$3*일별반별!BH12),0)</f>
        <v/>
      </c>
      <c r="BM12" s="402" t="str">
        <f>IFERROR(IF($C12&lt;1,"",BM$3*일별반별!BP12),0)</f>
        <v/>
      </c>
      <c r="BN12" s="401" t="str">
        <f>IFERROR(IF($C12&lt;1,"",BN$3*일별반별!BQ12),0)</f>
        <v/>
      </c>
      <c r="BO12" s="401" t="str">
        <f>IFERROR(IF($C12&lt;1,"",BO$3*일별반별!BR12),0)</f>
        <v/>
      </c>
      <c r="BP12" s="401" t="str">
        <f>IFERROR(IF($C12&lt;1,"",BP$3*일별반별!BS12),0)</f>
        <v/>
      </c>
      <c r="BQ12" s="401" t="str">
        <f>IFERROR(IF($C12&lt;1,"",BQ$3*일별반별!BT12),0)</f>
        <v/>
      </c>
      <c r="BR12" s="417" t="str">
        <f>IFERROR(IF($C12&lt;1,"",BR$3*일별반별!BU12),0)</f>
        <v/>
      </c>
      <c r="BS12" s="417" t="str">
        <f>IFERROR(IF($C12&lt;1,"",BS$3*일별반별!BV12),0)</f>
        <v/>
      </c>
      <c r="BT12" s="417" t="str">
        <f>IFERROR(IF($C12&lt;1,"",BT$3*일별반별!BW12),0)</f>
        <v/>
      </c>
      <c r="BU12" s="316" t="str">
        <f>IFERROR(IF($C12&lt;1,"",BU$3*일별반별!BX12),0)</f>
        <v/>
      </c>
      <c r="BV12" s="316" t="str">
        <f>IFERROR(IF($C12&lt;1,"",BV$3*일별반별!BY12),0)</f>
        <v/>
      </c>
      <c r="BW12" s="316" t="str">
        <f>IFERROR(IF($C12&lt;1,"",BW$3*일별반별!BZ12),0)</f>
        <v/>
      </c>
      <c r="BX12" s="316" t="str">
        <f>IFERROR(IF($C12&lt;1,"",BX$3*일별반별!CA12),0)</f>
        <v/>
      </c>
      <c r="BY12" s="316" t="str">
        <f>IFERROR(IF($C12&lt;1,"",BY$3*일별반별!CB12),0)</f>
        <v/>
      </c>
      <c r="BZ12" s="316" t="str">
        <f>IFERROR(IF($C12&lt;1,"",BZ$3*일별반별!CC12),0)</f>
        <v/>
      </c>
      <c r="CA12" s="316" t="str">
        <f>IFERROR(IF($C12&lt;1,"",CA$3*일별반별!CD12),0)</f>
        <v/>
      </c>
      <c r="CB12" s="316" t="str">
        <f>IFERROR(IF($C12&lt;1,"",CB$3*일별반별!CE12),0)</f>
        <v/>
      </c>
      <c r="CC12" s="316" t="str">
        <f>IFERROR(IF($C12&lt;1,"",CC$3*일별반별!CF12),0)</f>
        <v/>
      </c>
      <c r="CD12" s="316" t="str">
        <f>IFERROR(IF($C12&lt;1,"",CD$3*일별반별!CG12),0)</f>
        <v/>
      </c>
      <c r="CE12" s="316" t="str">
        <f>IFERROR(IF($C12&lt;1,"",CE$3*일별반별!CH12),0)</f>
        <v/>
      </c>
      <c r="CF12" s="316" t="str">
        <f>IFERROR(IF($C12&lt;1,"",CF$3*일별반별!CI12),0)</f>
        <v/>
      </c>
      <c r="CG12" s="316" t="str">
        <f>IFERROR(IF($C12&lt;1,"",CG$3*일별반별!CJ12),0)</f>
        <v/>
      </c>
      <c r="CH12" s="316" t="str">
        <f>IFERROR(IF($C12&lt;1,"",CH$3*일별반별!CK12),0)</f>
        <v/>
      </c>
      <c r="CI12" s="316" t="str">
        <f>IFERROR(IF($C12&lt;1,"",CI$3*일별반별!CL12),0)</f>
        <v/>
      </c>
      <c r="CJ12" s="316" t="str">
        <f>IFERROR(IF($C12&lt;1,"",CJ$3*일별반별!CM12),0)</f>
        <v/>
      </c>
      <c r="CK12" s="316" t="str">
        <f>IFERROR(IF($C12&lt;1,"",CK$3*일별반별!CN12),0)</f>
        <v/>
      </c>
      <c r="CL12" s="316" t="str">
        <f>IFERROR(IF($C12&lt;1,"",CL$3*일별반별!CO12),0)</f>
        <v/>
      </c>
      <c r="CM12" s="316" t="str">
        <f>IFERROR(IF($C12&lt;1,"",CM$3*일별반별!CP12),0)</f>
        <v/>
      </c>
      <c r="CN12" s="316" t="str">
        <f>IFERROR(IF($C12&lt;1,"",CN$3*일별반별!CQ12),0)</f>
        <v/>
      </c>
      <c r="CO12" s="316" t="str">
        <f>IFERROR(IF($C12&lt;1,"",CO$3*일별반별!CR12),0)</f>
        <v/>
      </c>
      <c r="CP12" s="316" t="str">
        <f>IFERROR(IF($C12&lt;1,"",CP$3*일별반별!CS12),0)</f>
        <v/>
      </c>
      <c r="CQ12" s="316" t="str">
        <f>IFERROR(IF($C12&lt;1,"",CQ$3*일별반별!CT12),0)</f>
        <v/>
      </c>
      <c r="CR12" s="418" t="str">
        <f>IFERROR(IF($C12&lt;1,"",CR$3*일별반별!CU12),0)</f>
        <v/>
      </c>
      <c r="CS12" s="418" t="str">
        <f>IFERROR(IF($C12&lt;1,"",CS$3*일별반별!CV12),0)</f>
        <v/>
      </c>
      <c r="CT12" s="316" t="str">
        <f>IFERROR(IF($C12&lt;1,"",CT$3*일별반별!CW12),0)</f>
        <v/>
      </c>
      <c r="CU12" s="316" t="str">
        <f>IFERROR(IF($C12&lt;1,"",CU$3*일별반별!CX12),0)</f>
        <v/>
      </c>
      <c r="CV12" s="316" t="str">
        <f>IFERROR(IF($C12&lt;1,"",CV$3*일별반별!CY12),0)</f>
        <v/>
      </c>
      <c r="CW12" s="316" t="str">
        <f>IFERROR(IF($C12&lt;1,"",CW$3*일별반별!CZ12),0)</f>
        <v/>
      </c>
      <c r="CX12" s="316" t="str">
        <f>IFERROR(IF($C12&lt;1,"",CX$3*일별반별!DA12),0)</f>
        <v/>
      </c>
      <c r="CY12" s="316" t="str">
        <f>IF(C12&lt;1,"",(CY$3*'09월 조업일지'!AV$7))</f>
        <v/>
      </c>
      <c r="CZ12" s="316" t="str">
        <f t="shared" si="1"/>
        <v/>
      </c>
      <c r="DA12" s="316" t="str">
        <f t="shared" si="0"/>
        <v/>
      </c>
      <c r="DB12" s="316" t="str">
        <f t="shared" si="0"/>
        <v/>
      </c>
      <c r="DC12" s="316"/>
      <c r="DD12" s="419"/>
    </row>
    <row r="13" spans="1:108" ht="15" customHeight="1">
      <c r="A13" s="274">
        <f t="shared" si="2"/>
        <v>44014</v>
      </c>
      <c r="B13" s="275" t="s">
        <v>100</v>
      </c>
      <c r="C13" s="201">
        <f>COUNTIFS('09월 조업일지'!$A$12:$A$952,A11,'09월 조업일지'!$E$12:$E$952,B13)</f>
        <v>0</v>
      </c>
      <c r="D13" s="314">
        <f>IF(C13&lt;1,0,(SUM(E13:CX13)/(일별반별!BV13-1.5)+(CY13+CZ13+DA13+DB13)))</f>
        <v>0</v>
      </c>
      <c r="E13" s="278"/>
      <c r="F13" s="281"/>
      <c r="G13" s="282"/>
      <c r="H13" s="283"/>
      <c r="I13" s="283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326"/>
      <c r="U13" s="395" t="str">
        <f>IFERROR(IF($C13&lt;1,"",U$3*일별반별!X13),0)</f>
        <v/>
      </c>
      <c r="V13" s="395" t="str">
        <f>IFERROR(IF($C13&lt;1,"",V$3*일별반별!Y13),0)</f>
        <v/>
      </c>
      <c r="W13" s="395" t="str">
        <f>IFERROR(IF($C13&lt;1,"",W$3*일별반별!Z13),0)</f>
        <v/>
      </c>
      <c r="X13" s="208" t="str">
        <f>IFERROR(IF($C13&lt;1,"",X$3*일별반별!AA13),0)</f>
        <v/>
      </c>
      <c r="Y13" s="208" t="str">
        <f>IFERROR(IF($C13&lt;1,"",Y$3*일별반별!AB13),0)</f>
        <v/>
      </c>
      <c r="Z13" s="208" t="str">
        <f>IFERROR(IF($C13&lt;1,"",Z$3*일별반별!AC13),0)</f>
        <v/>
      </c>
      <c r="AA13" s="395" t="str">
        <f>IFERROR(IF($C13&lt;1,"",AA$3*일별반별!AD13),0)</f>
        <v/>
      </c>
      <c r="AB13" s="395" t="str">
        <f>IFERROR(IF($C13&lt;1,"",AB$3*일별반별!AE13),0)</f>
        <v/>
      </c>
      <c r="AC13" s="208" t="str">
        <f>IFERROR(IF($C13&lt;1,"",AC$3*일별반별!AF13),0)</f>
        <v/>
      </c>
      <c r="AD13" s="208" t="str">
        <f>IFERROR(IF($C13&lt;1,"",AD$3*일별반별!AG13),0)</f>
        <v/>
      </c>
      <c r="AE13" s="208" t="str">
        <f>IFERROR(IF($C13&lt;1,"",AE$3*일별반별!AH13),0)</f>
        <v/>
      </c>
      <c r="AF13" s="395" t="str">
        <f>IFERROR(IF($C13&lt;1,"",AF$3*일별반별!AI13),0)</f>
        <v/>
      </c>
      <c r="AG13" s="395" t="str">
        <f>IFERROR(IF($C13&lt;1,"",AG$3*일별반별!AJ13),0)</f>
        <v/>
      </c>
      <c r="AH13" s="395" t="str">
        <f>IFERROR(IF($C13&lt;1,"",AH$3*일별반별!AK13),0)</f>
        <v/>
      </c>
      <c r="AI13" s="395" t="str">
        <f>IFERROR(IF($C13&lt;1,"",AI$3*일별반별!AL13),0)</f>
        <v/>
      </c>
      <c r="AJ13" s="395" t="str">
        <f>IFERROR(IF($C13&lt;1,"",AJ$3*일별반별!AM13),0)</f>
        <v/>
      </c>
      <c r="AK13" s="395" t="str">
        <f>IFERROR(IF($C13&lt;1,"",AK$3*일별반별!AN13),0)</f>
        <v/>
      </c>
      <c r="AL13" s="395" t="str">
        <f>IFERROR(IF($C13&lt;1,"",AL$3*일별반별!AO13),0)</f>
        <v/>
      </c>
      <c r="AM13" s="395" t="str">
        <f>IFERROR(IF($C13&lt;1,"",AM$3*일별반별!AP13),0)</f>
        <v/>
      </c>
      <c r="AN13" s="395" t="str">
        <f>IFERROR(IF($C13&lt;1,"",AN$3*일별반별!AQ13),0)</f>
        <v/>
      </c>
      <c r="AO13" s="395" t="str">
        <f>IFERROR(IF($C13&lt;1,"",AO$3*일별반별!AR13),0)</f>
        <v/>
      </c>
      <c r="AP13" s="347" t="str">
        <f>IFERROR(IF($C13&lt;1,"",AP$3*일별반별!AS13),0)</f>
        <v/>
      </c>
      <c r="AQ13" s="347" t="str">
        <f>IFERROR(IF($C13&lt;1,"",AQ$3*일별반별!AT13),0)</f>
        <v/>
      </c>
      <c r="AR13" s="316" t="str">
        <f>IFERROR(IF($C13&lt;1,"",AR$3*일별반별!AU13),0)</f>
        <v/>
      </c>
      <c r="AS13" s="401" t="str">
        <f>IFERROR(IF($C13&lt;1,"",AS$3*일별반별!AV13),0)</f>
        <v/>
      </c>
      <c r="AT13" s="401" t="str">
        <f>IFERROR(IF($C13&lt;1,"",AT$3*일별반별!AW13),0)</f>
        <v/>
      </c>
      <c r="AU13" s="401" t="str">
        <f>IFERROR(IF($C13&lt;1,"",AU$3*일별반별!AX13),0)</f>
        <v/>
      </c>
      <c r="AV13" s="401" t="str">
        <f>IFERROR(IF($C13&lt;1,"",AV$3*일별반별!AY13),0)</f>
        <v/>
      </c>
      <c r="AW13" s="401" t="str">
        <f>IFERROR(IF($C13&lt;1,"",AW$3*일별반별!AZ13),0)</f>
        <v/>
      </c>
      <c r="AX13" s="401" t="str">
        <f>IFERROR(IF($C13&lt;1,"",AX$3*일별반별!BA13),0)</f>
        <v/>
      </c>
      <c r="AY13" s="401" t="str">
        <f>IFERROR(IF($C13&lt;1,"",AY$3*일별반별!BB13),0)</f>
        <v/>
      </c>
      <c r="AZ13" s="401" t="str">
        <f>IFERROR(IF($C13&lt;1,"",AZ$3*일별반별!BC13),0)</f>
        <v/>
      </c>
      <c r="BA13" s="401" t="str">
        <f>IFERROR(IF($C13&lt;1,"",BA$3*일별반별!BD13),0)</f>
        <v/>
      </c>
      <c r="BB13" s="402" t="str">
        <f>IFERROR(IF($C13&lt;1,"",BB$3*일별반별!BE13),0)</f>
        <v/>
      </c>
      <c r="BC13" s="402" t="str">
        <f>IFERROR(IF($C13&lt;1,"",BC$3*일별반별!BF13),0)</f>
        <v/>
      </c>
      <c r="BD13" s="402" t="str">
        <f>IFERROR(IF($C13&lt;1,"",BD$3*일별반별!BG13),0)</f>
        <v/>
      </c>
      <c r="BE13" s="402" t="str">
        <f>IFERROR(IF($C13&lt;1,"",BE$3*일별반별!BH13),0)</f>
        <v/>
      </c>
      <c r="BF13" s="402" t="str">
        <f>IFERROR(IF($C13&lt;1,"",BF$3*일별반별!BI13),0)</f>
        <v/>
      </c>
      <c r="BG13" s="402" t="str">
        <f>IFERROR(IF($C13&lt;1,"",BG$3*일별반별!BJ13),0)</f>
        <v/>
      </c>
      <c r="BH13" s="402" t="str">
        <f>IFERROR(IF($C13&lt;1,"",BH$3*일별반별!BK13),0)</f>
        <v/>
      </c>
      <c r="BI13" s="402" t="str">
        <f>IFERROR(IF($C13&lt;1,"",BI$3*일별반별!BL13),0)</f>
        <v/>
      </c>
      <c r="BJ13" s="402" t="str">
        <f>IFERROR(IF($C13&lt;1,"",BJ$3*일별반별!BM13),0)</f>
        <v/>
      </c>
      <c r="BK13" s="402" t="str">
        <f>IFERROR(IF($C13&lt;1,"",BK$3*일별반별!BN13),0)</f>
        <v/>
      </c>
      <c r="BL13" s="402" t="str">
        <f>IFERROR(IF($C13&lt;1,"",BL$3*일별반별!BH13),0)</f>
        <v/>
      </c>
      <c r="BM13" s="402" t="str">
        <f>IFERROR(IF($C13&lt;1,"",BM$3*일별반별!BP13),0)</f>
        <v/>
      </c>
      <c r="BN13" s="401" t="str">
        <f>IFERROR(IF($C13&lt;1,"",BN$3*일별반별!BQ13),0)</f>
        <v/>
      </c>
      <c r="BO13" s="401" t="str">
        <f>IFERROR(IF($C13&lt;1,"",BO$3*일별반별!BR13),0)</f>
        <v/>
      </c>
      <c r="BP13" s="401" t="str">
        <f>IFERROR(IF($C13&lt;1,"",BP$3*일별반별!BS13),0)</f>
        <v/>
      </c>
      <c r="BQ13" s="401" t="str">
        <f>IFERROR(IF($C13&lt;1,"",BQ$3*일별반별!BT13),0)</f>
        <v/>
      </c>
      <c r="BR13" s="417" t="str">
        <f>IFERROR(IF($C13&lt;1,"",BR$3*일별반별!BU13),0)</f>
        <v/>
      </c>
      <c r="BS13" s="417" t="str">
        <f>IFERROR(IF($C13&lt;1,"",BS$3*일별반별!BV13),0)</f>
        <v/>
      </c>
      <c r="BT13" s="417" t="str">
        <f>IFERROR(IF($C13&lt;1,"",BT$3*일별반별!BW13),0)</f>
        <v/>
      </c>
      <c r="BU13" s="316" t="str">
        <f>IFERROR(IF($C13&lt;1,"",BU$3*일별반별!BX13),0)</f>
        <v/>
      </c>
      <c r="BV13" s="316" t="str">
        <f>IFERROR(IF($C13&lt;1,"",BV$3*일별반별!BY13),0)</f>
        <v/>
      </c>
      <c r="BW13" s="316" t="str">
        <f>IFERROR(IF($C13&lt;1,"",BW$3*일별반별!BZ13),0)</f>
        <v/>
      </c>
      <c r="BX13" s="316" t="str">
        <f>IFERROR(IF($C13&lt;1,"",BX$3*일별반별!CA13),0)</f>
        <v/>
      </c>
      <c r="BY13" s="316" t="str">
        <f>IFERROR(IF($C13&lt;1,"",BY$3*일별반별!CB13),0)</f>
        <v/>
      </c>
      <c r="BZ13" s="316" t="str">
        <f>IFERROR(IF($C13&lt;1,"",BZ$3*일별반별!CC13),0)</f>
        <v/>
      </c>
      <c r="CA13" s="316" t="str">
        <f>IFERROR(IF($C13&lt;1,"",CA$3*일별반별!CD13),0)</f>
        <v/>
      </c>
      <c r="CB13" s="316" t="str">
        <f>IFERROR(IF($C13&lt;1,"",CB$3*일별반별!CE13),0)</f>
        <v/>
      </c>
      <c r="CC13" s="316" t="str">
        <f>IFERROR(IF($C13&lt;1,"",CC$3*일별반별!CF13),0)</f>
        <v/>
      </c>
      <c r="CD13" s="316" t="str">
        <f>IFERROR(IF($C13&lt;1,"",CD$3*일별반별!CG13),0)</f>
        <v/>
      </c>
      <c r="CE13" s="316" t="str">
        <f>IFERROR(IF($C13&lt;1,"",CE$3*일별반별!CH13),0)</f>
        <v/>
      </c>
      <c r="CF13" s="316" t="str">
        <f>IFERROR(IF($C13&lt;1,"",CF$3*일별반별!CI13),0)</f>
        <v/>
      </c>
      <c r="CG13" s="316" t="str">
        <f>IFERROR(IF($C13&lt;1,"",CG$3*일별반별!CJ13),0)</f>
        <v/>
      </c>
      <c r="CH13" s="316" t="str">
        <f>IFERROR(IF($C13&lt;1,"",CH$3*일별반별!CK13),0)</f>
        <v/>
      </c>
      <c r="CI13" s="316" t="str">
        <f>IFERROR(IF($C13&lt;1,"",CI$3*일별반별!CL13),0)</f>
        <v/>
      </c>
      <c r="CJ13" s="316" t="str">
        <f>IFERROR(IF($C13&lt;1,"",CJ$3*일별반별!CM13),0)</f>
        <v/>
      </c>
      <c r="CK13" s="316" t="str">
        <f>IFERROR(IF($C13&lt;1,"",CK$3*일별반별!CN13),0)</f>
        <v/>
      </c>
      <c r="CL13" s="316" t="str">
        <f>IFERROR(IF($C13&lt;1,"",CL$3*일별반별!CO13),0)</f>
        <v/>
      </c>
      <c r="CM13" s="316" t="str">
        <f>IFERROR(IF($C13&lt;1,"",CM$3*일별반별!CP13),0)</f>
        <v/>
      </c>
      <c r="CN13" s="316" t="str">
        <f>IFERROR(IF($C13&lt;1,"",CN$3*일별반별!CQ13),0)</f>
        <v/>
      </c>
      <c r="CO13" s="316" t="str">
        <f>IFERROR(IF($C13&lt;1,"",CO$3*일별반별!CR13),0)</f>
        <v/>
      </c>
      <c r="CP13" s="316" t="str">
        <f>IFERROR(IF($C13&lt;1,"",CP$3*일별반별!CS13),0)</f>
        <v/>
      </c>
      <c r="CQ13" s="316" t="str">
        <f>IFERROR(IF($C13&lt;1,"",CQ$3*일별반별!CT13),0)</f>
        <v/>
      </c>
      <c r="CR13" s="418" t="str">
        <f>IFERROR(IF($C13&lt;1,"",CR$3*일별반별!CU13),0)</f>
        <v/>
      </c>
      <c r="CS13" s="418" t="str">
        <f>IFERROR(IF($C13&lt;1,"",CS$3*일별반별!CV13),0)</f>
        <v/>
      </c>
      <c r="CT13" s="316" t="str">
        <f>IFERROR(IF($C13&lt;1,"",CT$3*일별반별!CW13),0)</f>
        <v/>
      </c>
      <c r="CU13" s="316" t="str">
        <f>IFERROR(IF($C13&lt;1,"",CU$3*일별반별!CX13),0)</f>
        <v/>
      </c>
      <c r="CV13" s="316" t="str">
        <f>IFERROR(IF($C13&lt;1,"",CV$3*일별반별!CY13),0)</f>
        <v/>
      </c>
      <c r="CW13" s="316" t="str">
        <f>IFERROR(IF($C13&lt;1,"",CW$3*일별반별!CZ13),0)</f>
        <v/>
      </c>
      <c r="CX13" s="316" t="str">
        <f>IFERROR(IF($C13&lt;1,"",CX$3*일별반별!DA13),0)</f>
        <v/>
      </c>
      <c r="CY13" s="316" t="str">
        <f>IF(C13&lt;1,"",(CY$3*'09월 조업일지'!AV$7))</f>
        <v/>
      </c>
      <c r="CZ13" s="316" t="str">
        <f t="shared" si="1"/>
        <v/>
      </c>
      <c r="DA13" s="316" t="str">
        <f t="shared" si="0"/>
        <v/>
      </c>
      <c r="DB13" s="316" t="str">
        <f t="shared" si="0"/>
        <v/>
      </c>
      <c r="DC13" s="316"/>
      <c r="DD13" s="419"/>
    </row>
    <row r="14" spans="1:108" ht="15" customHeight="1">
      <c r="A14" s="274">
        <f t="shared" si="2"/>
        <v>44014</v>
      </c>
      <c r="B14" s="275" t="s">
        <v>10</v>
      </c>
      <c r="C14" s="201">
        <f>COUNTIFS('09월 조업일지'!$A$12:$A$952,A11,'09월 조업일지'!$E$12:$E$952,B14)</f>
        <v>0</v>
      </c>
      <c r="D14" s="314">
        <f>IF(C14&lt;1,0,(SUM(E14:CX14)/(일별반별!BV14-1.5)+(CY14+CZ14+DA14+DB14)))</f>
        <v>0</v>
      </c>
      <c r="E14" s="278"/>
      <c r="F14" s="281"/>
      <c r="G14" s="282"/>
      <c r="H14" s="283"/>
      <c r="I14" s="283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326"/>
      <c r="U14" s="395" t="str">
        <f>IFERROR(IF($C14&lt;1,"",U$3*일별반별!X14),0)</f>
        <v/>
      </c>
      <c r="V14" s="395" t="str">
        <f>IFERROR(IF($C14&lt;1,"",V$3*일별반별!Y14),0)</f>
        <v/>
      </c>
      <c r="W14" s="395" t="str">
        <f>IFERROR(IF($C14&lt;1,"",W$3*일별반별!Z14),0)</f>
        <v/>
      </c>
      <c r="X14" s="208" t="str">
        <f>IFERROR(IF($C14&lt;1,"",X$3*일별반별!AA14),0)</f>
        <v/>
      </c>
      <c r="Y14" s="208" t="str">
        <f>IFERROR(IF($C14&lt;1,"",Y$3*일별반별!AB14),0)</f>
        <v/>
      </c>
      <c r="Z14" s="208" t="str">
        <f>IFERROR(IF($C14&lt;1,"",Z$3*일별반별!AC14),0)</f>
        <v/>
      </c>
      <c r="AA14" s="395" t="str">
        <f>IFERROR(IF($C14&lt;1,"",AA$3*일별반별!AD14),0)</f>
        <v/>
      </c>
      <c r="AB14" s="395" t="str">
        <f>IFERROR(IF($C14&lt;1,"",AB$3*일별반별!AE14),0)</f>
        <v/>
      </c>
      <c r="AC14" s="208" t="str">
        <f>IFERROR(IF($C14&lt;1,"",AC$3*일별반별!AF14),0)</f>
        <v/>
      </c>
      <c r="AD14" s="208" t="str">
        <f>IFERROR(IF($C14&lt;1,"",AD$3*일별반별!AG14),0)</f>
        <v/>
      </c>
      <c r="AE14" s="208" t="str">
        <f>IFERROR(IF($C14&lt;1,"",AE$3*일별반별!AH14),0)</f>
        <v/>
      </c>
      <c r="AF14" s="395" t="str">
        <f>IFERROR(IF($C14&lt;1,"",AF$3*일별반별!AI14),0)</f>
        <v/>
      </c>
      <c r="AG14" s="395" t="str">
        <f>IFERROR(IF($C14&lt;1,"",AG$3*일별반별!AJ14),0)</f>
        <v/>
      </c>
      <c r="AH14" s="395" t="str">
        <f>IFERROR(IF($C14&lt;1,"",AH$3*일별반별!AK14),0)</f>
        <v/>
      </c>
      <c r="AI14" s="395" t="str">
        <f>IFERROR(IF($C14&lt;1,"",AI$3*일별반별!AL14),0)</f>
        <v/>
      </c>
      <c r="AJ14" s="395" t="str">
        <f>IFERROR(IF($C14&lt;1,"",AJ$3*일별반별!AM14),0)</f>
        <v/>
      </c>
      <c r="AK14" s="395" t="str">
        <f>IFERROR(IF($C14&lt;1,"",AK$3*일별반별!AN14),0)</f>
        <v/>
      </c>
      <c r="AL14" s="395" t="str">
        <f>IFERROR(IF($C14&lt;1,"",AL$3*일별반별!AO14),0)</f>
        <v/>
      </c>
      <c r="AM14" s="395" t="str">
        <f>IFERROR(IF($C14&lt;1,"",AM$3*일별반별!AP14),0)</f>
        <v/>
      </c>
      <c r="AN14" s="395" t="str">
        <f>IFERROR(IF($C14&lt;1,"",AN$3*일별반별!AQ14),0)</f>
        <v/>
      </c>
      <c r="AO14" s="395" t="str">
        <f>IFERROR(IF($C14&lt;1,"",AO$3*일별반별!AR14),0)</f>
        <v/>
      </c>
      <c r="AP14" s="347" t="str">
        <f>IFERROR(IF($C14&lt;1,"",AP$3*일별반별!AS14),0)</f>
        <v/>
      </c>
      <c r="AQ14" s="347" t="str">
        <f>IFERROR(IF($C14&lt;1,"",AQ$3*일별반별!AT14),0)</f>
        <v/>
      </c>
      <c r="AR14" s="316" t="str">
        <f>IFERROR(IF($C14&lt;1,"",AR$3*일별반별!AU14),0)</f>
        <v/>
      </c>
      <c r="AS14" s="401" t="str">
        <f>IFERROR(IF($C14&lt;1,"",AS$3*일별반별!AV14),0)</f>
        <v/>
      </c>
      <c r="AT14" s="401" t="str">
        <f>IFERROR(IF($C14&lt;1,"",AT$3*일별반별!AW14),0)</f>
        <v/>
      </c>
      <c r="AU14" s="401" t="str">
        <f>IFERROR(IF($C14&lt;1,"",AU$3*일별반별!AX14),0)</f>
        <v/>
      </c>
      <c r="AV14" s="401" t="str">
        <f>IFERROR(IF($C14&lt;1,"",AV$3*일별반별!AY14),0)</f>
        <v/>
      </c>
      <c r="AW14" s="401" t="str">
        <f>IFERROR(IF($C14&lt;1,"",AW$3*일별반별!AZ14),0)</f>
        <v/>
      </c>
      <c r="AX14" s="401" t="str">
        <f>IFERROR(IF($C14&lt;1,"",AX$3*일별반별!BA14),0)</f>
        <v/>
      </c>
      <c r="AY14" s="401" t="str">
        <f>IFERROR(IF($C14&lt;1,"",AY$3*일별반별!BB14),0)</f>
        <v/>
      </c>
      <c r="AZ14" s="401" t="str">
        <f>IFERROR(IF($C14&lt;1,"",AZ$3*일별반별!BC14),0)</f>
        <v/>
      </c>
      <c r="BA14" s="401" t="str">
        <f>IFERROR(IF($C14&lt;1,"",BA$3*일별반별!BD14),0)</f>
        <v/>
      </c>
      <c r="BB14" s="402" t="str">
        <f>IFERROR(IF($C14&lt;1,"",BB$3*일별반별!BE14),0)</f>
        <v/>
      </c>
      <c r="BC14" s="402" t="str">
        <f>IFERROR(IF($C14&lt;1,"",BC$3*일별반별!BF14),0)</f>
        <v/>
      </c>
      <c r="BD14" s="402" t="str">
        <f>IFERROR(IF($C14&lt;1,"",BD$3*일별반별!BG14),0)</f>
        <v/>
      </c>
      <c r="BE14" s="402" t="str">
        <f>IFERROR(IF($C14&lt;1,"",BE$3*일별반별!BH14),0)</f>
        <v/>
      </c>
      <c r="BF14" s="402" t="str">
        <f>IFERROR(IF($C14&lt;1,"",BF$3*일별반별!BI14),0)</f>
        <v/>
      </c>
      <c r="BG14" s="402" t="str">
        <f>IFERROR(IF($C14&lt;1,"",BG$3*일별반별!BJ14),0)</f>
        <v/>
      </c>
      <c r="BH14" s="402" t="str">
        <f>IFERROR(IF($C14&lt;1,"",BH$3*일별반별!BK14),0)</f>
        <v/>
      </c>
      <c r="BI14" s="402" t="str">
        <f>IFERROR(IF($C14&lt;1,"",BI$3*일별반별!BL14),0)</f>
        <v/>
      </c>
      <c r="BJ14" s="402" t="str">
        <f>IFERROR(IF($C14&lt;1,"",BJ$3*일별반별!BM14),0)</f>
        <v/>
      </c>
      <c r="BK14" s="402" t="str">
        <f>IFERROR(IF($C14&lt;1,"",BK$3*일별반별!BN14),0)</f>
        <v/>
      </c>
      <c r="BL14" s="402" t="str">
        <f>IFERROR(IF($C14&lt;1,"",BL$3*일별반별!BH14),0)</f>
        <v/>
      </c>
      <c r="BM14" s="402" t="str">
        <f>IFERROR(IF($C14&lt;1,"",BM$3*일별반별!BP14),0)</f>
        <v/>
      </c>
      <c r="BN14" s="401" t="str">
        <f>IFERROR(IF($C14&lt;1,"",BN$3*일별반별!BQ14),0)</f>
        <v/>
      </c>
      <c r="BO14" s="401" t="str">
        <f>IFERROR(IF($C14&lt;1,"",BO$3*일별반별!BR14),0)</f>
        <v/>
      </c>
      <c r="BP14" s="401" t="str">
        <f>IFERROR(IF($C14&lt;1,"",BP$3*일별반별!BS14),0)</f>
        <v/>
      </c>
      <c r="BQ14" s="401" t="str">
        <f>IFERROR(IF($C14&lt;1,"",BQ$3*일별반별!BT14),0)</f>
        <v/>
      </c>
      <c r="BR14" s="417" t="str">
        <f>IFERROR(IF($C14&lt;1,"",BR$3*일별반별!BU14),0)</f>
        <v/>
      </c>
      <c r="BS14" s="417" t="str">
        <f>IFERROR(IF($C14&lt;1,"",BS$3*일별반별!BV14),0)</f>
        <v/>
      </c>
      <c r="BT14" s="417" t="str">
        <f>IFERROR(IF($C14&lt;1,"",BT$3*일별반별!BW14),0)</f>
        <v/>
      </c>
      <c r="BU14" s="316" t="str">
        <f>IFERROR(IF($C14&lt;1,"",BU$3*일별반별!BX14),0)</f>
        <v/>
      </c>
      <c r="BV14" s="316" t="str">
        <f>IFERROR(IF($C14&lt;1,"",BV$3*일별반별!BY14),0)</f>
        <v/>
      </c>
      <c r="BW14" s="316" t="str">
        <f>IFERROR(IF($C14&lt;1,"",BW$3*일별반별!BZ14),0)</f>
        <v/>
      </c>
      <c r="BX14" s="316" t="str">
        <f>IFERROR(IF($C14&lt;1,"",BX$3*일별반별!CA14),0)</f>
        <v/>
      </c>
      <c r="BY14" s="316" t="str">
        <f>IFERROR(IF($C14&lt;1,"",BY$3*일별반별!CB14),0)</f>
        <v/>
      </c>
      <c r="BZ14" s="316" t="str">
        <f>IFERROR(IF($C14&lt;1,"",BZ$3*일별반별!CC14),0)</f>
        <v/>
      </c>
      <c r="CA14" s="316" t="str">
        <f>IFERROR(IF($C14&lt;1,"",CA$3*일별반별!CD14),0)</f>
        <v/>
      </c>
      <c r="CB14" s="316" t="str">
        <f>IFERROR(IF($C14&lt;1,"",CB$3*일별반별!CE14),0)</f>
        <v/>
      </c>
      <c r="CC14" s="316" t="str">
        <f>IFERROR(IF($C14&lt;1,"",CC$3*일별반별!CF14),0)</f>
        <v/>
      </c>
      <c r="CD14" s="316" t="str">
        <f>IFERROR(IF($C14&lt;1,"",CD$3*일별반별!CG14),0)</f>
        <v/>
      </c>
      <c r="CE14" s="316" t="str">
        <f>IFERROR(IF($C14&lt;1,"",CE$3*일별반별!CH14),0)</f>
        <v/>
      </c>
      <c r="CF14" s="316" t="str">
        <f>IFERROR(IF($C14&lt;1,"",CF$3*일별반별!CI14),0)</f>
        <v/>
      </c>
      <c r="CG14" s="316" t="str">
        <f>IFERROR(IF($C14&lt;1,"",CG$3*일별반별!CJ14),0)</f>
        <v/>
      </c>
      <c r="CH14" s="316" t="str">
        <f>IFERROR(IF($C14&lt;1,"",CH$3*일별반별!CK14),0)</f>
        <v/>
      </c>
      <c r="CI14" s="316" t="str">
        <f>IFERROR(IF($C14&lt;1,"",CI$3*일별반별!CL14),0)</f>
        <v/>
      </c>
      <c r="CJ14" s="316" t="str">
        <f>IFERROR(IF($C14&lt;1,"",CJ$3*일별반별!CM14),0)</f>
        <v/>
      </c>
      <c r="CK14" s="316" t="str">
        <f>IFERROR(IF($C14&lt;1,"",CK$3*일별반별!CN14),0)</f>
        <v/>
      </c>
      <c r="CL14" s="316" t="str">
        <f>IFERROR(IF($C14&lt;1,"",CL$3*일별반별!CO14),0)</f>
        <v/>
      </c>
      <c r="CM14" s="316" t="str">
        <f>IFERROR(IF($C14&lt;1,"",CM$3*일별반별!CP14),0)</f>
        <v/>
      </c>
      <c r="CN14" s="316" t="str">
        <f>IFERROR(IF($C14&lt;1,"",CN$3*일별반별!CQ14),0)</f>
        <v/>
      </c>
      <c r="CO14" s="316" t="str">
        <f>IFERROR(IF($C14&lt;1,"",CO$3*일별반별!CR14),0)</f>
        <v/>
      </c>
      <c r="CP14" s="316" t="str">
        <f>IFERROR(IF($C14&lt;1,"",CP$3*일별반별!CS14),0)</f>
        <v/>
      </c>
      <c r="CQ14" s="316" t="str">
        <f>IFERROR(IF($C14&lt;1,"",CQ$3*일별반별!CT14),0)</f>
        <v/>
      </c>
      <c r="CR14" s="418" t="str">
        <f>IFERROR(IF($C14&lt;1,"",CR$3*일별반별!CU14),0)</f>
        <v/>
      </c>
      <c r="CS14" s="418" t="str">
        <f>IFERROR(IF($C14&lt;1,"",CS$3*일별반별!CV14),0)</f>
        <v/>
      </c>
      <c r="CT14" s="316" t="str">
        <f>IFERROR(IF($C14&lt;1,"",CT$3*일별반별!CW14),0)</f>
        <v/>
      </c>
      <c r="CU14" s="316" t="str">
        <f>IFERROR(IF($C14&lt;1,"",CU$3*일별반별!CX14),0)</f>
        <v/>
      </c>
      <c r="CV14" s="316" t="str">
        <f>IFERROR(IF($C14&lt;1,"",CV$3*일별반별!CY14),0)</f>
        <v/>
      </c>
      <c r="CW14" s="316" t="str">
        <f>IFERROR(IF($C14&lt;1,"",CW$3*일별반별!CZ14),0)</f>
        <v/>
      </c>
      <c r="CX14" s="316" t="str">
        <f>IFERROR(IF($C14&lt;1,"",CX$3*일별반별!DA14),0)</f>
        <v/>
      </c>
      <c r="CY14" s="316" t="str">
        <f>IF(C14&lt;1,"",(CY$3*'09월 조업일지'!AV$7))</f>
        <v/>
      </c>
      <c r="CZ14" s="316" t="str">
        <f t="shared" si="1"/>
        <v/>
      </c>
      <c r="DA14" s="316" t="str">
        <f t="shared" si="0"/>
        <v/>
      </c>
      <c r="DB14" s="316" t="str">
        <f t="shared" si="0"/>
        <v/>
      </c>
      <c r="DC14" s="316"/>
      <c r="DD14" s="419"/>
    </row>
    <row r="15" spans="1:108" ht="15" customHeight="1">
      <c r="A15" s="274">
        <f t="shared" si="2"/>
        <v>44014</v>
      </c>
      <c r="B15" s="275" t="s">
        <v>94</v>
      </c>
      <c r="C15" s="201">
        <f>COUNTIFS('09월 조업일지'!$A$12:$A$952,A11,'09월 조업일지'!$E$12:$E$952,B15)</f>
        <v>0</v>
      </c>
      <c r="D15" s="314">
        <f>IF(C15&lt;1,0,(SUM(E15:CX15)/(일별반별!BV15-1.5)+(CY15+CZ15+DA15+DB15)))</f>
        <v>0</v>
      </c>
      <c r="E15" s="278"/>
      <c r="F15" s="281"/>
      <c r="G15" s="282"/>
      <c r="H15" s="283"/>
      <c r="I15" s="283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326"/>
      <c r="U15" s="395" t="str">
        <f>IFERROR(IF($C15&lt;1,"",U$3*일별반별!X15),0)</f>
        <v/>
      </c>
      <c r="V15" s="395" t="str">
        <f>IFERROR(IF($C15&lt;1,"",V$3*일별반별!Y15),0)</f>
        <v/>
      </c>
      <c r="W15" s="395" t="str">
        <f>IFERROR(IF($C15&lt;1,"",W$3*일별반별!Z15),0)</f>
        <v/>
      </c>
      <c r="X15" s="208" t="str">
        <f>IFERROR(IF($C15&lt;1,"",X$3*일별반별!AA15),0)</f>
        <v/>
      </c>
      <c r="Y15" s="208" t="str">
        <f>IFERROR(IF($C15&lt;1,"",Y$3*일별반별!AB15),0)</f>
        <v/>
      </c>
      <c r="Z15" s="208" t="str">
        <f>IFERROR(IF($C15&lt;1,"",Z$3*일별반별!AC15),0)</f>
        <v/>
      </c>
      <c r="AA15" s="395" t="str">
        <f>IFERROR(IF($C15&lt;1,"",AA$3*일별반별!AD15),0)</f>
        <v/>
      </c>
      <c r="AB15" s="395" t="str">
        <f>IFERROR(IF($C15&lt;1,"",AB$3*일별반별!AE15),0)</f>
        <v/>
      </c>
      <c r="AC15" s="208" t="str">
        <f>IFERROR(IF($C15&lt;1,"",AC$3*일별반별!AF15),0)</f>
        <v/>
      </c>
      <c r="AD15" s="208" t="str">
        <f>IFERROR(IF($C15&lt;1,"",AD$3*일별반별!AG15),0)</f>
        <v/>
      </c>
      <c r="AE15" s="208" t="str">
        <f>IFERROR(IF($C15&lt;1,"",AE$3*일별반별!AH15),0)</f>
        <v/>
      </c>
      <c r="AF15" s="395" t="str">
        <f>IFERROR(IF($C15&lt;1,"",AF$3*일별반별!AI15),0)</f>
        <v/>
      </c>
      <c r="AG15" s="395" t="str">
        <f>IFERROR(IF($C15&lt;1,"",AG$3*일별반별!AJ15),0)</f>
        <v/>
      </c>
      <c r="AH15" s="395" t="str">
        <f>IFERROR(IF($C15&lt;1,"",AH$3*일별반별!AK15),0)</f>
        <v/>
      </c>
      <c r="AI15" s="395" t="str">
        <f>IFERROR(IF($C15&lt;1,"",AI$3*일별반별!AL15),0)</f>
        <v/>
      </c>
      <c r="AJ15" s="395" t="str">
        <f>IFERROR(IF($C15&lt;1,"",AJ$3*일별반별!AM15),0)</f>
        <v/>
      </c>
      <c r="AK15" s="395" t="str">
        <f>IFERROR(IF($C15&lt;1,"",AK$3*일별반별!AN15),0)</f>
        <v/>
      </c>
      <c r="AL15" s="395" t="str">
        <f>IFERROR(IF($C15&lt;1,"",AL$3*일별반별!AO15),0)</f>
        <v/>
      </c>
      <c r="AM15" s="395" t="str">
        <f>IFERROR(IF($C15&lt;1,"",AM$3*일별반별!AP15),0)</f>
        <v/>
      </c>
      <c r="AN15" s="395" t="str">
        <f>IFERROR(IF($C15&lt;1,"",AN$3*일별반별!AQ15),0)</f>
        <v/>
      </c>
      <c r="AO15" s="395" t="str">
        <f>IFERROR(IF($C15&lt;1,"",AO$3*일별반별!AR15),0)</f>
        <v/>
      </c>
      <c r="AP15" s="347" t="str">
        <f>IFERROR(IF($C15&lt;1,"",AP$3*일별반별!AS15),0)</f>
        <v/>
      </c>
      <c r="AQ15" s="347" t="str">
        <f>IFERROR(IF($C15&lt;1,"",AQ$3*일별반별!AT15),0)</f>
        <v/>
      </c>
      <c r="AR15" s="316" t="str">
        <f>IFERROR(IF($C15&lt;1,"",AR$3*일별반별!AU15),0)</f>
        <v/>
      </c>
      <c r="AS15" s="401" t="str">
        <f>IFERROR(IF($C15&lt;1,"",AS$3*일별반별!AV15),0)</f>
        <v/>
      </c>
      <c r="AT15" s="401" t="str">
        <f>IFERROR(IF($C15&lt;1,"",AT$3*일별반별!AW15),0)</f>
        <v/>
      </c>
      <c r="AU15" s="401" t="str">
        <f>IFERROR(IF($C15&lt;1,"",AU$3*일별반별!AX15),0)</f>
        <v/>
      </c>
      <c r="AV15" s="401" t="str">
        <f>IFERROR(IF($C15&lt;1,"",AV$3*일별반별!AY15),0)</f>
        <v/>
      </c>
      <c r="AW15" s="401" t="str">
        <f>IFERROR(IF($C15&lt;1,"",AW$3*일별반별!AZ15),0)</f>
        <v/>
      </c>
      <c r="AX15" s="401" t="str">
        <f>IFERROR(IF($C15&lt;1,"",AX$3*일별반별!BA15),0)</f>
        <v/>
      </c>
      <c r="AY15" s="401" t="str">
        <f>IFERROR(IF($C15&lt;1,"",AY$3*일별반별!BB15),0)</f>
        <v/>
      </c>
      <c r="AZ15" s="401" t="str">
        <f>IFERROR(IF($C15&lt;1,"",AZ$3*일별반별!BC15),0)</f>
        <v/>
      </c>
      <c r="BA15" s="401" t="str">
        <f>IFERROR(IF($C15&lt;1,"",BA$3*일별반별!BD15),0)</f>
        <v/>
      </c>
      <c r="BB15" s="402" t="str">
        <f>IFERROR(IF($C15&lt;1,"",BB$3*일별반별!BE15),0)</f>
        <v/>
      </c>
      <c r="BC15" s="402" t="str">
        <f>IFERROR(IF($C15&lt;1,"",BC$3*일별반별!BF15),0)</f>
        <v/>
      </c>
      <c r="BD15" s="402" t="str">
        <f>IFERROR(IF($C15&lt;1,"",BD$3*일별반별!BG15),0)</f>
        <v/>
      </c>
      <c r="BE15" s="402" t="str">
        <f>IFERROR(IF($C15&lt;1,"",BE$3*일별반별!BH15),0)</f>
        <v/>
      </c>
      <c r="BF15" s="402" t="str">
        <f>IFERROR(IF($C15&lt;1,"",BF$3*일별반별!BI15),0)</f>
        <v/>
      </c>
      <c r="BG15" s="402" t="str">
        <f>IFERROR(IF($C15&lt;1,"",BG$3*일별반별!BJ15),0)</f>
        <v/>
      </c>
      <c r="BH15" s="402" t="str">
        <f>IFERROR(IF($C15&lt;1,"",BH$3*일별반별!BK15),0)</f>
        <v/>
      </c>
      <c r="BI15" s="402" t="str">
        <f>IFERROR(IF($C15&lt;1,"",BI$3*일별반별!BL15),0)</f>
        <v/>
      </c>
      <c r="BJ15" s="402" t="str">
        <f>IFERROR(IF($C15&lt;1,"",BJ$3*일별반별!BM15),0)</f>
        <v/>
      </c>
      <c r="BK15" s="402" t="str">
        <f>IFERROR(IF($C15&lt;1,"",BK$3*일별반별!BN15),0)</f>
        <v/>
      </c>
      <c r="BL15" s="402" t="str">
        <f>IFERROR(IF($C15&lt;1,"",BL$3*일별반별!BH15),0)</f>
        <v/>
      </c>
      <c r="BM15" s="402" t="str">
        <f>IFERROR(IF($C15&lt;1,"",BM$3*일별반별!BP15),0)</f>
        <v/>
      </c>
      <c r="BN15" s="401" t="str">
        <f>IFERROR(IF($C15&lt;1,"",BN$3*일별반별!BQ15),0)</f>
        <v/>
      </c>
      <c r="BO15" s="401" t="str">
        <f>IFERROR(IF($C15&lt;1,"",BO$3*일별반별!BR15),0)</f>
        <v/>
      </c>
      <c r="BP15" s="401" t="str">
        <f>IFERROR(IF($C15&lt;1,"",BP$3*일별반별!BS15),0)</f>
        <v/>
      </c>
      <c r="BQ15" s="401" t="str">
        <f>IFERROR(IF($C15&lt;1,"",BQ$3*일별반별!BT15),0)</f>
        <v/>
      </c>
      <c r="BR15" s="417" t="str">
        <f>IFERROR(IF($C15&lt;1,"",BR$3*일별반별!BU15),0)</f>
        <v/>
      </c>
      <c r="BS15" s="417" t="str">
        <f>IFERROR(IF($C15&lt;1,"",BS$3*일별반별!BV15),0)</f>
        <v/>
      </c>
      <c r="BT15" s="417" t="str">
        <f>IFERROR(IF($C15&lt;1,"",BT$3*일별반별!BW15),0)</f>
        <v/>
      </c>
      <c r="BU15" s="316" t="str">
        <f>IFERROR(IF($C15&lt;1,"",BU$3*일별반별!BX15),0)</f>
        <v/>
      </c>
      <c r="BV15" s="316" t="str">
        <f>IFERROR(IF($C15&lt;1,"",BV$3*일별반별!BY15),0)</f>
        <v/>
      </c>
      <c r="BW15" s="316" t="str">
        <f>IFERROR(IF($C15&lt;1,"",BW$3*일별반별!BZ15),0)</f>
        <v/>
      </c>
      <c r="BX15" s="316" t="str">
        <f>IFERROR(IF($C15&lt;1,"",BX$3*일별반별!CA15),0)</f>
        <v/>
      </c>
      <c r="BY15" s="316" t="str">
        <f>IFERROR(IF($C15&lt;1,"",BY$3*일별반별!CB15),0)</f>
        <v/>
      </c>
      <c r="BZ15" s="316" t="str">
        <f>IFERROR(IF($C15&lt;1,"",BZ$3*일별반별!CC15),0)</f>
        <v/>
      </c>
      <c r="CA15" s="316" t="str">
        <f>IFERROR(IF($C15&lt;1,"",CA$3*일별반별!CD15),0)</f>
        <v/>
      </c>
      <c r="CB15" s="316" t="str">
        <f>IFERROR(IF($C15&lt;1,"",CB$3*일별반별!CE15),0)</f>
        <v/>
      </c>
      <c r="CC15" s="316" t="str">
        <f>IFERROR(IF($C15&lt;1,"",CC$3*일별반별!CF15),0)</f>
        <v/>
      </c>
      <c r="CD15" s="316" t="str">
        <f>IFERROR(IF($C15&lt;1,"",CD$3*일별반별!CG15),0)</f>
        <v/>
      </c>
      <c r="CE15" s="316" t="str">
        <f>IFERROR(IF($C15&lt;1,"",CE$3*일별반별!CH15),0)</f>
        <v/>
      </c>
      <c r="CF15" s="316" t="str">
        <f>IFERROR(IF($C15&lt;1,"",CF$3*일별반별!CI15),0)</f>
        <v/>
      </c>
      <c r="CG15" s="316" t="str">
        <f>IFERROR(IF($C15&lt;1,"",CG$3*일별반별!CJ15),0)</f>
        <v/>
      </c>
      <c r="CH15" s="316" t="str">
        <f>IFERROR(IF($C15&lt;1,"",CH$3*일별반별!CK15),0)</f>
        <v/>
      </c>
      <c r="CI15" s="316" t="str">
        <f>IFERROR(IF($C15&lt;1,"",CI$3*일별반별!CL15),0)</f>
        <v/>
      </c>
      <c r="CJ15" s="316" t="str">
        <f>IFERROR(IF($C15&lt;1,"",CJ$3*일별반별!CM15),0)</f>
        <v/>
      </c>
      <c r="CK15" s="316" t="str">
        <f>IFERROR(IF($C15&lt;1,"",CK$3*일별반별!CN15),0)</f>
        <v/>
      </c>
      <c r="CL15" s="316" t="str">
        <f>IFERROR(IF($C15&lt;1,"",CL$3*일별반별!CO15),0)</f>
        <v/>
      </c>
      <c r="CM15" s="316" t="str">
        <f>IFERROR(IF($C15&lt;1,"",CM$3*일별반별!CP15),0)</f>
        <v/>
      </c>
      <c r="CN15" s="316" t="str">
        <f>IFERROR(IF($C15&lt;1,"",CN$3*일별반별!CQ15),0)</f>
        <v/>
      </c>
      <c r="CO15" s="316" t="str">
        <f>IFERROR(IF($C15&lt;1,"",CO$3*일별반별!CR15),0)</f>
        <v/>
      </c>
      <c r="CP15" s="316" t="str">
        <f>IFERROR(IF($C15&lt;1,"",CP$3*일별반별!CS15),0)</f>
        <v/>
      </c>
      <c r="CQ15" s="316" t="str">
        <f>IFERROR(IF($C15&lt;1,"",CQ$3*일별반별!CT15),0)</f>
        <v/>
      </c>
      <c r="CR15" s="418" t="str">
        <f>IFERROR(IF($C15&lt;1,"",CR$3*일별반별!CU15),0)</f>
        <v/>
      </c>
      <c r="CS15" s="418" t="str">
        <f>IFERROR(IF($C15&lt;1,"",CS$3*일별반별!CV15),0)</f>
        <v/>
      </c>
      <c r="CT15" s="316" t="str">
        <f>IFERROR(IF($C15&lt;1,"",CT$3*일별반별!CW15),0)</f>
        <v/>
      </c>
      <c r="CU15" s="316" t="str">
        <f>IFERROR(IF($C15&lt;1,"",CU$3*일별반별!CX15),0)</f>
        <v/>
      </c>
      <c r="CV15" s="316" t="str">
        <f>IFERROR(IF($C15&lt;1,"",CV$3*일별반별!CY15),0)</f>
        <v/>
      </c>
      <c r="CW15" s="316" t="str">
        <f>IFERROR(IF($C15&lt;1,"",CW$3*일별반별!CZ15),0)</f>
        <v/>
      </c>
      <c r="CX15" s="316" t="str">
        <f>IFERROR(IF($C15&lt;1,"",CX$3*일별반별!DA15),0)</f>
        <v/>
      </c>
      <c r="CY15" s="316" t="str">
        <f>IF(C15&lt;1,"",(CY$3*'09월 조업일지'!AV$7))</f>
        <v/>
      </c>
      <c r="CZ15" s="316" t="str">
        <f t="shared" si="1"/>
        <v/>
      </c>
      <c r="DA15" s="316" t="str">
        <f t="shared" si="0"/>
        <v/>
      </c>
      <c r="DB15" s="316" t="str">
        <f t="shared" si="0"/>
        <v/>
      </c>
      <c r="DC15" s="316"/>
      <c r="DD15" s="419"/>
    </row>
    <row r="16" spans="1:108" ht="15" customHeight="1">
      <c r="A16" s="327">
        <f>A11+1</f>
        <v>44015</v>
      </c>
      <c r="B16" s="328" t="s">
        <v>31</v>
      </c>
      <c r="C16" s="329">
        <f>COUNTIF('09월 조업일지'!$A$12:$A$952,A16)</f>
        <v>0</v>
      </c>
      <c r="D16" s="330">
        <f>IF(C16&lt;1,0,(SUM(E16:CX16)/(일별반별!BV16-1.5)+(CY16+CZ16+DA16+DB16)))</f>
        <v>0</v>
      </c>
      <c r="E16" s="331"/>
      <c r="F16" s="331"/>
      <c r="G16" s="332"/>
      <c r="H16" s="333"/>
      <c r="I16" s="333"/>
      <c r="J16" s="334"/>
      <c r="K16" s="334"/>
      <c r="L16" s="334"/>
      <c r="M16" s="334"/>
      <c r="N16" s="334"/>
      <c r="O16" s="334"/>
      <c r="P16" s="334"/>
      <c r="Q16" s="335"/>
      <c r="R16" s="334"/>
      <c r="S16" s="335"/>
      <c r="T16" s="334"/>
      <c r="U16" s="337" t="str">
        <f>IFERROR(IF($C16&lt;1,"",U$3*일별반별!X16),0)</f>
        <v/>
      </c>
      <c r="V16" s="337" t="str">
        <f>IFERROR(IF($C16&lt;1,"",V$3*일별반별!Y16),0)</f>
        <v/>
      </c>
      <c r="W16" s="337" t="str">
        <f>IFERROR(IF($C16&lt;1,"",W$3*일별반별!Z16),0)</f>
        <v/>
      </c>
      <c r="X16" s="336" t="str">
        <f>IFERROR(IF($C16&lt;1,"",X$3*일별반별!AA16),0)</f>
        <v/>
      </c>
      <c r="Y16" s="336" t="str">
        <f>IFERROR(IF($C16&lt;1,"",Y$3*일별반별!AB16),0)</f>
        <v/>
      </c>
      <c r="Z16" s="336" t="str">
        <f>IFERROR(IF($C16&lt;1,"",Z$3*일별반별!AC16),0)</f>
        <v/>
      </c>
      <c r="AA16" s="337" t="str">
        <f>IFERROR(IF($C16&lt;1,"",AA$3*일별반별!AD16),0)</f>
        <v/>
      </c>
      <c r="AB16" s="337" t="str">
        <f>IFERROR(IF($C16&lt;1,"",AB$3*일별반별!AE16),0)</f>
        <v/>
      </c>
      <c r="AC16" s="336" t="str">
        <f>IFERROR(IF($C16&lt;1,"",AC$3*일별반별!AF16),0)</f>
        <v/>
      </c>
      <c r="AD16" s="336" t="str">
        <f>IFERROR(IF($C16&lt;1,"",AD$3*일별반별!AG16),0)</f>
        <v/>
      </c>
      <c r="AE16" s="336" t="str">
        <f>IFERROR(IF($C16&lt;1,"",AE$3*일별반별!AH16),0)</f>
        <v/>
      </c>
      <c r="AF16" s="337" t="str">
        <f>IFERROR(IF($C16&lt;1,"",AF$3*일별반별!AI16),0)</f>
        <v/>
      </c>
      <c r="AG16" s="337" t="str">
        <f>IFERROR(IF($C16&lt;1,"",AG$3*일별반별!AJ16),0)</f>
        <v/>
      </c>
      <c r="AH16" s="337" t="str">
        <f>IFERROR(IF($C16&lt;1,"",AH$3*일별반별!AK16),0)</f>
        <v/>
      </c>
      <c r="AI16" s="337" t="str">
        <f>IFERROR(IF($C16&lt;1,"",AI$3*일별반별!AL16),0)</f>
        <v/>
      </c>
      <c r="AJ16" s="337" t="str">
        <f>IFERROR(IF($C16&lt;1,"",AJ$3*일별반별!AM16),0)</f>
        <v/>
      </c>
      <c r="AK16" s="337" t="str">
        <f>IFERROR(IF($C16&lt;1,"",AK$3*일별반별!AN16),0)</f>
        <v/>
      </c>
      <c r="AL16" s="337" t="str">
        <f>IFERROR(IF($C16&lt;1,"",AL$3*일별반별!AO16),0)</f>
        <v/>
      </c>
      <c r="AM16" s="337" t="str">
        <f>IFERROR(IF($C16&lt;1,"",AM$3*일별반별!AP16),0)</f>
        <v/>
      </c>
      <c r="AN16" s="337" t="str">
        <f>IFERROR(IF($C16&lt;1,"",AN$3*일별반별!AQ16),0)</f>
        <v/>
      </c>
      <c r="AO16" s="337" t="str">
        <f>IFERROR(IF($C16&lt;1,"",AO$3*일별반별!AR16),0)</f>
        <v/>
      </c>
      <c r="AP16" s="337" t="str">
        <f>IFERROR(IF($C16&lt;1,"",AP$3*일별반별!AS16),0)</f>
        <v/>
      </c>
      <c r="AQ16" s="337" t="str">
        <f>IFERROR(IF($C16&lt;1,"",AQ$3*일별반별!AT16),0)</f>
        <v/>
      </c>
      <c r="AR16" s="337" t="str">
        <f>IFERROR(IF($C16&lt;1,"",AR$3*일별반별!AU16),0)</f>
        <v/>
      </c>
      <c r="AS16" s="403" t="str">
        <f>IFERROR(IF($C16&lt;1,"",AS$3*일별반별!AV16),0)</f>
        <v/>
      </c>
      <c r="AT16" s="403" t="str">
        <f>IFERROR(IF($C16&lt;1,"",AT$3*일별반별!AW16),0)</f>
        <v/>
      </c>
      <c r="AU16" s="403" t="str">
        <f>IFERROR(IF($C16&lt;1,"",AU$3*일별반별!AX16),0)</f>
        <v/>
      </c>
      <c r="AV16" s="403" t="str">
        <f>IFERROR(IF($C16&lt;1,"",AV$3*일별반별!AY16),0)</f>
        <v/>
      </c>
      <c r="AW16" s="403" t="str">
        <f>IFERROR(IF($C16&lt;1,"",AW$3*일별반별!AZ16),0)</f>
        <v/>
      </c>
      <c r="AX16" s="403" t="str">
        <f>IFERROR(IF($C16&lt;1,"",AX$3*일별반별!BA16),0)</f>
        <v/>
      </c>
      <c r="AY16" s="403" t="str">
        <f>IFERROR(IF($C16&lt;1,"",AY$3*일별반별!BB16),0)</f>
        <v/>
      </c>
      <c r="AZ16" s="403" t="str">
        <f>IFERROR(IF($C16&lt;1,"",AZ$3*일별반별!BC16),0)</f>
        <v/>
      </c>
      <c r="BA16" s="403" t="str">
        <f>IFERROR(IF($C16&lt;1,"",BA$3*일별반별!BD16),0)</f>
        <v/>
      </c>
      <c r="BB16" s="403" t="str">
        <f>IFERROR(IF($C16&lt;1,"",BB$3*일별반별!BE16),0)</f>
        <v/>
      </c>
      <c r="BC16" s="403" t="str">
        <f>IFERROR(IF($C16&lt;1,"",BC$3*일별반별!BF16),0)</f>
        <v/>
      </c>
      <c r="BD16" s="403" t="str">
        <f>IFERROR(IF($C16&lt;1,"",BD$3*일별반별!BG16),0)</f>
        <v/>
      </c>
      <c r="BE16" s="403" t="str">
        <f>IFERROR(IF($C16&lt;1,"",BE$3*일별반별!BH16),0)</f>
        <v/>
      </c>
      <c r="BF16" s="403" t="str">
        <f>IFERROR(IF($C16&lt;1,"",BF$3*일별반별!BI16),0)</f>
        <v/>
      </c>
      <c r="BG16" s="403" t="str">
        <f>IFERROR(IF($C16&lt;1,"",BG$3*일별반별!BJ16),0)</f>
        <v/>
      </c>
      <c r="BH16" s="403" t="str">
        <f>IFERROR(IF($C16&lt;1,"",BH$3*일별반별!BK16),0)</f>
        <v/>
      </c>
      <c r="BI16" s="403" t="str">
        <f>IFERROR(IF($C16&lt;1,"",BI$3*일별반별!BL16),0)</f>
        <v/>
      </c>
      <c r="BJ16" s="403" t="str">
        <f>IFERROR(IF($C16&lt;1,"",BJ$3*일별반별!BM16),0)</f>
        <v/>
      </c>
      <c r="BK16" s="403" t="str">
        <f>IFERROR(IF($C16&lt;1,"",BK$3*일별반별!BN16),0)</f>
        <v/>
      </c>
      <c r="BL16" s="403" t="str">
        <f>IFERROR(IF($C16&lt;1,"",BL$3*일별반별!BH16),0)</f>
        <v/>
      </c>
      <c r="BM16" s="403" t="str">
        <f>IFERROR(IF($C16&lt;1,"",BM$3*일별반별!BP16),0)</f>
        <v/>
      </c>
      <c r="BN16" s="403" t="str">
        <f>IFERROR(IF($C16&lt;1,"",BN$3*일별반별!BQ16),0)</f>
        <v/>
      </c>
      <c r="BO16" s="403" t="str">
        <f>IFERROR(IF($C16&lt;1,"",BO$3*일별반별!BR16),0)</f>
        <v/>
      </c>
      <c r="BP16" s="403" t="str">
        <f>IFERROR(IF($C16&lt;1,"",BP$3*일별반별!BS16),0)</f>
        <v/>
      </c>
      <c r="BQ16" s="403" t="str">
        <f>IFERROR(IF($C16&lt;1,"",BQ$3*일별반별!BT16),0)</f>
        <v/>
      </c>
      <c r="BR16" s="337" t="str">
        <f>IFERROR(IF($C16&lt;1,"",BR$3*일별반별!BU16),0)</f>
        <v/>
      </c>
      <c r="BS16" s="337" t="str">
        <f>IFERROR(IF($C16&lt;1,"",BS$3*일별반별!BV16),0)</f>
        <v/>
      </c>
      <c r="BT16" s="337" t="str">
        <f>IFERROR(IF($C16&lt;1,"",BT$3*일별반별!BW16),0)</f>
        <v/>
      </c>
      <c r="BU16" s="337" t="str">
        <f>IFERROR(IF($C16&lt;1,"",BU$3*일별반별!BX16),0)</f>
        <v/>
      </c>
      <c r="BV16" s="337" t="str">
        <f>IFERROR(IF($C16&lt;1,"",BV$3*일별반별!BY16),0)</f>
        <v/>
      </c>
      <c r="BW16" s="337" t="str">
        <f>IFERROR(IF($C16&lt;1,"",BW$3*일별반별!BZ16),0)</f>
        <v/>
      </c>
      <c r="BX16" s="337" t="str">
        <f>IFERROR(IF($C16&lt;1,"",BX$3*일별반별!CA16),0)</f>
        <v/>
      </c>
      <c r="BY16" s="337" t="str">
        <f>IFERROR(IF($C16&lt;1,"",BY$3*일별반별!CB16),0)</f>
        <v/>
      </c>
      <c r="BZ16" s="337" t="str">
        <f>IFERROR(IF($C16&lt;1,"",BZ$3*일별반별!CC16),0)</f>
        <v/>
      </c>
      <c r="CA16" s="337" t="str">
        <f>IFERROR(IF($C16&lt;1,"",CA$3*일별반별!CD16),0)</f>
        <v/>
      </c>
      <c r="CB16" s="337" t="str">
        <f>IFERROR(IF($C16&lt;1,"",CB$3*일별반별!CE16),0)</f>
        <v/>
      </c>
      <c r="CC16" s="337" t="str">
        <f>IFERROR(IF($C16&lt;1,"",CC$3*일별반별!CF16),0)</f>
        <v/>
      </c>
      <c r="CD16" s="337" t="str">
        <f>IFERROR(IF($C16&lt;1,"",CD$3*일별반별!CG16),0)</f>
        <v/>
      </c>
      <c r="CE16" s="337" t="str">
        <f>IFERROR(IF($C16&lt;1,"",CE$3*일별반별!CH16),0)</f>
        <v/>
      </c>
      <c r="CF16" s="337" t="str">
        <f>IFERROR(IF($C16&lt;1,"",CF$3*일별반별!CI16),0)</f>
        <v/>
      </c>
      <c r="CG16" s="337" t="str">
        <f>IFERROR(IF($C16&lt;1,"",CG$3*일별반별!CJ16),0)</f>
        <v/>
      </c>
      <c r="CH16" s="337" t="str">
        <f>IFERROR(IF($C16&lt;1,"",CH$3*일별반별!CK16),0)</f>
        <v/>
      </c>
      <c r="CI16" s="337" t="str">
        <f>IFERROR(IF($C16&lt;1,"",CI$3*일별반별!CL16),0)</f>
        <v/>
      </c>
      <c r="CJ16" s="337" t="str">
        <f>IFERROR(IF($C16&lt;1,"",CJ$3*일별반별!CM16),0)</f>
        <v/>
      </c>
      <c r="CK16" s="337" t="str">
        <f>IFERROR(IF($C16&lt;1,"",CK$3*일별반별!CN16),0)</f>
        <v/>
      </c>
      <c r="CL16" s="337" t="str">
        <f>IFERROR(IF($C16&lt;1,"",CL$3*일별반별!CO16),0)</f>
        <v/>
      </c>
      <c r="CM16" s="337" t="str">
        <f>IFERROR(IF($C16&lt;1,"",CM$3*일별반별!CP16),0)</f>
        <v/>
      </c>
      <c r="CN16" s="337" t="str">
        <f>IFERROR(IF($C16&lt;1,"",CN$3*일별반별!CQ16),0)</f>
        <v/>
      </c>
      <c r="CO16" s="337" t="str">
        <f>IFERROR(IF($C16&lt;1,"",CO$3*일별반별!CR16),0)</f>
        <v/>
      </c>
      <c r="CP16" s="337" t="str">
        <f>IFERROR(IF($C16&lt;1,"",CP$3*일별반별!CS16),0)</f>
        <v/>
      </c>
      <c r="CQ16" s="337" t="str">
        <f>IFERROR(IF($C16&lt;1,"",CQ$3*일별반별!CT16),0)</f>
        <v/>
      </c>
      <c r="CR16" s="420" t="str">
        <f>IFERROR(IF($C16&lt;1,"",CR$3*일별반별!CU16),0)</f>
        <v/>
      </c>
      <c r="CS16" s="420" t="str">
        <f>IFERROR(IF($C16&lt;1,"",CS$3*일별반별!CV16),0)</f>
        <v/>
      </c>
      <c r="CT16" s="337" t="str">
        <f>IFERROR(IF($C16&lt;1,"",CT$3*일별반별!CW16),0)</f>
        <v/>
      </c>
      <c r="CU16" s="337" t="str">
        <f>IFERROR(IF($C16&lt;1,"",CU$3*일별반별!CX16),0)</f>
        <v/>
      </c>
      <c r="CV16" s="337" t="str">
        <f>IFERROR(IF($C16&lt;1,"",CV$3*일별반별!CY16),0)</f>
        <v/>
      </c>
      <c r="CW16" s="337" t="str">
        <f>IFERROR(IF($C16&lt;1,"",CW$3*일별반별!CZ16),0)</f>
        <v/>
      </c>
      <c r="CX16" s="337" t="str">
        <f>IFERROR(IF($C16&lt;1,"",CX$3*일별반별!DA16),0)</f>
        <v/>
      </c>
      <c r="CY16" s="316" t="str">
        <f>IF(C16&lt;1,"",(CY$3*'09월 조업일지'!AV$7))</f>
        <v/>
      </c>
      <c r="CZ16" s="316" t="str">
        <f t="shared" si="1"/>
        <v/>
      </c>
      <c r="DA16" s="316" t="str">
        <f t="shared" si="0"/>
        <v/>
      </c>
      <c r="DB16" s="316" t="str">
        <f t="shared" si="0"/>
        <v/>
      </c>
      <c r="DC16" s="316"/>
      <c r="DD16" s="419"/>
    </row>
    <row r="17" spans="1:108" ht="15" customHeight="1">
      <c r="A17" s="274">
        <f t="shared" si="2"/>
        <v>44015</v>
      </c>
      <c r="B17" s="275" t="s">
        <v>9</v>
      </c>
      <c r="C17" s="201">
        <f>COUNTIFS('09월 조업일지'!$A$12:$A$952,A16,'09월 조업일지'!$E$12:$E$952,B17)</f>
        <v>0</v>
      </c>
      <c r="D17" s="314">
        <f>IF(C17&lt;1,0,(SUM(E17:CX17)/(일별반별!BV17-1.5)+(CY17+CZ17+DA17+DB17)))</f>
        <v>0</v>
      </c>
      <c r="E17" s="278"/>
      <c r="F17" s="281"/>
      <c r="G17" s="282"/>
      <c r="H17" s="283"/>
      <c r="I17" s="283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326"/>
      <c r="U17" s="395" t="str">
        <f>IFERROR(IF($C17&lt;1,"",U$3*일별반별!X17),0)</f>
        <v/>
      </c>
      <c r="V17" s="395" t="str">
        <f>IFERROR(IF($C17&lt;1,"",V$3*일별반별!Y17),0)</f>
        <v/>
      </c>
      <c r="W17" s="395" t="str">
        <f>IFERROR(IF($C17&lt;1,"",W$3*일별반별!Z17),0)</f>
        <v/>
      </c>
      <c r="X17" s="208" t="str">
        <f>IFERROR(IF($C17&lt;1,"",X$3*일별반별!AA17),0)</f>
        <v/>
      </c>
      <c r="Y17" s="208" t="str">
        <f>IFERROR(IF($C17&lt;1,"",Y$3*일별반별!AB17),0)</f>
        <v/>
      </c>
      <c r="Z17" s="208" t="str">
        <f>IFERROR(IF($C17&lt;1,"",Z$3*일별반별!AC17),0)</f>
        <v/>
      </c>
      <c r="AA17" s="395" t="str">
        <f>IFERROR(IF($C17&lt;1,"",AA$3*일별반별!AD17),0)</f>
        <v/>
      </c>
      <c r="AB17" s="395" t="str">
        <f>IFERROR(IF($C17&lt;1,"",AB$3*일별반별!AE17),0)</f>
        <v/>
      </c>
      <c r="AC17" s="208" t="str">
        <f>IFERROR(IF($C17&lt;1,"",AC$3*일별반별!AF17),0)</f>
        <v/>
      </c>
      <c r="AD17" s="208" t="str">
        <f>IFERROR(IF($C17&lt;1,"",AD$3*일별반별!AG17),0)</f>
        <v/>
      </c>
      <c r="AE17" s="208" t="str">
        <f>IFERROR(IF($C17&lt;1,"",AE$3*일별반별!AH17),0)</f>
        <v/>
      </c>
      <c r="AF17" s="395" t="str">
        <f>IFERROR(IF($C17&lt;1,"",AF$3*일별반별!AI17),0)</f>
        <v/>
      </c>
      <c r="AG17" s="395" t="str">
        <f>IFERROR(IF($C17&lt;1,"",AG$3*일별반별!AJ17),0)</f>
        <v/>
      </c>
      <c r="AH17" s="395" t="str">
        <f>IFERROR(IF($C17&lt;1,"",AH$3*일별반별!AK17),0)</f>
        <v/>
      </c>
      <c r="AI17" s="395" t="str">
        <f>IFERROR(IF($C17&lt;1,"",AI$3*일별반별!AL17),0)</f>
        <v/>
      </c>
      <c r="AJ17" s="395" t="str">
        <f>IFERROR(IF($C17&lt;1,"",AJ$3*일별반별!AM17),0)</f>
        <v/>
      </c>
      <c r="AK17" s="395" t="str">
        <f>IFERROR(IF($C17&lt;1,"",AK$3*일별반별!AN17),0)</f>
        <v/>
      </c>
      <c r="AL17" s="395" t="str">
        <f>IFERROR(IF($C17&lt;1,"",AL$3*일별반별!AO17),0)</f>
        <v/>
      </c>
      <c r="AM17" s="395" t="str">
        <f>IFERROR(IF($C17&lt;1,"",AM$3*일별반별!AP17),0)</f>
        <v/>
      </c>
      <c r="AN17" s="395" t="str">
        <f>IFERROR(IF($C17&lt;1,"",AN$3*일별반별!AQ17),0)</f>
        <v/>
      </c>
      <c r="AO17" s="395" t="str">
        <f>IFERROR(IF($C17&lt;1,"",AO$3*일별반별!AR17),0)</f>
        <v/>
      </c>
      <c r="AP17" s="347" t="str">
        <f>IFERROR(IF($C17&lt;1,"",AP$3*일별반별!AS17),0)</f>
        <v/>
      </c>
      <c r="AQ17" s="347" t="str">
        <f>IFERROR(IF($C17&lt;1,"",AQ$3*일별반별!AT17),0)</f>
        <v/>
      </c>
      <c r="AR17" s="316" t="str">
        <f>IFERROR(IF($C17&lt;1,"",AR$3*일별반별!AU17),0)</f>
        <v/>
      </c>
      <c r="AS17" s="401" t="str">
        <f>IFERROR(IF($C17&lt;1,"",AS$3*일별반별!AV17),0)</f>
        <v/>
      </c>
      <c r="AT17" s="401" t="str">
        <f>IFERROR(IF($C17&lt;1,"",AT$3*일별반별!AW17),0)</f>
        <v/>
      </c>
      <c r="AU17" s="401" t="str">
        <f>IFERROR(IF($C17&lt;1,"",AU$3*일별반별!AX17),0)</f>
        <v/>
      </c>
      <c r="AV17" s="401" t="str">
        <f>IFERROR(IF($C17&lt;1,"",AV$3*일별반별!AY17),0)</f>
        <v/>
      </c>
      <c r="AW17" s="401" t="str">
        <f>IFERROR(IF($C17&lt;1,"",AW$3*일별반별!AZ17),0)</f>
        <v/>
      </c>
      <c r="AX17" s="401" t="str">
        <f>IFERROR(IF($C17&lt;1,"",AX$3*일별반별!BA17),0)</f>
        <v/>
      </c>
      <c r="AY17" s="401" t="str">
        <f>IFERROR(IF($C17&lt;1,"",AY$3*일별반별!BB17),0)</f>
        <v/>
      </c>
      <c r="AZ17" s="401" t="str">
        <f>IFERROR(IF($C17&lt;1,"",AZ$3*일별반별!BC17),0)</f>
        <v/>
      </c>
      <c r="BA17" s="401" t="str">
        <f>IFERROR(IF($C17&lt;1,"",BA$3*일별반별!BD17),0)</f>
        <v/>
      </c>
      <c r="BB17" s="402" t="str">
        <f>IFERROR(IF($C17&lt;1,"",BB$3*일별반별!BE17),0)</f>
        <v/>
      </c>
      <c r="BC17" s="402" t="str">
        <f>IFERROR(IF($C17&lt;1,"",BC$3*일별반별!BF17),0)</f>
        <v/>
      </c>
      <c r="BD17" s="402" t="str">
        <f>IFERROR(IF($C17&lt;1,"",BD$3*일별반별!BG17),0)</f>
        <v/>
      </c>
      <c r="BE17" s="402" t="str">
        <f>IFERROR(IF($C17&lt;1,"",BE$3*일별반별!BH17),0)</f>
        <v/>
      </c>
      <c r="BF17" s="402" t="str">
        <f>IFERROR(IF($C17&lt;1,"",BF$3*일별반별!BI17),0)</f>
        <v/>
      </c>
      <c r="BG17" s="402" t="str">
        <f>IFERROR(IF($C17&lt;1,"",BG$3*일별반별!BJ17),0)</f>
        <v/>
      </c>
      <c r="BH17" s="402" t="str">
        <f>IFERROR(IF($C17&lt;1,"",BH$3*일별반별!BK17),0)</f>
        <v/>
      </c>
      <c r="BI17" s="402" t="str">
        <f>IFERROR(IF($C17&lt;1,"",BI$3*일별반별!BL17),0)</f>
        <v/>
      </c>
      <c r="BJ17" s="402" t="str">
        <f>IFERROR(IF($C17&lt;1,"",BJ$3*일별반별!BM17),0)</f>
        <v/>
      </c>
      <c r="BK17" s="402" t="str">
        <f>IFERROR(IF($C17&lt;1,"",BK$3*일별반별!BN17),0)</f>
        <v/>
      </c>
      <c r="BL17" s="402" t="str">
        <f>IFERROR(IF($C17&lt;1,"",BL$3*일별반별!BH17),0)</f>
        <v/>
      </c>
      <c r="BM17" s="402" t="str">
        <f>IFERROR(IF($C17&lt;1,"",BM$3*일별반별!BP17),0)</f>
        <v/>
      </c>
      <c r="BN17" s="401" t="str">
        <f>IFERROR(IF($C17&lt;1,"",BN$3*일별반별!BQ17),0)</f>
        <v/>
      </c>
      <c r="BO17" s="401" t="str">
        <f>IFERROR(IF($C17&lt;1,"",BO$3*일별반별!BR17),0)</f>
        <v/>
      </c>
      <c r="BP17" s="401" t="str">
        <f>IFERROR(IF($C17&lt;1,"",BP$3*일별반별!BS17),0)</f>
        <v/>
      </c>
      <c r="BQ17" s="401" t="str">
        <f>IFERROR(IF($C17&lt;1,"",BQ$3*일별반별!BT17),0)</f>
        <v/>
      </c>
      <c r="BR17" s="417" t="str">
        <f>IFERROR(IF($C17&lt;1,"",BR$3*일별반별!BU17),0)</f>
        <v/>
      </c>
      <c r="BS17" s="417" t="str">
        <f>IFERROR(IF($C17&lt;1,"",BS$3*일별반별!BV17),0)</f>
        <v/>
      </c>
      <c r="BT17" s="417" t="str">
        <f>IFERROR(IF($C17&lt;1,"",BT$3*일별반별!BW17),0)</f>
        <v/>
      </c>
      <c r="BU17" s="316" t="str">
        <f>IFERROR(IF($C17&lt;1,"",BU$3*일별반별!BX17),0)</f>
        <v/>
      </c>
      <c r="BV17" s="316" t="str">
        <f>IFERROR(IF($C17&lt;1,"",BV$3*일별반별!BY17),0)</f>
        <v/>
      </c>
      <c r="BW17" s="316" t="str">
        <f>IFERROR(IF($C17&lt;1,"",BW$3*일별반별!BZ17),0)</f>
        <v/>
      </c>
      <c r="BX17" s="316" t="str">
        <f>IFERROR(IF($C17&lt;1,"",BX$3*일별반별!CA17),0)</f>
        <v/>
      </c>
      <c r="BY17" s="316" t="str">
        <f>IFERROR(IF($C17&lt;1,"",BY$3*일별반별!CB17),0)</f>
        <v/>
      </c>
      <c r="BZ17" s="316" t="str">
        <f>IFERROR(IF($C17&lt;1,"",BZ$3*일별반별!CC17),0)</f>
        <v/>
      </c>
      <c r="CA17" s="316" t="str">
        <f>IFERROR(IF($C17&lt;1,"",CA$3*일별반별!CD17),0)</f>
        <v/>
      </c>
      <c r="CB17" s="316" t="str">
        <f>IFERROR(IF($C17&lt;1,"",CB$3*일별반별!CE17),0)</f>
        <v/>
      </c>
      <c r="CC17" s="316" t="str">
        <f>IFERROR(IF($C17&lt;1,"",CC$3*일별반별!CF17),0)</f>
        <v/>
      </c>
      <c r="CD17" s="316" t="str">
        <f>IFERROR(IF($C17&lt;1,"",CD$3*일별반별!CG17),0)</f>
        <v/>
      </c>
      <c r="CE17" s="316" t="str">
        <f>IFERROR(IF($C17&lt;1,"",CE$3*일별반별!CH17),0)</f>
        <v/>
      </c>
      <c r="CF17" s="316" t="str">
        <f>IFERROR(IF($C17&lt;1,"",CF$3*일별반별!CI17),0)</f>
        <v/>
      </c>
      <c r="CG17" s="316" t="str">
        <f>IFERROR(IF($C17&lt;1,"",CG$3*일별반별!CJ17),0)</f>
        <v/>
      </c>
      <c r="CH17" s="316" t="str">
        <f>IFERROR(IF($C17&lt;1,"",CH$3*일별반별!CK17),0)</f>
        <v/>
      </c>
      <c r="CI17" s="316" t="str">
        <f>IFERROR(IF($C17&lt;1,"",CI$3*일별반별!CL17),0)</f>
        <v/>
      </c>
      <c r="CJ17" s="316" t="str">
        <f>IFERROR(IF($C17&lt;1,"",CJ$3*일별반별!CM17),0)</f>
        <v/>
      </c>
      <c r="CK17" s="316" t="str">
        <f>IFERROR(IF($C17&lt;1,"",CK$3*일별반별!CN17),0)</f>
        <v/>
      </c>
      <c r="CL17" s="316" t="str">
        <f>IFERROR(IF($C17&lt;1,"",CL$3*일별반별!CO17),0)</f>
        <v/>
      </c>
      <c r="CM17" s="316" t="str">
        <f>IFERROR(IF($C17&lt;1,"",CM$3*일별반별!CP17),0)</f>
        <v/>
      </c>
      <c r="CN17" s="316" t="str">
        <f>IFERROR(IF($C17&lt;1,"",CN$3*일별반별!CQ17),0)</f>
        <v/>
      </c>
      <c r="CO17" s="316" t="str">
        <f>IFERROR(IF($C17&lt;1,"",CO$3*일별반별!CR17),0)</f>
        <v/>
      </c>
      <c r="CP17" s="316" t="str">
        <f>IFERROR(IF($C17&lt;1,"",CP$3*일별반별!CS17),0)</f>
        <v/>
      </c>
      <c r="CQ17" s="316" t="str">
        <f>IFERROR(IF($C17&lt;1,"",CQ$3*일별반별!CT17),0)</f>
        <v/>
      </c>
      <c r="CR17" s="418" t="str">
        <f>IFERROR(IF($C17&lt;1,"",CR$3*일별반별!CU17),0)</f>
        <v/>
      </c>
      <c r="CS17" s="418" t="str">
        <f>IFERROR(IF($C17&lt;1,"",CS$3*일별반별!CV17),0)</f>
        <v/>
      </c>
      <c r="CT17" s="316" t="str">
        <f>IFERROR(IF($C17&lt;1,"",CT$3*일별반별!CW17),0)</f>
        <v/>
      </c>
      <c r="CU17" s="316" t="str">
        <f>IFERROR(IF($C17&lt;1,"",CU$3*일별반별!CX17),0)</f>
        <v/>
      </c>
      <c r="CV17" s="316" t="str">
        <f>IFERROR(IF($C17&lt;1,"",CV$3*일별반별!CY17),0)</f>
        <v/>
      </c>
      <c r="CW17" s="316" t="str">
        <f>IFERROR(IF($C17&lt;1,"",CW$3*일별반별!CZ17),0)</f>
        <v/>
      </c>
      <c r="CX17" s="316" t="str">
        <f>IFERROR(IF($C17&lt;1,"",CX$3*일별반별!DA17),0)</f>
        <v/>
      </c>
      <c r="CY17" s="316" t="str">
        <f>IF(C17&lt;1,"",(CY$3*'09월 조업일지'!AV$7))</f>
        <v/>
      </c>
      <c r="CZ17" s="316" t="str">
        <f t="shared" si="1"/>
        <v/>
      </c>
      <c r="DA17" s="316" t="str">
        <f t="shared" si="0"/>
        <v/>
      </c>
      <c r="DB17" s="316" t="str">
        <f t="shared" si="0"/>
        <v/>
      </c>
      <c r="DC17" s="316"/>
      <c r="DD17" s="419"/>
    </row>
    <row r="18" spans="1:108" ht="15" customHeight="1">
      <c r="A18" s="274">
        <f t="shared" si="2"/>
        <v>44015</v>
      </c>
      <c r="B18" s="275" t="s">
        <v>100</v>
      </c>
      <c r="C18" s="201">
        <f>COUNTIFS('09월 조업일지'!$A$12:$A$952,A16,'09월 조업일지'!$E$12:$E$952,B18)</f>
        <v>0</v>
      </c>
      <c r="D18" s="314">
        <f>IF(C18&lt;1,0,(SUM(E18:CX18)/(일별반별!BV18-1.5)+(CY18+CZ18+DA18+DB18)))</f>
        <v>0</v>
      </c>
      <c r="E18" s="278"/>
      <c r="F18" s="281"/>
      <c r="G18" s="282"/>
      <c r="H18" s="283"/>
      <c r="I18" s="283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326"/>
      <c r="U18" s="395" t="str">
        <f>IFERROR(IF($C18&lt;1,"",U$3*일별반별!X18),0)</f>
        <v/>
      </c>
      <c r="V18" s="395" t="str">
        <f>IFERROR(IF($C18&lt;1,"",V$3*일별반별!Y18),0)</f>
        <v/>
      </c>
      <c r="W18" s="395" t="str">
        <f>IFERROR(IF($C18&lt;1,"",W$3*일별반별!Z18),0)</f>
        <v/>
      </c>
      <c r="X18" s="208" t="str">
        <f>IFERROR(IF($C18&lt;1,"",X$3*일별반별!AA18),0)</f>
        <v/>
      </c>
      <c r="Y18" s="208" t="str">
        <f>IFERROR(IF($C18&lt;1,"",Y$3*일별반별!AB18),0)</f>
        <v/>
      </c>
      <c r="Z18" s="208" t="str">
        <f>IFERROR(IF($C18&lt;1,"",Z$3*일별반별!AC18),0)</f>
        <v/>
      </c>
      <c r="AA18" s="395" t="str">
        <f>IFERROR(IF($C18&lt;1,"",AA$3*일별반별!AD18),0)</f>
        <v/>
      </c>
      <c r="AB18" s="395" t="str">
        <f>IFERROR(IF($C18&lt;1,"",AB$3*일별반별!AE18),0)</f>
        <v/>
      </c>
      <c r="AC18" s="208" t="str">
        <f>IFERROR(IF($C18&lt;1,"",AC$3*일별반별!AF18),0)</f>
        <v/>
      </c>
      <c r="AD18" s="208" t="str">
        <f>IFERROR(IF($C18&lt;1,"",AD$3*일별반별!AG18),0)</f>
        <v/>
      </c>
      <c r="AE18" s="208" t="str">
        <f>IFERROR(IF($C18&lt;1,"",AE$3*일별반별!AH18),0)</f>
        <v/>
      </c>
      <c r="AF18" s="395" t="str">
        <f>IFERROR(IF($C18&lt;1,"",AF$3*일별반별!AI18),0)</f>
        <v/>
      </c>
      <c r="AG18" s="395" t="str">
        <f>IFERROR(IF($C18&lt;1,"",AG$3*일별반별!AJ18),0)</f>
        <v/>
      </c>
      <c r="AH18" s="395" t="str">
        <f>IFERROR(IF($C18&lt;1,"",AH$3*일별반별!AK18),0)</f>
        <v/>
      </c>
      <c r="AI18" s="395" t="str">
        <f>IFERROR(IF($C18&lt;1,"",AI$3*일별반별!AL18),0)</f>
        <v/>
      </c>
      <c r="AJ18" s="395" t="str">
        <f>IFERROR(IF($C18&lt;1,"",AJ$3*일별반별!AM18),0)</f>
        <v/>
      </c>
      <c r="AK18" s="395" t="str">
        <f>IFERROR(IF($C18&lt;1,"",AK$3*일별반별!AN18),0)</f>
        <v/>
      </c>
      <c r="AL18" s="395" t="str">
        <f>IFERROR(IF($C18&lt;1,"",AL$3*일별반별!AO18),0)</f>
        <v/>
      </c>
      <c r="AM18" s="395" t="str">
        <f>IFERROR(IF($C18&lt;1,"",AM$3*일별반별!AP18),0)</f>
        <v/>
      </c>
      <c r="AN18" s="395" t="str">
        <f>IFERROR(IF($C18&lt;1,"",AN$3*일별반별!AQ18),0)</f>
        <v/>
      </c>
      <c r="AO18" s="395" t="str">
        <f>IFERROR(IF($C18&lt;1,"",AO$3*일별반별!AR18),0)</f>
        <v/>
      </c>
      <c r="AP18" s="347" t="str">
        <f>IFERROR(IF($C18&lt;1,"",AP$3*일별반별!AS18),0)</f>
        <v/>
      </c>
      <c r="AQ18" s="347" t="str">
        <f>IFERROR(IF($C18&lt;1,"",AQ$3*일별반별!AT18),0)</f>
        <v/>
      </c>
      <c r="AR18" s="316" t="str">
        <f>IFERROR(IF($C18&lt;1,"",AR$3*일별반별!AU18),0)</f>
        <v/>
      </c>
      <c r="AS18" s="401" t="str">
        <f>IFERROR(IF($C18&lt;1,"",AS$3*일별반별!AV18),0)</f>
        <v/>
      </c>
      <c r="AT18" s="401" t="str">
        <f>IFERROR(IF($C18&lt;1,"",AT$3*일별반별!AW18),0)</f>
        <v/>
      </c>
      <c r="AU18" s="401" t="str">
        <f>IFERROR(IF($C18&lt;1,"",AU$3*일별반별!AX18),0)</f>
        <v/>
      </c>
      <c r="AV18" s="401" t="str">
        <f>IFERROR(IF($C18&lt;1,"",AV$3*일별반별!AY18),0)</f>
        <v/>
      </c>
      <c r="AW18" s="401" t="str">
        <f>IFERROR(IF($C18&lt;1,"",AW$3*일별반별!AZ18),0)</f>
        <v/>
      </c>
      <c r="AX18" s="401" t="str">
        <f>IFERROR(IF($C18&lt;1,"",AX$3*일별반별!BA18),0)</f>
        <v/>
      </c>
      <c r="AY18" s="401" t="str">
        <f>IFERROR(IF($C18&lt;1,"",AY$3*일별반별!BB18),0)</f>
        <v/>
      </c>
      <c r="AZ18" s="401" t="str">
        <f>IFERROR(IF($C18&lt;1,"",AZ$3*일별반별!BC18),0)</f>
        <v/>
      </c>
      <c r="BA18" s="401" t="str">
        <f>IFERROR(IF($C18&lt;1,"",BA$3*일별반별!BD18),0)</f>
        <v/>
      </c>
      <c r="BB18" s="402" t="str">
        <f>IFERROR(IF($C18&lt;1,"",BB$3*일별반별!BE18),0)</f>
        <v/>
      </c>
      <c r="BC18" s="402" t="str">
        <f>IFERROR(IF($C18&lt;1,"",BC$3*일별반별!BF18),0)</f>
        <v/>
      </c>
      <c r="BD18" s="402" t="str">
        <f>IFERROR(IF($C18&lt;1,"",BD$3*일별반별!BG18),0)</f>
        <v/>
      </c>
      <c r="BE18" s="402" t="str">
        <f>IFERROR(IF($C18&lt;1,"",BE$3*일별반별!BH18),0)</f>
        <v/>
      </c>
      <c r="BF18" s="402" t="str">
        <f>IFERROR(IF($C18&lt;1,"",BF$3*일별반별!BI18),0)</f>
        <v/>
      </c>
      <c r="BG18" s="402" t="str">
        <f>IFERROR(IF($C18&lt;1,"",BG$3*일별반별!BJ18),0)</f>
        <v/>
      </c>
      <c r="BH18" s="402" t="str">
        <f>IFERROR(IF($C18&lt;1,"",BH$3*일별반별!BK18),0)</f>
        <v/>
      </c>
      <c r="BI18" s="402" t="str">
        <f>IFERROR(IF($C18&lt;1,"",BI$3*일별반별!BL18),0)</f>
        <v/>
      </c>
      <c r="BJ18" s="402" t="str">
        <f>IFERROR(IF($C18&lt;1,"",BJ$3*일별반별!BM18),0)</f>
        <v/>
      </c>
      <c r="BK18" s="402" t="str">
        <f>IFERROR(IF($C18&lt;1,"",BK$3*일별반별!BN18),0)</f>
        <v/>
      </c>
      <c r="BL18" s="402" t="str">
        <f>IFERROR(IF($C18&lt;1,"",BL$3*일별반별!BH18),0)</f>
        <v/>
      </c>
      <c r="BM18" s="402" t="str">
        <f>IFERROR(IF($C18&lt;1,"",BM$3*일별반별!BP18),0)</f>
        <v/>
      </c>
      <c r="BN18" s="401" t="str">
        <f>IFERROR(IF($C18&lt;1,"",BN$3*일별반별!BQ18),0)</f>
        <v/>
      </c>
      <c r="BO18" s="401" t="str">
        <f>IFERROR(IF($C18&lt;1,"",BO$3*일별반별!BR18),0)</f>
        <v/>
      </c>
      <c r="BP18" s="401" t="str">
        <f>IFERROR(IF($C18&lt;1,"",BP$3*일별반별!BS18),0)</f>
        <v/>
      </c>
      <c r="BQ18" s="401" t="str">
        <f>IFERROR(IF($C18&lt;1,"",BQ$3*일별반별!BT18),0)</f>
        <v/>
      </c>
      <c r="BR18" s="417" t="str">
        <f>IFERROR(IF($C18&lt;1,"",BR$3*일별반별!BU18),0)</f>
        <v/>
      </c>
      <c r="BS18" s="417" t="str">
        <f>IFERROR(IF($C18&lt;1,"",BS$3*일별반별!BV18),0)</f>
        <v/>
      </c>
      <c r="BT18" s="417" t="str">
        <f>IFERROR(IF($C18&lt;1,"",BT$3*일별반별!BW18),0)</f>
        <v/>
      </c>
      <c r="BU18" s="316" t="str">
        <f>IFERROR(IF($C18&lt;1,"",BU$3*일별반별!BX18),0)</f>
        <v/>
      </c>
      <c r="BV18" s="316" t="str">
        <f>IFERROR(IF($C18&lt;1,"",BV$3*일별반별!BY18),0)</f>
        <v/>
      </c>
      <c r="BW18" s="316" t="str">
        <f>IFERROR(IF($C18&lt;1,"",BW$3*일별반별!BZ18),0)</f>
        <v/>
      </c>
      <c r="BX18" s="316" t="str">
        <f>IFERROR(IF($C18&lt;1,"",BX$3*일별반별!CA18),0)</f>
        <v/>
      </c>
      <c r="BY18" s="316" t="str">
        <f>IFERROR(IF($C18&lt;1,"",BY$3*일별반별!CB18),0)</f>
        <v/>
      </c>
      <c r="BZ18" s="316" t="str">
        <f>IFERROR(IF($C18&lt;1,"",BZ$3*일별반별!CC18),0)</f>
        <v/>
      </c>
      <c r="CA18" s="316" t="str">
        <f>IFERROR(IF($C18&lt;1,"",CA$3*일별반별!CD18),0)</f>
        <v/>
      </c>
      <c r="CB18" s="316" t="str">
        <f>IFERROR(IF($C18&lt;1,"",CB$3*일별반별!CE18),0)</f>
        <v/>
      </c>
      <c r="CC18" s="316" t="str">
        <f>IFERROR(IF($C18&lt;1,"",CC$3*일별반별!CF18),0)</f>
        <v/>
      </c>
      <c r="CD18" s="316" t="str">
        <f>IFERROR(IF($C18&lt;1,"",CD$3*일별반별!CG18),0)</f>
        <v/>
      </c>
      <c r="CE18" s="316" t="str">
        <f>IFERROR(IF($C18&lt;1,"",CE$3*일별반별!CH18),0)</f>
        <v/>
      </c>
      <c r="CF18" s="316" t="str">
        <f>IFERROR(IF($C18&lt;1,"",CF$3*일별반별!CI18),0)</f>
        <v/>
      </c>
      <c r="CG18" s="316" t="str">
        <f>IFERROR(IF($C18&lt;1,"",CG$3*일별반별!CJ18),0)</f>
        <v/>
      </c>
      <c r="CH18" s="316" t="str">
        <f>IFERROR(IF($C18&lt;1,"",CH$3*일별반별!CK18),0)</f>
        <v/>
      </c>
      <c r="CI18" s="316" t="str">
        <f>IFERROR(IF($C18&lt;1,"",CI$3*일별반별!CL18),0)</f>
        <v/>
      </c>
      <c r="CJ18" s="316" t="str">
        <f>IFERROR(IF($C18&lt;1,"",CJ$3*일별반별!CM18),0)</f>
        <v/>
      </c>
      <c r="CK18" s="316" t="str">
        <f>IFERROR(IF($C18&lt;1,"",CK$3*일별반별!CN18),0)</f>
        <v/>
      </c>
      <c r="CL18" s="316" t="str">
        <f>IFERROR(IF($C18&lt;1,"",CL$3*일별반별!CO18),0)</f>
        <v/>
      </c>
      <c r="CM18" s="316" t="str">
        <f>IFERROR(IF($C18&lt;1,"",CM$3*일별반별!CP18),0)</f>
        <v/>
      </c>
      <c r="CN18" s="316" t="str">
        <f>IFERROR(IF($C18&lt;1,"",CN$3*일별반별!CQ18),0)</f>
        <v/>
      </c>
      <c r="CO18" s="316" t="str">
        <f>IFERROR(IF($C18&lt;1,"",CO$3*일별반별!CR18),0)</f>
        <v/>
      </c>
      <c r="CP18" s="316" t="str">
        <f>IFERROR(IF($C18&lt;1,"",CP$3*일별반별!CS18),0)</f>
        <v/>
      </c>
      <c r="CQ18" s="316" t="str">
        <f>IFERROR(IF($C18&lt;1,"",CQ$3*일별반별!CT18),0)</f>
        <v/>
      </c>
      <c r="CR18" s="418" t="str">
        <f>IFERROR(IF($C18&lt;1,"",CR$3*일별반별!CU18),0)</f>
        <v/>
      </c>
      <c r="CS18" s="418" t="str">
        <f>IFERROR(IF($C18&lt;1,"",CS$3*일별반별!CV18),0)</f>
        <v/>
      </c>
      <c r="CT18" s="316" t="str">
        <f>IFERROR(IF($C18&lt;1,"",CT$3*일별반별!CW18),0)</f>
        <v/>
      </c>
      <c r="CU18" s="316" t="str">
        <f>IFERROR(IF($C18&lt;1,"",CU$3*일별반별!CX18),0)</f>
        <v/>
      </c>
      <c r="CV18" s="316" t="str">
        <f>IFERROR(IF($C18&lt;1,"",CV$3*일별반별!CY18),0)</f>
        <v/>
      </c>
      <c r="CW18" s="316" t="str">
        <f>IFERROR(IF($C18&lt;1,"",CW$3*일별반별!CZ18),0)</f>
        <v/>
      </c>
      <c r="CX18" s="316" t="str">
        <f>IFERROR(IF($C18&lt;1,"",CX$3*일별반별!DA18),0)</f>
        <v/>
      </c>
      <c r="CY18" s="316" t="str">
        <f>IF(C18&lt;1,"",(CY$3*'09월 조업일지'!AV$7))</f>
        <v/>
      </c>
      <c r="CZ18" s="316" t="str">
        <f t="shared" si="1"/>
        <v/>
      </c>
      <c r="DA18" s="316" t="str">
        <f t="shared" si="0"/>
        <v/>
      </c>
      <c r="DB18" s="316" t="str">
        <f t="shared" si="0"/>
        <v/>
      </c>
      <c r="DC18" s="316"/>
      <c r="DD18" s="419"/>
    </row>
    <row r="19" spans="1:108" ht="15" customHeight="1">
      <c r="A19" s="274">
        <f t="shared" si="2"/>
        <v>44015</v>
      </c>
      <c r="B19" s="275" t="s">
        <v>10</v>
      </c>
      <c r="C19" s="201">
        <f>COUNTIFS('09월 조업일지'!$A$12:$A$952,A16,'09월 조업일지'!$E$12:$E$952,B19)</f>
        <v>0</v>
      </c>
      <c r="D19" s="314">
        <f>IF(C19&lt;1,0,(SUM(E19:CX19)/(일별반별!BV19-1.5)+(CY19+CZ19+DA19+DB19)))</f>
        <v>0</v>
      </c>
      <c r="E19" s="278"/>
      <c r="F19" s="281"/>
      <c r="G19" s="282"/>
      <c r="H19" s="283"/>
      <c r="I19" s="283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326"/>
      <c r="U19" s="395" t="str">
        <f>IFERROR(IF($C19&lt;1,"",U$3*일별반별!X19),0)</f>
        <v/>
      </c>
      <c r="V19" s="395" t="str">
        <f>IFERROR(IF($C19&lt;1,"",V$3*일별반별!Y19),0)</f>
        <v/>
      </c>
      <c r="W19" s="395" t="str">
        <f>IFERROR(IF($C19&lt;1,"",W$3*일별반별!Z19),0)</f>
        <v/>
      </c>
      <c r="X19" s="208" t="str">
        <f>IFERROR(IF($C19&lt;1,"",X$3*일별반별!AA19),0)</f>
        <v/>
      </c>
      <c r="Y19" s="208" t="str">
        <f>IFERROR(IF($C19&lt;1,"",Y$3*일별반별!AB19),0)</f>
        <v/>
      </c>
      <c r="Z19" s="208" t="str">
        <f>IFERROR(IF($C19&lt;1,"",Z$3*일별반별!AC19),0)</f>
        <v/>
      </c>
      <c r="AA19" s="395" t="str">
        <f>IFERROR(IF($C19&lt;1,"",AA$3*일별반별!AD19),0)</f>
        <v/>
      </c>
      <c r="AB19" s="395" t="str">
        <f>IFERROR(IF($C19&lt;1,"",AB$3*일별반별!AE19),0)</f>
        <v/>
      </c>
      <c r="AC19" s="208" t="str">
        <f>IFERROR(IF($C19&lt;1,"",AC$3*일별반별!AF19),0)</f>
        <v/>
      </c>
      <c r="AD19" s="208" t="str">
        <f>IFERROR(IF($C19&lt;1,"",AD$3*일별반별!AG19),0)</f>
        <v/>
      </c>
      <c r="AE19" s="208" t="str">
        <f>IFERROR(IF($C19&lt;1,"",AE$3*일별반별!AH19),0)</f>
        <v/>
      </c>
      <c r="AF19" s="395" t="str">
        <f>IFERROR(IF($C19&lt;1,"",AF$3*일별반별!AI19),0)</f>
        <v/>
      </c>
      <c r="AG19" s="395" t="str">
        <f>IFERROR(IF($C19&lt;1,"",AG$3*일별반별!AJ19),0)</f>
        <v/>
      </c>
      <c r="AH19" s="395" t="str">
        <f>IFERROR(IF($C19&lt;1,"",AH$3*일별반별!AK19),0)</f>
        <v/>
      </c>
      <c r="AI19" s="395" t="str">
        <f>IFERROR(IF($C19&lt;1,"",AI$3*일별반별!AL19),0)</f>
        <v/>
      </c>
      <c r="AJ19" s="395" t="str">
        <f>IFERROR(IF($C19&lt;1,"",AJ$3*일별반별!AM19),0)</f>
        <v/>
      </c>
      <c r="AK19" s="395" t="str">
        <f>IFERROR(IF($C19&lt;1,"",AK$3*일별반별!AN19),0)</f>
        <v/>
      </c>
      <c r="AL19" s="395" t="str">
        <f>IFERROR(IF($C19&lt;1,"",AL$3*일별반별!AO19),0)</f>
        <v/>
      </c>
      <c r="AM19" s="395" t="str">
        <f>IFERROR(IF($C19&lt;1,"",AM$3*일별반별!AP19),0)</f>
        <v/>
      </c>
      <c r="AN19" s="395" t="str">
        <f>IFERROR(IF($C19&lt;1,"",AN$3*일별반별!AQ19),0)</f>
        <v/>
      </c>
      <c r="AO19" s="395" t="str">
        <f>IFERROR(IF($C19&lt;1,"",AO$3*일별반별!AR19),0)</f>
        <v/>
      </c>
      <c r="AP19" s="347" t="str">
        <f>IFERROR(IF($C19&lt;1,"",AP$3*일별반별!AS19),0)</f>
        <v/>
      </c>
      <c r="AQ19" s="347" t="str">
        <f>IFERROR(IF($C19&lt;1,"",AQ$3*일별반별!AT19),0)</f>
        <v/>
      </c>
      <c r="AR19" s="316" t="str">
        <f>IFERROR(IF($C19&lt;1,"",AR$3*일별반별!AU19),0)</f>
        <v/>
      </c>
      <c r="AS19" s="401" t="str">
        <f>IFERROR(IF($C19&lt;1,"",AS$3*일별반별!AV19),0)</f>
        <v/>
      </c>
      <c r="AT19" s="401" t="str">
        <f>IFERROR(IF($C19&lt;1,"",AT$3*일별반별!AW19),0)</f>
        <v/>
      </c>
      <c r="AU19" s="401" t="str">
        <f>IFERROR(IF($C19&lt;1,"",AU$3*일별반별!AX19),0)</f>
        <v/>
      </c>
      <c r="AV19" s="401" t="str">
        <f>IFERROR(IF($C19&lt;1,"",AV$3*일별반별!AY19),0)</f>
        <v/>
      </c>
      <c r="AW19" s="401" t="str">
        <f>IFERROR(IF($C19&lt;1,"",AW$3*일별반별!AZ19),0)</f>
        <v/>
      </c>
      <c r="AX19" s="401" t="str">
        <f>IFERROR(IF($C19&lt;1,"",AX$3*일별반별!BA19),0)</f>
        <v/>
      </c>
      <c r="AY19" s="401" t="str">
        <f>IFERROR(IF($C19&lt;1,"",AY$3*일별반별!BB19),0)</f>
        <v/>
      </c>
      <c r="AZ19" s="401" t="str">
        <f>IFERROR(IF($C19&lt;1,"",AZ$3*일별반별!BC19),0)</f>
        <v/>
      </c>
      <c r="BA19" s="401" t="str">
        <f>IFERROR(IF($C19&lt;1,"",BA$3*일별반별!BD19),0)</f>
        <v/>
      </c>
      <c r="BB19" s="402" t="str">
        <f>IFERROR(IF($C19&lt;1,"",BB$3*일별반별!BE19),0)</f>
        <v/>
      </c>
      <c r="BC19" s="402" t="str">
        <f>IFERROR(IF($C19&lt;1,"",BC$3*일별반별!BF19),0)</f>
        <v/>
      </c>
      <c r="BD19" s="402" t="str">
        <f>IFERROR(IF($C19&lt;1,"",BD$3*일별반별!BG19),0)</f>
        <v/>
      </c>
      <c r="BE19" s="402" t="str">
        <f>IFERROR(IF($C19&lt;1,"",BE$3*일별반별!BH19),0)</f>
        <v/>
      </c>
      <c r="BF19" s="402" t="str">
        <f>IFERROR(IF($C19&lt;1,"",BF$3*일별반별!BI19),0)</f>
        <v/>
      </c>
      <c r="BG19" s="402" t="str">
        <f>IFERROR(IF($C19&lt;1,"",BG$3*일별반별!BJ19),0)</f>
        <v/>
      </c>
      <c r="BH19" s="402" t="str">
        <f>IFERROR(IF($C19&lt;1,"",BH$3*일별반별!BK19),0)</f>
        <v/>
      </c>
      <c r="BI19" s="402" t="str">
        <f>IFERROR(IF($C19&lt;1,"",BI$3*일별반별!BL19),0)</f>
        <v/>
      </c>
      <c r="BJ19" s="402" t="str">
        <f>IFERROR(IF($C19&lt;1,"",BJ$3*일별반별!BM19),0)</f>
        <v/>
      </c>
      <c r="BK19" s="402" t="str">
        <f>IFERROR(IF($C19&lt;1,"",BK$3*일별반별!BN19),0)</f>
        <v/>
      </c>
      <c r="BL19" s="402" t="str">
        <f>IFERROR(IF($C19&lt;1,"",BL$3*일별반별!BH19),0)</f>
        <v/>
      </c>
      <c r="BM19" s="402" t="str">
        <f>IFERROR(IF($C19&lt;1,"",BM$3*일별반별!BP19),0)</f>
        <v/>
      </c>
      <c r="BN19" s="401" t="str">
        <f>IFERROR(IF($C19&lt;1,"",BN$3*일별반별!BQ19),0)</f>
        <v/>
      </c>
      <c r="BO19" s="401" t="str">
        <f>IFERROR(IF($C19&lt;1,"",BO$3*일별반별!BR19),0)</f>
        <v/>
      </c>
      <c r="BP19" s="401" t="str">
        <f>IFERROR(IF($C19&lt;1,"",BP$3*일별반별!BS19),0)</f>
        <v/>
      </c>
      <c r="BQ19" s="401" t="str">
        <f>IFERROR(IF($C19&lt;1,"",BQ$3*일별반별!BT19),0)</f>
        <v/>
      </c>
      <c r="BR19" s="417" t="str">
        <f>IFERROR(IF($C19&lt;1,"",BR$3*일별반별!BU19),0)</f>
        <v/>
      </c>
      <c r="BS19" s="417" t="str">
        <f>IFERROR(IF($C19&lt;1,"",BS$3*일별반별!BV19),0)</f>
        <v/>
      </c>
      <c r="BT19" s="417" t="str">
        <f>IFERROR(IF($C19&lt;1,"",BT$3*일별반별!BW19),0)</f>
        <v/>
      </c>
      <c r="BU19" s="316" t="str">
        <f>IFERROR(IF($C19&lt;1,"",BU$3*일별반별!BX19),0)</f>
        <v/>
      </c>
      <c r="BV19" s="316" t="str">
        <f>IFERROR(IF($C19&lt;1,"",BV$3*일별반별!BY19),0)</f>
        <v/>
      </c>
      <c r="BW19" s="316" t="str">
        <f>IFERROR(IF($C19&lt;1,"",BW$3*일별반별!BZ19),0)</f>
        <v/>
      </c>
      <c r="BX19" s="316" t="str">
        <f>IFERROR(IF($C19&lt;1,"",BX$3*일별반별!CA19),0)</f>
        <v/>
      </c>
      <c r="BY19" s="316" t="str">
        <f>IFERROR(IF($C19&lt;1,"",BY$3*일별반별!CB19),0)</f>
        <v/>
      </c>
      <c r="BZ19" s="316" t="str">
        <f>IFERROR(IF($C19&lt;1,"",BZ$3*일별반별!CC19),0)</f>
        <v/>
      </c>
      <c r="CA19" s="316" t="str">
        <f>IFERROR(IF($C19&lt;1,"",CA$3*일별반별!CD19),0)</f>
        <v/>
      </c>
      <c r="CB19" s="316" t="str">
        <f>IFERROR(IF($C19&lt;1,"",CB$3*일별반별!CE19),0)</f>
        <v/>
      </c>
      <c r="CC19" s="316" t="str">
        <f>IFERROR(IF($C19&lt;1,"",CC$3*일별반별!CF19),0)</f>
        <v/>
      </c>
      <c r="CD19" s="316" t="str">
        <f>IFERROR(IF($C19&lt;1,"",CD$3*일별반별!CG19),0)</f>
        <v/>
      </c>
      <c r="CE19" s="316" t="str">
        <f>IFERROR(IF($C19&lt;1,"",CE$3*일별반별!CH19),0)</f>
        <v/>
      </c>
      <c r="CF19" s="316" t="str">
        <f>IFERROR(IF($C19&lt;1,"",CF$3*일별반별!CI19),0)</f>
        <v/>
      </c>
      <c r="CG19" s="316" t="str">
        <f>IFERROR(IF($C19&lt;1,"",CG$3*일별반별!CJ19),0)</f>
        <v/>
      </c>
      <c r="CH19" s="316" t="str">
        <f>IFERROR(IF($C19&lt;1,"",CH$3*일별반별!CK19),0)</f>
        <v/>
      </c>
      <c r="CI19" s="316" t="str">
        <f>IFERROR(IF($C19&lt;1,"",CI$3*일별반별!CL19),0)</f>
        <v/>
      </c>
      <c r="CJ19" s="316" t="str">
        <f>IFERROR(IF($C19&lt;1,"",CJ$3*일별반별!CM19),0)</f>
        <v/>
      </c>
      <c r="CK19" s="316" t="str">
        <f>IFERROR(IF($C19&lt;1,"",CK$3*일별반별!CN19),0)</f>
        <v/>
      </c>
      <c r="CL19" s="316" t="str">
        <f>IFERROR(IF($C19&lt;1,"",CL$3*일별반별!CO19),0)</f>
        <v/>
      </c>
      <c r="CM19" s="316" t="str">
        <f>IFERROR(IF($C19&lt;1,"",CM$3*일별반별!CP19),0)</f>
        <v/>
      </c>
      <c r="CN19" s="316" t="str">
        <f>IFERROR(IF($C19&lt;1,"",CN$3*일별반별!CQ19),0)</f>
        <v/>
      </c>
      <c r="CO19" s="316" t="str">
        <f>IFERROR(IF($C19&lt;1,"",CO$3*일별반별!CR19),0)</f>
        <v/>
      </c>
      <c r="CP19" s="316" t="str">
        <f>IFERROR(IF($C19&lt;1,"",CP$3*일별반별!CS19),0)</f>
        <v/>
      </c>
      <c r="CQ19" s="316" t="str">
        <f>IFERROR(IF($C19&lt;1,"",CQ$3*일별반별!CT19),0)</f>
        <v/>
      </c>
      <c r="CR19" s="418" t="str">
        <f>IFERROR(IF($C19&lt;1,"",CR$3*일별반별!CU19),0)</f>
        <v/>
      </c>
      <c r="CS19" s="418" t="str">
        <f>IFERROR(IF($C19&lt;1,"",CS$3*일별반별!CV19),0)</f>
        <v/>
      </c>
      <c r="CT19" s="316" t="str">
        <f>IFERROR(IF($C19&lt;1,"",CT$3*일별반별!CW19),0)</f>
        <v/>
      </c>
      <c r="CU19" s="316" t="str">
        <f>IFERROR(IF($C19&lt;1,"",CU$3*일별반별!CX19),0)</f>
        <v/>
      </c>
      <c r="CV19" s="316" t="str">
        <f>IFERROR(IF($C19&lt;1,"",CV$3*일별반별!CY19),0)</f>
        <v/>
      </c>
      <c r="CW19" s="316" t="str">
        <f>IFERROR(IF($C19&lt;1,"",CW$3*일별반별!CZ19),0)</f>
        <v/>
      </c>
      <c r="CX19" s="316" t="str">
        <f>IFERROR(IF($C19&lt;1,"",CX$3*일별반별!DA19),0)</f>
        <v/>
      </c>
      <c r="CY19" s="316" t="str">
        <f>IF(C19&lt;1,"",(CY$3*'09월 조업일지'!AV$7))</f>
        <v/>
      </c>
      <c r="CZ19" s="316" t="str">
        <f t="shared" si="1"/>
        <v/>
      </c>
      <c r="DA19" s="316" t="str">
        <f t="shared" si="0"/>
        <v/>
      </c>
      <c r="DB19" s="316" t="str">
        <f t="shared" si="0"/>
        <v/>
      </c>
      <c r="DC19" s="316"/>
      <c r="DD19" s="419"/>
    </row>
    <row r="20" spans="1:108" ht="15" customHeight="1">
      <c r="A20" s="274">
        <f t="shared" si="2"/>
        <v>44015</v>
      </c>
      <c r="B20" s="275" t="s">
        <v>94</v>
      </c>
      <c r="C20" s="201">
        <f>COUNTIFS('09월 조업일지'!$A$12:$A$952,A16,'09월 조업일지'!$E$12:$E$952,B20)</f>
        <v>0</v>
      </c>
      <c r="D20" s="314">
        <f>IF(C20&lt;1,0,(SUM(E20:CX20)/(일별반별!BV20-1.5)+(CY20+CZ20+DA20+DB20)))</f>
        <v>0</v>
      </c>
      <c r="E20" s="278"/>
      <c r="F20" s="281"/>
      <c r="G20" s="282"/>
      <c r="H20" s="283"/>
      <c r="I20" s="283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326"/>
      <c r="U20" s="395" t="str">
        <f>IFERROR(IF($C20&lt;1,"",U$3*일별반별!X20),0)</f>
        <v/>
      </c>
      <c r="V20" s="395" t="str">
        <f>IFERROR(IF($C20&lt;1,"",V$3*일별반별!Y20),0)</f>
        <v/>
      </c>
      <c r="W20" s="395" t="str">
        <f>IFERROR(IF($C20&lt;1,"",W$3*일별반별!Z20),0)</f>
        <v/>
      </c>
      <c r="X20" s="208" t="str">
        <f>IFERROR(IF($C20&lt;1,"",X$3*일별반별!AA20),0)</f>
        <v/>
      </c>
      <c r="Y20" s="208" t="str">
        <f>IFERROR(IF($C20&lt;1,"",Y$3*일별반별!AB20),0)</f>
        <v/>
      </c>
      <c r="Z20" s="208" t="str">
        <f>IFERROR(IF($C20&lt;1,"",Z$3*일별반별!AC20),0)</f>
        <v/>
      </c>
      <c r="AA20" s="395" t="str">
        <f>IFERROR(IF($C20&lt;1,"",AA$3*일별반별!AD20),0)</f>
        <v/>
      </c>
      <c r="AB20" s="395" t="str">
        <f>IFERROR(IF($C20&lt;1,"",AB$3*일별반별!AE20),0)</f>
        <v/>
      </c>
      <c r="AC20" s="208" t="str">
        <f>IFERROR(IF($C20&lt;1,"",AC$3*일별반별!AF20),0)</f>
        <v/>
      </c>
      <c r="AD20" s="208" t="str">
        <f>IFERROR(IF($C20&lt;1,"",AD$3*일별반별!AG20),0)</f>
        <v/>
      </c>
      <c r="AE20" s="208" t="str">
        <f>IFERROR(IF($C20&lt;1,"",AE$3*일별반별!AH20),0)</f>
        <v/>
      </c>
      <c r="AF20" s="395" t="str">
        <f>IFERROR(IF($C20&lt;1,"",AF$3*일별반별!AI20),0)</f>
        <v/>
      </c>
      <c r="AG20" s="395" t="str">
        <f>IFERROR(IF($C20&lt;1,"",AG$3*일별반별!AJ20),0)</f>
        <v/>
      </c>
      <c r="AH20" s="395" t="str">
        <f>IFERROR(IF($C20&lt;1,"",AH$3*일별반별!AK20),0)</f>
        <v/>
      </c>
      <c r="AI20" s="395" t="str">
        <f>IFERROR(IF($C20&lt;1,"",AI$3*일별반별!AL20),0)</f>
        <v/>
      </c>
      <c r="AJ20" s="395" t="str">
        <f>IFERROR(IF($C20&lt;1,"",AJ$3*일별반별!AM20),0)</f>
        <v/>
      </c>
      <c r="AK20" s="395" t="str">
        <f>IFERROR(IF($C20&lt;1,"",AK$3*일별반별!AN20),0)</f>
        <v/>
      </c>
      <c r="AL20" s="395" t="str">
        <f>IFERROR(IF($C20&lt;1,"",AL$3*일별반별!AO20),0)</f>
        <v/>
      </c>
      <c r="AM20" s="395" t="str">
        <f>IFERROR(IF($C20&lt;1,"",AM$3*일별반별!AP20),0)</f>
        <v/>
      </c>
      <c r="AN20" s="395" t="str">
        <f>IFERROR(IF($C20&lt;1,"",AN$3*일별반별!AQ20),0)</f>
        <v/>
      </c>
      <c r="AO20" s="395" t="str">
        <f>IFERROR(IF($C20&lt;1,"",AO$3*일별반별!AR20),0)</f>
        <v/>
      </c>
      <c r="AP20" s="347" t="str">
        <f>IFERROR(IF($C20&lt;1,"",AP$3*일별반별!AS20),0)</f>
        <v/>
      </c>
      <c r="AQ20" s="347" t="str">
        <f>IFERROR(IF($C20&lt;1,"",AQ$3*일별반별!AT20),0)</f>
        <v/>
      </c>
      <c r="AR20" s="316" t="str">
        <f>IFERROR(IF($C20&lt;1,"",AR$3*일별반별!AU20),0)</f>
        <v/>
      </c>
      <c r="AS20" s="401" t="str">
        <f>IFERROR(IF($C20&lt;1,"",AS$3*일별반별!AV20),0)</f>
        <v/>
      </c>
      <c r="AT20" s="401" t="str">
        <f>IFERROR(IF($C20&lt;1,"",AT$3*일별반별!AW20),0)</f>
        <v/>
      </c>
      <c r="AU20" s="401" t="str">
        <f>IFERROR(IF($C20&lt;1,"",AU$3*일별반별!AX20),0)</f>
        <v/>
      </c>
      <c r="AV20" s="401" t="str">
        <f>IFERROR(IF($C20&lt;1,"",AV$3*일별반별!AY20),0)</f>
        <v/>
      </c>
      <c r="AW20" s="401" t="str">
        <f>IFERROR(IF($C20&lt;1,"",AW$3*일별반별!AZ20),0)</f>
        <v/>
      </c>
      <c r="AX20" s="401" t="str">
        <f>IFERROR(IF($C20&lt;1,"",AX$3*일별반별!BA20),0)</f>
        <v/>
      </c>
      <c r="AY20" s="401" t="str">
        <f>IFERROR(IF($C20&lt;1,"",AY$3*일별반별!BB20),0)</f>
        <v/>
      </c>
      <c r="AZ20" s="401" t="str">
        <f>IFERROR(IF($C20&lt;1,"",AZ$3*일별반별!BC20),0)</f>
        <v/>
      </c>
      <c r="BA20" s="401" t="str">
        <f>IFERROR(IF($C20&lt;1,"",BA$3*일별반별!BD20),0)</f>
        <v/>
      </c>
      <c r="BB20" s="402" t="str">
        <f>IFERROR(IF($C20&lt;1,"",BB$3*일별반별!BE20),0)</f>
        <v/>
      </c>
      <c r="BC20" s="402" t="str">
        <f>IFERROR(IF($C20&lt;1,"",BC$3*일별반별!BF20),0)</f>
        <v/>
      </c>
      <c r="BD20" s="402" t="str">
        <f>IFERROR(IF($C20&lt;1,"",BD$3*일별반별!BG20),0)</f>
        <v/>
      </c>
      <c r="BE20" s="402" t="str">
        <f>IFERROR(IF($C20&lt;1,"",BE$3*일별반별!BH20),0)</f>
        <v/>
      </c>
      <c r="BF20" s="402" t="str">
        <f>IFERROR(IF($C20&lt;1,"",BF$3*일별반별!BI20),0)</f>
        <v/>
      </c>
      <c r="BG20" s="402" t="str">
        <f>IFERROR(IF($C20&lt;1,"",BG$3*일별반별!BJ20),0)</f>
        <v/>
      </c>
      <c r="BH20" s="402" t="str">
        <f>IFERROR(IF($C20&lt;1,"",BH$3*일별반별!BK20),0)</f>
        <v/>
      </c>
      <c r="BI20" s="402" t="str">
        <f>IFERROR(IF($C20&lt;1,"",BI$3*일별반별!BL20),0)</f>
        <v/>
      </c>
      <c r="BJ20" s="402" t="str">
        <f>IFERROR(IF($C20&lt;1,"",BJ$3*일별반별!BM20),0)</f>
        <v/>
      </c>
      <c r="BK20" s="402" t="str">
        <f>IFERROR(IF($C20&lt;1,"",BK$3*일별반별!BN20),0)</f>
        <v/>
      </c>
      <c r="BL20" s="402" t="str">
        <f>IFERROR(IF($C20&lt;1,"",BL$3*일별반별!BH20),0)</f>
        <v/>
      </c>
      <c r="BM20" s="402" t="str">
        <f>IFERROR(IF($C20&lt;1,"",BM$3*일별반별!BP20),0)</f>
        <v/>
      </c>
      <c r="BN20" s="401" t="str">
        <f>IFERROR(IF($C20&lt;1,"",BN$3*일별반별!BQ20),0)</f>
        <v/>
      </c>
      <c r="BO20" s="401" t="str">
        <f>IFERROR(IF($C20&lt;1,"",BO$3*일별반별!BR20),0)</f>
        <v/>
      </c>
      <c r="BP20" s="401" t="str">
        <f>IFERROR(IF($C20&lt;1,"",BP$3*일별반별!BS20),0)</f>
        <v/>
      </c>
      <c r="BQ20" s="401" t="str">
        <f>IFERROR(IF($C20&lt;1,"",BQ$3*일별반별!BT20),0)</f>
        <v/>
      </c>
      <c r="BR20" s="417" t="str">
        <f>IFERROR(IF($C20&lt;1,"",BR$3*일별반별!BU20),0)</f>
        <v/>
      </c>
      <c r="BS20" s="417" t="str">
        <f>IFERROR(IF($C20&lt;1,"",BS$3*일별반별!BV20),0)</f>
        <v/>
      </c>
      <c r="BT20" s="417" t="str">
        <f>IFERROR(IF($C20&lt;1,"",BT$3*일별반별!BW20),0)</f>
        <v/>
      </c>
      <c r="BU20" s="316" t="str">
        <f>IFERROR(IF($C20&lt;1,"",BU$3*일별반별!BX20),0)</f>
        <v/>
      </c>
      <c r="BV20" s="316" t="str">
        <f>IFERROR(IF($C20&lt;1,"",BV$3*일별반별!BY20),0)</f>
        <v/>
      </c>
      <c r="BW20" s="316" t="str">
        <f>IFERROR(IF($C20&lt;1,"",BW$3*일별반별!BZ20),0)</f>
        <v/>
      </c>
      <c r="BX20" s="316" t="str">
        <f>IFERROR(IF($C20&lt;1,"",BX$3*일별반별!CA20),0)</f>
        <v/>
      </c>
      <c r="BY20" s="316" t="str">
        <f>IFERROR(IF($C20&lt;1,"",BY$3*일별반별!CB20),0)</f>
        <v/>
      </c>
      <c r="BZ20" s="316" t="str">
        <f>IFERROR(IF($C20&lt;1,"",BZ$3*일별반별!CC20),0)</f>
        <v/>
      </c>
      <c r="CA20" s="316" t="str">
        <f>IFERROR(IF($C20&lt;1,"",CA$3*일별반별!CD20),0)</f>
        <v/>
      </c>
      <c r="CB20" s="316" t="str">
        <f>IFERROR(IF($C20&lt;1,"",CB$3*일별반별!CE20),0)</f>
        <v/>
      </c>
      <c r="CC20" s="316" t="str">
        <f>IFERROR(IF($C20&lt;1,"",CC$3*일별반별!CF20),0)</f>
        <v/>
      </c>
      <c r="CD20" s="316" t="str">
        <f>IFERROR(IF($C20&lt;1,"",CD$3*일별반별!CG20),0)</f>
        <v/>
      </c>
      <c r="CE20" s="316" t="str">
        <f>IFERROR(IF($C20&lt;1,"",CE$3*일별반별!CH20),0)</f>
        <v/>
      </c>
      <c r="CF20" s="316" t="str">
        <f>IFERROR(IF($C20&lt;1,"",CF$3*일별반별!CI20),0)</f>
        <v/>
      </c>
      <c r="CG20" s="316" t="str">
        <f>IFERROR(IF($C20&lt;1,"",CG$3*일별반별!CJ20),0)</f>
        <v/>
      </c>
      <c r="CH20" s="316" t="str">
        <f>IFERROR(IF($C20&lt;1,"",CH$3*일별반별!CK20),0)</f>
        <v/>
      </c>
      <c r="CI20" s="316" t="str">
        <f>IFERROR(IF($C20&lt;1,"",CI$3*일별반별!CL20),0)</f>
        <v/>
      </c>
      <c r="CJ20" s="316" t="str">
        <f>IFERROR(IF($C20&lt;1,"",CJ$3*일별반별!CM20),0)</f>
        <v/>
      </c>
      <c r="CK20" s="316" t="str">
        <f>IFERROR(IF($C20&lt;1,"",CK$3*일별반별!CN20),0)</f>
        <v/>
      </c>
      <c r="CL20" s="316" t="str">
        <f>IFERROR(IF($C20&lt;1,"",CL$3*일별반별!CO20),0)</f>
        <v/>
      </c>
      <c r="CM20" s="316" t="str">
        <f>IFERROR(IF($C20&lt;1,"",CM$3*일별반별!CP20),0)</f>
        <v/>
      </c>
      <c r="CN20" s="316" t="str">
        <f>IFERROR(IF($C20&lt;1,"",CN$3*일별반별!CQ20),0)</f>
        <v/>
      </c>
      <c r="CO20" s="316" t="str">
        <f>IFERROR(IF($C20&lt;1,"",CO$3*일별반별!CR20),0)</f>
        <v/>
      </c>
      <c r="CP20" s="316" t="str">
        <f>IFERROR(IF($C20&lt;1,"",CP$3*일별반별!CS20),0)</f>
        <v/>
      </c>
      <c r="CQ20" s="316" t="str">
        <f>IFERROR(IF($C20&lt;1,"",CQ$3*일별반별!CT20),0)</f>
        <v/>
      </c>
      <c r="CR20" s="418" t="str">
        <f>IFERROR(IF($C20&lt;1,"",CR$3*일별반별!CU20),0)</f>
        <v/>
      </c>
      <c r="CS20" s="418" t="str">
        <f>IFERROR(IF($C20&lt;1,"",CS$3*일별반별!CV20),0)</f>
        <v/>
      </c>
      <c r="CT20" s="316" t="str">
        <f>IFERROR(IF($C20&lt;1,"",CT$3*일별반별!CW20),0)</f>
        <v/>
      </c>
      <c r="CU20" s="316" t="str">
        <f>IFERROR(IF($C20&lt;1,"",CU$3*일별반별!CX20),0)</f>
        <v/>
      </c>
      <c r="CV20" s="316" t="str">
        <f>IFERROR(IF($C20&lt;1,"",CV$3*일별반별!CY20),0)</f>
        <v/>
      </c>
      <c r="CW20" s="316" t="str">
        <f>IFERROR(IF($C20&lt;1,"",CW$3*일별반별!CZ20),0)</f>
        <v/>
      </c>
      <c r="CX20" s="316" t="str">
        <f>IFERROR(IF($C20&lt;1,"",CX$3*일별반별!DA20),0)</f>
        <v/>
      </c>
      <c r="CY20" s="316" t="str">
        <f>IF(C20&lt;1,"",(CY$3*'09월 조업일지'!AV$7))</f>
        <v/>
      </c>
      <c r="CZ20" s="316" t="str">
        <f t="shared" si="1"/>
        <v/>
      </c>
      <c r="DA20" s="316" t="str">
        <f t="shared" si="0"/>
        <v/>
      </c>
      <c r="DB20" s="316" t="str">
        <f t="shared" si="0"/>
        <v/>
      </c>
      <c r="DC20" s="316"/>
      <c r="DD20" s="419"/>
    </row>
    <row r="21" spans="1:108" ht="15" customHeight="1">
      <c r="A21" s="327">
        <f>A16+1</f>
        <v>44016</v>
      </c>
      <c r="B21" s="328" t="s">
        <v>31</v>
      </c>
      <c r="C21" s="329">
        <f>COUNTIF('09월 조업일지'!$A$12:$A$952,A21)</f>
        <v>0</v>
      </c>
      <c r="D21" s="330">
        <f>IF(C21&lt;1,0,(SUM(E21:CX21)/(일별반별!BV21-1.5)+(CY21+CZ21+DA21+DB21)))</f>
        <v>0</v>
      </c>
      <c r="E21" s="331"/>
      <c r="F21" s="331"/>
      <c r="G21" s="332"/>
      <c r="H21" s="333"/>
      <c r="I21" s="333"/>
      <c r="J21" s="334"/>
      <c r="K21" s="334"/>
      <c r="L21" s="334"/>
      <c r="M21" s="334"/>
      <c r="N21" s="334"/>
      <c r="O21" s="334"/>
      <c r="P21" s="334"/>
      <c r="Q21" s="335"/>
      <c r="R21" s="334"/>
      <c r="S21" s="335"/>
      <c r="T21" s="334"/>
      <c r="U21" s="337" t="str">
        <f>IFERROR(IF($C21&lt;1,"",U$3*일별반별!X21),0)</f>
        <v/>
      </c>
      <c r="V21" s="337" t="str">
        <f>IFERROR(IF($C21&lt;1,"",V$3*일별반별!Y21),0)</f>
        <v/>
      </c>
      <c r="W21" s="337" t="str">
        <f>IFERROR(IF($C21&lt;1,"",W$3*일별반별!Z21),0)</f>
        <v/>
      </c>
      <c r="X21" s="336" t="str">
        <f>IFERROR(IF($C21&lt;1,"",X$3*일별반별!AA21),0)</f>
        <v/>
      </c>
      <c r="Y21" s="336" t="str">
        <f>IFERROR(IF($C21&lt;1,"",Y$3*일별반별!AB21),0)</f>
        <v/>
      </c>
      <c r="Z21" s="336" t="str">
        <f>IFERROR(IF($C21&lt;1,"",Z$3*일별반별!AC21),0)</f>
        <v/>
      </c>
      <c r="AA21" s="337" t="str">
        <f>IFERROR(IF($C21&lt;1,"",AA$3*일별반별!AD21),0)</f>
        <v/>
      </c>
      <c r="AB21" s="337" t="str">
        <f>IFERROR(IF($C21&lt;1,"",AB$3*일별반별!AE21),0)</f>
        <v/>
      </c>
      <c r="AC21" s="336" t="str">
        <f>IFERROR(IF($C21&lt;1,"",AC$3*일별반별!AF21),0)</f>
        <v/>
      </c>
      <c r="AD21" s="336" t="str">
        <f>IFERROR(IF($C21&lt;1,"",AD$3*일별반별!AG21),0)</f>
        <v/>
      </c>
      <c r="AE21" s="336" t="str">
        <f>IFERROR(IF($C21&lt;1,"",AE$3*일별반별!AH21),0)</f>
        <v/>
      </c>
      <c r="AF21" s="337" t="str">
        <f>IFERROR(IF($C21&lt;1,"",AF$3*일별반별!AI21),0)</f>
        <v/>
      </c>
      <c r="AG21" s="337" t="str">
        <f>IFERROR(IF($C21&lt;1,"",AG$3*일별반별!AJ21),0)</f>
        <v/>
      </c>
      <c r="AH21" s="337" t="str">
        <f>IFERROR(IF($C21&lt;1,"",AH$3*일별반별!AK21),0)</f>
        <v/>
      </c>
      <c r="AI21" s="337" t="str">
        <f>IFERROR(IF($C21&lt;1,"",AI$3*일별반별!AL21),0)</f>
        <v/>
      </c>
      <c r="AJ21" s="337" t="str">
        <f>IFERROR(IF($C21&lt;1,"",AJ$3*일별반별!AM21),0)</f>
        <v/>
      </c>
      <c r="AK21" s="337" t="str">
        <f>IFERROR(IF($C21&lt;1,"",AK$3*일별반별!AN21),0)</f>
        <v/>
      </c>
      <c r="AL21" s="337" t="str">
        <f>IFERROR(IF($C21&lt;1,"",AL$3*일별반별!AO21),0)</f>
        <v/>
      </c>
      <c r="AM21" s="337" t="str">
        <f>IFERROR(IF($C21&lt;1,"",AM$3*일별반별!AP21),0)</f>
        <v/>
      </c>
      <c r="AN21" s="337" t="str">
        <f>IFERROR(IF($C21&lt;1,"",AN$3*일별반별!AQ21),0)</f>
        <v/>
      </c>
      <c r="AO21" s="337" t="str">
        <f>IFERROR(IF($C21&lt;1,"",AO$3*일별반별!AR21),0)</f>
        <v/>
      </c>
      <c r="AP21" s="337" t="str">
        <f>IFERROR(IF($C21&lt;1,"",AP$3*일별반별!AS21),0)</f>
        <v/>
      </c>
      <c r="AQ21" s="337" t="str">
        <f>IFERROR(IF($C21&lt;1,"",AQ$3*일별반별!AT21),0)</f>
        <v/>
      </c>
      <c r="AR21" s="337" t="str">
        <f>IFERROR(IF($C21&lt;1,"",AR$3*일별반별!AU21),0)</f>
        <v/>
      </c>
      <c r="AS21" s="403" t="str">
        <f>IFERROR(IF($C21&lt;1,"",AS$3*일별반별!AV21),0)</f>
        <v/>
      </c>
      <c r="AT21" s="403" t="str">
        <f>IFERROR(IF($C21&lt;1,"",AT$3*일별반별!AW21),0)</f>
        <v/>
      </c>
      <c r="AU21" s="403" t="str">
        <f>IFERROR(IF($C21&lt;1,"",AU$3*일별반별!AX21),0)</f>
        <v/>
      </c>
      <c r="AV21" s="403" t="str">
        <f>IFERROR(IF($C21&lt;1,"",AV$3*일별반별!AY21),0)</f>
        <v/>
      </c>
      <c r="AW21" s="403" t="str">
        <f>IFERROR(IF($C21&lt;1,"",AW$3*일별반별!AZ21),0)</f>
        <v/>
      </c>
      <c r="AX21" s="403" t="str">
        <f>IFERROR(IF($C21&lt;1,"",AX$3*일별반별!BA21),0)</f>
        <v/>
      </c>
      <c r="AY21" s="403" t="str">
        <f>IFERROR(IF($C21&lt;1,"",AY$3*일별반별!BB21),0)</f>
        <v/>
      </c>
      <c r="AZ21" s="403" t="str">
        <f>IFERROR(IF($C21&lt;1,"",AZ$3*일별반별!BC21),0)</f>
        <v/>
      </c>
      <c r="BA21" s="403" t="str">
        <f>IFERROR(IF($C21&lt;1,"",BA$3*일별반별!BD21),0)</f>
        <v/>
      </c>
      <c r="BB21" s="403" t="str">
        <f>IFERROR(IF($C21&lt;1,"",BB$3*일별반별!BE21),0)</f>
        <v/>
      </c>
      <c r="BC21" s="403" t="str">
        <f>IFERROR(IF($C21&lt;1,"",BC$3*일별반별!BF21),0)</f>
        <v/>
      </c>
      <c r="BD21" s="403" t="str">
        <f>IFERROR(IF($C21&lt;1,"",BD$3*일별반별!BG21),0)</f>
        <v/>
      </c>
      <c r="BE21" s="403" t="str">
        <f>IFERROR(IF($C21&lt;1,"",BE$3*일별반별!BH21),0)</f>
        <v/>
      </c>
      <c r="BF21" s="403" t="str">
        <f>IFERROR(IF($C21&lt;1,"",BF$3*일별반별!BI21),0)</f>
        <v/>
      </c>
      <c r="BG21" s="403" t="str">
        <f>IFERROR(IF($C21&lt;1,"",BG$3*일별반별!BJ21),0)</f>
        <v/>
      </c>
      <c r="BH21" s="403" t="str">
        <f>IFERROR(IF($C21&lt;1,"",BH$3*일별반별!BK21),0)</f>
        <v/>
      </c>
      <c r="BI21" s="403" t="str">
        <f>IFERROR(IF($C21&lt;1,"",BI$3*일별반별!BL21),0)</f>
        <v/>
      </c>
      <c r="BJ21" s="403" t="str">
        <f>IFERROR(IF($C21&lt;1,"",BJ$3*일별반별!BM21),0)</f>
        <v/>
      </c>
      <c r="BK21" s="403" t="str">
        <f>IFERROR(IF($C21&lt;1,"",BK$3*일별반별!BN21),0)</f>
        <v/>
      </c>
      <c r="BL21" s="403" t="str">
        <f>IFERROR(IF($C21&lt;1,"",BL$3*일별반별!BH21),0)</f>
        <v/>
      </c>
      <c r="BM21" s="403" t="str">
        <f>IFERROR(IF($C21&lt;1,"",BM$3*일별반별!BP21),0)</f>
        <v/>
      </c>
      <c r="BN21" s="403" t="str">
        <f>IFERROR(IF($C21&lt;1,"",BN$3*일별반별!BQ21),0)</f>
        <v/>
      </c>
      <c r="BO21" s="403" t="str">
        <f>IFERROR(IF($C21&lt;1,"",BO$3*일별반별!BR21),0)</f>
        <v/>
      </c>
      <c r="BP21" s="403" t="str">
        <f>IFERROR(IF($C21&lt;1,"",BP$3*일별반별!BS21),0)</f>
        <v/>
      </c>
      <c r="BQ21" s="403" t="str">
        <f>IFERROR(IF($C21&lt;1,"",BQ$3*일별반별!BT21),0)</f>
        <v/>
      </c>
      <c r="BR21" s="337" t="str">
        <f>IFERROR(IF($C21&lt;1,"",BR$3*일별반별!BU21),0)</f>
        <v/>
      </c>
      <c r="BS21" s="337" t="str">
        <f>IFERROR(IF($C21&lt;1,"",BS$3*일별반별!BV21),0)</f>
        <v/>
      </c>
      <c r="BT21" s="337" t="str">
        <f>IFERROR(IF($C21&lt;1,"",BT$3*일별반별!BW21),0)</f>
        <v/>
      </c>
      <c r="BU21" s="337" t="str">
        <f>IFERROR(IF($C21&lt;1,"",BU$3*일별반별!BX21),0)</f>
        <v/>
      </c>
      <c r="BV21" s="337" t="str">
        <f>IFERROR(IF($C21&lt;1,"",BV$3*일별반별!BY21),0)</f>
        <v/>
      </c>
      <c r="BW21" s="337" t="str">
        <f>IFERROR(IF($C21&lt;1,"",BW$3*일별반별!BZ21),0)</f>
        <v/>
      </c>
      <c r="BX21" s="337" t="str">
        <f>IFERROR(IF($C21&lt;1,"",BX$3*일별반별!CA21),0)</f>
        <v/>
      </c>
      <c r="BY21" s="337" t="str">
        <f>IFERROR(IF($C21&lt;1,"",BY$3*일별반별!CB21),0)</f>
        <v/>
      </c>
      <c r="BZ21" s="337" t="str">
        <f>IFERROR(IF($C21&lt;1,"",BZ$3*일별반별!CC21),0)</f>
        <v/>
      </c>
      <c r="CA21" s="337" t="str">
        <f>IFERROR(IF($C21&lt;1,"",CA$3*일별반별!CD21),0)</f>
        <v/>
      </c>
      <c r="CB21" s="337" t="str">
        <f>IFERROR(IF($C21&lt;1,"",CB$3*일별반별!CE21),0)</f>
        <v/>
      </c>
      <c r="CC21" s="337" t="str">
        <f>IFERROR(IF($C21&lt;1,"",CC$3*일별반별!CF21),0)</f>
        <v/>
      </c>
      <c r="CD21" s="337" t="str">
        <f>IFERROR(IF($C21&lt;1,"",CD$3*일별반별!CG21),0)</f>
        <v/>
      </c>
      <c r="CE21" s="337" t="str">
        <f>IFERROR(IF($C21&lt;1,"",CE$3*일별반별!CH21),0)</f>
        <v/>
      </c>
      <c r="CF21" s="337" t="str">
        <f>IFERROR(IF($C21&lt;1,"",CF$3*일별반별!CI21),0)</f>
        <v/>
      </c>
      <c r="CG21" s="337" t="str">
        <f>IFERROR(IF($C21&lt;1,"",CG$3*일별반별!CJ21),0)</f>
        <v/>
      </c>
      <c r="CH21" s="337" t="str">
        <f>IFERROR(IF($C21&lt;1,"",CH$3*일별반별!CK21),0)</f>
        <v/>
      </c>
      <c r="CI21" s="337" t="str">
        <f>IFERROR(IF($C21&lt;1,"",CI$3*일별반별!CL21),0)</f>
        <v/>
      </c>
      <c r="CJ21" s="337" t="str">
        <f>IFERROR(IF($C21&lt;1,"",CJ$3*일별반별!CM21),0)</f>
        <v/>
      </c>
      <c r="CK21" s="337" t="str">
        <f>IFERROR(IF($C21&lt;1,"",CK$3*일별반별!CN21),0)</f>
        <v/>
      </c>
      <c r="CL21" s="337" t="str">
        <f>IFERROR(IF($C21&lt;1,"",CL$3*일별반별!CO21),0)</f>
        <v/>
      </c>
      <c r="CM21" s="337" t="str">
        <f>IFERROR(IF($C21&lt;1,"",CM$3*일별반별!CP21),0)</f>
        <v/>
      </c>
      <c r="CN21" s="337" t="str">
        <f>IFERROR(IF($C21&lt;1,"",CN$3*일별반별!CQ21),0)</f>
        <v/>
      </c>
      <c r="CO21" s="337" t="str">
        <f>IFERROR(IF($C21&lt;1,"",CO$3*일별반별!CR21),0)</f>
        <v/>
      </c>
      <c r="CP21" s="337" t="str">
        <f>IFERROR(IF($C21&lt;1,"",CP$3*일별반별!CS21),0)</f>
        <v/>
      </c>
      <c r="CQ21" s="337" t="str">
        <f>IFERROR(IF($C21&lt;1,"",CQ$3*일별반별!CT21),0)</f>
        <v/>
      </c>
      <c r="CR21" s="420" t="str">
        <f>IFERROR(IF($C21&lt;1,"",CR$3*일별반별!CU21),0)</f>
        <v/>
      </c>
      <c r="CS21" s="420" t="str">
        <f>IFERROR(IF($C21&lt;1,"",CS$3*일별반별!CV21),0)</f>
        <v/>
      </c>
      <c r="CT21" s="337" t="str">
        <f>IFERROR(IF($C21&lt;1,"",CT$3*일별반별!CW21),0)</f>
        <v/>
      </c>
      <c r="CU21" s="337" t="str">
        <f>IFERROR(IF($C21&lt;1,"",CU$3*일별반별!CX21),0)</f>
        <v/>
      </c>
      <c r="CV21" s="337" t="str">
        <f>IFERROR(IF($C21&lt;1,"",CV$3*일별반별!CY21),0)</f>
        <v/>
      </c>
      <c r="CW21" s="337" t="str">
        <f>IFERROR(IF($C21&lt;1,"",CW$3*일별반별!CZ21),0)</f>
        <v/>
      </c>
      <c r="CX21" s="337" t="str">
        <f>IFERROR(IF($C21&lt;1,"",CX$3*일별반별!DA21),0)</f>
        <v/>
      </c>
      <c r="CY21" s="316" t="str">
        <f>IF(C21&lt;1,"",(CY$3*'09월 조업일지'!AV$7))</f>
        <v/>
      </c>
      <c r="CZ21" s="316" t="str">
        <f t="shared" si="1"/>
        <v/>
      </c>
      <c r="DA21" s="316" t="str">
        <f t="shared" si="0"/>
        <v/>
      </c>
      <c r="DB21" s="316" t="str">
        <f t="shared" si="0"/>
        <v/>
      </c>
      <c r="DC21" s="316"/>
      <c r="DD21" s="419"/>
    </row>
    <row r="22" spans="1:108" ht="15" customHeight="1">
      <c r="A22" s="274">
        <f t="shared" si="2"/>
        <v>44016</v>
      </c>
      <c r="B22" s="275" t="s">
        <v>9</v>
      </c>
      <c r="C22" s="201">
        <f>COUNTIFS('09월 조업일지'!$A$12:$A$952,A21,'09월 조업일지'!$E$12:$E$952,B22)</f>
        <v>0</v>
      </c>
      <c r="D22" s="314">
        <f>IF(C22&lt;1,0,(SUM(E22:CX22)/(일별반별!BV22-1.5)+(CY22+CZ22+DA22+DB22)))</f>
        <v>0</v>
      </c>
      <c r="E22" s="278"/>
      <c r="F22" s="281"/>
      <c r="G22" s="282"/>
      <c r="H22" s="283"/>
      <c r="I22" s="283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326"/>
      <c r="U22" s="395" t="str">
        <f>IFERROR(IF($C22&lt;1,"",U$3*일별반별!X22),0)</f>
        <v/>
      </c>
      <c r="V22" s="395" t="str">
        <f>IFERROR(IF($C22&lt;1,"",V$3*일별반별!Y22),0)</f>
        <v/>
      </c>
      <c r="W22" s="395" t="str">
        <f>IFERROR(IF($C22&lt;1,"",W$3*일별반별!Z22),0)</f>
        <v/>
      </c>
      <c r="X22" s="208" t="str">
        <f>IFERROR(IF($C22&lt;1,"",X$3*일별반별!AA22),0)</f>
        <v/>
      </c>
      <c r="Y22" s="208" t="str">
        <f>IFERROR(IF($C22&lt;1,"",Y$3*일별반별!AB22),0)</f>
        <v/>
      </c>
      <c r="Z22" s="208" t="str">
        <f>IFERROR(IF($C22&lt;1,"",Z$3*일별반별!AC22),0)</f>
        <v/>
      </c>
      <c r="AA22" s="395" t="str">
        <f>IFERROR(IF($C22&lt;1,"",AA$3*일별반별!AD22),0)</f>
        <v/>
      </c>
      <c r="AB22" s="395" t="str">
        <f>IFERROR(IF($C22&lt;1,"",AB$3*일별반별!AE22),0)</f>
        <v/>
      </c>
      <c r="AC22" s="208" t="str">
        <f>IFERROR(IF($C22&lt;1,"",AC$3*일별반별!AF22),0)</f>
        <v/>
      </c>
      <c r="AD22" s="208" t="str">
        <f>IFERROR(IF($C22&lt;1,"",AD$3*일별반별!AG22),0)</f>
        <v/>
      </c>
      <c r="AE22" s="208" t="str">
        <f>IFERROR(IF($C22&lt;1,"",AE$3*일별반별!AH22),0)</f>
        <v/>
      </c>
      <c r="AF22" s="395" t="str">
        <f>IFERROR(IF($C22&lt;1,"",AF$3*일별반별!AI22),0)</f>
        <v/>
      </c>
      <c r="AG22" s="395" t="str">
        <f>IFERROR(IF($C22&lt;1,"",AG$3*일별반별!AJ22),0)</f>
        <v/>
      </c>
      <c r="AH22" s="395" t="str">
        <f>IFERROR(IF($C22&lt;1,"",AH$3*일별반별!AK22),0)</f>
        <v/>
      </c>
      <c r="AI22" s="395" t="str">
        <f>IFERROR(IF($C22&lt;1,"",AI$3*일별반별!AL22),0)</f>
        <v/>
      </c>
      <c r="AJ22" s="395" t="str">
        <f>IFERROR(IF($C22&lt;1,"",AJ$3*일별반별!AM22),0)</f>
        <v/>
      </c>
      <c r="AK22" s="395" t="str">
        <f>IFERROR(IF($C22&lt;1,"",AK$3*일별반별!AN22),0)</f>
        <v/>
      </c>
      <c r="AL22" s="395" t="str">
        <f>IFERROR(IF($C22&lt;1,"",AL$3*일별반별!AO22),0)</f>
        <v/>
      </c>
      <c r="AM22" s="395" t="str">
        <f>IFERROR(IF($C22&lt;1,"",AM$3*일별반별!AP22),0)</f>
        <v/>
      </c>
      <c r="AN22" s="395" t="str">
        <f>IFERROR(IF($C22&lt;1,"",AN$3*일별반별!AQ22),0)</f>
        <v/>
      </c>
      <c r="AO22" s="395" t="str">
        <f>IFERROR(IF($C22&lt;1,"",AO$3*일별반별!AR22),0)</f>
        <v/>
      </c>
      <c r="AP22" s="347" t="str">
        <f>IFERROR(IF($C22&lt;1,"",AP$3*일별반별!AS22),0)</f>
        <v/>
      </c>
      <c r="AQ22" s="347" t="str">
        <f>IFERROR(IF($C22&lt;1,"",AQ$3*일별반별!AT22),0)</f>
        <v/>
      </c>
      <c r="AR22" s="316" t="str">
        <f>IFERROR(IF($C22&lt;1,"",AR$3*일별반별!AU22),0)</f>
        <v/>
      </c>
      <c r="AS22" s="401" t="str">
        <f>IFERROR(IF($C22&lt;1,"",AS$3*일별반별!AV22),0)</f>
        <v/>
      </c>
      <c r="AT22" s="401" t="str">
        <f>IFERROR(IF($C22&lt;1,"",AT$3*일별반별!AW22),0)</f>
        <v/>
      </c>
      <c r="AU22" s="401" t="str">
        <f>IFERROR(IF($C22&lt;1,"",AU$3*일별반별!AX22),0)</f>
        <v/>
      </c>
      <c r="AV22" s="401" t="str">
        <f>IFERROR(IF($C22&lt;1,"",AV$3*일별반별!AY22),0)</f>
        <v/>
      </c>
      <c r="AW22" s="401" t="str">
        <f>IFERROR(IF($C22&lt;1,"",AW$3*일별반별!AZ22),0)</f>
        <v/>
      </c>
      <c r="AX22" s="401" t="str">
        <f>IFERROR(IF($C22&lt;1,"",AX$3*일별반별!BA22),0)</f>
        <v/>
      </c>
      <c r="AY22" s="401" t="str">
        <f>IFERROR(IF($C22&lt;1,"",AY$3*일별반별!BB22),0)</f>
        <v/>
      </c>
      <c r="AZ22" s="401" t="str">
        <f>IFERROR(IF($C22&lt;1,"",AZ$3*일별반별!BC22),0)</f>
        <v/>
      </c>
      <c r="BA22" s="401" t="str">
        <f>IFERROR(IF($C22&lt;1,"",BA$3*일별반별!BD22),0)</f>
        <v/>
      </c>
      <c r="BB22" s="402" t="str">
        <f>IFERROR(IF($C22&lt;1,"",BB$3*일별반별!BE22),0)</f>
        <v/>
      </c>
      <c r="BC22" s="402" t="str">
        <f>IFERROR(IF($C22&lt;1,"",BC$3*일별반별!BF22),0)</f>
        <v/>
      </c>
      <c r="BD22" s="402" t="str">
        <f>IFERROR(IF($C22&lt;1,"",BD$3*일별반별!BG22),0)</f>
        <v/>
      </c>
      <c r="BE22" s="402" t="str">
        <f>IFERROR(IF($C22&lt;1,"",BE$3*일별반별!BH22),0)</f>
        <v/>
      </c>
      <c r="BF22" s="402" t="str">
        <f>IFERROR(IF($C22&lt;1,"",BF$3*일별반별!BI22),0)</f>
        <v/>
      </c>
      <c r="BG22" s="402" t="str">
        <f>IFERROR(IF($C22&lt;1,"",BG$3*일별반별!BJ22),0)</f>
        <v/>
      </c>
      <c r="BH22" s="402" t="str">
        <f>IFERROR(IF($C22&lt;1,"",BH$3*일별반별!BK22),0)</f>
        <v/>
      </c>
      <c r="BI22" s="402" t="str">
        <f>IFERROR(IF($C22&lt;1,"",BI$3*일별반별!BL22),0)</f>
        <v/>
      </c>
      <c r="BJ22" s="402" t="str">
        <f>IFERROR(IF($C22&lt;1,"",BJ$3*일별반별!BM22),0)</f>
        <v/>
      </c>
      <c r="BK22" s="402" t="str">
        <f>IFERROR(IF($C22&lt;1,"",BK$3*일별반별!BN22),0)</f>
        <v/>
      </c>
      <c r="BL22" s="402" t="str">
        <f>IFERROR(IF($C22&lt;1,"",BL$3*일별반별!BH22),0)</f>
        <v/>
      </c>
      <c r="BM22" s="402" t="str">
        <f>IFERROR(IF($C22&lt;1,"",BM$3*일별반별!BP22),0)</f>
        <v/>
      </c>
      <c r="BN22" s="401" t="str">
        <f>IFERROR(IF($C22&lt;1,"",BN$3*일별반별!BQ22),0)</f>
        <v/>
      </c>
      <c r="BO22" s="401" t="str">
        <f>IFERROR(IF($C22&lt;1,"",BO$3*일별반별!BR22),0)</f>
        <v/>
      </c>
      <c r="BP22" s="401" t="str">
        <f>IFERROR(IF($C22&lt;1,"",BP$3*일별반별!BS22),0)</f>
        <v/>
      </c>
      <c r="BQ22" s="401" t="str">
        <f>IFERROR(IF($C22&lt;1,"",BQ$3*일별반별!BT22),0)</f>
        <v/>
      </c>
      <c r="BR22" s="417" t="str">
        <f>IFERROR(IF($C22&lt;1,"",BR$3*일별반별!BU22),0)</f>
        <v/>
      </c>
      <c r="BS22" s="417" t="str">
        <f>IFERROR(IF($C22&lt;1,"",BS$3*일별반별!BV22),0)</f>
        <v/>
      </c>
      <c r="BT22" s="417" t="str">
        <f>IFERROR(IF($C22&lt;1,"",BT$3*일별반별!BW22),0)</f>
        <v/>
      </c>
      <c r="BU22" s="316" t="str">
        <f>IFERROR(IF($C22&lt;1,"",BU$3*일별반별!BX22),0)</f>
        <v/>
      </c>
      <c r="BV22" s="316" t="str">
        <f>IFERROR(IF($C22&lt;1,"",BV$3*일별반별!BY22),0)</f>
        <v/>
      </c>
      <c r="BW22" s="316" t="str">
        <f>IFERROR(IF($C22&lt;1,"",BW$3*일별반별!BZ22),0)</f>
        <v/>
      </c>
      <c r="BX22" s="316" t="str">
        <f>IFERROR(IF($C22&lt;1,"",BX$3*일별반별!CA22),0)</f>
        <v/>
      </c>
      <c r="BY22" s="316" t="str">
        <f>IFERROR(IF($C22&lt;1,"",BY$3*일별반별!CB22),0)</f>
        <v/>
      </c>
      <c r="BZ22" s="316" t="str">
        <f>IFERROR(IF($C22&lt;1,"",BZ$3*일별반별!CC22),0)</f>
        <v/>
      </c>
      <c r="CA22" s="316" t="str">
        <f>IFERROR(IF($C22&lt;1,"",CA$3*일별반별!CD22),0)</f>
        <v/>
      </c>
      <c r="CB22" s="316" t="str">
        <f>IFERROR(IF($C22&lt;1,"",CB$3*일별반별!CE22),0)</f>
        <v/>
      </c>
      <c r="CC22" s="316" t="str">
        <f>IFERROR(IF($C22&lt;1,"",CC$3*일별반별!CF22),0)</f>
        <v/>
      </c>
      <c r="CD22" s="316" t="str">
        <f>IFERROR(IF($C22&lt;1,"",CD$3*일별반별!CG22),0)</f>
        <v/>
      </c>
      <c r="CE22" s="316" t="str">
        <f>IFERROR(IF($C22&lt;1,"",CE$3*일별반별!CH22),0)</f>
        <v/>
      </c>
      <c r="CF22" s="316" t="str">
        <f>IFERROR(IF($C22&lt;1,"",CF$3*일별반별!CI22),0)</f>
        <v/>
      </c>
      <c r="CG22" s="316" t="str">
        <f>IFERROR(IF($C22&lt;1,"",CG$3*일별반별!CJ22),0)</f>
        <v/>
      </c>
      <c r="CH22" s="316" t="str">
        <f>IFERROR(IF($C22&lt;1,"",CH$3*일별반별!CK22),0)</f>
        <v/>
      </c>
      <c r="CI22" s="316" t="str">
        <f>IFERROR(IF($C22&lt;1,"",CI$3*일별반별!CL22),0)</f>
        <v/>
      </c>
      <c r="CJ22" s="316" t="str">
        <f>IFERROR(IF($C22&lt;1,"",CJ$3*일별반별!CM22),0)</f>
        <v/>
      </c>
      <c r="CK22" s="316" t="str">
        <f>IFERROR(IF($C22&lt;1,"",CK$3*일별반별!CN22),0)</f>
        <v/>
      </c>
      <c r="CL22" s="316" t="str">
        <f>IFERROR(IF($C22&lt;1,"",CL$3*일별반별!CO22),0)</f>
        <v/>
      </c>
      <c r="CM22" s="316" t="str">
        <f>IFERROR(IF($C22&lt;1,"",CM$3*일별반별!CP22),0)</f>
        <v/>
      </c>
      <c r="CN22" s="316" t="str">
        <f>IFERROR(IF($C22&lt;1,"",CN$3*일별반별!CQ22),0)</f>
        <v/>
      </c>
      <c r="CO22" s="316" t="str">
        <f>IFERROR(IF($C22&lt;1,"",CO$3*일별반별!CR22),0)</f>
        <v/>
      </c>
      <c r="CP22" s="316" t="str">
        <f>IFERROR(IF($C22&lt;1,"",CP$3*일별반별!CS22),0)</f>
        <v/>
      </c>
      <c r="CQ22" s="316" t="str">
        <f>IFERROR(IF($C22&lt;1,"",CQ$3*일별반별!CT22),0)</f>
        <v/>
      </c>
      <c r="CR22" s="418" t="str">
        <f>IFERROR(IF($C22&lt;1,"",CR$3*일별반별!CU22),0)</f>
        <v/>
      </c>
      <c r="CS22" s="418" t="str">
        <f>IFERROR(IF($C22&lt;1,"",CS$3*일별반별!CV22),0)</f>
        <v/>
      </c>
      <c r="CT22" s="316" t="str">
        <f>IFERROR(IF($C22&lt;1,"",CT$3*일별반별!CW22),0)</f>
        <v/>
      </c>
      <c r="CU22" s="316" t="str">
        <f>IFERROR(IF($C22&lt;1,"",CU$3*일별반별!CX22),0)</f>
        <v/>
      </c>
      <c r="CV22" s="316" t="str">
        <f>IFERROR(IF($C22&lt;1,"",CV$3*일별반별!CY22),0)</f>
        <v/>
      </c>
      <c r="CW22" s="316" t="str">
        <f>IFERROR(IF($C22&lt;1,"",CW$3*일별반별!CZ22),0)</f>
        <v/>
      </c>
      <c r="CX22" s="316" t="str">
        <f>IFERROR(IF($C22&lt;1,"",CX$3*일별반별!DA22),0)</f>
        <v/>
      </c>
      <c r="CY22" s="316" t="str">
        <f>IF(C22&lt;1,"",(CY$3*'09월 조업일지'!AV$7))</f>
        <v/>
      </c>
      <c r="CZ22" s="316" t="str">
        <f t="shared" si="1"/>
        <v/>
      </c>
      <c r="DA22" s="316" t="str">
        <f t="shared" si="1"/>
        <v/>
      </c>
      <c r="DB22" s="316" t="str">
        <f t="shared" si="1"/>
        <v/>
      </c>
      <c r="DC22" s="316"/>
      <c r="DD22" s="419"/>
    </row>
    <row r="23" spans="1:108" ht="15" customHeight="1">
      <c r="A23" s="274">
        <f t="shared" si="2"/>
        <v>44016</v>
      </c>
      <c r="B23" s="275" t="s">
        <v>100</v>
      </c>
      <c r="C23" s="201">
        <f>COUNTIFS('09월 조업일지'!$A$12:$A$952,A21,'09월 조업일지'!$E$12:$E$952,B23)</f>
        <v>0</v>
      </c>
      <c r="D23" s="314">
        <f>IF(C23&lt;1,0,(SUM(E23:CX23)/(일별반별!BV23-1.5)+(CY23+CZ23+DA23+DB23)))</f>
        <v>0</v>
      </c>
      <c r="E23" s="278"/>
      <c r="F23" s="281"/>
      <c r="G23" s="282"/>
      <c r="H23" s="283"/>
      <c r="I23" s="283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326"/>
      <c r="U23" s="395" t="str">
        <f>IFERROR(IF($C23&lt;1,"",U$3*일별반별!X23),0)</f>
        <v/>
      </c>
      <c r="V23" s="395" t="str">
        <f>IFERROR(IF($C23&lt;1,"",V$3*일별반별!Y23),0)</f>
        <v/>
      </c>
      <c r="W23" s="395" t="str">
        <f>IFERROR(IF($C23&lt;1,"",W$3*일별반별!Z23),0)</f>
        <v/>
      </c>
      <c r="X23" s="208" t="str">
        <f>IFERROR(IF($C23&lt;1,"",X$3*일별반별!AA23),0)</f>
        <v/>
      </c>
      <c r="Y23" s="208" t="str">
        <f>IFERROR(IF($C23&lt;1,"",Y$3*일별반별!AB23),0)</f>
        <v/>
      </c>
      <c r="Z23" s="208" t="str">
        <f>IFERROR(IF($C23&lt;1,"",Z$3*일별반별!AC23),0)</f>
        <v/>
      </c>
      <c r="AA23" s="395" t="str">
        <f>IFERROR(IF($C23&lt;1,"",AA$3*일별반별!AD23),0)</f>
        <v/>
      </c>
      <c r="AB23" s="395" t="str">
        <f>IFERROR(IF($C23&lt;1,"",AB$3*일별반별!AE23),0)</f>
        <v/>
      </c>
      <c r="AC23" s="208" t="str">
        <f>IFERROR(IF($C23&lt;1,"",AC$3*일별반별!AF23),0)</f>
        <v/>
      </c>
      <c r="AD23" s="208" t="str">
        <f>IFERROR(IF($C23&lt;1,"",AD$3*일별반별!AG23),0)</f>
        <v/>
      </c>
      <c r="AE23" s="208" t="str">
        <f>IFERROR(IF($C23&lt;1,"",AE$3*일별반별!AH23),0)</f>
        <v/>
      </c>
      <c r="AF23" s="395" t="str">
        <f>IFERROR(IF($C23&lt;1,"",AF$3*일별반별!AI23),0)</f>
        <v/>
      </c>
      <c r="AG23" s="395" t="str">
        <f>IFERROR(IF($C23&lt;1,"",AG$3*일별반별!AJ23),0)</f>
        <v/>
      </c>
      <c r="AH23" s="395" t="str">
        <f>IFERROR(IF($C23&lt;1,"",AH$3*일별반별!AK23),0)</f>
        <v/>
      </c>
      <c r="AI23" s="395" t="str">
        <f>IFERROR(IF($C23&lt;1,"",AI$3*일별반별!AL23),0)</f>
        <v/>
      </c>
      <c r="AJ23" s="395" t="str">
        <f>IFERROR(IF($C23&lt;1,"",AJ$3*일별반별!AM23),0)</f>
        <v/>
      </c>
      <c r="AK23" s="395" t="str">
        <f>IFERROR(IF($C23&lt;1,"",AK$3*일별반별!AN23),0)</f>
        <v/>
      </c>
      <c r="AL23" s="395" t="str">
        <f>IFERROR(IF($C23&lt;1,"",AL$3*일별반별!AO23),0)</f>
        <v/>
      </c>
      <c r="AM23" s="395" t="str">
        <f>IFERROR(IF($C23&lt;1,"",AM$3*일별반별!AP23),0)</f>
        <v/>
      </c>
      <c r="AN23" s="395" t="str">
        <f>IFERROR(IF($C23&lt;1,"",AN$3*일별반별!AQ23),0)</f>
        <v/>
      </c>
      <c r="AO23" s="395" t="str">
        <f>IFERROR(IF($C23&lt;1,"",AO$3*일별반별!AR23),0)</f>
        <v/>
      </c>
      <c r="AP23" s="347" t="str">
        <f>IFERROR(IF($C23&lt;1,"",AP$3*일별반별!AS23),0)</f>
        <v/>
      </c>
      <c r="AQ23" s="347" t="str">
        <f>IFERROR(IF($C23&lt;1,"",AQ$3*일별반별!AT23),0)</f>
        <v/>
      </c>
      <c r="AR23" s="316" t="str">
        <f>IFERROR(IF($C23&lt;1,"",AR$3*일별반별!AU23),0)</f>
        <v/>
      </c>
      <c r="AS23" s="401" t="str">
        <f>IFERROR(IF($C23&lt;1,"",AS$3*일별반별!AV23),0)</f>
        <v/>
      </c>
      <c r="AT23" s="401" t="str">
        <f>IFERROR(IF($C23&lt;1,"",AT$3*일별반별!AW23),0)</f>
        <v/>
      </c>
      <c r="AU23" s="401" t="str">
        <f>IFERROR(IF($C23&lt;1,"",AU$3*일별반별!AX23),0)</f>
        <v/>
      </c>
      <c r="AV23" s="401" t="str">
        <f>IFERROR(IF($C23&lt;1,"",AV$3*일별반별!AY23),0)</f>
        <v/>
      </c>
      <c r="AW23" s="401" t="str">
        <f>IFERROR(IF($C23&lt;1,"",AW$3*일별반별!AZ23),0)</f>
        <v/>
      </c>
      <c r="AX23" s="401" t="str">
        <f>IFERROR(IF($C23&lt;1,"",AX$3*일별반별!BA23),0)</f>
        <v/>
      </c>
      <c r="AY23" s="401" t="str">
        <f>IFERROR(IF($C23&lt;1,"",AY$3*일별반별!BB23),0)</f>
        <v/>
      </c>
      <c r="AZ23" s="401" t="str">
        <f>IFERROR(IF($C23&lt;1,"",AZ$3*일별반별!BC23),0)</f>
        <v/>
      </c>
      <c r="BA23" s="401" t="str">
        <f>IFERROR(IF($C23&lt;1,"",BA$3*일별반별!BD23),0)</f>
        <v/>
      </c>
      <c r="BB23" s="402" t="str">
        <f>IFERROR(IF($C23&lt;1,"",BB$3*일별반별!BE23),0)</f>
        <v/>
      </c>
      <c r="BC23" s="402" t="str">
        <f>IFERROR(IF($C23&lt;1,"",BC$3*일별반별!BF23),0)</f>
        <v/>
      </c>
      <c r="BD23" s="402" t="str">
        <f>IFERROR(IF($C23&lt;1,"",BD$3*일별반별!BG23),0)</f>
        <v/>
      </c>
      <c r="BE23" s="402" t="str">
        <f>IFERROR(IF($C23&lt;1,"",BE$3*일별반별!BH23),0)</f>
        <v/>
      </c>
      <c r="BF23" s="402" t="str">
        <f>IFERROR(IF($C23&lt;1,"",BF$3*일별반별!BI23),0)</f>
        <v/>
      </c>
      <c r="BG23" s="402" t="str">
        <f>IFERROR(IF($C23&lt;1,"",BG$3*일별반별!BJ23),0)</f>
        <v/>
      </c>
      <c r="BH23" s="402" t="str">
        <f>IFERROR(IF($C23&lt;1,"",BH$3*일별반별!BK23),0)</f>
        <v/>
      </c>
      <c r="BI23" s="402" t="str">
        <f>IFERROR(IF($C23&lt;1,"",BI$3*일별반별!BL23),0)</f>
        <v/>
      </c>
      <c r="BJ23" s="402" t="str">
        <f>IFERROR(IF($C23&lt;1,"",BJ$3*일별반별!BM23),0)</f>
        <v/>
      </c>
      <c r="BK23" s="402" t="str">
        <f>IFERROR(IF($C23&lt;1,"",BK$3*일별반별!BN23),0)</f>
        <v/>
      </c>
      <c r="BL23" s="402" t="str">
        <f>IFERROR(IF($C23&lt;1,"",BL$3*일별반별!BH23),0)</f>
        <v/>
      </c>
      <c r="BM23" s="402" t="str">
        <f>IFERROR(IF($C23&lt;1,"",BM$3*일별반별!BP23),0)</f>
        <v/>
      </c>
      <c r="BN23" s="401" t="str">
        <f>IFERROR(IF($C23&lt;1,"",BN$3*일별반별!BQ23),0)</f>
        <v/>
      </c>
      <c r="BO23" s="401" t="str">
        <f>IFERROR(IF($C23&lt;1,"",BO$3*일별반별!BR23),0)</f>
        <v/>
      </c>
      <c r="BP23" s="401" t="str">
        <f>IFERROR(IF($C23&lt;1,"",BP$3*일별반별!BS23),0)</f>
        <v/>
      </c>
      <c r="BQ23" s="401" t="str">
        <f>IFERROR(IF($C23&lt;1,"",BQ$3*일별반별!BT23),0)</f>
        <v/>
      </c>
      <c r="BR23" s="417" t="str">
        <f>IFERROR(IF($C23&lt;1,"",BR$3*일별반별!BU23),0)</f>
        <v/>
      </c>
      <c r="BS23" s="417" t="str">
        <f>IFERROR(IF($C23&lt;1,"",BS$3*일별반별!BV23),0)</f>
        <v/>
      </c>
      <c r="BT23" s="417" t="str">
        <f>IFERROR(IF($C23&lt;1,"",BT$3*일별반별!BW23),0)</f>
        <v/>
      </c>
      <c r="BU23" s="316" t="str">
        <f>IFERROR(IF($C23&lt;1,"",BU$3*일별반별!BX23),0)</f>
        <v/>
      </c>
      <c r="BV23" s="316" t="str">
        <f>IFERROR(IF($C23&lt;1,"",BV$3*일별반별!BY23),0)</f>
        <v/>
      </c>
      <c r="BW23" s="316" t="str">
        <f>IFERROR(IF($C23&lt;1,"",BW$3*일별반별!BZ23),0)</f>
        <v/>
      </c>
      <c r="BX23" s="316" t="str">
        <f>IFERROR(IF($C23&lt;1,"",BX$3*일별반별!CA23),0)</f>
        <v/>
      </c>
      <c r="BY23" s="316" t="str">
        <f>IFERROR(IF($C23&lt;1,"",BY$3*일별반별!CB23),0)</f>
        <v/>
      </c>
      <c r="BZ23" s="316" t="str">
        <f>IFERROR(IF($C23&lt;1,"",BZ$3*일별반별!CC23),0)</f>
        <v/>
      </c>
      <c r="CA23" s="316" t="str">
        <f>IFERROR(IF($C23&lt;1,"",CA$3*일별반별!CD23),0)</f>
        <v/>
      </c>
      <c r="CB23" s="316" t="str">
        <f>IFERROR(IF($C23&lt;1,"",CB$3*일별반별!CE23),0)</f>
        <v/>
      </c>
      <c r="CC23" s="316" t="str">
        <f>IFERROR(IF($C23&lt;1,"",CC$3*일별반별!CF23),0)</f>
        <v/>
      </c>
      <c r="CD23" s="316" t="str">
        <f>IFERROR(IF($C23&lt;1,"",CD$3*일별반별!CG23),0)</f>
        <v/>
      </c>
      <c r="CE23" s="316" t="str">
        <f>IFERROR(IF($C23&lt;1,"",CE$3*일별반별!CH23),0)</f>
        <v/>
      </c>
      <c r="CF23" s="316" t="str">
        <f>IFERROR(IF($C23&lt;1,"",CF$3*일별반별!CI23),0)</f>
        <v/>
      </c>
      <c r="CG23" s="316" t="str">
        <f>IFERROR(IF($C23&lt;1,"",CG$3*일별반별!CJ23),0)</f>
        <v/>
      </c>
      <c r="CH23" s="316" t="str">
        <f>IFERROR(IF($C23&lt;1,"",CH$3*일별반별!CK23),0)</f>
        <v/>
      </c>
      <c r="CI23" s="316" t="str">
        <f>IFERROR(IF($C23&lt;1,"",CI$3*일별반별!CL23),0)</f>
        <v/>
      </c>
      <c r="CJ23" s="316" t="str">
        <f>IFERROR(IF($C23&lt;1,"",CJ$3*일별반별!CM23),0)</f>
        <v/>
      </c>
      <c r="CK23" s="316" t="str">
        <f>IFERROR(IF($C23&lt;1,"",CK$3*일별반별!CN23),0)</f>
        <v/>
      </c>
      <c r="CL23" s="316" t="str">
        <f>IFERROR(IF($C23&lt;1,"",CL$3*일별반별!CO23),0)</f>
        <v/>
      </c>
      <c r="CM23" s="316" t="str">
        <f>IFERROR(IF($C23&lt;1,"",CM$3*일별반별!CP23),0)</f>
        <v/>
      </c>
      <c r="CN23" s="316" t="str">
        <f>IFERROR(IF($C23&lt;1,"",CN$3*일별반별!CQ23),0)</f>
        <v/>
      </c>
      <c r="CO23" s="316" t="str">
        <f>IFERROR(IF($C23&lt;1,"",CO$3*일별반별!CR23),0)</f>
        <v/>
      </c>
      <c r="CP23" s="316" t="str">
        <f>IFERROR(IF($C23&lt;1,"",CP$3*일별반별!CS23),0)</f>
        <v/>
      </c>
      <c r="CQ23" s="316" t="str">
        <f>IFERROR(IF($C23&lt;1,"",CQ$3*일별반별!CT23),0)</f>
        <v/>
      </c>
      <c r="CR23" s="418" t="str">
        <f>IFERROR(IF($C23&lt;1,"",CR$3*일별반별!CU23),0)</f>
        <v/>
      </c>
      <c r="CS23" s="418" t="str">
        <f>IFERROR(IF($C23&lt;1,"",CS$3*일별반별!CV23),0)</f>
        <v/>
      </c>
      <c r="CT23" s="316" t="str">
        <f>IFERROR(IF($C23&lt;1,"",CT$3*일별반별!CW23),0)</f>
        <v/>
      </c>
      <c r="CU23" s="316" t="str">
        <f>IFERROR(IF($C23&lt;1,"",CU$3*일별반별!CX23),0)</f>
        <v/>
      </c>
      <c r="CV23" s="316" t="str">
        <f>IFERROR(IF($C23&lt;1,"",CV$3*일별반별!CY23),0)</f>
        <v/>
      </c>
      <c r="CW23" s="316" t="str">
        <f>IFERROR(IF($C23&lt;1,"",CW$3*일별반별!CZ23),0)</f>
        <v/>
      </c>
      <c r="CX23" s="316" t="str">
        <f>IFERROR(IF($C23&lt;1,"",CX$3*일별반별!DA23),0)</f>
        <v/>
      </c>
      <c r="CY23" s="316" t="str">
        <f>IF(C23&lt;1,"",(CY$3*'09월 조업일지'!AV$7))</f>
        <v/>
      </c>
      <c r="CZ23" s="316" t="str">
        <f t="shared" si="1"/>
        <v/>
      </c>
      <c r="DA23" s="316" t="str">
        <f t="shared" si="1"/>
        <v/>
      </c>
      <c r="DB23" s="316" t="str">
        <f t="shared" si="1"/>
        <v/>
      </c>
      <c r="DC23" s="316"/>
      <c r="DD23" s="419"/>
    </row>
    <row r="24" spans="1:108" ht="15" customHeight="1">
      <c r="A24" s="274">
        <f t="shared" si="2"/>
        <v>44016</v>
      </c>
      <c r="B24" s="275" t="s">
        <v>10</v>
      </c>
      <c r="C24" s="201">
        <f>COUNTIFS('09월 조업일지'!$A$12:$A$952,A21,'09월 조업일지'!$E$12:$E$952,B24)</f>
        <v>0</v>
      </c>
      <c r="D24" s="314">
        <f>IF(C24&lt;1,0,(SUM(E24:CX24)/(일별반별!BV24-1.5)+(CY24+CZ24+DA24+DB24)))</f>
        <v>0</v>
      </c>
      <c r="E24" s="278"/>
      <c r="F24" s="281"/>
      <c r="G24" s="282"/>
      <c r="H24" s="283"/>
      <c r="I24" s="283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326"/>
      <c r="U24" s="395" t="str">
        <f>IFERROR(IF($C24&lt;1,"",U$3*일별반별!X24),0)</f>
        <v/>
      </c>
      <c r="V24" s="395" t="str">
        <f>IFERROR(IF($C24&lt;1,"",V$3*일별반별!Y24),0)</f>
        <v/>
      </c>
      <c r="W24" s="395" t="str">
        <f>IFERROR(IF($C24&lt;1,"",W$3*일별반별!Z24),0)</f>
        <v/>
      </c>
      <c r="X24" s="208" t="str">
        <f>IFERROR(IF($C24&lt;1,"",X$3*일별반별!AA24),0)</f>
        <v/>
      </c>
      <c r="Y24" s="208" t="str">
        <f>IFERROR(IF($C24&lt;1,"",Y$3*일별반별!AB24),0)</f>
        <v/>
      </c>
      <c r="Z24" s="208" t="str">
        <f>IFERROR(IF($C24&lt;1,"",Z$3*일별반별!AC24),0)</f>
        <v/>
      </c>
      <c r="AA24" s="395" t="str">
        <f>IFERROR(IF($C24&lt;1,"",AA$3*일별반별!AD24),0)</f>
        <v/>
      </c>
      <c r="AB24" s="395" t="str">
        <f>IFERROR(IF($C24&lt;1,"",AB$3*일별반별!AE24),0)</f>
        <v/>
      </c>
      <c r="AC24" s="208" t="str">
        <f>IFERROR(IF($C24&lt;1,"",AC$3*일별반별!AF24),0)</f>
        <v/>
      </c>
      <c r="AD24" s="208" t="str">
        <f>IFERROR(IF($C24&lt;1,"",AD$3*일별반별!AG24),0)</f>
        <v/>
      </c>
      <c r="AE24" s="208" t="str">
        <f>IFERROR(IF($C24&lt;1,"",AE$3*일별반별!AH24),0)</f>
        <v/>
      </c>
      <c r="AF24" s="395" t="str">
        <f>IFERROR(IF($C24&lt;1,"",AF$3*일별반별!AI24),0)</f>
        <v/>
      </c>
      <c r="AG24" s="395" t="str">
        <f>IFERROR(IF($C24&lt;1,"",AG$3*일별반별!AJ24),0)</f>
        <v/>
      </c>
      <c r="AH24" s="395" t="str">
        <f>IFERROR(IF($C24&lt;1,"",AH$3*일별반별!AK24),0)</f>
        <v/>
      </c>
      <c r="AI24" s="395" t="str">
        <f>IFERROR(IF($C24&lt;1,"",AI$3*일별반별!AL24),0)</f>
        <v/>
      </c>
      <c r="AJ24" s="395" t="str">
        <f>IFERROR(IF($C24&lt;1,"",AJ$3*일별반별!AM24),0)</f>
        <v/>
      </c>
      <c r="AK24" s="395" t="str">
        <f>IFERROR(IF($C24&lt;1,"",AK$3*일별반별!AN24),0)</f>
        <v/>
      </c>
      <c r="AL24" s="395" t="str">
        <f>IFERROR(IF($C24&lt;1,"",AL$3*일별반별!AO24),0)</f>
        <v/>
      </c>
      <c r="AM24" s="395" t="str">
        <f>IFERROR(IF($C24&lt;1,"",AM$3*일별반별!AP24),0)</f>
        <v/>
      </c>
      <c r="AN24" s="395" t="str">
        <f>IFERROR(IF($C24&lt;1,"",AN$3*일별반별!AQ24),0)</f>
        <v/>
      </c>
      <c r="AO24" s="395" t="str">
        <f>IFERROR(IF($C24&lt;1,"",AO$3*일별반별!AR24),0)</f>
        <v/>
      </c>
      <c r="AP24" s="347" t="str">
        <f>IFERROR(IF($C24&lt;1,"",AP$3*일별반별!AS24),0)</f>
        <v/>
      </c>
      <c r="AQ24" s="347" t="str">
        <f>IFERROR(IF($C24&lt;1,"",AQ$3*일별반별!AT24),0)</f>
        <v/>
      </c>
      <c r="AR24" s="316" t="str">
        <f>IFERROR(IF($C24&lt;1,"",AR$3*일별반별!AU24),0)</f>
        <v/>
      </c>
      <c r="AS24" s="401" t="str">
        <f>IFERROR(IF($C24&lt;1,"",AS$3*일별반별!AV24),0)</f>
        <v/>
      </c>
      <c r="AT24" s="401" t="str">
        <f>IFERROR(IF($C24&lt;1,"",AT$3*일별반별!AW24),0)</f>
        <v/>
      </c>
      <c r="AU24" s="401" t="str">
        <f>IFERROR(IF($C24&lt;1,"",AU$3*일별반별!AX24),0)</f>
        <v/>
      </c>
      <c r="AV24" s="401" t="str">
        <f>IFERROR(IF($C24&lt;1,"",AV$3*일별반별!AY24),0)</f>
        <v/>
      </c>
      <c r="AW24" s="401" t="str">
        <f>IFERROR(IF($C24&lt;1,"",AW$3*일별반별!AZ24),0)</f>
        <v/>
      </c>
      <c r="AX24" s="401" t="str">
        <f>IFERROR(IF($C24&lt;1,"",AX$3*일별반별!BA24),0)</f>
        <v/>
      </c>
      <c r="AY24" s="401" t="str">
        <f>IFERROR(IF($C24&lt;1,"",AY$3*일별반별!BB24),0)</f>
        <v/>
      </c>
      <c r="AZ24" s="401" t="str">
        <f>IFERROR(IF($C24&lt;1,"",AZ$3*일별반별!BC24),0)</f>
        <v/>
      </c>
      <c r="BA24" s="401" t="str">
        <f>IFERROR(IF($C24&lt;1,"",BA$3*일별반별!BD24),0)</f>
        <v/>
      </c>
      <c r="BB24" s="402" t="str">
        <f>IFERROR(IF($C24&lt;1,"",BB$3*일별반별!BE24),0)</f>
        <v/>
      </c>
      <c r="BC24" s="402" t="str">
        <f>IFERROR(IF($C24&lt;1,"",BC$3*일별반별!BF24),0)</f>
        <v/>
      </c>
      <c r="BD24" s="402" t="str">
        <f>IFERROR(IF($C24&lt;1,"",BD$3*일별반별!BG24),0)</f>
        <v/>
      </c>
      <c r="BE24" s="402" t="str">
        <f>IFERROR(IF($C24&lt;1,"",BE$3*일별반별!BH24),0)</f>
        <v/>
      </c>
      <c r="BF24" s="402" t="str">
        <f>IFERROR(IF($C24&lt;1,"",BF$3*일별반별!BI24),0)</f>
        <v/>
      </c>
      <c r="BG24" s="402" t="str">
        <f>IFERROR(IF($C24&lt;1,"",BG$3*일별반별!BJ24),0)</f>
        <v/>
      </c>
      <c r="BH24" s="402" t="str">
        <f>IFERROR(IF($C24&lt;1,"",BH$3*일별반별!BK24),0)</f>
        <v/>
      </c>
      <c r="BI24" s="402" t="str">
        <f>IFERROR(IF($C24&lt;1,"",BI$3*일별반별!BL24),0)</f>
        <v/>
      </c>
      <c r="BJ24" s="402" t="str">
        <f>IFERROR(IF($C24&lt;1,"",BJ$3*일별반별!BM24),0)</f>
        <v/>
      </c>
      <c r="BK24" s="402" t="str">
        <f>IFERROR(IF($C24&lt;1,"",BK$3*일별반별!BN24),0)</f>
        <v/>
      </c>
      <c r="BL24" s="402" t="str">
        <f>IFERROR(IF($C24&lt;1,"",BL$3*일별반별!BH24),0)</f>
        <v/>
      </c>
      <c r="BM24" s="402" t="str">
        <f>IFERROR(IF($C24&lt;1,"",BM$3*일별반별!BP24),0)</f>
        <v/>
      </c>
      <c r="BN24" s="401" t="str">
        <f>IFERROR(IF($C24&lt;1,"",BN$3*일별반별!BQ24),0)</f>
        <v/>
      </c>
      <c r="BO24" s="401" t="str">
        <f>IFERROR(IF($C24&lt;1,"",BO$3*일별반별!BR24),0)</f>
        <v/>
      </c>
      <c r="BP24" s="401" t="str">
        <f>IFERROR(IF($C24&lt;1,"",BP$3*일별반별!BS24),0)</f>
        <v/>
      </c>
      <c r="BQ24" s="401" t="str">
        <f>IFERROR(IF($C24&lt;1,"",BQ$3*일별반별!BT24),0)</f>
        <v/>
      </c>
      <c r="BR24" s="417" t="str">
        <f>IFERROR(IF($C24&lt;1,"",BR$3*일별반별!BU24),0)</f>
        <v/>
      </c>
      <c r="BS24" s="417" t="str">
        <f>IFERROR(IF($C24&lt;1,"",BS$3*일별반별!BV24),0)</f>
        <v/>
      </c>
      <c r="BT24" s="417" t="str">
        <f>IFERROR(IF($C24&lt;1,"",BT$3*일별반별!BW24),0)</f>
        <v/>
      </c>
      <c r="BU24" s="316" t="str">
        <f>IFERROR(IF($C24&lt;1,"",BU$3*일별반별!BX24),0)</f>
        <v/>
      </c>
      <c r="BV24" s="316" t="str">
        <f>IFERROR(IF($C24&lt;1,"",BV$3*일별반별!BY24),0)</f>
        <v/>
      </c>
      <c r="BW24" s="316" t="str">
        <f>IFERROR(IF($C24&lt;1,"",BW$3*일별반별!BZ24),0)</f>
        <v/>
      </c>
      <c r="BX24" s="316" t="str">
        <f>IFERROR(IF($C24&lt;1,"",BX$3*일별반별!CA24),0)</f>
        <v/>
      </c>
      <c r="BY24" s="316" t="str">
        <f>IFERROR(IF($C24&lt;1,"",BY$3*일별반별!CB24),0)</f>
        <v/>
      </c>
      <c r="BZ24" s="316" t="str">
        <f>IFERROR(IF($C24&lt;1,"",BZ$3*일별반별!CC24),0)</f>
        <v/>
      </c>
      <c r="CA24" s="316" t="str">
        <f>IFERROR(IF($C24&lt;1,"",CA$3*일별반별!CD24),0)</f>
        <v/>
      </c>
      <c r="CB24" s="316" t="str">
        <f>IFERROR(IF($C24&lt;1,"",CB$3*일별반별!CE24),0)</f>
        <v/>
      </c>
      <c r="CC24" s="316" t="str">
        <f>IFERROR(IF($C24&lt;1,"",CC$3*일별반별!CF24),0)</f>
        <v/>
      </c>
      <c r="CD24" s="316" t="str">
        <f>IFERROR(IF($C24&lt;1,"",CD$3*일별반별!CG24),0)</f>
        <v/>
      </c>
      <c r="CE24" s="316" t="str">
        <f>IFERROR(IF($C24&lt;1,"",CE$3*일별반별!CH24),0)</f>
        <v/>
      </c>
      <c r="CF24" s="316" t="str">
        <f>IFERROR(IF($C24&lt;1,"",CF$3*일별반별!CI24),0)</f>
        <v/>
      </c>
      <c r="CG24" s="316" t="str">
        <f>IFERROR(IF($C24&lt;1,"",CG$3*일별반별!CJ24),0)</f>
        <v/>
      </c>
      <c r="CH24" s="316" t="str">
        <f>IFERROR(IF($C24&lt;1,"",CH$3*일별반별!CK24),0)</f>
        <v/>
      </c>
      <c r="CI24" s="316" t="str">
        <f>IFERROR(IF($C24&lt;1,"",CI$3*일별반별!CL24),0)</f>
        <v/>
      </c>
      <c r="CJ24" s="316" t="str">
        <f>IFERROR(IF($C24&lt;1,"",CJ$3*일별반별!CM24),0)</f>
        <v/>
      </c>
      <c r="CK24" s="316" t="str">
        <f>IFERROR(IF($C24&lt;1,"",CK$3*일별반별!CN24),0)</f>
        <v/>
      </c>
      <c r="CL24" s="316" t="str">
        <f>IFERROR(IF($C24&lt;1,"",CL$3*일별반별!CO24),0)</f>
        <v/>
      </c>
      <c r="CM24" s="316" t="str">
        <f>IFERROR(IF($C24&lt;1,"",CM$3*일별반별!CP24),0)</f>
        <v/>
      </c>
      <c r="CN24" s="316" t="str">
        <f>IFERROR(IF($C24&lt;1,"",CN$3*일별반별!CQ24),0)</f>
        <v/>
      </c>
      <c r="CO24" s="316" t="str">
        <f>IFERROR(IF($C24&lt;1,"",CO$3*일별반별!CR24),0)</f>
        <v/>
      </c>
      <c r="CP24" s="316" t="str">
        <f>IFERROR(IF($C24&lt;1,"",CP$3*일별반별!CS24),0)</f>
        <v/>
      </c>
      <c r="CQ24" s="316" t="str">
        <f>IFERROR(IF($C24&lt;1,"",CQ$3*일별반별!CT24),0)</f>
        <v/>
      </c>
      <c r="CR24" s="418" t="str">
        <f>IFERROR(IF($C24&lt;1,"",CR$3*일별반별!CU24),0)</f>
        <v/>
      </c>
      <c r="CS24" s="418" t="str">
        <f>IFERROR(IF($C24&lt;1,"",CS$3*일별반별!CV24),0)</f>
        <v/>
      </c>
      <c r="CT24" s="316" t="str">
        <f>IFERROR(IF($C24&lt;1,"",CT$3*일별반별!CW24),0)</f>
        <v/>
      </c>
      <c r="CU24" s="316" t="str">
        <f>IFERROR(IF($C24&lt;1,"",CU$3*일별반별!CX24),0)</f>
        <v/>
      </c>
      <c r="CV24" s="316" t="str">
        <f>IFERROR(IF($C24&lt;1,"",CV$3*일별반별!CY24),0)</f>
        <v/>
      </c>
      <c r="CW24" s="316" t="str">
        <f>IFERROR(IF($C24&lt;1,"",CW$3*일별반별!CZ24),0)</f>
        <v/>
      </c>
      <c r="CX24" s="316" t="str">
        <f>IFERROR(IF($C24&lt;1,"",CX$3*일별반별!DA24),0)</f>
        <v/>
      </c>
      <c r="CY24" s="316" t="str">
        <f>IF(C24&lt;1,"",(CY$3*'09월 조업일지'!AV$7))</f>
        <v/>
      </c>
      <c r="CZ24" s="316" t="str">
        <f t="shared" si="1"/>
        <v/>
      </c>
      <c r="DA24" s="316" t="str">
        <f t="shared" si="1"/>
        <v/>
      </c>
      <c r="DB24" s="316" t="str">
        <f t="shared" si="1"/>
        <v/>
      </c>
      <c r="DC24" s="316"/>
      <c r="DD24" s="419"/>
    </row>
    <row r="25" spans="1:108" ht="15" customHeight="1">
      <c r="A25" s="274">
        <f t="shared" si="2"/>
        <v>44016</v>
      </c>
      <c r="B25" s="275" t="s">
        <v>94</v>
      </c>
      <c r="C25" s="201">
        <f>COUNTIFS('09월 조업일지'!$A$12:$A$952,A21,'09월 조업일지'!$E$12:$E$952,B25)</f>
        <v>0</v>
      </c>
      <c r="D25" s="314">
        <f>IF(C25&lt;1,0,(SUM(E25:CX25)/(일별반별!BV25-1.5)+(CY25+CZ25+DA25+DB25)))</f>
        <v>0</v>
      </c>
      <c r="E25" s="278"/>
      <c r="F25" s="281"/>
      <c r="G25" s="282"/>
      <c r="H25" s="283"/>
      <c r="I25" s="283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326"/>
      <c r="U25" s="395" t="str">
        <f>IFERROR(IF($C25&lt;1,"",U$3*일별반별!X25),0)</f>
        <v/>
      </c>
      <c r="V25" s="395" t="str">
        <f>IFERROR(IF($C25&lt;1,"",V$3*일별반별!Y25),0)</f>
        <v/>
      </c>
      <c r="W25" s="395" t="str">
        <f>IFERROR(IF($C25&lt;1,"",W$3*일별반별!Z25),0)</f>
        <v/>
      </c>
      <c r="X25" s="208" t="str">
        <f>IFERROR(IF($C25&lt;1,"",X$3*일별반별!AA25),0)</f>
        <v/>
      </c>
      <c r="Y25" s="208" t="str">
        <f>IFERROR(IF($C25&lt;1,"",Y$3*일별반별!AB25),0)</f>
        <v/>
      </c>
      <c r="Z25" s="208" t="str">
        <f>IFERROR(IF($C25&lt;1,"",Z$3*일별반별!AC25),0)</f>
        <v/>
      </c>
      <c r="AA25" s="395" t="str">
        <f>IFERROR(IF($C25&lt;1,"",AA$3*일별반별!AD25),0)</f>
        <v/>
      </c>
      <c r="AB25" s="395" t="str">
        <f>IFERROR(IF($C25&lt;1,"",AB$3*일별반별!AE25),0)</f>
        <v/>
      </c>
      <c r="AC25" s="208" t="str">
        <f>IFERROR(IF($C25&lt;1,"",AC$3*일별반별!AF25),0)</f>
        <v/>
      </c>
      <c r="AD25" s="208" t="str">
        <f>IFERROR(IF($C25&lt;1,"",AD$3*일별반별!AG25),0)</f>
        <v/>
      </c>
      <c r="AE25" s="208" t="str">
        <f>IFERROR(IF($C25&lt;1,"",AE$3*일별반별!AH25),0)</f>
        <v/>
      </c>
      <c r="AF25" s="395" t="str">
        <f>IFERROR(IF($C25&lt;1,"",AF$3*일별반별!AI25),0)</f>
        <v/>
      </c>
      <c r="AG25" s="395" t="str">
        <f>IFERROR(IF($C25&lt;1,"",AG$3*일별반별!AJ25),0)</f>
        <v/>
      </c>
      <c r="AH25" s="395" t="str">
        <f>IFERROR(IF($C25&lt;1,"",AH$3*일별반별!AK25),0)</f>
        <v/>
      </c>
      <c r="AI25" s="395" t="str">
        <f>IFERROR(IF($C25&lt;1,"",AI$3*일별반별!AL25),0)</f>
        <v/>
      </c>
      <c r="AJ25" s="395" t="str">
        <f>IFERROR(IF($C25&lt;1,"",AJ$3*일별반별!AM25),0)</f>
        <v/>
      </c>
      <c r="AK25" s="395" t="str">
        <f>IFERROR(IF($C25&lt;1,"",AK$3*일별반별!AN25),0)</f>
        <v/>
      </c>
      <c r="AL25" s="395" t="str">
        <f>IFERROR(IF($C25&lt;1,"",AL$3*일별반별!AO25),0)</f>
        <v/>
      </c>
      <c r="AM25" s="395" t="str">
        <f>IFERROR(IF($C25&lt;1,"",AM$3*일별반별!AP25),0)</f>
        <v/>
      </c>
      <c r="AN25" s="395" t="str">
        <f>IFERROR(IF($C25&lt;1,"",AN$3*일별반별!AQ25),0)</f>
        <v/>
      </c>
      <c r="AO25" s="395" t="str">
        <f>IFERROR(IF($C25&lt;1,"",AO$3*일별반별!AR25),0)</f>
        <v/>
      </c>
      <c r="AP25" s="347" t="str">
        <f>IFERROR(IF($C25&lt;1,"",AP$3*일별반별!AS25),0)</f>
        <v/>
      </c>
      <c r="AQ25" s="347" t="str">
        <f>IFERROR(IF($C25&lt;1,"",AQ$3*일별반별!AT25),0)</f>
        <v/>
      </c>
      <c r="AR25" s="316" t="str">
        <f>IFERROR(IF($C25&lt;1,"",AR$3*일별반별!AU25),0)</f>
        <v/>
      </c>
      <c r="AS25" s="401" t="str">
        <f>IFERROR(IF($C25&lt;1,"",AS$3*일별반별!AV25),0)</f>
        <v/>
      </c>
      <c r="AT25" s="401" t="str">
        <f>IFERROR(IF($C25&lt;1,"",AT$3*일별반별!AW25),0)</f>
        <v/>
      </c>
      <c r="AU25" s="401" t="str">
        <f>IFERROR(IF($C25&lt;1,"",AU$3*일별반별!AX25),0)</f>
        <v/>
      </c>
      <c r="AV25" s="401" t="str">
        <f>IFERROR(IF($C25&lt;1,"",AV$3*일별반별!AY25),0)</f>
        <v/>
      </c>
      <c r="AW25" s="401" t="str">
        <f>IFERROR(IF($C25&lt;1,"",AW$3*일별반별!AZ25),0)</f>
        <v/>
      </c>
      <c r="AX25" s="401" t="str">
        <f>IFERROR(IF($C25&lt;1,"",AX$3*일별반별!BA25),0)</f>
        <v/>
      </c>
      <c r="AY25" s="401" t="str">
        <f>IFERROR(IF($C25&lt;1,"",AY$3*일별반별!BB25),0)</f>
        <v/>
      </c>
      <c r="AZ25" s="401" t="str">
        <f>IFERROR(IF($C25&lt;1,"",AZ$3*일별반별!BC25),0)</f>
        <v/>
      </c>
      <c r="BA25" s="401" t="str">
        <f>IFERROR(IF($C25&lt;1,"",BA$3*일별반별!BD25),0)</f>
        <v/>
      </c>
      <c r="BB25" s="402" t="str">
        <f>IFERROR(IF($C25&lt;1,"",BB$3*일별반별!BE25),0)</f>
        <v/>
      </c>
      <c r="BC25" s="402" t="str">
        <f>IFERROR(IF($C25&lt;1,"",BC$3*일별반별!BF25),0)</f>
        <v/>
      </c>
      <c r="BD25" s="402" t="str">
        <f>IFERROR(IF($C25&lt;1,"",BD$3*일별반별!BG25),0)</f>
        <v/>
      </c>
      <c r="BE25" s="402" t="str">
        <f>IFERROR(IF($C25&lt;1,"",BE$3*일별반별!BH25),0)</f>
        <v/>
      </c>
      <c r="BF25" s="402" t="str">
        <f>IFERROR(IF($C25&lt;1,"",BF$3*일별반별!BI25),0)</f>
        <v/>
      </c>
      <c r="BG25" s="402" t="str">
        <f>IFERROR(IF($C25&lt;1,"",BG$3*일별반별!BJ25),0)</f>
        <v/>
      </c>
      <c r="BH25" s="402" t="str">
        <f>IFERROR(IF($C25&lt;1,"",BH$3*일별반별!BK25),0)</f>
        <v/>
      </c>
      <c r="BI25" s="402" t="str">
        <f>IFERROR(IF($C25&lt;1,"",BI$3*일별반별!BL25),0)</f>
        <v/>
      </c>
      <c r="BJ25" s="402" t="str">
        <f>IFERROR(IF($C25&lt;1,"",BJ$3*일별반별!BM25),0)</f>
        <v/>
      </c>
      <c r="BK25" s="402" t="str">
        <f>IFERROR(IF($C25&lt;1,"",BK$3*일별반별!BN25),0)</f>
        <v/>
      </c>
      <c r="BL25" s="402" t="str">
        <f>IFERROR(IF($C25&lt;1,"",BL$3*일별반별!BH25),0)</f>
        <v/>
      </c>
      <c r="BM25" s="402" t="str">
        <f>IFERROR(IF($C25&lt;1,"",BM$3*일별반별!BP25),0)</f>
        <v/>
      </c>
      <c r="BN25" s="401" t="str">
        <f>IFERROR(IF($C25&lt;1,"",BN$3*일별반별!BQ25),0)</f>
        <v/>
      </c>
      <c r="BO25" s="401" t="str">
        <f>IFERROR(IF($C25&lt;1,"",BO$3*일별반별!BR25),0)</f>
        <v/>
      </c>
      <c r="BP25" s="401" t="str">
        <f>IFERROR(IF($C25&lt;1,"",BP$3*일별반별!BS25),0)</f>
        <v/>
      </c>
      <c r="BQ25" s="401" t="str">
        <f>IFERROR(IF($C25&lt;1,"",BQ$3*일별반별!BT25),0)</f>
        <v/>
      </c>
      <c r="BR25" s="417" t="str">
        <f>IFERROR(IF($C25&lt;1,"",BR$3*일별반별!BU25),0)</f>
        <v/>
      </c>
      <c r="BS25" s="417" t="str">
        <f>IFERROR(IF($C25&lt;1,"",BS$3*일별반별!BV25),0)</f>
        <v/>
      </c>
      <c r="BT25" s="417" t="str">
        <f>IFERROR(IF($C25&lt;1,"",BT$3*일별반별!BW25),0)</f>
        <v/>
      </c>
      <c r="BU25" s="316" t="str">
        <f>IFERROR(IF($C25&lt;1,"",BU$3*일별반별!BX25),0)</f>
        <v/>
      </c>
      <c r="BV25" s="316" t="str">
        <f>IFERROR(IF($C25&lt;1,"",BV$3*일별반별!BY25),0)</f>
        <v/>
      </c>
      <c r="BW25" s="316" t="str">
        <f>IFERROR(IF($C25&lt;1,"",BW$3*일별반별!BZ25),0)</f>
        <v/>
      </c>
      <c r="BX25" s="316" t="str">
        <f>IFERROR(IF($C25&lt;1,"",BX$3*일별반별!CA25),0)</f>
        <v/>
      </c>
      <c r="BY25" s="316" t="str">
        <f>IFERROR(IF($C25&lt;1,"",BY$3*일별반별!CB25),0)</f>
        <v/>
      </c>
      <c r="BZ25" s="316" t="str">
        <f>IFERROR(IF($C25&lt;1,"",BZ$3*일별반별!CC25),0)</f>
        <v/>
      </c>
      <c r="CA25" s="316" t="str">
        <f>IFERROR(IF($C25&lt;1,"",CA$3*일별반별!CD25),0)</f>
        <v/>
      </c>
      <c r="CB25" s="316" t="str">
        <f>IFERROR(IF($C25&lt;1,"",CB$3*일별반별!CE25),0)</f>
        <v/>
      </c>
      <c r="CC25" s="316" t="str">
        <f>IFERROR(IF($C25&lt;1,"",CC$3*일별반별!CF25),0)</f>
        <v/>
      </c>
      <c r="CD25" s="316" t="str">
        <f>IFERROR(IF($C25&lt;1,"",CD$3*일별반별!CG25),0)</f>
        <v/>
      </c>
      <c r="CE25" s="316" t="str">
        <f>IFERROR(IF($C25&lt;1,"",CE$3*일별반별!CH25),0)</f>
        <v/>
      </c>
      <c r="CF25" s="316" t="str">
        <f>IFERROR(IF($C25&lt;1,"",CF$3*일별반별!CI25),0)</f>
        <v/>
      </c>
      <c r="CG25" s="316" t="str">
        <f>IFERROR(IF($C25&lt;1,"",CG$3*일별반별!CJ25),0)</f>
        <v/>
      </c>
      <c r="CH25" s="316" t="str">
        <f>IFERROR(IF($C25&lt;1,"",CH$3*일별반별!CK25),0)</f>
        <v/>
      </c>
      <c r="CI25" s="316" t="str">
        <f>IFERROR(IF($C25&lt;1,"",CI$3*일별반별!CL25),0)</f>
        <v/>
      </c>
      <c r="CJ25" s="316" t="str">
        <f>IFERROR(IF($C25&lt;1,"",CJ$3*일별반별!CM25),0)</f>
        <v/>
      </c>
      <c r="CK25" s="316" t="str">
        <f>IFERROR(IF($C25&lt;1,"",CK$3*일별반별!CN25),0)</f>
        <v/>
      </c>
      <c r="CL25" s="316" t="str">
        <f>IFERROR(IF($C25&lt;1,"",CL$3*일별반별!CO25),0)</f>
        <v/>
      </c>
      <c r="CM25" s="316" t="str">
        <f>IFERROR(IF($C25&lt;1,"",CM$3*일별반별!CP25),0)</f>
        <v/>
      </c>
      <c r="CN25" s="316" t="str">
        <f>IFERROR(IF($C25&lt;1,"",CN$3*일별반별!CQ25),0)</f>
        <v/>
      </c>
      <c r="CO25" s="316" t="str">
        <f>IFERROR(IF($C25&lt;1,"",CO$3*일별반별!CR25),0)</f>
        <v/>
      </c>
      <c r="CP25" s="316" t="str">
        <f>IFERROR(IF($C25&lt;1,"",CP$3*일별반별!CS25),0)</f>
        <v/>
      </c>
      <c r="CQ25" s="316" t="str">
        <f>IFERROR(IF($C25&lt;1,"",CQ$3*일별반별!CT25),0)</f>
        <v/>
      </c>
      <c r="CR25" s="418" t="str">
        <f>IFERROR(IF($C25&lt;1,"",CR$3*일별반별!CU25),0)</f>
        <v/>
      </c>
      <c r="CS25" s="418" t="str">
        <f>IFERROR(IF($C25&lt;1,"",CS$3*일별반별!CV25),0)</f>
        <v/>
      </c>
      <c r="CT25" s="316" t="str">
        <f>IFERROR(IF($C25&lt;1,"",CT$3*일별반별!CW25),0)</f>
        <v/>
      </c>
      <c r="CU25" s="316" t="str">
        <f>IFERROR(IF($C25&lt;1,"",CU$3*일별반별!CX25),0)</f>
        <v/>
      </c>
      <c r="CV25" s="316" t="str">
        <f>IFERROR(IF($C25&lt;1,"",CV$3*일별반별!CY25),0)</f>
        <v/>
      </c>
      <c r="CW25" s="316" t="str">
        <f>IFERROR(IF($C25&lt;1,"",CW$3*일별반별!CZ25),0)</f>
        <v/>
      </c>
      <c r="CX25" s="316" t="str">
        <f>IFERROR(IF($C25&lt;1,"",CX$3*일별반별!DA25),0)</f>
        <v/>
      </c>
      <c r="CY25" s="316" t="str">
        <f>IF(C25&lt;1,"",(CY$3*'09월 조업일지'!AV$7))</f>
        <v/>
      </c>
      <c r="CZ25" s="316" t="str">
        <f t="shared" si="1"/>
        <v/>
      </c>
      <c r="DA25" s="316" t="str">
        <f t="shared" si="1"/>
        <v/>
      </c>
      <c r="DB25" s="316" t="str">
        <f t="shared" si="1"/>
        <v/>
      </c>
      <c r="DC25" s="316"/>
      <c r="DD25" s="419"/>
    </row>
    <row r="26" spans="1:108" ht="15" customHeight="1">
      <c r="A26" s="327">
        <f>A21+1</f>
        <v>44017</v>
      </c>
      <c r="B26" s="328" t="s">
        <v>31</v>
      </c>
      <c r="C26" s="329">
        <f>COUNTIF('09월 조업일지'!$A$12:$A$952,A26)</f>
        <v>0</v>
      </c>
      <c r="D26" s="330">
        <f>IF(C26&lt;1,0,(SUM(E26:CX26)/(일별반별!BV26-1.5)+(CY26+CZ26+DA26+DB26)))</f>
        <v>0</v>
      </c>
      <c r="E26" s="331"/>
      <c r="F26" s="331"/>
      <c r="G26" s="332"/>
      <c r="H26" s="333"/>
      <c r="I26" s="333"/>
      <c r="J26" s="334"/>
      <c r="K26" s="334"/>
      <c r="L26" s="334"/>
      <c r="M26" s="334"/>
      <c r="N26" s="334"/>
      <c r="O26" s="334"/>
      <c r="P26" s="334"/>
      <c r="Q26" s="335"/>
      <c r="R26" s="334"/>
      <c r="S26" s="335"/>
      <c r="T26" s="334"/>
      <c r="U26" s="337" t="str">
        <f>IFERROR(IF($C26&lt;1,"",U$3*일별반별!X26),0)</f>
        <v/>
      </c>
      <c r="V26" s="337" t="str">
        <f>IFERROR(IF($C26&lt;1,"",V$3*일별반별!Y26),0)</f>
        <v/>
      </c>
      <c r="W26" s="337" t="str">
        <f>IFERROR(IF($C26&lt;1,"",W$3*일별반별!Z26),0)</f>
        <v/>
      </c>
      <c r="X26" s="336" t="str">
        <f>IFERROR(IF($C26&lt;1,"",X$3*일별반별!AA26),0)</f>
        <v/>
      </c>
      <c r="Y26" s="336" t="str">
        <f>IFERROR(IF($C26&lt;1,"",Y$3*일별반별!AB26),0)</f>
        <v/>
      </c>
      <c r="Z26" s="336" t="str">
        <f>IFERROR(IF($C26&lt;1,"",Z$3*일별반별!AC26),0)</f>
        <v/>
      </c>
      <c r="AA26" s="337" t="str">
        <f>IFERROR(IF($C26&lt;1,"",AA$3*일별반별!AD26),0)</f>
        <v/>
      </c>
      <c r="AB26" s="337" t="str">
        <f>IFERROR(IF($C26&lt;1,"",AB$3*일별반별!AE26),0)</f>
        <v/>
      </c>
      <c r="AC26" s="336" t="str">
        <f>IFERROR(IF($C26&lt;1,"",AC$3*일별반별!AF26),0)</f>
        <v/>
      </c>
      <c r="AD26" s="336" t="str">
        <f>IFERROR(IF($C26&lt;1,"",AD$3*일별반별!AG26),0)</f>
        <v/>
      </c>
      <c r="AE26" s="336" t="str">
        <f>IFERROR(IF($C26&lt;1,"",AE$3*일별반별!AH26),0)</f>
        <v/>
      </c>
      <c r="AF26" s="337" t="str">
        <f>IFERROR(IF($C26&lt;1,"",AF$3*일별반별!AI26),0)</f>
        <v/>
      </c>
      <c r="AG26" s="337" t="str">
        <f>IFERROR(IF($C26&lt;1,"",AG$3*일별반별!AJ26),0)</f>
        <v/>
      </c>
      <c r="AH26" s="337" t="str">
        <f>IFERROR(IF($C26&lt;1,"",AH$3*일별반별!AK26),0)</f>
        <v/>
      </c>
      <c r="AI26" s="337" t="str">
        <f>IFERROR(IF($C26&lt;1,"",AI$3*일별반별!AL26),0)</f>
        <v/>
      </c>
      <c r="AJ26" s="337" t="str">
        <f>IFERROR(IF($C26&lt;1,"",AJ$3*일별반별!AM26),0)</f>
        <v/>
      </c>
      <c r="AK26" s="337" t="str">
        <f>IFERROR(IF($C26&lt;1,"",AK$3*일별반별!AN26),0)</f>
        <v/>
      </c>
      <c r="AL26" s="337" t="str">
        <f>IFERROR(IF($C26&lt;1,"",AL$3*일별반별!AO26),0)</f>
        <v/>
      </c>
      <c r="AM26" s="337" t="str">
        <f>IFERROR(IF($C26&lt;1,"",AM$3*일별반별!AP26),0)</f>
        <v/>
      </c>
      <c r="AN26" s="337" t="str">
        <f>IFERROR(IF($C26&lt;1,"",AN$3*일별반별!AQ26),0)</f>
        <v/>
      </c>
      <c r="AO26" s="337" t="str">
        <f>IFERROR(IF($C26&lt;1,"",AO$3*일별반별!AR26),0)</f>
        <v/>
      </c>
      <c r="AP26" s="337" t="str">
        <f>IFERROR(IF($C26&lt;1,"",AP$3*일별반별!AS26),0)</f>
        <v/>
      </c>
      <c r="AQ26" s="337" t="str">
        <f>IFERROR(IF($C26&lt;1,"",AQ$3*일별반별!AT26),0)</f>
        <v/>
      </c>
      <c r="AR26" s="337" t="str">
        <f>IFERROR(IF($C26&lt;1,"",AR$3*일별반별!AU26),0)</f>
        <v/>
      </c>
      <c r="AS26" s="403" t="str">
        <f>IFERROR(IF($C26&lt;1,"",AS$3*일별반별!AV26),0)</f>
        <v/>
      </c>
      <c r="AT26" s="403" t="str">
        <f>IFERROR(IF($C26&lt;1,"",AT$3*일별반별!AW26),0)</f>
        <v/>
      </c>
      <c r="AU26" s="403" t="str">
        <f>IFERROR(IF($C26&lt;1,"",AU$3*일별반별!AX26),0)</f>
        <v/>
      </c>
      <c r="AV26" s="403" t="str">
        <f>IFERROR(IF($C26&lt;1,"",AV$3*일별반별!AY26),0)</f>
        <v/>
      </c>
      <c r="AW26" s="403" t="str">
        <f>IFERROR(IF($C26&lt;1,"",AW$3*일별반별!AZ26),0)</f>
        <v/>
      </c>
      <c r="AX26" s="403" t="str">
        <f>IFERROR(IF($C26&lt;1,"",AX$3*일별반별!BA26),0)</f>
        <v/>
      </c>
      <c r="AY26" s="403" t="str">
        <f>IFERROR(IF($C26&lt;1,"",AY$3*일별반별!BB26),0)</f>
        <v/>
      </c>
      <c r="AZ26" s="403" t="str">
        <f>IFERROR(IF($C26&lt;1,"",AZ$3*일별반별!BC26),0)</f>
        <v/>
      </c>
      <c r="BA26" s="403" t="str">
        <f>IFERROR(IF($C26&lt;1,"",BA$3*일별반별!BD26),0)</f>
        <v/>
      </c>
      <c r="BB26" s="403" t="str">
        <f>IFERROR(IF($C26&lt;1,"",BB$3*일별반별!BE26),0)</f>
        <v/>
      </c>
      <c r="BC26" s="403" t="str">
        <f>IFERROR(IF($C26&lt;1,"",BC$3*일별반별!BF26),0)</f>
        <v/>
      </c>
      <c r="BD26" s="403" t="str">
        <f>IFERROR(IF($C26&lt;1,"",BD$3*일별반별!BG26),0)</f>
        <v/>
      </c>
      <c r="BE26" s="403" t="str">
        <f>IFERROR(IF($C26&lt;1,"",BE$3*일별반별!BH26),0)</f>
        <v/>
      </c>
      <c r="BF26" s="403" t="str">
        <f>IFERROR(IF($C26&lt;1,"",BF$3*일별반별!BI26),0)</f>
        <v/>
      </c>
      <c r="BG26" s="403" t="str">
        <f>IFERROR(IF($C26&lt;1,"",BG$3*일별반별!BJ26),0)</f>
        <v/>
      </c>
      <c r="BH26" s="403" t="str">
        <f>IFERROR(IF($C26&lt;1,"",BH$3*일별반별!BK26),0)</f>
        <v/>
      </c>
      <c r="BI26" s="403" t="str">
        <f>IFERROR(IF($C26&lt;1,"",BI$3*일별반별!BL26),0)</f>
        <v/>
      </c>
      <c r="BJ26" s="403" t="str">
        <f>IFERROR(IF($C26&lt;1,"",BJ$3*일별반별!BM26),0)</f>
        <v/>
      </c>
      <c r="BK26" s="403" t="str">
        <f>IFERROR(IF($C26&lt;1,"",BK$3*일별반별!BN26),0)</f>
        <v/>
      </c>
      <c r="BL26" s="403" t="str">
        <f>IFERROR(IF($C26&lt;1,"",BL$3*일별반별!BH26),0)</f>
        <v/>
      </c>
      <c r="BM26" s="403" t="str">
        <f>IFERROR(IF($C26&lt;1,"",BM$3*일별반별!BP26),0)</f>
        <v/>
      </c>
      <c r="BN26" s="403" t="str">
        <f>IFERROR(IF($C26&lt;1,"",BN$3*일별반별!BQ26),0)</f>
        <v/>
      </c>
      <c r="BO26" s="403" t="str">
        <f>IFERROR(IF($C26&lt;1,"",BO$3*일별반별!BR26),0)</f>
        <v/>
      </c>
      <c r="BP26" s="403" t="str">
        <f>IFERROR(IF($C26&lt;1,"",BP$3*일별반별!BS26),0)</f>
        <v/>
      </c>
      <c r="BQ26" s="403" t="str">
        <f>IFERROR(IF($C26&lt;1,"",BQ$3*일별반별!BT26),0)</f>
        <v/>
      </c>
      <c r="BR26" s="337" t="str">
        <f>IFERROR(IF($C26&lt;1,"",BR$3*일별반별!BU26),0)</f>
        <v/>
      </c>
      <c r="BS26" s="337" t="str">
        <f>IFERROR(IF($C26&lt;1,"",BS$3*일별반별!BV26),0)</f>
        <v/>
      </c>
      <c r="BT26" s="337" t="str">
        <f>IFERROR(IF($C26&lt;1,"",BT$3*일별반별!BW26),0)</f>
        <v/>
      </c>
      <c r="BU26" s="337" t="str">
        <f>IFERROR(IF($C26&lt;1,"",BU$3*일별반별!BX26),0)</f>
        <v/>
      </c>
      <c r="BV26" s="337" t="str">
        <f>IFERROR(IF($C26&lt;1,"",BV$3*일별반별!BY26),0)</f>
        <v/>
      </c>
      <c r="BW26" s="337" t="str">
        <f>IFERROR(IF($C26&lt;1,"",BW$3*일별반별!BZ26),0)</f>
        <v/>
      </c>
      <c r="BX26" s="337" t="str">
        <f>IFERROR(IF($C26&lt;1,"",BX$3*일별반별!CA26),0)</f>
        <v/>
      </c>
      <c r="BY26" s="337" t="str">
        <f>IFERROR(IF($C26&lt;1,"",BY$3*일별반별!CB26),0)</f>
        <v/>
      </c>
      <c r="BZ26" s="337" t="str">
        <f>IFERROR(IF($C26&lt;1,"",BZ$3*일별반별!CC26),0)</f>
        <v/>
      </c>
      <c r="CA26" s="337" t="str">
        <f>IFERROR(IF($C26&lt;1,"",CA$3*일별반별!CD26),0)</f>
        <v/>
      </c>
      <c r="CB26" s="337" t="str">
        <f>IFERROR(IF($C26&lt;1,"",CB$3*일별반별!CE26),0)</f>
        <v/>
      </c>
      <c r="CC26" s="337" t="str">
        <f>IFERROR(IF($C26&lt;1,"",CC$3*일별반별!CF26),0)</f>
        <v/>
      </c>
      <c r="CD26" s="337" t="str">
        <f>IFERROR(IF($C26&lt;1,"",CD$3*일별반별!CG26),0)</f>
        <v/>
      </c>
      <c r="CE26" s="337" t="str">
        <f>IFERROR(IF($C26&lt;1,"",CE$3*일별반별!CH26),0)</f>
        <v/>
      </c>
      <c r="CF26" s="337" t="str">
        <f>IFERROR(IF($C26&lt;1,"",CF$3*일별반별!CI26),0)</f>
        <v/>
      </c>
      <c r="CG26" s="337" t="str">
        <f>IFERROR(IF($C26&lt;1,"",CG$3*일별반별!CJ26),0)</f>
        <v/>
      </c>
      <c r="CH26" s="337" t="str">
        <f>IFERROR(IF($C26&lt;1,"",CH$3*일별반별!CK26),0)</f>
        <v/>
      </c>
      <c r="CI26" s="337" t="str">
        <f>IFERROR(IF($C26&lt;1,"",CI$3*일별반별!CL26),0)</f>
        <v/>
      </c>
      <c r="CJ26" s="337" t="str">
        <f>IFERROR(IF($C26&lt;1,"",CJ$3*일별반별!CM26),0)</f>
        <v/>
      </c>
      <c r="CK26" s="337" t="str">
        <f>IFERROR(IF($C26&lt;1,"",CK$3*일별반별!CN26),0)</f>
        <v/>
      </c>
      <c r="CL26" s="337" t="str">
        <f>IFERROR(IF($C26&lt;1,"",CL$3*일별반별!CO26),0)</f>
        <v/>
      </c>
      <c r="CM26" s="337" t="str">
        <f>IFERROR(IF($C26&lt;1,"",CM$3*일별반별!CP26),0)</f>
        <v/>
      </c>
      <c r="CN26" s="337" t="str">
        <f>IFERROR(IF($C26&lt;1,"",CN$3*일별반별!CQ26),0)</f>
        <v/>
      </c>
      <c r="CO26" s="337" t="str">
        <f>IFERROR(IF($C26&lt;1,"",CO$3*일별반별!CR26),0)</f>
        <v/>
      </c>
      <c r="CP26" s="337" t="str">
        <f>IFERROR(IF($C26&lt;1,"",CP$3*일별반별!CS26),0)</f>
        <v/>
      </c>
      <c r="CQ26" s="337" t="str">
        <f>IFERROR(IF($C26&lt;1,"",CQ$3*일별반별!CT26),0)</f>
        <v/>
      </c>
      <c r="CR26" s="420" t="str">
        <f>IFERROR(IF($C26&lt;1,"",CR$3*일별반별!CU26),0)</f>
        <v/>
      </c>
      <c r="CS26" s="420" t="str">
        <f>IFERROR(IF($C26&lt;1,"",CS$3*일별반별!CV26),0)</f>
        <v/>
      </c>
      <c r="CT26" s="337" t="str">
        <f>IFERROR(IF($C26&lt;1,"",CT$3*일별반별!CW26),0)</f>
        <v/>
      </c>
      <c r="CU26" s="337" t="str">
        <f>IFERROR(IF($C26&lt;1,"",CU$3*일별반별!CX26),0)</f>
        <v/>
      </c>
      <c r="CV26" s="337" t="str">
        <f>IFERROR(IF($C26&lt;1,"",CV$3*일별반별!CY26),0)</f>
        <v/>
      </c>
      <c r="CW26" s="337" t="str">
        <f>IFERROR(IF($C26&lt;1,"",CW$3*일별반별!CZ26),0)</f>
        <v/>
      </c>
      <c r="CX26" s="337" t="str">
        <f>IFERROR(IF($C26&lt;1,"",CX$3*일별반별!DA26),0)</f>
        <v/>
      </c>
      <c r="CY26" s="316" t="str">
        <f>IF(C26&lt;1,"",(CY$3*'09월 조업일지'!AV$7))</f>
        <v/>
      </c>
      <c r="CZ26" s="316" t="str">
        <f t="shared" si="1"/>
        <v/>
      </c>
      <c r="DA26" s="316" t="str">
        <f t="shared" si="1"/>
        <v/>
      </c>
      <c r="DB26" s="316" t="str">
        <f t="shared" si="1"/>
        <v/>
      </c>
      <c r="DC26" s="316"/>
      <c r="DD26" s="419"/>
    </row>
    <row r="27" spans="1:108" ht="15" customHeight="1">
      <c r="A27" s="274">
        <f t="shared" si="2"/>
        <v>44017</v>
      </c>
      <c r="B27" s="275" t="s">
        <v>9</v>
      </c>
      <c r="C27" s="201">
        <f>COUNTIFS('09월 조업일지'!$A$12:$A$952,A26,'09월 조업일지'!$E$12:$E$952,B27)</f>
        <v>0</v>
      </c>
      <c r="D27" s="314">
        <f>IF(C27&lt;1,0,(SUM(E27:CX27)/(일별반별!BV27-1.5)+(CY27+CZ27+DA27+DB27)))</f>
        <v>0</v>
      </c>
      <c r="E27" s="278"/>
      <c r="F27" s="281"/>
      <c r="G27" s="282"/>
      <c r="H27" s="283"/>
      <c r="I27" s="283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326"/>
      <c r="U27" s="395" t="str">
        <f>IFERROR(IF($C27&lt;1,"",U$3*일별반별!X27),0)</f>
        <v/>
      </c>
      <c r="V27" s="395" t="str">
        <f>IFERROR(IF($C27&lt;1,"",V$3*일별반별!Y27),0)</f>
        <v/>
      </c>
      <c r="W27" s="395" t="str">
        <f>IFERROR(IF($C27&lt;1,"",W$3*일별반별!Z27),0)</f>
        <v/>
      </c>
      <c r="X27" s="208" t="str">
        <f>IFERROR(IF($C27&lt;1,"",X$3*일별반별!AA27),0)</f>
        <v/>
      </c>
      <c r="Y27" s="208" t="str">
        <f>IFERROR(IF($C27&lt;1,"",Y$3*일별반별!AB27),0)</f>
        <v/>
      </c>
      <c r="Z27" s="208" t="str">
        <f>IFERROR(IF($C27&lt;1,"",Z$3*일별반별!AC27),0)</f>
        <v/>
      </c>
      <c r="AA27" s="395" t="str">
        <f>IFERROR(IF($C27&lt;1,"",AA$3*일별반별!AD27),0)</f>
        <v/>
      </c>
      <c r="AB27" s="395" t="str">
        <f>IFERROR(IF($C27&lt;1,"",AB$3*일별반별!AE27),0)</f>
        <v/>
      </c>
      <c r="AC27" s="208" t="str">
        <f>IFERROR(IF($C27&lt;1,"",AC$3*일별반별!AF27),0)</f>
        <v/>
      </c>
      <c r="AD27" s="208" t="str">
        <f>IFERROR(IF($C27&lt;1,"",AD$3*일별반별!AG27),0)</f>
        <v/>
      </c>
      <c r="AE27" s="208" t="str">
        <f>IFERROR(IF($C27&lt;1,"",AE$3*일별반별!AH27),0)</f>
        <v/>
      </c>
      <c r="AF27" s="395" t="str">
        <f>IFERROR(IF($C27&lt;1,"",AF$3*일별반별!AI27),0)</f>
        <v/>
      </c>
      <c r="AG27" s="395" t="str">
        <f>IFERROR(IF($C27&lt;1,"",AG$3*일별반별!AJ27),0)</f>
        <v/>
      </c>
      <c r="AH27" s="395" t="str">
        <f>IFERROR(IF($C27&lt;1,"",AH$3*일별반별!AK27),0)</f>
        <v/>
      </c>
      <c r="AI27" s="395" t="str">
        <f>IFERROR(IF($C27&lt;1,"",AI$3*일별반별!AL27),0)</f>
        <v/>
      </c>
      <c r="AJ27" s="395" t="str">
        <f>IFERROR(IF($C27&lt;1,"",AJ$3*일별반별!AM27),0)</f>
        <v/>
      </c>
      <c r="AK27" s="395" t="str">
        <f>IFERROR(IF($C27&lt;1,"",AK$3*일별반별!AN27),0)</f>
        <v/>
      </c>
      <c r="AL27" s="395" t="str">
        <f>IFERROR(IF($C27&lt;1,"",AL$3*일별반별!AO27),0)</f>
        <v/>
      </c>
      <c r="AM27" s="395" t="str">
        <f>IFERROR(IF($C27&lt;1,"",AM$3*일별반별!AP27),0)</f>
        <v/>
      </c>
      <c r="AN27" s="395" t="str">
        <f>IFERROR(IF($C27&lt;1,"",AN$3*일별반별!AQ27),0)</f>
        <v/>
      </c>
      <c r="AO27" s="395" t="str">
        <f>IFERROR(IF($C27&lt;1,"",AO$3*일별반별!AR27),0)</f>
        <v/>
      </c>
      <c r="AP27" s="347" t="str">
        <f>IFERROR(IF($C27&lt;1,"",AP$3*일별반별!AS27),0)</f>
        <v/>
      </c>
      <c r="AQ27" s="347" t="str">
        <f>IFERROR(IF($C27&lt;1,"",AQ$3*일별반별!AT27),0)</f>
        <v/>
      </c>
      <c r="AR27" s="316" t="str">
        <f>IFERROR(IF($C27&lt;1,"",AR$3*일별반별!AU27),0)</f>
        <v/>
      </c>
      <c r="AS27" s="401" t="str">
        <f>IFERROR(IF($C27&lt;1,"",AS$3*일별반별!AV27),0)</f>
        <v/>
      </c>
      <c r="AT27" s="401" t="str">
        <f>IFERROR(IF($C27&lt;1,"",AT$3*일별반별!AW27),0)</f>
        <v/>
      </c>
      <c r="AU27" s="401" t="str">
        <f>IFERROR(IF($C27&lt;1,"",AU$3*일별반별!AX27),0)</f>
        <v/>
      </c>
      <c r="AV27" s="401" t="str">
        <f>IFERROR(IF($C27&lt;1,"",AV$3*일별반별!AY27),0)</f>
        <v/>
      </c>
      <c r="AW27" s="401" t="str">
        <f>IFERROR(IF($C27&lt;1,"",AW$3*일별반별!AZ27),0)</f>
        <v/>
      </c>
      <c r="AX27" s="401" t="str">
        <f>IFERROR(IF($C27&lt;1,"",AX$3*일별반별!BA27),0)</f>
        <v/>
      </c>
      <c r="AY27" s="401" t="str">
        <f>IFERROR(IF($C27&lt;1,"",AY$3*일별반별!BB27),0)</f>
        <v/>
      </c>
      <c r="AZ27" s="401" t="str">
        <f>IFERROR(IF($C27&lt;1,"",AZ$3*일별반별!BC27),0)</f>
        <v/>
      </c>
      <c r="BA27" s="401" t="str">
        <f>IFERROR(IF($C27&lt;1,"",BA$3*일별반별!BD27),0)</f>
        <v/>
      </c>
      <c r="BB27" s="402" t="str">
        <f>IFERROR(IF($C27&lt;1,"",BB$3*일별반별!BE27),0)</f>
        <v/>
      </c>
      <c r="BC27" s="402" t="str">
        <f>IFERROR(IF($C27&lt;1,"",BC$3*일별반별!BF27),0)</f>
        <v/>
      </c>
      <c r="BD27" s="402" t="str">
        <f>IFERROR(IF($C27&lt;1,"",BD$3*일별반별!BG27),0)</f>
        <v/>
      </c>
      <c r="BE27" s="402" t="str">
        <f>IFERROR(IF($C27&lt;1,"",BE$3*일별반별!BH27),0)</f>
        <v/>
      </c>
      <c r="BF27" s="402" t="str">
        <f>IFERROR(IF($C27&lt;1,"",BF$3*일별반별!BI27),0)</f>
        <v/>
      </c>
      <c r="BG27" s="402" t="str">
        <f>IFERROR(IF($C27&lt;1,"",BG$3*일별반별!BJ27),0)</f>
        <v/>
      </c>
      <c r="BH27" s="402" t="str">
        <f>IFERROR(IF($C27&lt;1,"",BH$3*일별반별!BK27),0)</f>
        <v/>
      </c>
      <c r="BI27" s="402" t="str">
        <f>IFERROR(IF($C27&lt;1,"",BI$3*일별반별!BL27),0)</f>
        <v/>
      </c>
      <c r="BJ27" s="402" t="str">
        <f>IFERROR(IF($C27&lt;1,"",BJ$3*일별반별!BM27),0)</f>
        <v/>
      </c>
      <c r="BK27" s="402" t="str">
        <f>IFERROR(IF($C27&lt;1,"",BK$3*일별반별!BN27),0)</f>
        <v/>
      </c>
      <c r="BL27" s="402" t="str">
        <f>IFERROR(IF($C27&lt;1,"",BL$3*일별반별!BH27),0)</f>
        <v/>
      </c>
      <c r="BM27" s="402" t="str">
        <f>IFERROR(IF($C27&lt;1,"",BM$3*일별반별!BP27),0)</f>
        <v/>
      </c>
      <c r="BN27" s="401" t="str">
        <f>IFERROR(IF($C27&lt;1,"",BN$3*일별반별!BQ27),0)</f>
        <v/>
      </c>
      <c r="BO27" s="401" t="str">
        <f>IFERROR(IF($C27&lt;1,"",BO$3*일별반별!BR27),0)</f>
        <v/>
      </c>
      <c r="BP27" s="401" t="str">
        <f>IFERROR(IF($C27&lt;1,"",BP$3*일별반별!BS27),0)</f>
        <v/>
      </c>
      <c r="BQ27" s="401" t="str">
        <f>IFERROR(IF($C27&lt;1,"",BQ$3*일별반별!BT27),0)</f>
        <v/>
      </c>
      <c r="BR27" s="417" t="str">
        <f>IFERROR(IF($C27&lt;1,"",BR$3*일별반별!BU27),0)</f>
        <v/>
      </c>
      <c r="BS27" s="417" t="str">
        <f>IFERROR(IF($C27&lt;1,"",BS$3*일별반별!BV27),0)</f>
        <v/>
      </c>
      <c r="BT27" s="417" t="str">
        <f>IFERROR(IF($C27&lt;1,"",BT$3*일별반별!BW27),0)</f>
        <v/>
      </c>
      <c r="BU27" s="316" t="str">
        <f>IFERROR(IF($C27&lt;1,"",BU$3*일별반별!BX27),0)</f>
        <v/>
      </c>
      <c r="BV27" s="316" t="str">
        <f>IFERROR(IF($C27&lt;1,"",BV$3*일별반별!BY27),0)</f>
        <v/>
      </c>
      <c r="BW27" s="316" t="str">
        <f>IFERROR(IF($C27&lt;1,"",BW$3*일별반별!BZ27),0)</f>
        <v/>
      </c>
      <c r="BX27" s="316" t="str">
        <f>IFERROR(IF($C27&lt;1,"",BX$3*일별반별!CA27),0)</f>
        <v/>
      </c>
      <c r="BY27" s="316" t="str">
        <f>IFERROR(IF($C27&lt;1,"",BY$3*일별반별!CB27),0)</f>
        <v/>
      </c>
      <c r="BZ27" s="316" t="str">
        <f>IFERROR(IF($C27&lt;1,"",BZ$3*일별반별!CC27),0)</f>
        <v/>
      </c>
      <c r="CA27" s="316" t="str">
        <f>IFERROR(IF($C27&lt;1,"",CA$3*일별반별!CD27),0)</f>
        <v/>
      </c>
      <c r="CB27" s="316" t="str">
        <f>IFERROR(IF($C27&lt;1,"",CB$3*일별반별!CE27),0)</f>
        <v/>
      </c>
      <c r="CC27" s="316" t="str">
        <f>IFERROR(IF($C27&lt;1,"",CC$3*일별반별!CF27),0)</f>
        <v/>
      </c>
      <c r="CD27" s="316" t="str">
        <f>IFERROR(IF($C27&lt;1,"",CD$3*일별반별!CG27),0)</f>
        <v/>
      </c>
      <c r="CE27" s="316" t="str">
        <f>IFERROR(IF($C27&lt;1,"",CE$3*일별반별!CH27),0)</f>
        <v/>
      </c>
      <c r="CF27" s="316" t="str">
        <f>IFERROR(IF($C27&lt;1,"",CF$3*일별반별!CI27),0)</f>
        <v/>
      </c>
      <c r="CG27" s="316" t="str">
        <f>IFERROR(IF($C27&lt;1,"",CG$3*일별반별!CJ27),0)</f>
        <v/>
      </c>
      <c r="CH27" s="316" t="str">
        <f>IFERROR(IF($C27&lt;1,"",CH$3*일별반별!CK27),0)</f>
        <v/>
      </c>
      <c r="CI27" s="316" t="str">
        <f>IFERROR(IF($C27&lt;1,"",CI$3*일별반별!CL27),0)</f>
        <v/>
      </c>
      <c r="CJ27" s="316" t="str">
        <f>IFERROR(IF($C27&lt;1,"",CJ$3*일별반별!CM27),0)</f>
        <v/>
      </c>
      <c r="CK27" s="316" t="str">
        <f>IFERROR(IF($C27&lt;1,"",CK$3*일별반별!CN27),0)</f>
        <v/>
      </c>
      <c r="CL27" s="316" t="str">
        <f>IFERROR(IF($C27&lt;1,"",CL$3*일별반별!CO27),0)</f>
        <v/>
      </c>
      <c r="CM27" s="316" t="str">
        <f>IFERROR(IF($C27&lt;1,"",CM$3*일별반별!CP27),0)</f>
        <v/>
      </c>
      <c r="CN27" s="316" t="str">
        <f>IFERROR(IF($C27&lt;1,"",CN$3*일별반별!CQ27),0)</f>
        <v/>
      </c>
      <c r="CO27" s="316" t="str">
        <f>IFERROR(IF($C27&lt;1,"",CO$3*일별반별!CR27),0)</f>
        <v/>
      </c>
      <c r="CP27" s="316" t="str">
        <f>IFERROR(IF($C27&lt;1,"",CP$3*일별반별!CS27),0)</f>
        <v/>
      </c>
      <c r="CQ27" s="316" t="str">
        <f>IFERROR(IF($C27&lt;1,"",CQ$3*일별반별!CT27),0)</f>
        <v/>
      </c>
      <c r="CR27" s="418" t="str">
        <f>IFERROR(IF($C27&lt;1,"",CR$3*일별반별!CU27),0)</f>
        <v/>
      </c>
      <c r="CS27" s="418" t="str">
        <f>IFERROR(IF($C27&lt;1,"",CS$3*일별반별!CV27),0)</f>
        <v/>
      </c>
      <c r="CT27" s="316" t="str">
        <f>IFERROR(IF($C27&lt;1,"",CT$3*일별반별!CW27),0)</f>
        <v/>
      </c>
      <c r="CU27" s="316" t="str">
        <f>IFERROR(IF($C27&lt;1,"",CU$3*일별반별!CX27),0)</f>
        <v/>
      </c>
      <c r="CV27" s="316" t="str">
        <f>IFERROR(IF($C27&lt;1,"",CV$3*일별반별!CY27),0)</f>
        <v/>
      </c>
      <c r="CW27" s="316" t="str">
        <f>IFERROR(IF($C27&lt;1,"",CW$3*일별반별!CZ27),0)</f>
        <v/>
      </c>
      <c r="CX27" s="316" t="str">
        <f>IFERROR(IF($C27&lt;1,"",CX$3*일별반별!DA27),0)</f>
        <v/>
      </c>
      <c r="CY27" s="316" t="str">
        <f>IF(C27&lt;1,"",(CY$3*'09월 조업일지'!AV$7))</f>
        <v/>
      </c>
      <c r="CZ27" s="316" t="str">
        <f t="shared" si="1"/>
        <v/>
      </c>
      <c r="DA27" s="316" t="str">
        <f t="shared" si="1"/>
        <v/>
      </c>
      <c r="DB27" s="316" t="str">
        <f t="shared" si="1"/>
        <v/>
      </c>
      <c r="DC27" s="316"/>
      <c r="DD27" s="419"/>
    </row>
    <row r="28" spans="1:108" ht="15" customHeight="1">
      <c r="A28" s="274">
        <f t="shared" si="2"/>
        <v>44017</v>
      </c>
      <c r="B28" s="275" t="s">
        <v>100</v>
      </c>
      <c r="C28" s="201">
        <f>COUNTIFS('09월 조업일지'!$A$12:$A$952,A26,'09월 조업일지'!$E$12:$E$952,B28)</f>
        <v>0</v>
      </c>
      <c r="D28" s="314">
        <f>IF(C28&lt;1,0,(SUM(E28:CX28)/(일별반별!BV28-1.5)+(CY28+CZ28+DA28+DB28)))</f>
        <v>0</v>
      </c>
      <c r="E28" s="278"/>
      <c r="F28" s="281"/>
      <c r="G28" s="282"/>
      <c r="H28" s="283"/>
      <c r="I28" s="283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326"/>
      <c r="U28" s="395" t="str">
        <f>IFERROR(IF($C28&lt;1,"",U$3*일별반별!X28),0)</f>
        <v/>
      </c>
      <c r="V28" s="395" t="str">
        <f>IFERROR(IF($C28&lt;1,"",V$3*일별반별!Y28),0)</f>
        <v/>
      </c>
      <c r="W28" s="395" t="str">
        <f>IFERROR(IF($C28&lt;1,"",W$3*일별반별!Z28),0)</f>
        <v/>
      </c>
      <c r="X28" s="208" t="str">
        <f>IFERROR(IF($C28&lt;1,"",X$3*일별반별!AA28),0)</f>
        <v/>
      </c>
      <c r="Y28" s="208" t="str">
        <f>IFERROR(IF($C28&lt;1,"",Y$3*일별반별!AB28),0)</f>
        <v/>
      </c>
      <c r="Z28" s="208" t="str">
        <f>IFERROR(IF($C28&lt;1,"",Z$3*일별반별!AC28),0)</f>
        <v/>
      </c>
      <c r="AA28" s="395" t="str">
        <f>IFERROR(IF($C28&lt;1,"",AA$3*일별반별!AD28),0)</f>
        <v/>
      </c>
      <c r="AB28" s="395" t="str">
        <f>IFERROR(IF($C28&lt;1,"",AB$3*일별반별!AE28),0)</f>
        <v/>
      </c>
      <c r="AC28" s="208" t="str">
        <f>IFERROR(IF($C28&lt;1,"",AC$3*일별반별!AF28),0)</f>
        <v/>
      </c>
      <c r="AD28" s="208" t="str">
        <f>IFERROR(IF($C28&lt;1,"",AD$3*일별반별!AG28),0)</f>
        <v/>
      </c>
      <c r="AE28" s="208" t="str">
        <f>IFERROR(IF($C28&lt;1,"",AE$3*일별반별!AH28),0)</f>
        <v/>
      </c>
      <c r="AF28" s="395" t="str">
        <f>IFERROR(IF($C28&lt;1,"",AF$3*일별반별!AI28),0)</f>
        <v/>
      </c>
      <c r="AG28" s="395" t="str">
        <f>IFERROR(IF($C28&lt;1,"",AG$3*일별반별!AJ28),0)</f>
        <v/>
      </c>
      <c r="AH28" s="395" t="str">
        <f>IFERROR(IF($C28&lt;1,"",AH$3*일별반별!AK28),0)</f>
        <v/>
      </c>
      <c r="AI28" s="395" t="str">
        <f>IFERROR(IF($C28&lt;1,"",AI$3*일별반별!AL28),0)</f>
        <v/>
      </c>
      <c r="AJ28" s="395" t="str">
        <f>IFERROR(IF($C28&lt;1,"",AJ$3*일별반별!AM28),0)</f>
        <v/>
      </c>
      <c r="AK28" s="395" t="str">
        <f>IFERROR(IF($C28&lt;1,"",AK$3*일별반별!AN28),0)</f>
        <v/>
      </c>
      <c r="AL28" s="395" t="str">
        <f>IFERROR(IF($C28&lt;1,"",AL$3*일별반별!AO28),0)</f>
        <v/>
      </c>
      <c r="AM28" s="395" t="str">
        <f>IFERROR(IF($C28&lt;1,"",AM$3*일별반별!AP28),0)</f>
        <v/>
      </c>
      <c r="AN28" s="395" t="str">
        <f>IFERROR(IF($C28&lt;1,"",AN$3*일별반별!AQ28),0)</f>
        <v/>
      </c>
      <c r="AO28" s="395" t="str">
        <f>IFERROR(IF($C28&lt;1,"",AO$3*일별반별!AR28),0)</f>
        <v/>
      </c>
      <c r="AP28" s="347" t="str">
        <f>IFERROR(IF($C28&lt;1,"",AP$3*일별반별!AS28),0)</f>
        <v/>
      </c>
      <c r="AQ28" s="347" t="str">
        <f>IFERROR(IF($C28&lt;1,"",AQ$3*일별반별!AT28),0)</f>
        <v/>
      </c>
      <c r="AR28" s="316" t="str">
        <f>IFERROR(IF($C28&lt;1,"",AR$3*일별반별!AU28),0)</f>
        <v/>
      </c>
      <c r="AS28" s="401" t="str">
        <f>IFERROR(IF($C28&lt;1,"",AS$3*일별반별!AV28),0)</f>
        <v/>
      </c>
      <c r="AT28" s="401" t="str">
        <f>IFERROR(IF($C28&lt;1,"",AT$3*일별반별!AW28),0)</f>
        <v/>
      </c>
      <c r="AU28" s="401" t="str">
        <f>IFERROR(IF($C28&lt;1,"",AU$3*일별반별!AX28),0)</f>
        <v/>
      </c>
      <c r="AV28" s="401" t="str">
        <f>IFERROR(IF($C28&lt;1,"",AV$3*일별반별!AY28),0)</f>
        <v/>
      </c>
      <c r="AW28" s="401" t="str">
        <f>IFERROR(IF($C28&lt;1,"",AW$3*일별반별!AZ28),0)</f>
        <v/>
      </c>
      <c r="AX28" s="401" t="str">
        <f>IFERROR(IF($C28&lt;1,"",AX$3*일별반별!BA28),0)</f>
        <v/>
      </c>
      <c r="AY28" s="401" t="str">
        <f>IFERROR(IF($C28&lt;1,"",AY$3*일별반별!BB28),0)</f>
        <v/>
      </c>
      <c r="AZ28" s="401" t="str">
        <f>IFERROR(IF($C28&lt;1,"",AZ$3*일별반별!BC28),0)</f>
        <v/>
      </c>
      <c r="BA28" s="401" t="str">
        <f>IFERROR(IF($C28&lt;1,"",BA$3*일별반별!BD28),0)</f>
        <v/>
      </c>
      <c r="BB28" s="402" t="str">
        <f>IFERROR(IF($C28&lt;1,"",BB$3*일별반별!BE28),0)</f>
        <v/>
      </c>
      <c r="BC28" s="402" t="str">
        <f>IFERROR(IF($C28&lt;1,"",BC$3*일별반별!BF28),0)</f>
        <v/>
      </c>
      <c r="BD28" s="402" t="str">
        <f>IFERROR(IF($C28&lt;1,"",BD$3*일별반별!BG28),0)</f>
        <v/>
      </c>
      <c r="BE28" s="402" t="str">
        <f>IFERROR(IF($C28&lt;1,"",BE$3*일별반별!BH28),0)</f>
        <v/>
      </c>
      <c r="BF28" s="402" t="str">
        <f>IFERROR(IF($C28&lt;1,"",BF$3*일별반별!BI28),0)</f>
        <v/>
      </c>
      <c r="BG28" s="402" t="str">
        <f>IFERROR(IF($C28&lt;1,"",BG$3*일별반별!BJ28),0)</f>
        <v/>
      </c>
      <c r="BH28" s="402" t="str">
        <f>IFERROR(IF($C28&lt;1,"",BH$3*일별반별!BK28),0)</f>
        <v/>
      </c>
      <c r="BI28" s="402" t="str">
        <f>IFERROR(IF($C28&lt;1,"",BI$3*일별반별!BL28),0)</f>
        <v/>
      </c>
      <c r="BJ28" s="402" t="str">
        <f>IFERROR(IF($C28&lt;1,"",BJ$3*일별반별!BM28),0)</f>
        <v/>
      </c>
      <c r="BK28" s="402" t="str">
        <f>IFERROR(IF($C28&lt;1,"",BK$3*일별반별!BN28),0)</f>
        <v/>
      </c>
      <c r="BL28" s="402" t="str">
        <f>IFERROR(IF($C28&lt;1,"",BL$3*일별반별!BH28),0)</f>
        <v/>
      </c>
      <c r="BM28" s="402" t="str">
        <f>IFERROR(IF($C28&lt;1,"",BM$3*일별반별!BP28),0)</f>
        <v/>
      </c>
      <c r="BN28" s="401" t="str">
        <f>IFERROR(IF($C28&lt;1,"",BN$3*일별반별!BQ28),0)</f>
        <v/>
      </c>
      <c r="BO28" s="401" t="str">
        <f>IFERROR(IF($C28&lt;1,"",BO$3*일별반별!BR28),0)</f>
        <v/>
      </c>
      <c r="BP28" s="401" t="str">
        <f>IFERROR(IF($C28&lt;1,"",BP$3*일별반별!BS28),0)</f>
        <v/>
      </c>
      <c r="BQ28" s="401" t="str">
        <f>IFERROR(IF($C28&lt;1,"",BQ$3*일별반별!BT28),0)</f>
        <v/>
      </c>
      <c r="BR28" s="417" t="str">
        <f>IFERROR(IF($C28&lt;1,"",BR$3*일별반별!BU28),0)</f>
        <v/>
      </c>
      <c r="BS28" s="417" t="str">
        <f>IFERROR(IF($C28&lt;1,"",BS$3*일별반별!BV28),0)</f>
        <v/>
      </c>
      <c r="BT28" s="417" t="str">
        <f>IFERROR(IF($C28&lt;1,"",BT$3*일별반별!BW28),0)</f>
        <v/>
      </c>
      <c r="BU28" s="316" t="str">
        <f>IFERROR(IF($C28&lt;1,"",BU$3*일별반별!BX28),0)</f>
        <v/>
      </c>
      <c r="BV28" s="316" t="str">
        <f>IFERROR(IF($C28&lt;1,"",BV$3*일별반별!BY28),0)</f>
        <v/>
      </c>
      <c r="BW28" s="316" t="str">
        <f>IFERROR(IF($C28&lt;1,"",BW$3*일별반별!BZ28),0)</f>
        <v/>
      </c>
      <c r="BX28" s="316" t="str">
        <f>IFERROR(IF($C28&lt;1,"",BX$3*일별반별!CA28),0)</f>
        <v/>
      </c>
      <c r="BY28" s="316" t="str">
        <f>IFERROR(IF($C28&lt;1,"",BY$3*일별반별!CB28),0)</f>
        <v/>
      </c>
      <c r="BZ28" s="316" t="str">
        <f>IFERROR(IF($C28&lt;1,"",BZ$3*일별반별!CC28),0)</f>
        <v/>
      </c>
      <c r="CA28" s="316" t="str">
        <f>IFERROR(IF($C28&lt;1,"",CA$3*일별반별!CD28),0)</f>
        <v/>
      </c>
      <c r="CB28" s="316" t="str">
        <f>IFERROR(IF($C28&lt;1,"",CB$3*일별반별!CE28),0)</f>
        <v/>
      </c>
      <c r="CC28" s="316" t="str">
        <f>IFERROR(IF($C28&lt;1,"",CC$3*일별반별!CF28),0)</f>
        <v/>
      </c>
      <c r="CD28" s="316" t="str">
        <f>IFERROR(IF($C28&lt;1,"",CD$3*일별반별!CG28),0)</f>
        <v/>
      </c>
      <c r="CE28" s="316" t="str">
        <f>IFERROR(IF($C28&lt;1,"",CE$3*일별반별!CH28),0)</f>
        <v/>
      </c>
      <c r="CF28" s="316" t="str">
        <f>IFERROR(IF($C28&lt;1,"",CF$3*일별반별!CI28),0)</f>
        <v/>
      </c>
      <c r="CG28" s="316" t="str">
        <f>IFERROR(IF($C28&lt;1,"",CG$3*일별반별!CJ28),0)</f>
        <v/>
      </c>
      <c r="CH28" s="316" t="str">
        <f>IFERROR(IF($C28&lt;1,"",CH$3*일별반별!CK28),0)</f>
        <v/>
      </c>
      <c r="CI28" s="316" t="str">
        <f>IFERROR(IF($C28&lt;1,"",CI$3*일별반별!CL28),0)</f>
        <v/>
      </c>
      <c r="CJ28" s="316" t="str">
        <f>IFERROR(IF($C28&lt;1,"",CJ$3*일별반별!CM28),0)</f>
        <v/>
      </c>
      <c r="CK28" s="316" t="str">
        <f>IFERROR(IF($C28&lt;1,"",CK$3*일별반별!CN28),0)</f>
        <v/>
      </c>
      <c r="CL28" s="316" t="str">
        <f>IFERROR(IF($C28&lt;1,"",CL$3*일별반별!CO28),0)</f>
        <v/>
      </c>
      <c r="CM28" s="316" t="str">
        <f>IFERROR(IF($C28&lt;1,"",CM$3*일별반별!CP28),0)</f>
        <v/>
      </c>
      <c r="CN28" s="316" t="str">
        <f>IFERROR(IF($C28&lt;1,"",CN$3*일별반별!CQ28),0)</f>
        <v/>
      </c>
      <c r="CO28" s="316" t="str">
        <f>IFERROR(IF($C28&lt;1,"",CO$3*일별반별!CR28),0)</f>
        <v/>
      </c>
      <c r="CP28" s="316" t="str">
        <f>IFERROR(IF($C28&lt;1,"",CP$3*일별반별!CS28),0)</f>
        <v/>
      </c>
      <c r="CQ28" s="316" t="str">
        <f>IFERROR(IF($C28&lt;1,"",CQ$3*일별반별!CT28),0)</f>
        <v/>
      </c>
      <c r="CR28" s="418" t="str">
        <f>IFERROR(IF($C28&lt;1,"",CR$3*일별반별!CU28),0)</f>
        <v/>
      </c>
      <c r="CS28" s="418" t="str">
        <f>IFERROR(IF($C28&lt;1,"",CS$3*일별반별!CV28),0)</f>
        <v/>
      </c>
      <c r="CT28" s="316" t="str">
        <f>IFERROR(IF($C28&lt;1,"",CT$3*일별반별!CW28),0)</f>
        <v/>
      </c>
      <c r="CU28" s="316" t="str">
        <f>IFERROR(IF($C28&lt;1,"",CU$3*일별반별!CX28),0)</f>
        <v/>
      </c>
      <c r="CV28" s="316" t="str">
        <f>IFERROR(IF($C28&lt;1,"",CV$3*일별반별!CY28),0)</f>
        <v/>
      </c>
      <c r="CW28" s="316" t="str">
        <f>IFERROR(IF($C28&lt;1,"",CW$3*일별반별!CZ28),0)</f>
        <v/>
      </c>
      <c r="CX28" s="316" t="str">
        <f>IFERROR(IF($C28&lt;1,"",CX$3*일별반별!DA28),0)</f>
        <v/>
      </c>
      <c r="CY28" s="316" t="str">
        <f>IF(C28&lt;1,"",(CY$3*'09월 조업일지'!AV$7))</f>
        <v/>
      </c>
      <c r="CZ28" s="316" t="str">
        <f t="shared" si="1"/>
        <v/>
      </c>
      <c r="DA28" s="316" t="str">
        <f t="shared" si="1"/>
        <v/>
      </c>
      <c r="DB28" s="316" t="str">
        <f t="shared" si="1"/>
        <v/>
      </c>
      <c r="DC28" s="316"/>
      <c r="DD28" s="419"/>
    </row>
    <row r="29" spans="1:108" ht="15" customHeight="1">
      <c r="A29" s="274">
        <f t="shared" si="2"/>
        <v>44017</v>
      </c>
      <c r="B29" s="275" t="s">
        <v>10</v>
      </c>
      <c r="C29" s="201">
        <f>COUNTIFS('09월 조업일지'!$A$12:$A$952,A26,'09월 조업일지'!$E$12:$E$952,B29)</f>
        <v>0</v>
      </c>
      <c r="D29" s="314">
        <f>IF(C29&lt;1,0,(SUM(E29:CX29)/(일별반별!BV29-1.5)+(CY29+CZ29+DA29+DB29)))</f>
        <v>0</v>
      </c>
      <c r="E29" s="278"/>
      <c r="F29" s="281"/>
      <c r="G29" s="282"/>
      <c r="H29" s="283"/>
      <c r="I29" s="283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326"/>
      <c r="U29" s="395" t="str">
        <f>IFERROR(IF($C29&lt;1,"",U$3*일별반별!X29),0)</f>
        <v/>
      </c>
      <c r="V29" s="395" t="str">
        <f>IFERROR(IF($C29&lt;1,"",V$3*일별반별!Y29),0)</f>
        <v/>
      </c>
      <c r="W29" s="395" t="str">
        <f>IFERROR(IF($C29&lt;1,"",W$3*일별반별!Z29),0)</f>
        <v/>
      </c>
      <c r="X29" s="208" t="str">
        <f>IFERROR(IF($C29&lt;1,"",X$3*일별반별!AA29),0)</f>
        <v/>
      </c>
      <c r="Y29" s="208" t="str">
        <f>IFERROR(IF($C29&lt;1,"",Y$3*일별반별!AB29),0)</f>
        <v/>
      </c>
      <c r="Z29" s="208" t="str">
        <f>IFERROR(IF($C29&lt;1,"",Z$3*일별반별!AC29),0)</f>
        <v/>
      </c>
      <c r="AA29" s="395" t="str">
        <f>IFERROR(IF($C29&lt;1,"",AA$3*일별반별!AD29),0)</f>
        <v/>
      </c>
      <c r="AB29" s="395" t="str">
        <f>IFERROR(IF($C29&lt;1,"",AB$3*일별반별!AE29),0)</f>
        <v/>
      </c>
      <c r="AC29" s="208" t="str">
        <f>IFERROR(IF($C29&lt;1,"",AC$3*일별반별!AF29),0)</f>
        <v/>
      </c>
      <c r="AD29" s="208" t="str">
        <f>IFERROR(IF($C29&lt;1,"",AD$3*일별반별!AG29),0)</f>
        <v/>
      </c>
      <c r="AE29" s="208" t="str">
        <f>IFERROR(IF($C29&lt;1,"",AE$3*일별반별!AH29),0)</f>
        <v/>
      </c>
      <c r="AF29" s="395" t="str">
        <f>IFERROR(IF($C29&lt;1,"",AF$3*일별반별!AI29),0)</f>
        <v/>
      </c>
      <c r="AG29" s="395" t="str">
        <f>IFERROR(IF($C29&lt;1,"",AG$3*일별반별!AJ29),0)</f>
        <v/>
      </c>
      <c r="AH29" s="395" t="str">
        <f>IFERROR(IF($C29&lt;1,"",AH$3*일별반별!AK29),0)</f>
        <v/>
      </c>
      <c r="AI29" s="395" t="str">
        <f>IFERROR(IF($C29&lt;1,"",AI$3*일별반별!AL29),0)</f>
        <v/>
      </c>
      <c r="AJ29" s="395" t="str">
        <f>IFERROR(IF($C29&lt;1,"",AJ$3*일별반별!AM29),0)</f>
        <v/>
      </c>
      <c r="AK29" s="395" t="str">
        <f>IFERROR(IF($C29&lt;1,"",AK$3*일별반별!AN29),0)</f>
        <v/>
      </c>
      <c r="AL29" s="395" t="str">
        <f>IFERROR(IF($C29&lt;1,"",AL$3*일별반별!AO29),0)</f>
        <v/>
      </c>
      <c r="AM29" s="395" t="str">
        <f>IFERROR(IF($C29&lt;1,"",AM$3*일별반별!AP29),0)</f>
        <v/>
      </c>
      <c r="AN29" s="395" t="str">
        <f>IFERROR(IF($C29&lt;1,"",AN$3*일별반별!AQ29),0)</f>
        <v/>
      </c>
      <c r="AO29" s="395" t="str">
        <f>IFERROR(IF($C29&lt;1,"",AO$3*일별반별!AR29),0)</f>
        <v/>
      </c>
      <c r="AP29" s="347" t="str">
        <f>IFERROR(IF($C29&lt;1,"",AP$3*일별반별!AS29),0)</f>
        <v/>
      </c>
      <c r="AQ29" s="347" t="str">
        <f>IFERROR(IF($C29&lt;1,"",AQ$3*일별반별!AT29),0)</f>
        <v/>
      </c>
      <c r="AR29" s="316" t="str">
        <f>IFERROR(IF($C29&lt;1,"",AR$3*일별반별!AU29),0)</f>
        <v/>
      </c>
      <c r="AS29" s="401" t="str">
        <f>IFERROR(IF($C29&lt;1,"",AS$3*일별반별!AV29),0)</f>
        <v/>
      </c>
      <c r="AT29" s="401" t="str">
        <f>IFERROR(IF($C29&lt;1,"",AT$3*일별반별!AW29),0)</f>
        <v/>
      </c>
      <c r="AU29" s="401" t="str">
        <f>IFERROR(IF($C29&lt;1,"",AU$3*일별반별!AX29),0)</f>
        <v/>
      </c>
      <c r="AV29" s="401" t="str">
        <f>IFERROR(IF($C29&lt;1,"",AV$3*일별반별!AY29),0)</f>
        <v/>
      </c>
      <c r="AW29" s="401" t="str">
        <f>IFERROR(IF($C29&lt;1,"",AW$3*일별반별!AZ29),0)</f>
        <v/>
      </c>
      <c r="AX29" s="401" t="str">
        <f>IFERROR(IF($C29&lt;1,"",AX$3*일별반별!BA29),0)</f>
        <v/>
      </c>
      <c r="AY29" s="401" t="str">
        <f>IFERROR(IF($C29&lt;1,"",AY$3*일별반별!BB29),0)</f>
        <v/>
      </c>
      <c r="AZ29" s="401" t="str">
        <f>IFERROR(IF($C29&lt;1,"",AZ$3*일별반별!BC29),0)</f>
        <v/>
      </c>
      <c r="BA29" s="401" t="str">
        <f>IFERROR(IF($C29&lt;1,"",BA$3*일별반별!BD29),0)</f>
        <v/>
      </c>
      <c r="BB29" s="402" t="str">
        <f>IFERROR(IF($C29&lt;1,"",BB$3*일별반별!BE29),0)</f>
        <v/>
      </c>
      <c r="BC29" s="402" t="str">
        <f>IFERROR(IF($C29&lt;1,"",BC$3*일별반별!BF29),0)</f>
        <v/>
      </c>
      <c r="BD29" s="402" t="str">
        <f>IFERROR(IF($C29&lt;1,"",BD$3*일별반별!BG29),0)</f>
        <v/>
      </c>
      <c r="BE29" s="402" t="str">
        <f>IFERROR(IF($C29&lt;1,"",BE$3*일별반별!BH29),0)</f>
        <v/>
      </c>
      <c r="BF29" s="402" t="str">
        <f>IFERROR(IF($C29&lt;1,"",BF$3*일별반별!BI29),0)</f>
        <v/>
      </c>
      <c r="BG29" s="402" t="str">
        <f>IFERROR(IF($C29&lt;1,"",BG$3*일별반별!BJ29),0)</f>
        <v/>
      </c>
      <c r="BH29" s="402" t="str">
        <f>IFERROR(IF($C29&lt;1,"",BH$3*일별반별!BK29),0)</f>
        <v/>
      </c>
      <c r="BI29" s="402" t="str">
        <f>IFERROR(IF($C29&lt;1,"",BI$3*일별반별!BL29),0)</f>
        <v/>
      </c>
      <c r="BJ29" s="402" t="str">
        <f>IFERROR(IF($C29&lt;1,"",BJ$3*일별반별!BM29),0)</f>
        <v/>
      </c>
      <c r="BK29" s="402" t="str">
        <f>IFERROR(IF($C29&lt;1,"",BK$3*일별반별!BN29),0)</f>
        <v/>
      </c>
      <c r="BL29" s="402" t="str">
        <f>IFERROR(IF($C29&lt;1,"",BL$3*일별반별!BH29),0)</f>
        <v/>
      </c>
      <c r="BM29" s="402" t="str">
        <f>IFERROR(IF($C29&lt;1,"",BM$3*일별반별!BP29),0)</f>
        <v/>
      </c>
      <c r="BN29" s="401" t="str">
        <f>IFERROR(IF($C29&lt;1,"",BN$3*일별반별!BQ29),0)</f>
        <v/>
      </c>
      <c r="BO29" s="401" t="str">
        <f>IFERROR(IF($C29&lt;1,"",BO$3*일별반별!BR29),0)</f>
        <v/>
      </c>
      <c r="BP29" s="401" t="str">
        <f>IFERROR(IF($C29&lt;1,"",BP$3*일별반별!BS29),0)</f>
        <v/>
      </c>
      <c r="BQ29" s="401" t="str">
        <f>IFERROR(IF($C29&lt;1,"",BQ$3*일별반별!BT29),0)</f>
        <v/>
      </c>
      <c r="BR29" s="417" t="str">
        <f>IFERROR(IF($C29&lt;1,"",BR$3*일별반별!BU29),0)</f>
        <v/>
      </c>
      <c r="BS29" s="417" t="str">
        <f>IFERROR(IF($C29&lt;1,"",BS$3*일별반별!BV29),0)</f>
        <v/>
      </c>
      <c r="BT29" s="417" t="str">
        <f>IFERROR(IF($C29&lt;1,"",BT$3*일별반별!BW29),0)</f>
        <v/>
      </c>
      <c r="BU29" s="316" t="str">
        <f>IFERROR(IF($C29&lt;1,"",BU$3*일별반별!BX29),0)</f>
        <v/>
      </c>
      <c r="BV29" s="316" t="str">
        <f>IFERROR(IF($C29&lt;1,"",BV$3*일별반별!BY29),0)</f>
        <v/>
      </c>
      <c r="BW29" s="316" t="str">
        <f>IFERROR(IF($C29&lt;1,"",BW$3*일별반별!BZ29),0)</f>
        <v/>
      </c>
      <c r="BX29" s="316" t="str">
        <f>IFERROR(IF($C29&lt;1,"",BX$3*일별반별!CA29),0)</f>
        <v/>
      </c>
      <c r="BY29" s="316" t="str">
        <f>IFERROR(IF($C29&lt;1,"",BY$3*일별반별!CB29),0)</f>
        <v/>
      </c>
      <c r="BZ29" s="316" t="str">
        <f>IFERROR(IF($C29&lt;1,"",BZ$3*일별반별!CC29),0)</f>
        <v/>
      </c>
      <c r="CA29" s="316" t="str">
        <f>IFERROR(IF($C29&lt;1,"",CA$3*일별반별!CD29),0)</f>
        <v/>
      </c>
      <c r="CB29" s="316" t="str">
        <f>IFERROR(IF($C29&lt;1,"",CB$3*일별반별!CE29),0)</f>
        <v/>
      </c>
      <c r="CC29" s="316" t="str">
        <f>IFERROR(IF($C29&lt;1,"",CC$3*일별반별!CF29),0)</f>
        <v/>
      </c>
      <c r="CD29" s="316" t="str">
        <f>IFERROR(IF($C29&lt;1,"",CD$3*일별반별!CG29),0)</f>
        <v/>
      </c>
      <c r="CE29" s="316" t="str">
        <f>IFERROR(IF($C29&lt;1,"",CE$3*일별반별!CH29),0)</f>
        <v/>
      </c>
      <c r="CF29" s="316" t="str">
        <f>IFERROR(IF($C29&lt;1,"",CF$3*일별반별!CI29),0)</f>
        <v/>
      </c>
      <c r="CG29" s="316" t="str">
        <f>IFERROR(IF($C29&lt;1,"",CG$3*일별반별!CJ29),0)</f>
        <v/>
      </c>
      <c r="CH29" s="316" t="str">
        <f>IFERROR(IF($C29&lt;1,"",CH$3*일별반별!CK29),0)</f>
        <v/>
      </c>
      <c r="CI29" s="316" t="str">
        <f>IFERROR(IF($C29&lt;1,"",CI$3*일별반별!CL29),0)</f>
        <v/>
      </c>
      <c r="CJ29" s="316" t="str">
        <f>IFERROR(IF($C29&lt;1,"",CJ$3*일별반별!CM29),0)</f>
        <v/>
      </c>
      <c r="CK29" s="316" t="str">
        <f>IFERROR(IF($C29&lt;1,"",CK$3*일별반별!CN29),0)</f>
        <v/>
      </c>
      <c r="CL29" s="316" t="str">
        <f>IFERROR(IF($C29&lt;1,"",CL$3*일별반별!CO29),0)</f>
        <v/>
      </c>
      <c r="CM29" s="316" t="str">
        <f>IFERROR(IF($C29&lt;1,"",CM$3*일별반별!CP29),0)</f>
        <v/>
      </c>
      <c r="CN29" s="316" t="str">
        <f>IFERROR(IF($C29&lt;1,"",CN$3*일별반별!CQ29),0)</f>
        <v/>
      </c>
      <c r="CO29" s="316" t="str">
        <f>IFERROR(IF($C29&lt;1,"",CO$3*일별반별!CR29),0)</f>
        <v/>
      </c>
      <c r="CP29" s="316" t="str">
        <f>IFERROR(IF($C29&lt;1,"",CP$3*일별반별!CS29),0)</f>
        <v/>
      </c>
      <c r="CQ29" s="316" t="str">
        <f>IFERROR(IF($C29&lt;1,"",CQ$3*일별반별!CT29),0)</f>
        <v/>
      </c>
      <c r="CR29" s="418" t="str">
        <f>IFERROR(IF($C29&lt;1,"",CR$3*일별반별!CU29),0)</f>
        <v/>
      </c>
      <c r="CS29" s="418" t="str">
        <f>IFERROR(IF($C29&lt;1,"",CS$3*일별반별!CV29),0)</f>
        <v/>
      </c>
      <c r="CT29" s="316" t="str">
        <f>IFERROR(IF($C29&lt;1,"",CT$3*일별반별!CW29),0)</f>
        <v/>
      </c>
      <c r="CU29" s="316" t="str">
        <f>IFERROR(IF($C29&lt;1,"",CU$3*일별반별!CX29),0)</f>
        <v/>
      </c>
      <c r="CV29" s="316" t="str">
        <f>IFERROR(IF($C29&lt;1,"",CV$3*일별반별!CY29),0)</f>
        <v/>
      </c>
      <c r="CW29" s="316" t="str">
        <f>IFERROR(IF($C29&lt;1,"",CW$3*일별반별!CZ29),0)</f>
        <v/>
      </c>
      <c r="CX29" s="316" t="str">
        <f>IFERROR(IF($C29&lt;1,"",CX$3*일별반별!DA29),0)</f>
        <v/>
      </c>
      <c r="CY29" s="316" t="str">
        <f>IF(C29&lt;1,"",(CY$3*'09월 조업일지'!AV$7))</f>
        <v/>
      </c>
      <c r="CZ29" s="316" t="str">
        <f t="shared" si="1"/>
        <v/>
      </c>
      <c r="DA29" s="316" t="str">
        <f t="shared" si="1"/>
        <v/>
      </c>
      <c r="DB29" s="316" t="str">
        <f t="shared" si="1"/>
        <v/>
      </c>
      <c r="DC29" s="316"/>
      <c r="DD29" s="419"/>
    </row>
    <row r="30" spans="1:108" ht="15" customHeight="1">
      <c r="A30" s="274">
        <f t="shared" si="2"/>
        <v>44017</v>
      </c>
      <c r="B30" s="275" t="s">
        <v>94</v>
      </c>
      <c r="C30" s="201">
        <f>COUNTIFS('09월 조업일지'!$A$12:$A$952,A26,'09월 조업일지'!$E$12:$E$952,B30)</f>
        <v>0</v>
      </c>
      <c r="D30" s="314">
        <f>IF(C30&lt;1,0,(SUM(E30:CX30)/(일별반별!BV30-1.5)+(CY30+CZ30+DA30+DB30)))</f>
        <v>0</v>
      </c>
      <c r="E30" s="278"/>
      <c r="F30" s="281"/>
      <c r="G30" s="282"/>
      <c r="H30" s="283"/>
      <c r="I30" s="283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326"/>
      <c r="U30" s="395" t="str">
        <f>IFERROR(IF($C30&lt;1,"",U$3*일별반별!X30),0)</f>
        <v/>
      </c>
      <c r="V30" s="395" t="str">
        <f>IFERROR(IF($C30&lt;1,"",V$3*일별반별!Y30),0)</f>
        <v/>
      </c>
      <c r="W30" s="395" t="str">
        <f>IFERROR(IF($C30&lt;1,"",W$3*일별반별!Z30),0)</f>
        <v/>
      </c>
      <c r="X30" s="208" t="str">
        <f>IFERROR(IF($C30&lt;1,"",X$3*일별반별!AA30),0)</f>
        <v/>
      </c>
      <c r="Y30" s="208" t="str">
        <f>IFERROR(IF($C30&lt;1,"",Y$3*일별반별!AB30),0)</f>
        <v/>
      </c>
      <c r="Z30" s="208" t="str">
        <f>IFERROR(IF($C30&lt;1,"",Z$3*일별반별!AC30),0)</f>
        <v/>
      </c>
      <c r="AA30" s="395" t="str">
        <f>IFERROR(IF($C30&lt;1,"",AA$3*일별반별!AD30),0)</f>
        <v/>
      </c>
      <c r="AB30" s="395" t="str">
        <f>IFERROR(IF($C30&lt;1,"",AB$3*일별반별!AE30),0)</f>
        <v/>
      </c>
      <c r="AC30" s="208" t="str">
        <f>IFERROR(IF($C30&lt;1,"",AC$3*일별반별!AF30),0)</f>
        <v/>
      </c>
      <c r="AD30" s="208" t="str">
        <f>IFERROR(IF($C30&lt;1,"",AD$3*일별반별!AG30),0)</f>
        <v/>
      </c>
      <c r="AE30" s="208" t="str">
        <f>IFERROR(IF($C30&lt;1,"",AE$3*일별반별!AH30),0)</f>
        <v/>
      </c>
      <c r="AF30" s="395" t="str">
        <f>IFERROR(IF($C30&lt;1,"",AF$3*일별반별!AI30),0)</f>
        <v/>
      </c>
      <c r="AG30" s="395" t="str">
        <f>IFERROR(IF($C30&lt;1,"",AG$3*일별반별!AJ30),0)</f>
        <v/>
      </c>
      <c r="AH30" s="395" t="str">
        <f>IFERROR(IF($C30&lt;1,"",AH$3*일별반별!AK30),0)</f>
        <v/>
      </c>
      <c r="AI30" s="395" t="str">
        <f>IFERROR(IF($C30&lt;1,"",AI$3*일별반별!AL30),0)</f>
        <v/>
      </c>
      <c r="AJ30" s="395" t="str">
        <f>IFERROR(IF($C30&lt;1,"",AJ$3*일별반별!AM30),0)</f>
        <v/>
      </c>
      <c r="AK30" s="395" t="str">
        <f>IFERROR(IF($C30&lt;1,"",AK$3*일별반별!AN30),0)</f>
        <v/>
      </c>
      <c r="AL30" s="395" t="str">
        <f>IFERROR(IF($C30&lt;1,"",AL$3*일별반별!AO30),0)</f>
        <v/>
      </c>
      <c r="AM30" s="395" t="str">
        <f>IFERROR(IF($C30&lt;1,"",AM$3*일별반별!AP30),0)</f>
        <v/>
      </c>
      <c r="AN30" s="395" t="str">
        <f>IFERROR(IF($C30&lt;1,"",AN$3*일별반별!AQ30),0)</f>
        <v/>
      </c>
      <c r="AO30" s="395" t="str">
        <f>IFERROR(IF($C30&lt;1,"",AO$3*일별반별!AR30),0)</f>
        <v/>
      </c>
      <c r="AP30" s="347" t="str">
        <f>IFERROR(IF($C30&lt;1,"",AP$3*일별반별!AS30),0)</f>
        <v/>
      </c>
      <c r="AQ30" s="347" t="str">
        <f>IFERROR(IF($C30&lt;1,"",AQ$3*일별반별!AT30),0)</f>
        <v/>
      </c>
      <c r="AR30" s="316" t="str">
        <f>IFERROR(IF($C30&lt;1,"",AR$3*일별반별!AU30),0)</f>
        <v/>
      </c>
      <c r="AS30" s="401" t="str">
        <f>IFERROR(IF($C30&lt;1,"",AS$3*일별반별!AV30),0)</f>
        <v/>
      </c>
      <c r="AT30" s="401" t="str">
        <f>IFERROR(IF($C30&lt;1,"",AT$3*일별반별!AW30),0)</f>
        <v/>
      </c>
      <c r="AU30" s="401" t="str">
        <f>IFERROR(IF($C30&lt;1,"",AU$3*일별반별!AX30),0)</f>
        <v/>
      </c>
      <c r="AV30" s="401" t="str">
        <f>IFERROR(IF($C30&lt;1,"",AV$3*일별반별!AY30),0)</f>
        <v/>
      </c>
      <c r="AW30" s="401" t="str">
        <f>IFERROR(IF($C30&lt;1,"",AW$3*일별반별!AZ30),0)</f>
        <v/>
      </c>
      <c r="AX30" s="401" t="str">
        <f>IFERROR(IF($C30&lt;1,"",AX$3*일별반별!BA30),0)</f>
        <v/>
      </c>
      <c r="AY30" s="401" t="str">
        <f>IFERROR(IF($C30&lt;1,"",AY$3*일별반별!BB30),0)</f>
        <v/>
      </c>
      <c r="AZ30" s="401" t="str">
        <f>IFERROR(IF($C30&lt;1,"",AZ$3*일별반별!BC30),0)</f>
        <v/>
      </c>
      <c r="BA30" s="401" t="str">
        <f>IFERROR(IF($C30&lt;1,"",BA$3*일별반별!BD30),0)</f>
        <v/>
      </c>
      <c r="BB30" s="402" t="str">
        <f>IFERROR(IF($C30&lt;1,"",BB$3*일별반별!BE30),0)</f>
        <v/>
      </c>
      <c r="BC30" s="402" t="str">
        <f>IFERROR(IF($C30&lt;1,"",BC$3*일별반별!BF30),0)</f>
        <v/>
      </c>
      <c r="BD30" s="402" t="str">
        <f>IFERROR(IF($C30&lt;1,"",BD$3*일별반별!BG30),0)</f>
        <v/>
      </c>
      <c r="BE30" s="402" t="str">
        <f>IFERROR(IF($C30&lt;1,"",BE$3*일별반별!BH30),0)</f>
        <v/>
      </c>
      <c r="BF30" s="402" t="str">
        <f>IFERROR(IF($C30&lt;1,"",BF$3*일별반별!BI30),0)</f>
        <v/>
      </c>
      <c r="BG30" s="402" t="str">
        <f>IFERROR(IF($C30&lt;1,"",BG$3*일별반별!BJ30),0)</f>
        <v/>
      </c>
      <c r="BH30" s="402" t="str">
        <f>IFERROR(IF($C30&lt;1,"",BH$3*일별반별!BK30),0)</f>
        <v/>
      </c>
      <c r="BI30" s="402" t="str">
        <f>IFERROR(IF($C30&lt;1,"",BI$3*일별반별!BL30),0)</f>
        <v/>
      </c>
      <c r="BJ30" s="402" t="str">
        <f>IFERROR(IF($C30&lt;1,"",BJ$3*일별반별!BM30),0)</f>
        <v/>
      </c>
      <c r="BK30" s="402" t="str">
        <f>IFERROR(IF($C30&lt;1,"",BK$3*일별반별!BN30),0)</f>
        <v/>
      </c>
      <c r="BL30" s="402" t="str">
        <f>IFERROR(IF($C30&lt;1,"",BL$3*일별반별!BH30),0)</f>
        <v/>
      </c>
      <c r="BM30" s="402" t="str">
        <f>IFERROR(IF($C30&lt;1,"",BM$3*일별반별!BP30),0)</f>
        <v/>
      </c>
      <c r="BN30" s="401" t="str">
        <f>IFERROR(IF($C30&lt;1,"",BN$3*일별반별!BQ30),0)</f>
        <v/>
      </c>
      <c r="BO30" s="401" t="str">
        <f>IFERROR(IF($C30&lt;1,"",BO$3*일별반별!BR30),0)</f>
        <v/>
      </c>
      <c r="BP30" s="401" t="str">
        <f>IFERROR(IF($C30&lt;1,"",BP$3*일별반별!BS30),0)</f>
        <v/>
      </c>
      <c r="BQ30" s="401" t="str">
        <f>IFERROR(IF($C30&lt;1,"",BQ$3*일별반별!BT30),0)</f>
        <v/>
      </c>
      <c r="BR30" s="417" t="str">
        <f>IFERROR(IF($C30&lt;1,"",BR$3*일별반별!BU30),0)</f>
        <v/>
      </c>
      <c r="BS30" s="417" t="str">
        <f>IFERROR(IF($C30&lt;1,"",BS$3*일별반별!BV30),0)</f>
        <v/>
      </c>
      <c r="BT30" s="417" t="str">
        <f>IFERROR(IF($C30&lt;1,"",BT$3*일별반별!BW30),0)</f>
        <v/>
      </c>
      <c r="BU30" s="316" t="str">
        <f>IFERROR(IF($C30&lt;1,"",BU$3*일별반별!BX30),0)</f>
        <v/>
      </c>
      <c r="BV30" s="316" t="str">
        <f>IFERROR(IF($C30&lt;1,"",BV$3*일별반별!BY30),0)</f>
        <v/>
      </c>
      <c r="BW30" s="316" t="str">
        <f>IFERROR(IF($C30&lt;1,"",BW$3*일별반별!BZ30),0)</f>
        <v/>
      </c>
      <c r="BX30" s="316" t="str">
        <f>IFERROR(IF($C30&lt;1,"",BX$3*일별반별!CA30),0)</f>
        <v/>
      </c>
      <c r="BY30" s="316" t="str">
        <f>IFERROR(IF($C30&lt;1,"",BY$3*일별반별!CB30),0)</f>
        <v/>
      </c>
      <c r="BZ30" s="316" t="str">
        <f>IFERROR(IF($C30&lt;1,"",BZ$3*일별반별!CC30),0)</f>
        <v/>
      </c>
      <c r="CA30" s="316" t="str">
        <f>IFERROR(IF($C30&lt;1,"",CA$3*일별반별!CD30),0)</f>
        <v/>
      </c>
      <c r="CB30" s="316" t="str">
        <f>IFERROR(IF($C30&lt;1,"",CB$3*일별반별!CE30),0)</f>
        <v/>
      </c>
      <c r="CC30" s="316" t="str">
        <f>IFERROR(IF($C30&lt;1,"",CC$3*일별반별!CF30),0)</f>
        <v/>
      </c>
      <c r="CD30" s="316" t="str">
        <f>IFERROR(IF($C30&lt;1,"",CD$3*일별반별!CG30),0)</f>
        <v/>
      </c>
      <c r="CE30" s="316" t="str">
        <f>IFERROR(IF($C30&lt;1,"",CE$3*일별반별!CH30),0)</f>
        <v/>
      </c>
      <c r="CF30" s="316" t="str">
        <f>IFERROR(IF($C30&lt;1,"",CF$3*일별반별!CI30),0)</f>
        <v/>
      </c>
      <c r="CG30" s="316" t="str">
        <f>IFERROR(IF($C30&lt;1,"",CG$3*일별반별!CJ30),0)</f>
        <v/>
      </c>
      <c r="CH30" s="316" t="str">
        <f>IFERROR(IF($C30&lt;1,"",CH$3*일별반별!CK30),0)</f>
        <v/>
      </c>
      <c r="CI30" s="316" t="str">
        <f>IFERROR(IF($C30&lt;1,"",CI$3*일별반별!CL30),0)</f>
        <v/>
      </c>
      <c r="CJ30" s="316" t="str">
        <f>IFERROR(IF($C30&lt;1,"",CJ$3*일별반별!CM30),0)</f>
        <v/>
      </c>
      <c r="CK30" s="316" t="str">
        <f>IFERROR(IF($C30&lt;1,"",CK$3*일별반별!CN30),0)</f>
        <v/>
      </c>
      <c r="CL30" s="316" t="str">
        <f>IFERROR(IF($C30&lt;1,"",CL$3*일별반별!CO30),0)</f>
        <v/>
      </c>
      <c r="CM30" s="316" t="str">
        <f>IFERROR(IF($C30&lt;1,"",CM$3*일별반별!CP30),0)</f>
        <v/>
      </c>
      <c r="CN30" s="316" t="str">
        <f>IFERROR(IF($C30&lt;1,"",CN$3*일별반별!CQ30),0)</f>
        <v/>
      </c>
      <c r="CO30" s="316" t="str">
        <f>IFERROR(IF($C30&lt;1,"",CO$3*일별반별!CR30),0)</f>
        <v/>
      </c>
      <c r="CP30" s="316" t="str">
        <f>IFERROR(IF($C30&lt;1,"",CP$3*일별반별!CS30),0)</f>
        <v/>
      </c>
      <c r="CQ30" s="316" t="str">
        <f>IFERROR(IF($C30&lt;1,"",CQ$3*일별반별!CT30),0)</f>
        <v/>
      </c>
      <c r="CR30" s="418" t="str">
        <f>IFERROR(IF($C30&lt;1,"",CR$3*일별반별!CU30),0)</f>
        <v/>
      </c>
      <c r="CS30" s="418" t="str">
        <f>IFERROR(IF($C30&lt;1,"",CS$3*일별반별!CV30),0)</f>
        <v/>
      </c>
      <c r="CT30" s="316" t="str">
        <f>IFERROR(IF($C30&lt;1,"",CT$3*일별반별!CW30),0)</f>
        <v/>
      </c>
      <c r="CU30" s="316" t="str">
        <f>IFERROR(IF($C30&lt;1,"",CU$3*일별반별!CX30),0)</f>
        <v/>
      </c>
      <c r="CV30" s="316" t="str">
        <f>IFERROR(IF($C30&lt;1,"",CV$3*일별반별!CY30),0)</f>
        <v/>
      </c>
      <c r="CW30" s="316" t="str">
        <f>IFERROR(IF($C30&lt;1,"",CW$3*일별반별!CZ30),0)</f>
        <v/>
      </c>
      <c r="CX30" s="316" t="str">
        <f>IFERROR(IF($C30&lt;1,"",CX$3*일별반별!DA30),0)</f>
        <v/>
      </c>
      <c r="CY30" s="316" t="str">
        <f>IF(C30&lt;1,"",(CY$3*'09월 조업일지'!AV$7))</f>
        <v/>
      </c>
      <c r="CZ30" s="316" t="str">
        <f t="shared" si="1"/>
        <v/>
      </c>
      <c r="DA30" s="316" t="str">
        <f t="shared" si="1"/>
        <v/>
      </c>
      <c r="DB30" s="316" t="str">
        <f t="shared" si="1"/>
        <v/>
      </c>
      <c r="DC30" s="316"/>
      <c r="DD30" s="419"/>
    </row>
    <row r="31" spans="1:108" ht="15" customHeight="1">
      <c r="A31" s="327">
        <f>A26+1</f>
        <v>44018</v>
      </c>
      <c r="B31" s="328" t="s">
        <v>31</v>
      </c>
      <c r="C31" s="329">
        <f>COUNTIF('09월 조업일지'!$A$12:$A$952,A31)</f>
        <v>0</v>
      </c>
      <c r="D31" s="330">
        <f>IF(C31&lt;1,0,(SUM(E31:CX31)/(일별반별!BV31-1.5)+(CY31+CZ31+DA31+DB31)))</f>
        <v>0</v>
      </c>
      <c r="E31" s="331"/>
      <c r="F31" s="331"/>
      <c r="G31" s="332"/>
      <c r="H31" s="333"/>
      <c r="I31" s="333"/>
      <c r="J31" s="334"/>
      <c r="K31" s="334"/>
      <c r="L31" s="334"/>
      <c r="M31" s="334"/>
      <c r="N31" s="334"/>
      <c r="O31" s="334"/>
      <c r="P31" s="334"/>
      <c r="Q31" s="335"/>
      <c r="R31" s="334"/>
      <c r="S31" s="335"/>
      <c r="T31" s="334"/>
      <c r="U31" s="337" t="str">
        <f>IFERROR(IF($C31&lt;1,"",U$3*일별반별!X31),0)</f>
        <v/>
      </c>
      <c r="V31" s="337" t="str">
        <f>IFERROR(IF($C31&lt;1,"",V$3*일별반별!Y31),0)</f>
        <v/>
      </c>
      <c r="W31" s="337" t="str">
        <f>IFERROR(IF($C31&lt;1,"",W$3*일별반별!Z31),0)</f>
        <v/>
      </c>
      <c r="X31" s="336" t="str">
        <f>IFERROR(IF($C31&lt;1,"",X$3*일별반별!AA31),0)</f>
        <v/>
      </c>
      <c r="Y31" s="336" t="str">
        <f>IFERROR(IF($C31&lt;1,"",Y$3*일별반별!AB31),0)</f>
        <v/>
      </c>
      <c r="Z31" s="336" t="str">
        <f>IFERROR(IF($C31&lt;1,"",Z$3*일별반별!AC31),0)</f>
        <v/>
      </c>
      <c r="AA31" s="337" t="str">
        <f>IFERROR(IF($C31&lt;1,"",AA$3*일별반별!AD31),0)</f>
        <v/>
      </c>
      <c r="AB31" s="337" t="str">
        <f>IFERROR(IF($C31&lt;1,"",AB$3*일별반별!AE31),0)</f>
        <v/>
      </c>
      <c r="AC31" s="336" t="str">
        <f>IFERROR(IF($C31&lt;1,"",AC$3*일별반별!AF31),0)</f>
        <v/>
      </c>
      <c r="AD31" s="336" t="str">
        <f>IFERROR(IF($C31&lt;1,"",AD$3*일별반별!AG31),0)</f>
        <v/>
      </c>
      <c r="AE31" s="336" t="str">
        <f>IFERROR(IF($C31&lt;1,"",AE$3*일별반별!AH31),0)</f>
        <v/>
      </c>
      <c r="AF31" s="337" t="str">
        <f>IFERROR(IF($C31&lt;1,"",AF$3*일별반별!AI31),0)</f>
        <v/>
      </c>
      <c r="AG31" s="337" t="str">
        <f>IFERROR(IF($C31&lt;1,"",AG$3*일별반별!AJ31),0)</f>
        <v/>
      </c>
      <c r="AH31" s="337" t="str">
        <f>IFERROR(IF($C31&lt;1,"",AH$3*일별반별!AK31),0)</f>
        <v/>
      </c>
      <c r="AI31" s="337" t="str">
        <f>IFERROR(IF($C31&lt;1,"",AI$3*일별반별!AL31),0)</f>
        <v/>
      </c>
      <c r="AJ31" s="337" t="str">
        <f>IFERROR(IF($C31&lt;1,"",AJ$3*일별반별!AM31),0)</f>
        <v/>
      </c>
      <c r="AK31" s="337" t="str">
        <f>IFERROR(IF($C31&lt;1,"",AK$3*일별반별!AN31),0)</f>
        <v/>
      </c>
      <c r="AL31" s="337" t="str">
        <f>IFERROR(IF($C31&lt;1,"",AL$3*일별반별!AO31),0)</f>
        <v/>
      </c>
      <c r="AM31" s="337" t="str">
        <f>IFERROR(IF($C31&lt;1,"",AM$3*일별반별!AP31),0)</f>
        <v/>
      </c>
      <c r="AN31" s="337" t="str">
        <f>IFERROR(IF($C31&lt;1,"",AN$3*일별반별!AQ31),0)</f>
        <v/>
      </c>
      <c r="AO31" s="337" t="str">
        <f>IFERROR(IF($C31&lt;1,"",AO$3*일별반별!AR31),0)</f>
        <v/>
      </c>
      <c r="AP31" s="337" t="str">
        <f>IFERROR(IF($C31&lt;1,"",AP$3*일별반별!AS31),0)</f>
        <v/>
      </c>
      <c r="AQ31" s="337" t="str">
        <f>IFERROR(IF($C31&lt;1,"",AQ$3*일별반별!AT31),0)</f>
        <v/>
      </c>
      <c r="AR31" s="337" t="str">
        <f>IFERROR(IF($C31&lt;1,"",AR$3*일별반별!AU31),0)</f>
        <v/>
      </c>
      <c r="AS31" s="403" t="str">
        <f>IFERROR(IF($C31&lt;1,"",AS$3*일별반별!AV31),0)</f>
        <v/>
      </c>
      <c r="AT31" s="403" t="str">
        <f>IFERROR(IF($C31&lt;1,"",AT$3*일별반별!AW31),0)</f>
        <v/>
      </c>
      <c r="AU31" s="403" t="str">
        <f>IFERROR(IF($C31&lt;1,"",AU$3*일별반별!AX31),0)</f>
        <v/>
      </c>
      <c r="AV31" s="403" t="str">
        <f>IFERROR(IF($C31&lt;1,"",AV$3*일별반별!AY31),0)</f>
        <v/>
      </c>
      <c r="AW31" s="403" t="str">
        <f>IFERROR(IF($C31&lt;1,"",AW$3*일별반별!AZ31),0)</f>
        <v/>
      </c>
      <c r="AX31" s="403" t="str">
        <f>IFERROR(IF($C31&lt;1,"",AX$3*일별반별!BA31),0)</f>
        <v/>
      </c>
      <c r="AY31" s="403" t="str">
        <f>IFERROR(IF($C31&lt;1,"",AY$3*일별반별!BB31),0)</f>
        <v/>
      </c>
      <c r="AZ31" s="403" t="str">
        <f>IFERROR(IF($C31&lt;1,"",AZ$3*일별반별!BC31),0)</f>
        <v/>
      </c>
      <c r="BA31" s="403" t="str">
        <f>IFERROR(IF($C31&lt;1,"",BA$3*일별반별!BD31),0)</f>
        <v/>
      </c>
      <c r="BB31" s="403" t="str">
        <f>IFERROR(IF($C31&lt;1,"",BB$3*일별반별!BE31),0)</f>
        <v/>
      </c>
      <c r="BC31" s="403" t="str">
        <f>IFERROR(IF($C31&lt;1,"",BC$3*일별반별!BF31),0)</f>
        <v/>
      </c>
      <c r="BD31" s="403" t="str">
        <f>IFERROR(IF($C31&lt;1,"",BD$3*일별반별!BG31),0)</f>
        <v/>
      </c>
      <c r="BE31" s="403" t="str">
        <f>IFERROR(IF($C31&lt;1,"",BE$3*일별반별!BH31),0)</f>
        <v/>
      </c>
      <c r="BF31" s="403" t="str">
        <f>IFERROR(IF($C31&lt;1,"",BF$3*일별반별!BI31),0)</f>
        <v/>
      </c>
      <c r="BG31" s="403" t="str">
        <f>IFERROR(IF($C31&lt;1,"",BG$3*일별반별!BJ31),0)</f>
        <v/>
      </c>
      <c r="BH31" s="403" t="str">
        <f>IFERROR(IF($C31&lt;1,"",BH$3*일별반별!BK31),0)</f>
        <v/>
      </c>
      <c r="BI31" s="403" t="str">
        <f>IFERROR(IF($C31&lt;1,"",BI$3*일별반별!BL31),0)</f>
        <v/>
      </c>
      <c r="BJ31" s="403" t="str">
        <f>IFERROR(IF($C31&lt;1,"",BJ$3*일별반별!BM31),0)</f>
        <v/>
      </c>
      <c r="BK31" s="403" t="str">
        <f>IFERROR(IF($C31&lt;1,"",BK$3*일별반별!BN31),0)</f>
        <v/>
      </c>
      <c r="BL31" s="403" t="str">
        <f>IFERROR(IF($C31&lt;1,"",BL$3*일별반별!BH31),0)</f>
        <v/>
      </c>
      <c r="BM31" s="403" t="str">
        <f>IFERROR(IF($C31&lt;1,"",BM$3*일별반별!BP31),0)</f>
        <v/>
      </c>
      <c r="BN31" s="403" t="str">
        <f>IFERROR(IF($C31&lt;1,"",BN$3*일별반별!BQ31),0)</f>
        <v/>
      </c>
      <c r="BO31" s="403" t="str">
        <f>IFERROR(IF($C31&lt;1,"",BO$3*일별반별!BR31),0)</f>
        <v/>
      </c>
      <c r="BP31" s="403" t="str">
        <f>IFERROR(IF($C31&lt;1,"",BP$3*일별반별!BS31),0)</f>
        <v/>
      </c>
      <c r="BQ31" s="403" t="str">
        <f>IFERROR(IF($C31&lt;1,"",BQ$3*일별반별!BT31),0)</f>
        <v/>
      </c>
      <c r="BR31" s="337" t="str">
        <f>IFERROR(IF($C31&lt;1,"",BR$3*일별반별!BU31),0)</f>
        <v/>
      </c>
      <c r="BS31" s="337" t="str">
        <f>IFERROR(IF($C31&lt;1,"",BS$3*일별반별!BV31),0)</f>
        <v/>
      </c>
      <c r="BT31" s="337" t="str">
        <f>IFERROR(IF($C31&lt;1,"",BT$3*일별반별!BW31),0)</f>
        <v/>
      </c>
      <c r="BU31" s="337" t="str">
        <f>IFERROR(IF($C31&lt;1,"",BU$3*일별반별!BX31),0)</f>
        <v/>
      </c>
      <c r="BV31" s="337" t="str">
        <f>IFERROR(IF($C31&lt;1,"",BV$3*일별반별!BY31),0)</f>
        <v/>
      </c>
      <c r="BW31" s="337" t="str">
        <f>IFERROR(IF($C31&lt;1,"",BW$3*일별반별!BZ31),0)</f>
        <v/>
      </c>
      <c r="BX31" s="337" t="str">
        <f>IFERROR(IF($C31&lt;1,"",BX$3*일별반별!CA31),0)</f>
        <v/>
      </c>
      <c r="BY31" s="337" t="str">
        <f>IFERROR(IF($C31&lt;1,"",BY$3*일별반별!CB31),0)</f>
        <v/>
      </c>
      <c r="BZ31" s="337" t="str">
        <f>IFERROR(IF($C31&lt;1,"",BZ$3*일별반별!CC31),0)</f>
        <v/>
      </c>
      <c r="CA31" s="337" t="str">
        <f>IFERROR(IF($C31&lt;1,"",CA$3*일별반별!CD31),0)</f>
        <v/>
      </c>
      <c r="CB31" s="337" t="str">
        <f>IFERROR(IF($C31&lt;1,"",CB$3*일별반별!CE31),0)</f>
        <v/>
      </c>
      <c r="CC31" s="337" t="str">
        <f>IFERROR(IF($C31&lt;1,"",CC$3*일별반별!CF31),0)</f>
        <v/>
      </c>
      <c r="CD31" s="337" t="str">
        <f>IFERROR(IF($C31&lt;1,"",CD$3*일별반별!CG31),0)</f>
        <v/>
      </c>
      <c r="CE31" s="337" t="str">
        <f>IFERROR(IF($C31&lt;1,"",CE$3*일별반별!CH31),0)</f>
        <v/>
      </c>
      <c r="CF31" s="337" t="str">
        <f>IFERROR(IF($C31&lt;1,"",CF$3*일별반별!CI31),0)</f>
        <v/>
      </c>
      <c r="CG31" s="337" t="str">
        <f>IFERROR(IF($C31&lt;1,"",CG$3*일별반별!CJ31),0)</f>
        <v/>
      </c>
      <c r="CH31" s="337" t="str">
        <f>IFERROR(IF($C31&lt;1,"",CH$3*일별반별!CK31),0)</f>
        <v/>
      </c>
      <c r="CI31" s="337" t="str">
        <f>IFERROR(IF($C31&lt;1,"",CI$3*일별반별!CL31),0)</f>
        <v/>
      </c>
      <c r="CJ31" s="337" t="str">
        <f>IFERROR(IF($C31&lt;1,"",CJ$3*일별반별!CM31),0)</f>
        <v/>
      </c>
      <c r="CK31" s="337" t="str">
        <f>IFERROR(IF($C31&lt;1,"",CK$3*일별반별!CN31),0)</f>
        <v/>
      </c>
      <c r="CL31" s="337" t="str">
        <f>IFERROR(IF($C31&lt;1,"",CL$3*일별반별!CO31),0)</f>
        <v/>
      </c>
      <c r="CM31" s="337" t="str">
        <f>IFERROR(IF($C31&lt;1,"",CM$3*일별반별!CP31),0)</f>
        <v/>
      </c>
      <c r="CN31" s="337" t="str">
        <f>IFERROR(IF($C31&lt;1,"",CN$3*일별반별!CQ31),0)</f>
        <v/>
      </c>
      <c r="CO31" s="337" t="str">
        <f>IFERROR(IF($C31&lt;1,"",CO$3*일별반별!CR31),0)</f>
        <v/>
      </c>
      <c r="CP31" s="337" t="str">
        <f>IFERROR(IF($C31&lt;1,"",CP$3*일별반별!CS31),0)</f>
        <v/>
      </c>
      <c r="CQ31" s="337" t="str">
        <f>IFERROR(IF($C31&lt;1,"",CQ$3*일별반별!CT31),0)</f>
        <v/>
      </c>
      <c r="CR31" s="420" t="str">
        <f>IFERROR(IF($C31&lt;1,"",CR$3*일별반별!CU31),0)</f>
        <v/>
      </c>
      <c r="CS31" s="420" t="str">
        <f>IFERROR(IF($C31&lt;1,"",CS$3*일별반별!CV31),0)</f>
        <v/>
      </c>
      <c r="CT31" s="337" t="str">
        <f>IFERROR(IF($C31&lt;1,"",CT$3*일별반별!CW31),0)</f>
        <v/>
      </c>
      <c r="CU31" s="337" t="str">
        <f>IFERROR(IF($C31&lt;1,"",CU$3*일별반별!CX31),0)</f>
        <v/>
      </c>
      <c r="CV31" s="337" t="str">
        <f>IFERROR(IF($C31&lt;1,"",CV$3*일별반별!CY31),0)</f>
        <v/>
      </c>
      <c r="CW31" s="337" t="str">
        <f>IFERROR(IF($C31&lt;1,"",CW$3*일별반별!CZ31),0)</f>
        <v/>
      </c>
      <c r="CX31" s="337" t="str">
        <f>IFERROR(IF($C31&lt;1,"",CX$3*일별반별!DA31),0)</f>
        <v/>
      </c>
      <c r="CY31" s="316" t="str">
        <f>IF(C31&lt;1,"",(CY$3*'09월 조업일지'!AV$7))</f>
        <v/>
      </c>
      <c r="CZ31" s="316" t="str">
        <f t="shared" si="1"/>
        <v/>
      </c>
      <c r="DA31" s="316" t="str">
        <f t="shared" si="1"/>
        <v/>
      </c>
      <c r="DB31" s="316" t="str">
        <f t="shared" si="1"/>
        <v/>
      </c>
      <c r="DC31" s="316"/>
      <c r="DD31" s="419"/>
    </row>
    <row r="32" spans="1:108" ht="15" customHeight="1">
      <c r="A32" s="274">
        <f t="shared" si="2"/>
        <v>44018</v>
      </c>
      <c r="B32" s="275" t="s">
        <v>9</v>
      </c>
      <c r="C32" s="201">
        <f>COUNTIFS('09월 조업일지'!$A$12:$A$952,A31,'09월 조업일지'!$E$12:$E$952,B32)</f>
        <v>0</v>
      </c>
      <c r="D32" s="314">
        <f>IF(C32&lt;1,0,(SUM(E32:CX32)/(일별반별!BV32-1.5)+(CY32+CZ32+DA32+DB32)))</f>
        <v>0</v>
      </c>
      <c r="E32" s="278"/>
      <c r="F32" s="281"/>
      <c r="G32" s="282"/>
      <c r="H32" s="283"/>
      <c r="I32" s="283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326"/>
      <c r="U32" s="395" t="str">
        <f>IFERROR(IF($C32&lt;1,"",U$3*일별반별!X32),0)</f>
        <v/>
      </c>
      <c r="V32" s="395" t="str">
        <f>IFERROR(IF($C32&lt;1,"",V$3*일별반별!Y32),0)</f>
        <v/>
      </c>
      <c r="W32" s="395" t="str">
        <f>IFERROR(IF($C32&lt;1,"",W$3*일별반별!Z32),0)</f>
        <v/>
      </c>
      <c r="X32" s="208" t="str">
        <f>IFERROR(IF($C32&lt;1,"",X$3*일별반별!AA32),0)</f>
        <v/>
      </c>
      <c r="Y32" s="208" t="str">
        <f>IFERROR(IF($C32&lt;1,"",Y$3*일별반별!AB32),0)</f>
        <v/>
      </c>
      <c r="Z32" s="208" t="str">
        <f>IFERROR(IF($C32&lt;1,"",Z$3*일별반별!AC32),0)</f>
        <v/>
      </c>
      <c r="AA32" s="395" t="str">
        <f>IFERROR(IF($C32&lt;1,"",AA$3*일별반별!AD32),0)</f>
        <v/>
      </c>
      <c r="AB32" s="395" t="str">
        <f>IFERROR(IF($C32&lt;1,"",AB$3*일별반별!AE32),0)</f>
        <v/>
      </c>
      <c r="AC32" s="208" t="str">
        <f>IFERROR(IF($C32&lt;1,"",AC$3*일별반별!AF32),0)</f>
        <v/>
      </c>
      <c r="AD32" s="208" t="str">
        <f>IFERROR(IF($C32&lt;1,"",AD$3*일별반별!AG32),0)</f>
        <v/>
      </c>
      <c r="AE32" s="208" t="str">
        <f>IFERROR(IF($C32&lt;1,"",AE$3*일별반별!AH32),0)</f>
        <v/>
      </c>
      <c r="AF32" s="395" t="str">
        <f>IFERROR(IF($C32&lt;1,"",AF$3*일별반별!AI32),0)</f>
        <v/>
      </c>
      <c r="AG32" s="395" t="str">
        <f>IFERROR(IF($C32&lt;1,"",AG$3*일별반별!AJ32),0)</f>
        <v/>
      </c>
      <c r="AH32" s="395" t="str">
        <f>IFERROR(IF($C32&lt;1,"",AH$3*일별반별!AK32),0)</f>
        <v/>
      </c>
      <c r="AI32" s="395" t="str">
        <f>IFERROR(IF($C32&lt;1,"",AI$3*일별반별!AL32),0)</f>
        <v/>
      </c>
      <c r="AJ32" s="395" t="str">
        <f>IFERROR(IF($C32&lt;1,"",AJ$3*일별반별!AM32),0)</f>
        <v/>
      </c>
      <c r="AK32" s="395" t="str">
        <f>IFERROR(IF($C32&lt;1,"",AK$3*일별반별!AN32),0)</f>
        <v/>
      </c>
      <c r="AL32" s="395" t="str">
        <f>IFERROR(IF($C32&lt;1,"",AL$3*일별반별!AO32),0)</f>
        <v/>
      </c>
      <c r="AM32" s="395" t="str">
        <f>IFERROR(IF($C32&lt;1,"",AM$3*일별반별!AP32),0)</f>
        <v/>
      </c>
      <c r="AN32" s="395" t="str">
        <f>IFERROR(IF($C32&lt;1,"",AN$3*일별반별!AQ32),0)</f>
        <v/>
      </c>
      <c r="AO32" s="395" t="str">
        <f>IFERROR(IF($C32&lt;1,"",AO$3*일별반별!AR32),0)</f>
        <v/>
      </c>
      <c r="AP32" s="347" t="str">
        <f>IFERROR(IF($C32&lt;1,"",AP$3*일별반별!AS32),0)</f>
        <v/>
      </c>
      <c r="AQ32" s="347" t="str">
        <f>IFERROR(IF($C32&lt;1,"",AQ$3*일별반별!AT32),0)</f>
        <v/>
      </c>
      <c r="AR32" s="316" t="str">
        <f>IFERROR(IF($C32&lt;1,"",AR$3*일별반별!AU32),0)</f>
        <v/>
      </c>
      <c r="AS32" s="401" t="str">
        <f>IFERROR(IF($C32&lt;1,"",AS$3*일별반별!AV32),0)</f>
        <v/>
      </c>
      <c r="AT32" s="401" t="str">
        <f>IFERROR(IF($C32&lt;1,"",AT$3*일별반별!AW32),0)</f>
        <v/>
      </c>
      <c r="AU32" s="401" t="str">
        <f>IFERROR(IF($C32&lt;1,"",AU$3*일별반별!AX32),0)</f>
        <v/>
      </c>
      <c r="AV32" s="401" t="str">
        <f>IFERROR(IF($C32&lt;1,"",AV$3*일별반별!AY32),0)</f>
        <v/>
      </c>
      <c r="AW32" s="401" t="str">
        <f>IFERROR(IF($C32&lt;1,"",AW$3*일별반별!AZ32),0)</f>
        <v/>
      </c>
      <c r="AX32" s="401" t="str">
        <f>IFERROR(IF($C32&lt;1,"",AX$3*일별반별!BA32),0)</f>
        <v/>
      </c>
      <c r="AY32" s="401" t="str">
        <f>IFERROR(IF($C32&lt;1,"",AY$3*일별반별!BB32),0)</f>
        <v/>
      </c>
      <c r="AZ32" s="401" t="str">
        <f>IFERROR(IF($C32&lt;1,"",AZ$3*일별반별!BC32),0)</f>
        <v/>
      </c>
      <c r="BA32" s="401" t="str">
        <f>IFERROR(IF($C32&lt;1,"",BA$3*일별반별!BD32),0)</f>
        <v/>
      </c>
      <c r="BB32" s="402" t="str">
        <f>IFERROR(IF($C32&lt;1,"",BB$3*일별반별!BE32),0)</f>
        <v/>
      </c>
      <c r="BC32" s="402" t="str">
        <f>IFERROR(IF($C32&lt;1,"",BC$3*일별반별!BF32),0)</f>
        <v/>
      </c>
      <c r="BD32" s="402" t="str">
        <f>IFERROR(IF($C32&lt;1,"",BD$3*일별반별!BG32),0)</f>
        <v/>
      </c>
      <c r="BE32" s="402" t="str">
        <f>IFERROR(IF($C32&lt;1,"",BE$3*일별반별!BH32),0)</f>
        <v/>
      </c>
      <c r="BF32" s="402" t="str">
        <f>IFERROR(IF($C32&lt;1,"",BF$3*일별반별!BI32),0)</f>
        <v/>
      </c>
      <c r="BG32" s="402" t="str">
        <f>IFERROR(IF($C32&lt;1,"",BG$3*일별반별!BJ32),0)</f>
        <v/>
      </c>
      <c r="BH32" s="402" t="str">
        <f>IFERROR(IF($C32&lt;1,"",BH$3*일별반별!BK32),0)</f>
        <v/>
      </c>
      <c r="BI32" s="402" t="str">
        <f>IFERROR(IF($C32&lt;1,"",BI$3*일별반별!BL32),0)</f>
        <v/>
      </c>
      <c r="BJ32" s="402" t="str">
        <f>IFERROR(IF($C32&lt;1,"",BJ$3*일별반별!BM32),0)</f>
        <v/>
      </c>
      <c r="BK32" s="402" t="str">
        <f>IFERROR(IF($C32&lt;1,"",BK$3*일별반별!BN32),0)</f>
        <v/>
      </c>
      <c r="BL32" s="402" t="str">
        <f>IFERROR(IF($C32&lt;1,"",BL$3*일별반별!BH32),0)</f>
        <v/>
      </c>
      <c r="BM32" s="402" t="str">
        <f>IFERROR(IF($C32&lt;1,"",BM$3*일별반별!BP32),0)</f>
        <v/>
      </c>
      <c r="BN32" s="401" t="str">
        <f>IFERROR(IF($C32&lt;1,"",BN$3*일별반별!BQ32),0)</f>
        <v/>
      </c>
      <c r="BO32" s="401" t="str">
        <f>IFERROR(IF($C32&lt;1,"",BO$3*일별반별!BR32),0)</f>
        <v/>
      </c>
      <c r="BP32" s="401" t="str">
        <f>IFERROR(IF($C32&lt;1,"",BP$3*일별반별!BS32),0)</f>
        <v/>
      </c>
      <c r="BQ32" s="401" t="str">
        <f>IFERROR(IF($C32&lt;1,"",BQ$3*일별반별!BT32),0)</f>
        <v/>
      </c>
      <c r="BR32" s="417" t="str">
        <f>IFERROR(IF($C32&lt;1,"",BR$3*일별반별!BU32),0)</f>
        <v/>
      </c>
      <c r="BS32" s="417" t="str">
        <f>IFERROR(IF($C32&lt;1,"",BS$3*일별반별!BV32),0)</f>
        <v/>
      </c>
      <c r="BT32" s="417" t="str">
        <f>IFERROR(IF($C32&lt;1,"",BT$3*일별반별!BW32),0)</f>
        <v/>
      </c>
      <c r="BU32" s="316" t="str">
        <f>IFERROR(IF($C32&lt;1,"",BU$3*일별반별!BX32),0)</f>
        <v/>
      </c>
      <c r="BV32" s="316" t="str">
        <f>IFERROR(IF($C32&lt;1,"",BV$3*일별반별!BY32),0)</f>
        <v/>
      </c>
      <c r="BW32" s="316" t="str">
        <f>IFERROR(IF($C32&lt;1,"",BW$3*일별반별!BZ32),0)</f>
        <v/>
      </c>
      <c r="BX32" s="316" t="str">
        <f>IFERROR(IF($C32&lt;1,"",BX$3*일별반별!CA32),0)</f>
        <v/>
      </c>
      <c r="BY32" s="316" t="str">
        <f>IFERROR(IF($C32&lt;1,"",BY$3*일별반별!CB32),0)</f>
        <v/>
      </c>
      <c r="BZ32" s="316" t="str">
        <f>IFERROR(IF($C32&lt;1,"",BZ$3*일별반별!CC32),0)</f>
        <v/>
      </c>
      <c r="CA32" s="316" t="str">
        <f>IFERROR(IF($C32&lt;1,"",CA$3*일별반별!CD32),0)</f>
        <v/>
      </c>
      <c r="CB32" s="316" t="str">
        <f>IFERROR(IF($C32&lt;1,"",CB$3*일별반별!CE32),0)</f>
        <v/>
      </c>
      <c r="CC32" s="316" t="str">
        <f>IFERROR(IF($C32&lt;1,"",CC$3*일별반별!CF32),0)</f>
        <v/>
      </c>
      <c r="CD32" s="316" t="str">
        <f>IFERROR(IF($C32&lt;1,"",CD$3*일별반별!CG32),0)</f>
        <v/>
      </c>
      <c r="CE32" s="316" t="str">
        <f>IFERROR(IF($C32&lt;1,"",CE$3*일별반별!CH32),0)</f>
        <v/>
      </c>
      <c r="CF32" s="316" t="str">
        <f>IFERROR(IF($C32&lt;1,"",CF$3*일별반별!CI32),0)</f>
        <v/>
      </c>
      <c r="CG32" s="316" t="str">
        <f>IFERROR(IF($C32&lt;1,"",CG$3*일별반별!CJ32),0)</f>
        <v/>
      </c>
      <c r="CH32" s="316" t="str">
        <f>IFERROR(IF($C32&lt;1,"",CH$3*일별반별!CK32),0)</f>
        <v/>
      </c>
      <c r="CI32" s="316" t="str">
        <f>IFERROR(IF($C32&lt;1,"",CI$3*일별반별!CL32),0)</f>
        <v/>
      </c>
      <c r="CJ32" s="316" t="str">
        <f>IFERROR(IF($C32&lt;1,"",CJ$3*일별반별!CM32),0)</f>
        <v/>
      </c>
      <c r="CK32" s="316" t="str">
        <f>IFERROR(IF($C32&lt;1,"",CK$3*일별반별!CN32),0)</f>
        <v/>
      </c>
      <c r="CL32" s="316" t="str">
        <f>IFERROR(IF($C32&lt;1,"",CL$3*일별반별!CO32),0)</f>
        <v/>
      </c>
      <c r="CM32" s="316" t="str">
        <f>IFERROR(IF($C32&lt;1,"",CM$3*일별반별!CP32),0)</f>
        <v/>
      </c>
      <c r="CN32" s="316" t="str">
        <f>IFERROR(IF($C32&lt;1,"",CN$3*일별반별!CQ32),0)</f>
        <v/>
      </c>
      <c r="CO32" s="316" t="str">
        <f>IFERROR(IF($C32&lt;1,"",CO$3*일별반별!CR32),0)</f>
        <v/>
      </c>
      <c r="CP32" s="316" t="str">
        <f>IFERROR(IF($C32&lt;1,"",CP$3*일별반별!CS32),0)</f>
        <v/>
      </c>
      <c r="CQ32" s="316" t="str">
        <f>IFERROR(IF($C32&lt;1,"",CQ$3*일별반별!CT32),0)</f>
        <v/>
      </c>
      <c r="CR32" s="418" t="str">
        <f>IFERROR(IF($C32&lt;1,"",CR$3*일별반별!CU32),0)</f>
        <v/>
      </c>
      <c r="CS32" s="418" t="str">
        <f>IFERROR(IF($C32&lt;1,"",CS$3*일별반별!CV32),0)</f>
        <v/>
      </c>
      <c r="CT32" s="316" t="str">
        <f>IFERROR(IF($C32&lt;1,"",CT$3*일별반별!CW32),0)</f>
        <v/>
      </c>
      <c r="CU32" s="316" t="str">
        <f>IFERROR(IF($C32&lt;1,"",CU$3*일별반별!CX32),0)</f>
        <v/>
      </c>
      <c r="CV32" s="316" t="str">
        <f>IFERROR(IF($C32&lt;1,"",CV$3*일별반별!CY32),0)</f>
        <v/>
      </c>
      <c r="CW32" s="316" t="str">
        <f>IFERROR(IF($C32&lt;1,"",CW$3*일별반별!CZ32),0)</f>
        <v/>
      </c>
      <c r="CX32" s="316" t="str">
        <f>IFERROR(IF($C32&lt;1,"",CX$3*일별반별!DA32),0)</f>
        <v/>
      </c>
      <c r="CY32" s="316" t="str">
        <f>IF(C32&lt;1,"",(CY$3*'09월 조업일지'!AV$7))</f>
        <v/>
      </c>
      <c r="CZ32" s="316" t="str">
        <f t="shared" si="1"/>
        <v/>
      </c>
      <c r="DA32" s="316" t="str">
        <f t="shared" si="1"/>
        <v/>
      </c>
      <c r="DB32" s="316" t="str">
        <f t="shared" si="1"/>
        <v/>
      </c>
      <c r="DC32" s="316"/>
      <c r="DD32" s="419"/>
    </row>
    <row r="33" spans="1:108" ht="15" customHeight="1">
      <c r="A33" s="274">
        <f t="shared" si="2"/>
        <v>44018</v>
      </c>
      <c r="B33" s="275" t="s">
        <v>100</v>
      </c>
      <c r="C33" s="201">
        <f>COUNTIFS('09월 조업일지'!$A$12:$A$952,A31,'09월 조업일지'!$E$12:$E$952,B33)</f>
        <v>0</v>
      </c>
      <c r="D33" s="314">
        <f>IF(C33&lt;1,0,(SUM(E33:CX33)/(일별반별!BV33-1.5)+(CY33+CZ33+DA33+DB33)))</f>
        <v>0</v>
      </c>
      <c r="E33" s="278"/>
      <c r="F33" s="281"/>
      <c r="G33" s="282"/>
      <c r="H33" s="283"/>
      <c r="I33" s="283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326"/>
      <c r="U33" s="395" t="str">
        <f>IFERROR(IF($C33&lt;1,"",U$3*일별반별!X33),0)</f>
        <v/>
      </c>
      <c r="V33" s="395" t="str">
        <f>IFERROR(IF($C33&lt;1,"",V$3*일별반별!Y33),0)</f>
        <v/>
      </c>
      <c r="W33" s="395" t="str">
        <f>IFERROR(IF($C33&lt;1,"",W$3*일별반별!Z33),0)</f>
        <v/>
      </c>
      <c r="X33" s="208" t="str">
        <f>IFERROR(IF($C33&lt;1,"",X$3*일별반별!AA33),0)</f>
        <v/>
      </c>
      <c r="Y33" s="208" t="str">
        <f>IFERROR(IF($C33&lt;1,"",Y$3*일별반별!AB33),0)</f>
        <v/>
      </c>
      <c r="Z33" s="208" t="str">
        <f>IFERROR(IF($C33&lt;1,"",Z$3*일별반별!AC33),0)</f>
        <v/>
      </c>
      <c r="AA33" s="395" t="str">
        <f>IFERROR(IF($C33&lt;1,"",AA$3*일별반별!AD33),0)</f>
        <v/>
      </c>
      <c r="AB33" s="395" t="str">
        <f>IFERROR(IF($C33&lt;1,"",AB$3*일별반별!AE33),0)</f>
        <v/>
      </c>
      <c r="AC33" s="208" t="str">
        <f>IFERROR(IF($C33&lt;1,"",AC$3*일별반별!AF33),0)</f>
        <v/>
      </c>
      <c r="AD33" s="208" t="str">
        <f>IFERROR(IF($C33&lt;1,"",AD$3*일별반별!AG33),0)</f>
        <v/>
      </c>
      <c r="AE33" s="208" t="str">
        <f>IFERROR(IF($C33&lt;1,"",AE$3*일별반별!AH33),0)</f>
        <v/>
      </c>
      <c r="AF33" s="395" t="str">
        <f>IFERROR(IF($C33&lt;1,"",AF$3*일별반별!AI33),0)</f>
        <v/>
      </c>
      <c r="AG33" s="395" t="str">
        <f>IFERROR(IF($C33&lt;1,"",AG$3*일별반별!AJ33),0)</f>
        <v/>
      </c>
      <c r="AH33" s="395" t="str">
        <f>IFERROR(IF($C33&lt;1,"",AH$3*일별반별!AK33),0)</f>
        <v/>
      </c>
      <c r="AI33" s="395" t="str">
        <f>IFERROR(IF($C33&lt;1,"",AI$3*일별반별!AL33),0)</f>
        <v/>
      </c>
      <c r="AJ33" s="395" t="str">
        <f>IFERROR(IF($C33&lt;1,"",AJ$3*일별반별!AM33),0)</f>
        <v/>
      </c>
      <c r="AK33" s="395" t="str">
        <f>IFERROR(IF($C33&lt;1,"",AK$3*일별반별!AN33),0)</f>
        <v/>
      </c>
      <c r="AL33" s="395" t="str">
        <f>IFERROR(IF($C33&lt;1,"",AL$3*일별반별!AO33),0)</f>
        <v/>
      </c>
      <c r="AM33" s="395" t="str">
        <f>IFERROR(IF($C33&lt;1,"",AM$3*일별반별!AP33),0)</f>
        <v/>
      </c>
      <c r="AN33" s="395" t="str">
        <f>IFERROR(IF($C33&lt;1,"",AN$3*일별반별!AQ33),0)</f>
        <v/>
      </c>
      <c r="AO33" s="395" t="str">
        <f>IFERROR(IF($C33&lt;1,"",AO$3*일별반별!AR33),0)</f>
        <v/>
      </c>
      <c r="AP33" s="347" t="str">
        <f>IFERROR(IF($C33&lt;1,"",AP$3*일별반별!AS33),0)</f>
        <v/>
      </c>
      <c r="AQ33" s="347" t="str">
        <f>IFERROR(IF($C33&lt;1,"",AQ$3*일별반별!AT33),0)</f>
        <v/>
      </c>
      <c r="AR33" s="316" t="str">
        <f>IFERROR(IF($C33&lt;1,"",AR$3*일별반별!AU33),0)</f>
        <v/>
      </c>
      <c r="AS33" s="401" t="str">
        <f>IFERROR(IF($C33&lt;1,"",AS$3*일별반별!AV33),0)</f>
        <v/>
      </c>
      <c r="AT33" s="401" t="str">
        <f>IFERROR(IF($C33&lt;1,"",AT$3*일별반별!AW33),0)</f>
        <v/>
      </c>
      <c r="AU33" s="401" t="str">
        <f>IFERROR(IF($C33&lt;1,"",AU$3*일별반별!AX33),0)</f>
        <v/>
      </c>
      <c r="AV33" s="401" t="str">
        <f>IFERROR(IF($C33&lt;1,"",AV$3*일별반별!AY33),0)</f>
        <v/>
      </c>
      <c r="AW33" s="401" t="str">
        <f>IFERROR(IF($C33&lt;1,"",AW$3*일별반별!AZ33),0)</f>
        <v/>
      </c>
      <c r="AX33" s="401" t="str">
        <f>IFERROR(IF($C33&lt;1,"",AX$3*일별반별!BA33),0)</f>
        <v/>
      </c>
      <c r="AY33" s="401" t="str">
        <f>IFERROR(IF($C33&lt;1,"",AY$3*일별반별!BB33),0)</f>
        <v/>
      </c>
      <c r="AZ33" s="401" t="str">
        <f>IFERROR(IF($C33&lt;1,"",AZ$3*일별반별!BC33),0)</f>
        <v/>
      </c>
      <c r="BA33" s="401" t="str">
        <f>IFERROR(IF($C33&lt;1,"",BA$3*일별반별!BD33),0)</f>
        <v/>
      </c>
      <c r="BB33" s="402" t="str">
        <f>IFERROR(IF($C33&lt;1,"",BB$3*일별반별!BE33),0)</f>
        <v/>
      </c>
      <c r="BC33" s="402" t="str">
        <f>IFERROR(IF($C33&lt;1,"",BC$3*일별반별!BF33),0)</f>
        <v/>
      </c>
      <c r="BD33" s="402" t="str">
        <f>IFERROR(IF($C33&lt;1,"",BD$3*일별반별!BG33),0)</f>
        <v/>
      </c>
      <c r="BE33" s="402" t="str">
        <f>IFERROR(IF($C33&lt;1,"",BE$3*일별반별!BH33),0)</f>
        <v/>
      </c>
      <c r="BF33" s="402" t="str">
        <f>IFERROR(IF($C33&lt;1,"",BF$3*일별반별!BI33),0)</f>
        <v/>
      </c>
      <c r="BG33" s="402" t="str">
        <f>IFERROR(IF($C33&lt;1,"",BG$3*일별반별!BJ33),0)</f>
        <v/>
      </c>
      <c r="BH33" s="402" t="str">
        <f>IFERROR(IF($C33&lt;1,"",BH$3*일별반별!BK33),0)</f>
        <v/>
      </c>
      <c r="BI33" s="402" t="str">
        <f>IFERROR(IF($C33&lt;1,"",BI$3*일별반별!BL33),0)</f>
        <v/>
      </c>
      <c r="BJ33" s="402" t="str">
        <f>IFERROR(IF($C33&lt;1,"",BJ$3*일별반별!BM33),0)</f>
        <v/>
      </c>
      <c r="BK33" s="402" t="str">
        <f>IFERROR(IF($C33&lt;1,"",BK$3*일별반별!BN33),0)</f>
        <v/>
      </c>
      <c r="BL33" s="402" t="str">
        <f>IFERROR(IF($C33&lt;1,"",BL$3*일별반별!BH33),0)</f>
        <v/>
      </c>
      <c r="BM33" s="402" t="str">
        <f>IFERROR(IF($C33&lt;1,"",BM$3*일별반별!BP33),0)</f>
        <v/>
      </c>
      <c r="BN33" s="401" t="str">
        <f>IFERROR(IF($C33&lt;1,"",BN$3*일별반별!BQ33),0)</f>
        <v/>
      </c>
      <c r="BO33" s="401" t="str">
        <f>IFERROR(IF($C33&lt;1,"",BO$3*일별반별!BR33),0)</f>
        <v/>
      </c>
      <c r="BP33" s="401" t="str">
        <f>IFERROR(IF($C33&lt;1,"",BP$3*일별반별!BS33),0)</f>
        <v/>
      </c>
      <c r="BQ33" s="401" t="str">
        <f>IFERROR(IF($C33&lt;1,"",BQ$3*일별반별!BT33),0)</f>
        <v/>
      </c>
      <c r="BR33" s="417" t="str">
        <f>IFERROR(IF($C33&lt;1,"",BR$3*일별반별!BU33),0)</f>
        <v/>
      </c>
      <c r="BS33" s="417" t="str">
        <f>IFERROR(IF($C33&lt;1,"",BS$3*일별반별!BV33),0)</f>
        <v/>
      </c>
      <c r="BT33" s="417" t="str">
        <f>IFERROR(IF($C33&lt;1,"",BT$3*일별반별!BW33),0)</f>
        <v/>
      </c>
      <c r="BU33" s="316" t="str">
        <f>IFERROR(IF($C33&lt;1,"",BU$3*일별반별!BX33),0)</f>
        <v/>
      </c>
      <c r="BV33" s="316" t="str">
        <f>IFERROR(IF($C33&lt;1,"",BV$3*일별반별!BY33),0)</f>
        <v/>
      </c>
      <c r="BW33" s="316" t="str">
        <f>IFERROR(IF($C33&lt;1,"",BW$3*일별반별!BZ33),0)</f>
        <v/>
      </c>
      <c r="BX33" s="316" t="str">
        <f>IFERROR(IF($C33&lt;1,"",BX$3*일별반별!CA33),0)</f>
        <v/>
      </c>
      <c r="BY33" s="316" t="str">
        <f>IFERROR(IF($C33&lt;1,"",BY$3*일별반별!CB33),0)</f>
        <v/>
      </c>
      <c r="BZ33" s="316" t="str">
        <f>IFERROR(IF($C33&lt;1,"",BZ$3*일별반별!CC33),0)</f>
        <v/>
      </c>
      <c r="CA33" s="316" t="str">
        <f>IFERROR(IF($C33&lt;1,"",CA$3*일별반별!CD33),0)</f>
        <v/>
      </c>
      <c r="CB33" s="316" t="str">
        <f>IFERROR(IF($C33&lt;1,"",CB$3*일별반별!CE33),0)</f>
        <v/>
      </c>
      <c r="CC33" s="316" t="str">
        <f>IFERROR(IF($C33&lt;1,"",CC$3*일별반별!CF33),0)</f>
        <v/>
      </c>
      <c r="CD33" s="316" t="str">
        <f>IFERROR(IF($C33&lt;1,"",CD$3*일별반별!CG33),0)</f>
        <v/>
      </c>
      <c r="CE33" s="316" t="str">
        <f>IFERROR(IF($C33&lt;1,"",CE$3*일별반별!CH33),0)</f>
        <v/>
      </c>
      <c r="CF33" s="316" t="str">
        <f>IFERROR(IF($C33&lt;1,"",CF$3*일별반별!CI33),0)</f>
        <v/>
      </c>
      <c r="CG33" s="316" t="str">
        <f>IFERROR(IF($C33&lt;1,"",CG$3*일별반별!CJ33),0)</f>
        <v/>
      </c>
      <c r="CH33" s="316" t="str">
        <f>IFERROR(IF($C33&lt;1,"",CH$3*일별반별!CK33),0)</f>
        <v/>
      </c>
      <c r="CI33" s="316" t="str">
        <f>IFERROR(IF($C33&lt;1,"",CI$3*일별반별!CL33),0)</f>
        <v/>
      </c>
      <c r="CJ33" s="316" t="str">
        <f>IFERROR(IF($C33&lt;1,"",CJ$3*일별반별!CM33),0)</f>
        <v/>
      </c>
      <c r="CK33" s="316" t="str">
        <f>IFERROR(IF($C33&lt;1,"",CK$3*일별반별!CN33),0)</f>
        <v/>
      </c>
      <c r="CL33" s="316" t="str">
        <f>IFERROR(IF($C33&lt;1,"",CL$3*일별반별!CO33),0)</f>
        <v/>
      </c>
      <c r="CM33" s="316" t="str">
        <f>IFERROR(IF($C33&lt;1,"",CM$3*일별반별!CP33),0)</f>
        <v/>
      </c>
      <c r="CN33" s="316" t="str">
        <f>IFERROR(IF($C33&lt;1,"",CN$3*일별반별!CQ33),0)</f>
        <v/>
      </c>
      <c r="CO33" s="316" t="str">
        <f>IFERROR(IF($C33&lt;1,"",CO$3*일별반별!CR33),0)</f>
        <v/>
      </c>
      <c r="CP33" s="316" t="str">
        <f>IFERROR(IF($C33&lt;1,"",CP$3*일별반별!CS33),0)</f>
        <v/>
      </c>
      <c r="CQ33" s="316" t="str">
        <f>IFERROR(IF($C33&lt;1,"",CQ$3*일별반별!CT33),0)</f>
        <v/>
      </c>
      <c r="CR33" s="418" t="str">
        <f>IFERROR(IF($C33&lt;1,"",CR$3*일별반별!CU33),0)</f>
        <v/>
      </c>
      <c r="CS33" s="418" t="str">
        <f>IFERROR(IF($C33&lt;1,"",CS$3*일별반별!CV33),0)</f>
        <v/>
      </c>
      <c r="CT33" s="316" t="str">
        <f>IFERROR(IF($C33&lt;1,"",CT$3*일별반별!CW33),0)</f>
        <v/>
      </c>
      <c r="CU33" s="316" t="str">
        <f>IFERROR(IF($C33&lt;1,"",CU$3*일별반별!CX33),0)</f>
        <v/>
      </c>
      <c r="CV33" s="316" t="str">
        <f>IFERROR(IF($C33&lt;1,"",CV$3*일별반별!CY33),0)</f>
        <v/>
      </c>
      <c r="CW33" s="316" t="str">
        <f>IFERROR(IF($C33&lt;1,"",CW$3*일별반별!CZ33),0)</f>
        <v/>
      </c>
      <c r="CX33" s="316" t="str">
        <f>IFERROR(IF($C33&lt;1,"",CX$3*일별반별!DA33),0)</f>
        <v/>
      </c>
      <c r="CY33" s="316" t="str">
        <f>IF(C33&lt;1,"",(CY$3*'09월 조업일지'!AV$7))</f>
        <v/>
      </c>
      <c r="CZ33" s="316" t="str">
        <f t="shared" si="1"/>
        <v/>
      </c>
      <c r="DA33" s="316" t="str">
        <f t="shared" si="1"/>
        <v/>
      </c>
      <c r="DB33" s="316" t="str">
        <f t="shared" si="1"/>
        <v/>
      </c>
      <c r="DC33" s="316"/>
      <c r="DD33" s="419"/>
    </row>
    <row r="34" spans="1:108" ht="15" customHeight="1">
      <c r="A34" s="274">
        <f t="shared" si="2"/>
        <v>44018</v>
      </c>
      <c r="B34" s="275" t="s">
        <v>10</v>
      </c>
      <c r="C34" s="201">
        <f>COUNTIFS('09월 조업일지'!$A$12:$A$952,A31,'09월 조업일지'!$E$12:$E$952,B34)</f>
        <v>0</v>
      </c>
      <c r="D34" s="314">
        <f>IF(C34&lt;1,0,(SUM(E34:CX34)/(일별반별!BV34-1.5)+(CY34+CZ34+DA34+DB34)))</f>
        <v>0</v>
      </c>
      <c r="E34" s="278"/>
      <c r="F34" s="281"/>
      <c r="G34" s="282"/>
      <c r="H34" s="283"/>
      <c r="I34" s="283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326"/>
      <c r="U34" s="395" t="str">
        <f>IFERROR(IF($C34&lt;1,"",U$3*일별반별!X34),0)</f>
        <v/>
      </c>
      <c r="V34" s="395" t="str">
        <f>IFERROR(IF($C34&lt;1,"",V$3*일별반별!Y34),0)</f>
        <v/>
      </c>
      <c r="W34" s="395" t="str">
        <f>IFERROR(IF($C34&lt;1,"",W$3*일별반별!Z34),0)</f>
        <v/>
      </c>
      <c r="X34" s="208" t="str">
        <f>IFERROR(IF($C34&lt;1,"",X$3*일별반별!AA34),0)</f>
        <v/>
      </c>
      <c r="Y34" s="208" t="str">
        <f>IFERROR(IF($C34&lt;1,"",Y$3*일별반별!AB34),0)</f>
        <v/>
      </c>
      <c r="Z34" s="208" t="str">
        <f>IFERROR(IF($C34&lt;1,"",Z$3*일별반별!AC34),0)</f>
        <v/>
      </c>
      <c r="AA34" s="395" t="str">
        <f>IFERROR(IF($C34&lt;1,"",AA$3*일별반별!AD34),0)</f>
        <v/>
      </c>
      <c r="AB34" s="395" t="str">
        <f>IFERROR(IF($C34&lt;1,"",AB$3*일별반별!AE34),0)</f>
        <v/>
      </c>
      <c r="AC34" s="208" t="str">
        <f>IFERROR(IF($C34&lt;1,"",AC$3*일별반별!AF34),0)</f>
        <v/>
      </c>
      <c r="AD34" s="208" t="str">
        <f>IFERROR(IF($C34&lt;1,"",AD$3*일별반별!AG34),0)</f>
        <v/>
      </c>
      <c r="AE34" s="208" t="str">
        <f>IFERROR(IF($C34&lt;1,"",AE$3*일별반별!AH34),0)</f>
        <v/>
      </c>
      <c r="AF34" s="395" t="str">
        <f>IFERROR(IF($C34&lt;1,"",AF$3*일별반별!AI34),0)</f>
        <v/>
      </c>
      <c r="AG34" s="395" t="str">
        <f>IFERROR(IF($C34&lt;1,"",AG$3*일별반별!AJ34),0)</f>
        <v/>
      </c>
      <c r="AH34" s="395" t="str">
        <f>IFERROR(IF($C34&lt;1,"",AH$3*일별반별!AK34),0)</f>
        <v/>
      </c>
      <c r="AI34" s="395" t="str">
        <f>IFERROR(IF($C34&lt;1,"",AI$3*일별반별!AL34),0)</f>
        <v/>
      </c>
      <c r="AJ34" s="395" t="str">
        <f>IFERROR(IF($C34&lt;1,"",AJ$3*일별반별!AM34),0)</f>
        <v/>
      </c>
      <c r="AK34" s="395" t="str">
        <f>IFERROR(IF($C34&lt;1,"",AK$3*일별반별!AN34),0)</f>
        <v/>
      </c>
      <c r="AL34" s="395" t="str">
        <f>IFERROR(IF($C34&lt;1,"",AL$3*일별반별!AO34),0)</f>
        <v/>
      </c>
      <c r="AM34" s="395" t="str">
        <f>IFERROR(IF($C34&lt;1,"",AM$3*일별반별!AP34),0)</f>
        <v/>
      </c>
      <c r="AN34" s="395" t="str">
        <f>IFERROR(IF($C34&lt;1,"",AN$3*일별반별!AQ34),0)</f>
        <v/>
      </c>
      <c r="AO34" s="395" t="str">
        <f>IFERROR(IF($C34&lt;1,"",AO$3*일별반별!AR34),0)</f>
        <v/>
      </c>
      <c r="AP34" s="347" t="str">
        <f>IFERROR(IF($C34&lt;1,"",AP$3*일별반별!AS34),0)</f>
        <v/>
      </c>
      <c r="AQ34" s="347" t="str">
        <f>IFERROR(IF($C34&lt;1,"",AQ$3*일별반별!AT34),0)</f>
        <v/>
      </c>
      <c r="AR34" s="316" t="str">
        <f>IFERROR(IF($C34&lt;1,"",AR$3*일별반별!AU34),0)</f>
        <v/>
      </c>
      <c r="AS34" s="401" t="str">
        <f>IFERROR(IF($C34&lt;1,"",AS$3*일별반별!AV34),0)</f>
        <v/>
      </c>
      <c r="AT34" s="401" t="str">
        <f>IFERROR(IF($C34&lt;1,"",AT$3*일별반별!AW34),0)</f>
        <v/>
      </c>
      <c r="AU34" s="401" t="str">
        <f>IFERROR(IF($C34&lt;1,"",AU$3*일별반별!AX34),0)</f>
        <v/>
      </c>
      <c r="AV34" s="401" t="str">
        <f>IFERROR(IF($C34&lt;1,"",AV$3*일별반별!AY34),0)</f>
        <v/>
      </c>
      <c r="AW34" s="401" t="str">
        <f>IFERROR(IF($C34&lt;1,"",AW$3*일별반별!AZ34),0)</f>
        <v/>
      </c>
      <c r="AX34" s="401" t="str">
        <f>IFERROR(IF($C34&lt;1,"",AX$3*일별반별!BA34),0)</f>
        <v/>
      </c>
      <c r="AY34" s="401" t="str">
        <f>IFERROR(IF($C34&lt;1,"",AY$3*일별반별!BB34),0)</f>
        <v/>
      </c>
      <c r="AZ34" s="401" t="str">
        <f>IFERROR(IF($C34&lt;1,"",AZ$3*일별반별!BC34),0)</f>
        <v/>
      </c>
      <c r="BA34" s="401" t="str">
        <f>IFERROR(IF($C34&lt;1,"",BA$3*일별반별!BD34),0)</f>
        <v/>
      </c>
      <c r="BB34" s="402" t="str">
        <f>IFERROR(IF($C34&lt;1,"",BB$3*일별반별!BE34),0)</f>
        <v/>
      </c>
      <c r="BC34" s="402" t="str">
        <f>IFERROR(IF($C34&lt;1,"",BC$3*일별반별!BF34),0)</f>
        <v/>
      </c>
      <c r="BD34" s="402" t="str">
        <f>IFERROR(IF($C34&lt;1,"",BD$3*일별반별!BG34),0)</f>
        <v/>
      </c>
      <c r="BE34" s="402" t="str">
        <f>IFERROR(IF($C34&lt;1,"",BE$3*일별반별!BH34),0)</f>
        <v/>
      </c>
      <c r="BF34" s="402" t="str">
        <f>IFERROR(IF($C34&lt;1,"",BF$3*일별반별!BI34),0)</f>
        <v/>
      </c>
      <c r="BG34" s="402" t="str">
        <f>IFERROR(IF($C34&lt;1,"",BG$3*일별반별!BJ34),0)</f>
        <v/>
      </c>
      <c r="BH34" s="402" t="str">
        <f>IFERROR(IF($C34&lt;1,"",BH$3*일별반별!BK34),0)</f>
        <v/>
      </c>
      <c r="BI34" s="402" t="str">
        <f>IFERROR(IF($C34&lt;1,"",BI$3*일별반별!BL34),0)</f>
        <v/>
      </c>
      <c r="BJ34" s="402" t="str">
        <f>IFERROR(IF($C34&lt;1,"",BJ$3*일별반별!BM34),0)</f>
        <v/>
      </c>
      <c r="BK34" s="402" t="str">
        <f>IFERROR(IF($C34&lt;1,"",BK$3*일별반별!BN34),0)</f>
        <v/>
      </c>
      <c r="BL34" s="402" t="str">
        <f>IFERROR(IF($C34&lt;1,"",BL$3*일별반별!BH34),0)</f>
        <v/>
      </c>
      <c r="BM34" s="402" t="str">
        <f>IFERROR(IF($C34&lt;1,"",BM$3*일별반별!BP34),0)</f>
        <v/>
      </c>
      <c r="BN34" s="401" t="str">
        <f>IFERROR(IF($C34&lt;1,"",BN$3*일별반별!BQ34),0)</f>
        <v/>
      </c>
      <c r="BO34" s="401" t="str">
        <f>IFERROR(IF($C34&lt;1,"",BO$3*일별반별!BR34),0)</f>
        <v/>
      </c>
      <c r="BP34" s="401" t="str">
        <f>IFERROR(IF($C34&lt;1,"",BP$3*일별반별!BS34),0)</f>
        <v/>
      </c>
      <c r="BQ34" s="401" t="str">
        <f>IFERROR(IF($C34&lt;1,"",BQ$3*일별반별!BT34),0)</f>
        <v/>
      </c>
      <c r="BR34" s="417" t="str">
        <f>IFERROR(IF($C34&lt;1,"",BR$3*일별반별!BU34),0)</f>
        <v/>
      </c>
      <c r="BS34" s="417" t="str">
        <f>IFERROR(IF($C34&lt;1,"",BS$3*일별반별!BV34),0)</f>
        <v/>
      </c>
      <c r="BT34" s="417" t="str">
        <f>IFERROR(IF($C34&lt;1,"",BT$3*일별반별!BW34),0)</f>
        <v/>
      </c>
      <c r="BU34" s="316" t="str">
        <f>IFERROR(IF($C34&lt;1,"",BU$3*일별반별!BX34),0)</f>
        <v/>
      </c>
      <c r="BV34" s="316" t="str">
        <f>IFERROR(IF($C34&lt;1,"",BV$3*일별반별!BY34),0)</f>
        <v/>
      </c>
      <c r="BW34" s="316" t="str">
        <f>IFERROR(IF($C34&lt;1,"",BW$3*일별반별!BZ34),0)</f>
        <v/>
      </c>
      <c r="BX34" s="316" t="str">
        <f>IFERROR(IF($C34&lt;1,"",BX$3*일별반별!CA34),0)</f>
        <v/>
      </c>
      <c r="BY34" s="316" t="str">
        <f>IFERROR(IF($C34&lt;1,"",BY$3*일별반별!CB34),0)</f>
        <v/>
      </c>
      <c r="BZ34" s="316" t="str">
        <f>IFERROR(IF($C34&lt;1,"",BZ$3*일별반별!CC34),0)</f>
        <v/>
      </c>
      <c r="CA34" s="316" t="str">
        <f>IFERROR(IF($C34&lt;1,"",CA$3*일별반별!CD34),0)</f>
        <v/>
      </c>
      <c r="CB34" s="316" t="str">
        <f>IFERROR(IF($C34&lt;1,"",CB$3*일별반별!CE34),0)</f>
        <v/>
      </c>
      <c r="CC34" s="316" t="str">
        <f>IFERROR(IF($C34&lt;1,"",CC$3*일별반별!CF34),0)</f>
        <v/>
      </c>
      <c r="CD34" s="316" t="str">
        <f>IFERROR(IF($C34&lt;1,"",CD$3*일별반별!CG34),0)</f>
        <v/>
      </c>
      <c r="CE34" s="316" t="str">
        <f>IFERROR(IF($C34&lt;1,"",CE$3*일별반별!CH34),0)</f>
        <v/>
      </c>
      <c r="CF34" s="316" t="str">
        <f>IFERROR(IF($C34&lt;1,"",CF$3*일별반별!CI34),0)</f>
        <v/>
      </c>
      <c r="CG34" s="316" t="str">
        <f>IFERROR(IF($C34&lt;1,"",CG$3*일별반별!CJ34),0)</f>
        <v/>
      </c>
      <c r="CH34" s="316" t="str">
        <f>IFERROR(IF($C34&lt;1,"",CH$3*일별반별!CK34),0)</f>
        <v/>
      </c>
      <c r="CI34" s="316" t="str">
        <f>IFERROR(IF($C34&lt;1,"",CI$3*일별반별!CL34),0)</f>
        <v/>
      </c>
      <c r="CJ34" s="316" t="str">
        <f>IFERROR(IF($C34&lt;1,"",CJ$3*일별반별!CM34),0)</f>
        <v/>
      </c>
      <c r="CK34" s="316" t="str">
        <f>IFERROR(IF($C34&lt;1,"",CK$3*일별반별!CN34),0)</f>
        <v/>
      </c>
      <c r="CL34" s="316" t="str">
        <f>IFERROR(IF($C34&lt;1,"",CL$3*일별반별!CO34),0)</f>
        <v/>
      </c>
      <c r="CM34" s="316" t="str">
        <f>IFERROR(IF($C34&lt;1,"",CM$3*일별반별!CP34),0)</f>
        <v/>
      </c>
      <c r="CN34" s="316" t="str">
        <f>IFERROR(IF($C34&lt;1,"",CN$3*일별반별!CQ34),0)</f>
        <v/>
      </c>
      <c r="CO34" s="316" t="str">
        <f>IFERROR(IF($C34&lt;1,"",CO$3*일별반별!CR34),0)</f>
        <v/>
      </c>
      <c r="CP34" s="316" t="str">
        <f>IFERROR(IF($C34&lt;1,"",CP$3*일별반별!CS34),0)</f>
        <v/>
      </c>
      <c r="CQ34" s="316" t="str">
        <f>IFERROR(IF($C34&lt;1,"",CQ$3*일별반별!CT34),0)</f>
        <v/>
      </c>
      <c r="CR34" s="418" t="str">
        <f>IFERROR(IF($C34&lt;1,"",CR$3*일별반별!CU34),0)</f>
        <v/>
      </c>
      <c r="CS34" s="418" t="str">
        <f>IFERROR(IF($C34&lt;1,"",CS$3*일별반별!CV34),0)</f>
        <v/>
      </c>
      <c r="CT34" s="316" t="str">
        <f>IFERROR(IF($C34&lt;1,"",CT$3*일별반별!CW34),0)</f>
        <v/>
      </c>
      <c r="CU34" s="316" t="str">
        <f>IFERROR(IF($C34&lt;1,"",CU$3*일별반별!CX34),0)</f>
        <v/>
      </c>
      <c r="CV34" s="316" t="str">
        <f>IFERROR(IF($C34&lt;1,"",CV$3*일별반별!CY34),0)</f>
        <v/>
      </c>
      <c r="CW34" s="316" t="str">
        <f>IFERROR(IF($C34&lt;1,"",CW$3*일별반별!CZ34),0)</f>
        <v/>
      </c>
      <c r="CX34" s="316" t="str">
        <f>IFERROR(IF($C34&lt;1,"",CX$3*일별반별!DA34),0)</f>
        <v/>
      </c>
      <c r="CY34" s="316" t="str">
        <f>IF(C34&lt;1,"",(CY$3*'09월 조업일지'!AV$7))</f>
        <v/>
      </c>
      <c r="CZ34" s="316" t="str">
        <f t="shared" si="1"/>
        <v/>
      </c>
      <c r="DA34" s="316" t="str">
        <f t="shared" si="1"/>
        <v/>
      </c>
      <c r="DB34" s="316" t="str">
        <f t="shared" si="1"/>
        <v/>
      </c>
      <c r="DC34" s="316"/>
      <c r="DD34" s="419"/>
    </row>
    <row r="35" spans="1:108" ht="15" customHeight="1">
      <c r="A35" s="274">
        <f t="shared" si="2"/>
        <v>44018</v>
      </c>
      <c r="B35" s="275" t="s">
        <v>94</v>
      </c>
      <c r="C35" s="201">
        <f>COUNTIFS('09월 조업일지'!$A$12:$A$952,A31,'09월 조업일지'!$E$12:$E$952,B35)</f>
        <v>0</v>
      </c>
      <c r="D35" s="314">
        <f>IF(C35&lt;1,0,(SUM(E35:CX35)/(일별반별!BV35-1.5)+(CY35+CZ35+DA35+DB35)))</f>
        <v>0</v>
      </c>
      <c r="E35" s="278"/>
      <c r="F35" s="281"/>
      <c r="G35" s="282"/>
      <c r="H35" s="283"/>
      <c r="I35" s="283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326"/>
      <c r="U35" s="395" t="str">
        <f>IFERROR(IF($C35&lt;1,"",U$3*일별반별!X35),0)</f>
        <v/>
      </c>
      <c r="V35" s="395" t="str">
        <f>IFERROR(IF($C35&lt;1,"",V$3*일별반별!Y35),0)</f>
        <v/>
      </c>
      <c r="W35" s="395" t="str">
        <f>IFERROR(IF($C35&lt;1,"",W$3*일별반별!Z35),0)</f>
        <v/>
      </c>
      <c r="X35" s="208" t="str">
        <f>IFERROR(IF($C35&lt;1,"",X$3*일별반별!AA35),0)</f>
        <v/>
      </c>
      <c r="Y35" s="208" t="str">
        <f>IFERROR(IF($C35&lt;1,"",Y$3*일별반별!AB35),0)</f>
        <v/>
      </c>
      <c r="Z35" s="208" t="str">
        <f>IFERROR(IF($C35&lt;1,"",Z$3*일별반별!AC35),0)</f>
        <v/>
      </c>
      <c r="AA35" s="395" t="str">
        <f>IFERROR(IF($C35&lt;1,"",AA$3*일별반별!AD35),0)</f>
        <v/>
      </c>
      <c r="AB35" s="395" t="str">
        <f>IFERROR(IF($C35&lt;1,"",AB$3*일별반별!AE35),0)</f>
        <v/>
      </c>
      <c r="AC35" s="208" t="str">
        <f>IFERROR(IF($C35&lt;1,"",AC$3*일별반별!AF35),0)</f>
        <v/>
      </c>
      <c r="AD35" s="208" t="str">
        <f>IFERROR(IF($C35&lt;1,"",AD$3*일별반별!AG35),0)</f>
        <v/>
      </c>
      <c r="AE35" s="208" t="str">
        <f>IFERROR(IF($C35&lt;1,"",AE$3*일별반별!AH35),0)</f>
        <v/>
      </c>
      <c r="AF35" s="395" t="str">
        <f>IFERROR(IF($C35&lt;1,"",AF$3*일별반별!AI35),0)</f>
        <v/>
      </c>
      <c r="AG35" s="395" t="str">
        <f>IFERROR(IF($C35&lt;1,"",AG$3*일별반별!AJ35),0)</f>
        <v/>
      </c>
      <c r="AH35" s="395" t="str">
        <f>IFERROR(IF($C35&lt;1,"",AH$3*일별반별!AK35),0)</f>
        <v/>
      </c>
      <c r="AI35" s="395" t="str">
        <f>IFERROR(IF($C35&lt;1,"",AI$3*일별반별!AL35),0)</f>
        <v/>
      </c>
      <c r="AJ35" s="395" t="str">
        <f>IFERROR(IF($C35&lt;1,"",AJ$3*일별반별!AM35),0)</f>
        <v/>
      </c>
      <c r="AK35" s="395" t="str">
        <f>IFERROR(IF($C35&lt;1,"",AK$3*일별반별!AN35),0)</f>
        <v/>
      </c>
      <c r="AL35" s="395" t="str">
        <f>IFERROR(IF($C35&lt;1,"",AL$3*일별반별!AO35),0)</f>
        <v/>
      </c>
      <c r="AM35" s="395" t="str">
        <f>IFERROR(IF($C35&lt;1,"",AM$3*일별반별!AP35),0)</f>
        <v/>
      </c>
      <c r="AN35" s="395" t="str">
        <f>IFERROR(IF($C35&lt;1,"",AN$3*일별반별!AQ35),0)</f>
        <v/>
      </c>
      <c r="AO35" s="395" t="str">
        <f>IFERROR(IF($C35&lt;1,"",AO$3*일별반별!AR35),0)</f>
        <v/>
      </c>
      <c r="AP35" s="347" t="str">
        <f>IFERROR(IF($C35&lt;1,"",AP$3*일별반별!AS35),0)</f>
        <v/>
      </c>
      <c r="AQ35" s="347" t="str">
        <f>IFERROR(IF($C35&lt;1,"",AQ$3*일별반별!AT35),0)</f>
        <v/>
      </c>
      <c r="AR35" s="316" t="str">
        <f>IFERROR(IF($C35&lt;1,"",AR$3*일별반별!AU35),0)</f>
        <v/>
      </c>
      <c r="AS35" s="401" t="str">
        <f>IFERROR(IF($C35&lt;1,"",AS$3*일별반별!AV35),0)</f>
        <v/>
      </c>
      <c r="AT35" s="401" t="str">
        <f>IFERROR(IF($C35&lt;1,"",AT$3*일별반별!AW35),0)</f>
        <v/>
      </c>
      <c r="AU35" s="401" t="str">
        <f>IFERROR(IF($C35&lt;1,"",AU$3*일별반별!AX35),0)</f>
        <v/>
      </c>
      <c r="AV35" s="401" t="str">
        <f>IFERROR(IF($C35&lt;1,"",AV$3*일별반별!AY35),0)</f>
        <v/>
      </c>
      <c r="AW35" s="401" t="str">
        <f>IFERROR(IF($C35&lt;1,"",AW$3*일별반별!AZ35),0)</f>
        <v/>
      </c>
      <c r="AX35" s="401" t="str">
        <f>IFERROR(IF($C35&lt;1,"",AX$3*일별반별!BA35),0)</f>
        <v/>
      </c>
      <c r="AY35" s="401" t="str">
        <f>IFERROR(IF($C35&lt;1,"",AY$3*일별반별!BB35),0)</f>
        <v/>
      </c>
      <c r="AZ35" s="401" t="str">
        <f>IFERROR(IF($C35&lt;1,"",AZ$3*일별반별!BC35),0)</f>
        <v/>
      </c>
      <c r="BA35" s="401" t="str">
        <f>IFERROR(IF($C35&lt;1,"",BA$3*일별반별!BD35),0)</f>
        <v/>
      </c>
      <c r="BB35" s="402" t="str">
        <f>IFERROR(IF($C35&lt;1,"",BB$3*일별반별!BE35),0)</f>
        <v/>
      </c>
      <c r="BC35" s="402" t="str">
        <f>IFERROR(IF($C35&lt;1,"",BC$3*일별반별!BF35),0)</f>
        <v/>
      </c>
      <c r="BD35" s="402" t="str">
        <f>IFERROR(IF($C35&lt;1,"",BD$3*일별반별!BG35),0)</f>
        <v/>
      </c>
      <c r="BE35" s="402" t="str">
        <f>IFERROR(IF($C35&lt;1,"",BE$3*일별반별!BH35),0)</f>
        <v/>
      </c>
      <c r="BF35" s="402" t="str">
        <f>IFERROR(IF($C35&lt;1,"",BF$3*일별반별!BI35),0)</f>
        <v/>
      </c>
      <c r="BG35" s="402" t="str">
        <f>IFERROR(IF($C35&lt;1,"",BG$3*일별반별!BJ35),0)</f>
        <v/>
      </c>
      <c r="BH35" s="402" t="str">
        <f>IFERROR(IF($C35&lt;1,"",BH$3*일별반별!BK35),0)</f>
        <v/>
      </c>
      <c r="BI35" s="402" t="str">
        <f>IFERROR(IF($C35&lt;1,"",BI$3*일별반별!BL35),0)</f>
        <v/>
      </c>
      <c r="BJ35" s="402" t="str">
        <f>IFERROR(IF($C35&lt;1,"",BJ$3*일별반별!BM35),0)</f>
        <v/>
      </c>
      <c r="BK35" s="402" t="str">
        <f>IFERROR(IF($C35&lt;1,"",BK$3*일별반별!BN35),0)</f>
        <v/>
      </c>
      <c r="BL35" s="402" t="str">
        <f>IFERROR(IF($C35&lt;1,"",BL$3*일별반별!BH35),0)</f>
        <v/>
      </c>
      <c r="BM35" s="402" t="str">
        <f>IFERROR(IF($C35&lt;1,"",BM$3*일별반별!BP35),0)</f>
        <v/>
      </c>
      <c r="BN35" s="401" t="str">
        <f>IFERROR(IF($C35&lt;1,"",BN$3*일별반별!BQ35),0)</f>
        <v/>
      </c>
      <c r="BO35" s="401" t="str">
        <f>IFERROR(IF($C35&lt;1,"",BO$3*일별반별!BR35),0)</f>
        <v/>
      </c>
      <c r="BP35" s="401" t="str">
        <f>IFERROR(IF($C35&lt;1,"",BP$3*일별반별!BS35),0)</f>
        <v/>
      </c>
      <c r="BQ35" s="401" t="str">
        <f>IFERROR(IF($C35&lt;1,"",BQ$3*일별반별!BT35),0)</f>
        <v/>
      </c>
      <c r="BR35" s="417" t="str">
        <f>IFERROR(IF($C35&lt;1,"",BR$3*일별반별!BU35),0)</f>
        <v/>
      </c>
      <c r="BS35" s="417" t="str">
        <f>IFERROR(IF($C35&lt;1,"",BS$3*일별반별!BV35),0)</f>
        <v/>
      </c>
      <c r="BT35" s="417" t="str">
        <f>IFERROR(IF($C35&lt;1,"",BT$3*일별반별!BW35),0)</f>
        <v/>
      </c>
      <c r="BU35" s="316" t="str">
        <f>IFERROR(IF($C35&lt;1,"",BU$3*일별반별!BX35),0)</f>
        <v/>
      </c>
      <c r="BV35" s="316" t="str">
        <f>IFERROR(IF($C35&lt;1,"",BV$3*일별반별!BY35),0)</f>
        <v/>
      </c>
      <c r="BW35" s="316" t="str">
        <f>IFERROR(IF($C35&lt;1,"",BW$3*일별반별!BZ35),0)</f>
        <v/>
      </c>
      <c r="BX35" s="316" t="str">
        <f>IFERROR(IF($C35&lt;1,"",BX$3*일별반별!CA35),0)</f>
        <v/>
      </c>
      <c r="BY35" s="316" t="str">
        <f>IFERROR(IF($C35&lt;1,"",BY$3*일별반별!CB35),0)</f>
        <v/>
      </c>
      <c r="BZ35" s="316" t="str">
        <f>IFERROR(IF($C35&lt;1,"",BZ$3*일별반별!CC35),0)</f>
        <v/>
      </c>
      <c r="CA35" s="316" t="str">
        <f>IFERROR(IF($C35&lt;1,"",CA$3*일별반별!CD35),0)</f>
        <v/>
      </c>
      <c r="CB35" s="316" t="str">
        <f>IFERROR(IF($C35&lt;1,"",CB$3*일별반별!CE35),0)</f>
        <v/>
      </c>
      <c r="CC35" s="316" t="str">
        <f>IFERROR(IF($C35&lt;1,"",CC$3*일별반별!CF35),0)</f>
        <v/>
      </c>
      <c r="CD35" s="316" t="str">
        <f>IFERROR(IF($C35&lt;1,"",CD$3*일별반별!CG35),0)</f>
        <v/>
      </c>
      <c r="CE35" s="316" t="str">
        <f>IFERROR(IF($C35&lt;1,"",CE$3*일별반별!CH35),0)</f>
        <v/>
      </c>
      <c r="CF35" s="316" t="str">
        <f>IFERROR(IF($C35&lt;1,"",CF$3*일별반별!CI35),0)</f>
        <v/>
      </c>
      <c r="CG35" s="316" t="str">
        <f>IFERROR(IF($C35&lt;1,"",CG$3*일별반별!CJ35),0)</f>
        <v/>
      </c>
      <c r="CH35" s="316" t="str">
        <f>IFERROR(IF($C35&lt;1,"",CH$3*일별반별!CK35),0)</f>
        <v/>
      </c>
      <c r="CI35" s="316" t="str">
        <f>IFERROR(IF($C35&lt;1,"",CI$3*일별반별!CL35),0)</f>
        <v/>
      </c>
      <c r="CJ35" s="316" t="str">
        <f>IFERROR(IF($C35&lt;1,"",CJ$3*일별반별!CM35),0)</f>
        <v/>
      </c>
      <c r="CK35" s="316" t="str">
        <f>IFERROR(IF($C35&lt;1,"",CK$3*일별반별!CN35),0)</f>
        <v/>
      </c>
      <c r="CL35" s="316" t="str">
        <f>IFERROR(IF($C35&lt;1,"",CL$3*일별반별!CO35),0)</f>
        <v/>
      </c>
      <c r="CM35" s="316" t="str">
        <f>IFERROR(IF($C35&lt;1,"",CM$3*일별반별!CP35),0)</f>
        <v/>
      </c>
      <c r="CN35" s="316" t="str">
        <f>IFERROR(IF($C35&lt;1,"",CN$3*일별반별!CQ35),0)</f>
        <v/>
      </c>
      <c r="CO35" s="316" t="str">
        <f>IFERROR(IF($C35&lt;1,"",CO$3*일별반별!CR35),0)</f>
        <v/>
      </c>
      <c r="CP35" s="316" t="str">
        <f>IFERROR(IF($C35&lt;1,"",CP$3*일별반별!CS35),0)</f>
        <v/>
      </c>
      <c r="CQ35" s="316" t="str">
        <f>IFERROR(IF($C35&lt;1,"",CQ$3*일별반별!CT35),0)</f>
        <v/>
      </c>
      <c r="CR35" s="418" t="str">
        <f>IFERROR(IF($C35&lt;1,"",CR$3*일별반별!CU35),0)</f>
        <v/>
      </c>
      <c r="CS35" s="418" t="str">
        <f>IFERROR(IF($C35&lt;1,"",CS$3*일별반별!CV35),0)</f>
        <v/>
      </c>
      <c r="CT35" s="316" t="str">
        <f>IFERROR(IF($C35&lt;1,"",CT$3*일별반별!CW35),0)</f>
        <v/>
      </c>
      <c r="CU35" s="316" t="str">
        <f>IFERROR(IF($C35&lt;1,"",CU$3*일별반별!CX35),0)</f>
        <v/>
      </c>
      <c r="CV35" s="316" t="str">
        <f>IFERROR(IF($C35&lt;1,"",CV$3*일별반별!CY35),0)</f>
        <v/>
      </c>
      <c r="CW35" s="316" t="str">
        <f>IFERROR(IF($C35&lt;1,"",CW$3*일별반별!CZ35),0)</f>
        <v/>
      </c>
      <c r="CX35" s="316" t="str">
        <f>IFERROR(IF($C35&lt;1,"",CX$3*일별반별!DA35),0)</f>
        <v/>
      </c>
      <c r="CY35" s="316" t="str">
        <f>IF(C35&lt;1,"",(CY$3*'09월 조업일지'!AV$7))</f>
        <v/>
      </c>
      <c r="CZ35" s="316" t="str">
        <f t="shared" si="1"/>
        <v/>
      </c>
      <c r="DA35" s="316" t="str">
        <f t="shared" si="1"/>
        <v/>
      </c>
      <c r="DB35" s="316" t="str">
        <f t="shared" si="1"/>
        <v/>
      </c>
      <c r="DC35" s="316"/>
      <c r="DD35" s="419"/>
    </row>
    <row r="36" spans="1:108" ht="15" customHeight="1">
      <c r="A36" s="327">
        <f>A31+1</f>
        <v>44019</v>
      </c>
      <c r="B36" s="328" t="s">
        <v>31</v>
      </c>
      <c r="C36" s="329">
        <f>COUNTIF('09월 조업일지'!$A$12:$A$952,A36)</f>
        <v>0</v>
      </c>
      <c r="D36" s="330">
        <f>IF(C36&lt;1,0,(SUM(E36:CX36)/(일별반별!BV36-1.5)+(CY36+CZ36+DA36+DB36)))</f>
        <v>0</v>
      </c>
      <c r="E36" s="331"/>
      <c r="F36" s="331"/>
      <c r="G36" s="332"/>
      <c r="H36" s="333"/>
      <c r="I36" s="333"/>
      <c r="J36" s="334"/>
      <c r="K36" s="334"/>
      <c r="L36" s="334"/>
      <c r="M36" s="334"/>
      <c r="N36" s="334"/>
      <c r="O36" s="334"/>
      <c r="P36" s="334"/>
      <c r="Q36" s="335"/>
      <c r="R36" s="334"/>
      <c r="S36" s="335"/>
      <c r="T36" s="334"/>
      <c r="U36" s="337" t="str">
        <f>IFERROR(IF($C36&lt;1,"",U$3*일별반별!X36),0)</f>
        <v/>
      </c>
      <c r="V36" s="337" t="str">
        <f>IFERROR(IF($C36&lt;1,"",V$3*일별반별!Y36),0)</f>
        <v/>
      </c>
      <c r="W36" s="337" t="str">
        <f>IFERROR(IF($C36&lt;1,"",W$3*일별반별!Z36),0)</f>
        <v/>
      </c>
      <c r="X36" s="336" t="str">
        <f>IFERROR(IF($C36&lt;1,"",X$3*일별반별!AA36),0)</f>
        <v/>
      </c>
      <c r="Y36" s="336" t="str">
        <f>IFERROR(IF($C36&lt;1,"",Y$3*일별반별!AB36),0)</f>
        <v/>
      </c>
      <c r="Z36" s="336" t="str">
        <f>IFERROR(IF($C36&lt;1,"",Z$3*일별반별!AC36),0)</f>
        <v/>
      </c>
      <c r="AA36" s="337" t="str">
        <f>IFERROR(IF($C36&lt;1,"",AA$3*일별반별!AD36),0)</f>
        <v/>
      </c>
      <c r="AB36" s="337" t="str">
        <f>IFERROR(IF($C36&lt;1,"",AB$3*일별반별!AE36),0)</f>
        <v/>
      </c>
      <c r="AC36" s="336" t="str">
        <f>IFERROR(IF($C36&lt;1,"",AC$3*일별반별!AF36),0)</f>
        <v/>
      </c>
      <c r="AD36" s="336" t="str">
        <f>IFERROR(IF($C36&lt;1,"",AD$3*일별반별!AG36),0)</f>
        <v/>
      </c>
      <c r="AE36" s="336" t="str">
        <f>IFERROR(IF($C36&lt;1,"",AE$3*일별반별!AH36),0)</f>
        <v/>
      </c>
      <c r="AF36" s="337" t="str">
        <f>IFERROR(IF($C36&lt;1,"",AF$3*일별반별!AI36),0)</f>
        <v/>
      </c>
      <c r="AG36" s="337" t="str">
        <f>IFERROR(IF($C36&lt;1,"",AG$3*일별반별!AJ36),0)</f>
        <v/>
      </c>
      <c r="AH36" s="337" t="str">
        <f>IFERROR(IF($C36&lt;1,"",AH$3*일별반별!AK36),0)</f>
        <v/>
      </c>
      <c r="AI36" s="337" t="str">
        <f>IFERROR(IF($C36&lt;1,"",AI$3*일별반별!AL36),0)</f>
        <v/>
      </c>
      <c r="AJ36" s="337" t="str">
        <f>IFERROR(IF($C36&lt;1,"",AJ$3*일별반별!AM36),0)</f>
        <v/>
      </c>
      <c r="AK36" s="337" t="str">
        <f>IFERROR(IF($C36&lt;1,"",AK$3*일별반별!AN36),0)</f>
        <v/>
      </c>
      <c r="AL36" s="337" t="str">
        <f>IFERROR(IF($C36&lt;1,"",AL$3*일별반별!AO36),0)</f>
        <v/>
      </c>
      <c r="AM36" s="337" t="str">
        <f>IFERROR(IF($C36&lt;1,"",AM$3*일별반별!AP36),0)</f>
        <v/>
      </c>
      <c r="AN36" s="337" t="str">
        <f>IFERROR(IF($C36&lt;1,"",AN$3*일별반별!AQ36),0)</f>
        <v/>
      </c>
      <c r="AO36" s="337" t="str">
        <f>IFERROR(IF($C36&lt;1,"",AO$3*일별반별!AR36),0)</f>
        <v/>
      </c>
      <c r="AP36" s="337" t="str">
        <f>IFERROR(IF($C36&lt;1,"",AP$3*일별반별!AS36),0)</f>
        <v/>
      </c>
      <c r="AQ36" s="337" t="str">
        <f>IFERROR(IF($C36&lt;1,"",AQ$3*일별반별!AT36),0)</f>
        <v/>
      </c>
      <c r="AR36" s="337" t="str">
        <f>IFERROR(IF($C36&lt;1,"",AR$3*일별반별!AU36),0)</f>
        <v/>
      </c>
      <c r="AS36" s="403" t="str">
        <f>IFERROR(IF($C36&lt;1,"",AS$3*일별반별!AV36),0)</f>
        <v/>
      </c>
      <c r="AT36" s="403" t="str">
        <f>IFERROR(IF($C36&lt;1,"",AT$3*일별반별!AW36),0)</f>
        <v/>
      </c>
      <c r="AU36" s="403" t="str">
        <f>IFERROR(IF($C36&lt;1,"",AU$3*일별반별!AX36),0)</f>
        <v/>
      </c>
      <c r="AV36" s="403" t="str">
        <f>IFERROR(IF($C36&lt;1,"",AV$3*일별반별!AY36),0)</f>
        <v/>
      </c>
      <c r="AW36" s="403" t="str">
        <f>IFERROR(IF($C36&lt;1,"",AW$3*일별반별!AZ36),0)</f>
        <v/>
      </c>
      <c r="AX36" s="403" t="str">
        <f>IFERROR(IF($C36&lt;1,"",AX$3*일별반별!BA36),0)</f>
        <v/>
      </c>
      <c r="AY36" s="403" t="str">
        <f>IFERROR(IF($C36&lt;1,"",AY$3*일별반별!BB36),0)</f>
        <v/>
      </c>
      <c r="AZ36" s="403" t="str">
        <f>IFERROR(IF($C36&lt;1,"",AZ$3*일별반별!BC36),0)</f>
        <v/>
      </c>
      <c r="BA36" s="403" t="str">
        <f>IFERROR(IF($C36&lt;1,"",BA$3*일별반별!BD36),0)</f>
        <v/>
      </c>
      <c r="BB36" s="403" t="str">
        <f>IFERROR(IF($C36&lt;1,"",BB$3*일별반별!BE36),0)</f>
        <v/>
      </c>
      <c r="BC36" s="403" t="str">
        <f>IFERROR(IF($C36&lt;1,"",BC$3*일별반별!BF36),0)</f>
        <v/>
      </c>
      <c r="BD36" s="403" t="str">
        <f>IFERROR(IF($C36&lt;1,"",BD$3*일별반별!BG36),0)</f>
        <v/>
      </c>
      <c r="BE36" s="403" t="str">
        <f>IFERROR(IF($C36&lt;1,"",BE$3*일별반별!BH36),0)</f>
        <v/>
      </c>
      <c r="BF36" s="403" t="str">
        <f>IFERROR(IF($C36&lt;1,"",BF$3*일별반별!BI36),0)</f>
        <v/>
      </c>
      <c r="BG36" s="403" t="str">
        <f>IFERROR(IF($C36&lt;1,"",BG$3*일별반별!BJ36),0)</f>
        <v/>
      </c>
      <c r="BH36" s="403" t="str">
        <f>IFERROR(IF($C36&lt;1,"",BH$3*일별반별!BK36),0)</f>
        <v/>
      </c>
      <c r="BI36" s="403" t="str">
        <f>IFERROR(IF($C36&lt;1,"",BI$3*일별반별!BL36),0)</f>
        <v/>
      </c>
      <c r="BJ36" s="403" t="str">
        <f>IFERROR(IF($C36&lt;1,"",BJ$3*일별반별!BM36),0)</f>
        <v/>
      </c>
      <c r="BK36" s="403" t="str">
        <f>IFERROR(IF($C36&lt;1,"",BK$3*일별반별!BN36),0)</f>
        <v/>
      </c>
      <c r="BL36" s="403" t="str">
        <f>IFERROR(IF($C36&lt;1,"",BL$3*일별반별!BH36),0)</f>
        <v/>
      </c>
      <c r="BM36" s="403" t="str">
        <f>IFERROR(IF($C36&lt;1,"",BM$3*일별반별!BP36),0)</f>
        <v/>
      </c>
      <c r="BN36" s="403" t="str">
        <f>IFERROR(IF($C36&lt;1,"",BN$3*일별반별!BQ36),0)</f>
        <v/>
      </c>
      <c r="BO36" s="403" t="str">
        <f>IFERROR(IF($C36&lt;1,"",BO$3*일별반별!BR36),0)</f>
        <v/>
      </c>
      <c r="BP36" s="403" t="str">
        <f>IFERROR(IF($C36&lt;1,"",BP$3*일별반별!BS36),0)</f>
        <v/>
      </c>
      <c r="BQ36" s="403" t="str">
        <f>IFERROR(IF($C36&lt;1,"",BQ$3*일별반별!BT36),0)</f>
        <v/>
      </c>
      <c r="BR36" s="337" t="str">
        <f>IFERROR(IF($C36&lt;1,"",BR$3*일별반별!BU36),0)</f>
        <v/>
      </c>
      <c r="BS36" s="337" t="str">
        <f>IFERROR(IF($C36&lt;1,"",BS$3*일별반별!BV36),0)</f>
        <v/>
      </c>
      <c r="BT36" s="337" t="str">
        <f>IFERROR(IF($C36&lt;1,"",BT$3*일별반별!BW36),0)</f>
        <v/>
      </c>
      <c r="BU36" s="337" t="str">
        <f>IFERROR(IF($C36&lt;1,"",BU$3*일별반별!BX36),0)</f>
        <v/>
      </c>
      <c r="BV36" s="337" t="str">
        <f>IFERROR(IF($C36&lt;1,"",BV$3*일별반별!BY36),0)</f>
        <v/>
      </c>
      <c r="BW36" s="337" t="str">
        <f>IFERROR(IF($C36&lt;1,"",BW$3*일별반별!BZ36),0)</f>
        <v/>
      </c>
      <c r="BX36" s="337" t="str">
        <f>IFERROR(IF($C36&lt;1,"",BX$3*일별반별!CA36),0)</f>
        <v/>
      </c>
      <c r="BY36" s="337" t="str">
        <f>IFERROR(IF($C36&lt;1,"",BY$3*일별반별!CB36),0)</f>
        <v/>
      </c>
      <c r="BZ36" s="337" t="str">
        <f>IFERROR(IF($C36&lt;1,"",BZ$3*일별반별!CC36),0)</f>
        <v/>
      </c>
      <c r="CA36" s="337" t="str">
        <f>IFERROR(IF($C36&lt;1,"",CA$3*일별반별!CD36),0)</f>
        <v/>
      </c>
      <c r="CB36" s="337" t="str">
        <f>IFERROR(IF($C36&lt;1,"",CB$3*일별반별!CE36),0)</f>
        <v/>
      </c>
      <c r="CC36" s="337" t="str">
        <f>IFERROR(IF($C36&lt;1,"",CC$3*일별반별!CF36),0)</f>
        <v/>
      </c>
      <c r="CD36" s="337" t="str">
        <f>IFERROR(IF($C36&lt;1,"",CD$3*일별반별!CG36),0)</f>
        <v/>
      </c>
      <c r="CE36" s="337" t="str">
        <f>IFERROR(IF($C36&lt;1,"",CE$3*일별반별!CH36),0)</f>
        <v/>
      </c>
      <c r="CF36" s="337" t="str">
        <f>IFERROR(IF($C36&lt;1,"",CF$3*일별반별!CI36),0)</f>
        <v/>
      </c>
      <c r="CG36" s="337" t="str">
        <f>IFERROR(IF($C36&lt;1,"",CG$3*일별반별!CJ36),0)</f>
        <v/>
      </c>
      <c r="CH36" s="337" t="str">
        <f>IFERROR(IF($C36&lt;1,"",CH$3*일별반별!CK36),0)</f>
        <v/>
      </c>
      <c r="CI36" s="337" t="str">
        <f>IFERROR(IF($C36&lt;1,"",CI$3*일별반별!CL36),0)</f>
        <v/>
      </c>
      <c r="CJ36" s="337" t="str">
        <f>IFERROR(IF($C36&lt;1,"",CJ$3*일별반별!CM36),0)</f>
        <v/>
      </c>
      <c r="CK36" s="337" t="str">
        <f>IFERROR(IF($C36&lt;1,"",CK$3*일별반별!CN36),0)</f>
        <v/>
      </c>
      <c r="CL36" s="337" t="str">
        <f>IFERROR(IF($C36&lt;1,"",CL$3*일별반별!CO36),0)</f>
        <v/>
      </c>
      <c r="CM36" s="337" t="str">
        <f>IFERROR(IF($C36&lt;1,"",CM$3*일별반별!CP36),0)</f>
        <v/>
      </c>
      <c r="CN36" s="337" t="str">
        <f>IFERROR(IF($C36&lt;1,"",CN$3*일별반별!CQ36),0)</f>
        <v/>
      </c>
      <c r="CO36" s="337" t="str">
        <f>IFERROR(IF($C36&lt;1,"",CO$3*일별반별!CR36),0)</f>
        <v/>
      </c>
      <c r="CP36" s="337" t="str">
        <f>IFERROR(IF($C36&lt;1,"",CP$3*일별반별!CS36),0)</f>
        <v/>
      </c>
      <c r="CQ36" s="337" t="str">
        <f>IFERROR(IF($C36&lt;1,"",CQ$3*일별반별!CT36),0)</f>
        <v/>
      </c>
      <c r="CR36" s="420" t="str">
        <f>IFERROR(IF($C36&lt;1,"",CR$3*일별반별!CU36),0)</f>
        <v/>
      </c>
      <c r="CS36" s="420" t="str">
        <f>IFERROR(IF($C36&lt;1,"",CS$3*일별반별!CV36),0)</f>
        <v/>
      </c>
      <c r="CT36" s="337" t="str">
        <f>IFERROR(IF($C36&lt;1,"",CT$3*일별반별!CW36),0)</f>
        <v/>
      </c>
      <c r="CU36" s="337" t="str">
        <f>IFERROR(IF($C36&lt;1,"",CU$3*일별반별!CX36),0)</f>
        <v/>
      </c>
      <c r="CV36" s="337" t="str">
        <f>IFERROR(IF($C36&lt;1,"",CV$3*일별반별!CY36),0)</f>
        <v/>
      </c>
      <c r="CW36" s="337" t="str">
        <f>IFERROR(IF($C36&lt;1,"",CW$3*일별반별!CZ36),0)</f>
        <v/>
      </c>
      <c r="CX36" s="337" t="str">
        <f>IFERROR(IF($C36&lt;1,"",CX$3*일별반별!DA36),0)</f>
        <v/>
      </c>
      <c r="CY36" s="316" t="str">
        <f>IF(C36&lt;1,"",(CY$3*'09월 조업일지'!AV$7))</f>
        <v/>
      </c>
      <c r="CZ36" s="316" t="str">
        <f t="shared" si="1"/>
        <v/>
      </c>
      <c r="DA36" s="316" t="str">
        <f t="shared" si="1"/>
        <v/>
      </c>
      <c r="DB36" s="316" t="str">
        <f t="shared" si="1"/>
        <v/>
      </c>
      <c r="DC36" s="316"/>
      <c r="DD36" s="419"/>
    </row>
    <row r="37" spans="1:108" ht="15" customHeight="1">
      <c r="A37" s="274">
        <f t="shared" si="2"/>
        <v>44019</v>
      </c>
      <c r="B37" s="275" t="s">
        <v>9</v>
      </c>
      <c r="C37" s="201">
        <f>COUNTIFS('09월 조업일지'!$A$12:$A$952,A36,'09월 조업일지'!$E$12:$E$952,B37)</f>
        <v>0</v>
      </c>
      <c r="D37" s="314">
        <f>IF(C37&lt;1,0,(SUM(E37:CX37)/(일별반별!BV37-1.5)+(CY37+CZ37+DA37+DB37)))</f>
        <v>0</v>
      </c>
      <c r="E37" s="278"/>
      <c r="F37" s="281"/>
      <c r="G37" s="282"/>
      <c r="H37" s="283"/>
      <c r="I37" s="283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326"/>
      <c r="U37" s="395" t="str">
        <f>IFERROR(IF($C37&lt;1,"",U$3*일별반별!X37),0)</f>
        <v/>
      </c>
      <c r="V37" s="395" t="str">
        <f>IFERROR(IF($C37&lt;1,"",V$3*일별반별!Y37),0)</f>
        <v/>
      </c>
      <c r="W37" s="395" t="str">
        <f>IFERROR(IF($C37&lt;1,"",W$3*일별반별!Z37),0)</f>
        <v/>
      </c>
      <c r="X37" s="208" t="str">
        <f>IFERROR(IF($C37&lt;1,"",X$3*일별반별!AA37),0)</f>
        <v/>
      </c>
      <c r="Y37" s="208" t="str">
        <f>IFERROR(IF($C37&lt;1,"",Y$3*일별반별!AB37),0)</f>
        <v/>
      </c>
      <c r="Z37" s="208" t="str">
        <f>IFERROR(IF($C37&lt;1,"",Z$3*일별반별!AC37),0)</f>
        <v/>
      </c>
      <c r="AA37" s="395" t="str">
        <f>IFERROR(IF($C37&lt;1,"",AA$3*일별반별!AD37),0)</f>
        <v/>
      </c>
      <c r="AB37" s="395" t="str">
        <f>IFERROR(IF($C37&lt;1,"",AB$3*일별반별!AE37),0)</f>
        <v/>
      </c>
      <c r="AC37" s="208" t="str">
        <f>IFERROR(IF($C37&lt;1,"",AC$3*일별반별!AF37),0)</f>
        <v/>
      </c>
      <c r="AD37" s="208" t="str">
        <f>IFERROR(IF($C37&lt;1,"",AD$3*일별반별!AG37),0)</f>
        <v/>
      </c>
      <c r="AE37" s="208" t="str">
        <f>IFERROR(IF($C37&lt;1,"",AE$3*일별반별!AH37),0)</f>
        <v/>
      </c>
      <c r="AF37" s="395" t="str">
        <f>IFERROR(IF($C37&lt;1,"",AF$3*일별반별!AI37),0)</f>
        <v/>
      </c>
      <c r="AG37" s="395" t="str">
        <f>IFERROR(IF($C37&lt;1,"",AG$3*일별반별!AJ37),0)</f>
        <v/>
      </c>
      <c r="AH37" s="395" t="str">
        <f>IFERROR(IF($C37&lt;1,"",AH$3*일별반별!AK37),0)</f>
        <v/>
      </c>
      <c r="AI37" s="395" t="str">
        <f>IFERROR(IF($C37&lt;1,"",AI$3*일별반별!AL37),0)</f>
        <v/>
      </c>
      <c r="AJ37" s="395" t="str">
        <f>IFERROR(IF($C37&lt;1,"",AJ$3*일별반별!AM37),0)</f>
        <v/>
      </c>
      <c r="AK37" s="395" t="str">
        <f>IFERROR(IF($C37&lt;1,"",AK$3*일별반별!AN37),0)</f>
        <v/>
      </c>
      <c r="AL37" s="395" t="str">
        <f>IFERROR(IF($C37&lt;1,"",AL$3*일별반별!AO37),0)</f>
        <v/>
      </c>
      <c r="AM37" s="395" t="str">
        <f>IFERROR(IF($C37&lt;1,"",AM$3*일별반별!AP37),0)</f>
        <v/>
      </c>
      <c r="AN37" s="395" t="str">
        <f>IFERROR(IF($C37&lt;1,"",AN$3*일별반별!AQ37),0)</f>
        <v/>
      </c>
      <c r="AO37" s="395" t="str">
        <f>IFERROR(IF($C37&lt;1,"",AO$3*일별반별!AR37),0)</f>
        <v/>
      </c>
      <c r="AP37" s="347" t="str">
        <f>IFERROR(IF($C37&lt;1,"",AP$3*일별반별!AS37),0)</f>
        <v/>
      </c>
      <c r="AQ37" s="347" t="str">
        <f>IFERROR(IF($C37&lt;1,"",AQ$3*일별반별!AT37),0)</f>
        <v/>
      </c>
      <c r="AR37" s="316" t="str">
        <f>IFERROR(IF($C37&lt;1,"",AR$3*일별반별!AU37),0)</f>
        <v/>
      </c>
      <c r="AS37" s="401" t="str">
        <f>IFERROR(IF($C37&lt;1,"",AS$3*일별반별!AV37),0)</f>
        <v/>
      </c>
      <c r="AT37" s="401" t="str">
        <f>IFERROR(IF($C37&lt;1,"",AT$3*일별반별!AW37),0)</f>
        <v/>
      </c>
      <c r="AU37" s="401" t="str">
        <f>IFERROR(IF($C37&lt;1,"",AU$3*일별반별!AX37),0)</f>
        <v/>
      </c>
      <c r="AV37" s="401" t="str">
        <f>IFERROR(IF($C37&lt;1,"",AV$3*일별반별!AY37),0)</f>
        <v/>
      </c>
      <c r="AW37" s="401" t="str">
        <f>IFERROR(IF($C37&lt;1,"",AW$3*일별반별!AZ37),0)</f>
        <v/>
      </c>
      <c r="AX37" s="401" t="str">
        <f>IFERROR(IF($C37&lt;1,"",AX$3*일별반별!BA37),0)</f>
        <v/>
      </c>
      <c r="AY37" s="401" t="str">
        <f>IFERROR(IF($C37&lt;1,"",AY$3*일별반별!BB37),0)</f>
        <v/>
      </c>
      <c r="AZ37" s="401" t="str">
        <f>IFERROR(IF($C37&lt;1,"",AZ$3*일별반별!BC37),0)</f>
        <v/>
      </c>
      <c r="BA37" s="401" t="str">
        <f>IFERROR(IF($C37&lt;1,"",BA$3*일별반별!BD37),0)</f>
        <v/>
      </c>
      <c r="BB37" s="402" t="str">
        <f>IFERROR(IF($C37&lt;1,"",BB$3*일별반별!BE37),0)</f>
        <v/>
      </c>
      <c r="BC37" s="402" t="str">
        <f>IFERROR(IF($C37&lt;1,"",BC$3*일별반별!BF37),0)</f>
        <v/>
      </c>
      <c r="BD37" s="402" t="str">
        <f>IFERROR(IF($C37&lt;1,"",BD$3*일별반별!BG37),0)</f>
        <v/>
      </c>
      <c r="BE37" s="402" t="str">
        <f>IFERROR(IF($C37&lt;1,"",BE$3*일별반별!BH37),0)</f>
        <v/>
      </c>
      <c r="BF37" s="402" t="str">
        <f>IFERROR(IF($C37&lt;1,"",BF$3*일별반별!BI37),0)</f>
        <v/>
      </c>
      <c r="BG37" s="402" t="str">
        <f>IFERROR(IF($C37&lt;1,"",BG$3*일별반별!BJ37),0)</f>
        <v/>
      </c>
      <c r="BH37" s="402" t="str">
        <f>IFERROR(IF($C37&lt;1,"",BH$3*일별반별!BK37),0)</f>
        <v/>
      </c>
      <c r="BI37" s="402" t="str">
        <f>IFERROR(IF($C37&lt;1,"",BI$3*일별반별!BL37),0)</f>
        <v/>
      </c>
      <c r="BJ37" s="402" t="str">
        <f>IFERROR(IF($C37&lt;1,"",BJ$3*일별반별!BM37),0)</f>
        <v/>
      </c>
      <c r="BK37" s="402" t="str">
        <f>IFERROR(IF($C37&lt;1,"",BK$3*일별반별!BN37),0)</f>
        <v/>
      </c>
      <c r="BL37" s="402" t="str">
        <f>IFERROR(IF($C37&lt;1,"",BL$3*일별반별!BH37),0)</f>
        <v/>
      </c>
      <c r="BM37" s="402" t="str">
        <f>IFERROR(IF($C37&lt;1,"",BM$3*일별반별!BP37),0)</f>
        <v/>
      </c>
      <c r="BN37" s="401" t="str">
        <f>IFERROR(IF($C37&lt;1,"",BN$3*일별반별!BQ37),0)</f>
        <v/>
      </c>
      <c r="BO37" s="401" t="str">
        <f>IFERROR(IF($C37&lt;1,"",BO$3*일별반별!BR37),0)</f>
        <v/>
      </c>
      <c r="BP37" s="401" t="str">
        <f>IFERROR(IF($C37&lt;1,"",BP$3*일별반별!BS37),0)</f>
        <v/>
      </c>
      <c r="BQ37" s="401" t="str">
        <f>IFERROR(IF($C37&lt;1,"",BQ$3*일별반별!BT37),0)</f>
        <v/>
      </c>
      <c r="BR37" s="417" t="str">
        <f>IFERROR(IF($C37&lt;1,"",BR$3*일별반별!BU37),0)</f>
        <v/>
      </c>
      <c r="BS37" s="417" t="str">
        <f>IFERROR(IF($C37&lt;1,"",BS$3*일별반별!BV37),0)</f>
        <v/>
      </c>
      <c r="BT37" s="417" t="str">
        <f>IFERROR(IF($C37&lt;1,"",BT$3*일별반별!BW37),0)</f>
        <v/>
      </c>
      <c r="BU37" s="316" t="str">
        <f>IFERROR(IF($C37&lt;1,"",BU$3*일별반별!BX37),0)</f>
        <v/>
      </c>
      <c r="BV37" s="316" t="str">
        <f>IFERROR(IF($C37&lt;1,"",BV$3*일별반별!BY37),0)</f>
        <v/>
      </c>
      <c r="BW37" s="316" t="str">
        <f>IFERROR(IF($C37&lt;1,"",BW$3*일별반별!BZ37),0)</f>
        <v/>
      </c>
      <c r="BX37" s="316" t="str">
        <f>IFERROR(IF($C37&lt;1,"",BX$3*일별반별!CA37),0)</f>
        <v/>
      </c>
      <c r="BY37" s="316" t="str">
        <f>IFERROR(IF($C37&lt;1,"",BY$3*일별반별!CB37),0)</f>
        <v/>
      </c>
      <c r="BZ37" s="316" t="str">
        <f>IFERROR(IF($C37&lt;1,"",BZ$3*일별반별!CC37),0)</f>
        <v/>
      </c>
      <c r="CA37" s="316" t="str">
        <f>IFERROR(IF($C37&lt;1,"",CA$3*일별반별!CD37),0)</f>
        <v/>
      </c>
      <c r="CB37" s="316" t="str">
        <f>IFERROR(IF($C37&lt;1,"",CB$3*일별반별!CE37),0)</f>
        <v/>
      </c>
      <c r="CC37" s="316" t="str">
        <f>IFERROR(IF($C37&lt;1,"",CC$3*일별반별!CF37),0)</f>
        <v/>
      </c>
      <c r="CD37" s="316" t="str">
        <f>IFERROR(IF($C37&lt;1,"",CD$3*일별반별!CG37),0)</f>
        <v/>
      </c>
      <c r="CE37" s="316" t="str">
        <f>IFERROR(IF($C37&lt;1,"",CE$3*일별반별!CH37),0)</f>
        <v/>
      </c>
      <c r="CF37" s="316" t="str">
        <f>IFERROR(IF($C37&lt;1,"",CF$3*일별반별!CI37),0)</f>
        <v/>
      </c>
      <c r="CG37" s="316" t="str">
        <f>IFERROR(IF($C37&lt;1,"",CG$3*일별반별!CJ37),0)</f>
        <v/>
      </c>
      <c r="CH37" s="316" t="str">
        <f>IFERROR(IF($C37&lt;1,"",CH$3*일별반별!CK37),0)</f>
        <v/>
      </c>
      <c r="CI37" s="316" t="str">
        <f>IFERROR(IF($C37&lt;1,"",CI$3*일별반별!CL37),0)</f>
        <v/>
      </c>
      <c r="CJ37" s="316" t="str">
        <f>IFERROR(IF($C37&lt;1,"",CJ$3*일별반별!CM37),0)</f>
        <v/>
      </c>
      <c r="CK37" s="316" t="str">
        <f>IFERROR(IF($C37&lt;1,"",CK$3*일별반별!CN37),0)</f>
        <v/>
      </c>
      <c r="CL37" s="316" t="str">
        <f>IFERROR(IF($C37&lt;1,"",CL$3*일별반별!CO37),0)</f>
        <v/>
      </c>
      <c r="CM37" s="316" t="str">
        <f>IFERROR(IF($C37&lt;1,"",CM$3*일별반별!CP37),0)</f>
        <v/>
      </c>
      <c r="CN37" s="316" t="str">
        <f>IFERROR(IF($C37&lt;1,"",CN$3*일별반별!CQ37),0)</f>
        <v/>
      </c>
      <c r="CO37" s="316" t="str">
        <f>IFERROR(IF($C37&lt;1,"",CO$3*일별반별!CR37),0)</f>
        <v/>
      </c>
      <c r="CP37" s="316" t="str">
        <f>IFERROR(IF($C37&lt;1,"",CP$3*일별반별!CS37),0)</f>
        <v/>
      </c>
      <c r="CQ37" s="316" t="str">
        <f>IFERROR(IF($C37&lt;1,"",CQ$3*일별반별!CT37),0)</f>
        <v/>
      </c>
      <c r="CR37" s="418" t="str">
        <f>IFERROR(IF($C37&lt;1,"",CR$3*일별반별!CU37),0)</f>
        <v/>
      </c>
      <c r="CS37" s="418" t="str">
        <f>IFERROR(IF($C37&lt;1,"",CS$3*일별반별!CV37),0)</f>
        <v/>
      </c>
      <c r="CT37" s="316" t="str">
        <f>IFERROR(IF($C37&lt;1,"",CT$3*일별반별!CW37),0)</f>
        <v/>
      </c>
      <c r="CU37" s="316" t="str">
        <f>IFERROR(IF($C37&lt;1,"",CU$3*일별반별!CX37),0)</f>
        <v/>
      </c>
      <c r="CV37" s="316" t="str">
        <f>IFERROR(IF($C37&lt;1,"",CV$3*일별반별!CY37),0)</f>
        <v/>
      </c>
      <c r="CW37" s="316" t="str">
        <f>IFERROR(IF($C37&lt;1,"",CW$3*일별반별!CZ37),0)</f>
        <v/>
      </c>
      <c r="CX37" s="316" t="str">
        <f>IFERROR(IF($C37&lt;1,"",CX$3*일별반별!DA37),0)</f>
        <v/>
      </c>
      <c r="CY37" s="316" t="str">
        <f>IF(C37&lt;1,"",(CY$3*'09월 조업일지'!AV$7))</f>
        <v/>
      </c>
      <c r="CZ37" s="316" t="str">
        <f t="shared" si="1"/>
        <v/>
      </c>
      <c r="DA37" s="316" t="str">
        <f t="shared" si="1"/>
        <v/>
      </c>
      <c r="DB37" s="316" t="str">
        <f t="shared" si="1"/>
        <v/>
      </c>
      <c r="DC37" s="316"/>
      <c r="DD37" s="419"/>
    </row>
    <row r="38" spans="1:108" ht="15" customHeight="1">
      <c r="A38" s="274">
        <f t="shared" si="2"/>
        <v>44019</v>
      </c>
      <c r="B38" s="275" t="s">
        <v>100</v>
      </c>
      <c r="C38" s="201">
        <f>COUNTIFS('09월 조업일지'!$A$12:$A$952,A36,'09월 조업일지'!$E$12:$E$952,B38)</f>
        <v>0</v>
      </c>
      <c r="D38" s="314">
        <f>IF(C38&lt;1,0,(SUM(E38:CX38)/(일별반별!BV38-1.5)+(CY38+CZ38+DA38+DB38)))</f>
        <v>0</v>
      </c>
      <c r="E38" s="278"/>
      <c r="F38" s="281"/>
      <c r="G38" s="282"/>
      <c r="H38" s="283"/>
      <c r="I38" s="283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326"/>
      <c r="U38" s="395" t="str">
        <f>IFERROR(IF($C38&lt;1,"",U$3*일별반별!X38),0)</f>
        <v/>
      </c>
      <c r="V38" s="395" t="str">
        <f>IFERROR(IF($C38&lt;1,"",V$3*일별반별!Y38),0)</f>
        <v/>
      </c>
      <c r="W38" s="395" t="str">
        <f>IFERROR(IF($C38&lt;1,"",W$3*일별반별!Z38),0)</f>
        <v/>
      </c>
      <c r="X38" s="208" t="str">
        <f>IFERROR(IF($C38&lt;1,"",X$3*일별반별!AA38),0)</f>
        <v/>
      </c>
      <c r="Y38" s="208" t="str">
        <f>IFERROR(IF($C38&lt;1,"",Y$3*일별반별!AB38),0)</f>
        <v/>
      </c>
      <c r="Z38" s="208" t="str">
        <f>IFERROR(IF($C38&lt;1,"",Z$3*일별반별!AC38),0)</f>
        <v/>
      </c>
      <c r="AA38" s="395" t="str">
        <f>IFERROR(IF($C38&lt;1,"",AA$3*일별반별!AD38),0)</f>
        <v/>
      </c>
      <c r="AB38" s="395" t="str">
        <f>IFERROR(IF($C38&lt;1,"",AB$3*일별반별!AE38),0)</f>
        <v/>
      </c>
      <c r="AC38" s="208" t="str">
        <f>IFERROR(IF($C38&lt;1,"",AC$3*일별반별!AF38),0)</f>
        <v/>
      </c>
      <c r="AD38" s="208" t="str">
        <f>IFERROR(IF($C38&lt;1,"",AD$3*일별반별!AG38),0)</f>
        <v/>
      </c>
      <c r="AE38" s="208" t="str">
        <f>IFERROR(IF($C38&lt;1,"",AE$3*일별반별!AH38),0)</f>
        <v/>
      </c>
      <c r="AF38" s="395" t="str">
        <f>IFERROR(IF($C38&lt;1,"",AF$3*일별반별!AI38),0)</f>
        <v/>
      </c>
      <c r="AG38" s="395" t="str">
        <f>IFERROR(IF($C38&lt;1,"",AG$3*일별반별!AJ38),0)</f>
        <v/>
      </c>
      <c r="AH38" s="395" t="str">
        <f>IFERROR(IF($C38&lt;1,"",AH$3*일별반별!AK38),0)</f>
        <v/>
      </c>
      <c r="AI38" s="395" t="str">
        <f>IFERROR(IF($C38&lt;1,"",AI$3*일별반별!AL38),0)</f>
        <v/>
      </c>
      <c r="AJ38" s="395" t="str">
        <f>IFERROR(IF($C38&lt;1,"",AJ$3*일별반별!AM38),0)</f>
        <v/>
      </c>
      <c r="AK38" s="395" t="str">
        <f>IFERROR(IF($C38&lt;1,"",AK$3*일별반별!AN38),0)</f>
        <v/>
      </c>
      <c r="AL38" s="395" t="str">
        <f>IFERROR(IF($C38&lt;1,"",AL$3*일별반별!AO38),0)</f>
        <v/>
      </c>
      <c r="AM38" s="395" t="str">
        <f>IFERROR(IF($C38&lt;1,"",AM$3*일별반별!AP38),0)</f>
        <v/>
      </c>
      <c r="AN38" s="395" t="str">
        <f>IFERROR(IF($C38&lt;1,"",AN$3*일별반별!AQ38),0)</f>
        <v/>
      </c>
      <c r="AO38" s="395" t="str">
        <f>IFERROR(IF($C38&lt;1,"",AO$3*일별반별!AR38),0)</f>
        <v/>
      </c>
      <c r="AP38" s="347" t="str">
        <f>IFERROR(IF($C38&lt;1,"",AP$3*일별반별!AS38),0)</f>
        <v/>
      </c>
      <c r="AQ38" s="347" t="str">
        <f>IFERROR(IF($C38&lt;1,"",AQ$3*일별반별!AT38),0)</f>
        <v/>
      </c>
      <c r="AR38" s="316" t="str">
        <f>IFERROR(IF($C38&lt;1,"",AR$3*일별반별!AU38),0)</f>
        <v/>
      </c>
      <c r="AS38" s="401" t="str">
        <f>IFERROR(IF($C38&lt;1,"",AS$3*일별반별!AV38),0)</f>
        <v/>
      </c>
      <c r="AT38" s="401" t="str">
        <f>IFERROR(IF($C38&lt;1,"",AT$3*일별반별!AW38),0)</f>
        <v/>
      </c>
      <c r="AU38" s="401" t="str">
        <f>IFERROR(IF($C38&lt;1,"",AU$3*일별반별!AX38),0)</f>
        <v/>
      </c>
      <c r="AV38" s="401" t="str">
        <f>IFERROR(IF($C38&lt;1,"",AV$3*일별반별!AY38),0)</f>
        <v/>
      </c>
      <c r="AW38" s="401" t="str">
        <f>IFERROR(IF($C38&lt;1,"",AW$3*일별반별!AZ38),0)</f>
        <v/>
      </c>
      <c r="AX38" s="401" t="str">
        <f>IFERROR(IF($C38&lt;1,"",AX$3*일별반별!BA38),0)</f>
        <v/>
      </c>
      <c r="AY38" s="401" t="str">
        <f>IFERROR(IF($C38&lt;1,"",AY$3*일별반별!BB38),0)</f>
        <v/>
      </c>
      <c r="AZ38" s="401" t="str">
        <f>IFERROR(IF($C38&lt;1,"",AZ$3*일별반별!BC38),0)</f>
        <v/>
      </c>
      <c r="BA38" s="401" t="str">
        <f>IFERROR(IF($C38&lt;1,"",BA$3*일별반별!BD38),0)</f>
        <v/>
      </c>
      <c r="BB38" s="402" t="str">
        <f>IFERROR(IF($C38&lt;1,"",BB$3*일별반별!BE38),0)</f>
        <v/>
      </c>
      <c r="BC38" s="402" t="str">
        <f>IFERROR(IF($C38&lt;1,"",BC$3*일별반별!BF38),0)</f>
        <v/>
      </c>
      <c r="BD38" s="402" t="str">
        <f>IFERROR(IF($C38&lt;1,"",BD$3*일별반별!BG38),0)</f>
        <v/>
      </c>
      <c r="BE38" s="402" t="str">
        <f>IFERROR(IF($C38&lt;1,"",BE$3*일별반별!BH38),0)</f>
        <v/>
      </c>
      <c r="BF38" s="402" t="str">
        <f>IFERROR(IF($C38&lt;1,"",BF$3*일별반별!BI38),0)</f>
        <v/>
      </c>
      <c r="BG38" s="402" t="str">
        <f>IFERROR(IF($C38&lt;1,"",BG$3*일별반별!BJ38),0)</f>
        <v/>
      </c>
      <c r="BH38" s="402" t="str">
        <f>IFERROR(IF($C38&lt;1,"",BH$3*일별반별!BK38),0)</f>
        <v/>
      </c>
      <c r="BI38" s="402" t="str">
        <f>IFERROR(IF($C38&lt;1,"",BI$3*일별반별!BL38),0)</f>
        <v/>
      </c>
      <c r="BJ38" s="402" t="str">
        <f>IFERROR(IF($C38&lt;1,"",BJ$3*일별반별!BM38),0)</f>
        <v/>
      </c>
      <c r="BK38" s="402" t="str">
        <f>IFERROR(IF($C38&lt;1,"",BK$3*일별반별!BN38),0)</f>
        <v/>
      </c>
      <c r="BL38" s="402" t="str">
        <f>IFERROR(IF($C38&lt;1,"",BL$3*일별반별!BH38),0)</f>
        <v/>
      </c>
      <c r="BM38" s="402" t="str">
        <f>IFERROR(IF($C38&lt;1,"",BM$3*일별반별!BP38),0)</f>
        <v/>
      </c>
      <c r="BN38" s="401" t="str">
        <f>IFERROR(IF($C38&lt;1,"",BN$3*일별반별!BQ38),0)</f>
        <v/>
      </c>
      <c r="BO38" s="401" t="str">
        <f>IFERROR(IF($C38&lt;1,"",BO$3*일별반별!BR38),0)</f>
        <v/>
      </c>
      <c r="BP38" s="401" t="str">
        <f>IFERROR(IF($C38&lt;1,"",BP$3*일별반별!BS38),0)</f>
        <v/>
      </c>
      <c r="BQ38" s="401" t="str">
        <f>IFERROR(IF($C38&lt;1,"",BQ$3*일별반별!BT38),0)</f>
        <v/>
      </c>
      <c r="BR38" s="417" t="str">
        <f>IFERROR(IF($C38&lt;1,"",BR$3*일별반별!BU38),0)</f>
        <v/>
      </c>
      <c r="BS38" s="417" t="str">
        <f>IFERROR(IF($C38&lt;1,"",BS$3*일별반별!BV38),0)</f>
        <v/>
      </c>
      <c r="BT38" s="417" t="str">
        <f>IFERROR(IF($C38&lt;1,"",BT$3*일별반별!BW38),0)</f>
        <v/>
      </c>
      <c r="BU38" s="316" t="str">
        <f>IFERROR(IF($C38&lt;1,"",BU$3*일별반별!BX38),0)</f>
        <v/>
      </c>
      <c r="BV38" s="316" t="str">
        <f>IFERROR(IF($C38&lt;1,"",BV$3*일별반별!BY38),0)</f>
        <v/>
      </c>
      <c r="BW38" s="316" t="str">
        <f>IFERROR(IF($C38&lt;1,"",BW$3*일별반별!BZ38),0)</f>
        <v/>
      </c>
      <c r="BX38" s="316" t="str">
        <f>IFERROR(IF($C38&lt;1,"",BX$3*일별반별!CA38),0)</f>
        <v/>
      </c>
      <c r="BY38" s="316" t="str">
        <f>IFERROR(IF($C38&lt;1,"",BY$3*일별반별!CB38),0)</f>
        <v/>
      </c>
      <c r="BZ38" s="316" t="str">
        <f>IFERROR(IF($C38&lt;1,"",BZ$3*일별반별!CC38),0)</f>
        <v/>
      </c>
      <c r="CA38" s="316" t="str">
        <f>IFERROR(IF($C38&lt;1,"",CA$3*일별반별!CD38),0)</f>
        <v/>
      </c>
      <c r="CB38" s="316" t="str">
        <f>IFERROR(IF($C38&lt;1,"",CB$3*일별반별!CE38),0)</f>
        <v/>
      </c>
      <c r="CC38" s="316" t="str">
        <f>IFERROR(IF($C38&lt;1,"",CC$3*일별반별!CF38),0)</f>
        <v/>
      </c>
      <c r="CD38" s="316" t="str">
        <f>IFERROR(IF($C38&lt;1,"",CD$3*일별반별!CG38),0)</f>
        <v/>
      </c>
      <c r="CE38" s="316" t="str">
        <f>IFERROR(IF($C38&lt;1,"",CE$3*일별반별!CH38),0)</f>
        <v/>
      </c>
      <c r="CF38" s="316" t="str">
        <f>IFERROR(IF($C38&lt;1,"",CF$3*일별반별!CI38),0)</f>
        <v/>
      </c>
      <c r="CG38" s="316" t="str">
        <f>IFERROR(IF($C38&lt;1,"",CG$3*일별반별!CJ38),0)</f>
        <v/>
      </c>
      <c r="CH38" s="316" t="str">
        <f>IFERROR(IF($C38&lt;1,"",CH$3*일별반별!CK38),0)</f>
        <v/>
      </c>
      <c r="CI38" s="316" t="str">
        <f>IFERROR(IF($C38&lt;1,"",CI$3*일별반별!CL38),0)</f>
        <v/>
      </c>
      <c r="CJ38" s="316" t="str">
        <f>IFERROR(IF($C38&lt;1,"",CJ$3*일별반별!CM38),0)</f>
        <v/>
      </c>
      <c r="CK38" s="316" t="str">
        <f>IFERROR(IF($C38&lt;1,"",CK$3*일별반별!CN38),0)</f>
        <v/>
      </c>
      <c r="CL38" s="316" t="str">
        <f>IFERROR(IF($C38&lt;1,"",CL$3*일별반별!CO38),0)</f>
        <v/>
      </c>
      <c r="CM38" s="316" t="str">
        <f>IFERROR(IF($C38&lt;1,"",CM$3*일별반별!CP38),0)</f>
        <v/>
      </c>
      <c r="CN38" s="316" t="str">
        <f>IFERROR(IF($C38&lt;1,"",CN$3*일별반별!CQ38),0)</f>
        <v/>
      </c>
      <c r="CO38" s="316" t="str">
        <f>IFERROR(IF($C38&lt;1,"",CO$3*일별반별!CR38),0)</f>
        <v/>
      </c>
      <c r="CP38" s="316" t="str">
        <f>IFERROR(IF($C38&lt;1,"",CP$3*일별반별!CS38),0)</f>
        <v/>
      </c>
      <c r="CQ38" s="316" t="str">
        <f>IFERROR(IF($C38&lt;1,"",CQ$3*일별반별!CT38),0)</f>
        <v/>
      </c>
      <c r="CR38" s="418" t="str">
        <f>IFERROR(IF($C38&lt;1,"",CR$3*일별반별!CU38),0)</f>
        <v/>
      </c>
      <c r="CS38" s="418" t="str">
        <f>IFERROR(IF($C38&lt;1,"",CS$3*일별반별!CV38),0)</f>
        <v/>
      </c>
      <c r="CT38" s="316" t="str">
        <f>IFERROR(IF($C38&lt;1,"",CT$3*일별반별!CW38),0)</f>
        <v/>
      </c>
      <c r="CU38" s="316" t="str">
        <f>IFERROR(IF($C38&lt;1,"",CU$3*일별반별!CX38),0)</f>
        <v/>
      </c>
      <c r="CV38" s="316" t="str">
        <f>IFERROR(IF($C38&lt;1,"",CV$3*일별반별!CY38),0)</f>
        <v/>
      </c>
      <c r="CW38" s="316" t="str">
        <f>IFERROR(IF($C38&lt;1,"",CW$3*일별반별!CZ38),0)</f>
        <v/>
      </c>
      <c r="CX38" s="316" t="str">
        <f>IFERROR(IF($C38&lt;1,"",CX$3*일별반별!DA38),0)</f>
        <v/>
      </c>
      <c r="CY38" s="316" t="str">
        <f>IF(C38&lt;1,"",(CY$3*'09월 조업일지'!AV$7))</f>
        <v/>
      </c>
      <c r="CZ38" s="316" t="str">
        <f t="shared" si="1"/>
        <v/>
      </c>
      <c r="DA38" s="316" t="str">
        <f t="shared" si="1"/>
        <v/>
      </c>
      <c r="DB38" s="316" t="str">
        <f t="shared" si="1"/>
        <v/>
      </c>
      <c r="DC38" s="316"/>
      <c r="DD38" s="419"/>
    </row>
    <row r="39" spans="1:108" ht="15" customHeight="1">
      <c r="A39" s="274">
        <f t="shared" si="2"/>
        <v>44019</v>
      </c>
      <c r="B39" s="275" t="s">
        <v>10</v>
      </c>
      <c r="C39" s="201">
        <f>COUNTIFS('09월 조업일지'!$A$12:$A$952,A36,'09월 조업일지'!$E$12:$E$952,B39)</f>
        <v>0</v>
      </c>
      <c r="D39" s="314">
        <f>IF(C39&lt;1,0,(SUM(E39:CX39)/(일별반별!BV39-1.5)+(CY39+CZ39+DA39+DB39)))</f>
        <v>0</v>
      </c>
      <c r="E39" s="278"/>
      <c r="F39" s="281"/>
      <c r="G39" s="282"/>
      <c r="H39" s="283"/>
      <c r="I39" s="283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326"/>
      <c r="U39" s="395" t="str">
        <f>IFERROR(IF($C39&lt;1,"",U$3*일별반별!X39),0)</f>
        <v/>
      </c>
      <c r="V39" s="395" t="str">
        <f>IFERROR(IF($C39&lt;1,"",V$3*일별반별!Y39),0)</f>
        <v/>
      </c>
      <c r="W39" s="395" t="str">
        <f>IFERROR(IF($C39&lt;1,"",W$3*일별반별!Z39),0)</f>
        <v/>
      </c>
      <c r="X39" s="208" t="str">
        <f>IFERROR(IF($C39&lt;1,"",X$3*일별반별!AA39),0)</f>
        <v/>
      </c>
      <c r="Y39" s="208" t="str">
        <f>IFERROR(IF($C39&lt;1,"",Y$3*일별반별!AB39),0)</f>
        <v/>
      </c>
      <c r="Z39" s="208" t="str">
        <f>IFERROR(IF($C39&lt;1,"",Z$3*일별반별!AC39),0)</f>
        <v/>
      </c>
      <c r="AA39" s="395" t="str">
        <f>IFERROR(IF($C39&lt;1,"",AA$3*일별반별!AD39),0)</f>
        <v/>
      </c>
      <c r="AB39" s="395" t="str">
        <f>IFERROR(IF($C39&lt;1,"",AB$3*일별반별!AE39),0)</f>
        <v/>
      </c>
      <c r="AC39" s="208" t="str">
        <f>IFERROR(IF($C39&lt;1,"",AC$3*일별반별!AF39),0)</f>
        <v/>
      </c>
      <c r="AD39" s="208" t="str">
        <f>IFERROR(IF($C39&lt;1,"",AD$3*일별반별!AG39),0)</f>
        <v/>
      </c>
      <c r="AE39" s="208" t="str">
        <f>IFERROR(IF($C39&lt;1,"",AE$3*일별반별!AH39),0)</f>
        <v/>
      </c>
      <c r="AF39" s="395" t="str">
        <f>IFERROR(IF($C39&lt;1,"",AF$3*일별반별!AI39),0)</f>
        <v/>
      </c>
      <c r="AG39" s="395" t="str">
        <f>IFERROR(IF($C39&lt;1,"",AG$3*일별반별!AJ39),0)</f>
        <v/>
      </c>
      <c r="AH39" s="395" t="str">
        <f>IFERROR(IF($C39&lt;1,"",AH$3*일별반별!AK39),0)</f>
        <v/>
      </c>
      <c r="AI39" s="395" t="str">
        <f>IFERROR(IF($C39&lt;1,"",AI$3*일별반별!AL39),0)</f>
        <v/>
      </c>
      <c r="AJ39" s="395" t="str">
        <f>IFERROR(IF($C39&lt;1,"",AJ$3*일별반별!AM39),0)</f>
        <v/>
      </c>
      <c r="AK39" s="395" t="str">
        <f>IFERROR(IF($C39&lt;1,"",AK$3*일별반별!AN39),0)</f>
        <v/>
      </c>
      <c r="AL39" s="395" t="str">
        <f>IFERROR(IF($C39&lt;1,"",AL$3*일별반별!AO39),0)</f>
        <v/>
      </c>
      <c r="AM39" s="395" t="str">
        <f>IFERROR(IF($C39&lt;1,"",AM$3*일별반별!AP39),0)</f>
        <v/>
      </c>
      <c r="AN39" s="395" t="str">
        <f>IFERROR(IF($C39&lt;1,"",AN$3*일별반별!AQ39),0)</f>
        <v/>
      </c>
      <c r="AO39" s="395" t="str">
        <f>IFERROR(IF($C39&lt;1,"",AO$3*일별반별!AR39),0)</f>
        <v/>
      </c>
      <c r="AP39" s="347" t="str">
        <f>IFERROR(IF($C39&lt;1,"",AP$3*일별반별!AS39),0)</f>
        <v/>
      </c>
      <c r="AQ39" s="347" t="str">
        <f>IFERROR(IF($C39&lt;1,"",AQ$3*일별반별!AT39),0)</f>
        <v/>
      </c>
      <c r="AR39" s="316" t="str">
        <f>IFERROR(IF($C39&lt;1,"",AR$3*일별반별!AU39),0)</f>
        <v/>
      </c>
      <c r="AS39" s="401" t="str">
        <f>IFERROR(IF($C39&lt;1,"",AS$3*일별반별!AV39),0)</f>
        <v/>
      </c>
      <c r="AT39" s="401" t="str">
        <f>IFERROR(IF($C39&lt;1,"",AT$3*일별반별!AW39),0)</f>
        <v/>
      </c>
      <c r="AU39" s="401" t="str">
        <f>IFERROR(IF($C39&lt;1,"",AU$3*일별반별!AX39),0)</f>
        <v/>
      </c>
      <c r="AV39" s="401" t="str">
        <f>IFERROR(IF($C39&lt;1,"",AV$3*일별반별!AY39),0)</f>
        <v/>
      </c>
      <c r="AW39" s="401" t="str">
        <f>IFERROR(IF($C39&lt;1,"",AW$3*일별반별!AZ39),0)</f>
        <v/>
      </c>
      <c r="AX39" s="401" t="str">
        <f>IFERROR(IF($C39&lt;1,"",AX$3*일별반별!BA39),0)</f>
        <v/>
      </c>
      <c r="AY39" s="401" t="str">
        <f>IFERROR(IF($C39&lt;1,"",AY$3*일별반별!BB39),0)</f>
        <v/>
      </c>
      <c r="AZ39" s="401" t="str">
        <f>IFERROR(IF($C39&lt;1,"",AZ$3*일별반별!BC39),0)</f>
        <v/>
      </c>
      <c r="BA39" s="401" t="str">
        <f>IFERROR(IF($C39&lt;1,"",BA$3*일별반별!BD39),0)</f>
        <v/>
      </c>
      <c r="BB39" s="402" t="str">
        <f>IFERROR(IF($C39&lt;1,"",BB$3*일별반별!BE39),0)</f>
        <v/>
      </c>
      <c r="BC39" s="402" t="str">
        <f>IFERROR(IF($C39&lt;1,"",BC$3*일별반별!BF39),0)</f>
        <v/>
      </c>
      <c r="BD39" s="402" t="str">
        <f>IFERROR(IF($C39&lt;1,"",BD$3*일별반별!BG39),0)</f>
        <v/>
      </c>
      <c r="BE39" s="402" t="str">
        <f>IFERROR(IF($C39&lt;1,"",BE$3*일별반별!BH39),0)</f>
        <v/>
      </c>
      <c r="BF39" s="402" t="str">
        <f>IFERROR(IF($C39&lt;1,"",BF$3*일별반별!BI39),0)</f>
        <v/>
      </c>
      <c r="BG39" s="402" t="str">
        <f>IFERROR(IF($C39&lt;1,"",BG$3*일별반별!BJ39),0)</f>
        <v/>
      </c>
      <c r="BH39" s="402" t="str">
        <f>IFERROR(IF($C39&lt;1,"",BH$3*일별반별!BK39),0)</f>
        <v/>
      </c>
      <c r="BI39" s="402" t="str">
        <f>IFERROR(IF($C39&lt;1,"",BI$3*일별반별!BL39),0)</f>
        <v/>
      </c>
      <c r="BJ39" s="402" t="str">
        <f>IFERROR(IF($C39&lt;1,"",BJ$3*일별반별!BM39),0)</f>
        <v/>
      </c>
      <c r="BK39" s="402" t="str">
        <f>IFERROR(IF($C39&lt;1,"",BK$3*일별반별!BN39),0)</f>
        <v/>
      </c>
      <c r="BL39" s="402" t="str">
        <f>IFERROR(IF($C39&lt;1,"",BL$3*일별반별!BH39),0)</f>
        <v/>
      </c>
      <c r="BM39" s="402" t="str">
        <f>IFERROR(IF($C39&lt;1,"",BM$3*일별반별!BP39),0)</f>
        <v/>
      </c>
      <c r="BN39" s="401" t="str">
        <f>IFERROR(IF($C39&lt;1,"",BN$3*일별반별!BQ39),0)</f>
        <v/>
      </c>
      <c r="BO39" s="401" t="str">
        <f>IFERROR(IF($C39&lt;1,"",BO$3*일별반별!BR39),0)</f>
        <v/>
      </c>
      <c r="BP39" s="401" t="str">
        <f>IFERROR(IF($C39&lt;1,"",BP$3*일별반별!BS39),0)</f>
        <v/>
      </c>
      <c r="BQ39" s="401" t="str">
        <f>IFERROR(IF($C39&lt;1,"",BQ$3*일별반별!BT39),0)</f>
        <v/>
      </c>
      <c r="BR39" s="417" t="str">
        <f>IFERROR(IF($C39&lt;1,"",BR$3*일별반별!BU39),0)</f>
        <v/>
      </c>
      <c r="BS39" s="417" t="str">
        <f>IFERROR(IF($C39&lt;1,"",BS$3*일별반별!BV39),0)</f>
        <v/>
      </c>
      <c r="BT39" s="417" t="str">
        <f>IFERROR(IF($C39&lt;1,"",BT$3*일별반별!BW39),0)</f>
        <v/>
      </c>
      <c r="BU39" s="316" t="str">
        <f>IFERROR(IF($C39&lt;1,"",BU$3*일별반별!BX39),0)</f>
        <v/>
      </c>
      <c r="BV39" s="316" t="str">
        <f>IFERROR(IF($C39&lt;1,"",BV$3*일별반별!BY39),0)</f>
        <v/>
      </c>
      <c r="BW39" s="316" t="str">
        <f>IFERROR(IF($C39&lt;1,"",BW$3*일별반별!BZ39),0)</f>
        <v/>
      </c>
      <c r="BX39" s="316" t="str">
        <f>IFERROR(IF($C39&lt;1,"",BX$3*일별반별!CA39),0)</f>
        <v/>
      </c>
      <c r="BY39" s="316" t="str">
        <f>IFERROR(IF($C39&lt;1,"",BY$3*일별반별!CB39),0)</f>
        <v/>
      </c>
      <c r="BZ39" s="316" t="str">
        <f>IFERROR(IF($C39&lt;1,"",BZ$3*일별반별!CC39),0)</f>
        <v/>
      </c>
      <c r="CA39" s="316" t="str">
        <f>IFERROR(IF($C39&lt;1,"",CA$3*일별반별!CD39),0)</f>
        <v/>
      </c>
      <c r="CB39" s="316" t="str">
        <f>IFERROR(IF($C39&lt;1,"",CB$3*일별반별!CE39),0)</f>
        <v/>
      </c>
      <c r="CC39" s="316" t="str">
        <f>IFERROR(IF($C39&lt;1,"",CC$3*일별반별!CF39),0)</f>
        <v/>
      </c>
      <c r="CD39" s="316" t="str">
        <f>IFERROR(IF($C39&lt;1,"",CD$3*일별반별!CG39),0)</f>
        <v/>
      </c>
      <c r="CE39" s="316" t="str">
        <f>IFERROR(IF($C39&lt;1,"",CE$3*일별반별!CH39),0)</f>
        <v/>
      </c>
      <c r="CF39" s="316" t="str">
        <f>IFERROR(IF($C39&lt;1,"",CF$3*일별반별!CI39),0)</f>
        <v/>
      </c>
      <c r="CG39" s="316" t="str">
        <f>IFERROR(IF($C39&lt;1,"",CG$3*일별반별!CJ39),0)</f>
        <v/>
      </c>
      <c r="CH39" s="316" t="str">
        <f>IFERROR(IF($C39&lt;1,"",CH$3*일별반별!CK39),0)</f>
        <v/>
      </c>
      <c r="CI39" s="316" t="str">
        <f>IFERROR(IF($C39&lt;1,"",CI$3*일별반별!CL39),0)</f>
        <v/>
      </c>
      <c r="CJ39" s="316" t="str">
        <f>IFERROR(IF($C39&lt;1,"",CJ$3*일별반별!CM39),0)</f>
        <v/>
      </c>
      <c r="CK39" s="316" t="str">
        <f>IFERROR(IF($C39&lt;1,"",CK$3*일별반별!CN39),0)</f>
        <v/>
      </c>
      <c r="CL39" s="316" t="str">
        <f>IFERROR(IF($C39&lt;1,"",CL$3*일별반별!CO39),0)</f>
        <v/>
      </c>
      <c r="CM39" s="316" t="str">
        <f>IFERROR(IF($C39&lt;1,"",CM$3*일별반별!CP39),0)</f>
        <v/>
      </c>
      <c r="CN39" s="316" t="str">
        <f>IFERROR(IF($C39&lt;1,"",CN$3*일별반별!CQ39),0)</f>
        <v/>
      </c>
      <c r="CO39" s="316" t="str">
        <f>IFERROR(IF($C39&lt;1,"",CO$3*일별반별!CR39),0)</f>
        <v/>
      </c>
      <c r="CP39" s="316" t="str">
        <f>IFERROR(IF($C39&lt;1,"",CP$3*일별반별!CS39),0)</f>
        <v/>
      </c>
      <c r="CQ39" s="316" t="str">
        <f>IFERROR(IF($C39&lt;1,"",CQ$3*일별반별!CT39),0)</f>
        <v/>
      </c>
      <c r="CR39" s="418" t="str">
        <f>IFERROR(IF($C39&lt;1,"",CR$3*일별반별!CU39),0)</f>
        <v/>
      </c>
      <c r="CS39" s="418" t="str">
        <f>IFERROR(IF($C39&lt;1,"",CS$3*일별반별!CV39),0)</f>
        <v/>
      </c>
      <c r="CT39" s="316" t="str">
        <f>IFERROR(IF($C39&lt;1,"",CT$3*일별반별!CW39),0)</f>
        <v/>
      </c>
      <c r="CU39" s="316" t="str">
        <f>IFERROR(IF($C39&lt;1,"",CU$3*일별반별!CX39),0)</f>
        <v/>
      </c>
      <c r="CV39" s="316" t="str">
        <f>IFERROR(IF($C39&lt;1,"",CV$3*일별반별!CY39),0)</f>
        <v/>
      </c>
      <c r="CW39" s="316" t="str">
        <f>IFERROR(IF($C39&lt;1,"",CW$3*일별반별!CZ39),0)</f>
        <v/>
      </c>
      <c r="CX39" s="316" t="str">
        <f>IFERROR(IF($C39&lt;1,"",CX$3*일별반별!DA39),0)</f>
        <v/>
      </c>
      <c r="CY39" s="316" t="str">
        <f>IF(C39&lt;1,"",(CY$3*'09월 조업일지'!AV$7))</f>
        <v/>
      </c>
      <c r="CZ39" s="316" t="str">
        <f t="shared" ref="CZ39:DB70" si="3">IF($C39&lt;1,"",CZ$3)</f>
        <v/>
      </c>
      <c r="DA39" s="316" t="str">
        <f t="shared" si="3"/>
        <v/>
      </c>
      <c r="DB39" s="316" t="str">
        <f t="shared" si="3"/>
        <v/>
      </c>
      <c r="DC39" s="316"/>
      <c r="DD39" s="419"/>
    </row>
    <row r="40" spans="1:108" ht="15" customHeight="1">
      <c r="A40" s="274">
        <f t="shared" si="2"/>
        <v>44019</v>
      </c>
      <c r="B40" s="275" t="s">
        <v>94</v>
      </c>
      <c r="C40" s="201">
        <f>COUNTIFS('09월 조업일지'!$A$12:$A$952,A36,'09월 조업일지'!$E$12:$E$952,B40)</f>
        <v>0</v>
      </c>
      <c r="D40" s="314">
        <f>IF(C40&lt;1,0,(SUM(E40:CX40)/(일별반별!BV40-1.5)+(CY40+CZ40+DA40+DB40)))</f>
        <v>0</v>
      </c>
      <c r="E40" s="278"/>
      <c r="F40" s="281"/>
      <c r="G40" s="282"/>
      <c r="H40" s="283"/>
      <c r="I40" s="283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326"/>
      <c r="U40" s="395" t="str">
        <f>IFERROR(IF($C40&lt;1,"",U$3*일별반별!X40),0)</f>
        <v/>
      </c>
      <c r="V40" s="395" t="str">
        <f>IFERROR(IF($C40&lt;1,"",V$3*일별반별!Y40),0)</f>
        <v/>
      </c>
      <c r="W40" s="395" t="str">
        <f>IFERROR(IF($C40&lt;1,"",W$3*일별반별!Z40),0)</f>
        <v/>
      </c>
      <c r="X40" s="208" t="str">
        <f>IFERROR(IF($C40&lt;1,"",X$3*일별반별!AA40),0)</f>
        <v/>
      </c>
      <c r="Y40" s="208" t="str">
        <f>IFERROR(IF($C40&lt;1,"",Y$3*일별반별!AB40),0)</f>
        <v/>
      </c>
      <c r="Z40" s="208" t="str">
        <f>IFERROR(IF($C40&lt;1,"",Z$3*일별반별!AC40),0)</f>
        <v/>
      </c>
      <c r="AA40" s="395" t="str">
        <f>IFERROR(IF($C40&lt;1,"",AA$3*일별반별!AD40),0)</f>
        <v/>
      </c>
      <c r="AB40" s="395" t="str">
        <f>IFERROR(IF($C40&lt;1,"",AB$3*일별반별!AE40),0)</f>
        <v/>
      </c>
      <c r="AC40" s="208" t="str">
        <f>IFERROR(IF($C40&lt;1,"",AC$3*일별반별!AF40),0)</f>
        <v/>
      </c>
      <c r="AD40" s="208" t="str">
        <f>IFERROR(IF($C40&lt;1,"",AD$3*일별반별!AG40),0)</f>
        <v/>
      </c>
      <c r="AE40" s="208" t="str">
        <f>IFERROR(IF($C40&lt;1,"",AE$3*일별반별!AH40),0)</f>
        <v/>
      </c>
      <c r="AF40" s="395" t="str">
        <f>IFERROR(IF($C40&lt;1,"",AF$3*일별반별!AI40),0)</f>
        <v/>
      </c>
      <c r="AG40" s="395" t="str">
        <f>IFERROR(IF($C40&lt;1,"",AG$3*일별반별!AJ40),0)</f>
        <v/>
      </c>
      <c r="AH40" s="395" t="str">
        <f>IFERROR(IF($C40&lt;1,"",AH$3*일별반별!AK40),0)</f>
        <v/>
      </c>
      <c r="AI40" s="395" t="str">
        <f>IFERROR(IF($C40&lt;1,"",AI$3*일별반별!AL40),0)</f>
        <v/>
      </c>
      <c r="AJ40" s="395" t="str">
        <f>IFERROR(IF($C40&lt;1,"",AJ$3*일별반별!AM40),0)</f>
        <v/>
      </c>
      <c r="AK40" s="395" t="str">
        <f>IFERROR(IF($C40&lt;1,"",AK$3*일별반별!AN40),0)</f>
        <v/>
      </c>
      <c r="AL40" s="395" t="str">
        <f>IFERROR(IF($C40&lt;1,"",AL$3*일별반별!AO40),0)</f>
        <v/>
      </c>
      <c r="AM40" s="395" t="str">
        <f>IFERROR(IF($C40&lt;1,"",AM$3*일별반별!AP40),0)</f>
        <v/>
      </c>
      <c r="AN40" s="395" t="str">
        <f>IFERROR(IF($C40&lt;1,"",AN$3*일별반별!AQ40),0)</f>
        <v/>
      </c>
      <c r="AO40" s="395" t="str">
        <f>IFERROR(IF($C40&lt;1,"",AO$3*일별반별!AR40),0)</f>
        <v/>
      </c>
      <c r="AP40" s="347" t="str">
        <f>IFERROR(IF($C40&lt;1,"",AP$3*일별반별!AS40),0)</f>
        <v/>
      </c>
      <c r="AQ40" s="347" t="str">
        <f>IFERROR(IF($C40&lt;1,"",AQ$3*일별반별!AT40),0)</f>
        <v/>
      </c>
      <c r="AR40" s="316" t="str">
        <f>IFERROR(IF($C40&lt;1,"",AR$3*일별반별!AU40),0)</f>
        <v/>
      </c>
      <c r="AS40" s="401" t="str">
        <f>IFERROR(IF($C40&lt;1,"",AS$3*일별반별!AV40),0)</f>
        <v/>
      </c>
      <c r="AT40" s="401" t="str">
        <f>IFERROR(IF($C40&lt;1,"",AT$3*일별반별!AW40),0)</f>
        <v/>
      </c>
      <c r="AU40" s="401" t="str">
        <f>IFERROR(IF($C40&lt;1,"",AU$3*일별반별!AX40),0)</f>
        <v/>
      </c>
      <c r="AV40" s="401" t="str">
        <f>IFERROR(IF($C40&lt;1,"",AV$3*일별반별!AY40),0)</f>
        <v/>
      </c>
      <c r="AW40" s="401" t="str">
        <f>IFERROR(IF($C40&lt;1,"",AW$3*일별반별!AZ40),0)</f>
        <v/>
      </c>
      <c r="AX40" s="401" t="str">
        <f>IFERROR(IF($C40&lt;1,"",AX$3*일별반별!BA40),0)</f>
        <v/>
      </c>
      <c r="AY40" s="401" t="str">
        <f>IFERROR(IF($C40&lt;1,"",AY$3*일별반별!BB40),0)</f>
        <v/>
      </c>
      <c r="AZ40" s="401" t="str">
        <f>IFERROR(IF($C40&lt;1,"",AZ$3*일별반별!BC40),0)</f>
        <v/>
      </c>
      <c r="BA40" s="401" t="str">
        <f>IFERROR(IF($C40&lt;1,"",BA$3*일별반별!BD40),0)</f>
        <v/>
      </c>
      <c r="BB40" s="402" t="str">
        <f>IFERROR(IF($C40&lt;1,"",BB$3*일별반별!BE40),0)</f>
        <v/>
      </c>
      <c r="BC40" s="402" t="str">
        <f>IFERROR(IF($C40&lt;1,"",BC$3*일별반별!BF40),0)</f>
        <v/>
      </c>
      <c r="BD40" s="402" t="str">
        <f>IFERROR(IF($C40&lt;1,"",BD$3*일별반별!BG40),0)</f>
        <v/>
      </c>
      <c r="BE40" s="402" t="str">
        <f>IFERROR(IF($C40&lt;1,"",BE$3*일별반별!BH40),0)</f>
        <v/>
      </c>
      <c r="BF40" s="402" t="str">
        <f>IFERROR(IF($C40&lt;1,"",BF$3*일별반별!BI40),0)</f>
        <v/>
      </c>
      <c r="BG40" s="402" t="str">
        <f>IFERROR(IF($C40&lt;1,"",BG$3*일별반별!BJ40),0)</f>
        <v/>
      </c>
      <c r="BH40" s="402" t="str">
        <f>IFERROR(IF($C40&lt;1,"",BH$3*일별반별!BK40),0)</f>
        <v/>
      </c>
      <c r="BI40" s="402" t="str">
        <f>IFERROR(IF($C40&lt;1,"",BI$3*일별반별!BL40),0)</f>
        <v/>
      </c>
      <c r="BJ40" s="402" t="str">
        <f>IFERROR(IF($C40&lt;1,"",BJ$3*일별반별!BM40),0)</f>
        <v/>
      </c>
      <c r="BK40" s="402" t="str">
        <f>IFERROR(IF($C40&lt;1,"",BK$3*일별반별!BN40),0)</f>
        <v/>
      </c>
      <c r="BL40" s="402" t="str">
        <f>IFERROR(IF($C40&lt;1,"",BL$3*일별반별!BH40),0)</f>
        <v/>
      </c>
      <c r="BM40" s="402" t="str">
        <f>IFERROR(IF($C40&lt;1,"",BM$3*일별반별!BP40),0)</f>
        <v/>
      </c>
      <c r="BN40" s="401" t="str">
        <f>IFERROR(IF($C40&lt;1,"",BN$3*일별반별!BQ40),0)</f>
        <v/>
      </c>
      <c r="BO40" s="401" t="str">
        <f>IFERROR(IF($C40&lt;1,"",BO$3*일별반별!BR40),0)</f>
        <v/>
      </c>
      <c r="BP40" s="401" t="str">
        <f>IFERROR(IF($C40&lt;1,"",BP$3*일별반별!BS40),0)</f>
        <v/>
      </c>
      <c r="BQ40" s="401" t="str">
        <f>IFERROR(IF($C40&lt;1,"",BQ$3*일별반별!BT40),0)</f>
        <v/>
      </c>
      <c r="BR40" s="417" t="str">
        <f>IFERROR(IF($C40&lt;1,"",BR$3*일별반별!BU40),0)</f>
        <v/>
      </c>
      <c r="BS40" s="417" t="str">
        <f>IFERROR(IF($C40&lt;1,"",BS$3*일별반별!BV40),0)</f>
        <v/>
      </c>
      <c r="BT40" s="417" t="str">
        <f>IFERROR(IF($C40&lt;1,"",BT$3*일별반별!BW40),0)</f>
        <v/>
      </c>
      <c r="BU40" s="316" t="str">
        <f>IFERROR(IF($C40&lt;1,"",BU$3*일별반별!BX40),0)</f>
        <v/>
      </c>
      <c r="BV40" s="316" t="str">
        <f>IFERROR(IF($C40&lt;1,"",BV$3*일별반별!BY40),0)</f>
        <v/>
      </c>
      <c r="BW40" s="316" t="str">
        <f>IFERROR(IF($C40&lt;1,"",BW$3*일별반별!BZ40),0)</f>
        <v/>
      </c>
      <c r="BX40" s="316" t="str">
        <f>IFERROR(IF($C40&lt;1,"",BX$3*일별반별!CA40),0)</f>
        <v/>
      </c>
      <c r="BY40" s="316" t="str">
        <f>IFERROR(IF($C40&lt;1,"",BY$3*일별반별!CB40),0)</f>
        <v/>
      </c>
      <c r="BZ40" s="316" t="str">
        <f>IFERROR(IF($C40&lt;1,"",BZ$3*일별반별!CC40),0)</f>
        <v/>
      </c>
      <c r="CA40" s="316" t="str">
        <f>IFERROR(IF($C40&lt;1,"",CA$3*일별반별!CD40),0)</f>
        <v/>
      </c>
      <c r="CB40" s="316" t="str">
        <f>IFERROR(IF($C40&lt;1,"",CB$3*일별반별!CE40),0)</f>
        <v/>
      </c>
      <c r="CC40" s="316" t="str">
        <f>IFERROR(IF($C40&lt;1,"",CC$3*일별반별!CF40),0)</f>
        <v/>
      </c>
      <c r="CD40" s="316" t="str">
        <f>IFERROR(IF($C40&lt;1,"",CD$3*일별반별!CG40),0)</f>
        <v/>
      </c>
      <c r="CE40" s="316" t="str">
        <f>IFERROR(IF($C40&lt;1,"",CE$3*일별반별!CH40),0)</f>
        <v/>
      </c>
      <c r="CF40" s="316" t="str">
        <f>IFERROR(IF($C40&lt;1,"",CF$3*일별반별!CI40),0)</f>
        <v/>
      </c>
      <c r="CG40" s="316" t="str">
        <f>IFERROR(IF($C40&lt;1,"",CG$3*일별반별!CJ40),0)</f>
        <v/>
      </c>
      <c r="CH40" s="316" t="str">
        <f>IFERROR(IF($C40&lt;1,"",CH$3*일별반별!CK40),0)</f>
        <v/>
      </c>
      <c r="CI40" s="316" t="str">
        <f>IFERROR(IF($C40&lt;1,"",CI$3*일별반별!CL40),0)</f>
        <v/>
      </c>
      <c r="CJ40" s="316" t="str">
        <f>IFERROR(IF($C40&lt;1,"",CJ$3*일별반별!CM40),0)</f>
        <v/>
      </c>
      <c r="CK40" s="316" t="str">
        <f>IFERROR(IF($C40&lt;1,"",CK$3*일별반별!CN40),0)</f>
        <v/>
      </c>
      <c r="CL40" s="316" t="str">
        <f>IFERROR(IF($C40&lt;1,"",CL$3*일별반별!CO40),0)</f>
        <v/>
      </c>
      <c r="CM40" s="316" t="str">
        <f>IFERROR(IF($C40&lt;1,"",CM$3*일별반별!CP40),0)</f>
        <v/>
      </c>
      <c r="CN40" s="316" t="str">
        <f>IFERROR(IF($C40&lt;1,"",CN$3*일별반별!CQ40),0)</f>
        <v/>
      </c>
      <c r="CO40" s="316" t="str">
        <f>IFERROR(IF($C40&lt;1,"",CO$3*일별반별!CR40),0)</f>
        <v/>
      </c>
      <c r="CP40" s="316" t="str">
        <f>IFERROR(IF($C40&lt;1,"",CP$3*일별반별!CS40),0)</f>
        <v/>
      </c>
      <c r="CQ40" s="316" t="str">
        <f>IFERROR(IF($C40&lt;1,"",CQ$3*일별반별!CT40),0)</f>
        <v/>
      </c>
      <c r="CR40" s="418" t="str">
        <f>IFERROR(IF($C40&lt;1,"",CR$3*일별반별!CU40),0)</f>
        <v/>
      </c>
      <c r="CS40" s="418" t="str">
        <f>IFERROR(IF($C40&lt;1,"",CS$3*일별반별!CV40),0)</f>
        <v/>
      </c>
      <c r="CT40" s="316" t="str">
        <f>IFERROR(IF($C40&lt;1,"",CT$3*일별반별!CW40),0)</f>
        <v/>
      </c>
      <c r="CU40" s="316" t="str">
        <f>IFERROR(IF($C40&lt;1,"",CU$3*일별반별!CX40),0)</f>
        <v/>
      </c>
      <c r="CV40" s="316" t="str">
        <f>IFERROR(IF($C40&lt;1,"",CV$3*일별반별!CY40),0)</f>
        <v/>
      </c>
      <c r="CW40" s="316" t="str">
        <f>IFERROR(IF($C40&lt;1,"",CW$3*일별반별!CZ40),0)</f>
        <v/>
      </c>
      <c r="CX40" s="316" t="str">
        <f>IFERROR(IF($C40&lt;1,"",CX$3*일별반별!DA40),0)</f>
        <v/>
      </c>
      <c r="CY40" s="316" t="str">
        <f>IF(C40&lt;1,"",(CY$3*'09월 조업일지'!AV$7))</f>
        <v/>
      </c>
      <c r="CZ40" s="316" t="str">
        <f t="shared" si="3"/>
        <v/>
      </c>
      <c r="DA40" s="316" t="str">
        <f t="shared" si="3"/>
        <v/>
      </c>
      <c r="DB40" s="316" t="str">
        <f t="shared" si="3"/>
        <v/>
      </c>
      <c r="DC40" s="316"/>
      <c r="DD40" s="419"/>
    </row>
    <row r="41" spans="1:108" ht="15" customHeight="1">
      <c r="A41" s="327">
        <f>A36+1</f>
        <v>44020</v>
      </c>
      <c r="B41" s="328" t="s">
        <v>31</v>
      </c>
      <c r="C41" s="329">
        <f>COUNTIF('09월 조업일지'!$A$12:$A$952,A41)</f>
        <v>0</v>
      </c>
      <c r="D41" s="330">
        <f>IF(C41&lt;1,0,(SUM(E41:CX41)/(일별반별!BV41-1.5)+(CY41+CZ41+DA41+DB41)))</f>
        <v>0</v>
      </c>
      <c r="E41" s="331"/>
      <c r="F41" s="331"/>
      <c r="G41" s="332"/>
      <c r="H41" s="333"/>
      <c r="I41" s="333"/>
      <c r="J41" s="334"/>
      <c r="K41" s="334"/>
      <c r="L41" s="334"/>
      <c r="M41" s="334"/>
      <c r="N41" s="334"/>
      <c r="O41" s="334"/>
      <c r="P41" s="334"/>
      <c r="Q41" s="335"/>
      <c r="R41" s="334"/>
      <c r="S41" s="335"/>
      <c r="T41" s="334"/>
      <c r="U41" s="337" t="str">
        <f>IFERROR(IF($C41&lt;1,"",U$3*일별반별!X41),0)</f>
        <v/>
      </c>
      <c r="V41" s="337" t="str">
        <f>IFERROR(IF($C41&lt;1,"",V$3*일별반별!Y41),0)</f>
        <v/>
      </c>
      <c r="W41" s="337" t="str">
        <f>IFERROR(IF($C41&lt;1,"",W$3*일별반별!Z41),0)</f>
        <v/>
      </c>
      <c r="X41" s="336" t="str">
        <f>IFERROR(IF($C41&lt;1,"",X$3*일별반별!AA41),0)</f>
        <v/>
      </c>
      <c r="Y41" s="336" t="str">
        <f>IFERROR(IF($C41&lt;1,"",Y$3*일별반별!AB41),0)</f>
        <v/>
      </c>
      <c r="Z41" s="336" t="str">
        <f>IFERROR(IF($C41&lt;1,"",Z$3*일별반별!AC41),0)</f>
        <v/>
      </c>
      <c r="AA41" s="337" t="str">
        <f>IFERROR(IF($C41&lt;1,"",AA$3*일별반별!AD41),0)</f>
        <v/>
      </c>
      <c r="AB41" s="337" t="str">
        <f>IFERROR(IF($C41&lt;1,"",AB$3*일별반별!AE41),0)</f>
        <v/>
      </c>
      <c r="AC41" s="336" t="str">
        <f>IFERROR(IF($C41&lt;1,"",AC$3*일별반별!AF41),0)</f>
        <v/>
      </c>
      <c r="AD41" s="336" t="str">
        <f>IFERROR(IF($C41&lt;1,"",AD$3*일별반별!AG41),0)</f>
        <v/>
      </c>
      <c r="AE41" s="336" t="str">
        <f>IFERROR(IF($C41&lt;1,"",AE$3*일별반별!AH41),0)</f>
        <v/>
      </c>
      <c r="AF41" s="337" t="str">
        <f>IFERROR(IF($C41&lt;1,"",AF$3*일별반별!AI41),0)</f>
        <v/>
      </c>
      <c r="AG41" s="337" t="str">
        <f>IFERROR(IF($C41&lt;1,"",AG$3*일별반별!AJ41),0)</f>
        <v/>
      </c>
      <c r="AH41" s="337" t="str">
        <f>IFERROR(IF($C41&lt;1,"",AH$3*일별반별!AK41),0)</f>
        <v/>
      </c>
      <c r="AI41" s="337" t="str">
        <f>IFERROR(IF($C41&lt;1,"",AI$3*일별반별!AL41),0)</f>
        <v/>
      </c>
      <c r="AJ41" s="337" t="str">
        <f>IFERROR(IF($C41&lt;1,"",AJ$3*일별반별!AM41),0)</f>
        <v/>
      </c>
      <c r="AK41" s="337" t="str">
        <f>IFERROR(IF($C41&lt;1,"",AK$3*일별반별!AN41),0)</f>
        <v/>
      </c>
      <c r="AL41" s="337" t="str">
        <f>IFERROR(IF($C41&lt;1,"",AL$3*일별반별!AO41),0)</f>
        <v/>
      </c>
      <c r="AM41" s="337" t="str">
        <f>IFERROR(IF($C41&lt;1,"",AM$3*일별반별!AP41),0)</f>
        <v/>
      </c>
      <c r="AN41" s="337" t="str">
        <f>IFERROR(IF($C41&lt;1,"",AN$3*일별반별!AQ41),0)</f>
        <v/>
      </c>
      <c r="AO41" s="337" t="str">
        <f>IFERROR(IF($C41&lt;1,"",AO$3*일별반별!AR41),0)</f>
        <v/>
      </c>
      <c r="AP41" s="337" t="str">
        <f>IFERROR(IF($C41&lt;1,"",AP$3*일별반별!AS41),0)</f>
        <v/>
      </c>
      <c r="AQ41" s="337" t="str">
        <f>IFERROR(IF($C41&lt;1,"",AQ$3*일별반별!AT41),0)</f>
        <v/>
      </c>
      <c r="AR41" s="337" t="str">
        <f>IFERROR(IF($C41&lt;1,"",AR$3*일별반별!AU41),0)</f>
        <v/>
      </c>
      <c r="AS41" s="403" t="str">
        <f>IFERROR(IF($C41&lt;1,"",AS$3*일별반별!AV41),0)</f>
        <v/>
      </c>
      <c r="AT41" s="403" t="str">
        <f>IFERROR(IF($C41&lt;1,"",AT$3*일별반별!AW41),0)</f>
        <v/>
      </c>
      <c r="AU41" s="403" t="str">
        <f>IFERROR(IF($C41&lt;1,"",AU$3*일별반별!AX41),0)</f>
        <v/>
      </c>
      <c r="AV41" s="403" t="str">
        <f>IFERROR(IF($C41&lt;1,"",AV$3*일별반별!AY41),0)</f>
        <v/>
      </c>
      <c r="AW41" s="403" t="str">
        <f>IFERROR(IF($C41&lt;1,"",AW$3*일별반별!AZ41),0)</f>
        <v/>
      </c>
      <c r="AX41" s="403" t="str">
        <f>IFERROR(IF($C41&lt;1,"",AX$3*일별반별!BA41),0)</f>
        <v/>
      </c>
      <c r="AY41" s="403" t="str">
        <f>IFERROR(IF($C41&lt;1,"",AY$3*일별반별!BB41),0)</f>
        <v/>
      </c>
      <c r="AZ41" s="403" t="str">
        <f>IFERROR(IF($C41&lt;1,"",AZ$3*일별반별!BC41),0)</f>
        <v/>
      </c>
      <c r="BA41" s="403" t="str">
        <f>IFERROR(IF($C41&lt;1,"",BA$3*일별반별!BD41),0)</f>
        <v/>
      </c>
      <c r="BB41" s="403" t="str">
        <f>IFERROR(IF($C41&lt;1,"",BB$3*일별반별!BE41),0)</f>
        <v/>
      </c>
      <c r="BC41" s="403" t="str">
        <f>IFERROR(IF($C41&lt;1,"",BC$3*일별반별!BF41),0)</f>
        <v/>
      </c>
      <c r="BD41" s="403" t="str">
        <f>IFERROR(IF($C41&lt;1,"",BD$3*일별반별!BG41),0)</f>
        <v/>
      </c>
      <c r="BE41" s="403" t="str">
        <f>IFERROR(IF($C41&lt;1,"",BE$3*일별반별!BH41),0)</f>
        <v/>
      </c>
      <c r="BF41" s="403" t="str">
        <f>IFERROR(IF($C41&lt;1,"",BF$3*일별반별!BI41),0)</f>
        <v/>
      </c>
      <c r="BG41" s="403" t="str">
        <f>IFERROR(IF($C41&lt;1,"",BG$3*일별반별!BJ41),0)</f>
        <v/>
      </c>
      <c r="BH41" s="403" t="str">
        <f>IFERROR(IF($C41&lt;1,"",BH$3*일별반별!BK41),0)</f>
        <v/>
      </c>
      <c r="BI41" s="403" t="str">
        <f>IFERROR(IF($C41&lt;1,"",BI$3*일별반별!BL41),0)</f>
        <v/>
      </c>
      <c r="BJ41" s="403" t="str">
        <f>IFERROR(IF($C41&lt;1,"",BJ$3*일별반별!BM41),0)</f>
        <v/>
      </c>
      <c r="BK41" s="403" t="str">
        <f>IFERROR(IF($C41&lt;1,"",BK$3*일별반별!BN41),0)</f>
        <v/>
      </c>
      <c r="BL41" s="403" t="str">
        <f>IFERROR(IF($C41&lt;1,"",BL$3*일별반별!BH41),0)</f>
        <v/>
      </c>
      <c r="BM41" s="403" t="str">
        <f>IFERROR(IF($C41&lt;1,"",BM$3*일별반별!BP41),0)</f>
        <v/>
      </c>
      <c r="BN41" s="403" t="str">
        <f>IFERROR(IF($C41&lt;1,"",BN$3*일별반별!BQ41),0)</f>
        <v/>
      </c>
      <c r="BO41" s="403" t="str">
        <f>IFERROR(IF($C41&lt;1,"",BO$3*일별반별!BR41),0)</f>
        <v/>
      </c>
      <c r="BP41" s="403" t="str">
        <f>IFERROR(IF($C41&lt;1,"",BP$3*일별반별!BS41),0)</f>
        <v/>
      </c>
      <c r="BQ41" s="403" t="str">
        <f>IFERROR(IF($C41&lt;1,"",BQ$3*일별반별!BT41),0)</f>
        <v/>
      </c>
      <c r="BR41" s="337" t="str">
        <f>IFERROR(IF($C41&lt;1,"",BR$3*일별반별!BU41),0)</f>
        <v/>
      </c>
      <c r="BS41" s="337" t="str">
        <f>IFERROR(IF($C41&lt;1,"",BS$3*일별반별!BV41),0)</f>
        <v/>
      </c>
      <c r="BT41" s="337" t="str">
        <f>IFERROR(IF($C41&lt;1,"",BT$3*일별반별!BW41),0)</f>
        <v/>
      </c>
      <c r="BU41" s="337" t="str">
        <f>IFERROR(IF($C41&lt;1,"",BU$3*일별반별!BX41),0)</f>
        <v/>
      </c>
      <c r="BV41" s="337" t="str">
        <f>IFERROR(IF($C41&lt;1,"",BV$3*일별반별!BY41),0)</f>
        <v/>
      </c>
      <c r="BW41" s="337" t="str">
        <f>IFERROR(IF($C41&lt;1,"",BW$3*일별반별!BZ41),0)</f>
        <v/>
      </c>
      <c r="BX41" s="337" t="str">
        <f>IFERROR(IF($C41&lt;1,"",BX$3*일별반별!CA41),0)</f>
        <v/>
      </c>
      <c r="BY41" s="337" t="str">
        <f>IFERROR(IF($C41&lt;1,"",BY$3*일별반별!CB41),0)</f>
        <v/>
      </c>
      <c r="BZ41" s="337" t="str">
        <f>IFERROR(IF($C41&lt;1,"",BZ$3*일별반별!CC41),0)</f>
        <v/>
      </c>
      <c r="CA41" s="337" t="str">
        <f>IFERROR(IF($C41&lt;1,"",CA$3*일별반별!CD41),0)</f>
        <v/>
      </c>
      <c r="CB41" s="337" t="str">
        <f>IFERROR(IF($C41&lt;1,"",CB$3*일별반별!CE41),0)</f>
        <v/>
      </c>
      <c r="CC41" s="337" t="str">
        <f>IFERROR(IF($C41&lt;1,"",CC$3*일별반별!CF41),0)</f>
        <v/>
      </c>
      <c r="CD41" s="337" t="str">
        <f>IFERROR(IF($C41&lt;1,"",CD$3*일별반별!CG41),0)</f>
        <v/>
      </c>
      <c r="CE41" s="337" t="str">
        <f>IFERROR(IF($C41&lt;1,"",CE$3*일별반별!CH41),0)</f>
        <v/>
      </c>
      <c r="CF41" s="337" t="str">
        <f>IFERROR(IF($C41&lt;1,"",CF$3*일별반별!CI41),0)</f>
        <v/>
      </c>
      <c r="CG41" s="337" t="str">
        <f>IFERROR(IF($C41&lt;1,"",CG$3*일별반별!CJ41),0)</f>
        <v/>
      </c>
      <c r="CH41" s="337" t="str">
        <f>IFERROR(IF($C41&lt;1,"",CH$3*일별반별!CK41),0)</f>
        <v/>
      </c>
      <c r="CI41" s="337" t="str">
        <f>IFERROR(IF($C41&lt;1,"",CI$3*일별반별!CL41),0)</f>
        <v/>
      </c>
      <c r="CJ41" s="337" t="str">
        <f>IFERROR(IF($C41&lt;1,"",CJ$3*일별반별!CM41),0)</f>
        <v/>
      </c>
      <c r="CK41" s="337" t="str">
        <f>IFERROR(IF($C41&lt;1,"",CK$3*일별반별!CN41),0)</f>
        <v/>
      </c>
      <c r="CL41" s="337" t="str">
        <f>IFERROR(IF($C41&lt;1,"",CL$3*일별반별!CO41),0)</f>
        <v/>
      </c>
      <c r="CM41" s="337" t="str">
        <f>IFERROR(IF($C41&lt;1,"",CM$3*일별반별!CP41),0)</f>
        <v/>
      </c>
      <c r="CN41" s="337" t="str">
        <f>IFERROR(IF($C41&lt;1,"",CN$3*일별반별!CQ41),0)</f>
        <v/>
      </c>
      <c r="CO41" s="337" t="str">
        <f>IFERROR(IF($C41&lt;1,"",CO$3*일별반별!CR41),0)</f>
        <v/>
      </c>
      <c r="CP41" s="337" t="str">
        <f>IFERROR(IF($C41&lt;1,"",CP$3*일별반별!CS41),0)</f>
        <v/>
      </c>
      <c r="CQ41" s="337" t="str">
        <f>IFERROR(IF($C41&lt;1,"",CQ$3*일별반별!CT41),0)</f>
        <v/>
      </c>
      <c r="CR41" s="420" t="str">
        <f>IFERROR(IF($C41&lt;1,"",CR$3*일별반별!CU41),0)</f>
        <v/>
      </c>
      <c r="CS41" s="420" t="str">
        <f>IFERROR(IF($C41&lt;1,"",CS$3*일별반별!CV41),0)</f>
        <v/>
      </c>
      <c r="CT41" s="337" t="str">
        <f>IFERROR(IF($C41&lt;1,"",CT$3*일별반별!CW41),0)</f>
        <v/>
      </c>
      <c r="CU41" s="337" t="str">
        <f>IFERROR(IF($C41&lt;1,"",CU$3*일별반별!CX41),0)</f>
        <v/>
      </c>
      <c r="CV41" s="337" t="str">
        <f>IFERROR(IF($C41&lt;1,"",CV$3*일별반별!CY41),0)</f>
        <v/>
      </c>
      <c r="CW41" s="337" t="str">
        <f>IFERROR(IF($C41&lt;1,"",CW$3*일별반별!CZ41),0)</f>
        <v/>
      </c>
      <c r="CX41" s="337" t="str">
        <f>IFERROR(IF($C41&lt;1,"",CX$3*일별반별!DA41),0)</f>
        <v/>
      </c>
      <c r="CY41" s="316" t="str">
        <f>IF(C41&lt;1,"",(CY$3*'09월 조업일지'!AV$7))</f>
        <v/>
      </c>
      <c r="CZ41" s="316" t="str">
        <f t="shared" si="3"/>
        <v/>
      </c>
      <c r="DA41" s="316" t="str">
        <f t="shared" si="3"/>
        <v/>
      </c>
      <c r="DB41" s="316" t="str">
        <f t="shared" si="3"/>
        <v/>
      </c>
      <c r="DC41" s="316"/>
      <c r="DD41" s="419"/>
    </row>
    <row r="42" spans="1:108" ht="15" customHeight="1">
      <c r="A42" s="274">
        <f t="shared" si="2"/>
        <v>44020</v>
      </c>
      <c r="B42" s="275" t="s">
        <v>9</v>
      </c>
      <c r="C42" s="201">
        <f>COUNTIFS('09월 조업일지'!$A$12:$A$952,A41,'09월 조업일지'!$E$12:$E$952,B42)</f>
        <v>0</v>
      </c>
      <c r="D42" s="314">
        <f>IF(C42&lt;1,0,(SUM(E42:CX42)/(일별반별!BV42-1.5)+(CY42+CZ42+DA42+DB42)))</f>
        <v>0</v>
      </c>
      <c r="E42" s="278"/>
      <c r="F42" s="281"/>
      <c r="G42" s="282"/>
      <c r="H42" s="283"/>
      <c r="I42" s="283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326"/>
      <c r="U42" s="395" t="str">
        <f>IFERROR(IF($C42&lt;1,"",U$3*일별반별!X42),0)</f>
        <v/>
      </c>
      <c r="V42" s="395" t="str">
        <f>IFERROR(IF($C42&lt;1,"",V$3*일별반별!Y42),0)</f>
        <v/>
      </c>
      <c r="W42" s="395" t="str">
        <f>IFERROR(IF($C42&lt;1,"",W$3*일별반별!Z42),0)</f>
        <v/>
      </c>
      <c r="X42" s="208" t="str">
        <f>IFERROR(IF($C42&lt;1,"",X$3*일별반별!AA42),0)</f>
        <v/>
      </c>
      <c r="Y42" s="208" t="str">
        <f>IFERROR(IF($C42&lt;1,"",Y$3*일별반별!AB42),0)</f>
        <v/>
      </c>
      <c r="Z42" s="208" t="str">
        <f>IFERROR(IF($C42&lt;1,"",Z$3*일별반별!AC42),0)</f>
        <v/>
      </c>
      <c r="AA42" s="395" t="str">
        <f>IFERROR(IF($C42&lt;1,"",AA$3*일별반별!AD42),0)</f>
        <v/>
      </c>
      <c r="AB42" s="395" t="str">
        <f>IFERROR(IF($C42&lt;1,"",AB$3*일별반별!AE42),0)</f>
        <v/>
      </c>
      <c r="AC42" s="208" t="str">
        <f>IFERROR(IF($C42&lt;1,"",AC$3*일별반별!AF42),0)</f>
        <v/>
      </c>
      <c r="AD42" s="208" t="str">
        <f>IFERROR(IF($C42&lt;1,"",AD$3*일별반별!AG42),0)</f>
        <v/>
      </c>
      <c r="AE42" s="208" t="str">
        <f>IFERROR(IF($C42&lt;1,"",AE$3*일별반별!AH42),0)</f>
        <v/>
      </c>
      <c r="AF42" s="395" t="str">
        <f>IFERROR(IF($C42&lt;1,"",AF$3*일별반별!AI42),0)</f>
        <v/>
      </c>
      <c r="AG42" s="395" t="str">
        <f>IFERROR(IF($C42&lt;1,"",AG$3*일별반별!AJ42),0)</f>
        <v/>
      </c>
      <c r="AH42" s="395" t="str">
        <f>IFERROR(IF($C42&lt;1,"",AH$3*일별반별!AK42),0)</f>
        <v/>
      </c>
      <c r="AI42" s="395" t="str">
        <f>IFERROR(IF($C42&lt;1,"",AI$3*일별반별!AL42),0)</f>
        <v/>
      </c>
      <c r="AJ42" s="395" t="str">
        <f>IFERROR(IF($C42&lt;1,"",AJ$3*일별반별!AM42),0)</f>
        <v/>
      </c>
      <c r="AK42" s="395" t="str">
        <f>IFERROR(IF($C42&lt;1,"",AK$3*일별반별!AN42),0)</f>
        <v/>
      </c>
      <c r="AL42" s="395" t="str">
        <f>IFERROR(IF($C42&lt;1,"",AL$3*일별반별!AO42),0)</f>
        <v/>
      </c>
      <c r="AM42" s="395" t="str">
        <f>IFERROR(IF($C42&lt;1,"",AM$3*일별반별!AP42),0)</f>
        <v/>
      </c>
      <c r="AN42" s="395" t="str">
        <f>IFERROR(IF($C42&lt;1,"",AN$3*일별반별!AQ42),0)</f>
        <v/>
      </c>
      <c r="AO42" s="395" t="str">
        <f>IFERROR(IF($C42&lt;1,"",AO$3*일별반별!AR42),0)</f>
        <v/>
      </c>
      <c r="AP42" s="347" t="str">
        <f>IFERROR(IF($C42&lt;1,"",AP$3*일별반별!AS42),0)</f>
        <v/>
      </c>
      <c r="AQ42" s="347" t="str">
        <f>IFERROR(IF($C42&lt;1,"",AQ$3*일별반별!AT42),0)</f>
        <v/>
      </c>
      <c r="AR42" s="316" t="str">
        <f>IFERROR(IF($C42&lt;1,"",AR$3*일별반별!AU42),0)</f>
        <v/>
      </c>
      <c r="AS42" s="401" t="str">
        <f>IFERROR(IF($C42&lt;1,"",AS$3*일별반별!AV42),0)</f>
        <v/>
      </c>
      <c r="AT42" s="401" t="str">
        <f>IFERROR(IF($C42&lt;1,"",AT$3*일별반별!AW42),0)</f>
        <v/>
      </c>
      <c r="AU42" s="401" t="str">
        <f>IFERROR(IF($C42&lt;1,"",AU$3*일별반별!AX42),0)</f>
        <v/>
      </c>
      <c r="AV42" s="401" t="str">
        <f>IFERROR(IF($C42&lt;1,"",AV$3*일별반별!AY42),0)</f>
        <v/>
      </c>
      <c r="AW42" s="401" t="str">
        <f>IFERROR(IF($C42&lt;1,"",AW$3*일별반별!AZ42),0)</f>
        <v/>
      </c>
      <c r="AX42" s="401" t="str">
        <f>IFERROR(IF($C42&lt;1,"",AX$3*일별반별!BA42),0)</f>
        <v/>
      </c>
      <c r="AY42" s="401" t="str">
        <f>IFERROR(IF($C42&lt;1,"",AY$3*일별반별!BB42),0)</f>
        <v/>
      </c>
      <c r="AZ42" s="401" t="str">
        <f>IFERROR(IF($C42&lt;1,"",AZ$3*일별반별!BC42),0)</f>
        <v/>
      </c>
      <c r="BA42" s="401" t="str">
        <f>IFERROR(IF($C42&lt;1,"",BA$3*일별반별!BD42),0)</f>
        <v/>
      </c>
      <c r="BB42" s="402" t="str">
        <f>IFERROR(IF($C42&lt;1,"",BB$3*일별반별!BE42),0)</f>
        <v/>
      </c>
      <c r="BC42" s="402" t="str">
        <f>IFERROR(IF($C42&lt;1,"",BC$3*일별반별!BF42),0)</f>
        <v/>
      </c>
      <c r="BD42" s="402" t="str">
        <f>IFERROR(IF($C42&lt;1,"",BD$3*일별반별!BG42),0)</f>
        <v/>
      </c>
      <c r="BE42" s="402" t="str">
        <f>IFERROR(IF($C42&lt;1,"",BE$3*일별반별!BH42),0)</f>
        <v/>
      </c>
      <c r="BF42" s="402" t="str">
        <f>IFERROR(IF($C42&lt;1,"",BF$3*일별반별!BI42),0)</f>
        <v/>
      </c>
      <c r="BG42" s="402" t="str">
        <f>IFERROR(IF($C42&lt;1,"",BG$3*일별반별!BJ42),0)</f>
        <v/>
      </c>
      <c r="BH42" s="402" t="str">
        <f>IFERROR(IF($C42&lt;1,"",BH$3*일별반별!BK42),0)</f>
        <v/>
      </c>
      <c r="BI42" s="402" t="str">
        <f>IFERROR(IF($C42&lt;1,"",BI$3*일별반별!BL42),0)</f>
        <v/>
      </c>
      <c r="BJ42" s="402" t="str">
        <f>IFERROR(IF($C42&lt;1,"",BJ$3*일별반별!BM42),0)</f>
        <v/>
      </c>
      <c r="BK42" s="402" t="str">
        <f>IFERROR(IF($C42&lt;1,"",BK$3*일별반별!BN42),0)</f>
        <v/>
      </c>
      <c r="BL42" s="402" t="str">
        <f>IFERROR(IF($C42&lt;1,"",BL$3*일별반별!BH42),0)</f>
        <v/>
      </c>
      <c r="BM42" s="402" t="str">
        <f>IFERROR(IF($C42&lt;1,"",BM$3*일별반별!BP42),0)</f>
        <v/>
      </c>
      <c r="BN42" s="401" t="str">
        <f>IFERROR(IF($C42&lt;1,"",BN$3*일별반별!BQ42),0)</f>
        <v/>
      </c>
      <c r="BO42" s="401" t="str">
        <f>IFERROR(IF($C42&lt;1,"",BO$3*일별반별!BR42),0)</f>
        <v/>
      </c>
      <c r="BP42" s="401" t="str">
        <f>IFERROR(IF($C42&lt;1,"",BP$3*일별반별!BS42),0)</f>
        <v/>
      </c>
      <c r="BQ42" s="401" t="str">
        <f>IFERROR(IF($C42&lt;1,"",BQ$3*일별반별!BT42),0)</f>
        <v/>
      </c>
      <c r="BR42" s="417" t="str">
        <f>IFERROR(IF($C42&lt;1,"",BR$3*일별반별!BU42),0)</f>
        <v/>
      </c>
      <c r="BS42" s="417" t="str">
        <f>IFERROR(IF($C42&lt;1,"",BS$3*일별반별!BV42),0)</f>
        <v/>
      </c>
      <c r="BT42" s="417" t="str">
        <f>IFERROR(IF($C42&lt;1,"",BT$3*일별반별!BW42),0)</f>
        <v/>
      </c>
      <c r="BU42" s="316" t="str">
        <f>IFERROR(IF($C42&lt;1,"",BU$3*일별반별!BX42),0)</f>
        <v/>
      </c>
      <c r="BV42" s="316" t="str">
        <f>IFERROR(IF($C42&lt;1,"",BV$3*일별반별!BY42),0)</f>
        <v/>
      </c>
      <c r="BW42" s="316" t="str">
        <f>IFERROR(IF($C42&lt;1,"",BW$3*일별반별!BZ42),0)</f>
        <v/>
      </c>
      <c r="BX42" s="316" t="str">
        <f>IFERROR(IF($C42&lt;1,"",BX$3*일별반별!CA42),0)</f>
        <v/>
      </c>
      <c r="BY42" s="316" t="str">
        <f>IFERROR(IF($C42&lt;1,"",BY$3*일별반별!CB42),0)</f>
        <v/>
      </c>
      <c r="BZ42" s="316" t="str">
        <f>IFERROR(IF($C42&lt;1,"",BZ$3*일별반별!CC42),0)</f>
        <v/>
      </c>
      <c r="CA42" s="316" t="str">
        <f>IFERROR(IF($C42&lt;1,"",CA$3*일별반별!CD42),0)</f>
        <v/>
      </c>
      <c r="CB42" s="316" t="str">
        <f>IFERROR(IF($C42&lt;1,"",CB$3*일별반별!CE42),0)</f>
        <v/>
      </c>
      <c r="CC42" s="316" t="str">
        <f>IFERROR(IF($C42&lt;1,"",CC$3*일별반별!CF42),0)</f>
        <v/>
      </c>
      <c r="CD42" s="316" t="str">
        <f>IFERROR(IF($C42&lt;1,"",CD$3*일별반별!CG42),0)</f>
        <v/>
      </c>
      <c r="CE42" s="316" t="str">
        <f>IFERROR(IF($C42&lt;1,"",CE$3*일별반별!CH42),0)</f>
        <v/>
      </c>
      <c r="CF42" s="316" t="str">
        <f>IFERROR(IF($C42&lt;1,"",CF$3*일별반별!CI42),0)</f>
        <v/>
      </c>
      <c r="CG42" s="316" t="str">
        <f>IFERROR(IF($C42&lt;1,"",CG$3*일별반별!CJ42),0)</f>
        <v/>
      </c>
      <c r="CH42" s="316" t="str">
        <f>IFERROR(IF($C42&lt;1,"",CH$3*일별반별!CK42),0)</f>
        <v/>
      </c>
      <c r="CI42" s="316" t="str">
        <f>IFERROR(IF($C42&lt;1,"",CI$3*일별반별!CL42),0)</f>
        <v/>
      </c>
      <c r="CJ42" s="316" t="str">
        <f>IFERROR(IF($C42&lt;1,"",CJ$3*일별반별!CM42),0)</f>
        <v/>
      </c>
      <c r="CK42" s="316" t="str">
        <f>IFERROR(IF($C42&lt;1,"",CK$3*일별반별!CN42),0)</f>
        <v/>
      </c>
      <c r="CL42" s="316" t="str">
        <f>IFERROR(IF($C42&lt;1,"",CL$3*일별반별!CO42),0)</f>
        <v/>
      </c>
      <c r="CM42" s="316" t="str">
        <f>IFERROR(IF($C42&lt;1,"",CM$3*일별반별!CP42),0)</f>
        <v/>
      </c>
      <c r="CN42" s="316" t="str">
        <f>IFERROR(IF($C42&lt;1,"",CN$3*일별반별!CQ42),0)</f>
        <v/>
      </c>
      <c r="CO42" s="316" t="str">
        <f>IFERROR(IF($C42&lt;1,"",CO$3*일별반별!CR42),0)</f>
        <v/>
      </c>
      <c r="CP42" s="316" t="str">
        <f>IFERROR(IF($C42&lt;1,"",CP$3*일별반별!CS42),0)</f>
        <v/>
      </c>
      <c r="CQ42" s="316" t="str">
        <f>IFERROR(IF($C42&lt;1,"",CQ$3*일별반별!CT42),0)</f>
        <v/>
      </c>
      <c r="CR42" s="418" t="str">
        <f>IFERROR(IF($C42&lt;1,"",CR$3*일별반별!CU42),0)</f>
        <v/>
      </c>
      <c r="CS42" s="418" t="str">
        <f>IFERROR(IF($C42&lt;1,"",CS$3*일별반별!CV42),0)</f>
        <v/>
      </c>
      <c r="CT42" s="316" t="str">
        <f>IFERROR(IF($C42&lt;1,"",CT$3*일별반별!CW42),0)</f>
        <v/>
      </c>
      <c r="CU42" s="316" t="str">
        <f>IFERROR(IF($C42&lt;1,"",CU$3*일별반별!CX42),0)</f>
        <v/>
      </c>
      <c r="CV42" s="316" t="str">
        <f>IFERROR(IF($C42&lt;1,"",CV$3*일별반별!CY42),0)</f>
        <v/>
      </c>
      <c r="CW42" s="316" t="str">
        <f>IFERROR(IF($C42&lt;1,"",CW$3*일별반별!CZ42),0)</f>
        <v/>
      </c>
      <c r="CX42" s="316" t="str">
        <f>IFERROR(IF($C42&lt;1,"",CX$3*일별반별!DA42),0)</f>
        <v/>
      </c>
      <c r="CY42" s="316" t="str">
        <f>IF(C42&lt;1,"",(CY$3*'09월 조업일지'!AV$7))</f>
        <v/>
      </c>
      <c r="CZ42" s="316" t="str">
        <f t="shared" si="3"/>
        <v/>
      </c>
      <c r="DA42" s="316" t="str">
        <f t="shared" si="3"/>
        <v/>
      </c>
      <c r="DB42" s="316" t="str">
        <f t="shared" si="3"/>
        <v/>
      </c>
      <c r="DC42" s="316"/>
      <c r="DD42" s="419"/>
    </row>
    <row r="43" spans="1:108" ht="15" customHeight="1">
      <c r="A43" s="274">
        <f t="shared" si="2"/>
        <v>44020</v>
      </c>
      <c r="B43" s="275" t="s">
        <v>100</v>
      </c>
      <c r="C43" s="201">
        <f>COUNTIFS('09월 조업일지'!$A$12:$A$952,A41,'09월 조업일지'!$E$12:$E$952,B43)</f>
        <v>0</v>
      </c>
      <c r="D43" s="314">
        <f>IF(C43&lt;1,0,(SUM(E43:CX43)/(일별반별!BV43-1.5)+(CY43+CZ43+DA43+DB43)))</f>
        <v>0</v>
      </c>
      <c r="E43" s="278"/>
      <c r="F43" s="281"/>
      <c r="G43" s="282"/>
      <c r="H43" s="283"/>
      <c r="I43" s="283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326"/>
      <c r="U43" s="395" t="str">
        <f>IFERROR(IF($C43&lt;1,"",U$3*일별반별!X43),0)</f>
        <v/>
      </c>
      <c r="V43" s="395" t="str">
        <f>IFERROR(IF($C43&lt;1,"",V$3*일별반별!Y43),0)</f>
        <v/>
      </c>
      <c r="W43" s="395" t="str">
        <f>IFERROR(IF($C43&lt;1,"",W$3*일별반별!Z43),0)</f>
        <v/>
      </c>
      <c r="X43" s="208" t="str">
        <f>IFERROR(IF($C43&lt;1,"",X$3*일별반별!AA43),0)</f>
        <v/>
      </c>
      <c r="Y43" s="208" t="str">
        <f>IFERROR(IF($C43&lt;1,"",Y$3*일별반별!AB43),0)</f>
        <v/>
      </c>
      <c r="Z43" s="208" t="str">
        <f>IFERROR(IF($C43&lt;1,"",Z$3*일별반별!AC43),0)</f>
        <v/>
      </c>
      <c r="AA43" s="395" t="str">
        <f>IFERROR(IF($C43&lt;1,"",AA$3*일별반별!AD43),0)</f>
        <v/>
      </c>
      <c r="AB43" s="395" t="str">
        <f>IFERROR(IF($C43&lt;1,"",AB$3*일별반별!AE43),0)</f>
        <v/>
      </c>
      <c r="AC43" s="208" t="str">
        <f>IFERROR(IF($C43&lt;1,"",AC$3*일별반별!AF43),0)</f>
        <v/>
      </c>
      <c r="AD43" s="208" t="str">
        <f>IFERROR(IF($C43&lt;1,"",AD$3*일별반별!AG43),0)</f>
        <v/>
      </c>
      <c r="AE43" s="208" t="str">
        <f>IFERROR(IF($C43&lt;1,"",AE$3*일별반별!AH43),0)</f>
        <v/>
      </c>
      <c r="AF43" s="395" t="str">
        <f>IFERROR(IF($C43&lt;1,"",AF$3*일별반별!AI43),0)</f>
        <v/>
      </c>
      <c r="AG43" s="395" t="str">
        <f>IFERROR(IF($C43&lt;1,"",AG$3*일별반별!AJ43),0)</f>
        <v/>
      </c>
      <c r="AH43" s="395" t="str">
        <f>IFERROR(IF($C43&lt;1,"",AH$3*일별반별!AK43),0)</f>
        <v/>
      </c>
      <c r="AI43" s="395" t="str">
        <f>IFERROR(IF($C43&lt;1,"",AI$3*일별반별!AL43),0)</f>
        <v/>
      </c>
      <c r="AJ43" s="395" t="str">
        <f>IFERROR(IF($C43&lt;1,"",AJ$3*일별반별!AM43),0)</f>
        <v/>
      </c>
      <c r="AK43" s="395" t="str">
        <f>IFERROR(IF($C43&lt;1,"",AK$3*일별반별!AN43),0)</f>
        <v/>
      </c>
      <c r="AL43" s="395" t="str">
        <f>IFERROR(IF($C43&lt;1,"",AL$3*일별반별!AO43),0)</f>
        <v/>
      </c>
      <c r="AM43" s="395" t="str">
        <f>IFERROR(IF($C43&lt;1,"",AM$3*일별반별!AP43),0)</f>
        <v/>
      </c>
      <c r="AN43" s="395" t="str">
        <f>IFERROR(IF($C43&lt;1,"",AN$3*일별반별!AQ43),0)</f>
        <v/>
      </c>
      <c r="AO43" s="395" t="str">
        <f>IFERROR(IF($C43&lt;1,"",AO$3*일별반별!AR43),0)</f>
        <v/>
      </c>
      <c r="AP43" s="347" t="str">
        <f>IFERROR(IF($C43&lt;1,"",AP$3*일별반별!AS43),0)</f>
        <v/>
      </c>
      <c r="AQ43" s="347" t="str">
        <f>IFERROR(IF($C43&lt;1,"",AQ$3*일별반별!AT43),0)</f>
        <v/>
      </c>
      <c r="AR43" s="316" t="str">
        <f>IFERROR(IF($C43&lt;1,"",AR$3*일별반별!AU43),0)</f>
        <v/>
      </c>
      <c r="AS43" s="401" t="str">
        <f>IFERROR(IF($C43&lt;1,"",AS$3*일별반별!AV43),0)</f>
        <v/>
      </c>
      <c r="AT43" s="401" t="str">
        <f>IFERROR(IF($C43&lt;1,"",AT$3*일별반별!AW43),0)</f>
        <v/>
      </c>
      <c r="AU43" s="401" t="str">
        <f>IFERROR(IF($C43&lt;1,"",AU$3*일별반별!AX43),0)</f>
        <v/>
      </c>
      <c r="AV43" s="401" t="str">
        <f>IFERROR(IF($C43&lt;1,"",AV$3*일별반별!AY43),0)</f>
        <v/>
      </c>
      <c r="AW43" s="401" t="str">
        <f>IFERROR(IF($C43&lt;1,"",AW$3*일별반별!AZ43),0)</f>
        <v/>
      </c>
      <c r="AX43" s="401" t="str">
        <f>IFERROR(IF($C43&lt;1,"",AX$3*일별반별!BA43),0)</f>
        <v/>
      </c>
      <c r="AY43" s="401" t="str">
        <f>IFERROR(IF($C43&lt;1,"",AY$3*일별반별!BB43),0)</f>
        <v/>
      </c>
      <c r="AZ43" s="401" t="str">
        <f>IFERROR(IF($C43&lt;1,"",AZ$3*일별반별!BC43),0)</f>
        <v/>
      </c>
      <c r="BA43" s="401" t="str">
        <f>IFERROR(IF($C43&lt;1,"",BA$3*일별반별!BD43),0)</f>
        <v/>
      </c>
      <c r="BB43" s="402" t="str">
        <f>IFERROR(IF($C43&lt;1,"",BB$3*일별반별!BE43),0)</f>
        <v/>
      </c>
      <c r="BC43" s="402" t="str">
        <f>IFERROR(IF($C43&lt;1,"",BC$3*일별반별!BF43),0)</f>
        <v/>
      </c>
      <c r="BD43" s="402" t="str">
        <f>IFERROR(IF($C43&lt;1,"",BD$3*일별반별!BG43),0)</f>
        <v/>
      </c>
      <c r="BE43" s="402" t="str">
        <f>IFERROR(IF($C43&lt;1,"",BE$3*일별반별!BH43),0)</f>
        <v/>
      </c>
      <c r="BF43" s="402" t="str">
        <f>IFERROR(IF($C43&lt;1,"",BF$3*일별반별!BI43),0)</f>
        <v/>
      </c>
      <c r="BG43" s="402" t="str">
        <f>IFERROR(IF($C43&lt;1,"",BG$3*일별반별!BJ43),0)</f>
        <v/>
      </c>
      <c r="BH43" s="402" t="str">
        <f>IFERROR(IF($C43&lt;1,"",BH$3*일별반별!BK43),0)</f>
        <v/>
      </c>
      <c r="BI43" s="402" t="str">
        <f>IFERROR(IF($C43&lt;1,"",BI$3*일별반별!BL43),0)</f>
        <v/>
      </c>
      <c r="BJ43" s="402" t="str">
        <f>IFERROR(IF($C43&lt;1,"",BJ$3*일별반별!BM43),0)</f>
        <v/>
      </c>
      <c r="BK43" s="402" t="str">
        <f>IFERROR(IF($C43&lt;1,"",BK$3*일별반별!BN43),0)</f>
        <v/>
      </c>
      <c r="BL43" s="402" t="str">
        <f>IFERROR(IF($C43&lt;1,"",BL$3*일별반별!BH43),0)</f>
        <v/>
      </c>
      <c r="BM43" s="402" t="str">
        <f>IFERROR(IF($C43&lt;1,"",BM$3*일별반별!BP43),0)</f>
        <v/>
      </c>
      <c r="BN43" s="401" t="str">
        <f>IFERROR(IF($C43&lt;1,"",BN$3*일별반별!BQ43),0)</f>
        <v/>
      </c>
      <c r="BO43" s="401" t="str">
        <f>IFERROR(IF($C43&lt;1,"",BO$3*일별반별!BR43),0)</f>
        <v/>
      </c>
      <c r="BP43" s="401" t="str">
        <f>IFERROR(IF($C43&lt;1,"",BP$3*일별반별!BS43),0)</f>
        <v/>
      </c>
      <c r="BQ43" s="401" t="str">
        <f>IFERROR(IF($C43&lt;1,"",BQ$3*일별반별!BT43),0)</f>
        <v/>
      </c>
      <c r="BR43" s="417" t="str">
        <f>IFERROR(IF($C43&lt;1,"",BR$3*일별반별!BU43),0)</f>
        <v/>
      </c>
      <c r="BS43" s="417" t="str">
        <f>IFERROR(IF($C43&lt;1,"",BS$3*일별반별!BV43),0)</f>
        <v/>
      </c>
      <c r="BT43" s="417" t="str">
        <f>IFERROR(IF($C43&lt;1,"",BT$3*일별반별!BW43),0)</f>
        <v/>
      </c>
      <c r="BU43" s="316" t="str">
        <f>IFERROR(IF($C43&lt;1,"",BU$3*일별반별!BX43),0)</f>
        <v/>
      </c>
      <c r="BV43" s="316" t="str">
        <f>IFERROR(IF($C43&lt;1,"",BV$3*일별반별!BY43),0)</f>
        <v/>
      </c>
      <c r="BW43" s="316" t="str">
        <f>IFERROR(IF($C43&lt;1,"",BW$3*일별반별!BZ43),0)</f>
        <v/>
      </c>
      <c r="BX43" s="316" t="str">
        <f>IFERROR(IF($C43&lt;1,"",BX$3*일별반별!CA43),0)</f>
        <v/>
      </c>
      <c r="BY43" s="316" t="str">
        <f>IFERROR(IF($C43&lt;1,"",BY$3*일별반별!CB43),0)</f>
        <v/>
      </c>
      <c r="BZ43" s="316" t="str">
        <f>IFERROR(IF($C43&lt;1,"",BZ$3*일별반별!CC43),0)</f>
        <v/>
      </c>
      <c r="CA43" s="316" t="str">
        <f>IFERROR(IF($C43&lt;1,"",CA$3*일별반별!CD43),0)</f>
        <v/>
      </c>
      <c r="CB43" s="316" t="str">
        <f>IFERROR(IF($C43&lt;1,"",CB$3*일별반별!CE43),0)</f>
        <v/>
      </c>
      <c r="CC43" s="316" t="str">
        <f>IFERROR(IF($C43&lt;1,"",CC$3*일별반별!CF43),0)</f>
        <v/>
      </c>
      <c r="CD43" s="316" t="str">
        <f>IFERROR(IF($C43&lt;1,"",CD$3*일별반별!CG43),0)</f>
        <v/>
      </c>
      <c r="CE43" s="316" t="str">
        <f>IFERROR(IF($C43&lt;1,"",CE$3*일별반별!CH43),0)</f>
        <v/>
      </c>
      <c r="CF43" s="316" t="str">
        <f>IFERROR(IF($C43&lt;1,"",CF$3*일별반별!CI43),0)</f>
        <v/>
      </c>
      <c r="CG43" s="316" t="str">
        <f>IFERROR(IF($C43&lt;1,"",CG$3*일별반별!CJ43),0)</f>
        <v/>
      </c>
      <c r="CH43" s="316" t="str">
        <f>IFERROR(IF($C43&lt;1,"",CH$3*일별반별!CK43),0)</f>
        <v/>
      </c>
      <c r="CI43" s="316" t="str">
        <f>IFERROR(IF($C43&lt;1,"",CI$3*일별반별!CL43),0)</f>
        <v/>
      </c>
      <c r="CJ43" s="316" t="str">
        <f>IFERROR(IF($C43&lt;1,"",CJ$3*일별반별!CM43),0)</f>
        <v/>
      </c>
      <c r="CK43" s="316" t="str">
        <f>IFERROR(IF($C43&lt;1,"",CK$3*일별반별!CN43),0)</f>
        <v/>
      </c>
      <c r="CL43" s="316" t="str">
        <f>IFERROR(IF($C43&lt;1,"",CL$3*일별반별!CO43),0)</f>
        <v/>
      </c>
      <c r="CM43" s="316" t="str">
        <f>IFERROR(IF($C43&lt;1,"",CM$3*일별반별!CP43),0)</f>
        <v/>
      </c>
      <c r="CN43" s="316" t="str">
        <f>IFERROR(IF($C43&lt;1,"",CN$3*일별반별!CQ43),0)</f>
        <v/>
      </c>
      <c r="CO43" s="316" t="str">
        <f>IFERROR(IF($C43&lt;1,"",CO$3*일별반별!CR43),0)</f>
        <v/>
      </c>
      <c r="CP43" s="316" t="str">
        <f>IFERROR(IF($C43&lt;1,"",CP$3*일별반별!CS43),0)</f>
        <v/>
      </c>
      <c r="CQ43" s="316" t="str">
        <f>IFERROR(IF($C43&lt;1,"",CQ$3*일별반별!CT43),0)</f>
        <v/>
      </c>
      <c r="CR43" s="418" t="str">
        <f>IFERROR(IF($C43&lt;1,"",CR$3*일별반별!CU43),0)</f>
        <v/>
      </c>
      <c r="CS43" s="418" t="str">
        <f>IFERROR(IF($C43&lt;1,"",CS$3*일별반별!CV43),0)</f>
        <v/>
      </c>
      <c r="CT43" s="316" t="str">
        <f>IFERROR(IF($C43&lt;1,"",CT$3*일별반별!CW43),0)</f>
        <v/>
      </c>
      <c r="CU43" s="316" t="str">
        <f>IFERROR(IF($C43&lt;1,"",CU$3*일별반별!CX43),0)</f>
        <v/>
      </c>
      <c r="CV43" s="316" t="str">
        <f>IFERROR(IF($C43&lt;1,"",CV$3*일별반별!CY43),0)</f>
        <v/>
      </c>
      <c r="CW43" s="316" t="str">
        <f>IFERROR(IF($C43&lt;1,"",CW$3*일별반별!CZ43),0)</f>
        <v/>
      </c>
      <c r="CX43" s="316" t="str">
        <f>IFERROR(IF($C43&lt;1,"",CX$3*일별반별!DA43),0)</f>
        <v/>
      </c>
      <c r="CY43" s="316" t="str">
        <f>IF(C43&lt;1,"",(CY$3*'09월 조업일지'!AV$7))</f>
        <v/>
      </c>
      <c r="CZ43" s="316" t="str">
        <f t="shared" si="3"/>
        <v/>
      </c>
      <c r="DA43" s="316" t="str">
        <f t="shared" si="3"/>
        <v/>
      </c>
      <c r="DB43" s="316" t="str">
        <f t="shared" si="3"/>
        <v/>
      </c>
      <c r="DC43" s="316"/>
      <c r="DD43" s="419"/>
    </row>
    <row r="44" spans="1:108" ht="15" customHeight="1">
      <c r="A44" s="274">
        <f t="shared" si="2"/>
        <v>44020</v>
      </c>
      <c r="B44" s="275" t="s">
        <v>10</v>
      </c>
      <c r="C44" s="201">
        <f>COUNTIFS('09월 조업일지'!$A$12:$A$952,A41,'09월 조업일지'!$E$12:$E$952,B44)</f>
        <v>0</v>
      </c>
      <c r="D44" s="314">
        <f>IF(C44&lt;1,0,(SUM(E44:CX44)/(일별반별!BV44-1.5)+(CY44+CZ44+DA44+DB44)))</f>
        <v>0</v>
      </c>
      <c r="E44" s="278"/>
      <c r="F44" s="281"/>
      <c r="G44" s="282"/>
      <c r="H44" s="283"/>
      <c r="I44" s="283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326"/>
      <c r="U44" s="395" t="str">
        <f>IFERROR(IF($C44&lt;1,"",U$3*일별반별!X44),0)</f>
        <v/>
      </c>
      <c r="V44" s="395" t="str">
        <f>IFERROR(IF($C44&lt;1,"",V$3*일별반별!Y44),0)</f>
        <v/>
      </c>
      <c r="W44" s="395" t="str">
        <f>IFERROR(IF($C44&lt;1,"",W$3*일별반별!Z44),0)</f>
        <v/>
      </c>
      <c r="X44" s="208" t="str">
        <f>IFERROR(IF($C44&lt;1,"",X$3*일별반별!AA44),0)</f>
        <v/>
      </c>
      <c r="Y44" s="208" t="str">
        <f>IFERROR(IF($C44&lt;1,"",Y$3*일별반별!AB44),0)</f>
        <v/>
      </c>
      <c r="Z44" s="208" t="str">
        <f>IFERROR(IF($C44&lt;1,"",Z$3*일별반별!AC44),0)</f>
        <v/>
      </c>
      <c r="AA44" s="395" t="str">
        <f>IFERROR(IF($C44&lt;1,"",AA$3*일별반별!AD44),0)</f>
        <v/>
      </c>
      <c r="AB44" s="395" t="str">
        <f>IFERROR(IF($C44&lt;1,"",AB$3*일별반별!AE44),0)</f>
        <v/>
      </c>
      <c r="AC44" s="208" t="str">
        <f>IFERROR(IF($C44&lt;1,"",AC$3*일별반별!AF44),0)</f>
        <v/>
      </c>
      <c r="AD44" s="208" t="str">
        <f>IFERROR(IF($C44&lt;1,"",AD$3*일별반별!AG44),0)</f>
        <v/>
      </c>
      <c r="AE44" s="208" t="str">
        <f>IFERROR(IF($C44&lt;1,"",AE$3*일별반별!AH44),0)</f>
        <v/>
      </c>
      <c r="AF44" s="395" t="str">
        <f>IFERROR(IF($C44&lt;1,"",AF$3*일별반별!AI44),0)</f>
        <v/>
      </c>
      <c r="AG44" s="395" t="str">
        <f>IFERROR(IF($C44&lt;1,"",AG$3*일별반별!AJ44),0)</f>
        <v/>
      </c>
      <c r="AH44" s="395" t="str">
        <f>IFERROR(IF($C44&lt;1,"",AH$3*일별반별!AK44),0)</f>
        <v/>
      </c>
      <c r="AI44" s="395" t="str">
        <f>IFERROR(IF($C44&lt;1,"",AI$3*일별반별!AL44),0)</f>
        <v/>
      </c>
      <c r="AJ44" s="395" t="str">
        <f>IFERROR(IF($C44&lt;1,"",AJ$3*일별반별!AM44),0)</f>
        <v/>
      </c>
      <c r="AK44" s="395" t="str">
        <f>IFERROR(IF($C44&lt;1,"",AK$3*일별반별!AN44),0)</f>
        <v/>
      </c>
      <c r="AL44" s="395" t="str">
        <f>IFERROR(IF($C44&lt;1,"",AL$3*일별반별!AO44),0)</f>
        <v/>
      </c>
      <c r="AM44" s="395" t="str">
        <f>IFERROR(IF($C44&lt;1,"",AM$3*일별반별!AP44),0)</f>
        <v/>
      </c>
      <c r="AN44" s="395" t="str">
        <f>IFERROR(IF($C44&lt;1,"",AN$3*일별반별!AQ44),0)</f>
        <v/>
      </c>
      <c r="AO44" s="395" t="str">
        <f>IFERROR(IF($C44&lt;1,"",AO$3*일별반별!AR44),0)</f>
        <v/>
      </c>
      <c r="AP44" s="347" t="str">
        <f>IFERROR(IF($C44&lt;1,"",AP$3*일별반별!AS44),0)</f>
        <v/>
      </c>
      <c r="AQ44" s="347" t="str">
        <f>IFERROR(IF($C44&lt;1,"",AQ$3*일별반별!AT44),0)</f>
        <v/>
      </c>
      <c r="AR44" s="316" t="str">
        <f>IFERROR(IF($C44&lt;1,"",AR$3*일별반별!AU44),0)</f>
        <v/>
      </c>
      <c r="AS44" s="401" t="str">
        <f>IFERROR(IF($C44&lt;1,"",AS$3*일별반별!AV44),0)</f>
        <v/>
      </c>
      <c r="AT44" s="401" t="str">
        <f>IFERROR(IF($C44&lt;1,"",AT$3*일별반별!AW44),0)</f>
        <v/>
      </c>
      <c r="AU44" s="401" t="str">
        <f>IFERROR(IF($C44&lt;1,"",AU$3*일별반별!AX44),0)</f>
        <v/>
      </c>
      <c r="AV44" s="401" t="str">
        <f>IFERROR(IF($C44&lt;1,"",AV$3*일별반별!AY44),0)</f>
        <v/>
      </c>
      <c r="AW44" s="401" t="str">
        <f>IFERROR(IF($C44&lt;1,"",AW$3*일별반별!AZ44),0)</f>
        <v/>
      </c>
      <c r="AX44" s="401" t="str">
        <f>IFERROR(IF($C44&lt;1,"",AX$3*일별반별!BA44),0)</f>
        <v/>
      </c>
      <c r="AY44" s="401" t="str">
        <f>IFERROR(IF($C44&lt;1,"",AY$3*일별반별!BB44),0)</f>
        <v/>
      </c>
      <c r="AZ44" s="401" t="str">
        <f>IFERROR(IF($C44&lt;1,"",AZ$3*일별반별!BC44),0)</f>
        <v/>
      </c>
      <c r="BA44" s="401" t="str">
        <f>IFERROR(IF($C44&lt;1,"",BA$3*일별반별!BD44),0)</f>
        <v/>
      </c>
      <c r="BB44" s="402" t="str">
        <f>IFERROR(IF($C44&lt;1,"",BB$3*일별반별!BE44),0)</f>
        <v/>
      </c>
      <c r="BC44" s="402" t="str">
        <f>IFERROR(IF($C44&lt;1,"",BC$3*일별반별!BF44),0)</f>
        <v/>
      </c>
      <c r="BD44" s="402" t="str">
        <f>IFERROR(IF($C44&lt;1,"",BD$3*일별반별!BG44),0)</f>
        <v/>
      </c>
      <c r="BE44" s="402" t="str">
        <f>IFERROR(IF($C44&lt;1,"",BE$3*일별반별!BH44),0)</f>
        <v/>
      </c>
      <c r="BF44" s="402" t="str">
        <f>IFERROR(IF($C44&lt;1,"",BF$3*일별반별!BI44),0)</f>
        <v/>
      </c>
      <c r="BG44" s="402" t="str">
        <f>IFERROR(IF($C44&lt;1,"",BG$3*일별반별!BJ44),0)</f>
        <v/>
      </c>
      <c r="BH44" s="402" t="str">
        <f>IFERROR(IF($C44&lt;1,"",BH$3*일별반별!BK44),0)</f>
        <v/>
      </c>
      <c r="BI44" s="402" t="str">
        <f>IFERROR(IF($C44&lt;1,"",BI$3*일별반별!BL44),0)</f>
        <v/>
      </c>
      <c r="BJ44" s="402" t="str">
        <f>IFERROR(IF($C44&lt;1,"",BJ$3*일별반별!BM44),0)</f>
        <v/>
      </c>
      <c r="BK44" s="402" t="str">
        <f>IFERROR(IF($C44&lt;1,"",BK$3*일별반별!BN44),0)</f>
        <v/>
      </c>
      <c r="BL44" s="402" t="str">
        <f>IFERROR(IF($C44&lt;1,"",BL$3*일별반별!BH44),0)</f>
        <v/>
      </c>
      <c r="BM44" s="402" t="str">
        <f>IFERROR(IF($C44&lt;1,"",BM$3*일별반별!BP44),0)</f>
        <v/>
      </c>
      <c r="BN44" s="401" t="str">
        <f>IFERROR(IF($C44&lt;1,"",BN$3*일별반별!BQ44),0)</f>
        <v/>
      </c>
      <c r="BO44" s="401" t="str">
        <f>IFERROR(IF($C44&lt;1,"",BO$3*일별반별!BR44),0)</f>
        <v/>
      </c>
      <c r="BP44" s="401" t="str">
        <f>IFERROR(IF($C44&lt;1,"",BP$3*일별반별!BS44),0)</f>
        <v/>
      </c>
      <c r="BQ44" s="401" t="str">
        <f>IFERROR(IF($C44&lt;1,"",BQ$3*일별반별!BT44),0)</f>
        <v/>
      </c>
      <c r="BR44" s="417" t="str">
        <f>IFERROR(IF($C44&lt;1,"",BR$3*일별반별!BU44),0)</f>
        <v/>
      </c>
      <c r="BS44" s="417" t="str">
        <f>IFERROR(IF($C44&lt;1,"",BS$3*일별반별!BV44),0)</f>
        <v/>
      </c>
      <c r="BT44" s="417" t="str">
        <f>IFERROR(IF($C44&lt;1,"",BT$3*일별반별!BW44),0)</f>
        <v/>
      </c>
      <c r="BU44" s="316" t="str">
        <f>IFERROR(IF($C44&lt;1,"",BU$3*일별반별!BX44),0)</f>
        <v/>
      </c>
      <c r="BV44" s="316" t="str">
        <f>IFERROR(IF($C44&lt;1,"",BV$3*일별반별!BY44),0)</f>
        <v/>
      </c>
      <c r="BW44" s="316" t="str">
        <f>IFERROR(IF($C44&lt;1,"",BW$3*일별반별!BZ44),0)</f>
        <v/>
      </c>
      <c r="BX44" s="316" t="str">
        <f>IFERROR(IF($C44&lt;1,"",BX$3*일별반별!CA44),0)</f>
        <v/>
      </c>
      <c r="BY44" s="316" t="str">
        <f>IFERROR(IF($C44&lt;1,"",BY$3*일별반별!CB44),0)</f>
        <v/>
      </c>
      <c r="BZ44" s="316" t="str">
        <f>IFERROR(IF($C44&lt;1,"",BZ$3*일별반별!CC44),0)</f>
        <v/>
      </c>
      <c r="CA44" s="316" t="str">
        <f>IFERROR(IF($C44&lt;1,"",CA$3*일별반별!CD44),0)</f>
        <v/>
      </c>
      <c r="CB44" s="316" t="str">
        <f>IFERROR(IF($C44&lt;1,"",CB$3*일별반별!CE44),0)</f>
        <v/>
      </c>
      <c r="CC44" s="316" t="str">
        <f>IFERROR(IF($C44&lt;1,"",CC$3*일별반별!CF44),0)</f>
        <v/>
      </c>
      <c r="CD44" s="316" t="str">
        <f>IFERROR(IF($C44&lt;1,"",CD$3*일별반별!CG44),0)</f>
        <v/>
      </c>
      <c r="CE44" s="316" t="str">
        <f>IFERROR(IF($C44&lt;1,"",CE$3*일별반별!CH44),0)</f>
        <v/>
      </c>
      <c r="CF44" s="316" t="str">
        <f>IFERROR(IF($C44&lt;1,"",CF$3*일별반별!CI44),0)</f>
        <v/>
      </c>
      <c r="CG44" s="316" t="str">
        <f>IFERROR(IF($C44&lt;1,"",CG$3*일별반별!CJ44),0)</f>
        <v/>
      </c>
      <c r="CH44" s="316" t="str">
        <f>IFERROR(IF($C44&lt;1,"",CH$3*일별반별!CK44),0)</f>
        <v/>
      </c>
      <c r="CI44" s="316" t="str">
        <f>IFERROR(IF($C44&lt;1,"",CI$3*일별반별!CL44),0)</f>
        <v/>
      </c>
      <c r="CJ44" s="316" t="str">
        <f>IFERROR(IF($C44&lt;1,"",CJ$3*일별반별!CM44),0)</f>
        <v/>
      </c>
      <c r="CK44" s="316" t="str">
        <f>IFERROR(IF($C44&lt;1,"",CK$3*일별반별!CN44),0)</f>
        <v/>
      </c>
      <c r="CL44" s="316" t="str">
        <f>IFERROR(IF($C44&lt;1,"",CL$3*일별반별!CO44),0)</f>
        <v/>
      </c>
      <c r="CM44" s="316" t="str">
        <f>IFERROR(IF($C44&lt;1,"",CM$3*일별반별!CP44),0)</f>
        <v/>
      </c>
      <c r="CN44" s="316" t="str">
        <f>IFERROR(IF($C44&lt;1,"",CN$3*일별반별!CQ44),0)</f>
        <v/>
      </c>
      <c r="CO44" s="316" t="str">
        <f>IFERROR(IF($C44&lt;1,"",CO$3*일별반별!CR44),0)</f>
        <v/>
      </c>
      <c r="CP44" s="316" t="str">
        <f>IFERROR(IF($C44&lt;1,"",CP$3*일별반별!CS44),0)</f>
        <v/>
      </c>
      <c r="CQ44" s="316" t="str">
        <f>IFERROR(IF($C44&lt;1,"",CQ$3*일별반별!CT44),0)</f>
        <v/>
      </c>
      <c r="CR44" s="418" t="str">
        <f>IFERROR(IF($C44&lt;1,"",CR$3*일별반별!CU44),0)</f>
        <v/>
      </c>
      <c r="CS44" s="418" t="str">
        <f>IFERROR(IF($C44&lt;1,"",CS$3*일별반별!CV44),0)</f>
        <v/>
      </c>
      <c r="CT44" s="316" t="str">
        <f>IFERROR(IF($C44&lt;1,"",CT$3*일별반별!CW44),0)</f>
        <v/>
      </c>
      <c r="CU44" s="316" t="str">
        <f>IFERROR(IF($C44&lt;1,"",CU$3*일별반별!CX44),0)</f>
        <v/>
      </c>
      <c r="CV44" s="316" t="str">
        <f>IFERROR(IF($C44&lt;1,"",CV$3*일별반별!CY44),0)</f>
        <v/>
      </c>
      <c r="CW44" s="316" t="str">
        <f>IFERROR(IF($C44&lt;1,"",CW$3*일별반별!CZ44),0)</f>
        <v/>
      </c>
      <c r="CX44" s="316" t="str">
        <f>IFERROR(IF($C44&lt;1,"",CX$3*일별반별!DA44),0)</f>
        <v/>
      </c>
      <c r="CY44" s="316" t="str">
        <f>IF(C44&lt;1,"",(CY$3*'09월 조업일지'!AV$7))</f>
        <v/>
      </c>
      <c r="CZ44" s="316" t="str">
        <f t="shared" si="3"/>
        <v/>
      </c>
      <c r="DA44" s="316" t="str">
        <f t="shared" si="3"/>
        <v/>
      </c>
      <c r="DB44" s="316" t="str">
        <f t="shared" si="3"/>
        <v/>
      </c>
      <c r="DC44" s="316"/>
      <c r="DD44" s="419"/>
    </row>
    <row r="45" spans="1:108" ht="15" customHeight="1">
      <c r="A45" s="274">
        <f t="shared" si="2"/>
        <v>44020</v>
      </c>
      <c r="B45" s="275" t="s">
        <v>94</v>
      </c>
      <c r="C45" s="201">
        <f>COUNTIFS('09월 조업일지'!$A$12:$A$952,A41,'09월 조업일지'!$E$12:$E$952,B45)</f>
        <v>0</v>
      </c>
      <c r="D45" s="314">
        <f>IF(C45&lt;1,0,(SUM(E45:CX45)/(일별반별!BV45-1.5)+(CY45+CZ45+DA45+DB45)))</f>
        <v>0</v>
      </c>
      <c r="E45" s="278"/>
      <c r="F45" s="281"/>
      <c r="G45" s="282"/>
      <c r="H45" s="283"/>
      <c r="I45" s="283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326"/>
      <c r="U45" s="395" t="str">
        <f>IFERROR(IF($C45&lt;1,"",U$3*일별반별!X45),0)</f>
        <v/>
      </c>
      <c r="V45" s="395" t="str">
        <f>IFERROR(IF($C45&lt;1,"",V$3*일별반별!Y45),0)</f>
        <v/>
      </c>
      <c r="W45" s="395" t="str">
        <f>IFERROR(IF($C45&lt;1,"",W$3*일별반별!Z45),0)</f>
        <v/>
      </c>
      <c r="X45" s="208" t="str">
        <f>IFERROR(IF($C45&lt;1,"",X$3*일별반별!AA45),0)</f>
        <v/>
      </c>
      <c r="Y45" s="208" t="str">
        <f>IFERROR(IF($C45&lt;1,"",Y$3*일별반별!AB45),0)</f>
        <v/>
      </c>
      <c r="Z45" s="208" t="str">
        <f>IFERROR(IF($C45&lt;1,"",Z$3*일별반별!AC45),0)</f>
        <v/>
      </c>
      <c r="AA45" s="395" t="str">
        <f>IFERROR(IF($C45&lt;1,"",AA$3*일별반별!AD45),0)</f>
        <v/>
      </c>
      <c r="AB45" s="395" t="str">
        <f>IFERROR(IF($C45&lt;1,"",AB$3*일별반별!AE45),0)</f>
        <v/>
      </c>
      <c r="AC45" s="208" t="str">
        <f>IFERROR(IF($C45&lt;1,"",AC$3*일별반별!AF45),0)</f>
        <v/>
      </c>
      <c r="AD45" s="208" t="str">
        <f>IFERROR(IF($C45&lt;1,"",AD$3*일별반별!AG45),0)</f>
        <v/>
      </c>
      <c r="AE45" s="208" t="str">
        <f>IFERROR(IF($C45&lt;1,"",AE$3*일별반별!AH45),0)</f>
        <v/>
      </c>
      <c r="AF45" s="395" t="str">
        <f>IFERROR(IF($C45&lt;1,"",AF$3*일별반별!AI45),0)</f>
        <v/>
      </c>
      <c r="AG45" s="395" t="str">
        <f>IFERROR(IF($C45&lt;1,"",AG$3*일별반별!AJ45),0)</f>
        <v/>
      </c>
      <c r="AH45" s="395" t="str">
        <f>IFERROR(IF($C45&lt;1,"",AH$3*일별반별!AK45),0)</f>
        <v/>
      </c>
      <c r="AI45" s="395" t="str">
        <f>IFERROR(IF($C45&lt;1,"",AI$3*일별반별!AL45),0)</f>
        <v/>
      </c>
      <c r="AJ45" s="395" t="str">
        <f>IFERROR(IF($C45&lt;1,"",AJ$3*일별반별!AM45),0)</f>
        <v/>
      </c>
      <c r="AK45" s="395" t="str">
        <f>IFERROR(IF($C45&lt;1,"",AK$3*일별반별!AN45),0)</f>
        <v/>
      </c>
      <c r="AL45" s="395" t="str">
        <f>IFERROR(IF($C45&lt;1,"",AL$3*일별반별!AO45),0)</f>
        <v/>
      </c>
      <c r="AM45" s="395" t="str">
        <f>IFERROR(IF($C45&lt;1,"",AM$3*일별반별!AP45),0)</f>
        <v/>
      </c>
      <c r="AN45" s="395" t="str">
        <f>IFERROR(IF($C45&lt;1,"",AN$3*일별반별!AQ45),0)</f>
        <v/>
      </c>
      <c r="AO45" s="395" t="str">
        <f>IFERROR(IF($C45&lt;1,"",AO$3*일별반별!AR45),0)</f>
        <v/>
      </c>
      <c r="AP45" s="347" t="str">
        <f>IFERROR(IF($C45&lt;1,"",AP$3*일별반별!AS45),0)</f>
        <v/>
      </c>
      <c r="AQ45" s="347" t="str">
        <f>IFERROR(IF($C45&lt;1,"",AQ$3*일별반별!AT45),0)</f>
        <v/>
      </c>
      <c r="AR45" s="316" t="str">
        <f>IFERROR(IF($C45&lt;1,"",AR$3*일별반별!AU45),0)</f>
        <v/>
      </c>
      <c r="AS45" s="401" t="str">
        <f>IFERROR(IF($C45&lt;1,"",AS$3*일별반별!AV45),0)</f>
        <v/>
      </c>
      <c r="AT45" s="401" t="str">
        <f>IFERROR(IF($C45&lt;1,"",AT$3*일별반별!AW45),0)</f>
        <v/>
      </c>
      <c r="AU45" s="401" t="str">
        <f>IFERROR(IF($C45&lt;1,"",AU$3*일별반별!AX45),0)</f>
        <v/>
      </c>
      <c r="AV45" s="401" t="str">
        <f>IFERROR(IF($C45&lt;1,"",AV$3*일별반별!AY45),0)</f>
        <v/>
      </c>
      <c r="AW45" s="401" t="str">
        <f>IFERROR(IF($C45&lt;1,"",AW$3*일별반별!AZ45),0)</f>
        <v/>
      </c>
      <c r="AX45" s="401" t="str">
        <f>IFERROR(IF($C45&lt;1,"",AX$3*일별반별!BA45),0)</f>
        <v/>
      </c>
      <c r="AY45" s="401" t="str">
        <f>IFERROR(IF($C45&lt;1,"",AY$3*일별반별!BB45),0)</f>
        <v/>
      </c>
      <c r="AZ45" s="401" t="str">
        <f>IFERROR(IF($C45&lt;1,"",AZ$3*일별반별!BC45),0)</f>
        <v/>
      </c>
      <c r="BA45" s="401" t="str">
        <f>IFERROR(IF($C45&lt;1,"",BA$3*일별반별!BD45),0)</f>
        <v/>
      </c>
      <c r="BB45" s="402" t="str">
        <f>IFERROR(IF($C45&lt;1,"",BB$3*일별반별!BE45),0)</f>
        <v/>
      </c>
      <c r="BC45" s="402" t="str">
        <f>IFERROR(IF($C45&lt;1,"",BC$3*일별반별!BF45),0)</f>
        <v/>
      </c>
      <c r="BD45" s="402" t="str">
        <f>IFERROR(IF($C45&lt;1,"",BD$3*일별반별!BG45),0)</f>
        <v/>
      </c>
      <c r="BE45" s="402" t="str">
        <f>IFERROR(IF($C45&lt;1,"",BE$3*일별반별!BH45),0)</f>
        <v/>
      </c>
      <c r="BF45" s="402" t="str">
        <f>IFERROR(IF($C45&lt;1,"",BF$3*일별반별!BI45),0)</f>
        <v/>
      </c>
      <c r="BG45" s="402" t="str">
        <f>IFERROR(IF($C45&lt;1,"",BG$3*일별반별!BJ45),0)</f>
        <v/>
      </c>
      <c r="BH45" s="402" t="str">
        <f>IFERROR(IF($C45&lt;1,"",BH$3*일별반별!BK45),0)</f>
        <v/>
      </c>
      <c r="BI45" s="402" t="str">
        <f>IFERROR(IF($C45&lt;1,"",BI$3*일별반별!BL45),0)</f>
        <v/>
      </c>
      <c r="BJ45" s="402" t="str">
        <f>IFERROR(IF($C45&lt;1,"",BJ$3*일별반별!BM45),0)</f>
        <v/>
      </c>
      <c r="BK45" s="402" t="str">
        <f>IFERROR(IF($C45&lt;1,"",BK$3*일별반별!BN45),0)</f>
        <v/>
      </c>
      <c r="BL45" s="402" t="str">
        <f>IFERROR(IF($C45&lt;1,"",BL$3*일별반별!BH45),0)</f>
        <v/>
      </c>
      <c r="BM45" s="402" t="str">
        <f>IFERROR(IF($C45&lt;1,"",BM$3*일별반별!BP45),0)</f>
        <v/>
      </c>
      <c r="BN45" s="401" t="str">
        <f>IFERROR(IF($C45&lt;1,"",BN$3*일별반별!BQ45),0)</f>
        <v/>
      </c>
      <c r="BO45" s="401" t="str">
        <f>IFERROR(IF($C45&lt;1,"",BO$3*일별반별!BR45),0)</f>
        <v/>
      </c>
      <c r="BP45" s="401" t="str">
        <f>IFERROR(IF($C45&lt;1,"",BP$3*일별반별!BS45),0)</f>
        <v/>
      </c>
      <c r="BQ45" s="401" t="str">
        <f>IFERROR(IF($C45&lt;1,"",BQ$3*일별반별!BT45),0)</f>
        <v/>
      </c>
      <c r="BR45" s="417" t="str">
        <f>IFERROR(IF($C45&lt;1,"",BR$3*일별반별!BU45),0)</f>
        <v/>
      </c>
      <c r="BS45" s="417" t="str">
        <f>IFERROR(IF($C45&lt;1,"",BS$3*일별반별!BV45),0)</f>
        <v/>
      </c>
      <c r="BT45" s="417" t="str">
        <f>IFERROR(IF($C45&lt;1,"",BT$3*일별반별!BW45),0)</f>
        <v/>
      </c>
      <c r="BU45" s="316" t="str">
        <f>IFERROR(IF($C45&lt;1,"",BU$3*일별반별!BX45),0)</f>
        <v/>
      </c>
      <c r="BV45" s="316" t="str">
        <f>IFERROR(IF($C45&lt;1,"",BV$3*일별반별!BY45),0)</f>
        <v/>
      </c>
      <c r="BW45" s="316" t="str">
        <f>IFERROR(IF($C45&lt;1,"",BW$3*일별반별!BZ45),0)</f>
        <v/>
      </c>
      <c r="BX45" s="316" t="str">
        <f>IFERROR(IF($C45&lt;1,"",BX$3*일별반별!CA45),0)</f>
        <v/>
      </c>
      <c r="BY45" s="316" t="str">
        <f>IFERROR(IF($C45&lt;1,"",BY$3*일별반별!CB45),0)</f>
        <v/>
      </c>
      <c r="BZ45" s="316" t="str">
        <f>IFERROR(IF($C45&lt;1,"",BZ$3*일별반별!CC45),0)</f>
        <v/>
      </c>
      <c r="CA45" s="316" t="str">
        <f>IFERROR(IF($C45&lt;1,"",CA$3*일별반별!CD45),0)</f>
        <v/>
      </c>
      <c r="CB45" s="316" t="str">
        <f>IFERROR(IF($C45&lt;1,"",CB$3*일별반별!CE45),0)</f>
        <v/>
      </c>
      <c r="CC45" s="316" t="str">
        <f>IFERROR(IF($C45&lt;1,"",CC$3*일별반별!CF45),0)</f>
        <v/>
      </c>
      <c r="CD45" s="316" t="str">
        <f>IFERROR(IF($C45&lt;1,"",CD$3*일별반별!CG45),0)</f>
        <v/>
      </c>
      <c r="CE45" s="316" t="str">
        <f>IFERROR(IF($C45&lt;1,"",CE$3*일별반별!CH45),0)</f>
        <v/>
      </c>
      <c r="CF45" s="316" t="str">
        <f>IFERROR(IF($C45&lt;1,"",CF$3*일별반별!CI45),0)</f>
        <v/>
      </c>
      <c r="CG45" s="316" t="str">
        <f>IFERROR(IF($C45&lt;1,"",CG$3*일별반별!CJ45),0)</f>
        <v/>
      </c>
      <c r="CH45" s="316" t="str">
        <f>IFERROR(IF($C45&lt;1,"",CH$3*일별반별!CK45),0)</f>
        <v/>
      </c>
      <c r="CI45" s="316" t="str">
        <f>IFERROR(IF($C45&lt;1,"",CI$3*일별반별!CL45),0)</f>
        <v/>
      </c>
      <c r="CJ45" s="316" t="str">
        <f>IFERROR(IF($C45&lt;1,"",CJ$3*일별반별!CM45),0)</f>
        <v/>
      </c>
      <c r="CK45" s="316" t="str">
        <f>IFERROR(IF($C45&lt;1,"",CK$3*일별반별!CN45),0)</f>
        <v/>
      </c>
      <c r="CL45" s="316" t="str">
        <f>IFERROR(IF($C45&lt;1,"",CL$3*일별반별!CO45),0)</f>
        <v/>
      </c>
      <c r="CM45" s="316" t="str">
        <f>IFERROR(IF($C45&lt;1,"",CM$3*일별반별!CP45),0)</f>
        <v/>
      </c>
      <c r="CN45" s="316" t="str">
        <f>IFERROR(IF($C45&lt;1,"",CN$3*일별반별!CQ45),0)</f>
        <v/>
      </c>
      <c r="CO45" s="316" t="str">
        <f>IFERROR(IF($C45&lt;1,"",CO$3*일별반별!CR45),0)</f>
        <v/>
      </c>
      <c r="CP45" s="316" t="str">
        <f>IFERROR(IF($C45&lt;1,"",CP$3*일별반별!CS45),0)</f>
        <v/>
      </c>
      <c r="CQ45" s="316" t="str">
        <f>IFERROR(IF($C45&lt;1,"",CQ$3*일별반별!CT45),0)</f>
        <v/>
      </c>
      <c r="CR45" s="418" t="str">
        <f>IFERROR(IF($C45&lt;1,"",CR$3*일별반별!CU45),0)</f>
        <v/>
      </c>
      <c r="CS45" s="418" t="str">
        <f>IFERROR(IF($C45&lt;1,"",CS$3*일별반별!CV45),0)</f>
        <v/>
      </c>
      <c r="CT45" s="316" t="str">
        <f>IFERROR(IF($C45&lt;1,"",CT$3*일별반별!CW45),0)</f>
        <v/>
      </c>
      <c r="CU45" s="316" t="str">
        <f>IFERROR(IF($C45&lt;1,"",CU$3*일별반별!CX45),0)</f>
        <v/>
      </c>
      <c r="CV45" s="316" t="str">
        <f>IFERROR(IF($C45&lt;1,"",CV$3*일별반별!CY45),0)</f>
        <v/>
      </c>
      <c r="CW45" s="316" t="str">
        <f>IFERROR(IF($C45&lt;1,"",CW$3*일별반별!CZ45),0)</f>
        <v/>
      </c>
      <c r="CX45" s="316" t="str">
        <f>IFERROR(IF($C45&lt;1,"",CX$3*일별반별!DA45),0)</f>
        <v/>
      </c>
      <c r="CY45" s="316" t="str">
        <f>IF(C45&lt;1,"",(CY$3*'09월 조업일지'!AV$7))</f>
        <v/>
      </c>
      <c r="CZ45" s="316" t="str">
        <f t="shared" si="3"/>
        <v/>
      </c>
      <c r="DA45" s="316" t="str">
        <f t="shared" si="3"/>
        <v/>
      </c>
      <c r="DB45" s="316" t="str">
        <f t="shared" si="3"/>
        <v/>
      </c>
      <c r="DC45" s="316"/>
      <c r="DD45" s="419"/>
    </row>
    <row r="46" spans="1:108" ht="15" customHeight="1">
      <c r="A46" s="327">
        <f>A41+1</f>
        <v>44021</v>
      </c>
      <c r="B46" s="328" t="s">
        <v>31</v>
      </c>
      <c r="C46" s="329">
        <f>COUNTIF('09월 조업일지'!$A$12:$A$952,A46)</f>
        <v>0</v>
      </c>
      <c r="D46" s="330">
        <f>IF(C46&lt;1,0,(SUM(E46:CX46)/(일별반별!BV46-1.5)+(CY46+CZ46+DA46+DB46)))</f>
        <v>0</v>
      </c>
      <c r="E46" s="331"/>
      <c r="F46" s="331"/>
      <c r="G46" s="332"/>
      <c r="H46" s="333"/>
      <c r="I46" s="333"/>
      <c r="J46" s="334"/>
      <c r="K46" s="334"/>
      <c r="L46" s="334"/>
      <c r="M46" s="334"/>
      <c r="N46" s="334"/>
      <c r="O46" s="334"/>
      <c r="P46" s="334"/>
      <c r="Q46" s="335"/>
      <c r="R46" s="334"/>
      <c r="S46" s="335"/>
      <c r="T46" s="334"/>
      <c r="U46" s="337" t="str">
        <f>IFERROR(IF($C46&lt;1,"",U$3*일별반별!X46),0)</f>
        <v/>
      </c>
      <c r="V46" s="337" t="str">
        <f>IFERROR(IF($C46&lt;1,"",V$3*일별반별!Y46),0)</f>
        <v/>
      </c>
      <c r="W46" s="337" t="str">
        <f>IFERROR(IF($C46&lt;1,"",W$3*일별반별!Z46),0)</f>
        <v/>
      </c>
      <c r="X46" s="336" t="str">
        <f>IFERROR(IF($C46&lt;1,"",X$3*일별반별!AA46),0)</f>
        <v/>
      </c>
      <c r="Y46" s="336" t="str">
        <f>IFERROR(IF($C46&lt;1,"",Y$3*일별반별!AB46),0)</f>
        <v/>
      </c>
      <c r="Z46" s="336" t="str">
        <f>IFERROR(IF($C46&lt;1,"",Z$3*일별반별!AC46),0)</f>
        <v/>
      </c>
      <c r="AA46" s="337" t="str">
        <f>IFERROR(IF($C46&lt;1,"",AA$3*일별반별!AD46),0)</f>
        <v/>
      </c>
      <c r="AB46" s="337" t="str">
        <f>IFERROR(IF($C46&lt;1,"",AB$3*일별반별!AE46),0)</f>
        <v/>
      </c>
      <c r="AC46" s="336" t="str">
        <f>IFERROR(IF($C46&lt;1,"",AC$3*일별반별!AF46),0)</f>
        <v/>
      </c>
      <c r="AD46" s="336" t="str">
        <f>IFERROR(IF($C46&lt;1,"",AD$3*일별반별!AG46),0)</f>
        <v/>
      </c>
      <c r="AE46" s="336" t="str">
        <f>IFERROR(IF($C46&lt;1,"",AE$3*일별반별!AH46),0)</f>
        <v/>
      </c>
      <c r="AF46" s="337" t="str">
        <f>IFERROR(IF($C46&lt;1,"",AF$3*일별반별!AI46),0)</f>
        <v/>
      </c>
      <c r="AG46" s="337" t="str">
        <f>IFERROR(IF($C46&lt;1,"",AG$3*일별반별!AJ46),0)</f>
        <v/>
      </c>
      <c r="AH46" s="337" t="str">
        <f>IFERROR(IF($C46&lt;1,"",AH$3*일별반별!AK46),0)</f>
        <v/>
      </c>
      <c r="AI46" s="337" t="str">
        <f>IFERROR(IF($C46&lt;1,"",AI$3*일별반별!AL46),0)</f>
        <v/>
      </c>
      <c r="AJ46" s="337" t="str">
        <f>IFERROR(IF($C46&lt;1,"",AJ$3*일별반별!AM46),0)</f>
        <v/>
      </c>
      <c r="AK46" s="337" t="str">
        <f>IFERROR(IF($C46&lt;1,"",AK$3*일별반별!AN46),0)</f>
        <v/>
      </c>
      <c r="AL46" s="337" t="str">
        <f>IFERROR(IF($C46&lt;1,"",AL$3*일별반별!AO46),0)</f>
        <v/>
      </c>
      <c r="AM46" s="337" t="str">
        <f>IFERROR(IF($C46&lt;1,"",AM$3*일별반별!AP46),0)</f>
        <v/>
      </c>
      <c r="AN46" s="337" t="str">
        <f>IFERROR(IF($C46&lt;1,"",AN$3*일별반별!AQ46),0)</f>
        <v/>
      </c>
      <c r="AO46" s="337" t="str">
        <f>IFERROR(IF($C46&lt;1,"",AO$3*일별반별!AR46),0)</f>
        <v/>
      </c>
      <c r="AP46" s="337" t="str">
        <f>IFERROR(IF($C46&lt;1,"",AP$3*일별반별!AS46),0)</f>
        <v/>
      </c>
      <c r="AQ46" s="337" t="str">
        <f>IFERROR(IF($C46&lt;1,"",AQ$3*일별반별!AT46),0)</f>
        <v/>
      </c>
      <c r="AR46" s="337" t="str">
        <f>IFERROR(IF($C46&lt;1,"",AR$3*일별반별!AU46),0)</f>
        <v/>
      </c>
      <c r="AS46" s="403" t="str">
        <f>IFERROR(IF($C46&lt;1,"",AS$3*일별반별!AV46),0)</f>
        <v/>
      </c>
      <c r="AT46" s="403" t="str">
        <f>IFERROR(IF($C46&lt;1,"",AT$3*일별반별!AW46),0)</f>
        <v/>
      </c>
      <c r="AU46" s="403" t="str">
        <f>IFERROR(IF($C46&lt;1,"",AU$3*일별반별!AX46),0)</f>
        <v/>
      </c>
      <c r="AV46" s="403" t="str">
        <f>IFERROR(IF($C46&lt;1,"",AV$3*일별반별!AY46),0)</f>
        <v/>
      </c>
      <c r="AW46" s="403" t="str">
        <f>IFERROR(IF($C46&lt;1,"",AW$3*일별반별!AZ46),0)</f>
        <v/>
      </c>
      <c r="AX46" s="403" t="str">
        <f>IFERROR(IF($C46&lt;1,"",AX$3*일별반별!BA46),0)</f>
        <v/>
      </c>
      <c r="AY46" s="403" t="str">
        <f>IFERROR(IF($C46&lt;1,"",AY$3*일별반별!BB46),0)</f>
        <v/>
      </c>
      <c r="AZ46" s="403" t="str">
        <f>IFERROR(IF($C46&lt;1,"",AZ$3*일별반별!BC46),0)</f>
        <v/>
      </c>
      <c r="BA46" s="403" t="str">
        <f>IFERROR(IF($C46&lt;1,"",BA$3*일별반별!BD46),0)</f>
        <v/>
      </c>
      <c r="BB46" s="403" t="str">
        <f>IFERROR(IF($C46&lt;1,"",BB$3*일별반별!BE46),0)</f>
        <v/>
      </c>
      <c r="BC46" s="403" t="str">
        <f>IFERROR(IF($C46&lt;1,"",BC$3*일별반별!BF46),0)</f>
        <v/>
      </c>
      <c r="BD46" s="403" t="str">
        <f>IFERROR(IF($C46&lt;1,"",BD$3*일별반별!BG46),0)</f>
        <v/>
      </c>
      <c r="BE46" s="403" t="str">
        <f>IFERROR(IF($C46&lt;1,"",BE$3*일별반별!BH46),0)</f>
        <v/>
      </c>
      <c r="BF46" s="403" t="str">
        <f>IFERROR(IF($C46&lt;1,"",BF$3*일별반별!BI46),0)</f>
        <v/>
      </c>
      <c r="BG46" s="403" t="str">
        <f>IFERROR(IF($C46&lt;1,"",BG$3*일별반별!BJ46),0)</f>
        <v/>
      </c>
      <c r="BH46" s="403" t="str">
        <f>IFERROR(IF($C46&lt;1,"",BH$3*일별반별!BK46),0)</f>
        <v/>
      </c>
      <c r="BI46" s="403" t="str">
        <f>IFERROR(IF($C46&lt;1,"",BI$3*일별반별!BL46),0)</f>
        <v/>
      </c>
      <c r="BJ46" s="403" t="str">
        <f>IFERROR(IF($C46&lt;1,"",BJ$3*일별반별!BM46),0)</f>
        <v/>
      </c>
      <c r="BK46" s="403" t="str">
        <f>IFERROR(IF($C46&lt;1,"",BK$3*일별반별!BN46),0)</f>
        <v/>
      </c>
      <c r="BL46" s="403" t="str">
        <f>IFERROR(IF($C46&lt;1,"",BL$3*일별반별!BH46),0)</f>
        <v/>
      </c>
      <c r="BM46" s="403" t="str">
        <f>IFERROR(IF($C46&lt;1,"",BM$3*일별반별!BP46),0)</f>
        <v/>
      </c>
      <c r="BN46" s="403" t="str">
        <f>IFERROR(IF($C46&lt;1,"",BN$3*일별반별!BQ46),0)</f>
        <v/>
      </c>
      <c r="BO46" s="403" t="str">
        <f>IFERROR(IF($C46&lt;1,"",BO$3*일별반별!BR46),0)</f>
        <v/>
      </c>
      <c r="BP46" s="403" t="str">
        <f>IFERROR(IF($C46&lt;1,"",BP$3*일별반별!BS46),0)</f>
        <v/>
      </c>
      <c r="BQ46" s="403" t="str">
        <f>IFERROR(IF($C46&lt;1,"",BQ$3*일별반별!BT46),0)</f>
        <v/>
      </c>
      <c r="BR46" s="337" t="str">
        <f>IFERROR(IF($C46&lt;1,"",BR$3*일별반별!BU46),0)</f>
        <v/>
      </c>
      <c r="BS46" s="337" t="str">
        <f>IFERROR(IF($C46&lt;1,"",BS$3*일별반별!BV46),0)</f>
        <v/>
      </c>
      <c r="BT46" s="337" t="str">
        <f>IFERROR(IF($C46&lt;1,"",BT$3*일별반별!BW46),0)</f>
        <v/>
      </c>
      <c r="BU46" s="337" t="str">
        <f>IFERROR(IF($C46&lt;1,"",BU$3*일별반별!BX46),0)</f>
        <v/>
      </c>
      <c r="BV46" s="337" t="str">
        <f>IFERROR(IF($C46&lt;1,"",BV$3*일별반별!BY46),0)</f>
        <v/>
      </c>
      <c r="BW46" s="337" t="str">
        <f>IFERROR(IF($C46&lt;1,"",BW$3*일별반별!BZ46),0)</f>
        <v/>
      </c>
      <c r="BX46" s="337" t="str">
        <f>IFERROR(IF($C46&lt;1,"",BX$3*일별반별!CA46),0)</f>
        <v/>
      </c>
      <c r="BY46" s="337" t="str">
        <f>IFERROR(IF($C46&lt;1,"",BY$3*일별반별!CB46),0)</f>
        <v/>
      </c>
      <c r="BZ46" s="337" t="str">
        <f>IFERROR(IF($C46&lt;1,"",BZ$3*일별반별!CC46),0)</f>
        <v/>
      </c>
      <c r="CA46" s="337" t="str">
        <f>IFERROR(IF($C46&lt;1,"",CA$3*일별반별!CD46),0)</f>
        <v/>
      </c>
      <c r="CB46" s="337" t="str">
        <f>IFERROR(IF($C46&lt;1,"",CB$3*일별반별!CE46),0)</f>
        <v/>
      </c>
      <c r="CC46" s="337" t="str">
        <f>IFERROR(IF($C46&lt;1,"",CC$3*일별반별!CF46),0)</f>
        <v/>
      </c>
      <c r="CD46" s="337" t="str">
        <f>IFERROR(IF($C46&lt;1,"",CD$3*일별반별!CG46),0)</f>
        <v/>
      </c>
      <c r="CE46" s="337" t="str">
        <f>IFERROR(IF($C46&lt;1,"",CE$3*일별반별!CH46),0)</f>
        <v/>
      </c>
      <c r="CF46" s="337" t="str">
        <f>IFERROR(IF($C46&lt;1,"",CF$3*일별반별!CI46),0)</f>
        <v/>
      </c>
      <c r="CG46" s="337" t="str">
        <f>IFERROR(IF($C46&lt;1,"",CG$3*일별반별!CJ46),0)</f>
        <v/>
      </c>
      <c r="CH46" s="337" t="str">
        <f>IFERROR(IF($C46&lt;1,"",CH$3*일별반별!CK46),0)</f>
        <v/>
      </c>
      <c r="CI46" s="337" t="str">
        <f>IFERROR(IF($C46&lt;1,"",CI$3*일별반별!CL46),0)</f>
        <v/>
      </c>
      <c r="CJ46" s="337" t="str">
        <f>IFERROR(IF($C46&lt;1,"",CJ$3*일별반별!CM46),0)</f>
        <v/>
      </c>
      <c r="CK46" s="337" t="str">
        <f>IFERROR(IF($C46&lt;1,"",CK$3*일별반별!CN46),0)</f>
        <v/>
      </c>
      <c r="CL46" s="337" t="str">
        <f>IFERROR(IF($C46&lt;1,"",CL$3*일별반별!CO46),0)</f>
        <v/>
      </c>
      <c r="CM46" s="337" t="str">
        <f>IFERROR(IF($C46&lt;1,"",CM$3*일별반별!CP46),0)</f>
        <v/>
      </c>
      <c r="CN46" s="337" t="str">
        <f>IFERROR(IF($C46&lt;1,"",CN$3*일별반별!CQ46),0)</f>
        <v/>
      </c>
      <c r="CO46" s="337" t="str">
        <f>IFERROR(IF($C46&lt;1,"",CO$3*일별반별!CR46),0)</f>
        <v/>
      </c>
      <c r="CP46" s="337" t="str">
        <f>IFERROR(IF($C46&lt;1,"",CP$3*일별반별!CS46),0)</f>
        <v/>
      </c>
      <c r="CQ46" s="337" t="str">
        <f>IFERROR(IF($C46&lt;1,"",CQ$3*일별반별!CT46),0)</f>
        <v/>
      </c>
      <c r="CR46" s="420" t="str">
        <f>IFERROR(IF($C46&lt;1,"",CR$3*일별반별!CU46),0)</f>
        <v/>
      </c>
      <c r="CS46" s="420" t="str">
        <f>IFERROR(IF($C46&lt;1,"",CS$3*일별반별!CV46),0)</f>
        <v/>
      </c>
      <c r="CT46" s="337" t="str">
        <f>IFERROR(IF($C46&lt;1,"",CT$3*일별반별!CW46),0)</f>
        <v/>
      </c>
      <c r="CU46" s="337" t="str">
        <f>IFERROR(IF($C46&lt;1,"",CU$3*일별반별!CX46),0)</f>
        <v/>
      </c>
      <c r="CV46" s="337" t="str">
        <f>IFERROR(IF($C46&lt;1,"",CV$3*일별반별!CY46),0)</f>
        <v/>
      </c>
      <c r="CW46" s="337" t="str">
        <f>IFERROR(IF($C46&lt;1,"",CW$3*일별반별!CZ46),0)</f>
        <v/>
      </c>
      <c r="CX46" s="337" t="str">
        <f>IFERROR(IF($C46&lt;1,"",CX$3*일별반별!DA46),0)</f>
        <v/>
      </c>
      <c r="CY46" s="316" t="str">
        <f>IF(C46&lt;1,"",(CY$3*'09월 조업일지'!AV$7))</f>
        <v/>
      </c>
      <c r="CZ46" s="316" t="str">
        <f t="shared" si="3"/>
        <v/>
      </c>
      <c r="DA46" s="316" t="str">
        <f t="shared" si="3"/>
        <v/>
      </c>
      <c r="DB46" s="316" t="str">
        <f t="shared" si="3"/>
        <v/>
      </c>
      <c r="DC46" s="316"/>
      <c r="DD46" s="419"/>
    </row>
    <row r="47" spans="1:108" ht="15" customHeight="1">
      <c r="A47" s="274">
        <f t="shared" si="2"/>
        <v>44021</v>
      </c>
      <c r="B47" s="275" t="s">
        <v>9</v>
      </c>
      <c r="C47" s="201">
        <f>COUNTIFS('09월 조업일지'!$A$12:$A$952,A46,'09월 조업일지'!$E$12:$E$952,B47)</f>
        <v>0</v>
      </c>
      <c r="D47" s="314">
        <f>IF(C47&lt;1,0,(SUM(E47:CX47)/(일별반별!BV47-1.5)+(CY47+CZ47+DA47+DB47)))</f>
        <v>0</v>
      </c>
      <c r="E47" s="278"/>
      <c r="F47" s="281"/>
      <c r="G47" s="282"/>
      <c r="H47" s="283"/>
      <c r="I47" s="283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326"/>
      <c r="U47" s="395" t="str">
        <f>IFERROR(IF($C47&lt;1,"",U$3*일별반별!X47),0)</f>
        <v/>
      </c>
      <c r="V47" s="395" t="str">
        <f>IFERROR(IF($C47&lt;1,"",V$3*일별반별!Y47),0)</f>
        <v/>
      </c>
      <c r="W47" s="395" t="str">
        <f>IFERROR(IF($C47&lt;1,"",W$3*일별반별!Z47),0)</f>
        <v/>
      </c>
      <c r="X47" s="208" t="str">
        <f>IFERROR(IF($C47&lt;1,"",X$3*일별반별!AA47),0)</f>
        <v/>
      </c>
      <c r="Y47" s="208" t="str">
        <f>IFERROR(IF($C47&lt;1,"",Y$3*일별반별!AB47),0)</f>
        <v/>
      </c>
      <c r="Z47" s="208" t="str">
        <f>IFERROR(IF($C47&lt;1,"",Z$3*일별반별!AC47),0)</f>
        <v/>
      </c>
      <c r="AA47" s="395" t="str">
        <f>IFERROR(IF($C47&lt;1,"",AA$3*일별반별!AD47),0)</f>
        <v/>
      </c>
      <c r="AB47" s="395" t="str">
        <f>IFERROR(IF($C47&lt;1,"",AB$3*일별반별!AE47),0)</f>
        <v/>
      </c>
      <c r="AC47" s="208" t="str">
        <f>IFERROR(IF($C47&lt;1,"",AC$3*일별반별!AF47),0)</f>
        <v/>
      </c>
      <c r="AD47" s="208" t="str">
        <f>IFERROR(IF($C47&lt;1,"",AD$3*일별반별!AG47),0)</f>
        <v/>
      </c>
      <c r="AE47" s="208" t="str">
        <f>IFERROR(IF($C47&lt;1,"",AE$3*일별반별!AH47),0)</f>
        <v/>
      </c>
      <c r="AF47" s="395" t="str">
        <f>IFERROR(IF($C47&lt;1,"",AF$3*일별반별!AI47),0)</f>
        <v/>
      </c>
      <c r="AG47" s="395" t="str">
        <f>IFERROR(IF($C47&lt;1,"",AG$3*일별반별!AJ47),0)</f>
        <v/>
      </c>
      <c r="AH47" s="395" t="str">
        <f>IFERROR(IF($C47&lt;1,"",AH$3*일별반별!AK47),0)</f>
        <v/>
      </c>
      <c r="AI47" s="395" t="str">
        <f>IFERROR(IF($C47&lt;1,"",AI$3*일별반별!AL47),0)</f>
        <v/>
      </c>
      <c r="AJ47" s="395" t="str">
        <f>IFERROR(IF($C47&lt;1,"",AJ$3*일별반별!AM47),0)</f>
        <v/>
      </c>
      <c r="AK47" s="395" t="str">
        <f>IFERROR(IF($C47&lt;1,"",AK$3*일별반별!AN47),0)</f>
        <v/>
      </c>
      <c r="AL47" s="395" t="str">
        <f>IFERROR(IF($C47&lt;1,"",AL$3*일별반별!AO47),0)</f>
        <v/>
      </c>
      <c r="AM47" s="395" t="str">
        <f>IFERROR(IF($C47&lt;1,"",AM$3*일별반별!AP47),0)</f>
        <v/>
      </c>
      <c r="AN47" s="395" t="str">
        <f>IFERROR(IF($C47&lt;1,"",AN$3*일별반별!AQ47),0)</f>
        <v/>
      </c>
      <c r="AO47" s="395" t="str">
        <f>IFERROR(IF($C47&lt;1,"",AO$3*일별반별!AR47),0)</f>
        <v/>
      </c>
      <c r="AP47" s="347" t="str">
        <f>IFERROR(IF($C47&lt;1,"",AP$3*일별반별!AS47),0)</f>
        <v/>
      </c>
      <c r="AQ47" s="347" t="str">
        <f>IFERROR(IF($C47&lt;1,"",AQ$3*일별반별!AT47),0)</f>
        <v/>
      </c>
      <c r="AR47" s="316" t="str">
        <f>IFERROR(IF($C47&lt;1,"",AR$3*일별반별!AU47),0)</f>
        <v/>
      </c>
      <c r="AS47" s="401" t="str">
        <f>IFERROR(IF($C47&lt;1,"",AS$3*일별반별!AV47),0)</f>
        <v/>
      </c>
      <c r="AT47" s="401" t="str">
        <f>IFERROR(IF($C47&lt;1,"",AT$3*일별반별!AW47),0)</f>
        <v/>
      </c>
      <c r="AU47" s="401" t="str">
        <f>IFERROR(IF($C47&lt;1,"",AU$3*일별반별!AX47),0)</f>
        <v/>
      </c>
      <c r="AV47" s="401" t="str">
        <f>IFERROR(IF($C47&lt;1,"",AV$3*일별반별!AY47),0)</f>
        <v/>
      </c>
      <c r="AW47" s="401" t="str">
        <f>IFERROR(IF($C47&lt;1,"",AW$3*일별반별!AZ47),0)</f>
        <v/>
      </c>
      <c r="AX47" s="401" t="str">
        <f>IFERROR(IF($C47&lt;1,"",AX$3*일별반별!BA47),0)</f>
        <v/>
      </c>
      <c r="AY47" s="401" t="str">
        <f>IFERROR(IF($C47&lt;1,"",AY$3*일별반별!BB47),0)</f>
        <v/>
      </c>
      <c r="AZ47" s="401" t="str">
        <f>IFERROR(IF($C47&lt;1,"",AZ$3*일별반별!BC47),0)</f>
        <v/>
      </c>
      <c r="BA47" s="401" t="str">
        <f>IFERROR(IF($C47&lt;1,"",BA$3*일별반별!BD47),0)</f>
        <v/>
      </c>
      <c r="BB47" s="402" t="str">
        <f>IFERROR(IF($C47&lt;1,"",BB$3*일별반별!BE47),0)</f>
        <v/>
      </c>
      <c r="BC47" s="402" t="str">
        <f>IFERROR(IF($C47&lt;1,"",BC$3*일별반별!BF47),0)</f>
        <v/>
      </c>
      <c r="BD47" s="402" t="str">
        <f>IFERROR(IF($C47&lt;1,"",BD$3*일별반별!BG47),0)</f>
        <v/>
      </c>
      <c r="BE47" s="402" t="str">
        <f>IFERROR(IF($C47&lt;1,"",BE$3*일별반별!BH47),0)</f>
        <v/>
      </c>
      <c r="BF47" s="402" t="str">
        <f>IFERROR(IF($C47&lt;1,"",BF$3*일별반별!BI47),0)</f>
        <v/>
      </c>
      <c r="BG47" s="402" t="str">
        <f>IFERROR(IF($C47&lt;1,"",BG$3*일별반별!BJ47),0)</f>
        <v/>
      </c>
      <c r="BH47" s="402" t="str">
        <f>IFERROR(IF($C47&lt;1,"",BH$3*일별반별!BK47),0)</f>
        <v/>
      </c>
      <c r="BI47" s="402" t="str">
        <f>IFERROR(IF($C47&lt;1,"",BI$3*일별반별!BL47),0)</f>
        <v/>
      </c>
      <c r="BJ47" s="402" t="str">
        <f>IFERROR(IF($C47&lt;1,"",BJ$3*일별반별!BM47),0)</f>
        <v/>
      </c>
      <c r="BK47" s="402" t="str">
        <f>IFERROR(IF($C47&lt;1,"",BK$3*일별반별!BN47),0)</f>
        <v/>
      </c>
      <c r="BL47" s="402" t="str">
        <f>IFERROR(IF($C47&lt;1,"",BL$3*일별반별!BH47),0)</f>
        <v/>
      </c>
      <c r="BM47" s="402" t="str">
        <f>IFERROR(IF($C47&lt;1,"",BM$3*일별반별!BP47),0)</f>
        <v/>
      </c>
      <c r="BN47" s="401" t="str">
        <f>IFERROR(IF($C47&lt;1,"",BN$3*일별반별!BQ47),0)</f>
        <v/>
      </c>
      <c r="BO47" s="401" t="str">
        <f>IFERROR(IF($C47&lt;1,"",BO$3*일별반별!BR47),0)</f>
        <v/>
      </c>
      <c r="BP47" s="401" t="str">
        <f>IFERROR(IF($C47&lt;1,"",BP$3*일별반별!BS47),0)</f>
        <v/>
      </c>
      <c r="BQ47" s="401" t="str">
        <f>IFERROR(IF($C47&lt;1,"",BQ$3*일별반별!BT47),0)</f>
        <v/>
      </c>
      <c r="BR47" s="417" t="str">
        <f>IFERROR(IF($C47&lt;1,"",BR$3*일별반별!BU47),0)</f>
        <v/>
      </c>
      <c r="BS47" s="417" t="str">
        <f>IFERROR(IF($C47&lt;1,"",BS$3*일별반별!BV47),0)</f>
        <v/>
      </c>
      <c r="BT47" s="417" t="str">
        <f>IFERROR(IF($C47&lt;1,"",BT$3*일별반별!BW47),0)</f>
        <v/>
      </c>
      <c r="BU47" s="316" t="str">
        <f>IFERROR(IF($C47&lt;1,"",BU$3*일별반별!BX47),0)</f>
        <v/>
      </c>
      <c r="BV47" s="316" t="str">
        <f>IFERROR(IF($C47&lt;1,"",BV$3*일별반별!BY47),0)</f>
        <v/>
      </c>
      <c r="BW47" s="316" t="str">
        <f>IFERROR(IF($C47&lt;1,"",BW$3*일별반별!BZ47),0)</f>
        <v/>
      </c>
      <c r="BX47" s="316" t="str">
        <f>IFERROR(IF($C47&lt;1,"",BX$3*일별반별!CA47),0)</f>
        <v/>
      </c>
      <c r="BY47" s="316" t="str">
        <f>IFERROR(IF($C47&lt;1,"",BY$3*일별반별!CB47),0)</f>
        <v/>
      </c>
      <c r="BZ47" s="316" t="str">
        <f>IFERROR(IF($C47&lt;1,"",BZ$3*일별반별!CC47),0)</f>
        <v/>
      </c>
      <c r="CA47" s="316" t="str">
        <f>IFERROR(IF($C47&lt;1,"",CA$3*일별반별!CD47),0)</f>
        <v/>
      </c>
      <c r="CB47" s="316" t="str">
        <f>IFERROR(IF($C47&lt;1,"",CB$3*일별반별!CE47),0)</f>
        <v/>
      </c>
      <c r="CC47" s="316" t="str">
        <f>IFERROR(IF($C47&lt;1,"",CC$3*일별반별!CF47),0)</f>
        <v/>
      </c>
      <c r="CD47" s="316" t="str">
        <f>IFERROR(IF($C47&lt;1,"",CD$3*일별반별!CG47),0)</f>
        <v/>
      </c>
      <c r="CE47" s="316" t="str">
        <f>IFERROR(IF($C47&lt;1,"",CE$3*일별반별!CH47),0)</f>
        <v/>
      </c>
      <c r="CF47" s="316" t="str">
        <f>IFERROR(IF($C47&lt;1,"",CF$3*일별반별!CI47),0)</f>
        <v/>
      </c>
      <c r="CG47" s="316" t="str">
        <f>IFERROR(IF($C47&lt;1,"",CG$3*일별반별!CJ47),0)</f>
        <v/>
      </c>
      <c r="CH47" s="316" t="str">
        <f>IFERROR(IF($C47&lt;1,"",CH$3*일별반별!CK47),0)</f>
        <v/>
      </c>
      <c r="CI47" s="316" t="str">
        <f>IFERROR(IF($C47&lt;1,"",CI$3*일별반별!CL47),0)</f>
        <v/>
      </c>
      <c r="CJ47" s="316" t="str">
        <f>IFERROR(IF($C47&lt;1,"",CJ$3*일별반별!CM47),0)</f>
        <v/>
      </c>
      <c r="CK47" s="316" t="str">
        <f>IFERROR(IF($C47&lt;1,"",CK$3*일별반별!CN47),0)</f>
        <v/>
      </c>
      <c r="CL47" s="316" t="str">
        <f>IFERROR(IF($C47&lt;1,"",CL$3*일별반별!CO47),0)</f>
        <v/>
      </c>
      <c r="CM47" s="316" t="str">
        <f>IFERROR(IF($C47&lt;1,"",CM$3*일별반별!CP47),0)</f>
        <v/>
      </c>
      <c r="CN47" s="316" t="str">
        <f>IFERROR(IF($C47&lt;1,"",CN$3*일별반별!CQ47),0)</f>
        <v/>
      </c>
      <c r="CO47" s="316" t="str">
        <f>IFERROR(IF($C47&lt;1,"",CO$3*일별반별!CR47),0)</f>
        <v/>
      </c>
      <c r="CP47" s="316" t="str">
        <f>IFERROR(IF($C47&lt;1,"",CP$3*일별반별!CS47),0)</f>
        <v/>
      </c>
      <c r="CQ47" s="316" t="str">
        <f>IFERROR(IF($C47&lt;1,"",CQ$3*일별반별!CT47),0)</f>
        <v/>
      </c>
      <c r="CR47" s="418" t="str">
        <f>IFERROR(IF($C47&lt;1,"",CR$3*일별반별!CU47),0)</f>
        <v/>
      </c>
      <c r="CS47" s="418" t="str">
        <f>IFERROR(IF($C47&lt;1,"",CS$3*일별반별!CV47),0)</f>
        <v/>
      </c>
      <c r="CT47" s="316" t="str">
        <f>IFERROR(IF($C47&lt;1,"",CT$3*일별반별!CW47),0)</f>
        <v/>
      </c>
      <c r="CU47" s="316" t="str">
        <f>IFERROR(IF($C47&lt;1,"",CU$3*일별반별!CX47),0)</f>
        <v/>
      </c>
      <c r="CV47" s="316" t="str">
        <f>IFERROR(IF($C47&lt;1,"",CV$3*일별반별!CY47),0)</f>
        <v/>
      </c>
      <c r="CW47" s="316" t="str">
        <f>IFERROR(IF($C47&lt;1,"",CW$3*일별반별!CZ47),0)</f>
        <v/>
      </c>
      <c r="CX47" s="316" t="str">
        <f>IFERROR(IF($C47&lt;1,"",CX$3*일별반별!DA47),0)</f>
        <v/>
      </c>
      <c r="CY47" s="316" t="str">
        <f>IF(C47&lt;1,"",(CY$3*'09월 조업일지'!AV$7))</f>
        <v/>
      </c>
      <c r="CZ47" s="316" t="str">
        <f t="shared" si="3"/>
        <v/>
      </c>
      <c r="DA47" s="316" t="str">
        <f t="shared" si="3"/>
        <v/>
      </c>
      <c r="DB47" s="316" t="str">
        <f t="shared" si="3"/>
        <v/>
      </c>
      <c r="DC47" s="316"/>
      <c r="DD47" s="419"/>
    </row>
    <row r="48" spans="1:108" ht="15" customHeight="1">
      <c r="A48" s="274">
        <f t="shared" si="2"/>
        <v>44021</v>
      </c>
      <c r="B48" s="275" t="s">
        <v>100</v>
      </c>
      <c r="C48" s="201">
        <f>COUNTIFS('09월 조업일지'!$A$12:$A$952,A46,'09월 조업일지'!$E$12:$E$952,B48)</f>
        <v>0</v>
      </c>
      <c r="D48" s="314">
        <f>IF(C48&lt;1,0,(SUM(E48:CX48)/(일별반별!BV48-1.5)+(CY48+CZ48+DA48+DB48)))</f>
        <v>0</v>
      </c>
      <c r="E48" s="278"/>
      <c r="F48" s="281"/>
      <c r="G48" s="282"/>
      <c r="H48" s="283"/>
      <c r="I48" s="283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326"/>
      <c r="U48" s="395" t="str">
        <f>IFERROR(IF($C48&lt;1,"",U$3*일별반별!X48),0)</f>
        <v/>
      </c>
      <c r="V48" s="395" t="str">
        <f>IFERROR(IF($C48&lt;1,"",V$3*일별반별!Y48),0)</f>
        <v/>
      </c>
      <c r="W48" s="395" t="str">
        <f>IFERROR(IF($C48&lt;1,"",W$3*일별반별!Z48),0)</f>
        <v/>
      </c>
      <c r="X48" s="208" t="str">
        <f>IFERROR(IF($C48&lt;1,"",X$3*일별반별!AA48),0)</f>
        <v/>
      </c>
      <c r="Y48" s="208" t="str">
        <f>IFERROR(IF($C48&lt;1,"",Y$3*일별반별!AB48),0)</f>
        <v/>
      </c>
      <c r="Z48" s="208" t="str">
        <f>IFERROR(IF($C48&lt;1,"",Z$3*일별반별!AC48),0)</f>
        <v/>
      </c>
      <c r="AA48" s="395" t="str">
        <f>IFERROR(IF($C48&lt;1,"",AA$3*일별반별!AD48),0)</f>
        <v/>
      </c>
      <c r="AB48" s="395" t="str">
        <f>IFERROR(IF($C48&lt;1,"",AB$3*일별반별!AE48),0)</f>
        <v/>
      </c>
      <c r="AC48" s="208" t="str">
        <f>IFERROR(IF($C48&lt;1,"",AC$3*일별반별!AF48),0)</f>
        <v/>
      </c>
      <c r="AD48" s="208" t="str">
        <f>IFERROR(IF($C48&lt;1,"",AD$3*일별반별!AG48),0)</f>
        <v/>
      </c>
      <c r="AE48" s="208" t="str">
        <f>IFERROR(IF($C48&lt;1,"",AE$3*일별반별!AH48),0)</f>
        <v/>
      </c>
      <c r="AF48" s="395" t="str">
        <f>IFERROR(IF($C48&lt;1,"",AF$3*일별반별!AI48),0)</f>
        <v/>
      </c>
      <c r="AG48" s="395" t="str">
        <f>IFERROR(IF($C48&lt;1,"",AG$3*일별반별!AJ48),0)</f>
        <v/>
      </c>
      <c r="AH48" s="395" t="str">
        <f>IFERROR(IF($C48&lt;1,"",AH$3*일별반별!AK48),0)</f>
        <v/>
      </c>
      <c r="AI48" s="395" t="str">
        <f>IFERROR(IF($C48&lt;1,"",AI$3*일별반별!AL48),0)</f>
        <v/>
      </c>
      <c r="AJ48" s="395" t="str">
        <f>IFERROR(IF($C48&lt;1,"",AJ$3*일별반별!AM48),0)</f>
        <v/>
      </c>
      <c r="AK48" s="395" t="str">
        <f>IFERROR(IF($C48&lt;1,"",AK$3*일별반별!AN48),0)</f>
        <v/>
      </c>
      <c r="AL48" s="395" t="str">
        <f>IFERROR(IF($C48&lt;1,"",AL$3*일별반별!AO48),0)</f>
        <v/>
      </c>
      <c r="AM48" s="395" t="str">
        <f>IFERROR(IF($C48&lt;1,"",AM$3*일별반별!AP48),0)</f>
        <v/>
      </c>
      <c r="AN48" s="395" t="str">
        <f>IFERROR(IF($C48&lt;1,"",AN$3*일별반별!AQ48),0)</f>
        <v/>
      </c>
      <c r="AO48" s="395" t="str">
        <f>IFERROR(IF($C48&lt;1,"",AO$3*일별반별!AR48),0)</f>
        <v/>
      </c>
      <c r="AP48" s="347" t="str">
        <f>IFERROR(IF($C48&lt;1,"",AP$3*일별반별!AS48),0)</f>
        <v/>
      </c>
      <c r="AQ48" s="347" t="str">
        <f>IFERROR(IF($C48&lt;1,"",AQ$3*일별반별!AT48),0)</f>
        <v/>
      </c>
      <c r="AR48" s="316" t="str">
        <f>IFERROR(IF($C48&lt;1,"",AR$3*일별반별!AU48),0)</f>
        <v/>
      </c>
      <c r="AS48" s="401" t="str">
        <f>IFERROR(IF($C48&lt;1,"",AS$3*일별반별!AV48),0)</f>
        <v/>
      </c>
      <c r="AT48" s="401" t="str">
        <f>IFERROR(IF($C48&lt;1,"",AT$3*일별반별!AW48),0)</f>
        <v/>
      </c>
      <c r="AU48" s="401" t="str">
        <f>IFERROR(IF($C48&lt;1,"",AU$3*일별반별!AX48),0)</f>
        <v/>
      </c>
      <c r="AV48" s="401" t="str">
        <f>IFERROR(IF($C48&lt;1,"",AV$3*일별반별!AY48),0)</f>
        <v/>
      </c>
      <c r="AW48" s="401" t="str">
        <f>IFERROR(IF($C48&lt;1,"",AW$3*일별반별!AZ48),0)</f>
        <v/>
      </c>
      <c r="AX48" s="401" t="str">
        <f>IFERROR(IF($C48&lt;1,"",AX$3*일별반별!BA48),0)</f>
        <v/>
      </c>
      <c r="AY48" s="401" t="str">
        <f>IFERROR(IF($C48&lt;1,"",AY$3*일별반별!BB48),0)</f>
        <v/>
      </c>
      <c r="AZ48" s="401" t="str">
        <f>IFERROR(IF($C48&lt;1,"",AZ$3*일별반별!BC48),0)</f>
        <v/>
      </c>
      <c r="BA48" s="401" t="str">
        <f>IFERROR(IF($C48&lt;1,"",BA$3*일별반별!BD48),0)</f>
        <v/>
      </c>
      <c r="BB48" s="402" t="str">
        <f>IFERROR(IF($C48&lt;1,"",BB$3*일별반별!BE48),0)</f>
        <v/>
      </c>
      <c r="BC48" s="402" t="str">
        <f>IFERROR(IF($C48&lt;1,"",BC$3*일별반별!BF48),0)</f>
        <v/>
      </c>
      <c r="BD48" s="402" t="str">
        <f>IFERROR(IF($C48&lt;1,"",BD$3*일별반별!BG48),0)</f>
        <v/>
      </c>
      <c r="BE48" s="402" t="str">
        <f>IFERROR(IF($C48&lt;1,"",BE$3*일별반별!BH48),0)</f>
        <v/>
      </c>
      <c r="BF48" s="402" t="str">
        <f>IFERROR(IF($C48&lt;1,"",BF$3*일별반별!BI48),0)</f>
        <v/>
      </c>
      <c r="BG48" s="402" t="str">
        <f>IFERROR(IF($C48&lt;1,"",BG$3*일별반별!BJ48),0)</f>
        <v/>
      </c>
      <c r="BH48" s="402" t="str">
        <f>IFERROR(IF($C48&lt;1,"",BH$3*일별반별!BK48),0)</f>
        <v/>
      </c>
      <c r="BI48" s="402" t="str">
        <f>IFERROR(IF($C48&lt;1,"",BI$3*일별반별!BL48),0)</f>
        <v/>
      </c>
      <c r="BJ48" s="402" t="str">
        <f>IFERROR(IF($C48&lt;1,"",BJ$3*일별반별!BM48),0)</f>
        <v/>
      </c>
      <c r="BK48" s="402" t="str">
        <f>IFERROR(IF($C48&lt;1,"",BK$3*일별반별!BN48),0)</f>
        <v/>
      </c>
      <c r="BL48" s="402" t="str">
        <f>IFERROR(IF($C48&lt;1,"",BL$3*일별반별!BH48),0)</f>
        <v/>
      </c>
      <c r="BM48" s="402" t="str">
        <f>IFERROR(IF($C48&lt;1,"",BM$3*일별반별!BP48),0)</f>
        <v/>
      </c>
      <c r="BN48" s="401" t="str">
        <f>IFERROR(IF($C48&lt;1,"",BN$3*일별반별!BQ48),0)</f>
        <v/>
      </c>
      <c r="BO48" s="401" t="str">
        <f>IFERROR(IF($C48&lt;1,"",BO$3*일별반별!BR48),0)</f>
        <v/>
      </c>
      <c r="BP48" s="401" t="str">
        <f>IFERROR(IF($C48&lt;1,"",BP$3*일별반별!BS48),0)</f>
        <v/>
      </c>
      <c r="BQ48" s="401" t="str">
        <f>IFERROR(IF($C48&lt;1,"",BQ$3*일별반별!BT48),0)</f>
        <v/>
      </c>
      <c r="BR48" s="417" t="str">
        <f>IFERROR(IF($C48&lt;1,"",BR$3*일별반별!BU48),0)</f>
        <v/>
      </c>
      <c r="BS48" s="417" t="str">
        <f>IFERROR(IF($C48&lt;1,"",BS$3*일별반별!BV48),0)</f>
        <v/>
      </c>
      <c r="BT48" s="417" t="str">
        <f>IFERROR(IF($C48&lt;1,"",BT$3*일별반별!BW48),0)</f>
        <v/>
      </c>
      <c r="BU48" s="316" t="str">
        <f>IFERROR(IF($C48&lt;1,"",BU$3*일별반별!BX48),0)</f>
        <v/>
      </c>
      <c r="BV48" s="316" t="str">
        <f>IFERROR(IF($C48&lt;1,"",BV$3*일별반별!BY48),0)</f>
        <v/>
      </c>
      <c r="BW48" s="316" t="str">
        <f>IFERROR(IF($C48&lt;1,"",BW$3*일별반별!BZ48),0)</f>
        <v/>
      </c>
      <c r="BX48" s="316" t="str">
        <f>IFERROR(IF($C48&lt;1,"",BX$3*일별반별!CA48),0)</f>
        <v/>
      </c>
      <c r="BY48" s="316" t="str">
        <f>IFERROR(IF($C48&lt;1,"",BY$3*일별반별!CB48),0)</f>
        <v/>
      </c>
      <c r="BZ48" s="316" t="str">
        <f>IFERROR(IF($C48&lt;1,"",BZ$3*일별반별!CC48),0)</f>
        <v/>
      </c>
      <c r="CA48" s="316" t="str">
        <f>IFERROR(IF($C48&lt;1,"",CA$3*일별반별!CD48),0)</f>
        <v/>
      </c>
      <c r="CB48" s="316" t="str">
        <f>IFERROR(IF($C48&lt;1,"",CB$3*일별반별!CE48),0)</f>
        <v/>
      </c>
      <c r="CC48" s="316" t="str">
        <f>IFERROR(IF($C48&lt;1,"",CC$3*일별반별!CF48),0)</f>
        <v/>
      </c>
      <c r="CD48" s="316" t="str">
        <f>IFERROR(IF($C48&lt;1,"",CD$3*일별반별!CG48),0)</f>
        <v/>
      </c>
      <c r="CE48" s="316" t="str">
        <f>IFERROR(IF($C48&lt;1,"",CE$3*일별반별!CH48),0)</f>
        <v/>
      </c>
      <c r="CF48" s="316" t="str">
        <f>IFERROR(IF($C48&lt;1,"",CF$3*일별반별!CI48),0)</f>
        <v/>
      </c>
      <c r="CG48" s="316" t="str">
        <f>IFERROR(IF($C48&lt;1,"",CG$3*일별반별!CJ48),0)</f>
        <v/>
      </c>
      <c r="CH48" s="316" t="str">
        <f>IFERROR(IF($C48&lt;1,"",CH$3*일별반별!CK48),0)</f>
        <v/>
      </c>
      <c r="CI48" s="316" t="str">
        <f>IFERROR(IF($C48&lt;1,"",CI$3*일별반별!CL48),0)</f>
        <v/>
      </c>
      <c r="CJ48" s="316" t="str">
        <f>IFERROR(IF($C48&lt;1,"",CJ$3*일별반별!CM48),0)</f>
        <v/>
      </c>
      <c r="CK48" s="316" t="str">
        <f>IFERROR(IF($C48&lt;1,"",CK$3*일별반별!CN48),0)</f>
        <v/>
      </c>
      <c r="CL48" s="316" t="str">
        <f>IFERROR(IF($C48&lt;1,"",CL$3*일별반별!CO48),0)</f>
        <v/>
      </c>
      <c r="CM48" s="316" t="str">
        <f>IFERROR(IF($C48&lt;1,"",CM$3*일별반별!CP48),0)</f>
        <v/>
      </c>
      <c r="CN48" s="316" t="str">
        <f>IFERROR(IF($C48&lt;1,"",CN$3*일별반별!CQ48),0)</f>
        <v/>
      </c>
      <c r="CO48" s="316" t="str">
        <f>IFERROR(IF($C48&lt;1,"",CO$3*일별반별!CR48),0)</f>
        <v/>
      </c>
      <c r="CP48" s="316" t="str">
        <f>IFERROR(IF($C48&lt;1,"",CP$3*일별반별!CS48),0)</f>
        <v/>
      </c>
      <c r="CQ48" s="316" t="str">
        <f>IFERROR(IF($C48&lt;1,"",CQ$3*일별반별!CT48),0)</f>
        <v/>
      </c>
      <c r="CR48" s="418" t="str">
        <f>IFERROR(IF($C48&lt;1,"",CR$3*일별반별!CU48),0)</f>
        <v/>
      </c>
      <c r="CS48" s="418" t="str">
        <f>IFERROR(IF($C48&lt;1,"",CS$3*일별반별!CV48),0)</f>
        <v/>
      </c>
      <c r="CT48" s="316" t="str">
        <f>IFERROR(IF($C48&lt;1,"",CT$3*일별반별!CW48),0)</f>
        <v/>
      </c>
      <c r="CU48" s="316" t="str">
        <f>IFERROR(IF($C48&lt;1,"",CU$3*일별반별!CX48),0)</f>
        <v/>
      </c>
      <c r="CV48" s="316" t="str">
        <f>IFERROR(IF($C48&lt;1,"",CV$3*일별반별!CY48),0)</f>
        <v/>
      </c>
      <c r="CW48" s="316" t="str">
        <f>IFERROR(IF($C48&lt;1,"",CW$3*일별반별!CZ48),0)</f>
        <v/>
      </c>
      <c r="CX48" s="316" t="str">
        <f>IFERROR(IF($C48&lt;1,"",CX$3*일별반별!DA48),0)</f>
        <v/>
      </c>
      <c r="CY48" s="316" t="str">
        <f>IF(C48&lt;1,"",(CY$3*'09월 조업일지'!AV$7))</f>
        <v/>
      </c>
      <c r="CZ48" s="316" t="str">
        <f t="shared" si="3"/>
        <v/>
      </c>
      <c r="DA48" s="316" t="str">
        <f t="shared" si="3"/>
        <v/>
      </c>
      <c r="DB48" s="316" t="str">
        <f t="shared" si="3"/>
        <v/>
      </c>
      <c r="DC48" s="316"/>
      <c r="DD48" s="419"/>
    </row>
    <row r="49" spans="1:108" ht="15" customHeight="1">
      <c r="A49" s="274">
        <f t="shared" si="2"/>
        <v>44021</v>
      </c>
      <c r="B49" s="275" t="s">
        <v>10</v>
      </c>
      <c r="C49" s="201">
        <f>COUNTIFS('09월 조업일지'!$A$12:$A$952,A46,'09월 조업일지'!$E$12:$E$952,B49)</f>
        <v>0</v>
      </c>
      <c r="D49" s="314">
        <f>IF(C49&lt;1,0,(SUM(E49:CX49)/(일별반별!BV49-1.5)+(CY49+CZ49+DA49+DB49)))</f>
        <v>0</v>
      </c>
      <c r="E49" s="278"/>
      <c r="F49" s="281"/>
      <c r="G49" s="282"/>
      <c r="H49" s="283"/>
      <c r="I49" s="283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326"/>
      <c r="U49" s="395" t="str">
        <f>IFERROR(IF($C49&lt;1,"",U$3*일별반별!X49),0)</f>
        <v/>
      </c>
      <c r="V49" s="395" t="str">
        <f>IFERROR(IF($C49&lt;1,"",V$3*일별반별!Y49),0)</f>
        <v/>
      </c>
      <c r="W49" s="395" t="str">
        <f>IFERROR(IF($C49&lt;1,"",W$3*일별반별!Z49),0)</f>
        <v/>
      </c>
      <c r="X49" s="208" t="str">
        <f>IFERROR(IF($C49&lt;1,"",X$3*일별반별!AA49),0)</f>
        <v/>
      </c>
      <c r="Y49" s="208" t="str">
        <f>IFERROR(IF($C49&lt;1,"",Y$3*일별반별!AB49),0)</f>
        <v/>
      </c>
      <c r="Z49" s="208" t="str">
        <f>IFERROR(IF($C49&lt;1,"",Z$3*일별반별!AC49),0)</f>
        <v/>
      </c>
      <c r="AA49" s="395" t="str">
        <f>IFERROR(IF($C49&lt;1,"",AA$3*일별반별!AD49),0)</f>
        <v/>
      </c>
      <c r="AB49" s="395" t="str">
        <f>IFERROR(IF($C49&lt;1,"",AB$3*일별반별!AE49),0)</f>
        <v/>
      </c>
      <c r="AC49" s="208" t="str">
        <f>IFERROR(IF($C49&lt;1,"",AC$3*일별반별!AF49),0)</f>
        <v/>
      </c>
      <c r="AD49" s="208" t="str">
        <f>IFERROR(IF($C49&lt;1,"",AD$3*일별반별!AG49),0)</f>
        <v/>
      </c>
      <c r="AE49" s="208" t="str">
        <f>IFERROR(IF($C49&lt;1,"",AE$3*일별반별!AH49),0)</f>
        <v/>
      </c>
      <c r="AF49" s="395" t="str">
        <f>IFERROR(IF($C49&lt;1,"",AF$3*일별반별!AI49),0)</f>
        <v/>
      </c>
      <c r="AG49" s="395" t="str">
        <f>IFERROR(IF($C49&lt;1,"",AG$3*일별반별!AJ49),0)</f>
        <v/>
      </c>
      <c r="AH49" s="395" t="str">
        <f>IFERROR(IF($C49&lt;1,"",AH$3*일별반별!AK49),0)</f>
        <v/>
      </c>
      <c r="AI49" s="395" t="str">
        <f>IFERROR(IF($C49&lt;1,"",AI$3*일별반별!AL49),0)</f>
        <v/>
      </c>
      <c r="AJ49" s="395" t="str">
        <f>IFERROR(IF($C49&lt;1,"",AJ$3*일별반별!AM49),0)</f>
        <v/>
      </c>
      <c r="AK49" s="395" t="str">
        <f>IFERROR(IF($C49&lt;1,"",AK$3*일별반별!AN49),0)</f>
        <v/>
      </c>
      <c r="AL49" s="395" t="str">
        <f>IFERROR(IF($C49&lt;1,"",AL$3*일별반별!AO49),0)</f>
        <v/>
      </c>
      <c r="AM49" s="395" t="str">
        <f>IFERROR(IF($C49&lt;1,"",AM$3*일별반별!AP49),0)</f>
        <v/>
      </c>
      <c r="AN49" s="395" t="str">
        <f>IFERROR(IF($C49&lt;1,"",AN$3*일별반별!AQ49),0)</f>
        <v/>
      </c>
      <c r="AO49" s="395" t="str">
        <f>IFERROR(IF($C49&lt;1,"",AO$3*일별반별!AR49),0)</f>
        <v/>
      </c>
      <c r="AP49" s="347" t="str">
        <f>IFERROR(IF($C49&lt;1,"",AP$3*일별반별!AS49),0)</f>
        <v/>
      </c>
      <c r="AQ49" s="347" t="str">
        <f>IFERROR(IF($C49&lt;1,"",AQ$3*일별반별!AT49),0)</f>
        <v/>
      </c>
      <c r="AR49" s="316" t="str">
        <f>IFERROR(IF($C49&lt;1,"",AR$3*일별반별!AU49),0)</f>
        <v/>
      </c>
      <c r="AS49" s="401" t="str">
        <f>IFERROR(IF($C49&lt;1,"",AS$3*일별반별!AV49),0)</f>
        <v/>
      </c>
      <c r="AT49" s="401" t="str">
        <f>IFERROR(IF($C49&lt;1,"",AT$3*일별반별!AW49),0)</f>
        <v/>
      </c>
      <c r="AU49" s="401" t="str">
        <f>IFERROR(IF($C49&lt;1,"",AU$3*일별반별!AX49),0)</f>
        <v/>
      </c>
      <c r="AV49" s="401" t="str">
        <f>IFERROR(IF($C49&lt;1,"",AV$3*일별반별!AY49),0)</f>
        <v/>
      </c>
      <c r="AW49" s="401" t="str">
        <f>IFERROR(IF($C49&lt;1,"",AW$3*일별반별!AZ49),0)</f>
        <v/>
      </c>
      <c r="AX49" s="401" t="str">
        <f>IFERROR(IF($C49&lt;1,"",AX$3*일별반별!BA49),0)</f>
        <v/>
      </c>
      <c r="AY49" s="401" t="str">
        <f>IFERROR(IF($C49&lt;1,"",AY$3*일별반별!BB49),0)</f>
        <v/>
      </c>
      <c r="AZ49" s="401" t="str">
        <f>IFERROR(IF($C49&lt;1,"",AZ$3*일별반별!BC49),0)</f>
        <v/>
      </c>
      <c r="BA49" s="401" t="str">
        <f>IFERROR(IF($C49&lt;1,"",BA$3*일별반별!BD49),0)</f>
        <v/>
      </c>
      <c r="BB49" s="402" t="str">
        <f>IFERROR(IF($C49&lt;1,"",BB$3*일별반별!BE49),0)</f>
        <v/>
      </c>
      <c r="BC49" s="402" t="str">
        <f>IFERROR(IF($C49&lt;1,"",BC$3*일별반별!BF49),0)</f>
        <v/>
      </c>
      <c r="BD49" s="402" t="str">
        <f>IFERROR(IF($C49&lt;1,"",BD$3*일별반별!BG49),0)</f>
        <v/>
      </c>
      <c r="BE49" s="402" t="str">
        <f>IFERROR(IF($C49&lt;1,"",BE$3*일별반별!BH49),0)</f>
        <v/>
      </c>
      <c r="BF49" s="402" t="str">
        <f>IFERROR(IF($C49&lt;1,"",BF$3*일별반별!BI49),0)</f>
        <v/>
      </c>
      <c r="BG49" s="402" t="str">
        <f>IFERROR(IF($C49&lt;1,"",BG$3*일별반별!BJ49),0)</f>
        <v/>
      </c>
      <c r="BH49" s="402" t="str">
        <f>IFERROR(IF($C49&lt;1,"",BH$3*일별반별!BK49),0)</f>
        <v/>
      </c>
      <c r="BI49" s="402" t="str">
        <f>IFERROR(IF($C49&lt;1,"",BI$3*일별반별!BL49),0)</f>
        <v/>
      </c>
      <c r="BJ49" s="402" t="str">
        <f>IFERROR(IF($C49&lt;1,"",BJ$3*일별반별!BM49),0)</f>
        <v/>
      </c>
      <c r="BK49" s="402" t="str">
        <f>IFERROR(IF($C49&lt;1,"",BK$3*일별반별!BN49),0)</f>
        <v/>
      </c>
      <c r="BL49" s="402" t="str">
        <f>IFERROR(IF($C49&lt;1,"",BL$3*일별반별!BH49),0)</f>
        <v/>
      </c>
      <c r="BM49" s="402" t="str">
        <f>IFERROR(IF($C49&lt;1,"",BM$3*일별반별!BP49),0)</f>
        <v/>
      </c>
      <c r="BN49" s="401" t="str">
        <f>IFERROR(IF($C49&lt;1,"",BN$3*일별반별!BQ49),0)</f>
        <v/>
      </c>
      <c r="BO49" s="401" t="str">
        <f>IFERROR(IF($C49&lt;1,"",BO$3*일별반별!BR49),0)</f>
        <v/>
      </c>
      <c r="BP49" s="401" t="str">
        <f>IFERROR(IF($C49&lt;1,"",BP$3*일별반별!BS49),0)</f>
        <v/>
      </c>
      <c r="BQ49" s="401" t="str">
        <f>IFERROR(IF($C49&lt;1,"",BQ$3*일별반별!BT49),0)</f>
        <v/>
      </c>
      <c r="BR49" s="417" t="str">
        <f>IFERROR(IF($C49&lt;1,"",BR$3*일별반별!BU49),0)</f>
        <v/>
      </c>
      <c r="BS49" s="417" t="str">
        <f>IFERROR(IF($C49&lt;1,"",BS$3*일별반별!BV49),0)</f>
        <v/>
      </c>
      <c r="BT49" s="417" t="str">
        <f>IFERROR(IF($C49&lt;1,"",BT$3*일별반별!BW49),0)</f>
        <v/>
      </c>
      <c r="BU49" s="316" t="str">
        <f>IFERROR(IF($C49&lt;1,"",BU$3*일별반별!BX49),0)</f>
        <v/>
      </c>
      <c r="BV49" s="316" t="str">
        <f>IFERROR(IF($C49&lt;1,"",BV$3*일별반별!BY49),0)</f>
        <v/>
      </c>
      <c r="BW49" s="316" t="str">
        <f>IFERROR(IF($C49&lt;1,"",BW$3*일별반별!BZ49),0)</f>
        <v/>
      </c>
      <c r="BX49" s="316" t="str">
        <f>IFERROR(IF($C49&lt;1,"",BX$3*일별반별!CA49),0)</f>
        <v/>
      </c>
      <c r="BY49" s="316" t="str">
        <f>IFERROR(IF($C49&lt;1,"",BY$3*일별반별!CB49),0)</f>
        <v/>
      </c>
      <c r="BZ49" s="316" t="str">
        <f>IFERROR(IF($C49&lt;1,"",BZ$3*일별반별!CC49),0)</f>
        <v/>
      </c>
      <c r="CA49" s="316" t="str">
        <f>IFERROR(IF($C49&lt;1,"",CA$3*일별반별!CD49),0)</f>
        <v/>
      </c>
      <c r="CB49" s="316" t="str">
        <f>IFERROR(IF($C49&lt;1,"",CB$3*일별반별!CE49),0)</f>
        <v/>
      </c>
      <c r="CC49" s="316" t="str">
        <f>IFERROR(IF($C49&lt;1,"",CC$3*일별반별!CF49),0)</f>
        <v/>
      </c>
      <c r="CD49" s="316" t="str">
        <f>IFERROR(IF($C49&lt;1,"",CD$3*일별반별!CG49),0)</f>
        <v/>
      </c>
      <c r="CE49" s="316" t="str">
        <f>IFERROR(IF($C49&lt;1,"",CE$3*일별반별!CH49),0)</f>
        <v/>
      </c>
      <c r="CF49" s="316" t="str">
        <f>IFERROR(IF($C49&lt;1,"",CF$3*일별반별!CI49),0)</f>
        <v/>
      </c>
      <c r="CG49" s="316" t="str">
        <f>IFERROR(IF($C49&lt;1,"",CG$3*일별반별!CJ49),0)</f>
        <v/>
      </c>
      <c r="CH49" s="316" t="str">
        <f>IFERROR(IF($C49&lt;1,"",CH$3*일별반별!CK49),0)</f>
        <v/>
      </c>
      <c r="CI49" s="316" t="str">
        <f>IFERROR(IF($C49&lt;1,"",CI$3*일별반별!CL49),0)</f>
        <v/>
      </c>
      <c r="CJ49" s="316" t="str">
        <f>IFERROR(IF($C49&lt;1,"",CJ$3*일별반별!CM49),0)</f>
        <v/>
      </c>
      <c r="CK49" s="316" t="str">
        <f>IFERROR(IF($C49&lt;1,"",CK$3*일별반별!CN49),0)</f>
        <v/>
      </c>
      <c r="CL49" s="316" t="str">
        <f>IFERROR(IF($C49&lt;1,"",CL$3*일별반별!CO49),0)</f>
        <v/>
      </c>
      <c r="CM49" s="316" t="str">
        <f>IFERROR(IF($C49&lt;1,"",CM$3*일별반별!CP49),0)</f>
        <v/>
      </c>
      <c r="CN49" s="316" t="str">
        <f>IFERROR(IF($C49&lt;1,"",CN$3*일별반별!CQ49),0)</f>
        <v/>
      </c>
      <c r="CO49" s="316" t="str">
        <f>IFERROR(IF($C49&lt;1,"",CO$3*일별반별!CR49),0)</f>
        <v/>
      </c>
      <c r="CP49" s="316" t="str">
        <f>IFERROR(IF($C49&lt;1,"",CP$3*일별반별!CS49),0)</f>
        <v/>
      </c>
      <c r="CQ49" s="316" t="str">
        <f>IFERROR(IF($C49&lt;1,"",CQ$3*일별반별!CT49),0)</f>
        <v/>
      </c>
      <c r="CR49" s="418" t="str">
        <f>IFERROR(IF($C49&lt;1,"",CR$3*일별반별!CU49),0)</f>
        <v/>
      </c>
      <c r="CS49" s="418" t="str">
        <f>IFERROR(IF($C49&lt;1,"",CS$3*일별반별!CV49),0)</f>
        <v/>
      </c>
      <c r="CT49" s="316" t="str">
        <f>IFERROR(IF($C49&lt;1,"",CT$3*일별반별!CW49),0)</f>
        <v/>
      </c>
      <c r="CU49" s="316" t="str">
        <f>IFERROR(IF($C49&lt;1,"",CU$3*일별반별!CX49),0)</f>
        <v/>
      </c>
      <c r="CV49" s="316" t="str">
        <f>IFERROR(IF($C49&lt;1,"",CV$3*일별반별!CY49),0)</f>
        <v/>
      </c>
      <c r="CW49" s="316" t="str">
        <f>IFERROR(IF($C49&lt;1,"",CW$3*일별반별!CZ49),0)</f>
        <v/>
      </c>
      <c r="CX49" s="316" t="str">
        <f>IFERROR(IF($C49&lt;1,"",CX$3*일별반별!DA49),0)</f>
        <v/>
      </c>
      <c r="CY49" s="316" t="str">
        <f>IF(C49&lt;1,"",(CY$3*'09월 조업일지'!AV$7))</f>
        <v/>
      </c>
      <c r="CZ49" s="316" t="str">
        <f t="shared" si="3"/>
        <v/>
      </c>
      <c r="DA49" s="316" t="str">
        <f t="shared" si="3"/>
        <v/>
      </c>
      <c r="DB49" s="316" t="str">
        <f t="shared" si="3"/>
        <v/>
      </c>
      <c r="DC49" s="316"/>
      <c r="DD49" s="419"/>
    </row>
    <row r="50" spans="1:108" ht="15" customHeight="1">
      <c r="A50" s="274">
        <f t="shared" si="2"/>
        <v>44021</v>
      </c>
      <c r="B50" s="275" t="s">
        <v>94</v>
      </c>
      <c r="C50" s="201">
        <f>COUNTIFS('09월 조업일지'!$A$12:$A$952,A46,'09월 조업일지'!$E$12:$E$952,B50)</f>
        <v>0</v>
      </c>
      <c r="D50" s="314">
        <f>IF(C50&lt;1,0,(SUM(E50:CX50)/(일별반별!BV50-1.5)+(CY50+CZ50+DA50+DB50)))</f>
        <v>0</v>
      </c>
      <c r="E50" s="278"/>
      <c r="F50" s="281"/>
      <c r="G50" s="282"/>
      <c r="H50" s="283"/>
      <c r="I50" s="283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326"/>
      <c r="U50" s="395" t="str">
        <f>IFERROR(IF($C50&lt;1,"",U$3*일별반별!X50),0)</f>
        <v/>
      </c>
      <c r="V50" s="395" t="str">
        <f>IFERROR(IF($C50&lt;1,"",V$3*일별반별!Y50),0)</f>
        <v/>
      </c>
      <c r="W50" s="395" t="str">
        <f>IFERROR(IF($C50&lt;1,"",W$3*일별반별!Z50),0)</f>
        <v/>
      </c>
      <c r="X50" s="208" t="str">
        <f>IFERROR(IF($C50&lt;1,"",X$3*일별반별!AA50),0)</f>
        <v/>
      </c>
      <c r="Y50" s="208" t="str">
        <f>IFERROR(IF($C50&lt;1,"",Y$3*일별반별!AB50),0)</f>
        <v/>
      </c>
      <c r="Z50" s="208" t="str">
        <f>IFERROR(IF($C50&lt;1,"",Z$3*일별반별!AC50),0)</f>
        <v/>
      </c>
      <c r="AA50" s="395" t="str">
        <f>IFERROR(IF($C50&lt;1,"",AA$3*일별반별!AD50),0)</f>
        <v/>
      </c>
      <c r="AB50" s="395" t="str">
        <f>IFERROR(IF($C50&lt;1,"",AB$3*일별반별!AE50),0)</f>
        <v/>
      </c>
      <c r="AC50" s="208" t="str">
        <f>IFERROR(IF($C50&lt;1,"",AC$3*일별반별!AF50),0)</f>
        <v/>
      </c>
      <c r="AD50" s="208" t="str">
        <f>IFERROR(IF($C50&lt;1,"",AD$3*일별반별!AG50),0)</f>
        <v/>
      </c>
      <c r="AE50" s="208" t="str">
        <f>IFERROR(IF($C50&lt;1,"",AE$3*일별반별!AH50),0)</f>
        <v/>
      </c>
      <c r="AF50" s="395" t="str">
        <f>IFERROR(IF($C50&lt;1,"",AF$3*일별반별!AI50),0)</f>
        <v/>
      </c>
      <c r="AG50" s="395" t="str">
        <f>IFERROR(IF($C50&lt;1,"",AG$3*일별반별!AJ50),0)</f>
        <v/>
      </c>
      <c r="AH50" s="395" t="str">
        <f>IFERROR(IF($C50&lt;1,"",AH$3*일별반별!AK50),0)</f>
        <v/>
      </c>
      <c r="AI50" s="395" t="str">
        <f>IFERROR(IF($C50&lt;1,"",AI$3*일별반별!AL50),0)</f>
        <v/>
      </c>
      <c r="AJ50" s="395" t="str">
        <f>IFERROR(IF($C50&lt;1,"",AJ$3*일별반별!AM50),0)</f>
        <v/>
      </c>
      <c r="AK50" s="395" t="str">
        <f>IFERROR(IF($C50&lt;1,"",AK$3*일별반별!AN50),0)</f>
        <v/>
      </c>
      <c r="AL50" s="395" t="str">
        <f>IFERROR(IF($C50&lt;1,"",AL$3*일별반별!AO50),0)</f>
        <v/>
      </c>
      <c r="AM50" s="395" t="str">
        <f>IFERROR(IF($C50&lt;1,"",AM$3*일별반별!AP50),0)</f>
        <v/>
      </c>
      <c r="AN50" s="395" t="str">
        <f>IFERROR(IF($C50&lt;1,"",AN$3*일별반별!AQ50),0)</f>
        <v/>
      </c>
      <c r="AO50" s="395" t="str">
        <f>IFERROR(IF($C50&lt;1,"",AO$3*일별반별!AR50),0)</f>
        <v/>
      </c>
      <c r="AP50" s="347" t="str">
        <f>IFERROR(IF($C50&lt;1,"",AP$3*일별반별!AS50),0)</f>
        <v/>
      </c>
      <c r="AQ50" s="347" t="str">
        <f>IFERROR(IF($C50&lt;1,"",AQ$3*일별반별!AT50),0)</f>
        <v/>
      </c>
      <c r="AR50" s="316" t="str">
        <f>IFERROR(IF($C50&lt;1,"",AR$3*일별반별!AU50),0)</f>
        <v/>
      </c>
      <c r="AS50" s="401" t="str">
        <f>IFERROR(IF($C50&lt;1,"",AS$3*일별반별!AV50),0)</f>
        <v/>
      </c>
      <c r="AT50" s="401" t="str">
        <f>IFERROR(IF($C50&lt;1,"",AT$3*일별반별!AW50),0)</f>
        <v/>
      </c>
      <c r="AU50" s="401" t="str">
        <f>IFERROR(IF($C50&lt;1,"",AU$3*일별반별!AX50),0)</f>
        <v/>
      </c>
      <c r="AV50" s="401" t="str">
        <f>IFERROR(IF($C50&lt;1,"",AV$3*일별반별!AY50),0)</f>
        <v/>
      </c>
      <c r="AW50" s="401" t="str">
        <f>IFERROR(IF($C50&lt;1,"",AW$3*일별반별!AZ50),0)</f>
        <v/>
      </c>
      <c r="AX50" s="401" t="str">
        <f>IFERROR(IF($C50&lt;1,"",AX$3*일별반별!BA50),0)</f>
        <v/>
      </c>
      <c r="AY50" s="401" t="str">
        <f>IFERROR(IF($C50&lt;1,"",AY$3*일별반별!BB50),0)</f>
        <v/>
      </c>
      <c r="AZ50" s="401" t="str">
        <f>IFERROR(IF($C50&lt;1,"",AZ$3*일별반별!BC50),0)</f>
        <v/>
      </c>
      <c r="BA50" s="401" t="str">
        <f>IFERROR(IF($C50&lt;1,"",BA$3*일별반별!BD50),0)</f>
        <v/>
      </c>
      <c r="BB50" s="402" t="str">
        <f>IFERROR(IF($C50&lt;1,"",BB$3*일별반별!BE50),0)</f>
        <v/>
      </c>
      <c r="BC50" s="402" t="str">
        <f>IFERROR(IF($C50&lt;1,"",BC$3*일별반별!BF50),0)</f>
        <v/>
      </c>
      <c r="BD50" s="402" t="str">
        <f>IFERROR(IF($C50&lt;1,"",BD$3*일별반별!BG50),0)</f>
        <v/>
      </c>
      <c r="BE50" s="402" t="str">
        <f>IFERROR(IF($C50&lt;1,"",BE$3*일별반별!BH50),0)</f>
        <v/>
      </c>
      <c r="BF50" s="402" t="str">
        <f>IFERROR(IF($C50&lt;1,"",BF$3*일별반별!BI50),0)</f>
        <v/>
      </c>
      <c r="BG50" s="402" t="str">
        <f>IFERROR(IF($C50&lt;1,"",BG$3*일별반별!BJ50),0)</f>
        <v/>
      </c>
      <c r="BH50" s="402" t="str">
        <f>IFERROR(IF($C50&lt;1,"",BH$3*일별반별!BK50),0)</f>
        <v/>
      </c>
      <c r="BI50" s="402" t="str">
        <f>IFERROR(IF($C50&lt;1,"",BI$3*일별반별!BL50),0)</f>
        <v/>
      </c>
      <c r="BJ50" s="402" t="str">
        <f>IFERROR(IF($C50&lt;1,"",BJ$3*일별반별!BM50),0)</f>
        <v/>
      </c>
      <c r="BK50" s="402" t="str">
        <f>IFERROR(IF($C50&lt;1,"",BK$3*일별반별!BN50),0)</f>
        <v/>
      </c>
      <c r="BL50" s="402" t="str">
        <f>IFERROR(IF($C50&lt;1,"",BL$3*일별반별!BH50),0)</f>
        <v/>
      </c>
      <c r="BM50" s="402" t="str">
        <f>IFERROR(IF($C50&lt;1,"",BM$3*일별반별!BP50),0)</f>
        <v/>
      </c>
      <c r="BN50" s="401" t="str">
        <f>IFERROR(IF($C50&lt;1,"",BN$3*일별반별!BQ50),0)</f>
        <v/>
      </c>
      <c r="BO50" s="401" t="str">
        <f>IFERROR(IF($C50&lt;1,"",BO$3*일별반별!BR50),0)</f>
        <v/>
      </c>
      <c r="BP50" s="401" t="str">
        <f>IFERROR(IF($C50&lt;1,"",BP$3*일별반별!BS50),0)</f>
        <v/>
      </c>
      <c r="BQ50" s="401" t="str">
        <f>IFERROR(IF($C50&lt;1,"",BQ$3*일별반별!BT50),0)</f>
        <v/>
      </c>
      <c r="BR50" s="417" t="str">
        <f>IFERROR(IF($C50&lt;1,"",BR$3*일별반별!BU50),0)</f>
        <v/>
      </c>
      <c r="BS50" s="417" t="str">
        <f>IFERROR(IF($C50&lt;1,"",BS$3*일별반별!BV50),0)</f>
        <v/>
      </c>
      <c r="BT50" s="417" t="str">
        <f>IFERROR(IF($C50&lt;1,"",BT$3*일별반별!BW50),0)</f>
        <v/>
      </c>
      <c r="BU50" s="316" t="str">
        <f>IFERROR(IF($C50&lt;1,"",BU$3*일별반별!BX50),0)</f>
        <v/>
      </c>
      <c r="BV50" s="316" t="str">
        <f>IFERROR(IF($C50&lt;1,"",BV$3*일별반별!BY50),0)</f>
        <v/>
      </c>
      <c r="BW50" s="316" t="str">
        <f>IFERROR(IF($C50&lt;1,"",BW$3*일별반별!BZ50),0)</f>
        <v/>
      </c>
      <c r="BX50" s="316" t="str">
        <f>IFERROR(IF($C50&lt;1,"",BX$3*일별반별!CA50),0)</f>
        <v/>
      </c>
      <c r="BY50" s="316" t="str">
        <f>IFERROR(IF($C50&lt;1,"",BY$3*일별반별!CB50),0)</f>
        <v/>
      </c>
      <c r="BZ50" s="316" t="str">
        <f>IFERROR(IF($C50&lt;1,"",BZ$3*일별반별!CC50),0)</f>
        <v/>
      </c>
      <c r="CA50" s="316" t="str">
        <f>IFERROR(IF($C50&lt;1,"",CA$3*일별반별!CD50),0)</f>
        <v/>
      </c>
      <c r="CB50" s="316" t="str">
        <f>IFERROR(IF($C50&lt;1,"",CB$3*일별반별!CE50),0)</f>
        <v/>
      </c>
      <c r="CC50" s="316" t="str">
        <f>IFERROR(IF($C50&lt;1,"",CC$3*일별반별!CF50),0)</f>
        <v/>
      </c>
      <c r="CD50" s="316" t="str">
        <f>IFERROR(IF($C50&lt;1,"",CD$3*일별반별!CG50),0)</f>
        <v/>
      </c>
      <c r="CE50" s="316" t="str">
        <f>IFERROR(IF($C50&lt;1,"",CE$3*일별반별!CH50),0)</f>
        <v/>
      </c>
      <c r="CF50" s="316" t="str">
        <f>IFERROR(IF($C50&lt;1,"",CF$3*일별반별!CI50),0)</f>
        <v/>
      </c>
      <c r="CG50" s="316" t="str">
        <f>IFERROR(IF($C50&lt;1,"",CG$3*일별반별!CJ50),0)</f>
        <v/>
      </c>
      <c r="CH50" s="316" t="str">
        <f>IFERROR(IF($C50&lt;1,"",CH$3*일별반별!CK50),0)</f>
        <v/>
      </c>
      <c r="CI50" s="316" t="str">
        <f>IFERROR(IF($C50&lt;1,"",CI$3*일별반별!CL50),0)</f>
        <v/>
      </c>
      <c r="CJ50" s="316" t="str">
        <f>IFERROR(IF($C50&lt;1,"",CJ$3*일별반별!CM50),0)</f>
        <v/>
      </c>
      <c r="CK50" s="316" t="str">
        <f>IFERROR(IF($C50&lt;1,"",CK$3*일별반별!CN50),0)</f>
        <v/>
      </c>
      <c r="CL50" s="316" t="str">
        <f>IFERROR(IF($C50&lt;1,"",CL$3*일별반별!CO50),0)</f>
        <v/>
      </c>
      <c r="CM50" s="316" t="str">
        <f>IFERROR(IF($C50&lt;1,"",CM$3*일별반별!CP50),0)</f>
        <v/>
      </c>
      <c r="CN50" s="316" t="str">
        <f>IFERROR(IF($C50&lt;1,"",CN$3*일별반별!CQ50),0)</f>
        <v/>
      </c>
      <c r="CO50" s="316" t="str">
        <f>IFERROR(IF($C50&lt;1,"",CO$3*일별반별!CR50),0)</f>
        <v/>
      </c>
      <c r="CP50" s="316" t="str">
        <f>IFERROR(IF($C50&lt;1,"",CP$3*일별반별!CS50),0)</f>
        <v/>
      </c>
      <c r="CQ50" s="316" t="str">
        <f>IFERROR(IF($C50&lt;1,"",CQ$3*일별반별!CT50),0)</f>
        <v/>
      </c>
      <c r="CR50" s="418" t="str">
        <f>IFERROR(IF($C50&lt;1,"",CR$3*일별반별!CU50),0)</f>
        <v/>
      </c>
      <c r="CS50" s="418" t="str">
        <f>IFERROR(IF($C50&lt;1,"",CS$3*일별반별!CV50),0)</f>
        <v/>
      </c>
      <c r="CT50" s="316" t="str">
        <f>IFERROR(IF($C50&lt;1,"",CT$3*일별반별!CW50),0)</f>
        <v/>
      </c>
      <c r="CU50" s="316" t="str">
        <f>IFERROR(IF($C50&lt;1,"",CU$3*일별반별!CX50),0)</f>
        <v/>
      </c>
      <c r="CV50" s="316" t="str">
        <f>IFERROR(IF($C50&lt;1,"",CV$3*일별반별!CY50),0)</f>
        <v/>
      </c>
      <c r="CW50" s="316" t="str">
        <f>IFERROR(IF($C50&lt;1,"",CW$3*일별반별!CZ50),0)</f>
        <v/>
      </c>
      <c r="CX50" s="316" t="str">
        <f>IFERROR(IF($C50&lt;1,"",CX$3*일별반별!DA50),0)</f>
        <v/>
      </c>
      <c r="CY50" s="316" t="str">
        <f>IF(C50&lt;1,"",(CY$3*'09월 조업일지'!AV$7))</f>
        <v/>
      </c>
      <c r="CZ50" s="316" t="str">
        <f t="shared" si="3"/>
        <v/>
      </c>
      <c r="DA50" s="316" t="str">
        <f t="shared" si="3"/>
        <v/>
      </c>
      <c r="DB50" s="316" t="str">
        <f t="shared" si="3"/>
        <v/>
      </c>
      <c r="DC50" s="316"/>
      <c r="DD50" s="419"/>
    </row>
    <row r="51" spans="1:108" ht="15" customHeight="1">
      <c r="A51" s="327">
        <f>A46+1</f>
        <v>44022</v>
      </c>
      <c r="B51" s="328" t="s">
        <v>31</v>
      </c>
      <c r="C51" s="329">
        <f>COUNTIF('09월 조업일지'!$A$12:$A$952,A51)</f>
        <v>0</v>
      </c>
      <c r="D51" s="330">
        <f>IF(C51&lt;1,0,(SUM(E51:CX51)/(일별반별!BV51-1.5)+(CY51+CZ51+DA51+DB51)))</f>
        <v>0</v>
      </c>
      <c r="E51" s="331"/>
      <c r="F51" s="331"/>
      <c r="G51" s="332"/>
      <c r="H51" s="333"/>
      <c r="I51" s="333"/>
      <c r="J51" s="334"/>
      <c r="K51" s="334"/>
      <c r="L51" s="334"/>
      <c r="M51" s="334"/>
      <c r="N51" s="334"/>
      <c r="O51" s="334"/>
      <c r="P51" s="334"/>
      <c r="Q51" s="335"/>
      <c r="R51" s="334"/>
      <c r="S51" s="335"/>
      <c r="T51" s="334"/>
      <c r="U51" s="337" t="str">
        <f>IFERROR(IF($C51&lt;1,"",U$3*일별반별!X51),0)</f>
        <v/>
      </c>
      <c r="V51" s="337" t="str">
        <f>IFERROR(IF($C51&lt;1,"",V$3*일별반별!Y51),0)</f>
        <v/>
      </c>
      <c r="W51" s="337" t="str">
        <f>IFERROR(IF($C51&lt;1,"",W$3*일별반별!Z51),0)</f>
        <v/>
      </c>
      <c r="X51" s="336" t="str">
        <f>IFERROR(IF($C51&lt;1,"",X$3*일별반별!AA51),0)</f>
        <v/>
      </c>
      <c r="Y51" s="336" t="str">
        <f>IFERROR(IF($C51&lt;1,"",Y$3*일별반별!AB51),0)</f>
        <v/>
      </c>
      <c r="Z51" s="336" t="str">
        <f>IFERROR(IF($C51&lt;1,"",Z$3*일별반별!AC51),0)</f>
        <v/>
      </c>
      <c r="AA51" s="337" t="str">
        <f>IFERROR(IF($C51&lt;1,"",AA$3*일별반별!AD51),0)</f>
        <v/>
      </c>
      <c r="AB51" s="337" t="str">
        <f>IFERROR(IF($C51&lt;1,"",AB$3*일별반별!AE51),0)</f>
        <v/>
      </c>
      <c r="AC51" s="336" t="str">
        <f>IFERROR(IF($C51&lt;1,"",AC$3*일별반별!AF51),0)</f>
        <v/>
      </c>
      <c r="AD51" s="336" t="str">
        <f>IFERROR(IF($C51&lt;1,"",AD$3*일별반별!AG51),0)</f>
        <v/>
      </c>
      <c r="AE51" s="336" t="str">
        <f>IFERROR(IF($C51&lt;1,"",AE$3*일별반별!AH51),0)</f>
        <v/>
      </c>
      <c r="AF51" s="337" t="str">
        <f>IFERROR(IF($C51&lt;1,"",AF$3*일별반별!AI51),0)</f>
        <v/>
      </c>
      <c r="AG51" s="337" t="str">
        <f>IFERROR(IF($C51&lt;1,"",AG$3*일별반별!AJ51),0)</f>
        <v/>
      </c>
      <c r="AH51" s="337" t="str">
        <f>IFERROR(IF($C51&lt;1,"",AH$3*일별반별!AK51),0)</f>
        <v/>
      </c>
      <c r="AI51" s="337" t="str">
        <f>IFERROR(IF($C51&lt;1,"",AI$3*일별반별!AL51),0)</f>
        <v/>
      </c>
      <c r="AJ51" s="337" t="str">
        <f>IFERROR(IF($C51&lt;1,"",AJ$3*일별반별!AM51),0)</f>
        <v/>
      </c>
      <c r="AK51" s="337" t="str">
        <f>IFERROR(IF($C51&lt;1,"",AK$3*일별반별!AN51),0)</f>
        <v/>
      </c>
      <c r="AL51" s="337" t="str">
        <f>IFERROR(IF($C51&lt;1,"",AL$3*일별반별!AO51),0)</f>
        <v/>
      </c>
      <c r="AM51" s="337" t="str">
        <f>IFERROR(IF($C51&lt;1,"",AM$3*일별반별!AP51),0)</f>
        <v/>
      </c>
      <c r="AN51" s="337" t="str">
        <f>IFERROR(IF($C51&lt;1,"",AN$3*일별반별!AQ51),0)</f>
        <v/>
      </c>
      <c r="AO51" s="337" t="str">
        <f>IFERROR(IF($C51&lt;1,"",AO$3*일별반별!AR51),0)</f>
        <v/>
      </c>
      <c r="AP51" s="337" t="str">
        <f>IFERROR(IF($C51&lt;1,"",AP$3*일별반별!AS51),0)</f>
        <v/>
      </c>
      <c r="AQ51" s="337" t="str">
        <f>IFERROR(IF($C51&lt;1,"",AQ$3*일별반별!AT51),0)</f>
        <v/>
      </c>
      <c r="AR51" s="337" t="str">
        <f>IFERROR(IF($C51&lt;1,"",AR$3*일별반별!AU51),0)</f>
        <v/>
      </c>
      <c r="AS51" s="403" t="str">
        <f>IFERROR(IF($C51&lt;1,"",AS$3*일별반별!AV51),0)</f>
        <v/>
      </c>
      <c r="AT51" s="403" t="str">
        <f>IFERROR(IF($C51&lt;1,"",AT$3*일별반별!AW51),0)</f>
        <v/>
      </c>
      <c r="AU51" s="403" t="str">
        <f>IFERROR(IF($C51&lt;1,"",AU$3*일별반별!AX51),0)</f>
        <v/>
      </c>
      <c r="AV51" s="403" t="str">
        <f>IFERROR(IF($C51&lt;1,"",AV$3*일별반별!AY51),0)</f>
        <v/>
      </c>
      <c r="AW51" s="403" t="str">
        <f>IFERROR(IF($C51&lt;1,"",AW$3*일별반별!AZ51),0)</f>
        <v/>
      </c>
      <c r="AX51" s="403" t="str">
        <f>IFERROR(IF($C51&lt;1,"",AX$3*일별반별!BA51),0)</f>
        <v/>
      </c>
      <c r="AY51" s="403" t="str">
        <f>IFERROR(IF($C51&lt;1,"",AY$3*일별반별!BB51),0)</f>
        <v/>
      </c>
      <c r="AZ51" s="403" t="str">
        <f>IFERROR(IF($C51&lt;1,"",AZ$3*일별반별!BC51),0)</f>
        <v/>
      </c>
      <c r="BA51" s="403" t="str">
        <f>IFERROR(IF($C51&lt;1,"",BA$3*일별반별!BD51),0)</f>
        <v/>
      </c>
      <c r="BB51" s="403" t="str">
        <f>IFERROR(IF($C51&lt;1,"",BB$3*일별반별!BE51),0)</f>
        <v/>
      </c>
      <c r="BC51" s="403" t="str">
        <f>IFERROR(IF($C51&lt;1,"",BC$3*일별반별!BF51),0)</f>
        <v/>
      </c>
      <c r="BD51" s="403" t="str">
        <f>IFERROR(IF($C51&lt;1,"",BD$3*일별반별!BG51),0)</f>
        <v/>
      </c>
      <c r="BE51" s="403" t="str">
        <f>IFERROR(IF($C51&lt;1,"",BE$3*일별반별!BH51),0)</f>
        <v/>
      </c>
      <c r="BF51" s="403" t="str">
        <f>IFERROR(IF($C51&lt;1,"",BF$3*일별반별!BI51),0)</f>
        <v/>
      </c>
      <c r="BG51" s="403" t="str">
        <f>IFERROR(IF($C51&lt;1,"",BG$3*일별반별!BJ51),0)</f>
        <v/>
      </c>
      <c r="BH51" s="403" t="str">
        <f>IFERROR(IF($C51&lt;1,"",BH$3*일별반별!BK51),0)</f>
        <v/>
      </c>
      <c r="BI51" s="403" t="str">
        <f>IFERROR(IF($C51&lt;1,"",BI$3*일별반별!BL51),0)</f>
        <v/>
      </c>
      <c r="BJ51" s="403" t="str">
        <f>IFERROR(IF($C51&lt;1,"",BJ$3*일별반별!BM51),0)</f>
        <v/>
      </c>
      <c r="BK51" s="403" t="str">
        <f>IFERROR(IF($C51&lt;1,"",BK$3*일별반별!BN51),0)</f>
        <v/>
      </c>
      <c r="BL51" s="403" t="str">
        <f>IFERROR(IF($C51&lt;1,"",BL$3*일별반별!BH51),0)</f>
        <v/>
      </c>
      <c r="BM51" s="403" t="str">
        <f>IFERROR(IF($C51&lt;1,"",BM$3*일별반별!BP51),0)</f>
        <v/>
      </c>
      <c r="BN51" s="403" t="str">
        <f>IFERROR(IF($C51&lt;1,"",BN$3*일별반별!BQ51),0)</f>
        <v/>
      </c>
      <c r="BO51" s="403" t="str">
        <f>IFERROR(IF($C51&lt;1,"",BO$3*일별반별!BR51),0)</f>
        <v/>
      </c>
      <c r="BP51" s="403" t="str">
        <f>IFERROR(IF($C51&lt;1,"",BP$3*일별반별!BS51),0)</f>
        <v/>
      </c>
      <c r="BQ51" s="403" t="str">
        <f>IFERROR(IF($C51&lt;1,"",BQ$3*일별반별!BT51),0)</f>
        <v/>
      </c>
      <c r="BR51" s="337" t="str">
        <f>IFERROR(IF($C51&lt;1,"",BR$3*일별반별!BU51),0)</f>
        <v/>
      </c>
      <c r="BS51" s="337" t="str">
        <f>IFERROR(IF($C51&lt;1,"",BS$3*일별반별!BV51),0)</f>
        <v/>
      </c>
      <c r="BT51" s="337" t="str">
        <f>IFERROR(IF($C51&lt;1,"",BT$3*일별반별!BW51),0)</f>
        <v/>
      </c>
      <c r="BU51" s="337" t="str">
        <f>IFERROR(IF($C51&lt;1,"",BU$3*일별반별!BX51),0)</f>
        <v/>
      </c>
      <c r="BV51" s="337" t="str">
        <f>IFERROR(IF($C51&lt;1,"",BV$3*일별반별!BY51),0)</f>
        <v/>
      </c>
      <c r="BW51" s="337" t="str">
        <f>IFERROR(IF($C51&lt;1,"",BW$3*일별반별!BZ51),0)</f>
        <v/>
      </c>
      <c r="BX51" s="337" t="str">
        <f>IFERROR(IF($C51&lt;1,"",BX$3*일별반별!CA51),0)</f>
        <v/>
      </c>
      <c r="BY51" s="337" t="str">
        <f>IFERROR(IF($C51&lt;1,"",BY$3*일별반별!CB51),0)</f>
        <v/>
      </c>
      <c r="BZ51" s="337" t="str">
        <f>IFERROR(IF($C51&lt;1,"",BZ$3*일별반별!CC51),0)</f>
        <v/>
      </c>
      <c r="CA51" s="337" t="str">
        <f>IFERROR(IF($C51&lt;1,"",CA$3*일별반별!CD51),0)</f>
        <v/>
      </c>
      <c r="CB51" s="337" t="str">
        <f>IFERROR(IF($C51&lt;1,"",CB$3*일별반별!CE51),0)</f>
        <v/>
      </c>
      <c r="CC51" s="337" t="str">
        <f>IFERROR(IF($C51&lt;1,"",CC$3*일별반별!CF51),0)</f>
        <v/>
      </c>
      <c r="CD51" s="337" t="str">
        <f>IFERROR(IF($C51&lt;1,"",CD$3*일별반별!CG51),0)</f>
        <v/>
      </c>
      <c r="CE51" s="337" t="str">
        <f>IFERROR(IF($C51&lt;1,"",CE$3*일별반별!CH51),0)</f>
        <v/>
      </c>
      <c r="CF51" s="337" t="str">
        <f>IFERROR(IF($C51&lt;1,"",CF$3*일별반별!CI51),0)</f>
        <v/>
      </c>
      <c r="CG51" s="337" t="str">
        <f>IFERROR(IF($C51&lt;1,"",CG$3*일별반별!CJ51),0)</f>
        <v/>
      </c>
      <c r="CH51" s="337" t="str">
        <f>IFERROR(IF($C51&lt;1,"",CH$3*일별반별!CK51),0)</f>
        <v/>
      </c>
      <c r="CI51" s="337" t="str">
        <f>IFERROR(IF($C51&lt;1,"",CI$3*일별반별!CL51),0)</f>
        <v/>
      </c>
      <c r="CJ51" s="337" t="str">
        <f>IFERROR(IF($C51&lt;1,"",CJ$3*일별반별!CM51),0)</f>
        <v/>
      </c>
      <c r="CK51" s="337" t="str">
        <f>IFERROR(IF($C51&lt;1,"",CK$3*일별반별!CN51),0)</f>
        <v/>
      </c>
      <c r="CL51" s="337" t="str">
        <f>IFERROR(IF($C51&lt;1,"",CL$3*일별반별!CO51),0)</f>
        <v/>
      </c>
      <c r="CM51" s="337" t="str">
        <f>IFERROR(IF($C51&lt;1,"",CM$3*일별반별!CP51),0)</f>
        <v/>
      </c>
      <c r="CN51" s="337" t="str">
        <f>IFERROR(IF($C51&lt;1,"",CN$3*일별반별!CQ51),0)</f>
        <v/>
      </c>
      <c r="CO51" s="337" t="str">
        <f>IFERROR(IF($C51&lt;1,"",CO$3*일별반별!CR51),0)</f>
        <v/>
      </c>
      <c r="CP51" s="337" t="str">
        <f>IFERROR(IF($C51&lt;1,"",CP$3*일별반별!CS51),0)</f>
        <v/>
      </c>
      <c r="CQ51" s="337" t="str">
        <f>IFERROR(IF($C51&lt;1,"",CQ$3*일별반별!CT51),0)</f>
        <v/>
      </c>
      <c r="CR51" s="420" t="str">
        <f>IFERROR(IF($C51&lt;1,"",CR$3*일별반별!CU51),0)</f>
        <v/>
      </c>
      <c r="CS51" s="420" t="str">
        <f>IFERROR(IF($C51&lt;1,"",CS$3*일별반별!CV51),0)</f>
        <v/>
      </c>
      <c r="CT51" s="337" t="str">
        <f>IFERROR(IF($C51&lt;1,"",CT$3*일별반별!CW51),0)</f>
        <v/>
      </c>
      <c r="CU51" s="337" t="str">
        <f>IFERROR(IF($C51&lt;1,"",CU$3*일별반별!CX51),0)</f>
        <v/>
      </c>
      <c r="CV51" s="337" t="str">
        <f>IFERROR(IF($C51&lt;1,"",CV$3*일별반별!CY51),0)</f>
        <v/>
      </c>
      <c r="CW51" s="337" t="str">
        <f>IFERROR(IF($C51&lt;1,"",CW$3*일별반별!CZ51),0)</f>
        <v/>
      </c>
      <c r="CX51" s="337" t="str">
        <f>IFERROR(IF($C51&lt;1,"",CX$3*일별반별!DA51),0)</f>
        <v/>
      </c>
      <c r="CY51" s="316" t="str">
        <f>IF(C51&lt;1,"",(CY$3*'09월 조업일지'!AV$7))</f>
        <v/>
      </c>
      <c r="CZ51" s="316" t="str">
        <f t="shared" si="3"/>
        <v/>
      </c>
      <c r="DA51" s="316" t="str">
        <f t="shared" si="3"/>
        <v/>
      </c>
      <c r="DB51" s="316" t="str">
        <f t="shared" si="3"/>
        <v/>
      </c>
      <c r="DC51" s="316"/>
      <c r="DD51" s="419"/>
    </row>
    <row r="52" spans="1:108" ht="15" customHeight="1">
      <c r="A52" s="274">
        <f t="shared" si="2"/>
        <v>44022</v>
      </c>
      <c r="B52" s="275" t="s">
        <v>9</v>
      </c>
      <c r="C52" s="201">
        <f>COUNTIFS('09월 조업일지'!$A$12:$A$952,A51,'09월 조업일지'!$E$12:$E$952,B52)</f>
        <v>0</v>
      </c>
      <c r="D52" s="314">
        <f>IF(C52&lt;1,0,(SUM(E52:CX52)/(일별반별!BV52-1.5)+(CY52+CZ52+DA52+DB52)))</f>
        <v>0</v>
      </c>
      <c r="E52" s="278"/>
      <c r="F52" s="281"/>
      <c r="G52" s="282"/>
      <c r="H52" s="283"/>
      <c r="I52" s="283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326"/>
      <c r="U52" s="395" t="str">
        <f>IFERROR(IF($C52&lt;1,"",U$3*일별반별!X52),0)</f>
        <v/>
      </c>
      <c r="V52" s="395" t="str">
        <f>IFERROR(IF($C52&lt;1,"",V$3*일별반별!Y52),0)</f>
        <v/>
      </c>
      <c r="W52" s="395" t="str">
        <f>IFERROR(IF($C52&lt;1,"",W$3*일별반별!Z52),0)</f>
        <v/>
      </c>
      <c r="X52" s="208" t="str">
        <f>IFERROR(IF($C52&lt;1,"",X$3*일별반별!AA52),0)</f>
        <v/>
      </c>
      <c r="Y52" s="208" t="str">
        <f>IFERROR(IF($C52&lt;1,"",Y$3*일별반별!AB52),0)</f>
        <v/>
      </c>
      <c r="Z52" s="208" t="str">
        <f>IFERROR(IF($C52&lt;1,"",Z$3*일별반별!AC52),0)</f>
        <v/>
      </c>
      <c r="AA52" s="395" t="str">
        <f>IFERROR(IF($C52&lt;1,"",AA$3*일별반별!AD52),0)</f>
        <v/>
      </c>
      <c r="AB52" s="395" t="str">
        <f>IFERROR(IF($C52&lt;1,"",AB$3*일별반별!AE52),0)</f>
        <v/>
      </c>
      <c r="AC52" s="208" t="str">
        <f>IFERROR(IF($C52&lt;1,"",AC$3*일별반별!AF52),0)</f>
        <v/>
      </c>
      <c r="AD52" s="208" t="str">
        <f>IFERROR(IF($C52&lt;1,"",AD$3*일별반별!AG52),0)</f>
        <v/>
      </c>
      <c r="AE52" s="208" t="str">
        <f>IFERROR(IF($C52&lt;1,"",AE$3*일별반별!AH52),0)</f>
        <v/>
      </c>
      <c r="AF52" s="395" t="str">
        <f>IFERROR(IF($C52&lt;1,"",AF$3*일별반별!AI52),0)</f>
        <v/>
      </c>
      <c r="AG52" s="395" t="str">
        <f>IFERROR(IF($C52&lt;1,"",AG$3*일별반별!AJ52),0)</f>
        <v/>
      </c>
      <c r="AH52" s="395" t="str">
        <f>IFERROR(IF($C52&lt;1,"",AH$3*일별반별!AK52),0)</f>
        <v/>
      </c>
      <c r="AI52" s="395" t="str">
        <f>IFERROR(IF($C52&lt;1,"",AI$3*일별반별!AL52),0)</f>
        <v/>
      </c>
      <c r="AJ52" s="395" t="str">
        <f>IFERROR(IF($C52&lt;1,"",AJ$3*일별반별!AM52),0)</f>
        <v/>
      </c>
      <c r="AK52" s="395" t="str">
        <f>IFERROR(IF($C52&lt;1,"",AK$3*일별반별!AN52),0)</f>
        <v/>
      </c>
      <c r="AL52" s="395" t="str">
        <f>IFERROR(IF($C52&lt;1,"",AL$3*일별반별!AO52),0)</f>
        <v/>
      </c>
      <c r="AM52" s="395" t="str">
        <f>IFERROR(IF($C52&lt;1,"",AM$3*일별반별!AP52),0)</f>
        <v/>
      </c>
      <c r="AN52" s="395" t="str">
        <f>IFERROR(IF($C52&lt;1,"",AN$3*일별반별!AQ52),0)</f>
        <v/>
      </c>
      <c r="AO52" s="395" t="str">
        <f>IFERROR(IF($C52&lt;1,"",AO$3*일별반별!AR52),0)</f>
        <v/>
      </c>
      <c r="AP52" s="347" t="str">
        <f>IFERROR(IF($C52&lt;1,"",AP$3*일별반별!AS52),0)</f>
        <v/>
      </c>
      <c r="AQ52" s="347" t="str">
        <f>IFERROR(IF($C52&lt;1,"",AQ$3*일별반별!AT52),0)</f>
        <v/>
      </c>
      <c r="AR52" s="316" t="str">
        <f>IFERROR(IF($C52&lt;1,"",AR$3*일별반별!AU52),0)</f>
        <v/>
      </c>
      <c r="AS52" s="401" t="str">
        <f>IFERROR(IF($C52&lt;1,"",AS$3*일별반별!AV52),0)</f>
        <v/>
      </c>
      <c r="AT52" s="401" t="str">
        <f>IFERROR(IF($C52&lt;1,"",AT$3*일별반별!AW52),0)</f>
        <v/>
      </c>
      <c r="AU52" s="401" t="str">
        <f>IFERROR(IF($C52&lt;1,"",AU$3*일별반별!AX52),0)</f>
        <v/>
      </c>
      <c r="AV52" s="401" t="str">
        <f>IFERROR(IF($C52&lt;1,"",AV$3*일별반별!AY52),0)</f>
        <v/>
      </c>
      <c r="AW52" s="401" t="str">
        <f>IFERROR(IF($C52&lt;1,"",AW$3*일별반별!AZ52),0)</f>
        <v/>
      </c>
      <c r="AX52" s="401" t="str">
        <f>IFERROR(IF($C52&lt;1,"",AX$3*일별반별!BA52),0)</f>
        <v/>
      </c>
      <c r="AY52" s="401" t="str">
        <f>IFERROR(IF($C52&lt;1,"",AY$3*일별반별!BB52),0)</f>
        <v/>
      </c>
      <c r="AZ52" s="401" t="str">
        <f>IFERROR(IF($C52&lt;1,"",AZ$3*일별반별!BC52),0)</f>
        <v/>
      </c>
      <c r="BA52" s="401" t="str">
        <f>IFERROR(IF($C52&lt;1,"",BA$3*일별반별!BD52),0)</f>
        <v/>
      </c>
      <c r="BB52" s="402" t="str">
        <f>IFERROR(IF($C52&lt;1,"",BB$3*일별반별!BE52),0)</f>
        <v/>
      </c>
      <c r="BC52" s="402" t="str">
        <f>IFERROR(IF($C52&lt;1,"",BC$3*일별반별!BF52),0)</f>
        <v/>
      </c>
      <c r="BD52" s="402" t="str">
        <f>IFERROR(IF($C52&lt;1,"",BD$3*일별반별!BG52),0)</f>
        <v/>
      </c>
      <c r="BE52" s="402" t="str">
        <f>IFERROR(IF($C52&lt;1,"",BE$3*일별반별!BH52),0)</f>
        <v/>
      </c>
      <c r="BF52" s="402" t="str">
        <f>IFERROR(IF($C52&lt;1,"",BF$3*일별반별!BI52),0)</f>
        <v/>
      </c>
      <c r="BG52" s="402" t="str">
        <f>IFERROR(IF($C52&lt;1,"",BG$3*일별반별!BJ52),0)</f>
        <v/>
      </c>
      <c r="BH52" s="402" t="str">
        <f>IFERROR(IF($C52&lt;1,"",BH$3*일별반별!BK52),0)</f>
        <v/>
      </c>
      <c r="BI52" s="402" t="str">
        <f>IFERROR(IF($C52&lt;1,"",BI$3*일별반별!BL52),0)</f>
        <v/>
      </c>
      <c r="BJ52" s="402" t="str">
        <f>IFERROR(IF($C52&lt;1,"",BJ$3*일별반별!BM52),0)</f>
        <v/>
      </c>
      <c r="BK52" s="402" t="str">
        <f>IFERROR(IF($C52&lt;1,"",BK$3*일별반별!BN52),0)</f>
        <v/>
      </c>
      <c r="BL52" s="402" t="str">
        <f>IFERROR(IF($C52&lt;1,"",BL$3*일별반별!BH52),0)</f>
        <v/>
      </c>
      <c r="BM52" s="402" t="str">
        <f>IFERROR(IF($C52&lt;1,"",BM$3*일별반별!BP52),0)</f>
        <v/>
      </c>
      <c r="BN52" s="401" t="str">
        <f>IFERROR(IF($C52&lt;1,"",BN$3*일별반별!BQ52),0)</f>
        <v/>
      </c>
      <c r="BO52" s="401" t="str">
        <f>IFERROR(IF($C52&lt;1,"",BO$3*일별반별!BR52),0)</f>
        <v/>
      </c>
      <c r="BP52" s="401" t="str">
        <f>IFERROR(IF($C52&lt;1,"",BP$3*일별반별!BS52),0)</f>
        <v/>
      </c>
      <c r="BQ52" s="401" t="str">
        <f>IFERROR(IF($C52&lt;1,"",BQ$3*일별반별!BT52),0)</f>
        <v/>
      </c>
      <c r="BR52" s="417" t="str">
        <f>IFERROR(IF($C52&lt;1,"",BR$3*일별반별!BU52),0)</f>
        <v/>
      </c>
      <c r="BS52" s="417" t="str">
        <f>IFERROR(IF($C52&lt;1,"",BS$3*일별반별!BV52),0)</f>
        <v/>
      </c>
      <c r="BT52" s="417" t="str">
        <f>IFERROR(IF($C52&lt;1,"",BT$3*일별반별!BW52),0)</f>
        <v/>
      </c>
      <c r="BU52" s="316" t="str">
        <f>IFERROR(IF($C52&lt;1,"",BU$3*일별반별!BX52),0)</f>
        <v/>
      </c>
      <c r="BV52" s="316" t="str">
        <f>IFERROR(IF($C52&lt;1,"",BV$3*일별반별!BY52),0)</f>
        <v/>
      </c>
      <c r="BW52" s="316" t="str">
        <f>IFERROR(IF($C52&lt;1,"",BW$3*일별반별!BZ52),0)</f>
        <v/>
      </c>
      <c r="BX52" s="316" t="str">
        <f>IFERROR(IF($C52&lt;1,"",BX$3*일별반별!CA52),0)</f>
        <v/>
      </c>
      <c r="BY52" s="316" t="str">
        <f>IFERROR(IF($C52&lt;1,"",BY$3*일별반별!CB52),0)</f>
        <v/>
      </c>
      <c r="BZ52" s="316" t="str">
        <f>IFERROR(IF($C52&lt;1,"",BZ$3*일별반별!CC52),0)</f>
        <v/>
      </c>
      <c r="CA52" s="316" t="str">
        <f>IFERROR(IF($C52&lt;1,"",CA$3*일별반별!CD52),0)</f>
        <v/>
      </c>
      <c r="CB52" s="316" t="str">
        <f>IFERROR(IF($C52&lt;1,"",CB$3*일별반별!CE52),0)</f>
        <v/>
      </c>
      <c r="CC52" s="316" t="str">
        <f>IFERROR(IF($C52&lt;1,"",CC$3*일별반별!CF52),0)</f>
        <v/>
      </c>
      <c r="CD52" s="316" t="str">
        <f>IFERROR(IF($C52&lt;1,"",CD$3*일별반별!CG52),0)</f>
        <v/>
      </c>
      <c r="CE52" s="316" t="str">
        <f>IFERROR(IF($C52&lt;1,"",CE$3*일별반별!CH52),0)</f>
        <v/>
      </c>
      <c r="CF52" s="316" t="str">
        <f>IFERROR(IF($C52&lt;1,"",CF$3*일별반별!CI52),0)</f>
        <v/>
      </c>
      <c r="CG52" s="316" t="str">
        <f>IFERROR(IF($C52&lt;1,"",CG$3*일별반별!CJ52),0)</f>
        <v/>
      </c>
      <c r="CH52" s="316" t="str">
        <f>IFERROR(IF($C52&lt;1,"",CH$3*일별반별!CK52),0)</f>
        <v/>
      </c>
      <c r="CI52" s="316" t="str">
        <f>IFERROR(IF($C52&lt;1,"",CI$3*일별반별!CL52),0)</f>
        <v/>
      </c>
      <c r="CJ52" s="316" t="str">
        <f>IFERROR(IF($C52&lt;1,"",CJ$3*일별반별!CM52),0)</f>
        <v/>
      </c>
      <c r="CK52" s="316" t="str">
        <f>IFERROR(IF($C52&lt;1,"",CK$3*일별반별!CN52),0)</f>
        <v/>
      </c>
      <c r="CL52" s="316" t="str">
        <f>IFERROR(IF($C52&lt;1,"",CL$3*일별반별!CO52),0)</f>
        <v/>
      </c>
      <c r="CM52" s="316" t="str">
        <f>IFERROR(IF($C52&lt;1,"",CM$3*일별반별!CP52),0)</f>
        <v/>
      </c>
      <c r="CN52" s="316" t="str">
        <f>IFERROR(IF($C52&lt;1,"",CN$3*일별반별!CQ52),0)</f>
        <v/>
      </c>
      <c r="CO52" s="316" t="str">
        <f>IFERROR(IF($C52&lt;1,"",CO$3*일별반별!CR52),0)</f>
        <v/>
      </c>
      <c r="CP52" s="316" t="str">
        <f>IFERROR(IF($C52&lt;1,"",CP$3*일별반별!CS52),0)</f>
        <v/>
      </c>
      <c r="CQ52" s="316" t="str">
        <f>IFERROR(IF($C52&lt;1,"",CQ$3*일별반별!CT52),0)</f>
        <v/>
      </c>
      <c r="CR52" s="418" t="str">
        <f>IFERROR(IF($C52&lt;1,"",CR$3*일별반별!CU52),0)</f>
        <v/>
      </c>
      <c r="CS52" s="418" t="str">
        <f>IFERROR(IF($C52&lt;1,"",CS$3*일별반별!CV52),0)</f>
        <v/>
      </c>
      <c r="CT52" s="316" t="str">
        <f>IFERROR(IF($C52&lt;1,"",CT$3*일별반별!CW52),0)</f>
        <v/>
      </c>
      <c r="CU52" s="316" t="str">
        <f>IFERROR(IF($C52&lt;1,"",CU$3*일별반별!CX52),0)</f>
        <v/>
      </c>
      <c r="CV52" s="316" t="str">
        <f>IFERROR(IF($C52&lt;1,"",CV$3*일별반별!CY52),0)</f>
        <v/>
      </c>
      <c r="CW52" s="316" t="str">
        <f>IFERROR(IF($C52&lt;1,"",CW$3*일별반별!CZ52),0)</f>
        <v/>
      </c>
      <c r="CX52" s="316" t="str">
        <f>IFERROR(IF($C52&lt;1,"",CX$3*일별반별!DA52),0)</f>
        <v/>
      </c>
      <c r="CY52" s="316" t="str">
        <f>IF(C52&lt;1,"",(CY$3*'09월 조업일지'!AV$7))</f>
        <v/>
      </c>
      <c r="CZ52" s="316" t="str">
        <f t="shared" si="3"/>
        <v/>
      </c>
      <c r="DA52" s="316" t="str">
        <f t="shared" si="3"/>
        <v/>
      </c>
      <c r="DB52" s="316" t="str">
        <f t="shared" si="3"/>
        <v/>
      </c>
      <c r="DC52" s="316"/>
      <c r="DD52" s="419"/>
    </row>
    <row r="53" spans="1:108" ht="15" customHeight="1">
      <c r="A53" s="274">
        <f t="shared" si="2"/>
        <v>44022</v>
      </c>
      <c r="B53" s="275" t="s">
        <v>100</v>
      </c>
      <c r="C53" s="201">
        <f>COUNTIFS('09월 조업일지'!$A$12:$A$952,A51,'09월 조업일지'!$E$12:$E$952,B53)</f>
        <v>0</v>
      </c>
      <c r="D53" s="314">
        <f>IF(C53&lt;1,0,(SUM(E53:CX53)/(일별반별!BV53-1.5)+(CY53+CZ53+DA53+DB53)))</f>
        <v>0</v>
      </c>
      <c r="E53" s="278"/>
      <c r="F53" s="281"/>
      <c r="G53" s="282"/>
      <c r="H53" s="283"/>
      <c r="I53" s="283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326"/>
      <c r="U53" s="395" t="str">
        <f>IFERROR(IF($C53&lt;1,"",U$3*일별반별!X53),0)</f>
        <v/>
      </c>
      <c r="V53" s="395" t="str">
        <f>IFERROR(IF($C53&lt;1,"",V$3*일별반별!Y53),0)</f>
        <v/>
      </c>
      <c r="W53" s="395" t="str">
        <f>IFERROR(IF($C53&lt;1,"",W$3*일별반별!Z53),0)</f>
        <v/>
      </c>
      <c r="X53" s="208" t="str">
        <f>IFERROR(IF($C53&lt;1,"",X$3*일별반별!AA53),0)</f>
        <v/>
      </c>
      <c r="Y53" s="208" t="str">
        <f>IFERROR(IF($C53&lt;1,"",Y$3*일별반별!AB53),0)</f>
        <v/>
      </c>
      <c r="Z53" s="208" t="str">
        <f>IFERROR(IF($C53&lt;1,"",Z$3*일별반별!AC53),0)</f>
        <v/>
      </c>
      <c r="AA53" s="395" t="str">
        <f>IFERROR(IF($C53&lt;1,"",AA$3*일별반별!AD53),0)</f>
        <v/>
      </c>
      <c r="AB53" s="395" t="str">
        <f>IFERROR(IF($C53&lt;1,"",AB$3*일별반별!AE53),0)</f>
        <v/>
      </c>
      <c r="AC53" s="208" t="str">
        <f>IFERROR(IF($C53&lt;1,"",AC$3*일별반별!AF53),0)</f>
        <v/>
      </c>
      <c r="AD53" s="208" t="str">
        <f>IFERROR(IF($C53&lt;1,"",AD$3*일별반별!AG53),0)</f>
        <v/>
      </c>
      <c r="AE53" s="208" t="str">
        <f>IFERROR(IF($C53&lt;1,"",AE$3*일별반별!AH53),0)</f>
        <v/>
      </c>
      <c r="AF53" s="395" t="str">
        <f>IFERROR(IF($C53&lt;1,"",AF$3*일별반별!AI53),0)</f>
        <v/>
      </c>
      <c r="AG53" s="395" t="str">
        <f>IFERROR(IF($C53&lt;1,"",AG$3*일별반별!AJ53),0)</f>
        <v/>
      </c>
      <c r="AH53" s="395" t="str">
        <f>IFERROR(IF($C53&lt;1,"",AH$3*일별반별!AK53),0)</f>
        <v/>
      </c>
      <c r="AI53" s="395" t="str">
        <f>IFERROR(IF($C53&lt;1,"",AI$3*일별반별!AL53),0)</f>
        <v/>
      </c>
      <c r="AJ53" s="395" t="str">
        <f>IFERROR(IF($C53&lt;1,"",AJ$3*일별반별!AM53),0)</f>
        <v/>
      </c>
      <c r="AK53" s="395" t="str">
        <f>IFERROR(IF($C53&lt;1,"",AK$3*일별반별!AN53),0)</f>
        <v/>
      </c>
      <c r="AL53" s="395" t="str">
        <f>IFERROR(IF($C53&lt;1,"",AL$3*일별반별!AO53),0)</f>
        <v/>
      </c>
      <c r="AM53" s="395" t="str">
        <f>IFERROR(IF($C53&lt;1,"",AM$3*일별반별!AP53),0)</f>
        <v/>
      </c>
      <c r="AN53" s="395" t="str">
        <f>IFERROR(IF($C53&lt;1,"",AN$3*일별반별!AQ53),0)</f>
        <v/>
      </c>
      <c r="AO53" s="395" t="str">
        <f>IFERROR(IF($C53&lt;1,"",AO$3*일별반별!AR53),0)</f>
        <v/>
      </c>
      <c r="AP53" s="347" t="str">
        <f>IFERROR(IF($C53&lt;1,"",AP$3*일별반별!AS53),0)</f>
        <v/>
      </c>
      <c r="AQ53" s="347" t="str">
        <f>IFERROR(IF($C53&lt;1,"",AQ$3*일별반별!AT53),0)</f>
        <v/>
      </c>
      <c r="AR53" s="316" t="str">
        <f>IFERROR(IF($C53&lt;1,"",AR$3*일별반별!AU53),0)</f>
        <v/>
      </c>
      <c r="AS53" s="401" t="str">
        <f>IFERROR(IF($C53&lt;1,"",AS$3*일별반별!AV53),0)</f>
        <v/>
      </c>
      <c r="AT53" s="401" t="str">
        <f>IFERROR(IF($C53&lt;1,"",AT$3*일별반별!AW53),0)</f>
        <v/>
      </c>
      <c r="AU53" s="401" t="str">
        <f>IFERROR(IF($C53&lt;1,"",AU$3*일별반별!AX53),0)</f>
        <v/>
      </c>
      <c r="AV53" s="401" t="str">
        <f>IFERROR(IF($C53&lt;1,"",AV$3*일별반별!AY53),0)</f>
        <v/>
      </c>
      <c r="AW53" s="401" t="str">
        <f>IFERROR(IF($C53&lt;1,"",AW$3*일별반별!AZ53),0)</f>
        <v/>
      </c>
      <c r="AX53" s="401" t="str">
        <f>IFERROR(IF($C53&lt;1,"",AX$3*일별반별!BA53),0)</f>
        <v/>
      </c>
      <c r="AY53" s="401" t="str">
        <f>IFERROR(IF($C53&lt;1,"",AY$3*일별반별!BB53),0)</f>
        <v/>
      </c>
      <c r="AZ53" s="401" t="str">
        <f>IFERROR(IF($C53&lt;1,"",AZ$3*일별반별!BC53),0)</f>
        <v/>
      </c>
      <c r="BA53" s="401" t="str">
        <f>IFERROR(IF($C53&lt;1,"",BA$3*일별반별!BD53),0)</f>
        <v/>
      </c>
      <c r="BB53" s="402" t="str">
        <f>IFERROR(IF($C53&lt;1,"",BB$3*일별반별!BE53),0)</f>
        <v/>
      </c>
      <c r="BC53" s="402" t="str">
        <f>IFERROR(IF($C53&lt;1,"",BC$3*일별반별!BF53),0)</f>
        <v/>
      </c>
      <c r="BD53" s="402" t="str">
        <f>IFERROR(IF($C53&lt;1,"",BD$3*일별반별!BG53),0)</f>
        <v/>
      </c>
      <c r="BE53" s="402" t="str">
        <f>IFERROR(IF($C53&lt;1,"",BE$3*일별반별!BH53),0)</f>
        <v/>
      </c>
      <c r="BF53" s="402" t="str">
        <f>IFERROR(IF($C53&lt;1,"",BF$3*일별반별!BI53),0)</f>
        <v/>
      </c>
      <c r="BG53" s="402" t="str">
        <f>IFERROR(IF($C53&lt;1,"",BG$3*일별반별!BJ53),0)</f>
        <v/>
      </c>
      <c r="BH53" s="402" t="str">
        <f>IFERROR(IF($C53&lt;1,"",BH$3*일별반별!BK53),0)</f>
        <v/>
      </c>
      <c r="BI53" s="402" t="str">
        <f>IFERROR(IF($C53&lt;1,"",BI$3*일별반별!BL53),0)</f>
        <v/>
      </c>
      <c r="BJ53" s="402" t="str">
        <f>IFERROR(IF($C53&lt;1,"",BJ$3*일별반별!BM53),0)</f>
        <v/>
      </c>
      <c r="BK53" s="402" t="str">
        <f>IFERROR(IF($C53&lt;1,"",BK$3*일별반별!BN53),0)</f>
        <v/>
      </c>
      <c r="BL53" s="402" t="str">
        <f>IFERROR(IF($C53&lt;1,"",BL$3*일별반별!BH53),0)</f>
        <v/>
      </c>
      <c r="BM53" s="402" t="str">
        <f>IFERROR(IF($C53&lt;1,"",BM$3*일별반별!BP53),0)</f>
        <v/>
      </c>
      <c r="BN53" s="401" t="str">
        <f>IFERROR(IF($C53&lt;1,"",BN$3*일별반별!BQ53),0)</f>
        <v/>
      </c>
      <c r="BO53" s="401" t="str">
        <f>IFERROR(IF($C53&lt;1,"",BO$3*일별반별!BR53),0)</f>
        <v/>
      </c>
      <c r="BP53" s="401" t="str">
        <f>IFERROR(IF($C53&lt;1,"",BP$3*일별반별!BS53),0)</f>
        <v/>
      </c>
      <c r="BQ53" s="401" t="str">
        <f>IFERROR(IF($C53&lt;1,"",BQ$3*일별반별!BT53),0)</f>
        <v/>
      </c>
      <c r="BR53" s="417" t="str">
        <f>IFERROR(IF($C53&lt;1,"",BR$3*일별반별!BU53),0)</f>
        <v/>
      </c>
      <c r="BS53" s="417" t="str">
        <f>IFERROR(IF($C53&lt;1,"",BS$3*일별반별!BV53),0)</f>
        <v/>
      </c>
      <c r="BT53" s="417" t="str">
        <f>IFERROR(IF($C53&lt;1,"",BT$3*일별반별!BW53),0)</f>
        <v/>
      </c>
      <c r="BU53" s="316" t="str">
        <f>IFERROR(IF($C53&lt;1,"",BU$3*일별반별!BX53),0)</f>
        <v/>
      </c>
      <c r="BV53" s="316" t="str">
        <f>IFERROR(IF($C53&lt;1,"",BV$3*일별반별!BY53),0)</f>
        <v/>
      </c>
      <c r="BW53" s="316" t="str">
        <f>IFERROR(IF($C53&lt;1,"",BW$3*일별반별!BZ53),0)</f>
        <v/>
      </c>
      <c r="BX53" s="316" t="str">
        <f>IFERROR(IF($C53&lt;1,"",BX$3*일별반별!CA53),0)</f>
        <v/>
      </c>
      <c r="BY53" s="316" t="str">
        <f>IFERROR(IF($C53&lt;1,"",BY$3*일별반별!CB53),0)</f>
        <v/>
      </c>
      <c r="BZ53" s="316" t="str">
        <f>IFERROR(IF($C53&lt;1,"",BZ$3*일별반별!CC53),0)</f>
        <v/>
      </c>
      <c r="CA53" s="316" t="str">
        <f>IFERROR(IF($C53&lt;1,"",CA$3*일별반별!CD53),0)</f>
        <v/>
      </c>
      <c r="CB53" s="316" t="str">
        <f>IFERROR(IF($C53&lt;1,"",CB$3*일별반별!CE53),0)</f>
        <v/>
      </c>
      <c r="CC53" s="316" t="str">
        <f>IFERROR(IF($C53&lt;1,"",CC$3*일별반별!CF53),0)</f>
        <v/>
      </c>
      <c r="CD53" s="316" t="str">
        <f>IFERROR(IF($C53&lt;1,"",CD$3*일별반별!CG53),0)</f>
        <v/>
      </c>
      <c r="CE53" s="316" t="str">
        <f>IFERROR(IF($C53&lt;1,"",CE$3*일별반별!CH53),0)</f>
        <v/>
      </c>
      <c r="CF53" s="316" t="str">
        <f>IFERROR(IF($C53&lt;1,"",CF$3*일별반별!CI53),0)</f>
        <v/>
      </c>
      <c r="CG53" s="316" t="str">
        <f>IFERROR(IF($C53&lt;1,"",CG$3*일별반별!CJ53),0)</f>
        <v/>
      </c>
      <c r="CH53" s="316" t="str">
        <f>IFERROR(IF($C53&lt;1,"",CH$3*일별반별!CK53),0)</f>
        <v/>
      </c>
      <c r="CI53" s="316" t="str">
        <f>IFERROR(IF($C53&lt;1,"",CI$3*일별반별!CL53),0)</f>
        <v/>
      </c>
      <c r="CJ53" s="316" t="str">
        <f>IFERROR(IF($C53&lt;1,"",CJ$3*일별반별!CM53),0)</f>
        <v/>
      </c>
      <c r="CK53" s="316" t="str">
        <f>IFERROR(IF($C53&lt;1,"",CK$3*일별반별!CN53),0)</f>
        <v/>
      </c>
      <c r="CL53" s="316" t="str">
        <f>IFERROR(IF($C53&lt;1,"",CL$3*일별반별!CO53),0)</f>
        <v/>
      </c>
      <c r="CM53" s="316" t="str">
        <f>IFERROR(IF($C53&lt;1,"",CM$3*일별반별!CP53),0)</f>
        <v/>
      </c>
      <c r="CN53" s="316" t="str">
        <f>IFERROR(IF($C53&lt;1,"",CN$3*일별반별!CQ53),0)</f>
        <v/>
      </c>
      <c r="CO53" s="316" t="str">
        <f>IFERROR(IF($C53&lt;1,"",CO$3*일별반별!CR53),0)</f>
        <v/>
      </c>
      <c r="CP53" s="316" t="str">
        <f>IFERROR(IF($C53&lt;1,"",CP$3*일별반별!CS53),0)</f>
        <v/>
      </c>
      <c r="CQ53" s="316" t="str">
        <f>IFERROR(IF($C53&lt;1,"",CQ$3*일별반별!CT53),0)</f>
        <v/>
      </c>
      <c r="CR53" s="418" t="str">
        <f>IFERROR(IF($C53&lt;1,"",CR$3*일별반별!CU53),0)</f>
        <v/>
      </c>
      <c r="CS53" s="418" t="str">
        <f>IFERROR(IF($C53&lt;1,"",CS$3*일별반별!CV53),0)</f>
        <v/>
      </c>
      <c r="CT53" s="316" t="str">
        <f>IFERROR(IF($C53&lt;1,"",CT$3*일별반별!CW53),0)</f>
        <v/>
      </c>
      <c r="CU53" s="316" t="str">
        <f>IFERROR(IF($C53&lt;1,"",CU$3*일별반별!CX53),0)</f>
        <v/>
      </c>
      <c r="CV53" s="316" t="str">
        <f>IFERROR(IF($C53&lt;1,"",CV$3*일별반별!CY53),0)</f>
        <v/>
      </c>
      <c r="CW53" s="316" t="str">
        <f>IFERROR(IF($C53&lt;1,"",CW$3*일별반별!CZ53),0)</f>
        <v/>
      </c>
      <c r="CX53" s="316" t="str">
        <f>IFERROR(IF($C53&lt;1,"",CX$3*일별반별!DA53),0)</f>
        <v/>
      </c>
      <c r="CY53" s="316" t="str">
        <f>IF(C53&lt;1,"",(CY$3*'09월 조업일지'!AV$7))</f>
        <v/>
      </c>
      <c r="CZ53" s="316" t="str">
        <f t="shared" si="3"/>
        <v/>
      </c>
      <c r="DA53" s="316" t="str">
        <f t="shared" si="3"/>
        <v/>
      </c>
      <c r="DB53" s="316" t="str">
        <f t="shared" si="3"/>
        <v/>
      </c>
      <c r="DC53" s="316"/>
      <c r="DD53" s="419"/>
    </row>
    <row r="54" spans="1:108" ht="15" customHeight="1">
      <c r="A54" s="274">
        <f t="shared" si="2"/>
        <v>44022</v>
      </c>
      <c r="B54" s="275" t="s">
        <v>10</v>
      </c>
      <c r="C54" s="201">
        <f>COUNTIFS('09월 조업일지'!$A$12:$A$952,A51,'09월 조업일지'!$E$12:$E$952,B54)</f>
        <v>0</v>
      </c>
      <c r="D54" s="314">
        <f>IF(C54&lt;1,0,(SUM(E54:CX54)/(일별반별!BV54-1.5)+(CY54+CZ54+DA54+DB54)))</f>
        <v>0</v>
      </c>
      <c r="E54" s="278"/>
      <c r="F54" s="281"/>
      <c r="G54" s="282"/>
      <c r="H54" s="283"/>
      <c r="I54" s="283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326"/>
      <c r="U54" s="395" t="str">
        <f>IFERROR(IF($C54&lt;1,"",U$3*일별반별!X54),0)</f>
        <v/>
      </c>
      <c r="V54" s="395" t="str">
        <f>IFERROR(IF($C54&lt;1,"",V$3*일별반별!Y54),0)</f>
        <v/>
      </c>
      <c r="W54" s="395" t="str">
        <f>IFERROR(IF($C54&lt;1,"",W$3*일별반별!Z54),0)</f>
        <v/>
      </c>
      <c r="X54" s="208" t="str">
        <f>IFERROR(IF($C54&lt;1,"",X$3*일별반별!AA54),0)</f>
        <v/>
      </c>
      <c r="Y54" s="208" t="str">
        <f>IFERROR(IF($C54&lt;1,"",Y$3*일별반별!AB54),0)</f>
        <v/>
      </c>
      <c r="Z54" s="208" t="str">
        <f>IFERROR(IF($C54&lt;1,"",Z$3*일별반별!AC54),0)</f>
        <v/>
      </c>
      <c r="AA54" s="395" t="str">
        <f>IFERROR(IF($C54&lt;1,"",AA$3*일별반별!AD54),0)</f>
        <v/>
      </c>
      <c r="AB54" s="395" t="str">
        <f>IFERROR(IF($C54&lt;1,"",AB$3*일별반별!AE54),0)</f>
        <v/>
      </c>
      <c r="AC54" s="208" t="str">
        <f>IFERROR(IF($C54&lt;1,"",AC$3*일별반별!AF54),0)</f>
        <v/>
      </c>
      <c r="AD54" s="208" t="str">
        <f>IFERROR(IF($C54&lt;1,"",AD$3*일별반별!AG54),0)</f>
        <v/>
      </c>
      <c r="AE54" s="208" t="str">
        <f>IFERROR(IF($C54&lt;1,"",AE$3*일별반별!AH54),0)</f>
        <v/>
      </c>
      <c r="AF54" s="395" t="str">
        <f>IFERROR(IF($C54&lt;1,"",AF$3*일별반별!AI54),0)</f>
        <v/>
      </c>
      <c r="AG54" s="395" t="str">
        <f>IFERROR(IF($C54&lt;1,"",AG$3*일별반별!AJ54),0)</f>
        <v/>
      </c>
      <c r="AH54" s="395" t="str">
        <f>IFERROR(IF($C54&lt;1,"",AH$3*일별반별!AK54),0)</f>
        <v/>
      </c>
      <c r="AI54" s="395" t="str">
        <f>IFERROR(IF($C54&lt;1,"",AI$3*일별반별!AL54),0)</f>
        <v/>
      </c>
      <c r="AJ54" s="395" t="str">
        <f>IFERROR(IF($C54&lt;1,"",AJ$3*일별반별!AM54),0)</f>
        <v/>
      </c>
      <c r="AK54" s="395" t="str">
        <f>IFERROR(IF($C54&lt;1,"",AK$3*일별반별!AN54),0)</f>
        <v/>
      </c>
      <c r="AL54" s="395" t="str">
        <f>IFERROR(IF($C54&lt;1,"",AL$3*일별반별!AO54),0)</f>
        <v/>
      </c>
      <c r="AM54" s="395" t="str">
        <f>IFERROR(IF($C54&lt;1,"",AM$3*일별반별!AP54),0)</f>
        <v/>
      </c>
      <c r="AN54" s="395" t="str">
        <f>IFERROR(IF($C54&lt;1,"",AN$3*일별반별!AQ54),0)</f>
        <v/>
      </c>
      <c r="AO54" s="395" t="str">
        <f>IFERROR(IF($C54&lt;1,"",AO$3*일별반별!AR54),0)</f>
        <v/>
      </c>
      <c r="AP54" s="347" t="str">
        <f>IFERROR(IF($C54&lt;1,"",AP$3*일별반별!AS54),0)</f>
        <v/>
      </c>
      <c r="AQ54" s="347" t="str">
        <f>IFERROR(IF($C54&lt;1,"",AQ$3*일별반별!AT54),0)</f>
        <v/>
      </c>
      <c r="AR54" s="316" t="str">
        <f>IFERROR(IF($C54&lt;1,"",AR$3*일별반별!AU54),0)</f>
        <v/>
      </c>
      <c r="AS54" s="401" t="str">
        <f>IFERROR(IF($C54&lt;1,"",AS$3*일별반별!AV54),0)</f>
        <v/>
      </c>
      <c r="AT54" s="401" t="str">
        <f>IFERROR(IF($C54&lt;1,"",AT$3*일별반별!AW54),0)</f>
        <v/>
      </c>
      <c r="AU54" s="401" t="str">
        <f>IFERROR(IF($C54&lt;1,"",AU$3*일별반별!AX54),0)</f>
        <v/>
      </c>
      <c r="AV54" s="401" t="str">
        <f>IFERROR(IF($C54&lt;1,"",AV$3*일별반별!AY54),0)</f>
        <v/>
      </c>
      <c r="AW54" s="401" t="str">
        <f>IFERROR(IF($C54&lt;1,"",AW$3*일별반별!AZ54),0)</f>
        <v/>
      </c>
      <c r="AX54" s="401" t="str">
        <f>IFERROR(IF($C54&lt;1,"",AX$3*일별반별!BA54),0)</f>
        <v/>
      </c>
      <c r="AY54" s="401" t="str">
        <f>IFERROR(IF($C54&lt;1,"",AY$3*일별반별!BB54),0)</f>
        <v/>
      </c>
      <c r="AZ54" s="401" t="str">
        <f>IFERROR(IF($C54&lt;1,"",AZ$3*일별반별!BC54),0)</f>
        <v/>
      </c>
      <c r="BA54" s="401" t="str">
        <f>IFERROR(IF($C54&lt;1,"",BA$3*일별반별!BD54),0)</f>
        <v/>
      </c>
      <c r="BB54" s="402" t="str">
        <f>IFERROR(IF($C54&lt;1,"",BB$3*일별반별!BE54),0)</f>
        <v/>
      </c>
      <c r="BC54" s="402" t="str">
        <f>IFERROR(IF($C54&lt;1,"",BC$3*일별반별!BF54),0)</f>
        <v/>
      </c>
      <c r="BD54" s="402" t="str">
        <f>IFERROR(IF($C54&lt;1,"",BD$3*일별반별!BG54),0)</f>
        <v/>
      </c>
      <c r="BE54" s="402" t="str">
        <f>IFERROR(IF($C54&lt;1,"",BE$3*일별반별!BH54),0)</f>
        <v/>
      </c>
      <c r="BF54" s="402" t="str">
        <f>IFERROR(IF($C54&lt;1,"",BF$3*일별반별!BI54),0)</f>
        <v/>
      </c>
      <c r="BG54" s="402" t="str">
        <f>IFERROR(IF($C54&lt;1,"",BG$3*일별반별!BJ54),0)</f>
        <v/>
      </c>
      <c r="BH54" s="402" t="str">
        <f>IFERROR(IF($C54&lt;1,"",BH$3*일별반별!BK54),0)</f>
        <v/>
      </c>
      <c r="BI54" s="402" t="str">
        <f>IFERROR(IF($C54&lt;1,"",BI$3*일별반별!BL54),0)</f>
        <v/>
      </c>
      <c r="BJ54" s="402" t="str">
        <f>IFERROR(IF($C54&lt;1,"",BJ$3*일별반별!BM54),0)</f>
        <v/>
      </c>
      <c r="BK54" s="402" t="str">
        <f>IFERROR(IF($C54&lt;1,"",BK$3*일별반별!BN54),0)</f>
        <v/>
      </c>
      <c r="BL54" s="402" t="str">
        <f>IFERROR(IF($C54&lt;1,"",BL$3*일별반별!BH54),0)</f>
        <v/>
      </c>
      <c r="BM54" s="402" t="str">
        <f>IFERROR(IF($C54&lt;1,"",BM$3*일별반별!BP54),0)</f>
        <v/>
      </c>
      <c r="BN54" s="401" t="str">
        <f>IFERROR(IF($C54&lt;1,"",BN$3*일별반별!BQ54),0)</f>
        <v/>
      </c>
      <c r="BO54" s="401" t="str">
        <f>IFERROR(IF($C54&lt;1,"",BO$3*일별반별!BR54),0)</f>
        <v/>
      </c>
      <c r="BP54" s="401" t="str">
        <f>IFERROR(IF($C54&lt;1,"",BP$3*일별반별!BS54),0)</f>
        <v/>
      </c>
      <c r="BQ54" s="401" t="str">
        <f>IFERROR(IF($C54&lt;1,"",BQ$3*일별반별!BT54),0)</f>
        <v/>
      </c>
      <c r="BR54" s="417" t="str">
        <f>IFERROR(IF($C54&lt;1,"",BR$3*일별반별!BU54),0)</f>
        <v/>
      </c>
      <c r="BS54" s="417" t="str">
        <f>IFERROR(IF($C54&lt;1,"",BS$3*일별반별!BV54),0)</f>
        <v/>
      </c>
      <c r="BT54" s="417" t="str">
        <f>IFERROR(IF($C54&lt;1,"",BT$3*일별반별!BW54),0)</f>
        <v/>
      </c>
      <c r="BU54" s="316" t="str">
        <f>IFERROR(IF($C54&lt;1,"",BU$3*일별반별!BX54),0)</f>
        <v/>
      </c>
      <c r="BV54" s="316" t="str">
        <f>IFERROR(IF($C54&lt;1,"",BV$3*일별반별!BY54),0)</f>
        <v/>
      </c>
      <c r="BW54" s="316" t="str">
        <f>IFERROR(IF($C54&lt;1,"",BW$3*일별반별!BZ54),0)</f>
        <v/>
      </c>
      <c r="BX54" s="316" t="str">
        <f>IFERROR(IF($C54&lt;1,"",BX$3*일별반별!CA54),0)</f>
        <v/>
      </c>
      <c r="BY54" s="316" t="str">
        <f>IFERROR(IF($C54&lt;1,"",BY$3*일별반별!CB54),0)</f>
        <v/>
      </c>
      <c r="BZ54" s="316" t="str">
        <f>IFERROR(IF($C54&lt;1,"",BZ$3*일별반별!CC54),0)</f>
        <v/>
      </c>
      <c r="CA54" s="316" t="str">
        <f>IFERROR(IF($C54&lt;1,"",CA$3*일별반별!CD54),0)</f>
        <v/>
      </c>
      <c r="CB54" s="316" t="str">
        <f>IFERROR(IF($C54&lt;1,"",CB$3*일별반별!CE54),0)</f>
        <v/>
      </c>
      <c r="CC54" s="316" t="str">
        <f>IFERROR(IF($C54&lt;1,"",CC$3*일별반별!CF54),0)</f>
        <v/>
      </c>
      <c r="CD54" s="316" t="str">
        <f>IFERROR(IF($C54&lt;1,"",CD$3*일별반별!CG54),0)</f>
        <v/>
      </c>
      <c r="CE54" s="316" t="str">
        <f>IFERROR(IF($C54&lt;1,"",CE$3*일별반별!CH54),0)</f>
        <v/>
      </c>
      <c r="CF54" s="316" t="str">
        <f>IFERROR(IF($C54&lt;1,"",CF$3*일별반별!CI54),0)</f>
        <v/>
      </c>
      <c r="CG54" s="316" t="str">
        <f>IFERROR(IF($C54&lt;1,"",CG$3*일별반별!CJ54),0)</f>
        <v/>
      </c>
      <c r="CH54" s="316" t="str">
        <f>IFERROR(IF($C54&lt;1,"",CH$3*일별반별!CK54),0)</f>
        <v/>
      </c>
      <c r="CI54" s="316" t="str">
        <f>IFERROR(IF($C54&lt;1,"",CI$3*일별반별!CL54),0)</f>
        <v/>
      </c>
      <c r="CJ54" s="316" t="str">
        <f>IFERROR(IF($C54&lt;1,"",CJ$3*일별반별!CM54),0)</f>
        <v/>
      </c>
      <c r="CK54" s="316" t="str">
        <f>IFERROR(IF($C54&lt;1,"",CK$3*일별반별!CN54),0)</f>
        <v/>
      </c>
      <c r="CL54" s="316" t="str">
        <f>IFERROR(IF($C54&lt;1,"",CL$3*일별반별!CO54),0)</f>
        <v/>
      </c>
      <c r="CM54" s="316" t="str">
        <f>IFERROR(IF($C54&lt;1,"",CM$3*일별반별!CP54),0)</f>
        <v/>
      </c>
      <c r="CN54" s="316" t="str">
        <f>IFERROR(IF($C54&lt;1,"",CN$3*일별반별!CQ54),0)</f>
        <v/>
      </c>
      <c r="CO54" s="316" t="str">
        <f>IFERROR(IF($C54&lt;1,"",CO$3*일별반별!CR54),0)</f>
        <v/>
      </c>
      <c r="CP54" s="316" t="str">
        <f>IFERROR(IF($C54&lt;1,"",CP$3*일별반별!CS54),0)</f>
        <v/>
      </c>
      <c r="CQ54" s="316" t="str">
        <f>IFERROR(IF($C54&lt;1,"",CQ$3*일별반별!CT54),0)</f>
        <v/>
      </c>
      <c r="CR54" s="418" t="str">
        <f>IFERROR(IF($C54&lt;1,"",CR$3*일별반별!CU54),0)</f>
        <v/>
      </c>
      <c r="CS54" s="418" t="str">
        <f>IFERROR(IF($C54&lt;1,"",CS$3*일별반별!CV54),0)</f>
        <v/>
      </c>
      <c r="CT54" s="316" t="str">
        <f>IFERROR(IF($C54&lt;1,"",CT$3*일별반별!CW54),0)</f>
        <v/>
      </c>
      <c r="CU54" s="316" t="str">
        <f>IFERROR(IF($C54&lt;1,"",CU$3*일별반별!CX54),0)</f>
        <v/>
      </c>
      <c r="CV54" s="316" t="str">
        <f>IFERROR(IF($C54&lt;1,"",CV$3*일별반별!CY54),0)</f>
        <v/>
      </c>
      <c r="CW54" s="316" t="str">
        <f>IFERROR(IF($C54&lt;1,"",CW$3*일별반별!CZ54),0)</f>
        <v/>
      </c>
      <c r="CX54" s="316" t="str">
        <f>IFERROR(IF($C54&lt;1,"",CX$3*일별반별!DA54),0)</f>
        <v/>
      </c>
      <c r="CY54" s="316" t="str">
        <f>IF(C54&lt;1,"",(CY$3*'09월 조업일지'!AV$7))</f>
        <v/>
      </c>
      <c r="CZ54" s="316" t="str">
        <f t="shared" si="3"/>
        <v/>
      </c>
      <c r="DA54" s="316" t="str">
        <f t="shared" si="3"/>
        <v/>
      </c>
      <c r="DB54" s="316" t="str">
        <f t="shared" si="3"/>
        <v/>
      </c>
      <c r="DC54" s="316"/>
      <c r="DD54" s="419"/>
    </row>
    <row r="55" spans="1:108" ht="15" customHeight="1">
      <c r="A55" s="274">
        <f t="shared" si="2"/>
        <v>44022</v>
      </c>
      <c r="B55" s="275" t="s">
        <v>94</v>
      </c>
      <c r="C55" s="201">
        <f>COUNTIFS('09월 조업일지'!$A$12:$A$952,A51,'09월 조업일지'!$E$12:$E$952,B55)</f>
        <v>0</v>
      </c>
      <c r="D55" s="314">
        <f>IF(C55&lt;1,0,(SUM(E55:CX55)/(일별반별!BV55-1.5)+(CY55+CZ55+DA55+DB55)))</f>
        <v>0</v>
      </c>
      <c r="E55" s="278"/>
      <c r="F55" s="281"/>
      <c r="G55" s="282"/>
      <c r="H55" s="283"/>
      <c r="I55" s="283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326"/>
      <c r="U55" s="395" t="str">
        <f>IFERROR(IF($C55&lt;1,"",U$3*일별반별!X55),0)</f>
        <v/>
      </c>
      <c r="V55" s="395" t="str">
        <f>IFERROR(IF($C55&lt;1,"",V$3*일별반별!Y55),0)</f>
        <v/>
      </c>
      <c r="W55" s="395" t="str">
        <f>IFERROR(IF($C55&lt;1,"",W$3*일별반별!Z55),0)</f>
        <v/>
      </c>
      <c r="X55" s="208" t="str">
        <f>IFERROR(IF($C55&lt;1,"",X$3*일별반별!AA55),0)</f>
        <v/>
      </c>
      <c r="Y55" s="208" t="str">
        <f>IFERROR(IF($C55&lt;1,"",Y$3*일별반별!AB55),0)</f>
        <v/>
      </c>
      <c r="Z55" s="208" t="str">
        <f>IFERROR(IF($C55&lt;1,"",Z$3*일별반별!AC55),0)</f>
        <v/>
      </c>
      <c r="AA55" s="395" t="str">
        <f>IFERROR(IF($C55&lt;1,"",AA$3*일별반별!AD55),0)</f>
        <v/>
      </c>
      <c r="AB55" s="395" t="str">
        <f>IFERROR(IF($C55&lt;1,"",AB$3*일별반별!AE55),0)</f>
        <v/>
      </c>
      <c r="AC55" s="208" t="str">
        <f>IFERROR(IF($C55&lt;1,"",AC$3*일별반별!AF55),0)</f>
        <v/>
      </c>
      <c r="AD55" s="208" t="str">
        <f>IFERROR(IF($C55&lt;1,"",AD$3*일별반별!AG55),0)</f>
        <v/>
      </c>
      <c r="AE55" s="208" t="str">
        <f>IFERROR(IF($C55&lt;1,"",AE$3*일별반별!AH55),0)</f>
        <v/>
      </c>
      <c r="AF55" s="395" t="str">
        <f>IFERROR(IF($C55&lt;1,"",AF$3*일별반별!AI55),0)</f>
        <v/>
      </c>
      <c r="AG55" s="395" t="str">
        <f>IFERROR(IF($C55&lt;1,"",AG$3*일별반별!AJ55),0)</f>
        <v/>
      </c>
      <c r="AH55" s="395" t="str">
        <f>IFERROR(IF($C55&lt;1,"",AH$3*일별반별!AK55),0)</f>
        <v/>
      </c>
      <c r="AI55" s="395" t="str">
        <f>IFERROR(IF($C55&lt;1,"",AI$3*일별반별!AL55),0)</f>
        <v/>
      </c>
      <c r="AJ55" s="395" t="str">
        <f>IFERROR(IF($C55&lt;1,"",AJ$3*일별반별!AM55),0)</f>
        <v/>
      </c>
      <c r="AK55" s="395" t="str">
        <f>IFERROR(IF($C55&lt;1,"",AK$3*일별반별!AN55),0)</f>
        <v/>
      </c>
      <c r="AL55" s="395" t="str">
        <f>IFERROR(IF($C55&lt;1,"",AL$3*일별반별!AO55),0)</f>
        <v/>
      </c>
      <c r="AM55" s="395" t="str">
        <f>IFERROR(IF($C55&lt;1,"",AM$3*일별반별!AP55),0)</f>
        <v/>
      </c>
      <c r="AN55" s="395" t="str">
        <f>IFERROR(IF($C55&lt;1,"",AN$3*일별반별!AQ55),0)</f>
        <v/>
      </c>
      <c r="AO55" s="395" t="str">
        <f>IFERROR(IF($C55&lt;1,"",AO$3*일별반별!AR55),0)</f>
        <v/>
      </c>
      <c r="AP55" s="347" t="str">
        <f>IFERROR(IF($C55&lt;1,"",AP$3*일별반별!AS55),0)</f>
        <v/>
      </c>
      <c r="AQ55" s="347" t="str">
        <f>IFERROR(IF($C55&lt;1,"",AQ$3*일별반별!AT55),0)</f>
        <v/>
      </c>
      <c r="AR55" s="316" t="str">
        <f>IFERROR(IF($C55&lt;1,"",AR$3*일별반별!AU55),0)</f>
        <v/>
      </c>
      <c r="AS55" s="401" t="str">
        <f>IFERROR(IF($C55&lt;1,"",AS$3*일별반별!AV55),0)</f>
        <v/>
      </c>
      <c r="AT55" s="401" t="str">
        <f>IFERROR(IF($C55&lt;1,"",AT$3*일별반별!AW55),0)</f>
        <v/>
      </c>
      <c r="AU55" s="401" t="str">
        <f>IFERROR(IF($C55&lt;1,"",AU$3*일별반별!AX55),0)</f>
        <v/>
      </c>
      <c r="AV55" s="401" t="str">
        <f>IFERROR(IF($C55&lt;1,"",AV$3*일별반별!AY55),0)</f>
        <v/>
      </c>
      <c r="AW55" s="401" t="str">
        <f>IFERROR(IF($C55&lt;1,"",AW$3*일별반별!AZ55),0)</f>
        <v/>
      </c>
      <c r="AX55" s="401" t="str">
        <f>IFERROR(IF($C55&lt;1,"",AX$3*일별반별!BA55),0)</f>
        <v/>
      </c>
      <c r="AY55" s="401" t="str">
        <f>IFERROR(IF($C55&lt;1,"",AY$3*일별반별!BB55),0)</f>
        <v/>
      </c>
      <c r="AZ55" s="401" t="str">
        <f>IFERROR(IF($C55&lt;1,"",AZ$3*일별반별!BC55),0)</f>
        <v/>
      </c>
      <c r="BA55" s="401" t="str">
        <f>IFERROR(IF($C55&lt;1,"",BA$3*일별반별!BD55),0)</f>
        <v/>
      </c>
      <c r="BB55" s="402" t="str">
        <f>IFERROR(IF($C55&lt;1,"",BB$3*일별반별!BE55),0)</f>
        <v/>
      </c>
      <c r="BC55" s="402" t="str">
        <f>IFERROR(IF($C55&lt;1,"",BC$3*일별반별!BF55),0)</f>
        <v/>
      </c>
      <c r="BD55" s="402" t="str">
        <f>IFERROR(IF($C55&lt;1,"",BD$3*일별반별!BG55),0)</f>
        <v/>
      </c>
      <c r="BE55" s="402" t="str">
        <f>IFERROR(IF($C55&lt;1,"",BE$3*일별반별!BH55),0)</f>
        <v/>
      </c>
      <c r="BF55" s="402" t="str">
        <f>IFERROR(IF($C55&lt;1,"",BF$3*일별반별!BI55),0)</f>
        <v/>
      </c>
      <c r="BG55" s="402" t="str">
        <f>IFERROR(IF($C55&lt;1,"",BG$3*일별반별!BJ55),0)</f>
        <v/>
      </c>
      <c r="BH55" s="402" t="str">
        <f>IFERROR(IF($C55&lt;1,"",BH$3*일별반별!BK55),0)</f>
        <v/>
      </c>
      <c r="BI55" s="402" t="str">
        <f>IFERROR(IF($C55&lt;1,"",BI$3*일별반별!BL55),0)</f>
        <v/>
      </c>
      <c r="BJ55" s="402" t="str">
        <f>IFERROR(IF($C55&lt;1,"",BJ$3*일별반별!BM55),0)</f>
        <v/>
      </c>
      <c r="BK55" s="402" t="str">
        <f>IFERROR(IF($C55&lt;1,"",BK$3*일별반별!BN55),0)</f>
        <v/>
      </c>
      <c r="BL55" s="402" t="str">
        <f>IFERROR(IF($C55&lt;1,"",BL$3*일별반별!BH55),0)</f>
        <v/>
      </c>
      <c r="BM55" s="402" t="str">
        <f>IFERROR(IF($C55&lt;1,"",BM$3*일별반별!BP55),0)</f>
        <v/>
      </c>
      <c r="BN55" s="401" t="str">
        <f>IFERROR(IF($C55&lt;1,"",BN$3*일별반별!BQ55),0)</f>
        <v/>
      </c>
      <c r="BO55" s="401" t="str">
        <f>IFERROR(IF($C55&lt;1,"",BO$3*일별반별!BR55),0)</f>
        <v/>
      </c>
      <c r="BP55" s="401" t="str">
        <f>IFERROR(IF($C55&lt;1,"",BP$3*일별반별!BS55),0)</f>
        <v/>
      </c>
      <c r="BQ55" s="401" t="str">
        <f>IFERROR(IF($C55&lt;1,"",BQ$3*일별반별!BT55),0)</f>
        <v/>
      </c>
      <c r="BR55" s="417" t="str">
        <f>IFERROR(IF($C55&lt;1,"",BR$3*일별반별!BU55),0)</f>
        <v/>
      </c>
      <c r="BS55" s="417" t="str">
        <f>IFERROR(IF($C55&lt;1,"",BS$3*일별반별!BV55),0)</f>
        <v/>
      </c>
      <c r="BT55" s="417" t="str">
        <f>IFERROR(IF($C55&lt;1,"",BT$3*일별반별!BW55),0)</f>
        <v/>
      </c>
      <c r="BU55" s="316" t="str">
        <f>IFERROR(IF($C55&lt;1,"",BU$3*일별반별!BX55),0)</f>
        <v/>
      </c>
      <c r="BV55" s="316" t="str">
        <f>IFERROR(IF($C55&lt;1,"",BV$3*일별반별!BY55),0)</f>
        <v/>
      </c>
      <c r="BW55" s="316" t="str">
        <f>IFERROR(IF($C55&lt;1,"",BW$3*일별반별!BZ55),0)</f>
        <v/>
      </c>
      <c r="BX55" s="316" t="str">
        <f>IFERROR(IF($C55&lt;1,"",BX$3*일별반별!CA55),0)</f>
        <v/>
      </c>
      <c r="BY55" s="316" t="str">
        <f>IFERROR(IF($C55&lt;1,"",BY$3*일별반별!CB55),0)</f>
        <v/>
      </c>
      <c r="BZ55" s="316" t="str">
        <f>IFERROR(IF($C55&lt;1,"",BZ$3*일별반별!CC55),0)</f>
        <v/>
      </c>
      <c r="CA55" s="316" t="str">
        <f>IFERROR(IF($C55&lt;1,"",CA$3*일별반별!CD55),0)</f>
        <v/>
      </c>
      <c r="CB55" s="316" t="str">
        <f>IFERROR(IF($C55&lt;1,"",CB$3*일별반별!CE55),0)</f>
        <v/>
      </c>
      <c r="CC55" s="316" t="str">
        <f>IFERROR(IF($C55&lt;1,"",CC$3*일별반별!CF55),0)</f>
        <v/>
      </c>
      <c r="CD55" s="316" t="str">
        <f>IFERROR(IF($C55&lt;1,"",CD$3*일별반별!CG55),0)</f>
        <v/>
      </c>
      <c r="CE55" s="316" t="str">
        <f>IFERROR(IF($C55&lt;1,"",CE$3*일별반별!CH55),0)</f>
        <v/>
      </c>
      <c r="CF55" s="316" t="str">
        <f>IFERROR(IF($C55&lt;1,"",CF$3*일별반별!CI55),0)</f>
        <v/>
      </c>
      <c r="CG55" s="316" t="str">
        <f>IFERROR(IF($C55&lt;1,"",CG$3*일별반별!CJ55),0)</f>
        <v/>
      </c>
      <c r="CH55" s="316" t="str">
        <f>IFERROR(IF($C55&lt;1,"",CH$3*일별반별!CK55),0)</f>
        <v/>
      </c>
      <c r="CI55" s="316" t="str">
        <f>IFERROR(IF($C55&lt;1,"",CI$3*일별반별!CL55),0)</f>
        <v/>
      </c>
      <c r="CJ55" s="316" t="str">
        <f>IFERROR(IF($C55&lt;1,"",CJ$3*일별반별!CM55),0)</f>
        <v/>
      </c>
      <c r="CK55" s="316" t="str">
        <f>IFERROR(IF($C55&lt;1,"",CK$3*일별반별!CN55),0)</f>
        <v/>
      </c>
      <c r="CL55" s="316" t="str">
        <f>IFERROR(IF($C55&lt;1,"",CL$3*일별반별!CO55),0)</f>
        <v/>
      </c>
      <c r="CM55" s="316" t="str">
        <f>IFERROR(IF($C55&lt;1,"",CM$3*일별반별!CP55),0)</f>
        <v/>
      </c>
      <c r="CN55" s="316" t="str">
        <f>IFERROR(IF($C55&lt;1,"",CN$3*일별반별!CQ55),0)</f>
        <v/>
      </c>
      <c r="CO55" s="316" t="str">
        <f>IFERROR(IF($C55&lt;1,"",CO$3*일별반별!CR55),0)</f>
        <v/>
      </c>
      <c r="CP55" s="316" t="str">
        <f>IFERROR(IF($C55&lt;1,"",CP$3*일별반별!CS55),0)</f>
        <v/>
      </c>
      <c r="CQ55" s="316" t="str">
        <f>IFERROR(IF($C55&lt;1,"",CQ$3*일별반별!CT55),0)</f>
        <v/>
      </c>
      <c r="CR55" s="418" t="str">
        <f>IFERROR(IF($C55&lt;1,"",CR$3*일별반별!CU55),0)</f>
        <v/>
      </c>
      <c r="CS55" s="418" t="str">
        <f>IFERROR(IF($C55&lt;1,"",CS$3*일별반별!CV55),0)</f>
        <v/>
      </c>
      <c r="CT55" s="316" t="str">
        <f>IFERROR(IF($C55&lt;1,"",CT$3*일별반별!CW55),0)</f>
        <v/>
      </c>
      <c r="CU55" s="316" t="str">
        <f>IFERROR(IF($C55&lt;1,"",CU$3*일별반별!CX55),0)</f>
        <v/>
      </c>
      <c r="CV55" s="316" t="str">
        <f>IFERROR(IF($C55&lt;1,"",CV$3*일별반별!CY55),0)</f>
        <v/>
      </c>
      <c r="CW55" s="316" t="str">
        <f>IFERROR(IF($C55&lt;1,"",CW$3*일별반별!CZ55),0)</f>
        <v/>
      </c>
      <c r="CX55" s="316" t="str">
        <f>IFERROR(IF($C55&lt;1,"",CX$3*일별반별!DA55),0)</f>
        <v/>
      </c>
      <c r="CY55" s="316" t="str">
        <f>IF(C55&lt;1,"",(CY$3*'09월 조업일지'!AV$7))</f>
        <v/>
      </c>
      <c r="CZ55" s="316" t="str">
        <f t="shared" si="3"/>
        <v/>
      </c>
      <c r="DA55" s="316" t="str">
        <f t="shared" si="3"/>
        <v/>
      </c>
      <c r="DB55" s="316" t="str">
        <f t="shared" si="3"/>
        <v/>
      </c>
      <c r="DC55" s="316"/>
      <c r="DD55" s="419"/>
    </row>
    <row r="56" spans="1:108" ht="15" customHeight="1">
      <c r="A56" s="327">
        <f>A51+1</f>
        <v>44023</v>
      </c>
      <c r="B56" s="328" t="s">
        <v>31</v>
      </c>
      <c r="C56" s="329">
        <f>COUNTIF('09월 조업일지'!$A$12:$A$952,A56)</f>
        <v>0</v>
      </c>
      <c r="D56" s="330">
        <f>IF(C56&lt;1,0,(SUM(E56:CX56)/(일별반별!BV56-1.5)+(CY56+CZ56+DA56+DB56)))</f>
        <v>0</v>
      </c>
      <c r="E56" s="331"/>
      <c r="F56" s="331"/>
      <c r="G56" s="332"/>
      <c r="H56" s="333"/>
      <c r="I56" s="333"/>
      <c r="J56" s="334"/>
      <c r="K56" s="334"/>
      <c r="L56" s="334"/>
      <c r="M56" s="334"/>
      <c r="N56" s="334"/>
      <c r="O56" s="334"/>
      <c r="P56" s="334"/>
      <c r="Q56" s="335"/>
      <c r="R56" s="334"/>
      <c r="S56" s="335"/>
      <c r="T56" s="334"/>
      <c r="U56" s="337" t="str">
        <f>IFERROR(IF($C56&lt;1,"",U$3*일별반별!X56),0)</f>
        <v/>
      </c>
      <c r="V56" s="337" t="str">
        <f>IFERROR(IF($C56&lt;1,"",V$3*일별반별!Y56),0)</f>
        <v/>
      </c>
      <c r="W56" s="337" t="str">
        <f>IFERROR(IF($C56&lt;1,"",W$3*일별반별!Z56),0)</f>
        <v/>
      </c>
      <c r="X56" s="336" t="str">
        <f>IFERROR(IF($C56&lt;1,"",X$3*일별반별!AA56),0)</f>
        <v/>
      </c>
      <c r="Y56" s="336" t="str">
        <f>IFERROR(IF($C56&lt;1,"",Y$3*일별반별!AB56),0)</f>
        <v/>
      </c>
      <c r="Z56" s="336" t="str">
        <f>IFERROR(IF($C56&lt;1,"",Z$3*일별반별!AC56),0)</f>
        <v/>
      </c>
      <c r="AA56" s="337" t="str">
        <f>IFERROR(IF($C56&lt;1,"",AA$3*일별반별!AD56),0)</f>
        <v/>
      </c>
      <c r="AB56" s="337" t="str">
        <f>IFERROR(IF($C56&lt;1,"",AB$3*일별반별!AE56),0)</f>
        <v/>
      </c>
      <c r="AC56" s="336" t="str">
        <f>IFERROR(IF($C56&lt;1,"",AC$3*일별반별!AF56),0)</f>
        <v/>
      </c>
      <c r="AD56" s="336" t="str">
        <f>IFERROR(IF($C56&lt;1,"",AD$3*일별반별!AG56),0)</f>
        <v/>
      </c>
      <c r="AE56" s="336" t="str">
        <f>IFERROR(IF($C56&lt;1,"",AE$3*일별반별!AH56),0)</f>
        <v/>
      </c>
      <c r="AF56" s="337" t="str">
        <f>IFERROR(IF($C56&lt;1,"",AF$3*일별반별!AI56),0)</f>
        <v/>
      </c>
      <c r="AG56" s="337" t="str">
        <f>IFERROR(IF($C56&lt;1,"",AG$3*일별반별!AJ56),0)</f>
        <v/>
      </c>
      <c r="AH56" s="337" t="str">
        <f>IFERROR(IF($C56&lt;1,"",AH$3*일별반별!AK56),0)</f>
        <v/>
      </c>
      <c r="AI56" s="337" t="str">
        <f>IFERROR(IF($C56&lt;1,"",AI$3*일별반별!AL56),0)</f>
        <v/>
      </c>
      <c r="AJ56" s="337" t="str">
        <f>IFERROR(IF($C56&lt;1,"",AJ$3*일별반별!AM56),0)</f>
        <v/>
      </c>
      <c r="AK56" s="337" t="str">
        <f>IFERROR(IF($C56&lt;1,"",AK$3*일별반별!AN56),0)</f>
        <v/>
      </c>
      <c r="AL56" s="337" t="str">
        <f>IFERROR(IF($C56&lt;1,"",AL$3*일별반별!AO56),0)</f>
        <v/>
      </c>
      <c r="AM56" s="337" t="str">
        <f>IFERROR(IF($C56&lt;1,"",AM$3*일별반별!AP56),0)</f>
        <v/>
      </c>
      <c r="AN56" s="337" t="str">
        <f>IFERROR(IF($C56&lt;1,"",AN$3*일별반별!AQ56),0)</f>
        <v/>
      </c>
      <c r="AO56" s="337" t="str">
        <f>IFERROR(IF($C56&lt;1,"",AO$3*일별반별!AR56),0)</f>
        <v/>
      </c>
      <c r="AP56" s="337" t="str">
        <f>IFERROR(IF($C56&lt;1,"",AP$3*일별반별!AS56),0)</f>
        <v/>
      </c>
      <c r="AQ56" s="337" t="str">
        <f>IFERROR(IF($C56&lt;1,"",AQ$3*일별반별!AT56),0)</f>
        <v/>
      </c>
      <c r="AR56" s="337" t="str">
        <f>IFERROR(IF($C56&lt;1,"",AR$3*일별반별!AU56),0)</f>
        <v/>
      </c>
      <c r="AS56" s="403" t="str">
        <f>IFERROR(IF($C56&lt;1,"",AS$3*일별반별!AV56),0)</f>
        <v/>
      </c>
      <c r="AT56" s="403" t="str">
        <f>IFERROR(IF($C56&lt;1,"",AT$3*일별반별!AW56),0)</f>
        <v/>
      </c>
      <c r="AU56" s="403" t="str">
        <f>IFERROR(IF($C56&lt;1,"",AU$3*일별반별!AX56),0)</f>
        <v/>
      </c>
      <c r="AV56" s="403" t="str">
        <f>IFERROR(IF($C56&lt;1,"",AV$3*일별반별!AY56),0)</f>
        <v/>
      </c>
      <c r="AW56" s="403" t="str">
        <f>IFERROR(IF($C56&lt;1,"",AW$3*일별반별!AZ56),0)</f>
        <v/>
      </c>
      <c r="AX56" s="403" t="str">
        <f>IFERROR(IF($C56&lt;1,"",AX$3*일별반별!BA56),0)</f>
        <v/>
      </c>
      <c r="AY56" s="403" t="str">
        <f>IFERROR(IF($C56&lt;1,"",AY$3*일별반별!BB56),0)</f>
        <v/>
      </c>
      <c r="AZ56" s="403" t="str">
        <f>IFERROR(IF($C56&lt;1,"",AZ$3*일별반별!BC56),0)</f>
        <v/>
      </c>
      <c r="BA56" s="403" t="str">
        <f>IFERROR(IF($C56&lt;1,"",BA$3*일별반별!BD56),0)</f>
        <v/>
      </c>
      <c r="BB56" s="403" t="str">
        <f>IFERROR(IF($C56&lt;1,"",BB$3*일별반별!BE56),0)</f>
        <v/>
      </c>
      <c r="BC56" s="403" t="str">
        <f>IFERROR(IF($C56&lt;1,"",BC$3*일별반별!BF56),0)</f>
        <v/>
      </c>
      <c r="BD56" s="403" t="str">
        <f>IFERROR(IF($C56&lt;1,"",BD$3*일별반별!BG56),0)</f>
        <v/>
      </c>
      <c r="BE56" s="403" t="str">
        <f>IFERROR(IF($C56&lt;1,"",BE$3*일별반별!BH56),0)</f>
        <v/>
      </c>
      <c r="BF56" s="403" t="str">
        <f>IFERROR(IF($C56&lt;1,"",BF$3*일별반별!BI56),0)</f>
        <v/>
      </c>
      <c r="BG56" s="403" t="str">
        <f>IFERROR(IF($C56&lt;1,"",BG$3*일별반별!BJ56),0)</f>
        <v/>
      </c>
      <c r="BH56" s="403" t="str">
        <f>IFERROR(IF($C56&lt;1,"",BH$3*일별반별!BK56),0)</f>
        <v/>
      </c>
      <c r="BI56" s="403" t="str">
        <f>IFERROR(IF($C56&lt;1,"",BI$3*일별반별!BL56),0)</f>
        <v/>
      </c>
      <c r="BJ56" s="403" t="str">
        <f>IFERROR(IF($C56&lt;1,"",BJ$3*일별반별!BM56),0)</f>
        <v/>
      </c>
      <c r="BK56" s="403" t="str">
        <f>IFERROR(IF($C56&lt;1,"",BK$3*일별반별!BN56),0)</f>
        <v/>
      </c>
      <c r="BL56" s="403" t="str">
        <f>IFERROR(IF($C56&lt;1,"",BL$3*일별반별!BH56),0)</f>
        <v/>
      </c>
      <c r="BM56" s="403" t="str">
        <f>IFERROR(IF($C56&lt;1,"",BM$3*일별반별!BP56),0)</f>
        <v/>
      </c>
      <c r="BN56" s="403" t="str">
        <f>IFERROR(IF($C56&lt;1,"",BN$3*일별반별!BQ56),0)</f>
        <v/>
      </c>
      <c r="BO56" s="403" t="str">
        <f>IFERROR(IF($C56&lt;1,"",BO$3*일별반별!BR56),0)</f>
        <v/>
      </c>
      <c r="BP56" s="403" t="str">
        <f>IFERROR(IF($C56&lt;1,"",BP$3*일별반별!BS56),0)</f>
        <v/>
      </c>
      <c r="BQ56" s="403" t="str">
        <f>IFERROR(IF($C56&lt;1,"",BQ$3*일별반별!BT56),0)</f>
        <v/>
      </c>
      <c r="BR56" s="337" t="str">
        <f>IFERROR(IF($C56&lt;1,"",BR$3*일별반별!BU56),0)</f>
        <v/>
      </c>
      <c r="BS56" s="337" t="str">
        <f>IFERROR(IF($C56&lt;1,"",BS$3*일별반별!BV56),0)</f>
        <v/>
      </c>
      <c r="BT56" s="337" t="str">
        <f>IFERROR(IF($C56&lt;1,"",BT$3*일별반별!BW56),0)</f>
        <v/>
      </c>
      <c r="BU56" s="337" t="str">
        <f>IFERROR(IF($C56&lt;1,"",BU$3*일별반별!BX56),0)</f>
        <v/>
      </c>
      <c r="BV56" s="337" t="str">
        <f>IFERROR(IF($C56&lt;1,"",BV$3*일별반별!BY56),0)</f>
        <v/>
      </c>
      <c r="BW56" s="337" t="str">
        <f>IFERROR(IF($C56&lt;1,"",BW$3*일별반별!BZ56),0)</f>
        <v/>
      </c>
      <c r="BX56" s="337" t="str">
        <f>IFERROR(IF($C56&lt;1,"",BX$3*일별반별!CA56),0)</f>
        <v/>
      </c>
      <c r="BY56" s="337" t="str">
        <f>IFERROR(IF($C56&lt;1,"",BY$3*일별반별!CB56),0)</f>
        <v/>
      </c>
      <c r="BZ56" s="337" t="str">
        <f>IFERROR(IF($C56&lt;1,"",BZ$3*일별반별!CC56),0)</f>
        <v/>
      </c>
      <c r="CA56" s="337" t="str">
        <f>IFERROR(IF($C56&lt;1,"",CA$3*일별반별!CD56),0)</f>
        <v/>
      </c>
      <c r="CB56" s="337" t="str">
        <f>IFERROR(IF($C56&lt;1,"",CB$3*일별반별!CE56),0)</f>
        <v/>
      </c>
      <c r="CC56" s="337" t="str">
        <f>IFERROR(IF($C56&lt;1,"",CC$3*일별반별!CF56),0)</f>
        <v/>
      </c>
      <c r="CD56" s="337" t="str">
        <f>IFERROR(IF($C56&lt;1,"",CD$3*일별반별!CG56),0)</f>
        <v/>
      </c>
      <c r="CE56" s="337" t="str">
        <f>IFERROR(IF($C56&lt;1,"",CE$3*일별반별!CH56),0)</f>
        <v/>
      </c>
      <c r="CF56" s="337" t="str">
        <f>IFERROR(IF($C56&lt;1,"",CF$3*일별반별!CI56),0)</f>
        <v/>
      </c>
      <c r="CG56" s="337" t="str">
        <f>IFERROR(IF($C56&lt;1,"",CG$3*일별반별!CJ56),0)</f>
        <v/>
      </c>
      <c r="CH56" s="337" t="str">
        <f>IFERROR(IF($C56&lt;1,"",CH$3*일별반별!CK56),0)</f>
        <v/>
      </c>
      <c r="CI56" s="337" t="str">
        <f>IFERROR(IF($C56&lt;1,"",CI$3*일별반별!CL56),0)</f>
        <v/>
      </c>
      <c r="CJ56" s="337" t="str">
        <f>IFERROR(IF($C56&lt;1,"",CJ$3*일별반별!CM56),0)</f>
        <v/>
      </c>
      <c r="CK56" s="337" t="str">
        <f>IFERROR(IF($C56&lt;1,"",CK$3*일별반별!CN56),0)</f>
        <v/>
      </c>
      <c r="CL56" s="337" t="str">
        <f>IFERROR(IF($C56&lt;1,"",CL$3*일별반별!CO56),0)</f>
        <v/>
      </c>
      <c r="CM56" s="337" t="str">
        <f>IFERROR(IF($C56&lt;1,"",CM$3*일별반별!CP56),0)</f>
        <v/>
      </c>
      <c r="CN56" s="337" t="str">
        <f>IFERROR(IF($C56&lt;1,"",CN$3*일별반별!CQ56),0)</f>
        <v/>
      </c>
      <c r="CO56" s="337" t="str">
        <f>IFERROR(IF($C56&lt;1,"",CO$3*일별반별!CR56),0)</f>
        <v/>
      </c>
      <c r="CP56" s="337" t="str">
        <f>IFERROR(IF($C56&lt;1,"",CP$3*일별반별!CS56),0)</f>
        <v/>
      </c>
      <c r="CQ56" s="337" t="str">
        <f>IFERROR(IF($C56&lt;1,"",CQ$3*일별반별!CT56),0)</f>
        <v/>
      </c>
      <c r="CR56" s="420" t="str">
        <f>IFERROR(IF($C56&lt;1,"",CR$3*일별반별!CU56),0)</f>
        <v/>
      </c>
      <c r="CS56" s="420" t="str">
        <f>IFERROR(IF($C56&lt;1,"",CS$3*일별반별!CV56),0)</f>
        <v/>
      </c>
      <c r="CT56" s="337" t="str">
        <f>IFERROR(IF($C56&lt;1,"",CT$3*일별반별!CW56),0)</f>
        <v/>
      </c>
      <c r="CU56" s="337" t="str">
        <f>IFERROR(IF($C56&lt;1,"",CU$3*일별반별!CX56),0)</f>
        <v/>
      </c>
      <c r="CV56" s="337" t="str">
        <f>IFERROR(IF($C56&lt;1,"",CV$3*일별반별!CY56),0)</f>
        <v/>
      </c>
      <c r="CW56" s="337" t="str">
        <f>IFERROR(IF($C56&lt;1,"",CW$3*일별반별!CZ56),0)</f>
        <v/>
      </c>
      <c r="CX56" s="337" t="str">
        <f>IFERROR(IF($C56&lt;1,"",CX$3*일별반별!DA56),0)</f>
        <v/>
      </c>
      <c r="CY56" s="316" t="str">
        <f>IF(C56&lt;1,"",(CY$3*'09월 조업일지'!AV$7))</f>
        <v/>
      </c>
      <c r="CZ56" s="316" t="str">
        <f t="shared" si="3"/>
        <v/>
      </c>
      <c r="DA56" s="316" t="str">
        <f t="shared" si="3"/>
        <v/>
      </c>
      <c r="DB56" s="316" t="str">
        <f t="shared" si="3"/>
        <v/>
      </c>
      <c r="DC56" s="316"/>
      <c r="DD56" s="419"/>
    </row>
    <row r="57" spans="1:108" ht="15" customHeight="1">
      <c r="A57" s="274">
        <f t="shared" si="2"/>
        <v>44023</v>
      </c>
      <c r="B57" s="275" t="s">
        <v>9</v>
      </c>
      <c r="C57" s="201">
        <f>COUNTIFS('09월 조업일지'!$A$12:$A$952,A56,'09월 조업일지'!$E$12:$E$952,B57)</f>
        <v>0</v>
      </c>
      <c r="D57" s="314">
        <f>IF(C57&lt;1,0,(SUM(E57:CX57)/(일별반별!BV57-1.5)+(CY57+CZ57+DA57+DB57)))</f>
        <v>0</v>
      </c>
      <c r="E57" s="278"/>
      <c r="F57" s="281"/>
      <c r="G57" s="282"/>
      <c r="H57" s="283"/>
      <c r="I57" s="283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326"/>
      <c r="U57" s="395" t="str">
        <f>IFERROR(IF($C57&lt;1,"",U$3*일별반별!X57),0)</f>
        <v/>
      </c>
      <c r="V57" s="395" t="str">
        <f>IFERROR(IF($C57&lt;1,"",V$3*일별반별!Y57),0)</f>
        <v/>
      </c>
      <c r="W57" s="395" t="str">
        <f>IFERROR(IF($C57&lt;1,"",W$3*일별반별!Z57),0)</f>
        <v/>
      </c>
      <c r="X57" s="208" t="str">
        <f>IFERROR(IF($C57&lt;1,"",X$3*일별반별!AA57),0)</f>
        <v/>
      </c>
      <c r="Y57" s="208" t="str">
        <f>IFERROR(IF($C57&lt;1,"",Y$3*일별반별!AB57),0)</f>
        <v/>
      </c>
      <c r="Z57" s="208" t="str">
        <f>IFERROR(IF($C57&lt;1,"",Z$3*일별반별!AC57),0)</f>
        <v/>
      </c>
      <c r="AA57" s="395" t="str">
        <f>IFERROR(IF($C57&lt;1,"",AA$3*일별반별!AD57),0)</f>
        <v/>
      </c>
      <c r="AB57" s="395" t="str">
        <f>IFERROR(IF($C57&lt;1,"",AB$3*일별반별!AE57),0)</f>
        <v/>
      </c>
      <c r="AC57" s="208" t="str">
        <f>IFERROR(IF($C57&lt;1,"",AC$3*일별반별!AF57),0)</f>
        <v/>
      </c>
      <c r="AD57" s="208" t="str">
        <f>IFERROR(IF($C57&lt;1,"",AD$3*일별반별!AG57),0)</f>
        <v/>
      </c>
      <c r="AE57" s="208" t="str">
        <f>IFERROR(IF($C57&lt;1,"",AE$3*일별반별!AH57),0)</f>
        <v/>
      </c>
      <c r="AF57" s="395" t="str">
        <f>IFERROR(IF($C57&lt;1,"",AF$3*일별반별!AI57),0)</f>
        <v/>
      </c>
      <c r="AG57" s="395" t="str">
        <f>IFERROR(IF($C57&lt;1,"",AG$3*일별반별!AJ57),0)</f>
        <v/>
      </c>
      <c r="AH57" s="395" t="str">
        <f>IFERROR(IF($C57&lt;1,"",AH$3*일별반별!AK57),0)</f>
        <v/>
      </c>
      <c r="AI57" s="395" t="str">
        <f>IFERROR(IF($C57&lt;1,"",AI$3*일별반별!AL57),0)</f>
        <v/>
      </c>
      <c r="AJ57" s="395" t="str">
        <f>IFERROR(IF($C57&lt;1,"",AJ$3*일별반별!AM57),0)</f>
        <v/>
      </c>
      <c r="AK57" s="395" t="str">
        <f>IFERROR(IF($C57&lt;1,"",AK$3*일별반별!AN57),0)</f>
        <v/>
      </c>
      <c r="AL57" s="395" t="str">
        <f>IFERROR(IF($C57&lt;1,"",AL$3*일별반별!AO57),0)</f>
        <v/>
      </c>
      <c r="AM57" s="395" t="str">
        <f>IFERROR(IF($C57&lt;1,"",AM$3*일별반별!AP57),0)</f>
        <v/>
      </c>
      <c r="AN57" s="395" t="str">
        <f>IFERROR(IF($C57&lt;1,"",AN$3*일별반별!AQ57),0)</f>
        <v/>
      </c>
      <c r="AO57" s="395" t="str">
        <f>IFERROR(IF($C57&lt;1,"",AO$3*일별반별!AR57),0)</f>
        <v/>
      </c>
      <c r="AP57" s="347" t="str">
        <f>IFERROR(IF($C57&lt;1,"",AP$3*일별반별!AS57),0)</f>
        <v/>
      </c>
      <c r="AQ57" s="347" t="str">
        <f>IFERROR(IF($C57&lt;1,"",AQ$3*일별반별!AT57),0)</f>
        <v/>
      </c>
      <c r="AR57" s="316" t="str">
        <f>IFERROR(IF($C57&lt;1,"",AR$3*일별반별!AU57),0)</f>
        <v/>
      </c>
      <c r="AS57" s="401" t="str">
        <f>IFERROR(IF($C57&lt;1,"",AS$3*일별반별!AV57),0)</f>
        <v/>
      </c>
      <c r="AT57" s="401" t="str">
        <f>IFERROR(IF($C57&lt;1,"",AT$3*일별반별!AW57),0)</f>
        <v/>
      </c>
      <c r="AU57" s="401" t="str">
        <f>IFERROR(IF($C57&lt;1,"",AU$3*일별반별!AX57),0)</f>
        <v/>
      </c>
      <c r="AV57" s="401" t="str">
        <f>IFERROR(IF($C57&lt;1,"",AV$3*일별반별!AY57),0)</f>
        <v/>
      </c>
      <c r="AW57" s="401" t="str">
        <f>IFERROR(IF($C57&lt;1,"",AW$3*일별반별!AZ57),0)</f>
        <v/>
      </c>
      <c r="AX57" s="401" t="str">
        <f>IFERROR(IF($C57&lt;1,"",AX$3*일별반별!BA57),0)</f>
        <v/>
      </c>
      <c r="AY57" s="401" t="str">
        <f>IFERROR(IF($C57&lt;1,"",AY$3*일별반별!BB57),0)</f>
        <v/>
      </c>
      <c r="AZ57" s="401" t="str">
        <f>IFERROR(IF($C57&lt;1,"",AZ$3*일별반별!BC57),0)</f>
        <v/>
      </c>
      <c r="BA57" s="401" t="str">
        <f>IFERROR(IF($C57&lt;1,"",BA$3*일별반별!BD57),0)</f>
        <v/>
      </c>
      <c r="BB57" s="402" t="str">
        <f>IFERROR(IF($C57&lt;1,"",BB$3*일별반별!BE57),0)</f>
        <v/>
      </c>
      <c r="BC57" s="402" t="str">
        <f>IFERROR(IF($C57&lt;1,"",BC$3*일별반별!BF57),0)</f>
        <v/>
      </c>
      <c r="BD57" s="402" t="str">
        <f>IFERROR(IF($C57&lt;1,"",BD$3*일별반별!BG57),0)</f>
        <v/>
      </c>
      <c r="BE57" s="402" t="str">
        <f>IFERROR(IF($C57&lt;1,"",BE$3*일별반별!BH57),0)</f>
        <v/>
      </c>
      <c r="BF57" s="402" t="str">
        <f>IFERROR(IF($C57&lt;1,"",BF$3*일별반별!BI57),0)</f>
        <v/>
      </c>
      <c r="BG57" s="402" t="str">
        <f>IFERROR(IF($C57&lt;1,"",BG$3*일별반별!BJ57),0)</f>
        <v/>
      </c>
      <c r="BH57" s="402" t="str">
        <f>IFERROR(IF($C57&lt;1,"",BH$3*일별반별!BK57),0)</f>
        <v/>
      </c>
      <c r="BI57" s="402" t="str">
        <f>IFERROR(IF($C57&lt;1,"",BI$3*일별반별!BL57),0)</f>
        <v/>
      </c>
      <c r="BJ57" s="402" t="str">
        <f>IFERROR(IF($C57&lt;1,"",BJ$3*일별반별!BM57),0)</f>
        <v/>
      </c>
      <c r="BK57" s="402" t="str">
        <f>IFERROR(IF($C57&lt;1,"",BK$3*일별반별!BN57),0)</f>
        <v/>
      </c>
      <c r="BL57" s="402" t="str">
        <f>IFERROR(IF($C57&lt;1,"",BL$3*일별반별!BH57),0)</f>
        <v/>
      </c>
      <c r="BM57" s="402" t="str">
        <f>IFERROR(IF($C57&lt;1,"",BM$3*일별반별!BP57),0)</f>
        <v/>
      </c>
      <c r="BN57" s="401" t="str">
        <f>IFERROR(IF($C57&lt;1,"",BN$3*일별반별!BQ57),0)</f>
        <v/>
      </c>
      <c r="BO57" s="401" t="str">
        <f>IFERROR(IF($C57&lt;1,"",BO$3*일별반별!BR57),0)</f>
        <v/>
      </c>
      <c r="BP57" s="401" t="str">
        <f>IFERROR(IF($C57&lt;1,"",BP$3*일별반별!BS57),0)</f>
        <v/>
      </c>
      <c r="BQ57" s="401" t="str">
        <f>IFERROR(IF($C57&lt;1,"",BQ$3*일별반별!BT57),0)</f>
        <v/>
      </c>
      <c r="BR57" s="417" t="str">
        <f>IFERROR(IF($C57&lt;1,"",BR$3*일별반별!BU57),0)</f>
        <v/>
      </c>
      <c r="BS57" s="417" t="str">
        <f>IFERROR(IF($C57&lt;1,"",BS$3*일별반별!BV57),0)</f>
        <v/>
      </c>
      <c r="BT57" s="417" t="str">
        <f>IFERROR(IF($C57&lt;1,"",BT$3*일별반별!BW57),0)</f>
        <v/>
      </c>
      <c r="BU57" s="316" t="str">
        <f>IFERROR(IF($C57&lt;1,"",BU$3*일별반별!BX57),0)</f>
        <v/>
      </c>
      <c r="BV57" s="316" t="str">
        <f>IFERROR(IF($C57&lt;1,"",BV$3*일별반별!BY57),0)</f>
        <v/>
      </c>
      <c r="BW57" s="316" t="str">
        <f>IFERROR(IF($C57&lt;1,"",BW$3*일별반별!BZ57),0)</f>
        <v/>
      </c>
      <c r="BX57" s="316" t="str">
        <f>IFERROR(IF($C57&lt;1,"",BX$3*일별반별!CA57),0)</f>
        <v/>
      </c>
      <c r="BY57" s="316" t="str">
        <f>IFERROR(IF($C57&lt;1,"",BY$3*일별반별!CB57),0)</f>
        <v/>
      </c>
      <c r="BZ57" s="316" t="str">
        <f>IFERROR(IF($C57&lt;1,"",BZ$3*일별반별!CC57),0)</f>
        <v/>
      </c>
      <c r="CA57" s="316" t="str">
        <f>IFERROR(IF($C57&lt;1,"",CA$3*일별반별!CD57),0)</f>
        <v/>
      </c>
      <c r="CB57" s="316" t="str">
        <f>IFERROR(IF($C57&lt;1,"",CB$3*일별반별!CE57),0)</f>
        <v/>
      </c>
      <c r="CC57" s="316" t="str">
        <f>IFERROR(IF($C57&lt;1,"",CC$3*일별반별!CF57),0)</f>
        <v/>
      </c>
      <c r="CD57" s="316" t="str">
        <f>IFERROR(IF($C57&lt;1,"",CD$3*일별반별!CG57),0)</f>
        <v/>
      </c>
      <c r="CE57" s="316" t="str">
        <f>IFERROR(IF($C57&lt;1,"",CE$3*일별반별!CH57),0)</f>
        <v/>
      </c>
      <c r="CF57" s="316" t="str">
        <f>IFERROR(IF($C57&lt;1,"",CF$3*일별반별!CI57),0)</f>
        <v/>
      </c>
      <c r="CG57" s="316" t="str">
        <f>IFERROR(IF($C57&lt;1,"",CG$3*일별반별!CJ57),0)</f>
        <v/>
      </c>
      <c r="CH57" s="316" t="str">
        <f>IFERROR(IF($C57&lt;1,"",CH$3*일별반별!CK57),0)</f>
        <v/>
      </c>
      <c r="CI57" s="316" t="str">
        <f>IFERROR(IF($C57&lt;1,"",CI$3*일별반별!CL57),0)</f>
        <v/>
      </c>
      <c r="CJ57" s="316" t="str">
        <f>IFERROR(IF($C57&lt;1,"",CJ$3*일별반별!CM57),0)</f>
        <v/>
      </c>
      <c r="CK57" s="316" t="str">
        <f>IFERROR(IF($C57&lt;1,"",CK$3*일별반별!CN57),0)</f>
        <v/>
      </c>
      <c r="CL57" s="316" t="str">
        <f>IFERROR(IF($C57&lt;1,"",CL$3*일별반별!CO57),0)</f>
        <v/>
      </c>
      <c r="CM57" s="316" t="str">
        <f>IFERROR(IF($C57&lt;1,"",CM$3*일별반별!CP57),0)</f>
        <v/>
      </c>
      <c r="CN57" s="316" t="str">
        <f>IFERROR(IF($C57&lt;1,"",CN$3*일별반별!CQ57),0)</f>
        <v/>
      </c>
      <c r="CO57" s="316" t="str">
        <f>IFERROR(IF($C57&lt;1,"",CO$3*일별반별!CR57),0)</f>
        <v/>
      </c>
      <c r="CP57" s="316" t="str">
        <f>IFERROR(IF($C57&lt;1,"",CP$3*일별반별!CS57),0)</f>
        <v/>
      </c>
      <c r="CQ57" s="316" t="str">
        <f>IFERROR(IF($C57&lt;1,"",CQ$3*일별반별!CT57),0)</f>
        <v/>
      </c>
      <c r="CR57" s="418" t="str">
        <f>IFERROR(IF($C57&lt;1,"",CR$3*일별반별!CU57),0)</f>
        <v/>
      </c>
      <c r="CS57" s="418" t="str">
        <f>IFERROR(IF($C57&lt;1,"",CS$3*일별반별!CV57),0)</f>
        <v/>
      </c>
      <c r="CT57" s="316" t="str">
        <f>IFERROR(IF($C57&lt;1,"",CT$3*일별반별!CW57),0)</f>
        <v/>
      </c>
      <c r="CU57" s="316" t="str">
        <f>IFERROR(IF($C57&lt;1,"",CU$3*일별반별!CX57),0)</f>
        <v/>
      </c>
      <c r="CV57" s="316" t="str">
        <f>IFERROR(IF($C57&lt;1,"",CV$3*일별반별!CY57),0)</f>
        <v/>
      </c>
      <c r="CW57" s="316" t="str">
        <f>IFERROR(IF($C57&lt;1,"",CW$3*일별반별!CZ57),0)</f>
        <v/>
      </c>
      <c r="CX57" s="316" t="str">
        <f>IFERROR(IF($C57&lt;1,"",CX$3*일별반별!DA57),0)</f>
        <v/>
      </c>
      <c r="CY57" s="316" t="str">
        <f>IF(C57&lt;1,"",(CY$3*'09월 조업일지'!AV$7))</f>
        <v/>
      </c>
      <c r="CZ57" s="316" t="str">
        <f t="shared" si="3"/>
        <v/>
      </c>
      <c r="DA57" s="316" t="str">
        <f t="shared" si="3"/>
        <v/>
      </c>
      <c r="DB57" s="316" t="str">
        <f t="shared" si="3"/>
        <v/>
      </c>
      <c r="DC57" s="316"/>
      <c r="DD57" s="419"/>
    </row>
    <row r="58" spans="1:108" ht="15" customHeight="1">
      <c r="A58" s="274">
        <f t="shared" si="2"/>
        <v>44023</v>
      </c>
      <c r="B58" s="275" t="s">
        <v>100</v>
      </c>
      <c r="C58" s="201">
        <f>COUNTIFS('09월 조업일지'!$A$12:$A$952,A56,'09월 조업일지'!$E$12:$E$952,B58)</f>
        <v>0</v>
      </c>
      <c r="D58" s="314">
        <f>IF(C58&lt;1,0,(SUM(E58:CX58)/(일별반별!BV58-1.5)+(CY58+CZ58+DA58+DB58)))</f>
        <v>0</v>
      </c>
      <c r="E58" s="278"/>
      <c r="F58" s="281"/>
      <c r="G58" s="282"/>
      <c r="H58" s="283"/>
      <c r="I58" s="283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326"/>
      <c r="U58" s="395" t="str">
        <f>IFERROR(IF($C58&lt;1,"",U$3*일별반별!X58),0)</f>
        <v/>
      </c>
      <c r="V58" s="395" t="str">
        <f>IFERROR(IF($C58&lt;1,"",V$3*일별반별!Y58),0)</f>
        <v/>
      </c>
      <c r="W58" s="395" t="str">
        <f>IFERROR(IF($C58&lt;1,"",W$3*일별반별!Z58),0)</f>
        <v/>
      </c>
      <c r="X58" s="208" t="str">
        <f>IFERROR(IF($C58&lt;1,"",X$3*일별반별!AA58),0)</f>
        <v/>
      </c>
      <c r="Y58" s="208" t="str">
        <f>IFERROR(IF($C58&lt;1,"",Y$3*일별반별!AB58),0)</f>
        <v/>
      </c>
      <c r="Z58" s="208" t="str">
        <f>IFERROR(IF($C58&lt;1,"",Z$3*일별반별!AC58),0)</f>
        <v/>
      </c>
      <c r="AA58" s="395" t="str">
        <f>IFERROR(IF($C58&lt;1,"",AA$3*일별반별!AD58),0)</f>
        <v/>
      </c>
      <c r="AB58" s="395" t="str">
        <f>IFERROR(IF($C58&lt;1,"",AB$3*일별반별!AE58),0)</f>
        <v/>
      </c>
      <c r="AC58" s="208" t="str">
        <f>IFERROR(IF($C58&lt;1,"",AC$3*일별반별!AF58),0)</f>
        <v/>
      </c>
      <c r="AD58" s="208" t="str">
        <f>IFERROR(IF($C58&lt;1,"",AD$3*일별반별!AG58),0)</f>
        <v/>
      </c>
      <c r="AE58" s="208" t="str">
        <f>IFERROR(IF($C58&lt;1,"",AE$3*일별반별!AH58),0)</f>
        <v/>
      </c>
      <c r="AF58" s="395" t="str">
        <f>IFERROR(IF($C58&lt;1,"",AF$3*일별반별!AI58),0)</f>
        <v/>
      </c>
      <c r="AG58" s="395" t="str">
        <f>IFERROR(IF($C58&lt;1,"",AG$3*일별반별!AJ58),0)</f>
        <v/>
      </c>
      <c r="AH58" s="395" t="str">
        <f>IFERROR(IF($C58&lt;1,"",AH$3*일별반별!AK58),0)</f>
        <v/>
      </c>
      <c r="AI58" s="395" t="str">
        <f>IFERROR(IF($C58&lt;1,"",AI$3*일별반별!AL58),0)</f>
        <v/>
      </c>
      <c r="AJ58" s="395" t="str">
        <f>IFERROR(IF($C58&lt;1,"",AJ$3*일별반별!AM58),0)</f>
        <v/>
      </c>
      <c r="AK58" s="395" t="str">
        <f>IFERROR(IF($C58&lt;1,"",AK$3*일별반별!AN58),0)</f>
        <v/>
      </c>
      <c r="AL58" s="395" t="str">
        <f>IFERROR(IF($C58&lt;1,"",AL$3*일별반별!AO58),0)</f>
        <v/>
      </c>
      <c r="AM58" s="395" t="str">
        <f>IFERROR(IF($C58&lt;1,"",AM$3*일별반별!AP58),0)</f>
        <v/>
      </c>
      <c r="AN58" s="395" t="str">
        <f>IFERROR(IF($C58&lt;1,"",AN$3*일별반별!AQ58),0)</f>
        <v/>
      </c>
      <c r="AO58" s="395" t="str">
        <f>IFERROR(IF($C58&lt;1,"",AO$3*일별반별!AR58),0)</f>
        <v/>
      </c>
      <c r="AP58" s="347" t="str">
        <f>IFERROR(IF($C58&lt;1,"",AP$3*일별반별!AS58),0)</f>
        <v/>
      </c>
      <c r="AQ58" s="347" t="str">
        <f>IFERROR(IF($C58&lt;1,"",AQ$3*일별반별!AT58),0)</f>
        <v/>
      </c>
      <c r="AR58" s="316" t="str">
        <f>IFERROR(IF($C58&lt;1,"",AR$3*일별반별!AU58),0)</f>
        <v/>
      </c>
      <c r="AS58" s="401" t="str">
        <f>IFERROR(IF($C58&lt;1,"",AS$3*일별반별!AV58),0)</f>
        <v/>
      </c>
      <c r="AT58" s="401" t="str">
        <f>IFERROR(IF($C58&lt;1,"",AT$3*일별반별!AW58),0)</f>
        <v/>
      </c>
      <c r="AU58" s="401" t="str">
        <f>IFERROR(IF($C58&lt;1,"",AU$3*일별반별!AX58),0)</f>
        <v/>
      </c>
      <c r="AV58" s="401" t="str">
        <f>IFERROR(IF($C58&lt;1,"",AV$3*일별반별!AY58),0)</f>
        <v/>
      </c>
      <c r="AW58" s="401" t="str">
        <f>IFERROR(IF($C58&lt;1,"",AW$3*일별반별!AZ58),0)</f>
        <v/>
      </c>
      <c r="AX58" s="401" t="str">
        <f>IFERROR(IF($C58&lt;1,"",AX$3*일별반별!BA58),0)</f>
        <v/>
      </c>
      <c r="AY58" s="401" t="str">
        <f>IFERROR(IF($C58&lt;1,"",AY$3*일별반별!BB58),0)</f>
        <v/>
      </c>
      <c r="AZ58" s="401" t="str">
        <f>IFERROR(IF($C58&lt;1,"",AZ$3*일별반별!BC58),0)</f>
        <v/>
      </c>
      <c r="BA58" s="401" t="str">
        <f>IFERROR(IF($C58&lt;1,"",BA$3*일별반별!BD58),0)</f>
        <v/>
      </c>
      <c r="BB58" s="402" t="str">
        <f>IFERROR(IF($C58&lt;1,"",BB$3*일별반별!BE58),0)</f>
        <v/>
      </c>
      <c r="BC58" s="402" t="str">
        <f>IFERROR(IF($C58&lt;1,"",BC$3*일별반별!BF58),0)</f>
        <v/>
      </c>
      <c r="BD58" s="402" t="str">
        <f>IFERROR(IF($C58&lt;1,"",BD$3*일별반별!BG58),0)</f>
        <v/>
      </c>
      <c r="BE58" s="402" t="str">
        <f>IFERROR(IF($C58&lt;1,"",BE$3*일별반별!BH58),0)</f>
        <v/>
      </c>
      <c r="BF58" s="402" t="str">
        <f>IFERROR(IF($C58&lt;1,"",BF$3*일별반별!BI58),0)</f>
        <v/>
      </c>
      <c r="BG58" s="402" t="str">
        <f>IFERROR(IF($C58&lt;1,"",BG$3*일별반별!BJ58),0)</f>
        <v/>
      </c>
      <c r="BH58" s="402" t="str">
        <f>IFERROR(IF($C58&lt;1,"",BH$3*일별반별!BK58),0)</f>
        <v/>
      </c>
      <c r="BI58" s="402" t="str">
        <f>IFERROR(IF($C58&lt;1,"",BI$3*일별반별!BL58),0)</f>
        <v/>
      </c>
      <c r="BJ58" s="402" t="str">
        <f>IFERROR(IF($C58&lt;1,"",BJ$3*일별반별!BM58),0)</f>
        <v/>
      </c>
      <c r="BK58" s="402" t="str">
        <f>IFERROR(IF($C58&lt;1,"",BK$3*일별반별!BN58),0)</f>
        <v/>
      </c>
      <c r="BL58" s="402" t="str">
        <f>IFERROR(IF($C58&lt;1,"",BL$3*일별반별!BH58),0)</f>
        <v/>
      </c>
      <c r="BM58" s="402" t="str">
        <f>IFERROR(IF($C58&lt;1,"",BM$3*일별반별!BP58),0)</f>
        <v/>
      </c>
      <c r="BN58" s="401" t="str">
        <f>IFERROR(IF($C58&lt;1,"",BN$3*일별반별!BQ58),0)</f>
        <v/>
      </c>
      <c r="BO58" s="401" t="str">
        <f>IFERROR(IF($C58&lt;1,"",BO$3*일별반별!BR58),0)</f>
        <v/>
      </c>
      <c r="BP58" s="401" t="str">
        <f>IFERROR(IF($C58&lt;1,"",BP$3*일별반별!BS58),0)</f>
        <v/>
      </c>
      <c r="BQ58" s="401" t="str">
        <f>IFERROR(IF($C58&lt;1,"",BQ$3*일별반별!BT58),0)</f>
        <v/>
      </c>
      <c r="BR58" s="417" t="str">
        <f>IFERROR(IF($C58&lt;1,"",BR$3*일별반별!BU58),0)</f>
        <v/>
      </c>
      <c r="BS58" s="417" t="str">
        <f>IFERROR(IF($C58&lt;1,"",BS$3*일별반별!BV58),0)</f>
        <v/>
      </c>
      <c r="BT58" s="417" t="str">
        <f>IFERROR(IF($C58&lt;1,"",BT$3*일별반별!BW58),0)</f>
        <v/>
      </c>
      <c r="BU58" s="316" t="str">
        <f>IFERROR(IF($C58&lt;1,"",BU$3*일별반별!BX58),0)</f>
        <v/>
      </c>
      <c r="BV58" s="316" t="str">
        <f>IFERROR(IF($C58&lt;1,"",BV$3*일별반별!BY58),0)</f>
        <v/>
      </c>
      <c r="BW58" s="316" t="str">
        <f>IFERROR(IF($C58&lt;1,"",BW$3*일별반별!BZ58),0)</f>
        <v/>
      </c>
      <c r="BX58" s="316" t="str">
        <f>IFERROR(IF($C58&lt;1,"",BX$3*일별반별!CA58),0)</f>
        <v/>
      </c>
      <c r="BY58" s="316" t="str">
        <f>IFERROR(IF($C58&lt;1,"",BY$3*일별반별!CB58),0)</f>
        <v/>
      </c>
      <c r="BZ58" s="316" t="str">
        <f>IFERROR(IF($C58&lt;1,"",BZ$3*일별반별!CC58),0)</f>
        <v/>
      </c>
      <c r="CA58" s="316" t="str">
        <f>IFERROR(IF($C58&lt;1,"",CA$3*일별반별!CD58),0)</f>
        <v/>
      </c>
      <c r="CB58" s="316" t="str">
        <f>IFERROR(IF($C58&lt;1,"",CB$3*일별반별!CE58),0)</f>
        <v/>
      </c>
      <c r="CC58" s="316" t="str">
        <f>IFERROR(IF($C58&lt;1,"",CC$3*일별반별!CF58),0)</f>
        <v/>
      </c>
      <c r="CD58" s="316" t="str">
        <f>IFERROR(IF($C58&lt;1,"",CD$3*일별반별!CG58),0)</f>
        <v/>
      </c>
      <c r="CE58" s="316" t="str">
        <f>IFERROR(IF($C58&lt;1,"",CE$3*일별반별!CH58),0)</f>
        <v/>
      </c>
      <c r="CF58" s="316" t="str">
        <f>IFERROR(IF($C58&lt;1,"",CF$3*일별반별!CI58),0)</f>
        <v/>
      </c>
      <c r="CG58" s="316" t="str">
        <f>IFERROR(IF($C58&lt;1,"",CG$3*일별반별!CJ58),0)</f>
        <v/>
      </c>
      <c r="CH58" s="316" t="str">
        <f>IFERROR(IF($C58&lt;1,"",CH$3*일별반별!CK58),0)</f>
        <v/>
      </c>
      <c r="CI58" s="316" t="str">
        <f>IFERROR(IF($C58&lt;1,"",CI$3*일별반별!CL58),0)</f>
        <v/>
      </c>
      <c r="CJ58" s="316" t="str">
        <f>IFERROR(IF($C58&lt;1,"",CJ$3*일별반별!CM58),0)</f>
        <v/>
      </c>
      <c r="CK58" s="316" t="str">
        <f>IFERROR(IF($C58&lt;1,"",CK$3*일별반별!CN58),0)</f>
        <v/>
      </c>
      <c r="CL58" s="316" t="str">
        <f>IFERROR(IF($C58&lt;1,"",CL$3*일별반별!CO58),0)</f>
        <v/>
      </c>
      <c r="CM58" s="316" t="str">
        <f>IFERROR(IF($C58&lt;1,"",CM$3*일별반별!CP58),0)</f>
        <v/>
      </c>
      <c r="CN58" s="316" t="str">
        <f>IFERROR(IF($C58&lt;1,"",CN$3*일별반별!CQ58),0)</f>
        <v/>
      </c>
      <c r="CO58" s="316" t="str">
        <f>IFERROR(IF($C58&lt;1,"",CO$3*일별반별!CR58),0)</f>
        <v/>
      </c>
      <c r="CP58" s="316" t="str">
        <f>IFERROR(IF($C58&lt;1,"",CP$3*일별반별!CS58),0)</f>
        <v/>
      </c>
      <c r="CQ58" s="316" t="str">
        <f>IFERROR(IF($C58&lt;1,"",CQ$3*일별반별!CT58),0)</f>
        <v/>
      </c>
      <c r="CR58" s="418" t="str">
        <f>IFERROR(IF($C58&lt;1,"",CR$3*일별반별!CU58),0)</f>
        <v/>
      </c>
      <c r="CS58" s="418" t="str">
        <f>IFERROR(IF($C58&lt;1,"",CS$3*일별반별!CV58),0)</f>
        <v/>
      </c>
      <c r="CT58" s="316" t="str">
        <f>IFERROR(IF($C58&lt;1,"",CT$3*일별반별!CW58),0)</f>
        <v/>
      </c>
      <c r="CU58" s="316" t="str">
        <f>IFERROR(IF($C58&lt;1,"",CU$3*일별반별!CX58),0)</f>
        <v/>
      </c>
      <c r="CV58" s="316" t="str">
        <f>IFERROR(IF($C58&lt;1,"",CV$3*일별반별!CY58),0)</f>
        <v/>
      </c>
      <c r="CW58" s="316" t="str">
        <f>IFERROR(IF($C58&lt;1,"",CW$3*일별반별!CZ58),0)</f>
        <v/>
      </c>
      <c r="CX58" s="316" t="str">
        <f>IFERROR(IF($C58&lt;1,"",CX$3*일별반별!DA58),0)</f>
        <v/>
      </c>
      <c r="CY58" s="316" t="str">
        <f>IF(C58&lt;1,"",(CY$3*'09월 조업일지'!AV$7))</f>
        <v/>
      </c>
      <c r="CZ58" s="316" t="str">
        <f t="shared" si="3"/>
        <v/>
      </c>
      <c r="DA58" s="316" t="str">
        <f t="shared" si="3"/>
        <v/>
      </c>
      <c r="DB58" s="316" t="str">
        <f t="shared" si="3"/>
        <v/>
      </c>
      <c r="DC58" s="316"/>
      <c r="DD58" s="419"/>
    </row>
    <row r="59" spans="1:108" ht="15" customHeight="1">
      <c r="A59" s="274">
        <f t="shared" si="2"/>
        <v>44023</v>
      </c>
      <c r="B59" s="275" t="s">
        <v>10</v>
      </c>
      <c r="C59" s="201">
        <f>COUNTIFS('09월 조업일지'!$A$12:$A$952,A56,'09월 조업일지'!$E$12:$E$952,B59)</f>
        <v>0</v>
      </c>
      <c r="D59" s="314">
        <f>IF(C59&lt;1,0,(SUM(E59:CX59)/(일별반별!BV59-1.5)+(CY59+CZ59+DA59+DB59)))</f>
        <v>0</v>
      </c>
      <c r="E59" s="278"/>
      <c r="F59" s="281"/>
      <c r="G59" s="282"/>
      <c r="H59" s="283"/>
      <c r="I59" s="283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326"/>
      <c r="U59" s="395" t="str">
        <f>IFERROR(IF($C59&lt;1,"",U$3*일별반별!X59),0)</f>
        <v/>
      </c>
      <c r="V59" s="395" t="str">
        <f>IFERROR(IF($C59&lt;1,"",V$3*일별반별!Y59),0)</f>
        <v/>
      </c>
      <c r="W59" s="395" t="str">
        <f>IFERROR(IF($C59&lt;1,"",W$3*일별반별!Z59),0)</f>
        <v/>
      </c>
      <c r="X59" s="208" t="str">
        <f>IFERROR(IF($C59&lt;1,"",X$3*일별반별!AA59),0)</f>
        <v/>
      </c>
      <c r="Y59" s="208" t="str">
        <f>IFERROR(IF($C59&lt;1,"",Y$3*일별반별!AB59),0)</f>
        <v/>
      </c>
      <c r="Z59" s="208" t="str">
        <f>IFERROR(IF($C59&lt;1,"",Z$3*일별반별!AC59),0)</f>
        <v/>
      </c>
      <c r="AA59" s="395" t="str">
        <f>IFERROR(IF($C59&lt;1,"",AA$3*일별반별!AD59),0)</f>
        <v/>
      </c>
      <c r="AB59" s="395" t="str">
        <f>IFERROR(IF($C59&lt;1,"",AB$3*일별반별!AE59),0)</f>
        <v/>
      </c>
      <c r="AC59" s="208" t="str">
        <f>IFERROR(IF($C59&lt;1,"",AC$3*일별반별!AF59),0)</f>
        <v/>
      </c>
      <c r="AD59" s="208" t="str">
        <f>IFERROR(IF($C59&lt;1,"",AD$3*일별반별!AG59),0)</f>
        <v/>
      </c>
      <c r="AE59" s="208" t="str">
        <f>IFERROR(IF($C59&lt;1,"",AE$3*일별반별!AH59),0)</f>
        <v/>
      </c>
      <c r="AF59" s="395" t="str">
        <f>IFERROR(IF($C59&lt;1,"",AF$3*일별반별!AI59),0)</f>
        <v/>
      </c>
      <c r="AG59" s="395" t="str">
        <f>IFERROR(IF($C59&lt;1,"",AG$3*일별반별!AJ59),0)</f>
        <v/>
      </c>
      <c r="AH59" s="395" t="str">
        <f>IFERROR(IF($C59&lt;1,"",AH$3*일별반별!AK59),0)</f>
        <v/>
      </c>
      <c r="AI59" s="395" t="str">
        <f>IFERROR(IF($C59&lt;1,"",AI$3*일별반별!AL59),0)</f>
        <v/>
      </c>
      <c r="AJ59" s="395" t="str">
        <f>IFERROR(IF($C59&lt;1,"",AJ$3*일별반별!AM59),0)</f>
        <v/>
      </c>
      <c r="AK59" s="395" t="str">
        <f>IFERROR(IF($C59&lt;1,"",AK$3*일별반별!AN59),0)</f>
        <v/>
      </c>
      <c r="AL59" s="395" t="str">
        <f>IFERROR(IF($C59&lt;1,"",AL$3*일별반별!AO59),0)</f>
        <v/>
      </c>
      <c r="AM59" s="395" t="str">
        <f>IFERROR(IF($C59&lt;1,"",AM$3*일별반별!AP59),0)</f>
        <v/>
      </c>
      <c r="AN59" s="395" t="str">
        <f>IFERROR(IF($C59&lt;1,"",AN$3*일별반별!AQ59),0)</f>
        <v/>
      </c>
      <c r="AO59" s="395" t="str">
        <f>IFERROR(IF($C59&lt;1,"",AO$3*일별반별!AR59),0)</f>
        <v/>
      </c>
      <c r="AP59" s="347" t="str">
        <f>IFERROR(IF($C59&lt;1,"",AP$3*일별반별!AS59),0)</f>
        <v/>
      </c>
      <c r="AQ59" s="347" t="str">
        <f>IFERROR(IF($C59&lt;1,"",AQ$3*일별반별!AT59),0)</f>
        <v/>
      </c>
      <c r="AR59" s="316" t="str">
        <f>IFERROR(IF($C59&lt;1,"",AR$3*일별반별!AU59),0)</f>
        <v/>
      </c>
      <c r="AS59" s="401" t="str">
        <f>IFERROR(IF($C59&lt;1,"",AS$3*일별반별!AV59),0)</f>
        <v/>
      </c>
      <c r="AT59" s="401" t="str">
        <f>IFERROR(IF($C59&lt;1,"",AT$3*일별반별!AW59),0)</f>
        <v/>
      </c>
      <c r="AU59" s="401" t="str">
        <f>IFERROR(IF($C59&lt;1,"",AU$3*일별반별!AX59),0)</f>
        <v/>
      </c>
      <c r="AV59" s="401" t="str">
        <f>IFERROR(IF($C59&lt;1,"",AV$3*일별반별!AY59),0)</f>
        <v/>
      </c>
      <c r="AW59" s="401" t="str">
        <f>IFERROR(IF($C59&lt;1,"",AW$3*일별반별!AZ59),0)</f>
        <v/>
      </c>
      <c r="AX59" s="401" t="str">
        <f>IFERROR(IF($C59&lt;1,"",AX$3*일별반별!BA59),0)</f>
        <v/>
      </c>
      <c r="AY59" s="401" t="str">
        <f>IFERROR(IF($C59&lt;1,"",AY$3*일별반별!BB59),0)</f>
        <v/>
      </c>
      <c r="AZ59" s="401" t="str">
        <f>IFERROR(IF($C59&lt;1,"",AZ$3*일별반별!BC59),0)</f>
        <v/>
      </c>
      <c r="BA59" s="401" t="str">
        <f>IFERROR(IF($C59&lt;1,"",BA$3*일별반별!BD59),0)</f>
        <v/>
      </c>
      <c r="BB59" s="402" t="str">
        <f>IFERROR(IF($C59&lt;1,"",BB$3*일별반별!BE59),0)</f>
        <v/>
      </c>
      <c r="BC59" s="402" t="str">
        <f>IFERROR(IF($C59&lt;1,"",BC$3*일별반별!BF59),0)</f>
        <v/>
      </c>
      <c r="BD59" s="402" t="str">
        <f>IFERROR(IF($C59&lt;1,"",BD$3*일별반별!BG59),0)</f>
        <v/>
      </c>
      <c r="BE59" s="402" t="str">
        <f>IFERROR(IF($C59&lt;1,"",BE$3*일별반별!BH59),0)</f>
        <v/>
      </c>
      <c r="BF59" s="402" t="str">
        <f>IFERROR(IF($C59&lt;1,"",BF$3*일별반별!BI59),0)</f>
        <v/>
      </c>
      <c r="BG59" s="402" t="str">
        <f>IFERROR(IF($C59&lt;1,"",BG$3*일별반별!BJ59),0)</f>
        <v/>
      </c>
      <c r="BH59" s="402" t="str">
        <f>IFERROR(IF($C59&lt;1,"",BH$3*일별반별!BK59),0)</f>
        <v/>
      </c>
      <c r="BI59" s="402" t="str">
        <f>IFERROR(IF($C59&lt;1,"",BI$3*일별반별!BL59),0)</f>
        <v/>
      </c>
      <c r="BJ59" s="402" t="str">
        <f>IFERROR(IF($C59&lt;1,"",BJ$3*일별반별!BM59),0)</f>
        <v/>
      </c>
      <c r="BK59" s="402" t="str">
        <f>IFERROR(IF($C59&lt;1,"",BK$3*일별반별!BN59),0)</f>
        <v/>
      </c>
      <c r="BL59" s="402" t="str">
        <f>IFERROR(IF($C59&lt;1,"",BL$3*일별반별!BH59),0)</f>
        <v/>
      </c>
      <c r="BM59" s="402" t="str">
        <f>IFERROR(IF($C59&lt;1,"",BM$3*일별반별!BP59),0)</f>
        <v/>
      </c>
      <c r="BN59" s="401" t="str">
        <f>IFERROR(IF($C59&lt;1,"",BN$3*일별반별!BQ59),0)</f>
        <v/>
      </c>
      <c r="BO59" s="401" t="str">
        <f>IFERROR(IF($C59&lt;1,"",BO$3*일별반별!BR59),0)</f>
        <v/>
      </c>
      <c r="BP59" s="401" t="str">
        <f>IFERROR(IF($C59&lt;1,"",BP$3*일별반별!BS59),0)</f>
        <v/>
      </c>
      <c r="BQ59" s="401" t="str">
        <f>IFERROR(IF($C59&lt;1,"",BQ$3*일별반별!BT59),0)</f>
        <v/>
      </c>
      <c r="BR59" s="417" t="str">
        <f>IFERROR(IF($C59&lt;1,"",BR$3*일별반별!BU59),0)</f>
        <v/>
      </c>
      <c r="BS59" s="417" t="str">
        <f>IFERROR(IF($C59&lt;1,"",BS$3*일별반별!BV59),0)</f>
        <v/>
      </c>
      <c r="BT59" s="417" t="str">
        <f>IFERROR(IF($C59&lt;1,"",BT$3*일별반별!BW59),0)</f>
        <v/>
      </c>
      <c r="BU59" s="316" t="str">
        <f>IFERROR(IF($C59&lt;1,"",BU$3*일별반별!BX59),0)</f>
        <v/>
      </c>
      <c r="BV59" s="316" t="str">
        <f>IFERROR(IF($C59&lt;1,"",BV$3*일별반별!BY59),0)</f>
        <v/>
      </c>
      <c r="BW59" s="316" t="str">
        <f>IFERROR(IF($C59&lt;1,"",BW$3*일별반별!BZ59),0)</f>
        <v/>
      </c>
      <c r="BX59" s="316" t="str">
        <f>IFERROR(IF($C59&lt;1,"",BX$3*일별반별!CA59),0)</f>
        <v/>
      </c>
      <c r="BY59" s="316" t="str">
        <f>IFERROR(IF($C59&lt;1,"",BY$3*일별반별!CB59),0)</f>
        <v/>
      </c>
      <c r="BZ59" s="316" t="str">
        <f>IFERROR(IF($C59&lt;1,"",BZ$3*일별반별!CC59),0)</f>
        <v/>
      </c>
      <c r="CA59" s="316" t="str">
        <f>IFERROR(IF($C59&lt;1,"",CA$3*일별반별!CD59),0)</f>
        <v/>
      </c>
      <c r="CB59" s="316" t="str">
        <f>IFERROR(IF($C59&lt;1,"",CB$3*일별반별!CE59),0)</f>
        <v/>
      </c>
      <c r="CC59" s="316" t="str">
        <f>IFERROR(IF($C59&lt;1,"",CC$3*일별반별!CF59),0)</f>
        <v/>
      </c>
      <c r="CD59" s="316" t="str">
        <f>IFERROR(IF($C59&lt;1,"",CD$3*일별반별!CG59),0)</f>
        <v/>
      </c>
      <c r="CE59" s="316" t="str">
        <f>IFERROR(IF($C59&lt;1,"",CE$3*일별반별!CH59),0)</f>
        <v/>
      </c>
      <c r="CF59" s="316" t="str">
        <f>IFERROR(IF($C59&lt;1,"",CF$3*일별반별!CI59),0)</f>
        <v/>
      </c>
      <c r="CG59" s="316" t="str">
        <f>IFERROR(IF($C59&lt;1,"",CG$3*일별반별!CJ59),0)</f>
        <v/>
      </c>
      <c r="CH59" s="316" t="str">
        <f>IFERROR(IF($C59&lt;1,"",CH$3*일별반별!CK59),0)</f>
        <v/>
      </c>
      <c r="CI59" s="316" t="str">
        <f>IFERROR(IF($C59&lt;1,"",CI$3*일별반별!CL59),0)</f>
        <v/>
      </c>
      <c r="CJ59" s="316" t="str">
        <f>IFERROR(IF($C59&lt;1,"",CJ$3*일별반별!CM59),0)</f>
        <v/>
      </c>
      <c r="CK59" s="316" t="str">
        <f>IFERROR(IF($C59&lt;1,"",CK$3*일별반별!CN59),0)</f>
        <v/>
      </c>
      <c r="CL59" s="316" t="str">
        <f>IFERROR(IF($C59&lt;1,"",CL$3*일별반별!CO59),0)</f>
        <v/>
      </c>
      <c r="CM59" s="316" t="str">
        <f>IFERROR(IF($C59&lt;1,"",CM$3*일별반별!CP59),0)</f>
        <v/>
      </c>
      <c r="CN59" s="316" t="str">
        <f>IFERROR(IF($C59&lt;1,"",CN$3*일별반별!CQ59),0)</f>
        <v/>
      </c>
      <c r="CO59" s="316" t="str">
        <f>IFERROR(IF($C59&lt;1,"",CO$3*일별반별!CR59),0)</f>
        <v/>
      </c>
      <c r="CP59" s="316" t="str">
        <f>IFERROR(IF($C59&lt;1,"",CP$3*일별반별!CS59),0)</f>
        <v/>
      </c>
      <c r="CQ59" s="316" t="str">
        <f>IFERROR(IF($C59&lt;1,"",CQ$3*일별반별!CT59),0)</f>
        <v/>
      </c>
      <c r="CR59" s="418" t="str">
        <f>IFERROR(IF($C59&lt;1,"",CR$3*일별반별!CU59),0)</f>
        <v/>
      </c>
      <c r="CS59" s="418" t="str">
        <f>IFERROR(IF($C59&lt;1,"",CS$3*일별반별!CV59),0)</f>
        <v/>
      </c>
      <c r="CT59" s="316" t="str">
        <f>IFERROR(IF($C59&lt;1,"",CT$3*일별반별!CW59),0)</f>
        <v/>
      </c>
      <c r="CU59" s="316" t="str">
        <f>IFERROR(IF($C59&lt;1,"",CU$3*일별반별!CX59),0)</f>
        <v/>
      </c>
      <c r="CV59" s="316" t="str">
        <f>IFERROR(IF($C59&lt;1,"",CV$3*일별반별!CY59),0)</f>
        <v/>
      </c>
      <c r="CW59" s="316" t="str">
        <f>IFERROR(IF($C59&lt;1,"",CW$3*일별반별!CZ59),0)</f>
        <v/>
      </c>
      <c r="CX59" s="316" t="str">
        <f>IFERROR(IF($C59&lt;1,"",CX$3*일별반별!DA59),0)</f>
        <v/>
      </c>
      <c r="CY59" s="316" t="str">
        <f>IF(C59&lt;1,"",(CY$3*'09월 조업일지'!AV$7))</f>
        <v/>
      </c>
      <c r="CZ59" s="316" t="str">
        <f t="shared" si="3"/>
        <v/>
      </c>
      <c r="DA59" s="316" t="str">
        <f t="shared" si="3"/>
        <v/>
      </c>
      <c r="DB59" s="316" t="str">
        <f t="shared" si="3"/>
        <v/>
      </c>
      <c r="DC59" s="316"/>
      <c r="DD59" s="419"/>
    </row>
    <row r="60" spans="1:108" ht="15" customHeight="1">
      <c r="A60" s="274">
        <f t="shared" si="2"/>
        <v>44023</v>
      </c>
      <c r="B60" s="275" t="s">
        <v>94</v>
      </c>
      <c r="C60" s="201">
        <f>COUNTIFS('09월 조업일지'!$A$12:$A$952,A56,'09월 조업일지'!$E$12:$E$952,B60)</f>
        <v>0</v>
      </c>
      <c r="D60" s="314">
        <f>IF(C60&lt;1,0,(SUM(E60:CX60)/(일별반별!BV60-1.5)+(CY60+CZ60+DA60+DB60)))</f>
        <v>0</v>
      </c>
      <c r="E60" s="278"/>
      <c r="F60" s="281"/>
      <c r="G60" s="282"/>
      <c r="H60" s="283"/>
      <c r="I60" s="283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326"/>
      <c r="U60" s="395" t="str">
        <f>IFERROR(IF($C60&lt;1,"",U$3*일별반별!X60),0)</f>
        <v/>
      </c>
      <c r="V60" s="395" t="str">
        <f>IFERROR(IF($C60&lt;1,"",V$3*일별반별!Y60),0)</f>
        <v/>
      </c>
      <c r="W60" s="395" t="str">
        <f>IFERROR(IF($C60&lt;1,"",W$3*일별반별!Z60),0)</f>
        <v/>
      </c>
      <c r="X60" s="208" t="str">
        <f>IFERROR(IF($C60&lt;1,"",X$3*일별반별!AA60),0)</f>
        <v/>
      </c>
      <c r="Y60" s="208" t="str">
        <f>IFERROR(IF($C60&lt;1,"",Y$3*일별반별!AB60),0)</f>
        <v/>
      </c>
      <c r="Z60" s="208" t="str">
        <f>IFERROR(IF($C60&lt;1,"",Z$3*일별반별!AC60),0)</f>
        <v/>
      </c>
      <c r="AA60" s="395" t="str">
        <f>IFERROR(IF($C60&lt;1,"",AA$3*일별반별!AD60),0)</f>
        <v/>
      </c>
      <c r="AB60" s="395" t="str">
        <f>IFERROR(IF($C60&lt;1,"",AB$3*일별반별!AE60),0)</f>
        <v/>
      </c>
      <c r="AC60" s="208" t="str">
        <f>IFERROR(IF($C60&lt;1,"",AC$3*일별반별!AF60),0)</f>
        <v/>
      </c>
      <c r="AD60" s="208" t="str">
        <f>IFERROR(IF($C60&lt;1,"",AD$3*일별반별!AG60),0)</f>
        <v/>
      </c>
      <c r="AE60" s="208" t="str">
        <f>IFERROR(IF($C60&lt;1,"",AE$3*일별반별!AH60),0)</f>
        <v/>
      </c>
      <c r="AF60" s="395" t="str">
        <f>IFERROR(IF($C60&lt;1,"",AF$3*일별반별!AI60),0)</f>
        <v/>
      </c>
      <c r="AG60" s="395" t="str">
        <f>IFERROR(IF($C60&lt;1,"",AG$3*일별반별!AJ60),0)</f>
        <v/>
      </c>
      <c r="AH60" s="395" t="str">
        <f>IFERROR(IF($C60&lt;1,"",AH$3*일별반별!AK60),0)</f>
        <v/>
      </c>
      <c r="AI60" s="395" t="str">
        <f>IFERROR(IF($C60&lt;1,"",AI$3*일별반별!AL60),0)</f>
        <v/>
      </c>
      <c r="AJ60" s="395" t="str">
        <f>IFERROR(IF($C60&lt;1,"",AJ$3*일별반별!AM60),0)</f>
        <v/>
      </c>
      <c r="AK60" s="395" t="str">
        <f>IFERROR(IF($C60&lt;1,"",AK$3*일별반별!AN60),0)</f>
        <v/>
      </c>
      <c r="AL60" s="395" t="str">
        <f>IFERROR(IF($C60&lt;1,"",AL$3*일별반별!AO60),0)</f>
        <v/>
      </c>
      <c r="AM60" s="395" t="str">
        <f>IFERROR(IF($C60&lt;1,"",AM$3*일별반별!AP60),0)</f>
        <v/>
      </c>
      <c r="AN60" s="395" t="str">
        <f>IFERROR(IF($C60&lt;1,"",AN$3*일별반별!AQ60),0)</f>
        <v/>
      </c>
      <c r="AO60" s="395" t="str">
        <f>IFERROR(IF($C60&lt;1,"",AO$3*일별반별!AR60),0)</f>
        <v/>
      </c>
      <c r="AP60" s="347" t="str">
        <f>IFERROR(IF($C60&lt;1,"",AP$3*일별반별!AS60),0)</f>
        <v/>
      </c>
      <c r="AQ60" s="347" t="str">
        <f>IFERROR(IF($C60&lt;1,"",AQ$3*일별반별!AT60),0)</f>
        <v/>
      </c>
      <c r="AR60" s="316" t="str">
        <f>IFERROR(IF($C60&lt;1,"",AR$3*일별반별!AU60),0)</f>
        <v/>
      </c>
      <c r="AS60" s="401" t="str">
        <f>IFERROR(IF($C60&lt;1,"",AS$3*일별반별!AV60),0)</f>
        <v/>
      </c>
      <c r="AT60" s="401" t="str">
        <f>IFERROR(IF($C60&lt;1,"",AT$3*일별반별!AW60),0)</f>
        <v/>
      </c>
      <c r="AU60" s="401" t="str">
        <f>IFERROR(IF($C60&lt;1,"",AU$3*일별반별!AX60),0)</f>
        <v/>
      </c>
      <c r="AV60" s="401" t="str">
        <f>IFERROR(IF($C60&lt;1,"",AV$3*일별반별!AY60),0)</f>
        <v/>
      </c>
      <c r="AW60" s="401" t="str">
        <f>IFERROR(IF($C60&lt;1,"",AW$3*일별반별!AZ60),0)</f>
        <v/>
      </c>
      <c r="AX60" s="401" t="str">
        <f>IFERROR(IF($C60&lt;1,"",AX$3*일별반별!BA60),0)</f>
        <v/>
      </c>
      <c r="AY60" s="401" t="str">
        <f>IFERROR(IF($C60&lt;1,"",AY$3*일별반별!BB60),0)</f>
        <v/>
      </c>
      <c r="AZ60" s="401" t="str">
        <f>IFERROR(IF($C60&lt;1,"",AZ$3*일별반별!BC60),0)</f>
        <v/>
      </c>
      <c r="BA60" s="401" t="str">
        <f>IFERROR(IF($C60&lt;1,"",BA$3*일별반별!BD60),0)</f>
        <v/>
      </c>
      <c r="BB60" s="402" t="str">
        <f>IFERROR(IF($C60&lt;1,"",BB$3*일별반별!BE60),0)</f>
        <v/>
      </c>
      <c r="BC60" s="402" t="str">
        <f>IFERROR(IF($C60&lt;1,"",BC$3*일별반별!BF60),0)</f>
        <v/>
      </c>
      <c r="BD60" s="402" t="str">
        <f>IFERROR(IF($C60&lt;1,"",BD$3*일별반별!BG60),0)</f>
        <v/>
      </c>
      <c r="BE60" s="402" t="str">
        <f>IFERROR(IF($C60&lt;1,"",BE$3*일별반별!BH60),0)</f>
        <v/>
      </c>
      <c r="BF60" s="402" t="str">
        <f>IFERROR(IF($C60&lt;1,"",BF$3*일별반별!BI60),0)</f>
        <v/>
      </c>
      <c r="BG60" s="402" t="str">
        <f>IFERROR(IF($C60&lt;1,"",BG$3*일별반별!BJ60),0)</f>
        <v/>
      </c>
      <c r="BH60" s="402" t="str">
        <f>IFERROR(IF($C60&lt;1,"",BH$3*일별반별!BK60),0)</f>
        <v/>
      </c>
      <c r="BI60" s="402" t="str">
        <f>IFERROR(IF($C60&lt;1,"",BI$3*일별반별!BL60),0)</f>
        <v/>
      </c>
      <c r="BJ60" s="402" t="str">
        <f>IFERROR(IF($C60&lt;1,"",BJ$3*일별반별!BM60),0)</f>
        <v/>
      </c>
      <c r="BK60" s="402" t="str">
        <f>IFERROR(IF($C60&lt;1,"",BK$3*일별반별!BN60),0)</f>
        <v/>
      </c>
      <c r="BL60" s="402" t="str">
        <f>IFERROR(IF($C60&lt;1,"",BL$3*일별반별!BH60),0)</f>
        <v/>
      </c>
      <c r="BM60" s="402" t="str">
        <f>IFERROR(IF($C60&lt;1,"",BM$3*일별반별!BP60),0)</f>
        <v/>
      </c>
      <c r="BN60" s="401" t="str">
        <f>IFERROR(IF($C60&lt;1,"",BN$3*일별반별!BQ60),0)</f>
        <v/>
      </c>
      <c r="BO60" s="401" t="str">
        <f>IFERROR(IF($C60&lt;1,"",BO$3*일별반별!BR60),0)</f>
        <v/>
      </c>
      <c r="BP60" s="401" t="str">
        <f>IFERROR(IF($C60&lt;1,"",BP$3*일별반별!BS60),0)</f>
        <v/>
      </c>
      <c r="BQ60" s="401" t="str">
        <f>IFERROR(IF($C60&lt;1,"",BQ$3*일별반별!BT60),0)</f>
        <v/>
      </c>
      <c r="BR60" s="417" t="str">
        <f>IFERROR(IF($C60&lt;1,"",BR$3*일별반별!BU60),0)</f>
        <v/>
      </c>
      <c r="BS60" s="417" t="str">
        <f>IFERROR(IF($C60&lt;1,"",BS$3*일별반별!BV60),0)</f>
        <v/>
      </c>
      <c r="BT60" s="417" t="str">
        <f>IFERROR(IF($C60&lt;1,"",BT$3*일별반별!BW60),0)</f>
        <v/>
      </c>
      <c r="BU60" s="316" t="str">
        <f>IFERROR(IF($C60&lt;1,"",BU$3*일별반별!BX60),0)</f>
        <v/>
      </c>
      <c r="BV60" s="316" t="str">
        <f>IFERROR(IF($C60&lt;1,"",BV$3*일별반별!BY60),0)</f>
        <v/>
      </c>
      <c r="BW60" s="316" t="str">
        <f>IFERROR(IF($C60&lt;1,"",BW$3*일별반별!BZ60),0)</f>
        <v/>
      </c>
      <c r="BX60" s="316" t="str">
        <f>IFERROR(IF($C60&lt;1,"",BX$3*일별반별!CA60),0)</f>
        <v/>
      </c>
      <c r="BY60" s="316" t="str">
        <f>IFERROR(IF($C60&lt;1,"",BY$3*일별반별!CB60),0)</f>
        <v/>
      </c>
      <c r="BZ60" s="316" t="str">
        <f>IFERROR(IF($C60&lt;1,"",BZ$3*일별반별!CC60),0)</f>
        <v/>
      </c>
      <c r="CA60" s="316" t="str">
        <f>IFERROR(IF($C60&lt;1,"",CA$3*일별반별!CD60),0)</f>
        <v/>
      </c>
      <c r="CB60" s="316" t="str">
        <f>IFERROR(IF($C60&lt;1,"",CB$3*일별반별!CE60),0)</f>
        <v/>
      </c>
      <c r="CC60" s="316" t="str">
        <f>IFERROR(IF($C60&lt;1,"",CC$3*일별반별!CF60),0)</f>
        <v/>
      </c>
      <c r="CD60" s="316" t="str">
        <f>IFERROR(IF($C60&lt;1,"",CD$3*일별반별!CG60),0)</f>
        <v/>
      </c>
      <c r="CE60" s="316" t="str">
        <f>IFERROR(IF($C60&lt;1,"",CE$3*일별반별!CH60),0)</f>
        <v/>
      </c>
      <c r="CF60" s="316" t="str">
        <f>IFERROR(IF($C60&lt;1,"",CF$3*일별반별!CI60),0)</f>
        <v/>
      </c>
      <c r="CG60" s="316" t="str">
        <f>IFERROR(IF($C60&lt;1,"",CG$3*일별반별!CJ60),0)</f>
        <v/>
      </c>
      <c r="CH60" s="316" t="str">
        <f>IFERROR(IF($C60&lt;1,"",CH$3*일별반별!CK60),0)</f>
        <v/>
      </c>
      <c r="CI60" s="316" t="str">
        <f>IFERROR(IF($C60&lt;1,"",CI$3*일별반별!CL60),0)</f>
        <v/>
      </c>
      <c r="CJ60" s="316" t="str">
        <f>IFERROR(IF($C60&lt;1,"",CJ$3*일별반별!CM60),0)</f>
        <v/>
      </c>
      <c r="CK60" s="316" t="str">
        <f>IFERROR(IF($C60&lt;1,"",CK$3*일별반별!CN60),0)</f>
        <v/>
      </c>
      <c r="CL60" s="316" t="str">
        <f>IFERROR(IF($C60&lt;1,"",CL$3*일별반별!CO60),0)</f>
        <v/>
      </c>
      <c r="CM60" s="316" t="str">
        <f>IFERROR(IF($C60&lt;1,"",CM$3*일별반별!CP60),0)</f>
        <v/>
      </c>
      <c r="CN60" s="316" t="str">
        <f>IFERROR(IF($C60&lt;1,"",CN$3*일별반별!CQ60),0)</f>
        <v/>
      </c>
      <c r="CO60" s="316" t="str">
        <f>IFERROR(IF($C60&lt;1,"",CO$3*일별반별!CR60),0)</f>
        <v/>
      </c>
      <c r="CP60" s="316" t="str">
        <f>IFERROR(IF($C60&lt;1,"",CP$3*일별반별!CS60),0)</f>
        <v/>
      </c>
      <c r="CQ60" s="316" t="str">
        <f>IFERROR(IF($C60&lt;1,"",CQ$3*일별반별!CT60),0)</f>
        <v/>
      </c>
      <c r="CR60" s="418" t="str">
        <f>IFERROR(IF($C60&lt;1,"",CR$3*일별반별!CU60),0)</f>
        <v/>
      </c>
      <c r="CS60" s="418" t="str">
        <f>IFERROR(IF($C60&lt;1,"",CS$3*일별반별!CV60),0)</f>
        <v/>
      </c>
      <c r="CT60" s="316" t="str">
        <f>IFERROR(IF($C60&lt;1,"",CT$3*일별반별!CW60),0)</f>
        <v/>
      </c>
      <c r="CU60" s="316" t="str">
        <f>IFERROR(IF($C60&lt;1,"",CU$3*일별반별!CX60),0)</f>
        <v/>
      </c>
      <c r="CV60" s="316" t="str">
        <f>IFERROR(IF($C60&lt;1,"",CV$3*일별반별!CY60),0)</f>
        <v/>
      </c>
      <c r="CW60" s="316" t="str">
        <f>IFERROR(IF($C60&lt;1,"",CW$3*일별반별!CZ60),0)</f>
        <v/>
      </c>
      <c r="CX60" s="316" t="str">
        <f>IFERROR(IF($C60&lt;1,"",CX$3*일별반별!DA60),0)</f>
        <v/>
      </c>
      <c r="CY60" s="316" t="str">
        <f>IF(C60&lt;1,"",(CY$3*'09월 조업일지'!AV$7))</f>
        <v/>
      </c>
      <c r="CZ60" s="316" t="str">
        <f t="shared" si="3"/>
        <v/>
      </c>
      <c r="DA60" s="316" t="str">
        <f t="shared" si="3"/>
        <v/>
      </c>
      <c r="DB60" s="316" t="str">
        <f t="shared" si="3"/>
        <v/>
      </c>
      <c r="DC60" s="316"/>
      <c r="DD60" s="419"/>
    </row>
    <row r="61" spans="1:108" ht="15" customHeight="1">
      <c r="A61" s="327">
        <f>A56+1</f>
        <v>44024</v>
      </c>
      <c r="B61" s="328" t="s">
        <v>31</v>
      </c>
      <c r="C61" s="329">
        <f>COUNTIF('09월 조업일지'!$A$12:$A$952,A61)</f>
        <v>0</v>
      </c>
      <c r="D61" s="330">
        <f>IF(C61&lt;1,0,(SUM(E61:CX61)/(일별반별!BV61-1.5)+(CY61+CZ61+DA61+DB61)))</f>
        <v>0</v>
      </c>
      <c r="E61" s="331"/>
      <c r="F61" s="331"/>
      <c r="G61" s="332"/>
      <c r="H61" s="333"/>
      <c r="I61" s="333"/>
      <c r="J61" s="334"/>
      <c r="K61" s="334"/>
      <c r="L61" s="334"/>
      <c r="M61" s="334"/>
      <c r="N61" s="334"/>
      <c r="O61" s="334"/>
      <c r="P61" s="334"/>
      <c r="Q61" s="335"/>
      <c r="R61" s="334"/>
      <c r="S61" s="335"/>
      <c r="T61" s="334"/>
      <c r="U61" s="337" t="str">
        <f>IFERROR(IF($C61&lt;1,"",U$3*일별반별!X61),0)</f>
        <v/>
      </c>
      <c r="V61" s="337" t="str">
        <f>IFERROR(IF($C61&lt;1,"",V$3*일별반별!Y61),0)</f>
        <v/>
      </c>
      <c r="W61" s="337" t="str">
        <f>IFERROR(IF($C61&lt;1,"",W$3*일별반별!Z61),0)</f>
        <v/>
      </c>
      <c r="X61" s="336" t="str">
        <f>IFERROR(IF($C61&lt;1,"",X$3*일별반별!AA61),0)</f>
        <v/>
      </c>
      <c r="Y61" s="336" t="str">
        <f>IFERROR(IF($C61&lt;1,"",Y$3*일별반별!AB61),0)</f>
        <v/>
      </c>
      <c r="Z61" s="336" t="str">
        <f>IFERROR(IF($C61&lt;1,"",Z$3*일별반별!AC61),0)</f>
        <v/>
      </c>
      <c r="AA61" s="337" t="str">
        <f>IFERROR(IF($C61&lt;1,"",AA$3*일별반별!AD61),0)</f>
        <v/>
      </c>
      <c r="AB61" s="337" t="str">
        <f>IFERROR(IF($C61&lt;1,"",AB$3*일별반별!AE61),0)</f>
        <v/>
      </c>
      <c r="AC61" s="336" t="str">
        <f>IFERROR(IF($C61&lt;1,"",AC$3*일별반별!AF61),0)</f>
        <v/>
      </c>
      <c r="AD61" s="336" t="str">
        <f>IFERROR(IF($C61&lt;1,"",AD$3*일별반별!AG61),0)</f>
        <v/>
      </c>
      <c r="AE61" s="336" t="str">
        <f>IFERROR(IF($C61&lt;1,"",AE$3*일별반별!AH61),0)</f>
        <v/>
      </c>
      <c r="AF61" s="337" t="str">
        <f>IFERROR(IF($C61&lt;1,"",AF$3*일별반별!AI61),0)</f>
        <v/>
      </c>
      <c r="AG61" s="337" t="str">
        <f>IFERROR(IF($C61&lt;1,"",AG$3*일별반별!AJ61),0)</f>
        <v/>
      </c>
      <c r="AH61" s="337" t="str">
        <f>IFERROR(IF($C61&lt;1,"",AH$3*일별반별!AK61),0)</f>
        <v/>
      </c>
      <c r="AI61" s="337" t="str">
        <f>IFERROR(IF($C61&lt;1,"",AI$3*일별반별!AL61),0)</f>
        <v/>
      </c>
      <c r="AJ61" s="337" t="str">
        <f>IFERROR(IF($C61&lt;1,"",AJ$3*일별반별!AM61),0)</f>
        <v/>
      </c>
      <c r="AK61" s="337" t="str">
        <f>IFERROR(IF($C61&lt;1,"",AK$3*일별반별!AN61),0)</f>
        <v/>
      </c>
      <c r="AL61" s="337" t="str">
        <f>IFERROR(IF($C61&lt;1,"",AL$3*일별반별!AO61),0)</f>
        <v/>
      </c>
      <c r="AM61" s="337" t="str">
        <f>IFERROR(IF($C61&lt;1,"",AM$3*일별반별!AP61),0)</f>
        <v/>
      </c>
      <c r="AN61" s="337" t="str">
        <f>IFERROR(IF($C61&lt;1,"",AN$3*일별반별!AQ61),0)</f>
        <v/>
      </c>
      <c r="AO61" s="337" t="str">
        <f>IFERROR(IF($C61&lt;1,"",AO$3*일별반별!AR61),0)</f>
        <v/>
      </c>
      <c r="AP61" s="337" t="str">
        <f>IFERROR(IF($C61&lt;1,"",AP$3*일별반별!AS61),0)</f>
        <v/>
      </c>
      <c r="AQ61" s="337" t="str">
        <f>IFERROR(IF($C61&lt;1,"",AQ$3*일별반별!AT61),0)</f>
        <v/>
      </c>
      <c r="AR61" s="337" t="str">
        <f>IFERROR(IF($C61&lt;1,"",AR$3*일별반별!AU61),0)</f>
        <v/>
      </c>
      <c r="AS61" s="403" t="str">
        <f>IFERROR(IF($C61&lt;1,"",AS$3*일별반별!AV61),0)</f>
        <v/>
      </c>
      <c r="AT61" s="403" t="str">
        <f>IFERROR(IF($C61&lt;1,"",AT$3*일별반별!AW61),0)</f>
        <v/>
      </c>
      <c r="AU61" s="403" t="str">
        <f>IFERROR(IF($C61&lt;1,"",AU$3*일별반별!AX61),0)</f>
        <v/>
      </c>
      <c r="AV61" s="403" t="str">
        <f>IFERROR(IF($C61&lt;1,"",AV$3*일별반별!AY61),0)</f>
        <v/>
      </c>
      <c r="AW61" s="403" t="str">
        <f>IFERROR(IF($C61&lt;1,"",AW$3*일별반별!AZ61),0)</f>
        <v/>
      </c>
      <c r="AX61" s="403" t="str">
        <f>IFERROR(IF($C61&lt;1,"",AX$3*일별반별!BA61),0)</f>
        <v/>
      </c>
      <c r="AY61" s="403" t="str">
        <f>IFERROR(IF($C61&lt;1,"",AY$3*일별반별!BB61),0)</f>
        <v/>
      </c>
      <c r="AZ61" s="403" t="str">
        <f>IFERROR(IF($C61&lt;1,"",AZ$3*일별반별!BC61),0)</f>
        <v/>
      </c>
      <c r="BA61" s="403" t="str">
        <f>IFERROR(IF($C61&lt;1,"",BA$3*일별반별!BD61),0)</f>
        <v/>
      </c>
      <c r="BB61" s="403" t="str">
        <f>IFERROR(IF($C61&lt;1,"",BB$3*일별반별!BE61),0)</f>
        <v/>
      </c>
      <c r="BC61" s="403" t="str">
        <f>IFERROR(IF($C61&lt;1,"",BC$3*일별반별!BF61),0)</f>
        <v/>
      </c>
      <c r="BD61" s="403" t="str">
        <f>IFERROR(IF($C61&lt;1,"",BD$3*일별반별!BG61),0)</f>
        <v/>
      </c>
      <c r="BE61" s="403" t="str">
        <f>IFERROR(IF($C61&lt;1,"",BE$3*일별반별!BH61),0)</f>
        <v/>
      </c>
      <c r="BF61" s="403" t="str">
        <f>IFERROR(IF($C61&lt;1,"",BF$3*일별반별!BI61),0)</f>
        <v/>
      </c>
      <c r="BG61" s="403" t="str">
        <f>IFERROR(IF($C61&lt;1,"",BG$3*일별반별!BJ61),0)</f>
        <v/>
      </c>
      <c r="BH61" s="403" t="str">
        <f>IFERROR(IF($C61&lt;1,"",BH$3*일별반별!BK61),0)</f>
        <v/>
      </c>
      <c r="BI61" s="403" t="str">
        <f>IFERROR(IF($C61&lt;1,"",BI$3*일별반별!BL61),0)</f>
        <v/>
      </c>
      <c r="BJ61" s="403" t="str">
        <f>IFERROR(IF($C61&lt;1,"",BJ$3*일별반별!BM61),0)</f>
        <v/>
      </c>
      <c r="BK61" s="403" t="str">
        <f>IFERROR(IF($C61&lt;1,"",BK$3*일별반별!BN61),0)</f>
        <v/>
      </c>
      <c r="BL61" s="403" t="str">
        <f>IFERROR(IF($C61&lt;1,"",BL$3*일별반별!BH61),0)</f>
        <v/>
      </c>
      <c r="BM61" s="403" t="str">
        <f>IFERROR(IF($C61&lt;1,"",BM$3*일별반별!BP61),0)</f>
        <v/>
      </c>
      <c r="BN61" s="403" t="str">
        <f>IFERROR(IF($C61&lt;1,"",BN$3*일별반별!BQ61),0)</f>
        <v/>
      </c>
      <c r="BO61" s="403" t="str">
        <f>IFERROR(IF($C61&lt;1,"",BO$3*일별반별!BR61),0)</f>
        <v/>
      </c>
      <c r="BP61" s="403" t="str">
        <f>IFERROR(IF($C61&lt;1,"",BP$3*일별반별!BS61),0)</f>
        <v/>
      </c>
      <c r="BQ61" s="403" t="str">
        <f>IFERROR(IF($C61&lt;1,"",BQ$3*일별반별!BT61),0)</f>
        <v/>
      </c>
      <c r="BR61" s="337" t="str">
        <f>IFERROR(IF($C61&lt;1,"",BR$3*일별반별!BU61),0)</f>
        <v/>
      </c>
      <c r="BS61" s="337" t="str">
        <f>IFERROR(IF($C61&lt;1,"",BS$3*일별반별!BV61),0)</f>
        <v/>
      </c>
      <c r="BT61" s="337" t="str">
        <f>IFERROR(IF($C61&lt;1,"",BT$3*일별반별!BW61),0)</f>
        <v/>
      </c>
      <c r="BU61" s="337" t="str">
        <f>IFERROR(IF($C61&lt;1,"",BU$3*일별반별!BX61),0)</f>
        <v/>
      </c>
      <c r="BV61" s="337" t="str">
        <f>IFERROR(IF($C61&lt;1,"",BV$3*일별반별!BY61),0)</f>
        <v/>
      </c>
      <c r="BW61" s="337" t="str">
        <f>IFERROR(IF($C61&lt;1,"",BW$3*일별반별!BZ61),0)</f>
        <v/>
      </c>
      <c r="BX61" s="337" t="str">
        <f>IFERROR(IF($C61&lt;1,"",BX$3*일별반별!CA61),0)</f>
        <v/>
      </c>
      <c r="BY61" s="337" t="str">
        <f>IFERROR(IF($C61&lt;1,"",BY$3*일별반별!CB61),0)</f>
        <v/>
      </c>
      <c r="BZ61" s="337" t="str">
        <f>IFERROR(IF($C61&lt;1,"",BZ$3*일별반별!CC61),0)</f>
        <v/>
      </c>
      <c r="CA61" s="337" t="str">
        <f>IFERROR(IF($C61&lt;1,"",CA$3*일별반별!CD61),0)</f>
        <v/>
      </c>
      <c r="CB61" s="337" t="str">
        <f>IFERROR(IF($C61&lt;1,"",CB$3*일별반별!CE61),0)</f>
        <v/>
      </c>
      <c r="CC61" s="337" t="str">
        <f>IFERROR(IF($C61&lt;1,"",CC$3*일별반별!CF61),0)</f>
        <v/>
      </c>
      <c r="CD61" s="337" t="str">
        <f>IFERROR(IF($C61&lt;1,"",CD$3*일별반별!CG61),0)</f>
        <v/>
      </c>
      <c r="CE61" s="337" t="str">
        <f>IFERROR(IF($C61&lt;1,"",CE$3*일별반별!CH61),0)</f>
        <v/>
      </c>
      <c r="CF61" s="337" t="str">
        <f>IFERROR(IF($C61&lt;1,"",CF$3*일별반별!CI61),0)</f>
        <v/>
      </c>
      <c r="CG61" s="337" t="str">
        <f>IFERROR(IF($C61&lt;1,"",CG$3*일별반별!CJ61),0)</f>
        <v/>
      </c>
      <c r="CH61" s="337" t="str">
        <f>IFERROR(IF($C61&lt;1,"",CH$3*일별반별!CK61),0)</f>
        <v/>
      </c>
      <c r="CI61" s="337" t="str">
        <f>IFERROR(IF($C61&lt;1,"",CI$3*일별반별!CL61),0)</f>
        <v/>
      </c>
      <c r="CJ61" s="337" t="str">
        <f>IFERROR(IF($C61&lt;1,"",CJ$3*일별반별!CM61),0)</f>
        <v/>
      </c>
      <c r="CK61" s="337" t="str">
        <f>IFERROR(IF($C61&lt;1,"",CK$3*일별반별!CN61),0)</f>
        <v/>
      </c>
      <c r="CL61" s="337" t="str">
        <f>IFERROR(IF($C61&lt;1,"",CL$3*일별반별!CO61),0)</f>
        <v/>
      </c>
      <c r="CM61" s="337" t="str">
        <f>IFERROR(IF($C61&lt;1,"",CM$3*일별반별!CP61),0)</f>
        <v/>
      </c>
      <c r="CN61" s="337" t="str">
        <f>IFERROR(IF($C61&lt;1,"",CN$3*일별반별!CQ61),0)</f>
        <v/>
      </c>
      <c r="CO61" s="337" t="str">
        <f>IFERROR(IF($C61&lt;1,"",CO$3*일별반별!CR61),0)</f>
        <v/>
      </c>
      <c r="CP61" s="337" t="str">
        <f>IFERROR(IF($C61&lt;1,"",CP$3*일별반별!CS61),0)</f>
        <v/>
      </c>
      <c r="CQ61" s="337" t="str">
        <f>IFERROR(IF($C61&lt;1,"",CQ$3*일별반별!CT61),0)</f>
        <v/>
      </c>
      <c r="CR61" s="420" t="str">
        <f>IFERROR(IF($C61&lt;1,"",CR$3*일별반별!CU61),0)</f>
        <v/>
      </c>
      <c r="CS61" s="420" t="str">
        <f>IFERROR(IF($C61&lt;1,"",CS$3*일별반별!CV61),0)</f>
        <v/>
      </c>
      <c r="CT61" s="337" t="str">
        <f>IFERROR(IF($C61&lt;1,"",CT$3*일별반별!CW61),0)</f>
        <v/>
      </c>
      <c r="CU61" s="337" t="str">
        <f>IFERROR(IF($C61&lt;1,"",CU$3*일별반별!CX61),0)</f>
        <v/>
      </c>
      <c r="CV61" s="337" t="str">
        <f>IFERROR(IF($C61&lt;1,"",CV$3*일별반별!CY61),0)</f>
        <v/>
      </c>
      <c r="CW61" s="337" t="str">
        <f>IFERROR(IF($C61&lt;1,"",CW$3*일별반별!CZ61),0)</f>
        <v/>
      </c>
      <c r="CX61" s="337" t="str">
        <f>IFERROR(IF($C61&lt;1,"",CX$3*일별반별!DA61),0)</f>
        <v/>
      </c>
      <c r="CY61" s="316" t="str">
        <f>IF(C61&lt;1,"",(CY$3*'09월 조업일지'!AV$7))</f>
        <v/>
      </c>
      <c r="CZ61" s="316" t="str">
        <f t="shared" si="3"/>
        <v/>
      </c>
      <c r="DA61" s="316" t="str">
        <f t="shared" si="3"/>
        <v/>
      </c>
      <c r="DB61" s="316" t="str">
        <f t="shared" si="3"/>
        <v/>
      </c>
      <c r="DC61" s="316"/>
      <c r="DD61" s="419"/>
    </row>
    <row r="62" spans="1:108" ht="15" customHeight="1">
      <c r="A62" s="274">
        <f t="shared" si="2"/>
        <v>44024</v>
      </c>
      <c r="B62" s="275" t="s">
        <v>9</v>
      </c>
      <c r="C62" s="201">
        <f>COUNTIFS('09월 조업일지'!$A$12:$A$952,A61,'09월 조업일지'!$E$12:$E$952,B62)</f>
        <v>0</v>
      </c>
      <c r="D62" s="314">
        <f>IF(C62&lt;1,0,(SUM(E62:CX62)/(일별반별!BV62-1.5)+(CY62+CZ62+DA62+DB62)))</f>
        <v>0</v>
      </c>
      <c r="E62" s="278"/>
      <c r="F62" s="281"/>
      <c r="G62" s="282"/>
      <c r="H62" s="283"/>
      <c r="I62" s="283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326"/>
      <c r="U62" s="395" t="str">
        <f>IFERROR(IF($C62&lt;1,"",U$3*일별반별!X62),0)</f>
        <v/>
      </c>
      <c r="V62" s="395" t="str">
        <f>IFERROR(IF($C62&lt;1,"",V$3*일별반별!Y62),0)</f>
        <v/>
      </c>
      <c r="W62" s="395" t="str">
        <f>IFERROR(IF($C62&lt;1,"",W$3*일별반별!Z62),0)</f>
        <v/>
      </c>
      <c r="X62" s="208" t="str">
        <f>IFERROR(IF($C62&lt;1,"",X$3*일별반별!AA62),0)</f>
        <v/>
      </c>
      <c r="Y62" s="208" t="str">
        <f>IFERROR(IF($C62&lt;1,"",Y$3*일별반별!AB62),0)</f>
        <v/>
      </c>
      <c r="Z62" s="208" t="str">
        <f>IFERROR(IF($C62&lt;1,"",Z$3*일별반별!AC62),0)</f>
        <v/>
      </c>
      <c r="AA62" s="395" t="str">
        <f>IFERROR(IF($C62&lt;1,"",AA$3*일별반별!AD62),0)</f>
        <v/>
      </c>
      <c r="AB62" s="395" t="str">
        <f>IFERROR(IF($C62&lt;1,"",AB$3*일별반별!AE62),0)</f>
        <v/>
      </c>
      <c r="AC62" s="208" t="str">
        <f>IFERROR(IF($C62&lt;1,"",AC$3*일별반별!AF62),0)</f>
        <v/>
      </c>
      <c r="AD62" s="208" t="str">
        <f>IFERROR(IF($C62&lt;1,"",AD$3*일별반별!AG62),0)</f>
        <v/>
      </c>
      <c r="AE62" s="208" t="str">
        <f>IFERROR(IF($C62&lt;1,"",AE$3*일별반별!AH62),0)</f>
        <v/>
      </c>
      <c r="AF62" s="395" t="str">
        <f>IFERROR(IF($C62&lt;1,"",AF$3*일별반별!AI62),0)</f>
        <v/>
      </c>
      <c r="AG62" s="395" t="str">
        <f>IFERROR(IF($C62&lt;1,"",AG$3*일별반별!AJ62),0)</f>
        <v/>
      </c>
      <c r="AH62" s="395" t="str">
        <f>IFERROR(IF($C62&lt;1,"",AH$3*일별반별!AK62),0)</f>
        <v/>
      </c>
      <c r="AI62" s="395" t="str">
        <f>IFERROR(IF($C62&lt;1,"",AI$3*일별반별!AL62),0)</f>
        <v/>
      </c>
      <c r="AJ62" s="395" t="str">
        <f>IFERROR(IF($C62&lt;1,"",AJ$3*일별반별!AM62),0)</f>
        <v/>
      </c>
      <c r="AK62" s="395" t="str">
        <f>IFERROR(IF($C62&lt;1,"",AK$3*일별반별!AN62),0)</f>
        <v/>
      </c>
      <c r="AL62" s="395" t="str">
        <f>IFERROR(IF($C62&lt;1,"",AL$3*일별반별!AO62),0)</f>
        <v/>
      </c>
      <c r="AM62" s="395" t="str">
        <f>IFERROR(IF($C62&lt;1,"",AM$3*일별반별!AP62),0)</f>
        <v/>
      </c>
      <c r="AN62" s="395" t="str">
        <f>IFERROR(IF($C62&lt;1,"",AN$3*일별반별!AQ62),0)</f>
        <v/>
      </c>
      <c r="AO62" s="395" t="str">
        <f>IFERROR(IF($C62&lt;1,"",AO$3*일별반별!AR62),0)</f>
        <v/>
      </c>
      <c r="AP62" s="347" t="str">
        <f>IFERROR(IF($C62&lt;1,"",AP$3*일별반별!AS62),0)</f>
        <v/>
      </c>
      <c r="AQ62" s="347" t="str">
        <f>IFERROR(IF($C62&lt;1,"",AQ$3*일별반별!AT62),0)</f>
        <v/>
      </c>
      <c r="AR62" s="316" t="str">
        <f>IFERROR(IF($C62&lt;1,"",AR$3*일별반별!AU62),0)</f>
        <v/>
      </c>
      <c r="AS62" s="401" t="str">
        <f>IFERROR(IF($C62&lt;1,"",AS$3*일별반별!AV62),0)</f>
        <v/>
      </c>
      <c r="AT62" s="401" t="str">
        <f>IFERROR(IF($C62&lt;1,"",AT$3*일별반별!AW62),0)</f>
        <v/>
      </c>
      <c r="AU62" s="401" t="str">
        <f>IFERROR(IF($C62&lt;1,"",AU$3*일별반별!AX62),0)</f>
        <v/>
      </c>
      <c r="AV62" s="401" t="str">
        <f>IFERROR(IF($C62&lt;1,"",AV$3*일별반별!AY62),0)</f>
        <v/>
      </c>
      <c r="AW62" s="401" t="str">
        <f>IFERROR(IF($C62&lt;1,"",AW$3*일별반별!AZ62),0)</f>
        <v/>
      </c>
      <c r="AX62" s="401" t="str">
        <f>IFERROR(IF($C62&lt;1,"",AX$3*일별반별!BA62),0)</f>
        <v/>
      </c>
      <c r="AY62" s="401" t="str">
        <f>IFERROR(IF($C62&lt;1,"",AY$3*일별반별!BB62),0)</f>
        <v/>
      </c>
      <c r="AZ62" s="401" t="str">
        <f>IFERROR(IF($C62&lt;1,"",AZ$3*일별반별!BC62),0)</f>
        <v/>
      </c>
      <c r="BA62" s="401" t="str">
        <f>IFERROR(IF($C62&lt;1,"",BA$3*일별반별!BD62),0)</f>
        <v/>
      </c>
      <c r="BB62" s="402" t="str">
        <f>IFERROR(IF($C62&lt;1,"",BB$3*일별반별!BE62),0)</f>
        <v/>
      </c>
      <c r="BC62" s="402" t="str">
        <f>IFERROR(IF($C62&lt;1,"",BC$3*일별반별!BF62),0)</f>
        <v/>
      </c>
      <c r="BD62" s="402" t="str">
        <f>IFERROR(IF($C62&lt;1,"",BD$3*일별반별!BG62),0)</f>
        <v/>
      </c>
      <c r="BE62" s="402" t="str">
        <f>IFERROR(IF($C62&lt;1,"",BE$3*일별반별!BH62),0)</f>
        <v/>
      </c>
      <c r="BF62" s="402" t="str">
        <f>IFERROR(IF($C62&lt;1,"",BF$3*일별반별!BI62),0)</f>
        <v/>
      </c>
      <c r="BG62" s="402" t="str">
        <f>IFERROR(IF($C62&lt;1,"",BG$3*일별반별!BJ62),0)</f>
        <v/>
      </c>
      <c r="BH62" s="402" t="str">
        <f>IFERROR(IF($C62&lt;1,"",BH$3*일별반별!BK62),0)</f>
        <v/>
      </c>
      <c r="BI62" s="402" t="str">
        <f>IFERROR(IF($C62&lt;1,"",BI$3*일별반별!BL62),0)</f>
        <v/>
      </c>
      <c r="BJ62" s="402" t="str">
        <f>IFERROR(IF($C62&lt;1,"",BJ$3*일별반별!BM62),0)</f>
        <v/>
      </c>
      <c r="BK62" s="402" t="str">
        <f>IFERROR(IF($C62&lt;1,"",BK$3*일별반별!BN62),0)</f>
        <v/>
      </c>
      <c r="BL62" s="402" t="str">
        <f>IFERROR(IF($C62&lt;1,"",BL$3*일별반별!BH62),0)</f>
        <v/>
      </c>
      <c r="BM62" s="402" t="str">
        <f>IFERROR(IF($C62&lt;1,"",BM$3*일별반별!BP62),0)</f>
        <v/>
      </c>
      <c r="BN62" s="401" t="str">
        <f>IFERROR(IF($C62&lt;1,"",BN$3*일별반별!BQ62),0)</f>
        <v/>
      </c>
      <c r="BO62" s="401" t="str">
        <f>IFERROR(IF($C62&lt;1,"",BO$3*일별반별!BR62),0)</f>
        <v/>
      </c>
      <c r="BP62" s="401" t="str">
        <f>IFERROR(IF($C62&lt;1,"",BP$3*일별반별!BS62),0)</f>
        <v/>
      </c>
      <c r="BQ62" s="401" t="str">
        <f>IFERROR(IF($C62&lt;1,"",BQ$3*일별반별!BT62),0)</f>
        <v/>
      </c>
      <c r="BR62" s="417" t="str">
        <f>IFERROR(IF($C62&lt;1,"",BR$3*일별반별!BU62),0)</f>
        <v/>
      </c>
      <c r="BS62" s="417" t="str">
        <f>IFERROR(IF($C62&lt;1,"",BS$3*일별반별!BV62),0)</f>
        <v/>
      </c>
      <c r="BT62" s="417" t="str">
        <f>IFERROR(IF($C62&lt;1,"",BT$3*일별반별!BW62),0)</f>
        <v/>
      </c>
      <c r="BU62" s="316" t="str">
        <f>IFERROR(IF($C62&lt;1,"",BU$3*일별반별!BX62),0)</f>
        <v/>
      </c>
      <c r="BV62" s="316" t="str">
        <f>IFERROR(IF($C62&lt;1,"",BV$3*일별반별!BY62),0)</f>
        <v/>
      </c>
      <c r="BW62" s="316" t="str">
        <f>IFERROR(IF($C62&lt;1,"",BW$3*일별반별!BZ62),0)</f>
        <v/>
      </c>
      <c r="BX62" s="316" t="str">
        <f>IFERROR(IF($C62&lt;1,"",BX$3*일별반별!CA62),0)</f>
        <v/>
      </c>
      <c r="BY62" s="316" t="str">
        <f>IFERROR(IF($C62&lt;1,"",BY$3*일별반별!CB62),0)</f>
        <v/>
      </c>
      <c r="BZ62" s="316" t="str">
        <f>IFERROR(IF($C62&lt;1,"",BZ$3*일별반별!CC62),0)</f>
        <v/>
      </c>
      <c r="CA62" s="316" t="str">
        <f>IFERROR(IF($C62&lt;1,"",CA$3*일별반별!CD62),0)</f>
        <v/>
      </c>
      <c r="CB62" s="316" t="str">
        <f>IFERROR(IF($C62&lt;1,"",CB$3*일별반별!CE62),0)</f>
        <v/>
      </c>
      <c r="CC62" s="316" t="str">
        <f>IFERROR(IF($C62&lt;1,"",CC$3*일별반별!CF62),0)</f>
        <v/>
      </c>
      <c r="CD62" s="316" t="str">
        <f>IFERROR(IF($C62&lt;1,"",CD$3*일별반별!CG62),0)</f>
        <v/>
      </c>
      <c r="CE62" s="316" t="str">
        <f>IFERROR(IF($C62&lt;1,"",CE$3*일별반별!CH62),0)</f>
        <v/>
      </c>
      <c r="CF62" s="316" t="str">
        <f>IFERROR(IF($C62&lt;1,"",CF$3*일별반별!CI62),0)</f>
        <v/>
      </c>
      <c r="CG62" s="316" t="str">
        <f>IFERROR(IF($C62&lt;1,"",CG$3*일별반별!CJ62),0)</f>
        <v/>
      </c>
      <c r="CH62" s="316" t="str">
        <f>IFERROR(IF($C62&lt;1,"",CH$3*일별반별!CK62),0)</f>
        <v/>
      </c>
      <c r="CI62" s="316" t="str">
        <f>IFERROR(IF($C62&lt;1,"",CI$3*일별반별!CL62),0)</f>
        <v/>
      </c>
      <c r="CJ62" s="316" t="str">
        <f>IFERROR(IF($C62&lt;1,"",CJ$3*일별반별!CM62),0)</f>
        <v/>
      </c>
      <c r="CK62" s="316" t="str">
        <f>IFERROR(IF($C62&lt;1,"",CK$3*일별반별!CN62),0)</f>
        <v/>
      </c>
      <c r="CL62" s="316" t="str">
        <f>IFERROR(IF($C62&lt;1,"",CL$3*일별반별!CO62),0)</f>
        <v/>
      </c>
      <c r="CM62" s="316" t="str">
        <f>IFERROR(IF($C62&lt;1,"",CM$3*일별반별!CP62),0)</f>
        <v/>
      </c>
      <c r="CN62" s="316" t="str">
        <f>IFERROR(IF($C62&lt;1,"",CN$3*일별반별!CQ62),0)</f>
        <v/>
      </c>
      <c r="CO62" s="316" t="str">
        <f>IFERROR(IF($C62&lt;1,"",CO$3*일별반별!CR62),0)</f>
        <v/>
      </c>
      <c r="CP62" s="316" t="str">
        <f>IFERROR(IF($C62&lt;1,"",CP$3*일별반별!CS62),0)</f>
        <v/>
      </c>
      <c r="CQ62" s="316" t="str">
        <f>IFERROR(IF($C62&lt;1,"",CQ$3*일별반별!CT62),0)</f>
        <v/>
      </c>
      <c r="CR62" s="418" t="str">
        <f>IFERROR(IF($C62&lt;1,"",CR$3*일별반별!CU62),0)</f>
        <v/>
      </c>
      <c r="CS62" s="418" t="str">
        <f>IFERROR(IF($C62&lt;1,"",CS$3*일별반별!CV62),0)</f>
        <v/>
      </c>
      <c r="CT62" s="316" t="str">
        <f>IFERROR(IF($C62&lt;1,"",CT$3*일별반별!CW62),0)</f>
        <v/>
      </c>
      <c r="CU62" s="316" t="str">
        <f>IFERROR(IF($C62&lt;1,"",CU$3*일별반별!CX62),0)</f>
        <v/>
      </c>
      <c r="CV62" s="316" t="str">
        <f>IFERROR(IF($C62&lt;1,"",CV$3*일별반별!CY62),0)</f>
        <v/>
      </c>
      <c r="CW62" s="316" t="str">
        <f>IFERROR(IF($C62&lt;1,"",CW$3*일별반별!CZ62),0)</f>
        <v/>
      </c>
      <c r="CX62" s="316" t="str">
        <f>IFERROR(IF($C62&lt;1,"",CX$3*일별반별!DA62),0)</f>
        <v/>
      </c>
      <c r="CY62" s="316" t="str">
        <f>IF(C62&lt;1,"",(CY$3*'09월 조업일지'!AV$7))</f>
        <v/>
      </c>
      <c r="CZ62" s="316" t="str">
        <f t="shared" si="3"/>
        <v/>
      </c>
      <c r="DA62" s="316" t="str">
        <f t="shared" si="3"/>
        <v/>
      </c>
      <c r="DB62" s="316" t="str">
        <f t="shared" si="3"/>
        <v/>
      </c>
      <c r="DC62" s="316"/>
      <c r="DD62" s="419"/>
    </row>
    <row r="63" spans="1:108" ht="15" customHeight="1">
      <c r="A63" s="274">
        <f t="shared" si="2"/>
        <v>44024</v>
      </c>
      <c r="B63" s="275" t="s">
        <v>100</v>
      </c>
      <c r="C63" s="201">
        <f>COUNTIFS('09월 조업일지'!$A$12:$A$952,A61,'09월 조업일지'!$E$12:$E$952,B63)</f>
        <v>0</v>
      </c>
      <c r="D63" s="314">
        <f>IF(C63&lt;1,0,(SUM(E63:CX63)/(일별반별!BV63-1.5)+(CY63+CZ63+DA63+DB63)))</f>
        <v>0</v>
      </c>
      <c r="E63" s="278"/>
      <c r="F63" s="281"/>
      <c r="G63" s="282"/>
      <c r="H63" s="283"/>
      <c r="I63" s="283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326"/>
      <c r="U63" s="395" t="str">
        <f>IFERROR(IF($C63&lt;1,"",U$3*일별반별!X63),0)</f>
        <v/>
      </c>
      <c r="V63" s="395" t="str">
        <f>IFERROR(IF($C63&lt;1,"",V$3*일별반별!Y63),0)</f>
        <v/>
      </c>
      <c r="W63" s="395" t="str">
        <f>IFERROR(IF($C63&lt;1,"",W$3*일별반별!Z63),0)</f>
        <v/>
      </c>
      <c r="X63" s="208" t="str">
        <f>IFERROR(IF($C63&lt;1,"",X$3*일별반별!AA63),0)</f>
        <v/>
      </c>
      <c r="Y63" s="208" t="str">
        <f>IFERROR(IF($C63&lt;1,"",Y$3*일별반별!AB63),0)</f>
        <v/>
      </c>
      <c r="Z63" s="208" t="str">
        <f>IFERROR(IF($C63&lt;1,"",Z$3*일별반별!AC63),0)</f>
        <v/>
      </c>
      <c r="AA63" s="395" t="str">
        <f>IFERROR(IF($C63&lt;1,"",AA$3*일별반별!AD63),0)</f>
        <v/>
      </c>
      <c r="AB63" s="395" t="str">
        <f>IFERROR(IF($C63&lt;1,"",AB$3*일별반별!AE63),0)</f>
        <v/>
      </c>
      <c r="AC63" s="208" t="str">
        <f>IFERROR(IF($C63&lt;1,"",AC$3*일별반별!AF63),0)</f>
        <v/>
      </c>
      <c r="AD63" s="208" t="str">
        <f>IFERROR(IF($C63&lt;1,"",AD$3*일별반별!AG63),0)</f>
        <v/>
      </c>
      <c r="AE63" s="208" t="str">
        <f>IFERROR(IF($C63&lt;1,"",AE$3*일별반별!AH63),0)</f>
        <v/>
      </c>
      <c r="AF63" s="395" t="str">
        <f>IFERROR(IF($C63&lt;1,"",AF$3*일별반별!AI63),0)</f>
        <v/>
      </c>
      <c r="AG63" s="395" t="str">
        <f>IFERROR(IF($C63&lt;1,"",AG$3*일별반별!AJ63),0)</f>
        <v/>
      </c>
      <c r="AH63" s="395" t="str">
        <f>IFERROR(IF($C63&lt;1,"",AH$3*일별반별!AK63),0)</f>
        <v/>
      </c>
      <c r="AI63" s="395" t="str">
        <f>IFERROR(IF($C63&lt;1,"",AI$3*일별반별!AL63),0)</f>
        <v/>
      </c>
      <c r="AJ63" s="395" t="str">
        <f>IFERROR(IF($C63&lt;1,"",AJ$3*일별반별!AM63),0)</f>
        <v/>
      </c>
      <c r="AK63" s="395" t="str">
        <f>IFERROR(IF($C63&lt;1,"",AK$3*일별반별!AN63),0)</f>
        <v/>
      </c>
      <c r="AL63" s="395" t="str">
        <f>IFERROR(IF($C63&lt;1,"",AL$3*일별반별!AO63),0)</f>
        <v/>
      </c>
      <c r="AM63" s="395" t="str">
        <f>IFERROR(IF($C63&lt;1,"",AM$3*일별반별!AP63),0)</f>
        <v/>
      </c>
      <c r="AN63" s="395" t="str">
        <f>IFERROR(IF($C63&lt;1,"",AN$3*일별반별!AQ63),0)</f>
        <v/>
      </c>
      <c r="AO63" s="395" t="str">
        <f>IFERROR(IF($C63&lt;1,"",AO$3*일별반별!AR63),0)</f>
        <v/>
      </c>
      <c r="AP63" s="347" t="str">
        <f>IFERROR(IF($C63&lt;1,"",AP$3*일별반별!AS63),0)</f>
        <v/>
      </c>
      <c r="AQ63" s="347" t="str">
        <f>IFERROR(IF($C63&lt;1,"",AQ$3*일별반별!AT63),0)</f>
        <v/>
      </c>
      <c r="AR63" s="316" t="str">
        <f>IFERROR(IF($C63&lt;1,"",AR$3*일별반별!AU63),0)</f>
        <v/>
      </c>
      <c r="AS63" s="401" t="str">
        <f>IFERROR(IF($C63&lt;1,"",AS$3*일별반별!AV63),0)</f>
        <v/>
      </c>
      <c r="AT63" s="401" t="str">
        <f>IFERROR(IF($C63&lt;1,"",AT$3*일별반별!AW63),0)</f>
        <v/>
      </c>
      <c r="AU63" s="401" t="str">
        <f>IFERROR(IF($C63&lt;1,"",AU$3*일별반별!AX63),0)</f>
        <v/>
      </c>
      <c r="AV63" s="401" t="str">
        <f>IFERROR(IF($C63&lt;1,"",AV$3*일별반별!AY63),0)</f>
        <v/>
      </c>
      <c r="AW63" s="401" t="str">
        <f>IFERROR(IF($C63&lt;1,"",AW$3*일별반별!AZ63),0)</f>
        <v/>
      </c>
      <c r="AX63" s="401" t="str">
        <f>IFERROR(IF($C63&lt;1,"",AX$3*일별반별!BA63),0)</f>
        <v/>
      </c>
      <c r="AY63" s="401" t="str">
        <f>IFERROR(IF($C63&lt;1,"",AY$3*일별반별!BB63),0)</f>
        <v/>
      </c>
      <c r="AZ63" s="401" t="str">
        <f>IFERROR(IF($C63&lt;1,"",AZ$3*일별반별!BC63),0)</f>
        <v/>
      </c>
      <c r="BA63" s="401" t="str">
        <f>IFERROR(IF($C63&lt;1,"",BA$3*일별반별!BD63),0)</f>
        <v/>
      </c>
      <c r="BB63" s="402" t="str">
        <f>IFERROR(IF($C63&lt;1,"",BB$3*일별반별!BE63),0)</f>
        <v/>
      </c>
      <c r="BC63" s="402" t="str">
        <f>IFERROR(IF($C63&lt;1,"",BC$3*일별반별!BF63),0)</f>
        <v/>
      </c>
      <c r="BD63" s="402" t="str">
        <f>IFERROR(IF($C63&lt;1,"",BD$3*일별반별!BG63),0)</f>
        <v/>
      </c>
      <c r="BE63" s="402" t="str">
        <f>IFERROR(IF($C63&lt;1,"",BE$3*일별반별!BH63),0)</f>
        <v/>
      </c>
      <c r="BF63" s="402" t="str">
        <f>IFERROR(IF($C63&lt;1,"",BF$3*일별반별!BI63),0)</f>
        <v/>
      </c>
      <c r="BG63" s="402" t="str">
        <f>IFERROR(IF($C63&lt;1,"",BG$3*일별반별!BJ63),0)</f>
        <v/>
      </c>
      <c r="BH63" s="402" t="str">
        <f>IFERROR(IF($C63&lt;1,"",BH$3*일별반별!BK63),0)</f>
        <v/>
      </c>
      <c r="BI63" s="402" t="str">
        <f>IFERROR(IF($C63&lt;1,"",BI$3*일별반별!BL63),0)</f>
        <v/>
      </c>
      <c r="BJ63" s="402" t="str">
        <f>IFERROR(IF($C63&lt;1,"",BJ$3*일별반별!BM63),0)</f>
        <v/>
      </c>
      <c r="BK63" s="402" t="str">
        <f>IFERROR(IF($C63&lt;1,"",BK$3*일별반별!BN63),0)</f>
        <v/>
      </c>
      <c r="BL63" s="402" t="str">
        <f>IFERROR(IF($C63&lt;1,"",BL$3*일별반별!BH63),0)</f>
        <v/>
      </c>
      <c r="BM63" s="402" t="str">
        <f>IFERROR(IF($C63&lt;1,"",BM$3*일별반별!BP63),0)</f>
        <v/>
      </c>
      <c r="BN63" s="401" t="str">
        <f>IFERROR(IF($C63&lt;1,"",BN$3*일별반별!BQ63),0)</f>
        <v/>
      </c>
      <c r="BO63" s="401" t="str">
        <f>IFERROR(IF($C63&lt;1,"",BO$3*일별반별!BR63),0)</f>
        <v/>
      </c>
      <c r="BP63" s="401" t="str">
        <f>IFERROR(IF($C63&lt;1,"",BP$3*일별반별!BS63),0)</f>
        <v/>
      </c>
      <c r="BQ63" s="401" t="str">
        <f>IFERROR(IF($C63&lt;1,"",BQ$3*일별반별!BT63),0)</f>
        <v/>
      </c>
      <c r="BR63" s="417" t="str">
        <f>IFERROR(IF($C63&lt;1,"",BR$3*일별반별!BU63),0)</f>
        <v/>
      </c>
      <c r="BS63" s="417" t="str">
        <f>IFERROR(IF($C63&lt;1,"",BS$3*일별반별!BV63),0)</f>
        <v/>
      </c>
      <c r="BT63" s="417" t="str">
        <f>IFERROR(IF($C63&lt;1,"",BT$3*일별반별!BW63),0)</f>
        <v/>
      </c>
      <c r="BU63" s="316" t="str">
        <f>IFERROR(IF($C63&lt;1,"",BU$3*일별반별!BX63),0)</f>
        <v/>
      </c>
      <c r="BV63" s="316" t="str">
        <f>IFERROR(IF($C63&lt;1,"",BV$3*일별반별!BY63),0)</f>
        <v/>
      </c>
      <c r="BW63" s="316" t="str">
        <f>IFERROR(IF($C63&lt;1,"",BW$3*일별반별!BZ63),0)</f>
        <v/>
      </c>
      <c r="BX63" s="316" t="str">
        <f>IFERROR(IF($C63&lt;1,"",BX$3*일별반별!CA63),0)</f>
        <v/>
      </c>
      <c r="BY63" s="316" t="str">
        <f>IFERROR(IF($C63&lt;1,"",BY$3*일별반별!CB63),0)</f>
        <v/>
      </c>
      <c r="BZ63" s="316" t="str">
        <f>IFERROR(IF($C63&lt;1,"",BZ$3*일별반별!CC63),0)</f>
        <v/>
      </c>
      <c r="CA63" s="316" t="str">
        <f>IFERROR(IF($C63&lt;1,"",CA$3*일별반별!CD63),0)</f>
        <v/>
      </c>
      <c r="CB63" s="316" t="str">
        <f>IFERROR(IF($C63&lt;1,"",CB$3*일별반별!CE63),0)</f>
        <v/>
      </c>
      <c r="CC63" s="316" t="str">
        <f>IFERROR(IF($C63&lt;1,"",CC$3*일별반별!CF63),0)</f>
        <v/>
      </c>
      <c r="CD63" s="316" t="str">
        <f>IFERROR(IF($C63&lt;1,"",CD$3*일별반별!CG63),0)</f>
        <v/>
      </c>
      <c r="CE63" s="316" t="str">
        <f>IFERROR(IF($C63&lt;1,"",CE$3*일별반별!CH63),0)</f>
        <v/>
      </c>
      <c r="CF63" s="316" t="str">
        <f>IFERROR(IF($C63&lt;1,"",CF$3*일별반별!CI63),0)</f>
        <v/>
      </c>
      <c r="CG63" s="316" t="str">
        <f>IFERROR(IF($C63&lt;1,"",CG$3*일별반별!CJ63),0)</f>
        <v/>
      </c>
      <c r="CH63" s="316" t="str">
        <f>IFERROR(IF($C63&lt;1,"",CH$3*일별반별!CK63),0)</f>
        <v/>
      </c>
      <c r="CI63" s="316" t="str">
        <f>IFERROR(IF($C63&lt;1,"",CI$3*일별반별!CL63),0)</f>
        <v/>
      </c>
      <c r="CJ63" s="316" t="str">
        <f>IFERROR(IF($C63&lt;1,"",CJ$3*일별반별!CM63),0)</f>
        <v/>
      </c>
      <c r="CK63" s="316" t="str">
        <f>IFERROR(IF($C63&lt;1,"",CK$3*일별반별!CN63),0)</f>
        <v/>
      </c>
      <c r="CL63" s="316" t="str">
        <f>IFERROR(IF($C63&lt;1,"",CL$3*일별반별!CO63),0)</f>
        <v/>
      </c>
      <c r="CM63" s="316" t="str">
        <f>IFERROR(IF($C63&lt;1,"",CM$3*일별반별!CP63),0)</f>
        <v/>
      </c>
      <c r="CN63" s="316" t="str">
        <f>IFERROR(IF($C63&lt;1,"",CN$3*일별반별!CQ63),0)</f>
        <v/>
      </c>
      <c r="CO63" s="316" t="str">
        <f>IFERROR(IF($C63&lt;1,"",CO$3*일별반별!CR63),0)</f>
        <v/>
      </c>
      <c r="CP63" s="316" t="str">
        <f>IFERROR(IF($C63&lt;1,"",CP$3*일별반별!CS63),0)</f>
        <v/>
      </c>
      <c r="CQ63" s="316" t="str">
        <f>IFERROR(IF($C63&lt;1,"",CQ$3*일별반별!CT63),0)</f>
        <v/>
      </c>
      <c r="CR63" s="418" t="str">
        <f>IFERROR(IF($C63&lt;1,"",CR$3*일별반별!CU63),0)</f>
        <v/>
      </c>
      <c r="CS63" s="418" t="str">
        <f>IFERROR(IF($C63&lt;1,"",CS$3*일별반별!CV63),0)</f>
        <v/>
      </c>
      <c r="CT63" s="316" t="str">
        <f>IFERROR(IF($C63&lt;1,"",CT$3*일별반별!CW63),0)</f>
        <v/>
      </c>
      <c r="CU63" s="316" t="str">
        <f>IFERROR(IF($C63&lt;1,"",CU$3*일별반별!CX63),0)</f>
        <v/>
      </c>
      <c r="CV63" s="316" t="str">
        <f>IFERROR(IF($C63&lt;1,"",CV$3*일별반별!CY63),0)</f>
        <v/>
      </c>
      <c r="CW63" s="316" t="str">
        <f>IFERROR(IF($C63&lt;1,"",CW$3*일별반별!CZ63),0)</f>
        <v/>
      </c>
      <c r="CX63" s="316" t="str">
        <f>IFERROR(IF($C63&lt;1,"",CX$3*일별반별!DA63),0)</f>
        <v/>
      </c>
      <c r="CY63" s="316" t="str">
        <f>IF(C63&lt;1,"",(CY$3*'09월 조업일지'!AV$7))</f>
        <v/>
      </c>
      <c r="CZ63" s="316" t="str">
        <f t="shared" si="3"/>
        <v/>
      </c>
      <c r="DA63" s="316" t="str">
        <f t="shared" si="3"/>
        <v/>
      </c>
      <c r="DB63" s="316" t="str">
        <f t="shared" si="3"/>
        <v/>
      </c>
      <c r="DC63" s="316"/>
      <c r="DD63" s="419"/>
    </row>
    <row r="64" spans="1:108" ht="15" customHeight="1">
      <c r="A64" s="274">
        <f t="shared" si="2"/>
        <v>44024</v>
      </c>
      <c r="B64" s="275" t="s">
        <v>10</v>
      </c>
      <c r="C64" s="201">
        <f>COUNTIFS('09월 조업일지'!$A$12:$A$952,A61,'09월 조업일지'!$E$12:$E$952,B64)</f>
        <v>0</v>
      </c>
      <c r="D64" s="314">
        <f>IF(C64&lt;1,0,(SUM(E64:CX64)/(일별반별!BV64-1.5)+(CY64+CZ64+DA64+DB64)))</f>
        <v>0</v>
      </c>
      <c r="E64" s="278"/>
      <c r="F64" s="281"/>
      <c r="G64" s="282"/>
      <c r="H64" s="283"/>
      <c r="I64" s="283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326"/>
      <c r="U64" s="395" t="str">
        <f>IFERROR(IF($C64&lt;1,"",U$3*일별반별!X64),0)</f>
        <v/>
      </c>
      <c r="V64" s="395" t="str">
        <f>IFERROR(IF($C64&lt;1,"",V$3*일별반별!Y64),0)</f>
        <v/>
      </c>
      <c r="W64" s="395" t="str">
        <f>IFERROR(IF($C64&lt;1,"",W$3*일별반별!Z64),0)</f>
        <v/>
      </c>
      <c r="X64" s="208" t="str">
        <f>IFERROR(IF($C64&lt;1,"",X$3*일별반별!AA64),0)</f>
        <v/>
      </c>
      <c r="Y64" s="208" t="str">
        <f>IFERROR(IF($C64&lt;1,"",Y$3*일별반별!AB64),0)</f>
        <v/>
      </c>
      <c r="Z64" s="208" t="str">
        <f>IFERROR(IF($C64&lt;1,"",Z$3*일별반별!AC64),0)</f>
        <v/>
      </c>
      <c r="AA64" s="395" t="str">
        <f>IFERROR(IF($C64&lt;1,"",AA$3*일별반별!AD64),0)</f>
        <v/>
      </c>
      <c r="AB64" s="395" t="str">
        <f>IFERROR(IF($C64&lt;1,"",AB$3*일별반별!AE64),0)</f>
        <v/>
      </c>
      <c r="AC64" s="208" t="str">
        <f>IFERROR(IF($C64&lt;1,"",AC$3*일별반별!AF64),0)</f>
        <v/>
      </c>
      <c r="AD64" s="208" t="str">
        <f>IFERROR(IF($C64&lt;1,"",AD$3*일별반별!AG64),0)</f>
        <v/>
      </c>
      <c r="AE64" s="208" t="str">
        <f>IFERROR(IF($C64&lt;1,"",AE$3*일별반별!AH64),0)</f>
        <v/>
      </c>
      <c r="AF64" s="395" t="str">
        <f>IFERROR(IF($C64&lt;1,"",AF$3*일별반별!AI64),0)</f>
        <v/>
      </c>
      <c r="AG64" s="395" t="str">
        <f>IFERROR(IF($C64&lt;1,"",AG$3*일별반별!AJ64),0)</f>
        <v/>
      </c>
      <c r="AH64" s="395" t="str">
        <f>IFERROR(IF($C64&lt;1,"",AH$3*일별반별!AK64),0)</f>
        <v/>
      </c>
      <c r="AI64" s="395" t="str">
        <f>IFERROR(IF($C64&lt;1,"",AI$3*일별반별!AL64),0)</f>
        <v/>
      </c>
      <c r="AJ64" s="395" t="str">
        <f>IFERROR(IF($C64&lt;1,"",AJ$3*일별반별!AM64),0)</f>
        <v/>
      </c>
      <c r="AK64" s="395" t="str">
        <f>IFERROR(IF($C64&lt;1,"",AK$3*일별반별!AN64),0)</f>
        <v/>
      </c>
      <c r="AL64" s="395" t="str">
        <f>IFERROR(IF($C64&lt;1,"",AL$3*일별반별!AO64),0)</f>
        <v/>
      </c>
      <c r="AM64" s="395" t="str">
        <f>IFERROR(IF($C64&lt;1,"",AM$3*일별반별!AP64),0)</f>
        <v/>
      </c>
      <c r="AN64" s="395" t="str">
        <f>IFERROR(IF($C64&lt;1,"",AN$3*일별반별!AQ64),0)</f>
        <v/>
      </c>
      <c r="AO64" s="395" t="str">
        <f>IFERROR(IF($C64&lt;1,"",AO$3*일별반별!AR64),0)</f>
        <v/>
      </c>
      <c r="AP64" s="347" t="str">
        <f>IFERROR(IF($C64&lt;1,"",AP$3*일별반별!AS64),0)</f>
        <v/>
      </c>
      <c r="AQ64" s="347" t="str">
        <f>IFERROR(IF($C64&lt;1,"",AQ$3*일별반별!AT64),0)</f>
        <v/>
      </c>
      <c r="AR64" s="316" t="str">
        <f>IFERROR(IF($C64&lt;1,"",AR$3*일별반별!AU64),0)</f>
        <v/>
      </c>
      <c r="AS64" s="401" t="str">
        <f>IFERROR(IF($C64&lt;1,"",AS$3*일별반별!AV64),0)</f>
        <v/>
      </c>
      <c r="AT64" s="401" t="str">
        <f>IFERROR(IF($C64&lt;1,"",AT$3*일별반별!AW64),0)</f>
        <v/>
      </c>
      <c r="AU64" s="401" t="str">
        <f>IFERROR(IF($C64&lt;1,"",AU$3*일별반별!AX64),0)</f>
        <v/>
      </c>
      <c r="AV64" s="401" t="str">
        <f>IFERROR(IF($C64&lt;1,"",AV$3*일별반별!AY64),0)</f>
        <v/>
      </c>
      <c r="AW64" s="401" t="str">
        <f>IFERROR(IF($C64&lt;1,"",AW$3*일별반별!AZ64),0)</f>
        <v/>
      </c>
      <c r="AX64" s="401" t="str">
        <f>IFERROR(IF($C64&lt;1,"",AX$3*일별반별!BA64),0)</f>
        <v/>
      </c>
      <c r="AY64" s="401" t="str">
        <f>IFERROR(IF($C64&lt;1,"",AY$3*일별반별!BB64),0)</f>
        <v/>
      </c>
      <c r="AZ64" s="401" t="str">
        <f>IFERROR(IF($C64&lt;1,"",AZ$3*일별반별!BC64),0)</f>
        <v/>
      </c>
      <c r="BA64" s="401" t="str">
        <f>IFERROR(IF($C64&lt;1,"",BA$3*일별반별!BD64),0)</f>
        <v/>
      </c>
      <c r="BB64" s="402" t="str">
        <f>IFERROR(IF($C64&lt;1,"",BB$3*일별반별!BE64),0)</f>
        <v/>
      </c>
      <c r="BC64" s="402" t="str">
        <f>IFERROR(IF($C64&lt;1,"",BC$3*일별반별!BF64),0)</f>
        <v/>
      </c>
      <c r="BD64" s="402" t="str">
        <f>IFERROR(IF($C64&lt;1,"",BD$3*일별반별!BG64),0)</f>
        <v/>
      </c>
      <c r="BE64" s="402" t="str">
        <f>IFERROR(IF($C64&lt;1,"",BE$3*일별반별!BH64),0)</f>
        <v/>
      </c>
      <c r="BF64" s="402" t="str">
        <f>IFERROR(IF($C64&lt;1,"",BF$3*일별반별!BI64),0)</f>
        <v/>
      </c>
      <c r="BG64" s="402" t="str">
        <f>IFERROR(IF($C64&lt;1,"",BG$3*일별반별!BJ64),0)</f>
        <v/>
      </c>
      <c r="BH64" s="402" t="str">
        <f>IFERROR(IF($C64&lt;1,"",BH$3*일별반별!BK64),0)</f>
        <v/>
      </c>
      <c r="BI64" s="402" t="str">
        <f>IFERROR(IF($C64&lt;1,"",BI$3*일별반별!BL64),0)</f>
        <v/>
      </c>
      <c r="BJ64" s="402" t="str">
        <f>IFERROR(IF($C64&lt;1,"",BJ$3*일별반별!BM64),0)</f>
        <v/>
      </c>
      <c r="BK64" s="402" t="str">
        <f>IFERROR(IF($C64&lt;1,"",BK$3*일별반별!BN64),0)</f>
        <v/>
      </c>
      <c r="BL64" s="402" t="str">
        <f>IFERROR(IF($C64&lt;1,"",BL$3*일별반별!BH64),0)</f>
        <v/>
      </c>
      <c r="BM64" s="402" t="str">
        <f>IFERROR(IF($C64&lt;1,"",BM$3*일별반별!BP64),0)</f>
        <v/>
      </c>
      <c r="BN64" s="401" t="str">
        <f>IFERROR(IF($C64&lt;1,"",BN$3*일별반별!BQ64),0)</f>
        <v/>
      </c>
      <c r="BO64" s="401" t="str">
        <f>IFERROR(IF($C64&lt;1,"",BO$3*일별반별!BR64),0)</f>
        <v/>
      </c>
      <c r="BP64" s="401" t="str">
        <f>IFERROR(IF($C64&lt;1,"",BP$3*일별반별!BS64),0)</f>
        <v/>
      </c>
      <c r="BQ64" s="401" t="str">
        <f>IFERROR(IF($C64&lt;1,"",BQ$3*일별반별!BT64),0)</f>
        <v/>
      </c>
      <c r="BR64" s="417" t="str">
        <f>IFERROR(IF($C64&lt;1,"",BR$3*일별반별!BU64),0)</f>
        <v/>
      </c>
      <c r="BS64" s="417" t="str">
        <f>IFERROR(IF($C64&lt;1,"",BS$3*일별반별!BV64),0)</f>
        <v/>
      </c>
      <c r="BT64" s="417" t="str">
        <f>IFERROR(IF($C64&lt;1,"",BT$3*일별반별!BW64),0)</f>
        <v/>
      </c>
      <c r="BU64" s="316" t="str">
        <f>IFERROR(IF($C64&lt;1,"",BU$3*일별반별!BX64),0)</f>
        <v/>
      </c>
      <c r="BV64" s="316" t="str">
        <f>IFERROR(IF($C64&lt;1,"",BV$3*일별반별!BY64),0)</f>
        <v/>
      </c>
      <c r="BW64" s="316" t="str">
        <f>IFERROR(IF($C64&lt;1,"",BW$3*일별반별!BZ64),0)</f>
        <v/>
      </c>
      <c r="BX64" s="316" t="str">
        <f>IFERROR(IF($C64&lt;1,"",BX$3*일별반별!CA64),0)</f>
        <v/>
      </c>
      <c r="BY64" s="316" t="str">
        <f>IFERROR(IF($C64&lt;1,"",BY$3*일별반별!CB64),0)</f>
        <v/>
      </c>
      <c r="BZ64" s="316" t="str">
        <f>IFERROR(IF($C64&lt;1,"",BZ$3*일별반별!CC64),0)</f>
        <v/>
      </c>
      <c r="CA64" s="316" t="str">
        <f>IFERROR(IF($C64&lt;1,"",CA$3*일별반별!CD64),0)</f>
        <v/>
      </c>
      <c r="CB64" s="316" t="str">
        <f>IFERROR(IF($C64&lt;1,"",CB$3*일별반별!CE64),0)</f>
        <v/>
      </c>
      <c r="CC64" s="316" t="str">
        <f>IFERROR(IF($C64&lt;1,"",CC$3*일별반별!CF64),0)</f>
        <v/>
      </c>
      <c r="CD64" s="316" t="str">
        <f>IFERROR(IF($C64&lt;1,"",CD$3*일별반별!CG64),0)</f>
        <v/>
      </c>
      <c r="CE64" s="316" t="str">
        <f>IFERROR(IF($C64&lt;1,"",CE$3*일별반별!CH64),0)</f>
        <v/>
      </c>
      <c r="CF64" s="316" t="str">
        <f>IFERROR(IF($C64&lt;1,"",CF$3*일별반별!CI64),0)</f>
        <v/>
      </c>
      <c r="CG64" s="316" t="str">
        <f>IFERROR(IF($C64&lt;1,"",CG$3*일별반별!CJ64),0)</f>
        <v/>
      </c>
      <c r="CH64" s="316" t="str">
        <f>IFERROR(IF($C64&lt;1,"",CH$3*일별반별!CK64),0)</f>
        <v/>
      </c>
      <c r="CI64" s="316" t="str">
        <f>IFERROR(IF($C64&lt;1,"",CI$3*일별반별!CL64),0)</f>
        <v/>
      </c>
      <c r="CJ64" s="316" t="str">
        <f>IFERROR(IF($C64&lt;1,"",CJ$3*일별반별!CM64),0)</f>
        <v/>
      </c>
      <c r="CK64" s="316" t="str">
        <f>IFERROR(IF($C64&lt;1,"",CK$3*일별반별!CN64),0)</f>
        <v/>
      </c>
      <c r="CL64" s="316" t="str">
        <f>IFERROR(IF($C64&lt;1,"",CL$3*일별반별!CO64),0)</f>
        <v/>
      </c>
      <c r="CM64" s="316" t="str">
        <f>IFERROR(IF($C64&lt;1,"",CM$3*일별반별!CP64),0)</f>
        <v/>
      </c>
      <c r="CN64" s="316" t="str">
        <f>IFERROR(IF($C64&lt;1,"",CN$3*일별반별!CQ64),0)</f>
        <v/>
      </c>
      <c r="CO64" s="316" t="str">
        <f>IFERROR(IF($C64&lt;1,"",CO$3*일별반별!CR64),0)</f>
        <v/>
      </c>
      <c r="CP64" s="316" t="str">
        <f>IFERROR(IF($C64&lt;1,"",CP$3*일별반별!CS64),0)</f>
        <v/>
      </c>
      <c r="CQ64" s="316" t="str">
        <f>IFERROR(IF($C64&lt;1,"",CQ$3*일별반별!CT64),0)</f>
        <v/>
      </c>
      <c r="CR64" s="418" t="str">
        <f>IFERROR(IF($C64&lt;1,"",CR$3*일별반별!CU64),0)</f>
        <v/>
      </c>
      <c r="CS64" s="418" t="str">
        <f>IFERROR(IF($C64&lt;1,"",CS$3*일별반별!CV64),0)</f>
        <v/>
      </c>
      <c r="CT64" s="316" t="str">
        <f>IFERROR(IF($C64&lt;1,"",CT$3*일별반별!CW64),0)</f>
        <v/>
      </c>
      <c r="CU64" s="316" t="str">
        <f>IFERROR(IF($C64&lt;1,"",CU$3*일별반별!CX64),0)</f>
        <v/>
      </c>
      <c r="CV64" s="316" t="str">
        <f>IFERROR(IF($C64&lt;1,"",CV$3*일별반별!CY64),0)</f>
        <v/>
      </c>
      <c r="CW64" s="316" t="str">
        <f>IFERROR(IF($C64&lt;1,"",CW$3*일별반별!CZ64),0)</f>
        <v/>
      </c>
      <c r="CX64" s="316" t="str">
        <f>IFERROR(IF($C64&lt;1,"",CX$3*일별반별!DA64),0)</f>
        <v/>
      </c>
      <c r="CY64" s="316" t="str">
        <f>IF(C64&lt;1,"",(CY$3*'09월 조업일지'!AV$7))</f>
        <v/>
      </c>
      <c r="CZ64" s="316" t="str">
        <f t="shared" si="3"/>
        <v/>
      </c>
      <c r="DA64" s="316" t="str">
        <f t="shared" si="3"/>
        <v/>
      </c>
      <c r="DB64" s="316" t="str">
        <f t="shared" si="3"/>
        <v/>
      </c>
      <c r="DC64" s="316"/>
      <c r="DD64" s="419"/>
    </row>
    <row r="65" spans="1:108" ht="15" customHeight="1">
      <c r="A65" s="274">
        <f t="shared" si="2"/>
        <v>44024</v>
      </c>
      <c r="B65" s="275" t="s">
        <v>94</v>
      </c>
      <c r="C65" s="201">
        <f>COUNTIFS('09월 조업일지'!$A$12:$A$952,A61,'09월 조업일지'!$E$12:$E$952,B65)</f>
        <v>0</v>
      </c>
      <c r="D65" s="314">
        <f>IF(C65&lt;1,0,(SUM(E65:CX65)/(일별반별!BV65-1.5)+(CY65+CZ65+DA65+DB65)))</f>
        <v>0</v>
      </c>
      <c r="E65" s="278"/>
      <c r="F65" s="281"/>
      <c r="G65" s="282"/>
      <c r="H65" s="283"/>
      <c r="I65" s="283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326"/>
      <c r="U65" s="395" t="str">
        <f>IFERROR(IF($C65&lt;1,"",U$3*일별반별!X65),0)</f>
        <v/>
      </c>
      <c r="V65" s="395" t="str">
        <f>IFERROR(IF($C65&lt;1,"",V$3*일별반별!Y65),0)</f>
        <v/>
      </c>
      <c r="W65" s="395" t="str">
        <f>IFERROR(IF($C65&lt;1,"",W$3*일별반별!Z65),0)</f>
        <v/>
      </c>
      <c r="X65" s="208" t="str">
        <f>IFERROR(IF($C65&lt;1,"",X$3*일별반별!AA65),0)</f>
        <v/>
      </c>
      <c r="Y65" s="208" t="str">
        <f>IFERROR(IF($C65&lt;1,"",Y$3*일별반별!AB65),0)</f>
        <v/>
      </c>
      <c r="Z65" s="208" t="str">
        <f>IFERROR(IF($C65&lt;1,"",Z$3*일별반별!AC65),0)</f>
        <v/>
      </c>
      <c r="AA65" s="395" t="str">
        <f>IFERROR(IF($C65&lt;1,"",AA$3*일별반별!AD65),0)</f>
        <v/>
      </c>
      <c r="AB65" s="395" t="str">
        <f>IFERROR(IF($C65&lt;1,"",AB$3*일별반별!AE65),0)</f>
        <v/>
      </c>
      <c r="AC65" s="208" t="str">
        <f>IFERROR(IF($C65&lt;1,"",AC$3*일별반별!AF65),0)</f>
        <v/>
      </c>
      <c r="AD65" s="208" t="str">
        <f>IFERROR(IF($C65&lt;1,"",AD$3*일별반별!AG65),0)</f>
        <v/>
      </c>
      <c r="AE65" s="208" t="str">
        <f>IFERROR(IF($C65&lt;1,"",AE$3*일별반별!AH65),0)</f>
        <v/>
      </c>
      <c r="AF65" s="395" t="str">
        <f>IFERROR(IF($C65&lt;1,"",AF$3*일별반별!AI65),0)</f>
        <v/>
      </c>
      <c r="AG65" s="395" t="str">
        <f>IFERROR(IF($C65&lt;1,"",AG$3*일별반별!AJ65),0)</f>
        <v/>
      </c>
      <c r="AH65" s="395" t="str">
        <f>IFERROR(IF($C65&lt;1,"",AH$3*일별반별!AK65),0)</f>
        <v/>
      </c>
      <c r="AI65" s="395" t="str">
        <f>IFERROR(IF($C65&lt;1,"",AI$3*일별반별!AL65),0)</f>
        <v/>
      </c>
      <c r="AJ65" s="395" t="str">
        <f>IFERROR(IF($C65&lt;1,"",AJ$3*일별반별!AM65),0)</f>
        <v/>
      </c>
      <c r="AK65" s="395" t="str">
        <f>IFERROR(IF($C65&lt;1,"",AK$3*일별반별!AN65),0)</f>
        <v/>
      </c>
      <c r="AL65" s="395" t="str">
        <f>IFERROR(IF($C65&lt;1,"",AL$3*일별반별!AO65),0)</f>
        <v/>
      </c>
      <c r="AM65" s="395" t="str">
        <f>IFERROR(IF($C65&lt;1,"",AM$3*일별반별!AP65),0)</f>
        <v/>
      </c>
      <c r="AN65" s="395" t="str">
        <f>IFERROR(IF($C65&lt;1,"",AN$3*일별반별!AQ65),0)</f>
        <v/>
      </c>
      <c r="AO65" s="395" t="str">
        <f>IFERROR(IF($C65&lt;1,"",AO$3*일별반별!AR65),0)</f>
        <v/>
      </c>
      <c r="AP65" s="347" t="str">
        <f>IFERROR(IF($C65&lt;1,"",AP$3*일별반별!AS65),0)</f>
        <v/>
      </c>
      <c r="AQ65" s="347" t="str">
        <f>IFERROR(IF($C65&lt;1,"",AQ$3*일별반별!AT65),0)</f>
        <v/>
      </c>
      <c r="AR65" s="316" t="str">
        <f>IFERROR(IF($C65&lt;1,"",AR$3*일별반별!AU65),0)</f>
        <v/>
      </c>
      <c r="AS65" s="401" t="str">
        <f>IFERROR(IF($C65&lt;1,"",AS$3*일별반별!AV65),0)</f>
        <v/>
      </c>
      <c r="AT65" s="401" t="str">
        <f>IFERROR(IF($C65&lt;1,"",AT$3*일별반별!AW65),0)</f>
        <v/>
      </c>
      <c r="AU65" s="401" t="str">
        <f>IFERROR(IF($C65&lt;1,"",AU$3*일별반별!AX65),0)</f>
        <v/>
      </c>
      <c r="AV65" s="401" t="str">
        <f>IFERROR(IF($C65&lt;1,"",AV$3*일별반별!AY65),0)</f>
        <v/>
      </c>
      <c r="AW65" s="401" t="str">
        <f>IFERROR(IF($C65&lt;1,"",AW$3*일별반별!AZ65),0)</f>
        <v/>
      </c>
      <c r="AX65" s="401" t="str">
        <f>IFERROR(IF($C65&lt;1,"",AX$3*일별반별!BA65),0)</f>
        <v/>
      </c>
      <c r="AY65" s="401" t="str">
        <f>IFERROR(IF($C65&lt;1,"",AY$3*일별반별!BB65),0)</f>
        <v/>
      </c>
      <c r="AZ65" s="401" t="str">
        <f>IFERROR(IF($C65&lt;1,"",AZ$3*일별반별!BC65),0)</f>
        <v/>
      </c>
      <c r="BA65" s="401" t="str">
        <f>IFERROR(IF($C65&lt;1,"",BA$3*일별반별!BD65),0)</f>
        <v/>
      </c>
      <c r="BB65" s="402" t="str">
        <f>IFERROR(IF($C65&lt;1,"",BB$3*일별반별!BE65),0)</f>
        <v/>
      </c>
      <c r="BC65" s="402" t="str">
        <f>IFERROR(IF($C65&lt;1,"",BC$3*일별반별!BF65),0)</f>
        <v/>
      </c>
      <c r="BD65" s="402" t="str">
        <f>IFERROR(IF($C65&lt;1,"",BD$3*일별반별!BG65),0)</f>
        <v/>
      </c>
      <c r="BE65" s="402" t="str">
        <f>IFERROR(IF($C65&lt;1,"",BE$3*일별반별!BH65),0)</f>
        <v/>
      </c>
      <c r="BF65" s="402" t="str">
        <f>IFERROR(IF($C65&lt;1,"",BF$3*일별반별!BI65),0)</f>
        <v/>
      </c>
      <c r="BG65" s="402" t="str">
        <f>IFERROR(IF($C65&lt;1,"",BG$3*일별반별!BJ65),0)</f>
        <v/>
      </c>
      <c r="BH65" s="402" t="str">
        <f>IFERROR(IF($C65&lt;1,"",BH$3*일별반별!BK65),0)</f>
        <v/>
      </c>
      <c r="BI65" s="402" t="str">
        <f>IFERROR(IF($C65&lt;1,"",BI$3*일별반별!BL65),0)</f>
        <v/>
      </c>
      <c r="BJ65" s="402" t="str">
        <f>IFERROR(IF($C65&lt;1,"",BJ$3*일별반별!BM65),0)</f>
        <v/>
      </c>
      <c r="BK65" s="402" t="str">
        <f>IFERROR(IF($C65&lt;1,"",BK$3*일별반별!BN65),0)</f>
        <v/>
      </c>
      <c r="BL65" s="402" t="str">
        <f>IFERROR(IF($C65&lt;1,"",BL$3*일별반별!BH65),0)</f>
        <v/>
      </c>
      <c r="BM65" s="402" t="str">
        <f>IFERROR(IF($C65&lt;1,"",BM$3*일별반별!BP65),0)</f>
        <v/>
      </c>
      <c r="BN65" s="401" t="str">
        <f>IFERROR(IF($C65&lt;1,"",BN$3*일별반별!BQ65),0)</f>
        <v/>
      </c>
      <c r="BO65" s="401" t="str">
        <f>IFERROR(IF($C65&lt;1,"",BO$3*일별반별!BR65),0)</f>
        <v/>
      </c>
      <c r="BP65" s="401" t="str">
        <f>IFERROR(IF($C65&lt;1,"",BP$3*일별반별!BS65),0)</f>
        <v/>
      </c>
      <c r="BQ65" s="401" t="str">
        <f>IFERROR(IF($C65&lt;1,"",BQ$3*일별반별!BT65),0)</f>
        <v/>
      </c>
      <c r="BR65" s="417" t="str">
        <f>IFERROR(IF($C65&lt;1,"",BR$3*일별반별!BU65),0)</f>
        <v/>
      </c>
      <c r="BS65" s="417" t="str">
        <f>IFERROR(IF($C65&lt;1,"",BS$3*일별반별!BV65),0)</f>
        <v/>
      </c>
      <c r="BT65" s="417" t="str">
        <f>IFERROR(IF($C65&lt;1,"",BT$3*일별반별!BW65),0)</f>
        <v/>
      </c>
      <c r="BU65" s="316" t="str">
        <f>IFERROR(IF($C65&lt;1,"",BU$3*일별반별!BX65),0)</f>
        <v/>
      </c>
      <c r="BV65" s="316" t="str">
        <f>IFERROR(IF($C65&lt;1,"",BV$3*일별반별!BY65),0)</f>
        <v/>
      </c>
      <c r="BW65" s="316" t="str">
        <f>IFERROR(IF($C65&lt;1,"",BW$3*일별반별!BZ65),0)</f>
        <v/>
      </c>
      <c r="BX65" s="316" t="str">
        <f>IFERROR(IF($C65&lt;1,"",BX$3*일별반별!CA65),0)</f>
        <v/>
      </c>
      <c r="BY65" s="316" t="str">
        <f>IFERROR(IF($C65&lt;1,"",BY$3*일별반별!CB65),0)</f>
        <v/>
      </c>
      <c r="BZ65" s="316" t="str">
        <f>IFERROR(IF($C65&lt;1,"",BZ$3*일별반별!CC65),0)</f>
        <v/>
      </c>
      <c r="CA65" s="316" t="str">
        <f>IFERROR(IF($C65&lt;1,"",CA$3*일별반별!CD65),0)</f>
        <v/>
      </c>
      <c r="CB65" s="316" t="str">
        <f>IFERROR(IF($C65&lt;1,"",CB$3*일별반별!CE65),0)</f>
        <v/>
      </c>
      <c r="CC65" s="316" t="str">
        <f>IFERROR(IF($C65&lt;1,"",CC$3*일별반별!CF65),0)</f>
        <v/>
      </c>
      <c r="CD65" s="316" t="str">
        <f>IFERROR(IF($C65&lt;1,"",CD$3*일별반별!CG65),0)</f>
        <v/>
      </c>
      <c r="CE65" s="316" t="str">
        <f>IFERROR(IF($C65&lt;1,"",CE$3*일별반별!CH65),0)</f>
        <v/>
      </c>
      <c r="CF65" s="316" t="str">
        <f>IFERROR(IF($C65&lt;1,"",CF$3*일별반별!CI65),0)</f>
        <v/>
      </c>
      <c r="CG65" s="316" t="str">
        <f>IFERROR(IF($C65&lt;1,"",CG$3*일별반별!CJ65),0)</f>
        <v/>
      </c>
      <c r="CH65" s="316" t="str">
        <f>IFERROR(IF($C65&lt;1,"",CH$3*일별반별!CK65),0)</f>
        <v/>
      </c>
      <c r="CI65" s="316" t="str">
        <f>IFERROR(IF($C65&lt;1,"",CI$3*일별반별!CL65),0)</f>
        <v/>
      </c>
      <c r="CJ65" s="316" t="str">
        <f>IFERROR(IF($C65&lt;1,"",CJ$3*일별반별!CM65),0)</f>
        <v/>
      </c>
      <c r="CK65" s="316" t="str">
        <f>IFERROR(IF($C65&lt;1,"",CK$3*일별반별!CN65),0)</f>
        <v/>
      </c>
      <c r="CL65" s="316" t="str">
        <f>IFERROR(IF($C65&lt;1,"",CL$3*일별반별!CO65),0)</f>
        <v/>
      </c>
      <c r="CM65" s="316" t="str">
        <f>IFERROR(IF($C65&lt;1,"",CM$3*일별반별!CP65),0)</f>
        <v/>
      </c>
      <c r="CN65" s="316" t="str">
        <f>IFERROR(IF($C65&lt;1,"",CN$3*일별반별!CQ65),0)</f>
        <v/>
      </c>
      <c r="CO65" s="316" t="str">
        <f>IFERROR(IF($C65&lt;1,"",CO$3*일별반별!CR65),0)</f>
        <v/>
      </c>
      <c r="CP65" s="316" t="str">
        <f>IFERROR(IF($C65&lt;1,"",CP$3*일별반별!CS65),0)</f>
        <v/>
      </c>
      <c r="CQ65" s="316" t="str">
        <f>IFERROR(IF($C65&lt;1,"",CQ$3*일별반별!CT65),0)</f>
        <v/>
      </c>
      <c r="CR65" s="418" t="str">
        <f>IFERROR(IF($C65&lt;1,"",CR$3*일별반별!CU65),0)</f>
        <v/>
      </c>
      <c r="CS65" s="418" t="str">
        <f>IFERROR(IF($C65&lt;1,"",CS$3*일별반별!CV65),0)</f>
        <v/>
      </c>
      <c r="CT65" s="316" t="str">
        <f>IFERROR(IF($C65&lt;1,"",CT$3*일별반별!CW65),0)</f>
        <v/>
      </c>
      <c r="CU65" s="316" t="str">
        <f>IFERROR(IF($C65&lt;1,"",CU$3*일별반별!CX65),0)</f>
        <v/>
      </c>
      <c r="CV65" s="316" t="str">
        <f>IFERROR(IF($C65&lt;1,"",CV$3*일별반별!CY65),0)</f>
        <v/>
      </c>
      <c r="CW65" s="316" t="str">
        <f>IFERROR(IF($C65&lt;1,"",CW$3*일별반별!CZ65),0)</f>
        <v/>
      </c>
      <c r="CX65" s="316" t="str">
        <f>IFERROR(IF($C65&lt;1,"",CX$3*일별반별!DA65),0)</f>
        <v/>
      </c>
      <c r="CY65" s="316" t="str">
        <f>IF(C65&lt;1,"",(CY$3*'09월 조업일지'!AV$7))</f>
        <v/>
      </c>
      <c r="CZ65" s="316" t="str">
        <f t="shared" si="3"/>
        <v/>
      </c>
      <c r="DA65" s="316" t="str">
        <f t="shared" si="3"/>
        <v/>
      </c>
      <c r="DB65" s="316" t="str">
        <f t="shared" si="3"/>
        <v/>
      </c>
      <c r="DC65" s="316"/>
      <c r="DD65" s="419"/>
    </row>
    <row r="66" spans="1:108" ht="15" customHeight="1">
      <c r="A66" s="327">
        <f>A61+1</f>
        <v>44025</v>
      </c>
      <c r="B66" s="328" t="s">
        <v>31</v>
      </c>
      <c r="C66" s="329">
        <f>COUNTIF('09월 조업일지'!$A$12:$A$952,A66)</f>
        <v>0</v>
      </c>
      <c r="D66" s="330">
        <f>IF(C66&lt;1,0,(SUM(E66:CX66)/(일별반별!BV66-1.5)+(CY66+CZ66+DA66+DB66)))</f>
        <v>0</v>
      </c>
      <c r="E66" s="331"/>
      <c r="F66" s="331"/>
      <c r="G66" s="332"/>
      <c r="H66" s="333"/>
      <c r="I66" s="333"/>
      <c r="J66" s="334"/>
      <c r="K66" s="334"/>
      <c r="L66" s="334"/>
      <c r="M66" s="334"/>
      <c r="N66" s="334"/>
      <c r="O66" s="334"/>
      <c r="P66" s="334"/>
      <c r="Q66" s="335"/>
      <c r="R66" s="334"/>
      <c r="S66" s="335"/>
      <c r="T66" s="334"/>
      <c r="U66" s="337" t="str">
        <f>IFERROR(IF($C66&lt;1,"",U$3*일별반별!X66),0)</f>
        <v/>
      </c>
      <c r="V66" s="337" t="str">
        <f>IFERROR(IF($C66&lt;1,"",V$3*일별반별!Y66),0)</f>
        <v/>
      </c>
      <c r="W66" s="337" t="str">
        <f>IFERROR(IF($C66&lt;1,"",W$3*일별반별!Z66),0)</f>
        <v/>
      </c>
      <c r="X66" s="336" t="str">
        <f>IFERROR(IF($C66&lt;1,"",X$3*일별반별!AA66),0)</f>
        <v/>
      </c>
      <c r="Y66" s="336" t="str">
        <f>IFERROR(IF($C66&lt;1,"",Y$3*일별반별!AB66),0)</f>
        <v/>
      </c>
      <c r="Z66" s="336" t="str">
        <f>IFERROR(IF($C66&lt;1,"",Z$3*일별반별!AC66),0)</f>
        <v/>
      </c>
      <c r="AA66" s="337" t="str">
        <f>IFERROR(IF($C66&lt;1,"",AA$3*일별반별!AD66),0)</f>
        <v/>
      </c>
      <c r="AB66" s="337" t="str">
        <f>IFERROR(IF($C66&lt;1,"",AB$3*일별반별!AE66),0)</f>
        <v/>
      </c>
      <c r="AC66" s="336" t="str">
        <f>IFERROR(IF($C66&lt;1,"",AC$3*일별반별!AF66),0)</f>
        <v/>
      </c>
      <c r="AD66" s="336" t="str">
        <f>IFERROR(IF($C66&lt;1,"",AD$3*일별반별!AG66),0)</f>
        <v/>
      </c>
      <c r="AE66" s="336" t="str">
        <f>IFERROR(IF($C66&lt;1,"",AE$3*일별반별!AH66),0)</f>
        <v/>
      </c>
      <c r="AF66" s="337" t="str">
        <f>IFERROR(IF($C66&lt;1,"",AF$3*일별반별!AI66),0)</f>
        <v/>
      </c>
      <c r="AG66" s="337" t="str">
        <f>IFERROR(IF($C66&lt;1,"",AG$3*일별반별!AJ66),0)</f>
        <v/>
      </c>
      <c r="AH66" s="337" t="str">
        <f>IFERROR(IF($C66&lt;1,"",AH$3*일별반별!AK66),0)</f>
        <v/>
      </c>
      <c r="AI66" s="337" t="str">
        <f>IFERROR(IF($C66&lt;1,"",AI$3*일별반별!AL66),0)</f>
        <v/>
      </c>
      <c r="AJ66" s="337" t="str">
        <f>IFERROR(IF($C66&lt;1,"",AJ$3*일별반별!AM66),0)</f>
        <v/>
      </c>
      <c r="AK66" s="337" t="str">
        <f>IFERROR(IF($C66&lt;1,"",AK$3*일별반별!AN66),0)</f>
        <v/>
      </c>
      <c r="AL66" s="337" t="str">
        <f>IFERROR(IF($C66&lt;1,"",AL$3*일별반별!AO66),0)</f>
        <v/>
      </c>
      <c r="AM66" s="337" t="str">
        <f>IFERROR(IF($C66&lt;1,"",AM$3*일별반별!AP66),0)</f>
        <v/>
      </c>
      <c r="AN66" s="337" t="str">
        <f>IFERROR(IF($C66&lt;1,"",AN$3*일별반별!AQ66),0)</f>
        <v/>
      </c>
      <c r="AO66" s="337" t="str">
        <f>IFERROR(IF($C66&lt;1,"",AO$3*일별반별!AR66),0)</f>
        <v/>
      </c>
      <c r="AP66" s="337" t="str">
        <f>IFERROR(IF($C66&lt;1,"",AP$3*일별반별!AS66),0)</f>
        <v/>
      </c>
      <c r="AQ66" s="337" t="str">
        <f>IFERROR(IF($C66&lt;1,"",AQ$3*일별반별!AT66),0)</f>
        <v/>
      </c>
      <c r="AR66" s="337" t="str">
        <f>IFERROR(IF($C66&lt;1,"",AR$3*일별반별!AU66),0)</f>
        <v/>
      </c>
      <c r="AS66" s="403" t="str">
        <f>IFERROR(IF($C66&lt;1,"",AS$3*일별반별!AV66),0)</f>
        <v/>
      </c>
      <c r="AT66" s="403" t="str">
        <f>IFERROR(IF($C66&lt;1,"",AT$3*일별반별!AW66),0)</f>
        <v/>
      </c>
      <c r="AU66" s="403" t="str">
        <f>IFERROR(IF($C66&lt;1,"",AU$3*일별반별!AX66),0)</f>
        <v/>
      </c>
      <c r="AV66" s="403" t="str">
        <f>IFERROR(IF($C66&lt;1,"",AV$3*일별반별!AY66),0)</f>
        <v/>
      </c>
      <c r="AW66" s="403" t="str">
        <f>IFERROR(IF($C66&lt;1,"",AW$3*일별반별!AZ66),0)</f>
        <v/>
      </c>
      <c r="AX66" s="403" t="str">
        <f>IFERROR(IF($C66&lt;1,"",AX$3*일별반별!BA66),0)</f>
        <v/>
      </c>
      <c r="AY66" s="403" t="str">
        <f>IFERROR(IF($C66&lt;1,"",AY$3*일별반별!BB66),0)</f>
        <v/>
      </c>
      <c r="AZ66" s="403" t="str">
        <f>IFERROR(IF($C66&lt;1,"",AZ$3*일별반별!BC66),0)</f>
        <v/>
      </c>
      <c r="BA66" s="403" t="str">
        <f>IFERROR(IF($C66&lt;1,"",BA$3*일별반별!BD66),0)</f>
        <v/>
      </c>
      <c r="BB66" s="403" t="str">
        <f>IFERROR(IF($C66&lt;1,"",BB$3*일별반별!BE66),0)</f>
        <v/>
      </c>
      <c r="BC66" s="403" t="str">
        <f>IFERROR(IF($C66&lt;1,"",BC$3*일별반별!BF66),0)</f>
        <v/>
      </c>
      <c r="BD66" s="403" t="str">
        <f>IFERROR(IF($C66&lt;1,"",BD$3*일별반별!BG66),0)</f>
        <v/>
      </c>
      <c r="BE66" s="403" t="str">
        <f>IFERROR(IF($C66&lt;1,"",BE$3*일별반별!BH66),0)</f>
        <v/>
      </c>
      <c r="BF66" s="403" t="str">
        <f>IFERROR(IF($C66&lt;1,"",BF$3*일별반별!BI66),0)</f>
        <v/>
      </c>
      <c r="BG66" s="403" t="str">
        <f>IFERROR(IF($C66&lt;1,"",BG$3*일별반별!BJ66),0)</f>
        <v/>
      </c>
      <c r="BH66" s="403" t="str">
        <f>IFERROR(IF($C66&lt;1,"",BH$3*일별반별!BK66),0)</f>
        <v/>
      </c>
      <c r="BI66" s="403" t="str">
        <f>IFERROR(IF($C66&lt;1,"",BI$3*일별반별!BL66),0)</f>
        <v/>
      </c>
      <c r="BJ66" s="403" t="str">
        <f>IFERROR(IF($C66&lt;1,"",BJ$3*일별반별!BM66),0)</f>
        <v/>
      </c>
      <c r="BK66" s="403" t="str">
        <f>IFERROR(IF($C66&lt;1,"",BK$3*일별반별!BN66),0)</f>
        <v/>
      </c>
      <c r="BL66" s="403" t="str">
        <f>IFERROR(IF($C66&lt;1,"",BL$3*일별반별!BH66),0)</f>
        <v/>
      </c>
      <c r="BM66" s="403" t="str">
        <f>IFERROR(IF($C66&lt;1,"",BM$3*일별반별!BP66),0)</f>
        <v/>
      </c>
      <c r="BN66" s="403" t="str">
        <f>IFERROR(IF($C66&lt;1,"",BN$3*일별반별!BQ66),0)</f>
        <v/>
      </c>
      <c r="BO66" s="403" t="str">
        <f>IFERROR(IF($C66&lt;1,"",BO$3*일별반별!BR66),0)</f>
        <v/>
      </c>
      <c r="BP66" s="403" t="str">
        <f>IFERROR(IF($C66&lt;1,"",BP$3*일별반별!BS66),0)</f>
        <v/>
      </c>
      <c r="BQ66" s="403" t="str">
        <f>IFERROR(IF($C66&lt;1,"",BQ$3*일별반별!BT66),0)</f>
        <v/>
      </c>
      <c r="BR66" s="337" t="str">
        <f>IFERROR(IF($C66&lt;1,"",BR$3*일별반별!BU66),0)</f>
        <v/>
      </c>
      <c r="BS66" s="337" t="str">
        <f>IFERROR(IF($C66&lt;1,"",BS$3*일별반별!BV66),0)</f>
        <v/>
      </c>
      <c r="BT66" s="337" t="str">
        <f>IFERROR(IF($C66&lt;1,"",BT$3*일별반별!BW66),0)</f>
        <v/>
      </c>
      <c r="BU66" s="337" t="str">
        <f>IFERROR(IF($C66&lt;1,"",BU$3*일별반별!BX66),0)</f>
        <v/>
      </c>
      <c r="BV66" s="337" t="str">
        <f>IFERROR(IF($C66&lt;1,"",BV$3*일별반별!BY66),0)</f>
        <v/>
      </c>
      <c r="BW66" s="337" t="str">
        <f>IFERROR(IF($C66&lt;1,"",BW$3*일별반별!BZ66),0)</f>
        <v/>
      </c>
      <c r="BX66" s="337" t="str">
        <f>IFERROR(IF($C66&lt;1,"",BX$3*일별반별!CA66),0)</f>
        <v/>
      </c>
      <c r="BY66" s="337" t="str">
        <f>IFERROR(IF($C66&lt;1,"",BY$3*일별반별!CB66),0)</f>
        <v/>
      </c>
      <c r="BZ66" s="337" t="str">
        <f>IFERROR(IF($C66&lt;1,"",BZ$3*일별반별!CC66),0)</f>
        <v/>
      </c>
      <c r="CA66" s="337" t="str">
        <f>IFERROR(IF($C66&lt;1,"",CA$3*일별반별!CD66),0)</f>
        <v/>
      </c>
      <c r="CB66" s="337" t="str">
        <f>IFERROR(IF($C66&lt;1,"",CB$3*일별반별!CE66),0)</f>
        <v/>
      </c>
      <c r="CC66" s="337" t="str">
        <f>IFERROR(IF($C66&lt;1,"",CC$3*일별반별!CF66),0)</f>
        <v/>
      </c>
      <c r="CD66" s="337" t="str">
        <f>IFERROR(IF($C66&lt;1,"",CD$3*일별반별!CG66),0)</f>
        <v/>
      </c>
      <c r="CE66" s="337" t="str">
        <f>IFERROR(IF($C66&lt;1,"",CE$3*일별반별!CH66),0)</f>
        <v/>
      </c>
      <c r="CF66" s="337" t="str">
        <f>IFERROR(IF($C66&lt;1,"",CF$3*일별반별!CI66),0)</f>
        <v/>
      </c>
      <c r="CG66" s="337" t="str">
        <f>IFERROR(IF($C66&lt;1,"",CG$3*일별반별!CJ66),0)</f>
        <v/>
      </c>
      <c r="CH66" s="337" t="str">
        <f>IFERROR(IF($C66&lt;1,"",CH$3*일별반별!CK66),0)</f>
        <v/>
      </c>
      <c r="CI66" s="337" t="str">
        <f>IFERROR(IF($C66&lt;1,"",CI$3*일별반별!CL66),0)</f>
        <v/>
      </c>
      <c r="CJ66" s="337" t="str">
        <f>IFERROR(IF($C66&lt;1,"",CJ$3*일별반별!CM66),0)</f>
        <v/>
      </c>
      <c r="CK66" s="337" t="str">
        <f>IFERROR(IF($C66&lt;1,"",CK$3*일별반별!CN66),0)</f>
        <v/>
      </c>
      <c r="CL66" s="337" t="str">
        <f>IFERROR(IF($C66&lt;1,"",CL$3*일별반별!CO66),0)</f>
        <v/>
      </c>
      <c r="CM66" s="337" t="str">
        <f>IFERROR(IF($C66&lt;1,"",CM$3*일별반별!CP66),0)</f>
        <v/>
      </c>
      <c r="CN66" s="337" t="str">
        <f>IFERROR(IF($C66&lt;1,"",CN$3*일별반별!CQ66),0)</f>
        <v/>
      </c>
      <c r="CO66" s="337" t="str">
        <f>IFERROR(IF($C66&lt;1,"",CO$3*일별반별!CR66),0)</f>
        <v/>
      </c>
      <c r="CP66" s="337" t="str">
        <f>IFERROR(IF($C66&lt;1,"",CP$3*일별반별!CS66),0)</f>
        <v/>
      </c>
      <c r="CQ66" s="337" t="str">
        <f>IFERROR(IF($C66&lt;1,"",CQ$3*일별반별!CT66),0)</f>
        <v/>
      </c>
      <c r="CR66" s="420" t="str">
        <f>IFERROR(IF($C66&lt;1,"",CR$3*일별반별!CU66),0)</f>
        <v/>
      </c>
      <c r="CS66" s="420" t="str">
        <f>IFERROR(IF($C66&lt;1,"",CS$3*일별반별!CV66),0)</f>
        <v/>
      </c>
      <c r="CT66" s="337" t="str">
        <f>IFERROR(IF($C66&lt;1,"",CT$3*일별반별!CW66),0)</f>
        <v/>
      </c>
      <c r="CU66" s="337" t="str">
        <f>IFERROR(IF($C66&lt;1,"",CU$3*일별반별!CX66),0)</f>
        <v/>
      </c>
      <c r="CV66" s="337" t="str">
        <f>IFERROR(IF($C66&lt;1,"",CV$3*일별반별!CY66),0)</f>
        <v/>
      </c>
      <c r="CW66" s="337" t="str">
        <f>IFERROR(IF($C66&lt;1,"",CW$3*일별반별!CZ66),0)</f>
        <v/>
      </c>
      <c r="CX66" s="337" t="str">
        <f>IFERROR(IF($C66&lt;1,"",CX$3*일별반별!DA66),0)</f>
        <v/>
      </c>
      <c r="CY66" s="316" t="str">
        <f>IF(C66&lt;1,"",(CY$3*'09월 조업일지'!AV$7))</f>
        <v/>
      </c>
      <c r="CZ66" s="316" t="str">
        <f t="shared" si="3"/>
        <v/>
      </c>
      <c r="DA66" s="316" t="str">
        <f t="shared" si="3"/>
        <v/>
      </c>
      <c r="DB66" s="316" t="str">
        <f t="shared" si="3"/>
        <v/>
      </c>
      <c r="DC66" s="316"/>
      <c r="DD66" s="419"/>
    </row>
    <row r="67" spans="1:108" ht="15" customHeight="1">
      <c r="A67" s="274">
        <f t="shared" si="2"/>
        <v>44025</v>
      </c>
      <c r="B67" s="275" t="s">
        <v>9</v>
      </c>
      <c r="C67" s="201">
        <f>COUNTIFS('09월 조업일지'!$A$12:$A$952,A66,'09월 조업일지'!$E$12:$E$952,B67)</f>
        <v>0</v>
      </c>
      <c r="D67" s="314">
        <f>IF(C67&lt;1,0,(SUM(E67:CX67)/(일별반별!BV67-1.5)+(CY67+CZ67+DA67+DB67)))</f>
        <v>0</v>
      </c>
      <c r="E67" s="278"/>
      <c r="F67" s="281"/>
      <c r="G67" s="282"/>
      <c r="H67" s="283"/>
      <c r="I67" s="283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326"/>
      <c r="U67" s="395" t="str">
        <f>IFERROR(IF($C67&lt;1,"",U$3*일별반별!X67),0)</f>
        <v/>
      </c>
      <c r="V67" s="395" t="str">
        <f>IFERROR(IF($C67&lt;1,"",V$3*일별반별!Y67),0)</f>
        <v/>
      </c>
      <c r="W67" s="395" t="str">
        <f>IFERROR(IF($C67&lt;1,"",W$3*일별반별!Z67),0)</f>
        <v/>
      </c>
      <c r="X67" s="208" t="str">
        <f>IFERROR(IF($C67&lt;1,"",X$3*일별반별!AA67),0)</f>
        <v/>
      </c>
      <c r="Y67" s="208" t="str">
        <f>IFERROR(IF($C67&lt;1,"",Y$3*일별반별!AB67),0)</f>
        <v/>
      </c>
      <c r="Z67" s="208" t="str">
        <f>IFERROR(IF($C67&lt;1,"",Z$3*일별반별!AC67),0)</f>
        <v/>
      </c>
      <c r="AA67" s="395" t="str">
        <f>IFERROR(IF($C67&lt;1,"",AA$3*일별반별!AD67),0)</f>
        <v/>
      </c>
      <c r="AB67" s="395" t="str">
        <f>IFERROR(IF($C67&lt;1,"",AB$3*일별반별!AE67),0)</f>
        <v/>
      </c>
      <c r="AC67" s="208" t="str">
        <f>IFERROR(IF($C67&lt;1,"",AC$3*일별반별!AF67),0)</f>
        <v/>
      </c>
      <c r="AD67" s="208" t="str">
        <f>IFERROR(IF($C67&lt;1,"",AD$3*일별반별!AG67),0)</f>
        <v/>
      </c>
      <c r="AE67" s="208" t="str">
        <f>IFERROR(IF($C67&lt;1,"",AE$3*일별반별!AH67),0)</f>
        <v/>
      </c>
      <c r="AF67" s="395" t="str">
        <f>IFERROR(IF($C67&lt;1,"",AF$3*일별반별!AI67),0)</f>
        <v/>
      </c>
      <c r="AG67" s="395" t="str">
        <f>IFERROR(IF($C67&lt;1,"",AG$3*일별반별!AJ67),0)</f>
        <v/>
      </c>
      <c r="AH67" s="395" t="str">
        <f>IFERROR(IF($C67&lt;1,"",AH$3*일별반별!AK67),0)</f>
        <v/>
      </c>
      <c r="AI67" s="395" t="str">
        <f>IFERROR(IF($C67&lt;1,"",AI$3*일별반별!AL67),0)</f>
        <v/>
      </c>
      <c r="AJ67" s="395" t="str">
        <f>IFERROR(IF($C67&lt;1,"",AJ$3*일별반별!AM67),0)</f>
        <v/>
      </c>
      <c r="AK67" s="395" t="str">
        <f>IFERROR(IF($C67&lt;1,"",AK$3*일별반별!AN67),0)</f>
        <v/>
      </c>
      <c r="AL67" s="395" t="str">
        <f>IFERROR(IF($C67&lt;1,"",AL$3*일별반별!AO67),0)</f>
        <v/>
      </c>
      <c r="AM67" s="395" t="str">
        <f>IFERROR(IF($C67&lt;1,"",AM$3*일별반별!AP67),0)</f>
        <v/>
      </c>
      <c r="AN67" s="395" t="str">
        <f>IFERROR(IF($C67&lt;1,"",AN$3*일별반별!AQ67),0)</f>
        <v/>
      </c>
      <c r="AO67" s="395" t="str">
        <f>IFERROR(IF($C67&lt;1,"",AO$3*일별반별!AR67),0)</f>
        <v/>
      </c>
      <c r="AP67" s="347" t="str">
        <f>IFERROR(IF($C67&lt;1,"",AP$3*일별반별!AS67),0)</f>
        <v/>
      </c>
      <c r="AQ67" s="347" t="str">
        <f>IFERROR(IF($C67&lt;1,"",AQ$3*일별반별!AT67),0)</f>
        <v/>
      </c>
      <c r="AR67" s="316" t="str">
        <f>IFERROR(IF($C67&lt;1,"",AR$3*일별반별!AU67),0)</f>
        <v/>
      </c>
      <c r="AS67" s="401" t="str">
        <f>IFERROR(IF($C67&lt;1,"",AS$3*일별반별!AV67),0)</f>
        <v/>
      </c>
      <c r="AT67" s="401" t="str">
        <f>IFERROR(IF($C67&lt;1,"",AT$3*일별반별!AW67),0)</f>
        <v/>
      </c>
      <c r="AU67" s="401" t="str">
        <f>IFERROR(IF($C67&lt;1,"",AU$3*일별반별!AX67),0)</f>
        <v/>
      </c>
      <c r="AV67" s="401" t="str">
        <f>IFERROR(IF($C67&lt;1,"",AV$3*일별반별!AY67),0)</f>
        <v/>
      </c>
      <c r="AW67" s="401" t="str">
        <f>IFERROR(IF($C67&lt;1,"",AW$3*일별반별!AZ67),0)</f>
        <v/>
      </c>
      <c r="AX67" s="401" t="str">
        <f>IFERROR(IF($C67&lt;1,"",AX$3*일별반별!BA67),0)</f>
        <v/>
      </c>
      <c r="AY67" s="401" t="str">
        <f>IFERROR(IF($C67&lt;1,"",AY$3*일별반별!BB67),0)</f>
        <v/>
      </c>
      <c r="AZ67" s="401" t="str">
        <f>IFERROR(IF($C67&lt;1,"",AZ$3*일별반별!BC67),0)</f>
        <v/>
      </c>
      <c r="BA67" s="401" t="str">
        <f>IFERROR(IF($C67&lt;1,"",BA$3*일별반별!BD67),0)</f>
        <v/>
      </c>
      <c r="BB67" s="402" t="str">
        <f>IFERROR(IF($C67&lt;1,"",BB$3*일별반별!BE67),0)</f>
        <v/>
      </c>
      <c r="BC67" s="402" t="str">
        <f>IFERROR(IF($C67&lt;1,"",BC$3*일별반별!BF67),0)</f>
        <v/>
      </c>
      <c r="BD67" s="402" t="str">
        <f>IFERROR(IF($C67&lt;1,"",BD$3*일별반별!BG67),0)</f>
        <v/>
      </c>
      <c r="BE67" s="402" t="str">
        <f>IFERROR(IF($C67&lt;1,"",BE$3*일별반별!BH67),0)</f>
        <v/>
      </c>
      <c r="BF67" s="402" t="str">
        <f>IFERROR(IF($C67&lt;1,"",BF$3*일별반별!BI67),0)</f>
        <v/>
      </c>
      <c r="BG67" s="402" t="str">
        <f>IFERROR(IF($C67&lt;1,"",BG$3*일별반별!BJ67),0)</f>
        <v/>
      </c>
      <c r="BH67" s="402" t="str">
        <f>IFERROR(IF($C67&lt;1,"",BH$3*일별반별!BK67),0)</f>
        <v/>
      </c>
      <c r="BI67" s="402" t="str">
        <f>IFERROR(IF($C67&lt;1,"",BI$3*일별반별!BL67),0)</f>
        <v/>
      </c>
      <c r="BJ67" s="402" t="str">
        <f>IFERROR(IF($C67&lt;1,"",BJ$3*일별반별!BM67),0)</f>
        <v/>
      </c>
      <c r="BK67" s="402" t="str">
        <f>IFERROR(IF($C67&lt;1,"",BK$3*일별반별!BN67),0)</f>
        <v/>
      </c>
      <c r="BL67" s="402" t="str">
        <f>IFERROR(IF($C67&lt;1,"",BL$3*일별반별!BH67),0)</f>
        <v/>
      </c>
      <c r="BM67" s="402" t="str">
        <f>IFERROR(IF($C67&lt;1,"",BM$3*일별반별!BP67),0)</f>
        <v/>
      </c>
      <c r="BN67" s="401" t="str">
        <f>IFERROR(IF($C67&lt;1,"",BN$3*일별반별!BQ67),0)</f>
        <v/>
      </c>
      <c r="BO67" s="401" t="str">
        <f>IFERROR(IF($C67&lt;1,"",BO$3*일별반별!BR67),0)</f>
        <v/>
      </c>
      <c r="BP67" s="401" t="str">
        <f>IFERROR(IF($C67&lt;1,"",BP$3*일별반별!BS67),0)</f>
        <v/>
      </c>
      <c r="BQ67" s="401" t="str">
        <f>IFERROR(IF($C67&lt;1,"",BQ$3*일별반별!BT67),0)</f>
        <v/>
      </c>
      <c r="BR67" s="417" t="str">
        <f>IFERROR(IF($C67&lt;1,"",BR$3*일별반별!BU67),0)</f>
        <v/>
      </c>
      <c r="BS67" s="417" t="str">
        <f>IFERROR(IF($C67&lt;1,"",BS$3*일별반별!BV67),0)</f>
        <v/>
      </c>
      <c r="BT67" s="417" t="str">
        <f>IFERROR(IF($C67&lt;1,"",BT$3*일별반별!BW67),0)</f>
        <v/>
      </c>
      <c r="BU67" s="316" t="str">
        <f>IFERROR(IF($C67&lt;1,"",BU$3*일별반별!BX67),0)</f>
        <v/>
      </c>
      <c r="BV67" s="316" t="str">
        <f>IFERROR(IF($C67&lt;1,"",BV$3*일별반별!BY67),0)</f>
        <v/>
      </c>
      <c r="BW67" s="316" t="str">
        <f>IFERROR(IF($C67&lt;1,"",BW$3*일별반별!BZ67),0)</f>
        <v/>
      </c>
      <c r="BX67" s="316" t="str">
        <f>IFERROR(IF($C67&lt;1,"",BX$3*일별반별!CA67),0)</f>
        <v/>
      </c>
      <c r="BY67" s="316" t="str">
        <f>IFERROR(IF($C67&lt;1,"",BY$3*일별반별!CB67),0)</f>
        <v/>
      </c>
      <c r="BZ67" s="316" t="str">
        <f>IFERROR(IF($C67&lt;1,"",BZ$3*일별반별!CC67),0)</f>
        <v/>
      </c>
      <c r="CA67" s="316" t="str">
        <f>IFERROR(IF($C67&lt;1,"",CA$3*일별반별!CD67),0)</f>
        <v/>
      </c>
      <c r="CB67" s="316" t="str">
        <f>IFERROR(IF($C67&lt;1,"",CB$3*일별반별!CE67),0)</f>
        <v/>
      </c>
      <c r="CC67" s="316" t="str">
        <f>IFERROR(IF($C67&lt;1,"",CC$3*일별반별!CF67),0)</f>
        <v/>
      </c>
      <c r="CD67" s="316" t="str">
        <f>IFERROR(IF($C67&lt;1,"",CD$3*일별반별!CG67),0)</f>
        <v/>
      </c>
      <c r="CE67" s="316" t="str">
        <f>IFERROR(IF($C67&lt;1,"",CE$3*일별반별!CH67),0)</f>
        <v/>
      </c>
      <c r="CF67" s="316" t="str">
        <f>IFERROR(IF($C67&lt;1,"",CF$3*일별반별!CI67),0)</f>
        <v/>
      </c>
      <c r="CG67" s="316" t="str">
        <f>IFERROR(IF($C67&lt;1,"",CG$3*일별반별!CJ67),0)</f>
        <v/>
      </c>
      <c r="CH67" s="316" t="str">
        <f>IFERROR(IF($C67&lt;1,"",CH$3*일별반별!CK67),0)</f>
        <v/>
      </c>
      <c r="CI67" s="316" t="str">
        <f>IFERROR(IF($C67&lt;1,"",CI$3*일별반별!CL67),0)</f>
        <v/>
      </c>
      <c r="CJ67" s="316" t="str">
        <f>IFERROR(IF($C67&lt;1,"",CJ$3*일별반별!CM67),0)</f>
        <v/>
      </c>
      <c r="CK67" s="316" t="str">
        <f>IFERROR(IF($C67&lt;1,"",CK$3*일별반별!CN67),0)</f>
        <v/>
      </c>
      <c r="CL67" s="316" t="str">
        <f>IFERROR(IF($C67&lt;1,"",CL$3*일별반별!CO67),0)</f>
        <v/>
      </c>
      <c r="CM67" s="316" t="str">
        <f>IFERROR(IF($C67&lt;1,"",CM$3*일별반별!CP67),0)</f>
        <v/>
      </c>
      <c r="CN67" s="316" t="str">
        <f>IFERROR(IF($C67&lt;1,"",CN$3*일별반별!CQ67),0)</f>
        <v/>
      </c>
      <c r="CO67" s="316" t="str">
        <f>IFERROR(IF($C67&lt;1,"",CO$3*일별반별!CR67),0)</f>
        <v/>
      </c>
      <c r="CP67" s="316" t="str">
        <f>IFERROR(IF($C67&lt;1,"",CP$3*일별반별!CS67),0)</f>
        <v/>
      </c>
      <c r="CQ67" s="316" t="str">
        <f>IFERROR(IF($C67&lt;1,"",CQ$3*일별반별!CT67),0)</f>
        <v/>
      </c>
      <c r="CR67" s="418" t="str">
        <f>IFERROR(IF($C67&lt;1,"",CR$3*일별반별!CU67),0)</f>
        <v/>
      </c>
      <c r="CS67" s="418" t="str">
        <f>IFERROR(IF($C67&lt;1,"",CS$3*일별반별!CV67),0)</f>
        <v/>
      </c>
      <c r="CT67" s="316" t="str">
        <f>IFERROR(IF($C67&lt;1,"",CT$3*일별반별!CW67),0)</f>
        <v/>
      </c>
      <c r="CU67" s="316" t="str">
        <f>IFERROR(IF($C67&lt;1,"",CU$3*일별반별!CX67),0)</f>
        <v/>
      </c>
      <c r="CV67" s="316" t="str">
        <f>IFERROR(IF($C67&lt;1,"",CV$3*일별반별!CY67),0)</f>
        <v/>
      </c>
      <c r="CW67" s="316" t="str">
        <f>IFERROR(IF($C67&lt;1,"",CW$3*일별반별!CZ67),0)</f>
        <v/>
      </c>
      <c r="CX67" s="316" t="str">
        <f>IFERROR(IF($C67&lt;1,"",CX$3*일별반별!DA67),0)</f>
        <v/>
      </c>
      <c r="CY67" s="316" t="str">
        <f>IF(C67&lt;1,"",(CY$3*'09월 조업일지'!AV$7))</f>
        <v/>
      </c>
      <c r="CZ67" s="316" t="str">
        <f t="shared" si="3"/>
        <v/>
      </c>
      <c r="DA67" s="316" t="str">
        <f t="shared" si="3"/>
        <v/>
      </c>
      <c r="DB67" s="316" t="str">
        <f t="shared" si="3"/>
        <v/>
      </c>
      <c r="DC67" s="316"/>
      <c r="DD67" s="419"/>
    </row>
    <row r="68" spans="1:108" ht="15" customHeight="1">
      <c r="A68" s="274">
        <f t="shared" si="2"/>
        <v>44025</v>
      </c>
      <c r="B68" s="275" t="s">
        <v>100</v>
      </c>
      <c r="C68" s="201">
        <f>COUNTIFS('09월 조업일지'!$A$12:$A$952,A66,'09월 조업일지'!$E$12:$E$952,B68)</f>
        <v>0</v>
      </c>
      <c r="D68" s="314">
        <f>IF(C68&lt;1,0,(SUM(E68:CX68)/(일별반별!BV68-1.5)+(CY68+CZ68+DA68+DB68)))</f>
        <v>0</v>
      </c>
      <c r="E68" s="278"/>
      <c r="F68" s="281"/>
      <c r="G68" s="282"/>
      <c r="H68" s="283"/>
      <c r="I68" s="283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326"/>
      <c r="U68" s="395" t="str">
        <f>IFERROR(IF($C68&lt;1,"",U$3*일별반별!X68),0)</f>
        <v/>
      </c>
      <c r="V68" s="395" t="str">
        <f>IFERROR(IF($C68&lt;1,"",V$3*일별반별!Y68),0)</f>
        <v/>
      </c>
      <c r="W68" s="395" t="str">
        <f>IFERROR(IF($C68&lt;1,"",W$3*일별반별!Z68),0)</f>
        <v/>
      </c>
      <c r="X68" s="208" t="str">
        <f>IFERROR(IF($C68&lt;1,"",X$3*일별반별!AA68),0)</f>
        <v/>
      </c>
      <c r="Y68" s="208" t="str">
        <f>IFERROR(IF($C68&lt;1,"",Y$3*일별반별!AB68),0)</f>
        <v/>
      </c>
      <c r="Z68" s="208" t="str">
        <f>IFERROR(IF($C68&lt;1,"",Z$3*일별반별!AC68),0)</f>
        <v/>
      </c>
      <c r="AA68" s="395" t="str">
        <f>IFERROR(IF($C68&lt;1,"",AA$3*일별반별!AD68),0)</f>
        <v/>
      </c>
      <c r="AB68" s="395" t="str">
        <f>IFERROR(IF($C68&lt;1,"",AB$3*일별반별!AE68),0)</f>
        <v/>
      </c>
      <c r="AC68" s="208" t="str">
        <f>IFERROR(IF($C68&lt;1,"",AC$3*일별반별!AF68),0)</f>
        <v/>
      </c>
      <c r="AD68" s="208" t="str">
        <f>IFERROR(IF($C68&lt;1,"",AD$3*일별반별!AG68),0)</f>
        <v/>
      </c>
      <c r="AE68" s="208" t="str">
        <f>IFERROR(IF($C68&lt;1,"",AE$3*일별반별!AH68),0)</f>
        <v/>
      </c>
      <c r="AF68" s="395" t="str">
        <f>IFERROR(IF($C68&lt;1,"",AF$3*일별반별!AI68),0)</f>
        <v/>
      </c>
      <c r="AG68" s="395" t="str">
        <f>IFERROR(IF($C68&lt;1,"",AG$3*일별반별!AJ68),0)</f>
        <v/>
      </c>
      <c r="AH68" s="395" t="str">
        <f>IFERROR(IF($C68&lt;1,"",AH$3*일별반별!AK68),0)</f>
        <v/>
      </c>
      <c r="AI68" s="395" t="str">
        <f>IFERROR(IF($C68&lt;1,"",AI$3*일별반별!AL68),0)</f>
        <v/>
      </c>
      <c r="AJ68" s="395" t="str">
        <f>IFERROR(IF($C68&lt;1,"",AJ$3*일별반별!AM68),0)</f>
        <v/>
      </c>
      <c r="AK68" s="395" t="str">
        <f>IFERROR(IF($C68&lt;1,"",AK$3*일별반별!AN68),0)</f>
        <v/>
      </c>
      <c r="AL68" s="395" t="str">
        <f>IFERROR(IF($C68&lt;1,"",AL$3*일별반별!AO68),0)</f>
        <v/>
      </c>
      <c r="AM68" s="395" t="str">
        <f>IFERROR(IF($C68&lt;1,"",AM$3*일별반별!AP68),0)</f>
        <v/>
      </c>
      <c r="AN68" s="395" t="str">
        <f>IFERROR(IF($C68&lt;1,"",AN$3*일별반별!AQ68),0)</f>
        <v/>
      </c>
      <c r="AO68" s="395" t="str">
        <f>IFERROR(IF($C68&lt;1,"",AO$3*일별반별!AR68),0)</f>
        <v/>
      </c>
      <c r="AP68" s="347" t="str">
        <f>IFERROR(IF($C68&lt;1,"",AP$3*일별반별!AS68),0)</f>
        <v/>
      </c>
      <c r="AQ68" s="347" t="str">
        <f>IFERROR(IF($C68&lt;1,"",AQ$3*일별반별!AT68),0)</f>
        <v/>
      </c>
      <c r="AR68" s="316" t="str">
        <f>IFERROR(IF($C68&lt;1,"",AR$3*일별반별!AU68),0)</f>
        <v/>
      </c>
      <c r="AS68" s="401" t="str">
        <f>IFERROR(IF($C68&lt;1,"",AS$3*일별반별!AV68),0)</f>
        <v/>
      </c>
      <c r="AT68" s="401" t="str">
        <f>IFERROR(IF($C68&lt;1,"",AT$3*일별반별!AW68),0)</f>
        <v/>
      </c>
      <c r="AU68" s="401" t="str">
        <f>IFERROR(IF($C68&lt;1,"",AU$3*일별반별!AX68),0)</f>
        <v/>
      </c>
      <c r="AV68" s="401" t="str">
        <f>IFERROR(IF($C68&lt;1,"",AV$3*일별반별!AY68),0)</f>
        <v/>
      </c>
      <c r="AW68" s="401" t="str">
        <f>IFERROR(IF($C68&lt;1,"",AW$3*일별반별!AZ68),0)</f>
        <v/>
      </c>
      <c r="AX68" s="401" t="str">
        <f>IFERROR(IF($C68&lt;1,"",AX$3*일별반별!BA68),0)</f>
        <v/>
      </c>
      <c r="AY68" s="401" t="str">
        <f>IFERROR(IF($C68&lt;1,"",AY$3*일별반별!BB68),0)</f>
        <v/>
      </c>
      <c r="AZ68" s="401" t="str">
        <f>IFERROR(IF($C68&lt;1,"",AZ$3*일별반별!BC68),0)</f>
        <v/>
      </c>
      <c r="BA68" s="401" t="str">
        <f>IFERROR(IF($C68&lt;1,"",BA$3*일별반별!BD68),0)</f>
        <v/>
      </c>
      <c r="BB68" s="402" t="str">
        <f>IFERROR(IF($C68&lt;1,"",BB$3*일별반별!BE68),0)</f>
        <v/>
      </c>
      <c r="BC68" s="402" t="str">
        <f>IFERROR(IF($C68&lt;1,"",BC$3*일별반별!BF68),0)</f>
        <v/>
      </c>
      <c r="BD68" s="402" t="str">
        <f>IFERROR(IF($C68&lt;1,"",BD$3*일별반별!BG68),0)</f>
        <v/>
      </c>
      <c r="BE68" s="402" t="str">
        <f>IFERROR(IF($C68&lt;1,"",BE$3*일별반별!BH68),0)</f>
        <v/>
      </c>
      <c r="BF68" s="402" t="str">
        <f>IFERROR(IF($C68&lt;1,"",BF$3*일별반별!BI68),0)</f>
        <v/>
      </c>
      <c r="BG68" s="402" t="str">
        <f>IFERROR(IF($C68&lt;1,"",BG$3*일별반별!BJ68),0)</f>
        <v/>
      </c>
      <c r="BH68" s="402" t="str">
        <f>IFERROR(IF($C68&lt;1,"",BH$3*일별반별!BK68),0)</f>
        <v/>
      </c>
      <c r="BI68" s="402" t="str">
        <f>IFERROR(IF($C68&lt;1,"",BI$3*일별반별!BL68),0)</f>
        <v/>
      </c>
      <c r="BJ68" s="402" t="str">
        <f>IFERROR(IF($C68&lt;1,"",BJ$3*일별반별!BM68),0)</f>
        <v/>
      </c>
      <c r="BK68" s="402" t="str">
        <f>IFERROR(IF($C68&lt;1,"",BK$3*일별반별!BN68),0)</f>
        <v/>
      </c>
      <c r="BL68" s="402" t="str">
        <f>IFERROR(IF($C68&lt;1,"",BL$3*일별반별!BH68),0)</f>
        <v/>
      </c>
      <c r="BM68" s="402" t="str">
        <f>IFERROR(IF($C68&lt;1,"",BM$3*일별반별!BP68),0)</f>
        <v/>
      </c>
      <c r="BN68" s="401" t="str">
        <f>IFERROR(IF($C68&lt;1,"",BN$3*일별반별!BQ68),0)</f>
        <v/>
      </c>
      <c r="BO68" s="401" t="str">
        <f>IFERROR(IF($C68&lt;1,"",BO$3*일별반별!BR68),0)</f>
        <v/>
      </c>
      <c r="BP68" s="401" t="str">
        <f>IFERROR(IF($C68&lt;1,"",BP$3*일별반별!BS68),0)</f>
        <v/>
      </c>
      <c r="BQ68" s="401" t="str">
        <f>IFERROR(IF($C68&lt;1,"",BQ$3*일별반별!BT68),0)</f>
        <v/>
      </c>
      <c r="BR68" s="417" t="str">
        <f>IFERROR(IF($C68&lt;1,"",BR$3*일별반별!BU68),0)</f>
        <v/>
      </c>
      <c r="BS68" s="417" t="str">
        <f>IFERROR(IF($C68&lt;1,"",BS$3*일별반별!BV68),0)</f>
        <v/>
      </c>
      <c r="BT68" s="417" t="str">
        <f>IFERROR(IF($C68&lt;1,"",BT$3*일별반별!BW68),0)</f>
        <v/>
      </c>
      <c r="BU68" s="316" t="str">
        <f>IFERROR(IF($C68&lt;1,"",BU$3*일별반별!BX68),0)</f>
        <v/>
      </c>
      <c r="BV68" s="316" t="str">
        <f>IFERROR(IF($C68&lt;1,"",BV$3*일별반별!BY68),0)</f>
        <v/>
      </c>
      <c r="BW68" s="316" t="str">
        <f>IFERROR(IF($C68&lt;1,"",BW$3*일별반별!BZ68),0)</f>
        <v/>
      </c>
      <c r="BX68" s="316" t="str">
        <f>IFERROR(IF($C68&lt;1,"",BX$3*일별반별!CA68),0)</f>
        <v/>
      </c>
      <c r="BY68" s="316" t="str">
        <f>IFERROR(IF($C68&lt;1,"",BY$3*일별반별!CB68),0)</f>
        <v/>
      </c>
      <c r="BZ68" s="316" t="str">
        <f>IFERROR(IF($C68&lt;1,"",BZ$3*일별반별!CC68),0)</f>
        <v/>
      </c>
      <c r="CA68" s="316" t="str">
        <f>IFERROR(IF($C68&lt;1,"",CA$3*일별반별!CD68),0)</f>
        <v/>
      </c>
      <c r="CB68" s="316" t="str">
        <f>IFERROR(IF($C68&lt;1,"",CB$3*일별반별!CE68),0)</f>
        <v/>
      </c>
      <c r="CC68" s="316" t="str">
        <f>IFERROR(IF($C68&lt;1,"",CC$3*일별반별!CF68),0)</f>
        <v/>
      </c>
      <c r="CD68" s="316" t="str">
        <f>IFERROR(IF($C68&lt;1,"",CD$3*일별반별!CG68),0)</f>
        <v/>
      </c>
      <c r="CE68" s="316" t="str">
        <f>IFERROR(IF($C68&lt;1,"",CE$3*일별반별!CH68),0)</f>
        <v/>
      </c>
      <c r="CF68" s="316" t="str">
        <f>IFERROR(IF($C68&lt;1,"",CF$3*일별반별!CI68),0)</f>
        <v/>
      </c>
      <c r="CG68" s="316" t="str">
        <f>IFERROR(IF($C68&lt;1,"",CG$3*일별반별!CJ68),0)</f>
        <v/>
      </c>
      <c r="CH68" s="316" t="str">
        <f>IFERROR(IF($C68&lt;1,"",CH$3*일별반별!CK68),0)</f>
        <v/>
      </c>
      <c r="CI68" s="316" t="str">
        <f>IFERROR(IF($C68&lt;1,"",CI$3*일별반별!CL68),0)</f>
        <v/>
      </c>
      <c r="CJ68" s="316" t="str">
        <f>IFERROR(IF($C68&lt;1,"",CJ$3*일별반별!CM68),0)</f>
        <v/>
      </c>
      <c r="CK68" s="316" t="str">
        <f>IFERROR(IF($C68&lt;1,"",CK$3*일별반별!CN68),0)</f>
        <v/>
      </c>
      <c r="CL68" s="316" t="str">
        <f>IFERROR(IF($C68&lt;1,"",CL$3*일별반별!CO68),0)</f>
        <v/>
      </c>
      <c r="CM68" s="316" t="str">
        <f>IFERROR(IF($C68&lt;1,"",CM$3*일별반별!CP68),0)</f>
        <v/>
      </c>
      <c r="CN68" s="316" t="str">
        <f>IFERROR(IF($C68&lt;1,"",CN$3*일별반별!CQ68),0)</f>
        <v/>
      </c>
      <c r="CO68" s="316" t="str">
        <f>IFERROR(IF($C68&lt;1,"",CO$3*일별반별!CR68),0)</f>
        <v/>
      </c>
      <c r="CP68" s="316" t="str">
        <f>IFERROR(IF($C68&lt;1,"",CP$3*일별반별!CS68),0)</f>
        <v/>
      </c>
      <c r="CQ68" s="316" t="str">
        <f>IFERROR(IF($C68&lt;1,"",CQ$3*일별반별!CT68),0)</f>
        <v/>
      </c>
      <c r="CR68" s="418" t="str">
        <f>IFERROR(IF($C68&lt;1,"",CR$3*일별반별!CU68),0)</f>
        <v/>
      </c>
      <c r="CS68" s="418" t="str">
        <f>IFERROR(IF($C68&lt;1,"",CS$3*일별반별!CV68),0)</f>
        <v/>
      </c>
      <c r="CT68" s="316" t="str">
        <f>IFERROR(IF($C68&lt;1,"",CT$3*일별반별!CW68),0)</f>
        <v/>
      </c>
      <c r="CU68" s="316" t="str">
        <f>IFERROR(IF($C68&lt;1,"",CU$3*일별반별!CX68),0)</f>
        <v/>
      </c>
      <c r="CV68" s="316" t="str">
        <f>IFERROR(IF($C68&lt;1,"",CV$3*일별반별!CY68),0)</f>
        <v/>
      </c>
      <c r="CW68" s="316" t="str">
        <f>IFERROR(IF($C68&lt;1,"",CW$3*일별반별!CZ68),0)</f>
        <v/>
      </c>
      <c r="CX68" s="316" t="str">
        <f>IFERROR(IF($C68&lt;1,"",CX$3*일별반별!DA68),0)</f>
        <v/>
      </c>
      <c r="CY68" s="316" t="str">
        <f>IF(C68&lt;1,"",(CY$3*'09월 조업일지'!AV$7))</f>
        <v/>
      </c>
      <c r="CZ68" s="316" t="str">
        <f t="shared" si="3"/>
        <v/>
      </c>
      <c r="DA68" s="316" t="str">
        <f t="shared" si="3"/>
        <v/>
      </c>
      <c r="DB68" s="316" t="str">
        <f t="shared" si="3"/>
        <v/>
      </c>
      <c r="DC68" s="316"/>
      <c r="DD68" s="419"/>
    </row>
    <row r="69" spans="1:108" ht="15" customHeight="1">
      <c r="A69" s="274">
        <f t="shared" si="2"/>
        <v>44025</v>
      </c>
      <c r="B69" s="275" t="s">
        <v>10</v>
      </c>
      <c r="C69" s="201">
        <f>COUNTIFS('09월 조업일지'!$A$12:$A$952,A66,'09월 조업일지'!$E$12:$E$952,B69)</f>
        <v>0</v>
      </c>
      <c r="D69" s="314">
        <f>IF(C69&lt;1,0,(SUM(E69:CX69)/(일별반별!BV69-1.5)+(CY69+CZ69+DA69+DB69)))</f>
        <v>0</v>
      </c>
      <c r="E69" s="278"/>
      <c r="F69" s="281"/>
      <c r="G69" s="282"/>
      <c r="H69" s="283"/>
      <c r="I69" s="283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326"/>
      <c r="U69" s="395" t="str">
        <f>IFERROR(IF($C69&lt;1,"",U$3*일별반별!X69),0)</f>
        <v/>
      </c>
      <c r="V69" s="395" t="str">
        <f>IFERROR(IF($C69&lt;1,"",V$3*일별반별!Y69),0)</f>
        <v/>
      </c>
      <c r="W69" s="395" t="str">
        <f>IFERROR(IF($C69&lt;1,"",W$3*일별반별!Z69),0)</f>
        <v/>
      </c>
      <c r="X69" s="208" t="str">
        <f>IFERROR(IF($C69&lt;1,"",X$3*일별반별!AA69),0)</f>
        <v/>
      </c>
      <c r="Y69" s="208" t="str">
        <f>IFERROR(IF($C69&lt;1,"",Y$3*일별반별!AB69),0)</f>
        <v/>
      </c>
      <c r="Z69" s="208" t="str">
        <f>IFERROR(IF($C69&lt;1,"",Z$3*일별반별!AC69),0)</f>
        <v/>
      </c>
      <c r="AA69" s="395" t="str">
        <f>IFERROR(IF($C69&lt;1,"",AA$3*일별반별!AD69),0)</f>
        <v/>
      </c>
      <c r="AB69" s="395" t="str">
        <f>IFERROR(IF($C69&lt;1,"",AB$3*일별반별!AE69),0)</f>
        <v/>
      </c>
      <c r="AC69" s="208" t="str">
        <f>IFERROR(IF($C69&lt;1,"",AC$3*일별반별!AF69),0)</f>
        <v/>
      </c>
      <c r="AD69" s="208" t="str">
        <f>IFERROR(IF($C69&lt;1,"",AD$3*일별반별!AG69),0)</f>
        <v/>
      </c>
      <c r="AE69" s="208" t="str">
        <f>IFERROR(IF($C69&lt;1,"",AE$3*일별반별!AH69),0)</f>
        <v/>
      </c>
      <c r="AF69" s="395" t="str">
        <f>IFERROR(IF($C69&lt;1,"",AF$3*일별반별!AI69),0)</f>
        <v/>
      </c>
      <c r="AG69" s="395" t="str">
        <f>IFERROR(IF($C69&lt;1,"",AG$3*일별반별!AJ69),0)</f>
        <v/>
      </c>
      <c r="AH69" s="395" t="str">
        <f>IFERROR(IF($C69&lt;1,"",AH$3*일별반별!AK69),0)</f>
        <v/>
      </c>
      <c r="AI69" s="395" t="str">
        <f>IFERROR(IF($C69&lt;1,"",AI$3*일별반별!AL69),0)</f>
        <v/>
      </c>
      <c r="AJ69" s="395" t="str">
        <f>IFERROR(IF($C69&lt;1,"",AJ$3*일별반별!AM69),0)</f>
        <v/>
      </c>
      <c r="AK69" s="395" t="str">
        <f>IFERROR(IF($C69&lt;1,"",AK$3*일별반별!AN69),0)</f>
        <v/>
      </c>
      <c r="AL69" s="395" t="str">
        <f>IFERROR(IF($C69&lt;1,"",AL$3*일별반별!AO69),0)</f>
        <v/>
      </c>
      <c r="AM69" s="395" t="str">
        <f>IFERROR(IF($C69&lt;1,"",AM$3*일별반별!AP69),0)</f>
        <v/>
      </c>
      <c r="AN69" s="395" t="str">
        <f>IFERROR(IF($C69&lt;1,"",AN$3*일별반별!AQ69),0)</f>
        <v/>
      </c>
      <c r="AO69" s="395" t="str">
        <f>IFERROR(IF($C69&lt;1,"",AO$3*일별반별!AR69),0)</f>
        <v/>
      </c>
      <c r="AP69" s="347" t="str">
        <f>IFERROR(IF($C69&lt;1,"",AP$3*일별반별!AS69),0)</f>
        <v/>
      </c>
      <c r="AQ69" s="347" t="str">
        <f>IFERROR(IF($C69&lt;1,"",AQ$3*일별반별!AT69),0)</f>
        <v/>
      </c>
      <c r="AR69" s="316" t="str">
        <f>IFERROR(IF($C69&lt;1,"",AR$3*일별반별!AU69),0)</f>
        <v/>
      </c>
      <c r="AS69" s="401" t="str">
        <f>IFERROR(IF($C69&lt;1,"",AS$3*일별반별!AV69),0)</f>
        <v/>
      </c>
      <c r="AT69" s="401" t="str">
        <f>IFERROR(IF($C69&lt;1,"",AT$3*일별반별!AW69),0)</f>
        <v/>
      </c>
      <c r="AU69" s="401" t="str">
        <f>IFERROR(IF($C69&lt;1,"",AU$3*일별반별!AX69),0)</f>
        <v/>
      </c>
      <c r="AV69" s="401" t="str">
        <f>IFERROR(IF($C69&lt;1,"",AV$3*일별반별!AY69),0)</f>
        <v/>
      </c>
      <c r="AW69" s="401" t="str">
        <f>IFERROR(IF($C69&lt;1,"",AW$3*일별반별!AZ69),0)</f>
        <v/>
      </c>
      <c r="AX69" s="401" t="str">
        <f>IFERROR(IF($C69&lt;1,"",AX$3*일별반별!BA69),0)</f>
        <v/>
      </c>
      <c r="AY69" s="401" t="str">
        <f>IFERROR(IF($C69&lt;1,"",AY$3*일별반별!BB69),0)</f>
        <v/>
      </c>
      <c r="AZ69" s="401" t="str">
        <f>IFERROR(IF($C69&lt;1,"",AZ$3*일별반별!BC69),0)</f>
        <v/>
      </c>
      <c r="BA69" s="401" t="str">
        <f>IFERROR(IF($C69&lt;1,"",BA$3*일별반별!BD69),0)</f>
        <v/>
      </c>
      <c r="BB69" s="402" t="str">
        <f>IFERROR(IF($C69&lt;1,"",BB$3*일별반별!BE69),0)</f>
        <v/>
      </c>
      <c r="BC69" s="402" t="str">
        <f>IFERROR(IF($C69&lt;1,"",BC$3*일별반별!BF69),0)</f>
        <v/>
      </c>
      <c r="BD69" s="402" t="str">
        <f>IFERROR(IF($C69&lt;1,"",BD$3*일별반별!BG69),0)</f>
        <v/>
      </c>
      <c r="BE69" s="402" t="str">
        <f>IFERROR(IF($C69&lt;1,"",BE$3*일별반별!BH69),0)</f>
        <v/>
      </c>
      <c r="BF69" s="402" t="str">
        <f>IFERROR(IF($C69&lt;1,"",BF$3*일별반별!BI69),0)</f>
        <v/>
      </c>
      <c r="BG69" s="402" t="str">
        <f>IFERROR(IF($C69&lt;1,"",BG$3*일별반별!BJ69),0)</f>
        <v/>
      </c>
      <c r="BH69" s="402" t="str">
        <f>IFERROR(IF($C69&lt;1,"",BH$3*일별반별!BK69),0)</f>
        <v/>
      </c>
      <c r="BI69" s="402" t="str">
        <f>IFERROR(IF($C69&lt;1,"",BI$3*일별반별!BL69),0)</f>
        <v/>
      </c>
      <c r="BJ69" s="402" t="str">
        <f>IFERROR(IF($C69&lt;1,"",BJ$3*일별반별!BM69),0)</f>
        <v/>
      </c>
      <c r="BK69" s="402" t="str">
        <f>IFERROR(IF($C69&lt;1,"",BK$3*일별반별!BN69),0)</f>
        <v/>
      </c>
      <c r="BL69" s="402" t="str">
        <f>IFERROR(IF($C69&lt;1,"",BL$3*일별반별!BH69),0)</f>
        <v/>
      </c>
      <c r="BM69" s="402" t="str">
        <f>IFERROR(IF($C69&lt;1,"",BM$3*일별반별!BP69),0)</f>
        <v/>
      </c>
      <c r="BN69" s="401" t="str">
        <f>IFERROR(IF($C69&lt;1,"",BN$3*일별반별!BQ69),0)</f>
        <v/>
      </c>
      <c r="BO69" s="401" t="str">
        <f>IFERROR(IF($C69&lt;1,"",BO$3*일별반별!BR69),0)</f>
        <v/>
      </c>
      <c r="BP69" s="401" t="str">
        <f>IFERROR(IF($C69&lt;1,"",BP$3*일별반별!BS69),0)</f>
        <v/>
      </c>
      <c r="BQ69" s="401" t="str">
        <f>IFERROR(IF($C69&lt;1,"",BQ$3*일별반별!BT69),0)</f>
        <v/>
      </c>
      <c r="BR69" s="417" t="str">
        <f>IFERROR(IF($C69&lt;1,"",BR$3*일별반별!BU69),0)</f>
        <v/>
      </c>
      <c r="BS69" s="417" t="str">
        <f>IFERROR(IF($C69&lt;1,"",BS$3*일별반별!BV69),0)</f>
        <v/>
      </c>
      <c r="BT69" s="417" t="str">
        <f>IFERROR(IF($C69&lt;1,"",BT$3*일별반별!BW69),0)</f>
        <v/>
      </c>
      <c r="BU69" s="316" t="str">
        <f>IFERROR(IF($C69&lt;1,"",BU$3*일별반별!BX69),0)</f>
        <v/>
      </c>
      <c r="BV69" s="316" t="str">
        <f>IFERROR(IF($C69&lt;1,"",BV$3*일별반별!BY69),0)</f>
        <v/>
      </c>
      <c r="BW69" s="316" t="str">
        <f>IFERROR(IF($C69&lt;1,"",BW$3*일별반별!BZ69),0)</f>
        <v/>
      </c>
      <c r="BX69" s="316" t="str">
        <f>IFERROR(IF($C69&lt;1,"",BX$3*일별반별!CA69),0)</f>
        <v/>
      </c>
      <c r="BY69" s="316" t="str">
        <f>IFERROR(IF($C69&lt;1,"",BY$3*일별반별!CB69),0)</f>
        <v/>
      </c>
      <c r="BZ69" s="316" t="str">
        <f>IFERROR(IF($C69&lt;1,"",BZ$3*일별반별!CC69),0)</f>
        <v/>
      </c>
      <c r="CA69" s="316" t="str">
        <f>IFERROR(IF($C69&lt;1,"",CA$3*일별반별!CD69),0)</f>
        <v/>
      </c>
      <c r="CB69" s="316" t="str">
        <f>IFERROR(IF($C69&lt;1,"",CB$3*일별반별!CE69),0)</f>
        <v/>
      </c>
      <c r="CC69" s="316" t="str">
        <f>IFERROR(IF($C69&lt;1,"",CC$3*일별반별!CF69),0)</f>
        <v/>
      </c>
      <c r="CD69" s="316" t="str">
        <f>IFERROR(IF($C69&lt;1,"",CD$3*일별반별!CG69),0)</f>
        <v/>
      </c>
      <c r="CE69" s="316" t="str">
        <f>IFERROR(IF($C69&lt;1,"",CE$3*일별반별!CH69),0)</f>
        <v/>
      </c>
      <c r="CF69" s="316" t="str">
        <f>IFERROR(IF($C69&lt;1,"",CF$3*일별반별!CI69),0)</f>
        <v/>
      </c>
      <c r="CG69" s="316" t="str">
        <f>IFERROR(IF($C69&lt;1,"",CG$3*일별반별!CJ69),0)</f>
        <v/>
      </c>
      <c r="CH69" s="316" t="str">
        <f>IFERROR(IF($C69&lt;1,"",CH$3*일별반별!CK69),0)</f>
        <v/>
      </c>
      <c r="CI69" s="316" t="str">
        <f>IFERROR(IF($C69&lt;1,"",CI$3*일별반별!CL69),0)</f>
        <v/>
      </c>
      <c r="CJ69" s="316" t="str">
        <f>IFERROR(IF($C69&lt;1,"",CJ$3*일별반별!CM69),0)</f>
        <v/>
      </c>
      <c r="CK69" s="316" t="str">
        <f>IFERROR(IF($C69&lt;1,"",CK$3*일별반별!CN69),0)</f>
        <v/>
      </c>
      <c r="CL69" s="316" t="str">
        <f>IFERROR(IF($C69&lt;1,"",CL$3*일별반별!CO69),0)</f>
        <v/>
      </c>
      <c r="CM69" s="316" t="str">
        <f>IFERROR(IF($C69&lt;1,"",CM$3*일별반별!CP69),0)</f>
        <v/>
      </c>
      <c r="CN69" s="316" t="str">
        <f>IFERROR(IF($C69&lt;1,"",CN$3*일별반별!CQ69),0)</f>
        <v/>
      </c>
      <c r="CO69" s="316" t="str">
        <f>IFERROR(IF($C69&lt;1,"",CO$3*일별반별!CR69),0)</f>
        <v/>
      </c>
      <c r="CP69" s="316" t="str">
        <f>IFERROR(IF($C69&lt;1,"",CP$3*일별반별!CS69),0)</f>
        <v/>
      </c>
      <c r="CQ69" s="316" t="str">
        <f>IFERROR(IF($C69&lt;1,"",CQ$3*일별반별!CT69),0)</f>
        <v/>
      </c>
      <c r="CR69" s="418" t="str">
        <f>IFERROR(IF($C69&lt;1,"",CR$3*일별반별!CU69),0)</f>
        <v/>
      </c>
      <c r="CS69" s="418" t="str">
        <f>IFERROR(IF($C69&lt;1,"",CS$3*일별반별!CV69),0)</f>
        <v/>
      </c>
      <c r="CT69" s="316" t="str">
        <f>IFERROR(IF($C69&lt;1,"",CT$3*일별반별!CW69),0)</f>
        <v/>
      </c>
      <c r="CU69" s="316" t="str">
        <f>IFERROR(IF($C69&lt;1,"",CU$3*일별반별!CX69),0)</f>
        <v/>
      </c>
      <c r="CV69" s="316" t="str">
        <f>IFERROR(IF($C69&lt;1,"",CV$3*일별반별!CY69),0)</f>
        <v/>
      </c>
      <c r="CW69" s="316" t="str">
        <f>IFERROR(IF($C69&lt;1,"",CW$3*일별반별!CZ69),0)</f>
        <v/>
      </c>
      <c r="CX69" s="316" t="str">
        <f>IFERROR(IF($C69&lt;1,"",CX$3*일별반별!DA69),0)</f>
        <v/>
      </c>
      <c r="CY69" s="316" t="str">
        <f>IF(C69&lt;1,"",(CY$3*'09월 조업일지'!AV$7))</f>
        <v/>
      </c>
      <c r="CZ69" s="316" t="str">
        <f t="shared" si="3"/>
        <v/>
      </c>
      <c r="DA69" s="316" t="str">
        <f t="shared" si="3"/>
        <v/>
      </c>
      <c r="DB69" s="316" t="str">
        <f t="shared" si="3"/>
        <v/>
      </c>
      <c r="DC69" s="316"/>
      <c r="DD69" s="419"/>
    </row>
    <row r="70" spans="1:108" ht="15" customHeight="1">
      <c r="A70" s="274">
        <f t="shared" si="2"/>
        <v>44025</v>
      </c>
      <c r="B70" s="275" t="s">
        <v>94</v>
      </c>
      <c r="C70" s="201">
        <f>COUNTIFS('09월 조업일지'!$A$12:$A$952,A66,'09월 조업일지'!$E$12:$E$952,B70)</f>
        <v>0</v>
      </c>
      <c r="D70" s="314">
        <f>IF(C70&lt;1,0,(SUM(E70:CX70)/(일별반별!BV70-1.5)+(CY70+CZ70+DA70+DB70)))</f>
        <v>0</v>
      </c>
      <c r="E70" s="278"/>
      <c r="F70" s="281"/>
      <c r="G70" s="282"/>
      <c r="H70" s="283"/>
      <c r="I70" s="283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326"/>
      <c r="U70" s="395" t="str">
        <f>IFERROR(IF($C70&lt;1,"",U$3*일별반별!X70),0)</f>
        <v/>
      </c>
      <c r="V70" s="395" t="str">
        <f>IFERROR(IF($C70&lt;1,"",V$3*일별반별!Y70),0)</f>
        <v/>
      </c>
      <c r="W70" s="395" t="str">
        <f>IFERROR(IF($C70&lt;1,"",W$3*일별반별!Z70),0)</f>
        <v/>
      </c>
      <c r="X70" s="208" t="str">
        <f>IFERROR(IF($C70&lt;1,"",X$3*일별반별!AA70),0)</f>
        <v/>
      </c>
      <c r="Y70" s="208" t="str">
        <f>IFERROR(IF($C70&lt;1,"",Y$3*일별반별!AB70),0)</f>
        <v/>
      </c>
      <c r="Z70" s="208" t="str">
        <f>IFERROR(IF($C70&lt;1,"",Z$3*일별반별!AC70),0)</f>
        <v/>
      </c>
      <c r="AA70" s="395" t="str">
        <f>IFERROR(IF($C70&lt;1,"",AA$3*일별반별!AD70),0)</f>
        <v/>
      </c>
      <c r="AB70" s="395" t="str">
        <f>IFERROR(IF($C70&lt;1,"",AB$3*일별반별!AE70),0)</f>
        <v/>
      </c>
      <c r="AC70" s="208" t="str">
        <f>IFERROR(IF($C70&lt;1,"",AC$3*일별반별!AF70),0)</f>
        <v/>
      </c>
      <c r="AD70" s="208" t="str">
        <f>IFERROR(IF($C70&lt;1,"",AD$3*일별반별!AG70),0)</f>
        <v/>
      </c>
      <c r="AE70" s="208" t="str">
        <f>IFERROR(IF($C70&lt;1,"",AE$3*일별반별!AH70),0)</f>
        <v/>
      </c>
      <c r="AF70" s="395" t="str">
        <f>IFERROR(IF($C70&lt;1,"",AF$3*일별반별!AI70),0)</f>
        <v/>
      </c>
      <c r="AG70" s="395" t="str">
        <f>IFERROR(IF($C70&lt;1,"",AG$3*일별반별!AJ70),0)</f>
        <v/>
      </c>
      <c r="AH70" s="395" t="str">
        <f>IFERROR(IF($C70&lt;1,"",AH$3*일별반별!AK70),0)</f>
        <v/>
      </c>
      <c r="AI70" s="395" t="str">
        <f>IFERROR(IF($C70&lt;1,"",AI$3*일별반별!AL70),0)</f>
        <v/>
      </c>
      <c r="AJ70" s="395" t="str">
        <f>IFERROR(IF($C70&lt;1,"",AJ$3*일별반별!AM70),0)</f>
        <v/>
      </c>
      <c r="AK70" s="395" t="str">
        <f>IFERROR(IF($C70&lt;1,"",AK$3*일별반별!AN70),0)</f>
        <v/>
      </c>
      <c r="AL70" s="395" t="str">
        <f>IFERROR(IF($C70&lt;1,"",AL$3*일별반별!AO70),0)</f>
        <v/>
      </c>
      <c r="AM70" s="395" t="str">
        <f>IFERROR(IF($C70&lt;1,"",AM$3*일별반별!AP70),0)</f>
        <v/>
      </c>
      <c r="AN70" s="395" t="str">
        <f>IFERROR(IF($C70&lt;1,"",AN$3*일별반별!AQ70),0)</f>
        <v/>
      </c>
      <c r="AO70" s="395" t="str">
        <f>IFERROR(IF($C70&lt;1,"",AO$3*일별반별!AR70),0)</f>
        <v/>
      </c>
      <c r="AP70" s="347" t="str">
        <f>IFERROR(IF($C70&lt;1,"",AP$3*일별반별!AS70),0)</f>
        <v/>
      </c>
      <c r="AQ70" s="347" t="str">
        <f>IFERROR(IF($C70&lt;1,"",AQ$3*일별반별!AT70),0)</f>
        <v/>
      </c>
      <c r="AR70" s="316" t="str">
        <f>IFERROR(IF($C70&lt;1,"",AR$3*일별반별!AU70),0)</f>
        <v/>
      </c>
      <c r="AS70" s="401" t="str">
        <f>IFERROR(IF($C70&lt;1,"",AS$3*일별반별!AV70),0)</f>
        <v/>
      </c>
      <c r="AT70" s="401" t="str">
        <f>IFERROR(IF($C70&lt;1,"",AT$3*일별반별!AW70),0)</f>
        <v/>
      </c>
      <c r="AU70" s="401" t="str">
        <f>IFERROR(IF($C70&lt;1,"",AU$3*일별반별!AX70),0)</f>
        <v/>
      </c>
      <c r="AV70" s="401" t="str">
        <f>IFERROR(IF($C70&lt;1,"",AV$3*일별반별!AY70),0)</f>
        <v/>
      </c>
      <c r="AW70" s="401" t="str">
        <f>IFERROR(IF($C70&lt;1,"",AW$3*일별반별!AZ70),0)</f>
        <v/>
      </c>
      <c r="AX70" s="401" t="str">
        <f>IFERROR(IF($C70&lt;1,"",AX$3*일별반별!BA70),0)</f>
        <v/>
      </c>
      <c r="AY70" s="401" t="str">
        <f>IFERROR(IF($C70&lt;1,"",AY$3*일별반별!BB70),0)</f>
        <v/>
      </c>
      <c r="AZ70" s="401" t="str">
        <f>IFERROR(IF($C70&lt;1,"",AZ$3*일별반별!BC70),0)</f>
        <v/>
      </c>
      <c r="BA70" s="401" t="str">
        <f>IFERROR(IF($C70&lt;1,"",BA$3*일별반별!BD70),0)</f>
        <v/>
      </c>
      <c r="BB70" s="402" t="str">
        <f>IFERROR(IF($C70&lt;1,"",BB$3*일별반별!BE70),0)</f>
        <v/>
      </c>
      <c r="BC70" s="402" t="str">
        <f>IFERROR(IF($C70&lt;1,"",BC$3*일별반별!BF70),0)</f>
        <v/>
      </c>
      <c r="BD70" s="402" t="str">
        <f>IFERROR(IF($C70&lt;1,"",BD$3*일별반별!BG70),0)</f>
        <v/>
      </c>
      <c r="BE70" s="402" t="str">
        <f>IFERROR(IF($C70&lt;1,"",BE$3*일별반별!BH70),0)</f>
        <v/>
      </c>
      <c r="BF70" s="402" t="str">
        <f>IFERROR(IF($C70&lt;1,"",BF$3*일별반별!BI70),0)</f>
        <v/>
      </c>
      <c r="BG70" s="402" t="str">
        <f>IFERROR(IF($C70&lt;1,"",BG$3*일별반별!BJ70),0)</f>
        <v/>
      </c>
      <c r="BH70" s="402" t="str">
        <f>IFERROR(IF($C70&lt;1,"",BH$3*일별반별!BK70),0)</f>
        <v/>
      </c>
      <c r="BI70" s="402" t="str">
        <f>IFERROR(IF($C70&lt;1,"",BI$3*일별반별!BL70),0)</f>
        <v/>
      </c>
      <c r="BJ70" s="402" t="str">
        <f>IFERROR(IF($C70&lt;1,"",BJ$3*일별반별!BM70),0)</f>
        <v/>
      </c>
      <c r="BK70" s="402" t="str">
        <f>IFERROR(IF($C70&lt;1,"",BK$3*일별반별!BN70),0)</f>
        <v/>
      </c>
      <c r="BL70" s="402" t="str">
        <f>IFERROR(IF($C70&lt;1,"",BL$3*일별반별!BH70),0)</f>
        <v/>
      </c>
      <c r="BM70" s="402" t="str">
        <f>IFERROR(IF($C70&lt;1,"",BM$3*일별반별!BP70),0)</f>
        <v/>
      </c>
      <c r="BN70" s="401" t="str">
        <f>IFERROR(IF($C70&lt;1,"",BN$3*일별반별!BQ70),0)</f>
        <v/>
      </c>
      <c r="BO70" s="401" t="str">
        <f>IFERROR(IF($C70&lt;1,"",BO$3*일별반별!BR70),0)</f>
        <v/>
      </c>
      <c r="BP70" s="401" t="str">
        <f>IFERROR(IF($C70&lt;1,"",BP$3*일별반별!BS70),0)</f>
        <v/>
      </c>
      <c r="BQ70" s="401" t="str">
        <f>IFERROR(IF($C70&lt;1,"",BQ$3*일별반별!BT70),0)</f>
        <v/>
      </c>
      <c r="BR70" s="417" t="str">
        <f>IFERROR(IF($C70&lt;1,"",BR$3*일별반별!BU70),0)</f>
        <v/>
      </c>
      <c r="BS70" s="417" t="str">
        <f>IFERROR(IF($C70&lt;1,"",BS$3*일별반별!BV70),0)</f>
        <v/>
      </c>
      <c r="BT70" s="417" t="str">
        <f>IFERROR(IF($C70&lt;1,"",BT$3*일별반별!BW70),0)</f>
        <v/>
      </c>
      <c r="BU70" s="316" t="str">
        <f>IFERROR(IF($C70&lt;1,"",BU$3*일별반별!BX70),0)</f>
        <v/>
      </c>
      <c r="BV70" s="316" t="str">
        <f>IFERROR(IF($C70&lt;1,"",BV$3*일별반별!BY70),0)</f>
        <v/>
      </c>
      <c r="BW70" s="316" t="str">
        <f>IFERROR(IF($C70&lt;1,"",BW$3*일별반별!BZ70),0)</f>
        <v/>
      </c>
      <c r="BX70" s="316" t="str">
        <f>IFERROR(IF($C70&lt;1,"",BX$3*일별반별!CA70),0)</f>
        <v/>
      </c>
      <c r="BY70" s="316" t="str">
        <f>IFERROR(IF($C70&lt;1,"",BY$3*일별반별!CB70),0)</f>
        <v/>
      </c>
      <c r="BZ70" s="316" t="str">
        <f>IFERROR(IF($C70&lt;1,"",BZ$3*일별반별!CC70),0)</f>
        <v/>
      </c>
      <c r="CA70" s="316" t="str">
        <f>IFERROR(IF($C70&lt;1,"",CA$3*일별반별!CD70),0)</f>
        <v/>
      </c>
      <c r="CB70" s="316" t="str">
        <f>IFERROR(IF($C70&lt;1,"",CB$3*일별반별!CE70),0)</f>
        <v/>
      </c>
      <c r="CC70" s="316" t="str">
        <f>IFERROR(IF($C70&lt;1,"",CC$3*일별반별!CF70),0)</f>
        <v/>
      </c>
      <c r="CD70" s="316" t="str">
        <f>IFERROR(IF($C70&lt;1,"",CD$3*일별반별!CG70),0)</f>
        <v/>
      </c>
      <c r="CE70" s="316" t="str">
        <f>IFERROR(IF($C70&lt;1,"",CE$3*일별반별!CH70),0)</f>
        <v/>
      </c>
      <c r="CF70" s="316" t="str">
        <f>IFERROR(IF($C70&lt;1,"",CF$3*일별반별!CI70),0)</f>
        <v/>
      </c>
      <c r="CG70" s="316" t="str">
        <f>IFERROR(IF($C70&lt;1,"",CG$3*일별반별!CJ70),0)</f>
        <v/>
      </c>
      <c r="CH70" s="316" t="str">
        <f>IFERROR(IF($C70&lt;1,"",CH$3*일별반별!CK70),0)</f>
        <v/>
      </c>
      <c r="CI70" s="316" t="str">
        <f>IFERROR(IF($C70&lt;1,"",CI$3*일별반별!CL70),0)</f>
        <v/>
      </c>
      <c r="CJ70" s="316" t="str">
        <f>IFERROR(IF($C70&lt;1,"",CJ$3*일별반별!CM70),0)</f>
        <v/>
      </c>
      <c r="CK70" s="316" t="str">
        <f>IFERROR(IF($C70&lt;1,"",CK$3*일별반별!CN70),0)</f>
        <v/>
      </c>
      <c r="CL70" s="316" t="str">
        <f>IFERROR(IF($C70&lt;1,"",CL$3*일별반별!CO70),0)</f>
        <v/>
      </c>
      <c r="CM70" s="316" t="str">
        <f>IFERROR(IF($C70&lt;1,"",CM$3*일별반별!CP70),0)</f>
        <v/>
      </c>
      <c r="CN70" s="316" t="str">
        <f>IFERROR(IF($C70&lt;1,"",CN$3*일별반별!CQ70),0)</f>
        <v/>
      </c>
      <c r="CO70" s="316" t="str">
        <f>IFERROR(IF($C70&lt;1,"",CO$3*일별반별!CR70),0)</f>
        <v/>
      </c>
      <c r="CP70" s="316" t="str">
        <f>IFERROR(IF($C70&lt;1,"",CP$3*일별반별!CS70),0)</f>
        <v/>
      </c>
      <c r="CQ70" s="316" t="str">
        <f>IFERROR(IF($C70&lt;1,"",CQ$3*일별반별!CT70),0)</f>
        <v/>
      </c>
      <c r="CR70" s="418" t="str">
        <f>IFERROR(IF($C70&lt;1,"",CR$3*일별반별!CU70),0)</f>
        <v/>
      </c>
      <c r="CS70" s="418" t="str">
        <f>IFERROR(IF($C70&lt;1,"",CS$3*일별반별!CV70),0)</f>
        <v/>
      </c>
      <c r="CT70" s="316" t="str">
        <f>IFERROR(IF($C70&lt;1,"",CT$3*일별반별!CW70),0)</f>
        <v/>
      </c>
      <c r="CU70" s="316" t="str">
        <f>IFERROR(IF($C70&lt;1,"",CU$3*일별반별!CX70),0)</f>
        <v/>
      </c>
      <c r="CV70" s="316" t="str">
        <f>IFERROR(IF($C70&lt;1,"",CV$3*일별반별!CY70),0)</f>
        <v/>
      </c>
      <c r="CW70" s="316" t="str">
        <f>IFERROR(IF($C70&lt;1,"",CW$3*일별반별!CZ70),0)</f>
        <v/>
      </c>
      <c r="CX70" s="316" t="str">
        <f>IFERROR(IF($C70&lt;1,"",CX$3*일별반별!DA70),0)</f>
        <v/>
      </c>
      <c r="CY70" s="316" t="str">
        <f>IF(C70&lt;1,"",(CY$3*'09월 조업일지'!AV$7))</f>
        <v/>
      </c>
      <c r="CZ70" s="316" t="str">
        <f t="shared" si="3"/>
        <v/>
      </c>
      <c r="DA70" s="316" t="str">
        <f t="shared" si="3"/>
        <v/>
      </c>
      <c r="DB70" s="316" t="str">
        <f t="shared" si="3"/>
        <v/>
      </c>
      <c r="DC70" s="316"/>
      <c r="DD70" s="419"/>
    </row>
    <row r="71" spans="1:108" ht="15" customHeight="1">
      <c r="A71" s="327">
        <f>A66+1</f>
        <v>44026</v>
      </c>
      <c r="B71" s="328" t="s">
        <v>31</v>
      </c>
      <c r="C71" s="329">
        <f>COUNTIF('09월 조업일지'!$A$12:$A$952,A71)</f>
        <v>0</v>
      </c>
      <c r="D71" s="330">
        <f>IF(C71&lt;1,0,(SUM(E71:CX71)/(일별반별!BV71-1.5)+(CY71+CZ71+DA71+DB71)))</f>
        <v>0</v>
      </c>
      <c r="E71" s="331"/>
      <c r="F71" s="331"/>
      <c r="G71" s="332"/>
      <c r="H71" s="333"/>
      <c r="I71" s="333"/>
      <c r="J71" s="334"/>
      <c r="K71" s="334"/>
      <c r="L71" s="334"/>
      <c r="M71" s="334"/>
      <c r="N71" s="334"/>
      <c r="O71" s="334"/>
      <c r="P71" s="334"/>
      <c r="Q71" s="335"/>
      <c r="R71" s="334"/>
      <c r="S71" s="335"/>
      <c r="T71" s="334"/>
      <c r="U71" s="337" t="str">
        <f>IFERROR(IF($C71&lt;1,"",U$3*일별반별!X71),0)</f>
        <v/>
      </c>
      <c r="V71" s="337" t="str">
        <f>IFERROR(IF($C71&lt;1,"",V$3*일별반별!Y71),0)</f>
        <v/>
      </c>
      <c r="W71" s="337" t="str">
        <f>IFERROR(IF($C71&lt;1,"",W$3*일별반별!Z71),0)</f>
        <v/>
      </c>
      <c r="X71" s="336" t="str">
        <f>IFERROR(IF($C71&lt;1,"",X$3*일별반별!AA71),0)</f>
        <v/>
      </c>
      <c r="Y71" s="336" t="str">
        <f>IFERROR(IF($C71&lt;1,"",Y$3*일별반별!AB71),0)</f>
        <v/>
      </c>
      <c r="Z71" s="336" t="str">
        <f>IFERROR(IF($C71&lt;1,"",Z$3*일별반별!AC71),0)</f>
        <v/>
      </c>
      <c r="AA71" s="337" t="str">
        <f>IFERROR(IF($C71&lt;1,"",AA$3*일별반별!AD71),0)</f>
        <v/>
      </c>
      <c r="AB71" s="337" t="str">
        <f>IFERROR(IF($C71&lt;1,"",AB$3*일별반별!AE71),0)</f>
        <v/>
      </c>
      <c r="AC71" s="336" t="str">
        <f>IFERROR(IF($C71&lt;1,"",AC$3*일별반별!AF71),0)</f>
        <v/>
      </c>
      <c r="AD71" s="336" t="str">
        <f>IFERROR(IF($C71&lt;1,"",AD$3*일별반별!AG71),0)</f>
        <v/>
      </c>
      <c r="AE71" s="336" t="str">
        <f>IFERROR(IF($C71&lt;1,"",AE$3*일별반별!AH71),0)</f>
        <v/>
      </c>
      <c r="AF71" s="337" t="str">
        <f>IFERROR(IF($C71&lt;1,"",AF$3*일별반별!AI71),0)</f>
        <v/>
      </c>
      <c r="AG71" s="337" t="str">
        <f>IFERROR(IF($C71&lt;1,"",AG$3*일별반별!AJ71),0)</f>
        <v/>
      </c>
      <c r="AH71" s="337" t="str">
        <f>IFERROR(IF($C71&lt;1,"",AH$3*일별반별!AK71),0)</f>
        <v/>
      </c>
      <c r="AI71" s="337" t="str">
        <f>IFERROR(IF($C71&lt;1,"",AI$3*일별반별!AL71),0)</f>
        <v/>
      </c>
      <c r="AJ71" s="337" t="str">
        <f>IFERROR(IF($C71&lt;1,"",AJ$3*일별반별!AM71),0)</f>
        <v/>
      </c>
      <c r="AK71" s="337" t="str">
        <f>IFERROR(IF($C71&lt;1,"",AK$3*일별반별!AN71),0)</f>
        <v/>
      </c>
      <c r="AL71" s="337" t="str">
        <f>IFERROR(IF($C71&lt;1,"",AL$3*일별반별!AO71),0)</f>
        <v/>
      </c>
      <c r="AM71" s="337" t="str">
        <f>IFERROR(IF($C71&lt;1,"",AM$3*일별반별!AP71),0)</f>
        <v/>
      </c>
      <c r="AN71" s="337" t="str">
        <f>IFERROR(IF($C71&lt;1,"",AN$3*일별반별!AQ71),0)</f>
        <v/>
      </c>
      <c r="AO71" s="337" t="str">
        <f>IFERROR(IF($C71&lt;1,"",AO$3*일별반별!AR71),0)</f>
        <v/>
      </c>
      <c r="AP71" s="337" t="str">
        <f>IFERROR(IF($C71&lt;1,"",AP$3*일별반별!AS71),0)</f>
        <v/>
      </c>
      <c r="AQ71" s="337" t="str">
        <f>IFERROR(IF($C71&lt;1,"",AQ$3*일별반별!AT71),0)</f>
        <v/>
      </c>
      <c r="AR71" s="337" t="str">
        <f>IFERROR(IF($C71&lt;1,"",AR$3*일별반별!AU71),0)</f>
        <v/>
      </c>
      <c r="AS71" s="403" t="str">
        <f>IFERROR(IF($C71&lt;1,"",AS$3*일별반별!AV71),0)</f>
        <v/>
      </c>
      <c r="AT71" s="403" t="str">
        <f>IFERROR(IF($C71&lt;1,"",AT$3*일별반별!AW71),0)</f>
        <v/>
      </c>
      <c r="AU71" s="403" t="str">
        <f>IFERROR(IF($C71&lt;1,"",AU$3*일별반별!AX71),0)</f>
        <v/>
      </c>
      <c r="AV71" s="403" t="str">
        <f>IFERROR(IF($C71&lt;1,"",AV$3*일별반별!AY71),0)</f>
        <v/>
      </c>
      <c r="AW71" s="403" t="str">
        <f>IFERROR(IF($C71&lt;1,"",AW$3*일별반별!AZ71),0)</f>
        <v/>
      </c>
      <c r="AX71" s="403" t="str">
        <f>IFERROR(IF($C71&lt;1,"",AX$3*일별반별!BA71),0)</f>
        <v/>
      </c>
      <c r="AY71" s="403" t="str">
        <f>IFERROR(IF($C71&lt;1,"",AY$3*일별반별!BB71),0)</f>
        <v/>
      </c>
      <c r="AZ71" s="403" t="str">
        <f>IFERROR(IF($C71&lt;1,"",AZ$3*일별반별!BC71),0)</f>
        <v/>
      </c>
      <c r="BA71" s="403" t="str">
        <f>IFERROR(IF($C71&lt;1,"",BA$3*일별반별!BD71),0)</f>
        <v/>
      </c>
      <c r="BB71" s="403" t="str">
        <f>IFERROR(IF($C71&lt;1,"",BB$3*일별반별!BE71),0)</f>
        <v/>
      </c>
      <c r="BC71" s="403" t="str">
        <f>IFERROR(IF($C71&lt;1,"",BC$3*일별반별!BF71),0)</f>
        <v/>
      </c>
      <c r="BD71" s="403" t="str">
        <f>IFERROR(IF($C71&lt;1,"",BD$3*일별반별!BG71),0)</f>
        <v/>
      </c>
      <c r="BE71" s="403" t="str">
        <f>IFERROR(IF($C71&lt;1,"",BE$3*일별반별!BH71),0)</f>
        <v/>
      </c>
      <c r="BF71" s="403" t="str">
        <f>IFERROR(IF($C71&lt;1,"",BF$3*일별반별!BI71),0)</f>
        <v/>
      </c>
      <c r="BG71" s="403" t="str">
        <f>IFERROR(IF($C71&lt;1,"",BG$3*일별반별!BJ71),0)</f>
        <v/>
      </c>
      <c r="BH71" s="403" t="str">
        <f>IFERROR(IF($C71&lt;1,"",BH$3*일별반별!BK71),0)</f>
        <v/>
      </c>
      <c r="BI71" s="403" t="str">
        <f>IFERROR(IF($C71&lt;1,"",BI$3*일별반별!BL71),0)</f>
        <v/>
      </c>
      <c r="BJ71" s="403" t="str">
        <f>IFERROR(IF($C71&lt;1,"",BJ$3*일별반별!BM71),0)</f>
        <v/>
      </c>
      <c r="BK71" s="403" t="str">
        <f>IFERROR(IF($C71&lt;1,"",BK$3*일별반별!BN71),0)</f>
        <v/>
      </c>
      <c r="BL71" s="403" t="str">
        <f>IFERROR(IF($C71&lt;1,"",BL$3*일별반별!BH71),0)</f>
        <v/>
      </c>
      <c r="BM71" s="403" t="str">
        <f>IFERROR(IF($C71&lt;1,"",BM$3*일별반별!BP71),0)</f>
        <v/>
      </c>
      <c r="BN71" s="403" t="str">
        <f>IFERROR(IF($C71&lt;1,"",BN$3*일별반별!BQ71),0)</f>
        <v/>
      </c>
      <c r="BO71" s="403" t="str">
        <f>IFERROR(IF($C71&lt;1,"",BO$3*일별반별!BR71),0)</f>
        <v/>
      </c>
      <c r="BP71" s="403" t="str">
        <f>IFERROR(IF($C71&lt;1,"",BP$3*일별반별!BS71),0)</f>
        <v/>
      </c>
      <c r="BQ71" s="403" t="str">
        <f>IFERROR(IF($C71&lt;1,"",BQ$3*일별반별!BT71),0)</f>
        <v/>
      </c>
      <c r="BR71" s="337" t="str">
        <f>IFERROR(IF($C71&lt;1,"",BR$3*일별반별!BU71),0)</f>
        <v/>
      </c>
      <c r="BS71" s="337" t="str">
        <f>IFERROR(IF($C71&lt;1,"",BS$3*일별반별!BV71),0)</f>
        <v/>
      </c>
      <c r="BT71" s="337" t="str">
        <f>IFERROR(IF($C71&lt;1,"",BT$3*일별반별!BW71),0)</f>
        <v/>
      </c>
      <c r="BU71" s="337" t="str">
        <f>IFERROR(IF($C71&lt;1,"",BU$3*일별반별!BX71),0)</f>
        <v/>
      </c>
      <c r="BV71" s="337" t="str">
        <f>IFERROR(IF($C71&lt;1,"",BV$3*일별반별!BY71),0)</f>
        <v/>
      </c>
      <c r="BW71" s="337" t="str">
        <f>IFERROR(IF($C71&lt;1,"",BW$3*일별반별!BZ71),0)</f>
        <v/>
      </c>
      <c r="BX71" s="337" t="str">
        <f>IFERROR(IF($C71&lt;1,"",BX$3*일별반별!CA71),0)</f>
        <v/>
      </c>
      <c r="BY71" s="337" t="str">
        <f>IFERROR(IF($C71&lt;1,"",BY$3*일별반별!CB71),0)</f>
        <v/>
      </c>
      <c r="BZ71" s="337" t="str">
        <f>IFERROR(IF($C71&lt;1,"",BZ$3*일별반별!CC71),0)</f>
        <v/>
      </c>
      <c r="CA71" s="337" t="str">
        <f>IFERROR(IF($C71&lt;1,"",CA$3*일별반별!CD71),0)</f>
        <v/>
      </c>
      <c r="CB71" s="337" t="str">
        <f>IFERROR(IF($C71&lt;1,"",CB$3*일별반별!CE71),0)</f>
        <v/>
      </c>
      <c r="CC71" s="337" t="str">
        <f>IFERROR(IF($C71&lt;1,"",CC$3*일별반별!CF71),0)</f>
        <v/>
      </c>
      <c r="CD71" s="337" t="str">
        <f>IFERROR(IF($C71&lt;1,"",CD$3*일별반별!CG71),0)</f>
        <v/>
      </c>
      <c r="CE71" s="337" t="str">
        <f>IFERROR(IF($C71&lt;1,"",CE$3*일별반별!CH71),0)</f>
        <v/>
      </c>
      <c r="CF71" s="337" t="str">
        <f>IFERROR(IF($C71&lt;1,"",CF$3*일별반별!CI71),0)</f>
        <v/>
      </c>
      <c r="CG71" s="337" t="str">
        <f>IFERROR(IF($C71&lt;1,"",CG$3*일별반별!CJ71),0)</f>
        <v/>
      </c>
      <c r="CH71" s="337" t="str">
        <f>IFERROR(IF($C71&lt;1,"",CH$3*일별반별!CK71),0)</f>
        <v/>
      </c>
      <c r="CI71" s="337" t="str">
        <f>IFERROR(IF($C71&lt;1,"",CI$3*일별반별!CL71),0)</f>
        <v/>
      </c>
      <c r="CJ71" s="337" t="str">
        <f>IFERROR(IF($C71&lt;1,"",CJ$3*일별반별!CM71),0)</f>
        <v/>
      </c>
      <c r="CK71" s="337" t="str">
        <f>IFERROR(IF($C71&lt;1,"",CK$3*일별반별!CN71),0)</f>
        <v/>
      </c>
      <c r="CL71" s="337" t="str">
        <f>IFERROR(IF($C71&lt;1,"",CL$3*일별반별!CO71),0)</f>
        <v/>
      </c>
      <c r="CM71" s="337" t="str">
        <f>IFERROR(IF($C71&lt;1,"",CM$3*일별반별!CP71),0)</f>
        <v/>
      </c>
      <c r="CN71" s="337" t="str">
        <f>IFERROR(IF($C71&lt;1,"",CN$3*일별반별!CQ71),0)</f>
        <v/>
      </c>
      <c r="CO71" s="337" t="str">
        <f>IFERROR(IF($C71&lt;1,"",CO$3*일별반별!CR71),0)</f>
        <v/>
      </c>
      <c r="CP71" s="337" t="str">
        <f>IFERROR(IF($C71&lt;1,"",CP$3*일별반별!CS71),0)</f>
        <v/>
      </c>
      <c r="CQ71" s="337" t="str">
        <f>IFERROR(IF($C71&lt;1,"",CQ$3*일별반별!CT71),0)</f>
        <v/>
      </c>
      <c r="CR71" s="420" t="str">
        <f>IFERROR(IF($C71&lt;1,"",CR$3*일별반별!CU71),0)</f>
        <v/>
      </c>
      <c r="CS71" s="420" t="str">
        <f>IFERROR(IF($C71&lt;1,"",CS$3*일별반별!CV71),0)</f>
        <v/>
      </c>
      <c r="CT71" s="337" t="str">
        <f>IFERROR(IF($C71&lt;1,"",CT$3*일별반별!CW71),0)</f>
        <v/>
      </c>
      <c r="CU71" s="337" t="str">
        <f>IFERROR(IF($C71&lt;1,"",CU$3*일별반별!CX71),0)</f>
        <v/>
      </c>
      <c r="CV71" s="337" t="str">
        <f>IFERROR(IF($C71&lt;1,"",CV$3*일별반별!CY71),0)</f>
        <v/>
      </c>
      <c r="CW71" s="337" t="str">
        <f>IFERROR(IF($C71&lt;1,"",CW$3*일별반별!CZ71),0)</f>
        <v/>
      </c>
      <c r="CX71" s="337" t="str">
        <f>IFERROR(IF($C71&lt;1,"",CX$3*일별반별!DA71),0)</f>
        <v/>
      </c>
      <c r="CY71" s="316" t="str">
        <f>IF(C71&lt;1,"",(CY$3*'09월 조업일지'!AV$7))</f>
        <v/>
      </c>
      <c r="CZ71" s="316" t="str">
        <f t="shared" ref="CZ71:DB102" si="4">IF($C71&lt;1,"",CZ$3)</f>
        <v/>
      </c>
      <c r="DA71" s="316" t="str">
        <f t="shared" si="4"/>
        <v/>
      </c>
      <c r="DB71" s="316" t="str">
        <f t="shared" si="4"/>
        <v/>
      </c>
      <c r="DC71" s="316"/>
      <c r="DD71" s="419"/>
    </row>
    <row r="72" spans="1:108" ht="15" customHeight="1">
      <c r="A72" s="274">
        <f t="shared" si="2"/>
        <v>44026</v>
      </c>
      <c r="B72" s="275" t="s">
        <v>9</v>
      </c>
      <c r="C72" s="201">
        <f>COUNTIFS('09월 조업일지'!$A$12:$A$952,A71,'09월 조업일지'!$E$12:$E$952,B72)</f>
        <v>0</v>
      </c>
      <c r="D72" s="314">
        <f>IF(C72&lt;1,0,(SUM(E72:CX72)/(일별반별!BV72-1.5)+(CY72+CZ72+DA72+DB72)))</f>
        <v>0</v>
      </c>
      <c r="E72" s="278"/>
      <c r="F72" s="281"/>
      <c r="G72" s="282"/>
      <c r="H72" s="283"/>
      <c r="I72" s="283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326"/>
      <c r="U72" s="395" t="str">
        <f>IFERROR(IF($C72&lt;1,"",U$3*일별반별!X72),0)</f>
        <v/>
      </c>
      <c r="V72" s="395" t="str">
        <f>IFERROR(IF($C72&lt;1,"",V$3*일별반별!Y72),0)</f>
        <v/>
      </c>
      <c r="W72" s="395" t="str">
        <f>IFERROR(IF($C72&lt;1,"",W$3*일별반별!Z72),0)</f>
        <v/>
      </c>
      <c r="X72" s="208" t="str">
        <f>IFERROR(IF($C72&lt;1,"",X$3*일별반별!AA72),0)</f>
        <v/>
      </c>
      <c r="Y72" s="208" t="str">
        <f>IFERROR(IF($C72&lt;1,"",Y$3*일별반별!AB72),0)</f>
        <v/>
      </c>
      <c r="Z72" s="208" t="str">
        <f>IFERROR(IF($C72&lt;1,"",Z$3*일별반별!AC72),0)</f>
        <v/>
      </c>
      <c r="AA72" s="395" t="str">
        <f>IFERROR(IF($C72&lt;1,"",AA$3*일별반별!AD72),0)</f>
        <v/>
      </c>
      <c r="AB72" s="395" t="str">
        <f>IFERROR(IF($C72&lt;1,"",AB$3*일별반별!AE72),0)</f>
        <v/>
      </c>
      <c r="AC72" s="208" t="str">
        <f>IFERROR(IF($C72&lt;1,"",AC$3*일별반별!AF72),0)</f>
        <v/>
      </c>
      <c r="AD72" s="208" t="str">
        <f>IFERROR(IF($C72&lt;1,"",AD$3*일별반별!AG72),0)</f>
        <v/>
      </c>
      <c r="AE72" s="208" t="str">
        <f>IFERROR(IF($C72&lt;1,"",AE$3*일별반별!AH72),0)</f>
        <v/>
      </c>
      <c r="AF72" s="395" t="str">
        <f>IFERROR(IF($C72&lt;1,"",AF$3*일별반별!AI72),0)</f>
        <v/>
      </c>
      <c r="AG72" s="395" t="str">
        <f>IFERROR(IF($C72&lt;1,"",AG$3*일별반별!AJ72),0)</f>
        <v/>
      </c>
      <c r="AH72" s="395" t="str">
        <f>IFERROR(IF($C72&lt;1,"",AH$3*일별반별!AK72),0)</f>
        <v/>
      </c>
      <c r="AI72" s="395" t="str">
        <f>IFERROR(IF($C72&lt;1,"",AI$3*일별반별!AL72),0)</f>
        <v/>
      </c>
      <c r="AJ72" s="395" t="str">
        <f>IFERROR(IF($C72&lt;1,"",AJ$3*일별반별!AM72),0)</f>
        <v/>
      </c>
      <c r="AK72" s="395" t="str">
        <f>IFERROR(IF($C72&lt;1,"",AK$3*일별반별!AN72),0)</f>
        <v/>
      </c>
      <c r="AL72" s="395" t="str">
        <f>IFERROR(IF($C72&lt;1,"",AL$3*일별반별!AO72),0)</f>
        <v/>
      </c>
      <c r="AM72" s="395" t="str">
        <f>IFERROR(IF($C72&lt;1,"",AM$3*일별반별!AP72),0)</f>
        <v/>
      </c>
      <c r="AN72" s="395" t="str">
        <f>IFERROR(IF($C72&lt;1,"",AN$3*일별반별!AQ72),0)</f>
        <v/>
      </c>
      <c r="AO72" s="395" t="str">
        <f>IFERROR(IF($C72&lt;1,"",AO$3*일별반별!AR72),0)</f>
        <v/>
      </c>
      <c r="AP72" s="347" t="str">
        <f>IFERROR(IF($C72&lt;1,"",AP$3*일별반별!AS72),0)</f>
        <v/>
      </c>
      <c r="AQ72" s="347" t="str">
        <f>IFERROR(IF($C72&lt;1,"",AQ$3*일별반별!AT72),0)</f>
        <v/>
      </c>
      <c r="AR72" s="316" t="str">
        <f>IFERROR(IF($C72&lt;1,"",AR$3*일별반별!AU72),0)</f>
        <v/>
      </c>
      <c r="AS72" s="401" t="str">
        <f>IFERROR(IF($C72&lt;1,"",AS$3*일별반별!AV72),0)</f>
        <v/>
      </c>
      <c r="AT72" s="401" t="str">
        <f>IFERROR(IF($C72&lt;1,"",AT$3*일별반별!AW72),0)</f>
        <v/>
      </c>
      <c r="AU72" s="401" t="str">
        <f>IFERROR(IF($C72&lt;1,"",AU$3*일별반별!AX72),0)</f>
        <v/>
      </c>
      <c r="AV72" s="401" t="str">
        <f>IFERROR(IF($C72&lt;1,"",AV$3*일별반별!AY72),0)</f>
        <v/>
      </c>
      <c r="AW72" s="401" t="str">
        <f>IFERROR(IF($C72&lt;1,"",AW$3*일별반별!AZ72),0)</f>
        <v/>
      </c>
      <c r="AX72" s="401" t="str">
        <f>IFERROR(IF($C72&lt;1,"",AX$3*일별반별!BA72),0)</f>
        <v/>
      </c>
      <c r="AY72" s="401" t="str">
        <f>IFERROR(IF($C72&lt;1,"",AY$3*일별반별!BB72),0)</f>
        <v/>
      </c>
      <c r="AZ72" s="401" t="str">
        <f>IFERROR(IF($C72&lt;1,"",AZ$3*일별반별!BC72),0)</f>
        <v/>
      </c>
      <c r="BA72" s="401" t="str">
        <f>IFERROR(IF($C72&lt;1,"",BA$3*일별반별!BD72),0)</f>
        <v/>
      </c>
      <c r="BB72" s="402" t="str">
        <f>IFERROR(IF($C72&lt;1,"",BB$3*일별반별!BE72),0)</f>
        <v/>
      </c>
      <c r="BC72" s="402" t="str">
        <f>IFERROR(IF($C72&lt;1,"",BC$3*일별반별!BF72),0)</f>
        <v/>
      </c>
      <c r="BD72" s="402" t="str">
        <f>IFERROR(IF($C72&lt;1,"",BD$3*일별반별!BG72),0)</f>
        <v/>
      </c>
      <c r="BE72" s="402" t="str">
        <f>IFERROR(IF($C72&lt;1,"",BE$3*일별반별!BH72),0)</f>
        <v/>
      </c>
      <c r="BF72" s="402" t="str">
        <f>IFERROR(IF($C72&lt;1,"",BF$3*일별반별!BI72),0)</f>
        <v/>
      </c>
      <c r="BG72" s="402" t="str">
        <f>IFERROR(IF($C72&lt;1,"",BG$3*일별반별!BJ72),0)</f>
        <v/>
      </c>
      <c r="BH72" s="402" t="str">
        <f>IFERROR(IF($C72&lt;1,"",BH$3*일별반별!BK72),0)</f>
        <v/>
      </c>
      <c r="BI72" s="402" t="str">
        <f>IFERROR(IF($C72&lt;1,"",BI$3*일별반별!BL72),0)</f>
        <v/>
      </c>
      <c r="BJ72" s="402" t="str">
        <f>IFERROR(IF($C72&lt;1,"",BJ$3*일별반별!BM72),0)</f>
        <v/>
      </c>
      <c r="BK72" s="402" t="str">
        <f>IFERROR(IF($C72&lt;1,"",BK$3*일별반별!BN72),0)</f>
        <v/>
      </c>
      <c r="BL72" s="402" t="str">
        <f>IFERROR(IF($C72&lt;1,"",BL$3*일별반별!BH72),0)</f>
        <v/>
      </c>
      <c r="BM72" s="402" t="str">
        <f>IFERROR(IF($C72&lt;1,"",BM$3*일별반별!BP72),0)</f>
        <v/>
      </c>
      <c r="BN72" s="401" t="str">
        <f>IFERROR(IF($C72&lt;1,"",BN$3*일별반별!BQ72),0)</f>
        <v/>
      </c>
      <c r="BO72" s="401" t="str">
        <f>IFERROR(IF($C72&lt;1,"",BO$3*일별반별!BR72),0)</f>
        <v/>
      </c>
      <c r="BP72" s="401" t="str">
        <f>IFERROR(IF($C72&lt;1,"",BP$3*일별반별!BS72),0)</f>
        <v/>
      </c>
      <c r="BQ72" s="401" t="str">
        <f>IFERROR(IF($C72&lt;1,"",BQ$3*일별반별!BT72),0)</f>
        <v/>
      </c>
      <c r="BR72" s="417" t="str">
        <f>IFERROR(IF($C72&lt;1,"",BR$3*일별반별!BU72),0)</f>
        <v/>
      </c>
      <c r="BS72" s="417" t="str">
        <f>IFERROR(IF($C72&lt;1,"",BS$3*일별반별!BV72),0)</f>
        <v/>
      </c>
      <c r="BT72" s="417" t="str">
        <f>IFERROR(IF($C72&lt;1,"",BT$3*일별반별!BW72),0)</f>
        <v/>
      </c>
      <c r="BU72" s="316" t="str">
        <f>IFERROR(IF($C72&lt;1,"",BU$3*일별반별!BX72),0)</f>
        <v/>
      </c>
      <c r="BV72" s="316" t="str">
        <f>IFERROR(IF($C72&lt;1,"",BV$3*일별반별!BY72),0)</f>
        <v/>
      </c>
      <c r="BW72" s="316" t="str">
        <f>IFERROR(IF($C72&lt;1,"",BW$3*일별반별!BZ72),0)</f>
        <v/>
      </c>
      <c r="BX72" s="316" t="str">
        <f>IFERROR(IF($C72&lt;1,"",BX$3*일별반별!CA72),0)</f>
        <v/>
      </c>
      <c r="BY72" s="316" t="str">
        <f>IFERROR(IF($C72&lt;1,"",BY$3*일별반별!CB72),0)</f>
        <v/>
      </c>
      <c r="BZ72" s="316" t="str">
        <f>IFERROR(IF($C72&lt;1,"",BZ$3*일별반별!CC72),0)</f>
        <v/>
      </c>
      <c r="CA72" s="316" t="str">
        <f>IFERROR(IF($C72&lt;1,"",CA$3*일별반별!CD72),0)</f>
        <v/>
      </c>
      <c r="CB72" s="316" t="str">
        <f>IFERROR(IF($C72&lt;1,"",CB$3*일별반별!CE72),0)</f>
        <v/>
      </c>
      <c r="CC72" s="316" t="str">
        <f>IFERROR(IF($C72&lt;1,"",CC$3*일별반별!CF72),0)</f>
        <v/>
      </c>
      <c r="CD72" s="316" t="str">
        <f>IFERROR(IF($C72&lt;1,"",CD$3*일별반별!CG72),0)</f>
        <v/>
      </c>
      <c r="CE72" s="316" t="str">
        <f>IFERROR(IF($C72&lt;1,"",CE$3*일별반별!CH72),0)</f>
        <v/>
      </c>
      <c r="CF72" s="316" t="str">
        <f>IFERROR(IF($C72&lt;1,"",CF$3*일별반별!CI72),0)</f>
        <v/>
      </c>
      <c r="CG72" s="316" t="str">
        <f>IFERROR(IF($C72&lt;1,"",CG$3*일별반별!CJ72),0)</f>
        <v/>
      </c>
      <c r="CH72" s="316" t="str">
        <f>IFERROR(IF($C72&lt;1,"",CH$3*일별반별!CK72),0)</f>
        <v/>
      </c>
      <c r="CI72" s="316" t="str">
        <f>IFERROR(IF($C72&lt;1,"",CI$3*일별반별!CL72),0)</f>
        <v/>
      </c>
      <c r="CJ72" s="316" t="str">
        <f>IFERROR(IF($C72&lt;1,"",CJ$3*일별반별!CM72),0)</f>
        <v/>
      </c>
      <c r="CK72" s="316" t="str">
        <f>IFERROR(IF($C72&lt;1,"",CK$3*일별반별!CN72),0)</f>
        <v/>
      </c>
      <c r="CL72" s="316" t="str">
        <f>IFERROR(IF($C72&lt;1,"",CL$3*일별반별!CO72),0)</f>
        <v/>
      </c>
      <c r="CM72" s="316" t="str">
        <f>IFERROR(IF($C72&lt;1,"",CM$3*일별반별!CP72),0)</f>
        <v/>
      </c>
      <c r="CN72" s="316" t="str">
        <f>IFERROR(IF($C72&lt;1,"",CN$3*일별반별!CQ72),0)</f>
        <v/>
      </c>
      <c r="CO72" s="316" t="str">
        <f>IFERROR(IF($C72&lt;1,"",CO$3*일별반별!CR72),0)</f>
        <v/>
      </c>
      <c r="CP72" s="316" t="str">
        <f>IFERROR(IF($C72&lt;1,"",CP$3*일별반별!CS72),0)</f>
        <v/>
      </c>
      <c r="CQ72" s="316" t="str">
        <f>IFERROR(IF($C72&lt;1,"",CQ$3*일별반별!CT72),0)</f>
        <v/>
      </c>
      <c r="CR72" s="418" t="str">
        <f>IFERROR(IF($C72&lt;1,"",CR$3*일별반별!CU72),0)</f>
        <v/>
      </c>
      <c r="CS72" s="418" t="str">
        <f>IFERROR(IF($C72&lt;1,"",CS$3*일별반별!CV72),0)</f>
        <v/>
      </c>
      <c r="CT72" s="316" t="str">
        <f>IFERROR(IF($C72&lt;1,"",CT$3*일별반별!CW72),0)</f>
        <v/>
      </c>
      <c r="CU72" s="316" t="str">
        <f>IFERROR(IF($C72&lt;1,"",CU$3*일별반별!CX72),0)</f>
        <v/>
      </c>
      <c r="CV72" s="316" t="str">
        <f>IFERROR(IF($C72&lt;1,"",CV$3*일별반별!CY72),0)</f>
        <v/>
      </c>
      <c r="CW72" s="316" t="str">
        <f>IFERROR(IF($C72&lt;1,"",CW$3*일별반별!CZ72),0)</f>
        <v/>
      </c>
      <c r="CX72" s="316" t="str">
        <f>IFERROR(IF($C72&lt;1,"",CX$3*일별반별!DA72),0)</f>
        <v/>
      </c>
      <c r="CY72" s="316" t="str">
        <f>IF(C72&lt;1,"",(CY$3*'09월 조업일지'!AV$7))</f>
        <v/>
      </c>
      <c r="CZ72" s="316" t="str">
        <f t="shared" si="4"/>
        <v/>
      </c>
      <c r="DA72" s="316" t="str">
        <f t="shared" si="4"/>
        <v/>
      </c>
      <c r="DB72" s="316" t="str">
        <f t="shared" si="4"/>
        <v/>
      </c>
      <c r="DC72" s="316"/>
      <c r="DD72" s="419"/>
    </row>
    <row r="73" spans="1:108" ht="15" customHeight="1">
      <c r="A73" s="274">
        <f t="shared" si="2"/>
        <v>44026</v>
      </c>
      <c r="B73" s="275" t="s">
        <v>100</v>
      </c>
      <c r="C73" s="201">
        <f>COUNTIFS('09월 조업일지'!$A$12:$A$952,A71,'09월 조업일지'!$E$12:$E$952,B73)</f>
        <v>0</v>
      </c>
      <c r="D73" s="314">
        <f>IF(C73&lt;1,0,(SUM(E73:CX73)/(일별반별!BV73-1.5)+(CY73+CZ73+DA73+DB73)))</f>
        <v>0</v>
      </c>
      <c r="E73" s="278"/>
      <c r="F73" s="281"/>
      <c r="G73" s="282"/>
      <c r="H73" s="283"/>
      <c r="I73" s="283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326"/>
      <c r="U73" s="395" t="str">
        <f>IFERROR(IF($C73&lt;1,"",U$3*일별반별!X73),0)</f>
        <v/>
      </c>
      <c r="V73" s="395" t="str">
        <f>IFERROR(IF($C73&lt;1,"",V$3*일별반별!Y73),0)</f>
        <v/>
      </c>
      <c r="W73" s="395" t="str">
        <f>IFERROR(IF($C73&lt;1,"",W$3*일별반별!Z73),0)</f>
        <v/>
      </c>
      <c r="X73" s="208" t="str">
        <f>IFERROR(IF($C73&lt;1,"",X$3*일별반별!AA73),0)</f>
        <v/>
      </c>
      <c r="Y73" s="208" t="str">
        <f>IFERROR(IF($C73&lt;1,"",Y$3*일별반별!AB73),0)</f>
        <v/>
      </c>
      <c r="Z73" s="208" t="str">
        <f>IFERROR(IF($C73&lt;1,"",Z$3*일별반별!AC73),0)</f>
        <v/>
      </c>
      <c r="AA73" s="395" t="str">
        <f>IFERROR(IF($C73&lt;1,"",AA$3*일별반별!AD73),0)</f>
        <v/>
      </c>
      <c r="AB73" s="395" t="str">
        <f>IFERROR(IF($C73&lt;1,"",AB$3*일별반별!AE73),0)</f>
        <v/>
      </c>
      <c r="AC73" s="208" t="str">
        <f>IFERROR(IF($C73&lt;1,"",AC$3*일별반별!AF73),0)</f>
        <v/>
      </c>
      <c r="AD73" s="208" t="str">
        <f>IFERROR(IF($C73&lt;1,"",AD$3*일별반별!AG73),0)</f>
        <v/>
      </c>
      <c r="AE73" s="208" t="str">
        <f>IFERROR(IF($C73&lt;1,"",AE$3*일별반별!AH73),0)</f>
        <v/>
      </c>
      <c r="AF73" s="395" t="str">
        <f>IFERROR(IF($C73&lt;1,"",AF$3*일별반별!AI73),0)</f>
        <v/>
      </c>
      <c r="AG73" s="395" t="str">
        <f>IFERROR(IF($C73&lt;1,"",AG$3*일별반별!AJ73),0)</f>
        <v/>
      </c>
      <c r="AH73" s="395" t="str">
        <f>IFERROR(IF($C73&lt;1,"",AH$3*일별반별!AK73),0)</f>
        <v/>
      </c>
      <c r="AI73" s="395" t="str">
        <f>IFERROR(IF($C73&lt;1,"",AI$3*일별반별!AL73),0)</f>
        <v/>
      </c>
      <c r="AJ73" s="395" t="str">
        <f>IFERROR(IF($C73&lt;1,"",AJ$3*일별반별!AM73),0)</f>
        <v/>
      </c>
      <c r="AK73" s="395" t="str">
        <f>IFERROR(IF($C73&lt;1,"",AK$3*일별반별!AN73),0)</f>
        <v/>
      </c>
      <c r="AL73" s="395" t="str">
        <f>IFERROR(IF($C73&lt;1,"",AL$3*일별반별!AO73),0)</f>
        <v/>
      </c>
      <c r="AM73" s="395" t="str">
        <f>IFERROR(IF($C73&lt;1,"",AM$3*일별반별!AP73),0)</f>
        <v/>
      </c>
      <c r="AN73" s="395" t="str">
        <f>IFERROR(IF($C73&lt;1,"",AN$3*일별반별!AQ73),0)</f>
        <v/>
      </c>
      <c r="AO73" s="395" t="str">
        <f>IFERROR(IF($C73&lt;1,"",AO$3*일별반별!AR73),0)</f>
        <v/>
      </c>
      <c r="AP73" s="347" t="str">
        <f>IFERROR(IF($C73&lt;1,"",AP$3*일별반별!AS73),0)</f>
        <v/>
      </c>
      <c r="AQ73" s="347" t="str">
        <f>IFERROR(IF($C73&lt;1,"",AQ$3*일별반별!AT73),0)</f>
        <v/>
      </c>
      <c r="AR73" s="316" t="str">
        <f>IFERROR(IF($C73&lt;1,"",AR$3*일별반별!AU73),0)</f>
        <v/>
      </c>
      <c r="AS73" s="401" t="str">
        <f>IFERROR(IF($C73&lt;1,"",AS$3*일별반별!AV73),0)</f>
        <v/>
      </c>
      <c r="AT73" s="401" t="str">
        <f>IFERROR(IF($C73&lt;1,"",AT$3*일별반별!AW73),0)</f>
        <v/>
      </c>
      <c r="AU73" s="401" t="str">
        <f>IFERROR(IF($C73&lt;1,"",AU$3*일별반별!AX73),0)</f>
        <v/>
      </c>
      <c r="AV73" s="401" t="str">
        <f>IFERROR(IF($C73&lt;1,"",AV$3*일별반별!AY73),0)</f>
        <v/>
      </c>
      <c r="AW73" s="401" t="str">
        <f>IFERROR(IF($C73&lt;1,"",AW$3*일별반별!AZ73),0)</f>
        <v/>
      </c>
      <c r="AX73" s="401" t="str">
        <f>IFERROR(IF($C73&lt;1,"",AX$3*일별반별!BA73),0)</f>
        <v/>
      </c>
      <c r="AY73" s="401" t="str">
        <f>IFERROR(IF($C73&lt;1,"",AY$3*일별반별!BB73),0)</f>
        <v/>
      </c>
      <c r="AZ73" s="401" t="str">
        <f>IFERROR(IF($C73&lt;1,"",AZ$3*일별반별!BC73),0)</f>
        <v/>
      </c>
      <c r="BA73" s="401" t="str">
        <f>IFERROR(IF($C73&lt;1,"",BA$3*일별반별!BD73),0)</f>
        <v/>
      </c>
      <c r="BB73" s="402" t="str">
        <f>IFERROR(IF($C73&lt;1,"",BB$3*일별반별!BE73),0)</f>
        <v/>
      </c>
      <c r="BC73" s="402" t="str">
        <f>IFERROR(IF($C73&lt;1,"",BC$3*일별반별!BF73),0)</f>
        <v/>
      </c>
      <c r="BD73" s="402" t="str">
        <f>IFERROR(IF($C73&lt;1,"",BD$3*일별반별!BG73),0)</f>
        <v/>
      </c>
      <c r="BE73" s="402" t="str">
        <f>IFERROR(IF($C73&lt;1,"",BE$3*일별반별!BH73),0)</f>
        <v/>
      </c>
      <c r="BF73" s="402" t="str">
        <f>IFERROR(IF($C73&lt;1,"",BF$3*일별반별!BI73),0)</f>
        <v/>
      </c>
      <c r="BG73" s="402" t="str">
        <f>IFERROR(IF($C73&lt;1,"",BG$3*일별반별!BJ73),0)</f>
        <v/>
      </c>
      <c r="BH73" s="402" t="str">
        <f>IFERROR(IF($C73&lt;1,"",BH$3*일별반별!BK73),0)</f>
        <v/>
      </c>
      <c r="BI73" s="402" t="str">
        <f>IFERROR(IF($C73&lt;1,"",BI$3*일별반별!BL73),0)</f>
        <v/>
      </c>
      <c r="BJ73" s="402" t="str">
        <f>IFERROR(IF($C73&lt;1,"",BJ$3*일별반별!BM73),0)</f>
        <v/>
      </c>
      <c r="BK73" s="402" t="str">
        <f>IFERROR(IF($C73&lt;1,"",BK$3*일별반별!BN73),0)</f>
        <v/>
      </c>
      <c r="BL73" s="402" t="str">
        <f>IFERROR(IF($C73&lt;1,"",BL$3*일별반별!BH73),0)</f>
        <v/>
      </c>
      <c r="BM73" s="402" t="str">
        <f>IFERROR(IF($C73&lt;1,"",BM$3*일별반별!BP73),0)</f>
        <v/>
      </c>
      <c r="BN73" s="401" t="str">
        <f>IFERROR(IF($C73&lt;1,"",BN$3*일별반별!BQ73),0)</f>
        <v/>
      </c>
      <c r="BO73" s="401" t="str">
        <f>IFERROR(IF($C73&lt;1,"",BO$3*일별반별!BR73),0)</f>
        <v/>
      </c>
      <c r="BP73" s="401" t="str">
        <f>IFERROR(IF($C73&lt;1,"",BP$3*일별반별!BS73),0)</f>
        <v/>
      </c>
      <c r="BQ73" s="401" t="str">
        <f>IFERROR(IF($C73&lt;1,"",BQ$3*일별반별!BT73),0)</f>
        <v/>
      </c>
      <c r="BR73" s="417" t="str">
        <f>IFERROR(IF($C73&lt;1,"",BR$3*일별반별!BU73),0)</f>
        <v/>
      </c>
      <c r="BS73" s="417" t="str">
        <f>IFERROR(IF($C73&lt;1,"",BS$3*일별반별!BV73),0)</f>
        <v/>
      </c>
      <c r="BT73" s="417" t="str">
        <f>IFERROR(IF($C73&lt;1,"",BT$3*일별반별!BW73),0)</f>
        <v/>
      </c>
      <c r="BU73" s="316" t="str">
        <f>IFERROR(IF($C73&lt;1,"",BU$3*일별반별!BX73),0)</f>
        <v/>
      </c>
      <c r="BV73" s="316" t="str">
        <f>IFERROR(IF($C73&lt;1,"",BV$3*일별반별!BY73),0)</f>
        <v/>
      </c>
      <c r="BW73" s="316" t="str">
        <f>IFERROR(IF($C73&lt;1,"",BW$3*일별반별!BZ73),0)</f>
        <v/>
      </c>
      <c r="BX73" s="316" t="str">
        <f>IFERROR(IF($C73&lt;1,"",BX$3*일별반별!CA73),0)</f>
        <v/>
      </c>
      <c r="BY73" s="316" t="str">
        <f>IFERROR(IF($C73&lt;1,"",BY$3*일별반별!CB73),0)</f>
        <v/>
      </c>
      <c r="BZ73" s="316" t="str">
        <f>IFERROR(IF($C73&lt;1,"",BZ$3*일별반별!CC73),0)</f>
        <v/>
      </c>
      <c r="CA73" s="316" t="str">
        <f>IFERROR(IF($C73&lt;1,"",CA$3*일별반별!CD73),0)</f>
        <v/>
      </c>
      <c r="CB73" s="316" t="str">
        <f>IFERROR(IF($C73&lt;1,"",CB$3*일별반별!CE73),0)</f>
        <v/>
      </c>
      <c r="CC73" s="316" t="str">
        <f>IFERROR(IF($C73&lt;1,"",CC$3*일별반별!CF73),0)</f>
        <v/>
      </c>
      <c r="CD73" s="316" t="str">
        <f>IFERROR(IF($C73&lt;1,"",CD$3*일별반별!CG73),0)</f>
        <v/>
      </c>
      <c r="CE73" s="316" t="str">
        <f>IFERROR(IF($C73&lt;1,"",CE$3*일별반별!CH73),0)</f>
        <v/>
      </c>
      <c r="CF73" s="316" t="str">
        <f>IFERROR(IF($C73&lt;1,"",CF$3*일별반별!CI73),0)</f>
        <v/>
      </c>
      <c r="CG73" s="316" t="str">
        <f>IFERROR(IF($C73&lt;1,"",CG$3*일별반별!CJ73),0)</f>
        <v/>
      </c>
      <c r="CH73" s="316" t="str">
        <f>IFERROR(IF($C73&lt;1,"",CH$3*일별반별!CK73),0)</f>
        <v/>
      </c>
      <c r="CI73" s="316" t="str">
        <f>IFERROR(IF($C73&lt;1,"",CI$3*일별반별!CL73),0)</f>
        <v/>
      </c>
      <c r="CJ73" s="316" t="str">
        <f>IFERROR(IF($C73&lt;1,"",CJ$3*일별반별!CM73),0)</f>
        <v/>
      </c>
      <c r="CK73" s="316" t="str">
        <f>IFERROR(IF($C73&lt;1,"",CK$3*일별반별!CN73),0)</f>
        <v/>
      </c>
      <c r="CL73" s="316" t="str">
        <f>IFERROR(IF($C73&lt;1,"",CL$3*일별반별!CO73),0)</f>
        <v/>
      </c>
      <c r="CM73" s="316" t="str">
        <f>IFERROR(IF($C73&lt;1,"",CM$3*일별반별!CP73),0)</f>
        <v/>
      </c>
      <c r="CN73" s="316" t="str">
        <f>IFERROR(IF($C73&lt;1,"",CN$3*일별반별!CQ73),0)</f>
        <v/>
      </c>
      <c r="CO73" s="316" t="str">
        <f>IFERROR(IF($C73&lt;1,"",CO$3*일별반별!CR73),0)</f>
        <v/>
      </c>
      <c r="CP73" s="316" t="str">
        <f>IFERROR(IF($C73&lt;1,"",CP$3*일별반별!CS73),0)</f>
        <v/>
      </c>
      <c r="CQ73" s="316" t="str">
        <f>IFERROR(IF($C73&lt;1,"",CQ$3*일별반별!CT73),0)</f>
        <v/>
      </c>
      <c r="CR73" s="418" t="str">
        <f>IFERROR(IF($C73&lt;1,"",CR$3*일별반별!CU73),0)</f>
        <v/>
      </c>
      <c r="CS73" s="418" t="str">
        <f>IFERROR(IF($C73&lt;1,"",CS$3*일별반별!CV73),0)</f>
        <v/>
      </c>
      <c r="CT73" s="316" t="str">
        <f>IFERROR(IF($C73&lt;1,"",CT$3*일별반별!CW73),0)</f>
        <v/>
      </c>
      <c r="CU73" s="316" t="str">
        <f>IFERROR(IF($C73&lt;1,"",CU$3*일별반별!CX73),0)</f>
        <v/>
      </c>
      <c r="CV73" s="316" t="str">
        <f>IFERROR(IF($C73&lt;1,"",CV$3*일별반별!CY73),0)</f>
        <v/>
      </c>
      <c r="CW73" s="316" t="str">
        <f>IFERROR(IF($C73&lt;1,"",CW$3*일별반별!CZ73),0)</f>
        <v/>
      </c>
      <c r="CX73" s="316" t="str">
        <f>IFERROR(IF($C73&lt;1,"",CX$3*일별반별!DA73),0)</f>
        <v/>
      </c>
      <c r="CY73" s="316" t="str">
        <f>IF(C73&lt;1,"",(CY$3*'09월 조업일지'!AV$7))</f>
        <v/>
      </c>
      <c r="CZ73" s="316" t="str">
        <f t="shared" si="4"/>
        <v/>
      </c>
      <c r="DA73" s="316" t="str">
        <f t="shared" si="4"/>
        <v/>
      </c>
      <c r="DB73" s="316" t="str">
        <f t="shared" si="4"/>
        <v/>
      </c>
      <c r="DC73" s="316"/>
      <c r="DD73" s="419"/>
    </row>
    <row r="74" spans="1:108" ht="15" customHeight="1">
      <c r="A74" s="274">
        <f t="shared" si="2"/>
        <v>44026</v>
      </c>
      <c r="B74" s="275" t="s">
        <v>10</v>
      </c>
      <c r="C74" s="201">
        <f>COUNTIFS('09월 조업일지'!$A$12:$A$952,A71,'09월 조업일지'!$E$12:$E$952,B74)</f>
        <v>0</v>
      </c>
      <c r="D74" s="314">
        <f>IF(C74&lt;1,0,(SUM(E74:CX74)/(일별반별!BV74-1.5)+(CY74+CZ74+DA74+DB74)))</f>
        <v>0</v>
      </c>
      <c r="E74" s="278"/>
      <c r="F74" s="281"/>
      <c r="G74" s="282"/>
      <c r="H74" s="283"/>
      <c r="I74" s="283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326"/>
      <c r="U74" s="395" t="str">
        <f>IFERROR(IF($C74&lt;1,"",U$3*일별반별!X74),0)</f>
        <v/>
      </c>
      <c r="V74" s="395" t="str">
        <f>IFERROR(IF($C74&lt;1,"",V$3*일별반별!Y74),0)</f>
        <v/>
      </c>
      <c r="W74" s="395" t="str">
        <f>IFERROR(IF($C74&lt;1,"",W$3*일별반별!Z74),0)</f>
        <v/>
      </c>
      <c r="X74" s="208" t="str">
        <f>IFERROR(IF($C74&lt;1,"",X$3*일별반별!AA74),0)</f>
        <v/>
      </c>
      <c r="Y74" s="208" t="str">
        <f>IFERROR(IF($C74&lt;1,"",Y$3*일별반별!AB74),0)</f>
        <v/>
      </c>
      <c r="Z74" s="208" t="str">
        <f>IFERROR(IF($C74&lt;1,"",Z$3*일별반별!AC74),0)</f>
        <v/>
      </c>
      <c r="AA74" s="395" t="str">
        <f>IFERROR(IF($C74&lt;1,"",AA$3*일별반별!AD74),0)</f>
        <v/>
      </c>
      <c r="AB74" s="395" t="str">
        <f>IFERROR(IF($C74&lt;1,"",AB$3*일별반별!AE74),0)</f>
        <v/>
      </c>
      <c r="AC74" s="208" t="str">
        <f>IFERROR(IF($C74&lt;1,"",AC$3*일별반별!AF74),0)</f>
        <v/>
      </c>
      <c r="AD74" s="208" t="str">
        <f>IFERROR(IF($C74&lt;1,"",AD$3*일별반별!AG74),0)</f>
        <v/>
      </c>
      <c r="AE74" s="208" t="str">
        <f>IFERROR(IF($C74&lt;1,"",AE$3*일별반별!AH74),0)</f>
        <v/>
      </c>
      <c r="AF74" s="395" t="str">
        <f>IFERROR(IF($C74&lt;1,"",AF$3*일별반별!AI74),0)</f>
        <v/>
      </c>
      <c r="AG74" s="395" t="str">
        <f>IFERROR(IF($C74&lt;1,"",AG$3*일별반별!AJ74),0)</f>
        <v/>
      </c>
      <c r="AH74" s="395" t="str">
        <f>IFERROR(IF($C74&lt;1,"",AH$3*일별반별!AK74),0)</f>
        <v/>
      </c>
      <c r="AI74" s="395" t="str">
        <f>IFERROR(IF($C74&lt;1,"",AI$3*일별반별!AL74),0)</f>
        <v/>
      </c>
      <c r="AJ74" s="395" t="str">
        <f>IFERROR(IF($C74&lt;1,"",AJ$3*일별반별!AM74),0)</f>
        <v/>
      </c>
      <c r="AK74" s="395" t="str">
        <f>IFERROR(IF($C74&lt;1,"",AK$3*일별반별!AN74),0)</f>
        <v/>
      </c>
      <c r="AL74" s="395" t="str">
        <f>IFERROR(IF($C74&lt;1,"",AL$3*일별반별!AO74),0)</f>
        <v/>
      </c>
      <c r="AM74" s="395" t="str">
        <f>IFERROR(IF($C74&lt;1,"",AM$3*일별반별!AP74),0)</f>
        <v/>
      </c>
      <c r="AN74" s="395" t="str">
        <f>IFERROR(IF($C74&lt;1,"",AN$3*일별반별!AQ74),0)</f>
        <v/>
      </c>
      <c r="AO74" s="395" t="str">
        <f>IFERROR(IF($C74&lt;1,"",AO$3*일별반별!AR74),0)</f>
        <v/>
      </c>
      <c r="AP74" s="347" t="str">
        <f>IFERROR(IF($C74&lt;1,"",AP$3*일별반별!AS74),0)</f>
        <v/>
      </c>
      <c r="AQ74" s="347" t="str">
        <f>IFERROR(IF($C74&lt;1,"",AQ$3*일별반별!AT74),0)</f>
        <v/>
      </c>
      <c r="AR74" s="316" t="str">
        <f>IFERROR(IF($C74&lt;1,"",AR$3*일별반별!AU74),0)</f>
        <v/>
      </c>
      <c r="AS74" s="401" t="str">
        <f>IFERROR(IF($C74&lt;1,"",AS$3*일별반별!AV74),0)</f>
        <v/>
      </c>
      <c r="AT74" s="401" t="str">
        <f>IFERROR(IF($C74&lt;1,"",AT$3*일별반별!AW74),0)</f>
        <v/>
      </c>
      <c r="AU74" s="401" t="str">
        <f>IFERROR(IF($C74&lt;1,"",AU$3*일별반별!AX74),0)</f>
        <v/>
      </c>
      <c r="AV74" s="401" t="str">
        <f>IFERROR(IF($C74&lt;1,"",AV$3*일별반별!AY74),0)</f>
        <v/>
      </c>
      <c r="AW74" s="401" t="str">
        <f>IFERROR(IF($C74&lt;1,"",AW$3*일별반별!AZ74),0)</f>
        <v/>
      </c>
      <c r="AX74" s="401" t="str">
        <f>IFERROR(IF($C74&lt;1,"",AX$3*일별반별!BA74),0)</f>
        <v/>
      </c>
      <c r="AY74" s="401" t="str">
        <f>IFERROR(IF($C74&lt;1,"",AY$3*일별반별!BB74),0)</f>
        <v/>
      </c>
      <c r="AZ74" s="401" t="str">
        <f>IFERROR(IF($C74&lt;1,"",AZ$3*일별반별!BC74),0)</f>
        <v/>
      </c>
      <c r="BA74" s="401" t="str">
        <f>IFERROR(IF($C74&lt;1,"",BA$3*일별반별!BD74),0)</f>
        <v/>
      </c>
      <c r="BB74" s="402" t="str">
        <f>IFERROR(IF($C74&lt;1,"",BB$3*일별반별!BE74),0)</f>
        <v/>
      </c>
      <c r="BC74" s="402" t="str">
        <f>IFERROR(IF($C74&lt;1,"",BC$3*일별반별!BF74),0)</f>
        <v/>
      </c>
      <c r="BD74" s="402" t="str">
        <f>IFERROR(IF($C74&lt;1,"",BD$3*일별반별!BG74),0)</f>
        <v/>
      </c>
      <c r="BE74" s="402" t="str">
        <f>IFERROR(IF($C74&lt;1,"",BE$3*일별반별!BH74),0)</f>
        <v/>
      </c>
      <c r="BF74" s="402" t="str">
        <f>IFERROR(IF($C74&lt;1,"",BF$3*일별반별!BI74),0)</f>
        <v/>
      </c>
      <c r="BG74" s="402" t="str">
        <f>IFERROR(IF($C74&lt;1,"",BG$3*일별반별!BJ74),0)</f>
        <v/>
      </c>
      <c r="BH74" s="402" t="str">
        <f>IFERROR(IF($C74&lt;1,"",BH$3*일별반별!BK74),0)</f>
        <v/>
      </c>
      <c r="BI74" s="402" t="str">
        <f>IFERROR(IF($C74&lt;1,"",BI$3*일별반별!BL74),0)</f>
        <v/>
      </c>
      <c r="BJ74" s="402" t="str">
        <f>IFERROR(IF($C74&lt;1,"",BJ$3*일별반별!BM74),0)</f>
        <v/>
      </c>
      <c r="BK74" s="402" t="str">
        <f>IFERROR(IF($C74&lt;1,"",BK$3*일별반별!BN74),0)</f>
        <v/>
      </c>
      <c r="BL74" s="402" t="str">
        <f>IFERROR(IF($C74&lt;1,"",BL$3*일별반별!BH74),0)</f>
        <v/>
      </c>
      <c r="BM74" s="402" t="str">
        <f>IFERROR(IF($C74&lt;1,"",BM$3*일별반별!BP74),0)</f>
        <v/>
      </c>
      <c r="BN74" s="401" t="str">
        <f>IFERROR(IF($C74&lt;1,"",BN$3*일별반별!BQ74),0)</f>
        <v/>
      </c>
      <c r="BO74" s="401" t="str">
        <f>IFERROR(IF($C74&lt;1,"",BO$3*일별반별!BR74),0)</f>
        <v/>
      </c>
      <c r="BP74" s="401" t="str">
        <f>IFERROR(IF($C74&lt;1,"",BP$3*일별반별!BS74),0)</f>
        <v/>
      </c>
      <c r="BQ74" s="401" t="str">
        <f>IFERROR(IF($C74&lt;1,"",BQ$3*일별반별!BT74),0)</f>
        <v/>
      </c>
      <c r="BR74" s="417" t="str">
        <f>IFERROR(IF($C74&lt;1,"",BR$3*일별반별!BU74),0)</f>
        <v/>
      </c>
      <c r="BS74" s="417" t="str">
        <f>IFERROR(IF($C74&lt;1,"",BS$3*일별반별!BV74),0)</f>
        <v/>
      </c>
      <c r="BT74" s="417" t="str">
        <f>IFERROR(IF($C74&lt;1,"",BT$3*일별반별!BW74),0)</f>
        <v/>
      </c>
      <c r="BU74" s="316" t="str">
        <f>IFERROR(IF($C74&lt;1,"",BU$3*일별반별!BX74),0)</f>
        <v/>
      </c>
      <c r="BV74" s="316" t="str">
        <f>IFERROR(IF($C74&lt;1,"",BV$3*일별반별!BY74),0)</f>
        <v/>
      </c>
      <c r="BW74" s="316" t="str">
        <f>IFERROR(IF($C74&lt;1,"",BW$3*일별반별!BZ74),0)</f>
        <v/>
      </c>
      <c r="BX74" s="316" t="str">
        <f>IFERROR(IF($C74&lt;1,"",BX$3*일별반별!CA74),0)</f>
        <v/>
      </c>
      <c r="BY74" s="316" t="str">
        <f>IFERROR(IF($C74&lt;1,"",BY$3*일별반별!CB74),0)</f>
        <v/>
      </c>
      <c r="BZ74" s="316" t="str">
        <f>IFERROR(IF($C74&lt;1,"",BZ$3*일별반별!CC74),0)</f>
        <v/>
      </c>
      <c r="CA74" s="316" t="str">
        <f>IFERROR(IF($C74&lt;1,"",CA$3*일별반별!CD74),0)</f>
        <v/>
      </c>
      <c r="CB74" s="316" t="str">
        <f>IFERROR(IF($C74&lt;1,"",CB$3*일별반별!CE74),0)</f>
        <v/>
      </c>
      <c r="CC74" s="316" t="str">
        <f>IFERROR(IF($C74&lt;1,"",CC$3*일별반별!CF74),0)</f>
        <v/>
      </c>
      <c r="CD74" s="316" t="str">
        <f>IFERROR(IF($C74&lt;1,"",CD$3*일별반별!CG74),0)</f>
        <v/>
      </c>
      <c r="CE74" s="316" t="str">
        <f>IFERROR(IF($C74&lt;1,"",CE$3*일별반별!CH74),0)</f>
        <v/>
      </c>
      <c r="CF74" s="316" t="str">
        <f>IFERROR(IF($C74&lt;1,"",CF$3*일별반별!CI74),0)</f>
        <v/>
      </c>
      <c r="CG74" s="316" t="str">
        <f>IFERROR(IF($C74&lt;1,"",CG$3*일별반별!CJ74),0)</f>
        <v/>
      </c>
      <c r="CH74" s="316" t="str">
        <f>IFERROR(IF($C74&lt;1,"",CH$3*일별반별!CK74),0)</f>
        <v/>
      </c>
      <c r="CI74" s="316" t="str">
        <f>IFERROR(IF($C74&lt;1,"",CI$3*일별반별!CL74),0)</f>
        <v/>
      </c>
      <c r="CJ74" s="316" t="str">
        <f>IFERROR(IF($C74&lt;1,"",CJ$3*일별반별!CM74),0)</f>
        <v/>
      </c>
      <c r="CK74" s="316" t="str">
        <f>IFERROR(IF($C74&lt;1,"",CK$3*일별반별!CN74),0)</f>
        <v/>
      </c>
      <c r="CL74" s="316" t="str">
        <f>IFERROR(IF($C74&lt;1,"",CL$3*일별반별!CO74),0)</f>
        <v/>
      </c>
      <c r="CM74" s="316" t="str">
        <f>IFERROR(IF($C74&lt;1,"",CM$3*일별반별!CP74),0)</f>
        <v/>
      </c>
      <c r="CN74" s="316" t="str">
        <f>IFERROR(IF($C74&lt;1,"",CN$3*일별반별!CQ74),0)</f>
        <v/>
      </c>
      <c r="CO74" s="316" t="str">
        <f>IFERROR(IF($C74&lt;1,"",CO$3*일별반별!CR74),0)</f>
        <v/>
      </c>
      <c r="CP74" s="316" t="str">
        <f>IFERROR(IF($C74&lt;1,"",CP$3*일별반별!CS74),0)</f>
        <v/>
      </c>
      <c r="CQ74" s="316" t="str">
        <f>IFERROR(IF($C74&lt;1,"",CQ$3*일별반별!CT74),0)</f>
        <v/>
      </c>
      <c r="CR74" s="418" t="str">
        <f>IFERROR(IF($C74&lt;1,"",CR$3*일별반별!CU74),0)</f>
        <v/>
      </c>
      <c r="CS74" s="418" t="str">
        <f>IFERROR(IF($C74&lt;1,"",CS$3*일별반별!CV74),0)</f>
        <v/>
      </c>
      <c r="CT74" s="316" t="str">
        <f>IFERROR(IF($C74&lt;1,"",CT$3*일별반별!CW74),0)</f>
        <v/>
      </c>
      <c r="CU74" s="316" t="str">
        <f>IFERROR(IF($C74&lt;1,"",CU$3*일별반별!CX74),0)</f>
        <v/>
      </c>
      <c r="CV74" s="316" t="str">
        <f>IFERROR(IF($C74&lt;1,"",CV$3*일별반별!CY74),0)</f>
        <v/>
      </c>
      <c r="CW74" s="316" t="str">
        <f>IFERROR(IF($C74&lt;1,"",CW$3*일별반별!CZ74),0)</f>
        <v/>
      </c>
      <c r="CX74" s="316" t="str">
        <f>IFERROR(IF($C74&lt;1,"",CX$3*일별반별!DA74),0)</f>
        <v/>
      </c>
      <c r="CY74" s="316" t="str">
        <f>IF(C74&lt;1,"",(CY$3*'09월 조업일지'!AV$7))</f>
        <v/>
      </c>
      <c r="CZ74" s="316" t="str">
        <f t="shared" si="4"/>
        <v/>
      </c>
      <c r="DA74" s="316" t="str">
        <f t="shared" si="4"/>
        <v/>
      </c>
      <c r="DB74" s="316" t="str">
        <f t="shared" si="4"/>
        <v/>
      </c>
      <c r="DC74" s="316"/>
      <c r="DD74" s="419"/>
    </row>
    <row r="75" spans="1:108" ht="15" customHeight="1">
      <c r="A75" s="274">
        <f t="shared" si="2"/>
        <v>44026</v>
      </c>
      <c r="B75" s="275" t="s">
        <v>94</v>
      </c>
      <c r="C75" s="201">
        <f>COUNTIFS('09월 조업일지'!$A$12:$A$952,A71,'09월 조업일지'!$E$12:$E$952,B75)</f>
        <v>0</v>
      </c>
      <c r="D75" s="314">
        <f>IF(C75&lt;1,0,(SUM(E75:CX75)/(일별반별!BV75-1.5)+(CY75+CZ75+DA75+DB75)))</f>
        <v>0</v>
      </c>
      <c r="E75" s="278"/>
      <c r="F75" s="281"/>
      <c r="G75" s="282"/>
      <c r="H75" s="283"/>
      <c r="I75" s="283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326"/>
      <c r="U75" s="395" t="str">
        <f>IFERROR(IF($C75&lt;1,"",U$3*일별반별!X75),0)</f>
        <v/>
      </c>
      <c r="V75" s="395" t="str">
        <f>IFERROR(IF($C75&lt;1,"",V$3*일별반별!Y75),0)</f>
        <v/>
      </c>
      <c r="W75" s="395" t="str">
        <f>IFERROR(IF($C75&lt;1,"",W$3*일별반별!Z75),0)</f>
        <v/>
      </c>
      <c r="X75" s="208" t="str">
        <f>IFERROR(IF($C75&lt;1,"",X$3*일별반별!AA75),0)</f>
        <v/>
      </c>
      <c r="Y75" s="208" t="str">
        <f>IFERROR(IF($C75&lt;1,"",Y$3*일별반별!AB75),0)</f>
        <v/>
      </c>
      <c r="Z75" s="208" t="str">
        <f>IFERROR(IF($C75&lt;1,"",Z$3*일별반별!AC75),0)</f>
        <v/>
      </c>
      <c r="AA75" s="395" t="str">
        <f>IFERROR(IF($C75&lt;1,"",AA$3*일별반별!AD75),0)</f>
        <v/>
      </c>
      <c r="AB75" s="395" t="str">
        <f>IFERROR(IF($C75&lt;1,"",AB$3*일별반별!AE75),0)</f>
        <v/>
      </c>
      <c r="AC75" s="208" t="str">
        <f>IFERROR(IF($C75&lt;1,"",AC$3*일별반별!AF75),0)</f>
        <v/>
      </c>
      <c r="AD75" s="208" t="str">
        <f>IFERROR(IF($C75&lt;1,"",AD$3*일별반별!AG75),0)</f>
        <v/>
      </c>
      <c r="AE75" s="208" t="str">
        <f>IFERROR(IF($C75&lt;1,"",AE$3*일별반별!AH75),0)</f>
        <v/>
      </c>
      <c r="AF75" s="395" t="str">
        <f>IFERROR(IF($C75&lt;1,"",AF$3*일별반별!AI75),0)</f>
        <v/>
      </c>
      <c r="AG75" s="395" t="str">
        <f>IFERROR(IF($C75&lt;1,"",AG$3*일별반별!AJ75),0)</f>
        <v/>
      </c>
      <c r="AH75" s="395" t="str">
        <f>IFERROR(IF($C75&lt;1,"",AH$3*일별반별!AK75),0)</f>
        <v/>
      </c>
      <c r="AI75" s="395" t="str">
        <f>IFERROR(IF($C75&lt;1,"",AI$3*일별반별!AL75),0)</f>
        <v/>
      </c>
      <c r="AJ75" s="395" t="str">
        <f>IFERROR(IF($C75&lt;1,"",AJ$3*일별반별!AM75),0)</f>
        <v/>
      </c>
      <c r="AK75" s="395" t="str">
        <f>IFERROR(IF($C75&lt;1,"",AK$3*일별반별!AN75),0)</f>
        <v/>
      </c>
      <c r="AL75" s="395" t="str">
        <f>IFERROR(IF($C75&lt;1,"",AL$3*일별반별!AO75),0)</f>
        <v/>
      </c>
      <c r="AM75" s="395" t="str">
        <f>IFERROR(IF($C75&lt;1,"",AM$3*일별반별!AP75),0)</f>
        <v/>
      </c>
      <c r="AN75" s="395" t="str">
        <f>IFERROR(IF($C75&lt;1,"",AN$3*일별반별!AQ75),0)</f>
        <v/>
      </c>
      <c r="AO75" s="395" t="str">
        <f>IFERROR(IF($C75&lt;1,"",AO$3*일별반별!AR75),0)</f>
        <v/>
      </c>
      <c r="AP75" s="347" t="str">
        <f>IFERROR(IF($C75&lt;1,"",AP$3*일별반별!AS75),0)</f>
        <v/>
      </c>
      <c r="AQ75" s="347" t="str">
        <f>IFERROR(IF($C75&lt;1,"",AQ$3*일별반별!AT75),0)</f>
        <v/>
      </c>
      <c r="AR75" s="316" t="str">
        <f>IFERROR(IF($C75&lt;1,"",AR$3*일별반별!AU75),0)</f>
        <v/>
      </c>
      <c r="AS75" s="401" t="str">
        <f>IFERROR(IF($C75&lt;1,"",AS$3*일별반별!AV75),0)</f>
        <v/>
      </c>
      <c r="AT75" s="401" t="str">
        <f>IFERROR(IF($C75&lt;1,"",AT$3*일별반별!AW75),0)</f>
        <v/>
      </c>
      <c r="AU75" s="401" t="str">
        <f>IFERROR(IF($C75&lt;1,"",AU$3*일별반별!AX75),0)</f>
        <v/>
      </c>
      <c r="AV75" s="401" t="str">
        <f>IFERROR(IF($C75&lt;1,"",AV$3*일별반별!AY75),0)</f>
        <v/>
      </c>
      <c r="AW75" s="401" t="str">
        <f>IFERROR(IF($C75&lt;1,"",AW$3*일별반별!AZ75),0)</f>
        <v/>
      </c>
      <c r="AX75" s="401" t="str">
        <f>IFERROR(IF($C75&lt;1,"",AX$3*일별반별!BA75),0)</f>
        <v/>
      </c>
      <c r="AY75" s="401" t="str">
        <f>IFERROR(IF($C75&lt;1,"",AY$3*일별반별!BB75),0)</f>
        <v/>
      </c>
      <c r="AZ75" s="401" t="str">
        <f>IFERROR(IF($C75&lt;1,"",AZ$3*일별반별!BC75),0)</f>
        <v/>
      </c>
      <c r="BA75" s="401" t="str">
        <f>IFERROR(IF($C75&lt;1,"",BA$3*일별반별!BD75),0)</f>
        <v/>
      </c>
      <c r="BB75" s="402" t="str">
        <f>IFERROR(IF($C75&lt;1,"",BB$3*일별반별!BE75),0)</f>
        <v/>
      </c>
      <c r="BC75" s="402" t="str">
        <f>IFERROR(IF($C75&lt;1,"",BC$3*일별반별!BF75),0)</f>
        <v/>
      </c>
      <c r="BD75" s="402" t="str">
        <f>IFERROR(IF($C75&lt;1,"",BD$3*일별반별!BG75),0)</f>
        <v/>
      </c>
      <c r="BE75" s="402" t="str">
        <f>IFERROR(IF($C75&lt;1,"",BE$3*일별반별!BH75),0)</f>
        <v/>
      </c>
      <c r="BF75" s="402" t="str">
        <f>IFERROR(IF($C75&lt;1,"",BF$3*일별반별!BI75),0)</f>
        <v/>
      </c>
      <c r="BG75" s="402" t="str">
        <f>IFERROR(IF($C75&lt;1,"",BG$3*일별반별!BJ75),0)</f>
        <v/>
      </c>
      <c r="BH75" s="402" t="str">
        <f>IFERROR(IF($C75&lt;1,"",BH$3*일별반별!BK75),0)</f>
        <v/>
      </c>
      <c r="BI75" s="402" t="str">
        <f>IFERROR(IF($C75&lt;1,"",BI$3*일별반별!BL75),0)</f>
        <v/>
      </c>
      <c r="BJ75" s="402" t="str">
        <f>IFERROR(IF($C75&lt;1,"",BJ$3*일별반별!BM75),0)</f>
        <v/>
      </c>
      <c r="BK75" s="402" t="str">
        <f>IFERROR(IF($C75&lt;1,"",BK$3*일별반별!BN75),0)</f>
        <v/>
      </c>
      <c r="BL75" s="402" t="str">
        <f>IFERROR(IF($C75&lt;1,"",BL$3*일별반별!BH75),0)</f>
        <v/>
      </c>
      <c r="BM75" s="402" t="str">
        <f>IFERROR(IF($C75&lt;1,"",BM$3*일별반별!BP75),0)</f>
        <v/>
      </c>
      <c r="BN75" s="401" t="str">
        <f>IFERROR(IF($C75&lt;1,"",BN$3*일별반별!BQ75),0)</f>
        <v/>
      </c>
      <c r="BO75" s="401" t="str">
        <f>IFERROR(IF($C75&lt;1,"",BO$3*일별반별!BR75),0)</f>
        <v/>
      </c>
      <c r="BP75" s="401" t="str">
        <f>IFERROR(IF($C75&lt;1,"",BP$3*일별반별!BS75),0)</f>
        <v/>
      </c>
      <c r="BQ75" s="401" t="str">
        <f>IFERROR(IF($C75&lt;1,"",BQ$3*일별반별!BT75),0)</f>
        <v/>
      </c>
      <c r="BR75" s="417" t="str">
        <f>IFERROR(IF($C75&lt;1,"",BR$3*일별반별!BU75),0)</f>
        <v/>
      </c>
      <c r="BS75" s="417" t="str">
        <f>IFERROR(IF($C75&lt;1,"",BS$3*일별반별!BV75),0)</f>
        <v/>
      </c>
      <c r="BT75" s="417" t="str">
        <f>IFERROR(IF($C75&lt;1,"",BT$3*일별반별!BW75),0)</f>
        <v/>
      </c>
      <c r="BU75" s="316" t="str">
        <f>IFERROR(IF($C75&lt;1,"",BU$3*일별반별!BX75),0)</f>
        <v/>
      </c>
      <c r="BV75" s="316" t="str">
        <f>IFERROR(IF($C75&lt;1,"",BV$3*일별반별!BY75),0)</f>
        <v/>
      </c>
      <c r="BW75" s="316" t="str">
        <f>IFERROR(IF($C75&lt;1,"",BW$3*일별반별!BZ75),0)</f>
        <v/>
      </c>
      <c r="BX75" s="316" t="str">
        <f>IFERROR(IF($C75&lt;1,"",BX$3*일별반별!CA75),0)</f>
        <v/>
      </c>
      <c r="BY75" s="316" t="str">
        <f>IFERROR(IF($C75&lt;1,"",BY$3*일별반별!CB75),0)</f>
        <v/>
      </c>
      <c r="BZ75" s="316" t="str">
        <f>IFERROR(IF($C75&lt;1,"",BZ$3*일별반별!CC75),0)</f>
        <v/>
      </c>
      <c r="CA75" s="316" t="str">
        <f>IFERROR(IF($C75&lt;1,"",CA$3*일별반별!CD75),0)</f>
        <v/>
      </c>
      <c r="CB75" s="316" t="str">
        <f>IFERROR(IF($C75&lt;1,"",CB$3*일별반별!CE75),0)</f>
        <v/>
      </c>
      <c r="CC75" s="316" t="str">
        <f>IFERROR(IF($C75&lt;1,"",CC$3*일별반별!CF75),0)</f>
        <v/>
      </c>
      <c r="CD75" s="316" t="str">
        <f>IFERROR(IF($C75&lt;1,"",CD$3*일별반별!CG75),0)</f>
        <v/>
      </c>
      <c r="CE75" s="316" t="str">
        <f>IFERROR(IF($C75&lt;1,"",CE$3*일별반별!CH75),0)</f>
        <v/>
      </c>
      <c r="CF75" s="316" t="str">
        <f>IFERROR(IF($C75&lt;1,"",CF$3*일별반별!CI75),0)</f>
        <v/>
      </c>
      <c r="CG75" s="316" t="str">
        <f>IFERROR(IF($C75&lt;1,"",CG$3*일별반별!CJ75),0)</f>
        <v/>
      </c>
      <c r="CH75" s="316" t="str">
        <f>IFERROR(IF($C75&lt;1,"",CH$3*일별반별!CK75),0)</f>
        <v/>
      </c>
      <c r="CI75" s="316" t="str">
        <f>IFERROR(IF($C75&lt;1,"",CI$3*일별반별!CL75),0)</f>
        <v/>
      </c>
      <c r="CJ75" s="316" t="str">
        <f>IFERROR(IF($C75&lt;1,"",CJ$3*일별반별!CM75),0)</f>
        <v/>
      </c>
      <c r="CK75" s="316" t="str">
        <f>IFERROR(IF($C75&lt;1,"",CK$3*일별반별!CN75),0)</f>
        <v/>
      </c>
      <c r="CL75" s="316" t="str">
        <f>IFERROR(IF($C75&lt;1,"",CL$3*일별반별!CO75),0)</f>
        <v/>
      </c>
      <c r="CM75" s="316" t="str">
        <f>IFERROR(IF($C75&lt;1,"",CM$3*일별반별!CP75),0)</f>
        <v/>
      </c>
      <c r="CN75" s="316" t="str">
        <f>IFERROR(IF($C75&lt;1,"",CN$3*일별반별!CQ75),0)</f>
        <v/>
      </c>
      <c r="CO75" s="316" t="str">
        <f>IFERROR(IF($C75&lt;1,"",CO$3*일별반별!CR75),0)</f>
        <v/>
      </c>
      <c r="CP75" s="316" t="str">
        <f>IFERROR(IF($C75&lt;1,"",CP$3*일별반별!CS75),0)</f>
        <v/>
      </c>
      <c r="CQ75" s="316" t="str">
        <f>IFERROR(IF($C75&lt;1,"",CQ$3*일별반별!CT75),0)</f>
        <v/>
      </c>
      <c r="CR75" s="418" t="str">
        <f>IFERROR(IF($C75&lt;1,"",CR$3*일별반별!CU75),0)</f>
        <v/>
      </c>
      <c r="CS75" s="418" t="str">
        <f>IFERROR(IF($C75&lt;1,"",CS$3*일별반별!CV75),0)</f>
        <v/>
      </c>
      <c r="CT75" s="316" t="str">
        <f>IFERROR(IF($C75&lt;1,"",CT$3*일별반별!CW75),0)</f>
        <v/>
      </c>
      <c r="CU75" s="316" t="str">
        <f>IFERROR(IF($C75&lt;1,"",CU$3*일별반별!CX75),0)</f>
        <v/>
      </c>
      <c r="CV75" s="316" t="str">
        <f>IFERROR(IF($C75&lt;1,"",CV$3*일별반별!CY75),0)</f>
        <v/>
      </c>
      <c r="CW75" s="316" t="str">
        <f>IFERROR(IF($C75&lt;1,"",CW$3*일별반별!CZ75),0)</f>
        <v/>
      </c>
      <c r="CX75" s="316" t="str">
        <f>IFERROR(IF($C75&lt;1,"",CX$3*일별반별!DA75),0)</f>
        <v/>
      </c>
      <c r="CY75" s="316" t="str">
        <f>IF(C75&lt;1,"",(CY$3*'09월 조업일지'!AV$7))</f>
        <v/>
      </c>
      <c r="CZ75" s="316" t="str">
        <f t="shared" si="4"/>
        <v/>
      </c>
      <c r="DA75" s="316" t="str">
        <f t="shared" si="4"/>
        <v/>
      </c>
      <c r="DB75" s="316" t="str">
        <f t="shared" si="4"/>
        <v/>
      </c>
      <c r="DC75" s="316"/>
      <c r="DD75" s="419"/>
    </row>
    <row r="76" spans="1:108" ht="15" customHeight="1">
      <c r="A76" s="327">
        <f>A71+1</f>
        <v>44027</v>
      </c>
      <c r="B76" s="328" t="s">
        <v>31</v>
      </c>
      <c r="C76" s="329">
        <f>COUNTIF('09월 조업일지'!$A$12:$A$952,A76)</f>
        <v>0</v>
      </c>
      <c r="D76" s="330">
        <f>IF(C76&lt;1,0,(SUM(E76:CX76)/(일별반별!BV76-1.5)+(CY76+CZ76+DA76+DB76)))</f>
        <v>0</v>
      </c>
      <c r="E76" s="331"/>
      <c r="F76" s="331"/>
      <c r="G76" s="332"/>
      <c r="H76" s="333"/>
      <c r="I76" s="333"/>
      <c r="J76" s="334"/>
      <c r="K76" s="334"/>
      <c r="L76" s="334"/>
      <c r="M76" s="334"/>
      <c r="N76" s="334"/>
      <c r="O76" s="334"/>
      <c r="P76" s="334"/>
      <c r="Q76" s="335"/>
      <c r="R76" s="334"/>
      <c r="S76" s="335"/>
      <c r="T76" s="334"/>
      <c r="U76" s="337" t="str">
        <f>IFERROR(IF($C76&lt;1,"",U$3*일별반별!X76),0)</f>
        <v/>
      </c>
      <c r="V76" s="337" t="str">
        <f>IFERROR(IF($C76&lt;1,"",V$3*일별반별!Y76),0)</f>
        <v/>
      </c>
      <c r="W76" s="337" t="str">
        <f>IFERROR(IF($C76&lt;1,"",W$3*일별반별!Z76),0)</f>
        <v/>
      </c>
      <c r="X76" s="336" t="str">
        <f>IFERROR(IF($C76&lt;1,"",X$3*일별반별!AA76),0)</f>
        <v/>
      </c>
      <c r="Y76" s="336" t="str">
        <f>IFERROR(IF($C76&lt;1,"",Y$3*일별반별!AB76),0)</f>
        <v/>
      </c>
      <c r="Z76" s="336" t="str">
        <f>IFERROR(IF($C76&lt;1,"",Z$3*일별반별!AC76),0)</f>
        <v/>
      </c>
      <c r="AA76" s="337" t="str">
        <f>IFERROR(IF($C76&lt;1,"",AA$3*일별반별!AD76),0)</f>
        <v/>
      </c>
      <c r="AB76" s="337" t="str">
        <f>IFERROR(IF($C76&lt;1,"",AB$3*일별반별!AE76),0)</f>
        <v/>
      </c>
      <c r="AC76" s="336" t="str">
        <f>IFERROR(IF($C76&lt;1,"",AC$3*일별반별!AF76),0)</f>
        <v/>
      </c>
      <c r="AD76" s="336" t="str">
        <f>IFERROR(IF($C76&lt;1,"",AD$3*일별반별!AG76),0)</f>
        <v/>
      </c>
      <c r="AE76" s="336" t="str">
        <f>IFERROR(IF($C76&lt;1,"",AE$3*일별반별!AH76),0)</f>
        <v/>
      </c>
      <c r="AF76" s="337" t="str">
        <f>IFERROR(IF($C76&lt;1,"",AF$3*일별반별!AI76),0)</f>
        <v/>
      </c>
      <c r="AG76" s="337" t="str">
        <f>IFERROR(IF($C76&lt;1,"",AG$3*일별반별!AJ76),0)</f>
        <v/>
      </c>
      <c r="AH76" s="337" t="str">
        <f>IFERROR(IF($C76&lt;1,"",AH$3*일별반별!AK76),0)</f>
        <v/>
      </c>
      <c r="AI76" s="337" t="str">
        <f>IFERROR(IF($C76&lt;1,"",AI$3*일별반별!AL76),0)</f>
        <v/>
      </c>
      <c r="AJ76" s="337" t="str">
        <f>IFERROR(IF($C76&lt;1,"",AJ$3*일별반별!AM76),0)</f>
        <v/>
      </c>
      <c r="AK76" s="337" t="str">
        <f>IFERROR(IF($C76&lt;1,"",AK$3*일별반별!AN76),0)</f>
        <v/>
      </c>
      <c r="AL76" s="337" t="str">
        <f>IFERROR(IF($C76&lt;1,"",AL$3*일별반별!AO76),0)</f>
        <v/>
      </c>
      <c r="AM76" s="337" t="str">
        <f>IFERROR(IF($C76&lt;1,"",AM$3*일별반별!AP76),0)</f>
        <v/>
      </c>
      <c r="AN76" s="337" t="str">
        <f>IFERROR(IF($C76&lt;1,"",AN$3*일별반별!AQ76),0)</f>
        <v/>
      </c>
      <c r="AO76" s="337" t="str">
        <f>IFERROR(IF($C76&lt;1,"",AO$3*일별반별!AR76),0)</f>
        <v/>
      </c>
      <c r="AP76" s="337" t="str">
        <f>IFERROR(IF($C76&lt;1,"",AP$3*일별반별!AS76),0)</f>
        <v/>
      </c>
      <c r="AQ76" s="337" t="str">
        <f>IFERROR(IF($C76&lt;1,"",AQ$3*일별반별!AT76),0)</f>
        <v/>
      </c>
      <c r="AR76" s="337" t="str">
        <f>IFERROR(IF($C76&lt;1,"",AR$3*일별반별!AU76),0)</f>
        <v/>
      </c>
      <c r="AS76" s="403" t="str">
        <f>IFERROR(IF($C76&lt;1,"",AS$3*일별반별!AV76),0)</f>
        <v/>
      </c>
      <c r="AT76" s="403" t="str">
        <f>IFERROR(IF($C76&lt;1,"",AT$3*일별반별!AW76),0)</f>
        <v/>
      </c>
      <c r="AU76" s="403" t="str">
        <f>IFERROR(IF($C76&lt;1,"",AU$3*일별반별!AX76),0)</f>
        <v/>
      </c>
      <c r="AV76" s="403" t="str">
        <f>IFERROR(IF($C76&lt;1,"",AV$3*일별반별!AY76),0)</f>
        <v/>
      </c>
      <c r="AW76" s="403" t="str">
        <f>IFERROR(IF($C76&lt;1,"",AW$3*일별반별!AZ76),0)</f>
        <v/>
      </c>
      <c r="AX76" s="403" t="str">
        <f>IFERROR(IF($C76&lt;1,"",AX$3*일별반별!BA76),0)</f>
        <v/>
      </c>
      <c r="AY76" s="403" t="str">
        <f>IFERROR(IF($C76&lt;1,"",AY$3*일별반별!BB76),0)</f>
        <v/>
      </c>
      <c r="AZ76" s="403" t="str">
        <f>IFERROR(IF($C76&lt;1,"",AZ$3*일별반별!BC76),0)</f>
        <v/>
      </c>
      <c r="BA76" s="403" t="str">
        <f>IFERROR(IF($C76&lt;1,"",BA$3*일별반별!BD76),0)</f>
        <v/>
      </c>
      <c r="BB76" s="403" t="str">
        <f>IFERROR(IF($C76&lt;1,"",BB$3*일별반별!BE76),0)</f>
        <v/>
      </c>
      <c r="BC76" s="403" t="str">
        <f>IFERROR(IF($C76&lt;1,"",BC$3*일별반별!BF76),0)</f>
        <v/>
      </c>
      <c r="BD76" s="403" t="str">
        <f>IFERROR(IF($C76&lt;1,"",BD$3*일별반별!BG76),0)</f>
        <v/>
      </c>
      <c r="BE76" s="403" t="str">
        <f>IFERROR(IF($C76&lt;1,"",BE$3*일별반별!BH76),0)</f>
        <v/>
      </c>
      <c r="BF76" s="403" t="str">
        <f>IFERROR(IF($C76&lt;1,"",BF$3*일별반별!BI76),0)</f>
        <v/>
      </c>
      <c r="BG76" s="403" t="str">
        <f>IFERROR(IF($C76&lt;1,"",BG$3*일별반별!BJ76),0)</f>
        <v/>
      </c>
      <c r="BH76" s="403" t="str">
        <f>IFERROR(IF($C76&lt;1,"",BH$3*일별반별!BK76),0)</f>
        <v/>
      </c>
      <c r="BI76" s="403" t="str">
        <f>IFERROR(IF($C76&lt;1,"",BI$3*일별반별!BL76),0)</f>
        <v/>
      </c>
      <c r="BJ76" s="403" t="str">
        <f>IFERROR(IF($C76&lt;1,"",BJ$3*일별반별!BM76),0)</f>
        <v/>
      </c>
      <c r="BK76" s="403" t="str">
        <f>IFERROR(IF($C76&lt;1,"",BK$3*일별반별!BN76),0)</f>
        <v/>
      </c>
      <c r="BL76" s="403" t="str">
        <f>IFERROR(IF($C76&lt;1,"",BL$3*일별반별!BH76),0)</f>
        <v/>
      </c>
      <c r="BM76" s="403" t="str">
        <f>IFERROR(IF($C76&lt;1,"",BM$3*일별반별!BP76),0)</f>
        <v/>
      </c>
      <c r="BN76" s="403" t="str">
        <f>IFERROR(IF($C76&lt;1,"",BN$3*일별반별!BQ76),0)</f>
        <v/>
      </c>
      <c r="BO76" s="403" t="str">
        <f>IFERROR(IF($C76&lt;1,"",BO$3*일별반별!BR76),0)</f>
        <v/>
      </c>
      <c r="BP76" s="403" t="str">
        <f>IFERROR(IF($C76&lt;1,"",BP$3*일별반별!BS76),0)</f>
        <v/>
      </c>
      <c r="BQ76" s="403" t="str">
        <f>IFERROR(IF($C76&lt;1,"",BQ$3*일별반별!BT76),0)</f>
        <v/>
      </c>
      <c r="BR76" s="337" t="str">
        <f>IFERROR(IF($C76&lt;1,"",BR$3*일별반별!BU76),0)</f>
        <v/>
      </c>
      <c r="BS76" s="337" t="str">
        <f>IFERROR(IF($C76&lt;1,"",BS$3*일별반별!BV76),0)</f>
        <v/>
      </c>
      <c r="BT76" s="337" t="str">
        <f>IFERROR(IF($C76&lt;1,"",BT$3*일별반별!BW76),0)</f>
        <v/>
      </c>
      <c r="BU76" s="337" t="str">
        <f>IFERROR(IF($C76&lt;1,"",BU$3*일별반별!BX76),0)</f>
        <v/>
      </c>
      <c r="BV76" s="337" t="str">
        <f>IFERROR(IF($C76&lt;1,"",BV$3*일별반별!BY76),0)</f>
        <v/>
      </c>
      <c r="BW76" s="337" t="str">
        <f>IFERROR(IF($C76&lt;1,"",BW$3*일별반별!BZ76),0)</f>
        <v/>
      </c>
      <c r="BX76" s="337" t="str">
        <f>IFERROR(IF($C76&lt;1,"",BX$3*일별반별!CA76),0)</f>
        <v/>
      </c>
      <c r="BY76" s="337" t="str">
        <f>IFERROR(IF($C76&lt;1,"",BY$3*일별반별!CB76),0)</f>
        <v/>
      </c>
      <c r="BZ76" s="337" t="str">
        <f>IFERROR(IF($C76&lt;1,"",BZ$3*일별반별!CC76),0)</f>
        <v/>
      </c>
      <c r="CA76" s="337" t="str">
        <f>IFERROR(IF($C76&lt;1,"",CA$3*일별반별!CD76),0)</f>
        <v/>
      </c>
      <c r="CB76" s="337" t="str">
        <f>IFERROR(IF($C76&lt;1,"",CB$3*일별반별!CE76),0)</f>
        <v/>
      </c>
      <c r="CC76" s="337" t="str">
        <f>IFERROR(IF($C76&lt;1,"",CC$3*일별반별!CF76),0)</f>
        <v/>
      </c>
      <c r="CD76" s="337" t="str">
        <f>IFERROR(IF($C76&lt;1,"",CD$3*일별반별!CG76),0)</f>
        <v/>
      </c>
      <c r="CE76" s="337" t="str">
        <f>IFERROR(IF($C76&lt;1,"",CE$3*일별반별!CH76),0)</f>
        <v/>
      </c>
      <c r="CF76" s="337" t="str">
        <f>IFERROR(IF($C76&lt;1,"",CF$3*일별반별!CI76),0)</f>
        <v/>
      </c>
      <c r="CG76" s="337" t="str">
        <f>IFERROR(IF($C76&lt;1,"",CG$3*일별반별!CJ76),0)</f>
        <v/>
      </c>
      <c r="CH76" s="337" t="str">
        <f>IFERROR(IF($C76&lt;1,"",CH$3*일별반별!CK76),0)</f>
        <v/>
      </c>
      <c r="CI76" s="337" t="str">
        <f>IFERROR(IF($C76&lt;1,"",CI$3*일별반별!CL76),0)</f>
        <v/>
      </c>
      <c r="CJ76" s="337" t="str">
        <f>IFERROR(IF($C76&lt;1,"",CJ$3*일별반별!CM76),0)</f>
        <v/>
      </c>
      <c r="CK76" s="337" t="str">
        <f>IFERROR(IF($C76&lt;1,"",CK$3*일별반별!CN76),0)</f>
        <v/>
      </c>
      <c r="CL76" s="337" t="str">
        <f>IFERROR(IF($C76&lt;1,"",CL$3*일별반별!CO76),0)</f>
        <v/>
      </c>
      <c r="CM76" s="337" t="str">
        <f>IFERROR(IF($C76&lt;1,"",CM$3*일별반별!CP76),0)</f>
        <v/>
      </c>
      <c r="CN76" s="337" t="str">
        <f>IFERROR(IF($C76&lt;1,"",CN$3*일별반별!CQ76),0)</f>
        <v/>
      </c>
      <c r="CO76" s="337" t="str">
        <f>IFERROR(IF($C76&lt;1,"",CO$3*일별반별!CR76),0)</f>
        <v/>
      </c>
      <c r="CP76" s="337" t="str">
        <f>IFERROR(IF($C76&lt;1,"",CP$3*일별반별!CS76),0)</f>
        <v/>
      </c>
      <c r="CQ76" s="337" t="str">
        <f>IFERROR(IF($C76&lt;1,"",CQ$3*일별반별!CT76),0)</f>
        <v/>
      </c>
      <c r="CR76" s="420" t="str">
        <f>IFERROR(IF($C76&lt;1,"",CR$3*일별반별!CU76),0)</f>
        <v/>
      </c>
      <c r="CS76" s="420" t="str">
        <f>IFERROR(IF($C76&lt;1,"",CS$3*일별반별!CV76),0)</f>
        <v/>
      </c>
      <c r="CT76" s="337" t="str">
        <f>IFERROR(IF($C76&lt;1,"",CT$3*일별반별!CW76),0)</f>
        <v/>
      </c>
      <c r="CU76" s="337" t="str">
        <f>IFERROR(IF($C76&lt;1,"",CU$3*일별반별!CX76),0)</f>
        <v/>
      </c>
      <c r="CV76" s="337" t="str">
        <f>IFERROR(IF($C76&lt;1,"",CV$3*일별반별!CY76),0)</f>
        <v/>
      </c>
      <c r="CW76" s="337" t="str">
        <f>IFERROR(IF($C76&lt;1,"",CW$3*일별반별!CZ76),0)</f>
        <v/>
      </c>
      <c r="CX76" s="337" t="str">
        <f>IFERROR(IF($C76&lt;1,"",CX$3*일별반별!DA76),0)</f>
        <v/>
      </c>
      <c r="CY76" s="316" t="str">
        <f>IF(C76&lt;1,"",(CY$3*'09월 조업일지'!AV$7))</f>
        <v/>
      </c>
      <c r="CZ76" s="316" t="str">
        <f t="shared" si="4"/>
        <v/>
      </c>
      <c r="DA76" s="316" t="str">
        <f t="shared" si="4"/>
        <v/>
      </c>
      <c r="DB76" s="316" t="str">
        <f t="shared" si="4"/>
        <v/>
      </c>
      <c r="DC76" s="316"/>
      <c r="DD76" s="419"/>
    </row>
    <row r="77" spans="1:108" ht="15" customHeight="1">
      <c r="A77" s="274">
        <f t="shared" ref="A77:A90" si="5">A72+1</f>
        <v>44027</v>
      </c>
      <c r="B77" s="275" t="s">
        <v>9</v>
      </c>
      <c r="C77" s="201">
        <f>COUNTIFS('09월 조업일지'!$A$12:$A$952,A76,'09월 조업일지'!$E$12:$E$952,B77)</f>
        <v>0</v>
      </c>
      <c r="D77" s="314">
        <f>IF(C77&lt;1,0,(SUM(E77:CX77)/(일별반별!BV77-1.5)+(CY77+CZ77+DA77+DB77)))</f>
        <v>0</v>
      </c>
      <c r="E77" s="278"/>
      <c r="F77" s="281"/>
      <c r="G77" s="282"/>
      <c r="H77" s="283"/>
      <c r="I77" s="283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326"/>
      <c r="U77" s="395" t="str">
        <f>IFERROR(IF($C77&lt;1,"",U$3*일별반별!X77),0)</f>
        <v/>
      </c>
      <c r="V77" s="395" t="str">
        <f>IFERROR(IF($C77&lt;1,"",V$3*일별반별!Y77),0)</f>
        <v/>
      </c>
      <c r="W77" s="395" t="str">
        <f>IFERROR(IF($C77&lt;1,"",W$3*일별반별!Z77),0)</f>
        <v/>
      </c>
      <c r="X77" s="208" t="str">
        <f>IFERROR(IF($C77&lt;1,"",X$3*일별반별!AA77),0)</f>
        <v/>
      </c>
      <c r="Y77" s="208" t="str">
        <f>IFERROR(IF($C77&lt;1,"",Y$3*일별반별!AB77),0)</f>
        <v/>
      </c>
      <c r="Z77" s="208" t="str">
        <f>IFERROR(IF($C77&lt;1,"",Z$3*일별반별!AC77),0)</f>
        <v/>
      </c>
      <c r="AA77" s="395" t="str">
        <f>IFERROR(IF($C77&lt;1,"",AA$3*일별반별!AD77),0)</f>
        <v/>
      </c>
      <c r="AB77" s="395" t="str">
        <f>IFERROR(IF($C77&lt;1,"",AB$3*일별반별!AE77),0)</f>
        <v/>
      </c>
      <c r="AC77" s="208" t="str">
        <f>IFERROR(IF($C77&lt;1,"",AC$3*일별반별!AF77),0)</f>
        <v/>
      </c>
      <c r="AD77" s="208" t="str">
        <f>IFERROR(IF($C77&lt;1,"",AD$3*일별반별!AG77),0)</f>
        <v/>
      </c>
      <c r="AE77" s="208" t="str">
        <f>IFERROR(IF($C77&lt;1,"",AE$3*일별반별!AH77),0)</f>
        <v/>
      </c>
      <c r="AF77" s="395" t="str">
        <f>IFERROR(IF($C77&lt;1,"",AF$3*일별반별!AI77),0)</f>
        <v/>
      </c>
      <c r="AG77" s="395" t="str">
        <f>IFERROR(IF($C77&lt;1,"",AG$3*일별반별!AJ77),0)</f>
        <v/>
      </c>
      <c r="AH77" s="395" t="str">
        <f>IFERROR(IF($C77&lt;1,"",AH$3*일별반별!AK77),0)</f>
        <v/>
      </c>
      <c r="AI77" s="395" t="str">
        <f>IFERROR(IF($C77&lt;1,"",AI$3*일별반별!AL77),0)</f>
        <v/>
      </c>
      <c r="AJ77" s="395" t="str">
        <f>IFERROR(IF($C77&lt;1,"",AJ$3*일별반별!AM77),0)</f>
        <v/>
      </c>
      <c r="AK77" s="395" t="str">
        <f>IFERROR(IF($C77&lt;1,"",AK$3*일별반별!AN77),0)</f>
        <v/>
      </c>
      <c r="AL77" s="395" t="str">
        <f>IFERROR(IF($C77&lt;1,"",AL$3*일별반별!AO77),0)</f>
        <v/>
      </c>
      <c r="AM77" s="395" t="str">
        <f>IFERROR(IF($C77&lt;1,"",AM$3*일별반별!AP77),0)</f>
        <v/>
      </c>
      <c r="AN77" s="395" t="str">
        <f>IFERROR(IF($C77&lt;1,"",AN$3*일별반별!AQ77),0)</f>
        <v/>
      </c>
      <c r="AO77" s="395" t="str">
        <f>IFERROR(IF($C77&lt;1,"",AO$3*일별반별!AR77),0)</f>
        <v/>
      </c>
      <c r="AP77" s="347" t="str">
        <f>IFERROR(IF($C77&lt;1,"",AP$3*일별반별!AS77),0)</f>
        <v/>
      </c>
      <c r="AQ77" s="347" t="str">
        <f>IFERROR(IF($C77&lt;1,"",AQ$3*일별반별!AT77),0)</f>
        <v/>
      </c>
      <c r="AR77" s="316" t="str">
        <f>IFERROR(IF($C77&lt;1,"",AR$3*일별반별!AU77),0)</f>
        <v/>
      </c>
      <c r="AS77" s="401" t="str">
        <f>IFERROR(IF($C77&lt;1,"",AS$3*일별반별!AV77),0)</f>
        <v/>
      </c>
      <c r="AT77" s="401" t="str">
        <f>IFERROR(IF($C77&lt;1,"",AT$3*일별반별!AW77),0)</f>
        <v/>
      </c>
      <c r="AU77" s="401" t="str">
        <f>IFERROR(IF($C77&lt;1,"",AU$3*일별반별!AX77),0)</f>
        <v/>
      </c>
      <c r="AV77" s="401" t="str">
        <f>IFERROR(IF($C77&lt;1,"",AV$3*일별반별!AY77),0)</f>
        <v/>
      </c>
      <c r="AW77" s="401" t="str">
        <f>IFERROR(IF($C77&lt;1,"",AW$3*일별반별!AZ77),0)</f>
        <v/>
      </c>
      <c r="AX77" s="401" t="str">
        <f>IFERROR(IF($C77&lt;1,"",AX$3*일별반별!BA77),0)</f>
        <v/>
      </c>
      <c r="AY77" s="401" t="str">
        <f>IFERROR(IF($C77&lt;1,"",AY$3*일별반별!BB77),0)</f>
        <v/>
      </c>
      <c r="AZ77" s="401" t="str">
        <f>IFERROR(IF($C77&lt;1,"",AZ$3*일별반별!BC77),0)</f>
        <v/>
      </c>
      <c r="BA77" s="401" t="str">
        <f>IFERROR(IF($C77&lt;1,"",BA$3*일별반별!BD77),0)</f>
        <v/>
      </c>
      <c r="BB77" s="402" t="str">
        <f>IFERROR(IF($C77&lt;1,"",BB$3*일별반별!BE77),0)</f>
        <v/>
      </c>
      <c r="BC77" s="402" t="str">
        <f>IFERROR(IF($C77&lt;1,"",BC$3*일별반별!BF77),0)</f>
        <v/>
      </c>
      <c r="BD77" s="402" t="str">
        <f>IFERROR(IF($C77&lt;1,"",BD$3*일별반별!BG77),0)</f>
        <v/>
      </c>
      <c r="BE77" s="402" t="str">
        <f>IFERROR(IF($C77&lt;1,"",BE$3*일별반별!BH77),0)</f>
        <v/>
      </c>
      <c r="BF77" s="402" t="str">
        <f>IFERROR(IF($C77&lt;1,"",BF$3*일별반별!BI77),0)</f>
        <v/>
      </c>
      <c r="BG77" s="402" t="str">
        <f>IFERROR(IF($C77&lt;1,"",BG$3*일별반별!BJ77),0)</f>
        <v/>
      </c>
      <c r="BH77" s="402" t="str">
        <f>IFERROR(IF($C77&lt;1,"",BH$3*일별반별!BK77),0)</f>
        <v/>
      </c>
      <c r="BI77" s="402" t="str">
        <f>IFERROR(IF($C77&lt;1,"",BI$3*일별반별!BL77),0)</f>
        <v/>
      </c>
      <c r="BJ77" s="402" t="str">
        <f>IFERROR(IF($C77&lt;1,"",BJ$3*일별반별!BM77),0)</f>
        <v/>
      </c>
      <c r="BK77" s="402" t="str">
        <f>IFERROR(IF($C77&lt;1,"",BK$3*일별반별!BN77),0)</f>
        <v/>
      </c>
      <c r="BL77" s="402" t="str">
        <f>IFERROR(IF($C77&lt;1,"",BL$3*일별반별!BH77),0)</f>
        <v/>
      </c>
      <c r="BM77" s="402" t="str">
        <f>IFERROR(IF($C77&lt;1,"",BM$3*일별반별!BP77),0)</f>
        <v/>
      </c>
      <c r="BN77" s="401" t="str">
        <f>IFERROR(IF($C77&lt;1,"",BN$3*일별반별!BQ77),0)</f>
        <v/>
      </c>
      <c r="BO77" s="401" t="str">
        <f>IFERROR(IF($C77&lt;1,"",BO$3*일별반별!BR77),0)</f>
        <v/>
      </c>
      <c r="BP77" s="401" t="str">
        <f>IFERROR(IF($C77&lt;1,"",BP$3*일별반별!BS77),0)</f>
        <v/>
      </c>
      <c r="BQ77" s="401" t="str">
        <f>IFERROR(IF($C77&lt;1,"",BQ$3*일별반별!BT77),0)</f>
        <v/>
      </c>
      <c r="BR77" s="417" t="str">
        <f>IFERROR(IF($C77&lt;1,"",BR$3*일별반별!BU77),0)</f>
        <v/>
      </c>
      <c r="BS77" s="417" t="str">
        <f>IFERROR(IF($C77&lt;1,"",BS$3*일별반별!BV77),0)</f>
        <v/>
      </c>
      <c r="BT77" s="417" t="str">
        <f>IFERROR(IF($C77&lt;1,"",BT$3*일별반별!BW77),0)</f>
        <v/>
      </c>
      <c r="BU77" s="316" t="str">
        <f>IFERROR(IF($C77&lt;1,"",BU$3*일별반별!BX77),0)</f>
        <v/>
      </c>
      <c r="BV77" s="316" t="str">
        <f>IFERROR(IF($C77&lt;1,"",BV$3*일별반별!BY77),0)</f>
        <v/>
      </c>
      <c r="BW77" s="316" t="str">
        <f>IFERROR(IF($C77&lt;1,"",BW$3*일별반별!BZ77),0)</f>
        <v/>
      </c>
      <c r="BX77" s="316" t="str">
        <f>IFERROR(IF($C77&lt;1,"",BX$3*일별반별!CA77),0)</f>
        <v/>
      </c>
      <c r="BY77" s="316" t="str">
        <f>IFERROR(IF($C77&lt;1,"",BY$3*일별반별!CB77),0)</f>
        <v/>
      </c>
      <c r="BZ77" s="316" t="str">
        <f>IFERROR(IF($C77&lt;1,"",BZ$3*일별반별!CC77),0)</f>
        <v/>
      </c>
      <c r="CA77" s="316" t="str">
        <f>IFERROR(IF($C77&lt;1,"",CA$3*일별반별!CD77),0)</f>
        <v/>
      </c>
      <c r="CB77" s="316" t="str">
        <f>IFERROR(IF($C77&lt;1,"",CB$3*일별반별!CE77),0)</f>
        <v/>
      </c>
      <c r="CC77" s="316" t="str">
        <f>IFERROR(IF($C77&lt;1,"",CC$3*일별반별!CF77),0)</f>
        <v/>
      </c>
      <c r="CD77" s="316" t="str">
        <f>IFERROR(IF($C77&lt;1,"",CD$3*일별반별!CG77),0)</f>
        <v/>
      </c>
      <c r="CE77" s="316" t="str">
        <f>IFERROR(IF($C77&lt;1,"",CE$3*일별반별!CH77),0)</f>
        <v/>
      </c>
      <c r="CF77" s="316" t="str">
        <f>IFERROR(IF($C77&lt;1,"",CF$3*일별반별!CI77),0)</f>
        <v/>
      </c>
      <c r="CG77" s="316" t="str">
        <f>IFERROR(IF($C77&lt;1,"",CG$3*일별반별!CJ77),0)</f>
        <v/>
      </c>
      <c r="CH77" s="316" t="str">
        <f>IFERROR(IF($C77&lt;1,"",CH$3*일별반별!CK77),0)</f>
        <v/>
      </c>
      <c r="CI77" s="316" t="str">
        <f>IFERROR(IF($C77&lt;1,"",CI$3*일별반별!CL77),0)</f>
        <v/>
      </c>
      <c r="CJ77" s="316" t="str">
        <f>IFERROR(IF($C77&lt;1,"",CJ$3*일별반별!CM77),0)</f>
        <v/>
      </c>
      <c r="CK77" s="316" t="str">
        <f>IFERROR(IF($C77&lt;1,"",CK$3*일별반별!CN77),0)</f>
        <v/>
      </c>
      <c r="CL77" s="316" t="str">
        <f>IFERROR(IF($C77&lt;1,"",CL$3*일별반별!CO77),0)</f>
        <v/>
      </c>
      <c r="CM77" s="316" t="str">
        <f>IFERROR(IF($C77&lt;1,"",CM$3*일별반별!CP77),0)</f>
        <v/>
      </c>
      <c r="CN77" s="316" t="str">
        <f>IFERROR(IF($C77&lt;1,"",CN$3*일별반별!CQ77),0)</f>
        <v/>
      </c>
      <c r="CO77" s="316" t="str">
        <f>IFERROR(IF($C77&lt;1,"",CO$3*일별반별!CR77),0)</f>
        <v/>
      </c>
      <c r="CP77" s="316" t="str">
        <f>IFERROR(IF($C77&lt;1,"",CP$3*일별반별!CS77),0)</f>
        <v/>
      </c>
      <c r="CQ77" s="316" t="str">
        <f>IFERROR(IF($C77&lt;1,"",CQ$3*일별반별!CT77),0)</f>
        <v/>
      </c>
      <c r="CR77" s="418" t="str">
        <f>IFERROR(IF($C77&lt;1,"",CR$3*일별반별!CU77),0)</f>
        <v/>
      </c>
      <c r="CS77" s="418" t="str">
        <f>IFERROR(IF($C77&lt;1,"",CS$3*일별반별!CV77),0)</f>
        <v/>
      </c>
      <c r="CT77" s="316" t="str">
        <f>IFERROR(IF($C77&lt;1,"",CT$3*일별반별!CW77),0)</f>
        <v/>
      </c>
      <c r="CU77" s="316" t="str">
        <f>IFERROR(IF($C77&lt;1,"",CU$3*일별반별!CX77),0)</f>
        <v/>
      </c>
      <c r="CV77" s="316" t="str">
        <f>IFERROR(IF($C77&lt;1,"",CV$3*일별반별!CY77),0)</f>
        <v/>
      </c>
      <c r="CW77" s="316" t="str">
        <f>IFERROR(IF($C77&lt;1,"",CW$3*일별반별!CZ77),0)</f>
        <v/>
      </c>
      <c r="CX77" s="316" t="str">
        <f>IFERROR(IF($C77&lt;1,"",CX$3*일별반별!DA77),0)</f>
        <v/>
      </c>
      <c r="CY77" s="316" t="str">
        <f>IF(C77&lt;1,"",(CY$3*'09월 조업일지'!AV$7))</f>
        <v/>
      </c>
      <c r="CZ77" s="316" t="str">
        <f t="shared" si="4"/>
        <v/>
      </c>
      <c r="DA77" s="316" t="str">
        <f t="shared" si="4"/>
        <v/>
      </c>
      <c r="DB77" s="316" t="str">
        <f t="shared" si="4"/>
        <v/>
      </c>
      <c r="DC77" s="316"/>
      <c r="DD77" s="419"/>
    </row>
    <row r="78" spans="1:108" ht="15" customHeight="1">
      <c r="A78" s="274">
        <f t="shared" si="5"/>
        <v>44027</v>
      </c>
      <c r="B78" s="275" t="s">
        <v>100</v>
      </c>
      <c r="C78" s="201">
        <f>COUNTIFS('09월 조업일지'!$A$12:$A$952,A76,'09월 조업일지'!$E$12:$E$952,B78)</f>
        <v>0</v>
      </c>
      <c r="D78" s="314">
        <f>IF(C78&lt;1,0,(SUM(E78:CX78)/(일별반별!BV78-1.5)+(CY78+CZ78+DA78+DB78)))</f>
        <v>0</v>
      </c>
      <c r="E78" s="278"/>
      <c r="F78" s="281"/>
      <c r="G78" s="282"/>
      <c r="H78" s="283"/>
      <c r="I78" s="283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326"/>
      <c r="U78" s="395" t="str">
        <f>IFERROR(IF($C78&lt;1,"",U$3*일별반별!X78),0)</f>
        <v/>
      </c>
      <c r="V78" s="395" t="str">
        <f>IFERROR(IF($C78&lt;1,"",V$3*일별반별!Y78),0)</f>
        <v/>
      </c>
      <c r="W78" s="395" t="str">
        <f>IFERROR(IF($C78&lt;1,"",W$3*일별반별!Z78),0)</f>
        <v/>
      </c>
      <c r="X78" s="208" t="str">
        <f>IFERROR(IF($C78&lt;1,"",X$3*일별반별!AA78),0)</f>
        <v/>
      </c>
      <c r="Y78" s="208" t="str">
        <f>IFERROR(IF($C78&lt;1,"",Y$3*일별반별!AB78),0)</f>
        <v/>
      </c>
      <c r="Z78" s="208" t="str">
        <f>IFERROR(IF($C78&lt;1,"",Z$3*일별반별!AC78),0)</f>
        <v/>
      </c>
      <c r="AA78" s="395" t="str">
        <f>IFERROR(IF($C78&lt;1,"",AA$3*일별반별!AD78),0)</f>
        <v/>
      </c>
      <c r="AB78" s="395" t="str">
        <f>IFERROR(IF($C78&lt;1,"",AB$3*일별반별!AE78),0)</f>
        <v/>
      </c>
      <c r="AC78" s="208" t="str">
        <f>IFERROR(IF($C78&lt;1,"",AC$3*일별반별!AF78),0)</f>
        <v/>
      </c>
      <c r="AD78" s="208" t="str">
        <f>IFERROR(IF($C78&lt;1,"",AD$3*일별반별!AG78),0)</f>
        <v/>
      </c>
      <c r="AE78" s="208" t="str">
        <f>IFERROR(IF($C78&lt;1,"",AE$3*일별반별!AH78),0)</f>
        <v/>
      </c>
      <c r="AF78" s="395" t="str">
        <f>IFERROR(IF($C78&lt;1,"",AF$3*일별반별!AI78),0)</f>
        <v/>
      </c>
      <c r="AG78" s="395" t="str">
        <f>IFERROR(IF($C78&lt;1,"",AG$3*일별반별!AJ78),0)</f>
        <v/>
      </c>
      <c r="AH78" s="395" t="str">
        <f>IFERROR(IF($C78&lt;1,"",AH$3*일별반별!AK78),0)</f>
        <v/>
      </c>
      <c r="AI78" s="395" t="str">
        <f>IFERROR(IF($C78&lt;1,"",AI$3*일별반별!AL78),0)</f>
        <v/>
      </c>
      <c r="AJ78" s="395" t="str">
        <f>IFERROR(IF($C78&lt;1,"",AJ$3*일별반별!AM78),0)</f>
        <v/>
      </c>
      <c r="AK78" s="395" t="str">
        <f>IFERROR(IF($C78&lt;1,"",AK$3*일별반별!AN78),0)</f>
        <v/>
      </c>
      <c r="AL78" s="395" t="str">
        <f>IFERROR(IF($C78&lt;1,"",AL$3*일별반별!AO78),0)</f>
        <v/>
      </c>
      <c r="AM78" s="395" t="str">
        <f>IFERROR(IF($C78&lt;1,"",AM$3*일별반별!AP78),0)</f>
        <v/>
      </c>
      <c r="AN78" s="395" t="str">
        <f>IFERROR(IF($C78&lt;1,"",AN$3*일별반별!AQ78),0)</f>
        <v/>
      </c>
      <c r="AO78" s="395" t="str">
        <f>IFERROR(IF($C78&lt;1,"",AO$3*일별반별!AR78),0)</f>
        <v/>
      </c>
      <c r="AP78" s="347" t="str">
        <f>IFERROR(IF($C78&lt;1,"",AP$3*일별반별!AS78),0)</f>
        <v/>
      </c>
      <c r="AQ78" s="347" t="str">
        <f>IFERROR(IF($C78&lt;1,"",AQ$3*일별반별!AT78),0)</f>
        <v/>
      </c>
      <c r="AR78" s="316" t="str">
        <f>IFERROR(IF($C78&lt;1,"",AR$3*일별반별!AU78),0)</f>
        <v/>
      </c>
      <c r="AS78" s="401" t="str">
        <f>IFERROR(IF($C78&lt;1,"",AS$3*일별반별!AV78),0)</f>
        <v/>
      </c>
      <c r="AT78" s="401" t="str">
        <f>IFERROR(IF($C78&lt;1,"",AT$3*일별반별!AW78),0)</f>
        <v/>
      </c>
      <c r="AU78" s="401" t="str">
        <f>IFERROR(IF($C78&lt;1,"",AU$3*일별반별!AX78),0)</f>
        <v/>
      </c>
      <c r="AV78" s="401" t="str">
        <f>IFERROR(IF($C78&lt;1,"",AV$3*일별반별!AY78),0)</f>
        <v/>
      </c>
      <c r="AW78" s="401" t="str">
        <f>IFERROR(IF($C78&lt;1,"",AW$3*일별반별!AZ78),0)</f>
        <v/>
      </c>
      <c r="AX78" s="401" t="str">
        <f>IFERROR(IF($C78&lt;1,"",AX$3*일별반별!BA78),0)</f>
        <v/>
      </c>
      <c r="AY78" s="401" t="str">
        <f>IFERROR(IF($C78&lt;1,"",AY$3*일별반별!BB78),0)</f>
        <v/>
      </c>
      <c r="AZ78" s="401" t="str">
        <f>IFERROR(IF($C78&lt;1,"",AZ$3*일별반별!BC78),0)</f>
        <v/>
      </c>
      <c r="BA78" s="401" t="str">
        <f>IFERROR(IF($C78&lt;1,"",BA$3*일별반별!BD78),0)</f>
        <v/>
      </c>
      <c r="BB78" s="402" t="str">
        <f>IFERROR(IF($C78&lt;1,"",BB$3*일별반별!BE78),0)</f>
        <v/>
      </c>
      <c r="BC78" s="402" t="str">
        <f>IFERROR(IF($C78&lt;1,"",BC$3*일별반별!BF78),0)</f>
        <v/>
      </c>
      <c r="BD78" s="402" t="str">
        <f>IFERROR(IF($C78&lt;1,"",BD$3*일별반별!BG78),0)</f>
        <v/>
      </c>
      <c r="BE78" s="402" t="str">
        <f>IFERROR(IF($C78&lt;1,"",BE$3*일별반별!BH78),0)</f>
        <v/>
      </c>
      <c r="BF78" s="402" t="str">
        <f>IFERROR(IF($C78&lt;1,"",BF$3*일별반별!BI78),0)</f>
        <v/>
      </c>
      <c r="BG78" s="402" t="str">
        <f>IFERROR(IF($C78&lt;1,"",BG$3*일별반별!BJ78),0)</f>
        <v/>
      </c>
      <c r="BH78" s="402" t="str">
        <f>IFERROR(IF($C78&lt;1,"",BH$3*일별반별!BK78),0)</f>
        <v/>
      </c>
      <c r="BI78" s="402" t="str">
        <f>IFERROR(IF($C78&lt;1,"",BI$3*일별반별!BL78),0)</f>
        <v/>
      </c>
      <c r="BJ78" s="402" t="str">
        <f>IFERROR(IF($C78&lt;1,"",BJ$3*일별반별!BM78),0)</f>
        <v/>
      </c>
      <c r="BK78" s="402" t="str">
        <f>IFERROR(IF($C78&lt;1,"",BK$3*일별반별!BN78),0)</f>
        <v/>
      </c>
      <c r="BL78" s="402" t="str">
        <f>IFERROR(IF($C78&lt;1,"",BL$3*일별반별!BH78),0)</f>
        <v/>
      </c>
      <c r="BM78" s="402" t="str">
        <f>IFERROR(IF($C78&lt;1,"",BM$3*일별반별!BP78),0)</f>
        <v/>
      </c>
      <c r="BN78" s="401" t="str">
        <f>IFERROR(IF($C78&lt;1,"",BN$3*일별반별!BQ78),0)</f>
        <v/>
      </c>
      <c r="BO78" s="401" t="str">
        <f>IFERROR(IF($C78&lt;1,"",BO$3*일별반별!BR78),0)</f>
        <v/>
      </c>
      <c r="BP78" s="401" t="str">
        <f>IFERROR(IF($C78&lt;1,"",BP$3*일별반별!BS78),0)</f>
        <v/>
      </c>
      <c r="BQ78" s="401" t="str">
        <f>IFERROR(IF($C78&lt;1,"",BQ$3*일별반별!BT78),0)</f>
        <v/>
      </c>
      <c r="BR78" s="417" t="str">
        <f>IFERROR(IF($C78&lt;1,"",BR$3*일별반별!BU78),0)</f>
        <v/>
      </c>
      <c r="BS78" s="417" t="str">
        <f>IFERROR(IF($C78&lt;1,"",BS$3*일별반별!BV78),0)</f>
        <v/>
      </c>
      <c r="BT78" s="417" t="str">
        <f>IFERROR(IF($C78&lt;1,"",BT$3*일별반별!BW78),0)</f>
        <v/>
      </c>
      <c r="BU78" s="316" t="str">
        <f>IFERROR(IF($C78&lt;1,"",BU$3*일별반별!BX78),0)</f>
        <v/>
      </c>
      <c r="BV78" s="316" t="str">
        <f>IFERROR(IF($C78&lt;1,"",BV$3*일별반별!BY78),0)</f>
        <v/>
      </c>
      <c r="BW78" s="316" t="str">
        <f>IFERROR(IF($C78&lt;1,"",BW$3*일별반별!BZ78),0)</f>
        <v/>
      </c>
      <c r="BX78" s="316" t="str">
        <f>IFERROR(IF($C78&lt;1,"",BX$3*일별반별!CA78),0)</f>
        <v/>
      </c>
      <c r="BY78" s="316" t="str">
        <f>IFERROR(IF($C78&lt;1,"",BY$3*일별반별!CB78),0)</f>
        <v/>
      </c>
      <c r="BZ78" s="316" t="str">
        <f>IFERROR(IF($C78&lt;1,"",BZ$3*일별반별!CC78),0)</f>
        <v/>
      </c>
      <c r="CA78" s="316" t="str">
        <f>IFERROR(IF($C78&lt;1,"",CA$3*일별반별!CD78),0)</f>
        <v/>
      </c>
      <c r="CB78" s="316" t="str">
        <f>IFERROR(IF($C78&lt;1,"",CB$3*일별반별!CE78),0)</f>
        <v/>
      </c>
      <c r="CC78" s="316" t="str">
        <f>IFERROR(IF($C78&lt;1,"",CC$3*일별반별!CF78),0)</f>
        <v/>
      </c>
      <c r="CD78" s="316" t="str">
        <f>IFERROR(IF($C78&lt;1,"",CD$3*일별반별!CG78),0)</f>
        <v/>
      </c>
      <c r="CE78" s="316" t="str">
        <f>IFERROR(IF($C78&lt;1,"",CE$3*일별반별!CH78),0)</f>
        <v/>
      </c>
      <c r="CF78" s="316" t="str">
        <f>IFERROR(IF($C78&lt;1,"",CF$3*일별반별!CI78),0)</f>
        <v/>
      </c>
      <c r="CG78" s="316" t="str">
        <f>IFERROR(IF($C78&lt;1,"",CG$3*일별반별!CJ78),0)</f>
        <v/>
      </c>
      <c r="CH78" s="316" t="str">
        <f>IFERROR(IF($C78&lt;1,"",CH$3*일별반별!CK78),0)</f>
        <v/>
      </c>
      <c r="CI78" s="316" t="str">
        <f>IFERROR(IF($C78&lt;1,"",CI$3*일별반별!CL78),0)</f>
        <v/>
      </c>
      <c r="CJ78" s="316" t="str">
        <f>IFERROR(IF($C78&lt;1,"",CJ$3*일별반별!CM78),0)</f>
        <v/>
      </c>
      <c r="CK78" s="316" t="str">
        <f>IFERROR(IF($C78&lt;1,"",CK$3*일별반별!CN78),0)</f>
        <v/>
      </c>
      <c r="CL78" s="316" t="str">
        <f>IFERROR(IF($C78&lt;1,"",CL$3*일별반별!CO78),0)</f>
        <v/>
      </c>
      <c r="CM78" s="316" t="str">
        <f>IFERROR(IF($C78&lt;1,"",CM$3*일별반별!CP78),0)</f>
        <v/>
      </c>
      <c r="CN78" s="316" t="str">
        <f>IFERROR(IF($C78&lt;1,"",CN$3*일별반별!CQ78),0)</f>
        <v/>
      </c>
      <c r="CO78" s="316" t="str">
        <f>IFERROR(IF($C78&lt;1,"",CO$3*일별반별!CR78),0)</f>
        <v/>
      </c>
      <c r="CP78" s="316" t="str">
        <f>IFERROR(IF($C78&lt;1,"",CP$3*일별반별!CS78),0)</f>
        <v/>
      </c>
      <c r="CQ78" s="316" t="str">
        <f>IFERROR(IF($C78&lt;1,"",CQ$3*일별반별!CT78),0)</f>
        <v/>
      </c>
      <c r="CR78" s="418" t="str">
        <f>IFERROR(IF($C78&lt;1,"",CR$3*일별반별!CU78),0)</f>
        <v/>
      </c>
      <c r="CS78" s="418" t="str">
        <f>IFERROR(IF($C78&lt;1,"",CS$3*일별반별!CV78),0)</f>
        <v/>
      </c>
      <c r="CT78" s="316" t="str">
        <f>IFERROR(IF($C78&lt;1,"",CT$3*일별반별!CW78),0)</f>
        <v/>
      </c>
      <c r="CU78" s="316" t="str">
        <f>IFERROR(IF($C78&lt;1,"",CU$3*일별반별!CX78),0)</f>
        <v/>
      </c>
      <c r="CV78" s="316" t="str">
        <f>IFERROR(IF($C78&lt;1,"",CV$3*일별반별!CY78),0)</f>
        <v/>
      </c>
      <c r="CW78" s="316" t="str">
        <f>IFERROR(IF($C78&lt;1,"",CW$3*일별반별!CZ78),0)</f>
        <v/>
      </c>
      <c r="CX78" s="316" t="str">
        <f>IFERROR(IF($C78&lt;1,"",CX$3*일별반별!DA78),0)</f>
        <v/>
      </c>
      <c r="CY78" s="316" t="str">
        <f>IF(C78&lt;1,"",(CY$3*'09월 조업일지'!AV$7))</f>
        <v/>
      </c>
      <c r="CZ78" s="316" t="str">
        <f t="shared" si="4"/>
        <v/>
      </c>
      <c r="DA78" s="316" t="str">
        <f t="shared" si="4"/>
        <v/>
      </c>
      <c r="DB78" s="316" t="str">
        <f t="shared" si="4"/>
        <v/>
      </c>
      <c r="DC78" s="316"/>
      <c r="DD78" s="419"/>
    </row>
    <row r="79" spans="1:108" ht="15" customHeight="1">
      <c r="A79" s="274">
        <f t="shared" si="5"/>
        <v>44027</v>
      </c>
      <c r="B79" s="275" t="s">
        <v>10</v>
      </c>
      <c r="C79" s="201">
        <f>COUNTIFS('09월 조업일지'!$A$12:$A$952,A76,'09월 조업일지'!$E$12:$E$952,B79)</f>
        <v>0</v>
      </c>
      <c r="D79" s="314">
        <f>IF(C79&lt;1,0,(SUM(E79:CX79)/(일별반별!BV79-1.5)+(CY79+CZ79+DA79+DB79)))</f>
        <v>0</v>
      </c>
      <c r="E79" s="278"/>
      <c r="F79" s="281"/>
      <c r="G79" s="282"/>
      <c r="H79" s="283"/>
      <c r="I79" s="283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326"/>
      <c r="U79" s="395" t="str">
        <f>IFERROR(IF($C79&lt;1,"",U$3*일별반별!X79),0)</f>
        <v/>
      </c>
      <c r="V79" s="395" t="str">
        <f>IFERROR(IF($C79&lt;1,"",V$3*일별반별!Y79),0)</f>
        <v/>
      </c>
      <c r="W79" s="395" t="str">
        <f>IFERROR(IF($C79&lt;1,"",W$3*일별반별!Z79),0)</f>
        <v/>
      </c>
      <c r="X79" s="208" t="str">
        <f>IFERROR(IF($C79&lt;1,"",X$3*일별반별!AA79),0)</f>
        <v/>
      </c>
      <c r="Y79" s="208" t="str">
        <f>IFERROR(IF($C79&lt;1,"",Y$3*일별반별!AB79),0)</f>
        <v/>
      </c>
      <c r="Z79" s="208" t="str">
        <f>IFERROR(IF($C79&lt;1,"",Z$3*일별반별!AC79),0)</f>
        <v/>
      </c>
      <c r="AA79" s="395" t="str">
        <f>IFERROR(IF($C79&lt;1,"",AA$3*일별반별!AD79),0)</f>
        <v/>
      </c>
      <c r="AB79" s="395" t="str">
        <f>IFERROR(IF($C79&lt;1,"",AB$3*일별반별!AE79),0)</f>
        <v/>
      </c>
      <c r="AC79" s="208" t="str">
        <f>IFERROR(IF($C79&lt;1,"",AC$3*일별반별!AF79),0)</f>
        <v/>
      </c>
      <c r="AD79" s="208" t="str">
        <f>IFERROR(IF($C79&lt;1,"",AD$3*일별반별!AG79),0)</f>
        <v/>
      </c>
      <c r="AE79" s="208" t="str">
        <f>IFERROR(IF($C79&lt;1,"",AE$3*일별반별!AH79),0)</f>
        <v/>
      </c>
      <c r="AF79" s="395" t="str">
        <f>IFERROR(IF($C79&lt;1,"",AF$3*일별반별!AI79),0)</f>
        <v/>
      </c>
      <c r="AG79" s="395" t="str">
        <f>IFERROR(IF($C79&lt;1,"",AG$3*일별반별!AJ79),0)</f>
        <v/>
      </c>
      <c r="AH79" s="395" t="str">
        <f>IFERROR(IF($C79&lt;1,"",AH$3*일별반별!AK79),0)</f>
        <v/>
      </c>
      <c r="AI79" s="395" t="str">
        <f>IFERROR(IF($C79&lt;1,"",AI$3*일별반별!AL79),0)</f>
        <v/>
      </c>
      <c r="AJ79" s="395" t="str">
        <f>IFERROR(IF($C79&lt;1,"",AJ$3*일별반별!AM79),0)</f>
        <v/>
      </c>
      <c r="AK79" s="395" t="str">
        <f>IFERROR(IF($C79&lt;1,"",AK$3*일별반별!AN79),0)</f>
        <v/>
      </c>
      <c r="AL79" s="395" t="str">
        <f>IFERROR(IF($C79&lt;1,"",AL$3*일별반별!AO79),0)</f>
        <v/>
      </c>
      <c r="AM79" s="395" t="str">
        <f>IFERROR(IF($C79&lt;1,"",AM$3*일별반별!AP79),0)</f>
        <v/>
      </c>
      <c r="AN79" s="395" t="str">
        <f>IFERROR(IF($C79&lt;1,"",AN$3*일별반별!AQ79),0)</f>
        <v/>
      </c>
      <c r="AO79" s="395" t="str">
        <f>IFERROR(IF($C79&lt;1,"",AO$3*일별반별!AR79),0)</f>
        <v/>
      </c>
      <c r="AP79" s="347" t="str">
        <f>IFERROR(IF($C79&lt;1,"",AP$3*일별반별!AS79),0)</f>
        <v/>
      </c>
      <c r="AQ79" s="347" t="str">
        <f>IFERROR(IF($C79&lt;1,"",AQ$3*일별반별!AT79),0)</f>
        <v/>
      </c>
      <c r="AR79" s="316" t="str">
        <f>IFERROR(IF($C79&lt;1,"",AR$3*일별반별!AU79),0)</f>
        <v/>
      </c>
      <c r="AS79" s="401" t="str">
        <f>IFERROR(IF($C79&lt;1,"",AS$3*일별반별!AV79),0)</f>
        <v/>
      </c>
      <c r="AT79" s="401" t="str">
        <f>IFERROR(IF($C79&lt;1,"",AT$3*일별반별!AW79),0)</f>
        <v/>
      </c>
      <c r="AU79" s="401" t="str">
        <f>IFERROR(IF($C79&lt;1,"",AU$3*일별반별!AX79),0)</f>
        <v/>
      </c>
      <c r="AV79" s="401" t="str">
        <f>IFERROR(IF($C79&lt;1,"",AV$3*일별반별!AY79),0)</f>
        <v/>
      </c>
      <c r="AW79" s="401" t="str">
        <f>IFERROR(IF($C79&lt;1,"",AW$3*일별반별!AZ79),0)</f>
        <v/>
      </c>
      <c r="AX79" s="401" t="str">
        <f>IFERROR(IF($C79&lt;1,"",AX$3*일별반별!BA79),0)</f>
        <v/>
      </c>
      <c r="AY79" s="401" t="str">
        <f>IFERROR(IF($C79&lt;1,"",AY$3*일별반별!BB79),0)</f>
        <v/>
      </c>
      <c r="AZ79" s="401" t="str">
        <f>IFERROR(IF($C79&lt;1,"",AZ$3*일별반별!BC79),0)</f>
        <v/>
      </c>
      <c r="BA79" s="401" t="str">
        <f>IFERROR(IF($C79&lt;1,"",BA$3*일별반별!BD79),0)</f>
        <v/>
      </c>
      <c r="BB79" s="402" t="str">
        <f>IFERROR(IF($C79&lt;1,"",BB$3*일별반별!BE79),0)</f>
        <v/>
      </c>
      <c r="BC79" s="402" t="str">
        <f>IFERROR(IF($C79&lt;1,"",BC$3*일별반별!BF79),0)</f>
        <v/>
      </c>
      <c r="BD79" s="402" t="str">
        <f>IFERROR(IF($C79&lt;1,"",BD$3*일별반별!BG79),0)</f>
        <v/>
      </c>
      <c r="BE79" s="402" t="str">
        <f>IFERROR(IF($C79&lt;1,"",BE$3*일별반별!BH79),0)</f>
        <v/>
      </c>
      <c r="BF79" s="402" t="str">
        <f>IFERROR(IF($C79&lt;1,"",BF$3*일별반별!BI79),0)</f>
        <v/>
      </c>
      <c r="BG79" s="402" t="str">
        <f>IFERROR(IF($C79&lt;1,"",BG$3*일별반별!BJ79),0)</f>
        <v/>
      </c>
      <c r="BH79" s="402" t="str">
        <f>IFERROR(IF($C79&lt;1,"",BH$3*일별반별!BK79),0)</f>
        <v/>
      </c>
      <c r="BI79" s="402" t="str">
        <f>IFERROR(IF($C79&lt;1,"",BI$3*일별반별!BL79),0)</f>
        <v/>
      </c>
      <c r="BJ79" s="402" t="str">
        <f>IFERROR(IF($C79&lt;1,"",BJ$3*일별반별!BM79),0)</f>
        <v/>
      </c>
      <c r="BK79" s="402" t="str">
        <f>IFERROR(IF($C79&lt;1,"",BK$3*일별반별!BN79),0)</f>
        <v/>
      </c>
      <c r="BL79" s="402" t="str">
        <f>IFERROR(IF($C79&lt;1,"",BL$3*일별반별!BH79),0)</f>
        <v/>
      </c>
      <c r="BM79" s="402" t="str">
        <f>IFERROR(IF($C79&lt;1,"",BM$3*일별반별!BP79),0)</f>
        <v/>
      </c>
      <c r="BN79" s="401" t="str">
        <f>IFERROR(IF($C79&lt;1,"",BN$3*일별반별!BQ79),0)</f>
        <v/>
      </c>
      <c r="BO79" s="401" t="str">
        <f>IFERROR(IF($C79&lt;1,"",BO$3*일별반별!BR79),0)</f>
        <v/>
      </c>
      <c r="BP79" s="401" t="str">
        <f>IFERROR(IF($C79&lt;1,"",BP$3*일별반별!BS79),0)</f>
        <v/>
      </c>
      <c r="BQ79" s="401" t="str">
        <f>IFERROR(IF($C79&lt;1,"",BQ$3*일별반별!BT79),0)</f>
        <v/>
      </c>
      <c r="BR79" s="417" t="str">
        <f>IFERROR(IF($C79&lt;1,"",BR$3*일별반별!BU79),0)</f>
        <v/>
      </c>
      <c r="BS79" s="417" t="str">
        <f>IFERROR(IF($C79&lt;1,"",BS$3*일별반별!BV79),0)</f>
        <v/>
      </c>
      <c r="BT79" s="417" t="str">
        <f>IFERROR(IF($C79&lt;1,"",BT$3*일별반별!BW79),0)</f>
        <v/>
      </c>
      <c r="BU79" s="316" t="str">
        <f>IFERROR(IF($C79&lt;1,"",BU$3*일별반별!BX79),0)</f>
        <v/>
      </c>
      <c r="BV79" s="316" t="str">
        <f>IFERROR(IF($C79&lt;1,"",BV$3*일별반별!BY79),0)</f>
        <v/>
      </c>
      <c r="BW79" s="316" t="str">
        <f>IFERROR(IF($C79&lt;1,"",BW$3*일별반별!BZ79),0)</f>
        <v/>
      </c>
      <c r="BX79" s="316" t="str">
        <f>IFERROR(IF($C79&lt;1,"",BX$3*일별반별!CA79),0)</f>
        <v/>
      </c>
      <c r="BY79" s="316" t="str">
        <f>IFERROR(IF($C79&lt;1,"",BY$3*일별반별!CB79),0)</f>
        <v/>
      </c>
      <c r="BZ79" s="316" t="str">
        <f>IFERROR(IF($C79&lt;1,"",BZ$3*일별반별!CC79),0)</f>
        <v/>
      </c>
      <c r="CA79" s="316" t="str">
        <f>IFERROR(IF($C79&lt;1,"",CA$3*일별반별!CD79),0)</f>
        <v/>
      </c>
      <c r="CB79" s="316" t="str">
        <f>IFERROR(IF($C79&lt;1,"",CB$3*일별반별!CE79),0)</f>
        <v/>
      </c>
      <c r="CC79" s="316" t="str">
        <f>IFERROR(IF($C79&lt;1,"",CC$3*일별반별!CF79),0)</f>
        <v/>
      </c>
      <c r="CD79" s="316" t="str">
        <f>IFERROR(IF($C79&lt;1,"",CD$3*일별반별!CG79),0)</f>
        <v/>
      </c>
      <c r="CE79" s="316" t="str">
        <f>IFERROR(IF($C79&lt;1,"",CE$3*일별반별!CH79),0)</f>
        <v/>
      </c>
      <c r="CF79" s="316" t="str">
        <f>IFERROR(IF($C79&lt;1,"",CF$3*일별반별!CI79),0)</f>
        <v/>
      </c>
      <c r="CG79" s="316" t="str">
        <f>IFERROR(IF($C79&lt;1,"",CG$3*일별반별!CJ79),0)</f>
        <v/>
      </c>
      <c r="CH79" s="316" t="str">
        <f>IFERROR(IF($C79&lt;1,"",CH$3*일별반별!CK79),0)</f>
        <v/>
      </c>
      <c r="CI79" s="316" t="str">
        <f>IFERROR(IF($C79&lt;1,"",CI$3*일별반별!CL79),0)</f>
        <v/>
      </c>
      <c r="CJ79" s="316" t="str">
        <f>IFERROR(IF($C79&lt;1,"",CJ$3*일별반별!CM79),0)</f>
        <v/>
      </c>
      <c r="CK79" s="316" t="str">
        <f>IFERROR(IF($C79&lt;1,"",CK$3*일별반별!CN79),0)</f>
        <v/>
      </c>
      <c r="CL79" s="316" t="str">
        <f>IFERROR(IF($C79&lt;1,"",CL$3*일별반별!CO79),0)</f>
        <v/>
      </c>
      <c r="CM79" s="316" t="str">
        <f>IFERROR(IF($C79&lt;1,"",CM$3*일별반별!CP79),0)</f>
        <v/>
      </c>
      <c r="CN79" s="316" t="str">
        <f>IFERROR(IF($C79&lt;1,"",CN$3*일별반별!CQ79),0)</f>
        <v/>
      </c>
      <c r="CO79" s="316" t="str">
        <f>IFERROR(IF($C79&lt;1,"",CO$3*일별반별!CR79),0)</f>
        <v/>
      </c>
      <c r="CP79" s="316" t="str">
        <f>IFERROR(IF($C79&lt;1,"",CP$3*일별반별!CS79),0)</f>
        <v/>
      </c>
      <c r="CQ79" s="316" t="str">
        <f>IFERROR(IF($C79&lt;1,"",CQ$3*일별반별!CT79),0)</f>
        <v/>
      </c>
      <c r="CR79" s="418" t="str">
        <f>IFERROR(IF($C79&lt;1,"",CR$3*일별반별!CU79),0)</f>
        <v/>
      </c>
      <c r="CS79" s="418" t="str">
        <f>IFERROR(IF($C79&lt;1,"",CS$3*일별반별!CV79),0)</f>
        <v/>
      </c>
      <c r="CT79" s="316" t="str">
        <f>IFERROR(IF($C79&lt;1,"",CT$3*일별반별!CW79),0)</f>
        <v/>
      </c>
      <c r="CU79" s="316" t="str">
        <f>IFERROR(IF($C79&lt;1,"",CU$3*일별반별!CX79),0)</f>
        <v/>
      </c>
      <c r="CV79" s="316" t="str">
        <f>IFERROR(IF($C79&lt;1,"",CV$3*일별반별!CY79),0)</f>
        <v/>
      </c>
      <c r="CW79" s="316" t="str">
        <f>IFERROR(IF($C79&lt;1,"",CW$3*일별반별!CZ79),0)</f>
        <v/>
      </c>
      <c r="CX79" s="316" t="str">
        <f>IFERROR(IF($C79&lt;1,"",CX$3*일별반별!DA79),0)</f>
        <v/>
      </c>
      <c r="CY79" s="316" t="str">
        <f>IF(C79&lt;1,"",(CY$3*'09월 조업일지'!AV$7))</f>
        <v/>
      </c>
      <c r="CZ79" s="316" t="str">
        <f t="shared" si="4"/>
        <v/>
      </c>
      <c r="DA79" s="316" t="str">
        <f t="shared" si="4"/>
        <v/>
      </c>
      <c r="DB79" s="316" t="str">
        <f t="shared" si="4"/>
        <v/>
      </c>
      <c r="DC79" s="316"/>
      <c r="DD79" s="419"/>
    </row>
    <row r="80" spans="1:108" ht="15" customHeight="1">
      <c r="A80" s="274">
        <f t="shared" si="5"/>
        <v>44027</v>
      </c>
      <c r="B80" s="275" t="s">
        <v>94</v>
      </c>
      <c r="C80" s="201">
        <f>COUNTIFS('09월 조업일지'!$A$12:$A$952,A76,'09월 조업일지'!$E$12:$E$952,B80)</f>
        <v>0</v>
      </c>
      <c r="D80" s="314">
        <f>IF(C80&lt;1,0,(SUM(E80:CX80)/(일별반별!BV80-1.5)+(CY80+CZ80+DA80+DB80)))</f>
        <v>0</v>
      </c>
      <c r="E80" s="278"/>
      <c r="F80" s="281"/>
      <c r="G80" s="282"/>
      <c r="H80" s="283"/>
      <c r="I80" s="283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326"/>
      <c r="U80" s="395" t="str">
        <f>IFERROR(IF($C80&lt;1,"",U$3*일별반별!X80),0)</f>
        <v/>
      </c>
      <c r="V80" s="395" t="str">
        <f>IFERROR(IF($C80&lt;1,"",V$3*일별반별!Y80),0)</f>
        <v/>
      </c>
      <c r="W80" s="395" t="str">
        <f>IFERROR(IF($C80&lt;1,"",W$3*일별반별!Z80),0)</f>
        <v/>
      </c>
      <c r="X80" s="208" t="str">
        <f>IFERROR(IF($C80&lt;1,"",X$3*일별반별!AA80),0)</f>
        <v/>
      </c>
      <c r="Y80" s="208" t="str">
        <f>IFERROR(IF($C80&lt;1,"",Y$3*일별반별!AB80),0)</f>
        <v/>
      </c>
      <c r="Z80" s="208" t="str">
        <f>IFERROR(IF($C80&lt;1,"",Z$3*일별반별!AC80),0)</f>
        <v/>
      </c>
      <c r="AA80" s="395" t="str">
        <f>IFERROR(IF($C80&lt;1,"",AA$3*일별반별!AD80),0)</f>
        <v/>
      </c>
      <c r="AB80" s="395" t="str">
        <f>IFERROR(IF($C80&lt;1,"",AB$3*일별반별!AE80),0)</f>
        <v/>
      </c>
      <c r="AC80" s="208" t="str">
        <f>IFERROR(IF($C80&lt;1,"",AC$3*일별반별!AF80),0)</f>
        <v/>
      </c>
      <c r="AD80" s="208" t="str">
        <f>IFERROR(IF($C80&lt;1,"",AD$3*일별반별!AG80),0)</f>
        <v/>
      </c>
      <c r="AE80" s="208" t="str">
        <f>IFERROR(IF($C80&lt;1,"",AE$3*일별반별!AH80),0)</f>
        <v/>
      </c>
      <c r="AF80" s="395" t="str">
        <f>IFERROR(IF($C80&lt;1,"",AF$3*일별반별!AI80),0)</f>
        <v/>
      </c>
      <c r="AG80" s="395" t="str">
        <f>IFERROR(IF($C80&lt;1,"",AG$3*일별반별!AJ80),0)</f>
        <v/>
      </c>
      <c r="AH80" s="395" t="str">
        <f>IFERROR(IF($C80&lt;1,"",AH$3*일별반별!AK80),0)</f>
        <v/>
      </c>
      <c r="AI80" s="395" t="str">
        <f>IFERROR(IF($C80&lt;1,"",AI$3*일별반별!AL80),0)</f>
        <v/>
      </c>
      <c r="AJ80" s="395" t="str">
        <f>IFERROR(IF($C80&lt;1,"",AJ$3*일별반별!AM80),0)</f>
        <v/>
      </c>
      <c r="AK80" s="395" t="str">
        <f>IFERROR(IF($C80&lt;1,"",AK$3*일별반별!AN80),0)</f>
        <v/>
      </c>
      <c r="AL80" s="395" t="str">
        <f>IFERROR(IF($C80&lt;1,"",AL$3*일별반별!AO80),0)</f>
        <v/>
      </c>
      <c r="AM80" s="395" t="str">
        <f>IFERROR(IF($C80&lt;1,"",AM$3*일별반별!AP80),0)</f>
        <v/>
      </c>
      <c r="AN80" s="395" t="str">
        <f>IFERROR(IF($C80&lt;1,"",AN$3*일별반별!AQ80),0)</f>
        <v/>
      </c>
      <c r="AO80" s="395" t="str">
        <f>IFERROR(IF($C80&lt;1,"",AO$3*일별반별!AR80),0)</f>
        <v/>
      </c>
      <c r="AP80" s="347" t="str">
        <f>IFERROR(IF($C80&lt;1,"",AP$3*일별반별!AS80),0)</f>
        <v/>
      </c>
      <c r="AQ80" s="347" t="str">
        <f>IFERROR(IF($C80&lt;1,"",AQ$3*일별반별!AT80),0)</f>
        <v/>
      </c>
      <c r="AR80" s="316" t="str">
        <f>IFERROR(IF($C80&lt;1,"",AR$3*일별반별!AU80),0)</f>
        <v/>
      </c>
      <c r="AS80" s="401" t="str">
        <f>IFERROR(IF($C80&lt;1,"",AS$3*일별반별!AV80),0)</f>
        <v/>
      </c>
      <c r="AT80" s="401" t="str">
        <f>IFERROR(IF($C80&lt;1,"",AT$3*일별반별!AW80),0)</f>
        <v/>
      </c>
      <c r="AU80" s="401" t="str">
        <f>IFERROR(IF($C80&lt;1,"",AU$3*일별반별!AX80),0)</f>
        <v/>
      </c>
      <c r="AV80" s="401" t="str">
        <f>IFERROR(IF($C80&lt;1,"",AV$3*일별반별!AY80),0)</f>
        <v/>
      </c>
      <c r="AW80" s="401" t="str">
        <f>IFERROR(IF($C80&lt;1,"",AW$3*일별반별!AZ80),0)</f>
        <v/>
      </c>
      <c r="AX80" s="401" t="str">
        <f>IFERROR(IF($C80&lt;1,"",AX$3*일별반별!BA80),0)</f>
        <v/>
      </c>
      <c r="AY80" s="401" t="str">
        <f>IFERROR(IF($C80&lt;1,"",AY$3*일별반별!BB80),0)</f>
        <v/>
      </c>
      <c r="AZ80" s="401" t="str">
        <f>IFERROR(IF($C80&lt;1,"",AZ$3*일별반별!BC80),0)</f>
        <v/>
      </c>
      <c r="BA80" s="401" t="str">
        <f>IFERROR(IF($C80&lt;1,"",BA$3*일별반별!BD80),0)</f>
        <v/>
      </c>
      <c r="BB80" s="402" t="str">
        <f>IFERROR(IF($C80&lt;1,"",BB$3*일별반별!BE80),0)</f>
        <v/>
      </c>
      <c r="BC80" s="402" t="str">
        <f>IFERROR(IF($C80&lt;1,"",BC$3*일별반별!BF80),0)</f>
        <v/>
      </c>
      <c r="BD80" s="402" t="str">
        <f>IFERROR(IF($C80&lt;1,"",BD$3*일별반별!BG80),0)</f>
        <v/>
      </c>
      <c r="BE80" s="402" t="str">
        <f>IFERROR(IF($C80&lt;1,"",BE$3*일별반별!BH80),0)</f>
        <v/>
      </c>
      <c r="BF80" s="402" t="str">
        <f>IFERROR(IF($C80&lt;1,"",BF$3*일별반별!BI80),0)</f>
        <v/>
      </c>
      <c r="BG80" s="402" t="str">
        <f>IFERROR(IF($C80&lt;1,"",BG$3*일별반별!BJ80),0)</f>
        <v/>
      </c>
      <c r="BH80" s="402" t="str">
        <f>IFERROR(IF($C80&lt;1,"",BH$3*일별반별!BK80),0)</f>
        <v/>
      </c>
      <c r="BI80" s="402" t="str">
        <f>IFERROR(IF($C80&lt;1,"",BI$3*일별반별!BL80),0)</f>
        <v/>
      </c>
      <c r="BJ80" s="402" t="str">
        <f>IFERROR(IF($C80&lt;1,"",BJ$3*일별반별!BM80),0)</f>
        <v/>
      </c>
      <c r="BK80" s="402" t="str">
        <f>IFERROR(IF($C80&lt;1,"",BK$3*일별반별!BN80),0)</f>
        <v/>
      </c>
      <c r="BL80" s="402" t="str">
        <f>IFERROR(IF($C80&lt;1,"",BL$3*일별반별!BH80),0)</f>
        <v/>
      </c>
      <c r="BM80" s="402" t="str">
        <f>IFERROR(IF($C80&lt;1,"",BM$3*일별반별!BP80),0)</f>
        <v/>
      </c>
      <c r="BN80" s="401" t="str">
        <f>IFERROR(IF($C80&lt;1,"",BN$3*일별반별!BQ80),0)</f>
        <v/>
      </c>
      <c r="BO80" s="401" t="str">
        <f>IFERROR(IF($C80&lt;1,"",BO$3*일별반별!BR80),0)</f>
        <v/>
      </c>
      <c r="BP80" s="401" t="str">
        <f>IFERROR(IF($C80&lt;1,"",BP$3*일별반별!BS80),0)</f>
        <v/>
      </c>
      <c r="BQ80" s="401" t="str">
        <f>IFERROR(IF($C80&lt;1,"",BQ$3*일별반별!BT80),0)</f>
        <v/>
      </c>
      <c r="BR80" s="417" t="str">
        <f>IFERROR(IF($C80&lt;1,"",BR$3*일별반별!BU80),0)</f>
        <v/>
      </c>
      <c r="BS80" s="417" t="str">
        <f>IFERROR(IF($C80&lt;1,"",BS$3*일별반별!BV80),0)</f>
        <v/>
      </c>
      <c r="BT80" s="417" t="str">
        <f>IFERROR(IF($C80&lt;1,"",BT$3*일별반별!BW80),0)</f>
        <v/>
      </c>
      <c r="BU80" s="316" t="str">
        <f>IFERROR(IF($C80&lt;1,"",BU$3*일별반별!BX80),0)</f>
        <v/>
      </c>
      <c r="BV80" s="316" t="str">
        <f>IFERROR(IF($C80&lt;1,"",BV$3*일별반별!BY80),0)</f>
        <v/>
      </c>
      <c r="BW80" s="316" t="str">
        <f>IFERROR(IF($C80&lt;1,"",BW$3*일별반별!BZ80),0)</f>
        <v/>
      </c>
      <c r="BX80" s="316" t="str">
        <f>IFERROR(IF($C80&lt;1,"",BX$3*일별반별!CA80),0)</f>
        <v/>
      </c>
      <c r="BY80" s="316" t="str">
        <f>IFERROR(IF($C80&lt;1,"",BY$3*일별반별!CB80),0)</f>
        <v/>
      </c>
      <c r="BZ80" s="316" t="str">
        <f>IFERROR(IF($C80&lt;1,"",BZ$3*일별반별!CC80),0)</f>
        <v/>
      </c>
      <c r="CA80" s="316" t="str">
        <f>IFERROR(IF($C80&lt;1,"",CA$3*일별반별!CD80),0)</f>
        <v/>
      </c>
      <c r="CB80" s="316" t="str">
        <f>IFERROR(IF($C80&lt;1,"",CB$3*일별반별!CE80),0)</f>
        <v/>
      </c>
      <c r="CC80" s="316" t="str">
        <f>IFERROR(IF($C80&lt;1,"",CC$3*일별반별!CF80),0)</f>
        <v/>
      </c>
      <c r="CD80" s="316" t="str">
        <f>IFERROR(IF($C80&lt;1,"",CD$3*일별반별!CG80),0)</f>
        <v/>
      </c>
      <c r="CE80" s="316" t="str">
        <f>IFERROR(IF($C80&lt;1,"",CE$3*일별반별!CH80),0)</f>
        <v/>
      </c>
      <c r="CF80" s="316" t="str">
        <f>IFERROR(IF($C80&lt;1,"",CF$3*일별반별!CI80),0)</f>
        <v/>
      </c>
      <c r="CG80" s="316" t="str">
        <f>IFERROR(IF($C80&lt;1,"",CG$3*일별반별!CJ80),0)</f>
        <v/>
      </c>
      <c r="CH80" s="316" t="str">
        <f>IFERROR(IF($C80&lt;1,"",CH$3*일별반별!CK80),0)</f>
        <v/>
      </c>
      <c r="CI80" s="316" t="str">
        <f>IFERROR(IF($C80&lt;1,"",CI$3*일별반별!CL80),0)</f>
        <v/>
      </c>
      <c r="CJ80" s="316" t="str">
        <f>IFERROR(IF($C80&lt;1,"",CJ$3*일별반별!CM80),0)</f>
        <v/>
      </c>
      <c r="CK80" s="316" t="str">
        <f>IFERROR(IF($C80&lt;1,"",CK$3*일별반별!CN80),0)</f>
        <v/>
      </c>
      <c r="CL80" s="316" t="str">
        <f>IFERROR(IF($C80&lt;1,"",CL$3*일별반별!CO80),0)</f>
        <v/>
      </c>
      <c r="CM80" s="316" t="str">
        <f>IFERROR(IF($C80&lt;1,"",CM$3*일별반별!CP80),0)</f>
        <v/>
      </c>
      <c r="CN80" s="316" t="str">
        <f>IFERROR(IF($C80&lt;1,"",CN$3*일별반별!CQ80),0)</f>
        <v/>
      </c>
      <c r="CO80" s="316" t="str">
        <f>IFERROR(IF($C80&lt;1,"",CO$3*일별반별!CR80),0)</f>
        <v/>
      </c>
      <c r="CP80" s="316" t="str">
        <f>IFERROR(IF($C80&lt;1,"",CP$3*일별반별!CS80),0)</f>
        <v/>
      </c>
      <c r="CQ80" s="316" t="str">
        <f>IFERROR(IF($C80&lt;1,"",CQ$3*일별반별!CT80),0)</f>
        <v/>
      </c>
      <c r="CR80" s="418" t="str">
        <f>IFERROR(IF($C80&lt;1,"",CR$3*일별반별!CU80),0)</f>
        <v/>
      </c>
      <c r="CS80" s="418" t="str">
        <f>IFERROR(IF($C80&lt;1,"",CS$3*일별반별!CV80),0)</f>
        <v/>
      </c>
      <c r="CT80" s="316" t="str">
        <f>IFERROR(IF($C80&lt;1,"",CT$3*일별반별!CW80),0)</f>
        <v/>
      </c>
      <c r="CU80" s="316" t="str">
        <f>IFERROR(IF($C80&lt;1,"",CU$3*일별반별!CX80),0)</f>
        <v/>
      </c>
      <c r="CV80" s="316" t="str">
        <f>IFERROR(IF($C80&lt;1,"",CV$3*일별반별!CY80),0)</f>
        <v/>
      </c>
      <c r="CW80" s="316" t="str">
        <f>IFERROR(IF($C80&lt;1,"",CW$3*일별반별!CZ80),0)</f>
        <v/>
      </c>
      <c r="CX80" s="316" t="str">
        <f>IFERROR(IF($C80&lt;1,"",CX$3*일별반별!DA80),0)</f>
        <v/>
      </c>
      <c r="CY80" s="316" t="str">
        <f>IF(C80&lt;1,"",(CY$3*'09월 조업일지'!AV$7))</f>
        <v/>
      </c>
      <c r="CZ80" s="316" t="str">
        <f t="shared" si="4"/>
        <v/>
      </c>
      <c r="DA80" s="316" t="str">
        <f t="shared" si="4"/>
        <v/>
      </c>
      <c r="DB80" s="316" t="str">
        <f t="shared" si="4"/>
        <v/>
      </c>
      <c r="DC80" s="316"/>
      <c r="DD80" s="419"/>
    </row>
    <row r="81" spans="1:108" ht="15" customHeight="1">
      <c r="A81" s="327">
        <f>A76+1</f>
        <v>44028</v>
      </c>
      <c r="B81" s="328" t="s">
        <v>31</v>
      </c>
      <c r="C81" s="329">
        <f>COUNTIF('09월 조업일지'!$A$12:$A$952,A81)</f>
        <v>0</v>
      </c>
      <c r="D81" s="330">
        <f>IF(C81&lt;1,0,(SUM(E81:CX81)/(일별반별!BV81-1.5)+(CY81+CZ81+DA81+DB81)))</f>
        <v>0</v>
      </c>
      <c r="E81" s="331"/>
      <c r="F81" s="331"/>
      <c r="G81" s="332"/>
      <c r="H81" s="333"/>
      <c r="I81" s="333"/>
      <c r="J81" s="334"/>
      <c r="K81" s="334"/>
      <c r="L81" s="334"/>
      <c r="M81" s="334"/>
      <c r="N81" s="334"/>
      <c r="O81" s="334"/>
      <c r="P81" s="334"/>
      <c r="Q81" s="335"/>
      <c r="R81" s="334"/>
      <c r="S81" s="335"/>
      <c r="T81" s="334"/>
      <c r="U81" s="337" t="str">
        <f>IFERROR(IF($C81&lt;1,"",U$3*일별반별!X81),0)</f>
        <v/>
      </c>
      <c r="V81" s="337" t="str">
        <f>IFERROR(IF($C81&lt;1,"",V$3*일별반별!Y81),0)</f>
        <v/>
      </c>
      <c r="W81" s="337" t="str">
        <f>IFERROR(IF($C81&lt;1,"",W$3*일별반별!Z81),0)</f>
        <v/>
      </c>
      <c r="X81" s="336" t="str">
        <f>IFERROR(IF($C81&lt;1,"",X$3*일별반별!AA81),0)</f>
        <v/>
      </c>
      <c r="Y81" s="336" t="str">
        <f>IFERROR(IF($C81&lt;1,"",Y$3*일별반별!AB81),0)</f>
        <v/>
      </c>
      <c r="Z81" s="336" t="str">
        <f>IFERROR(IF($C81&lt;1,"",Z$3*일별반별!AC81),0)</f>
        <v/>
      </c>
      <c r="AA81" s="337" t="str">
        <f>IFERROR(IF($C81&lt;1,"",AA$3*일별반별!AD81),0)</f>
        <v/>
      </c>
      <c r="AB81" s="337" t="str">
        <f>IFERROR(IF($C81&lt;1,"",AB$3*일별반별!AE81),0)</f>
        <v/>
      </c>
      <c r="AC81" s="336" t="str">
        <f>IFERROR(IF($C81&lt;1,"",AC$3*일별반별!AF81),0)</f>
        <v/>
      </c>
      <c r="AD81" s="336" t="str">
        <f>IFERROR(IF($C81&lt;1,"",AD$3*일별반별!AG81),0)</f>
        <v/>
      </c>
      <c r="AE81" s="336" t="str">
        <f>IFERROR(IF($C81&lt;1,"",AE$3*일별반별!AH81),0)</f>
        <v/>
      </c>
      <c r="AF81" s="337" t="str">
        <f>IFERROR(IF($C81&lt;1,"",AF$3*일별반별!AI81),0)</f>
        <v/>
      </c>
      <c r="AG81" s="337" t="str">
        <f>IFERROR(IF($C81&lt;1,"",AG$3*일별반별!AJ81),0)</f>
        <v/>
      </c>
      <c r="AH81" s="337" t="str">
        <f>IFERROR(IF($C81&lt;1,"",AH$3*일별반별!AK81),0)</f>
        <v/>
      </c>
      <c r="AI81" s="337" t="str">
        <f>IFERROR(IF($C81&lt;1,"",AI$3*일별반별!AL81),0)</f>
        <v/>
      </c>
      <c r="AJ81" s="337" t="str">
        <f>IFERROR(IF($C81&lt;1,"",AJ$3*일별반별!AM81),0)</f>
        <v/>
      </c>
      <c r="AK81" s="337" t="str">
        <f>IFERROR(IF($C81&lt;1,"",AK$3*일별반별!AN81),0)</f>
        <v/>
      </c>
      <c r="AL81" s="337" t="str">
        <f>IFERROR(IF($C81&lt;1,"",AL$3*일별반별!AO81),0)</f>
        <v/>
      </c>
      <c r="AM81" s="337" t="str">
        <f>IFERROR(IF($C81&lt;1,"",AM$3*일별반별!AP81),0)</f>
        <v/>
      </c>
      <c r="AN81" s="337" t="str">
        <f>IFERROR(IF($C81&lt;1,"",AN$3*일별반별!AQ81),0)</f>
        <v/>
      </c>
      <c r="AO81" s="337" t="str">
        <f>IFERROR(IF($C81&lt;1,"",AO$3*일별반별!AR81),0)</f>
        <v/>
      </c>
      <c r="AP81" s="337" t="str">
        <f>IFERROR(IF($C81&lt;1,"",AP$3*일별반별!AS81),0)</f>
        <v/>
      </c>
      <c r="AQ81" s="337" t="str">
        <f>IFERROR(IF($C81&lt;1,"",AQ$3*일별반별!AT81),0)</f>
        <v/>
      </c>
      <c r="AR81" s="337" t="str">
        <f>IFERROR(IF($C81&lt;1,"",AR$3*일별반별!AU81),0)</f>
        <v/>
      </c>
      <c r="AS81" s="403" t="str">
        <f>IFERROR(IF($C81&lt;1,"",AS$3*일별반별!AV81),0)</f>
        <v/>
      </c>
      <c r="AT81" s="403" t="str">
        <f>IFERROR(IF($C81&lt;1,"",AT$3*일별반별!AW81),0)</f>
        <v/>
      </c>
      <c r="AU81" s="403" t="str">
        <f>IFERROR(IF($C81&lt;1,"",AU$3*일별반별!AX81),0)</f>
        <v/>
      </c>
      <c r="AV81" s="403" t="str">
        <f>IFERROR(IF($C81&lt;1,"",AV$3*일별반별!AY81),0)</f>
        <v/>
      </c>
      <c r="AW81" s="403" t="str">
        <f>IFERROR(IF($C81&lt;1,"",AW$3*일별반별!AZ81),0)</f>
        <v/>
      </c>
      <c r="AX81" s="403" t="str">
        <f>IFERROR(IF($C81&lt;1,"",AX$3*일별반별!BA81),0)</f>
        <v/>
      </c>
      <c r="AY81" s="403" t="str">
        <f>IFERROR(IF($C81&lt;1,"",AY$3*일별반별!BB81),0)</f>
        <v/>
      </c>
      <c r="AZ81" s="403" t="str">
        <f>IFERROR(IF($C81&lt;1,"",AZ$3*일별반별!BC81),0)</f>
        <v/>
      </c>
      <c r="BA81" s="403" t="str">
        <f>IFERROR(IF($C81&lt;1,"",BA$3*일별반별!BD81),0)</f>
        <v/>
      </c>
      <c r="BB81" s="403" t="str">
        <f>IFERROR(IF($C81&lt;1,"",BB$3*일별반별!BE81),0)</f>
        <v/>
      </c>
      <c r="BC81" s="403" t="str">
        <f>IFERROR(IF($C81&lt;1,"",BC$3*일별반별!BF81),0)</f>
        <v/>
      </c>
      <c r="BD81" s="403" t="str">
        <f>IFERROR(IF($C81&lt;1,"",BD$3*일별반별!BG81),0)</f>
        <v/>
      </c>
      <c r="BE81" s="403" t="str">
        <f>IFERROR(IF($C81&lt;1,"",BE$3*일별반별!BH81),0)</f>
        <v/>
      </c>
      <c r="BF81" s="403" t="str">
        <f>IFERROR(IF($C81&lt;1,"",BF$3*일별반별!BI81),0)</f>
        <v/>
      </c>
      <c r="BG81" s="403" t="str">
        <f>IFERROR(IF($C81&lt;1,"",BG$3*일별반별!BJ81),0)</f>
        <v/>
      </c>
      <c r="BH81" s="403" t="str">
        <f>IFERROR(IF($C81&lt;1,"",BH$3*일별반별!BK81),0)</f>
        <v/>
      </c>
      <c r="BI81" s="403" t="str">
        <f>IFERROR(IF($C81&lt;1,"",BI$3*일별반별!BL81),0)</f>
        <v/>
      </c>
      <c r="BJ81" s="403" t="str">
        <f>IFERROR(IF($C81&lt;1,"",BJ$3*일별반별!BM81),0)</f>
        <v/>
      </c>
      <c r="BK81" s="403" t="str">
        <f>IFERROR(IF($C81&lt;1,"",BK$3*일별반별!BN81),0)</f>
        <v/>
      </c>
      <c r="BL81" s="403" t="str">
        <f>IFERROR(IF($C81&lt;1,"",BL$3*일별반별!BH81),0)</f>
        <v/>
      </c>
      <c r="BM81" s="403" t="str">
        <f>IFERROR(IF($C81&lt;1,"",BM$3*일별반별!BP81),0)</f>
        <v/>
      </c>
      <c r="BN81" s="403" t="str">
        <f>IFERROR(IF($C81&lt;1,"",BN$3*일별반별!BQ81),0)</f>
        <v/>
      </c>
      <c r="BO81" s="403" t="str">
        <f>IFERROR(IF($C81&lt;1,"",BO$3*일별반별!BR81),0)</f>
        <v/>
      </c>
      <c r="BP81" s="403" t="str">
        <f>IFERROR(IF($C81&lt;1,"",BP$3*일별반별!BS81),0)</f>
        <v/>
      </c>
      <c r="BQ81" s="403" t="str">
        <f>IFERROR(IF($C81&lt;1,"",BQ$3*일별반별!BT81),0)</f>
        <v/>
      </c>
      <c r="BR81" s="337" t="str">
        <f>IFERROR(IF($C81&lt;1,"",BR$3*일별반별!BU81),0)</f>
        <v/>
      </c>
      <c r="BS81" s="337" t="str">
        <f>IFERROR(IF($C81&lt;1,"",BS$3*일별반별!BV81),0)</f>
        <v/>
      </c>
      <c r="BT81" s="337" t="str">
        <f>IFERROR(IF($C81&lt;1,"",BT$3*일별반별!BW81),0)</f>
        <v/>
      </c>
      <c r="BU81" s="337" t="str">
        <f>IFERROR(IF($C81&lt;1,"",BU$3*일별반별!BX81),0)</f>
        <v/>
      </c>
      <c r="BV81" s="337" t="str">
        <f>IFERROR(IF($C81&lt;1,"",BV$3*일별반별!BY81),0)</f>
        <v/>
      </c>
      <c r="BW81" s="337" t="str">
        <f>IFERROR(IF($C81&lt;1,"",BW$3*일별반별!BZ81),0)</f>
        <v/>
      </c>
      <c r="BX81" s="337" t="str">
        <f>IFERROR(IF($C81&lt;1,"",BX$3*일별반별!CA81),0)</f>
        <v/>
      </c>
      <c r="BY81" s="337" t="str">
        <f>IFERROR(IF($C81&lt;1,"",BY$3*일별반별!CB81),0)</f>
        <v/>
      </c>
      <c r="BZ81" s="337" t="str">
        <f>IFERROR(IF($C81&lt;1,"",BZ$3*일별반별!CC81),0)</f>
        <v/>
      </c>
      <c r="CA81" s="337" t="str">
        <f>IFERROR(IF($C81&lt;1,"",CA$3*일별반별!CD81),0)</f>
        <v/>
      </c>
      <c r="CB81" s="337" t="str">
        <f>IFERROR(IF($C81&lt;1,"",CB$3*일별반별!CE81),0)</f>
        <v/>
      </c>
      <c r="CC81" s="337" t="str">
        <f>IFERROR(IF($C81&lt;1,"",CC$3*일별반별!CF81),0)</f>
        <v/>
      </c>
      <c r="CD81" s="337" t="str">
        <f>IFERROR(IF($C81&lt;1,"",CD$3*일별반별!CG81),0)</f>
        <v/>
      </c>
      <c r="CE81" s="337" t="str">
        <f>IFERROR(IF($C81&lt;1,"",CE$3*일별반별!CH81),0)</f>
        <v/>
      </c>
      <c r="CF81" s="337" t="str">
        <f>IFERROR(IF($C81&lt;1,"",CF$3*일별반별!CI81),0)</f>
        <v/>
      </c>
      <c r="CG81" s="337" t="str">
        <f>IFERROR(IF($C81&lt;1,"",CG$3*일별반별!CJ81),0)</f>
        <v/>
      </c>
      <c r="CH81" s="337" t="str">
        <f>IFERROR(IF($C81&lt;1,"",CH$3*일별반별!CK81),0)</f>
        <v/>
      </c>
      <c r="CI81" s="337" t="str">
        <f>IFERROR(IF($C81&lt;1,"",CI$3*일별반별!CL81),0)</f>
        <v/>
      </c>
      <c r="CJ81" s="337" t="str">
        <f>IFERROR(IF($C81&lt;1,"",CJ$3*일별반별!CM81),0)</f>
        <v/>
      </c>
      <c r="CK81" s="337" t="str">
        <f>IFERROR(IF($C81&lt;1,"",CK$3*일별반별!CN81),0)</f>
        <v/>
      </c>
      <c r="CL81" s="337" t="str">
        <f>IFERROR(IF($C81&lt;1,"",CL$3*일별반별!CO81),0)</f>
        <v/>
      </c>
      <c r="CM81" s="337" t="str">
        <f>IFERROR(IF($C81&lt;1,"",CM$3*일별반별!CP81),0)</f>
        <v/>
      </c>
      <c r="CN81" s="337" t="str">
        <f>IFERROR(IF($C81&lt;1,"",CN$3*일별반별!CQ81),0)</f>
        <v/>
      </c>
      <c r="CO81" s="337" t="str">
        <f>IFERROR(IF($C81&lt;1,"",CO$3*일별반별!CR81),0)</f>
        <v/>
      </c>
      <c r="CP81" s="337" t="str">
        <f>IFERROR(IF($C81&lt;1,"",CP$3*일별반별!CS81),0)</f>
        <v/>
      </c>
      <c r="CQ81" s="337" t="str">
        <f>IFERROR(IF($C81&lt;1,"",CQ$3*일별반별!CT81),0)</f>
        <v/>
      </c>
      <c r="CR81" s="420" t="str">
        <f>IFERROR(IF($C81&lt;1,"",CR$3*일별반별!CU81),0)</f>
        <v/>
      </c>
      <c r="CS81" s="420" t="str">
        <f>IFERROR(IF($C81&lt;1,"",CS$3*일별반별!CV81),0)</f>
        <v/>
      </c>
      <c r="CT81" s="337" t="str">
        <f>IFERROR(IF($C81&lt;1,"",CT$3*일별반별!CW81),0)</f>
        <v/>
      </c>
      <c r="CU81" s="337" t="str">
        <f>IFERROR(IF($C81&lt;1,"",CU$3*일별반별!CX81),0)</f>
        <v/>
      </c>
      <c r="CV81" s="337" t="str">
        <f>IFERROR(IF($C81&lt;1,"",CV$3*일별반별!CY81),0)</f>
        <v/>
      </c>
      <c r="CW81" s="337" t="str">
        <f>IFERROR(IF($C81&lt;1,"",CW$3*일별반별!CZ81),0)</f>
        <v/>
      </c>
      <c r="CX81" s="337" t="str">
        <f>IFERROR(IF($C81&lt;1,"",CX$3*일별반별!DA81),0)</f>
        <v/>
      </c>
      <c r="CY81" s="316" t="str">
        <f>IF(C81&lt;1,"",(CY$3*'09월 조업일지'!AV$7))</f>
        <v/>
      </c>
      <c r="CZ81" s="316" t="str">
        <f t="shared" si="4"/>
        <v/>
      </c>
      <c r="DA81" s="316" t="str">
        <f t="shared" si="4"/>
        <v/>
      </c>
      <c r="DB81" s="316" t="str">
        <f t="shared" si="4"/>
        <v/>
      </c>
      <c r="DC81" s="316"/>
      <c r="DD81" s="419"/>
    </row>
    <row r="82" spans="1:108" ht="15" customHeight="1">
      <c r="A82" s="274">
        <f t="shared" si="5"/>
        <v>44028</v>
      </c>
      <c r="B82" s="275" t="s">
        <v>9</v>
      </c>
      <c r="C82" s="201">
        <f>COUNTIFS('09월 조업일지'!$A$12:$A$952,A81,'09월 조업일지'!$E$12:$E$952,B82)</f>
        <v>0</v>
      </c>
      <c r="D82" s="314">
        <f>IF(C82&lt;1,0,(SUM(E82:CX82)/(일별반별!BV82-1.5)+(CY82+CZ82+DA82+DB82)))</f>
        <v>0</v>
      </c>
      <c r="E82" s="278"/>
      <c r="F82" s="281"/>
      <c r="G82" s="282"/>
      <c r="H82" s="283"/>
      <c r="I82" s="283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326"/>
      <c r="U82" s="395" t="str">
        <f>IFERROR(IF($C82&lt;1,"",U$3*일별반별!X82),0)</f>
        <v/>
      </c>
      <c r="V82" s="395" t="str">
        <f>IFERROR(IF($C82&lt;1,"",V$3*일별반별!Y82),0)</f>
        <v/>
      </c>
      <c r="W82" s="395" t="str">
        <f>IFERROR(IF($C82&lt;1,"",W$3*일별반별!Z82),0)</f>
        <v/>
      </c>
      <c r="X82" s="208" t="str">
        <f>IFERROR(IF($C82&lt;1,"",X$3*일별반별!AA82),0)</f>
        <v/>
      </c>
      <c r="Y82" s="208" t="str">
        <f>IFERROR(IF($C82&lt;1,"",Y$3*일별반별!AB82),0)</f>
        <v/>
      </c>
      <c r="Z82" s="208" t="str">
        <f>IFERROR(IF($C82&lt;1,"",Z$3*일별반별!AC82),0)</f>
        <v/>
      </c>
      <c r="AA82" s="395" t="str">
        <f>IFERROR(IF($C82&lt;1,"",AA$3*일별반별!AD82),0)</f>
        <v/>
      </c>
      <c r="AB82" s="395" t="str">
        <f>IFERROR(IF($C82&lt;1,"",AB$3*일별반별!AE82),0)</f>
        <v/>
      </c>
      <c r="AC82" s="208" t="str">
        <f>IFERROR(IF($C82&lt;1,"",AC$3*일별반별!AF82),0)</f>
        <v/>
      </c>
      <c r="AD82" s="208" t="str">
        <f>IFERROR(IF($C82&lt;1,"",AD$3*일별반별!AG82),0)</f>
        <v/>
      </c>
      <c r="AE82" s="208" t="str">
        <f>IFERROR(IF($C82&lt;1,"",AE$3*일별반별!AH82),0)</f>
        <v/>
      </c>
      <c r="AF82" s="395" t="str">
        <f>IFERROR(IF($C82&lt;1,"",AF$3*일별반별!AI82),0)</f>
        <v/>
      </c>
      <c r="AG82" s="395" t="str">
        <f>IFERROR(IF($C82&lt;1,"",AG$3*일별반별!AJ82),0)</f>
        <v/>
      </c>
      <c r="AH82" s="395" t="str">
        <f>IFERROR(IF($C82&lt;1,"",AH$3*일별반별!AK82),0)</f>
        <v/>
      </c>
      <c r="AI82" s="395" t="str">
        <f>IFERROR(IF($C82&lt;1,"",AI$3*일별반별!AL82),0)</f>
        <v/>
      </c>
      <c r="AJ82" s="395" t="str">
        <f>IFERROR(IF($C82&lt;1,"",AJ$3*일별반별!AM82),0)</f>
        <v/>
      </c>
      <c r="AK82" s="395" t="str">
        <f>IFERROR(IF($C82&lt;1,"",AK$3*일별반별!AN82),0)</f>
        <v/>
      </c>
      <c r="AL82" s="395" t="str">
        <f>IFERROR(IF($C82&lt;1,"",AL$3*일별반별!AO82),0)</f>
        <v/>
      </c>
      <c r="AM82" s="395" t="str">
        <f>IFERROR(IF($C82&lt;1,"",AM$3*일별반별!AP82),0)</f>
        <v/>
      </c>
      <c r="AN82" s="395" t="str">
        <f>IFERROR(IF($C82&lt;1,"",AN$3*일별반별!AQ82),0)</f>
        <v/>
      </c>
      <c r="AO82" s="395" t="str">
        <f>IFERROR(IF($C82&lt;1,"",AO$3*일별반별!AR82),0)</f>
        <v/>
      </c>
      <c r="AP82" s="347" t="str">
        <f>IFERROR(IF($C82&lt;1,"",AP$3*일별반별!AS82),0)</f>
        <v/>
      </c>
      <c r="AQ82" s="347" t="str">
        <f>IFERROR(IF($C82&lt;1,"",AQ$3*일별반별!AT82),0)</f>
        <v/>
      </c>
      <c r="AR82" s="316" t="str">
        <f>IFERROR(IF($C82&lt;1,"",AR$3*일별반별!AU82),0)</f>
        <v/>
      </c>
      <c r="AS82" s="401" t="str">
        <f>IFERROR(IF($C82&lt;1,"",AS$3*일별반별!AV82),0)</f>
        <v/>
      </c>
      <c r="AT82" s="401" t="str">
        <f>IFERROR(IF($C82&lt;1,"",AT$3*일별반별!AW82),0)</f>
        <v/>
      </c>
      <c r="AU82" s="401" t="str">
        <f>IFERROR(IF($C82&lt;1,"",AU$3*일별반별!AX82),0)</f>
        <v/>
      </c>
      <c r="AV82" s="401" t="str">
        <f>IFERROR(IF($C82&lt;1,"",AV$3*일별반별!AY82),0)</f>
        <v/>
      </c>
      <c r="AW82" s="401" t="str">
        <f>IFERROR(IF($C82&lt;1,"",AW$3*일별반별!AZ82),0)</f>
        <v/>
      </c>
      <c r="AX82" s="401" t="str">
        <f>IFERROR(IF($C82&lt;1,"",AX$3*일별반별!BA82),0)</f>
        <v/>
      </c>
      <c r="AY82" s="401" t="str">
        <f>IFERROR(IF($C82&lt;1,"",AY$3*일별반별!BB82),0)</f>
        <v/>
      </c>
      <c r="AZ82" s="401" t="str">
        <f>IFERROR(IF($C82&lt;1,"",AZ$3*일별반별!BC82),0)</f>
        <v/>
      </c>
      <c r="BA82" s="401" t="str">
        <f>IFERROR(IF($C82&lt;1,"",BA$3*일별반별!BD82),0)</f>
        <v/>
      </c>
      <c r="BB82" s="402" t="str">
        <f>IFERROR(IF($C82&lt;1,"",BB$3*일별반별!BE82),0)</f>
        <v/>
      </c>
      <c r="BC82" s="402" t="str">
        <f>IFERROR(IF($C82&lt;1,"",BC$3*일별반별!BF82),0)</f>
        <v/>
      </c>
      <c r="BD82" s="402" t="str">
        <f>IFERROR(IF($C82&lt;1,"",BD$3*일별반별!BG82),0)</f>
        <v/>
      </c>
      <c r="BE82" s="402" t="str">
        <f>IFERROR(IF($C82&lt;1,"",BE$3*일별반별!BH82),0)</f>
        <v/>
      </c>
      <c r="BF82" s="402" t="str">
        <f>IFERROR(IF($C82&lt;1,"",BF$3*일별반별!BI82),0)</f>
        <v/>
      </c>
      <c r="BG82" s="402" t="str">
        <f>IFERROR(IF($C82&lt;1,"",BG$3*일별반별!BJ82),0)</f>
        <v/>
      </c>
      <c r="BH82" s="402" t="str">
        <f>IFERROR(IF($C82&lt;1,"",BH$3*일별반별!BK82),0)</f>
        <v/>
      </c>
      <c r="BI82" s="402" t="str">
        <f>IFERROR(IF($C82&lt;1,"",BI$3*일별반별!BL82),0)</f>
        <v/>
      </c>
      <c r="BJ82" s="402" t="str">
        <f>IFERROR(IF($C82&lt;1,"",BJ$3*일별반별!BM82),0)</f>
        <v/>
      </c>
      <c r="BK82" s="402" t="str">
        <f>IFERROR(IF($C82&lt;1,"",BK$3*일별반별!BN82),0)</f>
        <v/>
      </c>
      <c r="BL82" s="402" t="str">
        <f>IFERROR(IF($C82&lt;1,"",BL$3*일별반별!BH82),0)</f>
        <v/>
      </c>
      <c r="BM82" s="402" t="str">
        <f>IFERROR(IF($C82&lt;1,"",BM$3*일별반별!BP82),0)</f>
        <v/>
      </c>
      <c r="BN82" s="401" t="str">
        <f>IFERROR(IF($C82&lt;1,"",BN$3*일별반별!BQ82),0)</f>
        <v/>
      </c>
      <c r="BO82" s="401" t="str">
        <f>IFERROR(IF($C82&lt;1,"",BO$3*일별반별!BR82),0)</f>
        <v/>
      </c>
      <c r="BP82" s="401" t="str">
        <f>IFERROR(IF($C82&lt;1,"",BP$3*일별반별!BS82),0)</f>
        <v/>
      </c>
      <c r="BQ82" s="401" t="str">
        <f>IFERROR(IF($C82&lt;1,"",BQ$3*일별반별!BT82),0)</f>
        <v/>
      </c>
      <c r="BR82" s="417" t="str">
        <f>IFERROR(IF($C82&lt;1,"",BR$3*일별반별!BU82),0)</f>
        <v/>
      </c>
      <c r="BS82" s="417" t="str">
        <f>IFERROR(IF($C82&lt;1,"",BS$3*일별반별!BV82),0)</f>
        <v/>
      </c>
      <c r="BT82" s="417" t="str">
        <f>IFERROR(IF($C82&lt;1,"",BT$3*일별반별!BW82),0)</f>
        <v/>
      </c>
      <c r="BU82" s="316" t="str">
        <f>IFERROR(IF($C82&lt;1,"",BU$3*일별반별!BX82),0)</f>
        <v/>
      </c>
      <c r="BV82" s="316" t="str">
        <f>IFERROR(IF($C82&lt;1,"",BV$3*일별반별!BY82),0)</f>
        <v/>
      </c>
      <c r="BW82" s="316" t="str">
        <f>IFERROR(IF($C82&lt;1,"",BW$3*일별반별!BZ82),0)</f>
        <v/>
      </c>
      <c r="BX82" s="316" t="str">
        <f>IFERROR(IF($C82&lt;1,"",BX$3*일별반별!CA82),0)</f>
        <v/>
      </c>
      <c r="BY82" s="316" t="str">
        <f>IFERROR(IF($C82&lt;1,"",BY$3*일별반별!CB82),0)</f>
        <v/>
      </c>
      <c r="BZ82" s="316" t="str">
        <f>IFERROR(IF($C82&lt;1,"",BZ$3*일별반별!CC82),0)</f>
        <v/>
      </c>
      <c r="CA82" s="316" t="str">
        <f>IFERROR(IF($C82&lt;1,"",CA$3*일별반별!CD82),0)</f>
        <v/>
      </c>
      <c r="CB82" s="316" t="str">
        <f>IFERROR(IF($C82&lt;1,"",CB$3*일별반별!CE82),0)</f>
        <v/>
      </c>
      <c r="CC82" s="316" t="str">
        <f>IFERROR(IF($C82&lt;1,"",CC$3*일별반별!CF82),0)</f>
        <v/>
      </c>
      <c r="CD82" s="316" t="str">
        <f>IFERROR(IF($C82&lt;1,"",CD$3*일별반별!CG82),0)</f>
        <v/>
      </c>
      <c r="CE82" s="316" t="str">
        <f>IFERROR(IF($C82&lt;1,"",CE$3*일별반별!CH82),0)</f>
        <v/>
      </c>
      <c r="CF82" s="316" t="str">
        <f>IFERROR(IF($C82&lt;1,"",CF$3*일별반별!CI82),0)</f>
        <v/>
      </c>
      <c r="CG82" s="316" t="str">
        <f>IFERROR(IF($C82&lt;1,"",CG$3*일별반별!CJ82),0)</f>
        <v/>
      </c>
      <c r="CH82" s="316" t="str">
        <f>IFERROR(IF($C82&lt;1,"",CH$3*일별반별!CK82),0)</f>
        <v/>
      </c>
      <c r="CI82" s="316" t="str">
        <f>IFERROR(IF($C82&lt;1,"",CI$3*일별반별!CL82),0)</f>
        <v/>
      </c>
      <c r="CJ82" s="316" t="str">
        <f>IFERROR(IF($C82&lt;1,"",CJ$3*일별반별!CM82),0)</f>
        <v/>
      </c>
      <c r="CK82" s="316" t="str">
        <f>IFERROR(IF($C82&lt;1,"",CK$3*일별반별!CN82),0)</f>
        <v/>
      </c>
      <c r="CL82" s="316" t="str">
        <f>IFERROR(IF($C82&lt;1,"",CL$3*일별반별!CO82),0)</f>
        <v/>
      </c>
      <c r="CM82" s="316" t="str">
        <f>IFERROR(IF($C82&lt;1,"",CM$3*일별반별!CP82),0)</f>
        <v/>
      </c>
      <c r="CN82" s="316" t="str">
        <f>IFERROR(IF($C82&lt;1,"",CN$3*일별반별!CQ82),0)</f>
        <v/>
      </c>
      <c r="CO82" s="316" t="str">
        <f>IFERROR(IF($C82&lt;1,"",CO$3*일별반별!CR82),0)</f>
        <v/>
      </c>
      <c r="CP82" s="316" t="str">
        <f>IFERROR(IF($C82&lt;1,"",CP$3*일별반별!CS82),0)</f>
        <v/>
      </c>
      <c r="CQ82" s="316" t="str">
        <f>IFERROR(IF($C82&lt;1,"",CQ$3*일별반별!CT82),0)</f>
        <v/>
      </c>
      <c r="CR82" s="418" t="str">
        <f>IFERROR(IF($C82&lt;1,"",CR$3*일별반별!CU82),0)</f>
        <v/>
      </c>
      <c r="CS82" s="418" t="str">
        <f>IFERROR(IF($C82&lt;1,"",CS$3*일별반별!CV82),0)</f>
        <v/>
      </c>
      <c r="CT82" s="316" t="str">
        <f>IFERROR(IF($C82&lt;1,"",CT$3*일별반별!CW82),0)</f>
        <v/>
      </c>
      <c r="CU82" s="316" t="str">
        <f>IFERROR(IF($C82&lt;1,"",CU$3*일별반별!CX82),0)</f>
        <v/>
      </c>
      <c r="CV82" s="316" t="str">
        <f>IFERROR(IF($C82&lt;1,"",CV$3*일별반별!CY82),0)</f>
        <v/>
      </c>
      <c r="CW82" s="316" t="str">
        <f>IFERROR(IF($C82&lt;1,"",CW$3*일별반별!CZ82),0)</f>
        <v/>
      </c>
      <c r="CX82" s="316" t="str">
        <f>IFERROR(IF($C82&lt;1,"",CX$3*일별반별!DA82),0)</f>
        <v/>
      </c>
      <c r="CY82" s="316" t="str">
        <f>IF(C82&lt;1,"",(CY$3*'09월 조업일지'!AV$7))</f>
        <v/>
      </c>
      <c r="CZ82" s="316" t="str">
        <f t="shared" si="4"/>
        <v/>
      </c>
      <c r="DA82" s="316" t="str">
        <f t="shared" si="4"/>
        <v/>
      </c>
      <c r="DB82" s="316" t="str">
        <f t="shared" si="4"/>
        <v/>
      </c>
      <c r="DC82" s="316"/>
      <c r="DD82" s="419"/>
    </row>
    <row r="83" spans="1:108" ht="15" customHeight="1">
      <c r="A83" s="274">
        <f t="shared" si="5"/>
        <v>44028</v>
      </c>
      <c r="B83" s="275" t="s">
        <v>100</v>
      </c>
      <c r="C83" s="201">
        <f>COUNTIFS('09월 조업일지'!$A$12:$A$952,A81,'09월 조업일지'!$E$12:$E$952,B83)</f>
        <v>0</v>
      </c>
      <c r="D83" s="314">
        <f>IF(C83&lt;1,0,(SUM(E83:CX83)/(일별반별!BV83-1.5)+(CY83+CZ83+DA83+DB83)))</f>
        <v>0</v>
      </c>
      <c r="E83" s="278"/>
      <c r="F83" s="281"/>
      <c r="G83" s="282"/>
      <c r="H83" s="283"/>
      <c r="I83" s="283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326"/>
      <c r="U83" s="395" t="str">
        <f>IFERROR(IF($C83&lt;1,"",U$3*일별반별!X83),0)</f>
        <v/>
      </c>
      <c r="V83" s="395" t="str">
        <f>IFERROR(IF($C83&lt;1,"",V$3*일별반별!Y83),0)</f>
        <v/>
      </c>
      <c r="W83" s="395" t="str">
        <f>IFERROR(IF($C83&lt;1,"",W$3*일별반별!Z83),0)</f>
        <v/>
      </c>
      <c r="X83" s="208" t="str">
        <f>IFERROR(IF($C83&lt;1,"",X$3*일별반별!AA83),0)</f>
        <v/>
      </c>
      <c r="Y83" s="208" t="str">
        <f>IFERROR(IF($C83&lt;1,"",Y$3*일별반별!AB83),0)</f>
        <v/>
      </c>
      <c r="Z83" s="208" t="str">
        <f>IFERROR(IF($C83&lt;1,"",Z$3*일별반별!AC83),0)</f>
        <v/>
      </c>
      <c r="AA83" s="395" t="str">
        <f>IFERROR(IF($C83&lt;1,"",AA$3*일별반별!AD83),0)</f>
        <v/>
      </c>
      <c r="AB83" s="395" t="str">
        <f>IFERROR(IF($C83&lt;1,"",AB$3*일별반별!AE83),0)</f>
        <v/>
      </c>
      <c r="AC83" s="208" t="str">
        <f>IFERROR(IF($C83&lt;1,"",AC$3*일별반별!AF83),0)</f>
        <v/>
      </c>
      <c r="AD83" s="208" t="str">
        <f>IFERROR(IF($C83&lt;1,"",AD$3*일별반별!AG83),0)</f>
        <v/>
      </c>
      <c r="AE83" s="208" t="str">
        <f>IFERROR(IF($C83&lt;1,"",AE$3*일별반별!AH83),0)</f>
        <v/>
      </c>
      <c r="AF83" s="395" t="str">
        <f>IFERROR(IF($C83&lt;1,"",AF$3*일별반별!AI83),0)</f>
        <v/>
      </c>
      <c r="AG83" s="395" t="str">
        <f>IFERROR(IF($C83&lt;1,"",AG$3*일별반별!AJ83),0)</f>
        <v/>
      </c>
      <c r="AH83" s="395" t="str">
        <f>IFERROR(IF($C83&lt;1,"",AH$3*일별반별!AK83),0)</f>
        <v/>
      </c>
      <c r="AI83" s="395" t="str">
        <f>IFERROR(IF($C83&lt;1,"",AI$3*일별반별!AL83),0)</f>
        <v/>
      </c>
      <c r="AJ83" s="395" t="str">
        <f>IFERROR(IF($C83&lt;1,"",AJ$3*일별반별!AM83),0)</f>
        <v/>
      </c>
      <c r="AK83" s="395" t="str">
        <f>IFERROR(IF($C83&lt;1,"",AK$3*일별반별!AN83),0)</f>
        <v/>
      </c>
      <c r="AL83" s="395" t="str">
        <f>IFERROR(IF($C83&lt;1,"",AL$3*일별반별!AO83),0)</f>
        <v/>
      </c>
      <c r="AM83" s="395" t="str">
        <f>IFERROR(IF($C83&lt;1,"",AM$3*일별반별!AP83),0)</f>
        <v/>
      </c>
      <c r="AN83" s="395" t="str">
        <f>IFERROR(IF($C83&lt;1,"",AN$3*일별반별!AQ83),0)</f>
        <v/>
      </c>
      <c r="AO83" s="395" t="str">
        <f>IFERROR(IF($C83&lt;1,"",AO$3*일별반별!AR83),0)</f>
        <v/>
      </c>
      <c r="AP83" s="347" t="str">
        <f>IFERROR(IF($C83&lt;1,"",AP$3*일별반별!AS83),0)</f>
        <v/>
      </c>
      <c r="AQ83" s="347" t="str">
        <f>IFERROR(IF($C83&lt;1,"",AQ$3*일별반별!AT83),0)</f>
        <v/>
      </c>
      <c r="AR83" s="316" t="str">
        <f>IFERROR(IF($C83&lt;1,"",AR$3*일별반별!AU83),0)</f>
        <v/>
      </c>
      <c r="AS83" s="401" t="str">
        <f>IFERROR(IF($C83&lt;1,"",AS$3*일별반별!AV83),0)</f>
        <v/>
      </c>
      <c r="AT83" s="401" t="str">
        <f>IFERROR(IF($C83&lt;1,"",AT$3*일별반별!AW83),0)</f>
        <v/>
      </c>
      <c r="AU83" s="401" t="str">
        <f>IFERROR(IF($C83&lt;1,"",AU$3*일별반별!AX83),0)</f>
        <v/>
      </c>
      <c r="AV83" s="401" t="str">
        <f>IFERROR(IF($C83&lt;1,"",AV$3*일별반별!AY83),0)</f>
        <v/>
      </c>
      <c r="AW83" s="401" t="str">
        <f>IFERROR(IF($C83&lt;1,"",AW$3*일별반별!AZ83),0)</f>
        <v/>
      </c>
      <c r="AX83" s="401" t="str">
        <f>IFERROR(IF($C83&lt;1,"",AX$3*일별반별!BA83),0)</f>
        <v/>
      </c>
      <c r="AY83" s="401" t="str">
        <f>IFERROR(IF($C83&lt;1,"",AY$3*일별반별!BB83),0)</f>
        <v/>
      </c>
      <c r="AZ83" s="401" t="str">
        <f>IFERROR(IF($C83&lt;1,"",AZ$3*일별반별!BC83),0)</f>
        <v/>
      </c>
      <c r="BA83" s="401" t="str">
        <f>IFERROR(IF($C83&lt;1,"",BA$3*일별반별!BD83),0)</f>
        <v/>
      </c>
      <c r="BB83" s="402" t="str">
        <f>IFERROR(IF($C83&lt;1,"",BB$3*일별반별!BE83),0)</f>
        <v/>
      </c>
      <c r="BC83" s="402" t="str">
        <f>IFERROR(IF($C83&lt;1,"",BC$3*일별반별!BF83),0)</f>
        <v/>
      </c>
      <c r="BD83" s="402" t="str">
        <f>IFERROR(IF($C83&lt;1,"",BD$3*일별반별!BG83),0)</f>
        <v/>
      </c>
      <c r="BE83" s="402" t="str">
        <f>IFERROR(IF($C83&lt;1,"",BE$3*일별반별!BH83),0)</f>
        <v/>
      </c>
      <c r="BF83" s="402" t="str">
        <f>IFERROR(IF($C83&lt;1,"",BF$3*일별반별!BI83),0)</f>
        <v/>
      </c>
      <c r="BG83" s="402" t="str">
        <f>IFERROR(IF($C83&lt;1,"",BG$3*일별반별!BJ83),0)</f>
        <v/>
      </c>
      <c r="BH83" s="402" t="str">
        <f>IFERROR(IF($C83&lt;1,"",BH$3*일별반별!BK83),0)</f>
        <v/>
      </c>
      <c r="BI83" s="402" t="str">
        <f>IFERROR(IF($C83&lt;1,"",BI$3*일별반별!BL83),0)</f>
        <v/>
      </c>
      <c r="BJ83" s="402" t="str">
        <f>IFERROR(IF($C83&lt;1,"",BJ$3*일별반별!BM83),0)</f>
        <v/>
      </c>
      <c r="BK83" s="402" t="str">
        <f>IFERROR(IF($C83&lt;1,"",BK$3*일별반별!BN83),0)</f>
        <v/>
      </c>
      <c r="BL83" s="402" t="str">
        <f>IFERROR(IF($C83&lt;1,"",BL$3*일별반별!BH83),0)</f>
        <v/>
      </c>
      <c r="BM83" s="402" t="str">
        <f>IFERROR(IF($C83&lt;1,"",BM$3*일별반별!BP83),0)</f>
        <v/>
      </c>
      <c r="BN83" s="401" t="str">
        <f>IFERROR(IF($C83&lt;1,"",BN$3*일별반별!BQ83),0)</f>
        <v/>
      </c>
      <c r="BO83" s="401" t="str">
        <f>IFERROR(IF($C83&lt;1,"",BO$3*일별반별!BR83),0)</f>
        <v/>
      </c>
      <c r="BP83" s="401" t="str">
        <f>IFERROR(IF($C83&lt;1,"",BP$3*일별반별!BS83),0)</f>
        <v/>
      </c>
      <c r="BQ83" s="401" t="str">
        <f>IFERROR(IF($C83&lt;1,"",BQ$3*일별반별!BT83),0)</f>
        <v/>
      </c>
      <c r="BR83" s="417" t="str">
        <f>IFERROR(IF($C83&lt;1,"",BR$3*일별반별!BU83),0)</f>
        <v/>
      </c>
      <c r="BS83" s="417" t="str">
        <f>IFERROR(IF($C83&lt;1,"",BS$3*일별반별!BV83),0)</f>
        <v/>
      </c>
      <c r="BT83" s="417" t="str">
        <f>IFERROR(IF($C83&lt;1,"",BT$3*일별반별!BW83),0)</f>
        <v/>
      </c>
      <c r="BU83" s="316" t="str">
        <f>IFERROR(IF($C83&lt;1,"",BU$3*일별반별!BX83),0)</f>
        <v/>
      </c>
      <c r="BV83" s="316" t="str">
        <f>IFERROR(IF($C83&lt;1,"",BV$3*일별반별!BY83),0)</f>
        <v/>
      </c>
      <c r="BW83" s="316" t="str">
        <f>IFERROR(IF($C83&lt;1,"",BW$3*일별반별!BZ83),0)</f>
        <v/>
      </c>
      <c r="BX83" s="316" t="str">
        <f>IFERROR(IF($C83&lt;1,"",BX$3*일별반별!CA83),0)</f>
        <v/>
      </c>
      <c r="BY83" s="316" t="str">
        <f>IFERROR(IF($C83&lt;1,"",BY$3*일별반별!CB83),0)</f>
        <v/>
      </c>
      <c r="BZ83" s="316" t="str">
        <f>IFERROR(IF($C83&lt;1,"",BZ$3*일별반별!CC83),0)</f>
        <v/>
      </c>
      <c r="CA83" s="316" t="str">
        <f>IFERROR(IF($C83&lt;1,"",CA$3*일별반별!CD83),0)</f>
        <v/>
      </c>
      <c r="CB83" s="316" t="str">
        <f>IFERROR(IF($C83&lt;1,"",CB$3*일별반별!CE83),0)</f>
        <v/>
      </c>
      <c r="CC83" s="316" t="str">
        <f>IFERROR(IF($C83&lt;1,"",CC$3*일별반별!CF83),0)</f>
        <v/>
      </c>
      <c r="CD83" s="316" t="str">
        <f>IFERROR(IF($C83&lt;1,"",CD$3*일별반별!CG83),0)</f>
        <v/>
      </c>
      <c r="CE83" s="316" t="str">
        <f>IFERROR(IF($C83&lt;1,"",CE$3*일별반별!CH83),0)</f>
        <v/>
      </c>
      <c r="CF83" s="316" t="str">
        <f>IFERROR(IF($C83&lt;1,"",CF$3*일별반별!CI83),0)</f>
        <v/>
      </c>
      <c r="CG83" s="316" t="str">
        <f>IFERROR(IF($C83&lt;1,"",CG$3*일별반별!CJ83),0)</f>
        <v/>
      </c>
      <c r="CH83" s="316" t="str">
        <f>IFERROR(IF($C83&lt;1,"",CH$3*일별반별!CK83),0)</f>
        <v/>
      </c>
      <c r="CI83" s="316" t="str">
        <f>IFERROR(IF($C83&lt;1,"",CI$3*일별반별!CL83),0)</f>
        <v/>
      </c>
      <c r="CJ83" s="316" t="str">
        <f>IFERROR(IF($C83&lt;1,"",CJ$3*일별반별!CM83),0)</f>
        <v/>
      </c>
      <c r="CK83" s="316" t="str">
        <f>IFERROR(IF($C83&lt;1,"",CK$3*일별반별!CN83),0)</f>
        <v/>
      </c>
      <c r="CL83" s="316" t="str">
        <f>IFERROR(IF($C83&lt;1,"",CL$3*일별반별!CO83),0)</f>
        <v/>
      </c>
      <c r="CM83" s="316" t="str">
        <f>IFERROR(IF($C83&lt;1,"",CM$3*일별반별!CP83),0)</f>
        <v/>
      </c>
      <c r="CN83" s="316" t="str">
        <f>IFERROR(IF($C83&lt;1,"",CN$3*일별반별!CQ83),0)</f>
        <v/>
      </c>
      <c r="CO83" s="316" t="str">
        <f>IFERROR(IF($C83&lt;1,"",CO$3*일별반별!CR83),0)</f>
        <v/>
      </c>
      <c r="CP83" s="316" t="str">
        <f>IFERROR(IF($C83&lt;1,"",CP$3*일별반별!CS83),0)</f>
        <v/>
      </c>
      <c r="CQ83" s="316" t="str">
        <f>IFERROR(IF($C83&lt;1,"",CQ$3*일별반별!CT83),0)</f>
        <v/>
      </c>
      <c r="CR83" s="418" t="str">
        <f>IFERROR(IF($C83&lt;1,"",CR$3*일별반별!CU83),0)</f>
        <v/>
      </c>
      <c r="CS83" s="418" t="str">
        <f>IFERROR(IF($C83&lt;1,"",CS$3*일별반별!CV83),0)</f>
        <v/>
      </c>
      <c r="CT83" s="316" t="str">
        <f>IFERROR(IF($C83&lt;1,"",CT$3*일별반별!CW83),0)</f>
        <v/>
      </c>
      <c r="CU83" s="316" t="str">
        <f>IFERROR(IF($C83&lt;1,"",CU$3*일별반별!CX83),0)</f>
        <v/>
      </c>
      <c r="CV83" s="316" t="str">
        <f>IFERROR(IF($C83&lt;1,"",CV$3*일별반별!CY83),0)</f>
        <v/>
      </c>
      <c r="CW83" s="316" t="str">
        <f>IFERROR(IF($C83&lt;1,"",CW$3*일별반별!CZ83),0)</f>
        <v/>
      </c>
      <c r="CX83" s="316" t="str">
        <f>IFERROR(IF($C83&lt;1,"",CX$3*일별반별!DA83),0)</f>
        <v/>
      </c>
      <c r="CY83" s="316" t="str">
        <f>IF(C83&lt;1,"",(CY$3*'09월 조업일지'!AV$7))</f>
        <v/>
      </c>
      <c r="CZ83" s="316" t="str">
        <f t="shared" si="4"/>
        <v/>
      </c>
      <c r="DA83" s="316" t="str">
        <f t="shared" si="4"/>
        <v/>
      </c>
      <c r="DB83" s="316" t="str">
        <f t="shared" si="4"/>
        <v/>
      </c>
      <c r="DC83" s="316"/>
      <c r="DD83" s="419"/>
    </row>
    <row r="84" spans="1:108" ht="15" customHeight="1">
      <c r="A84" s="274">
        <f t="shared" si="5"/>
        <v>44028</v>
      </c>
      <c r="B84" s="275" t="s">
        <v>10</v>
      </c>
      <c r="C84" s="201">
        <f>COUNTIFS('09월 조업일지'!$A$12:$A$952,A81,'09월 조업일지'!$E$12:$E$952,B84)</f>
        <v>0</v>
      </c>
      <c r="D84" s="314">
        <f>IF(C84&lt;1,0,(SUM(E84:CX84)/(일별반별!BV84-1.5)+(CY84+CZ84+DA84+DB84)))</f>
        <v>0</v>
      </c>
      <c r="E84" s="278"/>
      <c r="F84" s="281"/>
      <c r="G84" s="282"/>
      <c r="H84" s="283"/>
      <c r="I84" s="283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326"/>
      <c r="U84" s="395" t="str">
        <f>IFERROR(IF($C84&lt;1,"",U$3*일별반별!X84),0)</f>
        <v/>
      </c>
      <c r="V84" s="395" t="str">
        <f>IFERROR(IF($C84&lt;1,"",V$3*일별반별!Y84),0)</f>
        <v/>
      </c>
      <c r="W84" s="395" t="str">
        <f>IFERROR(IF($C84&lt;1,"",W$3*일별반별!Z84),0)</f>
        <v/>
      </c>
      <c r="X84" s="208" t="str">
        <f>IFERROR(IF($C84&lt;1,"",X$3*일별반별!AA84),0)</f>
        <v/>
      </c>
      <c r="Y84" s="208" t="str">
        <f>IFERROR(IF($C84&lt;1,"",Y$3*일별반별!AB84),0)</f>
        <v/>
      </c>
      <c r="Z84" s="208" t="str">
        <f>IFERROR(IF($C84&lt;1,"",Z$3*일별반별!AC84),0)</f>
        <v/>
      </c>
      <c r="AA84" s="395" t="str">
        <f>IFERROR(IF($C84&lt;1,"",AA$3*일별반별!AD84),0)</f>
        <v/>
      </c>
      <c r="AB84" s="395" t="str">
        <f>IFERROR(IF($C84&lt;1,"",AB$3*일별반별!AE84),0)</f>
        <v/>
      </c>
      <c r="AC84" s="208" t="str">
        <f>IFERROR(IF($C84&lt;1,"",AC$3*일별반별!AF84),0)</f>
        <v/>
      </c>
      <c r="AD84" s="208" t="str">
        <f>IFERROR(IF($C84&lt;1,"",AD$3*일별반별!AG84),0)</f>
        <v/>
      </c>
      <c r="AE84" s="208" t="str">
        <f>IFERROR(IF($C84&lt;1,"",AE$3*일별반별!AH84),0)</f>
        <v/>
      </c>
      <c r="AF84" s="395" t="str">
        <f>IFERROR(IF($C84&lt;1,"",AF$3*일별반별!AI84),0)</f>
        <v/>
      </c>
      <c r="AG84" s="395" t="str">
        <f>IFERROR(IF($C84&lt;1,"",AG$3*일별반별!AJ84),0)</f>
        <v/>
      </c>
      <c r="AH84" s="395" t="str">
        <f>IFERROR(IF($C84&lt;1,"",AH$3*일별반별!AK84),0)</f>
        <v/>
      </c>
      <c r="AI84" s="395" t="str">
        <f>IFERROR(IF($C84&lt;1,"",AI$3*일별반별!AL84),0)</f>
        <v/>
      </c>
      <c r="AJ84" s="395" t="str">
        <f>IFERROR(IF($C84&lt;1,"",AJ$3*일별반별!AM84),0)</f>
        <v/>
      </c>
      <c r="AK84" s="395" t="str">
        <f>IFERROR(IF($C84&lt;1,"",AK$3*일별반별!AN84),0)</f>
        <v/>
      </c>
      <c r="AL84" s="395" t="str">
        <f>IFERROR(IF($C84&lt;1,"",AL$3*일별반별!AO84),0)</f>
        <v/>
      </c>
      <c r="AM84" s="395" t="str">
        <f>IFERROR(IF($C84&lt;1,"",AM$3*일별반별!AP84),0)</f>
        <v/>
      </c>
      <c r="AN84" s="395" t="str">
        <f>IFERROR(IF($C84&lt;1,"",AN$3*일별반별!AQ84),0)</f>
        <v/>
      </c>
      <c r="AO84" s="395" t="str">
        <f>IFERROR(IF($C84&lt;1,"",AO$3*일별반별!AR84),0)</f>
        <v/>
      </c>
      <c r="AP84" s="347" t="str">
        <f>IFERROR(IF($C84&lt;1,"",AP$3*일별반별!AS84),0)</f>
        <v/>
      </c>
      <c r="AQ84" s="347" t="str">
        <f>IFERROR(IF($C84&lt;1,"",AQ$3*일별반별!AT84),0)</f>
        <v/>
      </c>
      <c r="AR84" s="316" t="str">
        <f>IFERROR(IF($C84&lt;1,"",AR$3*일별반별!AU84),0)</f>
        <v/>
      </c>
      <c r="AS84" s="401" t="str">
        <f>IFERROR(IF($C84&lt;1,"",AS$3*일별반별!AV84),0)</f>
        <v/>
      </c>
      <c r="AT84" s="401" t="str">
        <f>IFERROR(IF($C84&lt;1,"",AT$3*일별반별!AW84),0)</f>
        <v/>
      </c>
      <c r="AU84" s="401" t="str">
        <f>IFERROR(IF($C84&lt;1,"",AU$3*일별반별!AX84),0)</f>
        <v/>
      </c>
      <c r="AV84" s="401" t="str">
        <f>IFERROR(IF($C84&lt;1,"",AV$3*일별반별!AY84),0)</f>
        <v/>
      </c>
      <c r="AW84" s="401" t="str">
        <f>IFERROR(IF($C84&lt;1,"",AW$3*일별반별!AZ84),0)</f>
        <v/>
      </c>
      <c r="AX84" s="401" t="str">
        <f>IFERROR(IF($C84&lt;1,"",AX$3*일별반별!BA84),0)</f>
        <v/>
      </c>
      <c r="AY84" s="401" t="str">
        <f>IFERROR(IF($C84&lt;1,"",AY$3*일별반별!BB84),0)</f>
        <v/>
      </c>
      <c r="AZ84" s="401" t="str">
        <f>IFERROR(IF($C84&lt;1,"",AZ$3*일별반별!BC84),0)</f>
        <v/>
      </c>
      <c r="BA84" s="401" t="str">
        <f>IFERROR(IF($C84&lt;1,"",BA$3*일별반별!BD84),0)</f>
        <v/>
      </c>
      <c r="BB84" s="402" t="str">
        <f>IFERROR(IF($C84&lt;1,"",BB$3*일별반별!BE84),0)</f>
        <v/>
      </c>
      <c r="BC84" s="402" t="str">
        <f>IFERROR(IF($C84&lt;1,"",BC$3*일별반별!BF84),0)</f>
        <v/>
      </c>
      <c r="BD84" s="402" t="str">
        <f>IFERROR(IF($C84&lt;1,"",BD$3*일별반별!BG84),0)</f>
        <v/>
      </c>
      <c r="BE84" s="402" t="str">
        <f>IFERROR(IF($C84&lt;1,"",BE$3*일별반별!BH84),0)</f>
        <v/>
      </c>
      <c r="BF84" s="402" t="str">
        <f>IFERROR(IF($C84&lt;1,"",BF$3*일별반별!BI84),0)</f>
        <v/>
      </c>
      <c r="BG84" s="402" t="str">
        <f>IFERROR(IF($C84&lt;1,"",BG$3*일별반별!BJ84),0)</f>
        <v/>
      </c>
      <c r="BH84" s="402" t="str">
        <f>IFERROR(IF($C84&lt;1,"",BH$3*일별반별!BK84),0)</f>
        <v/>
      </c>
      <c r="BI84" s="402" t="str">
        <f>IFERROR(IF($C84&lt;1,"",BI$3*일별반별!BL84),0)</f>
        <v/>
      </c>
      <c r="BJ84" s="402" t="str">
        <f>IFERROR(IF($C84&lt;1,"",BJ$3*일별반별!BM84),0)</f>
        <v/>
      </c>
      <c r="BK84" s="402" t="str">
        <f>IFERROR(IF($C84&lt;1,"",BK$3*일별반별!BN84),0)</f>
        <v/>
      </c>
      <c r="BL84" s="402" t="str">
        <f>IFERROR(IF($C84&lt;1,"",BL$3*일별반별!BH84),0)</f>
        <v/>
      </c>
      <c r="BM84" s="402" t="str">
        <f>IFERROR(IF($C84&lt;1,"",BM$3*일별반별!BP84),0)</f>
        <v/>
      </c>
      <c r="BN84" s="401" t="str">
        <f>IFERROR(IF($C84&lt;1,"",BN$3*일별반별!BQ84),0)</f>
        <v/>
      </c>
      <c r="BO84" s="401" t="str">
        <f>IFERROR(IF($C84&lt;1,"",BO$3*일별반별!BR84),0)</f>
        <v/>
      </c>
      <c r="BP84" s="401" t="str">
        <f>IFERROR(IF($C84&lt;1,"",BP$3*일별반별!BS84),0)</f>
        <v/>
      </c>
      <c r="BQ84" s="401" t="str">
        <f>IFERROR(IF($C84&lt;1,"",BQ$3*일별반별!BT84),0)</f>
        <v/>
      </c>
      <c r="BR84" s="417" t="str">
        <f>IFERROR(IF($C84&lt;1,"",BR$3*일별반별!BU84),0)</f>
        <v/>
      </c>
      <c r="BS84" s="417" t="str">
        <f>IFERROR(IF($C84&lt;1,"",BS$3*일별반별!BV84),0)</f>
        <v/>
      </c>
      <c r="BT84" s="417" t="str">
        <f>IFERROR(IF($C84&lt;1,"",BT$3*일별반별!BW84),0)</f>
        <v/>
      </c>
      <c r="BU84" s="316" t="str">
        <f>IFERROR(IF($C84&lt;1,"",BU$3*일별반별!BX84),0)</f>
        <v/>
      </c>
      <c r="BV84" s="316" t="str">
        <f>IFERROR(IF($C84&lt;1,"",BV$3*일별반별!BY84),0)</f>
        <v/>
      </c>
      <c r="BW84" s="316" t="str">
        <f>IFERROR(IF($C84&lt;1,"",BW$3*일별반별!BZ84),0)</f>
        <v/>
      </c>
      <c r="BX84" s="316" t="str">
        <f>IFERROR(IF($C84&lt;1,"",BX$3*일별반별!CA84),0)</f>
        <v/>
      </c>
      <c r="BY84" s="316" t="str">
        <f>IFERROR(IF($C84&lt;1,"",BY$3*일별반별!CB84),0)</f>
        <v/>
      </c>
      <c r="BZ84" s="316" t="str">
        <f>IFERROR(IF($C84&lt;1,"",BZ$3*일별반별!CC84),0)</f>
        <v/>
      </c>
      <c r="CA84" s="316" t="str">
        <f>IFERROR(IF($C84&lt;1,"",CA$3*일별반별!CD84),0)</f>
        <v/>
      </c>
      <c r="CB84" s="316" t="str">
        <f>IFERROR(IF($C84&lt;1,"",CB$3*일별반별!CE84),0)</f>
        <v/>
      </c>
      <c r="CC84" s="316" t="str">
        <f>IFERROR(IF($C84&lt;1,"",CC$3*일별반별!CF84),0)</f>
        <v/>
      </c>
      <c r="CD84" s="316" t="str">
        <f>IFERROR(IF($C84&lt;1,"",CD$3*일별반별!CG84),0)</f>
        <v/>
      </c>
      <c r="CE84" s="316" t="str">
        <f>IFERROR(IF($C84&lt;1,"",CE$3*일별반별!CH84),0)</f>
        <v/>
      </c>
      <c r="CF84" s="316" t="str">
        <f>IFERROR(IF($C84&lt;1,"",CF$3*일별반별!CI84),0)</f>
        <v/>
      </c>
      <c r="CG84" s="316" t="str">
        <f>IFERROR(IF($C84&lt;1,"",CG$3*일별반별!CJ84),0)</f>
        <v/>
      </c>
      <c r="CH84" s="316" t="str">
        <f>IFERROR(IF($C84&lt;1,"",CH$3*일별반별!CK84),0)</f>
        <v/>
      </c>
      <c r="CI84" s="316" t="str">
        <f>IFERROR(IF($C84&lt;1,"",CI$3*일별반별!CL84),0)</f>
        <v/>
      </c>
      <c r="CJ84" s="316" t="str">
        <f>IFERROR(IF($C84&lt;1,"",CJ$3*일별반별!CM84),0)</f>
        <v/>
      </c>
      <c r="CK84" s="316" t="str">
        <f>IFERROR(IF($C84&lt;1,"",CK$3*일별반별!CN84),0)</f>
        <v/>
      </c>
      <c r="CL84" s="316" t="str">
        <f>IFERROR(IF($C84&lt;1,"",CL$3*일별반별!CO84),0)</f>
        <v/>
      </c>
      <c r="CM84" s="316" t="str">
        <f>IFERROR(IF($C84&lt;1,"",CM$3*일별반별!CP84),0)</f>
        <v/>
      </c>
      <c r="CN84" s="316" t="str">
        <f>IFERROR(IF($C84&lt;1,"",CN$3*일별반별!CQ84),0)</f>
        <v/>
      </c>
      <c r="CO84" s="316" t="str">
        <f>IFERROR(IF($C84&lt;1,"",CO$3*일별반별!CR84),0)</f>
        <v/>
      </c>
      <c r="CP84" s="316" t="str">
        <f>IFERROR(IF($C84&lt;1,"",CP$3*일별반별!CS84),0)</f>
        <v/>
      </c>
      <c r="CQ84" s="316" t="str">
        <f>IFERROR(IF($C84&lt;1,"",CQ$3*일별반별!CT84),0)</f>
        <v/>
      </c>
      <c r="CR84" s="418" t="str">
        <f>IFERROR(IF($C84&lt;1,"",CR$3*일별반별!CU84),0)</f>
        <v/>
      </c>
      <c r="CS84" s="418" t="str">
        <f>IFERROR(IF($C84&lt;1,"",CS$3*일별반별!CV84),0)</f>
        <v/>
      </c>
      <c r="CT84" s="316" t="str">
        <f>IFERROR(IF($C84&lt;1,"",CT$3*일별반별!CW84),0)</f>
        <v/>
      </c>
      <c r="CU84" s="316" t="str">
        <f>IFERROR(IF($C84&lt;1,"",CU$3*일별반별!CX84),0)</f>
        <v/>
      </c>
      <c r="CV84" s="316" t="str">
        <f>IFERROR(IF($C84&lt;1,"",CV$3*일별반별!CY84),0)</f>
        <v/>
      </c>
      <c r="CW84" s="316" t="str">
        <f>IFERROR(IF($C84&lt;1,"",CW$3*일별반별!CZ84),0)</f>
        <v/>
      </c>
      <c r="CX84" s="316" t="str">
        <f>IFERROR(IF($C84&lt;1,"",CX$3*일별반별!DA84),0)</f>
        <v/>
      </c>
      <c r="CY84" s="316" t="str">
        <f>IF(C84&lt;1,"",(CY$3*'09월 조업일지'!AV$7))</f>
        <v/>
      </c>
      <c r="CZ84" s="316" t="str">
        <f t="shared" si="4"/>
        <v/>
      </c>
      <c r="DA84" s="316" t="str">
        <f t="shared" si="4"/>
        <v/>
      </c>
      <c r="DB84" s="316" t="str">
        <f t="shared" si="4"/>
        <v/>
      </c>
      <c r="DC84" s="316"/>
      <c r="DD84" s="419"/>
    </row>
    <row r="85" spans="1:108" ht="15" customHeight="1">
      <c r="A85" s="274">
        <f t="shared" si="5"/>
        <v>44028</v>
      </c>
      <c r="B85" s="275" t="s">
        <v>94</v>
      </c>
      <c r="C85" s="201">
        <f>COUNTIFS('09월 조업일지'!$A$12:$A$952,A81,'09월 조업일지'!$E$12:$E$952,B85)</f>
        <v>0</v>
      </c>
      <c r="D85" s="314">
        <f>IF(C85&lt;1,0,(SUM(E85:CX85)/(일별반별!BV85-1.5)+(CY85+CZ85+DA85+DB85)))</f>
        <v>0</v>
      </c>
      <c r="E85" s="278"/>
      <c r="F85" s="281"/>
      <c r="G85" s="282"/>
      <c r="H85" s="283"/>
      <c r="I85" s="283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326"/>
      <c r="U85" s="395" t="str">
        <f>IFERROR(IF($C85&lt;1,"",U$3*일별반별!X85),0)</f>
        <v/>
      </c>
      <c r="V85" s="395" t="str">
        <f>IFERROR(IF($C85&lt;1,"",V$3*일별반별!Y85),0)</f>
        <v/>
      </c>
      <c r="W85" s="395" t="str">
        <f>IFERROR(IF($C85&lt;1,"",W$3*일별반별!Z85),0)</f>
        <v/>
      </c>
      <c r="X85" s="208" t="str">
        <f>IFERROR(IF($C85&lt;1,"",X$3*일별반별!AA85),0)</f>
        <v/>
      </c>
      <c r="Y85" s="208" t="str">
        <f>IFERROR(IF($C85&lt;1,"",Y$3*일별반별!AB85),0)</f>
        <v/>
      </c>
      <c r="Z85" s="208" t="str">
        <f>IFERROR(IF($C85&lt;1,"",Z$3*일별반별!AC85),0)</f>
        <v/>
      </c>
      <c r="AA85" s="395" t="str">
        <f>IFERROR(IF($C85&lt;1,"",AA$3*일별반별!AD85),0)</f>
        <v/>
      </c>
      <c r="AB85" s="395" t="str">
        <f>IFERROR(IF($C85&lt;1,"",AB$3*일별반별!AE85),0)</f>
        <v/>
      </c>
      <c r="AC85" s="208" t="str">
        <f>IFERROR(IF($C85&lt;1,"",AC$3*일별반별!AF85),0)</f>
        <v/>
      </c>
      <c r="AD85" s="208" t="str">
        <f>IFERROR(IF($C85&lt;1,"",AD$3*일별반별!AG85),0)</f>
        <v/>
      </c>
      <c r="AE85" s="208" t="str">
        <f>IFERROR(IF($C85&lt;1,"",AE$3*일별반별!AH85),0)</f>
        <v/>
      </c>
      <c r="AF85" s="395" t="str">
        <f>IFERROR(IF($C85&lt;1,"",AF$3*일별반별!AI85),0)</f>
        <v/>
      </c>
      <c r="AG85" s="395" t="str">
        <f>IFERROR(IF($C85&lt;1,"",AG$3*일별반별!AJ85),0)</f>
        <v/>
      </c>
      <c r="AH85" s="395" t="str">
        <f>IFERROR(IF($C85&lt;1,"",AH$3*일별반별!AK85),0)</f>
        <v/>
      </c>
      <c r="AI85" s="395" t="str">
        <f>IFERROR(IF($C85&lt;1,"",AI$3*일별반별!AL85),0)</f>
        <v/>
      </c>
      <c r="AJ85" s="395" t="str">
        <f>IFERROR(IF($C85&lt;1,"",AJ$3*일별반별!AM85),0)</f>
        <v/>
      </c>
      <c r="AK85" s="395" t="str">
        <f>IFERROR(IF($C85&lt;1,"",AK$3*일별반별!AN85),0)</f>
        <v/>
      </c>
      <c r="AL85" s="395" t="str">
        <f>IFERROR(IF($C85&lt;1,"",AL$3*일별반별!AO85),0)</f>
        <v/>
      </c>
      <c r="AM85" s="395" t="str">
        <f>IFERROR(IF($C85&lt;1,"",AM$3*일별반별!AP85),0)</f>
        <v/>
      </c>
      <c r="AN85" s="395" t="str">
        <f>IFERROR(IF($C85&lt;1,"",AN$3*일별반별!AQ85),0)</f>
        <v/>
      </c>
      <c r="AO85" s="395" t="str">
        <f>IFERROR(IF($C85&lt;1,"",AO$3*일별반별!AR85),0)</f>
        <v/>
      </c>
      <c r="AP85" s="347" t="str">
        <f>IFERROR(IF($C85&lt;1,"",AP$3*일별반별!AS85),0)</f>
        <v/>
      </c>
      <c r="AQ85" s="347" t="str">
        <f>IFERROR(IF($C85&lt;1,"",AQ$3*일별반별!AT85),0)</f>
        <v/>
      </c>
      <c r="AR85" s="316" t="str">
        <f>IFERROR(IF($C85&lt;1,"",AR$3*일별반별!AU85),0)</f>
        <v/>
      </c>
      <c r="AS85" s="401" t="str">
        <f>IFERROR(IF($C85&lt;1,"",AS$3*일별반별!AV85),0)</f>
        <v/>
      </c>
      <c r="AT85" s="401" t="str">
        <f>IFERROR(IF($C85&lt;1,"",AT$3*일별반별!AW85),0)</f>
        <v/>
      </c>
      <c r="AU85" s="401" t="str">
        <f>IFERROR(IF($C85&lt;1,"",AU$3*일별반별!AX85),0)</f>
        <v/>
      </c>
      <c r="AV85" s="401" t="str">
        <f>IFERROR(IF($C85&lt;1,"",AV$3*일별반별!AY85),0)</f>
        <v/>
      </c>
      <c r="AW85" s="401" t="str">
        <f>IFERROR(IF($C85&lt;1,"",AW$3*일별반별!AZ85),0)</f>
        <v/>
      </c>
      <c r="AX85" s="401" t="str">
        <f>IFERROR(IF($C85&lt;1,"",AX$3*일별반별!BA85),0)</f>
        <v/>
      </c>
      <c r="AY85" s="401" t="str">
        <f>IFERROR(IF($C85&lt;1,"",AY$3*일별반별!BB85),0)</f>
        <v/>
      </c>
      <c r="AZ85" s="401" t="str">
        <f>IFERROR(IF($C85&lt;1,"",AZ$3*일별반별!BC85),0)</f>
        <v/>
      </c>
      <c r="BA85" s="401" t="str">
        <f>IFERROR(IF($C85&lt;1,"",BA$3*일별반별!BD85),0)</f>
        <v/>
      </c>
      <c r="BB85" s="402" t="str">
        <f>IFERROR(IF($C85&lt;1,"",BB$3*일별반별!BE85),0)</f>
        <v/>
      </c>
      <c r="BC85" s="402" t="str">
        <f>IFERROR(IF($C85&lt;1,"",BC$3*일별반별!BF85),0)</f>
        <v/>
      </c>
      <c r="BD85" s="402" t="str">
        <f>IFERROR(IF($C85&lt;1,"",BD$3*일별반별!BG85),0)</f>
        <v/>
      </c>
      <c r="BE85" s="402" t="str">
        <f>IFERROR(IF($C85&lt;1,"",BE$3*일별반별!BH85),0)</f>
        <v/>
      </c>
      <c r="BF85" s="402" t="str">
        <f>IFERROR(IF($C85&lt;1,"",BF$3*일별반별!BI85),0)</f>
        <v/>
      </c>
      <c r="BG85" s="402" t="str">
        <f>IFERROR(IF($C85&lt;1,"",BG$3*일별반별!BJ85),0)</f>
        <v/>
      </c>
      <c r="BH85" s="402" t="str">
        <f>IFERROR(IF($C85&lt;1,"",BH$3*일별반별!BK85),0)</f>
        <v/>
      </c>
      <c r="BI85" s="402" t="str">
        <f>IFERROR(IF($C85&lt;1,"",BI$3*일별반별!BL85),0)</f>
        <v/>
      </c>
      <c r="BJ85" s="402" t="str">
        <f>IFERROR(IF($C85&lt;1,"",BJ$3*일별반별!BM85),0)</f>
        <v/>
      </c>
      <c r="BK85" s="402" t="str">
        <f>IFERROR(IF($C85&lt;1,"",BK$3*일별반별!BN85),0)</f>
        <v/>
      </c>
      <c r="BL85" s="402" t="str">
        <f>IFERROR(IF($C85&lt;1,"",BL$3*일별반별!BH85),0)</f>
        <v/>
      </c>
      <c r="BM85" s="402" t="str">
        <f>IFERROR(IF($C85&lt;1,"",BM$3*일별반별!BP85),0)</f>
        <v/>
      </c>
      <c r="BN85" s="401" t="str">
        <f>IFERROR(IF($C85&lt;1,"",BN$3*일별반별!BQ85),0)</f>
        <v/>
      </c>
      <c r="BO85" s="401" t="str">
        <f>IFERROR(IF($C85&lt;1,"",BO$3*일별반별!BR85),0)</f>
        <v/>
      </c>
      <c r="BP85" s="401" t="str">
        <f>IFERROR(IF($C85&lt;1,"",BP$3*일별반별!BS85),0)</f>
        <v/>
      </c>
      <c r="BQ85" s="401" t="str">
        <f>IFERROR(IF($C85&lt;1,"",BQ$3*일별반별!BT85),0)</f>
        <v/>
      </c>
      <c r="BR85" s="417" t="str">
        <f>IFERROR(IF($C85&lt;1,"",BR$3*일별반별!BU85),0)</f>
        <v/>
      </c>
      <c r="BS85" s="417" t="str">
        <f>IFERROR(IF($C85&lt;1,"",BS$3*일별반별!BV85),0)</f>
        <v/>
      </c>
      <c r="BT85" s="417" t="str">
        <f>IFERROR(IF($C85&lt;1,"",BT$3*일별반별!BW85),0)</f>
        <v/>
      </c>
      <c r="BU85" s="316" t="str">
        <f>IFERROR(IF($C85&lt;1,"",BU$3*일별반별!BX85),0)</f>
        <v/>
      </c>
      <c r="BV85" s="316" t="str">
        <f>IFERROR(IF($C85&lt;1,"",BV$3*일별반별!BY85),0)</f>
        <v/>
      </c>
      <c r="BW85" s="316" t="str">
        <f>IFERROR(IF($C85&lt;1,"",BW$3*일별반별!BZ85),0)</f>
        <v/>
      </c>
      <c r="BX85" s="316" t="str">
        <f>IFERROR(IF($C85&lt;1,"",BX$3*일별반별!CA85),0)</f>
        <v/>
      </c>
      <c r="BY85" s="316" t="str">
        <f>IFERROR(IF($C85&lt;1,"",BY$3*일별반별!CB85),0)</f>
        <v/>
      </c>
      <c r="BZ85" s="316" t="str">
        <f>IFERROR(IF($C85&lt;1,"",BZ$3*일별반별!CC85),0)</f>
        <v/>
      </c>
      <c r="CA85" s="316" t="str">
        <f>IFERROR(IF($C85&lt;1,"",CA$3*일별반별!CD85),0)</f>
        <v/>
      </c>
      <c r="CB85" s="316" t="str">
        <f>IFERROR(IF($C85&lt;1,"",CB$3*일별반별!CE85),0)</f>
        <v/>
      </c>
      <c r="CC85" s="316" t="str">
        <f>IFERROR(IF($C85&lt;1,"",CC$3*일별반별!CF85),0)</f>
        <v/>
      </c>
      <c r="CD85" s="316" t="str">
        <f>IFERROR(IF($C85&lt;1,"",CD$3*일별반별!CG85),0)</f>
        <v/>
      </c>
      <c r="CE85" s="316" t="str">
        <f>IFERROR(IF($C85&lt;1,"",CE$3*일별반별!CH85),0)</f>
        <v/>
      </c>
      <c r="CF85" s="316" t="str">
        <f>IFERROR(IF($C85&lt;1,"",CF$3*일별반별!CI85),0)</f>
        <v/>
      </c>
      <c r="CG85" s="316" t="str">
        <f>IFERROR(IF($C85&lt;1,"",CG$3*일별반별!CJ85),0)</f>
        <v/>
      </c>
      <c r="CH85" s="316" t="str">
        <f>IFERROR(IF($C85&lt;1,"",CH$3*일별반별!CK85),0)</f>
        <v/>
      </c>
      <c r="CI85" s="316" t="str">
        <f>IFERROR(IF($C85&lt;1,"",CI$3*일별반별!CL85),0)</f>
        <v/>
      </c>
      <c r="CJ85" s="316" t="str">
        <f>IFERROR(IF($C85&lt;1,"",CJ$3*일별반별!CM85),0)</f>
        <v/>
      </c>
      <c r="CK85" s="316" t="str">
        <f>IFERROR(IF($C85&lt;1,"",CK$3*일별반별!CN85),0)</f>
        <v/>
      </c>
      <c r="CL85" s="316" t="str">
        <f>IFERROR(IF($C85&lt;1,"",CL$3*일별반별!CO85),0)</f>
        <v/>
      </c>
      <c r="CM85" s="316" t="str">
        <f>IFERROR(IF($C85&lt;1,"",CM$3*일별반별!CP85),0)</f>
        <v/>
      </c>
      <c r="CN85" s="316" t="str">
        <f>IFERROR(IF($C85&lt;1,"",CN$3*일별반별!CQ85),0)</f>
        <v/>
      </c>
      <c r="CO85" s="316" t="str">
        <f>IFERROR(IF($C85&lt;1,"",CO$3*일별반별!CR85),0)</f>
        <v/>
      </c>
      <c r="CP85" s="316" t="str">
        <f>IFERROR(IF($C85&lt;1,"",CP$3*일별반별!CS85),0)</f>
        <v/>
      </c>
      <c r="CQ85" s="316" t="str">
        <f>IFERROR(IF($C85&lt;1,"",CQ$3*일별반별!CT85),0)</f>
        <v/>
      </c>
      <c r="CR85" s="418" t="str">
        <f>IFERROR(IF($C85&lt;1,"",CR$3*일별반별!CU85),0)</f>
        <v/>
      </c>
      <c r="CS85" s="418" t="str">
        <f>IFERROR(IF($C85&lt;1,"",CS$3*일별반별!CV85),0)</f>
        <v/>
      </c>
      <c r="CT85" s="316" t="str">
        <f>IFERROR(IF($C85&lt;1,"",CT$3*일별반별!CW85),0)</f>
        <v/>
      </c>
      <c r="CU85" s="316" t="str">
        <f>IFERROR(IF($C85&lt;1,"",CU$3*일별반별!CX85),0)</f>
        <v/>
      </c>
      <c r="CV85" s="316" t="str">
        <f>IFERROR(IF($C85&lt;1,"",CV$3*일별반별!CY85),0)</f>
        <v/>
      </c>
      <c r="CW85" s="316" t="str">
        <f>IFERROR(IF($C85&lt;1,"",CW$3*일별반별!CZ85),0)</f>
        <v/>
      </c>
      <c r="CX85" s="316" t="str">
        <f>IFERROR(IF($C85&lt;1,"",CX$3*일별반별!DA85),0)</f>
        <v/>
      </c>
      <c r="CY85" s="316" t="str">
        <f>IF(C85&lt;1,"",(CY$3*'09월 조업일지'!AV$7))</f>
        <v/>
      </c>
      <c r="CZ85" s="316" t="str">
        <f t="shared" si="4"/>
        <v/>
      </c>
      <c r="DA85" s="316" t="str">
        <f t="shared" si="4"/>
        <v/>
      </c>
      <c r="DB85" s="316" t="str">
        <f t="shared" si="4"/>
        <v/>
      </c>
      <c r="DC85" s="316"/>
      <c r="DD85" s="419"/>
    </row>
    <row r="86" spans="1:108" ht="15" customHeight="1">
      <c r="A86" s="327">
        <f>A81+1</f>
        <v>44029</v>
      </c>
      <c r="B86" s="328" t="s">
        <v>31</v>
      </c>
      <c r="C86" s="329">
        <f>COUNTIF('09월 조업일지'!$A$12:$A$952,A86)</f>
        <v>0</v>
      </c>
      <c r="D86" s="330">
        <f>IF(C86&lt;1,0,(SUM(E86:CX86)/(일별반별!BV86-1.5)+(CY86+CZ86+DA86+DB86)))</f>
        <v>0</v>
      </c>
      <c r="E86" s="331"/>
      <c r="F86" s="331"/>
      <c r="G86" s="332"/>
      <c r="H86" s="333"/>
      <c r="I86" s="333"/>
      <c r="J86" s="334"/>
      <c r="K86" s="334"/>
      <c r="L86" s="334"/>
      <c r="M86" s="334"/>
      <c r="N86" s="334"/>
      <c r="O86" s="334"/>
      <c r="P86" s="334"/>
      <c r="Q86" s="335"/>
      <c r="R86" s="334"/>
      <c r="S86" s="335"/>
      <c r="T86" s="334"/>
      <c r="U86" s="337" t="str">
        <f>IFERROR(IF($C86&lt;1,"",U$3*일별반별!X86),0)</f>
        <v/>
      </c>
      <c r="V86" s="337" t="str">
        <f>IFERROR(IF($C86&lt;1,"",V$3*일별반별!Y86),0)</f>
        <v/>
      </c>
      <c r="W86" s="337" t="str">
        <f>IFERROR(IF($C86&lt;1,"",W$3*일별반별!Z86),0)</f>
        <v/>
      </c>
      <c r="X86" s="336" t="str">
        <f>IFERROR(IF($C86&lt;1,"",X$3*일별반별!AA86),0)</f>
        <v/>
      </c>
      <c r="Y86" s="336" t="str">
        <f>IFERROR(IF($C86&lt;1,"",Y$3*일별반별!AB86),0)</f>
        <v/>
      </c>
      <c r="Z86" s="336" t="str">
        <f>IFERROR(IF($C86&lt;1,"",Z$3*일별반별!AC86),0)</f>
        <v/>
      </c>
      <c r="AA86" s="337" t="str">
        <f>IFERROR(IF($C86&lt;1,"",AA$3*일별반별!AD86),0)</f>
        <v/>
      </c>
      <c r="AB86" s="337" t="str">
        <f>IFERROR(IF($C86&lt;1,"",AB$3*일별반별!AE86),0)</f>
        <v/>
      </c>
      <c r="AC86" s="336" t="str">
        <f>IFERROR(IF($C86&lt;1,"",AC$3*일별반별!AF86),0)</f>
        <v/>
      </c>
      <c r="AD86" s="336" t="str">
        <f>IFERROR(IF($C86&lt;1,"",AD$3*일별반별!AG86),0)</f>
        <v/>
      </c>
      <c r="AE86" s="336" t="str">
        <f>IFERROR(IF($C86&lt;1,"",AE$3*일별반별!AH86),0)</f>
        <v/>
      </c>
      <c r="AF86" s="337" t="str">
        <f>IFERROR(IF($C86&lt;1,"",AF$3*일별반별!AI86),0)</f>
        <v/>
      </c>
      <c r="AG86" s="337" t="str">
        <f>IFERROR(IF($C86&lt;1,"",AG$3*일별반별!AJ86),0)</f>
        <v/>
      </c>
      <c r="AH86" s="337" t="str">
        <f>IFERROR(IF($C86&lt;1,"",AH$3*일별반별!AK86),0)</f>
        <v/>
      </c>
      <c r="AI86" s="337" t="str">
        <f>IFERROR(IF($C86&lt;1,"",AI$3*일별반별!AL86),0)</f>
        <v/>
      </c>
      <c r="AJ86" s="337" t="str">
        <f>IFERROR(IF($C86&lt;1,"",AJ$3*일별반별!AM86),0)</f>
        <v/>
      </c>
      <c r="AK86" s="337" t="str">
        <f>IFERROR(IF($C86&lt;1,"",AK$3*일별반별!AN86),0)</f>
        <v/>
      </c>
      <c r="AL86" s="337" t="str">
        <f>IFERROR(IF($C86&lt;1,"",AL$3*일별반별!AO86),0)</f>
        <v/>
      </c>
      <c r="AM86" s="337" t="str">
        <f>IFERROR(IF($C86&lt;1,"",AM$3*일별반별!AP86),0)</f>
        <v/>
      </c>
      <c r="AN86" s="337" t="str">
        <f>IFERROR(IF($C86&lt;1,"",AN$3*일별반별!AQ86),0)</f>
        <v/>
      </c>
      <c r="AO86" s="337" t="str">
        <f>IFERROR(IF($C86&lt;1,"",AO$3*일별반별!AR86),0)</f>
        <v/>
      </c>
      <c r="AP86" s="337" t="str">
        <f>IFERROR(IF($C86&lt;1,"",AP$3*일별반별!AS86),0)</f>
        <v/>
      </c>
      <c r="AQ86" s="337" t="str">
        <f>IFERROR(IF($C86&lt;1,"",AQ$3*일별반별!AT86),0)</f>
        <v/>
      </c>
      <c r="AR86" s="337" t="str">
        <f>IFERROR(IF($C86&lt;1,"",AR$3*일별반별!AU86),0)</f>
        <v/>
      </c>
      <c r="AS86" s="403" t="str">
        <f>IFERROR(IF($C86&lt;1,"",AS$3*일별반별!AV86),0)</f>
        <v/>
      </c>
      <c r="AT86" s="403" t="str">
        <f>IFERROR(IF($C86&lt;1,"",AT$3*일별반별!AW86),0)</f>
        <v/>
      </c>
      <c r="AU86" s="403" t="str">
        <f>IFERROR(IF($C86&lt;1,"",AU$3*일별반별!AX86),0)</f>
        <v/>
      </c>
      <c r="AV86" s="403" t="str">
        <f>IFERROR(IF($C86&lt;1,"",AV$3*일별반별!AY86),0)</f>
        <v/>
      </c>
      <c r="AW86" s="403" t="str">
        <f>IFERROR(IF($C86&lt;1,"",AW$3*일별반별!AZ86),0)</f>
        <v/>
      </c>
      <c r="AX86" s="403" t="str">
        <f>IFERROR(IF($C86&lt;1,"",AX$3*일별반별!BA86),0)</f>
        <v/>
      </c>
      <c r="AY86" s="403" t="str">
        <f>IFERROR(IF($C86&lt;1,"",AY$3*일별반별!BB86),0)</f>
        <v/>
      </c>
      <c r="AZ86" s="403" t="str">
        <f>IFERROR(IF($C86&lt;1,"",AZ$3*일별반별!BC86),0)</f>
        <v/>
      </c>
      <c r="BA86" s="403" t="str">
        <f>IFERROR(IF($C86&lt;1,"",BA$3*일별반별!BD86),0)</f>
        <v/>
      </c>
      <c r="BB86" s="403" t="str">
        <f>IFERROR(IF($C86&lt;1,"",BB$3*일별반별!BE86),0)</f>
        <v/>
      </c>
      <c r="BC86" s="403" t="str">
        <f>IFERROR(IF($C86&lt;1,"",BC$3*일별반별!BF86),0)</f>
        <v/>
      </c>
      <c r="BD86" s="403" t="str">
        <f>IFERROR(IF($C86&lt;1,"",BD$3*일별반별!BG86),0)</f>
        <v/>
      </c>
      <c r="BE86" s="403" t="str">
        <f>IFERROR(IF($C86&lt;1,"",BE$3*일별반별!BH86),0)</f>
        <v/>
      </c>
      <c r="BF86" s="403" t="str">
        <f>IFERROR(IF($C86&lt;1,"",BF$3*일별반별!BI86),0)</f>
        <v/>
      </c>
      <c r="BG86" s="403" t="str">
        <f>IFERROR(IF($C86&lt;1,"",BG$3*일별반별!BJ86),0)</f>
        <v/>
      </c>
      <c r="BH86" s="403" t="str">
        <f>IFERROR(IF($C86&lt;1,"",BH$3*일별반별!BK86),0)</f>
        <v/>
      </c>
      <c r="BI86" s="403" t="str">
        <f>IFERROR(IF($C86&lt;1,"",BI$3*일별반별!BL86),0)</f>
        <v/>
      </c>
      <c r="BJ86" s="403" t="str">
        <f>IFERROR(IF($C86&lt;1,"",BJ$3*일별반별!BM86),0)</f>
        <v/>
      </c>
      <c r="BK86" s="403" t="str">
        <f>IFERROR(IF($C86&lt;1,"",BK$3*일별반별!BN86),0)</f>
        <v/>
      </c>
      <c r="BL86" s="403" t="str">
        <f>IFERROR(IF($C86&lt;1,"",BL$3*일별반별!BH86),0)</f>
        <v/>
      </c>
      <c r="BM86" s="403" t="str">
        <f>IFERROR(IF($C86&lt;1,"",BM$3*일별반별!BP86),0)</f>
        <v/>
      </c>
      <c r="BN86" s="403" t="str">
        <f>IFERROR(IF($C86&lt;1,"",BN$3*일별반별!BQ86),0)</f>
        <v/>
      </c>
      <c r="BO86" s="403" t="str">
        <f>IFERROR(IF($C86&lt;1,"",BO$3*일별반별!BR86),0)</f>
        <v/>
      </c>
      <c r="BP86" s="403" t="str">
        <f>IFERROR(IF($C86&lt;1,"",BP$3*일별반별!BS86),0)</f>
        <v/>
      </c>
      <c r="BQ86" s="403" t="str">
        <f>IFERROR(IF($C86&lt;1,"",BQ$3*일별반별!BT86),0)</f>
        <v/>
      </c>
      <c r="BR86" s="337" t="str">
        <f>IFERROR(IF($C86&lt;1,"",BR$3*일별반별!BU86),0)</f>
        <v/>
      </c>
      <c r="BS86" s="337" t="str">
        <f>IFERROR(IF($C86&lt;1,"",BS$3*일별반별!BV86),0)</f>
        <v/>
      </c>
      <c r="BT86" s="337" t="str">
        <f>IFERROR(IF($C86&lt;1,"",BT$3*일별반별!BW86),0)</f>
        <v/>
      </c>
      <c r="BU86" s="337" t="str">
        <f>IFERROR(IF($C86&lt;1,"",BU$3*일별반별!BX86),0)</f>
        <v/>
      </c>
      <c r="BV86" s="337" t="str">
        <f>IFERROR(IF($C86&lt;1,"",BV$3*일별반별!BY86),0)</f>
        <v/>
      </c>
      <c r="BW86" s="337" t="str">
        <f>IFERROR(IF($C86&lt;1,"",BW$3*일별반별!BZ86),0)</f>
        <v/>
      </c>
      <c r="BX86" s="337" t="str">
        <f>IFERROR(IF($C86&lt;1,"",BX$3*일별반별!CA86),0)</f>
        <v/>
      </c>
      <c r="BY86" s="337" t="str">
        <f>IFERROR(IF($C86&lt;1,"",BY$3*일별반별!CB86),0)</f>
        <v/>
      </c>
      <c r="BZ86" s="337" t="str">
        <f>IFERROR(IF($C86&lt;1,"",BZ$3*일별반별!CC86),0)</f>
        <v/>
      </c>
      <c r="CA86" s="337" t="str">
        <f>IFERROR(IF($C86&lt;1,"",CA$3*일별반별!CD86),0)</f>
        <v/>
      </c>
      <c r="CB86" s="337" t="str">
        <f>IFERROR(IF($C86&lt;1,"",CB$3*일별반별!CE86),0)</f>
        <v/>
      </c>
      <c r="CC86" s="337" t="str">
        <f>IFERROR(IF($C86&lt;1,"",CC$3*일별반별!CF86),0)</f>
        <v/>
      </c>
      <c r="CD86" s="337" t="str">
        <f>IFERROR(IF($C86&lt;1,"",CD$3*일별반별!CG86),0)</f>
        <v/>
      </c>
      <c r="CE86" s="337" t="str">
        <f>IFERROR(IF($C86&lt;1,"",CE$3*일별반별!CH86),0)</f>
        <v/>
      </c>
      <c r="CF86" s="337" t="str">
        <f>IFERROR(IF($C86&lt;1,"",CF$3*일별반별!CI86),0)</f>
        <v/>
      </c>
      <c r="CG86" s="337" t="str">
        <f>IFERROR(IF($C86&lt;1,"",CG$3*일별반별!CJ86),0)</f>
        <v/>
      </c>
      <c r="CH86" s="337" t="str">
        <f>IFERROR(IF($C86&lt;1,"",CH$3*일별반별!CK86),0)</f>
        <v/>
      </c>
      <c r="CI86" s="337" t="str">
        <f>IFERROR(IF($C86&lt;1,"",CI$3*일별반별!CL86),0)</f>
        <v/>
      </c>
      <c r="CJ86" s="337" t="str">
        <f>IFERROR(IF($C86&lt;1,"",CJ$3*일별반별!CM86),0)</f>
        <v/>
      </c>
      <c r="CK86" s="337" t="str">
        <f>IFERROR(IF($C86&lt;1,"",CK$3*일별반별!CN86),0)</f>
        <v/>
      </c>
      <c r="CL86" s="337" t="str">
        <f>IFERROR(IF($C86&lt;1,"",CL$3*일별반별!CO86),0)</f>
        <v/>
      </c>
      <c r="CM86" s="337" t="str">
        <f>IFERROR(IF($C86&lt;1,"",CM$3*일별반별!CP86),0)</f>
        <v/>
      </c>
      <c r="CN86" s="337" t="str">
        <f>IFERROR(IF($C86&lt;1,"",CN$3*일별반별!CQ86),0)</f>
        <v/>
      </c>
      <c r="CO86" s="337" t="str">
        <f>IFERROR(IF($C86&lt;1,"",CO$3*일별반별!CR86),0)</f>
        <v/>
      </c>
      <c r="CP86" s="337" t="str">
        <f>IFERROR(IF($C86&lt;1,"",CP$3*일별반별!CS86),0)</f>
        <v/>
      </c>
      <c r="CQ86" s="337" t="str">
        <f>IFERROR(IF($C86&lt;1,"",CQ$3*일별반별!CT86),0)</f>
        <v/>
      </c>
      <c r="CR86" s="420" t="str">
        <f>IFERROR(IF($C86&lt;1,"",CR$3*일별반별!CU86),0)</f>
        <v/>
      </c>
      <c r="CS86" s="420" t="str">
        <f>IFERROR(IF($C86&lt;1,"",CS$3*일별반별!CV86),0)</f>
        <v/>
      </c>
      <c r="CT86" s="337" t="str">
        <f>IFERROR(IF($C86&lt;1,"",CT$3*일별반별!CW86),0)</f>
        <v/>
      </c>
      <c r="CU86" s="337" t="str">
        <f>IFERROR(IF($C86&lt;1,"",CU$3*일별반별!CX86),0)</f>
        <v/>
      </c>
      <c r="CV86" s="337" t="str">
        <f>IFERROR(IF($C86&lt;1,"",CV$3*일별반별!CY86),0)</f>
        <v/>
      </c>
      <c r="CW86" s="337" t="str">
        <f>IFERROR(IF($C86&lt;1,"",CW$3*일별반별!CZ86),0)</f>
        <v/>
      </c>
      <c r="CX86" s="337" t="str">
        <f>IFERROR(IF($C86&lt;1,"",CX$3*일별반별!DA86),0)</f>
        <v/>
      </c>
      <c r="CY86" s="316" t="str">
        <f>IF(C86&lt;1,"",(CY$3*'09월 조업일지'!AV$7))</f>
        <v/>
      </c>
      <c r="CZ86" s="316" t="str">
        <f t="shared" si="4"/>
        <v/>
      </c>
      <c r="DA86" s="316" t="str">
        <f t="shared" si="4"/>
        <v/>
      </c>
      <c r="DB86" s="316" t="str">
        <f t="shared" si="4"/>
        <v/>
      </c>
      <c r="DC86" s="316"/>
      <c r="DD86" s="419"/>
    </row>
    <row r="87" spans="1:108" ht="15" customHeight="1">
      <c r="A87" s="274">
        <f t="shared" si="5"/>
        <v>44029</v>
      </c>
      <c r="B87" s="275" t="s">
        <v>9</v>
      </c>
      <c r="C87" s="201">
        <f>COUNTIFS('09월 조업일지'!$A$12:$A$952,A86,'09월 조업일지'!$E$12:$E$952,B87)</f>
        <v>0</v>
      </c>
      <c r="D87" s="314">
        <f>IF(C87&lt;1,0,(SUM(E87:CX87)/(일별반별!BV87-1.5)+(CY87+CZ87+DA87+DB87)))</f>
        <v>0</v>
      </c>
      <c r="E87" s="278"/>
      <c r="F87" s="281"/>
      <c r="G87" s="282"/>
      <c r="H87" s="283"/>
      <c r="I87" s="283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326"/>
      <c r="U87" s="395" t="str">
        <f>IFERROR(IF($C87&lt;1,"",U$3*일별반별!X87),0)</f>
        <v/>
      </c>
      <c r="V87" s="395" t="str">
        <f>IFERROR(IF($C87&lt;1,"",V$3*일별반별!Y87),0)</f>
        <v/>
      </c>
      <c r="W87" s="395" t="str">
        <f>IFERROR(IF($C87&lt;1,"",W$3*일별반별!Z87),0)</f>
        <v/>
      </c>
      <c r="X87" s="208" t="str">
        <f>IFERROR(IF($C87&lt;1,"",X$3*일별반별!AA87),0)</f>
        <v/>
      </c>
      <c r="Y87" s="208" t="str">
        <f>IFERROR(IF($C87&lt;1,"",Y$3*일별반별!AB87),0)</f>
        <v/>
      </c>
      <c r="Z87" s="208" t="str">
        <f>IFERROR(IF($C87&lt;1,"",Z$3*일별반별!AC87),0)</f>
        <v/>
      </c>
      <c r="AA87" s="395" t="str">
        <f>IFERROR(IF($C87&lt;1,"",AA$3*일별반별!AD87),0)</f>
        <v/>
      </c>
      <c r="AB87" s="395" t="str">
        <f>IFERROR(IF($C87&lt;1,"",AB$3*일별반별!AE87),0)</f>
        <v/>
      </c>
      <c r="AC87" s="208" t="str">
        <f>IFERROR(IF($C87&lt;1,"",AC$3*일별반별!AF87),0)</f>
        <v/>
      </c>
      <c r="AD87" s="208" t="str">
        <f>IFERROR(IF($C87&lt;1,"",AD$3*일별반별!AG87),0)</f>
        <v/>
      </c>
      <c r="AE87" s="208" t="str">
        <f>IFERROR(IF($C87&lt;1,"",AE$3*일별반별!AH87),0)</f>
        <v/>
      </c>
      <c r="AF87" s="395" t="str">
        <f>IFERROR(IF($C87&lt;1,"",AF$3*일별반별!AI87),0)</f>
        <v/>
      </c>
      <c r="AG87" s="395" t="str">
        <f>IFERROR(IF($C87&lt;1,"",AG$3*일별반별!AJ87),0)</f>
        <v/>
      </c>
      <c r="AH87" s="395" t="str">
        <f>IFERROR(IF($C87&lt;1,"",AH$3*일별반별!AK87),0)</f>
        <v/>
      </c>
      <c r="AI87" s="395" t="str">
        <f>IFERROR(IF($C87&lt;1,"",AI$3*일별반별!AL87),0)</f>
        <v/>
      </c>
      <c r="AJ87" s="395" t="str">
        <f>IFERROR(IF($C87&lt;1,"",AJ$3*일별반별!AM87),0)</f>
        <v/>
      </c>
      <c r="AK87" s="395" t="str">
        <f>IFERROR(IF($C87&lt;1,"",AK$3*일별반별!AN87),0)</f>
        <v/>
      </c>
      <c r="AL87" s="395" t="str">
        <f>IFERROR(IF($C87&lt;1,"",AL$3*일별반별!AO87),0)</f>
        <v/>
      </c>
      <c r="AM87" s="395" t="str">
        <f>IFERROR(IF($C87&lt;1,"",AM$3*일별반별!AP87),0)</f>
        <v/>
      </c>
      <c r="AN87" s="395" t="str">
        <f>IFERROR(IF($C87&lt;1,"",AN$3*일별반별!AQ87),0)</f>
        <v/>
      </c>
      <c r="AO87" s="395" t="str">
        <f>IFERROR(IF($C87&lt;1,"",AO$3*일별반별!AR87),0)</f>
        <v/>
      </c>
      <c r="AP87" s="347" t="str">
        <f>IFERROR(IF($C87&lt;1,"",AP$3*일별반별!AS87),0)</f>
        <v/>
      </c>
      <c r="AQ87" s="347" t="str">
        <f>IFERROR(IF($C87&lt;1,"",AQ$3*일별반별!AT87),0)</f>
        <v/>
      </c>
      <c r="AR87" s="316" t="str">
        <f>IFERROR(IF($C87&lt;1,"",AR$3*일별반별!AU87),0)</f>
        <v/>
      </c>
      <c r="AS87" s="401" t="str">
        <f>IFERROR(IF($C87&lt;1,"",AS$3*일별반별!AV87),0)</f>
        <v/>
      </c>
      <c r="AT87" s="401" t="str">
        <f>IFERROR(IF($C87&lt;1,"",AT$3*일별반별!AW87),0)</f>
        <v/>
      </c>
      <c r="AU87" s="401" t="str">
        <f>IFERROR(IF($C87&lt;1,"",AU$3*일별반별!AX87),0)</f>
        <v/>
      </c>
      <c r="AV87" s="401" t="str">
        <f>IFERROR(IF($C87&lt;1,"",AV$3*일별반별!AY87),0)</f>
        <v/>
      </c>
      <c r="AW87" s="401" t="str">
        <f>IFERROR(IF($C87&lt;1,"",AW$3*일별반별!AZ87),0)</f>
        <v/>
      </c>
      <c r="AX87" s="401" t="str">
        <f>IFERROR(IF($C87&lt;1,"",AX$3*일별반별!BA87),0)</f>
        <v/>
      </c>
      <c r="AY87" s="401" t="str">
        <f>IFERROR(IF($C87&lt;1,"",AY$3*일별반별!BB87),0)</f>
        <v/>
      </c>
      <c r="AZ87" s="401" t="str">
        <f>IFERROR(IF($C87&lt;1,"",AZ$3*일별반별!BC87),0)</f>
        <v/>
      </c>
      <c r="BA87" s="401" t="str">
        <f>IFERROR(IF($C87&lt;1,"",BA$3*일별반별!BD87),0)</f>
        <v/>
      </c>
      <c r="BB87" s="402" t="str">
        <f>IFERROR(IF($C87&lt;1,"",BB$3*일별반별!BE87),0)</f>
        <v/>
      </c>
      <c r="BC87" s="402" t="str">
        <f>IFERROR(IF($C87&lt;1,"",BC$3*일별반별!BF87),0)</f>
        <v/>
      </c>
      <c r="BD87" s="402" t="str">
        <f>IFERROR(IF($C87&lt;1,"",BD$3*일별반별!BG87),0)</f>
        <v/>
      </c>
      <c r="BE87" s="402" t="str">
        <f>IFERROR(IF($C87&lt;1,"",BE$3*일별반별!BH87),0)</f>
        <v/>
      </c>
      <c r="BF87" s="402" t="str">
        <f>IFERROR(IF($C87&lt;1,"",BF$3*일별반별!BI87),0)</f>
        <v/>
      </c>
      <c r="BG87" s="402" t="str">
        <f>IFERROR(IF($C87&lt;1,"",BG$3*일별반별!BJ87),0)</f>
        <v/>
      </c>
      <c r="BH87" s="402" t="str">
        <f>IFERROR(IF($C87&lt;1,"",BH$3*일별반별!BK87),0)</f>
        <v/>
      </c>
      <c r="BI87" s="402" t="str">
        <f>IFERROR(IF($C87&lt;1,"",BI$3*일별반별!BL87),0)</f>
        <v/>
      </c>
      <c r="BJ87" s="402" t="str">
        <f>IFERROR(IF($C87&lt;1,"",BJ$3*일별반별!BM87),0)</f>
        <v/>
      </c>
      <c r="BK87" s="402" t="str">
        <f>IFERROR(IF($C87&lt;1,"",BK$3*일별반별!BN87),0)</f>
        <v/>
      </c>
      <c r="BL87" s="402" t="str">
        <f>IFERROR(IF($C87&lt;1,"",BL$3*일별반별!BH87),0)</f>
        <v/>
      </c>
      <c r="BM87" s="402" t="str">
        <f>IFERROR(IF($C87&lt;1,"",BM$3*일별반별!BP87),0)</f>
        <v/>
      </c>
      <c r="BN87" s="401" t="str">
        <f>IFERROR(IF($C87&lt;1,"",BN$3*일별반별!BQ87),0)</f>
        <v/>
      </c>
      <c r="BO87" s="401" t="str">
        <f>IFERROR(IF($C87&lt;1,"",BO$3*일별반별!BR87),0)</f>
        <v/>
      </c>
      <c r="BP87" s="401" t="str">
        <f>IFERROR(IF($C87&lt;1,"",BP$3*일별반별!BS87),0)</f>
        <v/>
      </c>
      <c r="BQ87" s="401" t="str">
        <f>IFERROR(IF($C87&lt;1,"",BQ$3*일별반별!BT87),0)</f>
        <v/>
      </c>
      <c r="BR87" s="417" t="str">
        <f>IFERROR(IF($C87&lt;1,"",BR$3*일별반별!BU87),0)</f>
        <v/>
      </c>
      <c r="BS87" s="417" t="str">
        <f>IFERROR(IF($C87&lt;1,"",BS$3*일별반별!BV87),0)</f>
        <v/>
      </c>
      <c r="BT87" s="417" t="str">
        <f>IFERROR(IF($C87&lt;1,"",BT$3*일별반별!BW87),0)</f>
        <v/>
      </c>
      <c r="BU87" s="316" t="str">
        <f>IFERROR(IF($C87&lt;1,"",BU$3*일별반별!BX87),0)</f>
        <v/>
      </c>
      <c r="BV87" s="316" t="str">
        <f>IFERROR(IF($C87&lt;1,"",BV$3*일별반별!BY87),0)</f>
        <v/>
      </c>
      <c r="BW87" s="316" t="str">
        <f>IFERROR(IF($C87&lt;1,"",BW$3*일별반별!BZ87),0)</f>
        <v/>
      </c>
      <c r="BX87" s="316" t="str">
        <f>IFERROR(IF($C87&lt;1,"",BX$3*일별반별!CA87),0)</f>
        <v/>
      </c>
      <c r="BY87" s="316" t="str">
        <f>IFERROR(IF($C87&lt;1,"",BY$3*일별반별!CB87),0)</f>
        <v/>
      </c>
      <c r="BZ87" s="316" t="str">
        <f>IFERROR(IF($C87&lt;1,"",BZ$3*일별반별!CC87),0)</f>
        <v/>
      </c>
      <c r="CA87" s="316" t="str">
        <f>IFERROR(IF($C87&lt;1,"",CA$3*일별반별!CD87),0)</f>
        <v/>
      </c>
      <c r="CB87" s="316" t="str">
        <f>IFERROR(IF($C87&lt;1,"",CB$3*일별반별!CE87),0)</f>
        <v/>
      </c>
      <c r="CC87" s="316" t="str">
        <f>IFERROR(IF($C87&lt;1,"",CC$3*일별반별!CF87),0)</f>
        <v/>
      </c>
      <c r="CD87" s="316" t="str">
        <f>IFERROR(IF($C87&lt;1,"",CD$3*일별반별!CG87),0)</f>
        <v/>
      </c>
      <c r="CE87" s="316" t="str">
        <f>IFERROR(IF($C87&lt;1,"",CE$3*일별반별!CH87),0)</f>
        <v/>
      </c>
      <c r="CF87" s="316" t="str">
        <f>IFERROR(IF($C87&lt;1,"",CF$3*일별반별!CI87),0)</f>
        <v/>
      </c>
      <c r="CG87" s="316" t="str">
        <f>IFERROR(IF($C87&lt;1,"",CG$3*일별반별!CJ87),0)</f>
        <v/>
      </c>
      <c r="CH87" s="316" t="str">
        <f>IFERROR(IF($C87&lt;1,"",CH$3*일별반별!CK87),0)</f>
        <v/>
      </c>
      <c r="CI87" s="316" t="str">
        <f>IFERROR(IF($C87&lt;1,"",CI$3*일별반별!CL87),0)</f>
        <v/>
      </c>
      <c r="CJ87" s="316" t="str">
        <f>IFERROR(IF($C87&lt;1,"",CJ$3*일별반별!CM87),0)</f>
        <v/>
      </c>
      <c r="CK87" s="316" t="str">
        <f>IFERROR(IF($C87&lt;1,"",CK$3*일별반별!CN87),0)</f>
        <v/>
      </c>
      <c r="CL87" s="316" t="str">
        <f>IFERROR(IF($C87&lt;1,"",CL$3*일별반별!CO87),0)</f>
        <v/>
      </c>
      <c r="CM87" s="316" t="str">
        <f>IFERROR(IF($C87&lt;1,"",CM$3*일별반별!CP87),0)</f>
        <v/>
      </c>
      <c r="CN87" s="316" t="str">
        <f>IFERROR(IF($C87&lt;1,"",CN$3*일별반별!CQ87),0)</f>
        <v/>
      </c>
      <c r="CO87" s="316" t="str">
        <f>IFERROR(IF($C87&lt;1,"",CO$3*일별반별!CR87),0)</f>
        <v/>
      </c>
      <c r="CP87" s="316" t="str">
        <f>IFERROR(IF($C87&lt;1,"",CP$3*일별반별!CS87),0)</f>
        <v/>
      </c>
      <c r="CQ87" s="316" t="str">
        <f>IFERROR(IF($C87&lt;1,"",CQ$3*일별반별!CT87),0)</f>
        <v/>
      </c>
      <c r="CR87" s="418" t="str">
        <f>IFERROR(IF($C87&lt;1,"",CR$3*일별반별!CU87),0)</f>
        <v/>
      </c>
      <c r="CS87" s="418" t="str">
        <f>IFERROR(IF($C87&lt;1,"",CS$3*일별반별!CV87),0)</f>
        <v/>
      </c>
      <c r="CT87" s="316" t="str">
        <f>IFERROR(IF($C87&lt;1,"",CT$3*일별반별!CW87),0)</f>
        <v/>
      </c>
      <c r="CU87" s="316" t="str">
        <f>IFERROR(IF($C87&lt;1,"",CU$3*일별반별!CX87),0)</f>
        <v/>
      </c>
      <c r="CV87" s="316" t="str">
        <f>IFERROR(IF($C87&lt;1,"",CV$3*일별반별!CY87),0)</f>
        <v/>
      </c>
      <c r="CW87" s="316" t="str">
        <f>IFERROR(IF($C87&lt;1,"",CW$3*일별반별!CZ87),0)</f>
        <v/>
      </c>
      <c r="CX87" s="316" t="str">
        <f>IFERROR(IF($C87&lt;1,"",CX$3*일별반별!DA87),0)</f>
        <v/>
      </c>
      <c r="CY87" s="316" t="str">
        <f>IF(C87&lt;1,"",(CY$3*'09월 조업일지'!AV$7))</f>
        <v/>
      </c>
      <c r="CZ87" s="316" t="str">
        <f t="shared" si="4"/>
        <v/>
      </c>
      <c r="DA87" s="316" t="str">
        <f t="shared" si="4"/>
        <v/>
      </c>
      <c r="DB87" s="316" t="str">
        <f t="shared" si="4"/>
        <v/>
      </c>
      <c r="DC87" s="316"/>
      <c r="DD87" s="419"/>
    </row>
    <row r="88" spans="1:108" ht="15" customHeight="1">
      <c r="A88" s="274">
        <f t="shared" si="5"/>
        <v>44029</v>
      </c>
      <c r="B88" s="275" t="s">
        <v>100</v>
      </c>
      <c r="C88" s="201">
        <f>COUNTIFS('09월 조업일지'!$A$12:$A$952,A86,'09월 조업일지'!$E$12:$E$952,B88)</f>
        <v>0</v>
      </c>
      <c r="D88" s="314">
        <f>IF(C88&lt;1,0,(SUM(E88:CX88)/(일별반별!BV88-1.5)+(CY88+CZ88+DA88+DB88)))</f>
        <v>0</v>
      </c>
      <c r="E88" s="278"/>
      <c r="F88" s="281"/>
      <c r="G88" s="282"/>
      <c r="H88" s="283"/>
      <c r="I88" s="283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326"/>
      <c r="U88" s="395" t="str">
        <f>IFERROR(IF($C88&lt;1,"",U$3*일별반별!X88),0)</f>
        <v/>
      </c>
      <c r="V88" s="395" t="str">
        <f>IFERROR(IF($C88&lt;1,"",V$3*일별반별!Y88),0)</f>
        <v/>
      </c>
      <c r="W88" s="395" t="str">
        <f>IFERROR(IF($C88&lt;1,"",W$3*일별반별!Z88),0)</f>
        <v/>
      </c>
      <c r="X88" s="208" t="str">
        <f>IFERROR(IF($C88&lt;1,"",X$3*일별반별!AA88),0)</f>
        <v/>
      </c>
      <c r="Y88" s="208" t="str">
        <f>IFERROR(IF($C88&lt;1,"",Y$3*일별반별!AB88),0)</f>
        <v/>
      </c>
      <c r="Z88" s="208" t="str">
        <f>IFERROR(IF($C88&lt;1,"",Z$3*일별반별!AC88),0)</f>
        <v/>
      </c>
      <c r="AA88" s="395" t="str">
        <f>IFERROR(IF($C88&lt;1,"",AA$3*일별반별!AD88),0)</f>
        <v/>
      </c>
      <c r="AB88" s="395" t="str">
        <f>IFERROR(IF($C88&lt;1,"",AB$3*일별반별!AE88),0)</f>
        <v/>
      </c>
      <c r="AC88" s="208" t="str">
        <f>IFERROR(IF($C88&lt;1,"",AC$3*일별반별!AF88),0)</f>
        <v/>
      </c>
      <c r="AD88" s="208" t="str">
        <f>IFERROR(IF($C88&lt;1,"",AD$3*일별반별!AG88),0)</f>
        <v/>
      </c>
      <c r="AE88" s="208" t="str">
        <f>IFERROR(IF($C88&lt;1,"",AE$3*일별반별!AH88),0)</f>
        <v/>
      </c>
      <c r="AF88" s="395" t="str">
        <f>IFERROR(IF($C88&lt;1,"",AF$3*일별반별!AI88),0)</f>
        <v/>
      </c>
      <c r="AG88" s="395" t="str">
        <f>IFERROR(IF($C88&lt;1,"",AG$3*일별반별!AJ88),0)</f>
        <v/>
      </c>
      <c r="AH88" s="395" t="str">
        <f>IFERROR(IF($C88&lt;1,"",AH$3*일별반별!AK88),0)</f>
        <v/>
      </c>
      <c r="AI88" s="395" t="str">
        <f>IFERROR(IF($C88&lt;1,"",AI$3*일별반별!AL88),0)</f>
        <v/>
      </c>
      <c r="AJ88" s="395" t="str">
        <f>IFERROR(IF($C88&lt;1,"",AJ$3*일별반별!AM88),0)</f>
        <v/>
      </c>
      <c r="AK88" s="395" t="str">
        <f>IFERROR(IF($C88&lt;1,"",AK$3*일별반별!AN88),0)</f>
        <v/>
      </c>
      <c r="AL88" s="395" t="str">
        <f>IFERROR(IF($C88&lt;1,"",AL$3*일별반별!AO88),0)</f>
        <v/>
      </c>
      <c r="AM88" s="395" t="str">
        <f>IFERROR(IF($C88&lt;1,"",AM$3*일별반별!AP88),0)</f>
        <v/>
      </c>
      <c r="AN88" s="395" t="str">
        <f>IFERROR(IF($C88&lt;1,"",AN$3*일별반별!AQ88),0)</f>
        <v/>
      </c>
      <c r="AO88" s="395" t="str">
        <f>IFERROR(IF($C88&lt;1,"",AO$3*일별반별!AR88),0)</f>
        <v/>
      </c>
      <c r="AP88" s="347" t="str">
        <f>IFERROR(IF($C88&lt;1,"",AP$3*일별반별!AS88),0)</f>
        <v/>
      </c>
      <c r="AQ88" s="347" t="str">
        <f>IFERROR(IF($C88&lt;1,"",AQ$3*일별반별!AT88),0)</f>
        <v/>
      </c>
      <c r="AR88" s="316" t="str">
        <f>IFERROR(IF($C88&lt;1,"",AR$3*일별반별!AU88),0)</f>
        <v/>
      </c>
      <c r="AS88" s="401" t="str">
        <f>IFERROR(IF($C88&lt;1,"",AS$3*일별반별!AV88),0)</f>
        <v/>
      </c>
      <c r="AT88" s="401" t="str">
        <f>IFERROR(IF($C88&lt;1,"",AT$3*일별반별!AW88),0)</f>
        <v/>
      </c>
      <c r="AU88" s="401" t="str">
        <f>IFERROR(IF($C88&lt;1,"",AU$3*일별반별!AX88),0)</f>
        <v/>
      </c>
      <c r="AV88" s="401" t="str">
        <f>IFERROR(IF($C88&lt;1,"",AV$3*일별반별!AY88),0)</f>
        <v/>
      </c>
      <c r="AW88" s="401" t="str">
        <f>IFERROR(IF($C88&lt;1,"",AW$3*일별반별!AZ88),0)</f>
        <v/>
      </c>
      <c r="AX88" s="401" t="str">
        <f>IFERROR(IF($C88&lt;1,"",AX$3*일별반별!BA88),0)</f>
        <v/>
      </c>
      <c r="AY88" s="401" t="str">
        <f>IFERROR(IF($C88&lt;1,"",AY$3*일별반별!BB88),0)</f>
        <v/>
      </c>
      <c r="AZ88" s="401" t="str">
        <f>IFERROR(IF($C88&lt;1,"",AZ$3*일별반별!BC88),0)</f>
        <v/>
      </c>
      <c r="BA88" s="401" t="str">
        <f>IFERROR(IF($C88&lt;1,"",BA$3*일별반별!BD88),0)</f>
        <v/>
      </c>
      <c r="BB88" s="402" t="str">
        <f>IFERROR(IF($C88&lt;1,"",BB$3*일별반별!BE88),0)</f>
        <v/>
      </c>
      <c r="BC88" s="402" t="str">
        <f>IFERROR(IF($C88&lt;1,"",BC$3*일별반별!BF88),0)</f>
        <v/>
      </c>
      <c r="BD88" s="402" t="str">
        <f>IFERROR(IF($C88&lt;1,"",BD$3*일별반별!BG88),0)</f>
        <v/>
      </c>
      <c r="BE88" s="402" t="str">
        <f>IFERROR(IF($C88&lt;1,"",BE$3*일별반별!BH88),0)</f>
        <v/>
      </c>
      <c r="BF88" s="402" t="str">
        <f>IFERROR(IF($C88&lt;1,"",BF$3*일별반별!BI88),0)</f>
        <v/>
      </c>
      <c r="BG88" s="402" t="str">
        <f>IFERROR(IF($C88&lt;1,"",BG$3*일별반별!BJ88),0)</f>
        <v/>
      </c>
      <c r="BH88" s="402" t="str">
        <f>IFERROR(IF($C88&lt;1,"",BH$3*일별반별!BK88),0)</f>
        <v/>
      </c>
      <c r="BI88" s="402" t="str">
        <f>IFERROR(IF($C88&lt;1,"",BI$3*일별반별!BL88),0)</f>
        <v/>
      </c>
      <c r="BJ88" s="402" t="str">
        <f>IFERROR(IF($C88&lt;1,"",BJ$3*일별반별!BM88),0)</f>
        <v/>
      </c>
      <c r="BK88" s="402" t="str">
        <f>IFERROR(IF($C88&lt;1,"",BK$3*일별반별!BN88),0)</f>
        <v/>
      </c>
      <c r="BL88" s="402" t="str">
        <f>IFERROR(IF($C88&lt;1,"",BL$3*일별반별!BH88),0)</f>
        <v/>
      </c>
      <c r="BM88" s="402" t="str">
        <f>IFERROR(IF($C88&lt;1,"",BM$3*일별반별!BP88),0)</f>
        <v/>
      </c>
      <c r="BN88" s="401" t="str">
        <f>IFERROR(IF($C88&lt;1,"",BN$3*일별반별!BQ88),0)</f>
        <v/>
      </c>
      <c r="BO88" s="401" t="str">
        <f>IFERROR(IF($C88&lt;1,"",BO$3*일별반별!BR88),0)</f>
        <v/>
      </c>
      <c r="BP88" s="401" t="str">
        <f>IFERROR(IF($C88&lt;1,"",BP$3*일별반별!BS88),0)</f>
        <v/>
      </c>
      <c r="BQ88" s="401" t="str">
        <f>IFERROR(IF($C88&lt;1,"",BQ$3*일별반별!BT88),0)</f>
        <v/>
      </c>
      <c r="BR88" s="417" t="str">
        <f>IFERROR(IF($C88&lt;1,"",BR$3*일별반별!BU88),0)</f>
        <v/>
      </c>
      <c r="BS88" s="417" t="str">
        <f>IFERROR(IF($C88&lt;1,"",BS$3*일별반별!BV88),0)</f>
        <v/>
      </c>
      <c r="BT88" s="417" t="str">
        <f>IFERROR(IF($C88&lt;1,"",BT$3*일별반별!BW88),0)</f>
        <v/>
      </c>
      <c r="BU88" s="316" t="str">
        <f>IFERROR(IF($C88&lt;1,"",BU$3*일별반별!BX88),0)</f>
        <v/>
      </c>
      <c r="BV88" s="316" t="str">
        <f>IFERROR(IF($C88&lt;1,"",BV$3*일별반별!BY88),0)</f>
        <v/>
      </c>
      <c r="BW88" s="316" t="str">
        <f>IFERROR(IF($C88&lt;1,"",BW$3*일별반별!BZ88),0)</f>
        <v/>
      </c>
      <c r="BX88" s="316" t="str">
        <f>IFERROR(IF($C88&lt;1,"",BX$3*일별반별!CA88),0)</f>
        <v/>
      </c>
      <c r="BY88" s="316" t="str">
        <f>IFERROR(IF($C88&lt;1,"",BY$3*일별반별!CB88),0)</f>
        <v/>
      </c>
      <c r="BZ88" s="316" t="str">
        <f>IFERROR(IF($C88&lt;1,"",BZ$3*일별반별!CC88),0)</f>
        <v/>
      </c>
      <c r="CA88" s="316" t="str">
        <f>IFERROR(IF($C88&lt;1,"",CA$3*일별반별!CD88),0)</f>
        <v/>
      </c>
      <c r="CB88" s="316" t="str">
        <f>IFERROR(IF($C88&lt;1,"",CB$3*일별반별!CE88),0)</f>
        <v/>
      </c>
      <c r="CC88" s="316" t="str">
        <f>IFERROR(IF($C88&lt;1,"",CC$3*일별반별!CF88),0)</f>
        <v/>
      </c>
      <c r="CD88" s="316" t="str">
        <f>IFERROR(IF($C88&lt;1,"",CD$3*일별반별!CG88),0)</f>
        <v/>
      </c>
      <c r="CE88" s="316" t="str">
        <f>IFERROR(IF($C88&lt;1,"",CE$3*일별반별!CH88),0)</f>
        <v/>
      </c>
      <c r="CF88" s="316" t="str">
        <f>IFERROR(IF($C88&lt;1,"",CF$3*일별반별!CI88),0)</f>
        <v/>
      </c>
      <c r="CG88" s="316" t="str">
        <f>IFERROR(IF($C88&lt;1,"",CG$3*일별반별!CJ88),0)</f>
        <v/>
      </c>
      <c r="CH88" s="316" t="str">
        <f>IFERROR(IF($C88&lt;1,"",CH$3*일별반별!CK88),0)</f>
        <v/>
      </c>
      <c r="CI88" s="316" t="str">
        <f>IFERROR(IF($C88&lt;1,"",CI$3*일별반별!CL88),0)</f>
        <v/>
      </c>
      <c r="CJ88" s="316" t="str">
        <f>IFERROR(IF($C88&lt;1,"",CJ$3*일별반별!CM88),0)</f>
        <v/>
      </c>
      <c r="CK88" s="316" t="str">
        <f>IFERROR(IF($C88&lt;1,"",CK$3*일별반별!CN88),0)</f>
        <v/>
      </c>
      <c r="CL88" s="316" t="str">
        <f>IFERROR(IF($C88&lt;1,"",CL$3*일별반별!CO88),0)</f>
        <v/>
      </c>
      <c r="CM88" s="316" t="str">
        <f>IFERROR(IF($C88&lt;1,"",CM$3*일별반별!CP88),0)</f>
        <v/>
      </c>
      <c r="CN88" s="316" t="str">
        <f>IFERROR(IF($C88&lt;1,"",CN$3*일별반별!CQ88),0)</f>
        <v/>
      </c>
      <c r="CO88" s="316" t="str">
        <f>IFERROR(IF($C88&lt;1,"",CO$3*일별반별!CR88),0)</f>
        <v/>
      </c>
      <c r="CP88" s="316" t="str">
        <f>IFERROR(IF($C88&lt;1,"",CP$3*일별반별!CS88),0)</f>
        <v/>
      </c>
      <c r="CQ88" s="316" t="str">
        <f>IFERROR(IF($C88&lt;1,"",CQ$3*일별반별!CT88),0)</f>
        <v/>
      </c>
      <c r="CR88" s="418" t="str">
        <f>IFERROR(IF($C88&lt;1,"",CR$3*일별반별!CU88),0)</f>
        <v/>
      </c>
      <c r="CS88" s="418" t="str">
        <f>IFERROR(IF($C88&lt;1,"",CS$3*일별반별!CV88),0)</f>
        <v/>
      </c>
      <c r="CT88" s="316" t="str">
        <f>IFERROR(IF($C88&lt;1,"",CT$3*일별반별!CW88),0)</f>
        <v/>
      </c>
      <c r="CU88" s="316" t="str">
        <f>IFERROR(IF($C88&lt;1,"",CU$3*일별반별!CX88),0)</f>
        <v/>
      </c>
      <c r="CV88" s="316" t="str">
        <f>IFERROR(IF($C88&lt;1,"",CV$3*일별반별!CY88),0)</f>
        <v/>
      </c>
      <c r="CW88" s="316" t="str">
        <f>IFERROR(IF($C88&lt;1,"",CW$3*일별반별!CZ88),0)</f>
        <v/>
      </c>
      <c r="CX88" s="316" t="str">
        <f>IFERROR(IF($C88&lt;1,"",CX$3*일별반별!DA88),0)</f>
        <v/>
      </c>
      <c r="CY88" s="316" t="str">
        <f>IF(C88&lt;1,"",(CY$3*'09월 조업일지'!AV$7))</f>
        <v/>
      </c>
      <c r="CZ88" s="316" t="str">
        <f t="shared" si="4"/>
        <v/>
      </c>
      <c r="DA88" s="316" t="str">
        <f t="shared" si="4"/>
        <v/>
      </c>
      <c r="DB88" s="316" t="str">
        <f t="shared" si="4"/>
        <v/>
      </c>
      <c r="DC88" s="316"/>
      <c r="DD88" s="419"/>
    </row>
    <row r="89" spans="1:108" ht="15" customHeight="1">
      <c r="A89" s="274">
        <f t="shared" si="5"/>
        <v>44029</v>
      </c>
      <c r="B89" s="275" t="s">
        <v>10</v>
      </c>
      <c r="C89" s="201">
        <f>COUNTIFS('09월 조업일지'!$A$12:$A$952,A86,'09월 조업일지'!$E$12:$E$952,B89)</f>
        <v>0</v>
      </c>
      <c r="D89" s="314">
        <f>IF(C89&lt;1,0,(SUM(E89:CX89)/(일별반별!BV89-1.5)+(CY89+CZ89+DA89+DB89)))</f>
        <v>0</v>
      </c>
      <c r="E89" s="278"/>
      <c r="F89" s="281"/>
      <c r="G89" s="282"/>
      <c r="H89" s="283"/>
      <c r="I89" s="283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326"/>
      <c r="U89" s="395" t="str">
        <f>IFERROR(IF($C89&lt;1,"",U$3*일별반별!X89),0)</f>
        <v/>
      </c>
      <c r="V89" s="395" t="str">
        <f>IFERROR(IF($C89&lt;1,"",V$3*일별반별!Y89),0)</f>
        <v/>
      </c>
      <c r="W89" s="395" t="str">
        <f>IFERROR(IF($C89&lt;1,"",W$3*일별반별!Z89),0)</f>
        <v/>
      </c>
      <c r="X89" s="208" t="str">
        <f>IFERROR(IF($C89&lt;1,"",X$3*일별반별!AA89),0)</f>
        <v/>
      </c>
      <c r="Y89" s="208" t="str">
        <f>IFERROR(IF($C89&lt;1,"",Y$3*일별반별!AB89),0)</f>
        <v/>
      </c>
      <c r="Z89" s="208" t="str">
        <f>IFERROR(IF($C89&lt;1,"",Z$3*일별반별!AC89),0)</f>
        <v/>
      </c>
      <c r="AA89" s="395" t="str">
        <f>IFERROR(IF($C89&lt;1,"",AA$3*일별반별!AD89),0)</f>
        <v/>
      </c>
      <c r="AB89" s="395" t="str">
        <f>IFERROR(IF($C89&lt;1,"",AB$3*일별반별!AE89),0)</f>
        <v/>
      </c>
      <c r="AC89" s="208" t="str">
        <f>IFERROR(IF($C89&lt;1,"",AC$3*일별반별!AF89),0)</f>
        <v/>
      </c>
      <c r="AD89" s="208" t="str">
        <f>IFERROR(IF($C89&lt;1,"",AD$3*일별반별!AG89),0)</f>
        <v/>
      </c>
      <c r="AE89" s="208" t="str">
        <f>IFERROR(IF($C89&lt;1,"",AE$3*일별반별!AH89),0)</f>
        <v/>
      </c>
      <c r="AF89" s="395" t="str">
        <f>IFERROR(IF($C89&lt;1,"",AF$3*일별반별!AI89),0)</f>
        <v/>
      </c>
      <c r="AG89" s="395" t="str">
        <f>IFERROR(IF($C89&lt;1,"",AG$3*일별반별!AJ89),0)</f>
        <v/>
      </c>
      <c r="AH89" s="395" t="str">
        <f>IFERROR(IF($C89&lt;1,"",AH$3*일별반별!AK89),0)</f>
        <v/>
      </c>
      <c r="AI89" s="395" t="str">
        <f>IFERROR(IF($C89&lt;1,"",AI$3*일별반별!AL89),0)</f>
        <v/>
      </c>
      <c r="AJ89" s="395" t="str">
        <f>IFERROR(IF($C89&lt;1,"",AJ$3*일별반별!AM89),0)</f>
        <v/>
      </c>
      <c r="AK89" s="395" t="str">
        <f>IFERROR(IF($C89&lt;1,"",AK$3*일별반별!AN89),0)</f>
        <v/>
      </c>
      <c r="AL89" s="395" t="str">
        <f>IFERROR(IF($C89&lt;1,"",AL$3*일별반별!AO89),0)</f>
        <v/>
      </c>
      <c r="AM89" s="395" t="str">
        <f>IFERROR(IF($C89&lt;1,"",AM$3*일별반별!AP89),0)</f>
        <v/>
      </c>
      <c r="AN89" s="395" t="str">
        <f>IFERROR(IF($C89&lt;1,"",AN$3*일별반별!AQ89),0)</f>
        <v/>
      </c>
      <c r="AO89" s="395" t="str">
        <f>IFERROR(IF($C89&lt;1,"",AO$3*일별반별!AR89),0)</f>
        <v/>
      </c>
      <c r="AP89" s="347" t="str">
        <f>IFERROR(IF($C89&lt;1,"",AP$3*일별반별!AS89),0)</f>
        <v/>
      </c>
      <c r="AQ89" s="347" t="str">
        <f>IFERROR(IF($C89&lt;1,"",AQ$3*일별반별!AT89),0)</f>
        <v/>
      </c>
      <c r="AR89" s="316" t="str">
        <f>IFERROR(IF($C89&lt;1,"",AR$3*일별반별!AU89),0)</f>
        <v/>
      </c>
      <c r="AS89" s="401" t="str">
        <f>IFERROR(IF($C89&lt;1,"",AS$3*일별반별!AV89),0)</f>
        <v/>
      </c>
      <c r="AT89" s="401" t="str">
        <f>IFERROR(IF($C89&lt;1,"",AT$3*일별반별!AW89),0)</f>
        <v/>
      </c>
      <c r="AU89" s="401" t="str">
        <f>IFERROR(IF($C89&lt;1,"",AU$3*일별반별!AX89),0)</f>
        <v/>
      </c>
      <c r="AV89" s="401" t="str">
        <f>IFERROR(IF($C89&lt;1,"",AV$3*일별반별!AY89),0)</f>
        <v/>
      </c>
      <c r="AW89" s="401" t="str">
        <f>IFERROR(IF($C89&lt;1,"",AW$3*일별반별!AZ89),0)</f>
        <v/>
      </c>
      <c r="AX89" s="401" t="str">
        <f>IFERROR(IF($C89&lt;1,"",AX$3*일별반별!BA89),0)</f>
        <v/>
      </c>
      <c r="AY89" s="401" t="str">
        <f>IFERROR(IF($C89&lt;1,"",AY$3*일별반별!BB89),0)</f>
        <v/>
      </c>
      <c r="AZ89" s="401" t="str">
        <f>IFERROR(IF($C89&lt;1,"",AZ$3*일별반별!BC89),0)</f>
        <v/>
      </c>
      <c r="BA89" s="401" t="str">
        <f>IFERROR(IF($C89&lt;1,"",BA$3*일별반별!BD89),0)</f>
        <v/>
      </c>
      <c r="BB89" s="402" t="str">
        <f>IFERROR(IF($C89&lt;1,"",BB$3*일별반별!BE89),0)</f>
        <v/>
      </c>
      <c r="BC89" s="402" t="str">
        <f>IFERROR(IF($C89&lt;1,"",BC$3*일별반별!BF89),0)</f>
        <v/>
      </c>
      <c r="BD89" s="402" t="str">
        <f>IFERROR(IF($C89&lt;1,"",BD$3*일별반별!BG89),0)</f>
        <v/>
      </c>
      <c r="BE89" s="402" t="str">
        <f>IFERROR(IF($C89&lt;1,"",BE$3*일별반별!BH89),0)</f>
        <v/>
      </c>
      <c r="BF89" s="402" t="str">
        <f>IFERROR(IF($C89&lt;1,"",BF$3*일별반별!BI89),0)</f>
        <v/>
      </c>
      <c r="BG89" s="402" t="str">
        <f>IFERROR(IF($C89&lt;1,"",BG$3*일별반별!BJ89),0)</f>
        <v/>
      </c>
      <c r="BH89" s="402" t="str">
        <f>IFERROR(IF($C89&lt;1,"",BH$3*일별반별!BK89),0)</f>
        <v/>
      </c>
      <c r="BI89" s="402" t="str">
        <f>IFERROR(IF($C89&lt;1,"",BI$3*일별반별!BL89),0)</f>
        <v/>
      </c>
      <c r="BJ89" s="402" t="str">
        <f>IFERROR(IF($C89&lt;1,"",BJ$3*일별반별!BM89),0)</f>
        <v/>
      </c>
      <c r="BK89" s="402" t="str">
        <f>IFERROR(IF($C89&lt;1,"",BK$3*일별반별!BN89),0)</f>
        <v/>
      </c>
      <c r="BL89" s="402" t="str">
        <f>IFERROR(IF($C89&lt;1,"",BL$3*일별반별!BH89),0)</f>
        <v/>
      </c>
      <c r="BM89" s="402" t="str">
        <f>IFERROR(IF($C89&lt;1,"",BM$3*일별반별!BP89),0)</f>
        <v/>
      </c>
      <c r="BN89" s="401" t="str">
        <f>IFERROR(IF($C89&lt;1,"",BN$3*일별반별!BQ89),0)</f>
        <v/>
      </c>
      <c r="BO89" s="401" t="str">
        <f>IFERROR(IF($C89&lt;1,"",BO$3*일별반별!BR89),0)</f>
        <v/>
      </c>
      <c r="BP89" s="401" t="str">
        <f>IFERROR(IF($C89&lt;1,"",BP$3*일별반별!BS89),0)</f>
        <v/>
      </c>
      <c r="BQ89" s="401" t="str">
        <f>IFERROR(IF($C89&lt;1,"",BQ$3*일별반별!BT89),0)</f>
        <v/>
      </c>
      <c r="BR89" s="417" t="str">
        <f>IFERROR(IF($C89&lt;1,"",BR$3*일별반별!BU89),0)</f>
        <v/>
      </c>
      <c r="BS89" s="417" t="str">
        <f>IFERROR(IF($C89&lt;1,"",BS$3*일별반별!BV89),0)</f>
        <v/>
      </c>
      <c r="BT89" s="417" t="str">
        <f>IFERROR(IF($C89&lt;1,"",BT$3*일별반별!BW89),0)</f>
        <v/>
      </c>
      <c r="BU89" s="316" t="str">
        <f>IFERROR(IF($C89&lt;1,"",BU$3*일별반별!BX89),0)</f>
        <v/>
      </c>
      <c r="BV89" s="316" t="str">
        <f>IFERROR(IF($C89&lt;1,"",BV$3*일별반별!BY89),0)</f>
        <v/>
      </c>
      <c r="BW89" s="316" t="str">
        <f>IFERROR(IF($C89&lt;1,"",BW$3*일별반별!BZ89),0)</f>
        <v/>
      </c>
      <c r="BX89" s="316" t="str">
        <f>IFERROR(IF($C89&lt;1,"",BX$3*일별반별!CA89),0)</f>
        <v/>
      </c>
      <c r="BY89" s="316" t="str">
        <f>IFERROR(IF($C89&lt;1,"",BY$3*일별반별!CB89),0)</f>
        <v/>
      </c>
      <c r="BZ89" s="316" t="str">
        <f>IFERROR(IF($C89&lt;1,"",BZ$3*일별반별!CC89),0)</f>
        <v/>
      </c>
      <c r="CA89" s="316" t="str">
        <f>IFERROR(IF($C89&lt;1,"",CA$3*일별반별!CD89),0)</f>
        <v/>
      </c>
      <c r="CB89" s="316" t="str">
        <f>IFERROR(IF($C89&lt;1,"",CB$3*일별반별!CE89),0)</f>
        <v/>
      </c>
      <c r="CC89" s="316" t="str">
        <f>IFERROR(IF($C89&lt;1,"",CC$3*일별반별!CF89),0)</f>
        <v/>
      </c>
      <c r="CD89" s="316" t="str">
        <f>IFERROR(IF($C89&lt;1,"",CD$3*일별반별!CG89),0)</f>
        <v/>
      </c>
      <c r="CE89" s="316" t="str">
        <f>IFERROR(IF($C89&lt;1,"",CE$3*일별반별!CH89),0)</f>
        <v/>
      </c>
      <c r="CF89" s="316" t="str">
        <f>IFERROR(IF($C89&lt;1,"",CF$3*일별반별!CI89),0)</f>
        <v/>
      </c>
      <c r="CG89" s="316" t="str">
        <f>IFERROR(IF($C89&lt;1,"",CG$3*일별반별!CJ89),0)</f>
        <v/>
      </c>
      <c r="CH89" s="316" t="str">
        <f>IFERROR(IF($C89&lt;1,"",CH$3*일별반별!CK89),0)</f>
        <v/>
      </c>
      <c r="CI89" s="316" t="str">
        <f>IFERROR(IF($C89&lt;1,"",CI$3*일별반별!CL89),0)</f>
        <v/>
      </c>
      <c r="CJ89" s="316" t="str">
        <f>IFERROR(IF($C89&lt;1,"",CJ$3*일별반별!CM89),0)</f>
        <v/>
      </c>
      <c r="CK89" s="316" t="str">
        <f>IFERROR(IF($C89&lt;1,"",CK$3*일별반별!CN89),0)</f>
        <v/>
      </c>
      <c r="CL89" s="316" t="str">
        <f>IFERROR(IF($C89&lt;1,"",CL$3*일별반별!CO89),0)</f>
        <v/>
      </c>
      <c r="CM89" s="316" t="str">
        <f>IFERROR(IF($C89&lt;1,"",CM$3*일별반별!CP89),0)</f>
        <v/>
      </c>
      <c r="CN89" s="316" t="str">
        <f>IFERROR(IF($C89&lt;1,"",CN$3*일별반별!CQ89),0)</f>
        <v/>
      </c>
      <c r="CO89" s="316" t="str">
        <f>IFERROR(IF($C89&lt;1,"",CO$3*일별반별!CR89),0)</f>
        <v/>
      </c>
      <c r="CP89" s="316" t="str">
        <f>IFERROR(IF($C89&lt;1,"",CP$3*일별반별!CS89),0)</f>
        <v/>
      </c>
      <c r="CQ89" s="316" t="str">
        <f>IFERROR(IF($C89&lt;1,"",CQ$3*일별반별!CT89),0)</f>
        <v/>
      </c>
      <c r="CR89" s="418" t="str">
        <f>IFERROR(IF($C89&lt;1,"",CR$3*일별반별!CU89),0)</f>
        <v/>
      </c>
      <c r="CS89" s="418" t="str">
        <f>IFERROR(IF($C89&lt;1,"",CS$3*일별반별!CV89),0)</f>
        <v/>
      </c>
      <c r="CT89" s="316" t="str">
        <f>IFERROR(IF($C89&lt;1,"",CT$3*일별반별!CW89),0)</f>
        <v/>
      </c>
      <c r="CU89" s="316" t="str">
        <f>IFERROR(IF($C89&lt;1,"",CU$3*일별반별!CX89),0)</f>
        <v/>
      </c>
      <c r="CV89" s="316" t="str">
        <f>IFERROR(IF($C89&lt;1,"",CV$3*일별반별!CY89),0)</f>
        <v/>
      </c>
      <c r="CW89" s="316" t="str">
        <f>IFERROR(IF($C89&lt;1,"",CW$3*일별반별!CZ89),0)</f>
        <v/>
      </c>
      <c r="CX89" s="316" t="str">
        <f>IFERROR(IF($C89&lt;1,"",CX$3*일별반별!DA89),0)</f>
        <v/>
      </c>
      <c r="CY89" s="316" t="str">
        <f>IF(C89&lt;1,"",(CY$3*'09월 조업일지'!AV$7))</f>
        <v/>
      </c>
      <c r="CZ89" s="316" t="str">
        <f t="shared" si="4"/>
        <v/>
      </c>
      <c r="DA89" s="316" t="str">
        <f t="shared" si="4"/>
        <v/>
      </c>
      <c r="DB89" s="316" t="str">
        <f t="shared" si="4"/>
        <v/>
      </c>
      <c r="DC89" s="316"/>
      <c r="DD89" s="419"/>
    </row>
    <row r="90" spans="1:108" ht="15" customHeight="1">
      <c r="A90" s="274">
        <f t="shared" si="5"/>
        <v>44029</v>
      </c>
      <c r="B90" s="275" t="s">
        <v>94</v>
      </c>
      <c r="C90" s="201">
        <f>COUNTIFS('09월 조업일지'!$A$12:$A$952,A86,'09월 조업일지'!$E$12:$E$952,B90)</f>
        <v>0</v>
      </c>
      <c r="D90" s="314">
        <f>IF(C90&lt;1,0,(SUM(E90:CX90)/(일별반별!BV90-1.5)+(CY90+CZ90+DA90+DB90)))</f>
        <v>0</v>
      </c>
      <c r="E90" s="278"/>
      <c r="F90" s="281"/>
      <c r="G90" s="282"/>
      <c r="H90" s="283"/>
      <c r="I90" s="283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326"/>
      <c r="U90" s="395" t="str">
        <f>IFERROR(IF($C90&lt;1,"",U$3*일별반별!X90),0)</f>
        <v/>
      </c>
      <c r="V90" s="395" t="str">
        <f>IFERROR(IF($C90&lt;1,"",V$3*일별반별!Y90),0)</f>
        <v/>
      </c>
      <c r="W90" s="395" t="str">
        <f>IFERROR(IF($C90&lt;1,"",W$3*일별반별!Z90),0)</f>
        <v/>
      </c>
      <c r="X90" s="208" t="str">
        <f>IFERROR(IF($C90&lt;1,"",X$3*일별반별!AA90),0)</f>
        <v/>
      </c>
      <c r="Y90" s="208" t="str">
        <f>IFERROR(IF($C90&lt;1,"",Y$3*일별반별!AB90),0)</f>
        <v/>
      </c>
      <c r="Z90" s="208" t="str">
        <f>IFERROR(IF($C90&lt;1,"",Z$3*일별반별!AC90),0)</f>
        <v/>
      </c>
      <c r="AA90" s="395" t="str">
        <f>IFERROR(IF($C90&lt;1,"",AA$3*일별반별!AD90),0)</f>
        <v/>
      </c>
      <c r="AB90" s="395" t="str">
        <f>IFERROR(IF($C90&lt;1,"",AB$3*일별반별!AE90),0)</f>
        <v/>
      </c>
      <c r="AC90" s="208" t="str">
        <f>IFERROR(IF($C90&lt;1,"",AC$3*일별반별!AF90),0)</f>
        <v/>
      </c>
      <c r="AD90" s="208" t="str">
        <f>IFERROR(IF($C90&lt;1,"",AD$3*일별반별!AG90),0)</f>
        <v/>
      </c>
      <c r="AE90" s="208" t="str">
        <f>IFERROR(IF($C90&lt;1,"",AE$3*일별반별!AH90),0)</f>
        <v/>
      </c>
      <c r="AF90" s="395" t="str">
        <f>IFERROR(IF($C90&lt;1,"",AF$3*일별반별!AI90),0)</f>
        <v/>
      </c>
      <c r="AG90" s="395" t="str">
        <f>IFERROR(IF($C90&lt;1,"",AG$3*일별반별!AJ90),0)</f>
        <v/>
      </c>
      <c r="AH90" s="395" t="str">
        <f>IFERROR(IF($C90&lt;1,"",AH$3*일별반별!AK90),0)</f>
        <v/>
      </c>
      <c r="AI90" s="395" t="str">
        <f>IFERROR(IF($C90&lt;1,"",AI$3*일별반별!AL90),0)</f>
        <v/>
      </c>
      <c r="AJ90" s="395" t="str">
        <f>IFERROR(IF($C90&lt;1,"",AJ$3*일별반별!AM90),0)</f>
        <v/>
      </c>
      <c r="AK90" s="395" t="str">
        <f>IFERROR(IF($C90&lt;1,"",AK$3*일별반별!AN90),0)</f>
        <v/>
      </c>
      <c r="AL90" s="395" t="str">
        <f>IFERROR(IF($C90&lt;1,"",AL$3*일별반별!AO90),0)</f>
        <v/>
      </c>
      <c r="AM90" s="395" t="str">
        <f>IFERROR(IF($C90&lt;1,"",AM$3*일별반별!AP90),0)</f>
        <v/>
      </c>
      <c r="AN90" s="395" t="str">
        <f>IFERROR(IF($C90&lt;1,"",AN$3*일별반별!AQ90),0)</f>
        <v/>
      </c>
      <c r="AO90" s="395" t="str">
        <f>IFERROR(IF($C90&lt;1,"",AO$3*일별반별!AR90),0)</f>
        <v/>
      </c>
      <c r="AP90" s="347" t="str">
        <f>IFERROR(IF($C90&lt;1,"",AP$3*일별반별!AS90),0)</f>
        <v/>
      </c>
      <c r="AQ90" s="347" t="str">
        <f>IFERROR(IF($C90&lt;1,"",AQ$3*일별반별!AT90),0)</f>
        <v/>
      </c>
      <c r="AR90" s="316" t="str">
        <f>IFERROR(IF($C90&lt;1,"",AR$3*일별반별!AU90),0)</f>
        <v/>
      </c>
      <c r="AS90" s="401" t="str">
        <f>IFERROR(IF($C90&lt;1,"",AS$3*일별반별!AV90),0)</f>
        <v/>
      </c>
      <c r="AT90" s="401" t="str">
        <f>IFERROR(IF($C90&lt;1,"",AT$3*일별반별!AW90),0)</f>
        <v/>
      </c>
      <c r="AU90" s="401" t="str">
        <f>IFERROR(IF($C90&lt;1,"",AU$3*일별반별!AX90),0)</f>
        <v/>
      </c>
      <c r="AV90" s="401" t="str">
        <f>IFERROR(IF($C90&lt;1,"",AV$3*일별반별!AY90),0)</f>
        <v/>
      </c>
      <c r="AW90" s="401" t="str">
        <f>IFERROR(IF($C90&lt;1,"",AW$3*일별반별!AZ90),0)</f>
        <v/>
      </c>
      <c r="AX90" s="401" t="str">
        <f>IFERROR(IF($C90&lt;1,"",AX$3*일별반별!BA90),0)</f>
        <v/>
      </c>
      <c r="AY90" s="401" t="str">
        <f>IFERROR(IF($C90&lt;1,"",AY$3*일별반별!BB90),0)</f>
        <v/>
      </c>
      <c r="AZ90" s="401" t="str">
        <f>IFERROR(IF($C90&lt;1,"",AZ$3*일별반별!BC90),0)</f>
        <v/>
      </c>
      <c r="BA90" s="401" t="str">
        <f>IFERROR(IF($C90&lt;1,"",BA$3*일별반별!BD90),0)</f>
        <v/>
      </c>
      <c r="BB90" s="402" t="str">
        <f>IFERROR(IF($C90&lt;1,"",BB$3*일별반별!BE90),0)</f>
        <v/>
      </c>
      <c r="BC90" s="402" t="str">
        <f>IFERROR(IF($C90&lt;1,"",BC$3*일별반별!BF90),0)</f>
        <v/>
      </c>
      <c r="BD90" s="402" t="str">
        <f>IFERROR(IF($C90&lt;1,"",BD$3*일별반별!BG90),0)</f>
        <v/>
      </c>
      <c r="BE90" s="402" t="str">
        <f>IFERROR(IF($C90&lt;1,"",BE$3*일별반별!BH90),0)</f>
        <v/>
      </c>
      <c r="BF90" s="402" t="str">
        <f>IFERROR(IF($C90&lt;1,"",BF$3*일별반별!BI90),0)</f>
        <v/>
      </c>
      <c r="BG90" s="402" t="str">
        <f>IFERROR(IF($C90&lt;1,"",BG$3*일별반별!BJ90),0)</f>
        <v/>
      </c>
      <c r="BH90" s="402" t="str">
        <f>IFERROR(IF($C90&lt;1,"",BH$3*일별반별!BK90),0)</f>
        <v/>
      </c>
      <c r="BI90" s="402" t="str">
        <f>IFERROR(IF($C90&lt;1,"",BI$3*일별반별!BL90),0)</f>
        <v/>
      </c>
      <c r="BJ90" s="402" t="str">
        <f>IFERROR(IF($C90&lt;1,"",BJ$3*일별반별!BM90),0)</f>
        <v/>
      </c>
      <c r="BK90" s="402" t="str">
        <f>IFERROR(IF($C90&lt;1,"",BK$3*일별반별!BN90),0)</f>
        <v/>
      </c>
      <c r="BL90" s="402" t="str">
        <f>IFERROR(IF($C90&lt;1,"",BL$3*일별반별!BH90),0)</f>
        <v/>
      </c>
      <c r="BM90" s="402" t="str">
        <f>IFERROR(IF($C90&lt;1,"",BM$3*일별반별!BP90),0)</f>
        <v/>
      </c>
      <c r="BN90" s="401" t="str">
        <f>IFERROR(IF($C90&lt;1,"",BN$3*일별반별!BQ90),0)</f>
        <v/>
      </c>
      <c r="BO90" s="401" t="str">
        <f>IFERROR(IF($C90&lt;1,"",BO$3*일별반별!BR90),0)</f>
        <v/>
      </c>
      <c r="BP90" s="401" t="str">
        <f>IFERROR(IF($C90&lt;1,"",BP$3*일별반별!BS90),0)</f>
        <v/>
      </c>
      <c r="BQ90" s="401" t="str">
        <f>IFERROR(IF($C90&lt;1,"",BQ$3*일별반별!BT90),0)</f>
        <v/>
      </c>
      <c r="BR90" s="417" t="str">
        <f>IFERROR(IF($C90&lt;1,"",BR$3*일별반별!BU90),0)</f>
        <v/>
      </c>
      <c r="BS90" s="417" t="str">
        <f>IFERROR(IF($C90&lt;1,"",BS$3*일별반별!BV90),0)</f>
        <v/>
      </c>
      <c r="BT90" s="417" t="str">
        <f>IFERROR(IF($C90&lt;1,"",BT$3*일별반별!BW90),0)</f>
        <v/>
      </c>
      <c r="BU90" s="316" t="str">
        <f>IFERROR(IF($C90&lt;1,"",BU$3*일별반별!BX90),0)</f>
        <v/>
      </c>
      <c r="BV90" s="316" t="str">
        <f>IFERROR(IF($C90&lt;1,"",BV$3*일별반별!BY90),0)</f>
        <v/>
      </c>
      <c r="BW90" s="316" t="str">
        <f>IFERROR(IF($C90&lt;1,"",BW$3*일별반별!BZ90),0)</f>
        <v/>
      </c>
      <c r="BX90" s="316" t="str">
        <f>IFERROR(IF($C90&lt;1,"",BX$3*일별반별!CA90),0)</f>
        <v/>
      </c>
      <c r="BY90" s="316" t="str">
        <f>IFERROR(IF($C90&lt;1,"",BY$3*일별반별!CB90),0)</f>
        <v/>
      </c>
      <c r="BZ90" s="316" t="str">
        <f>IFERROR(IF($C90&lt;1,"",BZ$3*일별반별!CC90),0)</f>
        <v/>
      </c>
      <c r="CA90" s="316" t="str">
        <f>IFERROR(IF($C90&lt;1,"",CA$3*일별반별!CD90),0)</f>
        <v/>
      </c>
      <c r="CB90" s="316" t="str">
        <f>IFERROR(IF($C90&lt;1,"",CB$3*일별반별!CE90),0)</f>
        <v/>
      </c>
      <c r="CC90" s="316" t="str">
        <f>IFERROR(IF($C90&lt;1,"",CC$3*일별반별!CF90),0)</f>
        <v/>
      </c>
      <c r="CD90" s="316" t="str">
        <f>IFERROR(IF($C90&lt;1,"",CD$3*일별반별!CG90),0)</f>
        <v/>
      </c>
      <c r="CE90" s="316" t="str">
        <f>IFERROR(IF($C90&lt;1,"",CE$3*일별반별!CH90),0)</f>
        <v/>
      </c>
      <c r="CF90" s="316" t="str">
        <f>IFERROR(IF($C90&lt;1,"",CF$3*일별반별!CI90),0)</f>
        <v/>
      </c>
      <c r="CG90" s="316" t="str">
        <f>IFERROR(IF($C90&lt;1,"",CG$3*일별반별!CJ90),0)</f>
        <v/>
      </c>
      <c r="CH90" s="316" t="str">
        <f>IFERROR(IF($C90&lt;1,"",CH$3*일별반별!CK90),0)</f>
        <v/>
      </c>
      <c r="CI90" s="316" t="str">
        <f>IFERROR(IF($C90&lt;1,"",CI$3*일별반별!CL90),0)</f>
        <v/>
      </c>
      <c r="CJ90" s="316" t="str">
        <f>IFERROR(IF($C90&lt;1,"",CJ$3*일별반별!CM90),0)</f>
        <v/>
      </c>
      <c r="CK90" s="316" t="str">
        <f>IFERROR(IF($C90&lt;1,"",CK$3*일별반별!CN90),0)</f>
        <v/>
      </c>
      <c r="CL90" s="316" t="str">
        <f>IFERROR(IF($C90&lt;1,"",CL$3*일별반별!CO90),0)</f>
        <v/>
      </c>
      <c r="CM90" s="316" t="str">
        <f>IFERROR(IF($C90&lt;1,"",CM$3*일별반별!CP90),0)</f>
        <v/>
      </c>
      <c r="CN90" s="316" t="str">
        <f>IFERROR(IF($C90&lt;1,"",CN$3*일별반별!CQ90),0)</f>
        <v/>
      </c>
      <c r="CO90" s="316" t="str">
        <f>IFERROR(IF($C90&lt;1,"",CO$3*일별반별!CR90),0)</f>
        <v/>
      </c>
      <c r="CP90" s="316" t="str">
        <f>IFERROR(IF($C90&lt;1,"",CP$3*일별반별!CS90),0)</f>
        <v/>
      </c>
      <c r="CQ90" s="316" t="str">
        <f>IFERROR(IF($C90&lt;1,"",CQ$3*일별반별!CT90),0)</f>
        <v/>
      </c>
      <c r="CR90" s="418" t="str">
        <f>IFERROR(IF($C90&lt;1,"",CR$3*일별반별!CU90),0)</f>
        <v/>
      </c>
      <c r="CS90" s="418" t="str">
        <f>IFERROR(IF($C90&lt;1,"",CS$3*일별반별!CV90),0)</f>
        <v/>
      </c>
      <c r="CT90" s="316" t="str">
        <f>IFERROR(IF($C90&lt;1,"",CT$3*일별반별!CW90),0)</f>
        <v/>
      </c>
      <c r="CU90" s="316" t="str">
        <f>IFERROR(IF($C90&lt;1,"",CU$3*일별반별!CX90),0)</f>
        <v/>
      </c>
      <c r="CV90" s="316" t="str">
        <f>IFERROR(IF($C90&lt;1,"",CV$3*일별반별!CY90),0)</f>
        <v/>
      </c>
      <c r="CW90" s="316" t="str">
        <f>IFERROR(IF($C90&lt;1,"",CW$3*일별반별!CZ90),0)</f>
        <v/>
      </c>
      <c r="CX90" s="316" t="str">
        <f>IFERROR(IF($C90&lt;1,"",CX$3*일별반별!DA90),0)</f>
        <v/>
      </c>
      <c r="CY90" s="316" t="str">
        <f>IF(C90&lt;1,"",(CY$3*'09월 조업일지'!AV$7))</f>
        <v/>
      </c>
      <c r="CZ90" s="316" t="str">
        <f t="shared" si="4"/>
        <v/>
      </c>
      <c r="DA90" s="316" t="str">
        <f t="shared" si="4"/>
        <v/>
      </c>
      <c r="DB90" s="316" t="str">
        <f t="shared" si="4"/>
        <v/>
      </c>
      <c r="DC90" s="316"/>
      <c r="DD90" s="419"/>
    </row>
    <row r="91" spans="1:108" ht="15" customHeight="1">
      <c r="A91" s="327">
        <f>A86+1</f>
        <v>44030</v>
      </c>
      <c r="B91" s="328" t="s">
        <v>31</v>
      </c>
      <c r="C91" s="329">
        <f>COUNTIF('09월 조업일지'!$A$12:$A$952,A91)</f>
        <v>0</v>
      </c>
      <c r="D91" s="330">
        <f>IF(C91&lt;1,0,(SUM(E91:CX91)/(일별반별!BV91-1.5)+(CY91+CZ91+DA91+DB91)))</f>
        <v>0</v>
      </c>
      <c r="E91" s="331"/>
      <c r="F91" s="331"/>
      <c r="G91" s="332"/>
      <c r="H91" s="333"/>
      <c r="I91" s="333"/>
      <c r="J91" s="334"/>
      <c r="K91" s="334"/>
      <c r="L91" s="334"/>
      <c r="M91" s="334"/>
      <c r="N91" s="334"/>
      <c r="O91" s="334"/>
      <c r="P91" s="334"/>
      <c r="Q91" s="335"/>
      <c r="R91" s="334"/>
      <c r="S91" s="335"/>
      <c r="T91" s="334"/>
      <c r="U91" s="337" t="str">
        <f>IFERROR(IF($C91&lt;1,"",U$3*일별반별!X91),0)</f>
        <v/>
      </c>
      <c r="V91" s="337" t="str">
        <f>IFERROR(IF($C91&lt;1,"",V$3*일별반별!Y91),0)</f>
        <v/>
      </c>
      <c r="W91" s="337" t="str">
        <f>IFERROR(IF($C91&lt;1,"",W$3*일별반별!Z91),0)</f>
        <v/>
      </c>
      <c r="X91" s="336" t="str">
        <f>IFERROR(IF($C91&lt;1,"",X$3*일별반별!AA91),0)</f>
        <v/>
      </c>
      <c r="Y91" s="336" t="str">
        <f>IFERROR(IF($C91&lt;1,"",Y$3*일별반별!AB91),0)</f>
        <v/>
      </c>
      <c r="Z91" s="336" t="str">
        <f>IFERROR(IF($C91&lt;1,"",Z$3*일별반별!AC91),0)</f>
        <v/>
      </c>
      <c r="AA91" s="337" t="str">
        <f>IFERROR(IF($C91&lt;1,"",AA$3*일별반별!AD91),0)</f>
        <v/>
      </c>
      <c r="AB91" s="337" t="str">
        <f>IFERROR(IF($C91&lt;1,"",AB$3*일별반별!AE91),0)</f>
        <v/>
      </c>
      <c r="AC91" s="336" t="str">
        <f>IFERROR(IF($C91&lt;1,"",AC$3*일별반별!AF91),0)</f>
        <v/>
      </c>
      <c r="AD91" s="336" t="str">
        <f>IFERROR(IF($C91&lt;1,"",AD$3*일별반별!AG91),0)</f>
        <v/>
      </c>
      <c r="AE91" s="336" t="str">
        <f>IFERROR(IF($C91&lt;1,"",AE$3*일별반별!AH91),0)</f>
        <v/>
      </c>
      <c r="AF91" s="337" t="str">
        <f>IFERROR(IF($C91&lt;1,"",AF$3*일별반별!AI91),0)</f>
        <v/>
      </c>
      <c r="AG91" s="337" t="str">
        <f>IFERROR(IF($C91&lt;1,"",AG$3*일별반별!AJ91),0)</f>
        <v/>
      </c>
      <c r="AH91" s="337" t="str">
        <f>IFERROR(IF($C91&lt;1,"",AH$3*일별반별!AK91),0)</f>
        <v/>
      </c>
      <c r="AI91" s="337" t="str">
        <f>IFERROR(IF($C91&lt;1,"",AI$3*일별반별!AL91),0)</f>
        <v/>
      </c>
      <c r="AJ91" s="337" t="str">
        <f>IFERROR(IF($C91&lt;1,"",AJ$3*일별반별!AM91),0)</f>
        <v/>
      </c>
      <c r="AK91" s="337" t="str">
        <f>IFERROR(IF($C91&lt;1,"",AK$3*일별반별!AN91),0)</f>
        <v/>
      </c>
      <c r="AL91" s="337" t="str">
        <f>IFERROR(IF($C91&lt;1,"",AL$3*일별반별!AO91),0)</f>
        <v/>
      </c>
      <c r="AM91" s="337" t="str">
        <f>IFERROR(IF($C91&lt;1,"",AM$3*일별반별!AP91),0)</f>
        <v/>
      </c>
      <c r="AN91" s="337" t="str">
        <f>IFERROR(IF($C91&lt;1,"",AN$3*일별반별!AQ91),0)</f>
        <v/>
      </c>
      <c r="AO91" s="337" t="str">
        <f>IFERROR(IF($C91&lt;1,"",AO$3*일별반별!AR91),0)</f>
        <v/>
      </c>
      <c r="AP91" s="337" t="str">
        <f>IFERROR(IF($C91&lt;1,"",AP$3*일별반별!AS91),0)</f>
        <v/>
      </c>
      <c r="AQ91" s="337" t="str">
        <f>IFERROR(IF($C91&lt;1,"",AQ$3*일별반별!AT91),0)</f>
        <v/>
      </c>
      <c r="AR91" s="337" t="str">
        <f>IFERROR(IF($C91&lt;1,"",AR$3*일별반별!AU91),0)</f>
        <v/>
      </c>
      <c r="AS91" s="403" t="str">
        <f>IFERROR(IF($C91&lt;1,"",AS$3*일별반별!AV91),0)</f>
        <v/>
      </c>
      <c r="AT91" s="403" t="str">
        <f>IFERROR(IF($C91&lt;1,"",AT$3*일별반별!AW91),0)</f>
        <v/>
      </c>
      <c r="AU91" s="403" t="str">
        <f>IFERROR(IF($C91&lt;1,"",AU$3*일별반별!AX91),0)</f>
        <v/>
      </c>
      <c r="AV91" s="403" t="str">
        <f>IFERROR(IF($C91&lt;1,"",AV$3*일별반별!AY91),0)</f>
        <v/>
      </c>
      <c r="AW91" s="403" t="str">
        <f>IFERROR(IF($C91&lt;1,"",AW$3*일별반별!AZ91),0)</f>
        <v/>
      </c>
      <c r="AX91" s="403" t="str">
        <f>IFERROR(IF($C91&lt;1,"",AX$3*일별반별!BA91),0)</f>
        <v/>
      </c>
      <c r="AY91" s="403" t="str">
        <f>IFERROR(IF($C91&lt;1,"",AY$3*일별반별!BB91),0)</f>
        <v/>
      </c>
      <c r="AZ91" s="403" t="str">
        <f>IFERROR(IF($C91&lt;1,"",AZ$3*일별반별!BC91),0)</f>
        <v/>
      </c>
      <c r="BA91" s="403" t="str">
        <f>IFERROR(IF($C91&lt;1,"",BA$3*일별반별!BD91),0)</f>
        <v/>
      </c>
      <c r="BB91" s="403" t="str">
        <f>IFERROR(IF($C91&lt;1,"",BB$3*일별반별!BE91),0)</f>
        <v/>
      </c>
      <c r="BC91" s="403" t="str">
        <f>IFERROR(IF($C91&lt;1,"",BC$3*일별반별!BF91),0)</f>
        <v/>
      </c>
      <c r="BD91" s="403" t="str">
        <f>IFERROR(IF($C91&lt;1,"",BD$3*일별반별!BG91),0)</f>
        <v/>
      </c>
      <c r="BE91" s="403" t="str">
        <f>IFERROR(IF($C91&lt;1,"",BE$3*일별반별!BH91),0)</f>
        <v/>
      </c>
      <c r="BF91" s="403" t="str">
        <f>IFERROR(IF($C91&lt;1,"",BF$3*일별반별!BI91),0)</f>
        <v/>
      </c>
      <c r="BG91" s="403" t="str">
        <f>IFERROR(IF($C91&lt;1,"",BG$3*일별반별!BJ91),0)</f>
        <v/>
      </c>
      <c r="BH91" s="403" t="str">
        <f>IFERROR(IF($C91&lt;1,"",BH$3*일별반별!BK91),0)</f>
        <v/>
      </c>
      <c r="BI91" s="403" t="str">
        <f>IFERROR(IF($C91&lt;1,"",BI$3*일별반별!BL91),0)</f>
        <v/>
      </c>
      <c r="BJ91" s="403" t="str">
        <f>IFERROR(IF($C91&lt;1,"",BJ$3*일별반별!BM91),0)</f>
        <v/>
      </c>
      <c r="BK91" s="403" t="str">
        <f>IFERROR(IF($C91&lt;1,"",BK$3*일별반별!BN91),0)</f>
        <v/>
      </c>
      <c r="BL91" s="403" t="str">
        <f>IFERROR(IF($C91&lt;1,"",BL$3*일별반별!BH91),0)</f>
        <v/>
      </c>
      <c r="BM91" s="403" t="str">
        <f>IFERROR(IF($C91&lt;1,"",BM$3*일별반별!BP91),0)</f>
        <v/>
      </c>
      <c r="BN91" s="403" t="str">
        <f>IFERROR(IF($C91&lt;1,"",BN$3*일별반별!BQ91),0)</f>
        <v/>
      </c>
      <c r="BO91" s="403" t="str">
        <f>IFERROR(IF($C91&lt;1,"",BO$3*일별반별!BR91),0)</f>
        <v/>
      </c>
      <c r="BP91" s="403" t="str">
        <f>IFERROR(IF($C91&lt;1,"",BP$3*일별반별!BS91),0)</f>
        <v/>
      </c>
      <c r="BQ91" s="403" t="str">
        <f>IFERROR(IF($C91&lt;1,"",BQ$3*일별반별!BT91),0)</f>
        <v/>
      </c>
      <c r="BR91" s="337" t="str">
        <f>IFERROR(IF($C91&lt;1,"",BR$3*일별반별!BU91),0)</f>
        <v/>
      </c>
      <c r="BS91" s="337" t="str">
        <f>IFERROR(IF($C91&lt;1,"",BS$3*일별반별!BV91),0)</f>
        <v/>
      </c>
      <c r="BT91" s="337" t="str">
        <f>IFERROR(IF($C91&lt;1,"",BT$3*일별반별!BW91),0)</f>
        <v/>
      </c>
      <c r="BU91" s="337" t="str">
        <f>IFERROR(IF($C91&lt;1,"",BU$3*일별반별!BX91),0)</f>
        <v/>
      </c>
      <c r="BV91" s="337" t="str">
        <f>IFERROR(IF($C91&lt;1,"",BV$3*일별반별!BY91),0)</f>
        <v/>
      </c>
      <c r="BW91" s="337" t="str">
        <f>IFERROR(IF($C91&lt;1,"",BW$3*일별반별!BZ91),0)</f>
        <v/>
      </c>
      <c r="BX91" s="337" t="str">
        <f>IFERROR(IF($C91&lt;1,"",BX$3*일별반별!CA91),0)</f>
        <v/>
      </c>
      <c r="BY91" s="337" t="str">
        <f>IFERROR(IF($C91&lt;1,"",BY$3*일별반별!CB91),0)</f>
        <v/>
      </c>
      <c r="BZ91" s="337" t="str">
        <f>IFERROR(IF($C91&lt;1,"",BZ$3*일별반별!CC91),0)</f>
        <v/>
      </c>
      <c r="CA91" s="337" t="str">
        <f>IFERROR(IF($C91&lt;1,"",CA$3*일별반별!CD91),0)</f>
        <v/>
      </c>
      <c r="CB91" s="337" t="str">
        <f>IFERROR(IF($C91&lt;1,"",CB$3*일별반별!CE91),0)</f>
        <v/>
      </c>
      <c r="CC91" s="337" t="str">
        <f>IFERROR(IF($C91&lt;1,"",CC$3*일별반별!CF91),0)</f>
        <v/>
      </c>
      <c r="CD91" s="337" t="str">
        <f>IFERROR(IF($C91&lt;1,"",CD$3*일별반별!CG91),0)</f>
        <v/>
      </c>
      <c r="CE91" s="337" t="str">
        <f>IFERROR(IF($C91&lt;1,"",CE$3*일별반별!CH91),0)</f>
        <v/>
      </c>
      <c r="CF91" s="337" t="str">
        <f>IFERROR(IF($C91&lt;1,"",CF$3*일별반별!CI91),0)</f>
        <v/>
      </c>
      <c r="CG91" s="337" t="str">
        <f>IFERROR(IF($C91&lt;1,"",CG$3*일별반별!CJ91),0)</f>
        <v/>
      </c>
      <c r="CH91" s="337" t="str">
        <f>IFERROR(IF($C91&lt;1,"",CH$3*일별반별!CK91),0)</f>
        <v/>
      </c>
      <c r="CI91" s="337" t="str">
        <f>IFERROR(IF($C91&lt;1,"",CI$3*일별반별!CL91),0)</f>
        <v/>
      </c>
      <c r="CJ91" s="337" t="str">
        <f>IFERROR(IF($C91&lt;1,"",CJ$3*일별반별!CM91),0)</f>
        <v/>
      </c>
      <c r="CK91" s="337" t="str">
        <f>IFERROR(IF($C91&lt;1,"",CK$3*일별반별!CN91),0)</f>
        <v/>
      </c>
      <c r="CL91" s="337" t="str">
        <f>IFERROR(IF($C91&lt;1,"",CL$3*일별반별!CO91),0)</f>
        <v/>
      </c>
      <c r="CM91" s="337" t="str">
        <f>IFERROR(IF($C91&lt;1,"",CM$3*일별반별!CP91),0)</f>
        <v/>
      </c>
      <c r="CN91" s="337" t="str">
        <f>IFERROR(IF($C91&lt;1,"",CN$3*일별반별!CQ91),0)</f>
        <v/>
      </c>
      <c r="CO91" s="337" t="str">
        <f>IFERROR(IF($C91&lt;1,"",CO$3*일별반별!CR91),0)</f>
        <v/>
      </c>
      <c r="CP91" s="337" t="str">
        <f>IFERROR(IF($C91&lt;1,"",CP$3*일별반별!CS91),0)</f>
        <v/>
      </c>
      <c r="CQ91" s="337" t="str">
        <f>IFERROR(IF($C91&lt;1,"",CQ$3*일별반별!CT91),0)</f>
        <v/>
      </c>
      <c r="CR91" s="420" t="str">
        <f>IFERROR(IF($C91&lt;1,"",CR$3*일별반별!CU91),0)</f>
        <v/>
      </c>
      <c r="CS91" s="420" t="str">
        <f>IFERROR(IF($C91&lt;1,"",CS$3*일별반별!CV91),0)</f>
        <v/>
      </c>
      <c r="CT91" s="337" t="str">
        <f>IFERROR(IF($C91&lt;1,"",CT$3*일별반별!CW91),0)</f>
        <v/>
      </c>
      <c r="CU91" s="337" t="str">
        <f>IFERROR(IF($C91&lt;1,"",CU$3*일별반별!CX91),0)</f>
        <v/>
      </c>
      <c r="CV91" s="337" t="str">
        <f>IFERROR(IF($C91&lt;1,"",CV$3*일별반별!CY91),0)</f>
        <v/>
      </c>
      <c r="CW91" s="337" t="str">
        <f>IFERROR(IF($C91&lt;1,"",CW$3*일별반별!CZ91),0)</f>
        <v/>
      </c>
      <c r="CX91" s="337" t="str">
        <f>IFERROR(IF($C91&lt;1,"",CX$3*일별반별!DA91),0)</f>
        <v/>
      </c>
      <c r="CY91" s="316" t="str">
        <f>IF(C91&lt;1,"",(CY$3*'09월 조업일지'!AV$7))</f>
        <v/>
      </c>
      <c r="CZ91" s="316" t="str">
        <f t="shared" si="4"/>
        <v/>
      </c>
      <c r="DA91" s="316" t="str">
        <f t="shared" si="4"/>
        <v/>
      </c>
      <c r="DB91" s="316" t="str">
        <f t="shared" si="4"/>
        <v/>
      </c>
      <c r="DC91" s="316"/>
      <c r="DD91" s="419"/>
    </row>
    <row r="92" spans="1:108" ht="15" customHeight="1">
      <c r="A92" s="274">
        <f t="shared" ref="A92:A150" si="6">A87+1</f>
        <v>44030</v>
      </c>
      <c r="B92" s="275" t="s">
        <v>9</v>
      </c>
      <c r="C92" s="201">
        <f>COUNTIFS('09월 조업일지'!$A$12:$A$952,A91,'09월 조업일지'!$E$12:$E$952,B92)</f>
        <v>0</v>
      </c>
      <c r="D92" s="314">
        <f>IF(C92&lt;1,0,(SUM(E92:CX92)/(일별반별!BV92-1.5)+(CY92+CZ92+DA92+DB92)))</f>
        <v>0</v>
      </c>
      <c r="E92" s="278"/>
      <c r="F92" s="281"/>
      <c r="G92" s="282"/>
      <c r="H92" s="283"/>
      <c r="I92" s="283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326"/>
      <c r="U92" s="395" t="str">
        <f>IFERROR(IF($C92&lt;1,"",U$3*일별반별!X92),0)</f>
        <v/>
      </c>
      <c r="V92" s="395" t="str">
        <f>IFERROR(IF($C92&lt;1,"",V$3*일별반별!Y92),0)</f>
        <v/>
      </c>
      <c r="W92" s="395" t="str">
        <f>IFERROR(IF($C92&lt;1,"",W$3*일별반별!Z92),0)</f>
        <v/>
      </c>
      <c r="X92" s="208" t="str">
        <f>IFERROR(IF($C92&lt;1,"",X$3*일별반별!AA92),0)</f>
        <v/>
      </c>
      <c r="Y92" s="208" t="str">
        <f>IFERROR(IF($C92&lt;1,"",Y$3*일별반별!AB92),0)</f>
        <v/>
      </c>
      <c r="Z92" s="208" t="str">
        <f>IFERROR(IF($C92&lt;1,"",Z$3*일별반별!AC92),0)</f>
        <v/>
      </c>
      <c r="AA92" s="395" t="str">
        <f>IFERROR(IF($C92&lt;1,"",AA$3*일별반별!AD92),0)</f>
        <v/>
      </c>
      <c r="AB92" s="395" t="str">
        <f>IFERROR(IF($C92&lt;1,"",AB$3*일별반별!AE92),0)</f>
        <v/>
      </c>
      <c r="AC92" s="208" t="str">
        <f>IFERROR(IF($C92&lt;1,"",AC$3*일별반별!AF92),0)</f>
        <v/>
      </c>
      <c r="AD92" s="208" t="str">
        <f>IFERROR(IF($C92&lt;1,"",AD$3*일별반별!AG92),0)</f>
        <v/>
      </c>
      <c r="AE92" s="208" t="str">
        <f>IFERROR(IF($C92&lt;1,"",AE$3*일별반별!AH92),0)</f>
        <v/>
      </c>
      <c r="AF92" s="395" t="str">
        <f>IFERROR(IF($C92&lt;1,"",AF$3*일별반별!AI92),0)</f>
        <v/>
      </c>
      <c r="AG92" s="395" t="str">
        <f>IFERROR(IF($C92&lt;1,"",AG$3*일별반별!AJ92),0)</f>
        <v/>
      </c>
      <c r="AH92" s="395" t="str">
        <f>IFERROR(IF($C92&lt;1,"",AH$3*일별반별!AK92),0)</f>
        <v/>
      </c>
      <c r="AI92" s="395" t="str">
        <f>IFERROR(IF($C92&lt;1,"",AI$3*일별반별!AL92),0)</f>
        <v/>
      </c>
      <c r="AJ92" s="395" t="str">
        <f>IFERROR(IF($C92&lt;1,"",AJ$3*일별반별!AM92),0)</f>
        <v/>
      </c>
      <c r="AK92" s="395" t="str">
        <f>IFERROR(IF($C92&lt;1,"",AK$3*일별반별!AN92),0)</f>
        <v/>
      </c>
      <c r="AL92" s="395" t="str">
        <f>IFERROR(IF($C92&lt;1,"",AL$3*일별반별!AO92),0)</f>
        <v/>
      </c>
      <c r="AM92" s="395" t="str">
        <f>IFERROR(IF($C92&lt;1,"",AM$3*일별반별!AP92),0)</f>
        <v/>
      </c>
      <c r="AN92" s="395" t="str">
        <f>IFERROR(IF($C92&lt;1,"",AN$3*일별반별!AQ92),0)</f>
        <v/>
      </c>
      <c r="AO92" s="395" t="str">
        <f>IFERROR(IF($C92&lt;1,"",AO$3*일별반별!AR92),0)</f>
        <v/>
      </c>
      <c r="AP92" s="347" t="str">
        <f>IFERROR(IF($C92&lt;1,"",AP$3*일별반별!AS92),0)</f>
        <v/>
      </c>
      <c r="AQ92" s="347" t="str">
        <f>IFERROR(IF($C92&lt;1,"",AQ$3*일별반별!AT92),0)</f>
        <v/>
      </c>
      <c r="AR92" s="316" t="str">
        <f>IFERROR(IF($C92&lt;1,"",AR$3*일별반별!AU92),0)</f>
        <v/>
      </c>
      <c r="AS92" s="401" t="str">
        <f>IFERROR(IF($C92&lt;1,"",AS$3*일별반별!AV92),0)</f>
        <v/>
      </c>
      <c r="AT92" s="401" t="str">
        <f>IFERROR(IF($C92&lt;1,"",AT$3*일별반별!AW92),0)</f>
        <v/>
      </c>
      <c r="AU92" s="401" t="str">
        <f>IFERROR(IF($C92&lt;1,"",AU$3*일별반별!AX92),0)</f>
        <v/>
      </c>
      <c r="AV92" s="401" t="str">
        <f>IFERROR(IF($C92&lt;1,"",AV$3*일별반별!AY92),0)</f>
        <v/>
      </c>
      <c r="AW92" s="401" t="str">
        <f>IFERROR(IF($C92&lt;1,"",AW$3*일별반별!AZ92),0)</f>
        <v/>
      </c>
      <c r="AX92" s="401" t="str">
        <f>IFERROR(IF($C92&lt;1,"",AX$3*일별반별!BA92),0)</f>
        <v/>
      </c>
      <c r="AY92" s="401" t="str">
        <f>IFERROR(IF($C92&lt;1,"",AY$3*일별반별!BB92),0)</f>
        <v/>
      </c>
      <c r="AZ92" s="401" t="str">
        <f>IFERROR(IF($C92&lt;1,"",AZ$3*일별반별!BC92),0)</f>
        <v/>
      </c>
      <c r="BA92" s="401" t="str">
        <f>IFERROR(IF($C92&lt;1,"",BA$3*일별반별!BD92),0)</f>
        <v/>
      </c>
      <c r="BB92" s="402" t="str">
        <f>IFERROR(IF($C92&lt;1,"",BB$3*일별반별!BE92),0)</f>
        <v/>
      </c>
      <c r="BC92" s="402" t="str">
        <f>IFERROR(IF($C92&lt;1,"",BC$3*일별반별!BF92),0)</f>
        <v/>
      </c>
      <c r="BD92" s="402" t="str">
        <f>IFERROR(IF($C92&lt;1,"",BD$3*일별반별!BG92),0)</f>
        <v/>
      </c>
      <c r="BE92" s="402" t="str">
        <f>IFERROR(IF($C92&lt;1,"",BE$3*일별반별!BH92),0)</f>
        <v/>
      </c>
      <c r="BF92" s="402" t="str">
        <f>IFERROR(IF($C92&lt;1,"",BF$3*일별반별!BI92),0)</f>
        <v/>
      </c>
      <c r="BG92" s="402" t="str">
        <f>IFERROR(IF($C92&lt;1,"",BG$3*일별반별!BJ92),0)</f>
        <v/>
      </c>
      <c r="BH92" s="402" t="str">
        <f>IFERROR(IF($C92&lt;1,"",BH$3*일별반별!BK92),0)</f>
        <v/>
      </c>
      <c r="BI92" s="402" t="str">
        <f>IFERROR(IF($C92&lt;1,"",BI$3*일별반별!BL92),0)</f>
        <v/>
      </c>
      <c r="BJ92" s="402" t="str">
        <f>IFERROR(IF($C92&lt;1,"",BJ$3*일별반별!BM92),0)</f>
        <v/>
      </c>
      <c r="BK92" s="402" t="str">
        <f>IFERROR(IF($C92&lt;1,"",BK$3*일별반별!BN92),0)</f>
        <v/>
      </c>
      <c r="BL92" s="402" t="str">
        <f>IFERROR(IF($C92&lt;1,"",BL$3*일별반별!BH92),0)</f>
        <v/>
      </c>
      <c r="BM92" s="402" t="str">
        <f>IFERROR(IF($C92&lt;1,"",BM$3*일별반별!BP92),0)</f>
        <v/>
      </c>
      <c r="BN92" s="401" t="str">
        <f>IFERROR(IF($C92&lt;1,"",BN$3*일별반별!BQ92),0)</f>
        <v/>
      </c>
      <c r="BO92" s="401" t="str">
        <f>IFERROR(IF($C92&lt;1,"",BO$3*일별반별!BR92),0)</f>
        <v/>
      </c>
      <c r="BP92" s="401" t="str">
        <f>IFERROR(IF($C92&lt;1,"",BP$3*일별반별!BS92),0)</f>
        <v/>
      </c>
      <c r="BQ92" s="401" t="str">
        <f>IFERROR(IF($C92&lt;1,"",BQ$3*일별반별!BT92),0)</f>
        <v/>
      </c>
      <c r="BR92" s="417" t="str">
        <f>IFERROR(IF($C92&lt;1,"",BR$3*일별반별!BU92),0)</f>
        <v/>
      </c>
      <c r="BS92" s="417" t="str">
        <f>IFERROR(IF($C92&lt;1,"",BS$3*일별반별!BV92),0)</f>
        <v/>
      </c>
      <c r="BT92" s="417" t="str">
        <f>IFERROR(IF($C92&lt;1,"",BT$3*일별반별!BW92),0)</f>
        <v/>
      </c>
      <c r="BU92" s="316" t="str">
        <f>IFERROR(IF($C92&lt;1,"",BU$3*일별반별!BX92),0)</f>
        <v/>
      </c>
      <c r="BV92" s="316" t="str">
        <f>IFERROR(IF($C92&lt;1,"",BV$3*일별반별!BY92),0)</f>
        <v/>
      </c>
      <c r="BW92" s="316" t="str">
        <f>IFERROR(IF($C92&lt;1,"",BW$3*일별반별!BZ92),0)</f>
        <v/>
      </c>
      <c r="BX92" s="316" t="str">
        <f>IFERROR(IF($C92&lt;1,"",BX$3*일별반별!CA92),0)</f>
        <v/>
      </c>
      <c r="BY92" s="316" t="str">
        <f>IFERROR(IF($C92&lt;1,"",BY$3*일별반별!CB92),0)</f>
        <v/>
      </c>
      <c r="BZ92" s="316" t="str">
        <f>IFERROR(IF($C92&lt;1,"",BZ$3*일별반별!CC92),0)</f>
        <v/>
      </c>
      <c r="CA92" s="316" t="str">
        <f>IFERROR(IF($C92&lt;1,"",CA$3*일별반별!CD92),0)</f>
        <v/>
      </c>
      <c r="CB92" s="316" t="str">
        <f>IFERROR(IF($C92&lt;1,"",CB$3*일별반별!CE92),0)</f>
        <v/>
      </c>
      <c r="CC92" s="316" t="str">
        <f>IFERROR(IF($C92&lt;1,"",CC$3*일별반별!CF92),0)</f>
        <v/>
      </c>
      <c r="CD92" s="316" t="str">
        <f>IFERROR(IF($C92&lt;1,"",CD$3*일별반별!CG92),0)</f>
        <v/>
      </c>
      <c r="CE92" s="316" t="str">
        <f>IFERROR(IF($C92&lt;1,"",CE$3*일별반별!CH92),0)</f>
        <v/>
      </c>
      <c r="CF92" s="316" t="str">
        <f>IFERROR(IF($C92&lt;1,"",CF$3*일별반별!CI92),0)</f>
        <v/>
      </c>
      <c r="CG92" s="316" t="str">
        <f>IFERROR(IF($C92&lt;1,"",CG$3*일별반별!CJ92),0)</f>
        <v/>
      </c>
      <c r="CH92" s="316" t="str">
        <f>IFERROR(IF($C92&lt;1,"",CH$3*일별반별!CK92),0)</f>
        <v/>
      </c>
      <c r="CI92" s="316" t="str">
        <f>IFERROR(IF($C92&lt;1,"",CI$3*일별반별!CL92),0)</f>
        <v/>
      </c>
      <c r="CJ92" s="316" t="str">
        <f>IFERROR(IF($C92&lt;1,"",CJ$3*일별반별!CM92),0)</f>
        <v/>
      </c>
      <c r="CK92" s="316" t="str">
        <f>IFERROR(IF($C92&lt;1,"",CK$3*일별반별!CN92),0)</f>
        <v/>
      </c>
      <c r="CL92" s="316" t="str">
        <f>IFERROR(IF($C92&lt;1,"",CL$3*일별반별!CO92),0)</f>
        <v/>
      </c>
      <c r="CM92" s="316" t="str">
        <f>IFERROR(IF($C92&lt;1,"",CM$3*일별반별!CP92),0)</f>
        <v/>
      </c>
      <c r="CN92" s="316" t="str">
        <f>IFERROR(IF($C92&lt;1,"",CN$3*일별반별!CQ92),0)</f>
        <v/>
      </c>
      <c r="CO92" s="316" t="str">
        <f>IFERROR(IF($C92&lt;1,"",CO$3*일별반별!CR92),0)</f>
        <v/>
      </c>
      <c r="CP92" s="316" t="str">
        <f>IFERROR(IF($C92&lt;1,"",CP$3*일별반별!CS92),0)</f>
        <v/>
      </c>
      <c r="CQ92" s="316" t="str">
        <f>IFERROR(IF($C92&lt;1,"",CQ$3*일별반별!CT92),0)</f>
        <v/>
      </c>
      <c r="CR92" s="418" t="str">
        <f>IFERROR(IF($C92&lt;1,"",CR$3*일별반별!CU92),0)</f>
        <v/>
      </c>
      <c r="CS92" s="418" t="str">
        <f>IFERROR(IF($C92&lt;1,"",CS$3*일별반별!CV92),0)</f>
        <v/>
      </c>
      <c r="CT92" s="316" t="str">
        <f>IFERROR(IF($C92&lt;1,"",CT$3*일별반별!CW92),0)</f>
        <v/>
      </c>
      <c r="CU92" s="316" t="str">
        <f>IFERROR(IF($C92&lt;1,"",CU$3*일별반별!CX92),0)</f>
        <v/>
      </c>
      <c r="CV92" s="316" t="str">
        <f>IFERROR(IF($C92&lt;1,"",CV$3*일별반별!CY92),0)</f>
        <v/>
      </c>
      <c r="CW92" s="316" t="str">
        <f>IFERROR(IF($C92&lt;1,"",CW$3*일별반별!CZ92),0)</f>
        <v/>
      </c>
      <c r="CX92" s="316" t="str">
        <f>IFERROR(IF($C92&lt;1,"",CX$3*일별반별!DA92),0)</f>
        <v/>
      </c>
      <c r="CY92" s="316" t="str">
        <f>IF(C92&lt;1,"",(CY$3*'09월 조업일지'!AV$7))</f>
        <v/>
      </c>
      <c r="CZ92" s="316" t="str">
        <f t="shared" si="4"/>
        <v/>
      </c>
      <c r="DA92" s="316" t="str">
        <f t="shared" si="4"/>
        <v/>
      </c>
      <c r="DB92" s="316" t="str">
        <f t="shared" si="4"/>
        <v/>
      </c>
      <c r="DC92" s="316"/>
      <c r="DD92" s="419"/>
    </row>
    <row r="93" spans="1:108" ht="15" customHeight="1">
      <c r="A93" s="274">
        <f t="shared" si="6"/>
        <v>44030</v>
      </c>
      <c r="B93" s="275" t="s">
        <v>100</v>
      </c>
      <c r="C93" s="201">
        <f>COUNTIFS('09월 조업일지'!$A$12:$A$952,A91,'09월 조업일지'!$E$12:$E$952,B93)</f>
        <v>0</v>
      </c>
      <c r="D93" s="314">
        <f>IF(C93&lt;1,0,(SUM(E93:CX93)/(일별반별!BV93-1.5)+(CY93+CZ93+DA93+DB93)))</f>
        <v>0</v>
      </c>
      <c r="E93" s="278"/>
      <c r="F93" s="281"/>
      <c r="G93" s="282"/>
      <c r="H93" s="283"/>
      <c r="I93" s="283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326"/>
      <c r="U93" s="395" t="str">
        <f>IFERROR(IF($C93&lt;1,"",U$3*일별반별!X93),0)</f>
        <v/>
      </c>
      <c r="V93" s="395" t="str">
        <f>IFERROR(IF($C93&lt;1,"",V$3*일별반별!Y93),0)</f>
        <v/>
      </c>
      <c r="W93" s="395" t="str">
        <f>IFERROR(IF($C93&lt;1,"",W$3*일별반별!Z93),0)</f>
        <v/>
      </c>
      <c r="X93" s="208" t="str">
        <f>IFERROR(IF($C93&lt;1,"",X$3*일별반별!AA93),0)</f>
        <v/>
      </c>
      <c r="Y93" s="208" t="str">
        <f>IFERROR(IF($C93&lt;1,"",Y$3*일별반별!AB93),0)</f>
        <v/>
      </c>
      <c r="Z93" s="208" t="str">
        <f>IFERROR(IF($C93&lt;1,"",Z$3*일별반별!AC93),0)</f>
        <v/>
      </c>
      <c r="AA93" s="395" t="str">
        <f>IFERROR(IF($C93&lt;1,"",AA$3*일별반별!AD93),0)</f>
        <v/>
      </c>
      <c r="AB93" s="395" t="str">
        <f>IFERROR(IF($C93&lt;1,"",AB$3*일별반별!AE93),0)</f>
        <v/>
      </c>
      <c r="AC93" s="208" t="str">
        <f>IFERROR(IF($C93&lt;1,"",AC$3*일별반별!AF93),0)</f>
        <v/>
      </c>
      <c r="AD93" s="208" t="str">
        <f>IFERROR(IF($C93&lt;1,"",AD$3*일별반별!AG93),0)</f>
        <v/>
      </c>
      <c r="AE93" s="208" t="str">
        <f>IFERROR(IF($C93&lt;1,"",AE$3*일별반별!AH93),0)</f>
        <v/>
      </c>
      <c r="AF93" s="395" t="str">
        <f>IFERROR(IF($C93&lt;1,"",AF$3*일별반별!AI93),0)</f>
        <v/>
      </c>
      <c r="AG93" s="395" t="str">
        <f>IFERROR(IF($C93&lt;1,"",AG$3*일별반별!AJ93),0)</f>
        <v/>
      </c>
      <c r="AH93" s="395" t="str">
        <f>IFERROR(IF($C93&lt;1,"",AH$3*일별반별!AK93),0)</f>
        <v/>
      </c>
      <c r="AI93" s="395" t="str">
        <f>IFERROR(IF($C93&lt;1,"",AI$3*일별반별!AL93),0)</f>
        <v/>
      </c>
      <c r="AJ93" s="395" t="str">
        <f>IFERROR(IF($C93&lt;1,"",AJ$3*일별반별!AM93),0)</f>
        <v/>
      </c>
      <c r="AK93" s="395" t="str">
        <f>IFERROR(IF($C93&lt;1,"",AK$3*일별반별!AN93),0)</f>
        <v/>
      </c>
      <c r="AL93" s="395" t="str">
        <f>IFERROR(IF($C93&lt;1,"",AL$3*일별반별!AO93),0)</f>
        <v/>
      </c>
      <c r="AM93" s="395" t="str">
        <f>IFERROR(IF($C93&lt;1,"",AM$3*일별반별!AP93),0)</f>
        <v/>
      </c>
      <c r="AN93" s="395" t="str">
        <f>IFERROR(IF($C93&lt;1,"",AN$3*일별반별!AQ93),0)</f>
        <v/>
      </c>
      <c r="AO93" s="395" t="str">
        <f>IFERROR(IF($C93&lt;1,"",AO$3*일별반별!AR93),0)</f>
        <v/>
      </c>
      <c r="AP93" s="347" t="str">
        <f>IFERROR(IF($C93&lt;1,"",AP$3*일별반별!AS93),0)</f>
        <v/>
      </c>
      <c r="AQ93" s="347" t="str">
        <f>IFERROR(IF($C93&lt;1,"",AQ$3*일별반별!AT93),0)</f>
        <v/>
      </c>
      <c r="AR93" s="316" t="str">
        <f>IFERROR(IF($C93&lt;1,"",AR$3*일별반별!AU93),0)</f>
        <v/>
      </c>
      <c r="AS93" s="401" t="str">
        <f>IFERROR(IF($C93&lt;1,"",AS$3*일별반별!AV93),0)</f>
        <v/>
      </c>
      <c r="AT93" s="401" t="str">
        <f>IFERROR(IF($C93&lt;1,"",AT$3*일별반별!AW93),0)</f>
        <v/>
      </c>
      <c r="AU93" s="401" t="str">
        <f>IFERROR(IF($C93&lt;1,"",AU$3*일별반별!AX93),0)</f>
        <v/>
      </c>
      <c r="AV93" s="401" t="str">
        <f>IFERROR(IF($C93&lt;1,"",AV$3*일별반별!AY93),0)</f>
        <v/>
      </c>
      <c r="AW93" s="401" t="str">
        <f>IFERROR(IF($C93&lt;1,"",AW$3*일별반별!AZ93),0)</f>
        <v/>
      </c>
      <c r="AX93" s="401" t="str">
        <f>IFERROR(IF($C93&lt;1,"",AX$3*일별반별!BA93),0)</f>
        <v/>
      </c>
      <c r="AY93" s="401" t="str">
        <f>IFERROR(IF($C93&lt;1,"",AY$3*일별반별!BB93),0)</f>
        <v/>
      </c>
      <c r="AZ93" s="401" t="str">
        <f>IFERROR(IF($C93&lt;1,"",AZ$3*일별반별!BC93),0)</f>
        <v/>
      </c>
      <c r="BA93" s="401" t="str">
        <f>IFERROR(IF($C93&lt;1,"",BA$3*일별반별!BD93),0)</f>
        <v/>
      </c>
      <c r="BB93" s="402" t="str">
        <f>IFERROR(IF($C93&lt;1,"",BB$3*일별반별!BE93),0)</f>
        <v/>
      </c>
      <c r="BC93" s="402" t="str">
        <f>IFERROR(IF($C93&lt;1,"",BC$3*일별반별!BF93),0)</f>
        <v/>
      </c>
      <c r="BD93" s="402" t="str">
        <f>IFERROR(IF($C93&lt;1,"",BD$3*일별반별!BG93),0)</f>
        <v/>
      </c>
      <c r="BE93" s="402" t="str">
        <f>IFERROR(IF($C93&lt;1,"",BE$3*일별반별!BH93),0)</f>
        <v/>
      </c>
      <c r="BF93" s="402" t="str">
        <f>IFERROR(IF($C93&lt;1,"",BF$3*일별반별!BI93),0)</f>
        <v/>
      </c>
      <c r="BG93" s="402" t="str">
        <f>IFERROR(IF($C93&lt;1,"",BG$3*일별반별!BJ93),0)</f>
        <v/>
      </c>
      <c r="BH93" s="402" t="str">
        <f>IFERROR(IF($C93&lt;1,"",BH$3*일별반별!BK93),0)</f>
        <v/>
      </c>
      <c r="BI93" s="402" t="str">
        <f>IFERROR(IF($C93&lt;1,"",BI$3*일별반별!BL93),0)</f>
        <v/>
      </c>
      <c r="BJ93" s="402" t="str">
        <f>IFERROR(IF($C93&lt;1,"",BJ$3*일별반별!BM93),0)</f>
        <v/>
      </c>
      <c r="BK93" s="402" t="str">
        <f>IFERROR(IF($C93&lt;1,"",BK$3*일별반별!BN93),0)</f>
        <v/>
      </c>
      <c r="BL93" s="402" t="str">
        <f>IFERROR(IF($C93&lt;1,"",BL$3*일별반별!BH93),0)</f>
        <v/>
      </c>
      <c r="BM93" s="402" t="str">
        <f>IFERROR(IF($C93&lt;1,"",BM$3*일별반별!BP93),0)</f>
        <v/>
      </c>
      <c r="BN93" s="401" t="str">
        <f>IFERROR(IF($C93&lt;1,"",BN$3*일별반별!BQ93),0)</f>
        <v/>
      </c>
      <c r="BO93" s="401" t="str">
        <f>IFERROR(IF($C93&lt;1,"",BO$3*일별반별!BR93),0)</f>
        <v/>
      </c>
      <c r="BP93" s="401" t="str">
        <f>IFERROR(IF($C93&lt;1,"",BP$3*일별반별!BS93),0)</f>
        <v/>
      </c>
      <c r="BQ93" s="401" t="str">
        <f>IFERROR(IF($C93&lt;1,"",BQ$3*일별반별!BT93),0)</f>
        <v/>
      </c>
      <c r="BR93" s="417" t="str">
        <f>IFERROR(IF($C93&lt;1,"",BR$3*일별반별!BU93),0)</f>
        <v/>
      </c>
      <c r="BS93" s="417" t="str">
        <f>IFERROR(IF($C93&lt;1,"",BS$3*일별반별!BV93),0)</f>
        <v/>
      </c>
      <c r="BT93" s="417" t="str">
        <f>IFERROR(IF($C93&lt;1,"",BT$3*일별반별!BW93),0)</f>
        <v/>
      </c>
      <c r="BU93" s="316" t="str">
        <f>IFERROR(IF($C93&lt;1,"",BU$3*일별반별!BX93),0)</f>
        <v/>
      </c>
      <c r="BV93" s="316" t="str">
        <f>IFERROR(IF($C93&lt;1,"",BV$3*일별반별!BY93),0)</f>
        <v/>
      </c>
      <c r="BW93" s="316" t="str">
        <f>IFERROR(IF($C93&lt;1,"",BW$3*일별반별!BZ93),0)</f>
        <v/>
      </c>
      <c r="BX93" s="316" t="str">
        <f>IFERROR(IF($C93&lt;1,"",BX$3*일별반별!CA93),0)</f>
        <v/>
      </c>
      <c r="BY93" s="316" t="str">
        <f>IFERROR(IF($C93&lt;1,"",BY$3*일별반별!CB93),0)</f>
        <v/>
      </c>
      <c r="BZ93" s="316" t="str">
        <f>IFERROR(IF($C93&lt;1,"",BZ$3*일별반별!CC93),0)</f>
        <v/>
      </c>
      <c r="CA93" s="316" t="str">
        <f>IFERROR(IF($C93&lt;1,"",CA$3*일별반별!CD93),0)</f>
        <v/>
      </c>
      <c r="CB93" s="316" t="str">
        <f>IFERROR(IF($C93&lt;1,"",CB$3*일별반별!CE93),0)</f>
        <v/>
      </c>
      <c r="CC93" s="316" t="str">
        <f>IFERROR(IF($C93&lt;1,"",CC$3*일별반별!CF93),0)</f>
        <v/>
      </c>
      <c r="CD93" s="316" t="str">
        <f>IFERROR(IF($C93&lt;1,"",CD$3*일별반별!CG93),0)</f>
        <v/>
      </c>
      <c r="CE93" s="316" t="str">
        <f>IFERROR(IF($C93&lt;1,"",CE$3*일별반별!CH93),0)</f>
        <v/>
      </c>
      <c r="CF93" s="316" t="str">
        <f>IFERROR(IF($C93&lt;1,"",CF$3*일별반별!CI93),0)</f>
        <v/>
      </c>
      <c r="CG93" s="316" t="str">
        <f>IFERROR(IF($C93&lt;1,"",CG$3*일별반별!CJ93),0)</f>
        <v/>
      </c>
      <c r="CH93" s="316" t="str">
        <f>IFERROR(IF($C93&lt;1,"",CH$3*일별반별!CK93),0)</f>
        <v/>
      </c>
      <c r="CI93" s="316" t="str">
        <f>IFERROR(IF($C93&lt;1,"",CI$3*일별반별!CL93),0)</f>
        <v/>
      </c>
      <c r="CJ93" s="316" t="str">
        <f>IFERROR(IF($C93&lt;1,"",CJ$3*일별반별!CM93),0)</f>
        <v/>
      </c>
      <c r="CK93" s="316" t="str">
        <f>IFERROR(IF($C93&lt;1,"",CK$3*일별반별!CN93),0)</f>
        <v/>
      </c>
      <c r="CL93" s="316" t="str">
        <f>IFERROR(IF($C93&lt;1,"",CL$3*일별반별!CO93),0)</f>
        <v/>
      </c>
      <c r="CM93" s="316" t="str">
        <f>IFERROR(IF($C93&lt;1,"",CM$3*일별반별!CP93),0)</f>
        <v/>
      </c>
      <c r="CN93" s="316" t="str">
        <f>IFERROR(IF($C93&lt;1,"",CN$3*일별반별!CQ93),0)</f>
        <v/>
      </c>
      <c r="CO93" s="316" t="str">
        <f>IFERROR(IF($C93&lt;1,"",CO$3*일별반별!CR93),0)</f>
        <v/>
      </c>
      <c r="CP93" s="316" t="str">
        <f>IFERROR(IF($C93&lt;1,"",CP$3*일별반별!CS93),0)</f>
        <v/>
      </c>
      <c r="CQ93" s="316" t="str">
        <f>IFERROR(IF($C93&lt;1,"",CQ$3*일별반별!CT93),0)</f>
        <v/>
      </c>
      <c r="CR93" s="418" t="str">
        <f>IFERROR(IF($C93&lt;1,"",CR$3*일별반별!CU93),0)</f>
        <v/>
      </c>
      <c r="CS93" s="418" t="str">
        <f>IFERROR(IF($C93&lt;1,"",CS$3*일별반별!CV93),0)</f>
        <v/>
      </c>
      <c r="CT93" s="316" t="str">
        <f>IFERROR(IF($C93&lt;1,"",CT$3*일별반별!CW93),0)</f>
        <v/>
      </c>
      <c r="CU93" s="316" t="str">
        <f>IFERROR(IF($C93&lt;1,"",CU$3*일별반별!CX93),0)</f>
        <v/>
      </c>
      <c r="CV93" s="316" t="str">
        <f>IFERROR(IF($C93&lt;1,"",CV$3*일별반별!CY93),0)</f>
        <v/>
      </c>
      <c r="CW93" s="316" t="str">
        <f>IFERROR(IF($C93&lt;1,"",CW$3*일별반별!CZ93),0)</f>
        <v/>
      </c>
      <c r="CX93" s="316" t="str">
        <f>IFERROR(IF($C93&lt;1,"",CX$3*일별반별!DA93),0)</f>
        <v/>
      </c>
      <c r="CY93" s="316" t="str">
        <f>IF(C93&lt;1,"",(CY$3*'09월 조업일지'!AV$7))</f>
        <v/>
      </c>
      <c r="CZ93" s="316" t="str">
        <f t="shared" si="4"/>
        <v/>
      </c>
      <c r="DA93" s="316" t="str">
        <f t="shared" si="4"/>
        <v/>
      </c>
      <c r="DB93" s="316" t="str">
        <f t="shared" si="4"/>
        <v/>
      </c>
      <c r="DC93" s="316"/>
      <c r="DD93" s="419"/>
    </row>
    <row r="94" spans="1:108" ht="15" customHeight="1">
      <c r="A94" s="274">
        <f t="shared" si="6"/>
        <v>44030</v>
      </c>
      <c r="B94" s="275" t="s">
        <v>10</v>
      </c>
      <c r="C94" s="201">
        <f>COUNTIFS('09월 조업일지'!$A$12:$A$952,A91,'09월 조업일지'!$E$12:$E$952,B94)</f>
        <v>0</v>
      </c>
      <c r="D94" s="314">
        <f>IF(C94&lt;1,0,(SUM(E94:CX94)/(일별반별!BV94-1.5)+(CY94+CZ94+DA94+DB94)))</f>
        <v>0</v>
      </c>
      <c r="E94" s="278"/>
      <c r="F94" s="281"/>
      <c r="G94" s="282"/>
      <c r="H94" s="283"/>
      <c r="I94" s="283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326"/>
      <c r="U94" s="395" t="str">
        <f>IFERROR(IF($C94&lt;1,"",U$3*일별반별!X94),0)</f>
        <v/>
      </c>
      <c r="V94" s="395" t="str">
        <f>IFERROR(IF($C94&lt;1,"",V$3*일별반별!Y94),0)</f>
        <v/>
      </c>
      <c r="W94" s="395" t="str">
        <f>IFERROR(IF($C94&lt;1,"",W$3*일별반별!Z94),0)</f>
        <v/>
      </c>
      <c r="X94" s="208" t="str">
        <f>IFERROR(IF($C94&lt;1,"",X$3*일별반별!AA94),0)</f>
        <v/>
      </c>
      <c r="Y94" s="208" t="str">
        <f>IFERROR(IF($C94&lt;1,"",Y$3*일별반별!AB94),0)</f>
        <v/>
      </c>
      <c r="Z94" s="208" t="str">
        <f>IFERROR(IF($C94&lt;1,"",Z$3*일별반별!AC94),0)</f>
        <v/>
      </c>
      <c r="AA94" s="395" t="str">
        <f>IFERROR(IF($C94&lt;1,"",AA$3*일별반별!AD94),0)</f>
        <v/>
      </c>
      <c r="AB94" s="395" t="str">
        <f>IFERROR(IF($C94&lt;1,"",AB$3*일별반별!AE94),0)</f>
        <v/>
      </c>
      <c r="AC94" s="208" t="str">
        <f>IFERROR(IF($C94&lt;1,"",AC$3*일별반별!AF94),0)</f>
        <v/>
      </c>
      <c r="AD94" s="208" t="str">
        <f>IFERROR(IF($C94&lt;1,"",AD$3*일별반별!AG94),0)</f>
        <v/>
      </c>
      <c r="AE94" s="208" t="str">
        <f>IFERROR(IF($C94&lt;1,"",AE$3*일별반별!AH94),0)</f>
        <v/>
      </c>
      <c r="AF94" s="395" t="str">
        <f>IFERROR(IF($C94&lt;1,"",AF$3*일별반별!AI94),0)</f>
        <v/>
      </c>
      <c r="AG94" s="395" t="str">
        <f>IFERROR(IF($C94&lt;1,"",AG$3*일별반별!AJ94),0)</f>
        <v/>
      </c>
      <c r="AH94" s="395" t="str">
        <f>IFERROR(IF($C94&lt;1,"",AH$3*일별반별!AK94),0)</f>
        <v/>
      </c>
      <c r="AI94" s="395" t="str">
        <f>IFERROR(IF($C94&lt;1,"",AI$3*일별반별!AL94),0)</f>
        <v/>
      </c>
      <c r="AJ94" s="395" t="str">
        <f>IFERROR(IF($C94&lt;1,"",AJ$3*일별반별!AM94),0)</f>
        <v/>
      </c>
      <c r="AK94" s="395" t="str">
        <f>IFERROR(IF($C94&lt;1,"",AK$3*일별반별!AN94),0)</f>
        <v/>
      </c>
      <c r="AL94" s="395" t="str">
        <f>IFERROR(IF($C94&lt;1,"",AL$3*일별반별!AO94),0)</f>
        <v/>
      </c>
      <c r="AM94" s="395" t="str">
        <f>IFERROR(IF($C94&lt;1,"",AM$3*일별반별!AP94),0)</f>
        <v/>
      </c>
      <c r="AN94" s="395" t="str">
        <f>IFERROR(IF($C94&lt;1,"",AN$3*일별반별!AQ94),0)</f>
        <v/>
      </c>
      <c r="AO94" s="395" t="str">
        <f>IFERROR(IF($C94&lt;1,"",AO$3*일별반별!AR94),0)</f>
        <v/>
      </c>
      <c r="AP94" s="347" t="str">
        <f>IFERROR(IF($C94&lt;1,"",AP$3*일별반별!AS94),0)</f>
        <v/>
      </c>
      <c r="AQ94" s="347" t="str">
        <f>IFERROR(IF($C94&lt;1,"",AQ$3*일별반별!AT94),0)</f>
        <v/>
      </c>
      <c r="AR94" s="316" t="str">
        <f>IFERROR(IF($C94&lt;1,"",AR$3*일별반별!AU94),0)</f>
        <v/>
      </c>
      <c r="AS94" s="401" t="str">
        <f>IFERROR(IF($C94&lt;1,"",AS$3*일별반별!AV94),0)</f>
        <v/>
      </c>
      <c r="AT94" s="401" t="str">
        <f>IFERROR(IF($C94&lt;1,"",AT$3*일별반별!AW94),0)</f>
        <v/>
      </c>
      <c r="AU94" s="401" t="str">
        <f>IFERROR(IF($C94&lt;1,"",AU$3*일별반별!AX94),0)</f>
        <v/>
      </c>
      <c r="AV94" s="401" t="str">
        <f>IFERROR(IF($C94&lt;1,"",AV$3*일별반별!AY94),0)</f>
        <v/>
      </c>
      <c r="AW94" s="401" t="str">
        <f>IFERROR(IF($C94&lt;1,"",AW$3*일별반별!AZ94),0)</f>
        <v/>
      </c>
      <c r="AX94" s="401" t="str">
        <f>IFERROR(IF($C94&lt;1,"",AX$3*일별반별!BA94),0)</f>
        <v/>
      </c>
      <c r="AY94" s="401" t="str">
        <f>IFERROR(IF($C94&lt;1,"",AY$3*일별반별!BB94),0)</f>
        <v/>
      </c>
      <c r="AZ94" s="401" t="str">
        <f>IFERROR(IF($C94&lt;1,"",AZ$3*일별반별!BC94),0)</f>
        <v/>
      </c>
      <c r="BA94" s="401" t="str">
        <f>IFERROR(IF($C94&lt;1,"",BA$3*일별반별!BD94),0)</f>
        <v/>
      </c>
      <c r="BB94" s="402" t="str">
        <f>IFERROR(IF($C94&lt;1,"",BB$3*일별반별!BE94),0)</f>
        <v/>
      </c>
      <c r="BC94" s="402" t="str">
        <f>IFERROR(IF($C94&lt;1,"",BC$3*일별반별!BF94),0)</f>
        <v/>
      </c>
      <c r="BD94" s="402" t="str">
        <f>IFERROR(IF($C94&lt;1,"",BD$3*일별반별!BG94),0)</f>
        <v/>
      </c>
      <c r="BE94" s="402" t="str">
        <f>IFERROR(IF($C94&lt;1,"",BE$3*일별반별!BH94),0)</f>
        <v/>
      </c>
      <c r="BF94" s="402" t="str">
        <f>IFERROR(IF($C94&lt;1,"",BF$3*일별반별!BI94),0)</f>
        <v/>
      </c>
      <c r="BG94" s="402" t="str">
        <f>IFERROR(IF($C94&lt;1,"",BG$3*일별반별!BJ94),0)</f>
        <v/>
      </c>
      <c r="BH94" s="402" t="str">
        <f>IFERROR(IF($C94&lt;1,"",BH$3*일별반별!BK94),0)</f>
        <v/>
      </c>
      <c r="BI94" s="402" t="str">
        <f>IFERROR(IF($C94&lt;1,"",BI$3*일별반별!BL94),0)</f>
        <v/>
      </c>
      <c r="BJ94" s="402" t="str">
        <f>IFERROR(IF($C94&lt;1,"",BJ$3*일별반별!BM94),0)</f>
        <v/>
      </c>
      <c r="BK94" s="402" t="str">
        <f>IFERROR(IF($C94&lt;1,"",BK$3*일별반별!BN94),0)</f>
        <v/>
      </c>
      <c r="BL94" s="402" t="str">
        <f>IFERROR(IF($C94&lt;1,"",BL$3*일별반별!BH94),0)</f>
        <v/>
      </c>
      <c r="BM94" s="402" t="str">
        <f>IFERROR(IF($C94&lt;1,"",BM$3*일별반별!BP94),0)</f>
        <v/>
      </c>
      <c r="BN94" s="401" t="str">
        <f>IFERROR(IF($C94&lt;1,"",BN$3*일별반별!BQ94),0)</f>
        <v/>
      </c>
      <c r="BO94" s="401" t="str">
        <f>IFERROR(IF($C94&lt;1,"",BO$3*일별반별!BR94),0)</f>
        <v/>
      </c>
      <c r="BP94" s="401" t="str">
        <f>IFERROR(IF($C94&lt;1,"",BP$3*일별반별!BS94),0)</f>
        <v/>
      </c>
      <c r="BQ94" s="401" t="str">
        <f>IFERROR(IF($C94&lt;1,"",BQ$3*일별반별!BT94),0)</f>
        <v/>
      </c>
      <c r="BR94" s="417" t="str">
        <f>IFERROR(IF($C94&lt;1,"",BR$3*일별반별!BU94),0)</f>
        <v/>
      </c>
      <c r="BS94" s="417" t="str">
        <f>IFERROR(IF($C94&lt;1,"",BS$3*일별반별!BV94),0)</f>
        <v/>
      </c>
      <c r="BT94" s="417" t="str">
        <f>IFERROR(IF($C94&lt;1,"",BT$3*일별반별!BW94),0)</f>
        <v/>
      </c>
      <c r="BU94" s="316" t="str">
        <f>IFERROR(IF($C94&lt;1,"",BU$3*일별반별!BX94),0)</f>
        <v/>
      </c>
      <c r="BV94" s="316" t="str">
        <f>IFERROR(IF($C94&lt;1,"",BV$3*일별반별!BY94),0)</f>
        <v/>
      </c>
      <c r="BW94" s="316" t="str">
        <f>IFERROR(IF($C94&lt;1,"",BW$3*일별반별!BZ94),0)</f>
        <v/>
      </c>
      <c r="BX94" s="316" t="str">
        <f>IFERROR(IF($C94&lt;1,"",BX$3*일별반별!CA94),0)</f>
        <v/>
      </c>
      <c r="BY94" s="316" t="str">
        <f>IFERROR(IF($C94&lt;1,"",BY$3*일별반별!CB94),0)</f>
        <v/>
      </c>
      <c r="BZ94" s="316" t="str">
        <f>IFERROR(IF($C94&lt;1,"",BZ$3*일별반별!CC94),0)</f>
        <v/>
      </c>
      <c r="CA94" s="316" t="str">
        <f>IFERROR(IF($C94&lt;1,"",CA$3*일별반별!CD94),0)</f>
        <v/>
      </c>
      <c r="CB94" s="316" t="str">
        <f>IFERROR(IF($C94&lt;1,"",CB$3*일별반별!CE94),0)</f>
        <v/>
      </c>
      <c r="CC94" s="316" t="str">
        <f>IFERROR(IF($C94&lt;1,"",CC$3*일별반별!CF94),0)</f>
        <v/>
      </c>
      <c r="CD94" s="316" t="str">
        <f>IFERROR(IF($C94&lt;1,"",CD$3*일별반별!CG94),0)</f>
        <v/>
      </c>
      <c r="CE94" s="316" t="str">
        <f>IFERROR(IF($C94&lt;1,"",CE$3*일별반별!CH94),0)</f>
        <v/>
      </c>
      <c r="CF94" s="316" t="str">
        <f>IFERROR(IF($C94&lt;1,"",CF$3*일별반별!CI94),0)</f>
        <v/>
      </c>
      <c r="CG94" s="316" t="str">
        <f>IFERROR(IF($C94&lt;1,"",CG$3*일별반별!CJ94),0)</f>
        <v/>
      </c>
      <c r="CH94" s="316" t="str">
        <f>IFERROR(IF($C94&lt;1,"",CH$3*일별반별!CK94),0)</f>
        <v/>
      </c>
      <c r="CI94" s="316" t="str">
        <f>IFERROR(IF($C94&lt;1,"",CI$3*일별반별!CL94),0)</f>
        <v/>
      </c>
      <c r="CJ94" s="316" t="str">
        <f>IFERROR(IF($C94&lt;1,"",CJ$3*일별반별!CM94),0)</f>
        <v/>
      </c>
      <c r="CK94" s="316" t="str">
        <f>IFERROR(IF($C94&lt;1,"",CK$3*일별반별!CN94),0)</f>
        <v/>
      </c>
      <c r="CL94" s="316" t="str">
        <f>IFERROR(IF($C94&lt;1,"",CL$3*일별반별!CO94),0)</f>
        <v/>
      </c>
      <c r="CM94" s="316" t="str">
        <f>IFERROR(IF($C94&lt;1,"",CM$3*일별반별!CP94),0)</f>
        <v/>
      </c>
      <c r="CN94" s="316" t="str">
        <f>IFERROR(IF($C94&lt;1,"",CN$3*일별반별!CQ94),0)</f>
        <v/>
      </c>
      <c r="CO94" s="316" t="str">
        <f>IFERROR(IF($C94&lt;1,"",CO$3*일별반별!CR94),0)</f>
        <v/>
      </c>
      <c r="CP94" s="316" t="str">
        <f>IFERROR(IF($C94&lt;1,"",CP$3*일별반별!CS94),0)</f>
        <v/>
      </c>
      <c r="CQ94" s="316" t="str">
        <f>IFERROR(IF($C94&lt;1,"",CQ$3*일별반별!CT94),0)</f>
        <v/>
      </c>
      <c r="CR94" s="418" t="str">
        <f>IFERROR(IF($C94&lt;1,"",CR$3*일별반별!CU94),0)</f>
        <v/>
      </c>
      <c r="CS94" s="418" t="str">
        <f>IFERROR(IF($C94&lt;1,"",CS$3*일별반별!CV94),0)</f>
        <v/>
      </c>
      <c r="CT94" s="316" t="str">
        <f>IFERROR(IF($C94&lt;1,"",CT$3*일별반별!CW94),0)</f>
        <v/>
      </c>
      <c r="CU94" s="316" t="str">
        <f>IFERROR(IF($C94&lt;1,"",CU$3*일별반별!CX94),0)</f>
        <v/>
      </c>
      <c r="CV94" s="316" t="str">
        <f>IFERROR(IF($C94&lt;1,"",CV$3*일별반별!CY94),0)</f>
        <v/>
      </c>
      <c r="CW94" s="316" t="str">
        <f>IFERROR(IF($C94&lt;1,"",CW$3*일별반별!CZ94),0)</f>
        <v/>
      </c>
      <c r="CX94" s="316" t="str">
        <f>IFERROR(IF($C94&lt;1,"",CX$3*일별반별!DA94),0)</f>
        <v/>
      </c>
      <c r="CY94" s="316" t="str">
        <f>IF(C94&lt;1,"",(CY$3*'09월 조업일지'!AV$7))</f>
        <v/>
      </c>
      <c r="CZ94" s="316" t="str">
        <f t="shared" si="4"/>
        <v/>
      </c>
      <c r="DA94" s="316" t="str">
        <f t="shared" si="4"/>
        <v/>
      </c>
      <c r="DB94" s="316" t="str">
        <f t="shared" si="4"/>
        <v/>
      </c>
      <c r="DC94" s="316"/>
      <c r="DD94" s="419"/>
    </row>
    <row r="95" spans="1:108" ht="15" customHeight="1">
      <c r="A95" s="274">
        <f t="shared" si="6"/>
        <v>44030</v>
      </c>
      <c r="B95" s="275" t="s">
        <v>94</v>
      </c>
      <c r="C95" s="201">
        <f>COUNTIFS('09월 조업일지'!$A$12:$A$952,A91,'09월 조업일지'!$E$12:$E$952,B95)</f>
        <v>0</v>
      </c>
      <c r="D95" s="314">
        <f>IF(C95&lt;1,0,(SUM(E95:CX95)/(일별반별!BV95-1.5)+(CY95+CZ95+DA95+DB95)))</f>
        <v>0</v>
      </c>
      <c r="E95" s="278"/>
      <c r="F95" s="281"/>
      <c r="G95" s="282"/>
      <c r="H95" s="283"/>
      <c r="I95" s="283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326"/>
      <c r="U95" s="395" t="str">
        <f>IFERROR(IF($C95&lt;1,"",U$3*일별반별!X95),0)</f>
        <v/>
      </c>
      <c r="V95" s="395" t="str">
        <f>IFERROR(IF($C95&lt;1,"",V$3*일별반별!Y95),0)</f>
        <v/>
      </c>
      <c r="W95" s="395" t="str">
        <f>IFERROR(IF($C95&lt;1,"",W$3*일별반별!Z95),0)</f>
        <v/>
      </c>
      <c r="X95" s="208" t="str">
        <f>IFERROR(IF($C95&lt;1,"",X$3*일별반별!AA95),0)</f>
        <v/>
      </c>
      <c r="Y95" s="208" t="str">
        <f>IFERROR(IF($C95&lt;1,"",Y$3*일별반별!AB95),0)</f>
        <v/>
      </c>
      <c r="Z95" s="208" t="str">
        <f>IFERROR(IF($C95&lt;1,"",Z$3*일별반별!AC95),0)</f>
        <v/>
      </c>
      <c r="AA95" s="395" t="str">
        <f>IFERROR(IF($C95&lt;1,"",AA$3*일별반별!AD95),0)</f>
        <v/>
      </c>
      <c r="AB95" s="395" t="str">
        <f>IFERROR(IF($C95&lt;1,"",AB$3*일별반별!AE95),0)</f>
        <v/>
      </c>
      <c r="AC95" s="208" t="str">
        <f>IFERROR(IF($C95&lt;1,"",AC$3*일별반별!AF95),0)</f>
        <v/>
      </c>
      <c r="AD95" s="208" t="str">
        <f>IFERROR(IF($C95&lt;1,"",AD$3*일별반별!AG95),0)</f>
        <v/>
      </c>
      <c r="AE95" s="208" t="str">
        <f>IFERROR(IF($C95&lt;1,"",AE$3*일별반별!AH95),0)</f>
        <v/>
      </c>
      <c r="AF95" s="395" t="str">
        <f>IFERROR(IF($C95&lt;1,"",AF$3*일별반별!AI95),0)</f>
        <v/>
      </c>
      <c r="AG95" s="395" t="str">
        <f>IFERROR(IF($C95&lt;1,"",AG$3*일별반별!AJ95),0)</f>
        <v/>
      </c>
      <c r="AH95" s="395" t="str">
        <f>IFERROR(IF($C95&lt;1,"",AH$3*일별반별!AK95),0)</f>
        <v/>
      </c>
      <c r="AI95" s="395" t="str">
        <f>IFERROR(IF($C95&lt;1,"",AI$3*일별반별!AL95),0)</f>
        <v/>
      </c>
      <c r="AJ95" s="395" t="str">
        <f>IFERROR(IF($C95&lt;1,"",AJ$3*일별반별!AM95),0)</f>
        <v/>
      </c>
      <c r="AK95" s="395" t="str">
        <f>IFERROR(IF($C95&lt;1,"",AK$3*일별반별!AN95),0)</f>
        <v/>
      </c>
      <c r="AL95" s="395" t="str">
        <f>IFERROR(IF($C95&lt;1,"",AL$3*일별반별!AO95),0)</f>
        <v/>
      </c>
      <c r="AM95" s="395" t="str">
        <f>IFERROR(IF($C95&lt;1,"",AM$3*일별반별!AP95),0)</f>
        <v/>
      </c>
      <c r="AN95" s="395" t="str">
        <f>IFERROR(IF($C95&lt;1,"",AN$3*일별반별!AQ95),0)</f>
        <v/>
      </c>
      <c r="AO95" s="395" t="str">
        <f>IFERROR(IF($C95&lt;1,"",AO$3*일별반별!AR95),0)</f>
        <v/>
      </c>
      <c r="AP95" s="347" t="str">
        <f>IFERROR(IF($C95&lt;1,"",AP$3*일별반별!AS95),0)</f>
        <v/>
      </c>
      <c r="AQ95" s="347" t="str">
        <f>IFERROR(IF($C95&lt;1,"",AQ$3*일별반별!AT95),0)</f>
        <v/>
      </c>
      <c r="AR95" s="316" t="str">
        <f>IFERROR(IF($C95&lt;1,"",AR$3*일별반별!AU95),0)</f>
        <v/>
      </c>
      <c r="AS95" s="401" t="str">
        <f>IFERROR(IF($C95&lt;1,"",AS$3*일별반별!AV95),0)</f>
        <v/>
      </c>
      <c r="AT95" s="401" t="str">
        <f>IFERROR(IF($C95&lt;1,"",AT$3*일별반별!AW95),0)</f>
        <v/>
      </c>
      <c r="AU95" s="401" t="str">
        <f>IFERROR(IF($C95&lt;1,"",AU$3*일별반별!AX95),0)</f>
        <v/>
      </c>
      <c r="AV95" s="401" t="str">
        <f>IFERROR(IF($C95&lt;1,"",AV$3*일별반별!AY95),0)</f>
        <v/>
      </c>
      <c r="AW95" s="401" t="str">
        <f>IFERROR(IF($C95&lt;1,"",AW$3*일별반별!AZ95),0)</f>
        <v/>
      </c>
      <c r="AX95" s="401" t="str">
        <f>IFERROR(IF($C95&lt;1,"",AX$3*일별반별!BA95),0)</f>
        <v/>
      </c>
      <c r="AY95" s="401" t="str">
        <f>IFERROR(IF($C95&lt;1,"",AY$3*일별반별!BB95),0)</f>
        <v/>
      </c>
      <c r="AZ95" s="401" t="str">
        <f>IFERROR(IF($C95&lt;1,"",AZ$3*일별반별!BC95),0)</f>
        <v/>
      </c>
      <c r="BA95" s="401" t="str">
        <f>IFERROR(IF($C95&lt;1,"",BA$3*일별반별!BD95),0)</f>
        <v/>
      </c>
      <c r="BB95" s="402" t="str">
        <f>IFERROR(IF($C95&lt;1,"",BB$3*일별반별!BE95),0)</f>
        <v/>
      </c>
      <c r="BC95" s="402" t="str">
        <f>IFERROR(IF($C95&lt;1,"",BC$3*일별반별!BF95),0)</f>
        <v/>
      </c>
      <c r="BD95" s="402" t="str">
        <f>IFERROR(IF($C95&lt;1,"",BD$3*일별반별!BG95),0)</f>
        <v/>
      </c>
      <c r="BE95" s="402" t="str">
        <f>IFERROR(IF($C95&lt;1,"",BE$3*일별반별!BH95),0)</f>
        <v/>
      </c>
      <c r="BF95" s="402" t="str">
        <f>IFERROR(IF($C95&lt;1,"",BF$3*일별반별!BI95),0)</f>
        <v/>
      </c>
      <c r="BG95" s="402" t="str">
        <f>IFERROR(IF($C95&lt;1,"",BG$3*일별반별!BJ95),0)</f>
        <v/>
      </c>
      <c r="BH95" s="402" t="str">
        <f>IFERROR(IF($C95&lt;1,"",BH$3*일별반별!BK95),0)</f>
        <v/>
      </c>
      <c r="BI95" s="402" t="str">
        <f>IFERROR(IF($C95&lt;1,"",BI$3*일별반별!BL95),0)</f>
        <v/>
      </c>
      <c r="BJ95" s="402" t="str">
        <f>IFERROR(IF($C95&lt;1,"",BJ$3*일별반별!BM95),0)</f>
        <v/>
      </c>
      <c r="BK95" s="402" t="str">
        <f>IFERROR(IF($C95&lt;1,"",BK$3*일별반별!BN95),0)</f>
        <v/>
      </c>
      <c r="BL95" s="402" t="str">
        <f>IFERROR(IF($C95&lt;1,"",BL$3*일별반별!BH95),0)</f>
        <v/>
      </c>
      <c r="BM95" s="402" t="str">
        <f>IFERROR(IF($C95&lt;1,"",BM$3*일별반별!BP95),0)</f>
        <v/>
      </c>
      <c r="BN95" s="401" t="str">
        <f>IFERROR(IF($C95&lt;1,"",BN$3*일별반별!BQ95),0)</f>
        <v/>
      </c>
      <c r="BO95" s="401" t="str">
        <f>IFERROR(IF($C95&lt;1,"",BO$3*일별반별!BR95),0)</f>
        <v/>
      </c>
      <c r="BP95" s="401" t="str">
        <f>IFERROR(IF($C95&lt;1,"",BP$3*일별반별!BS95),0)</f>
        <v/>
      </c>
      <c r="BQ95" s="401" t="str">
        <f>IFERROR(IF($C95&lt;1,"",BQ$3*일별반별!BT95),0)</f>
        <v/>
      </c>
      <c r="BR95" s="417" t="str">
        <f>IFERROR(IF($C95&lt;1,"",BR$3*일별반별!BU95),0)</f>
        <v/>
      </c>
      <c r="BS95" s="417" t="str">
        <f>IFERROR(IF($C95&lt;1,"",BS$3*일별반별!BV95),0)</f>
        <v/>
      </c>
      <c r="BT95" s="417" t="str">
        <f>IFERROR(IF($C95&lt;1,"",BT$3*일별반별!BW95),0)</f>
        <v/>
      </c>
      <c r="BU95" s="316" t="str">
        <f>IFERROR(IF($C95&lt;1,"",BU$3*일별반별!BX95),0)</f>
        <v/>
      </c>
      <c r="BV95" s="316" t="str">
        <f>IFERROR(IF($C95&lt;1,"",BV$3*일별반별!BY95),0)</f>
        <v/>
      </c>
      <c r="BW95" s="316" t="str">
        <f>IFERROR(IF($C95&lt;1,"",BW$3*일별반별!BZ95),0)</f>
        <v/>
      </c>
      <c r="BX95" s="316" t="str">
        <f>IFERROR(IF($C95&lt;1,"",BX$3*일별반별!CA95),0)</f>
        <v/>
      </c>
      <c r="BY95" s="316" t="str">
        <f>IFERROR(IF($C95&lt;1,"",BY$3*일별반별!CB95),0)</f>
        <v/>
      </c>
      <c r="BZ95" s="316" t="str">
        <f>IFERROR(IF($C95&lt;1,"",BZ$3*일별반별!CC95),0)</f>
        <v/>
      </c>
      <c r="CA95" s="316" t="str">
        <f>IFERROR(IF($C95&lt;1,"",CA$3*일별반별!CD95),0)</f>
        <v/>
      </c>
      <c r="CB95" s="316" t="str">
        <f>IFERROR(IF($C95&lt;1,"",CB$3*일별반별!CE95),0)</f>
        <v/>
      </c>
      <c r="CC95" s="316" t="str">
        <f>IFERROR(IF($C95&lt;1,"",CC$3*일별반별!CF95),0)</f>
        <v/>
      </c>
      <c r="CD95" s="316" t="str">
        <f>IFERROR(IF($C95&lt;1,"",CD$3*일별반별!CG95),0)</f>
        <v/>
      </c>
      <c r="CE95" s="316" t="str">
        <f>IFERROR(IF($C95&lt;1,"",CE$3*일별반별!CH95),0)</f>
        <v/>
      </c>
      <c r="CF95" s="316" t="str">
        <f>IFERROR(IF($C95&lt;1,"",CF$3*일별반별!CI95),0)</f>
        <v/>
      </c>
      <c r="CG95" s="316" t="str">
        <f>IFERROR(IF($C95&lt;1,"",CG$3*일별반별!CJ95),0)</f>
        <v/>
      </c>
      <c r="CH95" s="316" t="str">
        <f>IFERROR(IF($C95&lt;1,"",CH$3*일별반별!CK95),0)</f>
        <v/>
      </c>
      <c r="CI95" s="316" t="str">
        <f>IFERROR(IF($C95&lt;1,"",CI$3*일별반별!CL95),0)</f>
        <v/>
      </c>
      <c r="CJ95" s="316" t="str">
        <f>IFERROR(IF($C95&lt;1,"",CJ$3*일별반별!CM95),0)</f>
        <v/>
      </c>
      <c r="CK95" s="316" t="str">
        <f>IFERROR(IF($C95&lt;1,"",CK$3*일별반별!CN95),0)</f>
        <v/>
      </c>
      <c r="CL95" s="316" t="str">
        <f>IFERROR(IF($C95&lt;1,"",CL$3*일별반별!CO95),0)</f>
        <v/>
      </c>
      <c r="CM95" s="316" t="str">
        <f>IFERROR(IF($C95&lt;1,"",CM$3*일별반별!CP95),0)</f>
        <v/>
      </c>
      <c r="CN95" s="316" t="str">
        <f>IFERROR(IF($C95&lt;1,"",CN$3*일별반별!CQ95),0)</f>
        <v/>
      </c>
      <c r="CO95" s="316" t="str">
        <f>IFERROR(IF($C95&lt;1,"",CO$3*일별반별!CR95),0)</f>
        <v/>
      </c>
      <c r="CP95" s="316" t="str">
        <f>IFERROR(IF($C95&lt;1,"",CP$3*일별반별!CS95),0)</f>
        <v/>
      </c>
      <c r="CQ95" s="316" t="str">
        <f>IFERROR(IF($C95&lt;1,"",CQ$3*일별반별!CT95),0)</f>
        <v/>
      </c>
      <c r="CR95" s="418" t="str">
        <f>IFERROR(IF($C95&lt;1,"",CR$3*일별반별!CU95),0)</f>
        <v/>
      </c>
      <c r="CS95" s="418" t="str">
        <f>IFERROR(IF($C95&lt;1,"",CS$3*일별반별!CV95),0)</f>
        <v/>
      </c>
      <c r="CT95" s="316" t="str">
        <f>IFERROR(IF($C95&lt;1,"",CT$3*일별반별!CW95),0)</f>
        <v/>
      </c>
      <c r="CU95" s="316" t="str">
        <f>IFERROR(IF($C95&lt;1,"",CU$3*일별반별!CX95),0)</f>
        <v/>
      </c>
      <c r="CV95" s="316" t="str">
        <f>IFERROR(IF($C95&lt;1,"",CV$3*일별반별!CY95),0)</f>
        <v/>
      </c>
      <c r="CW95" s="316" t="str">
        <f>IFERROR(IF($C95&lt;1,"",CW$3*일별반별!CZ95),0)</f>
        <v/>
      </c>
      <c r="CX95" s="316" t="str">
        <f>IFERROR(IF($C95&lt;1,"",CX$3*일별반별!DA95),0)</f>
        <v/>
      </c>
      <c r="CY95" s="316" t="str">
        <f>IF(C95&lt;1,"",(CY$3*'09월 조업일지'!AV$7))</f>
        <v/>
      </c>
      <c r="CZ95" s="316" t="str">
        <f t="shared" si="4"/>
        <v/>
      </c>
      <c r="DA95" s="316" t="str">
        <f t="shared" si="4"/>
        <v/>
      </c>
      <c r="DB95" s="316" t="str">
        <f t="shared" si="4"/>
        <v/>
      </c>
      <c r="DC95" s="316"/>
      <c r="DD95" s="419"/>
    </row>
    <row r="96" spans="1:108" ht="15" customHeight="1">
      <c r="A96" s="327">
        <f>A91+1</f>
        <v>44031</v>
      </c>
      <c r="B96" s="328" t="s">
        <v>31</v>
      </c>
      <c r="C96" s="329">
        <f>COUNTIF('09월 조업일지'!$A$12:$A$952,A96)</f>
        <v>0</v>
      </c>
      <c r="D96" s="330">
        <f>IF(C96&lt;1,0,(SUM(E96:CX96)/(일별반별!BV96-1.5)+(CY96+CZ96+DA96+DB96)))</f>
        <v>0</v>
      </c>
      <c r="E96" s="331"/>
      <c r="F96" s="331"/>
      <c r="G96" s="332"/>
      <c r="H96" s="333"/>
      <c r="I96" s="333"/>
      <c r="J96" s="334"/>
      <c r="K96" s="334"/>
      <c r="L96" s="334"/>
      <c r="M96" s="334"/>
      <c r="N96" s="334"/>
      <c r="O96" s="334"/>
      <c r="P96" s="334"/>
      <c r="Q96" s="335"/>
      <c r="R96" s="334"/>
      <c r="S96" s="335"/>
      <c r="T96" s="334"/>
      <c r="U96" s="337" t="str">
        <f>IFERROR(IF($C96&lt;1,"",U$3*일별반별!X96),0)</f>
        <v/>
      </c>
      <c r="V96" s="337" t="str">
        <f>IFERROR(IF($C96&lt;1,"",V$3*일별반별!Y96),0)</f>
        <v/>
      </c>
      <c r="W96" s="337" t="str">
        <f>IFERROR(IF($C96&lt;1,"",W$3*일별반별!Z96),0)</f>
        <v/>
      </c>
      <c r="X96" s="336" t="str">
        <f>IFERROR(IF($C96&lt;1,"",X$3*일별반별!AA96),0)</f>
        <v/>
      </c>
      <c r="Y96" s="336" t="str">
        <f>IFERROR(IF($C96&lt;1,"",Y$3*일별반별!AB96),0)</f>
        <v/>
      </c>
      <c r="Z96" s="336" t="str">
        <f>IFERROR(IF($C96&lt;1,"",Z$3*일별반별!AC96),0)</f>
        <v/>
      </c>
      <c r="AA96" s="337" t="str">
        <f>IFERROR(IF($C96&lt;1,"",AA$3*일별반별!AD96),0)</f>
        <v/>
      </c>
      <c r="AB96" s="337" t="str">
        <f>IFERROR(IF($C96&lt;1,"",AB$3*일별반별!AE96),0)</f>
        <v/>
      </c>
      <c r="AC96" s="336" t="str">
        <f>IFERROR(IF($C96&lt;1,"",AC$3*일별반별!AF96),0)</f>
        <v/>
      </c>
      <c r="AD96" s="336" t="str">
        <f>IFERROR(IF($C96&lt;1,"",AD$3*일별반별!AG96),0)</f>
        <v/>
      </c>
      <c r="AE96" s="336" t="str">
        <f>IFERROR(IF($C96&lt;1,"",AE$3*일별반별!AH96),0)</f>
        <v/>
      </c>
      <c r="AF96" s="337" t="str">
        <f>IFERROR(IF($C96&lt;1,"",AF$3*일별반별!AI96),0)</f>
        <v/>
      </c>
      <c r="AG96" s="337" t="str">
        <f>IFERROR(IF($C96&lt;1,"",AG$3*일별반별!AJ96),0)</f>
        <v/>
      </c>
      <c r="AH96" s="337" t="str">
        <f>IFERROR(IF($C96&lt;1,"",AH$3*일별반별!AK96),0)</f>
        <v/>
      </c>
      <c r="AI96" s="337" t="str">
        <f>IFERROR(IF($C96&lt;1,"",AI$3*일별반별!AL96),0)</f>
        <v/>
      </c>
      <c r="AJ96" s="337" t="str">
        <f>IFERROR(IF($C96&lt;1,"",AJ$3*일별반별!AM96),0)</f>
        <v/>
      </c>
      <c r="AK96" s="337" t="str">
        <f>IFERROR(IF($C96&lt;1,"",AK$3*일별반별!AN96),0)</f>
        <v/>
      </c>
      <c r="AL96" s="337" t="str">
        <f>IFERROR(IF($C96&lt;1,"",AL$3*일별반별!AO96),0)</f>
        <v/>
      </c>
      <c r="AM96" s="337" t="str">
        <f>IFERROR(IF($C96&lt;1,"",AM$3*일별반별!AP96),0)</f>
        <v/>
      </c>
      <c r="AN96" s="337" t="str">
        <f>IFERROR(IF($C96&lt;1,"",AN$3*일별반별!AQ96),0)</f>
        <v/>
      </c>
      <c r="AO96" s="337" t="str">
        <f>IFERROR(IF($C96&lt;1,"",AO$3*일별반별!AR96),0)</f>
        <v/>
      </c>
      <c r="AP96" s="337" t="str">
        <f>IFERROR(IF($C96&lt;1,"",AP$3*일별반별!AS96),0)</f>
        <v/>
      </c>
      <c r="AQ96" s="337" t="str">
        <f>IFERROR(IF($C96&lt;1,"",AQ$3*일별반별!AT96),0)</f>
        <v/>
      </c>
      <c r="AR96" s="337" t="str">
        <f>IFERROR(IF($C96&lt;1,"",AR$3*일별반별!AU96),0)</f>
        <v/>
      </c>
      <c r="AS96" s="403" t="str">
        <f>IFERROR(IF($C96&lt;1,"",AS$3*일별반별!AV96),0)</f>
        <v/>
      </c>
      <c r="AT96" s="403" t="str">
        <f>IFERROR(IF($C96&lt;1,"",AT$3*일별반별!AW96),0)</f>
        <v/>
      </c>
      <c r="AU96" s="403" t="str">
        <f>IFERROR(IF($C96&lt;1,"",AU$3*일별반별!AX96),0)</f>
        <v/>
      </c>
      <c r="AV96" s="403" t="str">
        <f>IFERROR(IF($C96&lt;1,"",AV$3*일별반별!AY96),0)</f>
        <v/>
      </c>
      <c r="AW96" s="403" t="str">
        <f>IFERROR(IF($C96&lt;1,"",AW$3*일별반별!AZ96),0)</f>
        <v/>
      </c>
      <c r="AX96" s="403" t="str">
        <f>IFERROR(IF($C96&lt;1,"",AX$3*일별반별!BA96),0)</f>
        <v/>
      </c>
      <c r="AY96" s="403" t="str">
        <f>IFERROR(IF($C96&lt;1,"",AY$3*일별반별!BB96),0)</f>
        <v/>
      </c>
      <c r="AZ96" s="403" t="str">
        <f>IFERROR(IF($C96&lt;1,"",AZ$3*일별반별!BC96),0)</f>
        <v/>
      </c>
      <c r="BA96" s="403" t="str">
        <f>IFERROR(IF($C96&lt;1,"",BA$3*일별반별!BD96),0)</f>
        <v/>
      </c>
      <c r="BB96" s="403" t="str">
        <f>IFERROR(IF($C96&lt;1,"",BB$3*일별반별!BE96),0)</f>
        <v/>
      </c>
      <c r="BC96" s="403" t="str">
        <f>IFERROR(IF($C96&lt;1,"",BC$3*일별반별!BF96),0)</f>
        <v/>
      </c>
      <c r="BD96" s="403" t="str">
        <f>IFERROR(IF($C96&lt;1,"",BD$3*일별반별!BG96),0)</f>
        <v/>
      </c>
      <c r="BE96" s="403" t="str">
        <f>IFERROR(IF($C96&lt;1,"",BE$3*일별반별!BH96),0)</f>
        <v/>
      </c>
      <c r="BF96" s="403" t="str">
        <f>IFERROR(IF($C96&lt;1,"",BF$3*일별반별!BI96),0)</f>
        <v/>
      </c>
      <c r="BG96" s="403" t="str">
        <f>IFERROR(IF($C96&lt;1,"",BG$3*일별반별!BJ96),0)</f>
        <v/>
      </c>
      <c r="BH96" s="403" t="str">
        <f>IFERROR(IF($C96&lt;1,"",BH$3*일별반별!BK96),0)</f>
        <v/>
      </c>
      <c r="BI96" s="403" t="str">
        <f>IFERROR(IF($C96&lt;1,"",BI$3*일별반별!BL96),0)</f>
        <v/>
      </c>
      <c r="BJ96" s="403" t="str">
        <f>IFERROR(IF($C96&lt;1,"",BJ$3*일별반별!BM96),0)</f>
        <v/>
      </c>
      <c r="BK96" s="403" t="str">
        <f>IFERROR(IF($C96&lt;1,"",BK$3*일별반별!BN96),0)</f>
        <v/>
      </c>
      <c r="BL96" s="403" t="str">
        <f>IFERROR(IF($C96&lt;1,"",BL$3*일별반별!BH96),0)</f>
        <v/>
      </c>
      <c r="BM96" s="403" t="str">
        <f>IFERROR(IF($C96&lt;1,"",BM$3*일별반별!BP96),0)</f>
        <v/>
      </c>
      <c r="BN96" s="403" t="str">
        <f>IFERROR(IF($C96&lt;1,"",BN$3*일별반별!BQ96),0)</f>
        <v/>
      </c>
      <c r="BO96" s="403" t="str">
        <f>IFERROR(IF($C96&lt;1,"",BO$3*일별반별!BR96),0)</f>
        <v/>
      </c>
      <c r="BP96" s="403" t="str">
        <f>IFERROR(IF($C96&lt;1,"",BP$3*일별반별!BS96),0)</f>
        <v/>
      </c>
      <c r="BQ96" s="403" t="str">
        <f>IFERROR(IF($C96&lt;1,"",BQ$3*일별반별!BT96),0)</f>
        <v/>
      </c>
      <c r="BR96" s="337" t="str">
        <f>IFERROR(IF($C96&lt;1,"",BR$3*일별반별!BU96),0)</f>
        <v/>
      </c>
      <c r="BS96" s="337" t="str">
        <f>IFERROR(IF($C96&lt;1,"",BS$3*일별반별!BV96),0)</f>
        <v/>
      </c>
      <c r="BT96" s="337" t="str">
        <f>IFERROR(IF($C96&lt;1,"",BT$3*일별반별!BW96),0)</f>
        <v/>
      </c>
      <c r="BU96" s="337" t="str">
        <f>IFERROR(IF($C96&lt;1,"",BU$3*일별반별!BX96),0)</f>
        <v/>
      </c>
      <c r="BV96" s="337" t="str">
        <f>IFERROR(IF($C96&lt;1,"",BV$3*일별반별!BY96),0)</f>
        <v/>
      </c>
      <c r="BW96" s="337" t="str">
        <f>IFERROR(IF($C96&lt;1,"",BW$3*일별반별!BZ96),0)</f>
        <v/>
      </c>
      <c r="BX96" s="337" t="str">
        <f>IFERROR(IF($C96&lt;1,"",BX$3*일별반별!CA96),0)</f>
        <v/>
      </c>
      <c r="BY96" s="337" t="str">
        <f>IFERROR(IF($C96&lt;1,"",BY$3*일별반별!CB96),0)</f>
        <v/>
      </c>
      <c r="BZ96" s="337" t="str">
        <f>IFERROR(IF($C96&lt;1,"",BZ$3*일별반별!CC96),0)</f>
        <v/>
      </c>
      <c r="CA96" s="337" t="str">
        <f>IFERROR(IF($C96&lt;1,"",CA$3*일별반별!CD96),0)</f>
        <v/>
      </c>
      <c r="CB96" s="337" t="str">
        <f>IFERROR(IF($C96&lt;1,"",CB$3*일별반별!CE96),0)</f>
        <v/>
      </c>
      <c r="CC96" s="337" t="str">
        <f>IFERROR(IF($C96&lt;1,"",CC$3*일별반별!CF96),0)</f>
        <v/>
      </c>
      <c r="CD96" s="337" t="str">
        <f>IFERROR(IF($C96&lt;1,"",CD$3*일별반별!CG96),0)</f>
        <v/>
      </c>
      <c r="CE96" s="337" t="str">
        <f>IFERROR(IF($C96&lt;1,"",CE$3*일별반별!CH96),0)</f>
        <v/>
      </c>
      <c r="CF96" s="337" t="str">
        <f>IFERROR(IF($C96&lt;1,"",CF$3*일별반별!CI96),0)</f>
        <v/>
      </c>
      <c r="CG96" s="337" t="str">
        <f>IFERROR(IF($C96&lt;1,"",CG$3*일별반별!CJ96),0)</f>
        <v/>
      </c>
      <c r="CH96" s="337" t="str">
        <f>IFERROR(IF($C96&lt;1,"",CH$3*일별반별!CK96),0)</f>
        <v/>
      </c>
      <c r="CI96" s="337" t="str">
        <f>IFERROR(IF($C96&lt;1,"",CI$3*일별반별!CL96),0)</f>
        <v/>
      </c>
      <c r="CJ96" s="337" t="str">
        <f>IFERROR(IF($C96&lt;1,"",CJ$3*일별반별!CM96),0)</f>
        <v/>
      </c>
      <c r="CK96" s="337" t="str">
        <f>IFERROR(IF($C96&lt;1,"",CK$3*일별반별!CN96),0)</f>
        <v/>
      </c>
      <c r="CL96" s="337" t="str">
        <f>IFERROR(IF($C96&lt;1,"",CL$3*일별반별!CO96),0)</f>
        <v/>
      </c>
      <c r="CM96" s="337" t="str">
        <f>IFERROR(IF($C96&lt;1,"",CM$3*일별반별!CP96),0)</f>
        <v/>
      </c>
      <c r="CN96" s="337" t="str">
        <f>IFERROR(IF($C96&lt;1,"",CN$3*일별반별!CQ96),0)</f>
        <v/>
      </c>
      <c r="CO96" s="337" t="str">
        <f>IFERROR(IF($C96&lt;1,"",CO$3*일별반별!CR96),0)</f>
        <v/>
      </c>
      <c r="CP96" s="337" t="str">
        <f>IFERROR(IF($C96&lt;1,"",CP$3*일별반별!CS96),0)</f>
        <v/>
      </c>
      <c r="CQ96" s="337" t="str">
        <f>IFERROR(IF($C96&lt;1,"",CQ$3*일별반별!CT96),0)</f>
        <v/>
      </c>
      <c r="CR96" s="420" t="str">
        <f>IFERROR(IF($C96&lt;1,"",CR$3*일별반별!CU96),0)</f>
        <v/>
      </c>
      <c r="CS96" s="420" t="str">
        <f>IFERROR(IF($C96&lt;1,"",CS$3*일별반별!CV96),0)</f>
        <v/>
      </c>
      <c r="CT96" s="337" t="str">
        <f>IFERROR(IF($C96&lt;1,"",CT$3*일별반별!CW96),0)</f>
        <v/>
      </c>
      <c r="CU96" s="337" t="str">
        <f>IFERROR(IF($C96&lt;1,"",CU$3*일별반별!CX96),0)</f>
        <v/>
      </c>
      <c r="CV96" s="337" t="str">
        <f>IFERROR(IF($C96&lt;1,"",CV$3*일별반별!CY96),0)</f>
        <v/>
      </c>
      <c r="CW96" s="337" t="str">
        <f>IFERROR(IF($C96&lt;1,"",CW$3*일별반별!CZ96),0)</f>
        <v/>
      </c>
      <c r="CX96" s="337" t="str">
        <f>IFERROR(IF($C96&lt;1,"",CX$3*일별반별!DA96),0)</f>
        <v/>
      </c>
      <c r="CY96" s="316" t="str">
        <f>IF(C96&lt;1,"",(CY$3*'09월 조업일지'!AV$7))</f>
        <v/>
      </c>
      <c r="CZ96" s="316" t="str">
        <f t="shared" si="4"/>
        <v/>
      </c>
      <c r="DA96" s="316" t="str">
        <f t="shared" si="4"/>
        <v/>
      </c>
      <c r="DB96" s="316" t="str">
        <f t="shared" si="4"/>
        <v/>
      </c>
      <c r="DC96" s="316"/>
      <c r="DD96" s="419"/>
    </row>
    <row r="97" spans="1:108" ht="15" customHeight="1">
      <c r="A97" s="274">
        <f t="shared" si="6"/>
        <v>44031</v>
      </c>
      <c r="B97" s="275" t="s">
        <v>9</v>
      </c>
      <c r="C97" s="201">
        <f>COUNTIFS('09월 조업일지'!$A$12:$A$952,A96,'09월 조업일지'!$E$12:$E$952,B97)</f>
        <v>0</v>
      </c>
      <c r="D97" s="314">
        <f>IF(C97&lt;1,0,(SUM(E97:CX97)/(일별반별!BV97-1.5)+(CY97+CZ97+DA97+DB97)))</f>
        <v>0</v>
      </c>
      <c r="E97" s="278"/>
      <c r="F97" s="281"/>
      <c r="G97" s="282"/>
      <c r="H97" s="283"/>
      <c r="I97" s="283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326"/>
      <c r="U97" s="395" t="str">
        <f>IFERROR(IF($C97&lt;1,"",U$3*일별반별!X97),0)</f>
        <v/>
      </c>
      <c r="V97" s="395" t="str">
        <f>IFERROR(IF($C97&lt;1,"",V$3*일별반별!Y97),0)</f>
        <v/>
      </c>
      <c r="W97" s="395" t="str">
        <f>IFERROR(IF($C97&lt;1,"",W$3*일별반별!Z97),0)</f>
        <v/>
      </c>
      <c r="X97" s="208" t="str">
        <f>IFERROR(IF($C97&lt;1,"",X$3*일별반별!AA97),0)</f>
        <v/>
      </c>
      <c r="Y97" s="208" t="str">
        <f>IFERROR(IF($C97&lt;1,"",Y$3*일별반별!AB97),0)</f>
        <v/>
      </c>
      <c r="Z97" s="208" t="str">
        <f>IFERROR(IF($C97&lt;1,"",Z$3*일별반별!AC97),0)</f>
        <v/>
      </c>
      <c r="AA97" s="395" t="str">
        <f>IFERROR(IF($C97&lt;1,"",AA$3*일별반별!AD97),0)</f>
        <v/>
      </c>
      <c r="AB97" s="395" t="str">
        <f>IFERROR(IF($C97&lt;1,"",AB$3*일별반별!AE97),0)</f>
        <v/>
      </c>
      <c r="AC97" s="208" t="str">
        <f>IFERROR(IF($C97&lt;1,"",AC$3*일별반별!AF97),0)</f>
        <v/>
      </c>
      <c r="AD97" s="208" t="str">
        <f>IFERROR(IF($C97&lt;1,"",AD$3*일별반별!AG97),0)</f>
        <v/>
      </c>
      <c r="AE97" s="208" t="str">
        <f>IFERROR(IF($C97&lt;1,"",AE$3*일별반별!AH97),0)</f>
        <v/>
      </c>
      <c r="AF97" s="395" t="str">
        <f>IFERROR(IF($C97&lt;1,"",AF$3*일별반별!AI97),0)</f>
        <v/>
      </c>
      <c r="AG97" s="395" t="str">
        <f>IFERROR(IF($C97&lt;1,"",AG$3*일별반별!AJ97),0)</f>
        <v/>
      </c>
      <c r="AH97" s="395" t="str">
        <f>IFERROR(IF($C97&lt;1,"",AH$3*일별반별!AK97),0)</f>
        <v/>
      </c>
      <c r="AI97" s="395" t="str">
        <f>IFERROR(IF($C97&lt;1,"",AI$3*일별반별!AL97),0)</f>
        <v/>
      </c>
      <c r="AJ97" s="395" t="str">
        <f>IFERROR(IF($C97&lt;1,"",AJ$3*일별반별!AM97),0)</f>
        <v/>
      </c>
      <c r="AK97" s="395" t="str">
        <f>IFERROR(IF($C97&lt;1,"",AK$3*일별반별!AN97),0)</f>
        <v/>
      </c>
      <c r="AL97" s="395" t="str">
        <f>IFERROR(IF($C97&lt;1,"",AL$3*일별반별!AO97),0)</f>
        <v/>
      </c>
      <c r="AM97" s="395" t="str">
        <f>IFERROR(IF($C97&lt;1,"",AM$3*일별반별!AP97),0)</f>
        <v/>
      </c>
      <c r="AN97" s="395" t="str">
        <f>IFERROR(IF($C97&lt;1,"",AN$3*일별반별!AQ97),0)</f>
        <v/>
      </c>
      <c r="AO97" s="395" t="str">
        <f>IFERROR(IF($C97&lt;1,"",AO$3*일별반별!AR97),0)</f>
        <v/>
      </c>
      <c r="AP97" s="347" t="str">
        <f>IFERROR(IF($C97&lt;1,"",AP$3*일별반별!AS97),0)</f>
        <v/>
      </c>
      <c r="AQ97" s="347" t="str">
        <f>IFERROR(IF($C97&lt;1,"",AQ$3*일별반별!AT97),0)</f>
        <v/>
      </c>
      <c r="AR97" s="316" t="str">
        <f>IFERROR(IF($C97&lt;1,"",AR$3*일별반별!AU97),0)</f>
        <v/>
      </c>
      <c r="AS97" s="401" t="str">
        <f>IFERROR(IF($C97&lt;1,"",AS$3*일별반별!AV97),0)</f>
        <v/>
      </c>
      <c r="AT97" s="401" t="str">
        <f>IFERROR(IF($C97&lt;1,"",AT$3*일별반별!AW97),0)</f>
        <v/>
      </c>
      <c r="AU97" s="401" t="str">
        <f>IFERROR(IF($C97&lt;1,"",AU$3*일별반별!AX97),0)</f>
        <v/>
      </c>
      <c r="AV97" s="401" t="str">
        <f>IFERROR(IF($C97&lt;1,"",AV$3*일별반별!AY97),0)</f>
        <v/>
      </c>
      <c r="AW97" s="401" t="str">
        <f>IFERROR(IF($C97&lt;1,"",AW$3*일별반별!AZ97),0)</f>
        <v/>
      </c>
      <c r="AX97" s="401" t="str">
        <f>IFERROR(IF($C97&lt;1,"",AX$3*일별반별!BA97),0)</f>
        <v/>
      </c>
      <c r="AY97" s="401" t="str">
        <f>IFERROR(IF($C97&lt;1,"",AY$3*일별반별!BB97),0)</f>
        <v/>
      </c>
      <c r="AZ97" s="401" t="str">
        <f>IFERROR(IF($C97&lt;1,"",AZ$3*일별반별!BC97),0)</f>
        <v/>
      </c>
      <c r="BA97" s="401" t="str">
        <f>IFERROR(IF($C97&lt;1,"",BA$3*일별반별!BD97),0)</f>
        <v/>
      </c>
      <c r="BB97" s="402" t="str">
        <f>IFERROR(IF($C97&lt;1,"",BB$3*일별반별!BE97),0)</f>
        <v/>
      </c>
      <c r="BC97" s="402" t="str">
        <f>IFERROR(IF($C97&lt;1,"",BC$3*일별반별!BF97),0)</f>
        <v/>
      </c>
      <c r="BD97" s="402" t="str">
        <f>IFERROR(IF($C97&lt;1,"",BD$3*일별반별!BG97),0)</f>
        <v/>
      </c>
      <c r="BE97" s="402" t="str">
        <f>IFERROR(IF($C97&lt;1,"",BE$3*일별반별!BH97),0)</f>
        <v/>
      </c>
      <c r="BF97" s="402" t="str">
        <f>IFERROR(IF($C97&lt;1,"",BF$3*일별반별!BI97),0)</f>
        <v/>
      </c>
      <c r="BG97" s="402" t="str">
        <f>IFERROR(IF($C97&lt;1,"",BG$3*일별반별!BJ97),0)</f>
        <v/>
      </c>
      <c r="BH97" s="402" t="str">
        <f>IFERROR(IF($C97&lt;1,"",BH$3*일별반별!BK97),0)</f>
        <v/>
      </c>
      <c r="BI97" s="402" t="str">
        <f>IFERROR(IF($C97&lt;1,"",BI$3*일별반별!BL97),0)</f>
        <v/>
      </c>
      <c r="BJ97" s="402" t="str">
        <f>IFERROR(IF($C97&lt;1,"",BJ$3*일별반별!BM97),0)</f>
        <v/>
      </c>
      <c r="BK97" s="402" t="str">
        <f>IFERROR(IF($C97&lt;1,"",BK$3*일별반별!BN97),0)</f>
        <v/>
      </c>
      <c r="BL97" s="402" t="str">
        <f>IFERROR(IF($C97&lt;1,"",BL$3*일별반별!BH97),0)</f>
        <v/>
      </c>
      <c r="BM97" s="402" t="str">
        <f>IFERROR(IF($C97&lt;1,"",BM$3*일별반별!BP97),0)</f>
        <v/>
      </c>
      <c r="BN97" s="401" t="str">
        <f>IFERROR(IF($C97&lt;1,"",BN$3*일별반별!BQ97),0)</f>
        <v/>
      </c>
      <c r="BO97" s="401" t="str">
        <f>IFERROR(IF($C97&lt;1,"",BO$3*일별반별!BR97),0)</f>
        <v/>
      </c>
      <c r="BP97" s="401" t="str">
        <f>IFERROR(IF($C97&lt;1,"",BP$3*일별반별!BS97),0)</f>
        <v/>
      </c>
      <c r="BQ97" s="401" t="str">
        <f>IFERROR(IF($C97&lt;1,"",BQ$3*일별반별!BT97),0)</f>
        <v/>
      </c>
      <c r="BR97" s="417" t="str">
        <f>IFERROR(IF($C97&lt;1,"",BR$3*일별반별!BU97),0)</f>
        <v/>
      </c>
      <c r="BS97" s="417" t="str">
        <f>IFERROR(IF($C97&lt;1,"",BS$3*일별반별!BV97),0)</f>
        <v/>
      </c>
      <c r="BT97" s="417" t="str">
        <f>IFERROR(IF($C97&lt;1,"",BT$3*일별반별!BW97),0)</f>
        <v/>
      </c>
      <c r="BU97" s="316" t="str">
        <f>IFERROR(IF($C97&lt;1,"",BU$3*일별반별!BX97),0)</f>
        <v/>
      </c>
      <c r="BV97" s="316" t="str">
        <f>IFERROR(IF($C97&lt;1,"",BV$3*일별반별!BY97),0)</f>
        <v/>
      </c>
      <c r="BW97" s="316" t="str">
        <f>IFERROR(IF($C97&lt;1,"",BW$3*일별반별!BZ97),0)</f>
        <v/>
      </c>
      <c r="BX97" s="316" t="str">
        <f>IFERROR(IF($C97&lt;1,"",BX$3*일별반별!CA97),0)</f>
        <v/>
      </c>
      <c r="BY97" s="316" t="str">
        <f>IFERROR(IF($C97&lt;1,"",BY$3*일별반별!CB97),0)</f>
        <v/>
      </c>
      <c r="BZ97" s="316" t="str">
        <f>IFERROR(IF($C97&lt;1,"",BZ$3*일별반별!CC97),0)</f>
        <v/>
      </c>
      <c r="CA97" s="316" t="str">
        <f>IFERROR(IF($C97&lt;1,"",CA$3*일별반별!CD97),0)</f>
        <v/>
      </c>
      <c r="CB97" s="316" t="str">
        <f>IFERROR(IF($C97&lt;1,"",CB$3*일별반별!CE97),0)</f>
        <v/>
      </c>
      <c r="CC97" s="316" t="str">
        <f>IFERROR(IF($C97&lt;1,"",CC$3*일별반별!CF97),0)</f>
        <v/>
      </c>
      <c r="CD97" s="316" t="str">
        <f>IFERROR(IF($C97&lt;1,"",CD$3*일별반별!CG97),0)</f>
        <v/>
      </c>
      <c r="CE97" s="316" t="str">
        <f>IFERROR(IF($C97&lt;1,"",CE$3*일별반별!CH97),0)</f>
        <v/>
      </c>
      <c r="CF97" s="316" t="str">
        <f>IFERROR(IF($C97&lt;1,"",CF$3*일별반별!CI97),0)</f>
        <v/>
      </c>
      <c r="CG97" s="316" t="str">
        <f>IFERROR(IF($C97&lt;1,"",CG$3*일별반별!CJ97),0)</f>
        <v/>
      </c>
      <c r="CH97" s="316" t="str">
        <f>IFERROR(IF($C97&lt;1,"",CH$3*일별반별!CK97),0)</f>
        <v/>
      </c>
      <c r="CI97" s="316" t="str">
        <f>IFERROR(IF($C97&lt;1,"",CI$3*일별반별!CL97),0)</f>
        <v/>
      </c>
      <c r="CJ97" s="316" t="str">
        <f>IFERROR(IF($C97&lt;1,"",CJ$3*일별반별!CM97),0)</f>
        <v/>
      </c>
      <c r="CK97" s="316" t="str">
        <f>IFERROR(IF($C97&lt;1,"",CK$3*일별반별!CN97),0)</f>
        <v/>
      </c>
      <c r="CL97" s="316" t="str">
        <f>IFERROR(IF($C97&lt;1,"",CL$3*일별반별!CO97),0)</f>
        <v/>
      </c>
      <c r="CM97" s="316" t="str">
        <f>IFERROR(IF($C97&lt;1,"",CM$3*일별반별!CP97),0)</f>
        <v/>
      </c>
      <c r="CN97" s="316" t="str">
        <f>IFERROR(IF($C97&lt;1,"",CN$3*일별반별!CQ97),0)</f>
        <v/>
      </c>
      <c r="CO97" s="316" t="str">
        <f>IFERROR(IF($C97&lt;1,"",CO$3*일별반별!CR97),0)</f>
        <v/>
      </c>
      <c r="CP97" s="316" t="str">
        <f>IFERROR(IF($C97&lt;1,"",CP$3*일별반별!CS97),0)</f>
        <v/>
      </c>
      <c r="CQ97" s="316" t="str">
        <f>IFERROR(IF($C97&lt;1,"",CQ$3*일별반별!CT97),0)</f>
        <v/>
      </c>
      <c r="CR97" s="418" t="str">
        <f>IFERROR(IF($C97&lt;1,"",CR$3*일별반별!CU97),0)</f>
        <v/>
      </c>
      <c r="CS97" s="418" t="str">
        <f>IFERROR(IF($C97&lt;1,"",CS$3*일별반별!CV97),0)</f>
        <v/>
      </c>
      <c r="CT97" s="316" t="str">
        <f>IFERROR(IF($C97&lt;1,"",CT$3*일별반별!CW97),0)</f>
        <v/>
      </c>
      <c r="CU97" s="316" t="str">
        <f>IFERROR(IF($C97&lt;1,"",CU$3*일별반별!CX97),0)</f>
        <v/>
      </c>
      <c r="CV97" s="316" t="str">
        <f>IFERROR(IF($C97&lt;1,"",CV$3*일별반별!CY97),0)</f>
        <v/>
      </c>
      <c r="CW97" s="316" t="str">
        <f>IFERROR(IF($C97&lt;1,"",CW$3*일별반별!CZ97),0)</f>
        <v/>
      </c>
      <c r="CX97" s="316" t="str">
        <f>IFERROR(IF($C97&lt;1,"",CX$3*일별반별!DA97),0)</f>
        <v/>
      </c>
      <c r="CY97" s="316" t="str">
        <f>IF(C97&lt;1,"",(CY$3*'09월 조업일지'!AV$7))</f>
        <v/>
      </c>
      <c r="CZ97" s="316" t="str">
        <f t="shared" si="4"/>
        <v/>
      </c>
      <c r="DA97" s="316" t="str">
        <f t="shared" si="4"/>
        <v/>
      </c>
      <c r="DB97" s="316" t="str">
        <f t="shared" si="4"/>
        <v/>
      </c>
      <c r="DC97" s="316"/>
      <c r="DD97" s="419"/>
    </row>
    <row r="98" spans="1:108" ht="15" customHeight="1">
      <c r="A98" s="274">
        <f t="shared" si="6"/>
        <v>44031</v>
      </c>
      <c r="B98" s="275" t="s">
        <v>100</v>
      </c>
      <c r="C98" s="201">
        <f>COUNTIFS('09월 조업일지'!$A$12:$A$952,A96,'09월 조업일지'!$E$12:$E$952,B98)</f>
        <v>0</v>
      </c>
      <c r="D98" s="314">
        <f>IF(C98&lt;1,0,(SUM(E98:CX98)/(일별반별!BV98-1.5)+(CY98+CZ98+DA98+DB98)))</f>
        <v>0</v>
      </c>
      <c r="E98" s="278"/>
      <c r="F98" s="281"/>
      <c r="G98" s="282"/>
      <c r="H98" s="283"/>
      <c r="I98" s="283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326"/>
      <c r="U98" s="395" t="str">
        <f>IFERROR(IF($C98&lt;1,"",U$3*일별반별!X98),0)</f>
        <v/>
      </c>
      <c r="V98" s="395" t="str">
        <f>IFERROR(IF($C98&lt;1,"",V$3*일별반별!Y98),0)</f>
        <v/>
      </c>
      <c r="W98" s="395" t="str">
        <f>IFERROR(IF($C98&lt;1,"",W$3*일별반별!Z98),0)</f>
        <v/>
      </c>
      <c r="X98" s="208" t="str">
        <f>IFERROR(IF($C98&lt;1,"",X$3*일별반별!AA98),0)</f>
        <v/>
      </c>
      <c r="Y98" s="208" t="str">
        <f>IFERROR(IF($C98&lt;1,"",Y$3*일별반별!AB98),0)</f>
        <v/>
      </c>
      <c r="Z98" s="208" t="str">
        <f>IFERROR(IF($C98&lt;1,"",Z$3*일별반별!AC98),0)</f>
        <v/>
      </c>
      <c r="AA98" s="395" t="str">
        <f>IFERROR(IF($C98&lt;1,"",AA$3*일별반별!AD98),0)</f>
        <v/>
      </c>
      <c r="AB98" s="395" t="str">
        <f>IFERROR(IF($C98&lt;1,"",AB$3*일별반별!AE98),0)</f>
        <v/>
      </c>
      <c r="AC98" s="208" t="str">
        <f>IFERROR(IF($C98&lt;1,"",AC$3*일별반별!AF98),0)</f>
        <v/>
      </c>
      <c r="AD98" s="208" t="str">
        <f>IFERROR(IF($C98&lt;1,"",AD$3*일별반별!AG98),0)</f>
        <v/>
      </c>
      <c r="AE98" s="208" t="str">
        <f>IFERROR(IF($C98&lt;1,"",AE$3*일별반별!AH98),0)</f>
        <v/>
      </c>
      <c r="AF98" s="395" t="str">
        <f>IFERROR(IF($C98&lt;1,"",AF$3*일별반별!AI98),0)</f>
        <v/>
      </c>
      <c r="AG98" s="395" t="str">
        <f>IFERROR(IF($C98&lt;1,"",AG$3*일별반별!AJ98),0)</f>
        <v/>
      </c>
      <c r="AH98" s="395" t="str">
        <f>IFERROR(IF($C98&lt;1,"",AH$3*일별반별!AK98),0)</f>
        <v/>
      </c>
      <c r="AI98" s="395" t="str">
        <f>IFERROR(IF($C98&lt;1,"",AI$3*일별반별!AL98),0)</f>
        <v/>
      </c>
      <c r="AJ98" s="395" t="str">
        <f>IFERROR(IF($C98&lt;1,"",AJ$3*일별반별!AM98),0)</f>
        <v/>
      </c>
      <c r="AK98" s="395" t="str">
        <f>IFERROR(IF($C98&lt;1,"",AK$3*일별반별!AN98),0)</f>
        <v/>
      </c>
      <c r="AL98" s="395" t="str">
        <f>IFERROR(IF($C98&lt;1,"",AL$3*일별반별!AO98),0)</f>
        <v/>
      </c>
      <c r="AM98" s="395" t="str">
        <f>IFERROR(IF($C98&lt;1,"",AM$3*일별반별!AP98),0)</f>
        <v/>
      </c>
      <c r="AN98" s="395" t="str">
        <f>IFERROR(IF($C98&lt;1,"",AN$3*일별반별!AQ98),0)</f>
        <v/>
      </c>
      <c r="AO98" s="395" t="str">
        <f>IFERROR(IF($C98&lt;1,"",AO$3*일별반별!AR98),0)</f>
        <v/>
      </c>
      <c r="AP98" s="347" t="str">
        <f>IFERROR(IF($C98&lt;1,"",AP$3*일별반별!AS98),0)</f>
        <v/>
      </c>
      <c r="AQ98" s="347" t="str">
        <f>IFERROR(IF($C98&lt;1,"",AQ$3*일별반별!AT98),0)</f>
        <v/>
      </c>
      <c r="AR98" s="316" t="str">
        <f>IFERROR(IF($C98&lt;1,"",AR$3*일별반별!AU98),0)</f>
        <v/>
      </c>
      <c r="AS98" s="401" t="str">
        <f>IFERROR(IF($C98&lt;1,"",AS$3*일별반별!AV98),0)</f>
        <v/>
      </c>
      <c r="AT98" s="401" t="str">
        <f>IFERROR(IF($C98&lt;1,"",AT$3*일별반별!AW98),0)</f>
        <v/>
      </c>
      <c r="AU98" s="401" t="str">
        <f>IFERROR(IF($C98&lt;1,"",AU$3*일별반별!AX98),0)</f>
        <v/>
      </c>
      <c r="AV98" s="401" t="str">
        <f>IFERROR(IF($C98&lt;1,"",AV$3*일별반별!AY98),0)</f>
        <v/>
      </c>
      <c r="AW98" s="401" t="str">
        <f>IFERROR(IF($C98&lt;1,"",AW$3*일별반별!AZ98),0)</f>
        <v/>
      </c>
      <c r="AX98" s="401" t="str">
        <f>IFERROR(IF($C98&lt;1,"",AX$3*일별반별!BA98),0)</f>
        <v/>
      </c>
      <c r="AY98" s="401" t="str">
        <f>IFERROR(IF($C98&lt;1,"",AY$3*일별반별!BB98),0)</f>
        <v/>
      </c>
      <c r="AZ98" s="401" t="str">
        <f>IFERROR(IF($C98&lt;1,"",AZ$3*일별반별!BC98),0)</f>
        <v/>
      </c>
      <c r="BA98" s="401" t="str">
        <f>IFERROR(IF($C98&lt;1,"",BA$3*일별반별!BD98),0)</f>
        <v/>
      </c>
      <c r="BB98" s="402" t="str">
        <f>IFERROR(IF($C98&lt;1,"",BB$3*일별반별!BE98),0)</f>
        <v/>
      </c>
      <c r="BC98" s="402" t="str">
        <f>IFERROR(IF($C98&lt;1,"",BC$3*일별반별!BF98),0)</f>
        <v/>
      </c>
      <c r="BD98" s="402" t="str">
        <f>IFERROR(IF($C98&lt;1,"",BD$3*일별반별!BG98),0)</f>
        <v/>
      </c>
      <c r="BE98" s="402" t="str">
        <f>IFERROR(IF($C98&lt;1,"",BE$3*일별반별!BH98),0)</f>
        <v/>
      </c>
      <c r="BF98" s="402" t="str">
        <f>IFERROR(IF($C98&lt;1,"",BF$3*일별반별!BI98),0)</f>
        <v/>
      </c>
      <c r="BG98" s="402" t="str">
        <f>IFERROR(IF($C98&lt;1,"",BG$3*일별반별!BJ98),0)</f>
        <v/>
      </c>
      <c r="BH98" s="402" t="str">
        <f>IFERROR(IF($C98&lt;1,"",BH$3*일별반별!BK98),0)</f>
        <v/>
      </c>
      <c r="BI98" s="402" t="str">
        <f>IFERROR(IF($C98&lt;1,"",BI$3*일별반별!BL98),0)</f>
        <v/>
      </c>
      <c r="BJ98" s="402" t="str">
        <f>IFERROR(IF($C98&lt;1,"",BJ$3*일별반별!BM98),0)</f>
        <v/>
      </c>
      <c r="BK98" s="402" t="str">
        <f>IFERROR(IF($C98&lt;1,"",BK$3*일별반별!BN98),0)</f>
        <v/>
      </c>
      <c r="BL98" s="402" t="str">
        <f>IFERROR(IF($C98&lt;1,"",BL$3*일별반별!BH98),0)</f>
        <v/>
      </c>
      <c r="BM98" s="402" t="str">
        <f>IFERROR(IF($C98&lt;1,"",BM$3*일별반별!BP98),0)</f>
        <v/>
      </c>
      <c r="BN98" s="401" t="str">
        <f>IFERROR(IF($C98&lt;1,"",BN$3*일별반별!BQ98),0)</f>
        <v/>
      </c>
      <c r="BO98" s="401" t="str">
        <f>IFERROR(IF($C98&lt;1,"",BO$3*일별반별!BR98),0)</f>
        <v/>
      </c>
      <c r="BP98" s="401" t="str">
        <f>IFERROR(IF($C98&lt;1,"",BP$3*일별반별!BS98),0)</f>
        <v/>
      </c>
      <c r="BQ98" s="401" t="str">
        <f>IFERROR(IF($C98&lt;1,"",BQ$3*일별반별!BT98),0)</f>
        <v/>
      </c>
      <c r="BR98" s="417" t="str">
        <f>IFERROR(IF($C98&lt;1,"",BR$3*일별반별!BU98),0)</f>
        <v/>
      </c>
      <c r="BS98" s="417" t="str">
        <f>IFERROR(IF($C98&lt;1,"",BS$3*일별반별!BV98),0)</f>
        <v/>
      </c>
      <c r="BT98" s="417" t="str">
        <f>IFERROR(IF($C98&lt;1,"",BT$3*일별반별!BW98),0)</f>
        <v/>
      </c>
      <c r="BU98" s="316" t="str">
        <f>IFERROR(IF($C98&lt;1,"",BU$3*일별반별!BX98),0)</f>
        <v/>
      </c>
      <c r="BV98" s="316" t="str">
        <f>IFERROR(IF($C98&lt;1,"",BV$3*일별반별!BY98),0)</f>
        <v/>
      </c>
      <c r="BW98" s="316" t="str">
        <f>IFERROR(IF($C98&lt;1,"",BW$3*일별반별!BZ98),0)</f>
        <v/>
      </c>
      <c r="BX98" s="316" t="str">
        <f>IFERROR(IF($C98&lt;1,"",BX$3*일별반별!CA98),0)</f>
        <v/>
      </c>
      <c r="BY98" s="316" t="str">
        <f>IFERROR(IF($C98&lt;1,"",BY$3*일별반별!CB98),0)</f>
        <v/>
      </c>
      <c r="BZ98" s="316" t="str">
        <f>IFERROR(IF($C98&lt;1,"",BZ$3*일별반별!CC98),0)</f>
        <v/>
      </c>
      <c r="CA98" s="316" t="str">
        <f>IFERROR(IF($C98&lt;1,"",CA$3*일별반별!CD98),0)</f>
        <v/>
      </c>
      <c r="CB98" s="316" t="str">
        <f>IFERROR(IF($C98&lt;1,"",CB$3*일별반별!CE98),0)</f>
        <v/>
      </c>
      <c r="CC98" s="316" t="str">
        <f>IFERROR(IF($C98&lt;1,"",CC$3*일별반별!CF98),0)</f>
        <v/>
      </c>
      <c r="CD98" s="316" t="str">
        <f>IFERROR(IF($C98&lt;1,"",CD$3*일별반별!CG98),0)</f>
        <v/>
      </c>
      <c r="CE98" s="316" t="str">
        <f>IFERROR(IF($C98&lt;1,"",CE$3*일별반별!CH98),0)</f>
        <v/>
      </c>
      <c r="CF98" s="316" t="str">
        <f>IFERROR(IF($C98&lt;1,"",CF$3*일별반별!CI98),0)</f>
        <v/>
      </c>
      <c r="CG98" s="316" t="str">
        <f>IFERROR(IF($C98&lt;1,"",CG$3*일별반별!CJ98),0)</f>
        <v/>
      </c>
      <c r="CH98" s="316" t="str">
        <f>IFERROR(IF($C98&lt;1,"",CH$3*일별반별!CK98),0)</f>
        <v/>
      </c>
      <c r="CI98" s="316" t="str">
        <f>IFERROR(IF($C98&lt;1,"",CI$3*일별반별!CL98),0)</f>
        <v/>
      </c>
      <c r="CJ98" s="316" t="str">
        <f>IFERROR(IF($C98&lt;1,"",CJ$3*일별반별!CM98),0)</f>
        <v/>
      </c>
      <c r="CK98" s="316" t="str">
        <f>IFERROR(IF($C98&lt;1,"",CK$3*일별반별!CN98),0)</f>
        <v/>
      </c>
      <c r="CL98" s="316" t="str">
        <f>IFERROR(IF($C98&lt;1,"",CL$3*일별반별!CO98),0)</f>
        <v/>
      </c>
      <c r="CM98" s="316" t="str">
        <f>IFERROR(IF($C98&lt;1,"",CM$3*일별반별!CP98),0)</f>
        <v/>
      </c>
      <c r="CN98" s="316" t="str">
        <f>IFERROR(IF($C98&lt;1,"",CN$3*일별반별!CQ98),0)</f>
        <v/>
      </c>
      <c r="CO98" s="316" t="str">
        <f>IFERROR(IF($C98&lt;1,"",CO$3*일별반별!CR98),0)</f>
        <v/>
      </c>
      <c r="CP98" s="316" t="str">
        <f>IFERROR(IF($C98&lt;1,"",CP$3*일별반별!CS98),0)</f>
        <v/>
      </c>
      <c r="CQ98" s="316" t="str">
        <f>IFERROR(IF($C98&lt;1,"",CQ$3*일별반별!CT98),0)</f>
        <v/>
      </c>
      <c r="CR98" s="418" t="str">
        <f>IFERROR(IF($C98&lt;1,"",CR$3*일별반별!CU98),0)</f>
        <v/>
      </c>
      <c r="CS98" s="418" t="str">
        <f>IFERROR(IF($C98&lt;1,"",CS$3*일별반별!CV98),0)</f>
        <v/>
      </c>
      <c r="CT98" s="316" t="str">
        <f>IFERROR(IF($C98&lt;1,"",CT$3*일별반별!CW98),0)</f>
        <v/>
      </c>
      <c r="CU98" s="316" t="str">
        <f>IFERROR(IF($C98&lt;1,"",CU$3*일별반별!CX98),0)</f>
        <v/>
      </c>
      <c r="CV98" s="316" t="str">
        <f>IFERROR(IF($C98&lt;1,"",CV$3*일별반별!CY98),0)</f>
        <v/>
      </c>
      <c r="CW98" s="316" t="str">
        <f>IFERROR(IF($C98&lt;1,"",CW$3*일별반별!CZ98),0)</f>
        <v/>
      </c>
      <c r="CX98" s="316" t="str">
        <f>IFERROR(IF($C98&lt;1,"",CX$3*일별반별!DA98),0)</f>
        <v/>
      </c>
      <c r="CY98" s="316" t="str">
        <f>IF(C98&lt;1,"",(CY$3*'09월 조업일지'!AV$7))</f>
        <v/>
      </c>
      <c r="CZ98" s="316" t="str">
        <f t="shared" si="4"/>
        <v/>
      </c>
      <c r="DA98" s="316" t="str">
        <f t="shared" si="4"/>
        <v/>
      </c>
      <c r="DB98" s="316" t="str">
        <f t="shared" si="4"/>
        <v/>
      </c>
      <c r="DC98" s="316"/>
      <c r="DD98" s="419"/>
    </row>
    <row r="99" spans="1:108" ht="15" customHeight="1">
      <c r="A99" s="274">
        <f t="shared" si="6"/>
        <v>44031</v>
      </c>
      <c r="B99" s="275" t="s">
        <v>10</v>
      </c>
      <c r="C99" s="201">
        <f>COUNTIFS('09월 조업일지'!$A$12:$A$952,A96,'09월 조업일지'!$E$12:$E$952,B99)</f>
        <v>0</v>
      </c>
      <c r="D99" s="314">
        <f>IF(C99&lt;1,0,(SUM(E99:CX99)/(일별반별!BV99-1.5)+(CY99+CZ99+DA99+DB99)))</f>
        <v>0</v>
      </c>
      <c r="E99" s="278"/>
      <c r="F99" s="281"/>
      <c r="G99" s="282"/>
      <c r="H99" s="283"/>
      <c r="I99" s="283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326"/>
      <c r="U99" s="395" t="str">
        <f>IFERROR(IF($C99&lt;1,"",U$3*일별반별!X99),0)</f>
        <v/>
      </c>
      <c r="V99" s="395" t="str">
        <f>IFERROR(IF($C99&lt;1,"",V$3*일별반별!Y99),0)</f>
        <v/>
      </c>
      <c r="W99" s="395" t="str">
        <f>IFERROR(IF($C99&lt;1,"",W$3*일별반별!Z99),0)</f>
        <v/>
      </c>
      <c r="X99" s="208" t="str">
        <f>IFERROR(IF($C99&lt;1,"",X$3*일별반별!AA99),0)</f>
        <v/>
      </c>
      <c r="Y99" s="208" t="str">
        <f>IFERROR(IF($C99&lt;1,"",Y$3*일별반별!AB99),0)</f>
        <v/>
      </c>
      <c r="Z99" s="208" t="str">
        <f>IFERROR(IF($C99&lt;1,"",Z$3*일별반별!AC99),0)</f>
        <v/>
      </c>
      <c r="AA99" s="395" t="str">
        <f>IFERROR(IF($C99&lt;1,"",AA$3*일별반별!AD99),0)</f>
        <v/>
      </c>
      <c r="AB99" s="395" t="str">
        <f>IFERROR(IF($C99&lt;1,"",AB$3*일별반별!AE99),0)</f>
        <v/>
      </c>
      <c r="AC99" s="208" t="str">
        <f>IFERROR(IF($C99&lt;1,"",AC$3*일별반별!AF99),0)</f>
        <v/>
      </c>
      <c r="AD99" s="208" t="str">
        <f>IFERROR(IF($C99&lt;1,"",AD$3*일별반별!AG99),0)</f>
        <v/>
      </c>
      <c r="AE99" s="208" t="str">
        <f>IFERROR(IF($C99&lt;1,"",AE$3*일별반별!AH99),0)</f>
        <v/>
      </c>
      <c r="AF99" s="395" t="str">
        <f>IFERROR(IF($C99&lt;1,"",AF$3*일별반별!AI99),0)</f>
        <v/>
      </c>
      <c r="AG99" s="395" t="str">
        <f>IFERROR(IF($C99&lt;1,"",AG$3*일별반별!AJ99),0)</f>
        <v/>
      </c>
      <c r="AH99" s="395" t="str">
        <f>IFERROR(IF($C99&lt;1,"",AH$3*일별반별!AK99),0)</f>
        <v/>
      </c>
      <c r="AI99" s="395" t="str">
        <f>IFERROR(IF($C99&lt;1,"",AI$3*일별반별!AL99),0)</f>
        <v/>
      </c>
      <c r="AJ99" s="395" t="str">
        <f>IFERROR(IF($C99&lt;1,"",AJ$3*일별반별!AM99),0)</f>
        <v/>
      </c>
      <c r="AK99" s="395" t="str">
        <f>IFERROR(IF($C99&lt;1,"",AK$3*일별반별!AN99),0)</f>
        <v/>
      </c>
      <c r="AL99" s="395" t="str">
        <f>IFERROR(IF($C99&lt;1,"",AL$3*일별반별!AO99),0)</f>
        <v/>
      </c>
      <c r="AM99" s="395" t="str">
        <f>IFERROR(IF($C99&lt;1,"",AM$3*일별반별!AP99),0)</f>
        <v/>
      </c>
      <c r="AN99" s="395" t="str">
        <f>IFERROR(IF($C99&lt;1,"",AN$3*일별반별!AQ99),0)</f>
        <v/>
      </c>
      <c r="AO99" s="395" t="str">
        <f>IFERROR(IF($C99&lt;1,"",AO$3*일별반별!AR99),0)</f>
        <v/>
      </c>
      <c r="AP99" s="347" t="str">
        <f>IFERROR(IF($C99&lt;1,"",AP$3*일별반별!AS99),0)</f>
        <v/>
      </c>
      <c r="AQ99" s="347" t="str">
        <f>IFERROR(IF($C99&lt;1,"",AQ$3*일별반별!AT99),0)</f>
        <v/>
      </c>
      <c r="AR99" s="316" t="str">
        <f>IFERROR(IF($C99&lt;1,"",AR$3*일별반별!AU99),0)</f>
        <v/>
      </c>
      <c r="AS99" s="401" t="str">
        <f>IFERROR(IF($C99&lt;1,"",AS$3*일별반별!AV99),0)</f>
        <v/>
      </c>
      <c r="AT99" s="401" t="str">
        <f>IFERROR(IF($C99&lt;1,"",AT$3*일별반별!AW99),0)</f>
        <v/>
      </c>
      <c r="AU99" s="401" t="str">
        <f>IFERROR(IF($C99&lt;1,"",AU$3*일별반별!AX99),0)</f>
        <v/>
      </c>
      <c r="AV99" s="401" t="str">
        <f>IFERROR(IF($C99&lt;1,"",AV$3*일별반별!AY99),0)</f>
        <v/>
      </c>
      <c r="AW99" s="401" t="str">
        <f>IFERROR(IF($C99&lt;1,"",AW$3*일별반별!AZ99),0)</f>
        <v/>
      </c>
      <c r="AX99" s="401" t="str">
        <f>IFERROR(IF($C99&lt;1,"",AX$3*일별반별!BA99),0)</f>
        <v/>
      </c>
      <c r="AY99" s="401" t="str">
        <f>IFERROR(IF($C99&lt;1,"",AY$3*일별반별!BB99),0)</f>
        <v/>
      </c>
      <c r="AZ99" s="401" t="str">
        <f>IFERROR(IF($C99&lt;1,"",AZ$3*일별반별!BC99),0)</f>
        <v/>
      </c>
      <c r="BA99" s="401" t="str">
        <f>IFERROR(IF($C99&lt;1,"",BA$3*일별반별!BD99),0)</f>
        <v/>
      </c>
      <c r="BB99" s="402" t="str">
        <f>IFERROR(IF($C99&lt;1,"",BB$3*일별반별!BE99),0)</f>
        <v/>
      </c>
      <c r="BC99" s="402" t="str">
        <f>IFERROR(IF($C99&lt;1,"",BC$3*일별반별!BF99),0)</f>
        <v/>
      </c>
      <c r="BD99" s="402" t="str">
        <f>IFERROR(IF($C99&lt;1,"",BD$3*일별반별!BG99),0)</f>
        <v/>
      </c>
      <c r="BE99" s="402" t="str">
        <f>IFERROR(IF($C99&lt;1,"",BE$3*일별반별!BH99),0)</f>
        <v/>
      </c>
      <c r="BF99" s="402" t="str">
        <f>IFERROR(IF($C99&lt;1,"",BF$3*일별반별!BI99),0)</f>
        <v/>
      </c>
      <c r="BG99" s="402" t="str">
        <f>IFERROR(IF($C99&lt;1,"",BG$3*일별반별!BJ99),0)</f>
        <v/>
      </c>
      <c r="BH99" s="402" t="str">
        <f>IFERROR(IF($C99&lt;1,"",BH$3*일별반별!BK99),0)</f>
        <v/>
      </c>
      <c r="BI99" s="402" t="str">
        <f>IFERROR(IF($C99&lt;1,"",BI$3*일별반별!BL99),0)</f>
        <v/>
      </c>
      <c r="BJ99" s="402" t="str">
        <f>IFERROR(IF($C99&lt;1,"",BJ$3*일별반별!BM99),0)</f>
        <v/>
      </c>
      <c r="BK99" s="402" t="str">
        <f>IFERROR(IF($C99&lt;1,"",BK$3*일별반별!BN99),0)</f>
        <v/>
      </c>
      <c r="BL99" s="402" t="str">
        <f>IFERROR(IF($C99&lt;1,"",BL$3*일별반별!BH99),0)</f>
        <v/>
      </c>
      <c r="BM99" s="402" t="str">
        <f>IFERROR(IF($C99&lt;1,"",BM$3*일별반별!BP99),0)</f>
        <v/>
      </c>
      <c r="BN99" s="401" t="str">
        <f>IFERROR(IF($C99&lt;1,"",BN$3*일별반별!BQ99),0)</f>
        <v/>
      </c>
      <c r="BO99" s="401" t="str">
        <f>IFERROR(IF($C99&lt;1,"",BO$3*일별반별!BR99),0)</f>
        <v/>
      </c>
      <c r="BP99" s="401" t="str">
        <f>IFERROR(IF($C99&lt;1,"",BP$3*일별반별!BS99),0)</f>
        <v/>
      </c>
      <c r="BQ99" s="401" t="str">
        <f>IFERROR(IF($C99&lt;1,"",BQ$3*일별반별!BT99),0)</f>
        <v/>
      </c>
      <c r="BR99" s="417" t="str">
        <f>IFERROR(IF($C99&lt;1,"",BR$3*일별반별!BU99),0)</f>
        <v/>
      </c>
      <c r="BS99" s="417" t="str">
        <f>IFERROR(IF($C99&lt;1,"",BS$3*일별반별!BV99),0)</f>
        <v/>
      </c>
      <c r="BT99" s="417" t="str">
        <f>IFERROR(IF($C99&lt;1,"",BT$3*일별반별!BW99),0)</f>
        <v/>
      </c>
      <c r="BU99" s="316" t="str">
        <f>IFERROR(IF($C99&lt;1,"",BU$3*일별반별!BX99),0)</f>
        <v/>
      </c>
      <c r="BV99" s="316" t="str">
        <f>IFERROR(IF($C99&lt;1,"",BV$3*일별반별!BY99),0)</f>
        <v/>
      </c>
      <c r="BW99" s="316" t="str">
        <f>IFERROR(IF($C99&lt;1,"",BW$3*일별반별!BZ99),0)</f>
        <v/>
      </c>
      <c r="BX99" s="316" t="str">
        <f>IFERROR(IF($C99&lt;1,"",BX$3*일별반별!CA99),0)</f>
        <v/>
      </c>
      <c r="BY99" s="316" t="str">
        <f>IFERROR(IF($C99&lt;1,"",BY$3*일별반별!CB99),0)</f>
        <v/>
      </c>
      <c r="BZ99" s="316" t="str">
        <f>IFERROR(IF($C99&lt;1,"",BZ$3*일별반별!CC99),0)</f>
        <v/>
      </c>
      <c r="CA99" s="316" t="str">
        <f>IFERROR(IF($C99&lt;1,"",CA$3*일별반별!CD99),0)</f>
        <v/>
      </c>
      <c r="CB99" s="316" t="str">
        <f>IFERROR(IF($C99&lt;1,"",CB$3*일별반별!CE99),0)</f>
        <v/>
      </c>
      <c r="CC99" s="316" t="str">
        <f>IFERROR(IF($C99&lt;1,"",CC$3*일별반별!CF99),0)</f>
        <v/>
      </c>
      <c r="CD99" s="316" t="str">
        <f>IFERROR(IF($C99&lt;1,"",CD$3*일별반별!CG99),0)</f>
        <v/>
      </c>
      <c r="CE99" s="316" t="str">
        <f>IFERROR(IF($C99&lt;1,"",CE$3*일별반별!CH99),0)</f>
        <v/>
      </c>
      <c r="CF99" s="316" t="str">
        <f>IFERROR(IF($C99&lt;1,"",CF$3*일별반별!CI99),0)</f>
        <v/>
      </c>
      <c r="CG99" s="316" t="str">
        <f>IFERROR(IF($C99&lt;1,"",CG$3*일별반별!CJ99),0)</f>
        <v/>
      </c>
      <c r="CH99" s="316" t="str">
        <f>IFERROR(IF($C99&lt;1,"",CH$3*일별반별!CK99),0)</f>
        <v/>
      </c>
      <c r="CI99" s="316" t="str">
        <f>IFERROR(IF($C99&lt;1,"",CI$3*일별반별!CL99),0)</f>
        <v/>
      </c>
      <c r="CJ99" s="316" t="str">
        <f>IFERROR(IF($C99&lt;1,"",CJ$3*일별반별!CM99),0)</f>
        <v/>
      </c>
      <c r="CK99" s="316" t="str">
        <f>IFERROR(IF($C99&lt;1,"",CK$3*일별반별!CN99),0)</f>
        <v/>
      </c>
      <c r="CL99" s="316" t="str">
        <f>IFERROR(IF($C99&lt;1,"",CL$3*일별반별!CO99),0)</f>
        <v/>
      </c>
      <c r="CM99" s="316" t="str">
        <f>IFERROR(IF($C99&lt;1,"",CM$3*일별반별!CP99),0)</f>
        <v/>
      </c>
      <c r="CN99" s="316" t="str">
        <f>IFERROR(IF($C99&lt;1,"",CN$3*일별반별!CQ99),0)</f>
        <v/>
      </c>
      <c r="CO99" s="316" t="str">
        <f>IFERROR(IF($C99&lt;1,"",CO$3*일별반별!CR99),0)</f>
        <v/>
      </c>
      <c r="CP99" s="316" t="str">
        <f>IFERROR(IF($C99&lt;1,"",CP$3*일별반별!CS99),0)</f>
        <v/>
      </c>
      <c r="CQ99" s="316" t="str">
        <f>IFERROR(IF($C99&lt;1,"",CQ$3*일별반별!CT99),0)</f>
        <v/>
      </c>
      <c r="CR99" s="418" t="str">
        <f>IFERROR(IF($C99&lt;1,"",CR$3*일별반별!CU99),0)</f>
        <v/>
      </c>
      <c r="CS99" s="418" t="str">
        <f>IFERROR(IF($C99&lt;1,"",CS$3*일별반별!CV99),0)</f>
        <v/>
      </c>
      <c r="CT99" s="316" t="str">
        <f>IFERROR(IF($C99&lt;1,"",CT$3*일별반별!CW99),0)</f>
        <v/>
      </c>
      <c r="CU99" s="316" t="str">
        <f>IFERROR(IF($C99&lt;1,"",CU$3*일별반별!CX99),0)</f>
        <v/>
      </c>
      <c r="CV99" s="316" t="str">
        <f>IFERROR(IF($C99&lt;1,"",CV$3*일별반별!CY99),0)</f>
        <v/>
      </c>
      <c r="CW99" s="316" t="str">
        <f>IFERROR(IF($C99&lt;1,"",CW$3*일별반별!CZ99),0)</f>
        <v/>
      </c>
      <c r="CX99" s="316" t="str">
        <f>IFERROR(IF($C99&lt;1,"",CX$3*일별반별!DA99),0)</f>
        <v/>
      </c>
      <c r="CY99" s="316" t="str">
        <f>IF(C99&lt;1,"",(CY$3*'09월 조업일지'!AV$7))</f>
        <v/>
      </c>
      <c r="CZ99" s="316" t="str">
        <f t="shared" si="4"/>
        <v/>
      </c>
      <c r="DA99" s="316" t="str">
        <f t="shared" si="4"/>
        <v/>
      </c>
      <c r="DB99" s="316" t="str">
        <f t="shared" si="4"/>
        <v/>
      </c>
      <c r="DC99" s="316"/>
      <c r="DD99" s="419"/>
    </row>
    <row r="100" spans="1:108" ht="15" customHeight="1">
      <c r="A100" s="274">
        <f t="shared" si="6"/>
        <v>44031</v>
      </c>
      <c r="B100" s="275" t="s">
        <v>94</v>
      </c>
      <c r="C100" s="201">
        <f>COUNTIFS('09월 조업일지'!$A$12:$A$952,A96,'09월 조업일지'!$E$12:$E$952,B100)</f>
        <v>0</v>
      </c>
      <c r="D100" s="314">
        <f>IF(C100&lt;1,0,(SUM(E100:CX100)/(일별반별!BV100-1.5)+(CY100+CZ100+DA100+DB100)))</f>
        <v>0</v>
      </c>
      <c r="E100" s="278"/>
      <c r="F100" s="281"/>
      <c r="G100" s="282"/>
      <c r="H100" s="283"/>
      <c r="I100" s="283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326"/>
      <c r="U100" s="395" t="str">
        <f>IFERROR(IF($C100&lt;1,"",U$3*일별반별!X100),0)</f>
        <v/>
      </c>
      <c r="V100" s="395" t="str">
        <f>IFERROR(IF($C100&lt;1,"",V$3*일별반별!Y100),0)</f>
        <v/>
      </c>
      <c r="W100" s="395" t="str">
        <f>IFERROR(IF($C100&lt;1,"",W$3*일별반별!Z100),0)</f>
        <v/>
      </c>
      <c r="X100" s="208" t="str">
        <f>IFERROR(IF($C100&lt;1,"",X$3*일별반별!AA100),0)</f>
        <v/>
      </c>
      <c r="Y100" s="208" t="str">
        <f>IFERROR(IF($C100&lt;1,"",Y$3*일별반별!AB100),0)</f>
        <v/>
      </c>
      <c r="Z100" s="208" t="str">
        <f>IFERROR(IF($C100&lt;1,"",Z$3*일별반별!AC100),0)</f>
        <v/>
      </c>
      <c r="AA100" s="395" t="str">
        <f>IFERROR(IF($C100&lt;1,"",AA$3*일별반별!AD100),0)</f>
        <v/>
      </c>
      <c r="AB100" s="395" t="str">
        <f>IFERROR(IF($C100&lt;1,"",AB$3*일별반별!AE100),0)</f>
        <v/>
      </c>
      <c r="AC100" s="208" t="str">
        <f>IFERROR(IF($C100&lt;1,"",AC$3*일별반별!AF100),0)</f>
        <v/>
      </c>
      <c r="AD100" s="208" t="str">
        <f>IFERROR(IF($C100&lt;1,"",AD$3*일별반별!AG100),0)</f>
        <v/>
      </c>
      <c r="AE100" s="208" t="str">
        <f>IFERROR(IF($C100&lt;1,"",AE$3*일별반별!AH100),0)</f>
        <v/>
      </c>
      <c r="AF100" s="395" t="str">
        <f>IFERROR(IF($C100&lt;1,"",AF$3*일별반별!AI100),0)</f>
        <v/>
      </c>
      <c r="AG100" s="395" t="str">
        <f>IFERROR(IF($C100&lt;1,"",AG$3*일별반별!AJ100),0)</f>
        <v/>
      </c>
      <c r="AH100" s="395" t="str">
        <f>IFERROR(IF($C100&lt;1,"",AH$3*일별반별!AK100),0)</f>
        <v/>
      </c>
      <c r="AI100" s="395" t="str">
        <f>IFERROR(IF($C100&lt;1,"",AI$3*일별반별!AL100),0)</f>
        <v/>
      </c>
      <c r="AJ100" s="395" t="str">
        <f>IFERROR(IF($C100&lt;1,"",AJ$3*일별반별!AM100),0)</f>
        <v/>
      </c>
      <c r="AK100" s="395" t="str">
        <f>IFERROR(IF($C100&lt;1,"",AK$3*일별반별!AN100),0)</f>
        <v/>
      </c>
      <c r="AL100" s="395" t="str">
        <f>IFERROR(IF($C100&lt;1,"",AL$3*일별반별!AO100),0)</f>
        <v/>
      </c>
      <c r="AM100" s="395" t="str">
        <f>IFERROR(IF($C100&lt;1,"",AM$3*일별반별!AP100),0)</f>
        <v/>
      </c>
      <c r="AN100" s="395" t="str">
        <f>IFERROR(IF($C100&lt;1,"",AN$3*일별반별!AQ100),0)</f>
        <v/>
      </c>
      <c r="AO100" s="395" t="str">
        <f>IFERROR(IF($C100&lt;1,"",AO$3*일별반별!AR100),0)</f>
        <v/>
      </c>
      <c r="AP100" s="347" t="str">
        <f>IFERROR(IF($C100&lt;1,"",AP$3*일별반별!AS100),0)</f>
        <v/>
      </c>
      <c r="AQ100" s="347" t="str">
        <f>IFERROR(IF($C100&lt;1,"",AQ$3*일별반별!AT100),0)</f>
        <v/>
      </c>
      <c r="AR100" s="316" t="str">
        <f>IFERROR(IF($C100&lt;1,"",AR$3*일별반별!AU100),0)</f>
        <v/>
      </c>
      <c r="AS100" s="401" t="str">
        <f>IFERROR(IF($C100&lt;1,"",AS$3*일별반별!AV100),0)</f>
        <v/>
      </c>
      <c r="AT100" s="401" t="str">
        <f>IFERROR(IF($C100&lt;1,"",AT$3*일별반별!AW100),0)</f>
        <v/>
      </c>
      <c r="AU100" s="401" t="str">
        <f>IFERROR(IF($C100&lt;1,"",AU$3*일별반별!AX100),0)</f>
        <v/>
      </c>
      <c r="AV100" s="401" t="str">
        <f>IFERROR(IF($C100&lt;1,"",AV$3*일별반별!AY100),0)</f>
        <v/>
      </c>
      <c r="AW100" s="401" t="str">
        <f>IFERROR(IF($C100&lt;1,"",AW$3*일별반별!AZ100),0)</f>
        <v/>
      </c>
      <c r="AX100" s="401" t="str">
        <f>IFERROR(IF($C100&lt;1,"",AX$3*일별반별!BA100),0)</f>
        <v/>
      </c>
      <c r="AY100" s="401" t="str">
        <f>IFERROR(IF($C100&lt;1,"",AY$3*일별반별!BB100),0)</f>
        <v/>
      </c>
      <c r="AZ100" s="401" t="str">
        <f>IFERROR(IF($C100&lt;1,"",AZ$3*일별반별!BC100),0)</f>
        <v/>
      </c>
      <c r="BA100" s="401" t="str">
        <f>IFERROR(IF($C100&lt;1,"",BA$3*일별반별!BD100),0)</f>
        <v/>
      </c>
      <c r="BB100" s="402" t="str">
        <f>IFERROR(IF($C100&lt;1,"",BB$3*일별반별!BE100),0)</f>
        <v/>
      </c>
      <c r="BC100" s="402" t="str">
        <f>IFERROR(IF($C100&lt;1,"",BC$3*일별반별!BF100),0)</f>
        <v/>
      </c>
      <c r="BD100" s="402" t="str">
        <f>IFERROR(IF($C100&lt;1,"",BD$3*일별반별!BG100),0)</f>
        <v/>
      </c>
      <c r="BE100" s="402" t="str">
        <f>IFERROR(IF($C100&lt;1,"",BE$3*일별반별!BH100),0)</f>
        <v/>
      </c>
      <c r="BF100" s="402" t="str">
        <f>IFERROR(IF($C100&lt;1,"",BF$3*일별반별!BI100),0)</f>
        <v/>
      </c>
      <c r="BG100" s="402" t="str">
        <f>IFERROR(IF($C100&lt;1,"",BG$3*일별반별!BJ100),0)</f>
        <v/>
      </c>
      <c r="BH100" s="402" t="str">
        <f>IFERROR(IF($C100&lt;1,"",BH$3*일별반별!BK100),0)</f>
        <v/>
      </c>
      <c r="BI100" s="402" t="str">
        <f>IFERROR(IF($C100&lt;1,"",BI$3*일별반별!BL100),0)</f>
        <v/>
      </c>
      <c r="BJ100" s="402" t="str">
        <f>IFERROR(IF($C100&lt;1,"",BJ$3*일별반별!BM100),0)</f>
        <v/>
      </c>
      <c r="BK100" s="402" t="str">
        <f>IFERROR(IF($C100&lt;1,"",BK$3*일별반별!BN100),0)</f>
        <v/>
      </c>
      <c r="BL100" s="402" t="str">
        <f>IFERROR(IF($C100&lt;1,"",BL$3*일별반별!BH100),0)</f>
        <v/>
      </c>
      <c r="BM100" s="402" t="str">
        <f>IFERROR(IF($C100&lt;1,"",BM$3*일별반별!BP100),0)</f>
        <v/>
      </c>
      <c r="BN100" s="401" t="str">
        <f>IFERROR(IF($C100&lt;1,"",BN$3*일별반별!BQ100),0)</f>
        <v/>
      </c>
      <c r="BO100" s="401" t="str">
        <f>IFERROR(IF($C100&lt;1,"",BO$3*일별반별!BR100),0)</f>
        <v/>
      </c>
      <c r="BP100" s="401" t="str">
        <f>IFERROR(IF($C100&lt;1,"",BP$3*일별반별!BS100),0)</f>
        <v/>
      </c>
      <c r="BQ100" s="401" t="str">
        <f>IFERROR(IF($C100&lt;1,"",BQ$3*일별반별!BT100),0)</f>
        <v/>
      </c>
      <c r="BR100" s="417" t="str">
        <f>IFERROR(IF($C100&lt;1,"",BR$3*일별반별!BU100),0)</f>
        <v/>
      </c>
      <c r="BS100" s="417" t="str">
        <f>IFERROR(IF($C100&lt;1,"",BS$3*일별반별!BV100),0)</f>
        <v/>
      </c>
      <c r="BT100" s="417" t="str">
        <f>IFERROR(IF($C100&lt;1,"",BT$3*일별반별!BW100),0)</f>
        <v/>
      </c>
      <c r="BU100" s="316" t="str">
        <f>IFERROR(IF($C100&lt;1,"",BU$3*일별반별!BX100),0)</f>
        <v/>
      </c>
      <c r="BV100" s="316" t="str">
        <f>IFERROR(IF($C100&lt;1,"",BV$3*일별반별!BY100),0)</f>
        <v/>
      </c>
      <c r="BW100" s="316" t="str">
        <f>IFERROR(IF($C100&lt;1,"",BW$3*일별반별!BZ100),0)</f>
        <v/>
      </c>
      <c r="BX100" s="316" t="str">
        <f>IFERROR(IF($C100&lt;1,"",BX$3*일별반별!CA100),0)</f>
        <v/>
      </c>
      <c r="BY100" s="316" t="str">
        <f>IFERROR(IF($C100&lt;1,"",BY$3*일별반별!CB100),0)</f>
        <v/>
      </c>
      <c r="BZ100" s="316" t="str">
        <f>IFERROR(IF($C100&lt;1,"",BZ$3*일별반별!CC100),0)</f>
        <v/>
      </c>
      <c r="CA100" s="316" t="str">
        <f>IFERROR(IF($C100&lt;1,"",CA$3*일별반별!CD100),0)</f>
        <v/>
      </c>
      <c r="CB100" s="316" t="str">
        <f>IFERROR(IF($C100&lt;1,"",CB$3*일별반별!CE100),0)</f>
        <v/>
      </c>
      <c r="CC100" s="316" t="str">
        <f>IFERROR(IF($C100&lt;1,"",CC$3*일별반별!CF100),0)</f>
        <v/>
      </c>
      <c r="CD100" s="316" t="str">
        <f>IFERROR(IF($C100&lt;1,"",CD$3*일별반별!CG100),0)</f>
        <v/>
      </c>
      <c r="CE100" s="316" t="str">
        <f>IFERROR(IF($C100&lt;1,"",CE$3*일별반별!CH100),0)</f>
        <v/>
      </c>
      <c r="CF100" s="316" t="str">
        <f>IFERROR(IF($C100&lt;1,"",CF$3*일별반별!CI100),0)</f>
        <v/>
      </c>
      <c r="CG100" s="316" t="str">
        <f>IFERROR(IF($C100&lt;1,"",CG$3*일별반별!CJ100),0)</f>
        <v/>
      </c>
      <c r="CH100" s="316" t="str">
        <f>IFERROR(IF($C100&lt;1,"",CH$3*일별반별!CK100),0)</f>
        <v/>
      </c>
      <c r="CI100" s="316" t="str">
        <f>IFERROR(IF($C100&lt;1,"",CI$3*일별반별!CL100),0)</f>
        <v/>
      </c>
      <c r="CJ100" s="316" t="str">
        <f>IFERROR(IF($C100&lt;1,"",CJ$3*일별반별!CM100),0)</f>
        <v/>
      </c>
      <c r="CK100" s="316" t="str">
        <f>IFERROR(IF($C100&lt;1,"",CK$3*일별반별!CN100),0)</f>
        <v/>
      </c>
      <c r="CL100" s="316" t="str">
        <f>IFERROR(IF($C100&lt;1,"",CL$3*일별반별!CO100),0)</f>
        <v/>
      </c>
      <c r="CM100" s="316" t="str">
        <f>IFERROR(IF($C100&lt;1,"",CM$3*일별반별!CP100),0)</f>
        <v/>
      </c>
      <c r="CN100" s="316" t="str">
        <f>IFERROR(IF($C100&lt;1,"",CN$3*일별반별!CQ100),0)</f>
        <v/>
      </c>
      <c r="CO100" s="316" t="str">
        <f>IFERROR(IF($C100&lt;1,"",CO$3*일별반별!CR100),0)</f>
        <v/>
      </c>
      <c r="CP100" s="316" t="str">
        <f>IFERROR(IF($C100&lt;1,"",CP$3*일별반별!CS100),0)</f>
        <v/>
      </c>
      <c r="CQ100" s="316" t="str">
        <f>IFERROR(IF($C100&lt;1,"",CQ$3*일별반별!CT100),0)</f>
        <v/>
      </c>
      <c r="CR100" s="418" t="str">
        <f>IFERROR(IF($C100&lt;1,"",CR$3*일별반별!CU100),0)</f>
        <v/>
      </c>
      <c r="CS100" s="418" t="str">
        <f>IFERROR(IF($C100&lt;1,"",CS$3*일별반별!CV100),0)</f>
        <v/>
      </c>
      <c r="CT100" s="316" t="str">
        <f>IFERROR(IF($C100&lt;1,"",CT$3*일별반별!CW100),0)</f>
        <v/>
      </c>
      <c r="CU100" s="316" t="str">
        <f>IFERROR(IF($C100&lt;1,"",CU$3*일별반별!CX100),0)</f>
        <v/>
      </c>
      <c r="CV100" s="316" t="str">
        <f>IFERROR(IF($C100&lt;1,"",CV$3*일별반별!CY100),0)</f>
        <v/>
      </c>
      <c r="CW100" s="316" t="str">
        <f>IFERROR(IF($C100&lt;1,"",CW$3*일별반별!CZ100),0)</f>
        <v/>
      </c>
      <c r="CX100" s="316" t="str">
        <f>IFERROR(IF($C100&lt;1,"",CX$3*일별반별!DA100),0)</f>
        <v/>
      </c>
      <c r="CY100" s="316" t="str">
        <f>IF(C100&lt;1,"",(CY$3*'09월 조업일지'!AV$7))</f>
        <v/>
      </c>
      <c r="CZ100" s="316" t="str">
        <f t="shared" si="4"/>
        <v/>
      </c>
      <c r="DA100" s="316" t="str">
        <f t="shared" si="4"/>
        <v/>
      </c>
      <c r="DB100" s="316" t="str">
        <f t="shared" si="4"/>
        <v/>
      </c>
      <c r="DC100" s="316"/>
      <c r="DD100" s="419"/>
    </row>
    <row r="101" spans="1:108" ht="15" customHeight="1">
      <c r="A101" s="327">
        <f>A96+1</f>
        <v>44032</v>
      </c>
      <c r="B101" s="328" t="s">
        <v>31</v>
      </c>
      <c r="C101" s="329">
        <f>COUNTIF('09월 조업일지'!$A$12:$A$952,A101)</f>
        <v>0</v>
      </c>
      <c r="D101" s="330">
        <f>IF(C101&lt;1,0,(SUM(E101:CX101)/(일별반별!BV101-1.5)+(CY101+CZ101+DA101+DB101)))</f>
        <v>0</v>
      </c>
      <c r="E101" s="331"/>
      <c r="F101" s="331"/>
      <c r="G101" s="332"/>
      <c r="H101" s="333"/>
      <c r="I101" s="333"/>
      <c r="J101" s="334"/>
      <c r="K101" s="334"/>
      <c r="L101" s="334"/>
      <c r="M101" s="334"/>
      <c r="N101" s="334"/>
      <c r="O101" s="334"/>
      <c r="P101" s="334"/>
      <c r="Q101" s="335"/>
      <c r="R101" s="334"/>
      <c r="S101" s="335"/>
      <c r="T101" s="334"/>
      <c r="U101" s="337" t="str">
        <f>IFERROR(IF($C101&lt;1,"",U$3*일별반별!X101),0)</f>
        <v/>
      </c>
      <c r="V101" s="337" t="str">
        <f>IFERROR(IF($C101&lt;1,"",V$3*일별반별!Y101),0)</f>
        <v/>
      </c>
      <c r="W101" s="337" t="str">
        <f>IFERROR(IF($C101&lt;1,"",W$3*일별반별!Z101),0)</f>
        <v/>
      </c>
      <c r="X101" s="336" t="str">
        <f>IFERROR(IF($C101&lt;1,"",X$3*일별반별!AA101),0)</f>
        <v/>
      </c>
      <c r="Y101" s="336" t="str">
        <f>IFERROR(IF($C101&lt;1,"",Y$3*일별반별!AB101),0)</f>
        <v/>
      </c>
      <c r="Z101" s="336" t="str">
        <f>IFERROR(IF($C101&lt;1,"",Z$3*일별반별!AC101),0)</f>
        <v/>
      </c>
      <c r="AA101" s="337" t="str">
        <f>IFERROR(IF($C101&lt;1,"",AA$3*일별반별!AD101),0)</f>
        <v/>
      </c>
      <c r="AB101" s="337" t="str">
        <f>IFERROR(IF($C101&lt;1,"",AB$3*일별반별!AE101),0)</f>
        <v/>
      </c>
      <c r="AC101" s="336" t="str">
        <f>IFERROR(IF($C101&lt;1,"",AC$3*일별반별!AF101),0)</f>
        <v/>
      </c>
      <c r="AD101" s="336" t="str">
        <f>IFERROR(IF($C101&lt;1,"",AD$3*일별반별!AG101),0)</f>
        <v/>
      </c>
      <c r="AE101" s="336" t="str">
        <f>IFERROR(IF($C101&lt;1,"",AE$3*일별반별!AH101),0)</f>
        <v/>
      </c>
      <c r="AF101" s="337" t="str">
        <f>IFERROR(IF($C101&lt;1,"",AF$3*일별반별!AI101),0)</f>
        <v/>
      </c>
      <c r="AG101" s="337" t="str">
        <f>IFERROR(IF($C101&lt;1,"",AG$3*일별반별!AJ101),0)</f>
        <v/>
      </c>
      <c r="AH101" s="337" t="str">
        <f>IFERROR(IF($C101&lt;1,"",AH$3*일별반별!AK101),0)</f>
        <v/>
      </c>
      <c r="AI101" s="337" t="str">
        <f>IFERROR(IF($C101&lt;1,"",AI$3*일별반별!AL101),0)</f>
        <v/>
      </c>
      <c r="AJ101" s="337" t="str">
        <f>IFERROR(IF($C101&lt;1,"",AJ$3*일별반별!AM101),0)</f>
        <v/>
      </c>
      <c r="AK101" s="337" t="str">
        <f>IFERROR(IF($C101&lt;1,"",AK$3*일별반별!AN101),0)</f>
        <v/>
      </c>
      <c r="AL101" s="337" t="str">
        <f>IFERROR(IF($C101&lt;1,"",AL$3*일별반별!AO101),0)</f>
        <v/>
      </c>
      <c r="AM101" s="337" t="str">
        <f>IFERROR(IF($C101&lt;1,"",AM$3*일별반별!AP101),0)</f>
        <v/>
      </c>
      <c r="AN101" s="337" t="str">
        <f>IFERROR(IF($C101&lt;1,"",AN$3*일별반별!AQ101),0)</f>
        <v/>
      </c>
      <c r="AO101" s="337" t="str">
        <f>IFERROR(IF($C101&lt;1,"",AO$3*일별반별!AR101),0)</f>
        <v/>
      </c>
      <c r="AP101" s="337" t="str">
        <f>IFERROR(IF($C101&lt;1,"",AP$3*일별반별!AS101),0)</f>
        <v/>
      </c>
      <c r="AQ101" s="337" t="str">
        <f>IFERROR(IF($C101&lt;1,"",AQ$3*일별반별!AT101),0)</f>
        <v/>
      </c>
      <c r="AR101" s="337" t="str">
        <f>IFERROR(IF($C101&lt;1,"",AR$3*일별반별!AU101),0)</f>
        <v/>
      </c>
      <c r="AS101" s="403" t="str">
        <f>IFERROR(IF($C101&lt;1,"",AS$3*일별반별!AV101),0)</f>
        <v/>
      </c>
      <c r="AT101" s="403" t="str">
        <f>IFERROR(IF($C101&lt;1,"",AT$3*일별반별!AW101),0)</f>
        <v/>
      </c>
      <c r="AU101" s="403" t="str">
        <f>IFERROR(IF($C101&lt;1,"",AU$3*일별반별!AX101),0)</f>
        <v/>
      </c>
      <c r="AV101" s="403" t="str">
        <f>IFERROR(IF($C101&lt;1,"",AV$3*일별반별!AY101),0)</f>
        <v/>
      </c>
      <c r="AW101" s="403" t="str">
        <f>IFERROR(IF($C101&lt;1,"",AW$3*일별반별!AZ101),0)</f>
        <v/>
      </c>
      <c r="AX101" s="403" t="str">
        <f>IFERROR(IF($C101&lt;1,"",AX$3*일별반별!BA101),0)</f>
        <v/>
      </c>
      <c r="AY101" s="403" t="str">
        <f>IFERROR(IF($C101&lt;1,"",AY$3*일별반별!BB101),0)</f>
        <v/>
      </c>
      <c r="AZ101" s="403" t="str">
        <f>IFERROR(IF($C101&lt;1,"",AZ$3*일별반별!BC101),0)</f>
        <v/>
      </c>
      <c r="BA101" s="403" t="str">
        <f>IFERROR(IF($C101&lt;1,"",BA$3*일별반별!BD101),0)</f>
        <v/>
      </c>
      <c r="BB101" s="403" t="str">
        <f>IFERROR(IF($C101&lt;1,"",BB$3*일별반별!BE101),0)</f>
        <v/>
      </c>
      <c r="BC101" s="403" t="str">
        <f>IFERROR(IF($C101&lt;1,"",BC$3*일별반별!BF101),0)</f>
        <v/>
      </c>
      <c r="BD101" s="403" t="str">
        <f>IFERROR(IF($C101&lt;1,"",BD$3*일별반별!BG101),0)</f>
        <v/>
      </c>
      <c r="BE101" s="403" t="str">
        <f>IFERROR(IF($C101&lt;1,"",BE$3*일별반별!BH101),0)</f>
        <v/>
      </c>
      <c r="BF101" s="403" t="str">
        <f>IFERROR(IF($C101&lt;1,"",BF$3*일별반별!BI101),0)</f>
        <v/>
      </c>
      <c r="BG101" s="403" t="str">
        <f>IFERROR(IF($C101&lt;1,"",BG$3*일별반별!BJ101),0)</f>
        <v/>
      </c>
      <c r="BH101" s="403" t="str">
        <f>IFERROR(IF($C101&lt;1,"",BH$3*일별반별!BK101),0)</f>
        <v/>
      </c>
      <c r="BI101" s="403" t="str">
        <f>IFERROR(IF($C101&lt;1,"",BI$3*일별반별!BL101),0)</f>
        <v/>
      </c>
      <c r="BJ101" s="403" t="str">
        <f>IFERROR(IF($C101&lt;1,"",BJ$3*일별반별!BM101),0)</f>
        <v/>
      </c>
      <c r="BK101" s="403" t="str">
        <f>IFERROR(IF($C101&lt;1,"",BK$3*일별반별!BN101),0)</f>
        <v/>
      </c>
      <c r="BL101" s="403" t="str">
        <f>IFERROR(IF($C101&lt;1,"",BL$3*일별반별!BH101),0)</f>
        <v/>
      </c>
      <c r="BM101" s="403" t="str">
        <f>IFERROR(IF($C101&lt;1,"",BM$3*일별반별!BP101),0)</f>
        <v/>
      </c>
      <c r="BN101" s="403" t="str">
        <f>IFERROR(IF($C101&lt;1,"",BN$3*일별반별!BQ101),0)</f>
        <v/>
      </c>
      <c r="BO101" s="403" t="str">
        <f>IFERROR(IF($C101&lt;1,"",BO$3*일별반별!BR101),0)</f>
        <v/>
      </c>
      <c r="BP101" s="403" t="str">
        <f>IFERROR(IF($C101&lt;1,"",BP$3*일별반별!BS101),0)</f>
        <v/>
      </c>
      <c r="BQ101" s="403" t="str">
        <f>IFERROR(IF($C101&lt;1,"",BQ$3*일별반별!BT101),0)</f>
        <v/>
      </c>
      <c r="BR101" s="337" t="str">
        <f>IFERROR(IF($C101&lt;1,"",BR$3*일별반별!BU101),0)</f>
        <v/>
      </c>
      <c r="BS101" s="337" t="str">
        <f>IFERROR(IF($C101&lt;1,"",BS$3*일별반별!BV101),0)</f>
        <v/>
      </c>
      <c r="BT101" s="337" t="str">
        <f>IFERROR(IF($C101&lt;1,"",BT$3*일별반별!BW101),0)</f>
        <v/>
      </c>
      <c r="BU101" s="337" t="str">
        <f>IFERROR(IF($C101&lt;1,"",BU$3*일별반별!BX101),0)</f>
        <v/>
      </c>
      <c r="BV101" s="337" t="str">
        <f>IFERROR(IF($C101&lt;1,"",BV$3*일별반별!BY101),0)</f>
        <v/>
      </c>
      <c r="BW101" s="337" t="str">
        <f>IFERROR(IF($C101&lt;1,"",BW$3*일별반별!BZ101),0)</f>
        <v/>
      </c>
      <c r="BX101" s="337" t="str">
        <f>IFERROR(IF($C101&lt;1,"",BX$3*일별반별!CA101),0)</f>
        <v/>
      </c>
      <c r="BY101" s="337" t="str">
        <f>IFERROR(IF($C101&lt;1,"",BY$3*일별반별!CB101),0)</f>
        <v/>
      </c>
      <c r="BZ101" s="337" t="str">
        <f>IFERROR(IF($C101&lt;1,"",BZ$3*일별반별!CC101),0)</f>
        <v/>
      </c>
      <c r="CA101" s="337" t="str">
        <f>IFERROR(IF($C101&lt;1,"",CA$3*일별반별!CD101),0)</f>
        <v/>
      </c>
      <c r="CB101" s="337" t="str">
        <f>IFERROR(IF($C101&lt;1,"",CB$3*일별반별!CE101),0)</f>
        <v/>
      </c>
      <c r="CC101" s="337" t="str">
        <f>IFERROR(IF($C101&lt;1,"",CC$3*일별반별!CF101),0)</f>
        <v/>
      </c>
      <c r="CD101" s="337" t="str">
        <f>IFERROR(IF($C101&lt;1,"",CD$3*일별반별!CG101),0)</f>
        <v/>
      </c>
      <c r="CE101" s="337" t="str">
        <f>IFERROR(IF($C101&lt;1,"",CE$3*일별반별!CH101),0)</f>
        <v/>
      </c>
      <c r="CF101" s="337" t="str">
        <f>IFERROR(IF($C101&lt;1,"",CF$3*일별반별!CI101),0)</f>
        <v/>
      </c>
      <c r="CG101" s="337" t="str">
        <f>IFERROR(IF($C101&lt;1,"",CG$3*일별반별!CJ101),0)</f>
        <v/>
      </c>
      <c r="CH101" s="337" t="str">
        <f>IFERROR(IF($C101&lt;1,"",CH$3*일별반별!CK101),0)</f>
        <v/>
      </c>
      <c r="CI101" s="337" t="str">
        <f>IFERROR(IF($C101&lt;1,"",CI$3*일별반별!CL101),0)</f>
        <v/>
      </c>
      <c r="CJ101" s="337" t="str">
        <f>IFERROR(IF($C101&lt;1,"",CJ$3*일별반별!CM101),0)</f>
        <v/>
      </c>
      <c r="CK101" s="337" t="str">
        <f>IFERROR(IF($C101&lt;1,"",CK$3*일별반별!CN101),0)</f>
        <v/>
      </c>
      <c r="CL101" s="337" t="str">
        <f>IFERROR(IF($C101&lt;1,"",CL$3*일별반별!CO101),0)</f>
        <v/>
      </c>
      <c r="CM101" s="337" t="str">
        <f>IFERROR(IF($C101&lt;1,"",CM$3*일별반별!CP101),0)</f>
        <v/>
      </c>
      <c r="CN101" s="337" t="str">
        <f>IFERROR(IF($C101&lt;1,"",CN$3*일별반별!CQ101),0)</f>
        <v/>
      </c>
      <c r="CO101" s="337" t="str">
        <f>IFERROR(IF($C101&lt;1,"",CO$3*일별반별!CR101),0)</f>
        <v/>
      </c>
      <c r="CP101" s="337" t="str">
        <f>IFERROR(IF($C101&lt;1,"",CP$3*일별반별!CS101),0)</f>
        <v/>
      </c>
      <c r="CQ101" s="337" t="str">
        <f>IFERROR(IF($C101&lt;1,"",CQ$3*일별반별!CT101),0)</f>
        <v/>
      </c>
      <c r="CR101" s="420" t="str">
        <f>IFERROR(IF($C101&lt;1,"",CR$3*일별반별!CU101),0)</f>
        <v/>
      </c>
      <c r="CS101" s="420" t="str">
        <f>IFERROR(IF($C101&lt;1,"",CS$3*일별반별!CV101),0)</f>
        <v/>
      </c>
      <c r="CT101" s="337" t="str">
        <f>IFERROR(IF($C101&lt;1,"",CT$3*일별반별!CW101),0)</f>
        <v/>
      </c>
      <c r="CU101" s="337" t="str">
        <f>IFERROR(IF($C101&lt;1,"",CU$3*일별반별!CX101),0)</f>
        <v/>
      </c>
      <c r="CV101" s="337" t="str">
        <f>IFERROR(IF($C101&lt;1,"",CV$3*일별반별!CY101),0)</f>
        <v/>
      </c>
      <c r="CW101" s="337" t="str">
        <f>IFERROR(IF($C101&lt;1,"",CW$3*일별반별!CZ101),0)</f>
        <v/>
      </c>
      <c r="CX101" s="337" t="str">
        <f>IFERROR(IF($C101&lt;1,"",CX$3*일별반별!DA101),0)</f>
        <v/>
      </c>
      <c r="CY101" s="316" t="str">
        <f>IF(C101&lt;1,"",(CY$3*'09월 조업일지'!AV$7))</f>
        <v/>
      </c>
      <c r="CZ101" s="316" t="str">
        <f t="shared" si="4"/>
        <v/>
      </c>
      <c r="DA101" s="316" t="str">
        <f t="shared" si="4"/>
        <v/>
      </c>
      <c r="DB101" s="316" t="str">
        <f t="shared" si="4"/>
        <v/>
      </c>
      <c r="DC101" s="316"/>
      <c r="DD101" s="419"/>
    </row>
    <row r="102" spans="1:108" ht="15" customHeight="1">
      <c r="A102" s="274">
        <f t="shared" si="6"/>
        <v>44032</v>
      </c>
      <c r="B102" s="275" t="s">
        <v>9</v>
      </c>
      <c r="C102" s="201">
        <f>COUNTIFS('09월 조업일지'!$A$12:$A$952,A101,'09월 조업일지'!$E$12:$E$952,B102)</f>
        <v>0</v>
      </c>
      <c r="D102" s="314">
        <f>IF(C102&lt;1,0,(SUM(E102:CX102)/(일별반별!BV102-1.5)+(CY102+CZ102+DA102+DB102)))</f>
        <v>0</v>
      </c>
      <c r="E102" s="278"/>
      <c r="F102" s="281"/>
      <c r="G102" s="282"/>
      <c r="H102" s="283"/>
      <c r="I102" s="283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326"/>
      <c r="U102" s="395" t="str">
        <f>IFERROR(IF($C102&lt;1,"",U$3*일별반별!X102),0)</f>
        <v/>
      </c>
      <c r="V102" s="395" t="str">
        <f>IFERROR(IF($C102&lt;1,"",V$3*일별반별!Y102),0)</f>
        <v/>
      </c>
      <c r="W102" s="395" t="str">
        <f>IFERROR(IF($C102&lt;1,"",W$3*일별반별!Z102),0)</f>
        <v/>
      </c>
      <c r="X102" s="208" t="str">
        <f>IFERROR(IF($C102&lt;1,"",X$3*일별반별!AA102),0)</f>
        <v/>
      </c>
      <c r="Y102" s="208" t="str">
        <f>IFERROR(IF($C102&lt;1,"",Y$3*일별반별!AB102),0)</f>
        <v/>
      </c>
      <c r="Z102" s="208" t="str">
        <f>IFERROR(IF($C102&lt;1,"",Z$3*일별반별!AC102),0)</f>
        <v/>
      </c>
      <c r="AA102" s="395" t="str">
        <f>IFERROR(IF($C102&lt;1,"",AA$3*일별반별!AD102),0)</f>
        <v/>
      </c>
      <c r="AB102" s="395" t="str">
        <f>IFERROR(IF($C102&lt;1,"",AB$3*일별반별!AE102),0)</f>
        <v/>
      </c>
      <c r="AC102" s="208" t="str">
        <f>IFERROR(IF($C102&lt;1,"",AC$3*일별반별!AF102),0)</f>
        <v/>
      </c>
      <c r="AD102" s="208" t="str">
        <f>IFERROR(IF($C102&lt;1,"",AD$3*일별반별!AG102),0)</f>
        <v/>
      </c>
      <c r="AE102" s="208" t="str">
        <f>IFERROR(IF($C102&lt;1,"",AE$3*일별반별!AH102),0)</f>
        <v/>
      </c>
      <c r="AF102" s="395" t="str">
        <f>IFERROR(IF($C102&lt;1,"",AF$3*일별반별!AI102),0)</f>
        <v/>
      </c>
      <c r="AG102" s="395" t="str">
        <f>IFERROR(IF($C102&lt;1,"",AG$3*일별반별!AJ102),0)</f>
        <v/>
      </c>
      <c r="AH102" s="395" t="str">
        <f>IFERROR(IF($C102&lt;1,"",AH$3*일별반별!AK102),0)</f>
        <v/>
      </c>
      <c r="AI102" s="395" t="str">
        <f>IFERROR(IF($C102&lt;1,"",AI$3*일별반별!AL102),0)</f>
        <v/>
      </c>
      <c r="AJ102" s="395" t="str">
        <f>IFERROR(IF($C102&lt;1,"",AJ$3*일별반별!AM102),0)</f>
        <v/>
      </c>
      <c r="AK102" s="395" t="str">
        <f>IFERROR(IF($C102&lt;1,"",AK$3*일별반별!AN102),0)</f>
        <v/>
      </c>
      <c r="AL102" s="395" t="str">
        <f>IFERROR(IF($C102&lt;1,"",AL$3*일별반별!AO102),0)</f>
        <v/>
      </c>
      <c r="AM102" s="395" t="str">
        <f>IFERROR(IF($C102&lt;1,"",AM$3*일별반별!AP102),0)</f>
        <v/>
      </c>
      <c r="AN102" s="395" t="str">
        <f>IFERROR(IF($C102&lt;1,"",AN$3*일별반별!AQ102),0)</f>
        <v/>
      </c>
      <c r="AO102" s="395" t="str">
        <f>IFERROR(IF($C102&lt;1,"",AO$3*일별반별!AR102),0)</f>
        <v/>
      </c>
      <c r="AP102" s="347" t="str">
        <f>IFERROR(IF($C102&lt;1,"",AP$3*일별반별!AS102),0)</f>
        <v/>
      </c>
      <c r="AQ102" s="347" t="str">
        <f>IFERROR(IF($C102&lt;1,"",AQ$3*일별반별!AT102),0)</f>
        <v/>
      </c>
      <c r="AR102" s="316" t="str">
        <f>IFERROR(IF($C102&lt;1,"",AR$3*일별반별!AU102),0)</f>
        <v/>
      </c>
      <c r="AS102" s="401" t="str">
        <f>IFERROR(IF($C102&lt;1,"",AS$3*일별반별!AV102),0)</f>
        <v/>
      </c>
      <c r="AT102" s="401" t="str">
        <f>IFERROR(IF($C102&lt;1,"",AT$3*일별반별!AW102),0)</f>
        <v/>
      </c>
      <c r="AU102" s="401" t="str">
        <f>IFERROR(IF($C102&lt;1,"",AU$3*일별반별!AX102),0)</f>
        <v/>
      </c>
      <c r="AV102" s="401" t="str">
        <f>IFERROR(IF($C102&lt;1,"",AV$3*일별반별!AY102),0)</f>
        <v/>
      </c>
      <c r="AW102" s="401" t="str">
        <f>IFERROR(IF($C102&lt;1,"",AW$3*일별반별!AZ102),0)</f>
        <v/>
      </c>
      <c r="AX102" s="401" t="str">
        <f>IFERROR(IF($C102&lt;1,"",AX$3*일별반별!BA102),0)</f>
        <v/>
      </c>
      <c r="AY102" s="401" t="str">
        <f>IFERROR(IF($C102&lt;1,"",AY$3*일별반별!BB102),0)</f>
        <v/>
      </c>
      <c r="AZ102" s="401" t="str">
        <f>IFERROR(IF($C102&lt;1,"",AZ$3*일별반별!BC102),0)</f>
        <v/>
      </c>
      <c r="BA102" s="401" t="str">
        <f>IFERROR(IF($C102&lt;1,"",BA$3*일별반별!BD102),0)</f>
        <v/>
      </c>
      <c r="BB102" s="402" t="str">
        <f>IFERROR(IF($C102&lt;1,"",BB$3*일별반별!BE102),0)</f>
        <v/>
      </c>
      <c r="BC102" s="402" t="str">
        <f>IFERROR(IF($C102&lt;1,"",BC$3*일별반별!BF102),0)</f>
        <v/>
      </c>
      <c r="BD102" s="402" t="str">
        <f>IFERROR(IF($C102&lt;1,"",BD$3*일별반별!BG102),0)</f>
        <v/>
      </c>
      <c r="BE102" s="402" t="str">
        <f>IFERROR(IF($C102&lt;1,"",BE$3*일별반별!BH102),0)</f>
        <v/>
      </c>
      <c r="BF102" s="402" t="str">
        <f>IFERROR(IF($C102&lt;1,"",BF$3*일별반별!BI102),0)</f>
        <v/>
      </c>
      <c r="BG102" s="402" t="str">
        <f>IFERROR(IF($C102&lt;1,"",BG$3*일별반별!BJ102),0)</f>
        <v/>
      </c>
      <c r="BH102" s="402" t="str">
        <f>IFERROR(IF($C102&lt;1,"",BH$3*일별반별!BK102),0)</f>
        <v/>
      </c>
      <c r="BI102" s="402" t="str">
        <f>IFERROR(IF($C102&lt;1,"",BI$3*일별반별!BL102),0)</f>
        <v/>
      </c>
      <c r="BJ102" s="402" t="str">
        <f>IFERROR(IF($C102&lt;1,"",BJ$3*일별반별!BM102),0)</f>
        <v/>
      </c>
      <c r="BK102" s="402" t="str">
        <f>IFERROR(IF($C102&lt;1,"",BK$3*일별반별!BN102),0)</f>
        <v/>
      </c>
      <c r="BL102" s="402" t="str">
        <f>IFERROR(IF($C102&lt;1,"",BL$3*일별반별!BH102),0)</f>
        <v/>
      </c>
      <c r="BM102" s="402" t="str">
        <f>IFERROR(IF($C102&lt;1,"",BM$3*일별반별!BP102),0)</f>
        <v/>
      </c>
      <c r="BN102" s="401" t="str">
        <f>IFERROR(IF($C102&lt;1,"",BN$3*일별반별!BQ102),0)</f>
        <v/>
      </c>
      <c r="BO102" s="401" t="str">
        <f>IFERROR(IF($C102&lt;1,"",BO$3*일별반별!BR102),0)</f>
        <v/>
      </c>
      <c r="BP102" s="401" t="str">
        <f>IFERROR(IF($C102&lt;1,"",BP$3*일별반별!BS102),0)</f>
        <v/>
      </c>
      <c r="BQ102" s="401" t="str">
        <f>IFERROR(IF($C102&lt;1,"",BQ$3*일별반별!BT102),0)</f>
        <v/>
      </c>
      <c r="BR102" s="417" t="str">
        <f>IFERROR(IF($C102&lt;1,"",BR$3*일별반별!BU102),0)</f>
        <v/>
      </c>
      <c r="BS102" s="417" t="str">
        <f>IFERROR(IF($C102&lt;1,"",BS$3*일별반별!BV102),0)</f>
        <v/>
      </c>
      <c r="BT102" s="417" t="str">
        <f>IFERROR(IF($C102&lt;1,"",BT$3*일별반별!BW102),0)</f>
        <v/>
      </c>
      <c r="BU102" s="316" t="str">
        <f>IFERROR(IF($C102&lt;1,"",BU$3*일별반별!BX102),0)</f>
        <v/>
      </c>
      <c r="BV102" s="316" t="str">
        <f>IFERROR(IF($C102&lt;1,"",BV$3*일별반별!BY102),0)</f>
        <v/>
      </c>
      <c r="BW102" s="316" t="str">
        <f>IFERROR(IF($C102&lt;1,"",BW$3*일별반별!BZ102),0)</f>
        <v/>
      </c>
      <c r="BX102" s="316" t="str">
        <f>IFERROR(IF($C102&lt;1,"",BX$3*일별반별!CA102),0)</f>
        <v/>
      </c>
      <c r="BY102" s="316" t="str">
        <f>IFERROR(IF($C102&lt;1,"",BY$3*일별반별!CB102),0)</f>
        <v/>
      </c>
      <c r="BZ102" s="316" t="str">
        <f>IFERROR(IF($C102&lt;1,"",BZ$3*일별반별!CC102),0)</f>
        <v/>
      </c>
      <c r="CA102" s="316" t="str">
        <f>IFERROR(IF($C102&lt;1,"",CA$3*일별반별!CD102),0)</f>
        <v/>
      </c>
      <c r="CB102" s="316" t="str">
        <f>IFERROR(IF($C102&lt;1,"",CB$3*일별반별!CE102),0)</f>
        <v/>
      </c>
      <c r="CC102" s="316" t="str">
        <f>IFERROR(IF($C102&lt;1,"",CC$3*일별반별!CF102),0)</f>
        <v/>
      </c>
      <c r="CD102" s="316" t="str">
        <f>IFERROR(IF($C102&lt;1,"",CD$3*일별반별!CG102),0)</f>
        <v/>
      </c>
      <c r="CE102" s="316" t="str">
        <f>IFERROR(IF($C102&lt;1,"",CE$3*일별반별!CH102),0)</f>
        <v/>
      </c>
      <c r="CF102" s="316" t="str">
        <f>IFERROR(IF($C102&lt;1,"",CF$3*일별반별!CI102),0)</f>
        <v/>
      </c>
      <c r="CG102" s="316" t="str">
        <f>IFERROR(IF($C102&lt;1,"",CG$3*일별반별!CJ102),0)</f>
        <v/>
      </c>
      <c r="CH102" s="316" t="str">
        <f>IFERROR(IF($C102&lt;1,"",CH$3*일별반별!CK102),0)</f>
        <v/>
      </c>
      <c r="CI102" s="316" t="str">
        <f>IFERROR(IF($C102&lt;1,"",CI$3*일별반별!CL102),0)</f>
        <v/>
      </c>
      <c r="CJ102" s="316" t="str">
        <f>IFERROR(IF($C102&lt;1,"",CJ$3*일별반별!CM102),0)</f>
        <v/>
      </c>
      <c r="CK102" s="316" t="str">
        <f>IFERROR(IF($C102&lt;1,"",CK$3*일별반별!CN102),0)</f>
        <v/>
      </c>
      <c r="CL102" s="316" t="str">
        <f>IFERROR(IF($C102&lt;1,"",CL$3*일별반별!CO102),0)</f>
        <v/>
      </c>
      <c r="CM102" s="316" t="str">
        <f>IFERROR(IF($C102&lt;1,"",CM$3*일별반별!CP102),0)</f>
        <v/>
      </c>
      <c r="CN102" s="316" t="str">
        <f>IFERROR(IF($C102&lt;1,"",CN$3*일별반별!CQ102),0)</f>
        <v/>
      </c>
      <c r="CO102" s="316" t="str">
        <f>IFERROR(IF($C102&lt;1,"",CO$3*일별반별!CR102),0)</f>
        <v/>
      </c>
      <c r="CP102" s="316" t="str">
        <f>IFERROR(IF($C102&lt;1,"",CP$3*일별반별!CS102),0)</f>
        <v/>
      </c>
      <c r="CQ102" s="316" t="str">
        <f>IFERROR(IF($C102&lt;1,"",CQ$3*일별반별!CT102),0)</f>
        <v/>
      </c>
      <c r="CR102" s="418" t="str">
        <f>IFERROR(IF($C102&lt;1,"",CR$3*일별반별!CU102),0)</f>
        <v/>
      </c>
      <c r="CS102" s="418" t="str">
        <f>IFERROR(IF($C102&lt;1,"",CS$3*일별반별!CV102),0)</f>
        <v/>
      </c>
      <c r="CT102" s="316" t="str">
        <f>IFERROR(IF($C102&lt;1,"",CT$3*일별반별!CW102),0)</f>
        <v/>
      </c>
      <c r="CU102" s="316" t="str">
        <f>IFERROR(IF($C102&lt;1,"",CU$3*일별반별!CX102),0)</f>
        <v/>
      </c>
      <c r="CV102" s="316" t="str">
        <f>IFERROR(IF($C102&lt;1,"",CV$3*일별반별!CY102),0)</f>
        <v/>
      </c>
      <c r="CW102" s="316" t="str">
        <f>IFERROR(IF($C102&lt;1,"",CW$3*일별반별!CZ102),0)</f>
        <v/>
      </c>
      <c r="CX102" s="316" t="str">
        <f>IFERROR(IF($C102&lt;1,"",CX$3*일별반별!DA102),0)</f>
        <v/>
      </c>
      <c r="CY102" s="316" t="str">
        <f>IF(C102&lt;1,"",(CY$3*'09월 조업일지'!AV$7))</f>
        <v/>
      </c>
      <c r="CZ102" s="316" t="str">
        <f t="shared" si="4"/>
        <v/>
      </c>
      <c r="DA102" s="316" t="str">
        <f t="shared" si="4"/>
        <v/>
      </c>
      <c r="DB102" s="316" t="str">
        <f t="shared" si="4"/>
        <v/>
      </c>
      <c r="DC102" s="316"/>
      <c r="DD102" s="419"/>
    </row>
    <row r="103" spans="1:108" ht="15" customHeight="1">
      <c r="A103" s="274">
        <f t="shared" si="6"/>
        <v>44032</v>
      </c>
      <c r="B103" s="275" t="s">
        <v>100</v>
      </c>
      <c r="C103" s="201">
        <f>COUNTIFS('09월 조업일지'!$A$12:$A$952,A101,'09월 조업일지'!$E$12:$E$952,B103)</f>
        <v>0</v>
      </c>
      <c r="D103" s="314">
        <f>IF(C103&lt;1,0,(SUM(E103:CX103)/(일별반별!BV103-1.5)+(CY103+CZ103+DA103+DB103)))</f>
        <v>0</v>
      </c>
      <c r="E103" s="278"/>
      <c r="F103" s="281"/>
      <c r="G103" s="282"/>
      <c r="H103" s="283"/>
      <c r="I103" s="283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326"/>
      <c r="U103" s="395" t="str">
        <f>IFERROR(IF($C103&lt;1,"",U$3*일별반별!X103),0)</f>
        <v/>
      </c>
      <c r="V103" s="395" t="str">
        <f>IFERROR(IF($C103&lt;1,"",V$3*일별반별!Y103),0)</f>
        <v/>
      </c>
      <c r="W103" s="395" t="str">
        <f>IFERROR(IF($C103&lt;1,"",W$3*일별반별!Z103),0)</f>
        <v/>
      </c>
      <c r="X103" s="208" t="str">
        <f>IFERROR(IF($C103&lt;1,"",X$3*일별반별!AA103),0)</f>
        <v/>
      </c>
      <c r="Y103" s="208" t="str">
        <f>IFERROR(IF($C103&lt;1,"",Y$3*일별반별!AB103),0)</f>
        <v/>
      </c>
      <c r="Z103" s="208" t="str">
        <f>IFERROR(IF($C103&lt;1,"",Z$3*일별반별!AC103),0)</f>
        <v/>
      </c>
      <c r="AA103" s="395" t="str">
        <f>IFERROR(IF($C103&lt;1,"",AA$3*일별반별!AD103),0)</f>
        <v/>
      </c>
      <c r="AB103" s="395" t="str">
        <f>IFERROR(IF($C103&lt;1,"",AB$3*일별반별!AE103),0)</f>
        <v/>
      </c>
      <c r="AC103" s="208" t="str">
        <f>IFERROR(IF($C103&lt;1,"",AC$3*일별반별!AF103),0)</f>
        <v/>
      </c>
      <c r="AD103" s="208" t="str">
        <f>IFERROR(IF($C103&lt;1,"",AD$3*일별반별!AG103),0)</f>
        <v/>
      </c>
      <c r="AE103" s="208" t="str">
        <f>IFERROR(IF($C103&lt;1,"",AE$3*일별반별!AH103),0)</f>
        <v/>
      </c>
      <c r="AF103" s="395" t="str">
        <f>IFERROR(IF($C103&lt;1,"",AF$3*일별반별!AI103),0)</f>
        <v/>
      </c>
      <c r="AG103" s="395" t="str">
        <f>IFERROR(IF($C103&lt;1,"",AG$3*일별반별!AJ103),0)</f>
        <v/>
      </c>
      <c r="AH103" s="395" t="str">
        <f>IFERROR(IF($C103&lt;1,"",AH$3*일별반별!AK103),0)</f>
        <v/>
      </c>
      <c r="AI103" s="395" t="str">
        <f>IFERROR(IF($C103&lt;1,"",AI$3*일별반별!AL103),0)</f>
        <v/>
      </c>
      <c r="AJ103" s="395" t="str">
        <f>IFERROR(IF($C103&lt;1,"",AJ$3*일별반별!AM103),0)</f>
        <v/>
      </c>
      <c r="AK103" s="395" t="str">
        <f>IFERROR(IF($C103&lt;1,"",AK$3*일별반별!AN103),0)</f>
        <v/>
      </c>
      <c r="AL103" s="395" t="str">
        <f>IFERROR(IF($C103&lt;1,"",AL$3*일별반별!AO103),0)</f>
        <v/>
      </c>
      <c r="AM103" s="395" t="str">
        <f>IFERROR(IF($C103&lt;1,"",AM$3*일별반별!AP103),0)</f>
        <v/>
      </c>
      <c r="AN103" s="395" t="str">
        <f>IFERROR(IF($C103&lt;1,"",AN$3*일별반별!AQ103),0)</f>
        <v/>
      </c>
      <c r="AO103" s="395" t="str">
        <f>IFERROR(IF($C103&lt;1,"",AO$3*일별반별!AR103),0)</f>
        <v/>
      </c>
      <c r="AP103" s="347" t="str">
        <f>IFERROR(IF($C103&lt;1,"",AP$3*일별반별!AS103),0)</f>
        <v/>
      </c>
      <c r="AQ103" s="347" t="str">
        <f>IFERROR(IF($C103&lt;1,"",AQ$3*일별반별!AT103),0)</f>
        <v/>
      </c>
      <c r="AR103" s="316" t="str">
        <f>IFERROR(IF($C103&lt;1,"",AR$3*일별반별!AU103),0)</f>
        <v/>
      </c>
      <c r="AS103" s="401" t="str">
        <f>IFERROR(IF($C103&lt;1,"",AS$3*일별반별!AV103),0)</f>
        <v/>
      </c>
      <c r="AT103" s="401" t="str">
        <f>IFERROR(IF($C103&lt;1,"",AT$3*일별반별!AW103),0)</f>
        <v/>
      </c>
      <c r="AU103" s="401" t="str">
        <f>IFERROR(IF($C103&lt;1,"",AU$3*일별반별!AX103),0)</f>
        <v/>
      </c>
      <c r="AV103" s="401" t="str">
        <f>IFERROR(IF($C103&lt;1,"",AV$3*일별반별!AY103),0)</f>
        <v/>
      </c>
      <c r="AW103" s="401" t="str">
        <f>IFERROR(IF($C103&lt;1,"",AW$3*일별반별!AZ103),0)</f>
        <v/>
      </c>
      <c r="AX103" s="401" t="str">
        <f>IFERROR(IF($C103&lt;1,"",AX$3*일별반별!BA103),0)</f>
        <v/>
      </c>
      <c r="AY103" s="401" t="str">
        <f>IFERROR(IF($C103&lt;1,"",AY$3*일별반별!BB103),0)</f>
        <v/>
      </c>
      <c r="AZ103" s="401" t="str">
        <f>IFERROR(IF($C103&lt;1,"",AZ$3*일별반별!BC103),0)</f>
        <v/>
      </c>
      <c r="BA103" s="401" t="str">
        <f>IFERROR(IF($C103&lt;1,"",BA$3*일별반별!BD103),0)</f>
        <v/>
      </c>
      <c r="BB103" s="402" t="str">
        <f>IFERROR(IF($C103&lt;1,"",BB$3*일별반별!BE103),0)</f>
        <v/>
      </c>
      <c r="BC103" s="402" t="str">
        <f>IFERROR(IF($C103&lt;1,"",BC$3*일별반별!BF103),0)</f>
        <v/>
      </c>
      <c r="BD103" s="402" t="str">
        <f>IFERROR(IF($C103&lt;1,"",BD$3*일별반별!BG103),0)</f>
        <v/>
      </c>
      <c r="BE103" s="402" t="str">
        <f>IFERROR(IF($C103&lt;1,"",BE$3*일별반별!BH103),0)</f>
        <v/>
      </c>
      <c r="BF103" s="402" t="str">
        <f>IFERROR(IF($C103&lt;1,"",BF$3*일별반별!BI103),0)</f>
        <v/>
      </c>
      <c r="BG103" s="402" t="str">
        <f>IFERROR(IF($C103&lt;1,"",BG$3*일별반별!BJ103),0)</f>
        <v/>
      </c>
      <c r="BH103" s="402" t="str">
        <f>IFERROR(IF($C103&lt;1,"",BH$3*일별반별!BK103),0)</f>
        <v/>
      </c>
      <c r="BI103" s="402" t="str">
        <f>IFERROR(IF($C103&lt;1,"",BI$3*일별반별!BL103),0)</f>
        <v/>
      </c>
      <c r="BJ103" s="402" t="str">
        <f>IFERROR(IF($C103&lt;1,"",BJ$3*일별반별!BM103),0)</f>
        <v/>
      </c>
      <c r="BK103" s="402" t="str">
        <f>IFERROR(IF($C103&lt;1,"",BK$3*일별반별!BN103),0)</f>
        <v/>
      </c>
      <c r="BL103" s="402" t="str">
        <f>IFERROR(IF($C103&lt;1,"",BL$3*일별반별!BH103),0)</f>
        <v/>
      </c>
      <c r="BM103" s="402" t="str">
        <f>IFERROR(IF($C103&lt;1,"",BM$3*일별반별!BP103),0)</f>
        <v/>
      </c>
      <c r="BN103" s="401" t="str">
        <f>IFERROR(IF($C103&lt;1,"",BN$3*일별반별!BQ103),0)</f>
        <v/>
      </c>
      <c r="BO103" s="401" t="str">
        <f>IFERROR(IF($C103&lt;1,"",BO$3*일별반별!BR103),0)</f>
        <v/>
      </c>
      <c r="BP103" s="401" t="str">
        <f>IFERROR(IF($C103&lt;1,"",BP$3*일별반별!BS103),0)</f>
        <v/>
      </c>
      <c r="BQ103" s="401" t="str">
        <f>IFERROR(IF($C103&lt;1,"",BQ$3*일별반별!BT103),0)</f>
        <v/>
      </c>
      <c r="BR103" s="417" t="str">
        <f>IFERROR(IF($C103&lt;1,"",BR$3*일별반별!BU103),0)</f>
        <v/>
      </c>
      <c r="BS103" s="417" t="str">
        <f>IFERROR(IF($C103&lt;1,"",BS$3*일별반별!BV103),0)</f>
        <v/>
      </c>
      <c r="BT103" s="417" t="str">
        <f>IFERROR(IF($C103&lt;1,"",BT$3*일별반별!BW103),0)</f>
        <v/>
      </c>
      <c r="BU103" s="316" t="str">
        <f>IFERROR(IF($C103&lt;1,"",BU$3*일별반별!BX103),0)</f>
        <v/>
      </c>
      <c r="BV103" s="316" t="str">
        <f>IFERROR(IF($C103&lt;1,"",BV$3*일별반별!BY103),0)</f>
        <v/>
      </c>
      <c r="BW103" s="316" t="str">
        <f>IFERROR(IF($C103&lt;1,"",BW$3*일별반별!BZ103),0)</f>
        <v/>
      </c>
      <c r="BX103" s="316" t="str">
        <f>IFERROR(IF($C103&lt;1,"",BX$3*일별반별!CA103),0)</f>
        <v/>
      </c>
      <c r="BY103" s="316" t="str">
        <f>IFERROR(IF($C103&lt;1,"",BY$3*일별반별!CB103),0)</f>
        <v/>
      </c>
      <c r="BZ103" s="316" t="str">
        <f>IFERROR(IF($C103&lt;1,"",BZ$3*일별반별!CC103),0)</f>
        <v/>
      </c>
      <c r="CA103" s="316" t="str">
        <f>IFERROR(IF($C103&lt;1,"",CA$3*일별반별!CD103),0)</f>
        <v/>
      </c>
      <c r="CB103" s="316" t="str">
        <f>IFERROR(IF($C103&lt;1,"",CB$3*일별반별!CE103),0)</f>
        <v/>
      </c>
      <c r="CC103" s="316" t="str">
        <f>IFERROR(IF($C103&lt;1,"",CC$3*일별반별!CF103),0)</f>
        <v/>
      </c>
      <c r="CD103" s="316" t="str">
        <f>IFERROR(IF($C103&lt;1,"",CD$3*일별반별!CG103),0)</f>
        <v/>
      </c>
      <c r="CE103" s="316" t="str">
        <f>IFERROR(IF($C103&lt;1,"",CE$3*일별반별!CH103),0)</f>
        <v/>
      </c>
      <c r="CF103" s="316" t="str">
        <f>IFERROR(IF($C103&lt;1,"",CF$3*일별반별!CI103),0)</f>
        <v/>
      </c>
      <c r="CG103" s="316" t="str">
        <f>IFERROR(IF($C103&lt;1,"",CG$3*일별반별!CJ103),0)</f>
        <v/>
      </c>
      <c r="CH103" s="316" t="str">
        <f>IFERROR(IF($C103&lt;1,"",CH$3*일별반별!CK103),0)</f>
        <v/>
      </c>
      <c r="CI103" s="316" t="str">
        <f>IFERROR(IF($C103&lt;1,"",CI$3*일별반별!CL103),0)</f>
        <v/>
      </c>
      <c r="CJ103" s="316" t="str">
        <f>IFERROR(IF($C103&lt;1,"",CJ$3*일별반별!CM103),0)</f>
        <v/>
      </c>
      <c r="CK103" s="316" t="str">
        <f>IFERROR(IF($C103&lt;1,"",CK$3*일별반별!CN103),0)</f>
        <v/>
      </c>
      <c r="CL103" s="316" t="str">
        <f>IFERROR(IF($C103&lt;1,"",CL$3*일별반별!CO103),0)</f>
        <v/>
      </c>
      <c r="CM103" s="316" t="str">
        <f>IFERROR(IF($C103&lt;1,"",CM$3*일별반별!CP103),0)</f>
        <v/>
      </c>
      <c r="CN103" s="316" t="str">
        <f>IFERROR(IF($C103&lt;1,"",CN$3*일별반별!CQ103),0)</f>
        <v/>
      </c>
      <c r="CO103" s="316" t="str">
        <f>IFERROR(IF($C103&lt;1,"",CO$3*일별반별!CR103),0)</f>
        <v/>
      </c>
      <c r="CP103" s="316" t="str">
        <f>IFERROR(IF($C103&lt;1,"",CP$3*일별반별!CS103),0)</f>
        <v/>
      </c>
      <c r="CQ103" s="316" t="str">
        <f>IFERROR(IF($C103&lt;1,"",CQ$3*일별반별!CT103),0)</f>
        <v/>
      </c>
      <c r="CR103" s="418" t="str">
        <f>IFERROR(IF($C103&lt;1,"",CR$3*일별반별!CU103),0)</f>
        <v/>
      </c>
      <c r="CS103" s="418" t="str">
        <f>IFERROR(IF($C103&lt;1,"",CS$3*일별반별!CV103),0)</f>
        <v/>
      </c>
      <c r="CT103" s="316" t="str">
        <f>IFERROR(IF($C103&lt;1,"",CT$3*일별반별!CW103),0)</f>
        <v/>
      </c>
      <c r="CU103" s="316" t="str">
        <f>IFERROR(IF($C103&lt;1,"",CU$3*일별반별!CX103),0)</f>
        <v/>
      </c>
      <c r="CV103" s="316" t="str">
        <f>IFERROR(IF($C103&lt;1,"",CV$3*일별반별!CY103),0)</f>
        <v/>
      </c>
      <c r="CW103" s="316" t="str">
        <f>IFERROR(IF($C103&lt;1,"",CW$3*일별반별!CZ103),0)</f>
        <v/>
      </c>
      <c r="CX103" s="316" t="str">
        <f>IFERROR(IF($C103&lt;1,"",CX$3*일별반별!DA103),0)</f>
        <v/>
      </c>
      <c r="CY103" s="316" t="str">
        <f>IF(C103&lt;1,"",(CY$3*'09월 조업일지'!AV$7))</f>
        <v/>
      </c>
      <c r="CZ103" s="316" t="str">
        <f t="shared" ref="CZ103:DB134" si="7">IF($C103&lt;1,"",CZ$3)</f>
        <v/>
      </c>
      <c r="DA103" s="316" t="str">
        <f t="shared" si="7"/>
        <v/>
      </c>
      <c r="DB103" s="316" t="str">
        <f t="shared" si="7"/>
        <v/>
      </c>
      <c r="DC103" s="316"/>
      <c r="DD103" s="419"/>
    </row>
    <row r="104" spans="1:108" ht="15" customHeight="1">
      <c r="A104" s="274">
        <f t="shared" si="6"/>
        <v>44032</v>
      </c>
      <c r="B104" s="275" t="s">
        <v>10</v>
      </c>
      <c r="C104" s="201">
        <f>COUNTIFS('09월 조업일지'!$A$12:$A$952,A101,'09월 조업일지'!$E$12:$E$952,B104)</f>
        <v>0</v>
      </c>
      <c r="D104" s="314">
        <f>IF(C104&lt;1,0,(SUM(E104:CX104)/(일별반별!BV104-1.5)+(CY104+CZ104+DA104+DB104)))</f>
        <v>0</v>
      </c>
      <c r="E104" s="278"/>
      <c r="F104" s="281"/>
      <c r="G104" s="282"/>
      <c r="H104" s="283"/>
      <c r="I104" s="283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326"/>
      <c r="U104" s="395" t="str">
        <f>IFERROR(IF($C104&lt;1,"",U$3*일별반별!X104),0)</f>
        <v/>
      </c>
      <c r="V104" s="395" t="str">
        <f>IFERROR(IF($C104&lt;1,"",V$3*일별반별!Y104),0)</f>
        <v/>
      </c>
      <c r="W104" s="395" t="str">
        <f>IFERROR(IF($C104&lt;1,"",W$3*일별반별!Z104),0)</f>
        <v/>
      </c>
      <c r="X104" s="208" t="str">
        <f>IFERROR(IF($C104&lt;1,"",X$3*일별반별!AA104),0)</f>
        <v/>
      </c>
      <c r="Y104" s="208" t="str">
        <f>IFERROR(IF($C104&lt;1,"",Y$3*일별반별!AB104),0)</f>
        <v/>
      </c>
      <c r="Z104" s="208" t="str">
        <f>IFERROR(IF($C104&lt;1,"",Z$3*일별반별!AC104),0)</f>
        <v/>
      </c>
      <c r="AA104" s="395" t="str">
        <f>IFERROR(IF($C104&lt;1,"",AA$3*일별반별!AD104),0)</f>
        <v/>
      </c>
      <c r="AB104" s="395" t="str">
        <f>IFERROR(IF($C104&lt;1,"",AB$3*일별반별!AE104),0)</f>
        <v/>
      </c>
      <c r="AC104" s="208" t="str">
        <f>IFERROR(IF($C104&lt;1,"",AC$3*일별반별!AF104),0)</f>
        <v/>
      </c>
      <c r="AD104" s="208" t="str">
        <f>IFERROR(IF($C104&lt;1,"",AD$3*일별반별!AG104),0)</f>
        <v/>
      </c>
      <c r="AE104" s="208" t="str">
        <f>IFERROR(IF($C104&lt;1,"",AE$3*일별반별!AH104),0)</f>
        <v/>
      </c>
      <c r="AF104" s="395" t="str">
        <f>IFERROR(IF($C104&lt;1,"",AF$3*일별반별!AI104),0)</f>
        <v/>
      </c>
      <c r="AG104" s="395" t="str">
        <f>IFERROR(IF($C104&lt;1,"",AG$3*일별반별!AJ104),0)</f>
        <v/>
      </c>
      <c r="AH104" s="395" t="str">
        <f>IFERROR(IF($C104&lt;1,"",AH$3*일별반별!AK104),0)</f>
        <v/>
      </c>
      <c r="AI104" s="395" t="str">
        <f>IFERROR(IF($C104&lt;1,"",AI$3*일별반별!AL104),0)</f>
        <v/>
      </c>
      <c r="AJ104" s="395" t="str">
        <f>IFERROR(IF($C104&lt;1,"",AJ$3*일별반별!AM104),0)</f>
        <v/>
      </c>
      <c r="AK104" s="395" t="str">
        <f>IFERROR(IF($C104&lt;1,"",AK$3*일별반별!AN104),0)</f>
        <v/>
      </c>
      <c r="AL104" s="395" t="str">
        <f>IFERROR(IF($C104&lt;1,"",AL$3*일별반별!AO104),0)</f>
        <v/>
      </c>
      <c r="AM104" s="395" t="str">
        <f>IFERROR(IF($C104&lt;1,"",AM$3*일별반별!AP104),0)</f>
        <v/>
      </c>
      <c r="AN104" s="395" t="str">
        <f>IFERROR(IF($C104&lt;1,"",AN$3*일별반별!AQ104),0)</f>
        <v/>
      </c>
      <c r="AO104" s="395" t="str">
        <f>IFERROR(IF($C104&lt;1,"",AO$3*일별반별!AR104),0)</f>
        <v/>
      </c>
      <c r="AP104" s="347" t="str">
        <f>IFERROR(IF($C104&lt;1,"",AP$3*일별반별!AS104),0)</f>
        <v/>
      </c>
      <c r="AQ104" s="347" t="str">
        <f>IFERROR(IF($C104&lt;1,"",AQ$3*일별반별!AT104),0)</f>
        <v/>
      </c>
      <c r="AR104" s="316" t="str">
        <f>IFERROR(IF($C104&lt;1,"",AR$3*일별반별!AU104),0)</f>
        <v/>
      </c>
      <c r="AS104" s="401" t="str">
        <f>IFERROR(IF($C104&lt;1,"",AS$3*일별반별!AV104),0)</f>
        <v/>
      </c>
      <c r="AT104" s="401" t="str">
        <f>IFERROR(IF($C104&lt;1,"",AT$3*일별반별!AW104),0)</f>
        <v/>
      </c>
      <c r="AU104" s="401" t="str">
        <f>IFERROR(IF($C104&lt;1,"",AU$3*일별반별!AX104),0)</f>
        <v/>
      </c>
      <c r="AV104" s="401" t="str">
        <f>IFERROR(IF($C104&lt;1,"",AV$3*일별반별!AY104),0)</f>
        <v/>
      </c>
      <c r="AW104" s="401" t="str">
        <f>IFERROR(IF($C104&lt;1,"",AW$3*일별반별!AZ104),0)</f>
        <v/>
      </c>
      <c r="AX104" s="401" t="str">
        <f>IFERROR(IF($C104&lt;1,"",AX$3*일별반별!BA104),0)</f>
        <v/>
      </c>
      <c r="AY104" s="401" t="str">
        <f>IFERROR(IF($C104&lt;1,"",AY$3*일별반별!BB104),0)</f>
        <v/>
      </c>
      <c r="AZ104" s="401" t="str">
        <f>IFERROR(IF($C104&lt;1,"",AZ$3*일별반별!BC104),0)</f>
        <v/>
      </c>
      <c r="BA104" s="401" t="str">
        <f>IFERROR(IF($C104&lt;1,"",BA$3*일별반별!BD104),0)</f>
        <v/>
      </c>
      <c r="BB104" s="402" t="str">
        <f>IFERROR(IF($C104&lt;1,"",BB$3*일별반별!BE104),0)</f>
        <v/>
      </c>
      <c r="BC104" s="402" t="str">
        <f>IFERROR(IF($C104&lt;1,"",BC$3*일별반별!BF104),0)</f>
        <v/>
      </c>
      <c r="BD104" s="402" t="str">
        <f>IFERROR(IF($C104&lt;1,"",BD$3*일별반별!BG104),0)</f>
        <v/>
      </c>
      <c r="BE104" s="402" t="str">
        <f>IFERROR(IF($C104&lt;1,"",BE$3*일별반별!BH104),0)</f>
        <v/>
      </c>
      <c r="BF104" s="402" t="str">
        <f>IFERROR(IF($C104&lt;1,"",BF$3*일별반별!BI104),0)</f>
        <v/>
      </c>
      <c r="BG104" s="402" t="str">
        <f>IFERROR(IF($C104&lt;1,"",BG$3*일별반별!BJ104),0)</f>
        <v/>
      </c>
      <c r="BH104" s="402" t="str">
        <f>IFERROR(IF($C104&lt;1,"",BH$3*일별반별!BK104),0)</f>
        <v/>
      </c>
      <c r="BI104" s="402" t="str">
        <f>IFERROR(IF($C104&lt;1,"",BI$3*일별반별!BL104),0)</f>
        <v/>
      </c>
      <c r="BJ104" s="402" t="str">
        <f>IFERROR(IF($C104&lt;1,"",BJ$3*일별반별!BM104),0)</f>
        <v/>
      </c>
      <c r="BK104" s="402" t="str">
        <f>IFERROR(IF($C104&lt;1,"",BK$3*일별반별!BN104),0)</f>
        <v/>
      </c>
      <c r="BL104" s="402" t="str">
        <f>IFERROR(IF($C104&lt;1,"",BL$3*일별반별!BH104),0)</f>
        <v/>
      </c>
      <c r="BM104" s="402" t="str">
        <f>IFERROR(IF($C104&lt;1,"",BM$3*일별반별!BP104),0)</f>
        <v/>
      </c>
      <c r="BN104" s="401" t="str">
        <f>IFERROR(IF($C104&lt;1,"",BN$3*일별반별!BQ104),0)</f>
        <v/>
      </c>
      <c r="BO104" s="401" t="str">
        <f>IFERROR(IF($C104&lt;1,"",BO$3*일별반별!BR104),0)</f>
        <v/>
      </c>
      <c r="BP104" s="401" t="str">
        <f>IFERROR(IF($C104&lt;1,"",BP$3*일별반별!BS104),0)</f>
        <v/>
      </c>
      <c r="BQ104" s="401" t="str">
        <f>IFERROR(IF($C104&lt;1,"",BQ$3*일별반별!BT104),0)</f>
        <v/>
      </c>
      <c r="BR104" s="417" t="str">
        <f>IFERROR(IF($C104&lt;1,"",BR$3*일별반별!BU104),0)</f>
        <v/>
      </c>
      <c r="BS104" s="417" t="str">
        <f>IFERROR(IF($C104&lt;1,"",BS$3*일별반별!BV104),0)</f>
        <v/>
      </c>
      <c r="BT104" s="417" t="str">
        <f>IFERROR(IF($C104&lt;1,"",BT$3*일별반별!BW104),0)</f>
        <v/>
      </c>
      <c r="BU104" s="316" t="str">
        <f>IFERROR(IF($C104&lt;1,"",BU$3*일별반별!BX104),0)</f>
        <v/>
      </c>
      <c r="BV104" s="316" t="str">
        <f>IFERROR(IF($C104&lt;1,"",BV$3*일별반별!BY104),0)</f>
        <v/>
      </c>
      <c r="BW104" s="316" t="str">
        <f>IFERROR(IF($C104&lt;1,"",BW$3*일별반별!BZ104),0)</f>
        <v/>
      </c>
      <c r="BX104" s="316" t="str">
        <f>IFERROR(IF($C104&lt;1,"",BX$3*일별반별!CA104),0)</f>
        <v/>
      </c>
      <c r="BY104" s="316" t="str">
        <f>IFERROR(IF($C104&lt;1,"",BY$3*일별반별!CB104),0)</f>
        <v/>
      </c>
      <c r="BZ104" s="316" t="str">
        <f>IFERROR(IF($C104&lt;1,"",BZ$3*일별반별!CC104),0)</f>
        <v/>
      </c>
      <c r="CA104" s="316" t="str">
        <f>IFERROR(IF($C104&lt;1,"",CA$3*일별반별!CD104),0)</f>
        <v/>
      </c>
      <c r="CB104" s="316" t="str">
        <f>IFERROR(IF($C104&lt;1,"",CB$3*일별반별!CE104),0)</f>
        <v/>
      </c>
      <c r="CC104" s="316" t="str">
        <f>IFERROR(IF($C104&lt;1,"",CC$3*일별반별!CF104),0)</f>
        <v/>
      </c>
      <c r="CD104" s="316" t="str">
        <f>IFERROR(IF($C104&lt;1,"",CD$3*일별반별!CG104),0)</f>
        <v/>
      </c>
      <c r="CE104" s="316" t="str">
        <f>IFERROR(IF($C104&lt;1,"",CE$3*일별반별!CH104),0)</f>
        <v/>
      </c>
      <c r="CF104" s="316" t="str">
        <f>IFERROR(IF($C104&lt;1,"",CF$3*일별반별!CI104),0)</f>
        <v/>
      </c>
      <c r="CG104" s="316" t="str">
        <f>IFERROR(IF($C104&lt;1,"",CG$3*일별반별!CJ104),0)</f>
        <v/>
      </c>
      <c r="CH104" s="316" t="str">
        <f>IFERROR(IF($C104&lt;1,"",CH$3*일별반별!CK104),0)</f>
        <v/>
      </c>
      <c r="CI104" s="316" t="str">
        <f>IFERROR(IF($C104&lt;1,"",CI$3*일별반별!CL104),0)</f>
        <v/>
      </c>
      <c r="CJ104" s="316" t="str">
        <f>IFERROR(IF($C104&lt;1,"",CJ$3*일별반별!CM104),0)</f>
        <v/>
      </c>
      <c r="CK104" s="316" t="str">
        <f>IFERROR(IF($C104&lt;1,"",CK$3*일별반별!CN104),0)</f>
        <v/>
      </c>
      <c r="CL104" s="316" t="str">
        <f>IFERROR(IF($C104&lt;1,"",CL$3*일별반별!CO104),0)</f>
        <v/>
      </c>
      <c r="CM104" s="316" t="str">
        <f>IFERROR(IF($C104&lt;1,"",CM$3*일별반별!CP104),0)</f>
        <v/>
      </c>
      <c r="CN104" s="316" t="str">
        <f>IFERROR(IF($C104&lt;1,"",CN$3*일별반별!CQ104),0)</f>
        <v/>
      </c>
      <c r="CO104" s="316" t="str">
        <f>IFERROR(IF($C104&lt;1,"",CO$3*일별반별!CR104),0)</f>
        <v/>
      </c>
      <c r="CP104" s="316" t="str">
        <f>IFERROR(IF($C104&lt;1,"",CP$3*일별반별!CS104),0)</f>
        <v/>
      </c>
      <c r="CQ104" s="316" t="str">
        <f>IFERROR(IF($C104&lt;1,"",CQ$3*일별반별!CT104),0)</f>
        <v/>
      </c>
      <c r="CR104" s="418" t="str">
        <f>IFERROR(IF($C104&lt;1,"",CR$3*일별반별!CU104),0)</f>
        <v/>
      </c>
      <c r="CS104" s="418" t="str">
        <f>IFERROR(IF($C104&lt;1,"",CS$3*일별반별!CV104),0)</f>
        <v/>
      </c>
      <c r="CT104" s="316" t="str">
        <f>IFERROR(IF($C104&lt;1,"",CT$3*일별반별!CW104),0)</f>
        <v/>
      </c>
      <c r="CU104" s="316" t="str">
        <f>IFERROR(IF($C104&lt;1,"",CU$3*일별반별!CX104),0)</f>
        <v/>
      </c>
      <c r="CV104" s="316" t="str">
        <f>IFERROR(IF($C104&lt;1,"",CV$3*일별반별!CY104),0)</f>
        <v/>
      </c>
      <c r="CW104" s="316" t="str">
        <f>IFERROR(IF($C104&lt;1,"",CW$3*일별반별!CZ104),0)</f>
        <v/>
      </c>
      <c r="CX104" s="316" t="str">
        <f>IFERROR(IF($C104&lt;1,"",CX$3*일별반별!DA104),0)</f>
        <v/>
      </c>
      <c r="CY104" s="316" t="str">
        <f>IF(C104&lt;1,"",(CY$3*'09월 조업일지'!AV$7))</f>
        <v/>
      </c>
      <c r="CZ104" s="316" t="str">
        <f t="shared" si="7"/>
        <v/>
      </c>
      <c r="DA104" s="316" t="str">
        <f t="shared" si="7"/>
        <v/>
      </c>
      <c r="DB104" s="316" t="str">
        <f t="shared" si="7"/>
        <v/>
      </c>
      <c r="DC104" s="316"/>
      <c r="DD104" s="419"/>
    </row>
    <row r="105" spans="1:108" ht="15" customHeight="1">
      <c r="A105" s="274">
        <f t="shared" si="6"/>
        <v>44032</v>
      </c>
      <c r="B105" s="275" t="s">
        <v>94</v>
      </c>
      <c r="C105" s="201">
        <f>COUNTIFS('09월 조업일지'!$A$12:$A$952,A101,'09월 조업일지'!$E$12:$E$952,B105)</f>
        <v>0</v>
      </c>
      <c r="D105" s="314">
        <f>IF(C105&lt;1,0,(SUM(E105:CX105)/(일별반별!BV105-1.5)+(CY105+CZ105+DA105+DB105)))</f>
        <v>0</v>
      </c>
      <c r="E105" s="278"/>
      <c r="F105" s="281"/>
      <c r="G105" s="282"/>
      <c r="H105" s="283"/>
      <c r="I105" s="283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326"/>
      <c r="U105" s="395" t="str">
        <f>IFERROR(IF($C105&lt;1,"",U$3*일별반별!X105),0)</f>
        <v/>
      </c>
      <c r="V105" s="395" t="str">
        <f>IFERROR(IF($C105&lt;1,"",V$3*일별반별!Y105),0)</f>
        <v/>
      </c>
      <c r="W105" s="395" t="str">
        <f>IFERROR(IF($C105&lt;1,"",W$3*일별반별!Z105),0)</f>
        <v/>
      </c>
      <c r="X105" s="208" t="str">
        <f>IFERROR(IF($C105&lt;1,"",X$3*일별반별!AA105),0)</f>
        <v/>
      </c>
      <c r="Y105" s="208" t="str">
        <f>IFERROR(IF($C105&lt;1,"",Y$3*일별반별!AB105),0)</f>
        <v/>
      </c>
      <c r="Z105" s="208" t="str">
        <f>IFERROR(IF($C105&lt;1,"",Z$3*일별반별!AC105),0)</f>
        <v/>
      </c>
      <c r="AA105" s="395" t="str">
        <f>IFERROR(IF($C105&lt;1,"",AA$3*일별반별!AD105),0)</f>
        <v/>
      </c>
      <c r="AB105" s="395" t="str">
        <f>IFERROR(IF($C105&lt;1,"",AB$3*일별반별!AE105),0)</f>
        <v/>
      </c>
      <c r="AC105" s="208" t="str">
        <f>IFERROR(IF($C105&lt;1,"",AC$3*일별반별!AF105),0)</f>
        <v/>
      </c>
      <c r="AD105" s="208" t="str">
        <f>IFERROR(IF($C105&lt;1,"",AD$3*일별반별!AG105),0)</f>
        <v/>
      </c>
      <c r="AE105" s="208" t="str">
        <f>IFERROR(IF($C105&lt;1,"",AE$3*일별반별!AH105),0)</f>
        <v/>
      </c>
      <c r="AF105" s="395" t="str">
        <f>IFERROR(IF($C105&lt;1,"",AF$3*일별반별!AI105),0)</f>
        <v/>
      </c>
      <c r="AG105" s="395" t="str">
        <f>IFERROR(IF($C105&lt;1,"",AG$3*일별반별!AJ105),0)</f>
        <v/>
      </c>
      <c r="AH105" s="395" t="str">
        <f>IFERROR(IF($C105&lt;1,"",AH$3*일별반별!AK105),0)</f>
        <v/>
      </c>
      <c r="AI105" s="395" t="str">
        <f>IFERROR(IF($C105&lt;1,"",AI$3*일별반별!AL105),0)</f>
        <v/>
      </c>
      <c r="AJ105" s="395" t="str">
        <f>IFERROR(IF($C105&lt;1,"",AJ$3*일별반별!AM105),0)</f>
        <v/>
      </c>
      <c r="AK105" s="395" t="str">
        <f>IFERROR(IF($C105&lt;1,"",AK$3*일별반별!AN105),0)</f>
        <v/>
      </c>
      <c r="AL105" s="395" t="str">
        <f>IFERROR(IF($C105&lt;1,"",AL$3*일별반별!AO105),0)</f>
        <v/>
      </c>
      <c r="AM105" s="395" t="str">
        <f>IFERROR(IF($C105&lt;1,"",AM$3*일별반별!AP105),0)</f>
        <v/>
      </c>
      <c r="AN105" s="395" t="str">
        <f>IFERROR(IF($C105&lt;1,"",AN$3*일별반별!AQ105),0)</f>
        <v/>
      </c>
      <c r="AO105" s="395" t="str">
        <f>IFERROR(IF($C105&lt;1,"",AO$3*일별반별!AR105),0)</f>
        <v/>
      </c>
      <c r="AP105" s="347" t="str">
        <f>IFERROR(IF($C105&lt;1,"",AP$3*일별반별!AS105),0)</f>
        <v/>
      </c>
      <c r="AQ105" s="347" t="str">
        <f>IFERROR(IF($C105&lt;1,"",AQ$3*일별반별!AT105),0)</f>
        <v/>
      </c>
      <c r="AR105" s="316" t="str">
        <f>IFERROR(IF($C105&lt;1,"",AR$3*일별반별!AU105),0)</f>
        <v/>
      </c>
      <c r="AS105" s="401" t="str">
        <f>IFERROR(IF($C105&lt;1,"",AS$3*일별반별!AV105),0)</f>
        <v/>
      </c>
      <c r="AT105" s="401" t="str">
        <f>IFERROR(IF($C105&lt;1,"",AT$3*일별반별!AW105),0)</f>
        <v/>
      </c>
      <c r="AU105" s="401" t="str">
        <f>IFERROR(IF($C105&lt;1,"",AU$3*일별반별!AX105),0)</f>
        <v/>
      </c>
      <c r="AV105" s="401" t="str">
        <f>IFERROR(IF($C105&lt;1,"",AV$3*일별반별!AY105),0)</f>
        <v/>
      </c>
      <c r="AW105" s="401" t="str">
        <f>IFERROR(IF($C105&lt;1,"",AW$3*일별반별!AZ105),0)</f>
        <v/>
      </c>
      <c r="AX105" s="401" t="str">
        <f>IFERROR(IF($C105&lt;1,"",AX$3*일별반별!BA105),0)</f>
        <v/>
      </c>
      <c r="AY105" s="401" t="str">
        <f>IFERROR(IF($C105&lt;1,"",AY$3*일별반별!BB105),0)</f>
        <v/>
      </c>
      <c r="AZ105" s="401" t="str">
        <f>IFERROR(IF($C105&lt;1,"",AZ$3*일별반별!BC105),0)</f>
        <v/>
      </c>
      <c r="BA105" s="401" t="str">
        <f>IFERROR(IF($C105&lt;1,"",BA$3*일별반별!BD105),0)</f>
        <v/>
      </c>
      <c r="BB105" s="402" t="str">
        <f>IFERROR(IF($C105&lt;1,"",BB$3*일별반별!BE105),0)</f>
        <v/>
      </c>
      <c r="BC105" s="402" t="str">
        <f>IFERROR(IF($C105&lt;1,"",BC$3*일별반별!BF105),0)</f>
        <v/>
      </c>
      <c r="BD105" s="402" t="str">
        <f>IFERROR(IF($C105&lt;1,"",BD$3*일별반별!BG105),0)</f>
        <v/>
      </c>
      <c r="BE105" s="402" t="str">
        <f>IFERROR(IF($C105&lt;1,"",BE$3*일별반별!BH105),0)</f>
        <v/>
      </c>
      <c r="BF105" s="402" t="str">
        <f>IFERROR(IF($C105&lt;1,"",BF$3*일별반별!BI105),0)</f>
        <v/>
      </c>
      <c r="BG105" s="402" t="str">
        <f>IFERROR(IF($C105&lt;1,"",BG$3*일별반별!BJ105),0)</f>
        <v/>
      </c>
      <c r="BH105" s="402" t="str">
        <f>IFERROR(IF($C105&lt;1,"",BH$3*일별반별!BK105),0)</f>
        <v/>
      </c>
      <c r="BI105" s="402" t="str">
        <f>IFERROR(IF($C105&lt;1,"",BI$3*일별반별!BL105),0)</f>
        <v/>
      </c>
      <c r="BJ105" s="402" t="str">
        <f>IFERROR(IF($C105&lt;1,"",BJ$3*일별반별!BM105),0)</f>
        <v/>
      </c>
      <c r="BK105" s="402" t="str">
        <f>IFERROR(IF($C105&lt;1,"",BK$3*일별반별!BN105),0)</f>
        <v/>
      </c>
      <c r="BL105" s="402" t="str">
        <f>IFERROR(IF($C105&lt;1,"",BL$3*일별반별!BH105),0)</f>
        <v/>
      </c>
      <c r="BM105" s="402" t="str">
        <f>IFERROR(IF($C105&lt;1,"",BM$3*일별반별!BP105),0)</f>
        <v/>
      </c>
      <c r="BN105" s="401" t="str">
        <f>IFERROR(IF($C105&lt;1,"",BN$3*일별반별!BQ105),0)</f>
        <v/>
      </c>
      <c r="BO105" s="401" t="str">
        <f>IFERROR(IF($C105&lt;1,"",BO$3*일별반별!BR105),0)</f>
        <v/>
      </c>
      <c r="BP105" s="401" t="str">
        <f>IFERROR(IF($C105&lt;1,"",BP$3*일별반별!BS105),0)</f>
        <v/>
      </c>
      <c r="BQ105" s="401" t="str">
        <f>IFERROR(IF($C105&lt;1,"",BQ$3*일별반별!BT105),0)</f>
        <v/>
      </c>
      <c r="BR105" s="417" t="str">
        <f>IFERROR(IF($C105&lt;1,"",BR$3*일별반별!BU105),0)</f>
        <v/>
      </c>
      <c r="BS105" s="417" t="str">
        <f>IFERROR(IF($C105&lt;1,"",BS$3*일별반별!BV105),0)</f>
        <v/>
      </c>
      <c r="BT105" s="417" t="str">
        <f>IFERROR(IF($C105&lt;1,"",BT$3*일별반별!BW105),0)</f>
        <v/>
      </c>
      <c r="BU105" s="316" t="str">
        <f>IFERROR(IF($C105&lt;1,"",BU$3*일별반별!BX105),0)</f>
        <v/>
      </c>
      <c r="BV105" s="316" t="str">
        <f>IFERROR(IF($C105&lt;1,"",BV$3*일별반별!BY105),0)</f>
        <v/>
      </c>
      <c r="BW105" s="316" t="str">
        <f>IFERROR(IF($C105&lt;1,"",BW$3*일별반별!BZ105),0)</f>
        <v/>
      </c>
      <c r="BX105" s="316" t="str">
        <f>IFERROR(IF($C105&lt;1,"",BX$3*일별반별!CA105),0)</f>
        <v/>
      </c>
      <c r="BY105" s="316" t="str">
        <f>IFERROR(IF($C105&lt;1,"",BY$3*일별반별!CB105),0)</f>
        <v/>
      </c>
      <c r="BZ105" s="316" t="str">
        <f>IFERROR(IF($C105&lt;1,"",BZ$3*일별반별!CC105),0)</f>
        <v/>
      </c>
      <c r="CA105" s="316" t="str">
        <f>IFERROR(IF($C105&lt;1,"",CA$3*일별반별!CD105),0)</f>
        <v/>
      </c>
      <c r="CB105" s="316" t="str">
        <f>IFERROR(IF($C105&lt;1,"",CB$3*일별반별!CE105),0)</f>
        <v/>
      </c>
      <c r="CC105" s="316" t="str">
        <f>IFERROR(IF($C105&lt;1,"",CC$3*일별반별!CF105),0)</f>
        <v/>
      </c>
      <c r="CD105" s="316" t="str">
        <f>IFERROR(IF($C105&lt;1,"",CD$3*일별반별!CG105),0)</f>
        <v/>
      </c>
      <c r="CE105" s="316" t="str">
        <f>IFERROR(IF($C105&lt;1,"",CE$3*일별반별!CH105),0)</f>
        <v/>
      </c>
      <c r="CF105" s="316" t="str">
        <f>IFERROR(IF($C105&lt;1,"",CF$3*일별반별!CI105),0)</f>
        <v/>
      </c>
      <c r="CG105" s="316" t="str">
        <f>IFERROR(IF($C105&lt;1,"",CG$3*일별반별!CJ105),0)</f>
        <v/>
      </c>
      <c r="CH105" s="316" t="str">
        <f>IFERROR(IF($C105&lt;1,"",CH$3*일별반별!CK105),0)</f>
        <v/>
      </c>
      <c r="CI105" s="316" t="str">
        <f>IFERROR(IF($C105&lt;1,"",CI$3*일별반별!CL105),0)</f>
        <v/>
      </c>
      <c r="CJ105" s="316" t="str">
        <f>IFERROR(IF($C105&lt;1,"",CJ$3*일별반별!CM105),0)</f>
        <v/>
      </c>
      <c r="CK105" s="316" t="str">
        <f>IFERROR(IF($C105&lt;1,"",CK$3*일별반별!CN105),0)</f>
        <v/>
      </c>
      <c r="CL105" s="316" t="str">
        <f>IFERROR(IF($C105&lt;1,"",CL$3*일별반별!CO105),0)</f>
        <v/>
      </c>
      <c r="CM105" s="316" t="str">
        <f>IFERROR(IF($C105&lt;1,"",CM$3*일별반별!CP105),0)</f>
        <v/>
      </c>
      <c r="CN105" s="316" t="str">
        <f>IFERROR(IF($C105&lt;1,"",CN$3*일별반별!CQ105),0)</f>
        <v/>
      </c>
      <c r="CO105" s="316" t="str">
        <f>IFERROR(IF($C105&lt;1,"",CO$3*일별반별!CR105),0)</f>
        <v/>
      </c>
      <c r="CP105" s="316" t="str">
        <f>IFERROR(IF($C105&lt;1,"",CP$3*일별반별!CS105),0)</f>
        <v/>
      </c>
      <c r="CQ105" s="316" t="str">
        <f>IFERROR(IF($C105&lt;1,"",CQ$3*일별반별!CT105),0)</f>
        <v/>
      </c>
      <c r="CR105" s="418" t="str">
        <f>IFERROR(IF($C105&lt;1,"",CR$3*일별반별!CU105),0)</f>
        <v/>
      </c>
      <c r="CS105" s="418" t="str">
        <f>IFERROR(IF($C105&lt;1,"",CS$3*일별반별!CV105),0)</f>
        <v/>
      </c>
      <c r="CT105" s="316" t="str">
        <f>IFERROR(IF($C105&lt;1,"",CT$3*일별반별!CW105),0)</f>
        <v/>
      </c>
      <c r="CU105" s="316" t="str">
        <f>IFERROR(IF($C105&lt;1,"",CU$3*일별반별!CX105),0)</f>
        <v/>
      </c>
      <c r="CV105" s="316" t="str">
        <f>IFERROR(IF($C105&lt;1,"",CV$3*일별반별!CY105),0)</f>
        <v/>
      </c>
      <c r="CW105" s="316" t="str">
        <f>IFERROR(IF($C105&lt;1,"",CW$3*일별반별!CZ105),0)</f>
        <v/>
      </c>
      <c r="CX105" s="316" t="str">
        <f>IFERROR(IF($C105&lt;1,"",CX$3*일별반별!DA105),0)</f>
        <v/>
      </c>
      <c r="CY105" s="316" t="str">
        <f>IF(C105&lt;1,"",(CY$3*'09월 조업일지'!AV$7))</f>
        <v/>
      </c>
      <c r="CZ105" s="316" t="str">
        <f t="shared" si="7"/>
        <v/>
      </c>
      <c r="DA105" s="316" t="str">
        <f t="shared" si="7"/>
        <v/>
      </c>
      <c r="DB105" s="316" t="str">
        <f t="shared" si="7"/>
        <v/>
      </c>
      <c r="DC105" s="316"/>
      <c r="DD105" s="419"/>
    </row>
    <row r="106" spans="1:108" ht="15" customHeight="1">
      <c r="A106" s="327">
        <f>A101+1</f>
        <v>44033</v>
      </c>
      <c r="B106" s="328" t="s">
        <v>31</v>
      </c>
      <c r="C106" s="329">
        <f>COUNTIF('09월 조업일지'!$A$12:$A$952,A106)</f>
        <v>0</v>
      </c>
      <c r="D106" s="330">
        <f>IF(C106&lt;1,0,(SUM(E106:CX106)/(일별반별!BV106-1.5)+(CY106+CZ106+DA106+DB106)))</f>
        <v>0</v>
      </c>
      <c r="E106" s="331"/>
      <c r="F106" s="331"/>
      <c r="G106" s="332"/>
      <c r="H106" s="333"/>
      <c r="I106" s="333"/>
      <c r="J106" s="334"/>
      <c r="K106" s="334"/>
      <c r="L106" s="334"/>
      <c r="M106" s="334"/>
      <c r="N106" s="334"/>
      <c r="O106" s="334"/>
      <c r="P106" s="334"/>
      <c r="Q106" s="335"/>
      <c r="R106" s="334"/>
      <c r="S106" s="335"/>
      <c r="T106" s="334"/>
      <c r="U106" s="337" t="str">
        <f>IFERROR(IF($C106&lt;1,"",U$3*일별반별!X106),0)</f>
        <v/>
      </c>
      <c r="V106" s="337" t="str">
        <f>IFERROR(IF($C106&lt;1,"",V$3*일별반별!Y106),0)</f>
        <v/>
      </c>
      <c r="W106" s="337" t="str">
        <f>IFERROR(IF($C106&lt;1,"",W$3*일별반별!Z106),0)</f>
        <v/>
      </c>
      <c r="X106" s="336" t="str">
        <f>IFERROR(IF($C106&lt;1,"",X$3*일별반별!AA106),0)</f>
        <v/>
      </c>
      <c r="Y106" s="336" t="str">
        <f>IFERROR(IF($C106&lt;1,"",Y$3*일별반별!AB106),0)</f>
        <v/>
      </c>
      <c r="Z106" s="336" t="str">
        <f>IFERROR(IF($C106&lt;1,"",Z$3*일별반별!AC106),0)</f>
        <v/>
      </c>
      <c r="AA106" s="337" t="str">
        <f>IFERROR(IF($C106&lt;1,"",AA$3*일별반별!AD106),0)</f>
        <v/>
      </c>
      <c r="AB106" s="337" t="str">
        <f>IFERROR(IF($C106&lt;1,"",AB$3*일별반별!AE106),0)</f>
        <v/>
      </c>
      <c r="AC106" s="336" t="str">
        <f>IFERROR(IF($C106&lt;1,"",AC$3*일별반별!AF106),0)</f>
        <v/>
      </c>
      <c r="AD106" s="336" t="str">
        <f>IFERROR(IF($C106&lt;1,"",AD$3*일별반별!AG106),0)</f>
        <v/>
      </c>
      <c r="AE106" s="336" t="str">
        <f>IFERROR(IF($C106&lt;1,"",AE$3*일별반별!AH106),0)</f>
        <v/>
      </c>
      <c r="AF106" s="337" t="str">
        <f>IFERROR(IF($C106&lt;1,"",AF$3*일별반별!AI106),0)</f>
        <v/>
      </c>
      <c r="AG106" s="337" t="str">
        <f>IFERROR(IF($C106&lt;1,"",AG$3*일별반별!AJ106),0)</f>
        <v/>
      </c>
      <c r="AH106" s="337" t="str">
        <f>IFERROR(IF($C106&lt;1,"",AH$3*일별반별!AK106),0)</f>
        <v/>
      </c>
      <c r="AI106" s="337" t="str">
        <f>IFERROR(IF($C106&lt;1,"",AI$3*일별반별!AL106),0)</f>
        <v/>
      </c>
      <c r="AJ106" s="337" t="str">
        <f>IFERROR(IF($C106&lt;1,"",AJ$3*일별반별!AM106),0)</f>
        <v/>
      </c>
      <c r="AK106" s="337" t="str">
        <f>IFERROR(IF($C106&lt;1,"",AK$3*일별반별!AN106),0)</f>
        <v/>
      </c>
      <c r="AL106" s="337" t="str">
        <f>IFERROR(IF($C106&lt;1,"",AL$3*일별반별!AO106),0)</f>
        <v/>
      </c>
      <c r="AM106" s="337" t="str">
        <f>IFERROR(IF($C106&lt;1,"",AM$3*일별반별!AP106),0)</f>
        <v/>
      </c>
      <c r="AN106" s="337" t="str">
        <f>IFERROR(IF($C106&lt;1,"",AN$3*일별반별!AQ106),0)</f>
        <v/>
      </c>
      <c r="AO106" s="337" t="str">
        <f>IFERROR(IF($C106&lt;1,"",AO$3*일별반별!AR106),0)</f>
        <v/>
      </c>
      <c r="AP106" s="337" t="str">
        <f>IFERROR(IF($C106&lt;1,"",AP$3*일별반별!AS106),0)</f>
        <v/>
      </c>
      <c r="AQ106" s="337" t="str">
        <f>IFERROR(IF($C106&lt;1,"",AQ$3*일별반별!AT106),0)</f>
        <v/>
      </c>
      <c r="AR106" s="337" t="str">
        <f>IFERROR(IF($C106&lt;1,"",AR$3*일별반별!AU106),0)</f>
        <v/>
      </c>
      <c r="AS106" s="403" t="str">
        <f>IFERROR(IF($C106&lt;1,"",AS$3*일별반별!AV106),0)</f>
        <v/>
      </c>
      <c r="AT106" s="403" t="str">
        <f>IFERROR(IF($C106&lt;1,"",AT$3*일별반별!AW106),0)</f>
        <v/>
      </c>
      <c r="AU106" s="403" t="str">
        <f>IFERROR(IF($C106&lt;1,"",AU$3*일별반별!AX106),0)</f>
        <v/>
      </c>
      <c r="AV106" s="403" t="str">
        <f>IFERROR(IF($C106&lt;1,"",AV$3*일별반별!AY106),0)</f>
        <v/>
      </c>
      <c r="AW106" s="403" t="str">
        <f>IFERROR(IF($C106&lt;1,"",AW$3*일별반별!AZ106),0)</f>
        <v/>
      </c>
      <c r="AX106" s="403" t="str">
        <f>IFERROR(IF($C106&lt;1,"",AX$3*일별반별!BA106),0)</f>
        <v/>
      </c>
      <c r="AY106" s="403" t="str">
        <f>IFERROR(IF($C106&lt;1,"",AY$3*일별반별!BB106),0)</f>
        <v/>
      </c>
      <c r="AZ106" s="403" t="str">
        <f>IFERROR(IF($C106&lt;1,"",AZ$3*일별반별!BC106),0)</f>
        <v/>
      </c>
      <c r="BA106" s="403" t="str">
        <f>IFERROR(IF($C106&lt;1,"",BA$3*일별반별!BD106),0)</f>
        <v/>
      </c>
      <c r="BB106" s="403" t="str">
        <f>IFERROR(IF($C106&lt;1,"",BB$3*일별반별!BE106),0)</f>
        <v/>
      </c>
      <c r="BC106" s="403" t="str">
        <f>IFERROR(IF($C106&lt;1,"",BC$3*일별반별!BF106),0)</f>
        <v/>
      </c>
      <c r="BD106" s="403" t="str">
        <f>IFERROR(IF($C106&lt;1,"",BD$3*일별반별!BG106),0)</f>
        <v/>
      </c>
      <c r="BE106" s="403" t="str">
        <f>IFERROR(IF($C106&lt;1,"",BE$3*일별반별!BH106),0)</f>
        <v/>
      </c>
      <c r="BF106" s="403" t="str">
        <f>IFERROR(IF($C106&lt;1,"",BF$3*일별반별!BI106),0)</f>
        <v/>
      </c>
      <c r="BG106" s="403" t="str">
        <f>IFERROR(IF($C106&lt;1,"",BG$3*일별반별!BJ106),0)</f>
        <v/>
      </c>
      <c r="BH106" s="403" t="str">
        <f>IFERROR(IF($C106&lt;1,"",BH$3*일별반별!BK106),0)</f>
        <v/>
      </c>
      <c r="BI106" s="403" t="str">
        <f>IFERROR(IF($C106&lt;1,"",BI$3*일별반별!BL106),0)</f>
        <v/>
      </c>
      <c r="BJ106" s="403" t="str">
        <f>IFERROR(IF($C106&lt;1,"",BJ$3*일별반별!BM106),0)</f>
        <v/>
      </c>
      <c r="BK106" s="403" t="str">
        <f>IFERROR(IF($C106&lt;1,"",BK$3*일별반별!BN106),0)</f>
        <v/>
      </c>
      <c r="BL106" s="403" t="str">
        <f>IFERROR(IF($C106&lt;1,"",BL$3*일별반별!BH106),0)</f>
        <v/>
      </c>
      <c r="BM106" s="403" t="str">
        <f>IFERROR(IF($C106&lt;1,"",BM$3*일별반별!BP106),0)</f>
        <v/>
      </c>
      <c r="BN106" s="403" t="str">
        <f>IFERROR(IF($C106&lt;1,"",BN$3*일별반별!BQ106),0)</f>
        <v/>
      </c>
      <c r="BO106" s="403" t="str">
        <f>IFERROR(IF($C106&lt;1,"",BO$3*일별반별!BR106),0)</f>
        <v/>
      </c>
      <c r="BP106" s="403" t="str">
        <f>IFERROR(IF($C106&lt;1,"",BP$3*일별반별!BS106),0)</f>
        <v/>
      </c>
      <c r="BQ106" s="403" t="str">
        <f>IFERROR(IF($C106&lt;1,"",BQ$3*일별반별!BT106),0)</f>
        <v/>
      </c>
      <c r="BR106" s="337" t="str">
        <f>IFERROR(IF($C106&lt;1,"",BR$3*일별반별!BU106),0)</f>
        <v/>
      </c>
      <c r="BS106" s="337" t="str">
        <f>IFERROR(IF($C106&lt;1,"",BS$3*일별반별!BV106),0)</f>
        <v/>
      </c>
      <c r="BT106" s="337" t="str">
        <f>IFERROR(IF($C106&lt;1,"",BT$3*일별반별!BW106),0)</f>
        <v/>
      </c>
      <c r="BU106" s="337" t="str">
        <f>IFERROR(IF($C106&lt;1,"",BU$3*일별반별!BX106),0)</f>
        <v/>
      </c>
      <c r="BV106" s="337" t="str">
        <f>IFERROR(IF($C106&lt;1,"",BV$3*일별반별!BY106),0)</f>
        <v/>
      </c>
      <c r="BW106" s="337" t="str">
        <f>IFERROR(IF($C106&lt;1,"",BW$3*일별반별!BZ106),0)</f>
        <v/>
      </c>
      <c r="BX106" s="337" t="str">
        <f>IFERROR(IF($C106&lt;1,"",BX$3*일별반별!CA106),0)</f>
        <v/>
      </c>
      <c r="BY106" s="337" t="str">
        <f>IFERROR(IF($C106&lt;1,"",BY$3*일별반별!CB106),0)</f>
        <v/>
      </c>
      <c r="BZ106" s="337" t="str">
        <f>IFERROR(IF($C106&lt;1,"",BZ$3*일별반별!CC106),0)</f>
        <v/>
      </c>
      <c r="CA106" s="337" t="str">
        <f>IFERROR(IF($C106&lt;1,"",CA$3*일별반별!CD106),0)</f>
        <v/>
      </c>
      <c r="CB106" s="337" t="str">
        <f>IFERROR(IF($C106&lt;1,"",CB$3*일별반별!CE106),0)</f>
        <v/>
      </c>
      <c r="CC106" s="337" t="str">
        <f>IFERROR(IF($C106&lt;1,"",CC$3*일별반별!CF106),0)</f>
        <v/>
      </c>
      <c r="CD106" s="337" t="str">
        <f>IFERROR(IF($C106&lt;1,"",CD$3*일별반별!CG106),0)</f>
        <v/>
      </c>
      <c r="CE106" s="337" t="str">
        <f>IFERROR(IF($C106&lt;1,"",CE$3*일별반별!CH106),0)</f>
        <v/>
      </c>
      <c r="CF106" s="337" t="str">
        <f>IFERROR(IF($C106&lt;1,"",CF$3*일별반별!CI106),0)</f>
        <v/>
      </c>
      <c r="CG106" s="337" t="str">
        <f>IFERROR(IF($C106&lt;1,"",CG$3*일별반별!CJ106),0)</f>
        <v/>
      </c>
      <c r="CH106" s="337" t="str">
        <f>IFERROR(IF($C106&lt;1,"",CH$3*일별반별!CK106),0)</f>
        <v/>
      </c>
      <c r="CI106" s="337" t="str">
        <f>IFERROR(IF($C106&lt;1,"",CI$3*일별반별!CL106),0)</f>
        <v/>
      </c>
      <c r="CJ106" s="337" t="str">
        <f>IFERROR(IF($C106&lt;1,"",CJ$3*일별반별!CM106),0)</f>
        <v/>
      </c>
      <c r="CK106" s="337" t="str">
        <f>IFERROR(IF($C106&lt;1,"",CK$3*일별반별!CN106),0)</f>
        <v/>
      </c>
      <c r="CL106" s="337" t="str">
        <f>IFERROR(IF($C106&lt;1,"",CL$3*일별반별!CO106),0)</f>
        <v/>
      </c>
      <c r="CM106" s="337" t="str">
        <f>IFERROR(IF($C106&lt;1,"",CM$3*일별반별!CP106),0)</f>
        <v/>
      </c>
      <c r="CN106" s="337" t="str">
        <f>IFERROR(IF($C106&lt;1,"",CN$3*일별반별!CQ106),0)</f>
        <v/>
      </c>
      <c r="CO106" s="337" t="str">
        <f>IFERROR(IF($C106&lt;1,"",CO$3*일별반별!CR106),0)</f>
        <v/>
      </c>
      <c r="CP106" s="337" t="str">
        <f>IFERROR(IF($C106&lt;1,"",CP$3*일별반별!CS106),0)</f>
        <v/>
      </c>
      <c r="CQ106" s="337" t="str">
        <f>IFERROR(IF($C106&lt;1,"",CQ$3*일별반별!CT106),0)</f>
        <v/>
      </c>
      <c r="CR106" s="420" t="str">
        <f>IFERROR(IF($C106&lt;1,"",CR$3*일별반별!CU106),0)</f>
        <v/>
      </c>
      <c r="CS106" s="420" t="str">
        <f>IFERROR(IF($C106&lt;1,"",CS$3*일별반별!CV106),0)</f>
        <v/>
      </c>
      <c r="CT106" s="337" t="str">
        <f>IFERROR(IF($C106&lt;1,"",CT$3*일별반별!CW106),0)</f>
        <v/>
      </c>
      <c r="CU106" s="337" t="str">
        <f>IFERROR(IF($C106&lt;1,"",CU$3*일별반별!CX106),0)</f>
        <v/>
      </c>
      <c r="CV106" s="337" t="str">
        <f>IFERROR(IF($C106&lt;1,"",CV$3*일별반별!CY106),0)</f>
        <v/>
      </c>
      <c r="CW106" s="337" t="str">
        <f>IFERROR(IF($C106&lt;1,"",CW$3*일별반별!CZ106),0)</f>
        <v/>
      </c>
      <c r="CX106" s="337" t="str">
        <f>IFERROR(IF($C106&lt;1,"",CX$3*일별반별!DA106),0)</f>
        <v/>
      </c>
      <c r="CY106" s="316" t="str">
        <f>IF(C106&lt;1,"",(CY$3*'09월 조업일지'!AV$7))</f>
        <v/>
      </c>
      <c r="CZ106" s="316" t="str">
        <f t="shared" si="7"/>
        <v/>
      </c>
      <c r="DA106" s="316" t="str">
        <f t="shared" si="7"/>
        <v/>
      </c>
      <c r="DB106" s="316" t="str">
        <f t="shared" si="7"/>
        <v/>
      </c>
      <c r="DC106" s="316"/>
      <c r="DD106" s="419"/>
    </row>
    <row r="107" spans="1:108" ht="15" customHeight="1">
      <c r="A107" s="274">
        <f t="shared" si="6"/>
        <v>44033</v>
      </c>
      <c r="B107" s="275" t="s">
        <v>9</v>
      </c>
      <c r="C107" s="201">
        <f>COUNTIFS('09월 조업일지'!$A$12:$A$952,A106,'09월 조업일지'!$E$12:$E$952,B107)</f>
        <v>0</v>
      </c>
      <c r="D107" s="314">
        <f>IF(C107&lt;1,0,(SUM(E107:CX107)/(일별반별!BV107-1.5)+(CY107+CZ107+DA107+DB107)))</f>
        <v>0</v>
      </c>
      <c r="E107" s="278"/>
      <c r="F107" s="281"/>
      <c r="G107" s="282"/>
      <c r="H107" s="283"/>
      <c r="I107" s="283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326"/>
      <c r="U107" s="395" t="str">
        <f>IFERROR(IF($C107&lt;1,"",U$3*일별반별!X107),0)</f>
        <v/>
      </c>
      <c r="V107" s="395" t="str">
        <f>IFERROR(IF($C107&lt;1,"",V$3*일별반별!Y107),0)</f>
        <v/>
      </c>
      <c r="W107" s="395" t="str">
        <f>IFERROR(IF($C107&lt;1,"",W$3*일별반별!Z107),0)</f>
        <v/>
      </c>
      <c r="X107" s="208" t="str">
        <f>IFERROR(IF($C107&lt;1,"",X$3*일별반별!AA107),0)</f>
        <v/>
      </c>
      <c r="Y107" s="208" t="str">
        <f>IFERROR(IF($C107&lt;1,"",Y$3*일별반별!AB107),0)</f>
        <v/>
      </c>
      <c r="Z107" s="208" t="str">
        <f>IFERROR(IF($C107&lt;1,"",Z$3*일별반별!AC107),0)</f>
        <v/>
      </c>
      <c r="AA107" s="395" t="str">
        <f>IFERROR(IF($C107&lt;1,"",AA$3*일별반별!AD107),0)</f>
        <v/>
      </c>
      <c r="AB107" s="395" t="str">
        <f>IFERROR(IF($C107&lt;1,"",AB$3*일별반별!AE107),0)</f>
        <v/>
      </c>
      <c r="AC107" s="208" t="str">
        <f>IFERROR(IF($C107&lt;1,"",AC$3*일별반별!AF107),0)</f>
        <v/>
      </c>
      <c r="AD107" s="208" t="str">
        <f>IFERROR(IF($C107&lt;1,"",AD$3*일별반별!AG107),0)</f>
        <v/>
      </c>
      <c r="AE107" s="208" t="str">
        <f>IFERROR(IF($C107&lt;1,"",AE$3*일별반별!AH107),0)</f>
        <v/>
      </c>
      <c r="AF107" s="395" t="str">
        <f>IFERROR(IF($C107&lt;1,"",AF$3*일별반별!AI107),0)</f>
        <v/>
      </c>
      <c r="AG107" s="395" t="str">
        <f>IFERROR(IF($C107&lt;1,"",AG$3*일별반별!AJ107),0)</f>
        <v/>
      </c>
      <c r="AH107" s="395" t="str">
        <f>IFERROR(IF($C107&lt;1,"",AH$3*일별반별!AK107),0)</f>
        <v/>
      </c>
      <c r="AI107" s="395" t="str">
        <f>IFERROR(IF($C107&lt;1,"",AI$3*일별반별!AL107),0)</f>
        <v/>
      </c>
      <c r="AJ107" s="395" t="str">
        <f>IFERROR(IF($C107&lt;1,"",AJ$3*일별반별!AM107),0)</f>
        <v/>
      </c>
      <c r="AK107" s="395" t="str">
        <f>IFERROR(IF($C107&lt;1,"",AK$3*일별반별!AN107),0)</f>
        <v/>
      </c>
      <c r="AL107" s="395" t="str">
        <f>IFERROR(IF($C107&lt;1,"",AL$3*일별반별!AO107),0)</f>
        <v/>
      </c>
      <c r="AM107" s="395" t="str">
        <f>IFERROR(IF($C107&lt;1,"",AM$3*일별반별!AP107),0)</f>
        <v/>
      </c>
      <c r="AN107" s="395" t="str">
        <f>IFERROR(IF($C107&lt;1,"",AN$3*일별반별!AQ107),0)</f>
        <v/>
      </c>
      <c r="AO107" s="395" t="str">
        <f>IFERROR(IF($C107&lt;1,"",AO$3*일별반별!AR107),0)</f>
        <v/>
      </c>
      <c r="AP107" s="347" t="str">
        <f>IFERROR(IF($C107&lt;1,"",AP$3*일별반별!AS107),0)</f>
        <v/>
      </c>
      <c r="AQ107" s="347" t="str">
        <f>IFERROR(IF($C107&lt;1,"",AQ$3*일별반별!AT107),0)</f>
        <v/>
      </c>
      <c r="AR107" s="316" t="str">
        <f>IFERROR(IF($C107&lt;1,"",AR$3*일별반별!AU107),0)</f>
        <v/>
      </c>
      <c r="AS107" s="401" t="str">
        <f>IFERROR(IF($C107&lt;1,"",AS$3*일별반별!AV107),0)</f>
        <v/>
      </c>
      <c r="AT107" s="401" t="str">
        <f>IFERROR(IF($C107&lt;1,"",AT$3*일별반별!AW107),0)</f>
        <v/>
      </c>
      <c r="AU107" s="401" t="str">
        <f>IFERROR(IF($C107&lt;1,"",AU$3*일별반별!AX107),0)</f>
        <v/>
      </c>
      <c r="AV107" s="401" t="str">
        <f>IFERROR(IF($C107&lt;1,"",AV$3*일별반별!AY107),0)</f>
        <v/>
      </c>
      <c r="AW107" s="401" t="str">
        <f>IFERROR(IF($C107&lt;1,"",AW$3*일별반별!AZ107),0)</f>
        <v/>
      </c>
      <c r="AX107" s="401" t="str">
        <f>IFERROR(IF($C107&lt;1,"",AX$3*일별반별!BA107),0)</f>
        <v/>
      </c>
      <c r="AY107" s="401" t="str">
        <f>IFERROR(IF($C107&lt;1,"",AY$3*일별반별!BB107),0)</f>
        <v/>
      </c>
      <c r="AZ107" s="401" t="str">
        <f>IFERROR(IF($C107&lt;1,"",AZ$3*일별반별!BC107),0)</f>
        <v/>
      </c>
      <c r="BA107" s="401" t="str">
        <f>IFERROR(IF($C107&lt;1,"",BA$3*일별반별!BD107),0)</f>
        <v/>
      </c>
      <c r="BB107" s="402" t="str">
        <f>IFERROR(IF($C107&lt;1,"",BB$3*일별반별!BE107),0)</f>
        <v/>
      </c>
      <c r="BC107" s="402" t="str">
        <f>IFERROR(IF($C107&lt;1,"",BC$3*일별반별!BF107),0)</f>
        <v/>
      </c>
      <c r="BD107" s="402" t="str">
        <f>IFERROR(IF($C107&lt;1,"",BD$3*일별반별!BG107),0)</f>
        <v/>
      </c>
      <c r="BE107" s="402" t="str">
        <f>IFERROR(IF($C107&lt;1,"",BE$3*일별반별!BH107),0)</f>
        <v/>
      </c>
      <c r="BF107" s="402" t="str">
        <f>IFERROR(IF($C107&lt;1,"",BF$3*일별반별!BI107),0)</f>
        <v/>
      </c>
      <c r="BG107" s="402" t="str">
        <f>IFERROR(IF($C107&lt;1,"",BG$3*일별반별!BJ107),0)</f>
        <v/>
      </c>
      <c r="BH107" s="402" t="str">
        <f>IFERROR(IF($C107&lt;1,"",BH$3*일별반별!BK107),0)</f>
        <v/>
      </c>
      <c r="BI107" s="402" t="str">
        <f>IFERROR(IF($C107&lt;1,"",BI$3*일별반별!BL107),0)</f>
        <v/>
      </c>
      <c r="BJ107" s="402" t="str">
        <f>IFERROR(IF($C107&lt;1,"",BJ$3*일별반별!BM107),0)</f>
        <v/>
      </c>
      <c r="BK107" s="402" t="str">
        <f>IFERROR(IF($C107&lt;1,"",BK$3*일별반별!BN107),0)</f>
        <v/>
      </c>
      <c r="BL107" s="402" t="str">
        <f>IFERROR(IF($C107&lt;1,"",BL$3*일별반별!BH107),0)</f>
        <v/>
      </c>
      <c r="BM107" s="402" t="str">
        <f>IFERROR(IF($C107&lt;1,"",BM$3*일별반별!BP107),0)</f>
        <v/>
      </c>
      <c r="BN107" s="401" t="str">
        <f>IFERROR(IF($C107&lt;1,"",BN$3*일별반별!BQ107),0)</f>
        <v/>
      </c>
      <c r="BO107" s="401" t="str">
        <f>IFERROR(IF($C107&lt;1,"",BO$3*일별반별!BR107),0)</f>
        <v/>
      </c>
      <c r="BP107" s="401" t="str">
        <f>IFERROR(IF($C107&lt;1,"",BP$3*일별반별!BS107),0)</f>
        <v/>
      </c>
      <c r="BQ107" s="401" t="str">
        <f>IFERROR(IF($C107&lt;1,"",BQ$3*일별반별!BT107),0)</f>
        <v/>
      </c>
      <c r="BR107" s="417" t="str">
        <f>IFERROR(IF($C107&lt;1,"",BR$3*일별반별!BU107),0)</f>
        <v/>
      </c>
      <c r="BS107" s="417" t="str">
        <f>IFERROR(IF($C107&lt;1,"",BS$3*일별반별!BV107),0)</f>
        <v/>
      </c>
      <c r="BT107" s="417" t="str">
        <f>IFERROR(IF($C107&lt;1,"",BT$3*일별반별!BW107),0)</f>
        <v/>
      </c>
      <c r="BU107" s="316" t="str">
        <f>IFERROR(IF($C107&lt;1,"",BU$3*일별반별!BX107),0)</f>
        <v/>
      </c>
      <c r="BV107" s="316" t="str">
        <f>IFERROR(IF($C107&lt;1,"",BV$3*일별반별!BY107),0)</f>
        <v/>
      </c>
      <c r="BW107" s="316" t="str">
        <f>IFERROR(IF($C107&lt;1,"",BW$3*일별반별!BZ107),0)</f>
        <v/>
      </c>
      <c r="BX107" s="316" t="str">
        <f>IFERROR(IF($C107&lt;1,"",BX$3*일별반별!CA107),0)</f>
        <v/>
      </c>
      <c r="BY107" s="316" t="str">
        <f>IFERROR(IF($C107&lt;1,"",BY$3*일별반별!CB107),0)</f>
        <v/>
      </c>
      <c r="BZ107" s="316" t="str">
        <f>IFERROR(IF($C107&lt;1,"",BZ$3*일별반별!CC107),0)</f>
        <v/>
      </c>
      <c r="CA107" s="316" t="str">
        <f>IFERROR(IF($C107&lt;1,"",CA$3*일별반별!CD107),0)</f>
        <v/>
      </c>
      <c r="CB107" s="316" t="str">
        <f>IFERROR(IF($C107&lt;1,"",CB$3*일별반별!CE107),0)</f>
        <v/>
      </c>
      <c r="CC107" s="316" t="str">
        <f>IFERROR(IF($C107&lt;1,"",CC$3*일별반별!CF107),0)</f>
        <v/>
      </c>
      <c r="CD107" s="316" t="str">
        <f>IFERROR(IF($C107&lt;1,"",CD$3*일별반별!CG107),0)</f>
        <v/>
      </c>
      <c r="CE107" s="316" t="str">
        <f>IFERROR(IF($C107&lt;1,"",CE$3*일별반별!CH107),0)</f>
        <v/>
      </c>
      <c r="CF107" s="316" t="str">
        <f>IFERROR(IF($C107&lt;1,"",CF$3*일별반별!CI107),0)</f>
        <v/>
      </c>
      <c r="CG107" s="316" t="str">
        <f>IFERROR(IF($C107&lt;1,"",CG$3*일별반별!CJ107),0)</f>
        <v/>
      </c>
      <c r="CH107" s="316" t="str">
        <f>IFERROR(IF($C107&lt;1,"",CH$3*일별반별!CK107),0)</f>
        <v/>
      </c>
      <c r="CI107" s="316" t="str">
        <f>IFERROR(IF($C107&lt;1,"",CI$3*일별반별!CL107),0)</f>
        <v/>
      </c>
      <c r="CJ107" s="316" t="str">
        <f>IFERROR(IF($C107&lt;1,"",CJ$3*일별반별!CM107),0)</f>
        <v/>
      </c>
      <c r="CK107" s="316" t="str">
        <f>IFERROR(IF($C107&lt;1,"",CK$3*일별반별!CN107),0)</f>
        <v/>
      </c>
      <c r="CL107" s="316" t="str">
        <f>IFERROR(IF($C107&lt;1,"",CL$3*일별반별!CO107),0)</f>
        <v/>
      </c>
      <c r="CM107" s="316" t="str">
        <f>IFERROR(IF($C107&lt;1,"",CM$3*일별반별!CP107),0)</f>
        <v/>
      </c>
      <c r="CN107" s="316" t="str">
        <f>IFERROR(IF($C107&lt;1,"",CN$3*일별반별!CQ107),0)</f>
        <v/>
      </c>
      <c r="CO107" s="316" t="str">
        <f>IFERROR(IF($C107&lt;1,"",CO$3*일별반별!CR107),0)</f>
        <v/>
      </c>
      <c r="CP107" s="316" t="str">
        <f>IFERROR(IF($C107&lt;1,"",CP$3*일별반별!CS107),0)</f>
        <v/>
      </c>
      <c r="CQ107" s="316" t="str">
        <f>IFERROR(IF($C107&lt;1,"",CQ$3*일별반별!CT107),0)</f>
        <v/>
      </c>
      <c r="CR107" s="418" t="str">
        <f>IFERROR(IF($C107&lt;1,"",CR$3*일별반별!CU107),0)</f>
        <v/>
      </c>
      <c r="CS107" s="418" t="str">
        <f>IFERROR(IF($C107&lt;1,"",CS$3*일별반별!CV107),0)</f>
        <v/>
      </c>
      <c r="CT107" s="316" t="str">
        <f>IFERROR(IF($C107&lt;1,"",CT$3*일별반별!CW107),0)</f>
        <v/>
      </c>
      <c r="CU107" s="316" t="str">
        <f>IFERROR(IF($C107&lt;1,"",CU$3*일별반별!CX107),0)</f>
        <v/>
      </c>
      <c r="CV107" s="316" t="str">
        <f>IFERROR(IF($C107&lt;1,"",CV$3*일별반별!CY107),0)</f>
        <v/>
      </c>
      <c r="CW107" s="316" t="str">
        <f>IFERROR(IF($C107&lt;1,"",CW$3*일별반별!CZ107),0)</f>
        <v/>
      </c>
      <c r="CX107" s="316" t="str">
        <f>IFERROR(IF($C107&lt;1,"",CX$3*일별반별!DA107),0)</f>
        <v/>
      </c>
      <c r="CY107" s="316" t="str">
        <f>IF(C107&lt;1,"",(CY$3*'09월 조업일지'!AV$7))</f>
        <v/>
      </c>
      <c r="CZ107" s="316" t="str">
        <f t="shared" si="7"/>
        <v/>
      </c>
      <c r="DA107" s="316" t="str">
        <f t="shared" si="7"/>
        <v/>
      </c>
      <c r="DB107" s="316" t="str">
        <f t="shared" si="7"/>
        <v/>
      </c>
      <c r="DC107" s="316"/>
      <c r="DD107" s="419"/>
    </row>
    <row r="108" spans="1:108" ht="15" customHeight="1">
      <c r="A108" s="274">
        <f t="shared" si="6"/>
        <v>44033</v>
      </c>
      <c r="B108" s="275" t="s">
        <v>100</v>
      </c>
      <c r="C108" s="201">
        <f>COUNTIFS('09월 조업일지'!$A$12:$A$952,A106,'09월 조업일지'!$E$12:$E$952,B108)</f>
        <v>0</v>
      </c>
      <c r="D108" s="314">
        <f>IF(C108&lt;1,0,(SUM(E108:CX108)/(일별반별!BV108-1.5)+(CY108+CZ108+DA108+DB108)))</f>
        <v>0</v>
      </c>
      <c r="E108" s="278"/>
      <c r="F108" s="281"/>
      <c r="G108" s="282"/>
      <c r="H108" s="283"/>
      <c r="I108" s="283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326"/>
      <c r="U108" s="395" t="str">
        <f>IFERROR(IF($C108&lt;1,"",U$3*일별반별!X108),0)</f>
        <v/>
      </c>
      <c r="V108" s="395" t="str">
        <f>IFERROR(IF($C108&lt;1,"",V$3*일별반별!Y108),0)</f>
        <v/>
      </c>
      <c r="W108" s="395" t="str">
        <f>IFERROR(IF($C108&lt;1,"",W$3*일별반별!Z108),0)</f>
        <v/>
      </c>
      <c r="X108" s="208" t="str">
        <f>IFERROR(IF($C108&lt;1,"",X$3*일별반별!AA108),0)</f>
        <v/>
      </c>
      <c r="Y108" s="208" t="str">
        <f>IFERROR(IF($C108&lt;1,"",Y$3*일별반별!AB108),0)</f>
        <v/>
      </c>
      <c r="Z108" s="208" t="str">
        <f>IFERROR(IF($C108&lt;1,"",Z$3*일별반별!AC108),0)</f>
        <v/>
      </c>
      <c r="AA108" s="395" t="str">
        <f>IFERROR(IF($C108&lt;1,"",AA$3*일별반별!AD108),0)</f>
        <v/>
      </c>
      <c r="AB108" s="395" t="str">
        <f>IFERROR(IF($C108&lt;1,"",AB$3*일별반별!AE108),0)</f>
        <v/>
      </c>
      <c r="AC108" s="208" t="str">
        <f>IFERROR(IF($C108&lt;1,"",AC$3*일별반별!AF108),0)</f>
        <v/>
      </c>
      <c r="AD108" s="208" t="str">
        <f>IFERROR(IF($C108&lt;1,"",AD$3*일별반별!AG108),0)</f>
        <v/>
      </c>
      <c r="AE108" s="208" t="str">
        <f>IFERROR(IF($C108&lt;1,"",AE$3*일별반별!AH108),0)</f>
        <v/>
      </c>
      <c r="AF108" s="395" t="str">
        <f>IFERROR(IF($C108&lt;1,"",AF$3*일별반별!AI108),0)</f>
        <v/>
      </c>
      <c r="AG108" s="395" t="str">
        <f>IFERROR(IF($C108&lt;1,"",AG$3*일별반별!AJ108),0)</f>
        <v/>
      </c>
      <c r="AH108" s="395" t="str">
        <f>IFERROR(IF($C108&lt;1,"",AH$3*일별반별!AK108),0)</f>
        <v/>
      </c>
      <c r="AI108" s="395" t="str">
        <f>IFERROR(IF($C108&lt;1,"",AI$3*일별반별!AL108),0)</f>
        <v/>
      </c>
      <c r="AJ108" s="395" t="str">
        <f>IFERROR(IF($C108&lt;1,"",AJ$3*일별반별!AM108),0)</f>
        <v/>
      </c>
      <c r="AK108" s="395" t="str">
        <f>IFERROR(IF($C108&lt;1,"",AK$3*일별반별!AN108),0)</f>
        <v/>
      </c>
      <c r="AL108" s="395" t="str">
        <f>IFERROR(IF($C108&lt;1,"",AL$3*일별반별!AO108),0)</f>
        <v/>
      </c>
      <c r="AM108" s="395" t="str">
        <f>IFERROR(IF($C108&lt;1,"",AM$3*일별반별!AP108),0)</f>
        <v/>
      </c>
      <c r="AN108" s="395" t="str">
        <f>IFERROR(IF($C108&lt;1,"",AN$3*일별반별!AQ108),0)</f>
        <v/>
      </c>
      <c r="AO108" s="395" t="str">
        <f>IFERROR(IF($C108&lt;1,"",AO$3*일별반별!AR108),0)</f>
        <v/>
      </c>
      <c r="AP108" s="347" t="str">
        <f>IFERROR(IF($C108&lt;1,"",AP$3*일별반별!AS108),0)</f>
        <v/>
      </c>
      <c r="AQ108" s="347" t="str">
        <f>IFERROR(IF($C108&lt;1,"",AQ$3*일별반별!AT108),0)</f>
        <v/>
      </c>
      <c r="AR108" s="316" t="str">
        <f>IFERROR(IF($C108&lt;1,"",AR$3*일별반별!AU108),0)</f>
        <v/>
      </c>
      <c r="AS108" s="401" t="str">
        <f>IFERROR(IF($C108&lt;1,"",AS$3*일별반별!AV108),0)</f>
        <v/>
      </c>
      <c r="AT108" s="401" t="str">
        <f>IFERROR(IF($C108&lt;1,"",AT$3*일별반별!AW108),0)</f>
        <v/>
      </c>
      <c r="AU108" s="401" t="str">
        <f>IFERROR(IF($C108&lt;1,"",AU$3*일별반별!AX108),0)</f>
        <v/>
      </c>
      <c r="AV108" s="401" t="str">
        <f>IFERROR(IF($C108&lt;1,"",AV$3*일별반별!AY108),0)</f>
        <v/>
      </c>
      <c r="AW108" s="401" t="str">
        <f>IFERROR(IF($C108&lt;1,"",AW$3*일별반별!AZ108),0)</f>
        <v/>
      </c>
      <c r="AX108" s="401" t="str">
        <f>IFERROR(IF($C108&lt;1,"",AX$3*일별반별!BA108),0)</f>
        <v/>
      </c>
      <c r="AY108" s="401" t="str">
        <f>IFERROR(IF($C108&lt;1,"",AY$3*일별반별!BB108),0)</f>
        <v/>
      </c>
      <c r="AZ108" s="401" t="str">
        <f>IFERROR(IF($C108&lt;1,"",AZ$3*일별반별!BC108),0)</f>
        <v/>
      </c>
      <c r="BA108" s="401" t="str">
        <f>IFERROR(IF($C108&lt;1,"",BA$3*일별반별!BD108),0)</f>
        <v/>
      </c>
      <c r="BB108" s="402" t="str">
        <f>IFERROR(IF($C108&lt;1,"",BB$3*일별반별!BE108),0)</f>
        <v/>
      </c>
      <c r="BC108" s="402" t="str">
        <f>IFERROR(IF($C108&lt;1,"",BC$3*일별반별!BF108),0)</f>
        <v/>
      </c>
      <c r="BD108" s="402" t="str">
        <f>IFERROR(IF($C108&lt;1,"",BD$3*일별반별!BG108),0)</f>
        <v/>
      </c>
      <c r="BE108" s="402" t="str">
        <f>IFERROR(IF($C108&lt;1,"",BE$3*일별반별!BH108),0)</f>
        <v/>
      </c>
      <c r="BF108" s="402" t="str">
        <f>IFERROR(IF($C108&lt;1,"",BF$3*일별반별!BI108),0)</f>
        <v/>
      </c>
      <c r="BG108" s="402" t="str">
        <f>IFERROR(IF($C108&lt;1,"",BG$3*일별반별!BJ108),0)</f>
        <v/>
      </c>
      <c r="BH108" s="402" t="str">
        <f>IFERROR(IF($C108&lt;1,"",BH$3*일별반별!BK108),0)</f>
        <v/>
      </c>
      <c r="BI108" s="402" t="str">
        <f>IFERROR(IF($C108&lt;1,"",BI$3*일별반별!BL108),0)</f>
        <v/>
      </c>
      <c r="BJ108" s="402" t="str">
        <f>IFERROR(IF($C108&lt;1,"",BJ$3*일별반별!BM108),0)</f>
        <v/>
      </c>
      <c r="BK108" s="402" t="str">
        <f>IFERROR(IF($C108&lt;1,"",BK$3*일별반별!BN108),0)</f>
        <v/>
      </c>
      <c r="BL108" s="402" t="str">
        <f>IFERROR(IF($C108&lt;1,"",BL$3*일별반별!BH108),0)</f>
        <v/>
      </c>
      <c r="BM108" s="402" t="str">
        <f>IFERROR(IF($C108&lt;1,"",BM$3*일별반별!BP108),0)</f>
        <v/>
      </c>
      <c r="BN108" s="401" t="str">
        <f>IFERROR(IF($C108&lt;1,"",BN$3*일별반별!BQ108),0)</f>
        <v/>
      </c>
      <c r="BO108" s="401" t="str">
        <f>IFERROR(IF($C108&lt;1,"",BO$3*일별반별!BR108),0)</f>
        <v/>
      </c>
      <c r="BP108" s="401" t="str">
        <f>IFERROR(IF($C108&lt;1,"",BP$3*일별반별!BS108),0)</f>
        <v/>
      </c>
      <c r="BQ108" s="401" t="str">
        <f>IFERROR(IF($C108&lt;1,"",BQ$3*일별반별!BT108),0)</f>
        <v/>
      </c>
      <c r="BR108" s="417" t="str">
        <f>IFERROR(IF($C108&lt;1,"",BR$3*일별반별!BU108),0)</f>
        <v/>
      </c>
      <c r="BS108" s="417" t="str">
        <f>IFERROR(IF($C108&lt;1,"",BS$3*일별반별!BV108),0)</f>
        <v/>
      </c>
      <c r="BT108" s="417" t="str">
        <f>IFERROR(IF($C108&lt;1,"",BT$3*일별반별!BW108),0)</f>
        <v/>
      </c>
      <c r="BU108" s="316" t="str">
        <f>IFERROR(IF($C108&lt;1,"",BU$3*일별반별!BX108),0)</f>
        <v/>
      </c>
      <c r="BV108" s="316" t="str">
        <f>IFERROR(IF($C108&lt;1,"",BV$3*일별반별!BY108),0)</f>
        <v/>
      </c>
      <c r="BW108" s="316" t="str">
        <f>IFERROR(IF($C108&lt;1,"",BW$3*일별반별!BZ108),0)</f>
        <v/>
      </c>
      <c r="BX108" s="316" t="str">
        <f>IFERROR(IF($C108&lt;1,"",BX$3*일별반별!CA108),0)</f>
        <v/>
      </c>
      <c r="BY108" s="316" t="str">
        <f>IFERROR(IF($C108&lt;1,"",BY$3*일별반별!CB108),0)</f>
        <v/>
      </c>
      <c r="BZ108" s="316" t="str">
        <f>IFERROR(IF($C108&lt;1,"",BZ$3*일별반별!CC108),0)</f>
        <v/>
      </c>
      <c r="CA108" s="316" t="str">
        <f>IFERROR(IF($C108&lt;1,"",CA$3*일별반별!CD108),0)</f>
        <v/>
      </c>
      <c r="CB108" s="316" t="str">
        <f>IFERROR(IF($C108&lt;1,"",CB$3*일별반별!CE108),0)</f>
        <v/>
      </c>
      <c r="CC108" s="316" t="str">
        <f>IFERROR(IF($C108&lt;1,"",CC$3*일별반별!CF108),0)</f>
        <v/>
      </c>
      <c r="CD108" s="316" t="str">
        <f>IFERROR(IF($C108&lt;1,"",CD$3*일별반별!CG108),0)</f>
        <v/>
      </c>
      <c r="CE108" s="316" t="str">
        <f>IFERROR(IF($C108&lt;1,"",CE$3*일별반별!CH108),0)</f>
        <v/>
      </c>
      <c r="CF108" s="316" t="str">
        <f>IFERROR(IF($C108&lt;1,"",CF$3*일별반별!CI108),0)</f>
        <v/>
      </c>
      <c r="CG108" s="316" t="str">
        <f>IFERROR(IF($C108&lt;1,"",CG$3*일별반별!CJ108),0)</f>
        <v/>
      </c>
      <c r="CH108" s="316" t="str">
        <f>IFERROR(IF($C108&lt;1,"",CH$3*일별반별!CK108),0)</f>
        <v/>
      </c>
      <c r="CI108" s="316" t="str">
        <f>IFERROR(IF($C108&lt;1,"",CI$3*일별반별!CL108),0)</f>
        <v/>
      </c>
      <c r="CJ108" s="316" t="str">
        <f>IFERROR(IF($C108&lt;1,"",CJ$3*일별반별!CM108),0)</f>
        <v/>
      </c>
      <c r="CK108" s="316" t="str">
        <f>IFERROR(IF($C108&lt;1,"",CK$3*일별반별!CN108),0)</f>
        <v/>
      </c>
      <c r="CL108" s="316" t="str">
        <f>IFERROR(IF($C108&lt;1,"",CL$3*일별반별!CO108),0)</f>
        <v/>
      </c>
      <c r="CM108" s="316" t="str">
        <f>IFERROR(IF($C108&lt;1,"",CM$3*일별반별!CP108),0)</f>
        <v/>
      </c>
      <c r="CN108" s="316" t="str">
        <f>IFERROR(IF($C108&lt;1,"",CN$3*일별반별!CQ108),0)</f>
        <v/>
      </c>
      <c r="CO108" s="316" t="str">
        <f>IFERROR(IF($C108&lt;1,"",CO$3*일별반별!CR108),0)</f>
        <v/>
      </c>
      <c r="CP108" s="316" t="str">
        <f>IFERROR(IF($C108&lt;1,"",CP$3*일별반별!CS108),0)</f>
        <v/>
      </c>
      <c r="CQ108" s="316" t="str">
        <f>IFERROR(IF($C108&lt;1,"",CQ$3*일별반별!CT108),0)</f>
        <v/>
      </c>
      <c r="CR108" s="418" t="str">
        <f>IFERROR(IF($C108&lt;1,"",CR$3*일별반별!CU108),0)</f>
        <v/>
      </c>
      <c r="CS108" s="418" t="str">
        <f>IFERROR(IF($C108&lt;1,"",CS$3*일별반별!CV108),0)</f>
        <v/>
      </c>
      <c r="CT108" s="316" t="str">
        <f>IFERROR(IF($C108&lt;1,"",CT$3*일별반별!CW108),0)</f>
        <v/>
      </c>
      <c r="CU108" s="316" t="str">
        <f>IFERROR(IF($C108&lt;1,"",CU$3*일별반별!CX108),0)</f>
        <v/>
      </c>
      <c r="CV108" s="316" t="str">
        <f>IFERROR(IF($C108&lt;1,"",CV$3*일별반별!CY108),0)</f>
        <v/>
      </c>
      <c r="CW108" s="316" t="str">
        <f>IFERROR(IF($C108&lt;1,"",CW$3*일별반별!CZ108),0)</f>
        <v/>
      </c>
      <c r="CX108" s="316" t="str">
        <f>IFERROR(IF($C108&lt;1,"",CX$3*일별반별!DA108),0)</f>
        <v/>
      </c>
      <c r="CY108" s="316" t="str">
        <f>IF(C108&lt;1,"",(CY$3*'09월 조업일지'!AV$7))</f>
        <v/>
      </c>
      <c r="CZ108" s="316" t="str">
        <f t="shared" si="7"/>
        <v/>
      </c>
      <c r="DA108" s="316" t="str">
        <f t="shared" si="7"/>
        <v/>
      </c>
      <c r="DB108" s="316" t="str">
        <f t="shared" si="7"/>
        <v/>
      </c>
      <c r="DC108" s="316"/>
      <c r="DD108" s="419"/>
    </row>
    <row r="109" spans="1:108" ht="15" customHeight="1">
      <c r="A109" s="274">
        <f t="shared" si="6"/>
        <v>44033</v>
      </c>
      <c r="B109" s="275" t="s">
        <v>10</v>
      </c>
      <c r="C109" s="201">
        <f>COUNTIFS('09월 조업일지'!$A$12:$A$952,A106,'09월 조업일지'!$E$12:$E$952,B109)</f>
        <v>0</v>
      </c>
      <c r="D109" s="314">
        <f>IF(C109&lt;1,0,(SUM(E109:CX109)/(일별반별!BV109-1.5)+(CY109+CZ109+DA109+DB109)))</f>
        <v>0</v>
      </c>
      <c r="E109" s="278"/>
      <c r="F109" s="281"/>
      <c r="G109" s="282"/>
      <c r="H109" s="283"/>
      <c r="I109" s="283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326"/>
      <c r="U109" s="395" t="str">
        <f>IFERROR(IF($C109&lt;1,"",U$3*일별반별!X109),0)</f>
        <v/>
      </c>
      <c r="V109" s="395" t="str">
        <f>IFERROR(IF($C109&lt;1,"",V$3*일별반별!Y109),0)</f>
        <v/>
      </c>
      <c r="W109" s="395" t="str">
        <f>IFERROR(IF($C109&lt;1,"",W$3*일별반별!Z109),0)</f>
        <v/>
      </c>
      <c r="X109" s="208" t="str">
        <f>IFERROR(IF($C109&lt;1,"",X$3*일별반별!AA109),0)</f>
        <v/>
      </c>
      <c r="Y109" s="208" t="str">
        <f>IFERROR(IF($C109&lt;1,"",Y$3*일별반별!AB109),0)</f>
        <v/>
      </c>
      <c r="Z109" s="208" t="str">
        <f>IFERROR(IF($C109&lt;1,"",Z$3*일별반별!AC109),0)</f>
        <v/>
      </c>
      <c r="AA109" s="395" t="str">
        <f>IFERROR(IF($C109&lt;1,"",AA$3*일별반별!AD109),0)</f>
        <v/>
      </c>
      <c r="AB109" s="395" t="str">
        <f>IFERROR(IF($C109&lt;1,"",AB$3*일별반별!AE109),0)</f>
        <v/>
      </c>
      <c r="AC109" s="208" t="str">
        <f>IFERROR(IF($C109&lt;1,"",AC$3*일별반별!AF109),0)</f>
        <v/>
      </c>
      <c r="AD109" s="208" t="str">
        <f>IFERROR(IF($C109&lt;1,"",AD$3*일별반별!AG109),0)</f>
        <v/>
      </c>
      <c r="AE109" s="208" t="str">
        <f>IFERROR(IF($C109&lt;1,"",AE$3*일별반별!AH109),0)</f>
        <v/>
      </c>
      <c r="AF109" s="395" t="str">
        <f>IFERROR(IF($C109&lt;1,"",AF$3*일별반별!AI109),0)</f>
        <v/>
      </c>
      <c r="AG109" s="395" t="str">
        <f>IFERROR(IF($C109&lt;1,"",AG$3*일별반별!AJ109),0)</f>
        <v/>
      </c>
      <c r="AH109" s="395" t="str">
        <f>IFERROR(IF($C109&lt;1,"",AH$3*일별반별!AK109),0)</f>
        <v/>
      </c>
      <c r="AI109" s="395" t="str">
        <f>IFERROR(IF($C109&lt;1,"",AI$3*일별반별!AL109),0)</f>
        <v/>
      </c>
      <c r="AJ109" s="395" t="str">
        <f>IFERROR(IF($C109&lt;1,"",AJ$3*일별반별!AM109),0)</f>
        <v/>
      </c>
      <c r="AK109" s="395" t="str">
        <f>IFERROR(IF($C109&lt;1,"",AK$3*일별반별!AN109),0)</f>
        <v/>
      </c>
      <c r="AL109" s="395" t="str">
        <f>IFERROR(IF($C109&lt;1,"",AL$3*일별반별!AO109),0)</f>
        <v/>
      </c>
      <c r="AM109" s="395" t="str">
        <f>IFERROR(IF($C109&lt;1,"",AM$3*일별반별!AP109),0)</f>
        <v/>
      </c>
      <c r="AN109" s="395" t="str">
        <f>IFERROR(IF($C109&lt;1,"",AN$3*일별반별!AQ109),0)</f>
        <v/>
      </c>
      <c r="AO109" s="395" t="str">
        <f>IFERROR(IF($C109&lt;1,"",AO$3*일별반별!AR109),0)</f>
        <v/>
      </c>
      <c r="AP109" s="347" t="str">
        <f>IFERROR(IF($C109&lt;1,"",AP$3*일별반별!AS109),0)</f>
        <v/>
      </c>
      <c r="AQ109" s="347" t="str">
        <f>IFERROR(IF($C109&lt;1,"",AQ$3*일별반별!AT109),0)</f>
        <v/>
      </c>
      <c r="AR109" s="316" t="str">
        <f>IFERROR(IF($C109&lt;1,"",AR$3*일별반별!AU109),0)</f>
        <v/>
      </c>
      <c r="AS109" s="401" t="str">
        <f>IFERROR(IF($C109&lt;1,"",AS$3*일별반별!AV109),0)</f>
        <v/>
      </c>
      <c r="AT109" s="401" t="str">
        <f>IFERROR(IF($C109&lt;1,"",AT$3*일별반별!AW109),0)</f>
        <v/>
      </c>
      <c r="AU109" s="401" t="str">
        <f>IFERROR(IF($C109&lt;1,"",AU$3*일별반별!AX109),0)</f>
        <v/>
      </c>
      <c r="AV109" s="401" t="str">
        <f>IFERROR(IF($C109&lt;1,"",AV$3*일별반별!AY109),0)</f>
        <v/>
      </c>
      <c r="AW109" s="401" t="str">
        <f>IFERROR(IF($C109&lt;1,"",AW$3*일별반별!AZ109),0)</f>
        <v/>
      </c>
      <c r="AX109" s="401" t="str">
        <f>IFERROR(IF($C109&lt;1,"",AX$3*일별반별!BA109),0)</f>
        <v/>
      </c>
      <c r="AY109" s="401" t="str">
        <f>IFERROR(IF($C109&lt;1,"",AY$3*일별반별!BB109),0)</f>
        <v/>
      </c>
      <c r="AZ109" s="401" t="str">
        <f>IFERROR(IF($C109&lt;1,"",AZ$3*일별반별!BC109),0)</f>
        <v/>
      </c>
      <c r="BA109" s="401" t="str">
        <f>IFERROR(IF($C109&lt;1,"",BA$3*일별반별!BD109),0)</f>
        <v/>
      </c>
      <c r="BB109" s="402" t="str">
        <f>IFERROR(IF($C109&lt;1,"",BB$3*일별반별!BE109),0)</f>
        <v/>
      </c>
      <c r="BC109" s="402" t="str">
        <f>IFERROR(IF($C109&lt;1,"",BC$3*일별반별!BF109),0)</f>
        <v/>
      </c>
      <c r="BD109" s="402" t="str">
        <f>IFERROR(IF($C109&lt;1,"",BD$3*일별반별!BG109),0)</f>
        <v/>
      </c>
      <c r="BE109" s="402" t="str">
        <f>IFERROR(IF($C109&lt;1,"",BE$3*일별반별!BH109),0)</f>
        <v/>
      </c>
      <c r="BF109" s="402" t="str">
        <f>IFERROR(IF($C109&lt;1,"",BF$3*일별반별!BI109),0)</f>
        <v/>
      </c>
      <c r="BG109" s="402" t="str">
        <f>IFERROR(IF($C109&lt;1,"",BG$3*일별반별!BJ109),0)</f>
        <v/>
      </c>
      <c r="BH109" s="402" t="str">
        <f>IFERROR(IF($C109&lt;1,"",BH$3*일별반별!BK109),0)</f>
        <v/>
      </c>
      <c r="BI109" s="402" t="str">
        <f>IFERROR(IF($C109&lt;1,"",BI$3*일별반별!BL109),0)</f>
        <v/>
      </c>
      <c r="BJ109" s="402" t="str">
        <f>IFERROR(IF($C109&lt;1,"",BJ$3*일별반별!BM109),0)</f>
        <v/>
      </c>
      <c r="BK109" s="402" t="str">
        <f>IFERROR(IF($C109&lt;1,"",BK$3*일별반별!BN109),0)</f>
        <v/>
      </c>
      <c r="BL109" s="402" t="str">
        <f>IFERROR(IF($C109&lt;1,"",BL$3*일별반별!BH109),0)</f>
        <v/>
      </c>
      <c r="BM109" s="402" t="str">
        <f>IFERROR(IF($C109&lt;1,"",BM$3*일별반별!BP109),0)</f>
        <v/>
      </c>
      <c r="BN109" s="401" t="str">
        <f>IFERROR(IF($C109&lt;1,"",BN$3*일별반별!BQ109),0)</f>
        <v/>
      </c>
      <c r="BO109" s="401" t="str">
        <f>IFERROR(IF($C109&lt;1,"",BO$3*일별반별!BR109),0)</f>
        <v/>
      </c>
      <c r="BP109" s="401" t="str">
        <f>IFERROR(IF($C109&lt;1,"",BP$3*일별반별!BS109),0)</f>
        <v/>
      </c>
      <c r="BQ109" s="401" t="str">
        <f>IFERROR(IF($C109&lt;1,"",BQ$3*일별반별!BT109),0)</f>
        <v/>
      </c>
      <c r="BR109" s="417" t="str">
        <f>IFERROR(IF($C109&lt;1,"",BR$3*일별반별!BU109),0)</f>
        <v/>
      </c>
      <c r="BS109" s="417" t="str">
        <f>IFERROR(IF($C109&lt;1,"",BS$3*일별반별!BV109),0)</f>
        <v/>
      </c>
      <c r="BT109" s="417" t="str">
        <f>IFERROR(IF($C109&lt;1,"",BT$3*일별반별!BW109),0)</f>
        <v/>
      </c>
      <c r="BU109" s="316" t="str">
        <f>IFERROR(IF($C109&lt;1,"",BU$3*일별반별!BX109),0)</f>
        <v/>
      </c>
      <c r="BV109" s="316" t="str">
        <f>IFERROR(IF($C109&lt;1,"",BV$3*일별반별!BY109),0)</f>
        <v/>
      </c>
      <c r="BW109" s="316" t="str">
        <f>IFERROR(IF($C109&lt;1,"",BW$3*일별반별!BZ109),0)</f>
        <v/>
      </c>
      <c r="BX109" s="316" t="str">
        <f>IFERROR(IF($C109&lt;1,"",BX$3*일별반별!CA109),0)</f>
        <v/>
      </c>
      <c r="BY109" s="316" t="str">
        <f>IFERROR(IF($C109&lt;1,"",BY$3*일별반별!CB109),0)</f>
        <v/>
      </c>
      <c r="BZ109" s="316" t="str">
        <f>IFERROR(IF($C109&lt;1,"",BZ$3*일별반별!CC109),0)</f>
        <v/>
      </c>
      <c r="CA109" s="316" t="str">
        <f>IFERROR(IF($C109&lt;1,"",CA$3*일별반별!CD109),0)</f>
        <v/>
      </c>
      <c r="CB109" s="316" t="str">
        <f>IFERROR(IF($C109&lt;1,"",CB$3*일별반별!CE109),0)</f>
        <v/>
      </c>
      <c r="CC109" s="316" t="str">
        <f>IFERROR(IF($C109&lt;1,"",CC$3*일별반별!CF109),0)</f>
        <v/>
      </c>
      <c r="CD109" s="316" t="str">
        <f>IFERROR(IF($C109&lt;1,"",CD$3*일별반별!CG109),0)</f>
        <v/>
      </c>
      <c r="CE109" s="316" t="str">
        <f>IFERROR(IF($C109&lt;1,"",CE$3*일별반별!CH109),0)</f>
        <v/>
      </c>
      <c r="CF109" s="316" t="str">
        <f>IFERROR(IF($C109&lt;1,"",CF$3*일별반별!CI109),0)</f>
        <v/>
      </c>
      <c r="CG109" s="316" t="str">
        <f>IFERROR(IF($C109&lt;1,"",CG$3*일별반별!CJ109),0)</f>
        <v/>
      </c>
      <c r="CH109" s="316" t="str">
        <f>IFERROR(IF($C109&lt;1,"",CH$3*일별반별!CK109),0)</f>
        <v/>
      </c>
      <c r="CI109" s="316" t="str">
        <f>IFERROR(IF($C109&lt;1,"",CI$3*일별반별!CL109),0)</f>
        <v/>
      </c>
      <c r="CJ109" s="316" t="str">
        <f>IFERROR(IF($C109&lt;1,"",CJ$3*일별반별!CM109),0)</f>
        <v/>
      </c>
      <c r="CK109" s="316" t="str">
        <f>IFERROR(IF($C109&lt;1,"",CK$3*일별반별!CN109),0)</f>
        <v/>
      </c>
      <c r="CL109" s="316" t="str">
        <f>IFERROR(IF($C109&lt;1,"",CL$3*일별반별!CO109),0)</f>
        <v/>
      </c>
      <c r="CM109" s="316" t="str">
        <f>IFERROR(IF($C109&lt;1,"",CM$3*일별반별!CP109),0)</f>
        <v/>
      </c>
      <c r="CN109" s="316" t="str">
        <f>IFERROR(IF($C109&lt;1,"",CN$3*일별반별!CQ109),0)</f>
        <v/>
      </c>
      <c r="CO109" s="316" t="str">
        <f>IFERROR(IF($C109&lt;1,"",CO$3*일별반별!CR109),0)</f>
        <v/>
      </c>
      <c r="CP109" s="316" t="str">
        <f>IFERROR(IF($C109&lt;1,"",CP$3*일별반별!CS109),0)</f>
        <v/>
      </c>
      <c r="CQ109" s="316" t="str">
        <f>IFERROR(IF($C109&lt;1,"",CQ$3*일별반별!CT109),0)</f>
        <v/>
      </c>
      <c r="CR109" s="418" t="str">
        <f>IFERROR(IF($C109&lt;1,"",CR$3*일별반별!CU109),0)</f>
        <v/>
      </c>
      <c r="CS109" s="418" t="str">
        <f>IFERROR(IF($C109&lt;1,"",CS$3*일별반별!CV109),0)</f>
        <v/>
      </c>
      <c r="CT109" s="316" t="str">
        <f>IFERROR(IF($C109&lt;1,"",CT$3*일별반별!CW109),0)</f>
        <v/>
      </c>
      <c r="CU109" s="316" t="str">
        <f>IFERROR(IF($C109&lt;1,"",CU$3*일별반별!CX109),0)</f>
        <v/>
      </c>
      <c r="CV109" s="316" t="str">
        <f>IFERROR(IF($C109&lt;1,"",CV$3*일별반별!CY109),0)</f>
        <v/>
      </c>
      <c r="CW109" s="316" t="str">
        <f>IFERROR(IF($C109&lt;1,"",CW$3*일별반별!CZ109),0)</f>
        <v/>
      </c>
      <c r="CX109" s="316" t="str">
        <f>IFERROR(IF($C109&lt;1,"",CX$3*일별반별!DA109),0)</f>
        <v/>
      </c>
      <c r="CY109" s="316" t="str">
        <f>IF(C109&lt;1,"",(CY$3*'09월 조업일지'!AV$7))</f>
        <v/>
      </c>
      <c r="CZ109" s="316" t="str">
        <f t="shared" si="7"/>
        <v/>
      </c>
      <c r="DA109" s="316" t="str">
        <f t="shared" si="7"/>
        <v/>
      </c>
      <c r="DB109" s="316" t="str">
        <f t="shared" si="7"/>
        <v/>
      </c>
      <c r="DC109" s="316"/>
      <c r="DD109" s="419"/>
    </row>
    <row r="110" spans="1:108" ht="15" customHeight="1">
      <c r="A110" s="274">
        <f t="shared" si="6"/>
        <v>44033</v>
      </c>
      <c r="B110" s="275" t="s">
        <v>94</v>
      </c>
      <c r="C110" s="201">
        <f>COUNTIFS('09월 조업일지'!$A$12:$A$952,A106,'09월 조업일지'!$E$12:$E$952,B110)</f>
        <v>0</v>
      </c>
      <c r="D110" s="314">
        <f>IF(C110&lt;1,0,(SUM(E110:CX110)/(일별반별!BV110-1.5)+(CY110+CZ110+DA110+DB110)))</f>
        <v>0</v>
      </c>
      <c r="E110" s="278"/>
      <c r="F110" s="281"/>
      <c r="G110" s="282"/>
      <c r="H110" s="283"/>
      <c r="I110" s="283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326"/>
      <c r="U110" s="395" t="str">
        <f>IFERROR(IF($C110&lt;1,"",U$3*일별반별!X110),0)</f>
        <v/>
      </c>
      <c r="V110" s="395" t="str">
        <f>IFERROR(IF($C110&lt;1,"",V$3*일별반별!Y110),0)</f>
        <v/>
      </c>
      <c r="W110" s="395" t="str">
        <f>IFERROR(IF($C110&lt;1,"",W$3*일별반별!Z110),0)</f>
        <v/>
      </c>
      <c r="X110" s="208" t="str">
        <f>IFERROR(IF($C110&lt;1,"",X$3*일별반별!AA110),0)</f>
        <v/>
      </c>
      <c r="Y110" s="208" t="str">
        <f>IFERROR(IF($C110&lt;1,"",Y$3*일별반별!AB110),0)</f>
        <v/>
      </c>
      <c r="Z110" s="208" t="str">
        <f>IFERROR(IF($C110&lt;1,"",Z$3*일별반별!AC110),0)</f>
        <v/>
      </c>
      <c r="AA110" s="395" t="str">
        <f>IFERROR(IF($C110&lt;1,"",AA$3*일별반별!AD110),0)</f>
        <v/>
      </c>
      <c r="AB110" s="395" t="str">
        <f>IFERROR(IF($C110&lt;1,"",AB$3*일별반별!AE110),0)</f>
        <v/>
      </c>
      <c r="AC110" s="208" t="str">
        <f>IFERROR(IF($C110&lt;1,"",AC$3*일별반별!AF110),0)</f>
        <v/>
      </c>
      <c r="AD110" s="208" t="str">
        <f>IFERROR(IF($C110&lt;1,"",AD$3*일별반별!AG110),0)</f>
        <v/>
      </c>
      <c r="AE110" s="208" t="str">
        <f>IFERROR(IF($C110&lt;1,"",AE$3*일별반별!AH110),0)</f>
        <v/>
      </c>
      <c r="AF110" s="395" t="str">
        <f>IFERROR(IF($C110&lt;1,"",AF$3*일별반별!AI110),0)</f>
        <v/>
      </c>
      <c r="AG110" s="395" t="str">
        <f>IFERROR(IF($C110&lt;1,"",AG$3*일별반별!AJ110),0)</f>
        <v/>
      </c>
      <c r="AH110" s="395" t="str">
        <f>IFERROR(IF($C110&lt;1,"",AH$3*일별반별!AK110),0)</f>
        <v/>
      </c>
      <c r="AI110" s="395" t="str">
        <f>IFERROR(IF($C110&lt;1,"",AI$3*일별반별!AL110),0)</f>
        <v/>
      </c>
      <c r="AJ110" s="395" t="str">
        <f>IFERROR(IF($C110&lt;1,"",AJ$3*일별반별!AM110),0)</f>
        <v/>
      </c>
      <c r="AK110" s="395" t="str">
        <f>IFERROR(IF($C110&lt;1,"",AK$3*일별반별!AN110),0)</f>
        <v/>
      </c>
      <c r="AL110" s="395" t="str">
        <f>IFERROR(IF($C110&lt;1,"",AL$3*일별반별!AO110),0)</f>
        <v/>
      </c>
      <c r="AM110" s="395" t="str">
        <f>IFERROR(IF($C110&lt;1,"",AM$3*일별반별!AP110),0)</f>
        <v/>
      </c>
      <c r="AN110" s="395" t="str">
        <f>IFERROR(IF($C110&lt;1,"",AN$3*일별반별!AQ110),0)</f>
        <v/>
      </c>
      <c r="AO110" s="395" t="str">
        <f>IFERROR(IF($C110&lt;1,"",AO$3*일별반별!AR110),0)</f>
        <v/>
      </c>
      <c r="AP110" s="347" t="str">
        <f>IFERROR(IF($C110&lt;1,"",AP$3*일별반별!AS110),0)</f>
        <v/>
      </c>
      <c r="AQ110" s="347" t="str">
        <f>IFERROR(IF($C110&lt;1,"",AQ$3*일별반별!AT110),0)</f>
        <v/>
      </c>
      <c r="AR110" s="316" t="str">
        <f>IFERROR(IF($C110&lt;1,"",AR$3*일별반별!AU110),0)</f>
        <v/>
      </c>
      <c r="AS110" s="401" t="str">
        <f>IFERROR(IF($C110&lt;1,"",AS$3*일별반별!AV110),0)</f>
        <v/>
      </c>
      <c r="AT110" s="401" t="str">
        <f>IFERROR(IF($C110&lt;1,"",AT$3*일별반별!AW110),0)</f>
        <v/>
      </c>
      <c r="AU110" s="401" t="str">
        <f>IFERROR(IF($C110&lt;1,"",AU$3*일별반별!AX110),0)</f>
        <v/>
      </c>
      <c r="AV110" s="401" t="str">
        <f>IFERROR(IF($C110&lt;1,"",AV$3*일별반별!AY110),0)</f>
        <v/>
      </c>
      <c r="AW110" s="401" t="str">
        <f>IFERROR(IF($C110&lt;1,"",AW$3*일별반별!AZ110),0)</f>
        <v/>
      </c>
      <c r="AX110" s="401" t="str">
        <f>IFERROR(IF($C110&lt;1,"",AX$3*일별반별!BA110),0)</f>
        <v/>
      </c>
      <c r="AY110" s="401" t="str">
        <f>IFERROR(IF($C110&lt;1,"",AY$3*일별반별!BB110),0)</f>
        <v/>
      </c>
      <c r="AZ110" s="401" t="str">
        <f>IFERROR(IF($C110&lt;1,"",AZ$3*일별반별!BC110),0)</f>
        <v/>
      </c>
      <c r="BA110" s="401" t="str">
        <f>IFERROR(IF($C110&lt;1,"",BA$3*일별반별!BD110),0)</f>
        <v/>
      </c>
      <c r="BB110" s="402" t="str">
        <f>IFERROR(IF($C110&lt;1,"",BB$3*일별반별!BE110),0)</f>
        <v/>
      </c>
      <c r="BC110" s="402" t="str">
        <f>IFERROR(IF($C110&lt;1,"",BC$3*일별반별!BF110),0)</f>
        <v/>
      </c>
      <c r="BD110" s="402" t="str">
        <f>IFERROR(IF($C110&lt;1,"",BD$3*일별반별!BG110),0)</f>
        <v/>
      </c>
      <c r="BE110" s="402" t="str">
        <f>IFERROR(IF($C110&lt;1,"",BE$3*일별반별!BH110),0)</f>
        <v/>
      </c>
      <c r="BF110" s="402" t="str">
        <f>IFERROR(IF($C110&lt;1,"",BF$3*일별반별!BI110),0)</f>
        <v/>
      </c>
      <c r="BG110" s="402" t="str">
        <f>IFERROR(IF($C110&lt;1,"",BG$3*일별반별!BJ110),0)</f>
        <v/>
      </c>
      <c r="BH110" s="402" t="str">
        <f>IFERROR(IF($C110&lt;1,"",BH$3*일별반별!BK110),0)</f>
        <v/>
      </c>
      <c r="BI110" s="402" t="str">
        <f>IFERROR(IF($C110&lt;1,"",BI$3*일별반별!BL110),0)</f>
        <v/>
      </c>
      <c r="BJ110" s="402" t="str">
        <f>IFERROR(IF($C110&lt;1,"",BJ$3*일별반별!BM110),0)</f>
        <v/>
      </c>
      <c r="BK110" s="402" t="str">
        <f>IFERROR(IF($C110&lt;1,"",BK$3*일별반별!BN110),0)</f>
        <v/>
      </c>
      <c r="BL110" s="402" t="str">
        <f>IFERROR(IF($C110&lt;1,"",BL$3*일별반별!BH110),0)</f>
        <v/>
      </c>
      <c r="BM110" s="402" t="str">
        <f>IFERROR(IF($C110&lt;1,"",BM$3*일별반별!BP110),0)</f>
        <v/>
      </c>
      <c r="BN110" s="401" t="str">
        <f>IFERROR(IF($C110&lt;1,"",BN$3*일별반별!BQ110),0)</f>
        <v/>
      </c>
      <c r="BO110" s="401" t="str">
        <f>IFERROR(IF($C110&lt;1,"",BO$3*일별반별!BR110),0)</f>
        <v/>
      </c>
      <c r="BP110" s="401" t="str">
        <f>IFERROR(IF($C110&lt;1,"",BP$3*일별반별!BS110),0)</f>
        <v/>
      </c>
      <c r="BQ110" s="401" t="str">
        <f>IFERROR(IF($C110&lt;1,"",BQ$3*일별반별!BT110),0)</f>
        <v/>
      </c>
      <c r="BR110" s="417" t="str">
        <f>IFERROR(IF($C110&lt;1,"",BR$3*일별반별!BU110),0)</f>
        <v/>
      </c>
      <c r="BS110" s="417" t="str">
        <f>IFERROR(IF($C110&lt;1,"",BS$3*일별반별!BV110),0)</f>
        <v/>
      </c>
      <c r="BT110" s="417" t="str">
        <f>IFERROR(IF($C110&lt;1,"",BT$3*일별반별!BW110),0)</f>
        <v/>
      </c>
      <c r="BU110" s="316" t="str">
        <f>IFERROR(IF($C110&lt;1,"",BU$3*일별반별!BX110),0)</f>
        <v/>
      </c>
      <c r="BV110" s="316" t="str">
        <f>IFERROR(IF($C110&lt;1,"",BV$3*일별반별!BY110),0)</f>
        <v/>
      </c>
      <c r="BW110" s="316" t="str">
        <f>IFERROR(IF($C110&lt;1,"",BW$3*일별반별!BZ110),0)</f>
        <v/>
      </c>
      <c r="BX110" s="316" t="str">
        <f>IFERROR(IF($C110&lt;1,"",BX$3*일별반별!CA110),0)</f>
        <v/>
      </c>
      <c r="BY110" s="316" t="str">
        <f>IFERROR(IF($C110&lt;1,"",BY$3*일별반별!CB110),0)</f>
        <v/>
      </c>
      <c r="BZ110" s="316" t="str">
        <f>IFERROR(IF($C110&lt;1,"",BZ$3*일별반별!CC110),0)</f>
        <v/>
      </c>
      <c r="CA110" s="316" t="str">
        <f>IFERROR(IF($C110&lt;1,"",CA$3*일별반별!CD110),0)</f>
        <v/>
      </c>
      <c r="CB110" s="316" t="str">
        <f>IFERROR(IF($C110&lt;1,"",CB$3*일별반별!CE110),0)</f>
        <v/>
      </c>
      <c r="CC110" s="316" t="str">
        <f>IFERROR(IF($C110&lt;1,"",CC$3*일별반별!CF110),0)</f>
        <v/>
      </c>
      <c r="CD110" s="316" t="str">
        <f>IFERROR(IF($C110&lt;1,"",CD$3*일별반별!CG110),0)</f>
        <v/>
      </c>
      <c r="CE110" s="316" t="str">
        <f>IFERROR(IF($C110&lt;1,"",CE$3*일별반별!CH110),0)</f>
        <v/>
      </c>
      <c r="CF110" s="316" t="str">
        <f>IFERROR(IF($C110&lt;1,"",CF$3*일별반별!CI110),0)</f>
        <v/>
      </c>
      <c r="CG110" s="316" t="str">
        <f>IFERROR(IF($C110&lt;1,"",CG$3*일별반별!CJ110),0)</f>
        <v/>
      </c>
      <c r="CH110" s="316" t="str">
        <f>IFERROR(IF($C110&lt;1,"",CH$3*일별반별!CK110),0)</f>
        <v/>
      </c>
      <c r="CI110" s="316" t="str">
        <f>IFERROR(IF($C110&lt;1,"",CI$3*일별반별!CL110),0)</f>
        <v/>
      </c>
      <c r="CJ110" s="316" t="str">
        <f>IFERROR(IF($C110&lt;1,"",CJ$3*일별반별!CM110),0)</f>
        <v/>
      </c>
      <c r="CK110" s="316" t="str">
        <f>IFERROR(IF($C110&lt;1,"",CK$3*일별반별!CN110),0)</f>
        <v/>
      </c>
      <c r="CL110" s="316" t="str">
        <f>IFERROR(IF($C110&lt;1,"",CL$3*일별반별!CO110),0)</f>
        <v/>
      </c>
      <c r="CM110" s="316" t="str">
        <f>IFERROR(IF($C110&lt;1,"",CM$3*일별반별!CP110),0)</f>
        <v/>
      </c>
      <c r="CN110" s="316" t="str">
        <f>IFERROR(IF($C110&lt;1,"",CN$3*일별반별!CQ110),0)</f>
        <v/>
      </c>
      <c r="CO110" s="316" t="str">
        <f>IFERROR(IF($C110&lt;1,"",CO$3*일별반별!CR110),0)</f>
        <v/>
      </c>
      <c r="CP110" s="316" t="str">
        <f>IFERROR(IF($C110&lt;1,"",CP$3*일별반별!CS110),0)</f>
        <v/>
      </c>
      <c r="CQ110" s="316" t="str">
        <f>IFERROR(IF($C110&lt;1,"",CQ$3*일별반별!CT110),0)</f>
        <v/>
      </c>
      <c r="CR110" s="418" t="str">
        <f>IFERROR(IF($C110&lt;1,"",CR$3*일별반별!CU110),0)</f>
        <v/>
      </c>
      <c r="CS110" s="418" t="str">
        <f>IFERROR(IF($C110&lt;1,"",CS$3*일별반별!CV110),0)</f>
        <v/>
      </c>
      <c r="CT110" s="316" t="str">
        <f>IFERROR(IF($C110&lt;1,"",CT$3*일별반별!CW110),0)</f>
        <v/>
      </c>
      <c r="CU110" s="316" t="str">
        <f>IFERROR(IF($C110&lt;1,"",CU$3*일별반별!CX110),0)</f>
        <v/>
      </c>
      <c r="CV110" s="316" t="str">
        <f>IFERROR(IF($C110&lt;1,"",CV$3*일별반별!CY110),0)</f>
        <v/>
      </c>
      <c r="CW110" s="316" t="str">
        <f>IFERROR(IF($C110&lt;1,"",CW$3*일별반별!CZ110),0)</f>
        <v/>
      </c>
      <c r="CX110" s="316" t="str">
        <f>IFERROR(IF($C110&lt;1,"",CX$3*일별반별!DA110),0)</f>
        <v/>
      </c>
      <c r="CY110" s="316" t="str">
        <f>IF(C110&lt;1,"",(CY$3*'09월 조업일지'!AV$7))</f>
        <v/>
      </c>
      <c r="CZ110" s="316" t="str">
        <f t="shared" si="7"/>
        <v/>
      </c>
      <c r="DA110" s="316" t="str">
        <f t="shared" si="7"/>
        <v/>
      </c>
      <c r="DB110" s="316" t="str">
        <f t="shared" si="7"/>
        <v/>
      </c>
      <c r="DC110" s="316"/>
      <c r="DD110" s="419"/>
    </row>
    <row r="111" spans="1:108" ht="15" customHeight="1">
      <c r="A111" s="327">
        <f>A106+1</f>
        <v>44034</v>
      </c>
      <c r="B111" s="328" t="s">
        <v>31</v>
      </c>
      <c r="C111" s="329">
        <f>COUNTIF('09월 조업일지'!$A$12:$A$952,A111)</f>
        <v>0</v>
      </c>
      <c r="D111" s="330">
        <f>IF(C111&lt;1,0,(SUM(E111:CX111)/(일별반별!BV111-1.5)+(CY111+CZ111+DA111+DB111)))</f>
        <v>0</v>
      </c>
      <c r="E111" s="331"/>
      <c r="F111" s="331"/>
      <c r="G111" s="332"/>
      <c r="H111" s="333"/>
      <c r="I111" s="333"/>
      <c r="J111" s="334"/>
      <c r="K111" s="334"/>
      <c r="L111" s="334"/>
      <c r="M111" s="334"/>
      <c r="N111" s="334"/>
      <c r="O111" s="334"/>
      <c r="P111" s="334"/>
      <c r="Q111" s="335"/>
      <c r="R111" s="334"/>
      <c r="S111" s="335"/>
      <c r="T111" s="334"/>
      <c r="U111" s="337" t="str">
        <f>IFERROR(IF($C111&lt;1,"",U$3*일별반별!X111),0)</f>
        <v/>
      </c>
      <c r="V111" s="337" t="str">
        <f>IFERROR(IF($C111&lt;1,"",V$3*일별반별!Y111),0)</f>
        <v/>
      </c>
      <c r="W111" s="337" t="str">
        <f>IFERROR(IF($C111&lt;1,"",W$3*일별반별!Z111),0)</f>
        <v/>
      </c>
      <c r="X111" s="336" t="str">
        <f>IFERROR(IF($C111&lt;1,"",X$3*일별반별!AA111),0)</f>
        <v/>
      </c>
      <c r="Y111" s="336" t="str">
        <f>IFERROR(IF($C111&lt;1,"",Y$3*일별반별!AB111),0)</f>
        <v/>
      </c>
      <c r="Z111" s="336" t="str">
        <f>IFERROR(IF($C111&lt;1,"",Z$3*일별반별!AC111),0)</f>
        <v/>
      </c>
      <c r="AA111" s="337" t="str">
        <f>IFERROR(IF($C111&lt;1,"",AA$3*일별반별!AD111),0)</f>
        <v/>
      </c>
      <c r="AB111" s="337" t="str">
        <f>IFERROR(IF($C111&lt;1,"",AB$3*일별반별!AE111),0)</f>
        <v/>
      </c>
      <c r="AC111" s="336" t="str">
        <f>IFERROR(IF($C111&lt;1,"",AC$3*일별반별!AF111),0)</f>
        <v/>
      </c>
      <c r="AD111" s="336" t="str">
        <f>IFERROR(IF($C111&lt;1,"",AD$3*일별반별!AG111),0)</f>
        <v/>
      </c>
      <c r="AE111" s="336" t="str">
        <f>IFERROR(IF($C111&lt;1,"",AE$3*일별반별!AH111),0)</f>
        <v/>
      </c>
      <c r="AF111" s="337" t="str">
        <f>IFERROR(IF($C111&lt;1,"",AF$3*일별반별!AI111),0)</f>
        <v/>
      </c>
      <c r="AG111" s="337" t="str">
        <f>IFERROR(IF($C111&lt;1,"",AG$3*일별반별!AJ111),0)</f>
        <v/>
      </c>
      <c r="AH111" s="337" t="str">
        <f>IFERROR(IF($C111&lt;1,"",AH$3*일별반별!AK111),0)</f>
        <v/>
      </c>
      <c r="AI111" s="337" t="str">
        <f>IFERROR(IF($C111&lt;1,"",AI$3*일별반별!AL111),0)</f>
        <v/>
      </c>
      <c r="AJ111" s="337" t="str">
        <f>IFERROR(IF($C111&lt;1,"",AJ$3*일별반별!AM111),0)</f>
        <v/>
      </c>
      <c r="AK111" s="337" t="str">
        <f>IFERROR(IF($C111&lt;1,"",AK$3*일별반별!AN111),0)</f>
        <v/>
      </c>
      <c r="AL111" s="337" t="str">
        <f>IFERROR(IF($C111&lt;1,"",AL$3*일별반별!AO111),0)</f>
        <v/>
      </c>
      <c r="AM111" s="337" t="str">
        <f>IFERROR(IF($C111&lt;1,"",AM$3*일별반별!AP111),0)</f>
        <v/>
      </c>
      <c r="AN111" s="337" t="str">
        <f>IFERROR(IF($C111&lt;1,"",AN$3*일별반별!AQ111),0)</f>
        <v/>
      </c>
      <c r="AO111" s="337" t="str">
        <f>IFERROR(IF($C111&lt;1,"",AO$3*일별반별!AR111),0)</f>
        <v/>
      </c>
      <c r="AP111" s="337" t="str">
        <f>IFERROR(IF($C111&lt;1,"",AP$3*일별반별!AS111),0)</f>
        <v/>
      </c>
      <c r="AQ111" s="337" t="str">
        <f>IFERROR(IF($C111&lt;1,"",AQ$3*일별반별!AT111),0)</f>
        <v/>
      </c>
      <c r="AR111" s="337" t="str">
        <f>IFERROR(IF($C111&lt;1,"",AR$3*일별반별!AU111),0)</f>
        <v/>
      </c>
      <c r="AS111" s="403" t="str">
        <f>IFERROR(IF($C111&lt;1,"",AS$3*일별반별!AV111),0)</f>
        <v/>
      </c>
      <c r="AT111" s="403" t="str">
        <f>IFERROR(IF($C111&lt;1,"",AT$3*일별반별!AW111),0)</f>
        <v/>
      </c>
      <c r="AU111" s="403" t="str">
        <f>IFERROR(IF($C111&lt;1,"",AU$3*일별반별!AX111),0)</f>
        <v/>
      </c>
      <c r="AV111" s="403" t="str">
        <f>IFERROR(IF($C111&lt;1,"",AV$3*일별반별!AY111),0)</f>
        <v/>
      </c>
      <c r="AW111" s="403" t="str">
        <f>IFERROR(IF($C111&lt;1,"",AW$3*일별반별!AZ111),0)</f>
        <v/>
      </c>
      <c r="AX111" s="403" t="str">
        <f>IFERROR(IF($C111&lt;1,"",AX$3*일별반별!BA111),0)</f>
        <v/>
      </c>
      <c r="AY111" s="403" t="str">
        <f>IFERROR(IF($C111&lt;1,"",AY$3*일별반별!BB111),0)</f>
        <v/>
      </c>
      <c r="AZ111" s="403" t="str">
        <f>IFERROR(IF($C111&lt;1,"",AZ$3*일별반별!BC111),0)</f>
        <v/>
      </c>
      <c r="BA111" s="403" t="str">
        <f>IFERROR(IF($C111&lt;1,"",BA$3*일별반별!BD111),0)</f>
        <v/>
      </c>
      <c r="BB111" s="403" t="str">
        <f>IFERROR(IF($C111&lt;1,"",BB$3*일별반별!BE111),0)</f>
        <v/>
      </c>
      <c r="BC111" s="403" t="str">
        <f>IFERROR(IF($C111&lt;1,"",BC$3*일별반별!BF111),0)</f>
        <v/>
      </c>
      <c r="BD111" s="403" t="str">
        <f>IFERROR(IF($C111&lt;1,"",BD$3*일별반별!BG111),0)</f>
        <v/>
      </c>
      <c r="BE111" s="403" t="str">
        <f>IFERROR(IF($C111&lt;1,"",BE$3*일별반별!BH111),0)</f>
        <v/>
      </c>
      <c r="BF111" s="403" t="str">
        <f>IFERROR(IF($C111&lt;1,"",BF$3*일별반별!BI111),0)</f>
        <v/>
      </c>
      <c r="BG111" s="403" t="str">
        <f>IFERROR(IF($C111&lt;1,"",BG$3*일별반별!BJ111),0)</f>
        <v/>
      </c>
      <c r="BH111" s="403" t="str">
        <f>IFERROR(IF($C111&lt;1,"",BH$3*일별반별!BK111),0)</f>
        <v/>
      </c>
      <c r="BI111" s="403" t="str">
        <f>IFERROR(IF($C111&lt;1,"",BI$3*일별반별!BL111),0)</f>
        <v/>
      </c>
      <c r="BJ111" s="403" t="str">
        <f>IFERROR(IF($C111&lt;1,"",BJ$3*일별반별!BM111),0)</f>
        <v/>
      </c>
      <c r="BK111" s="403" t="str">
        <f>IFERROR(IF($C111&lt;1,"",BK$3*일별반별!BN111),0)</f>
        <v/>
      </c>
      <c r="BL111" s="403" t="str">
        <f>IFERROR(IF($C111&lt;1,"",BL$3*일별반별!BH111),0)</f>
        <v/>
      </c>
      <c r="BM111" s="403" t="str">
        <f>IFERROR(IF($C111&lt;1,"",BM$3*일별반별!BP111),0)</f>
        <v/>
      </c>
      <c r="BN111" s="403" t="str">
        <f>IFERROR(IF($C111&lt;1,"",BN$3*일별반별!BQ111),0)</f>
        <v/>
      </c>
      <c r="BO111" s="403" t="str">
        <f>IFERROR(IF($C111&lt;1,"",BO$3*일별반별!BR111),0)</f>
        <v/>
      </c>
      <c r="BP111" s="403" t="str">
        <f>IFERROR(IF($C111&lt;1,"",BP$3*일별반별!BS111),0)</f>
        <v/>
      </c>
      <c r="BQ111" s="403" t="str">
        <f>IFERROR(IF($C111&lt;1,"",BQ$3*일별반별!BT111),0)</f>
        <v/>
      </c>
      <c r="BR111" s="337" t="str">
        <f>IFERROR(IF($C111&lt;1,"",BR$3*일별반별!BU111),0)</f>
        <v/>
      </c>
      <c r="BS111" s="337" t="str">
        <f>IFERROR(IF($C111&lt;1,"",BS$3*일별반별!BV111),0)</f>
        <v/>
      </c>
      <c r="BT111" s="337" t="str">
        <f>IFERROR(IF($C111&lt;1,"",BT$3*일별반별!BW111),0)</f>
        <v/>
      </c>
      <c r="BU111" s="337" t="str">
        <f>IFERROR(IF($C111&lt;1,"",BU$3*일별반별!BX111),0)</f>
        <v/>
      </c>
      <c r="BV111" s="337" t="str">
        <f>IFERROR(IF($C111&lt;1,"",BV$3*일별반별!BY111),0)</f>
        <v/>
      </c>
      <c r="BW111" s="337" t="str">
        <f>IFERROR(IF($C111&lt;1,"",BW$3*일별반별!BZ111),0)</f>
        <v/>
      </c>
      <c r="BX111" s="337" t="str">
        <f>IFERROR(IF($C111&lt;1,"",BX$3*일별반별!CA111),0)</f>
        <v/>
      </c>
      <c r="BY111" s="337" t="str">
        <f>IFERROR(IF($C111&lt;1,"",BY$3*일별반별!CB111),0)</f>
        <v/>
      </c>
      <c r="BZ111" s="337" t="str">
        <f>IFERROR(IF($C111&lt;1,"",BZ$3*일별반별!CC111),0)</f>
        <v/>
      </c>
      <c r="CA111" s="337" t="str">
        <f>IFERROR(IF($C111&lt;1,"",CA$3*일별반별!CD111),0)</f>
        <v/>
      </c>
      <c r="CB111" s="337" t="str">
        <f>IFERROR(IF($C111&lt;1,"",CB$3*일별반별!CE111),0)</f>
        <v/>
      </c>
      <c r="CC111" s="337" t="str">
        <f>IFERROR(IF($C111&lt;1,"",CC$3*일별반별!CF111),0)</f>
        <v/>
      </c>
      <c r="CD111" s="337" t="str">
        <f>IFERROR(IF($C111&lt;1,"",CD$3*일별반별!CG111),0)</f>
        <v/>
      </c>
      <c r="CE111" s="337" t="str">
        <f>IFERROR(IF($C111&lt;1,"",CE$3*일별반별!CH111),0)</f>
        <v/>
      </c>
      <c r="CF111" s="337" t="str">
        <f>IFERROR(IF($C111&lt;1,"",CF$3*일별반별!CI111),0)</f>
        <v/>
      </c>
      <c r="CG111" s="337" t="str">
        <f>IFERROR(IF($C111&lt;1,"",CG$3*일별반별!CJ111),0)</f>
        <v/>
      </c>
      <c r="CH111" s="337" t="str">
        <f>IFERROR(IF($C111&lt;1,"",CH$3*일별반별!CK111),0)</f>
        <v/>
      </c>
      <c r="CI111" s="337" t="str">
        <f>IFERROR(IF($C111&lt;1,"",CI$3*일별반별!CL111),0)</f>
        <v/>
      </c>
      <c r="CJ111" s="337" t="str">
        <f>IFERROR(IF($C111&lt;1,"",CJ$3*일별반별!CM111),0)</f>
        <v/>
      </c>
      <c r="CK111" s="337" t="str">
        <f>IFERROR(IF($C111&lt;1,"",CK$3*일별반별!CN111),0)</f>
        <v/>
      </c>
      <c r="CL111" s="337" t="str">
        <f>IFERROR(IF($C111&lt;1,"",CL$3*일별반별!CO111),0)</f>
        <v/>
      </c>
      <c r="CM111" s="337" t="str">
        <f>IFERROR(IF($C111&lt;1,"",CM$3*일별반별!CP111),0)</f>
        <v/>
      </c>
      <c r="CN111" s="337" t="str">
        <f>IFERROR(IF($C111&lt;1,"",CN$3*일별반별!CQ111),0)</f>
        <v/>
      </c>
      <c r="CO111" s="337" t="str">
        <f>IFERROR(IF($C111&lt;1,"",CO$3*일별반별!CR111),0)</f>
        <v/>
      </c>
      <c r="CP111" s="337" t="str">
        <f>IFERROR(IF($C111&lt;1,"",CP$3*일별반별!CS111),0)</f>
        <v/>
      </c>
      <c r="CQ111" s="337" t="str">
        <f>IFERROR(IF($C111&lt;1,"",CQ$3*일별반별!CT111),0)</f>
        <v/>
      </c>
      <c r="CR111" s="420" t="str">
        <f>IFERROR(IF($C111&lt;1,"",CR$3*일별반별!CU111),0)</f>
        <v/>
      </c>
      <c r="CS111" s="420" t="str">
        <f>IFERROR(IF($C111&lt;1,"",CS$3*일별반별!CV111),0)</f>
        <v/>
      </c>
      <c r="CT111" s="337" t="str">
        <f>IFERROR(IF($C111&lt;1,"",CT$3*일별반별!CW111),0)</f>
        <v/>
      </c>
      <c r="CU111" s="337" t="str">
        <f>IFERROR(IF($C111&lt;1,"",CU$3*일별반별!CX111),0)</f>
        <v/>
      </c>
      <c r="CV111" s="337" t="str">
        <f>IFERROR(IF($C111&lt;1,"",CV$3*일별반별!CY111),0)</f>
        <v/>
      </c>
      <c r="CW111" s="337" t="str">
        <f>IFERROR(IF($C111&lt;1,"",CW$3*일별반별!CZ111),0)</f>
        <v/>
      </c>
      <c r="CX111" s="337" t="str">
        <f>IFERROR(IF($C111&lt;1,"",CX$3*일별반별!DA111),0)</f>
        <v/>
      </c>
      <c r="CY111" s="316" t="str">
        <f>IF(C111&lt;1,"",(CY$3*'09월 조업일지'!AV$7))</f>
        <v/>
      </c>
      <c r="CZ111" s="316" t="str">
        <f t="shared" si="7"/>
        <v/>
      </c>
      <c r="DA111" s="316" t="str">
        <f t="shared" si="7"/>
        <v/>
      </c>
      <c r="DB111" s="316" t="str">
        <f t="shared" si="7"/>
        <v/>
      </c>
      <c r="DC111" s="316"/>
      <c r="DD111" s="419"/>
    </row>
    <row r="112" spans="1:108" ht="15" customHeight="1">
      <c r="A112" s="274">
        <f t="shared" si="6"/>
        <v>44034</v>
      </c>
      <c r="B112" s="275" t="s">
        <v>9</v>
      </c>
      <c r="C112" s="201">
        <f>COUNTIFS('09월 조업일지'!$A$12:$A$952,A111,'09월 조업일지'!$E$12:$E$952,B112)</f>
        <v>0</v>
      </c>
      <c r="D112" s="314">
        <f>IF(C112&lt;1,0,(SUM(E112:CX112)/(일별반별!BV112-1.5)+(CY112+CZ112+DA112+DB112)))</f>
        <v>0</v>
      </c>
      <c r="E112" s="278"/>
      <c r="F112" s="281"/>
      <c r="G112" s="282"/>
      <c r="H112" s="283"/>
      <c r="I112" s="283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326"/>
      <c r="U112" s="395" t="str">
        <f>IFERROR(IF($C112&lt;1,"",U$3*일별반별!X112),0)</f>
        <v/>
      </c>
      <c r="V112" s="395" t="str">
        <f>IFERROR(IF($C112&lt;1,"",V$3*일별반별!Y112),0)</f>
        <v/>
      </c>
      <c r="W112" s="395" t="str">
        <f>IFERROR(IF($C112&lt;1,"",W$3*일별반별!Z112),0)</f>
        <v/>
      </c>
      <c r="X112" s="208" t="str">
        <f>IFERROR(IF($C112&lt;1,"",X$3*일별반별!AA112),0)</f>
        <v/>
      </c>
      <c r="Y112" s="208" t="str">
        <f>IFERROR(IF($C112&lt;1,"",Y$3*일별반별!AB112),0)</f>
        <v/>
      </c>
      <c r="Z112" s="208" t="str">
        <f>IFERROR(IF($C112&lt;1,"",Z$3*일별반별!AC112),0)</f>
        <v/>
      </c>
      <c r="AA112" s="395" t="str">
        <f>IFERROR(IF($C112&lt;1,"",AA$3*일별반별!AD112),0)</f>
        <v/>
      </c>
      <c r="AB112" s="395" t="str">
        <f>IFERROR(IF($C112&lt;1,"",AB$3*일별반별!AE112),0)</f>
        <v/>
      </c>
      <c r="AC112" s="208" t="str">
        <f>IFERROR(IF($C112&lt;1,"",AC$3*일별반별!AF112),0)</f>
        <v/>
      </c>
      <c r="AD112" s="208" t="str">
        <f>IFERROR(IF($C112&lt;1,"",AD$3*일별반별!AG112),0)</f>
        <v/>
      </c>
      <c r="AE112" s="208" t="str">
        <f>IFERROR(IF($C112&lt;1,"",AE$3*일별반별!AH112),0)</f>
        <v/>
      </c>
      <c r="AF112" s="395" t="str">
        <f>IFERROR(IF($C112&lt;1,"",AF$3*일별반별!AI112),0)</f>
        <v/>
      </c>
      <c r="AG112" s="395" t="str">
        <f>IFERROR(IF($C112&lt;1,"",AG$3*일별반별!AJ112),0)</f>
        <v/>
      </c>
      <c r="AH112" s="395" t="str">
        <f>IFERROR(IF($C112&lt;1,"",AH$3*일별반별!AK112),0)</f>
        <v/>
      </c>
      <c r="AI112" s="395" t="str">
        <f>IFERROR(IF($C112&lt;1,"",AI$3*일별반별!AL112),0)</f>
        <v/>
      </c>
      <c r="AJ112" s="395" t="str">
        <f>IFERROR(IF($C112&lt;1,"",AJ$3*일별반별!AM112),0)</f>
        <v/>
      </c>
      <c r="AK112" s="395" t="str">
        <f>IFERROR(IF($C112&lt;1,"",AK$3*일별반별!AN112),0)</f>
        <v/>
      </c>
      <c r="AL112" s="395" t="str">
        <f>IFERROR(IF($C112&lt;1,"",AL$3*일별반별!AO112),0)</f>
        <v/>
      </c>
      <c r="AM112" s="395" t="str">
        <f>IFERROR(IF($C112&lt;1,"",AM$3*일별반별!AP112),0)</f>
        <v/>
      </c>
      <c r="AN112" s="395" t="str">
        <f>IFERROR(IF($C112&lt;1,"",AN$3*일별반별!AQ112),0)</f>
        <v/>
      </c>
      <c r="AO112" s="395" t="str">
        <f>IFERROR(IF($C112&lt;1,"",AO$3*일별반별!AR112),0)</f>
        <v/>
      </c>
      <c r="AP112" s="347" t="str">
        <f>IFERROR(IF($C112&lt;1,"",AP$3*일별반별!AS112),0)</f>
        <v/>
      </c>
      <c r="AQ112" s="347" t="str">
        <f>IFERROR(IF($C112&lt;1,"",AQ$3*일별반별!AT112),0)</f>
        <v/>
      </c>
      <c r="AR112" s="316" t="str">
        <f>IFERROR(IF($C112&lt;1,"",AR$3*일별반별!AU112),0)</f>
        <v/>
      </c>
      <c r="AS112" s="401" t="str">
        <f>IFERROR(IF($C112&lt;1,"",AS$3*일별반별!AV112),0)</f>
        <v/>
      </c>
      <c r="AT112" s="401" t="str">
        <f>IFERROR(IF($C112&lt;1,"",AT$3*일별반별!AW112),0)</f>
        <v/>
      </c>
      <c r="AU112" s="401" t="str">
        <f>IFERROR(IF($C112&lt;1,"",AU$3*일별반별!AX112),0)</f>
        <v/>
      </c>
      <c r="AV112" s="401" t="str">
        <f>IFERROR(IF($C112&lt;1,"",AV$3*일별반별!AY112),0)</f>
        <v/>
      </c>
      <c r="AW112" s="401" t="str">
        <f>IFERROR(IF($C112&lt;1,"",AW$3*일별반별!AZ112),0)</f>
        <v/>
      </c>
      <c r="AX112" s="401" t="str">
        <f>IFERROR(IF($C112&lt;1,"",AX$3*일별반별!BA112),0)</f>
        <v/>
      </c>
      <c r="AY112" s="401" t="str">
        <f>IFERROR(IF($C112&lt;1,"",AY$3*일별반별!BB112),0)</f>
        <v/>
      </c>
      <c r="AZ112" s="401" t="str">
        <f>IFERROR(IF($C112&lt;1,"",AZ$3*일별반별!BC112),0)</f>
        <v/>
      </c>
      <c r="BA112" s="401" t="str">
        <f>IFERROR(IF($C112&lt;1,"",BA$3*일별반별!BD112),0)</f>
        <v/>
      </c>
      <c r="BB112" s="402" t="str">
        <f>IFERROR(IF($C112&lt;1,"",BB$3*일별반별!BE112),0)</f>
        <v/>
      </c>
      <c r="BC112" s="402" t="str">
        <f>IFERROR(IF($C112&lt;1,"",BC$3*일별반별!BF112),0)</f>
        <v/>
      </c>
      <c r="BD112" s="402" t="str">
        <f>IFERROR(IF($C112&lt;1,"",BD$3*일별반별!BG112),0)</f>
        <v/>
      </c>
      <c r="BE112" s="402" t="str">
        <f>IFERROR(IF($C112&lt;1,"",BE$3*일별반별!BH112),0)</f>
        <v/>
      </c>
      <c r="BF112" s="402" t="str">
        <f>IFERROR(IF($C112&lt;1,"",BF$3*일별반별!BI112),0)</f>
        <v/>
      </c>
      <c r="BG112" s="402" t="str">
        <f>IFERROR(IF($C112&lt;1,"",BG$3*일별반별!BJ112),0)</f>
        <v/>
      </c>
      <c r="BH112" s="402" t="str">
        <f>IFERROR(IF($C112&lt;1,"",BH$3*일별반별!BK112),0)</f>
        <v/>
      </c>
      <c r="BI112" s="402" t="str">
        <f>IFERROR(IF($C112&lt;1,"",BI$3*일별반별!BL112),0)</f>
        <v/>
      </c>
      <c r="BJ112" s="402" t="str">
        <f>IFERROR(IF($C112&lt;1,"",BJ$3*일별반별!BM112),0)</f>
        <v/>
      </c>
      <c r="BK112" s="402" t="str">
        <f>IFERROR(IF($C112&lt;1,"",BK$3*일별반별!BN112),0)</f>
        <v/>
      </c>
      <c r="BL112" s="402" t="str">
        <f>IFERROR(IF($C112&lt;1,"",BL$3*일별반별!BH112),0)</f>
        <v/>
      </c>
      <c r="BM112" s="402" t="str">
        <f>IFERROR(IF($C112&lt;1,"",BM$3*일별반별!BP112),0)</f>
        <v/>
      </c>
      <c r="BN112" s="401" t="str">
        <f>IFERROR(IF($C112&lt;1,"",BN$3*일별반별!BQ112),0)</f>
        <v/>
      </c>
      <c r="BO112" s="401" t="str">
        <f>IFERROR(IF($C112&lt;1,"",BO$3*일별반별!BR112),0)</f>
        <v/>
      </c>
      <c r="BP112" s="401" t="str">
        <f>IFERROR(IF($C112&lt;1,"",BP$3*일별반별!BS112),0)</f>
        <v/>
      </c>
      <c r="BQ112" s="401" t="str">
        <f>IFERROR(IF($C112&lt;1,"",BQ$3*일별반별!BT112),0)</f>
        <v/>
      </c>
      <c r="BR112" s="417" t="str">
        <f>IFERROR(IF($C112&lt;1,"",BR$3*일별반별!BU112),0)</f>
        <v/>
      </c>
      <c r="BS112" s="417" t="str">
        <f>IFERROR(IF($C112&lt;1,"",BS$3*일별반별!BV112),0)</f>
        <v/>
      </c>
      <c r="BT112" s="417" t="str">
        <f>IFERROR(IF($C112&lt;1,"",BT$3*일별반별!BW112),0)</f>
        <v/>
      </c>
      <c r="BU112" s="316" t="str">
        <f>IFERROR(IF($C112&lt;1,"",BU$3*일별반별!BX112),0)</f>
        <v/>
      </c>
      <c r="BV112" s="316" t="str">
        <f>IFERROR(IF($C112&lt;1,"",BV$3*일별반별!BY112),0)</f>
        <v/>
      </c>
      <c r="BW112" s="316" t="str">
        <f>IFERROR(IF($C112&lt;1,"",BW$3*일별반별!BZ112),0)</f>
        <v/>
      </c>
      <c r="BX112" s="316" t="str">
        <f>IFERROR(IF($C112&lt;1,"",BX$3*일별반별!CA112),0)</f>
        <v/>
      </c>
      <c r="BY112" s="316" t="str">
        <f>IFERROR(IF($C112&lt;1,"",BY$3*일별반별!CB112),0)</f>
        <v/>
      </c>
      <c r="BZ112" s="316" t="str">
        <f>IFERROR(IF($C112&lt;1,"",BZ$3*일별반별!CC112),0)</f>
        <v/>
      </c>
      <c r="CA112" s="316" t="str">
        <f>IFERROR(IF($C112&lt;1,"",CA$3*일별반별!CD112),0)</f>
        <v/>
      </c>
      <c r="CB112" s="316" t="str">
        <f>IFERROR(IF($C112&lt;1,"",CB$3*일별반별!CE112),0)</f>
        <v/>
      </c>
      <c r="CC112" s="316" t="str">
        <f>IFERROR(IF($C112&lt;1,"",CC$3*일별반별!CF112),0)</f>
        <v/>
      </c>
      <c r="CD112" s="316" t="str">
        <f>IFERROR(IF($C112&lt;1,"",CD$3*일별반별!CG112),0)</f>
        <v/>
      </c>
      <c r="CE112" s="316" t="str">
        <f>IFERROR(IF($C112&lt;1,"",CE$3*일별반별!CH112),0)</f>
        <v/>
      </c>
      <c r="CF112" s="316" t="str">
        <f>IFERROR(IF($C112&lt;1,"",CF$3*일별반별!CI112),0)</f>
        <v/>
      </c>
      <c r="CG112" s="316" t="str">
        <f>IFERROR(IF($C112&lt;1,"",CG$3*일별반별!CJ112),0)</f>
        <v/>
      </c>
      <c r="CH112" s="316" t="str">
        <f>IFERROR(IF($C112&lt;1,"",CH$3*일별반별!CK112),0)</f>
        <v/>
      </c>
      <c r="CI112" s="316" t="str">
        <f>IFERROR(IF($C112&lt;1,"",CI$3*일별반별!CL112),0)</f>
        <v/>
      </c>
      <c r="CJ112" s="316" t="str">
        <f>IFERROR(IF($C112&lt;1,"",CJ$3*일별반별!CM112),0)</f>
        <v/>
      </c>
      <c r="CK112" s="316" t="str">
        <f>IFERROR(IF($C112&lt;1,"",CK$3*일별반별!CN112),0)</f>
        <v/>
      </c>
      <c r="CL112" s="316" t="str">
        <f>IFERROR(IF($C112&lt;1,"",CL$3*일별반별!CO112),0)</f>
        <v/>
      </c>
      <c r="CM112" s="316" t="str">
        <f>IFERROR(IF($C112&lt;1,"",CM$3*일별반별!CP112),0)</f>
        <v/>
      </c>
      <c r="CN112" s="316" t="str">
        <f>IFERROR(IF($C112&lt;1,"",CN$3*일별반별!CQ112),0)</f>
        <v/>
      </c>
      <c r="CO112" s="316" t="str">
        <f>IFERROR(IF($C112&lt;1,"",CO$3*일별반별!CR112),0)</f>
        <v/>
      </c>
      <c r="CP112" s="316" t="str">
        <f>IFERROR(IF($C112&lt;1,"",CP$3*일별반별!CS112),0)</f>
        <v/>
      </c>
      <c r="CQ112" s="316" t="str">
        <f>IFERROR(IF($C112&lt;1,"",CQ$3*일별반별!CT112),0)</f>
        <v/>
      </c>
      <c r="CR112" s="418" t="str">
        <f>IFERROR(IF($C112&lt;1,"",CR$3*일별반별!CU112),0)</f>
        <v/>
      </c>
      <c r="CS112" s="418" t="str">
        <f>IFERROR(IF($C112&lt;1,"",CS$3*일별반별!CV112),0)</f>
        <v/>
      </c>
      <c r="CT112" s="316" t="str">
        <f>IFERROR(IF($C112&lt;1,"",CT$3*일별반별!CW112),0)</f>
        <v/>
      </c>
      <c r="CU112" s="316" t="str">
        <f>IFERROR(IF($C112&lt;1,"",CU$3*일별반별!CX112),0)</f>
        <v/>
      </c>
      <c r="CV112" s="316" t="str">
        <f>IFERROR(IF($C112&lt;1,"",CV$3*일별반별!CY112),0)</f>
        <v/>
      </c>
      <c r="CW112" s="316" t="str">
        <f>IFERROR(IF($C112&lt;1,"",CW$3*일별반별!CZ112),0)</f>
        <v/>
      </c>
      <c r="CX112" s="316" t="str">
        <f>IFERROR(IF($C112&lt;1,"",CX$3*일별반별!DA112),0)</f>
        <v/>
      </c>
      <c r="CY112" s="316" t="str">
        <f>IF(C112&lt;1,"",(CY$3*'09월 조업일지'!AV$7))</f>
        <v/>
      </c>
      <c r="CZ112" s="316" t="str">
        <f t="shared" si="7"/>
        <v/>
      </c>
      <c r="DA112" s="316" t="str">
        <f t="shared" si="7"/>
        <v/>
      </c>
      <c r="DB112" s="316" t="str">
        <f t="shared" si="7"/>
        <v/>
      </c>
      <c r="DC112" s="316"/>
      <c r="DD112" s="419"/>
    </row>
    <row r="113" spans="1:108" ht="15" customHeight="1">
      <c r="A113" s="274">
        <f t="shared" si="6"/>
        <v>44034</v>
      </c>
      <c r="B113" s="275" t="s">
        <v>100</v>
      </c>
      <c r="C113" s="201">
        <f>COUNTIFS('09월 조업일지'!$A$12:$A$952,A111,'09월 조업일지'!$E$12:$E$952,B113)</f>
        <v>0</v>
      </c>
      <c r="D113" s="314">
        <f>IF(C113&lt;1,0,(SUM(E113:CX113)/(일별반별!BV113-1.5)+(CY113+CZ113+DA113+DB113)))</f>
        <v>0</v>
      </c>
      <c r="E113" s="278"/>
      <c r="F113" s="281"/>
      <c r="G113" s="282"/>
      <c r="H113" s="283"/>
      <c r="I113" s="283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326"/>
      <c r="U113" s="395" t="str">
        <f>IFERROR(IF($C113&lt;1,"",U$3*일별반별!X113),0)</f>
        <v/>
      </c>
      <c r="V113" s="395" t="str">
        <f>IFERROR(IF($C113&lt;1,"",V$3*일별반별!Y113),0)</f>
        <v/>
      </c>
      <c r="W113" s="395" t="str">
        <f>IFERROR(IF($C113&lt;1,"",W$3*일별반별!Z113),0)</f>
        <v/>
      </c>
      <c r="X113" s="208" t="str">
        <f>IFERROR(IF($C113&lt;1,"",X$3*일별반별!AA113),0)</f>
        <v/>
      </c>
      <c r="Y113" s="208" t="str">
        <f>IFERROR(IF($C113&lt;1,"",Y$3*일별반별!AB113),0)</f>
        <v/>
      </c>
      <c r="Z113" s="208" t="str">
        <f>IFERROR(IF($C113&lt;1,"",Z$3*일별반별!AC113),0)</f>
        <v/>
      </c>
      <c r="AA113" s="395" t="str">
        <f>IFERROR(IF($C113&lt;1,"",AA$3*일별반별!AD113),0)</f>
        <v/>
      </c>
      <c r="AB113" s="395" t="str">
        <f>IFERROR(IF($C113&lt;1,"",AB$3*일별반별!AE113),0)</f>
        <v/>
      </c>
      <c r="AC113" s="208" t="str">
        <f>IFERROR(IF($C113&lt;1,"",AC$3*일별반별!AF113),0)</f>
        <v/>
      </c>
      <c r="AD113" s="208" t="str">
        <f>IFERROR(IF($C113&lt;1,"",AD$3*일별반별!AG113),0)</f>
        <v/>
      </c>
      <c r="AE113" s="208" t="str">
        <f>IFERROR(IF($C113&lt;1,"",AE$3*일별반별!AH113),0)</f>
        <v/>
      </c>
      <c r="AF113" s="395" t="str">
        <f>IFERROR(IF($C113&lt;1,"",AF$3*일별반별!AI113),0)</f>
        <v/>
      </c>
      <c r="AG113" s="395" t="str">
        <f>IFERROR(IF($C113&lt;1,"",AG$3*일별반별!AJ113),0)</f>
        <v/>
      </c>
      <c r="AH113" s="395" t="str">
        <f>IFERROR(IF($C113&lt;1,"",AH$3*일별반별!AK113),0)</f>
        <v/>
      </c>
      <c r="AI113" s="395" t="str">
        <f>IFERROR(IF($C113&lt;1,"",AI$3*일별반별!AL113),0)</f>
        <v/>
      </c>
      <c r="AJ113" s="395" t="str">
        <f>IFERROR(IF($C113&lt;1,"",AJ$3*일별반별!AM113),0)</f>
        <v/>
      </c>
      <c r="AK113" s="395" t="str">
        <f>IFERROR(IF($C113&lt;1,"",AK$3*일별반별!AN113),0)</f>
        <v/>
      </c>
      <c r="AL113" s="395" t="str">
        <f>IFERROR(IF($C113&lt;1,"",AL$3*일별반별!AO113),0)</f>
        <v/>
      </c>
      <c r="AM113" s="395" t="str">
        <f>IFERROR(IF($C113&lt;1,"",AM$3*일별반별!AP113),0)</f>
        <v/>
      </c>
      <c r="AN113" s="395" t="str">
        <f>IFERROR(IF($C113&lt;1,"",AN$3*일별반별!AQ113),0)</f>
        <v/>
      </c>
      <c r="AO113" s="395" t="str">
        <f>IFERROR(IF($C113&lt;1,"",AO$3*일별반별!AR113),0)</f>
        <v/>
      </c>
      <c r="AP113" s="347" t="str">
        <f>IFERROR(IF($C113&lt;1,"",AP$3*일별반별!AS113),0)</f>
        <v/>
      </c>
      <c r="AQ113" s="347" t="str">
        <f>IFERROR(IF($C113&lt;1,"",AQ$3*일별반별!AT113),0)</f>
        <v/>
      </c>
      <c r="AR113" s="316" t="str">
        <f>IFERROR(IF($C113&lt;1,"",AR$3*일별반별!AU113),0)</f>
        <v/>
      </c>
      <c r="AS113" s="401" t="str">
        <f>IFERROR(IF($C113&lt;1,"",AS$3*일별반별!AV113),0)</f>
        <v/>
      </c>
      <c r="AT113" s="401" t="str">
        <f>IFERROR(IF($C113&lt;1,"",AT$3*일별반별!AW113),0)</f>
        <v/>
      </c>
      <c r="AU113" s="401" t="str">
        <f>IFERROR(IF($C113&lt;1,"",AU$3*일별반별!AX113),0)</f>
        <v/>
      </c>
      <c r="AV113" s="401" t="str">
        <f>IFERROR(IF($C113&lt;1,"",AV$3*일별반별!AY113),0)</f>
        <v/>
      </c>
      <c r="AW113" s="401" t="str">
        <f>IFERROR(IF($C113&lt;1,"",AW$3*일별반별!AZ113),0)</f>
        <v/>
      </c>
      <c r="AX113" s="401" t="str">
        <f>IFERROR(IF($C113&lt;1,"",AX$3*일별반별!BA113),0)</f>
        <v/>
      </c>
      <c r="AY113" s="401" t="str">
        <f>IFERROR(IF($C113&lt;1,"",AY$3*일별반별!BB113),0)</f>
        <v/>
      </c>
      <c r="AZ113" s="401" t="str">
        <f>IFERROR(IF($C113&lt;1,"",AZ$3*일별반별!BC113),0)</f>
        <v/>
      </c>
      <c r="BA113" s="401" t="str">
        <f>IFERROR(IF($C113&lt;1,"",BA$3*일별반별!BD113),0)</f>
        <v/>
      </c>
      <c r="BB113" s="402" t="str">
        <f>IFERROR(IF($C113&lt;1,"",BB$3*일별반별!BE113),0)</f>
        <v/>
      </c>
      <c r="BC113" s="402" t="str">
        <f>IFERROR(IF($C113&lt;1,"",BC$3*일별반별!BF113),0)</f>
        <v/>
      </c>
      <c r="BD113" s="402" t="str">
        <f>IFERROR(IF($C113&lt;1,"",BD$3*일별반별!BG113),0)</f>
        <v/>
      </c>
      <c r="BE113" s="402" t="str">
        <f>IFERROR(IF($C113&lt;1,"",BE$3*일별반별!BH113),0)</f>
        <v/>
      </c>
      <c r="BF113" s="402" t="str">
        <f>IFERROR(IF($C113&lt;1,"",BF$3*일별반별!BI113),0)</f>
        <v/>
      </c>
      <c r="BG113" s="402" t="str">
        <f>IFERROR(IF($C113&lt;1,"",BG$3*일별반별!BJ113),0)</f>
        <v/>
      </c>
      <c r="BH113" s="402" t="str">
        <f>IFERROR(IF($C113&lt;1,"",BH$3*일별반별!BK113),0)</f>
        <v/>
      </c>
      <c r="BI113" s="402" t="str">
        <f>IFERROR(IF($C113&lt;1,"",BI$3*일별반별!BL113),0)</f>
        <v/>
      </c>
      <c r="BJ113" s="402" t="str">
        <f>IFERROR(IF($C113&lt;1,"",BJ$3*일별반별!BM113),0)</f>
        <v/>
      </c>
      <c r="BK113" s="402" t="str">
        <f>IFERROR(IF($C113&lt;1,"",BK$3*일별반별!BN113),0)</f>
        <v/>
      </c>
      <c r="BL113" s="402" t="str">
        <f>IFERROR(IF($C113&lt;1,"",BL$3*일별반별!BH113),0)</f>
        <v/>
      </c>
      <c r="BM113" s="402" t="str">
        <f>IFERROR(IF($C113&lt;1,"",BM$3*일별반별!BP113),0)</f>
        <v/>
      </c>
      <c r="BN113" s="401" t="str">
        <f>IFERROR(IF($C113&lt;1,"",BN$3*일별반별!BQ113),0)</f>
        <v/>
      </c>
      <c r="BO113" s="401" t="str">
        <f>IFERROR(IF($C113&lt;1,"",BO$3*일별반별!BR113),0)</f>
        <v/>
      </c>
      <c r="BP113" s="401" t="str">
        <f>IFERROR(IF($C113&lt;1,"",BP$3*일별반별!BS113),0)</f>
        <v/>
      </c>
      <c r="BQ113" s="401" t="str">
        <f>IFERROR(IF($C113&lt;1,"",BQ$3*일별반별!BT113),0)</f>
        <v/>
      </c>
      <c r="BR113" s="417" t="str">
        <f>IFERROR(IF($C113&lt;1,"",BR$3*일별반별!BU113),0)</f>
        <v/>
      </c>
      <c r="BS113" s="417" t="str">
        <f>IFERROR(IF($C113&lt;1,"",BS$3*일별반별!BV113),0)</f>
        <v/>
      </c>
      <c r="BT113" s="417" t="str">
        <f>IFERROR(IF($C113&lt;1,"",BT$3*일별반별!BW113),0)</f>
        <v/>
      </c>
      <c r="BU113" s="316" t="str">
        <f>IFERROR(IF($C113&lt;1,"",BU$3*일별반별!BX113),0)</f>
        <v/>
      </c>
      <c r="BV113" s="316" t="str">
        <f>IFERROR(IF($C113&lt;1,"",BV$3*일별반별!BY113),0)</f>
        <v/>
      </c>
      <c r="BW113" s="316" t="str">
        <f>IFERROR(IF($C113&lt;1,"",BW$3*일별반별!BZ113),0)</f>
        <v/>
      </c>
      <c r="BX113" s="316" t="str">
        <f>IFERROR(IF($C113&lt;1,"",BX$3*일별반별!CA113),0)</f>
        <v/>
      </c>
      <c r="BY113" s="316" t="str">
        <f>IFERROR(IF($C113&lt;1,"",BY$3*일별반별!CB113),0)</f>
        <v/>
      </c>
      <c r="BZ113" s="316" t="str">
        <f>IFERROR(IF($C113&lt;1,"",BZ$3*일별반별!CC113),0)</f>
        <v/>
      </c>
      <c r="CA113" s="316" t="str">
        <f>IFERROR(IF($C113&lt;1,"",CA$3*일별반별!CD113),0)</f>
        <v/>
      </c>
      <c r="CB113" s="316" t="str">
        <f>IFERROR(IF($C113&lt;1,"",CB$3*일별반별!CE113),0)</f>
        <v/>
      </c>
      <c r="CC113" s="316" t="str">
        <f>IFERROR(IF($C113&lt;1,"",CC$3*일별반별!CF113),0)</f>
        <v/>
      </c>
      <c r="CD113" s="316" t="str">
        <f>IFERROR(IF($C113&lt;1,"",CD$3*일별반별!CG113),0)</f>
        <v/>
      </c>
      <c r="CE113" s="316" t="str">
        <f>IFERROR(IF($C113&lt;1,"",CE$3*일별반별!CH113),0)</f>
        <v/>
      </c>
      <c r="CF113" s="316" t="str">
        <f>IFERROR(IF($C113&lt;1,"",CF$3*일별반별!CI113),0)</f>
        <v/>
      </c>
      <c r="CG113" s="316" t="str">
        <f>IFERROR(IF($C113&lt;1,"",CG$3*일별반별!CJ113),0)</f>
        <v/>
      </c>
      <c r="CH113" s="316" t="str">
        <f>IFERROR(IF($C113&lt;1,"",CH$3*일별반별!CK113),0)</f>
        <v/>
      </c>
      <c r="CI113" s="316" t="str">
        <f>IFERROR(IF($C113&lt;1,"",CI$3*일별반별!CL113),0)</f>
        <v/>
      </c>
      <c r="CJ113" s="316" t="str">
        <f>IFERROR(IF($C113&lt;1,"",CJ$3*일별반별!CM113),0)</f>
        <v/>
      </c>
      <c r="CK113" s="316" t="str">
        <f>IFERROR(IF($C113&lt;1,"",CK$3*일별반별!CN113),0)</f>
        <v/>
      </c>
      <c r="CL113" s="316" t="str">
        <f>IFERROR(IF($C113&lt;1,"",CL$3*일별반별!CO113),0)</f>
        <v/>
      </c>
      <c r="CM113" s="316" t="str">
        <f>IFERROR(IF($C113&lt;1,"",CM$3*일별반별!CP113),0)</f>
        <v/>
      </c>
      <c r="CN113" s="316" t="str">
        <f>IFERROR(IF($C113&lt;1,"",CN$3*일별반별!CQ113),0)</f>
        <v/>
      </c>
      <c r="CO113" s="316" t="str">
        <f>IFERROR(IF($C113&lt;1,"",CO$3*일별반별!CR113),0)</f>
        <v/>
      </c>
      <c r="CP113" s="316" t="str">
        <f>IFERROR(IF($C113&lt;1,"",CP$3*일별반별!CS113),0)</f>
        <v/>
      </c>
      <c r="CQ113" s="316" t="str">
        <f>IFERROR(IF($C113&lt;1,"",CQ$3*일별반별!CT113),0)</f>
        <v/>
      </c>
      <c r="CR113" s="418" t="str">
        <f>IFERROR(IF($C113&lt;1,"",CR$3*일별반별!CU113),0)</f>
        <v/>
      </c>
      <c r="CS113" s="418" t="str">
        <f>IFERROR(IF($C113&lt;1,"",CS$3*일별반별!CV113),0)</f>
        <v/>
      </c>
      <c r="CT113" s="316" t="str">
        <f>IFERROR(IF($C113&lt;1,"",CT$3*일별반별!CW113),0)</f>
        <v/>
      </c>
      <c r="CU113" s="316" t="str">
        <f>IFERROR(IF($C113&lt;1,"",CU$3*일별반별!CX113),0)</f>
        <v/>
      </c>
      <c r="CV113" s="316" t="str">
        <f>IFERROR(IF($C113&lt;1,"",CV$3*일별반별!CY113),0)</f>
        <v/>
      </c>
      <c r="CW113" s="316" t="str">
        <f>IFERROR(IF($C113&lt;1,"",CW$3*일별반별!CZ113),0)</f>
        <v/>
      </c>
      <c r="CX113" s="316" t="str">
        <f>IFERROR(IF($C113&lt;1,"",CX$3*일별반별!DA113),0)</f>
        <v/>
      </c>
      <c r="CY113" s="316" t="str">
        <f>IF(C113&lt;1,"",(CY$3*'09월 조업일지'!AV$7))</f>
        <v/>
      </c>
      <c r="CZ113" s="316" t="str">
        <f t="shared" si="7"/>
        <v/>
      </c>
      <c r="DA113" s="316" t="str">
        <f t="shared" si="7"/>
        <v/>
      </c>
      <c r="DB113" s="316" t="str">
        <f t="shared" si="7"/>
        <v/>
      </c>
      <c r="DC113" s="316"/>
      <c r="DD113" s="419"/>
    </row>
    <row r="114" spans="1:108" ht="15" customHeight="1">
      <c r="A114" s="274">
        <f t="shared" si="6"/>
        <v>44034</v>
      </c>
      <c r="B114" s="275" t="s">
        <v>10</v>
      </c>
      <c r="C114" s="201">
        <f>COUNTIFS('09월 조업일지'!$A$12:$A$952,A111,'09월 조업일지'!$E$12:$E$952,B114)</f>
        <v>0</v>
      </c>
      <c r="D114" s="314">
        <f>IF(C114&lt;1,0,(SUM(E114:CX114)/(일별반별!BV114-1.5)+(CY114+CZ114+DA114+DB114)))</f>
        <v>0</v>
      </c>
      <c r="E114" s="278"/>
      <c r="F114" s="281"/>
      <c r="G114" s="282"/>
      <c r="H114" s="283"/>
      <c r="I114" s="283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326"/>
      <c r="U114" s="395" t="str">
        <f>IFERROR(IF($C114&lt;1,"",U$3*일별반별!X114),0)</f>
        <v/>
      </c>
      <c r="V114" s="395" t="str">
        <f>IFERROR(IF($C114&lt;1,"",V$3*일별반별!Y114),0)</f>
        <v/>
      </c>
      <c r="W114" s="395" t="str">
        <f>IFERROR(IF($C114&lt;1,"",W$3*일별반별!Z114),0)</f>
        <v/>
      </c>
      <c r="X114" s="208" t="str">
        <f>IFERROR(IF($C114&lt;1,"",X$3*일별반별!AA114),0)</f>
        <v/>
      </c>
      <c r="Y114" s="208" t="str">
        <f>IFERROR(IF($C114&lt;1,"",Y$3*일별반별!AB114),0)</f>
        <v/>
      </c>
      <c r="Z114" s="208" t="str">
        <f>IFERROR(IF($C114&lt;1,"",Z$3*일별반별!AC114),0)</f>
        <v/>
      </c>
      <c r="AA114" s="395" t="str">
        <f>IFERROR(IF($C114&lt;1,"",AA$3*일별반별!AD114),0)</f>
        <v/>
      </c>
      <c r="AB114" s="395" t="str">
        <f>IFERROR(IF($C114&lt;1,"",AB$3*일별반별!AE114),0)</f>
        <v/>
      </c>
      <c r="AC114" s="208" t="str">
        <f>IFERROR(IF($C114&lt;1,"",AC$3*일별반별!AF114),0)</f>
        <v/>
      </c>
      <c r="AD114" s="208" t="str">
        <f>IFERROR(IF($C114&lt;1,"",AD$3*일별반별!AG114),0)</f>
        <v/>
      </c>
      <c r="AE114" s="208" t="str">
        <f>IFERROR(IF($C114&lt;1,"",AE$3*일별반별!AH114),0)</f>
        <v/>
      </c>
      <c r="AF114" s="395" t="str">
        <f>IFERROR(IF($C114&lt;1,"",AF$3*일별반별!AI114),0)</f>
        <v/>
      </c>
      <c r="AG114" s="395" t="str">
        <f>IFERROR(IF($C114&lt;1,"",AG$3*일별반별!AJ114),0)</f>
        <v/>
      </c>
      <c r="AH114" s="395" t="str">
        <f>IFERROR(IF($C114&lt;1,"",AH$3*일별반별!AK114),0)</f>
        <v/>
      </c>
      <c r="AI114" s="395" t="str">
        <f>IFERROR(IF($C114&lt;1,"",AI$3*일별반별!AL114),0)</f>
        <v/>
      </c>
      <c r="AJ114" s="395" t="str">
        <f>IFERROR(IF($C114&lt;1,"",AJ$3*일별반별!AM114),0)</f>
        <v/>
      </c>
      <c r="AK114" s="395" t="str">
        <f>IFERROR(IF($C114&lt;1,"",AK$3*일별반별!AN114),0)</f>
        <v/>
      </c>
      <c r="AL114" s="395" t="str">
        <f>IFERROR(IF($C114&lt;1,"",AL$3*일별반별!AO114),0)</f>
        <v/>
      </c>
      <c r="AM114" s="395" t="str">
        <f>IFERROR(IF($C114&lt;1,"",AM$3*일별반별!AP114),0)</f>
        <v/>
      </c>
      <c r="AN114" s="395" t="str">
        <f>IFERROR(IF($C114&lt;1,"",AN$3*일별반별!AQ114),0)</f>
        <v/>
      </c>
      <c r="AO114" s="395" t="str">
        <f>IFERROR(IF($C114&lt;1,"",AO$3*일별반별!AR114),0)</f>
        <v/>
      </c>
      <c r="AP114" s="347" t="str">
        <f>IFERROR(IF($C114&lt;1,"",AP$3*일별반별!AS114),0)</f>
        <v/>
      </c>
      <c r="AQ114" s="347" t="str">
        <f>IFERROR(IF($C114&lt;1,"",AQ$3*일별반별!AT114),0)</f>
        <v/>
      </c>
      <c r="AR114" s="316" t="str">
        <f>IFERROR(IF($C114&lt;1,"",AR$3*일별반별!AU114),0)</f>
        <v/>
      </c>
      <c r="AS114" s="401" t="str">
        <f>IFERROR(IF($C114&lt;1,"",AS$3*일별반별!AV114),0)</f>
        <v/>
      </c>
      <c r="AT114" s="401" t="str">
        <f>IFERROR(IF($C114&lt;1,"",AT$3*일별반별!AW114),0)</f>
        <v/>
      </c>
      <c r="AU114" s="401" t="str">
        <f>IFERROR(IF($C114&lt;1,"",AU$3*일별반별!AX114),0)</f>
        <v/>
      </c>
      <c r="AV114" s="401" t="str">
        <f>IFERROR(IF($C114&lt;1,"",AV$3*일별반별!AY114),0)</f>
        <v/>
      </c>
      <c r="AW114" s="401" t="str">
        <f>IFERROR(IF($C114&lt;1,"",AW$3*일별반별!AZ114),0)</f>
        <v/>
      </c>
      <c r="AX114" s="401" t="str">
        <f>IFERROR(IF($C114&lt;1,"",AX$3*일별반별!BA114),0)</f>
        <v/>
      </c>
      <c r="AY114" s="401" t="str">
        <f>IFERROR(IF($C114&lt;1,"",AY$3*일별반별!BB114),0)</f>
        <v/>
      </c>
      <c r="AZ114" s="401" t="str">
        <f>IFERROR(IF($C114&lt;1,"",AZ$3*일별반별!BC114),0)</f>
        <v/>
      </c>
      <c r="BA114" s="401" t="str">
        <f>IFERROR(IF($C114&lt;1,"",BA$3*일별반별!BD114),0)</f>
        <v/>
      </c>
      <c r="BB114" s="402" t="str">
        <f>IFERROR(IF($C114&lt;1,"",BB$3*일별반별!BE114),0)</f>
        <v/>
      </c>
      <c r="BC114" s="402" t="str">
        <f>IFERROR(IF($C114&lt;1,"",BC$3*일별반별!BF114),0)</f>
        <v/>
      </c>
      <c r="BD114" s="402" t="str">
        <f>IFERROR(IF($C114&lt;1,"",BD$3*일별반별!BG114),0)</f>
        <v/>
      </c>
      <c r="BE114" s="402" t="str">
        <f>IFERROR(IF($C114&lt;1,"",BE$3*일별반별!BH114),0)</f>
        <v/>
      </c>
      <c r="BF114" s="402" t="str">
        <f>IFERROR(IF($C114&lt;1,"",BF$3*일별반별!BI114),0)</f>
        <v/>
      </c>
      <c r="BG114" s="402" t="str">
        <f>IFERROR(IF($C114&lt;1,"",BG$3*일별반별!BJ114),0)</f>
        <v/>
      </c>
      <c r="BH114" s="402" t="str">
        <f>IFERROR(IF($C114&lt;1,"",BH$3*일별반별!BK114),0)</f>
        <v/>
      </c>
      <c r="BI114" s="402" t="str">
        <f>IFERROR(IF($C114&lt;1,"",BI$3*일별반별!BL114),0)</f>
        <v/>
      </c>
      <c r="BJ114" s="402" t="str">
        <f>IFERROR(IF($C114&lt;1,"",BJ$3*일별반별!BM114),0)</f>
        <v/>
      </c>
      <c r="BK114" s="402" t="str">
        <f>IFERROR(IF($C114&lt;1,"",BK$3*일별반별!BN114),0)</f>
        <v/>
      </c>
      <c r="BL114" s="402" t="str">
        <f>IFERROR(IF($C114&lt;1,"",BL$3*일별반별!BH114),0)</f>
        <v/>
      </c>
      <c r="BM114" s="402" t="str">
        <f>IFERROR(IF($C114&lt;1,"",BM$3*일별반별!BP114),0)</f>
        <v/>
      </c>
      <c r="BN114" s="401" t="str">
        <f>IFERROR(IF($C114&lt;1,"",BN$3*일별반별!BQ114),0)</f>
        <v/>
      </c>
      <c r="BO114" s="401" t="str">
        <f>IFERROR(IF($C114&lt;1,"",BO$3*일별반별!BR114),0)</f>
        <v/>
      </c>
      <c r="BP114" s="401" t="str">
        <f>IFERROR(IF($C114&lt;1,"",BP$3*일별반별!BS114),0)</f>
        <v/>
      </c>
      <c r="BQ114" s="401" t="str">
        <f>IFERROR(IF($C114&lt;1,"",BQ$3*일별반별!BT114),0)</f>
        <v/>
      </c>
      <c r="BR114" s="417" t="str">
        <f>IFERROR(IF($C114&lt;1,"",BR$3*일별반별!BU114),0)</f>
        <v/>
      </c>
      <c r="BS114" s="417" t="str">
        <f>IFERROR(IF($C114&lt;1,"",BS$3*일별반별!BV114),0)</f>
        <v/>
      </c>
      <c r="BT114" s="417" t="str">
        <f>IFERROR(IF($C114&lt;1,"",BT$3*일별반별!BW114),0)</f>
        <v/>
      </c>
      <c r="BU114" s="316" t="str">
        <f>IFERROR(IF($C114&lt;1,"",BU$3*일별반별!BX114),0)</f>
        <v/>
      </c>
      <c r="BV114" s="316" t="str">
        <f>IFERROR(IF($C114&lt;1,"",BV$3*일별반별!BY114),0)</f>
        <v/>
      </c>
      <c r="BW114" s="316" t="str">
        <f>IFERROR(IF($C114&lt;1,"",BW$3*일별반별!BZ114),0)</f>
        <v/>
      </c>
      <c r="BX114" s="316" t="str">
        <f>IFERROR(IF($C114&lt;1,"",BX$3*일별반별!CA114),0)</f>
        <v/>
      </c>
      <c r="BY114" s="316" t="str">
        <f>IFERROR(IF($C114&lt;1,"",BY$3*일별반별!CB114),0)</f>
        <v/>
      </c>
      <c r="BZ114" s="316" t="str">
        <f>IFERROR(IF($C114&lt;1,"",BZ$3*일별반별!CC114),0)</f>
        <v/>
      </c>
      <c r="CA114" s="316" t="str">
        <f>IFERROR(IF($C114&lt;1,"",CA$3*일별반별!CD114),0)</f>
        <v/>
      </c>
      <c r="CB114" s="316" t="str">
        <f>IFERROR(IF($C114&lt;1,"",CB$3*일별반별!CE114),0)</f>
        <v/>
      </c>
      <c r="CC114" s="316" t="str">
        <f>IFERROR(IF($C114&lt;1,"",CC$3*일별반별!CF114),0)</f>
        <v/>
      </c>
      <c r="CD114" s="316" t="str">
        <f>IFERROR(IF($C114&lt;1,"",CD$3*일별반별!CG114),0)</f>
        <v/>
      </c>
      <c r="CE114" s="316" t="str">
        <f>IFERROR(IF($C114&lt;1,"",CE$3*일별반별!CH114),0)</f>
        <v/>
      </c>
      <c r="CF114" s="316" t="str">
        <f>IFERROR(IF($C114&lt;1,"",CF$3*일별반별!CI114),0)</f>
        <v/>
      </c>
      <c r="CG114" s="316" t="str">
        <f>IFERROR(IF($C114&lt;1,"",CG$3*일별반별!CJ114),0)</f>
        <v/>
      </c>
      <c r="CH114" s="316" t="str">
        <f>IFERROR(IF($C114&lt;1,"",CH$3*일별반별!CK114),0)</f>
        <v/>
      </c>
      <c r="CI114" s="316" t="str">
        <f>IFERROR(IF($C114&lt;1,"",CI$3*일별반별!CL114),0)</f>
        <v/>
      </c>
      <c r="CJ114" s="316" t="str">
        <f>IFERROR(IF($C114&lt;1,"",CJ$3*일별반별!CM114),0)</f>
        <v/>
      </c>
      <c r="CK114" s="316" t="str">
        <f>IFERROR(IF($C114&lt;1,"",CK$3*일별반별!CN114),0)</f>
        <v/>
      </c>
      <c r="CL114" s="316" t="str">
        <f>IFERROR(IF($C114&lt;1,"",CL$3*일별반별!CO114),0)</f>
        <v/>
      </c>
      <c r="CM114" s="316" t="str">
        <f>IFERROR(IF($C114&lt;1,"",CM$3*일별반별!CP114),0)</f>
        <v/>
      </c>
      <c r="CN114" s="316" t="str">
        <f>IFERROR(IF($C114&lt;1,"",CN$3*일별반별!CQ114),0)</f>
        <v/>
      </c>
      <c r="CO114" s="316" t="str">
        <f>IFERROR(IF($C114&lt;1,"",CO$3*일별반별!CR114),0)</f>
        <v/>
      </c>
      <c r="CP114" s="316" t="str">
        <f>IFERROR(IF($C114&lt;1,"",CP$3*일별반별!CS114),0)</f>
        <v/>
      </c>
      <c r="CQ114" s="316" t="str">
        <f>IFERROR(IF($C114&lt;1,"",CQ$3*일별반별!CT114),0)</f>
        <v/>
      </c>
      <c r="CR114" s="418" t="str">
        <f>IFERROR(IF($C114&lt;1,"",CR$3*일별반별!CU114),0)</f>
        <v/>
      </c>
      <c r="CS114" s="418" t="str">
        <f>IFERROR(IF($C114&lt;1,"",CS$3*일별반별!CV114),0)</f>
        <v/>
      </c>
      <c r="CT114" s="316" t="str">
        <f>IFERROR(IF($C114&lt;1,"",CT$3*일별반별!CW114),0)</f>
        <v/>
      </c>
      <c r="CU114" s="316" t="str">
        <f>IFERROR(IF($C114&lt;1,"",CU$3*일별반별!CX114),0)</f>
        <v/>
      </c>
      <c r="CV114" s="316" t="str">
        <f>IFERROR(IF($C114&lt;1,"",CV$3*일별반별!CY114),0)</f>
        <v/>
      </c>
      <c r="CW114" s="316" t="str">
        <f>IFERROR(IF($C114&lt;1,"",CW$3*일별반별!CZ114),0)</f>
        <v/>
      </c>
      <c r="CX114" s="316" t="str">
        <f>IFERROR(IF($C114&lt;1,"",CX$3*일별반별!DA114),0)</f>
        <v/>
      </c>
      <c r="CY114" s="316" t="str">
        <f>IF(C114&lt;1,"",(CY$3*'09월 조업일지'!AV$7))</f>
        <v/>
      </c>
      <c r="CZ114" s="316" t="str">
        <f t="shared" si="7"/>
        <v/>
      </c>
      <c r="DA114" s="316" t="str">
        <f t="shared" si="7"/>
        <v/>
      </c>
      <c r="DB114" s="316" t="str">
        <f t="shared" si="7"/>
        <v/>
      </c>
      <c r="DC114" s="316"/>
      <c r="DD114" s="419"/>
    </row>
    <row r="115" spans="1:108" ht="15" customHeight="1">
      <c r="A115" s="274">
        <f t="shared" si="6"/>
        <v>44034</v>
      </c>
      <c r="B115" s="275" t="s">
        <v>94</v>
      </c>
      <c r="C115" s="201">
        <f>COUNTIFS('09월 조업일지'!$A$12:$A$952,A111,'09월 조업일지'!$E$12:$E$952,B115)</f>
        <v>0</v>
      </c>
      <c r="D115" s="314">
        <f>IF(C115&lt;1,0,(SUM(E115:CX115)/(일별반별!BV115-1.5)+(CY115+CZ115+DA115+DB115)))</f>
        <v>0</v>
      </c>
      <c r="E115" s="278"/>
      <c r="F115" s="281"/>
      <c r="G115" s="282"/>
      <c r="H115" s="283"/>
      <c r="I115" s="283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326"/>
      <c r="U115" s="395" t="str">
        <f>IFERROR(IF($C115&lt;1,"",U$3*일별반별!X115),0)</f>
        <v/>
      </c>
      <c r="V115" s="395" t="str">
        <f>IFERROR(IF($C115&lt;1,"",V$3*일별반별!Y115),0)</f>
        <v/>
      </c>
      <c r="W115" s="395" t="str">
        <f>IFERROR(IF($C115&lt;1,"",W$3*일별반별!Z115),0)</f>
        <v/>
      </c>
      <c r="X115" s="208" t="str">
        <f>IFERROR(IF($C115&lt;1,"",X$3*일별반별!AA115),0)</f>
        <v/>
      </c>
      <c r="Y115" s="208" t="str">
        <f>IFERROR(IF($C115&lt;1,"",Y$3*일별반별!AB115),0)</f>
        <v/>
      </c>
      <c r="Z115" s="208" t="str">
        <f>IFERROR(IF($C115&lt;1,"",Z$3*일별반별!AC115),0)</f>
        <v/>
      </c>
      <c r="AA115" s="395" t="str">
        <f>IFERROR(IF($C115&lt;1,"",AA$3*일별반별!AD115),0)</f>
        <v/>
      </c>
      <c r="AB115" s="395" t="str">
        <f>IFERROR(IF($C115&lt;1,"",AB$3*일별반별!AE115),0)</f>
        <v/>
      </c>
      <c r="AC115" s="208" t="str">
        <f>IFERROR(IF($C115&lt;1,"",AC$3*일별반별!AF115),0)</f>
        <v/>
      </c>
      <c r="AD115" s="208" t="str">
        <f>IFERROR(IF($C115&lt;1,"",AD$3*일별반별!AG115),0)</f>
        <v/>
      </c>
      <c r="AE115" s="208" t="str">
        <f>IFERROR(IF($C115&lt;1,"",AE$3*일별반별!AH115),0)</f>
        <v/>
      </c>
      <c r="AF115" s="395" t="str">
        <f>IFERROR(IF($C115&lt;1,"",AF$3*일별반별!AI115),0)</f>
        <v/>
      </c>
      <c r="AG115" s="395" t="str">
        <f>IFERROR(IF($C115&lt;1,"",AG$3*일별반별!AJ115),0)</f>
        <v/>
      </c>
      <c r="AH115" s="395" t="str">
        <f>IFERROR(IF($C115&lt;1,"",AH$3*일별반별!AK115),0)</f>
        <v/>
      </c>
      <c r="AI115" s="395" t="str">
        <f>IFERROR(IF($C115&lt;1,"",AI$3*일별반별!AL115),0)</f>
        <v/>
      </c>
      <c r="AJ115" s="395" t="str">
        <f>IFERROR(IF($C115&lt;1,"",AJ$3*일별반별!AM115),0)</f>
        <v/>
      </c>
      <c r="AK115" s="395" t="str">
        <f>IFERROR(IF($C115&lt;1,"",AK$3*일별반별!AN115),0)</f>
        <v/>
      </c>
      <c r="AL115" s="395" t="str">
        <f>IFERROR(IF($C115&lt;1,"",AL$3*일별반별!AO115),0)</f>
        <v/>
      </c>
      <c r="AM115" s="395" t="str">
        <f>IFERROR(IF($C115&lt;1,"",AM$3*일별반별!AP115),0)</f>
        <v/>
      </c>
      <c r="AN115" s="395" t="str">
        <f>IFERROR(IF($C115&lt;1,"",AN$3*일별반별!AQ115),0)</f>
        <v/>
      </c>
      <c r="AO115" s="395" t="str">
        <f>IFERROR(IF($C115&lt;1,"",AO$3*일별반별!AR115),0)</f>
        <v/>
      </c>
      <c r="AP115" s="347" t="str">
        <f>IFERROR(IF($C115&lt;1,"",AP$3*일별반별!AS115),0)</f>
        <v/>
      </c>
      <c r="AQ115" s="347" t="str">
        <f>IFERROR(IF($C115&lt;1,"",AQ$3*일별반별!AT115),0)</f>
        <v/>
      </c>
      <c r="AR115" s="316" t="str">
        <f>IFERROR(IF($C115&lt;1,"",AR$3*일별반별!AU115),0)</f>
        <v/>
      </c>
      <c r="AS115" s="401" t="str">
        <f>IFERROR(IF($C115&lt;1,"",AS$3*일별반별!AV115),0)</f>
        <v/>
      </c>
      <c r="AT115" s="401" t="str">
        <f>IFERROR(IF($C115&lt;1,"",AT$3*일별반별!AW115),0)</f>
        <v/>
      </c>
      <c r="AU115" s="401" t="str">
        <f>IFERROR(IF($C115&lt;1,"",AU$3*일별반별!AX115),0)</f>
        <v/>
      </c>
      <c r="AV115" s="401" t="str">
        <f>IFERROR(IF($C115&lt;1,"",AV$3*일별반별!AY115),0)</f>
        <v/>
      </c>
      <c r="AW115" s="401" t="str">
        <f>IFERROR(IF($C115&lt;1,"",AW$3*일별반별!AZ115),0)</f>
        <v/>
      </c>
      <c r="AX115" s="401" t="str">
        <f>IFERROR(IF($C115&lt;1,"",AX$3*일별반별!BA115),0)</f>
        <v/>
      </c>
      <c r="AY115" s="401" t="str">
        <f>IFERROR(IF($C115&lt;1,"",AY$3*일별반별!BB115),0)</f>
        <v/>
      </c>
      <c r="AZ115" s="401" t="str">
        <f>IFERROR(IF($C115&lt;1,"",AZ$3*일별반별!BC115),0)</f>
        <v/>
      </c>
      <c r="BA115" s="401" t="str">
        <f>IFERROR(IF($C115&lt;1,"",BA$3*일별반별!BD115),0)</f>
        <v/>
      </c>
      <c r="BB115" s="402" t="str">
        <f>IFERROR(IF($C115&lt;1,"",BB$3*일별반별!BE115),0)</f>
        <v/>
      </c>
      <c r="BC115" s="402" t="str">
        <f>IFERROR(IF($C115&lt;1,"",BC$3*일별반별!BF115),0)</f>
        <v/>
      </c>
      <c r="BD115" s="402" t="str">
        <f>IFERROR(IF($C115&lt;1,"",BD$3*일별반별!BG115),0)</f>
        <v/>
      </c>
      <c r="BE115" s="402" t="str">
        <f>IFERROR(IF($C115&lt;1,"",BE$3*일별반별!BH115),0)</f>
        <v/>
      </c>
      <c r="BF115" s="402" t="str">
        <f>IFERROR(IF($C115&lt;1,"",BF$3*일별반별!BI115),0)</f>
        <v/>
      </c>
      <c r="BG115" s="402" t="str">
        <f>IFERROR(IF($C115&lt;1,"",BG$3*일별반별!BJ115),0)</f>
        <v/>
      </c>
      <c r="BH115" s="402" t="str">
        <f>IFERROR(IF($C115&lt;1,"",BH$3*일별반별!BK115),0)</f>
        <v/>
      </c>
      <c r="BI115" s="402" t="str">
        <f>IFERROR(IF($C115&lt;1,"",BI$3*일별반별!BL115),0)</f>
        <v/>
      </c>
      <c r="BJ115" s="402" t="str">
        <f>IFERROR(IF($C115&lt;1,"",BJ$3*일별반별!BM115),0)</f>
        <v/>
      </c>
      <c r="BK115" s="402" t="str">
        <f>IFERROR(IF($C115&lt;1,"",BK$3*일별반별!BN115),0)</f>
        <v/>
      </c>
      <c r="BL115" s="402" t="str">
        <f>IFERROR(IF($C115&lt;1,"",BL$3*일별반별!BH115),0)</f>
        <v/>
      </c>
      <c r="BM115" s="402" t="str">
        <f>IFERROR(IF($C115&lt;1,"",BM$3*일별반별!BP115),0)</f>
        <v/>
      </c>
      <c r="BN115" s="401" t="str">
        <f>IFERROR(IF($C115&lt;1,"",BN$3*일별반별!BQ115),0)</f>
        <v/>
      </c>
      <c r="BO115" s="401" t="str">
        <f>IFERROR(IF($C115&lt;1,"",BO$3*일별반별!BR115),0)</f>
        <v/>
      </c>
      <c r="BP115" s="401" t="str">
        <f>IFERROR(IF($C115&lt;1,"",BP$3*일별반별!BS115),0)</f>
        <v/>
      </c>
      <c r="BQ115" s="401" t="str">
        <f>IFERROR(IF($C115&lt;1,"",BQ$3*일별반별!BT115),0)</f>
        <v/>
      </c>
      <c r="BR115" s="417" t="str">
        <f>IFERROR(IF($C115&lt;1,"",BR$3*일별반별!BU115),0)</f>
        <v/>
      </c>
      <c r="BS115" s="417" t="str">
        <f>IFERROR(IF($C115&lt;1,"",BS$3*일별반별!BV115),0)</f>
        <v/>
      </c>
      <c r="BT115" s="417" t="str">
        <f>IFERROR(IF($C115&lt;1,"",BT$3*일별반별!BW115),0)</f>
        <v/>
      </c>
      <c r="BU115" s="316" t="str">
        <f>IFERROR(IF($C115&lt;1,"",BU$3*일별반별!BX115),0)</f>
        <v/>
      </c>
      <c r="BV115" s="316" t="str">
        <f>IFERROR(IF($C115&lt;1,"",BV$3*일별반별!BY115),0)</f>
        <v/>
      </c>
      <c r="BW115" s="316" t="str">
        <f>IFERROR(IF($C115&lt;1,"",BW$3*일별반별!BZ115),0)</f>
        <v/>
      </c>
      <c r="BX115" s="316" t="str">
        <f>IFERROR(IF($C115&lt;1,"",BX$3*일별반별!CA115),0)</f>
        <v/>
      </c>
      <c r="BY115" s="316" t="str">
        <f>IFERROR(IF($C115&lt;1,"",BY$3*일별반별!CB115),0)</f>
        <v/>
      </c>
      <c r="BZ115" s="316" t="str">
        <f>IFERROR(IF($C115&lt;1,"",BZ$3*일별반별!CC115),0)</f>
        <v/>
      </c>
      <c r="CA115" s="316" t="str">
        <f>IFERROR(IF($C115&lt;1,"",CA$3*일별반별!CD115),0)</f>
        <v/>
      </c>
      <c r="CB115" s="316" t="str">
        <f>IFERROR(IF($C115&lt;1,"",CB$3*일별반별!CE115),0)</f>
        <v/>
      </c>
      <c r="CC115" s="316" t="str">
        <f>IFERROR(IF($C115&lt;1,"",CC$3*일별반별!CF115),0)</f>
        <v/>
      </c>
      <c r="CD115" s="316" t="str">
        <f>IFERROR(IF($C115&lt;1,"",CD$3*일별반별!CG115),0)</f>
        <v/>
      </c>
      <c r="CE115" s="316" t="str">
        <f>IFERROR(IF($C115&lt;1,"",CE$3*일별반별!CH115),0)</f>
        <v/>
      </c>
      <c r="CF115" s="316" t="str">
        <f>IFERROR(IF($C115&lt;1,"",CF$3*일별반별!CI115),0)</f>
        <v/>
      </c>
      <c r="CG115" s="316" t="str">
        <f>IFERROR(IF($C115&lt;1,"",CG$3*일별반별!CJ115),0)</f>
        <v/>
      </c>
      <c r="CH115" s="316" t="str">
        <f>IFERROR(IF($C115&lt;1,"",CH$3*일별반별!CK115),0)</f>
        <v/>
      </c>
      <c r="CI115" s="316" t="str">
        <f>IFERROR(IF($C115&lt;1,"",CI$3*일별반별!CL115),0)</f>
        <v/>
      </c>
      <c r="CJ115" s="316" t="str">
        <f>IFERROR(IF($C115&lt;1,"",CJ$3*일별반별!CM115),0)</f>
        <v/>
      </c>
      <c r="CK115" s="316" t="str">
        <f>IFERROR(IF($C115&lt;1,"",CK$3*일별반별!CN115),0)</f>
        <v/>
      </c>
      <c r="CL115" s="316" t="str">
        <f>IFERROR(IF($C115&lt;1,"",CL$3*일별반별!CO115),0)</f>
        <v/>
      </c>
      <c r="CM115" s="316" t="str">
        <f>IFERROR(IF($C115&lt;1,"",CM$3*일별반별!CP115),0)</f>
        <v/>
      </c>
      <c r="CN115" s="316" t="str">
        <f>IFERROR(IF($C115&lt;1,"",CN$3*일별반별!CQ115),0)</f>
        <v/>
      </c>
      <c r="CO115" s="316" t="str">
        <f>IFERROR(IF($C115&lt;1,"",CO$3*일별반별!CR115),0)</f>
        <v/>
      </c>
      <c r="CP115" s="316" t="str">
        <f>IFERROR(IF($C115&lt;1,"",CP$3*일별반별!CS115),0)</f>
        <v/>
      </c>
      <c r="CQ115" s="316" t="str">
        <f>IFERROR(IF($C115&lt;1,"",CQ$3*일별반별!CT115),0)</f>
        <v/>
      </c>
      <c r="CR115" s="418" t="str">
        <f>IFERROR(IF($C115&lt;1,"",CR$3*일별반별!CU115),0)</f>
        <v/>
      </c>
      <c r="CS115" s="418" t="str">
        <f>IFERROR(IF($C115&lt;1,"",CS$3*일별반별!CV115),0)</f>
        <v/>
      </c>
      <c r="CT115" s="316" t="str">
        <f>IFERROR(IF($C115&lt;1,"",CT$3*일별반별!CW115),0)</f>
        <v/>
      </c>
      <c r="CU115" s="316" t="str">
        <f>IFERROR(IF($C115&lt;1,"",CU$3*일별반별!CX115),0)</f>
        <v/>
      </c>
      <c r="CV115" s="316" t="str">
        <f>IFERROR(IF($C115&lt;1,"",CV$3*일별반별!CY115),0)</f>
        <v/>
      </c>
      <c r="CW115" s="316" t="str">
        <f>IFERROR(IF($C115&lt;1,"",CW$3*일별반별!CZ115),0)</f>
        <v/>
      </c>
      <c r="CX115" s="316" t="str">
        <f>IFERROR(IF($C115&lt;1,"",CX$3*일별반별!DA115),0)</f>
        <v/>
      </c>
      <c r="CY115" s="316" t="str">
        <f>IF(C115&lt;1,"",(CY$3*'09월 조업일지'!AV$7))</f>
        <v/>
      </c>
      <c r="CZ115" s="316" t="str">
        <f t="shared" si="7"/>
        <v/>
      </c>
      <c r="DA115" s="316" t="str">
        <f t="shared" si="7"/>
        <v/>
      </c>
      <c r="DB115" s="316" t="str">
        <f t="shared" si="7"/>
        <v/>
      </c>
      <c r="DC115" s="316"/>
      <c r="DD115" s="419"/>
    </row>
    <row r="116" spans="1:108" ht="15" customHeight="1">
      <c r="A116" s="327">
        <f>A111+1</f>
        <v>44035</v>
      </c>
      <c r="B116" s="328" t="s">
        <v>31</v>
      </c>
      <c r="C116" s="329">
        <f>COUNTIF('09월 조업일지'!$A$12:$A$952,A116)</f>
        <v>0</v>
      </c>
      <c r="D116" s="330">
        <f>IF(C116&lt;1,0,(SUM(E116:CX116)/(일별반별!BV116-1.5)+(CY116+CZ116+DA116+DB116)))</f>
        <v>0</v>
      </c>
      <c r="E116" s="331"/>
      <c r="F116" s="331"/>
      <c r="G116" s="332"/>
      <c r="H116" s="333"/>
      <c r="I116" s="333"/>
      <c r="J116" s="334"/>
      <c r="K116" s="334"/>
      <c r="L116" s="334"/>
      <c r="M116" s="334"/>
      <c r="N116" s="334"/>
      <c r="O116" s="334"/>
      <c r="P116" s="334"/>
      <c r="Q116" s="335"/>
      <c r="R116" s="334"/>
      <c r="S116" s="335"/>
      <c r="T116" s="334"/>
      <c r="U116" s="337" t="str">
        <f>IFERROR(IF($C116&lt;1,"",U$3*일별반별!X116),0)</f>
        <v/>
      </c>
      <c r="V116" s="337" t="str">
        <f>IFERROR(IF($C116&lt;1,"",V$3*일별반별!Y116),0)</f>
        <v/>
      </c>
      <c r="W116" s="337" t="str">
        <f>IFERROR(IF($C116&lt;1,"",W$3*일별반별!Z116),0)</f>
        <v/>
      </c>
      <c r="X116" s="336" t="str">
        <f>IFERROR(IF($C116&lt;1,"",X$3*일별반별!AA116),0)</f>
        <v/>
      </c>
      <c r="Y116" s="336" t="str">
        <f>IFERROR(IF($C116&lt;1,"",Y$3*일별반별!AB116),0)</f>
        <v/>
      </c>
      <c r="Z116" s="336" t="str">
        <f>IFERROR(IF($C116&lt;1,"",Z$3*일별반별!AC116),0)</f>
        <v/>
      </c>
      <c r="AA116" s="337" t="str">
        <f>IFERROR(IF($C116&lt;1,"",AA$3*일별반별!AD116),0)</f>
        <v/>
      </c>
      <c r="AB116" s="337" t="str">
        <f>IFERROR(IF($C116&lt;1,"",AB$3*일별반별!AE116),0)</f>
        <v/>
      </c>
      <c r="AC116" s="336" t="str">
        <f>IFERROR(IF($C116&lt;1,"",AC$3*일별반별!AF116),0)</f>
        <v/>
      </c>
      <c r="AD116" s="336" t="str">
        <f>IFERROR(IF($C116&lt;1,"",AD$3*일별반별!AG116),0)</f>
        <v/>
      </c>
      <c r="AE116" s="336" t="str">
        <f>IFERROR(IF($C116&lt;1,"",AE$3*일별반별!AH116),0)</f>
        <v/>
      </c>
      <c r="AF116" s="337" t="str">
        <f>IFERROR(IF($C116&lt;1,"",AF$3*일별반별!AI116),0)</f>
        <v/>
      </c>
      <c r="AG116" s="337" t="str">
        <f>IFERROR(IF($C116&lt;1,"",AG$3*일별반별!AJ116),0)</f>
        <v/>
      </c>
      <c r="AH116" s="337" t="str">
        <f>IFERROR(IF($C116&lt;1,"",AH$3*일별반별!AK116),0)</f>
        <v/>
      </c>
      <c r="AI116" s="337" t="str">
        <f>IFERROR(IF($C116&lt;1,"",AI$3*일별반별!AL116),0)</f>
        <v/>
      </c>
      <c r="AJ116" s="337" t="str">
        <f>IFERROR(IF($C116&lt;1,"",AJ$3*일별반별!AM116),0)</f>
        <v/>
      </c>
      <c r="AK116" s="337" t="str">
        <f>IFERROR(IF($C116&lt;1,"",AK$3*일별반별!AN116),0)</f>
        <v/>
      </c>
      <c r="AL116" s="337" t="str">
        <f>IFERROR(IF($C116&lt;1,"",AL$3*일별반별!AO116),0)</f>
        <v/>
      </c>
      <c r="AM116" s="337" t="str">
        <f>IFERROR(IF($C116&lt;1,"",AM$3*일별반별!AP116),0)</f>
        <v/>
      </c>
      <c r="AN116" s="337" t="str">
        <f>IFERROR(IF($C116&lt;1,"",AN$3*일별반별!AQ116),0)</f>
        <v/>
      </c>
      <c r="AO116" s="337" t="str">
        <f>IFERROR(IF($C116&lt;1,"",AO$3*일별반별!AR116),0)</f>
        <v/>
      </c>
      <c r="AP116" s="337" t="str">
        <f>IFERROR(IF($C116&lt;1,"",AP$3*일별반별!AS116),0)</f>
        <v/>
      </c>
      <c r="AQ116" s="337" t="str">
        <f>IFERROR(IF($C116&lt;1,"",AQ$3*일별반별!AT116),0)</f>
        <v/>
      </c>
      <c r="AR116" s="337" t="str">
        <f>IFERROR(IF($C116&lt;1,"",AR$3*일별반별!AU116),0)</f>
        <v/>
      </c>
      <c r="AS116" s="403" t="str">
        <f>IFERROR(IF($C116&lt;1,"",AS$3*일별반별!AV116),0)</f>
        <v/>
      </c>
      <c r="AT116" s="403" t="str">
        <f>IFERROR(IF($C116&lt;1,"",AT$3*일별반별!AW116),0)</f>
        <v/>
      </c>
      <c r="AU116" s="403" t="str">
        <f>IFERROR(IF($C116&lt;1,"",AU$3*일별반별!AX116),0)</f>
        <v/>
      </c>
      <c r="AV116" s="403" t="str">
        <f>IFERROR(IF($C116&lt;1,"",AV$3*일별반별!AY116),0)</f>
        <v/>
      </c>
      <c r="AW116" s="403" t="str">
        <f>IFERROR(IF($C116&lt;1,"",AW$3*일별반별!AZ116),0)</f>
        <v/>
      </c>
      <c r="AX116" s="403" t="str">
        <f>IFERROR(IF($C116&lt;1,"",AX$3*일별반별!BA116),0)</f>
        <v/>
      </c>
      <c r="AY116" s="403" t="str">
        <f>IFERROR(IF($C116&lt;1,"",AY$3*일별반별!BB116),0)</f>
        <v/>
      </c>
      <c r="AZ116" s="403" t="str">
        <f>IFERROR(IF($C116&lt;1,"",AZ$3*일별반별!BC116),0)</f>
        <v/>
      </c>
      <c r="BA116" s="403" t="str">
        <f>IFERROR(IF($C116&lt;1,"",BA$3*일별반별!BD116),0)</f>
        <v/>
      </c>
      <c r="BB116" s="403" t="str">
        <f>IFERROR(IF($C116&lt;1,"",BB$3*일별반별!BE116),0)</f>
        <v/>
      </c>
      <c r="BC116" s="403" t="str">
        <f>IFERROR(IF($C116&lt;1,"",BC$3*일별반별!BF116),0)</f>
        <v/>
      </c>
      <c r="BD116" s="403" t="str">
        <f>IFERROR(IF($C116&lt;1,"",BD$3*일별반별!BG116),0)</f>
        <v/>
      </c>
      <c r="BE116" s="403" t="str">
        <f>IFERROR(IF($C116&lt;1,"",BE$3*일별반별!BH116),0)</f>
        <v/>
      </c>
      <c r="BF116" s="403" t="str">
        <f>IFERROR(IF($C116&lt;1,"",BF$3*일별반별!BI116),0)</f>
        <v/>
      </c>
      <c r="BG116" s="403" t="str">
        <f>IFERROR(IF($C116&lt;1,"",BG$3*일별반별!BJ116),0)</f>
        <v/>
      </c>
      <c r="BH116" s="403" t="str">
        <f>IFERROR(IF($C116&lt;1,"",BH$3*일별반별!BK116),0)</f>
        <v/>
      </c>
      <c r="BI116" s="403" t="str">
        <f>IFERROR(IF($C116&lt;1,"",BI$3*일별반별!BL116),0)</f>
        <v/>
      </c>
      <c r="BJ116" s="403" t="str">
        <f>IFERROR(IF($C116&lt;1,"",BJ$3*일별반별!BM116),0)</f>
        <v/>
      </c>
      <c r="BK116" s="403" t="str">
        <f>IFERROR(IF($C116&lt;1,"",BK$3*일별반별!BN116),0)</f>
        <v/>
      </c>
      <c r="BL116" s="403" t="str">
        <f>IFERROR(IF($C116&lt;1,"",BL$3*일별반별!BH116),0)</f>
        <v/>
      </c>
      <c r="BM116" s="403" t="str">
        <f>IFERROR(IF($C116&lt;1,"",BM$3*일별반별!BP116),0)</f>
        <v/>
      </c>
      <c r="BN116" s="403" t="str">
        <f>IFERROR(IF($C116&lt;1,"",BN$3*일별반별!BQ116),0)</f>
        <v/>
      </c>
      <c r="BO116" s="403" t="str">
        <f>IFERROR(IF($C116&lt;1,"",BO$3*일별반별!BR116),0)</f>
        <v/>
      </c>
      <c r="BP116" s="403" t="str">
        <f>IFERROR(IF($C116&lt;1,"",BP$3*일별반별!BS116),0)</f>
        <v/>
      </c>
      <c r="BQ116" s="403" t="str">
        <f>IFERROR(IF($C116&lt;1,"",BQ$3*일별반별!BT116),0)</f>
        <v/>
      </c>
      <c r="BR116" s="337" t="str">
        <f>IFERROR(IF($C116&lt;1,"",BR$3*일별반별!BU116),0)</f>
        <v/>
      </c>
      <c r="BS116" s="337" t="str">
        <f>IFERROR(IF($C116&lt;1,"",BS$3*일별반별!BV116),0)</f>
        <v/>
      </c>
      <c r="BT116" s="337" t="str">
        <f>IFERROR(IF($C116&lt;1,"",BT$3*일별반별!BW116),0)</f>
        <v/>
      </c>
      <c r="BU116" s="337" t="str">
        <f>IFERROR(IF($C116&lt;1,"",BU$3*일별반별!BX116),0)</f>
        <v/>
      </c>
      <c r="BV116" s="337" t="str">
        <f>IFERROR(IF($C116&lt;1,"",BV$3*일별반별!BY116),0)</f>
        <v/>
      </c>
      <c r="BW116" s="337" t="str">
        <f>IFERROR(IF($C116&lt;1,"",BW$3*일별반별!BZ116),0)</f>
        <v/>
      </c>
      <c r="BX116" s="337" t="str">
        <f>IFERROR(IF($C116&lt;1,"",BX$3*일별반별!CA116),0)</f>
        <v/>
      </c>
      <c r="BY116" s="337" t="str">
        <f>IFERROR(IF($C116&lt;1,"",BY$3*일별반별!CB116),0)</f>
        <v/>
      </c>
      <c r="BZ116" s="337" t="str">
        <f>IFERROR(IF($C116&lt;1,"",BZ$3*일별반별!CC116),0)</f>
        <v/>
      </c>
      <c r="CA116" s="337" t="str">
        <f>IFERROR(IF($C116&lt;1,"",CA$3*일별반별!CD116),0)</f>
        <v/>
      </c>
      <c r="CB116" s="337" t="str">
        <f>IFERROR(IF($C116&lt;1,"",CB$3*일별반별!CE116),0)</f>
        <v/>
      </c>
      <c r="CC116" s="337" t="str">
        <f>IFERROR(IF($C116&lt;1,"",CC$3*일별반별!CF116),0)</f>
        <v/>
      </c>
      <c r="CD116" s="337" t="str">
        <f>IFERROR(IF($C116&lt;1,"",CD$3*일별반별!CG116),0)</f>
        <v/>
      </c>
      <c r="CE116" s="337" t="str">
        <f>IFERROR(IF($C116&lt;1,"",CE$3*일별반별!CH116),0)</f>
        <v/>
      </c>
      <c r="CF116" s="337" t="str">
        <f>IFERROR(IF($C116&lt;1,"",CF$3*일별반별!CI116),0)</f>
        <v/>
      </c>
      <c r="CG116" s="337" t="str">
        <f>IFERROR(IF($C116&lt;1,"",CG$3*일별반별!CJ116),0)</f>
        <v/>
      </c>
      <c r="CH116" s="337" t="str">
        <f>IFERROR(IF($C116&lt;1,"",CH$3*일별반별!CK116),0)</f>
        <v/>
      </c>
      <c r="CI116" s="337" t="str">
        <f>IFERROR(IF($C116&lt;1,"",CI$3*일별반별!CL116),0)</f>
        <v/>
      </c>
      <c r="CJ116" s="337" t="str">
        <f>IFERROR(IF($C116&lt;1,"",CJ$3*일별반별!CM116),0)</f>
        <v/>
      </c>
      <c r="CK116" s="337" t="str">
        <f>IFERROR(IF($C116&lt;1,"",CK$3*일별반별!CN116),0)</f>
        <v/>
      </c>
      <c r="CL116" s="337" t="str">
        <f>IFERROR(IF($C116&lt;1,"",CL$3*일별반별!CO116),0)</f>
        <v/>
      </c>
      <c r="CM116" s="337" t="str">
        <f>IFERROR(IF($C116&lt;1,"",CM$3*일별반별!CP116),0)</f>
        <v/>
      </c>
      <c r="CN116" s="337" t="str">
        <f>IFERROR(IF($C116&lt;1,"",CN$3*일별반별!CQ116),0)</f>
        <v/>
      </c>
      <c r="CO116" s="337" t="str">
        <f>IFERROR(IF($C116&lt;1,"",CO$3*일별반별!CR116),0)</f>
        <v/>
      </c>
      <c r="CP116" s="337" t="str">
        <f>IFERROR(IF($C116&lt;1,"",CP$3*일별반별!CS116),0)</f>
        <v/>
      </c>
      <c r="CQ116" s="337" t="str">
        <f>IFERROR(IF($C116&lt;1,"",CQ$3*일별반별!CT116),0)</f>
        <v/>
      </c>
      <c r="CR116" s="420" t="str">
        <f>IFERROR(IF($C116&lt;1,"",CR$3*일별반별!CU116),0)</f>
        <v/>
      </c>
      <c r="CS116" s="420" t="str">
        <f>IFERROR(IF($C116&lt;1,"",CS$3*일별반별!CV116),0)</f>
        <v/>
      </c>
      <c r="CT116" s="337" t="str">
        <f>IFERROR(IF($C116&lt;1,"",CT$3*일별반별!CW116),0)</f>
        <v/>
      </c>
      <c r="CU116" s="337" t="str">
        <f>IFERROR(IF($C116&lt;1,"",CU$3*일별반별!CX116),0)</f>
        <v/>
      </c>
      <c r="CV116" s="337" t="str">
        <f>IFERROR(IF($C116&lt;1,"",CV$3*일별반별!CY116),0)</f>
        <v/>
      </c>
      <c r="CW116" s="337" t="str">
        <f>IFERROR(IF($C116&lt;1,"",CW$3*일별반별!CZ116),0)</f>
        <v/>
      </c>
      <c r="CX116" s="337" t="str">
        <f>IFERROR(IF($C116&lt;1,"",CX$3*일별반별!DA116),0)</f>
        <v/>
      </c>
      <c r="CY116" s="316" t="str">
        <f>IF(C116&lt;1,"",(CY$3*'09월 조업일지'!AV$7))</f>
        <v/>
      </c>
      <c r="CZ116" s="316" t="str">
        <f t="shared" si="7"/>
        <v/>
      </c>
      <c r="DA116" s="316" t="str">
        <f t="shared" si="7"/>
        <v/>
      </c>
      <c r="DB116" s="316" t="str">
        <f t="shared" si="7"/>
        <v/>
      </c>
      <c r="DC116" s="316"/>
      <c r="DD116" s="419"/>
    </row>
    <row r="117" spans="1:108" ht="15" customHeight="1">
      <c r="A117" s="274">
        <f t="shared" si="6"/>
        <v>44035</v>
      </c>
      <c r="B117" s="275" t="s">
        <v>9</v>
      </c>
      <c r="C117" s="201">
        <f>COUNTIFS('09월 조업일지'!$A$12:$A$952,A116,'09월 조업일지'!$E$12:$E$952,B117)</f>
        <v>0</v>
      </c>
      <c r="D117" s="314">
        <f>IF(C117&lt;1,0,(SUM(E117:CX117)/(일별반별!BV117-1.5)+(CY117+CZ117+DA117+DB117)))</f>
        <v>0</v>
      </c>
      <c r="E117" s="278"/>
      <c r="F117" s="281"/>
      <c r="G117" s="282"/>
      <c r="H117" s="283"/>
      <c r="I117" s="283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326"/>
      <c r="U117" s="395" t="str">
        <f>IFERROR(IF($C117&lt;1,"",U$3*일별반별!X117),0)</f>
        <v/>
      </c>
      <c r="V117" s="395" t="str">
        <f>IFERROR(IF($C117&lt;1,"",V$3*일별반별!Y117),0)</f>
        <v/>
      </c>
      <c r="W117" s="395" t="str">
        <f>IFERROR(IF($C117&lt;1,"",W$3*일별반별!Z117),0)</f>
        <v/>
      </c>
      <c r="X117" s="208" t="str">
        <f>IFERROR(IF($C117&lt;1,"",X$3*일별반별!AA117),0)</f>
        <v/>
      </c>
      <c r="Y117" s="208" t="str">
        <f>IFERROR(IF($C117&lt;1,"",Y$3*일별반별!AB117),0)</f>
        <v/>
      </c>
      <c r="Z117" s="208" t="str">
        <f>IFERROR(IF($C117&lt;1,"",Z$3*일별반별!AC117),0)</f>
        <v/>
      </c>
      <c r="AA117" s="395" t="str">
        <f>IFERROR(IF($C117&lt;1,"",AA$3*일별반별!AD117),0)</f>
        <v/>
      </c>
      <c r="AB117" s="395" t="str">
        <f>IFERROR(IF($C117&lt;1,"",AB$3*일별반별!AE117),0)</f>
        <v/>
      </c>
      <c r="AC117" s="208" t="str">
        <f>IFERROR(IF($C117&lt;1,"",AC$3*일별반별!AF117),0)</f>
        <v/>
      </c>
      <c r="AD117" s="208" t="str">
        <f>IFERROR(IF($C117&lt;1,"",AD$3*일별반별!AG117),0)</f>
        <v/>
      </c>
      <c r="AE117" s="208" t="str">
        <f>IFERROR(IF($C117&lt;1,"",AE$3*일별반별!AH117),0)</f>
        <v/>
      </c>
      <c r="AF117" s="395" t="str">
        <f>IFERROR(IF($C117&lt;1,"",AF$3*일별반별!AI117),0)</f>
        <v/>
      </c>
      <c r="AG117" s="395" t="str">
        <f>IFERROR(IF($C117&lt;1,"",AG$3*일별반별!AJ117),0)</f>
        <v/>
      </c>
      <c r="AH117" s="395" t="str">
        <f>IFERROR(IF($C117&lt;1,"",AH$3*일별반별!AK117),0)</f>
        <v/>
      </c>
      <c r="AI117" s="395" t="str">
        <f>IFERROR(IF($C117&lt;1,"",AI$3*일별반별!AL117),0)</f>
        <v/>
      </c>
      <c r="AJ117" s="395" t="str">
        <f>IFERROR(IF($C117&lt;1,"",AJ$3*일별반별!AM117),0)</f>
        <v/>
      </c>
      <c r="AK117" s="395" t="str">
        <f>IFERROR(IF($C117&lt;1,"",AK$3*일별반별!AN117),0)</f>
        <v/>
      </c>
      <c r="AL117" s="395" t="str">
        <f>IFERROR(IF($C117&lt;1,"",AL$3*일별반별!AO117),0)</f>
        <v/>
      </c>
      <c r="AM117" s="395" t="str">
        <f>IFERROR(IF($C117&lt;1,"",AM$3*일별반별!AP117),0)</f>
        <v/>
      </c>
      <c r="AN117" s="395" t="str">
        <f>IFERROR(IF($C117&lt;1,"",AN$3*일별반별!AQ117),0)</f>
        <v/>
      </c>
      <c r="AO117" s="395" t="str">
        <f>IFERROR(IF($C117&lt;1,"",AO$3*일별반별!AR117),0)</f>
        <v/>
      </c>
      <c r="AP117" s="347" t="str">
        <f>IFERROR(IF($C117&lt;1,"",AP$3*일별반별!AS117),0)</f>
        <v/>
      </c>
      <c r="AQ117" s="347" t="str">
        <f>IFERROR(IF($C117&lt;1,"",AQ$3*일별반별!AT117),0)</f>
        <v/>
      </c>
      <c r="AR117" s="316" t="str">
        <f>IFERROR(IF($C117&lt;1,"",AR$3*일별반별!AU117),0)</f>
        <v/>
      </c>
      <c r="AS117" s="401" t="str">
        <f>IFERROR(IF($C117&lt;1,"",AS$3*일별반별!AV117),0)</f>
        <v/>
      </c>
      <c r="AT117" s="401" t="str">
        <f>IFERROR(IF($C117&lt;1,"",AT$3*일별반별!AW117),0)</f>
        <v/>
      </c>
      <c r="AU117" s="401" t="str">
        <f>IFERROR(IF($C117&lt;1,"",AU$3*일별반별!AX117),0)</f>
        <v/>
      </c>
      <c r="AV117" s="401" t="str">
        <f>IFERROR(IF($C117&lt;1,"",AV$3*일별반별!AY117),0)</f>
        <v/>
      </c>
      <c r="AW117" s="401" t="str">
        <f>IFERROR(IF($C117&lt;1,"",AW$3*일별반별!AZ117),0)</f>
        <v/>
      </c>
      <c r="AX117" s="401" t="str">
        <f>IFERROR(IF($C117&lt;1,"",AX$3*일별반별!BA117),0)</f>
        <v/>
      </c>
      <c r="AY117" s="401" t="str">
        <f>IFERROR(IF($C117&lt;1,"",AY$3*일별반별!BB117),0)</f>
        <v/>
      </c>
      <c r="AZ117" s="401" t="str">
        <f>IFERROR(IF($C117&lt;1,"",AZ$3*일별반별!BC117),0)</f>
        <v/>
      </c>
      <c r="BA117" s="401" t="str">
        <f>IFERROR(IF($C117&lt;1,"",BA$3*일별반별!BD117),0)</f>
        <v/>
      </c>
      <c r="BB117" s="402" t="str">
        <f>IFERROR(IF($C117&lt;1,"",BB$3*일별반별!BE117),0)</f>
        <v/>
      </c>
      <c r="BC117" s="402" t="str">
        <f>IFERROR(IF($C117&lt;1,"",BC$3*일별반별!BF117),0)</f>
        <v/>
      </c>
      <c r="BD117" s="402" t="str">
        <f>IFERROR(IF($C117&lt;1,"",BD$3*일별반별!BG117),0)</f>
        <v/>
      </c>
      <c r="BE117" s="402" t="str">
        <f>IFERROR(IF($C117&lt;1,"",BE$3*일별반별!BH117),0)</f>
        <v/>
      </c>
      <c r="BF117" s="402" t="str">
        <f>IFERROR(IF($C117&lt;1,"",BF$3*일별반별!BI117),0)</f>
        <v/>
      </c>
      <c r="BG117" s="402" t="str">
        <f>IFERROR(IF($C117&lt;1,"",BG$3*일별반별!BJ117),0)</f>
        <v/>
      </c>
      <c r="BH117" s="402" t="str">
        <f>IFERROR(IF($C117&lt;1,"",BH$3*일별반별!BK117),0)</f>
        <v/>
      </c>
      <c r="BI117" s="402" t="str">
        <f>IFERROR(IF($C117&lt;1,"",BI$3*일별반별!BL117),0)</f>
        <v/>
      </c>
      <c r="BJ117" s="402" t="str">
        <f>IFERROR(IF($C117&lt;1,"",BJ$3*일별반별!BM117),0)</f>
        <v/>
      </c>
      <c r="BK117" s="402" t="str">
        <f>IFERROR(IF($C117&lt;1,"",BK$3*일별반별!BN117),0)</f>
        <v/>
      </c>
      <c r="BL117" s="402" t="str">
        <f>IFERROR(IF($C117&lt;1,"",BL$3*일별반별!BH117),0)</f>
        <v/>
      </c>
      <c r="BM117" s="402" t="str">
        <f>IFERROR(IF($C117&lt;1,"",BM$3*일별반별!BP117),0)</f>
        <v/>
      </c>
      <c r="BN117" s="401" t="str">
        <f>IFERROR(IF($C117&lt;1,"",BN$3*일별반별!BQ117),0)</f>
        <v/>
      </c>
      <c r="BO117" s="401" t="str">
        <f>IFERROR(IF($C117&lt;1,"",BO$3*일별반별!BR117),0)</f>
        <v/>
      </c>
      <c r="BP117" s="401" t="str">
        <f>IFERROR(IF($C117&lt;1,"",BP$3*일별반별!BS117),0)</f>
        <v/>
      </c>
      <c r="BQ117" s="401" t="str">
        <f>IFERROR(IF($C117&lt;1,"",BQ$3*일별반별!BT117),0)</f>
        <v/>
      </c>
      <c r="BR117" s="417" t="str">
        <f>IFERROR(IF($C117&lt;1,"",BR$3*일별반별!BU117),0)</f>
        <v/>
      </c>
      <c r="BS117" s="417" t="str">
        <f>IFERROR(IF($C117&lt;1,"",BS$3*일별반별!BV117),0)</f>
        <v/>
      </c>
      <c r="BT117" s="417" t="str">
        <f>IFERROR(IF($C117&lt;1,"",BT$3*일별반별!BW117),0)</f>
        <v/>
      </c>
      <c r="BU117" s="316" t="str">
        <f>IFERROR(IF($C117&lt;1,"",BU$3*일별반별!BX117),0)</f>
        <v/>
      </c>
      <c r="BV117" s="316" t="str">
        <f>IFERROR(IF($C117&lt;1,"",BV$3*일별반별!BY117),0)</f>
        <v/>
      </c>
      <c r="BW117" s="316" t="str">
        <f>IFERROR(IF($C117&lt;1,"",BW$3*일별반별!BZ117),0)</f>
        <v/>
      </c>
      <c r="BX117" s="316" t="str">
        <f>IFERROR(IF($C117&lt;1,"",BX$3*일별반별!CA117),0)</f>
        <v/>
      </c>
      <c r="BY117" s="316" t="str">
        <f>IFERROR(IF($C117&lt;1,"",BY$3*일별반별!CB117),0)</f>
        <v/>
      </c>
      <c r="BZ117" s="316" t="str">
        <f>IFERROR(IF($C117&lt;1,"",BZ$3*일별반별!CC117),0)</f>
        <v/>
      </c>
      <c r="CA117" s="316" t="str">
        <f>IFERROR(IF($C117&lt;1,"",CA$3*일별반별!CD117),0)</f>
        <v/>
      </c>
      <c r="CB117" s="316" t="str">
        <f>IFERROR(IF($C117&lt;1,"",CB$3*일별반별!CE117),0)</f>
        <v/>
      </c>
      <c r="CC117" s="316" t="str">
        <f>IFERROR(IF($C117&lt;1,"",CC$3*일별반별!CF117),0)</f>
        <v/>
      </c>
      <c r="CD117" s="316" t="str">
        <f>IFERROR(IF($C117&lt;1,"",CD$3*일별반별!CG117),0)</f>
        <v/>
      </c>
      <c r="CE117" s="316" t="str">
        <f>IFERROR(IF($C117&lt;1,"",CE$3*일별반별!CH117),0)</f>
        <v/>
      </c>
      <c r="CF117" s="316" t="str">
        <f>IFERROR(IF($C117&lt;1,"",CF$3*일별반별!CI117),0)</f>
        <v/>
      </c>
      <c r="CG117" s="316" t="str">
        <f>IFERROR(IF($C117&lt;1,"",CG$3*일별반별!CJ117),0)</f>
        <v/>
      </c>
      <c r="CH117" s="316" t="str">
        <f>IFERROR(IF($C117&lt;1,"",CH$3*일별반별!CK117),0)</f>
        <v/>
      </c>
      <c r="CI117" s="316" t="str">
        <f>IFERROR(IF($C117&lt;1,"",CI$3*일별반별!CL117),0)</f>
        <v/>
      </c>
      <c r="CJ117" s="316" t="str">
        <f>IFERROR(IF($C117&lt;1,"",CJ$3*일별반별!CM117),0)</f>
        <v/>
      </c>
      <c r="CK117" s="316" t="str">
        <f>IFERROR(IF($C117&lt;1,"",CK$3*일별반별!CN117),0)</f>
        <v/>
      </c>
      <c r="CL117" s="316" t="str">
        <f>IFERROR(IF($C117&lt;1,"",CL$3*일별반별!CO117),0)</f>
        <v/>
      </c>
      <c r="CM117" s="316" t="str">
        <f>IFERROR(IF($C117&lt;1,"",CM$3*일별반별!CP117),0)</f>
        <v/>
      </c>
      <c r="CN117" s="316" t="str">
        <f>IFERROR(IF($C117&lt;1,"",CN$3*일별반별!CQ117),0)</f>
        <v/>
      </c>
      <c r="CO117" s="316" t="str">
        <f>IFERROR(IF($C117&lt;1,"",CO$3*일별반별!CR117),0)</f>
        <v/>
      </c>
      <c r="CP117" s="316" t="str">
        <f>IFERROR(IF($C117&lt;1,"",CP$3*일별반별!CS117),0)</f>
        <v/>
      </c>
      <c r="CQ117" s="316" t="str">
        <f>IFERROR(IF($C117&lt;1,"",CQ$3*일별반별!CT117),0)</f>
        <v/>
      </c>
      <c r="CR117" s="418" t="str">
        <f>IFERROR(IF($C117&lt;1,"",CR$3*일별반별!CU117),0)</f>
        <v/>
      </c>
      <c r="CS117" s="418" t="str">
        <f>IFERROR(IF($C117&lt;1,"",CS$3*일별반별!CV117),0)</f>
        <v/>
      </c>
      <c r="CT117" s="316" t="str">
        <f>IFERROR(IF($C117&lt;1,"",CT$3*일별반별!CW117),0)</f>
        <v/>
      </c>
      <c r="CU117" s="316" t="str">
        <f>IFERROR(IF($C117&lt;1,"",CU$3*일별반별!CX117),0)</f>
        <v/>
      </c>
      <c r="CV117" s="316" t="str">
        <f>IFERROR(IF($C117&lt;1,"",CV$3*일별반별!CY117),0)</f>
        <v/>
      </c>
      <c r="CW117" s="316" t="str">
        <f>IFERROR(IF($C117&lt;1,"",CW$3*일별반별!CZ117),0)</f>
        <v/>
      </c>
      <c r="CX117" s="316" t="str">
        <f>IFERROR(IF($C117&lt;1,"",CX$3*일별반별!DA117),0)</f>
        <v/>
      </c>
      <c r="CY117" s="316" t="str">
        <f>IF(C117&lt;1,"",(CY$3*'09월 조업일지'!AV$7))</f>
        <v/>
      </c>
      <c r="CZ117" s="316" t="str">
        <f t="shared" si="7"/>
        <v/>
      </c>
      <c r="DA117" s="316" t="str">
        <f t="shared" si="7"/>
        <v/>
      </c>
      <c r="DB117" s="316" t="str">
        <f t="shared" si="7"/>
        <v/>
      </c>
      <c r="DC117" s="316"/>
      <c r="DD117" s="419"/>
    </row>
    <row r="118" spans="1:108" ht="15" customHeight="1">
      <c r="A118" s="274">
        <f t="shared" si="6"/>
        <v>44035</v>
      </c>
      <c r="B118" s="275" t="s">
        <v>100</v>
      </c>
      <c r="C118" s="201">
        <f>COUNTIFS('09월 조업일지'!$A$12:$A$952,A116,'09월 조업일지'!$E$12:$E$952,B118)</f>
        <v>0</v>
      </c>
      <c r="D118" s="314">
        <f>IF(C118&lt;1,0,(SUM(E118:CX118)/(일별반별!BV118-1.5)+(CY118+CZ118+DA118+DB118)))</f>
        <v>0</v>
      </c>
      <c r="E118" s="278"/>
      <c r="F118" s="281"/>
      <c r="G118" s="282"/>
      <c r="H118" s="283"/>
      <c r="I118" s="283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326"/>
      <c r="U118" s="395" t="str">
        <f>IFERROR(IF($C118&lt;1,"",U$3*일별반별!X118),0)</f>
        <v/>
      </c>
      <c r="V118" s="395" t="str">
        <f>IFERROR(IF($C118&lt;1,"",V$3*일별반별!Y118),0)</f>
        <v/>
      </c>
      <c r="W118" s="395" t="str">
        <f>IFERROR(IF($C118&lt;1,"",W$3*일별반별!Z118),0)</f>
        <v/>
      </c>
      <c r="X118" s="208" t="str">
        <f>IFERROR(IF($C118&lt;1,"",X$3*일별반별!AA118),0)</f>
        <v/>
      </c>
      <c r="Y118" s="208" t="str">
        <f>IFERROR(IF($C118&lt;1,"",Y$3*일별반별!AB118),0)</f>
        <v/>
      </c>
      <c r="Z118" s="208" t="str">
        <f>IFERROR(IF($C118&lt;1,"",Z$3*일별반별!AC118),0)</f>
        <v/>
      </c>
      <c r="AA118" s="395" t="str">
        <f>IFERROR(IF($C118&lt;1,"",AA$3*일별반별!AD118),0)</f>
        <v/>
      </c>
      <c r="AB118" s="395" t="str">
        <f>IFERROR(IF($C118&lt;1,"",AB$3*일별반별!AE118),0)</f>
        <v/>
      </c>
      <c r="AC118" s="208" t="str">
        <f>IFERROR(IF($C118&lt;1,"",AC$3*일별반별!AF118),0)</f>
        <v/>
      </c>
      <c r="AD118" s="208" t="str">
        <f>IFERROR(IF($C118&lt;1,"",AD$3*일별반별!AG118),0)</f>
        <v/>
      </c>
      <c r="AE118" s="208" t="str">
        <f>IFERROR(IF($C118&lt;1,"",AE$3*일별반별!AH118),0)</f>
        <v/>
      </c>
      <c r="AF118" s="395" t="str">
        <f>IFERROR(IF($C118&lt;1,"",AF$3*일별반별!AI118),0)</f>
        <v/>
      </c>
      <c r="AG118" s="395" t="str">
        <f>IFERROR(IF($C118&lt;1,"",AG$3*일별반별!AJ118),0)</f>
        <v/>
      </c>
      <c r="AH118" s="395" t="str">
        <f>IFERROR(IF($C118&lt;1,"",AH$3*일별반별!AK118),0)</f>
        <v/>
      </c>
      <c r="AI118" s="395" t="str">
        <f>IFERROR(IF($C118&lt;1,"",AI$3*일별반별!AL118),0)</f>
        <v/>
      </c>
      <c r="AJ118" s="395" t="str">
        <f>IFERROR(IF($C118&lt;1,"",AJ$3*일별반별!AM118),0)</f>
        <v/>
      </c>
      <c r="AK118" s="395" t="str">
        <f>IFERROR(IF($C118&lt;1,"",AK$3*일별반별!AN118),0)</f>
        <v/>
      </c>
      <c r="AL118" s="395" t="str">
        <f>IFERROR(IF($C118&lt;1,"",AL$3*일별반별!AO118),0)</f>
        <v/>
      </c>
      <c r="AM118" s="395" t="str">
        <f>IFERROR(IF($C118&lt;1,"",AM$3*일별반별!AP118),0)</f>
        <v/>
      </c>
      <c r="AN118" s="395" t="str">
        <f>IFERROR(IF($C118&lt;1,"",AN$3*일별반별!AQ118),0)</f>
        <v/>
      </c>
      <c r="AO118" s="395" t="str">
        <f>IFERROR(IF($C118&lt;1,"",AO$3*일별반별!AR118),0)</f>
        <v/>
      </c>
      <c r="AP118" s="347" t="str">
        <f>IFERROR(IF($C118&lt;1,"",AP$3*일별반별!AS118),0)</f>
        <v/>
      </c>
      <c r="AQ118" s="347" t="str">
        <f>IFERROR(IF($C118&lt;1,"",AQ$3*일별반별!AT118),0)</f>
        <v/>
      </c>
      <c r="AR118" s="316" t="str">
        <f>IFERROR(IF($C118&lt;1,"",AR$3*일별반별!AU118),0)</f>
        <v/>
      </c>
      <c r="AS118" s="401" t="str">
        <f>IFERROR(IF($C118&lt;1,"",AS$3*일별반별!AV118),0)</f>
        <v/>
      </c>
      <c r="AT118" s="401" t="str">
        <f>IFERROR(IF($C118&lt;1,"",AT$3*일별반별!AW118),0)</f>
        <v/>
      </c>
      <c r="AU118" s="401" t="str">
        <f>IFERROR(IF($C118&lt;1,"",AU$3*일별반별!AX118),0)</f>
        <v/>
      </c>
      <c r="AV118" s="401" t="str">
        <f>IFERROR(IF($C118&lt;1,"",AV$3*일별반별!AY118),0)</f>
        <v/>
      </c>
      <c r="AW118" s="401" t="str">
        <f>IFERROR(IF($C118&lt;1,"",AW$3*일별반별!AZ118),0)</f>
        <v/>
      </c>
      <c r="AX118" s="401" t="str">
        <f>IFERROR(IF($C118&lt;1,"",AX$3*일별반별!BA118),0)</f>
        <v/>
      </c>
      <c r="AY118" s="401" t="str">
        <f>IFERROR(IF($C118&lt;1,"",AY$3*일별반별!BB118),0)</f>
        <v/>
      </c>
      <c r="AZ118" s="401" t="str">
        <f>IFERROR(IF($C118&lt;1,"",AZ$3*일별반별!BC118),0)</f>
        <v/>
      </c>
      <c r="BA118" s="401" t="str">
        <f>IFERROR(IF($C118&lt;1,"",BA$3*일별반별!BD118),0)</f>
        <v/>
      </c>
      <c r="BB118" s="402" t="str">
        <f>IFERROR(IF($C118&lt;1,"",BB$3*일별반별!BE118),0)</f>
        <v/>
      </c>
      <c r="BC118" s="402" t="str">
        <f>IFERROR(IF($C118&lt;1,"",BC$3*일별반별!BF118),0)</f>
        <v/>
      </c>
      <c r="BD118" s="402" t="str">
        <f>IFERROR(IF($C118&lt;1,"",BD$3*일별반별!BG118),0)</f>
        <v/>
      </c>
      <c r="BE118" s="402" t="str">
        <f>IFERROR(IF($C118&lt;1,"",BE$3*일별반별!BH118),0)</f>
        <v/>
      </c>
      <c r="BF118" s="402" t="str">
        <f>IFERROR(IF($C118&lt;1,"",BF$3*일별반별!BI118),0)</f>
        <v/>
      </c>
      <c r="BG118" s="402" t="str">
        <f>IFERROR(IF($C118&lt;1,"",BG$3*일별반별!BJ118),0)</f>
        <v/>
      </c>
      <c r="BH118" s="402" t="str">
        <f>IFERROR(IF($C118&lt;1,"",BH$3*일별반별!BK118),0)</f>
        <v/>
      </c>
      <c r="BI118" s="402" t="str">
        <f>IFERROR(IF($C118&lt;1,"",BI$3*일별반별!BL118),0)</f>
        <v/>
      </c>
      <c r="BJ118" s="402" t="str">
        <f>IFERROR(IF($C118&lt;1,"",BJ$3*일별반별!BM118),0)</f>
        <v/>
      </c>
      <c r="BK118" s="402" t="str">
        <f>IFERROR(IF($C118&lt;1,"",BK$3*일별반별!BN118),0)</f>
        <v/>
      </c>
      <c r="BL118" s="402" t="str">
        <f>IFERROR(IF($C118&lt;1,"",BL$3*일별반별!BH118),0)</f>
        <v/>
      </c>
      <c r="BM118" s="402" t="str">
        <f>IFERROR(IF($C118&lt;1,"",BM$3*일별반별!BP118),0)</f>
        <v/>
      </c>
      <c r="BN118" s="401" t="str">
        <f>IFERROR(IF($C118&lt;1,"",BN$3*일별반별!BQ118),0)</f>
        <v/>
      </c>
      <c r="BO118" s="401" t="str">
        <f>IFERROR(IF($C118&lt;1,"",BO$3*일별반별!BR118),0)</f>
        <v/>
      </c>
      <c r="BP118" s="401" t="str">
        <f>IFERROR(IF($C118&lt;1,"",BP$3*일별반별!BS118),0)</f>
        <v/>
      </c>
      <c r="BQ118" s="401" t="str">
        <f>IFERROR(IF($C118&lt;1,"",BQ$3*일별반별!BT118),0)</f>
        <v/>
      </c>
      <c r="BR118" s="417" t="str">
        <f>IFERROR(IF($C118&lt;1,"",BR$3*일별반별!BU118),0)</f>
        <v/>
      </c>
      <c r="BS118" s="417" t="str">
        <f>IFERROR(IF($C118&lt;1,"",BS$3*일별반별!BV118),0)</f>
        <v/>
      </c>
      <c r="BT118" s="417" t="str">
        <f>IFERROR(IF($C118&lt;1,"",BT$3*일별반별!BW118),0)</f>
        <v/>
      </c>
      <c r="BU118" s="316" t="str">
        <f>IFERROR(IF($C118&lt;1,"",BU$3*일별반별!BX118),0)</f>
        <v/>
      </c>
      <c r="BV118" s="316" t="str">
        <f>IFERROR(IF($C118&lt;1,"",BV$3*일별반별!BY118),0)</f>
        <v/>
      </c>
      <c r="BW118" s="316" t="str">
        <f>IFERROR(IF($C118&lt;1,"",BW$3*일별반별!BZ118),0)</f>
        <v/>
      </c>
      <c r="BX118" s="316" t="str">
        <f>IFERROR(IF($C118&lt;1,"",BX$3*일별반별!CA118),0)</f>
        <v/>
      </c>
      <c r="BY118" s="316" t="str">
        <f>IFERROR(IF($C118&lt;1,"",BY$3*일별반별!CB118),0)</f>
        <v/>
      </c>
      <c r="BZ118" s="316" t="str">
        <f>IFERROR(IF($C118&lt;1,"",BZ$3*일별반별!CC118),0)</f>
        <v/>
      </c>
      <c r="CA118" s="316" t="str">
        <f>IFERROR(IF($C118&lt;1,"",CA$3*일별반별!CD118),0)</f>
        <v/>
      </c>
      <c r="CB118" s="316" t="str">
        <f>IFERROR(IF($C118&lt;1,"",CB$3*일별반별!CE118),0)</f>
        <v/>
      </c>
      <c r="CC118" s="316" t="str">
        <f>IFERROR(IF($C118&lt;1,"",CC$3*일별반별!CF118),0)</f>
        <v/>
      </c>
      <c r="CD118" s="316" t="str">
        <f>IFERROR(IF($C118&lt;1,"",CD$3*일별반별!CG118),0)</f>
        <v/>
      </c>
      <c r="CE118" s="316" t="str">
        <f>IFERROR(IF($C118&lt;1,"",CE$3*일별반별!CH118),0)</f>
        <v/>
      </c>
      <c r="CF118" s="316" t="str">
        <f>IFERROR(IF($C118&lt;1,"",CF$3*일별반별!CI118),0)</f>
        <v/>
      </c>
      <c r="CG118" s="316" t="str">
        <f>IFERROR(IF($C118&lt;1,"",CG$3*일별반별!CJ118),0)</f>
        <v/>
      </c>
      <c r="CH118" s="316" t="str">
        <f>IFERROR(IF($C118&lt;1,"",CH$3*일별반별!CK118),0)</f>
        <v/>
      </c>
      <c r="CI118" s="316" t="str">
        <f>IFERROR(IF($C118&lt;1,"",CI$3*일별반별!CL118),0)</f>
        <v/>
      </c>
      <c r="CJ118" s="316" t="str">
        <f>IFERROR(IF($C118&lt;1,"",CJ$3*일별반별!CM118),0)</f>
        <v/>
      </c>
      <c r="CK118" s="316" t="str">
        <f>IFERROR(IF($C118&lt;1,"",CK$3*일별반별!CN118),0)</f>
        <v/>
      </c>
      <c r="CL118" s="316" t="str">
        <f>IFERROR(IF($C118&lt;1,"",CL$3*일별반별!CO118),0)</f>
        <v/>
      </c>
      <c r="CM118" s="316" t="str">
        <f>IFERROR(IF($C118&lt;1,"",CM$3*일별반별!CP118),0)</f>
        <v/>
      </c>
      <c r="CN118" s="316" t="str">
        <f>IFERROR(IF($C118&lt;1,"",CN$3*일별반별!CQ118),0)</f>
        <v/>
      </c>
      <c r="CO118" s="316" t="str">
        <f>IFERROR(IF($C118&lt;1,"",CO$3*일별반별!CR118),0)</f>
        <v/>
      </c>
      <c r="CP118" s="316" t="str">
        <f>IFERROR(IF($C118&lt;1,"",CP$3*일별반별!CS118),0)</f>
        <v/>
      </c>
      <c r="CQ118" s="316" t="str">
        <f>IFERROR(IF($C118&lt;1,"",CQ$3*일별반별!CT118),0)</f>
        <v/>
      </c>
      <c r="CR118" s="418" t="str">
        <f>IFERROR(IF($C118&lt;1,"",CR$3*일별반별!CU118),0)</f>
        <v/>
      </c>
      <c r="CS118" s="418" t="str">
        <f>IFERROR(IF($C118&lt;1,"",CS$3*일별반별!CV118),0)</f>
        <v/>
      </c>
      <c r="CT118" s="316" t="str">
        <f>IFERROR(IF($C118&lt;1,"",CT$3*일별반별!CW118),0)</f>
        <v/>
      </c>
      <c r="CU118" s="316" t="str">
        <f>IFERROR(IF($C118&lt;1,"",CU$3*일별반별!CX118),0)</f>
        <v/>
      </c>
      <c r="CV118" s="316" t="str">
        <f>IFERROR(IF($C118&lt;1,"",CV$3*일별반별!CY118),0)</f>
        <v/>
      </c>
      <c r="CW118" s="316" t="str">
        <f>IFERROR(IF($C118&lt;1,"",CW$3*일별반별!CZ118),0)</f>
        <v/>
      </c>
      <c r="CX118" s="316" t="str">
        <f>IFERROR(IF($C118&lt;1,"",CX$3*일별반별!DA118),0)</f>
        <v/>
      </c>
      <c r="CY118" s="316" t="str">
        <f>IF(C118&lt;1,"",(CY$3*'09월 조업일지'!AV$7))</f>
        <v/>
      </c>
      <c r="CZ118" s="316" t="str">
        <f t="shared" si="7"/>
        <v/>
      </c>
      <c r="DA118" s="316" t="str">
        <f t="shared" si="7"/>
        <v/>
      </c>
      <c r="DB118" s="316" t="str">
        <f t="shared" si="7"/>
        <v/>
      </c>
      <c r="DC118" s="316"/>
      <c r="DD118" s="419"/>
    </row>
    <row r="119" spans="1:108" ht="15" customHeight="1">
      <c r="A119" s="274">
        <f t="shared" si="6"/>
        <v>44035</v>
      </c>
      <c r="B119" s="275" t="s">
        <v>10</v>
      </c>
      <c r="C119" s="201">
        <f>COUNTIFS('09월 조업일지'!$A$12:$A$952,A116,'09월 조업일지'!$E$12:$E$952,B119)</f>
        <v>0</v>
      </c>
      <c r="D119" s="314">
        <f>IF(C119&lt;1,0,(SUM(E119:CX119)/(일별반별!BV119-1.5)+(CY119+CZ119+DA119+DB119)))</f>
        <v>0</v>
      </c>
      <c r="E119" s="278"/>
      <c r="F119" s="281"/>
      <c r="G119" s="282"/>
      <c r="H119" s="283"/>
      <c r="I119" s="283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326"/>
      <c r="U119" s="395" t="str">
        <f>IFERROR(IF($C119&lt;1,"",U$3*일별반별!X119),0)</f>
        <v/>
      </c>
      <c r="V119" s="395" t="str">
        <f>IFERROR(IF($C119&lt;1,"",V$3*일별반별!Y119),0)</f>
        <v/>
      </c>
      <c r="W119" s="395" t="str">
        <f>IFERROR(IF($C119&lt;1,"",W$3*일별반별!Z119),0)</f>
        <v/>
      </c>
      <c r="X119" s="208" t="str">
        <f>IFERROR(IF($C119&lt;1,"",X$3*일별반별!AA119),0)</f>
        <v/>
      </c>
      <c r="Y119" s="208" t="str">
        <f>IFERROR(IF($C119&lt;1,"",Y$3*일별반별!AB119),0)</f>
        <v/>
      </c>
      <c r="Z119" s="208" t="str">
        <f>IFERROR(IF($C119&lt;1,"",Z$3*일별반별!AC119),0)</f>
        <v/>
      </c>
      <c r="AA119" s="395" t="str">
        <f>IFERROR(IF($C119&lt;1,"",AA$3*일별반별!AD119),0)</f>
        <v/>
      </c>
      <c r="AB119" s="395" t="str">
        <f>IFERROR(IF($C119&lt;1,"",AB$3*일별반별!AE119),0)</f>
        <v/>
      </c>
      <c r="AC119" s="208" t="str">
        <f>IFERROR(IF($C119&lt;1,"",AC$3*일별반별!AF119),0)</f>
        <v/>
      </c>
      <c r="AD119" s="208" t="str">
        <f>IFERROR(IF($C119&lt;1,"",AD$3*일별반별!AG119),0)</f>
        <v/>
      </c>
      <c r="AE119" s="208" t="str">
        <f>IFERROR(IF($C119&lt;1,"",AE$3*일별반별!AH119),0)</f>
        <v/>
      </c>
      <c r="AF119" s="395" t="str">
        <f>IFERROR(IF($C119&lt;1,"",AF$3*일별반별!AI119),0)</f>
        <v/>
      </c>
      <c r="AG119" s="395" t="str">
        <f>IFERROR(IF($C119&lt;1,"",AG$3*일별반별!AJ119),0)</f>
        <v/>
      </c>
      <c r="AH119" s="395" t="str">
        <f>IFERROR(IF($C119&lt;1,"",AH$3*일별반별!AK119),0)</f>
        <v/>
      </c>
      <c r="AI119" s="395" t="str">
        <f>IFERROR(IF($C119&lt;1,"",AI$3*일별반별!AL119),0)</f>
        <v/>
      </c>
      <c r="AJ119" s="395" t="str">
        <f>IFERROR(IF($C119&lt;1,"",AJ$3*일별반별!AM119),0)</f>
        <v/>
      </c>
      <c r="AK119" s="395" t="str">
        <f>IFERROR(IF($C119&lt;1,"",AK$3*일별반별!AN119),0)</f>
        <v/>
      </c>
      <c r="AL119" s="395" t="str">
        <f>IFERROR(IF($C119&lt;1,"",AL$3*일별반별!AO119),0)</f>
        <v/>
      </c>
      <c r="AM119" s="395" t="str">
        <f>IFERROR(IF($C119&lt;1,"",AM$3*일별반별!AP119),0)</f>
        <v/>
      </c>
      <c r="AN119" s="395" t="str">
        <f>IFERROR(IF($C119&lt;1,"",AN$3*일별반별!AQ119),0)</f>
        <v/>
      </c>
      <c r="AO119" s="395" t="str">
        <f>IFERROR(IF($C119&lt;1,"",AO$3*일별반별!AR119),0)</f>
        <v/>
      </c>
      <c r="AP119" s="347" t="str">
        <f>IFERROR(IF($C119&lt;1,"",AP$3*일별반별!AS119),0)</f>
        <v/>
      </c>
      <c r="AQ119" s="347" t="str">
        <f>IFERROR(IF($C119&lt;1,"",AQ$3*일별반별!AT119),0)</f>
        <v/>
      </c>
      <c r="AR119" s="316" t="str">
        <f>IFERROR(IF($C119&lt;1,"",AR$3*일별반별!AU119),0)</f>
        <v/>
      </c>
      <c r="AS119" s="401" t="str">
        <f>IFERROR(IF($C119&lt;1,"",AS$3*일별반별!AV119),0)</f>
        <v/>
      </c>
      <c r="AT119" s="401" t="str">
        <f>IFERROR(IF($C119&lt;1,"",AT$3*일별반별!AW119),0)</f>
        <v/>
      </c>
      <c r="AU119" s="401" t="str">
        <f>IFERROR(IF($C119&lt;1,"",AU$3*일별반별!AX119),0)</f>
        <v/>
      </c>
      <c r="AV119" s="401" t="str">
        <f>IFERROR(IF($C119&lt;1,"",AV$3*일별반별!AY119),0)</f>
        <v/>
      </c>
      <c r="AW119" s="401" t="str">
        <f>IFERROR(IF($C119&lt;1,"",AW$3*일별반별!AZ119),0)</f>
        <v/>
      </c>
      <c r="AX119" s="401" t="str">
        <f>IFERROR(IF($C119&lt;1,"",AX$3*일별반별!BA119),0)</f>
        <v/>
      </c>
      <c r="AY119" s="401" t="str">
        <f>IFERROR(IF($C119&lt;1,"",AY$3*일별반별!BB119),0)</f>
        <v/>
      </c>
      <c r="AZ119" s="401" t="str">
        <f>IFERROR(IF($C119&lt;1,"",AZ$3*일별반별!BC119),0)</f>
        <v/>
      </c>
      <c r="BA119" s="401" t="str">
        <f>IFERROR(IF($C119&lt;1,"",BA$3*일별반별!BD119),0)</f>
        <v/>
      </c>
      <c r="BB119" s="402" t="str">
        <f>IFERROR(IF($C119&lt;1,"",BB$3*일별반별!BE119),0)</f>
        <v/>
      </c>
      <c r="BC119" s="402" t="str">
        <f>IFERROR(IF($C119&lt;1,"",BC$3*일별반별!BF119),0)</f>
        <v/>
      </c>
      <c r="BD119" s="402" t="str">
        <f>IFERROR(IF($C119&lt;1,"",BD$3*일별반별!BG119),0)</f>
        <v/>
      </c>
      <c r="BE119" s="402" t="str">
        <f>IFERROR(IF($C119&lt;1,"",BE$3*일별반별!BH119),0)</f>
        <v/>
      </c>
      <c r="BF119" s="402" t="str">
        <f>IFERROR(IF($C119&lt;1,"",BF$3*일별반별!BI119),0)</f>
        <v/>
      </c>
      <c r="BG119" s="402" t="str">
        <f>IFERROR(IF($C119&lt;1,"",BG$3*일별반별!BJ119),0)</f>
        <v/>
      </c>
      <c r="BH119" s="402" t="str">
        <f>IFERROR(IF($C119&lt;1,"",BH$3*일별반별!BK119),0)</f>
        <v/>
      </c>
      <c r="BI119" s="402" t="str">
        <f>IFERROR(IF($C119&lt;1,"",BI$3*일별반별!BL119),0)</f>
        <v/>
      </c>
      <c r="BJ119" s="402" t="str">
        <f>IFERROR(IF($C119&lt;1,"",BJ$3*일별반별!BM119),0)</f>
        <v/>
      </c>
      <c r="BK119" s="402" t="str">
        <f>IFERROR(IF($C119&lt;1,"",BK$3*일별반별!BN119),0)</f>
        <v/>
      </c>
      <c r="BL119" s="402" t="str">
        <f>IFERROR(IF($C119&lt;1,"",BL$3*일별반별!BH119),0)</f>
        <v/>
      </c>
      <c r="BM119" s="402" t="str">
        <f>IFERROR(IF($C119&lt;1,"",BM$3*일별반별!BP119),0)</f>
        <v/>
      </c>
      <c r="BN119" s="401" t="str">
        <f>IFERROR(IF($C119&lt;1,"",BN$3*일별반별!BQ119),0)</f>
        <v/>
      </c>
      <c r="BO119" s="401" t="str">
        <f>IFERROR(IF($C119&lt;1,"",BO$3*일별반별!BR119),0)</f>
        <v/>
      </c>
      <c r="BP119" s="401" t="str">
        <f>IFERROR(IF($C119&lt;1,"",BP$3*일별반별!BS119),0)</f>
        <v/>
      </c>
      <c r="BQ119" s="401" t="str">
        <f>IFERROR(IF($C119&lt;1,"",BQ$3*일별반별!BT119),0)</f>
        <v/>
      </c>
      <c r="BR119" s="417" t="str">
        <f>IFERROR(IF($C119&lt;1,"",BR$3*일별반별!BU119),0)</f>
        <v/>
      </c>
      <c r="BS119" s="417" t="str">
        <f>IFERROR(IF($C119&lt;1,"",BS$3*일별반별!BV119),0)</f>
        <v/>
      </c>
      <c r="BT119" s="417" t="str">
        <f>IFERROR(IF($C119&lt;1,"",BT$3*일별반별!BW119),0)</f>
        <v/>
      </c>
      <c r="BU119" s="316" t="str">
        <f>IFERROR(IF($C119&lt;1,"",BU$3*일별반별!BX119),0)</f>
        <v/>
      </c>
      <c r="BV119" s="316" t="str">
        <f>IFERROR(IF($C119&lt;1,"",BV$3*일별반별!BY119),0)</f>
        <v/>
      </c>
      <c r="BW119" s="316" t="str">
        <f>IFERROR(IF($C119&lt;1,"",BW$3*일별반별!BZ119),0)</f>
        <v/>
      </c>
      <c r="BX119" s="316" t="str">
        <f>IFERROR(IF($C119&lt;1,"",BX$3*일별반별!CA119),0)</f>
        <v/>
      </c>
      <c r="BY119" s="316" t="str">
        <f>IFERROR(IF($C119&lt;1,"",BY$3*일별반별!CB119),0)</f>
        <v/>
      </c>
      <c r="BZ119" s="316" t="str">
        <f>IFERROR(IF($C119&lt;1,"",BZ$3*일별반별!CC119),0)</f>
        <v/>
      </c>
      <c r="CA119" s="316" t="str">
        <f>IFERROR(IF($C119&lt;1,"",CA$3*일별반별!CD119),0)</f>
        <v/>
      </c>
      <c r="CB119" s="316" t="str">
        <f>IFERROR(IF($C119&lt;1,"",CB$3*일별반별!CE119),0)</f>
        <v/>
      </c>
      <c r="CC119" s="316" t="str">
        <f>IFERROR(IF($C119&lt;1,"",CC$3*일별반별!CF119),0)</f>
        <v/>
      </c>
      <c r="CD119" s="316" t="str">
        <f>IFERROR(IF($C119&lt;1,"",CD$3*일별반별!CG119),0)</f>
        <v/>
      </c>
      <c r="CE119" s="316" t="str">
        <f>IFERROR(IF($C119&lt;1,"",CE$3*일별반별!CH119),0)</f>
        <v/>
      </c>
      <c r="CF119" s="316" t="str">
        <f>IFERROR(IF($C119&lt;1,"",CF$3*일별반별!CI119),0)</f>
        <v/>
      </c>
      <c r="CG119" s="316" t="str">
        <f>IFERROR(IF($C119&lt;1,"",CG$3*일별반별!CJ119),0)</f>
        <v/>
      </c>
      <c r="CH119" s="316" t="str">
        <f>IFERROR(IF($C119&lt;1,"",CH$3*일별반별!CK119),0)</f>
        <v/>
      </c>
      <c r="CI119" s="316" t="str">
        <f>IFERROR(IF($C119&lt;1,"",CI$3*일별반별!CL119),0)</f>
        <v/>
      </c>
      <c r="CJ119" s="316" t="str">
        <f>IFERROR(IF($C119&lt;1,"",CJ$3*일별반별!CM119),0)</f>
        <v/>
      </c>
      <c r="CK119" s="316" t="str">
        <f>IFERROR(IF($C119&lt;1,"",CK$3*일별반별!CN119),0)</f>
        <v/>
      </c>
      <c r="CL119" s="316" t="str">
        <f>IFERROR(IF($C119&lt;1,"",CL$3*일별반별!CO119),0)</f>
        <v/>
      </c>
      <c r="CM119" s="316" t="str">
        <f>IFERROR(IF($C119&lt;1,"",CM$3*일별반별!CP119),0)</f>
        <v/>
      </c>
      <c r="CN119" s="316" t="str">
        <f>IFERROR(IF($C119&lt;1,"",CN$3*일별반별!CQ119),0)</f>
        <v/>
      </c>
      <c r="CO119" s="316" t="str">
        <f>IFERROR(IF($C119&lt;1,"",CO$3*일별반별!CR119),0)</f>
        <v/>
      </c>
      <c r="CP119" s="316" t="str">
        <f>IFERROR(IF($C119&lt;1,"",CP$3*일별반별!CS119),0)</f>
        <v/>
      </c>
      <c r="CQ119" s="316" t="str">
        <f>IFERROR(IF($C119&lt;1,"",CQ$3*일별반별!CT119),0)</f>
        <v/>
      </c>
      <c r="CR119" s="418" t="str">
        <f>IFERROR(IF($C119&lt;1,"",CR$3*일별반별!CU119),0)</f>
        <v/>
      </c>
      <c r="CS119" s="418" t="str">
        <f>IFERROR(IF($C119&lt;1,"",CS$3*일별반별!CV119),0)</f>
        <v/>
      </c>
      <c r="CT119" s="316" t="str">
        <f>IFERROR(IF($C119&lt;1,"",CT$3*일별반별!CW119),0)</f>
        <v/>
      </c>
      <c r="CU119" s="316" t="str">
        <f>IFERROR(IF($C119&lt;1,"",CU$3*일별반별!CX119),0)</f>
        <v/>
      </c>
      <c r="CV119" s="316" t="str">
        <f>IFERROR(IF($C119&lt;1,"",CV$3*일별반별!CY119),0)</f>
        <v/>
      </c>
      <c r="CW119" s="316" t="str">
        <f>IFERROR(IF($C119&lt;1,"",CW$3*일별반별!CZ119),0)</f>
        <v/>
      </c>
      <c r="CX119" s="316" t="str">
        <f>IFERROR(IF($C119&lt;1,"",CX$3*일별반별!DA119),0)</f>
        <v/>
      </c>
      <c r="CY119" s="316" t="str">
        <f>IF(C119&lt;1,"",(CY$3*'09월 조업일지'!AV$7))</f>
        <v/>
      </c>
      <c r="CZ119" s="316" t="str">
        <f t="shared" si="7"/>
        <v/>
      </c>
      <c r="DA119" s="316" t="str">
        <f t="shared" si="7"/>
        <v/>
      </c>
      <c r="DB119" s="316" t="str">
        <f t="shared" si="7"/>
        <v/>
      </c>
      <c r="DC119" s="316"/>
      <c r="DD119" s="419"/>
    </row>
    <row r="120" spans="1:108" ht="15" customHeight="1">
      <c r="A120" s="274">
        <f t="shared" si="6"/>
        <v>44035</v>
      </c>
      <c r="B120" s="275" t="s">
        <v>94</v>
      </c>
      <c r="C120" s="201">
        <f>COUNTIFS('09월 조업일지'!$A$12:$A$952,A116,'09월 조업일지'!$E$12:$E$952,B120)</f>
        <v>0</v>
      </c>
      <c r="D120" s="314">
        <f>IF(C120&lt;1,0,(SUM(E120:CX120)/(일별반별!BV120-1.5)+(CY120+CZ120+DA120+DB120)))</f>
        <v>0</v>
      </c>
      <c r="E120" s="278"/>
      <c r="F120" s="281"/>
      <c r="G120" s="282"/>
      <c r="H120" s="283"/>
      <c r="I120" s="283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326"/>
      <c r="U120" s="395" t="str">
        <f>IFERROR(IF($C120&lt;1,"",U$3*일별반별!X120),0)</f>
        <v/>
      </c>
      <c r="V120" s="395" t="str">
        <f>IFERROR(IF($C120&lt;1,"",V$3*일별반별!Y120),0)</f>
        <v/>
      </c>
      <c r="W120" s="395" t="str">
        <f>IFERROR(IF($C120&lt;1,"",W$3*일별반별!Z120),0)</f>
        <v/>
      </c>
      <c r="X120" s="208" t="str">
        <f>IFERROR(IF($C120&lt;1,"",X$3*일별반별!AA120),0)</f>
        <v/>
      </c>
      <c r="Y120" s="208" t="str">
        <f>IFERROR(IF($C120&lt;1,"",Y$3*일별반별!AB120),0)</f>
        <v/>
      </c>
      <c r="Z120" s="208" t="str">
        <f>IFERROR(IF($C120&lt;1,"",Z$3*일별반별!AC120),0)</f>
        <v/>
      </c>
      <c r="AA120" s="395" t="str">
        <f>IFERROR(IF($C120&lt;1,"",AA$3*일별반별!AD120),0)</f>
        <v/>
      </c>
      <c r="AB120" s="395" t="str">
        <f>IFERROR(IF($C120&lt;1,"",AB$3*일별반별!AE120),0)</f>
        <v/>
      </c>
      <c r="AC120" s="208" t="str">
        <f>IFERROR(IF($C120&lt;1,"",AC$3*일별반별!AF120),0)</f>
        <v/>
      </c>
      <c r="AD120" s="208" t="str">
        <f>IFERROR(IF($C120&lt;1,"",AD$3*일별반별!AG120),0)</f>
        <v/>
      </c>
      <c r="AE120" s="208" t="str">
        <f>IFERROR(IF($C120&lt;1,"",AE$3*일별반별!AH120),0)</f>
        <v/>
      </c>
      <c r="AF120" s="395" t="str">
        <f>IFERROR(IF($C120&lt;1,"",AF$3*일별반별!AI120),0)</f>
        <v/>
      </c>
      <c r="AG120" s="395" t="str">
        <f>IFERROR(IF($C120&lt;1,"",AG$3*일별반별!AJ120),0)</f>
        <v/>
      </c>
      <c r="AH120" s="395" t="str">
        <f>IFERROR(IF($C120&lt;1,"",AH$3*일별반별!AK120),0)</f>
        <v/>
      </c>
      <c r="AI120" s="395" t="str">
        <f>IFERROR(IF($C120&lt;1,"",AI$3*일별반별!AL120),0)</f>
        <v/>
      </c>
      <c r="AJ120" s="395" t="str">
        <f>IFERROR(IF($C120&lt;1,"",AJ$3*일별반별!AM120),0)</f>
        <v/>
      </c>
      <c r="AK120" s="395" t="str">
        <f>IFERROR(IF($C120&lt;1,"",AK$3*일별반별!AN120),0)</f>
        <v/>
      </c>
      <c r="AL120" s="395" t="str">
        <f>IFERROR(IF($C120&lt;1,"",AL$3*일별반별!AO120),0)</f>
        <v/>
      </c>
      <c r="AM120" s="395" t="str">
        <f>IFERROR(IF($C120&lt;1,"",AM$3*일별반별!AP120),0)</f>
        <v/>
      </c>
      <c r="AN120" s="395" t="str">
        <f>IFERROR(IF($C120&lt;1,"",AN$3*일별반별!AQ120),0)</f>
        <v/>
      </c>
      <c r="AO120" s="395" t="str">
        <f>IFERROR(IF($C120&lt;1,"",AO$3*일별반별!AR120),0)</f>
        <v/>
      </c>
      <c r="AP120" s="347" t="str">
        <f>IFERROR(IF($C120&lt;1,"",AP$3*일별반별!AS120),0)</f>
        <v/>
      </c>
      <c r="AQ120" s="347" t="str">
        <f>IFERROR(IF($C120&lt;1,"",AQ$3*일별반별!AT120),0)</f>
        <v/>
      </c>
      <c r="AR120" s="316" t="str">
        <f>IFERROR(IF($C120&lt;1,"",AR$3*일별반별!AU120),0)</f>
        <v/>
      </c>
      <c r="AS120" s="401" t="str">
        <f>IFERROR(IF($C120&lt;1,"",AS$3*일별반별!AV120),0)</f>
        <v/>
      </c>
      <c r="AT120" s="401" t="str">
        <f>IFERROR(IF($C120&lt;1,"",AT$3*일별반별!AW120),0)</f>
        <v/>
      </c>
      <c r="AU120" s="401" t="str">
        <f>IFERROR(IF($C120&lt;1,"",AU$3*일별반별!AX120),0)</f>
        <v/>
      </c>
      <c r="AV120" s="401" t="str">
        <f>IFERROR(IF($C120&lt;1,"",AV$3*일별반별!AY120),0)</f>
        <v/>
      </c>
      <c r="AW120" s="401" t="str">
        <f>IFERROR(IF($C120&lt;1,"",AW$3*일별반별!AZ120),0)</f>
        <v/>
      </c>
      <c r="AX120" s="401" t="str">
        <f>IFERROR(IF($C120&lt;1,"",AX$3*일별반별!BA120),0)</f>
        <v/>
      </c>
      <c r="AY120" s="401" t="str">
        <f>IFERROR(IF($C120&lt;1,"",AY$3*일별반별!BB120),0)</f>
        <v/>
      </c>
      <c r="AZ120" s="401" t="str">
        <f>IFERROR(IF($C120&lt;1,"",AZ$3*일별반별!BC120),0)</f>
        <v/>
      </c>
      <c r="BA120" s="401" t="str">
        <f>IFERROR(IF($C120&lt;1,"",BA$3*일별반별!BD120),0)</f>
        <v/>
      </c>
      <c r="BB120" s="402" t="str">
        <f>IFERROR(IF($C120&lt;1,"",BB$3*일별반별!BE120),0)</f>
        <v/>
      </c>
      <c r="BC120" s="402" t="str">
        <f>IFERROR(IF($C120&lt;1,"",BC$3*일별반별!BF120),0)</f>
        <v/>
      </c>
      <c r="BD120" s="402" t="str">
        <f>IFERROR(IF($C120&lt;1,"",BD$3*일별반별!BG120),0)</f>
        <v/>
      </c>
      <c r="BE120" s="402" t="str">
        <f>IFERROR(IF($C120&lt;1,"",BE$3*일별반별!BH120),0)</f>
        <v/>
      </c>
      <c r="BF120" s="402" t="str">
        <f>IFERROR(IF($C120&lt;1,"",BF$3*일별반별!BI120),0)</f>
        <v/>
      </c>
      <c r="BG120" s="402" t="str">
        <f>IFERROR(IF($C120&lt;1,"",BG$3*일별반별!BJ120),0)</f>
        <v/>
      </c>
      <c r="BH120" s="402" t="str">
        <f>IFERROR(IF($C120&lt;1,"",BH$3*일별반별!BK120),0)</f>
        <v/>
      </c>
      <c r="BI120" s="402" t="str">
        <f>IFERROR(IF($C120&lt;1,"",BI$3*일별반별!BL120),0)</f>
        <v/>
      </c>
      <c r="BJ120" s="402" t="str">
        <f>IFERROR(IF($C120&lt;1,"",BJ$3*일별반별!BM120),0)</f>
        <v/>
      </c>
      <c r="BK120" s="402" t="str">
        <f>IFERROR(IF($C120&lt;1,"",BK$3*일별반별!BN120),0)</f>
        <v/>
      </c>
      <c r="BL120" s="402" t="str">
        <f>IFERROR(IF($C120&lt;1,"",BL$3*일별반별!BH120),0)</f>
        <v/>
      </c>
      <c r="BM120" s="402" t="str">
        <f>IFERROR(IF($C120&lt;1,"",BM$3*일별반별!BP120),0)</f>
        <v/>
      </c>
      <c r="BN120" s="401" t="str">
        <f>IFERROR(IF($C120&lt;1,"",BN$3*일별반별!BQ120),0)</f>
        <v/>
      </c>
      <c r="BO120" s="401" t="str">
        <f>IFERROR(IF($C120&lt;1,"",BO$3*일별반별!BR120),0)</f>
        <v/>
      </c>
      <c r="BP120" s="401" t="str">
        <f>IFERROR(IF($C120&lt;1,"",BP$3*일별반별!BS120),0)</f>
        <v/>
      </c>
      <c r="BQ120" s="401" t="str">
        <f>IFERROR(IF($C120&lt;1,"",BQ$3*일별반별!BT120),0)</f>
        <v/>
      </c>
      <c r="BR120" s="417" t="str">
        <f>IFERROR(IF($C120&lt;1,"",BR$3*일별반별!BU120),0)</f>
        <v/>
      </c>
      <c r="BS120" s="417" t="str">
        <f>IFERROR(IF($C120&lt;1,"",BS$3*일별반별!BV120),0)</f>
        <v/>
      </c>
      <c r="BT120" s="417" t="str">
        <f>IFERROR(IF($C120&lt;1,"",BT$3*일별반별!BW120),0)</f>
        <v/>
      </c>
      <c r="BU120" s="316" t="str">
        <f>IFERROR(IF($C120&lt;1,"",BU$3*일별반별!BX120),0)</f>
        <v/>
      </c>
      <c r="BV120" s="316" t="str">
        <f>IFERROR(IF($C120&lt;1,"",BV$3*일별반별!BY120),0)</f>
        <v/>
      </c>
      <c r="BW120" s="316" t="str">
        <f>IFERROR(IF($C120&lt;1,"",BW$3*일별반별!BZ120),0)</f>
        <v/>
      </c>
      <c r="BX120" s="316" t="str">
        <f>IFERROR(IF($C120&lt;1,"",BX$3*일별반별!CA120),0)</f>
        <v/>
      </c>
      <c r="BY120" s="316" t="str">
        <f>IFERROR(IF($C120&lt;1,"",BY$3*일별반별!CB120),0)</f>
        <v/>
      </c>
      <c r="BZ120" s="316" t="str">
        <f>IFERROR(IF($C120&lt;1,"",BZ$3*일별반별!CC120),0)</f>
        <v/>
      </c>
      <c r="CA120" s="316" t="str">
        <f>IFERROR(IF($C120&lt;1,"",CA$3*일별반별!CD120),0)</f>
        <v/>
      </c>
      <c r="CB120" s="316" t="str">
        <f>IFERROR(IF($C120&lt;1,"",CB$3*일별반별!CE120),0)</f>
        <v/>
      </c>
      <c r="CC120" s="316" t="str">
        <f>IFERROR(IF($C120&lt;1,"",CC$3*일별반별!CF120),0)</f>
        <v/>
      </c>
      <c r="CD120" s="316" t="str">
        <f>IFERROR(IF($C120&lt;1,"",CD$3*일별반별!CG120),0)</f>
        <v/>
      </c>
      <c r="CE120" s="316" t="str">
        <f>IFERROR(IF($C120&lt;1,"",CE$3*일별반별!CH120),0)</f>
        <v/>
      </c>
      <c r="CF120" s="316" t="str">
        <f>IFERROR(IF($C120&lt;1,"",CF$3*일별반별!CI120),0)</f>
        <v/>
      </c>
      <c r="CG120" s="316" t="str">
        <f>IFERROR(IF($C120&lt;1,"",CG$3*일별반별!CJ120),0)</f>
        <v/>
      </c>
      <c r="CH120" s="316" t="str">
        <f>IFERROR(IF($C120&lt;1,"",CH$3*일별반별!CK120),0)</f>
        <v/>
      </c>
      <c r="CI120" s="316" t="str">
        <f>IFERROR(IF($C120&lt;1,"",CI$3*일별반별!CL120),0)</f>
        <v/>
      </c>
      <c r="CJ120" s="316" t="str">
        <f>IFERROR(IF($C120&lt;1,"",CJ$3*일별반별!CM120),0)</f>
        <v/>
      </c>
      <c r="CK120" s="316" t="str">
        <f>IFERROR(IF($C120&lt;1,"",CK$3*일별반별!CN120),0)</f>
        <v/>
      </c>
      <c r="CL120" s="316" t="str">
        <f>IFERROR(IF($C120&lt;1,"",CL$3*일별반별!CO120),0)</f>
        <v/>
      </c>
      <c r="CM120" s="316" t="str">
        <f>IFERROR(IF($C120&lt;1,"",CM$3*일별반별!CP120),0)</f>
        <v/>
      </c>
      <c r="CN120" s="316" t="str">
        <f>IFERROR(IF($C120&lt;1,"",CN$3*일별반별!CQ120),0)</f>
        <v/>
      </c>
      <c r="CO120" s="316" t="str">
        <f>IFERROR(IF($C120&lt;1,"",CO$3*일별반별!CR120),0)</f>
        <v/>
      </c>
      <c r="CP120" s="316" t="str">
        <f>IFERROR(IF($C120&lt;1,"",CP$3*일별반별!CS120),0)</f>
        <v/>
      </c>
      <c r="CQ120" s="316" t="str">
        <f>IFERROR(IF($C120&lt;1,"",CQ$3*일별반별!CT120),0)</f>
        <v/>
      </c>
      <c r="CR120" s="418" t="str">
        <f>IFERROR(IF($C120&lt;1,"",CR$3*일별반별!CU120),0)</f>
        <v/>
      </c>
      <c r="CS120" s="418" t="str">
        <f>IFERROR(IF($C120&lt;1,"",CS$3*일별반별!CV120),0)</f>
        <v/>
      </c>
      <c r="CT120" s="316" t="str">
        <f>IFERROR(IF($C120&lt;1,"",CT$3*일별반별!CW120),0)</f>
        <v/>
      </c>
      <c r="CU120" s="316" t="str">
        <f>IFERROR(IF($C120&lt;1,"",CU$3*일별반별!CX120),0)</f>
        <v/>
      </c>
      <c r="CV120" s="316" t="str">
        <f>IFERROR(IF($C120&lt;1,"",CV$3*일별반별!CY120),0)</f>
        <v/>
      </c>
      <c r="CW120" s="316" t="str">
        <f>IFERROR(IF($C120&lt;1,"",CW$3*일별반별!CZ120),0)</f>
        <v/>
      </c>
      <c r="CX120" s="316" t="str">
        <f>IFERROR(IF($C120&lt;1,"",CX$3*일별반별!DA120),0)</f>
        <v/>
      </c>
      <c r="CY120" s="316" t="str">
        <f>IF(C120&lt;1,"",(CY$3*'09월 조업일지'!AV$7))</f>
        <v/>
      </c>
      <c r="CZ120" s="316" t="str">
        <f t="shared" si="7"/>
        <v/>
      </c>
      <c r="DA120" s="316" t="str">
        <f t="shared" si="7"/>
        <v/>
      </c>
      <c r="DB120" s="316" t="str">
        <f t="shared" si="7"/>
        <v/>
      </c>
      <c r="DC120" s="316"/>
      <c r="DD120" s="419"/>
    </row>
    <row r="121" spans="1:108" ht="15" customHeight="1">
      <c r="A121" s="327">
        <f>A116+1</f>
        <v>44036</v>
      </c>
      <c r="B121" s="328" t="s">
        <v>31</v>
      </c>
      <c r="C121" s="329">
        <f>COUNTIF('09월 조업일지'!$A$12:$A$952,A121)</f>
        <v>0</v>
      </c>
      <c r="D121" s="330">
        <f>IF(C121&lt;1,0,(SUM(E121:CX121)/(일별반별!BV121-1.5)+(CY121+CZ121+DA121+DB121)))</f>
        <v>0</v>
      </c>
      <c r="E121" s="331"/>
      <c r="F121" s="331"/>
      <c r="G121" s="332"/>
      <c r="H121" s="333"/>
      <c r="I121" s="333"/>
      <c r="J121" s="334"/>
      <c r="K121" s="334"/>
      <c r="L121" s="334"/>
      <c r="M121" s="334"/>
      <c r="N121" s="334"/>
      <c r="O121" s="334"/>
      <c r="P121" s="334"/>
      <c r="Q121" s="335"/>
      <c r="R121" s="334"/>
      <c r="S121" s="335"/>
      <c r="T121" s="334"/>
      <c r="U121" s="337" t="str">
        <f>IFERROR(IF($C121&lt;1,"",U$3*일별반별!X121),0)</f>
        <v/>
      </c>
      <c r="V121" s="337" t="str">
        <f>IFERROR(IF($C121&lt;1,"",V$3*일별반별!Y121),0)</f>
        <v/>
      </c>
      <c r="W121" s="337" t="str">
        <f>IFERROR(IF($C121&lt;1,"",W$3*일별반별!Z121),0)</f>
        <v/>
      </c>
      <c r="X121" s="336" t="str">
        <f>IFERROR(IF($C121&lt;1,"",X$3*일별반별!AA121),0)</f>
        <v/>
      </c>
      <c r="Y121" s="336" t="str">
        <f>IFERROR(IF($C121&lt;1,"",Y$3*일별반별!AB121),0)</f>
        <v/>
      </c>
      <c r="Z121" s="336" t="str">
        <f>IFERROR(IF($C121&lt;1,"",Z$3*일별반별!AC121),0)</f>
        <v/>
      </c>
      <c r="AA121" s="337" t="str">
        <f>IFERROR(IF($C121&lt;1,"",AA$3*일별반별!AD121),0)</f>
        <v/>
      </c>
      <c r="AB121" s="337" t="str">
        <f>IFERROR(IF($C121&lt;1,"",AB$3*일별반별!AE121),0)</f>
        <v/>
      </c>
      <c r="AC121" s="336" t="str">
        <f>IFERROR(IF($C121&lt;1,"",AC$3*일별반별!AF121),0)</f>
        <v/>
      </c>
      <c r="AD121" s="336" t="str">
        <f>IFERROR(IF($C121&lt;1,"",AD$3*일별반별!AG121),0)</f>
        <v/>
      </c>
      <c r="AE121" s="336" t="str">
        <f>IFERROR(IF($C121&lt;1,"",AE$3*일별반별!AH121),0)</f>
        <v/>
      </c>
      <c r="AF121" s="337" t="str">
        <f>IFERROR(IF($C121&lt;1,"",AF$3*일별반별!AI121),0)</f>
        <v/>
      </c>
      <c r="AG121" s="337" t="str">
        <f>IFERROR(IF($C121&lt;1,"",AG$3*일별반별!AJ121),0)</f>
        <v/>
      </c>
      <c r="AH121" s="337" t="str">
        <f>IFERROR(IF($C121&lt;1,"",AH$3*일별반별!AK121),0)</f>
        <v/>
      </c>
      <c r="AI121" s="337" t="str">
        <f>IFERROR(IF($C121&lt;1,"",AI$3*일별반별!AL121),0)</f>
        <v/>
      </c>
      <c r="AJ121" s="337" t="str">
        <f>IFERROR(IF($C121&lt;1,"",AJ$3*일별반별!AM121),0)</f>
        <v/>
      </c>
      <c r="AK121" s="337" t="str">
        <f>IFERROR(IF($C121&lt;1,"",AK$3*일별반별!AN121),0)</f>
        <v/>
      </c>
      <c r="AL121" s="337" t="str">
        <f>IFERROR(IF($C121&lt;1,"",AL$3*일별반별!AO121),0)</f>
        <v/>
      </c>
      <c r="AM121" s="337" t="str">
        <f>IFERROR(IF($C121&lt;1,"",AM$3*일별반별!AP121),0)</f>
        <v/>
      </c>
      <c r="AN121" s="337" t="str">
        <f>IFERROR(IF($C121&lt;1,"",AN$3*일별반별!AQ121),0)</f>
        <v/>
      </c>
      <c r="AO121" s="337" t="str">
        <f>IFERROR(IF($C121&lt;1,"",AO$3*일별반별!AR121),0)</f>
        <v/>
      </c>
      <c r="AP121" s="337" t="str">
        <f>IFERROR(IF($C121&lt;1,"",AP$3*일별반별!AS121),0)</f>
        <v/>
      </c>
      <c r="AQ121" s="337" t="str">
        <f>IFERROR(IF($C121&lt;1,"",AQ$3*일별반별!AT121),0)</f>
        <v/>
      </c>
      <c r="AR121" s="337" t="str">
        <f>IFERROR(IF($C121&lt;1,"",AR$3*일별반별!AU121),0)</f>
        <v/>
      </c>
      <c r="AS121" s="403" t="str">
        <f>IFERROR(IF($C121&lt;1,"",AS$3*일별반별!AV121),0)</f>
        <v/>
      </c>
      <c r="AT121" s="403" t="str">
        <f>IFERROR(IF($C121&lt;1,"",AT$3*일별반별!AW121),0)</f>
        <v/>
      </c>
      <c r="AU121" s="403" t="str">
        <f>IFERROR(IF($C121&lt;1,"",AU$3*일별반별!AX121),0)</f>
        <v/>
      </c>
      <c r="AV121" s="403" t="str">
        <f>IFERROR(IF($C121&lt;1,"",AV$3*일별반별!AY121),0)</f>
        <v/>
      </c>
      <c r="AW121" s="403" t="str">
        <f>IFERROR(IF($C121&lt;1,"",AW$3*일별반별!AZ121),0)</f>
        <v/>
      </c>
      <c r="AX121" s="403" t="str">
        <f>IFERROR(IF($C121&lt;1,"",AX$3*일별반별!BA121),0)</f>
        <v/>
      </c>
      <c r="AY121" s="403" t="str">
        <f>IFERROR(IF($C121&lt;1,"",AY$3*일별반별!BB121),0)</f>
        <v/>
      </c>
      <c r="AZ121" s="403" t="str">
        <f>IFERROR(IF($C121&lt;1,"",AZ$3*일별반별!BC121),0)</f>
        <v/>
      </c>
      <c r="BA121" s="403" t="str">
        <f>IFERROR(IF($C121&lt;1,"",BA$3*일별반별!BD121),0)</f>
        <v/>
      </c>
      <c r="BB121" s="403" t="str">
        <f>IFERROR(IF($C121&lt;1,"",BB$3*일별반별!BE121),0)</f>
        <v/>
      </c>
      <c r="BC121" s="403" t="str">
        <f>IFERROR(IF($C121&lt;1,"",BC$3*일별반별!BF121),0)</f>
        <v/>
      </c>
      <c r="BD121" s="403" t="str">
        <f>IFERROR(IF($C121&lt;1,"",BD$3*일별반별!BG121),0)</f>
        <v/>
      </c>
      <c r="BE121" s="403" t="str">
        <f>IFERROR(IF($C121&lt;1,"",BE$3*일별반별!BH121),0)</f>
        <v/>
      </c>
      <c r="BF121" s="403" t="str">
        <f>IFERROR(IF($C121&lt;1,"",BF$3*일별반별!BI121),0)</f>
        <v/>
      </c>
      <c r="BG121" s="403" t="str">
        <f>IFERROR(IF($C121&lt;1,"",BG$3*일별반별!BJ121),0)</f>
        <v/>
      </c>
      <c r="BH121" s="403" t="str">
        <f>IFERROR(IF($C121&lt;1,"",BH$3*일별반별!BK121),0)</f>
        <v/>
      </c>
      <c r="BI121" s="403" t="str">
        <f>IFERROR(IF($C121&lt;1,"",BI$3*일별반별!BL121),0)</f>
        <v/>
      </c>
      <c r="BJ121" s="403" t="str">
        <f>IFERROR(IF($C121&lt;1,"",BJ$3*일별반별!BM121),0)</f>
        <v/>
      </c>
      <c r="BK121" s="403" t="str">
        <f>IFERROR(IF($C121&lt;1,"",BK$3*일별반별!BN121),0)</f>
        <v/>
      </c>
      <c r="BL121" s="403" t="str">
        <f>IFERROR(IF($C121&lt;1,"",BL$3*일별반별!BH121),0)</f>
        <v/>
      </c>
      <c r="BM121" s="403" t="str">
        <f>IFERROR(IF($C121&lt;1,"",BM$3*일별반별!BP121),0)</f>
        <v/>
      </c>
      <c r="BN121" s="403" t="str">
        <f>IFERROR(IF($C121&lt;1,"",BN$3*일별반별!BQ121),0)</f>
        <v/>
      </c>
      <c r="BO121" s="403" t="str">
        <f>IFERROR(IF($C121&lt;1,"",BO$3*일별반별!BR121),0)</f>
        <v/>
      </c>
      <c r="BP121" s="403" t="str">
        <f>IFERROR(IF($C121&lt;1,"",BP$3*일별반별!BS121),0)</f>
        <v/>
      </c>
      <c r="BQ121" s="403" t="str">
        <f>IFERROR(IF($C121&lt;1,"",BQ$3*일별반별!BT121),0)</f>
        <v/>
      </c>
      <c r="BR121" s="337" t="str">
        <f>IFERROR(IF($C121&lt;1,"",BR$3*일별반별!BU121),0)</f>
        <v/>
      </c>
      <c r="BS121" s="337" t="str">
        <f>IFERROR(IF($C121&lt;1,"",BS$3*일별반별!BV121),0)</f>
        <v/>
      </c>
      <c r="BT121" s="337" t="str">
        <f>IFERROR(IF($C121&lt;1,"",BT$3*일별반별!BW121),0)</f>
        <v/>
      </c>
      <c r="BU121" s="337" t="str">
        <f>IFERROR(IF($C121&lt;1,"",BU$3*일별반별!BX121),0)</f>
        <v/>
      </c>
      <c r="BV121" s="337" t="str">
        <f>IFERROR(IF($C121&lt;1,"",BV$3*일별반별!BY121),0)</f>
        <v/>
      </c>
      <c r="BW121" s="337" t="str">
        <f>IFERROR(IF($C121&lt;1,"",BW$3*일별반별!BZ121),0)</f>
        <v/>
      </c>
      <c r="BX121" s="337" t="str">
        <f>IFERROR(IF($C121&lt;1,"",BX$3*일별반별!CA121),0)</f>
        <v/>
      </c>
      <c r="BY121" s="337" t="str">
        <f>IFERROR(IF($C121&lt;1,"",BY$3*일별반별!CB121),0)</f>
        <v/>
      </c>
      <c r="BZ121" s="337" t="str">
        <f>IFERROR(IF($C121&lt;1,"",BZ$3*일별반별!CC121),0)</f>
        <v/>
      </c>
      <c r="CA121" s="337" t="str">
        <f>IFERROR(IF($C121&lt;1,"",CA$3*일별반별!CD121),0)</f>
        <v/>
      </c>
      <c r="CB121" s="337" t="str">
        <f>IFERROR(IF($C121&lt;1,"",CB$3*일별반별!CE121),0)</f>
        <v/>
      </c>
      <c r="CC121" s="337" t="str">
        <f>IFERROR(IF($C121&lt;1,"",CC$3*일별반별!CF121),0)</f>
        <v/>
      </c>
      <c r="CD121" s="337" t="str">
        <f>IFERROR(IF($C121&lt;1,"",CD$3*일별반별!CG121),0)</f>
        <v/>
      </c>
      <c r="CE121" s="337" t="str">
        <f>IFERROR(IF($C121&lt;1,"",CE$3*일별반별!CH121),0)</f>
        <v/>
      </c>
      <c r="CF121" s="337" t="str">
        <f>IFERROR(IF($C121&lt;1,"",CF$3*일별반별!CI121),0)</f>
        <v/>
      </c>
      <c r="CG121" s="337" t="str">
        <f>IFERROR(IF($C121&lt;1,"",CG$3*일별반별!CJ121),0)</f>
        <v/>
      </c>
      <c r="CH121" s="337" t="str">
        <f>IFERROR(IF($C121&lt;1,"",CH$3*일별반별!CK121),0)</f>
        <v/>
      </c>
      <c r="CI121" s="337" t="str">
        <f>IFERROR(IF($C121&lt;1,"",CI$3*일별반별!CL121),0)</f>
        <v/>
      </c>
      <c r="CJ121" s="337" t="str">
        <f>IFERROR(IF($C121&lt;1,"",CJ$3*일별반별!CM121),0)</f>
        <v/>
      </c>
      <c r="CK121" s="337" t="str">
        <f>IFERROR(IF($C121&lt;1,"",CK$3*일별반별!CN121),0)</f>
        <v/>
      </c>
      <c r="CL121" s="337" t="str">
        <f>IFERROR(IF($C121&lt;1,"",CL$3*일별반별!CO121),0)</f>
        <v/>
      </c>
      <c r="CM121" s="337" t="str">
        <f>IFERROR(IF($C121&lt;1,"",CM$3*일별반별!CP121),0)</f>
        <v/>
      </c>
      <c r="CN121" s="337" t="str">
        <f>IFERROR(IF($C121&lt;1,"",CN$3*일별반별!CQ121),0)</f>
        <v/>
      </c>
      <c r="CO121" s="337" t="str">
        <f>IFERROR(IF($C121&lt;1,"",CO$3*일별반별!CR121),0)</f>
        <v/>
      </c>
      <c r="CP121" s="337" t="str">
        <f>IFERROR(IF($C121&lt;1,"",CP$3*일별반별!CS121),0)</f>
        <v/>
      </c>
      <c r="CQ121" s="337" t="str">
        <f>IFERROR(IF($C121&lt;1,"",CQ$3*일별반별!CT121),0)</f>
        <v/>
      </c>
      <c r="CR121" s="420" t="str">
        <f>IFERROR(IF($C121&lt;1,"",CR$3*일별반별!CU121),0)</f>
        <v/>
      </c>
      <c r="CS121" s="420" t="str">
        <f>IFERROR(IF($C121&lt;1,"",CS$3*일별반별!CV121),0)</f>
        <v/>
      </c>
      <c r="CT121" s="337" t="str">
        <f>IFERROR(IF($C121&lt;1,"",CT$3*일별반별!CW121),0)</f>
        <v/>
      </c>
      <c r="CU121" s="337" t="str">
        <f>IFERROR(IF($C121&lt;1,"",CU$3*일별반별!CX121),0)</f>
        <v/>
      </c>
      <c r="CV121" s="337" t="str">
        <f>IFERROR(IF($C121&lt;1,"",CV$3*일별반별!CY121),0)</f>
        <v/>
      </c>
      <c r="CW121" s="337" t="str">
        <f>IFERROR(IF($C121&lt;1,"",CW$3*일별반별!CZ121),0)</f>
        <v/>
      </c>
      <c r="CX121" s="337" t="str">
        <f>IFERROR(IF($C121&lt;1,"",CX$3*일별반별!DA121),0)</f>
        <v/>
      </c>
      <c r="CY121" s="316" t="str">
        <f>IF(C121&lt;1,"",(CY$3*'09월 조업일지'!AV$7))</f>
        <v/>
      </c>
      <c r="CZ121" s="316" t="str">
        <f t="shared" si="7"/>
        <v/>
      </c>
      <c r="DA121" s="316" t="str">
        <f t="shared" si="7"/>
        <v/>
      </c>
      <c r="DB121" s="316" t="str">
        <f t="shared" si="7"/>
        <v/>
      </c>
      <c r="DC121" s="316"/>
      <c r="DD121" s="419"/>
    </row>
    <row r="122" spans="1:108" ht="15" customHeight="1">
      <c r="A122" s="274">
        <f t="shared" si="6"/>
        <v>44036</v>
      </c>
      <c r="B122" s="275" t="s">
        <v>9</v>
      </c>
      <c r="C122" s="201">
        <f>COUNTIFS('09월 조업일지'!$A$12:$A$952,A121,'09월 조업일지'!$E$12:$E$952,B122)</f>
        <v>0</v>
      </c>
      <c r="D122" s="314">
        <f>IF(C122&lt;1,0,(SUM(E122:CX122)/(일별반별!BV122-1.5)+(CY122+CZ122+DA122+DB122)))</f>
        <v>0</v>
      </c>
      <c r="E122" s="278"/>
      <c r="F122" s="281"/>
      <c r="G122" s="282"/>
      <c r="H122" s="283"/>
      <c r="I122" s="283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326"/>
      <c r="U122" s="395" t="str">
        <f>IFERROR(IF($C122&lt;1,"",U$3*일별반별!X122),0)</f>
        <v/>
      </c>
      <c r="V122" s="395" t="str">
        <f>IFERROR(IF($C122&lt;1,"",V$3*일별반별!Y122),0)</f>
        <v/>
      </c>
      <c r="W122" s="395" t="str">
        <f>IFERROR(IF($C122&lt;1,"",W$3*일별반별!Z122),0)</f>
        <v/>
      </c>
      <c r="X122" s="208" t="str">
        <f>IFERROR(IF($C122&lt;1,"",X$3*일별반별!AA122),0)</f>
        <v/>
      </c>
      <c r="Y122" s="208" t="str">
        <f>IFERROR(IF($C122&lt;1,"",Y$3*일별반별!AB122),0)</f>
        <v/>
      </c>
      <c r="Z122" s="208" t="str">
        <f>IFERROR(IF($C122&lt;1,"",Z$3*일별반별!AC122),0)</f>
        <v/>
      </c>
      <c r="AA122" s="395" t="str">
        <f>IFERROR(IF($C122&lt;1,"",AA$3*일별반별!AD122),0)</f>
        <v/>
      </c>
      <c r="AB122" s="395" t="str">
        <f>IFERROR(IF($C122&lt;1,"",AB$3*일별반별!AE122),0)</f>
        <v/>
      </c>
      <c r="AC122" s="208" t="str">
        <f>IFERROR(IF($C122&lt;1,"",AC$3*일별반별!AF122),0)</f>
        <v/>
      </c>
      <c r="AD122" s="208" t="str">
        <f>IFERROR(IF($C122&lt;1,"",AD$3*일별반별!AG122),0)</f>
        <v/>
      </c>
      <c r="AE122" s="208" t="str">
        <f>IFERROR(IF($C122&lt;1,"",AE$3*일별반별!AH122),0)</f>
        <v/>
      </c>
      <c r="AF122" s="395" t="str">
        <f>IFERROR(IF($C122&lt;1,"",AF$3*일별반별!AI122),0)</f>
        <v/>
      </c>
      <c r="AG122" s="395" t="str">
        <f>IFERROR(IF($C122&lt;1,"",AG$3*일별반별!AJ122),0)</f>
        <v/>
      </c>
      <c r="AH122" s="395" t="str">
        <f>IFERROR(IF($C122&lt;1,"",AH$3*일별반별!AK122),0)</f>
        <v/>
      </c>
      <c r="AI122" s="395" t="str">
        <f>IFERROR(IF($C122&lt;1,"",AI$3*일별반별!AL122),0)</f>
        <v/>
      </c>
      <c r="AJ122" s="395" t="str">
        <f>IFERROR(IF($C122&lt;1,"",AJ$3*일별반별!AM122),0)</f>
        <v/>
      </c>
      <c r="AK122" s="395" t="str">
        <f>IFERROR(IF($C122&lt;1,"",AK$3*일별반별!AN122),0)</f>
        <v/>
      </c>
      <c r="AL122" s="395" t="str">
        <f>IFERROR(IF($C122&lt;1,"",AL$3*일별반별!AO122),0)</f>
        <v/>
      </c>
      <c r="AM122" s="395" t="str">
        <f>IFERROR(IF($C122&lt;1,"",AM$3*일별반별!AP122),0)</f>
        <v/>
      </c>
      <c r="AN122" s="395" t="str">
        <f>IFERROR(IF($C122&lt;1,"",AN$3*일별반별!AQ122),0)</f>
        <v/>
      </c>
      <c r="AO122" s="395" t="str">
        <f>IFERROR(IF($C122&lt;1,"",AO$3*일별반별!AR122),0)</f>
        <v/>
      </c>
      <c r="AP122" s="347" t="str">
        <f>IFERROR(IF($C122&lt;1,"",AP$3*일별반별!AS122),0)</f>
        <v/>
      </c>
      <c r="AQ122" s="347" t="str">
        <f>IFERROR(IF($C122&lt;1,"",AQ$3*일별반별!AT122),0)</f>
        <v/>
      </c>
      <c r="AR122" s="316" t="str">
        <f>IFERROR(IF($C122&lt;1,"",AR$3*일별반별!AU122),0)</f>
        <v/>
      </c>
      <c r="AS122" s="401" t="str">
        <f>IFERROR(IF($C122&lt;1,"",AS$3*일별반별!AV122),0)</f>
        <v/>
      </c>
      <c r="AT122" s="401" t="str">
        <f>IFERROR(IF($C122&lt;1,"",AT$3*일별반별!AW122),0)</f>
        <v/>
      </c>
      <c r="AU122" s="401" t="str">
        <f>IFERROR(IF($C122&lt;1,"",AU$3*일별반별!AX122),0)</f>
        <v/>
      </c>
      <c r="AV122" s="401" t="str">
        <f>IFERROR(IF($C122&lt;1,"",AV$3*일별반별!AY122),0)</f>
        <v/>
      </c>
      <c r="AW122" s="401" t="str">
        <f>IFERROR(IF($C122&lt;1,"",AW$3*일별반별!AZ122),0)</f>
        <v/>
      </c>
      <c r="AX122" s="401" t="str">
        <f>IFERROR(IF($C122&lt;1,"",AX$3*일별반별!BA122),0)</f>
        <v/>
      </c>
      <c r="AY122" s="401" t="str">
        <f>IFERROR(IF($C122&lt;1,"",AY$3*일별반별!BB122),0)</f>
        <v/>
      </c>
      <c r="AZ122" s="401" t="str">
        <f>IFERROR(IF($C122&lt;1,"",AZ$3*일별반별!BC122),0)</f>
        <v/>
      </c>
      <c r="BA122" s="401" t="str">
        <f>IFERROR(IF($C122&lt;1,"",BA$3*일별반별!BD122),0)</f>
        <v/>
      </c>
      <c r="BB122" s="402" t="str">
        <f>IFERROR(IF($C122&lt;1,"",BB$3*일별반별!BE122),0)</f>
        <v/>
      </c>
      <c r="BC122" s="402" t="str">
        <f>IFERROR(IF($C122&lt;1,"",BC$3*일별반별!BF122),0)</f>
        <v/>
      </c>
      <c r="BD122" s="402" t="str">
        <f>IFERROR(IF($C122&lt;1,"",BD$3*일별반별!BG122),0)</f>
        <v/>
      </c>
      <c r="BE122" s="402" t="str">
        <f>IFERROR(IF($C122&lt;1,"",BE$3*일별반별!BH122),0)</f>
        <v/>
      </c>
      <c r="BF122" s="402" t="str">
        <f>IFERROR(IF($C122&lt;1,"",BF$3*일별반별!BI122),0)</f>
        <v/>
      </c>
      <c r="BG122" s="402" t="str">
        <f>IFERROR(IF($C122&lt;1,"",BG$3*일별반별!BJ122),0)</f>
        <v/>
      </c>
      <c r="BH122" s="402" t="str">
        <f>IFERROR(IF($C122&lt;1,"",BH$3*일별반별!BK122),0)</f>
        <v/>
      </c>
      <c r="BI122" s="402" t="str">
        <f>IFERROR(IF($C122&lt;1,"",BI$3*일별반별!BL122),0)</f>
        <v/>
      </c>
      <c r="BJ122" s="402" t="str">
        <f>IFERROR(IF($C122&lt;1,"",BJ$3*일별반별!BM122),0)</f>
        <v/>
      </c>
      <c r="BK122" s="402" t="str">
        <f>IFERROR(IF($C122&lt;1,"",BK$3*일별반별!BN122),0)</f>
        <v/>
      </c>
      <c r="BL122" s="402" t="str">
        <f>IFERROR(IF($C122&lt;1,"",BL$3*일별반별!BH122),0)</f>
        <v/>
      </c>
      <c r="BM122" s="402" t="str">
        <f>IFERROR(IF($C122&lt;1,"",BM$3*일별반별!BP122),0)</f>
        <v/>
      </c>
      <c r="BN122" s="401" t="str">
        <f>IFERROR(IF($C122&lt;1,"",BN$3*일별반별!BQ122),0)</f>
        <v/>
      </c>
      <c r="BO122" s="401" t="str">
        <f>IFERROR(IF($C122&lt;1,"",BO$3*일별반별!BR122),0)</f>
        <v/>
      </c>
      <c r="BP122" s="401" t="str">
        <f>IFERROR(IF($C122&lt;1,"",BP$3*일별반별!BS122),0)</f>
        <v/>
      </c>
      <c r="BQ122" s="401" t="str">
        <f>IFERROR(IF($C122&lt;1,"",BQ$3*일별반별!BT122),0)</f>
        <v/>
      </c>
      <c r="BR122" s="417" t="str">
        <f>IFERROR(IF($C122&lt;1,"",BR$3*일별반별!BU122),0)</f>
        <v/>
      </c>
      <c r="BS122" s="417" t="str">
        <f>IFERROR(IF($C122&lt;1,"",BS$3*일별반별!BV122),0)</f>
        <v/>
      </c>
      <c r="BT122" s="417" t="str">
        <f>IFERROR(IF($C122&lt;1,"",BT$3*일별반별!BW122),0)</f>
        <v/>
      </c>
      <c r="BU122" s="316" t="str">
        <f>IFERROR(IF($C122&lt;1,"",BU$3*일별반별!BX122),0)</f>
        <v/>
      </c>
      <c r="BV122" s="316" t="str">
        <f>IFERROR(IF($C122&lt;1,"",BV$3*일별반별!BY122),0)</f>
        <v/>
      </c>
      <c r="BW122" s="316" t="str">
        <f>IFERROR(IF($C122&lt;1,"",BW$3*일별반별!BZ122),0)</f>
        <v/>
      </c>
      <c r="BX122" s="316" t="str">
        <f>IFERROR(IF($C122&lt;1,"",BX$3*일별반별!CA122),0)</f>
        <v/>
      </c>
      <c r="BY122" s="316" t="str">
        <f>IFERROR(IF($C122&lt;1,"",BY$3*일별반별!CB122),0)</f>
        <v/>
      </c>
      <c r="BZ122" s="316" t="str">
        <f>IFERROR(IF($C122&lt;1,"",BZ$3*일별반별!CC122),0)</f>
        <v/>
      </c>
      <c r="CA122" s="316" t="str">
        <f>IFERROR(IF($C122&lt;1,"",CA$3*일별반별!CD122),0)</f>
        <v/>
      </c>
      <c r="CB122" s="316" t="str">
        <f>IFERROR(IF($C122&lt;1,"",CB$3*일별반별!CE122),0)</f>
        <v/>
      </c>
      <c r="CC122" s="316" t="str">
        <f>IFERROR(IF($C122&lt;1,"",CC$3*일별반별!CF122),0)</f>
        <v/>
      </c>
      <c r="CD122" s="316" t="str">
        <f>IFERROR(IF($C122&lt;1,"",CD$3*일별반별!CG122),0)</f>
        <v/>
      </c>
      <c r="CE122" s="316" t="str">
        <f>IFERROR(IF($C122&lt;1,"",CE$3*일별반별!CH122),0)</f>
        <v/>
      </c>
      <c r="CF122" s="316" t="str">
        <f>IFERROR(IF($C122&lt;1,"",CF$3*일별반별!CI122),0)</f>
        <v/>
      </c>
      <c r="CG122" s="316" t="str">
        <f>IFERROR(IF($C122&lt;1,"",CG$3*일별반별!CJ122),0)</f>
        <v/>
      </c>
      <c r="CH122" s="316" t="str">
        <f>IFERROR(IF($C122&lt;1,"",CH$3*일별반별!CK122),0)</f>
        <v/>
      </c>
      <c r="CI122" s="316" t="str">
        <f>IFERROR(IF($C122&lt;1,"",CI$3*일별반별!CL122),0)</f>
        <v/>
      </c>
      <c r="CJ122" s="316" t="str">
        <f>IFERROR(IF($C122&lt;1,"",CJ$3*일별반별!CM122),0)</f>
        <v/>
      </c>
      <c r="CK122" s="316" t="str">
        <f>IFERROR(IF($C122&lt;1,"",CK$3*일별반별!CN122),0)</f>
        <v/>
      </c>
      <c r="CL122" s="316" t="str">
        <f>IFERROR(IF($C122&lt;1,"",CL$3*일별반별!CO122),0)</f>
        <v/>
      </c>
      <c r="CM122" s="316" t="str">
        <f>IFERROR(IF($C122&lt;1,"",CM$3*일별반별!CP122),0)</f>
        <v/>
      </c>
      <c r="CN122" s="316" t="str">
        <f>IFERROR(IF($C122&lt;1,"",CN$3*일별반별!CQ122),0)</f>
        <v/>
      </c>
      <c r="CO122" s="316" t="str">
        <f>IFERROR(IF($C122&lt;1,"",CO$3*일별반별!CR122),0)</f>
        <v/>
      </c>
      <c r="CP122" s="316" t="str">
        <f>IFERROR(IF($C122&lt;1,"",CP$3*일별반별!CS122),0)</f>
        <v/>
      </c>
      <c r="CQ122" s="316" t="str">
        <f>IFERROR(IF($C122&lt;1,"",CQ$3*일별반별!CT122),0)</f>
        <v/>
      </c>
      <c r="CR122" s="418" t="str">
        <f>IFERROR(IF($C122&lt;1,"",CR$3*일별반별!CU122),0)</f>
        <v/>
      </c>
      <c r="CS122" s="418" t="str">
        <f>IFERROR(IF($C122&lt;1,"",CS$3*일별반별!CV122),0)</f>
        <v/>
      </c>
      <c r="CT122" s="316" t="str">
        <f>IFERROR(IF($C122&lt;1,"",CT$3*일별반별!CW122),0)</f>
        <v/>
      </c>
      <c r="CU122" s="316" t="str">
        <f>IFERROR(IF($C122&lt;1,"",CU$3*일별반별!CX122),0)</f>
        <v/>
      </c>
      <c r="CV122" s="316" t="str">
        <f>IFERROR(IF($C122&lt;1,"",CV$3*일별반별!CY122),0)</f>
        <v/>
      </c>
      <c r="CW122" s="316" t="str">
        <f>IFERROR(IF($C122&lt;1,"",CW$3*일별반별!CZ122),0)</f>
        <v/>
      </c>
      <c r="CX122" s="316" t="str">
        <f>IFERROR(IF($C122&lt;1,"",CX$3*일별반별!DA122),0)</f>
        <v/>
      </c>
      <c r="CY122" s="316" t="str">
        <f>IF(C122&lt;1,"",(CY$3*'09월 조업일지'!AV$7))</f>
        <v/>
      </c>
      <c r="CZ122" s="316" t="str">
        <f t="shared" si="7"/>
        <v/>
      </c>
      <c r="DA122" s="316" t="str">
        <f t="shared" si="7"/>
        <v/>
      </c>
      <c r="DB122" s="316" t="str">
        <f t="shared" si="7"/>
        <v/>
      </c>
      <c r="DC122" s="316"/>
      <c r="DD122" s="419"/>
    </row>
    <row r="123" spans="1:108" ht="15" customHeight="1">
      <c r="A123" s="274">
        <f t="shared" si="6"/>
        <v>44036</v>
      </c>
      <c r="B123" s="275" t="s">
        <v>100</v>
      </c>
      <c r="C123" s="201">
        <f>COUNTIFS('09월 조업일지'!$A$12:$A$952,A121,'09월 조업일지'!$E$12:$E$952,B123)</f>
        <v>0</v>
      </c>
      <c r="D123" s="314">
        <f>IF(C123&lt;1,0,(SUM(E123:CX123)/(일별반별!BV123-1.5)+(CY123+CZ123+DA123+DB123)))</f>
        <v>0</v>
      </c>
      <c r="E123" s="278"/>
      <c r="F123" s="281"/>
      <c r="G123" s="282"/>
      <c r="H123" s="283"/>
      <c r="I123" s="283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326"/>
      <c r="U123" s="395" t="str">
        <f>IFERROR(IF($C123&lt;1,"",U$3*일별반별!X123),0)</f>
        <v/>
      </c>
      <c r="V123" s="395" t="str">
        <f>IFERROR(IF($C123&lt;1,"",V$3*일별반별!Y123),0)</f>
        <v/>
      </c>
      <c r="W123" s="395" t="str">
        <f>IFERROR(IF($C123&lt;1,"",W$3*일별반별!Z123),0)</f>
        <v/>
      </c>
      <c r="X123" s="208" t="str">
        <f>IFERROR(IF($C123&lt;1,"",X$3*일별반별!AA123),0)</f>
        <v/>
      </c>
      <c r="Y123" s="208" t="str">
        <f>IFERROR(IF($C123&lt;1,"",Y$3*일별반별!AB123),0)</f>
        <v/>
      </c>
      <c r="Z123" s="208" t="str">
        <f>IFERROR(IF($C123&lt;1,"",Z$3*일별반별!AC123),0)</f>
        <v/>
      </c>
      <c r="AA123" s="395" t="str">
        <f>IFERROR(IF($C123&lt;1,"",AA$3*일별반별!AD123),0)</f>
        <v/>
      </c>
      <c r="AB123" s="395" t="str">
        <f>IFERROR(IF($C123&lt;1,"",AB$3*일별반별!AE123),0)</f>
        <v/>
      </c>
      <c r="AC123" s="208" t="str">
        <f>IFERROR(IF($C123&lt;1,"",AC$3*일별반별!AF123),0)</f>
        <v/>
      </c>
      <c r="AD123" s="208" t="str">
        <f>IFERROR(IF($C123&lt;1,"",AD$3*일별반별!AG123),0)</f>
        <v/>
      </c>
      <c r="AE123" s="208" t="str">
        <f>IFERROR(IF($C123&lt;1,"",AE$3*일별반별!AH123),0)</f>
        <v/>
      </c>
      <c r="AF123" s="395" t="str">
        <f>IFERROR(IF($C123&lt;1,"",AF$3*일별반별!AI123),0)</f>
        <v/>
      </c>
      <c r="AG123" s="395" t="str">
        <f>IFERROR(IF($C123&lt;1,"",AG$3*일별반별!AJ123),0)</f>
        <v/>
      </c>
      <c r="AH123" s="395" t="str">
        <f>IFERROR(IF($C123&lt;1,"",AH$3*일별반별!AK123),0)</f>
        <v/>
      </c>
      <c r="AI123" s="395" t="str">
        <f>IFERROR(IF($C123&lt;1,"",AI$3*일별반별!AL123),0)</f>
        <v/>
      </c>
      <c r="AJ123" s="395" t="str">
        <f>IFERROR(IF($C123&lt;1,"",AJ$3*일별반별!AM123),0)</f>
        <v/>
      </c>
      <c r="AK123" s="395" t="str">
        <f>IFERROR(IF($C123&lt;1,"",AK$3*일별반별!AN123),0)</f>
        <v/>
      </c>
      <c r="AL123" s="395" t="str">
        <f>IFERROR(IF($C123&lt;1,"",AL$3*일별반별!AO123),0)</f>
        <v/>
      </c>
      <c r="AM123" s="395" t="str">
        <f>IFERROR(IF($C123&lt;1,"",AM$3*일별반별!AP123),0)</f>
        <v/>
      </c>
      <c r="AN123" s="395" t="str">
        <f>IFERROR(IF($C123&lt;1,"",AN$3*일별반별!AQ123),0)</f>
        <v/>
      </c>
      <c r="AO123" s="395" t="str">
        <f>IFERROR(IF($C123&lt;1,"",AO$3*일별반별!AR123),0)</f>
        <v/>
      </c>
      <c r="AP123" s="347" t="str">
        <f>IFERROR(IF($C123&lt;1,"",AP$3*일별반별!AS123),0)</f>
        <v/>
      </c>
      <c r="AQ123" s="347" t="str">
        <f>IFERROR(IF($C123&lt;1,"",AQ$3*일별반별!AT123),0)</f>
        <v/>
      </c>
      <c r="AR123" s="316" t="str">
        <f>IFERROR(IF($C123&lt;1,"",AR$3*일별반별!AU123),0)</f>
        <v/>
      </c>
      <c r="AS123" s="401" t="str">
        <f>IFERROR(IF($C123&lt;1,"",AS$3*일별반별!AV123),0)</f>
        <v/>
      </c>
      <c r="AT123" s="401" t="str">
        <f>IFERROR(IF($C123&lt;1,"",AT$3*일별반별!AW123),0)</f>
        <v/>
      </c>
      <c r="AU123" s="401" t="str">
        <f>IFERROR(IF($C123&lt;1,"",AU$3*일별반별!AX123),0)</f>
        <v/>
      </c>
      <c r="AV123" s="401" t="str">
        <f>IFERROR(IF($C123&lt;1,"",AV$3*일별반별!AY123),0)</f>
        <v/>
      </c>
      <c r="AW123" s="401" t="str">
        <f>IFERROR(IF($C123&lt;1,"",AW$3*일별반별!AZ123),0)</f>
        <v/>
      </c>
      <c r="AX123" s="401" t="str">
        <f>IFERROR(IF($C123&lt;1,"",AX$3*일별반별!BA123),0)</f>
        <v/>
      </c>
      <c r="AY123" s="401" t="str">
        <f>IFERROR(IF($C123&lt;1,"",AY$3*일별반별!BB123),0)</f>
        <v/>
      </c>
      <c r="AZ123" s="401" t="str">
        <f>IFERROR(IF($C123&lt;1,"",AZ$3*일별반별!BC123),0)</f>
        <v/>
      </c>
      <c r="BA123" s="401" t="str">
        <f>IFERROR(IF($C123&lt;1,"",BA$3*일별반별!BD123),0)</f>
        <v/>
      </c>
      <c r="BB123" s="402" t="str">
        <f>IFERROR(IF($C123&lt;1,"",BB$3*일별반별!BE123),0)</f>
        <v/>
      </c>
      <c r="BC123" s="402" t="str">
        <f>IFERROR(IF($C123&lt;1,"",BC$3*일별반별!BF123),0)</f>
        <v/>
      </c>
      <c r="BD123" s="402" t="str">
        <f>IFERROR(IF($C123&lt;1,"",BD$3*일별반별!BG123),0)</f>
        <v/>
      </c>
      <c r="BE123" s="402" t="str">
        <f>IFERROR(IF($C123&lt;1,"",BE$3*일별반별!BH123),0)</f>
        <v/>
      </c>
      <c r="BF123" s="402" t="str">
        <f>IFERROR(IF($C123&lt;1,"",BF$3*일별반별!BI123),0)</f>
        <v/>
      </c>
      <c r="BG123" s="402" t="str">
        <f>IFERROR(IF($C123&lt;1,"",BG$3*일별반별!BJ123),0)</f>
        <v/>
      </c>
      <c r="BH123" s="402" t="str">
        <f>IFERROR(IF($C123&lt;1,"",BH$3*일별반별!BK123),0)</f>
        <v/>
      </c>
      <c r="BI123" s="402" t="str">
        <f>IFERROR(IF($C123&lt;1,"",BI$3*일별반별!BL123),0)</f>
        <v/>
      </c>
      <c r="BJ123" s="402" t="str">
        <f>IFERROR(IF($C123&lt;1,"",BJ$3*일별반별!BM123),0)</f>
        <v/>
      </c>
      <c r="BK123" s="402" t="str">
        <f>IFERROR(IF($C123&lt;1,"",BK$3*일별반별!BN123),0)</f>
        <v/>
      </c>
      <c r="BL123" s="402" t="str">
        <f>IFERROR(IF($C123&lt;1,"",BL$3*일별반별!BH123),0)</f>
        <v/>
      </c>
      <c r="BM123" s="402" t="str">
        <f>IFERROR(IF($C123&lt;1,"",BM$3*일별반별!BP123),0)</f>
        <v/>
      </c>
      <c r="BN123" s="401" t="str">
        <f>IFERROR(IF($C123&lt;1,"",BN$3*일별반별!BQ123),0)</f>
        <v/>
      </c>
      <c r="BO123" s="401" t="str">
        <f>IFERROR(IF($C123&lt;1,"",BO$3*일별반별!BR123),0)</f>
        <v/>
      </c>
      <c r="BP123" s="401" t="str">
        <f>IFERROR(IF($C123&lt;1,"",BP$3*일별반별!BS123),0)</f>
        <v/>
      </c>
      <c r="BQ123" s="401" t="str">
        <f>IFERROR(IF($C123&lt;1,"",BQ$3*일별반별!BT123),0)</f>
        <v/>
      </c>
      <c r="BR123" s="417" t="str">
        <f>IFERROR(IF($C123&lt;1,"",BR$3*일별반별!BU123),0)</f>
        <v/>
      </c>
      <c r="BS123" s="417" t="str">
        <f>IFERROR(IF($C123&lt;1,"",BS$3*일별반별!BV123),0)</f>
        <v/>
      </c>
      <c r="BT123" s="417" t="str">
        <f>IFERROR(IF($C123&lt;1,"",BT$3*일별반별!BW123),0)</f>
        <v/>
      </c>
      <c r="BU123" s="316" t="str">
        <f>IFERROR(IF($C123&lt;1,"",BU$3*일별반별!BX123),0)</f>
        <v/>
      </c>
      <c r="BV123" s="316" t="str">
        <f>IFERROR(IF($C123&lt;1,"",BV$3*일별반별!BY123),0)</f>
        <v/>
      </c>
      <c r="BW123" s="316" t="str">
        <f>IFERROR(IF($C123&lt;1,"",BW$3*일별반별!BZ123),0)</f>
        <v/>
      </c>
      <c r="BX123" s="316" t="str">
        <f>IFERROR(IF($C123&lt;1,"",BX$3*일별반별!CA123),0)</f>
        <v/>
      </c>
      <c r="BY123" s="316" t="str">
        <f>IFERROR(IF($C123&lt;1,"",BY$3*일별반별!CB123),0)</f>
        <v/>
      </c>
      <c r="BZ123" s="316" t="str">
        <f>IFERROR(IF($C123&lt;1,"",BZ$3*일별반별!CC123),0)</f>
        <v/>
      </c>
      <c r="CA123" s="316" t="str">
        <f>IFERROR(IF($C123&lt;1,"",CA$3*일별반별!CD123),0)</f>
        <v/>
      </c>
      <c r="CB123" s="316" t="str">
        <f>IFERROR(IF($C123&lt;1,"",CB$3*일별반별!CE123),0)</f>
        <v/>
      </c>
      <c r="CC123" s="316" t="str">
        <f>IFERROR(IF($C123&lt;1,"",CC$3*일별반별!CF123),0)</f>
        <v/>
      </c>
      <c r="CD123" s="316" t="str">
        <f>IFERROR(IF($C123&lt;1,"",CD$3*일별반별!CG123),0)</f>
        <v/>
      </c>
      <c r="CE123" s="316" t="str">
        <f>IFERROR(IF($C123&lt;1,"",CE$3*일별반별!CH123),0)</f>
        <v/>
      </c>
      <c r="CF123" s="316" t="str">
        <f>IFERROR(IF($C123&lt;1,"",CF$3*일별반별!CI123),0)</f>
        <v/>
      </c>
      <c r="CG123" s="316" t="str">
        <f>IFERROR(IF($C123&lt;1,"",CG$3*일별반별!CJ123),0)</f>
        <v/>
      </c>
      <c r="CH123" s="316" t="str">
        <f>IFERROR(IF($C123&lt;1,"",CH$3*일별반별!CK123),0)</f>
        <v/>
      </c>
      <c r="CI123" s="316" t="str">
        <f>IFERROR(IF($C123&lt;1,"",CI$3*일별반별!CL123),0)</f>
        <v/>
      </c>
      <c r="CJ123" s="316" t="str">
        <f>IFERROR(IF($C123&lt;1,"",CJ$3*일별반별!CM123),0)</f>
        <v/>
      </c>
      <c r="CK123" s="316" t="str">
        <f>IFERROR(IF($C123&lt;1,"",CK$3*일별반별!CN123),0)</f>
        <v/>
      </c>
      <c r="CL123" s="316" t="str">
        <f>IFERROR(IF($C123&lt;1,"",CL$3*일별반별!CO123),0)</f>
        <v/>
      </c>
      <c r="CM123" s="316" t="str">
        <f>IFERROR(IF($C123&lt;1,"",CM$3*일별반별!CP123),0)</f>
        <v/>
      </c>
      <c r="CN123" s="316" t="str">
        <f>IFERROR(IF($C123&lt;1,"",CN$3*일별반별!CQ123),0)</f>
        <v/>
      </c>
      <c r="CO123" s="316" t="str">
        <f>IFERROR(IF($C123&lt;1,"",CO$3*일별반별!CR123),0)</f>
        <v/>
      </c>
      <c r="CP123" s="316" t="str">
        <f>IFERROR(IF($C123&lt;1,"",CP$3*일별반별!CS123),0)</f>
        <v/>
      </c>
      <c r="CQ123" s="316" t="str">
        <f>IFERROR(IF($C123&lt;1,"",CQ$3*일별반별!CT123),0)</f>
        <v/>
      </c>
      <c r="CR123" s="418" t="str">
        <f>IFERROR(IF($C123&lt;1,"",CR$3*일별반별!CU123),0)</f>
        <v/>
      </c>
      <c r="CS123" s="418" t="str">
        <f>IFERROR(IF($C123&lt;1,"",CS$3*일별반별!CV123),0)</f>
        <v/>
      </c>
      <c r="CT123" s="316" t="str">
        <f>IFERROR(IF($C123&lt;1,"",CT$3*일별반별!CW123),0)</f>
        <v/>
      </c>
      <c r="CU123" s="316" t="str">
        <f>IFERROR(IF($C123&lt;1,"",CU$3*일별반별!CX123),0)</f>
        <v/>
      </c>
      <c r="CV123" s="316" t="str">
        <f>IFERROR(IF($C123&lt;1,"",CV$3*일별반별!CY123),0)</f>
        <v/>
      </c>
      <c r="CW123" s="316" t="str">
        <f>IFERROR(IF($C123&lt;1,"",CW$3*일별반별!CZ123),0)</f>
        <v/>
      </c>
      <c r="CX123" s="316" t="str">
        <f>IFERROR(IF($C123&lt;1,"",CX$3*일별반별!DA123),0)</f>
        <v/>
      </c>
      <c r="CY123" s="316" t="str">
        <f>IF(C123&lt;1,"",(CY$3*'09월 조업일지'!AV$7))</f>
        <v/>
      </c>
      <c r="CZ123" s="316" t="str">
        <f t="shared" si="7"/>
        <v/>
      </c>
      <c r="DA123" s="316" t="str">
        <f t="shared" si="7"/>
        <v/>
      </c>
      <c r="DB123" s="316" t="str">
        <f t="shared" si="7"/>
        <v/>
      </c>
      <c r="DC123" s="316"/>
      <c r="DD123" s="419"/>
    </row>
    <row r="124" spans="1:108" ht="15" customHeight="1">
      <c r="A124" s="274">
        <f t="shared" si="6"/>
        <v>44036</v>
      </c>
      <c r="B124" s="275" t="s">
        <v>10</v>
      </c>
      <c r="C124" s="201">
        <f>COUNTIFS('09월 조업일지'!$A$12:$A$952,A121,'09월 조업일지'!$E$12:$E$952,B124)</f>
        <v>0</v>
      </c>
      <c r="D124" s="314">
        <f>IF(C124&lt;1,0,(SUM(E124:CX124)/(일별반별!BV124-1.5)+(CY124+CZ124+DA124+DB124)))</f>
        <v>0</v>
      </c>
      <c r="E124" s="278"/>
      <c r="F124" s="281"/>
      <c r="G124" s="282"/>
      <c r="H124" s="283"/>
      <c r="I124" s="283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326"/>
      <c r="U124" s="395" t="str">
        <f>IFERROR(IF($C124&lt;1,"",U$3*일별반별!X124),0)</f>
        <v/>
      </c>
      <c r="V124" s="395" t="str">
        <f>IFERROR(IF($C124&lt;1,"",V$3*일별반별!Y124),0)</f>
        <v/>
      </c>
      <c r="W124" s="395" t="str">
        <f>IFERROR(IF($C124&lt;1,"",W$3*일별반별!Z124),0)</f>
        <v/>
      </c>
      <c r="X124" s="208" t="str">
        <f>IFERROR(IF($C124&lt;1,"",X$3*일별반별!AA124),0)</f>
        <v/>
      </c>
      <c r="Y124" s="208" t="str">
        <f>IFERROR(IF($C124&lt;1,"",Y$3*일별반별!AB124),0)</f>
        <v/>
      </c>
      <c r="Z124" s="208" t="str">
        <f>IFERROR(IF($C124&lt;1,"",Z$3*일별반별!AC124),0)</f>
        <v/>
      </c>
      <c r="AA124" s="395" t="str">
        <f>IFERROR(IF($C124&lt;1,"",AA$3*일별반별!AD124),0)</f>
        <v/>
      </c>
      <c r="AB124" s="395" t="str">
        <f>IFERROR(IF($C124&lt;1,"",AB$3*일별반별!AE124),0)</f>
        <v/>
      </c>
      <c r="AC124" s="208" t="str">
        <f>IFERROR(IF($C124&lt;1,"",AC$3*일별반별!AF124),0)</f>
        <v/>
      </c>
      <c r="AD124" s="208" t="str">
        <f>IFERROR(IF($C124&lt;1,"",AD$3*일별반별!AG124),0)</f>
        <v/>
      </c>
      <c r="AE124" s="208" t="str">
        <f>IFERROR(IF($C124&lt;1,"",AE$3*일별반별!AH124),0)</f>
        <v/>
      </c>
      <c r="AF124" s="395" t="str">
        <f>IFERROR(IF($C124&lt;1,"",AF$3*일별반별!AI124),0)</f>
        <v/>
      </c>
      <c r="AG124" s="395" t="str">
        <f>IFERROR(IF($C124&lt;1,"",AG$3*일별반별!AJ124),0)</f>
        <v/>
      </c>
      <c r="AH124" s="395" t="str">
        <f>IFERROR(IF($C124&lt;1,"",AH$3*일별반별!AK124),0)</f>
        <v/>
      </c>
      <c r="AI124" s="395" t="str">
        <f>IFERROR(IF($C124&lt;1,"",AI$3*일별반별!AL124),0)</f>
        <v/>
      </c>
      <c r="AJ124" s="395" t="str">
        <f>IFERROR(IF($C124&lt;1,"",AJ$3*일별반별!AM124),0)</f>
        <v/>
      </c>
      <c r="AK124" s="395" t="str">
        <f>IFERROR(IF($C124&lt;1,"",AK$3*일별반별!AN124),0)</f>
        <v/>
      </c>
      <c r="AL124" s="395" t="str">
        <f>IFERROR(IF($C124&lt;1,"",AL$3*일별반별!AO124),0)</f>
        <v/>
      </c>
      <c r="AM124" s="395" t="str">
        <f>IFERROR(IF($C124&lt;1,"",AM$3*일별반별!AP124),0)</f>
        <v/>
      </c>
      <c r="AN124" s="395" t="str">
        <f>IFERROR(IF($C124&lt;1,"",AN$3*일별반별!AQ124),0)</f>
        <v/>
      </c>
      <c r="AO124" s="395" t="str">
        <f>IFERROR(IF($C124&lt;1,"",AO$3*일별반별!AR124),0)</f>
        <v/>
      </c>
      <c r="AP124" s="347" t="str">
        <f>IFERROR(IF($C124&lt;1,"",AP$3*일별반별!AS124),0)</f>
        <v/>
      </c>
      <c r="AQ124" s="347" t="str">
        <f>IFERROR(IF($C124&lt;1,"",AQ$3*일별반별!AT124),0)</f>
        <v/>
      </c>
      <c r="AR124" s="316" t="str">
        <f>IFERROR(IF($C124&lt;1,"",AR$3*일별반별!AU124),0)</f>
        <v/>
      </c>
      <c r="AS124" s="401" t="str">
        <f>IFERROR(IF($C124&lt;1,"",AS$3*일별반별!AV124),0)</f>
        <v/>
      </c>
      <c r="AT124" s="401" t="str">
        <f>IFERROR(IF($C124&lt;1,"",AT$3*일별반별!AW124),0)</f>
        <v/>
      </c>
      <c r="AU124" s="401" t="str">
        <f>IFERROR(IF($C124&lt;1,"",AU$3*일별반별!AX124),0)</f>
        <v/>
      </c>
      <c r="AV124" s="401" t="str">
        <f>IFERROR(IF($C124&lt;1,"",AV$3*일별반별!AY124),0)</f>
        <v/>
      </c>
      <c r="AW124" s="401" t="str">
        <f>IFERROR(IF($C124&lt;1,"",AW$3*일별반별!AZ124),0)</f>
        <v/>
      </c>
      <c r="AX124" s="401" t="str">
        <f>IFERROR(IF($C124&lt;1,"",AX$3*일별반별!BA124),0)</f>
        <v/>
      </c>
      <c r="AY124" s="401" t="str">
        <f>IFERROR(IF($C124&lt;1,"",AY$3*일별반별!BB124),0)</f>
        <v/>
      </c>
      <c r="AZ124" s="401" t="str">
        <f>IFERROR(IF($C124&lt;1,"",AZ$3*일별반별!BC124),0)</f>
        <v/>
      </c>
      <c r="BA124" s="401" t="str">
        <f>IFERROR(IF($C124&lt;1,"",BA$3*일별반별!BD124),0)</f>
        <v/>
      </c>
      <c r="BB124" s="402" t="str">
        <f>IFERROR(IF($C124&lt;1,"",BB$3*일별반별!BE124),0)</f>
        <v/>
      </c>
      <c r="BC124" s="402" t="str">
        <f>IFERROR(IF($C124&lt;1,"",BC$3*일별반별!BF124),0)</f>
        <v/>
      </c>
      <c r="BD124" s="402" t="str">
        <f>IFERROR(IF($C124&lt;1,"",BD$3*일별반별!BG124),0)</f>
        <v/>
      </c>
      <c r="BE124" s="402" t="str">
        <f>IFERROR(IF($C124&lt;1,"",BE$3*일별반별!BH124),0)</f>
        <v/>
      </c>
      <c r="BF124" s="402" t="str">
        <f>IFERROR(IF($C124&lt;1,"",BF$3*일별반별!BI124),0)</f>
        <v/>
      </c>
      <c r="BG124" s="402" t="str">
        <f>IFERROR(IF($C124&lt;1,"",BG$3*일별반별!BJ124),0)</f>
        <v/>
      </c>
      <c r="BH124" s="402" t="str">
        <f>IFERROR(IF($C124&lt;1,"",BH$3*일별반별!BK124),0)</f>
        <v/>
      </c>
      <c r="BI124" s="402" t="str">
        <f>IFERROR(IF($C124&lt;1,"",BI$3*일별반별!BL124),0)</f>
        <v/>
      </c>
      <c r="BJ124" s="402" t="str">
        <f>IFERROR(IF($C124&lt;1,"",BJ$3*일별반별!BM124),0)</f>
        <v/>
      </c>
      <c r="BK124" s="402" t="str">
        <f>IFERROR(IF($C124&lt;1,"",BK$3*일별반별!BN124),0)</f>
        <v/>
      </c>
      <c r="BL124" s="402" t="str">
        <f>IFERROR(IF($C124&lt;1,"",BL$3*일별반별!BH124),0)</f>
        <v/>
      </c>
      <c r="BM124" s="402" t="str">
        <f>IFERROR(IF($C124&lt;1,"",BM$3*일별반별!BP124),0)</f>
        <v/>
      </c>
      <c r="BN124" s="401" t="str">
        <f>IFERROR(IF($C124&lt;1,"",BN$3*일별반별!BQ124),0)</f>
        <v/>
      </c>
      <c r="BO124" s="401" t="str">
        <f>IFERROR(IF($C124&lt;1,"",BO$3*일별반별!BR124),0)</f>
        <v/>
      </c>
      <c r="BP124" s="401" t="str">
        <f>IFERROR(IF($C124&lt;1,"",BP$3*일별반별!BS124),0)</f>
        <v/>
      </c>
      <c r="BQ124" s="401" t="str">
        <f>IFERROR(IF($C124&lt;1,"",BQ$3*일별반별!BT124),0)</f>
        <v/>
      </c>
      <c r="BR124" s="417" t="str">
        <f>IFERROR(IF($C124&lt;1,"",BR$3*일별반별!BU124),0)</f>
        <v/>
      </c>
      <c r="BS124" s="417" t="str">
        <f>IFERROR(IF($C124&lt;1,"",BS$3*일별반별!BV124),0)</f>
        <v/>
      </c>
      <c r="BT124" s="417" t="str">
        <f>IFERROR(IF($C124&lt;1,"",BT$3*일별반별!BW124),0)</f>
        <v/>
      </c>
      <c r="BU124" s="316" t="str">
        <f>IFERROR(IF($C124&lt;1,"",BU$3*일별반별!BX124),0)</f>
        <v/>
      </c>
      <c r="BV124" s="316" t="str">
        <f>IFERROR(IF($C124&lt;1,"",BV$3*일별반별!BY124),0)</f>
        <v/>
      </c>
      <c r="BW124" s="316" t="str">
        <f>IFERROR(IF($C124&lt;1,"",BW$3*일별반별!BZ124),0)</f>
        <v/>
      </c>
      <c r="BX124" s="316" t="str">
        <f>IFERROR(IF($C124&lt;1,"",BX$3*일별반별!CA124),0)</f>
        <v/>
      </c>
      <c r="BY124" s="316" t="str">
        <f>IFERROR(IF($C124&lt;1,"",BY$3*일별반별!CB124),0)</f>
        <v/>
      </c>
      <c r="BZ124" s="316" t="str">
        <f>IFERROR(IF($C124&lt;1,"",BZ$3*일별반별!CC124),0)</f>
        <v/>
      </c>
      <c r="CA124" s="316" t="str">
        <f>IFERROR(IF($C124&lt;1,"",CA$3*일별반별!CD124),0)</f>
        <v/>
      </c>
      <c r="CB124" s="316" t="str">
        <f>IFERROR(IF($C124&lt;1,"",CB$3*일별반별!CE124),0)</f>
        <v/>
      </c>
      <c r="CC124" s="316" t="str">
        <f>IFERROR(IF($C124&lt;1,"",CC$3*일별반별!CF124),0)</f>
        <v/>
      </c>
      <c r="CD124" s="316" t="str">
        <f>IFERROR(IF($C124&lt;1,"",CD$3*일별반별!CG124),0)</f>
        <v/>
      </c>
      <c r="CE124" s="316" t="str">
        <f>IFERROR(IF($C124&lt;1,"",CE$3*일별반별!CH124),0)</f>
        <v/>
      </c>
      <c r="CF124" s="316" t="str">
        <f>IFERROR(IF($C124&lt;1,"",CF$3*일별반별!CI124),0)</f>
        <v/>
      </c>
      <c r="CG124" s="316" t="str">
        <f>IFERROR(IF($C124&lt;1,"",CG$3*일별반별!CJ124),0)</f>
        <v/>
      </c>
      <c r="CH124" s="316" t="str">
        <f>IFERROR(IF($C124&lt;1,"",CH$3*일별반별!CK124),0)</f>
        <v/>
      </c>
      <c r="CI124" s="316" t="str">
        <f>IFERROR(IF($C124&lt;1,"",CI$3*일별반별!CL124),0)</f>
        <v/>
      </c>
      <c r="CJ124" s="316" t="str">
        <f>IFERROR(IF($C124&lt;1,"",CJ$3*일별반별!CM124),0)</f>
        <v/>
      </c>
      <c r="CK124" s="316" t="str">
        <f>IFERROR(IF($C124&lt;1,"",CK$3*일별반별!CN124),0)</f>
        <v/>
      </c>
      <c r="CL124" s="316" t="str">
        <f>IFERROR(IF($C124&lt;1,"",CL$3*일별반별!CO124),0)</f>
        <v/>
      </c>
      <c r="CM124" s="316" t="str">
        <f>IFERROR(IF($C124&lt;1,"",CM$3*일별반별!CP124),0)</f>
        <v/>
      </c>
      <c r="CN124" s="316" t="str">
        <f>IFERROR(IF($C124&lt;1,"",CN$3*일별반별!CQ124),0)</f>
        <v/>
      </c>
      <c r="CO124" s="316" t="str">
        <f>IFERROR(IF($C124&lt;1,"",CO$3*일별반별!CR124),0)</f>
        <v/>
      </c>
      <c r="CP124" s="316" t="str">
        <f>IFERROR(IF($C124&lt;1,"",CP$3*일별반별!CS124),0)</f>
        <v/>
      </c>
      <c r="CQ124" s="316" t="str">
        <f>IFERROR(IF($C124&lt;1,"",CQ$3*일별반별!CT124),0)</f>
        <v/>
      </c>
      <c r="CR124" s="418" t="str">
        <f>IFERROR(IF($C124&lt;1,"",CR$3*일별반별!CU124),0)</f>
        <v/>
      </c>
      <c r="CS124" s="418" t="str">
        <f>IFERROR(IF($C124&lt;1,"",CS$3*일별반별!CV124),0)</f>
        <v/>
      </c>
      <c r="CT124" s="316" t="str">
        <f>IFERROR(IF($C124&lt;1,"",CT$3*일별반별!CW124),0)</f>
        <v/>
      </c>
      <c r="CU124" s="316" t="str">
        <f>IFERROR(IF($C124&lt;1,"",CU$3*일별반별!CX124),0)</f>
        <v/>
      </c>
      <c r="CV124" s="316" t="str">
        <f>IFERROR(IF($C124&lt;1,"",CV$3*일별반별!CY124),0)</f>
        <v/>
      </c>
      <c r="CW124" s="316" t="str">
        <f>IFERROR(IF($C124&lt;1,"",CW$3*일별반별!CZ124),0)</f>
        <v/>
      </c>
      <c r="CX124" s="316" t="str">
        <f>IFERROR(IF($C124&lt;1,"",CX$3*일별반별!DA124),0)</f>
        <v/>
      </c>
      <c r="CY124" s="316" t="str">
        <f>IF(C124&lt;1,"",(CY$3*'09월 조업일지'!AV$7))</f>
        <v/>
      </c>
      <c r="CZ124" s="316" t="str">
        <f t="shared" si="7"/>
        <v/>
      </c>
      <c r="DA124" s="316" t="str">
        <f t="shared" si="7"/>
        <v/>
      </c>
      <c r="DB124" s="316" t="str">
        <f t="shared" si="7"/>
        <v/>
      </c>
      <c r="DC124" s="316"/>
      <c r="DD124" s="419"/>
    </row>
    <row r="125" spans="1:108" ht="15" customHeight="1">
      <c r="A125" s="274">
        <f t="shared" si="6"/>
        <v>44036</v>
      </c>
      <c r="B125" s="275" t="s">
        <v>94</v>
      </c>
      <c r="C125" s="201">
        <f>COUNTIFS('09월 조업일지'!$A$12:$A$952,A121,'09월 조업일지'!$E$12:$E$952,B125)</f>
        <v>0</v>
      </c>
      <c r="D125" s="314">
        <f>IF(C125&lt;1,0,(SUM(E125:CX125)/(일별반별!BV125-1.5)+(CY125+CZ125+DA125+DB125)))</f>
        <v>0</v>
      </c>
      <c r="E125" s="278"/>
      <c r="F125" s="281"/>
      <c r="G125" s="282"/>
      <c r="H125" s="283"/>
      <c r="I125" s="283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326"/>
      <c r="U125" s="395" t="str">
        <f>IFERROR(IF($C125&lt;1,"",U$3*일별반별!X125),0)</f>
        <v/>
      </c>
      <c r="V125" s="395" t="str">
        <f>IFERROR(IF($C125&lt;1,"",V$3*일별반별!Y125),0)</f>
        <v/>
      </c>
      <c r="W125" s="395" t="str">
        <f>IFERROR(IF($C125&lt;1,"",W$3*일별반별!Z125),0)</f>
        <v/>
      </c>
      <c r="X125" s="208" t="str">
        <f>IFERROR(IF($C125&lt;1,"",X$3*일별반별!AA125),0)</f>
        <v/>
      </c>
      <c r="Y125" s="208" t="str">
        <f>IFERROR(IF($C125&lt;1,"",Y$3*일별반별!AB125),0)</f>
        <v/>
      </c>
      <c r="Z125" s="208" t="str">
        <f>IFERROR(IF($C125&lt;1,"",Z$3*일별반별!AC125),0)</f>
        <v/>
      </c>
      <c r="AA125" s="395" t="str">
        <f>IFERROR(IF($C125&lt;1,"",AA$3*일별반별!AD125),0)</f>
        <v/>
      </c>
      <c r="AB125" s="395" t="str">
        <f>IFERROR(IF($C125&lt;1,"",AB$3*일별반별!AE125),0)</f>
        <v/>
      </c>
      <c r="AC125" s="208" t="str">
        <f>IFERROR(IF($C125&lt;1,"",AC$3*일별반별!AF125),0)</f>
        <v/>
      </c>
      <c r="AD125" s="208" t="str">
        <f>IFERROR(IF($C125&lt;1,"",AD$3*일별반별!AG125),0)</f>
        <v/>
      </c>
      <c r="AE125" s="208" t="str">
        <f>IFERROR(IF($C125&lt;1,"",AE$3*일별반별!AH125),0)</f>
        <v/>
      </c>
      <c r="AF125" s="395" t="str">
        <f>IFERROR(IF($C125&lt;1,"",AF$3*일별반별!AI125),0)</f>
        <v/>
      </c>
      <c r="AG125" s="395" t="str">
        <f>IFERROR(IF($C125&lt;1,"",AG$3*일별반별!AJ125),0)</f>
        <v/>
      </c>
      <c r="AH125" s="395" t="str">
        <f>IFERROR(IF($C125&lt;1,"",AH$3*일별반별!AK125),0)</f>
        <v/>
      </c>
      <c r="AI125" s="395" t="str">
        <f>IFERROR(IF($C125&lt;1,"",AI$3*일별반별!AL125),0)</f>
        <v/>
      </c>
      <c r="AJ125" s="395" t="str">
        <f>IFERROR(IF($C125&lt;1,"",AJ$3*일별반별!AM125),0)</f>
        <v/>
      </c>
      <c r="AK125" s="395" t="str">
        <f>IFERROR(IF($C125&lt;1,"",AK$3*일별반별!AN125),0)</f>
        <v/>
      </c>
      <c r="AL125" s="395" t="str">
        <f>IFERROR(IF($C125&lt;1,"",AL$3*일별반별!AO125),0)</f>
        <v/>
      </c>
      <c r="AM125" s="395" t="str">
        <f>IFERROR(IF($C125&lt;1,"",AM$3*일별반별!AP125),0)</f>
        <v/>
      </c>
      <c r="AN125" s="395" t="str">
        <f>IFERROR(IF($C125&lt;1,"",AN$3*일별반별!AQ125),0)</f>
        <v/>
      </c>
      <c r="AO125" s="395" t="str">
        <f>IFERROR(IF($C125&lt;1,"",AO$3*일별반별!AR125),0)</f>
        <v/>
      </c>
      <c r="AP125" s="347" t="str">
        <f>IFERROR(IF($C125&lt;1,"",AP$3*일별반별!AS125),0)</f>
        <v/>
      </c>
      <c r="AQ125" s="347" t="str">
        <f>IFERROR(IF($C125&lt;1,"",AQ$3*일별반별!AT125),0)</f>
        <v/>
      </c>
      <c r="AR125" s="316" t="str">
        <f>IFERROR(IF($C125&lt;1,"",AR$3*일별반별!AU125),0)</f>
        <v/>
      </c>
      <c r="AS125" s="401" t="str">
        <f>IFERROR(IF($C125&lt;1,"",AS$3*일별반별!AV125),0)</f>
        <v/>
      </c>
      <c r="AT125" s="401" t="str">
        <f>IFERROR(IF($C125&lt;1,"",AT$3*일별반별!AW125),0)</f>
        <v/>
      </c>
      <c r="AU125" s="401" t="str">
        <f>IFERROR(IF($C125&lt;1,"",AU$3*일별반별!AX125),0)</f>
        <v/>
      </c>
      <c r="AV125" s="401" t="str">
        <f>IFERROR(IF($C125&lt;1,"",AV$3*일별반별!AY125),0)</f>
        <v/>
      </c>
      <c r="AW125" s="401" t="str">
        <f>IFERROR(IF($C125&lt;1,"",AW$3*일별반별!AZ125),0)</f>
        <v/>
      </c>
      <c r="AX125" s="401" t="str">
        <f>IFERROR(IF($C125&lt;1,"",AX$3*일별반별!BA125),0)</f>
        <v/>
      </c>
      <c r="AY125" s="401" t="str">
        <f>IFERROR(IF($C125&lt;1,"",AY$3*일별반별!BB125),0)</f>
        <v/>
      </c>
      <c r="AZ125" s="401" t="str">
        <f>IFERROR(IF($C125&lt;1,"",AZ$3*일별반별!BC125),0)</f>
        <v/>
      </c>
      <c r="BA125" s="401" t="str">
        <f>IFERROR(IF($C125&lt;1,"",BA$3*일별반별!BD125),0)</f>
        <v/>
      </c>
      <c r="BB125" s="402" t="str">
        <f>IFERROR(IF($C125&lt;1,"",BB$3*일별반별!BE125),0)</f>
        <v/>
      </c>
      <c r="BC125" s="402" t="str">
        <f>IFERROR(IF($C125&lt;1,"",BC$3*일별반별!BF125),0)</f>
        <v/>
      </c>
      <c r="BD125" s="402" t="str">
        <f>IFERROR(IF($C125&lt;1,"",BD$3*일별반별!BG125),0)</f>
        <v/>
      </c>
      <c r="BE125" s="402" t="str">
        <f>IFERROR(IF($C125&lt;1,"",BE$3*일별반별!BH125),0)</f>
        <v/>
      </c>
      <c r="BF125" s="402" t="str">
        <f>IFERROR(IF($C125&lt;1,"",BF$3*일별반별!BI125),0)</f>
        <v/>
      </c>
      <c r="BG125" s="402" t="str">
        <f>IFERROR(IF($C125&lt;1,"",BG$3*일별반별!BJ125),0)</f>
        <v/>
      </c>
      <c r="BH125" s="402" t="str">
        <f>IFERROR(IF($C125&lt;1,"",BH$3*일별반별!BK125),0)</f>
        <v/>
      </c>
      <c r="BI125" s="402" t="str">
        <f>IFERROR(IF($C125&lt;1,"",BI$3*일별반별!BL125),0)</f>
        <v/>
      </c>
      <c r="BJ125" s="402" t="str">
        <f>IFERROR(IF($C125&lt;1,"",BJ$3*일별반별!BM125),0)</f>
        <v/>
      </c>
      <c r="BK125" s="402" t="str">
        <f>IFERROR(IF($C125&lt;1,"",BK$3*일별반별!BN125),0)</f>
        <v/>
      </c>
      <c r="BL125" s="402" t="str">
        <f>IFERROR(IF($C125&lt;1,"",BL$3*일별반별!BH125),0)</f>
        <v/>
      </c>
      <c r="BM125" s="402" t="str">
        <f>IFERROR(IF($C125&lt;1,"",BM$3*일별반별!BP125),0)</f>
        <v/>
      </c>
      <c r="BN125" s="401" t="str">
        <f>IFERROR(IF($C125&lt;1,"",BN$3*일별반별!BQ125),0)</f>
        <v/>
      </c>
      <c r="BO125" s="401" t="str">
        <f>IFERROR(IF($C125&lt;1,"",BO$3*일별반별!BR125),0)</f>
        <v/>
      </c>
      <c r="BP125" s="401" t="str">
        <f>IFERROR(IF($C125&lt;1,"",BP$3*일별반별!BS125),0)</f>
        <v/>
      </c>
      <c r="BQ125" s="401" t="str">
        <f>IFERROR(IF($C125&lt;1,"",BQ$3*일별반별!BT125),0)</f>
        <v/>
      </c>
      <c r="BR125" s="417" t="str">
        <f>IFERROR(IF($C125&lt;1,"",BR$3*일별반별!BU125),0)</f>
        <v/>
      </c>
      <c r="BS125" s="417" t="str">
        <f>IFERROR(IF($C125&lt;1,"",BS$3*일별반별!BV125),0)</f>
        <v/>
      </c>
      <c r="BT125" s="417" t="str">
        <f>IFERROR(IF($C125&lt;1,"",BT$3*일별반별!BW125),0)</f>
        <v/>
      </c>
      <c r="BU125" s="316" t="str">
        <f>IFERROR(IF($C125&lt;1,"",BU$3*일별반별!BX125),0)</f>
        <v/>
      </c>
      <c r="BV125" s="316" t="str">
        <f>IFERROR(IF($C125&lt;1,"",BV$3*일별반별!BY125),0)</f>
        <v/>
      </c>
      <c r="BW125" s="316" t="str">
        <f>IFERROR(IF($C125&lt;1,"",BW$3*일별반별!BZ125),0)</f>
        <v/>
      </c>
      <c r="BX125" s="316" t="str">
        <f>IFERROR(IF($C125&lt;1,"",BX$3*일별반별!CA125),0)</f>
        <v/>
      </c>
      <c r="BY125" s="316" t="str">
        <f>IFERROR(IF($C125&lt;1,"",BY$3*일별반별!CB125),0)</f>
        <v/>
      </c>
      <c r="BZ125" s="316" t="str">
        <f>IFERROR(IF($C125&lt;1,"",BZ$3*일별반별!CC125),0)</f>
        <v/>
      </c>
      <c r="CA125" s="316" t="str">
        <f>IFERROR(IF($C125&lt;1,"",CA$3*일별반별!CD125),0)</f>
        <v/>
      </c>
      <c r="CB125" s="316" t="str">
        <f>IFERROR(IF($C125&lt;1,"",CB$3*일별반별!CE125),0)</f>
        <v/>
      </c>
      <c r="CC125" s="316" t="str">
        <f>IFERROR(IF($C125&lt;1,"",CC$3*일별반별!CF125),0)</f>
        <v/>
      </c>
      <c r="CD125" s="316" t="str">
        <f>IFERROR(IF($C125&lt;1,"",CD$3*일별반별!CG125),0)</f>
        <v/>
      </c>
      <c r="CE125" s="316" t="str">
        <f>IFERROR(IF($C125&lt;1,"",CE$3*일별반별!CH125),0)</f>
        <v/>
      </c>
      <c r="CF125" s="316" t="str">
        <f>IFERROR(IF($C125&lt;1,"",CF$3*일별반별!CI125),0)</f>
        <v/>
      </c>
      <c r="CG125" s="316" t="str">
        <f>IFERROR(IF($C125&lt;1,"",CG$3*일별반별!CJ125),0)</f>
        <v/>
      </c>
      <c r="CH125" s="316" t="str">
        <f>IFERROR(IF($C125&lt;1,"",CH$3*일별반별!CK125),0)</f>
        <v/>
      </c>
      <c r="CI125" s="316" t="str">
        <f>IFERROR(IF($C125&lt;1,"",CI$3*일별반별!CL125),0)</f>
        <v/>
      </c>
      <c r="CJ125" s="316" t="str">
        <f>IFERROR(IF($C125&lt;1,"",CJ$3*일별반별!CM125),0)</f>
        <v/>
      </c>
      <c r="CK125" s="316" t="str">
        <f>IFERROR(IF($C125&lt;1,"",CK$3*일별반별!CN125),0)</f>
        <v/>
      </c>
      <c r="CL125" s="316" t="str">
        <f>IFERROR(IF($C125&lt;1,"",CL$3*일별반별!CO125),0)</f>
        <v/>
      </c>
      <c r="CM125" s="316" t="str">
        <f>IFERROR(IF($C125&lt;1,"",CM$3*일별반별!CP125),0)</f>
        <v/>
      </c>
      <c r="CN125" s="316" t="str">
        <f>IFERROR(IF($C125&lt;1,"",CN$3*일별반별!CQ125),0)</f>
        <v/>
      </c>
      <c r="CO125" s="316" t="str">
        <f>IFERROR(IF($C125&lt;1,"",CO$3*일별반별!CR125),0)</f>
        <v/>
      </c>
      <c r="CP125" s="316" t="str">
        <f>IFERROR(IF($C125&lt;1,"",CP$3*일별반별!CS125),0)</f>
        <v/>
      </c>
      <c r="CQ125" s="316" t="str">
        <f>IFERROR(IF($C125&lt;1,"",CQ$3*일별반별!CT125),0)</f>
        <v/>
      </c>
      <c r="CR125" s="418" t="str">
        <f>IFERROR(IF($C125&lt;1,"",CR$3*일별반별!CU125),0)</f>
        <v/>
      </c>
      <c r="CS125" s="418" t="str">
        <f>IFERROR(IF($C125&lt;1,"",CS$3*일별반별!CV125),0)</f>
        <v/>
      </c>
      <c r="CT125" s="316" t="str">
        <f>IFERROR(IF($C125&lt;1,"",CT$3*일별반별!CW125),0)</f>
        <v/>
      </c>
      <c r="CU125" s="316" t="str">
        <f>IFERROR(IF($C125&lt;1,"",CU$3*일별반별!CX125),0)</f>
        <v/>
      </c>
      <c r="CV125" s="316" t="str">
        <f>IFERROR(IF($C125&lt;1,"",CV$3*일별반별!CY125),0)</f>
        <v/>
      </c>
      <c r="CW125" s="316" t="str">
        <f>IFERROR(IF($C125&lt;1,"",CW$3*일별반별!CZ125),0)</f>
        <v/>
      </c>
      <c r="CX125" s="316" t="str">
        <f>IFERROR(IF($C125&lt;1,"",CX$3*일별반별!DA125),0)</f>
        <v/>
      </c>
      <c r="CY125" s="316" t="str">
        <f>IF(C125&lt;1,"",(CY$3*'09월 조업일지'!AV$7))</f>
        <v/>
      </c>
      <c r="CZ125" s="316" t="str">
        <f t="shared" si="7"/>
        <v/>
      </c>
      <c r="DA125" s="316" t="str">
        <f t="shared" si="7"/>
        <v/>
      </c>
      <c r="DB125" s="316" t="str">
        <f t="shared" si="7"/>
        <v/>
      </c>
      <c r="DC125" s="316"/>
      <c r="DD125" s="419"/>
    </row>
    <row r="126" spans="1:108" ht="15" customHeight="1">
      <c r="A126" s="327">
        <f>A121+1</f>
        <v>44037</v>
      </c>
      <c r="B126" s="328" t="s">
        <v>31</v>
      </c>
      <c r="C126" s="329">
        <f>COUNTIF('09월 조업일지'!$A$12:$A$952,A126)</f>
        <v>0</v>
      </c>
      <c r="D126" s="330">
        <f>IF(C126&lt;1,0,(SUM(E126:CX126)/(일별반별!BV126-1.5)+(CY126+CZ126+DA126+DB126)))</f>
        <v>0</v>
      </c>
      <c r="E126" s="331"/>
      <c r="F126" s="331"/>
      <c r="G126" s="332"/>
      <c r="H126" s="333"/>
      <c r="I126" s="333"/>
      <c r="J126" s="334"/>
      <c r="K126" s="334"/>
      <c r="L126" s="334"/>
      <c r="M126" s="334"/>
      <c r="N126" s="334"/>
      <c r="O126" s="334"/>
      <c r="P126" s="334"/>
      <c r="Q126" s="335"/>
      <c r="R126" s="334"/>
      <c r="S126" s="335"/>
      <c r="T126" s="334"/>
      <c r="U126" s="337" t="str">
        <f>IFERROR(IF($C126&lt;1,"",U$3*일별반별!X126),0)</f>
        <v/>
      </c>
      <c r="V126" s="337" t="str">
        <f>IFERROR(IF($C126&lt;1,"",V$3*일별반별!Y126),0)</f>
        <v/>
      </c>
      <c r="W126" s="337" t="str">
        <f>IFERROR(IF($C126&lt;1,"",W$3*일별반별!Z126),0)</f>
        <v/>
      </c>
      <c r="X126" s="336" t="str">
        <f>IFERROR(IF($C126&lt;1,"",X$3*일별반별!AA126),0)</f>
        <v/>
      </c>
      <c r="Y126" s="336" t="str">
        <f>IFERROR(IF($C126&lt;1,"",Y$3*일별반별!AB126),0)</f>
        <v/>
      </c>
      <c r="Z126" s="336" t="str">
        <f>IFERROR(IF($C126&lt;1,"",Z$3*일별반별!AC126),0)</f>
        <v/>
      </c>
      <c r="AA126" s="337" t="str">
        <f>IFERROR(IF($C126&lt;1,"",AA$3*일별반별!AD126),0)</f>
        <v/>
      </c>
      <c r="AB126" s="337" t="str">
        <f>IFERROR(IF($C126&lt;1,"",AB$3*일별반별!AE126),0)</f>
        <v/>
      </c>
      <c r="AC126" s="336" t="str">
        <f>IFERROR(IF($C126&lt;1,"",AC$3*일별반별!AF126),0)</f>
        <v/>
      </c>
      <c r="AD126" s="336" t="str">
        <f>IFERROR(IF($C126&lt;1,"",AD$3*일별반별!AG126),0)</f>
        <v/>
      </c>
      <c r="AE126" s="336" t="str">
        <f>IFERROR(IF($C126&lt;1,"",AE$3*일별반별!AH126),0)</f>
        <v/>
      </c>
      <c r="AF126" s="337" t="str">
        <f>IFERROR(IF($C126&lt;1,"",AF$3*일별반별!AI126),0)</f>
        <v/>
      </c>
      <c r="AG126" s="337" t="str">
        <f>IFERROR(IF($C126&lt;1,"",AG$3*일별반별!AJ126),0)</f>
        <v/>
      </c>
      <c r="AH126" s="337" t="str">
        <f>IFERROR(IF($C126&lt;1,"",AH$3*일별반별!AK126),0)</f>
        <v/>
      </c>
      <c r="AI126" s="337" t="str">
        <f>IFERROR(IF($C126&lt;1,"",AI$3*일별반별!AL126),0)</f>
        <v/>
      </c>
      <c r="AJ126" s="337" t="str">
        <f>IFERROR(IF($C126&lt;1,"",AJ$3*일별반별!AM126),0)</f>
        <v/>
      </c>
      <c r="AK126" s="337" t="str">
        <f>IFERROR(IF($C126&lt;1,"",AK$3*일별반별!AN126),0)</f>
        <v/>
      </c>
      <c r="AL126" s="337" t="str">
        <f>IFERROR(IF($C126&lt;1,"",AL$3*일별반별!AO126),0)</f>
        <v/>
      </c>
      <c r="AM126" s="337" t="str">
        <f>IFERROR(IF($C126&lt;1,"",AM$3*일별반별!AP126),0)</f>
        <v/>
      </c>
      <c r="AN126" s="337" t="str">
        <f>IFERROR(IF($C126&lt;1,"",AN$3*일별반별!AQ126),0)</f>
        <v/>
      </c>
      <c r="AO126" s="337" t="str">
        <f>IFERROR(IF($C126&lt;1,"",AO$3*일별반별!AR126),0)</f>
        <v/>
      </c>
      <c r="AP126" s="337" t="str">
        <f>IFERROR(IF($C126&lt;1,"",AP$3*일별반별!AS126),0)</f>
        <v/>
      </c>
      <c r="AQ126" s="337" t="str">
        <f>IFERROR(IF($C126&lt;1,"",AQ$3*일별반별!AT126),0)</f>
        <v/>
      </c>
      <c r="AR126" s="337" t="str">
        <f>IFERROR(IF($C126&lt;1,"",AR$3*일별반별!AU126),0)</f>
        <v/>
      </c>
      <c r="AS126" s="403" t="str">
        <f>IFERROR(IF($C126&lt;1,"",AS$3*일별반별!AV126),0)</f>
        <v/>
      </c>
      <c r="AT126" s="403" t="str">
        <f>IFERROR(IF($C126&lt;1,"",AT$3*일별반별!AW126),0)</f>
        <v/>
      </c>
      <c r="AU126" s="403" t="str">
        <f>IFERROR(IF($C126&lt;1,"",AU$3*일별반별!AX126),0)</f>
        <v/>
      </c>
      <c r="AV126" s="403" t="str">
        <f>IFERROR(IF($C126&lt;1,"",AV$3*일별반별!AY126),0)</f>
        <v/>
      </c>
      <c r="AW126" s="403" t="str">
        <f>IFERROR(IF($C126&lt;1,"",AW$3*일별반별!AZ126),0)</f>
        <v/>
      </c>
      <c r="AX126" s="403" t="str">
        <f>IFERROR(IF($C126&lt;1,"",AX$3*일별반별!BA126),0)</f>
        <v/>
      </c>
      <c r="AY126" s="403" t="str">
        <f>IFERROR(IF($C126&lt;1,"",AY$3*일별반별!BB126),0)</f>
        <v/>
      </c>
      <c r="AZ126" s="403" t="str">
        <f>IFERROR(IF($C126&lt;1,"",AZ$3*일별반별!BC126),0)</f>
        <v/>
      </c>
      <c r="BA126" s="403" t="str">
        <f>IFERROR(IF($C126&lt;1,"",BA$3*일별반별!BD126),0)</f>
        <v/>
      </c>
      <c r="BB126" s="403" t="str">
        <f>IFERROR(IF($C126&lt;1,"",BB$3*일별반별!BE126),0)</f>
        <v/>
      </c>
      <c r="BC126" s="403" t="str">
        <f>IFERROR(IF($C126&lt;1,"",BC$3*일별반별!BF126),0)</f>
        <v/>
      </c>
      <c r="BD126" s="403" t="str">
        <f>IFERROR(IF($C126&lt;1,"",BD$3*일별반별!BG126),0)</f>
        <v/>
      </c>
      <c r="BE126" s="403" t="str">
        <f>IFERROR(IF($C126&lt;1,"",BE$3*일별반별!BH126),0)</f>
        <v/>
      </c>
      <c r="BF126" s="403" t="str">
        <f>IFERROR(IF($C126&lt;1,"",BF$3*일별반별!BI126),0)</f>
        <v/>
      </c>
      <c r="BG126" s="403" t="str">
        <f>IFERROR(IF($C126&lt;1,"",BG$3*일별반별!BJ126),0)</f>
        <v/>
      </c>
      <c r="BH126" s="403" t="str">
        <f>IFERROR(IF($C126&lt;1,"",BH$3*일별반별!BK126),0)</f>
        <v/>
      </c>
      <c r="BI126" s="403" t="str">
        <f>IFERROR(IF($C126&lt;1,"",BI$3*일별반별!BL126),0)</f>
        <v/>
      </c>
      <c r="BJ126" s="403" t="str">
        <f>IFERROR(IF($C126&lt;1,"",BJ$3*일별반별!BM126),0)</f>
        <v/>
      </c>
      <c r="BK126" s="403" t="str">
        <f>IFERROR(IF($C126&lt;1,"",BK$3*일별반별!BN126),0)</f>
        <v/>
      </c>
      <c r="BL126" s="403" t="str">
        <f>IFERROR(IF($C126&lt;1,"",BL$3*일별반별!BH126),0)</f>
        <v/>
      </c>
      <c r="BM126" s="403" t="str">
        <f>IFERROR(IF($C126&lt;1,"",BM$3*일별반별!BP126),0)</f>
        <v/>
      </c>
      <c r="BN126" s="403" t="str">
        <f>IFERROR(IF($C126&lt;1,"",BN$3*일별반별!BQ126),0)</f>
        <v/>
      </c>
      <c r="BO126" s="403" t="str">
        <f>IFERROR(IF($C126&lt;1,"",BO$3*일별반별!BR126),0)</f>
        <v/>
      </c>
      <c r="BP126" s="403" t="str">
        <f>IFERROR(IF($C126&lt;1,"",BP$3*일별반별!BS126),0)</f>
        <v/>
      </c>
      <c r="BQ126" s="403" t="str">
        <f>IFERROR(IF($C126&lt;1,"",BQ$3*일별반별!BT126),0)</f>
        <v/>
      </c>
      <c r="BR126" s="337" t="str">
        <f>IFERROR(IF($C126&lt;1,"",BR$3*일별반별!BU126),0)</f>
        <v/>
      </c>
      <c r="BS126" s="337" t="str">
        <f>IFERROR(IF($C126&lt;1,"",BS$3*일별반별!BV126),0)</f>
        <v/>
      </c>
      <c r="BT126" s="337" t="str">
        <f>IFERROR(IF($C126&lt;1,"",BT$3*일별반별!BW126),0)</f>
        <v/>
      </c>
      <c r="BU126" s="337" t="str">
        <f>IFERROR(IF($C126&lt;1,"",BU$3*일별반별!BX126),0)</f>
        <v/>
      </c>
      <c r="BV126" s="337" t="str">
        <f>IFERROR(IF($C126&lt;1,"",BV$3*일별반별!BY126),0)</f>
        <v/>
      </c>
      <c r="BW126" s="337" t="str">
        <f>IFERROR(IF($C126&lt;1,"",BW$3*일별반별!BZ126),0)</f>
        <v/>
      </c>
      <c r="BX126" s="337" t="str">
        <f>IFERROR(IF($C126&lt;1,"",BX$3*일별반별!CA126),0)</f>
        <v/>
      </c>
      <c r="BY126" s="337" t="str">
        <f>IFERROR(IF($C126&lt;1,"",BY$3*일별반별!CB126),0)</f>
        <v/>
      </c>
      <c r="BZ126" s="337" t="str">
        <f>IFERROR(IF($C126&lt;1,"",BZ$3*일별반별!CC126),0)</f>
        <v/>
      </c>
      <c r="CA126" s="337" t="str">
        <f>IFERROR(IF($C126&lt;1,"",CA$3*일별반별!CD126),0)</f>
        <v/>
      </c>
      <c r="CB126" s="337" t="str">
        <f>IFERROR(IF($C126&lt;1,"",CB$3*일별반별!CE126),0)</f>
        <v/>
      </c>
      <c r="CC126" s="337" t="str">
        <f>IFERROR(IF($C126&lt;1,"",CC$3*일별반별!CF126),0)</f>
        <v/>
      </c>
      <c r="CD126" s="337" t="str">
        <f>IFERROR(IF($C126&lt;1,"",CD$3*일별반별!CG126),0)</f>
        <v/>
      </c>
      <c r="CE126" s="337" t="str">
        <f>IFERROR(IF($C126&lt;1,"",CE$3*일별반별!CH126),0)</f>
        <v/>
      </c>
      <c r="CF126" s="337" t="str">
        <f>IFERROR(IF($C126&lt;1,"",CF$3*일별반별!CI126),0)</f>
        <v/>
      </c>
      <c r="CG126" s="337" t="str">
        <f>IFERROR(IF($C126&lt;1,"",CG$3*일별반별!CJ126),0)</f>
        <v/>
      </c>
      <c r="CH126" s="337" t="str">
        <f>IFERROR(IF($C126&lt;1,"",CH$3*일별반별!CK126),0)</f>
        <v/>
      </c>
      <c r="CI126" s="337" t="str">
        <f>IFERROR(IF($C126&lt;1,"",CI$3*일별반별!CL126),0)</f>
        <v/>
      </c>
      <c r="CJ126" s="337" t="str">
        <f>IFERROR(IF($C126&lt;1,"",CJ$3*일별반별!CM126),0)</f>
        <v/>
      </c>
      <c r="CK126" s="337" t="str">
        <f>IFERROR(IF($C126&lt;1,"",CK$3*일별반별!CN126),0)</f>
        <v/>
      </c>
      <c r="CL126" s="337" t="str">
        <f>IFERROR(IF($C126&lt;1,"",CL$3*일별반별!CO126),0)</f>
        <v/>
      </c>
      <c r="CM126" s="337" t="str">
        <f>IFERROR(IF($C126&lt;1,"",CM$3*일별반별!CP126),0)</f>
        <v/>
      </c>
      <c r="CN126" s="337" t="str">
        <f>IFERROR(IF($C126&lt;1,"",CN$3*일별반별!CQ126),0)</f>
        <v/>
      </c>
      <c r="CO126" s="337" t="str">
        <f>IFERROR(IF($C126&lt;1,"",CO$3*일별반별!CR126),0)</f>
        <v/>
      </c>
      <c r="CP126" s="337" t="str">
        <f>IFERROR(IF($C126&lt;1,"",CP$3*일별반별!CS126),0)</f>
        <v/>
      </c>
      <c r="CQ126" s="337" t="str">
        <f>IFERROR(IF($C126&lt;1,"",CQ$3*일별반별!CT126),0)</f>
        <v/>
      </c>
      <c r="CR126" s="420" t="str">
        <f>IFERROR(IF($C126&lt;1,"",CR$3*일별반별!CU126),0)</f>
        <v/>
      </c>
      <c r="CS126" s="420" t="str">
        <f>IFERROR(IF($C126&lt;1,"",CS$3*일별반별!CV126),0)</f>
        <v/>
      </c>
      <c r="CT126" s="337" t="str">
        <f>IFERROR(IF($C126&lt;1,"",CT$3*일별반별!CW126),0)</f>
        <v/>
      </c>
      <c r="CU126" s="337" t="str">
        <f>IFERROR(IF($C126&lt;1,"",CU$3*일별반별!CX126),0)</f>
        <v/>
      </c>
      <c r="CV126" s="337" t="str">
        <f>IFERROR(IF($C126&lt;1,"",CV$3*일별반별!CY126),0)</f>
        <v/>
      </c>
      <c r="CW126" s="337" t="str">
        <f>IFERROR(IF($C126&lt;1,"",CW$3*일별반별!CZ126),0)</f>
        <v/>
      </c>
      <c r="CX126" s="337" t="str">
        <f>IFERROR(IF($C126&lt;1,"",CX$3*일별반별!DA126),0)</f>
        <v/>
      </c>
      <c r="CY126" s="316" t="str">
        <f>IF(C126&lt;1,"",(CY$3*'09월 조업일지'!AV$7))</f>
        <v/>
      </c>
      <c r="CZ126" s="316" t="str">
        <f t="shared" si="7"/>
        <v/>
      </c>
      <c r="DA126" s="316" t="str">
        <f t="shared" si="7"/>
        <v/>
      </c>
      <c r="DB126" s="316" t="str">
        <f t="shared" si="7"/>
        <v/>
      </c>
      <c r="DC126" s="316"/>
      <c r="DD126" s="419"/>
    </row>
    <row r="127" spans="1:108" ht="15" customHeight="1">
      <c r="A127" s="274">
        <f t="shared" si="6"/>
        <v>44037</v>
      </c>
      <c r="B127" s="275" t="s">
        <v>9</v>
      </c>
      <c r="C127" s="201">
        <f>COUNTIFS('09월 조업일지'!$A$12:$A$952,A126,'09월 조업일지'!$E$12:$E$952,B127)</f>
        <v>0</v>
      </c>
      <c r="D127" s="314">
        <f>IF(C127&lt;1,0,(SUM(E127:CX127)/(일별반별!BV127-1.5)+(CY127+CZ127+DA127+DB127)))</f>
        <v>0</v>
      </c>
      <c r="E127" s="278"/>
      <c r="F127" s="281"/>
      <c r="G127" s="282"/>
      <c r="H127" s="283"/>
      <c r="I127" s="283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326"/>
      <c r="U127" s="395" t="str">
        <f>IFERROR(IF($C127&lt;1,"",U$3*일별반별!X127),0)</f>
        <v/>
      </c>
      <c r="V127" s="395" t="str">
        <f>IFERROR(IF($C127&lt;1,"",V$3*일별반별!Y127),0)</f>
        <v/>
      </c>
      <c r="W127" s="395" t="str">
        <f>IFERROR(IF($C127&lt;1,"",W$3*일별반별!Z127),0)</f>
        <v/>
      </c>
      <c r="X127" s="208" t="str">
        <f>IFERROR(IF($C127&lt;1,"",X$3*일별반별!AA127),0)</f>
        <v/>
      </c>
      <c r="Y127" s="208" t="str">
        <f>IFERROR(IF($C127&lt;1,"",Y$3*일별반별!AB127),0)</f>
        <v/>
      </c>
      <c r="Z127" s="208" t="str">
        <f>IFERROR(IF($C127&lt;1,"",Z$3*일별반별!AC127),0)</f>
        <v/>
      </c>
      <c r="AA127" s="395" t="str">
        <f>IFERROR(IF($C127&lt;1,"",AA$3*일별반별!AD127),0)</f>
        <v/>
      </c>
      <c r="AB127" s="395" t="str">
        <f>IFERROR(IF($C127&lt;1,"",AB$3*일별반별!AE127),0)</f>
        <v/>
      </c>
      <c r="AC127" s="208" t="str">
        <f>IFERROR(IF($C127&lt;1,"",AC$3*일별반별!AF127),0)</f>
        <v/>
      </c>
      <c r="AD127" s="208" t="str">
        <f>IFERROR(IF($C127&lt;1,"",AD$3*일별반별!AG127),0)</f>
        <v/>
      </c>
      <c r="AE127" s="208" t="str">
        <f>IFERROR(IF($C127&lt;1,"",AE$3*일별반별!AH127),0)</f>
        <v/>
      </c>
      <c r="AF127" s="395" t="str">
        <f>IFERROR(IF($C127&lt;1,"",AF$3*일별반별!AI127),0)</f>
        <v/>
      </c>
      <c r="AG127" s="395" t="str">
        <f>IFERROR(IF($C127&lt;1,"",AG$3*일별반별!AJ127),0)</f>
        <v/>
      </c>
      <c r="AH127" s="395" t="str">
        <f>IFERROR(IF($C127&lt;1,"",AH$3*일별반별!AK127),0)</f>
        <v/>
      </c>
      <c r="AI127" s="395" t="str">
        <f>IFERROR(IF($C127&lt;1,"",AI$3*일별반별!AL127),0)</f>
        <v/>
      </c>
      <c r="AJ127" s="395" t="str">
        <f>IFERROR(IF($C127&lt;1,"",AJ$3*일별반별!AM127),0)</f>
        <v/>
      </c>
      <c r="AK127" s="395" t="str">
        <f>IFERROR(IF($C127&lt;1,"",AK$3*일별반별!AN127),0)</f>
        <v/>
      </c>
      <c r="AL127" s="395" t="str">
        <f>IFERROR(IF($C127&lt;1,"",AL$3*일별반별!AO127),0)</f>
        <v/>
      </c>
      <c r="AM127" s="395" t="str">
        <f>IFERROR(IF($C127&lt;1,"",AM$3*일별반별!AP127),0)</f>
        <v/>
      </c>
      <c r="AN127" s="395" t="str">
        <f>IFERROR(IF($C127&lt;1,"",AN$3*일별반별!AQ127),0)</f>
        <v/>
      </c>
      <c r="AO127" s="395" t="str">
        <f>IFERROR(IF($C127&lt;1,"",AO$3*일별반별!AR127),0)</f>
        <v/>
      </c>
      <c r="AP127" s="347" t="str">
        <f>IFERROR(IF($C127&lt;1,"",AP$3*일별반별!AS127),0)</f>
        <v/>
      </c>
      <c r="AQ127" s="347" t="str">
        <f>IFERROR(IF($C127&lt;1,"",AQ$3*일별반별!AT127),0)</f>
        <v/>
      </c>
      <c r="AR127" s="316" t="str">
        <f>IFERROR(IF($C127&lt;1,"",AR$3*일별반별!AU127),0)</f>
        <v/>
      </c>
      <c r="AS127" s="401" t="str">
        <f>IFERROR(IF($C127&lt;1,"",AS$3*일별반별!AV127),0)</f>
        <v/>
      </c>
      <c r="AT127" s="401" t="str">
        <f>IFERROR(IF($C127&lt;1,"",AT$3*일별반별!AW127),0)</f>
        <v/>
      </c>
      <c r="AU127" s="401" t="str">
        <f>IFERROR(IF($C127&lt;1,"",AU$3*일별반별!AX127),0)</f>
        <v/>
      </c>
      <c r="AV127" s="401" t="str">
        <f>IFERROR(IF($C127&lt;1,"",AV$3*일별반별!AY127),0)</f>
        <v/>
      </c>
      <c r="AW127" s="401" t="str">
        <f>IFERROR(IF($C127&lt;1,"",AW$3*일별반별!AZ127),0)</f>
        <v/>
      </c>
      <c r="AX127" s="401" t="str">
        <f>IFERROR(IF($C127&lt;1,"",AX$3*일별반별!BA127),0)</f>
        <v/>
      </c>
      <c r="AY127" s="401" t="str">
        <f>IFERROR(IF($C127&lt;1,"",AY$3*일별반별!BB127),0)</f>
        <v/>
      </c>
      <c r="AZ127" s="401" t="str">
        <f>IFERROR(IF($C127&lt;1,"",AZ$3*일별반별!BC127),0)</f>
        <v/>
      </c>
      <c r="BA127" s="401" t="str">
        <f>IFERROR(IF($C127&lt;1,"",BA$3*일별반별!BD127),0)</f>
        <v/>
      </c>
      <c r="BB127" s="402" t="str">
        <f>IFERROR(IF($C127&lt;1,"",BB$3*일별반별!BE127),0)</f>
        <v/>
      </c>
      <c r="BC127" s="402" t="str">
        <f>IFERROR(IF($C127&lt;1,"",BC$3*일별반별!BF127),0)</f>
        <v/>
      </c>
      <c r="BD127" s="402" t="str">
        <f>IFERROR(IF($C127&lt;1,"",BD$3*일별반별!BG127),0)</f>
        <v/>
      </c>
      <c r="BE127" s="402" t="str">
        <f>IFERROR(IF($C127&lt;1,"",BE$3*일별반별!BH127),0)</f>
        <v/>
      </c>
      <c r="BF127" s="402" t="str">
        <f>IFERROR(IF($C127&lt;1,"",BF$3*일별반별!BI127),0)</f>
        <v/>
      </c>
      <c r="BG127" s="402" t="str">
        <f>IFERROR(IF($C127&lt;1,"",BG$3*일별반별!BJ127),0)</f>
        <v/>
      </c>
      <c r="BH127" s="402" t="str">
        <f>IFERROR(IF($C127&lt;1,"",BH$3*일별반별!BK127),0)</f>
        <v/>
      </c>
      <c r="BI127" s="402" t="str">
        <f>IFERROR(IF($C127&lt;1,"",BI$3*일별반별!BL127),0)</f>
        <v/>
      </c>
      <c r="BJ127" s="402" t="str">
        <f>IFERROR(IF($C127&lt;1,"",BJ$3*일별반별!BM127),0)</f>
        <v/>
      </c>
      <c r="BK127" s="402" t="str">
        <f>IFERROR(IF($C127&lt;1,"",BK$3*일별반별!BN127),0)</f>
        <v/>
      </c>
      <c r="BL127" s="402" t="str">
        <f>IFERROR(IF($C127&lt;1,"",BL$3*일별반별!BH127),0)</f>
        <v/>
      </c>
      <c r="BM127" s="402" t="str">
        <f>IFERROR(IF($C127&lt;1,"",BM$3*일별반별!BP127),0)</f>
        <v/>
      </c>
      <c r="BN127" s="401" t="str">
        <f>IFERROR(IF($C127&lt;1,"",BN$3*일별반별!BQ127),0)</f>
        <v/>
      </c>
      <c r="BO127" s="401" t="str">
        <f>IFERROR(IF($C127&lt;1,"",BO$3*일별반별!BR127),0)</f>
        <v/>
      </c>
      <c r="BP127" s="401" t="str">
        <f>IFERROR(IF($C127&lt;1,"",BP$3*일별반별!BS127),0)</f>
        <v/>
      </c>
      <c r="BQ127" s="401" t="str">
        <f>IFERROR(IF($C127&lt;1,"",BQ$3*일별반별!BT127),0)</f>
        <v/>
      </c>
      <c r="BR127" s="417" t="str">
        <f>IFERROR(IF($C127&lt;1,"",BR$3*일별반별!BU127),0)</f>
        <v/>
      </c>
      <c r="BS127" s="417" t="str">
        <f>IFERROR(IF($C127&lt;1,"",BS$3*일별반별!BV127),0)</f>
        <v/>
      </c>
      <c r="BT127" s="417" t="str">
        <f>IFERROR(IF($C127&lt;1,"",BT$3*일별반별!BW127),0)</f>
        <v/>
      </c>
      <c r="BU127" s="316" t="str">
        <f>IFERROR(IF($C127&lt;1,"",BU$3*일별반별!BX127),0)</f>
        <v/>
      </c>
      <c r="BV127" s="316" t="str">
        <f>IFERROR(IF($C127&lt;1,"",BV$3*일별반별!BY127),0)</f>
        <v/>
      </c>
      <c r="BW127" s="316" t="str">
        <f>IFERROR(IF($C127&lt;1,"",BW$3*일별반별!BZ127),0)</f>
        <v/>
      </c>
      <c r="BX127" s="316" t="str">
        <f>IFERROR(IF($C127&lt;1,"",BX$3*일별반별!CA127),0)</f>
        <v/>
      </c>
      <c r="BY127" s="316" t="str">
        <f>IFERROR(IF($C127&lt;1,"",BY$3*일별반별!CB127),0)</f>
        <v/>
      </c>
      <c r="BZ127" s="316" t="str">
        <f>IFERROR(IF($C127&lt;1,"",BZ$3*일별반별!CC127),0)</f>
        <v/>
      </c>
      <c r="CA127" s="316" t="str">
        <f>IFERROR(IF($C127&lt;1,"",CA$3*일별반별!CD127),0)</f>
        <v/>
      </c>
      <c r="CB127" s="316" t="str">
        <f>IFERROR(IF($C127&lt;1,"",CB$3*일별반별!CE127),0)</f>
        <v/>
      </c>
      <c r="CC127" s="316" t="str">
        <f>IFERROR(IF($C127&lt;1,"",CC$3*일별반별!CF127),0)</f>
        <v/>
      </c>
      <c r="CD127" s="316" t="str">
        <f>IFERROR(IF($C127&lt;1,"",CD$3*일별반별!CG127),0)</f>
        <v/>
      </c>
      <c r="CE127" s="316" t="str">
        <f>IFERROR(IF($C127&lt;1,"",CE$3*일별반별!CH127),0)</f>
        <v/>
      </c>
      <c r="CF127" s="316" t="str">
        <f>IFERROR(IF($C127&lt;1,"",CF$3*일별반별!CI127),0)</f>
        <v/>
      </c>
      <c r="CG127" s="316" t="str">
        <f>IFERROR(IF($C127&lt;1,"",CG$3*일별반별!CJ127),0)</f>
        <v/>
      </c>
      <c r="CH127" s="316" t="str">
        <f>IFERROR(IF($C127&lt;1,"",CH$3*일별반별!CK127),0)</f>
        <v/>
      </c>
      <c r="CI127" s="316" t="str">
        <f>IFERROR(IF($C127&lt;1,"",CI$3*일별반별!CL127),0)</f>
        <v/>
      </c>
      <c r="CJ127" s="316" t="str">
        <f>IFERROR(IF($C127&lt;1,"",CJ$3*일별반별!CM127),0)</f>
        <v/>
      </c>
      <c r="CK127" s="316" t="str">
        <f>IFERROR(IF($C127&lt;1,"",CK$3*일별반별!CN127),0)</f>
        <v/>
      </c>
      <c r="CL127" s="316" t="str">
        <f>IFERROR(IF($C127&lt;1,"",CL$3*일별반별!CO127),0)</f>
        <v/>
      </c>
      <c r="CM127" s="316" t="str">
        <f>IFERROR(IF($C127&lt;1,"",CM$3*일별반별!CP127),0)</f>
        <v/>
      </c>
      <c r="CN127" s="316" t="str">
        <f>IFERROR(IF($C127&lt;1,"",CN$3*일별반별!CQ127),0)</f>
        <v/>
      </c>
      <c r="CO127" s="316" t="str">
        <f>IFERROR(IF($C127&lt;1,"",CO$3*일별반별!CR127),0)</f>
        <v/>
      </c>
      <c r="CP127" s="316" t="str">
        <f>IFERROR(IF($C127&lt;1,"",CP$3*일별반별!CS127),0)</f>
        <v/>
      </c>
      <c r="CQ127" s="316" t="str">
        <f>IFERROR(IF($C127&lt;1,"",CQ$3*일별반별!CT127),0)</f>
        <v/>
      </c>
      <c r="CR127" s="418" t="str">
        <f>IFERROR(IF($C127&lt;1,"",CR$3*일별반별!CU127),0)</f>
        <v/>
      </c>
      <c r="CS127" s="418" t="str">
        <f>IFERROR(IF($C127&lt;1,"",CS$3*일별반별!CV127),0)</f>
        <v/>
      </c>
      <c r="CT127" s="316" t="str">
        <f>IFERROR(IF($C127&lt;1,"",CT$3*일별반별!CW127),0)</f>
        <v/>
      </c>
      <c r="CU127" s="316" t="str">
        <f>IFERROR(IF($C127&lt;1,"",CU$3*일별반별!CX127),0)</f>
        <v/>
      </c>
      <c r="CV127" s="316" t="str">
        <f>IFERROR(IF($C127&lt;1,"",CV$3*일별반별!CY127),0)</f>
        <v/>
      </c>
      <c r="CW127" s="316" t="str">
        <f>IFERROR(IF($C127&lt;1,"",CW$3*일별반별!CZ127),0)</f>
        <v/>
      </c>
      <c r="CX127" s="316" t="str">
        <f>IFERROR(IF($C127&lt;1,"",CX$3*일별반별!DA127),0)</f>
        <v/>
      </c>
      <c r="CY127" s="316" t="str">
        <f>IF(C127&lt;1,"",(CY$3*'09월 조업일지'!AV$7))</f>
        <v/>
      </c>
      <c r="CZ127" s="316" t="str">
        <f t="shared" si="7"/>
        <v/>
      </c>
      <c r="DA127" s="316" t="str">
        <f t="shared" si="7"/>
        <v/>
      </c>
      <c r="DB127" s="316" t="str">
        <f t="shared" si="7"/>
        <v/>
      </c>
      <c r="DC127" s="316"/>
      <c r="DD127" s="419"/>
    </row>
    <row r="128" spans="1:108" ht="15" customHeight="1">
      <c r="A128" s="274">
        <f t="shared" si="6"/>
        <v>44037</v>
      </c>
      <c r="B128" s="275" t="s">
        <v>100</v>
      </c>
      <c r="C128" s="201">
        <f>COUNTIFS('09월 조업일지'!$A$12:$A$952,A126,'09월 조업일지'!$E$12:$E$952,B128)</f>
        <v>0</v>
      </c>
      <c r="D128" s="314">
        <f>IF(C128&lt;1,0,(SUM(E128:CX128)/(일별반별!BV128-1.5)+(CY128+CZ128+DA128+DB128)))</f>
        <v>0</v>
      </c>
      <c r="E128" s="278"/>
      <c r="F128" s="281"/>
      <c r="G128" s="282"/>
      <c r="H128" s="283"/>
      <c r="I128" s="283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326"/>
      <c r="U128" s="395" t="str">
        <f>IFERROR(IF($C128&lt;1,"",U$3*일별반별!X128),0)</f>
        <v/>
      </c>
      <c r="V128" s="395" t="str">
        <f>IFERROR(IF($C128&lt;1,"",V$3*일별반별!Y128),0)</f>
        <v/>
      </c>
      <c r="W128" s="395" t="str">
        <f>IFERROR(IF($C128&lt;1,"",W$3*일별반별!Z128),0)</f>
        <v/>
      </c>
      <c r="X128" s="208" t="str">
        <f>IFERROR(IF($C128&lt;1,"",X$3*일별반별!AA128),0)</f>
        <v/>
      </c>
      <c r="Y128" s="208" t="str">
        <f>IFERROR(IF($C128&lt;1,"",Y$3*일별반별!AB128),0)</f>
        <v/>
      </c>
      <c r="Z128" s="208" t="str">
        <f>IFERROR(IF($C128&lt;1,"",Z$3*일별반별!AC128),0)</f>
        <v/>
      </c>
      <c r="AA128" s="395" t="str">
        <f>IFERROR(IF($C128&lt;1,"",AA$3*일별반별!AD128),0)</f>
        <v/>
      </c>
      <c r="AB128" s="395" t="str">
        <f>IFERROR(IF($C128&lt;1,"",AB$3*일별반별!AE128),0)</f>
        <v/>
      </c>
      <c r="AC128" s="208" t="str">
        <f>IFERROR(IF($C128&lt;1,"",AC$3*일별반별!AF128),0)</f>
        <v/>
      </c>
      <c r="AD128" s="208" t="str">
        <f>IFERROR(IF($C128&lt;1,"",AD$3*일별반별!AG128),0)</f>
        <v/>
      </c>
      <c r="AE128" s="208" t="str">
        <f>IFERROR(IF($C128&lt;1,"",AE$3*일별반별!AH128),0)</f>
        <v/>
      </c>
      <c r="AF128" s="395" t="str">
        <f>IFERROR(IF($C128&lt;1,"",AF$3*일별반별!AI128),0)</f>
        <v/>
      </c>
      <c r="AG128" s="395" t="str">
        <f>IFERROR(IF($C128&lt;1,"",AG$3*일별반별!AJ128),0)</f>
        <v/>
      </c>
      <c r="AH128" s="395" t="str">
        <f>IFERROR(IF($C128&lt;1,"",AH$3*일별반별!AK128),0)</f>
        <v/>
      </c>
      <c r="AI128" s="395" t="str">
        <f>IFERROR(IF($C128&lt;1,"",AI$3*일별반별!AL128),0)</f>
        <v/>
      </c>
      <c r="AJ128" s="395" t="str">
        <f>IFERROR(IF($C128&lt;1,"",AJ$3*일별반별!AM128),0)</f>
        <v/>
      </c>
      <c r="AK128" s="395" t="str">
        <f>IFERROR(IF($C128&lt;1,"",AK$3*일별반별!AN128),0)</f>
        <v/>
      </c>
      <c r="AL128" s="395" t="str">
        <f>IFERROR(IF($C128&lt;1,"",AL$3*일별반별!AO128),0)</f>
        <v/>
      </c>
      <c r="AM128" s="395" t="str">
        <f>IFERROR(IF($C128&lt;1,"",AM$3*일별반별!AP128),0)</f>
        <v/>
      </c>
      <c r="AN128" s="395" t="str">
        <f>IFERROR(IF($C128&lt;1,"",AN$3*일별반별!AQ128),0)</f>
        <v/>
      </c>
      <c r="AO128" s="395" t="str">
        <f>IFERROR(IF($C128&lt;1,"",AO$3*일별반별!AR128),0)</f>
        <v/>
      </c>
      <c r="AP128" s="347" t="str">
        <f>IFERROR(IF($C128&lt;1,"",AP$3*일별반별!AS128),0)</f>
        <v/>
      </c>
      <c r="AQ128" s="347" t="str">
        <f>IFERROR(IF($C128&lt;1,"",AQ$3*일별반별!AT128),0)</f>
        <v/>
      </c>
      <c r="AR128" s="316" t="str">
        <f>IFERROR(IF($C128&lt;1,"",AR$3*일별반별!AU128),0)</f>
        <v/>
      </c>
      <c r="AS128" s="401" t="str">
        <f>IFERROR(IF($C128&lt;1,"",AS$3*일별반별!AV128),0)</f>
        <v/>
      </c>
      <c r="AT128" s="401" t="str">
        <f>IFERROR(IF($C128&lt;1,"",AT$3*일별반별!AW128),0)</f>
        <v/>
      </c>
      <c r="AU128" s="401" t="str">
        <f>IFERROR(IF($C128&lt;1,"",AU$3*일별반별!AX128),0)</f>
        <v/>
      </c>
      <c r="AV128" s="401" t="str">
        <f>IFERROR(IF($C128&lt;1,"",AV$3*일별반별!AY128),0)</f>
        <v/>
      </c>
      <c r="AW128" s="401" t="str">
        <f>IFERROR(IF($C128&lt;1,"",AW$3*일별반별!AZ128),0)</f>
        <v/>
      </c>
      <c r="AX128" s="401" t="str">
        <f>IFERROR(IF($C128&lt;1,"",AX$3*일별반별!BA128),0)</f>
        <v/>
      </c>
      <c r="AY128" s="401" t="str">
        <f>IFERROR(IF($C128&lt;1,"",AY$3*일별반별!BB128),0)</f>
        <v/>
      </c>
      <c r="AZ128" s="401" t="str">
        <f>IFERROR(IF($C128&lt;1,"",AZ$3*일별반별!BC128),0)</f>
        <v/>
      </c>
      <c r="BA128" s="401" t="str">
        <f>IFERROR(IF($C128&lt;1,"",BA$3*일별반별!BD128),0)</f>
        <v/>
      </c>
      <c r="BB128" s="402" t="str">
        <f>IFERROR(IF($C128&lt;1,"",BB$3*일별반별!BE128),0)</f>
        <v/>
      </c>
      <c r="BC128" s="402" t="str">
        <f>IFERROR(IF($C128&lt;1,"",BC$3*일별반별!BF128),0)</f>
        <v/>
      </c>
      <c r="BD128" s="402" t="str">
        <f>IFERROR(IF($C128&lt;1,"",BD$3*일별반별!BG128),0)</f>
        <v/>
      </c>
      <c r="BE128" s="402" t="str">
        <f>IFERROR(IF($C128&lt;1,"",BE$3*일별반별!BH128),0)</f>
        <v/>
      </c>
      <c r="BF128" s="402" t="str">
        <f>IFERROR(IF($C128&lt;1,"",BF$3*일별반별!BI128),0)</f>
        <v/>
      </c>
      <c r="BG128" s="402" t="str">
        <f>IFERROR(IF($C128&lt;1,"",BG$3*일별반별!BJ128),0)</f>
        <v/>
      </c>
      <c r="BH128" s="402" t="str">
        <f>IFERROR(IF($C128&lt;1,"",BH$3*일별반별!BK128),0)</f>
        <v/>
      </c>
      <c r="BI128" s="402" t="str">
        <f>IFERROR(IF($C128&lt;1,"",BI$3*일별반별!BL128),0)</f>
        <v/>
      </c>
      <c r="BJ128" s="402" t="str">
        <f>IFERROR(IF($C128&lt;1,"",BJ$3*일별반별!BM128),0)</f>
        <v/>
      </c>
      <c r="BK128" s="402" t="str">
        <f>IFERROR(IF($C128&lt;1,"",BK$3*일별반별!BN128),0)</f>
        <v/>
      </c>
      <c r="BL128" s="402" t="str">
        <f>IFERROR(IF($C128&lt;1,"",BL$3*일별반별!BH128),0)</f>
        <v/>
      </c>
      <c r="BM128" s="402" t="str">
        <f>IFERROR(IF($C128&lt;1,"",BM$3*일별반별!BP128),0)</f>
        <v/>
      </c>
      <c r="BN128" s="401" t="str">
        <f>IFERROR(IF($C128&lt;1,"",BN$3*일별반별!BQ128),0)</f>
        <v/>
      </c>
      <c r="BO128" s="401" t="str">
        <f>IFERROR(IF($C128&lt;1,"",BO$3*일별반별!BR128),0)</f>
        <v/>
      </c>
      <c r="BP128" s="401" t="str">
        <f>IFERROR(IF($C128&lt;1,"",BP$3*일별반별!BS128),0)</f>
        <v/>
      </c>
      <c r="BQ128" s="401" t="str">
        <f>IFERROR(IF($C128&lt;1,"",BQ$3*일별반별!BT128),0)</f>
        <v/>
      </c>
      <c r="BR128" s="417" t="str">
        <f>IFERROR(IF($C128&lt;1,"",BR$3*일별반별!BU128),0)</f>
        <v/>
      </c>
      <c r="BS128" s="417" t="str">
        <f>IFERROR(IF($C128&lt;1,"",BS$3*일별반별!BV128),0)</f>
        <v/>
      </c>
      <c r="BT128" s="417" t="str">
        <f>IFERROR(IF($C128&lt;1,"",BT$3*일별반별!BW128),0)</f>
        <v/>
      </c>
      <c r="BU128" s="316" t="str">
        <f>IFERROR(IF($C128&lt;1,"",BU$3*일별반별!BX128),0)</f>
        <v/>
      </c>
      <c r="BV128" s="316" t="str">
        <f>IFERROR(IF($C128&lt;1,"",BV$3*일별반별!BY128),0)</f>
        <v/>
      </c>
      <c r="BW128" s="316" t="str">
        <f>IFERROR(IF($C128&lt;1,"",BW$3*일별반별!BZ128),0)</f>
        <v/>
      </c>
      <c r="BX128" s="316" t="str">
        <f>IFERROR(IF($C128&lt;1,"",BX$3*일별반별!CA128),0)</f>
        <v/>
      </c>
      <c r="BY128" s="316" t="str">
        <f>IFERROR(IF($C128&lt;1,"",BY$3*일별반별!CB128),0)</f>
        <v/>
      </c>
      <c r="BZ128" s="316" t="str">
        <f>IFERROR(IF($C128&lt;1,"",BZ$3*일별반별!CC128),0)</f>
        <v/>
      </c>
      <c r="CA128" s="316" t="str">
        <f>IFERROR(IF($C128&lt;1,"",CA$3*일별반별!CD128),0)</f>
        <v/>
      </c>
      <c r="CB128" s="316" t="str">
        <f>IFERROR(IF($C128&lt;1,"",CB$3*일별반별!CE128),0)</f>
        <v/>
      </c>
      <c r="CC128" s="316" t="str">
        <f>IFERROR(IF($C128&lt;1,"",CC$3*일별반별!CF128),0)</f>
        <v/>
      </c>
      <c r="CD128" s="316" t="str">
        <f>IFERROR(IF($C128&lt;1,"",CD$3*일별반별!CG128),0)</f>
        <v/>
      </c>
      <c r="CE128" s="316" t="str">
        <f>IFERROR(IF($C128&lt;1,"",CE$3*일별반별!CH128),0)</f>
        <v/>
      </c>
      <c r="CF128" s="316" t="str">
        <f>IFERROR(IF($C128&lt;1,"",CF$3*일별반별!CI128),0)</f>
        <v/>
      </c>
      <c r="CG128" s="316" t="str">
        <f>IFERROR(IF($C128&lt;1,"",CG$3*일별반별!CJ128),0)</f>
        <v/>
      </c>
      <c r="CH128" s="316" t="str">
        <f>IFERROR(IF($C128&lt;1,"",CH$3*일별반별!CK128),0)</f>
        <v/>
      </c>
      <c r="CI128" s="316" t="str">
        <f>IFERROR(IF($C128&lt;1,"",CI$3*일별반별!CL128),0)</f>
        <v/>
      </c>
      <c r="CJ128" s="316" t="str">
        <f>IFERROR(IF($C128&lt;1,"",CJ$3*일별반별!CM128),0)</f>
        <v/>
      </c>
      <c r="CK128" s="316" t="str">
        <f>IFERROR(IF($C128&lt;1,"",CK$3*일별반별!CN128),0)</f>
        <v/>
      </c>
      <c r="CL128" s="316" t="str">
        <f>IFERROR(IF($C128&lt;1,"",CL$3*일별반별!CO128),0)</f>
        <v/>
      </c>
      <c r="CM128" s="316" t="str">
        <f>IFERROR(IF($C128&lt;1,"",CM$3*일별반별!CP128),0)</f>
        <v/>
      </c>
      <c r="CN128" s="316" t="str">
        <f>IFERROR(IF($C128&lt;1,"",CN$3*일별반별!CQ128),0)</f>
        <v/>
      </c>
      <c r="CO128" s="316" t="str">
        <f>IFERROR(IF($C128&lt;1,"",CO$3*일별반별!CR128),0)</f>
        <v/>
      </c>
      <c r="CP128" s="316" t="str">
        <f>IFERROR(IF($C128&lt;1,"",CP$3*일별반별!CS128),0)</f>
        <v/>
      </c>
      <c r="CQ128" s="316" t="str">
        <f>IFERROR(IF($C128&lt;1,"",CQ$3*일별반별!CT128),0)</f>
        <v/>
      </c>
      <c r="CR128" s="418" t="str">
        <f>IFERROR(IF($C128&lt;1,"",CR$3*일별반별!CU128),0)</f>
        <v/>
      </c>
      <c r="CS128" s="418" t="str">
        <f>IFERROR(IF($C128&lt;1,"",CS$3*일별반별!CV128),0)</f>
        <v/>
      </c>
      <c r="CT128" s="316" t="str">
        <f>IFERROR(IF($C128&lt;1,"",CT$3*일별반별!CW128),0)</f>
        <v/>
      </c>
      <c r="CU128" s="316" t="str">
        <f>IFERROR(IF($C128&lt;1,"",CU$3*일별반별!CX128),0)</f>
        <v/>
      </c>
      <c r="CV128" s="316" t="str">
        <f>IFERROR(IF($C128&lt;1,"",CV$3*일별반별!CY128),0)</f>
        <v/>
      </c>
      <c r="CW128" s="316" t="str">
        <f>IFERROR(IF($C128&lt;1,"",CW$3*일별반별!CZ128),0)</f>
        <v/>
      </c>
      <c r="CX128" s="316" t="str">
        <f>IFERROR(IF($C128&lt;1,"",CX$3*일별반별!DA128),0)</f>
        <v/>
      </c>
      <c r="CY128" s="316" t="str">
        <f>IF(C128&lt;1,"",(CY$3*'09월 조업일지'!AV$7))</f>
        <v/>
      </c>
      <c r="CZ128" s="316" t="str">
        <f t="shared" si="7"/>
        <v/>
      </c>
      <c r="DA128" s="316" t="str">
        <f t="shared" si="7"/>
        <v/>
      </c>
      <c r="DB128" s="316" t="str">
        <f t="shared" si="7"/>
        <v/>
      </c>
      <c r="DC128" s="316"/>
      <c r="DD128" s="419"/>
    </row>
    <row r="129" spans="1:108" ht="15" customHeight="1">
      <c r="A129" s="274">
        <f t="shared" si="6"/>
        <v>44037</v>
      </c>
      <c r="B129" s="275" t="s">
        <v>10</v>
      </c>
      <c r="C129" s="201">
        <f>COUNTIFS('09월 조업일지'!$A$12:$A$952,A126,'09월 조업일지'!$E$12:$E$952,B129)</f>
        <v>0</v>
      </c>
      <c r="D129" s="314">
        <f>IF(C129&lt;1,0,(SUM(E129:CX129)/(일별반별!BV129-1.5)+(CY129+CZ129+DA129+DB129)))</f>
        <v>0</v>
      </c>
      <c r="E129" s="278"/>
      <c r="F129" s="281"/>
      <c r="G129" s="282"/>
      <c r="H129" s="283"/>
      <c r="I129" s="283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326"/>
      <c r="U129" s="395" t="str">
        <f>IFERROR(IF($C129&lt;1,"",U$3*일별반별!X129),0)</f>
        <v/>
      </c>
      <c r="V129" s="395" t="str">
        <f>IFERROR(IF($C129&lt;1,"",V$3*일별반별!Y129),0)</f>
        <v/>
      </c>
      <c r="W129" s="395" t="str">
        <f>IFERROR(IF($C129&lt;1,"",W$3*일별반별!Z129),0)</f>
        <v/>
      </c>
      <c r="X129" s="208" t="str">
        <f>IFERROR(IF($C129&lt;1,"",X$3*일별반별!AA129),0)</f>
        <v/>
      </c>
      <c r="Y129" s="208" t="str">
        <f>IFERROR(IF($C129&lt;1,"",Y$3*일별반별!AB129),0)</f>
        <v/>
      </c>
      <c r="Z129" s="208" t="str">
        <f>IFERROR(IF($C129&lt;1,"",Z$3*일별반별!AC129),0)</f>
        <v/>
      </c>
      <c r="AA129" s="395" t="str">
        <f>IFERROR(IF($C129&lt;1,"",AA$3*일별반별!AD129),0)</f>
        <v/>
      </c>
      <c r="AB129" s="395" t="str">
        <f>IFERROR(IF($C129&lt;1,"",AB$3*일별반별!AE129),0)</f>
        <v/>
      </c>
      <c r="AC129" s="208" t="str">
        <f>IFERROR(IF($C129&lt;1,"",AC$3*일별반별!AF129),0)</f>
        <v/>
      </c>
      <c r="AD129" s="208" t="str">
        <f>IFERROR(IF($C129&lt;1,"",AD$3*일별반별!AG129),0)</f>
        <v/>
      </c>
      <c r="AE129" s="208" t="str">
        <f>IFERROR(IF($C129&lt;1,"",AE$3*일별반별!AH129),0)</f>
        <v/>
      </c>
      <c r="AF129" s="395" t="str">
        <f>IFERROR(IF($C129&lt;1,"",AF$3*일별반별!AI129),0)</f>
        <v/>
      </c>
      <c r="AG129" s="395" t="str">
        <f>IFERROR(IF($C129&lt;1,"",AG$3*일별반별!AJ129),0)</f>
        <v/>
      </c>
      <c r="AH129" s="395" t="str">
        <f>IFERROR(IF($C129&lt;1,"",AH$3*일별반별!AK129),0)</f>
        <v/>
      </c>
      <c r="AI129" s="395" t="str">
        <f>IFERROR(IF($C129&lt;1,"",AI$3*일별반별!AL129),0)</f>
        <v/>
      </c>
      <c r="AJ129" s="395" t="str">
        <f>IFERROR(IF($C129&lt;1,"",AJ$3*일별반별!AM129),0)</f>
        <v/>
      </c>
      <c r="AK129" s="395" t="str">
        <f>IFERROR(IF($C129&lt;1,"",AK$3*일별반별!AN129),0)</f>
        <v/>
      </c>
      <c r="AL129" s="395" t="str">
        <f>IFERROR(IF($C129&lt;1,"",AL$3*일별반별!AO129),0)</f>
        <v/>
      </c>
      <c r="AM129" s="395" t="str">
        <f>IFERROR(IF($C129&lt;1,"",AM$3*일별반별!AP129),0)</f>
        <v/>
      </c>
      <c r="AN129" s="395" t="str">
        <f>IFERROR(IF($C129&lt;1,"",AN$3*일별반별!AQ129),0)</f>
        <v/>
      </c>
      <c r="AO129" s="395" t="str">
        <f>IFERROR(IF($C129&lt;1,"",AO$3*일별반별!AR129),0)</f>
        <v/>
      </c>
      <c r="AP129" s="347" t="str">
        <f>IFERROR(IF($C129&lt;1,"",AP$3*일별반별!AS129),0)</f>
        <v/>
      </c>
      <c r="AQ129" s="347" t="str">
        <f>IFERROR(IF($C129&lt;1,"",AQ$3*일별반별!AT129),0)</f>
        <v/>
      </c>
      <c r="AR129" s="316" t="str">
        <f>IFERROR(IF($C129&lt;1,"",AR$3*일별반별!AU129),0)</f>
        <v/>
      </c>
      <c r="AS129" s="401" t="str">
        <f>IFERROR(IF($C129&lt;1,"",AS$3*일별반별!AV129),0)</f>
        <v/>
      </c>
      <c r="AT129" s="401" t="str">
        <f>IFERROR(IF($C129&lt;1,"",AT$3*일별반별!AW129),0)</f>
        <v/>
      </c>
      <c r="AU129" s="401" t="str">
        <f>IFERROR(IF($C129&lt;1,"",AU$3*일별반별!AX129),0)</f>
        <v/>
      </c>
      <c r="AV129" s="401" t="str">
        <f>IFERROR(IF($C129&lt;1,"",AV$3*일별반별!AY129),0)</f>
        <v/>
      </c>
      <c r="AW129" s="401" t="str">
        <f>IFERROR(IF($C129&lt;1,"",AW$3*일별반별!AZ129),0)</f>
        <v/>
      </c>
      <c r="AX129" s="401" t="str">
        <f>IFERROR(IF($C129&lt;1,"",AX$3*일별반별!BA129),0)</f>
        <v/>
      </c>
      <c r="AY129" s="401" t="str">
        <f>IFERROR(IF($C129&lt;1,"",AY$3*일별반별!BB129),0)</f>
        <v/>
      </c>
      <c r="AZ129" s="401" t="str">
        <f>IFERROR(IF($C129&lt;1,"",AZ$3*일별반별!BC129),0)</f>
        <v/>
      </c>
      <c r="BA129" s="401" t="str">
        <f>IFERROR(IF($C129&lt;1,"",BA$3*일별반별!BD129),0)</f>
        <v/>
      </c>
      <c r="BB129" s="402" t="str">
        <f>IFERROR(IF($C129&lt;1,"",BB$3*일별반별!BE129),0)</f>
        <v/>
      </c>
      <c r="BC129" s="402" t="str">
        <f>IFERROR(IF($C129&lt;1,"",BC$3*일별반별!BF129),0)</f>
        <v/>
      </c>
      <c r="BD129" s="402" t="str">
        <f>IFERROR(IF($C129&lt;1,"",BD$3*일별반별!BG129),0)</f>
        <v/>
      </c>
      <c r="BE129" s="402" t="str">
        <f>IFERROR(IF($C129&lt;1,"",BE$3*일별반별!BH129),0)</f>
        <v/>
      </c>
      <c r="BF129" s="402" t="str">
        <f>IFERROR(IF($C129&lt;1,"",BF$3*일별반별!BI129),0)</f>
        <v/>
      </c>
      <c r="BG129" s="402" t="str">
        <f>IFERROR(IF($C129&lt;1,"",BG$3*일별반별!BJ129),0)</f>
        <v/>
      </c>
      <c r="BH129" s="402" t="str">
        <f>IFERROR(IF($C129&lt;1,"",BH$3*일별반별!BK129),0)</f>
        <v/>
      </c>
      <c r="BI129" s="402" t="str">
        <f>IFERROR(IF($C129&lt;1,"",BI$3*일별반별!BL129),0)</f>
        <v/>
      </c>
      <c r="BJ129" s="402" t="str">
        <f>IFERROR(IF($C129&lt;1,"",BJ$3*일별반별!BM129),0)</f>
        <v/>
      </c>
      <c r="BK129" s="402" t="str">
        <f>IFERROR(IF($C129&lt;1,"",BK$3*일별반별!BN129),0)</f>
        <v/>
      </c>
      <c r="BL129" s="402" t="str">
        <f>IFERROR(IF($C129&lt;1,"",BL$3*일별반별!BH129),0)</f>
        <v/>
      </c>
      <c r="BM129" s="402" t="str">
        <f>IFERROR(IF($C129&lt;1,"",BM$3*일별반별!BP129),0)</f>
        <v/>
      </c>
      <c r="BN129" s="401" t="str">
        <f>IFERROR(IF($C129&lt;1,"",BN$3*일별반별!BQ129),0)</f>
        <v/>
      </c>
      <c r="BO129" s="401" t="str">
        <f>IFERROR(IF($C129&lt;1,"",BO$3*일별반별!BR129),0)</f>
        <v/>
      </c>
      <c r="BP129" s="401" t="str">
        <f>IFERROR(IF($C129&lt;1,"",BP$3*일별반별!BS129),0)</f>
        <v/>
      </c>
      <c r="BQ129" s="401" t="str">
        <f>IFERROR(IF($C129&lt;1,"",BQ$3*일별반별!BT129),0)</f>
        <v/>
      </c>
      <c r="BR129" s="417" t="str">
        <f>IFERROR(IF($C129&lt;1,"",BR$3*일별반별!BU129),0)</f>
        <v/>
      </c>
      <c r="BS129" s="417" t="str">
        <f>IFERROR(IF($C129&lt;1,"",BS$3*일별반별!BV129),0)</f>
        <v/>
      </c>
      <c r="BT129" s="417" t="str">
        <f>IFERROR(IF($C129&lt;1,"",BT$3*일별반별!BW129),0)</f>
        <v/>
      </c>
      <c r="BU129" s="316" t="str">
        <f>IFERROR(IF($C129&lt;1,"",BU$3*일별반별!BX129),0)</f>
        <v/>
      </c>
      <c r="BV129" s="316" t="str">
        <f>IFERROR(IF($C129&lt;1,"",BV$3*일별반별!BY129),0)</f>
        <v/>
      </c>
      <c r="BW129" s="316" t="str">
        <f>IFERROR(IF($C129&lt;1,"",BW$3*일별반별!BZ129),0)</f>
        <v/>
      </c>
      <c r="BX129" s="316" t="str">
        <f>IFERROR(IF($C129&lt;1,"",BX$3*일별반별!CA129),0)</f>
        <v/>
      </c>
      <c r="BY129" s="316" t="str">
        <f>IFERROR(IF($C129&lt;1,"",BY$3*일별반별!CB129),0)</f>
        <v/>
      </c>
      <c r="BZ129" s="316" t="str">
        <f>IFERROR(IF($C129&lt;1,"",BZ$3*일별반별!CC129),0)</f>
        <v/>
      </c>
      <c r="CA129" s="316" t="str">
        <f>IFERROR(IF($C129&lt;1,"",CA$3*일별반별!CD129),0)</f>
        <v/>
      </c>
      <c r="CB129" s="316" t="str">
        <f>IFERROR(IF($C129&lt;1,"",CB$3*일별반별!CE129),0)</f>
        <v/>
      </c>
      <c r="CC129" s="316" t="str">
        <f>IFERROR(IF($C129&lt;1,"",CC$3*일별반별!CF129),0)</f>
        <v/>
      </c>
      <c r="CD129" s="316" t="str">
        <f>IFERROR(IF($C129&lt;1,"",CD$3*일별반별!CG129),0)</f>
        <v/>
      </c>
      <c r="CE129" s="316" t="str">
        <f>IFERROR(IF($C129&lt;1,"",CE$3*일별반별!CH129),0)</f>
        <v/>
      </c>
      <c r="CF129" s="316" t="str">
        <f>IFERROR(IF($C129&lt;1,"",CF$3*일별반별!CI129),0)</f>
        <v/>
      </c>
      <c r="CG129" s="316" t="str">
        <f>IFERROR(IF($C129&lt;1,"",CG$3*일별반별!CJ129),0)</f>
        <v/>
      </c>
      <c r="CH129" s="316" t="str">
        <f>IFERROR(IF($C129&lt;1,"",CH$3*일별반별!CK129),0)</f>
        <v/>
      </c>
      <c r="CI129" s="316" t="str">
        <f>IFERROR(IF($C129&lt;1,"",CI$3*일별반별!CL129),0)</f>
        <v/>
      </c>
      <c r="CJ129" s="316" t="str">
        <f>IFERROR(IF($C129&lt;1,"",CJ$3*일별반별!CM129),0)</f>
        <v/>
      </c>
      <c r="CK129" s="316" t="str">
        <f>IFERROR(IF($C129&lt;1,"",CK$3*일별반별!CN129),0)</f>
        <v/>
      </c>
      <c r="CL129" s="316" t="str">
        <f>IFERROR(IF($C129&lt;1,"",CL$3*일별반별!CO129),0)</f>
        <v/>
      </c>
      <c r="CM129" s="316" t="str">
        <f>IFERROR(IF($C129&lt;1,"",CM$3*일별반별!CP129),0)</f>
        <v/>
      </c>
      <c r="CN129" s="316" t="str">
        <f>IFERROR(IF($C129&lt;1,"",CN$3*일별반별!CQ129),0)</f>
        <v/>
      </c>
      <c r="CO129" s="316" t="str">
        <f>IFERROR(IF($C129&lt;1,"",CO$3*일별반별!CR129),0)</f>
        <v/>
      </c>
      <c r="CP129" s="316" t="str">
        <f>IFERROR(IF($C129&lt;1,"",CP$3*일별반별!CS129),0)</f>
        <v/>
      </c>
      <c r="CQ129" s="316" t="str">
        <f>IFERROR(IF($C129&lt;1,"",CQ$3*일별반별!CT129),0)</f>
        <v/>
      </c>
      <c r="CR129" s="418" t="str">
        <f>IFERROR(IF($C129&lt;1,"",CR$3*일별반별!CU129),0)</f>
        <v/>
      </c>
      <c r="CS129" s="418" t="str">
        <f>IFERROR(IF($C129&lt;1,"",CS$3*일별반별!CV129),0)</f>
        <v/>
      </c>
      <c r="CT129" s="316" t="str">
        <f>IFERROR(IF($C129&lt;1,"",CT$3*일별반별!CW129),0)</f>
        <v/>
      </c>
      <c r="CU129" s="316" t="str">
        <f>IFERROR(IF($C129&lt;1,"",CU$3*일별반별!CX129),0)</f>
        <v/>
      </c>
      <c r="CV129" s="316" t="str">
        <f>IFERROR(IF($C129&lt;1,"",CV$3*일별반별!CY129),0)</f>
        <v/>
      </c>
      <c r="CW129" s="316" t="str">
        <f>IFERROR(IF($C129&lt;1,"",CW$3*일별반별!CZ129),0)</f>
        <v/>
      </c>
      <c r="CX129" s="316" t="str">
        <f>IFERROR(IF($C129&lt;1,"",CX$3*일별반별!DA129),0)</f>
        <v/>
      </c>
      <c r="CY129" s="316" t="str">
        <f>IF(C129&lt;1,"",(CY$3*'09월 조업일지'!AV$7))</f>
        <v/>
      </c>
      <c r="CZ129" s="316" t="str">
        <f t="shared" si="7"/>
        <v/>
      </c>
      <c r="DA129" s="316" t="str">
        <f t="shared" si="7"/>
        <v/>
      </c>
      <c r="DB129" s="316" t="str">
        <f t="shared" si="7"/>
        <v/>
      </c>
      <c r="DC129" s="316"/>
      <c r="DD129" s="419"/>
    </row>
    <row r="130" spans="1:108" ht="15" customHeight="1">
      <c r="A130" s="274">
        <f t="shared" si="6"/>
        <v>44037</v>
      </c>
      <c r="B130" s="275" t="s">
        <v>94</v>
      </c>
      <c r="C130" s="201">
        <f>COUNTIFS('09월 조업일지'!$A$12:$A$952,A126,'09월 조업일지'!$E$12:$E$952,B130)</f>
        <v>0</v>
      </c>
      <c r="D130" s="314">
        <f>IF(C130&lt;1,0,(SUM(E130:CX130)/(일별반별!BV130-1.5)+(CY130+CZ130+DA130+DB130)))</f>
        <v>0</v>
      </c>
      <c r="E130" s="278"/>
      <c r="F130" s="281"/>
      <c r="G130" s="282"/>
      <c r="H130" s="283"/>
      <c r="I130" s="283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326"/>
      <c r="U130" s="395" t="str">
        <f>IFERROR(IF($C130&lt;1,"",U$3*일별반별!X130),0)</f>
        <v/>
      </c>
      <c r="V130" s="395" t="str">
        <f>IFERROR(IF($C130&lt;1,"",V$3*일별반별!Y130),0)</f>
        <v/>
      </c>
      <c r="W130" s="395" t="str">
        <f>IFERROR(IF($C130&lt;1,"",W$3*일별반별!Z130),0)</f>
        <v/>
      </c>
      <c r="X130" s="208" t="str">
        <f>IFERROR(IF($C130&lt;1,"",X$3*일별반별!AA130),0)</f>
        <v/>
      </c>
      <c r="Y130" s="208" t="str">
        <f>IFERROR(IF($C130&lt;1,"",Y$3*일별반별!AB130),0)</f>
        <v/>
      </c>
      <c r="Z130" s="208" t="str">
        <f>IFERROR(IF($C130&lt;1,"",Z$3*일별반별!AC130),0)</f>
        <v/>
      </c>
      <c r="AA130" s="395" t="str">
        <f>IFERROR(IF($C130&lt;1,"",AA$3*일별반별!AD130),0)</f>
        <v/>
      </c>
      <c r="AB130" s="395" t="str">
        <f>IFERROR(IF($C130&lt;1,"",AB$3*일별반별!AE130),0)</f>
        <v/>
      </c>
      <c r="AC130" s="208" t="str">
        <f>IFERROR(IF($C130&lt;1,"",AC$3*일별반별!AF130),0)</f>
        <v/>
      </c>
      <c r="AD130" s="208" t="str">
        <f>IFERROR(IF($C130&lt;1,"",AD$3*일별반별!AG130),0)</f>
        <v/>
      </c>
      <c r="AE130" s="208" t="str">
        <f>IFERROR(IF($C130&lt;1,"",AE$3*일별반별!AH130),0)</f>
        <v/>
      </c>
      <c r="AF130" s="395" t="str">
        <f>IFERROR(IF($C130&lt;1,"",AF$3*일별반별!AI130),0)</f>
        <v/>
      </c>
      <c r="AG130" s="395" t="str">
        <f>IFERROR(IF($C130&lt;1,"",AG$3*일별반별!AJ130),0)</f>
        <v/>
      </c>
      <c r="AH130" s="395" t="str">
        <f>IFERROR(IF($C130&lt;1,"",AH$3*일별반별!AK130),0)</f>
        <v/>
      </c>
      <c r="AI130" s="395" t="str">
        <f>IFERROR(IF($C130&lt;1,"",AI$3*일별반별!AL130),0)</f>
        <v/>
      </c>
      <c r="AJ130" s="395" t="str">
        <f>IFERROR(IF($C130&lt;1,"",AJ$3*일별반별!AM130),0)</f>
        <v/>
      </c>
      <c r="AK130" s="395" t="str">
        <f>IFERROR(IF($C130&lt;1,"",AK$3*일별반별!AN130),0)</f>
        <v/>
      </c>
      <c r="AL130" s="395" t="str">
        <f>IFERROR(IF($C130&lt;1,"",AL$3*일별반별!AO130),0)</f>
        <v/>
      </c>
      <c r="AM130" s="395" t="str">
        <f>IFERROR(IF($C130&lt;1,"",AM$3*일별반별!AP130),0)</f>
        <v/>
      </c>
      <c r="AN130" s="395" t="str">
        <f>IFERROR(IF($C130&lt;1,"",AN$3*일별반별!AQ130),0)</f>
        <v/>
      </c>
      <c r="AO130" s="395" t="str">
        <f>IFERROR(IF($C130&lt;1,"",AO$3*일별반별!AR130),0)</f>
        <v/>
      </c>
      <c r="AP130" s="347" t="str">
        <f>IFERROR(IF($C130&lt;1,"",AP$3*일별반별!AS130),0)</f>
        <v/>
      </c>
      <c r="AQ130" s="347" t="str">
        <f>IFERROR(IF($C130&lt;1,"",AQ$3*일별반별!AT130),0)</f>
        <v/>
      </c>
      <c r="AR130" s="316" t="str">
        <f>IFERROR(IF($C130&lt;1,"",AR$3*일별반별!AU130),0)</f>
        <v/>
      </c>
      <c r="AS130" s="401" t="str">
        <f>IFERROR(IF($C130&lt;1,"",AS$3*일별반별!AV130),0)</f>
        <v/>
      </c>
      <c r="AT130" s="401" t="str">
        <f>IFERROR(IF($C130&lt;1,"",AT$3*일별반별!AW130),0)</f>
        <v/>
      </c>
      <c r="AU130" s="401" t="str">
        <f>IFERROR(IF($C130&lt;1,"",AU$3*일별반별!AX130),0)</f>
        <v/>
      </c>
      <c r="AV130" s="401" t="str">
        <f>IFERROR(IF($C130&lt;1,"",AV$3*일별반별!AY130),0)</f>
        <v/>
      </c>
      <c r="AW130" s="401" t="str">
        <f>IFERROR(IF($C130&lt;1,"",AW$3*일별반별!AZ130),0)</f>
        <v/>
      </c>
      <c r="AX130" s="401" t="str">
        <f>IFERROR(IF($C130&lt;1,"",AX$3*일별반별!BA130),0)</f>
        <v/>
      </c>
      <c r="AY130" s="401" t="str">
        <f>IFERROR(IF($C130&lt;1,"",AY$3*일별반별!BB130),0)</f>
        <v/>
      </c>
      <c r="AZ130" s="401" t="str">
        <f>IFERROR(IF($C130&lt;1,"",AZ$3*일별반별!BC130),0)</f>
        <v/>
      </c>
      <c r="BA130" s="401" t="str">
        <f>IFERROR(IF($C130&lt;1,"",BA$3*일별반별!BD130),0)</f>
        <v/>
      </c>
      <c r="BB130" s="402" t="str">
        <f>IFERROR(IF($C130&lt;1,"",BB$3*일별반별!BE130),0)</f>
        <v/>
      </c>
      <c r="BC130" s="402" t="str">
        <f>IFERROR(IF($C130&lt;1,"",BC$3*일별반별!BF130),0)</f>
        <v/>
      </c>
      <c r="BD130" s="402" t="str">
        <f>IFERROR(IF($C130&lt;1,"",BD$3*일별반별!BG130),0)</f>
        <v/>
      </c>
      <c r="BE130" s="402" t="str">
        <f>IFERROR(IF($C130&lt;1,"",BE$3*일별반별!BH130),0)</f>
        <v/>
      </c>
      <c r="BF130" s="402" t="str">
        <f>IFERROR(IF($C130&lt;1,"",BF$3*일별반별!BI130),0)</f>
        <v/>
      </c>
      <c r="BG130" s="402" t="str">
        <f>IFERROR(IF($C130&lt;1,"",BG$3*일별반별!BJ130),0)</f>
        <v/>
      </c>
      <c r="BH130" s="402" t="str">
        <f>IFERROR(IF($C130&lt;1,"",BH$3*일별반별!BK130),0)</f>
        <v/>
      </c>
      <c r="BI130" s="402" t="str">
        <f>IFERROR(IF($C130&lt;1,"",BI$3*일별반별!BL130),0)</f>
        <v/>
      </c>
      <c r="BJ130" s="402" t="str">
        <f>IFERROR(IF($C130&lt;1,"",BJ$3*일별반별!BM130),0)</f>
        <v/>
      </c>
      <c r="BK130" s="402" t="str">
        <f>IFERROR(IF($C130&lt;1,"",BK$3*일별반별!BN130),0)</f>
        <v/>
      </c>
      <c r="BL130" s="402" t="str">
        <f>IFERROR(IF($C130&lt;1,"",BL$3*일별반별!BH130),0)</f>
        <v/>
      </c>
      <c r="BM130" s="402" t="str">
        <f>IFERROR(IF($C130&lt;1,"",BM$3*일별반별!BP130),0)</f>
        <v/>
      </c>
      <c r="BN130" s="401" t="str">
        <f>IFERROR(IF($C130&lt;1,"",BN$3*일별반별!BQ130),0)</f>
        <v/>
      </c>
      <c r="BO130" s="401" t="str">
        <f>IFERROR(IF($C130&lt;1,"",BO$3*일별반별!BR130),0)</f>
        <v/>
      </c>
      <c r="BP130" s="401" t="str">
        <f>IFERROR(IF($C130&lt;1,"",BP$3*일별반별!BS130),0)</f>
        <v/>
      </c>
      <c r="BQ130" s="401" t="str">
        <f>IFERROR(IF($C130&lt;1,"",BQ$3*일별반별!BT130),0)</f>
        <v/>
      </c>
      <c r="BR130" s="417" t="str">
        <f>IFERROR(IF($C130&lt;1,"",BR$3*일별반별!BU130),0)</f>
        <v/>
      </c>
      <c r="BS130" s="417" t="str">
        <f>IFERROR(IF($C130&lt;1,"",BS$3*일별반별!BV130),0)</f>
        <v/>
      </c>
      <c r="BT130" s="417" t="str">
        <f>IFERROR(IF($C130&lt;1,"",BT$3*일별반별!BW130),0)</f>
        <v/>
      </c>
      <c r="BU130" s="316" t="str">
        <f>IFERROR(IF($C130&lt;1,"",BU$3*일별반별!BX130),0)</f>
        <v/>
      </c>
      <c r="BV130" s="316" t="str">
        <f>IFERROR(IF($C130&lt;1,"",BV$3*일별반별!BY130),0)</f>
        <v/>
      </c>
      <c r="BW130" s="316" t="str">
        <f>IFERROR(IF($C130&lt;1,"",BW$3*일별반별!BZ130),0)</f>
        <v/>
      </c>
      <c r="BX130" s="316" t="str">
        <f>IFERROR(IF($C130&lt;1,"",BX$3*일별반별!CA130),0)</f>
        <v/>
      </c>
      <c r="BY130" s="316" t="str">
        <f>IFERROR(IF($C130&lt;1,"",BY$3*일별반별!CB130),0)</f>
        <v/>
      </c>
      <c r="BZ130" s="316" t="str">
        <f>IFERROR(IF($C130&lt;1,"",BZ$3*일별반별!CC130),0)</f>
        <v/>
      </c>
      <c r="CA130" s="316" t="str">
        <f>IFERROR(IF($C130&lt;1,"",CA$3*일별반별!CD130),0)</f>
        <v/>
      </c>
      <c r="CB130" s="316" t="str">
        <f>IFERROR(IF($C130&lt;1,"",CB$3*일별반별!CE130),0)</f>
        <v/>
      </c>
      <c r="CC130" s="316" t="str">
        <f>IFERROR(IF($C130&lt;1,"",CC$3*일별반별!CF130),0)</f>
        <v/>
      </c>
      <c r="CD130" s="316" t="str">
        <f>IFERROR(IF($C130&lt;1,"",CD$3*일별반별!CG130),0)</f>
        <v/>
      </c>
      <c r="CE130" s="316" t="str">
        <f>IFERROR(IF($C130&lt;1,"",CE$3*일별반별!CH130),0)</f>
        <v/>
      </c>
      <c r="CF130" s="316" t="str">
        <f>IFERROR(IF($C130&lt;1,"",CF$3*일별반별!CI130),0)</f>
        <v/>
      </c>
      <c r="CG130" s="316" t="str">
        <f>IFERROR(IF($C130&lt;1,"",CG$3*일별반별!CJ130),0)</f>
        <v/>
      </c>
      <c r="CH130" s="316" t="str">
        <f>IFERROR(IF($C130&lt;1,"",CH$3*일별반별!CK130),0)</f>
        <v/>
      </c>
      <c r="CI130" s="316" t="str">
        <f>IFERROR(IF($C130&lt;1,"",CI$3*일별반별!CL130),0)</f>
        <v/>
      </c>
      <c r="CJ130" s="316" t="str">
        <f>IFERROR(IF($C130&lt;1,"",CJ$3*일별반별!CM130),0)</f>
        <v/>
      </c>
      <c r="CK130" s="316" t="str">
        <f>IFERROR(IF($C130&lt;1,"",CK$3*일별반별!CN130),0)</f>
        <v/>
      </c>
      <c r="CL130" s="316" t="str">
        <f>IFERROR(IF($C130&lt;1,"",CL$3*일별반별!CO130),0)</f>
        <v/>
      </c>
      <c r="CM130" s="316" t="str">
        <f>IFERROR(IF($C130&lt;1,"",CM$3*일별반별!CP130),0)</f>
        <v/>
      </c>
      <c r="CN130" s="316" t="str">
        <f>IFERROR(IF($C130&lt;1,"",CN$3*일별반별!CQ130),0)</f>
        <v/>
      </c>
      <c r="CO130" s="316" t="str">
        <f>IFERROR(IF($C130&lt;1,"",CO$3*일별반별!CR130),0)</f>
        <v/>
      </c>
      <c r="CP130" s="316" t="str">
        <f>IFERROR(IF($C130&lt;1,"",CP$3*일별반별!CS130),0)</f>
        <v/>
      </c>
      <c r="CQ130" s="316" t="str">
        <f>IFERROR(IF($C130&lt;1,"",CQ$3*일별반별!CT130),0)</f>
        <v/>
      </c>
      <c r="CR130" s="418" t="str">
        <f>IFERROR(IF($C130&lt;1,"",CR$3*일별반별!CU130),0)</f>
        <v/>
      </c>
      <c r="CS130" s="418" t="str">
        <f>IFERROR(IF($C130&lt;1,"",CS$3*일별반별!CV130),0)</f>
        <v/>
      </c>
      <c r="CT130" s="316" t="str">
        <f>IFERROR(IF($C130&lt;1,"",CT$3*일별반별!CW130),0)</f>
        <v/>
      </c>
      <c r="CU130" s="316" t="str">
        <f>IFERROR(IF($C130&lt;1,"",CU$3*일별반별!CX130),0)</f>
        <v/>
      </c>
      <c r="CV130" s="316" t="str">
        <f>IFERROR(IF($C130&lt;1,"",CV$3*일별반별!CY130),0)</f>
        <v/>
      </c>
      <c r="CW130" s="316" t="str">
        <f>IFERROR(IF($C130&lt;1,"",CW$3*일별반별!CZ130),0)</f>
        <v/>
      </c>
      <c r="CX130" s="316" t="str">
        <f>IFERROR(IF($C130&lt;1,"",CX$3*일별반별!DA130),0)</f>
        <v/>
      </c>
      <c r="CY130" s="316" t="str">
        <f>IF(C130&lt;1,"",(CY$3*'09월 조업일지'!AV$7))</f>
        <v/>
      </c>
      <c r="CZ130" s="316" t="str">
        <f t="shared" si="7"/>
        <v/>
      </c>
      <c r="DA130" s="316" t="str">
        <f t="shared" si="7"/>
        <v/>
      </c>
      <c r="DB130" s="316" t="str">
        <f t="shared" si="7"/>
        <v/>
      </c>
      <c r="DC130" s="316"/>
      <c r="DD130" s="419"/>
    </row>
    <row r="131" spans="1:108" ht="15" customHeight="1">
      <c r="A131" s="327">
        <f>A126+1</f>
        <v>44038</v>
      </c>
      <c r="B131" s="328" t="s">
        <v>31</v>
      </c>
      <c r="C131" s="329">
        <f>COUNTIF('09월 조업일지'!$A$12:$A$952,A131)</f>
        <v>0</v>
      </c>
      <c r="D131" s="330">
        <f>IF(C131&lt;1,0,(SUM(E131:CX131)/(일별반별!BV131-1.5)+(CY131+CZ131+DA131+DB131)))</f>
        <v>0</v>
      </c>
      <c r="E131" s="331"/>
      <c r="F131" s="331"/>
      <c r="G131" s="332"/>
      <c r="H131" s="333"/>
      <c r="I131" s="333"/>
      <c r="J131" s="334"/>
      <c r="K131" s="334"/>
      <c r="L131" s="334"/>
      <c r="M131" s="334"/>
      <c r="N131" s="334"/>
      <c r="O131" s="334"/>
      <c r="P131" s="334"/>
      <c r="Q131" s="335"/>
      <c r="R131" s="334"/>
      <c r="S131" s="335"/>
      <c r="T131" s="334"/>
      <c r="U131" s="337" t="str">
        <f>IFERROR(IF($C131&lt;1,"",U$3*일별반별!X131),0)</f>
        <v/>
      </c>
      <c r="V131" s="337" t="str">
        <f>IFERROR(IF($C131&lt;1,"",V$3*일별반별!Y131),0)</f>
        <v/>
      </c>
      <c r="W131" s="337" t="str">
        <f>IFERROR(IF($C131&lt;1,"",W$3*일별반별!Z131),0)</f>
        <v/>
      </c>
      <c r="X131" s="336" t="str">
        <f>IFERROR(IF($C131&lt;1,"",X$3*일별반별!AA131),0)</f>
        <v/>
      </c>
      <c r="Y131" s="336" t="str">
        <f>IFERROR(IF($C131&lt;1,"",Y$3*일별반별!AB131),0)</f>
        <v/>
      </c>
      <c r="Z131" s="336" t="str">
        <f>IFERROR(IF($C131&lt;1,"",Z$3*일별반별!AC131),0)</f>
        <v/>
      </c>
      <c r="AA131" s="337" t="str">
        <f>IFERROR(IF($C131&lt;1,"",AA$3*일별반별!AD131),0)</f>
        <v/>
      </c>
      <c r="AB131" s="337" t="str">
        <f>IFERROR(IF($C131&lt;1,"",AB$3*일별반별!AE131),0)</f>
        <v/>
      </c>
      <c r="AC131" s="336" t="str">
        <f>IFERROR(IF($C131&lt;1,"",AC$3*일별반별!AF131),0)</f>
        <v/>
      </c>
      <c r="AD131" s="336" t="str">
        <f>IFERROR(IF($C131&lt;1,"",AD$3*일별반별!AG131),0)</f>
        <v/>
      </c>
      <c r="AE131" s="336" t="str">
        <f>IFERROR(IF($C131&lt;1,"",AE$3*일별반별!AH131),0)</f>
        <v/>
      </c>
      <c r="AF131" s="337" t="str">
        <f>IFERROR(IF($C131&lt;1,"",AF$3*일별반별!AI131),0)</f>
        <v/>
      </c>
      <c r="AG131" s="337" t="str">
        <f>IFERROR(IF($C131&lt;1,"",AG$3*일별반별!AJ131),0)</f>
        <v/>
      </c>
      <c r="AH131" s="337" t="str">
        <f>IFERROR(IF($C131&lt;1,"",AH$3*일별반별!AK131),0)</f>
        <v/>
      </c>
      <c r="AI131" s="337" t="str">
        <f>IFERROR(IF($C131&lt;1,"",AI$3*일별반별!AL131),0)</f>
        <v/>
      </c>
      <c r="AJ131" s="337" t="str">
        <f>IFERROR(IF($C131&lt;1,"",AJ$3*일별반별!AM131),0)</f>
        <v/>
      </c>
      <c r="AK131" s="337" t="str">
        <f>IFERROR(IF($C131&lt;1,"",AK$3*일별반별!AN131),0)</f>
        <v/>
      </c>
      <c r="AL131" s="337" t="str">
        <f>IFERROR(IF($C131&lt;1,"",AL$3*일별반별!AO131),0)</f>
        <v/>
      </c>
      <c r="AM131" s="337" t="str">
        <f>IFERROR(IF($C131&lt;1,"",AM$3*일별반별!AP131),0)</f>
        <v/>
      </c>
      <c r="AN131" s="337" t="str">
        <f>IFERROR(IF($C131&lt;1,"",AN$3*일별반별!AQ131),0)</f>
        <v/>
      </c>
      <c r="AO131" s="337" t="str">
        <f>IFERROR(IF($C131&lt;1,"",AO$3*일별반별!AR131),0)</f>
        <v/>
      </c>
      <c r="AP131" s="337" t="str">
        <f>IFERROR(IF($C131&lt;1,"",AP$3*일별반별!AS131),0)</f>
        <v/>
      </c>
      <c r="AQ131" s="337" t="str">
        <f>IFERROR(IF($C131&lt;1,"",AQ$3*일별반별!AT131),0)</f>
        <v/>
      </c>
      <c r="AR131" s="337" t="str">
        <f>IFERROR(IF($C131&lt;1,"",AR$3*일별반별!AU131),0)</f>
        <v/>
      </c>
      <c r="AS131" s="403" t="str">
        <f>IFERROR(IF($C131&lt;1,"",AS$3*일별반별!AV131),0)</f>
        <v/>
      </c>
      <c r="AT131" s="403" t="str">
        <f>IFERROR(IF($C131&lt;1,"",AT$3*일별반별!AW131),0)</f>
        <v/>
      </c>
      <c r="AU131" s="403" t="str">
        <f>IFERROR(IF($C131&lt;1,"",AU$3*일별반별!AX131),0)</f>
        <v/>
      </c>
      <c r="AV131" s="403" t="str">
        <f>IFERROR(IF($C131&lt;1,"",AV$3*일별반별!AY131),0)</f>
        <v/>
      </c>
      <c r="AW131" s="403" t="str">
        <f>IFERROR(IF($C131&lt;1,"",AW$3*일별반별!AZ131),0)</f>
        <v/>
      </c>
      <c r="AX131" s="403" t="str">
        <f>IFERROR(IF($C131&lt;1,"",AX$3*일별반별!BA131),0)</f>
        <v/>
      </c>
      <c r="AY131" s="403" t="str">
        <f>IFERROR(IF($C131&lt;1,"",AY$3*일별반별!BB131),0)</f>
        <v/>
      </c>
      <c r="AZ131" s="403" t="str">
        <f>IFERROR(IF($C131&lt;1,"",AZ$3*일별반별!BC131),0)</f>
        <v/>
      </c>
      <c r="BA131" s="403" t="str">
        <f>IFERROR(IF($C131&lt;1,"",BA$3*일별반별!BD131),0)</f>
        <v/>
      </c>
      <c r="BB131" s="403" t="str">
        <f>IFERROR(IF($C131&lt;1,"",BB$3*일별반별!BE131),0)</f>
        <v/>
      </c>
      <c r="BC131" s="403" t="str">
        <f>IFERROR(IF($C131&lt;1,"",BC$3*일별반별!BF131),0)</f>
        <v/>
      </c>
      <c r="BD131" s="403" t="str">
        <f>IFERROR(IF($C131&lt;1,"",BD$3*일별반별!BG131),0)</f>
        <v/>
      </c>
      <c r="BE131" s="403" t="str">
        <f>IFERROR(IF($C131&lt;1,"",BE$3*일별반별!BH131),0)</f>
        <v/>
      </c>
      <c r="BF131" s="403" t="str">
        <f>IFERROR(IF($C131&lt;1,"",BF$3*일별반별!BI131),0)</f>
        <v/>
      </c>
      <c r="BG131" s="403" t="str">
        <f>IFERROR(IF($C131&lt;1,"",BG$3*일별반별!BJ131),0)</f>
        <v/>
      </c>
      <c r="BH131" s="403" t="str">
        <f>IFERROR(IF($C131&lt;1,"",BH$3*일별반별!BK131),0)</f>
        <v/>
      </c>
      <c r="BI131" s="403" t="str">
        <f>IFERROR(IF($C131&lt;1,"",BI$3*일별반별!BL131),0)</f>
        <v/>
      </c>
      <c r="BJ131" s="403" t="str">
        <f>IFERROR(IF($C131&lt;1,"",BJ$3*일별반별!BM131),0)</f>
        <v/>
      </c>
      <c r="BK131" s="403" t="str">
        <f>IFERROR(IF($C131&lt;1,"",BK$3*일별반별!BN131),0)</f>
        <v/>
      </c>
      <c r="BL131" s="403" t="str">
        <f>IFERROR(IF($C131&lt;1,"",BL$3*일별반별!BH131),0)</f>
        <v/>
      </c>
      <c r="BM131" s="403" t="str">
        <f>IFERROR(IF($C131&lt;1,"",BM$3*일별반별!BP131),0)</f>
        <v/>
      </c>
      <c r="BN131" s="403" t="str">
        <f>IFERROR(IF($C131&lt;1,"",BN$3*일별반별!BQ131),0)</f>
        <v/>
      </c>
      <c r="BO131" s="403" t="str">
        <f>IFERROR(IF($C131&lt;1,"",BO$3*일별반별!BR131),0)</f>
        <v/>
      </c>
      <c r="BP131" s="403" t="str">
        <f>IFERROR(IF($C131&lt;1,"",BP$3*일별반별!BS131),0)</f>
        <v/>
      </c>
      <c r="BQ131" s="403" t="str">
        <f>IFERROR(IF($C131&lt;1,"",BQ$3*일별반별!BT131),0)</f>
        <v/>
      </c>
      <c r="BR131" s="337" t="str">
        <f>IFERROR(IF($C131&lt;1,"",BR$3*일별반별!BU131),0)</f>
        <v/>
      </c>
      <c r="BS131" s="337" t="str">
        <f>IFERROR(IF($C131&lt;1,"",BS$3*일별반별!BV131),0)</f>
        <v/>
      </c>
      <c r="BT131" s="337" t="str">
        <f>IFERROR(IF($C131&lt;1,"",BT$3*일별반별!BW131),0)</f>
        <v/>
      </c>
      <c r="BU131" s="337" t="str">
        <f>IFERROR(IF($C131&lt;1,"",BU$3*일별반별!BX131),0)</f>
        <v/>
      </c>
      <c r="BV131" s="337" t="str">
        <f>IFERROR(IF($C131&lt;1,"",BV$3*일별반별!BY131),0)</f>
        <v/>
      </c>
      <c r="BW131" s="337" t="str">
        <f>IFERROR(IF($C131&lt;1,"",BW$3*일별반별!BZ131),0)</f>
        <v/>
      </c>
      <c r="BX131" s="337" t="str">
        <f>IFERROR(IF($C131&lt;1,"",BX$3*일별반별!CA131),0)</f>
        <v/>
      </c>
      <c r="BY131" s="337" t="str">
        <f>IFERROR(IF($C131&lt;1,"",BY$3*일별반별!CB131),0)</f>
        <v/>
      </c>
      <c r="BZ131" s="337" t="str">
        <f>IFERROR(IF($C131&lt;1,"",BZ$3*일별반별!CC131),0)</f>
        <v/>
      </c>
      <c r="CA131" s="337" t="str">
        <f>IFERROR(IF($C131&lt;1,"",CA$3*일별반별!CD131),0)</f>
        <v/>
      </c>
      <c r="CB131" s="337" t="str">
        <f>IFERROR(IF($C131&lt;1,"",CB$3*일별반별!CE131),0)</f>
        <v/>
      </c>
      <c r="CC131" s="337" t="str">
        <f>IFERROR(IF($C131&lt;1,"",CC$3*일별반별!CF131),0)</f>
        <v/>
      </c>
      <c r="CD131" s="337" t="str">
        <f>IFERROR(IF($C131&lt;1,"",CD$3*일별반별!CG131),0)</f>
        <v/>
      </c>
      <c r="CE131" s="337" t="str">
        <f>IFERROR(IF($C131&lt;1,"",CE$3*일별반별!CH131),0)</f>
        <v/>
      </c>
      <c r="CF131" s="337" t="str">
        <f>IFERROR(IF($C131&lt;1,"",CF$3*일별반별!CI131),0)</f>
        <v/>
      </c>
      <c r="CG131" s="337" t="str">
        <f>IFERROR(IF($C131&lt;1,"",CG$3*일별반별!CJ131),0)</f>
        <v/>
      </c>
      <c r="CH131" s="337" t="str">
        <f>IFERROR(IF($C131&lt;1,"",CH$3*일별반별!CK131),0)</f>
        <v/>
      </c>
      <c r="CI131" s="337" t="str">
        <f>IFERROR(IF($C131&lt;1,"",CI$3*일별반별!CL131),0)</f>
        <v/>
      </c>
      <c r="CJ131" s="337" t="str">
        <f>IFERROR(IF($C131&lt;1,"",CJ$3*일별반별!CM131),0)</f>
        <v/>
      </c>
      <c r="CK131" s="337" t="str">
        <f>IFERROR(IF($C131&lt;1,"",CK$3*일별반별!CN131),0)</f>
        <v/>
      </c>
      <c r="CL131" s="337" t="str">
        <f>IFERROR(IF($C131&lt;1,"",CL$3*일별반별!CO131),0)</f>
        <v/>
      </c>
      <c r="CM131" s="337" t="str">
        <f>IFERROR(IF($C131&lt;1,"",CM$3*일별반별!CP131),0)</f>
        <v/>
      </c>
      <c r="CN131" s="337" t="str">
        <f>IFERROR(IF($C131&lt;1,"",CN$3*일별반별!CQ131),0)</f>
        <v/>
      </c>
      <c r="CO131" s="337" t="str">
        <f>IFERROR(IF($C131&lt;1,"",CO$3*일별반별!CR131),0)</f>
        <v/>
      </c>
      <c r="CP131" s="337" t="str">
        <f>IFERROR(IF($C131&lt;1,"",CP$3*일별반별!CS131),0)</f>
        <v/>
      </c>
      <c r="CQ131" s="337" t="str">
        <f>IFERROR(IF($C131&lt;1,"",CQ$3*일별반별!CT131),0)</f>
        <v/>
      </c>
      <c r="CR131" s="420" t="str">
        <f>IFERROR(IF($C131&lt;1,"",CR$3*일별반별!CU131),0)</f>
        <v/>
      </c>
      <c r="CS131" s="420" t="str">
        <f>IFERROR(IF($C131&lt;1,"",CS$3*일별반별!CV131),0)</f>
        <v/>
      </c>
      <c r="CT131" s="337" t="str">
        <f>IFERROR(IF($C131&lt;1,"",CT$3*일별반별!CW131),0)</f>
        <v/>
      </c>
      <c r="CU131" s="337" t="str">
        <f>IFERROR(IF($C131&lt;1,"",CU$3*일별반별!CX131),0)</f>
        <v/>
      </c>
      <c r="CV131" s="337" t="str">
        <f>IFERROR(IF($C131&lt;1,"",CV$3*일별반별!CY131),0)</f>
        <v/>
      </c>
      <c r="CW131" s="337" t="str">
        <f>IFERROR(IF($C131&lt;1,"",CW$3*일별반별!CZ131),0)</f>
        <v/>
      </c>
      <c r="CX131" s="337" t="str">
        <f>IFERROR(IF($C131&lt;1,"",CX$3*일별반별!DA131),0)</f>
        <v/>
      </c>
      <c r="CY131" s="316" t="str">
        <f>IF(C131&lt;1,"",(CY$3*'09월 조업일지'!AV$7))</f>
        <v/>
      </c>
      <c r="CZ131" s="316" t="str">
        <f t="shared" si="7"/>
        <v/>
      </c>
      <c r="DA131" s="316" t="str">
        <f t="shared" si="7"/>
        <v/>
      </c>
      <c r="DB131" s="316" t="str">
        <f t="shared" si="7"/>
        <v/>
      </c>
      <c r="DC131" s="316"/>
      <c r="DD131" s="419"/>
    </row>
    <row r="132" spans="1:108" ht="15" customHeight="1">
      <c r="A132" s="274">
        <f t="shared" si="6"/>
        <v>44038</v>
      </c>
      <c r="B132" s="275" t="s">
        <v>9</v>
      </c>
      <c r="C132" s="201">
        <f>COUNTIFS('09월 조업일지'!$A$12:$A$952,A131,'09월 조업일지'!$E$12:$E$952,B132)</f>
        <v>0</v>
      </c>
      <c r="D132" s="314">
        <f>IF(C132&lt;1,0,(SUM(E132:CX132)/(일별반별!BV132-1.5)+(CY132+CZ132+DA132+DB132)))</f>
        <v>0</v>
      </c>
      <c r="E132" s="278"/>
      <c r="F132" s="281"/>
      <c r="G132" s="282"/>
      <c r="H132" s="283"/>
      <c r="I132" s="283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326"/>
      <c r="U132" s="395" t="str">
        <f>IFERROR(IF($C132&lt;1,"",U$3*일별반별!X132),0)</f>
        <v/>
      </c>
      <c r="V132" s="395" t="str">
        <f>IFERROR(IF($C132&lt;1,"",V$3*일별반별!Y132),0)</f>
        <v/>
      </c>
      <c r="W132" s="395" t="str">
        <f>IFERROR(IF($C132&lt;1,"",W$3*일별반별!Z132),0)</f>
        <v/>
      </c>
      <c r="X132" s="208" t="str">
        <f>IFERROR(IF($C132&lt;1,"",X$3*일별반별!AA132),0)</f>
        <v/>
      </c>
      <c r="Y132" s="208" t="str">
        <f>IFERROR(IF($C132&lt;1,"",Y$3*일별반별!AB132),0)</f>
        <v/>
      </c>
      <c r="Z132" s="208" t="str">
        <f>IFERROR(IF($C132&lt;1,"",Z$3*일별반별!AC132),0)</f>
        <v/>
      </c>
      <c r="AA132" s="395" t="str">
        <f>IFERROR(IF($C132&lt;1,"",AA$3*일별반별!AD132),0)</f>
        <v/>
      </c>
      <c r="AB132" s="395" t="str">
        <f>IFERROR(IF($C132&lt;1,"",AB$3*일별반별!AE132),0)</f>
        <v/>
      </c>
      <c r="AC132" s="208" t="str">
        <f>IFERROR(IF($C132&lt;1,"",AC$3*일별반별!AF132),0)</f>
        <v/>
      </c>
      <c r="AD132" s="208" t="str">
        <f>IFERROR(IF($C132&lt;1,"",AD$3*일별반별!AG132),0)</f>
        <v/>
      </c>
      <c r="AE132" s="208" t="str">
        <f>IFERROR(IF($C132&lt;1,"",AE$3*일별반별!AH132),0)</f>
        <v/>
      </c>
      <c r="AF132" s="395" t="str">
        <f>IFERROR(IF($C132&lt;1,"",AF$3*일별반별!AI132),0)</f>
        <v/>
      </c>
      <c r="AG132" s="395" t="str">
        <f>IFERROR(IF($C132&lt;1,"",AG$3*일별반별!AJ132),0)</f>
        <v/>
      </c>
      <c r="AH132" s="395" t="str">
        <f>IFERROR(IF($C132&lt;1,"",AH$3*일별반별!AK132),0)</f>
        <v/>
      </c>
      <c r="AI132" s="395" t="str">
        <f>IFERROR(IF($C132&lt;1,"",AI$3*일별반별!AL132),0)</f>
        <v/>
      </c>
      <c r="AJ132" s="395" t="str">
        <f>IFERROR(IF($C132&lt;1,"",AJ$3*일별반별!AM132),0)</f>
        <v/>
      </c>
      <c r="AK132" s="395" t="str">
        <f>IFERROR(IF($C132&lt;1,"",AK$3*일별반별!AN132),0)</f>
        <v/>
      </c>
      <c r="AL132" s="395" t="str">
        <f>IFERROR(IF($C132&lt;1,"",AL$3*일별반별!AO132),0)</f>
        <v/>
      </c>
      <c r="AM132" s="395" t="str">
        <f>IFERROR(IF($C132&lt;1,"",AM$3*일별반별!AP132),0)</f>
        <v/>
      </c>
      <c r="AN132" s="395" t="str">
        <f>IFERROR(IF($C132&lt;1,"",AN$3*일별반별!AQ132),0)</f>
        <v/>
      </c>
      <c r="AO132" s="395" t="str">
        <f>IFERROR(IF($C132&lt;1,"",AO$3*일별반별!AR132),0)</f>
        <v/>
      </c>
      <c r="AP132" s="347" t="str">
        <f>IFERROR(IF($C132&lt;1,"",AP$3*일별반별!AS132),0)</f>
        <v/>
      </c>
      <c r="AQ132" s="347" t="str">
        <f>IFERROR(IF($C132&lt;1,"",AQ$3*일별반별!AT132),0)</f>
        <v/>
      </c>
      <c r="AR132" s="316" t="str">
        <f>IFERROR(IF($C132&lt;1,"",AR$3*일별반별!AU132),0)</f>
        <v/>
      </c>
      <c r="AS132" s="401" t="str">
        <f>IFERROR(IF($C132&lt;1,"",AS$3*일별반별!AV132),0)</f>
        <v/>
      </c>
      <c r="AT132" s="401" t="str">
        <f>IFERROR(IF($C132&lt;1,"",AT$3*일별반별!AW132),0)</f>
        <v/>
      </c>
      <c r="AU132" s="401" t="str">
        <f>IFERROR(IF($C132&lt;1,"",AU$3*일별반별!AX132),0)</f>
        <v/>
      </c>
      <c r="AV132" s="401" t="str">
        <f>IFERROR(IF($C132&lt;1,"",AV$3*일별반별!AY132),0)</f>
        <v/>
      </c>
      <c r="AW132" s="401" t="str">
        <f>IFERROR(IF($C132&lt;1,"",AW$3*일별반별!AZ132),0)</f>
        <v/>
      </c>
      <c r="AX132" s="401" t="str">
        <f>IFERROR(IF($C132&lt;1,"",AX$3*일별반별!BA132),0)</f>
        <v/>
      </c>
      <c r="AY132" s="401" t="str">
        <f>IFERROR(IF($C132&lt;1,"",AY$3*일별반별!BB132),0)</f>
        <v/>
      </c>
      <c r="AZ132" s="401" t="str">
        <f>IFERROR(IF($C132&lt;1,"",AZ$3*일별반별!BC132),0)</f>
        <v/>
      </c>
      <c r="BA132" s="401" t="str">
        <f>IFERROR(IF($C132&lt;1,"",BA$3*일별반별!BD132),0)</f>
        <v/>
      </c>
      <c r="BB132" s="402" t="str">
        <f>IFERROR(IF($C132&lt;1,"",BB$3*일별반별!BE132),0)</f>
        <v/>
      </c>
      <c r="BC132" s="402" t="str">
        <f>IFERROR(IF($C132&lt;1,"",BC$3*일별반별!BF132),0)</f>
        <v/>
      </c>
      <c r="BD132" s="402" t="str">
        <f>IFERROR(IF($C132&lt;1,"",BD$3*일별반별!BG132),0)</f>
        <v/>
      </c>
      <c r="BE132" s="402" t="str">
        <f>IFERROR(IF($C132&lt;1,"",BE$3*일별반별!BH132),0)</f>
        <v/>
      </c>
      <c r="BF132" s="402" t="str">
        <f>IFERROR(IF($C132&lt;1,"",BF$3*일별반별!BI132),0)</f>
        <v/>
      </c>
      <c r="BG132" s="402" t="str">
        <f>IFERROR(IF($C132&lt;1,"",BG$3*일별반별!BJ132),0)</f>
        <v/>
      </c>
      <c r="BH132" s="402" t="str">
        <f>IFERROR(IF($C132&lt;1,"",BH$3*일별반별!BK132),0)</f>
        <v/>
      </c>
      <c r="BI132" s="402" t="str">
        <f>IFERROR(IF($C132&lt;1,"",BI$3*일별반별!BL132),0)</f>
        <v/>
      </c>
      <c r="BJ132" s="402" t="str">
        <f>IFERROR(IF($C132&lt;1,"",BJ$3*일별반별!BM132),0)</f>
        <v/>
      </c>
      <c r="BK132" s="402" t="str">
        <f>IFERROR(IF($C132&lt;1,"",BK$3*일별반별!BN132),0)</f>
        <v/>
      </c>
      <c r="BL132" s="402" t="str">
        <f>IFERROR(IF($C132&lt;1,"",BL$3*일별반별!BH132),0)</f>
        <v/>
      </c>
      <c r="BM132" s="402" t="str">
        <f>IFERROR(IF($C132&lt;1,"",BM$3*일별반별!BP132),0)</f>
        <v/>
      </c>
      <c r="BN132" s="401" t="str">
        <f>IFERROR(IF($C132&lt;1,"",BN$3*일별반별!BQ132),0)</f>
        <v/>
      </c>
      <c r="BO132" s="401" t="str">
        <f>IFERROR(IF($C132&lt;1,"",BO$3*일별반별!BR132),0)</f>
        <v/>
      </c>
      <c r="BP132" s="401" t="str">
        <f>IFERROR(IF($C132&lt;1,"",BP$3*일별반별!BS132),0)</f>
        <v/>
      </c>
      <c r="BQ132" s="401" t="str">
        <f>IFERROR(IF($C132&lt;1,"",BQ$3*일별반별!BT132),0)</f>
        <v/>
      </c>
      <c r="BR132" s="417" t="str">
        <f>IFERROR(IF($C132&lt;1,"",BR$3*일별반별!BU132),0)</f>
        <v/>
      </c>
      <c r="BS132" s="417" t="str">
        <f>IFERROR(IF($C132&lt;1,"",BS$3*일별반별!BV132),0)</f>
        <v/>
      </c>
      <c r="BT132" s="417" t="str">
        <f>IFERROR(IF($C132&lt;1,"",BT$3*일별반별!BW132),0)</f>
        <v/>
      </c>
      <c r="BU132" s="316" t="str">
        <f>IFERROR(IF($C132&lt;1,"",BU$3*일별반별!BX132),0)</f>
        <v/>
      </c>
      <c r="BV132" s="316" t="str">
        <f>IFERROR(IF($C132&lt;1,"",BV$3*일별반별!BY132),0)</f>
        <v/>
      </c>
      <c r="BW132" s="316" t="str">
        <f>IFERROR(IF($C132&lt;1,"",BW$3*일별반별!BZ132),0)</f>
        <v/>
      </c>
      <c r="BX132" s="316" t="str">
        <f>IFERROR(IF($C132&lt;1,"",BX$3*일별반별!CA132),0)</f>
        <v/>
      </c>
      <c r="BY132" s="316" t="str">
        <f>IFERROR(IF($C132&lt;1,"",BY$3*일별반별!CB132),0)</f>
        <v/>
      </c>
      <c r="BZ132" s="316" t="str">
        <f>IFERROR(IF($C132&lt;1,"",BZ$3*일별반별!CC132),0)</f>
        <v/>
      </c>
      <c r="CA132" s="316" t="str">
        <f>IFERROR(IF($C132&lt;1,"",CA$3*일별반별!CD132),0)</f>
        <v/>
      </c>
      <c r="CB132" s="316" t="str">
        <f>IFERROR(IF($C132&lt;1,"",CB$3*일별반별!CE132),0)</f>
        <v/>
      </c>
      <c r="CC132" s="316" t="str">
        <f>IFERROR(IF($C132&lt;1,"",CC$3*일별반별!CF132),0)</f>
        <v/>
      </c>
      <c r="CD132" s="316" t="str">
        <f>IFERROR(IF($C132&lt;1,"",CD$3*일별반별!CG132),0)</f>
        <v/>
      </c>
      <c r="CE132" s="316" t="str">
        <f>IFERROR(IF($C132&lt;1,"",CE$3*일별반별!CH132),0)</f>
        <v/>
      </c>
      <c r="CF132" s="316" t="str">
        <f>IFERROR(IF($C132&lt;1,"",CF$3*일별반별!CI132),0)</f>
        <v/>
      </c>
      <c r="CG132" s="316" t="str">
        <f>IFERROR(IF($C132&lt;1,"",CG$3*일별반별!CJ132),0)</f>
        <v/>
      </c>
      <c r="CH132" s="316" t="str">
        <f>IFERROR(IF($C132&lt;1,"",CH$3*일별반별!CK132),0)</f>
        <v/>
      </c>
      <c r="CI132" s="316" t="str">
        <f>IFERROR(IF($C132&lt;1,"",CI$3*일별반별!CL132),0)</f>
        <v/>
      </c>
      <c r="CJ132" s="316" t="str">
        <f>IFERROR(IF($C132&lt;1,"",CJ$3*일별반별!CM132),0)</f>
        <v/>
      </c>
      <c r="CK132" s="316" t="str">
        <f>IFERROR(IF($C132&lt;1,"",CK$3*일별반별!CN132),0)</f>
        <v/>
      </c>
      <c r="CL132" s="316" t="str">
        <f>IFERROR(IF($C132&lt;1,"",CL$3*일별반별!CO132),0)</f>
        <v/>
      </c>
      <c r="CM132" s="316" t="str">
        <f>IFERROR(IF($C132&lt;1,"",CM$3*일별반별!CP132),0)</f>
        <v/>
      </c>
      <c r="CN132" s="316" t="str">
        <f>IFERROR(IF($C132&lt;1,"",CN$3*일별반별!CQ132),0)</f>
        <v/>
      </c>
      <c r="CO132" s="316" t="str">
        <f>IFERROR(IF($C132&lt;1,"",CO$3*일별반별!CR132),0)</f>
        <v/>
      </c>
      <c r="CP132" s="316" t="str">
        <f>IFERROR(IF($C132&lt;1,"",CP$3*일별반별!CS132),0)</f>
        <v/>
      </c>
      <c r="CQ132" s="316" t="str">
        <f>IFERROR(IF($C132&lt;1,"",CQ$3*일별반별!CT132),0)</f>
        <v/>
      </c>
      <c r="CR132" s="418" t="str">
        <f>IFERROR(IF($C132&lt;1,"",CR$3*일별반별!CU132),0)</f>
        <v/>
      </c>
      <c r="CS132" s="418" t="str">
        <f>IFERROR(IF($C132&lt;1,"",CS$3*일별반별!CV132),0)</f>
        <v/>
      </c>
      <c r="CT132" s="316" t="str">
        <f>IFERROR(IF($C132&lt;1,"",CT$3*일별반별!CW132),0)</f>
        <v/>
      </c>
      <c r="CU132" s="316" t="str">
        <f>IFERROR(IF($C132&lt;1,"",CU$3*일별반별!CX132),0)</f>
        <v/>
      </c>
      <c r="CV132" s="316" t="str">
        <f>IFERROR(IF($C132&lt;1,"",CV$3*일별반별!CY132),0)</f>
        <v/>
      </c>
      <c r="CW132" s="316" t="str">
        <f>IFERROR(IF($C132&lt;1,"",CW$3*일별반별!CZ132),0)</f>
        <v/>
      </c>
      <c r="CX132" s="316" t="str">
        <f>IFERROR(IF($C132&lt;1,"",CX$3*일별반별!DA132),0)</f>
        <v/>
      </c>
      <c r="CY132" s="316" t="str">
        <f>IF(C132&lt;1,"",(CY$3*'09월 조업일지'!AV$7))</f>
        <v/>
      </c>
      <c r="CZ132" s="316" t="str">
        <f t="shared" si="7"/>
        <v/>
      </c>
      <c r="DA132" s="316" t="str">
        <f t="shared" si="7"/>
        <v/>
      </c>
      <c r="DB132" s="316" t="str">
        <f t="shared" si="7"/>
        <v/>
      </c>
      <c r="DC132" s="316"/>
      <c r="DD132" s="419"/>
    </row>
    <row r="133" spans="1:108" ht="15" customHeight="1">
      <c r="A133" s="274">
        <f t="shared" si="6"/>
        <v>44038</v>
      </c>
      <c r="B133" s="275" t="s">
        <v>100</v>
      </c>
      <c r="C133" s="201">
        <f>COUNTIFS('09월 조업일지'!$A$12:$A$952,A131,'09월 조업일지'!$E$12:$E$952,B133)</f>
        <v>0</v>
      </c>
      <c r="D133" s="314">
        <f>IF(C133&lt;1,0,(SUM(E133:CX133)/(일별반별!BV133-1.5)+(CY133+CZ133+DA133+DB133)))</f>
        <v>0</v>
      </c>
      <c r="E133" s="278"/>
      <c r="F133" s="281"/>
      <c r="G133" s="282"/>
      <c r="H133" s="283"/>
      <c r="I133" s="283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326"/>
      <c r="U133" s="395" t="str">
        <f>IFERROR(IF($C133&lt;1,"",U$3*일별반별!X133),0)</f>
        <v/>
      </c>
      <c r="V133" s="395" t="str">
        <f>IFERROR(IF($C133&lt;1,"",V$3*일별반별!Y133),0)</f>
        <v/>
      </c>
      <c r="W133" s="395" t="str">
        <f>IFERROR(IF($C133&lt;1,"",W$3*일별반별!Z133),0)</f>
        <v/>
      </c>
      <c r="X133" s="208" t="str">
        <f>IFERROR(IF($C133&lt;1,"",X$3*일별반별!AA133),0)</f>
        <v/>
      </c>
      <c r="Y133" s="208" t="str">
        <f>IFERROR(IF($C133&lt;1,"",Y$3*일별반별!AB133),0)</f>
        <v/>
      </c>
      <c r="Z133" s="208" t="str">
        <f>IFERROR(IF($C133&lt;1,"",Z$3*일별반별!AC133),0)</f>
        <v/>
      </c>
      <c r="AA133" s="395" t="str">
        <f>IFERROR(IF($C133&lt;1,"",AA$3*일별반별!AD133),0)</f>
        <v/>
      </c>
      <c r="AB133" s="395" t="str">
        <f>IFERROR(IF($C133&lt;1,"",AB$3*일별반별!AE133),0)</f>
        <v/>
      </c>
      <c r="AC133" s="208" t="str">
        <f>IFERROR(IF($C133&lt;1,"",AC$3*일별반별!AF133),0)</f>
        <v/>
      </c>
      <c r="AD133" s="208" t="str">
        <f>IFERROR(IF($C133&lt;1,"",AD$3*일별반별!AG133),0)</f>
        <v/>
      </c>
      <c r="AE133" s="208" t="str">
        <f>IFERROR(IF($C133&lt;1,"",AE$3*일별반별!AH133),0)</f>
        <v/>
      </c>
      <c r="AF133" s="395" t="str">
        <f>IFERROR(IF($C133&lt;1,"",AF$3*일별반별!AI133),0)</f>
        <v/>
      </c>
      <c r="AG133" s="395" t="str">
        <f>IFERROR(IF($C133&lt;1,"",AG$3*일별반별!AJ133),0)</f>
        <v/>
      </c>
      <c r="AH133" s="395" t="str">
        <f>IFERROR(IF($C133&lt;1,"",AH$3*일별반별!AK133),0)</f>
        <v/>
      </c>
      <c r="AI133" s="395" t="str">
        <f>IFERROR(IF($C133&lt;1,"",AI$3*일별반별!AL133),0)</f>
        <v/>
      </c>
      <c r="AJ133" s="395" t="str">
        <f>IFERROR(IF($C133&lt;1,"",AJ$3*일별반별!AM133),0)</f>
        <v/>
      </c>
      <c r="AK133" s="395" t="str">
        <f>IFERROR(IF($C133&lt;1,"",AK$3*일별반별!AN133),0)</f>
        <v/>
      </c>
      <c r="AL133" s="395" t="str">
        <f>IFERROR(IF($C133&lt;1,"",AL$3*일별반별!AO133),0)</f>
        <v/>
      </c>
      <c r="AM133" s="395" t="str">
        <f>IFERROR(IF($C133&lt;1,"",AM$3*일별반별!AP133),0)</f>
        <v/>
      </c>
      <c r="AN133" s="395" t="str">
        <f>IFERROR(IF($C133&lt;1,"",AN$3*일별반별!AQ133),0)</f>
        <v/>
      </c>
      <c r="AO133" s="395" t="str">
        <f>IFERROR(IF($C133&lt;1,"",AO$3*일별반별!AR133),0)</f>
        <v/>
      </c>
      <c r="AP133" s="347" t="str">
        <f>IFERROR(IF($C133&lt;1,"",AP$3*일별반별!AS133),0)</f>
        <v/>
      </c>
      <c r="AQ133" s="347" t="str">
        <f>IFERROR(IF($C133&lt;1,"",AQ$3*일별반별!AT133),0)</f>
        <v/>
      </c>
      <c r="AR133" s="316" t="str">
        <f>IFERROR(IF($C133&lt;1,"",AR$3*일별반별!AU133),0)</f>
        <v/>
      </c>
      <c r="AS133" s="401" t="str">
        <f>IFERROR(IF($C133&lt;1,"",AS$3*일별반별!AV133),0)</f>
        <v/>
      </c>
      <c r="AT133" s="401" t="str">
        <f>IFERROR(IF($C133&lt;1,"",AT$3*일별반별!AW133),0)</f>
        <v/>
      </c>
      <c r="AU133" s="401" t="str">
        <f>IFERROR(IF($C133&lt;1,"",AU$3*일별반별!AX133),0)</f>
        <v/>
      </c>
      <c r="AV133" s="401" t="str">
        <f>IFERROR(IF($C133&lt;1,"",AV$3*일별반별!AY133),0)</f>
        <v/>
      </c>
      <c r="AW133" s="401" t="str">
        <f>IFERROR(IF($C133&lt;1,"",AW$3*일별반별!AZ133),0)</f>
        <v/>
      </c>
      <c r="AX133" s="401" t="str">
        <f>IFERROR(IF($C133&lt;1,"",AX$3*일별반별!BA133),0)</f>
        <v/>
      </c>
      <c r="AY133" s="401" t="str">
        <f>IFERROR(IF($C133&lt;1,"",AY$3*일별반별!BB133),0)</f>
        <v/>
      </c>
      <c r="AZ133" s="401" t="str">
        <f>IFERROR(IF($C133&lt;1,"",AZ$3*일별반별!BC133),0)</f>
        <v/>
      </c>
      <c r="BA133" s="401" t="str">
        <f>IFERROR(IF($C133&lt;1,"",BA$3*일별반별!BD133),0)</f>
        <v/>
      </c>
      <c r="BB133" s="402" t="str">
        <f>IFERROR(IF($C133&lt;1,"",BB$3*일별반별!BE133),0)</f>
        <v/>
      </c>
      <c r="BC133" s="402" t="str">
        <f>IFERROR(IF($C133&lt;1,"",BC$3*일별반별!BF133),0)</f>
        <v/>
      </c>
      <c r="BD133" s="402" t="str">
        <f>IFERROR(IF($C133&lt;1,"",BD$3*일별반별!BG133),0)</f>
        <v/>
      </c>
      <c r="BE133" s="402" t="str">
        <f>IFERROR(IF($C133&lt;1,"",BE$3*일별반별!BH133),0)</f>
        <v/>
      </c>
      <c r="BF133" s="402" t="str">
        <f>IFERROR(IF($C133&lt;1,"",BF$3*일별반별!BI133),0)</f>
        <v/>
      </c>
      <c r="BG133" s="402" t="str">
        <f>IFERROR(IF($C133&lt;1,"",BG$3*일별반별!BJ133),0)</f>
        <v/>
      </c>
      <c r="BH133" s="402" t="str">
        <f>IFERROR(IF($C133&lt;1,"",BH$3*일별반별!BK133),0)</f>
        <v/>
      </c>
      <c r="BI133" s="402" t="str">
        <f>IFERROR(IF($C133&lt;1,"",BI$3*일별반별!BL133),0)</f>
        <v/>
      </c>
      <c r="BJ133" s="402" t="str">
        <f>IFERROR(IF($C133&lt;1,"",BJ$3*일별반별!BM133),0)</f>
        <v/>
      </c>
      <c r="BK133" s="402" t="str">
        <f>IFERROR(IF($C133&lt;1,"",BK$3*일별반별!BN133),0)</f>
        <v/>
      </c>
      <c r="BL133" s="402" t="str">
        <f>IFERROR(IF($C133&lt;1,"",BL$3*일별반별!BH133),0)</f>
        <v/>
      </c>
      <c r="BM133" s="402" t="str">
        <f>IFERROR(IF($C133&lt;1,"",BM$3*일별반별!BP133),0)</f>
        <v/>
      </c>
      <c r="BN133" s="401" t="str">
        <f>IFERROR(IF($C133&lt;1,"",BN$3*일별반별!BQ133),0)</f>
        <v/>
      </c>
      <c r="BO133" s="401" t="str">
        <f>IFERROR(IF($C133&lt;1,"",BO$3*일별반별!BR133),0)</f>
        <v/>
      </c>
      <c r="BP133" s="401" t="str">
        <f>IFERROR(IF($C133&lt;1,"",BP$3*일별반별!BS133),0)</f>
        <v/>
      </c>
      <c r="BQ133" s="401" t="str">
        <f>IFERROR(IF($C133&lt;1,"",BQ$3*일별반별!BT133),0)</f>
        <v/>
      </c>
      <c r="BR133" s="417" t="str">
        <f>IFERROR(IF($C133&lt;1,"",BR$3*일별반별!BU133),0)</f>
        <v/>
      </c>
      <c r="BS133" s="417" t="str">
        <f>IFERROR(IF($C133&lt;1,"",BS$3*일별반별!BV133),0)</f>
        <v/>
      </c>
      <c r="BT133" s="417" t="str">
        <f>IFERROR(IF($C133&lt;1,"",BT$3*일별반별!BW133),0)</f>
        <v/>
      </c>
      <c r="BU133" s="316" t="str">
        <f>IFERROR(IF($C133&lt;1,"",BU$3*일별반별!BX133),0)</f>
        <v/>
      </c>
      <c r="BV133" s="316" t="str">
        <f>IFERROR(IF($C133&lt;1,"",BV$3*일별반별!BY133),0)</f>
        <v/>
      </c>
      <c r="BW133" s="316" t="str">
        <f>IFERROR(IF($C133&lt;1,"",BW$3*일별반별!BZ133),0)</f>
        <v/>
      </c>
      <c r="BX133" s="316" t="str">
        <f>IFERROR(IF($C133&lt;1,"",BX$3*일별반별!CA133),0)</f>
        <v/>
      </c>
      <c r="BY133" s="316" t="str">
        <f>IFERROR(IF($C133&lt;1,"",BY$3*일별반별!CB133),0)</f>
        <v/>
      </c>
      <c r="BZ133" s="316" t="str">
        <f>IFERROR(IF($C133&lt;1,"",BZ$3*일별반별!CC133),0)</f>
        <v/>
      </c>
      <c r="CA133" s="316" t="str">
        <f>IFERROR(IF($C133&lt;1,"",CA$3*일별반별!CD133),0)</f>
        <v/>
      </c>
      <c r="CB133" s="316" t="str">
        <f>IFERROR(IF($C133&lt;1,"",CB$3*일별반별!CE133),0)</f>
        <v/>
      </c>
      <c r="CC133" s="316" t="str">
        <f>IFERROR(IF($C133&lt;1,"",CC$3*일별반별!CF133),0)</f>
        <v/>
      </c>
      <c r="CD133" s="316" t="str">
        <f>IFERROR(IF($C133&lt;1,"",CD$3*일별반별!CG133),0)</f>
        <v/>
      </c>
      <c r="CE133" s="316" t="str">
        <f>IFERROR(IF($C133&lt;1,"",CE$3*일별반별!CH133),0)</f>
        <v/>
      </c>
      <c r="CF133" s="316" t="str">
        <f>IFERROR(IF($C133&lt;1,"",CF$3*일별반별!CI133),0)</f>
        <v/>
      </c>
      <c r="CG133" s="316" t="str">
        <f>IFERROR(IF($C133&lt;1,"",CG$3*일별반별!CJ133),0)</f>
        <v/>
      </c>
      <c r="CH133" s="316" t="str">
        <f>IFERROR(IF($C133&lt;1,"",CH$3*일별반별!CK133),0)</f>
        <v/>
      </c>
      <c r="CI133" s="316" t="str">
        <f>IFERROR(IF($C133&lt;1,"",CI$3*일별반별!CL133),0)</f>
        <v/>
      </c>
      <c r="CJ133" s="316" t="str">
        <f>IFERROR(IF($C133&lt;1,"",CJ$3*일별반별!CM133),0)</f>
        <v/>
      </c>
      <c r="CK133" s="316" t="str">
        <f>IFERROR(IF($C133&lt;1,"",CK$3*일별반별!CN133),0)</f>
        <v/>
      </c>
      <c r="CL133" s="316" t="str">
        <f>IFERROR(IF($C133&lt;1,"",CL$3*일별반별!CO133),0)</f>
        <v/>
      </c>
      <c r="CM133" s="316" t="str">
        <f>IFERROR(IF($C133&lt;1,"",CM$3*일별반별!CP133),0)</f>
        <v/>
      </c>
      <c r="CN133" s="316" t="str">
        <f>IFERROR(IF($C133&lt;1,"",CN$3*일별반별!CQ133),0)</f>
        <v/>
      </c>
      <c r="CO133" s="316" t="str">
        <f>IFERROR(IF($C133&lt;1,"",CO$3*일별반별!CR133),0)</f>
        <v/>
      </c>
      <c r="CP133" s="316" t="str">
        <f>IFERROR(IF($C133&lt;1,"",CP$3*일별반별!CS133),0)</f>
        <v/>
      </c>
      <c r="CQ133" s="316" t="str">
        <f>IFERROR(IF($C133&lt;1,"",CQ$3*일별반별!CT133),0)</f>
        <v/>
      </c>
      <c r="CR133" s="418" t="str">
        <f>IFERROR(IF($C133&lt;1,"",CR$3*일별반별!CU133),0)</f>
        <v/>
      </c>
      <c r="CS133" s="418" t="str">
        <f>IFERROR(IF($C133&lt;1,"",CS$3*일별반별!CV133),0)</f>
        <v/>
      </c>
      <c r="CT133" s="316" t="str">
        <f>IFERROR(IF($C133&lt;1,"",CT$3*일별반별!CW133),0)</f>
        <v/>
      </c>
      <c r="CU133" s="316" t="str">
        <f>IFERROR(IF($C133&lt;1,"",CU$3*일별반별!CX133),0)</f>
        <v/>
      </c>
      <c r="CV133" s="316" t="str">
        <f>IFERROR(IF($C133&lt;1,"",CV$3*일별반별!CY133),0)</f>
        <v/>
      </c>
      <c r="CW133" s="316" t="str">
        <f>IFERROR(IF($C133&lt;1,"",CW$3*일별반별!CZ133),0)</f>
        <v/>
      </c>
      <c r="CX133" s="316" t="str">
        <f>IFERROR(IF($C133&lt;1,"",CX$3*일별반별!DA133),0)</f>
        <v/>
      </c>
      <c r="CY133" s="316" t="str">
        <f>IF(C133&lt;1,"",(CY$3*'09월 조업일지'!AV$7))</f>
        <v/>
      </c>
      <c r="CZ133" s="316" t="str">
        <f t="shared" si="7"/>
        <v/>
      </c>
      <c r="DA133" s="316" t="str">
        <f t="shared" si="7"/>
        <v/>
      </c>
      <c r="DB133" s="316" t="str">
        <f t="shared" si="7"/>
        <v/>
      </c>
      <c r="DC133" s="316"/>
      <c r="DD133" s="419"/>
    </row>
    <row r="134" spans="1:108" ht="15" customHeight="1">
      <c r="A134" s="274">
        <f t="shared" si="6"/>
        <v>44038</v>
      </c>
      <c r="B134" s="275" t="s">
        <v>10</v>
      </c>
      <c r="C134" s="201">
        <f>COUNTIFS('09월 조업일지'!$A$12:$A$952,A131,'09월 조업일지'!$E$12:$E$952,B134)</f>
        <v>0</v>
      </c>
      <c r="D134" s="314">
        <f>IF(C134&lt;1,0,(SUM(E134:CX134)/(일별반별!BV134-1.5)+(CY134+CZ134+DA134+DB134)))</f>
        <v>0</v>
      </c>
      <c r="E134" s="278"/>
      <c r="F134" s="281"/>
      <c r="G134" s="282"/>
      <c r="H134" s="283"/>
      <c r="I134" s="283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326"/>
      <c r="U134" s="395" t="str">
        <f>IFERROR(IF($C134&lt;1,"",U$3*일별반별!X134),0)</f>
        <v/>
      </c>
      <c r="V134" s="395" t="str">
        <f>IFERROR(IF($C134&lt;1,"",V$3*일별반별!Y134),0)</f>
        <v/>
      </c>
      <c r="W134" s="395" t="str">
        <f>IFERROR(IF($C134&lt;1,"",W$3*일별반별!Z134),0)</f>
        <v/>
      </c>
      <c r="X134" s="208" t="str">
        <f>IFERROR(IF($C134&lt;1,"",X$3*일별반별!AA134),0)</f>
        <v/>
      </c>
      <c r="Y134" s="208" t="str">
        <f>IFERROR(IF($C134&lt;1,"",Y$3*일별반별!AB134),0)</f>
        <v/>
      </c>
      <c r="Z134" s="208" t="str">
        <f>IFERROR(IF($C134&lt;1,"",Z$3*일별반별!AC134),0)</f>
        <v/>
      </c>
      <c r="AA134" s="395" t="str">
        <f>IFERROR(IF($C134&lt;1,"",AA$3*일별반별!AD134),0)</f>
        <v/>
      </c>
      <c r="AB134" s="395" t="str">
        <f>IFERROR(IF($C134&lt;1,"",AB$3*일별반별!AE134),0)</f>
        <v/>
      </c>
      <c r="AC134" s="208" t="str">
        <f>IFERROR(IF($C134&lt;1,"",AC$3*일별반별!AF134),0)</f>
        <v/>
      </c>
      <c r="AD134" s="208" t="str">
        <f>IFERROR(IF($C134&lt;1,"",AD$3*일별반별!AG134),0)</f>
        <v/>
      </c>
      <c r="AE134" s="208" t="str">
        <f>IFERROR(IF($C134&lt;1,"",AE$3*일별반별!AH134),0)</f>
        <v/>
      </c>
      <c r="AF134" s="395" t="str">
        <f>IFERROR(IF($C134&lt;1,"",AF$3*일별반별!AI134),0)</f>
        <v/>
      </c>
      <c r="AG134" s="395" t="str">
        <f>IFERROR(IF($C134&lt;1,"",AG$3*일별반별!AJ134),0)</f>
        <v/>
      </c>
      <c r="AH134" s="395" t="str">
        <f>IFERROR(IF($C134&lt;1,"",AH$3*일별반별!AK134),0)</f>
        <v/>
      </c>
      <c r="AI134" s="395" t="str">
        <f>IFERROR(IF($C134&lt;1,"",AI$3*일별반별!AL134),0)</f>
        <v/>
      </c>
      <c r="AJ134" s="395" t="str">
        <f>IFERROR(IF($C134&lt;1,"",AJ$3*일별반별!AM134),0)</f>
        <v/>
      </c>
      <c r="AK134" s="395" t="str">
        <f>IFERROR(IF($C134&lt;1,"",AK$3*일별반별!AN134),0)</f>
        <v/>
      </c>
      <c r="AL134" s="395" t="str">
        <f>IFERROR(IF($C134&lt;1,"",AL$3*일별반별!AO134),0)</f>
        <v/>
      </c>
      <c r="AM134" s="395" t="str">
        <f>IFERROR(IF($C134&lt;1,"",AM$3*일별반별!AP134),0)</f>
        <v/>
      </c>
      <c r="AN134" s="395" t="str">
        <f>IFERROR(IF($C134&lt;1,"",AN$3*일별반별!AQ134),0)</f>
        <v/>
      </c>
      <c r="AO134" s="395" t="str">
        <f>IFERROR(IF($C134&lt;1,"",AO$3*일별반별!AR134),0)</f>
        <v/>
      </c>
      <c r="AP134" s="347" t="str">
        <f>IFERROR(IF($C134&lt;1,"",AP$3*일별반별!AS134),0)</f>
        <v/>
      </c>
      <c r="AQ134" s="347" t="str">
        <f>IFERROR(IF($C134&lt;1,"",AQ$3*일별반별!AT134),0)</f>
        <v/>
      </c>
      <c r="AR134" s="316" t="str">
        <f>IFERROR(IF($C134&lt;1,"",AR$3*일별반별!AU134),0)</f>
        <v/>
      </c>
      <c r="AS134" s="401" t="str">
        <f>IFERROR(IF($C134&lt;1,"",AS$3*일별반별!AV134),0)</f>
        <v/>
      </c>
      <c r="AT134" s="401" t="str">
        <f>IFERROR(IF($C134&lt;1,"",AT$3*일별반별!AW134),0)</f>
        <v/>
      </c>
      <c r="AU134" s="401" t="str">
        <f>IFERROR(IF($C134&lt;1,"",AU$3*일별반별!AX134),0)</f>
        <v/>
      </c>
      <c r="AV134" s="401" t="str">
        <f>IFERROR(IF($C134&lt;1,"",AV$3*일별반별!AY134),0)</f>
        <v/>
      </c>
      <c r="AW134" s="401" t="str">
        <f>IFERROR(IF($C134&lt;1,"",AW$3*일별반별!AZ134),0)</f>
        <v/>
      </c>
      <c r="AX134" s="401" t="str">
        <f>IFERROR(IF($C134&lt;1,"",AX$3*일별반별!BA134),0)</f>
        <v/>
      </c>
      <c r="AY134" s="401" t="str">
        <f>IFERROR(IF($C134&lt;1,"",AY$3*일별반별!BB134),0)</f>
        <v/>
      </c>
      <c r="AZ134" s="401" t="str">
        <f>IFERROR(IF($C134&lt;1,"",AZ$3*일별반별!BC134),0)</f>
        <v/>
      </c>
      <c r="BA134" s="401" t="str">
        <f>IFERROR(IF($C134&lt;1,"",BA$3*일별반별!BD134),0)</f>
        <v/>
      </c>
      <c r="BB134" s="402" t="str">
        <f>IFERROR(IF($C134&lt;1,"",BB$3*일별반별!BE134),0)</f>
        <v/>
      </c>
      <c r="BC134" s="402" t="str">
        <f>IFERROR(IF($C134&lt;1,"",BC$3*일별반별!BF134),0)</f>
        <v/>
      </c>
      <c r="BD134" s="402" t="str">
        <f>IFERROR(IF($C134&lt;1,"",BD$3*일별반별!BG134),0)</f>
        <v/>
      </c>
      <c r="BE134" s="402" t="str">
        <f>IFERROR(IF($C134&lt;1,"",BE$3*일별반별!BH134),0)</f>
        <v/>
      </c>
      <c r="BF134" s="402" t="str">
        <f>IFERROR(IF($C134&lt;1,"",BF$3*일별반별!BI134),0)</f>
        <v/>
      </c>
      <c r="BG134" s="402" t="str">
        <f>IFERROR(IF($C134&lt;1,"",BG$3*일별반별!BJ134),0)</f>
        <v/>
      </c>
      <c r="BH134" s="402" t="str">
        <f>IFERROR(IF($C134&lt;1,"",BH$3*일별반별!BK134),0)</f>
        <v/>
      </c>
      <c r="BI134" s="402" t="str">
        <f>IFERROR(IF($C134&lt;1,"",BI$3*일별반별!BL134),0)</f>
        <v/>
      </c>
      <c r="BJ134" s="402" t="str">
        <f>IFERROR(IF($C134&lt;1,"",BJ$3*일별반별!BM134),0)</f>
        <v/>
      </c>
      <c r="BK134" s="402" t="str">
        <f>IFERROR(IF($C134&lt;1,"",BK$3*일별반별!BN134),0)</f>
        <v/>
      </c>
      <c r="BL134" s="402" t="str">
        <f>IFERROR(IF($C134&lt;1,"",BL$3*일별반별!BH134),0)</f>
        <v/>
      </c>
      <c r="BM134" s="402" t="str">
        <f>IFERROR(IF($C134&lt;1,"",BM$3*일별반별!BP134),0)</f>
        <v/>
      </c>
      <c r="BN134" s="401" t="str">
        <f>IFERROR(IF($C134&lt;1,"",BN$3*일별반별!BQ134),0)</f>
        <v/>
      </c>
      <c r="BO134" s="401" t="str">
        <f>IFERROR(IF($C134&lt;1,"",BO$3*일별반별!BR134),0)</f>
        <v/>
      </c>
      <c r="BP134" s="401" t="str">
        <f>IFERROR(IF($C134&lt;1,"",BP$3*일별반별!BS134),0)</f>
        <v/>
      </c>
      <c r="BQ134" s="401" t="str">
        <f>IFERROR(IF($C134&lt;1,"",BQ$3*일별반별!BT134),0)</f>
        <v/>
      </c>
      <c r="BR134" s="417" t="str">
        <f>IFERROR(IF($C134&lt;1,"",BR$3*일별반별!BU134),0)</f>
        <v/>
      </c>
      <c r="BS134" s="417" t="str">
        <f>IFERROR(IF($C134&lt;1,"",BS$3*일별반별!BV134),0)</f>
        <v/>
      </c>
      <c r="BT134" s="417" t="str">
        <f>IFERROR(IF($C134&lt;1,"",BT$3*일별반별!BW134),0)</f>
        <v/>
      </c>
      <c r="BU134" s="316" t="str">
        <f>IFERROR(IF($C134&lt;1,"",BU$3*일별반별!BX134),0)</f>
        <v/>
      </c>
      <c r="BV134" s="316" t="str">
        <f>IFERROR(IF($C134&lt;1,"",BV$3*일별반별!BY134),0)</f>
        <v/>
      </c>
      <c r="BW134" s="316" t="str">
        <f>IFERROR(IF($C134&lt;1,"",BW$3*일별반별!BZ134),0)</f>
        <v/>
      </c>
      <c r="BX134" s="316" t="str">
        <f>IFERROR(IF($C134&lt;1,"",BX$3*일별반별!CA134),0)</f>
        <v/>
      </c>
      <c r="BY134" s="316" t="str">
        <f>IFERROR(IF($C134&lt;1,"",BY$3*일별반별!CB134),0)</f>
        <v/>
      </c>
      <c r="BZ134" s="316" t="str">
        <f>IFERROR(IF($C134&lt;1,"",BZ$3*일별반별!CC134),0)</f>
        <v/>
      </c>
      <c r="CA134" s="316" t="str">
        <f>IFERROR(IF($C134&lt;1,"",CA$3*일별반별!CD134),0)</f>
        <v/>
      </c>
      <c r="CB134" s="316" t="str">
        <f>IFERROR(IF($C134&lt;1,"",CB$3*일별반별!CE134),0)</f>
        <v/>
      </c>
      <c r="CC134" s="316" t="str">
        <f>IFERROR(IF($C134&lt;1,"",CC$3*일별반별!CF134),0)</f>
        <v/>
      </c>
      <c r="CD134" s="316" t="str">
        <f>IFERROR(IF($C134&lt;1,"",CD$3*일별반별!CG134),0)</f>
        <v/>
      </c>
      <c r="CE134" s="316" t="str">
        <f>IFERROR(IF($C134&lt;1,"",CE$3*일별반별!CH134),0)</f>
        <v/>
      </c>
      <c r="CF134" s="316" t="str">
        <f>IFERROR(IF($C134&lt;1,"",CF$3*일별반별!CI134),0)</f>
        <v/>
      </c>
      <c r="CG134" s="316" t="str">
        <f>IFERROR(IF($C134&lt;1,"",CG$3*일별반별!CJ134),0)</f>
        <v/>
      </c>
      <c r="CH134" s="316" t="str">
        <f>IFERROR(IF($C134&lt;1,"",CH$3*일별반별!CK134),0)</f>
        <v/>
      </c>
      <c r="CI134" s="316" t="str">
        <f>IFERROR(IF($C134&lt;1,"",CI$3*일별반별!CL134),0)</f>
        <v/>
      </c>
      <c r="CJ134" s="316" t="str">
        <f>IFERROR(IF($C134&lt;1,"",CJ$3*일별반별!CM134),0)</f>
        <v/>
      </c>
      <c r="CK134" s="316" t="str">
        <f>IFERROR(IF($C134&lt;1,"",CK$3*일별반별!CN134),0)</f>
        <v/>
      </c>
      <c r="CL134" s="316" t="str">
        <f>IFERROR(IF($C134&lt;1,"",CL$3*일별반별!CO134),0)</f>
        <v/>
      </c>
      <c r="CM134" s="316" t="str">
        <f>IFERROR(IF($C134&lt;1,"",CM$3*일별반별!CP134),0)</f>
        <v/>
      </c>
      <c r="CN134" s="316" t="str">
        <f>IFERROR(IF($C134&lt;1,"",CN$3*일별반별!CQ134),0)</f>
        <v/>
      </c>
      <c r="CO134" s="316" t="str">
        <f>IFERROR(IF($C134&lt;1,"",CO$3*일별반별!CR134),0)</f>
        <v/>
      </c>
      <c r="CP134" s="316" t="str">
        <f>IFERROR(IF($C134&lt;1,"",CP$3*일별반별!CS134),0)</f>
        <v/>
      </c>
      <c r="CQ134" s="316" t="str">
        <f>IFERROR(IF($C134&lt;1,"",CQ$3*일별반별!CT134),0)</f>
        <v/>
      </c>
      <c r="CR134" s="418" t="str">
        <f>IFERROR(IF($C134&lt;1,"",CR$3*일별반별!CU134),0)</f>
        <v/>
      </c>
      <c r="CS134" s="418" t="str">
        <f>IFERROR(IF($C134&lt;1,"",CS$3*일별반별!CV134),0)</f>
        <v/>
      </c>
      <c r="CT134" s="316" t="str">
        <f>IFERROR(IF($C134&lt;1,"",CT$3*일별반별!CW134),0)</f>
        <v/>
      </c>
      <c r="CU134" s="316" t="str">
        <f>IFERROR(IF($C134&lt;1,"",CU$3*일별반별!CX134),0)</f>
        <v/>
      </c>
      <c r="CV134" s="316" t="str">
        <f>IFERROR(IF($C134&lt;1,"",CV$3*일별반별!CY134),0)</f>
        <v/>
      </c>
      <c r="CW134" s="316" t="str">
        <f>IFERROR(IF($C134&lt;1,"",CW$3*일별반별!CZ134),0)</f>
        <v/>
      </c>
      <c r="CX134" s="316" t="str">
        <f>IFERROR(IF($C134&lt;1,"",CX$3*일별반별!DA134),0)</f>
        <v/>
      </c>
      <c r="CY134" s="316" t="str">
        <f>IF(C134&lt;1,"",(CY$3*'09월 조업일지'!AV$7))</f>
        <v/>
      </c>
      <c r="CZ134" s="316" t="str">
        <f t="shared" si="7"/>
        <v/>
      </c>
      <c r="DA134" s="316" t="str">
        <f t="shared" si="7"/>
        <v/>
      </c>
      <c r="DB134" s="316" t="str">
        <f t="shared" si="7"/>
        <v/>
      </c>
      <c r="DC134" s="316"/>
      <c r="DD134" s="419"/>
    </row>
    <row r="135" spans="1:108" ht="15" customHeight="1">
      <c r="A135" s="274">
        <f t="shared" si="6"/>
        <v>44038</v>
      </c>
      <c r="B135" s="275" t="s">
        <v>94</v>
      </c>
      <c r="C135" s="201">
        <f>COUNTIFS('09월 조업일지'!$A$12:$A$952,A131,'09월 조업일지'!$E$12:$E$952,B135)</f>
        <v>0</v>
      </c>
      <c r="D135" s="314">
        <f>IF(C135&lt;1,0,(SUM(E135:CX135)/(일별반별!BV135-1.5)+(CY135+CZ135+DA135+DB135)))</f>
        <v>0</v>
      </c>
      <c r="E135" s="278"/>
      <c r="F135" s="281"/>
      <c r="G135" s="282"/>
      <c r="H135" s="283"/>
      <c r="I135" s="283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326"/>
      <c r="U135" s="395" t="str">
        <f>IFERROR(IF($C135&lt;1,"",U$3*일별반별!X135),0)</f>
        <v/>
      </c>
      <c r="V135" s="395" t="str">
        <f>IFERROR(IF($C135&lt;1,"",V$3*일별반별!Y135),0)</f>
        <v/>
      </c>
      <c r="W135" s="395" t="str">
        <f>IFERROR(IF($C135&lt;1,"",W$3*일별반별!Z135),0)</f>
        <v/>
      </c>
      <c r="X135" s="208" t="str">
        <f>IFERROR(IF($C135&lt;1,"",X$3*일별반별!AA135),0)</f>
        <v/>
      </c>
      <c r="Y135" s="208" t="str">
        <f>IFERROR(IF($C135&lt;1,"",Y$3*일별반별!AB135),0)</f>
        <v/>
      </c>
      <c r="Z135" s="208" t="str">
        <f>IFERROR(IF($C135&lt;1,"",Z$3*일별반별!AC135),0)</f>
        <v/>
      </c>
      <c r="AA135" s="395" t="str">
        <f>IFERROR(IF($C135&lt;1,"",AA$3*일별반별!AD135),0)</f>
        <v/>
      </c>
      <c r="AB135" s="395" t="str">
        <f>IFERROR(IF($C135&lt;1,"",AB$3*일별반별!AE135),0)</f>
        <v/>
      </c>
      <c r="AC135" s="208" t="str">
        <f>IFERROR(IF($C135&lt;1,"",AC$3*일별반별!AF135),0)</f>
        <v/>
      </c>
      <c r="AD135" s="208" t="str">
        <f>IFERROR(IF($C135&lt;1,"",AD$3*일별반별!AG135),0)</f>
        <v/>
      </c>
      <c r="AE135" s="208" t="str">
        <f>IFERROR(IF($C135&lt;1,"",AE$3*일별반별!AH135),0)</f>
        <v/>
      </c>
      <c r="AF135" s="395" t="str">
        <f>IFERROR(IF($C135&lt;1,"",AF$3*일별반별!AI135),0)</f>
        <v/>
      </c>
      <c r="AG135" s="395" t="str">
        <f>IFERROR(IF($C135&lt;1,"",AG$3*일별반별!AJ135),0)</f>
        <v/>
      </c>
      <c r="AH135" s="395" t="str">
        <f>IFERROR(IF($C135&lt;1,"",AH$3*일별반별!AK135),0)</f>
        <v/>
      </c>
      <c r="AI135" s="395" t="str">
        <f>IFERROR(IF($C135&lt;1,"",AI$3*일별반별!AL135),0)</f>
        <v/>
      </c>
      <c r="AJ135" s="395" t="str">
        <f>IFERROR(IF($C135&lt;1,"",AJ$3*일별반별!AM135),0)</f>
        <v/>
      </c>
      <c r="AK135" s="395" t="str">
        <f>IFERROR(IF($C135&lt;1,"",AK$3*일별반별!AN135),0)</f>
        <v/>
      </c>
      <c r="AL135" s="395" t="str">
        <f>IFERROR(IF($C135&lt;1,"",AL$3*일별반별!AO135),0)</f>
        <v/>
      </c>
      <c r="AM135" s="395" t="str">
        <f>IFERROR(IF($C135&lt;1,"",AM$3*일별반별!AP135),0)</f>
        <v/>
      </c>
      <c r="AN135" s="395" t="str">
        <f>IFERROR(IF($C135&lt;1,"",AN$3*일별반별!AQ135),0)</f>
        <v/>
      </c>
      <c r="AO135" s="395" t="str">
        <f>IFERROR(IF($C135&lt;1,"",AO$3*일별반별!AR135),0)</f>
        <v/>
      </c>
      <c r="AP135" s="347" t="str">
        <f>IFERROR(IF($C135&lt;1,"",AP$3*일별반별!AS135),0)</f>
        <v/>
      </c>
      <c r="AQ135" s="347" t="str">
        <f>IFERROR(IF($C135&lt;1,"",AQ$3*일별반별!AT135),0)</f>
        <v/>
      </c>
      <c r="AR135" s="316" t="str">
        <f>IFERROR(IF($C135&lt;1,"",AR$3*일별반별!AU135),0)</f>
        <v/>
      </c>
      <c r="AS135" s="401" t="str">
        <f>IFERROR(IF($C135&lt;1,"",AS$3*일별반별!AV135),0)</f>
        <v/>
      </c>
      <c r="AT135" s="401" t="str">
        <f>IFERROR(IF($C135&lt;1,"",AT$3*일별반별!AW135),0)</f>
        <v/>
      </c>
      <c r="AU135" s="401" t="str">
        <f>IFERROR(IF($C135&lt;1,"",AU$3*일별반별!AX135),0)</f>
        <v/>
      </c>
      <c r="AV135" s="401" t="str">
        <f>IFERROR(IF($C135&lt;1,"",AV$3*일별반별!AY135),0)</f>
        <v/>
      </c>
      <c r="AW135" s="401" t="str">
        <f>IFERROR(IF($C135&lt;1,"",AW$3*일별반별!AZ135),0)</f>
        <v/>
      </c>
      <c r="AX135" s="401" t="str">
        <f>IFERROR(IF($C135&lt;1,"",AX$3*일별반별!BA135),0)</f>
        <v/>
      </c>
      <c r="AY135" s="401" t="str">
        <f>IFERROR(IF($C135&lt;1,"",AY$3*일별반별!BB135),0)</f>
        <v/>
      </c>
      <c r="AZ135" s="401" t="str">
        <f>IFERROR(IF($C135&lt;1,"",AZ$3*일별반별!BC135),0)</f>
        <v/>
      </c>
      <c r="BA135" s="401" t="str">
        <f>IFERROR(IF($C135&lt;1,"",BA$3*일별반별!BD135),0)</f>
        <v/>
      </c>
      <c r="BB135" s="402" t="str">
        <f>IFERROR(IF($C135&lt;1,"",BB$3*일별반별!BE135),0)</f>
        <v/>
      </c>
      <c r="BC135" s="402" t="str">
        <f>IFERROR(IF($C135&lt;1,"",BC$3*일별반별!BF135),0)</f>
        <v/>
      </c>
      <c r="BD135" s="402" t="str">
        <f>IFERROR(IF($C135&lt;1,"",BD$3*일별반별!BG135),0)</f>
        <v/>
      </c>
      <c r="BE135" s="402" t="str">
        <f>IFERROR(IF($C135&lt;1,"",BE$3*일별반별!BH135),0)</f>
        <v/>
      </c>
      <c r="BF135" s="402" t="str">
        <f>IFERROR(IF($C135&lt;1,"",BF$3*일별반별!BI135),0)</f>
        <v/>
      </c>
      <c r="BG135" s="402" t="str">
        <f>IFERROR(IF($C135&lt;1,"",BG$3*일별반별!BJ135),0)</f>
        <v/>
      </c>
      <c r="BH135" s="402" t="str">
        <f>IFERROR(IF($C135&lt;1,"",BH$3*일별반별!BK135),0)</f>
        <v/>
      </c>
      <c r="BI135" s="402" t="str">
        <f>IFERROR(IF($C135&lt;1,"",BI$3*일별반별!BL135),0)</f>
        <v/>
      </c>
      <c r="BJ135" s="402" t="str">
        <f>IFERROR(IF($C135&lt;1,"",BJ$3*일별반별!BM135),0)</f>
        <v/>
      </c>
      <c r="BK135" s="402" t="str">
        <f>IFERROR(IF($C135&lt;1,"",BK$3*일별반별!BN135),0)</f>
        <v/>
      </c>
      <c r="BL135" s="402" t="str">
        <f>IFERROR(IF($C135&lt;1,"",BL$3*일별반별!BH135),0)</f>
        <v/>
      </c>
      <c r="BM135" s="402" t="str">
        <f>IFERROR(IF($C135&lt;1,"",BM$3*일별반별!BP135),0)</f>
        <v/>
      </c>
      <c r="BN135" s="401" t="str">
        <f>IFERROR(IF($C135&lt;1,"",BN$3*일별반별!BQ135),0)</f>
        <v/>
      </c>
      <c r="BO135" s="401" t="str">
        <f>IFERROR(IF($C135&lt;1,"",BO$3*일별반별!BR135),0)</f>
        <v/>
      </c>
      <c r="BP135" s="401" t="str">
        <f>IFERROR(IF($C135&lt;1,"",BP$3*일별반별!BS135),0)</f>
        <v/>
      </c>
      <c r="BQ135" s="401" t="str">
        <f>IFERROR(IF($C135&lt;1,"",BQ$3*일별반별!BT135),0)</f>
        <v/>
      </c>
      <c r="BR135" s="417" t="str">
        <f>IFERROR(IF($C135&lt;1,"",BR$3*일별반별!BU135),0)</f>
        <v/>
      </c>
      <c r="BS135" s="417" t="str">
        <f>IFERROR(IF($C135&lt;1,"",BS$3*일별반별!BV135),0)</f>
        <v/>
      </c>
      <c r="BT135" s="417" t="str">
        <f>IFERROR(IF($C135&lt;1,"",BT$3*일별반별!BW135),0)</f>
        <v/>
      </c>
      <c r="BU135" s="316" t="str">
        <f>IFERROR(IF($C135&lt;1,"",BU$3*일별반별!BX135),0)</f>
        <v/>
      </c>
      <c r="BV135" s="316" t="str">
        <f>IFERROR(IF($C135&lt;1,"",BV$3*일별반별!BY135),0)</f>
        <v/>
      </c>
      <c r="BW135" s="316" t="str">
        <f>IFERROR(IF($C135&lt;1,"",BW$3*일별반별!BZ135),0)</f>
        <v/>
      </c>
      <c r="BX135" s="316" t="str">
        <f>IFERROR(IF($C135&lt;1,"",BX$3*일별반별!CA135),0)</f>
        <v/>
      </c>
      <c r="BY135" s="316" t="str">
        <f>IFERROR(IF($C135&lt;1,"",BY$3*일별반별!CB135),0)</f>
        <v/>
      </c>
      <c r="BZ135" s="316" t="str">
        <f>IFERROR(IF($C135&lt;1,"",BZ$3*일별반별!CC135),0)</f>
        <v/>
      </c>
      <c r="CA135" s="316" t="str">
        <f>IFERROR(IF($C135&lt;1,"",CA$3*일별반별!CD135),0)</f>
        <v/>
      </c>
      <c r="CB135" s="316" t="str">
        <f>IFERROR(IF($C135&lt;1,"",CB$3*일별반별!CE135),0)</f>
        <v/>
      </c>
      <c r="CC135" s="316" t="str">
        <f>IFERROR(IF($C135&lt;1,"",CC$3*일별반별!CF135),0)</f>
        <v/>
      </c>
      <c r="CD135" s="316" t="str">
        <f>IFERROR(IF($C135&lt;1,"",CD$3*일별반별!CG135),0)</f>
        <v/>
      </c>
      <c r="CE135" s="316" t="str">
        <f>IFERROR(IF($C135&lt;1,"",CE$3*일별반별!CH135),0)</f>
        <v/>
      </c>
      <c r="CF135" s="316" t="str">
        <f>IFERROR(IF($C135&lt;1,"",CF$3*일별반별!CI135),0)</f>
        <v/>
      </c>
      <c r="CG135" s="316" t="str">
        <f>IFERROR(IF($C135&lt;1,"",CG$3*일별반별!CJ135),0)</f>
        <v/>
      </c>
      <c r="CH135" s="316" t="str">
        <f>IFERROR(IF($C135&lt;1,"",CH$3*일별반별!CK135),0)</f>
        <v/>
      </c>
      <c r="CI135" s="316" t="str">
        <f>IFERROR(IF($C135&lt;1,"",CI$3*일별반별!CL135),0)</f>
        <v/>
      </c>
      <c r="CJ135" s="316" t="str">
        <f>IFERROR(IF($C135&lt;1,"",CJ$3*일별반별!CM135),0)</f>
        <v/>
      </c>
      <c r="CK135" s="316" t="str">
        <f>IFERROR(IF($C135&lt;1,"",CK$3*일별반별!CN135),0)</f>
        <v/>
      </c>
      <c r="CL135" s="316" t="str">
        <f>IFERROR(IF($C135&lt;1,"",CL$3*일별반별!CO135),0)</f>
        <v/>
      </c>
      <c r="CM135" s="316" t="str">
        <f>IFERROR(IF($C135&lt;1,"",CM$3*일별반별!CP135),0)</f>
        <v/>
      </c>
      <c r="CN135" s="316" t="str">
        <f>IFERROR(IF($C135&lt;1,"",CN$3*일별반별!CQ135),0)</f>
        <v/>
      </c>
      <c r="CO135" s="316" t="str">
        <f>IFERROR(IF($C135&lt;1,"",CO$3*일별반별!CR135),0)</f>
        <v/>
      </c>
      <c r="CP135" s="316" t="str">
        <f>IFERROR(IF($C135&lt;1,"",CP$3*일별반별!CS135),0)</f>
        <v/>
      </c>
      <c r="CQ135" s="316" t="str">
        <f>IFERROR(IF($C135&lt;1,"",CQ$3*일별반별!CT135),0)</f>
        <v/>
      </c>
      <c r="CR135" s="418" t="str">
        <f>IFERROR(IF($C135&lt;1,"",CR$3*일별반별!CU135),0)</f>
        <v/>
      </c>
      <c r="CS135" s="418" t="str">
        <f>IFERROR(IF($C135&lt;1,"",CS$3*일별반별!CV135),0)</f>
        <v/>
      </c>
      <c r="CT135" s="316" t="str">
        <f>IFERROR(IF($C135&lt;1,"",CT$3*일별반별!CW135),0)</f>
        <v/>
      </c>
      <c r="CU135" s="316" t="str">
        <f>IFERROR(IF($C135&lt;1,"",CU$3*일별반별!CX135),0)</f>
        <v/>
      </c>
      <c r="CV135" s="316" t="str">
        <f>IFERROR(IF($C135&lt;1,"",CV$3*일별반별!CY135),0)</f>
        <v/>
      </c>
      <c r="CW135" s="316" t="str">
        <f>IFERROR(IF($C135&lt;1,"",CW$3*일별반별!CZ135),0)</f>
        <v/>
      </c>
      <c r="CX135" s="316" t="str">
        <f>IFERROR(IF($C135&lt;1,"",CX$3*일별반별!DA135),0)</f>
        <v/>
      </c>
      <c r="CY135" s="316" t="str">
        <f>IF(C135&lt;1,"",(CY$3*'09월 조업일지'!AV$7))</f>
        <v/>
      </c>
      <c r="CZ135" s="316" t="str">
        <f t="shared" ref="CZ135:DB160" si="8">IF($C135&lt;1,"",CZ$3)</f>
        <v/>
      </c>
      <c r="DA135" s="316" t="str">
        <f t="shared" si="8"/>
        <v/>
      </c>
      <c r="DB135" s="316" t="str">
        <f t="shared" si="8"/>
        <v/>
      </c>
      <c r="DC135" s="316"/>
      <c r="DD135" s="419"/>
    </row>
    <row r="136" spans="1:108" ht="15" customHeight="1">
      <c r="A136" s="327">
        <f>A131+1</f>
        <v>44039</v>
      </c>
      <c r="B136" s="328" t="s">
        <v>31</v>
      </c>
      <c r="C136" s="329">
        <f>COUNTIF('09월 조업일지'!$A$12:$A$952,A136)</f>
        <v>0</v>
      </c>
      <c r="D136" s="330">
        <f>IF(C136&lt;1,0,(SUM(E136:CX136)/(일별반별!BV136-1.5)+(CY136+CZ136+DA136+DB136)))</f>
        <v>0</v>
      </c>
      <c r="E136" s="331"/>
      <c r="F136" s="331"/>
      <c r="G136" s="332"/>
      <c r="H136" s="333"/>
      <c r="I136" s="333"/>
      <c r="J136" s="334"/>
      <c r="K136" s="334"/>
      <c r="L136" s="334"/>
      <c r="M136" s="334"/>
      <c r="N136" s="334"/>
      <c r="O136" s="334"/>
      <c r="P136" s="334"/>
      <c r="Q136" s="335"/>
      <c r="R136" s="334"/>
      <c r="S136" s="335"/>
      <c r="T136" s="334"/>
      <c r="U136" s="337" t="str">
        <f>IFERROR(IF($C136&lt;1,"",U$3*일별반별!X136),0)</f>
        <v/>
      </c>
      <c r="V136" s="337" t="str">
        <f>IFERROR(IF($C136&lt;1,"",V$3*일별반별!Y136),0)</f>
        <v/>
      </c>
      <c r="W136" s="337" t="str">
        <f>IFERROR(IF($C136&lt;1,"",W$3*일별반별!Z136),0)</f>
        <v/>
      </c>
      <c r="X136" s="336" t="str">
        <f>IFERROR(IF($C136&lt;1,"",X$3*일별반별!AA136),0)</f>
        <v/>
      </c>
      <c r="Y136" s="336" t="str">
        <f>IFERROR(IF($C136&lt;1,"",Y$3*일별반별!AB136),0)</f>
        <v/>
      </c>
      <c r="Z136" s="336" t="str">
        <f>IFERROR(IF($C136&lt;1,"",Z$3*일별반별!AC136),0)</f>
        <v/>
      </c>
      <c r="AA136" s="337" t="str">
        <f>IFERROR(IF($C136&lt;1,"",AA$3*일별반별!AD136),0)</f>
        <v/>
      </c>
      <c r="AB136" s="337" t="str">
        <f>IFERROR(IF($C136&lt;1,"",AB$3*일별반별!AE136),0)</f>
        <v/>
      </c>
      <c r="AC136" s="336" t="str">
        <f>IFERROR(IF($C136&lt;1,"",AC$3*일별반별!AF136),0)</f>
        <v/>
      </c>
      <c r="AD136" s="336" t="str">
        <f>IFERROR(IF($C136&lt;1,"",AD$3*일별반별!AG136),0)</f>
        <v/>
      </c>
      <c r="AE136" s="336" t="str">
        <f>IFERROR(IF($C136&lt;1,"",AE$3*일별반별!AH136),0)</f>
        <v/>
      </c>
      <c r="AF136" s="337" t="str">
        <f>IFERROR(IF($C136&lt;1,"",AF$3*일별반별!AI136),0)</f>
        <v/>
      </c>
      <c r="AG136" s="337" t="str">
        <f>IFERROR(IF($C136&lt;1,"",AG$3*일별반별!AJ136),0)</f>
        <v/>
      </c>
      <c r="AH136" s="337" t="str">
        <f>IFERROR(IF($C136&lt;1,"",AH$3*일별반별!AK136),0)</f>
        <v/>
      </c>
      <c r="AI136" s="337" t="str">
        <f>IFERROR(IF($C136&lt;1,"",AI$3*일별반별!AL136),0)</f>
        <v/>
      </c>
      <c r="AJ136" s="337" t="str">
        <f>IFERROR(IF($C136&lt;1,"",AJ$3*일별반별!AM136),0)</f>
        <v/>
      </c>
      <c r="AK136" s="337" t="str">
        <f>IFERROR(IF($C136&lt;1,"",AK$3*일별반별!AN136),0)</f>
        <v/>
      </c>
      <c r="AL136" s="337" t="str">
        <f>IFERROR(IF($C136&lt;1,"",AL$3*일별반별!AO136),0)</f>
        <v/>
      </c>
      <c r="AM136" s="337" t="str">
        <f>IFERROR(IF($C136&lt;1,"",AM$3*일별반별!AP136),0)</f>
        <v/>
      </c>
      <c r="AN136" s="337" t="str">
        <f>IFERROR(IF($C136&lt;1,"",AN$3*일별반별!AQ136),0)</f>
        <v/>
      </c>
      <c r="AO136" s="337" t="str">
        <f>IFERROR(IF($C136&lt;1,"",AO$3*일별반별!AR136),0)</f>
        <v/>
      </c>
      <c r="AP136" s="337" t="str">
        <f>IFERROR(IF($C136&lt;1,"",AP$3*일별반별!AS136),0)</f>
        <v/>
      </c>
      <c r="AQ136" s="337" t="str">
        <f>IFERROR(IF($C136&lt;1,"",AQ$3*일별반별!AT136),0)</f>
        <v/>
      </c>
      <c r="AR136" s="337" t="str">
        <f>IFERROR(IF($C136&lt;1,"",AR$3*일별반별!AU136),0)</f>
        <v/>
      </c>
      <c r="AS136" s="403" t="str">
        <f>IFERROR(IF($C136&lt;1,"",AS$3*일별반별!AV136),0)</f>
        <v/>
      </c>
      <c r="AT136" s="403" t="str">
        <f>IFERROR(IF($C136&lt;1,"",AT$3*일별반별!AW136),0)</f>
        <v/>
      </c>
      <c r="AU136" s="403" t="str">
        <f>IFERROR(IF($C136&lt;1,"",AU$3*일별반별!AX136),0)</f>
        <v/>
      </c>
      <c r="AV136" s="403" t="str">
        <f>IFERROR(IF($C136&lt;1,"",AV$3*일별반별!AY136),0)</f>
        <v/>
      </c>
      <c r="AW136" s="403" t="str">
        <f>IFERROR(IF($C136&lt;1,"",AW$3*일별반별!AZ136),0)</f>
        <v/>
      </c>
      <c r="AX136" s="403" t="str">
        <f>IFERROR(IF($C136&lt;1,"",AX$3*일별반별!BA136),0)</f>
        <v/>
      </c>
      <c r="AY136" s="403" t="str">
        <f>IFERROR(IF($C136&lt;1,"",AY$3*일별반별!BB136),0)</f>
        <v/>
      </c>
      <c r="AZ136" s="403" t="str">
        <f>IFERROR(IF($C136&lt;1,"",AZ$3*일별반별!BC136),0)</f>
        <v/>
      </c>
      <c r="BA136" s="403" t="str">
        <f>IFERROR(IF($C136&lt;1,"",BA$3*일별반별!BD136),0)</f>
        <v/>
      </c>
      <c r="BB136" s="403" t="str">
        <f>IFERROR(IF($C136&lt;1,"",BB$3*일별반별!BE136),0)</f>
        <v/>
      </c>
      <c r="BC136" s="403" t="str">
        <f>IFERROR(IF($C136&lt;1,"",BC$3*일별반별!BF136),0)</f>
        <v/>
      </c>
      <c r="BD136" s="403" t="str">
        <f>IFERROR(IF($C136&lt;1,"",BD$3*일별반별!BG136),0)</f>
        <v/>
      </c>
      <c r="BE136" s="403" t="str">
        <f>IFERROR(IF($C136&lt;1,"",BE$3*일별반별!BH136),0)</f>
        <v/>
      </c>
      <c r="BF136" s="403" t="str">
        <f>IFERROR(IF($C136&lt;1,"",BF$3*일별반별!BI136),0)</f>
        <v/>
      </c>
      <c r="BG136" s="403" t="str">
        <f>IFERROR(IF($C136&lt;1,"",BG$3*일별반별!BJ136),0)</f>
        <v/>
      </c>
      <c r="BH136" s="403" t="str">
        <f>IFERROR(IF($C136&lt;1,"",BH$3*일별반별!BK136),0)</f>
        <v/>
      </c>
      <c r="BI136" s="403" t="str">
        <f>IFERROR(IF($C136&lt;1,"",BI$3*일별반별!BL136),0)</f>
        <v/>
      </c>
      <c r="BJ136" s="403" t="str">
        <f>IFERROR(IF($C136&lt;1,"",BJ$3*일별반별!BM136),0)</f>
        <v/>
      </c>
      <c r="BK136" s="403" t="str">
        <f>IFERROR(IF($C136&lt;1,"",BK$3*일별반별!BN136),0)</f>
        <v/>
      </c>
      <c r="BL136" s="403" t="str">
        <f>IFERROR(IF($C136&lt;1,"",BL$3*일별반별!BH136),0)</f>
        <v/>
      </c>
      <c r="BM136" s="403" t="str">
        <f>IFERROR(IF($C136&lt;1,"",BM$3*일별반별!BP136),0)</f>
        <v/>
      </c>
      <c r="BN136" s="403" t="str">
        <f>IFERROR(IF($C136&lt;1,"",BN$3*일별반별!BQ136),0)</f>
        <v/>
      </c>
      <c r="BO136" s="403" t="str">
        <f>IFERROR(IF($C136&lt;1,"",BO$3*일별반별!BR136),0)</f>
        <v/>
      </c>
      <c r="BP136" s="403" t="str">
        <f>IFERROR(IF($C136&lt;1,"",BP$3*일별반별!BS136),0)</f>
        <v/>
      </c>
      <c r="BQ136" s="403" t="str">
        <f>IFERROR(IF($C136&lt;1,"",BQ$3*일별반별!BT136),0)</f>
        <v/>
      </c>
      <c r="BR136" s="337" t="str">
        <f>IFERROR(IF($C136&lt;1,"",BR$3*일별반별!BU136),0)</f>
        <v/>
      </c>
      <c r="BS136" s="337" t="str">
        <f>IFERROR(IF($C136&lt;1,"",BS$3*일별반별!BV136),0)</f>
        <v/>
      </c>
      <c r="BT136" s="337" t="str">
        <f>IFERROR(IF($C136&lt;1,"",BT$3*일별반별!BW136),0)</f>
        <v/>
      </c>
      <c r="BU136" s="337" t="str">
        <f>IFERROR(IF($C136&lt;1,"",BU$3*일별반별!BX136),0)</f>
        <v/>
      </c>
      <c r="BV136" s="337" t="str">
        <f>IFERROR(IF($C136&lt;1,"",BV$3*일별반별!BY136),0)</f>
        <v/>
      </c>
      <c r="BW136" s="337" t="str">
        <f>IFERROR(IF($C136&lt;1,"",BW$3*일별반별!BZ136),0)</f>
        <v/>
      </c>
      <c r="BX136" s="337" t="str">
        <f>IFERROR(IF($C136&lt;1,"",BX$3*일별반별!CA136),0)</f>
        <v/>
      </c>
      <c r="BY136" s="337" t="str">
        <f>IFERROR(IF($C136&lt;1,"",BY$3*일별반별!CB136),0)</f>
        <v/>
      </c>
      <c r="BZ136" s="337" t="str">
        <f>IFERROR(IF($C136&lt;1,"",BZ$3*일별반별!CC136),0)</f>
        <v/>
      </c>
      <c r="CA136" s="337" t="str">
        <f>IFERROR(IF($C136&lt;1,"",CA$3*일별반별!CD136),0)</f>
        <v/>
      </c>
      <c r="CB136" s="337" t="str">
        <f>IFERROR(IF($C136&lt;1,"",CB$3*일별반별!CE136),0)</f>
        <v/>
      </c>
      <c r="CC136" s="337" t="str">
        <f>IFERROR(IF($C136&lt;1,"",CC$3*일별반별!CF136),0)</f>
        <v/>
      </c>
      <c r="CD136" s="337" t="str">
        <f>IFERROR(IF($C136&lt;1,"",CD$3*일별반별!CG136),0)</f>
        <v/>
      </c>
      <c r="CE136" s="337" t="str">
        <f>IFERROR(IF($C136&lt;1,"",CE$3*일별반별!CH136),0)</f>
        <v/>
      </c>
      <c r="CF136" s="337" t="str">
        <f>IFERROR(IF($C136&lt;1,"",CF$3*일별반별!CI136),0)</f>
        <v/>
      </c>
      <c r="CG136" s="337" t="str">
        <f>IFERROR(IF($C136&lt;1,"",CG$3*일별반별!CJ136),0)</f>
        <v/>
      </c>
      <c r="CH136" s="337" t="str">
        <f>IFERROR(IF($C136&lt;1,"",CH$3*일별반별!CK136),0)</f>
        <v/>
      </c>
      <c r="CI136" s="337" t="str">
        <f>IFERROR(IF($C136&lt;1,"",CI$3*일별반별!CL136),0)</f>
        <v/>
      </c>
      <c r="CJ136" s="337" t="str">
        <f>IFERROR(IF($C136&lt;1,"",CJ$3*일별반별!CM136),0)</f>
        <v/>
      </c>
      <c r="CK136" s="337" t="str">
        <f>IFERROR(IF($C136&lt;1,"",CK$3*일별반별!CN136),0)</f>
        <v/>
      </c>
      <c r="CL136" s="337" t="str">
        <f>IFERROR(IF($C136&lt;1,"",CL$3*일별반별!CO136),0)</f>
        <v/>
      </c>
      <c r="CM136" s="337" t="str">
        <f>IFERROR(IF($C136&lt;1,"",CM$3*일별반별!CP136),0)</f>
        <v/>
      </c>
      <c r="CN136" s="337" t="str">
        <f>IFERROR(IF($C136&lt;1,"",CN$3*일별반별!CQ136),0)</f>
        <v/>
      </c>
      <c r="CO136" s="337" t="str">
        <f>IFERROR(IF($C136&lt;1,"",CO$3*일별반별!CR136),0)</f>
        <v/>
      </c>
      <c r="CP136" s="337" t="str">
        <f>IFERROR(IF($C136&lt;1,"",CP$3*일별반별!CS136),0)</f>
        <v/>
      </c>
      <c r="CQ136" s="337" t="str">
        <f>IFERROR(IF($C136&lt;1,"",CQ$3*일별반별!CT136),0)</f>
        <v/>
      </c>
      <c r="CR136" s="420" t="str">
        <f>IFERROR(IF($C136&lt;1,"",CR$3*일별반별!CU136),0)</f>
        <v/>
      </c>
      <c r="CS136" s="420" t="str">
        <f>IFERROR(IF($C136&lt;1,"",CS$3*일별반별!CV136),0)</f>
        <v/>
      </c>
      <c r="CT136" s="337" t="str">
        <f>IFERROR(IF($C136&lt;1,"",CT$3*일별반별!CW136),0)</f>
        <v/>
      </c>
      <c r="CU136" s="337" t="str">
        <f>IFERROR(IF($C136&lt;1,"",CU$3*일별반별!CX136),0)</f>
        <v/>
      </c>
      <c r="CV136" s="337" t="str">
        <f>IFERROR(IF($C136&lt;1,"",CV$3*일별반별!CY136),0)</f>
        <v/>
      </c>
      <c r="CW136" s="337" t="str">
        <f>IFERROR(IF($C136&lt;1,"",CW$3*일별반별!CZ136),0)</f>
        <v/>
      </c>
      <c r="CX136" s="337" t="str">
        <f>IFERROR(IF($C136&lt;1,"",CX$3*일별반별!DA136),0)</f>
        <v/>
      </c>
      <c r="CY136" s="316" t="str">
        <f>IF(C136&lt;1,"",(CY$3*'09월 조업일지'!AV$7))</f>
        <v/>
      </c>
      <c r="CZ136" s="316" t="str">
        <f t="shared" si="8"/>
        <v/>
      </c>
      <c r="DA136" s="316" t="str">
        <f t="shared" si="8"/>
        <v/>
      </c>
      <c r="DB136" s="316" t="str">
        <f t="shared" si="8"/>
        <v/>
      </c>
      <c r="DC136" s="316"/>
      <c r="DD136" s="419"/>
    </row>
    <row r="137" spans="1:108" ht="15" customHeight="1">
      <c r="A137" s="274">
        <f t="shared" si="6"/>
        <v>44039</v>
      </c>
      <c r="B137" s="275" t="s">
        <v>9</v>
      </c>
      <c r="C137" s="201">
        <f>COUNTIFS('09월 조업일지'!$A$12:$A$952,A136,'09월 조업일지'!$E$12:$E$952,B137)</f>
        <v>0</v>
      </c>
      <c r="D137" s="314">
        <f>IF(C137&lt;1,0,(SUM(E137:CX137)/(일별반별!BV137-1.5)+(CY137+CZ137+DA137+DB137)))</f>
        <v>0</v>
      </c>
      <c r="E137" s="278"/>
      <c r="F137" s="281"/>
      <c r="G137" s="282"/>
      <c r="H137" s="283"/>
      <c r="I137" s="283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326"/>
      <c r="U137" s="395" t="str">
        <f>IFERROR(IF($C137&lt;1,"",U$3*일별반별!X137),0)</f>
        <v/>
      </c>
      <c r="V137" s="395" t="str">
        <f>IFERROR(IF($C137&lt;1,"",V$3*일별반별!Y137),0)</f>
        <v/>
      </c>
      <c r="W137" s="395" t="str">
        <f>IFERROR(IF($C137&lt;1,"",W$3*일별반별!Z137),0)</f>
        <v/>
      </c>
      <c r="X137" s="208" t="str">
        <f>IFERROR(IF($C137&lt;1,"",X$3*일별반별!AA137),0)</f>
        <v/>
      </c>
      <c r="Y137" s="208" t="str">
        <f>IFERROR(IF($C137&lt;1,"",Y$3*일별반별!AB137),0)</f>
        <v/>
      </c>
      <c r="Z137" s="208" t="str">
        <f>IFERROR(IF($C137&lt;1,"",Z$3*일별반별!AC137),0)</f>
        <v/>
      </c>
      <c r="AA137" s="395" t="str">
        <f>IFERROR(IF($C137&lt;1,"",AA$3*일별반별!AD137),0)</f>
        <v/>
      </c>
      <c r="AB137" s="395" t="str">
        <f>IFERROR(IF($C137&lt;1,"",AB$3*일별반별!AE137),0)</f>
        <v/>
      </c>
      <c r="AC137" s="208" t="str">
        <f>IFERROR(IF($C137&lt;1,"",AC$3*일별반별!AF137),0)</f>
        <v/>
      </c>
      <c r="AD137" s="208" t="str">
        <f>IFERROR(IF($C137&lt;1,"",AD$3*일별반별!AG137),0)</f>
        <v/>
      </c>
      <c r="AE137" s="208" t="str">
        <f>IFERROR(IF($C137&lt;1,"",AE$3*일별반별!AH137),0)</f>
        <v/>
      </c>
      <c r="AF137" s="395" t="str">
        <f>IFERROR(IF($C137&lt;1,"",AF$3*일별반별!AI137),0)</f>
        <v/>
      </c>
      <c r="AG137" s="395" t="str">
        <f>IFERROR(IF($C137&lt;1,"",AG$3*일별반별!AJ137),0)</f>
        <v/>
      </c>
      <c r="AH137" s="395" t="str">
        <f>IFERROR(IF($C137&lt;1,"",AH$3*일별반별!AK137),0)</f>
        <v/>
      </c>
      <c r="AI137" s="395" t="str">
        <f>IFERROR(IF($C137&lt;1,"",AI$3*일별반별!AL137),0)</f>
        <v/>
      </c>
      <c r="AJ137" s="395" t="str">
        <f>IFERROR(IF($C137&lt;1,"",AJ$3*일별반별!AM137),0)</f>
        <v/>
      </c>
      <c r="AK137" s="395" t="str">
        <f>IFERROR(IF($C137&lt;1,"",AK$3*일별반별!AN137),0)</f>
        <v/>
      </c>
      <c r="AL137" s="395" t="str">
        <f>IFERROR(IF($C137&lt;1,"",AL$3*일별반별!AO137),0)</f>
        <v/>
      </c>
      <c r="AM137" s="395" t="str">
        <f>IFERROR(IF($C137&lt;1,"",AM$3*일별반별!AP137),0)</f>
        <v/>
      </c>
      <c r="AN137" s="395" t="str">
        <f>IFERROR(IF($C137&lt;1,"",AN$3*일별반별!AQ137),0)</f>
        <v/>
      </c>
      <c r="AO137" s="395" t="str">
        <f>IFERROR(IF($C137&lt;1,"",AO$3*일별반별!AR137),0)</f>
        <v/>
      </c>
      <c r="AP137" s="347" t="str">
        <f>IFERROR(IF($C137&lt;1,"",AP$3*일별반별!AS137),0)</f>
        <v/>
      </c>
      <c r="AQ137" s="347" t="str">
        <f>IFERROR(IF($C137&lt;1,"",AQ$3*일별반별!AT137),0)</f>
        <v/>
      </c>
      <c r="AR137" s="316" t="str">
        <f>IFERROR(IF($C137&lt;1,"",AR$3*일별반별!AU137),0)</f>
        <v/>
      </c>
      <c r="AS137" s="401" t="str">
        <f>IFERROR(IF($C137&lt;1,"",AS$3*일별반별!AV137),0)</f>
        <v/>
      </c>
      <c r="AT137" s="401" t="str">
        <f>IFERROR(IF($C137&lt;1,"",AT$3*일별반별!AW137),0)</f>
        <v/>
      </c>
      <c r="AU137" s="401" t="str">
        <f>IFERROR(IF($C137&lt;1,"",AU$3*일별반별!AX137),0)</f>
        <v/>
      </c>
      <c r="AV137" s="401" t="str">
        <f>IFERROR(IF($C137&lt;1,"",AV$3*일별반별!AY137),0)</f>
        <v/>
      </c>
      <c r="AW137" s="401" t="str">
        <f>IFERROR(IF($C137&lt;1,"",AW$3*일별반별!AZ137),0)</f>
        <v/>
      </c>
      <c r="AX137" s="401" t="str">
        <f>IFERROR(IF($C137&lt;1,"",AX$3*일별반별!BA137),0)</f>
        <v/>
      </c>
      <c r="AY137" s="401" t="str">
        <f>IFERROR(IF($C137&lt;1,"",AY$3*일별반별!BB137),0)</f>
        <v/>
      </c>
      <c r="AZ137" s="401" t="str">
        <f>IFERROR(IF($C137&lt;1,"",AZ$3*일별반별!BC137),0)</f>
        <v/>
      </c>
      <c r="BA137" s="401" t="str">
        <f>IFERROR(IF($C137&lt;1,"",BA$3*일별반별!BD137),0)</f>
        <v/>
      </c>
      <c r="BB137" s="402" t="str">
        <f>IFERROR(IF($C137&lt;1,"",BB$3*일별반별!BE137),0)</f>
        <v/>
      </c>
      <c r="BC137" s="402" t="str">
        <f>IFERROR(IF($C137&lt;1,"",BC$3*일별반별!BF137),0)</f>
        <v/>
      </c>
      <c r="BD137" s="402" t="str">
        <f>IFERROR(IF($C137&lt;1,"",BD$3*일별반별!BG137),0)</f>
        <v/>
      </c>
      <c r="BE137" s="402" t="str">
        <f>IFERROR(IF($C137&lt;1,"",BE$3*일별반별!BH137),0)</f>
        <v/>
      </c>
      <c r="BF137" s="402" t="str">
        <f>IFERROR(IF($C137&lt;1,"",BF$3*일별반별!BI137),0)</f>
        <v/>
      </c>
      <c r="BG137" s="402" t="str">
        <f>IFERROR(IF($C137&lt;1,"",BG$3*일별반별!BJ137),0)</f>
        <v/>
      </c>
      <c r="BH137" s="402" t="str">
        <f>IFERROR(IF($C137&lt;1,"",BH$3*일별반별!BK137),0)</f>
        <v/>
      </c>
      <c r="BI137" s="402" t="str">
        <f>IFERROR(IF($C137&lt;1,"",BI$3*일별반별!BL137),0)</f>
        <v/>
      </c>
      <c r="BJ137" s="402" t="str">
        <f>IFERROR(IF($C137&lt;1,"",BJ$3*일별반별!BM137),0)</f>
        <v/>
      </c>
      <c r="BK137" s="402" t="str">
        <f>IFERROR(IF($C137&lt;1,"",BK$3*일별반별!BN137),0)</f>
        <v/>
      </c>
      <c r="BL137" s="402" t="str">
        <f>IFERROR(IF($C137&lt;1,"",BL$3*일별반별!BH137),0)</f>
        <v/>
      </c>
      <c r="BM137" s="402" t="str">
        <f>IFERROR(IF($C137&lt;1,"",BM$3*일별반별!BP137),0)</f>
        <v/>
      </c>
      <c r="BN137" s="401" t="str">
        <f>IFERROR(IF($C137&lt;1,"",BN$3*일별반별!BQ137),0)</f>
        <v/>
      </c>
      <c r="BO137" s="401" t="str">
        <f>IFERROR(IF($C137&lt;1,"",BO$3*일별반별!BR137),0)</f>
        <v/>
      </c>
      <c r="BP137" s="401" t="str">
        <f>IFERROR(IF($C137&lt;1,"",BP$3*일별반별!BS137),0)</f>
        <v/>
      </c>
      <c r="BQ137" s="401" t="str">
        <f>IFERROR(IF($C137&lt;1,"",BQ$3*일별반별!BT137),0)</f>
        <v/>
      </c>
      <c r="BR137" s="417" t="str">
        <f>IFERROR(IF($C137&lt;1,"",BR$3*일별반별!BU137),0)</f>
        <v/>
      </c>
      <c r="BS137" s="417" t="str">
        <f>IFERROR(IF($C137&lt;1,"",BS$3*일별반별!BV137),0)</f>
        <v/>
      </c>
      <c r="BT137" s="417" t="str">
        <f>IFERROR(IF($C137&lt;1,"",BT$3*일별반별!BW137),0)</f>
        <v/>
      </c>
      <c r="BU137" s="316" t="str">
        <f>IFERROR(IF($C137&lt;1,"",BU$3*일별반별!BX137),0)</f>
        <v/>
      </c>
      <c r="BV137" s="316" t="str">
        <f>IFERROR(IF($C137&lt;1,"",BV$3*일별반별!BY137),0)</f>
        <v/>
      </c>
      <c r="BW137" s="316" t="str">
        <f>IFERROR(IF($C137&lt;1,"",BW$3*일별반별!BZ137),0)</f>
        <v/>
      </c>
      <c r="BX137" s="316" t="str">
        <f>IFERROR(IF($C137&lt;1,"",BX$3*일별반별!CA137),0)</f>
        <v/>
      </c>
      <c r="BY137" s="316" t="str">
        <f>IFERROR(IF($C137&lt;1,"",BY$3*일별반별!CB137),0)</f>
        <v/>
      </c>
      <c r="BZ137" s="316" t="str">
        <f>IFERROR(IF($C137&lt;1,"",BZ$3*일별반별!CC137),0)</f>
        <v/>
      </c>
      <c r="CA137" s="316" t="str">
        <f>IFERROR(IF($C137&lt;1,"",CA$3*일별반별!CD137),0)</f>
        <v/>
      </c>
      <c r="CB137" s="316" t="str">
        <f>IFERROR(IF($C137&lt;1,"",CB$3*일별반별!CE137),0)</f>
        <v/>
      </c>
      <c r="CC137" s="316" t="str">
        <f>IFERROR(IF($C137&lt;1,"",CC$3*일별반별!CF137),0)</f>
        <v/>
      </c>
      <c r="CD137" s="316" t="str">
        <f>IFERROR(IF($C137&lt;1,"",CD$3*일별반별!CG137),0)</f>
        <v/>
      </c>
      <c r="CE137" s="316" t="str">
        <f>IFERROR(IF($C137&lt;1,"",CE$3*일별반별!CH137),0)</f>
        <v/>
      </c>
      <c r="CF137" s="316" t="str">
        <f>IFERROR(IF($C137&lt;1,"",CF$3*일별반별!CI137),0)</f>
        <v/>
      </c>
      <c r="CG137" s="316" t="str">
        <f>IFERROR(IF($C137&lt;1,"",CG$3*일별반별!CJ137),0)</f>
        <v/>
      </c>
      <c r="CH137" s="316" t="str">
        <f>IFERROR(IF($C137&lt;1,"",CH$3*일별반별!CK137),0)</f>
        <v/>
      </c>
      <c r="CI137" s="316" t="str">
        <f>IFERROR(IF($C137&lt;1,"",CI$3*일별반별!CL137),0)</f>
        <v/>
      </c>
      <c r="CJ137" s="316" t="str">
        <f>IFERROR(IF($C137&lt;1,"",CJ$3*일별반별!CM137),0)</f>
        <v/>
      </c>
      <c r="CK137" s="316" t="str">
        <f>IFERROR(IF($C137&lt;1,"",CK$3*일별반별!CN137),0)</f>
        <v/>
      </c>
      <c r="CL137" s="316" t="str">
        <f>IFERROR(IF($C137&lt;1,"",CL$3*일별반별!CO137),0)</f>
        <v/>
      </c>
      <c r="CM137" s="316" t="str">
        <f>IFERROR(IF($C137&lt;1,"",CM$3*일별반별!CP137),0)</f>
        <v/>
      </c>
      <c r="CN137" s="316" t="str">
        <f>IFERROR(IF($C137&lt;1,"",CN$3*일별반별!CQ137),0)</f>
        <v/>
      </c>
      <c r="CO137" s="316" t="str">
        <f>IFERROR(IF($C137&lt;1,"",CO$3*일별반별!CR137),0)</f>
        <v/>
      </c>
      <c r="CP137" s="316" t="str">
        <f>IFERROR(IF($C137&lt;1,"",CP$3*일별반별!CS137),0)</f>
        <v/>
      </c>
      <c r="CQ137" s="316" t="str">
        <f>IFERROR(IF($C137&lt;1,"",CQ$3*일별반별!CT137),0)</f>
        <v/>
      </c>
      <c r="CR137" s="418" t="str">
        <f>IFERROR(IF($C137&lt;1,"",CR$3*일별반별!CU137),0)</f>
        <v/>
      </c>
      <c r="CS137" s="418" t="str">
        <f>IFERROR(IF($C137&lt;1,"",CS$3*일별반별!CV137),0)</f>
        <v/>
      </c>
      <c r="CT137" s="316" t="str">
        <f>IFERROR(IF($C137&lt;1,"",CT$3*일별반별!CW137),0)</f>
        <v/>
      </c>
      <c r="CU137" s="316" t="str">
        <f>IFERROR(IF($C137&lt;1,"",CU$3*일별반별!CX137),0)</f>
        <v/>
      </c>
      <c r="CV137" s="316" t="str">
        <f>IFERROR(IF($C137&lt;1,"",CV$3*일별반별!CY137),0)</f>
        <v/>
      </c>
      <c r="CW137" s="316" t="str">
        <f>IFERROR(IF($C137&lt;1,"",CW$3*일별반별!CZ137),0)</f>
        <v/>
      </c>
      <c r="CX137" s="316" t="str">
        <f>IFERROR(IF($C137&lt;1,"",CX$3*일별반별!DA137),0)</f>
        <v/>
      </c>
      <c r="CY137" s="316" t="str">
        <f>IF(C137&lt;1,"",(CY$3*'09월 조업일지'!AV$7))</f>
        <v/>
      </c>
      <c r="CZ137" s="316" t="str">
        <f t="shared" si="8"/>
        <v/>
      </c>
      <c r="DA137" s="316" t="str">
        <f t="shared" si="8"/>
        <v/>
      </c>
      <c r="DB137" s="316" t="str">
        <f t="shared" si="8"/>
        <v/>
      </c>
      <c r="DC137" s="316"/>
      <c r="DD137" s="419"/>
    </row>
    <row r="138" spans="1:108" ht="15" customHeight="1">
      <c r="A138" s="274">
        <f t="shared" si="6"/>
        <v>44039</v>
      </c>
      <c r="B138" s="275" t="s">
        <v>100</v>
      </c>
      <c r="C138" s="201">
        <f>COUNTIFS('09월 조업일지'!$A$12:$A$952,A136,'09월 조업일지'!$E$12:$E$952,B138)</f>
        <v>0</v>
      </c>
      <c r="D138" s="314">
        <f>IF(C138&lt;1,0,(SUM(E138:CX138)/(일별반별!BV138-1.5)+(CY138+CZ138+DA138+DB138)))</f>
        <v>0</v>
      </c>
      <c r="E138" s="278"/>
      <c r="F138" s="281"/>
      <c r="G138" s="282"/>
      <c r="H138" s="283"/>
      <c r="I138" s="283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326"/>
      <c r="U138" s="395" t="str">
        <f>IFERROR(IF($C138&lt;1,"",U$3*일별반별!X138),0)</f>
        <v/>
      </c>
      <c r="V138" s="395" t="str">
        <f>IFERROR(IF($C138&lt;1,"",V$3*일별반별!Y138),0)</f>
        <v/>
      </c>
      <c r="W138" s="395" t="str">
        <f>IFERROR(IF($C138&lt;1,"",W$3*일별반별!Z138),0)</f>
        <v/>
      </c>
      <c r="X138" s="208" t="str">
        <f>IFERROR(IF($C138&lt;1,"",X$3*일별반별!AA138),0)</f>
        <v/>
      </c>
      <c r="Y138" s="208" t="str">
        <f>IFERROR(IF($C138&lt;1,"",Y$3*일별반별!AB138),0)</f>
        <v/>
      </c>
      <c r="Z138" s="208" t="str">
        <f>IFERROR(IF($C138&lt;1,"",Z$3*일별반별!AC138),0)</f>
        <v/>
      </c>
      <c r="AA138" s="395" t="str">
        <f>IFERROR(IF($C138&lt;1,"",AA$3*일별반별!AD138),0)</f>
        <v/>
      </c>
      <c r="AB138" s="395" t="str">
        <f>IFERROR(IF($C138&lt;1,"",AB$3*일별반별!AE138),0)</f>
        <v/>
      </c>
      <c r="AC138" s="208" t="str">
        <f>IFERROR(IF($C138&lt;1,"",AC$3*일별반별!AF138),0)</f>
        <v/>
      </c>
      <c r="AD138" s="208" t="str">
        <f>IFERROR(IF($C138&lt;1,"",AD$3*일별반별!AG138),0)</f>
        <v/>
      </c>
      <c r="AE138" s="208" t="str">
        <f>IFERROR(IF($C138&lt;1,"",AE$3*일별반별!AH138),0)</f>
        <v/>
      </c>
      <c r="AF138" s="395" t="str">
        <f>IFERROR(IF($C138&lt;1,"",AF$3*일별반별!AI138),0)</f>
        <v/>
      </c>
      <c r="AG138" s="395" t="str">
        <f>IFERROR(IF($C138&lt;1,"",AG$3*일별반별!AJ138),0)</f>
        <v/>
      </c>
      <c r="AH138" s="395" t="str">
        <f>IFERROR(IF($C138&lt;1,"",AH$3*일별반별!AK138),0)</f>
        <v/>
      </c>
      <c r="AI138" s="395" t="str">
        <f>IFERROR(IF($C138&lt;1,"",AI$3*일별반별!AL138),0)</f>
        <v/>
      </c>
      <c r="AJ138" s="395" t="str">
        <f>IFERROR(IF($C138&lt;1,"",AJ$3*일별반별!AM138),0)</f>
        <v/>
      </c>
      <c r="AK138" s="395" t="str">
        <f>IFERROR(IF($C138&lt;1,"",AK$3*일별반별!AN138),0)</f>
        <v/>
      </c>
      <c r="AL138" s="395" t="str">
        <f>IFERROR(IF($C138&lt;1,"",AL$3*일별반별!AO138),0)</f>
        <v/>
      </c>
      <c r="AM138" s="395" t="str">
        <f>IFERROR(IF($C138&lt;1,"",AM$3*일별반별!AP138),0)</f>
        <v/>
      </c>
      <c r="AN138" s="395" t="str">
        <f>IFERROR(IF($C138&lt;1,"",AN$3*일별반별!AQ138),0)</f>
        <v/>
      </c>
      <c r="AO138" s="395" t="str">
        <f>IFERROR(IF($C138&lt;1,"",AO$3*일별반별!AR138),0)</f>
        <v/>
      </c>
      <c r="AP138" s="347" t="str">
        <f>IFERROR(IF($C138&lt;1,"",AP$3*일별반별!AS138),0)</f>
        <v/>
      </c>
      <c r="AQ138" s="347" t="str">
        <f>IFERROR(IF($C138&lt;1,"",AQ$3*일별반별!AT138),0)</f>
        <v/>
      </c>
      <c r="AR138" s="316" t="str">
        <f>IFERROR(IF($C138&lt;1,"",AR$3*일별반별!AU138),0)</f>
        <v/>
      </c>
      <c r="AS138" s="401" t="str">
        <f>IFERROR(IF($C138&lt;1,"",AS$3*일별반별!AV138),0)</f>
        <v/>
      </c>
      <c r="AT138" s="401" t="str">
        <f>IFERROR(IF($C138&lt;1,"",AT$3*일별반별!AW138),0)</f>
        <v/>
      </c>
      <c r="AU138" s="401" t="str">
        <f>IFERROR(IF($C138&lt;1,"",AU$3*일별반별!AX138),0)</f>
        <v/>
      </c>
      <c r="AV138" s="401" t="str">
        <f>IFERROR(IF($C138&lt;1,"",AV$3*일별반별!AY138),0)</f>
        <v/>
      </c>
      <c r="AW138" s="401" t="str">
        <f>IFERROR(IF($C138&lt;1,"",AW$3*일별반별!AZ138),0)</f>
        <v/>
      </c>
      <c r="AX138" s="401" t="str">
        <f>IFERROR(IF($C138&lt;1,"",AX$3*일별반별!BA138),0)</f>
        <v/>
      </c>
      <c r="AY138" s="401" t="str">
        <f>IFERROR(IF($C138&lt;1,"",AY$3*일별반별!BB138),0)</f>
        <v/>
      </c>
      <c r="AZ138" s="401" t="str">
        <f>IFERROR(IF($C138&lt;1,"",AZ$3*일별반별!BC138),0)</f>
        <v/>
      </c>
      <c r="BA138" s="401" t="str">
        <f>IFERROR(IF($C138&lt;1,"",BA$3*일별반별!BD138),0)</f>
        <v/>
      </c>
      <c r="BB138" s="402" t="str">
        <f>IFERROR(IF($C138&lt;1,"",BB$3*일별반별!BE138),0)</f>
        <v/>
      </c>
      <c r="BC138" s="402" t="str">
        <f>IFERROR(IF($C138&lt;1,"",BC$3*일별반별!BF138),0)</f>
        <v/>
      </c>
      <c r="BD138" s="402" t="str">
        <f>IFERROR(IF($C138&lt;1,"",BD$3*일별반별!BG138),0)</f>
        <v/>
      </c>
      <c r="BE138" s="402" t="str">
        <f>IFERROR(IF($C138&lt;1,"",BE$3*일별반별!BH138),0)</f>
        <v/>
      </c>
      <c r="BF138" s="402" t="str">
        <f>IFERROR(IF($C138&lt;1,"",BF$3*일별반별!BI138),0)</f>
        <v/>
      </c>
      <c r="BG138" s="402" t="str">
        <f>IFERROR(IF($C138&lt;1,"",BG$3*일별반별!BJ138),0)</f>
        <v/>
      </c>
      <c r="BH138" s="402" t="str">
        <f>IFERROR(IF($C138&lt;1,"",BH$3*일별반별!BK138),0)</f>
        <v/>
      </c>
      <c r="BI138" s="402" t="str">
        <f>IFERROR(IF($C138&lt;1,"",BI$3*일별반별!BL138),0)</f>
        <v/>
      </c>
      <c r="BJ138" s="402" t="str">
        <f>IFERROR(IF($C138&lt;1,"",BJ$3*일별반별!BM138),0)</f>
        <v/>
      </c>
      <c r="BK138" s="402" t="str">
        <f>IFERROR(IF($C138&lt;1,"",BK$3*일별반별!BN138),0)</f>
        <v/>
      </c>
      <c r="BL138" s="402" t="str">
        <f>IFERROR(IF($C138&lt;1,"",BL$3*일별반별!BH138),0)</f>
        <v/>
      </c>
      <c r="BM138" s="402" t="str">
        <f>IFERROR(IF($C138&lt;1,"",BM$3*일별반별!BP138),0)</f>
        <v/>
      </c>
      <c r="BN138" s="401" t="str">
        <f>IFERROR(IF($C138&lt;1,"",BN$3*일별반별!BQ138),0)</f>
        <v/>
      </c>
      <c r="BO138" s="401" t="str">
        <f>IFERROR(IF($C138&lt;1,"",BO$3*일별반별!BR138),0)</f>
        <v/>
      </c>
      <c r="BP138" s="401" t="str">
        <f>IFERROR(IF($C138&lt;1,"",BP$3*일별반별!BS138),0)</f>
        <v/>
      </c>
      <c r="BQ138" s="401" t="str">
        <f>IFERROR(IF($C138&lt;1,"",BQ$3*일별반별!BT138),0)</f>
        <v/>
      </c>
      <c r="BR138" s="417" t="str">
        <f>IFERROR(IF($C138&lt;1,"",BR$3*일별반별!BU138),0)</f>
        <v/>
      </c>
      <c r="BS138" s="417" t="str">
        <f>IFERROR(IF($C138&lt;1,"",BS$3*일별반별!BV138),0)</f>
        <v/>
      </c>
      <c r="BT138" s="417" t="str">
        <f>IFERROR(IF($C138&lt;1,"",BT$3*일별반별!BW138),0)</f>
        <v/>
      </c>
      <c r="BU138" s="316" t="str">
        <f>IFERROR(IF($C138&lt;1,"",BU$3*일별반별!BX138),0)</f>
        <v/>
      </c>
      <c r="BV138" s="316" t="str">
        <f>IFERROR(IF($C138&lt;1,"",BV$3*일별반별!BY138),0)</f>
        <v/>
      </c>
      <c r="BW138" s="316" t="str">
        <f>IFERROR(IF($C138&lt;1,"",BW$3*일별반별!BZ138),0)</f>
        <v/>
      </c>
      <c r="BX138" s="316" t="str">
        <f>IFERROR(IF($C138&lt;1,"",BX$3*일별반별!CA138),0)</f>
        <v/>
      </c>
      <c r="BY138" s="316" t="str">
        <f>IFERROR(IF($C138&lt;1,"",BY$3*일별반별!CB138),0)</f>
        <v/>
      </c>
      <c r="BZ138" s="316" t="str">
        <f>IFERROR(IF($C138&lt;1,"",BZ$3*일별반별!CC138),0)</f>
        <v/>
      </c>
      <c r="CA138" s="316" t="str">
        <f>IFERROR(IF($C138&lt;1,"",CA$3*일별반별!CD138),0)</f>
        <v/>
      </c>
      <c r="CB138" s="316" t="str">
        <f>IFERROR(IF($C138&lt;1,"",CB$3*일별반별!CE138),0)</f>
        <v/>
      </c>
      <c r="CC138" s="316" t="str">
        <f>IFERROR(IF($C138&lt;1,"",CC$3*일별반별!CF138),0)</f>
        <v/>
      </c>
      <c r="CD138" s="316" t="str">
        <f>IFERROR(IF($C138&lt;1,"",CD$3*일별반별!CG138),0)</f>
        <v/>
      </c>
      <c r="CE138" s="316" t="str">
        <f>IFERROR(IF($C138&lt;1,"",CE$3*일별반별!CH138),0)</f>
        <v/>
      </c>
      <c r="CF138" s="316" t="str">
        <f>IFERROR(IF($C138&lt;1,"",CF$3*일별반별!CI138),0)</f>
        <v/>
      </c>
      <c r="CG138" s="316" t="str">
        <f>IFERROR(IF($C138&lt;1,"",CG$3*일별반별!CJ138),0)</f>
        <v/>
      </c>
      <c r="CH138" s="316" t="str">
        <f>IFERROR(IF($C138&lt;1,"",CH$3*일별반별!CK138),0)</f>
        <v/>
      </c>
      <c r="CI138" s="316" t="str">
        <f>IFERROR(IF($C138&lt;1,"",CI$3*일별반별!CL138),0)</f>
        <v/>
      </c>
      <c r="CJ138" s="316" t="str">
        <f>IFERROR(IF($C138&lt;1,"",CJ$3*일별반별!CM138),0)</f>
        <v/>
      </c>
      <c r="CK138" s="316" t="str">
        <f>IFERROR(IF($C138&lt;1,"",CK$3*일별반별!CN138),0)</f>
        <v/>
      </c>
      <c r="CL138" s="316" t="str">
        <f>IFERROR(IF($C138&lt;1,"",CL$3*일별반별!CO138),0)</f>
        <v/>
      </c>
      <c r="CM138" s="316" t="str">
        <f>IFERROR(IF($C138&lt;1,"",CM$3*일별반별!CP138),0)</f>
        <v/>
      </c>
      <c r="CN138" s="316" t="str">
        <f>IFERROR(IF($C138&lt;1,"",CN$3*일별반별!CQ138),0)</f>
        <v/>
      </c>
      <c r="CO138" s="316" t="str">
        <f>IFERROR(IF($C138&lt;1,"",CO$3*일별반별!CR138),0)</f>
        <v/>
      </c>
      <c r="CP138" s="316" t="str">
        <f>IFERROR(IF($C138&lt;1,"",CP$3*일별반별!CS138),0)</f>
        <v/>
      </c>
      <c r="CQ138" s="316" t="str">
        <f>IFERROR(IF($C138&lt;1,"",CQ$3*일별반별!CT138),0)</f>
        <v/>
      </c>
      <c r="CR138" s="418" t="str">
        <f>IFERROR(IF($C138&lt;1,"",CR$3*일별반별!CU138),0)</f>
        <v/>
      </c>
      <c r="CS138" s="418" t="str">
        <f>IFERROR(IF($C138&lt;1,"",CS$3*일별반별!CV138),0)</f>
        <v/>
      </c>
      <c r="CT138" s="316" t="str">
        <f>IFERROR(IF($C138&lt;1,"",CT$3*일별반별!CW138),0)</f>
        <v/>
      </c>
      <c r="CU138" s="316" t="str">
        <f>IFERROR(IF($C138&lt;1,"",CU$3*일별반별!CX138),0)</f>
        <v/>
      </c>
      <c r="CV138" s="316" t="str">
        <f>IFERROR(IF($C138&lt;1,"",CV$3*일별반별!CY138),0)</f>
        <v/>
      </c>
      <c r="CW138" s="316" t="str">
        <f>IFERROR(IF($C138&lt;1,"",CW$3*일별반별!CZ138),0)</f>
        <v/>
      </c>
      <c r="CX138" s="316" t="str">
        <f>IFERROR(IF($C138&lt;1,"",CX$3*일별반별!DA138),0)</f>
        <v/>
      </c>
      <c r="CY138" s="316" t="str">
        <f>IF(C138&lt;1,"",(CY$3*'09월 조업일지'!AV$7))</f>
        <v/>
      </c>
      <c r="CZ138" s="316" t="str">
        <f t="shared" si="8"/>
        <v/>
      </c>
      <c r="DA138" s="316" t="str">
        <f t="shared" si="8"/>
        <v/>
      </c>
      <c r="DB138" s="316" t="str">
        <f t="shared" si="8"/>
        <v/>
      </c>
      <c r="DC138" s="316"/>
      <c r="DD138" s="419"/>
    </row>
    <row r="139" spans="1:108" ht="15" customHeight="1">
      <c r="A139" s="274">
        <f t="shared" si="6"/>
        <v>44039</v>
      </c>
      <c r="B139" s="275" t="s">
        <v>10</v>
      </c>
      <c r="C139" s="201">
        <f>COUNTIFS('09월 조업일지'!$A$12:$A$952,A136,'09월 조업일지'!$E$12:$E$952,B139)</f>
        <v>0</v>
      </c>
      <c r="D139" s="314">
        <f>IF(C139&lt;1,0,(SUM(E139:CX139)/(일별반별!BV139-1.5)+(CY139+CZ139+DA139+DB139)))</f>
        <v>0</v>
      </c>
      <c r="E139" s="278"/>
      <c r="F139" s="281"/>
      <c r="G139" s="282"/>
      <c r="H139" s="283"/>
      <c r="I139" s="283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326"/>
      <c r="U139" s="395" t="str">
        <f>IFERROR(IF($C139&lt;1,"",U$3*일별반별!X139),0)</f>
        <v/>
      </c>
      <c r="V139" s="395" t="str">
        <f>IFERROR(IF($C139&lt;1,"",V$3*일별반별!Y139),0)</f>
        <v/>
      </c>
      <c r="W139" s="395" t="str">
        <f>IFERROR(IF($C139&lt;1,"",W$3*일별반별!Z139),0)</f>
        <v/>
      </c>
      <c r="X139" s="208" t="str">
        <f>IFERROR(IF($C139&lt;1,"",X$3*일별반별!AA139),0)</f>
        <v/>
      </c>
      <c r="Y139" s="208" t="str">
        <f>IFERROR(IF($C139&lt;1,"",Y$3*일별반별!AB139),0)</f>
        <v/>
      </c>
      <c r="Z139" s="208" t="str">
        <f>IFERROR(IF($C139&lt;1,"",Z$3*일별반별!AC139),0)</f>
        <v/>
      </c>
      <c r="AA139" s="395" t="str">
        <f>IFERROR(IF($C139&lt;1,"",AA$3*일별반별!AD139),0)</f>
        <v/>
      </c>
      <c r="AB139" s="395" t="str">
        <f>IFERROR(IF($C139&lt;1,"",AB$3*일별반별!AE139),0)</f>
        <v/>
      </c>
      <c r="AC139" s="208" t="str">
        <f>IFERROR(IF($C139&lt;1,"",AC$3*일별반별!AF139),0)</f>
        <v/>
      </c>
      <c r="AD139" s="208" t="str">
        <f>IFERROR(IF($C139&lt;1,"",AD$3*일별반별!AG139),0)</f>
        <v/>
      </c>
      <c r="AE139" s="208" t="str">
        <f>IFERROR(IF($C139&lt;1,"",AE$3*일별반별!AH139),0)</f>
        <v/>
      </c>
      <c r="AF139" s="395" t="str">
        <f>IFERROR(IF($C139&lt;1,"",AF$3*일별반별!AI139),0)</f>
        <v/>
      </c>
      <c r="AG139" s="395" t="str">
        <f>IFERROR(IF($C139&lt;1,"",AG$3*일별반별!AJ139),0)</f>
        <v/>
      </c>
      <c r="AH139" s="395" t="str">
        <f>IFERROR(IF($C139&lt;1,"",AH$3*일별반별!AK139),0)</f>
        <v/>
      </c>
      <c r="AI139" s="395" t="str">
        <f>IFERROR(IF($C139&lt;1,"",AI$3*일별반별!AL139),0)</f>
        <v/>
      </c>
      <c r="AJ139" s="395" t="str">
        <f>IFERROR(IF($C139&lt;1,"",AJ$3*일별반별!AM139),0)</f>
        <v/>
      </c>
      <c r="AK139" s="395" t="str">
        <f>IFERROR(IF($C139&lt;1,"",AK$3*일별반별!AN139),0)</f>
        <v/>
      </c>
      <c r="AL139" s="395" t="str">
        <f>IFERROR(IF($C139&lt;1,"",AL$3*일별반별!AO139),0)</f>
        <v/>
      </c>
      <c r="AM139" s="395" t="str">
        <f>IFERROR(IF($C139&lt;1,"",AM$3*일별반별!AP139),0)</f>
        <v/>
      </c>
      <c r="AN139" s="395" t="str">
        <f>IFERROR(IF($C139&lt;1,"",AN$3*일별반별!AQ139),0)</f>
        <v/>
      </c>
      <c r="AO139" s="395" t="str">
        <f>IFERROR(IF($C139&lt;1,"",AO$3*일별반별!AR139),0)</f>
        <v/>
      </c>
      <c r="AP139" s="347" t="str">
        <f>IFERROR(IF($C139&lt;1,"",AP$3*일별반별!AS139),0)</f>
        <v/>
      </c>
      <c r="AQ139" s="347" t="str">
        <f>IFERROR(IF($C139&lt;1,"",AQ$3*일별반별!AT139),0)</f>
        <v/>
      </c>
      <c r="AR139" s="316" t="str">
        <f>IFERROR(IF($C139&lt;1,"",AR$3*일별반별!AU139),0)</f>
        <v/>
      </c>
      <c r="AS139" s="401" t="str">
        <f>IFERROR(IF($C139&lt;1,"",AS$3*일별반별!AV139),0)</f>
        <v/>
      </c>
      <c r="AT139" s="401" t="str">
        <f>IFERROR(IF($C139&lt;1,"",AT$3*일별반별!AW139),0)</f>
        <v/>
      </c>
      <c r="AU139" s="401" t="str">
        <f>IFERROR(IF($C139&lt;1,"",AU$3*일별반별!AX139),0)</f>
        <v/>
      </c>
      <c r="AV139" s="401" t="str">
        <f>IFERROR(IF($C139&lt;1,"",AV$3*일별반별!AY139),0)</f>
        <v/>
      </c>
      <c r="AW139" s="401" t="str">
        <f>IFERROR(IF($C139&lt;1,"",AW$3*일별반별!AZ139),0)</f>
        <v/>
      </c>
      <c r="AX139" s="401" t="str">
        <f>IFERROR(IF($C139&lt;1,"",AX$3*일별반별!BA139),0)</f>
        <v/>
      </c>
      <c r="AY139" s="401" t="str">
        <f>IFERROR(IF($C139&lt;1,"",AY$3*일별반별!BB139),0)</f>
        <v/>
      </c>
      <c r="AZ139" s="401" t="str">
        <f>IFERROR(IF($C139&lt;1,"",AZ$3*일별반별!BC139),0)</f>
        <v/>
      </c>
      <c r="BA139" s="401" t="str">
        <f>IFERROR(IF($C139&lt;1,"",BA$3*일별반별!BD139),0)</f>
        <v/>
      </c>
      <c r="BB139" s="402" t="str">
        <f>IFERROR(IF($C139&lt;1,"",BB$3*일별반별!BE139),0)</f>
        <v/>
      </c>
      <c r="BC139" s="402" t="str">
        <f>IFERROR(IF($C139&lt;1,"",BC$3*일별반별!BF139),0)</f>
        <v/>
      </c>
      <c r="BD139" s="402" t="str">
        <f>IFERROR(IF($C139&lt;1,"",BD$3*일별반별!BG139),0)</f>
        <v/>
      </c>
      <c r="BE139" s="402" t="str">
        <f>IFERROR(IF($C139&lt;1,"",BE$3*일별반별!BH139),0)</f>
        <v/>
      </c>
      <c r="BF139" s="402" t="str">
        <f>IFERROR(IF($C139&lt;1,"",BF$3*일별반별!BI139),0)</f>
        <v/>
      </c>
      <c r="BG139" s="402" t="str">
        <f>IFERROR(IF($C139&lt;1,"",BG$3*일별반별!BJ139),0)</f>
        <v/>
      </c>
      <c r="BH139" s="402" t="str">
        <f>IFERROR(IF($C139&lt;1,"",BH$3*일별반별!BK139),0)</f>
        <v/>
      </c>
      <c r="BI139" s="402" t="str">
        <f>IFERROR(IF($C139&lt;1,"",BI$3*일별반별!BL139),0)</f>
        <v/>
      </c>
      <c r="BJ139" s="402" t="str">
        <f>IFERROR(IF($C139&lt;1,"",BJ$3*일별반별!BM139),0)</f>
        <v/>
      </c>
      <c r="BK139" s="402" t="str">
        <f>IFERROR(IF($C139&lt;1,"",BK$3*일별반별!BN139),0)</f>
        <v/>
      </c>
      <c r="BL139" s="402" t="str">
        <f>IFERROR(IF($C139&lt;1,"",BL$3*일별반별!BH139),0)</f>
        <v/>
      </c>
      <c r="BM139" s="402" t="str">
        <f>IFERROR(IF($C139&lt;1,"",BM$3*일별반별!BP139),0)</f>
        <v/>
      </c>
      <c r="BN139" s="401" t="str">
        <f>IFERROR(IF($C139&lt;1,"",BN$3*일별반별!BQ139),0)</f>
        <v/>
      </c>
      <c r="BO139" s="401" t="str">
        <f>IFERROR(IF($C139&lt;1,"",BO$3*일별반별!BR139),0)</f>
        <v/>
      </c>
      <c r="BP139" s="401" t="str">
        <f>IFERROR(IF($C139&lt;1,"",BP$3*일별반별!BS139),0)</f>
        <v/>
      </c>
      <c r="BQ139" s="401" t="str">
        <f>IFERROR(IF($C139&lt;1,"",BQ$3*일별반별!BT139),0)</f>
        <v/>
      </c>
      <c r="BR139" s="417" t="str">
        <f>IFERROR(IF($C139&lt;1,"",BR$3*일별반별!BU139),0)</f>
        <v/>
      </c>
      <c r="BS139" s="417" t="str">
        <f>IFERROR(IF($C139&lt;1,"",BS$3*일별반별!BV139),0)</f>
        <v/>
      </c>
      <c r="BT139" s="417" t="str">
        <f>IFERROR(IF($C139&lt;1,"",BT$3*일별반별!BW139),0)</f>
        <v/>
      </c>
      <c r="BU139" s="316" t="str">
        <f>IFERROR(IF($C139&lt;1,"",BU$3*일별반별!BX139),0)</f>
        <v/>
      </c>
      <c r="BV139" s="316" t="str">
        <f>IFERROR(IF($C139&lt;1,"",BV$3*일별반별!BY139),0)</f>
        <v/>
      </c>
      <c r="BW139" s="316" t="str">
        <f>IFERROR(IF($C139&lt;1,"",BW$3*일별반별!BZ139),0)</f>
        <v/>
      </c>
      <c r="BX139" s="316" t="str">
        <f>IFERROR(IF($C139&lt;1,"",BX$3*일별반별!CA139),0)</f>
        <v/>
      </c>
      <c r="BY139" s="316" t="str">
        <f>IFERROR(IF($C139&lt;1,"",BY$3*일별반별!CB139),0)</f>
        <v/>
      </c>
      <c r="BZ139" s="316" t="str">
        <f>IFERROR(IF($C139&lt;1,"",BZ$3*일별반별!CC139),0)</f>
        <v/>
      </c>
      <c r="CA139" s="316" t="str">
        <f>IFERROR(IF($C139&lt;1,"",CA$3*일별반별!CD139),0)</f>
        <v/>
      </c>
      <c r="CB139" s="316" t="str">
        <f>IFERROR(IF($C139&lt;1,"",CB$3*일별반별!CE139),0)</f>
        <v/>
      </c>
      <c r="CC139" s="316" t="str">
        <f>IFERROR(IF($C139&lt;1,"",CC$3*일별반별!CF139),0)</f>
        <v/>
      </c>
      <c r="CD139" s="316" t="str">
        <f>IFERROR(IF($C139&lt;1,"",CD$3*일별반별!CG139),0)</f>
        <v/>
      </c>
      <c r="CE139" s="316" t="str">
        <f>IFERROR(IF($C139&lt;1,"",CE$3*일별반별!CH139),0)</f>
        <v/>
      </c>
      <c r="CF139" s="316" t="str">
        <f>IFERROR(IF($C139&lt;1,"",CF$3*일별반별!CI139),0)</f>
        <v/>
      </c>
      <c r="CG139" s="316" t="str">
        <f>IFERROR(IF($C139&lt;1,"",CG$3*일별반별!CJ139),0)</f>
        <v/>
      </c>
      <c r="CH139" s="316" t="str">
        <f>IFERROR(IF($C139&lt;1,"",CH$3*일별반별!CK139),0)</f>
        <v/>
      </c>
      <c r="CI139" s="316" t="str">
        <f>IFERROR(IF($C139&lt;1,"",CI$3*일별반별!CL139),0)</f>
        <v/>
      </c>
      <c r="CJ139" s="316" t="str">
        <f>IFERROR(IF($C139&lt;1,"",CJ$3*일별반별!CM139),0)</f>
        <v/>
      </c>
      <c r="CK139" s="316" t="str">
        <f>IFERROR(IF($C139&lt;1,"",CK$3*일별반별!CN139),0)</f>
        <v/>
      </c>
      <c r="CL139" s="316" t="str">
        <f>IFERROR(IF($C139&lt;1,"",CL$3*일별반별!CO139),0)</f>
        <v/>
      </c>
      <c r="CM139" s="316" t="str">
        <f>IFERROR(IF($C139&lt;1,"",CM$3*일별반별!CP139),0)</f>
        <v/>
      </c>
      <c r="CN139" s="316" t="str">
        <f>IFERROR(IF($C139&lt;1,"",CN$3*일별반별!CQ139),0)</f>
        <v/>
      </c>
      <c r="CO139" s="316" t="str">
        <f>IFERROR(IF($C139&lt;1,"",CO$3*일별반별!CR139),0)</f>
        <v/>
      </c>
      <c r="CP139" s="316" t="str">
        <f>IFERROR(IF($C139&lt;1,"",CP$3*일별반별!CS139),0)</f>
        <v/>
      </c>
      <c r="CQ139" s="316" t="str">
        <f>IFERROR(IF($C139&lt;1,"",CQ$3*일별반별!CT139),0)</f>
        <v/>
      </c>
      <c r="CR139" s="418" t="str">
        <f>IFERROR(IF($C139&lt;1,"",CR$3*일별반별!CU139),0)</f>
        <v/>
      </c>
      <c r="CS139" s="418" t="str">
        <f>IFERROR(IF($C139&lt;1,"",CS$3*일별반별!CV139),0)</f>
        <v/>
      </c>
      <c r="CT139" s="316" t="str">
        <f>IFERROR(IF($C139&lt;1,"",CT$3*일별반별!CW139),0)</f>
        <v/>
      </c>
      <c r="CU139" s="316" t="str">
        <f>IFERROR(IF($C139&lt;1,"",CU$3*일별반별!CX139),0)</f>
        <v/>
      </c>
      <c r="CV139" s="316" t="str">
        <f>IFERROR(IF($C139&lt;1,"",CV$3*일별반별!CY139),0)</f>
        <v/>
      </c>
      <c r="CW139" s="316" t="str">
        <f>IFERROR(IF($C139&lt;1,"",CW$3*일별반별!CZ139),0)</f>
        <v/>
      </c>
      <c r="CX139" s="316" t="str">
        <f>IFERROR(IF($C139&lt;1,"",CX$3*일별반별!DA139),0)</f>
        <v/>
      </c>
      <c r="CY139" s="316" t="str">
        <f>IF(C139&lt;1,"",(CY$3*'09월 조업일지'!AV$7))</f>
        <v/>
      </c>
      <c r="CZ139" s="316" t="str">
        <f t="shared" si="8"/>
        <v/>
      </c>
      <c r="DA139" s="316" t="str">
        <f t="shared" si="8"/>
        <v/>
      </c>
      <c r="DB139" s="316" t="str">
        <f t="shared" si="8"/>
        <v/>
      </c>
      <c r="DC139" s="316"/>
      <c r="DD139" s="419"/>
    </row>
    <row r="140" spans="1:108" ht="15" customHeight="1">
      <c r="A140" s="274">
        <f t="shared" si="6"/>
        <v>44039</v>
      </c>
      <c r="B140" s="275" t="s">
        <v>94</v>
      </c>
      <c r="C140" s="201">
        <f>COUNTIFS('09월 조업일지'!$A$12:$A$952,A136,'09월 조업일지'!$E$12:$E$952,B140)</f>
        <v>0</v>
      </c>
      <c r="D140" s="314">
        <f>IF(C140&lt;1,0,(SUM(E140:CX140)/(일별반별!BV140-1.5)+(CY140+CZ140+DA140+DB140)))</f>
        <v>0</v>
      </c>
      <c r="E140" s="278"/>
      <c r="F140" s="281"/>
      <c r="G140" s="282"/>
      <c r="H140" s="283"/>
      <c r="I140" s="283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326"/>
      <c r="U140" s="395" t="str">
        <f>IFERROR(IF($C140&lt;1,"",U$3*일별반별!X140),0)</f>
        <v/>
      </c>
      <c r="V140" s="395" t="str">
        <f>IFERROR(IF($C140&lt;1,"",V$3*일별반별!Y140),0)</f>
        <v/>
      </c>
      <c r="W140" s="395" t="str">
        <f>IFERROR(IF($C140&lt;1,"",W$3*일별반별!Z140),0)</f>
        <v/>
      </c>
      <c r="X140" s="208" t="str">
        <f>IFERROR(IF($C140&lt;1,"",X$3*일별반별!AA140),0)</f>
        <v/>
      </c>
      <c r="Y140" s="208" t="str">
        <f>IFERROR(IF($C140&lt;1,"",Y$3*일별반별!AB140),0)</f>
        <v/>
      </c>
      <c r="Z140" s="208" t="str">
        <f>IFERROR(IF($C140&lt;1,"",Z$3*일별반별!AC140),0)</f>
        <v/>
      </c>
      <c r="AA140" s="395" t="str">
        <f>IFERROR(IF($C140&lt;1,"",AA$3*일별반별!AD140),0)</f>
        <v/>
      </c>
      <c r="AB140" s="395" t="str">
        <f>IFERROR(IF($C140&lt;1,"",AB$3*일별반별!AE140),0)</f>
        <v/>
      </c>
      <c r="AC140" s="208" t="str">
        <f>IFERROR(IF($C140&lt;1,"",AC$3*일별반별!AF140),0)</f>
        <v/>
      </c>
      <c r="AD140" s="208" t="str">
        <f>IFERROR(IF($C140&lt;1,"",AD$3*일별반별!AG140),0)</f>
        <v/>
      </c>
      <c r="AE140" s="208" t="str">
        <f>IFERROR(IF($C140&lt;1,"",AE$3*일별반별!AH140),0)</f>
        <v/>
      </c>
      <c r="AF140" s="395" t="str">
        <f>IFERROR(IF($C140&lt;1,"",AF$3*일별반별!AI140),0)</f>
        <v/>
      </c>
      <c r="AG140" s="395" t="str">
        <f>IFERROR(IF($C140&lt;1,"",AG$3*일별반별!AJ140),0)</f>
        <v/>
      </c>
      <c r="AH140" s="395" t="str">
        <f>IFERROR(IF($C140&lt;1,"",AH$3*일별반별!AK140),0)</f>
        <v/>
      </c>
      <c r="AI140" s="395" t="str">
        <f>IFERROR(IF($C140&lt;1,"",AI$3*일별반별!AL140),0)</f>
        <v/>
      </c>
      <c r="AJ140" s="395" t="str">
        <f>IFERROR(IF($C140&lt;1,"",AJ$3*일별반별!AM140),0)</f>
        <v/>
      </c>
      <c r="AK140" s="395" t="str">
        <f>IFERROR(IF($C140&lt;1,"",AK$3*일별반별!AN140),0)</f>
        <v/>
      </c>
      <c r="AL140" s="395" t="str">
        <f>IFERROR(IF($C140&lt;1,"",AL$3*일별반별!AO140),0)</f>
        <v/>
      </c>
      <c r="AM140" s="395" t="str">
        <f>IFERROR(IF($C140&lt;1,"",AM$3*일별반별!AP140),0)</f>
        <v/>
      </c>
      <c r="AN140" s="395" t="str">
        <f>IFERROR(IF($C140&lt;1,"",AN$3*일별반별!AQ140),0)</f>
        <v/>
      </c>
      <c r="AO140" s="395" t="str">
        <f>IFERROR(IF($C140&lt;1,"",AO$3*일별반별!AR140),0)</f>
        <v/>
      </c>
      <c r="AP140" s="347" t="str">
        <f>IFERROR(IF($C140&lt;1,"",AP$3*일별반별!AS140),0)</f>
        <v/>
      </c>
      <c r="AQ140" s="347" t="str">
        <f>IFERROR(IF($C140&lt;1,"",AQ$3*일별반별!AT140),0)</f>
        <v/>
      </c>
      <c r="AR140" s="316" t="str">
        <f>IFERROR(IF($C140&lt;1,"",AR$3*일별반별!AU140),0)</f>
        <v/>
      </c>
      <c r="AS140" s="401" t="str">
        <f>IFERROR(IF($C140&lt;1,"",AS$3*일별반별!AV140),0)</f>
        <v/>
      </c>
      <c r="AT140" s="401" t="str">
        <f>IFERROR(IF($C140&lt;1,"",AT$3*일별반별!AW140),0)</f>
        <v/>
      </c>
      <c r="AU140" s="401" t="str">
        <f>IFERROR(IF($C140&lt;1,"",AU$3*일별반별!AX140),0)</f>
        <v/>
      </c>
      <c r="AV140" s="401" t="str">
        <f>IFERROR(IF($C140&lt;1,"",AV$3*일별반별!AY140),0)</f>
        <v/>
      </c>
      <c r="AW140" s="401" t="str">
        <f>IFERROR(IF($C140&lt;1,"",AW$3*일별반별!AZ140),0)</f>
        <v/>
      </c>
      <c r="AX140" s="401" t="str">
        <f>IFERROR(IF($C140&lt;1,"",AX$3*일별반별!BA140),0)</f>
        <v/>
      </c>
      <c r="AY140" s="401" t="str">
        <f>IFERROR(IF($C140&lt;1,"",AY$3*일별반별!BB140),0)</f>
        <v/>
      </c>
      <c r="AZ140" s="401" t="str">
        <f>IFERROR(IF($C140&lt;1,"",AZ$3*일별반별!BC140),0)</f>
        <v/>
      </c>
      <c r="BA140" s="401" t="str">
        <f>IFERROR(IF($C140&lt;1,"",BA$3*일별반별!BD140),0)</f>
        <v/>
      </c>
      <c r="BB140" s="402" t="str">
        <f>IFERROR(IF($C140&lt;1,"",BB$3*일별반별!BE140),0)</f>
        <v/>
      </c>
      <c r="BC140" s="402" t="str">
        <f>IFERROR(IF($C140&lt;1,"",BC$3*일별반별!BF140),0)</f>
        <v/>
      </c>
      <c r="BD140" s="402" t="str">
        <f>IFERROR(IF($C140&lt;1,"",BD$3*일별반별!BG140),0)</f>
        <v/>
      </c>
      <c r="BE140" s="402" t="str">
        <f>IFERROR(IF($C140&lt;1,"",BE$3*일별반별!BH140),0)</f>
        <v/>
      </c>
      <c r="BF140" s="402" t="str">
        <f>IFERROR(IF($C140&lt;1,"",BF$3*일별반별!BI140),0)</f>
        <v/>
      </c>
      <c r="BG140" s="402" t="str">
        <f>IFERROR(IF($C140&lt;1,"",BG$3*일별반별!BJ140),0)</f>
        <v/>
      </c>
      <c r="BH140" s="402" t="str">
        <f>IFERROR(IF($C140&lt;1,"",BH$3*일별반별!BK140),0)</f>
        <v/>
      </c>
      <c r="BI140" s="402" t="str">
        <f>IFERROR(IF($C140&lt;1,"",BI$3*일별반별!BL140),0)</f>
        <v/>
      </c>
      <c r="BJ140" s="402" t="str">
        <f>IFERROR(IF($C140&lt;1,"",BJ$3*일별반별!BM140),0)</f>
        <v/>
      </c>
      <c r="BK140" s="402" t="str">
        <f>IFERROR(IF($C140&lt;1,"",BK$3*일별반별!BN140),0)</f>
        <v/>
      </c>
      <c r="BL140" s="402" t="str">
        <f>IFERROR(IF($C140&lt;1,"",BL$3*일별반별!BH140),0)</f>
        <v/>
      </c>
      <c r="BM140" s="402" t="str">
        <f>IFERROR(IF($C140&lt;1,"",BM$3*일별반별!BP140),0)</f>
        <v/>
      </c>
      <c r="BN140" s="401" t="str">
        <f>IFERROR(IF($C140&lt;1,"",BN$3*일별반별!BQ140),0)</f>
        <v/>
      </c>
      <c r="BO140" s="401" t="str">
        <f>IFERROR(IF($C140&lt;1,"",BO$3*일별반별!BR140),0)</f>
        <v/>
      </c>
      <c r="BP140" s="401" t="str">
        <f>IFERROR(IF($C140&lt;1,"",BP$3*일별반별!BS140),0)</f>
        <v/>
      </c>
      <c r="BQ140" s="401" t="str">
        <f>IFERROR(IF($C140&lt;1,"",BQ$3*일별반별!BT140),0)</f>
        <v/>
      </c>
      <c r="BR140" s="417" t="str">
        <f>IFERROR(IF($C140&lt;1,"",BR$3*일별반별!BU140),0)</f>
        <v/>
      </c>
      <c r="BS140" s="417" t="str">
        <f>IFERROR(IF($C140&lt;1,"",BS$3*일별반별!BV140),0)</f>
        <v/>
      </c>
      <c r="BT140" s="417" t="str">
        <f>IFERROR(IF($C140&lt;1,"",BT$3*일별반별!BW140),0)</f>
        <v/>
      </c>
      <c r="BU140" s="316" t="str">
        <f>IFERROR(IF($C140&lt;1,"",BU$3*일별반별!BX140),0)</f>
        <v/>
      </c>
      <c r="BV140" s="316" t="str">
        <f>IFERROR(IF($C140&lt;1,"",BV$3*일별반별!BY140),0)</f>
        <v/>
      </c>
      <c r="BW140" s="316" t="str">
        <f>IFERROR(IF($C140&lt;1,"",BW$3*일별반별!BZ140),0)</f>
        <v/>
      </c>
      <c r="BX140" s="316" t="str">
        <f>IFERROR(IF($C140&lt;1,"",BX$3*일별반별!CA140),0)</f>
        <v/>
      </c>
      <c r="BY140" s="316" t="str">
        <f>IFERROR(IF($C140&lt;1,"",BY$3*일별반별!CB140),0)</f>
        <v/>
      </c>
      <c r="BZ140" s="316" t="str">
        <f>IFERROR(IF($C140&lt;1,"",BZ$3*일별반별!CC140),0)</f>
        <v/>
      </c>
      <c r="CA140" s="316" t="str">
        <f>IFERROR(IF($C140&lt;1,"",CA$3*일별반별!CD140),0)</f>
        <v/>
      </c>
      <c r="CB140" s="316" t="str">
        <f>IFERROR(IF($C140&lt;1,"",CB$3*일별반별!CE140),0)</f>
        <v/>
      </c>
      <c r="CC140" s="316" t="str">
        <f>IFERROR(IF($C140&lt;1,"",CC$3*일별반별!CF140),0)</f>
        <v/>
      </c>
      <c r="CD140" s="316" t="str">
        <f>IFERROR(IF($C140&lt;1,"",CD$3*일별반별!CG140),0)</f>
        <v/>
      </c>
      <c r="CE140" s="316" t="str">
        <f>IFERROR(IF($C140&lt;1,"",CE$3*일별반별!CH140),0)</f>
        <v/>
      </c>
      <c r="CF140" s="316" t="str">
        <f>IFERROR(IF($C140&lt;1,"",CF$3*일별반별!CI140),0)</f>
        <v/>
      </c>
      <c r="CG140" s="316" t="str">
        <f>IFERROR(IF($C140&lt;1,"",CG$3*일별반별!CJ140),0)</f>
        <v/>
      </c>
      <c r="CH140" s="316" t="str">
        <f>IFERROR(IF($C140&lt;1,"",CH$3*일별반별!CK140),0)</f>
        <v/>
      </c>
      <c r="CI140" s="316" t="str">
        <f>IFERROR(IF($C140&lt;1,"",CI$3*일별반별!CL140),0)</f>
        <v/>
      </c>
      <c r="CJ140" s="316" t="str">
        <f>IFERROR(IF($C140&lt;1,"",CJ$3*일별반별!CM140),0)</f>
        <v/>
      </c>
      <c r="CK140" s="316" t="str">
        <f>IFERROR(IF($C140&lt;1,"",CK$3*일별반별!CN140),0)</f>
        <v/>
      </c>
      <c r="CL140" s="316" t="str">
        <f>IFERROR(IF($C140&lt;1,"",CL$3*일별반별!CO140),0)</f>
        <v/>
      </c>
      <c r="CM140" s="316" t="str">
        <f>IFERROR(IF($C140&lt;1,"",CM$3*일별반별!CP140),0)</f>
        <v/>
      </c>
      <c r="CN140" s="316" t="str">
        <f>IFERROR(IF($C140&lt;1,"",CN$3*일별반별!CQ140),0)</f>
        <v/>
      </c>
      <c r="CO140" s="316" t="str">
        <f>IFERROR(IF($C140&lt;1,"",CO$3*일별반별!CR140),0)</f>
        <v/>
      </c>
      <c r="CP140" s="316" t="str">
        <f>IFERROR(IF($C140&lt;1,"",CP$3*일별반별!CS140),0)</f>
        <v/>
      </c>
      <c r="CQ140" s="316" t="str">
        <f>IFERROR(IF($C140&lt;1,"",CQ$3*일별반별!CT140),0)</f>
        <v/>
      </c>
      <c r="CR140" s="418" t="str">
        <f>IFERROR(IF($C140&lt;1,"",CR$3*일별반별!CU140),0)</f>
        <v/>
      </c>
      <c r="CS140" s="418" t="str">
        <f>IFERROR(IF($C140&lt;1,"",CS$3*일별반별!CV140),0)</f>
        <v/>
      </c>
      <c r="CT140" s="316" t="str">
        <f>IFERROR(IF($C140&lt;1,"",CT$3*일별반별!CW140),0)</f>
        <v/>
      </c>
      <c r="CU140" s="316" t="str">
        <f>IFERROR(IF($C140&lt;1,"",CU$3*일별반별!CX140),0)</f>
        <v/>
      </c>
      <c r="CV140" s="316" t="str">
        <f>IFERROR(IF($C140&lt;1,"",CV$3*일별반별!CY140),0)</f>
        <v/>
      </c>
      <c r="CW140" s="316" t="str">
        <f>IFERROR(IF($C140&lt;1,"",CW$3*일별반별!CZ140),0)</f>
        <v/>
      </c>
      <c r="CX140" s="316" t="str">
        <f>IFERROR(IF($C140&lt;1,"",CX$3*일별반별!DA140),0)</f>
        <v/>
      </c>
      <c r="CY140" s="316" t="str">
        <f>IF(C140&lt;1,"",(CY$3*'09월 조업일지'!AV$7))</f>
        <v/>
      </c>
      <c r="CZ140" s="316" t="str">
        <f t="shared" si="8"/>
        <v/>
      </c>
      <c r="DA140" s="316" t="str">
        <f t="shared" si="8"/>
        <v/>
      </c>
      <c r="DB140" s="316" t="str">
        <f t="shared" si="8"/>
        <v/>
      </c>
      <c r="DC140" s="316"/>
      <c r="DD140" s="419"/>
    </row>
    <row r="141" spans="1:108" ht="15" customHeight="1">
      <c r="A141" s="327">
        <f>A136+1</f>
        <v>44040</v>
      </c>
      <c r="B141" s="328" t="s">
        <v>31</v>
      </c>
      <c r="C141" s="329">
        <f>COUNTIF('09월 조업일지'!$A$12:$A$952,A141)</f>
        <v>0</v>
      </c>
      <c r="D141" s="330">
        <f>IF(C141&lt;1,0,(SUM(E141:CX141)/(일별반별!BV141-1.5)+(CY141+CZ141+DA141+DB141)))</f>
        <v>0</v>
      </c>
      <c r="E141" s="331"/>
      <c r="F141" s="331"/>
      <c r="G141" s="332"/>
      <c r="H141" s="333"/>
      <c r="I141" s="333"/>
      <c r="J141" s="334"/>
      <c r="K141" s="334"/>
      <c r="L141" s="334"/>
      <c r="M141" s="334"/>
      <c r="N141" s="334"/>
      <c r="O141" s="334"/>
      <c r="P141" s="334"/>
      <c r="Q141" s="335"/>
      <c r="R141" s="334"/>
      <c r="S141" s="335"/>
      <c r="T141" s="334"/>
      <c r="U141" s="337" t="str">
        <f>IFERROR(IF($C141&lt;1,"",U$3*일별반별!X141),0)</f>
        <v/>
      </c>
      <c r="V141" s="337" t="str">
        <f>IFERROR(IF($C141&lt;1,"",V$3*일별반별!Y141),0)</f>
        <v/>
      </c>
      <c r="W141" s="337" t="str">
        <f>IFERROR(IF($C141&lt;1,"",W$3*일별반별!Z141),0)</f>
        <v/>
      </c>
      <c r="X141" s="336" t="str">
        <f>IFERROR(IF($C141&lt;1,"",X$3*일별반별!AA141),0)</f>
        <v/>
      </c>
      <c r="Y141" s="336" t="str">
        <f>IFERROR(IF($C141&lt;1,"",Y$3*일별반별!AB141),0)</f>
        <v/>
      </c>
      <c r="Z141" s="336" t="str">
        <f>IFERROR(IF($C141&lt;1,"",Z$3*일별반별!AC141),0)</f>
        <v/>
      </c>
      <c r="AA141" s="337" t="str">
        <f>IFERROR(IF($C141&lt;1,"",AA$3*일별반별!AD141),0)</f>
        <v/>
      </c>
      <c r="AB141" s="337" t="str">
        <f>IFERROR(IF($C141&lt;1,"",AB$3*일별반별!AE141),0)</f>
        <v/>
      </c>
      <c r="AC141" s="336" t="str">
        <f>IFERROR(IF($C141&lt;1,"",AC$3*일별반별!AF141),0)</f>
        <v/>
      </c>
      <c r="AD141" s="336" t="str">
        <f>IFERROR(IF($C141&lt;1,"",AD$3*일별반별!AG141),0)</f>
        <v/>
      </c>
      <c r="AE141" s="336" t="str">
        <f>IFERROR(IF($C141&lt;1,"",AE$3*일별반별!AH141),0)</f>
        <v/>
      </c>
      <c r="AF141" s="337" t="str">
        <f>IFERROR(IF($C141&lt;1,"",AF$3*일별반별!AI141),0)</f>
        <v/>
      </c>
      <c r="AG141" s="337" t="str">
        <f>IFERROR(IF($C141&lt;1,"",AG$3*일별반별!AJ141),0)</f>
        <v/>
      </c>
      <c r="AH141" s="337" t="str">
        <f>IFERROR(IF($C141&lt;1,"",AH$3*일별반별!AK141),0)</f>
        <v/>
      </c>
      <c r="AI141" s="337" t="str">
        <f>IFERROR(IF($C141&lt;1,"",AI$3*일별반별!AL141),0)</f>
        <v/>
      </c>
      <c r="AJ141" s="337" t="str">
        <f>IFERROR(IF($C141&lt;1,"",AJ$3*일별반별!AM141),0)</f>
        <v/>
      </c>
      <c r="AK141" s="337" t="str">
        <f>IFERROR(IF($C141&lt;1,"",AK$3*일별반별!AN141),0)</f>
        <v/>
      </c>
      <c r="AL141" s="337" t="str">
        <f>IFERROR(IF($C141&lt;1,"",AL$3*일별반별!AO141),0)</f>
        <v/>
      </c>
      <c r="AM141" s="337" t="str">
        <f>IFERROR(IF($C141&lt;1,"",AM$3*일별반별!AP141),0)</f>
        <v/>
      </c>
      <c r="AN141" s="337" t="str">
        <f>IFERROR(IF($C141&lt;1,"",AN$3*일별반별!AQ141),0)</f>
        <v/>
      </c>
      <c r="AO141" s="337" t="str">
        <f>IFERROR(IF($C141&lt;1,"",AO$3*일별반별!AR141),0)</f>
        <v/>
      </c>
      <c r="AP141" s="337" t="str">
        <f>IFERROR(IF($C141&lt;1,"",AP$3*일별반별!AS141),0)</f>
        <v/>
      </c>
      <c r="AQ141" s="337" t="str">
        <f>IFERROR(IF($C141&lt;1,"",AQ$3*일별반별!AT141),0)</f>
        <v/>
      </c>
      <c r="AR141" s="337" t="str">
        <f>IFERROR(IF($C141&lt;1,"",AR$3*일별반별!AU141),0)</f>
        <v/>
      </c>
      <c r="AS141" s="403" t="str">
        <f>IFERROR(IF($C141&lt;1,"",AS$3*일별반별!AV141),0)</f>
        <v/>
      </c>
      <c r="AT141" s="403" t="str">
        <f>IFERROR(IF($C141&lt;1,"",AT$3*일별반별!AW141),0)</f>
        <v/>
      </c>
      <c r="AU141" s="403" t="str">
        <f>IFERROR(IF($C141&lt;1,"",AU$3*일별반별!AX141),0)</f>
        <v/>
      </c>
      <c r="AV141" s="403" t="str">
        <f>IFERROR(IF($C141&lt;1,"",AV$3*일별반별!AY141),0)</f>
        <v/>
      </c>
      <c r="AW141" s="403" t="str">
        <f>IFERROR(IF($C141&lt;1,"",AW$3*일별반별!AZ141),0)</f>
        <v/>
      </c>
      <c r="AX141" s="403" t="str">
        <f>IFERROR(IF($C141&lt;1,"",AX$3*일별반별!BA141),0)</f>
        <v/>
      </c>
      <c r="AY141" s="403" t="str">
        <f>IFERROR(IF($C141&lt;1,"",AY$3*일별반별!BB141),0)</f>
        <v/>
      </c>
      <c r="AZ141" s="403" t="str">
        <f>IFERROR(IF($C141&lt;1,"",AZ$3*일별반별!BC141),0)</f>
        <v/>
      </c>
      <c r="BA141" s="403" t="str">
        <f>IFERROR(IF($C141&lt;1,"",BA$3*일별반별!BD141),0)</f>
        <v/>
      </c>
      <c r="BB141" s="403" t="str">
        <f>IFERROR(IF($C141&lt;1,"",BB$3*일별반별!BE141),0)</f>
        <v/>
      </c>
      <c r="BC141" s="403" t="str">
        <f>IFERROR(IF($C141&lt;1,"",BC$3*일별반별!BF141),0)</f>
        <v/>
      </c>
      <c r="BD141" s="403" t="str">
        <f>IFERROR(IF($C141&lt;1,"",BD$3*일별반별!BG141),0)</f>
        <v/>
      </c>
      <c r="BE141" s="403" t="str">
        <f>IFERROR(IF($C141&lt;1,"",BE$3*일별반별!BH141),0)</f>
        <v/>
      </c>
      <c r="BF141" s="403" t="str">
        <f>IFERROR(IF($C141&lt;1,"",BF$3*일별반별!BI141),0)</f>
        <v/>
      </c>
      <c r="BG141" s="403" t="str">
        <f>IFERROR(IF($C141&lt;1,"",BG$3*일별반별!BJ141),0)</f>
        <v/>
      </c>
      <c r="BH141" s="403" t="str">
        <f>IFERROR(IF($C141&lt;1,"",BH$3*일별반별!BK141),0)</f>
        <v/>
      </c>
      <c r="BI141" s="403" t="str">
        <f>IFERROR(IF($C141&lt;1,"",BI$3*일별반별!BL141),0)</f>
        <v/>
      </c>
      <c r="BJ141" s="403" t="str">
        <f>IFERROR(IF($C141&lt;1,"",BJ$3*일별반별!BM141),0)</f>
        <v/>
      </c>
      <c r="BK141" s="403" t="str">
        <f>IFERROR(IF($C141&lt;1,"",BK$3*일별반별!BN141),0)</f>
        <v/>
      </c>
      <c r="BL141" s="403" t="str">
        <f>IFERROR(IF($C141&lt;1,"",BL$3*일별반별!BH141),0)</f>
        <v/>
      </c>
      <c r="BM141" s="403" t="str">
        <f>IFERROR(IF($C141&lt;1,"",BM$3*일별반별!BP141),0)</f>
        <v/>
      </c>
      <c r="BN141" s="403" t="str">
        <f>IFERROR(IF($C141&lt;1,"",BN$3*일별반별!BQ141),0)</f>
        <v/>
      </c>
      <c r="BO141" s="403" t="str">
        <f>IFERROR(IF($C141&lt;1,"",BO$3*일별반별!BR141),0)</f>
        <v/>
      </c>
      <c r="BP141" s="403" t="str">
        <f>IFERROR(IF($C141&lt;1,"",BP$3*일별반별!BS141),0)</f>
        <v/>
      </c>
      <c r="BQ141" s="403" t="str">
        <f>IFERROR(IF($C141&lt;1,"",BQ$3*일별반별!BT141),0)</f>
        <v/>
      </c>
      <c r="BR141" s="337" t="str">
        <f>IFERROR(IF($C141&lt;1,"",BR$3*일별반별!BU141),0)</f>
        <v/>
      </c>
      <c r="BS141" s="337" t="str">
        <f>IFERROR(IF($C141&lt;1,"",BS$3*일별반별!BV141),0)</f>
        <v/>
      </c>
      <c r="BT141" s="337" t="str">
        <f>IFERROR(IF($C141&lt;1,"",BT$3*일별반별!BW141),0)</f>
        <v/>
      </c>
      <c r="BU141" s="337" t="str">
        <f>IFERROR(IF($C141&lt;1,"",BU$3*일별반별!BX141),0)</f>
        <v/>
      </c>
      <c r="BV141" s="337" t="str">
        <f>IFERROR(IF($C141&lt;1,"",BV$3*일별반별!BY141),0)</f>
        <v/>
      </c>
      <c r="BW141" s="337" t="str">
        <f>IFERROR(IF($C141&lt;1,"",BW$3*일별반별!BZ141),0)</f>
        <v/>
      </c>
      <c r="BX141" s="337" t="str">
        <f>IFERROR(IF($C141&lt;1,"",BX$3*일별반별!CA141),0)</f>
        <v/>
      </c>
      <c r="BY141" s="337" t="str">
        <f>IFERROR(IF($C141&lt;1,"",BY$3*일별반별!CB141),0)</f>
        <v/>
      </c>
      <c r="BZ141" s="337" t="str">
        <f>IFERROR(IF($C141&lt;1,"",BZ$3*일별반별!CC141),0)</f>
        <v/>
      </c>
      <c r="CA141" s="337" t="str">
        <f>IFERROR(IF($C141&lt;1,"",CA$3*일별반별!CD141),0)</f>
        <v/>
      </c>
      <c r="CB141" s="337" t="str">
        <f>IFERROR(IF($C141&lt;1,"",CB$3*일별반별!CE141),0)</f>
        <v/>
      </c>
      <c r="CC141" s="337" t="str">
        <f>IFERROR(IF($C141&lt;1,"",CC$3*일별반별!CF141),0)</f>
        <v/>
      </c>
      <c r="CD141" s="337" t="str">
        <f>IFERROR(IF($C141&lt;1,"",CD$3*일별반별!CG141),0)</f>
        <v/>
      </c>
      <c r="CE141" s="337" t="str">
        <f>IFERROR(IF($C141&lt;1,"",CE$3*일별반별!CH141),0)</f>
        <v/>
      </c>
      <c r="CF141" s="337" t="str">
        <f>IFERROR(IF($C141&lt;1,"",CF$3*일별반별!CI141),0)</f>
        <v/>
      </c>
      <c r="CG141" s="337" t="str">
        <f>IFERROR(IF($C141&lt;1,"",CG$3*일별반별!CJ141),0)</f>
        <v/>
      </c>
      <c r="CH141" s="337" t="str">
        <f>IFERROR(IF($C141&lt;1,"",CH$3*일별반별!CK141),0)</f>
        <v/>
      </c>
      <c r="CI141" s="337" t="str">
        <f>IFERROR(IF($C141&lt;1,"",CI$3*일별반별!CL141),0)</f>
        <v/>
      </c>
      <c r="CJ141" s="337" t="str">
        <f>IFERROR(IF($C141&lt;1,"",CJ$3*일별반별!CM141),0)</f>
        <v/>
      </c>
      <c r="CK141" s="337" t="str">
        <f>IFERROR(IF($C141&lt;1,"",CK$3*일별반별!CN141),0)</f>
        <v/>
      </c>
      <c r="CL141" s="337" t="str">
        <f>IFERROR(IF($C141&lt;1,"",CL$3*일별반별!CO141),0)</f>
        <v/>
      </c>
      <c r="CM141" s="337" t="str">
        <f>IFERROR(IF($C141&lt;1,"",CM$3*일별반별!CP141),0)</f>
        <v/>
      </c>
      <c r="CN141" s="337" t="str">
        <f>IFERROR(IF($C141&lt;1,"",CN$3*일별반별!CQ141),0)</f>
        <v/>
      </c>
      <c r="CO141" s="337" t="str">
        <f>IFERROR(IF($C141&lt;1,"",CO$3*일별반별!CR141),0)</f>
        <v/>
      </c>
      <c r="CP141" s="337" t="str">
        <f>IFERROR(IF($C141&lt;1,"",CP$3*일별반별!CS141),0)</f>
        <v/>
      </c>
      <c r="CQ141" s="337" t="str">
        <f>IFERROR(IF($C141&lt;1,"",CQ$3*일별반별!CT141),0)</f>
        <v/>
      </c>
      <c r="CR141" s="420" t="str">
        <f>IFERROR(IF($C141&lt;1,"",CR$3*일별반별!CU141),0)</f>
        <v/>
      </c>
      <c r="CS141" s="420" t="str">
        <f>IFERROR(IF($C141&lt;1,"",CS$3*일별반별!CV141),0)</f>
        <v/>
      </c>
      <c r="CT141" s="337" t="str">
        <f>IFERROR(IF($C141&lt;1,"",CT$3*일별반별!CW141),0)</f>
        <v/>
      </c>
      <c r="CU141" s="337" t="str">
        <f>IFERROR(IF($C141&lt;1,"",CU$3*일별반별!CX141),0)</f>
        <v/>
      </c>
      <c r="CV141" s="337" t="str">
        <f>IFERROR(IF($C141&lt;1,"",CV$3*일별반별!CY141),0)</f>
        <v/>
      </c>
      <c r="CW141" s="337" t="str">
        <f>IFERROR(IF($C141&lt;1,"",CW$3*일별반별!CZ141),0)</f>
        <v/>
      </c>
      <c r="CX141" s="337" t="str">
        <f>IFERROR(IF($C141&lt;1,"",CX$3*일별반별!DA141),0)</f>
        <v/>
      </c>
      <c r="CY141" s="316" t="str">
        <f>IF(C141&lt;1,"",(CY$3*'09월 조업일지'!AV$7))</f>
        <v/>
      </c>
      <c r="CZ141" s="316" t="str">
        <f t="shared" si="8"/>
        <v/>
      </c>
      <c r="DA141" s="316" t="str">
        <f t="shared" si="8"/>
        <v/>
      </c>
      <c r="DB141" s="316" t="str">
        <f t="shared" si="8"/>
        <v/>
      </c>
      <c r="DC141" s="316"/>
      <c r="DD141" s="419"/>
    </row>
    <row r="142" spans="1:108" ht="15" customHeight="1">
      <c r="A142" s="274">
        <f t="shared" si="6"/>
        <v>44040</v>
      </c>
      <c r="B142" s="275" t="s">
        <v>9</v>
      </c>
      <c r="C142" s="201">
        <f>COUNTIFS('09월 조업일지'!$A$12:$A$952,A141,'09월 조업일지'!$E$12:$E$952,B142)</f>
        <v>0</v>
      </c>
      <c r="D142" s="314">
        <f>IF(C142&lt;1,0,(SUM(E142:CX142)/(일별반별!BV142-1.5)+(CY142+CZ142+DA142+DB142)))</f>
        <v>0</v>
      </c>
      <c r="E142" s="278"/>
      <c r="F142" s="281"/>
      <c r="G142" s="282"/>
      <c r="H142" s="283"/>
      <c r="I142" s="283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326"/>
      <c r="U142" s="395" t="str">
        <f>IFERROR(IF($C142&lt;1,"",U$3*일별반별!X142),0)</f>
        <v/>
      </c>
      <c r="V142" s="395" t="str">
        <f>IFERROR(IF($C142&lt;1,"",V$3*일별반별!Y142),0)</f>
        <v/>
      </c>
      <c r="W142" s="395" t="str">
        <f>IFERROR(IF($C142&lt;1,"",W$3*일별반별!Z142),0)</f>
        <v/>
      </c>
      <c r="X142" s="208" t="str">
        <f>IFERROR(IF($C142&lt;1,"",X$3*일별반별!AA142),0)</f>
        <v/>
      </c>
      <c r="Y142" s="208" t="str">
        <f>IFERROR(IF($C142&lt;1,"",Y$3*일별반별!AB142),0)</f>
        <v/>
      </c>
      <c r="Z142" s="208" t="str">
        <f>IFERROR(IF($C142&lt;1,"",Z$3*일별반별!AC142),0)</f>
        <v/>
      </c>
      <c r="AA142" s="395" t="str">
        <f>IFERROR(IF($C142&lt;1,"",AA$3*일별반별!AD142),0)</f>
        <v/>
      </c>
      <c r="AB142" s="395" t="str">
        <f>IFERROR(IF($C142&lt;1,"",AB$3*일별반별!AE142),0)</f>
        <v/>
      </c>
      <c r="AC142" s="208" t="str">
        <f>IFERROR(IF($C142&lt;1,"",AC$3*일별반별!AF142),0)</f>
        <v/>
      </c>
      <c r="AD142" s="208" t="str">
        <f>IFERROR(IF($C142&lt;1,"",AD$3*일별반별!AG142),0)</f>
        <v/>
      </c>
      <c r="AE142" s="208" t="str">
        <f>IFERROR(IF($C142&lt;1,"",AE$3*일별반별!AH142),0)</f>
        <v/>
      </c>
      <c r="AF142" s="395" t="str">
        <f>IFERROR(IF($C142&lt;1,"",AF$3*일별반별!AI142),0)</f>
        <v/>
      </c>
      <c r="AG142" s="395" t="str">
        <f>IFERROR(IF($C142&lt;1,"",AG$3*일별반별!AJ142),0)</f>
        <v/>
      </c>
      <c r="AH142" s="395" t="str">
        <f>IFERROR(IF($C142&lt;1,"",AH$3*일별반별!AK142),0)</f>
        <v/>
      </c>
      <c r="AI142" s="395" t="str">
        <f>IFERROR(IF($C142&lt;1,"",AI$3*일별반별!AL142),0)</f>
        <v/>
      </c>
      <c r="AJ142" s="395" t="str">
        <f>IFERROR(IF($C142&lt;1,"",AJ$3*일별반별!AM142),0)</f>
        <v/>
      </c>
      <c r="AK142" s="395" t="str">
        <f>IFERROR(IF($C142&lt;1,"",AK$3*일별반별!AN142),0)</f>
        <v/>
      </c>
      <c r="AL142" s="395" t="str">
        <f>IFERROR(IF($C142&lt;1,"",AL$3*일별반별!AO142),0)</f>
        <v/>
      </c>
      <c r="AM142" s="395" t="str">
        <f>IFERROR(IF($C142&lt;1,"",AM$3*일별반별!AP142),0)</f>
        <v/>
      </c>
      <c r="AN142" s="395" t="str">
        <f>IFERROR(IF($C142&lt;1,"",AN$3*일별반별!AQ142),0)</f>
        <v/>
      </c>
      <c r="AO142" s="395" t="str">
        <f>IFERROR(IF($C142&lt;1,"",AO$3*일별반별!AR142),0)</f>
        <v/>
      </c>
      <c r="AP142" s="347" t="str">
        <f>IFERROR(IF($C142&lt;1,"",AP$3*일별반별!AS142),0)</f>
        <v/>
      </c>
      <c r="AQ142" s="347" t="str">
        <f>IFERROR(IF($C142&lt;1,"",AQ$3*일별반별!AT142),0)</f>
        <v/>
      </c>
      <c r="AR142" s="316" t="str">
        <f>IFERROR(IF($C142&lt;1,"",AR$3*일별반별!AU142),0)</f>
        <v/>
      </c>
      <c r="AS142" s="401" t="str">
        <f>IFERROR(IF($C142&lt;1,"",AS$3*일별반별!AV142),0)</f>
        <v/>
      </c>
      <c r="AT142" s="401" t="str">
        <f>IFERROR(IF($C142&lt;1,"",AT$3*일별반별!AW142),0)</f>
        <v/>
      </c>
      <c r="AU142" s="401" t="str">
        <f>IFERROR(IF($C142&lt;1,"",AU$3*일별반별!AX142),0)</f>
        <v/>
      </c>
      <c r="AV142" s="401" t="str">
        <f>IFERROR(IF($C142&lt;1,"",AV$3*일별반별!AY142),0)</f>
        <v/>
      </c>
      <c r="AW142" s="401" t="str">
        <f>IFERROR(IF($C142&lt;1,"",AW$3*일별반별!AZ142),0)</f>
        <v/>
      </c>
      <c r="AX142" s="401" t="str">
        <f>IFERROR(IF($C142&lt;1,"",AX$3*일별반별!BA142),0)</f>
        <v/>
      </c>
      <c r="AY142" s="401" t="str">
        <f>IFERROR(IF($C142&lt;1,"",AY$3*일별반별!BB142),0)</f>
        <v/>
      </c>
      <c r="AZ142" s="401" t="str">
        <f>IFERROR(IF($C142&lt;1,"",AZ$3*일별반별!BC142),0)</f>
        <v/>
      </c>
      <c r="BA142" s="401" t="str">
        <f>IFERROR(IF($C142&lt;1,"",BA$3*일별반별!BD142),0)</f>
        <v/>
      </c>
      <c r="BB142" s="402" t="str">
        <f>IFERROR(IF($C142&lt;1,"",BB$3*일별반별!BE142),0)</f>
        <v/>
      </c>
      <c r="BC142" s="402" t="str">
        <f>IFERROR(IF($C142&lt;1,"",BC$3*일별반별!BF142),0)</f>
        <v/>
      </c>
      <c r="BD142" s="402" t="str">
        <f>IFERROR(IF($C142&lt;1,"",BD$3*일별반별!BG142),0)</f>
        <v/>
      </c>
      <c r="BE142" s="402" t="str">
        <f>IFERROR(IF($C142&lt;1,"",BE$3*일별반별!BH142),0)</f>
        <v/>
      </c>
      <c r="BF142" s="402" t="str">
        <f>IFERROR(IF($C142&lt;1,"",BF$3*일별반별!BI142),0)</f>
        <v/>
      </c>
      <c r="BG142" s="402" t="str">
        <f>IFERROR(IF($C142&lt;1,"",BG$3*일별반별!BJ142),0)</f>
        <v/>
      </c>
      <c r="BH142" s="402" t="str">
        <f>IFERROR(IF($C142&lt;1,"",BH$3*일별반별!BK142),0)</f>
        <v/>
      </c>
      <c r="BI142" s="402" t="str">
        <f>IFERROR(IF($C142&lt;1,"",BI$3*일별반별!BL142),0)</f>
        <v/>
      </c>
      <c r="BJ142" s="402" t="str">
        <f>IFERROR(IF($C142&lt;1,"",BJ$3*일별반별!BM142),0)</f>
        <v/>
      </c>
      <c r="BK142" s="402" t="str">
        <f>IFERROR(IF($C142&lt;1,"",BK$3*일별반별!BN142),0)</f>
        <v/>
      </c>
      <c r="BL142" s="402" t="str">
        <f>IFERROR(IF($C142&lt;1,"",BL$3*일별반별!BH142),0)</f>
        <v/>
      </c>
      <c r="BM142" s="402" t="str">
        <f>IFERROR(IF($C142&lt;1,"",BM$3*일별반별!BP142),0)</f>
        <v/>
      </c>
      <c r="BN142" s="401" t="str">
        <f>IFERROR(IF($C142&lt;1,"",BN$3*일별반별!BQ142),0)</f>
        <v/>
      </c>
      <c r="BO142" s="401" t="str">
        <f>IFERROR(IF($C142&lt;1,"",BO$3*일별반별!BR142),0)</f>
        <v/>
      </c>
      <c r="BP142" s="401" t="str">
        <f>IFERROR(IF($C142&lt;1,"",BP$3*일별반별!BS142),0)</f>
        <v/>
      </c>
      <c r="BQ142" s="401" t="str">
        <f>IFERROR(IF($C142&lt;1,"",BQ$3*일별반별!BT142),0)</f>
        <v/>
      </c>
      <c r="BR142" s="417" t="str">
        <f>IFERROR(IF($C142&lt;1,"",BR$3*일별반별!BU142),0)</f>
        <v/>
      </c>
      <c r="BS142" s="417" t="str">
        <f>IFERROR(IF($C142&lt;1,"",BS$3*일별반별!BV142),0)</f>
        <v/>
      </c>
      <c r="BT142" s="417" t="str">
        <f>IFERROR(IF($C142&lt;1,"",BT$3*일별반별!BW142),0)</f>
        <v/>
      </c>
      <c r="BU142" s="316" t="str">
        <f>IFERROR(IF($C142&lt;1,"",BU$3*일별반별!BX142),0)</f>
        <v/>
      </c>
      <c r="BV142" s="316" t="str">
        <f>IFERROR(IF($C142&lt;1,"",BV$3*일별반별!BY142),0)</f>
        <v/>
      </c>
      <c r="BW142" s="316" t="str">
        <f>IFERROR(IF($C142&lt;1,"",BW$3*일별반별!BZ142),0)</f>
        <v/>
      </c>
      <c r="BX142" s="316" t="str">
        <f>IFERROR(IF($C142&lt;1,"",BX$3*일별반별!CA142),0)</f>
        <v/>
      </c>
      <c r="BY142" s="316" t="str">
        <f>IFERROR(IF($C142&lt;1,"",BY$3*일별반별!CB142),0)</f>
        <v/>
      </c>
      <c r="BZ142" s="316" t="str">
        <f>IFERROR(IF($C142&lt;1,"",BZ$3*일별반별!CC142),0)</f>
        <v/>
      </c>
      <c r="CA142" s="316" t="str">
        <f>IFERROR(IF($C142&lt;1,"",CA$3*일별반별!CD142),0)</f>
        <v/>
      </c>
      <c r="CB142" s="316" t="str">
        <f>IFERROR(IF($C142&lt;1,"",CB$3*일별반별!CE142),0)</f>
        <v/>
      </c>
      <c r="CC142" s="316" t="str">
        <f>IFERROR(IF($C142&lt;1,"",CC$3*일별반별!CF142),0)</f>
        <v/>
      </c>
      <c r="CD142" s="316" t="str">
        <f>IFERROR(IF($C142&lt;1,"",CD$3*일별반별!CG142),0)</f>
        <v/>
      </c>
      <c r="CE142" s="316" t="str">
        <f>IFERROR(IF($C142&lt;1,"",CE$3*일별반별!CH142),0)</f>
        <v/>
      </c>
      <c r="CF142" s="316" t="str">
        <f>IFERROR(IF($C142&lt;1,"",CF$3*일별반별!CI142),0)</f>
        <v/>
      </c>
      <c r="CG142" s="316" t="str">
        <f>IFERROR(IF($C142&lt;1,"",CG$3*일별반별!CJ142),0)</f>
        <v/>
      </c>
      <c r="CH142" s="316" t="str">
        <f>IFERROR(IF($C142&lt;1,"",CH$3*일별반별!CK142),0)</f>
        <v/>
      </c>
      <c r="CI142" s="316" t="str">
        <f>IFERROR(IF($C142&lt;1,"",CI$3*일별반별!CL142),0)</f>
        <v/>
      </c>
      <c r="CJ142" s="316" t="str">
        <f>IFERROR(IF($C142&lt;1,"",CJ$3*일별반별!CM142),0)</f>
        <v/>
      </c>
      <c r="CK142" s="316" t="str">
        <f>IFERROR(IF($C142&lt;1,"",CK$3*일별반별!CN142),0)</f>
        <v/>
      </c>
      <c r="CL142" s="316" t="str">
        <f>IFERROR(IF($C142&lt;1,"",CL$3*일별반별!CO142),0)</f>
        <v/>
      </c>
      <c r="CM142" s="316" t="str">
        <f>IFERROR(IF($C142&lt;1,"",CM$3*일별반별!CP142),0)</f>
        <v/>
      </c>
      <c r="CN142" s="316" t="str">
        <f>IFERROR(IF($C142&lt;1,"",CN$3*일별반별!CQ142),0)</f>
        <v/>
      </c>
      <c r="CO142" s="316" t="str">
        <f>IFERROR(IF($C142&lt;1,"",CO$3*일별반별!CR142),0)</f>
        <v/>
      </c>
      <c r="CP142" s="316" t="str">
        <f>IFERROR(IF($C142&lt;1,"",CP$3*일별반별!CS142),0)</f>
        <v/>
      </c>
      <c r="CQ142" s="316" t="str">
        <f>IFERROR(IF($C142&lt;1,"",CQ$3*일별반별!CT142),0)</f>
        <v/>
      </c>
      <c r="CR142" s="418" t="str">
        <f>IFERROR(IF($C142&lt;1,"",CR$3*일별반별!CU142),0)</f>
        <v/>
      </c>
      <c r="CS142" s="418" t="str">
        <f>IFERROR(IF($C142&lt;1,"",CS$3*일별반별!CV142),0)</f>
        <v/>
      </c>
      <c r="CT142" s="316" t="str">
        <f>IFERROR(IF($C142&lt;1,"",CT$3*일별반별!CW142),0)</f>
        <v/>
      </c>
      <c r="CU142" s="316" t="str">
        <f>IFERROR(IF($C142&lt;1,"",CU$3*일별반별!CX142),0)</f>
        <v/>
      </c>
      <c r="CV142" s="316" t="str">
        <f>IFERROR(IF($C142&lt;1,"",CV$3*일별반별!CY142),0)</f>
        <v/>
      </c>
      <c r="CW142" s="316" t="str">
        <f>IFERROR(IF($C142&lt;1,"",CW$3*일별반별!CZ142),0)</f>
        <v/>
      </c>
      <c r="CX142" s="316" t="str">
        <f>IFERROR(IF($C142&lt;1,"",CX$3*일별반별!DA142),0)</f>
        <v/>
      </c>
      <c r="CY142" s="316" t="str">
        <f>IF(C142&lt;1,"",(CY$3*'09월 조업일지'!AV$7))</f>
        <v/>
      </c>
      <c r="CZ142" s="316" t="str">
        <f t="shared" si="8"/>
        <v/>
      </c>
      <c r="DA142" s="316" t="str">
        <f t="shared" si="8"/>
        <v/>
      </c>
      <c r="DB142" s="316" t="str">
        <f t="shared" si="8"/>
        <v/>
      </c>
      <c r="DC142" s="316"/>
      <c r="DD142" s="419"/>
    </row>
    <row r="143" spans="1:108" ht="15" customHeight="1">
      <c r="A143" s="274">
        <f t="shared" si="6"/>
        <v>44040</v>
      </c>
      <c r="B143" s="275" t="s">
        <v>100</v>
      </c>
      <c r="C143" s="201">
        <f>COUNTIFS('09월 조업일지'!$A$12:$A$952,A141,'09월 조업일지'!$E$12:$E$952,B143)</f>
        <v>0</v>
      </c>
      <c r="D143" s="314">
        <f>IF(C143&lt;1,0,(SUM(E143:CX143)/(일별반별!BV143-1.5)+(CY143+CZ143+DA143+DB143)))</f>
        <v>0</v>
      </c>
      <c r="E143" s="278"/>
      <c r="F143" s="281"/>
      <c r="G143" s="282"/>
      <c r="H143" s="283"/>
      <c r="I143" s="283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326"/>
      <c r="U143" s="395" t="str">
        <f>IFERROR(IF($C143&lt;1,"",U$3*일별반별!X143),0)</f>
        <v/>
      </c>
      <c r="V143" s="395" t="str">
        <f>IFERROR(IF($C143&lt;1,"",V$3*일별반별!Y143),0)</f>
        <v/>
      </c>
      <c r="W143" s="395" t="str">
        <f>IFERROR(IF($C143&lt;1,"",W$3*일별반별!Z143),0)</f>
        <v/>
      </c>
      <c r="X143" s="208" t="str">
        <f>IFERROR(IF($C143&lt;1,"",X$3*일별반별!AA143),0)</f>
        <v/>
      </c>
      <c r="Y143" s="208" t="str">
        <f>IFERROR(IF($C143&lt;1,"",Y$3*일별반별!AB143),0)</f>
        <v/>
      </c>
      <c r="Z143" s="208" t="str">
        <f>IFERROR(IF($C143&lt;1,"",Z$3*일별반별!AC143),0)</f>
        <v/>
      </c>
      <c r="AA143" s="395" t="str">
        <f>IFERROR(IF($C143&lt;1,"",AA$3*일별반별!AD143),0)</f>
        <v/>
      </c>
      <c r="AB143" s="395" t="str">
        <f>IFERROR(IF($C143&lt;1,"",AB$3*일별반별!AE143),0)</f>
        <v/>
      </c>
      <c r="AC143" s="208" t="str">
        <f>IFERROR(IF($C143&lt;1,"",AC$3*일별반별!AF143),0)</f>
        <v/>
      </c>
      <c r="AD143" s="208" t="str">
        <f>IFERROR(IF($C143&lt;1,"",AD$3*일별반별!AG143),0)</f>
        <v/>
      </c>
      <c r="AE143" s="208" t="str">
        <f>IFERROR(IF($C143&lt;1,"",AE$3*일별반별!AH143),0)</f>
        <v/>
      </c>
      <c r="AF143" s="395" t="str">
        <f>IFERROR(IF($C143&lt;1,"",AF$3*일별반별!AI143),0)</f>
        <v/>
      </c>
      <c r="AG143" s="395" t="str">
        <f>IFERROR(IF($C143&lt;1,"",AG$3*일별반별!AJ143),0)</f>
        <v/>
      </c>
      <c r="AH143" s="395" t="str">
        <f>IFERROR(IF($C143&lt;1,"",AH$3*일별반별!AK143),0)</f>
        <v/>
      </c>
      <c r="AI143" s="395" t="str">
        <f>IFERROR(IF($C143&lt;1,"",AI$3*일별반별!AL143),0)</f>
        <v/>
      </c>
      <c r="AJ143" s="395" t="str">
        <f>IFERROR(IF($C143&lt;1,"",AJ$3*일별반별!AM143),0)</f>
        <v/>
      </c>
      <c r="AK143" s="395" t="str">
        <f>IFERROR(IF($C143&lt;1,"",AK$3*일별반별!AN143),0)</f>
        <v/>
      </c>
      <c r="AL143" s="395" t="str">
        <f>IFERROR(IF($C143&lt;1,"",AL$3*일별반별!AO143),0)</f>
        <v/>
      </c>
      <c r="AM143" s="395" t="str">
        <f>IFERROR(IF($C143&lt;1,"",AM$3*일별반별!AP143),0)</f>
        <v/>
      </c>
      <c r="AN143" s="395" t="str">
        <f>IFERROR(IF($C143&lt;1,"",AN$3*일별반별!AQ143),0)</f>
        <v/>
      </c>
      <c r="AO143" s="395" t="str">
        <f>IFERROR(IF($C143&lt;1,"",AO$3*일별반별!AR143),0)</f>
        <v/>
      </c>
      <c r="AP143" s="347" t="str">
        <f>IFERROR(IF($C143&lt;1,"",AP$3*일별반별!AS143),0)</f>
        <v/>
      </c>
      <c r="AQ143" s="347" t="str">
        <f>IFERROR(IF($C143&lt;1,"",AQ$3*일별반별!AT143),0)</f>
        <v/>
      </c>
      <c r="AR143" s="316" t="str">
        <f>IFERROR(IF($C143&lt;1,"",AR$3*일별반별!AU143),0)</f>
        <v/>
      </c>
      <c r="AS143" s="401" t="str">
        <f>IFERROR(IF($C143&lt;1,"",AS$3*일별반별!AV143),0)</f>
        <v/>
      </c>
      <c r="AT143" s="401" t="str">
        <f>IFERROR(IF($C143&lt;1,"",AT$3*일별반별!AW143),0)</f>
        <v/>
      </c>
      <c r="AU143" s="401" t="str">
        <f>IFERROR(IF($C143&lt;1,"",AU$3*일별반별!AX143),0)</f>
        <v/>
      </c>
      <c r="AV143" s="401" t="str">
        <f>IFERROR(IF($C143&lt;1,"",AV$3*일별반별!AY143),0)</f>
        <v/>
      </c>
      <c r="AW143" s="401" t="str">
        <f>IFERROR(IF($C143&lt;1,"",AW$3*일별반별!AZ143),0)</f>
        <v/>
      </c>
      <c r="AX143" s="401" t="str">
        <f>IFERROR(IF($C143&lt;1,"",AX$3*일별반별!BA143),0)</f>
        <v/>
      </c>
      <c r="AY143" s="401" t="str">
        <f>IFERROR(IF($C143&lt;1,"",AY$3*일별반별!BB143),0)</f>
        <v/>
      </c>
      <c r="AZ143" s="401" t="str">
        <f>IFERROR(IF($C143&lt;1,"",AZ$3*일별반별!BC143),0)</f>
        <v/>
      </c>
      <c r="BA143" s="401" t="str">
        <f>IFERROR(IF($C143&lt;1,"",BA$3*일별반별!BD143),0)</f>
        <v/>
      </c>
      <c r="BB143" s="402" t="str">
        <f>IFERROR(IF($C143&lt;1,"",BB$3*일별반별!BE143),0)</f>
        <v/>
      </c>
      <c r="BC143" s="402" t="str">
        <f>IFERROR(IF($C143&lt;1,"",BC$3*일별반별!BF143),0)</f>
        <v/>
      </c>
      <c r="BD143" s="402" t="str">
        <f>IFERROR(IF($C143&lt;1,"",BD$3*일별반별!BG143),0)</f>
        <v/>
      </c>
      <c r="BE143" s="402" t="str">
        <f>IFERROR(IF($C143&lt;1,"",BE$3*일별반별!BH143),0)</f>
        <v/>
      </c>
      <c r="BF143" s="402" t="str">
        <f>IFERROR(IF($C143&lt;1,"",BF$3*일별반별!BI143),0)</f>
        <v/>
      </c>
      <c r="BG143" s="402" t="str">
        <f>IFERROR(IF($C143&lt;1,"",BG$3*일별반별!BJ143),0)</f>
        <v/>
      </c>
      <c r="BH143" s="402" t="str">
        <f>IFERROR(IF($C143&lt;1,"",BH$3*일별반별!BK143),0)</f>
        <v/>
      </c>
      <c r="BI143" s="402" t="str">
        <f>IFERROR(IF($C143&lt;1,"",BI$3*일별반별!BL143),0)</f>
        <v/>
      </c>
      <c r="BJ143" s="402" t="str">
        <f>IFERROR(IF($C143&lt;1,"",BJ$3*일별반별!BM143),0)</f>
        <v/>
      </c>
      <c r="BK143" s="402" t="str">
        <f>IFERROR(IF($C143&lt;1,"",BK$3*일별반별!BN143),0)</f>
        <v/>
      </c>
      <c r="BL143" s="402" t="str">
        <f>IFERROR(IF($C143&lt;1,"",BL$3*일별반별!BH143),0)</f>
        <v/>
      </c>
      <c r="BM143" s="402" t="str">
        <f>IFERROR(IF($C143&lt;1,"",BM$3*일별반별!BP143),0)</f>
        <v/>
      </c>
      <c r="BN143" s="401" t="str">
        <f>IFERROR(IF($C143&lt;1,"",BN$3*일별반별!BQ143),0)</f>
        <v/>
      </c>
      <c r="BO143" s="401" t="str">
        <f>IFERROR(IF($C143&lt;1,"",BO$3*일별반별!BR143),0)</f>
        <v/>
      </c>
      <c r="BP143" s="401" t="str">
        <f>IFERROR(IF($C143&lt;1,"",BP$3*일별반별!BS143),0)</f>
        <v/>
      </c>
      <c r="BQ143" s="401" t="str">
        <f>IFERROR(IF($C143&lt;1,"",BQ$3*일별반별!BT143),0)</f>
        <v/>
      </c>
      <c r="BR143" s="417" t="str">
        <f>IFERROR(IF($C143&lt;1,"",BR$3*일별반별!BU143),0)</f>
        <v/>
      </c>
      <c r="BS143" s="417" t="str">
        <f>IFERROR(IF($C143&lt;1,"",BS$3*일별반별!BV143),0)</f>
        <v/>
      </c>
      <c r="BT143" s="417" t="str">
        <f>IFERROR(IF($C143&lt;1,"",BT$3*일별반별!BW143),0)</f>
        <v/>
      </c>
      <c r="BU143" s="316" t="str">
        <f>IFERROR(IF($C143&lt;1,"",BU$3*일별반별!BX143),0)</f>
        <v/>
      </c>
      <c r="BV143" s="316" t="str">
        <f>IFERROR(IF($C143&lt;1,"",BV$3*일별반별!BY143),0)</f>
        <v/>
      </c>
      <c r="BW143" s="316" t="str">
        <f>IFERROR(IF($C143&lt;1,"",BW$3*일별반별!BZ143),0)</f>
        <v/>
      </c>
      <c r="BX143" s="316" t="str">
        <f>IFERROR(IF($C143&lt;1,"",BX$3*일별반별!CA143),0)</f>
        <v/>
      </c>
      <c r="BY143" s="316" t="str">
        <f>IFERROR(IF($C143&lt;1,"",BY$3*일별반별!CB143),0)</f>
        <v/>
      </c>
      <c r="BZ143" s="316" t="str">
        <f>IFERROR(IF($C143&lt;1,"",BZ$3*일별반별!CC143),0)</f>
        <v/>
      </c>
      <c r="CA143" s="316" t="str">
        <f>IFERROR(IF($C143&lt;1,"",CA$3*일별반별!CD143),0)</f>
        <v/>
      </c>
      <c r="CB143" s="316" t="str">
        <f>IFERROR(IF($C143&lt;1,"",CB$3*일별반별!CE143),0)</f>
        <v/>
      </c>
      <c r="CC143" s="316" t="str">
        <f>IFERROR(IF($C143&lt;1,"",CC$3*일별반별!CF143),0)</f>
        <v/>
      </c>
      <c r="CD143" s="316" t="str">
        <f>IFERROR(IF($C143&lt;1,"",CD$3*일별반별!CG143),0)</f>
        <v/>
      </c>
      <c r="CE143" s="316" t="str">
        <f>IFERROR(IF($C143&lt;1,"",CE$3*일별반별!CH143),0)</f>
        <v/>
      </c>
      <c r="CF143" s="316" t="str">
        <f>IFERROR(IF($C143&lt;1,"",CF$3*일별반별!CI143),0)</f>
        <v/>
      </c>
      <c r="CG143" s="316" t="str">
        <f>IFERROR(IF($C143&lt;1,"",CG$3*일별반별!CJ143),0)</f>
        <v/>
      </c>
      <c r="CH143" s="316" t="str">
        <f>IFERROR(IF($C143&lt;1,"",CH$3*일별반별!CK143),0)</f>
        <v/>
      </c>
      <c r="CI143" s="316" t="str">
        <f>IFERROR(IF($C143&lt;1,"",CI$3*일별반별!CL143),0)</f>
        <v/>
      </c>
      <c r="CJ143" s="316" t="str">
        <f>IFERROR(IF($C143&lt;1,"",CJ$3*일별반별!CM143),0)</f>
        <v/>
      </c>
      <c r="CK143" s="316" t="str">
        <f>IFERROR(IF($C143&lt;1,"",CK$3*일별반별!CN143),0)</f>
        <v/>
      </c>
      <c r="CL143" s="316" t="str">
        <f>IFERROR(IF($C143&lt;1,"",CL$3*일별반별!CO143),0)</f>
        <v/>
      </c>
      <c r="CM143" s="316" t="str">
        <f>IFERROR(IF($C143&lt;1,"",CM$3*일별반별!CP143),0)</f>
        <v/>
      </c>
      <c r="CN143" s="316" t="str">
        <f>IFERROR(IF($C143&lt;1,"",CN$3*일별반별!CQ143),0)</f>
        <v/>
      </c>
      <c r="CO143" s="316" t="str">
        <f>IFERROR(IF($C143&lt;1,"",CO$3*일별반별!CR143),0)</f>
        <v/>
      </c>
      <c r="CP143" s="316" t="str">
        <f>IFERROR(IF($C143&lt;1,"",CP$3*일별반별!CS143),0)</f>
        <v/>
      </c>
      <c r="CQ143" s="316" t="str">
        <f>IFERROR(IF($C143&lt;1,"",CQ$3*일별반별!CT143),0)</f>
        <v/>
      </c>
      <c r="CR143" s="418" t="str">
        <f>IFERROR(IF($C143&lt;1,"",CR$3*일별반별!CU143),0)</f>
        <v/>
      </c>
      <c r="CS143" s="418" t="str">
        <f>IFERROR(IF($C143&lt;1,"",CS$3*일별반별!CV143),0)</f>
        <v/>
      </c>
      <c r="CT143" s="316" t="str">
        <f>IFERROR(IF($C143&lt;1,"",CT$3*일별반별!CW143),0)</f>
        <v/>
      </c>
      <c r="CU143" s="316" t="str">
        <f>IFERROR(IF($C143&lt;1,"",CU$3*일별반별!CX143),0)</f>
        <v/>
      </c>
      <c r="CV143" s="316" t="str">
        <f>IFERROR(IF($C143&lt;1,"",CV$3*일별반별!CY143),0)</f>
        <v/>
      </c>
      <c r="CW143" s="316" t="str">
        <f>IFERROR(IF($C143&lt;1,"",CW$3*일별반별!CZ143),0)</f>
        <v/>
      </c>
      <c r="CX143" s="316" t="str">
        <f>IFERROR(IF($C143&lt;1,"",CX$3*일별반별!DA143),0)</f>
        <v/>
      </c>
      <c r="CY143" s="316" t="str">
        <f>IF(C143&lt;1,"",(CY$3*'09월 조업일지'!AV$7))</f>
        <v/>
      </c>
      <c r="CZ143" s="316" t="str">
        <f t="shared" si="8"/>
        <v/>
      </c>
      <c r="DA143" s="316" t="str">
        <f t="shared" si="8"/>
        <v/>
      </c>
      <c r="DB143" s="316" t="str">
        <f t="shared" si="8"/>
        <v/>
      </c>
      <c r="DC143" s="316"/>
      <c r="DD143" s="419"/>
    </row>
    <row r="144" spans="1:108" ht="15" customHeight="1">
      <c r="A144" s="274">
        <f t="shared" si="6"/>
        <v>44040</v>
      </c>
      <c r="B144" s="275" t="s">
        <v>10</v>
      </c>
      <c r="C144" s="201">
        <f>COUNTIFS('09월 조업일지'!$A$12:$A$952,A141,'09월 조업일지'!$E$12:$E$952,B144)</f>
        <v>0</v>
      </c>
      <c r="D144" s="314">
        <f>IF(C144&lt;1,0,(SUM(E144:CX144)/(일별반별!BV144-1.5)+(CY144+CZ144+DA144+DB144)))</f>
        <v>0</v>
      </c>
      <c r="E144" s="278"/>
      <c r="F144" s="281"/>
      <c r="G144" s="282"/>
      <c r="H144" s="283"/>
      <c r="I144" s="283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326"/>
      <c r="U144" s="395" t="str">
        <f>IFERROR(IF($C144&lt;1,"",U$3*일별반별!X144),0)</f>
        <v/>
      </c>
      <c r="V144" s="395" t="str">
        <f>IFERROR(IF($C144&lt;1,"",V$3*일별반별!Y144),0)</f>
        <v/>
      </c>
      <c r="W144" s="395" t="str">
        <f>IFERROR(IF($C144&lt;1,"",W$3*일별반별!Z144),0)</f>
        <v/>
      </c>
      <c r="X144" s="208" t="str">
        <f>IFERROR(IF($C144&lt;1,"",X$3*일별반별!AA144),0)</f>
        <v/>
      </c>
      <c r="Y144" s="208" t="str">
        <f>IFERROR(IF($C144&lt;1,"",Y$3*일별반별!AB144),0)</f>
        <v/>
      </c>
      <c r="Z144" s="208" t="str">
        <f>IFERROR(IF($C144&lt;1,"",Z$3*일별반별!AC144),0)</f>
        <v/>
      </c>
      <c r="AA144" s="395" t="str">
        <f>IFERROR(IF($C144&lt;1,"",AA$3*일별반별!AD144),0)</f>
        <v/>
      </c>
      <c r="AB144" s="395" t="str">
        <f>IFERROR(IF($C144&lt;1,"",AB$3*일별반별!AE144),0)</f>
        <v/>
      </c>
      <c r="AC144" s="208" t="str">
        <f>IFERROR(IF($C144&lt;1,"",AC$3*일별반별!AF144),0)</f>
        <v/>
      </c>
      <c r="AD144" s="208" t="str">
        <f>IFERROR(IF($C144&lt;1,"",AD$3*일별반별!AG144),0)</f>
        <v/>
      </c>
      <c r="AE144" s="208" t="str">
        <f>IFERROR(IF($C144&lt;1,"",AE$3*일별반별!AH144),0)</f>
        <v/>
      </c>
      <c r="AF144" s="395" t="str">
        <f>IFERROR(IF($C144&lt;1,"",AF$3*일별반별!AI144),0)</f>
        <v/>
      </c>
      <c r="AG144" s="395" t="str">
        <f>IFERROR(IF($C144&lt;1,"",AG$3*일별반별!AJ144),0)</f>
        <v/>
      </c>
      <c r="AH144" s="395" t="str">
        <f>IFERROR(IF($C144&lt;1,"",AH$3*일별반별!AK144),0)</f>
        <v/>
      </c>
      <c r="AI144" s="395" t="str">
        <f>IFERROR(IF($C144&lt;1,"",AI$3*일별반별!AL144),0)</f>
        <v/>
      </c>
      <c r="AJ144" s="395" t="str">
        <f>IFERROR(IF($C144&lt;1,"",AJ$3*일별반별!AM144),0)</f>
        <v/>
      </c>
      <c r="AK144" s="395" t="str">
        <f>IFERROR(IF($C144&lt;1,"",AK$3*일별반별!AN144),0)</f>
        <v/>
      </c>
      <c r="AL144" s="395" t="str">
        <f>IFERROR(IF($C144&lt;1,"",AL$3*일별반별!AO144),0)</f>
        <v/>
      </c>
      <c r="AM144" s="395" t="str">
        <f>IFERROR(IF($C144&lt;1,"",AM$3*일별반별!AP144),0)</f>
        <v/>
      </c>
      <c r="AN144" s="395" t="str">
        <f>IFERROR(IF($C144&lt;1,"",AN$3*일별반별!AQ144),0)</f>
        <v/>
      </c>
      <c r="AO144" s="395" t="str">
        <f>IFERROR(IF($C144&lt;1,"",AO$3*일별반별!AR144),0)</f>
        <v/>
      </c>
      <c r="AP144" s="347" t="str">
        <f>IFERROR(IF($C144&lt;1,"",AP$3*일별반별!AS144),0)</f>
        <v/>
      </c>
      <c r="AQ144" s="347" t="str">
        <f>IFERROR(IF($C144&lt;1,"",AQ$3*일별반별!AT144),0)</f>
        <v/>
      </c>
      <c r="AR144" s="316" t="str">
        <f>IFERROR(IF($C144&lt;1,"",AR$3*일별반별!AU144),0)</f>
        <v/>
      </c>
      <c r="AS144" s="401" t="str">
        <f>IFERROR(IF($C144&lt;1,"",AS$3*일별반별!AV144),0)</f>
        <v/>
      </c>
      <c r="AT144" s="401" t="str">
        <f>IFERROR(IF($C144&lt;1,"",AT$3*일별반별!AW144),0)</f>
        <v/>
      </c>
      <c r="AU144" s="401" t="str">
        <f>IFERROR(IF($C144&lt;1,"",AU$3*일별반별!AX144),0)</f>
        <v/>
      </c>
      <c r="AV144" s="401" t="str">
        <f>IFERROR(IF($C144&lt;1,"",AV$3*일별반별!AY144),0)</f>
        <v/>
      </c>
      <c r="AW144" s="401" t="str">
        <f>IFERROR(IF($C144&lt;1,"",AW$3*일별반별!AZ144),0)</f>
        <v/>
      </c>
      <c r="AX144" s="401" t="str">
        <f>IFERROR(IF($C144&lt;1,"",AX$3*일별반별!BA144),0)</f>
        <v/>
      </c>
      <c r="AY144" s="401" t="str">
        <f>IFERROR(IF($C144&lt;1,"",AY$3*일별반별!BB144),0)</f>
        <v/>
      </c>
      <c r="AZ144" s="401" t="str">
        <f>IFERROR(IF($C144&lt;1,"",AZ$3*일별반별!BC144),0)</f>
        <v/>
      </c>
      <c r="BA144" s="401" t="str">
        <f>IFERROR(IF($C144&lt;1,"",BA$3*일별반별!BD144),0)</f>
        <v/>
      </c>
      <c r="BB144" s="402" t="str">
        <f>IFERROR(IF($C144&lt;1,"",BB$3*일별반별!BE144),0)</f>
        <v/>
      </c>
      <c r="BC144" s="402" t="str">
        <f>IFERROR(IF($C144&lt;1,"",BC$3*일별반별!BF144),0)</f>
        <v/>
      </c>
      <c r="BD144" s="402" t="str">
        <f>IFERROR(IF($C144&lt;1,"",BD$3*일별반별!BG144),0)</f>
        <v/>
      </c>
      <c r="BE144" s="402" t="str">
        <f>IFERROR(IF($C144&lt;1,"",BE$3*일별반별!BH144),0)</f>
        <v/>
      </c>
      <c r="BF144" s="402" t="str">
        <f>IFERROR(IF($C144&lt;1,"",BF$3*일별반별!BI144),0)</f>
        <v/>
      </c>
      <c r="BG144" s="402" t="str">
        <f>IFERROR(IF($C144&lt;1,"",BG$3*일별반별!BJ144),0)</f>
        <v/>
      </c>
      <c r="BH144" s="402" t="str">
        <f>IFERROR(IF($C144&lt;1,"",BH$3*일별반별!BK144),0)</f>
        <v/>
      </c>
      <c r="BI144" s="402" t="str">
        <f>IFERROR(IF($C144&lt;1,"",BI$3*일별반별!BL144),0)</f>
        <v/>
      </c>
      <c r="BJ144" s="402" t="str">
        <f>IFERROR(IF($C144&lt;1,"",BJ$3*일별반별!BM144),0)</f>
        <v/>
      </c>
      <c r="BK144" s="402" t="str">
        <f>IFERROR(IF($C144&lt;1,"",BK$3*일별반별!BN144),0)</f>
        <v/>
      </c>
      <c r="BL144" s="402" t="str">
        <f>IFERROR(IF($C144&lt;1,"",BL$3*일별반별!BH144),0)</f>
        <v/>
      </c>
      <c r="BM144" s="402" t="str">
        <f>IFERROR(IF($C144&lt;1,"",BM$3*일별반별!BP144),0)</f>
        <v/>
      </c>
      <c r="BN144" s="401" t="str">
        <f>IFERROR(IF($C144&lt;1,"",BN$3*일별반별!BQ144),0)</f>
        <v/>
      </c>
      <c r="BO144" s="401" t="str">
        <f>IFERROR(IF($C144&lt;1,"",BO$3*일별반별!BR144),0)</f>
        <v/>
      </c>
      <c r="BP144" s="401" t="str">
        <f>IFERROR(IF($C144&lt;1,"",BP$3*일별반별!BS144),0)</f>
        <v/>
      </c>
      <c r="BQ144" s="401" t="str">
        <f>IFERROR(IF($C144&lt;1,"",BQ$3*일별반별!BT144),0)</f>
        <v/>
      </c>
      <c r="BR144" s="417" t="str">
        <f>IFERROR(IF($C144&lt;1,"",BR$3*일별반별!BU144),0)</f>
        <v/>
      </c>
      <c r="BS144" s="417" t="str">
        <f>IFERROR(IF($C144&lt;1,"",BS$3*일별반별!BV144),0)</f>
        <v/>
      </c>
      <c r="BT144" s="417" t="str">
        <f>IFERROR(IF($C144&lt;1,"",BT$3*일별반별!BW144),0)</f>
        <v/>
      </c>
      <c r="BU144" s="316" t="str">
        <f>IFERROR(IF($C144&lt;1,"",BU$3*일별반별!BX144),0)</f>
        <v/>
      </c>
      <c r="BV144" s="316" t="str">
        <f>IFERROR(IF($C144&lt;1,"",BV$3*일별반별!BY144),0)</f>
        <v/>
      </c>
      <c r="BW144" s="316" t="str">
        <f>IFERROR(IF($C144&lt;1,"",BW$3*일별반별!BZ144),0)</f>
        <v/>
      </c>
      <c r="BX144" s="316" t="str">
        <f>IFERROR(IF($C144&lt;1,"",BX$3*일별반별!CA144),0)</f>
        <v/>
      </c>
      <c r="BY144" s="316" t="str">
        <f>IFERROR(IF($C144&lt;1,"",BY$3*일별반별!CB144),0)</f>
        <v/>
      </c>
      <c r="BZ144" s="316" t="str">
        <f>IFERROR(IF($C144&lt;1,"",BZ$3*일별반별!CC144),0)</f>
        <v/>
      </c>
      <c r="CA144" s="316" t="str">
        <f>IFERROR(IF($C144&lt;1,"",CA$3*일별반별!CD144),0)</f>
        <v/>
      </c>
      <c r="CB144" s="316" t="str">
        <f>IFERROR(IF($C144&lt;1,"",CB$3*일별반별!CE144),0)</f>
        <v/>
      </c>
      <c r="CC144" s="316" t="str">
        <f>IFERROR(IF($C144&lt;1,"",CC$3*일별반별!CF144),0)</f>
        <v/>
      </c>
      <c r="CD144" s="316" t="str">
        <f>IFERROR(IF($C144&lt;1,"",CD$3*일별반별!CG144),0)</f>
        <v/>
      </c>
      <c r="CE144" s="316" t="str">
        <f>IFERROR(IF($C144&lt;1,"",CE$3*일별반별!CH144),0)</f>
        <v/>
      </c>
      <c r="CF144" s="316" t="str">
        <f>IFERROR(IF($C144&lt;1,"",CF$3*일별반별!CI144),0)</f>
        <v/>
      </c>
      <c r="CG144" s="316" t="str">
        <f>IFERROR(IF($C144&lt;1,"",CG$3*일별반별!CJ144),0)</f>
        <v/>
      </c>
      <c r="CH144" s="316" t="str">
        <f>IFERROR(IF($C144&lt;1,"",CH$3*일별반별!CK144),0)</f>
        <v/>
      </c>
      <c r="CI144" s="316" t="str">
        <f>IFERROR(IF($C144&lt;1,"",CI$3*일별반별!CL144),0)</f>
        <v/>
      </c>
      <c r="CJ144" s="316" t="str">
        <f>IFERROR(IF($C144&lt;1,"",CJ$3*일별반별!CM144),0)</f>
        <v/>
      </c>
      <c r="CK144" s="316" t="str">
        <f>IFERROR(IF($C144&lt;1,"",CK$3*일별반별!CN144),0)</f>
        <v/>
      </c>
      <c r="CL144" s="316" t="str">
        <f>IFERROR(IF($C144&lt;1,"",CL$3*일별반별!CO144),0)</f>
        <v/>
      </c>
      <c r="CM144" s="316" t="str">
        <f>IFERROR(IF($C144&lt;1,"",CM$3*일별반별!CP144),0)</f>
        <v/>
      </c>
      <c r="CN144" s="316" t="str">
        <f>IFERROR(IF($C144&lt;1,"",CN$3*일별반별!CQ144),0)</f>
        <v/>
      </c>
      <c r="CO144" s="316" t="str">
        <f>IFERROR(IF($C144&lt;1,"",CO$3*일별반별!CR144),0)</f>
        <v/>
      </c>
      <c r="CP144" s="316" t="str">
        <f>IFERROR(IF($C144&lt;1,"",CP$3*일별반별!CS144),0)</f>
        <v/>
      </c>
      <c r="CQ144" s="316" t="str">
        <f>IFERROR(IF($C144&lt;1,"",CQ$3*일별반별!CT144),0)</f>
        <v/>
      </c>
      <c r="CR144" s="418" t="str">
        <f>IFERROR(IF($C144&lt;1,"",CR$3*일별반별!CU144),0)</f>
        <v/>
      </c>
      <c r="CS144" s="418" t="str">
        <f>IFERROR(IF($C144&lt;1,"",CS$3*일별반별!CV144),0)</f>
        <v/>
      </c>
      <c r="CT144" s="316" t="str">
        <f>IFERROR(IF($C144&lt;1,"",CT$3*일별반별!CW144),0)</f>
        <v/>
      </c>
      <c r="CU144" s="316" t="str">
        <f>IFERROR(IF($C144&lt;1,"",CU$3*일별반별!CX144),0)</f>
        <v/>
      </c>
      <c r="CV144" s="316" t="str">
        <f>IFERROR(IF($C144&lt;1,"",CV$3*일별반별!CY144),0)</f>
        <v/>
      </c>
      <c r="CW144" s="316" t="str">
        <f>IFERROR(IF($C144&lt;1,"",CW$3*일별반별!CZ144),0)</f>
        <v/>
      </c>
      <c r="CX144" s="316" t="str">
        <f>IFERROR(IF($C144&lt;1,"",CX$3*일별반별!DA144),0)</f>
        <v/>
      </c>
      <c r="CY144" s="316" t="str">
        <f>IF(C144&lt;1,"",(CY$3*'09월 조업일지'!AV$7))</f>
        <v/>
      </c>
      <c r="CZ144" s="316" t="str">
        <f t="shared" si="8"/>
        <v/>
      </c>
      <c r="DA144" s="316" t="str">
        <f t="shared" si="8"/>
        <v/>
      </c>
      <c r="DB144" s="316" t="str">
        <f t="shared" si="8"/>
        <v/>
      </c>
      <c r="DC144" s="316"/>
      <c r="DD144" s="419"/>
    </row>
    <row r="145" spans="1:108" ht="15" customHeight="1">
      <c r="A145" s="274">
        <f t="shared" si="6"/>
        <v>44040</v>
      </c>
      <c r="B145" s="275" t="s">
        <v>94</v>
      </c>
      <c r="C145" s="201">
        <f>COUNTIFS('09월 조업일지'!$A$12:$A$952,A141,'09월 조업일지'!$E$12:$E$952,B145)</f>
        <v>0</v>
      </c>
      <c r="D145" s="314">
        <f>IF(C145&lt;1,0,(SUM(E145:CX145)/(일별반별!BV145-1.5)+(CY145+CZ145+DA145+DB145)))</f>
        <v>0</v>
      </c>
      <c r="E145" s="278"/>
      <c r="F145" s="281"/>
      <c r="G145" s="282"/>
      <c r="H145" s="283"/>
      <c r="I145" s="283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326"/>
      <c r="U145" s="395" t="str">
        <f>IFERROR(IF($C145&lt;1,"",U$3*일별반별!X145),0)</f>
        <v/>
      </c>
      <c r="V145" s="395" t="str">
        <f>IFERROR(IF($C145&lt;1,"",V$3*일별반별!Y145),0)</f>
        <v/>
      </c>
      <c r="W145" s="395" t="str">
        <f>IFERROR(IF($C145&lt;1,"",W$3*일별반별!Z145),0)</f>
        <v/>
      </c>
      <c r="X145" s="208" t="str">
        <f>IFERROR(IF($C145&lt;1,"",X$3*일별반별!AA145),0)</f>
        <v/>
      </c>
      <c r="Y145" s="208" t="str">
        <f>IFERROR(IF($C145&lt;1,"",Y$3*일별반별!AB145),0)</f>
        <v/>
      </c>
      <c r="Z145" s="208" t="str">
        <f>IFERROR(IF($C145&lt;1,"",Z$3*일별반별!AC145),0)</f>
        <v/>
      </c>
      <c r="AA145" s="395" t="str">
        <f>IFERROR(IF($C145&lt;1,"",AA$3*일별반별!AD145),0)</f>
        <v/>
      </c>
      <c r="AB145" s="395" t="str">
        <f>IFERROR(IF($C145&lt;1,"",AB$3*일별반별!AE145),0)</f>
        <v/>
      </c>
      <c r="AC145" s="208" t="str">
        <f>IFERROR(IF($C145&lt;1,"",AC$3*일별반별!AF145),0)</f>
        <v/>
      </c>
      <c r="AD145" s="208" t="str">
        <f>IFERROR(IF($C145&lt;1,"",AD$3*일별반별!AG145),0)</f>
        <v/>
      </c>
      <c r="AE145" s="208" t="str">
        <f>IFERROR(IF($C145&lt;1,"",AE$3*일별반별!AH145),0)</f>
        <v/>
      </c>
      <c r="AF145" s="395" t="str">
        <f>IFERROR(IF($C145&lt;1,"",AF$3*일별반별!AI145),0)</f>
        <v/>
      </c>
      <c r="AG145" s="395" t="str">
        <f>IFERROR(IF($C145&lt;1,"",AG$3*일별반별!AJ145),0)</f>
        <v/>
      </c>
      <c r="AH145" s="395" t="str">
        <f>IFERROR(IF($C145&lt;1,"",AH$3*일별반별!AK145),0)</f>
        <v/>
      </c>
      <c r="AI145" s="395" t="str">
        <f>IFERROR(IF($C145&lt;1,"",AI$3*일별반별!AL145),0)</f>
        <v/>
      </c>
      <c r="AJ145" s="395" t="str">
        <f>IFERROR(IF($C145&lt;1,"",AJ$3*일별반별!AM145),0)</f>
        <v/>
      </c>
      <c r="AK145" s="395" t="str">
        <f>IFERROR(IF($C145&lt;1,"",AK$3*일별반별!AN145),0)</f>
        <v/>
      </c>
      <c r="AL145" s="395" t="str">
        <f>IFERROR(IF($C145&lt;1,"",AL$3*일별반별!AO145),0)</f>
        <v/>
      </c>
      <c r="AM145" s="395" t="str">
        <f>IFERROR(IF($C145&lt;1,"",AM$3*일별반별!AP145),0)</f>
        <v/>
      </c>
      <c r="AN145" s="395" t="str">
        <f>IFERROR(IF($C145&lt;1,"",AN$3*일별반별!AQ145),0)</f>
        <v/>
      </c>
      <c r="AO145" s="395" t="str">
        <f>IFERROR(IF($C145&lt;1,"",AO$3*일별반별!AR145),0)</f>
        <v/>
      </c>
      <c r="AP145" s="347" t="str">
        <f>IFERROR(IF($C145&lt;1,"",AP$3*일별반별!AS145),0)</f>
        <v/>
      </c>
      <c r="AQ145" s="347" t="str">
        <f>IFERROR(IF($C145&lt;1,"",AQ$3*일별반별!AT145),0)</f>
        <v/>
      </c>
      <c r="AR145" s="316" t="str">
        <f>IFERROR(IF($C145&lt;1,"",AR$3*일별반별!AU145),0)</f>
        <v/>
      </c>
      <c r="AS145" s="401" t="str">
        <f>IFERROR(IF($C145&lt;1,"",AS$3*일별반별!AV145),0)</f>
        <v/>
      </c>
      <c r="AT145" s="401" t="str">
        <f>IFERROR(IF($C145&lt;1,"",AT$3*일별반별!AW145),0)</f>
        <v/>
      </c>
      <c r="AU145" s="401" t="str">
        <f>IFERROR(IF($C145&lt;1,"",AU$3*일별반별!AX145),0)</f>
        <v/>
      </c>
      <c r="AV145" s="401" t="str">
        <f>IFERROR(IF($C145&lt;1,"",AV$3*일별반별!AY145),0)</f>
        <v/>
      </c>
      <c r="AW145" s="401" t="str">
        <f>IFERROR(IF($C145&lt;1,"",AW$3*일별반별!AZ145),0)</f>
        <v/>
      </c>
      <c r="AX145" s="401" t="str">
        <f>IFERROR(IF($C145&lt;1,"",AX$3*일별반별!BA145),0)</f>
        <v/>
      </c>
      <c r="AY145" s="401" t="str">
        <f>IFERROR(IF($C145&lt;1,"",AY$3*일별반별!BB145),0)</f>
        <v/>
      </c>
      <c r="AZ145" s="401" t="str">
        <f>IFERROR(IF($C145&lt;1,"",AZ$3*일별반별!BC145),0)</f>
        <v/>
      </c>
      <c r="BA145" s="401" t="str">
        <f>IFERROR(IF($C145&lt;1,"",BA$3*일별반별!BD145),0)</f>
        <v/>
      </c>
      <c r="BB145" s="402" t="str">
        <f>IFERROR(IF($C145&lt;1,"",BB$3*일별반별!BE145),0)</f>
        <v/>
      </c>
      <c r="BC145" s="402" t="str">
        <f>IFERROR(IF($C145&lt;1,"",BC$3*일별반별!BF145),0)</f>
        <v/>
      </c>
      <c r="BD145" s="402" t="str">
        <f>IFERROR(IF($C145&lt;1,"",BD$3*일별반별!BG145),0)</f>
        <v/>
      </c>
      <c r="BE145" s="402" t="str">
        <f>IFERROR(IF($C145&lt;1,"",BE$3*일별반별!BH145),0)</f>
        <v/>
      </c>
      <c r="BF145" s="402" t="str">
        <f>IFERROR(IF($C145&lt;1,"",BF$3*일별반별!BI145),0)</f>
        <v/>
      </c>
      <c r="BG145" s="402" t="str">
        <f>IFERROR(IF($C145&lt;1,"",BG$3*일별반별!BJ145),0)</f>
        <v/>
      </c>
      <c r="BH145" s="402" t="str">
        <f>IFERROR(IF($C145&lt;1,"",BH$3*일별반별!BK145),0)</f>
        <v/>
      </c>
      <c r="BI145" s="402" t="str">
        <f>IFERROR(IF($C145&lt;1,"",BI$3*일별반별!BL145),0)</f>
        <v/>
      </c>
      <c r="BJ145" s="402" t="str">
        <f>IFERROR(IF($C145&lt;1,"",BJ$3*일별반별!BM145),0)</f>
        <v/>
      </c>
      <c r="BK145" s="402" t="str">
        <f>IFERROR(IF($C145&lt;1,"",BK$3*일별반별!BN145),0)</f>
        <v/>
      </c>
      <c r="BL145" s="402" t="str">
        <f>IFERROR(IF($C145&lt;1,"",BL$3*일별반별!BH145),0)</f>
        <v/>
      </c>
      <c r="BM145" s="402" t="str">
        <f>IFERROR(IF($C145&lt;1,"",BM$3*일별반별!BP145),0)</f>
        <v/>
      </c>
      <c r="BN145" s="401" t="str">
        <f>IFERROR(IF($C145&lt;1,"",BN$3*일별반별!BQ145),0)</f>
        <v/>
      </c>
      <c r="BO145" s="401" t="str">
        <f>IFERROR(IF($C145&lt;1,"",BO$3*일별반별!BR145),0)</f>
        <v/>
      </c>
      <c r="BP145" s="401" t="str">
        <f>IFERROR(IF($C145&lt;1,"",BP$3*일별반별!BS145),0)</f>
        <v/>
      </c>
      <c r="BQ145" s="401" t="str">
        <f>IFERROR(IF($C145&lt;1,"",BQ$3*일별반별!BT145),0)</f>
        <v/>
      </c>
      <c r="BR145" s="417" t="str">
        <f>IFERROR(IF($C145&lt;1,"",BR$3*일별반별!BU145),0)</f>
        <v/>
      </c>
      <c r="BS145" s="417" t="str">
        <f>IFERROR(IF($C145&lt;1,"",BS$3*일별반별!BV145),0)</f>
        <v/>
      </c>
      <c r="BT145" s="417" t="str">
        <f>IFERROR(IF($C145&lt;1,"",BT$3*일별반별!BW145),0)</f>
        <v/>
      </c>
      <c r="BU145" s="316" t="str">
        <f>IFERROR(IF($C145&lt;1,"",BU$3*일별반별!BX145),0)</f>
        <v/>
      </c>
      <c r="BV145" s="316" t="str">
        <f>IFERROR(IF($C145&lt;1,"",BV$3*일별반별!BY145),0)</f>
        <v/>
      </c>
      <c r="BW145" s="316" t="str">
        <f>IFERROR(IF($C145&lt;1,"",BW$3*일별반별!BZ145),0)</f>
        <v/>
      </c>
      <c r="BX145" s="316" t="str">
        <f>IFERROR(IF($C145&lt;1,"",BX$3*일별반별!CA145),0)</f>
        <v/>
      </c>
      <c r="BY145" s="316" t="str">
        <f>IFERROR(IF($C145&lt;1,"",BY$3*일별반별!CB145),0)</f>
        <v/>
      </c>
      <c r="BZ145" s="316" t="str">
        <f>IFERROR(IF($C145&lt;1,"",BZ$3*일별반별!CC145),0)</f>
        <v/>
      </c>
      <c r="CA145" s="316" t="str">
        <f>IFERROR(IF($C145&lt;1,"",CA$3*일별반별!CD145),0)</f>
        <v/>
      </c>
      <c r="CB145" s="316" t="str">
        <f>IFERROR(IF($C145&lt;1,"",CB$3*일별반별!CE145),0)</f>
        <v/>
      </c>
      <c r="CC145" s="316" t="str">
        <f>IFERROR(IF($C145&lt;1,"",CC$3*일별반별!CF145),0)</f>
        <v/>
      </c>
      <c r="CD145" s="316" t="str">
        <f>IFERROR(IF($C145&lt;1,"",CD$3*일별반별!CG145),0)</f>
        <v/>
      </c>
      <c r="CE145" s="316" t="str">
        <f>IFERROR(IF($C145&lt;1,"",CE$3*일별반별!CH145),0)</f>
        <v/>
      </c>
      <c r="CF145" s="316" t="str">
        <f>IFERROR(IF($C145&lt;1,"",CF$3*일별반별!CI145),0)</f>
        <v/>
      </c>
      <c r="CG145" s="316" t="str">
        <f>IFERROR(IF($C145&lt;1,"",CG$3*일별반별!CJ145),0)</f>
        <v/>
      </c>
      <c r="CH145" s="316" t="str">
        <f>IFERROR(IF($C145&lt;1,"",CH$3*일별반별!CK145),0)</f>
        <v/>
      </c>
      <c r="CI145" s="316" t="str">
        <f>IFERROR(IF($C145&lt;1,"",CI$3*일별반별!CL145),0)</f>
        <v/>
      </c>
      <c r="CJ145" s="316" t="str">
        <f>IFERROR(IF($C145&lt;1,"",CJ$3*일별반별!CM145),0)</f>
        <v/>
      </c>
      <c r="CK145" s="316" t="str">
        <f>IFERROR(IF($C145&lt;1,"",CK$3*일별반별!CN145),0)</f>
        <v/>
      </c>
      <c r="CL145" s="316" t="str">
        <f>IFERROR(IF($C145&lt;1,"",CL$3*일별반별!CO145),0)</f>
        <v/>
      </c>
      <c r="CM145" s="316" t="str">
        <f>IFERROR(IF($C145&lt;1,"",CM$3*일별반별!CP145),0)</f>
        <v/>
      </c>
      <c r="CN145" s="316" t="str">
        <f>IFERROR(IF($C145&lt;1,"",CN$3*일별반별!CQ145),0)</f>
        <v/>
      </c>
      <c r="CO145" s="316" t="str">
        <f>IFERROR(IF($C145&lt;1,"",CO$3*일별반별!CR145),0)</f>
        <v/>
      </c>
      <c r="CP145" s="316" t="str">
        <f>IFERROR(IF($C145&lt;1,"",CP$3*일별반별!CS145),0)</f>
        <v/>
      </c>
      <c r="CQ145" s="316" t="str">
        <f>IFERROR(IF($C145&lt;1,"",CQ$3*일별반별!CT145),0)</f>
        <v/>
      </c>
      <c r="CR145" s="418" t="str">
        <f>IFERROR(IF($C145&lt;1,"",CR$3*일별반별!CU145),0)</f>
        <v/>
      </c>
      <c r="CS145" s="418" t="str">
        <f>IFERROR(IF($C145&lt;1,"",CS$3*일별반별!CV145),0)</f>
        <v/>
      </c>
      <c r="CT145" s="316" t="str">
        <f>IFERROR(IF($C145&lt;1,"",CT$3*일별반별!CW145),0)</f>
        <v/>
      </c>
      <c r="CU145" s="316" t="str">
        <f>IFERROR(IF($C145&lt;1,"",CU$3*일별반별!CX145),0)</f>
        <v/>
      </c>
      <c r="CV145" s="316" t="str">
        <f>IFERROR(IF($C145&lt;1,"",CV$3*일별반별!CY145),0)</f>
        <v/>
      </c>
      <c r="CW145" s="316" t="str">
        <f>IFERROR(IF($C145&lt;1,"",CW$3*일별반별!CZ145),0)</f>
        <v/>
      </c>
      <c r="CX145" s="316" t="str">
        <f>IFERROR(IF($C145&lt;1,"",CX$3*일별반별!DA145),0)</f>
        <v/>
      </c>
      <c r="CY145" s="316" t="str">
        <f>IF(C145&lt;1,"",(CY$3*'09월 조업일지'!AV$7))</f>
        <v/>
      </c>
      <c r="CZ145" s="316" t="str">
        <f t="shared" si="8"/>
        <v/>
      </c>
      <c r="DA145" s="316" t="str">
        <f t="shared" si="8"/>
        <v/>
      </c>
      <c r="DB145" s="316" t="str">
        <f t="shared" si="8"/>
        <v/>
      </c>
      <c r="DC145" s="316"/>
      <c r="DD145" s="419"/>
    </row>
    <row r="146" spans="1:108" ht="15" customHeight="1">
      <c r="A146" s="327">
        <f>A141+1</f>
        <v>44041</v>
      </c>
      <c r="B146" s="328" t="s">
        <v>31</v>
      </c>
      <c r="C146" s="329">
        <f>COUNTIF('09월 조업일지'!$A$12:$A$952,A146)</f>
        <v>0</v>
      </c>
      <c r="D146" s="330">
        <f>IF(C146&lt;1,0,(SUM(E146:CX146)/(일별반별!BV146-1.5)+(CY146+CZ146+DA146+DB146)))</f>
        <v>0</v>
      </c>
      <c r="E146" s="331"/>
      <c r="F146" s="331"/>
      <c r="G146" s="332"/>
      <c r="H146" s="333"/>
      <c r="I146" s="333"/>
      <c r="J146" s="334"/>
      <c r="K146" s="334"/>
      <c r="L146" s="334"/>
      <c r="M146" s="334"/>
      <c r="N146" s="334"/>
      <c r="O146" s="334"/>
      <c r="P146" s="334"/>
      <c r="Q146" s="335"/>
      <c r="R146" s="334"/>
      <c r="S146" s="335"/>
      <c r="T146" s="334"/>
      <c r="U146" s="337" t="str">
        <f>IFERROR(IF($C146&lt;1,"",U$3*일별반별!X146),0)</f>
        <v/>
      </c>
      <c r="V146" s="337" t="str">
        <f>IFERROR(IF($C146&lt;1,"",V$3*일별반별!Y146),0)</f>
        <v/>
      </c>
      <c r="W146" s="337" t="str">
        <f>IFERROR(IF($C146&lt;1,"",W$3*일별반별!Z146),0)</f>
        <v/>
      </c>
      <c r="X146" s="336" t="str">
        <f>IFERROR(IF($C146&lt;1,"",X$3*일별반별!AA146),0)</f>
        <v/>
      </c>
      <c r="Y146" s="336" t="str">
        <f>IFERROR(IF($C146&lt;1,"",Y$3*일별반별!AB146),0)</f>
        <v/>
      </c>
      <c r="Z146" s="336" t="str">
        <f>IFERROR(IF($C146&lt;1,"",Z$3*일별반별!AC146),0)</f>
        <v/>
      </c>
      <c r="AA146" s="337" t="str">
        <f>IFERROR(IF($C146&lt;1,"",AA$3*일별반별!AD146),0)</f>
        <v/>
      </c>
      <c r="AB146" s="337" t="str">
        <f>IFERROR(IF($C146&lt;1,"",AB$3*일별반별!AE146),0)</f>
        <v/>
      </c>
      <c r="AC146" s="336" t="str">
        <f>IFERROR(IF($C146&lt;1,"",AC$3*일별반별!AF146),0)</f>
        <v/>
      </c>
      <c r="AD146" s="336" t="str">
        <f>IFERROR(IF($C146&lt;1,"",AD$3*일별반별!AG146),0)</f>
        <v/>
      </c>
      <c r="AE146" s="336" t="str">
        <f>IFERROR(IF($C146&lt;1,"",AE$3*일별반별!AH146),0)</f>
        <v/>
      </c>
      <c r="AF146" s="337" t="str">
        <f>IFERROR(IF($C146&lt;1,"",AF$3*일별반별!AI146),0)</f>
        <v/>
      </c>
      <c r="AG146" s="337" t="str">
        <f>IFERROR(IF($C146&lt;1,"",AG$3*일별반별!AJ146),0)</f>
        <v/>
      </c>
      <c r="AH146" s="337" t="str">
        <f>IFERROR(IF($C146&lt;1,"",AH$3*일별반별!AK146),0)</f>
        <v/>
      </c>
      <c r="AI146" s="337" t="str">
        <f>IFERROR(IF($C146&lt;1,"",AI$3*일별반별!AL146),0)</f>
        <v/>
      </c>
      <c r="AJ146" s="337" t="str">
        <f>IFERROR(IF($C146&lt;1,"",AJ$3*일별반별!AM146),0)</f>
        <v/>
      </c>
      <c r="AK146" s="337" t="str">
        <f>IFERROR(IF($C146&lt;1,"",AK$3*일별반별!AN146),0)</f>
        <v/>
      </c>
      <c r="AL146" s="337" t="str">
        <f>IFERROR(IF($C146&lt;1,"",AL$3*일별반별!AO146),0)</f>
        <v/>
      </c>
      <c r="AM146" s="337" t="str">
        <f>IFERROR(IF($C146&lt;1,"",AM$3*일별반별!AP146),0)</f>
        <v/>
      </c>
      <c r="AN146" s="337" t="str">
        <f>IFERROR(IF($C146&lt;1,"",AN$3*일별반별!AQ146),0)</f>
        <v/>
      </c>
      <c r="AO146" s="337" t="str">
        <f>IFERROR(IF($C146&lt;1,"",AO$3*일별반별!AR146),0)</f>
        <v/>
      </c>
      <c r="AP146" s="337" t="str">
        <f>IFERROR(IF($C146&lt;1,"",AP$3*일별반별!AS146),0)</f>
        <v/>
      </c>
      <c r="AQ146" s="337" t="str">
        <f>IFERROR(IF($C146&lt;1,"",AQ$3*일별반별!AT146),0)</f>
        <v/>
      </c>
      <c r="AR146" s="337" t="str">
        <f>IFERROR(IF($C146&lt;1,"",AR$3*일별반별!AU146),0)</f>
        <v/>
      </c>
      <c r="AS146" s="403" t="str">
        <f>IFERROR(IF($C146&lt;1,"",AS$3*일별반별!AV146),0)</f>
        <v/>
      </c>
      <c r="AT146" s="403" t="str">
        <f>IFERROR(IF($C146&lt;1,"",AT$3*일별반별!AW146),0)</f>
        <v/>
      </c>
      <c r="AU146" s="403" t="str">
        <f>IFERROR(IF($C146&lt;1,"",AU$3*일별반별!AX146),0)</f>
        <v/>
      </c>
      <c r="AV146" s="403" t="str">
        <f>IFERROR(IF($C146&lt;1,"",AV$3*일별반별!AY146),0)</f>
        <v/>
      </c>
      <c r="AW146" s="403" t="str">
        <f>IFERROR(IF($C146&lt;1,"",AW$3*일별반별!AZ146),0)</f>
        <v/>
      </c>
      <c r="AX146" s="403" t="str">
        <f>IFERROR(IF($C146&lt;1,"",AX$3*일별반별!BA146),0)</f>
        <v/>
      </c>
      <c r="AY146" s="403" t="str">
        <f>IFERROR(IF($C146&lt;1,"",AY$3*일별반별!BB146),0)</f>
        <v/>
      </c>
      <c r="AZ146" s="403" t="str">
        <f>IFERROR(IF($C146&lt;1,"",AZ$3*일별반별!BC146),0)</f>
        <v/>
      </c>
      <c r="BA146" s="403" t="str">
        <f>IFERROR(IF($C146&lt;1,"",BA$3*일별반별!BD146),0)</f>
        <v/>
      </c>
      <c r="BB146" s="403" t="str">
        <f>IFERROR(IF($C146&lt;1,"",BB$3*일별반별!BE146),0)</f>
        <v/>
      </c>
      <c r="BC146" s="403" t="str">
        <f>IFERROR(IF($C146&lt;1,"",BC$3*일별반별!BF146),0)</f>
        <v/>
      </c>
      <c r="BD146" s="403" t="str">
        <f>IFERROR(IF($C146&lt;1,"",BD$3*일별반별!BG146),0)</f>
        <v/>
      </c>
      <c r="BE146" s="403" t="str">
        <f>IFERROR(IF($C146&lt;1,"",BE$3*일별반별!BH146),0)</f>
        <v/>
      </c>
      <c r="BF146" s="403" t="str">
        <f>IFERROR(IF($C146&lt;1,"",BF$3*일별반별!BI146),0)</f>
        <v/>
      </c>
      <c r="BG146" s="403" t="str">
        <f>IFERROR(IF($C146&lt;1,"",BG$3*일별반별!BJ146),0)</f>
        <v/>
      </c>
      <c r="BH146" s="403" t="str">
        <f>IFERROR(IF($C146&lt;1,"",BH$3*일별반별!BK146),0)</f>
        <v/>
      </c>
      <c r="BI146" s="403" t="str">
        <f>IFERROR(IF($C146&lt;1,"",BI$3*일별반별!BL146),0)</f>
        <v/>
      </c>
      <c r="BJ146" s="403" t="str">
        <f>IFERROR(IF($C146&lt;1,"",BJ$3*일별반별!BM146),0)</f>
        <v/>
      </c>
      <c r="BK146" s="403" t="str">
        <f>IFERROR(IF($C146&lt;1,"",BK$3*일별반별!BN146),0)</f>
        <v/>
      </c>
      <c r="BL146" s="403" t="str">
        <f>IFERROR(IF($C146&lt;1,"",BL$3*일별반별!BH146),0)</f>
        <v/>
      </c>
      <c r="BM146" s="403" t="str">
        <f>IFERROR(IF($C146&lt;1,"",BM$3*일별반별!BP146),0)</f>
        <v/>
      </c>
      <c r="BN146" s="403" t="str">
        <f>IFERROR(IF($C146&lt;1,"",BN$3*일별반별!BQ146),0)</f>
        <v/>
      </c>
      <c r="BO146" s="403" t="str">
        <f>IFERROR(IF($C146&lt;1,"",BO$3*일별반별!BR146),0)</f>
        <v/>
      </c>
      <c r="BP146" s="403" t="str">
        <f>IFERROR(IF($C146&lt;1,"",BP$3*일별반별!BS146),0)</f>
        <v/>
      </c>
      <c r="BQ146" s="403" t="str">
        <f>IFERROR(IF($C146&lt;1,"",BQ$3*일별반별!BT146),0)</f>
        <v/>
      </c>
      <c r="BR146" s="337" t="str">
        <f>IFERROR(IF($C146&lt;1,"",BR$3*일별반별!BU146),0)</f>
        <v/>
      </c>
      <c r="BS146" s="337" t="str">
        <f>IFERROR(IF($C146&lt;1,"",BS$3*일별반별!BV146),0)</f>
        <v/>
      </c>
      <c r="BT146" s="337" t="str">
        <f>IFERROR(IF($C146&lt;1,"",BT$3*일별반별!BW146),0)</f>
        <v/>
      </c>
      <c r="BU146" s="337" t="str">
        <f>IFERROR(IF($C146&lt;1,"",BU$3*일별반별!BX146),0)</f>
        <v/>
      </c>
      <c r="BV146" s="337" t="str">
        <f>IFERROR(IF($C146&lt;1,"",BV$3*일별반별!BY146),0)</f>
        <v/>
      </c>
      <c r="BW146" s="337" t="str">
        <f>IFERROR(IF($C146&lt;1,"",BW$3*일별반별!BZ146),0)</f>
        <v/>
      </c>
      <c r="BX146" s="337" t="str">
        <f>IFERROR(IF($C146&lt;1,"",BX$3*일별반별!CA146),0)</f>
        <v/>
      </c>
      <c r="BY146" s="337" t="str">
        <f>IFERROR(IF($C146&lt;1,"",BY$3*일별반별!CB146),0)</f>
        <v/>
      </c>
      <c r="BZ146" s="337" t="str">
        <f>IFERROR(IF($C146&lt;1,"",BZ$3*일별반별!CC146),0)</f>
        <v/>
      </c>
      <c r="CA146" s="337" t="str">
        <f>IFERROR(IF($C146&lt;1,"",CA$3*일별반별!CD146),0)</f>
        <v/>
      </c>
      <c r="CB146" s="337" t="str">
        <f>IFERROR(IF($C146&lt;1,"",CB$3*일별반별!CE146),0)</f>
        <v/>
      </c>
      <c r="CC146" s="337" t="str">
        <f>IFERROR(IF($C146&lt;1,"",CC$3*일별반별!CF146),0)</f>
        <v/>
      </c>
      <c r="CD146" s="337" t="str">
        <f>IFERROR(IF($C146&lt;1,"",CD$3*일별반별!CG146),0)</f>
        <v/>
      </c>
      <c r="CE146" s="337" t="str">
        <f>IFERROR(IF($C146&lt;1,"",CE$3*일별반별!CH146),0)</f>
        <v/>
      </c>
      <c r="CF146" s="337" t="str">
        <f>IFERROR(IF($C146&lt;1,"",CF$3*일별반별!CI146),0)</f>
        <v/>
      </c>
      <c r="CG146" s="337" t="str">
        <f>IFERROR(IF($C146&lt;1,"",CG$3*일별반별!CJ146),0)</f>
        <v/>
      </c>
      <c r="CH146" s="337" t="str">
        <f>IFERROR(IF($C146&lt;1,"",CH$3*일별반별!CK146),0)</f>
        <v/>
      </c>
      <c r="CI146" s="337" t="str">
        <f>IFERROR(IF($C146&lt;1,"",CI$3*일별반별!CL146),0)</f>
        <v/>
      </c>
      <c r="CJ146" s="337" t="str">
        <f>IFERROR(IF($C146&lt;1,"",CJ$3*일별반별!CM146),0)</f>
        <v/>
      </c>
      <c r="CK146" s="337" t="str">
        <f>IFERROR(IF($C146&lt;1,"",CK$3*일별반별!CN146),0)</f>
        <v/>
      </c>
      <c r="CL146" s="337" t="str">
        <f>IFERROR(IF($C146&lt;1,"",CL$3*일별반별!CO146),0)</f>
        <v/>
      </c>
      <c r="CM146" s="337" t="str">
        <f>IFERROR(IF($C146&lt;1,"",CM$3*일별반별!CP146),0)</f>
        <v/>
      </c>
      <c r="CN146" s="337" t="str">
        <f>IFERROR(IF($C146&lt;1,"",CN$3*일별반별!CQ146),0)</f>
        <v/>
      </c>
      <c r="CO146" s="337" t="str">
        <f>IFERROR(IF($C146&lt;1,"",CO$3*일별반별!CR146),0)</f>
        <v/>
      </c>
      <c r="CP146" s="337" t="str">
        <f>IFERROR(IF($C146&lt;1,"",CP$3*일별반별!CS146),0)</f>
        <v/>
      </c>
      <c r="CQ146" s="337" t="str">
        <f>IFERROR(IF($C146&lt;1,"",CQ$3*일별반별!CT146),0)</f>
        <v/>
      </c>
      <c r="CR146" s="420" t="str">
        <f>IFERROR(IF($C146&lt;1,"",CR$3*일별반별!CU146),0)</f>
        <v/>
      </c>
      <c r="CS146" s="420" t="str">
        <f>IFERROR(IF($C146&lt;1,"",CS$3*일별반별!CV146),0)</f>
        <v/>
      </c>
      <c r="CT146" s="337" t="str">
        <f>IFERROR(IF($C146&lt;1,"",CT$3*일별반별!CW146),0)</f>
        <v/>
      </c>
      <c r="CU146" s="337" t="str">
        <f>IFERROR(IF($C146&lt;1,"",CU$3*일별반별!CX146),0)</f>
        <v/>
      </c>
      <c r="CV146" s="337" t="str">
        <f>IFERROR(IF($C146&lt;1,"",CV$3*일별반별!CY146),0)</f>
        <v/>
      </c>
      <c r="CW146" s="337" t="str">
        <f>IFERROR(IF($C146&lt;1,"",CW$3*일별반별!CZ146),0)</f>
        <v/>
      </c>
      <c r="CX146" s="337" t="str">
        <f>IFERROR(IF($C146&lt;1,"",CX$3*일별반별!DA146),0)</f>
        <v/>
      </c>
      <c r="CY146" s="316" t="str">
        <f>IF(C146&lt;1,"",(CY$3*'09월 조업일지'!AV$7))</f>
        <v/>
      </c>
      <c r="CZ146" s="316" t="str">
        <f t="shared" si="8"/>
        <v/>
      </c>
      <c r="DA146" s="316" t="str">
        <f t="shared" si="8"/>
        <v/>
      </c>
      <c r="DB146" s="316" t="str">
        <f t="shared" si="8"/>
        <v/>
      </c>
      <c r="DC146" s="316"/>
      <c r="DD146" s="419"/>
    </row>
    <row r="147" spans="1:108" ht="15" customHeight="1">
      <c r="A147" s="274">
        <f t="shared" si="6"/>
        <v>44041</v>
      </c>
      <c r="B147" s="275" t="s">
        <v>9</v>
      </c>
      <c r="C147" s="201">
        <f>COUNTIFS('09월 조업일지'!$A$12:$A$952,A146,'09월 조업일지'!$E$12:$E$952,B147)</f>
        <v>0</v>
      </c>
      <c r="D147" s="314">
        <f>IF(C147&lt;1,0,(SUM(E147:CX147)/(일별반별!BV147-1.5)+(CY147+CZ147+DA147+DB147)))</f>
        <v>0</v>
      </c>
      <c r="E147" s="278"/>
      <c r="F147" s="281"/>
      <c r="G147" s="282"/>
      <c r="H147" s="283"/>
      <c r="I147" s="283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326"/>
      <c r="U147" s="395" t="str">
        <f>IFERROR(IF($C147&lt;1,"",U$3*일별반별!X147),0)</f>
        <v/>
      </c>
      <c r="V147" s="395" t="str">
        <f>IFERROR(IF($C147&lt;1,"",V$3*일별반별!Y147),0)</f>
        <v/>
      </c>
      <c r="W147" s="395" t="str">
        <f>IFERROR(IF($C147&lt;1,"",W$3*일별반별!Z147),0)</f>
        <v/>
      </c>
      <c r="X147" s="208" t="str">
        <f>IFERROR(IF($C147&lt;1,"",X$3*일별반별!AA147),0)</f>
        <v/>
      </c>
      <c r="Y147" s="208" t="str">
        <f>IFERROR(IF($C147&lt;1,"",Y$3*일별반별!AB147),0)</f>
        <v/>
      </c>
      <c r="Z147" s="208" t="str">
        <f>IFERROR(IF($C147&lt;1,"",Z$3*일별반별!AC147),0)</f>
        <v/>
      </c>
      <c r="AA147" s="395" t="str">
        <f>IFERROR(IF($C147&lt;1,"",AA$3*일별반별!AD147),0)</f>
        <v/>
      </c>
      <c r="AB147" s="395" t="str">
        <f>IFERROR(IF($C147&lt;1,"",AB$3*일별반별!AE147),0)</f>
        <v/>
      </c>
      <c r="AC147" s="208" t="str">
        <f>IFERROR(IF($C147&lt;1,"",AC$3*일별반별!AF147),0)</f>
        <v/>
      </c>
      <c r="AD147" s="208" t="str">
        <f>IFERROR(IF($C147&lt;1,"",AD$3*일별반별!AG147),0)</f>
        <v/>
      </c>
      <c r="AE147" s="208" t="str">
        <f>IFERROR(IF($C147&lt;1,"",AE$3*일별반별!AH147),0)</f>
        <v/>
      </c>
      <c r="AF147" s="395" t="str">
        <f>IFERROR(IF($C147&lt;1,"",AF$3*일별반별!AI147),0)</f>
        <v/>
      </c>
      <c r="AG147" s="395" t="str">
        <f>IFERROR(IF($C147&lt;1,"",AG$3*일별반별!AJ147),0)</f>
        <v/>
      </c>
      <c r="AH147" s="395" t="str">
        <f>IFERROR(IF($C147&lt;1,"",AH$3*일별반별!AK147),0)</f>
        <v/>
      </c>
      <c r="AI147" s="395" t="str">
        <f>IFERROR(IF($C147&lt;1,"",AI$3*일별반별!AL147),0)</f>
        <v/>
      </c>
      <c r="AJ147" s="395" t="str">
        <f>IFERROR(IF($C147&lt;1,"",AJ$3*일별반별!AM147),0)</f>
        <v/>
      </c>
      <c r="AK147" s="395" t="str">
        <f>IFERROR(IF($C147&lt;1,"",AK$3*일별반별!AN147),0)</f>
        <v/>
      </c>
      <c r="AL147" s="395" t="str">
        <f>IFERROR(IF($C147&lt;1,"",AL$3*일별반별!AO147),0)</f>
        <v/>
      </c>
      <c r="AM147" s="395" t="str">
        <f>IFERROR(IF($C147&lt;1,"",AM$3*일별반별!AP147),0)</f>
        <v/>
      </c>
      <c r="AN147" s="395" t="str">
        <f>IFERROR(IF($C147&lt;1,"",AN$3*일별반별!AQ147),0)</f>
        <v/>
      </c>
      <c r="AO147" s="395" t="str">
        <f>IFERROR(IF($C147&lt;1,"",AO$3*일별반별!AR147),0)</f>
        <v/>
      </c>
      <c r="AP147" s="347" t="str">
        <f>IFERROR(IF($C147&lt;1,"",AP$3*일별반별!AS147),0)</f>
        <v/>
      </c>
      <c r="AQ147" s="347" t="str">
        <f>IFERROR(IF($C147&lt;1,"",AQ$3*일별반별!AT147),0)</f>
        <v/>
      </c>
      <c r="AR147" s="316" t="str">
        <f>IFERROR(IF($C147&lt;1,"",AR$3*일별반별!AU147),0)</f>
        <v/>
      </c>
      <c r="AS147" s="401" t="str">
        <f>IFERROR(IF($C147&lt;1,"",AS$3*일별반별!AV147),0)</f>
        <v/>
      </c>
      <c r="AT147" s="401" t="str">
        <f>IFERROR(IF($C147&lt;1,"",AT$3*일별반별!AW147),0)</f>
        <v/>
      </c>
      <c r="AU147" s="401" t="str">
        <f>IFERROR(IF($C147&lt;1,"",AU$3*일별반별!AX147),0)</f>
        <v/>
      </c>
      <c r="AV147" s="401" t="str">
        <f>IFERROR(IF($C147&lt;1,"",AV$3*일별반별!AY147),0)</f>
        <v/>
      </c>
      <c r="AW147" s="401" t="str">
        <f>IFERROR(IF($C147&lt;1,"",AW$3*일별반별!AZ147),0)</f>
        <v/>
      </c>
      <c r="AX147" s="401" t="str">
        <f>IFERROR(IF($C147&lt;1,"",AX$3*일별반별!BA147),0)</f>
        <v/>
      </c>
      <c r="AY147" s="401" t="str">
        <f>IFERROR(IF($C147&lt;1,"",AY$3*일별반별!BB147),0)</f>
        <v/>
      </c>
      <c r="AZ147" s="401" t="str">
        <f>IFERROR(IF($C147&lt;1,"",AZ$3*일별반별!BC147),0)</f>
        <v/>
      </c>
      <c r="BA147" s="401" t="str">
        <f>IFERROR(IF($C147&lt;1,"",BA$3*일별반별!BD147),0)</f>
        <v/>
      </c>
      <c r="BB147" s="402" t="str">
        <f>IFERROR(IF($C147&lt;1,"",BB$3*일별반별!BE147),0)</f>
        <v/>
      </c>
      <c r="BC147" s="402" t="str">
        <f>IFERROR(IF($C147&lt;1,"",BC$3*일별반별!BF147),0)</f>
        <v/>
      </c>
      <c r="BD147" s="402" t="str">
        <f>IFERROR(IF($C147&lt;1,"",BD$3*일별반별!BG147),0)</f>
        <v/>
      </c>
      <c r="BE147" s="402" t="str">
        <f>IFERROR(IF($C147&lt;1,"",BE$3*일별반별!BH147),0)</f>
        <v/>
      </c>
      <c r="BF147" s="402" t="str">
        <f>IFERROR(IF($C147&lt;1,"",BF$3*일별반별!BI147),0)</f>
        <v/>
      </c>
      <c r="BG147" s="402" t="str">
        <f>IFERROR(IF($C147&lt;1,"",BG$3*일별반별!BJ147),0)</f>
        <v/>
      </c>
      <c r="BH147" s="402" t="str">
        <f>IFERROR(IF($C147&lt;1,"",BH$3*일별반별!BK147),0)</f>
        <v/>
      </c>
      <c r="BI147" s="402" t="str">
        <f>IFERROR(IF($C147&lt;1,"",BI$3*일별반별!BL147),0)</f>
        <v/>
      </c>
      <c r="BJ147" s="402" t="str">
        <f>IFERROR(IF($C147&lt;1,"",BJ$3*일별반별!BM147),0)</f>
        <v/>
      </c>
      <c r="BK147" s="402" t="str">
        <f>IFERROR(IF($C147&lt;1,"",BK$3*일별반별!BN147),0)</f>
        <v/>
      </c>
      <c r="BL147" s="402" t="str">
        <f>IFERROR(IF($C147&lt;1,"",BL$3*일별반별!BH147),0)</f>
        <v/>
      </c>
      <c r="BM147" s="402" t="str">
        <f>IFERROR(IF($C147&lt;1,"",BM$3*일별반별!BP147),0)</f>
        <v/>
      </c>
      <c r="BN147" s="401" t="str">
        <f>IFERROR(IF($C147&lt;1,"",BN$3*일별반별!BQ147),0)</f>
        <v/>
      </c>
      <c r="BO147" s="401" t="str">
        <f>IFERROR(IF($C147&lt;1,"",BO$3*일별반별!BR147),0)</f>
        <v/>
      </c>
      <c r="BP147" s="401" t="str">
        <f>IFERROR(IF($C147&lt;1,"",BP$3*일별반별!BS147),0)</f>
        <v/>
      </c>
      <c r="BQ147" s="401" t="str">
        <f>IFERROR(IF($C147&lt;1,"",BQ$3*일별반별!BT147),0)</f>
        <v/>
      </c>
      <c r="BR147" s="417" t="str">
        <f>IFERROR(IF($C147&lt;1,"",BR$3*일별반별!BU147),0)</f>
        <v/>
      </c>
      <c r="BS147" s="417" t="str">
        <f>IFERROR(IF($C147&lt;1,"",BS$3*일별반별!BV147),0)</f>
        <v/>
      </c>
      <c r="BT147" s="417" t="str">
        <f>IFERROR(IF($C147&lt;1,"",BT$3*일별반별!BW147),0)</f>
        <v/>
      </c>
      <c r="BU147" s="316" t="str">
        <f>IFERROR(IF($C147&lt;1,"",BU$3*일별반별!BX147),0)</f>
        <v/>
      </c>
      <c r="BV147" s="316" t="str">
        <f>IFERROR(IF($C147&lt;1,"",BV$3*일별반별!BY147),0)</f>
        <v/>
      </c>
      <c r="BW147" s="316" t="str">
        <f>IFERROR(IF($C147&lt;1,"",BW$3*일별반별!BZ147),0)</f>
        <v/>
      </c>
      <c r="BX147" s="316" t="str">
        <f>IFERROR(IF($C147&lt;1,"",BX$3*일별반별!CA147),0)</f>
        <v/>
      </c>
      <c r="BY147" s="316" t="str">
        <f>IFERROR(IF($C147&lt;1,"",BY$3*일별반별!CB147),0)</f>
        <v/>
      </c>
      <c r="BZ147" s="316" t="str">
        <f>IFERROR(IF($C147&lt;1,"",BZ$3*일별반별!CC147),0)</f>
        <v/>
      </c>
      <c r="CA147" s="316" t="str">
        <f>IFERROR(IF($C147&lt;1,"",CA$3*일별반별!CD147),0)</f>
        <v/>
      </c>
      <c r="CB147" s="316" t="str">
        <f>IFERROR(IF($C147&lt;1,"",CB$3*일별반별!CE147),0)</f>
        <v/>
      </c>
      <c r="CC147" s="316" t="str">
        <f>IFERROR(IF($C147&lt;1,"",CC$3*일별반별!CF147),0)</f>
        <v/>
      </c>
      <c r="CD147" s="316" t="str">
        <f>IFERROR(IF($C147&lt;1,"",CD$3*일별반별!CG147),0)</f>
        <v/>
      </c>
      <c r="CE147" s="316" t="str">
        <f>IFERROR(IF($C147&lt;1,"",CE$3*일별반별!CH147),0)</f>
        <v/>
      </c>
      <c r="CF147" s="316" t="str">
        <f>IFERROR(IF($C147&lt;1,"",CF$3*일별반별!CI147),0)</f>
        <v/>
      </c>
      <c r="CG147" s="316" t="str">
        <f>IFERROR(IF($C147&lt;1,"",CG$3*일별반별!CJ147),0)</f>
        <v/>
      </c>
      <c r="CH147" s="316" t="str">
        <f>IFERROR(IF($C147&lt;1,"",CH$3*일별반별!CK147),0)</f>
        <v/>
      </c>
      <c r="CI147" s="316" t="str">
        <f>IFERROR(IF($C147&lt;1,"",CI$3*일별반별!CL147),0)</f>
        <v/>
      </c>
      <c r="CJ147" s="316" t="str">
        <f>IFERROR(IF($C147&lt;1,"",CJ$3*일별반별!CM147),0)</f>
        <v/>
      </c>
      <c r="CK147" s="316" t="str">
        <f>IFERROR(IF($C147&lt;1,"",CK$3*일별반별!CN147),0)</f>
        <v/>
      </c>
      <c r="CL147" s="316" t="str">
        <f>IFERROR(IF($C147&lt;1,"",CL$3*일별반별!CO147),0)</f>
        <v/>
      </c>
      <c r="CM147" s="316" t="str">
        <f>IFERROR(IF($C147&lt;1,"",CM$3*일별반별!CP147),0)</f>
        <v/>
      </c>
      <c r="CN147" s="316" t="str">
        <f>IFERROR(IF($C147&lt;1,"",CN$3*일별반별!CQ147),0)</f>
        <v/>
      </c>
      <c r="CO147" s="316" t="str">
        <f>IFERROR(IF($C147&lt;1,"",CO$3*일별반별!CR147),0)</f>
        <v/>
      </c>
      <c r="CP147" s="316" t="str">
        <f>IFERROR(IF($C147&lt;1,"",CP$3*일별반별!CS147),0)</f>
        <v/>
      </c>
      <c r="CQ147" s="316" t="str">
        <f>IFERROR(IF($C147&lt;1,"",CQ$3*일별반별!CT147),0)</f>
        <v/>
      </c>
      <c r="CR147" s="418" t="str">
        <f>IFERROR(IF($C147&lt;1,"",CR$3*일별반별!CU147),0)</f>
        <v/>
      </c>
      <c r="CS147" s="418" t="str">
        <f>IFERROR(IF($C147&lt;1,"",CS$3*일별반별!CV147),0)</f>
        <v/>
      </c>
      <c r="CT147" s="316" t="str">
        <f>IFERROR(IF($C147&lt;1,"",CT$3*일별반별!CW147),0)</f>
        <v/>
      </c>
      <c r="CU147" s="316" t="str">
        <f>IFERROR(IF($C147&lt;1,"",CU$3*일별반별!CX147),0)</f>
        <v/>
      </c>
      <c r="CV147" s="316" t="str">
        <f>IFERROR(IF($C147&lt;1,"",CV$3*일별반별!CY147),0)</f>
        <v/>
      </c>
      <c r="CW147" s="316" t="str">
        <f>IFERROR(IF($C147&lt;1,"",CW$3*일별반별!CZ147),0)</f>
        <v/>
      </c>
      <c r="CX147" s="316" t="str">
        <f>IFERROR(IF($C147&lt;1,"",CX$3*일별반별!DA147),0)</f>
        <v/>
      </c>
      <c r="CY147" s="316" t="str">
        <f>IF(C147&lt;1,"",(CY$3*'09월 조업일지'!AV$7))</f>
        <v/>
      </c>
      <c r="CZ147" s="316" t="str">
        <f t="shared" si="8"/>
        <v/>
      </c>
      <c r="DA147" s="316" t="str">
        <f t="shared" si="8"/>
        <v/>
      </c>
      <c r="DB147" s="316" t="str">
        <f t="shared" si="8"/>
        <v/>
      </c>
      <c r="DC147" s="316"/>
      <c r="DD147" s="419"/>
    </row>
    <row r="148" spans="1:108" ht="15" customHeight="1">
      <c r="A148" s="274">
        <f t="shared" si="6"/>
        <v>44041</v>
      </c>
      <c r="B148" s="275" t="s">
        <v>100</v>
      </c>
      <c r="C148" s="201">
        <f>COUNTIFS('09월 조업일지'!$A$12:$A$952,A146,'09월 조업일지'!$E$12:$E$952,B148)</f>
        <v>0</v>
      </c>
      <c r="D148" s="314">
        <f>IF(C148&lt;1,0,(SUM(E148:CX148)/(일별반별!BV148-1.5)+(CY148+CZ148+DA148+DB148)))</f>
        <v>0</v>
      </c>
      <c r="E148" s="278"/>
      <c r="F148" s="281"/>
      <c r="G148" s="282"/>
      <c r="H148" s="283"/>
      <c r="I148" s="283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326"/>
      <c r="U148" s="395" t="str">
        <f>IFERROR(IF($C148&lt;1,"",U$3*일별반별!X148),0)</f>
        <v/>
      </c>
      <c r="V148" s="395" t="str">
        <f>IFERROR(IF($C148&lt;1,"",V$3*일별반별!Y148),0)</f>
        <v/>
      </c>
      <c r="W148" s="395" t="str">
        <f>IFERROR(IF($C148&lt;1,"",W$3*일별반별!Z148),0)</f>
        <v/>
      </c>
      <c r="X148" s="208" t="str">
        <f>IFERROR(IF($C148&lt;1,"",X$3*일별반별!AA148),0)</f>
        <v/>
      </c>
      <c r="Y148" s="208" t="str">
        <f>IFERROR(IF($C148&lt;1,"",Y$3*일별반별!AB148),0)</f>
        <v/>
      </c>
      <c r="Z148" s="208" t="str">
        <f>IFERROR(IF($C148&lt;1,"",Z$3*일별반별!AC148),0)</f>
        <v/>
      </c>
      <c r="AA148" s="395" t="str">
        <f>IFERROR(IF($C148&lt;1,"",AA$3*일별반별!AD148),0)</f>
        <v/>
      </c>
      <c r="AB148" s="395" t="str">
        <f>IFERROR(IF($C148&lt;1,"",AB$3*일별반별!AE148),0)</f>
        <v/>
      </c>
      <c r="AC148" s="208" t="str">
        <f>IFERROR(IF($C148&lt;1,"",AC$3*일별반별!AF148),0)</f>
        <v/>
      </c>
      <c r="AD148" s="208" t="str">
        <f>IFERROR(IF($C148&lt;1,"",AD$3*일별반별!AG148),0)</f>
        <v/>
      </c>
      <c r="AE148" s="208" t="str">
        <f>IFERROR(IF($C148&lt;1,"",AE$3*일별반별!AH148),0)</f>
        <v/>
      </c>
      <c r="AF148" s="395" t="str">
        <f>IFERROR(IF($C148&lt;1,"",AF$3*일별반별!AI148),0)</f>
        <v/>
      </c>
      <c r="AG148" s="395" t="str">
        <f>IFERROR(IF($C148&lt;1,"",AG$3*일별반별!AJ148),0)</f>
        <v/>
      </c>
      <c r="AH148" s="395" t="str">
        <f>IFERROR(IF($C148&lt;1,"",AH$3*일별반별!AK148),0)</f>
        <v/>
      </c>
      <c r="AI148" s="395" t="str">
        <f>IFERROR(IF($C148&lt;1,"",AI$3*일별반별!AL148),0)</f>
        <v/>
      </c>
      <c r="AJ148" s="395" t="str">
        <f>IFERROR(IF($C148&lt;1,"",AJ$3*일별반별!AM148),0)</f>
        <v/>
      </c>
      <c r="AK148" s="395" t="str">
        <f>IFERROR(IF($C148&lt;1,"",AK$3*일별반별!AN148),0)</f>
        <v/>
      </c>
      <c r="AL148" s="395" t="str">
        <f>IFERROR(IF($C148&lt;1,"",AL$3*일별반별!AO148),0)</f>
        <v/>
      </c>
      <c r="AM148" s="395" t="str">
        <f>IFERROR(IF($C148&lt;1,"",AM$3*일별반별!AP148),0)</f>
        <v/>
      </c>
      <c r="AN148" s="395" t="str">
        <f>IFERROR(IF($C148&lt;1,"",AN$3*일별반별!AQ148),0)</f>
        <v/>
      </c>
      <c r="AO148" s="395" t="str">
        <f>IFERROR(IF($C148&lt;1,"",AO$3*일별반별!AR148),0)</f>
        <v/>
      </c>
      <c r="AP148" s="347" t="str">
        <f>IFERROR(IF($C148&lt;1,"",AP$3*일별반별!AS148),0)</f>
        <v/>
      </c>
      <c r="AQ148" s="347" t="str">
        <f>IFERROR(IF($C148&lt;1,"",AQ$3*일별반별!AT148),0)</f>
        <v/>
      </c>
      <c r="AR148" s="316" t="str">
        <f>IFERROR(IF($C148&lt;1,"",AR$3*일별반별!AU148),0)</f>
        <v/>
      </c>
      <c r="AS148" s="401" t="str">
        <f>IFERROR(IF($C148&lt;1,"",AS$3*일별반별!AV148),0)</f>
        <v/>
      </c>
      <c r="AT148" s="401" t="str">
        <f>IFERROR(IF($C148&lt;1,"",AT$3*일별반별!AW148),0)</f>
        <v/>
      </c>
      <c r="AU148" s="401" t="str">
        <f>IFERROR(IF($C148&lt;1,"",AU$3*일별반별!AX148),0)</f>
        <v/>
      </c>
      <c r="AV148" s="401" t="str">
        <f>IFERROR(IF($C148&lt;1,"",AV$3*일별반별!AY148),0)</f>
        <v/>
      </c>
      <c r="AW148" s="401" t="str">
        <f>IFERROR(IF($C148&lt;1,"",AW$3*일별반별!AZ148),0)</f>
        <v/>
      </c>
      <c r="AX148" s="401" t="str">
        <f>IFERROR(IF($C148&lt;1,"",AX$3*일별반별!BA148),0)</f>
        <v/>
      </c>
      <c r="AY148" s="401" t="str">
        <f>IFERROR(IF($C148&lt;1,"",AY$3*일별반별!BB148),0)</f>
        <v/>
      </c>
      <c r="AZ148" s="401" t="str">
        <f>IFERROR(IF($C148&lt;1,"",AZ$3*일별반별!BC148),0)</f>
        <v/>
      </c>
      <c r="BA148" s="401" t="str">
        <f>IFERROR(IF($C148&lt;1,"",BA$3*일별반별!BD148),0)</f>
        <v/>
      </c>
      <c r="BB148" s="402" t="str">
        <f>IFERROR(IF($C148&lt;1,"",BB$3*일별반별!BE148),0)</f>
        <v/>
      </c>
      <c r="BC148" s="402" t="str">
        <f>IFERROR(IF($C148&lt;1,"",BC$3*일별반별!BF148),0)</f>
        <v/>
      </c>
      <c r="BD148" s="402" t="str">
        <f>IFERROR(IF($C148&lt;1,"",BD$3*일별반별!BG148),0)</f>
        <v/>
      </c>
      <c r="BE148" s="402" t="str">
        <f>IFERROR(IF($C148&lt;1,"",BE$3*일별반별!BH148),0)</f>
        <v/>
      </c>
      <c r="BF148" s="402" t="str">
        <f>IFERROR(IF($C148&lt;1,"",BF$3*일별반별!BI148),0)</f>
        <v/>
      </c>
      <c r="BG148" s="402" t="str">
        <f>IFERROR(IF($C148&lt;1,"",BG$3*일별반별!BJ148),0)</f>
        <v/>
      </c>
      <c r="BH148" s="402" t="str">
        <f>IFERROR(IF($C148&lt;1,"",BH$3*일별반별!BK148),0)</f>
        <v/>
      </c>
      <c r="BI148" s="402" t="str">
        <f>IFERROR(IF($C148&lt;1,"",BI$3*일별반별!BL148),0)</f>
        <v/>
      </c>
      <c r="BJ148" s="402" t="str">
        <f>IFERROR(IF($C148&lt;1,"",BJ$3*일별반별!BM148),0)</f>
        <v/>
      </c>
      <c r="BK148" s="402" t="str">
        <f>IFERROR(IF($C148&lt;1,"",BK$3*일별반별!BN148),0)</f>
        <v/>
      </c>
      <c r="BL148" s="402" t="str">
        <f>IFERROR(IF($C148&lt;1,"",BL$3*일별반별!BH148),0)</f>
        <v/>
      </c>
      <c r="BM148" s="402" t="str">
        <f>IFERROR(IF($C148&lt;1,"",BM$3*일별반별!BP148),0)</f>
        <v/>
      </c>
      <c r="BN148" s="401" t="str">
        <f>IFERROR(IF($C148&lt;1,"",BN$3*일별반별!BQ148),0)</f>
        <v/>
      </c>
      <c r="BO148" s="401" t="str">
        <f>IFERROR(IF($C148&lt;1,"",BO$3*일별반별!BR148),0)</f>
        <v/>
      </c>
      <c r="BP148" s="401" t="str">
        <f>IFERROR(IF($C148&lt;1,"",BP$3*일별반별!BS148),0)</f>
        <v/>
      </c>
      <c r="BQ148" s="401" t="str">
        <f>IFERROR(IF($C148&lt;1,"",BQ$3*일별반별!BT148),0)</f>
        <v/>
      </c>
      <c r="BR148" s="417" t="str">
        <f>IFERROR(IF($C148&lt;1,"",BR$3*일별반별!BU148),0)</f>
        <v/>
      </c>
      <c r="BS148" s="417" t="str">
        <f>IFERROR(IF($C148&lt;1,"",BS$3*일별반별!BV148),0)</f>
        <v/>
      </c>
      <c r="BT148" s="417" t="str">
        <f>IFERROR(IF($C148&lt;1,"",BT$3*일별반별!BW148),0)</f>
        <v/>
      </c>
      <c r="BU148" s="316" t="str">
        <f>IFERROR(IF($C148&lt;1,"",BU$3*일별반별!BX148),0)</f>
        <v/>
      </c>
      <c r="BV148" s="316" t="str">
        <f>IFERROR(IF($C148&lt;1,"",BV$3*일별반별!BY148),0)</f>
        <v/>
      </c>
      <c r="BW148" s="316" t="str">
        <f>IFERROR(IF($C148&lt;1,"",BW$3*일별반별!BZ148),0)</f>
        <v/>
      </c>
      <c r="BX148" s="316" t="str">
        <f>IFERROR(IF($C148&lt;1,"",BX$3*일별반별!CA148),0)</f>
        <v/>
      </c>
      <c r="BY148" s="316" t="str">
        <f>IFERROR(IF($C148&lt;1,"",BY$3*일별반별!CB148),0)</f>
        <v/>
      </c>
      <c r="BZ148" s="316" t="str">
        <f>IFERROR(IF($C148&lt;1,"",BZ$3*일별반별!CC148),0)</f>
        <v/>
      </c>
      <c r="CA148" s="316" t="str">
        <f>IFERROR(IF($C148&lt;1,"",CA$3*일별반별!CD148),0)</f>
        <v/>
      </c>
      <c r="CB148" s="316" t="str">
        <f>IFERROR(IF($C148&lt;1,"",CB$3*일별반별!CE148),0)</f>
        <v/>
      </c>
      <c r="CC148" s="316" t="str">
        <f>IFERROR(IF($C148&lt;1,"",CC$3*일별반별!CF148),0)</f>
        <v/>
      </c>
      <c r="CD148" s="316" t="str">
        <f>IFERROR(IF($C148&lt;1,"",CD$3*일별반별!CG148),0)</f>
        <v/>
      </c>
      <c r="CE148" s="316" t="str">
        <f>IFERROR(IF($C148&lt;1,"",CE$3*일별반별!CH148),0)</f>
        <v/>
      </c>
      <c r="CF148" s="316" t="str">
        <f>IFERROR(IF($C148&lt;1,"",CF$3*일별반별!CI148),0)</f>
        <v/>
      </c>
      <c r="CG148" s="316" t="str">
        <f>IFERROR(IF($C148&lt;1,"",CG$3*일별반별!CJ148),0)</f>
        <v/>
      </c>
      <c r="CH148" s="316" t="str">
        <f>IFERROR(IF($C148&lt;1,"",CH$3*일별반별!CK148),0)</f>
        <v/>
      </c>
      <c r="CI148" s="316" t="str">
        <f>IFERROR(IF($C148&lt;1,"",CI$3*일별반별!CL148),0)</f>
        <v/>
      </c>
      <c r="CJ148" s="316" t="str">
        <f>IFERROR(IF($C148&lt;1,"",CJ$3*일별반별!CM148),0)</f>
        <v/>
      </c>
      <c r="CK148" s="316" t="str">
        <f>IFERROR(IF($C148&lt;1,"",CK$3*일별반별!CN148),0)</f>
        <v/>
      </c>
      <c r="CL148" s="316" t="str">
        <f>IFERROR(IF($C148&lt;1,"",CL$3*일별반별!CO148),0)</f>
        <v/>
      </c>
      <c r="CM148" s="316" t="str">
        <f>IFERROR(IF($C148&lt;1,"",CM$3*일별반별!CP148),0)</f>
        <v/>
      </c>
      <c r="CN148" s="316" t="str">
        <f>IFERROR(IF($C148&lt;1,"",CN$3*일별반별!CQ148),0)</f>
        <v/>
      </c>
      <c r="CO148" s="316" t="str">
        <f>IFERROR(IF($C148&lt;1,"",CO$3*일별반별!CR148),0)</f>
        <v/>
      </c>
      <c r="CP148" s="316" t="str">
        <f>IFERROR(IF($C148&lt;1,"",CP$3*일별반별!CS148),0)</f>
        <v/>
      </c>
      <c r="CQ148" s="316" t="str">
        <f>IFERROR(IF($C148&lt;1,"",CQ$3*일별반별!CT148),0)</f>
        <v/>
      </c>
      <c r="CR148" s="418" t="str">
        <f>IFERROR(IF($C148&lt;1,"",CR$3*일별반별!CU148),0)</f>
        <v/>
      </c>
      <c r="CS148" s="418" t="str">
        <f>IFERROR(IF($C148&lt;1,"",CS$3*일별반별!CV148),0)</f>
        <v/>
      </c>
      <c r="CT148" s="316" t="str">
        <f>IFERROR(IF($C148&lt;1,"",CT$3*일별반별!CW148),0)</f>
        <v/>
      </c>
      <c r="CU148" s="316" t="str">
        <f>IFERROR(IF($C148&lt;1,"",CU$3*일별반별!CX148),0)</f>
        <v/>
      </c>
      <c r="CV148" s="316" t="str">
        <f>IFERROR(IF($C148&lt;1,"",CV$3*일별반별!CY148),0)</f>
        <v/>
      </c>
      <c r="CW148" s="316" t="str">
        <f>IFERROR(IF($C148&lt;1,"",CW$3*일별반별!CZ148),0)</f>
        <v/>
      </c>
      <c r="CX148" s="316" t="str">
        <f>IFERROR(IF($C148&lt;1,"",CX$3*일별반별!DA148),0)</f>
        <v/>
      </c>
      <c r="CY148" s="316" t="str">
        <f>IF(C148&lt;1,"",(CY$3*'09월 조업일지'!AV$7))</f>
        <v/>
      </c>
      <c r="CZ148" s="316" t="str">
        <f t="shared" si="8"/>
        <v/>
      </c>
      <c r="DA148" s="316" t="str">
        <f t="shared" si="8"/>
        <v/>
      </c>
      <c r="DB148" s="316" t="str">
        <f t="shared" si="8"/>
        <v/>
      </c>
      <c r="DC148" s="316"/>
      <c r="DD148" s="419"/>
    </row>
    <row r="149" spans="1:108" ht="15" customHeight="1">
      <c r="A149" s="274">
        <f t="shared" si="6"/>
        <v>44041</v>
      </c>
      <c r="B149" s="275" t="s">
        <v>10</v>
      </c>
      <c r="C149" s="201">
        <f>COUNTIFS('09월 조업일지'!$A$12:$A$952,A146,'09월 조업일지'!$E$12:$E$952,B149)</f>
        <v>0</v>
      </c>
      <c r="D149" s="314">
        <f>IF(C149&lt;1,0,(SUM(E149:CX149)/(일별반별!BV149-1.5)+(CY149+CZ149+DA149+DB149)))</f>
        <v>0</v>
      </c>
      <c r="E149" s="278"/>
      <c r="F149" s="281"/>
      <c r="G149" s="282"/>
      <c r="H149" s="283"/>
      <c r="I149" s="283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326"/>
      <c r="U149" s="395" t="str">
        <f>IFERROR(IF($C149&lt;1,"",U$3*일별반별!X149),0)</f>
        <v/>
      </c>
      <c r="V149" s="395" t="str">
        <f>IFERROR(IF($C149&lt;1,"",V$3*일별반별!Y149),0)</f>
        <v/>
      </c>
      <c r="W149" s="395" t="str">
        <f>IFERROR(IF($C149&lt;1,"",W$3*일별반별!Z149),0)</f>
        <v/>
      </c>
      <c r="X149" s="208" t="str">
        <f>IFERROR(IF($C149&lt;1,"",X$3*일별반별!AA149),0)</f>
        <v/>
      </c>
      <c r="Y149" s="208" t="str">
        <f>IFERROR(IF($C149&lt;1,"",Y$3*일별반별!AB149),0)</f>
        <v/>
      </c>
      <c r="Z149" s="208" t="str">
        <f>IFERROR(IF($C149&lt;1,"",Z$3*일별반별!AC149),0)</f>
        <v/>
      </c>
      <c r="AA149" s="395" t="str">
        <f>IFERROR(IF($C149&lt;1,"",AA$3*일별반별!AD149),0)</f>
        <v/>
      </c>
      <c r="AB149" s="395" t="str">
        <f>IFERROR(IF($C149&lt;1,"",AB$3*일별반별!AE149),0)</f>
        <v/>
      </c>
      <c r="AC149" s="208" t="str">
        <f>IFERROR(IF($C149&lt;1,"",AC$3*일별반별!AF149),0)</f>
        <v/>
      </c>
      <c r="AD149" s="208" t="str">
        <f>IFERROR(IF($C149&lt;1,"",AD$3*일별반별!AG149),0)</f>
        <v/>
      </c>
      <c r="AE149" s="208" t="str">
        <f>IFERROR(IF($C149&lt;1,"",AE$3*일별반별!AH149),0)</f>
        <v/>
      </c>
      <c r="AF149" s="395" t="str">
        <f>IFERROR(IF($C149&lt;1,"",AF$3*일별반별!AI149),0)</f>
        <v/>
      </c>
      <c r="AG149" s="395" t="str">
        <f>IFERROR(IF($C149&lt;1,"",AG$3*일별반별!AJ149),0)</f>
        <v/>
      </c>
      <c r="AH149" s="395" t="str">
        <f>IFERROR(IF($C149&lt;1,"",AH$3*일별반별!AK149),0)</f>
        <v/>
      </c>
      <c r="AI149" s="395" t="str">
        <f>IFERROR(IF($C149&lt;1,"",AI$3*일별반별!AL149),0)</f>
        <v/>
      </c>
      <c r="AJ149" s="395" t="str">
        <f>IFERROR(IF($C149&lt;1,"",AJ$3*일별반별!AM149),0)</f>
        <v/>
      </c>
      <c r="AK149" s="395" t="str">
        <f>IFERROR(IF($C149&lt;1,"",AK$3*일별반별!AN149),0)</f>
        <v/>
      </c>
      <c r="AL149" s="395" t="str">
        <f>IFERROR(IF($C149&lt;1,"",AL$3*일별반별!AO149),0)</f>
        <v/>
      </c>
      <c r="AM149" s="395" t="str">
        <f>IFERROR(IF($C149&lt;1,"",AM$3*일별반별!AP149),0)</f>
        <v/>
      </c>
      <c r="AN149" s="395" t="str">
        <f>IFERROR(IF($C149&lt;1,"",AN$3*일별반별!AQ149),0)</f>
        <v/>
      </c>
      <c r="AO149" s="395" t="str">
        <f>IFERROR(IF($C149&lt;1,"",AO$3*일별반별!AR149),0)</f>
        <v/>
      </c>
      <c r="AP149" s="347" t="str">
        <f>IFERROR(IF($C149&lt;1,"",AP$3*일별반별!AS149),0)</f>
        <v/>
      </c>
      <c r="AQ149" s="347" t="str">
        <f>IFERROR(IF($C149&lt;1,"",AQ$3*일별반별!AT149),0)</f>
        <v/>
      </c>
      <c r="AR149" s="316" t="str">
        <f>IFERROR(IF($C149&lt;1,"",AR$3*일별반별!AU149),0)</f>
        <v/>
      </c>
      <c r="AS149" s="401" t="str">
        <f>IFERROR(IF($C149&lt;1,"",AS$3*일별반별!AV149),0)</f>
        <v/>
      </c>
      <c r="AT149" s="401" t="str">
        <f>IFERROR(IF($C149&lt;1,"",AT$3*일별반별!AW149),0)</f>
        <v/>
      </c>
      <c r="AU149" s="401" t="str">
        <f>IFERROR(IF($C149&lt;1,"",AU$3*일별반별!AX149),0)</f>
        <v/>
      </c>
      <c r="AV149" s="401" t="str">
        <f>IFERROR(IF($C149&lt;1,"",AV$3*일별반별!AY149),0)</f>
        <v/>
      </c>
      <c r="AW149" s="401" t="str">
        <f>IFERROR(IF($C149&lt;1,"",AW$3*일별반별!AZ149),0)</f>
        <v/>
      </c>
      <c r="AX149" s="401" t="str">
        <f>IFERROR(IF($C149&lt;1,"",AX$3*일별반별!BA149),0)</f>
        <v/>
      </c>
      <c r="AY149" s="401" t="str">
        <f>IFERROR(IF($C149&lt;1,"",AY$3*일별반별!BB149),0)</f>
        <v/>
      </c>
      <c r="AZ149" s="401" t="str">
        <f>IFERROR(IF($C149&lt;1,"",AZ$3*일별반별!BC149),0)</f>
        <v/>
      </c>
      <c r="BA149" s="401" t="str">
        <f>IFERROR(IF($C149&lt;1,"",BA$3*일별반별!BD149),0)</f>
        <v/>
      </c>
      <c r="BB149" s="402" t="str">
        <f>IFERROR(IF($C149&lt;1,"",BB$3*일별반별!BE149),0)</f>
        <v/>
      </c>
      <c r="BC149" s="402" t="str">
        <f>IFERROR(IF($C149&lt;1,"",BC$3*일별반별!BF149),0)</f>
        <v/>
      </c>
      <c r="BD149" s="402" t="str">
        <f>IFERROR(IF($C149&lt;1,"",BD$3*일별반별!BG149),0)</f>
        <v/>
      </c>
      <c r="BE149" s="402" t="str">
        <f>IFERROR(IF($C149&lt;1,"",BE$3*일별반별!BH149),0)</f>
        <v/>
      </c>
      <c r="BF149" s="402" t="str">
        <f>IFERROR(IF($C149&lt;1,"",BF$3*일별반별!BI149),0)</f>
        <v/>
      </c>
      <c r="BG149" s="402" t="str">
        <f>IFERROR(IF($C149&lt;1,"",BG$3*일별반별!BJ149),0)</f>
        <v/>
      </c>
      <c r="BH149" s="402" t="str">
        <f>IFERROR(IF($C149&lt;1,"",BH$3*일별반별!BK149),0)</f>
        <v/>
      </c>
      <c r="BI149" s="402" t="str">
        <f>IFERROR(IF($C149&lt;1,"",BI$3*일별반별!BL149),0)</f>
        <v/>
      </c>
      <c r="BJ149" s="402" t="str">
        <f>IFERROR(IF($C149&lt;1,"",BJ$3*일별반별!BM149),0)</f>
        <v/>
      </c>
      <c r="BK149" s="402" t="str">
        <f>IFERROR(IF($C149&lt;1,"",BK$3*일별반별!BN149),0)</f>
        <v/>
      </c>
      <c r="BL149" s="402" t="str">
        <f>IFERROR(IF($C149&lt;1,"",BL$3*일별반별!BH149),0)</f>
        <v/>
      </c>
      <c r="BM149" s="402" t="str">
        <f>IFERROR(IF($C149&lt;1,"",BM$3*일별반별!BP149),0)</f>
        <v/>
      </c>
      <c r="BN149" s="401" t="str">
        <f>IFERROR(IF($C149&lt;1,"",BN$3*일별반별!BQ149),0)</f>
        <v/>
      </c>
      <c r="BO149" s="401" t="str">
        <f>IFERROR(IF($C149&lt;1,"",BO$3*일별반별!BR149),0)</f>
        <v/>
      </c>
      <c r="BP149" s="401" t="str">
        <f>IFERROR(IF($C149&lt;1,"",BP$3*일별반별!BS149),0)</f>
        <v/>
      </c>
      <c r="BQ149" s="401" t="str">
        <f>IFERROR(IF($C149&lt;1,"",BQ$3*일별반별!BT149),0)</f>
        <v/>
      </c>
      <c r="BR149" s="417" t="str">
        <f>IFERROR(IF($C149&lt;1,"",BR$3*일별반별!BU149),0)</f>
        <v/>
      </c>
      <c r="BS149" s="417" t="str">
        <f>IFERROR(IF($C149&lt;1,"",BS$3*일별반별!BV149),0)</f>
        <v/>
      </c>
      <c r="BT149" s="417" t="str">
        <f>IFERROR(IF($C149&lt;1,"",BT$3*일별반별!BW149),0)</f>
        <v/>
      </c>
      <c r="BU149" s="316" t="str">
        <f>IFERROR(IF($C149&lt;1,"",BU$3*일별반별!BX149),0)</f>
        <v/>
      </c>
      <c r="BV149" s="316" t="str">
        <f>IFERROR(IF($C149&lt;1,"",BV$3*일별반별!BY149),0)</f>
        <v/>
      </c>
      <c r="BW149" s="316" t="str">
        <f>IFERROR(IF($C149&lt;1,"",BW$3*일별반별!BZ149),0)</f>
        <v/>
      </c>
      <c r="BX149" s="316" t="str">
        <f>IFERROR(IF($C149&lt;1,"",BX$3*일별반별!CA149),0)</f>
        <v/>
      </c>
      <c r="BY149" s="316" t="str">
        <f>IFERROR(IF($C149&lt;1,"",BY$3*일별반별!CB149),0)</f>
        <v/>
      </c>
      <c r="BZ149" s="316" t="str">
        <f>IFERROR(IF($C149&lt;1,"",BZ$3*일별반별!CC149),0)</f>
        <v/>
      </c>
      <c r="CA149" s="316" t="str">
        <f>IFERROR(IF($C149&lt;1,"",CA$3*일별반별!CD149),0)</f>
        <v/>
      </c>
      <c r="CB149" s="316" t="str">
        <f>IFERROR(IF($C149&lt;1,"",CB$3*일별반별!CE149),0)</f>
        <v/>
      </c>
      <c r="CC149" s="316" t="str">
        <f>IFERROR(IF($C149&lt;1,"",CC$3*일별반별!CF149),0)</f>
        <v/>
      </c>
      <c r="CD149" s="316" t="str">
        <f>IFERROR(IF($C149&lt;1,"",CD$3*일별반별!CG149),0)</f>
        <v/>
      </c>
      <c r="CE149" s="316" t="str">
        <f>IFERROR(IF($C149&lt;1,"",CE$3*일별반별!CH149),0)</f>
        <v/>
      </c>
      <c r="CF149" s="316" t="str">
        <f>IFERROR(IF($C149&lt;1,"",CF$3*일별반별!CI149),0)</f>
        <v/>
      </c>
      <c r="CG149" s="316" t="str">
        <f>IFERROR(IF($C149&lt;1,"",CG$3*일별반별!CJ149),0)</f>
        <v/>
      </c>
      <c r="CH149" s="316" t="str">
        <f>IFERROR(IF($C149&lt;1,"",CH$3*일별반별!CK149),0)</f>
        <v/>
      </c>
      <c r="CI149" s="316" t="str">
        <f>IFERROR(IF($C149&lt;1,"",CI$3*일별반별!CL149),0)</f>
        <v/>
      </c>
      <c r="CJ149" s="316" t="str">
        <f>IFERROR(IF($C149&lt;1,"",CJ$3*일별반별!CM149),0)</f>
        <v/>
      </c>
      <c r="CK149" s="316" t="str">
        <f>IFERROR(IF($C149&lt;1,"",CK$3*일별반별!CN149),0)</f>
        <v/>
      </c>
      <c r="CL149" s="316" t="str">
        <f>IFERROR(IF($C149&lt;1,"",CL$3*일별반별!CO149),0)</f>
        <v/>
      </c>
      <c r="CM149" s="316" t="str">
        <f>IFERROR(IF($C149&lt;1,"",CM$3*일별반별!CP149),0)</f>
        <v/>
      </c>
      <c r="CN149" s="316" t="str">
        <f>IFERROR(IF($C149&lt;1,"",CN$3*일별반별!CQ149),0)</f>
        <v/>
      </c>
      <c r="CO149" s="316" t="str">
        <f>IFERROR(IF($C149&lt;1,"",CO$3*일별반별!CR149),0)</f>
        <v/>
      </c>
      <c r="CP149" s="316" t="str">
        <f>IFERROR(IF($C149&lt;1,"",CP$3*일별반별!CS149),0)</f>
        <v/>
      </c>
      <c r="CQ149" s="316" t="str">
        <f>IFERROR(IF($C149&lt;1,"",CQ$3*일별반별!CT149),0)</f>
        <v/>
      </c>
      <c r="CR149" s="418" t="str">
        <f>IFERROR(IF($C149&lt;1,"",CR$3*일별반별!CU149),0)</f>
        <v/>
      </c>
      <c r="CS149" s="418" t="str">
        <f>IFERROR(IF($C149&lt;1,"",CS$3*일별반별!CV149),0)</f>
        <v/>
      </c>
      <c r="CT149" s="316" t="str">
        <f>IFERROR(IF($C149&lt;1,"",CT$3*일별반별!CW149),0)</f>
        <v/>
      </c>
      <c r="CU149" s="316" t="str">
        <f>IFERROR(IF($C149&lt;1,"",CU$3*일별반별!CX149),0)</f>
        <v/>
      </c>
      <c r="CV149" s="316" t="str">
        <f>IFERROR(IF($C149&lt;1,"",CV$3*일별반별!CY149),0)</f>
        <v/>
      </c>
      <c r="CW149" s="316" t="str">
        <f>IFERROR(IF($C149&lt;1,"",CW$3*일별반별!CZ149),0)</f>
        <v/>
      </c>
      <c r="CX149" s="316" t="str">
        <f>IFERROR(IF($C149&lt;1,"",CX$3*일별반별!DA149),0)</f>
        <v/>
      </c>
      <c r="CY149" s="316" t="str">
        <f>IF(C149&lt;1,"",(CY$3*'09월 조업일지'!AV$7))</f>
        <v/>
      </c>
      <c r="CZ149" s="316" t="str">
        <f t="shared" si="8"/>
        <v/>
      </c>
      <c r="DA149" s="316" t="str">
        <f t="shared" si="8"/>
        <v/>
      </c>
      <c r="DB149" s="316" t="str">
        <f t="shared" si="8"/>
        <v/>
      </c>
      <c r="DC149" s="316"/>
      <c r="DD149" s="419"/>
    </row>
    <row r="150" spans="1:108" ht="15" customHeight="1">
      <c r="A150" s="274">
        <f t="shared" si="6"/>
        <v>44041</v>
      </c>
      <c r="B150" s="275" t="s">
        <v>94</v>
      </c>
      <c r="C150" s="201">
        <f>COUNTIFS('09월 조업일지'!$A$12:$A$952,A146,'09월 조업일지'!$E$12:$E$952,B150)</f>
        <v>0</v>
      </c>
      <c r="D150" s="314">
        <f>IF(C150&lt;1,0,(SUM(E150:CX150)/(일별반별!BV150-1.5)+(CY150+CZ150+DA150+DB150)))</f>
        <v>0</v>
      </c>
      <c r="E150" s="278"/>
      <c r="F150" s="281"/>
      <c r="G150" s="282"/>
      <c r="H150" s="283"/>
      <c r="I150" s="283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326"/>
      <c r="U150" s="395" t="str">
        <f>IFERROR(IF($C150&lt;1,"",U$3*일별반별!X150),0)</f>
        <v/>
      </c>
      <c r="V150" s="395" t="str">
        <f>IFERROR(IF($C150&lt;1,"",V$3*일별반별!Y150),0)</f>
        <v/>
      </c>
      <c r="W150" s="395" t="str">
        <f>IFERROR(IF($C150&lt;1,"",W$3*일별반별!Z150),0)</f>
        <v/>
      </c>
      <c r="X150" s="208" t="str">
        <f>IFERROR(IF($C150&lt;1,"",X$3*일별반별!AA150),0)</f>
        <v/>
      </c>
      <c r="Y150" s="208" t="str">
        <f>IFERROR(IF($C150&lt;1,"",Y$3*일별반별!AB150),0)</f>
        <v/>
      </c>
      <c r="Z150" s="208" t="str">
        <f>IFERROR(IF($C150&lt;1,"",Z$3*일별반별!AC150),0)</f>
        <v/>
      </c>
      <c r="AA150" s="395" t="str">
        <f>IFERROR(IF($C150&lt;1,"",AA$3*일별반별!AD150),0)</f>
        <v/>
      </c>
      <c r="AB150" s="395" t="str">
        <f>IFERROR(IF($C150&lt;1,"",AB$3*일별반별!AE150),0)</f>
        <v/>
      </c>
      <c r="AC150" s="208" t="str">
        <f>IFERROR(IF($C150&lt;1,"",AC$3*일별반별!AF150),0)</f>
        <v/>
      </c>
      <c r="AD150" s="208" t="str">
        <f>IFERROR(IF($C150&lt;1,"",AD$3*일별반별!AG150),0)</f>
        <v/>
      </c>
      <c r="AE150" s="208" t="str">
        <f>IFERROR(IF($C150&lt;1,"",AE$3*일별반별!AH150),0)</f>
        <v/>
      </c>
      <c r="AF150" s="395" t="str">
        <f>IFERROR(IF($C150&lt;1,"",AF$3*일별반별!AI150),0)</f>
        <v/>
      </c>
      <c r="AG150" s="395" t="str">
        <f>IFERROR(IF($C150&lt;1,"",AG$3*일별반별!AJ150),0)</f>
        <v/>
      </c>
      <c r="AH150" s="395" t="str">
        <f>IFERROR(IF($C150&lt;1,"",AH$3*일별반별!AK150),0)</f>
        <v/>
      </c>
      <c r="AI150" s="395" t="str">
        <f>IFERROR(IF($C150&lt;1,"",AI$3*일별반별!AL150),0)</f>
        <v/>
      </c>
      <c r="AJ150" s="395" t="str">
        <f>IFERROR(IF($C150&lt;1,"",AJ$3*일별반별!AM150),0)</f>
        <v/>
      </c>
      <c r="AK150" s="395" t="str">
        <f>IFERROR(IF($C150&lt;1,"",AK$3*일별반별!AN150),0)</f>
        <v/>
      </c>
      <c r="AL150" s="395" t="str">
        <f>IFERROR(IF($C150&lt;1,"",AL$3*일별반별!AO150),0)</f>
        <v/>
      </c>
      <c r="AM150" s="395" t="str">
        <f>IFERROR(IF($C150&lt;1,"",AM$3*일별반별!AP150),0)</f>
        <v/>
      </c>
      <c r="AN150" s="395" t="str">
        <f>IFERROR(IF($C150&lt;1,"",AN$3*일별반별!AQ150),0)</f>
        <v/>
      </c>
      <c r="AO150" s="395" t="str">
        <f>IFERROR(IF($C150&lt;1,"",AO$3*일별반별!AR150),0)</f>
        <v/>
      </c>
      <c r="AP150" s="347" t="str">
        <f>IFERROR(IF($C150&lt;1,"",AP$3*일별반별!AS150),0)</f>
        <v/>
      </c>
      <c r="AQ150" s="347" t="str">
        <f>IFERROR(IF($C150&lt;1,"",AQ$3*일별반별!AT150),0)</f>
        <v/>
      </c>
      <c r="AR150" s="316" t="str">
        <f>IFERROR(IF($C150&lt;1,"",AR$3*일별반별!AU150),0)</f>
        <v/>
      </c>
      <c r="AS150" s="401" t="str">
        <f>IFERROR(IF($C150&lt;1,"",AS$3*일별반별!AV150),0)</f>
        <v/>
      </c>
      <c r="AT150" s="401" t="str">
        <f>IFERROR(IF($C150&lt;1,"",AT$3*일별반별!AW150),0)</f>
        <v/>
      </c>
      <c r="AU150" s="401" t="str">
        <f>IFERROR(IF($C150&lt;1,"",AU$3*일별반별!AX150),0)</f>
        <v/>
      </c>
      <c r="AV150" s="401" t="str">
        <f>IFERROR(IF($C150&lt;1,"",AV$3*일별반별!AY150),0)</f>
        <v/>
      </c>
      <c r="AW150" s="401" t="str">
        <f>IFERROR(IF($C150&lt;1,"",AW$3*일별반별!AZ150),0)</f>
        <v/>
      </c>
      <c r="AX150" s="401" t="str">
        <f>IFERROR(IF($C150&lt;1,"",AX$3*일별반별!BA150),0)</f>
        <v/>
      </c>
      <c r="AY150" s="401" t="str">
        <f>IFERROR(IF($C150&lt;1,"",AY$3*일별반별!BB150),0)</f>
        <v/>
      </c>
      <c r="AZ150" s="401" t="str">
        <f>IFERROR(IF($C150&lt;1,"",AZ$3*일별반별!BC150),0)</f>
        <v/>
      </c>
      <c r="BA150" s="401" t="str">
        <f>IFERROR(IF($C150&lt;1,"",BA$3*일별반별!BD150),0)</f>
        <v/>
      </c>
      <c r="BB150" s="402" t="str">
        <f>IFERROR(IF($C150&lt;1,"",BB$3*일별반별!BE150),0)</f>
        <v/>
      </c>
      <c r="BC150" s="402" t="str">
        <f>IFERROR(IF($C150&lt;1,"",BC$3*일별반별!BF150),0)</f>
        <v/>
      </c>
      <c r="BD150" s="402" t="str">
        <f>IFERROR(IF($C150&lt;1,"",BD$3*일별반별!BG150),0)</f>
        <v/>
      </c>
      <c r="BE150" s="402" t="str">
        <f>IFERROR(IF($C150&lt;1,"",BE$3*일별반별!BH150),0)</f>
        <v/>
      </c>
      <c r="BF150" s="402" t="str">
        <f>IFERROR(IF($C150&lt;1,"",BF$3*일별반별!BI150),0)</f>
        <v/>
      </c>
      <c r="BG150" s="402" t="str">
        <f>IFERROR(IF($C150&lt;1,"",BG$3*일별반별!BJ150),0)</f>
        <v/>
      </c>
      <c r="BH150" s="402" t="str">
        <f>IFERROR(IF($C150&lt;1,"",BH$3*일별반별!BK150),0)</f>
        <v/>
      </c>
      <c r="BI150" s="402" t="str">
        <f>IFERROR(IF($C150&lt;1,"",BI$3*일별반별!BL150),0)</f>
        <v/>
      </c>
      <c r="BJ150" s="402" t="str">
        <f>IFERROR(IF($C150&lt;1,"",BJ$3*일별반별!BM150),0)</f>
        <v/>
      </c>
      <c r="BK150" s="402" t="str">
        <f>IFERROR(IF($C150&lt;1,"",BK$3*일별반별!BN150),0)</f>
        <v/>
      </c>
      <c r="BL150" s="402" t="str">
        <f>IFERROR(IF($C150&lt;1,"",BL$3*일별반별!BH150),0)</f>
        <v/>
      </c>
      <c r="BM150" s="402" t="str">
        <f>IFERROR(IF($C150&lt;1,"",BM$3*일별반별!BP150),0)</f>
        <v/>
      </c>
      <c r="BN150" s="401" t="str">
        <f>IFERROR(IF($C150&lt;1,"",BN$3*일별반별!BQ150),0)</f>
        <v/>
      </c>
      <c r="BO150" s="401" t="str">
        <f>IFERROR(IF($C150&lt;1,"",BO$3*일별반별!BR150),0)</f>
        <v/>
      </c>
      <c r="BP150" s="401" t="str">
        <f>IFERROR(IF($C150&lt;1,"",BP$3*일별반별!BS150),0)</f>
        <v/>
      </c>
      <c r="BQ150" s="401" t="str">
        <f>IFERROR(IF($C150&lt;1,"",BQ$3*일별반별!BT150),0)</f>
        <v/>
      </c>
      <c r="BR150" s="417" t="str">
        <f>IFERROR(IF($C150&lt;1,"",BR$3*일별반별!BU150),0)</f>
        <v/>
      </c>
      <c r="BS150" s="417" t="str">
        <f>IFERROR(IF($C150&lt;1,"",BS$3*일별반별!BV150),0)</f>
        <v/>
      </c>
      <c r="BT150" s="417" t="str">
        <f>IFERROR(IF($C150&lt;1,"",BT$3*일별반별!BW150),0)</f>
        <v/>
      </c>
      <c r="BU150" s="316" t="str">
        <f>IFERROR(IF($C150&lt;1,"",BU$3*일별반별!BX150),0)</f>
        <v/>
      </c>
      <c r="BV150" s="316" t="str">
        <f>IFERROR(IF($C150&lt;1,"",BV$3*일별반별!BY150),0)</f>
        <v/>
      </c>
      <c r="BW150" s="316" t="str">
        <f>IFERROR(IF($C150&lt;1,"",BW$3*일별반별!BZ150),0)</f>
        <v/>
      </c>
      <c r="BX150" s="316" t="str">
        <f>IFERROR(IF($C150&lt;1,"",BX$3*일별반별!CA150),0)</f>
        <v/>
      </c>
      <c r="BY150" s="316" t="str">
        <f>IFERROR(IF($C150&lt;1,"",BY$3*일별반별!CB150),0)</f>
        <v/>
      </c>
      <c r="BZ150" s="316" t="str">
        <f>IFERROR(IF($C150&lt;1,"",BZ$3*일별반별!CC150),0)</f>
        <v/>
      </c>
      <c r="CA150" s="316" t="str">
        <f>IFERROR(IF($C150&lt;1,"",CA$3*일별반별!CD150),0)</f>
        <v/>
      </c>
      <c r="CB150" s="316" t="str">
        <f>IFERROR(IF($C150&lt;1,"",CB$3*일별반별!CE150),0)</f>
        <v/>
      </c>
      <c r="CC150" s="316" t="str">
        <f>IFERROR(IF($C150&lt;1,"",CC$3*일별반별!CF150),0)</f>
        <v/>
      </c>
      <c r="CD150" s="316" t="str">
        <f>IFERROR(IF($C150&lt;1,"",CD$3*일별반별!CG150),0)</f>
        <v/>
      </c>
      <c r="CE150" s="316" t="str">
        <f>IFERROR(IF($C150&lt;1,"",CE$3*일별반별!CH150),0)</f>
        <v/>
      </c>
      <c r="CF150" s="316" t="str">
        <f>IFERROR(IF($C150&lt;1,"",CF$3*일별반별!CI150),0)</f>
        <v/>
      </c>
      <c r="CG150" s="316" t="str">
        <f>IFERROR(IF($C150&lt;1,"",CG$3*일별반별!CJ150),0)</f>
        <v/>
      </c>
      <c r="CH150" s="316" t="str">
        <f>IFERROR(IF($C150&lt;1,"",CH$3*일별반별!CK150),0)</f>
        <v/>
      </c>
      <c r="CI150" s="316" t="str">
        <f>IFERROR(IF($C150&lt;1,"",CI$3*일별반별!CL150),0)</f>
        <v/>
      </c>
      <c r="CJ150" s="316" t="str">
        <f>IFERROR(IF($C150&lt;1,"",CJ$3*일별반별!CM150),0)</f>
        <v/>
      </c>
      <c r="CK150" s="316" t="str">
        <f>IFERROR(IF($C150&lt;1,"",CK$3*일별반별!CN150),0)</f>
        <v/>
      </c>
      <c r="CL150" s="316" t="str">
        <f>IFERROR(IF($C150&lt;1,"",CL$3*일별반별!CO150),0)</f>
        <v/>
      </c>
      <c r="CM150" s="316" t="str">
        <f>IFERROR(IF($C150&lt;1,"",CM$3*일별반별!CP150),0)</f>
        <v/>
      </c>
      <c r="CN150" s="316" t="str">
        <f>IFERROR(IF($C150&lt;1,"",CN$3*일별반별!CQ150),0)</f>
        <v/>
      </c>
      <c r="CO150" s="316" t="str">
        <f>IFERROR(IF($C150&lt;1,"",CO$3*일별반별!CR150),0)</f>
        <v/>
      </c>
      <c r="CP150" s="316" t="str">
        <f>IFERROR(IF($C150&lt;1,"",CP$3*일별반별!CS150),0)</f>
        <v/>
      </c>
      <c r="CQ150" s="316" t="str">
        <f>IFERROR(IF($C150&lt;1,"",CQ$3*일별반별!CT150),0)</f>
        <v/>
      </c>
      <c r="CR150" s="418" t="str">
        <f>IFERROR(IF($C150&lt;1,"",CR$3*일별반별!CU150),0)</f>
        <v/>
      </c>
      <c r="CS150" s="418" t="str">
        <f>IFERROR(IF($C150&lt;1,"",CS$3*일별반별!CV150),0)</f>
        <v/>
      </c>
      <c r="CT150" s="316" t="str">
        <f>IFERROR(IF($C150&lt;1,"",CT$3*일별반별!CW150),0)</f>
        <v/>
      </c>
      <c r="CU150" s="316" t="str">
        <f>IFERROR(IF($C150&lt;1,"",CU$3*일별반별!CX150),0)</f>
        <v/>
      </c>
      <c r="CV150" s="316" t="str">
        <f>IFERROR(IF($C150&lt;1,"",CV$3*일별반별!CY150),0)</f>
        <v/>
      </c>
      <c r="CW150" s="316" t="str">
        <f>IFERROR(IF($C150&lt;1,"",CW$3*일별반별!CZ150),0)</f>
        <v/>
      </c>
      <c r="CX150" s="316" t="str">
        <f>IFERROR(IF($C150&lt;1,"",CX$3*일별반별!DA150),0)</f>
        <v/>
      </c>
      <c r="CY150" s="316" t="str">
        <f>IF(C150&lt;1,"",(CY$3*'09월 조업일지'!AV$7))</f>
        <v/>
      </c>
      <c r="CZ150" s="316" t="str">
        <f t="shared" si="8"/>
        <v/>
      </c>
      <c r="DA150" s="316" t="str">
        <f t="shared" si="8"/>
        <v/>
      </c>
      <c r="DB150" s="316" t="str">
        <f t="shared" si="8"/>
        <v/>
      </c>
      <c r="DC150" s="316"/>
      <c r="DD150" s="419"/>
    </row>
    <row r="151" spans="1:108" ht="15" customHeight="1">
      <c r="A151" s="327">
        <f>A146+1</f>
        <v>44042</v>
      </c>
      <c r="B151" s="328" t="s">
        <v>31</v>
      </c>
      <c r="C151" s="329">
        <f>COUNTIF('09월 조업일지'!$A$12:$A$952,A151)</f>
        <v>0</v>
      </c>
      <c r="D151" s="330">
        <f>IF(C151&lt;1,0,(SUM(E151:CX151)/(일별반별!BV151-1.5)+(CY151+CZ151+DA151+DB151)))</f>
        <v>0</v>
      </c>
      <c r="E151" s="331"/>
      <c r="F151" s="331"/>
      <c r="G151" s="332"/>
      <c r="H151" s="333"/>
      <c r="I151" s="333"/>
      <c r="J151" s="334"/>
      <c r="K151" s="334"/>
      <c r="L151" s="334"/>
      <c r="M151" s="334"/>
      <c r="N151" s="334"/>
      <c r="O151" s="334"/>
      <c r="P151" s="334"/>
      <c r="Q151" s="335"/>
      <c r="R151" s="334"/>
      <c r="S151" s="335"/>
      <c r="T151" s="334"/>
      <c r="U151" s="337" t="str">
        <f>IFERROR(IF($C151&lt;1,"",U$3*일별반별!X151),0)</f>
        <v/>
      </c>
      <c r="V151" s="337" t="str">
        <f>IFERROR(IF($C151&lt;1,"",V$3*일별반별!Y151),0)</f>
        <v/>
      </c>
      <c r="W151" s="337" t="str">
        <f>IFERROR(IF($C151&lt;1,"",W$3*일별반별!Z151),0)</f>
        <v/>
      </c>
      <c r="X151" s="336" t="str">
        <f>IFERROR(IF($C151&lt;1,"",X$3*일별반별!AA151),0)</f>
        <v/>
      </c>
      <c r="Y151" s="336" t="str">
        <f>IFERROR(IF($C151&lt;1,"",Y$3*일별반별!AB151),0)</f>
        <v/>
      </c>
      <c r="Z151" s="336" t="str">
        <f>IFERROR(IF($C151&lt;1,"",Z$3*일별반별!AC151),0)</f>
        <v/>
      </c>
      <c r="AA151" s="337" t="str">
        <f>IFERROR(IF($C151&lt;1,"",AA$3*일별반별!AD151),0)</f>
        <v/>
      </c>
      <c r="AB151" s="337" t="str">
        <f>IFERROR(IF($C151&lt;1,"",AB$3*일별반별!AE151),0)</f>
        <v/>
      </c>
      <c r="AC151" s="336" t="str">
        <f>IFERROR(IF($C151&lt;1,"",AC$3*일별반별!AF151),0)</f>
        <v/>
      </c>
      <c r="AD151" s="336" t="str">
        <f>IFERROR(IF($C151&lt;1,"",AD$3*일별반별!AG151),0)</f>
        <v/>
      </c>
      <c r="AE151" s="336" t="str">
        <f>IFERROR(IF($C151&lt;1,"",AE$3*일별반별!AH151),0)</f>
        <v/>
      </c>
      <c r="AF151" s="337" t="str">
        <f>IFERROR(IF($C151&lt;1,"",AF$3*일별반별!AI151),0)</f>
        <v/>
      </c>
      <c r="AG151" s="337" t="str">
        <f>IFERROR(IF($C151&lt;1,"",AG$3*일별반별!AJ151),0)</f>
        <v/>
      </c>
      <c r="AH151" s="337" t="str">
        <f>IFERROR(IF($C151&lt;1,"",AH$3*일별반별!AK151),0)</f>
        <v/>
      </c>
      <c r="AI151" s="337" t="str">
        <f>IFERROR(IF($C151&lt;1,"",AI$3*일별반별!AL151),0)</f>
        <v/>
      </c>
      <c r="AJ151" s="337" t="str">
        <f>IFERROR(IF($C151&lt;1,"",AJ$3*일별반별!AM151),0)</f>
        <v/>
      </c>
      <c r="AK151" s="337" t="str">
        <f>IFERROR(IF($C151&lt;1,"",AK$3*일별반별!AN151),0)</f>
        <v/>
      </c>
      <c r="AL151" s="337" t="str">
        <f>IFERROR(IF($C151&lt;1,"",AL$3*일별반별!AO151),0)</f>
        <v/>
      </c>
      <c r="AM151" s="337" t="str">
        <f>IFERROR(IF($C151&lt;1,"",AM$3*일별반별!AP151),0)</f>
        <v/>
      </c>
      <c r="AN151" s="337" t="str">
        <f>IFERROR(IF($C151&lt;1,"",AN$3*일별반별!AQ151),0)</f>
        <v/>
      </c>
      <c r="AO151" s="337" t="str">
        <f>IFERROR(IF($C151&lt;1,"",AO$3*일별반별!AR151),0)</f>
        <v/>
      </c>
      <c r="AP151" s="337" t="str">
        <f>IFERROR(IF($C151&lt;1,"",AP$3*일별반별!AS151),0)</f>
        <v/>
      </c>
      <c r="AQ151" s="337" t="str">
        <f>IFERROR(IF($C151&lt;1,"",AQ$3*일별반별!AT151),0)</f>
        <v/>
      </c>
      <c r="AR151" s="337" t="str">
        <f>IFERROR(IF($C151&lt;1,"",AR$3*일별반별!AU151),0)</f>
        <v/>
      </c>
      <c r="AS151" s="403" t="str">
        <f>IFERROR(IF($C151&lt;1,"",AS$3*일별반별!AV151),0)</f>
        <v/>
      </c>
      <c r="AT151" s="403" t="str">
        <f>IFERROR(IF($C151&lt;1,"",AT$3*일별반별!AW151),0)</f>
        <v/>
      </c>
      <c r="AU151" s="403" t="str">
        <f>IFERROR(IF($C151&lt;1,"",AU$3*일별반별!AX151),0)</f>
        <v/>
      </c>
      <c r="AV151" s="403" t="str">
        <f>IFERROR(IF($C151&lt;1,"",AV$3*일별반별!AY151),0)</f>
        <v/>
      </c>
      <c r="AW151" s="403" t="str">
        <f>IFERROR(IF($C151&lt;1,"",AW$3*일별반별!AZ151),0)</f>
        <v/>
      </c>
      <c r="AX151" s="403" t="str">
        <f>IFERROR(IF($C151&lt;1,"",AX$3*일별반별!BA151),0)</f>
        <v/>
      </c>
      <c r="AY151" s="403" t="str">
        <f>IFERROR(IF($C151&lt;1,"",AY$3*일별반별!BB151),0)</f>
        <v/>
      </c>
      <c r="AZ151" s="403" t="str">
        <f>IFERROR(IF($C151&lt;1,"",AZ$3*일별반별!BC151),0)</f>
        <v/>
      </c>
      <c r="BA151" s="403" t="str">
        <f>IFERROR(IF($C151&lt;1,"",BA$3*일별반별!BD151),0)</f>
        <v/>
      </c>
      <c r="BB151" s="403" t="str">
        <f>IFERROR(IF($C151&lt;1,"",BB$3*일별반별!BE151),0)</f>
        <v/>
      </c>
      <c r="BC151" s="403" t="str">
        <f>IFERROR(IF($C151&lt;1,"",BC$3*일별반별!BF151),0)</f>
        <v/>
      </c>
      <c r="BD151" s="403" t="str">
        <f>IFERROR(IF($C151&lt;1,"",BD$3*일별반별!BG151),0)</f>
        <v/>
      </c>
      <c r="BE151" s="403" t="str">
        <f>IFERROR(IF($C151&lt;1,"",BE$3*일별반별!BH151),0)</f>
        <v/>
      </c>
      <c r="BF151" s="403" t="str">
        <f>IFERROR(IF($C151&lt;1,"",BF$3*일별반별!BI151),0)</f>
        <v/>
      </c>
      <c r="BG151" s="403" t="str">
        <f>IFERROR(IF($C151&lt;1,"",BG$3*일별반별!BJ151),0)</f>
        <v/>
      </c>
      <c r="BH151" s="403" t="str">
        <f>IFERROR(IF($C151&lt;1,"",BH$3*일별반별!BK151),0)</f>
        <v/>
      </c>
      <c r="BI151" s="403" t="str">
        <f>IFERROR(IF($C151&lt;1,"",BI$3*일별반별!BL151),0)</f>
        <v/>
      </c>
      <c r="BJ151" s="403" t="str">
        <f>IFERROR(IF($C151&lt;1,"",BJ$3*일별반별!BM151),0)</f>
        <v/>
      </c>
      <c r="BK151" s="403" t="str">
        <f>IFERROR(IF($C151&lt;1,"",BK$3*일별반별!BN151),0)</f>
        <v/>
      </c>
      <c r="BL151" s="403" t="str">
        <f>IFERROR(IF($C151&lt;1,"",BL$3*일별반별!BH151),0)</f>
        <v/>
      </c>
      <c r="BM151" s="403" t="str">
        <f>IFERROR(IF($C151&lt;1,"",BM$3*일별반별!BP151),0)</f>
        <v/>
      </c>
      <c r="BN151" s="403" t="str">
        <f>IFERROR(IF($C151&lt;1,"",BN$3*일별반별!BQ151),0)</f>
        <v/>
      </c>
      <c r="BO151" s="403" t="str">
        <f>IFERROR(IF($C151&lt;1,"",BO$3*일별반별!BR151),0)</f>
        <v/>
      </c>
      <c r="BP151" s="403" t="str">
        <f>IFERROR(IF($C151&lt;1,"",BP$3*일별반별!BS151),0)</f>
        <v/>
      </c>
      <c r="BQ151" s="403" t="str">
        <f>IFERROR(IF($C151&lt;1,"",BQ$3*일별반별!BT151),0)</f>
        <v/>
      </c>
      <c r="BR151" s="337" t="str">
        <f>IFERROR(IF($C151&lt;1,"",BR$3*일별반별!BU151),0)</f>
        <v/>
      </c>
      <c r="BS151" s="337" t="str">
        <f>IFERROR(IF($C151&lt;1,"",BS$3*일별반별!BV151),0)</f>
        <v/>
      </c>
      <c r="BT151" s="337" t="str">
        <f>IFERROR(IF($C151&lt;1,"",BT$3*일별반별!BW151),0)</f>
        <v/>
      </c>
      <c r="BU151" s="337" t="str">
        <f>IFERROR(IF($C151&lt;1,"",BU$3*일별반별!BX151),0)</f>
        <v/>
      </c>
      <c r="BV151" s="337" t="str">
        <f>IFERROR(IF($C151&lt;1,"",BV$3*일별반별!BY151),0)</f>
        <v/>
      </c>
      <c r="BW151" s="337" t="str">
        <f>IFERROR(IF($C151&lt;1,"",BW$3*일별반별!BZ151),0)</f>
        <v/>
      </c>
      <c r="BX151" s="337" t="str">
        <f>IFERROR(IF($C151&lt;1,"",BX$3*일별반별!CA151),0)</f>
        <v/>
      </c>
      <c r="BY151" s="337" t="str">
        <f>IFERROR(IF($C151&lt;1,"",BY$3*일별반별!CB151),0)</f>
        <v/>
      </c>
      <c r="BZ151" s="337" t="str">
        <f>IFERROR(IF($C151&lt;1,"",BZ$3*일별반별!CC151),0)</f>
        <v/>
      </c>
      <c r="CA151" s="337" t="str">
        <f>IFERROR(IF($C151&lt;1,"",CA$3*일별반별!CD151),0)</f>
        <v/>
      </c>
      <c r="CB151" s="337" t="str">
        <f>IFERROR(IF($C151&lt;1,"",CB$3*일별반별!CE151),0)</f>
        <v/>
      </c>
      <c r="CC151" s="337" t="str">
        <f>IFERROR(IF($C151&lt;1,"",CC$3*일별반별!CF151),0)</f>
        <v/>
      </c>
      <c r="CD151" s="337" t="str">
        <f>IFERROR(IF($C151&lt;1,"",CD$3*일별반별!CG151),0)</f>
        <v/>
      </c>
      <c r="CE151" s="337" t="str">
        <f>IFERROR(IF($C151&lt;1,"",CE$3*일별반별!CH151),0)</f>
        <v/>
      </c>
      <c r="CF151" s="337" t="str">
        <f>IFERROR(IF($C151&lt;1,"",CF$3*일별반별!CI151),0)</f>
        <v/>
      </c>
      <c r="CG151" s="337" t="str">
        <f>IFERROR(IF($C151&lt;1,"",CG$3*일별반별!CJ151),0)</f>
        <v/>
      </c>
      <c r="CH151" s="337" t="str">
        <f>IFERROR(IF($C151&lt;1,"",CH$3*일별반별!CK151),0)</f>
        <v/>
      </c>
      <c r="CI151" s="337" t="str">
        <f>IFERROR(IF($C151&lt;1,"",CI$3*일별반별!CL151),0)</f>
        <v/>
      </c>
      <c r="CJ151" s="337" t="str">
        <f>IFERROR(IF($C151&lt;1,"",CJ$3*일별반별!CM151),0)</f>
        <v/>
      </c>
      <c r="CK151" s="337" t="str">
        <f>IFERROR(IF($C151&lt;1,"",CK$3*일별반별!CN151),0)</f>
        <v/>
      </c>
      <c r="CL151" s="337" t="str">
        <f>IFERROR(IF($C151&lt;1,"",CL$3*일별반별!CO151),0)</f>
        <v/>
      </c>
      <c r="CM151" s="337" t="str">
        <f>IFERROR(IF($C151&lt;1,"",CM$3*일별반별!CP151),0)</f>
        <v/>
      </c>
      <c r="CN151" s="337" t="str">
        <f>IFERROR(IF($C151&lt;1,"",CN$3*일별반별!CQ151),0)</f>
        <v/>
      </c>
      <c r="CO151" s="337" t="str">
        <f>IFERROR(IF($C151&lt;1,"",CO$3*일별반별!CR151),0)</f>
        <v/>
      </c>
      <c r="CP151" s="337" t="str">
        <f>IFERROR(IF($C151&lt;1,"",CP$3*일별반별!CS151),0)</f>
        <v/>
      </c>
      <c r="CQ151" s="337" t="str">
        <f>IFERROR(IF($C151&lt;1,"",CQ$3*일별반별!CT151),0)</f>
        <v/>
      </c>
      <c r="CR151" s="420" t="str">
        <f>IFERROR(IF($C151&lt;1,"",CR$3*일별반별!CU151),0)</f>
        <v/>
      </c>
      <c r="CS151" s="420" t="str">
        <f>IFERROR(IF($C151&lt;1,"",CS$3*일별반별!CV151),0)</f>
        <v/>
      </c>
      <c r="CT151" s="337" t="str">
        <f>IFERROR(IF($C151&lt;1,"",CT$3*일별반별!CW151),0)</f>
        <v/>
      </c>
      <c r="CU151" s="337" t="str">
        <f>IFERROR(IF($C151&lt;1,"",CU$3*일별반별!CX151),0)</f>
        <v/>
      </c>
      <c r="CV151" s="337" t="str">
        <f>IFERROR(IF($C151&lt;1,"",CV$3*일별반별!CY151),0)</f>
        <v/>
      </c>
      <c r="CW151" s="337" t="str">
        <f>IFERROR(IF($C151&lt;1,"",CW$3*일별반별!CZ151),0)</f>
        <v/>
      </c>
      <c r="CX151" s="337" t="str">
        <f>IFERROR(IF($C151&lt;1,"",CX$3*일별반별!DA151),0)</f>
        <v/>
      </c>
      <c r="CY151" s="316" t="str">
        <f>IF(C151&lt;1,"",(CY$3*'09월 조업일지'!AV$7))</f>
        <v/>
      </c>
      <c r="CZ151" s="316" t="str">
        <f t="shared" si="8"/>
        <v/>
      </c>
      <c r="DA151" s="316" t="str">
        <f t="shared" si="8"/>
        <v/>
      </c>
      <c r="DB151" s="316" t="str">
        <f t="shared" si="8"/>
        <v/>
      </c>
      <c r="DC151" s="316"/>
      <c r="DD151" s="419"/>
    </row>
    <row r="152" spans="1:108" ht="15" customHeight="1">
      <c r="A152" s="274">
        <f t="shared" ref="A152:A160" si="9">A147+1</f>
        <v>44042</v>
      </c>
      <c r="B152" s="275" t="s">
        <v>9</v>
      </c>
      <c r="C152" s="201">
        <f>COUNTIFS('09월 조업일지'!$A$12:$A$952,A151,'09월 조업일지'!$E$12:$E$952,B152)</f>
        <v>0</v>
      </c>
      <c r="D152" s="314">
        <f>IF(C152&lt;1,0,(SUM(E152:CX152)/(일별반별!BV152-1.5)+(CY152+CZ152+DA152+DB152)))</f>
        <v>0</v>
      </c>
      <c r="E152" s="278"/>
      <c r="F152" s="281"/>
      <c r="G152" s="282"/>
      <c r="H152" s="283"/>
      <c r="I152" s="283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326"/>
      <c r="U152" s="395" t="str">
        <f>IFERROR(IF($C152&lt;1,"",U$3*일별반별!X152),0)</f>
        <v/>
      </c>
      <c r="V152" s="395" t="str">
        <f>IFERROR(IF($C152&lt;1,"",V$3*일별반별!Y152),0)</f>
        <v/>
      </c>
      <c r="W152" s="395" t="str">
        <f>IFERROR(IF($C152&lt;1,"",W$3*일별반별!Z152),0)</f>
        <v/>
      </c>
      <c r="X152" s="208" t="str">
        <f>IFERROR(IF($C152&lt;1,"",X$3*일별반별!AA152),0)</f>
        <v/>
      </c>
      <c r="Y152" s="208" t="str">
        <f>IFERROR(IF($C152&lt;1,"",Y$3*일별반별!AB152),0)</f>
        <v/>
      </c>
      <c r="Z152" s="208" t="str">
        <f>IFERROR(IF($C152&lt;1,"",Z$3*일별반별!AC152),0)</f>
        <v/>
      </c>
      <c r="AA152" s="395" t="str">
        <f>IFERROR(IF($C152&lt;1,"",AA$3*일별반별!AD152),0)</f>
        <v/>
      </c>
      <c r="AB152" s="395" t="str">
        <f>IFERROR(IF($C152&lt;1,"",AB$3*일별반별!AE152),0)</f>
        <v/>
      </c>
      <c r="AC152" s="208" t="str">
        <f>IFERROR(IF($C152&lt;1,"",AC$3*일별반별!AF152),0)</f>
        <v/>
      </c>
      <c r="AD152" s="208" t="str">
        <f>IFERROR(IF($C152&lt;1,"",AD$3*일별반별!AG152),0)</f>
        <v/>
      </c>
      <c r="AE152" s="208" t="str">
        <f>IFERROR(IF($C152&lt;1,"",AE$3*일별반별!AH152),0)</f>
        <v/>
      </c>
      <c r="AF152" s="395" t="str">
        <f>IFERROR(IF($C152&lt;1,"",AF$3*일별반별!AI152),0)</f>
        <v/>
      </c>
      <c r="AG152" s="395" t="str">
        <f>IFERROR(IF($C152&lt;1,"",AG$3*일별반별!AJ152),0)</f>
        <v/>
      </c>
      <c r="AH152" s="395" t="str">
        <f>IFERROR(IF($C152&lt;1,"",AH$3*일별반별!AK152),0)</f>
        <v/>
      </c>
      <c r="AI152" s="395" t="str">
        <f>IFERROR(IF($C152&lt;1,"",AI$3*일별반별!AL152),0)</f>
        <v/>
      </c>
      <c r="AJ152" s="395" t="str">
        <f>IFERROR(IF($C152&lt;1,"",AJ$3*일별반별!AM152),0)</f>
        <v/>
      </c>
      <c r="AK152" s="395" t="str">
        <f>IFERROR(IF($C152&lt;1,"",AK$3*일별반별!AN152),0)</f>
        <v/>
      </c>
      <c r="AL152" s="395" t="str">
        <f>IFERROR(IF($C152&lt;1,"",AL$3*일별반별!AO152),0)</f>
        <v/>
      </c>
      <c r="AM152" s="395" t="str">
        <f>IFERROR(IF($C152&lt;1,"",AM$3*일별반별!AP152),0)</f>
        <v/>
      </c>
      <c r="AN152" s="395" t="str">
        <f>IFERROR(IF($C152&lt;1,"",AN$3*일별반별!AQ152),0)</f>
        <v/>
      </c>
      <c r="AO152" s="395" t="str">
        <f>IFERROR(IF($C152&lt;1,"",AO$3*일별반별!AR152),0)</f>
        <v/>
      </c>
      <c r="AP152" s="347" t="str">
        <f>IFERROR(IF($C152&lt;1,"",AP$3*일별반별!AS152),0)</f>
        <v/>
      </c>
      <c r="AQ152" s="347" t="str">
        <f>IFERROR(IF($C152&lt;1,"",AQ$3*일별반별!AT152),0)</f>
        <v/>
      </c>
      <c r="AR152" s="316" t="str">
        <f>IFERROR(IF($C152&lt;1,"",AR$3*일별반별!AU152),0)</f>
        <v/>
      </c>
      <c r="AS152" s="401" t="str">
        <f>IFERROR(IF($C152&lt;1,"",AS$3*일별반별!AV152),0)</f>
        <v/>
      </c>
      <c r="AT152" s="401" t="str">
        <f>IFERROR(IF($C152&lt;1,"",AT$3*일별반별!AW152),0)</f>
        <v/>
      </c>
      <c r="AU152" s="401" t="str">
        <f>IFERROR(IF($C152&lt;1,"",AU$3*일별반별!AX152),0)</f>
        <v/>
      </c>
      <c r="AV152" s="401" t="str">
        <f>IFERROR(IF($C152&lt;1,"",AV$3*일별반별!AY152),0)</f>
        <v/>
      </c>
      <c r="AW152" s="401" t="str">
        <f>IFERROR(IF($C152&lt;1,"",AW$3*일별반별!AZ152),0)</f>
        <v/>
      </c>
      <c r="AX152" s="401" t="str">
        <f>IFERROR(IF($C152&lt;1,"",AX$3*일별반별!BA152),0)</f>
        <v/>
      </c>
      <c r="AY152" s="401" t="str">
        <f>IFERROR(IF($C152&lt;1,"",AY$3*일별반별!BB152),0)</f>
        <v/>
      </c>
      <c r="AZ152" s="401" t="str">
        <f>IFERROR(IF($C152&lt;1,"",AZ$3*일별반별!BC152),0)</f>
        <v/>
      </c>
      <c r="BA152" s="401" t="str">
        <f>IFERROR(IF($C152&lt;1,"",BA$3*일별반별!BD152),0)</f>
        <v/>
      </c>
      <c r="BB152" s="402" t="str">
        <f>IFERROR(IF($C152&lt;1,"",BB$3*일별반별!BE152),0)</f>
        <v/>
      </c>
      <c r="BC152" s="402" t="str">
        <f>IFERROR(IF($C152&lt;1,"",BC$3*일별반별!BF152),0)</f>
        <v/>
      </c>
      <c r="BD152" s="402" t="str">
        <f>IFERROR(IF($C152&lt;1,"",BD$3*일별반별!BG152),0)</f>
        <v/>
      </c>
      <c r="BE152" s="402" t="str">
        <f>IFERROR(IF($C152&lt;1,"",BE$3*일별반별!BH152),0)</f>
        <v/>
      </c>
      <c r="BF152" s="402" t="str">
        <f>IFERROR(IF($C152&lt;1,"",BF$3*일별반별!BI152),0)</f>
        <v/>
      </c>
      <c r="BG152" s="402" t="str">
        <f>IFERROR(IF($C152&lt;1,"",BG$3*일별반별!BJ152),0)</f>
        <v/>
      </c>
      <c r="BH152" s="402" t="str">
        <f>IFERROR(IF($C152&lt;1,"",BH$3*일별반별!BK152),0)</f>
        <v/>
      </c>
      <c r="BI152" s="402" t="str">
        <f>IFERROR(IF($C152&lt;1,"",BI$3*일별반별!BL152),0)</f>
        <v/>
      </c>
      <c r="BJ152" s="402" t="str">
        <f>IFERROR(IF($C152&lt;1,"",BJ$3*일별반별!BM152),0)</f>
        <v/>
      </c>
      <c r="BK152" s="402" t="str">
        <f>IFERROR(IF($C152&lt;1,"",BK$3*일별반별!BN152),0)</f>
        <v/>
      </c>
      <c r="BL152" s="402" t="str">
        <f>IFERROR(IF($C152&lt;1,"",BL$3*일별반별!BH152),0)</f>
        <v/>
      </c>
      <c r="BM152" s="402" t="str">
        <f>IFERROR(IF($C152&lt;1,"",BM$3*일별반별!BP152),0)</f>
        <v/>
      </c>
      <c r="BN152" s="401" t="str">
        <f>IFERROR(IF($C152&lt;1,"",BN$3*일별반별!BQ152),0)</f>
        <v/>
      </c>
      <c r="BO152" s="401" t="str">
        <f>IFERROR(IF($C152&lt;1,"",BO$3*일별반별!BR152),0)</f>
        <v/>
      </c>
      <c r="BP152" s="401" t="str">
        <f>IFERROR(IF($C152&lt;1,"",BP$3*일별반별!BS152),0)</f>
        <v/>
      </c>
      <c r="BQ152" s="401" t="str">
        <f>IFERROR(IF($C152&lt;1,"",BQ$3*일별반별!BT152),0)</f>
        <v/>
      </c>
      <c r="BR152" s="417" t="str">
        <f>IFERROR(IF($C152&lt;1,"",BR$3*일별반별!BU152),0)</f>
        <v/>
      </c>
      <c r="BS152" s="417" t="str">
        <f>IFERROR(IF($C152&lt;1,"",BS$3*일별반별!BV152),0)</f>
        <v/>
      </c>
      <c r="BT152" s="417" t="str">
        <f>IFERROR(IF($C152&lt;1,"",BT$3*일별반별!BW152),0)</f>
        <v/>
      </c>
      <c r="BU152" s="316" t="str">
        <f>IFERROR(IF($C152&lt;1,"",BU$3*일별반별!BX152),0)</f>
        <v/>
      </c>
      <c r="BV152" s="316" t="str">
        <f>IFERROR(IF($C152&lt;1,"",BV$3*일별반별!BY152),0)</f>
        <v/>
      </c>
      <c r="BW152" s="316" t="str">
        <f>IFERROR(IF($C152&lt;1,"",BW$3*일별반별!BZ152),0)</f>
        <v/>
      </c>
      <c r="BX152" s="316" t="str">
        <f>IFERROR(IF($C152&lt;1,"",BX$3*일별반별!CA152),0)</f>
        <v/>
      </c>
      <c r="BY152" s="316" t="str">
        <f>IFERROR(IF($C152&lt;1,"",BY$3*일별반별!CB152),0)</f>
        <v/>
      </c>
      <c r="BZ152" s="316" t="str">
        <f>IFERROR(IF($C152&lt;1,"",BZ$3*일별반별!CC152),0)</f>
        <v/>
      </c>
      <c r="CA152" s="316" t="str">
        <f>IFERROR(IF($C152&lt;1,"",CA$3*일별반별!CD152),0)</f>
        <v/>
      </c>
      <c r="CB152" s="316" t="str">
        <f>IFERROR(IF($C152&lt;1,"",CB$3*일별반별!CE152),0)</f>
        <v/>
      </c>
      <c r="CC152" s="316" t="str">
        <f>IFERROR(IF($C152&lt;1,"",CC$3*일별반별!CF152),0)</f>
        <v/>
      </c>
      <c r="CD152" s="316" t="str">
        <f>IFERROR(IF($C152&lt;1,"",CD$3*일별반별!CG152),0)</f>
        <v/>
      </c>
      <c r="CE152" s="316" t="str">
        <f>IFERROR(IF($C152&lt;1,"",CE$3*일별반별!CH152),0)</f>
        <v/>
      </c>
      <c r="CF152" s="316" t="str">
        <f>IFERROR(IF($C152&lt;1,"",CF$3*일별반별!CI152),0)</f>
        <v/>
      </c>
      <c r="CG152" s="316" t="str">
        <f>IFERROR(IF($C152&lt;1,"",CG$3*일별반별!CJ152),0)</f>
        <v/>
      </c>
      <c r="CH152" s="316" t="str">
        <f>IFERROR(IF($C152&lt;1,"",CH$3*일별반별!CK152),0)</f>
        <v/>
      </c>
      <c r="CI152" s="316" t="str">
        <f>IFERROR(IF($C152&lt;1,"",CI$3*일별반별!CL152),0)</f>
        <v/>
      </c>
      <c r="CJ152" s="316" t="str">
        <f>IFERROR(IF($C152&lt;1,"",CJ$3*일별반별!CM152),0)</f>
        <v/>
      </c>
      <c r="CK152" s="316" t="str">
        <f>IFERROR(IF($C152&lt;1,"",CK$3*일별반별!CN152),0)</f>
        <v/>
      </c>
      <c r="CL152" s="316" t="str">
        <f>IFERROR(IF($C152&lt;1,"",CL$3*일별반별!CO152),0)</f>
        <v/>
      </c>
      <c r="CM152" s="316" t="str">
        <f>IFERROR(IF($C152&lt;1,"",CM$3*일별반별!CP152),0)</f>
        <v/>
      </c>
      <c r="CN152" s="316" t="str">
        <f>IFERROR(IF($C152&lt;1,"",CN$3*일별반별!CQ152),0)</f>
        <v/>
      </c>
      <c r="CO152" s="316" t="str">
        <f>IFERROR(IF($C152&lt;1,"",CO$3*일별반별!CR152),0)</f>
        <v/>
      </c>
      <c r="CP152" s="316" t="str">
        <f>IFERROR(IF($C152&lt;1,"",CP$3*일별반별!CS152),0)</f>
        <v/>
      </c>
      <c r="CQ152" s="316" t="str">
        <f>IFERROR(IF($C152&lt;1,"",CQ$3*일별반별!CT152),0)</f>
        <v/>
      </c>
      <c r="CR152" s="418" t="str">
        <f>IFERROR(IF($C152&lt;1,"",CR$3*일별반별!CU152),0)</f>
        <v/>
      </c>
      <c r="CS152" s="418" t="str">
        <f>IFERROR(IF($C152&lt;1,"",CS$3*일별반별!CV152),0)</f>
        <v/>
      </c>
      <c r="CT152" s="316" t="str">
        <f>IFERROR(IF($C152&lt;1,"",CT$3*일별반별!CW152),0)</f>
        <v/>
      </c>
      <c r="CU152" s="316" t="str">
        <f>IFERROR(IF($C152&lt;1,"",CU$3*일별반별!CX152),0)</f>
        <v/>
      </c>
      <c r="CV152" s="316" t="str">
        <f>IFERROR(IF($C152&lt;1,"",CV$3*일별반별!CY152),0)</f>
        <v/>
      </c>
      <c r="CW152" s="316" t="str">
        <f>IFERROR(IF($C152&lt;1,"",CW$3*일별반별!CZ152),0)</f>
        <v/>
      </c>
      <c r="CX152" s="316" t="str">
        <f>IFERROR(IF($C152&lt;1,"",CX$3*일별반별!DA152),0)</f>
        <v/>
      </c>
      <c r="CY152" s="316" t="str">
        <f>IF(C152&lt;1,"",(CY$3*'09월 조업일지'!AV$7))</f>
        <v/>
      </c>
      <c r="CZ152" s="316" t="str">
        <f t="shared" si="8"/>
        <v/>
      </c>
      <c r="DA152" s="316" t="str">
        <f t="shared" si="8"/>
        <v/>
      </c>
      <c r="DB152" s="316" t="str">
        <f t="shared" si="8"/>
        <v/>
      </c>
      <c r="DC152" s="316"/>
      <c r="DD152" s="419"/>
    </row>
    <row r="153" spans="1:108" ht="15" customHeight="1">
      <c r="A153" s="274">
        <f t="shared" si="9"/>
        <v>44042</v>
      </c>
      <c r="B153" s="275" t="s">
        <v>100</v>
      </c>
      <c r="C153" s="201">
        <f>COUNTIFS('09월 조업일지'!$A$12:$A$952,A151,'09월 조업일지'!$E$12:$E$952,B153)</f>
        <v>0</v>
      </c>
      <c r="D153" s="314">
        <f>IF(C153&lt;1,0,(SUM(E153:CX153)/(일별반별!BV153-1.5)+(CY153+CZ153+DA153+DB153)))</f>
        <v>0</v>
      </c>
      <c r="E153" s="278"/>
      <c r="F153" s="281"/>
      <c r="G153" s="282"/>
      <c r="H153" s="283"/>
      <c r="I153" s="283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326"/>
      <c r="U153" s="395" t="str">
        <f>IFERROR(IF($C153&lt;1,"",U$3*일별반별!X153),0)</f>
        <v/>
      </c>
      <c r="V153" s="395" t="str">
        <f>IFERROR(IF($C153&lt;1,"",V$3*일별반별!Y153),0)</f>
        <v/>
      </c>
      <c r="W153" s="395" t="str">
        <f>IFERROR(IF($C153&lt;1,"",W$3*일별반별!Z153),0)</f>
        <v/>
      </c>
      <c r="X153" s="208" t="str">
        <f>IFERROR(IF($C153&lt;1,"",X$3*일별반별!AA153),0)</f>
        <v/>
      </c>
      <c r="Y153" s="208" t="str">
        <f>IFERROR(IF($C153&lt;1,"",Y$3*일별반별!AB153),0)</f>
        <v/>
      </c>
      <c r="Z153" s="208" t="str">
        <f>IFERROR(IF($C153&lt;1,"",Z$3*일별반별!AC153),0)</f>
        <v/>
      </c>
      <c r="AA153" s="395" t="str">
        <f>IFERROR(IF($C153&lt;1,"",AA$3*일별반별!AD153),0)</f>
        <v/>
      </c>
      <c r="AB153" s="395" t="str">
        <f>IFERROR(IF($C153&lt;1,"",AB$3*일별반별!AE153),0)</f>
        <v/>
      </c>
      <c r="AC153" s="208" t="str">
        <f>IFERROR(IF($C153&lt;1,"",AC$3*일별반별!AF153),0)</f>
        <v/>
      </c>
      <c r="AD153" s="208" t="str">
        <f>IFERROR(IF($C153&lt;1,"",AD$3*일별반별!AG153),0)</f>
        <v/>
      </c>
      <c r="AE153" s="208" t="str">
        <f>IFERROR(IF($C153&lt;1,"",AE$3*일별반별!AH153),0)</f>
        <v/>
      </c>
      <c r="AF153" s="395" t="str">
        <f>IFERROR(IF($C153&lt;1,"",AF$3*일별반별!AI153),0)</f>
        <v/>
      </c>
      <c r="AG153" s="395" t="str">
        <f>IFERROR(IF($C153&lt;1,"",AG$3*일별반별!AJ153),0)</f>
        <v/>
      </c>
      <c r="AH153" s="395" t="str">
        <f>IFERROR(IF($C153&lt;1,"",AH$3*일별반별!AK153),0)</f>
        <v/>
      </c>
      <c r="AI153" s="395" t="str">
        <f>IFERROR(IF($C153&lt;1,"",AI$3*일별반별!AL153),0)</f>
        <v/>
      </c>
      <c r="AJ153" s="395" t="str">
        <f>IFERROR(IF($C153&lt;1,"",AJ$3*일별반별!AM153),0)</f>
        <v/>
      </c>
      <c r="AK153" s="395" t="str">
        <f>IFERROR(IF($C153&lt;1,"",AK$3*일별반별!AN153),0)</f>
        <v/>
      </c>
      <c r="AL153" s="395" t="str">
        <f>IFERROR(IF($C153&lt;1,"",AL$3*일별반별!AO153),0)</f>
        <v/>
      </c>
      <c r="AM153" s="395" t="str">
        <f>IFERROR(IF($C153&lt;1,"",AM$3*일별반별!AP153),0)</f>
        <v/>
      </c>
      <c r="AN153" s="395" t="str">
        <f>IFERROR(IF($C153&lt;1,"",AN$3*일별반별!AQ153),0)</f>
        <v/>
      </c>
      <c r="AO153" s="395" t="str">
        <f>IFERROR(IF($C153&lt;1,"",AO$3*일별반별!AR153),0)</f>
        <v/>
      </c>
      <c r="AP153" s="347" t="str">
        <f>IFERROR(IF($C153&lt;1,"",AP$3*일별반별!AS153),0)</f>
        <v/>
      </c>
      <c r="AQ153" s="347" t="str">
        <f>IFERROR(IF($C153&lt;1,"",AQ$3*일별반별!AT153),0)</f>
        <v/>
      </c>
      <c r="AR153" s="316" t="str">
        <f>IFERROR(IF($C153&lt;1,"",AR$3*일별반별!AU153),0)</f>
        <v/>
      </c>
      <c r="AS153" s="401" t="str">
        <f>IFERROR(IF($C153&lt;1,"",AS$3*일별반별!AV153),0)</f>
        <v/>
      </c>
      <c r="AT153" s="401" t="str">
        <f>IFERROR(IF($C153&lt;1,"",AT$3*일별반별!AW153),0)</f>
        <v/>
      </c>
      <c r="AU153" s="401" t="str">
        <f>IFERROR(IF($C153&lt;1,"",AU$3*일별반별!AX153),0)</f>
        <v/>
      </c>
      <c r="AV153" s="401" t="str">
        <f>IFERROR(IF($C153&lt;1,"",AV$3*일별반별!AY153),0)</f>
        <v/>
      </c>
      <c r="AW153" s="401" t="str">
        <f>IFERROR(IF($C153&lt;1,"",AW$3*일별반별!AZ153),0)</f>
        <v/>
      </c>
      <c r="AX153" s="401" t="str">
        <f>IFERROR(IF($C153&lt;1,"",AX$3*일별반별!BA153),0)</f>
        <v/>
      </c>
      <c r="AY153" s="401" t="str">
        <f>IFERROR(IF($C153&lt;1,"",AY$3*일별반별!BB153),0)</f>
        <v/>
      </c>
      <c r="AZ153" s="401" t="str">
        <f>IFERROR(IF($C153&lt;1,"",AZ$3*일별반별!BC153),0)</f>
        <v/>
      </c>
      <c r="BA153" s="401" t="str">
        <f>IFERROR(IF($C153&lt;1,"",BA$3*일별반별!BD153),0)</f>
        <v/>
      </c>
      <c r="BB153" s="402" t="str">
        <f>IFERROR(IF($C153&lt;1,"",BB$3*일별반별!BE153),0)</f>
        <v/>
      </c>
      <c r="BC153" s="402" t="str">
        <f>IFERROR(IF($C153&lt;1,"",BC$3*일별반별!BF153),0)</f>
        <v/>
      </c>
      <c r="BD153" s="402" t="str">
        <f>IFERROR(IF($C153&lt;1,"",BD$3*일별반별!BG153),0)</f>
        <v/>
      </c>
      <c r="BE153" s="402" t="str">
        <f>IFERROR(IF($C153&lt;1,"",BE$3*일별반별!BH153),0)</f>
        <v/>
      </c>
      <c r="BF153" s="402" t="str">
        <f>IFERROR(IF($C153&lt;1,"",BF$3*일별반별!BI153),0)</f>
        <v/>
      </c>
      <c r="BG153" s="402" t="str">
        <f>IFERROR(IF($C153&lt;1,"",BG$3*일별반별!BJ153),0)</f>
        <v/>
      </c>
      <c r="BH153" s="402" t="str">
        <f>IFERROR(IF($C153&lt;1,"",BH$3*일별반별!BK153),0)</f>
        <v/>
      </c>
      <c r="BI153" s="402" t="str">
        <f>IFERROR(IF($C153&lt;1,"",BI$3*일별반별!BL153),0)</f>
        <v/>
      </c>
      <c r="BJ153" s="402" t="str">
        <f>IFERROR(IF($C153&lt;1,"",BJ$3*일별반별!BM153),0)</f>
        <v/>
      </c>
      <c r="BK153" s="402" t="str">
        <f>IFERROR(IF($C153&lt;1,"",BK$3*일별반별!BN153),0)</f>
        <v/>
      </c>
      <c r="BL153" s="402" t="str">
        <f>IFERROR(IF($C153&lt;1,"",BL$3*일별반별!BH153),0)</f>
        <v/>
      </c>
      <c r="BM153" s="402" t="str">
        <f>IFERROR(IF($C153&lt;1,"",BM$3*일별반별!BP153),0)</f>
        <v/>
      </c>
      <c r="BN153" s="401" t="str">
        <f>IFERROR(IF($C153&lt;1,"",BN$3*일별반별!BQ153),0)</f>
        <v/>
      </c>
      <c r="BO153" s="401" t="str">
        <f>IFERROR(IF($C153&lt;1,"",BO$3*일별반별!BR153),0)</f>
        <v/>
      </c>
      <c r="BP153" s="401" t="str">
        <f>IFERROR(IF($C153&lt;1,"",BP$3*일별반별!BS153),0)</f>
        <v/>
      </c>
      <c r="BQ153" s="401" t="str">
        <f>IFERROR(IF($C153&lt;1,"",BQ$3*일별반별!BT153),0)</f>
        <v/>
      </c>
      <c r="BR153" s="417" t="str">
        <f>IFERROR(IF($C153&lt;1,"",BR$3*일별반별!BU153),0)</f>
        <v/>
      </c>
      <c r="BS153" s="417" t="str">
        <f>IFERROR(IF($C153&lt;1,"",BS$3*일별반별!BV153),0)</f>
        <v/>
      </c>
      <c r="BT153" s="417" t="str">
        <f>IFERROR(IF($C153&lt;1,"",BT$3*일별반별!BW153),0)</f>
        <v/>
      </c>
      <c r="BU153" s="316" t="str">
        <f>IFERROR(IF($C153&lt;1,"",BU$3*일별반별!BX153),0)</f>
        <v/>
      </c>
      <c r="BV153" s="316" t="str">
        <f>IFERROR(IF($C153&lt;1,"",BV$3*일별반별!BY153),0)</f>
        <v/>
      </c>
      <c r="BW153" s="316" t="str">
        <f>IFERROR(IF($C153&lt;1,"",BW$3*일별반별!BZ153),0)</f>
        <v/>
      </c>
      <c r="BX153" s="316" t="str">
        <f>IFERROR(IF($C153&lt;1,"",BX$3*일별반별!CA153),0)</f>
        <v/>
      </c>
      <c r="BY153" s="316" t="str">
        <f>IFERROR(IF($C153&lt;1,"",BY$3*일별반별!CB153),0)</f>
        <v/>
      </c>
      <c r="BZ153" s="316" t="str">
        <f>IFERROR(IF($C153&lt;1,"",BZ$3*일별반별!CC153),0)</f>
        <v/>
      </c>
      <c r="CA153" s="316" t="str">
        <f>IFERROR(IF($C153&lt;1,"",CA$3*일별반별!CD153),0)</f>
        <v/>
      </c>
      <c r="CB153" s="316" t="str">
        <f>IFERROR(IF($C153&lt;1,"",CB$3*일별반별!CE153),0)</f>
        <v/>
      </c>
      <c r="CC153" s="316" t="str">
        <f>IFERROR(IF($C153&lt;1,"",CC$3*일별반별!CF153),0)</f>
        <v/>
      </c>
      <c r="CD153" s="316" t="str">
        <f>IFERROR(IF($C153&lt;1,"",CD$3*일별반별!CG153),0)</f>
        <v/>
      </c>
      <c r="CE153" s="316" t="str">
        <f>IFERROR(IF($C153&lt;1,"",CE$3*일별반별!CH153),0)</f>
        <v/>
      </c>
      <c r="CF153" s="316" t="str">
        <f>IFERROR(IF($C153&lt;1,"",CF$3*일별반별!CI153),0)</f>
        <v/>
      </c>
      <c r="CG153" s="316" t="str">
        <f>IFERROR(IF($C153&lt;1,"",CG$3*일별반별!CJ153),0)</f>
        <v/>
      </c>
      <c r="CH153" s="316" t="str">
        <f>IFERROR(IF($C153&lt;1,"",CH$3*일별반별!CK153),0)</f>
        <v/>
      </c>
      <c r="CI153" s="316" t="str">
        <f>IFERROR(IF($C153&lt;1,"",CI$3*일별반별!CL153),0)</f>
        <v/>
      </c>
      <c r="CJ153" s="316" t="str">
        <f>IFERROR(IF($C153&lt;1,"",CJ$3*일별반별!CM153),0)</f>
        <v/>
      </c>
      <c r="CK153" s="316" t="str">
        <f>IFERROR(IF($C153&lt;1,"",CK$3*일별반별!CN153),0)</f>
        <v/>
      </c>
      <c r="CL153" s="316" t="str">
        <f>IFERROR(IF($C153&lt;1,"",CL$3*일별반별!CO153),0)</f>
        <v/>
      </c>
      <c r="CM153" s="316" t="str">
        <f>IFERROR(IF($C153&lt;1,"",CM$3*일별반별!CP153),0)</f>
        <v/>
      </c>
      <c r="CN153" s="316" t="str">
        <f>IFERROR(IF($C153&lt;1,"",CN$3*일별반별!CQ153),0)</f>
        <v/>
      </c>
      <c r="CO153" s="316" t="str">
        <f>IFERROR(IF($C153&lt;1,"",CO$3*일별반별!CR153),0)</f>
        <v/>
      </c>
      <c r="CP153" s="316" t="str">
        <f>IFERROR(IF($C153&lt;1,"",CP$3*일별반별!CS153),0)</f>
        <v/>
      </c>
      <c r="CQ153" s="316" t="str">
        <f>IFERROR(IF($C153&lt;1,"",CQ$3*일별반별!CT153),0)</f>
        <v/>
      </c>
      <c r="CR153" s="418" t="str">
        <f>IFERROR(IF($C153&lt;1,"",CR$3*일별반별!CU153),0)</f>
        <v/>
      </c>
      <c r="CS153" s="418" t="str">
        <f>IFERROR(IF($C153&lt;1,"",CS$3*일별반별!CV153),0)</f>
        <v/>
      </c>
      <c r="CT153" s="316" t="str">
        <f>IFERROR(IF($C153&lt;1,"",CT$3*일별반별!CW153),0)</f>
        <v/>
      </c>
      <c r="CU153" s="316" t="str">
        <f>IFERROR(IF($C153&lt;1,"",CU$3*일별반별!CX153),0)</f>
        <v/>
      </c>
      <c r="CV153" s="316" t="str">
        <f>IFERROR(IF($C153&lt;1,"",CV$3*일별반별!CY153),0)</f>
        <v/>
      </c>
      <c r="CW153" s="316" t="str">
        <f>IFERROR(IF($C153&lt;1,"",CW$3*일별반별!CZ153),0)</f>
        <v/>
      </c>
      <c r="CX153" s="316" t="str">
        <f>IFERROR(IF($C153&lt;1,"",CX$3*일별반별!DA153),0)</f>
        <v/>
      </c>
      <c r="CY153" s="316" t="str">
        <f>IF(C153&lt;1,"",(CY$3*'09월 조업일지'!AV$7))</f>
        <v/>
      </c>
      <c r="CZ153" s="316" t="str">
        <f t="shared" si="8"/>
        <v/>
      </c>
      <c r="DA153" s="316" t="str">
        <f t="shared" si="8"/>
        <v/>
      </c>
      <c r="DB153" s="316" t="str">
        <f t="shared" si="8"/>
        <v/>
      </c>
      <c r="DC153" s="316"/>
      <c r="DD153" s="419"/>
    </row>
    <row r="154" spans="1:108" ht="15" customHeight="1">
      <c r="A154" s="274">
        <f t="shared" si="9"/>
        <v>44042</v>
      </c>
      <c r="B154" s="275" t="s">
        <v>10</v>
      </c>
      <c r="C154" s="201">
        <f>COUNTIFS('09월 조업일지'!$A$12:$A$952,A151,'09월 조업일지'!$E$12:$E$952,B154)</f>
        <v>0</v>
      </c>
      <c r="D154" s="314">
        <f>IF(C154&lt;1,0,(SUM(E154:CX154)/(일별반별!BV154-1.5)+(CY154+CZ154+DA154+DB154)))</f>
        <v>0</v>
      </c>
      <c r="E154" s="278"/>
      <c r="F154" s="281"/>
      <c r="G154" s="282"/>
      <c r="H154" s="283"/>
      <c r="I154" s="283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326"/>
      <c r="U154" s="395" t="str">
        <f>IFERROR(IF($C154&lt;1,"",U$3*일별반별!X154),0)</f>
        <v/>
      </c>
      <c r="V154" s="395" t="str">
        <f>IFERROR(IF($C154&lt;1,"",V$3*일별반별!Y154),0)</f>
        <v/>
      </c>
      <c r="W154" s="395" t="str">
        <f>IFERROR(IF($C154&lt;1,"",W$3*일별반별!Z154),0)</f>
        <v/>
      </c>
      <c r="X154" s="208" t="str">
        <f>IFERROR(IF($C154&lt;1,"",X$3*일별반별!AA154),0)</f>
        <v/>
      </c>
      <c r="Y154" s="208" t="str">
        <f>IFERROR(IF($C154&lt;1,"",Y$3*일별반별!AB154),0)</f>
        <v/>
      </c>
      <c r="Z154" s="208" t="str">
        <f>IFERROR(IF($C154&lt;1,"",Z$3*일별반별!AC154),0)</f>
        <v/>
      </c>
      <c r="AA154" s="395" t="str">
        <f>IFERROR(IF($C154&lt;1,"",AA$3*일별반별!AD154),0)</f>
        <v/>
      </c>
      <c r="AB154" s="395" t="str">
        <f>IFERROR(IF($C154&lt;1,"",AB$3*일별반별!AE154),0)</f>
        <v/>
      </c>
      <c r="AC154" s="208" t="str">
        <f>IFERROR(IF($C154&lt;1,"",AC$3*일별반별!AF154),0)</f>
        <v/>
      </c>
      <c r="AD154" s="208" t="str">
        <f>IFERROR(IF($C154&lt;1,"",AD$3*일별반별!AG154),0)</f>
        <v/>
      </c>
      <c r="AE154" s="208" t="str">
        <f>IFERROR(IF($C154&lt;1,"",AE$3*일별반별!AH154),0)</f>
        <v/>
      </c>
      <c r="AF154" s="395" t="str">
        <f>IFERROR(IF($C154&lt;1,"",AF$3*일별반별!AI154),0)</f>
        <v/>
      </c>
      <c r="AG154" s="395" t="str">
        <f>IFERROR(IF($C154&lt;1,"",AG$3*일별반별!AJ154),0)</f>
        <v/>
      </c>
      <c r="AH154" s="395" t="str">
        <f>IFERROR(IF($C154&lt;1,"",AH$3*일별반별!AK154),0)</f>
        <v/>
      </c>
      <c r="AI154" s="395" t="str">
        <f>IFERROR(IF($C154&lt;1,"",AI$3*일별반별!AL154),0)</f>
        <v/>
      </c>
      <c r="AJ154" s="395" t="str">
        <f>IFERROR(IF($C154&lt;1,"",AJ$3*일별반별!AM154),0)</f>
        <v/>
      </c>
      <c r="AK154" s="395" t="str">
        <f>IFERROR(IF($C154&lt;1,"",AK$3*일별반별!AN154),0)</f>
        <v/>
      </c>
      <c r="AL154" s="395" t="str">
        <f>IFERROR(IF($C154&lt;1,"",AL$3*일별반별!AO154),0)</f>
        <v/>
      </c>
      <c r="AM154" s="395" t="str">
        <f>IFERROR(IF($C154&lt;1,"",AM$3*일별반별!AP154),0)</f>
        <v/>
      </c>
      <c r="AN154" s="395" t="str">
        <f>IFERROR(IF($C154&lt;1,"",AN$3*일별반별!AQ154),0)</f>
        <v/>
      </c>
      <c r="AO154" s="395" t="str">
        <f>IFERROR(IF($C154&lt;1,"",AO$3*일별반별!AR154),0)</f>
        <v/>
      </c>
      <c r="AP154" s="347" t="str">
        <f>IFERROR(IF($C154&lt;1,"",AP$3*일별반별!AS154),0)</f>
        <v/>
      </c>
      <c r="AQ154" s="347" t="str">
        <f>IFERROR(IF($C154&lt;1,"",AQ$3*일별반별!AT154),0)</f>
        <v/>
      </c>
      <c r="AR154" s="316" t="str">
        <f>IFERROR(IF($C154&lt;1,"",AR$3*일별반별!AU154),0)</f>
        <v/>
      </c>
      <c r="AS154" s="401" t="str">
        <f>IFERROR(IF($C154&lt;1,"",AS$3*일별반별!AV154),0)</f>
        <v/>
      </c>
      <c r="AT154" s="401" t="str">
        <f>IFERROR(IF($C154&lt;1,"",AT$3*일별반별!AW154),0)</f>
        <v/>
      </c>
      <c r="AU154" s="401" t="str">
        <f>IFERROR(IF($C154&lt;1,"",AU$3*일별반별!AX154),0)</f>
        <v/>
      </c>
      <c r="AV154" s="401" t="str">
        <f>IFERROR(IF($C154&lt;1,"",AV$3*일별반별!AY154),0)</f>
        <v/>
      </c>
      <c r="AW154" s="401" t="str">
        <f>IFERROR(IF($C154&lt;1,"",AW$3*일별반별!AZ154),0)</f>
        <v/>
      </c>
      <c r="AX154" s="401" t="str">
        <f>IFERROR(IF($C154&lt;1,"",AX$3*일별반별!BA154),0)</f>
        <v/>
      </c>
      <c r="AY154" s="401" t="str">
        <f>IFERROR(IF($C154&lt;1,"",AY$3*일별반별!BB154),0)</f>
        <v/>
      </c>
      <c r="AZ154" s="401" t="str">
        <f>IFERROR(IF($C154&lt;1,"",AZ$3*일별반별!BC154),0)</f>
        <v/>
      </c>
      <c r="BA154" s="401" t="str">
        <f>IFERROR(IF($C154&lt;1,"",BA$3*일별반별!BD154),0)</f>
        <v/>
      </c>
      <c r="BB154" s="402" t="str">
        <f>IFERROR(IF($C154&lt;1,"",BB$3*일별반별!BE154),0)</f>
        <v/>
      </c>
      <c r="BC154" s="402" t="str">
        <f>IFERROR(IF($C154&lt;1,"",BC$3*일별반별!BF154),0)</f>
        <v/>
      </c>
      <c r="BD154" s="402" t="str">
        <f>IFERROR(IF($C154&lt;1,"",BD$3*일별반별!BG154),0)</f>
        <v/>
      </c>
      <c r="BE154" s="402" t="str">
        <f>IFERROR(IF($C154&lt;1,"",BE$3*일별반별!BH154),0)</f>
        <v/>
      </c>
      <c r="BF154" s="402" t="str">
        <f>IFERROR(IF($C154&lt;1,"",BF$3*일별반별!BI154),0)</f>
        <v/>
      </c>
      <c r="BG154" s="402" t="str">
        <f>IFERROR(IF($C154&lt;1,"",BG$3*일별반별!BJ154),0)</f>
        <v/>
      </c>
      <c r="BH154" s="402" t="str">
        <f>IFERROR(IF($C154&lt;1,"",BH$3*일별반별!BK154),0)</f>
        <v/>
      </c>
      <c r="BI154" s="402" t="str">
        <f>IFERROR(IF($C154&lt;1,"",BI$3*일별반별!BL154),0)</f>
        <v/>
      </c>
      <c r="BJ154" s="402" t="str">
        <f>IFERROR(IF($C154&lt;1,"",BJ$3*일별반별!BM154),0)</f>
        <v/>
      </c>
      <c r="BK154" s="402" t="str">
        <f>IFERROR(IF($C154&lt;1,"",BK$3*일별반별!BN154),0)</f>
        <v/>
      </c>
      <c r="BL154" s="402" t="str">
        <f>IFERROR(IF($C154&lt;1,"",BL$3*일별반별!BH154),0)</f>
        <v/>
      </c>
      <c r="BM154" s="402" t="str">
        <f>IFERROR(IF($C154&lt;1,"",BM$3*일별반별!BP154),0)</f>
        <v/>
      </c>
      <c r="BN154" s="401" t="str">
        <f>IFERROR(IF($C154&lt;1,"",BN$3*일별반별!BQ154),0)</f>
        <v/>
      </c>
      <c r="BO154" s="401" t="str">
        <f>IFERROR(IF($C154&lt;1,"",BO$3*일별반별!BR154),0)</f>
        <v/>
      </c>
      <c r="BP154" s="401" t="str">
        <f>IFERROR(IF($C154&lt;1,"",BP$3*일별반별!BS154),0)</f>
        <v/>
      </c>
      <c r="BQ154" s="401" t="str">
        <f>IFERROR(IF($C154&lt;1,"",BQ$3*일별반별!BT154),0)</f>
        <v/>
      </c>
      <c r="BR154" s="417" t="str">
        <f>IFERROR(IF($C154&lt;1,"",BR$3*일별반별!BU154),0)</f>
        <v/>
      </c>
      <c r="BS154" s="417" t="str">
        <f>IFERROR(IF($C154&lt;1,"",BS$3*일별반별!BV154),0)</f>
        <v/>
      </c>
      <c r="BT154" s="417" t="str">
        <f>IFERROR(IF($C154&lt;1,"",BT$3*일별반별!BW154),0)</f>
        <v/>
      </c>
      <c r="BU154" s="316" t="str">
        <f>IFERROR(IF($C154&lt;1,"",BU$3*일별반별!BX154),0)</f>
        <v/>
      </c>
      <c r="BV154" s="316" t="str">
        <f>IFERROR(IF($C154&lt;1,"",BV$3*일별반별!BY154),0)</f>
        <v/>
      </c>
      <c r="BW154" s="316" t="str">
        <f>IFERROR(IF($C154&lt;1,"",BW$3*일별반별!BZ154),0)</f>
        <v/>
      </c>
      <c r="BX154" s="316" t="str">
        <f>IFERROR(IF($C154&lt;1,"",BX$3*일별반별!CA154),0)</f>
        <v/>
      </c>
      <c r="BY154" s="316" t="str">
        <f>IFERROR(IF($C154&lt;1,"",BY$3*일별반별!CB154),0)</f>
        <v/>
      </c>
      <c r="BZ154" s="316" t="str">
        <f>IFERROR(IF($C154&lt;1,"",BZ$3*일별반별!CC154),0)</f>
        <v/>
      </c>
      <c r="CA154" s="316" t="str">
        <f>IFERROR(IF($C154&lt;1,"",CA$3*일별반별!CD154),0)</f>
        <v/>
      </c>
      <c r="CB154" s="316" t="str">
        <f>IFERROR(IF($C154&lt;1,"",CB$3*일별반별!CE154),0)</f>
        <v/>
      </c>
      <c r="CC154" s="316" t="str">
        <f>IFERROR(IF($C154&lt;1,"",CC$3*일별반별!CF154),0)</f>
        <v/>
      </c>
      <c r="CD154" s="316" t="str">
        <f>IFERROR(IF($C154&lt;1,"",CD$3*일별반별!CG154),0)</f>
        <v/>
      </c>
      <c r="CE154" s="316" t="str">
        <f>IFERROR(IF($C154&lt;1,"",CE$3*일별반별!CH154),0)</f>
        <v/>
      </c>
      <c r="CF154" s="316" t="str">
        <f>IFERROR(IF($C154&lt;1,"",CF$3*일별반별!CI154),0)</f>
        <v/>
      </c>
      <c r="CG154" s="316" t="str">
        <f>IFERROR(IF($C154&lt;1,"",CG$3*일별반별!CJ154),0)</f>
        <v/>
      </c>
      <c r="CH154" s="316" t="str">
        <f>IFERROR(IF($C154&lt;1,"",CH$3*일별반별!CK154),0)</f>
        <v/>
      </c>
      <c r="CI154" s="316" t="str">
        <f>IFERROR(IF($C154&lt;1,"",CI$3*일별반별!CL154),0)</f>
        <v/>
      </c>
      <c r="CJ154" s="316" t="str">
        <f>IFERROR(IF($C154&lt;1,"",CJ$3*일별반별!CM154),0)</f>
        <v/>
      </c>
      <c r="CK154" s="316" t="str">
        <f>IFERROR(IF($C154&lt;1,"",CK$3*일별반별!CN154),0)</f>
        <v/>
      </c>
      <c r="CL154" s="316" t="str">
        <f>IFERROR(IF($C154&lt;1,"",CL$3*일별반별!CO154),0)</f>
        <v/>
      </c>
      <c r="CM154" s="316" t="str">
        <f>IFERROR(IF($C154&lt;1,"",CM$3*일별반별!CP154),0)</f>
        <v/>
      </c>
      <c r="CN154" s="316" t="str">
        <f>IFERROR(IF($C154&lt;1,"",CN$3*일별반별!CQ154),0)</f>
        <v/>
      </c>
      <c r="CO154" s="316" t="str">
        <f>IFERROR(IF($C154&lt;1,"",CO$3*일별반별!CR154),0)</f>
        <v/>
      </c>
      <c r="CP154" s="316" t="str">
        <f>IFERROR(IF($C154&lt;1,"",CP$3*일별반별!CS154),0)</f>
        <v/>
      </c>
      <c r="CQ154" s="316" t="str">
        <f>IFERROR(IF($C154&lt;1,"",CQ$3*일별반별!CT154),0)</f>
        <v/>
      </c>
      <c r="CR154" s="418" t="str">
        <f>IFERROR(IF($C154&lt;1,"",CR$3*일별반별!CU154),0)</f>
        <v/>
      </c>
      <c r="CS154" s="418" t="str">
        <f>IFERROR(IF($C154&lt;1,"",CS$3*일별반별!CV154),0)</f>
        <v/>
      </c>
      <c r="CT154" s="316" t="str">
        <f>IFERROR(IF($C154&lt;1,"",CT$3*일별반별!CW154),0)</f>
        <v/>
      </c>
      <c r="CU154" s="316" t="str">
        <f>IFERROR(IF($C154&lt;1,"",CU$3*일별반별!CX154),0)</f>
        <v/>
      </c>
      <c r="CV154" s="316" t="str">
        <f>IFERROR(IF($C154&lt;1,"",CV$3*일별반별!CY154),0)</f>
        <v/>
      </c>
      <c r="CW154" s="316" t="str">
        <f>IFERROR(IF($C154&lt;1,"",CW$3*일별반별!CZ154),0)</f>
        <v/>
      </c>
      <c r="CX154" s="316" t="str">
        <f>IFERROR(IF($C154&lt;1,"",CX$3*일별반별!DA154),0)</f>
        <v/>
      </c>
      <c r="CY154" s="316" t="str">
        <f>IF(C154&lt;1,"",(CY$3*'09월 조업일지'!AV$7))</f>
        <v/>
      </c>
      <c r="CZ154" s="316" t="str">
        <f t="shared" si="8"/>
        <v/>
      </c>
      <c r="DA154" s="316" t="str">
        <f t="shared" si="8"/>
        <v/>
      </c>
      <c r="DB154" s="316" t="str">
        <f t="shared" si="8"/>
        <v/>
      </c>
      <c r="DC154" s="316"/>
      <c r="DD154" s="419"/>
    </row>
    <row r="155" spans="1:108" ht="15" customHeight="1">
      <c r="A155" s="274">
        <f t="shared" si="9"/>
        <v>44042</v>
      </c>
      <c r="B155" s="275" t="s">
        <v>94</v>
      </c>
      <c r="C155" s="201">
        <f>COUNTIFS('09월 조업일지'!$A$12:$A$952,A151,'09월 조업일지'!$E$12:$E$952,B155)</f>
        <v>0</v>
      </c>
      <c r="D155" s="314">
        <f>IF(C155&lt;1,0,(SUM(E155:CX155)/(일별반별!BV155-1.5)+(CY155+CZ155+DA155+DB155)))</f>
        <v>0</v>
      </c>
      <c r="E155" s="278"/>
      <c r="F155" s="281"/>
      <c r="G155" s="282"/>
      <c r="H155" s="283"/>
      <c r="I155" s="283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326"/>
      <c r="U155" s="395" t="str">
        <f>IFERROR(IF($C155&lt;1,"",U$3*일별반별!X155),0)</f>
        <v/>
      </c>
      <c r="V155" s="395" t="str">
        <f>IFERROR(IF($C155&lt;1,"",V$3*일별반별!Y155),0)</f>
        <v/>
      </c>
      <c r="W155" s="395" t="str">
        <f>IFERROR(IF($C155&lt;1,"",W$3*일별반별!Z155),0)</f>
        <v/>
      </c>
      <c r="X155" s="208" t="str">
        <f>IFERROR(IF($C155&lt;1,"",X$3*일별반별!AA155),0)</f>
        <v/>
      </c>
      <c r="Y155" s="208" t="str">
        <f>IFERROR(IF($C155&lt;1,"",Y$3*일별반별!AB155),0)</f>
        <v/>
      </c>
      <c r="Z155" s="208" t="str">
        <f>IFERROR(IF($C155&lt;1,"",Z$3*일별반별!AC155),0)</f>
        <v/>
      </c>
      <c r="AA155" s="395" t="str">
        <f>IFERROR(IF($C155&lt;1,"",AA$3*일별반별!AD155),0)</f>
        <v/>
      </c>
      <c r="AB155" s="395" t="str">
        <f>IFERROR(IF($C155&lt;1,"",AB$3*일별반별!AE155),0)</f>
        <v/>
      </c>
      <c r="AC155" s="208" t="str">
        <f>IFERROR(IF($C155&lt;1,"",AC$3*일별반별!AF155),0)</f>
        <v/>
      </c>
      <c r="AD155" s="208" t="str">
        <f>IFERROR(IF($C155&lt;1,"",AD$3*일별반별!AG155),0)</f>
        <v/>
      </c>
      <c r="AE155" s="208" t="str">
        <f>IFERROR(IF($C155&lt;1,"",AE$3*일별반별!AH155),0)</f>
        <v/>
      </c>
      <c r="AF155" s="395" t="str">
        <f>IFERROR(IF($C155&lt;1,"",AF$3*일별반별!AI155),0)</f>
        <v/>
      </c>
      <c r="AG155" s="395" t="str">
        <f>IFERROR(IF($C155&lt;1,"",AG$3*일별반별!AJ155),0)</f>
        <v/>
      </c>
      <c r="AH155" s="395" t="str">
        <f>IFERROR(IF($C155&lt;1,"",AH$3*일별반별!AK155),0)</f>
        <v/>
      </c>
      <c r="AI155" s="395" t="str">
        <f>IFERROR(IF($C155&lt;1,"",AI$3*일별반별!AL155),0)</f>
        <v/>
      </c>
      <c r="AJ155" s="395" t="str">
        <f>IFERROR(IF($C155&lt;1,"",AJ$3*일별반별!AM155),0)</f>
        <v/>
      </c>
      <c r="AK155" s="395" t="str">
        <f>IFERROR(IF($C155&lt;1,"",AK$3*일별반별!AN155),0)</f>
        <v/>
      </c>
      <c r="AL155" s="395" t="str">
        <f>IFERROR(IF($C155&lt;1,"",AL$3*일별반별!AO155),0)</f>
        <v/>
      </c>
      <c r="AM155" s="395" t="str">
        <f>IFERROR(IF($C155&lt;1,"",AM$3*일별반별!AP155),0)</f>
        <v/>
      </c>
      <c r="AN155" s="395" t="str">
        <f>IFERROR(IF($C155&lt;1,"",AN$3*일별반별!AQ155),0)</f>
        <v/>
      </c>
      <c r="AO155" s="395" t="str">
        <f>IFERROR(IF($C155&lt;1,"",AO$3*일별반별!AR155),0)</f>
        <v/>
      </c>
      <c r="AP155" s="347" t="str">
        <f>IFERROR(IF($C155&lt;1,"",AP$3*일별반별!AS155),0)</f>
        <v/>
      </c>
      <c r="AQ155" s="347" t="str">
        <f>IFERROR(IF($C155&lt;1,"",AQ$3*일별반별!AT155),0)</f>
        <v/>
      </c>
      <c r="AR155" s="316" t="str">
        <f>IFERROR(IF($C155&lt;1,"",AR$3*일별반별!AU155),0)</f>
        <v/>
      </c>
      <c r="AS155" s="401" t="str">
        <f>IFERROR(IF($C155&lt;1,"",AS$3*일별반별!AV155),0)</f>
        <v/>
      </c>
      <c r="AT155" s="401" t="str">
        <f>IFERROR(IF($C155&lt;1,"",AT$3*일별반별!AW155),0)</f>
        <v/>
      </c>
      <c r="AU155" s="401" t="str">
        <f>IFERROR(IF($C155&lt;1,"",AU$3*일별반별!AX155),0)</f>
        <v/>
      </c>
      <c r="AV155" s="401" t="str">
        <f>IFERROR(IF($C155&lt;1,"",AV$3*일별반별!AY155),0)</f>
        <v/>
      </c>
      <c r="AW155" s="401" t="str">
        <f>IFERROR(IF($C155&lt;1,"",AW$3*일별반별!AZ155),0)</f>
        <v/>
      </c>
      <c r="AX155" s="401" t="str">
        <f>IFERROR(IF($C155&lt;1,"",AX$3*일별반별!BA155),0)</f>
        <v/>
      </c>
      <c r="AY155" s="401" t="str">
        <f>IFERROR(IF($C155&lt;1,"",AY$3*일별반별!BB155),0)</f>
        <v/>
      </c>
      <c r="AZ155" s="401" t="str">
        <f>IFERROR(IF($C155&lt;1,"",AZ$3*일별반별!BC155),0)</f>
        <v/>
      </c>
      <c r="BA155" s="401" t="str">
        <f>IFERROR(IF($C155&lt;1,"",BA$3*일별반별!BD155),0)</f>
        <v/>
      </c>
      <c r="BB155" s="402" t="str">
        <f>IFERROR(IF($C155&lt;1,"",BB$3*일별반별!BE155),0)</f>
        <v/>
      </c>
      <c r="BC155" s="402" t="str">
        <f>IFERROR(IF($C155&lt;1,"",BC$3*일별반별!BF155),0)</f>
        <v/>
      </c>
      <c r="BD155" s="402" t="str">
        <f>IFERROR(IF($C155&lt;1,"",BD$3*일별반별!BG155),0)</f>
        <v/>
      </c>
      <c r="BE155" s="402" t="str">
        <f>IFERROR(IF($C155&lt;1,"",BE$3*일별반별!BH155),0)</f>
        <v/>
      </c>
      <c r="BF155" s="402" t="str">
        <f>IFERROR(IF($C155&lt;1,"",BF$3*일별반별!BI155),0)</f>
        <v/>
      </c>
      <c r="BG155" s="402" t="str">
        <f>IFERROR(IF($C155&lt;1,"",BG$3*일별반별!BJ155),0)</f>
        <v/>
      </c>
      <c r="BH155" s="402" t="str">
        <f>IFERROR(IF($C155&lt;1,"",BH$3*일별반별!BK155),0)</f>
        <v/>
      </c>
      <c r="BI155" s="402" t="str">
        <f>IFERROR(IF($C155&lt;1,"",BI$3*일별반별!BL155),0)</f>
        <v/>
      </c>
      <c r="BJ155" s="402" t="str">
        <f>IFERROR(IF($C155&lt;1,"",BJ$3*일별반별!BM155),0)</f>
        <v/>
      </c>
      <c r="BK155" s="402" t="str">
        <f>IFERROR(IF($C155&lt;1,"",BK$3*일별반별!BN155),0)</f>
        <v/>
      </c>
      <c r="BL155" s="402" t="str">
        <f>IFERROR(IF($C155&lt;1,"",BL$3*일별반별!BH155),0)</f>
        <v/>
      </c>
      <c r="BM155" s="402" t="str">
        <f>IFERROR(IF($C155&lt;1,"",BM$3*일별반별!BP155),0)</f>
        <v/>
      </c>
      <c r="BN155" s="401" t="str">
        <f>IFERROR(IF($C155&lt;1,"",BN$3*일별반별!BQ155),0)</f>
        <v/>
      </c>
      <c r="BO155" s="401" t="str">
        <f>IFERROR(IF($C155&lt;1,"",BO$3*일별반별!BR155),0)</f>
        <v/>
      </c>
      <c r="BP155" s="401" t="str">
        <f>IFERROR(IF($C155&lt;1,"",BP$3*일별반별!BS155),0)</f>
        <v/>
      </c>
      <c r="BQ155" s="401" t="str">
        <f>IFERROR(IF($C155&lt;1,"",BQ$3*일별반별!BT155),0)</f>
        <v/>
      </c>
      <c r="BR155" s="417" t="str">
        <f>IFERROR(IF($C155&lt;1,"",BR$3*일별반별!BU155),0)</f>
        <v/>
      </c>
      <c r="BS155" s="417" t="str">
        <f>IFERROR(IF($C155&lt;1,"",BS$3*일별반별!BV155),0)</f>
        <v/>
      </c>
      <c r="BT155" s="417" t="str">
        <f>IFERROR(IF($C155&lt;1,"",BT$3*일별반별!BW155),0)</f>
        <v/>
      </c>
      <c r="BU155" s="316" t="str">
        <f>IFERROR(IF($C155&lt;1,"",BU$3*일별반별!BX155),0)</f>
        <v/>
      </c>
      <c r="BV155" s="316" t="str">
        <f>IFERROR(IF($C155&lt;1,"",BV$3*일별반별!BY155),0)</f>
        <v/>
      </c>
      <c r="BW155" s="316" t="str">
        <f>IFERROR(IF($C155&lt;1,"",BW$3*일별반별!BZ155),0)</f>
        <v/>
      </c>
      <c r="BX155" s="316" t="str">
        <f>IFERROR(IF($C155&lt;1,"",BX$3*일별반별!CA155),0)</f>
        <v/>
      </c>
      <c r="BY155" s="316" t="str">
        <f>IFERROR(IF($C155&lt;1,"",BY$3*일별반별!CB155),0)</f>
        <v/>
      </c>
      <c r="BZ155" s="316" t="str">
        <f>IFERROR(IF($C155&lt;1,"",BZ$3*일별반별!CC155),0)</f>
        <v/>
      </c>
      <c r="CA155" s="316" t="str">
        <f>IFERROR(IF($C155&lt;1,"",CA$3*일별반별!CD155),0)</f>
        <v/>
      </c>
      <c r="CB155" s="316" t="str">
        <f>IFERROR(IF($C155&lt;1,"",CB$3*일별반별!CE155),0)</f>
        <v/>
      </c>
      <c r="CC155" s="316" t="str">
        <f>IFERROR(IF($C155&lt;1,"",CC$3*일별반별!CF155),0)</f>
        <v/>
      </c>
      <c r="CD155" s="316" t="str">
        <f>IFERROR(IF($C155&lt;1,"",CD$3*일별반별!CG155),0)</f>
        <v/>
      </c>
      <c r="CE155" s="316" t="str">
        <f>IFERROR(IF($C155&lt;1,"",CE$3*일별반별!CH155),0)</f>
        <v/>
      </c>
      <c r="CF155" s="316" t="str">
        <f>IFERROR(IF($C155&lt;1,"",CF$3*일별반별!CI155),0)</f>
        <v/>
      </c>
      <c r="CG155" s="316" t="str">
        <f>IFERROR(IF($C155&lt;1,"",CG$3*일별반별!CJ155),0)</f>
        <v/>
      </c>
      <c r="CH155" s="316" t="str">
        <f>IFERROR(IF($C155&lt;1,"",CH$3*일별반별!CK155),0)</f>
        <v/>
      </c>
      <c r="CI155" s="316" t="str">
        <f>IFERROR(IF($C155&lt;1,"",CI$3*일별반별!CL155),0)</f>
        <v/>
      </c>
      <c r="CJ155" s="316" t="str">
        <f>IFERROR(IF($C155&lt;1,"",CJ$3*일별반별!CM155),0)</f>
        <v/>
      </c>
      <c r="CK155" s="316" t="str">
        <f>IFERROR(IF($C155&lt;1,"",CK$3*일별반별!CN155),0)</f>
        <v/>
      </c>
      <c r="CL155" s="316" t="str">
        <f>IFERROR(IF($C155&lt;1,"",CL$3*일별반별!CO155),0)</f>
        <v/>
      </c>
      <c r="CM155" s="316" t="str">
        <f>IFERROR(IF($C155&lt;1,"",CM$3*일별반별!CP155),0)</f>
        <v/>
      </c>
      <c r="CN155" s="316" t="str">
        <f>IFERROR(IF($C155&lt;1,"",CN$3*일별반별!CQ155),0)</f>
        <v/>
      </c>
      <c r="CO155" s="316" t="str">
        <f>IFERROR(IF($C155&lt;1,"",CO$3*일별반별!CR155),0)</f>
        <v/>
      </c>
      <c r="CP155" s="316" t="str">
        <f>IFERROR(IF($C155&lt;1,"",CP$3*일별반별!CS155),0)</f>
        <v/>
      </c>
      <c r="CQ155" s="316" t="str">
        <f>IFERROR(IF($C155&lt;1,"",CQ$3*일별반별!CT155),0)</f>
        <v/>
      </c>
      <c r="CR155" s="418" t="str">
        <f>IFERROR(IF($C155&lt;1,"",CR$3*일별반별!CU155),0)</f>
        <v/>
      </c>
      <c r="CS155" s="418" t="str">
        <f>IFERROR(IF($C155&lt;1,"",CS$3*일별반별!CV155),0)</f>
        <v/>
      </c>
      <c r="CT155" s="316" t="str">
        <f>IFERROR(IF($C155&lt;1,"",CT$3*일별반별!CW155),0)</f>
        <v/>
      </c>
      <c r="CU155" s="316" t="str">
        <f>IFERROR(IF($C155&lt;1,"",CU$3*일별반별!CX155),0)</f>
        <v/>
      </c>
      <c r="CV155" s="316" t="str">
        <f>IFERROR(IF($C155&lt;1,"",CV$3*일별반별!CY155),0)</f>
        <v/>
      </c>
      <c r="CW155" s="316" t="str">
        <f>IFERROR(IF($C155&lt;1,"",CW$3*일별반별!CZ155),0)</f>
        <v/>
      </c>
      <c r="CX155" s="316" t="str">
        <f>IFERROR(IF($C155&lt;1,"",CX$3*일별반별!DA155),0)</f>
        <v/>
      </c>
      <c r="CY155" s="316" t="str">
        <f>IF(C155&lt;1,"",(CY$3*'09월 조업일지'!AV$7))</f>
        <v/>
      </c>
      <c r="CZ155" s="316" t="str">
        <f t="shared" si="8"/>
        <v/>
      </c>
      <c r="DA155" s="316" t="str">
        <f t="shared" si="8"/>
        <v/>
      </c>
      <c r="DB155" s="316" t="str">
        <f t="shared" si="8"/>
        <v/>
      </c>
      <c r="DC155" s="316"/>
      <c r="DD155" s="419"/>
    </row>
    <row r="156" spans="1:108" ht="15" customHeight="1">
      <c r="A156" s="327">
        <f>A151+1</f>
        <v>44043</v>
      </c>
      <c r="B156" s="328" t="s">
        <v>31</v>
      </c>
      <c r="C156" s="329">
        <f>COUNTIF('09월 조업일지'!$A$12:$A$952,A156)</f>
        <v>0</v>
      </c>
      <c r="D156" s="330">
        <f>IF(C156&lt;1,0,(SUM(E156:CX156)/(일별반별!BV156-1.5)+(CY156+CZ156+DA156+DB156)))</f>
        <v>0</v>
      </c>
      <c r="E156" s="331"/>
      <c r="F156" s="331"/>
      <c r="G156" s="332"/>
      <c r="H156" s="333"/>
      <c r="I156" s="333"/>
      <c r="J156" s="334"/>
      <c r="K156" s="334"/>
      <c r="L156" s="334"/>
      <c r="M156" s="334"/>
      <c r="N156" s="334"/>
      <c r="O156" s="334"/>
      <c r="P156" s="334"/>
      <c r="Q156" s="335"/>
      <c r="R156" s="334"/>
      <c r="S156" s="335"/>
      <c r="T156" s="334"/>
      <c r="U156" s="337" t="str">
        <f>IFERROR(IF($C156&lt;1,"",U$3*일별반별!X156),0)</f>
        <v/>
      </c>
      <c r="V156" s="337" t="str">
        <f>IFERROR(IF($C156&lt;1,"",V$3*일별반별!Y156),0)</f>
        <v/>
      </c>
      <c r="W156" s="337" t="str">
        <f>IFERROR(IF($C156&lt;1,"",W$3*일별반별!Z156),0)</f>
        <v/>
      </c>
      <c r="X156" s="336" t="str">
        <f>IFERROR(IF($C156&lt;1,"",X$3*일별반별!AA156),0)</f>
        <v/>
      </c>
      <c r="Y156" s="336" t="str">
        <f>IFERROR(IF($C156&lt;1,"",Y$3*일별반별!AB156),0)</f>
        <v/>
      </c>
      <c r="Z156" s="336" t="str">
        <f>IFERROR(IF($C156&lt;1,"",Z$3*일별반별!AC156),0)</f>
        <v/>
      </c>
      <c r="AA156" s="337" t="str">
        <f>IFERROR(IF($C156&lt;1,"",AA$3*일별반별!AD156),0)</f>
        <v/>
      </c>
      <c r="AB156" s="337" t="str">
        <f>IFERROR(IF($C156&lt;1,"",AB$3*일별반별!AE156),0)</f>
        <v/>
      </c>
      <c r="AC156" s="336" t="str">
        <f>IFERROR(IF($C156&lt;1,"",AC$3*일별반별!AF156),0)</f>
        <v/>
      </c>
      <c r="AD156" s="336" t="str">
        <f>IFERROR(IF($C156&lt;1,"",AD$3*일별반별!AG156),0)</f>
        <v/>
      </c>
      <c r="AE156" s="336" t="str">
        <f>IFERROR(IF($C156&lt;1,"",AE$3*일별반별!AH156),0)</f>
        <v/>
      </c>
      <c r="AF156" s="337" t="str">
        <f>IFERROR(IF($C156&lt;1,"",AF$3*일별반별!AI156),0)</f>
        <v/>
      </c>
      <c r="AG156" s="337" t="str">
        <f>IFERROR(IF($C156&lt;1,"",AG$3*일별반별!AJ156),0)</f>
        <v/>
      </c>
      <c r="AH156" s="337" t="str">
        <f>IFERROR(IF($C156&lt;1,"",AH$3*일별반별!AK156),0)</f>
        <v/>
      </c>
      <c r="AI156" s="337" t="str">
        <f>IFERROR(IF($C156&lt;1,"",AI$3*일별반별!AL156),0)</f>
        <v/>
      </c>
      <c r="AJ156" s="337" t="str">
        <f>IFERROR(IF($C156&lt;1,"",AJ$3*일별반별!AM156),0)</f>
        <v/>
      </c>
      <c r="AK156" s="337" t="str">
        <f>IFERROR(IF($C156&lt;1,"",AK$3*일별반별!AN156),0)</f>
        <v/>
      </c>
      <c r="AL156" s="337" t="str">
        <f>IFERROR(IF($C156&lt;1,"",AL$3*일별반별!AO156),0)</f>
        <v/>
      </c>
      <c r="AM156" s="337" t="str">
        <f>IFERROR(IF($C156&lt;1,"",AM$3*일별반별!AP156),0)</f>
        <v/>
      </c>
      <c r="AN156" s="337" t="str">
        <f>IFERROR(IF($C156&lt;1,"",AN$3*일별반별!AQ156),0)</f>
        <v/>
      </c>
      <c r="AO156" s="337" t="str">
        <f>IFERROR(IF($C156&lt;1,"",AO$3*일별반별!AR156),0)</f>
        <v/>
      </c>
      <c r="AP156" s="337" t="str">
        <f>IFERROR(IF($C156&lt;1,"",AP$3*일별반별!AS156),0)</f>
        <v/>
      </c>
      <c r="AQ156" s="337" t="str">
        <f>IFERROR(IF($C156&lt;1,"",AQ$3*일별반별!AT156),0)</f>
        <v/>
      </c>
      <c r="AR156" s="337" t="str">
        <f>IFERROR(IF($C156&lt;1,"",AR$3*일별반별!AU156),0)</f>
        <v/>
      </c>
      <c r="AS156" s="403" t="str">
        <f>IFERROR(IF($C156&lt;1,"",AS$3*일별반별!AV156),0)</f>
        <v/>
      </c>
      <c r="AT156" s="403" t="str">
        <f>IFERROR(IF($C156&lt;1,"",AT$3*일별반별!AW156),0)</f>
        <v/>
      </c>
      <c r="AU156" s="403" t="str">
        <f>IFERROR(IF($C156&lt;1,"",AU$3*일별반별!AX156),0)</f>
        <v/>
      </c>
      <c r="AV156" s="403" t="str">
        <f>IFERROR(IF($C156&lt;1,"",AV$3*일별반별!AY156),0)</f>
        <v/>
      </c>
      <c r="AW156" s="403" t="str">
        <f>IFERROR(IF($C156&lt;1,"",AW$3*일별반별!AZ156),0)</f>
        <v/>
      </c>
      <c r="AX156" s="403" t="str">
        <f>IFERROR(IF($C156&lt;1,"",AX$3*일별반별!BA156),0)</f>
        <v/>
      </c>
      <c r="AY156" s="403" t="str">
        <f>IFERROR(IF($C156&lt;1,"",AY$3*일별반별!BB156),0)</f>
        <v/>
      </c>
      <c r="AZ156" s="403" t="str">
        <f>IFERROR(IF($C156&lt;1,"",AZ$3*일별반별!BC156),0)</f>
        <v/>
      </c>
      <c r="BA156" s="403" t="str">
        <f>IFERROR(IF($C156&lt;1,"",BA$3*일별반별!BD156),0)</f>
        <v/>
      </c>
      <c r="BB156" s="403" t="str">
        <f>IFERROR(IF($C156&lt;1,"",BB$3*일별반별!BE156),0)</f>
        <v/>
      </c>
      <c r="BC156" s="403" t="str">
        <f>IFERROR(IF($C156&lt;1,"",BC$3*일별반별!BF156),0)</f>
        <v/>
      </c>
      <c r="BD156" s="403" t="str">
        <f>IFERROR(IF($C156&lt;1,"",BD$3*일별반별!BG156),0)</f>
        <v/>
      </c>
      <c r="BE156" s="403" t="str">
        <f>IFERROR(IF($C156&lt;1,"",BE$3*일별반별!BH156),0)</f>
        <v/>
      </c>
      <c r="BF156" s="403" t="str">
        <f>IFERROR(IF($C156&lt;1,"",BF$3*일별반별!BI156),0)</f>
        <v/>
      </c>
      <c r="BG156" s="403" t="str">
        <f>IFERROR(IF($C156&lt;1,"",BG$3*일별반별!BJ156),0)</f>
        <v/>
      </c>
      <c r="BH156" s="403" t="str">
        <f>IFERROR(IF($C156&lt;1,"",BH$3*일별반별!BK156),0)</f>
        <v/>
      </c>
      <c r="BI156" s="403" t="str">
        <f>IFERROR(IF($C156&lt;1,"",BI$3*일별반별!BL156),0)</f>
        <v/>
      </c>
      <c r="BJ156" s="403" t="str">
        <f>IFERROR(IF($C156&lt;1,"",BJ$3*일별반별!BM156),0)</f>
        <v/>
      </c>
      <c r="BK156" s="403" t="str">
        <f>IFERROR(IF($C156&lt;1,"",BK$3*일별반별!BN156),0)</f>
        <v/>
      </c>
      <c r="BL156" s="403" t="str">
        <f>IFERROR(IF($C156&lt;1,"",BL$3*일별반별!BH156),0)</f>
        <v/>
      </c>
      <c r="BM156" s="403" t="str">
        <f>IFERROR(IF($C156&lt;1,"",BM$3*일별반별!BP156),0)</f>
        <v/>
      </c>
      <c r="BN156" s="403" t="str">
        <f>IFERROR(IF($C156&lt;1,"",BN$3*일별반별!BQ156),0)</f>
        <v/>
      </c>
      <c r="BO156" s="403" t="str">
        <f>IFERROR(IF($C156&lt;1,"",BO$3*일별반별!BR156),0)</f>
        <v/>
      </c>
      <c r="BP156" s="403" t="str">
        <f>IFERROR(IF($C156&lt;1,"",BP$3*일별반별!BS156),0)</f>
        <v/>
      </c>
      <c r="BQ156" s="403" t="str">
        <f>IFERROR(IF($C156&lt;1,"",BQ$3*일별반별!BT156),0)</f>
        <v/>
      </c>
      <c r="BR156" s="337" t="str">
        <f>IFERROR(IF($C156&lt;1,"",BR$3*일별반별!BU156),0)</f>
        <v/>
      </c>
      <c r="BS156" s="337" t="str">
        <f>IFERROR(IF($C156&lt;1,"",BS$3*일별반별!BV156),0)</f>
        <v/>
      </c>
      <c r="BT156" s="337" t="str">
        <f>IFERROR(IF($C156&lt;1,"",BT$3*일별반별!BW156),0)</f>
        <v/>
      </c>
      <c r="BU156" s="337" t="str">
        <f>IFERROR(IF($C156&lt;1,"",BU$3*일별반별!BX156),0)</f>
        <v/>
      </c>
      <c r="BV156" s="337" t="str">
        <f>IFERROR(IF($C156&lt;1,"",BV$3*일별반별!BY156),0)</f>
        <v/>
      </c>
      <c r="BW156" s="337" t="str">
        <f>IFERROR(IF($C156&lt;1,"",BW$3*일별반별!BZ156),0)</f>
        <v/>
      </c>
      <c r="BX156" s="337" t="str">
        <f>IFERROR(IF($C156&lt;1,"",BX$3*일별반별!CA156),0)</f>
        <v/>
      </c>
      <c r="BY156" s="337" t="str">
        <f>IFERROR(IF($C156&lt;1,"",BY$3*일별반별!CB156),0)</f>
        <v/>
      </c>
      <c r="BZ156" s="337" t="str">
        <f>IFERROR(IF($C156&lt;1,"",BZ$3*일별반별!CC156),0)</f>
        <v/>
      </c>
      <c r="CA156" s="337" t="str">
        <f>IFERROR(IF($C156&lt;1,"",CA$3*일별반별!CD156),0)</f>
        <v/>
      </c>
      <c r="CB156" s="337" t="str">
        <f>IFERROR(IF($C156&lt;1,"",CB$3*일별반별!CE156),0)</f>
        <v/>
      </c>
      <c r="CC156" s="337" t="str">
        <f>IFERROR(IF($C156&lt;1,"",CC$3*일별반별!CF156),0)</f>
        <v/>
      </c>
      <c r="CD156" s="337" t="str">
        <f>IFERROR(IF($C156&lt;1,"",CD$3*일별반별!CG156),0)</f>
        <v/>
      </c>
      <c r="CE156" s="337" t="str">
        <f>IFERROR(IF($C156&lt;1,"",CE$3*일별반별!CH156),0)</f>
        <v/>
      </c>
      <c r="CF156" s="337" t="str">
        <f>IFERROR(IF($C156&lt;1,"",CF$3*일별반별!CI156),0)</f>
        <v/>
      </c>
      <c r="CG156" s="337" t="str">
        <f>IFERROR(IF($C156&lt;1,"",CG$3*일별반별!CJ156),0)</f>
        <v/>
      </c>
      <c r="CH156" s="337" t="str">
        <f>IFERROR(IF($C156&lt;1,"",CH$3*일별반별!CK156),0)</f>
        <v/>
      </c>
      <c r="CI156" s="337" t="str">
        <f>IFERROR(IF($C156&lt;1,"",CI$3*일별반별!CL156),0)</f>
        <v/>
      </c>
      <c r="CJ156" s="337" t="str">
        <f>IFERROR(IF($C156&lt;1,"",CJ$3*일별반별!CM156),0)</f>
        <v/>
      </c>
      <c r="CK156" s="337" t="str">
        <f>IFERROR(IF($C156&lt;1,"",CK$3*일별반별!CN156),0)</f>
        <v/>
      </c>
      <c r="CL156" s="337" t="str">
        <f>IFERROR(IF($C156&lt;1,"",CL$3*일별반별!CO156),0)</f>
        <v/>
      </c>
      <c r="CM156" s="337" t="str">
        <f>IFERROR(IF($C156&lt;1,"",CM$3*일별반별!CP156),0)</f>
        <v/>
      </c>
      <c r="CN156" s="337" t="str">
        <f>IFERROR(IF($C156&lt;1,"",CN$3*일별반별!CQ156),0)</f>
        <v/>
      </c>
      <c r="CO156" s="337" t="str">
        <f>IFERROR(IF($C156&lt;1,"",CO$3*일별반별!CR156),0)</f>
        <v/>
      </c>
      <c r="CP156" s="337" t="str">
        <f>IFERROR(IF($C156&lt;1,"",CP$3*일별반별!CS156),0)</f>
        <v/>
      </c>
      <c r="CQ156" s="337" t="str">
        <f>IFERROR(IF($C156&lt;1,"",CQ$3*일별반별!CT156),0)</f>
        <v/>
      </c>
      <c r="CR156" s="420" t="str">
        <f>IFERROR(IF($C156&lt;1,"",CR$3*일별반별!CU156),0)</f>
        <v/>
      </c>
      <c r="CS156" s="420" t="str">
        <f>IFERROR(IF($C156&lt;1,"",CS$3*일별반별!CV156),0)</f>
        <v/>
      </c>
      <c r="CT156" s="337" t="str">
        <f>IFERROR(IF($C156&lt;1,"",CT$3*일별반별!CW156),0)</f>
        <v/>
      </c>
      <c r="CU156" s="337" t="str">
        <f>IFERROR(IF($C156&lt;1,"",CU$3*일별반별!CX156),0)</f>
        <v/>
      </c>
      <c r="CV156" s="337" t="str">
        <f>IFERROR(IF($C156&lt;1,"",CV$3*일별반별!CY156),0)</f>
        <v/>
      </c>
      <c r="CW156" s="337" t="str">
        <f>IFERROR(IF($C156&lt;1,"",CW$3*일별반별!CZ156),0)</f>
        <v/>
      </c>
      <c r="CX156" s="337" t="str">
        <f>IFERROR(IF($C156&lt;1,"",CX$3*일별반별!DA156),0)</f>
        <v/>
      </c>
      <c r="CY156" s="316" t="str">
        <f>IF(C156&lt;1,"",(CY$3*'09월 조업일지'!AV$7))</f>
        <v/>
      </c>
      <c r="CZ156" s="316" t="str">
        <f t="shared" si="8"/>
        <v/>
      </c>
      <c r="DA156" s="316" t="str">
        <f t="shared" si="8"/>
        <v/>
      </c>
      <c r="DB156" s="316" t="str">
        <f t="shared" si="8"/>
        <v/>
      </c>
      <c r="DC156" s="316"/>
      <c r="DD156" s="419"/>
    </row>
    <row r="157" spans="1:108" ht="15" customHeight="1">
      <c r="A157" s="274">
        <f t="shared" si="9"/>
        <v>44043</v>
      </c>
      <c r="B157" s="275" t="s">
        <v>9</v>
      </c>
      <c r="C157" s="201">
        <f>COUNTIFS('09월 조업일지'!$A$12:$A$952,A156,'09월 조업일지'!$E$12:$E$952,B157)</f>
        <v>0</v>
      </c>
      <c r="D157" s="314">
        <f>IF(C157&lt;1,0,(SUM(E157:CX157)/(일별반별!BV157-1.5)+(CY157+CZ157+DA157+DB157)))</f>
        <v>0</v>
      </c>
      <c r="E157" s="278"/>
      <c r="F157" s="281"/>
      <c r="G157" s="282"/>
      <c r="H157" s="283"/>
      <c r="I157" s="283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326"/>
      <c r="U157" s="395" t="str">
        <f>IFERROR(IF($C157&lt;1,"",U$3*일별반별!X157),0)</f>
        <v/>
      </c>
      <c r="V157" s="395" t="str">
        <f>IFERROR(IF($C157&lt;1,"",V$3*일별반별!Y157),0)</f>
        <v/>
      </c>
      <c r="W157" s="395" t="str">
        <f>IFERROR(IF($C157&lt;1,"",W$3*일별반별!Z157),0)</f>
        <v/>
      </c>
      <c r="X157" s="208" t="str">
        <f>IFERROR(IF($C157&lt;1,"",X$3*일별반별!AA157),0)</f>
        <v/>
      </c>
      <c r="Y157" s="208" t="str">
        <f>IFERROR(IF($C157&lt;1,"",Y$3*일별반별!AB157),0)</f>
        <v/>
      </c>
      <c r="Z157" s="208" t="str">
        <f>IFERROR(IF($C157&lt;1,"",Z$3*일별반별!AC157),0)</f>
        <v/>
      </c>
      <c r="AA157" s="395" t="str">
        <f>IFERROR(IF($C157&lt;1,"",AA$3*일별반별!AD157),0)</f>
        <v/>
      </c>
      <c r="AB157" s="395" t="str">
        <f>IFERROR(IF($C157&lt;1,"",AB$3*일별반별!AE157),0)</f>
        <v/>
      </c>
      <c r="AC157" s="208" t="str">
        <f>IFERROR(IF($C157&lt;1,"",AC$3*일별반별!AF157),0)</f>
        <v/>
      </c>
      <c r="AD157" s="208" t="str">
        <f>IFERROR(IF($C157&lt;1,"",AD$3*일별반별!AG157),0)</f>
        <v/>
      </c>
      <c r="AE157" s="208" t="str">
        <f>IFERROR(IF($C157&lt;1,"",AE$3*일별반별!AH157),0)</f>
        <v/>
      </c>
      <c r="AF157" s="395" t="str">
        <f>IFERROR(IF($C157&lt;1,"",AF$3*일별반별!AI157),0)</f>
        <v/>
      </c>
      <c r="AG157" s="395" t="str">
        <f>IFERROR(IF($C157&lt;1,"",AG$3*일별반별!AJ157),0)</f>
        <v/>
      </c>
      <c r="AH157" s="395" t="str">
        <f>IFERROR(IF($C157&lt;1,"",AH$3*일별반별!AK157),0)</f>
        <v/>
      </c>
      <c r="AI157" s="395" t="str">
        <f>IFERROR(IF($C157&lt;1,"",AI$3*일별반별!AL157),0)</f>
        <v/>
      </c>
      <c r="AJ157" s="395" t="str">
        <f>IFERROR(IF($C157&lt;1,"",AJ$3*일별반별!AM157),0)</f>
        <v/>
      </c>
      <c r="AK157" s="395" t="str">
        <f>IFERROR(IF($C157&lt;1,"",AK$3*일별반별!AN157),0)</f>
        <v/>
      </c>
      <c r="AL157" s="395" t="str">
        <f>IFERROR(IF($C157&lt;1,"",AL$3*일별반별!AO157),0)</f>
        <v/>
      </c>
      <c r="AM157" s="395" t="str">
        <f>IFERROR(IF($C157&lt;1,"",AM$3*일별반별!AP157),0)</f>
        <v/>
      </c>
      <c r="AN157" s="395" t="str">
        <f>IFERROR(IF($C157&lt;1,"",AN$3*일별반별!AQ157),0)</f>
        <v/>
      </c>
      <c r="AO157" s="395" t="str">
        <f>IFERROR(IF($C157&lt;1,"",AO$3*일별반별!AR157),0)</f>
        <v/>
      </c>
      <c r="AP157" s="347" t="str">
        <f>IFERROR(IF($C157&lt;1,"",AP$3*일별반별!AS157),0)</f>
        <v/>
      </c>
      <c r="AQ157" s="347" t="str">
        <f>IFERROR(IF($C157&lt;1,"",AQ$3*일별반별!AT157),0)</f>
        <v/>
      </c>
      <c r="AR157" s="316" t="str">
        <f>IFERROR(IF($C157&lt;1,"",AR$3*일별반별!AU157),0)</f>
        <v/>
      </c>
      <c r="AS157" s="401" t="str">
        <f>IFERROR(IF($C157&lt;1,"",AS$3*일별반별!AV157),0)</f>
        <v/>
      </c>
      <c r="AT157" s="401" t="str">
        <f>IFERROR(IF($C157&lt;1,"",AT$3*일별반별!AW157),0)</f>
        <v/>
      </c>
      <c r="AU157" s="401" t="str">
        <f>IFERROR(IF($C157&lt;1,"",AU$3*일별반별!AX157),0)</f>
        <v/>
      </c>
      <c r="AV157" s="401" t="str">
        <f>IFERROR(IF($C157&lt;1,"",AV$3*일별반별!AY157),0)</f>
        <v/>
      </c>
      <c r="AW157" s="401" t="str">
        <f>IFERROR(IF($C157&lt;1,"",AW$3*일별반별!AZ157),0)</f>
        <v/>
      </c>
      <c r="AX157" s="401" t="str">
        <f>IFERROR(IF($C157&lt;1,"",AX$3*일별반별!BA157),0)</f>
        <v/>
      </c>
      <c r="AY157" s="401" t="str">
        <f>IFERROR(IF($C157&lt;1,"",AY$3*일별반별!BB157),0)</f>
        <v/>
      </c>
      <c r="AZ157" s="401" t="str">
        <f>IFERROR(IF($C157&lt;1,"",AZ$3*일별반별!BC157),0)</f>
        <v/>
      </c>
      <c r="BA157" s="401" t="str">
        <f>IFERROR(IF($C157&lt;1,"",BA$3*일별반별!BD157),0)</f>
        <v/>
      </c>
      <c r="BB157" s="402" t="str">
        <f>IFERROR(IF($C157&lt;1,"",BB$3*일별반별!BE157),0)</f>
        <v/>
      </c>
      <c r="BC157" s="402" t="str">
        <f>IFERROR(IF($C157&lt;1,"",BC$3*일별반별!BF157),0)</f>
        <v/>
      </c>
      <c r="BD157" s="402" t="str">
        <f>IFERROR(IF($C157&lt;1,"",BD$3*일별반별!BG157),0)</f>
        <v/>
      </c>
      <c r="BE157" s="402" t="str">
        <f>IFERROR(IF($C157&lt;1,"",BE$3*일별반별!BH157),0)</f>
        <v/>
      </c>
      <c r="BF157" s="402" t="str">
        <f>IFERROR(IF($C157&lt;1,"",BF$3*일별반별!BI157),0)</f>
        <v/>
      </c>
      <c r="BG157" s="402" t="str">
        <f>IFERROR(IF($C157&lt;1,"",BG$3*일별반별!BJ157),0)</f>
        <v/>
      </c>
      <c r="BH157" s="402" t="str">
        <f>IFERROR(IF($C157&lt;1,"",BH$3*일별반별!BK157),0)</f>
        <v/>
      </c>
      <c r="BI157" s="402" t="str">
        <f>IFERROR(IF($C157&lt;1,"",BI$3*일별반별!BL157),0)</f>
        <v/>
      </c>
      <c r="BJ157" s="402" t="str">
        <f>IFERROR(IF($C157&lt;1,"",BJ$3*일별반별!BM157),0)</f>
        <v/>
      </c>
      <c r="BK157" s="402" t="str">
        <f>IFERROR(IF($C157&lt;1,"",BK$3*일별반별!BN157),0)</f>
        <v/>
      </c>
      <c r="BL157" s="402" t="str">
        <f>IFERROR(IF($C157&lt;1,"",BL$3*일별반별!BH157),0)</f>
        <v/>
      </c>
      <c r="BM157" s="402" t="str">
        <f>IFERROR(IF($C157&lt;1,"",BM$3*일별반별!BP157),0)</f>
        <v/>
      </c>
      <c r="BN157" s="401" t="str">
        <f>IFERROR(IF($C157&lt;1,"",BN$3*일별반별!BQ157),0)</f>
        <v/>
      </c>
      <c r="BO157" s="401" t="str">
        <f>IFERROR(IF($C157&lt;1,"",BO$3*일별반별!BR157),0)</f>
        <v/>
      </c>
      <c r="BP157" s="401" t="str">
        <f>IFERROR(IF($C157&lt;1,"",BP$3*일별반별!BS157),0)</f>
        <v/>
      </c>
      <c r="BQ157" s="401" t="str">
        <f>IFERROR(IF($C157&lt;1,"",BQ$3*일별반별!BT157),0)</f>
        <v/>
      </c>
      <c r="BR157" s="417" t="str">
        <f>IFERROR(IF($C157&lt;1,"",BR$3*일별반별!BU157),0)</f>
        <v/>
      </c>
      <c r="BS157" s="417" t="str">
        <f>IFERROR(IF($C157&lt;1,"",BS$3*일별반별!BV157),0)</f>
        <v/>
      </c>
      <c r="BT157" s="417" t="str">
        <f>IFERROR(IF($C157&lt;1,"",BT$3*일별반별!BW157),0)</f>
        <v/>
      </c>
      <c r="BU157" s="316" t="str">
        <f>IFERROR(IF($C157&lt;1,"",BU$3*일별반별!BX157),0)</f>
        <v/>
      </c>
      <c r="BV157" s="316" t="str">
        <f>IFERROR(IF($C157&lt;1,"",BV$3*일별반별!BY157),0)</f>
        <v/>
      </c>
      <c r="BW157" s="316" t="str">
        <f>IFERROR(IF($C157&lt;1,"",BW$3*일별반별!BZ157),0)</f>
        <v/>
      </c>
      <c r="BX157" s="316" t="str">
        <f>IFERROR(IF($C157&lt;1,"",BX$3*일별반별!CA157),0)</f>
        <v/>
      </c>
      <c r="BY157" s="316" t="str">
        <f>IFERROR(IF($C157&lt;1,"",BY$3*일별반별!CB157),0)</f>
        <v/>
      </c>
      <c r="BZ157" s="316" t="str">
        <f>IFERROR(IF($C157&lt;1,"",BZ$3*일별반별!CC157),0)</f>
        <v/>
      </c>
      <c r="CA157" s="316" t="str">
        <f>IFERROR(IF($C157&lt;1,"",CA$3*일별반별!CD157),0)</f>
        <v/>
      </c>
      <c r="CB157" s="316" t="str">
        <f>IFERROR(IF($C157&lt;1,"",CB$3*일별반별!CE157),0)</f>
        <v/>
      </c>
      <c r="CC157" s="316" t="str">
        <f>IFERROR(IF($C157&lt;1,"",CC$3*일별반별!CF157),0)</f>
        <v/>
      </c>
      <c r="CD157" s="316" t="str">
        <f>IFERROR(IF($C157&lt;1,"",CD$3*일별반별!CG157),0)</f>
        <v/>
      </c>
      <c r="CE157" s="316" t="str">
        <f>IFERROR(IF($C157&lt;1,"",CE$3*일별반별!CH157),0)</f>
        <v/>
      </c>
      <c r="CF157" s="316" t="str">
        <f>IFERROR(IF($C157&lt;1,"",CF$3*일별반별!CI157),0)</f>
        <v/>
      </c>
      <c r="CG157" s="316" t="str">
        <f>IFERROR(IF($C157&lt;1,"",CG$3*일별반별!CJ157),0)</f>
        <v/>
      </c>
      <c r="CH157" s="316" t="str">
        <f>IFERROR(IF($C157&lt;1,"",CH$3*일별반별!CK157),0)</f>
        <v/>
      </c>
      <c r="CI157" s="316" t="str">
        <f>IFERROR(IF($C157&lt;1,"",CI$3*일별반별!CL157),0)</f>
        <v/>
      </c>
      <c r="CJ157" s="316" t="str">
        <f>IFERROR(IF($C157&lt;1,"",CJ$3*일별반별!CM157),0)</f>
        <v/>
      </c>
      <c r="CK157" s="316" t="str">
        <f>IFERROR(IF($C157&lt;1,"",CK$3*일별반별!CN157),0)</f>
        <v/>
      </c>
      <c r="CL157" s="316" t="str">
        <f>IFERROR(IF($C157&lt;1,"",CL$3*일별반별!CO157),0)</f>
        <v/>
      </c>
      <c r="CM157" s="316" t="str">
        <f>IFERROR(IF($C157&lt;1,"",CM$3*일별반별!CP157),0)</f>
        <v/>
      </c>
      <c r="CN157" s="316" t="str">
        <f>IFERROR(IF($C157&lt;1,"",CN$3*일별반별!CQ157),0)</f>
        <v/>
      </c>
      <c r="CO157" s="316" t="str">
        <f>IFERROR(IF($C157&lt;1,"",CO$3*일별반별!CR157),0)</f>
        <v/>
      </c>
      <c r="CP157" s="316" t="str">
        <f>IFERROR(IF($C157&lt;1,"",CP$3*일별반별!CS157),0)</f>
        <v/>
      </c>
      <c r="CQ157" s="316" t="str">
        <f>IFERROR(IF($C157&lt;1,"",CQ$3*일별반별!CT157),0)</f>
        <v/>
      </c>
      <c r="CR157" s="418" t="str">
        <f>IFERROR(IF($C157&lt;1,"",CR$3*일별반별!CU157),0)</f>
        <v/>
      </c>
      <c r="CS157" s="418" t="str">
        <f>IFERROR(IF($C157&lt;1,"",CS$3*일별반별!CV157),0)</f>
        <v/>
      </c>
      <c r="CT157" s="316" t="str">
        <f>IFERROR(IF($C157&lt;1,"",CT$3*일별반별!CW157),0)</f>
        <v/>
      </c>
      <c r="CU157" s="316" t="str">
        <f>IFERROR(IF($C157&lt;1,"",CU$3*일별반별!CX157),0)</f>
        <v/>
      </c>
      <c r="CV157" s="316" t="str">
        <f>IFERROR(IF($C157&lt;1,"",CV$3*일별반별!CY157),0)</f>
        <v/>
      </c>
      <c r="CW157" s="316" t="str">
        <f>IFERROR(IF($C157&lt;1,"",CW$3*일별반별!CZ157),0)</f>
        <v/>
      </c>
      <c r="CX157" s="316" t="str">
        <f>IFERROR(IF($C157&lt;1,"",CX$3*일별반별!DA157),0)</f>
        <v/>
      </c>
      <c r="CY157" s="316" t="str">
        <f>IF(C157&lt;1,"",(CY$3*'09월 조업일지'!AV$7))</f>
        <v/>
      </c>
      <c r="CZ157" s="316" t="str">
        <f t="shared" si="8"/>
        <v/>
      </c>
      <c r="DA157" s="316" t="str">
        <f t="shared" si="8"/>
        <v/>
      </c>
      <c r="DB157" s="316" t="str">
        <f t="shared" si="8"/>
        <v/>
      </c>
      <c r="DC157" s="316"/>
      <c r="DD157" s="419"/>
    </row>
    <row r="158" spans="1:108" ht="15" customHeight="1">
      <c r="A158" s="274">
        <f t="shared" si="9"/>
        <v>44043</v>
      </c>
      <c r="B158" s="275" t="s">
        <v>100</v>
      </c>
      <c r="C158" s="201">
        <f>COUNTIFS('09월 조업일지'!$A$12:$A$952,A156,'09월 조업일지'!$E$12:$E$952,B158)</f>
        <v>0</v>
      </c>
      <c r="D158" s="314">
        <f>IF(C158&lt;1,0,(SUM(E158:CX158)/(일별반별!BV158-1.5)+(CY158+CZ158+DA158+DB158)))</f>
        <v>0</v>
      </c>
      <c r="E158" s="278"/>
      <c r="F158" s="281"/>
      <c r="G158" s="282"/>
      <c r="H158" s="283"/>
      <c r="I158" s="283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326"/>
      <c r="U158" s="395" t="str">
        <f>IFERROR(IF($C158&lt;1,"",U$3*일별반별!X158),0)</f>
        <v/>
      </c>
      <c r="V158" s="395" t="str">
        <f>IFERROR(IF($C158&lt;1,"",V$3*일별반별!Y158),0)</f>
        <v/>
      </c>
      <c r="W158" s="395" t="str">
        <f>IFERROR(IF($C158&lt;1,"",W$3*일별반별!Z158),0)</f>
        <v/>
      </c>
      <c r="X158" s="208" t="str">
        <f>IFERROR(IF($C158&lt;1,"",X$3*일별반별!AA158),0)</f>
        <v/>
      </c>
      <c r="Y158" s="208" t="str">
        <f>IFERROR(IF($C158&lt;1,"",Y$3*일별반별!AB158),0)</f>
        <v/>
      </c>
      <c r="Z158" s="208" t="str">
        <f>IFERROR(IF($C158&lt;1,"",Z$3*일별반별!AC158),0)</f>
        <v/>
      </c>
      <c r="AA158" s="395" t="str">
        <f>IFERROR(IF($C158&lt;1,"",AA$3*일별반별!AD158),0)</f>
        <v/>
      </c>
      <c r="AB158" s="395" t="str">
        <f>IFERROR(IF($C158&lt;1,"",AB$3*일별반별!AE158),0)</f>
        <v/>
      </c>
      <c r="AC158" s="208" t="str">
        <f>IFERROR(IF($C158&lt;1,"",AC$3*일별반별!AF158),0)</f>
        <v/>
      </c>
      <c r="AD158" s="208" t="str">
        <f>IFERROR(IF($C158&lt;1,"",AD$3*일별반별!AG158),0)</f>
        <v/>
      </c>
      <c r="AE158" s="208" t="str">
        <f>IFERROR(IF($C158&lt;1,"",AE$3*일별반별!AH158),0)</f>
        <v/>
      </c>
      <c r="AF158" s="395" t="str">
        <f>IFERROR(IF($C158&lt;1,"",AF$3*일별반별!AI158),0)</f>
        <v/>
      </c>
      <c r="AG158" s="395" t="str">
        <f>IFERROR(IF($C158&lt;1,"",AG$3*일별반별!AJ158),0)</f>
        <v/>
      </c>
      <c r="AH158" s="395" t="str">
        <f>IFERROR(IF($C158&lt;1,"",AH$3*일별반별!AK158),0)</f>
        <v/>
      </c>
      <c r="AI158" s="395" t="str">
        <f>IFERROR(IF($C158&lt;1,"",AI$3*일별반별!AL158),0)</f>
        <v/>
      </c>
      <c r="AJ158" s="395" t="str">
        <f>IFERROR(IF($C158&lt;1,"",AJ$3*일별반별!AM158),0)</f>
        <v/>
      </c>
      <c r="AK158" s="395" t="str">
        <f>IFERROR(IF($C158&lt;1,"",AK$3*일별반별!AN158),0)</f>
        <v/>
      </c>
      <c r="AL158" s="395" t="str">
        <f>IFERROR(IF($C158&lt;1,"",AL$3*일별반별!AO158),0)</f>
        <v/>
      </c>
      <c r="AM158" s="395" t="str">
        <f>IFERROR(IF($C158&lt;1,"",AM$3*일별반별!AP158),0)</f>
        <v/>
      </c>
      <c r="AN158" s="395" t="str">
        <f>IFERROR(IF($C158&lt;1,"",AN$3*일별반별!AQ158),0)</f>
        <v/>
      </c>
      <c r="AO158" s="395" t="str">
        <f>IFERROR(IF($C158&lt;1,"",AO$3*일별반별!AR158),0)</f>
        <v/>
      </c>
      <c r="AP158" s="347" t="str">
        <f>IFERROR(IF($C158&lt;1,"",AP$3*일별반별!AS158),0)</f>
        <v/>
      </c>
      <c r="AQ158" s="347" t="str">
        <f>IFERROR(IF($C158&lt;1,"",AQ$3*일별반별!AT158),0)</f>
        <v/>
      </c>
      <c r="AR158" s="316" t="str">
        <f>IFERROR(IF($C158&lt;1,"",AR$3*일별반별!AU158),0)</f>
        <v/>
      </c>
      <c r="AS158" s="401" t="str">
        <f>IFERROR(IF($C158&lt;1,"",AS$3*일별반별!AV158),0)</f>
        <v/>
      </c>
      <c r="AT158" s="401" t="str">
        <f>IFERROR(IF($C158&lt;1,"",AT$3*일별반별!AW158),0)</f>
        <v/>
      </c>
      <c r="AU158" s="401" t="str">
        <f>IFERROR(IF($C158&lt;1,"",AU$3*일별반별!AX158),0)</f>
        <v/>
      </c>
      <c r="AV158" s="401" t="str">
        <f>IFERROR(IF($C158&lt;1,"",AV$3*일별반별!AY158),0)</f>
        <v/>
      </c>
      <c r="AW158" s="401" t="str">
        <f>IFERROR(IF($C158&lt;1,"",AW$3*일별반별!AZ158),0)</f>
        <v/>
      </c>
      <c r="AX158" s="401" t="str">
        <f>IFERROR(IF($C158&lt;1,"",AX$3*일별반별!BA158),0)</f>
        <v/>
      </c>
      <c r="AY158" s="401" t="str">
        <f>IFERROR(IF($C158&lt;1,"",AY$3*일별반별!BB158),0)</f>
        <v/>
      </c>
      <c r="AZ158" s="401" t="str">
        <f>IFERROR(IF($C158&lt;1,"",AZ$3*일별반별!BC158),0)</f>
        <v/>
      </c>
      <c r="BA158" s="401" t="str">
        <f>IFERROR(IF($C158&lt;1,"",BA$3*일별반별!BD158),0)</f>
        <v/>
      </c>
      <c r="BB158" s="402" t="str">
        <f>IFERROR(IF($C158&lt;1,"",BB$3*일별반별!BE158),0)</f>
        <v/>
      </c>
      <c r="BC158" s="402" t="str">
        <f>IFERROR(IF($C158&lt;1,"",BC$3*일별반별!BF158),0)</f>
        <v/>
      </c>
      <c r="BD158" s="402" t="str">
        <f>IFERROR(IF($C158&lt;1,"",BD$3*일별반별!BG158),0)</f>
        <v/>
      </c>
      <c r="BE158" s="402" t="str">
        <f>IFERROR(IF($C158&lt;1,"",BE$3*일별반별!BH158),0)</f>
        <v/>
      </c>
      <c r="BF158" s="402" t="str">
        <f>IFERROR(IF($C158&lt;1,"",BF$3*일별반별!BI158),0)</f>
        <v/>
      </c>
      <c r="BG158" s="402" t="str">
        <f>IFERROR(IF($C158&lt;1,"",BG$3*일별반별!BJ158),0)</f>
        <v/>
      </c>
      <c r="BH158" s="402" t="str">
        <f>IFERROR(IF($C158&lt;1,"",BH$3*일별반별!BK158),0)</f>
        <v/>
      </c>
      <c r="BI158" s="402" t="str">
        <f>IFERROR(IF($C158&lt;1,"",BI$3*일별반별!BL158),0)</f>
        <v/>
      </c>
      <c r="BJ158" s="402" t="str">
        <f>IFERROR(IF($C158&lt;1,"",BJ$3*일별반별!BM158),0)</f>
        <v/>
      </c>
      <c r="BK158" s="402" t="str">
        <f>IFERROR(IF($C158&lt;1,"",BK$3*일별반별!BN158),0)</f>
        <v/>
      </c>
      <c r="BL158" s="402" t="str">
        <f>IFERROR(IF($C158&lt;1,"",BL$3*일별반별!BH158),0)</f>
        <v/>
      </c>
      <c r="BM158" s="402" t="str">
        <f>IFERROR(IF($C158&lt;1,"",BM$3*일별반별!BP158),0)</f>
        <v/>
      </c>
      <c r="BN158" s="401" t="str">
        <f>IFERROR(IF($C158&lt;1,"",BN$3*일별반별!BQ158),0)</f>
        <v/>
      </c>
      <c r="BO158" s="401" t="str">
        <f>IFERROR(IF($C158&lt;1,"",BO$3*일별반별!BR158),0)</f>
        <v/>
      </c>
      <c r="BP158" s="401" t="str">
        <f>IFERROR(IF($C158&lt;1,"",BP$3*일별반별!BS158),0)</f>
        <v/>
      </c>
      <c r="BQ158" s="401" t="str">
        <f>IFERROR(IF($C158&lt;1,"",BQ$3*일별반별!BT158),0)</f>
        <v/>
      </c>
      <c r="BR158" s="417" t="str">
        <f>IFERROR(IF($C158&lt;1,"",BR$3*일별반별!BU158),0)</f>
        <v/>
      </c>
      <c r="BS158" s="417" t="str">
        <f>IFERROR(IF($C158&lt;1,"",BS$3*일별반별!BV158),0)</f>
        <v/>
      </c>
      <c r="BT158" s="417" t="str">
        <f>IFERROR(IF($C158&lt;1,"",BT$3*일별반별!BW158),0)</f>
        <v/>
      </c>
      <c r="BU158" s="316" t="str">
        <f>IFERROR(IF($C158&lt;1,"",BU$3*일별반별!BX158),0)</f>
        <v/>
      </c>
      <c r="BV158" s="316" t="str">
        <f>IFERROR(IF($C158&lt;1,"",BV$3*일별반별!BY158),0)</f>
        <v/>
      </c>
      <c r="BW158" s="316" t="str">
        <f>IFERROR(IF($C158&lt;1,"",BW$3*일별반별!BZ158),0)</f>
        <v/>
      </c>
      <c r="BX158" s="316" t="str">
        <f>IFERROR(IF($C158&lt;1,"",BX$3*일별반별!CA158),0)</f>
        <v/>
      </c>
      <c r="BY158" s="316" t="str">
        <f>IFERROR(IF($C158&lt;1,"",BY$3*일별반별!CB158),0)</f>
        <v/>
      </c>
      <c r="BZ158" s="316" t="str">
        <f>IFERROR(IF($C158&lt;1,"",BZ$3*일별반별!CC158),0)</f>
        <v/>
      </c>
      <c r="CA158" s="316" t="str">
        <f>IFERROR(IF($C158&lt;1,"",CA$3*일별반별!CD158),0)</f>
        <v/>
      </c>
      <c r="CB158" s="316" t="str">
        <f>IFERROR(IF($C158&lt;1,"",CB$3*일별반별!CE158),0)</f>
        <v/>
      </c>
      <c r="CC158" s="316" t="str">
        <f>IFERROR(IF($C158&lt;1,"",CC$3*일별반별!CF158),0)</f>
        <v/>
      </c>
      <c r="CD158" s="316" t="str">
        <f>IFERROR(IF($C158&lt;1,"",CD$3*일별반별!CG158),0)</f>
        <v/>
      </c>
      <c r="CE158" s="316" t="str">
        <f>IFERROR(IF($C158&lt;1,"",CE$3*일별반별!CH158),0)</f>
        <v/>
      </c>
      <c r="CF158" s="316" t="str">
        <f>IFERROR(IF($C158&lt;1,"",CF$3*일별반별!CI158),0)</f>
        <v/>
      </c>
      <c r="CG158" s="316" t="str">
        <f>IFERROR(IF($C158&lt;1,"",CG$3*일별반별!CJ158),0)</f>
        <v/>
      </c>
      <c r="CH158" s="316" t="str">
        <f>IFERROR(IF($C158&lt;1,"",CH$3*일별반별!CK158),0)</f>
        <v/>
      </c>
      <c r="CI158" s="316" t="str">
        <f>IFERROR(IF($C158&lt;1,"",CI$3*일별반별!CL158),0)</f>
        <v/>
      </c>
      <c r="CJ158" s="316" t="str">
        <f>IFERROR(IF($C158&lt;1,"",CJ$3*일별반별!CM158),0)</f>
        <v/>
      </c>
      <c r="CK158" s="316" t="str">
        <f>IFERROR(IF($C158&lt;1,"",CK$3*일별반별!CN158),0)</f>
        <v/>
      </c>
      <c r="CL158" s="316" t="str">
        <f>IFERROR(IF($C158&lt;1,"",CL$3*일별반별!CO158),0)</f>
        <v/>
      </c>
      <c r="CM158" s="316" t="str">
        <f>IFERROR(IF($C158&lt;1,"",CM$3*일별반별!CP158),0)</f>
        <v/>
      </c>
      <c r="CN158" s="316" t="str">
        <f>IFERROR(IF($C158&lt;1,"",CN$3*일별반별!CQ158),0)</f>
        <v/>
      </c>
      <c r="CO158" s="316" t="str">
        <f>IFERROR(IF($C158&lt;1,"",CO$3*일별반별!CR158),0)</f>
        <v/>
      </c>
      <c r="CP158" s="316" t="str">
        <f>IFERROR(IF($C158&lt;1,"",CP$3*일별반별!CS158),0)</f>
        <v/>
      </c>
      <c r="CQ158" s="316" t="str">
        <f>IFERROR(IF($C158&lt;1,"",CQ$3*일별반별!CT158),0)</f>
        <v/>
      </c>
      <c r="CR158" s="418" t="str">
        <f>IFERROR(IF($C158&lt;1,"",CR$3*일별반별!CU158),0)</f>
        <v/>
      </c>
      <c r="CS158" s="418" t="str">
        <f>IFERROR(IF($C158&lt;1,"",CS$3*일별반별!CV158),0)</f>
        <v/>
      </c>
      <c r="CT158" s="316" t="str">
        <f>IFERROR(IF($C158&lt;1,"",CT$3*일별반별!CW158),0)</f>
        <v/>
      </c>
      <c r="CU158" s="316" t="str">
        <f>IFERROR(IF($C158&lt;1,"",CU$3*일별반별!CX158),0)</f>
        <v/>
      </c>
      <c r="CV158" s="316" t="str">
        <f>IFERROR(IF($C158&lt;1,"",CV$3*일별반별!CY158),0)</f>
        <v/>
      </c>
      <c r="CW158" s="316" t="str">
        <f>IFERROR(IF($C158&lt;1,"",CW$3*일별반별!CZ158),0)</f>
        <v/>
      </c>
      <c r="CX158" s="316" t="str">
        <f>IFERROR(IF($C158&lt;1,"",CX$3*일별반별!DA158),0)</f>
        <v/>
      </c>
      <c r="CY158" s="316" t="str">
        <f>IF(C158&lt;1,"",(CY$3*'09월 조업일지'!AV$7))</f>
        <v/>
      </c>
      <c r="CZ158" s="316" t="str">
        <f t="shared" si="8"/>
        <v/>
      </c>
      <c r="DA158" s="316" t="str">
        <f t="shared" si="8"/>
        <v/>
      </c>
      <c r="DB158" s="316" t="str">
        <f t="shared" si="8"/>
        <v/>
      </c>
      <c r="DC158" s="316"/>
      <c r="DD158" s="419"/>
    </row>
    <row r="159" spans="1:108" ht="15" customHeight="1">
      <c r="A159" s="274">
        <f t="shared" si="9"/>
        <v>44043</v>
      </c>
      <c r="B159" s="275" t="s">
        <v>10</v>
      </c>
      <c r="C159" s="201">
        <f>COUNTIFS('09월 조업일지'!$A$12:$A$952,A156,'09월 조업일지'!$E$12:$E$952,B159)</f>
        <v>0</v>
      </c>
      <c r="D159" s="314">
        <f>IF(C159&lt;1,0,(SUM(E159:CX159)/(일별반별!BV159-1.5)+(CY159+CZ159+DA159+DB159)))</f>
        <v>0</v>
      </c>
      <c r="E159" s="278"/>
      <c r="F159" s="281"/>
      <c r="G159" s="282"/>
      <c r="H159" s="283"/>
      <c r="I159" s="283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326"/>
      <c r="U159" s="395" t="str">
        <f>IFERROR(IF($C159&lt;1,"",U$3*일별반별!X159),0)</f>
        <v/>
      </c>
      <c r="V159" s="395" t="str">
        <f>IFERROR(IF($C159&lt;1,"",V$3*일별반별!Y159),0)</f>
        <v/>
      </c>
      <c r="W159" s="395" t="str">
        <f>IFERROR(IF($C159&lt;1,"",W$3*일별반별!Z159),0)</f>
        <v/>
      </c>
      <c r="X159" s="208" t="str">
        <f>IFERROR(IF($C159&lt;1,"",X$3*일별반별!AA159),0)</f>
        <v/>
      </c>
      <c r="Y159" s="208" t="str">
        <f>IFERROR(IF($C159&lt;1,"",Y$3*일별반별!AB159),0)</f>
        <v/>
      </c>
      <c r="Z159" s="208" t="str">
        <f>IFERROR(IF($C159&lt;1,"",Z$3*일별반별!AC159),0)</f>
        <v/>
      </c>
      <c r="AA159" s="395" t="str">
        <f>IFERROR(IF($C159&lt;1,"",AA$3*일별반별!AD159),0)</f>
        <v/>
      </c>
      <c r="AB159" s="395" t="str">
        <f>IFERROR(IF($C159&lt;1,"",AB$3*일별반별!AE159),0)</f>
        <v/>
      </c>
      <c r="AC159" s="208" t="str">
        <f>IFERROR(IF($C159&lt;1,"",AC$3*일별반별!AF159),0)</f>
        <v/>
      </c>
      <c r="AD159" s="208" t="str">
        <f>IFERROR(IF($C159&lt;1,"",AD$3*일별반별!AG159),0)</f>
        <v/>
      </c>
      <c r="AE159" s="208" t="str">
        <f>IFERROR(IF($C159&lt;1,"",AE$3*일별반별!AH159),0)</f>
        <v/>
      </c>
      <c r="AF159" s="395" t="str">
        <f>IFERROR(IF($C159&lt;1,"",AF$3*일별반별!AI159),0)</f>
        <v/>
      </c>
      <c r="AG159" s="395" t="str">
        <f>IFERROR(IF($C159&lt;1,"",AG$3*일별반별!AJ159),0)</f>
        <v/>
      </c>
      <c r="AH159" s="395" t="str">
        <f>IFERROR(IF($C159&lt;1,"",AH$3*일별반별!AK159),0)</f>
        <v/>
      </c>
      <c r="AI159" s="395" t="str">
        <f>IFERROR(IF($C159&lt;1,"",AI$3*일별반별!AL159),0)</f>
        <v/>
      </c>
      <c r="AJ159" s="395" t="str">
        <f>IFERROR(IF($C159&lt;1,"",AJ$3*일별반별!AM159),0)</f>
        <v/>
      </c>
      <c r="AK159" s="395" t="str">
        <f>IFERROR(IF($C159&lt;1,"",AK$3*일별반별!AN159),0)</f>
        <v/>
      </c>
      <c r="AL159" s="395" t="str">
        <f>IFERROR(IF($C159&lt;1,"",AL$3*일별반별!AO159),0)</f>
        <v/>
      </c>
      <c r="AM159" s="395" t="str">
        <f>IFERROR(IF($C159&lt;1,"",AM$3*일별반별!AP159),0)</f>
        <v/>
      </c>
      <c r="AN159" s="395" t="str">
        <f>IFERROR(IF($C159&lt;1,"",AN$3*일별반별!AQ159),0)</f>
        <v/>
      </c>
      <c r="AO159" s="395" t="str">
        <f>IFERROR(IF($C159&lt;1,"",AO$3*일별반별!AR159),0)</f>
        <v/>
      </c>
      <c r="AP159" s="347" t="str">
        <f>IFERROR(IF($C159&lt;1,"",AP$3*일별반별!AS159),0)</f>
        <v/>
      </c>
      <c r="AQ159" s="347" t="str">
        <f>IFERROR(IF($C159&lt;1,"",AQ$3*일별반별!AT159),0)</f>
        <v/>
      </c>
      <c r="AR159" s="316" t="str">
        <f>IFERROR(IF($C159&lt;1,"",AR$3*일별반별!AU159),0)</f>
        <v/>
      </c>
      <c r="AS159" s="401" t="str">
        <f>IFERROR(IF($C159&lt;1,"",AS$3*일별반별!AV159),0)</f>
        <v/>
      </c>
      <c r="AT159" s="401" t="str">
        <f>IFERROR(IF($C159&lt;1,"",AT$3*일별반별!AW159),0)</f>
        <v/>
      </c>
      <c r="AU159" s="401" t="str">
        <f>IFERROR(IF($C159&lt;1,"",AU$3*일별반별!AX159),0)</f>
        <v/>
      </c>
      <c r="AV159" s="401" t="str">
        <f>IFERROR(IF($C159&lt;1,"",AV$3*일별반별!AY159),0)</f>
        <v/>
      </c>
      <c r="AW159" s="401" t="str">
        <f>IFERROR(IF($C159&lt;1,"",AW$3*일별반별!AZ159),0)</f>
        <v/>
      </c>
      <c r="AX159" s="401" t="str">
        <f>IFERROR(IF($C159&lt;1,"",AX$3*일별반별!BA159),0)</f>
        <v/>
      </c>
      <c r="AY159" s="401" t="str">
        <f>IFERROR(IF($C159&lt;1,"",AY$3*일별반별!BB159),0)</f>
        <v/>
      </c>
      <c r="AZ159" s="401" t="str">
        <f>IFERROR(IF($C159&lt;1,"",AZ$3*일별반별!BC159),0)</f>
        <v/>
      </c>
      <c r="BA159" s="401" t="str">
        <f>IFERROR(IF($C159&lt;1,"",BA$3*일별반별!BD159),0)</f>
        <v/>
      </c>
      <c r="BB159" s="402" t="str">
        <f>IFERROR(IF($C159&lt;1,"",BB$3*일별반별!BE159),0)</f>
        <v/>
      </c>
      <c r="BC159" s="402" t="str">
        <f>IFERROR(IF($C159&lt;1,"",BC$3*일별반별!BF159),0)</f>
        <v/>
      </c>
      <c r="BD159" s="402" t="str">
        <f>IFERROR(IF($C159&lt;1,"",BD$3*일별반별!BG159),0)</f>
        <v/>
      </c>
      <c r="BE159" s="402" t="str">
        <f>IFERROR(IF($C159&lt;1,"",BE$3*일별반별!BH159),0)</f>
        <v/>
      </c>
      <c r="BF159" s="402" t="str">
        <f>IFERROR(IF($C159&lt;1,"",BF$3*일별반별!BI159),0)</f>
        <v/>
      </c>
      <c r="BG159" s="402" t="str">
        <f>IFERROR(IF($C159&lt;1,"",BG$3*일별반별!BJ159),0)</f>
        <v/>
      </c>
      <c r="BH159" s="402" t="str">
        <f>IFERROR(IF($C159&lt;1,"",BH$3*일별반별!BK159),0)</f>
        <v/>
      </c>
      <c r="BI159" s="402" t="str">
        <f>IFERROR(IF($C159&lt;1,"",BI$3*일별반별!BL159),0)</f>
        <v/>
      </c>
      <c r="BJ159" s="402" t="str">
        <f>IFERROR(IF($C159&lt;1,"",BJ$3*일별반별!BM159),0)</f>
        <v/>
      </c>
      <c r="BK159" s="402" t="str">
        <f>IFERROR(IF($C159&lt;1,"",BK$3*일별반별!BN159),0)</f>
        <v/>
      </c>
      <c r="BL159" s="402" t="str">
        <f>IFERROR(IF($C159&lt;1,"",BL$3*일별반별!BH159),0)</f>
        <v/>
      </c>
      <c r="BM159" s="402" t="str">
        <f>IFERROR(IF($C159&lt;1,"",BM$3*일별반별!BP159),0)</f>
        <v/>
      </c>
      <c r="BN159" s="401" t="str">
        <f>IFERROR(IF($C159&lt;1,"",BN$3*일별반별!BQ159),0)</f>
        <v/>
      </c>
      <c r="BO159" s="401" t="str">
        <f>IFERROR(IF($C159&lt;1,"",BO$3*일별반별!BR159),0)</f>
        <v/>
      </c>
      <c r="BP159" s="401" t="str">
        <f>IFERROR(IF($C159&lt;1,"",BP$3*일별반별!BS159),0)</f>
        <v/>
      </c>
      <c r="BQ159" s="401" t="str">
        <f>IFERROR(IF($C159&lt;1,"",BQ$3*일별반별!BT159),0)</f>
        <v/>
      </c>
      <c r="BR159" s="417" t="str">
        <f>IFERROR(IF($C159&lt;1,"",BR$3*일별반별!BU159),0)</f>
        <v/>
      </c>
      <c r="BS159" s="417" t="str">
        <f>IFERROR(IF($C159&lt;1,"",BS$3*일별반별!BV159),0)</f>
        <v/>
      </c>
      <c r="BT159" s="417" t="str">
        <f>IFERROR(IF($C159&lt;1,"",BT$3*일별반별!BW159),0)</f>
        <v/>
      </c>
      <c r="BU159" s="316" t="str">
        <f>IFERROR(IF($C159&lt;1,"",BU$3*일별반별!BX159),0)</f>
        <v/>
      </c>
      <c r="BV159" s="316" t="str">
        <f>IFERROR(IF($C159&lt;1,"",BV$3*일별반별!BY159),0)</f>
        <v/>
      </c>
      <c r="BW159" s="316" t="str">
        <f>IFERROR(IF($C159&lt;1,"",BW$3*일별반별!BZ159),0)</f>
        <v/>
      </c>
      <c r="BX159" s="316" t="str">
        <f>IFERROR(IF($C159&lt;1,"",BX$3*일별반별!CA159),0)</f>
        <v/>
      </c>
      <c r="BY159" s="316" t="str">
        <f>IFERROR(IF($C159&lt;1,"",BY$3*일별반별!CB159),0)</f>
        <v/>
      </c>
      <c r="BZ159" s="316" t="str">
        <f>IFERROR(IF($C159&lt;1,"",BZ$3*일별반별!CC159),0)</f>
        <v/>
      </c>
      <c r="CA159" s="316" t="str">
        <f>IFERROR(IF($C159&lt;1,"",CA$3*일별반별!CD159),0)</f>
        <v/>
      </c>
      <c r="CB159" s="316" t="str">
        <f>IFERROR(IF($C159&lt;1,"",CB$3*일별반별!CE159),0)</f>
        <v/>
      </c>
      <c r="CC159" s="316" t="str">
        <f>IFERROR(IF($C159&lt;1,"",CC$3*일별반별!CF159),0)</f>
        <v/>
      </c>
      <c r="CD159" s="316" t="str">
        <f>IFERROR(IF($C159&lt;1,"",CD$3*일별반별!CG159),0)</f>
        <v/>
      </c>
      <c r="CE159" s="316" t="str">
        <f>IFERROR(IF($C159&lt;1,"",CE$3*일별반별!CH159),0)</f>
        <v/>
      </c>
      <c r="CF159" s="316" t="str">
        <f>IFERROR(IF($C159&lt;1,"",CF$3*일별반별!CI159),0)</f>
        <v/>
      </c>
      <c r="CG159" s="316" t="str">
        <f>IFERROR(IF($C159&lt;1,"",CG$3*일별반별!CJ159),0)</f>
        <v/>
      </c>
      <c r="CH159" s="316" t="str">
        <f>IFERROR(IF($C159&lt;1,"",CH$3*일별반별!CK159),0)</f>
        <v/>
      </c>
      <c r="CI159" s="316" t="str">
        <f>IFERROR(IF($C159&lt;1,"",CI$3*일별반별!CL159),0)</f>
        <v/>
      </c>
      <c r="CJ159" s="316" t="str">
        <f>IFERROR(IF($C159&lt;1,"",CJ$3*일별반별!CM159),0)</f>
        <v/>
      </c>
      <c r="CK159" s="316" t="str">
        <f>IFERROR(IF($C159&lt;1,"",CK$3*일별반별!CN159),0)</f>
        <v/>
      </c>
      <c r="CL159" s="316" t="str">
        <f>IFERROR(IF($C159&lt;1,"",CL$3*일별반별!CO159),0)</f>
        <v/>
      </c>
      <c r="CM159" s="316" t="str">
        <f>IFERROR(IF($C159&lt;1,"",CM$3*일별반별!CP159),0)</f>
        <v/>
      </c>
      <c r="CN159" s="316" t="str">
        <f>IFERROR(IF($C159&lt;1,"",CN$3*일별반별!CQ159),0)</f>
        <v/>
      </c>
      <c r="CO159" s="316" t="str">
        <f>IFERROR(IF($C159&lt;1,"",CO$3*일별반별!CR159),0)</f>
        <v/>
      </c>
      <c r="CP159" s="316" t="str">
        <f>IFERROR(IF($C159&lt;1,"",CP$3*일별반별!CS159),0)</f>
        <v/>
      </c>
      <c r="CQ159" s="316" t="str">
        <f>IFERROR(IF($C159&lt;1,"",CQ$3*일별반별!CT159),0)</f>
        <v/>
      </c>
      <c r="CR159" s="418" t="str">
        <f>IFERROR(IF($C159&lt;1,"",CR$3*일별반별!CU159),0)</f>
        <v/>
      </c>
      <c r="CS159" s="418" t="str">
        <f>IFERROR(IF($C159&lt;1,"",CS$3*일별반별!CV159),0)</f>
        <v/>
      </c>
      <c r="CT159" s="316" t="str">
        <f>IFERROR(IF($C159&lt;1,"",CT$3*일별반별!CW159),0)</f>
        <v/>
      </c>
      <c r="CU159" s="316" t="str">
        <f>IFERROR(IF($C159&lt;1,"",CU$3*일별반별!CX159),0)</f>
        <v/>
      </c>
      <c r="CV159" s="316" t="str">
        <f>IFERROR(IF($C159&lt;1,"",CV$3*일별반별!CY159),0)</f>
        <v/>
      </c>
      <c r="CW159" s="316" t="str">
        <f>IFERROR(IF($C159&lt;1,"",CW$3*일별반별!CZ159),0)</f>
        <v/>
      </c>
      <c r="CX159" s="316" t="str">
        <f>IFERROR(IF($C159&lt;1,"",CX$3*일별반별!DA159),0)</f>
        <v/>
      </c>
      <c r="CY159" s="316" t="str">
        <f>IF(C159&lt;1,"",(CY$3*'09월 조업일지'!AV$7))</f>
        <v/>
      </c>
      <c r="CZ159" s="316" t="str">
        <f t="shared" si="8"/>
        <v/>
      </c>
      <c r="DA159" s="316" t="str">
        <f t="shared" si="8"/>
        <v/>
      </c>
      <c r="DB159" s="316" t="str">
        <f t="shared" si="8"/>
        <v/>
      </c>
      <c r="DC159" s="316"/>
      <c r="DD159" s="419"/>
    </row>
    <row r="160" spans="1:108" ht="15" customHeight="1" thickBot="1">
      <c r="A160" s="272">
        <f t="shared" si="9"/>
        <v>44043</v>
      </c>
      <c r="B160" s="276" t="s">
        <v>94</v>
      </c>
      <c r="C160" s="277">
        <f>COUNTIFS('09월 조업일지'!$A$12:$A$952,A156,'09월 조업일지'!$E$12:$E$952,B160)</f>
        <v>0</v>
      </c>
      <c r="D160" s="315">
        <f>IF(C160&lt;1,0,(SUM(E160:CX160)/(일별반별!BV160-1.5)+(CY160+CZ160+DA160+DB160)))</f>
        <v>0</v>
      </c>
      <c r="E160" s="279"/>
      <c r="F160" s="285"/>
      <c r="G160" s="286"/>
      <c r="H160" s="287"/>
      <c r="I160" s="287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338"/>
      <c r="U160" s="396" t="str">
        <f>IFERROR(IF($C160&lt;1,"",U$3*일별반별!X160),0)</f>
        <v/>
      </c>
      <c r="V160" s="396" t="str">
        <f>IFERROR(IF($C160&lt;1,"",V$3*일별반별!Y160),0)</f>
        <v/>
      </c>
      <c r="W160" s="396" t="str">
        <f>IFERROR(IF($C160&lt;1,"",W$3*일별반별!Z160),0)</f>
        <v/>
      </c>
      <c r="X160" s="339" t="str">
        <f>IFERROR(IF($C160&lt;1,"",X$3*일별반별!AA160),0)</f>
        <v/>
      </c>
      <c r="Y160" s="339" t="str">
        <f>IFERROR(IF($C160&lt;1,"",Y$3*일별반별!AB160),0)</f>
        <v/>
      </c>
      <c r="Z160" s="339" t="str">
        <f>IFERROR(IF($C160&lt;1,"",Z$3*일별반별!AC160),0)</f>
        <v/>
      </c>
      <c r="AA160" s="396" t="str">
        <f>IFERROR(IF($C160&lt;1,"",AA$3*일별반별!AD160),0)</f>
        <v/>
      </c>
      <c r="AB160" s="396" t="str">
        <f>IFERROR(IF($C160&lt;1,"",AB$3*일별반별!AE160),0)</f>
        <v/>
      </c>
      <c r="AC160" s="339" t="str">
        <f>IFERROR(IF($C160&lt;1,"",AC$3*일별반별!AF160),0)</f>
        <v/>
      </c>
      <c r="AD160" s="339" t="str">
        <f>IFERROR(IF($C160&lt;1,"",AD$3*일별반별!AG160),0)</f>
        <v/>
      </c>
      <c r="AE160" s="339" t="str">
        <f>IFERROR(IF($C160&lt;1,"",AE$3*일별반별!AH160),0)</f>
        <v/>
      </c>
      <c r="AF160" s="396" t="str">
        <f>IFERROR(IF($C160&lt;1,"",AF$3*일별반별!AI160),0)</f>
        <v/>
      </c>
      <c r="AG160" s="396" t="str">
        <f>IFERROR(IF($C160&lt;1,"",AG$3*일별반별!AJ160),0)</f>
        <v/>
      </c>
      <c r="AH160" s="396" t="str">
        <f>IFERROR(IF($C160&lt;1,"",AH$3*일별반별!AK160),0)</f>
        <v/>
      </c>
      <c r="AI160" s="396" t="str">
        <f>IFERROR(IF($C160&lt;1,"",AI$3*일별반별!AL160),0)</f>
        <v/>
      </c>
      <c r="AJ160" s="396" t="str">
        <f>IFERROR(IF($C160&lt;1,"",AJ$3*일별반별!AM160),0)</f>
        <v/>
      </c>
      <c r="AK160" s="396" t="str">
        <f>IFERROR(IF($C160&lt;1,"",AK$3*일별반별!AN160),0)</f>
        <v/>
      </c>
      <c r="AL160" s="396" t="str">
        <f>IFERROR(IF($C160&lt;1,"",AL$3*일별반별!AO160),0)</f>
        <v/>
      </c>
      <c r="AM160" s="396" t="str">
        <f>IFERROR(IF($C160&lt;1,"",AM$3*일별반별!AP160),0)</f>
        <v/>
      </c>
      <c r="AN160" s="396" t="str">
        <f>IFERROR(IF($C160&lt;1,"",AN$3*일별반별!AQ160),0)</f>
        <v/>
      </c>
      <c r="AO160" s="396" t="str">
        <f>IFERROR(IF($C160&lt;1,"",AO$3*일별반별!AR160),0)</f>
        <v/>
      </c>
      <c r="AP160" s="348" t="str">
        <f>IFERROR(IF($C160&lt;1,"",AP$3*일별반별!AS160),0)</f>
        <v/>
      </c>
      <c r="AQ160" s="348" t="str">
        <f>IFERROR(IF($C160&lt;1,"",AQ$3*일별반별!AT160),0)</f>
        <v/>
      </c>
      <c r="AR160" s="273" t="str">
        <f>IFERROR(IF($C160&lt;1,"",AR$3*일별반별!AU160),0)</f>
        <v/>
      </c>
      <c r="AS160" s="404" t="str">
        <f>IFERROR(IF($C160&lt;1,"",AS$3*일별반별!AV160),0)</f>
        <v/>
      </c>
      <c r="AT160" s="404" t="str">
        <f>IFERROR(IF($C160&lt;1,"",AT$3*일별반별!AW160),0)</f>
        <v/>
      </c>
      <c r="AU160" s="404" t="str">
        <f>IFERROR(IF($C160&lt;1,"",AU$3*일별반별!AX160),0)</f>
        <v/>
      </c>
      <c r="AV160" s="404" t="str">
        <f>IFERROR(IF($C160&lt;1,"",AV$3*일별반별!AY160),0)</f>
        <v/>
      </c>
      <c r="AW160" s="404" t="str">
        <f>IFERROR(IF($C160&lt;1,"",AW$3*일별반별!AZ160),0)</f>
        <v/>
      </c>
      <c r="AX160" s="404" t="str">
        <f>IFERROR(IF($C160&lt;1,"",AX$3*일별반별!BA160),0)</f>
        <v/>
      </c>
      <c r="AY160" s="404" t="str">
        <f>IFERROR(IF($C160&lt;1,"",AY$3*일별반별!BB160),0)</f>
        <v/>
      </c>
      <c r="AZ160" s="404" t="str">
        <f>IFERROR(IF($C160&lt;1,"",AZ$3*일별반별!BC160),0)</f>
        <v/>
      </c>
      <c r="BA160" s="404" t="str">
        <f>IFERROR(IF($C160&lt;1,"",BA$3*일별반별!BD160),0)</f>
        <v/>
      </c>
      <c r="BB160" s="405" t="str">
        <f>IFERROR(IF($C160&lt;1,"",BB$3*일별반별!BE160),0)</f>
        <v/>
      </c>
      <c r="BC160" s="405" t="str">
        <f>IFERROR(IF($C160&lt;1,"",BC$3*일별반별!BF160),0)</f>
        <v/>
      </c>
      <c r="BD160" s="405" t="str">
        <f>IFERROR(IF($C160&lt;1,"",BD$3*일별반별!BG160),0)</f>
        <v/>
      </c>
      <c r="BE160" s="405" t="str">
        <f>IFERROR(IF($C160&lt;1,"",BE$3*일별반별!BH160),0)</f>
        <v/>
      </c>
      <c r="BF160" s="405" t="str">
        <f>IFERROR(IF($C160&lt;1,"",BF$3*일별반별!BI160),0)</f>
        <v/>
      </c>
      <c r="BG160" s="405" t="str">
        <f>IFERROR(IF($C160&lt;1,"",BG$3*일별반별!BJ160),0)</f>
        <v/>
      </c>
      <c r="BH160" s="405" t="str">
        <f>IFERROR(IF($C160&lt;1,"",BH$3*일별반별!BK160),0)</f>
        <v/>
      </c>
      <c r="BI160" s="405" t="str">
        <f>IFERROR(IF($C160&lt;1,"",BI$3*일별반별!BL160),0)</f>
        <v/>
      </c>
      <c r="BJ160" s="405" t="str">
        <f>IFERROR(IF($C160&lt;1,"",BJ$3*일별반별!BM160),0)</f>
        <v/>
      </c>
      <c r="BK160" s="405" t="str">
        <f>IFERROR(IF($C160&lt;1,"",BK$3*일별반별!BN160),0)</f>
        <v/>
      </c>
      <c r="BL160" s="405" t="str">
        <f>IFERROR(IF($C160&lt;1,"",BL$3*일별반별!BH160),0)</f>
        <v/>
      </c>
      <c r="BM160" s="405" t="str">
        <f>IFERROR(IF($C160&lt;1,"",BM$3*일별반별!BP160),0)</f>
        <v/>
      </c>
      <c r="BN160" s="404" t="str">
        <f>IFERROR(IF($C160&lt;1,"",BN$3*일별반별!BQ160),0)</f>
        <v/>
      </c>
      <c r="BO160" s="404" t="str">
        <f>IFERROR(IF($C160&lt;1,"",BO$3*일별반별!BR160),0)</f>
        <v/>
      </c>
      <c r="BP160" s="404" t="str">
        <f>IFERROR(IF($C160&lt;1,"",BP$3*일별반별!BS160),0)</f>
        <v/>
      </c>
      <c r="BQ160" s="404" t="str">
        <f>IFERROR(IF($C160&lt;1,"",BQ$3*일별반별!BT160),0)</f>
        <v/>
      </c>
      <c r="BR160" s="421" t="str">
        <f>IFERROR(IF($C160&lt;1,"",BR$3*일별반별!BU160),0)</f>
        <v/>
      </c>
      <c r="BS160" s="421" t="str">
        <f>IFERROR(IF($C160&lt;1,"",BS$3*일별반별!BV160),0)</f>
        <v/>
      </c>
      <c r="BT160" s="421" t="str">
        <f>IFERROR(IF($C160&lt;1,"",BT$3*일별반별!BW160),0)</f>
        <v/>
      </c>
      <c r="BU160" s="273" t="str">
        <f>IFERROR(IF($C160&lt;1,"",BU$3*일별반별!BX160),0)</f>
        <v/>
      </c>
      <c r="BV160" s="273" t="str">
        <f>IFERROR(IF($C160&lt;1,"",BV$3*일별반별!BY160),0)</f>
        <v/>
      </c>
      <c r="BW160" s="273" t="str">
        <f>IFERROR(IF($C160&lt;1,"",BW$3*일별반별!BZ160),0)</f>
        <v/>
      </c>
      <c r="BX160" s="273" t="str">
        <f>IFERROR(IF($C160&lt;1,"",BX$3*일별반별!CA160),0)</f>
        <v/>
      </c>
      <c r="BY160" s="273" t="str">
        <f>IFERROR(IF($C160&lt;1,"",BY$3*일별반별!CB160),0)</f>
        <v/>
      </c>
      <c r="BZ160" s="273" t="str">
        <f>IFERROR(IF($C160&lt;1,"",BZ$3*일별반별!CC160),0)</f>
        <v/>
      </c>
      <c r="CA160" s="273" t="str">
        <f>IFERROR(IF($C160&lt;1,"",CA$3*일별반별!CD160),0)</f>
        <v/>
      </c>
      <c r="CB160" s="273" t="str">
        <f>IFERROR(IF($C160&lt;1,"",CB$3*일별반별!CE160),0)</f>
        <v/>
      </c>
      <c r="CC160" s="273" t="str">
        <f>IFERROR(IF($C160&lt;1,"",CC$3*일별반별!CF160),0)</f>
        <v/>
      </c>
      <c r="CD160" s="273" t="str">
        <f>IFERROR(IF($C160&lt;1,"",CD$3*일별반별!CG160),0)</f>
        <v/>
      </c>
      <c r="CE160" s="273" t="str">
        <f>IFERROR(IF($C160&lt;1,"",CE$3*일별반별!CH160),0)</f>
        <v/>
      </c>
      <c r="CF160" s="273" t="str">
        <f>IFERROR(IF($C160&lt;1,"",CF$3*일별반별!CI160),0)</f>
        <v/>
      </c>
      <c r="CG160" s="273" t="str">
        <f>IFERROR(IF($C160&lt;1,"",CG$3*일별반별!CJ160),0)</f>
        <v/>
      </c>
      <c r="CH160" s="273" t="str">
        <f>IFERROR(IF($C160&lt;1,"",CH$3*일별반별!CK160),0)</f>
        <v/>
      </c>
      <c r="CI160" s="273" t="str">
        <f>IFERROR(IF($C160&lt;1,"",CI$3*일별반별!CL160),0)</f>
        <v/>
      </c>
      <c r="CJ160" s="273" t="str">
        <f>IFERROR(IF($C160&lt;1,"",CJ$3*일별반별!CM160),0)</f>
        <v/>
      </c>
      <c r="CK160" s="273" t="str">
        <f>IFERROR(IF($C160&lt;1,"",CK$3*일별반별!CN160),0)</f>
        <v/>
      </c>
      <c r="CL160" s="273" t="str">
        <f>IFERROR(IF($C160&lt;1,"",CL$3*일별반별!CO160),0)</f>
        <v/>
      </c>
      <c r="CM160" s="273" t="str">
        <f>IFERROR(IF($C160&lt;1,"",CM$3*일별반별!CP160),0)</f>
        <v/>
      </c>
      <c r="CN160" s="273" t="str">
        <f>IFERROR(IF($C160&lt;1,"",CN$3*일별반별!CQ160),0)</f>
        <v/>
      </c>
      <c r="CO160" s="273" t="str">
        <f>IFERROR(IF($C160&lt;1,"",CO$3*일별반별!CR160),0)</f>
        <v/>
      </c>
      <c r="CP160" s="273" t="str">
        <f>IFERROR(IF($C160&lt;1,"",CP$3*일별반별!CS160),0)</f>
        <v/>
      </c>
      <c r="CQ160" s="273" t="str">
        <f>IFERROR(IF($C160&lt;1,"",CQ$3*일별반별!CT160),0)</f>
        <v/>
      </c>
      <c r="CR160" s="422" t="str">
        <f>IFERROR(IF($C160&lt;1,"",CR$3*일별반별!CU160),0)</f>
        <v/>
      </c>
      <c r="CS160" s="422" t="str">
        <f>IFERROR(IF($C160&lt;1,"",CS$3*일별반별!CV160),0)</f>
        <v/>
      </c>
      <c r="CT160" s="273" t="str">
        <f>IFERROR(IF($C160&lt;1,"",CT$3*일별반별!CW160),0)</f>
        <v/>
      </c>
      <c r="CU160" s="273" t="str">
        <f>IFERROR(IF($C160&lt;1,"",CU$3*일별반별!CX160),0)</f>
        <v/>
      </c>
      <c r="CV160" s="273" t="str">
        <f>IFERROR(IF($C160&lt;1,"",CV$3*일별반별!CY160),0)</f>
        <v/>
      </c>
      <c r="CW160" s="273" t="str">
        <f>IFERROR(IF($C160&lt;1,"",CW$3*일별반별!CZ160),0)</f>
        <v/>
      </c>
      <c r="CX160" s="273" t="str">
        <f>IFERROR(IF($C160&lt;1,"",CX$3*일별반별!DA160),0)</f>
        <v/>
      </c>
      <c r="CY160" s="273" t="str">
        <f>IF(C160&lt;1,"",(CY$3*'09월 조업일지'!AV$7))</f>
        <v/>
      </c>
      <c r="CZ160" s="273" t="str">
        <f t="shared" si="8"/>
        <v/>
      </c>
      <c r="DA160" s="273" t="str">
        <f t="shared" si="8"/>
        <v/>
      </c>
      <c r="DB160" s="273" t="str">
        <f t="shared" si="8"/>
        <v/>
      </c>
      <c r="DC160" s="273"/>
      <c r="DD160" s="423"/>
    </row>
    <row r="161" ht="15" customHeight="1"/>
  </sheetData>
  <mergeCells count="48">
    <mergeCell ref="AO4:AO5"/>
    <mergeCell ref="A1:K1"/>
    <mergeCell ref="A2:B2"/>
    <mergeCell ref="A4:A5"/>
    <mergeCell ref="B4:B5"/>
    <mergeCell ref="C4:C5"/>
    <mergeCell ref="G4:G5"/>
    <mergeCell ref="H4:H5"/>
    <mergeCell ref="J4:P4"/>
    <mergeCell ref="A3:B3"/>
    <mergeCell ref="R4:S4"/>
    <mergeCell ref="T4:T5"/>
    <mergeCell ref="U4:Z4"/>
    <mergeCell ref="AA4:AD4"/>
    <mergeCell ref="AE4:AN4"/>
    <mergeCell ref="D4:D5"/>
    <mergeCell ref="BB4:BE4"/>
    <mergeCell ref="BF4:BH4"/>
    <mergeCell ref="BI4:BJ4"/>
    <mergeCell ref="BK4:BL4"/>
    <mergeCell ref="BM4:BM5"/>
    <mergeCell ref="AS4:AT4"/>
    <mergeCell ref="AU4:AV4"/>
    <mergeCell ref="AW4:AX4"/>
    <mergeCell ref="AY4:AZ4"/>
    <mergeCell ref="BA4:BA5"/>
    <mergeCell ref="CH4:CL4"/>
    <mergeCell ref="CM4:CQ4"/>
    <mergeCell ref="CR4:CS4"/>
    <mergeCell ref="CT4:CX4"/>
    <mergeCell ref="BN4:BQ4"/>
    <mergeCell ref="BR4:BR5"/>
    <mergeCell ref="DC4:DC5"/>
    <mergeCell ref="DD4:DD5"/>
    <mergeCell ref="AP4:AQ4"/>
    <mergeCell ref="AR4:AR5"/>
    <mergeCell ref="DA4:DA5"/>
    <mergeCell ref="DB4:DB5"/>
    <mergeCell ref="CA4:CB4"/>
    <mergeCell ref="BS4:BS5"/>
    <mergeCell ref="BT4:BT5"/>
    <mergeCell ref="BU4:BV4"/>
    <mergeCell ref="BW4:BX4"/>
    <mergeCell ref="BY4:BZ4"/>
    <mergeCell ref="CY4:CY5"/>
    <mergeCell ref="CZ4:CZ5"/>
    <mergeCell ref="CC4:CF4"/>
    <mergeCell ref="CG4:CG5"/>
  </mergeCells>
  <phoneticPr fontId="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3"/>
  <sheetViews>
    <sheetView workbookViewId="0">
      <pane xSplit="2" ySplit="4" topLeftCell="F5" activePane="bottomRight" state="frozen"/>
      <selection pane="topRight" activeCell="C1" sqref="C1"/>
      <selection pane="bottomLeft" activeCell="A5" sqref="A5"/>
      <selection pane="bottomRight" activeCell="L19" sqref="L19"/>
    </sheetView>
  </sheetViews>
  <sheetFormatPr defaultRowHeight="14.4"/>
  <cols>
    <col min="1" max="1" width="10.19921875" bestFit="1" customWidth="1"/>
    <col min="2" max="2" width="5.59765625" customWidth="1"/>
    <col min="3" max="5" width="4" hidden="1" customWidth="1"/>
    <col min="6" max="7" width="5.3984375" customWidth="1"/>
    <col min="8" max="8" width="6.296875" customWidth="1"/>
    <col min="9" max="12" width="5.3984375" customWidth="1"/>
    <col min="13" max="14" width="6.8984375" customWidth="1"/>
    <col min="15" max="15" width="7" customWidth="1"/>
    <col min="16" max="18" width="9.765625E-2" customWidth="1"/>
    <col min="19" max="21" width="6.8984375" customWidth="1"/>
    <col min="22" max="22" width="0.19921875" customWidth="1"/>
    <col min="23" max="23" width="7.19921875" hidden="1" customWidth="1"/>
    <col min="24" max="25" width="6.8984375" customWidth="1"/>
    <col min="26" max="26" width="6.796875" hidden="1" customWidth="1"/>
    <col min="27" max="30" width="6.8984375" customWidth="1"/>
    <col min="31" max="31" width="5.09765625" hidden="1" customWidth="1"/>
    <col min="32" max="32" width="6.8984375" customWidth="1"/>
    <col min="33" max="34" width="5.59765625" customWidth="1"/>
    <col min="35" max="35" width="6.8984375" customWidth="1"/>
    <col min="36" max="36" width="8.69921875" bestFit="1" customWidth="1"/>
    <col min="37" max="37" width="8.09765625" customWidth="1"/>
    <col min="38" max="38" width="8.69921875" bestFit="1" customWidth="1"/>
    <col min="39" max="40" width="6.8984375" customWidth="1"/>
    <col min="41" max="43" width="8.69921875" bestFit="1" customWidth="1"/>
    <col min="44" max="44" width="7" bestFit="1" customWidth="1"/>
    <col min="45" max="45" width="8.69921875" bestFit="1" customWidth="1"/>
    <col min="46" max="46" width="9.69921875" bestFit="1" customWidth="1"/>
    <col min="47" max="47" width="8.69921875" bestFit="1" customWidth="1"/>
    <col min="48" max="48" width="8" customWidth="1"/>
    <col min="49" max="49" width="8.296875" customWidth="1"/>
    <col min="50" max="50" width="8.69921875" bestFit="1" customWidth="1"/>
    <col min="51" max="51" width="8.59765625" customWidth="1"/>
    <col min="52" max="54" width="6.8984375" customWidth="1"/>
    <col min="55" max="55" width="8.69921875" bestFit="1" customWidth="1"/>
    <col min="56" max="56" width="6.8984375" customWidth="1"/>
    <col min="57" max="57" width="8.69921875" bestFit="1" customWidth="1"/>
    <col min="58" max="58" width="6.8984375" customWidth="1"/>
    <col min="59" max="59" width="8.69921875" bestFit="1" customWidth="1"/>
    <col min="60" max="60" width="5.3984375" customWidth="1"/>
    <col min="61" max="61" width="8.69921875" bestFit="1" customWidth="1"/>
    <col min="62" max="66" width="6.19921875" customWidth="1"/>
    <col min="67" max="71" width="6.09765625" customWidth="1"/>
    <col min="72" max="76" width="6.8984375" customWidth="1"/>
    <col min="77" max="77" width="7.8984375" customWidth="1"/>
    <col min="78" max="78" width="7.59765625" customWidth="1"/>
    <col min="79" max="83" width="6.296875" customWidth="1"/>
    <col min="84" max="85" width="6.8984375" customWidth="1"/>
  </cols>
  <sheetData>
    <row r="1" spans="1:83" ht="25.8">
      <c r="A1" s="1721" t="s">
        <v>183</v>
      </c>
      <c r="B1" s="1721"/>
      <c r="C1" s="1721"/>
      <c r="D1" s="1721"/>
      <c r="E1" s="1721"/>
      <c r="F1" s="1721"/>
      <c r="G1" s="1721"/>
      <c r="H1" s="1721"/>
    </row>
    <row r="2" spans="1:83" ht="8.25" customHeight="1" thickBot="1"/>
    <row r="3" spans="1:83" ht="15.75" customHeight="1">
      <c r="A3" s="1746" t="s">
        <v>102</v>
      </c>
      <c r="B3" s="1748" t="s">
        <v>101</v>
      </c>
      <c r="C3" s="1751" t="s">
        <v>0</v>
      </c>
      <c r="D3" s="1752"/>
      <c r="E3" s="1752"/>
      <c r="F3" s="1733" t="s">
        <v>41</v>
      </c>
      <c r="G3" s="1733"/>
      <c r="H3" s="1733"/>
      <c r="I3" s="1733"/>
      <c r="J3" s="1733"/>
      <c r="K3" s="1733"/>
      <c r="L3" s="1733"/>
      <c r="M3" s="1740" t="s">
        <v>42</v>
      </c>
      <c r="N3" s="1740"/>
      <c r="O3" s="1740"/>
      <c r="P3" s="1740"/>
      <c r="Q3" s="1740"/>
      <c r="R3" s="1740"/>
      <c r="S3" s="1740" t="s">
        <v>43</v>
      </c>
      <c r="T3" s="1740"/>
      <c r="U3" s="1740"/>
      <c r="V3" s="1740"/>
      <c r="W3" s="1740" t="s">
        <v>44</v>
      </c>
      <c r="X3" s="1740"/>
      <c r="Y3" s="1740"/>
      <c r="Z3" s="1740"/>
      <c r="AA3" s="1740"/>
      <c r="AB3" s="1740"/>
      <c r="AC3" s="1740"/>
      <c r="AD3" s="1740"/>
      <c r="AE3" s="1740"/>
      <c r="AF3" s="1740" t="s">
        <v>45</v>
      </c>
      <c r="AG3" s="1757" t="s">
        <v>46</v>
      </c>
      <c r="AH3" s="1757"/>
      <c r="AI3" s="1733" t="s">
        <v>47</v>
      </c>
      <c r="AJ3" s="1766" t="s">
        <v>129</v>
      </c>
      <c r="AK3" s="1766"/>
      <c r="AL3" s="1766"/>
      <c r="AM3" s="1766"/>
      <c r="AN3" s="1766"/>
      <c r="AO3" s="1766"/>
      <c r="AP3" s="1767" t="s">
        <v>130</v>
      </c>
      <c r="AQ3" s="1767"/>
      <c r="AR3" s="1767"/>
      <c r="AS3" s="1767"/>
      <c r="AT3" s="1767"/>
      <c r="AU3" s="1743" t="s">
        <v>131</v>
      </c>
      <c r="AV3" s="1743"/>
      <c r="AW3" s="1743"/>
      <c r="AX3" s="1743"/>
      <c r="AY3" s="1744" t="s">
        <v>132</v>
      </c>
      <c r="AZ3" s="1753" t="s">
        <v>133</v>
      </c>
      <c r="BA3" s="1753" t="s">
        <v>134</v>
      </c>
      <c r="BB3" s="1295" t="s">
        <v>70</v>
      </c>
      <c r="BC3" s="1295"/>
      <c r="BD3" s="1295" t="s">
        <v>43</v>
      </c>
      <c r="BE3" s="1295"/>
      <c r="BF3" s="1295" t="s">
        <v>71</v>
      </c>
      <c r="BG3" s="1295"/>
      <c r="BH3" s="1296" t="s">
        <v>72</v>
      </c>
      <c r="BI3" s="1759"/>
      <c r="BJ3" s="1760" t="s">
        <v>73</v>
      </c>
      <c r="BK3" s="1299"/>
      <c r="BL3" s="1299"/>
      <c r="BM3" s="1299"/>
      <c r="BN3" s="1761" t="s">
        <v>47</v>
      </c>
      <c r="BO3" s="1295" t="s">
        <v>75</v>
      </c>
      <c r="BP3" s="1295"/>
      <c r="BQ3" s="1295"/>
      <c r="BR3" s="1295"/>
      <c r="BS3" s="1295"/>
      <c r="BT3" s="1755" t="s">
        <v>76</v>
      </c>
      <c r="BU3" s="1755"/>
      <c r="BV3" s="1755"/>
      <c r="BW3" s="1755"/>
      <c r="BX3" s="1763"/>
      <c r="BY3" s="1764" t="s">
        <v>77</v>
      </c>
      <c r="BZ3" s="1765"/>
      <c r="CA3" s="1754" t="s">
        <v>78</v>
      </c>
      <c r="CB3" s="1755"/>
      <c r="CC3" s="1755"/>
      <c r="CD3" s="1755"/>
      <c r="CE3" s="1756"/>
    </row>
    <row r="4" spans="1:83" ht="15.75" customHeight="1" thickBot="1">
      <c r="A4" s="1747"/>
      <c r="B4" s="1749"/>
      <c r="C4" s="238" t="s">
        <v>5</v>
      </c>
      <c r="D4" s="224" t="s">
        <v>6</v>
      </c>
      <c r="E4" s="224" t="s">
        <v>7</v>
      </c>
      <c r="F4" s="225" t="s">
        <v>48</v>
      </c>
      <c r="G4" s="225" t="s">
        <v>49</v>
      </c>
      <c r="H4" s="225" t="s">
        <v>50</v>
      </c>
      <c r="I4" s="225" t="s">
        <v>51</v>
      </c>
      <c r="J4" s="225" t="s">
        <v>52</v>
      </c>
      <c r="K4" s="225" t="s">
        <v>53</v>
      </c>
      <c r="L4" s="225" t="s">
        <v>54</v>
      </c>
      <c r="M4" s="226" t="s">
        <v>55</v>
      </c>
      <c r="N4" s="226" t="s">
        <v>56</v>
      </c>
      <c r="O4" s="226" t="s">
        <v>57</v>
      </c>
      <c r="P4" s="226" t="s">
        <v>58</v>
      </c>
      <c r="Q4" s="226" t="s">
        <v>58</v>
      </c>
      <c r="R4" s="226" t="s">
        <v>59</v>
      </c>
      <c r="S4" s="226" t="s">
        <v>55</v>
      </c>
      <c r="T4" s="226" t="s">
        <v>56</v>
      </c>
      <c r="U4" s="226" t="s">
        <v>57</v>
      </c>
      <c r="V4" s="226" t="s">
        <v>58</v>
      </c>
      <c r="W4" s="226" t="s">
        <v>60</v>
      </c>
      <c r="X4" s="226" t="s">
        <v>61</v>
      </c>
      <c r="Y4" s="226" t="s">
        <v>57</v>
      </c>
      <c r="Z4" s="226" t="s">
        <v>62</v>
      </c>
      <c r="AA4" s="226" t="s">
        <v>63</v>
      </c>
      <c r="AB4" s="226" t="s">
        <v>64</v>
      </c>
      <c r="AC4" s="226" t="s">
        <v>65</v>
      </c>
      <c r="AD4" s="226" t="s">
        <v>66</v>
      </c>
      <c r="AE4" s="226" t="s">
        <v>67</v>
      </c>
      <c r="AF4" s="1750"/>
      <c r="AG4" s="227" t="s">
        <v>49</v>
      </c>
      <c r="AH4" s="227" t="s">
        <v>50</v>
      </c>
      <c r="AI4" s="1758"/>
      <c r="AJ4" s="215" t="s">
        <v>135</v>
      </c>
      <c r="AK4" s="215" t="s">
        <v>136</v>
      </c>
      <c r="AL4" s="215" t="s">
        <v>137</v>
      </c>
      <c r="AM4" s="215" t="s">
        <v>138</v>
      </c>
      <c r="AN4" s="215" t="s">
        <v>139</v>
      </c>
      <c r="AO4" s="216" t="s">
        <v>140</v>
      </c>
      <c r="AP4" s="212" t="s">
        <v>141</v>
      </c>
      <c r="AQ4" s="212" t="s">
        <v>142</v>
      </c>
      <c r="AR4" s="212" t="s">
        <v>143</v>
      </c>
      <c r="AS4" s="212" t="s">
        <v>144</v>
      </c>
      <c r="AT4" s="213" t="s">
        <v>72</v>
      </c>
      <c r="AU4" s="215" t="s">
        <v>145</v>
      </c>
      <c r="AV4" s="215" t="s">
        <v>146</v>
      </c>
      <c r="AW4" s="215" t="s">
        <v>147</v>
      </c>
      <c r="AX4" s="216" t="s">
        <v>72</v>
      </c>
      <c r="AY4" s="1745"/>
      <c r="AZ4" s="1745"/>
      <c r="BA4" s="1745"/>
      <c r="BB4" s="228" t="s">
        <v>79</v>
      </c>
      <c r="BC4" s="229" t="s">
        <v>80</v>
      </c>
      <c r="BD4" s="228" t="s">
        <v>79</v>
      </c>
      <c r="BE4" s="229" t="s">
        <v>80</v>
      </c>
      <c r="BF4" s="228" t="s">
        <v>79</v>
      </c>
      <c r="BG4" s="229" t="s">
        <v>80</v>
      </c>
      <c r="BH4" s="230" t="s">
        <v>79</v>
      </c>
      <c r="BI4" s="231" t="s">
        <v>80</v>
      </c>
      <c r="BJ4" s="232" t="s">
        <v>70</v>
      </c>
      <c r="BK4" s="232" t="s">
        <v>43</v>
      </c>
      <c r="BL4" s="232" t="s">
        <v>71</v>
      </c>
      <c r="BM4" s="233" t="s">
        <v>72</v>
      </c>
      <c r="BN4" s="1762"/>
      <c r="BO4" s="234" t="s">
        <v>70</v>
      </c>
      <c r="BP4" s="234" t="s">
        <v>43</v>
      </c>
      <c r="BQ4" s="234" t="s">
        <v>71</v>
      </c>
      <c r="BR4" s="233" t="s">
        <v>72</v>
      </c>
      <c r="BS4" s="233" t="s">
        <v>73</v>
      </c>
      <c r="BT4" s="234" t="s">
        <v>70</v>
      </c>
      <c r="BU4" s="234" t="s">
        <v>43</v>
      </c>
      <c r="BV4" s="234" t="s">
        <v>71</v>
      </c>
      <c r="BW4" s="233" t="s">
        <v>72</v>
      </c>
      <c r="BX4" s="255" t="s">
        <v>73</v>
      </c>
      <c r="BY4" s="268" t="s">
        <v>90</v>
      </c>
      <c r="BZ4" s="269" t="s">
        <v>91</v>
      </c>
      <c r="CA4" s="259" t="s">
        <v>70</v>
      </c>
      <c r="CB4" s="234" t="s">
        <v>43</v>
      </c>
      <c r="CC4" s="234" t="s">
        <v>71</v>
      </c>
      <c r="CD4" s="233" t="s">
        <v>72</v>
      </c>
      <c r="CE4" s="235" t="s">
        <v>73</v>
      </c>
    </row>
    <row r="5" spans="1:83" ht="17.25" customHeight="1" thickTop="1">
      <c r="A5" s="237" t="s">
        <v>121</v>
      </c>
      <c r="B5" s="242">
        <f>IF(A5="",0,COUNTIF('09월 화학성분'!$F$12:$F$949,$A5))</f>
        <v>45</v>
      </c>
      <c r="C5" s="239"/>
      <c r="D5" s="218"/>
      <c r="E5" s="218"/>
      <c r="F5" s="219">
        <f>IF($B5&lt;1,"",AVERAGEIF('09월 화학성분'!$F$12:$F$949,$A5,'09월 화학성분'!G$12:G$949))</f>
        <v>8.4</v>
      </c>
      <c r="G5" s="219">
        <f>IF($B5&lt;1,"",AVERAGEIF('09월 화학성분'!$F$12:$F$949,$A5,'09월 화학성분'!H$12:H$949))</f>
        <v>20.177777777777777</v>
      </c>
      <c r="H5" s="219">
        <f>IF($B5&lt;1,"",AVERAGEIF('09월 화학성분'!$F$12:$F$949,$A5,'09월 화학성분'!I$12:I$949))</f>
        <v>52.155555555555559</v>
      </c>
      <c r="I5" s="219">
        <f>IF($B5&lt;1,"",AVERAGEIF('09월 화학성분'!$F$12:$F$949,$A5,'09월 화학성분'!J$12:J$949))</f>
        <v>15.733333333333333</v>
      </c>
      <c r="J5" s="219">
        <f>IF($B5&lt;1,"",AVERAGEIF('09월 화학성분'!$F$12:$F$949,$A5,'09월 화학성분'!K$12:K$949))</f>
        <v>30.466666666666665</v>
      </c>
      <c r="K5" s="219">
        <f>IF($B5&lt;1,"",AVERAGEIF('09월 화학성분'!$F$12:$F$949,$A5,'09월 화학성분'!L$12:L$949))</f>
        <v>12.622222222222222</v>
      </c>
      <c r="L5" s="219">
        <f>IF($B5&lt;1,"",AVERAGEIF('09월 화학성분'!$F$12:$F$949,$A5,'09월 화학성분'!M$12:M$949))</f>
        <v>9.9111111111111114</v>
      </c>
      <c r="M5" s="220">
        <f>IF($B5&lt;1,"",AVERAGEIF('09월 화학성분'!$F$12:$F$949,$A5,'09월 화학성분'!N$12:N$949))</f>
        <v>435.97777777777776</v>
      </c>
      <c r="N5" s="220" t="e">
        <f>IF($B5&lt;1,"",AVERAGEIF('09월 화학성분'!$F$12:$F$949,$A5,'09월 화학성분'!O$12:O$949))</f>
        <v>#DIV/0!</v>
      </c>
      <c r="O5" s="220">
        <f>IF($B5&lt;1,"",AVERAGEIF('09월 화학성분'!$F$12:$F$949,$A5,'09월 화학성분'!P$12:P$949))</f>
        <v>1037.6666666666667</v>
      </c>
      <c r="P5" s="220">
        <f>IF($B5&lt;1,"",AVERAGEIF('09월 화학성분'!$F$12:$F$949,$A5,'09월 화학성분'!Q$12:Q$949))</f>
        <v>1004.1777777777778</v>
      </c>
      <c r="Q5" s="220" t="e">
        <f>IF($B5&lt;1,"",AVERAGEIF('09월 화학성분'!$F$12:$F$949,$A5,'09월 화학성분'!R$12:R$949))</f>
        <v>#DIV/0!</v>
      </c>
      <c r="R5" s="220" t="e">
        <f>IF($B5&lt;1,"",AVERAGEIF('09월 화학성분'!$F$12:$F$949,$A5,'09월 화학성분'!U$12:U$949))</f>
        <v>#DIV/0!</v>
      </c>
      <c r="S5" s="220">
        <f>IF($B5&lt;1,"",AVERAGEIF('09월 화학성분'!$F$12:$F$949,$A5,'09월 화학성분'!V$12:V$949))</f>
        <v>396.02222222222224</v>
      </c>
      <c r="T5" s="220" t="e">
        <f>IF($B5&lt;1,"",AVERAGEIF('09월 화학성분'!$F$12:$F$949,$A5,'09월 화학성분'!W$12:W$949))</f>
        <v>#DIV/0!</v>
      </c>
      <c r="U5" s="220">
        <f>IF($B5&lt;1,"",AVERAGEIF('09월 화학성분'!$F$12:$F$949,$A5,'09월 화학성분'!X$12:X$949))</f>
        <v>923.55555555555554</v>
      </c>
      <c r="V5" s="220" t="e">
        <f>IF($B5&lt;1,"",AVERAGEIF('09월 화학성분'!$F$12:$F$949,$A5,'09월 화학성분'!#REF!))</f>
        <v>#REF!</v>
      </c>
      <c r="W5" s="220">
        <f>IF($B5&lt;1,"",AVERAGEIF('09월 화학성분'!$F$12:$F$949,$A5,'09월 화학성분'!AB$12:AB$949))</f>
        <v>0</v>
      </c>
      <c r="X5" s="220" t="e">
        <f>IF($B5&lt;1,"",AVERAGEIF('09월 화학성분'!$F$12:$F$949,$A5,'09월 화학성분'!AC$12:AC$949))</f>
        <v>#DIV/0!</v>
      </c>
      <c r="Y5" s="220">
        <f>IF($B5&lt;1,"",AVERAGEIF('09월 화학성분'!$F$12:$F$949,$A5,'09월 화학성분'!AD$12:AD$949))</f>
        <v>252.6888888888889</v>
      </c>
      <c r="Z5" s="220">
        <f>IF($B5&lt;1,"",AVERAGEIF('09월 화학성분'!$F$12:$F$949,$A5,'09월 화학성분'!AF$12:AF$949))</f>
        <v>0</v>
      </c>
      <c r="AA5" s="220">
        <f>IF($B5&lt;1,"",AVERAGEIF('09월 화학성분'!$F$12:$F$949,$A5,'09월 화학성분'!AG$12:AG$949))</f>
        <v>99.688888888888883</v>
      </c>
      <c r="AB5" s="220">
        <f>IF($B5&lt;1,"",AVERAGEIF('09월 화학성분'!$F$12:$F$949,$A5,'09월 화학성분'!AH$12:AH$949))</f>
        <v>760.51111111111106</v>
      </c>
      <c r="AC5" s="220">
        <f>IF($B5&lt;1,"",AVERAGEIF('09월 화학성분'!$F$12:$F$949,$A5,'09월 화학성분'!AI$12:AI$949))</f>
        <v>369.53333333333336</v>
      </c>
      <c r="AD5" s="220">
        <f>IF($B5&lt;1,"",AVERAGEIF('09월 화학성분'!$F$12:$F$949,$A5,'09월 화학성분'!AJ$12:AJ$949))</f>
        <v>72.62222222222222</v>
      </c>
      <c r="AE5" s="220">
        <f>IF($B5&lt;1,"",AVERAGEIF('09월 화학성분'!$F$12:$F$949,$A5,'09월 화학성분'!AL$12:AL$949))</f>
        <v>114.48837209302326</v>
      </c>
      <c r="AF5" s="220">
        <f>IF($B5&lt;1,"",AVERAGEIF('09월 화학성분'!$F$12:$F$949,$A5,'09월 화학성분'!AM$12:AM$949))</f>
        <v>2157.2444444444445</v>
      </c>
      <c r="AG5" s="221">
        <f>IF($B5&lt;1,"",AVERAGEIF('09월 화학성분'!$F$12:$F$949,$A5,'09월 화학성분'!AN$12:AN$949))</f>
        <v>0.75658879276523239</v>
      </c>
      <c r="AH5" s="221">
        <f>IF($B5&lt;1,"",AVERAGEIF('09월 화학성분'!$F$12:$F$949,$A5,'09월 화학성분'!AO$12:AO$949))</f>
        <v>0.99752164253135645</v>
      </c>
      <c r="AI5" s="219">
        <f>IF($B5&lt;1,"",AVERAGEIF('09월 화학성분'!$F$12:$F$949,$A5,'09월 화학성분'!AP$12:AP$949))</f>
        <v>141.51555555555558</v>
      </c>
      <c r="AJ5" s="222">
        <f>IF($B5&lt;1,"",AVERAGEIF('09월 고철장입'!$F$14:$F$949,$A5,'09월 고철장입'!G$14:G$949))</f>
        <v>0</v>
      </c>
      <c r="AK5" s="222">
        <f>IF($B5&lt;1,"",AVERAGEIF('09월 고철장입'!$F$14:$F$949,$A5,'09월 고철장입'!H$14:H$949))</f>
        <v>0</v>
      </c>
      <c r="AL5" s="222">
        <f>IF($B5&lt;1,"",AVERAGEIF('09월 고철장입'!$F$14:$F$949,$A5,'09월 고철장입'!I$14:I$949))</f>
        <v>15166.666666666666</v>
      </c>
      <c r="AM5" s="222">
        <f>IF($B5&lt;1,"",AVERAGEIF('09월 고철장입'!$F$14:$F$949,$A5,'09월 고철장입'!J$14:J$949))</f>
        <v>0</v>
      </c>
      <c r="AN5" s="222">
        <f>IF($B5&lt;1,"",AVERAGEIF('09월 고철장입'!$F$14:$F$949,$A5,'09월 고철장입'!L$14:L$949))</f>
        <v>0</v>
      </c>
      <c r="AO5" s="222">
        <f>IF($B5&lt;1,"",AVERAGEIF('09월 고철장입'!$F$14:$F$949,$A5,'09월 고철장입'!O$14:O$949))</f>
        <v>15166.666666666666</v>
      </c>
      <c r="AP5" s="223">
        <f>IF($B5&lt;1,"",AVERAGEIF('09월 고철장입'!$F$14:$F$949,$A5,'09월 고철장입'!P$14:P$949))</f>
        <v>53693.333333333336</v>
      </c>
      <c r="AQ5" s="223">
        <f>IF($B5&lt;1,"",AVERAGEIF('09월 고철장입'!$F$14:$F$949,$A5,'09월 고철장입'!Q$14:Q$949))</f>
        <v>17395.555555555555</v>
      </c>
      <c r="AR5" s="223">
        <f>IF($B5&lt;1,"",AVERAGEIF('09월 고철장입'!$F$14:$F$949,$A5,'09월 고철장입'!S$14:S$949))</f>
        <v>0</v>
      </c>
      <c r="AS5" s="223">
        <f>IF($B5&lt;1,"",AVERAGEIF('09월 고철장입'!$F$14:$F$949,$A5,'09월 고철장입'!AD$14:AD$949))</f>
        <v>2853.125</v>
      </c>
      <c r="AT5" s="223">
        <f>IF($B5&lt;1,"",AVERAGEIF('09월 고철장입'!$F$14:$F$949,$A5,'09월 고철장입'!AE$14:AE$949))</f>
        <v>123757.77777777778</v>
      </c>
      <c r="AU5" s="222">
        <f>IF($B5&lt;1,"",AVERAGEIF('09월 고철장입'!$F$14:$F$949,$A5,'09월 고철장입'!AF$14:AF$949))</f>
        <v>4342.2222222222226</v>
      </c>
      <c r="AV5" s="222">
        <f>IF($B5&lt;1,"",AVERAGEIF('09월 고철장입'!$F$14:$F$949,$A5,'09월 고철장입'!AG$14:AG$949))</f>
        <v>9015.5555555555547</v>
      </c>
      <c r="AW5" s="222">
        <f>IF($B5&lt;1,"",AVERAGEIF('09월 고철장입'!$F$14:$F$949,$A5,'09월 고철장입'!AH$14:AH$949))</f>
        <v>4432.5581395348836</v>
      </c>
      <c r="AX5" s="222">
        <f>IF($B5&lt;1,"",AVERAGEIF('09월 고철장입'!$F$14:$F$949,$A5,'09월 고철장입'!AI$14:AI$949))</f>
        <v>17593.333333333332</v>
      </c>
      <c r="AY5" s="248">
        <f>IF($B5&lt;1,"",AVERAGEIF('09월 고철장입'!$F$14:$F$949,$A5,'09월 고철장입'!AJ$14:AJ$949)/1000)</f>
        <v>154.49555555555557</v>
      </c>
      <c r="AZ5" s="248">
        <f>IF($B5&lt;1,"",AVERAGEIF('09월 고철장입'!$F$14:$F$949,$A5,'09월 고철장입'!AK$14:AK$949))</f>
        <v>141.51555555555558</v>
      </c>
      <c r="BA5" s="252">
        <f>IF($B5&lt;1,"",AVERAGEIF('09월 고철장입'!$F$14:$F$949,$A5,'09월 고철장입'!AL$14:AL$949))</f>
        <v>0.92062057513026374</v>
      </c>
      <c r="BB5" s="219">
        <f>IF($B5&lt;1,"",AVERAGEIF('09월 에너지'!$F$14:$F$949,$A5,'09월 에너지'!G14:G949))</f>
        <v>19.775555555555556</v>
      </c>
      <c r="BC5" s="219">
        <f>IF($B5&lt;1,"",AVERAGEIF('09월 에너지'!$F$14:$F$949,$A5,'09월 에너지'!H14:H949))</f>
        <v>23604.444444444445</v>
      </c>
      <c r="BD5" s="219">
        <f>IF($B5&lt;1,"",AVERAGEIF('09월 에너지'!$F$14:$F$949,$A5,'09월 에너지'!I14:I949))</f>
        <v>15.448888888888888</v>
      </c>
      <c r="BE5" s="219">
        <f>IF($B5&lt;1,"",AVERAGEIF('09월 에너지'!$F$14:$F$949,$A5,'09월 에너지'!J14:J949))</f>
        <v>18795.555555555555</v>
      </c>
      <c r="BF5" s="219">
        <f>IF($B5&lt;1,"",AVERAGEIF('09월 에너지'!$F$14:$F$949,$A5,'09월 에너지'!K14:K949))</f>
        <v>10.039999999999997</v>
      </c>
      <c r="BG5" s="219">
        <f>IF($B5&lt;1,"",AVERAGEIF('09월 에너지'!$F$14:$F$949,$A5,'09월 에너지'!L14:L949))</f>
        <v>13448.888888888889</v>
      </c>
      <c r="BH5" s="219">
        <f>IF($B5&lt;1,"",AVERAGEIF('09월 에너지'!$F$14:$F$949,$A5,'09월 에너지'!M14:M949))</f>
        <v>45.264444444444443</v>
      </c>
      <c r="BI5" s="219">
        <f>IF($B5&lt;1,"",AVERAGEIF('09월 에너지'!$F$14:$F$949,$A5,'09월 에너지'!N14:N949))</f>
        <v>55848.888888888891</v>
      </c>
      <c r="BJ5" s="219">
        <f>IF($B5&lt;1,"",AVERAGEIF('09월 에너지'!$F$14:$F$949,$A5,'09월 에너지'!O14:O949))</f>
        <v>167.85313028964512</v>
      </c>
      <c r="BK5" s="219">
        <f>IF($B5&lt;1,"",AVERAGEIF('09월 에너지'!$F$14:$F$949,$A5,'09월 에너지'!P14:P949))</f>
        <v>131.13834939115102</v>
      </c>
      <c r="BL5" s="219">
        <f>IF($B5&lt;1,"",AVERAGEIF('09월 에너지'!$F$14:$F$949,$A5,'09월 에너지'!Q14:Q949))</f>
        <v>96.07167033865943</v>
      </c>
      <c r="BM5" s="219">
        <f>IF($B5&lt;1,"",AVERAGEIF('09월 에너지'!$F$14:$F$949,$A5,'09월 에너지'!R14:R949))</f>
        <v>395.06315001945552</v>
      </c>
      <c r="BN5" s="219">
        <f>IF($B5&lt;1,"",AVERAGEIF('09월 에너지'!$F$14:$F$949,$A5,'09월 에너지'!S14:S949))</f>
        <v>141.51555555555558</v>
      </c>
      <c r="BO5" s="219">
        <f>IF($B5&lt;1,"",AVERAGEIF('09월 에너지'!$F$14:$F$949,$A5,'09월 에너지'!T14:T949))</f>
        <v>7</v>
      </c>
      <c r="BP5" s="219">
        <f>IF($B5&lt;1,"",AVERAGEIF('09월 에너지'!$F$14:$F$949,$A5,'09월 에너지'!U14:U949))</f>
        <v>68.155555555555551</v>
      </c>
      <c r="BQ5" s="219">
        <f>IF($B5&lt;1,"",AVERAGEIF('09월 에너지'!$F$14:$F$949,$A5,'09월 에너지'!V14:V949))</f>
        <v>308.57777777777778</v>
      </c>
      <c r="BR5" s="219">
        <f>IF($B5&lt;1,"",AVERAGEIF('09월 에너지'!$F$14:$F$949,$A5,'09월 에너지'!W14:W949))</f>
        <v>383.73333333333335</v>
      </c>
      <c r="BS5" s="219">
        <f>IF($B5&lt;1,"",AVERAGEIF('09월 에너지'!$F$14:$F$949,$A5,'09월 에너지'!X14:X949))</f>
        <v>2.7284820257117088</v>
      </c>
      <c r="BT5" s="219">
        <f>IF($B5&lt;1,"",AVERAGEIF('09월 에너지'!$F$14:$F$949,$A5,'09월 에너지'!Y14:Y949))</f>
        <v>1617.7333333333333</v>
      </c>
      <c r="BU5" s="219">
        <f>IF($B5&lt;1,"",AVERAGEIF('09월 에너지'!$F$14:$F$949,$A5,'09월 에너지'!Z14:Z949))</f>
        <v>1273.1333333333334</v>
      </c>
      <c r="BV5" s="219">
        <f>IF($B5&lt;1,"",AVERAGEIF('09월 에너지'!$F$14:$F$949,$A5,'09월 에너지'!AA14:AA949))</f>
        <v>953.13333333333333</v>
      </c>
      <c r="BW5" s="219">
        <f>IF($B5&lt;1,"",AVERAGEIF('09월 에너지'!$F$14:$F$949,$A5,'09월 에너지'!AB14:AB949))</f>
        <v>3844</v>
      </c>
      <c r="BX5" s="256">
        <f>IF($B5&lt;1,"",AVERAGEIF('09월 에너지'!$F$14:$F$949,$A5,'09월 에너지'!AC14:AC949))</f>
        <v>27.193146862838649</v>
      </c>
      <c r="BY5" s="266">
        <f>IF($B5&lt;1,"",AVERAGEIF('09월 에너지'!$F$14:$F$949,$A5,'09월 에너지'!AD14:AD949))</f>
        <v>4227.7333333333336</v>
      </c>
      <c r="BZ5" s="267">
        <f>IF($B5&lt;1,"",AVERAGEIF('09월 에너지'!$F$14:$F$949,$A5,'09월 에너지'!AE14:AE949))</f>
        <v>29.921628888550366</v>
      </c>
      <c r="CA5" s="247">
        <f>IF($B5&lt;1,"",AVERAGEIF('09월 에너지'!$F$14:$F$949,$A5,'09월 에너지'!AF14:AF949))</f>
        <v>80.044444444444451</v>
      </c>
      <c r="CB5" s="219">
        <f>IF($B5&lt;1,"",AVERAGEIF('09월 에너지'!$F$14:$F$949,$A5,'09월 에너지'!AG14:AG949))</f>
        <v>57.577777777777776</v>
      </c>
      <c r="CC5" s="219">
        <f>IF($B5&lt;1,"",AVERAGEIF('09월 에너지'!$F$14:$F$949,$A5,'09월 에너지'!AH14:AH949))</f>
        <v>9.2444444444444436</v>
      </c>
      <c r="CD5" s="219">
        <f>IF($B5&lt;1,"",AVERAGEIF('09월 에너지'!$F$14:$F$949,$A5,'09월 에너지'!AI14:AI949))</f>
        <v>146.86666666666667</v>
      </c>
      <c r="CE5" s="236">
        <f>IF($B5&lt;1,"",AVERAGEIF('09월 에너지'!$F$14:$F$949,$A5,'09월 에너지'!AJ14:AJ949))</f>
        <v>1.0353390810701848</v>
      </c>
    </row>
    <row r="6" spans="1:83" ht="17.25" customHeight="1">
      <c r="A6" s="210" t="s">
        <v>122</v>
      </c>
      <c r="B6" s="243">
        <f>IF(A6="",0,COUNTIF('09월 화학성분'!$F$12:$F$949,$A6))</f>
        <v>43</v>
      </c>
      <c r="C6" s="240"/>
      <c r="D6" s="203"/>
      <c r="E6" s="203"/>
      <c r="F6" s="200">
        <f>IF($B6&lt;1,"",AVERAGEIF('09월 화학성분'!$F$12:$F$949,$A6,'09월 화학성분'!G$12:G$949))</f>
        <v>9.0465116279069768</v>
      </c>
      <c r="G6" s="200">
        <f>IF($B6&lt;1,"",AVERAGEIF('09월 화학성분'!$F$12:$F$949,$A6,'09월 화학성분'!H$12:H$949))</f>
        <v>21.372093023255815</v>
      </c>
      <c r="H6" s="200">
        <f>IF($B6&lt;1,"",AVERAGEIF('09월 화학성분'!$F$12:$F$949,$A6,'09월 화학성분'!I$12:I$949))</f>
        <v>53.348837209302324</v>
      </c>
      <c r="I6" s="200">
        <f>IF($B6&lt;1,"",AVERAGEIF('09월 화학성분'!$F$12:$F$949,$A6,'09월 화학성분'!J$12:J$949))</f>
        <v>15.953488372093023</v>
      </c>
      <c r="J6" s="200">
        <f>IF($B6&lt;1,"",AVERAGEIF('09월 화학성분'!$F$12:$F$949,$A6,'09월 화학성분'!K$12:K$949))</f>
        <v>40.116279069767444</v>
      </c>
      <c r="K6" s="200">
        <f>IF($B6&lt;1,"",AVERAGEIF('09월 화학성분'!$F$12:$F$949,$A6,'09월 화학성분'!L$12:L$949))</f>
        <v>13.767441860465116</v>
      </c>
      <c r="L6" s="200">
        <f>IF($B6&lt;1,"",AVERAGEIF('09월 화학성분'!$F$12:$F$949,$A6,'09월 화학성분'!M$12:M$949))</f>
        <v>10.209302325581396</v>
      </c>
      <c r="M6" s="208">
        <f>IF($B6&lt;1,"",AVERAGEIF('09월 화학성분'!$F$12:$F$949,$A6,'09월 화학성분'!N$12:N$949))</f>
        <v>442.90697674418607</v>
      </c>
      <c r="N6" s="208" t="e">
        <f>IF($B6&lt;1,"",AVERAGEIF('09월 화학성분'!$F$12:$F$949,$A6,'09월 화학성분'!O$12:O$949))</f>
        <v>#DIV/0!</v>
      </c>
      <c r="O6" s="208">
        <f>IF($B6&lt;1,"",AVERAGEIF('09월 화학성분'!$F$12:$F$949,$A6,'09월 화학성분'!P$12:P$949))</f>
        <v>1015.8372093023256</v>
      </c>
      <c r="P6" s="208">
        <f>IF($B6&lt;1,"",AVERAGEIF('09월 화학성분'!$F$12:$F$949,$A6,'09월 화학성분'!Q$12:Q$949))</f>
        <v>955.18604651162786</v>
      </c>
      <c r="Q6" s="208" t="e">
        <f>IF($B6&lt;1,"",AVERAGEIF('09월 화학성분'!$F$12:$F$949,$A6,'09월 화학성분'!R$12:R$949))</f>
        <v>#DIV/0!</v>
      </c>
      <c r="R6" s="208" t="e">
        <f>IF($B6&lt;1,"",AVERAGEIF('09월 화학성분'!$F$12:$F$949,$A6,'09월 화학성분'!U$12:U$949))</f>
        <v>#DIV/0!</v>
      </c>
      <c r="S6" s="208">
        <f>IF($B6&lt;1,"",AVERAGEIF('09월 화학성분'!$F$12:$F$949,$A6,'09월 화학성분'!V$12:V$949))</f>
        <v>447.32558139534882</v>
      </c>
      <c r="T6" s="208" t="e">
        <f>IF($B6&lt;1,"",AVERAGEIF('09월 화학성분'!$F$12:$F$949,$A6,'09월 화학성분'!W$12:W$949))</f>
        <v>#DIV/0!</v>
      </c>
      <c r="U6" s="208">
        <f>IF($B6&lt;1,"",AVERAGEIF('09월 화학성분'!$F$12:$F$949,$A6,'09월 화학성분'!X$12:X$949))</f>
        <v>1015.7441860465116</v>
      </c>
      <c r="V6" s="208" t="e">
        <f>IF($B6&lt;1,"",AVERAGEIF('09월 화학성분'!$F$12:$F$949,$A6,'09월 화학성분'!#REF!))</f>
        <v>#REF!</v>
      </c>
      <c r="W6" s="208">
        <f>IF($B6&lt;1,"",AVERAGEIF('09월 화학성분'!$F$12:$F$949,$A6,'09월 화학성분'!AB$12:AB$949))</f>
        <v>0</v>
      </c>
      <c r="X6" s="208" t="e">
        <f>IF($B6&lt;1,"",AVERAGEIF('09월 화학성분'!$F$12:$F$949,$A6,'09월 화학성분'!AC$12:AC$949))</f>
        <v>#DIV/0!</v>
      </c>
      <c r="Y6" s="208">
        <f>IF($B6&lt;1,"",AVERAGEIF('09월 화학성분'!$F$12:$F$949,$A6,'09월 화학성분'!AD$12:AD$949))</f>
        <v>272.7906976744186</v>
      </c>
      <c r="Z6" s="208">
        <f>IF($B6&lt;1,"",AVERAGEIF('09월 화학성분'!$F$12:$F$949,$A6,'09월 화학성분'!AF$12:AF$949))</f>
        <v>0</v>
      </c>
      <c r="AA6" s="208">
        <f>IF($B6&lt;1,"",AVERAGEIF('09월 화학성분'!$F$12:$F$949,$A6,'09월 화학성분'!AG$12:AG$949))</f>
        <v>109.3953488372093</v>
      </c>
      <c r="AB6" s="208">
        <f>IF($B6&lt;1,"",AVERAGEIF('09월 화학성분'!$F$12:$F$949,$A6,'09월 화학성분'!AH$12:AH$949))</f>
        <v>798.67441860465112</v>
      </c>
      <c r="AC6" s="208">
        <f>IF($B6&lt;1,"",AVERAGEIF('09월 화학성분'!$F$12:$F$949,$A6,'09월 화학성분'!AI$12:AI$949))</f>
        <v>334.39534883720933</v>
      </c>
      <c r="AD6" s="208">
        <f>IF($B6&lt;1,"",AVERAGEIF('09월 화학성분'!$F$12:$F$949,$A6,'09월 화학성분'!AJ$12:AJ$949))</f>
        <v>79.232558139534888</v>
      </c>
      <c r="AE6" s="208">
        <f>IF($B6&lt;1,"",AVERAGEIF('09월 화학성분'!$F$12:$F$949,$A6,'09월 화학성분'!AL$12:AL$949))</f>
        <v>127.64285714285714</v>
      </c>
      <c r="AF6" s="208">
        <f>IF($B6&lt;1,"",AVERAGEIF('09월 화학성분'!$F$12:$F$949,$A6,'09월 화학성분'!AM$12:AM$949))</f>
        <v>2073.4651162790697</v>
      </c>
      <c r="AG6" s="207">
        <f>IF($B6&lt;1,"",AVERAGEIF('09월 화학성분'!$F$12:$F$949,$A6,'09월 화학성분'!AN$12:AN$949))</f>
        <v>0.83024335570593366</v>
      </c>
      <c r="AH6" s="207">
        <f>IF($B6&lt;1,"",AVERAGEIF('09월 화학성분'!$F$12:$F$949,$A6,'09월 화학성분'!AO$12:AO$949))</f>
        <v>0.98580607477529192</v>
      </c>
      <c r="AI6" s="200">
        <f>IF($B6&lt;1,"",AVERAGEIF('09월 화학성분'!$F$12:$F$949,$A6,'09월 화학성분'!AP$12:AP$949))</f>
        <v>143.90930232558142</v>
      </c>
      <c r="AJ6" s="217">
        <f>IF($B6&lt;1,"",AVERAGEIF('09월 고철장입'!$F$14:$F$949,$A6,'09월 고철장입'!G$14:G$949))</f>
        <v>0</v>
      </c>
      <c r="AK6" s="217">
        <f>IF($B6&lt;1,"",AVERAGEIF('09월 고철장입'!$F$14:$F$949,$A6,'09월 고철장입'!H$14:H$949))</f>
        <v>0</v>
      </c>
      <c r="AL6" s="217">
        <f>IF($B6&lt;1,"",AVERAGEIF('09월 고철장입'!$F$14:$F$949,$A6,'09월 고철장입'!I$14:I$949))</f>
        <v>17190</v>
      </c>
      <c r="AM6" s="217">
        <f>IF($B6&lt;1,"",AVERAGEIF('09월 고철장입'!$F$14:$F$949,$A6,'09월 고철장입'!J$14:J$949))</f>
        <v>0</v>
      </c>
      <c r="AN6" s="217">
        <f>IF($B6&lt;1,"",AVERAGEIF('09월 고철장입'!$F$14:$F$949,$A6,'09월 고철장입'!L$14:L$949))</f>
        <v>0</v>
      </c>
      <c r="AO6" s="217">
        <f>IF($B6&lt;1,"",AVERAGEIF('09월 고철장입'!$F$14:$F$949,$A6,'09월 고철장입'!O$14:O$949))</f>
        <v>17190</v>
      </c>
      <c r="AP6" s="214">
        <f>IF($B6&lt;1,"",AVERAGEIF('09월 고철장입'!$F$14:$F$949,$A6,'09월 고철장입'!P$14:P$949))</f>
        <v>50406.976744186046</v>
      </c>
      <c r="AQ6" s="214">
        <f>IF($B6&lt;1,"",AVERAGEIF('09월 고철장입'!$F$14:$F$949,$A6,'09월 고철장입'!Q$14:Q$949))</f>
        <v>15886.046511627907</v>
      </c>
      <c r="AR6" s="214">
        <f>IF($B6&lt;1,"",AVERAGEIF('09월 고철장입'!$F$14:$F$949,$A6,'09월 고철장입'!S$14:S$949))</f>
        <v>0</v>
      </c>
      <c r="AS6" s="214">
        <f>IF($B6&lt;1,"",AVERAGEIF('09월 고철장입'!$F$14:$F$949,$A6,'09월 고철장입'!AD$14:AD$949))</f>
        <v>3021.4285714285716</v>
      </c>
      <c r="AT6" s="214">
        <f>IF($B6&lt;1,"",AVERAGEIF('09월 고철장입'!$F$14:$F$949,$A6,'09월 고철장입'!AE$14:AE$949))</f>
        <v>136509.3023255814</v>
      </c>
      <c r="AU6" s="217">
        <f>IF($B6&lt;1,"",AVERAGEIF('09월 고철장입'!$F$14:$F$949,$A6,'09월 고철장입'!AF$14:AF$949))</f>
        <v>3816.6666666666665</v>
      </c>
      <c r="AV6" s="217">
        <f>IF($B6&lt;1,"",AVERAGEIF('09월 고철장입'!$F$14:$F$949,$A6,'09월 고철장입'!AG$14:AG$949))</f>
        <v>9727.9069767441852</v>
      </c>
      <c r="AW6" s="217">
        <f>IF($B6&lt;1,"",AVERAGEIF('09월 고철장입'!$F$14:$F$949,$A6,'09월 고철장입'!AH$14:AH$949))</f>
        <v>4476.7441860465115</v>
      </c>
      <c r="AX6" s="217">
        <f>IF($B6&lt;1,"",AVERAGEIF('09월 고철장입'!$F$14:$F$949,$A6,'09월 고철장입'!AI$14:AI$949))</f>
        <v>17932.558139534885</v>
      </c>
      <c r="AY6" s="248">
        <f>IF($B6&lt;1,"",AVERAGEIF('09월 고철장입'!$F$14:$F$949,$A6,'09월 고철장입'!AJ$14:AJ$949)/1000)</f>
        <v>158.43953488372091</v>
      </c>
      <c r="AZ6" s="250">
        <f>IF($B6&lt;1,"",AVERAGEIF('09월 고철장입'!$F$14:$F$949,$A6,'09월 고철장입'!AK$14:AK$949))</f>
        <v>143.90930232558142</v>
      </c>
      <c r="BA6" s="253">
        <f>IF($B6&lt;1,"",AVERAGEIF('09월 고철장입'!$F$14:$F$949,$A6,'09월 고철장입'!AL$14:AL$949))</f>
        <v>0.9082833054061632</v>
      </c>
      <c r="BB6" s="200">
        <f>IF($B6&lt;1,"",AVERAGEIF('09월 에너지'!$F$14:$F$949,$A6,'09월 에너지'!G14:G950))</f>
        <v>19.511627906976745</v>
      </c>
      <c r="BC6" s="200">
        <f>IF($B6&lt;1,"",AVERAGEIF('09월 에너지'!$F$14:$F$949,$A6,'09월 에너지'!H14:H950))</f>
        <v>23425.581395348836</v>
      </c>
      <c r="BD6" s="200">
        <f>IF($B6&lt;1,"",AVERAGEIF('09월 에너지'!$F$14:$F$949,$A6,'09월 에너지'!I14:I950))</f>
        <v>16.77209302325581</v>
      </c>
      <c r="BE6" s="200">
        <f>IF($B6&lt;1,"",AVERAGEIF('09월 에너지'!$F$14:$F$949,$A6,'09월 에너지'!J14:J950))</f>
        <v>20755.81395348837</v>
      </c>
      <c r="BF6" s="200">
        <f>IF($B6&lt;1,"",AVERAGEIF('09월 에너지'!$F$14:$F$949,$A6,'09월 에너지'!K14:K950))</f>
        <v>9.5860465116279023</v>
      </c>
      <c r="BG6" s="200">
        <f>IF($B6&lt;1,"",AVERAGEIF('09월 에너지'!$F$14:$F$949,$A6,'09월 에너지'!L14:L950))</f>
        <v>12213.953488372093</v>
      </c>
      <c r="BH6" s="200">
        <f>IF($B6&lt;1,"",AVERAGEIF('09월 에너지'!$F$14:$F$949,$A6,'09월 에너지'!M14:M950))</f>
        <v>45.869767441860468</v>
      </c>
      <c r="BI6" s="200">
        <f>IF($B6&lt;1,"",AVERAGEIF('09월 에너지'!$F$14:$F$949,$A6,'09월 에너지'!N14:N950))</f>
        <v>56395.348837209305</v>
      </c>
      <c r="BJ6" s="200">
        <f>IF($B6&lt;1,"",AVERAGEIF('09월 에너지'!$F$14:$F$949,$A6,'09월 에너지'!O14:O950))</f>
        <v>162.92264919872582</v>
      </c>
      <c r="BK6" s="200">
        <f>IF($B6&lt;1,"",AVERAGEIF('09월 에너지'!$F$14:$F$949,$A6,'09월 에너지'!P14:P950))</f>
        <v>144.29002313774475</v>
      </c>
      <c r="BL6" s="200">
        <f>IF($B6&lt;1,"",AVERAGEIF('09월 에너지'!$F$14:$F$949,$A6,'09월 에너지'!Q14:Q950))</f>
        <v>84.91033749575665</v>
      </c>
      <c r="BM6" s="200">
        <f>IF($B6&lt;1,"",AVERAGEIF('09월 에너지'!$F$14:$F$949,$A6,'09월 에너지'!R14:R950))</f>
        <v>392.12300983222718</v>
      </c>
      <c r="BN6" s="200">
        <f>IF($B6&lt;1,"",AVERAGEIF('09월 에너지'!$F$14:$F$949,$A6,'09월 에너지'!S14:S950))</f>
        <v>143.90930232558142</v>
      </c>
      <c r="BO6" s="200">
        <f>IF($B6&lt;1,"",AVERAGEIF('09월 에너지'!$F$14:$F$949,$A6,'09월 에너지'!T14:T950))</f>
        <v>0</v>
      </c>
      <c r="BP6" s="200">
        <f>IF($B6&lt;1,"",AVERAGEIF('09월 에너지'!$F$14:$F$949,$A6,'09월 에너지'!U14:U950))</f>
        <v>112.72093023255815</v>
      </c>
      <c r="BQ6" s="200">
        <f>IF($B6&lt;1,"",AVERAGEIF('09월 에너지'!$F$14:$F$949,$A6,'09월 에너지'!V14:V950))</f>
        <v>247.04651162790697</v>
      </c>
      <c r="BR6" s="200">
        <f>IF($B6&lt;1,"",AVERAGEIF('09월 에너지'!$F$14:$F$949,$A6,'09월 에너지'!W14:W950))</f>
        <v>359.76744186046511</v>
      </c>
      <c r="BS6" s="200">
        <f>IF($B6&lt;1,"",AVERAGEIF('09월 에너지'!$F$14:$F$949,$A6,'09월 에너지'!X14:X950))</f>
        <v>2.4994475126097084</v>
      </c>
      <c r="BT6" s="200">
        <f>IF($B6&lt;1,"",AVERAGEIF('09월 에너지'!$F$14:$F$949,$A6,'09월 에너지'!Y14:Y950))</f>
        <v>1602.8372093023256</v>
      </c>
      <c r="BU6" s="200">
        <f>IF($B6&lt;1,"",AVERAGEIF('09월 에너지'!$F$14:$F$949,$A6,'09월 에너지'!Z14:Z950))</f>
        <v>1395.7674418604652</v>
      </c>
      <c r="BV6" s="200">
        <f>IF($B6&lt;1,"",AVERAGEIF('09월 에너지'!$F$14:$F$949,$A6,'09월 에너지'!AA14:AA950))</f>
        <v>745.67441860465112</v>
      </c>
      <c r="BW6" s="200">
        <f>IF($B6&lt;1,"",AVERAGEIF('09월 에너지'!$F$14:$F$949,$A6,'09월 에너지'!AB14:AB950))</f>
        <v>3744.2790697674418</v>
      </c>
      <c r="BX6" s="257">
        <f>IF($B6&lt;1,"",AVERAGEIF('09월 에너지'!$F$14:$F$949,$A6,'09월 에너지'!AC14:AC950))</f>
        <v>26.029984468575019</v>
      </c>
      <c r="BY6" s="261">
        <f>IF($B6&lt;1,"",AVERAGEIF('09월 에너지'!$F$14:$F$949,$A6,'09월 에너지'!AD14:AD950))</f>
        <v>4104.0465116279074</v>
      </c>
      <c r="BZ6" s="262">
        <f>IF($B6&lt;1,"",AVERAGEIF('09월 에너지'!$F$14:$F$949,$A6,'09월 에너지'!AE14:AE950))</f>
        <v>28.529431981184718</v>
      </c>
      <c r="CA6" s="249">
        <f>IF($B6&lt;1,"",AVERAGEIF('09월 에너지'!$F$14:$F$949,$A6,'09월 에너지'!AF14:AF950))</f>
        <v>82.255813953488371</v>
      </c>
      <c r="CB6" s="200">
        <f>IF($B6&lt;1,"",AVERAGEIF('09월 에너지'!$F$14:$F$949,$A6,'09월 에너지'!AG14:AG950))</f>
        <v>62.790697674418603</v>
      </c>
      <c r="CC6" s="200">
        <f>IF($B6&lt;1,"",AVERAGEIF('09월 에너지'!$F$14:$F$949,$A6,'09월 에너지'!AH14:AH950))</f>
        <v>6.3953488372093021</v>
      </c>
      <c r="CD6" s="200">
        <f>IF($B6&lt;1,"",AVERAGEIF('09월 에너지'!$F$14:$F$949,$A6,'09월 에너지'!AI14:AI950))</f>
        <v>151.44186046511629</v>
      </c>
      <c r="CE6" s="206">
        <f>IF($B6&lt;1,"",AVERAGEIF('09월 에너지'!$F$14:$F$949,$A6,'09월 에너지'!AJ14:AJ950))</f>
        <v>1.0538370649505382</v>
      </c>
    </row>
    <row r="7" spans="1:83" ht="17.25" customHeight="1">
      <c r="A7" s="210" t="s">
        <v>155</v>
      </c>
      <c r="B7" s="243">
        <f>IF(A7="",0,COUNTIF('09월 화학성분'!$F$12:$F$949,$A7))</f>
        <v>6</v>
      </c>
      <c r="C7" s="240"/>
      <c r="D7" s="203"/>
      <c r="E7" s="203"/>
      <c r="F7" s="200">
        <f>IF($B7&lt;1,"",AVERAGEIF('09월 화학성분'!$F$12:$F$949,$A7,'09월 화학성분'!G$12:G$949))</f>
        <v>8.5</v>
      </c>
      <c r="G7" s="200">
        <f>IF($B7&lt;1,"",AVERAGEIF('09월 화학성분'!$F$12:$F$949,$A7,'09월 화학성분'!H$12:H$949))</f>
        <v>20</v>
      </c>
      <c r="H7" s="200">
        <f>IF($B7&lt;1,"",AVERAGEIF('09월 화학성분'!$F$12:$F$949,$A7,'09월 화학성분'!I$12:I$949))</f>
        <v>66</v>
      </c>
      <c r="I7" s="200">
        <f>IF($B7&lt;1,"",AVERAGEIF('09월 화학성분'!$F$12:$F$949,$A7,'09월 화학성분'!J$12:J$949))</f>
        <v>13.833333333333334</v>
      </c>
      <c r="J7" s="200">
        <f>IF($B7&lt;1,"",AVERAGEIF('09월 화학성분'!$F$12:$F$949,$A7,'09월 화학성분'!K$12:K$949))</f>
        <v>24.5</v>
      </c>
      <c r="K7" s="200">
        <f>IF($B7&lt;1,"",AVERAGEIF('09월 화학성분'!$F$12:$F$949,$A7,'09월 화학성분'!L$12:L$949))</f>
        <v>9.5</v>
      </c>
      <c r="L7" s="200">
        <f>IF($B7&lt;1,"",AVERAGEIF('09월 화학성분'!$F$12:$F$949,$A7,'09월 화학성분'!M$12:M$949))</f>
        <v>8.5</v>
      </c>
      <c r="M7" s="208">
        <f>IF($B7&lt;1,"",AVERAGEIF('09월 화학성분'!$F$12:$F$949,$A7,'09월 화학성분'!N$12:N$949))</f>
        <v>478.33333333333331</v>
      </c>
      <c r="N7" s="208" t="e">
        <f>IF($B7&lt;1,"",AVERAGEIF('09월 화학성분'!$F$12:$F$949,$A7,'09월 화학성분'!O$12:O$949))</f>
        <v>#DIV/0!</v>
      </c>
      <c r="O7" s="208">
        <f>IF($B7&lt;1,"",AVERAGEIF('09월 화학성분'!$F$12:$F$949,$A7,'09월 화학성분'!P$12:P$949))</f>
        <v>1038.1666666666667</v>
      </c>
      <c r="P7" s="208">
        <f>IF($B7&lt;1,"",AVERAGEIF('09월 화학성분'!$F$12:$F$949,$A7,'09월 화학성분'!Q$12:Q$949))</f>
        <v>969.16666666666663</v>
      </c>
      <c r="Q7" s="208" t="e">
        <f>IF($B7&lt;1,"",AVERAGEIF('09월 화학성분'!$F$12:$F$949,$A7,'09월 화학성분'!R$12:R$949))</f>
        <v>#DIV/0!</v>
      </c>
      <c r="R7" s="208" t="e">
        <f>IF($B7&lt;1,"",AVERAGEIF('09월 화학성분'!$F$12:$F$949,$A7,'09월 화학성분'!U$12:U$949))</f>
        <v>#DIV/0!</v>
      </c>
      <c r="S7" s="208">
        <f>IF($B7&lt;1,"",AVERAGEIF('09월 화학성분'!$F$12:$F$949,$A7,'09월 화학성분'!V$12:V$949))</f>
        <v>478.33333333333331</v>
      </c>
      <c r="T7" s="208" t="e">
        <f>IF($B7&lt;1,"",AVERAGEIF('09월 화학성분'!$F$12:$F$949,$A7,'09월 화학성분'!W$12:W$949))</f>
        <v>#DIV/0!</v>
      </c>
      <c r="U7" s="208">
        <f>IF($B7&lt;1,"",AVERAGEIF('09월 화학성분'!$F$12:$F$949,$A7,'09월 화학성분'!X$12:X$949))</f>
        <v>1037.8333333333333</v>
      </c>
      <c r="V7" s="208" t="e">
        <f>IF($B7&lt;1,"",AVERAGEIF('09월 화학성분'!$F$12:$F$949,$A7,'09월 화학성분'!#REF!))</f>
        <v>#REF!</v>
      </c>
      <c r="W7" s="208" t="e">
        <f>IF($B7&lt;1,"",AVERAGEIF('09월 화학성분'!$F$12:$F$949,$A7,'09월 화학성분'!AB$12:AB$949))</f>
        <v>#DIV/0!</v>
      </c>
      <c r="X7" s="208" t="e">
        <f>IF($B7&lt;1,"",AVERAGEIF('09월 화학성분'!$F$12:$F$949,$A7,'09월 화학성분'!AC$12:AC$949))</f>
        <v>#DIV/0!</v>
      </c>
      <c r="Y7" s="208">
        <f>IF($B7&lt;1,"",AVERAGEIF('09월 화학성분'!$F$12:$F$949,$A7,'09월 화학성분'!AD$12:AD$949))</f>
        <v>268.33333333333331</v>
      </c>
      <c r="Z7" s="208" t="e">
        <f>IF($B7&lt;1,"",AVERAGEIF('09월 화학성분'!$F$12:$F$949,$A7,'09월 화학성분'!AF$12:AF$949))</f>
        <v>#DIV/0!</v>
      </c>
      <c r="AA7" s="208">
        <f>IF($B7&lt;1,"",AVERAGEIF('09월 화학성분'!$F$12:$F$949,$A7,'09월 화학성분'!AG$12:AG$949))</f>
        <v>101.66666666666667</v>
      </c>
      <c r="AB7" s="208">
        <f>IF($B7&lt;1,"",AVERAGEIF('09월 화학성분'!$F$12:$F$949,$A7,'09월 화학성분'!AH$12:AH$949))</f>
        <v>1162.6666666666667</v>
      </c>
      <c r="AC7" s="208">
        <f>IF($B7&lt;1,"",AVERAGEIF('09월 화학성분'!$F$12:$F$949,$A7,'09월 화학성분'!AI$12:AI$949))</f>
        <v>238.16666666666666</v>
      </c>
      <c r="AD7" s="208">
        <f>IF($B7&lt;1,"",AVERAGEIF('09월 화학성분'!$F$12:$F$949,$A7,'09월 화학성분'!AJ$12:AJ$949))</f>
        <v>74.333333333333329</v>
      </c>
      <c r="AE7" s="208">
        <f>IF($B7&lt;1,"",AVERAGEIF('09월 화학성분'!$F$12:$F$949,$A7,'09월 화학성분'!AL$12:AL$949))</f>
        <v>128</v>
      </c>
      <c r="AF7" s="208">
        <f>IF($B7&lt;1,"",AVERAGEIF('09월 화학성분'!$F$12:$F$949,$A7,'09월 화학성분'!AM$12:AM$949))</f>
        <v>2388.8333333333335</v>
      </c>
      <c r="AG7" s="207">
        <f>IF($B7&lt;1,"",AVERAGEIF('09월 화학성분'!$F$12:$F$949,$A7,'09월 화학성분'!AN$12:AN$949))</f>
        <v>0.78837781600408674</v>
      </c>
      <c r="AH7" s="207">
        <f>IF($B7&lt;1,"",AVERAGEIF('09월 화학성분'!$F$12:$F$949,$A7,'09월 화학성분'!AO$12:AO$949))</f>
        <v>0.87073887841821163</v>
      </c>
      <c r="AI7" s="200">
        <f>IF($B7&lt;1,"",AVERAGEIF('09월 화학성분'!$F$12:$F$949,$A7,'09월 화학성분'!AP$12:AP$949))</f>
        <v>139.13333333333333</v>
      </c>
      <c r="AJ7" s="217" t="e">
        <f>IF($B7&lt;1,"",AVERAGEIF('09월 고철장입'!$F$14:$F$949,$A7,'09월 고철장입'!G$14:G$949))</f>
        <v>#DIV/0!</v>
      </c>
      <c r="AK7" s="217" t="e">
        <f>IF($B7&lt;1,"",AVERAGEIF('09월 고철장입'!$F$14:$F$949,$A7,'09월 고철장입'!H$14:H$949))</f>
        <v>#DIV/0!</v>
      </c>
      <c r="AL7" s="217" t="e">
        <f>IF($B7&lt;1,"",AVERAGEIF('09월 고철장입'!$F$14:$F$949,$A7,'09월 고철장입'!I$14:I$949))</f>
        <v>#DIV/0!</v>
      </c>
      <c r="AM7" s="217" t="e">
        <f>IF($B7&lt;1,"",AVERAGEIF('09월 고철장입'!$F$14:$F$949,$A7,'09월 고철장입'!J$14:J$949))</f>
        <v>#DIV/0!</v>
      </c>
      <c r="AN7" s="217" t="e">
        <f>IF($B7&lt;1,"",AVERAGEIF('09월 고철장입'!$F$14:$F$949,$A7,'09월 고철장입'!L$14:L$949))</f>
        <v>#DIV/0!</v>
      </c>
      <c r="AO7" s="217" t="e">
        <f>IF($B7&lt;1,"",AVERAGEIF('09월 고철장입'!$F$14:$F$949,$A7,'09월 고철장입'!O$14:O$949))</f>
        <v>#DIV/0!</v>
      </c>
      <c r="AP7" s="214">
        <f>IF($B7&lt;1,"",AVERAGEIF('09월 고철장입'!$F$14:$F$949,$A7,'09월 고철장입'!P$14:P$949))</f>
        <v>48316.666666666664</v>
      </c>
      <c r="AQ7" s="214">
        <f>IF($B7&lt;1,"",AVERAGEIF('09월 고철장입'!$F$14:$F$949,$A7,'09월 고철장입'!Q$14:Q$949))</f>
        <v>20466.666666666668</v>
      </c>
      <c r="AR7" s="214" t="e">
        <f>IF($B7&lt;1,"",AVERAGEIF('09월 고철장입'!$F$14:$F$949,$A7,'09월 고철장입'!S$14:S$949))</f>
        <v>#DIV/0!</v>
      </c>
      <c r="AS7" s="214">
        <f>IF($B7&lt;1,"",AVERAGEIF('09월 고철장입'!$F$14:$F$949,$A7,'09월 고철장입'!AD$14:AD$949))</f>
        <v>8525</v>
      </c>
      <c r="AT7" s="214">
        <f>IF($B7&lt;1,"",AVERAGEIF('09월 고철장입'!$F$14:$F$949,$A7,'09월 고철장입'!AE$14:AE$949))</f>
        <v>141766.66666666666</v>
      </c>
      <c r="AU7" s="217">
        <f>IF($B7&lt;1,"",AVERAGEIF('09월 고철장입'!$F$14:$F$949,$A7,'09월 고철장입'!AF$14:AF$949))</f>
        <v>4500</v>
      </c>
      <c r="AV7" s="217">
        <f>IF($B7&lt;1,"",AVERAGEIF('09월 고철장입'!$F$14:$F$949,$A7,'09월 고철장입'!AG$14:AG$949))</f>
        <v>10233.333333333334</v>
      </c>
      <c r="AW7" s="217">
        <f>IF($B7&lt;1,"",AVERAGEIF('09월 고철장입'!$F$14:$F$949,$A7,'09월 고철장입'!AH$14:AH$949))</f>
        <v>2816.6666666666665</v>
      </c>
      <c r="AX7" s="217">
        <f>IF($B7&lt;1,"",AVERAGEIF('09월 고철장입'!$F$14:$F$949,$A7,'09월 고철장입'!AI$14:AI$949))</f>
        <v>17550</v>
      </c>
      <c r="AY7" s="248">
        <f>IF($B7&lt;1,"",AVERAGEIF('09월 고철장입'!$F$14:$F$949,$A7,'09월 고철장입'!AJ$14:AJ$949)/1000)</f>
        <v>159.31666666666666</v>
      </c>
      <c r="AZ7" s="250">
        <f>IF($B7&lt;1,"",AVERAGEIF('09월 고철장입'!$F$14:$F$949,$A7,'09월 고철장입'!AK$14:AK$949))</f>
        <v>139.13333333333333</v>
      </c>
      <c r="BA7" s="253">
        <f>IF($B7&lt;1,"",AVERAGEIF('09월 고철장입'!$F$14:$F$949,$A7,'09월 고철장입'!AL$14:AL$949))</f>
        <v>0.87325649396461358</v>
      </c>
      <c r="BB7" s="200">
        <f>IF($B7&lt;1,"",AVERAGEIF('09월 에너지'!$F$14:$F$949,$A7,'09월 에너지'!G15:G951))</f>
        <v>21.649999999999995</v>
      </c>
      <c r="BC7" s="200">
        <f>IF($B7&lt;1,"",AVERAGEIF('09월 에너지'!$F$14:$F$949,$A7,'09월 에너지'!H15:H951))</f>
        <v>25216.666666666668</v>
      </c>
      <c r="BD7" s="200">
        <f>IF($B7&lt;1,"",AVERAGEIF('09월 에너지'!$F$14:$F$949,$A7,'09월 에너지'!I15:I951))</f>
        <v>17.25</v>
      </c>
      <c r="BE7" s="200">
        <f>IF($B7&lt;1,"",AVERAGEIF('09월 에너지'!$F$14:$F$949,$A7,'09월 에너지'!J15:J951))</f>
        <v>21116.666666666668</v>
      </c>
      <c r="BF7" s="200">
        <f>IF($B7&lt;1,"",AVERAGEIF('09월 에너지'!$F$14:$F$949,$A7,'09월 에너지'!K15:K951))</f>
        <v>8.7166666666666668</v>
      </c>
      <c r="BG7" s="200">
        <f>IF($B7&lt;1,"",AVERAGEIF('09월 에너지'!$F$14:$F$949,$A7,'09월 에너지'!L15:L951))</f>
        <v>10933.333333333334</v>
      </c>
      <c r="BH7" s="200">
        <f>IF($B7&lt;1,"",AVERAGEIF('09월 에너지'!$F$14:$F$949,$A7,'09월 에너지'!M15:M951))</f>
        <v>47.616666666666674</v>
      </c>
      <c r="BI7" s="200">
        <f>IF($B7&lt;1,"",AVERAGEIF('09월 에너지'!$F$14:$F$949,$A7,'09월 에너지'!N15:N951))</f>
        <v>57266.666666666664</v>
      </c>
      <c r="BJ7" s="200">
        <f>IF($B7&lt;1,"",AVERAGEIF('09월 에너지'!$F$14:$F$949,$A7,'09월 에너지'!O15:O951))</f>
        <v>179.81681664748203</v>
      </c>
      <c r="BK7" s="200">
        <f>IF($B7&lt;1,"",AVERAGEIF('09월 에너지'!$F$14:$F$949,$A7,'09월 에너지'!P15:P951))</f>
        <v>150.43785203118327</v>
      </c>
      <c r="BL7" s="200">
        <f>IF($B7&lt;1,"",AVERAGEIF('09월 에너지'!$F$14:$F$949,$A7,'09월 에너지'!Q15:Q951))</f>
        <v>77.389347158341408</v>
      </c>
      <c r="BM7" s="200">
        <f>IF($B7&lt;1,"",AVERAGEIF('09월 에너지'!$F$14:$F$949,$A7,'09월 에너지'!R15:R951))</f>
        <v>407.64401583700669</v>
      </c>
      <c r="BN7" s="200">
        <f>IF($B7&lt;1,"",AVERAGEIF('09월 에너지'!$F$14:$F$949,$A7,'09월 에너지'!S15:S951))</f>
        <v>140.61666666666667</v>
      </c>
      <c r="BO7" s="200">
        <f>IF($B7&lt;1,"",AVERAGEIF('09월 에너지'!$F$14:$F$949,$A7,'09월 에너지'!T15:T951))</f>
        <v>0</v>
      </c>
      <c r="BP7" s="200">
        <f>IF($B7&lt;1,"",AVERAGEIF('09월 에너지'!$F$14:$F$949,$A7,'09월 에너지'!U15:U951))</f>
        <v>173.66666666666666</v>
      </c>
      <c r="BQ7" s="200">
        <f>IF($B7&lt;1,"",AVERAGEIF('09월 에너지'!$F$14:$F$949,$A7,'09월 에너지'!V15:V951))</f>
        <v>191</v>
      </c>
      <c r="BR7" s="200">
        <f>IF($B7&lt;1,"",AVERAGEIF('09월 에너지'!$F$14:$F$949,$A7,'09월 에너지'!W15:W951))</f>
        <v>364.66666666666669</v>
      </c>
      <c r="BS7" s="200">
        <f>IF($B7&lt;1,"",AVERAGEIF('09월 에너지'!$F$14:$F$949,$A7,'09월 에너지'!X15:X951))</f>
        <v>2.6016691283720164</v>
      </c>
      <c r="BT7" s="200">
        <f>IF($B7&lt;1,"",AVERAGEIF('09월 에너지'!$F$14:$F$949,$A7,'09월 에너지'!Y15:Y951))</f>
        <v>1705.8333333333333</v>
      </c>
      <c r="BU7" s="200">
        <f>IF($B7&lt;1,"",AVERAGEIF('09월 에너지'!$F$14:$F$949,$A7,'09월 에너지'!Z15:Z951))</f>
        <v>1515.8333333333333</v>
      </c>
      <c r="BV7" s="200">
        <f>IF($B7&lt;1,"",AVERAGEIF('09월 에너지'!$F$14:$F$949,$A7,'09월 에너지'!AA15:AA951))</f>
        <v>726.33333333333337</v>
      </c>
      <c r="BW7" s="200">
        <f>IF($B7&lt;1,"",AVERAGEIF('09월 에너지'!$F$14:$F$949,$A7,'09월 에너지'!AB15:AB951))</f>
        <v>3948</v>
      </c>
      <c r="BX7" s="257">
        <f>IF($B7&lt;1,"",AVERAGEIF('09월 에너지'!$F$14:$F$949,$A7,'09월 에너지'!AC15:AC951))</f>
        <v>28.113160246389651</v>
      </c>
      <c r="BY7" s="261">
        <f>IF($B7&lt;1,"",AVERAGEIF('09월 에너지'!$F$14:$F$949,$A7,'09월 에너지'!AD15:AD951))</f>
        <v>4312.666666666667</v>
      </c>
      <c r="BZ7" s="262">
        <f>IF($B7&lt;1,"",AVERAGEIF('09월 에너지'!$F$14:$F$949,$A7,'09월 에너지'!AE15:AE951))</f>
        <v>30.714829374761667</v>
      </c>
      <c r="CA7" s="249">
        <f>IF($B7&lt;1,"",AVERAGEIF('09월 에너지'!$F$14:$F$949,$A7,'09월 에너지'!AF15:AF951))</f>
        <v>82.166666666666671</v>
      </c>
      <c r="CB7" s="200">
        <f>IF($B7&lt;1,"",AVERAGEIF('09월 에너지'!$F$14:$F$949,$A7,'09월 에너지'!AG15:AG951))</f>
        <v>63.166666666666664</v>
      </c>
      <c r="CC7" s="200">
        <f>IF($B7&lt;1,"",AVERAGEIF('09월 에너지'!$F$14:$F$949,$A7,'09월 에너지'!AH15:AH951))</f>
        <v>7</v>
      </c>
      <c r="CD7" s="200">
        <f>IF($B7&lt;1,"",AVERAGEIF('09월 에너지'!$F$14:$F$949,$A7,'09월 에너지'!AI15:AI951))</f>
        <v>152.33333333333334</v>
      </c>
      <c r="CE7" s="206">
        <f>IF($B7&lt;1,"",AVERAGEIF('09월 에너지'!$F$14:$F$949,$A7,'09월 에너지'!AJ15:AJ951))</f>
        <v>1.0844601371927041</v>
      </c>
    </row>
    <row r="8" spans="1:83" ht="17.25" customHeight="1">
      <c r="A8" s="210" t="s">
        <v>154</v>
      </c>
      <c r="B8" s="243">
        <f>IF(A8="",0,COUNTIF('09월 화학성분'!$F$12:$F$949,$A8))</f>
        <v>131</v>
      </c>
      <c r="C8" s="240"/>
      <c r="D8" s="203"/>
      <c r="E8" s="203"/>
      <c r="F8" s="200">
        <f>IF($B8&lt;2,"",AVERAGEIF('09월 화학성분'!$F$12:$F$949,$A8,'09월 화학성분'!G$12:G$949))</f>
        <v>8.8778625954198471</v>
      </c>
      <c r="G8" s="200">
        <f>IF($B8&lt;1,"",AVERAGEIF('09월 화학성분'!$F$12:$F$949,$A8,'09월 화학성분'!H$12:H$949))</f>
        <v>20.381679389312978</v>
      </c>
      <c r="H8" s="200">
        <f>IF($B8&lt;1,"",AVERAGEIF('09월 화학성분'!$F$12:$F$949,$A8,'09월 화학성분'!I$12:I$949))</f>
        <v>51.984732824427482</v>
      </c>
      <c r="I8" s="200">
        <f>IF($B8&lt;1,"",AVERAGEIF('09월 화학성분'!$F$12:$F$949,$A8,'09월 화학성분'!J$12:J$949))</f>
        <v>14.740458015267176</v>
      </c>
      <c r="J8" s="200">
        <f>IF($B8&lt;1,"",AVERAGEIF('09월 화학성분'!$F$12:$F$949,$A8,'09월 화학성분'!K$12:K$949))</f>
        <v>32.786259541984734</v>
      </c>
      <c r="K8" s="200">
        <f>IF($B8&lt;1,"",AVERAGEIF('09월 화학성분'!$F$12:$F$949,$A8,'09월 화학성분'!L$12:L$949))</f>
        <v>12.358778625954198</v>
      </c>
      <c r="L8" s="200">
        <f>IF($B8&lt;1,"",AVERAGEIF('09월 화학성분'!$F$12:$F$949,$A8,'09월 화학성분'!M$12:M$949))</f>
        <v>9.9694656488549622</v>
      </c>
      <c r="M8" s="208">
        <f>IF($B8&lt;1,"",AVERAGEIF('09월 화학성분'!$F$12:$F$949,$A8,'09월 화학성분'!N$12:N$949))</f>
        <v>421.87786259541986</v>
      </c>
      <c r="N8" s="208" t="e">
        <f>IF($B8&lt;1,"",AVERAGEIF('09월 화학성분'!$F$12:$F$949,$A8,'09월 화학성분'!O$12:O$949))</f>
        <v>#DIV/0!</v>
      </c>
      <c r="O8" s="208">
        <f>IF($B8&lt;1,"",AVERAGEIF('09월 화학성분'!$F$12:$F$949,$A8,'09월 화학성분'!P$12:P$949))</f>
        <v>996.60305343511448</v>
      </c>
      <c r="P8" s="208">
        <f>IF($B8&lt;1,"",AVERAGEIF('09월 화학성분'!$F$12:$F$949,$A8,'09월 화학성분'!Q$12:Q$949))</f>
        <v>956.24427480916029</v>
      </c>
      <c r="Q8" s="208" t="e">
        <f>IF($B8&lt;1,"",AVERAGEIF('09월 화학성분'!$F$12:$F$949,$A8,'09월 화학성분'!R$12:R$949))</f>
        <v>#DIV/0!</v>
      </c>
      <c r="R8" s="208" t="e">
        <f>IF($B8&lt;1,"",AVERAGEIF('09월 화학성분'!$F$12:$F$949,$A8,'09월 화학성분'!U$12:U$949))</f>
        <v>#DIV/0!</v>
      </c>
      <c r="S8" s="208">
        <f>IF($B8&lt;1,"",AVERAGEIF('09월 화학성분'!$F$12:$F$949,$A8,'09월 화학성분'!V$12:V$949))</f>
        <v>448.37984496124034</v>
      </c>
      <c r="T8" s="208" t="e">
        <f>IF($B8&lt;1,"",AVERAGEIF('09월 화학성분'!$F$12:$F$949,$A8,'09월 화학성분'!W$12:W$949))</f>
        <v>#DIV/0!</v>
      </c>
      <c r="U8" s="208">
        <f>IF($B8&lt;1,"",AVERAGEIF('09월 화학성분'!$F$12:$F$949,$A8,'09월 화학성분'!X$12:X$949))</f>
        <v>1004.9457364341085</v>
      </c>
      <c r="V8" s="208" t="e">
        <f>IF($B8&lt;1,"",AVERAGEIF('09월 화학성분'!$F$12:$F$949,$A8,'09월 화학성분'!#REF!))</f>
        <v>#REF!</v>
      </c>
      <c r="W8" s="208">
        <f>IF($B8&lt;1,"",AVERAGEIF('09월 화학성분'!$F$12:$F$949,$A8,'09월 화학성분'!AB$12:AB$949))</f>
        <v>0</v>
      </c>
      <c r="X8" s="208" t="e">
        <f>IF($B8&lt;1,"",AVERAGEIF('09월 화학성분'!$F$12:$F$949,$A8,'09월 화학성분'!AC$12:AC$949))</f>
        <v>#DIV/0!</v>
      </c>
      <c r="Y8" s="208">
        <f>IF($B8&lt;1,"",AVERAGEIF('09월 화학성분'!$F$12:$F$949,$A8,'09월 화학성분'!AD$12:AD$949))</f>
        <v>273.7829457364341</v>
      </c>
      <c r="Z8" s="208">
        <f>IF($B8&lt;1,"",AVERAGEIF('09월 화학성분'!$F$12:$F$949,$A8,'09월 화학성분'!AF$12:AF$949))</f>
        <v>0</v>
      </c>
      <c r="AA8" s="208">
        <f>IF($B8&lt;1,"",AVERAGEIF('09월 화학성분'!$F$12:$F$949,$A8,'09월 화학성분'!AG$12:AG$949))</f>
        <v>110</v>
      </c>
      <c r="AB8" s="208">
        <f>IF($B8&lt;1,"",AVERAGEIF('09월 화학성분'!$F$12:$F$949,$A8,'09월 화학성분'!AH$12:AH$949))</f>
        <v>832.87022900763361</v>
      </c>
      <c r="AC8" s="208">
        <f>IF($B8&lt;1,"",AVERAGEIF('09월 화학성분'!$F$12:$F$949,$A8,'09월 화학성분'!AI$12:AI$949))</f>
        <v>347.16030534351142</v>
      </c>
      <c r="AD8" s="208">
        <f>IF($B8&lt;1,"",AVERAGEIF('09월 화학성분'!$F$12:$F$949,$A8,'09월 화학성분'!AJ$12:AJ$949))</f>
        <v>80.36434108527132</v>
      </c>
      <c r="AE8" s="208">
        <f>IF($B8&lt;1,"",AVERAGEIF('09월 화학성분'!$F$12:$F$949,$A8,'09월 화학성분'!AL$12:AL$949))</f>
        <v>127.86821705426357</v>
      </c>
      <c r="AF8" s="208">
        <f>IF($B8&lt;1,"",AVERAGEIF('09월 화학성분'!$F$12:$F$949,$A8,'09월 화학성분'!AM$12:AM$949))</f>
        <v>1948.6641221374045</v>
      </c>
      <c r="AG8" s="207">
        <f>IF($B8&lt;1,"",AVERAGEIF('09월 화학성분'!$F$12:$F$949,$A8,'09월 화학성분'!AN$12:AN$949))</f>
        <v>0.76374216891908042</v>
      </c>
      <c r="AH8" s="207">
        <f>IF($B8&lt;1,"",AVERAGEIF('09월 화학성분'!$F$12:$F$949,$A8,'09월 화학성분'!AO$12:AO$949))</f>
        <v>0.91189000367987383</v>
      </c>
      <c r="AI8" s="200">
        <f>IF($B8&lt;1,"",AVERAGEIF('09월 화학성분'!$F$12:$F$949,$A8,'09월 화학성분'!AP$12:AP$949))</f>
        <v>143.22519083969459</v>
      </c>
      <c r="AJ8" s="217" t="e">
        <f>IF($B8&lt;1,"",AVERAGEIF('09월 고철장입'!$F$14:$F$949,$A8,'09월 고철장입'!G$14:G$949))</f>
        <v>#DIV/0!</v>
      </c>
      <c r="AK8" s="217" t="e">
        <f>IF($B8&lt;1,"",AVERAGEIF('09월 고철장입'!$F$14:$F$949,$A8,'09월 고철장입'!H$14:H$949))</f>
        <v>#DIV/0!</v>
      </c>
      <c r="AL8" s="217">
        <f>IF($B8&lt;1,"",AVERAGEIF('09월 고철장입'!$F$14:$F$949,$A8,'09월 고철장입'!I$14:I$949))</f>
        <v>14500</v>
      </c>
      <c r="AM8" s="217" t="e">
        <f>IF($B8&lt;1,"",AVERAGEIF('09월 고철장입'!$F$14:$F$949,$A8,'09월 고철장입'!J$14:J$949))</f>
        <v>#DIV/0!</v>
      </c>
      <c r="AN8" s="217" t="e">
        <f>IF($B8&lt;1,"",AVERAGEIF('09월 고철장입'!$F$14:$F$949,$A8,'09월 고철장입'!L$14:L$949))</f>
        <v>#DIV/0!</v>
      </c>
      <c r="AO8" s="217">
        <f>IF($B8&lt;1,"",AVERAGEIF('09월 고철장입'!$F$14:$F$949,$A8,'09월 고철장입'!O$14:O$949))</f>
        <v>14500</v>
      </c>
      <c r="AP8" s="214">
        <f>IF($B8&lt;1,"",AVERAGEIF('09월 고철장입'!$F$14:$F$949,$A8,'09월 고철장입'!P$14:P$949))</f>
        <v>44261.068702290075</v>
      </c>
      <c r="AQ8" s="214">
        <f>IF($B8&lt;1,"",AVERAGEIF('09월 고철장입'!$F$14:$F$949,$A8,'09월 고철장입'!Q$14:Q$949))</f>
        <v>17066.412213740459</v>
      </c>
      <c r="AR8" s="214">
        <f>IF($B8&lt;1,"",AVERAGEIF('09월 고철장입'!$F$14:$F$949,$A8,'09월 고철장입'!S$14:S$949))</f>
        <v>0</v>
      </c>
      <c r="AS8" s="214">
        <f>IF($B8&lt;1,"",AVERAGEIF('09월 고철장입'!$F$14:$F$949,$A8,'09월 고철장입'!AD$14:AD$949))</f>
        <v>3056.6046511627906</v>
      </c>
      <c r="AT8" s="214">
        <f>IF($B8&lt;1,"",AVERAGEIF('09월 고철장입'!$F$14:$F$949,$A8,'09월 고철장입'!AE$14:AE$949))</f>
        <v>135524.44274809159</v>
      </c>
      <c r="AU8" s="217">
        <f>IF($B8&lt;1,"",AVERAGEIF('09월 고철장입'!$F$14:$F$949,$A8,'09월 고철장입'!AF$14:AF$949))</f>
        <v>3795.1219512195121</v>
      </c>
      <c r="AV8" s="217">
        <f>IF($B8&lt;1,"",AVERAGEIF('09월 고철장입'!$F$14:$F$949,$A8,'09월 고철장입'!AG$14:AG$949))</f>
        <v>8769.2307692307695</v>
      </c>
      <c r="AW8" s="217">
        <f>IF($B8&lt;1,"",AVERAGEIF('09월 고철장입'!$F$14:$F$949,$A8,'09월 고철장입'!AH$14:AH$949))</f>
        <v>5710.8527131782948</v>
      </c>
      <c r="AX8" s="217">
        <f>IF($B8&lt;1,"",AVERAGEIF('09월 고철장입'!$F$14:$F$949,$A8,'09월 고철장입'!AI$14:AI$949))</f>
        <v>17889.312977099238</v>
      </c>
      <c r="AY8" s="248">
        <f>IF($B8&lt;1,"",AVERAGEIF('09월 고철장입'!$F$14:$F$949,$A8,'09월 고철장입'!AJ$14:AJ$949)/1000)</f>
        <v>158.17329770992367</v>
      </c>
      <c r="AZ8" s="250">
        <f>IF($B8&lt;1,"",AVERAGEIF('09월 고철장입'!$F$14:$F$949,$A8,'09월 고철장입'!AK$14:AK$949))</f>
        <v>143.22519083969459</v>
      </c>
      <c r="BA8" s="253">
        <f>IF($B8&lt;1,"",AVERAGEIF('09월 고철장입'!$F$14:$F$949,$A8,'09월 고철장입'!AL$14:AL$949))</f>
        <v>0.90610331403361999</v>
      </c>
      <c r="BB8" s="200">
        <f>IF($B8&lt;1,"",AVERAGEIF('09월 에너지'!$F$14:$F$949,$A8,'09월 에너지'!G16:G952))</f>
        <v>19.396899224806198</v>
      </c>
      <c r="BC8" s="200">
        <f>IF($B8&lt;1,"",AVERAGEIF('09월 에너지'!$F$14:$F$949,$A8,'09월 에너지'!H16:H952))</f>
        <v>23193.798449612405</v>
      </c>
      <c r="BD8" s="200">
        <f>IF($B8&lt;1,"",AVERAGEIF('09월 에너지'!$F$14:$F$949,$A8,'09월 에너지'!I16:I952))</f>
        <v>16.555813953488375</v>
      </c>
      <c r="BE8" s="200">
        <f>IF($B8&lt;1,"",AVERAGEIF('09월 에너지'!$F$14:$F$949,$A8,'09월 에너지'!J16:J952))</f>
        <v>20331.007751937985</v>
      </c>
      <c r="BF8" s="200">
        <f>IF($B8&lt;1,"",AVERAGEIF('09월 에너지'!$F$14:$F$949,$A8,'09월 에너지'!K16:K952))</f>
        <v>9.6085271317829442</v>
      </c>
      <c r="BG8" s="200">
        <f>IF($B8&lt;1,"",AVERAGEIF('09월 에너지'!$F$14:$F$949,$A8,'09월 에너지'!L16:L952))</f>
        <v>12280.62015503876</v>
      </c>
      <c r="BH8" s="200">
        <f>IF($B8&lt;1,"",AVERAGEIF('09월 에너지'!$F$14:$F$949,$A8,'09월 에너지'!M16:M952))</f>
        <v>45.561240310077508</v>
      </c>
      <c r="BI8" s="200">
        <f>IF($B8&lt;1,"",AVERAGEIF('09월 에너지'!$F$14:$F$949,$A8,'09월 에너지'!N16:N952))</f>
        <v>55805.426356589145</v>
      </c>
      <c r="BJ8" s="200">
        <f>IF($B8&lt;1,"",AVERAGEIF('09월 에너지'!$F$14:$F$949,$A8,'09월 에너지'!O16:O952))</f>
        <v>162.34451272729143</v>
      </c>
      <c r="BK8" s="200">
        <f>IF($B8&lt;1,"",AVERAGEIF('09월 에너지'!$F$14:$F$949,$A8,'09월 에너지'!P16:P952))</f>
        <v>141.64390254444933</v>
      </c>
      <c r="BL8" s="200">
        <f>IF($B8&lt;1,"",AVERAGEIF('09월 에너지'!$F$14:$F$949,$A8,'09월 에너지'!Q16:Q952))</f>
        <v>86.019904013385386</v>
      </c>
      <c r="BM8" s="200">
        <f>IF($B8&lt;1,"",AVERAGEIF('09월 에너지'!$F$14:$F$949,$A8,'09월 에너지'!R16:R952))</f>
        <v>390.00831928512616</v>
      </c>
      <c r="BN8" s="200">
        <f>IF($B8&lt;1,"",AVERAGEIF('09월 에너지'!$F$14:$F$949,$A8,'09월 에너지'!S16:S952))</f>
        <v>143.14573643410847</v>
      </c>
      <c r="BO8" s="200">
        <f>IF($B8&lt;1,"",AVERAGEIF('09월 에너지'!$F$14:$F$949,$A8,'09월 에너지'!T16:T952))</f>
        <v>8.5271317829457363E-2</v>
      </c>
      <c r="BP8" s="200">
        <f>IF($B8&lt;1,"",AVERAGEIF('09월 에너지'!$F$14:$F$949,$A8,'09월 에너지'!U16:U952))</f>
        <v>67.434108527131784</v>
      </c>
      <c r="BQ8" s="200">
        <f>IF($B8&lt;1,"",AVERAGEIF('09월 에너지'!$F$14:$F$949,$A8,'09월 에너지'!V16:V952))</f>
        <v>282.03875968992247</v>
      </c>
      <c r="BR8" s="200">
        <f>IF($B8&lt;1,"",AVERAGEIF('09월 에너지'!$F$14:$F$949,$A8,'09월 에너지'!W16:W952))</f>
        <v>349.55813953488371</v>
      </c>
      <c r="BS8" s="200">
        <f>IF($B8&lt;1,"",AVERAGEIF('09월 에너지'!$F$14:$F$949,$A8,'09월 에너지'!X16:X952))</f>
        <v>2.4452338718488851</v>
      </c>
      <c r="BT8" s="200">
        <f>IF($B8&lt;1,"",AVERAGEIF('09월 에너지'!$F$14:$F$949,$A8,'09월 에너지'!Y16:Y952))</f>
        <v>1580.3643410852712</v>
      </c>
      <c r="BU8" s="200">
        <f>IF($B8&lt;1,"",AVERAGEIF('09월 에너지'!$F$14:$F$949,$A8,'09월 에너지'!Z16:Z952))</f>
        <v>1374.4108527131782</v>
      </c>
      <c r="BV8" s="200">
        <f>IF($B8&lt;1,"",AVERAGEIF('09월 에너지'!$F$14:$F$949,$A8,'09월 에너지'!AA16:AA952))</f>
        <v>810.68217054263562</v>
      </c>
      <c r="BW8" s="200">
        <f>IF($B8&lt;1,"",AVERAGEIF('09월 에너지'!$F$14:$F$949,$A8,'09월 에너지'!AB16:AB952))</f>
        <v>3765.4573643410854</v>
      </c>
      <c r="BX8" s="257">
        <f>IF($B8&lt;1,"",AVERAGEIF('09월 에너지'!$F$14:$F$949,$A8,'09월 에너지'!AC16:AC952))</f>
        <v>26.320678160193683</v>
      </c>
      <c r="BY8" s="261">
        <f>IF($B8&lt;1,"",AVERAGEIF('09월 에너지'!$F$14:$F$949,$A8,'09월 에너지'!AD16:AD952))</f>
        <v>4115.0155038759694</v>
      </c>
      <c r="BZ8" s="262">
        <f>IF($B8&lt;1,"",AVERAGEIF('09월 에너지'!$F$14:$F$949,$A8,'09월 에너지'!AE16:AE952))</f>
        <v>28.765912032042571</v>
      </c>
      <c r="CA8" s="249">
        <f>IF($B8&lt;1,"",AVERAGEIF('09월 에너지'!$F$14:$F$949,$A8,'09월 에너지'!AF16:AF952))</f>
        <v>80.100775193798455</v>
      </c>
      <c r="CB8" s="200">
        <f>IF($B8&lt;1,"",AVERAGEIF('09월 에너지'!$F$14:$F$949,$A8,'09월 에너지'!AG16:AG952))</f>
        <v>62.596899224806201</v>
      </c>
      <c r="CC8" s="200">
        <f>IF($B8&lt;1,"",AVERAGEIF('09월 에너지'!$F$14:$F$949,$A8,'09월 에너지'!AH16:AH952))</f>
        <v>8.8217054263565888</v>
      </c>
      <c r="CD8" s="200">
        <f>IF($B8&lt;1,"",AVERAGEIF('09월 에너지'!$F$14:$F$949,$A8,'09월 에너지'!AI16:AI952))</f>
        <v>151.51937984496124</v>
      </c>
      <c r="CE8" s="206">
        <f>IF($B8&lt;1,"",AVERAGEIF('09월 에너지'!$F$14:$F$949,$A8,'09월 에너지'!AJ16:AJ952))</f>
        <v>1.0583005759274404</v>
      </c>
    </row>
    <row r="9" spans="1:83" ht="17.25" customHeight="1">
      <c r="A9" s="210" t="s">
        <v>161</v>
      </c>
      <c r="B9" s="243">
        <f>IF(A9="",0,COUNTIF('09월 화학성분'!$F$12:$F$949,$A9))</f>
        <v>0</v>
      </c>
      <c r="C9" s="240"/>
      <c r="D9" s="203"/>
      <c r="E9" s="203"/>
      <c r="F9" s="200" t="str">
        <f>IF($B9&lt;1,"",AVERAGEIF('09월 화학성분'!$F$12:$F$949,$A9,'09월 화학성분'!G$12:G$949))</f>
        <v/>
      </c>
      <c r="G9" s="200" t="str">
        <f>IF($B9&lt;1,"",AVERAGEIF('09월 화학성분'!$F$12:$F$949,$A9,'09월 화학성분'!H$12:H$949))</f>
        <v/>
      </c>
      <c r="H9" s="200" t="str">
        <f>IF($B9&lt;1,"",AVERAGEIF('09월 화학성분'!$F$12:$F$949,$A9,'09월 화학성분'!I$12:I$949))</f>
        <v/>
      </c>
      <c r="I9" s="200" t="str">
        <f>IF($B9&lt;1,"",AVERAGEIF('09월 화학성분'!$F$12:$F$949,$A9,'09월 화학성분'!J$12:J$949))</f>
        <v/>
      </c>
      <c r="J9" s="200" t="str">
        <f>IF($B9&lt;1,"",AVERAGEIF('09월 화학성분'!$F$12:$F$949,$A9,'09월 화학성분'!K$12:K$949))</f>
        <v/>
      </c>
      <c r="K9" s="200" t="str">
        <f>IF($B9&lt;1,"",AVERAGEIF('09월 화학성분'!$F$12:$F$949,$A9,'09월 화학성분'!L$12:L$949))</f>
        <v/>
      </c>
      <c r="L9" s="200" t="str">
        <f>IF($B9&lt;1,"",AVERAGEIF('09월 화학성분'!$F$12:$F$949,$A9,'09월 화학성분'!M$12:M$949))</f>
        <v/>
      </c>
      <c r="M9" s="208" t="str">
        <f>IF($B9&lt;1,"",AVERAGEIF('09월 화학성분'!$F$12:$F$949,$A9,'09월 화학성분'!N$12:N$949))</f>
        <v/>
      </c>
      <c r="N9" s="208" t="str">
        <f>IF($B9&lt;1,"",AVERAGEIF('09월 화학성분'!$F$12:$F$949,$A9,'09월 화학성분'!O$12:O$949))</f>
        <v/>
      </c>
      <c r="O9" s="208" t="str">
        <f>IF($B9&lt;1,"",AVERAGEIF('09월 화학성분'!$F$12:$F$949,$A9,'09월 화학성분'!P$12:P$949))</f>
        <v/>
      </c>
      <c r="P9" s="208" t="str">
        <f>IF($B9&lt;1,"",AVERAGEIF('09월 화학성분'!$F$12:$F$949,$A9,'09월 화학성분'!Q$12:Q$949))</f>
        <v/>
      </c>
      <c r="Q9" s="208" t="str">
        <f>IF($B9&lt;1,"",AVERAGEIF('09월 화학성분'!$F$12:$F$949,$A9,'09월 화학성분'!R$12:R$949))</f>
        <v/>
      </c>
      <c r="R9" s="208" t="str">
        <f>IF($B9&lt;1,"",AVERAGEIF('09월 화학성분'!$F$12:$F$949,$A9,'09월 화학성분'!U$12:U$949))</f>
        <v/>
      </c>
      <c r="S9" s="208" t="str">
        <f>IF($B9&lt;1,"",AVERAGEIF('09월 화학성분'!$F$12:$F$949,$A9,'09월 화학성분'!V$12:V$949))</f>
        <v/>
      </c>
      <c r="T9" s="208" t="str">
        <f>IF($B9&lt;1,"",AVERAGEIF('09월 화학성분'!$F$12:$F$949,$A9,'09월 화학성분'!W$12:W$949))</f>
        <v/>
      </c>
      <c r="U9" s="208" t="str">
        <f>IF($B9&lt;1,"",AVERAGEIF('09월 화학성분'!$F$12:$F$949,$A9,'09월 화학성분'!X$12:X$949))</f>
        <v/>
      </c>
      <c r="V9" s="208" t="str">
        <f>IF($B9&lt;1,"",AVERAGEIF('09월 화학성분'!$F$12:$F$949,$A9,'09월 화학성분'!#REF!))</f>
        <v/>
      </c>
      <c r="W9" s="208" t="str">
        <f>IF($B9&lt;1,"",AVERAGEIF('09월 화학성분'!$F$12:$F$949,$A9,'09월 화학성분'!AB$12:AB$949))</f>
        <v/>
      </c>
      <c r="X9" s="208" t="str">
        <f>IF($B9&lt;1,"",AVERAGEIF('09월 화학성분'!$F$12:$F$949,$A9,'09월 화학성분'!AC$12:AC$949))</f>
        <v/>
      </c>
      <c r="Y9" s="208" t="str">
        <f>IF($B9&lt;1,"",AVERAGEIF('09월 화학성분'!$F$12:$F$949,$A9,'09월 화학성분'!AD$12:AD$949))</f>
        <v/>
      </c>
      <c r="Z9" s="208" t="str">
        <f>IF($B9&lt;1,"",AVERAGEIF('09월 화학성분'!$F$12:$F$949,$A9,'09월 화학성분'!AF$12:AF$949))</f>
        <v/>
      </c>
      <c r="AA9" s="208" t="str">
        <f>IF($B9&lt;1,"",AVERAGEIF('09월 화학성분'!$F$12:$F$949,$A9,'09월 화학성분'!AG$12:AG$949))</f>
        <v/>
      </c>
      <c r="AB9" s="208" t="str">
        <f>IF($B9&lt;1,"",AVERAGEIF('09월 화학성분'!$F$12:$F$949,$A9,'09월 화학성분'!AH$12:AH$949))</f>
        <v/>
      </c>
      <c r="AC9" s="208" t="str">
        <f>IF($B9&lt;1,"",AVERAGEIF('09월 화학성분'!$F$12:$F$949,$A9,'09월 화학성분'!AI$12:AI$949))</f>
        <v/>
      </c>
      <c r="AD9" s="208" t="str">
        <f>IF($B9&lt;1,"",AVERAGEIF('09월 화학성분'!$F$12:$F$949,$A9,'09월 화학성분'!AJ$12:AJ$949))</f>
        <v/>
      </c>
      <c r="AE9" s="208" t="str">
        <f>IF($B9&lt;1,"",AVERAGEIF('09월 화학성분'!$F$12:$F$949,$A9,'09월 화학성분'!AL$12:AL$949))</f>
        <v/>
      </c>
      <c r="AF9" s="208" t="str">
        <f>IF($B9&lt;1,"",AVERAGEIF('09월 화학성분'!$F$12:$F$949,$A9,'09월 화학성분'!AM$12:AM$949))</f>
        <v/>
      </c>
      <c r="AG9" s="207" t="str">
        <f>IF($B9&lt;1,"",AVERAGEIF('09월 화학성분'!$F$12:$F$949,$A9,'09월 화학성분'!AN$12:AN$949))</f>
        <v/>
      </c>
      <c r="AH9" s="207" t="str">
        <f>IF($B9&lt;1,"",AVERAGEIF('09월 화학성분'!$F$12:$F$949,$A9,'09월 화학성분'!AO$12:AO$949))</f>
        <v/>
      </c>
      <c r="AI9" s="200" t="str">
        <f>IF($B9&lt;1,"",AVERAGEIF('09월 화학성분'!$F$12:$F$949,$A9,'09월 화학성분'!AP$12:AP$949))</f>
        <v/>
      </c>
      <c r="AJ9" s="217" t="str">
        <f>IF($B9&lt;1,"",AVERAGEIF('09월 고철장입'!$F$14:$F$949,$A9,'09월 고철장입'!G$14:G$949))</f>
        <v/>
      </c>
      <c r="AK9" s="217" t="str">
        <f>IF($B9&lt;1,"",AVERAGEIF('09월 고철장입'!$F$14:$F$949,$A9,'09월 고철장입'!H$14:H$949))</f>
        <v/>
      </c>
      <c r="AL9" s="217" t="str">
        <f>IF($B9&lt;1,"",AVERAGEIF('09월 고철장입'!$F$14:$F$949,$A9,'09월 고철장입'!I$14:I$949))</f>
        <v/>
      </c>
      <c r="AM9" s="217" t="str">
        <f>IF($B9&lt;1,"",AVERAGEIF('09월 고철장입'!$F$14:$F$949,$A9,'09월 고철장입'!J$14:J$949))</f>
        <v/>
      </c>
      <c r="AN9" s="217" t="str">
        <f>IF($B9&lt;1,"",AVERAGEIF('09월 고철장입'!$F$14:$F$949,$A9,'09월 고철장입'!L$14:L$949))</f>
        <v/>
      </c>
      <c r="AO9" s="217" t="str">
        <f>IF($B9&lt;1,"",AVERAGEIF('09월 고철장입'!$F$14:$F$949,$A9,'09월 고철장입'!O$14:O$949))</f>
        <v/>
      </c>
      <c r="AP9" s="214" t="str">
        <f>IF($B9&lt;1,"",AVERAGEIF('09월 고철장입'!$F$14:$F$949,$A9,'09월 고철장입'!P$14:P$949))</f>
        <v/>
      </c>
      <c r="AQ9" s="214" t="str">
        <f>IF($B9&lt;1,"",AVERAGEIF('09월 고철장입'!$F$14:$F$949,$A9,'09월 고철장입'!Q$14:Q$949))</f>
        <v/>
      </c>
      <c r="AR9" s="214" t="str">
        <f>IF($B9&lt;1,"",AVERAGEIF('09월 고철장입'!$F$14:$F$949,$A9,'09월 고철장입'!S$14:S$949))</f>
        <v/>
      </c>
      <c r="AS9" s="214" t="str">
        <f>IF($B9&lt;1,"",AVERAGEIF('09월 고철장입'!$F$14:$F$949,$A9,'09월 고철장입'!AD$14:AD$949))</f>
        <v/>
      </c>
      <c r="AT9" s="214" t="str">
        <f>IF($B9&lt;1,"",AVERAGEIF('09월 고철장입'!$F$14:$F$949,$A9,'09월 고철장입'!AE$14:AE$949))</f>
        <v/>
      </c>
      <c r="AU9" s="217" t="str">
        <f>IF($B9&lt;1,"",AVERAGEIF('09월 고철장입'!$F$14:$F$949,$A9,'09월 고철장입'!AF$14:AF$949))</f>
        <v/>
      </c>
      <c r="AV9" s="217" t="str">
        <f>IF($B9&lt;1,"",AVERAGEIF('09월 고철장입'!$F$14:$F$949,$A9,'09월 고철장입'!AG$14:AG$949))</f>
        <v/>
      </c>
      <c r="AW9" s="217" t="str">
        <f>IF($B9&lt;1,"",AVERAGEIF('09월 고철장입'!$F$14:$F$949,$A9,'09월 고철장입'!AH$14:AH$949))</f>
        <v/>
      </c>
      <c r="AX9" s="217" t="str">
        <f>IF($B9&lt;1,"",AVERAGEIF('09월 고철장입'!$F$14:$F$949,$A9,'09월 고철장입'!AI$14:AI$949))</f>
        <v/>
      </c>
      <c r="AY9" s="248" t="str">
        <f>IF($B9&lt;1,"",AVERAGEIF('09월 고철장입'!$F$14:$F$949,$A9,'09월 고철장입'!AJ$14:AJ$949)/1000)</f>
        <v/>
      </c>
      <c r="AZ9" s="250" t="str">
        <f>IF($B9&lt;1,"",AVERAGEIF('09월 고철장입'!$F$14:$F$949,$A9,'09월 고철장입'!AK$14:AK$949))</f>
        <v/>
      </c>
      <c r="BA9" s="253" t="str">
        <f>IF($B9&lt;1,"",AVERAGEIF('09월 고철장입'!$F$14:$F$949,$A9,'09월 고철장입'!AL$14:AL$949))</f>
        <v/>
      </c>
      <c r="BB9" s="200" t="str">
        <f>IF($B9&lt;1,"",AVERAGEIF('09월 에너지'!$F$14:$F$949,$A9,'09월 에너지'!G17:G953))</f>
        <v/>
      </c>
      <c r="BC9" s="200" t="str">
        <f>IF($B9&lt;1,"",AVERAGEIF('09월 에너지'!$F$14:$F$949,$A9,'09월 에너지'!H17:H953))</f>
        <v/>
      </c>
      <c r="BD9" s="200" t="str">
        <f>IF($B9&lt;1,"",AVERAGEIF('09월 에너지'!$F$14:$F$949,$A9,'09월 에너지'!I17:I953))</f>
        <v/>
      </c>
      <c r="BE9" s="200" t="str">
        <f>IF($B9&lt;1,"",AVERAGEIF('09월 에너지'!$F$14:$F$949,$A9,'09월 에너지'!J17:J953))</f>
        <v/>
      </c>
      <c r="BF9" s="200" t="str">
        <f>IF($B9&lt;1,"",AVERAGEIF('09월 에너지'!$F$14:$F$949,$A9,'09월 에너지'!K17:K953))</f>
        <v/>
      </c>
      <c r="BG9" s="200" t="str">
        <f>IF($B9&lt;1,"",AVERAGEIF('09월 에너지'!$F$14:$F$949,$A9,'09월 에너지'!L17:L953))</f>
        <v/>
      </c>
      <c r="BH9" s="200" t="str">
        <f>IF($B9&lt;1,"",AVERAGEIF('09월 에너지'!$F$14:$F$949,$A9,'09월 에너지'!M17:M953))</f>
        <v/>
      </c>
      <c r="BI9" s="200" t="str">
        <f>IF($B9&lt;1,"",AVERAGEIF('09월 에너지'!$F$14:$F$949,$A9,'09월 에너지'!N17:N953))</f>
        <v/>
      </c>
      <c r="BJ9" s="200" t="str">
        <f>IF($B9&lt;1,"",AVERAGEIF('09월 에너지'!$F$14:$F$949,$A9,'09월 에너지'!O17:O953))</f>
        <v/>
      </c>
      <c r="BK9" s="200" t="str">
        <f>IF($B9&lt;1,"",AVERAGEIF('09월 에너지'!$F$14:$F$949,$A9,'09월 에너지'!P17:P953))</f>
        <v/>
      </c>
      <c r="BL9" s="200" t="str">
        <f>IF($B9&lt;1,"",AVERAGEIF('09월 에너지'!$F$14:$F$949,$A9,'09월 에너지'!Q17:Q953))</f>
        <v/>
      </c>
      <c r="BM9" s="200" t="str">
        <f>IF($B9&lt;1,"",AVERAGEIF('09월 에너지'!$F$14:$F$949,$A9,'09월 에너지'!R17:R953))</f>
        <v/>
      </c>
      <c r="BN9" s="200" t="str">
        <f>IF($B9&lt;1,"",AVERAGEIF('09월 에너지'!$F$14:$F$949,$A9,'09월 에너지'!S17:S953))</f>
        <v/>
      </c>
      <c r="BO9" s="200" t="str">
        <f>IF($B9&lt;1,"",AVERAGEIF('09월 에너지'!$F$14:$F$949,$A9,'09월 에너지'!T17:T953))</f>
        <v/>
      </c>
      <c r="BP9" s="200" t="str">
        <f>IF($B9&lt;1,"",AVERAGEIF('09월 에너지'!$F$14:$F$949,$A9,'09월 에너지'!U17:U953))</f>
        <v/>
      </c>
      <c r="BQ9" s="200" t="str">
        <f>IF($B9&lt;1,"",AVERAGEIF('09월 에너지'!$F$14:$F$949,$A9,'09월 에너지'!V17:V953))</f>
        <v/>
      </c>
      <c r="BR9" s="200" t="str">
        <f>IF($B9&lt;1,"",AVERAGEIF('09월 에너지'!$F$14:$F$949,$A9,'09월 에너지'!W17:W953))</f>
        <v/>
      </c>
      <c r="BS9" s="200" t="str">
        <f>IF($B9&lt;1,"",AVERAGEIF('09월 에너지'!$F$14:$F$949,$A9,'09월 에너지'!X17:X953))</f>
        <v/>
      </c>
      <c r="BT9" s="200" t="str">
        <f>IF($B9&lt;1,"",AVERAGEIF('09월 에너지'!$F$14:$F$949,$A9,'09월 에너지'!Y17:Y953))</f>
        <v/>
      </c>
      <c r="BU9" s="200" t="str">
        <f>IF($B9&lt;1,"",AVERAGEIF('09월 에너지'!$F$14:$F$949,$A9,'09월 에너지'!Z17:Z953))</f>
        <v/>
      </c>
      <c r="BV9" s="200" t="str">
        <f>IF($B9&lt;1,"",AVERAGEIF('09월 에너지'!$F$14:$F$949,$A9,'09월 에너지'!AA17:AA953))</f>
        <v/>
      </c>
      <c r="BW9" s="200" t="str">
        <f>IF($B9&lt;1,"",AVERAGEIF('09월 에너지'!$F$14:$F$949,$A9,'09월 에너지'!AB17:AB953))</f>
        <v/>
      </c>
      <c r="BX9" s="257" t="str">
        <f>IF($B9&lt;1,"",AVERAGEIF('09월 에너지'!$F$14:$F$949,$A9,'09월 에너지'!AC17:AC953))</f>
        <v/>
      </c>
      <c r="BY9" s="261" t="str">
        <f>IF($B9&lt;1,"",AVERAGEIF('09월 에너지'!$F$14:$F$949,$A9,'09월 에너지'!AD17:AD953))</f>
        <v/>
      </c>
      <c r="BZ9" s="262" t="str">
        <f>IF($B9&lt;1,"",AVERAGEIF('09월 에너지'!$F$14:$F$949,$A9,'09월 에너지'!AE17:AE953))</f>
        <v/>
      </c>
      <c r="CA9" s="249" t="str">
        <f>IF($B9&lt;1,"",AVERAGEIF('09월 에너지'!$F$14:$F$949,$A9,'09월 에너지'!AF17:AF953))</f>
        <v/>
      </c>
      <c r="CB9" s="200" t="str">
        <f>IF($B9&lt;1,"",AVERAGEIF('09월 에너지'!$F$14:$F$949,$A9,'09월 에너지'!AG17:AG953))</f>
        <v/>
      </c>
      <c r="CC9" s="200" t="str">
        <f>IF($B9&lt;1,"",AVERAGEIF('09월 에너지'!$F$14:$F$949,$A9,'09월 에너지'!AH17:AH953))</f>
        <v/>
      </c>
      <c r="CD9" s="200" t="str">
        <f>IF($B9&lt;1,"",AVERAGEIF('09월 에너지'!$F$14:$F$949,$A9,'09월 에너지'!AI17:AI953))</f>
        <v/>
      </c>
      <c r="CE9" s="206" t="str">
        <f>IF($B9&lt;1,"",AVERAGEIF('09월 에너지'!$F$14:$F$949,$A9,'09월 에너지'!AJ17:AJ953))</f>
        <v/>
      </c>
    </row>
    <row r="10" spans="1:83" ht="17.25" customHeight="1">
      <c r="A10" s="210"/>
      <c r="B10" s="243">
        <f>IF(A10="",0,COUNTIF('09월 화학성분'!$F$12:$F$949,$A10))</f>
        <v>0</v>
      </c>
      <c r="C10" s="240"/>
      <c r="D10" s="203"/>
      <c r="E10" s="203"/>
      <c r="F10" s="200" t="str">
        <f>IF($B10&lt;1,"",AVERAGEIF('09월 화학성분'!$F$12:$F$949,$A10,'09월 화학성분'!G$12:G$949))</f>
        <v/>
      </c>
      <c r="G10" s="200" t="str">
        <f>IF($B10&lt;1,"",AVERAGEIF('09월 화학성분'!$F$12:$F$949,$A10,'09월 화학성분'!H$12:H$949))</f>
        <v/>
      </c>
      <c r="H10" s="200" t="str">
        <f>IF($B10&lt;1,"",AVERAGEIF('09월 화학성분'!$F$12:$F$949,$A10,'09월 화학성분'!I$12:I$949))</f>
        <v/>
      </c>
      <c r="I10" s="200" t="str">
        <f>IF($B10&lt;1,"",AVERAGEIF('09월 화학성분'!$F$12:$F$949,$A10,'09월 화학성분'!J$12:J$949))</f>
        <v/>
      </c>
      <c r="J10" s="200" t="str">
        <f>IF($B10&lt;1,"",AVERAGEIF('09월 화학성분'!$F$12:$F$949,$A10,'09월 화학성분'!K$12:K$949))</f>
        <v/>
      </c>
      <c r="K10" s="200" t="str">
        <f>IF($B10&lt;1,"",AVERAGEIF('09월 화학성분'!$F$12:$F$949,$A10,'09월 화학성분'!L$12:L$949))</f>
        <v/>
      </c>
      <c r="L10" s="200" t="str">
        <f>IF($B10&lt;1,"",AVERAGEIF('09월 화학성분'!$F$12:$F$949,$A10,'09월 화학성분'!M$12:M$949))</f>
        <v/>
      </c>
      <c r="M10" s="208" t="str">
        <f>IF($B10&lt;1,"",AVERAGEIF('09월 화학성분'!$F$12:$F$949,$A10,'09월 화학성분'!N$12:N$949))</f>
        <v/>
      </c>
      <c r="N10" s="208" t="str">
        <f>IF($B10&lt;1,"",AVERAGEIF('09월 화학성분'!$F$12:$F$949,$A10,'09월 화학성분'!O$12:O$949))</f>
        <v/>
      </c>
      <c r="O10" s="208" t="str">
        <f>IF($B10&lt;1,"",AVERAGEIF('09월 화학성분'!$F$12:$F$949,$A10,'09월 화학성분'!P$12:P$949))</f>
        <v/>
      </c>
      <c r="P10" s="208" t="str">
        <f>IF($B10&lt;1,"",AVERAGEIF('09월 화학성분'!$F$12:$F$949,$A10,'09월 화학성분'!Q$12:Q$949))</f>
        <v/>
      </c>
      <c r="Q10" s="208" t="str">
        <f>IF($B10&lt;1,"",AVERAGEIF('09월 화학성분'!$F$12:$F$949,$A10,'09월 화학성분'!R$12:R$949))</f>
        <v/>
      </c>
      <c r="R10" s="208" t="str">
        <f>IF($B10&lt;1,"",AVERAGEIF('09월 화학성분'!$F$12:$F$949,$A10,'09월 화학성분'!U$12:U$949))</f>
        <v/>
      </c>
      <c r="S10" s="208" t="str">
        <f>IF($B10&lt;1,"",AVERAGEIF('09월 화학성분'!$F$12:$F$949,$A10,'09월 화학성분'!V$12:V$949))</f>
        <v/>
      </c>
      <c r="T10" s="208" t="str">
        <f>IF($B10&lt;1,"",AVERAGEIF('09월 화학성분'!$F$12:$F$949,$A10,'09월 화학성분'!W$12:W$949))</f>
        <v/>
      </c>
      <c r="U10" s="208" t="str">
        <f>IF($B10&lt;1,"",AVERAGEIF('09월 화학성분'!$F$12:$F$949,$A10,'09월 화학성분'!X$12:X$949))</f>
        <v/>
      </c>
      <c r="V10" s="208" t="str">
        <f>IF($B10&lt;1,"",AVERAGEIF('09월 화학성분'!$F$12:$F$949,$A10,'09월 화학성분'!#REF!))</f>
        <v/>
      </c>
      <c r="W10" s="208" t="str">
        <f>IF($B10&lt;1,"",AVERAGEIF('09월 화학성분'!$F$12:$F$949,$A10,'09월 화학성분'!AB$12:AB$949))</f>
        <v/>
      </c>
      <c r="X10" s="208" t="str">
        <f>IF($B10&lt;1,"",AVERAGEIF('09월 화학성분'!$F$12:$F$949,$A10,'09월 화학성분'!AC$12:AC$949))</f>
        <v/>
      </c>
      <c r="Y10" s="208" t="str">
        <f>IF($B10&lt;1,"",AVERAGEIF('09월 화학성분'!$F$12:$F$949,$A10,'09월 화학성분'!AD$12:AD$949))</f>
        <v/>
      </c>
      <c r="Z10" s="208" t="str">
        <f>IF($B10&lt;1,"",AVERAGEIF('09월 화학성분'!$F$12:$F$949,$A10,'09월 화학성분'!AF$12:AF$949))</f>
        <v/>
      </c>
      <c r="AA10" s="208" t="str">
        <f>IF($B10&lt;1,"",AVERAGEIF('09월 화학성분'!$F$12:$F$949,$A10,'09월 화학성분'!AG$12:AG$949))</f>
        <v/>
      </c>
      <c r="AB10" s="208" t="str">
        <f>IF($B10&lt;1,"",AVERAGEIF('09월 화학성분'!$F$12:$F$949,$A10,'09월 화학성분'!AH$12:AH$949))</f>
        <v/>
      </c>
      <c r="AC10" s="208" t="str">
        <f>IF($B10&lt;1,"",AVERAGEIF('09월 화학성분'!$F$12:$F$949,$A10,'09월 화학성분'!AI$12:AI$949))</f>
        <v/>
      </c>
      <c r="AD10" s="208" t="str">
        <f>IF($B10&lt;1,"",AVERAGEIF('09월 화학성분'!$F$12:$F$949,$A10,'09월 화학성분'!AJ$12:AJ$949))</f>
        <v/>
      </c>
      <c r="AE10" s="208" t="str">
        <f>IF($B10&lt;1,"",AVERAGEIF('09월 화학성분'!$F$12:$F$949,$A10,'09월 화학성분'!AL$12:AL$949))</f>
        <v/>
      </c>
      <c r="AF10" s="208" t="str">
        <f>IF($B10&lt;1,"",AVERAGEIF('09월 화학성분'!$F$12:$F$949,$A10,'09월 화학성분'!AM$12:AM$949))</f>
        <v/>
      </c>
      <c r="AG10" s="207" t="str">
        <f>IF($B10&lt;1,"",AVERAGEIF('09월 화학성분'!$F$12:$F$949,$A10,'09월 화학성분'!AN$12:AN$949))</f>
        <v/>
      </c>
      <c r="AH10" s="207" t="str">
        <f>IF($B10&lt;1,"",AVERAGEIF('09월 화학성분'!$F$12:$F$949,$A10,'09월 화학성분'!AO$12:AO$949))</f>
        <v/>
      </c>
      <c r="AI10" s="200" t="str">
        <f>IF($B10&lt;1,"",AVERAGEIF('09월 화학성분'!$F$12:$F$949,$A10,'09월 화학성분'!AP$12:AP$949))</f>
        <v/>
      </c>
      <c r="AJ10" s="217" t="str">
        <f>IF($B10&lt;1,"",AVERAGEIF('09월 고철장입'!$F$14:$F$949,$A10,'09월 고철장입'!G$14:G$949))</f>
        <v/>
      </c>
      <c r="AK10" s="217" t="str">
        <f>IF($B10&lt;1,"",AVERAGEIF('09월 고철장입'!$F$14:$F$949,$A10,'09월 고철장입'!H$14:H$949))</f>
        <v/>
      </c>
      <c r="AL10" s="217" t="str">
        <f>IF($B10&lt;1,"",AVERAGEIF('09월 고철장입'!$F$14:$F$949,$A10,'09월 고철장입'!I$14:I$949))</f>
        <v/>
      </c>
      <c r="AM10" s="217" t="str">
        <f>IF($B10&lt;1,"",AVERAGEIF('09월 고철장입'!$F$14:$F$949,$A10,'09월 고철장입'!J$14:J$949))</f>
        <v/>
      </c>
      <c r="AN10" s="217" t="str">
        <f>IF($B10&lt;1,"",AVERAGEIF('09월 고철장입'!$F$14:$F$949,$A10,'09월 고철장입'!L$14:L$949))</f>
        <v/>
      </c>
      <c r="AO10" s="217" t="str">
        <f>IF($B10&lt;1,"",AVERAGEIF('09월 고철장입'!$F$14:$F$949,$A10,'09월 고철장입'!O$14:O$949))</f>
        <v/>
      </c>
      <c r="AP10" s="214" t="str">
        <f>IF($B10&lt;1,"",AVERAGEIF('09월 고철장입'!$F$14:$F$949,$A10,'09월 고철장입'!P$14:P$949))</f>
        <v/>
      </c>
      <c r="AQ10" s="214" t="str">
        <f>IF($B10&lt;1,"",AVERAGEIF('09월 고철장입'!$F$14:$F$949,$A10,'09월 고철장입'!Q$14:Q$949))</f>
        <v/>
      </c>
      <c r="AR10" s="214" t="str">
        <f>IF($B10&lt;1,"",AVERAGEIF('09월 고철장입'!$F$14:$F$949,$A10,'09월 고철장입'!S$14:S$949))</f>
        <v/>
      </c>
      <c r="AS10" s="214" t="str">
        <f>IF($B10&lt;1,"",AVERAGEIF('09월 고철장입'!$F$14:$F$949,$A10,'09월 고철장입'!AD$14:AD$949))</f>
        <v/>
      </c>
      <c r="AT10" s="214" t="str">
        <f>IF($B10&lt;1,"",AVERAGEIF('09월 고철장입'!$F$14:$F$949,$A10,'09월 고철장입'!AE$14:AE$949))</f>
        <v/>
      </c>
      <c r="AU10" s="217" t="str">
        <f>IF($B10&lt;1,"",AVERAGEIF('09월 고철장입'!$F$14:$F$949,$A10,'09월 고철장입'!AF$14:AF$949))</f>
        <v/>
      </c>
      <c r="AV10" s="217" t="str">
        <f>IF($B10&lt;1,"",AVERAGEIF('09월 고철장입'!$F$14:$F$949,$A10,'09월 고철장입'!AG$14:AG$949))</f>
        <v/>
      </c>
      <c r="AW10" s="217" t="str">
        <f>IF($B10&lt;1,"",AVERAGEIF('09월 고철장입'!$F$14:$F$949,$A10,'09월 고철장입'!AH$14:AH$949))</f>
        <v/>
      </c>
      <c r="AX10" s="217" t="str">
        <f>IF($B10&lt;1,"",AVERAGEIF('09월 고철장입'!$F$14:$F$949,$A10,'09월 고철장입'!AI$14:AI$949))</f>
        <v/>
      </c>
      <c r="AY10" s="248" t="str">
        <f>IF($B10&lt;1,"",AVERAGEIF('09월 고철장입'!$F$14:$F$949,$A10,'09월 고철장입'!AJ$14:AJ$949)/1000)</f>
        <v/>
      </c>
      <c r="AZ10" s="250" t="str">
        <f>IF($B10&lt;1,"",AVERAGEIF('09월 고철장입'!$F$14:$F$949,$A10,'09월 고철장입'!AK$14:AK$949))</f>
        <v/>
      </c>
      <c r="BA10" s="253" t="str">
        <f>IF($B10&lt;1,"",AVERAGEIF('09월 고철장입'!$F$14:$F$949,$A10,'09월 고철장입'!AL$14:AL$949))</f>
        <v/>
      </c>
      <c r="BB10" s="200" t="str">
        <f>IF($B10&lt;1,"",AVERAGEIF('09월 에너지'!$F$14:$F$949,$A10,'09월 에너지'!G18:G954))</f>
        <v/>
      </c>
      <c r="BC10" s="200" t="str">
        <f>IF($B10&lt;1,"",AVERAGEIF('09월 에너지'!$F$14:$F$949,$A10,'09월 에너지'!H18:H954))</f>
        <v/>
      </c>
      <c r="BD10" s="200" t="str">
        <f>IF($B10&lt;1,"",AVERAGEIF('09월 에너지'!$F$14:$F$949,$A10,'09월 에너지'!I18:I954))</f>
        <v/>
      </c>
      <c r="BE10" s="200" t="str">
        <f>IF($B10&lt;1,"",AVERAGEIF('09월 에너지'!$F$14:$F$949,$A10,'09월 에너지'!J18:J954))</f>
        <v/>
      </c>
      <c r="BF10" s="200" t="str">
        <f>IF($B10&lt;1,"",AVERAGEIF('09월 에너지'!$F$14:$F$949,$A10,'09월 에너지'!K18:K954))</f>
        <v/>
      </c>
      <c r="BG10" s="200" t="str">
        <f>IF($B10&lt;1,"",AVERAGEIF('09월 에너지'!$F$14:$F$949,$A10,'09월 에너지'!L18:L954))</f>
        <v/>
      </c>
      <c r="BH10" s="200" t="str">
        <f>IF($B10&lt;1,"",AVERAGEIF('09월 에너지'!$F$14:$F$949,$A10,'09월 에너지'!M18:M954))</f>
        <v/>
      </c>
      <c r="BI10" s="200" t="str">
        <f>IF($B10&lt;1,"",AVERAGEIF('09월 에너지'!$F$14:$F$949,$A10,'09월 에너지'!N18:N954))</f>
        <v/>
      </c>
      <c r="BJ10" s="200" t="str">
        <f>IF($B10&lt;1,"",AVERAGEIF('09월 에너지'!$F$14:$F$949,$A10,'09월 에너지'!O18:O954))</f>
        <v/>
      </c>
      <c r="BK10" s="200" t="str">
        <f>IF($B10&lt;1,"",AVERAGEIF('09월 에너지'!$F$14:$F$949,$A10,'09월 에너지'!P18:P954))</f>
        <v/>
      </c>
      <c r="BL10" s="200" t="str">
        <f>IF($B10&lt;1,"",AVERAGEIF('09월 에너지'!$F$14:$F$949,$A10,'09월 에너지'!Q18:Q954))</f>
        <v/>
      </c>
      <c r="BM10" s="200" t="str">
        <f>IF($B10&lt;1,"",AVERAGEIF('09월 에너지'!$F$14:$F$949,$A10,'09월 에너지'!R18:R954))</f>
        <v/>
      </c>
      <c r="BN10" s="200" t="str">
        <f>IF($B10&lt;1,"",AVERAGEIF('09월 에너지'!$F$14:$F$949,$A10,'09월 에너지'!S18:S954))</f>
        <v/>
      </c>
      <c r="BO10" s="200" t="str">
        <f>IF($B10&lt;1,"",AVERAGEIF('09월 에너지'!$F$14:$F$949,$A10,'09월 에너지'!T18:T954))</f>
        <v/>
      </c>
      <c r="BP10" s="200" t="str">
        <f>IF($B10&lt;1,"",AVERAGEIF('09월 에너지'!$F$14:$F$949,$A10,'09월 에너지'!U18:U954))</f>
        <v/>
      </c>
      <c r="BQ10" s="200" t="str">
        <f>IF($B10&lt;1,"",AVERAGEIF('09월 에너지'!$F$14:$F$949,$A10,'09월 에너지'!V18:V954))</f>
        <v/>
      </c>
      <c r="BR10" s="200" t="str">
        <f>IF($B10&lt;1,"",AVERAGEIF('09월 에너지'!$F$14:$F$949,$A10,'09월 에너지'!W18:W954))</f>
        <v/>
      </c>
      <c r="BS10" s="200" t="str">
        <f>IF($B10&lt;1,"",AVERAGEIF('09월 에너지'!$F$14:$F$949,$A10,'09월 에너지'!X18:X954))</f>
        <v/>
      </c>
      <c r="BT10" s="200" t="str">
        <f>IF($B10&lt;1,"",AVERAGEIF('09월 에너지'!$F$14:$F$949,$A10,'09월 에너지'!Y18:Y954))</f>
        <v/>
      </c>
      <c r="BU10" s="200" t="str">
        <f>IF($B10&lt;1,"",AVERAGEIF('09월 에너지'!$F$14:$F$949,$A10,'09월 에너지'!Z18:Z954))</f>
        <v/>
      </c>
      <c r="BV10" s="200" t="str">
        <f>IF($B10&lt;1,"",AVERAGEIF('09월 에너지'!$F$14:$F$949,$A10,'09월 에너지'!AA18:AA954))</f>
        <v/>
      </c>
      <c r="BW10" s="200" t="str">
        <f>IF($B10&lt;1,"",AVERAGEIF('09월 에너지'!$F$14:$F$949,$A10,'09월 에너지'!AB18:AB954))</f>
        <v/>
      </c>
      <c r="BX10" s="257" t="str">
        <f>IF($B10&lt;1,"",AVERAGEIF('09월 에너지'!$F$14:$F$949,$A10,'09월 에너지'!AC18:AC954))</f>
        <v/>
      </c>
      <c r="BY10" s="261" t="str">
        <f>IF($B10&lt;1,"",AVERAGEIF('09월 에너지'!$F$14:$F$949,$A10,'09월 에너지'!AD18:AD954))</f>
        <v/>
      </c>
      <c r="BZ10" s="262" t="str">
        <f>IF($B10&lt;1,"",AVERAGEIF('09월 에너지'!$F$14:$F$949,$A10,'09월 에너지'!AE18:AE954))</f>
        <v/>
      </c>
      <c r="CA10" s="249" t="str">
        <f>IF($B10&lt;1,"",AVERAGEIF('09월 에너지'!$F$14:$F$949,$A10,'09월 에너지'!AF18:AF954))</f>
        <v/>
      </c>
      <c r="CB10" s="200" t="str">
        <f>IF($B10&lt;1,"",AVERAGEIF('09월 에너지'!$F$14:$F$949,$A10,'09월 에너지'!AG18:AG954))</f>
        <v/>
      </c>
      <c r="CC10" s="200" t="str">
        <f>IF($B10&lt;1,"",AVERAGEIF('09월 에너지'!$F$14:$F$949,$A10,'09월 에너지'!AH18:AH954))</f>
        <v/>
      </c>
      <c r="CD10" s="200" t="str">
        <f>IF($B10&lt;1,"",AVERAGEIF('09월 에너지'!$F$14:$F$949,$A10,'09월 에너지'!AI18:AI954))</f>
        <v/>
      </c>
      <c r="CE10" s="206" t="str">
        <f>IF($B10&lt;1,"",AVERAGEIF('09월 에너지'!$F$14:$F$949,$A10,'09월 에너지'!AJ18:AJ954))</f>
        <v/>
      </c>
    </row>
    <row r="11" spans="1:83" ht="17.25" customHeight="1">
      <c r="A11" s="210" t="s">
        <v>110</v>
      </c>
      <c r="B11" s="243">
        <f>IF(A11="",0,COUNTIF('09월 화학성분'!$F$12:$F$949,$A11))</f>
        <v>240</v>
      </c>
      <c r="C11" s="240"/>
      <c r="D11" s="203"/>
      <c r="E11" s="203"/>
      <c r="F11" s="200">
        <f>IF($B11&lt;1,"",AVERAGEIF('09월 화학성분'!$F$12:$F$949,$A11,'09월 화학성분'!G$12:G$949))</f>
        <v>8.8874999999999993</v>
      </c>
      <c r="G11" s="200">
        <f>IF($B11&lt;1,"",AVERAGEIF('09월 화학성분'!$F$12:$F$949,$A11,'09월 화학성분'!H$12:H$949))</f>
        <v>20.579166666666666</v>
      </c>
      <c r="H11" s="200">
        <f>IF($B11&lt;1,"",AVERAGEIF('09월 화학성분'!$F$12:$F$949,$A11,'09월 화학성분'!I$12:I$949))</f>
        <v>52.55833333333333</v>
      </c>
      <c r="I11" s="200">
        <f>IF($B11&lt;1,"",AVERAGEIF('09월 화학성분'!$F$12:$F$949,$A11,'09월 화학성분'!J$12:J$949))</f>
        <v>15.2875</v>
      </c>
      <c r="J11" s="200">
        <f>IF($B11&lt;1,"",AVERAGEIF('09월 화학성분'!$F$12:$F$949,$A11,'09월 화학성분'!K$12:K$949))</f>
        <v>33.654166666666669</v>
      </c>
      <c r="K11" s="200">
        <f>IF($B11&lt;1,"",AVERAGEIF('09월 화학성분'!$F$12:$F$949,$A11,'09월 화학성분'!L$12:L$949))</f>
        <v>12.695833333333333</v>
      </c>
      <c r="L11" s="200">
        <f>IF($B11&lt;1,"",AVERAGEIF('09월 화학성분'!$F$12:$F$949,$A11,'09월 화학성분'!M$12:M$949))</f>
        <v>9.9625000000000004</v>
      </c>
      <c r="M11" s="208">
        <f>IF($B11&lt;1,"",AVERAGEIF('09월 화학성분'!$F$12:$F$949,$A11,'09월 화학성분'!N$12:N$949))</f>
        <v>430.70416666666665</v>
      </c>
      <c r="N11" s="208" t="e">
        <f>IF($B11&lt;1,"",AVERAGEIF('09월 화학성분'!$F$12:$F$949,$A11,'09월 화학성분'!O$12:O$949))</f>
        <v>#DIV/0!</v>
      </c>
      <c r="O11" s="208">
        <f>IF($B11&lt;1,"",AVERAGEIF('09월 화학성분'!$F$12:$F$949,$A11,'09월 화학성분'!P$12:P$949))</f>
        <v>1011.5708333333333</v>
      </c>
      <c r="P11" s="208">
        <f>IF($B11&lt;1,"",AVERAGEIF('09월 화학성분'!$F$12:$F$949,$A11,'09월 화학성분'!Q$12:Q$949))</f>
        <v>969.625</v>
      </c>
      <c r="Q11" s="208" t="e">
        <f>IF($B11&lt;1,"",AVERAGEIF('09월 화학성분'!$F$12:$F$949,$A11,'09월 화학성분'!R$12:R$949))</f>
        <v>#DIV/0!</v>
      </c>
      <c r="R11" s="208" t="e">
        <f>IF($B11&lt;1,"",AVERAGEIF('09월 화학성분'!$F$12:$F$949,$A11,'09월 화학성분'!U$12:U$949))</f>
        <v>#DIV/0!</v>
      </c>
      <c r="S11" s="208">
        <f>IF($B11&lt;1,"",AVERAGEIF('09월 화학성분'!$F$12:$F$949,$A11,'09월 화학성분'!V$12:V$949))</f>
        <v>435.79411764705884</v>
      </c>
      <c r="T11" s="208" t="e">
        <f>IF($B11&lt;1,"",AVERAGEIF('09월 화학성분'!$F$12:$F$949,$A11,'09월 화학성분'!W$12:W$949))</f>
        <v>#DIV/0!</v>
      </c>
      <c r="U11" s="208">
        <f>IF($B11&lt;1,"",AVERAGEIF('09월 화학성분'!$F$12:$F$949,$A11,'09월 화학성분'!X$12:X$949))</f>
        <v>983.69747899159665</v>
      </c>
      <c r="V11" s="208" t="e">
        <f>IF($B11&lt;1,"",AVERAGEIF('09월 화학성분'!$F$12:$F$949,$A11,'09월 화학성분'!#REF!))</f>
        <v>#REF!</v>
      </c>
      <c r="W11" s="208">
        <f>IF($B11&lt;1,"",AVERAGEIF('09월 화학성분'!$F$12:$F$949,$A11,'09월 화학성분'!AB$12:AB$949))</f>
        <v>0</v>
      </c>
      <c r="X11" s="208" t="e">
        <f>IF($B11&lt;1,"",AVERAGEIF('09월 화학성분'!$F$12:$F$949,$A11,'09월 화학성분'!AC$12:AC$949))</f>
        <v>#DIV/0!</v>
      </c>
      <c r="Y11" s="208">
        <f>IF($B11&lt;1,"",AVERAGEIF('09월 화학성분'!$F$12:$F$949,$A11,'09월 화학성분'!AD$12:AD$949))</f>
        <v>267.02941176470586</v>
      </c>
      <c r="Z11" s="208">
        <f>IF($B11&lt;1,"",AVERAGEIF('09월 화학성분'!$F$12:$F$949,$A11,'09월 화학성분'!AF$12:AF$949))</f>
        <v>0</v>
      </c>
      <c r="AA11" s="208">
        <f>IF($B11&lt;1,"",AVERAGEIF('09월 화학성분'!$F$12:$F$949,$A11,'09월 화학성분'!AG$12:AG$949))</f>
        <v>106.79746835443038</v>
      </c>
      <c r="AB11" s="208">
        <f>IF($B11&lt;1,"",AVERAGEIF('09월 화학성분'!$F$12:$F$949,$A11,'09월 화학성분'!AH$12:AH$949))</f>
        <v>809.9083333333333</v>
      </c>
      <c r="AC11" s="208">
        <f>IF($B11&lt;1,"",AVERAGEIF('09월 화학성분'!$F$12:$F$949,$A11,'09월 화학성분'!AI$12:AI$949))</f>
        <v>349.27083333333331</v>
      </c>
      <c r="AD11" s="208">
        <f>IF($B11&lt;1,"",AVERAGEIF('09월 화학성분'!$F$12:$F$949,$A11,'09월 화학성분'!AJ$12:AJ$949))</f>
        <v>77.87394957983193</v>
      </c>
      <c r="AE11" s="208">
        <f>IF($B11&lt;1,"",AVERAGEIF('09월 화학성분'!$F$12:$F$949,$A11,'09월 화학성분'!AL$12:AL$949))</f>
        <v>124.15021459227468</v>
      </c>
      <c r="AF11" s="208">
        <f>IF($B11&lt;1,"",AVERAGEIF('09월 화학성분'!$F$12:$F$949,$A11,'09월 화학성분'!AM$12:AM$949))</f>
        <v>2032.9375</v>
      </c>
      <c r="AG11" s="207">
        <f>IF($B11&lt;1,"",AVERAGEIF('09월 화학성분'!$F$12:$F$949,$A11,'09월 화학성분'!AN$12:AN$949))</f>
        <v>0.77741601131017113</v>
      </c>
      <c r="AH11" s="207">
        <f>IF($B11&lt;1,"",AVERAGEIF('09월 화학성분'!$F$12:$F$949,$A11,'09월 화학성분'!AO$12:AO$949))</f>
        <v>0.97165488437997494</v>
      </c>
      <c r="AI11" s="200">
        <f>IF($B11&lt;1,"",AVERAGEIF('09월 화학성분'!$F$12:$F$949,$A11,'09월 화학성분'!AP$12:AP$949))</f>
        <v>142.73666666666665</v>
      </c>
      <c r="AJ11" s="217">
        <f>IF($B11&lt;1,"",AVERAGEIF('09월 고철장입'!$F$14:$F$949,$A11,'09월 고철장입'!G$14:G$949))</f>
        <v>0</v>
      </c>
      <c r="AK11" s="217">
        <f>IF($B11&lt;1,"",AVERAGEIF('09월 고철장입'!$F$14:$F$949,$A11,'09월 고철장입'!H$14:H$949))</f>
        <v>0</v>
      </c>
      <c r="AL11" s="217">
        <f>IF($B11&lt;1,"",AVERAGEIF('09월 고철장입'!$F$14:$F$949,$A11,'09월 고철장입'!I$14:I$949))</f>
        <v>14146.728971962617</v>
      </c>
      <c r="AM11" s="217">
        <f>IF($B11&lt;1,"",AVERAGEIF('09월 고철장입'!$F$14:$F$949,$A11,'09월 고철장입'!J$14:J$949))</f>
        <v>0</v>
      </c>
      <c r="AN11" s="217">
        <f>IF($B11&lt;1,"",AVERAGEIF('09월 고철장입'!$F$14:$F$949,$A11,'09월 고철장입'!L$14:L$949))</f>
        <v>0</v>
      </c>
      <c r="AO11" s="217">
        <f>IF($B11&lt;1,"",AVERAGEIF('09월 고철장입'!$F$14:$F$949,$A11,'09월 고철장입'!O$14:O$949))</f>
        <v>14416.190476190477</v>
      </c>
      <c r="AP11" s="214">
        <f>IF($B11&lt;1,"",AVERAGEIF('09월 고철장입'!$F$14:$F$949,$A11,'09월 고철장입'!P$14:P$949))</f>
        <v>47794.166666666664</v>
      </c>
      <c r="AQ11" s="214">
        <f>IF($B11&lt;1,"",AVERAGEIF('09월 고철장입'!$F$14:$F$949,$A11,'09월 고철장입'!Q$14:Q$949))</f>
        <v>16870.833333333332</v>
      </c>
      <c r="AR11" s="214">
        <f>IF($B11&lt;1,"",AVERAGEIF('09월 고철장입'!$F$14:$F$949,$A11,'09월 고철장입'!S$14:S$949))</f>
        <v>0</v>
      </c>
      <c r="AS11" s="214">
        <f>IF($B11&lt;1,"",AVERAGEIF('09월 고철장입'!$F$14:$F$949,$A11,'09월 고철장입'!AD$14:AD$949))</f>
        <v>3105.864864864865</v>
      </c>
      <c r="AT11" s="214">
        <f>IF($B11&lt;1,"",AVERAGEIF('09월 고철장입'!$F$14:$F$949,$A11,'09월 고철장입'!AE$14:AE$949))</f>
        <v>133007.09166666667</v>
      </c>
      <c r="AU11" s="217">
        <f>IF($B11&lt;1,"",AVERAGEIF('09월 고철장입'!$F$14:$F$949,$A11,'09월 고철장입'!AF$14:AF$949))</f>
        <v>3937.8260869565215</v>
      </c>
      <c r="AV11" s="217">
        <f>IF($B11&lt;1,"",AVERAGEIF('09월 고철장입'!$F$14:$F$949,$A11,'09월 고철장입'!AG$14:AG$949))</f>
        <v>9123.4309623430963</v>
      </c>
      <c r="AW11" s="217">
        <f>IF($B11&lt;1,"",AVERAGEIF('09월 고철장입'!$F$14:$F$949,$A11,'09월 고철장입'!AH$14:AH$949))</f>
        <v>5098.3050847457625</v>
      </c>
      <c r="AX11" s="217">
        <f>IF($B11&lt;1,"",AVERAGEIF('09월 고철장입'!$F$14:$F$949,$A11,'09월 고철장입'!AI$14:AI$949))</f>
        <v>17872.5</v>
      </c>
      <c r="AY11" s="248">
        <f>IF($B11&lt;1,"",AVERAGEIF('09월 고철장입'!$F$14:$F$949,$A11,'09월 고철장입'!AJ$14:AJ$949)/1000)</f>
        <v>157.18667499999998</v>
      </c>
      <c r="AZ11" s="250">
        <f>IF($B11&lt;1,"",AVERAGEIF('09월 고철장입'!$F$14:$F$949,$A11,'09월 고철장입'!AK$14:AK$949))</f>
        <v>142.73666666666665</v>
      </c>
      <c r="BA11" s="253">
        <f>IF($B11&lt;1,"",AVERAGEIF('09월 고철장입'!$F$14:$F$949,$A11,'09월 고철장입'!AL$14:AL$949))</f>
        <v>0.90975291390621515</v>
      </c>
      <c r="BB11" s="200">
        <f>IF($B11&lt;1,"",AVERAGEIF('09월 에너지'!$F$14:$F$949,$A11,'09월 에너지'!G19:G955))</f>
        <v>19.439148936170223</v>
      </c>
      <c r="BC11" s="200">
        <f>IF($B11&lt;1,"",AVERAGEIF('09월 에너지'!$F$14:$F$949,$A11,'09월 에너지'!H19:H955))</f>
        <v>23145.361702127659</v>
      </c>
      <c r="BD11" s="200">
        <f>IF($B11&lt;1,"",AVERAGEIF('09월 에너지'!$F$14:$F$949,$A11,'09월 에너지'!I19:I955))</f>
        <v>16.68000000000001</v>
      </c>
      <c r="BE11" s="200">
        <f>IF($B11&lt;1,"",AVERAGEIF('09월 에너지'!$F$14:$F$949,$A11,'09월 에너지'!J19:J955))</f>
        <v>20506.382978723403</v>
      </c>
      <c r="BF11" s="200">
        <f>IF($B11&lt;1,"",AVERAGEIF('09월 에너지'!$F$14:$F$949,$A11,'09월 에너지'!K19:K955))</f>
        <v>9.7221276595744754</v>
      </c>
      <c r="BG11" s="200">
        <f>IF($B11&lt;1,"",AVERAGEIF('09월 에너지'!$F$14:$F$949,$A11,'09월 에너지'!L19:L955))</f>
        <v>12368.936170212766</v>
      </c>
      <c r="BH11" s="200">
        <f>IF($B11&lt;1,"",AVERAGEIF('09월 에너지'!$F$14:$F$949,$A11,'09월 에너지'!M19:M955))</f>
        <v>45.841276595744674</v>
      </c>
      <c r="BI11" s="200">
        <f>IF($B11&lt;1,"",AVERAGEIF('09월 에너지'!$F$14:$F$949,$A11,'09월 에너지'!N19:N955))</f>
        <v>56020.680851063829</v>
      </c>
      <c r="BJ11" s="200">
        <f>IF($B11&lt;1,"",AVERAGEIF('09월 에너지'!$F$14:$F$949,$A11,'09월 에너지'!O19:O955))</f>
        <v>161.59757395349888</v>
      </c>
      <c r="BK11" s="200">
        <f>IF($B11&lt;1,"",AVERAGEIF('09월 에너지'!$F$14:$F$949,$A11,'09월 에너지'!P19:P955))</f>
        <v>142.78583616723884</v>
      </c>
      <c r="BL11" s="200">
        <f>IF($B11&lt;1,"",AVERAGEIF('09월 에너지'!$F$14:$F$949,$A11,'09월 에너지'!Q19:Q955))</f>
        <v>86.353613290247196</v>
      </c>
      <c r="BM11" s="200">
        <f>IF($B11&lt;1,"",AVERAGEIF('09월 에너지'!$F$14:$F$949,$A11,'09월 에너지'!R19:R955))</f>
        <v>390.73702341098476</v>
      </c>
      <c r="BN11" s="200">
        <f>IF($B11&lt;1,"",AVERAGEIF('09월 에너지'!$F$14:$F$949,$A11,'09월 에너지'!S19:S955))</f>
        <v>143.4242553191489</v>
      </c>
      <c r="BO11" s="200">
        <f>IF($B11&lt;1,"",AVERAGEIF('09월 에너지'!$F$14:$F$949,$A11,'09월 에너지'!T19:T955))</f>
        <v>4.6808510638297871E-2</v>
      </c>
      <c r="BP11" s="200">
        <f>IF($B11&lt;1,"",AVERAGEIF('09월 에너지'!$F$14:$F$949,$A11,'09월 에너지'!U19:U955))</f>
        <v>73.59401709401709</v>
      </c>
      <c r="BQ11" s="200">
        <f>IF($B11&lt;1,"",AVERAGEIF('09월 에너지'!$F$14:$F$949,$A11,'09월 에너지'!V19:V955))</f>
        <v>284.74893617021274</v>
      </c>
      <c r="BR11" s="200">
        <f>IF($B11&lt;1,"",AVERAGEIF('09월 에너지'!$F$14:$F$949,$A11,'09월 에너지'!W19:W955))</f>
        <v>358.07659574468084</v>
      </c>
      <c r="BS11" s="200">
        <f>IF($B11&lt;1,"",AVERAGEIF('09월 에너지'!$F$14:$F$949,$A11,'09월 에너지'!X19:X955))</f>
        <v>2.4988125144393893</v>
      </c>
      <c r="BT11" s="200">
        <f>IF($B11&lt;1,"",AVERAGEIF('09월 에너지'!$F$14:$F$949,$A11,'09월 에너지'!Y19:Y955))</f>
        <v>1589.1063829787233</v>
      </c>
      <c r="BU11" s="200">
        <f>IF($B11&lt;1,"",AVERAGEIF('09월 에너지'!$F$14:$F$949,$A11,'09월 에너지'!Z19:Z955))</f>
        <v>1384.1702127659576</v>
      </c>
      <c r="BV11" s="200">
        <f>IF($B11&lt;1,"",AVERAGEIF('09월 에너지'!$F$14:$F$949,$A11,'09월 에너지'!AA19:AA955))</f>
        <v>822.36595744680847</v>
      </c>
      <c r="BW11" s="200">
        <f>IF($B11&lt;1,"",AVERAGEIF('09월 에너지'!$F$14:$F$949,$A11,'09월 에너지'!AB19:AB955))</f>
        <v>3795.6425531914892</v>
      </c>
      <c r="BX11" s="257">
        <f>IF($B11&lt;1,"",AVERAGEIF('09월 에너지'!$F$14:$F$949,$A11,'09월 에너지'!AC19:AC955))</f>
        <v>26.477058941055656</v>
      </c>
      <c r="BY11" s="261">
        <f>IF($B11&lt;1,"",AVERAGEIF('09월 에너지'!$F$14:$F$949,$A11,'09월 에너지'!AD19:AD955))</f>
        <v>4153.7191489361703</v>
      </c>
      <c r="BZ11" s="262">
        <f>IF($B11&lt;1,"",AVERAGEIF('09월 에너지'!$F$14:$F$949,$A11,'09월 에너지'!AE19:AE955))</f>
        <v>28.975871455495039</v>
      </c>
      <c r="CA11" s="249">
        <f>IF($B11&lt;1,"",AVERAGEIF('09월 에너지'!$F$14:$F$949,$A11,'09월 에너지'!AF19:AF955))</f>
        <v>80.293617021276589</v>
      </c>
      <c r="CB11" s="200">
        <f>IF($B11&lt;1,"",AVERAGEIF('09월 에너지'!$F$14:$F$949,$A11,'09월 에너지'!AG19:AG955))</f>
        <v>62.893617021276597</v>
      </c>
      <c r="CC11" s="200">
        <f>IF($B11&lt;1,"",AVERAGEIF('09월 에너지'!$F$14:$F$949,$A11,'09월 에너지'!AH19:AH955))</f>
        <v>8.3531914893617021</v>
      </c>
      <c r="CD11" s="200">
        <f>IF($B11&lt;1,"",AVERAGEIF('09월 에너지'!$F$14:$F$949,$A11,'09월 에너지'!AI19:AI955))</f>
        <v>151.54042553191491</v>
      </c>
      <c r="CE11" s="206">
        <f>IF($B11&lt;1,"",AVERAGEIF('09월 에너지'!$F$14:$F$949,$A11,'09월 에너지'!AJ19:AJ955))</f>
        <v>1.0565869266183665</v>
      </c>
    </row>
    <row r="12" spans="1:83" ht="17.25" customHeight="1">
      <c r="A12" s="210"/>
      <c r="B12" s="243">
        <f>IF(A12="",0,COUNTIF('09월 화학성분'!$F$12:$F$949,$A12))</f>
        <v>0</v>
      </c>
      <c r="C12" s="240"/>
      <c r="D12" s="203"/>
      <c r="E12" s="203"/>
      <c r="F12" s="200" t="str">
        <f>IF($B12&lt;1,"",AVERAGEIF('09월 화학성분'!$F$12:$F$949,$A12,'09월 화학성분'!G$12:G$949))</f>
        <v/>
      </c>
      <c r="G12" s="200" t="str">
        <f>IF($B12&lt;1,"",AVERAGEIF('09월 화학성분'!$F$12:$F$949,$A12,'09월 화학성분'!H$12:H$949))</f>
        <v/>
      </c>
      <c r="H12" s="200" t="str">
        <f>IF($B12&lt;1,"",AVERAGEIF('09월 화학성분'!$F$12:$F$949,$A12,'09월 화학성분'!I$12:I$949))</f>
        <v/>
      </c>
      <c r="I12" s="200" t="str">
        <f>IF($B12&lt;1,"",AVERAGEIF('09월 화학성분'!$F$12:$F$949,$A12,'09월 화학성분'!J$12:J$949))</f>
        <v/>
      </c>
      <c r="J12" s="200" t="str">
        <f>IF($B12&lt;1,"",AVERAGEIF('09월 화학성분'!$F$12:$F$949,$A12,'09월 화학성분'!K$12:K$949))</f>
        <v/>
      </c>
      <c r="K12" s="200" t="str">
        <f>IF($B12&lt;1,"",AVERAGEIF('09월 화학성분'!$F$12:$F$949,$A12,'09월 화학성분'!L$12:L$949))</f>
        <v/>
      </c>
      <c r="L12" s="200" t="str">
        <f>IF($B12&lt;1,"",AVERAGEIF('09월 화학성분'!$F$12:$F$949,$A12,'09월 화학성분'!M$12:M$949))</f>
        <v/>
      </c>
      <c r="M12" s="208" t="str">
        <f>IF($B12&lt;1,"",AVERAGEIF('09월 화학성분'!$F$12:$F$949,$A12,'09월 화학성분'!N$12:N$949))</f>
        <v/>
      </c>
      <c r="N12" s="208" t="str">
        <f>IF($B12&lt;1,"",AVERAGEIF('09월 화학성분'!$F$12:$F$949,$A12,'09월 화학성분'!O$12:O$949))</f>
        <v/>
      </c>
      <c r="O12" s="208" t="str">
        <f>IF($B12&lt;1,"",AVERAGEIF('09월 화학성분'!$F$12:$F$949,$A12,'09월 화학성분'!P$12:P$949))</f>
        <v/>
      </c>
      <c r="P12" s="208" t="str">
        <f>IF($B12&lt;1,"",AVERAGEIF('09월 화학성분'!$F$12:$F$949,$A12,'09월 화학성분'!Q$12:Q$949))</f>
        <v/>
      </c>
      <c r="Q12" s="208" t="str">
        <f>IF($B12&lt;1,"",AVERAGEIF('09월 화학성분'!$F$12:$F$949,$A12,'09월 화학성분'!R$12:R$949))</f>
        <v/>
      </c>
      <c r="R12" s="208" t="str">
        <f>IF($B12&lt;1,"",AVERAGEIF('09월 화학성분'!$F$12:$F$949,$A12,'09월 화학성분'!U$12:U$949))</f>
        <v/>
      </c>
      <c r="S12" s="208" t="str">
        <f>IF($B12&lt;1,"",AVERAGEIF('09월 화학성분'!$F$12:$F$949,$A12,'09월 화학성분'!V$12:V$949))</f>
        <v/>
      </c>
      <c r="T12" s="208" t="str">
        <f>IF($B12&lt;1,"",AVERAGEIF('09월 화학성분'!$F$12:$F$949,$A12,'09월 화학성분'!W$12:W$949))</f>
        <v/>
      </c>
      <c r="U12" s="208" t="str">
        <f>IF($B12&lt;1,"",AVERAGEIF('09월 화학성분'!$F$12:$F$949,$A12,'09월 화학성분'!X$12:X$949))</f>
        <v/>
      </c>
      <c r="V12" s="208" t="str">
        <f>IF($B12&lt;1,"",AVERAGEIF('09월 화학성분'!$F$12:$F$949,$A12,'09월 화학성분'!#REF!))</f>
        <v/>
      </c>
      <c r="W12" s="208" t="str">
        <f>IF($B12&lt;1,"",AVERAGEIF('09월 화학성분'!$F$12:$F$949,$A12,'09월 화학성분'!AB$12:AB$949))</f>
        <v/>
      </c>
      <c r="X12" s="208" t="str">
        <f>IF($B12&lt;1,"",AVERAGEIF('09월 화학성분'!$F$12:$F$949,$A12,'09월 화학성분'!AC$12:AC$949))</f>
        <v/>
      </c>
      <c r="Y12" s="208" t="str">
        <f>IF($B12&lt;1,"",AVERAGEIF('09월 화학성분'!$F$12:$F$949,$A12,'09월 화학성분'!AD$12:AD$949))</f>
        <v/>
      </c>
      <c r="Z12" s="208" t="str">
        <f>IF($B12&lt;1,"",AVERAGEIF('09월 화학성분'!$F$12:$F$949,$A12,'09월 화학성분'!AF$12:AF$949))</f>
        <v/>
      </c>
      <c r="AA12" s="208" t="str">
        <f>IF($B12&lt;1,"",AVERAGEIF('09월 화학성분'!$F$12:$F$949,$A12,'09월 화학성분'!AG$12:AG$949))</f>
        <v/>
      </c>
      <c r="AB12" s="208" t="str">
        <f>IF($B12&lt;1,"",AVERAGEIF('09월 화학성분'!$F$12:$F$949,$A12,'09월 화학성분'!AH$12:AH$949))</f>
        <v/>
      </c>
      <c r="AC12" s="208" t="str">
        <f>IF($B12&lt;1,"",AVERAGEIF('09월 화학성분'!$F$12:$F$949,$A12,'09월 화학성분'!AI$12:AI$949))</f>
        <v/>
      </c>
      <c r="AD12" s="208" t="str">
        <f>IF($B12&lt;1,"",AVERAGEIF('09월 화학성분'!$F$12:$F$949,$A12,'09월 화학성분'!AJ$12:AJ$949))</f>
        <v/>
      </c>
      <c r="AE12" s="208" t="str">
        <f>IF($B12&lt;1,"",AVERAGEIF('09월 화학성분'!$F$12:$F$949,$A12,'09월 화학성분'!AL$12:AL$949))</f>
        <v/>
      </c>
      <c r="AF12" s="208" t="str">
        <f>IF($B12&lt;1,"",AVERAGEIF('09월 화학성분'!$F$12:$F$949,$A12,'09월 화학성분'!AM$12:AM$949))</f>
        <v/>
      </c>
      <c r="AG12" s="207" t="str">
        <f>IF($B12&lt;1,"",AVERAGEIF('09월 화학성분'!$F$12:$F$949,$A12,'09월 화학성분'!AN$12:AN$949))</f>
        <v/>
      </c>
      <c r="AH12" s="207" t="str">
        <f>IF($B12&lt;1,"",AVERAGEIF('09월 화학성분'!$F$12:$F$949,$A12,'09월 화학성분'!AO$12:AO$949))</f>
        <v/>
      </c>
      <c r="AI12" s="200" t="str">
        <f>IF($B12&lt;1,"",AVERAGEIF('09월 화학성분'!$F$12:$F$949,$A12,'09월 화학성분'!AP$12:AP$949))</f>
        <v/>
      </c>
      <c r="AJ12" s="217" t="str">
        <f>IF($B12&lt;1,"",AVERAGEIF('09월 고철장입'!$F$14:$F$949,$A12,'09월 고철장입'!G$14:G$949))</f>
        <v/>
      </c>
      <c r="AK12" s="217" t="str">
        <f>IF($B12&lt;1,"",AVERAGEIF('09월 고철장입'!$F$14:$F$949,$A12,'09월 고철장입'!H$14:H$949))</f>
        <v/>
      </c>
      <c r="AL12" s="217" t="str">
        <f>IF($B12&lt;1,"",AVERAGEIF('09월 고철장입'!$F$14:$F$949,$A12,'09월 고철장입'!I$14:I$949))</f>
        <v/>
      </c>
      <c r="AM12" s="217" t="str">
        <f>IF($B12&lt;1,"",AVERAGEIF('09월 고철장입'!$F$14:$F$949,$A12,'09월 고철장입'!J$14:J$949))</f>
        <v/>
      </c>
      <c r="AN12" s="217" t="str">
        <f>IF($B12&lt;1,"",AVERAGEIF('09월 고철장입'!$F$14:$F$949,$A12,'09월 고철장입'!L$14:L$949))</f>
        <v/>
      </c>
      <c r="AO12" s="217" t="str">
        <f>IF($B12&lt;1,"",AVERAGEIF('09월 고철장입'!$F$14:$F$949,$A12,'09월 고철장입'!O$14:O$949))</f>
        <v/>
      </c>
      <c r="AP12" s="214" t="str">
        <f>IF($B12&lt;1,"",AVERAGEIF('09월 고철장입'!$F$14:$F$949,$A12,'09월 고철장입'!P$14:P$949))</f>
        <v/>
      </c>
      <c r="AQ12" s="214" t="str">
        <f>IF($B12&lt;1,"",AVERAGEIF('09월 고철장입'!$F$14:$F$949,$A12,'09월 고철장입'!Q$14:Q$949))</f>
        <v/>
      </c>
      <c r="AR12" s="214" t="str">
        <f>IF($B12&lt;1,"",AVERAGEIF('09월 고철장입'!$F$14:$F$949,$A12,'09월 고철장입'!S$14:S$949))</f>
        <v/>
      </c>
      <c r="AS12" s="214" t="str">
        <f>IF($B12&lt;1,"",AVERAGEIF('09월 고철장입'!$F$14:$F$949,$A12,'09월 고철장입'!AD$14:AD$949))</f>
        <v/>
      </c>
      <c r="AT12" s="214" t="str">
        <f>IF($B12&lt;1,"",AVERAGEIF('09월 고철장입'!$F$14:$F$949,$A12,'09월 고철장입'!AE$14:AE$949))</f>
        <v/>
      </c>
      <c r="AU12" s="217" t="str">
        <f>IF($B12&lt;1,"",AVERAGEIF('09월 고철장입'!$F$14:$F$949,$A12,'09월 고철장입'!AF$14:AF$949))</f>
        <v/>
      </c>
      <c r="AV12" s="217" t="str">
        <f>IF($B12&lt;1,"",AVERAGEIF('09월 고철장입'!$F$14:$F$949,$A12,'09월 고철장입'!AG$14:AG$949))</f>
        <v/>
      </c>
      <c r="AW12" s="217" t="str">
        <f>IF($B12&lt;1,"",AVERAGEIF('09월 고철장입'!$F$14:$F$949,$A12,'09월 고철장입'!AH$14:AH$949))</f>
        <v/>
      </c>
      <c r="AX12" s="217" t="str">
        <f>IF($B12&lt;1,"",AVERAGEIF('09월 고철장입'!$F$14:$F$949,$A12,'09월 고철장입'!AI$14:AI$949))</f>
        <v/>
      </c>
      <c r="AY12" s="248" t="str">
        <f>IF($B12&lt;1,"",AVERAGEIF('09월 고철장입'!$F$14:$F$949,$A12,'09월 고철장입'!AJ$14:AJ$949)/1000)</f>
        <v/>
      </c>
      <c r="AZ12" s="250" t="str">
        <f>IF($B12&lt;1,"",AVERAGEIF('09월 고철장입'!$F$14:$F$949,$A12,'09월 고철장입'!AK$14:AK$949))</f>
        <v/>
      </c>
      <c r="BA12" s="253" t="str">
        <f>IF($B12&lt;1,"",AVERAGEIF('09월 고철장입'!$F$14:$F$949,$A12,'09월 고철장입'!AL$14:AL$949))</f>
        <v/>
      </c>
      <c r="BB12" s="200" t="str">
        <f>IF($B12&lt;1,"",AVERAGEIF('09월 에너지'!$F$14:$F$949,$A12,'09월 에너지'!G20:G956))</f>
        <v/>
      </c>
      <c r="BC12" s="200" t="str">
        <f>IF($B12&lt;1,"",AVERAGEIF('09월 에너지'!$F$14:$F$949,$A12,'09월 에너지'!H20:H956))</f>
        <v/>
      </c>
      <c r="BD12" s="200" t="str">
        <f>IF($B12&lt;1,"",AVERAGEIF('09월 에너지'!$F$14:$F$949,$A12,'09월 에너지'!I20:I956))</f>
        <v/>
      </c>
      <c r="BE12" s="200" t="str">
        <f>IF($B12&lt;1,"",AVERAGEIF('09월 에너지'!$F$14:$F$949,$A12,'09월 에너지'!J20:J956))</f>
        <v/>
      </c>
      <c r="BF12" s="200" t="str">
        <f>IF($B12&lt;1,"",AVERAGEIF('09월 에너지'!$F$14:$F$949,$A12,'09월 에너지'!K20:K956))</f>
        <v/>
      </c>
      <c r="BG12" s="200" t="str">
        <f>IF($B12&lt;1,"",AVERAGEIF('09월 에너지'!$F$14:$F$949,$A12,'09월 에너지'!L20:L956))</f>
        <v/>
      </c>
      <c r="BH12" s="200" t="str">
        <f>IF($B12&lt;1,"",AVERAGEIF('09월 에너지'!$F$14:$F$949,$A12,'09월 에너지'!M20:M956))</f>
        <v/>
      </c>
      <c r="BI12" s="200" t="str">
        <f>IF($B12&lt;1,"",AVERAGEIF('09월 에너지'!$F$14:$F$949,$A12,'09월 에너지'!N20:N956))</f>
        <v/>
      </c>
      <c r="BJ12" s="200" t="str">
        <f>IF($B12&lt;1,"",AVERAGEIF('09월 에너지'!$F$14:$F$949,$A12,'09월 에너지'!O20:O956))</f>
        <v/>
      </c>
      <c r="BK12" s="200" t="str">
        <f>IF($B12&lt;1,"",AVERAGEIF('09월 에너지'!$F$14:$F$949,$A12,'09월 에너지'!P20:P956))</f>
        <v/>
      </c>
      <c r="BL12" s="200" t="str">
        <f>IF($B12&lt;1,"",AVERAGEIF('09월 에너지'!$F$14:$F$949,$A12,'09월 에너지'!Q20:Q956))</f>
        <v/>
      </c>
      <c r="BM12" s="200" t="str">
        <f>IF($B12&lt;1,"",AVERAGEIF('09월 에너지'!$F$14:$F$949,$A12,'09월 에너지'!R20:R956))</f>
        <v/>
      </c>
      <c r="BN12" s="200" t="str">
        <f>IF($B12&lt;1,"",AVERAGEIF('09월 에너지'!$F$14:$F$949,$A12,'09월 에너지'!S20:S956))</f>
        <v/>
      </c>
      <c r="BO12" s="200" t="str">
        <f>IF($B12&lt;1,"",AVERAGEIF('09월 에너지'!$F$14:$F$949,$A12,'09월 에너지'!T20:T956))</f>
        <v/>
      </c>
      <c r="BP12" s="200" t="str">
        <f>IF($B12&lt;1,"",AVERAGEIF('09월 에너지'!$F$14:$F$949,$A12,'09월 에너지'!U20:U956))</f>
        <v/>
      </c>
      <c r="BQ12" s="200" t="str">
        <f>IF($B12&lt;1,"",AVERAGEIF('09월 에너지'!$F$14:$F$949,$A12,'09월 에너지'!V20:V956))</f>
        <v/>
      </c>
      <c r="BR12" s="200" t="str">
        <f>IF($B12&lt;1,"",AVERAGEIF('09월 에너지'!$F$14:$F$949,$A12,'09월 에너지'!W20:W956))</f>
        <v/>
      </c>
      <c r="BS12" s="200" t="str">
        <f>IF($B12&lt;1,"",AVERAGEIF('09월 에너지'!$F$14:$F$949,$A12,'09월 에너지'!X20:X956))</f>
        <v/>
      </c>
      <c r="BT12" s="200" t="str">
        <f>IF($B12&lt;1,"",AVERAGEIF('09월 에너지'!$F$14:$F$949,$A12,'09월 에너지'!Y20:Y956))</f>
        <v/>
      </c>
      <c r="BU12" s="200" t="str">
        <f>IF($B12&lt;1,"",AVERAGEIF('09월 에너지'!$F$14:$F$949,$A12,'09월 에너지'!Z20:Z956))</f>
        <v/>
      </c>
      <c r="BV12" s="200" t="str">
        <f>IF($B12&lt;1,"",AVERAGEIF('09월 에너지'!$F$14:$F$949,$A12,'09월 에너지'!AA20:AA956))</f>
        <v/>
      </c>
      <c r="BW12" s="200" t="str">
        <f>IF($B12&lt;1,"",AVERAGEIF('09월 에너지'!$F$14:$F$949,$A12,'09월 에너지'!AB20:AB956))</f>
        <v/>
      </c>
      <c r="BX12" s="257" t="str">
        <f>IF($B12&lt;1,"",AVERAGEIF('09월 에너지'!$F$14:$F$949,$A12,'09월 에너지'!AC20:AC956))</f>
        <v/>
      </c>
      <c r="BY12" s="261" t="str">
        <f>IF($B12&lt;1,"",AVERAGEIF('09월 에너지'!$F$14:$F$949,$A12,'09월 에너지'!AD20:AD956))</f>
        <v/>
      </c>
      <c r="BZ12" s="262" t="str">
        <f>IF($B12&lt;1,"",AVERAGEIF('09월 에너지'!$F$14:$F$949,$A12,'09월 에너지'!AE20:AE956))</f>
        <v/>
      </c>
      <c r="CA12" s="249" t="str">
        <f>IF($B12&lt;1,"",AVERAGEIF('09월 에너지'!$F$14:$F$949,$A12,'09월 에너지'!AF20:AF956))</f>
        <v/>
      </c>
      <c r="CB12" s="200" t="str">
        <f>IF($B12&lt;1,"",AVERAGEIF('09월 에너지'!$F$14:$F$949,$A12,'09월 에너지'!AG20:AG956))</f>
        <v/>
      </c>
      <c r="CC12" s="200" t="str">
        <f>IF($B12&lt;1,"",AVERAGEIF('09월 에너지'!$F$14:$F$949,$A12,'09월 에너지'!AH20:AH956))</f>
        <v/>
      </c>
      <c r="CD12" s="200" t="str">
        <f>IF($B12&lt;1,"",AVERAGEIF('09월 에너지'!$F$14:$F$949,$A12,'09월 에너지'!AI20:AI956))</f>
        <v/>
      </c>
      <c r="CE12" s="206" t="str">
        <f>IF($B12&lt;1,"",AVERAGEIF('09월 에너지'!$F$14:$F$949,$A12,'09월 에너지'!AJ20:AJ956))</f>
        <v/>
      </c>
    </row>
    <row r="13" spans="1:83" ht="17.25" customHeight="1">
      <c r="A13" s="210"/>
      <c r="B13" s="243">
        <f>IF(A13="",0,COUNTIF('09월 화학성분'!$F$12:$F$949,$A13))</f>
        <v>0</v>
      </c>
      <c r="C13" s="240"/>
      <c r="D13" s="203"/>
      <c r="E13" s="203"/>
      <c r="F13" s="200" t="str">
        <f>IF($B13&lt;1,"",AVERAGEIF('09월 화학성분'!$F$12:$F$949,$A13,'09월 화학성분'!G$12:G$949))</f>
        <v/>
      </c>
      <c r="G13" s="200" t="str">
        <f>IF($B13&lt;1,"",AVERAGEIF('09월 화학성분'!$F$12:$F$949,$A13,'09월 화학성분'!H$12:H$949))</f>
        <v/>
      </c>
      <c r="H13" s="200" t="str">
        <f>IF($B13&lt;1,"",AVERAGEIF('09월 화학성분'!$F$12:$F$949,$A13,'09월 화학성분'!I$12:I$949))</f>
        <v/>
      </c>
      <c r="I13" s="200" t="str">
        <f>IF($B13&lt;1,"",AVERAGEIF('09월 화학성분'!$F$12:$F$949,$A13,'09월 화학성분'!J$12:J$949))</f>
        <v/>
      </c>
      <c r="J13" s="200" t="str">
        <f>IF($B13&lt;1,"",AVERAGEIF('09월 화학성분'!$F$12:$F$949,$A13,'09월 화학성분'!K$12:K$949))</f>
        <v/>
      </c>
      <c r="K13" s="200" t="str">
        <f>IF($B13&lt;1,"",AVERAGEIF('09월 화학성분'!$F$12:$F$949,$A13,'09월 화학성분'!L$12:L$949))</f>
        <v/>
      </c>
      <c r="L13" s="200" t="str">
        <f>IF($B13&lt;1,"",AVERAGEIF('09월 화학성분'!$F$12:$F$949,$A13,'09월 화학성분'!M$12:M$949))</f>
        <v/>
      </c>
      <c r="M13" s="208" t="str">
        <f>IF($B13&lt;1,"",AVERAGEIF('09월 화학성분'!$F$12:$F$949,$A13,'09월 화학성분'!N$12:N$949))</f>
        <v/>
      </c>
      <c r="N13" s="208" t="str">
        <f>IF($B13&lt;1,"",AVERAGEIF('09월 화학성분'!$F$12:$F$949,$A13,'09월 화학성분'!O$12:O$949))</f>
        <v/>
      </c>
      <c r="O13" s="208" t="str">
        <f>IF($B13&lt;1,"",AVERAGEIF('09월 화학성분'!$F$12:$F$949,$A13,'09월 화학성분'!P$12:P$949))</f>
        <v/>
      </c>
      <c r="P13" s="208" t="str">
        <f>IF($B13&lt;1,"",AVERAGEIF('09월 화학성분'!$F$12:$F$949,$A13,'09월 화학성분'!Q$12:Q$949))</f>
        <v/>
      </c>
      <c r="Q13" s="208" t="str">
        <f>IF($B13&lt;1,"",AVERAGEIF('09월 화학성분'!$F$12:$F$949,$A13,'09월 화학성분'!R$12:R$949))</f>
        <v/>
      </c>
      <c r="R13" s="208" t="str">
        <f>IF($B13&lt;1,"",AVERAGEIF('09월 화학성분'!$F$12:$F$949,$A13,'09월 화학성분'!U$12:U$949))</f>
        <v/>
      </c>
      <c r="S13" s="208" t="str">
        <f>IF($B13&lt;1,"",AVERAGEIF('09월 화학성분'!$F$12:$F$949,$A13,'09월 화학성분'!V$12:V$949))</f>
        <v/>
      </c>
      <c r="T13" s="208" t="str">
        <f>IF($B13&lt;1,"",AVERAGEIF('09월 화학성분'!$F$12:$F$949,$A13,'09월 화학성분'!W$12:W$949))</f>
        <v/>
      </c>
      <c r="U13" s="208" t="str">
        <f>IF($B13&lt;1,"",AVERAGEIF('09월 화학성분'!$F$12:$F$949,$A13,'09월 화학성분'!X$12:X$949))</f>
        <v/>
      </c>
      <c r="V13" s="208" t="str">
        <f>IF($B13&lt;1,"",AVERAGEIF('09월 화학성분'!$F$12:$F$949,$A13,'09월 화학성분'!#REF!))</f>
        <v/>
      </c>
      <c r="W13" s="208" t="str">
        <f>IF($B13&lt;1,"",AVERAGEIF('09월 화학성분'!$F$12:$F$949,$A13,'09월 화학성분'!AB$12:AB$949))</f>
        <v/>
      </c>
      <c r="X13" s="208" t="str">
        <f>IF($B13&lt;1,"",AVERAGEIF('09월 화학성분'!$F$12:$F$949,$A13,'09월 화학성분'!AC$12:AC$949))</f>
        <v/>
      </c>
      <c r="Y13" s="208" t="str">
        <f>IF($B13&lt;1,"",AVERAGEIF('09월 화학성분'!$F$12:$F$949,$A13,'09월 화학성분'!AD$12:AD$949))</f>
        <v/>
      </c>
      <c r="Z13" s="208" t="str">
        <f>IF($B13&lt;1,"",AVERAGEIF('09월 화학성분'!$F$12:$F$949,$A13,'09월 화학성분'!AF$12:AF$949))</f>
        <v/>
      </c>
      <c r="AA13" s="208" t="str">
        <f>IF($B13&lt;1,"",AVERAGEIF('09월 화학성분'!$F$12:$F$949,$A13,'09월 화학성분'!AG$12:AG$949))</f>
        <v/>
      </c>
      <c r="AB13" s="208" t="str">
        <f>IF($B13&lt;1,"",AVERAGEIF('09월 화학성분'!$F$12:$F$949,$A13,'09월 화학성분'!AH$12:AH$949))</f>
        <v/>
      </c>
      <c r="AC13" s="208" t="str">
        <f>IF($B13&lt;1,"",AVERAGEIF('09월 화학성분'!$F$12:$F$949,$A13,'09월 화학성분'!AI$12:AI$949))</f>
        <v/>
      </c>
      <c r="AD13" s="208" t="str">
        <f>IF($B13&lt;1,"",AVERAGEIF('09월 화학성분'!$F$12:$F$949,$A13,'09월 화학성분'!AJ$12:AJ$949))</f>
        <v/>
      </c>
      <c r="AE13" s="208" t="str">
        <f>IF($B13&lt;1,"",AVERAGEIF('09월 화학성분'!$F$12:$F$949,$A13,'09월 화학성분'!AL$12:AL$949))</f>
        <v/>
      </c>
      <c r="AF13" s="208" t="str">
        <f>IF($B13&lt;1,"",AVERAGEIF('09월 화학성분'!$F$12:$F$949,$A13,'09월 화학성분'!AM$12:AM$949))</f>
        <v/>
      </c>
      <c r="AG13" s="207" t="str">
        <f>IF($B13&lt;1,"",AVERAGEIF('09월 화학성분'!$F$12:$F$949,$A13,'09월 화학성분'!AN$12:AN$949))</f>
        <v/>
      </c>
      <c r="AH13" s="207" t="str">
        <f>IF($B13&lt;1,"",AVERAGEIF('09월 화학성분'!$F$12:$F$949,$A13,'09월 화학성분'!AO$12:AO$949))</f>
        <v/>
      </c>
      <c r="AI13" s="200" t="str">
        <f>IF($B13&lt;1,"",AVERAGEIF('09월 화학성분'!$F$12:$F$949,$A13,'09월 화학성분'!AP$12:AP$949))</f>
        <v/>
      </c>
      <c r="AJ13" s="217" t="str">
        <f>IF($B13&lt;1,"",AVERAGEIF('09월 고철장입'!$F$14:$F$949,$A13,'09월 고철장입'!G$14:G$949))</f>
        <v/>
      </c>
      <c r="AK13" s="217" t="str">
        <f>IF($B13&lt;1,"",AVERAGEIF('09월 고철장입'!$F$14:$F$949,$A13,'09월 고철장입'!H$14:H$949))</f>
        <v/>
      </c>
      <c r="AL13" s="217" t="str">
        <f>IF($B13&lt;1,"",AVERAGEIF('09월 고철장입'!$F$14:$F$949,$A13,'09월 고철장입'!I$14:I$949))</f>
        <v/>
      </c>
      <c r="AM13" s="217" t="str">
        <f>IF($B13&lt;1,"",AVERAGEIF('09월 고철장입'!$F$14:$F$949,$A13,'09월 고철장입'!J$14:J$949))</f>
        <v/>
      </c>
      <c r="AN13" s="217" t="str">
        <f>IF($B13&lt;1,"",AVERAGEIF('09월 고철장입'!$F$14:$F$949,$A13,'09월 고철장입'!L$14:L$949))</f>
        <v/>
      </c>
      <c r="AO13" s="217" t="str">
        <f>IF($B13&lt;1,"",AVERAGEIF('09월 고철장입'!$F$14:$F$949,$A13,'09월 고철장입'!O$14:O$949))</f>
        <v/>
      </c>
      <c r="AP13" s="214" t="str">
        <f>IF($B13&lt;1,"",AVERAGEIF('09월 고철장입'!$F$14:$F$949,$A13,'09월 고철장입'!P$14:P$949))</f>
        <v/>
      </c>
      <c r="AQ13" s="214" t="str">
        <f>IF($B13&lt;1,"",AVERAGEIF('09월 고철장입'!$F$14:$F$949,$A13,'09월 고철장입'!Q$14:Q$949))</f>
        <v/>
      </c>
      <c r="AR13" s="214" t="str">
        <f>IF($B13&lt;1,"",AVERAGEIF('09월 고철장입'!$F$14:$F$949,$A13,'09월 고철장입'!S$14:S$949))</f>
        <v/>
      </c>
      <c r="AS13" s="214" t="str">
        <f>IF($B13&lt;1,"",AVERAGEIF('09월 고철장입'!$F$14:$F$949,$A13,'09월 고철장입'!AD$14:AD$949))</f>
        <v/>
      </c>
      <c r="AT13" s="214" t="str">
        <f>IF($B13&lt;1,"",AVERAGEIF('09월 고철장입'!$F$14:$F$949,$A13,'09월 고철장입'!AE$14:AE$949))</f>
        <v/>
      </c>
      <c r="AU13" s="217" t="str">
        <f>IF($B13&lt;1,"",AVERAGEIF('09월 고철장입'!$F$14:$F$949,$A13,'09월 고철장입'!AF$14:AF$949))</f>
        <v/>
      </c>
      <c r="AV13" s="217" t="str">
        <f>IF($B13&lt;1,"",AVERAGEIF('09월 고철장입'!$F$14:$F$949,$A13,'09월 고철장입'!AG$14:AG$949))</f>
        <v/>
      </c>
      <c r="AW13" s="217" t="str">
        <f>IF($B13&lt;1,"",AVERAGEIF('09월 고철장입'!$F$14:$F$949,$A13,'09월 고철장입'!AH$14:AH$949))</f>
        <v/>
      </c>
      <c r="AX13" s="217" t="str">
        <f>IF($B13&lt;1,"",AVERAGEIF('09월 고철장입'!$F$14:$F$949,$A13,'09월 고철장입'!AI$14:AI$949))</f>
        <v/>
      </c>
      <c r="AY13" s="248" t="str">
        <f>IF($B13&lt;1,"",AVERAGEIF('09월 고철장입'!$F$14:$F$949,$A13,'09월 고철장입'!AJ$14:AJ$949)/1000)</f>
        <v/>
      </c>
      <c r="AZ13" s="250" t="str">
        <f>IF($B13&lt;1,"",AVERAGEIF('09월 고철장입'!$F$14:$F$949,$A13,'09월 고철장입'!AK$14:AK$949))</f>
        <v/>
      </c>
      <c r="BA13" s="253" t="str">
        <f>IF($B13&lt;1,"",AVERAGEIF('09월 고철장입'!$F$14:$F$949,$A13,'09월 고철장입'!AL$14:AL$949))</f>
        <v/>
      </c>
      <c r="BB13" s="200" t="str">
        <f>IF($B13&lt;1,"",AVERAGEIF('09월 에너지'!$F$14:$F$949,$A13,'09월 에너지'!G21:G957))</f>
        <v/>
      </c>
      <c r="BC13" s="200" t="str">
        <f>IF($B13&lt;1,"",AVERAGEIF('09월 에너지'!$F$14:$F$949,$A13,'09월 에너지'!H21:H957))</f>
        <v/>
      </c>
      <c r="BD13" s="200" t="str">
        <f>IF($B13&lt;1,"",AVERAGEIF('09월 에너지'!$F$14:$F$949,$A13,'09월 에너지'!I21:I957))</f>
        <v/>
      </c>
      <c r="BE13" s="200" t="str">
        <f>IF($B13&lt;1,"",AVERAGEIF('09월 에너지'!$F$14:$F$949,$A13,'09월 에너지'!J21:J957))</f>
        <v/>
      </c>
      <c r="BF13" s="200" t="str">
        <f>IF($B13&lt;1,"",AVERAGEIF('09월 에너지'!$F$14:$F$949,$A13,'09월 에너지'!K21:K957))</f>
        <v/>
      </c>
      <c r="BG13" s="200" t="str">
        <f>IF($B13&lt;1,"",AVERAGEIF('09월 에너지'!$F$14:$F$949,$A13,'09월 에너지'!L21:L957))</f>
        <v/>
      </c>
      <c r="BH13" s="200" t="str">
        <f>IF($B13&lt;1,"",AVERAGEIF('09월 에너지'!$F$14:$F$949,$A13,'09월 에너지'!M21:M957))</f>
        <v/>
      </c>
      <c r="BI13" s="200" t="str">
        <f>IF($B13&lt;1,"",AVERAGEIF('09월 에너지'!$F$14:$F$949,$A13,'09월 에너지'!N21:N957))</f>
        <v/>
      </c>
      <c r="BJ13" s="200" t="str">
        <f>IF($B13&lt;1,"",AVERAGEIF('09월 에너지'!$F$14:$F$949,$A13,'09월 에너지'!O21:O957))</f>
        <v/>
      </c>
      <c r="BK13" s="200" t="str">
        <f>IF($B13&lt;1,"",AVERAGEIF('09월 에너지'!$F$14:$F$949,$A13,'09월 에너지'!P21:P957))</f>
        <v/>
      </c>
      <c r="BL13" s="200" t="str">
        <f>IF($B13&lt;1,"",AVERAGEIF('09월 에너지'!$F$14:$F$949,$A13,'09월 에너지'!Q21:Q957))</f>
        <v/>
      </c>
      <c r="BM13" s="200" t="str">
        <f>IF($B13&lt;1,"",AVERAGEIF('09월 에너지'!$F$14:$F$949,$A13,'09월 에너지'!R21:R957))</f>
        <v/>
      </c>
      <c r="BN13" s="200" t="str">
        <f>IF($B13&lt;1,"",AVERAGEIF('09월 에너지'!$F$14:$F$949,$A13,'09월 에너지'!S21:S957))</f>
        <v/>
      </c>
      <c r="BO13" s="200" t="str">
        <f>IF($B13&lt;1,"",AVERAGEIF('09월 에너지'!$F$14:$F$949,$A13,'09월 에너지'!T21:T957))</f>
        <v/>
      </c>
      <c r="BP13" s="200" t="str">
        <f>IF($B13&lt;1,"",AVERAGEIF('09월 에너지'!$F$14:$F$949,$A13,'09월 에너지'!U21:U957))</f>
        <v/>
      </c>
      <c r="BQ13" s="200" t="str">
        <f>IF($B13&lt;1,"",AVERAGEIF('09월 에너지'!$F$14:$F$949,$A13,'09월 에너지'!V21:V957))</f>
        <v/>
      </c>
      <c r="BR13" s="200" t="str">
        <f>IF($B13&lt;1,"",AVERAGEIF('09월 에너지'!$F$14:$F$949,$A13,'09월 에너지'!W21:W957))</f>
        <v/>
      </c>
      <c r="BS13" s="200" t="str">
        <f>IF($B13&lt;1,"",AVERAGEIF('09월 에너지'!$F$14:$F$949,$A13,'09월 에너지'!X21:X957))</f>
        <v/>
      </c>
      <c r="BT13" s="200" t="str">
        <f>IF($B13&lt;1,"",AVERAGEIF('09월 에너지'!$F$14:$F$949,$A13,'09월 에너지'!Y21:Y957))</f>
        <v/>
      </c>
      <c r="BU13" s="200" t="str">
        <f>IF($B13&lt;1,"",AVERAGEIF('09월 에너지'!$F$14:$F$949,$A13,'09월 에너지'!Z21:Z957))</f>
        <v/>
      </c>
      <c r="BV13" s="200" t="str">
        <f>IF($B13&lt;1,"",AVERAGEIF('09월 에너지'!$F$14:$F$949,$A13,'09월 에너지'!AA21:AA957))</f>
        <v/>
      </c>
      <c r="BW13" s="200" t="str">
        <f>IF($B13&lt;1,"",AVERAGEIF('09월 에너지'!$F$14:$F$949,$A13,'09월 에너지'!AB21:AB957))</f>
        <v/>
      </c>
      <c r="BX13" s="257" t="str">
        <f>IF($B13&lt;1,"",AVERAGEIF('09월 에너지'!$F$14:$F$949,$A13,'09월 에너지'!AC21:AC957))</f>
        <v/>
      </c>
      <c r="BY13" s="261" t="str">
        <f>IF($B13&lt;1,"",AVERAGEIF('09월 에너지'!$F$14:$F$949,$A13,'09월 에너지'!AD21:AD957))</f>
        <v/>
      </c>
      <c r="BZ13" s="262" t="str">
        <f>IF($B13&lt;1,"",AVERAGEIF('09월 에너지'!$F$14:$F$949,$A13,'09월 에너지'!AE21:AE957))</f>
        <v/>
      </c>
      <c r="CA13" s="249" t="str">
        <f>IF($B13&lt;1,"",AVERAGEIF('09월 에너지'!$F$14:$F$949,$A13,'09월 에너지'!AF21:AF957))</f>
        <v/>
      </c>
      <c r="CB13" s="200" t="str">
        <f>IF($B13&lt;1,"",AVERAGEIF('09월 에너지'!$F$14:$F$949,$A13,'09월 에너지'!AG21:AG957))</f>
        <v/>
      </c>
      <c r="CC13" s="200" t="str">
        <f>IF($B13&lt;1,"",AVERAGEIF('09월 에너지'!$F$14:$F$949,$A13,'09월 에너지'!AH21:AH957))</f>
        <v/>
      </c>
      <c r="CD13" s="200" t="str">
        <f>IF($B13&lt;1,"",AVERAGEIF('09월 에너지'!$F$14:$F$949,$A13,'09월 에너지'!AI21:AI957))</f>
        <v/>
      </c>
      <c r="CE13" s="206" t="str">
        <f>IF($B13&lt;1,"",AVERAGEIF('09월 에너지'!$F$14:$F$949,$A13,'09월 에너지'!AJ21:AJ957))</f>
        <v/>
      </c>
    </row>
    <row r="14" spans="1:83" ht="17.25" customHeight="1">
      <c r="A14" s="210"/>
      <c r="B14" s="243">
        <f>IF(A14="",0,COUNTIF('09월 화학성분'!$F$12:$F$949,$A14))</f>
        <v>0</v>
      </c>
      <c r="C14" s="240"/>
      <c r="D14" s="203"/>
      <c r="E14" s="203"/>
      <c r="F14" s="200" t="str">
        <f>IF($B14&lt;1,"",AVERAGEIF('09월 화학성분'!$F$12:$F$949,$A14,'09월 화학성분'!G$12:G$949))</f>
        <v/>
      </c>
      <c r="G14" s="200" t="str">
        <f>IF($B14&lt;1,"",AVERAGEIF('09월 화학성분'!$F$12:$F$949,$A14,'09월 화학성분'!H$12:H$949))</f>
        <v/>
      </c>
      <c r="H14" s="200" t="str">
        <f>IF($B14&lt;1,"",AVERAGEIF('09월 화학성분'!$F$12:$F$949,$A14,'09월 화학성분'!I$12:I$949))</f>
        <v/>
      </c>
      <c r="I14" s="200" t="str">
        <f>IF($B14&lt;1,"",AVERAGEIF('09월 화학성분'!$F$12:$F$949,$A14,'09월 화학성분'!J$12:J$949))</f>
        <v/>
      </c>
      <c r="J14" s="200" t="str">
        <f>IF($B14&lt;1,"",AVERAGEIF('09월 화학성분'!$F$12:$F$949,$A14,'09월 화학성분'!K$12:K$949))</f>
        <v/>
      </c>
      <c r="K14" s="200" t="str">
        <f>IF($B14&lt;1,"",AVERAGEIF('09월 화학성분'!$F$12:$F$949,$A14,'09월 화학성분'!L$12:L$949))</f>
        <v/>
      </c>
      <c r="L14" s="200" t="str">
        <f>IF($B14&lt;1,"",AVERAGEIF('09월 화학성분'!$F$12:$F$949,$A14,'09월 화학성분'!M$12:M$949))</f>
        <v/>
      </c>
      <c r="M14" s="208" t="str">
        <f>IF($B14&lt;1,"",AVERAGEIF('09월 화학성분'!$F$12:$F$949,$A14,'09월 화학성분'!N$12:N$949))</f>
        <v/>
      </c>
      <c r="N14" s="208" t="str">
        <f>IF($B14&lt;1,"",AVERAGEIF('09월 화학성분'!$F$12:$F$949,$A14,'09월 화학성분'!O$12:O$949))</f>
        <v/>
      </c>
      <c r="O14" s="208" t="str">
        <f>IF($B14&lt;1,"",AVERAGEIF('09월 화학성분'!$F$12:$F$949,$A14,'09월 화학성분'!P$12:P$949))</f>
        <v/>
      </c>
      <c r="P14" s="208" t="str">
        <f>IF($B14&lt;1,"",AVERAGEIF('09월 화학성분'!$F$12:$F$949,$A14,'09월 화학성분'!Q$12:Q$949))</f>
        <v/>
      </c>
      <c r="Q14" s="208" t="str">
        <f>IF($B14&lt;1,"",AVERAGEIF('09월 화학성분'!$F$12:$F$949,$A14,'09월 화학성분'!R$12:R$949))</f>
        <v/>
      </c>
      <c r="R14" s="208" t="str">
        <f>IF($B14&lt;1,"",AVERAGEIF('09월 화학성분'!$F$12:$F$949,$A14,'09월 화학성분'!U$12:U$949))</f>
        <v/>
      </c>
      <c r="S14" s="208" t="str">
        <f>IF($B14&lt;1,"",AVERAGEIF('09월 화학성분'!$F$12:$F$949,$A14,'09월 화학성분'!V$12:V$949))</f>
        <v/>
      </c>
      <c r="T14" s="208" t="str">
        <f>IF($B14&lt;1,"",AVERAGEIF('09월 화학성분'!$F$12:$F$949,$A14,'09월 화학성분'!W$12:W$949))</f>
        <v/>
      </c>
      <c r="U14" s="208" t="str">
        <f>IF($B14&lt;1,"",AVERAGEIF('09월 화학성분'!$F$12:$F$949,$A14,'09월 화학성분'!X$12:X$949))</f>
        <v/>
      </c>
      <c r="V14" s="208" t="str">
        <f>IF($B14&lt;1,"",AVERAGEIF('09월 화학성분'!$F$12:$F$949,$A14,'09월 화학성분'!#REF!))</f>
        <v/>
      </c>
      <c r="W14" s="208" t="str">
        <f>IF($B14&lt;1,"",AVERAGEIF('09월 화학성분'!$F$12:$F$949,$A14,'09월 화학성분'!AB$12:AB$949))</f>
        <v/>
      </c>
      <c r="X14" s="208" t="str">
        <f>IF($B14&lt;1,"",AVERAGEIF('09월 화학성분'!$F$12:$F$949,$A14,'09월 화학성분'!AC$12:AC$949))</f>
        <v/>
      </c>
      <c r="Y14" s="208" t="str">
        <f>IF($B14&lt;1,"",AVERAGEIF('09월 화학성분'!$F$12:$F$949,$A14,'09월 화학성분'!AD$12:AD$949))</f>
        <v/>
      </c>
      <c r="Z14" s="208" t="str">
        <f>IF($B14&lt;1,"",AVERAGEIF('09월 화학성분'!$F$12:$F$949,$A14,'09월 화학성분'!AF$12:AF$949))</f>
        <v/>
      </c>
      <c r="AA14" s="208" t="str">
        <f>IF($B14&lt;1,"",AVERAGEIF('09월 화학성분'!$F$12:$F$949,$A14,'09월 화학성분'!AG$12:AG$949))</f>
        <v/>
      </c>
      <c r="AB14" s="208" t="str">
        <f>IF($B14&lt;1,"",AVERAGEIF('09월 화학성분'!$F$12:$F$949,$A14,'09월 화학성분'!AH$12:AH$949))</f>
        <v/>
      </c>
      <c r="AC14" s="208" t="str">
        <f>IF($B14&lt;1,"",AVERAGEIF('09월 화학성분'!$F$12:$F$949,$A14,'09월 화학성분'!AI$12:AI$949))</f>
        <v/>
      </c>
      <c r="AD14" s="208" t="str">
        <f>IF($B14&lt;1,"",AVERAGEIF('09월 화학성분'!$F$12:$F$949,$A14,'09월 화학성분'!AJ$12:AJ$949))</f>
        <v/>
      </c>
      <c r="AE14" s="208" t="str">
        <f>IF($B14&lt;1,"",AVERAGEIF('09월 화학성분'!$F$12:$F$949,$A14,'09월 화학성분'!AL$12:AL$949))</f>
        <v/>
      </c>
      <c r="AF14" s="208" t="str">
        <f>IF($B14&lt;1,"",AVERAGEIF('09월 화학성분'!$F$12:$F$949,$A14,'09월 화학성분'!AM$12:AM$949))</f>
        <v/>
      </c>
      <c r="AG14" s="207" t="str">
        <f>IF($B14&lt;1,"",AVERAGEIF('09월 화학성분'!$F$12:$F$949,$A14,'09월 화학성분'!AN$12:AN$949))</f>
        <v/>
      </c>
      <c r="AH14" s="207" t="str">
        <f>IF($B14&lt;1,"",AVERAGEIF('09월 화학성분'!$F$12:$F$949,$A14,'09월 화학성분'!AO$12:AO$949))</f>
        <v/>
      </c>
      <c r="AI14" s="200" t="str">
        <f>IF($B14&lt;1,"",AVERAGEIF('09월 화학성분'!$F$12:$F$949,$A14,'09월 화학성분'!AP$12:AP$949))</f>
        <v/>
      </c>
      <c r="AJ14" s="217" t="str">
        <f>IF($B14&lt;1,"",AVERAGEIF('09월 고철장입'!$F$14:$F$949,$A14,'09월 고철장입'!G$14:G$949))</f>
        <v/>
      </c>
      <c r="AK14" s="217" t="str">
        <f>IF($B14&lt;1,"",AVERAGEIF('09월 고철장입'!$F$14:$F$949,$A14,'09월 고철장입'!H$14:H$949))</f>
        <v/>
      </c>
      <c r="AL14" s="217" t="str">
        <f>IF($B14&lt;1,"",AVERAGEIF('09월 고철장입'!$F$14:$F$949,$A14,'09월 고철장입'!I$14:I$949))</f>
        <v/>
      </c>
      <c r="AM14" s="217" t="str">
        <f>IF($B14&lt;1,"",AVERAGEIF('09월 고철장입'!$F$14:$F$949,$A14,'09월 고철장입'!J$14:J$949))</f>
        <v/>
      </c>
      <c r="AN14" s="217" t="str">
        <f>IF($B14&lt;1,"",AVERAGEIF('09월 고철장입'!$F$14:$F$949,$A14,'09월 고철장입'!L$14:L$949))</f>
        <v/>
      </c>
      <c r="AO14" s="217" t="str">
        <f>IF($B14&lt;1,"",AVERAGEIF('09월 고철장입'!$F$14:$F$949,$A14,'09월 고철장입'!O$14:O$949))</f>
        <v/>
      </c>
      <c r="AP14" s="214" t="str">
        <f>IF($B14&lt;1,"",AVERAGEIF('09월 고철장입'!$F$14:$F$949,$A14,'09월 고철장입'!P$14:P$949))</f>
        <v/>
      </c>
      <c r="AQ14" s="214" t="str">
        <f>IF($B14&lt;1,"",AVERAGEIF('09월 고철장입'!$F$14:$F$949,$A14,'09월 고철장입'!Q$14:Q$949))</f>
        <v/>
      </c>
      <c r="AR14" s="214" t="str">
        <f>IF($B14&lt;1,"",AVERAGEIF('09월 고철장입'!$F$14:$F$949,$A14,'09월 고철장입'!S$14:S$949))</f>
        <v/>
      </c>
      <c r="AS14" s="214" t="str">
        <f>IF($B14&lt;1,"",AVERAGEIF('09월 고철장입'!$F$14:$F$949,$A14,'09월 고철장입'!AD$14:AD$949))</f>
        <v/>
      </c>
      <c r="AT14" s="214" t="str">
        <f>IF($B14&lt;1,"",AVERAGEIF('09월 고철장입'!$F$14:$F$949,$A14,'09월 고철장입'!AE$14:AE$949))</f>
        <v/>
      </c>
      <c r="AU14" s="217" t="str">
        <f>IF($B14&lt;1,"",AVERAGEIF('09월 고철장입'!$F$14:$F$949,$A14,'09월 고철장입'!AF$14:AF$949))</f>
        <v/>
      </c>
      <c r="AV14" s="217" t="str">
        <f>IF($B14&lt;1,"",AVERAGEIF('09월 고철장입'!$F$14:$F$949,$A14,'09월 고철장입'!AG$14:AG$949))</f>
        <v/>
      </c>
      <c r="AW14" s="217" t="str">
        <f>IF($B14&lt;1,"",AVERAGEIF('09월 고철장입'!$F$14:$F$949,$A14,'09월 고철장입'!AH$14:AH$949))</f>
        <v/>
      </c>
      <c r="AX14" s="217" t="str">
        <f>IF($B14&lt;1,"",AVERAGEIF('09월 고철장입'!$F$14:$F$949,$A14,'09월 고철장입'!AI$14:AI$949))</f>
        <v/>
      </c>
      <c r="AY14" s="248" t="str">
        <f>IF($B14&lt;1,"",AVERAGEIF('09월 고철장입'!$F$14:$F$949,$A14,'09월 고철장입'!AJ$14:AJ$949)/1000)</f>
        <v/>
      </c>
      <c r="AZ14" s="250" t="str">
        <f>IF($B14&lt;1,"",AVERAGEIF('09월 고철장입'!$F$14:$F$949,$A14,'09월 고철장입'!AK$14:AK$949))</f>
        <v/>
      </c>
      <c r="BA14" s="253" t="str">
        <f>IF($B14&lt;1,"",AVERAGEIF('09월 고철장입'!$F$14:$F$949,$A14,'09월 고철장입'!AL$14:AL$949))</f>
        <v/>
      </c>
      <c r="BB14" s="200" t="str">
        <f>IF($B14&lt;1,"",AVERAGEIF('09월 에너지'!$F$14:$F$949,$A14,'09월 에너지'!G22:G958))</f>
        <v/>
      </c>
      <c r="BC14" s="200" t="str">
        <f>IF($B14&lt;1,"",AVERAGEIF('09월 에너지'!$F$14:$F$949,$A14,'09월 에너지'!H22:H958))</f>
        <v/>
      </c>
      <c r="BD14" s="200" t="str">
        <f>IF($B14&lt;1,"",AVERAGEIF('09월 에너지'!$F$14:$F$949,$A14,'09월 에너지'!I22:I958))</f>
        <v/>
      </c>
      <c r="BE14" s="200" t="str">
        <f>IF($B14&lt;1,"",AVERAGEIF('09월 에너지'!$F$14:$F$949,$A14,'09월 에너지'!J22:J958))</f>
        <v/>
      </c>
      <c r="BF14" s="200" t="str">
        <f>IF($B14&lt;1,"",AVERAGEIF('09월 에너지'!$F$14:$F$949,$A14,'09월 에너지'!K22:K958))</f>
        <v/>
      </c>
      <c r="BG14" s="200" t="str">
        <f>IF($B14&lt;1,"",AVERAGEIF('09월 에너지'!$F$14:$F$949,$A14,'09월 에너지'!L22:L958))</f>
        <v/>
      </c>
      <c r="BH14" s="200" t="str">
        <f>IF($B14&lt;1,"",AVERAGEIF('09월 에너지'!$F$14:$F$949,$A14,'09월 에너지'!M22:M958))</f>
        <v/>
      </c>
      <c r="BI14" s="200" t="str">
        <f>IF($B14&lt;1,"",AVERAGEIF('09월 에너지'!$F$14:$F$949,$A14,'09월 에너지'!N22:N958))</f>
        <v/>
      </c>
      <c r="BJ14" s="200" t="str">
        <f>IF($B14&lt;1,"",AVERAGEIF('09월 에너지'!$F$14:$F$949,$A14,'09월 에너지'!O22:O958))</f>
        <v/>
      </c>
      <c r="BK14" s="200" t="str">
        <f>IF($B14&lt;1,"",AVERAGEIF('09월 에너지'!$F$14:$F$949,$A14,'09월 에너지'!P22:P958))</f>
        <v/>
      </c>
      <c r="BL14" s="200" t="str">
        <f>IF($B14&lt;1,"",AVERAGEIF('09월 에너지'!$F$14:$F$949,$A14,'09월 에너지'!Q22:Q958))</f>
        <v/>
      </c>
      <c r="BM14" s="200" t="str">
        <f>IF($B14&lt;1,"",AVERAGEIF('09월 에너지'!$F$14:$F$949,$A14,'09월 에너지'!R22:R958))</f>
        <v/>
      </c>
      <c r="BN14" s="200" t="str">
        <f>IF($B14&lt;1,"",AVERAGEIF('09월 에너지'!$F$14:$F$949,$A14,'09월 에너지'!S22:S958))</f>
        <v/>
      </c>
      <c r="BO14" s="200" t="str">
        <f>IF($B14&lt;1,"",AVERAGEIF('09월 에너지'!$F$14:$F$949,$A14,'09월 에너지'!T22:T958))</f>
        <v/>
      </c>
      <c r="BP14" s="200" t="str">
        <f>IF($B14&lt;1,"",AVERAGEIF('09월 에너지'!$F$14:$F$949,$A14,'09월 에너지'!U22:U958))</f>
        <v/>
      </c>
      <c r="BQ14" s="200" t="str">
        <f>IF($B14&lt;1,"",AVERAGEIF('09월 에너지'!$F$14:$F$949,$A14,'09월 에너지'!V22:V958))</f>
        <v/>
      </c>
      <c r="BR14" s="200" t="str">
        <f>IF($B14&lt;1,"",AVERAGEIF('09월 에너지'!$F$14:$F$949,$A14,'09월 에너지'!W22:W958))</f>
        <v/>
      </c>
      <c r="BS14" s="200" t="str">
        <f>IF($B14&lt;1,"",AVERAGEIF('09월 에너지'!$F$14:$F$949,$A14,'09월 에너지'!X22:X958))</f>
        <v/>
      </c>
      <c r="BT14" s="200" t="str">
        <f>IF($B14&lt;1,"",AVERAGEIF('09월 에너지'!$F$14:$F$949,$A14,'09월 에너지'!Y22:Y958))</f>
        <v/>
      </c>
      <c r="BU14" s="200" t="str">
        <f>IF($B14&lt;1,"",AVERAGEIF('09월 에너지'!$F$14:$F$949,$A14,'09월 에너지'!Z22:Z958))</f>
        <v/>
      </c>
      <c r="BV14" s="200" t="str">
        <f>IF($B14&lt;1,"",AVERAGEIF('09월 에너지'!$F$14:$F$949,$A14,'09월 에너지'!AA22:AA958))</f>
        <v/>
      </c>
      <c r="BW14" s="200" t="str">
        <f>IF($B14&lt;1,"",AVERAGEIF('09월 에너지'!$F$14:$F$949,$A14,'09월 에너지'!AB22:AB958))</f>
        <v/>
      </c>
      <c r="BX14" s="257" t="str">
        <f>IF($B14&lt;1,"",AVERAGEIF('09월 에너지'!$F$14:$F$949,$A14,'09월 에너지'!AC22:AC958))</f>
        <v/>
      </c>
      <c r="BY14" s="261" t="str">
        <f>IF($B14&lt;1,"",AVERAGEIF('09월 에너지'!$F$14:$F$949,$A14,'09월 에너지'!AD22:AD958))</f>
        <v/>
      </c>
      <c r="BZ14" s="262" t="str">
        <f>IF($B14&lt;1,"",AVERAGEIF('09월 에너지'!$F$14:$F$949,$A14,'09월 에너지'!AE22:AE958))</f>
        <v/>
      </c>
      <c r="CA14" s="249" t="str">
        <f>IF($B14&lt;1,"",AVERAGEIF('09월 에너지'!$F$14:$F$949,$A14,'09월 에너지'!AF22:AF958))</f>
        <v/>
      </c>
      <c r="CB14" s="200" t="str">
        <f>IF($B14&lt;1,"",AVERAGEIF('09월 에너지'!$F$14:$F$949,$A14,'09월 에너지'!AG22:AG958))</f>
        <v/>
      </c>
      <c r="CC14" s="200" t="str">
        <f>IF($B14&lt;1,"",AVERAGEIF('09월 에너지'!$F$14:$F$949,$A14,'09월 에너지'!AH22:AH958))</f>
        <v/>
      </c>
      <c r="CD14" s="200" t="str">
        <f>IF($B14&lt;1,"",AVERAGEIF('09월 에너지'!$F$14:$F$949,$A14,'09월 에너지'!AI22:AI958))</f>
        <v/>
      </c>
      <c r="CE14" s="206" t="str">
        <f>IF($B14&lt;1,"",AVERAGEIF('09월 에너지'!$F$14:$F$949,$A14,'09월 에너지'!AJ22:AJ958))</f>
        <v/>
      </c>
    </row>
    <row r="15" spans="1:83" ht="17.25" customHeight="1">
      <c r="A15" s="210"/>
      <c r="B15" s="243">
        <f>IF(A15="",0,COUNTIF('09월 화학성분'!$F$12:$F$949,$A15))</f>
        <v>0</v>
      </c>
      <c r="C15" s="240"/>
      <c r="D15" s="203"/>
      <c r="E15" s="203"/>
      <c r="F15" s="200" t="str">
        <f>IF($B15&lt;1,"",AVERAGEIF('09월 화학성분'!$F$12:$F$949,$A15,'09월 화학성분'!G$12:G$949))</f>
        <v/>
      </c>
      <c r="G15" s="200" t="str">
        <f>IF($B15&lt;1,"",AVERAGEIF('09월 화학성분'!$F$12:$F$949,$A15,'09월 화학성분'!H$12:H$949))</f>
        <v/>
      </c>
      <c r="H15" s="200" t="str">
        <f>IF($B15&lt;1,"",AVERAGEIF('09월 화학성분'!$F$12:$F$949,$A15,'09월 화학성분'!I$12:I$949))</f>
        <v/>
      </c>
      <c r="I15" s="200" t="str">
        <f>IF($B15&lt;1,"",AVERAGEIF('09월 화학성분'!$F$12:$F$949,$A15,'09월 화학성분'!J$12:J$949))</f>
        <v/>
      </c>
      <c r="J15" s="200" t="str">
        <f>IF($B15&lt;1,"",AVERAGEIF('09월 화학성분'!$F$12:$F$949,$A15,'09월 화학성분'!K$12:K$949))</f>
        <v/>
      </c>
      <c r="K15" s="200" t="str">
        <f>IF($B15&lt;1,"",AVERAGEIF('09월 화학성분'!$F$12:$F$949,$A15,'09월 화학성분'!L$12:L$949))</f>
        <v/>
      </c>
      <c r="L15" s="200" t="str">
        <f>IF($B15&lt;1,"",AVERAGEIF('09월 화학성분'!$F$12:$F$949,$A15,'09월 화학성분'!M$12:M$949))</f>
        <v/>
      </c>
      <c r="M15" s="208" t="str">
        <f>IF($B15&lt;1,"",AVERAGEIF('09월 화학성분'!$F$12:$F$949,$A15,'09월 화학성분'!N$12:N$949))</f>
        <v/>
      </c>
      <c r="N15" s="208" t="str">
        <f>IF($B15&lt;1,"",AVERAGEIF('09월 화학성분'!$F$12:$F$949,$A15,'09월 화학성분'!O$12:O$949))</f>
        <v/>
      </c>
      <c r="O15" s="208" t="str">
        <f>IF($B15&lt;1,"",AVERAGEIF('09월 화학성분'!$F$12:$F$949,$A15,'09월 화학성분'!P$12:P$949))</f>
        <v/>
      </c>
      <c r="P15" s="208" t="str">
        <f>IF($B15&lt;1,"",AVERAGEIF('09월 화학성분'!$F$12:$F$949,$A15,'09월 화학성분'!Q$12:Q$949))</f>
        <v/>
      </c>
      <c r="Q15" s="208" t="str">
        <f>IF($B15&lt;1,"",AVERAGEIF('09월 화학성분'!$F$12:$F$949,$A15,'09월 화학성분'!R$12:R$949))</f>
        <v/>
      </c>
      <c r="R15" s="208" t="str">
        <f>IF($B15&lt;1,"",AVERAGEIF('09월 화학성분'!$F$12:$F$949,$A15,'09월 화학성분'!U$12:U$949))</f>
        <v/>
      </c>
      <c r="S15" s="208" t="str">
        <f>IF($B15&lt;1,"",AVERAGEIF('09월 화학성분'!$F$12:$F$949,$A15,'09월 화학성분'!V$12:V$949))</f>
        <v/>
      </c>
      <c r="T15" s="208" t="str">
        <f>IF($B15&lt;1,"",AVERAGEIF('09월 화학성분'!$F$12:$F$949,$A15,'09월 화학성분'!W$12:W$949))</f>
        <v/>
      </c>
      <c r="U15" s="208" t="str">
        <f>IF($B15&lt;1,"",AVERAGEIF('09월 화학성분'!$F$12:$F$949,$A15,'09월 화학성분'!X$12:X$949))</f>
        <v/>
      </c>
      <c r="V15" s="208" t="str">
        <f>IF($B15&lt;1,"",AVERAGEIF('09월 화학성분'!$F$12:$F$949,$A15,'09월 화학성분'!#REF!))</f>
        <v/>
      </c>
      <c r="W15" s="208" t="str">
        <f>IF($B15&lt;1,"",AVERAGEIF('09월 화학성분'!$F$12:$F$949,$A15,'09월 화학성분'!AB$12:AB$949))</f>
        <v/>
      </c>
      <c r="X15" s="208" t="str">
        <f>IF($B15&lt;1,"",AVERAGEIF('09월 화학성분'!$F$12:$F$949,$A15,'09월 화학성분'!AC$12:AC$949))</f>
        <v/>
      </c>
      <c r="Y15" s="208" t="str">
        <f>IF($B15&lt;1,"",AVERAGEIF('09월 화학성분'!$F$12:$F$949,$A15,'09월 화학성분'!AD$12:AD$949))</f>
        <v/>
      </c>
      <c r="Z15" s="208" t="str">
        <f>IF($B15&lt;1,"",AVERAGEIF('09월 화학성분'!$F$12:$F$949,$A15,'09월 화학성분'!AF$12:AF$949))</f>
        <v/>
      </c>
      <c r="AA15" s="208" t="str">
        <f>IF($B15&lt;1,"",AVERAGEIF('09월 화학성분'!$F$12:$F$949,$A15,'09월 화학성분'!AG$12:AG$949))</f>
        <v/>
      </c>
      <c r="AB15" s="208" t="str">
        <f>IF($B15&lt;1,"",AVERAGEIF('09월 화학성분'!$F$12:$F$949,$A15,'09월 화학성분'!AH$12:AH$949))</f>
        <v/>
      </c>
      <c r="AC15" s="208" t="str">
        <f>IF($B15&lt;1,"",AVERAGEIF('09월 화학성분'!$F$12:$F$949,$A15,'09월 화학성분'!AI$12:AI$949))</f>
        <v/>
      </c>
      <c r="AD15" s="208" t="str">
        <f>IF($B15&lt;1,"",AVERAGEIF('09월 화학성분'!$F$12:$F$949,$A15,'09월 화학성분'!AJ$12:AJ$949))</f>
        <v/>
      </c>
      <c r="AE15" s="208" t="str">
        <f>IF($B15&lt;1,"",AVERAGEIF('09월 화학성분'!$F$12:$F$949,$A15,'09월 화학성분'!AL$12:AL$949))</f>
        <v/>
      </c>
      <c r="AF15" s="208" t="str">
        <f>IF($B15&lt;1,"",AVERAGEIF('09월 화학성분'!$F$12:$F$949,$A15,'09월 화학성분'!AM$12:AM$949))</f>
        <v/>
      </c>
      <c r="AG15" s="207" t="str">
        <f>IF($B15&lt;1,"",AVERAGEIF('09월 화학성분'!$F$12:$F$949,$A15,'09월 화학성분'!AN$12:AN$949))</f>
        <v/>
      </c>
      <c r="AH15" s="207" t="str">
        <f>IF($B15&lt;1,"",AVERAGEIF('09월 화학성분'!$F$12:$F$949,$A15,'09월 화학성분'!AO$12:AO$949))</f>
        <v/>
      </c>
      <c r="AI15" s="200" t="str">
        <f>IF($B15&lt;1,"",AVERAGEIF('09월 화학성분'!$F$12:$F$949,$A15,'09월 화학성분'!AP$12:AP$949))</f>
        <v/>
      </c>
      <c r="AJ15" s="217" t="str">
        <f>IF($B15&lt;1,"",AVERAGEIF('09월 고철장입'!$F$14:$F$949,$A15,'09월 고철장입'!G$14:G$949))</f>
        <v/>
      </c>
      <c r="AK15" s="217" t="str">
        <f>IF($B15&lt;1,"",AVERAGEIF('09월 고철장입'!$F$14:$F$949,$A15,'09월 고철장입'!H$14:H$949))</f>
        <v/>
      </c>
      <c r="AL15" s="217" t="str">
        <f>IF($B15&lt;1,"",AVERAGEIF('09월 고철장입'!$F$14:$F$949,$A15,'09월 고철장입'!I$14:I$949))</f>
        <v/>
      </c>
      <c r="AM15" s="217" t="str">
        <f>IF($B15&lt;1,"",AVERAGEIF('09월 고철장입'!$F$14:$F$949,$A15,'09월 고철장입'!J$14:J$949))</f>
        <v/>
      </c>
      <c r="AN15" s="217" t="str">
        <f>IF($B15&lt;1,"",AVERAGEIF('09월 고철장입'!$F$14:$F$949,$A15,'09월 고철장입'!L$14:L$949))</f>
        <v/>
      </c>
      <c r="AO15" s="217" t="str">
        <f>IF($B15&lt;1,"",AVERAGEIF('09월 고철장입'!$F$14:$F$949,$A15,'09월 고철장입'!O$14:O$949))</f>
        <v/>
      </c>
      <c r="AP15" s="214" t="str">
        <f>IF($B15&lt;1,"",AVERAGEIF('09월 고철장입'!$F$14:$F$949,$A15,'09월 고철장입'!P$14:P$949))</f>
        <v/>
      </c>
      <c r="AQ15" s="214" t="str">
        <f>IF($B15&lt;1,"",AVERAGEIF('09월 고철장입'!$F$14:$F$949,$A15,'09월 고철장입'!Q$14:Q$949))</f>
        <v/>
      </c>
      <c r="AR15" s="214" t="str">
        <f>IF($B15&lt;1,"",AVERAGEIF('09월 고철장입'!$F$14:$F$949,$A15,'09월 고철장입'!S$14:S$949))</f>
        <v/>
      </c>
      <c r="AS15" s="214" t="str">
        <f>IF($B15&lt;1,"",AVERAGEIF('09월 고철장입'!$F$14:$F$949,$A15,'09월 고철장입'!AD$14:AD$949))</f>
        <v/>
      </c>
      <c r="AT15" s="214" t="str">
        <f>IF($B15&lt;1,"",AVERAGEIF('09월 고철장입'!$F$14:$F$949,$A15,'09월 고철장입'!AE$14:AE$949))</f>
        <v/>
      </c>
      <c r="AU15" s="217" t="str">
        <f>IF($B15&lt;1,"",AVERAGEIF('09월 고철장입'!$F$14:$F$949,$A15,'09월 고철장입'!AF$14:AF$949))</f>
        <v/>
      </c>
      <c r="AV15" s="217" t="str">
        <f>IF($B15&lt;1,"",AVERAGEIF('09월 고철장입'!$F$14:$F$949,$A15,'09월 고철장입'!AG$14:AG$949))</f>
        <v/>
      </c>
      <c r="AW15" s="217" t="str">
        <f>IF($B15&lt;1,"",AVERAGEIF('09월 고철장입'!$F$14:$F$949,$A15,'09월 고철장입'!AH$14:AH$949))</f>
        <v/>
      </c>
      <c r="AX15" s="217" t="str">
        <f>IF($B15&lt;1,"",AVERAGEIF('09월 고철장입'!$F$14:$F$949,$A15,'09월 고철장입'!AI$14:AI$949))</f>
        <v/>
      </c>
      <c r="AY15" s="248" t="str">
        <f>IF($B15&lt;1,"",AVERAGEIF('09월 고철장입'!$F$14:$F$949,$A15,'09월 고철장입'!AJ$14:AJ$949)/1000)</f>
        <v/>
      </c>
      <c r="AZ15" s="250" t="str">
        <f>IF($B15&lt;1,"",AVERAGEIF('09월 고철장입'!$F$14:$F$949,$A15,'09월 고철장입'!AK$14:AK$949))</f>
        <v/>
      </c>
      <c r="BA15" s="253" t="str">
        <f>IF($B15&lt;1,"",AVERAGEIF('09월 고철장입'!$F$14:$F$949,$A15,'09월 고철장입'!AL$14:AL$949))</f>
        <v/>
      </c>
      <c r="BB15" s="200" t="str">
        <f>IF($B15&lt;1,"",AVERAGEIF('09월 에너지'!$F$14:$F$949,$A15,'09월 에너지'!G23:G959))</f>
        <v/>
      </c>
      <c r="BC15" s="200" t="str">
        <f>IF($B15&lt;1,"",AVERAGEIF('09월 에너지'!$F$14:$F$949,$A15,'09월 에너지'!H23:H959))</f>
        <v/>
      </c>
      <c r="BD15" s="200" t="str">
        <f>IF($B15&lt;1,"",AVERAGEIF('09월 에너지'!$F$14:$F$949,$A15,'09월 에너지'!I23:I959))</f>
        <v/>
      </c>
      <c r="BE15" s="200" t="str">
        <f>IF($B15&lt;1,"",AVERAGEIF('09월 에너지'!$F$14:$F$949,$A15,'09월 에너지'!J23:J959))</f>
        <v/>
      </c>
      <c r="BF15" s="200" t="str">
        <f>IF($B15&lt;1,"",AVERAGEIF('09월 에너지'!$F$14:$F$949,$A15,'09월 에너지'!K23:K959))</f>
        <v/>
      </c>
      <c r="BG15" s="200" t="str">
        <f>IF($B15&lt;1,"",AVERAGEIF('09월 에너지'!$F$14:$F$949,$A15,'09월 에너지'!L23:L959))</f>
        <v/>
      </c>
      <c r="BH15" s="200" t="str">
        <f>IF($B15&lt;1,"",AVERAGEIF('09월 에너지'!$F$14:$F$949,$A15,'09월 에너지'!M23:M959))</f>
        <v/>
      </c>
      <c r="BI15" s="200" t="str">
        <f>IF($B15&lt;1,"",AVERAGEIF('09월 에너지'!$F$14:$F$949,$A15,'09월 에너지'!N23:N959))</f>
        <v/>
      </c>
      <c r="BJ15" s="200" t="str">
        <f>IF($B15&lt;1,"",AVERAGEIF('09월 에너지'!$F$14:$F$949,$A15,'09월 에너지'!O23:O959))</f>
        <v/>
      </c>
      <c r="BK15" s="200" t="str">
        <f>IF($B15&lt;1,"",AVERAGEIF('09월 에너지'!$F$14:$F$949,$A15,'09월 에너지'!P23:P959))</f>
        <v/>
      </c>
      <c r="BL15" s="200" t="str">
        <f>IF($B15&lt;1,"",AVERAGEIF('09월 에너지'!$F$14:$F$949,$A15,'09월 에너지'!Q23:Q959))</f>
        <v/>
      </c>
      <c r="BM15" s="200" t="str">
        <f>IF($B15&lt;1,"",AVERAGEIF('09월 에너지'!$F$14:$F$949,$A15,'09월 에너지'!R23:R959))</f>
        <v/>
      </c>
      <c r="BN15" s="200" t="str">
        <f>IF($B15&lt;1,"",AVERAGEIF('09월 에너지'!$F$14:$F$949,$A15,'09월 에너지'!S23:S959))</f>
        <v/>
      </c>
      <c r="BO15" s="200" t="str">
        <f>IF($B15&lt;1,"",AVERAGEIF('09월 에너지'!$F$14:$F$949,$A15,'09월 에너지'!T23:T959))</f>
        <v/>
      </c>
      <c r="BP15" s="200" t="str">
        <f>IF($B15&lt;1,"",AVERAGEIF('09월 에너지'!$F$14:$F$949,$A15,'09월 에너지'!U23:U959))</f>
        <v/>
      </c>
      <c r="BQ15" s="200" t="str">
        <f>IF($B15&lt;1,"",AVERAGEIF('09월 에너지'!$F$14:$F$949,$A15,'09월 에너지'!V23:V959))</f>
        <v/>
      </c>
      <c r="BR15" s="200" t="str">
        <f>IF($B15&lt;1,"",AVERAGEIF('09월 에너지'!$F$14:$F$949,$A15,'09월 에너지'!W23:W959))</f>
        <v/>
      </c>
      <c r="BS15" s="200" t="str">
        <f>IF($B15&lt;1,"",AVERAGEIF('09월 에너지'!$F$14:$F$949,$A15,'09월 에너지'!X23:X959))</f>
        <v/>
      </c>
      <c r="BT15" s="200" t="str">
        <f>IF($B15&lt;1,"",AVERAGEIF('09월 에너지'!$F$14:$F$949,$A15,'09월 에너지'!Y23:Y959))</f>
        <v/>
      </c>
      <c r="BU15" s="200" t="str">
        <f>IF($B15&lt;1,"",AVERAGEIF('09월 에너지'!$F$14:$F$949,$A15,'09월 에너지'!Z23:Z959))</f>
        <v/>
      </c>
      <c r="BV15" s="200" t="str">
        <f>IF($B15&lt;1,"",AVERAGEIF('09월 에너지'!$F$14:$F$949,$A15,'09월 에너지'!AA23:AA959))</f>
        <v/>
      </c>
      <c r="BW15" s="200" t="str">
        <f>IF($B15&lt;1,"",AVERAGEIF('09월 에너지'!$F$14:$F$949,$A15,'09월 에너지'!AB23:AB959))</f>
        <v/>
      </c>
      <c r="BX15" s="257" t="str">
        <f>IF($B15&lt;1,"",AVERAGEIF('09월 에너지'!$F$14:$F$949,$A15,'09월 에너지'!AC23:AC959))</f>
        <v/>
      </c>
      <c r="BY15" s="261" t="str">
        <f>IF($B15&lt;1,"",AVERAGEIF('09월 에너지'!$F$14:$F$949,$A15,'09월 에너지'!AD23:AD959))</f>
        <v/>
      </c>
      <c r="BZ15" s="262" t="str">
        <f>IF($B15&lt;1,"",AVERAGEIF('09월 에너지'!$F$14:$F$949,$A15,'09월 에너지'!AE23:AE959))</f>
        <v/>
      </c>
      <c r="CA15" s="249" t="str">
        <f>IF($B15&lt;1,"",AVERAGEIF('09월 에너지'!$F$14:$F$949,$A15,'09월 에너지'!AF23:AF959))</f>
        <v/>
      </c>
      <c r="CB15" s="200" t="str">
        <f>IF($B15&lt;1,"",AVERAGEIF('09월 에너지'!$F$14:$F$949,$A15,'09월 에너지'!AG23:AG959))</f>
        <v/>
      </c>
      <c r="CC15" s="200" t="str">
        <f>IF($B15&lt;1,"",AVERAGEIF('09월 에너지'!$F$14:$F$949,$A15,'09월 에너지'!AH23:AH959))</f>
        <v/>
      </c>
      <c r="CD15" s="200" t="str">
        <f>IF($B15&lt;1,"",AVERAGEIF('09월 에너지'!$F$14:$F$949,$A15,'09월 에너지'!AI23:AI959))</f>
        <v/>
      </c>
      <c r="CE15" s="206" t="str">
        <f>IF($B15&lt;1,"",AVERAGEIF('09월 에너지'!$F$14:$F$949,$A15,'09월 에너지'!AJ23:AJ959))</f>
        <v/>
      </c>
    </row>
    <row r="16" spans="1:83" ht="17.25" customHeight="1">
      <c r="A16" s="210"/>
      <c r="B16" s="243">
        <f>IF(A16="",0,COUNTIF('09월 화학성분'!$F$12:$F$949,$A16))</f>
        <v>0</v>
      </c>
      <c r="C16" s="240"/>
      <c r="D16" s="203"/>
      <c r="E16" s="203"/>
      <c r="F16" s="200" t="str">
        <f>IF($B16&lt;1,"",AVERAGEIF('09월 화학성분'!$F$12:$F$949,$A16,'09월 화학성분'!G$12:G$949))</f>
        <v/>
      </c>
      <c r="G16" s="200" t="str">
        <f>IF($B16&lt;1,"",AVERAGEIF('09월 화학성분'!$F$12:$F$949,$A16,'09월 화학성분'!H$12:H$949))</f>
        <v/>
      </c>
      <c r="H16" s="200" t="str">
        <f>IF($B16&lt;1,"",AVERAGEIF('09월 화학성분'!$F$12:$F$949,$A16,'09월 화학성분'!I$12:I$949))</f>
        <v/>
      </c>
      <c r="I16" s="200" t="str">
        <f>IF($B16&lt;1,"",AVERAGEIF('09월 화학성분'!$F$12:$F$949,$A16,'09월 화학성분'!J$12:J$949))</f>
        <v/>
      </c>
      <c r="J16" s="200" t="str">
        <f>IF($B16&lt;1,"",AVERAGEIF('09월 화학성분'!$F$12:$F$949,$A16,'09월 화학성분'!K$12:K$949))</f>
        <v/>
      </c>
      <c r="K16" s="200" t="str">
        <f>IF($B16&lt;1,"",AVERAGEIF('09월 화학성분'!$F$12:$F$949,$A16,'09월 화학성분'!L$12:L$949))</f>
        <v/>
      </c>
      <c r="L16" s="200" t="str">
        <f>IF($B16&lt;1,"",AVERAGEIF('09월 화학성분'!$F$12:$F$949,$A16,'09월 화학성분'!M$12:M$949))</f>
        <v/>
      </c>
      <c r="M16" s="208" t="str">
        <f>IF($B16&lt;1,"",AVERAGEIF('09월 화학성분'!$F$12:$F$949,$A16,'09월 화학성분'!N$12:N$949))</f>
        <v/>
      </c>
      <c r="N16" s="208" t="str">
        <f>IF($B16&lt;1,"",AVERAGEIF('09월 화학성분'!$F$12:$F$949,$A16,'09월 화학성분'!O$12:O$949))</f>
        <v/>
      </c>
      <c r="O16" s="208" t="str">
        <f>IF($B16&lt;1,"",AVERAGEIF('09월 화학성분'!$F$12:$F$949,$A16,'09월 화학성분'!P$12:P$949))</f>
        <v/>
      </c>
      <c r="P16" s="208" t="str">
        <f>IF($B16&lt;1,"",AVERAGEIF('09월 화학성분'!$F$12:$F$949,$A16,'09월 화학성분'!Q$12:Q$949))</f>
        <v/>
      </c>
      <c r="Q16" s="208" t="str">
        <f>IF($B16&lt;1,"",AVERAGEIF('09월 화학성분'!$F$12:$F$949,$A16,'09월 화학성분'!R$12:R$949))</f>
        <v/>
      </c>
      <c r="R16" s="208" t="str">
        <f>IF($B16&lt;1,"",AVERAGEIF('09월 화학성분'!$F$12:$F$949,$A16,'09월 화학성분'!U$12:U$949))</f>
        <v/>
      </c>
      <c r="S16" s="208" t="str">
        <f>IF($B16&lt;1,"",AVERAGEIF('09월 화학성분'!$F$12:$F$949,$A16,'09월 화학성분'!V$12:V$949))</f>
        <v/>
      </c>
      <c r="T16" s="208" t="str">
        <f>IF($B16&lt;1,"",AVERAGEIF('09월 화학성분'!$F$12:$F$949,$A16,'09월 화학성분'!W$12:W$949))</f>
        <v/>
      </c>
      <c r="U16" s="208" t="str">
        <f>IF($B16&lt;1,"",AVERAGEIF('09월 화학성분'!$F$12:$F$949,$A16,'09월 화학성분'!X$12:X$949))</f>
        <v/>
      </c>
      <c r="V16" s="208" t="str">
        <f>IF($B16&lt;1,"",AVERAGEIF('09월 화학성분'!$F$12:$F$949,$A16,'09월 화학성분'!#REF!))</f>
        <v/>
      </c>
      <c r="W16" s="208" t="str">
        <f>IF($B16&lt;1,"",AVERAGEIF('09월 화학성분'!$F$12:$F$949,$A16,'09월 화학성분'!AB$12:AB$949))</f>
        <v/>
      </c>
      <c r="X16" s="208" t="str">
        <f>IF($B16&lt;1,"",AVERAGEIF('09월 화학성분'!$F$12:$F$949,$A16,'09월 화학성분'!AC$12:AC$949))</f>
        <v/>
      </c>
      <c r="Y16" s="208" t="str">
        <f>IF($B16&lt;1,"",AVERAGEIF('09월 화학성분'!$F$12:$F$949,$A16,'09월 화학성분'!AD$12:AD$949))</f>
        <v/>
      </c>
      <c r="Z16" s="208" t="str">
        <f>IF($B16&lt;1,"",AVERAGEIF('09월 화학성분'!$F$12:$F$949,$A16,'09월 화학성분'!AF$12:AF$949))</f>
        <v/>
      </c>
      <c r="AA16" s="208" t="str">
        <f>IF($B16&lt;1,"",AVERAGEIF('09월 화학성분'!$F$12:$F$949,$A16,'09월 화학성분'!AG$12:AG$949))</f>
        <v/>
      </c>
      <c r="AB16" s="208" t="str">
        <f>IF($B16&lt;1,"",AVERAGEIF('09월 화학성분'!$F$12:$F$949,$A16,'09월 화학성분'!AH$12:AH$949))</f>
        <v/>
      </c>
      <c r="AC16" s="208" t="str">
        <f>IF($B16&lt;1,"",AVERAGEIF('09월 화학성분'!$F$12:$F$949,$A16,'09월 화학성분'!AI$12:AI$949))</f>
        <v/>
      </c>
      <c r="AD16" s="208" t="str">
        <f>IF($B16&lt;1,"",AVERAGEIF('09월 화학성분'!$F$12:$F$949,$A16,'09월 화학성분'!AJ$12:AJ$949))</f>
        <v/>
      </c>
      <c r="AE16" s="208" t="str">
        <f>IF($B16&lt;1,"",AVERAGEIF('09월 화학성분'!$F$12:$F$949,$A16,'09월 화학성분'!AL$12:AL$949))</f>
        <v/>
      </c>
      <c r="AF16" s="208" t="str">
        <f>IF($B16&lt;1,"",AVERAGEIF('09월 화학성분'!$F$12:$F$949,$A16,'09월 화학성분'!AM$12:AM$949))</f>
        <v/>
      </c>
      <c r="AG16" s="207" t="str">
        <f>IF($B16&lt;1,"",AVERAGEIF('09월 화학성분'!$F$12:$F$949,$A16,'09월 화학성분'!AN$12:AN$949))</f>
        <v/>
      </c>
      <c r="AH16" s="207" t="str">
        <f>IF($B16&lt;1,"",AVERAGEIF('09월 화학성분'!$F$12:$F$949,$A16,'09월 화학성분'!AO$12:AO$949))</f>
        <v/>
      </c>
      <c r="AI16" s="200" t="str">
        <f>IF($B16&lt;1,"",AVERAGEIF('09월 화학성분'!$F$12:$F$949,$A16,'09월 화학성분'!AP$12:AP$949))</f>
        <v/>
      </c>
      <c r="AJ16" s="217" t="str">
        <f>IF($B16&lt;1,"",AVERAGEIF('09월 고철장입'!$F$14:$F$949,$A16,'09월 고철장입'!G$14:G$949))</f>
        <v/>
      </c>
      <c r="AK16" s="217" t="str">
        <f>IF($B16&lt;1,"",AVERAGEIF('09월 고철장입'!$F$14:$F$949,$A16,'09월 고철장입'!H$14:H$949))</f>
        <v/>
      </c>
      <c r="AL16" s="217" t="str">
        <f>IF($B16&lt;1,"",AVERAGEIF('09월 고철장입'!$F$14:$F$949,$A16,'09월 고철장입'!I$14:I$949))</f>
        <v/>
      </c>
      <c r="AM16" s="217" t="str">
        <f>IF($B16&lt;1,"",AVERAGEIF('09월 고철장입'!$F$14:$F$949,$A16,'09월 고철장입'!J$14:J$949))</f>
        <v/>
      </c>
      <c r="AN16" s="217" t="str">
        <f>IF($B16&lt;1,"",AVERAGEIF('09월 고철장입'!$F$14:$F$949,$A16,'09월 고철장입'!L$14:L$949))</f>
        <v/>
      </c>
      <c r="AO16" s="217" t="str">
        <f>IF($B16&lt;1,"",AVERAGEIF('09월 고철장입'!$F$14:$F$949,$A16,'09월 고철장입'!O$14:O$949))</f>
        <v/>
      </c>
      <c r="AP16" s="214" t="str">
        <f>IF($B16&lt;1,"",AVERAGEIF('09월 고철장입'!$F$14:$F$949,$A16,'09월 고철장입'!P$14:P$949))</f>
        <v/>
      </c>
      <c r="AQ16" s="214" t="str">
        <f>IF($B16&lt;1,"",AVERAGEIF('09월 고철장입'!$F$14:$F$949,$A16,'09월 고철장입'!Q$14:Q$949))</f>
        <v/>
      </c>
      <c r="AR16" s="214" t="str">
        <f>IF($B16&lt;1,"",AVERAGEIF('09월 고철장입'!$F$14:$F$949,$A16,'09월 고철장입'!S$14:S$949))</f>
        <v/>
      </c>
      <c r="AS16" s="214" t="str">
        <f>IF($B16&lt;1,"",AVERAGEIF('09월 고철장입'!$F$14:$F$949,$A16,'09월 고철장입'!AD$14:AD$949))</f>
        <v/>
      </c>
      <c r="AT16" s="214" t="str">
        <f>IF($B16&lt;1,"",AVERAGEIF('09월 고철장입'!$F$14:$F$949,$A16,'09월 고철장입'!AE$14:AE$949))</f>
        <v/>
      </c>
      <c r="AU16" s="217" t="str">
        <f>IF($B16&lt;1,"",AVERAGEIF('09월 고철장입'!$F$14:$F$949,$A16,'09월 고철장입'!AF$14:AF$949))</f>
        <v/>
      </c>
      <c r="AV16" s="217" t="str">
        <f>IF($B16&lt;1,"",AVERAGEIF('09월 고철장입'!$F$14:$F$949,$A16,'09월 고철장입'!AG$14:AG$949))</f>
        <v/>
      </c>
      <c r="AW16" s="217" t="str">
        <f>IF($B16&lt;1,"",AVERAGEIF('09월 고철장입'!$F$14:$F$949,$A16,'09월 고철장입'!AH$14:AH$949))</f>
        <v/>
      </c>
      <c r="AX16" s="217" t="str">
        <f>IF($B16&lt;1,"",AVERAGEIF('09월 고철장입'!$F$14:$F$949,$A16,'09월 고철장입'!AI$14:AI$949))</f>
        <v/>
      </c>
      <c r="AY16" s="248" t="str">
        <f>IF($B16&lt;1,"",AVERAGEIF('09월 고철장입'!$F$14:$F$949,$A16,'09월 고철장입'!AJ$14:AJ$949)/1000)</f>
        <v/>
      </c>
      <c r="AZ16" s="250" t="str">
        <f>IF($B16&lt;1,"",AVERAGEIF('09월 고철장입'!$F$14:$F$949,$A16,'09월 고철장입'!AK$14:AK$949))</f>
        <v/>
      </c>
      <c r="BA16" s="253" t="str">
        <f>IF($B16&lt;1,"",AVERAGEIF('09월 고철장입'!$F$14:$F$949,$A16,'09월 고철장입'!AL$14:AL$949))</f>
        <v/>
      </c>
      <c r="BB16" s="200" t="str">
        <f>IF($B16&lt;1,"",AVERAGEIF('09월 에너지'!$F$14:$F$949,$A16,'09월 에너지'!G24:G960))</f>
        <v/>
      </c>
      <c r="BC16" s="200" t="str">
        <f>IF($B16&lt;1,"",AVERAGEIF('09월 에너지'!$F$14:$F$949,$A16,'09월 에너지'!H24:H960))</f>
        <v/>
      </c>
      <c r="BD16" s="200" t="str">
        <f>IF($B16&lt;1,"",AVERAGEIF('09월 에너지'!$F$14:$F$949,$A16,'09월 에너지'!I24:I960))</f>
        <v/>
      </c>
      <c r="BE16" s="200" t="str">
        <f>IF($B16&lt;1,"",AVERAGEIF('09월 에너지'!$F$14:$F$949,$A16,'09월 에너지'!J24:J960))</f>
        <v/>
      </c>
      <c r="BF16" s="200" t="str">
        <f>IF($B16&lt;1,"",AVERAGEIF('09월 에너지'!$F$14:$F$949,$A16,'09월 에너지'!K24:K960))</f>
        <v/>
      </c>
      <c r="BG16" s="200" t="str">
        <f>IF($B16&lt;1,"",AVERAGEIF('09월 에너지'!$F$14:$F$949,$A16,'09월 에너지'!L24:L960))</f>
        <v/>
      </c>
      <c r="BH16" s="200" t="str">
        <f>IF($B16&lt;1,"",AVERAGEIF('09월 에너지'!$F$14:$F$949,$A16,'09월 에너지'!M24:M960))</f>
        <v/>
      </c>
      <c r="BI16" s="200" t="str">
        <f>IF($B16&lt;1,"",AVERAGEIF('09월 에너지'!$F$14:$F$949,$A16,'09월 에너지'!N24:N960))</f>
        <v/>
      </c>
      <c r="BJ16" s="200" t="str">
        <f>IF($B16&lt;1,"",AVERAGEIF('09월 에너지'!$F$14:$F$949,$A16,'09월 에너지'!O24:O960))</f>
        <v/>
      </c>
      <c r="BK16" s="200" t="str">
        <f>IF($B16&lt;1,"",AVERAGEIF('09월 에너지'!$F$14:$F$949,$A16,'09월 에너지'!P24:P960))</f>
        <v/>
      </c>
      <c r="BL16" s="200" t="str">
        <f>IF($B16&lt;1,"",AVERAGEIF('09월 에너지'!$F$14:$F$949,$A16,'09월 에너지'!Q24:Q960))</f>
        <v/>
      </c>
      <c r="BM16" s="200" t="str">
        <f>IF($B16&lt;1,"",AVERAGEIF('09월 에너지'!$F$14:$F$949,$A16,'09월 에너지'!R24:R960))</f>
        <v/>
      </c>
      <c r="BN16" s="200" t="str">
        <f>IF($B16&lt;1,"",AVERAGEIF('09월 에너지'!$F$14:$F$949,$A16,'09월 에너지'!S24:S960))</f>
        <v/>
      </c>
      <c r="BO16" s="200" t="str">
        <f>IF($B16&lt;1,"",AVERAGEIF('09월 에너지'!$F$14:$F$949,$A16,'09월 에너지'!T24:T960))</f>
        <v/>
      </c>
      <c r="BP16" s="200" t="str">
        <f>IF($B16&lt;1,"",AVERAGEIF('09월 에너지'!$F$14:$F$949,$A16,'09월 에너지'!U24:U960))</f>
        <v/>
      </c>
      <c r="BQ16" s="200" t="str">
        <f>IF($B16&lt;1,"",AVERAGEIF('09월 에너지'!$F$14:$F$949,$A16,'09월 에너지'!V24:V960))</f>
        <v/>
      </c>
      <c r="BR16" s="200" t="str">
        <f>IF($B16&lt;1,"",AVERAGEIF('09월 에너지'!$F$14:$F$949,$A16,'09월 에너지'!W24:W960))</f>
        <v/>
      </c>
      <c r="BS16" s="200" t="str">
        <f>IF($B16&lt;1,"",AVERAGEIF('09월 에너지'!$F$14:$F$949,$A16,'09월 에너지'!X24:X960))</f>
        <v/>
      </c>
      <c r="BT16" s="200" t="str">
        <f>IF($B16&lt;1,"",AVERAGEIF('09월 에너지'!$F$14:$F$949,$A16,'09월 에너지'!Y24:Y960))</f>
        <v/>
      </c>
      <c r="BU16" s="200" t="str">
        <f>IF($B16&lt;1,"",AVERAGEIF('09월 에너지'!$F$14:$F$949,$A16,'09월 에너지'!Z24:Z960))</f>
        <v/>
      </c>
      <c r="BV16" s="200" t="str">
        <f>IF($B16&lt;1,"",AVERAGEIF('09월 에너지'!$F$14:$F$949,$A16,'09월 에너지'!AA24:AA960))</f>
        <v/>
      </c>
      <c r="BW16" s="200" t="str">
        <f>IF($B16&lt;1,"",AVERAGEIF('09월 에너지'!$F$14:$F$949,$A16,'09월 에너지'!AB24:AB960))</f>
        <v/>
      </c>
      <c r="BX16" s="257" t="str">
        <f>IF($B16&lt;1,"",AVERAGEIF('09월 에너지'!$F$14:$F$949,$A16,'09월 에너지'!AC24:AC960))</f>
        <v/>
      </c>
      <c r="BY16" s="261" t="str">
        <f>IF($B16&lt;1,"",AVERAGEIF('09월 에너지'!$F$14:$F$949,$A16,'09월 에너지'!AD24:AD960))</f>
        <v/>
      </c>
      <c r="BZ16" s="262" t="str">
        <f>IF($B16&lt;1,"",AVERAGEIF('09월 에너지'!$F$14:$F$949,$A16,'09월 에너지'!AE24:AE960))</f>
        <v/>
      </c>
      <c r="CA16" s="249" t="str">
        <f>IF($B16&lt;1,"",AVERAGEIF('09월 에너지'!$F$14:$F$949,$A16,'09월 에너지'!AF24:AF960))</f>
        <v/>
      </c>
      <c r="CB16" s="200" t="str">
        <f>IF($B16&lt;1,"",AVERAGEIF('09월 에너지'!$F$14:$F$949,$A16,'09월 에너지'!AG24:AG960))</f>
        <v/>
      </c>
      <c r="CC16" s="200" t="str">
        <f>IF($B16&lt;1,"",AVERAGEIF('09월 에너지'!$F$14:$F$949,$A16,'09월 에너지'!AH24:AH960))</f>
        <v/>
      </c>
      <c r="CD16" s="200" t="str">
        <f>IF($B16&lt;1,"",AVERAGEIF('09월 에너지'!$F$14:$F$949,$A16,'09월 에너지'!AI24:AI960))</f>
        <v/>
      </c>
      <c r="CE16" s="206" t="str">
        <f>IF($B16&lt;1,"",AVERAGEIF('09월 에너지'!$F$14:$F$949,$A16,'09월 에너지'!AJ24:AJ960))</f>
        <v/>
      </c>
    </row>
    <row r="17" spans="1:83" ht="17.25" customHeight="1">
      <c r="A17" s="210"/>
      <c r="B17" s="243">
        <f>IF(A17="",0,COUNTIF('09월 화학성분'!$F$12:$F$949,$A17))</f>
        <v>0</v>
      </c>
      <c r="C17" s="240"/>
      <c r="D17" s="203"/>
      <c r="E17" s="203"/>
      <c r="F17" s="200" t="str">
        <f>IF($B17&lt;1,"",AVERAGEIF('09월 화학성분'!$F$12:$F$949,$A17,'09월 화학성분'!G$12:G$949))</f>
        <v/>
      </c>
      <c r="G17" s="200" t="str">
        <f>IF($B17&lt;1,"",AVERAGEIF('09월 화학성분'!$F$12:$F$949,$A17,'09월 화학성분'!H$12:H$949))</f>
        <v/>
      </c>
      <c r="H17" s="200" t="str">
        <f>IF($B17&lt;1,"",AVERAGEIF('09월 화학성분'!$F$12:$F$949,$A17,'09월 화학성분'!I$12:I$949))</f>
        <v/>
      </c>
      <c r="I17" s="200" t="str">
        <f>IF($B17&lt;1,"",AVERAGEIF('09월 화학성분'!$F$12:$F$949,$A17,'09월 화학성분'!J$12:J$949))</f>
        <v/>
      </c>
      <c r="J17" s="200" t="str">
        <f>IF($B17&lt;1,"",AVERAGEIF('09월 화학성분'!$F$12:$F$949,$A17,'09월 화학성분'!K$12:K$949))</f>
        <v/>
      </c>
      <c r="K17" s="200" t="str">
        <f>IF($B17&lt;1,"",AVERAGEIF('09월 화학성분'!$F$12:$F$949,$A17,'09월 화학성분'!L$12:L$949))</f>
        <v/>
      </c>
      <c r="L17" s="200" t="str">
        <f>IF($B17&lt;1,"",AVERAGEIF('09월 화학성분'!$F$12:$F$949,$A17,'09월 화학성분'!M$12:M$949))</f>
        <v/>
      </c>
      <c r="M17" s="208" t="str">
        <f>IF($B17&lt;1,"",AVERAGEIF('09월 화학성분'!$F$12:$F$949,$A17,'09월 화학성분'!N$12:N$949))</f>
        <v/>
      </c>
      <c r="N17" s="208" t="str">
        <f>IF($B17&lt;1,"",AVERAGEIF('09월 화학성분'!$F$12:$F$949,$A17,'09월 화학성분'!O$12:O$949))</f>
        <v/>
      </c>
      <c r="O17" s="208" t="str">
        <f>IF($B17&lt;1,"",AVERAGEIF('09월 화학성분'!$F$12:$F$949,$A17,'09월 화학성분'!P$12:P$949))</f>
        <v/>
      </c>
      <c r="P17" s="208" t="str">
        <f>IF($B17&lt;1,"",AVERAGEIF('09월 화학성분'!$F$12:$F$949,$A17,'09월 화학성분'!Q$12:Q$949))</f>
        <v/>
      </c>
      <c r="Q17" s="208" t="str">
        <f>IF($B17&lt;1,"",AVERAGEIF('09월 화학성분'!$F$12:$F$949,$A17,'09월 화학성분'!R$12:R$949))</f>
        <v/>
      </c>
      <c r="R17" s="208" t="str">
        <f>IF($B17&lt;1,"",AVERAGEIF('09월 화학성분'!$F$12:$F$949,$A17,'09월 화학성분'!U$12:U$949))</f>
        <v/>
      </c>
      <c r="S17" s="208" t="str">
        <f>IF($B17&lt;1,"",AVERAGEIF('09월 화학성분'!$F$12:$F$949,$A17,'09월 화학성분'!V$12:V$949))</f>
        <v/>
      </c>
      <c r="T17" s="208" t="str">
        <f>IF($B17&lt;1,"",AVERAGEIF('09월 화학성분'!$F$12:$F$949,$A17,'09월 화학성분'!W$12:W$949))</f>
        <v/>
      </c>
      <c r="U17" s="208" t="str">
        <f>IF($B17&lt;1,"",AVERAGEIF('09월 화학성분'!$F$12:$F$949,$A17,'09월 화학성분'!X$12:X$949))</f>
        <v/>
      </c>
      <c r="V17" s="208" t="str">
        <f>IF($B17&lt;1,"",AVERAGEIF('09월 화학성분'!$F$12:$F$949,$A17,'09월 화학성분'!#REF!))</f>
        <v/>
      </c>
      <c r="W17" s="208" t="str">
        <f>IF($B17&lt;1,"",AVERAGEIF('09월 화학성분'!$F$12:$F$949,$A17,'09월 화학성분'!AB$12:AB$949))</f>
        <v/>
      </c>
      <c r="X17" s="208" t="str">
        <f>IF($B17&lt;1,"",AVERAGEIF('09월 화학성분'!$F$12:$F$949,$A17,'09월 화학성분'!AC$12:AC$949))</f>
        <v/>
      </c>
      <c r="Y17" s="208" t="str">
        <f>IF($B17&lt;1,"",AVERAGEIF('09월 화학성분'!$F$12:$F$949,$A17,'09월 화학성분'!AD$12:AD$949))</f>
        <v/>
      </c>
      <c r="Z17" s="208" t="str">
        <f>IF($B17&lt;1,"",AVERAGEIF('09월 화학성분'!$F$12:$F$949,$A17,'09월 화학성분'!AF$12:AF$949))</f>
        <v/>
      </c>
      <c r="AA17" s="208" t="str">
        <f>IF($B17&lt;1,"",AVERAGEIF('09월 화학성분'!$F$12:$F$949,$A17,'09월 화학성분'!AG$12:AG$949))</f>
        <v/>
      </c>
      <c r="AB17" s="208" t="str">
        <f>IF($B17&lt;1,"",AVERAGEIF('09월 화학성분'!$F$12:$F$949,$A17,'09월 화학성분'!AH$12:AH$949))</f>
        <v/>
      </c>
      <c r="AC17" s="208" t="str">
        <f>IF($B17&lt;1,"",AVERAGEIF('09월 화학성분'!$F$12:$F$949,$A17,'09월 화학성분'!AI$12:AI$949))</f>
        <v/>
      </c>
      <c r="AD17" s="208" t="str">
        <f>IF($B17&lt;1,"",AVERAGEIF('09월 화학성분'!$F$12:$F$949,$A17,'09월 화학성분'!AJ$12:AJ$949))</f>
        <v/>
      </c>
      <c r="AE17" s="208" t="str">
        <f>IF($B17&lt;1,"",AVERAGEIF('09월 화학성분'!$F$12:$F$949,$A17,'09월 화학성분'!AL$12:AL$949))</f>
        <v/>
      </c>
      <c r="AF17" s="208" t="str">
        <f>IF($B17&lt;1,"",AVERAGEIF('09월 화학성분'!$F$12:$F$949,$A17,'09월 화학성분'!AM$12:AM$949))</f>
        <v/>
      </c>
      <c r="AG17" s="207" t="str">
        <f>IF($B17&lt;1,"",AVERAGEIF('09월 화학성분'!$F$12:$F$949,$A17,'09월 화학성분'!AN$12:AN$949))</f>
        <v/>
      </c>
      <c r="AH17" s="207" t="str">
        <f>IF($B17&lt;1,"",AVERAGEIF('09월 화학성분'!$F$12:$F$949,$A17,'09월 화학성분'!AO$12:AO$949))</f>
        <v/>
      </c>
      <c r="AI17" s="200" t="str">
        <f>IF($B17&lt;1,"",AVERAGEIF('09월 화학성분'!$F$12:$F$949,$A17,'09월 화학성분'!AP$12:AP$949))</f>
        <v/>
      </c>
      <c r="AJ17" s="217" t="str">
        <f>IF($B17&lt;1,"",AVERAGEIF('09월 고철장입'!$F$14:$F$949,$A17,'09월 고철장입'!G$14:G$949))</f>
        <v/>
      </c>
      <c r="AK17" s="217" t="str">
        <f>IF($B17&lt;1,"",AVERAGEIF('09월 고철장입'!$F$14:$F$949,$A17,'09월 고철장입'!H$14:H$949))</f>
        <v/>
      </c>
      <c r="AL17" s="217" t="str">
        <f>IF($B17&lt;1,"",AVERAGEIF('09월 고철장입'!$F$14:$F$949,$A17,'09월 고철장입'!I$14:I$949))</f>
        <v/>
      </c>
      <c r="AM17" s="217" t="str">
        <f>IF($B17&lt;1,"",AVERAGEIF('09월 고철장입'!$F$14:$F$949,$A17,'09월 고철장입'!J$14:J$949))</f>
        <v/>
      </c>
      <c r="AN17" s="217" t="str">
        <f>IF($B17&lt;1,"",AVERAGEIF('09월 고철장입'!$F$14:$F$949,$A17,'09월 고철장입'!L$14:L$949))</f>
        <v/>
      </c>
      <c r="AO17" s="217" t="str">
        <f>IF($B17&lt;1,"",AVERAGEIF('09월 고철장입'!$F$14:$F$949,$A17,'09월 고철장입'!O$14:O$949))</f>
        <v/>
      </c>
      <c r="AP17" s="214" t="str">
        <f>IF($B17&lt;1,"",AVERAGEIF('09월 고철장입'!$F$14:$F$949,$A17,'09월 고철장입'!P$14:P$949))</f>
        <v/>
      </c>
      <c r="AQ17" s="214" t="str">
        <f>IF($B17&lt;1,"",AVERAGEIF('09월 고철장입'!$F$14:$F$949,$A17,'09월 고철장입'!Q$14:Q$949))</f>
        <v/>
      </c>
      <c r="AR17" s="214" t="str">
        <f>IF($B17&lt;1,"",AVERAGEIF('09월 고철장입'!$F$14:$F$949,$A17,'09월 고철장입'!S$14:S$949))</f>
        <v/>
      </c>
      <c r="AS17" s="214" t="str">
        <f>IF($B17&lt;1,"",AVERAGEIF('09월 고철장입'!$F$14:$F$949,$A17,'09월 고철장입'!AD$14:AD$949))</f>
        <v/>
      </c>
      <c r="AT17" s="214" t="str">
        <f>IF($B17&lt;1,"",AVERAGEIF('09월 고철장입'!$F$14:$F$949,$A17,'09월 고철장입'!AE$14:AE$949))</f>
        <v/>
      </c>
      <c r="AU17" s="217" t="str">
        <f>IF($B17&lt;1,"",AVERAGEIF('09월 고철장입'!$F$14:$F$949,$A17,'09월 고철장입'!AF$14:AF$949))</f>
        <v/>
      </c>
      <c r="AV17" s="217" t="str">
        <f>IF($B17&lt;1,"",AVERAGEIF('09월 고철장입'!$F$14:$F$949,$A17,'09월 고철장입'!AG$14:AG$949))</f>
        <v/>
      </c>
      <c r="AW17" s="217" t="str">
        <f>IF($B17&lt;1,"",AVERAGEIF('09월 고철장입'!$F$14:$F$949,$A17,'09월 고철장입'!AH$14:AH$949))</f>
        <v/>
      </c>
      <c r="AX17" s="217" t="str">
        <f>IF($B17&lt;1,"",AVERAGEIF('09월 고철장입'!$F$14:$F$949,$A17,'09월 고철장입'!AI$14:AI$949))</f>
        <v/>
      </c>
      <c r="AY17" s="248" t="str">
        <f>IF($B17&lt;1,"",AVERAGEIF('09월 고철장입'!$F$14:$F$949,$A17,'09월 고철장입'!AJ$14:AJ$949)/1000)</f>
        <v/>
      </c>
      <c r="AZ17" s="250" t="str">
        <f>IF($B17&lt;1,"",AVERAGEIF('09월 고철장입'!$F$14:$F$949,$A17,'09월 고철장입'!AK$14:AK$949))</f>
        <v/>
      </c>
      <c r="BA17" s="253" t="str">
        <f>IF($B17&lt;1,"",AVERAGEIF('09월 고철장입'!$F$14:$F$949,$A17,'09월 고철장입'!AL$14:AL$949))</f>
        <v/>
      </c>
      <c r="BB17" s="200" t="str">
        <f>IF($B17&lt;1,"",AVERAGEIF('09월 에너지'!$F$14:$F$949,$A17,'09월 에너지'!G25:G961))</f>
        <v/>
      </c>
      <c r="BC17" s="200" t="str">
        <f>IF($B17&lt;1,"",AVERAGEIF('09월 에너지'!$F$14:$F$949,$A17,'09월 에너지'!H25:H961))</f>
        <v/>
      </c>
      <c r="BD17" s="200" t="str">
        <f>IF($B17&lt;1,"",AVERAGEIF('09월 에너지'!$F$14:$F$949,$A17,'09월 에너지'!I25:I961))</f>
        <v/>
      </c>
      <c r="BE17" s="200" t="str">
        <f>IF($B17&lt;1,"",AVERAGEIF('09월 에너지'!$F$14:$F$949,$A17,'09월 에너지'!J25:J961))</f>
        <v/>
      </c>
      <c r="BF17" s="200" t="str">
        <f>IF($B17&lt;1,"",AVERAGEIF('09월 에너지'!$F$14:$F$949,$A17,'09월 에너지'!K25:K961))</f>
        <v/>
      </c>
      <c r="BG17" s="200" t="str">
        <f>IF($B17&lt;1,"",AVERAGEIF('09월 에너지'!$F$14:$F$949,$A17,'09월 에너지'!L25:L961))</f>
        <v/>
      </c>
      <c r="BH17" s="200" t="str">
        <f>IF($B17&lt;1,"",AVERAGEIF('09월 에너지'!$F$14:$F$949,$A17,'09월 에너지'!M25:M961))</f>
        <v/>
      </c>
      <c r="BI17" s="200" t="str">
        <f>IF($B17&lt;1,"",AVERAGEIF('09월 에너지'!$F$14:$F$949,$A17,'09월 에너지'!N25:N961))</f>
        <v/>
      </c>
      <c r="BJ17" s="200" t="str">
        <f>IF($B17&lt;1,"",AVERAGEIF('09월 에너지'!$F$14:$F$949,$A17,'09월 에너지'!O25:O961))</f>
        <v/>
      </c>
      <c r="BK17" s="200" t="str">
        <f>IF($B17&lt;1,"",AVERAGEIF('09월 에너지'!$F$14:$F$949,$A17,'09월 에너지'!P25:P961))</f>
        <v/>
      </c>
      <c r="BL17" s="200" t="str">
        <f>IF($B17&lt;1,"",AVERAGEIF('09월 에너지'!$F$14:$F$949,$A17,'09월 에너지'!Q25:Q961))</f>
        <v/>
      </c>
      <c r="BM17" s="200" t="str">
        <f>IF($B17&lt;1,"",AVERAGEIF('09월 에너지'!$F$14:$F$949,$A17,'09월 에너지'!R25:R961))</f>
        <v/>
      </c>
      <c r="BN17" s="200" t="str">
        <f>IF($B17&lt;1,"",AVERAGEIF('09월 에너지'!$F$14:$F$949,$A17,'09월 에너지'!S25:S961))</f>
        <v/>
      </c>
      <c r="BO17" s="200" t="str">
        <f>IF($B17&lt;1,"",AVERAGEIF('09월 에너지'!$F$14:$F$949,$A17,'09월 에너지'!T25:T961))</f>
        <v/>
      </c>
      <c r="BP17" s="200" t="str">
        <f>IF($B17&lt;1,"",AVERAGEIF('09월 에너지'!$F$14:$F$949,$A17,'09월 에너지'!U25:U961))</f>
        <v/>
      </c>
      <c r="BQ17" s="200" t="str">
        <f>IF($B17&lt;1,"",AVERAGEIF('09월 에너지'!$F$14:$F$949,$A17,'09월 에너지'!V25:V961))</f>
        <v/>
      </c>
      <c r="BR17" s="200" t="str">
        <f>IF($B17&lt;1,"",AVERAGEIF('09월 에너지'!$F$14:$F$949,$A17,'09월 에너지'!W25:W961))</f>
        <v/>
      </c>
      <c r="BS17" s="200" t="str">
        <f>IF($B17&lt;1,"",AVERAGEIF('09월 에너지'!$F$14:$F$949,$A17,'09월 에너지'!X25:X961))</f>
        <v/>
      </c>
      <c r="BT17" s="200" t="str">
        <f>IF($B17&lt;1,"",AVERAGEIF('09월 에너지'!$F$14:$F$949,$A17,'09월 에너지'!Y25:Y961))</f>
        <v/>
      </c>
      <c r="BU17" s="200" t="str">
        <f>IF($B17&lt;1,"",AVERAGEIF('09월 에너지'!$F$14:$F$949,$A17,'09월 에너지'!Z25:Z961))</f>
        <v/>
      </c>
      <c r="BV17" s="200" t="str">
        <f>IF($B17&lt;1,"",AVERAGEIF('09월 에너지'!$F$14:$F$949,$A17,'09월 에너지'!AA25:AA961))</f>
        <v/>
      </c>
      <c r="BW17" s="200" t="str">
        <f>IF($B17&lt;1,"",AVERAGEIF('09월 에너지'!$F$14:$F$949,$A17,'09월 에너지'!AB25:AB961))</f>
        <v/>
      </c>
      <c r="BX17" s="257" t="str">
        <f>IF($B17&lt;1,"",AVERAGEIF('09월 에너지'!$F$14:$F$949,$A17,'09월 에너지'!AC25:AC961))</f>
        <v/>
      </c>
      <c r="BY17" s="261" t="str">
        <f>IF($B17&lt;1,"",AVERAGEIF('09월 에너지'!$F$14:$F$949,$A17,'09월 에너지'!AD25:AD961))</f>
        <v/>
      </c>
      <c r="BZ17" s="262" t="str">
        <f>IF($B17&lt;1,"",AVERAGEIF('09월 에너지'!$F$14:$F$949,$A17,'09월 에너지'!AE25:AE961))</f>
        <v/>
      </c>
      <c r="CA17" s="249" t="str">
        <f>IF($B17&lt;1,"",AVERAGEIF('09월 에너지'!$F$14:$F$949,$A17,'09월 에너지'!AF25:AF961))</f>
        <v/>
      </c>
      <c r="CB17" s="200" t="str">
        <f>IF($B17&lt;1,"",AVERAGEIF('09월 에너지'!$F$14:$F$949,$A17,'09월 에너지'!AG25:AG961))</f>
        <v/>
      </c>
      <c r="CC17" s="200" t="str">
        <f>IF($B17&lt;1,"",AVERAGEIF('09월 에너지'!$F$14:$F$949,$A17,'09월 에너지'!AH25:AH961))</f>
        <v/>
      </c>
      <c r="CD17" s="200" t="str">
        <f>IF($B17&lt;1,"",AVERAGEIF('09월 에너지'!$F$14:$F$949,$A17,'09월 에너지'!AI25:AI961))</f>
        <v/>
      </c>
      <c r="CE17" s="206" t="str">
        <f>IF($B17&lt;1,"",AVERAGEIF('09월 에너지'!$F$14:$F$949,$A17,'09월 에너지'!AJ25:AJ961))</f>
        <v/>
      </c>
    </row>
    <row r="18" spans="1:83" ht="17.25" customHeight="1">
      <c r="A18" s="210"/>
      <c r="B18" s="243">
        <f>IF(A18="",0,COUNTIF('09월 화학성분'!$F$12:$F$949,$A18))</f>
        <v>0</v>
      </c>
      <c r="C18" s="240"/>
      <c r="D18" s="203"/>
      <c r="E18" s="203"/>
      <c r="F18" s="200" t="str">
        <f>IF($B18&lt;1,"",AVERAGEIF('09월 화학성분'!$F$12:$F$949,$A18,'09월 화학성분'!G$12:G$949))</f>
        <v/>
      </c>
      <c r="G18" s="200" t="str">
        <f>IF($B18&lt;1,"",AVERAGEIF('09월 화학성분'!$F$12:$F$949,$A18,'09월 화학성분'!H$12:H$949))</f>
        <v/>
      </c>
      <c r="H18" s="200" t="str">
        <f>IF($B18&lt;1,"",AVERAGEIF('09월 화학성분'!$F$12:$F$949,$A18,'09월 화학성분'!I$12:I$949))</f>
        <v/>
      </c>
      <c r="I18" s="200" t="str">
        <f>IF($B18&lt;1,"",AVERAGEIF('09월 화학성분'!$F$12:$F$949,$A18,'09월 화학성분'!J$12:J$949))</f>
        <v/>
      </c>
      <c r="J18" s="200" t="str">
        <f>IF($B18&lt;1,"",AVERAGEIF('09월 화학성분'!$F$12:$F$949,$A18,'09월 화학성분'!K$12:K$949))</f>
        <v/>
      </c>
      <c r="K18" s="200" t="str">
        <f>IF($B18&lt;1,"",AVERAGEIF('09월 화학성분'!$F$12:$F$949,$A18,'09월 화학성분'!L$12:L$949))</f>
        <v/>
      </c>
      <c r="L18" s="200" t="str">
        <f>IF($B18&lt;1,"",AVERAGEIF('09월 화학성분'!$F$12:$F$949,$A18,'09월 화학성분'!M$12:M$949))</f>
        <v/>
      </c>
      <c r="M18" s="208" t="str">
        <f>IF($B18&lt;1,"",AVERAGEIF('09월 화학성분'!$F$12:$F$949,$A18,'09월 화학성분'!N$12:N$949))</f>
        <v/>
      </c>
      <c r="N18" s="208" t="str">
        <f>IF($B18&lt;1,"",AVERAGEIF('09월 화학성분'!$F$12:$F$949,$A18,'09월 화학성분'!O$12:O$949))</f>
        <v/>
      </c>
      <c r="O18" s="208" t="str">
        <f>IF($B18&lt;1,"",AVERAGEIF('09월 화학성분'!$F$12:$F$949,$A18,'09월 화학성분'!P$12:P$949))</f>
        <v/>
      </c>
      <c r="P18" s="208" t="str">
        <f>IF($B18&lt;1,"",AVERAGEIF('09월 화학성분'!$F$12:$F$949,$A18,'09월 화학성분'!Q$12:Q$949))</f>
        <v/>
      </c>
      <c r="Q18" s="208" t="str">
        <f>IF($B18&lt;1,"",AVERAGEIF('09월 화학성분'!$F$12:$F$949,$A18,'09월 화학성분'!R$12:R$949))</f>
        <v/>
      </c>
      <c r="R18" s="208" t="str">
        <f>IF($B18&lt;1,"",AVERAGEIF('09월 화학성분'!$F$12:$F$949,$A18,'09월 화학성분'!U$12:U$949))</f>
        <v/>
      </c>
      <c r="S18" s="208" t="str">
        <f>IF($B18&lt;1,"",AVERAGEIF('09월 화학성분'!$F$12:$F$949,$A18,'09월 화학성분'!V$12:V$949))</f>
        <v/>
      </c>
      <c r="T18" s="208" t="str">
        <f>IF($B18&lt;1,"",AVERAGEIF('09월 화학성분'!$F$12:$F$949,$A18,'09월 화학성분'!W$12:W$949))</f>
        <v/>
      </c>
      <c r="U18" s="208" t="str">
        <f>IF($B18&lt;1,"",AVERAGEIF('09월 화학성분'!$F$12:$F$949,$A18,'09월 화학성분'!X$12:X$949))</f>
        <v/>
      </c>
      <c r="V18" s="208" t="str">
        <f>IF($B18&lt;1,"",AVERAGEIF('09월 화학성분'!$F$12:$F$949,$A18,'09월 화학성분'!#REF!))</f>
        <v/>
      </c>
      <c r="W18" s="208" t="str">
        <f>IF($B18&lt;1,"",AVERAGEIF('09월 화학성분'!$F$12:$F$949,$A18,'09월 화학성분'!AB$12:AB$949))</f>
        <v/>
      </c>
      <c r="X18" s="208" t="str">
        <f>IF($B18&lt;1,"",AVERAGEIF('09월 화학성분'!$F$12:$F$949,$A18,'09월 화학성분'!AC$12:AC$949))</f>
        <v/>
      </c>
      <c r="Y18" s="208" t="str">
        <f>IF($B18&lt;1,"",AVERAGEIF('09월 화학성분'!$F$12:$F$949,$A18,'09월 화학성분'!AD$12:AD$949))</f>
        <v/>
      </c>
      <c r="Z18" s="208" t="str">
        <f>IF($B18&lt;1,"",AVERAGEIF('09월 화학성분'!$F$12:$F$949,$A18,'09월 화학성분'!AF$12:AF$949))</f>
        <v/>
      </c>
      <c r="AA18" s="208" t="str">
        <f>IF($B18&lt;1,"",AVERAGEIF('09월 화학성분'!$F$12:$F$949,$A18,'09월 화학성분'!AG$12:AG$949))</f>
        <v/>
      </c>
      <c r="AB18" s="208" t="str">
        <f>IF($B18&lt;1,"",AVERAGEIF('09월 화학성분'!$F$12:$F$949,$A18,'09월 화학성분'!AH$12:AH$949))</f>
        <v/>
      </c>
      <c r="AC18" s="208" t="str">
        <f>IF($B18&lt;1,"",AVERAGEIF('09월 화학성분'!$F$12:$F$949,$A18,'09월 화학성분'!AI$12:AI$949))</f>
        <v/>
      </c>
      <c r="AD18" s="208" t="str">
        <f>IF($B18&lt;1,"",AVERAGEIF('09월 화학성분'!$F$12:$F$949,$A18,'09월 화학성분'!AJ$12:AJ$949))</f>
        <v/>
      </c>
      <c r="AE18" s="208" t="str">
        <f>IF($B18&lt;1,"",AVERAGEIF('09월 화학성분'!$F$12:$F$949,$A18,'09월 화학성분'!AL$12:AL$949))</f>
        <v/>
      </c>
      <c r="AF18" s="208" t="str">
        <f>IF($B18&lt;1,"",AVERAGEIF('09월 화학성분'!$F$12:$F$949,$A18,'09월 화학성분'!AM$12:AM$949))</f>
        <v/>
      </c>
      <c r="AG18" s="207" t="str">
        <f>IF($B18&lt;1,"",AVERAGEIF('09월 화학성분'!$F$12:$F$949,$A18,'09월 화학성분'!AN$12:AN$949))</f>
        <v/>
      </c>
      <c r="AH18" s="207" t="str">
        <f>IF($B18&lt;1,"",AVERAGEIF('09월 화학성분'!$F$12:$F$949,$A18,'09월 화학성분'!AO$12:AO$949))</f>
        <v/>
      </c>
      <c r="AI18" s="200" t="str">
        <f>IF($B18&lt;1,"",AVERAGEIF('09월 화학성분'!$F$12:$F$949,$A18,'09월 화학성분'!AP$12:AP$949))</f>
        <v/>
      </c>
      <c r="AJ18" s="217" t="str">
        <f>IF($B18&lt;1,"",AVERAGEIF('09월 고철장입'!$F$14:$F$949,$A18,'09월 고철장입'!G$14:G$949))</f>
        <v/>
      </c>
      <c r="AK18" s="217" t="str">
        <f>IF($B18&lt;1,"",AVERAGEIF('09월 고철장입'!$F$14:$F$949,$A18,'09월 고철장입'!H$14:H$949))</f>
        <v/>
      </c>
      <c r="AL18" s="217" t="str">
        <f>IF($B18&lt;1,"",AVERAGEIF('09월 고철장입'!$F$14:$F$949,$A18,'09월 고철장입'!I$14:I$949))</f>
        <v/>
      </c>
      <c r="AM18" s="217" t="str">
        <f>IF($B18&lt;1,"",AVERAGEIF('09월 고철장입'!$F$14:$F$949,$A18,'09월 고철장입'!J$14:J$949))</f>
        <v/>
      </c>
      <c r="AN18" s="217" t="str">
        <f>IF($B18&lt;1,"",AVERAGEIF('09월 고철장입'!$F$14:$F$949,$A18,'09월 고철장입'!L$14:L$949))</f>
        <v/>
      </c>
      <c r="AO18" s="217" t="str">
        <f>IF($B18&lt;1,"",AVERAGEIF('09월 고철장입'!$F$14:$F$949,$A18,'09월 고철장입'!O$14:O$949))</f>
        <v/>
      </c>
      <c r="AP18" s="214" t="str">
        <f>IF($B18&lt;1,"",AVERAGEIF('09월 고철장입'!$F$14:$F$949,$A18,'09월 고철장입'!P$14:P$949))</f>
        <v/>
      </c>
      <c r="AQ18" s="214" t="str">
        <f>IF($B18&lt;1,"",AVERAGEIF('09월 고철장입'!$F$14:$F$949,$A18,'09월 고철장입'!Q$14:Q$949))</f>
        <v/>
      </c>
      <c r="AR18" s="214" t="str">
        <f>IF($B18&lt;1,"",AVERAGEIF('09월 고철장입'!$F$14:$F$949,$A18,'09월 고철장입'!S$14:S$949))</f>
        <v/>
      </c>
      <c r="AS18" s="214" t="str">
        <f>IF($B18&lt;1,"",AVERAGEIF('09월 고철장입'!$F$14:$F$949,$A18,'09월 고철장입'!AD$14:AD$949))</f>
        <v/>
      </c>
      <c r="AT18" s="214" t="str">
        <f>IF($B18&lt;1,"",AVERAGEIF('09월 고철장입'!$F$14:$F$949,$A18,'09월 고철장입'!AE$14:AE$949))</f>
        <v/>
      </c>
      <c r="AU18" s="217" t="str">
        <f>IF($B18&lt;1,"",AVERAGEIF('09월 고철장입'!$F$14:$F$949,$A18,'09월 고철장입'!AF$14:AF$949))</f>
        <v/>
      </c>
      <c r="AV18" s="217" t="str">
        <f>IF($B18&lt;1,"",AVERAGEIF('09월 고철장입'!$F$14:$F$949,$A18,'09월 고철장입'!AG$14:AG$949))</f>
        <v/>
      </c>
      <c r="AW18" s="217" t="str">
        <f>IF($B18&lt;1,"",AVERAGEIF('09월 고철장입'!$F$14:$F$949,$A18,'09월 고철장입'!AH$14:AH$949))</f>
        <v/>
      </c>
      <c r="AX18" s="217" t="str">
        <f>IF($B18&lt;1,"",AVERAGEIF('09월 고철장입'!$F$14:$F$949,$A18,'09월 고철장입'!AI$14:AI$949))</f>
        <v/>
      </c>
      <c r="AY18" s="248" t="str">
        <f>IF($B18&lt;1,"",AVERAGEIF('09월 고철장입'!$F$14:$F$949,$A18,'09월 고철장입'!AJ$14:AJ$949)/1000)</f>
        <v/>
      </c>
      <c r="AZ18" s="250" t="str">
        <f>IF($B18&lt;1,"",AVERAGEIF('09월 고철장입'!$F$14:$F$949,$A18,'09월 고철장입'!AK$14:AK$949))</f>
        <v/>
      </c>
      <c r="BA18" s="253" t="str">
        <f>IF($B18&lt;1,"",AVERAGEIF('09월 고철장입'!$F$14:$F$949,$A18,'09월 고철장입'!AL$14:AL$949))</f>
        <v/>
      </c>
      <c r="BB18" s="200" t="str">
        <f>IF($B18&lt;1,"",AVERAGEIF('09월 에너지'!$F$14:$F$949,$A18,'09월 에너지'!G26:G962))</f>
        <v/>
      </c>
      <c r="BC18" s="200" t="str">
        <f>IF($B18&lt;1,"",AVERAGEIF('09월 에너지'!$F$14:$F$949,$A18,'09월 에너지'!H26:H962))</f>
        <v/>
      </c>
      <c r="BD18" s="200" t="str">
        <f>IF($B18&lt;1,"",AVERAGEIF('09월 에너지'!$F$14:$F$949,$A18,'09월 에너지'!I26:I962))</f>
        <v/>
      </c>
      <c r="BE18" s="200" t="str">
        <f>IF($B18&lt;1,"",AVERAGEIF('09월 에너지'!$F$14:$F$949,$A18,'09월 에너지'!J26:J962))</f>
        <v/>
      </c>
      <c r="BF18" s="200" t="str">
        <f>IF($B18&lt;1,"",AVERAGEIF('09월 에너지'!$F$14:$F$949,$A18,'09월 에너지'!K26:K962))</f>
        <v/>
      </c>
      <c r="BG18" s="200" t="str">
        <f>IF($B18&lt;1,"",AVERAGEIF('09월 에너지'!$F$14:$F$949,$A18,'09월 에너지'!L26:L962))</f>
        <v/>
      </c>
      <c r="BH18" s="200" t="str">
        <f>IF($B18&lt;1,"",AVERAGEIF('09월 에너지'!$F$14:$F$949,$A18,'09월 에너지'!M26:M962))</f>
        <v/>
      </c>
      <c r="BI18" s="200" t="str">
        <f>IF($B18&lt;1,"",AVERAGEIF('09월 에너지'!$F$14:$F$949,$A18,'09월 에너지'!N26:N962))</f>
        <v/>
      </c>
      <c r="BJ18" s="200" t="str">
        <f>IF($B18&lt;1,"",AVERAGEIF('09월 에너지'!$F$14:$F$949,$A18,'09월 에너지'!O26:O962))</f>
        <v/>
      </c>
      <c r="BK18" s="200" t="str">
        <f>IF($B18&lt;1,"",AVERAGEIF('09월 에너지'!$F$14:$F$949,$A18,'09월 에너지'!P26:P962))</f>
        <v/>
      </c>
      <c r="BL18" s="200" t="str">
        <f>IF($B18&lt;1,"",AVERAGEIF('09월 에너지'!$F$14:$F$949,$A18,'09월 에너지'!Q26:Q962))</f>
        <v/>
      </c>
      <c r="BM18" s="200" t="str">
        <f>IF($B18&lt;1,"",AVERAGEIF('09월 에너지'!$F$14:$F$949,$A18,'09월 에너지'!R26:R962))</f>
        <v/>
      </c>
      <c r="BN18" s="200" t="str">
        <f>IF($B18&lt;1,"",AVERAGEIF('09월 에너지'!$F$14:$F$949,$A18,'09월 에너지'!S26:S962))</f>
        <v/>
      </c>
      <c r="BO18" s="200" t="str">
        <f>IF($B18&lt;1,"",AVERAGEIF('09월 에너지'!$F$14:$F$949,$A18,'09월 에너지'!T26:T962))</f>
        <v/>
      </c>
      <c r="BP18" s="200" t="str">
        <f>IF($B18&lt;1,"",AVERAGEIF('09월 에너지'!$F$14:$F$949,$A18,'09월 에너지'!U26:U962))</f>
        <v/>
      </c>
      <c r="BQ18" s="200" t="str">
        <f>IF($B18&lt;1,"",AVERAGEIF('09월 에너지'!$F$14:$F$949,$A18,'09월 에너지'!V26:V962))</f>
        <v/>
      </c>
      <c r="BR18" s="200" t="str">
        <f>IF($B18&lt;1,"",AVERAGEIF('09월 에너지'!$F$14:$F$949,$A18,'09월 에너지'!W26:W962))</f>
        <v/>
      </c>
      <c r="BS18" s="200" t="str">
        <f>IF($B18&lt;1,"",AVERAGEIF('09월 에너지'!$F$14:$F$949,$A18,'09월 에너지'!X26:X962))</f>
        <v/>
      </c>
      <c r="BT18" s="200" t="str">
        <f>IF($B18&lt;1,"",AVERAGEIF('09월 에너지'!$F$14:$F$949,$A18,'09월 에너지'!Y26:Y962))</f>
        <v/>
      </c>
      <c r="BU18" s="200" t="str">
        <f>IF($B18&lt;1,"",AVERAGEIF('09월 에너지'!$F$14:$F$949,$A18,'09월 에너지'!Z26:Z962))</f>
        <v/>
      </c>
      <c r="BV18" s="200" t="str">
        <f>IF($B18&lt;1,"",AVERAGEIF('09월 에너지'!$F$14:$F$949,$A18,'09월 에너지'!AA26:AA962))</f>
        <v/>
      </c>
      <c r="BW18" s="200" t="str">
        <f>IF($B18&lt;1,"",AVERAGEIF('09월 에너지'!$F$14:$F$949,$A18,'09월 에너지'!AB26:AB962))</f>
        <v/>
      </c>
      <c r="BX18" s="257" t="str">
        <f>IF($B18&lt;1,"",AVERAGEIF('09월 에너지'!$F$14:$F$949,$A18,'09월 에너지'!AC26:AC962))</f>
        <v/>
      </c>
      <c r="BY18" s="261" t="str">
        <f>IF($B18&lt;1,"",AVERAGEIF('09월 에너지'!$F$14:$F$949,$A18,'09월 에너지'!AD26:AD962))</f>
        <v/>
      </c>
      <c r="BZ18" s="262" t="str">
        <f>IF($B18&lt;1,"",AVERAGEIF('09월 에너지'!$F$14:$F$949,$A18,'09월 에너지'!AE26:AE962))</f>
        <v/>
      </c>
      <c r="CA18" s="249" t="str">
        <f>IF($B18&lt;1,"",AVERAGEIF('09월 에너지'!$F$14:$F$949,$A18,'09월 에너지'!AF26:AF962))</f>
        <v/>
      </c>
      <c r="CB18" s="200" t="str">
        <f>IF($B18&lt;1,"",AVERAGEIF('09월 에너지'!$F$14:$F$949,$A18,'09월 에너지'!AG26:AG962))</f>
        <v/>
      </c>
      <c r="CC18" s="200" t="str">
        <f>IF($B18&lt;1,"",AVERAGEIF('09월 에너지'!$F$14:$F$949,$A18,'09월 에너지'!AH26:AH962))</f>
        <v/>
      </c>
      <c r="CD18" s="200" t="str">
        <f>IF($B18&lt;1,"",AVERAGEIF('09월 에너지'!$F$14:$F$949,$A18,'09월 에너지'!AI26:AI962))</f>
        <v/>
      </c>
      <c r="CE18" s="206" t="str">
        <f>IF($B18&lt;1,"",AVERAGEIF('09월 에너지'!$F$14:$F$949,$A18,'09월 에너지'!AJ26:AJ962))</f>
        <v/>
      </c>
    </row>
    <row r="19" spans="1:83" ht="17.25" customHeight="1">
      <c r="A19" s="210" t="s">
        <v>159</v>
      </c>
      <c r="B19" s="243">
        <f>IF(A19="",0,COUNTIF('09월 화학성분'!$F$12:$F$949,$A19))</f>
        <v>0</v>
      </c>
      <c r="C19" s="240"/>
      <c r="D19" s="203"/>
      <c r="E19" s="203"/>
      <c r="F19" s="200" t="str">
        <f>IF($B19&lt;1,"",AVERAGEIF('09월 화학성분'!$F$12:$F$949,$A19,'09월 화학성분'!G$12:G$949))</f>
        <v/>
      </c>
      <c r="G19" s="200" t="str">
        <f>IF($B19&lt;1,"",AVERAGEIF('09월 화학성분'!$F$12:$F$949,$A19,'09월 화학성분'!H$12:H$949))</f>
        <v/>
      </c>
      <c r="H19" s="200" t="str">
        <f>IF($B19&lt;1,"",AVERAGEIF('09월 화학성분'!$F$12:$F$949,$A19,'09월 화학성분'!I$12:I$949))</f>
        <v/>
      </c>
      <c r="I19" s="200" t="str">
        <f>IF($B19&lt;1,"",AVERAGEIF('09월 화학성분'!$F$12:$F$949,$A19,'09월 화학성분'!J$12:J$949))</f>
        <v/>
      </c>
      <c r="J19" s="200" t="str">
        <f>IF($B19&lt;1,"",AVERAGEIF('09월 화학성분'!$F$12:$F$949,$A19,'09월 화학성분'!K$12:K$949))</f>
        <v/>
      </c>
      <c r="K19" s="200" t="str">
        <f>IF($B19&lt;1,"",AVERAGEIF('09월 화학성분'!$F$12:$F$949,$A19,'09월 화학성분'!L$12:L$949))</f>
        <v/>
      </c>
      <c r="L19" s="200" t="str">
        <f>IF($B19&lt;1,"",AVERAGEIF('09월 화학성분'!$F$12:$F$949,$A19,'09월 화학성분'!M$12:M$949))</f>
        <v/>
      </c>
      <c r="M19" s="208" t="str">
        <f>IF($B19&lt;1,"",AVERAGEIF('09월 화학성분'!$F$12:$F$949,$A19,'09월 화학성분'!N$12:N$949))</f>
        <v/>
      </c>
      <c r="N19" s="208" t="str">
        <f>IF($B19&lt;1,"",AVERAGEIF('09월 화학성분'!$F$12:$F$949,$A19,'09월 화학성분'!O$12:O$949))</f>
        <v/>
      </c>
      <c r="O19" s="208" t="str">
        <f>IF($B19&lt;1,"",AVERAGEIF('09월 화학성분'!$F$12:$F$949,$A19,'09월 화학성분'!P$12:P$949))</f>
        <v/>
      </c>
      <c r="P19" s="208" t="str">
        <f>IF($B19&lt;1,"",AVERAGEIF('09월 화학성분'!$F$12:$F$949,$A19,'09월 화학성분'!Q$12:Q$949))</f>
        <v/>
      </c>
      <c r="Q19" s="208" t="str">
        <f>IF($B19&lt;1,"",AVERAGEIF('09월 화학성분'!$F$12:$F$949,$A19,'09월 화학성분'!R$12:R$949))</f>
        <v/>
      </c>
      <c r="R19" s="208" t="str">
        <f>IF($B19&lt;1,"",AVERAGEIF('09월 화학성분'!$F$12:$F$949,$A19,'09월 화학성분'!U$12:U$949))</f>
        <v/>
      </c>
      <c r="S19" s="208" t="str">
        <f>IF($B19&lt;1,"",AVERAGEIF('09월 화학성분'!$F$12:$F$949,$A19,'09월 화학성분'!V$12:V$949))</f>
        <v/>
      </c>
      <c r="T19" s="208" t="str">
        <f>IF($B19&lt;1,"",AVERAGEIF('09월 화학성분'!$F$12:$F$949,$A19,'09월 화학성분'!W$12:W$949))</f>
        <v/>
      </c>
      <c r="U19" s="208" t="str">
        <f>IF($B19&lt;1,"",AVERAGEIF('09월 화학성분'!$F$12:$F$949,$A19,'09월 화학성분'!X$12:X$949))</f>
        <v/>
      </c>
      <c r="V19" s="208" t="str">
        <f>IF($B19&lt;1,"",AVERAGEIF('09월 화학성분'!$F$12:$F$949,$A19,'09월 화학성분'!#REF!))</f>
        <v/>
      </c>
      <c r="W19" s="208" t="str">
        <f>IF($B19&lt;1,"",AVERAGEIF('09월 화학성분'!$F$12:$F$949,$A19,'09월 화학성분'!AB$12:AB$949))</f>
        <v/>
      </c>
      <c r="X19" s="208" t="str">
        <f>IF($B19&lt;1,"",AVERAGEIF('09월 화학성분'!$F$12:$F$949,$A19,'09월 화학성분'!AC$12:AC$949))</f>
        <v/>
      </c>
      <c r="Y19" s="208" t="str">
        <f>IF($B19&lt;1,"",AVERAGEIF('09월 화학성분'!$F$12:$F$949,$A19,'09월 화학성분'!AD$12:AD$949))</f>
        <v/>
      </c>
      <c r="Z19" s="208" t="str">
        <f>IF($B19&lt;1,"",AVERAGEIF('09월 화학성분'!$F$12:$F$949,$A19,'09월 화학성분'!AF$12:AF$949))</f>
        <v/>
      </c>
      <c r="AA19" s="208" t="str">
        <f>IF($B19&lt;1,"",AVERAGEIF('09월 화학성분'!$F$12:$F$949,$A19,'09월 화학성분'!AG$12:AG$949))</f>
        <v/>
      </c>
      <c r="AB19" s="208" t="str">
        <f>IF($B19&lt;1,"",AVERAGEIF('09월 화학성분'!$F$12:$F$949,$A19,'09월 화학성분'!AH$12:AH$949))</f>
        <v/>
      </c>
      <c r="AC19" s="208" t="str">
        <f>IF($B19&lt;1,"",AVERAGEIF('09월 화학성분'!$F$12:$F$949,$A19,'09월 화학성분'!AI$12:AI$949))</f>
        <v/>
      </c>
      <c r="AD19" s="208" t="str">
        <f>IF($B19&lt;1,"",AVERAGEIF('09월 화학성분'!$F$12:$F$949,$A19,'09월 화학성분'!AJ$12:AJ$949))</f>
        <v/>
      </c>
      <c r="AE19" s="208" t="str">
        <f>IF($B19&lt;1,"",AVERAGEIF('09월 화학성분'!$F$12:$F$949,$A19,'09월 화학성분'!AL$12:AL$949))</f>
        <v/>
      </c>
      <c r="AF19" s="208" t="str">
        <f>IF($B19&lt;1,"",AVERAGEIF('09월 화학성분'!$F$12:$F$949,$A19,'09월 화학성분'!AM$12:AM$949))</f>
        <v/>
      </c>
      <c r="AG19" s="207" t="str">
        <f>IF($B19&lt;1,"",AVERAGEIF('09월 화학성분'!$F$12:$F$949,$A19,'09월 화학성분'!AN$12:AN$949))</f>
        <v/>
      </c>
      <c r="AH19" s="207" t="str">
        <f>IF($B19&lt;1,"",AVERAGEIF('09월 화학성분'!$F$12:$F$949,$A19,'09월 화학성분'!AO$12:AO$949))</f>
        <v/>
      </c>
      <c r="AI19" s="200" t="str">
        <f>IF($B19&lt;1,"",AVERAGEIF('09월 화학성분'!$F$12:$F$949,$A19,'09월 화학성분'!AP$12:AP$949))</f>
        <v/>
      </c>
      <c r="AJ19" s="217" t="str">
        <f>IF($B19&lt;1,"",AVERAGEIF('09월 고철장입'!$F$14:$F$949,$A19,'09월 고철장입'!G$14:G$949))</f>
        <v/>
      </c>
      <c r="AK19" s="217" t="str">
        <f>IF($B19&lt;1,"",AVERAGEIF('09월 고철장입'!$F$14:$F$949,$A19,'09월 고철장입'!H$14:H$949))</f>
        <v/>
      </c>
      <c r="AL19" s="217" t="str">
        <f>IF($B19&lt;1,"",AVERAGEIF('09월 고철장입'!$F$14:$F$949,$A19,'09월 고철장입'!I$14:I$949))</f>
        <v/>
      </c>
      <c r="AM19" s="217" t="str">
        <f>IF($B19&lt;1,"",AVERAGEIF('09월 고철장입'!$F$14:$F$949,$A19,'09월 고철장입'!J$14:J$949))</f>
        <v/>
      </c>
      <c r="AN19" s="217" t="str">
        <f>IF($B19&lt;1,"",AVERAGEIF('09월 고철장입'!$F$14:$F$949,$A19,'09월 고철장입'!L$14:L$949))</f>
        <v/>
      </c>
      <c r="AO19" s="217" t="str">
        <f>IF($B19&lt;1,"",AVERAGEIF('09월 고철장입'!$F$14:$F$949,$A19,'09월 고철장입'!O$14:O$949))</f>
        <v/>
      </c>
      <c r="AP19" s="214" t="str">
        <f>IF($B19&lt;1,"",AVERAGEIF('09월 고철장입'!$F$14:$F$949,$A19,'09월 고철장입'!P$14:P$949))</f>
        <v/>
      </c>
      <c r="AQ19" s="214" t="str">
        <f>IF($B19&lt;1,"",AVERAGEIF('09월 고철장입'!$F$14:$F$949,$A19,'09월 고철장입'!Q$14:Q$949))</f>
        <v/>
      </c>
      <c r="AR19" s="214" t="str">
        <f>IF($B19&lt;1,"",AVERAGEIF('09월 고철장입'!$F$14:$F$949,$A19,'09월 고철장입'!S$14:S$949))</f>
        <v/>
      </c>
      <c r="AS19" s="214" t="str">
        <f>IF($B19&lt;1,"",AVERAGEIF('09월 고철장입'!$F$14:$F$949,$A19,'09월 고철장입'!AD$14:AD$949))</f>
        <v/>
      </c>
      <c r="AT19" s="214" t="str">
        <f>IF($B19&lt;1,"",AVERAGEIF('09월 고철장입'!$F$14:$F$949,$A19,'09월 고철장입'!AE$14:AE$949))</f>
        <v/>
      </c>
      <c r="AU19" s="217" t="str">
        <f>IF($B19&lt;1,"",AVERAGEIF('09월 고철장입'!$F$14:$F$949,$A19,'09월 고철장입'!AF$14:AF$949))</f>
        <v/>
      </c>
      <c r="AV19" s="217" t="str">
        <f>IF($B19&lt;1,"",AVERAGEIF('09월 고철장입'!$F$14:$F$949,$A19,'09월 고철장입'!AG$14:AG$949))</f>
        <v/>
      </c>
      <c r="AW19" s="217" t="str">
        <f>IF($B19&lt;1,"",AVERAGEIF('09월 고철장입'!$F$14:$F$949,$A19,'09월 고철장입'!AH$14:AH$949))</f>
        <v/>
      </c>
      <c r="AX19" s="217" t="str">
        <f>IF($B19&lt;1,"",AVERAGEIF('09월 고철장입'!$F$14:$F$949,$A19,'09월 고철장입'!AI$14:AI$949))</f>
        <v/>
      </c>
      <c r="AY19" s="248" t="str">
        <f>IF($B19&lt;1,"",AVERAGEIF('09월 고철장입'!$F$14:$F$949,$A19,'09월 고철장입'!AJ$14:AJ$949)/1000)</f>
        <v/>
      </c>
      <c r="AZ19" s="250" t="str">
        <f>IF($B19&lt;1,"",AVERAGEIF('09월 고철장입'!$F$14:$F$949,$A19,'09월 고철장입'!AK$14:AK$949))</f>
        <v/>
      </c>
      <c r="BA19" s="253" t="str">
        <f>IF($B19&lt;1,"",AVERAGEIF('09월 고철장입'!$F$14:$F$949,$A19,'09월 고철장입'!AL$14:AL$949))</f>
        <v/>
      </c>
      <c r="BB19" s="200" t="str">
        <f>IF($B19&lt;1,"",AVERAGEIF('09월 에너지'!$F$14:$F$949,$A19,'09월 에너지'!G27:G963))</f>
        <v/>
      </c>
      <c r="BC19" s="200" t="str">
        <f>IF($B19&lt;1,"",AVERAGEIF('09월 에너지'!$F$14:$F$949,$A19,'09월 에너지'!H27:H963))</f>
        <v/>
      </c>
      <c r="BD19" s="200" t="str">
        <f>IF($B19&lt;1,"",AVERAGEIF('09월 에너지'!$F$14:$F$949,$A19,'09월 에너지'!I27:I963))</f>
        <v/>
      </c>
      <c r="BE19" s="200" t="str">
        <f>IF($B19&lt;1,"",AVERAGEIF('09월 에너지'!$F$14:$F$949,$A19,'09월 에너지'!J27:J963))</f>
        <v/>
      </c>
      <c r="BF19" s="200" t="str">
        <f>IF($B19&lt;1,"",AVERAGEIF('09월 에너지'!$F$14:$F$949,$A19,'09월 에너지'!K27:K963))</f>
        <v/>
      </c>
      <c r="BG19" s="200" t="str">
        <f>IF($B19&lt;1,"",AVERAGEIF('09월 에너지'!$F$14:$F$949,$A19,'09월 에너지'!L27:L963))</f>
        <v/>
      </c>
      <c r="BH19" s="200" t="str">
        <f>IF($B19&lt;1,"",AVERAGEIF('09월 에너지'!$F$14:$F$949,$A19,'09월 에너지'!M27:M963))</f>
        <v/>
      </c>
      <c r="BI19" s="200" t="str">
        <f>IF($B19&lt;1,"",AVERAGEIF('09월 에너지'!$F$14:$F$949,$A19,'09월 에너지'!N27:N963))</f>
        <v/>
      </c>
      <c r="BJ19" s="200" t="str">
        <f>IF($B19&lt;1,"",AVERAGEIF('09월 에너지'!$F$14:$F$949,$A19,'09월 에너지'!O27:O963))</f>
        <v/>
      </c>
      <c r="BK19" s="200" t="str">
        <f>IF($B19&lt;1,"",AVERAGEIF('09월 에너지'!$F$14:$F$949,$A19,'09월 에너지'!P27:P963))</f>
        <v/>
      </c>
      <c r="BL19" s="200" t="str">
        <f>IF($B19&lt;1,"",AVERAGEIF('09월 에너지'!$F$14:$F$949,$A19,'09월 에너지'!Q27:Q963))</f>
        <v/>
      </c>
      <c r="BM19" s="200" t="str">
        <f>IF($B19&lt;1,"",AVERAGEIF('09월 에너지'!$F$14:$F$949,$A19,'09월 에너지'!R27:R963))</f>
        <v/>
      </c>
      <c r="BN19" s="200" t="str">
        <f>IF($B19&lt;1,"",AVERAGEIF('09월 에너지'!$F$14:$F$949,$A19,'09월 에너지'!S27:S963))</f>
        <v/>
      </c>
      <c r="BO19" s="200" t="str">
        <f>IF($B19&lt;1,"",AVERAGEIF('09월 에너지'!$F$14:$F$949,$A19,'09월 에너지'!T27:T963))</f>
        <v/>
      </c>
      <c r="BP19" s="200" t="str">
        <f>IF($B19&lt;1,"",AVERAGEIF('09월 에너지'!$F$14:$F$949,$A19,'09월 에너지'!U27:U963))</f>
        <v/>
      </c>
      <c r="BQ19" s="200" t="str">
        <f>IF($B19&lt;1,"",AVERAGEIF('09월 에너지'!$F$14:$F$949,$A19,'09월 에너지'!V27:V963))</f>
        <v/>
      </c>
      <c r="BR19" s="200" t="str">
        <f>IF($B19&lt;1,"",AVERAGEIF('09월 에너지'!$F$14:$F$949,$A19,'09월 에너지'!W27:W963))</f>
        <v/>
      </c>
      <c r="BS19" s="200" t="str">
        <f>IF($B19&lt;1,"",AVERAGEIF('09월 에너지'!$F$14:$F$949,$A19,'09월 에너지'!X27:X963))</f>
        <v/>
      </c>
      <c r="BT19" s="200" t="str">
        <f>IF($B19&lt;1,"",AVERAGEIF('09월 에너지'!$F$14:$F$949,$A19,'09월 에너지'!Y27:Y963))</f>
        <v/>
      </c>
      <c r="BU19" s="200" t="str">
        <f>IF($B19&lt;1,"",AVERAGEIF('09월 에너지'!$F$14:$F$949,$A19,'09월 에너지'!Z27:Z963))</f>
        <v/>
      </c>
      <c r="BV19" s="200" t="str">
        <f>IF($B19&lt;1,"",AVERAGEIF('09월 에너지'!$F$14:$F$949,$A19,'09월 에너지'!AA27:AA963))</f>
        <v/>
      </c>
      <c r="BW19" s="200" t="str">
        <f>IF($B19&lt;1,"",AVERAGEIF('09월 에너지'!$F$14:$F$949,$A19,'09월 에너지'!AB27:AB963))</f>
        <v/>
      </c>
      <c r="BX19" s="257" t="str">
        <f>IF($B19&lt;1,"",AVERAGEIF('09월 에너지'!$F$14:$F$949,$A19,'09월 에너지'!AC27:AC963))</f>
        <v/>
      </c>
      <c r="BY19" s="261" t="str">
        <f>IF($B19&lt;1,"",AVERAGEIF('09월 에너지'!$F$14:$F$949,$A19,'09월 에너지'!AD27:AD963))</f>
        <v/>
      </c>
      <c r="BZ19" s="262" t="str">
        <f>IF($B19&lt;1,"",AVERAGEIF('09월 에너지'!$F$14:$F$949,$A19,'09월 에너지'!AE27:AE963))</f>
        <v/>
      </c>
      <c r="CA19" s="249" t="str">
        <f>IF($B19&lt;1,"",AVERAGEIF('09월 에너지'!$F$14:$F$949,$A19,'09월 에너지'!AF27:AF963))</f>
        <v/>
      </c>
      <c r="CB19" s="200" t="str">
        <f>IF($B19&lt;1,"",AVERAGEIF('09월 에너지'!$F$14:$F$949,$A19,'09월 에너지'!AG27:AG963))</f>
        <v/>
      </c>
      <c r="CC19" s="200" t="str">
        <f>IF($B19&lt;1,"",AVERAGEIF('09월 에너지'!$F$14:$F$949,$A19,'09월 에너지'!AH27:AH963))</f>
        <v/>
      </c>
      <c r="CD19" s="200" t="str">
        <f>IF($B19&lt;1,"",AVERAGEIF('09월 에너지'!$F$14:$F$949,$A19,'09월 에너지'!AI27:AI963))</f>
        <v/>
      </c>
      <c r="CE19" s="206" t="str">
        <f>IF($B19&lt;1,"",AVERAGEIF('09월 에너지'!$F$14:$F$949,$A19,'09월 에너지'!AJ27:AJ963))</f>
        <v/>
      </c>
    </row>
    <row r="20" spans="1:83" ht="17.25" customHeight="1">
      <c r="A20" s="210" t="s">
        <v>120</v>
      </c>
      <c r="B20" s="243">
        <f>IF(A20="",0,COUNTIF('09월 화학성분'!$F$12:$F$949,$A20))</f>
        <v>0</v>
      </c>
      <c r="C20" s="240"/>
      <c r="D20" s="203"/>
      <c r="E20" s="203"/>
      <c r="F20" s="200" t="str">
        <f>IF($B20&lt;1,"",AVERAGEIF('09월 화학성분'!$F$12:$F$949,$A20,'09월 화학성분'!G$12:G$949))</f>
        <v/>
      </c>
      <c r="G20" s="200" t="str">
        <f>IF($B20&lt;1,"",AVERAGEIF('09월 화학성분'!$F$12:$F$949,$A20,'09월 화학성분'!H$12:H$949))</f>
        <v/>
      </c>
      <c r="H20" s="200" t="str">
        <f>IF($B20&lt;1,"",AVERAGEIF('09월 화학성분'!$F$12:$F$949,$A20,'09월 화학성분'!I$12:I$949))</f>
        <v/>
      </c>
      <c r="I20" s="200" t="str">
        <f>IF($B20&lt;1,"",AVERAGEIF('09월 화학성분'!$F$12:$F$949,$A20,'09월 화학성분'!J$12:J$949))</f>
        <v/>
      </c>
      <c r="J20" s="200" t="str">
        <f>IF($B20&lt;1,"",AVERAGEIF('09월 화학성분'!$F$12:$F$949,$A20,'09월 화학성분'!K$12:K$949))</f>
        <v/>
      </c>
      <c r="K20" s="200" t="str">
        <f>IF($B20&lt;1,"",AVERAGEIF('09월 화학성분'!$F$12:$F$949,$A20,'09월 화학성분'!L$12:L$949))</f>
        <v/>
      </c>
      <c r="L20" s="200" t="str">
        <f>IF($B20&lt;1,"",AVERAGEIF('09월 화학성분'!$F$12:$F$949,$A20,'09월 화학성분'!M$12:M$949))</f>
        <v/>
      </c>
      <c r="M20" s="208" t="str">
        <f>IF($B20&lt;1,"",AVERAGEIF('09월 화학성분'!$F$12:$F$949,$A20,'09월 화학성분'!N$12:N$949))</f>
        <v/>
      </c>
      <c r="N20" s="208" t="str">
        <f>IF($B20&lt;1,"",AVERAGEIF('09월 화학성분'!$F$12:$F$949,$A20,'09월 화학성분'!O$12:O$949))</f>
        <v/>
      </c>
      <c r="O20" s="208" t="str">
        <f>IF($B20&lt;1,"",AVERAGEIF('09월 화학성분'!$F$12:$F$949,$A20,'09월 화학성분'!P$12:P$949))</f>
        <v/>
      </c>
      <c r="P20" s="208" t="str">
        <f>IF($B20&lt;1,"",AVERAGEIF('09월 화학성분'!$F$12:$F$949,$A20,'09월 화학성분'!Q$12:Q$949))</f>
        <v/>
      </c>
      <c r="Q20" s="208" t="str">
        <f>IF($B20&lt;1,"",AVERAGEIF('09월 화학성분'!$F$12:$F$949,$A20,'09월 화학성분'!R$12:R$949))</f>
        <v/>
      </c>
      <c r="R20" s="208" t="str">
        <f>IF($B20&lt;1,"",AVERAGEIF('09월 화학성분'!$F$12:$F$949,$A20,'09월 화학성분'!U$12:U$949))</f>
        <v/>
      </c>
      <c r="S20" s="208" t="str">
        <f>IF($B20&lt;1,"",AVERAGEIF('09월 화학성분'!$F$12:$F$949,$A20,'09월 화학성분'!V$12:V$949))</f>
        <v/>
      </c>
      <c r="T20" s="208" t="str">
        <f>IF($B20&lt;1,"",AVERAGEIF('09월 화학성분'!$F$12:$F$949,$A20,'09월 화학성분'!W$12:W$949))</f>
        <v/>
      </c>
      <c r="U20" s="208" t="str">
        <f>IF($B20&lt;1,"",AVERAGEIF('09월 화학성분'!$F$12:$F$949,$A20,'09월 화학성분'!X$12:X$949))</f>
        <v/>
      </c>
      <c r="V20" s="208" t="str">
        <f>IF($B20&lt;1,"",AVERAGEIF('09월 화학성분'!$F$12:$F$949,$A20,'09월 화학성분'!#REF!))</f>
        <v/>
      </c>
      <c r="W20" s="208" t="str">
        <f>IF($B20&lt;1,"",AVERAGEIF('09월 화학성분'!$F$12:$F$949,$A20,'09월 화학성분'!AB$12:AB$949))</f>
        <v/>
      </c>
      <c r="X20" s="208" t="str">
        <f>IF($B20&lt;1,"",AVERAGEIF('09월 화학성분'!$F$12:$F$949,$A20,'09월 화학성분'!AC$12:AC$949))</f>
        <v/>
      </c>
      <c r="Y20" s="208" t="str">
        <f>IF($B20&lt;1,"",AVERAGEIF('09월 화학성분'!$F$12:$F$949,$A20,'09월 화학성분'!AD$12:AD$949))</f>
        <v/>
      </c>
      <c r="Z20" s="208" t="str">
        <f>IF($B20&lt;1,"",AVERAGEIF('09월 화학성분'!$F$12:$F$949,$A20,'09월 화학성분'!AF$12:AF$949))</f>
        <v/>
      </c>
      <c r="AA20" s="208" t="str">
        <f>IF($B20&lt;1,"",AVERAGEIF('09월 화학성분'!$F$12:$F$949,$A20,'09월 화학성분'!AG$12:AG$949))</f>
        <v/>
      </c>
      <c r="AB20" s="208" t="str">
        <f>IF($B20&lt;1,"",AVERAGEIF('09월 화학성분'!$F$12:$F$949,$A20,'09월 화학성분'!AH$12:AH$949))</f>
        <v/>
      </c>
      <c r="AC20" s="208" t="str">
        <f>IF($B20&lt;1,"",AVERAGEIF('09월 화학성분'!$F$12:$F$949,$A20,'09월 화학성분'!AI$12:AI$949))</f>
        <v/>
      </c>
      <c r="AD20" s="208" t="str">
        <f>IF($B20&lt;1,"",AVERAGEIF('09월 화학성분'!$F$12:$F$949,$A20,'09월 화학성분'!AJ$12:AJ$949))</f>
        <v/>
      </c>
      <c r="AE20" s="208" t="str">
        <f>IF($B20&lt;1,"",AVERAGEIF('09월 화학성분'!$F$12:$F$949,$A20,'09월 화학성분'!AL$12:AL$949))</f>
        <v/>
      </c>
      <c r="AF20" s="208" t="str">
        <f>IF($B20&lt;1,"",AVERAGEIF('09월 화학성분'!$F$12:$F$949,$A20,'09월 화학성분'!AM$12:AM$949))</f>
        <v/>
      </c>
      <c r="AG20" s="207" t="str">
        <f>IF($B20&lt;1,"",AVERAGEIF('09월 화학성분'!$F$12:$F$949,$A20,'09월 화학성분'!AN$12:AN$949))</f>
        <v/>
      </c>
      <c r="AH20" s="207" t="str">
        <f>IF($B20&lt;1,"",AVERAGEIF('09월 화학성분'!$F$12:$F$949,$A20,'09월 화학성분'!AO$12:AO$949))</f>
        <v/>
      </c>
      <c r="AI20" s="200" t="str">
        <f>IF($B20&lt;1,"",AVERAGEIF('09월 화학성분'!$F$12:$F$949,$A20,'09월 화학성분'!AP$12:AP$949))</f>
        <v/>
      </c>
      <c r="AJ20" s="217" t="str">
        <f>IF($B20&lt;1,"",AVERAGEIF('09월 고철장입'!$F$14:$F$949,$A20,'09월 고철장입'!G$14:G$949))</f>
        <v/>
      </c>
      <c r="AK20" s="217" t="str">
        <f>IF($B20&lt;1,"",AVERAGEIF('09월 고철장입'!$F$14:$F$949,$A20,'09월 고철장입'!H$14:H$949))</f>
        <v/>
      </c>
      <c r="AL20" s="217" t="str">
        <f>IF($B20&lt;1,"",AVERAGEIF('09월 고철장입'!$F$14:$F$949,$A20,'09월 고철장입'!I$14:I$949))</f>
        <v/>
      </c>
      <c r="AM20" s="217" t="str">
        <f>IF($B20&lt;1,"",AVERAGEIF('09월 고철장입'!$F$14:$F$949,$A20,'09월 고철장입'!J$14:J$949))</f>
        <v/>
      </c>
      <c r="AN20" s="217" t="str">
        <f>IF($B20&lt;1,"",AVERAGEIF('09월 고철장입'!$F$14:$F$949,$A20,'09월 고철장입'!L$14:L$949))</f>
        <v/>
      </c>
      <c r="AO20" s="217" t="str">
        <f>IF($B20&lt;1,"",AVERAGEIF('09월 고철장입'!$F$14:$F$949,$A20,'09월 고철장입'!O$14:O$949))</f>
        <v/>
      </c>
      <c r="AP20" s="214" t="str">
        <f>IF($B20&lt;1,"",AVERAGEIF('09월 고철장입'!$F$14:$F$949,$A20,'09월 고철장입'!P$14:P$949))</f>
        <v/>
      </c>
      <c r="AQ20" s="214" t="str">
        <f>IF($B20&lt;1,"",AVERAGEIF('09월 고철장입'!$F$14:$F$949,$A20,'09월 고철장입'!Q$14:Q$949))</f>
        <v/>
      </c>
      <c r="AR20" s="214" t="str">
        <f>IF($B20&lt;1,"",AVERAGEIF('09월 고철장입'!$F$14:$F$949,$A20,'09월 고철장입'!S$14:S$949))</f>
        <v/>
      </c>
      <c r="AS20" s="214" t="str">
        <f>IF($B20&lt;1,"",AVERAGEIF('09월 고철장입'!$F$14:$F$949,$A20,'09월 고철장입'!AD$14:AD$949))</f>
        <v/>
      </c>
      <c r="AT20" s="214" t="str">
        <f>IF($B20&lt;1,"",AVERAGEIF('09월 고철장입'!$F$14:$F$949,$A20,'09월 고철장입'!AE$14:AE$949))</f>
        <v/>
      </c>
      <c r="AU20" s="217" t="str">
        <f>IF($B20&lt;1,"",AVERAGEIF('09월 고철장입'!$F$14:$F$949,$A20,'09월 고철장입'!AF$14:AF$949))</f>
        <v/>
      </c>
      <c r="AV20" s="217" t="str">
        <f>IF($B20&lt;1,"",AVERAGEIF('09월 고철장입'!$F$14:$F$949,$A20,'09월 고철장입'!AG$14:AG$949))</f>
        <v/>
      </c>
      <c r="AW20" s="217" t="str">
        <f>IF($B20&lt;1,"",AVERAGEIF('09월 고철장입'!$F$14:$F$949,$A20,'09월 고철장입'!AH$14:AH$949))</f>
        <v/>
      </c>
      <c r="AX20" s="217" t="str">
        <f>IF($B20&lt;1,"",AVERAGEIF('09월 고철장입'!$F$14:$F$949,$A20,'09월 고철장입'!AI$14:AI$949))</f>
        <v/>
      </c>
      <c r="AY20" s="248" t="str">
        <f>IF($B20&lt;1,"",AVERAGEIF('09월 고철장입'!$F$14:$F$949,$A20,'09월 고철장입'!AJ$14:AJ$949)/1000)</f>
        <v/>
      </c>
      <c r="AZ20" s="250" t="str">
        <f>IF($B20&lt;1,"",AVERAGEIF('09월 고철장입'!$F$14:$F$949,$A20,'09월 고철장입'!AK$14:AK$949))</f>
        <v/>
      </c>
      <c r="BA20" s="253" t="str">
        <f>IF($B20&lt;1,"",AVERAGEIF('09월 고철장입'!$F$14:$F$949,$A20,'09월 고철장입'!AL$14:AL$949))</f>
        <v/>
      </c>
      <c r="BB20" s="200" t="str">
        <f>IF($B20&lt;1,"",AVERAGEIF('09월 에너지'!$F$14:$F$949,$A20,'09월 에너지'!G28:G964))</f>
        <v/>
      </c>
      <c r="BC20" s="200" t="str">
        <f>IF($B20&lt;1,"",AVERAGEIF('09월 에너지'!$F$14:$F$949,$A20,'09월 에너지'!H28:H964))</f>
        <v/>
      </c>
      <c r="BD20" s="200" t="str">
        <f>IF($B20&lt;1,"",AVERAGEIF('09월 에너지'!$F$14:$F$949,$A20,'09월 에너지'!I28:I964))</f>
        <v/>
      </c>
      <c r="BE20" s="200" t="str">
        <f>IF($B20&lt;1,"",AVERAGEIF('09월 에너지'!$F$14:$F$949,$A20,'09월 에너지'!J28:J964))</f>
        <v/>
      </c>
      <c r="BF20" s="200" t="str">
        <f>IF($B20&lt;1,"",AVERAGEIF('09월 에너지'!$F$14:$F$949,$A20,'09월 에너지'!K28:K964))</f>
        <v/>
      </c>
      <c r="BG20" s="200" t="str">
        <f>IF($B20&lt;1,"",AVERAGEIF('09월 에너지'!$F$14:$F$949,$A20,'09월 에너지'!L28:L964))</f>
        <v/>
      </c>
      <c r="BH20" s="200" t="str">
        <f>IF($B20&lt;1,"",AVERAGEIF('09월 에너지'!$F$14:$F$949,$A20,'09월 에너지'!M28:M964))</f>
        <v/>
      </c>
      <c r="BI20" s="200" t="str">
        <f>IF($B20&lt;1,"",AVERAGEIF('09월 에너지'!$F$14:$F$949,$A20,'09월 에너지'!N28:N964))</f>
        <v/>
      </c>
      <c r="BJ20" s="200" t="str">
        <f>IF($B20&lt;1,"",AVERAGEIF('09월 에너지'!$F$14:$F$949,$A20,'09월 에너지'!O28:O964))</f>
        <v/>
      </c>
      <c r="BK20" s="200" t="str">
        <f>IF($B20&lt;1,"",AVERAGEIF('09월 에너지'!$F$14:$F$949,$A20,'09월 에너지'!P28:P964))</f>
        <v/>
      </c>
      <c r="BL20" s="200" t="str">
        <f>IF($B20&lt;1,"",AVERAGEIF('09월 에너지'!$F$14:$F$949,$A20,'09월 에너지'!Q28:Q964))</f>
        <v/>
      </c>
      <c r="BM20" s="200" t="str">
        <f>IF($B20&lt;1,"",AVERAGEIF('09월 에너지'!$F$14:$F$949,$A20,'09월 에너지'!R28:R964))</f>
        <v/>
      </c>
      <c r="BN20" s="200" t="str">
        <f>IF($B20&lt;1,"",AVERAGEIF('09월 에너지'!$F$14:$F$949,$A20,'09월 에너지'!S28:S964))</f>
        <v/>
      </c>
      <c r="BO20" s="200" t="str">
        <f>IF($B20&lt;1,"",AVERAGEIF('09월 에너지'!$F$14:$F$949,$A20,'09월 에너지'!T28:T964))</f>
        <v/>
      </c>
      <c r="BP20" s="200" t="str">
        <f>IF($B20&lt;1,"",AVERAGEIF('09월 에너지'!$F$14:$F$949,$A20,'09월 에너지'!U28:U964))</f>
        <v/>
      </c>
      <c r="BQ20" s="200" t="str">
        <f>IF($B20&lt;1,"",AVERAGEIF('09월 에너지'!$F$14:$F$949,$A20,'09월 에너지'!V28:V964))</f>
        <v/>
      </c>
      <c r="BR20" s="200" t="str">
        <f>IF($B20&lt;1,"",AVERAGEIF('09월 에너지'!$F$14:$F$949,$A20,'09월 에너지'!W28:W964))</f>
        <v/>
      </c>
      <c r="BS20" s="200" t="str">
        <f>IF($B20&lt;1,"",AVERAGEIF('09월 에너지'!$F$14:$F$949,$A20,'09월 에너지'!X28:X964))</f>
        <v/>
      </c>
      <c r="BT20" s="200" t="str">
        <f>IF($B20&lt;1,"",AVERAGEIF('09월 에너지'!$F$14:$F$949,$A20,'09월 에너지'!Y28:Y964))</f>
        <v/>
      </c>
      <c r="BU20" s="200" t="str">
        <f>IF($B20&lt;1,"",AVERAGEIF('09월 에너지'!$F$14:$F$949,$A20,'09월 에너지'!Z28:Z964))</f>
        <v/>
      </c>
      <c r="BV20" s="200" t="str">
        <f>IF($B20&lt;1,"",AVERAGEIF('09월 에너지'!$F$14:$F$949,$A20,'09월 에너지'!AA28:AA964))</f>
        <v/>
      </c>
      <c r="BW20" s="200" t="str">
        <f>IF($B20&lt;1,"",AVERAGEIF('09월 에너지'!$F$14:$F$949,$A20,'09월 에너지'!AB28:AB964))</f>
        <v/>
      </c>
      <c r="BX20" s="257" t="str">
        <f>IF($B20&lt;1,"",AVERAGEIF('09월 에너지'!$F$14:$F$949,$A20,'09월 에너지'!AC28:AC964))</f>
        <v/>
      </c>
      <c r="BY20" s="261" t="str">
        <f>IF($B20&lt;1,"",AVERAGEIF('09월 에너지'!$F$14:$F$949,$A20,'09월 에너지'!AD28:AD964))</f>
        <v/>
      </c>
      <c r="BZ20" s="262" t="str">
        <f>IF($B20&lt;1,"",AVERAGEIF('09월 에너지'!$F$14:$F$949,$A20,'09월 에너지'!AE28:AE964))</f>
        <v/>
      </c>
      <c r="CA20" s="249" t="str">
        <f>IF($B20&lt;1,"",AVERAGEIF('09월 에너지'!$F$14:$F$949,$A20,'09월 에너지'!AF28:AF964))</f>
        <v/>
      </c>
      <c r="CB20" s="200" t="str">
        <f>IF($B20&lt;1,"",AVERAGEIF('09월 에너지'!$F$14:$F$949,$A20,'09월 에너지'!AG28:AG964))</f>
        <v/>
      </c>
      <c r="CC20" s="200" t="str">
        <f>IF($B20&lt;1,"",AVERAGEIF('09월 에너지'!$F$14:$F$949,$A20,'09월 에너지'!AH28:AH964))</f>
        <v/>
      </c>
      <c r="CD20" s="200" t="str">
        <f>IF($B20&lt;1,"",AVERAGEIF('09월 에너지'!$F$14:$F$949,$A20,'09월 에너지'!AI28:AI964))</f>
        <v/>
      </c>
      <c r="CE20" s="206" t="str">
        <f>IF($B20&lt;1,"",AVERAGEIF('09월 에너지'!$F$14:$F$949,$A20,'09월 에너지'!AJ28:AJ964))</f>
        <v/>
      </c>
    </row>
    <row r="21" spans="1:83" ht="17.25" customHeight="1">
      <c r="A21" s="210" t="s">
        <v>123</v>
      </c>
      <c r="B21" s="243">
        <f>IF(A21="",0,COUNTIF('09월 화학성분'!$F$12:$F$949,$A21))</f>
        <v>0</v>
      </c>
      <c r="C21" s="240"/>
      <c r="D21" s="203"/>
      <c r="E21" s="203"/>
      <c r="F21" s="200" t="str">
        <f>IF($B21&lt;1,"",AVERAGEIF('09월 화학성분'!$F$12:$F$949,$A21,'09월 화학성분'!G$12:G$949))</f>
        <v/>
      </c>
      <c r="G21" s="200" t="str">
        <f>IF($B21&lt;1,"",AVERAGEIF('09월 화학성분'!$F$12:$F$949,$A21,'09월 화학성분'!H$12:H$949))</f>
        <v/>
      </c>
      <c r="H21" s="200" t="str">
        <f>IF($B21&lt;1,"",AVERAGEIF('09월 화학성분'!$F$12:$F$949,$A21,'09월 화학성분'!I$12:I$949))</f>
        <v/>
      </c>
      <c r="I21" s="200" t="str">
        <f>IF($B21&lt;1,"",AVERAGEIF('09월 화학성분'!$F$12:$F$949,$A21,'09월 화학성분'!J$12:J$949))</f>
        <v/>
      </c>
      <c r="J21" s="200" t="str">
        <f>IF($B21&lt;1,"",AVERAGEIF('09월 화학성분'!$F$12:$F$949,$A21,'09월 화학성분'!K$12:K$949))</f>
        <v/>
      </c>
      <c r="K21" s="200" t="str">
        <f>IF($B21&lt;1,"",AVERAGEIF('09월 화학성분'!$F$12:$F$949,$A21,'09월 화학성분'!L$12:L$949))</f>
        <v/>
      </c>
      <c r="L21" s="200" t="str">
        <f>IF($B21&lt;1,"",AVERAGEIF('09월 화학성분'!$F$12:$F$949,$A21,'09월 화학성분'!M$12:M$949))</f>
        <v/>
      </c>
      <c r="M21" s="208" t="str">
        <f>IF($B21&lt;1,"",AVERAGEIF('09월 화학성분'!$F$12:$F$949,$A21,'09월 화학성분'!N$12:N$949))</f>
        <v/>
      </c>
      <c r="N21" s="208" t="str">
        <f>IF($B21&lt;1,"",AVERAGEIF('09월 화학성분'!$F$12:$F$949,$A21,'09월 화학성분'!O$12:O$949))</f>
        <v/>
      </c>
      <c r="O21" s="208" t="str">
        <f>IF($B21&lt;1,"",AVERAGEIF('09월 화학성분'!$F$12:$F$949,$A21,'09월 화학성분'!P$12:P$949))</f>
        <v/>
      </c>
      <c r="P21" s="208" t="str">
        <f>IF($B21&lt;1,"",AVERAGEIF('09월 화학성분'!$F$12:$F$949,$A21,'09월 화학성분'!Q$12:Q$949))</f>
        <v/>
      </c>
      <c r="Q21" s="208" t="str">
        <f>IF($B21&lt;1,"",AVERAGEIF('09월 화학성분'!$F$12:$F$949,$A21,'09월 화학성분'!R$12:R$949))</f>
        <v/>
      </c>
      <c r="R21" s="208" t="str">
        <f>IF($B21&lt;1,"",AVERAGEIF('09월 화학성분'!$F$12:$F$949,$A21,'09월 화학성분'!U$12:U$949))</f>
        <v/>
      </c>
      <c r="S21" s="208" t="str">
        <f>IF($B21&lt;1,"",AVERAGEIF('09월 화학성분'!$F$12:$F$949,$A21,'09월 화학성분'!V$12:V$949))</f>
        <v/>
      </c>
      <c r="T21" s="208" t="str">
        <f>IF($B21&lt;1,"",AVERAGEIF('09월 화학성분'!$F$12:$F$949,$A21,'09월 화학성분'!W$12:W$949))</f>
        <v/>
      </c>
      <c r="U21" s="208" t="str">
        <f>IF($B21&lt;1,"",AVERAGEIF('09월 화학성분'!$F$12:$F$949,$A21,'09월 화학성분'!X$12:X$949))</f>
        <v/>
      </c>
      <c r="V21" s="208" t="str">
        <f>IF($B21&lt;1,"",AVERAGEIF('09월 화학성분'!$F$12:$F$949,$A21,'09월 화학성분'!#REF!))</f>
        <v/>
      </c>
      <c r="W21" s="208" t="str">
        <f>IF($B21&lt;1,"",AVERAGEIF('09월 화학성분'!$F$12:$F$949,$A21,'09월 화학성분'!AB$12:AB$949))</f>
        <v/>
      </c>
      <c r="X21" s="208" t="str">
        <f>IF($B21&lt;1,"",AVERAGEIF('09월 화학성분'!$F$12:$F$949,$A21,'09월 화학성분'!AC$12:AC$949))</f>
        <v/>
      </c>
      <c r="Y21" s="208" t="str">
        <f>IF($B21&lt;1,"",AVERAGEIF('09월 화학성분'!$F$12:$F$949,$A21,'09월 화학성분'!AD$12:AD$949))</f>
        <v/>
      </c>
      <c r="Z21" s="208" t="str">
        <f>IF($B21&lt;1,"",AVERAGEIF('09월 화학성분'!$F$12:$F$949,$A21,'09월 화학성분'!AF$12:AF$949))</f>
        <v/>
      </c>
      <c r="AA21" s="208" t="str">
        <f>IF($B21&lt;1,"",AVERAGEIF('09월 화학성분'!$F$12:$F$949,$A21,'09월 화학성분'!AG$12:AG$949))</f>
        <v/>
      </c>
      <c r="AB21" s="208" t="str">
        <f>IF($B21&lt;1,"",AVERAGEIF('09월 화학성분'!$F$12:$F$949,$A21,'09월 화학성분'!AH$12:AH$949))</f>
        <v/>
      </c>
      <c r="AC21" s="208" t="str">
        <f>IF($B21&lt;1,"",AVERAGEIF('09월 화학성분'!$F$12:$F$949,$A21,'09월 화학성분'!AI$12:AI$949))</f>
        <v/>
      </c>
      <c r="AD21" s="208" t="str">
        <f>IF($B21&lt;1,"",AVERAGEIF('09월 화학성분'!$F$12:$F$949,$A21,'09월 화학성분'!AJ$12:AJ$949))</f>
        <v/>
      </c>
      <c r="AE21" s="208" t="str">
        <f>IF($B21&lt;1,"",AVERAGEIF('09월 화학성분'!$F$12:$F$949,$A21,'09월 화학성분'!AL$12:AL$949))</f>
        <v/>
      </c>
      <c r="AF21" s="208" t="str">
        <f>IF($B21&lt;1,"",AVERAGEIF('09월 화학성분'!$F$12:$F$949,$A21,'09월 화학성분'!AM$12:AM$949))</f>
        <v/>
      </c>
      <c r="AG21" s="207" t="str">
        <f>IF($B21&lt;1,"",AVERAGEIF('09월 화학성분'!$F$12:$F$949,$A21,'09월 화학성분'!AN$12:AN$949))</f>
        <v/>
      </c>
      <c r="AH21" s="207" t="str">
        <f>IF($B21&lt;1,"",AVERAGEIF('09월 화학성분'!$F$12:$F$949,$A21,'09월 화학성분'!AO$12:AO$949))</f>
        <v/>
      </c>
      <c r="AI21" s="200" t="str">
        <f>IF($B21&lt;1,"",AVERAGEIF('09월 화학성분'!$F$12:$F$949,$A21,'09월 화학성분'!AP$12:AP$949))</f>
        <v/>
      </c>
      <c r="AJ21" s="217" t="str">
        <f>IF($B21&lt;1,"",AVERAGEIF('09월 고철장입'!$F$14:$F$949,$A21,'09월 고철장입'!G$14:G$949))</f>
        <v/>
      </c>
      <c r="AK21" s="217" t="str">
        <f>IF($B21&lt;1,"",AVERAGEIF('09월 고철장입'!$F$14:$F$949,$A21,'09월 고철장입'!H$14:H$949))</f>
        <v/>
      </c>
      <c r="AL21" s="217" t="str">
        <f>IF($B21&lt;1,"",AVERAGEIF('09월 고철장입'!$F$14:$F$949,$A21,'09월 고철장입'!I$14:I$949))</f>
        <v/>
      </c>
      <c r="AM21" s="217" t="str">
        <f>IF($B21&lt;1,"",AVERAGEIF('09월 고철장입'!$F$14:$F$949,$A21,'09월 고철장입'!J$14:J$949))</f>
        <v/>
      </c>
      <c r="AN21" s="217" t="str">
        <f>IF($B21&lt;1,"",AVERAGEIF('09월 고철장입'!$F$14:$F$949,$A21,'09월 고철장입'!L$14:L$949))</f>
        <v/>
      </c>
      <c r="AO21" s="217" t="str">
        <f>IF($B21&lt;1,"",AVERAGEIF('09월 고철장입'!$F$14:$F$949,$A21,'09월 고철장입'!O$14:O$949))</f>
        <v/>
      </c>
      <c r="AP21" s="214" t="str">
        <f>IF($B21&lt;1,"",AVERAGEIF('09월 고철장입'!$F$14:$F$949,$A21,'09월 고철장입'!P$14:P$949))</f>
        <v/>
      </c>
      <c r="AQ21" s="214" t="str">
        <f>IF($B21&lt;1,"",AVERAGEIF('09월 고철장입'!$F$14:$F$949,$A21,'09월 고철장입'!Q$14:Q$949))</f>
        <v/>
      </c>
      <c r="AR21" s="214" t="str">
        <f>IF($B21&lt;1,"",AVERAGEIF('09월 고철장입'!$F$14:$F$949,$A21,'09월 고철장입'!S$14:S$949))</f>
        <v/>
      </c>
      <c r="AS21" s="214" t="str">
        <f>IF($B21&lt;1,"",AVERAGEIF('09월 고철장입'!$F$14:$F$949,$A21,'09월 고철장입'!AD$14:AD$949))</f>
        <v/>
      </c>
      <c r="AT21" s="214" t="str">
        <f>IF($B21&lt;1,"",AVERAGEIF('09월 고철장입'!$F$14:$F$949,$A21,'09월 고철장입'!AE$14:AE$949))</f>
        <v/>
      </c>
      <c r="AU21" s="217" t="str">
        <f>IF($B21&lt;1,"",AVERAGEIF('09월 고철장입'!$F$14:$F$949,$A21,'09월 고철장입'!AF$14:AF$949))</f>
        <v/>
      </c>
      <c r="AV21" s="217" t="str">
        <f>IF($B21&lt;1,"",AVERAGEIF('09월 고철장입'!$F$14:$F$949,$A21,'09월 고철장입'!AG$14:AG$949))</f>
        <v/>
      </c>
      <c r="AW21" s="217" t="str">
        <f>IF($B21&lt;1,"",AVERAGEIF('09월 고철장입'!$F$14:$F$949,$A21,'09월 고철장입'!AH$14:AH$949))</f>
        <v/>
      </c>
      <c r="AX21" s="217" t="str">
        <f>IF($B21&lt;1,"",AVERAGEIF('09월 고철장입'!$F$14:$F$949,$A21,'09월 고철장입'!AI$14:AI$949))</f>
        <v/>
      </c>
      <c r="AY21" s="248" t="str">
        <f>IF($B21&lt;1,"",AVERAGEIF('09월 고철장입'!$F$14:$F$949,$A21,'09월 고철장입'!AJ$14:AJ$949)/1000)</f>
        <v/>
      </c>
      <c r="AZ21" s="250" t="str">
        <f>IF($B21&lt;1,"",AVERAGEIF('09월 고철장입'!$F$14:$F$949,$A21,'09월 고철장입'!AK$14:AK$949))</f>
        <v/>
      </c>
      <c r="BA21" s="253" t="str">
        <f>IF($B21&lt;1,"",AVERAGEIF('09월 고철장입'!$F$14:$F$949,$A21,'09월 고철장입'!AL$14:AL$949))</f>
        <v/>
      </c>
      <c r="BB21" s="200" t="str">
        <f>IF($B21&lt;1,"",AVERAGEIF('09월 에너지'!$F$14:$F$949,$A21,'09월 에너지'!G29:G965))</f>
        <v/>
      </c>
      <c r="BC21" s="200" t="str">
        <f>IF($B21&lt;1,"",AVERAGEIF('09월 에너지'!$F$14:$F$949,$A21,'09월 에너지'!H29:H965))</f>
        <v/>
      </c>
      <c r="BD21" s="200" t="str">
        <f>IF($B21&lt;1,"",AVERAGEIF('09월 에너지'!$F$14:$F$949,$A21,'09월 에너지'!I29:I965))</f>
        <v/>
      </c>
      <c r="BE21" s="200" t="str">
        <f>IF($B21&lt;1,"",AVERAGEIF('09월 에너지'!$F$14:$F$949,$A21,'09월 에너지'!J29:J965))</f>
        <v/>
      </c>
      <c r="BF21" s="200" t="str">
        <f>IF($B21&lt;1,"",AVERAGEIF('09월 에너지'!$F$14:$F$949,$A21,'09월 에너지'!K29:K965))</f>
        <v/>
      </c>
      <c r="BG21" s="200" t="str">
        <f>IF($B21&lt;1,"",AVERAGEIF('09월 에너지'!$F$14:$F$949,$A21,'09월 에너지'!L29:L965))</f>
        <v/>
      </c>
      <c r="BH21" s="200" t="str">
        <f>IF($B21&lt;1,"",AVERAGEIF('09월 에너지'!$F$14:$F$949,$A21,'09월 에너지'!M29:M965))</f>
        <v/>
      </c>
      <c r="BI21" s="200" t="str">
        <f>IF($B21&lt;1,"",AVERAGEIF('09월 에너지'!$F$14:$F$949,$A21,'09월 에너지'!N29:N965))</f>
        <v/>
      </c>
      <c r="BJ21" s="200" t="str">
        <f>IF($B21&lt;1,"",AVERAGEIF('09월 에너지'!$F$14:$F$949,$A21,'09월 에너지'!O29:O965))</f>
        <v/>
      </c>
      <c r="BK21" s="200" t="str">
        <f>IF($B21&lt;1,"",AVERAGEIF('09월 에너지'!$F$14:$F$949,$A21,'09월 에너지'!P29:P965))</f>
        <v/>
      </c>
      <c r="BL21" s="200" t="str">
        <f>IF($B21&lt;1,"",AVERAGEIF('09월 에너지'!$F$14:$F$949,$A21,'09월 에너지'!Q29:Q965))</f>
        <v/>
      </c>
      <c r="BM21" s="200" t="str">
        <f>IF($B21&lt;1,"",AVERAGEIF('09월 에너지'!$F$14:$F$949,$A21,'09월 에너지'!R29:R965))</f>
        <v/>
      </c>
      <c r="BN21" s="200" t="str">
        <f>IF($B21&lt;1,"",AVERAGEIF('09월 에너지'!$F$14:$F$949,$A21,'09월 에너지'!S29:S965))</f>
        <v/>
      </c>
      <c r="BO21" s="200" t="str">
        <f>IF($B21&lt;1,"",AVERAGEIF('09월 에너지'!$F$14:$F$949,$A21,'09월 에너지'!T29:T965))</f>
        <v/>
      </c>
      <c r="BP21" s="200" t="str">
        <f>IF($B21&lt;1,"",AVERAGEIF('09월 에너지'!$F$14:$F$949,$A21,'09월 에너지'!U29:U965))</f>
        <v/>
      </c>
      <c r="BQ21" s="200" t="str">
        <f>IF($B21&lt;1,"",AVERAGEIF('09월 에너지'!$F$14:$F$949,$A21,'09월 에너지'!V29:V965))</f>
        <v/>
      </c>
      <c r="BR21" s="200" t="str">
        <f>IF($B21&lt;1,"",AVERAGEIF('09월 에너지'!$F$14:$F$949,$A21,'09월 에너지'!W29:W965))</f>
        <v/>
      </c>
      <c r="BS21" s="200" t="str">
        <f>IF($B21&lt;1,"",AVERAGEIF('09월 에너지'!$F$14:$F$949,$A21,'09월 에너지'!X29:X965))</f>
        <v/>
      </c>
      <c r="BT21" s="200" t="str">
        <f>IF($B21&lt;1,"",AVERAGEIF('09월 에너지'!$F$14:$F$949,$A21,'09월 에너지'!Y29:Y965))</f>
        <v/>
      </c>
      <c r="BU21" s="200" t="str">
        <f>IF($B21&lt;1,"",AVERAGEIF('09월 에너지'!$F$14:$F$949,$A21,'09월 에너지'!Z29:Z965))</f>
        <v/>
      </c>
      <c r="BV21" s="200" t="str">
        <f>IF($B21&lt;1,"",AVERAGEIF('09월 에너지'!$F$14:$F$949,$A21,'09월 에너지'!AA29:AA965))</f>
        <v/>
      </c>
      <c r="BW21" s="200" t="str">
        <f>IF($B21&lt;1,"",AVERAGEIF('09월 에너지'!$F$14:$F$949,$A21,'09월 에너지'!AB29:AB965))</f>
        <v/>
      </c>
      <c r="BX21" s="257" t="str">
        <f>IF($B21&lt;1,"",AVERAGEIF('09월 에너지'!$F$14:$F$949,$A21,'09월 에너지'!AC29:AC965))</f>
        <v/>
      </c>
      <c r="BY21" s="261" t="str">
        <f>IF($B21&lt;1,"",AVERAGEIF('09월 에너지'!$F$14:$F$949,$A21,'09월 에너지'!AD29:AD965))</f>
        <v/>
      </c>
      <c r="BZ21" s="262" t="str">
        <f>IF($B21&lt;1,"",AVERAGEIF('09월 에너지'!$F$14:$F$949,$A21,'09월 에너지'!AE29:AE965))</f>
        <v/>
      </c>
      <c r="CA21" s="249" t="str">
        <f>IF($B21&lt;1,"",AVERAGEIF('09월 에너지'!$F$14:$F$949,$A21,'09월 에너지'!AF29:AF965))</f>
        <v/>
      </c>
      <c r="CB21" s="200" t="str">
        <f>IF($B21&lt;1,"",AVERAGEIF('09월 에너지'!$F$14:$F$949,$A21,'09월 에너지'!AG29:AG965))</f>
        <v/>
      </c>
      <c r="CC21" s="200" t="str">
        <f>IF($B21&lt;1,"",AVERAGEIF('09월 에너지'!$F$14:$F$949,$A21,'09월 에너지'!AH29:AH965))</f>
        <v/>
      </c>
      <c r="CD21" s="200" t="str">
        <f>IF($B21&lt;1,"",AVERAGEIF('09월 에너지'!$F$14:$F$949,$A21,'09월 에너지'!AI29:AI965))</f>
        <v/>
      </c>
      <c r="CE21" s="206" t="str">
        <f>IF($B21&lt;1,"",AVERAGEIF('09월 에너지'!$F$14:$F$949,$A21,'09월 에너지'!AJ29:AJ965))</f>
        <v/>
      </c>
    </row>
    <row r="22" spans="1:83" ht="17.25" customHeight="1">
      <c r="A22" s="210" t="s">
        <v>124</v>
      </c>
      <c r="B22" s="243">
        <f>IF(A22="",0,COUNTIF('09월 화학성분'!$F$12:$F$949,$A22))</f>
        <v>0</v>
      </c>
      <c r="C22" s="240"/>
      <c r="D22" s="203"/>
      <c r="E22" s="203"/>
      <c r="F22" s="200" t="str">
        <f>IF($B22&lt;1,"",AVERAGEIF('09월 화학성분'!$F$12:$F$949,$A22,'09월 화학성분'!G$12:G$949))</f>
        <v/>
      </c>
      <c r="G22" s="200" t="str">
        <f>IF($B22&lt;1,"",AVERAGEIF('09월 화학성분'!$F$12:$F$949,$A22,'09월 화학성분'!H$12:H$949))</f>
        <v/>
      </c>
      <c r="H22" s="200" t="str">
        <f>IF($B22&lt;1,"",AVERAGEIF('09월 화학성분'!$F$12:$F$949,$A22,'09월 화학성분'!I$12:I$949))</f>
        <v/>
      </c>
      <c r="I22" s="200" t="str">
        <f>IF($B22&lt;1,"",AVERAGEIF('09월 화학성분'!$F$12:$F$949,$A22,'09월 화학성분'!J$12:J$949))</f>
        <v/>
      </c>
      <c r="J22" s="200" t="str">
        <f>IF($B22&lt;1,"",AVERAGEIF('09월 화학성분'!$F$12:$F$949,$A22,'09월 화학성분'!K$12:K$949))</f>
        <v/>
      </c>
      <c r="K22" s="200" t="str">
        <f>IF($B22&lt;1,"",AVERAGEIF('09월 화학성분'!$F$12:$F$949,$A22,'09월 화학성분'!L$12:L$949))</f>
        <v/>
      </c>
      <c r="L22" s="200" t="str">
        <f>IF($B22&lt;1,"",AVERAGEIF('09월 화학성분'!$F$12:$F$949,$A22,'09월 화학성분'!M$12:M$949))</f>
        <v/>
      </c>
      <c r="M22" s="208" t="str">
        <f>IF($B22&lt;1,"",AVERAGEIF('09월 화학성분'!$F$12:$F$949,$A22,'09월 화학성분'!N$12:N$949))</f>
        <v/>
      </c>
      <c r="N22" s="208" t="str">
        <f>IF($B22&lt;1,"",AVERAGEIF('09월 화학성분'!$F$12:$F$949,$A22,'09월 화학성분'!O$12:O$949))</f>
        <v/>
      </c>
      <c r="O22" s="208" t="str">
        <f>IF($B22&lt;1,"",AVERAGEIF('09월 화학성분'!$F$12:$F$949,$A22,'09월 화학성분'!P$12:P$949))</f>
        <v/>
      </c>
      <c r="P22" s="208" t="str">
        <f>IF($B22&lt;1,"",AVERAGEIF('09월 화학성분'!$F$12:$F$949,$A22,'09월 화학성분'!Q$12:Q$949))</f>
        <v/>
      </c>
      <c r="Q22" s="208" t="str">
        <f>IF($B22&lt;1,"",AVERAGEIF('09월 화학성분'!$F$12:$F$949,$A22,'09월 화학성분'!R$12:R$949))</f>
        <v/>
      </c>
      <c r="R22" s="208" t="str">
        <f>IF($B22&lt;1,"",AVERAGEIF('09월 화학성분'!$F$12:$F$949,$A22,'09월 화학성분'!U$12:U$949))</f>
        <v/>
      </c>
      <c r="S22" s="208" t="str">
        <f>IF($B22&lt;1,"",AVERAGEIF('09월 화학성분'!$F$12:$F$949,$A22,'09월 화학성분'!V$12:V$949))</f>
        <v/>
      </c>
      <c r="T22" s="208" t="str">
        <f>IF($B22&lt;1,"",AVERAGEIF('09월 화학성분'!$F$12:$F$949,$A22,'09월 화학성분'!W$12:W$949))</f>
        <v/>
      </c>
      <c r="U22" s="208" t="str">
        <f>IF($B22&lt;1,"",AVERAGEIF('09월 화학성분'!$F$12:$F$949,$A22,'09월 화학성분'!X$12:X$949))</f>
        <v/>
      </c>
      <c r="V22" s="208" t="str">
        <f>IF($B22&lt;1,"",AVERAGEIF('09월 화학성분'!$F$12:$F$949,$A22,'09월 화학성분'!#REF!))</f>
        <v/>
      </c>
      <c r="W22" s="208" t="str">
        <f>IF($B22&lt;1,"",AVERAGEIF('09월 화학성분'!$F$12:$F$949,$A22,'09월 화학성분'!AB$12:AB$949))</f>
        <v/>
      </c>
      <c r="X22" s="208" t="str">
        <f>IF($B22&lt;1,"",AVERAGEIF('09월 화학성분'!$F$12:$F$949,$A22,'09월 화학성분'!AC$12:AC$949))</f>
        <v/>
      </c>
      <c r="Y22" s="208" t="str">
        <f>IF($B22&lt;1,"",AVERAGEIF('09월 화학성분'!$F$12:$F$949,$A22,'09월 화학성분'!AD$12:AD$949))</f>
        <v/>
      </c>
      <c r="Z22" s="208" t="str">
        <f>IF($B22&lt;1,"",AVERAGEIF('09월 화학성분'!$F$12:$F$949,$A22,'09월 화학성분'!AF$12:AF$949))</f>
        <v/>
      </c>
      <c r="AA22" s="208" t="str">
        <f>IF($B22&lt;1,"",AVERAGEIF('09월 화학성분'!$F$12:$F$949,$A22,'09월 화학성분'!AG$12:AG$949))</f>
        <v/>
      </c>
      <c r="AB22" s="208" t="str">
        <f>IF($B22&lt;1,"",AVERAGEIF('09월 화학성분'!$F$12:$F$949,$A22,'09월 화학성분'!AH$12:AH$949))</f>
        <v/>
      </c>
      <c r="AC22" s="208" t="str">
        <f>IF($B22&lt;1,"",AVERAGEIF('09월 화학성분'!$F$12:$F$949,$A22,'09월 화학성분'!AI$12:AI$949))</f>
        <v/>
      </c>
      <c r="AD22" s="208" t="str">
        <f>IF($B22&lt;1,"",AVERAGEIF('09월 화학성분'!$F$12:$F$949,$A22,'09월 화학성분'!AJ$12:AJ$949))</f>
        <v/>
      </c>
      <c r="AE22" s="208" t="str">
        <f>IF($B22&lt;1,"",AVERAGEIF('09월 화학성분'!$F$12:$F$949,$A22,'09월 화학성분'!AL$12:AL$949))</f>
        <v/>
      </c>
      <c r="AF22" s="208" t="str">
        <f>IF($B22&lt;1,"",AVERAGEIF('09월 화학성분'!$F$12:$F$949,$A22,'09월 화학성분'!AM$12:AM$949))</f>
        <v/>
      </c>
      <c r="AG22" s="207" t="str">
        <f>IF($B22&lt;1,"",AVERAGEIF('09월 화학성분'!$F$12:$F$949,$A22,'09월 화학성분'!AN$12:AN$949))</f>
        <v/>
      </c>
      <c r="AH22" s="207" t="str">
        <f>IF($B22&lt;1,"",AVERAGEIF('09월 화학성분'!$F$12:$F$949,$A22,'09월 화학성분'!AO$12:AO$949))</f>
        <v/>
      </c>
      <c r="AI22" s="200" t="str">
        <f>IF($B22&lt;1,"",AVERAGEIF('09월 화학성분'!$F$12:$F$949,$A22,'09월 화학성분'!AP$12:AP$949))</f>
        <v/>
      </c>
      <c r="AJ22" s="217" t="str">
        <f>IF($B22&lt;1,"",AVERAGEIF('09월 고철장입'!$F$14:$F$949,$A22,'09월 고철장입'!G$14:G$949))</f>
        <v/>
      </c>
      <c r="AK22" s="217" t="str">
        <f>IF($B22&lt;1,"",AVERAGEIF('09월 고철장입'!$F$14:$F$949,$A22,'09월 고철장입'!H$14:H$949))</f>
        <v/>
      </c>
      <c r="AL22" s="217" t="str">
        <f>IF($B22&lt;1,"",AVERAGEIF('09월 고철장입'!$F$14:$F$949,$A22,'09월 고철장입'!I$14:I$949))</f>
        <v/>
      </c>
      <c r="AM22" s="217" t="str">
        <f>IF($B22&lt;1,"",AVERAGEIF('09월 고철장입'!$F$14:$F$949,$A22,'09월 고철장입'!J$14:J$949))</f>
        <v/>
      </c>
      <c r="AN22" s="217" t="str">
        <f>IF($B22&lt;1,"",AVERAGEIF('09월 고철장입'!$F$14:$F$949,$A22,'09월 고철장입'!L$14:L$949))</f>
        <v/>
      </c>
      <c r="AO22" s="217" t="str">
        <f>IF($B22&lt;1,"",AVERAGEIF('09월 고철장입'!$F$14:$F$949,$A22,'09월 고철장입'!O$14:O$949))</f>
        <v/>
      </c>
      <c r="AP22" s="214" t="str">
        <f>IF($B22&lt;1,"",AVERAGEIF('09월 고철장입'!$F$14:$F$949,$A22,'09월 고철장입'!P$14:P$949))</f>
        <v/>
      </c>
      <c r="AQ22" s="214" t="str">
        <f>IF($B22&lt;1,"",AVERAGEIF('09월 고철장입'!$F$14:$F$949,$A22,'09월 고철장입'!Q$14:Q$949))</f>
        <v/>
      </c>
      <c r="AR22" s="214" t="str">
        <f>IF($B22&lt;1,"",AVERAGEIF('09월 고철장입'!$F$14:$F$949,$A22,'09월 고철장입'!S$14:S$949))</f>
        <v/>
      </c>
      <c r="AS22" s="214" t="str">
        <f>IF($B22&lt;1,"",AVERAGEIF('09월 고철장입'!$F$14:$F$949,$A22,'09월 고철장입'!AD$14:AD$949))</f>
        <v/>
      </c>
      <c r="AT22" s="214" t="str">
        <f>IF($B22&lt;1,"",AVERAGEIF('09월 고철장입'!$F$14:$F$949,$A22,'09월 고철장입'!AE$14:AE$949))</f>
        <v/>
      </c>
      <c r="AU22" s="217" t="str">
        <f>IF($B22&lt;1,"",AVERAGEIF('09월 고철장입'!$F$14:$F$949,$A22,'09월 고철장입'!AF$14:AF$949))</f>
        <v/>
      </c>
      <c r="AV22" s="217" t="str">
        <f>IF($B22&lt;1,"",AVERAGEIF('09월 고철장입'!$F$14:$F$949,$A22,'09월 고철장입'!AG$14:AG$949))</f>
        <v/>
      </c>
      <c r="AW22" s="217" t="str">
        <f>IF($B22&lt;1,"",AVERAGEIF('09월 고철장입'!$F$14:$F$949,$A22,'09월 고철장입'!AH$14:AH$949))</f>
        <v/>
      </c>
      <c r="AX22" s="217" t="str">
        <f>IF($B22&lt;1,"",AVERAGEIF('09월 고철장입'!$F$14:$F$949,$A22,'09월 고철장입'!AI$14:AI$949))</f>
        <v/>
      </c>
      <c r="AY22" s="248" t="str">
        <f>IF($B22&lt;1,"",AVERAGEIF('09월 고철장입'!$F$14:$F$949,$A22,'09월 고철장입'!AJ$14:AJ$949)/1000)</f>
        <v/>
      </c>
      <c r="AZ22" s="250" t="str">
        <f>IF($B22&lt;1,"",AVERAGEIF('09월 고철장입'!$F$14:$F$949,$A22,'09월 고철장입'!AK$14:AK$949))</f>
        <v/>
      </c>
      <c r="BA22" s="253" t="str">
        <f>IF($B22&lt;1,"",AVERAGEIF('09월 고철장입'!$F$14:$F$949,$A22,'09월 고철장입'!AL$14:AL$949))</f>
        <v/>
      </c>
      <c r="BB22" s="200" t="str">
        <f>IF($B22&lt;1,"",AVERAGEIF('09월 에너지'!$F$14:$F$949,$A22,'09월 에너지'!G30:G966))</f>
        <v/>
      </c>
      <c r="BC22" s="200" t="str">
        <f>IF($B22&lt;1,"",AVERAGEIF('09월 에너지'!$F$14:$F$949,$A22,'09월 에너지'!H30:H966))</f>
        <v/>
      </c>
      <c r="BD22" s="200" t="str">
        <f>IF($B22&lt;1,"",AVERAGEIF('09월 에너지'!$F$14:$F$949,$A22,'09월 에너지'!I30:I966))</f>
        <v/>
      </c>
      <c r="BE22" s="200" t="str">
        <f>IF($B22&lt;1,"",AVERAGEIF('09월 에너지'!$F$14:$F$949,$A22,'09월 에너지'!J30:J966))</f>
        <v/>
      </c>
      <c r="BF22" s="200" t="str">
        <f>IF($B22&lt;1,"",AVERAGEIF('09월 에너지'!$F$14:$F$949,$A22,'09월 에너지'!K30:K966))</f>
        <v/>
      </c>
      <c r="BG22" s="200" t="str">
        <f>IF($B22&lt;1,"",AVERAGEIF('09월 에너지'!$F$14:$F$949,$A22,'09월 에너지'!L30:L966))</f>
        <v/>
      </c>
      <c r="BH22" s="200" t="str">
        <f>IF($B22&lt;1,"",AVERAGEIF('09월 에너지'!$F$14:$F$949,$A22,'09월 에너지'!M30:M966))</f>
        <v/>
      </c>
      <c r="BI22" s="200" t="str">
        <f>IF($B22&lt;1,"",AVERAGEIF('09월 에너지'!$F$14:$F$949,$A22,'09월 에너지'!N30:N966))</f>
        <v/>
      </c>
      <c r="BJ22" s="200" t="str">
        <f>IF($B22&lt;1,"",AVERAGEIF('09월 에너지'!$F$14:$F$949,$A22,'09월 에너지'!O30:O966))</f>
        <v/>
      </c>
      <c r="BK22" s="200" t="str">
        <f>IF($B22&lt;1,"",AVERAGEIF('09월 에너지'!$F$14:$F$949,$A22,'09월 에너지'!P30:P966))</f>
        <v/>
      </c>
      <c r="BL22" s="200" t="str">
        <f>IF($B22&lt;1,"",AVERAGEIF('09월 에너지'!$F$14:$F$949,$A22,'09월 에너지'!Q30:Q966))</f>
        <v/>
      </c>
      <c r="BM22" s="200" t="str">
        <f>IF($B22&lt;1,"",AVERAGEIF('09월 에너지'!$F$14:$F$949,$A22,'09월 에너지'!R30:R966))</f>
        <v/>
      </c>
      <c r="BN22" s="200" t="str">
        <f>IF($B22&lt;1,"",AVERAGEIF('09월 에너지'!$F$14:$F$949,$A22,'09월 에너지'!S30:S966))</f>
        <v/>
      </c>
      <c r="BO22" s="200" t="str">
        <f>IF($B22&lt;1,"",AVERAGEIF('09월 에너지'!$F$14:$F$949,$A22,'09월 에너지'!T30:T966))</f>
        <v/>
      </c>
      <c r="BP22" s="200" t="str">
        <f>IF($B22&lt;1,"",AVERAGEIF('09월 에너지'!$F$14:$F$949,$A22,'09월 에너지'!U30:U966))</f>
        <v/>
      </c>
      <c r="BQ22" s="200" t="str">
        <f>IF($B22&lt;1,"",AVERAGEIF('09월 에너지'!$F$14:$F$949,$A22,'09월 에너지'!V30:V966))</f>
        <v/>
      </c>
      <c r="BR22" s="200" t="str">
        <f>IF($B22&lt;1,"",AVERAGEIF('09월 에너지'!$F$14:$F$949,$A22,'09월 에너지'!W30:W966))</f>
        <v/>
      </c>
      <c r="BS22" s="200" t="str">
        <f>IF($B22&lt;1,"",AVERAGEIF('09월 에너지'!$F$14:$F$949,$A22,'09월 에너지'!X30:X966))</f>
        <v/>
      </c>
      <c r="BT22" s="200" t="str">
        <f>IF($B22&lt;1,"",AVERAGEIF('09월 에너지'!$F$14:$F$949,$A22,'09월 에너지'!Y30:Y966))</f>
        <v/>
      </c>
      <c r="BU22" s="200" t="str">
        <f>IF($B22&lt;1,"",AVERAGEIF('09월 에너지'!$F$14:$F$949,$A22,'09월 에너지'!Z30:Z966))</f>
        <v/>
      </c>
      <c r="BV22" s="200" t="str">
        <f>IF($B22&lt;1,"",AVERAGEIF('09월 에너지'!$F$14:$F$949,$A22,'09월 에너지'!AA30:AA966))</f>
        <v/>
      </c>
      <c r="BW22" s="200" t="str">
        <f>IF($B22&lt;1,"",AVERAGEIF('09월 에너지'!$F$14:$F$949,$A22,'09월 에너지'!AB30:AB966))</f>
        <v/>
      </c>
      <c r="BX22" s="257" t="str">
        <f>IF($B22&lt;1,"",AVERAGEIF('09월 에너지'!$F$14:$F$949,$A22,'09월 에너지'!AC30:AC966))</f>
        <v/>
      </c>
      <c r="BY22" s="261" t="str">
        <f>IF($B22&lt;1,"",AVERAGEIF('09월 에너지'!$F$14:$F$949,$A22,'09월 에너지'!AD30:AD966))</f>
        <v/>
      </c>
      <c r="BZ22" s="262" t="str">
        <f>IF($B22&lt;1,"",AVERAGEIF('09월 에너지'!$F$14:$F$949,$A22,'09월 에너지'!AE30:AE966))</f>
        <v/>
      </c>
      <c r="CA22" s="249" t="str">
        <f>IF($B22&lt;1,"",AVERAGEIF('09월 에너지'!$F$14:$F$949,$A22,'09월 에너지'!AF30:AF966))</f>
        <v/>
      </c>
      <c r="CB22" s="200" t="str">
        <f>IF($B22&lt;1,"",AVERAGEIF('09월 에너지'!$F$14:$F$949,$A22,'09월 에너지'!AG30:AG966))</f>
        <v/>
      </c>
      <c r="CC22" s="200" t="str">
        <f>IF($B22&lt;1,"",AVERAGEIF('09월 에너지'!$F$14:$F$949,$A22,'09월 에너지'!AH30:AH966))</f>
        <v/>
      </c>
      <c r="CD22" s="200" t="str">
        <f>IF($B22&lt;1,"",AVERAGEIF('09월 에너지'!$F$14:$F$949,$A22,'09월 에너지'!AI30:AI966))</f>
        <v/>
      </c>
      <c r="CE22" s="206" t="str">
        <f>IF($B22&lt;1,"",AVERAGEIF('09월 에너지'!$F$14:$F$949,$A22,'09월 에너지'!AJ30:AJ966))</f>
        <v/>
      </c>
    </row>
    <row r="23" spans="1:83" ht="17.25" customHeight="1">
      <c r="A23" s="210" t="s">
        <v>157</v>
      </c>
      <c r="B23" s="243">
        <f>IF(A23="",0,COUNTIF('09월 화학성분'!$F$12:$F$949,$A23))</f>
        <v>109</v>
      </c>
      <c r="C23" s="240"/>
      <c r="D23" s="203"/>
      <c r="E23" s="203"/>
      <c r="F23" s="200">
        <f>IF($B23&lt;1,"",AVERAGEIF('09월 화학성분'!$F$12:$F$949,$A23,'09월 화학성분'!G$12:G$949))</f>
        <v>11.238532110091743</v>
      </c>
      <c r="G23" s="200">
        <f>IF($B23&lt;1,"",AVERAGEIF('09월 화학성분'!$F$12:$F$949,$A23,'09월 화학성분'!H$12:H$949))</f>
        <v>20.779816513761467</v>
      </c>
      <c r="H23" s="200">
        <f>IF($B23&lt;1,"",AVERAGEIF('09월 화학성분'!$F$12:$F$949,$A23,'09월 화학성분'!I$12:I$949))</f>
        <v>126.6788990825688</v>
      </c>
      <c r="I23" s="200">
        <f>IF($B23&lt;1,"",AVERAGEIF('09월 화학성분'!$F$12:$F$949,$A23,'09월 화학성분'!J$12:J$949))</f>
        <v>15.082568807339449</v>
      </c>
      <c r="J23" s="200">
        <f>IF($B23&lt;1,"",AVERAGEIF('09월 화학성분'!$F$12:$F$949,$A23,'09월 화학성분'!K$12:K$949))</f>
        <v>32.807339449541281</v>
      </c>
      <c r="K23" s="200">
        <f>IF($B23&lt;1,"",AVERAGEIF('09월 화학성분'!$F$12:$F$949,$A23,'09월 화학성분'!L$12:L$949))</f>
        <v>12.330275229357799</v>
      </c>
      <c r="L23" s="200">
        <f>IF($B23&lt;1,"",AVERAGEIF('09월 화학성분'!$F$12:$F$949,$A23,'09월 화학성분'!M$12:M$949))</f>
        <v>10.238532110091743</v>
      </c>
      <c r="M23" s="208">
        <f>IF($B23&lt;1,"",AVERAGEIF('09월 화학성분'!$F$12:$F$949,$A23,'09월 화학성분'!N$12:N$949))</f>
        <v>417.86238532110093</v>
      </c>
      <c r="N23" s="208" t="e">
        <f>IF($B23&lt;1,"",AVERAGEIF('09월 화학성분'!$F$12:$F$949,$A23,'09월 화학성분'!O$12:O$949))</f>
        <v>#DIV/0!</v>
      </c>
      <c r="O23" s="208">
        <f>IF($B23&lt;1,"",AVERAGEIF('09월 화학성분'!$F$12:$F$949,$A23,'09월 화학성분'!P$12:P$949))</f>
        <v>1001.440366972477</v>
      </c>
      <c r="P23" s="208">
        <f>IF($B23&lt;1,"",AVERAGEIF('09월 화학성분'!$F$12:$F$949,$A23,'09월 화학성분'!Q$12:Q$949))</f>
        <v>945.53211009174311</v>
      </c>
      <c r="Q23" s="208" t="e">
        <f>IF($B23&lt;1,"",AVERAGEIF('09월 화학성분'!$F$12:$F$949,$A23,'09월 화학성분'!R$12:R$949))</f>
        <v>#DIV/0!</v>
      </c>
      <c r="R23" s="208" t="e">
        <f>IF($B23&lt;1,"",AVERAGEIF('09월 화학성분'!$F$12:$F$949,$A23,'09월 화학성분'!U$12:U$949))</f>
        <v>#DIV/0!</v>
      </c>
      <c r="S23" s="208">
        <f>IF($B23&lt;1,"",AVERAGEIF('09월 화학성분'!$F$12:$F$949,$A23,'09월 화학성분'!V$12:V$949))</f>
        <v>418.38532110091745</v>
      </c>
      <c r="T23" s="208" t="e">
        <f>IF($B23&lt;1,"",AVERAGEIF('09월 화학성분'!$F$12:$F$949,$A23,'09월 화학성분'!W$12:W$949))</f>
        <v>#DIV/0!</v>
      </c>
      <c r="U23" s="208">
        <f>IF($B23&lt;1,"",AVERAGEIF('09월 화학성분'!$F$12:$F$949,$A23,'09월 화학성분'!X$12:X$949))</f>
        <v>1004.394495412844</v>
      </c>
      <c r="V23" s="208" t="e">
        <f>IF($B23&lt;1,"",AVERAGEIF('09월 화학성분'!$F$12:$F$949,$A23,'09월 화학성분'!#REF!))</f>
        <v>#REF!</v>
      </c>
      <c r="W23" s="208">
        <f>IF($B23&lt;1,"",AVERAGEIF('09월 화학성분'!$F$12:$F$949,$A23,'09월 화학성분'!AB$12:AB$949))</f>
        <v>0</v>
      </c>
      <c r="X23" s="208" t="e">
        <f>IF($B23&lt;1,"",AVERAGEIF('09월 화학성분'!$F$12:$F$949,$A23,'09월 화학성분'!AC$12:AC$949))</f>
        <v>#DIV/0!</v>
      </c>
      <c r="Y23" s="208">
        <f>IF($B23&lt;1,"",AVERAGEIF('09월 화학성분'!$F$12:$F$949,$A23,'09월 화학성분'!AD$12:AD$949))</f>
        <v>282.83486238532112</v>
      </c>
      <c r="Z23" s="208">
        <f>IF($B23&lt;1,"",AVERAGEIF('09월 화학성분'!$F$12:$F$949,$A23,'09월 화학성분'!AF$12:AF$949))</f>
        <v>0</v>
      </c>
      <c r="AA23" s="208">
        <f>IF($B23&lt;1,"",AVERAGEIF('09월 화학성분'!$F$12:$F$949,$A23,'09월 화학성분'!AG$12:AG$949))</f>
        <v>95.128440366972484</v>
      </c>
      <c r="AB23" s="208">
        <f>IF($B23&lt;1,"",AVERAGEIF('09월 화학성분'!$F$12:$F$949,$A23,'09월 화학성분'!AH$12:AH$949))</f>
        <v>2353.4311926605506</v>
      </c>
      <c r="AC23" s="208">
        <f>IF($B23&lt;1,"",AVERAGEIF('09월 화학성분'!$F$12:$F$949,$A23,'09월 화학성분'!AI$12:AI$949))</f>
        <v>27.40625</v>
      </c>
      <c r="AD23" s="208">
        <f>IF($B23&lt;1,"",AVERAGEIF('09월 화학성분'!$F$12:$F$949,$A23,'09월 화학성분'!AJ$12:AJ$949))</f>
        <v>85.834862385321102</v>
      </c>
      <c r="AE23" s="208">
        <f>IF($B23&lt;1,"",AVERAGEIF('09월 화학성분'!$F$12:$F$949,$A23,'09월 화학성분'!AL$12:AL$949))</f>
        <v>125.6788990825688</v>
      </c>
      <c r="AF23" s="208">
        <f>IF($B23&lt;1,"",AVERAGEIF('09월 화학성분'!$F$12:$F$949,$A23,'09월 화학성분'!AM$12:AM$949))</f>
        <v>1917.9266055045871</v>
      </c>
      <c r="AG23" s="207">
        <f>IF($B23&lt;1,"",AVERAGEIF('09월 화학성분'!$F$12:$F$949,$A23,'09월 화학성분'!AN$12:AN$949))</f>
        <v>0.83738293092366345</v>
      </c>
      <c r="AH23" s="207">
        <f>IF($B23&lt;1,"",AVERAGEIF('09월 화학성분'!$F$12:$F$949,$A23,'09월 화학성분'!AO$12:AO$949))</f>
        <v>0.97981895962670462</v>
      </c>
      <c r="AI23" s="200">
        <f>IF($B23&lt;1,"",AVERAGEIF('09월 화학성분'!$F$12:$F$949,$A23,'09월 화학성분'!AP$12:AP$949))</f>
        <v>144.53302752293575</v>
      </c>
      <c r="AJ23" s="217">
        <f>IF($B23&lt;1,"",AVERAGEIF('09월 고철장입'!$F$14:$F$949,$A23,'09월 고철장입'!G$14:G$949))</f>
        <v>0</v>
      </c>
      <c r="AK23" s="217">
        <f>IF($B23&lt;1,"",AVERAGEIF('09월 고철장입'!$F$14:$F$949,$A23,'09월 고철장입'!H$14:H$949))</f>
        <v>0</v>
      </c>
      <c r="AL23" s="217">
        <f>IF($B23&lt;1,"",AVERAGEIF('09월 고철장입'!$F$14:$F$949,$A23,'09월 고철장입'!I$14:I$949))</f>
        <v>11896.153846153846</v>
      </c>
      <c r="AM23" s="217">
        <f>IF($B23&lt;1,"",AVERAGEIF('09월 고철장입'!$F$14:$F$949,$A23,'09월 고철장입'!J$14:J$949))</f>
        <v>0</v>
      </c>
      <c r="AN23" s="217">
        <f>IF($B23&lt;1,"",AVERAGEIF('09월 고철장입'!$F$14:$F$949,$A23,'09월 고철장입'!L$14:L$949))</f>
        <v>0</v>
      </c>
      <c r="AO23" s="217">
        <f>IF($B23&lt;1,"",AVERAGEIF('09월 고철장입'!$F$14:$F$949,$A23,'09월 고철장입'!O$14:O$949))</f>
        <v>11896.153846153846</v>
      </c>
      <c r="AP23" s="214">
        <f>IF($B23&lt;1,"",AVERAGEIF('09월 고철장입'!$F$14:$F$949,$A23,'09월 고철장입'!P$14:P$949))</f>
        <v>51111.926605504588</v>
      </c>
      <c r="AQ23" s="214">
        <f>IF($B23&lt;1,"",AVERAGEIF('09월 고철장입'!$F$14:$F$949,$A23,'09월 고철장입'!Q$14:Q$949))</f>
        <v>19064.220183486239</v>
      </c>
      <c r="AR23" s="214">
        <f>IF($B23&lt;1,"",AVERAGEIF('09월 고철장입'!$F$14:$F$949,$A23,'09월 고철장입'!S$14:S$949))</f>
        <v>0</v>
      </c>
      <c r="AS23" s="214">
        <f>IF($B23&lt;1,"",AVERAGEIF('09월 고철장입'!$F$14:$F$949,$A23,'09월 고철장입'!AD$14:AD$949))</f>
        <v>3709.1836734693879</v>
      </c>
      <c r="AT23" s="214">
        <f>IF($B23&lt;1,"",AVERAGEIF('09월 고철장입'!$F$14:$F$949,$A23,'09월 고철장입'!AE$14:AE$949))</f>
        <v>128664.22018348624</v>
      </c>
      <c r="AU23" s="217">
        <f>IF($B23&lt;1,"",AVERAGEIF('09월 고철장입'!$F$14:$F$949,$A23,'09월 고철장입'!AF$14:AF$949))</f>
        <v>3976.1467889908258</v>
      </c>
      <c r="AV23" s="217">
        <f>IF($B23&lt;1,"",AVERAGEIF('09월 고철장입'!$F$14:$F$949,$A23,'09월 고철장입'!AG$14:AG$949))</f>
        <v>12071.559633027522</v>
      </c>
      <c r="AW23" s="217">
        <f>IF($B23&lt;1,"",AVERAGEIF('09월 고철장입'!$F$14:$F$949,$A23,'09월 고철장입'!AH$14:AH$949))</f>
        <v>5257.7981651376149</v>
      </c>
      <c r="AX23" s="217">
        <f>IF($B23&lt;1,"",AVERAGEIF('09월 고철장입'!$F$14:$F$949,$A23,'09월 고철장입'!AI$14:AI$949))</f>
        <v>21329.357798165136</v>
      </c>
      <c r="AY23" s="248">
        <f>IF($B23&lt;1,"",AVERAGEIF('09월 고철장입'!$F$14:$F$949,$A23,'09월 고철장입'!AJ$14:AJ$949)/1000)</f>
        <v>158.50642201834862</v>
      </c>
      <c r="AZ23" s="250">
        <f>IF($B23&lt;1,"",AVERAGEIF('09월 고철장입'!$F$14:$F$949,$A23,'09월 고철장입'!AK$14:AK$949))</f>
        <v>144.53302752293575</v>
      </c>
      <c r="BA23" s="253">
        <f>IF($B23&lt;1,"",AVERAGEIF('09월 고철장입'!$F$14:$F$949,$A23,'09월 고철장입'!AL$14:AL$949))</f>
        <v>0.9118595075095649</v>
      </c>
      <c r="BB23" s="200">
        <f>IF($B23&lt;1,"",AVERAGEIF('09월 에너지'!$F$14:$F$949,$A23,'09월 에너지'!G31:G967))</f>
        <v>19.296330275229369</v>
      </c>
      <c r="BC23" s="200">
        <f>IF($B23&lt;1,"",AVERAGEIF('09월 에너지'!$F$14:$F$949,$A23,'09월 에너지'!H31:H967))</f>
        <v>23144.036697247706</v>
      </c>
      <c r="BD23" s="200">
        <f>IF($B23&lt;1,"",AVERAGEIF('09월 에너지'!$F$14:$F$949,$A23,'09월 에너지'!I31:I967))</f>
        <v>16.744036697247704</v>
      </c>
      <c r="BE23" s="200">
        <f>IF($B23&lt;1,"",AVERAGEIF('09월 에너지'!$F$14:$F$949,$A23,'09월 에너지'!J31:J967))</f>
        <v>20605.504587155963</v>
      </c>
      <c r="BF23" s="200">
        <f>IF($B23&lt;1,"",AVERAGEIF('09월 에너지'!$F$14:$F$949,$A23,'09월 에너지'!K31:K967))</f>
        <v>9.9403669724770687</v>
      </c>
      <c r="BG23" s="200">
        <f>IF($B23&lt;1,"",AVERAGEIF('09월 에너지'!$F$14:$F$949,$A23,'09월 에너지'!L31:L967))</f>
        <v>12503.669724770642</v>
      </c>
      <c r="BH23" s="200">
        <f>IF($B23&lt;1,"",AVERAGEIF('09월 에너지'!$F$14:$F$949,$A23,'09월 에너지'!M31:M967))</f>
        <v>45.980733944954117</v>
      </c>
      <c r="BI23" s="200">
        <f>IF($B23&lt;1,"",AVERAGEIF('09월 에너지'!$F$14:$F$949,$A23,'09월 에너지'!N31:N967))</f>
        <v>56253.211009174309</v>
      </c>
      <c r="BJ23" s="200">
        <f>IF($B23&lt;1,"",AVERAGEIF('09월 에너지'!$F$14:$F$949,$A23,'09월 에너지'!O31:O967))</f>
        <v>160.33799872427377</v>
      </c>
      <c r="BK23" s="200">
        <f>IF($B23&lt;1,"",AVERAGEIF('09월 에너지'!$F$14:$F$949,$A23,'09월 에너지'!P31:P967))</f>
        <v>142.75128108800936</v>
      </c>
      <c r="BL23" s="200">
        <f>IF($B23&lt;1,"",AVERAGEIF('09월 에너지'!$F$14:$F$949,$A23,'09월 에너지'!Q31:Q967))</f>
        <v>86.63094346798313</v>
      </c>
      <c r="BM23" s="200">
        <f>IF($B23&lt;1,"",AVERAGEIF('09월 에너지'!$F$14:$F$949,$A23,'09월 에너지'!R31:R967))</f>
        <v>389.72022328026623</v>
      </c>
      <c r="BN23" s="200">
        <f>IF($B23&lt;1,"",AVERAGEIF('09월 에너지'!$F$14:$F$949,$A23,'09월 에너지'!S31:S967))</f>
        <v>144.36605504587152</v>
      </c>
      <c r="BO23" s="200">
        <f>IF($B23&lt;1,"",AVERAGEIF('09월 에너지'!$F$14:$F$949,$A23,'09월 에너지'!T31:T967))</f>
        <v>0</v>
      </c>
      <c r="BP23" s="200">
        <f>IF($B23&lt;1,"",AVERAGEIF('09월 에너지'!$F$14:$F$949,$A23,'09월 에너지'!U31:U967))</f>
        <v>75.165137614678898</v>
      </c>
      <c r="BQ23" s="200">
        <f>IF($B23&lt;1,"",AVERAGEIF('09월 에너지'!$F$14:$F$949,$A23,'09월 에너지'!V31:V967))</f>
        <v>287.1192660550459</v>
      </c>
      <c r="BR23" s="200">
        <f>IF($B23&lt;1,"",AVERAGEIF('09월 에너지'!$F$14:$F$949,$A23,'09월 에너지'!W31:W967))</f>
        <v>362.28440366972478</v>
      </c>
      <c r="BS23" s="200">
        <f>IF($B23&lt;1,"",AVERAGEIF('09월 에너지'!$F$14:$F$949,$A23,'09월 에너지'!X31:X967))</f>
        <v>2.5104414937840693</v>
      </c>
      <c r="BT23" s="200">
        <f>IF($B23&lt;1,"",AVERAGEIF('09월 에너지'!$F$14:$F$949,$A23,'09월 에너지'!Y31:Y967))</f>
        <v>1587.4862385321101</v>
      </c>
      <c r="BU23" s="200">
        <f>IF($B23&lt;1,"",AVERAGEIF('09월 에너지'!$F$14:$F$949,$A23,'09월 에너지'!Z31:Z967))</f>
        <v>1390.1926605504586</v>
      </c>
      <c r="BV23" s="200">
        <f>IF($B23&lt;1,"",AVERAGEIF('09월 에너지'!$F$14:$F$949,$A23,'09월 에너지'!AA31:AA967))</f>
        <v>847.10091743119267</v>
      </c>
      <c r="BW23" s="200">
        <f>IF($B23&lt;1,"",AVERAGEIF('09월 에너지'!$F$14:$F$949,$A23,'09월 에너지'!AB31:AB967))</f>
        <v>3824.7798165137615</v>
      </c>
      <c r="BX23" s="257">
        <f>IF($B23&lt;1,"",AVERAGEIF('09월 에너지'!$F$14:$F$949,$A23,'09월 에너지'!AC31:AC967))</f>
        <v>26.500313257715472</v>
      </c>
      <c r="BY23" s="261">
        <f>IF($B23&lt;1,"",AVERAGEIF('09월 에너지'!$F$14:$F$949,$A23,'09월 에너지'!AD31:AD967))</f>
        <v>4187.0642201834862</v>
      </c>
      <c r="BZ23" s="262">
        <f>IF($B23&lt;1,"",AVERAGEIF('09월 에너지'!$F$14:$F$949,$A23,'09월 에너지'!AE31:AE967))</f>
        <v>29.01075475149954</v>
      </c>
      <c r="CA23" s="249">
        <f>IF($B23&lt;1,"",AVERAGEIF('09월 에너지'!$F$14:$F$949,$A23,'09월 에너지'!AF31:AF967))</f>
        <v>81.256880733944953</v>
      </c>
      <c r="CB23" s="200">
        <f>IF($B23&lt;1,"",AVERAGEIF('09월 에너지'!$F$14:$F$949,$A23,'09월 에너지'!AG31:AG967))</f>
        <v>64.88990825688073</v>
      </c>
      <c r="CC23" s="200">
        <f>IF($B23&lt;1,"",AVERAGEIF('09월 에너지'!$F$14:$F$949,$A23,'09월 에너지'!AH31:AH967))</f>
        <v>11.651376146788991</v>
      </c>
      <c r="CD23" s="200">
        <f>IF($B23&lt;1,"",AVERAGEIF('09월 에너지'!$F$14:$F$949,$A23,'09월 에너지'!AI31:AI967))</f>
        <v>157.79816513761469</v>
      </c>
      <c r="CE23" s="206">
        <f>IF($B23&lt;1,"",AVERAGEIF('09월 에너지'!$F$14:$F$949,$A23,'09월 에너지'!AJ31:AJ967))</f>
        <v>1.0931932366559447</v>
      </c>
    </row>
    <row r="24" spans="1:83" ht="17.25" customHeight="1">
      <c r="A24" s="210" t="s">
        <v>156</v>
      </c>
      <c r="B24" s="243">
        <f>IF(A24="",0,COUNTIF('09월 화학성분'!$F$12:$F$949,$A24))</f>
        <v>38</v>
      </c>
      <c r="C24" s="240"/>
      <c r="D24" s="203"/>
      <c r="E24" s="203"/>
      <c r="F24" s="200">
        <f>IF($B24&lt;1,"",AVERAGEIF('09월 화학성분'!$F$12:$F$949,$A24,'09월 화학성분'!G$12:G$949))</f>
        <v>11.236842105263158</v>
      </c>
      <c r="G24" s="200">
        <f>IF($B24&lt;1,"",AVERAGEIF('09월 화학성분'!$F$12:$F$949,$A24,'09월 화학성분'!H$12:H$949))</f>
        <v>24.710526315789473</v>
      </c>
      <c r="H24" s="200">
        <f>IF($B24&lt;1,"",AVERAGEIF('09월 화학성분'!$F$12:$F$949,$A24,'09월 화학성분'!I$12:I$949))</f>
        <v>124.10526315789474</v>
      </c>
      <c r="I24" s="200">
        <f>IF($B24&lt;1,"",AVERAGEIF('09월 화학성분'!$F$12:$F$949,$A24,'09월 화학성분'!J$12:J$949))</f>
        <v>15.447368421052632</v>
      </c>
      <c r="J24" s="200">
        <f>IF($B24&lt;1,"",AVERAGEIF('09월 화학성분'!$F$12:$F$949,$A24,'09월 화학성분'!K$12:K$949))</f>
        <v>29.657894736842106</v>
      </c>
      <c r="K24" s="200">
        <f>IF($B24&lt;1,"",AVERAGEIF('09월 화학성분'!$F$12:$F$949,$A24,'09월 화학성분'!L$12:L$949))</f>
        <v>13.078947368421053</v>
      </c>
      <c r="L24" s="200">
        <f>IF($B24&lt;1,"",AVERAGEIF('09월 화학성분'!$F$12:$F$949,$A24,'09월 화학성분'!M$12:M$949))</f>
        <v>9.7894736842105257</v>
      </c>
      <c r="M24" s="208">
        <f>IF($B24&lt;1,"",AVERAGEIF('09월 화학성분'!$F$12:$F$949,$A24,'09월 화학성분'!N$12:N$949))</f>
        <v>412.28947368421052</v>
      </c>
      <c r="N24" s="208" t="e">
        <f>IF($B24&lt;1,"",AVERAGEIF('09월 화학성분'!$F$12:$F$949,$A24,'09월 화학성분'!O$12:O$949))</f>
        <v>#DIV/0!</v>
      </c>
      <c r="O24" s="208">
        <f>IF($B24&lt;1,"",AVERAGEIF('09월 화학성분'!$F$12:$F$949,$A24,'09월 화학성분'!P$12:P$949))</f>
        <v>1005.8157894736842</v>
      </c>
      <c r="P24" s="208">
        <f>IF($B24&lt;1,"",AVERAGEIF('09월 화학성분'!$F$12:$F$949,$A24,'09월 화학성분'!Q$12:Q$949))</f>
        <v>952.63157894736844</v>
      </c>
      <c r="Q24" s="208" t="e">
        <f>IF($B24&lt;1,"",AVERAGEIF('09월 화학성분'!$F$12:$F$949,$A24,'09월 화학성분'!R$12:R$949))</f>
        <v>#DIV/0!</v>
      </c>
      <c r="R24" s="208" t="e">
        <f>IF($B24&lt;1,"",AVERAGEIF('09월 화학성분'!$F$12:$F$949,$A24,'09월 화학성분'!U$12:U$949))</f>
        <v>#DIV/0!</v>
      </c>
      <c r="S24" s="208">
        <f>IF($B24&lt;1,"",AVERAGEIF('09월 화학성분'!$F$12:$F$949,$A24,'09월 화학성분'!V$12:V$949))</f>
        <v>423.76315789473682</v>
      </c>
      <c r="T24" s="208" t="e">
        <f>IF($B24&lt;1,"",AVERAGEIF('09월 화학성분'!$F$12:$F$949,$A24,'09월 화학성분'!W$12:W$949))</f>
        <v>#DIV/0!</v>
      </c>
      <c r="U24" s="208">
        <f>IF($B24&lt;1,"",AVERAGEIF('09월 화학성분'!$F$12:$F$949,$A24,'09월 화학성분'!X$12:X$949))</f>
        <v>992.92105263157896</v>
      </c>
      <c r="V24" s="208" t="e">
        <f>IF($B24&lt;1,"",AVERAGEIF('09월 화학성분'!$F$12:$F$949,$A24,'09월 화학성분'!#REF!))</f>
        <v>#REF!</v>
      </c>
      <c r="W24" s="208">
        <f>IF($B24&lt;1,"",AVERAGEIF('09월 화학성분'!$F$12:$F$949,$A24,'09월 화학성분'!AB$12:AB$949))</f>
        <v>0</v>
      </c>
      <c r="X24" s="208" t="e">
        <f>IF($B24&lt;1,"",AVERAGEIF('09월 화학성분'!$F$12:$F$949,$A24,'09월 화학성분'!AC$12:AC$949))</f>
        <v>#DIV/0!</v>
      </c>
      <c r="Y24" s="208">
        <f>IF($B24&lt;1,"",AVERAGEIF('09월 화학성분'!$F$12:$F$949,$A24,'09월 화학성분'!AD$12:AD$949))</f>
        <v>285</v>
      </c>
      <c r="Z24" s="208">
        <f>IF($B24&lt;1,"",AVERAGEIF('09월 화학성분'!$F$12:$F$949,$A24,'09월 화학성분'!AF$12:AF$949))</f>
        <v>0</v>
      </c>
      <c r="AA24" s="208">
        <f>IF($B24&lt;1,"",AVERAGEIF('09월 화학성분'!$F$12:$F$949,$A24,'09월 화학성분'!AG$12:AG$949))</f>
        <v>104.75675675675676</v>
      </c>
      <c r="AB24" s="208">
        <f>IF($B24&lt;1,"",AVERAGEIF('09월 화학성분'!$F$12:$F$949,$A24,'09월 화학성분'!AH$12:AH$949))</f>
        <v>2351.1842105263158</v>
      </c>
      <c r="AC24" s="208">
        <f>IF($B24&lt;1,"",AVERAGEIF('09월 화학성분'!$F$12:$F$949,$A24,'09월 화학성분'!AI$12:AI$949))</f>
        <v>108.18421052631579</v>
      </c>
      <c r="AD24" s="208">
        <f>IF($B24&lt;1,"",AVERAGEIF('09월 화학성분'!$F$12:$F$949,$A24,'09월 화학성분'!AJ$12:AJ$949))</f>
        <v>96.184210526315795</v>
      </c>
      <c r="AE24" s="208">
        <f>IF($B24&lt;1,"",AVERAGEIF('09월 화학성분'!$F$12:$F$949,$A24,'09월 화학성분'!AL$12:AL$949))</f>
        <v>128.10526315789474</v>
      </c>
      <c r="AF24" s="208">
        <f>IF($B24&lt;1,"",AVERAGEIF('09월 화학성분'!$F$12:$F$949,$A24,'09월 화학성분'!AM$12:AM$949))</f>
        <v>1647.6315789473683</v>
      </c>
      <c r="AG24" s="207">
        <f>IF($B24&lt;1,"",AVERAGEIF('09월 화학성분'!$F$12:$F$949,$A24,'09월 화학성분'!AN$12:AN$949))</f>
        <v>0.82195169355044673</v>
      </c>
      <c r="AH24" s="207">
        <f>IF($B24&lt;1,"",AVERAGEIF('09월 화학성분'!$F$12:$F$949,$A24,'09월 화학성분'!AO$12:AO$949))</f>
        <v>0.95662188779357993</v>
      </c>
      <c r="AI24" s="200">
        <f>IF($B24&lt;1,"",AVERAGEIF('09월 화학성분'!$F$12:$F$949,$A24,'09월 화학성분'!AP$12:AP$949))</f>
        <v>144.28947368421052</v>
      </c>
      <c r="AJ24" s="217" t="e">
        <f>IF($B24&lt;1,"",AVERAGEIF('09월 고철장입'!$F$14:$F$949,$A24,'09월 고철장입'!G$14:G$949))</f>
        <v>#DIV/0!</v>
      </c>
      <c r="AK24" s="217" t="e">
        <f>IF($B24&lt;1,"",AVERAGEIF('09월 고철장입'!$F$14:$F$949,$A24,'09월 고철장입'!H$14:H$949))</f>
        <v>#DIV/0!</v>
      </c>
      <c r="AL24" s="217">
        <f>IF($B24&lt;1,"",AVERAGEIF('09월 고철장입'!$F$14:$F$949,$A24,'09월 고철장입'!I$14:I$949))</f>
        <v>6400</v>
      </c>
      <c r="AM24" s="217" t="e">
        <f>IF($B24&lt;1,"",AVERAGEIF('09월 고철장입'!$F$14:$F$949,$A24,'09월 고철장입'!J$14:J$949))</f>
        <v>#DIV/0!</v>
      </c>
      <c r="AN24" s="217" t="e">
        <f>IF($B24&lt;1,"",AVERAGEIF('09월 고철장입'!$F$14:$F$949,$A24,'09월 고철장입'!L$14:L$949))</f>
        <v>#DIV/0!</v>
      </c>
      <c r="AO24" s="217">
        <f>IF($B24&lt;1,"",AVERAGEIF('09월 고철장입'!$F$14:$F$949,$A24,'09월 고철장입'!O$14:O$949))</f>
        <v>6400</v>
      </c>
      <c r="AP24" s="214">
        <f>IF($B24&lt;1,"",AVERAGEIF('09월 고철장입'!$F$14:$F$949,$A24,'09월 고철장입'!P$14:P$949))</f>
        <v>52544.73684210526</v>
      </c>
      <c r="AQ24" s="214">
        <f>IF($B24&lt;1,"",AVERAGEIF('09월 고철장입'!$F$14:$F$949,$A24,'09월 고철장입'!Q$14:Q$949))</f>
        <v>17392.105263157893</v>
      </c>
      <c r="AR24" s="214">
        <f>IF($B24&lt;1,"",AVERAGEIF('09월 고철장입'!$F$14:$F$949,$A24,'09월 고철장입'!S$14:S$949))</f>
        <v>0</v>
      </c>
      <c r="AS24" s="214">
        <f>IF($B24&lt;1,"",AVERAGEIF('09월 고철장입'!$F$14:$F$949,$A24,'09월 고철장입'!AD$14:AD$949))</f>
        <v>672.72727272727275</v>
      </c>
      <c r="AT24" s="214">
        <f>IF($B24&lt;1,"",AVERAGEIF('09월 고철장입'!$F$14:$F$949,$A24,'09월 고철장입'!AE$14:AE$949))</f>
        <v>139813.15789473685</v>
      </c>
      <c r="AU24" s="217">
        <f>IF($B24&lt;1,"",AVERAGEIF('09월 고철장입'!$F$14:$F$949,$A24,'09월 고철장입'!AF$14:AF$949))</f>
        <v>3960.5263157894738</v>
      </c>
      <c r="AV24" s="217">
        <f>IF($B24&lt;1,"",AVERAGEIF('09월 고철장입'!$F$14:$F$949,$A24,'09월 고철장입'!AG$14:AG$949))</f>
        <v>9873.6842105263149</v>
      </c>
      <c r="AW24" s="217">
        <f>IF($B24&lt;1,"",AVERAGEIF('09월 고철장입'!$F$14:$F$949,$A24,'09월 고철장입'!AH$14:AH$949))</f>
        <v>4947.3684210526317</v>
      </c>
      <c r="AX24" s="217">
        <f>IF($B24&lt;1,"",AVERAGEIF('09월 고철장입'!$F$14:$F$949,$A24,'09월 고철장입'!AI$14:AI$949))</f>
        <v>18781.57894736842</v>
      </c>
      <c r="AY24" s="248">
        <f>IF($B24&lt;1,"",AVERAGEIF('09월 고철장입'!$F$14:$F$949,$A24,'09월 고철장입'!AJ$14:AJ$949)/1000)</f>
        <v>158.76315789473685</v>
      </c>
      <c r="AZ24" s="250">
        <f>IF($B24&lt;1,"",AVERAGEIF('09월 고철장입'!$F$14:$F$949,$A24,'09월 고철장입'!AK$14:AK$949))</f>
        <v>144.28947368421052</v>
      </c>
      <c r="BA24" s="253">
        <f>IF($B24&lt;1,"",AVERAGEIF('09월 고철장입'!$F$14:$F$949,$A24,'09월 고철장입'!AL$14:AL$949))</f>
        <v>0.90885897596513165</v>
      </c>
      <c r="BB24" s="200">
        <f>IF($B24&lt;1,"",AVERAGEIF('09월 에너지'!$F$14:$F$949,$A24,'09월 에너지'!G32:G968))</f>
        <v>19.018421052631577</v>
      </c>
      <c r="BC24" s="200">
        <f>IF($B24&lt;1,"",AVERAGEIF('09월 에너지'!$F$14:$F$949,$A24,'09월 에너지'!H32:H968))</f>
        <v>23492.105263157893</v>
      </c>
      <c r="BD24" s="200">
        <f>IF($B24&lt;1,"",AVERAGEIF('09월 에너지'!$F$14:$F$949,$A24,'09월 에너지'!I32:I968))</f>
        <v>16.72894736842105</v>
      </c>
      <c r="BE24" s="200">
        <f>IF($B24&lt;1,"",AVERAGEIF('09월 에너지'!$F$14:$F$949,$A24,'09월 에너지'!J32:J968))</f>
        <v>20823.684210526317</v>
      </c>
      <c r="BF24" s="200">
        <f>IF($B24&lt;1,"",AVERAGEIF('09월 에너지'!$F$14:$F$949,$A24,'09월 에너지'!K32:K968))</f>
        <v>9.881578947368423</v>
      </c>
      <c r="BG24" s="200">
        <f>IF($B24&lt;1,"",AVERAGEIF('09월 에너지'!$F$14:$F$949,$A24,'09월 에너지'!L32:L968))</f>
        <v>12534.21052631579</v>
      </c>
      <c r="BH24" s="200">
        <f>IF($B24&lt;1,"",AVERAGEIF('09월 에너지'!$F$14:$F$949,$A24,'09월 에너지'!M32:M968))</f>
        <v>45.628947368421052</v>
      </c>
      <c r="BI24" s="200">
        <f>IF($B24&lt;1,"",AVERAGEIF('09월 에너지'!$F$14:$F$949,$A24,'09월 에너지'!N32:N968))</f>
        <v>56850</v>
      </c>
      <c r="BJ24" s="200">
        <f>IF($B24&lt;1,"",AVERAGEIF('09월 에너지'!$F$14:$F$949,$A24,'09월 에너지'!O32:O968))</f>
        <v>163.21340928022099</v>
      </c>
      <c r="BK24" s="200">
        <f>IF($B24&lt;1,"",AVERAGEIF('09월 에너지'!$F$14:$F$949,$A24,'09월 에너지'!P32:P968))</f>
        <v>144.68335798971847</v>
      </c>
      <c r="BL24" s="200">
        <f>IF($B24&lt;1,"",AVERAGEIF('09월 에너지'!$F$14:$F$949,$A24,'09월 에너지'!Q32:Q968))</f>
        <v>87.023448519935769</v>
      </c>
      <c r="BM24" s="200">
        <f>IF($B24&lt;1,"",AVERAGEIF('09월 에너지'!$F$14:$F$949,$A24,'09월 에너지'!R32:R968))</f>
        <v>394.92021578987521</v>
      </c>
      <c r="BN24" s="200">
        <f>IF($B24&lt;1,"",AVERAGEIF('09월 에너지'!$F$14:$F$949,$A24,'09월 에너지'!S32:S968))</f>
        <v>143.96052631578948</v>
      </c>
      <c r="BO24" s="200">
        <f>IF($B24&lt;1,"",AVERAGEIF('09월 에너지'!$F$14:$F$949,$A24,'09월 에너지'!T32:T968))</f>
        <v>0</v>
      </c>
      <c r="BP24" s="200">
        <f>IF($B24&lt;1,"",AVERAGEIF('09월 에너지'!$F$14:$F$949,$A24,'09월 에너지'!U32:U968))</f>
        <v>110.10526315789474</v>
      </c>
      <c r="BQ24" s="200">
        <f>IF($B24&lt;1,"",AVERAGEIF('09월 에너지'!$F$14:$F$949,$A24,'09월 에너지'!V32:V968))</f>
        <v>238.44736842105263</v>
      </c>
      <c r="BR24" s="200">
        <f>IF($B24&lt;1,"",AVERAGEIF('09월 에너지'!$F$14:$F$949,$A24,'09월 에너지'!W32:W968))</f>
        <v>348.55263157894734</v>
      </c>
      <c r="BS24" s="200">
        <f>IF($B24&lt;1,"",AVERAGEIF('09월 에너지'!$F$14:$F$949,$A24,'09월 에너지'!X32:X968))</f>
        <v>2.4219449989925166</v>
      </c>
      <c r="BT24" s="200">
        <f>IF($B24&lt;1,"",AVERAGEIF('09월 에너지'!$F$14:$F$949,$A24,'09월 에너지'!Y32:Y968))</f>
        <v>1570.3684210526317</v>
      </c>
      <c r="BU24" s="200">
        <f>IF($B24&lt;1,"",AVERAGEIF('09월 에너지'!$F$14:$F$949,$A24,'09월 에너지'!Z32:Z968))</f>
        <v>1399.0263157894738</v>
      </c>
      <c r="BV24" s="200">
        <f>IF($B24&lt;1,"",AVERAGEIF('09월 에너지'!$F$14:$F$949,$A24,'09월 에너지'!AA32:AA968))</f>
        <v>753.68421052631584</v>
      </c>
      <c r="BW24" s="200">
        <f>IF($B24&lt;1,"",AVERAGEIF('09월 에너지'!$F$14:$F$949,$A24,'09월 에너지'!AB32:AB968))</f>
        <v>3723.0789473684213</v>
      </c>
      <c r="BX24" s="257">
        <f>IF($B24&lt;1,"",AVERAGEIF('09월 에너지'!$F$14:$F$949,$A24,'09월 에너지'!AC32:AC968))</f>
        <v>25.865033229979549</v>
      </c>
      <c r="BY24" s="261">
        <f>IF($B24&lt;1,"",AVERAGEIF('09월 에너지'!$F$14:$F$949,$A24,'09월 에너지'!AD32:AD968))</f>
        <v>4071.6315789473683</v>
      </c>
      <c r="BZ24" s="262">
        <f>IF($B24&lt;1,"",AVERAGEIF('09월 에너지'!$F$14:$F$949,$A24,'09월 에너지'!AE32:AE968))</f>
        <v>28.286978228972064</v>
      </c>
      <c r="CA24" s="249">
        <f>IF($B24&lt;1,"",AVERAGEIF('09월 에너지'!$F$14:$F$949,$A24,'09월 에너지'!AF32:AF968))</f>
        <v>77.578947368421055</v>
      </c>
      <c r="CB24" s="200">
        <f>IF($B24&lt;1,"",AVERAGEIF('09월 에너지'!$F$14:$F$949,$A24,'09월 에너지'!AG32:AG968))</f>
        <v>63.342105263157897</v>
      </c>
      <c r="CC24" s="200">
        <f>IF($B24&lt;1,"",AVERAGEIF('09월 에너지'!$F$14:$F$949,$A24,'09월 에너지'!AH32:AH968))</f>
        <v>9.1578947368421044</v>
      </c>
      <c r="CD24" s="200">
        <f>IF($B24&lt;1,"",AVERAGEIF('09월 에너지'!$F$14:$F$949,$A24,'09월 에너지'!AI32:AI968))</f>
        <v>150.07894736842104</v>
      </c>
      <c r="CE24" s="206">
        <f>IF($B24&lt;1,"",AVERAGEIF('09월 에너지'!$F$14:$F$949,$A24,'09월 에너지'!AJ32:AJ968))</f>
        <v>1.0427289307276073</v>
      </c>
    </row>
    <row r="25" spans="1:83" ht="17.25" customHeight="1">
      <c r="A25" s="210"/>
      <c r="B25" s="243">
        <f>IF(A25="",0,COUNTIF('09월 화학성분'!$F$12:$F$949,$A25))</f>
        <v>0</v>
      </c>
      <c r="C25" s="240"/>
      <c r="D25" s="203"/>
      <c r="E25" s="203"/>
      <c r="F25" s="200" t="str">
        <f>IF($B25&lt;1,"",AVERAGEIF('09월 화학성분'!$F$12:$F$949,$A25,'09월 화학성분'!G$12:G$949))</f>
        <v/>
      </c>
      <c r="G25" s="200" t="str">
        <f>IF($B25&lt;1,"",AVERAGEIF('09월 화학성분'!$F$12:$F$949,$A25,'09월 화학성분'!H$12:H$949))</f>
        <v/>
      </c>
      <c r="H25" s="200" t="str">
        <f>IF($B25&lt;1,"",AVERAGEIF('09월 화학성분'!$F$12:$F$949,$A25,'09월 화학성분'!I$12:I$949))</f>
        <v/>
      </c>
      <c r="I25" s="200" t="str">
        <f>IF($B25&lt;1,"",AVERAGEIF('09월 화학성분'!$F$12:$F$949,$A25,'09월 화학성분'!J$12:J$949))</f>
        <v/>
      </c>
      <c r="J25" s="200" t="str">
        <f>IF($B25&lt;1,"",AVERAGEIF('09월 화학성분'!$F$12:$F$949,$A25,'09월 화학성분'!K$12:K$949))</f>
        <v/>
      </c>
      <c r="K25" s="200" t="str">
        <f>IF($B25&lt;1,"",AVERAGEIF('09월 화학성분'!$F$12:$F$949,$A25,'09월 화학성분'!L$12:L$949))</f>
        <v/>
      </c>
      <c r="L25" s="200" t="str">
        <f>IF($B25&lt;1,"",AVERAGEIF('09월 화학성분'!$F$12:$F$949,$A25,'09월 화학성분'!M$12:M$949))</f>
        <v/>
      </c>
      <c r="M25" s="208" t="str">
        <f>IF($B25&lt;1,"",AVERAGEIF('09월 화학성분'!$F$12:$F$949,$A25,'09월 화학성분'!N$12:N$949))</f>
        <v/>
      </c>
      <c r="N25" s="208" t="str">
        <f>IF($B25&lt;1,"",AVERAGEIF('09월 화학성분'!$F$12:$F$949,$A25,'09월 화학성분'!O$12:O$949))</f>
        <v/>
      </c>
      <c r="O25" s="208" t="str">
        <f>IF($B25&lt;1,"",AVERAGEIF('09월 화학성분'!$F$12:$F$949,$A25,'09월 화학성분'!P$12:P$949))</f>
        <v/>
      </c>
      <c r="P25" s="208" t="str">
        <f>IF($B25&lt;1,"",AVERAGEIF('09월 화학성분'!$F$12:$F$949,$A25,'09월 화학성분'!Q$12:Q$949))</f>
        <v/>
      </c>
      <c r="Q25" s="208" t="str">
        <f>IF($B25&lt;1,"",AVERAGEIF('09월 화학성분'!$F$12:$F$949,$A25,'09월 화학성분'!R$12:R$949))</f>
        <v/>
      </c>
      <c r="R25" s="208" t="str">
        <f>IF($B25&lt;1,"",AVERAGEIF('09월 화학성분'!$F$12:$F$949,$A25,'09월 화학성분'!U$12:U$949))</f>
        <v/>
      </c>
      <c r="S25" s="208" t="str">
        <f>IF($B25&lt;1,"",AVERAGEIF('09월 화학성분'!$F$12:$F$949,$A25,'09월 화학성분'!V$12:V$949))</f>
        <v/>
      </c>
      <c r="T25" s="208" t="str">
        <f>IF($B25&lt;1,"",AVERAGEIF('09월 화학성분'!$F$12:$F$949,$A25,'09월 화학성분'!W$12:W$949))</f>
        <v/>
      </c>
      <c r="U25" s="208" t="str">
        <f>IF($B25&lt;1,"",AVERAGEIF('09월 화학성분'!$F$12:$F$949,$A25,'09월 화학성분'!X$12:X$949))</f>
        <v/>
      </c>
      <c r="V25" s="208" t="str">
        <f>IF($B25&lt;1,"",AVERAGEIF('09월 화학성분'!$F$12:$F$949,$A25,'09월 화학성분'!#REF!))</f>
        <v/>
      </c>
      <c r="W25" s="208" t="str">
        <f>IF($B25&lt;1,"",AVERAGEIF('09월 화학성분'!$F$12:$F$949,$A25,'09월 화학성분'!AB$12:AB$949))</f>
        <v/>
      </c>
      <c r="X25" s="208" t="str">
        <f>IF($B25&lt;1,"",AVERAGEIF('09월 화학성분'!$F$12:$F$949,$A25,'09월 화학성분'!AC$12:AC$949))</f>
        <v/>
      </c>
      <c r="Y25" s="208" t="str">
        <f>IF($B25&lt;1,"",AVERAGEIF('09월 화학성분'!$F$12:$F$949,$A25,'09월 화학성분'!AD$12:AD$949))</f>
        <v/>
      </c>
      <c r="Z25" s="208" t="str">
        <f>IF($B25&lt;1,"",AVERAGEIF('09월 화학성분'!$F$12:$F$949,$A25,'09월 화학성분'!AF$12:AF$949))</f>
        <v/>
      </c>
      <c r="AA25" s="208" t="str">
        <f>IF($B25&lt;1,"",AVERAGEIF('09월 화학성분'!$F$12:$F$949,$A25,'09월 화학성분'!AG$12:AG$949))</f>
        <v/>
      </c>
      <c r="AB25" s="208" t="str">
        <f>IF($B25&lt;1,"",AVERAGEIF('09월 화학성분'!$F$12:$F$949,$A25,'09월 화학성분'!AH$12:AH$949))</f>
        <v/>
      </c>
      <c r="AC25" s="208" t="str">
        <f>IF($B25&lt;1,"",AVERAGEIF('09월 화학성분'!$F$12:$F$949,$A25,'09월 화학성분'!AI$12:AI$949))</f>
        <v/>
      </c>
      <c r="AD25" s="208" t="str">
        <f>IF($B25&lt;1,"",AVERAGEIF('09월 화학성분'!$F$12:$F$949,$A25,'09월 화학성분'!AJ$12:AJ$949))</f>
        <v/>
      </c>
      <c r="AE25" s="208" t="str">
        <f>IF($B25&lt;1,"",AVERAGEIF('09월 화학성분'!$F$12:$F$949,$A25,'09월 화학성분'!AL$12:AL$949))</f>
        <v/>
      </c>
      <c r="AF25" s="208" t="str">
        <f>IF($B25&lt;1,"",AVERAGEIF('09월 화학성분'!$F$12:$F$949,$A25,'09월 화학성분'!AM$12:AM$949))</f>
        <v/>
      </c>
      <c r="AG25" s="207" t="str">
        <f>IF($B25&lt;1,"",AVERAGEIF('09월 화학성분'!$F$12:$F$949,$A25,'09월 화학성분'!AN$12:AN$949))</f>
        <v/>
      </c>
      <c r="AH25" s="207" t="str">
        <f>IF($B25&lt;1,"",AVERAGEIF('09월 화학성분'!$F$12:$F$949,$A25,'09월 화학성분'!AO$12:AO$949))</f>
        <v/>
      </c>
      <c r="AI25" s="200" t="str">
        <f>IF($B25&lt;1,"",AVERAGEIF('09월 화학성분'!$F$12:$F$949,$A25,'09월 화학성분'!AP$12:AP$949))</f>
        <v/>
      </c>
      <c r="AJ25" s="217" t="str">
        <f>IF($B25&lt;1,"",AVERAGEIF('09월 고철장입'!$F$14:$F$949,$A25,'09월 고철장입'!G$14:G$949))</f>
        <v/>
      </c>
      <c r="AK25" s="217" t="str">
        <f>IF($B25&lt;1,"",AVERAGEIF('09월 고철장입'!$F$14:$F$949,$A25,'09월 고철장입'!H$14:H$949))</f>
        <v/>
      </c>
      <c r="AL25" s="217" t="str">
        <f>IF($B25&lt;1,"",AVERAGEIF('09월 고철장입'!$F$14:$F$949,$A25,'09월 고철장입'!I$14:I$949))</f>
        <v/>
      </c>
      <c r="AM25" s="217" t="str">
        <f>IF($B25&lt;1,"",AVERAGEIF('09월 고철장입'!$F$14:$F$949,$A25,'09월 고철장입'!J$14:J$949))</f>
        <v/>
      </c>
      <c r="AN25" s="217" t="str">
        <f>IF($B25&lt;1,"",AVERAGEIF('09월 고철장입'!$F$14:$F$949,$A25,'09월 고철장입'!L$14:L$949))</f>
        <v/>
      </c>
      <c r="AO25" s="217" t="str">
        <f>IF($B25&lt;1,"",AVERAGEIF('09월 고철장입'!$F$14:$F$949,$A25,'09월 고철장입'!O$14:O$949))</f>
        <v/>
      </c>
      <c r="AP25" s="214" t="str">
        <f>IF($B25&lt;1,"",AVERAGEIF('09월 고철장입'!$F$14:$F$949,$A25,'09월 고철장입'!P$14:P$949))</f>
        <v/>
      </c>
      <c r="AQ25" s="214" t="str">
        <f>IF($B25&lt;1,"",AVERAGEIF('09월 고철장입'!$F$14:$F$949,$A25,'09월 고철장입'!Q$14:Q$949))</f>
        <v/>
      </c>
      <c r="AR25" s="214" t="str">
        <f>IF($B25&lt;1,"",AVERAGEIF('09월 고철장입'!$F$14:$F$949,$A25,'09월 고철장입'!S$14:S$949))</f>
        <v/>
      </c>
      <c r="AS25" s="214" t="str">
        <f>IF($B25&lt;1,"",AVERAGEIF('09월 고철장입'!$F$14:$F$949,$A25,'09월 고철장입'!AD$14:AD$949))</f>
        <v/>
      </c>
      <c r="AT25" s="214" t="str">
        <f>IF($B25&lt;1,"",AVERAGEIF('09월 고철장입'!$F$14:$F$949,$A25,'09월 고철장입'!AE$14:AE$949))</f>
        <v/>
      </c>
      <c r="AU25" s="217" t="str">
        <f>IF($B25&lt;1,"",AVERAGEIF('09월 고철장입'!$F$14:$F$949,$A25,'09월 고철장입'!AF$14:AF$949))</f>
        <v/>
      </c>
      <c r="AV25" s="217" t="str">
        <f>IF($B25&lt;1,"",AVERAGEIF('09월 고철장입'!$F$14:$F$949,$A25,'09월 고철장입'!AG$14:AG$949))</f>
        <v/>
      </c>
      <c r="AW25" s="217" t="str">
        <f>IF($B25&lt;1,"",AVERAGEIF('09월 고철장입'!$F$14:$F$949,$A25,'09월 고철장입'!AH$14:AH$949))</f>
        <v/>
      </c>
      <c r="AX25" s="217" t="str">
        <f>IF($B25&lt;1,"",AVERAGEIF('09월 고철장입'!$F$14:$F$949,$A25,'09월 고철장입'!AI$14:AI$949))</f>
        <v/>
      </c>
      <c r="AY25" s="248" t="str">
        <f>IF($B25&lt;1,"",AVERAGEIF('09월 고철장입'!$F$14:$F$949,$A25,'09월 고철장입'!AJ$14:AJ$949)/1000)</f>
        <v/>
      </c>
      <c r="AZ25" s="250" t="str">
        <f>IF($B25&lt;1,"",AVERAGEIF('09월 고철장입'!$F$14:$F$949,$A25,'09월 고철장입'!AK$14:AK$949))</f>
        <v/>
      </c>
      <c r="BA25" s="253" t="str">
        <f>IF($B25&lt;1,"",AVERAGEIF('09월 고철장입'!$F$14:$F$949,$A25,'09월 고철장입'!AL$14:AL$949))</f>
        <v/>
      </c>
      <c r="BB25" s="200" t="str">
        <f>IF($B25&lt;1,"",AVERAGEIF('09월 에너지'!$F$14:$F$949,$A25,'09월 에너지'!G33:G969))</f>
        <v/>
      </c>
      <c r="BC25" s="200" t="str">
        <f>IF($B25&lt;1,"",AVERAGEIF('09월 에너지'!$F$14:$F$949,$A25,'09월 에너지'!H33:H969))</f>
        <v/>
      </c>
      <c r="BD25" s="200" t="str">
        <f>IF($B25&lt;1,"",AVERAGEIF('09월 에너지'!$F$14:$F$949,$A25,'09월 에너지'!I33:I969))</f>
        <v/>
      </c>
      <c r="BE25" s="200" t="str">
        <f>IF($B25&lt;1,"",AVERAGEIF('09월 에너지'!$F$14:$F$949,$A25,'09월 에너지'!J33:J969))</f>
        <v/>
      </c>
      <c r="BF25" s="200" t="str">
        <f>IF($B25&lt;1,"",AVERAGEIF('09월 에너지'!$F$14:$F$949,$A25,'09월 에너지'!K33:K969))</f>
        <v/>
      </c>
      <c r="BG25" s="200" t="str">
        <f>IF($B25&lt;1,"",AVERAGEIF('09월 에너지'!$F$14:$F$949,$A25,'09월 에너지'!L33:L969))</f>
        <v/>
      </c>
      <c r="BH25" s="200" t="str">
        <f>IF($B25&lt;1,"",AVERAGEIF('09월 에너지'!$F$14:$F$949,$A25,'09월 에너지'!M33:M969))</f>
        <v/>
      </c>
      <c r="BI25" s="200" t="str">
        <f>IF($B25&lt;1,"",AVERAGEIF('09월 에너지'!$F$14:$F$949,$A25,'09월 에너지'!N33:N969))</f>
        <v/>
      </c>
      <c r="BJ25" s="200" t="str">
        <f>IF($B25&lt;1,"",AVERAGEIF('09월 에너지'!$F$14:$F$949,$A25,'09월 에너지'!O33:O969))</f>
        <v/>
      </c>
      <c r="BK25" s="200" t="str">
        <f>IF($B25&lt;1,"",AVERAGEIF('09월 에너지'!$F$14:$F$949,$A25,'09월 에너지'!P33:P969))</f>
        <v/>
      </c>
      <c r="BL25" s="200" t="str">
        <f>IF($B25&lt;1,"",AVERAGEIF('09월 에너지'!$F$14:$F$949,$A25,'09월 에너지'!Q33:Q969))</f>
        <v/>
      </c>
      <c r="BM25" s="200" t="str">
        <f>IF($B25&lt;1,"",AVERAGEIF('09월 에너지'!$F$14:$F$949,$A25,'09월 에너지'!R33:R969))</f>
        <v/>
      </c>
      <c r="BN25" s="200" t="str">
        <f>IF($B25&lt;1,"",AVERAGEIF('09월 에너지'!$F$14:$F$949,$A25,'09월 에너지'!S33:S969))</f>
        <v/>
      </c>
      <c r="BO25" s="200" t="str">
        <f>IF($B25&lt;1,"",AVERAGEIF('09월 에너지'!$F$14:$F$949,$A25,'09월 에너지'!T33:T969))</f>
        <v/>
      </c>
      <c r="BP25" s="200" t="str">
        <f>IF($B25&lt;1,"",AVERAGEIF('09월 에너지'!$F$14:$F$949,$A25,'09월 에너지'!U33:U969))</f>
        <v/>
      </c>
      <c r="BQ25" s="200" t="str">
        <f>IF($B25&lt;1,"",AVERAGEIF('09월 에너지'!$F$14:$F$949,$A25,'09월 에너지'!V33:V969))</f>
        <v/>
      </c>
      <c r="BR25" s="200" t="str">
        <f>IF($B25&lt;1,"",AVERAGEIF('09월 에너지'!$F$14:$F$949,$A25,'09월 에너지'!W33:W969))</f>
        <v/>
      </c>
      <c r="BS25" s="200" t="str">
        <f>IF($B25&lt;1,"",AVERAGEIF('09월 에너지'!$F$14:$F$949,$A25,'09월 에너지'!X33:X969))</f>
        <v/>
      </c>
      <c r="BT25" s="200" t="str">
        <f>IF($B25&lt;1,"",AVERAGEIF('09월 에너지'!$F$14:$F$949,$A25,'09월 에너지'!Y33:Y969))</f>
        <v/>
      </c>
      <c r="BU25" s="200" t="str">
        <f>IF($B25&lt;1,"",AVERAGEIF('09월 에너지'!$F$14:$F$949,$A25,'09월 에너지'!Z33:Z969))</f>
        <v/>
      </c>
      <c r="BV25" s="200" t="str">
        <f>IF($B25&lt;1,"",AVERAGEIF('09월 에너지'!$F$14:$F$949,$A25,'09월 에너지'!AA33:AA969))</f>
        <v/>
      </c>
      <c r="BW25" s="200" t="str">
        <f>IF($B25&lt;1,"",AVERAGEIF('09월 에너지'!$F$14:$F$949,$A25,'09월 에너지'!AB33:AB969))</f>
        <v/>
      </c>
      <c r="BX25" s="257" t="str">
        <f>IF($B25&lt;1,"",AVERAGEIF('09월 에너지'!$F$14:$F$949,$A25,'09월 에너지'!AC33:AC969))</f>
        <v/>
      </c>
      <c r="BY25" s="261" t="str">
        <f>IF($B25&lt;1,"",AVERAGEIF('09월 에너지'!$F$14:$F$949,$A25,'09월 에너지'!AD33:AD969))</f>
        <v/>
      </c>
      <c r="BZ25" s="262" t="str">
        <f>IF($B25&lt;1,"",AVERAGEIF('09월 에너지'!$F$14:$F$949,$A25,'09월 에너지'!AE33:AE969))</f>
        <v/>
      </c>
      <c r="CA25" s="249" t="str">
        <f>IF($B25&lt;1,"",AVERAGEIF('09월 에너지'!$F$14:$F$949,$A25,'09월 에너지'!AF33:AF969))</f>
        <v/>
      </c>
      <c r="CB25" s="200" t="str">
        <f>IF($B25&lt;1,"",AVERAGEIF('09월 에너지'!$F$14:$F$949,$A25,'09월 에너지'!AG33:AG969))</f>
        <v/>
      </c>
      <c r="CC25" s="200" t="str">
        <f>IF($B25&lt;1,"",AVERAGEIF('09월 에너지'!$F$14:$F$949,$A25,'09월 에너지'!AH33:AH969))</f>
        <v/>
      </c>
      <c r="CD25" s="200" t="str">
        <f>IF($B25&lt;1,"",AVERAGEIF('09월 에너지'!$F$14:$F$949,$A25,'09월 에너지'!AI33:AI969))</f>
        <v/>
      </c>
      <c r="CE25" s="206" t="str">
        <f>IF($B25&lt;1,"",AVERAGEIF('09월 에너지'!$F$14:$F$949,$A25,'09월 에너지'!AJ33:AJ969))</f>
        <v/>
      </c>
    </row>
    <row r="26" spans="1:83" ht="17.25" customHeight="1">
      <c r="A26" s="210"/>
      <c r="B26" s="243">
        <f>IF(A26="",0,COUNTIF('09월 화학성분'!$F$12:$F$949,$A26))</f>
        <v>0</v>
      </c>
      <c r="C26" s="240"/>
      <c r="D26" s="203"/>
      <c r="E26" s="203"/>
      <c r="F26" s="200" t="str">
        <f>IF($B26&lt;1,"",AVERAGEIF('09월 화학성분'!$F$12:$F$949,$A26,'09월 화학성분'!G$12:G$949))</f>
        <v/>
      </c>
      <c r="G26" s="200" t="str">
        <f>IF($B26&lt;1,"",AVERAGEIF('09월 화학성분'!$F$12:$F$949,$A26,'09월 화학성분'!H$12:H$949))</f>
        <v/>
      </c>
      <c r="H26" s="200" t="str">
        <f>IF($B26&lt;1,"",AVERAGEIF('09월 화학성분'!$F$12:$F$949,$A26,'09월 화학성분'!I$12:I$949))</f>
        <v/>
      </c>
      <c r="I26" s="200" t="str">
        <f>IF($B26&lt;1,"",AVERAGEIF('09월 화학성분'!$F$12:$F$949,$A26,'09월 화학성분'!J$12:J$949))</f>
        <v/>
      </c>
      <c r="J26" s="200" t="str">
        <f>IF($B26&lt;1,"",AVERAGEIF('09월 화학성분'!$F$12:$F$949,$A26,'09월 화학성분'!K$12:K$949))</f>
        <v/>
      </c>
      <c r="K26" s="200" t="str">
        <f>IF($B26&lt;1,"",AVERAGEIF('09월 화학성분'!$F$12:$F$949,$A26,'09월 화학성분'!L$12:L$949))</f>
        <v/>
      </c>
      <c r="L26" s="200" t="str">
        <f>IF($B26&lt;1,"",AVERAGEIF('09월 화학성분'!$F$12:$F$949,$A26,'09월 화학성분'!M$12:M$949))</f>
        <v/>
      </c>
      <c r="M26" s="208" t="str">
        <f>IF($B26&lt;1,"",AVERAGEIF('09월 화학성분'!$F$12:$F$949,$A26,'09월 화학성분'!N$12:N$949))</f>
        <v/>
      </c>
      <c r="N26" s="208" t="str">
        <f>IF($B26&lt;1,"",AVERAGEIF('09월 화학성분'!$F$12:$F$949,$A26,'09월 화학성분'!O$12:O$949))</f>
        <v/>
      </c>
      <c r="O26" s="208" t="str">
        <f>IF($B26&lt;1,"",AVERAGEIF('09월 화학성분'!$F$12:$F$949,$A26,'09월 화학성분'!P$12:P$949))</f>
        <v/>
      </c>
      <c r="P26" s="208" t="str">
        <f>IF($B26&lt;1,"",AVERAGEIF('09월 화학성분'!$F$12:$F$949,$A26,'09월 화학성분'!Q$12:Q$949))</f>
        <v/>
      </c>
      <c r="Q26" s="208" t="str">
        <f>IF($B26&lt;1,"",AVERAGEIF('09월 화학성분'!$F$12:$F$949,$A26,'09월 화학성분'!R$12:R$949))</f>
        <v/>
      </c>
      <c r="R26" s="208" t="str">
        <f>IF($B26&lt;1,"",AVERAGEIF('09월 화학성분'!$F$12:$F$949,$A26,'09월 화학성분'!U$12:U$949))</f>
        <v/>
      </c>
      <c r="S26" s="208" t="str">
        <f>IF($B26&lt;1,"",AVERAGEIF('09월 화학성분'!$F$12:$F$949,$A26,'09월 화학성분'!V$12:V$949))</f>
        <v/>
      </c>
      <c r="T26" s="208" t="str">
        <f>IF($B26&lt;1,"",AVERAGEIF('09월 화학성분'!$F$12:$F$949,$A26,'09월 화학성분'!W$12:W$949))</f>
        <v/>
      </c>
      <c r="U26" s="208" t="str">
        <f>IF($B26&lt;1,"",AVERAGEIF('09월 화학성분'!$F$12:$F$949,$A26,'09월 화학성분'!X$12:X$949))</f>
        <v/>
      </c>
      <c r="V26" s="208" t="str">
        <f>IF($B26&lt;1,"",AVERAGEIF('09월 화학성분'!$F$12:$F$949,$A26,'09월 화학성분'!#REF!))</f>
        <v/>
      </c>
      <c r="W26" s="208" t="str">
        <f>IF($B26&lt;1,"",AVERAGEIF('09월 화학성분'!$F$12:$F$949,$A26,'09월 화학성분'!AB$12:AB$949))</f>
        <v/>
      </c>
      <c r="X26" s="208" t="str">
        <f>IF($B26&lt;1,"",AVERAGEIF('09월 화학성분'!$F$12:$F$949,$A26,'09월 화학성분'!AC$12:AC$949))</f>
        <v/>
      </c>
      <c r="Y26" s="208" t="str">
        <f>IF($B26&lt;1,"",AVERAGEIF('09월 화학성분'!$F$12:$F$949,$A26,'09월 화학성분'!AD$12:AD$949))</f>
        <v/>
      </c>
      <c r="Z26" s="208" t="str">
        <f>IF($B26&lt;1,"",AVERAGEIF('09월 화학성분'!$F$12:$F$949,$A26,'09월 화학성분'!AF$12:AF$949))</f>
        <v/>
      </c>
      <c r="AA26" s="208" t="str">
        <f>IF($B26&lt;1,"",AVERAGEIF('09월 화학성분'!$F$12:$F$949,$A26,'09월 화학성분'!AG$12:AG$949))</f>
        <v/>
      </c>
      <c r="AB26" s="208" t="str">
        <f>IF($B26&lt;1,"",AVERAGEIF('09월 화학성분'!$F$12:$F$949,$A26,'09월 화학성분'!AH$12:AH$949))</f>
        <v/>
      </c>
      <c r="AC26" s="208" t="str">
        <f>IF($B26&lt;1,"",AVERAGEIF('09월 화학성분'!$F$12:$F$949,$A26,'09월 화학성분'!AI$12:AI$949))</f>
        <v/>
      </c>
      <c r="AD26" s="208" t="str">
        <f>IF($B26&lt;1,"",AVERAGEIF('09월 화학성분'!$F$12:$F$949,$A26,'09월 화학성분'!AJ$12:AJ$949))</f>
        <v/>
      </c>
      <c r="AE26" s="208" t="str">
        <f>IF($B26&lt;1,"",AVERAGEIF('09월 화학성분'!$F$12:$F$949,$A26,'09월 화학성분'!AL$12:AL$949))</f>
        <v/>
      </c>
      <c r="AF26" s="208" t="str">
        <f>IF($B26&lt;1,"",AVERAGEIF('09월 화학성분'!$F$12:$F$949,$A26,'09월 화학성분'!AM$12:AM$949))</f>
        <v/>
      </c>
      <c r="AG26" s="207" t="str">
        <f>IF($B26&lt;1,"",AVERAGEIF('09월 화학성분'!$F$12:$F$949,$A26,'09월 화학성분'!AN$12:AN$949))</f>
        <v/>
      </c>
      <c r="AH26" s="207" t="str">
        <f>IF($B26&lt;1,"",AVERAGEIF('09월 화학성분'!$F$12:$F$949,$A26,'09월 화학성분'!AO$12:AO$949))</f>
        <v/>
      </c>
      <c r="AI26" s="200" t="str">
        <f>IF($B26&lt;1,"",AVERAGEIF('09월 화학성분'!$F$12:$F$949,$A26,'09월 화학성분'!AP$12:AP$949))</f>
        <v/>
      </c>
      <c r="AJ26" s="217" t="str">
        <f>IF($B26&lt;1,"",AVERAGEIF('09월 고철장입'!$F$14:$F$949,$A26,'09월 고철장입'!G$14:G$949))</f>
        <v/>
      </c>
      <c r="AK26" s="217" t="str">
        <f>IF($B26&lt;1,"",AVERAGEIF('09월 고철장입'!$F$14:$F$949,$A26,'09월 고철장입'!H$14:H$949))</f>
        <v/>
      </c>
      <c r="AL26" s="217" t="str">
        <f>IF($B26&lt;1,"",AVERAGEIF('09월 고철장입'!$F$14:$F$949,$A26,'09월 고철장입'!I$14:I$949))</f>
        <v/>
      </c>
      <c r="AM26" s="217" t="str">
        <f>IF($B26&lt;1,"",AVERAGEIF('09월 고철장입'!$F$14:$F$949,$A26,'09월 고철장입'!J$14:J$949))</f>
        <v/>
      </c>
      <c r="AN26" s="217" t="str">
        <f>IF($B26&lt;1,"",AVERAGEIF('09월 고철장입'!$F$14:$F$949,$A26,'09월 고철장입'!L$14:L$949))</f>
        <v/>
      </c>
      <c r="AO26" s="217" t="str">
        <f>IF($B26&lt;1,"",AVERAGEIF('09월 고철장입'!$F$14:$F$949,$A26,'09월 고철장입'!O$14:O$949))</f>
        <v/>
      </c>
      <c r="AP26" s="214" t="str">
        <f>IF($B26&lt;1,"",AVERAGEIF('09월 고철장입'!$F$14:$F$949,$A26,'09월 고철장입'!P$14:P$949))</f>
        <v/>
      </c>
      <c r="AQ26" s="214" t="str">
        <f>IF($B26&lt;1,"",AVERAGEIF('09월 고철장입'!$F$14:$F$949,$A26,'09월 고철장입'!Q$14:Q$949))</f>
        <v/>
      </c>
      <c r="AR26" s="214" t="str">
        <f>IF($B26&lt;1,"",AVERAGEIF('09월 고철장입'!$F$14:$F$949,$A26,'09월 고철장입'!S$14:S$949))</f>
        <v/>
      </c>
      <c r="AS26" s="214" t="str">
        <f>IF($B26&lt;1,"",AVERAGEIF('09월 고철장입'!$F$14:$F$949,$A26,'09월 고철장입'!AD$14:AD$949))</f>
        <v/>
      </c>
      <c r="AT26" s="214" t="str">
        <f>IF($B26&lt;1,"",AVERAGEIF('09월 고철장입'!$F$14:$F$949,$A26,'09월 고철장입'!AE$14:AE$949))</f>
        <v/>
      </c>
      <c r="AU26" s="217" t="str">
        <f>IF($B26&lt;1,"",AVERAGEIF('09월 고철장입'!$F$14:$F$949,$A26,'09월 고철장입'!AF$14:AF$949))</f>
        <v/>
      </c>
      <c r="AV26" s="217" t="str">
        <f>IF($B26&lt;1,"",AVERAGEIF('09월 고철장입'!$F$14:$F$949,$A26,'09월 고철장입'!AG$14:AG$949))</f>
        <v/>
      </c>
      <c r="AW26" s="217" t="str">
        <f>IF($B26&lt;1,"",AVERAGEIF('09월 고철장입'!$F$14:$F$949,$A26,'09월 고철장입'!AH$14:AH$949))</f>
        <v/>
      </c>
      <c r="AX26" s="217" t="str">
        <f>IF($B26&lt;1,"",AVERAGEIF('09월 고철장입'!$F$14:$F$949,$A26,'09월 고철장입'!AI$14:AI$949))</f>
        <v/>
      </c>
      <c r="AY26" s="248" t="str">
        <f>IF($B26&lt;1,"",AVERAGEIF('09월 고철장입'!$F$14:$F$949,$A26,'09월 고철장입'!AJ$14:AJ$949)/1000)</f>
        <v/>
      </c>
      <c r="AZ26" s="250" t="str">
        <f>IF($B26&lt;1,"",AVERAGEIF('09월 고철장입'!$F$14:$F$949,$A26,'09월 고철장입'!AK$14:AK$949))</f>
        <v/>
      </c>
      <c r="BA26" s="253" t="str">
        <f>IF($B26&lt;1,"",AVERAGEIF('09월 고철장입'!$F$14:$F$949,$A26,'09월 고철장입'!AL$14:AL$949))</f>
        <v/>
      </c>
      <c r="BB26" s="200" t="str">
        <f>IF($B26&lt;1,"",AVERAGEIF('09월 에너지'!$F$14:$F$949,$A26,'09월 에너지'!G34:G970))</f>
        <v/>
      </c>
      <c r="BC26" s="200" t="str">
        <f>IF($B26&lt;1,"",AVERAGEIF('09월 에너지'!$F$14:$F$949,$A26,'09월 에너지'!H34:H970))</f>
        <v/>
      </c>
      <c r="BD26" s="200" t="str">
        <f>IF($B26&lt;1,"",AVERAGEIF('09월 에너지'!$F$14:$F$949,$A26,'09월 에너지'!I34:I970))</f>
        <v/>
      </c>
      <c r="BE26" s="200" t="str">
        <f>IF($B26&lt;1,"",AVERAGEIF('09월 에너지'!$F$14:$F$949,$A26,'09월 에너지'!J34:J970))</f>
        <v/>
      </c>
      <c r="BF26" s="200" t="str">
        <f>IF($B26&lt;1,"",AVERAGEIF('09월 에너지'!$F$14:$F$949,$A26,'09월 에너지'!K34:K970))</f>
        <v/>
      </c>
      <c r="BG26" s="200" t="str">
        <f>IF($B26&lt;1,"",AVERAGEIF('09월 에너지'!$F$14:$F$949,$A26,'09월 에너지'!L34:L970))</f>
        <v/>
      </c>
      <c r="BH26" s="200" t="str">
        <f>IF($B26&lt;1,"",AVERAGEIF('09월 에너지'!$F$14:$F$949,$A26,'09월 에너지'!M34:M970))</f>
        <v/>
      </c>
      <c r="BI26" s="200" t="str">
        <f>IF($B26&lt;1,"",AVERAGEIF('09월 에너지'!$F$14:$F$949,$A26,'09월 에너지'!N34:N970))</f>
        <v/>
      </c>
      <c r="BJ26" s="200" t="str">
        <f>IF($B26&lt;1,"",AVERAGEIF('09월 에너지'!$F$14:$F$949,$A26,'09월 에너지'!O34:O970))</f>
        <v/>
      </c>
      <c r="BK26" s="200" t="str">
        <f>IF($B26&lt;1,"",AVERAGEIF('09월 에너지'!$F$14:$F$949,$A26,'09월 에너지'!P34:P970))</f>
        <v/>
      </c>
      <c r="BL26" s="200" t="str">
        <f>IF($B26&lt;1,"",AVERAGEIF('09월 에너지'!$F$14:$F$949,$A26,'09월 에너지'!Q34:Q970))</f>
        <v/>
      </c>
      <c r="BM26" s="200" t="str">
        <f>IF($B26&lt;1,"",AVERAGEIF('09월 에너지'!$F$14:$F$949,$A26,'09월 에너지'!R34:R970))</f>
        <v/>
      </c>
      <c r="BN26" s="200" t="str">
        <f>IF($B26&lt;1,"",AVERAGEIF('09월 에너지'!$F$14:$F$949,$A26,'09월 에너지'!S34:S970))</f>
        <v/>
      </c>
      <c r="BO26" s="200" t="str">
        <f>IF($B26&lt;1,"",AVERAGEIF('09월 에너지'!$F$14:$F$949,$A26,'09월 에너지'!T34:T970))</f>
        <v/>
      </c>
      <c r="BP26" s="200" t="str">
        <f>IF($B26&lt;1,"",AVERAGEIF('09월 에너지'!$F$14:$F$949,$A26,'09월 에너지'!U34:U970))</f>
        <v/>
      </c>
      <c r="BQ26" s="200" t="str">
        <f>IF($B26&lt;1,"",AVERAGEIF('09월 에너지'!$F$14:$F$949,$A26,'09월 에너지'!V34:V970))</f>
        <v/>
      </c>
      <c r="BR26" s="200" t="str">
        <f>IF($B26&lt;1,"",AVERAGEIF('09월 에너지'!$F$14:$F$949,$A26,'09월 에너지'!W34:W970))</f>
        <v/>
      </c>
      <c r="BS26" s="200" t="str">
        <f>IF($B26&lt;1,"",AVERAGEIF('09월 에너지'!$F$14:$F$949,$A26,'09월 에너지'!X34:X970))</f>
        <v/>
      </c>
      <c r="BT26" s="200" t="str">
        <f>IF($B26&lt;1,"",AVERAGEIF('09월 에너지'!$F$14:$F$949,$A26,'09월 에너지'!Y34:Y970))</f>
        <v/>
      </c>
      <c r="BU26" s="200" t="str">
        <f>IF($B26&lt;1,"",AVERAGEIF('09월 에너지'!$F$14:$F$949,$A26,'09월 에너지'!Z34:Z970))</f>
        <v/>
      </c>
      <c r="BV26" s="200" t="str">
        <f>IF($B26&lt;1,"",AVERAGEIF('09월 에너지'!$F$14:$F$949,$A26,'09월 에너지'!AA34:AA970))</f>
        <v/>
      </c>
      <c r="BW26" s="200" t="str">
        <f>IF($B26&lt;1,"",AVERAGEIF('09월 에너지'!$F$14:$F$949,$A26,'09월 에너지'!AB34:AB970))</f>
        <v/>
      </c>
      <c r="BX26" s="257" t="str">
        <f>IF($B26&lt;1,"",AVERAGEIF('09월 에너지'!$F$14:$F$949,$A26,'09월 에너지'!AC34:AC970))</f>
        <v/>
      </c>
      <c r="BY26" s="261" t="str">
        <f>IF($B26&lt;1,"",AVERAGEIF('09월 에너지'!$F$14:$F$949,$A26,'09월 에너지'!AD34:AD970))</f>
        <v/>
      </c>
      <c r="BZ26" s="262" t="str">
        <f>IF($B26&lt;1,"",AVERAGEIF('09월 에너지'!$F$14:$F$949,$A26,'09월 에너지'!AE34:AE970))</f>
        <v/>
      </c>
      <c r="CA26" s="249" t="str">
        <f>IF($B26&lt;1,"",AVERAGEIF('09월 에너지'!$F$14:$F$949,$A26,'09월 에너지'!AF34:AF970))</f>
        <v/>
      </c>
      <c r="CB26" s="200" t="str">
        <f>IF($B26&lt;1,"",AVERAGEIF('09월 에너지'!$F$14:$F$949,$A26,'09월 에너지'!AG34:AG970))</f>
        <v/>
      </c>
      <c r="CC26" s="200" t="str">
        <f>IF($B26&lt;1,"",AVERAGEIF('09월 에너지'!$F$14:$F$949,$A26,'09월 에너지'!AH34:AH970))</f>
        <v/>
      </c>
      <c r="CD26" s="200" t="str">
        <f>IF($B26&lt;1,"",AVERAGEIF('09월 에너지'!$F$14:$F$949,$A26,'09월 에너지'!AI34:AI970))</f>
        <v/>
      </c>
      <c r="CE26" s="206" t="str">
        <f>IF($B26&lt;1,"",AVERAGEIF('09월 에너지'!$F$14:$F$949,$A26,'09월 에너지'!AJ34:AJ970))</f>
        <v/>
      </c>
    </row>
    <row r="27" spans="1:83" ht="17.25" customHeight="1">
      <c r="A27" s="210"/>
      <c r="B27" s="243">
        <f>IF(A27="",0,COUNTIF('09월 화학성분'!$F$12:$F$949,$A27))</f>
        <v>0</v>
      </c>
      <c r="C27" s="240"/>
      <c r="D27" s="203"/>
      <c r="E27" s="203"/>
      <c r="F27" s="200" t="str">
        <f>IF($B27&lt;1,"",AVERAGEIF('09월 화학성분'!$F$12:$F$949,$A27,'09월 화학성분'!G$12:G$949))</f>
        <v/>
      </c>
      <c r="G27" s="200" t="str">
        <f>IF($B27&lt;1,"",AVERAGEIF('09월 화학성분'!$F$12:$F$949,$A27,'09월 화학성분'!H$12:H$949))</f>
        <v/>
      </c>
      <c r="H27" s="200" t="str">
        <f>IF($B27&lt;1,"",AVERAGEIF('09월 화학성분'!$F$12:$F$949,$A27,'09월 화학성분'!I$12:I$949))</f>
        <v/>
      </c>
      <c r="I27" s="200" t="str">
        <f>IF($B27&lt;1,"",AVERAGEIF('09월 화학성분'!$F$12:$F$949,$A27,'09월 화학성분'!J$12:J$949))</f>
        <v/>
      </c>
      <c r="J27" s="200" t="str">
        <f>IF($B27&lt;1,"",AVERAGEIF('09월 화학성분'!$F$12:$F$949,$A27,'09월 화학성분'!K$12:K$949))</f>
        <v/>
      </c>
      <c r="K27" s="200" t="str">
        <f>IF($B27&lt;1,"",AVERAGEIF('09월 화학성분'!$F$12:$F$949,$A27,'09월 화학성분'!L$12:L$949))</f>
        <v/>
      </c>
      <c r="L27" s="200" t="str">
        <f>IF($B27&lt;1,"",AVERAGEIF('09월 화학성분'!$F$12:$F$949,$A27,'09월 화학성분'!M$12:M$949))</f>
        <v/>
      </c>
      <c r="M27" s="208" t="str">
        <f>IF($B27&lt;1,"",AVERAGEIF('09월 화학성분'!$F$12:$F$949,$A27,'09월 화학성분'!N$12:N$949))</f>
        <v/>
      </c>
      <c r="N27" s="208" t="str">
        <f>IF($B27&lt;1,"",AVERAGEIF('09월 화학성분'!$F$12:$F$949,$A27,'09월 화학성분'!O$12:O$949))</f>
        <v/>
      </c>
      <c r="O27" s="208" t="str">
        <f>IF($B27&lt;1,"",AVERAGEIF('09월 화학성분'!$F$12:$F$949,$A27,'09월 화학성분'!P$12:P$949))</f>
        <v/>
      </c>
      <c r="P27" s="208" t="str">
        <f>IF($B27&lt;1,"",AVERAGEIF('09월 화학성분'!$F$12:$F$949,$A27,'09월 화학성분'!Q$12:Q$949))</f>
        <v/>
      </c>
      <c r="Q27" s="208" t="str">
        <f>IF($B27&lt;1,"",AVERAGEIF('09월 화학성분'!$F$12:$F$949,$A27,'09월 화학성분'!R$12:R$949))</f>
        <v/>
      </c>
      <c r="R27" s="208" t="str">
        <f>IF($B27&lt;1,"",AVERAGEIF('09월 화학성분'!$F$12:$F$949,$A27,'09월 화학성분'!U$12:U$949))</f>
        <v/>
      </c>
      <c r="S27" s="208" t="str">
        <f>IF($B27&lt;1,"",AVERAGEIF('09월 화학성분'!$F$12:$F$949,$A27,'09월 화학성분'!V$12:V$949))</f>
        <v/>
      </c>
      <c r="T27" s="208" t="str">
        <f>IF($B27&lt;1,"",AVERAGEIF('09월 화학성분'!$F$12:$F$949,$A27,'09월 화학성분'!W$12:W$949))</f>
        <v/>
      </c>
      <c r="U27" s="208" t="str">
        <f>IF($B27&lt;1,"",AVERAGEIF('09월 화학성분'!$F$12:$F$949,$A27,'09월 화학성분'!X$12:X$949))</f>
        <v/>
      </c>
      <c r="V27" s="208" t="str">
        <f>IF($B27&lt;1,"",AVERAGEIF('09월 화학성분'!$F$12:$F$949,$A27,'09월 화학성분'!#REF!))</f>
        <v/>
      </c>
      <c r="W27" s="208" t="str">
        <f>IF($B27&lt;1,"",AVERAGEIF('09월 화학성분'!$F$12:$F$949,$A27,'09월 화학성분'!AB$12:AB$949))</f>
        <v/>
      </c>
      <c r="X27" s="208" t="str">
        <f>IF($B27&lt;1,"",AVERAGEIF('09월 화학성분'!$F$12:$F$949,$A27,'09월 화학성분'!AC$12:AC$949))</f>
        <v/>
      </c>
      <c r="Y27" s="208" t="str">
        <f>IF($B27&lt;1,"",AVERAGEIF('09월 화학성분'!$F$12:$F$949,$A27,'09월 화학성분'!AD$12:AD$949))</f>
        <v/>
      </c>
      <c r="Z27" s="208" t="str">
        <f>IF($B27&lt;1,"",AVERAGEIF('09월 화학성분'!$F$12:$F$949,$A27,'09월 화학성분'!AF$12:AF$949))</f>
        <v/>
      </c>
      <c r="AA27" s="208" t="str">
        <f>IF($B27&lt;1,"",AVERAGEIF('09월 화학성분'!$F$12:$F$949,$A27,'09월 화학성분'!AG$12:AG$949))</f>
        <v/>
      </c>
      <c r="AB27" s="208" t="str">
        <f>IF($B27&lt;1,"",AVERAGEIF('09월 화학성분'!$F$12:$F$949,$A27,'09월 화학성분'!AH$12:AH$949))</f>
        <v/>
      </c>
      <c r="AC27" s="208" t="str">
        <f>IF($B27&lt;1,"",AVERAGEIF('09월 화학성분'!$F$12:$F$949,$A27,'09월 화학성분'!AI$12:AI$949))</f>
        <v/>
      </c>
      <c r="AD27" s="208" t="str">
        <f>IF($B27&lt;1,"",AVERAGEIF('09월 화학성분'!$F$12:$F$949,$A27,'09월 화학성분'!AJ$12:AJ$949))</f>
        <v/>
      </c>
      <c r="AE27" s="208" t="str">
        <f>IF($B27&lt;1,"",AVERAGEIF('09월 화학성분'!$F$12:$F$949,$A27,'09월 화학성분'!AL$12:AL$949))</f>
        <v/>
      </c>
      <c r="AF27" s="208" t="str">
        <f>IF($B27&lt;1,"",AVERAGEIF('09월 화학성분'!$F$12:$F$949,$A27,'09월 화학성분'!AM$12:AM$949))</f>
        <v/>
      </c>
      <c r="AG27" s="207" t="str">
        <f>IF($B27&lt;1,"",AVERAGEIF('09월 화학성분'!$F$12:$F$949,$A27,'09월 화학성분'!AN$12:AN$949))</f>
        <v/>
      </c>
      <c r="AH27" s="207" t="str">
        <f>IF($B27&lt;1,"",AVERAGEIF('09월 화학성분'!$F$12:$F$949,$A27,'09월 화학성분'!AO$12:AO$949))</f>
        <v/>
      </c>
      <c r="AI27" s="200" t="str">
        <f>IF($B27&lt;1,"",AVERAGEIF('09월 화학성분'!$F$12:$F$949,$A27,'09월 화학성분'!AP$12:AP$949))</f>
        <v/>
      </c>
      <c r="AJ27" s="217" t="str">
        <f>IF($B27&lt;1,"",AVERAGEIF('09월 고철장입'!$F$14:$F$949,$A27,'09월 고철장입'!G$14:G$949))</f>
        <v/>
      </c>
      <c r="AK27" s="217" t="str">
        <f>IF($B27&lt;1,"",AVERAGEIF('09월 고철장입'!$F$14:$F$949,$A27,'09월 고철장입'!H$14:H$949))</f>
        <v/>
      </c>
      <c r="AL27" s="217" t="str">
        <f>IF($B27&lt;1,"",AVERAGEIF('09월 고철장입'!$F$14:$F$949,$A27,'09월 고철장입'!I$14:I$949))</f>
        <v/>
      </c>
      <c r="AM27" s="217" t="str">
        <f>IF($B27&lt;1,"",AVERAGEIF('09월 고철장입'!$F$14:$F$949,$A27,'09월 고철장입'!J$14:J$949))</f>
        <v/>
      </c>
      <c r="AN27" s="217" t="str">
        <f>IF($B27&lt;1,"",AVERAGEIF('09월 고철장입'!$F$14:$F$949,$A27,'09월 고철장입'!L$14:L$949))</f>
        <v/>
      </c>
      <c r="AO27" s="217" t="str">
        <f>IF($B27&lt;1,"",AVERAGEIF('09월 고철장입'!$F$14:$F$949,$A27,'09월 고철장입'!O$14:O$949))</f>
        <v/>
      </c>
      <c r="AP27" s="214" t="str">
        <f>IF($B27&lt;1,"",AVERAGEIF('09월 고철장입'!$F$14:$F$949,$A27,'09월 고철장입'!P$14:P$949))</f>
        <v/>
      </c>
      <c r="AQ27" s="214" t="str">
        <f>IF($B27&lt;1,"",AVERAGEIF('09월 고철장입'!$F$14:$F$949,$A27,'09월 고철장입'!Q$14:Q$949))</f>
        <v/>
      </c>
      <c r="AR27" s="214" t="str">
        <f>IF($B27&lt;1,"",AVERAGEIF('09월 고철장입'!$F$14:$F$949,$A27,'09월 고철장입'!S$14:S$949))</f>
        <v/>
      </c>
      <c r="AS27" s="214" t="str">
        <f>IF($B27&lt;1,"",AVERAGEIF('09월 고철장입'!$F$14:$F$949,$A27,'09월 고철장입'!AD$14:AD$949))</f>
        <v/>
      </c>
      <c r="AT27" s="214" t="str">
        <f>IF($B27&lt;1,"",AVERAGEIF('09월 고철장입'!$F$14:$F$949,$A27,'09월 고철장입'!AE$14:AE$949))</f>
        <v/>
      </c>
      <c r="AU27" s="217" t="str">
        <f>IF($B27&lt;1,"",AVERAGEIF('09월 고철장입'!$F$14:$F$949,$A27,'09월 고철장입'!AF$14:AF$949))</f>
        <v/>
      </c>
      <c r="AV27" s="217" t="str">
        <f>IF($B27&lt;1,"",AVERAGEIF('09월 고철장입'!$F$14:$F$949,$A27,'09월 고철장입'!AG$14:AG$949))</f>
        <v/>
      </c>
      <c r="AW27" s="217" t="str">
        <f>IF($B27&lt;1,"",AVERAGEIF('09월 고철장입'!$F$14:$F$949,$A27,'09월 고철장입'!AH$14:AH$949))</f>
        <v/>
      </c>
      <c r="AX27" s="217" t="str">
        <f>IF($B27&lt;1,"",AVERAGEIF('09월 고철장입'!$F$14:$F$949,$A27,'09월 고철장입'!AI$14:AI$949))</f>
        <v/>
      </c>
      <c r="AY27" s="248" t="str">
        <f>IF($B27&lt;1,"",AVERAGEIF('09월 고철장입'!$F$14:$F$949,$A27,'09월 고철장입'!AJ$14:AJ$949)/1000)</f>
        <v/>
      </c>
      <c r="AZ27" s="250" t="str">
        <f>IF($B27&lt;1,"",AVERAGEIF('09월 고철장입'!$F$14:$F$949,$A27,'09월 고철장입'!AK$14:AK$949))</f>
        <v/>
      </c>
      <c r="BA27" s="253" t="str">
        <f>IF($B27&lt;1,"",AVERAGEIF('09월 고철장입'!$F$14:$F$949,$A27,'09월 고철장입'!AL$14:AL$949))</f>
        <v/>
      </c>
      <c r="BB27" s="200" t="str">
        <f>IF($B27&lt;1,"",AVERAGEIF('09월 에너지'!$F$14:$F$949,$A27,'09월 에너지'!G35:G971))</f>
        <v/>
      </c>
      <c r="BC27" s="200" t="str">
        <f>IF($B27&lt;1,"",AVERAGEIF('09월 에너지'!$F$14:$F$949,$A27,'09월 에너지'!H35:H971))</f>
        <v/>
      </c>
      <c r="BD27" s="200" t="str">
        <f>IF($B27&lt;1,"",AVERAGEIF('09월 에너지'!$F$14:$F$949,$A27,'09월 에너지'!I35:I971))</f>
        <v/>
      </c>
      <c r="BE27" s="200" t="str">
        <f>IF($B27&lt;1,"",AVERAGEIF('09월 에너지'!$F$14:$F$949,$A27,'09월 에너지'!J35:J971))</f>
        <v/>
      </c>
      <c r="BF27" s="200" t="str">
        <f>IF($B27&lt;1,"",AVERAGEIF('09월 에너지'!$F$14:$F$949,$A27,'09월 에너지'!K35:K971))</f>
        <v/>
      </c>
      <c r="BG27" s="200" t="str">
        <f>IF($B27&lt;1,"",AVERAGEIF('09월 에너지'!$F$14:$F$949,$A27,'09월 에너지'!L35:L971))</f>
        <v/>
      </c>
      <c r="BH27" s="200" t="str">
        <f>IF($B27&lt;1,"",AVERAGEIF('09월 에너지'!$F$14:$F$949,$A27,'09월 에너지'!M35:M971))</f>
        <v/>
      </c>
      <c r="BI27" s="200" t="str">
        <f>IF($B27&lt;1,"",AVERAGEIF('09월 에너지'!$F$14:$F$949,$A27,'09월 에너지'!N35:N971))</f>
        <v/>
      </c>
      <c r="BJ27" s="200" t="str">
        <f>IF($B27&lt;1,"",AVERAGEIF('09월 에너지'!$F$14:$F$949,$A27,'09월 에너지'!O35:O971))</f>
        <v/>
      </c>
      <c r="BK27" s="200" t="str">
        <f>IF($B27&lt;1,"",AVERAGEIF('09월 에너지'!$F$14:$F$949,$A27,'09월 에너지'!P35:P971))</f>
        <v/>
      </c>
      <c r="BL27" s="200" t="str">
        <f>IF($B27&lt;1,"",AVERAGEIF('09월 에너지'!$F$14:$F$949,$A27,'09월 에너지'!Q35:Q971))</f>
        <v/>
      </c>
      <c r="BM27" s="200" t="str">
        <f>IF($B27&lt;1,"",AVERAGEIF('09월 에너지'!$F$14:$F$949,$A27,'09월 에너지'!R35:R971))</f>
        <v/>
      </c>
      <c r="BN27" s="200" t="str">
        <f>IF($B27&lt;1,"",AVERAGEIF('09월 에너지'!$F$14:$F$949,$A27,'09월 에너지'!S35:S971))</f>
        <v/>
      </c>
      <c r="BO27" s="200" t="str">
        <f>IF($B27&lt;1,"",AVERAGEIF('09월 에너지'!$F$14:$F$949,$A27,'09월 에너지'!T35:T971))</f>
        <v/>
      </c>
      <c r="BP27" s="200" t="str">
        <f>IF($B27&lt;1,"",AVERAGEIF('09월 에너지'!$F$14:$F$949,$A27,'09월 에너지'!U35:U971))</f>
        <v/>
      </c>
      <c r="BQ27" s="200" t="str">
        <f>IF($B27&lt;1,"",AVERAGEIF('09월 에너지'!$F$14:$F$949,$A27,'09월 에너지'!V35:V971))</f>
        <v/>
      </c>
      <c r="BR27" s="200" t="str">
        <f>IF($B27&lt;1,"",AVERAGEIF('09월 에너지'!$F$14:$F$949,$A27,'09월 에너지'!W35:W971))</f>
        <v/>
      </c>
      <c r="BS27" s="200" t="str">
        <f>IF($B27&lt;1,"",AVERAGEIF('09월 에너지'!$F$14:$F$949,$A27,'09월 에너지'!X35:X971))</f>
        <v/>
      </c>
      <c r="BT27" s="200" t="str">
        <f>IF($B27&lt;1,"",AVERAGEIF('09월 에너지'!$F$14:$F$949,$A27,'09월 에너지'!Y35:Y971))</f>
        <v/>
      </c>
      <c r="BU27" s="200" t="str">
        <f>IF($B27&lt;1,"",AVERAGEIF('09월 에너지'!$F$14:$F$949,$A27,'09월 에너지'!Z35:Z971))</f>
        <v/>
      </c>
      <c r="BV27" s="200" t="str">
        <f>IF($B27&lt;1,"",AVERAGEIF('09월 에너지'!$F$14:$F$949,$A27,'09월 에너지'!AA35:AA971))</f>
        <v/>
      </c>
      <c r="BW27" s="200" t="str">
        <f>IF($B27&lt;1,"",AVERAGEIF('09월 에너지'!$F$14:$F$949,$A27,'09월 에너지'!AB35:AB971))</f>
        <v/>
      </c>
      <c r="BX27" s="257" t="str">
        <f>IF($B27&lt;1,"",AVERAGEIF('09월 에너지'!$F$14:$F$949,$A27,'09월 에너지'!AC35:AC971))</f>
        <v/>
      </c>
      <c r="BY27" s="261" t="str">
        <f>IF($B27&lt;1,"",AVERAGEIF('09월 에너지'!$F$14:$F$949,$A27,'09월 에너지'!AD35:AD971))</f>
        <v/>
      </c>
      <c r="BZ27" s="262" t="str">
        <f>IF($B27&lt;1,"",AVERAGEIF('09월 에너지'!$F$14:$F$949,$A27,'09월 에너지'!AE35:AE971))</f>
        <v/>
      </c>
      <c r="CA27" s="249" t="str">
        <f>IF($B27&lt;1,"",AVERAGEIF('09월 에너지'!$F$14:$F$949,$A27,'09월 에너지'!AF35:AF971))</f>
        <v/>
      </c>
      <c r="CB27" s="200" t="str">
        <f>IF($B27&lt;1,"",AVERAGEIF('09월 에너지'!$F$14:$F$949,$A27,'09월 에너지'!AG35:AG971))</f>
        <v/>
      </c>
      <c r="CC27" s="200" t="str">
        <f>IF($B27&lt;1,"",AVERAGEIF('09월 에너지'!$F$14:$F$949,$A27,'09월 에너지'!AH35:AH971))</f>
        <v/>
      </c>
      <c r="CD27" s="200" t="str">
        <f>IF($B27&lt;1,"",AVERAGEIF('09월 에너지'!$F$14:$F$949,$A27,'09월 에너지'!AI35:AI971))</f>
        <v/>
      </c>
      <c r="CE27" s="206" t="str">
        <f>IF($B27&lt;1,"",AVERAGEIF('09월 에너지'!$F$14:$F$949,$A27,'09월 에너지'!AJ35:AJ971))</f>
        <v/>
      </c>
    </row>
    <row r="28" spans="1:83" ht="17.25" customHeight="1">
      <c r="A28" s="210" t="s">
        <v>125</v>
      </c>
      <c r="B28" s="243">
        <f>IF(A28="",0,COUNTIF('09월 화학성분'!$F$12:$F$949,$A28))</f>
        <v>0</v>
      </c>
      <c r="C28" s="240"/>
      <c r="D28" s="203"/>
      <c r="E28" s="203"/>
      <c r="F28" s="200" t="str">
        <f>IF($B28&lt;1,"",AVERAGEIF('09월 화학성분'!$F$12:$F$949,$A28,'09월 화학성분'!G$12:G$949))</f>
        <v/>
      </c>
      <c r="G28" s="200" t="str">
        <f>IF($B28&lt;1,"",AVERAGEIF('09월 화학성분'!$F$12:$F$949,$A28,'09월 화학성분'!H$12:H$949))</f>
        <v/>
      </c>
      <c r="H28" s="200" t="str">
        <f>IF($B28&lt;1,"",AVERAGEIF('09월 화학성분'!$F$12:$F$949,$A28,'09월 화학성분'!I$12:I$949))</f>
        <v/>
      </c>
      <c r="I28" s="200" t="str">
        <f>IF($B28&lt;1,"",AVERAGEIF('09월 화학성분'!$F$12:$F$949,$A28,'09월 화학성분'!J$12:J$949))</f>
        <v/>
      </c>
      <c r="J28" s="200" t="str">
        <f>IF($B28&lt;1,"",AVERAGEIF('09월 화학성분'!$F$12:$F$949,$A28,'09월 화학성분'!K$12:K$949))</f>
        <v/>
      </c>
      <c r="K28" s="200" t="str">
        <f>IF($B28&lt;1,"",AVERAGEIF('09월 화학성분'!$F$12:$F$949,$A28,'09월 화학성분'!L$12:L$949))</f>
        <v/>
      </c>
      <c r="L28" s="200" t="str">
        <f>IF($B28&lt;1,"",AVERAGEIF('09월 화학성분'!$F$12:$F$949,$A28,'09월 화학성분'!M$12:M$949))</f>
        <v/>
      </c>
      <c r="M28" s="208" t="str">
        <f>IF($B28&lt;1,"",AVERAGEIF('09월 화학성분'!$F$12:$F$949,$A28,'09월 화학성분'!N$12:N$949))</f>
        <v/>
      </c>
      <c r="N28" s="208" t="str">
        <f>IF($B28&lt;1,"",AVERAGEIF('09월 화학성분'!$F$12:$F$949,$A28,'09월 화학성분'!O$12:O$949))</f>
        <v/>
      </c>
      <c r="O28" s="208" t="str">
        <f>IF($B28&lt;1,"",AVERAGEIF('09월 화학성분'!$F$12:$F$949,$A28,'09월 화학성분'!P$12:P$949))</f>
        <v/>
      </c>
      <c r="P28" s="208" t="str">
        <f>IF($B28&lt;1,"",AVERAGEIF('09월 화학성분'!$F$12:$F$949,$A28,'09월 화학성분'!Q$12:Q$949))</f>
        <v/>
      </c>
      <c r="Q28" s="208" t="str">
        <f>IF($B28&lt;1,"",AVERAGEIF('09월 화학성분'!$F$12:$F$949,$A28,'09월 화학성분'!R$12:R$949))</f>
        <v/>
      </c>
      <c r="R28" s="208" t="str">
        <f>IF($B28&lt;1,"",AVERAGEIF('09월 화학성분'!$F$12:$F$949,$A28,'09월 화학성분'!U$12:U$949))</f>
        <v/>
      </c>
      <c r="S28" s="208" t="str">
        <f>IF($B28&lt;1,"",AVERAGEIF('09월 화학성분'!$F$12:$F$949,$A28,'09월 화학성분'!V$12:V$949))</f>
        <v/>
      </c>
      <c r="T28" s="208" t="str">
        <f>IF($B28&lt;1,"",AVERAGEIF('09월 화학성분'!$F$12:$F$949,$A28,'09월 화학성분'!W$12:W$949))</f>
        <v/>
      </c>
      <c r="U28" s="208" t="str">
        <f>IF($B28&lt;1,"",AVERAGEIF('09월 화학성분'!$F$12:$F$949,$A28,'09월 화학성분'!X$12:X$949))</f>
        <v/>
      </c>
      <c r="V28" s="208" t="str">
        <f>IF($B28&lt;1,"",AVERAGEIF('09월 화학성분'!$F$12:$F$949,$A28,'09월 화학성분'!#REF!))</f>
        <v/>
      </c>
      <c r="W28" s="208" t="str">
        <f>IF($B28&lt;1,"",AVERAGEIF('09월 화학성분'!$F$12:$F$949,$A28,'09월 화학성분'!AB$12:AB$949))</f>
        <v/>
      </c>
      <c r="X28" s="208" t="str">
        <f>IF($B28&lt;1,"",AVERAGEIF('09월 화학성분'!$F$12:$F$949,$A28,'09월 화학성분'!AC$12:AC$949))</f>
        <v/>
      </c>
      <c r="Y28" s="208" t="str">
        <f>IF($B28&lt;1,"",AVERAGEIF('09월 화학성분'!$F$12:$F$949,$A28,'09월 화학성분'!AD$12:AD$949))</f>
        <v/>
      </c>
      <c r="Z28" s="208" t="str">
        <f>IF($B28&lt;1,"",AVERAGEIF('09월 화학성분'!$F$12:$F$949,$A28,'09월 화학성분'!AF$12:AF$949))</f>
        <v/>
      </c>
      <c r="AA28" s="208" t="str">
        <f>IF($B28&lt;1,"",AVERAGEIF('09월 화학성분'!$F$12:$F$949,$A28,'09월 화학성분'!AG$12:AG$949))</f>
        <v/>
      </c>
      <c r="AB28" s="208" t="str">
        <f>IF($B28&lt;1,"",AVERAGEIF('09월 화학성분'!$F$12:$F$949,$A28,'09월 화학성분'!AH$12:AH$949))</f>
        <v/>
      </c>
      <c r="AC28" s="208" t="str">
        <f>IF($B28&lt;1,"",AVERAGEIF('09월 화학성분'!$F$12:$F$949,$A28,'09월 화학성분'!AI$12:AI$949))</f>
        <v/>
      </c>
      <c r="AD28" s="208" t="str">
        <f>IF($B28&lt;1,"",AVERAGEIF('09월 화학성분'!$F$12:$F$949,$A28,'09월 화학성분'!AJ$12:AJ$949))</f>
        <v/>
      </c>
      <c r="AE28" s="208" t="str">
        <f>IF($B28&lt;1,"",AVERAGEIF('09월 화학성분'!$F$12:$F$949,$A28,'09월 화학성분'!AL$12:AL$949))</f>
        <v/>
      </c>
      <c r="AF28" s="208" t="str">
        <f>IF($B28&lt;1,"",AVERAGEIF('09월 화학성분'!$F$12:$F$949,$A28,'09월 화학성분'!AM$12:AM$949))</f>
        <v/>
      </c>
      <c r="AG28" s="207" t="str">
        <f>IF($B28&lt;1,"",AVERAGEIF('09월 화학성분'!$F$12:$F$949,$A28,'09월 화학성분'!AN$12:AN$949))</f>
        <v/>
      </c>
      <c r="AH28" s="207" t="str">
        <f>IF($B28&lt;1,"",AVERAGEIF('09월 화학성분'!$F$12:$F$949,$A28,'09월 화학성분'!AO$12:AO$949))</f>
        <v/>
      </c>
      <c r="AI28" s="200" t="str">
        <f>IF($B28&lt;1,"",AVERAGEIF('09월 화학성분'!$F$12:$F$949,$A28,'09월 화학성분'!AP$12:AP$949))</f>
        <v/>
      </c>
      <c r="AJ28" s="217" t="str">
        <f>IF($B28&lt;1,"",AVERAGEIF('09월 고철장입'!$F$14:$F$949,$A28,'09월 고철장입'!G$14:G$949))</f>
        <v/>
      </c>
      <c r="AK28" s="217" t="str">
        <f>IF($B28&lt;1,"",AVERAGEIF('09월 고철장입'!$F$14:$F$949,$A28,'09월 고철장입'!H$14:H$949))</f>
        <v/>
      </c>
      <c r="AL28" s="217" t="str">
        <f>IF($B28&lt;1,"",AVERAGEIF('09월 고철장입'!$F$14:$F$949,$A28,'09월 고철장입'!I$14:I$949))</f>
        <v/>
      </c>
      <c r="AM28" s="217" t="str">
        <f>IF($B28&lt;1,"",AVERAGEIF('09월 고철장입'!$F$14:$F$949,$A28,'09월 고철장입'!J$14:J$949))</f>
        <v/>
      </c>
      <c r="AN28" s="217" t="str">
        <f>IF($B28&lt;1,"",AVERAGEIF('09월 고철장입'!$F$14:$F$949,$A28,'09월 고철장입'!L$14:L$949))</f>
        <v/>
      </c>
      <c r="AO28" s="217" t="str">
        <f>IF($B28&lt;1,"",AVERAGEIF('09월 고철장입'!$F$14:$F$949,$A28,'09월 고철장입'!O$14:O$949))</f>
        <v/>
      </c>
      <c r="AP28" s="214" t="str">
        <f>IF($B28&lt;1,"",AVERAGEIF('09월 고철장입'!$F$14:$F$949,$A28,'09월 고철장입'!P$14:P$949))</f>
        <v/>
      </c>
      <c r="AQ28" s="214" t="str">
        <f>IF($B28&lt;1,"",AVERAGEIF('09월 고철장입'!$F$14:$F$949,$A28,'09월 고철장입'!Q$14:Q$949))</f>
        <v/>
      </c>
      <c r="AR28" s="214" t="str">
        <f>IF($B28&lt;1,"",AVERAGEIF('09월 고철장입'!$F$14:$F$949,$A28,'09월 고철장입'!S$14:S$949))</f>
        <v/>
      </c>
      <c r="AS28" s="214" t="str">
        <f>IF($B28&lt;1,"",AVERAGEIF('09월 고철장입'!$F$14:$F$949,$A28,'09월 고철장입'!AD$14:AD$949))</f>
        <v/>
      </c>
      <c r="AT28" s="214" t="str">
        <f>IF($B28&lt;1,"",AVERAGEIF('09월 고철장입'!$F$14:$F$949,$A28,'09월 고철장입'!AE$14:AE$949))</f>
        <v/>
      </c>
      <c r="AU28" s="217" t="str">
        <f>IF($B28&lt;1,"",AVERAGEIF('09월 고철장입'!$F$14:$F$949,$A28,'09월 고철장입'!AF$14:AF$949))</f>
        <v/>
      </c>
      <c r="AV28" s="217" t="str">
        <f>IF($B28&lt;1,"",AVERAGEIF('09월 고철장입'!$F$14:$F$949,$A28,'09월 고철장입'!AG$14:AG$949))</f>
        <v/>
      </c>
      <c r="AW28" s="217" t="str">
        <f>IF($B28&lt;1,"",AVERAGEIF('09월 고철장입'!$F$14:$F$949,$A28,'09월 고철장입'!AH$14:AH$949))</f>
        <v/>
      </c>
      <c r="AX28" s="217" t="str">
        <f>IF($B28&lt;1,"",AVERAGEIF('09월 고철장입'!$F$14:$F$949,$A28,'09월 고철장입'!AI$14:AI$949))</f>
        <v/>
      </c>
      <c r="AY28" s="248" t="str">
        <f>IF($B28&lt;1,"",AVERAGEIF('09월 고철장입'!$F$14:$F$949,$A28,'09월 고철장입'!AJ$14:AJ$949)/1000)</f>
        <v/>
      </c>
      <c r="AZ28" s="250" t="str">
        <f>IF($B28&lt;1,"",AVERAGEIF('09월 고철장입'!$F$14:$F$949,$A28,'09월 고철장입'!AK$14:AK$949))</f>
        <v/>
      </c>
      <c r="BA28" s="253" t="str">
        <f>IF($B28&lt;1,"",AVERAGEIF('09월 고철장입'!$F$14:$F$949,$A28,'09월 고철장입'!AL$14:AL$949))</f>
        <v/>
      </c>
      <c r="BB28" s="200" t="str">
        <f>IF($B28&lt;1,"",AVERAGEIF('09월 에너지'!$F$14:$F$949,$A28,'09월 에너지'!G36:G972))</f>
        <v/>
      </c>
      <c r="BC28" s="200" t="str">
        <f>IF($B28&lt;1,"",AVERAGEIF('09월 에너지'!$F$14:$F$949,$A28,'09월 에너지'!H36:H972))</f>
        <v/>
      </c>
      <c r="BD28" s="200" t="str">
        <f>IF($B28&lt;1,"",AVERAGEIF('09월 에너지'!$F$14:$F$949,$A28,'09월 에너지'!I36:I972))</f>
        <v/>
      </c>
      <c r="BE28" s="200" t="str">
        <f>IF($B28&lt;1,"",AVERAGEIF('09월 에너지'!$F$14:$F$949,$A28,'09월 에너지'!J36:J972))</f>
        <v/>
      </c>
      <c r="BF28" s="200" t="str">
        <f>IF($B28&lt;1,"",AVERAGEIF('09월 에너지'!$F$14:$F$949,$A28,'09월 에너지'!K36:K972))</f>
        <v/>
      </c>
      <c r="BG28" s="200" t="str">
        <f>IF($B28&lt;1,"",AVERAGEIF('09월 에너지'!$F$14:$F$949,$A28,'09월 에너지'!L36:L972))</f>
        <v/>
      </c>
      <c r="BH28" s="200" t="str">
        <f>IF($B28&lt;1,"",AVERAGEIF('09월 에너지'!$F$14:$F$949,$A28,'09월 에너지'!M36:M972))</f>
        <v/>
      </c>
      <c r="BI28" s="200" t="str">
        <f>IF($B28&lt;1,"",AVERAGEIF('09월 에너지'!$F$14:$F$949,$A28,'09월 에너지'!N36:N972))</f>
        <v/>
      </c>
      <c r="BJ28" s="200" t="str">
        <f>IF($B28&lt;1,"",AVERAGEIF('09월 에너지'!$F$14:$F$949,$A28,'09월 에너지'!O36:O972))</f>
        <v/>
      </c>
      <c r="BK28" s="200" t="str">
        <f>IF($B28&lt;1,"",AVERAGEIF('09월 에너지'!$F$14:$F$949,$A28,'09월 에너지'!P36:P972))</f>
        <v/>
      </c>
      <c r="BL28" s="200" t="str">
        <f>IF($B28&lt;1,"",AVERAGEIF('09월 에너지'!$F$14:$F$949,$A28,'09월 에너지'!Q36:Q972))</f>
        <v/>
      </c>
      <c r="BM28" s="200" t="str">
        <f>IF($B28&lt;1,"",AVERAGEIF('09월 에너지'!$F$14:$F$949,$A28,'09월 에너지'!R36:R972))</f>
        <v/>
      </c>
      <c r="BN28" s="200" t="str">
        <f>IF($B28&lt;1,"",AVERAGEIF('09월 에너지'!$F$14:$F$949,$A28,'09월 에너지'!S36:S972))</f>
        <v/>
      </c>
      <c r="BO28" s="200" t="str">
        <f>IF($B28&lt;1,"",AVERAGEIF('09월 에너지'!$F$14:$F$949,$A28,'09월 에너지'!T36:T972))</f>
        <v/>
      </c>
      <c r="BP28" s="200" t="str">
        <f>IF($B28&lt;1,"",AVERAGEIF('09월 에너지'!$F$14:$F$949,$A28,'09월 에너지'!U36:U972))</f>
        <v/>
      </c>
      <c r="BQ28" s="200" t="str">
        <f>IF($B28&lt;1,"",AVERAGEIF('09월 에너지'!$F$14:$F$949,$A28,'09월 에너지'!V36:V972))</f>
        <v/>
      </c>
      <c r="BR28" s="200" t="str">
        <f>IF($B28&lt;1,"",AVERAGEIF('09월 에너지'!$F$14:$F$949,$A28,'09월 에너지'!W36:W972))</f>
        <v/>
      </c>
      <c r="BS28" s="200" t="str">
        <f>IF($B28&lt;1,"",AVERAGEIF('09월 에너지'!$F$14:$F$949,$A28,'09월 에너지'!X36:X972))</f>
        <v/>
      </c>
      <c r="BT28" s="200" t="str">
        <f>IF($B28&lt;1,"",AVERAGEIF('09월 에너지'!$F$14:$F$949,$A28,'09월 에너지'!Y36:Y972))</f>
        <v/>
      </c>
      <c r="BU28" s="200" t="str">
        <f>IF($B28&lt;1,"",AVERAGEIF('09월 에너지'!$F$14:$F$949,$A28,'09월 에너지'!Z36:Z972))</f>
        <v/>
      </c>
      <c r="BV28" s="200" t="str">
        <f>IF($B28&lt;1,"",AVERAGEIF('09월 에너지'!$F$14:$F$949,$A28,'09월 에너지'!AA36:AA972))</f>
        <v/>
      </c>
      <c r="BW28" s="200" t="str">
        <f>IF($B28&lt;1,"",AVERAGEIF('09월 에너지'!$F$14:$F$949,$A28,'09월 에너지'!AB36:AB972))</f>
        <v/>
      </c>
      <c r="BX28" s="257" t="str">
        <f>IF($B28&lt;1,"",AVERAGEIF('09월 에너지'!$F$14:$F$949,$A28,'09월 에너지'!AC36:AC972))</f>
        <v/>
      </c>
      <c r="BY28" s="261" t="str">
        <f>IF($B28&lt;1,"",AVERAGEIF('09월 에너지'!$F$14:$F$949,$A28,'09월 에너지'!AD36:AD972))</f>
        <v/>
      </c>
      <c r="BZ28" s="262" t="str">
        <f>IF($B28&lt;1,"",AVERAGEIF('09월 에너지'!$F$14:$F$949,$A28,'09월 에너지'!AE36:AE972))</f>
        <v/>
      </c>
      <c r="CA28" s="249" t="str">
        <f>IF($B28&lt;1,"",AVERAGEIF('09월 에너지'!$F$14:$F$949,$A28,'09월 에너지'!AF36:AF972))</f>
        <v/>
      </c>
      <c r="CB28" s="200" t="str">
        <f>IF($B28&lt;1,"",AVERAGEIF('09월 에너지'!$F$14:$F$949,$A28,'09월 에너지'!AG36:AG972))</f>
        <v/>
      </c>
      <c r="CC28" s="200" t="str">
        <f>IF($B28&lt;1,"",AVERAGEIF('09월 에너지'!$F$14:$F$949,$A28,'09월 에너지'!AH36:AH972))</f>
        <v/>
      </c>
      <c r="CD28" s="200" t="str">
        <f>IF($B28&lt;1,"",AVERAGEIF('09월 에너지'!$F$14:$F$949,$A28,'09월 에너지'!AI36:AI972))</f>
        <v/>
      </c>
      <c r="CE28" s="206" t="str">
        <f>IF($B28&lt;1,"",AVERAGEIF('09월 에너지'!$F$14:$F$949,$A28,'09월 에너지'!AJ36:AJ972))</f>
        <v/>
      </c>
    </row>
    <row r="29" spans="1:83" ht="17.25" customHeight="1">
      <c r="A29" s="210" t="s">
        <v>126</v>
      </c>
      <c r="B29" s="243">
        <f>IF(A29="",0,COUNTIF('09월 화학성분'!$F$12:$F$949,$A29))</f>
        <v>0</v>
      </c>
      <c r="C29" s="240"/>
      <c r="D29" s="203"/>
      <c r="E29" s="203"/>
      <c r="F29" s="200" t="str">
        <f>IF($B29&lt;1,"",AVERAGEIF('09월 화학성분'!$F$12:$F$949,$A29,'09월 화학성분'!G$12:G$949))</f>
        <v/>
      </c>
      <c r="G29" s="200" t="str">
        <f>IF($B29&lt;1,"",AVERAGEIF('09월 화학성분'!$F$12:$F$949,$A29,'09월 화학성분'!H$12:H$949))</f>
        <v/>
      </c>
      <c r="H29" s="200" t="str">
        <f>IF($B29&lt;1,"",AVERAGEIF('09월 화학성분'!$F$12:$F$949,$A29,'09월 화학성분'!I$12:I$949))</f>
        <v/>
      </c>
      <c r="I29" s="200" t="str">
        <f>IF($B29&lt;1,"",AVERAGEIF('09월 화학성분'!$F$12:$F$949,$A29,'09월 화학성분'!J$12:J$949))</f>
        <v/>
      </c>
      <c r="J29" s="200" t="str">
        <f>IF($B29&lt;1,"",AVERAGEIF('09월 화학성분'!$F$12:$F$949,$A29,'09월 화학성분'!K$12:K$949))</f>
        <v/>
      </c>
      <c r="K29" s="200" t="str">
        <f>IF($B29&lt;1,"",AVERAGEIF('09월 화학성분'!$F$12:$F$949,$A29,'09월 화학성분'!L$12:L$949))</f>
        <v/>
      </c>
      <c r="L29" s="200" t="str">
        <f>IF($B29&lt;1,"",AVERAGEIF('09월 화학성분'!$F$12:$F$949,$A29,'09월 화학성분'!M$12:M$949))</f>
        <v/>
      </c>
      <c r="M29" s="208" t="str">
        <f>IF($B29&lt;1,"",AVERAGEIF('09월 화학성분'!$F$12:$F$949,$A29,'09월 화학성분'!N$12:N$949))</f>
        <v/>
      </c>
      <c r="N29" s="208" t="str">
        <f>IF($B29&lt;1,"",AVERAGEIF('09월 화학성분'!$F$12:$F$949,$A29,'09월 화학성분'!O$12:O$949))</f>
        <v/>
      </c>
      <c r="O29" s="208" t="str">
        <f>IF($B29&lt;1,"",AVERAGEIF('09월 화학성분'!$F$12:$F$949,$A29,'09월 화학성분'!P$12:P$949))</f>
        <v/>
      </c>
      <c r="P29" s="208" t="str">
        <f>IF($B29&lt;1,"",AVERAGEIF('09월 화학성분'!$F$12:$F$949,$A29,'09월 화학성분'!Q$12:Q$949))</f>
        <v/>
      </c>
      <c r="Q29" s="208" t="str">
        <f>IF($B29&lt;1,"",AVERAGEIF('09월 화학성분'!$F$12:$F$949,$A29,'09월 화학성분'!R$12:R$949))</f>
        <v/>
      </c>
      <c r="R29" s="208" t="str">
        <f>IF($B29&lt;1,"",AVERAGEIF('09월 화학성분'!$F$12:$F$949,$A29,'09월 화학성분'!U$12:U$949))</f>
        <v/>
      </c>
      <c r="S29" s="208" t="str">
        <f>IF($B29&lt;1,"",AVERAGEIF('09월 화학성분'!$F$12:$F$949,$A29,'09월 화학성분'!V$12:V$949))</f>
        <v/>
      </c>
      <c r="T29" s="208" t="str">
        <f>IF($B29&lt;1,"",AVERAGEIF('09월 화학성분'!$F$12:$F$949,$A29,'09월 화학성분'!W$12:W$949))</f>
        <v/>
      </c>
      <c r="U29" s="208" t="str">
        <f>IF($B29&lt;1,"",AVERAGEIF('09월 화학성분'!$F$12:$F$949,$A29,'09월 화학성분'!X$12:X$949))</f>
        <v/>
      </c>
      <c r="V29" s="208" t="str">
        <f>IF($B29&lt;1,"",AVERAGEIF('09월 화학성분'!$F$12:$F$949,$A29,'09월 화학성분'!#REF!))</f>
        <v/>
      </c>
      <c r="W29" s="208" t="str">
        <f>IF($B29&lt;1,"",AVERAGEIF('09월 화학성분'!$F$12:$F$949,$A29,'09월 화학성분'!AB$12:AB$949))</f>
        <v/>
      </c>
      <c r="X29" s="208" t="str">
        <f>IF($B29&lt;1,"",AVERAGEIF('09월 화학성분'!$F$12:$F$949,$A29,'09월 화학성분'!AC$12:AC$949))</f>
        <v/>
      </c>
      <c r="Y29" s="208" t="str">
        <f>IF($B29&lt;1,"",AVERAGEIF('09월 화학성분'!$F$12:$F$949,$A29,'09월 화학성분'!AD$12:AD$949))</f>
        <v/>
      </c>
      <c r="Z29" s="208" t="str">
        <f>IF($B29&lt;1,"",AVERAGEIF('09월 화학성분'!$F$12:$F$949,$A29,'09월 화학성분'!AF$12:AF$949))</f>
        <v/>
      </c>
      <c r="AA29" s="208" t="str">
        <f>IF($B29&lt;1,"",AVERAGEIF('09월 화학성분'!$F$12:$F$949,$A29,'09월 화학성분'!AG$12:AG$949))</f>
        <v/>
      </c>
      <c r="AB29" s="208" t="str">
        <f>IF($B29&lt;1,"",AVERAGEIF('09월 화학성분'!$F$12:$F$949,$A29,'09월 화학성분'!AH$12:AH$949))</f>
        <v/>
      </c>
      <c r="AC29" s="208" t="str">
        <f>IF($B29&lt;1,"",AVERAGEIF('09월 화학성분'!$F$12:$F$949,$A29,'09월 화학성분'!AI$12:AI$949))</f>
        <v/>
      </c>
      <c r="AD29" s="208" t="str">
        <f>IF($B29&lt;1,"",AVERAGEIF('09월 화학성분'!$F$12:$F$949,$A29,'09월 화학성분'!AJ$12:AJ$949))</f>
        <v/>
      </c>
      <c r="AE29" s="208" t="str">
        <f>IF($B29&lt;1,"",AVERAGEIF('09월 화학성분'!$F$12:$F$949,$A29,'09월 화학성분'!AL$12:AL$949))</f>
        <v/>
      </c>
      <c r="AF29" s="208" t="str">
        <f>IF($B29&lt;1,"",AVERAGEIF('09월 화학성분'!$F$12:$F$949,$A29,'09월 화학성분'!AM$12:AM$949))</f>
        <v/>
      </c>
      <c r="AG29" s="207" t="str">
        <f>IF($B29&lt;1,"",AVERAGEIF('09월 화학성분'!$F$12:$F$949,$A29,'09월 화학성분'!AN$12:AN$949))</f>
        <v/>
      </c>
      <c r="AH29" s="207" t="str">
        <f>IF($B29&lt;1,"",AVERAGEIF('09월 화학성분'!$F$12:$F$949,$A29,'09월 화학성분'!AO$12:AO$949))</f>
        <v/>
      </c>
      <c r="AI29" s="200" t="str">
        <f>IF($B29&lt;1,"",AVERAGEIF('09월 화학성분'!$F$12:$F$949,$A29,'09월 화학성분'!AP$12:AP$949))</f>
        <v/>
      </c>
      <c r="AJ29" s="217" t="str">
        <f>IF($B29&lt;1,"",AVERAGEIF('09월 고철장입'!$F$14:$F$949,$A29,'09월 고철장입'!G$14:G$949))</f>
        <v/>
      </c>
      <c r="AK29" s="217" t="str">
        <f>IF($B29&lt;1,"",AVERAGEIF('09월 고철장입'!$F$14:$F$949,$A29,'09월 고철장입'!H$14:H$949))</f>
        <v/>
      </c>
      <c r="AL29" s="217" t="str">
        <f>IF($B29&lt;1,"",AVERAGEIF('09월 고철장입'!$F$14:$F$949,$A29,'09월 고철장입'!I$14:I$949))</f>
        <v/>
      </c>
      <c r="AM29" s="217" t="str">
        <f>IF($B29&lt;1,"",AVERAGEIF('09월 고철장입'!$F$14:$F$949,$A29,'09월 고철장입'!J$14:J$949))</f>
        <v/>
      </c>
      <c r="AN29" s="217" t="str">
        <f>IF($B29&lt;1,"",AVERAGEIF('09월 고철장입'!$F$14:$F$949,$A29,'09월 고철장입'!L$14:L$949))</f>
        <v/>
      </c>
      <c r="AO29" s="217" t="str">
        <f>IF($B29&lt;1,"",AVERAGEIF('09월 고철장입'!$F$14:$F$949,$A29,'09월 고철장입'!O$14:O$949))</f>
        <v/>
      </c>
      <c r="AP29" s="214" t="str">
        <f>IF($B29&lt;1,"",AVERAGEIF('09월 고철장입'!$F$14:$F$949,$A29,'09월 고철장입'!P$14:P$949))</f>
        <v/>
      </c>
      <c r="AQ29" s="214" t="str">
        <f>IF($B29&lt;1,"",AVERAGEIF('09월 고철장입'!$F$14:$F$949,$A29,'09월 고철장입'!Q$14:Q$949))</f>
        <v/>
      </c>
      <c r="AR29" s="214" t="str">
        <f>IF($B29&lt;1,"",AVERAGEIF('09월 고철장입'!$F$14:$F$949,$A29,'09월 고철장입'!S$14:S$949))</f>
        <v/>
      </c>
      <c r="AS29" s="214" t="str">
        <f>IF($B29&lt;1,"",AVERAGEIF('09월 고철장입'!$F$14:$F$949,$A29,'09월 고철장입'!AD$14:AD$949))</f>
        <v/>
      </c>
      <c r="AT29" s="214" t="str">
        <f>IF($B29&lt;1,"",AVERAGEIF('09월 고철장입'!$F$14:$F$949,$A29,'09월 고철장입'!AE$14:AE$949))</f>
        <v/>
      </c>
      <c r="AU29" s="217" t="str">
        <f>IF($B29&lt;1,"",AVERAGEIF('09월 고철장입'!$F$14:$F$949,$A29,'09월 고철장입'!AF$14:AF$949))</f>
        <v/>
      </c>
      <c r="AV29" s="217" t="str">
        <f>IF($B29&lt;1,"",AVERAGEIF('09월 고철장입'!$F$14:$F$949,$A29,'09월 고철장입'!AG$14:AG$949))</f>
        <v/>
      </c>
      <c r="AW29" s="217" t="str">
        <f>IF($B29&lt;1,"",AVERAGEIF('09월 고철장입'!$F$14:$F$949,$A29,'09월 고철장입'!AH$14:AH$949))</f>
        <v/>
      </c>
      <c r="AX29" s="217" t="str">
        <f>IF($B29&lt;1,"",AVERAGEIF('09월 고철장입'!$F$14:$F$949,$A29,'09월 고철장입'!AI$14:AI$949))</f>
        <v/>
      </c>
      <c r="AY29" s="248" t="str">
        <f>IF($B29&lt;1,"",AVERAGEIF('09월 고철장입'!$F$14:$F$949,$A29,'09월 고철장입'!AJ$14:AJ$949)/1000)</f>
        <v/>
      </c>
      <c r="AZ29" s="250" t="str">
        <f>IF($B29&lt;1,"",AVERAGEIF('09월 고철장입'!$F$14:$F$949,$A29,'09월 고철장입'!AK$14:AK$949))</f>
        <v/>
      </c>
      <c r="BA29" s="253" t="str">
        <f>IF($B29&lt;1,"",AVERAGEIF('09월 고철장입'!$F$14:$F$949,$A29,'09월 고철장입'!AL$14:AL$949))</f>
        <v/>
      </c>
      <c r="BB29" s="200" t="str">
        <f>IF($B29&lt;1,"",AVERAGEIF('09월 에너지'!$F$14:$F$949,$A29,'09월 에너지'!G37:G973))</f>
        <v/>
      </c>
      <c r="BC29" s="200" t="str">
        <f>IF($B29&lt;1,"",AVERAGEIF('09월 에너지'!$F$14:$F$949,$A29,'09월 에너지'!H37:H973))</f>
        <v/>
      </c>
      <c r="BD29" s="200" t="str">
        <f>IF($B29&lt;1,"",AVERAGEIF('09월 에너지'!$F$14:$F$949,$A29,'09월 에너지'!I37:I973))</f>
        <v/>
      </c>
      <c r="BE29" s="200" t="str">
        <f>IF($B29&lt;1,"",AVERAGEIF('09월 에너지'!$F$14:$F$949,$A29,'09월 에너지'!J37:J973))</f>
        <v/>
      </c>
      <c r="BF29" s="200" t="str">
        <f>IF($B29&lt;1,"",AVERAGEIF('09월 에너지'!$F$14:$F$949,$A29,'09월 에너지'!K37:K973))</f>
        <v/>
      </c>
      <c r="BG29" s="200" t="str">
        <f>IF($B29&lt;1,"",AVERAGEIF('09월 에너지'!$F$14:$F$949,$A29,'09월 에너지'!L37:L973))</f>
        <v/>
      </c>
      <c r="BH29" s="200" t="str">
        <f>IF($B29&lt;1,"",AVERAGEIF('09월 에너지'!$F$14:$F$949,$A29,'09월 에너지'!M37:M973))</f>
        <v/>
      </c>
      <c r="BI29" s="200" t="str">
        <f>IF($B29&lt;1,"",AVERAGEIF('09월 에너지'!$F$14:$F$949,$A29,'09월 에너지'!N37:N973))</f>
        <v/>
      </c>
      <c r="BJ29" s="200" t="str">
        <f>IF($B29&lt;1,"",AVERAGEIF('09월 에너지'!$F$14:$F$949,$A29,'09월 에너지'!O37:O973))</f>
        <v/>
      </c>
      <c r="BK29" s="200" t="str">
        <f>IF($B29&lt;1,"",AVERAGEIF('09월 에너지'!$F$14:$F$949,$A29,'09월 에너지'!P37:P973))</f>
        <v/>
      </c>
      <c r="BL29" s="200" t="str">
        <f>IF($B29&lt;1,"",AVERAGEIF('09월 에너지'!$F$14:$F$949,$A29,'09월 에너지'!Q37:Q973))</f>
        <v/>
      </c>
      <c r="BM29" s="200" t="str">
        <f>IF($B29&lt;1,"",AVERAGEIF('09월 에너지'!$F$14:$F$949,$A29,'09월 에너지'!R37:R973))</f>
        <v/>
      </c>
      <c r="BN29" s="200" t="str">
        <f>IF($B29&lt;1,"",AVERAGEIF('09월 에너지'!$F$14:$F$949,$A29,'09월 에너지'!S37:S973))</f>
        <v/>
      </c>
      <c r="BO29" s="200" t="str">
        <f>IF($B29&lt;1,"",AVERAGEIF('09월 에너지'!$F$14:$F$949,$A29,'09월 에너지'!T37:T973))</f>
        <v/>
      </c>
      <c r="BP29" s="200" t="str">
        <f>IF($B29&lt;1,"",AVERAGEIF('09월 에너지'!$F$14:$F$949,$A29,'09월 에너지'!U37:U973))</f>
        <v/>
      </c>
      <c r="BQ29" s="200" t="str">
        <f>IF($B29&lt;1,"",AVERAGEIF('09월 에너지'!$F$14:$F$949,$A29,'09월 에너지'!V37:V973))</f>
        <v/>
      </c>
      <c r="BR29" s="200" t="str">
        <f>IF($B29&lt;1,"",AVERAGEIF('09월 에너지'!$F$14:$F$949,$A29,'09월 에너지'!W37:W973))</f>
        <v/>
      </c>
      <c r="BS29" s="200" t="str">
        <f>IF($B29&lt;1,"",AVERAGEIF('09월 에너지'!$F$14:$F$949,$A29,'09월 에너지'!X37:X973))</f>
        <v/>
      </c>
      <c r="BT29" s="200" t="str">
        <f>IF($B29&lt;1,"",AVERAGEIF('09월 에너지'!$F$14:$F$949,$A29,'09월 에너지'!Y37:Y973))</f>
        <v/>
      </c>
      <c r="BU29" s="200" t="str">
        <f>IF($B29&lt;1,"",AVERAGEIF('09월 에너지'!$F$14:$F$949,$A29,'09월 에너지'!Z37:Z973))</f>
        <v/>
      </c>
      <c r="BV29" s="200" t="str">
        <f>IF($B29&lt;1,"",AVERAGEIF('09월 에너지'!$F$14:$F$949,$A29,'09월 에너지'!AA37:AA973))</f>
        <v/>
      </c>
      <c r="BW29" s="200" t="str">
        <f>IF($B29&lt;1,"",AVERAGEIF('09월 에너지'!$F$14:$F$949,$A29,'09월 에너지'!AB37:AB973))</f>
        <v/>
      </c>
      <c r="BX29" s="257" t="str">
        <f>IF($B29&lt;1,"",AVERAGEIF('09월 에너지'!$F$14:$F$949,$A29,'09월 에너지'!AC37:AC973))</f>
        <v/>
      </c>
      <c r="BY29" s="261" t="str">
        <f>IF($B29&lt;1,"",AVERAGEIF('09월 에너지'!$F$14:$F$949,$A29,'09월 에너지'!AD37:AD973))</f>
        <v/>
      </c>
      <c r="BZ29" s="262" t="str">
        <f>IF($B29&lt;1,"",AVERAGEIF('09월 에너지'!$F$14:$F$949,$A29,'09월 에너지'!AE37:AE973))</f>
        <v/>
      </c>
      <c r="CA29" s="249" t="str">
        <f>IF($B29&lt;1,"",AVERAGEIF('09월 에너지'!$F$14:$F$949,$A29,'09월 에너지'!AF37:AF973))</f>
        <v/>
      </c>
      <c r="CB29" s="200" t="str">
        <f>IF($B29&lt;1,"",AVERAGEIF('09월 에너지'!$F$14:$F$949,$A29,'09월 에너지'!AG37:AG973))</f>
        <v/>
      </c>
      <c r="CC29" s="200" t="str">
        <f>IF($B29&lt;1,"",AVERAGEIF('09월 에너지'!$F$14:$F$949,$A29,'09월 에너지'!AH37:AH973))</f>
        <v/>
      </c>
      <c r="CD29" s="200" t="str">
        <f>IF($B29&lt;1,"",AVERAGEIF('09월 에너지'!$F$14:$F$949,$A29,'09월 에너지'!AI37:AI973))</f>
        <v/>
      </c>
      <c r="CE29" s="206" t="str">
        <f>IF($B29&lt;1,"",AVERAGEIF('09월 에너지'!$F$14:$F$949,$A29,'09월 에너지'!AJ37:AJ973))</f>
        <v/>
      </c>
    </row>
    <row r="30" spans="1:83" ht="17.25" customHeight="1">
      <c r="A30" s="210" t="s">
        <v>160</v>
      </c>
      <c r="B30" s="243">
        <f>IF(A30="",0,COUNTIF('09월 화학성분'!$F$12:$F$949,$A30))</f>
        <v>0</v>
      </c>
      <c r="C30" s="240"/>
      <c r="D30" s="203"/>
      <c r="E30" s="203"/>
      <c r="F30" s="200" t="str">
        <f>IF($B30&lt;1,"",AVERAGEIF('09월 화학성분'!$F$12:$F$949,$A30,'09월 화학성분'!G$12:G$949))</f>
        <v/>
      </c>
      <c r="G30" s="200" t="str">
        <f>IF($B30&lt;1,"",AVERAGEIF('09월 화학성분'!$F$12:$F$949,$A30,'09월 화학성분'!H$12:H$949))</f>
        <v/>
      </c>
      <c r="H30" s="200" t="str">
        <f>IF($B30&lt;1,"",AVERAGEIF('09월 화학성분'!$F$12:$F$949,$A30,'09월 화학성분'!I$12:I$949))</f>
        <v/>
      </c>
      <c r="I30" s="200" t="str">
        <f>IF($B30&lt;1,"",AVERAGEIF('09월 화학성분'!$F$12:$F$949,$A30,'09월 화학성분'!J$12:J$949))</f>
        <v/>
      </c>
      <c r="J30" s="200" t="str">
        <f>IF($B30&lt;1,"",AVERAGEIF('09월 화학성분'!$F$12:$F$949,$A30,'09월 화학성분'!K$12:K$949))</f>
        <v/>
      </c>
      <c r="K30" s="200" t="str">
        <f>IF($B30&lt;1,"",AVERAGEIF('09월 화학성분'!$F$12:$F$949,$A30,'09월 화학성분'!L$12:L$949))</f>
        <v/>
      </c>
      <c r="L30" s="200" t="str">
        <f>IF($B30&lt;1,"",AVERAGEIF('09월 화학성분'!$F$12:$F$949,$A30,'09월 화학성분'!M$12:M$949))</f>
        <v/>
      </c>
      <c r="M30" s="208" t="str">
        <f>IF($B30&lt;1,"",AVERAGEIF('09월 화학성분'!$F$12:$F$949,$A30,'09월 화학성분'!N$12:N$949))</f>
        <v/>
      </c>
      <c r="N30" s="208" t="str">
        <f>IF($B30&lt;1,"",AVERAGEIF('09월 화학성분'!$F$12:$F$949,$A30,'09월 화학성분'!O$12:O$949))</f>
        <v/>
      </c>
      <c r="O30" s="208" t="str">
        <f>IF($B30&lt;1,"",AVERAGEIF('09월 화학성분'!$F$12:$F$949,$A30,'09월 화학성분'!P$12:P$949))</f>
        <v/>
      </c>
      <c r="P30" s="208" t="str">
        <f>IF($B30&lt;1,"",AVERAGEIF('09월 화학성분'!$F$12:$F$949,$A30,'09월 화학성분'!Q$12:Q$949))</f>
        <v/>
      </c>
      <c r="Q30" s="208" t="str">
        <f>IF($B30&lt;1,"",AVERAGEIF('09월 화학성분'!$F$12:$F$949,$A30,'09월 화학성분'!R$12:R$949))</f>
        <v/>
      </c>
      <c r="R30" s="208" t="str">
        <f>IF($B30&lt;1,"",AVERAGEIF('09월 화학성분'!$F$12:$F$949,$A30,'09월 화학성분'!U$12:U$949))</f>
        <v/>
      </c>
      <c r="S30" s="208" t="str">
        <f>IF($B30&lt;1,"",AVERAGEIF('09월 화학성분'!$F$12:$F$949,$A30,'09월 화학성분'!V$12:V$949))</f>
        <v/>
      </c>
      <c r="T30" s="208" t="str">
        <f>IF($B30&lt;1,"",AVERAGEIF('09월 화학성분'!$F$12:$F$949,$A30,'09월 화학성분'!W$12:W$949))</f>
        <v/>
      </c>
      <c r="U30" s="208" t="str">
        <f>IF($B30&lt;1,"",AVERAGEIF('09월 화학성분'!$F$12:$F$949,$A30,'09월 화학성분'!X$12:X$949))</f>
        <v/>
      </c>
      <c r="V30" s="208" t="str">
        <f>IF($B30&lt;1,"",AVERAGEIF('09월 화학성분'!$F$12:$F$949,$A30,'09월 화학성분'!#REF!))</f>
        <v/>
      </c>
      <c r="W30" s="208" t="str">
        <f>IF($B30&lt;1,"",AVERAGEIF('09월 화학성분'!$F$12:$F$949,$A30,'09월 화학성분'!AB$12:AB$949))</f>
        <v/>
      </c>
      <c r="X30" s="208" t="str">
        <f>IF($B30&lt;1,"",AVERAGEIF('09월 화학성분'!$F$12:$F$949,$A30,'09월 화학성분'!AC$12:AC$949))</f>
        <v/>
      </c>
      <c r="Y30" s="208" t="str">
        <f>IF($B30&lt;1,"",AVERAGEIF('09월 화학성분'!$F$12:$F$949,$A30,'09월 화학성분'!AD$12:AD$949))</f>
        <v/>
      </c>
      <c r="Z30" s="208" t="str">
        <f>IF($B30&lt;1,"",AVERAGEIF('09월 화학성분'!$F$12:$F$949,$A30,'09월 화학성분'!AF$12:AF$949))</f>
        <v/>
      </c>
      <c r="AA30" s="208" t="str">
        <f>IF($B30&lt;1,"",AVERAGEIF('09월 화학성분'!$F$12:$F$949,$A30,'09월 화학성분'!AG$12:AG$949))</f>
        <v/>
      </c>
      <c r="AB30" s="208" t="str">
        <f>IF($B30&lt;1,"",AVERAGEIF('09월 화학성분'!$F$12:$F$949,$A30,'09월 화학성분'!AH$12:AH$949))</f>
        <v/>
      </c>
      <c r="AC30" s="208" t="str">
        <f>IF($B30&lt;1,"",AVERAGEIF('09월 화학성분'!$F$12:$F$949,$A30,'09월 화학성분'!AI$12:AI$949))</f>
        <v/>
      </c>
      <c r="AD30" s="208" t="str">
        <f>IF($B30&lt;1,"",AVERAGEIF('09월 화학성분'!$F$12:$F$949,$A30,'09월 화학성분'!AJ$12:AJ$949))</f>
        <v/>
      </c>
      <c r="AE30" s="208" t="str">
        <f>IF($B30&lt;1,"",AVERAGEIF('09월 화학성분'!$F$12:$F$949,$A30,'09월 화학성분'!AL$12:AL$949))</f>
        <v/>
      </c>
      <c r="AF30" s="208" t="str">
        <f>IF($B30&lt;1,"",AVERAGEIF('09월 화학성분'!$F$12:$F$949,$A30,'09월 화학성분'!AM$12:AM$949))</f>
        <v/>
      </c>
      <c r="AG30" s="207" t="str">
        <f>IF($B30&lt;1,"",AVERAGEIF('09월 화학성분'!$F$12:$F$949,$A30,'09월 화학성분'!AN$12:AN$949))</f>
        <v/>
      </c>
      <c r="AH30" s="207" t="str">
        <f>IF($B30&lt;1,"",AVERAGEIF('09월 화학성분'!$F$12:$F$949,$A30,'09월 화학성분'!AO$12:AO$949))</f>
        <v/>
      </c>
      <c r="AI30" s="200" t="str">
        <f>IF($B30&lt;1,"",AVERAGEIF('09월 화학성분'!$F$12:$F$949,$A30,'09월 화학성분'!AP$12:AP$949))</f>
        <v/>
      </c>
      <c r="AJ30" s="217" t="str">
        <f>IF($B30&lt;1,"",AVERAGEIF('09월 고철장입'!$F$14:$F$949,$A30,'09월 고철장입'!G$14:G$949))</f>
        <v/>
      </c>
      <c r="AK30" s="217" t="str">
        <f>IF($B30&lt;1,"",AVERAGEIF('09월 고철장입'!$F$14:$F$949,$A30,'09월 고철장입'!H$14:H$949))</f>
        <v/>
      </c>
      <c r="AL30" s="217" t="str">
        <f>IF($B30&lt;1,"",AVERAGEIF('09월 고철장입'!$F$14:$F$949,$A30,'09월 고철장입'!I$14:I$949))</f>
        <v/>
      </c>
      <c r="AM30" s="217" t="str">
        <f>IF($B30&lt;1,"",AVERAGEIF('09월 고철장입'!$F$14:$F$949,$A30,'09월 고철장입'!J$14:J$949))</f>
        <v/>
      </c>
      <c r="AN30" s="217" t="str">
        <f>IF($B30&lt;1,"",AVERAGEIF('09월 고철장입'!$F$14:$F$949,$A30,'09월 고철장입'!L$14:L$949))</f>
        <v/>
      </c>
      <c r="AO30" s="217" t="str">
        <f>IF($B30&lt;1,"",AVERAGEIF('09월 고철장입'!$F$14:$F$949,$A30,'09월 고철장입'!O$14:O$949))</f>
        <v/>
      </c>
      <c r="AP30" s="214" t="str">
        <f>IF($B30&lt;1,"",AVERAGEIF('09월 고철장입'!$F$14:$F$949,$A30,'09월 고철장입'!P$14:P$949))</f>
        <v/>
      </c>
      <c r="AQ30" s="214" t="str">
        <f>IF($B30&lt;1,"",AVERAGEIF('09월 고철장입'!$F$14:$F$949,$A30,'09월 고철장입'!Q$14:Q$949))</f>
        <v/>
      </c>
      <c r="AR30" s="214" t="str">
        <f>IF($B30&lt;1,"",AVERAGEIF('09월 고철장입'!$F$14:$F$949,$A30,'09월 고철장입'!S$14:S$949))</f>
        <v/>
      </c>
      <c r="AS30" s="214" t="str">
        <f>IF($B30&lt;1,"",AVERAGEIF('09월 고철장입'!$F$14:$F$949,$A30,'09월 고철장입'!AD$14:AD$949))</f>
        <v/>
      </c>
      <c r="AT30" s="214" t="str">
        <f>IF($B30&lt;1,"",AVERAGEIF('09월 고철장입'!$F$14:$F$949,$A30,'09월 고철장입'!AE$14:AE$949))</f>
        <v/>
      </c>
      <c r="AU30" s="217" t="str">
        <f>IF($B30&lt;1,"",AVERAGEIF('09월 고철장입'!$F$14:$F$949,$A30,'09월 고철장입'!AF$14:AF$949))</f>
        <v/>
      </c>
      <c r="AV30" s="217" t="str">
        <f>IF($B30&lt;1,"",AVERAGEIF('09월 고철장입'!$F$14:$F$949,$A30,'09월 고철장입'!AG$14:AG$949))</f>
        <v/>
      </c>
      <c r="AW30" s="217" t="str">
        <f>IF($B30&lt;1,"",AVERAGEIF('09월 고철장입'!$F$14:$F$949,$A30,'09월 고철장입'!AH$14:AH$949))</f>
        <v/>
      </c>
      <c r="AX30" s="217" t="str">
        <f>IF($B30&lt;1,"",AVERAGEIF('09월 고철장입'!$F$14:$F$949,$A30,'09월 고철장입'!AI$14:AI$949))</f>
        <v/>
      </c>
      <c r="AY30" s="248" t="str">
        <f>IF($B30&lt;1,"",AVERAGEIF('09월 고철장입'!$F$14:$F$949,$A30,'09월 고철장입'!AJ$14:AJ$949)/1000)</f>
        <v/>
      </c>
      <c r="AZ30" s="250" t="str">
        <f>IF($B30&lt;1,"",AVERAGEIF('09월 고철장입'!$F$14:$F$949,$A30,'09월 고철장입'!AK$14:AK$949))</f>
        <v/>
      </c>
      <c r="BA30" s="253" t="str">
        <f>IF($B30&lt;1,"",AVERAGEIF('09월 고철장입'!$F$14:$F$949,$A30,'09월 고철장입'!AL$14:AL$949))</f>
        <v/>
      </c>
      <c r="BB30" s="200" t="str">
        <f>IF($B30&lt;1,"",AVERAGEIF('09월 에너지'!$F$14:$F$949,$A30,'09월 에너지'!G38:G974))</f>
        <v/>
      </c>
      <c r="BC30" s="200" t="str">
        <f>IF($B30&lt;1,"",AVERAGEIF('09월 에너지'!$F$14:$F$949,$A30,'09월 에너지'!H38:H974))</f>
        <v/>
      </c>
      <c r="BD30" s="200" t="str">
        <f>IF($B30&lt;1,"",AVERAGEIF('09월 에너지'!$F$14:$F$949,$A30,'09월 에너지'!I38:I974))</f>
        <v/>
      </c>
      <c r="BE30" s="200" t="str">
        <f>IF($B30&lt;1,"",AVERAGEIF('09월 에너지'!$F$14:$F$949,$A30,'09월 에너지'!J38:J974))</f>
        <v/>
      </c>
      <c r="BF30" s="200" t="str">
        <f>IF($B30&lt;1,"",AVERAGEIF('09월 에너지'!$F$14:$F$949,$A30,'09월 에너지'!K38:K974))</f>
        <v/>
      </c>
      <c r="BG30" s="200" t="str">
        <f>IF($B30&lt;1,"",AVERAGEIF('09월 에너지'!$F$14:$F$949,$A30,'09월 에너지'!L38:L974))</f>
        <v/>
      </c>
      <c r="BH30" s="200" t="str">
        <f>IF($B30&lt;1,"",AVERAGEIF('09월 에너지'!$F$14:$F$949,$A30,'09월 에너지'!M38:M974))</f>
        <v/>
      </c>
      <c r="BI30" s="200" t="str">
        <f>IF($B30&lt;1,"",AVERAGEIF('09월 에너지'!$F$14:$F$949,$A30,'09월 에너지'!N38:N974))</f>
        <v/>
      </c>
      <c r="BJ30" s="200" t="str">
        <f>IF($B30&lt;1,"",AVERAGEIF('09월 에너지'!$F$14:$F$949,$A30,'09월 에너지'!O38:O974))</f>
        <v/>
      </c>
      <c r="BK30" s="200" t="str">
        <f>IF($B30&lt;1,"",AVERAGEIF('09월 에너지'!$F$14:$F$949,$A30,'09월 에너지'!P38:P974))</f>
        <v/>
      </c>
      <c r="BL30" s="200" t="str">
        <f>IF($B30&lt;1,"",AVERAGEIF('09월 에너지'!$F$14:$F$949,$A30,'09월 에너지'!Q38:Q974))</f>
        <v/>
      </c>
      <c r="BM30" s="200" t="str">
        <f>IF($B30&lt;1,"",AVERAGEIF('09월 에너지'!$F$14:$F$949,$A30,'09월 에너지'!R38:R974))</f>
        <v/>
      </c>
      <c r="BN30" s="200" t="str">
        <f>IF($B30&lt;1,"",AVERAGEIF('09월 에너지'!$F$14:$F$949,$A30,'09월 에너지'!S38:S974))</f>
        <v/>
      </c>
      <c r="BO30" s="200" t="str">
        <f>IF($B30&lt;1,"",AVERAGEIF('09월 에너지'!$F$14:$F$949,$A30,'09월 에너지'!T38:T974))</f>
        <v/>
      </c>
      <c r="BP30" s="200" t="str">
        <f>IF($B30&lt;1,"",AVERAGEIF('09월 에너지'!$F$14:$F$949,$A30,'09월 에너지'!U38:U974))</f>
        <v/>
      </c>
      <c r="BQ30" s="200" t="str">
        <f>IF($B30&lt;1,"",AVERAGEIF('09월 에너지'!$F$14:$F$949,$A30,'09월 에너지'!V38:V974))</f>
        <v/>
      </c>
      <c r="BR30" s="200" t="str">
        <f>IF($B30&lt;1,"",AVERAGEIF('09월 에너지'!$F$14:$F$949,$A30,'09월 에너지'!W38:W974))</f>
        <v/>
      </c>
      <c r="BS30" s="200" t="str">
        <f>IF($B30&lt;1,"",AVERAGEIF('09월 에너지'!$F$14:$F$949,$A30,'09월 에너지'!X38:X974))</f>
        <v/>
      </c>
      <c r="BT30" s="200" t="str">
        <f>IF($B30&lt;1,"",AVERAGEIF('09월 에너지'!$F$14:$F$949,$A30,'09월 에너지'!Y38:Y974))</f>
        <v/>
      </c>
      <c r="BU30" s="200" t="str">
        <f>IF($B30&lt;1,"",AVERAGEIF('09월 에너지'!$F$14:$F$949,$A30,'09월 에너지'!Z38:Z974))</f>
        <v/>
      </c>
      <c r="BV30" s="200" t="str">
        <f>IF($B30&lt;1,"",AVERAGEIF('09월 에너지'!$F$14:$F$949,$A30,'09월 에너지'!AA38:AA974))</f>
        <v/>
      </c>
      <c r="BW30" s="200" t="str">
        <f>IF($B30&lt;1,"",AVERAGEIF('09월 에너지'!$F$14:$F$949,$A30,'09월 에너지'!AB38:AB974))</f>
        <v/>
      </c>
      <c r="BX30" s="257" t="str">
        <f>IF($B30&lt;1,"",AVERAGEIF('09월 에너지'!$F$14:$F$949,$A30,'09월 에너지'!AC38:AC974))</f>
        <v/>
      </c>
      <c r="BY30" s="261" t="str">
        <f>IF($B30&lt;1,"",AVERAGEIF('09월 에너지'!$F$14:$F$949,$A30,'09월 에너지'!AD38:AD974))</f>
        <v/>
      </c>
      <c r="BZ30" s="262" t="str">
        <f>IF($B30&lt;1,"",AVERAGEIF('09월 에너지'!$F$14:$F$949,$A30,'09월 에너지'!AE38:AE974))</f>
        <v/>
      </c>
      <c r="CA30" s="249" t="str">
        <f>IF($B30&lt;1,"",AVERAGEIF('09월 에너지'!$F$14:$F$949,$A30,'09월 에너지'!AF38:AF974))</f>
        <v/>
      </c>
      <c r="CB30" s="200" t="str">
        <f>IF($B30&lt;1,"",AVERAGEIF('09월 에너지'!$F$14:$F$949,$A30,'09월 에너지'!AG38:AG974))</f>
        <v/>
      </c>
      <c r="CC30" s="200" t="str">
        <f>IF($B30&lt;1,"",AVERAGEIF('09월 에너지'!$F$14:$F$949,$A30,'09월 에너지'!AH38:AH974))</f>
        <v/>
      </c>
      <c r="CD30" s="200" t="str">
        <f>IF($B30&lt;1,"",AVERAGEIF('09월 에너지'!$F$14:$F$949,$A30,'09월 에너지'!AI38:AI974))</f>
        <v/>
      </c>
      <c r="CE30" s="206" t="str">
        <f>IF($B30&lt;1,"",AVERAGEIF('09월 에너지'!$F$14:$F$949,$A30,'09월 에너지'!AJ38:AJ974))</f>
        <v/>
      </c>
    </row>
    <row r="31" spans="1:83" ht="17.25" customHeight="1">
      <c r="A31" s="210"/>
      <c r="B31" s="243">
        <f>IF(A31="",0,COUNTIF('09월 화학성분'!$F$12:$F$949,$A31))</f>
        <v>0</v>
      </c>
      <c r="C31" s="240"/>
      <c r="D31" s="203"/>
      <c r="E31" s="203"/>
      <c r="F31" s="200" t="str">
        <f>IF($B31&lt;1,"",AVERAGEIF('09월 화학성분'!$F$12:$F$949,$A31,'09월 화학성분'!G$12:G$949))</f>
        <v/>
      </c>
      <c r="G31" s="200" t="str">
        <f>IF($B31&lt;1,"",AVERAGEIF('09월 화학성분'!$F$12:$F$949,$A31,'09월 화학성분'!H$12:H$949))</f>
        <v/>
      </c>
      <c r="H31" s="200" t="str">
        <f>IF($B31&lt;1,"",AVERAGEIF('09월 화학성분'!$F$12:$F$949,$A31,'09월 화학성분'!I$12:I$949))</f>
        <v/>
      </c>
      <c r="I31" s="200" t="str">
        <f>IF($B31&lt;1,"",AVERAGEIF('09월 화학성분'!$F$12:$F$949,$A31,'09월 화학성분'!J$12:J$949))</f>
        <v/>
      </c>
      <c r="J31" s="200" t="str">
        <f>IF($B31&lt;1,"",AVERAGEIF('09월 화학성분'!$F$12:$F$949,$A31,'09월 화학성분'!K$12:K$949))</f>
        <v/>
      </c>
      <c r="K31" s="200" t="str">
        <f>IF($B31&lt;1,"",AVERAGEIF('09월 화학성분'!$F$12:$F$949,$A31,'09월 화학성분'!L$12:L$949))</f>
        <v/>
      </c>
      <c r="L31" s="200" t="str">
        <f>IF($B31&lt;1,"",AVERAGEIF('09월 화학성분'!$F$12:$F$949,$A31,'09월 화학성분'!M$12:M$949))</f>
        <v/>
      </c>
      <c r="M31" s="208" t="str">
        <f>IF($B31&lt;1,"",AVERAGEIF('09월 화학성분'!$F$12:$F$949,$A31,'09월 화학성분'!N$12:N$949))</f>
        <v/>
      </c>
      <c r="N31" s="208" t="str">
        <f>IF($B31&lt;1,"",AVERAGEIF('09월 화학성분'!$F$12:$F$949,$A31,'09월 화학성분'!O$12:O$949))</f>
        <v/>
      </c>
      <c r="O31" s="208" t="str">
        <f>IF($B31&lt;1,"",AVERAGEIF('09월 화학성분'!$F$12:$F$949,$A31,'09월 화학성분'!P$12:P$949))</f>
        <v/>
      </c>
      <c r="P31" s="208" t="str">
        <f>IF($B31&lt;1,"",AVERAGEIF('09월 화학성분'!$F$12:$F$949,$A31,'09월 화학성분'!Q$12:Q$949))</f>
        <v/>
      </c>
      <c r="Q31" s="208" t="str">
        <f>IF($B31&lt;1,"",AVERAGEIF('09월 화학성분'!$F$12:$F$949,$A31,'09월 화학성분'!R$12:R$949))</f>
        <v/>
      </c>
      <c r="R31" s="208" t="str">
        <f>IF($B31&lt;1,"",AVERAGEIF('09월 화학성분'!$F$12:$F$949,$A31,'09월 화학성분'!U$12:U$949))</f>
        <v/>
      </c>
      <c r="S31" s="208" t="str">
        <f>IF($B31&lt;1,"",AVERAGEIF('09월 화학성분'!$F$12:$F$949,$A31,'09월 화학성분'!V$12:V$949))</f>
        <v/>
      </c>
      <c r="T31" s="208" t="str">
        <f>IF($B31&lt;1,"",AVERAGEIF('09월 화학성분'!$F$12:$F$949,$A31,'09월 화학성분'!W$12:W$949))</f>
        <v/>
      </c>
      <c r="U31" s="208" t="str">
        <f>IF($B31&lt;1,"",AVERAGEIF('09월 화학성분'!$F$12:$F$949,$A31,'09월 화학성분'!X$12:X$949))</f>
        <v/>
      </c>
      <c r="V31" s="208" t="str">
        <f>IF($B31&lt;1,"",AVERAGEIF('09월 화학성분'!$F$12:$F$949,$A31,'09월 화학성분'!#REF!))</f>
        <v/>
      </c>
      <c r="W31" s="208" t="str">
        <f>IF($B31&lt;1,"",AVERAGEIF('09월 화학성분'!$F$12:$F$949,$A31,'09월 화학성분'!AB$12:AB$949))</f>
        <v/>
      </c>
      <c r="X31" s="208" t="str">
        <f>IF($B31&lt;1,"",AVERAGEIF('09월 화학성분'!$F$12:$F$949,$A31,'09월 화학성분'!AC$12:AC$949))</f>
        <v/>
      </c>
      <c r="Y31" s="208" t="str">
        <f>IF($B31&lt;1,"",AVERAGEIF('09월 화학성분'!$F$12:$F$949,$A31,'09월 화학성분'!AD$12:AD$949))</f>
        <v/>
      </c>
      <c r="Z31" s="208" t="str">
        <f>IF($B31&lt;1,"",AVERAGEIF('09월 화학성분'!$F$12:$F$949,$A31,'09월 화학성분'!AF$12:AF$949))</f>
        <v/>
      </c>
      <c r="AA31" s="208" t="str">
        <f>IF($B31&lt;1,"",AVERAGEIF('09월 화학성분'!$F$12:$F$949,$A31,'09월 화학성분'!AG$12:AG$949))</f>
        <v/>
      </c>
      <c r="AB31" s="208" t="str">
        <f>IF($B31&lt;1,"",AVERAGEIF('09월 화학성분'!$F$12:$F$949,$A31,'09월 화학성분'!AH$12:AH$949))</f>
        <v/>
      </c>
      <c r="AC31" s="208" t="str">
        <f>IF($B31&lt;1,"",AVERAGEIF('09월 화학성분'!$F$12:$F$949,$A31,'09월 화학성분'!AI$12:AI$949))</f>
        <v/>
      </c>
      <c r="AD31" s="208" t="str">
        <f>IF($B31&lt;1,"",AVERAGEIF('09월 화학성분'!$F$12:$F$949,$A31,'09월 화학성분'!AJ$12:AJ$949))</f>
        <v/>
      </c>
      <c r="AE31" s="208" t="str">
        <f>IF($B31&lt;1,"",AVERAGEIF('09월 화학성분'!$F$12:$F$949,$A31,'09월 화학성분'!AL$12:AL$949))</f>
        <v/>
      </c>
      <c r="AF31" s="208" t="str">
        <f>IF($B31&lt;1,"",AVERAGEIF('09월 화학성분'!$F$12:$F$949,$A31,'09월 화학성분'!AM$12:AM$949))</f>
        <v/>
      </c>
      <c r="AG31" s="207" t="str">
        <f>IF($B31&lt;1,"",AVERAGEIF('09월 화학성분'!$F$12:$F$949,$A31,'09월 화학성분'!AN$12:AN$949))</f>
        <v/>
      </c>
      <c r="AH31" s="207" t="str">
        <f>IF($B31&lt;1,"",AVERAGEIF('09월 화학성분'!$F$12:$F$949,$A31,'09월 화학성분'!AO$12:AO$949))</f>
        <v/>
      </c>
      <c r="AI31" s="200" t="str">
        <f>IF($B31&lt;1,"",AVERAGEIF('09월 화학성분'!$F$12:$F$949,$A31,'09월 화학성분'!AP$12:AP$949))</f>
        <v/>
      </c>
      <c r="AJ31" s="217" t="str">
        <f>IF($B31&lt;1,"",AVERAGEIF('09월 고철장입'!$F$14:$F$949,$A31,'09월 고철장입'!G$14:G$949))</f>
        <v/>
      </c>
      <c r="AK31" s="217" t="str">
        <f>IF($B31&lt;1,"",AVERAGEIF('09월 고철장입'!$F$14:$F$949,$A31,'09월 고철장입'!H$14:H$949))</f>
        <v/>
      </c>
      <c r="AL31" s="217" t="str">
        <f>IF($B31&lt;1,"",AVERAGEIF('09월 고철장입'!$F$14:$F$949,$A31,'09월 고철장입'!I$14:I$949))</f>
        <v/>
      </c>
      <c r="AM31" s="217" t="str">
        <f>IF($B31&lt;1,"",AVERAGEIF('09월 고철장입'!$F$14:$F$949,$A31,'09월 고철장입'!J$14:J$949))</f>
        <v/>
      </c>
      <c r="AN31" s="217" t="str">
        <f>IF($B31&lt;1,"",AVERAGEIF('09월 고철장입'!$F$14:$F$949,$A31,'09월 고철장입'!L$14:L$949))</f>
        <v/>
      </c>
      <c r="AO31" s="217" t="str">
        <f>IF($B31&lt;1,"",AVERAGEIF('09월 고철장입'!$F$14:$F$949,$A31,'09월 고철장입'!O$14:O$949))</f>
        <v/>
      </c>
      <c r="AP31" s="214" t="str">
        <f>IF($B31&lt;1,"",AVERAGEIF('09월 고철장입'!$F$14:$F$949,$A31,'09월 고철장입'!P$14:P$949))</f>
        <v/>
      </c>
      <c r="AQ31" s="214" t="str">
        <f>IF($B31&lt;1,"",AVERAGEIF('09월 고철장입'!$F$14:$F$949,$A31,'09월 고철장입'!Q$14:Q$949))</f>
        <v/>
      </c>
      <c r="AR31" s="214" t="str">
        <f>IF($B31&lt;1,"",AVERAGEIF('09월 고철장입'!$F$14:$F$949,$A31,'09월 고철장입'!S$14:S$949))</f>
        <v/>
      </c>
      <c r="AS31" s="214" t="str">
        <f>IF($B31&lt;1,"",AVERAGEIF('09월 고철장입'!$F$14:$F$949,$A31,'09월 고철장입'!AD$14:AD$949))</f>
        <v/>
      </c>
      <c r="AT31" s="214" t="str">
        <f>IF($B31&lt;1,"",AVERAGEIF('09월 고철장입'!$F$14:$F$949,$A31,'09월 고철장입'!AE$14:AE$949))</f>
        <v/>
      </c>
      <c r="AU31" s="217" t="str">
        <f>IF($B31&lt;1,"",AVERAGEIF('09월 고철장입'!$F$14:$F$949,$A31,'09월 고철장입'!AF$14:AF$949))</f>
        <v/>
      </c>
      <c r="AV31" s="217" t="str">
        <f>IF($B31&lt;1,"",AVERAGEIF('09월 고철장입'!$F$14:$F$949,$A31,'09월 고철장입'!AG$14:AG$949))</f>
        <v/>
      </c>
      <c r="AW31" s="217" t="str">
        <f>IF($B31&lt;1,"",AVERAGEIF('09월 고철장입'!$F$14:$F$949,$A31,'09월 고철장입'!AH$14:AH$949))</f>
        <v/>
      </c>
      <c r="AX31" s="217" t="str">
        <f>IF($B31&lt;1,"",AVERAGEIF('09월 고철장입'!$F$14:$F$949,$A31,'09월 고철장입'!AI$14:AI$949))</f>
        <v/>
      </c>
      <c r="AY31" s="248" t="str">
        <f>IF($B31&lt;1,"",AVERAGEIF('09월 고철장입'!$F$14:$F$949,$A31,'09월 고철장입'!AJ$14:AJ$949)/1000)</f>
        <v/>
      </c>
      <c r="AZ31" s="250" t="str">
        <f>IF($B31&lt;1,"",AVERAGEIF('09월 고철장입'!$F$14:$F$949,$A31,'09월 고철장입'!AK$14:AK$949))</f>
        <v/>
      </c>
      <c r="BA31" s="253" t="str">
        <f>IF($B31&lt;1,"",AVERAGEIF('09월 고철장입'!$F$14:$F$949,$A31,'09월 고철장입'!AL$14:AL$949))</f>
        <v/>
      </c>
      <c r="BB31" s="200" t="str">
        <f>IF($B31&lt;1,"",AVERAGEIF('09월 에너지'!$F$14:$F$949,$A31,'09월 에너지'!G39:G975))</f>
        <v/>
      </c>
      <c r="BC31" s="200" t="str">
        <f>IF($B31&lt;1,"",AVERAGEIF('09월 에너지'!$F$14:$F$949,$A31,'09월 에너지'!H39:H975))</f>
        <v/>
      </c>
      <c r="BD31" s="200" t="str">
        <f>IF($B31&lt;1,"",AVERAGEIF('09월 에너지'!$F$14:$F$949,$A31,'09월 에너지'!I39:I975))</f>
        <v/>
      </c>
      <c r="BE31" s="200" t="str">
        <f>IF($B31&lt;1,"",AVERAGEIF('09월 에너지'!$F$14:$F$949,$A31,'09월 에너지'!J39:J975))</f>
        <v/>
      </c>
      <c r="BF31" s="200" t="str">
        <f>IF($B31&lt;1,"",AVERAGEIF('09월 에너지'!$F$14:$F$949,$A31,'09월 에너지'!K39:K975))</f>
        <v/>
      </c>
      <c r="BG31" s="200" t="str">
        <f>IF($B31&lt;1,"",AVERAGEIF('09월 에너지'!$F$14:$F$949,$A31,'09월 에너지'!L39:L975))</f>
        <v/>
      </c>
      <c r="BH31" s="200" t="str">
        <f>IF($B31&lt;1,"",AVERAGEIF('09월 에너지'!$F$14:$F$949,$A31,'09월 에너지'!M39:M975))</f>
        <v/>
      </c>
      <c r="BI31" s="200" t="str">
        <f>IF($B31&lt;1,"",AVERAGEIF('09월 에너지'!$F$14:$F$949,$A31,'09월 에너지'!N39:N975))</f>
        <v/>
      </c>
      <c r="BJ31" s="200" t="str">
        <f>IF($B31&lt;1,"",AVERAGEIF('09월 에너지'!$F$14:$F$949,$A31,'09월 에너지'!O39:O975))</f>
        <v/>
      </c>
      <c r="BK31" s="200" t="str">
        <f>IF($B31&lt;1,"",AVERAGEIF('09월 에너지'!$F$14:$F$949,$A31,'09월 에너지'!P39:P975))</f>
        <v/>
      </c>
      <c r="BL31" s="200" t="str">
        <f>IF($B31&lt;1,"",AVERAGEIF('09월 에너지'!$F$14:$F$949,$A31,'09월 에너지'!Q39:Q975))</f>
        <v/>
      </c>
      <c r="BM31" s="200" t="str">
        <f>IF($B31&lt;1,"",AVERAGEIF('09월 에너지'!$F$14:$F$949,$A31,'09월 에너지'!R39:R975))</f>
        <v/>
      </c>
      <c r="BN31" s="200" t="str">
        <f>IF($B31&lt;1,"",AVERAGEIF('09월 에너지'!$F$14:$F$949,$A31,'09월 에너지'!S39:S975))</f>
        <v/>
      </c>
      <c r="BO31" s="200" t="str">
        <f>IF($B31&lt;1,"",AVERAGEIF('09월 에너지'!$F$14:$F$949,$A31,'09월 에너지'!T39:T975))</f>
        <v/>
      </c>
      <c r="BP31" s="200" t="str">
        <f>IF($B31&lt;1,"",AVERAGEIF('09월 에너지'!$F$14:$F$949,$A31,'09월 에너지'!U39:U975))</f>
        <v/>
      </c>
      <c r="BQ31" s="200" t="str">
        <f>IF($B31&lt;1,"",AVERAGEIF('09월 에너지'!$F$14:$F$949,$A31,'09월 에너지'!V39:V975))</f>
        <v/>
      </c>
      <c r="BR31" s="200" t="str">
        <f>IF($B31&lt;1,"",AVERAGEIF('09월 에너지'!$F$14:$F$949,$A31,'09월 에너지'!W39:W975))</f>
        <v/>
      </c>
      <c r="BS31" s="200" t="str">
        <f>IF($B31&lt;1,"",AVERAGEIF('09월 에너지'!$F$14:$F$949,$A31,'09월 에너지'!X39:X975))</f>
        <v/>
      </c>
      <c r="BT31" s="200" t="str">
        <f>IF($B31&lt;1,"",AVERAGEIF('09월 에너지'!$F$14:$F$949,$A31,'09월 에너지'!Y39:Y975))</f>
        <v/>
      </c>
      <c r="BU31" s="200" t="str">
        <f>IF($B31&lt;1,"",AVERAGEIF('09월 에너지'!$F$14:$F$949,$A31,'09월 에너지'!Z39:Z975))</f>
        <v/>
      </c>
      <c r="BV31" s="200" t="str">
        <f>IF($B31&lt;1,"",AVERAGEIF('09월 에너지'!$F$14:$F$949,$A31,'09월 에너지'!AA39:AA975))</f>
        <v/>
      </c>
      <c r="BW31" s="200" t="str">
        <f>IF($B31&lt;1,"",AVERAGEIF('09월 에너지'!$F$14:$F$949,$A31,'09월 에너지'!AB39:AB975))</f>
        <v/>
      </c>
      <c r="BX31" s="257" t="str">
        <f>IF($B31&lt;1,"",AVERAGEIF('09월 에너지'!$F$14:$F$949,$A31,'09월 에너지'!AC39:AC975))</f>
        <v/>
      </c>
      <c r="BY31" s="261" t="str">
        <f>IF($B31&lt;1,"",AVERAGEIF('09월 에너지'!$F$14:$F$949,$A31,'09월 에너지'!AD39:AD975))</f>
        <v/>
      </c>
      <c r="BZ31" s="262" t="str">
        <f>IF($B31&lt;1,"",AVERAGEIF('09월 에너지'!$F$14:$F$949,$A31,'09월 에너지'!AE39:AE975))</f>
        <v/>
      </c>
      <c r="CA31" s="249" t="str">
        <f>IF($B31&lt;1,"",AVERAGEIF('09월 에너지'!$F$14:$F$949,$A31,'09월 에너지'!AF39:AF975))</f>
        <v/>
      </c>
      <c r="CB31" s="200" t="str">
        <f>IF($B31&lt;1,"",AVERAGEIF('09월 에너지'!$F$14:$F$949,$A31,'09월 에너지'!AG39:AG975))</f>
        <v/>
      </c>
      <c r="CC31" s="200" t="str">
        <f>IF($B31&lt;1,"",AVERAGEIF('09월 에너지'!$F$14:$F$949,$A31,'09월 에너지'!AH39:AH975))</f>
        <v/>
      </c>
      <c r="CD31" s="200" t="str">
        <f>IF($B31&lt;1,"",AVERAGEIF('09월 에너지'!$F$14:$F$949,$A31,'09월 에너지'!AI39:AI975))</f>
        <v/>
      </c>
      <c r="CE31" s="206" t="str">
        <f>IF($B31&lt;1,"",AVERAGEIF('09월 에너지'!$F$14:$F$949,$A31,'09월 에너지'!AJ39:AJ975))</f>
        <v/>
      </c>
    </row>
    <row r="32" spans="1:83" ht="17.25" customHeight="1" thickBot="1">
      <c r="A32" s="211"/>
      <c r="B32" s="244"/>
      <c r="C32" s="241"/>
      <c r="D32" s="204"/>
      <c r="E32" s="204"/>
      <c r="F32" s="198"/>
      <c r="G32" s="198"/>
      <c r="H32" s="198"/>
      <c r="I32" s="198"/>
      <c r="J32" s="198"/>
      <c r="K32" s="198"/>
      <c r="L32" s="198"/>
      <c r="M32" s="209"/>
      <c r="N32" s="209"/>
      <c r="O32" s="209"/>
      <c r="P32" s="209"/>
      <c r="Q32" s="209"/>
      <c r="R32" s="209"/>
      <c r="S32" s="209"/>
      <c r="T32" s="209"/>
      <c r="U32" s="208" t="str">
        <f>IF($B32&lt;1,"",AVERAGEIF('09월 화학성분'!$F$12:$F$949,$A32,'09월 화학성분'!X$12:X$949))</f>
        <v/>
      </c>
      <c r="V32" s="209"/>
      <c r="W32" s="209"/>
      <c r="X32" s="209"/>
      <c r="Y32" s="209"/>
      <c r="Z32" s="209"/>
      <c r="AA32" s="209"/>
      <c r="AB32" s="209"/>
      <c r="AC32" s="209"/>
      <c r="AD32" s="208" t="str">
        <f>IF($B32&lt;1,"",AVERAGEIF('09월 화학성분'!$F$12:$F$949,$A32,'09월 화학성분'!AJ$12:AJ$949))</f>
        <v/>
      </c>
      <c r="AE32" s="209"/>
      <c r="AF32" s="209"/>
      <c r="AG32" s="202"/>
      <c r="AH32" s="202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251"/>
      <c r="AZ32" s="251"/>
      <c r="BA32" s="254"/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198"/>
      <c r="BM32" s="198"/>
      <c r="BN32" s="198"/>
      <c r="BO32" s="198"/>
      <c r="BP32" s="198"/>
      <c r="BQ32" s="198"/>
      <c r="BR32" s="198"/>
      <c r="BS32" s="198"/>
      <c r="BT32" s="198"/>
      <c r="BU32" s="198"/>
      <c r="BV32" s="198"/>
      <c r="BW32" s="198"/>
      <c r="BX32" s="258"/>
      <c r="BY32" s="263"/>
      <c r="BZ32" s="264"/>
      <c r="CA32" s="260"/>
      <c r="CB32" s="198"/>
      <c r="CC32" s="198"/>
      <c r="CD32" s="198"/>
      <c r="CE32" s="199"/>
    </row>
    <row r="33" ht="17.25" customHeight="1"/>
  </sheetData>
  <mergeCells count="27">
    <mergeCell ref="AZ3:AZ4"/>
    <mergeCell ref="BA3:BA4"/>
    <mergeCell ref="CA3:CE3"/>
    <mergeCell ref="AG3:AH3"/>
    <mergeCell ref="AI3:AI4"/>
    <mergeCell ref="BB3:BC3"/>
    <mergeCell ref="BD3:BE3"/>
    <mergeCell ref="BF3:BG3"/>
    <mergeCell ref="BH3:BI3"/>
    <mergeCell ref="BJ3:BM3"/>
    <mergeCell ref="BN3:BN4"/>
    <mergeCell ref="BO3:BS3"/>
    <mergeCell ref="BT3:BX3"/>
    <mergeCell ref="BY3:BZ3"/>
    <mergeCell ref="AJ3:AO3"/>
    <mergeCell ref="AP3:AT3"/>
    <mergeCell ref="AU3:AX3"/>
    <mergeCell ref="AY3:AY4"/>
    <mergeCell ref="A3:A4"/>
    <mergeCell ref="B3:B4"/>
    <mergeCell ref="A1:H1"/>
    <mergeCell ref="AF3:AF4"/>
    <mergeCell ref="C3:E3"/>
    <mergeCell ref="F3:L3"/>
    <mergeCell ref="M3:R3"/>
    <mergeCell ref="S3:V3"/>
    <mergeCell ref="W3:AE3"/>
  </mergeCells>
  <phoneticPr fontId="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3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21" sqref="P21"/>
    </sheetView>
  </sheetViews>
  <sheetFormatPr defaultColWidth="8.8984375" defaultRowHeight="13.2"/>
  <cols>
    <col min="1" max="1" width="10.19921875" style="853" bestFit="1" customWidth="1"/>
    <col min="2" max="2" width="4.3984375" style="853" customWidth="1"/>
    <col min="3" max="3" width="6.3984375" style="853" customWidth="1"/>
    <col min="4" max="4" width="6.19921875" style="853" customWidth="1"/>
    <col min="5" max="5" width="5.796875" style="853" customWidth="1"/>
    <col min="6" max="6" width="7.3984375" style="853" customWidth="1"/>
    <col min="7" max="8" width="7.09765625" style="853" customWidth="1"/>
    <col min="9" max="11" width="7" style="853" customWidth="1"/>
    <col min="12" max="14" width="6" style="853" customWidth="1"/>
    <col min="15" max="17" width="6.796875" style="853" customWidth="1"/>
    <col min="18" max="18" width="8" style="853" customWidth="1"/>
    <col min="19" max="19" width="8.3984375" style="853" customWidth="1"/>
    <col min="20" max="25" width="7.09765625" style="853" customWidth="1"/>
    <col min="26" max="28" width="7.3984375" style="853" customWidth="1"/>
    <col min="29" max="29" width="8.59765625" style="853" customWidth="1"/>
    <col min="30" max="30" width="8.296875" style="853" customWidth="1"/>
    <col min="31" max="33" width="7.3984375" style="853" customWidth="1"/>
    <col min="34" max="34" width="7.8984375" style="853" customWidth="1"/>
    <col min="35" max="35" width="7.296875" style="853" customWidth="1"/>
    <col min="36" max="36" width="6.69921875" style="853" customWidth="1"/>
    <col min="37" max="37" width="6.59765625" style="853" customWidth="1"/>
    <col min="38" max="38" width="6.796875" style="853" customWidth="1"/>
    <col min="39" max="39" width="7.8984375" style="853" customWidth="1"/>
    <col min="40" max="40" width="6.8984375" style="853" customWidth="1"/>
    <col min="41" max="42" width="6.3984375" style="853" customWidth="1"/>
    <col min="43" max="43" width="6.59765625" style="853" customWidth="1"/>
    <col min="44" max="68" width="7.296875" style="853" customWidth="1"/>
    <col min="69" max="69" width="7" style="853" customWidth="1"/>
    <col min="70" max="71" width="5.8984375" style="853" customWidth="1"/>
    <col min="72" max="72" width="5.09765625" style="853" customWidth="1"/>
    <col min="73" max="73" width="8.8984375" style="853" bestFit="1" customWidth="1"/>
    <col min="74" max="74" width="5.09765625" style="853" customWidth="1"/>
    <col min="75" max="75" width="8.8984375" style="853" bestFit="1" customWidth="1"/>
    <col min="76" max="76" width="5.09765625" style="853" customWidth="1"/>
    <col min="77" max="77" width="8.8984375" style="853" bestFit="1" customWidth="1"/>
    <col min="78" max="78" width="5.09765625" style="853" customWidth="1"/>
    <col min="79" max="79" width="8.8984375" style="853" bestFit="1" customWidth="1"/>
    <col min="80" max="84" width="6.59765625" style="853" customWidth="1"/>
    <col min="85" max="85" width="6" style="853" customWidth="1"/>
    <col min="86" max="86" width="5.09765625" style="853" customWidth="1"/>
    <col min="87" max="87" width="6.296875" style="853" customWidth="1"/>
    <col min="88" max="88" width="7.19921875" style="853" customWidth="1"/>
    <col min="89" max="89" width="5.09765625" style="853" customWidth="1"/>
    <col min="90" max="90" width="7.59765625" style="853" customWidth="1"/>
    <col min="91" max="91" width="7.296875" style="853" customWidth="1"/>
    <col min="92" max="92" width="7.59765625" style="853" customWidth="1"/>
    <col min="93" max="93" width="7.3984375" style="853" customWidth="1"/>
    <col min="94" max="94" width="5.09765625" style="853" customWidth="1"/>
    <col min="95" max="95" width="7.69921875" style="853" customWidth="1"/>
    <col min="96" max="96" width="5.09765625" style="853" customWidth="1"/>
    <col min="97" max="101" width="6.8984375" style="853" customWidth="1"/>
    <col min="102" max="16384" width="8.8984375" style="853"/>
  </cols>
  <sheetData>
    <row r="1" spans="1:101" ht="30">
      <c r="A1" s="1661" t="s">
        <v>209</v>
      </c>
      <c r="B1" s="1661"/>
      <c r="C1" s="1661"/>
      <c r="D1" s="1661"/>
      <c r="E1" s="1661"/>
      <c r="F1" s="1661"/>
      <c r="G1" s="1661"/>
      <c r="H1" s="1661"/>
      <c r="I1" s="1661"/>
      <c r="J1" s="1661"/>
    </row>
    <row r="2" spans="1:101" ht="4.5" customHeight="1" thickBot="1">
      <c r="A2" s="854"/>
      <c r="B2" s="854"/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854"/>
      <c r="AC2" s="854"/>
      <c r="AD2" s="854"/>
      <c r="AE2" s="854"/>
      <c r="AF2" s="854"/>
      <c r="AG2" s="854"/>
      <c r="AH2" s="854"/>
      <c r="AI2" s="854"/>
      <c r="AJ2" s="854"/>
      <c r="AK2" s="854"/>
      <c r="AL2" s="854"/>
      <c r="AM2" s="854"/>
      <c r="AN2" s="854"/>
      <c r="AO2" s="854"/>
      <c r="AP2" s="854"/>
      <c r="AQ2" s="854"/>
      <c r="AR2" s="854"/>
      <c r="AS2" s="854"/>
      <c r="AT2" s="854"/>
      <c r="AU2" s="854"/>
      <c r="AV2" s="854"/>
      <c r="AW2" s="854"/>
      <c r="AX2" s="854"/>
      <c r="AY2" s="854"/>
      <c r="AZ2" s="854"/>
      <c r="BA2" s="854"/>
      <c r="BB2" s="854"/>
      <c r="BC2" s="854"/>
      <c r="BD2" s="854"/>
      <c r="BE2" s="854"/>
      <c r="BF2" s="854"/>
      <c r="BG2" s="854"/>
      <c r="BH2" s="854"/>
      <c r="BI2" s="854"/>
      <c r="BJ2" s="854"/>
      <c r="BK2" s="854"/>
      <c r="BL2" s="854"/>
      <c r="BM2" s="854"/>
      <c r="BN2" s="854"/>
      <c r="BO2" s="854"/>
      <c r="BP2" s="854"/>
      <c r="BQ2" s="854"/>
      <c r="BR2" s="854"/>
      <c r="BS2" s="854"/>
      <c r="BT2" s="854"/>
      <c r="BU2" s="854"/>
      <c r="BV2" s="854"/>
      <c r="BW2" s="854"/>
      <c r="BX2" s="854"/>
      <c r="BY2" s="854"/>
      <c r="BZ2" s="854"/>
      <c r="CA2" s="854"/>
      <c r="CB2" s="854"/>
      <c r="CC2" s="854"/>
      <c r="CD2" s="854"/>
      <c r="CE2" s="854"/>
      <c r="CF2" s="854"/>
      <c r="CG2" s="854"/>
      <c r="CH2" s="854"/>
      <c r="CI2" s="854"/>
      <c r="CJ2" s="854"/>
      <c r="CK2" s="854"/>
      <c r="CL2" s="854"/>
      <c r="CM2" s="854"/>
      <c r="CN2" s="854"/>
      <c r="CO2" s="854"/>
      <c r="CP2" s="854"/>
      <c r="CQ2" s="854"/>
      <c r="CR2" s="854"/>
      <c r="CS2" s="854"/>
      <c r="CT2" s="854"/>
      <c r="CU2" s="854"/>
      <c r="CV2" s="854"/>
      <c r="CW2" s="854"/>
    </row>
    <row r="3" spans="1:101" ht="15" customHeight="1">
      <c r="A3" s="1651" t="s">
        <v>30</v>
      </c>
      <c r="B3" s="1663" t="s">
        <v>207</v>
      </c>
      <c r="C3" s="1658" t="s">
        <v>0</v>
      </c>
      <c r="D3" s="1658"/>
      <c r="E3" s="1658"/>
      <c r="F3" s="1649" t="s">
        <v>187</v>
      </c>
      <c r="G3" s="1641" t="s">
        <v>193</v>
      </c>
      <c r="H3" s="752" t="s">
        <v>184</v>
      </c>
      <c r="I3" s="1665" t="s">
        <v>41</v>
      </c>
      <c r="J3" s="1665"/>
      <c r="K3" s="1665"/>
      <c r="L3" s="1665"/>
      <c r="M3" s="1665"/>
      <c r="N3" s="1665"/>
      <c r="O3" s="1665"/>
      <c r="P3" s="753" t="s">
        <v>18</v>
      </c>
      <c r="Q3" s="1647" t="s">
        <v>191</v>
      </c>
      <c r="R3" s="1648"/>
      <c r="S3" s="1643" t="s">
        <v>186</v>
      </c>
      <c r="T3" s="1660" t="s">
        <v>42</v>
      </c>
      <c r="U3" s="1660"/>
      <c r="V3" s="1660"/>
      <c r="W3" s="1660"/>
      <c r="X3" s="1660"/>
      <c r="Y3" s="1660"/>
      <c r="Z3" s="1660" t="s">
        <v>43</v>
      </c>
      <c r="AA3" s="1660"/>
      <c r="AB3" s="1660"/>
      <c r="AC3" s="1660"/>
      <c r="AD3" s="1660" t="s">
        <v>44</v>
      </c>
      <c r="AE3" s="1660"/>
      <c r="AF3" s="1660"/>
      <c r="AG3" s="1660"/>
      <c r="AH3" s="1660"/>
      <c r="AI3" s="1660"/>
      <c r="AJ3" s="1660"/>
      <c r="AK3" s="1660"/>
      <c r="AL3" s="1660"/>
      <c r="AM3" s="1660"/>
      <c r="AN3" s="1660" t="s">
        <v>45</v>
      </c>
      <c r="AO3" s="1675" t="s">
        <v>46</v>
      </c>
      <c r="AP3" s="1675"/>
      <c r="AQ3" s="1665" t="s">
        <v>47</v>
      </c>
      <c r="AR3" s="1572" t="s">
        <v>221</v>
      </c>
      <c r="AS3" s="1572"/>
      <c r="AT3" s="1572" t="s">
        <v>223</v>
      </c>
      <c r="AU3" s="1572"/>
      <c r="AV3" s="1572" t="s">
        <v>227</v>
      </c>
      <c r="AW3" s="1572"/>
      <c r="AX3" s="1572" t="s">
        <v>248</v>
      </c>
      <c r="AY3" s="1572"/>
      <c r="AZ3" s="1677" t="s">
        <v>435</v>
      </c>
      <c r="BA3" s="1585" t="s">
        <v>240</v>
      </c>
      <c r="BB3" s="1585"/>
      <c r="BC3" s="1585"/>
      <c r="BD3" s="1585"/>
      <c r="BE3" s="1585" t="s">
        <v>241</v>
      </c>
      <c r="BF3" s="1585"/>
      <c r="BG3" s="1585"/>
      <c r="BH3" s="1585" t="s">
        <v>242</v>
      </c>
      <c r="BI3" s="1585"/>
      <c r="BJ3" s="1585" t="s">
        <v>243</v>
      </c>
      <c r="BK3" s="1585"/>
      <c r="BL3" s="1581" t="s">
        <v>256</v>
      </c>
      <c r="BM3" s="1572" t="s">
        <v>150</v>
      </c>
      <c r="BN3" s="1572"/>
      <c r="BO3" s="1572"/>
      <c r="BP3" s="1572"/>
      <c r="BQ3" s="1670" t="s">
        <v>132</v>
      </c>
      <c r="BR3" s="1670" t="s">
        <v>133</v>
      </c>
      <c r="BS3" s="1672" t="s">
        <v>134</v>
      </c>
      <c r="BT3" s="1507" t="s">
        <v>70</v>
      </c>
      <c r="BU3" s="1507"/>
      <c r="BV3" s="1507" t="s">
        <v>43</v>
      </c>
      <c r="BW3" s="1507"/>
      <c r="BX3" s="1507" t="s">
        <v>71</v>
      </c>
      <c r="BY3" s="1507"/>
      <c r="BZ3" s="1508" t="s">
        <v>72</v>
      </c>
      <c r="CA3" s="1508"/>
      <c r="CB3" s="1511" t="s">
        <v>73</v>
      </c>
      <c r="CC3" s="1511"/>
      <c r="CD3" s="1511"/>
      <c r="CE3" s="1511"/>
      <c r="CF3" s="1686" t="s">
        <v>47</v>
      </c>
      <c r="CG3" s="1507" t="s">
        <v>431</v>
      </c>
      <c r="CH3" s="1507"/>
      <c r="CI3" s="1507"/>
      <c r="CJ3" s="1507"/>
      <c r="CK3" s="1507"/>
      <c r="CL3" s="1679" t="s">
        <v>432</v>
      </c>
      <c r="CM3" s="1679"/>
      <c r="CN3" s="1679"/>
      <c r="CO3" s="1679"/>
      <c r="CP3" s="1679"/>
      <c r="CQ3" s="1680" t="s">
        <v>77</v>
      </c>
      <c r="CR3" s="1681"/>
      <c r="CS3" s="1679" t="s">
        <v>433</v>
      </c>
      <c r="CT3" s="1679"/>
      <c r="CU3" s="1679"/>
      <c r="CV3" s="1679"/>
      <c r="CW3" s="1682"/>
    </row>
    <row r="4" spans="1:101" ht="15" customHeight="1" thickBot="1">
      <c r="A4" s="1768"/>
      <c r="B4" s="1769"/>
      <c r="C4" s="855" t="s">
        <v>5</v>
      </c>
      <c r="D4" s="855" t="s">
        <v>6</v>
      </c>
      <c r="E4" s="855" t="s">
        <v>7</v>
      </c>
      <c r="F4" s="1770"/>
      <c r="G4" s="1771"/>
      <c r="H4" s="856" t="s">
        <v>10</v>
      </c>
      <c r="I4" s="857" t="s">
        <v>48</v>
      </c>
      <c r="J4" s="857" t="s">
        <v>49</v>
      </c>
      <c r="K4" s="857" t="s">
        <v>50</v>
      </c>
      <c r="L4" s="857" t="s">
        <v>51</v>
      </c>
      <c r="M4" s="857" t="s">
        <v>52</v>
      </c>
      <c r="N4" s="857" t="s">
        <v>53</v>
      </c>
      <c r="O4" s="857" t="s">
        <v>54</v>
      </c>
      <c r="P4" s="858" t="s">
        <v>23</v>
      </c>
      <c r="Q4" s="859" t="s">
        <v>10</v>
      </c>
      <c r="R4" s="860" t="s">
        <v>192</v>
      </c>
      <c r="S4" s="1772"/>
      <c r="T4" s="861" t="s">
        <v>55</v>
      </c>
      <c r="U4" s="861" t="s">
        <v>56</v>
      </c>
      <c r="V4" s="861" t="s">
        <v>57</v>
      </c>
      <c r="W4" s="861" t="s">
        <v>63</v>
      </c>
      <c r="X4" s="861" t="s">
        <v>58</v>
      </c>
      <c r="Y4" s="861" t="s">
        <v>59</v>
      </c>
      <c r="Z4" s="861" t="s">
        <v>55</v>
      </c>
      <c r="AA4" s="861" t="s">
        <v>56</v>
      </c>
      <c r="AB4" s="861" t="s">
        <v>57</v>
      </c>
      <c r="AC4" s="861" t="s">
        <v>58</v>
      </c>
      <c r="AD4" s="861" t="s">
        <v>60</v>
      </c>
      <c r="AE4" s="861" t="s">
        <v>61</v>
      </c>
      <c r="AF4" s="861" t="s">
        <v>57</v>
      </c>
      <c r="AG4" s="861" t="s">
        <v>62</v>
      </c>
      <c r="AH4" s="861" t="s">
        <v>63</v>
      </c>
      <c r="AI4" s="861" t="s">
        <v>64</v>
      </c>
      <c r="AJ4" s="861" t="s">
        <v>65</v>
      </c>
      <c r="AK4" s="861" t="s">
        <v>66</v>
      </c>
      <c r="AL4" s="861" t="s">
        <v>200</v>
      </c>
      <c r="AM4" s="861" t="s">
        <v>67</v>
      </c>
      <c r="AN4" s="1773"/>
      <c r="AO4" s="862" t="s">
        <v>49</v>
      </c>
      <c r="AP4" s="862" t="s">
        <v>50</v>
      </c>
      <c r="AQ4" s="1774"/>
      <c r="AR4" s="649" t="s">
        <v>212</v>
      </c>
      <c r="AS4" s="649" t="s">
        <v>214</v>
      </c>
      <c r="AT4" s="649" t="s">
        <v>215</v>
      </c>
      <c r="AU4" s="649" t="s">
        <v>217</v>
      </c>
      <c r="AV4" s="649" t="s">
        <v>219</v>
      </c>
      <c r="AW4" s="649" t="s">
        <v>225</v>
      </c>
      <c r="AX4" s="649" t="s">
        <v>244</v>
      </c>
      <c r="AY4" s="649" t="s">
        <v>246</v>
      </c>
      <c r="AZ4" s="1775"/>
      <c r="BA4" s="863" t="s">
        <v>230</v>
      </c>
      <c r="BB4" s="863" t="s">
        <v>229</v>
      </c>
      <c r="BC4" s="863" t="s">
        <v>231</v>
      </c>
      <c r="BD4" s="863" t="s">
        <v>232</v>
      </c>
      <c r="BE4" s="863" t="s">
        <v>233</v>
      </c>
      <c r="BF4" s="863" t="s">
        <v>234</v>
      </c>
      <c r="BG4" s="863" t="s">
        <v>235</v>
      </c>
      <c r="BH4" s="863" t="s">
        <v>236</v>
      </c>
      <c r="BI4" s="863" t="s">
        <v>237</v>
      </c>
      <c r="BJ4" s="863" t="s">
        <v>238</v>
      </c>
      <c r="BK4" s="863" t="s">
        <v>239</v>
      </c>
      <c r="BL4" s="1776"/>
      <c r="BM4" s="649" t="s">
        <v>145</v>
      </c>
      <c r="BN4" s="649" t="s">
        <v>146</v>
      </c>
      <c r="BO4" s="649" t="s">
        <v>147</v>
      </c>
      <c r="BP4" s="649" t="s">
        <v>257</v>
      </c>
      <c r="BQ4" s="1777"/>
      <c r="BR4" s="1777"/>
      <c r="BS4" s="1778"/>
      <c r="BT4" s="864" t="s">
        <v>79</v>
      </c>
      <c r="BU4" s="865" t="s">
        <v>80</v>
      </c>
      <c r="BV4" s="864" t="s">
        <v>79</v>
      </c>
      <c r="BW4" s="865" t="s">
        <v>80</v>
      </c>
      <c r="BX4" s="864" t="s">
        <v>79</v>
      </c>
      <c r="BY4" s="865" t="s">
        <v>80</v>
      </c>
      <c r="BZ4" s="866" t="s">
        <v>79</v>
      </c>
      <c r="CA4" s="867" t="s">
        <v>80</v>
      </c>
      <c r="CB4" s="868" t="s">
        <v>70</v>
      </c>
      <c r="CC4" s="868" t="s">
        <v>43</v>
      </c>
      <c r="CD4" s="868" t="s">
        <v>71</v>
      </c>
      <c r="CE4" s="868" t="s">
        <v>72</v>
      </c>
      <c r="CF4" s="1779"/>
      <c r="CG4" s="865" t="s">
        <v>70</v>
      </c>
      <c r="CH4" s="865" t="s">
        <v>43</v>
      </c>
      <c r="CI4" s="865" t="s">
        <v>71</v>
      </c>
      <c r="CJ4" s="868" t="s">
        <v>72</v>
      </c>
      <c r="CK4" s="868" t="s">
        <v>73</v>
      </c>
      <c r="CL4" s="865" t="s">
        <v>70</v>
      </c>
      <c r="CM4" s="865" t="s">
        <v>43</v>
      </c>
      <c r="CN4" s="865" t="s">
        <v>71</v>
      </c>
      <c r="CO4" s="868" t="s">
        <v>72</v>
      </c>
      <c r="CP4" s="868" t="s">
        <v>73</v>
      </c>
      <c r="CQ4" s="869" t="s">
        <v>90</v>
      </c>
      <c r="CR4" s="870" t="s">
        <v>91</v>
      </c>
      <c r="CS4" s="865" t="s">
        <v>70</v>
      </c>
      <c r="CT4" s="865" t="s">
        <v>43</v>
      </c>
      <c r="CU4" s="865" t="s">
        <v>71</v>
      </c>
      <c r="CV4" s="868" t="s">
        <v>72</v>
      </c>
      <c r="CW4" s="871" t="s">
        <v>73</v>
      </c>
    </row>
    <row r="5" spans="1:101" ht="15.75" customHeight="1">
      <c r="A5" s="872">
        <f>'09월 조업일지'!A12</f>
        <v>46266</v>
      </c>
      <c r="B5" s="873">
        <f>COUNTIF('09월 조업일지'!$A$12:$A$952,A5)</f>
        <v>30</v>
      </c>
      <c r="C5" s="874">
        <f>IF(B5&lt;1,"",E5-D5)</f>
        <v>47.199999999999996</v>
      </c>
      <c r="D5" s="874">
        <f>IF($B5&lt;1,"",(SUMIF('09월 조업일지'!$A$12:$A$952,$A5,'09월 조업일지'!$K$12:$K$952))/B5)</f>
        <v>0.2</v>
      </c>
      <c r="E5" s="874">
        <f>IF($B5&lt;1,"",AVERAGEIF('09월 조업일지'!$A$12:$A$952,$A5,'09월 조업일지'!$J$12:$J$952))</f>
        <v>47.4</v>
      </c>
      <c r="F5" s="875">
        <f>IF($B5&lt;1,"",AVERAGEIF('09월 에너지'!$A$14:$A$949,$A5,'09월 에너지'!$M$14:M$949))</f>
        <v>45.840000000000011</v>
      </c>
      <c r="G5" s="876">
        <f>IF($B5&lt;1,"",AVERAGEIF('09월 조업일지'!$A$12:$A$952,$A5,'09월 조업일지'!$AJ$12:$AJ$952))</f>
        <v>38.466666666666669</v>
      </c>
      <c r="H5" s="876">
        <f>IF($B5&lt;1,"",AVERAGEIF('09월 조업일지'!$A$12:$A$952,$A5,'09월 조업일지'!$AL$12:$AL$952))</f>
        <v>9.2758620689655178</v>
      </c>
      <c r="I5" s="877">
        <f>IF($B5&lt;1,"",AVERAGEIF('09월 화학성분'!$A$12:$A$949,$A5,'09월 화학성분'!G$12:G$949))</f>
        <v>9.0666666666666664</v>
      </c>
      <c r="J5" s="877">
        <f>IF($B5&lt;1,"",AVERAGEIF('09월 화학성분'!$A$12:$A$949,$A5,'09월 화학성분'!H$12:H$949))</f>
        <v>19.766666666666666</v>
      </c>
      <c r="K5" s="877">
        <f>IF($B5&lt;1,"",AVERAGEIF('09월 화학성분'!$A$12:$A$949,$A5,'09월 화학성분'!I$12:I$949))</f>
        <v>54.366666666666667</v>
      </c>
      <c r="L5" s="877">
        <f>IF($B5&lt;1,"",AVERAGEIF('09월 화학성분'!$A$12:$A$949,$A5,'09월 화학성분'!J$12:J$949))</f>
        <v>14.7</v>
      </c>
      <c r="M5" s="877">
        <f>IF($B5&lt;1,"",AVERAGEIF('09월 화학성분'!$A$12:$A$949,$A5,'09월 화학성분'!K$12:K$949))</f>
        <v>29.566666666666666</v>
      </c>
      <c r="N5" s="877">
        <f>IF($B5&lt;1,"",AVERAGEIF('09월 화학성분'!$A$12:$A$949,$A5,'09월 화학성분'!L$12:L$949))</f>
        <v>12.533333333333333</v>
      </c>
      <c r="O5" s="877">
        <f>IF($B5&lt;1,"",AVERAGEIF('09월 화학성분'!$A$12:$A$949,$A5,'09월 화학성분'!M$12:M$949))</f>
        <v>10.3</v>
      </c>
      <c r="P5" s="878">
        <f>IF($B5&lt;1,"",AVERAGEIF('09월 조업일지'!$A$12:$A$952,$A5,'09월 조업일지'!$AK$12:$AK$952))</f>
        <v>592.51724137931035</v>
      </c>
      <c r="Q5" s="877">
        <f>IF($B5&lt;1,"",AVERAGEIF('09월 화학성분'!$A$12:$A$949,$A5,'09월 화학성분'!$G$12:$G$949))</f>
        <v>9.0666666666666664</v>
      </c>
      <c r="R5" s="878">
        <f>IF($B5&lt;1,"",AVERAGEIF('09월 조업일지'!$A$12:$A$952,$A5,'09월 조업일지'!$AI$12:$AI$952))</f>
        <v>1571.6666666666667</v>
      </c>
      <c r="S5" s="877">
        <f>IF($B5&lt;1,"",AVERAGEIF('09월 화학성분'!$A$12:$A$949,$A5,'09월 화학성분'!$AM$12:$AM$949))</f>
        <v>2039.9666666666667</v>
      </c>
      <c r="T5" s="879">
        <f>IF($B5&lt;1,"",AVERAGEIF('09월 화학성분'!$A$12:$A$949,$A5,'09월 화학성분'!N$12:N$949))</f>
        <v>417.46666666666664</v>
      </c>
      <c r="U5" s="879" t="e">
        <f>IF($B5&lt;1,"",AVERAGEIF('09월 화학성분'!$A$12:$A$949,$A5,'09월 화학성분'!O$12:O$949))</f>
        <v>#DIV/0!</v>
      </c>
      <c r="V5" s="879">
        <f>IF($B5&lt;1,"",AVERAGEIF('09월 화학성분'!$A$12:$A$949,$A5,'09월 화학성분'!P$12:P$949))</f>
        <v>1002.5</v>
      </c>
      <c r="W5" s="879">
        <f>IF($B5&lt;1,"",AVERAGEIF('09월 화학성분'!$A$12:$A$949,$A5,'09월 화학성분'!Q$12:Q$949))</f>
        <v>954.7</v>
      </c>
      <c r="X5" s="879" t="e">
        <f>IF($B5&lt;1,"",AVERAGEIF('09월 화학성분'!$A$12:$A$949,$A5,'09월 화학성분'!R$12:R$949))</f>
        <v>#DIV/0!</v>
      </c>
      <c r="Y5" s="879">
        <f>IF($B5&lt;1,"",AVERAGEIF('09월 화학성분'!$A$12:$A$949,$A5,'09월 화학성분'!U$12:U$949))</f>
        <v>0</v>
      </c>
      <c r="Z5" s="879">
        <f>IF($B5&lt;1,"",AVERAGEIF('09월 화학성분'!$A$12:$A$949,$A5,'09월 화학성분'!V$12:V$949))</f>
        <v>402.1</v>
      </c>
      <c r="AA5" s="879" t="e">
        <f>IF($B5&lt;1,"",AVERAGEIF('09월 화학성분'!$A$12:$A$949,$A5,'09월 화학성분'!W$12:W$949))</f>
        <v>#DIV/0!</v>
      </c>
      <c r="AB5" s="879" t="e">
        <f>IF($B5&lt;1,"",AVERAGEIF('09월 화학성분'!$A$12:$A$949,$A5,'09월 화학성분'!AA$12:AA$949))</f>
        <v>#DIV/0!</v>
      </c>
      <c r="AC5" s="879" t="e">
        <f>IF($B5&lt;1,"",AVERAGEIF('09월 화학성분'!$A$12:$A$949,$A5,'09월 화학성분'!#REF!))</f>
        <v>#REF!</v>
      </c>
      <c r="AD5" s="879">
        <f>IF($B5&lt;1,"",AVERAGEIF('09월 화학성분'!$A$12:$A$949,$A5,'09월 화학성분'!AB$12:AB$949))</f>
        <v>0</v>
      </c>
      <c r="AE5" s="879" t="e">
        <f>IF($B5&lt;1,"",AVERAGEIF('09월 화학성분'!$A$12:$A$949,$A5,'09월 화학성분'!AC$12:AC$949))</f>
        <v>#DIV/0!</v>
      </c>
      <c r="AF5" s="879">
        <f>IF($B5&lt;1,"",AVERAGEIF('09월 화학성분'!$A$12:$A$949,$A5,'09월 화학성분'!AD$12:AD$949))</f>
        <v>272.56666666666666</v>
      </c>
      <c r="AG5" s="879">
        <f>IF($B5&lt;1,"",AVERAGEIF('09월 화학성분'!$A$12:$A$949,$A5,'09월 화학성분'!AF$12:AF$949))</f>
        <v>0</v>
      </c>
      <c r="AH5" s="879">
        <f>IF($B5&lt;1,"",AVERAGEIF('09월 화학성분'!$A$12:$A$949,$A5,'09월 화학성분'!AG$12:AG$949))</f>
        <v>105.06666666666666</v>
      </c>
      <c r="AI5" s="879">
        <f>IF($B5&lt;1,"",AVERAGEIF('09월 화학성분'!$A$12:$A$949,$A5,'09월 화학성분'!AH$12:AH$949))</f>
        <v>891.4666666666667</v>
      </c>
      <c r="AJ5" s="879">
        <f>IF($B5&lt;1,"",AVERAGEIF('09월 화학성분'!$A$12:$A$949,$A5,'09월 화학성분'!AI$12:AI$949))</f>
        <v>319.93333333333334</v>
      </c>
      <c r="AK5" s="879">
        <f>IF($B5&lt;1,"",AVERAGEIF('09월 화학성분'!$A$12:$A$949,$A5,'09월 화학성분'!AJ$12:AJ$949))</f>
        <v>81.433333333333337</v>
      </c>
      <c r="AL5" s="879" t="e">
        <f>IF($B5&lt;1,"",AVERAGEIF('09월 화학성분'!$A$12:$A$949,$A5,'09월 화학성분'!#REF!))</f>
        <v>#REF!</v>
      </c>
      <c r="AM5" s="879">
        <f>IF($B5&lt;1,"",AVERAGEIF('09월 화학성분'!$A$12:$A$949,$A5,'09월 화학성분'!AL$12:AL$949))</f>
        <v>128.33333333333334</v>
      </c>
      <c r="AN5" s="879">
        <f>IF($B5&lt;1,"",AVERAGEIF('09월 화학성분'!$A$12:$A$949,$A5,'09월 화학성분'!AM$12:AM$949))</f>
        <v>2039.9666666666667</v>
      </c>
      <c r="AO5" s="880">
        <f>IF($B5&lt;1,"",AVERAGEIF('09월 화학성분'!$A$12:$A$949,$A5,'09월 화학성분'!AN$12:AN$949))</f>
        <v>0.77177932409084338</v>
      </c>
      <c r="AP5" s="880">
        <f>IF($B5&lt;1,"",AVERAGEIF('09월 화학성분'!$A$12:$A$949,$A5,'09월 화학성분'!AO$12:AO$949))</f>
        <v>0.90918867135307346</v>
      </c>
      <c r="AQ5" s="879">
        <f>IF($B5&lt;1,"",AVERAGEIF('09월 화학성분'!$A$12:$A$949,$A5,'09월 화학성분'!AP$12:AP$949))</f>
        <v>144.58666666666667</v>
      </c>
      <c r="AR5" s="879" t="e">
        <f>IF($B5&lt;1,"",AVERAGEIF('09월 고철장입'!$A$14:$A$949,$A5,'09월 고철장입'!G$14:G$949)/1000)</f>
        <v>#DIV/0!</v>
      </c>
      <c r="AS5" s="879" t="e">
        <f>IF($B5&lt;1,"",AVERAGEIF('09월 고철장입'!$A$14:$A$949,$A5,'09월 고철장입'!H$14:H$949)/1000)</f>
        <v>#DIV/0!</v>
      </c>
      <c r="AT5" s="879" t="e">
        <f>IF($B5&lt;1,"",AVERAGEIF('09월 고철장입'!$A$14:$A$949,$A5,'09월 고철장입'!I$14:I$949)/1000)</f>
        <v>#DIV/0!</v>
      </c>
      <c r="AU5" s="879" t="e">
        <f>IF($B5&lt;1,"",AVERAGEIF('09월 고철장입'!$A$14:$A$949,$A5,'09월 고철장입'!J$14:J$949)/1000)</f>
        <v>#DIV/0!</v>
      </c>
      <c r="AV5" s="879" t="e">
        <f>IF($B5&lt;1,"",AVERAGEIF('09월 고철장입'!$A$14:$A$949,$A5,'09월 고철장입'!K$14:K$949)/1000)</f>
        <v>#DIV/0!</v>
      </c>
      <c r="AW5" s="879" t="e">
        <f>IF($B5&lt;1,"",AVERAGEIF('09월 고철장입'!$A$14:$A$949,$A5,'09월 고철장입'!L$14:L$949)/1000)</f>
        <v>#DIV/0!</v>
      </c>
      <c r="AX5" s="879" t="e">
        <f>IF($B5&lt;1,"",AVERAGEIF('09월 고철장입'!$A$14:$A$949,$A5,'09월 고철장입'!M$14:M$949)/1000)</f>
        <v>#DIV/0!</v>
      </c>
      <c r="AY5" s="879" t="e">
        <f>IF($B5&lt;1,"",AVERAGEIF('09월 고철장입'!$A$14:$A$949,$A5,'09월 고철장입'!N$14:N$949)/1000)</f>
        <v>#DIV/0!</v>
      </c>
      <c r="AZ5" s="879" t="e">
        <f>IF($B5&lt;1,"",AVERAGEIF('09월 고철장입'!$A$14:$A$949,$A5,'09월 고철장입'!O$14:O$949)/1000)</f>
        <v>#DIV/0!</v>
      </c>
      <c r="BA5" s="879">
        <f>IF($B5&lt;1,"",AVERAGEIF('09월 고철장입'!$A$14:$A$949,$A5,'09월 고철장입'!P$14:P$949)/1000)</f>
        <v>47.106666666666662</v>
      </c>
      <c r="BB5" s="879">
        <f>IF($B5&lt;1,"",AVERAGEIF('09월 고철장입'!$A$14:$A$949,$A5,'09월 고철장입'!Q$14:Q$949)/1000)</f>
        <v>15.33</v>
      </c>
      <c r="BC5" s="879">
        <f>IF($B5&lt;1,"",AVERAGEIF('09월 고철장입'!$A$14:$A$949,$A5,'09월 고철장입'!S$14:S$949)/1000)</f>
        <v>0</v>
      </c>
      <c r="BD5" s="879">
        <f>IF($B5&lt;1,"",AVERAGEIF('09월 고철장입'!$A$14:$A$949,$A5,'09월 고철장입'!T$14:T$949)/1000)</f>
        <v>0</v>
      </c>
      <c r="BE5" s="879">
        <f>IF($B5&lt;1,"",AVERAGEIF('09월 고철장입'!$A$14:$A$949,$A5,'09월 고철장입'!U$14:U$949)/1000)</f>
        <v>9.5533333333333346</v>
      </c>
      <c r="BF5" s="879">
        <f>IF($B5&lt;1,"",AVERAGEIF('09월 고철장입'!$A$14:$A$949,$A5,'09월 고철장입'!V$14:V$949)/1000)</f>
        <v>22.19</v>
      </c>
      <c r="BG5" s="879">
        <f>IF($B5&lt;1,"",AVERAGEIF('09월 고철장입'!$A$14:$A$949,$A5,'09월 고철장입'!W$14:W$949)/1000)</f>
        <v>2.9068965517241381</v>
      </c>
      <c r="BH5" s="879">
        <f>IF($B5&lt;1,"",AVERAGEIF('09월 고철장입'!$A$14:$A$949,$A5,'09월 고철장입'!Y$14:Y$949)/1000)</f>
        <v>19.526666666666667</v>
      </c>
      <c r="BI5" s="879">
        <f>IF($B5&lt;1,"",AVERAGEIF('09월 고철장입'!$A$14:$A$949,$A5,'09월 고철장입'!AB$14:AB$949)/1000)</f>
        <v>2.4533333333333336</v>
      </c>
      <c r="BJ5" s="879">
        <f>IF($B5&lt;1,"",AVERAGEIF('09월 고철장입'!$A$14:$A$949,$A5,'09월 고철장입'!AC$14:AC$949)/1000)</f>
        <v>2.3107142857142859</v>
      </c>
      <c r="BK5" s="879">
        <f>IF($B5&lt;1,"",AVERAGEIF('09월 고철장입'!$A$14:$A$949,$A5,'09월 고철장입'!AD$14:AD$949)/1000)</f>
        <v>2.7740740740740737</v>
      </c>
      <c r="BL5" s="879">
        <f>IF($B5&lt;1,"",AVERAGEIF('09월 고철장입'!$A$14:$A$949,$A5,'09월 고철장입'!AE$14:AE$949)/1000)</f>
        <v>142.77000000000001</v>
      </c>
      <c r="BM5" s="879">
        <f>IF($B5&lt;1,"",AVERAGEIF('09월 고철장입'!$A$14:$A$949,$A5,'09월 고철장입'!AF$14:AF$949)/1000)</f>
        <v>3.3071428571428574</v>
      </c>
      <c r="BN5" s="879">
        <f>IF($B5&lt;1,"",AVERAGEIF('09월 고철장입'!$A$14:$A$949,$A5,'09월 고철장입'!AG$14:AG$949)/1000)</f>
        <v>8.5666666666666664</v>
      </c>
      <c r="BO5" s="879">
        <f>IF($B5&lt;1,"",AVERAGEIF('09월 고철장입'!$A$14:$A$949,$A5,'09월 고철장입'!AH$14:AH$949)/1000)</f>
        <v>5.12</v>
      </c>
      <c r="BP5" s="879">
        <f>IF($B5&lt;1,"",AVERAGEIF('09월 고철장입'!$A$14:$A$949,$A5,'09월 고철장입'!AI$14:AI$949)/1000)</f>
        <v>16.773333333333333</v>
      </c>
      <c r="BQ5" s="879">
        <f>IF($B5&lt;1,"",AVERAGEIF('09월 고철장입'!$A$14:$A$949,$A5,'09월 고철장입'!AJ$14:AJ$949)/1000)</f>
        <v>159.54333333333335</v>
      </c>
      <c r="BR5" s="879">
        <f>IF($B5&lt;1,"",AVERAGEIF('09월 고철장입'!$A$14:$A$949,$A5,'09월 고철장입'!AK$14:AK$949))</f>
        <v>144.58666666666667</v>
      </c>
      <c r="BS5" s="879">
        <f>IF($B5&lt;1,"",AVERAGEIF('09월 고철장입'!$A$14:$A$949,$A5,'09월 고철장입'!AL$14:AL$949)*100)</f>
        <v>90.648471815822916</v>
      </c>
      <c r="BT5" s="879">
        <f>IF($B5&lt;1,"",AVERAGEIF('09월 에너지'!$A$14:$A$949,$A5,'09월 에너지'!G$14:G$949))</f>
        <v>19.809999999999999</v>
      </c>
      <c r="BU5" s="881">
        <f>IF($B5&lt;1,"",AVERAGEIF('09월 에너지'!$A$14:$A$949,$A5,'09월 에너지'!H$14:H$949))</f>
        <v>23066.666666666668</v>
      </c>
      <c r="BV5" s="879">
        <f>IF($B5&lt;1,"",AVERAGEIF('09월 에너지'!$A$14:$A$949,$A5,'09월 에너지'!I$14:I$949))</f>
        <v>16.876666666666669</v>
      </c>
      <c r="BW5" s="881">
        <f>IF($B5&lt;1,"",AVERAGEIF('09월 에너지'!$A$14:$A$949,$A5,'09월 에너지'!J$14:J$949))</f>
        <v>20590</v>
      </c>
      <c r="BX5" s="879">
        <f>IF($B5&lt;1,"",AVERAGEIF('09월 에너지'!$A$14:$A$949,$A5,'09월 에너지'!K$14:K$949))</f>
        <v>9.153333333333336</v>
      </c>
      <c r="BY5" s="881">
        <f>IF($B5&lt;1,"",AVERAGEIF('09월 에너지'!$A$14:$A$949,$A5,'09월 에너지'!L$14:L$949))</f>
        <v>11633.333333333334</v>
      </c>
      <c r="BZ5" s="879">
        <f>IF($B5&lt;1,"",AVERAGEIF('09월 에너지'!$A$14:$A$949,$A5,'09월 에너지'!M$14:M$949))</f>
        <v>45.840000000000011</v>
      </c>
      <c r="CA5" s="881">
        <f>IF($B5&lt;1,"",AVERAGEIF('09월 에너지'!$A$14:$A$949,$A5,'09월 에너지'!N$14:N$949))</f>
        <v>55290</v>
      </c>
      <c r="CB5" s="879">
        <f>IF($B5&lt;1,"",AVERAGEIF('09월 에너지'!$A$14:$A$949,$A5,'09월 에너지'!O$14:O$949))</f>
        <v>159.61577051526456</v>
      </c>
      <c r="CC5" s="879">
        <f>IF($B5&lt;1,"",AVERAGEIF('09월 에너지'!$A$14:$A$949,$A5,'09월 에너지'!P$14:P$949))</f>
        <v>142.47757911671084</v>
      </c>
      <c r="CD5" s="879">
        <f>IF($B5&lt;1,"",AVERAGEIF('09월 에너지'!$A$14:$A$949,$A5,'09월 에너지'!Q$14:Q$949))</f>
        <v>80.426746516337772</v>
      </c>
      <c r="CE5" s="879">
        <f>IF($B5&lt;1,"",AVERAGEIF('09월 에너지'!$A$14:$A$949,$A5,'09월 에너지'!R$14:R$949))</f>
        <v>382.52009614831326</v>
      </c>
      <c r="CF5" s="879">
        <f>IF($B5&lt;1,"",AVERAGEIF('09월 에너지'!$A$14:$A$949,$A5,'09월 에너지'!S$14:S$949))</f>
        <v>144.58666666666667</v>
      </c>
      <c r="CG5" s="879">
        <f>IF($B5&lt;1,"",AVERAGEIF('09월 에너지'!$A$14:$A$949,$A5,'09월 에너지'!T$14:T$949))</f>
        <v>0.36666666666666664</v>
      </c>
      <c r="CH5" s="879">
        <f>IF($B5&lt;1,"",AVERAGEIF('09월 에너지'!$A$14:$A$949,$A5,'09월 에너지'!U$14:U$949))</f>
        <v>122.4</v>
      </c>
      <c r="CI5" s="881">
        <f>IF($B5&lt;1,"",AVERAGEIF('09월 에너지'!$A$14:$A$949,$A5,'09월 에너지'!V$14:V$949))</f>
        <v>221</v>
      </c>
      <c r="CJ5" s="881">
        <f>IF($B5&lt;1,"",AVERAGEIF('09월 에너지'!$A$14:$A$949,$A5,'09월 에너지'!W$14:W$949))</f>
        <v>343.76666666666665</v>
      </c>
      <c r="CK5" s="879">
        <f>IF($B5&lt;1,"",AVERAGEIF('09월 에너지'!$A$14:$A$949,$A5,'09월 에너지'!X$14:X$949))</f>
        <v>2.3775991424835921</v>
      </c>
      <c r="CL5" s="881">
        <f>IF($B5&lt;1,"",AVERAGEIF('09월 에너지'!$A$14:$A$949,$A5,'09월 에너지'!Y$14:Y$949))</f>
        <v>1629.6</v>
      </c>
      <c r="CM5" s="881">
        <f>IF($B5&lt;1,"",AVERAGEIF('09월 에너지'!$A$14:$A$949,$A5,'09월 에너지'!Z$14:Z$949))</f>
        <v>1415</v>
      </c>
      <c r="CN5" s="881">
        <f>IF($B5&lt;1,"",AVERAGEIF('09월 에너지'!$A$14:$A$949,$A5,'09월 에너지'!AA$14:AA$949))</f>
        <v>819.9666666666667</v>
      </c>
      <c r="CO5" s="881">
        <f>IF($B5&lt;1,"",AVERAGEIF('09월 에너지'!$A$14:$A$949,$A5,'09월 에너지'!AB$14:AB$949))</f>
        <v>3864.5666666666666</v>
      </c>
      <c r="CP5" s="879">
        <f>IF($B5&lt;1,"",AVERAGEIF('09월 에너지'!$A$14:$A$949,$A5,'09월 에너지'!AC$14:AC$949))</f>
        <v>26.746522265374903</v>
      </c>
      <c r="CQ5" s="877">
        <f>IF($B5&lt;1,"",AVERAGEIF('09월 에너지'!$A$14:$A$949,$A5,'09월 에너지'!AD$14:AD$949))</f>
        <v>4208.333333333333</v>
      </c>
      <c r="CR5" s="877">
        <f>IF($B5&lt;1,"",AVERAGEIF('09월 에너지'!$A$14:$A$949,$A5,'09월 에너지'!AE$14:AE$949))</f>
        <v>29.124121407858492</v>
      </c>
      <c r="CS5" s="879">
        <f>IF($B5&lt;1,"",AVERAGEIF('09월 에너지'!$A$14:$A$949,$A5,'09월 에너지'!AF$14:AF$949))</f>
        <v>81.666666666666671</v>
      </c>
      <c r="CT5" s="879">
        <f>IF($B5&lt;1,"",AVERAGEIF('09월 에너지'!$A$14:$A$949,$A5,'09월 에너지'!AG$14:AG$949))</f>
        <v>65.599999999999994</v>
      </c>
      <c r="CU5" s="879">
        <f>IF($B5&lt;1,"",AVERAGEIF('09월 에너지'!$A$14:$A$949,$A5,'09월 에너지'!AH$14:AH$949))</f>
        <v>11.466666666666667</v>
      </c>
      <c r="CV5" s="879">
        <f>IF($B5&lt;1,"",AVERAGEIF('09월 에너지'!$A$14:$A$949,$A5,'09월 에너지'!AI$14:AI$949))</f>
        <v>158.73333333333332</v>
      </c>
      <c r="CW5" s="882">
        <f>IF($B5&lt;1,"",AVERAGEIF('09월 에너지'!$A$14:$A$949,$A5,'09월 에너지'!AJ$14:AJ$949))</f>
        <v>1.0988573819203669</v>
      </c>
    </row>
    <row r="6" spans="1:101" ht="15.75" customHeight="1">
      <c r="A6" s="883">
        <f>A5+1</f>
        <v>46267</v>
      </c>
      <c r="B6" s="884">
        <f>COUNTIF('09월 조업일지'!$A$12:$A$952,A6)</f>
        <v>31</v>
      </c>
      <c r="C6" s="885">
        <f t="shared" ref="C6:C35" si="0">IF(B6&lt;1,"",E6-D6)</f>
        <v>46.70967741935484</v>
      </c>
      <c r="D6" s="885">
        <f>IF($B6&lt;1,"",(SUMIF('09월 조업일지'!$A$12:$A$952,$A6,'09월 조업일지'!$K$12:$K$952))/B6)</f>
        <v>0.32258064516129031</v>
      </c>
      <c r="E6" s="885">
        <f>IF($B6&lt;1,"",AVERAGEIF('09월 조업일지'!$A$12:$A$952,$A6,'09월 조업일지'!$J$12:$J$952))</f>
        <v>47.032258064516128</v>
      </c>
      <c r="F6" s="886">
        <f>IF($B6&lt;1,"",AVERAGEIF('09월 에너지'!$A$14:$A$949,$A6,'09월 에너지'!$M$14:M$949))</f>
        <v>45.474193548387092</v>
      </c>
      <c r="G6" s="887">
        <f>IF($B6&lt;1,"",AVERAGEIF('09월 조업일지'!$A$12:$A$952,$A6,'09월 조업일지'!$AJ$12:$AJ$952))</f>
        <v>22.612903225806452</v>
      </c>
      <c r="H6" s="887">
        <f>IF($B6&lt;1,"",AVERAGEIF('09월 조업일지'!$A$12:$A$952,$A6,'09월 조업일지'!$AL$12:$AL$952))</f>
        <v>6.8620689655172411</v>
      </c>
      <c r="I6" s="888">
        <f>IF($B6&lt;1,"",AVERAGEIF('09월 화학성분'!$A$12:$A$949,$A6,'09월 화학성분'!G$12:G$949))</f>
        <v>9.193548387096774</v>
      </c>
      <c r="J6" s="888">
        <f>IF($B6&lt;1,"",AVERAGEIF('09월 화학성분'!$A$12:$A$949,$A6,'09월 화학성분'!H$12:H$949))</f>
        <v>20.806451612903224</v>
      </c>
      <c r="K6" s="888">
        <f>IF($B6&lt;1,"",AVERAGEIF('09월 화학성분'!$A$12:$A$949,$A6,'09월 화학성분'!I$12:I$949))</f>
        <v>51.967741935483872</v>
      </c>
      <c r="L6" s="888">
        <f>IF($B6&lt;1,"",AVERAGEIF('09월 화학성분'!$A$12:$A$949,$A6,'09월 화학성분'!J$12:J$949))</f>
        <v>14.580645161290322</v>
      </c>
      <c r="M6" s="888">
        <f>IF($B6&lt;1,"",AVERAGEIF('09월 화학성분'!$A$12:$A$949,$A6,'09월 화학성분'!K$12:K$949))</f>
        <v>42.225806451612904</v>
      </c>
      <c r="N6" s="888">
        <f>IF($B6&lt;1,"",AVERAGEIF('09월 화학성분'!$A$12:$A$949,$A6,'09월 화학성분'!L$12:L$949))</f>
        <v>11.67741935483871</v>
      </c>
      <c r="O6" s="888">
        <f>IF($B6&lt;1,"",AVERAGEIF('09월 화학성분'!$A$12:$A$949,$A6,'09월 화학성분'!M$12:M$949))</f>
        <v>9.9032258064516121</v>
      </c>
      <c r="P6" s="889">
        <f>IF($B6&lt;1,"",AVERAGEIF('09월 조업일지'!$A$12:$A$952,$A6,'09월 조업일지'!$AK$12:$AK$952))</f>
        <v>622.13793103448279</v>
      </c>
      <c r="Q6" s="888">
        <f>IF($B6&lt;1,"",AVERAGEIF('09월 화학성분'!$A$12:$A$949,$A6,'09월 화학성분'!$G$12:$G$949))</f>
        <v>9.193548387096774</v>
      </c>
      <c r="R6" s="889">
        <f>IF($B6&lt;1,"",AVERAGEIF('09월 조업일지'!$A$12:$A$952,$A6,'09월 조업일지'!$AI$12:$AI$952))</f>
        <v>1578.5806451612902</v>
      </c>
      <c r="S6" s="888">
        <f>IF($B6&lt;1,"",AVERAGEIF('09월 화학성분'!$A$12:$A$949,$A6,'09월 화학성분'!$AM$12:$AM$949))</f>
        <v>1944.0322580645161</v>
      </c>
      <c r="T6" s="890">
        <f>IF($B6&lt;1,"",AVERAGEIF('09월 화학성분'!$A$12:$A$949,$A6,'09월 화학성분'!N$12:N$949))</f>
        <v>417.48387096774195</v>
      </c>
      <c r="U6" s="890" t="e">
        <f>IF($B6&lt;1,"",AVERAGEIF('09월 화학성분'!$A$12:$A$949,$A6,'09월 화학성분'!O$12:O$949))</f>
        <v>#DIV/0!</v>
      </c>
      <c r="V6" s="890">
        <f>IF($B6&lt;1,"",AVERAGEIF('09월 화학성분'!$A$12:$A$949,$A6,'09월 화학성분'!P$12:P$949))</f>
        <v>1010.1935483870968</v>
      </c>
      <c r="W6" s="890">
        <f>IF($B6&lt;1,"",AVERAGEIF('09월 화학성분'!$A$12:$A$949,$A6,'09월 화학성분'!Q$12:Q$949))</f>
        <v>952.38709677419354</v>
      </c>
      <c r="X6" s="890" t="e">
        <f>IF($B6&lt;1,"",AVERAGEIF('09월 화학성분'!$A$12:$A$949,$A6,'09월 화학성분'!R$12:R$949))</f>
        <v>#DIV/0!</v>
      </c>
      <c r="Y6" s="890" t="e">
        <f>IF($B6&lt;1,"",AVERAGEIF('09월 화학성분'!$A$12:$A$949,$A6,'09월 화학성분'!U$12:U$949))</f>
        <v>#DIV/0!</v>
      </c>
      <c r="Z6" s="890">
        <f>IF($B6&lt;1,"",AVERAGEIF('09월 화학성분'!$A$12:$A$949,$A6,'09월 화학성분'!V$12:V$949))</f>
        <v>543.93548387096769</v>
      </c>
      <c r="AA6" s="890" t="e">
        <f>IF($B6&lt;1,"",AVERAGEIF('09월 화학성분'!$A$12:$A$949,$A6,'09월 화학성분'!W$12:W$949))</f>
        <v>#DIV/0!</v>
      </c>
      <c r="AB6" s="890" t="e">
        <f>IF($B6&lt;1,"",AVERAGEIF('09월 화학성분'!$A$12:$A$949,$A6,'09월 화학성분'!AA$12:AA$949))</f>
        <v>#DIV/0!</v>
      </c>
      <c r="AC6" s="890" t="e">
        <f>IF($B6&lt;1,"",AVERAGEIF('09월 화학성분'!$A$12:$A$949,$A6,'09월 화학성분'!#REF!))</f>
        <v>#REF!</v>
      </c>
      <c r="AD6" s="890">
        <f>IF($B6&lt;1,"",AVERAGEIF('09월 화학성분'!$A$12:$A$949,$A6,'09월 화학성분'!AB$12:AB$949))</f>
        <v>0</v>
      </c>
      <c r="AE6" s="890" t="e">
        <f>IF($B6&lt;1,"",AVERAGEIF('09월 화학성분'!$A$12:$A$949,$A6,'09월 화학성분'!AC$12:AC$949))</f>
        <v>#DIV/0!</v>
      </c>
      <c r="AF6" s="890">
        <f>IF($B6&lt;1,"",AVERAGEIF('09월 화학성분'!$A$12:$A$949,$A6,'09월 화학성분'!AD$12:AD$949))</f>
        <v>280.45161290322579</v>
      </c>
      <c r="AG6" s="890">
        <f>IF($B6&lt;1,"",AVERAGEIF('09월 화학성분'!$A$12:$A$949,$A6,'09월 화학성분'!AF$12:AF$949))</f>
        <v>0</v>
      </c>
      <c r="AH6" s="890">
        <f>IF($B6&lt;1,"",AVERAGEIF('09월 화학성분'!$A$12:$A$949,$A6,'09월 화학성분'!AG$12:AG$949))</f>
        <v>110.03225806451613</v>
      </c>
      <c r="AI6" s="890">
        <f>IF($B6&lt;1,"",AVERAGEIF('09월 화학성분'!$A$12:$A$949,$A6,'09월 화학성분'!AH$12:AH$949))</f>
        <v>838.80645161290317</v>
      </c>
      <c r="AJ6" s="890">
        <f>IF($B6&lt;1,"",AVERAGEIF('09월 화학성분'!$A$12:$A$949,$A6,'09월 화학성분'!AI$12:AI$949))</f>
        <v>337.80645161290323</v>
      </c>
      <c r="AK6" s="890">
        <f>IF($B6&lt;1,"",AVERAGEIF('09월 화학성분'!$A$12:$A$949,$A6,'09월 화학성분'!AJ$12:AJ$949))</f>
        <v>81.548387096774192</v>
      </c>
      <c r="AL6" s="890" t="e">
        <f>IF($B6&lt;1,"",AVERAGEIF('09월 화학성분'!$A$12:$A$949,$A6,'09월 화학성분'!#REF!))</f>
        <v>#REF!</v>
      </c>
      <c r="AM6" s="890">
        <f>IF($B6&lt;1,"",AVERAGEIF('09월 화학성분'!$A$12:$A$949,$A6,'09월 화학성분'!AL$12:AL$949))</f>
        <v>129.19354838709677</v>
      </c>
      <c r="AN6" s="890">
        <f>IF($B6&lt;1,"",AVERAGEIF('09월 화학성분'!$A$12:$A$949,$A6,'09월 화학성분'!AM$12:AM$949))</f>
        <v>1944.0322580645161</v>
      </c>
      <c r="AO6" s="891">
        <f>IF($B6&lt;1,"",AVERAGEIF('09월 화학성분'!$A$12:$A$949,$A6,'09월 화학성분'!AN$12:AN$949))</f>
        <v>0.78844925191924242</v>
      </c>
      <c r="AP6" s="891">
        <f>IF($B6&lt;1,"",AVERAGEIF('09월 화학성분'!$A$12:$A$949,$A6,'09월 화학성분'!AO$12:AO$949))</f>
        <v>0.90284828898976688</v>
      </c>
      <c r="AQ6" s="890">
        <f>IF($B6&lt;1,"",AVERAGEIF('09월 화학성분'!$A$12:$A$949,$A6,'09월 화학성분'!AP$12:AP$949))</f>
        <v>143.41935483870967</v>
      </c>
      <c r="AR6" s="890" t="e">
        <f>IF($B6&lt;1,"",AVERAGEIF('09월 고철장입'!$A$14:$A$949,$A6,'09월 고철장입'!G$14:G$949)/1000)</f>
        <v>#DIV/0!</v>
      </c>
      <c r="AS6" s="890" t="e">
        <f>IF($B6&lt;1,"",AVERAGEIF('09월 고철장입'!$A$14:$A$949,$A6,'09월 고철장입'!H$14:H$949)/1000)</f>
        <v>#DIV/0!</v>
      </c>
      <c r="AT6" s="890" t="e">
        <f>IF($B6&lt;1,"",AVERAGEIF('09월 고철장입'!$A$14:$A$949,$A6,'09월 고철장입'!I$14:I$949)/1000)</f>
        <v>#DIV/0!</v>
      </c>
      <c r="AU6" s="890" t="e">
        <f>IF($B6&lt;1,"",AVERAGEIF('09월 고철장입'!$A$14:$A$949,$A6,'09월 고철장입'!J$14:J$949)/1000)</f>
        <v>#DIV/0!</v>
      </c>
      <c r="AV6" s="890" t="e">
        <f>IF($B6&lt;1,"",AVERAGEIF('09월 고철장입'!$A$14:$A$949,$A6,'09월 고철장입'!K$14:K$949)/1000)</f>
        <v>#DIV/0!</v>
      </c>
      <c r="AW6" s="890" t="e">
        <f>IF($B6&lt;1,"",AVERAGEIF('09월 고철장입'!$A$14:$A$949,$A6,'09월 고철장입'!L$14:L$949)/1000)</f>
        <v>#DIV/0!</v>
      </c>
      <c r="AX6" s="890" t="e">
        <f>IF($B6&lt;1,"",AVERAGEIF('09월 고철장입'!$A$14:$A$949,$A6,'09월 고철장입'!M$14:M$949)/1000)</f>
        <v>#DIV/0!</v>
      </c>
      <c r="AY6" s="890" t="e">
        <f>IF($B6&lt;1,"",AVERAGEIF('09월 고철장입'!$A$14:$A$949,$A6,'09월 고철장입'!N$14:N$949)/1000)</f>
        <v>#DIV/0!</v>
      </c>
      <c r="AZ6" s="890" t="e">
        <f>IF($B6&lt;1,"",AVERAGEIF('09월 고철장입'!$A$14:$A$949,$A6,'09월 고철장입'!O$14:O$949)/1000)</f>
        <v>#DIV/0!</v>
      </c>
      <c r="BA6" s="890">
        <f>IF($B6&lt;1,"",AVERAGEIF('09월 고철장입'!$A$14:$A$949,$A6,'09월 고철장입'!P$14:P$949)/1000)</f>
        <v>48.196774193548386</v>
      </c>
      <c r="BB6" s="890">
        <f>IF($B6&lt;1,"",AVERAGEIF('09월 고철장입'!$A$14:$A$949,$A6,'09월 고철장입'!Q$14:Q$949)/1000)</f>
        <v>16.27741935483871</v>
      </c>
      <c r="BC6" s="890">
        <f>IF($B6&lt;1,"",AVERAGEIF('09월 고철장입'!$A$14:$A$949,$A6,'09월 고철장입'!S$14:S$949)/1000)</f>
        <v>0</v>
      </c>
      <c r="BD6" s="890">
        <f>IF($B6&lt;1,"",AVERAGEIF('09월 고철장입'!$A$14:$A$949,$A6,'09월 고철장입'!T$14:T$949)/1000)</f>
        <v>0</v>
      </c>
      <c r="BE6" s="890">
        <f>IF($B6&lt;1,"",AVERAGEIF('09월 고철장입'!$A$14:$A$949,$A6,'09월 고철장입'!U$14:U$949)/1000)</f>
        <v>5.7677419354838708</v>
      </c>
      <c r="BF6" s="890">
        <f>IF($B6&lt;1,"",AVERAGEIF('09월 고철장입'!$A$14:$A$949,$A6,'09월 고철장입'!V$14:V$949)/1000)</f>
        <v>23.874193548387098</v>
      </c>
      <c r="BG6" s="890">
        <f>IF($B6&lt;1,"",AVERAGEIF('09월 고철장입'!$A$14:$A$949,$A6,'09월 고철장입'!W$14:W$949)/1000)</f>
        <v>2.8</v>
      </c>
      <c r="BH6" s="890">
        <f>IF($B6&lt;1,"",AVERAGEIF('09월 고철장입'!$A$14:$A$949,$A6,'09월 고철장입'!Y$14:Y$949)/1000)</f>
        <v>19.993548387096773</v>
      </c>
      <c r="BI6" s="890">
        <f>IF($B6&lt;1,"",AVERAGEIF('09월 고철장입'!$A$14:$A$949,$A6,'09월 고철장입'!AB$14:AB$949)/1000)</f>
        <v>1.8870967741935483</v>
      </c>
      <c r="BJ6" s="890">
        <f>IF($B6&lt;1,"",AVERAGEIF('09월 고철장입'!$A$14:$A$949,$A6,'09월 고철장입'!AC$14:AC$949)/1000)</f>
        <v>2.2516129032258063</v>
      </c>
      <c r="BK6" s="890">
        <f>IF($B6&lt;1,"",AVERAGEIF('09월 고철장입'!$A$14:$A$949,$A6,'09월 고철장입'!AD$14:AD$949)/1000)</f>
        <v>3.2483870967741937</v>
      </c>
      <c r="BL6" s="890">
        <f>IF($B6&lt;1,"",AVERAGEIF('09월 고철장입'!$A$14:$A$949,$A6,'09월 고철장입'!AE$14:AE$949)/1000)</f>
        <v>141.19677419354841</v>
      </c>
      <c r="BM6" s="890">
        <f>IF($B6&lt;1,"",AVERAGEIF('09월 고철장입'!$A$14:$A$949,$A6,'09월 고철장입'!AF$14:AF$949)/1000)</f>
        <v>3.5709677419354837</v>
      </c>
      <c r="BN6" s="890">
        <f>IF($B6&lt;1,"",AVERAGEIF('09월 고철장입'!$A$14:$A$949,$A6,'09월 고철장입'!AG$14:AG$949)/1000)</f>
        <v>8.67741935483871</v>
      </c>
      <c r="BO6" s="890">
        <f>IF($B6&lt;1,"",AVERAGEIF('09월 고철장입'!$A$14:$A$949,$A6,'09월 고철장입'!AH$14:AH$949)/1000)</f>
        <v>5.6419354838709674</v>
      </c>
      <c r="BP6" s="890">
        <f>IF($B6&lt;1,"",AVERAGEIF('09월 고철장입'!$A$14:$A$949,$A6,'09월 고철장입'!AI$14:AI$949)/1000)</f>
        <v>17.890322580645162</v>
      </c>
      <c r="BQ6" s="890">
        <f>IF($B6&lt;1,"",AVERAGEIF('09월 고철장입'!$A$14:$A$949,$A6,'09월 고철장입'!AJ$14:AJ$949)/1000)</f>
        <v>159.08709677419355</v>
      </c>
      <c r="BR6" s="890">
        <f>IF($B6&lt;1,"",AVERAGEIF('09월 고철장입'!$A$14:$A$949,$A6,'09월 고철장입'!AK$14:AK$949))</f>
        <v>143.41935483870967</v>
      </c>
      <c r="BS6" s="890">
        <f>IF($B6&lt;1,"",AVERAGEIF('09월 고철장입'!$A$14:$A$949,$A6,'09월 고철장입'!AL$14:AL$949)*100)</f>
        <v>90.157172692241303</v>
      </c>
      <c r="BT6" s="890">
        <f>IF($B6&lt;1,"",AVERAGEIF('09월 에너지'!$A$14:$A$949,$A6,'09월 에너지'!G$14:G$949))</f>
        <v>19.338709677419359</v>
      </c>
      <c r="BU6" s="892">
        <f>IF($B6&lt;1,"",AVERAGEIF('09월 에너지'!$A$14:$A$949,$A6,'09월 에너지'!H$14:H$949))</f>
        <v>23183.870967741936</v>
      </c>
      <c r="BV6" s="890">
        <f>IF($B6&lt;1,"",AVERAGEIF('09월 에너지'!$A$14:$A$949,$A6,'09월 에너지'!I$14:I$949))</f>
        <v>16.751612903225805</v>
      </c>
      <c r="BW6" s="892">
        <f>IF($B6&lt;1,"",AVERAGEIF('09월 에너지'!$A$14:$A$949,$A6,'09월 에너지'!J$14:J$949))</f>
        <v>20661.290322580644</v>
      </c>
      <c r="BX6" s="890">
        <f>IF($B6&lt;1,"",AVERAGEIF('09월 에너지'!$A$14:$A$949,$A6,'09월 에너지'!K$14:K$949))</f>
        <v>9.3838709677419363</v>
      </c>
      <c r="BY6" s="892">
        <f>IF($B6&lt;1,"",AVERAGEIF('09월 에너지'!$A$14:$A$949,$A6,'09월 에너지'!L$14:L$949))</f>
        <v>11877.41935483871</v>
      </c>
      <c r="BZ6" s="890">
        <f>IF($B6&lt;1,"",AVERAGEIF('09월 에너지'!$A$14:$A$949,$A6,'09월 에너지'!M$14:M$949))</f>
        <v>45.474193548387092</v>
      </c>
      <c r="CA6" s="892">
        <f>IF($B6&lt;1,"",AVERAGEIF('09월 에너지'!$A$14:$A$949,$A6,'09월 에너지'!N$14:N$949))</f>
        <v>55722.580645161288</v>
      </c>
      <c r="CB6" s="890">
        <f>IF($B6&lt;1,"",AVERAGEIF('09월 에너지'!$A$14:$A$949,$A6,'09월 에너지'!O$14:O$949))</f>
        <v>161.66675133023784</v>
      </c>
      <c r="CC6" s="890">
        <f>IF($B6&lt;1,"",AVERAGEIF('09월 에너지'!$A$14:$A$949,$A6,'09월 에너지'!P$14:P$949))</f>
        <v>144.07633069641452</v>
      </c>
      <c r="CD6" s="890">
        <f>IF($B6&lt;1,"",AVERAGEIF('09월 에너지'!$A$14:$A$949,$A6,'09월 에너지'!Q$14:Q$949))</f>
        <v>82.833151320185081</v>
      </c>
      <c r="CE6" s="890">
        <f>IF($B6&lt;1,"",AVERAGEIF('09월 에너지'!$A$14:$A$949,$A6,'09월 에너지'!R$14:R$949))</f>
        <v>388.57623334683745</v>
      </c>
      <c r="CF6" s="890">
        <f>IF($B6&lt;1,"",AVERAGEIF('09월 에너지'!$A$14:$A$949,$A6,'09월 에너지'!S$14:S$949))</f>
        <v>143.41935483870967</v>
      </c>
      <c r="CG6" s="890">
        <f>IF($B6&lt;1,"",AVERAGEIF('09월 에너지'!$A$14:$A$949,$A6,'09월 에너지'!T$14:T$949))</f>
        <v>0</v>
      </c>
      <c r="CH6" s="890">
        <f>IF($B6&lt;1,"",AVERAGEIF('09월 에너지'!$A$14:$A$949,$A6,'09월 에너지'!U$14:U$949))</f>
        <v>90.161290322580641</v>
      </c>
      <c r="CI6" s="892">
        <f>IF($B6&lt;1,"",AVERAGEIF('09월 에너지'!$A$14:$A$949,$A6,'09월 에너지'!V$14:V$949))</f>
        <v>267.96774193548384</v>
      </c>
      <c r="CJ6" s="892">
        <f>IF($B6&lt;1,"",AVERAGEIF('09월 에너지'!$A$14:$A$949,$A6,'09월 에너지'!W$14:W$949))</f>
        <v>358.12903225806451</v>
      </c>
      <c r="CK6" s="890">
        <f>IF($B6&lt;1,"",AVERAGEIF('09월 에너지'!$A$14:$A$949,$A6,'09월 에너지'!X$14:X$949))</f>
        <v>2.4977066610696541</v>
      </c>
      <c r="CL6" s="892">
        <f>IF($B6&lt;1,"",AVERAGEIF('09월 에너지'!$A$14:$A$949,$A6,'09월 에너지'!Y$14:Y$949))</f>
        <v>1566.4193548387098</v>
      </c>
      <c r="CM6" s="892">
        <f>IF($B6&lt;1,"",AVERAGEIF('09월 에너지'!$A$14:$A$949,$A6,'09월 에너지'!Z$14:Z$949))</f>
        <v>1369.1935483870968</v>
      </c>
      <c r="CN6" s="892">
        <f>IF($B6&lt;1,"",AVERAGEIF('09월 에너지'!$A$14:$A$949,$A6,'09월 에너지'!AA$14:AA$949))</f>
        <v>757.61290322580646</v>
      </c>
      <c r="CO6" s="892">
        <f>IF($B6&lt;1,"",AVERAGEIF('09월 에너지'!$A$14:$A$949,$A6,'09월 에너지'!AB$14:AB$949))</f>
        <v>3693.2258064516127</v>
      </c>
      <c r="CP6" s="890">
        <f>IF($B6&lt;1,"",AVERAGEIF('09월 에너지'!$A$14:$A$949,$A6,'09월 에너지'!AC$14:AC$949))</f>
        <v>25.753933835781812</v>
      </c>
      <c r="CQ6" s="888">
        <f>IF($B6&lt;1,"",AVERAGEIF('09월 에너지'!$A$14:$A$949,$A6,'09월 에너지'!AD$14:AD$949))</f>
        <v>4051.3548387096776</v>
      </c>
      <c r="CR6" s="888">
        <f>IF($B6&lt;1,"",AVERAGEIF('09월 에너지'!$A$14:$A$949,$A6,'09월 에너지'!AE$14:AE$949))</f>
        <v>28.251640496851458</v>
      </c>
      <c r="CS6" s="890">
        <f>IF($B6&lt;1,"",AVERAGEIF('09월 에너지'!$A$14:$A$949,$A6,'09월 에너지'!AF$14:AF$949))</f>
        <v>79</v>
      </c>
      <c r="CT6" s="890">
        <f>IF($B6&lt;1,"",AVERAGEIF('09월 에너지'!$A$14:$A$949,$A6,'09월 에너지'!AG$14:AG$949))</f>
        <v>63.12903225806452</v>
      </c>
      <c r="CU6" s="890">
        <f>IF($B6&lt;1,"",AVERAGEIF('09월 에너지'!$A$14:$A$949,$A6,'09월 에너지'!AH$14:AH$949))</f>
        <v>8.935483870967742</v>
      </c>
      <c r="CV6" s="890">
        <f>IF($B6&lt;1,"",AVERAGEIF('09월 에너지'!$A$14:$A$949,$A6,'09월 에너지'!AI$14:AI$949))</f>
        <v>151.06451612903226</v>
      </c>
      <c r="CW6" s="893">
        <f>IF($B6&lt;1,"",AVERAGEIF('09월 에너지'!$A$14:$A$949,$A6,'09월 에너지'!AJ$14:AJ$949))</f>
        <v>1.0533897451590855</v>
      </c>
    </row>
    <row r="7" spans="1:101" ht="15.75" customHeight="1">
      <c r="A7" s="883">
        <f t="shared" ref="A7:A35" si="1">A6+1</f>
        <v>46268</v>
      </c>
      <c r="B7" s="884">
        <f>COUNTIF('09월 조업일지'!$A$12:$A$952,A7)</f>
        <v>30</v>
      </c>
      <c r="C7" s="885">
        <f t="shared" si="0"/>
        <v>47.333333333333343</v>
      </c>
      <c r="D7" s="885">
        <f>IF($B7&lt;1,"",(SUMIF('09월 조업일지'!$A$12:$A$952,$A7,'09월 조업일지'!$K$12:$K$952))/B7)</f>
        <v>0</v>
      </c>
      <c r="E7" s="885">
        <f>IF($B7&lt;1,"",AVERAGEIF('09월 조업일지'!$A$12:$A$952,$A7,'09월 조업일지'!$J$12:$J$952))</f>
        <v>47.333333333333343</v>
      </c>
      <c r="F7" s="886">
        <f>IF($B7&lt;1,"",AVERAGEIF('09월 에너지'!$A$14:$A$949,$A7,'09월 에너지'!$M$14:M$949))</f>
        <v>45.353333333333339</v>
      </c>
      <c r="G7" s="887">
        <f>IF($B7&lt;1,"",AVERAGEIF('09월 조업일지'!$A$12:$A$952,$A7,'09월 조업일지'!$AJ$12:$AJ$952))</f>
        <v>38.633333333333333</v>
      </c>
      <c r="H7" s="887">
        <f>IF($B7&lt;1,"",AVERAGEIF('09월 조업일지'!$A$12:$A$952,$A7,'09월 조업일지'!$AL$12:$AL$952))</f>
        <v>7.0357142857142856</v>
      </c>
      <c r="I7" s="888">
        <f>IF($B7&lt;1,"",AVERAGEIF('09월 화학성분'!$A$12:$A$949,$A7,'09월 화학성분'!G$12:G$949))</f>
        <v>8.6666666666666661</v>
      </c>
      <c r="J7" s="888">
        <f>IF($B7&lt;1,"",AVERAGEIF('09월 화학성분'!$A$12:$A$949,$A7,'09월 화학성분'!H$12:H$949))</f>
        <v>20.066666666666666</v>
      </c>
      <c r="K7" s="888">
        <f>IF($B7&lt;1,"",AVERAGEIF('09월 화학성분'!$A$12:$A$949,$A7,'09월 화학성분'!I$12:I$949))</f>
        <v>53.4</v>
      </c>
      <c r="L7" s="888">
        <f>IF($B7&lt;1,"",AVERAGEIF('09월 화학성분'!$A$12:$A$949,$A7,'09월 화학성분'!J$12:J$949))</f>
        <v>15.3</v>
      </c>
      <c r="M7" s="888">
        <f>IF($B7&lt;1,"",AVERAGEIF('09월 화학성분'!$A$12:$A$949,$A7,'09월 화학성분'!K$12:K$949))</f>
        <v>31.6</v>
      </c>
      <c r="N7" s="888">
        <f>IF($B7&lt;1,"",AVERAGEIF('09월 화학성분'!$A$12:$A$949,$A7,'09월 화학성분'!L$12:L$949))</f>
        <v>11.633333333333333</v>
      </c>
      <c r="O7" s="888">
        <f>IF($B7&lt;1,"",AVERAGEIF('09월 화학성분'!$A$12:$A$949,$A7,'09월 화학성분'!M$12:M$949))</f>
        <v>9.4333333333333336</v>
      </c>
      <c r="P7" s="889">
        <f>IF($B7&lt;1,"",AVERAGEIF('09월 조업일지'!$A$12:$A$952,$A7,'09월 조업일지'!$AK$12:$AK$952))</f>
        <v>622.17857142857144</v>
      </c>
      <c r="Q7" s="888">
        <f>IF($B7&lt;1,"",AVERAGEIF('09월 화학성분'!$A$12:$A$949,$A7,'09월 화학성분'!$G$12:$G$949))</f>
        <v>8.6666666666666661</v>
      </c>
      <c r="R7" s="889">
        <f>IF($B7&lt;1,"",AVERAGEIF('09월 조업일지'!$A$12:$A$952,$A7,'09월 조업일지'!$AI$12:$AI$952))</f>
        <v>1587.7</v>
      </c>
      <c r="S7" s="888">
        <f>IF($B7&lt;1,"",AVERAGEIF('09월 화학성분'!$A$12:$A$949,$A7,'09월 화학성분'!$AM$12:$AM$949))</f>
        <v>1725.5666666666666</v>
      </c>
      <c r="T7" s="890">
        <f>IF($B7&lt;1,"",AVERAGEIF('09월 화학성분'!$A$12:$A$949,$A7,'09월 화학성분'!N$12:N$949))</f>
        <v>417.23333333333335</v>
      </c>
      <c r="U7" s="890" t="e">
        <f>IF($B7&lt;1,"",AVERAGEIF('09월 화학성분'!$A$12:$A$949,$A7,'09월 화학성분'!O$12:O$949))</f>
        <v>#DIV/0!</v>
      </c>
      <c r="V7" s="890">
        <f>IF($B7&lt;1,"",AVERAGEIF('09월 화학성분'!$A$12:$A$949,$A7,'09월 화학성분'!P$12:P$949))</f>
        <v>1001.3333333333334</v>
      </c>
      <c r="W7" s="890">
        <f>IF($B7&lt;1,"",AVERAGEIF('09월 화학성분'!$A$12:$A$949,$A7,'09월 화학성분'!Q$12:Q$949))</f>
        <v>925</v>
      </c>
      <c r="X7" s="890" t="e">
        <f>IF($B7&lt;1,"",AVERAGEIF('09월 화학성분'!$A$12:$A$949,$A7,'09월 화학성분'!R$12:R$949))</f>
        <v>#DIV/0!</v>
      </c>
      <c r="Y7" s="890" t="e">
        <f>IF($B7&lt;1,"",AVERAGEIF('09월 화학성분'!$A$12:$A$949,$A7,'09월 화학성분'!U$12:U$949))</f>
        <v>#DIV/0!</v>
      </c>
      <c r="Z7" s="890">
        <f>IF($B7&lt;1,"",AVERAGEIF('09월 화학성분'!$A$12:$A$949,$A7,'09월 화학성분'!V$12:V$949))</f>
        <v>417.16666666666669</v>
      </c>
      <c r="AA7" s="890" t="e">
        <f>IF($B7&lt;1,"",AVERAGEIF('09월 화학성분'!$A$12:$A$949,$A7,'09월 화학성분'!W$12:W$949))</f>
        <v>#DIV/0!</v>
      </c>
      <c r="AB7" s="890" t="e">
        <f>IF($B7&lt;1,"",AVERAGEIF('09월 화학성분'!$A$12:$A$949,$A7,'09월 화학성분'!AA$12:AA$949))</f>
        <v>#DIV/0!</v>
      </c>
      <c r="AC7" s="890" t="e">
        <f>IF($B7&lt;1,"",AVERAGEIF('09월 화학성분'!$A$12:$A$949,$A7,'09월 화학성분'!#REF!))</f>
        <v>#REF!</v>
      </c>
      <c r="AD7" s="890" t="e">
        <f>IF($B7&lt;1,"",AVERAGEIF('09월 화학성분'!$A$12:$A$949,$A7,'09월 화학성분'!AB$12:AB$949))</f>
        <v>#DIV/0!</v>
      </c>
      <c r="AE7" s="890" t="e">
        <f>IF($B7&lt;1,"",AVERAGEIF('09월 화학성분'!$A$12:$A$949,$A7,'09월 화학성분'!AC$12:AC$949))</f>
        <v>#DIV/0!</v>
      </c>
      <c r="AF7" s="890">
        <f>IF($B7&lt;1,"",AVERAGEIF('09월 화학성분'!$A$12:$A$949,$A7,'09월 화학성분'!AD$12:AD$949))</f>
        <v>271</v>
      </c>
      <c r="AG7" s="890" t="e">
        <f>IF($B7&lt;1,"",AVERAGEIF('09월 화학성분'!$A$12:$A$949,$A7,'09월 화학성분'!AF$12:AF$949))</f>
        <v>#DIV/0!</v>
      </c>
      <c r="AH7" s="890">
        <f>IF($B7&lt;1,"",AVERAGEIF('09월 화학성분'!$A$12:$A$949,$A7,'09월 화학성분'!AG$12:AG$949))</f>
        <v>110</v>
      </c>
      <c r="AI7" s="890">
        <f>IF($B7&lt;1,"",AVERAGEIF('09월 화학성분'!$A$12:$A$949,$A7,'09월 화학성분'!AH$12:AH$949))</f>
        <v>840.33333333333337</v>
      </c>
      <c r="AJ7" s="890">
        <f>IF($B7&lt;1,"",AVERAGEIF('09월 화학성분'!$A$12:$A$949,$A7,'09월 화학성분'!AI$12:AI$949))</f>
        <v>346.06666666666666</v>
      </c>
      <c r="AK7" s="890">
        <f>IF($B7&lt;1,"",AVERAGEIF('09월 화학성분'!$A$12:$A$949,$A7,'09월 화학성분'!AJ$12:AJ$949))</f>
        <v>81.266666666666666</v>
      </c>
      <c r="AL7" s="890" t="e">
        <f>IF($B7&lt;1,"",AVERAGEIF('09월 화학성분'!$A$12:$A$949,$A7,'09월 화학성분'!#REF!))</f>
        <v>#REF!</v>
      </c>
      <c r="AM7" s="890">
        <f>IF($B7&lt;1,"",AVERAGEIF('09월 화학성분'!$A$12:$A$949,$A7,'09월 화학성분'!AL$12:AL$949))</f>
        <v>127.5</v>
      </c>
      <c r="AN7" s="890">
        <f>IF($B7&lt;1,"",AVERAGEIF('09월 화학성분'!$A$12:$A$949,$A7,'09월 화학성분'!AM$12:AM$949))</f>
        <v>1725.5666666666666</v>
      </c>
      <c r="AO7" s="891">
        <f>IF($B7&lt;1,"",AVERAGEIF('09월 화학성분'!$A$12:$A$949,$A7,'09월 화학성분'!AN$12:AN$949))</f>
        <v>0.74409949569422418</v>
      </c>
      <c r="AP7" s="891">
        <f>IF($B7&lt;1,"",AVERAGEIF('09월 화학성분'!$A$12:$A$949,$A7,'09월 화학성분'!AO$12:AO$949))</f>
        <v>0.93158613345799213</v>
      </c>
      <c r="AQ7" s="890">
        <f>IF($B7&lt;1,"",AVERAGEIF('09월 화학성분'!$A$12:$A$949,$A7,'09월 화학성분'!AP$12:AP$949))</f>
        <v>142.69999999999999</v>
      </c>
      <c r="AR7" s="890" t="e">
        <f>IF($B7&lt;1,"",AVERAGEIF('09월 고철장입'!$A$14:$A$949,$A7,'09월 고철장입'!G$14:G$949)/1000)</f>
        <v>#DIV/0!</v>
      </c>
      <c r="AS7" s="890" t="e">
        <f>IF($B7&lt;1,"",AVERAGEIF('09월 고철장입'!$A$14:$A$949,$A7,'09월 고철장입'!H$14:H$949)/1000)</f>
        <v>#DIV/0!</v>
      </c>
      <c r="AT7" s="890" t="e">
        <f>IF($B7&lt;1,"",AVERAGEIF('09월 고철장입'!$A$14:$A$949,$A7,'09월 고철장입'!I$14:I$949)/1000)</f>
        <v>#DIV/0!</v>
      </c>
      <c r="AU7" s="890" t="e">
        <f>IF($B7&lt;1,"",AVERAGEIF('09월 고철장입'!$A$14:$A$949,$A7,'09월 고철장입'!J$14:J$949)/1000)</f>
        <v>#DIV/0!</v>
      </c>
      <c r="AV7" s="890" t="e">
        <f>IF($B7&lt;1,"",AVERAGEIF('09월 고철장입'!$A$14:$A$949,$A7,'09월 고철장입'!K$14:K$949)/1000)</f>
        <v>#DIV/0!</v>
      </c>
      <c r="AW7" s="890" t="e">
        <f>IF($B7&lt;1,"",AVERAGEIF('09월 고철장입'!$A$14:$A$949,$A7,'09월 고철장입'!L$14:L$949)/1000)</f>
        <v>#DIV/0!</v>
      </c>
      <c r="AX7" s="890" t="e">
        <f>IF($B7&lt;1,"",AVERAGEIF('09월 고철장입'!$A$14:$A$949,$A7,'09월 고철장입'!M$14:M$949)/1000)</f>
        <v>#DIV/0!</v>
      </c>
      <c r="AY7" s="890" t="e">
        <f>IF($B7&lt;1,"",AVERAGEIF('09월 고철장입'!$A$14:$A$949,$A7,'09월 고철장입'!N$14:N$949)/1000)</f>
        <v>#DIV/0!</v>
      </c>
      <c r="AZ7" s="890" t="e">
        <f>IF($B7&lt;1,"",AVERAGEIF('09월 고철장입'!$A$14:$A$949,$A7,'09월 고철장입'!O$14:O$949)/1000)</f>
        <v>#DIV/0!</v>
      </c>
      <c r="BA7" s="890">
        <f>IF($B7&lt;1,"",AVERAGEIF('09월 고철장입'!$A$14:$A$949,$A7,'09월 고철장입'!P$14:P$949)/1000)</f>
        <v>48.013333333333335</v>
      </c>
      <c r="BB7" s="890">
        <f>IF($B7&lt;1,"",AVERAGEIF('09월 고철장입'!$A$14:$A$949,$A7,'09월 고철장입'!Q$14:Q$949)/1000)</f>
        <v>17.046666666666667</v>
      </c>
      <c r="BC7" s="890" t="e">
        <f>IF($B7&lt;1,"",AVERAGEIF('09월 고철장입'!$A$14:$A$949,$A7,'09월 고철장입'!S$14:S$949)/1000)</f>
        <v>#DIV/0!</v>
      </c>
      <c r="BD7" s="890" t="e">
        <f>IF($B7&lt;1,"",AVERAGEIF('09월 고철장입'!$A$14:$A$949,$A7,'09월 고철장입'!T$14:T$949)/1000)</f>
        <v>#DIV/0!</v>
      </c>
      <c r="BE7" s="890">
        <f>IF($B7&lt;1,"",AVERAGEIF('09월 고철장입'!$A$14:$A$949,$A7,'09월 고철장입'!U$14:U$949)/1000)</f>
        <v>6.3266666666666671</v>
      </c>
      <c r="BF7" s="890">
        <f>IF($B7&lt;1,"",AVERAGEIF('09월 고철장입'!$A$14:$A$949,$A7,'09월 고철장입'!V$14:V$949)/1000)</f>
        <v>23.383333333333333</v>
      </c>
      <c r="BG7" s="890">
        <f>IF($B7&lt;1,"",AVERAGEIF('09월 고철장입'!$A$14:$A$949,$A7,'09월 고철장입'!W$14:W$949)/1000)</f>
        <v>3.0074074074074075</v>
      </c>
      <c r="BH7" s="890">
        <f>IF($B7&lt;1,"",AVERAGEIF('09월 고철장입'!$A$14:$A$949,$A7,'09월 고철장입'!Y$14:Y$949)/1000)</f>
        <v>19.83666666666667</v>
      </c>
      <c r="BI7" s="890">
        <f>IF($B7&lt;1,"",AVERAGEIF('09월 고철장입'!$A$14:$A$949,$A7,'09월 고철장입'!AB$14:AB$949)/1000)</f>
        <v>2.3833333333333333</v>
      </c>
      <c r="BJ7" s="890">
        <f>IF($B7&lt;1,"",AVERAGEIF('09월 고철장입'!$A$14:$A$949,$A7,'09월 고철장입'!AC$14:AC$949)/1000)</f>
        <v>2.2107142857142859</v>
      </c>
      <c r="BK7" s="890">
        <f>IF($B7&lt;1,"",AVERAGEIF('09월 고철장입'!$A$14:$A$949,$A7,'09월 고철장입'!AD$14:AD$949)/1000)</f>
        <v>2.91</v>
      </c>
      <c r="BL7" s="890">
        <f>IF($B7&lt;1,"",AVERAGEIF('09월 고철장입'!$A$14:$A$949,$A7,'09월 고철장입'!AE$14:AE$949)/1000)</f>
        <v>142.58333333333334</v>
      </c>
      <c r="BM7" s="890">
        <f>IF($B7&lt;1,"",AVERAGEIF('09월 고철장입'!$A$14:$A$949,$A7,'09월 고철장입'!AF$14:AF$949)/1000)</f>
        <v>4.0296296296296292</v>
      </c>
      <c r="BN7" s="890">
        <f>IF($B7&lt;1,"",AVERAGEIF('09월 고철장입'!$A$14:$A$949,$A7,'09월 고철장입'!AG$14:AG$949)/1000)</f>
        <v>7.7551724137931028</v>
      </c>
      <c r="BO7" s="890">
        <f>IF($B7&lt;1,"",AVERAGEIF('09월 고철장입'!$A$14:$A$949,$A7,'09월 고철장입'!AH$14:AH$949)/1000)</f>
        <v>5.1066666666666674</v>
      </c>
      <c r="BP7" s="890">
        <f>IF($B7&lt;1,"",AVERAGEIF('09월 고철장입'!$A$14:$A$949,$A7,'09월 고철장입'!AI$14:AI$949)/1000)</f>
        <v>16.23</v>
      </c>
      <c r="BQ7" s="890">
        <f>IF($B7&lt;1,"",AVERAGEIF('09월 고철장입'!$A$14:$A$949,$A7,'09월 고철장입'!AJ$14:AJ$949)/1000)</f>
        <v>158.81333333333333</v>
      </c>
      <c r="BR7" s="890">
        <f>IF($B7&lt;1,"",AVERAGEIF('09월 고철장입'!$A$14:$A$949,$A7,'09월 고철장입'!AK$14:AK$949))</f>
        <v>142.69999999999999</v>
      </c>
      <c r="BS7" s="890">
        <f>IF($B7&lt;1,"",AVERAGEIF('09월 고철장입'!$A$14:$A$949,$A7,'09월 고철장입'!AL$14:AL$949)*100)</f>
        <v>89.859014957552688</v>
      </c>
      <c r="BT7" s="890">
        <f>IF($B7&lt;1,"",AVERAGEIF('09월 에너지'!$A$14:$A$949,$A7,'09월 에너지'!G$14:G$949))</f>
        <v>19.043333333333329</v>
      </c>
      <c r="BU7" s="892">
        <f>IF($B7&lt;1,"",AVERAGEIF('09월 에너지'!$A$14:$A$949,$A7,'09월 에너지'!H$14:H$949))</f>
        <v>23036.666666666668</v>
      </c>
      <c r="BV7" s="890">
        <f>IF($B7&lt;1,"",AVERAGEIF('09월 에너지'!$A$14:$A$949,$A7,'09월 에너지'!I$14:I$949))</f>
        <v>16.783333333333331</v>
      </c>
      <c r="BW7" s="892">
        <f>IF($B7&lt;1,"",AVERAGEIF('09월 에너지'!$A$14:$A$949,$A7,'09월 에너지'!J$14:J$949))</f>
        <v>20703.333333333332</v>
      </c>
      <c r="BX7" s="890">
        <f>IF($B7&lt;1,"",AVERAGEIF('09월 에너지'!$A$14:$A$949,$A7,'09월 에너지'!K$14:K$949))</f>
        <v>9.5266666666666673</v>
      </c>
      <c r="BY7" s="892">
        <f>IF($B7&lt;1,"",AVERAGEIF('09월 에너지'!$A$14:$A$949,$A7,'09월 에너지'!L$14:L$949))</f>
        <v>12086.666666666666</v>
      </c>
      <c r="BZ7" s="890">
        <f>IF($B7&lt;1,"",AVERAGEIF('09월 에너지'!$A$14:$A$949,$A7,'09월 에너지'!M$14:M$949))</f>
        <v>45.353333333333339</v>
      </c>
      <c r="CA7" s="892">
        <f>IF($B7&lt;1,"",AVERAGEIF('09월 에너지'!$A$14:$A$949,$A7,'09월 에너지'!N$14:N$949))</f>
        <v>55826.666666666664</v>
      </c>
      <c r="CB7" s="890">
        <f>IF($B7&lt;1,"",AVERAGEIF('09월 에너지'!$A$14:$A$949,$A7,'09월 에너지'!O$14:O$949))</f>
        <v>161.44900641692064</v>
      </c>
      <c r="CC7" s="890">
        <f>IF($B7&lt;1,"",AVERAGEIF('09월 에너지'!$A$14:$A$949,$A7,'09월 에너지'!P$14:P$949))</f>
        <v>145.10562014844018</v>
      </c>
      <c r="CD7" s="890">
        <f>IF($B7&lt;1,"",AVERAGEIF('09월 에너지'!$A$14:$A$949,$A7,'09월 에너지'!Q$14:Q$949))</f>
        <v>84.745953188012649</v>
      </c>
      <c r="CE7" s="890">
        <f>IF($B7&lt;1,"",AVERAGEIF('09월 에너지'!$A$14:$A$949,$A7,'09월 에너지'!R$14:R$949))</f>
        <v>391.30057975337343</v>
      </c>
      <c r="CF7" s="890">
        <f>IF($B7&lt;1,"",AVERAGEIF('09월 에너지'!$A$14:$A$949,$A7,'09월 에너지'!S$14:S$949))</f>
        <v>142.69999999999999</v>
      </c>
      <c r="CG7" s="890">
        <f>IF($B7&lt;1,"",AVERAGEIF('09월 에너지'!$A$14:$A$949,$A7,'09월 에너지'!T$14:T$949))</f>
        <v>0</v>
      </c>
      <c r="CH7" s="890">
        <f>IF($B7&lt;1,"",AVERAGEIF('09월 에너지'!$A$14:$A$949,$A7,'09월 에너지'!U$14:U$949))</f>
        <v>46.56666666666667</v>
      </c>
      <c r="CI7" s="892">
        <f>IF($B7&lt;1,"",AVERAGEIF('09월 에너지'!$A$14:$A$949,$A7,'09월 에너지'!V$14:V$949))</f>
        <v>289.43333333333334</v>
      </c>
      <c r="CJ7" s="892">
        <f>IF($B7&lt;1,"",AVERAGEIF('09월 에너지'!$A$14:$A$949,$A7,'09월 에너지'!W$14:W$949))</f>
        <v>336</v>
      </c>
      <c r="CK7" s="890">
        <f>IF($B7&lt;1,"",AVERAGEIF('09월 에너지'!$A$14:$A$949,$A7,'09월 에너지'!X$14:X$949))</f>
        <v>2.3550295358563771</v>
      </c>
      <c r="CL7" s="892">
        <f>IF($B7&lt;1,"",AVERAGEIF('09월 에너지'!$A$14:$A$949,$A7,'09월 에너지'!Y$14:Y$949))</f>
        <v>1567.6</v>
      </c>
      <c r="CM7" s="892">
        <f>IF($B7&lt;1,"",AVERAGEIF('09월 에너지'!$A$14:$A$949,$A7,'09월 에너지'!Z$14:Z$949))</f>
        <v>1402.3666666666666</v>
      </c>
      <c r="CN7" s="892">
        <f>IF($B7&lt;1,"",AVERAGEIF('09월 에너지'!$A$14:$A$949,$A7,'09월 에너지'!AA$14:AA$949))</f>
        <v>778.26666666666665</v>
      </c>
      <c r="CO7" s="892">
        <f>IF($B7&lt;1,"",AVERAGEIF('09월 에너지'!$A$14:$A$949,$A7,'09월 에너지'!AB$14:AB$949))</f>
        <v>3748.2333333333331</v>
      </c>
      <c r="CP7" s="890">
        <f>IF($B7&lt;1,"",AVERAGEIF('09월 에너지'!$A$14:$A$949,$A7,'09월 에너지'!AC$14:AC$949))</f>
        <v>26.27281698496467</v>
      </c>
      <c r="CQ7" s="888">
        <f>IF($B7&lt;1,"",AVERAGEIF('09월 에너지'!$A$14:$A$949,$A7,'09월 에너지'!AD$14:AD$949))</f>
        <v>4084.2333333333331</v>
      </c>
      <c r="CR7" s="888">
        <f>IF($B7&lt;1,"",AVERAGEIF('09월 에너지'!$A$14:$A$949,$A7,'09월 에너지'!AE$14:AE$949))</f>
        <v>28.627846520821048</v>
      </c>
      <c r="CS7" s="890">
        <f>IF($B7&lt;1,"",AVERAGEIF('09월 에너지'!$A$14:$A$949,$A7,'09월 에너지'!AF$14:AF$949))</f>
        <v>79.266666666666666</v>
      </c>
      <c r="CT7" s="890">
        <f>IF($B7&lt;1,"",AVERAGEIF('09월 에너지'!$A$14:$A$949,$A7,'09월 에너지'!AG$14:AG$949))</f>
        <v>62.633333333333333</v>
      </c>
      <c r="CU7" s="890">
        <f>IF($B7&lt;1,"",AVERAGEIF('09월 에너지'!$A$14:$A$949,$A7,'09월 에너지'!AH$14:AH$949))</f>
        <v>7.666666666666667</v>
      </c>
      <c r="CV7" s="890">
        <f>IF($B7&lt;1,"",AVERAGEIF('09월 에너지'!$A$14:$A$949,$A7,'09월 에너지'!AI$14:AI$949))</f>
        <v>149.56666666666666</v>
      </c>
      <c r="CW7" s="893">
        <f>IF($B7&lt;1,"",AVERAGEIF('09월 에너지'!$A$14:$A$949,$A7,'09월 에너지'!AJ$14:AJ$949))</f>
        <v>1.0484311477185924</v>
      </c>
    </row>
    <row r="8" spans="1:101" ht="15.75" customHeight="1">
      <c r="A8" s="883">
        <f t="shared" si="1"/>
        <v>46269</v>
      </c>
      <c r="B8" s="884">
        <f>COUNTIF('09월 조업일지'!$A$12:$A$952,A8)</f>
        <v>19</v>
      </c>
      <c r="C8" s="885">
        <f t="shared" si="0"/>
        <v>49.157894736842096</v>
      </c>
      <c r="D8" s="885">
        <f>IF($B8&lt;1,"",(SUMIF('09월 조업일지'!$A$12:$A$952,$A8,'09월 조업일지'!$K$12:$K$952))/B8)</f>
        <v>27.631578947368421</v>
      </c>
      <c r="E8" s="885">
        <f>IF($B8&lt;1,"",AVERAGEIF('09월 조업일지'!$A$12:$A$952,$A8,'09월 조업일지'!$J$12:$J$952))</f>
        <v>76.78947368421052</v>
      </c>
      <c r="F8" s="886">
        <f>IF($B8&lt;1,"",AVERAGEIF('09월 에너지'!$A$14:$A$949,$A8,'09월 에너지'!$M$14:M$949))</f>
        <v>44.494736842105262</v>
      </c>
      <c r="G8" s="887">
        <f>IF($B8&lt;1,"",AVERAGEIF('09월 조업일지'!$A$12:$A$952,$A8,'09월 조업일지'!$AJ$12:$AJ$952))</f>
        <v>52.526315789473685</v>
      </c>
      <c r="H8" s="887">
        <f>IF($B8&lt;1,"",AVERAGEIF('09월 조업일지'!$A$12:$A$952,$A8,'09월 조업일지'!$AL$12:$AL$952))</f>
        <v>7</v>
      </c>
      <c r="I8" s="888">
        <f>IF($B8&lt;1,"",AVERAGEIF('09월 화학성분'!$A$12:$A$949,$A8,'09월 화학성분'!G$12:G$949))</f>
        <v>9.8421052631578956</v>
      </c>
      <c r="J8" s="888">
        <f>IF($B8&lt;1,"",AVERAGEIF('09월 화학성분'!$A$12:$A$949,$A8,'09월 화학성분'!H$12:H$949))</f>
        <v>19.94736842105263</v>
      </c>
      <c r="K8" s="888">
        <f>IF($B8&lt;1,"",AVERAGEIF('09월 화학성분'!$A$12:$A$949,$A8,'09월 화학성분'!I$12:I$949))</f>
        <v>85.736842105263165</v>
      </c>
      <c r="L8" s="888">
        <f>IF($B8&lt;1,"",AVERAGEIF('09월 화학성분'!$A$12:$A$949,$A8,'09월 화학성분'!J$12:J$949))</f>
        <v>14.473684210526315</v>
      </c>
      <c r="M8" s="888">
        <f>IF($B8&lt;1,"",AVERAGEIF('09월 화학성분'!$A$12:$A$949,$A8,'09월 화학성분'!K$12:K$949))</f>
        <v>28.736842105263158</v>
      </c>
      <c r="N8" s="888">
        <f>IF($B8&lt;1,"",AVERAGEIF('09월 화학성분'!$A$12:$A$949,$A8,'09월 화학성분'!L$12:L$949))</f>
        <v>11.157894736842104</v>
      </c>
      <c r="O8" s="888">
        <f>IF($B8&lt;1,"",AVERAGEIF('09월 화학성분'!$A$12:$A$949,$A8,'09월 화학성분'!M$12:M$949))</f>
        <v>9.9473684210526319</v>
      </c>
      <c r="P8" s="889">
        <f>IF($B8&lt;1,"",AVERAGEIF('09월 조업일지'!$A$12:$A$952,$A8,'09월 조업일지'!$AK$12:$AK$952))</f>
        <v>624.66666666666663</v>
      </c>
      <c r="Q8" s="888">
        <f>IF($B8&lt;1,"",AVERAGEIF('09월 화학성분'!$A$12:$A$949,$A8,'09월 화학성분'!$G$12:$G$949))</f>
        <v>9.8421052631578956</v>
      </c>
      <c r="R8" s="889">
        <f>IF($B8&lt;1,"",AVERAGEIF('09월 조업일지'!$A$12:$A$952,$A8,'09월 조업일지'!$AI$12:$AI$952))</f>
        <v>1574.5263157894738</v>
      </c>
      <c r="S8" s="888">
        <f>IF($B8&lt;1,"",AVERAGEIF('09월 화학성분'!$A$12:$A$949,$A8,'09월 화학성분'!$AM$12:$AM$949))</f>
        <v>2248.4736842105262</v>
      </c>
      <c r="T8" s="890">
        <f>IF($B8&lt;1,"",AVERAGEIF('09월 화학성분'!$A$12:$A$949,$A8,'09월 화학성분'!N$12:N$949))</f>
        <v>447.10526315789474</v>
      </c>
      <c r="U8" s="890" t="e">
        <f>IF($B8&lt;1,"",AVERAGEIF('09월 화학성분'!$A$12:$A$949,$A8,'09월 화학성분'!O$12:O$949))</f>
        <v>#DIV/0!</v>
      </c>
      <c r="V8" s="890">
        <f>IF($B8&lt;1,"",AVERAGEIF('09월 화학성분'!$A$12:$A$949,$A8,'09월 화학성분'!P$12:P$949))</f>
        <v>995.15789473684208</v>
      </c>
      <c r="W8" s="890">
        <f>IF($B8&lt;1,"",AVERAGEIF('09월 화학성분'!$A$12:$A$949,$A8,'09월 화학성분'!Q$12:Q$949))</f>
        <v>1016.7368421052631</v>
      </c>
      <c r="X8" s="890" t="e">
        <f>IF($B8&lt;1,"",AVERAGEIF('09월 화학성분'!$A$12:$A$949,$A8,'09월 화학성분'!R$12:R$949))</f>
        <v>#DIV/0!</v>
      </c>
      <c r="Y8" s="890" t="e">
        <f>IF($B8&lt;1,"",AVERAGEIF('09월 화학성분'!$A$12:$A$949,$A8,'09월 화학성분'!U$12:U$949))</f>
        <v>#DIV/0!</v>
      </c>
      <c r="Z8" s="890">
        <f>IF($B8&lt;1,"",AVERAGEIF('09월 화학성분'!$A$12:$A$949,$A8,'09월 화학성분'!V$12:V$949))</f>
        <v>438</v>
      </c>
      <c r="AA8" s="890" t="e">
        <f>IF($B8&lt;1,"",AVERAGEIF('09월 화학성분'!$A$12:$A$949,$A8,'09월 화학성분'!W$12:W$949))</f>
        <v>#DIV/0!</v>
      </c>
      <c r="AB8" s="890" t="e">
        <f>IF($B8&lt;1,"",AVERAGEIF('09월 화학성분'!$A$12:$A$949,$A8,'09월 화학성분'!AA$12:AA$949))</f>
        <v>#DIV/0!</v>
      </c>
      <c r="AC8" s="890" t="e">
        <f>IF($B8&lt;1,"",AVERAGEIF('09월 화학성분'!$A$12:$A$949,$A8,'09월 화학성분'!#REF!))</f>
        <v>#REF!</v>
      </c>
      <c r="AD8" s="890">
        <f>IF($B8&lt;1,"",AVERAGEIF('09월 화학성분'!$A$12:$A$949,$A8,'09월 화학성분'!AB$12:AB$949))</f>
        <v>0</v>
      </c>
      <c r="AE8" s="890" t="e">
        <f>IF($B8&lt;1,"",AVERAGEIF('09월 화학성분'!$A$12:$A$949,$A8,'09월 화학성분'!AC$12:AC$949))</f>
        <v>#DIV/0!</v>
      </c>
      <c r="AF8" s="890">
        <f>IF($B8&lt;1,"",AVERAGEIF('09월 화학성분'!$A$12:$A$949,$A8,'09월 화학성분'!AD$12:AD$949))</f>
        <v>272.94117647058823</v>
      </c>
      <c r="AG8" s="890">
        <f>IF($B8&lt;1,"",AVERAGEIF('09월 화학성분'!$A$12:$A$949,$A8,'09월 화학성분'!AF$12:AF$949))</f>
        <v>0</v>
      </c>
      <c r="AH8" s="890">
        <f>IF($B8&lt;1,"",AVERAGEIF('09월 화학성분'!$A$12:$A$949,$A8,'09월 화학성분'!AG$12:AG$949))</f>
        <v>100.64705882352941</v>
      </c>
      <c r="AI8" s="890">
        <f>IF($B8&lt;1,"",AVERAGEIF('09월 화학성분'!$A$12:$A$949,$A8,'09월 화학성분'!AH$12:AH$949))</f>
        <v>1487.7894736842106</v>
      </c>
      <c r="AJ8" s="890">
        <f>IF($B8&lt;1,"",AVERAGEIF('09월 화학성분'!$A$12:$A$949,$A8,'09월 화학성분'!AI$12:AI$949))</f>
        <v>224.22222222222223</v>
      </c>
      <c r="AK8" s="890">
        <f>IF($B8&lt;1,"",AVERAGEIF('09월 화학성분'!$A$12:$A$949,$A8,'09월 화학성분'!AJ$12:AJ$949))</f>
        <v>80.235294117647058</v>
      </c>
      <c r="AL8" s="890" t="e">
        <f>IF($B8&lt;1,"",AVERAGEIF('09월 화학성분'!$A$12:$A$949,$A8,'09월 화학성분'!#REF!))</f>
        <v>#REF!</v>
      </c>
      <c r="AM8" s="890">
        <f>IF($B8&lt;1,"",AVERAGEIF('09월 화학성분'!$A$12:$A$949,$A8,'09월 화학성분'!AL$12:AL$949))</f>
        <v>130.26666666666668</v>
      </c>
      <c r="AN8" s="890">
        <f>IF($B8&lt;1,"",AVERAGEIF('09월 화학성분'!$A$12:$A$949,$A8,'09월 화학성분'!AM$12:AM$949))</f>
        <v>2248.4736842105262</v>
      </c>
      <c r="AO8" s="891">
        <f>IF($B8&lt;1,"",AVERAGEIF('09월 화학성분'!$A$12:$A$949,$A8,'09월 화학성분'!AN$12:AN$949))</f>
        <v>0.75943849522668361</v>
      </c>
      <c r="AP8" s="891">
        <f>IF($B8&lt;1,"",AVERAGEIF('09월 화학성분'!$A$12:$A$949,$A8,'09월 화학성분'!AO$12:AO$949))</f>
        <v>0.98659077609362344</v>
      </c>
      <c r="AQ8" s="890">
        <f>IF($B8&lt;1,"",AVERAGEIF('09월 화학성분'!$A$12:$A$949,$A8,'09월 화학성분'!AP$12:AP$949))</f>
        <v>140.46842105263156</v>
      </c>
      <c r="AR8" s="890" t="e">
        <f>IF($B8&lt;1,"",AVERAGEIF('09월 고철장입'!$A$14:$A$949,$A8,'09월 고철장입'!G$14:G$949)/1000)</f>
        <v>#DIV/0!</v>
      </c>
      <c r="AS8" s="890" t="e">
        <f>IF($B8&lt;1,"",AVERAGEIF('09월 고철장입'!$A$14:$A$949,$A8,'09월 고철장입'!H$14:H$949)/1000)</f>
        <v>#DIV/0!</v>
      </c>
      <c r="AT8" s="890" t="e">
        <f>IF($B8&lt;1,"",AVERAGEIF('09월 고철장입'!$A$14:$A$949,$A8,'09월 고철장입'!I$14:I$949)/1000)</f>
        <v>#DIV/0!</v>
      </c>
      <c r="AU8" s="890" t="e">
        <f>IF($B8&lt;1,"",AVERAGEIF('09월 고철장입'!$A$14:$A$949,$A8,'09월 고철장입'!J$14:J$949)/1000)</f>
        <v>#DIV/0!</v>
      </c>
      <c r="AV8" s="890" t="e">
        <f>IF($B8&lt;1,"",AVERAGEIF('09월 고철장입'!$A$14:$A$949,$A8,'09월 고철장입'!K$14:K$949)/1000)</f>
        <v>#DIV/0!</v>
      </c>
      <c r="AW8" s="890" t="e">
        <f>IF($B8&lt;1,"",AVERAGEIF('09월 고철장입'!$A$14:$A$949,$A8,'09월 고철장입'!L$14:L$949)/1000)</f>
        <v>#DIV/0!</v>
      </c>
      <c r="AX8" s="890" t="e">
        <f>IF($B8&lt;1,"",AVERAGEIF('09월 고철장입'!$A$14:$A$949,$A8,'09월 고철장입'!M$14:M$949)/1000)</f>
        <v>#DIV/0!</v>
      </c>
      <c r="AY8" s="890" t="e">
        <f>IF($B8&lt;1,"",AVERAGEIF('09월 고철장입'!$A$14:$A$949,$A8,'09월 고철장입'!N$14:N$949)/1000)</f>
        <v>#DIV/0!</v>
      </c>
      <c r="AZ8" s="890" t="e">
        <f>IF($B8&lt;1,"",AVERAGEIF('09월 고철장입'!$A$14:$A$949,$A8,'09월 고철장입'!O$14:O$949)/1000)</f>
        <v>#DIV/0!</v>
      </c>
      <c r="BA8" s="890">
        <f>IF($B8&lt;1,"",AVERAGEIF('09월 고철장입'!$A$14:$A$949,$A8,'09월 고철장입'!P$14:P$949)/1000)</f>
        <v>50.773684210526312</v>
      </c>
      <c r="BB8" s="890">
        <f>IF($B8&lt;1,"",AVERAGEIF('09월 고철장입'!$A$14:$A$949,$A8,'09월 고철장입'!Q$14:Q$949)/1000)</f>
        <v>16.836842105263155</v>
      </c>
      <c r="BC8" s="890">
        <f>IF($B8&lt;1,"",AVERAGEIF('09월 고철장입'!$A$14:$A$949,$A8,'09월 고철장입'!S$14:S$949)/1000)</f>
        <v>0</v>
      </c>
      <c r="BD8" s="890">
        <f>IF($B8&lt;1,"",AVERAGEIF('09월 고철장입'!$A$14:$A$949,$A8,'09월 고철장입'!T$14:T$949)/1000)</f>
        <v>0</v>
      </c>
      <c r="BE8" s="890">
        <f>IF($B8&lt;1,"",AVERAGEIF('09월 고철장입'!$A$14:$A$949,$A8,'09월 고철장입'!U$14:U$949)/1000)</f>
        <v>9.0176470588235293</v>
      </c>
      <c r="BF8" s="890">
        <f>IF($B8&lt;1,"",AVERAGEIF('09월 고철장입'!$A$14:$A$949,$A8,'09월 고철장입'!V$14:V$949)/1000)</f>
        <v>23.668421052631579</v>
      </c>
      <c r="BG8" s="890">
        <f>IF($B8&lt;1,"",AVERAGEIF('09월 고철장입'!$A$14:$A$949,$A8,'09월 고철장입'!W$14:W$949)/1000)</f>
        <v>3.04</v>
      </c>
      <c r="BH8" s="890">
        <f>IF($B8&lt;1,"",AVERAGEIF('09월 고철장입'!$A$14:$A$949,$A8,'09월 고철장입'!Y$14:Y$949)/1000)</f>
        <v>12.336842105263159</v>
      </c>
      <c r="BI8" s="890">
        <f>IF($B8&lt;1,"",AVERAGEIF('09월 고철장입'!$A$14:$A$949,$A8,'09월 고철장입'!AB$14:AB$949)/1000)</f>
        <v>2.2466666666666666</v>
      </c>
      <c r="BJ8" s="890">
        <f>IF($B8&lt;1,"",AVERAGEIF('09월 고철장입'!$A$14:$A$949,$A8,'09월 고철장입'!AC$14:AC$949)/1000)</f>
        <v>0.98333333333333339</v>
      </c>
      <c r="BK8" s="890">
        <f>IF($B8&lt;1,"",AVERAGEIF('09월 고철장입'!$A$14:$A$949,$A8,'09월 고철장입'!AD$14:AD$949)/1000)</f>
        <v>2.6</v>
      </c>
      <c r="BL8" s="890">
        <f>IF($B8&lt;1,"",AVERAGEIF('09월 고철장입'!$A$14:$A$949,$A8,'09월 고철장입'!AE$14:AE$949)/1000)</f>
        <v>133.43157894736842</v>
      </c>
      <c r="BM8" s="890">
        <f>IF($B8&lt;1,"",AVERAGEIF('09월 고철장입'!$A$14:$A$949,$A8,'09월 고철장입'!AF$14:AF$949)/1000)</f>
        <v>3.9736842105263159</v>
      </c>
      <c r="BN8" s="890">
        <f>IF($B8&lt;1,"",AVERAGEIF('09월 고철장입'!$A$14:$A$949,$A8,'09월 고철장입'!AG$14:AG$949)/1000)</f>
        <v>11.342105263157896</v>
      </c>
      <c r="BO8" s="890">
        <f>IF($B8&lt;1,"",AVERAGEIF('09월 고철장입'!$A$14:$A$949,$A8,'09월 고철장입'!AH$14:AH$949)/1000)</f>
        <v>5.7588235294117647</v>
      </c>
      <c r="BP8" s="890">
        <f>IF($B8&lt;1,"",AVERAGEIF('09월 고철장입'!$A$14:$A$949,$A8,'09월 고철장입'!AI$14:AI$949)/1000)</f>
        <v>20.46842105263158</v>
      </c>
      <c r="BQ8" s="890">
        <f>IF($B8&lt;1,"",AVERAGEIF('09월 고철장입'!$A$14:$A$949,$A8,'09월 고철장입'!AJ$14:AJ$949)/1000)</f>
        <v>153.9</v>
      </c>
      <c r="BR8" s="890">
        <f>IF($B8&lt;1,"",AVERAGEIF('09월 고철장입'!$A$14:$A$949,$A8,'09월 고철장입'!AK$14:AK$949))</f>
        <v>140.46842105263156</v>
      </c>
      <c r="BS8" s="890">
        <f>IF($B8&lt;1,"",AVERAGEIF('09월 고철장입'!$A$14:$A$949,$A8,'09월 고철장입'!AL$14:AL$949)*100)</f>
        <v>91.624820313546493</v>
      </c>
      <c r="BT8" s="890">
        <f>IF($B8&lt;1,"",AVERAGEIF('09월 에너지'!$A$14:$A$949,$A8,'09월 에너지'!G$14:G$949))</f>
        <v>20.178947368421053</v>
      </c>
      <c r="BU8" s="892">
        <f>IF($B8&lt;1,"",AVERAGEIF('09월 에너지'!$A$14:$A$949,$A8,'09월 에너지'!H$14:H$949))</f>
        <v>23071.57894736842</v>
      </c>
      <c r="BV8" s="890">
        <f>IF($B8&lt;1,"",AVERAGEIF('09월 에너지'!$A$14:$A$949,$A8,'09월 에너지'!I$14:I$949))</f>
        <v>15.168421052631576</v>
      </c>
      <c r="BW8" s="892">
        <f>IF($B8&lt;1,"",AVERAGEIF('09월 에너지'!$A$14:$A$949,$A8,'09월 에너지'!J$14:J$949))</f>
        <v>18700</v>
      </c>
      <c r="BX8" s="890">
        <f>IF($B8&lt;1,"",AVERAGEIF('09월 에너지'!$A$14:$A$949,$A8,'09월 에너지'!K$14:K$949))</f>
        <v>9.1473684210526329</v>
      </c>
      <c r="BY8" s="892">
        <f>IF($B8&lt;1,"",AVERAGEIF('09월 에너지'!$A$14:$A$949,$A8,'09월 에너지'!L$14:L$949))</f>
        <v>12347.368421052632</v>
      </c>
      <c r="BZ8" s="890">
        <f>IF($B8&lt;1,"",AVERAGEIF('09월 에너지'!$A$14:$A$949,$A8,'09월 에너지'!M$14:M$949))</f>
        <v>44.494736842105262</v>
      </c>
      <c r="CA8" s="892">
        <f>IF($B8&lt;1,"",AVERAGEIF('09월 에너지'!$A$14:$A$949,$A8,'09월 에너지'!N$14:N$949))</f>
        <v>54118.947368421053</v>
      </c>
      <c r="CB8" s="890">
        <f>IF($B8&lt;1,"",AVERAGEIF('09월 에너지'!$A$14:$A$949,$A8,'09월 에너지'!O$14:O$949))</f>
        <v>166.42094863714001</v>
      </c>
      <c r="CC8" s="890">
        <f>IF($B8&lt;1,"",AVERAGEIF('09월 에너지'!$A$14:$A$949,$A8,'09월 에너지'!P$14:P$949))</f>
        <v>130.64029958804662</v>
      </c>
      <c r="CD8" s="890">
        <f>IF($B8&lt;1,"",AVERAGEIF('09월 에너지'!$A$14:$A$949,$A8,'09월 에너지'!Q$14:Q$949))</f>
        <v>89.269173645115245</v>
      </c>
      <c r="CE8" s="890">
        <f>IF($B8&lt;1,"",AVERAGEIF('09월 에너지'!$A$14:$A$949,$A8,'09월 에너지'!R$14:R$949))</f>
        <v>386.33042187030179</v>
      </c>
      <c r="CF8" s="890">
        <f>IF($B8&lt;1,"",AVERAGEIF('09월 에너지'!$A$14:$A$949,$A8,'09월 에너지'!S$14:S$949))</f>
        <v>140.46842105263156</v>
      </c>
      <c r="CG8" s="890">
        <f>IF($B8&lt;1,"",AVERAGEIF('09월 에너지'!$A$14:$A$949,$A8,'09월 에너지'!T$14:T$949))</f>
        <v>0</v>
      </c>
      <c r="CH8" s="890">
        <f>IF($B8&lt;1,"",AVERAGEIF('09월 에너지'!$A$14:$A$949,$A8,'09월 에너지'!U$14:U$949))</f>
        <v>110.15789473684211</v>
      </c>
      <c r="CI8" s="892">
        <f>IF($B8&lt;1,"",AVERAGEIF('09월 에너지'!$A$14:$A$949,$A8,'09월 에너지'!V$14:V$949))</f>
        <v>262.05263157894734</v>
      </c>
      <c r="CJ8" s="892">
        <f>IF($B8&lt;1,"",AVERAGEIF('09월 에너지'!$A$14:$A$949,$A8,'09월 에너지'!W$14:W$949))</f>
        <v>372.21052631578948</v>
      </c>
      <c r="CK8" s="890">
        <f>IF($B8&lt;1,"",AVERAGEIF('09월 에너지'!$A$14:$A$949,$A8,'09월 에너지'!X$14:X$949))</f>
        <v>2.6660141844186369</v>
      </c>
      <c r="CL8" s="892">
        <f>IF($B8&lt;1,"",AVERAGEIF('09월 에너지'!$A$14:$A$949,$A8,'09월 에너지'!Y$14:Y$949))</f>
        <v>1616.7368421052631</v>
      </c>
      <c r="CM8" s="892">
        <f>IF($B8&lt;1,"",AVERAGEIF('09월 에너지'!$A$14:$A$949,$A8,'09월 에너지'!Z$14:Z$949))</f>
        <v>1292.6842105263158</v>
      </c>
      <c r="CN8" s="892">
        <f>IF($B8&lt;1,"",AVERAGEIF('09월 에너지'!$A$14:$A$949,$A8,'09월 에너지'!AA$14:AA$949))</f>
        <v>833</v>
      </c>
      <c r="CO8" s="892">
        <f>IF($B8&lt;1,"",AVERAGEIF('09월 에너지'!$A$14:$A$949,$A8,'09월 에너지'!AB$14:AB$949))</f>
        <v>3742.4210526315787</v>
      </c>
      <c r="CP8" s="890">
        <f>IF($B8&lt;1,"",AVERAGEIF('09월 에너지'!$A$14:$A$949,$A8,'09월 에너지'!AC$14:AC$949))</f>
        <v>26.753541091873586</v>
      </c>
      <c r="CQ8" s="888">
        <f>IF($B8&lt;1,"",AVERAGEIF('09월 에너지'!$A$14:$A$949,$A8,'09월 에너지'!AD$14:AD$949))</f>
        <v>4114.6315789473683</v>
      </c>
      <c r="CR8" s="888">
        <f>IF($B8&lt;1,"",AVERAGEIF('09월 에너지'!$A$14:$A$949,$A8,'09월 에너지'!AE$14:AE$949))</f>
        <v>29.419555276292225</v>
      </c>
      <c r="CS8" s="890">
        <f>IF($B8&lt;1,"",AVERAGEIF('09월 에너지'!$A$14:$A$949,$A8,'09월 에너지'!AF$14:AF$949))</f>
        <v>81.10526315789474</v>
      </c>
      <c r="CT8" s="890">
        <f>IF($B8&lt;1,"",AVERAGEIF('09월 에너지'!$A$14:$A$949,$A8,'09월 에너지'!AG$14:AG$949))</f>
        <v>56.421052631578945</v>
      </c>
      <c r="CU8" s="890">
        <f>IF($B8&lt;1,"",AVERAGEIF('09월 에너지'!$A$14:$A$949,$A8,'09월 에너지'!AH$14:AH$949))</f>
        <v>7.3157894736842106</v>
      </c>
      <c r="CV8" s="890">
        <f>IF($B8&lt;1,"",AVERAGEIF('09월 에너지'!$A$14:$A$949,$A8,'09월 에너지'!AI$14:AI$949))</f>
        <v>144.84210526315789</v>
      </c>
      <c r="CW8" s="893">
        <f>IF($B8&lt;1,"",AVERAGEIF('09월 에너지'!$A$14:$A$949,$A8,'09월 에너지'!AJ$14:AJ$949))</f>
        <v>1.0294002329987162</v>
      </c>
    </row>
    <row r="9" spans="1:101" ht="15.75" customHeight="1">
      <c r="A9" s="883">
        <f t="shared" si="1"/>
        <v>46270</v>
      </c>
      <c r="B9" s="884">
        <f>COUNTIF('09월 조업일지'!$A$12:$A$952,A9)</f>
        <v>31</v>
      </c>
      <c r="C9" s="885">
        <f t="shared" si="0"/>
        <v>46.580645161290327</v>
      </c>
      <c r="D9" s="885">
        <f>IF($B9&lt;1,"",(SUMIF('09월 조업일지'!$A$12:$A$952,$A9,'09월 조업일지'!$K$12:$K$952))/B9)</f>
        <v>0</v>
      </c>
      <c r="E9" s="885">
        <f>IF($B9&lt;1,"",AVERAGEIF('09월 조업일지'!$A$12:$A$952,$A9,'09월 조업일지'!$J$12:$J$952))</f>
        <v>46.580645161290327</v>
      </c>
      <c r="F9" s="886">
        <f>IF($B9&lt;1,"",AVERAGEIF('09월 에너지'!$A$14:$A$949,$A9,'09월 에너지'!$M$14:M$949))</f>
        <v>45.322580645161288</v>
      </c>
      <c r="G9" s="887">
        <f>IF($B9&lt;1,"",AVERAGEIF('09월 조업일지'!$A$12:$A$952,$A9,'09월 조업일지'!$AJ$12:$AJ$952))</f>
        <v>59.612903225806448</v>
      </c>
      <c r="H9" s="887">
        <f>IF($B9&lt;1,"",AVERAGEIF('09월 조업일지'!$A$12:$A$952,$A9,'09월 조업일지'!$AL$12:$AL$952))</f>
        <v>6.2333333333333334</v>
      </c>
      <c r="I9" s="888">
        <f>IF($B9&lt;1,"",AVERAGEIF('09월 화학성분'!$A$12:$A$949,$A9,'09월 화학성분'!G$12:G$949))</f>
        <v>10.774193548387096</v>
      </c>
      <c r="J9" s="888">
        <f>IF($B9&lt;1,"",AVERAGEIF('09월 화학성분'!$A$12:$A$949,$A9,'09월 화학성분'!H$12:H$949))</f>
        <v>21.870967741935484</v>
      </c>
      <c r="K9" s="888">
        <f>IF($B9&lt;1,"",AVERAGEIF('09월 화학성분'!$A$12:$A$949,$A9,'09월 화학성분'!I$12:I$949))</f>
        <v>95.645161290322577</v>
      </c>
      <c r="L9" s="888">
        <f>IF($B9&lt;1,"",AVERAGEIF('09월 화학성분'!$A$12:$A$949,$A9,'09월 화학성분'!J$12:J$949))</f>
        <v>14.32258064516129</v>
      </c>
      <c r="M9" s="888">
        <f>IF($B9&lt;1,"",AVERAGEIF('09월 화학성분'!$A$12:$A$949,$A9,'09월 화학성분'!K$12:K$949))</f>
        <v>30.580645161290324</v>
      </c>
      <c r="N9" s="888">
        <f>IF($B9&lt;1,"",AVERAGEIF('09월 화학성분'!$A$12:$A$949,$A9,'09월 화학성분'!L$12:L$949))</f>
        <v>12.290322580645162</v>
      </c>
      <c r="O9" s="888">
        <f>IF($B9&lt;1,"",AVERAGEIF('09월 화학성분'!$A$12:$A$949,$A9,'09월 화학성분'!M$12:M$949))</f>
        <v>9.7096774193548381</v>
      </c>
      <c r="P9" s="889">
        <f>IF($B9&lt;1,"",AVERAGEIF('09월 조업일지'!$A$12:$A$952,$A9,'09월 조업일지'!$AK$12:$AK$952))</f>
        <v>695.43333333333328</v>
      </c>
      <c r="Q9" s="888">
        <f>IF($B9&lt;1,"",AVERAGEIF('09월 화학성분'!$A$12:$A$949,$A9,'09월 화학성분'!$G$12:$G$949))</f>
        <v>10.774193548387096</v>
      </c>
      <c r="R9" s="889">
        <f>IF($B9&lt;1,"",AVERAGEIF('09월 조업일지'!$A$12:$A$952,$A9,'09월 조업일지'!$AI$12:$AI$952))</f>
        <v>1572.1612903225807</v>
      </c>
      <c r="S9" s="888">
        <f>IF($B9&lt;1,"",AVERAGEIF('09월 화학성분'!$A$12:$A$949,$A9,'09월 화학성분'!$AM$12:$AM$949))</f>
        <v>2008.0967741935483</v>
      </c>
      <c r="T9" s="890">
        <f>IF($B9&lt;1,"",AVERAGEIF('09월 화학성분'!$A$12:$A$949,$A9,'09월 화학성분'!N$12:N$949))</f>
        <v>410.67741935483872</v>
      </c>
      <c r="U9" s="890" t="e">
        <f>IF($B9&lt;1,"",AVERAGEIF('09월 화학성분'!$A$12:$A$949,$A9,'09월 화학성분'!O$12:O$949))</f>
        <v>#DIV/0!</v>
      </c>
      <c r="V9" s="890">
        <f>IF($B9&lt;1,"",AVERAGEIF('09월 화학성분'!$A$12:$A$949,$A9,'09월 화학성분'!P$12:P$949))</f>
        <v>1002.8709677419355</v>
      </c>
      <c r="W9" s="890">
        <f>IF($B9&lt;1,"",AVERAGEIF('09월 화학성분'!$A$12:$A$949,$A9,'09월 화학성분'!Q$12:Q$949))</f>
        <v>952.83870967741939</v>
      </c>
      <c r="X9" s="890" t="e">
        <f>IF($B9&lt;1,"",AVERAGEIF('09월 화학성분'!$A$12:$A$949,$A9,'09월 화학성분'!R$12:R$949))</f>
        <v>#DIV/0!</v>
      </c>
      <c r="Y9" s="890" t="e">
        <f>IF($B9&lt;1,"",AVERAGEIF('09월 화학성분'!$A$12:$A$949,$A9,'09월 화학성분'!U$12:U$949))</f>
        <v>#DIV/0!</v>
      </c>
      <c r="Z9" s="890">
        <f>IF($B9&lt;1,"",AVERAGEIF('09월 화학성분'!$A$12:$A$949,$A9,'09월 화학성분'!V$12:V$949))</f>
        <v>424.51612903225805</v>
      </c>
      <c r="AA9" s="890" t="e">
        <f>IF($B9&lt;1,"",AVERAGEIF('09월 화학성분'!$A$12:$A$949,$A9,'09월 화학성분'!W$12:W$949))</f>
        <v>#DIV/0!</v>
      </c>
      <c r="AB9" s="890" t="e">
        <f>IF($B9&lt;1,"",AVERAGEIF('09월 화학성분'!$A$12:$A$949,$A9,'09월 화학성분'!AA$12:AA$949))</f>
        <v>#DIV/0!</v>
      </c>
      <c r="AC9" s="890" t="e">
        <f>IF($B9&lt;1,"",AVERAGEIF('09월 화학성분'!$A$12:$A$949,$A9,'09월 화학성분'!#REF!))</f>
        <v>#REF!</v>
      </c>
      <c r="AD9" s="890">
        <f>IF($B9&lt;1,"",AVERAGEIF('09월 화학성분'!$A$12:$A$949,$A9,'09월 화학성분'!AB$12:AB$949))</f>
        <v>0</v>
      </c>
      <c r="AE9" s="890" t="e">
        <f>IF($B9&lt;1,"",AVERAGEIF('09월 화학성분'!$A$12:$A$949,$A9,'09월 화학성분'!AC$12:AC$949))</f>
        <v>#DIV/0!</v>
      </c>
      <c r="AF9" s="890">
        <f>IF($B9&lt;1,"",AVERAGEIF('09월 화학성분'!$A$12:$A$949,$A9,'09월 화학성분'!AD$12:AD$949))</f>
        <v>279.70967741935482</v>
      </c>
      <c r="AG9" s="890">
        <f>IF($B9&lt;1,"",AVERAGEIF('09월 화학성분'!$A$12:$A$949,$A9,'09월 화학성분'!AF$12:AF$949))</f>
        <v>0</v>
      </c>
      <c r="AH9" s="890">
        <f>IF($B9&lt;1,"",AVERAGEIF('09월 화학성분'!$A$12:$A$949,$A9,'09월 화학성분'!AG$12:AG$949))</f>
        <v>101.3</v>
      </c>
      <c r="AI9" s="890">
        <f>IF($B9&lt;1,"",AVERAGEIF('09월 화학성분'!$A$12:$A$949,$A9,'09월 화학성분'!AH$12:AH$949))</f>
        <v>1777.0967741935483</v>
      </c>
      <c r="AJ9" s="890">
        <f>IF($B9&lt;1,"",AVERAGEIF('09월 화학성분'!$A$12:$A$949,$A9,'09월 화학성분'!AI$12:AI$949))</f>
        <v>184.43333333333334</v>
      </c>
      <c r="AK9" s="890">
        <f>IF($B9&lt;1,"",AVERAGEIF('09월 화학성분'!$A$12:$A$949,$A9,'09월 화학성분'!AJ$12:AJ$949))</f>
        <v>92.193548387096769</v>
      </c>
      <c r="AL9" s="890" t="e">
        <f>IF($B9&lt;1,"",AVERAGEIF('09월 화학성분'!$A$12:$A$949,$A9,'09월 화학성분'!#REF!))</f>
        <v>#REF!</v>
      </c>
      <c r="AM9" s="890">
        <f>IF($B9&lt;1,"",AVERAGEIF('09월 화학성분'!$A$12:$A$949,$A9,'09월 화학성분'!AL$12:AL$949))</f>
        <v>105.30769230769231</v>
      </c>
      <c r="AN9" s="890">
        <f>IF($B9&lt;1,"",AVERAGEIF('09월 화학성분'!$A$12:$A$949,$A9,'09월 화학성분'!AM$12:AM$949))</f>
        <v>2008.0967741935483</v>
      </c>
      <c r="AO9" s="891">
        <f>IF($B9&lt;1,"",AVERAGEIF('09월 화학성분'!$A$12:$A$949,$A9,'09월 화학성분'!AN$12:AN$949))</f>
        <v>0.7899727673450393</v>
      </c>
      <c r="AP9" s="891">
        <f>IF($B9&lt;1,"",AVERAGEIF('09월 화학성분'!$A$12:$A$949,$A9,'09월 화학성분'!AO$12:AO$949))</f>
        <v>0.93401242883957381</v>
      </c>
      <c r="AQ9" s="890">
        <f>IF($B9&lt;1,"",AVERAGEIF('09월 화학성분'!$A$12:$A$949,$A9,'09월 화학성분'!AP$12:AP$949))</f>
        <v>144.24193548387098</v>
      </c>
      <c r="AR9" s="890" t="e">
        <f>IF($B9&lt;1,"",AVERAGEIF('09월 고철장입'!$A$14:$A$949,$A9,'09월 고철장입'!G$14:G$949)/1000)</f>
        <v>#DIV/0!</v>
      </c>
      <c r="AS9" s="890" t="e">
        <f>IF($B9&lt;1,"",AVERAGEIF('09월 고철장입'!$A$14:$A$949,$A9,'09월 고철장입'!H$14:H$949)/1000)</f>
        <v>#DIV/0!</v>
      </c>
      <c r="AT9" s="890" t="e">
        <f>IF($B9&lt;1,"",AVERAGEIF('09월 고철장입'!$A$14:$A$949,$A9,'09월 고철장입'!I$14:I$949)/1000)</f>
        <v>#DIV/0!</v>
      </c>
      <c r="AU9" s="890" t="e">
        <f>IF($B9&lt;1,"",AVERAGEIF('09월 고철장입'!$A$14:$A$949,$A9,'09월 고철장입'!J$14:J$949)/1000)</f>
        <v>#DIV/0!</v>
      </c>
      <c r="AV9" s="890" t="e">
        <f>IF($B9&lt;1,"",AVERAGEIF('09월 고철장입'!$A$14:$A$949,$A9,'09월 고철장입'!K$14:K$949)/1000)</f>
        <v>#DIV/0!</v>
      </c>
      <c r="AW9" s="890" t="e">
        <f>IF($B9&lt;1,"",AVERAGEIF('09월 고철장입'!$A$14:$A$949,$A9,'09월 고철장입'!L$14:L$949)/1000)</f>
        <v>#DIV/0!</v>
      </c>
      <c r="AX9" s="890" t="e">
        <f>IF($B9&lt;1,"",AVERAGEIF('09월 고철장입'!$A$14:$A$949,$A9,'09월 고철장입'!M$14:M$949)/1000)</f>
        <v>#DIV/0!</v>
      </c>
      <c r="AY9" s="890" t="e">
        <f>IF($B9&lt;1,"",AVERAGEIF('09월 고철장입'!$A$14:$A$949,$A9,'09월 고철장입'!N$14:N$949)/1000)</f>
        <v>#DIV/0!</v>
      </c>
      <c r="AZ9" s="890" t="e">
        <f>IF($B9&lt;1,"",AVERAGEIF('09월 고철장입'!$A$14:$A$949,$A9,'09월 고철장입'!O$14:O$949)/1000)</f>
        <v>#DIV/0!</v>
      </c>
      <c r="BA9" s="890">
        <f>IF($B9&lt;1,"",AVERAGEIF('09월 고철장입'!$A$14:$A$949,$A9,'09월 고철장입'!P$14:P$949)/1000)</f>
        <v>52.829032258064515</v>
      </c>
      <c r="BB9" s="890">
        <f>IF($B9&lt;1,"",AVERAGEIF('09월 고철장입'!$A$14:$A$949,$A9,'09월 고철장입'!Q$14:Q$949)/1000)</f>
        <v>16.129032258064516</v>
      </c>
      <c r="BC9" s="890">
        <f>IF($B9&lt;1,"",AVERAGEIF('09월 고철장입'!$A$14:$A$949,$A9,'09월 고철장입'!S$14:S$949)/1000)</f>
        <v>0</v>
      </c>
      <c r="BD9" s="890">
        <f>IF($B9&lt;1,"",AVERAGEIF('09월 고철장입'!$A$14:$A$949,$A9,'09월 고철장입'!T$14:T$949)/1000)</f>
        <v>2.7777777777777777</v>
      </c>
      <c r="BE9" s="890">
        <f>IF($B9&lt;1,"",AVERAGEIF('09월 고철장입'!$A$14:$A$949,$A9,'09월 고철장입'!U$14:U$949)/1000)</f>
        <v>13.890322580645162</v>
      </c>
      <c r="BF9" s="890">
        <f>IF($B9&lt;1,"",AVERAGEIF('09월 고철장입'!$A$14:$A$949,$A9,'09월 고철장입'!V$14:V$949)/1000)</f>
        <v>14.454838709677418</v>
      </c>
      <c r="BG9" s="890">
        <f>IF($B9&lt;1,"",AVERAGEIF('09월 고철장입'!$A$14:$A$949,$A9,'09월 고철장입'!W$14:W$949)/1000)</f>
        <v>3.7133333333333334</v>
      </c>
      <c r="BH9" s="890">
        <f>IF($B9&lt;1,"",AVERAGEIF('09월 고철장입'!$A$14:$A$949,$A9,'09월 고철장입'!Y$14:Y$949)/1000)</f>
        <v>15.780645161290321</v>
      </c>
      <c r="BI9" s="890">
        <f>IF($B9&lt;1,"",AVERAGEIF('09월 고철장입'!$A$14:$A$949,$A9,'09월 고철장입'!AB$14:AB$949)/1000)</f>
        <v>2.6548387096774193</v>
      </c>
      <c r="BJ9" s="890">
        <f>IF($B9&lt;1,"",AVERAGEIF('09월 고철장입'!$A$14:$A$949,$A9,'09월 고철장입'!AC$14:AC$949)/1000)</f>
        <v>0.5</v>
      </c>
      <c r="BK9" s="890">
        <f>IF($B9&lt;1,"",AVERAGEIF('09월 고철장입'!$A$14:$A$949,$A9,'09월 고철장입'!AD$14:AD$949)/1000)</f>
        <v>0.86363636363636365</v>
      </c>
      <c r="BL9" s="890">
        <f>IF($B9&lt;1,"",AVERAGEIF('09월 고철장입'!$A$14:$A$949,$A9,'09월 고철장입'!AE$14:AE$949)/1000)</f>
        <v>140.22258064516132</v>
      </c>
      <c r="BM9" s="890">
        <f>IF($B9&lt;1,"",AVERAGEIF('09월 고철장입'!$A$14:$A$949,$A9,'09월 고철장입'!AF$14:AF$949)/1000)</f>
        <v>3.9064516129032261</v>
      </c>
      <c r="BN9" s="890">
        <f>IF($B9&lt;1,"",AVERAGEIF('09월 고철장입'!$A$14:$A$949,$A9,'09월 고철장입'!AG$14:AG$949)/1000)</f>
        <v>9.435483870967742</v>
      </c>
      <c r="BO9" s="890">
        <f>IF($B9&lt;1,"",AVERAGEIF('09월 고철장입'!$A$14:$A$949,$A9,'09월 고철장입'!AH$14:AH$949)/1000)</f>
        <v>4.9516129032258069</v>
      </c>
      <c r="BP9" s="890">
        <f>IF($B9&lt;1,"",AVERAGEIF('09월 고철장입'!$A$14:$A$949,$A9,'09월 고철장입'!AI$14:AI$949)/1000)</f>
        <v>18.293548387096774</v>
      </c>
      <c r="BQ9" s="890">
        <f>IF($B9&lt;1,"",AVERAGEIF('09월 고철장입'!$A$14:$A$949,$A9,'09월 고철장입'!AJ$14:AJ$949)/1000)</f>
        <v>158.51612903225805</v>
      </c>
      <c r="BR9" s="890">
        <f>IF($B9&lt;1,"",AVERAGEIF('09월 고철장입'!$A$14:$A$949,$A9,'09월 고철장입'!AK$14:AK$949))</f>
        <v>144.24193548387098</v>
      </c>
      <c r="BS9" s="890">
        <f>IF($B9&lt;1,"",AVERAGEIF('09월 고철장입'!$A$14:$A$949,$A9,'09월 고철장입'!AL$14:AL$949)*100)</f>
        <v>90.994941496593768</v>
      </c>
      <c r="BT9" s="890">
        <f>IF($B9&lt;1,"",AVERAGEIF('09월 에너지'!$A$14:$A$949,$A9,'09월 에너지'!G$14:G$949))</f>
        <v>19.048387096774192</v>
      </c>
      <c r="BU9" s="892">
        <f>IF($B9&lt;1,"",AVERAGEIF('09월 에너지'!$A$14:$A$949,$A9,'09월 에너지'!H$14:H$949))</f>
        <v>23493.548387096773</v>
      </c>
      <c r="BV9" s="890">
        <f>IF($B9&lt;1,"",AVERAGEIF('09월 에너지'!$A$14:$A$949,$A9,'09월 에너지'!I$14:I$949))</f>
        <v>17.025806451612901</v>
      </c>
      <c r="BW9" s="892">
        <f>IF($B9&lt;1,"",AVERAGEIF('09월 에너지'!$A$14:$A$949,$A9,'09월 에너지'!J$14:J$949))</f>
        <v>20935.483870967742</v>
      </c>
      <c r="BX9" s="890">
        <f>IF($B9&lt;1,"",AVERAGEIF('09월 에너지'!$A$14:$A$949,$A9,'09월 에너지'!K$14:K$949))</f>
        <v>9.248387096774195</v>
      </c>
      <c r="BY9" s="892">
        <f>IF($B9&lt;1,"",AVERAGEIF('09월 에너지'!$A$14:$A$949,$A9,'09월 에너지'!L$14:L$949))</f>
        <v>11587.096774193549</v>
      </c>
      <c r="BZ9" s="890">
        <f>IF($B9&lt;1,"",AVERAGEIF('09월 에너지'!$A$14:$A$949,$A9,'09월 에너지'!M$14:M$949))</f>
        <v>45.322580645161288</v>
      </c>
      <c r="CA9" s="892">
        <f>IF($B9&lt;1,"",AVERAGEIF('09월 에너지'!$A$14:$A$949,$A9,'09월 에너지'!N$14:N$949))</f>
        <v>56016.129032258068</v>
      </c>
      <c r="CB9" s="890">
        <f>IF($B9&lt;1,"",AVERAGEIF('09월 에너지'!$A$14:$A$949,$A9,'09월 에너지'!O$14:O$949))</f>
        <v>162.90010869828879</v>
      </c>
      <c r="CC9" s="890">
        <f>IF($B9&lt;1,"",AVERAGEIF('09월 에너지'!$A$14:$A$949,$A9,'09월 에너지'!P$14:P$949))</f>
        <v>145.18155917453498</v>
      </c>
      <c r="CD9" s="890">
        <f>IF($B9&lt;1,"",AVERAGEIF('09월 에너지'!$A$14:$A$949,$A9,'09월 에너지'!Q$14:Q$949))</f>
        <v>80.363338395766817</v>
      </c>
      <c r="CE9" s="890">
        <f>IF($B9&lt;1,"",AVERAGEIF('09월 에너지'!$A$14:$A$949,$A9,'09월 에너지'!R$14:R$949))</f>
        <v>388.44500626859065</v>
      </c>
      <c r="CF9" s="890">
        <f>IF($B9&lt;1,"",AVERAGEIF('09월 에너지'!$A$14:$A$949,$A9,'09월 에너지'!S$14:S$949))</f>
        <v>144.24193548387098</v>
      </c>
      <c r="CG9" s="890">
        <f>IF($B9&lt;1,"",AVERAGEIF('09월 에너지'!$A$14:$A$949,$A9,'09월 에너지'!T$14:T$949))</f>
        <v>0</v>
      </c>
      <c r="CH9" s="890">
        <f>IF($B9&lt;1,"",AVERAGEIF('09월 에너지'!$A$14:$A$949,$A9,'09월 에너지'!U$14:U$949))</f>
        <v>116.51612903225806</v>
      </c>
      <c r="CI9" s="892">
        <f>IF($B9&lt;1,"",AVERAGEIF('09월 에너지'!$A$14:$A$949,$A9,'09월 에너지'!V$14:V$949))</f>
        <v>251.48387096774192</v>
      </c>
      <c r="CJ9" s="892">
        <f>IF($B9&lt;1,"",AVERAGEIF('09월 에너지'!$A$14:$A$949,$A9,'09월 에너지'!W$14:W$949))</f>
        <v>368</v>
      </c>
      <c r="CK9" s="890">
        <f>IF($B9&lt;1,"",AVERAGEIF('09월 에너지'!$A$14:$A$949,$A9,'09월 에너지'!X$14:X$949))</f>
        <v>2.5534273705978712</v>
      </c>
      <c r="CL9" s="892">
        <f>IF($B9&lt;1,"",AVERAGEIF('09월 에너지'!$A$14:$A$949,$A9,'09월 에너지'!Y$14:Y$949))</f>
        <v>1589.6129032258063</v>
      </c>
      <c r="CM9" s="892">
        <f>IF($B9&lt;1,"",AVERAGEIF('09월 에너지'!$A$14:$A$949,$A9,'09월 에너지'!Z$14:Z$949))</f>
        <v>1417.483870967742</v>
      </c>
      <c r="CN9" s="892">
        <f>IF($B9&lt;1,"",AVERAGEIF('09월 에너지'!$A$14:$A$949,$A9,'09월 에너지'!AA$14:AA$949))</f>
        <v>747.09677419354841</v>
      </c>
      <c r="CO9" s="892">
        <f>IF($B9&lt;1,"",AVERAGEIF('09월 에너지'!$A$14:$A$949,$A9,'09월 에너지'!AB$14:AB$949))</f>
        <v>3754.1935483870966</v>
      </c>
      <c r="CP9" s="890">
        <f>IF($B9&lt;1,"",AVERAGEIF('09월 에너지'!$A$14:$A$949,$A9,'09월 에너지'!AC$14:AC$949))</f>
        <v>26.033435933683563</v>
      </c>
      <c r="CQ9" s="888">
        <f>IF($B9&lt;1,"",AVERAGEIF('09월 에너지'!$A$14:$A$949,$A9,'09월 에너지'!AD$14:AD$949))</f>
        <v>4122.1935483870966</v>
      </c>
      <c r="CR9" s="888">
        <f>IF($B9&lt;1,"",AVERAGEIF('09월 에너지'!$A$14:$A$949,$A9,'09월 에너지'!AE$14:AE$949))</f>
        <v>28.586863304281426</v>
      </c>
      <c r="CS9" s="890">
        <f>IF($B9&lt;1,"",AVERAGEIF('09월 에너지'!$A$14:$A$949,$A9,'09월 에너지'!AF$14:AF$949))</f>
        <v>77.967741935483872</v>
      </c>
      <c r="CT9" s="890">
        <f>IF($B9&lt;1,"",AVERAGEIF('09월 에너지'!$A$14:$A$949,$A9,'09월 에너지'!AG$14:AG$949))</f>
        <v>64.032258064516128</v>
      </c>
      <c r="CU9" s="890">
        <f>IF($B9&lt;1,"",AVERAGEIF('09월 에너지'!$A$14:$A$949,$A9,'09월 에너지'!AH$14:AH$949))</f>
        <v>13.225806451612904</v>
      </c>
      <c r="CV9" s="890">
        <f>IF($B9&lt;1,"",AVERAGEIF('09월 에너지'!$A$14:$A$949,$A9,'09월 에너지'!AI$14:AI$949))</f>
        <v>155.2258064516129</v>
      </c>
      <c r="CW9" s="893">
        <f>IF($B9&lt;1,"",AVERAGEIF('09월 에너지'!$A$14:$A$949,$A9,'09월 에너지'!AJ$14:AJ$949))</f>
        <v>1.0764223053052691</v>
      </c>
    </row>
    <row r="10" spans="1:101" ht="15.75" customHeight="1">
      <c r="A10" s="883">
        <f t="shared" si="1"/>
        <v>46271</v>
      </c>
      <c r="B10" s="884">
        <f>COUNTIF('09월 조업일지'!$A$12:$A$952,A10)</f>
        <v>29</v>
      </c>
      <c r="C10" s="885">
        <f t="shared" si="0"/>
        <v>46.931034482758626</v>
      </c>
      <c r="D10" s="885">
        <f>IF($B10&lt;1,"",(SUMIF('09월 조업일지'!$A$12:$A$952,$A10,'09월 조업일지'!$K$12:$K$952))/B10)</f>
        <v>1.0344827586206897</v>
      </c>
      <c r="E10" s="885">
        <f>IF($B10&lt;1,"",AVERAGEIF('09월 조업일지'!$A$12:$A$952,$A10,'09월 조업일지'!$J$12:$J$952))</f>
        <v>47.965517241379317</v>
      </c>
      <c r="F10" s="886">
        <f>IF($B10&lt;1,"",AVERAGEIF('09월 에너지'!$A$14:$A$949,$A10,'09월 에너지'!$M$14:M$949))</f>
        <v>45.22758620689654</v>
      </c>
      <c r="G10" s="887">
        <f>IF($B10&lt;1,"",AVERAGEIF('09월 조업일지'!$A$12:$A$952,$A10,'09월 조업일지'!$AJ$12:$AJ$952))</f>
        <v>31.068965517241381</v>
      </c>
      <c r="H10" s="887">
        <f>IF($B10&lt;1,"",AVERAGEIF('09월 조업일지'!$A$12:$A$952,$A10,'09월 조업일지'!$AL$12:$AL$952))</f>
        <v>7.3214285714285712</v>
      </c>
      <c r="I10" s="888">
        <f>IF($B10&lt;1,"",AVERAGEIF('09월 화학성분'!$A$12:$A$949,$A10,'09월 화학성분'!G$12:G$949))</f>
        <v>10.068965517241379</v>
      </c>
      <c r="J10" s="888">
        <f>IF($B10&lt;1,"",AVERAGEIF('09월 화학성분'!$A$12:$A$949,$A10,'09월 화학성분'!H$12:H$949))</f>
        <v>23.482758620689655</v>
      </c>
      <c r="K10" s="888">
        <f>IF($B10&lt;1,"",AVERAGEIF('09월 화학성분'!$A$12:$A$949,$A10,'09월 화학성분'!I$12:I$949))</f>
        <v>83.758620689655174</v>
      </c>
      <c r="L10" s="888">
        <f>IF($B10&lt;1,"",AVERAGEIF('09월 화학성분'!$A$12:$A$949,$A10,'09월 화학성분'!J$12:J$949))</f>
        <v>16.724137931034484</v>
      </c>
      <c r="M10" s="888">
        <f>IF($B10&lt;1,"",AVERAGEIF('09월 화학성분'!$A$12:$A$949,$A10,'09월 화학성분'!K$12:K$949))</f>
        <v>41.344827586206897</v>
      </c>
      <c r="N10" s="888">
        <f>IF($B10&lt;1,"",AVERAGEIF('09월 화학성분'!$A$12:$A$949,$A10,'09월 화학성분'!L$12:L$949))</f>
        <v>14.482758620689655</v>
      </c>
      <c r="O10" s="888">
        <f>IF($B10&lt;1,"",AVERAGEIF('09월 화학성분'!$A$12:$A$949,$A10,'09월 화학성분'!M$12:M$949))</f>
        <v>8.862068965517242</v>
      </c>
      <c r="P10" s="889">
        <f>IF($B10&lt;1,"",AVERAGEIF('09월 조업일지'!$A$12:$A$952,$A10,'09월 조업일지'!$AK$12:$AK$952))</f>
        <v>582.92857142857144</v>
      </c>
      <c r="Q10" s="888">
        <f>IF($B10&lt;1,"",AVERAGEIF('09월 화학성분'!$A$12:$A$949,$A10,'09월 화학성분'!$G$12:$G$949))</f>
        <v>10.068965517241379</v>
      </c>
      <c r="R10" s="889">
        <f>IF($B10&lt;1,"",AVERAGEIF('09월 조업일지'!$A$12:$A$952,$A10,'09월 조업일지'!$AI$12:$AI$952))</f>
        <v>1574.4482758620691</v>
      </c>
      <c r="S10" s="888">
        <f>IF($B10&lt;1,"",AVERAGEIF('09월 화학성분'!$A$12:$A$949,$A10,'09월 화학성분'!$AM$12:$AM$949))</f>
        <v>1564.0344827586207</v>
      </c>
      <c r="T10" s="890">
        <f>IF($B10&lt;1,"",AVERAGEIF('09월 화학성분'!$A$12:$A$949,$A10,'09월 화학성분'!N$12:N$949))</f>
        <v>411.82758620689657</v>
      </c>
      <c r="U10" s="890" t="e">
        <f>IF($B10&lt;1,"",AVERAGEIF('09월 화학성분'!$A$12:$A$949,$A10,'09월 화학성분'!O$12:O$949))</f>
        <v>#DIV/0!</v>
      </c>
      <c r="V10" s="890">
        <f>IF($B10&lt;1,"",AVERAGEIF('09월 화학성분'!$A$12:$A$949,$A10,'09월 화학성분'!P$12:P$949))</f>
        <v>1008.448275862069</v>
      </c>
      <c r="W10" s="890">
        <f>IF($B10&lt;1,"",AVERAGEIF('09월 화학성분'!$A$12:$A$949,$A10,'09월 화학성분'!Q$12:Q$949))</f>
        <v>952</v>
      </c>
      <c r="X10" s="890" t="e">
        <f>IF($B10&lt;1,"",AVERAGEIF('09월 화학성분'!$A$12:$A$949,$A10,'09월 화학성분'!R$12:R$949))</f>
        <v>#DIV/0!</v>
      </c>
      <c r="Y10" s="890" t="e">
        <f>IF($B10&lt;1,"",AVERAGEIF('09월 화학성분'!$A$12:$A$949,$A10,'09월 화학성분'!U$12:U$949))</f>
        <v>#DIV/0!</v>
      </c>
      <c r="Z10" s="890">
        <f>IF($B10&lt;1,"",AVERAGEIF('09월 화학성분'!$A$12:$A$949,$A10,'09월 화학성분'!V$12:V$949))</f>
        <v>426.41379310344826</v>
      </c>
      <c r="AA10" s="890" t="e">
        <f>IF($B10&lt;1,"",AVERAGEIF('09월 화학성분'!$A$12:$A$949,$A10,'09월 화학성분'!W$12:W$949))</f>
        <v>#DIV/0!</v>
      </c>
      <c r="AB10" s="890" t="e">
        <f>IF($B10&lt;1,"",AVERAGEIF('09월 화학성분'!$A$12:$A$949,$A10,'09월 화학성분'!AA$12:AA$949))</f>
        <v>#DIV/0!</v>
      </c>
      <c r="AC10" s="890" t="e">
        <f>IF($B10&lt;1,"",AVERAGEIF('09월 화학성분'!$A$12:$A$949,$A10,'09월 화학성분'!#REF!))</f>
        <v>#REF!</v>
      </c>
      <c r="AD10" s="890">
        <f>IF($B10&lt;1,"",AVERAGEIF('09월 화학성분'!$A$12:$A$949,$A10,'09월 화학성분'!AB$12:AB$949))</f>
        <v>0</v>
      </c>
      <c r="AE10" s="890" t="e">
        <f>IF($B10&lt;1,"",AVERAGEIF('09월 화학성분'!$A$12:$A$949,$A10,'09월 화학성분'!AC$12:AC$949))</f>
        <v>#DIV/0!</v>
      </c>
      <c r="AF10" s="890">
        <f>IF($B10&lt;1,"",AVERAGEIF('09월 화학성분'!$A$12:$A$949,$A10,'09월 화학성분'!AD$12:AD$949))</f>
        <v>282.0344827586207</v>
      </c>
      <c r="AG10" s="890">
        <f>IF($B10&lt;1,"",AVERAGEIF('09월 화학성분'!$A$12:$A$949,$A10,'09월 화학성분'!AF$12:AF$949))</f>
        <v>0</v>
      </c>
      <c r="AH10" s="890">
        <f>IF($B10&lt;1,"",AVERAGEIF('09월 화학성분'!$A$12:$A$949,$A10,'09월 화학성분'!AG$12:AG$949))</f>
        <v>106.55172413793103</v>
      </c>
      <c r="AI10" s="890">
        <f>IF($B10&lt;1,"",AVERAGEIF('09월 화학성분'!$A$12:$A$949,$A10,'09월 화학성분'!AH$12:AH$949))</f>
        <v>1480.1379310344828</v>
      </c>
      <c r="AJ10" s="890">
        <f>IF($B10&lt;1,"",AVERAGEIF('09월 화학성분'!$A$12:$A$949,$A10,'09월 화학성분'!AI$12:AI$949))</f>
        <v>234.10344827586206</v>
      </c>
      <c r="AK10" s="890">
        <f>IF($B10&lt;1,"",AVERAGEIF('09월 화학성분'!$A$12:$A$949,$A10,'09월 화학성분'!AJ$12:AJ$949))</f>
        <v>88.379310344827587</v>
      </c>
      <c r="AL10" s="890" t="e">
        <f>IF($B10&lt;1,"",AVERAGEIF('09월 화학성분'!$A$12:$A$949,$A10,'09월 화학성분'!#REF!))</f>
        <v>#REF!</v>
      </c>
      <c r="AM10" s="890">
        <f>IF($B10&lt;1,"",AVERAGEIF('09월 화학성분'!$A$12:$A$949,$A10,'09월 화학성분'!AL$12:AL$949))</f>
        <v>120.41379310344827</v>
      </c>
      <c r="AN10" s="890">
        <f>IF($B10&lt;1,"",AVERAGEIF('09월 화학성분'!$A$12:$A$949,$A10,'09월 화학성분'!AM$12:AM$949))</f>
        <v>1564.0344827586207</v>
      </c>
      <c r="AO10" s="891">
        <f>IF($B10&lt;1,"",AVERAGEIF('09월 화학성분'!$A$12:$A$949,$A10,'09월 화학성분'!AN$12:AN$949))</f>
        <v>0.8453362838954368</v>
      </c>
      <c r="AP10" s="891">
        <f>IF($B10&lt;1,"",AVERAGEIF('09월 화학성분'!$A$12:$A$949,$A10,'09월 화학성분'!AO$12:AO$949))</f>
        <v>0.95928446400849032</v>
      </c>
      <c r="AQ10" s="890">
        <f>IF($B10&lt;1,"",AVERAGEIF('09월 화학성분'!$A$12:$A$949,$A10,'09월 화학성분'!AP$12:AP$949))</f>
        <v>143.52413793103449</v>
      </c>
      <c r="AR10" s="890" t="e">
        <f>IF($B10&lt;1,"",AVERAGEIF('09월 고철장입'!$A$14:$A$949,$A10,'09월 고철장입'!G$14:G$949)/1000)</f>
        <v>#DIV/0!</v>
      </c>
      <c r="AS10" s="890" t="e">
        <f>IF($B10&lt;1,"",AVERAGEIF('09월 고철장입'!$A$14:$A$949,$A10,'09월 고철장입'!H$14:H$949)/1000)</f>
        <v>#DIV/0!</v>
      </c>
      <c r="AT10" s="890" t="e">
        <f>IF($B10&lt;1,"",AVERAGEIF('09월 고철장입'!$A$14:$A$949,$A10,'09월 고철장입'!I$14:I$949)/1000)</f>
        <v>#DIV/0!</v>
      </c>
      <c r="AU10" s="890" t="e">
        <f>IF($B10&lt;1,"",AVERAGEIF('09월 고철장입'!$A$14:$A$949,$A10,'09월 고철장입'!J$14:J$949)/1000)</f>
        <v>#DIV/0!</v>
      </c>
      <c r="AV10" s="890" t="e">
        <f>IF($B10&lt;1,"",AVERAGEIF('09월 고철장입'!$A$14:$A$949,$A10,'09월 고철장입'!K$14:K$949)/1000)</f>
        <v>#DIV/0!</v>
      </c>
      <c r="AW10" s="890" t="e">
        <f>IF($B10&lt;1,"",AVERAGEIF('09월 고철장입'!$A$14:$A$949,$A10,'09월 고철장입'!L$14:L$949)/1000)</f>
        <v>#DIV/0!</v>
      </c>
      <c r="AX10" s="890" t="e">
        <f>IF($B10&lt;1,"",AVERAGEIF('09월 고철장입'!$A$14:$A$949,$A10,'09월 고철장입'!M$14:M$949)/1000)</f>
        <v>#DIV/0!</v>
      </c>
      <c r="AY10" s="890" t="e">
        <f>IF($B10&lt;1,"",AVERAGEIF('09월 고철장입'!$A$14:$A$949,$A10,'09월 고철장입'!N$14:N$949)/1000)</f>
        <v>#DIV/0!</v>
      </c>
      <c r="AZ10" s="890" t="e">
        <f>IF($B10&lt;1,"",AVERAGEIF('09월 고철장입'!$A$14:$A$949,$A10,'09월 고철장입'!O$14:O$949)/1000)</f>
        <v>#DIV/0!</v>
      </c>
      <c r="BA10" s="890">
        <f>IF($B10&lt;1,"",AVERAGEIF('09월 고철장입'!$A$14:$A$949,$A10,'09월 고철장입'!P$14:P$949)/1000)</f>
        <v>51.482758620689651</v>
      </c>
      <c r="BB10" s="890">
        <f>IF($B10&lt;1,"",AVERAGEIF('09월 고철장입'!$A$14:$A$949,$A10,'09월 고철장입'!Q$14:Q$949)/1000)</f>
        <v>17.031034482758621</v>
      </c>
      <c r="BC10" s="890">
        <f>IF($B10&lt;1,"",AVERAGEIF('09월 고철장입'!$A$14:$A$949,$A10,'09월 고철장입'!S$14:S$949)/1000)</f>
        <v>0</v>
      </c>
      <c r="BD10" s="890">
        <f>IF($B10&lt;1,"",AVERAGEIF('09월 고철장입'!$A$14:$A$949,$A10,'09월 고철장입'!T$14:T$949)/1000)</f>
        <v>2.5631578947368423</v>
      </c>
      <c r="BE10" s="890">
        <f>IF($B10&lt;1,"",AVERAGEIF('09월 고철장입'!$A$14:$A$949,$A10,'09월 고철장입'!U$14:U$949)/1000)</f>
        <v>13.175862068965518</v>
      </c>
      <c r="BF10" s="890">
        <f>IF($B10&lt;1,"",AVERAGEIF('09월 고철장입'!$A$14:$A$949,$A10,'09월 고철장입'!V$14:V$949)/1000)</f>
        <v>15.517241379310343</v>
      </c>
      <c r="BG10" s="890">
        <f>IF($B10&lt;1,"",AVERAGEIF('09월 고철장입'!$A$14:$A$949,$A10,'09월 고철장입'!W$14:W$949)/1000)</f>
        <v>2.920689655172414</v>
      </c>
      <c r="BH10" s="890">
        <f>IF($B10&lt;1,"",AVERAGEIF('09월 고철장입'!$A$14:$A$949,$A10,'09월 고철장입'!Y$14:Y$949)/1000)</f>
        <v>17.27586206896552</v>
      </c>
      <c r="BI10" s="890">
        <f>IF($B10&lt;1,"",AVERAGEIF('09월 고철장입'!$A$14:$A$949,$A10,'09월 고철장입'!AB$14:AB$949)/1000)</f>
        <v>2.7172413793103445</v>
      </c>
      <c r="BJ10" s="890">
        <f>IF($B10&lt;1,"",AVERAGEIF('09월 고철장입'!$A$14:$A$949,$A10,'09월 고철장입'!AC$14:AC$949)/1000)</f>
        <v>2.223529411764706</v>
      </c>
      <c r="BK10" s="890">
        <f>IF($B10&lt;1,"",AVERAGEIF('09월 고철장입'!$A$14:$A$949,$A10,'09월 고철장입'!AD$14:AD$949)/1000)</f>
        <v>1.8055555555555556</v>
      </c>
      <c r="BL10" s="890">
        <f>IF($B10&lt;1,"",AVERAGEIF('09월 고철장입'!$A$14:$A$949,$A10,'09월 고철장입'!AE$14:AE$949)/1000)</f>
        <v>141.02068965517242</v>
      </c>
      <c r="BM10" s="890">
        <f>IF($B10&lt;1,"",AVERAGEIF('09월 고철장입'!$A$14:$A$949,$A10,'09월 고철장입'!AF$14:AF$949)/1000)</f>
        <v>3.6464285714285714</v>
      </c>
      <c r="BN10" s="890">
        <f>IF($B10&lt;1,"",AVERAGEIF('09월 고철장입'!$A$14:$A$949,$A10,'09월 고철장입'!AG$14:AG$949)/1000)</f>
        <v>9.4379310344827587</v>
      </c>
      <c r="BO10" s="890">
        <f>IF($B10&lt;1,"",AVERAGEIF('09월 고철장입'!$A$14:$A$949,$A10,'09월 고철장입'!AH$14:AH$949)/1000)</f>
        <v>4.4758620689655171</v>
      </c>
      <c r="BP10" s="890">
        <f>IF($B10&lt;1,"",AVERAGEIF('09월 고철장입'!$A$14:$A$949,$A10,'09월 고철장입'!AI$14:AI$949)/1000)</f>
        <v>17.434482758620689</v>
      </c>
      <c r="BQ10" s="890">
        <f>IF($B10&lt;1,"",AVERAGEIF('09월 고철장입'!$A$14:$A$949,$A10,'09월 고철장입'!AJ$14:AJ$949)/1000)</f>
        <v>158.45517241379309</v>
      </c>
      <c r="BR10" s="890">
        <f>IF($B10&lt;1,"",AVERAGEIF('09월 고철장입'!$A$14:$A$949,$A10,'09월 고철장입'!AK$14:AK$949))</f>
        <v>143.52413793103449</v>
      </c>
      <c r="BS10" s="890">
        <f>IF($B10&lt;1,"",AVERAGEIF('09월 고철장입'!$A$14:$A$949,$A10,'09월 고철장입'!AL$14:AL$949)*100)</f>
        <v>90.577881114754504</v>
      </c>
      <c r="BT10" s="890">
        <f>IF($B10&lt;1,"",AVERAGEIF('09월 에너지'!$A$14:$A$949,$A10,'09월 에너지'!G$14:G$949))</f>
        <v>19.168965517241379</v>
      </c>
      <c r="BU10" s="892">
        <f>IF($B10&lt;1,"",AVERAGEIF('09월 에너지'!$A$14:$A$949,$A10,'09월 에너지'!H$14:H$949))</f>
        <v>23444.827586206895</v>
      </c>
      <c r="BV10" s="890">
        <f>IF($B10&lt;1,"",AVERAGEIF('09월 에너지'!$A$14:$A$949,$A10,'09월 에너지'!I$14:I$949))</f>
        <v>16.906896551724142</v>
      </c>
      <c r="BW10" s="892">
        <f>IF($B10&lt;1,"",AVERAGEIF('09월 에너지'!$A$14:$A$949,$A10,'09월 에너지'!J$14:J$949))</f>
        <v>20951.724137931036</v>
      </c>
      <c r="BX10" s="890">
        <f>IF($B10&lt;1,"",AVERAGEIF('09월 에너지'!$A$14:$A$949,$A10,'09월 에너지'!K$14:K$949))</f>
        <v>9.1517241379310352</v>
      </c>
      <c r="BY10" s="892">
        <f>IF($B10&lt;1,"",AVERAGEIF('09월 에너지'!$A$14:$A$949,$A10,'09월 에너지'!L$14:L$949))</f>
        <v>11568.965517241379</v>
      </c>
      <c r="BZ10" s="890">
        <f>IF($B10&lt;1,"",AVERAGEIF('09월 에너지'!$A$14:$A$949,$A10,'09월 에너지'!M$14:M$949))</f>
        <v>45.22758620689654</v>
      </c>
      <c r="CA10" s="892">
        <f>IF($B10&lt;1,"",AVERAGEIF('09월 에너지'!$A$14:$A$949,$A10,'09월 에너지'!N$14:N$949))</f>
        <v>55965.517241379312</v>
      </c>
      <c r="CB10" s="890">
        <f>IF($B10&lt;1,"",AVERAGEIF('09월 에너지'!$A$14:$A$949,$A10,'09월 에너지'!O$14:O$949))</f>
        <v>163.38045429005453</v>
      </c>
      <c r="CC10" s="890">
        <f>IF($B10&lt;1,"",AVERAGEIF('09월 에너지'!$A$14:$A$949,$A10,'09월 에너지'!P$14:P$949))</f>
        <v>146.0199246558077</v>
      </c>
      <c r="CD10" s="890">
        <f>IF($B10&lt;1,"",AVERAGEIF('09월 에너지'!$A$14:$A$949,$A10,'09월 에너지'!Q$14:Q$949))</f>
        <v>80.667568854242333</v>
      </c>
      <c r="CE10" s="890">
        <f>IF($B10&lt;1,"",AVERAGEIF('09월 에너지'!$A$14:$A$949,$A10,'09월 에너지'!R$14:R$949))</f>
        <v>390.06794780010466</v>
      </c>
      <c r="CF10" s="890">
        <f>IF($B10&lt;1,"",AVERAGEIF('09월 에너지'!$A$14:$A$949,$A10,'09월 에너지'!S$14:S$949))</f>
        <v>143.52413793103449</v>
      </c>
      <c r="CG10" s="890">
        <f>IF($B10&lt;1,"",AVERAGEIF('09월 에너지'!$A$14:$A$949,$A10,'09월 에너지'!T$14:T$949))</f>
        <v>0</v>
      </c>
      <c r="CH10" s="890">
        <f>IF($B10&lt;1,"",AVERAGEIF('09월 에너지'!$A$14:$A$949,$A10,'09월 에너지'!U$14:U$949))</f>
        <v>92.931034482758619</v>
      </c>
      <c r="CI10" s="892">
        <f>IF($B10&lt;1,"",AVERAGEIF('09월 에너지'!$A$14:$A$949,$A10,'09월 에너지'!V$14:V$949))</f>
        <v>249</v>
      </c>
      <c r="CJ10" s="892">
        <f>IF($B10&lt;1,"",AVERAGEIF('09월 에너지'!$A$14:$A$949,$A10,'09월 에너지'!W$14:W$949))</f>
        <v>341.93103448275861</v>
      </c>
      <c r="CK10" s="890">
        <f>IF($B10&lt;1,"",AVERAGEIF('09월 에너지'!$A$14:$A$949,$A10,'09월 에너지'!X$14:X$949))</f>
        <v>2.3837731885436808</v>
      </c>
      <c r="CL10" s="892">
        <f>IF($B10&lt;1,"",AVERAGEIF('09월 에너지'!$A$14:$A$949,$A10,'09월 에너지'!Y$14:Y$949))</f>
        <v>1599.9655172413793</v>
      </c>
      <c r="CM10" s="892">
        <f>IF($B10&lt;1,"",AVERAGEIF('09월 에너지'!$A$14:$A$949,$A10,'09월 에너지'!Z$14:Z$949))</f>
        <v>1386.2758620689656</v>
      </c>
      <c r="CN10" s="892">
        <f>IF($B10&lt;1,"",AVERAGEIF('09월 에너지'!$A$14:$A$949,$A10,'09월 에너지'!AA$14:AA$949))</f>
        <v>718.0344827586207</v>
      </c>
      <c r="CO10" s="892">
        <f>IF($B10&lt;1,"",AVERAGEIF('09월 에너지'!$A$14:$A$949,$A10,'09월 에너지'!AB$14:AB$949))</f>
        <v>3704.2758620689656</v>
      </c>
      <c r="CP10" s="890">
        <f>IF($B10&lt;1,"",AVERAGEIF('09월 에너지'!$A$14:$A$949,$A10,'09월 에너지'!AC$14:AC$949))</f>
        <v>25.829230288653125</v>
      </c>
      <c r="CQ10" s="888">
        <f>IF($B10&lt;1,"",AVERAGEIF('09월 에너지'!$A$14:$A$949,$A10,'09월 에너지'!AD$14:AD$949))</f>
        <v>4046.2068965517242</v>
      </c>
      <c r="CR10" s="888">
        <f>IF($B10&lt;1,"",AVERAGEIF('09월 에너지'!$A$14:$A$949,$A10,'09월 에너지'!AE$14:AE$949))</f>
        <v>28.213003477196814</v>
      </c>
      <c r="CS10" s="890">
        <f>IF($B10&lt;1,"",AVERAGEIF('09월 에너지'!$A$14:$A$949,$A10,'09월 에너지'!AF$14:AF$949))</f>
        <v>79.65517241379311</v>
      </c>
      <c r="CT10" s="890">
        <f>IF($B10&lt;1,"",AVERAGEIF('09월 에너지'!$A$14:$A$949,$A10,'09월 에너지'!AG$14:AG$949))</f>
        <v>62.96551724137931</v>
      </c>
      <c r="CU10" s="890">
        <f>IF($B10&lt;1,"",AVERAGEIF('09월 에너지'!$A$14:$A$949,$A10,'09월 에너지'!AH$14:AH$949))</f>
        <v>6</v>
      </c>
      <c r="CV10" s="890">
        <f>IF($B10&lt;1,"",AVERAGEIF('09월 에너지'!$A$14:$A$949,$A10,'09월 에너지'!AI$14:AI$949))</f>
        <v>148.62068965517241</v>
      </c>
      <c r="CW10" s="893">
        <f>IF($B10&lt;1,"",AVERAGEIF('09월 에너지'!$A$14:$A$949,$A10,'09월 에너지'!AJ$14:AJ$949))</f>
        <v>1.0358016905878942</v>
      </c>
    </row>
    <row r="11" spans="1:101" ht="15.75" customHeight="1">
      <c r="A11" s="883">
        <f t="shared" si="1"/>
        <v>46272</v>
      </c>
      <c r="B11" s="884">
        <f>COUNTIF('09월 조업일지'!$A$12:$A$952,A11)</f>
        <v>31</v>
      </c>
      <c r="C11" s="885">
        <f t="shared" si="0"/>
        <v>47.548387096774192</v>
      </c>
      <c r="D11" s="885">
        <f>IF($B11&lt;1,"",(SUMIF('09월 조업일지'!$A$12:$A$952,$A11,'09월 조업일지'!$K$12:$K$952))/B11)</f>
        <v>0.77419354838709675</v>
      </c>
      <c r="E11" s="885">
        <f>IF($B11&lt;1,"",AVERAGEIF('09월 조업일지'!$A$12:$A$952,$A11,'09월 조업일지'!$J$12:$J$952))</f>
        <v>48.322580645161288</v>
      </c>
      <c r="F11" s="886">
        <f>IF($B11&lt;1,"",AVERAGEIF('09월 에너지'!$A$14:$A$949,$A11,'09월 에너지'!$M$14:M$949))</f>
        <v>46.016129032258064</v>
      </c>
      <c r="G11" s="887">
        <f>IF($B11&lt;1,"",AVERAGEIF('09월 조업일지'!$A$12:$A$952,$A11,'09월 조업일지'!$AJ$12:$AJ$952))</f>
        <v>9.9677419354838701</v>
      </c>
      <c r="H11" s="887">
        <f>IF($B11&lt;1,"",AVERAGEIF('09월 조업일지'!$A$12:$A$952,$A11,'09월 조업일지'!$AL$12:$AL$952))</f>
        <v>7.806451612903226</v>
      </c>
      <c r="I11" s="888">
        <f>IF($B11&lt;1,"",AVERAGEIF('09월 화학성분'!$A$12:$A$949,$A11,'09월 화학성분'!G$12:G$949))</f>
        <v>10.290322580645162</v>
      </c>
      <c r="J11" s="888">
        <f>IF($B11&lt;1,"",AVERAGEIF('09월 화학성분'!$A$12:$A$949,$A11,'09월 화학성분'!H$12:H$949))</f>
        <v>20.419354838709676</v>
      </c>
      <c r="K11" s="888">
        <f>IF($B11&lt;1,"",AVERAGEIF('09월 화학성분'!$A$12:$A$949,$A11,'09월 화학성분'!I$12:I$949))</f>
        <v>108.87096774193549</v>
      </c>
      <c r="L11" s="888">
        <f>IF($B11&lt;1,"",AVERAGEIF('09월 화학성분'!$A$12:$A$949,$A11,'09월 화학성분'!J$12:J$949))</f>
        <v>17</v>
      </c>
      <c r="M11" s="888">
        <f>IF($B11&lt;1,"",AVERAGEIF('09월 화학성분'!$A$12:$A$949,$A11,'09월 화학성분'!K$12:K$949))</f>
        <v>30.193548387096776</v>
      </c>
      <c r="N11" s="888">
        <f>IF($B11&lt;1,"",AVERAGEIF('09월 화학성분'!$A$12:$A$949,$A11,'09월 화학성분'!L$12:L$949))</f>
        <v>14.290322580645162</v>
      </c>
      <c r="O11" s="888">
        <f>IF($B11&lt;1,"",AVERAGEIF('09월 화학성분'!$A$12:$A$949,$A11,'09월 화학성분'!M$12:M$949))</f>
        <v>9.32258064516129</v>
      </c>
      <c r="P11" s="889">
        <f>IF($B11&lt;1,"",AVERAGEIF('09월 조업일지'!$A$12:$A$952,$A11,'09월 조업일지'!$AK$12:$AK$952))</f>
        <v>577.29032258064512</v>
      </c>
      <c r="Q11" s="888">
        <f>IF($B11&lt;1,"",AVERAGEIF('09월 화학성분'!$A$12:$A$949,$A11,'09월 화학성분'!$G$12:$G$949))</f>
        <v>10.290322580645162</v>
      </c>
      <c r="R11" s="889">
        <f>IF($B11&lt;1,"",AVERAGEIF('09월 조업일지'!$A$12:$A$952,$A11,'09월 조업일지'!$AI$12:$AI$952))</f>
        <v>1562.1612903225807</v>
      </c>
      <c r="S11" s="888">
        <f>IF($B11&lt;1,"",AVERAGEIF('09월 화학성분'!$A$12:$A$949,$A11,'09월 화학성분'!$AM$12:$AM$949))</f>
        <v>2247.0967741935483</v>
      </c>
      <c r="T11" s="890">
        <f>IF($B11&lt;1,"",AVERAGEIF('09월 화학성분'!$A$12:$A$949,$A11,'09월 화학성분'!N$12:N$949))</f>
        <v>429.58064516129031</v>
      </c>
      <c r="U11" s="890" t="e">
        <f>IF($B11&lt;1,"",AVERAGEIF('09월 화학성분'!$A$12:$A$949,$A11,'09월 화학성분'!O$12:O$949))</f>
        <v>#DIV/0!</v>
      </c>
      <c r="V11" s="890">
        <f>IF($B11&lt;1,"",AVERAGEIF('09월 화학성분'!$A$12:$A$949,$A11,'09월 화학성분'!P$12:P$949))</f>
        <v>1002.9032258064516</v>
      </c>
      <c r="W11" s="890">
        <f>IF($B11&lt;1,"",AVERAGEIF('09월 화학성분'!$A$12:$A$949,$A11,'09월 화학성분'!Q$12:Q$949))</f>
        <v>953.22580645161293</v>
      </c>
      <c r="X11" s="890" t="e">
        <f>IF($B11&lt;1,"",AVERAGEIF('09월 화학성분'!$A$12:$A$949,$A11,'09월 화학성분'!R$12:R$949))</f>
        <v>#DIV/0!</v>
      </c>
      <c r="Y11" s="890" t="e">
        <f>IF($B11&lt;1,"",AVERAGEIF('09월 화학성분'!$A$12:$A$949,$A11,'09월 화학성분'!U$12:U$949))</f>
        <v>#DIV/0!</v>
      </c>
      <c r="Z11" s="890">
        <f>IF($B11&lt;1,"",AVERAGEIF('09월 화학성분'!$A$12:$A$949,$A11,'09월 화학성분'!V$12:V$949))</f>
        <v>443.09677419354841</v>
      </c>
      <c r="AA11" s="890" t="e">
        <f>IF($B11&lt;1,"",AVERAGEIF('09월 화학성분'!$A$12:$A$949,$A11,'09월 화학성분'!W$12:W$949))</f>
        <v>#DIV/0!</v>
      </c>
      <c r="AB11" s="890" t="e">
        <f>IF($B11&lt;1,"",AVERAGEIF('09월 화학성분'!$A$12:$A$949,$A11,'09월 화학성분'!AA$12:AA$949))</f>
        <v>#DIV/0!</v>
      </c>
      <c r="AC11" s="890" t="e">
        <f>IF($B11&lt;1,"",AVERAGEIF('09월 화학성분'!$A$12:$A$949,$A11,'09월 화학성분'!#REF!))</f>
        <v>#REF!</v>
      </c>
      <c r="AD11" s="890">
        <f>IF($B11&lt;1,"",AVERAGEIF('09월 화학성분'!$A$12:$A$949,$A11,'09월 화학성분'!AB$12:AB$949))</f>
        <v>0</v>
      </c>
      <c r="AE11" s="890" t="e">
        <f>IF($B11&lt;1,"",AVERAGEIF('09월 화학성분'!$A$12:$A$949,$A11,'09월 화학성분'!AC$12:AC$949))</f>
        <v>#DIV/0!</v>
      </c>
      <c r="AF11" s="890">
        <f>IF($B11&lt;1,"",AVERAGEIF('09월 화학성분'!$A$12:$A$949,$A11,'09월 화학성분'!AD$12:AD$949))</f>
        <v>281.48387096774195</v>
      </c>
      <c r="AG11" s="890">
        <f>IF($B11&lt;1,"",AVERAGEIF('09월 화학성분'!$A$12:$A$949,$A11,'09월 화학성분'!AF$12:AF$949))</f>
        <v>0</v>
      </c>
      <c r="AH11" s="890">
        <f>IF($B11&lt;1,"",AVERAGEIF('09월 화학성분'!$A$12:$A$949,$A11,'09월 화학성분'!AG$12:AG$949))</f>
        <v>96.806451612903231</v>
      </c>
      <c r="AI11" s="890">
        <f>IF($B11&lt;1,"",AVERAGEIF('09월 화학성분'!$A$12:$A$949,$A11,'09월 화학성분'!AH$12:AH$949))</f>
        <v>2008.258064516129</v>
      </c>
      <c r="AJ11" s="890">
        <f>IF($B11&lt;1,"",AVERAGEIF('09월 화학성분'!$A$12:$A$949,$A11,'09월 화학성분'!AI$12:AI$949))</f>
        <v>188.38461538461539</v>
      </c>
      <c r="AK11" s="890">
        <f>IF($B11&lt;1,"",AVERAGEIF('09월 화학성분'!$A$12:$A$949,$A11,'09월 화학성분'!AJ$12:AJ$949))</f>
        <v>85.903225806451616</v>
      </c>
      <c r="AL11" s="890" t="e">
        <f>IF($B11&lt;1,"",AVERAGEIF('09월 화학성분'!$A$12:$A$949,$A11,'09월 화학성분'!#REF!))</f>
        <v>#REF!</v>
      </c>
      <c r="AM11" s="890">
        <f>IF($B11&lt;1,"",AVERAGEIF('09월 화학성분'!$A$12:$A$949,$A11,'09월 화학성분'!AL$12:AL$949))</f>
        <v>115.82758620689656</v>
      </c>
      <c r="AN11" s="890">
        <f>IF($B11&lt;1,"",AVERAGEIF('09월 화학성분'!$A$12:$A$949,$A11,'09월 화학성분'!AM$12:AM$949))</f>
        <v>2247.0967741935483</v>
      </c>
      <c r="AO11" s="891">
        <f>IF($B11&lt;1,"",AVERAGEIF('09월 화학성분'!$A$12:$A$949,$A11,'09월 화학성분'!AN$12:AN$949))</f>
        <v>0.8111034785476533</v>
      </c>
      <c r="AP11" s="891">
        <f>IF($B11&lt;1,"",AVERAGEIF('09월 화학성분'!$A$12:$A$949,$A11,'09월 화학성분'!AO$12:AO$949))</f>
        <v>0.96137230033075693</v>
      </c>
      <c r="AQ11" s="890">
        <f>IF($B11&lt;1,"",AVERAGEIF('09월 화학성분'!$A$12:$A$949,$A11,'09월 화학성분'!AP$12:AP$949))</f>
        <v>143.17741935483869</v>
      </c>
      <c r="AR11" s="890" t="e">
        <f>IF($B11&lt;1,"",AVERAGEIF('09월 고철장입'!$A$14:$A$949,$A11,'09월 고철장입'!G$14:G$949)/1000)</f>
        <v>#DIV/0!</v>
      </c>
      <c r="AS11" s="890" t="e">
        <f>IF($B11&lt;1,"",AVERAGEIF('09월 고철장입'!$A$14:$A$949,$A11,'09월 고철장입'!H$14:H$949)/1000)</f>
        <v>#DIV/0!</v>
      </c>
      <c r="AT11" s="890" t="e">
        <f>IF($B11&lt;1,"",AVERAGEIF('09월 고철장입'!$A$14:$A$949,$A11,'09월 고철장입'!I$14:I$949)/1000)</f>
        <v>#DIV/0!</v>
      </c>
      <c r="AU11" s="890" t="e">
        <f>IF($B11&lt;1,"",AVERAGEIF('09월 고철장입'!$A$14:$A$949,$A11,'09월 고철장입'!J$14:J$949)/1000)</f>
        <v>#DIV/0!</v>
      </c>
      <c r="AV11" s="890" t="e">
        <f>IF($B11&lt;1,"",AVERAGEIF('09월 고철장입'!$A$14:$A$949,$A11,'09월 고철장입'!K$14:K$949)/1000)</f>
        <v>#DIV/0!</v>
      </c>
      <c r="AW11" s="890" t="e">
        <f>IF($B11&lt;1,"",AVERAGEIF('09월 고철장입'!$A$14:$A$949,$A11,'09월 고철장입'!L$14:L$949)/1000)</f>
        <v>#DIV/0!</v>
      </c>
      <c r="AX11" s="890" t="e">
        <f>IF($B11&lt;1,"",AVERAGEIF('09월 고철장입'!$A$14:$A$949,$A11,'09월 고철장입'!M$14:M$949)/1000)</f>
        <v>#DIV/0!</v>
      </c>
      <c r="AY11" s="890" t="e">
        <f>IF($B11&lt;1,"",AVERAGEIF('09월 고철장입'!$A$14:$A$949,$A11,'09월 고철장입'!N$14:N$949)/1000)</f>
        <v>#DIV/0!</v>
      </c>
      <c r="AZ11" s="890" t="e">
        <f>IF($B11&lt;1,"",AVERAGEIF('09월 고철장입'!$A$14:$A$949,$A11,'09월 고철장입'!O$14:O$949)/1000)</f>
        <v>#DIV/0!</v>
      </c>
      <c r="BA11" s="890">
        <f>IF($B11&lt;1,"",AVERAGEIF('09월 고철장입'!$A$14:$A$949,$A11,'09월 고철장입'!P$14:P$949)/1000)</f>
        <v>58.612903225806456</v>
      </c>
      <c r="BB11" s="890">
        <f>IF($B11&lt;1,"",AVERAGEIF('09월 고철장입'!$A$14:$A$949,$A11,'09월 고철장입'!Q$14:Q$949)/1000)</f>
        <v>18.235483870967741</v>
      </c>
      <c r="BC11" s="890">
        <f>IF($B11&lt;1,"",AVERAGEIF('09월 고철장입'!$A$14:$A$949,$A11,'09월 고철장입'!S$14:S$949)/1000)</f>
        <v>0</v>
      </c>
      <c r="BD11" s="890">
        <f>IF($B11&lt;1,"",AVERAGEIF('09월 고철장입'!$A$14:$A$949,$A11,'09월 고철장입'!T$14:T$949)/1000)</f>
        <v>0.3</v>
      </c>
      <c r="BE11" s="890">
        <f>IF($B11&lt;1,"",AVERAGEIF('09월 고철장입'!$A$14:$A$949,$A11,'09월 고철장입'!U$14:U$949)/1000)</f>
        <v>9.7193548387096786</v>
      </c>
      <c r="BF11" s="890">
        <f>IF($B11&lt;1,"",AVERAGEIF('09월 고철장입'!$A$14:$A$949,$A11,'09월 고철장입'!V$14:V$949)/1000)</f>
        <v>20.238709677419354</v>
      </c>
      <c r="BG11" s="890">
        <f>IF($B11&lt;1,"",AVERAGEIF('09월 고철장입'!$A$14:$A$949,$A11,'09월 고철장입'!W$14:W$949)/1000)</f>
        <v>3.3233333333333337</v>
      </c>
      <c r="BH11" s="890">
        <f>IF($B11&lt;1,"",AVERAGEIF('09월 고철장입'!$A$14:$A$949,$A11,'09월 고철장입'!Y$14:Y$949)/1000)</f>
        <v>9.1967741935483858</v>
      </c>
      <c r="BI11" s="890">
        <f>IF($B11&lt;1,"",AVERAGEIF('09월 고철장입'!$A$14:$A$949,$A11,'09월 고철장입'!AB$14:AB$949)/1000)</f>
        <v>2.5516129032258061</v>
      </c>
      <c r="BJ11" s="890">
        <f>IF($B11&lt;1,"",AVERAGEIF('09월 고철장입'!$A$14:$A$949,$A11,'09월 고철장입'!AC$14:AC$949)/1000)</f>
        <v>0.83636363636363642</v>
      </c>
      <c r="BK11" s="890">
        <f>IF($B11&lt;1,"",AVERAGEIF('09월 고철장입'!$A$14:$A$949,$A11,'09월 고철장입'!AD$14:AD$949)/1000)</f>
        <v>1.2636363636363637</v>
      </c>
      <c r="BL11" s="890">
        <f>IF($B11&lt;1,"",AVERAGEIF('09월 고철장입'!$A$14:$A$949,$A11,'09월 고철장입'!AE$14:AE$949)/1000)</f>
        <v>140.09032258064516</v>
      </c>
      <c r="BM11" s="890">
        <f>IF($B11&lt;1,"",AVERAGEIF('09월 고철장입'!$A$14:$A$949,$A11,'09월 고철장입'!AF$14:AF$949)/1000)</f>
        <v>5.24</v>
      </c>
      <c r="BN11" s="890">
        <f>IF($B11&lt;1,"",AVERAGEIF('09월 고철장입'!$A$14:$A$949,$A11,'09월 고철장입'!AG$14:AG$949)/1000)</f>
        <v>8.741935483870968</v>
      </c>
      <c r="BO11" s="890">
        <f>IF($B11&lt;1,"",AVERAGEIF('09월 고철장입'!$A$14:$A$949,$A11,'09월 고철장입'!AH$14:AH$949)/1000)</f>
        <v>5.1354838709677413</v>
      </c>
      <c r="BP11" s="890">
        <f>IF($B11&lt;1,"",AVERAGEIF('09월 고철장입'!$A$14:$A$949,$A11,'09월 고철장입'!AI$14:AI$949)/1000)</f>
        <v>18.948387096774194</v>
      </c>
      <c r="BQ11" s="890">
        <f>IF($B11&lt;1,"",AVERAGEIF('09월 고철장입'!$A$14:$A$949,$A11,'09월 고철장입'!AJ$14:AJ$949)/1000)</f>
        <v>159.03870967741938</v>
      </c>
      <c r="BR11" s="890">
        <f>IF($B11&lt;1,"",AVERAGEIF('09월 고철장입'!$A$14:$A$949,$A11,'09월 고철장입'!AK$14:AK$949))</f>
        <v>143.17741935483869</v>
      </c>
      <c r="BS11" s="890">
        <f>IF($B11&lt;1,"",AVERAGEIF('09월 고철장입'!$A$14:$A$949,$A11,'09월 고철장입'!AL$14:AL$949)*100)</f>
        <v>90.034047285070201</v>
      </c>
      <c r="BT11" s="890">
        <f>IF($B11&lt;1,"",AVERAGEIF('09월 에너지'!$A$14:$A$949,$A11,'09월 에너지'!G$14:G$949))</f>
        <v>19.041935483870969</v>
      </c>
      <c r="BU11" s="892">
        <f>IF($B11&lt;1,"",AVERAGEIF('09월 에너지'!$A$14:$A$949,$A11,'09월 에너지'!H$14:H$949))</f>
        <v>23303.225806451614</v>
      </c>
      <c r="BV11" s="890">
        <f>IF($B11&lt;1,"",AVERAGEIF('09월 에너지'!$A$14:$A$949,$A11,'09월 에너지'!I$14:I$949))</f>
        <v>16.770967741935483</v>
      </c>
      <c r="BW11" s="892">
        <f>IF($B11&lt;1,"",AVERAGEIF('09월 에너지'!$A$14:$A$949,$A11,'09월 에너지'!J$14:J$949))</f>
        <v>20906.451612903227</v>
      </c>
      <c r="BX11" s="890">
        <f>IF($B11&lt;1,"",AVERAGEIF('09월 에너지'!$A$14:$A$949,$A11,'09월 에너지'!K$14:K$949))</f>
        <v>10.203225806451615</v>
      </c>
      <c r="BY11" s="892">
        <f>IF($B11&lt;1,"",AVERAGEIF('09월 에너지'!$A$14:$A$949,$A11,'09월 에너지'!L$14:L$949))</f>
        <v>12987.096774193549</v>
      </c>
      <c r="BZ11" s="890">
        <f>IF($B11&lt;1,"",AVERAGEIF('09월 에너지'!$A$14:$A$949,$A11,'09월 에너지'!M$14:M$949))</f>
        <v>46.016129032258064</v>
      </c>
      <c r="CA11" s="892">
        <f>IF($B11&lt;1,"",AVERAGEIF('09월 에너지'!$A$14:$A$949,$A11,'09월 에너지'!N$14:N$949))</f>
        <v>57196.774193548386</v>
      </c>
      <c r="CB11" s="890">
        <f>IF($B11&lt;1,"",AVERAGEIF('09월 에너지'!$A$14:$A$949,$A11,'09월 에너지'!O$14:O$949))</f>
        <v>162.75208266858436</v>
      </c>
      <c r="CC11" s="890">
        <f>IF($B11&lt;1,"",AVERAGEIF('09월 에너지'!$A$14:$A$949,$A11,'09월 에너지'!P$14:P$949))</f>
        <v>146.02336405837207</v>
      </c>
      <c r="CD11" s="890">
        <f>IF($B11&lt;1,"",AVERAGEIF('09월 에너지'!$A$14:$A$949,$A11,'09월 에너지'!Q$14:Q$949))</f>
        <v>90.751147129343551</v>
      </c>
      <c r="CE11" s="890">
        <f>IF($B11&lt;1,"",AVERAGEIF('09월 에너지'!$A$14:$A$949,$A11,'09월 에너지'!R$14:R$949))</f>
        <v>399.5265938563</v>
      </c>
      <c r="CF11" s="890">
        <f>IF($B11&lt;1,"",AVERAGEIF('09월 에너지'!$A$14:$A$949,$A11,'09월 에너지'!S$14:S$949))</f>
        <v>143.17741935483869</v>
      </c>
      <c r="CG11" s="890">
        <f>IF($B11&lt;1,"",AVERAGEIF('09월 에너지'!$A$14:$A$949,$A11,'09월 에너지'!T$14:T$949))</f>
        <v>0</v>
      </c>
      <c r="CH11" s="890">
        <f>IF($B11&lt;1,"",AVERAGEIF('09월 에너지'!$A$14:$A$949,$A11,'09월 에너지'!U$14:U$949))</f>
        <v>83.677419354838705</v>
      </c>
      <c r="CI11" s="892">
        <f>IF($B11&lt;1,"",AVERAGEIF('09월 에너지'!$A$14:$A$949,$A11,'09월 에너지'!V$14:V$949))</f>
        <v>263.25806451612902</v>
      </c>
      <c r="CJ11" s="892">
        <f>IF($B11&lt;1,"",AVERAGEIF('09월 에너지'!$A$14:$A$949,$A11,'09월 에너지'!W$14:W$949))</f>
        <v>346.93548387096774</v>
      </c>
      <c r="CK11" s="890">
        <f>IF($B11&lt;1,"",AVERAGEIF('09월 에너지'!$A$14:$A$949,$A11,'09월 에너지'!X$14:X$949))</f>
        <v>2.4240833737997867</v>
      </c>
      <c r="CL11" s="892">
        <f>IF($B11&lt;1,"",AVERAGEIF('09월 에너지'!$A$14:$A$949,$A11,'09월 에너지'!Y$14:Y$949))</f>
        <v>1578.6451612903227</v>
      </c>
      <c r="CM11" s="892">
        <f>IF($B11&lt;1,"",AVERAGEIF('09월 에너지'!$A$14:$A$949,$A11,'09월 에너지'!Z$14:Z$949))</f>
        <v>1399.483870967742</v>
      </c>
      <c r="CN11" s="892">
        <f>IF($B11&lt;1,"",AVERAGEIF('09월 에너지'!$A$14:$A$949,$A11,'09월 에너지'!AA$14:AA$949))</f>
        <v>742.51612903225805</v>
      </c>
      <c r="CO11" s="892">
        <f>IF($B11&lt;1,"",AVERAGEIF('09월 에너지'!$A$14:$A$949,$A11,'09월 에너지'!AB$14:AB$949))</f>
        <v>3720.6451612903224</v>
      </c>
      <c r="CP11" s="890">
        <f>IF($B11&lt;1,"",AVERAGEIF('09월 에너지'!$A$14:$A$949,$A11,'09월 에너지'!AC$14:AC$949))</f>
        <v>25.987798829927993</v>
      </c>
      <c r="CQ11" s="888">
        <f>IF($B11&lt;1,"",AVERAGEIF('09월 에너지'!$A$14:$A$949,$A11,'09월 에너지'!AD$14:AD$949))</f>
        <v>4067.5806451612902</v>
      </c>
      <c r="CR11" s="888">
        <f>IF($B11&lt;1,"",AVERAGEIF('09월 에너지'!$A$14:$A$949,$A11,'09월 에너지'!AE$14:AE$949))</f>
        <v>28.411882203727778</v>
      </c>
      <c r="CS11" s="890">
        <f>IF($B11&lt;1,"",AVERAGEIF('09월 에너지'!$A$14:$A$949,$A11,'09월 에너지'!AF$14:AF$949))</f>
        <v>78.290322580645167</v>
      </c>
      <c r="CT11" s="890">
        <f>IF($B11&lt;1,"",AVERAGEIF('09월 에너지'!$A$14:$A$949,$A11,'09월 에너지'!AG$14:AG$949))</f>
        <v>62.225806451612904</v>
      </c>
      <c r="CU11" s="890">
        <f>IF($B11&lt;1,"",AVERAGEIF('09월 에너지'!$A$14:$A$949,$A11,'09월 에너지'!AH$14:AH$949))</f>
        <v>6.225806451612903</v>
      </c>
      <c r="CV11" s="890">
        <f>IF($B11&lt;1,"",AVERAGEIF('09월 에너지'!$A$14:$A$949,$A11,'09월 에너지'!AI$14:AI$949))</f>
        <v>146.74193548387098</v>
      </c>
      <c r="CW11" s="893">
        <f>IF($B11&lt;1,"",AVERAGEIF('09월 에너지'!$A$14:$A$949,$A11,'09월 에너지'!AJ$14:AJ$949))</f>
        <v>1.0249541565308706</v>
      </c>
    </row>
    <row r="12" spans="1:101" ht="15.75" customHeight="1">
      <c r="A12" s="883">
        <f t="shared" si="1"/>
        <v>46273</v>
      </c>
      <c r="B12" s="884">
        <f>COUNTIF('09월 조업일지'!$A$12:$A$952,A12)</f>
        <v>28</v>
      </c>
      <c r="C12" s="885">
        <f t="shared" si="0"/>
        <v>47.142857142857146</v>
      </c>
      <c r="D12" s="885">
        <f>IF($B12&lt;1,"",(SUMIF('09월 조업일지'!$A$12:$A$952,$A12,'09월 조업일지'!$K$12:$K$952))/B12)</f>
        <v>4.0714285714285712</v>
      </c>
      <c r="E12" s="885">
        <f>IF($B12&lt;1,"",AVERAGEIF('09월 조업일지'!$A$12:$A$952,$A12,'09월 조업일지'!$J$12:$J$952))</f>
        <v>51.214285714285715</v>
      </c>
      <c r="F12" s="886">
        <f>IF($B12&lt;1,"",AVERAGEIF('09월 에너지'!$A$14:$A$949,$A12,'09월 에너지'!$M$14:M$949))</f>
        <v>45.86071428571428</v>
      </c>
      <c r="G12" s="887">
        <f>IF($B12&lt;1,"",AVERAGEIF('09월 조업일지'!$A$12:$A$952,$A12,'09월 조업일지'!$AJ$12:$AJ$952))</f>
        <v>12.392857142857142</v>
      </c>
      <c r="H12" s="887">
        <f>IF($B12&lt;1,"",AVERAGEIF('09월 조업일지'!$A$12:$A$952,$A12,'09월 조업일지'!$AL$12:$AL$952))</f>
        <v>7.1923076923076925</v>
      </c>
      <c r="I12" s="888">
        <f>IF($B12&lt;1,"",AVERAGEIF('09월 화학성분'!$A$12:$A$949,$A12,'09월 화학성분'!G$12:G$949))</f>
        <v>10.964285714285714</v>
      </c>
      <c r="J12" s="888">
        <f>IF($B12&lt;1,"",AVERAGEIF('09월 화학성분'!$A$12:$A$949,$A12,'09월 화학성분'!H$12:H$949))</f>
        <v>24.678571428571427</v>
      </c>
      <c r="K12" s="888">
        <f>IF($B12&lt;1,"",AVERAGEIF('09월 화학성분'!$A$12:$A$949,$A12,'09월 화학성분'!I$12:I$949))</f>
        <v>129.32142857142858</v>
      </c>
      <c r="L12" s="888">
        <f>IF($B12&lt;1,"",AVERAGEIF('09월 화학성분'!$A$12:$A$949,$A12,'09월 화학성분'!J$12:J$949))</f>
        <v>15.142857142857142</v>
      </c>
      <c r="M12" s="888">
        <f>IF($B12&lt;1,"",AVERAGEIF('09월 화학성분'!$A$12:$A$949,$A12,'09월 화학성분'!K$12:K$949))</f>
        <v>31.035714285714285</v>
      </c>
      <c r="N12" s="888">
        <f>IF($B12&lt;1,"",AVERAGEIF('09월 화학성분'!$A$12:$A$949,$A12,'09월 화학성분'!L$12:L$949))</f>
        <v>12.178571428571429</v>
      </c>
      <c r="O12" s="888">
        <f>IF($B12&lt;1,"",AVERAGEIF('09월 화학성분'!$A$12:$A$949,$A12,'09월 화학성분'!M$12:M$949))</f>
        <v>10.357142857142858</v>
      </c>
      <c r="P12" s="889">
        <f>IF($B12&lt;1,"",AVERAGEIF('09월 조업일지'!$A$12:$A$952,$A12,'09월 조업일지'!$AK$12:$AK$952))</f>
        <v>590.03846153846155</v>
      </c>
      <c r="Q12" s="888">
        <f>IF($B12&lt;1,"",AVERAGEIF('09월 화학성분'!$A$12:$A$949,$A12,'09월 화학성분'!$G$12:$G$949))</f>
        <v>10.964285714285714</v>
      </c>
      <c r="R12" s="889">
        <f>IF($B12&lt;1,"",AVERAGEIF('09월 조업일지'!$A$12:$A$952,$A12,'09월 조업일지'!$AI$12:$AI$952))</f>
        <v>1560.7142857142858</v>
      </c>
      <c r="S12" s="888">
        <f>IF($B12&lt;1,"",AVERAGEIF('09월 화학성분'!$A$12:$A$949,$A12,'09월 화학성분'!$AM$12:$AM$949))</f>
        <v>2002.5</v>
      </c>
      <c r="T12" s="890">
        <f>IF($B12&lt;1,"",AVERAGEIF('09월 화학성분'!$A$12:$A$949,$A12,'09월 화학성분'!N$12:N$949))</f>
        <v>413.92857142857144</v>
      </c>
      <c r="U12" s="890" t="e">
        <f>IF($B12&lt;1,"",AVERAGEIF('09월 화학성분'!$A$12:$A$949,$A12,'09월 화학성분'!O$12:O$949))</f>
        <v>#DIV/0!</v>
      </c>
      <c r="V12" s="890">
        <f>IF($B12&lt;1,"",AVERAGEIF('09월 화학성분'!$A$12:$A$949,$A12,'09월 화학성분'!P$12:P$949))</f>
        <v>1024</v>
      </c>
      <c r="W12" s="890">
        <f>IF($B12&lt;1,"",AVERAGEIF('09월 화학성분'!$A$12:$A$949,$A12,'09월 화학성분'!Q$12:Q$949))</f>
        <v>951.42857142857144</v>
      </c>
      <c r="X12" s="890" t="e">
        <f>IF($B12&lt;1,"",AVERAGEIF('09월 화학성분'!$A$12:$A$949,$A12,'09월 화학성분'!R$12:R$949))</f>
        <v>#DIV/0!</v>
      </c>
      <c r="Y12" s="890" t="e">
        <f>IF($B12&lt;1,"",AVERAGEIF('09월 화학성분'!$A$12:$A$949,$A12,'09월 화학성분'!U$12:U$949))</f>
        <v>#DIV/0!</v>
      </c>
      <c r="Z12" s="890">
        <f>IF($B12&lt;1,"",AVERAGEIF('09월 화학성분'!$A$12:$A$949,$A12,'09월 화학성분'!V$12:V$949))</f>
        <v>421</v>
      </c>
      <c r="AA12" s="890" t="e">
        <f>IF($B12&lt;1,"",AVERAGEIF('09월 화학성분'!$A$12:$A$949,$A12,'09월 화학성분'!W$12:W$949))</f>
        <v>#DIV/0!</v>
      </c>
      <c r="AB12" s="890" t="e">
        <f>IF($B12&lt;1,"",AVERAGEIF('09월 화학성분'!$A$12:$A$949,$A12,'09월 화학성분'!AA$12:AA$949))</f>
        <v>#DIV/0!</v>
      </c>
      <c r="AC12" s="890" t="e">
        <f>IF($B12&lt;1,"",AVERAGEIF('09월 화학성분'!$A$12:$A$949,$A12,'09월 화학성분'!#REF!))</f>
        <v>#REF!</v>
      </c>
      <c r="AD12" s="890">
        <f>IF($B12&lt;1,"",AVERAGEIF('09월 화학성분'!$A$12:$A$949,$A12,'09월 화학성분'!AB$12:AB$949))</f>
        <v>0</v>
      </c>
      <c r="AE12" s="890" t="e">
        <f>IF($B12&lt;1,"",AVERAGEIF('09월 화학성분'!$A$12:$A$949,$A12,'09월 화학성분'!AC$12:AC$949))</f>
        <v>#DIV/0!</v>
      </c>
      <c r="AF12" s="890">
        <f>IF($B12&lt;1,"",AVERAGEIF('09월 화학성분'!$A$12:$A$949,$A12,'09월 화학성분'!AD$12:AD$949))</f>
        <v>281.75</v>
      </c>
      <c r="AG12" s="890">
        <f>IF($B12&lt;1,"",AVERAGEIF('09월 화학성분'!$A$12:$A$949,$A12,'09월 화학성분'!AF$12:AF$949))</f>
        <v>0</v>
      </c>
      <c r="AH12" s="890">
        <f>IF($B12&lt;1,"",AVERAGEIF('09월 화학성분'!$A$12:$A$949,$A12,'09월 화학성분'!AG$12:AG$949))</f>
        <v>101.64285714285714</v>
      </c>
      <c r="AI12" s="890">
        <f>IF($B12&lt;1,"",AVERAGEIF('09월 화학성분'!$A$12:$A$949,$A12,'09월 화학성분'!AH$12:AH$949))</f>
        <v>2351.5</v>
      </c>
      <c r="AJ12" s="890">
        <f>IF($B12&lt;1,"",AVERAGEIF('09월 화학성분'!$A$12:$A$949,$A12,'09월 화학성분'!AI$12:AI$949))</f>
        <v>89.260869565217391</v>
      </c>
      <c r="AK12" s="890">
        <f>IF($B12&lt;1,"",AVERAGEIF('09월 화학성분'!$A$12:$A$949,$A12,'09월 화학성분'!AJ$12:AJ$949))</f>
        <v>93.535714285714292</v>
      </c>
      <c r="AL12" s="890" t="e">
        <f>IF($B12&lt;1,"",AVERAGEIF('09월 화학성분'!$A$12:$A$949,$A12,'09월 화학성분'!#REF!))</f>
        <v>#REF!</v>
      </c>
      <c r="AM12" s="890">
        <f>IF($B12&lt;1,"",AVERAGEIF('09월 화학성분'!$A$12:$A$949,$A12,'09월 화학성분'!AL$12:AL$949))</f>
        <v>123.64285714285714</v>
      </c>
      <c r="AN12" s="890">
        <f>IF($B12&lt;1,"",AVERAGEIF('09월 화학성분'!$A$12:$A$949,$A12,'09월 화학성분'!AM$12:AM$949))</f>
        <v>2002.5</v>
      </c>
      <c r="AO12" s="891">
        <f>IF($B12&lt;1,"",AVERAGEIF('09월 화학성분'!$A$12:$A$949,$A12,'09월 화학성분'!AN$12:AN$949))</f>
        <v>0.87650525172947835</v>
      </c>
      <c r="AP12" s="891">
        <f>IF($B12&lt;1,"",AVERAGEIF('09월 화학성분'!$A$12:$A$949,$A12,'09월 화학성분'!AO$12:AO$949))</f>
        <v>1.0079470983310943</v>
      </c>
      <c r="AQ12" s="890">
        <f>IF($B12&lt;1,"",AVERAGEIF('09월 화학성분'!$A$12:$A$949,$A12,'09월 화학성분'!AP$12:AP$949))</f>
        <v>145.16428571428568</v>
      </c>
      <c r="AR12" s="890" t="e">
        <f>IF($B12&lt;1,"",AVERAGEIF('09월 고철장입'!$A$14:$A$949,$A12,'09월 고철장입'!G$14:G$949)/1000)</f>
        <v>#DIV/0!</v>
      </c>
      <c r="AS12" s="890" t="e">
        <f>IF($B12&lt;1,"",AVERAGEIF('09월 고철장입'!$A$14:$A$949,$A12,'09월 고철장입'!H$14:H$949)/1000)</f>
        <v>#DIV/0!</v>
      </c>
      <c r="AT12" s="890" t="e">
        <f>IF($B12&lt;1,"",AVERAGEIF('09월 고철장입'!$A$14:$A$949,$A12,'09월 고철장입'!I$14:I$949)/1000)</f>
        <v>#DIV/0!</v>
      </c>
      <c r="AU12" s="890" t="e">
        <f>IF($B12&lt;1,"",AVERAGEIF('09월 고철장입'!$A$14:$A$949,$A12,'09월 고철장입'!J$14:J$949)/1000)</f>
        <v>#DIV/0!</v>
      </c>
      <c r="AV12" s="890" t="e">
        <f>IF($B12&lt;1,"",AVERAGEIF('09월 고철장입'!$A$14:$A$949,$A12,'09월 고철장입'!K$14:K$949)/1000)</f>
        <v>#DIV/0!</v>
      </c>
      <c r="AW12" s="890" t="e">
        <f>IF($B12&lt;1,"",AVERAGEIF('09월 고철장입'!$A$14:$A$949,$A12,'09월 고철장입'!L$14:L$949)/1000)</f>
        <v>#DIV/0!</v>
      </c>
      <c r="AX12" s="890" t="e">
        <f>IF($B12&lt;1,"",AVERAGEIF('09월 고철장입'!$A$14:$A$949,$A12,'09월 고철장입'!M$14:M$949)/1000)</f>
        <v>#DIV/0!</v>
      </c>
      <c r="AY12" s="890" t="e">
        <f>IF($B12&lt;1,"",AVERAGEIF('09월 고철장입'!$A$14:$A$949,$A12,'09월 고철장입'!N$14:N$949)/1000)</f>
        <v>#DIV/0!</v>
      </c>
      <c r="AZ12" s="890" t="e">
        <f>IF($B12&lt;1,"",AVERAGEIF('09월 고철장입'!$A$14:$A$949,$A12,'09월 고철장입'!O$14:O$949)/1000)</f>
        <v>#DIV/0!</v>
      </c>
      <c r="BA12" s="890">
        <f>IF($B12&lt;1,"",AVERAGEIF('09월 고철장입'!$A$14:$A$949,$A12,'09월 고철장입'!P$14:P$949)/1000)</f>
        <v>53.128571428571426</v>
      </c>
      <c r="BB12" s="890">
        <f>IF($B12&lt;1,"",AVERAGEIF('09월 고철장입'!$A$14:$A$949,$A12,'09월 고철장입'!Q$14:Q$949)/1000)</f>
        <v>19.235714285714288</v>
      </c>
      <c r="BC12" s="890">
        <f>IF($B12&lt;1,"",AVERAGEIF('09월 고철장입'!$A$14:$A$949,$A12,'09월 고철장입'!S$14:S$949)/1000)</f>
        <v>0</v>
      </c>
      <c r="BD12" s="890">
        <f>IF($B12&lt;1,"",AVERAGEIF('09월 고철장입'!$A$14:$A$949,$A12,'09월 고철장입'!T$14:T$949)/1000)</f>
        <v>3.1124999999999998</v>
      </c>
      <c r="BE12" s="890">
        <f>IF($B12&lt;1,"",AVERAGEIF('09월 고철장입'!$A$14:$A$949,$A12,'09월 고철장입'!U$14:U$949)/1000)</f>
        <v>10.685714285714287</v>
      </c>
      <c r="BF12" s="890">
        <f>IF($B12&lt;1,"",AVERAGEIF('09월 고철장입'!$A$14:$A$949,$A12,'09월 고철장입'!V$14:V$949)/1000)</f>
        <v>13.817857142857143</v>
      </c>
      <c r="BG12" s="890">
        <f>IF($B12&lt;1,"",AVERAGEIF('09월 고철장입'!$A$14:$A$949,$A12,'09월 고철장입'!W$14:W$949)/1000)</f>
        <v>3.2535714285714286</v>
      </c>
      <c r="BH12" s="890">
        <f>IF($B12&lt;1,"",AVERAGEIF('09월 고철장입'!$A$14:$A$949,$A12,'09월 고철장입'!Y$14:Y$949)/1000)</f>
        <v>15.464285714285714</v>
      </c>
      <c r="BI12" s="890">
        <f>IF($B12&lt;1,"",AVERAGEIF('09월 고철장입'!$A$14:$A$949,$A12,'09월 고철장입'!AB$14:AB$949)/1000)</f>
        <v>2.9357142857142859</v>
      </c>
      <c r="BJ12" s="890">
        <f>IF($B12&lt;1,"",AVERAGEIF('09월 고철장입'!$A$14:$A$949,$A12,'09월 고철장입'!AC$14:AC$949)/1000)</f>
        <v>0</v>
      </c>
      <c r="BK12" s="890">
        <f>IF($B12&lt;1,"",AVERAGEIF('09월 고철장입'!$A$14:$A$949,$A12,'09월 고철장입'!AD$14:AD$949)/1000)</f>
        <v>2.5478260869565217</v>
      </c>
      <c r="BL12" s="890">
        <f>IF($B12&lt;1,"",AVERAGEIF('09월 고철장입'!$A$14:$A$949,$A12,'09월 고철장입'!AE$14:AE$949)/1000)</f>
        <v>139.90357142857141</v>
      </c>
      <c r="BM12" s="890">
        <f>IF($B12&lt;1,"",AVERAGEIF('09월 고철장입'!$A$14:$A$949,$A12,'09월 고철장입'!AF$14:AF$949)/1000)</f>
        <v>3.4607142857142859</v>
      </c>
      <c r="BN12" s="890">
        <f>IF($B12&lt;1,"",AVERAGEIF('09월 고철장입'!$A$14:$A$949,$A12,'09월 고철장입'!AG$14:AG$949)/1000)</f>
        <v>9.8249999999999993</v>
      </c>
      <c r="BO12" s="890">
        <f>IF($B12&lt;1,"",AVERAGEIF('09월 고철장입'!$A$14:$A$949,$A12,'09월 고철장입'!AH$14:AH$949)/1000)</f>
        <v>5.4464285714285712</v>
      </c>
      <c r="BP12" s="890">
        <f>IF($B12&lt;1,"",AVERAGEIF('09월 고철장입'!$A$14:$A$949,$A12,'09월 고철장입'!AI$14:AI$949)/1000)</f>
        <v>18.732142857142858</v>
      </c>
      <c r="BQ12" s="890">
        <f>IF($B12&lt;1,"",AVERAGEIF('09월 고철장입'!$A$14:$A$949,$A12,'09월 고철장입'!AJ$14:AJ$949)/1000)</f>
        <v>158.6357142857143</v>
      </c>
      <c r="BR12" s="890">
        <f>IF($B12&lt;1,"",AVERAGEIF('09월 고철장입'!$A$14:$A$949,$A12,'09월 고철장입'!AK$14:AK$949))</f>
        <v>145.16428571428568</v>
      </c>
      <c r="BS12" s="890">
        <f>IF($B12&lt;1,"",AVERAGEIF('09월 고철장입'!$A$14:$A$949,$A12,'09월 고철장입'!AL$14:AL$949)*100)</f>
        <v>91.509368810998083</v>
      </c>
      <c r="BT12" s="890">
        <f>IF($B12&lt;1,"",AVERAGEIF('09월 에너지'!$A$14:$A$949,$A12,'09월 에너지'!G$14:G$949))</f>
        <v>18.87142857142857</v>
      </c>
      <c r="BU12" s="892">
        <f>IF($B12&lt;1,"",AVERAGEIF('09월 에너지'!$A$14:$A$949,$A12,'09월 에너지'!H$14:H$949))</f>
        <v>23221.428571428572</v>
      </c>
      <c r="BV12" s="890">
        <f>IF($B12&lt;1,"",AVERAGEIF('09월 에너지'!$A$14:$A$949,$A12,'09월 에너지'!I$14:I$949))</f>
        <v>16.55</v>
      </c>
      <c r="BW12" s="892">
        <f>IF($B12&lt;1,"",AVERAGEIF('09월 에너지'!$A$14:$A$949,$A12,'09월 에너지'!J$14:J$949))</f>
        <v>20453.571428571428</v>
      </c>
      <c r="BX12" s="890">
        <f>IF($B12&lt;1,"",AVERAGEIF('09월 에너지'!$A$14:$A$949,$A12,'09월 에너지'!K$14:K$949))</f>
        <v>10.439285714285715</v>
      </c>
      <c r="BY12" s="892">
        <f>IF($B12&lt;1,"",AVERAGEIF('09월 에너지'!$A$14:$A$949,$A12,'09월 에너지'!L$14:L$949))</f>
        <v>13217.857142857143</v>
      </c>
      <c r="BZ12" s="890">
        <f>IF($B12&lt;1,"",AVERAGEIF('09월 에너지'!$A$14:$A$949,$A12,'09월 에너지'!M$14:M$949))</f>
        <v>45.86071428571428</v>
      </c>
      <c r="CA12" s="892">
        <f>IF($B12&lt;1,"",AVERAGEIF('09월 에너지'!$A$14:$A$949,$A12,'09월 에너지'!N$14:N$949))</f>
        <v>56892.857142857145</v>
      </c>
      <c r="CB12" s="890">
        <f>IF($B12&lt;1,"",AVERAGEIF('09월 에너지'!$A$14:$A$949,$A12,'09월 에너지'!O$14:O$949))</f>
        <v>159.99148272582755</v>
      </c>
      <c r="CC12" s="890">
        <f>IF($B12&lt;1,"",AVERAGEIF('09월 에너지'!$A$14:$A$949,$A12,'09월 에너지'!P$14:P$949))</f>
        <v>140.91980066389729</v>
      </c>
      <c r="CD12" s="890">
        <f>IF($B12&lt;1,"",AVERAGEIF('09월 에너지'!$A$14:$A$949,$A12,'09월 에너지'!Q$14:Q$949))</f>
        <v>90.998119363487362</v>
      </c>
      <c r="CE12" s="890">
        <f>IF($B12&lt;1,"",AVERAGEIF('09월 에너지'!$A$14:$A$949,$A12,'09월 에너지'!R$14:R$949))</f>
        <v>391.90940275321219</v>
      </c>
      <c r="CF12" s="890">
        <f>IF($B12&lt;1,"",AVERAGEIF('09월 에너지'!$A$14:$A$949,$A12,'09월 에너지'!S$14:S$949))</f>
        <v>145.16428571428568</v>
      </c>
      <c r="CG12" s="890">
        <f>IF($B12&lt;1,"",AVERAGEIF('09월 에너지'!$A$14:$A$949,$A12,'09월 에너지'!T$14:T$949))</f>
        <v>0</v>
      </c>
      <c r="CH12" s="890">
        <f>IF($B12&lt;1,"",AVERAGEIF('09월 에너지'!$A$14:$A$949,$A12,'09월 에너지'!U$14:U$949))</f>
        <v>76.428571428571431</v>
      </c>
      <c r="CI12" s="892">
        <f>IF($B12&lt;1,"",AVERAGEIF('09월 에너지'!$A$14:$A$949,$A12,'09월 에너지'!V$14:V$949))</f>
        <v>278.17857142857144</v>
      </c>
      <c r="CJ12" s="892">
        <f>IF($B12&lt;1,"",AVERAGEIF('09월 에너지'!$A$14:$A$949,$A12,'09월 에너지'!W$14:W$949))</f>
        <v>354.60714285714283</v>
      </c>
      <c r="CK12" s="890">
        <f>IF($B12&lt;1,"",AVERAGEIF('09월 에너지'!$A$14:$A$949,$A12,'09월 에너지'!X$14:X$949))</f>
        <v>2.4425150303472023</v>
      </c>
      <c r="CL12" s="892">
        <f>IF($B12&lt;1,"",AVERAGEIF('09월 에너지'!$A$14:$A$949,$A12,'09월 에너지'!Y$14:Y$949))</f>
        <v>1550.2857142857142</v>
      </c>
      <c r="CM12" s="892">
        <f>IF($B12&lt;1,"",AVERAGEIF('09월 에너지'!$A$14:$A$949,$A12,'09월 에너지'!Z$14:Z$949))</f>
        <v>1370.8928571428571</v>
      </c>
      <c r="CN12" s="892">
        <f>IF($B12&lt;1,"",AVERAGEIF('09월 에너지'!$A$14:$A$949,$A12,'09월 에너지'!AA$14:AA$949))</f>
        <v>791.35714285714289</v>
      </c>
      <c r="CO12" s="892">
        <f>IF($B12&lt;1,"",AVERAGEIF('09월 에너지'!$A$14:$A$949,$A12,'09월 에너지'!AB$14:AB$949))</f>
        <v>3712.5357142857142</v>
      </c>
      <c r="CP12" s="890">
        <f>IF($B12&lt;1,"",AVERAGEIF('09월 에너지'!$A$14:$A$949,$A12,'09월 에너지'!AC$14:AC$949))</f>
        <v>25.579197380407816</v>
      </c>
      <c r="CQ12" s="888">
        <f>IF($B12&lt;1,"",AVERAGEIF('09월 에너지'!$A$14:$A$949,$A12,'09월 에너지'!AD$14:AD$949))</f>
        <v>4067.1428571428573</v>
      </c>
      <c r="CR12" s="888">
        <f>IF($B12&lt;1,"",AVERAGEIF('09월 에너지'!$A$14:$A$949,$A12,'09월 에너지'!AE$14:AE$949))</f>
        <v>28.021712410755018</v>
      </c>
      <c r="CS12" s="890">
        <f>IF($B12&lt;1,"",AVERAGEIF('09월 에너지'!$A$14:$A$949,$A12,'09월 에너지'!AF$14:AF$949))</f>
        <v>76.571428571428569</v>
      </c>
      <c r="CT12" s="890">
        <f>IF($B12&lt;1,"",AVERAGEIF('09월 에너지'!$A$14:$A$949,$A12,'09월 에너지'!AG$14:AG$949))</f>
        <v>62.642857142857146</v>
      </c>
      <c r="CU12" s="890">
        <f>IF($B12&lt;1,"",AVERAGEIF('09월 에너지'!$A$14:$A$949,$A12,'09월 에너지'!AH$14:AH$949))</f>
        <v>6.75</v>
      </c>
      <c r="CV12" s="890">
        <f>IF($B12&lt;1,"",AVERAGEIF('09월 에너지'!$A$14:$A$949,$A12,'09월 에너지'!AI$14:AI$949))</f>
        <v>145.96428571428572</v>
      </c>
      <c r="CW12" s="893">
        <f>IF($B12&lt;1,"",AVERAGEIF('09월 에너지'!$A$14:$A$949,$A12,'09월 에너지'!AJ$14:AJ$949))</f>
        <v>1.0058626936142605</v>
      </c>
    </row>
    <row r="13" spans="1:101" ht="15.75" customHeight="1">
      <c r="A13" s="883">
        <f t="shared" si="1"/>
        <v>46274</v>
      </c>
      <c r="B13" s="884">
        <f>COUNTIF('09월 조업일지'!$A$12:$A$952,A13)</f>
        <v>31</v>
      </c>
      <c r="C13" s="885">
        <f t="shared" si="0"/>
        <v>46.419354838709687</v>
      </c>
      <c r="D13" s="885">
        <f>IF($B13&lt;1,"",(SUMIF('09월 조업일지'!$A$12:$A$952,$A13,'09월 조업일지'!$K$12:$K$952))/B13)</f>
        <v>3.2258064516129031E-2</v>
      </c>
      <c r="E13" s="885">
        <f>IF($B13&lt;1,"",AVERAGEIF('09월 조업일지'!$A$12:$A$952,$A13,'09월 조업일지'!$J$12:$J$952))</f>
        <v>46.451612903225815</v>
      </c>
      <c r="F13" s="886">
        <f>IF($B13&lt;1,"",AVERAGEIF('09월 에너지'!$A$14:$A$949,$A13,'09월 에너지'!$M$14:M$949))</f>
        <v>45.238709677419372</v>
      </c>
      <c r="G13" s="887">
        <f>IF($B13&lt;1,"",AVERAGEIF('09월 조업일지'!$A$12:$A$952,$A13,'09월 조업일지'!$AJ$12:$AJ$952))</f>
        <v>9.258064516129032</v>
      </c>
      <c r="H13" s="887">
        <f>IF($B13&lt;1,"",AVERAGEIF('09월 조업일지'!$A$12:$A$952,$A13,'09월 조업일지'!$AL$12:$AL$952))</f>
        <v>7.7857142857142856</v>
      </c>
      <c r="I13" s="888">
        <f>IF($B13&lt;1,"",AVERAGEIF('09월 화학성분'!$A$12:$A$949,$A13,'09월 화학성분'!G$12:G$949))</f>
        <v>11.161290322580646</v>
      </c>
      <c r="J13" s="888">
        <f>IF($B13&lt;1,"",AVERAGEIF('09월 화학성분'!$A$12:$A$949,$A13,'09월 화학성분'!H$12:H$949))</f>
        <v>20.93548387096774</v>
      </c>
      <c r="K13" s="888">
        <f>IF($B13&lt;1,"",AVERAGEIF('09월 화학성분'!$A$12:$A$949,$A13,'09월 화학성분'!I$12:I$949))</f>
        <v>108.90322580645162</v>
      </c>
      <c r="L13" s="888">
        <f>IF($B13&lt;1,"",AVERAGEIF('09월 화학성분'!$A$12:$A$949,$A13,'09월 화학성분'!J$12:J$949))</f>
        <v>15.35483870967742</v>
      </c>
      <c r="M13" s="888">
        <f>IF($B13&lt;1,"",AVERAGEIF('09월 화학성분'!$A$12:$A$949,$A13,'09월 화학성분'!K$12:K$949))</f>
        <v>32.677419354838712</v>
      </c>
      <c r="N13" s="888">
        <f>IF($B13&lt;1,"",AVERAGEIF('09월 화학성분'!$A$12:$A$949,$A13,'09월 화학성분'!L$12:L$949))</f>
        <v>12.35483870967742</v>
      </c>
      <c r="O13" s="888">
        <f>IF($B13&lt;1,"",AVERAGEIF('09월 화학성분'!$A$12:$A$949,$A13,'09월 화학성분'!M$12:M$949))</f>
        <v>10.161290322580646</v>
      </c>
      <c r="P13" s="889">
        <f>IF($B13&lt;1,"",AVERAGEIF('09월 조업일지'!$A$12:$A$952,$A13,'09월 조업일지'!$AK$12:$AK$952))</f>
        <v>555.57142857142856</v>
      </c>
      <c r="Q13" s="888">
        <f>IF($B13&lt;1,"",AVERAGEIF('09월 화학성분'!$A$12:$A$949,$A13,'09월 화학성분'!$G$12:$G$949))</f>
        <v>11.161290322580646</v>
      </c>
      <c r="R13" s="889">
        <f>IF($B13&lt;1,"",AVERAGEIF('09월 조업일지'!$A$12:$A$952,$A13,'09월 조업일지'!$AI$12:$AI$952))</f>
        <v>1565.4193548387098</v>
      </c>
      <c r="S13" s="888">
        <f>IF($B13&lt;1,"",AVERAGEIF('09월 화학성분'!$A$12:$A$949,$A13,'09월 화학성분'!$AM$12:$AM$949))</f>
        <v>1885.3225806451612</v>
      </c>
      <c r="T13" s="890">
        <f>IF($B13&lt;1,"",AVERAGEIF('09월 화학성분'!$A$12:$A$949,$A13,'09월 화학성분'!N$12:N$949))</f>
        <v>411.09677419354841</v>
      </c>
      <c r="U13" s="890" t="e">
        <f>IF($B13&lt;1,"",AVERAGEIF('09월 화학성분'!$A$12:$A$949,$A13,'09월 화학성분'!O$12:O$949))</f>
        <v>#DIV/0!</v>
      </c>
      <c r="V13" s="890">
        <f>IF($B13&lt;1,"",AVERAGEIF('09월 화학성분'!$A$12:$A$949,$A13,'09월 화학성분'!P$12:P$949))</f>
        <v>969.06451612903231</v>
      </c>
      <c r="W13" s="890">
        <f>IF($B13&lt;1,"",AVERAGEIF('09월 화학성분'!$A$12:$A$949,$A13,'09월 화학성분'!Q$12:Q$949))</f>
        <v>954.61290322580646</v>
      </c>
      <c r="X13" s="890" t="e">
        <f>IF($B13&lt;1,"",AVERAGEIF('09월 화학성분'!$A$12:$A$949,$A13,'09월 화학성분'!R$12:R$949))</f>
        <v>#DIV/0!</v>
      </c>
      <c r="Y13" s="890" t="e">
        <f>IF($B13&lt;1,"",AVERAGEIF('09월 화학성분'!$A$12:$A$949,$A13,'09월 화학성분'!U$12:U$949))</f>
        <v>#DIV/0!</v>
      </c>
      <c r="Z13" s="890">
        <f>IF($B13&lt;1,"",AVERAGEIF('09월 화학성분'!$A$12:$A$949,$A13,'09월 화학성분'!V$12:V$949))</f>
        <v>406.29032258064518</v>
      </c>
      <c r="AA13" s="890" t="e">
        <f>IF($B13&lt;1,"",AVERAGEIF('09월 화학성분'!$A$12:$A$949,$A13,'09월 화학성분'!W$12:W$949))</f>
        <v>#DIV/0!</v>
      </c>
      <c r="AB13" s="890" t="e">
        <f>IF($B13&lt;1,"",AVERAGEIF('09월 화학성분'!$A$12:$A$949,$A13,'09월 화학성분'!AA$12:AA$949))</f>
        <v>#DIV/0!</v>
      </c>
      <c r="AC13" s="890" t="e">
        <f>IF($B13&lt;1,"",AVERAGEIF('09월 화학성분'!$A$12:$A$949,$A13,'09월 화학성분'!#REF!))</f>
        <v>#REF!</v>
      </c>
      <c r="AD13" s="890">
        <f>IF($B13&lt;1,"",AVERAGEIF('09월 화학성분'!$A$12:$A$949,$A13,'09월 화학성분'!AB$12:AB$949))</f>
        <v>0</v>
      </c>
      <c r="AE13" s="890" t="e">
        <f>IF($B13&lt;1,"",AVERAGEIF('09월 화학성분'!$A$12:$A$949,$A13,'09월 화학성분'!AC$12:AC$949))</f>
        <v>#DIV/0!</v>
      </c>
      <c r="AF13" s="890">
        <f>IF($B13&lt;1,"",AVERAGEIF('09월 화학성분'!$A$12:$A$949,$A13,'09월 화학성분'!AD$12:AD$949))</f>
        <v>278.64516129032256</v>
      </c>
      <c r="AG13" s="890">
        <f>IF($B13&lt;1,"",AVERAGEIF('09월 화학성분'!$A$12:$A$949,$A13,'09월 화학성분'!AF$12:AF$949))</f>
        <v>0</v>
      </c>
      <c r="AH13" s="890">
        <f>IF($B13&lt;1,"",AVERAGEIF('09월 화학성분'!$A$12:$A$949,$A13,'09월 화학성분'!AG$12:AG$949))</f>
        <v>96</v>
      </c>
      <c r="AI13" s="890">
        <f>IF($B13&lt;1,"",AVERAGEIF('09월 화학성분'!$A$12:$A$949,$A13,'09월 화학성분'!AH$12:AH$949))</f>
        <v>1958.6774193548388</v>
      </c>
      <c r="AJ13" s="890">
        <f>IF($B13&lt;1,"",AVERAGEIF('09월 화학성분'!$A$12:$A$949,$A13,'09월 화학성분'!AI$12:AI$949))</f>
        <v>186.86666666666667</v>
      </c>
      <c r="AK13" s="890">
        <f>IF($B13&lt;1,"",AVERAGEIF('09월 화학성분'!$A$12:$A$949,$A13,'09월 화학성분'!AJ$12:AJ$949))</f>
        <v>87.161290322580641</v>
      </c>
      <c r="AL13" s="890" t="e">
        <f>IF($B13&lt;1,"",AVERAGEIF('09월 화학성분'!$A$12:$A$949,$A13,'09월 화학성분'!#REF!))</f>
        <v>#REF!</v>
      </c>
      <c r="AM13" s="890">
        <f>IF($B13&lt;1,"",AVERAGEIF('09월 화학성분'!$A$12:$A$949,$A13,'09월 화학성분'!AL$12:AL$949))</f>
        <v>126.96428571428571</v>
      </c>
      <c r="AN13" s="890">
        <f>IF($B13&lt;1,"",AVERAGEIF('09월 화학성분'!$A$12:$A$949,$A13,'09월 화학성분'!AM$12:AM$949))</f>
        <v>1885.3225806451612</v>
      </c>
      <c r="AO13" s="891">
        <f>IF($B13&lt;1,"",AVERAGEIF('09월 화학성분'!$A$12:$A$949,$A13,'09월 화학성분'!AN$12:AN$949))</f>
        <v>0.8390426352159166</v>
      </c>
      <c r="AP13" s="891">
        <f>IF($B13&lt;1,"",AVERAGEIF('09월 화학성분'!$A$12:$A$949,$A13,'09월 화학성분'!AO$12:AO$949))</f>
        <v>0.98499270894269109</v>
      </c>
      <c r="AQ13" s="890">
        <f>IF($B13&lt;1,"",AVERAGEIF('09월 화학성분'!$A$12:$A$949,$A13,'09월 화학성분'!AP$12:AP$949))</f>
        <v>144.8567741935484</v>
      </c>
      <c r="AR13" s="890" t="e">
        <f>IF($B13&lt;1,"",AVERAGEIF('09월 고철장입'!$A$14:$A$949,$A13,'09월 고철장입'!G$14:G$949)/1000)</f>
        <v>#DIV/0!</v>
      </c>
      <c r="AS13" s="890" t="e">
        <f>IF($B13&lt;1,"",AVERAGEIF('09월 고철장입'!$A$14:$A$949,$A13,'09월 고철장입'!H$14:H$949)/1000)</f>
        <v>#DIV/0!</v>
      </c>
      <c r="AT13" s="890" t="e">
        <f>IF($B13&lt;1,"",AVERAGEIF('09월 고철장입'!$A$14:$A$949,$A13,'09월 고철장입'!I$14:I$949)/1000)</f>
        <v>#DIV/0!</v>
      </c>
      <c r="AU13" s="890" t="e">
        <f>IF($B13&lt;1,"",AVERAGEIF('09월 고철장입'!$A$14:$A$949,$A13,'09월 고철장입'!J$14:J$949)/1000)</f>
        <v>#DIV/0!</v>
      </c>
      <c r="AV13" s="890" t="e">
        <f>IF($B13&lt;1,"",AVERAGEIF('09월 고철장입'!$A$14:$A$949,$A13,'09월 고철장입'!K$14:K$949)/1000)</f>
        <v>#DIV/0!</v>
      </c>
      <c r="AW13" s="890" t="e">
        <f>IF($B13&lt;1,"",AVERAGEIF('09월 고철장입'!$A$14:$A$949,$A13,'09월 고철장입'!L$14:L$949)/1000)</f>
        <v>#DIV/0!</v>
      </c>
      <c r="AX13" s="890" t="e">
        <f>IF($B13&lt;1,"",AVERAGEIF('09월 고철장입'!$A$14:$A$949,$A13,'09월 고철장입'!M$14:M$949)/1000)</f>
        <v>#DIV/0!</v>
      </c>
      <c r="AY13" s="890" t="e">
        <f>IF($B13&lt;1,"",AVERAGEIF('09월 고철장입'!$A$14:$A$949,$A13,'09월 고철장입'!N$14:N$949)/1000)</f>
        <v>#DIV/0!</v>
      </c>
      <c r="AZ13" s="890" t="e">
        <f>IF($B13&lt;1,"",AVERAGEIF('09월 고철장입'!$A$14:$A$949,$A13,'09월 고철장입'!O$14:O$949)/1000)</f>
        <v>#DIV/0!</v>
      </c>
      <c r="BA13" s="890">
        <f>IF($B13&lt;1,"",AVERAGEIF('09월 고철장입'!$A$14:$A$949,$A13,'09월 고철장입'!P$14:P$949)/1000)</f>
        <v>56.825806451612898</v>
      </c>
      <c r="BB13" s="890">
        <f>IF($B13&lt;1,"",AVERAGEIF('09월 고철장입'!$A$14:$A$949,$A13,'09월 고철장입'!Q$14:Q$949)/1000)</f>
        <v>17.577419354838707</v>
      </c>
      <c r="BC13" s="890">
        <f>IF($B13&lt;1,"",AVERAGEIF('09월 고철장입'!$A$14:$A$949,$A13,'09월 고철장입'!S$14:S$949)/1000)</f>
        <v>0</v>
      </c>
      <c r="BD13" s="890">
        <f>IF($B13&lt;1,"",AVERAGEIF('09월 고철장입'!$A$14:$A$949,$A13,'09월 고철장입'!T$14:T$949)/1000)</f>
        <v>0</v>
      </c>
      <c r="BE13" s="890">
        <f>IF($B13&lt;1,"",AVERAGEIF('09월 고철장입'!$A$14:$A$949,$A13,'09월 고철장입'!U$14:U$949)/1000)</f>
        <v>6.790322580645161</v>
      </c>
      <c r="BF13" s="890">
        <f>IF($B13&lt;1,"",AVERAGEIF('09월 고철장입'!$A$14:$A$949,$A13,'09월 고철장입'!V$14:V$949)/1000)</f>
        <v>20.309677419354838</v>
      </c>
      <c r="BG13" s="890">
        <f>IF($B13&lt;1,"",AVERAGEIF('09월 고철장입'!$A$14:$A$949,$A13,'09월 고철장입'!W$14:W$949)/1000)</f>
        <v>3.17741935483871</v>
      </c>
      <c r="BH13" s="890">
        <f>IF($B13&lt;1,"",AVERAGEIF('09월 고철장입'!$A$14:$A$949,$A13,'09월 고철장입'!Y$14:Y$949)/1000)</f>
        <v>11.483333333333334</v>
      </c>
      <c r="BI13" s="890">
        <f>IF($B13&lt;1,"",AVERAGEIF('09월 고철장입'!$A$14:$A$949,$A13,'09월 고철장입'!AB$14:AB$949)/1000)</f>
        <v>3.2903225806451615</v>
      </c>
      <c r="BJ13" s="890">
        <f>IF($B13&lt;1,"",AVERAGEIF('09월 고철장입'!$A$14:$A$949,$A13,'09월 고철장입'!AC$14:AC$949)/1000)</f>
        <v>1.4666666666666668</v>
      </c>
      <c r="BK13" s="890">
        <f>IF($B13&lt;1,"",AVERAGEIF('09월 고철장입'!$A$14:$A$949,$A13,'09월 고철장입'!AD$14:AD$949)/1000)</f>
        <v>3.0666666666666664</v>
      </c>
      <c r="BL13" s="890">
        <f>IF($B13&lt;1,"",AVERAGEIF('09월 고철장입'!$A$14:$A$949,$A13,'09월 고철장입'!AE$14:AE$949)/1000)</f>
        <v>140.17741935483869</v>
      </c>
      <c r="BM13" s="890">
        <f>IF($B13&lt;1,"",AVERAGEIF('09월 고철장입'!$A$14:$A$949,$A13,'09월 고철장입'!AF$14:AF$949)/1000)</f>
        <v>4.629032258064516</v>
      </c>
      <c r="BN13" s="890">
        <f>IF($B13&lt;1,"",AVERAGEIF('09월 고철장입'!$A$14:$A$949,$A13,'09월 고철장입'!AG$14:AG$949)/1000)</f>
        <v>8.4677419354838719</v>
      </c>
      <c r="BO13" s="890">
        <f>IF($B13&lt;1,"",AVERAGEIF('09월 고철장입'!$A$14:$A$949,$A13,'09월 고철장입'!AH$14:AH$949)/1000)</f>
        <v>5.3</v>
      </c>
      <c r="BP13" s="890">
        <f>IF($B13&lt;1,"",AVERAGEIF('09월 고철장입'!$A$14:$A$949,$A13,'09월 고철장입'!AI$14:AI$949)/1000)</f>
        <v>18.396774193548385</v>
      </c>
      <c r="BQ13" s="890">
        <f>IF($B13&lt;1,"",AVERAGEIF('09월 고철장입'!$A$14:$A$949,$A13,'09월 고철장입'!AJ$14:AJ$949)/1000)</f>
        <v>158.57419354838709</v>
      </c>
      <c r="BR13" s="890">
        <f>IF($B13&lt;1,"",AVERAGEIF('09월 고철장입'!$A$14:$A$949,$A13,'09월 고철장입'!AK$14:AK$949))</f>
        <v>144.8567741935484</v>
      </c>
      <c r="BS13" s="890">
        <f>IF($B13&lt;1,"",AVERAGEIF('09월 고철장입'!$A$14:$A$949,$A13,'09월 고철장입'!AL$14:AL$949)*100)</f>
        <v>91.351398895408167</v>
      </c>
      <c r="BT13" s="890">
        <f>IF($B13&lt;1,"",AVERAGEIF('09월 에너지'!$A$14:$A$949,$A13,'09월 에너지'!G$14:G$949))</f>
        <v>18.654838709677421</v>
      </c>
      <c r="BU13" s="892">
        <f>IF($B13&lt;1,"",AVERAGEIF('09월 에너지'!$A$14:$A$949,$A13,'09월 에너지'!H$14:H$949))</f>
        <v>23058.064516129034</v>
      </c>
      <c r="BV13" s="890">
        <f>IF($B13&lt;1,"",AVERAGEIF('09월 에너지'!$A$14:$A$949,$A13,'09월 에너지'!I$14:I$949))</f>
        <v>16.461290322580648</v>
      </c>
      <c r="BW13" s="892">
        <f>IF($B13&lt;1,"",AVERAGEIF('09월 에너지'!$A$14:$A$949,$A13,'09월 에너지'!J$14:J$949))</f>
        <v>20451.612903225807</v>
      </c>
      <c r="BX13" s="890">
        <f>IF($B13&lt;1,"",AVERAGEIF('09월 에너지'!$A$14:$A$949,$A13,'09월 에너지'!K$14:K$949))</f>
        <v>10.122580645161293</v>
      </c>
      <c r="BY13" s="892">
        <f>IF($B13&lt;1,"",AVERAGEIF('09월 에너지'!$A$14:$A$949,$A13,'09월 에너지'!L$14:L$949))</f>
        <v>12787.096774193549</v>
      </c>
      <c r="BZ13" s="890">
        <f>IF($B13&lt;1,"",AVERAGEIF('09월 에너지'!$A$14:$A$949,$A13,'09월 에너지'!M$14:M$949))</f>
        <v>45.238709677419372</v>
      </c>
      <c r="CA13" s="892">
        <f>IF($B13&lt;1,"",AVERAGEIF('09월 에너지'!$A$14:$A$949,$A13,'09월 에너지'!N$14:N$949))</f>
        <v>56296.774193548386</v>
      </c>
      <c r="CB13" s="890">
        <f>IF($B13&lt;1,"",AVERAGEIF('09월 에너지'!$A$14:$A$949,$A13,'09월 에너지'!O$14:O$949))</f>
        <v>159.20808821248647</v>
      </c>
      <c r="CC13" s="890">
        <f>IF($B13&lt;1,"",AVERAGEIF('09월 에너지'!$A$14:$A$949,$A13,'09월 에너지'!P$14:P$949))</f>
        <v>141.21657802056131</v>
      </c>
      <c r="CD13" s="890">
        <f>IF($B13&lt;1,"",AVERAGEIF('09월 에너지'!$A$14:$A$949,$A13,'09월 에너지'!Q$14:Q$949))</f>
        <v>88.382675714295132</v>
      </c>
      <c r="CE13" s="890">
        <f>IF($B13&lt;1,"",AVERAGEIF('09월 에너지'!$A$14:$A$949,$A13,'09월 에너지'!R$14:R$949))</f>
        <v>388.8073419473431</v>
      </c>
      <c r="CF13" s="890">
        <f>IF($B13&lt;1,"",AVERAGEIF('09월 에너지'!$A$14:$A$949,$A13,'09월 에너지'!S$14:S$949))</f>
        <v>144.8567741935484</v>
      </c>
      <c r="CG13" s="890">
        <f>IF($B13&lt;1,"",AVERAGEIF('09월 에너지'!$A$14:$A$949,$A13,'09월 에너지'!T$14:T$949))</f>
        <v>0</v>
      </c>
      <c r="CH13" s="890">
        <f>IF($B13&lt;1,"",AVERAGEIF('09월 에너지'!$A$14:$A$949,$A13,'09월 에너지'!U$14:U$949))</f>
        <v>45.451612903225808</v>
      </c>
      <c r="CI13" s="892">
        <f>IF($B13&lt;1,"",AVERAGEIF('09월 에너지'!$A$14:$A$949,$A13,'09월 에너지'!V$14:V$949))</f>
        <v>292.83870967741933</v>
      </c>
      <c r="CJ13" s="892">
        <f>IF($B13&lt;1,"",AVERAGEIF('09월 에너지'!$A$14:$A$949,$A13,'09월 에너지'!W$14:W$949))</f>
        <v>338.29032258064518</v>
      </c>
      <c r="CK13" s="890">
        <f>IF($B13&lt;1,"",AVERAGEIF('09월 에너지'!$A$14:$A$949,$A13,'09월 에너지'!X$14:X$949))</f>
        <v>2.335302878871004</v>
      </c>
      <c r="CL13" s="892">
        <f>IF($B13&lt;1,"",AVERAGEIF('09월 에너지'!$A$14:$A$949,$A13,'09월 에너지'!Y$14:Y$949))</f>
        <v>1533.0322580645161</v>
      </c>
      <c r="CM13" s="892">
        <f>IF($B13&lt;1,"",AVERAGEIF('09월 에너지'!$A$14:$A$949,$A13,'09월 에너지'!Z$14:Z$949))</f>
        <v>1367.258064516129</v>
      </c>
      <c r="CN13" s="892">
        <f>IF($B13&lt;1,"",AVERAGEIF('09월 에너지'!$A$14:$A$949,$A13,'09월 에너지'!AA$14:AA$949))</f>
        <v>812.9677419354839</v>
      </c>
      <c r="CO13" s="892">
        <f>IF($B13&lt;1,"",AVERAGEIF('09월 에너지'!$A$14:$A$949,$A13,'09월 에너지'!AB$14:AB$949))</f>
        <v>3713.2580645161293</v>
      </c>
      <c r="CP13" s="890">
        <f>IF($B13&lt;1,"",AVERAGEIF('09월 에너지'!$A$14:$A$949,$A13,'09월 에너지'!AC$14:AC$949))</f>
        <v>25.643857589098378</v>
      </c>
      <c r="CQ13" s="888">
        <f>IF($B13&lt;1,"",AVERAGEIF('09월 에너지'!$A$14:$A$949,$A13,'09월 에너지'!AD$14:AD$949))</f>
        <v>4051.5483870967741</v>
      </c>
      <c r="CR13" s="888">
        <f>IF($B13&lt;1,"",AVERAGEIF('09월 에너지'!$A$14:$A$949,$A13,'09월 에너지'!AE$14:AE$949))</f>
        <v>27.979160467969386</v>
      </c>
      <c r="CS13" s="890">
        <f>IF($B13&lt;1,"",AVERAGEIF('09월 에너지'!$A$14:$A$949,$A13,'09월 에너지'!AF$14:AF$949))</f>
        <v>78.290322580645167</v>
      </c>
      <c r="CT13" s="890">
        <f>IF($B13&lt;1,"",AVERAGEIF('09월 에너지'!$A$14:$A$949,$A13,'09월 에너지'!AG$14:AG$949))</f>
        <v>63.064516129032256</v>
      </c>
      <c r="CU13" s="890">
        <f>IF($B13&lt;1,"",AVERAGEIF('09월 에너지'!$A$14:$A$949,$A13,'09월 에너지'!AH$14:AH$949))</f>
        <v>6.967741935483871</v>
      </c>
      <c r="CV13" s="890">
        <f>IF($B13&lt;1,"",AVERAGEIF('09월 에너지'!$A$14:$A$949,$A13,'09월 에너지'!AI$14:AI$949))</f>
        <v>148.32258064516128</v>
      </c>
      <c r="CW13" s="893">
        <f>IF($B13&lt;1,"",AVERAGEIF('09월 에너지'!$A$14:$A$949,$A13,'09월 에너지'!AJ$14:AJ$949))</f>
        <v>1.0241317790055879</v>
      </c>
    </row>
    <row r="14" spans="1:101" ht="15.75" customHeight="1">
      <c r="A14" s="883">
        <f t="shared" si="1"/>
        <v>46275</v>
      </c>
      <c r="B14" s="884">
        <f>COUNTIF('09월 조업일지'!$A$12:$A$952,A14)</f>
        <v>19</v>
      </c>
      <c r="C14" s="885">
        <f t="shared" si="0"/>
        <v>48.578947368421041</v>
      </c>
      <c r="D14" s="885">
        <f>IF($B14&lt;1,"",(SUMIF('09월 조업일지'!$A$12:$A$952,$A14,'09월 조업일지'!$K$12:$K$952))/B14)</f>
        <v>27</v>
      </c>
      <c r="E14" s="885">
        <f>IF($B14&lt;1,"",AVERAGEIF('09월 조업일지'!$A$12:$A$952,$A14,'09월 조업일지'!$J$12:$J$952))</f>
        <v>75.578947368421041</v>
      </c>
      <c r="F14" s="886">
        <f>IF($B14&lt;1,"",AVERAGEIF('09월 에너지'!$A$14:$A$949,$A14,'09월 에너지'!$M$14:M$949))</f>
        <v>44.989473684210523</v>
      </c>
      <c r="G14" s="887">
        <f>IF($B14&lt;1,"",AVERAGEIF('09월 조업일지'!$A$12:$A$952,$A14,'09월 조업일지'!$AJ$12:$AJ$952))</f>
        <v>45.157894736842103</v>
      </c>
      <c r="H14" s="887">
        <f>IF($B14&lt;1,"",AVERAGEIF('09월 조업일지'!$A$12:$A$952,$A14,'09월 조업일지'!$AL$12:$AL$952))</f>
        <v>6.1578947368421053</v>
      </c>
      <c r="I14" s="888">
        <f>IF($B14&lt;1,"",AVERAGEIF('09월 화학성분'!$A$12:$A$949,$A14,'09월 화학성분'!G$12:G$949))</f>
        <v>8.473684210526315</v>
      </c>
      <c r="J14" s="888">
        <f>IF($B14&lt;1,"",AVERAGEIF('09월 화학성분'!$A$12:$A$949,$A14,'09월 화학성분'!H$12:H$949))</f>
        <v>18.263157894736842</v>
      </c>
      <c r="K14" s="888">
        <f>IF($B14&lt;1,"",AVERAGEIF('09월 화학성분'!$A$12:$A$949,$A14,'09월 화학성분'!I$12:I$949))</f>
        <v>66</v>
      </c>
      <c r="L14" s="888">
        <f>IF($B14&lt;1,"",AVERAGEIF('09월 화학성분'!$A$12:$A$949,$A14,'09월 화학성분'!J$12:J$949))</f>
        <v>15.473684210526315</v>
      </c>
      <c r="M14" s="888">
        <f>IF($B14&lt;1,"",AVERAGEIF('09월 화학성분'!$A$12:$A$949,$A14,'09월 화학성분'!K$12:K$949))</f>
        <v>31.210526315789473</v>
      </c>
      <c r="N14" s="888">
        <f>IF($B14&lt;1,"",AVERAGEIF('09월 화학성분'!$A$12:$A$949,$A14,'09월 화학성분'!L$12:L$949))</f>
        <v>11.157894736842104</v>
      </c>
      <c r="O14" s="888">
        <f>IF($B14&lt;1,"",AVERAGEIF('09월 화학성분'!$A$12:$A$949,$A14,'09월 화학성분'!M$12:M$949))</f>
        <v>9.3157894736842106</v>
      </c>
      <c r="P14" s="889">
        <f>IF($B14&lt;1,"",AVERAGEIF('09월 조업일지'!$A$12:$A$952,$A14,'09월 조업일지'!$AK$12:$AK$952))</f>
        <v>698.63157894736844</v>
      </c>
      <c r="Q14" s="888">
        <f>IF($B14&lt;1,"",AVERAGEIF('09월 화학성분'!$A$12:$A$949,$A14,'09월 화학성분'!$G$12:$G$949))</f>
        <v>8.473684210526315</v>
      </c>
      <c r="R14" s="889">
        <f>IF($B14&lt;1,"",AVERAGEIF('09월 조업일지'!$A$12:$A$952,$A14,'09월 조업일지'!$AI$12:$AI$952))</f>
        <v>1580.1052631578948</v>
      </c>
      <c r="S14" s="888">
        <f>IF($B14&lt;1,"",AVERAGEIF('09월 화학성분'!$A$12:$A$949,$A14,'09월 화학성분'!$AM$12:$AM$949))</f>
        <v>2391.2631578947367</v>
      </c>
      <c r="T14" s="890">
        <f>IF($B14&lt;1,"",AVERAGEIF('09월 화학성분'!$A$12:$A$949,$A14,'09월 화학성분'!N$12:N$949))</f>
        <v>443</v>
      </c>
      <c r="U14" s="890" t="e">
        <f>IF($B14&lt;1,"",AVERAGEIF('09월 화학성분'!$A$12:$A$949,$A14,'09월 화학성분'!O$12:O$949))</f>
        <v>#DIV/0!</v>
      </c>
      <c r="V14" s="890">
        <f>IF($B14&lt;1,"",AVERAGEIF('09월 화학성분'!$A$12:$A$949,$A14,'09월 화학성분'!P$12:P$949))</f>
        <v>1058.2631578947369</v>
      </c>
      <c r="W14" s="890">
        <f>IF($B14&lt;1,"",AVERAGEIF('09월 화학성분'!$A$12:$A$949,$A14,'09월 화학성분'!Q$12:Q$949))</f>
        <v>1015.6315789473684</v>
      </c>
      <c r="X14" s="890" t="e">
        <f>IF($B14&lt;1,"",AVERAGEIF('09월 화학성분'!$A$12:$A$949,$A14,'09월 화학성분'!R$12:R$949))</f>
        <v>#DIV/0!</v>
      </c>
      <c r="Y14" s="890" t="e">
        <f>IF($B14&lt;1,"",AVERAGEIF('09월 화학성분'!$A$12:$A$949,$A14,'09월 화학성분'!U$12:U$949))</f>
        <v>#DIV/0!</v>
      </c>
      <c r="Z14" s="890">
        <f>IF($B14&lt;1,"",AVERAGEIF('09월 화학성분'!$A$12:$A$949,$A14,'09월 화학성분'!V$12:V$949))</f>
        <v>389.63157894736844</v>
      </c>
      <c r="AA14" s="890" t="e">
        <f>IF($B14&lt;1,"",AVERAGEIF('09월 화학성분'!$A$12:$A$949,$A14,'09월 화학성분'!W$12:W$949))</f>
        <v>#DIV/0!</v>
      </c>
      <c r="AB14" s="890" t="e">
        <f>IF($B14&lt;1,"",AVERAGEIF('09월 화학성분'!$A$12:$A$949,$A14,'09월 화학성분'!AA$12:AA$949))</f>
        <v>#DIV/0!</v>
      </c>
      <c r="AC14" s="890" t="e">
        <f>IF($B14&lt;1,"",AVERAGEIF('09월 화학성분'!$A$12:$A$949,$A14,'09월 화학성분'!#REF!))</f>
        <v>#REF!</v>
      </c>
      <c r="AD14" s="890" t="e">
        <f>IF($B14&lt;1,"",AVERAGEIF('09월 화학성분'!$A$12:$A$949,$A14,'09월 화학성분'!AB$12:AB$949))</f>
        <v>#DIV/0!</v>
      </c>
      <c r="AE14" s="890" t="e">
        <f>IF($B14&lt;1,"",AVERAGEIF('09월 화학성분'!$A$12:$A$949,$A14,'09월 화학성분'!AC$12:AC$949))</f>
        <v>#DIV/0!</v>
      </c>
      <c r="AF14" s="890">
        <f>IF($B14&lt;1,"",AVERAGEIF('09월 화학성분'!$A$12:$A$949,$A14,'09월 화학성분'!AD$12:AD$949))</f>
        <v>242.47368421052633</v>
      </c>
      <c r="AG14" s="890" t="e">
        <f>IF($B14&lt;1,"",AVERAGEIF('09월 화학성분'!$A$12:$A$949,$A14,'09월 화학성분'!AF$12:AF$949))</f>
        <v>#DIV/0!</v>
      </c>
      <c r="AH14" s="890">
        <f>IF($B14&lt;1,"",AVERAGEIF('09월 화학성분'!$A$12:$A$949,$A14,'09월 화학성분'!AG$12:AG$949))</f>
        <v>86.736842105263165</v>
      </c>
      <c r="AI14" s="890">
        <f>IF($B14&lt;1,"",AVERAGEIF('09월 화학성분'!$A$12:$A$949,$A14,'09월 화학성분'!AH$12:AH$949))</f>
        <v>1106.2631578947369</v>
      </c>
      <c r="AJ14" s="890">
        <f>IF($B14&lt;1,"",AVERAGEIF('09월 화학성분'!$A$12:$A$949,$A14,'09월 화학성분'!AI$12:AI$949))</f>
        <v>350.78571428571428</v>
      </c>
      <c r="AK14" s="890">
        <f>IF($B14&lt;1,"",AVERAGEIF('09월 화학성분'!$A$12:$A$949,$A14,'09월 화학성분'!AJ$12:AJ$949))</f>
        <v>87.94736842105263</v>
      </c>
      <c r="AL14" s="890" t="e">
        <f>IF($B14&lt;1,"",AVERAGEIF('09월 화학성분'!$A$12:$A$949,$A14,'09월 화학성분'!#REF!))</f>
        <v>#REF!</v>
      </c>
      <c r="AM14" s="890">
        <f>IF($B14&lt;1,"",AVERAGEIF('09월 화학성분'!$A$12:$A$949,$A14,'09월 화학성분'!AL$12:AL$949))</f>
        <v>101.81818181818181</v>
      </c>
      <c r="AN14" s="890">
        <f>IF($B14&lt;1,"",AVERAGEIF('09월 화학성분'!$A$12:$A$949,$A14,'09월 화학성분'!AM$12:AM$949))</f>
        <v>2391.2631578947367</v>
      </c>
      <c r="AO14" s="891">
        <f>IF($B14&lt;1,"",AVERAGEIF('09월 화학성분'!$A$12:$A$949,$A14,'09월 화학성분'!AN$12:AN$949))</f>
        <v>0.80649007559897645</v>
      </c>
      <c r="AP14" s="891">
        <f>IF($B14&lt;1,"",AVERAGEIF('09월 화학성분'!$A$12:$A$949,$A14,'09월 화학성분'!AO$12:AO$949))</f>
        <v>0.94938517197108541</v>
      </c>
      <c r="AQ14" s="890">
        <f>IF($B14&lt;1,"",AVERAGEIF('09월 화학성분'!$A$12:$A$949,$A14,'09월 화학성분'!AP$12:AP$949))</f>
        <v>141.51578947368418</v>
      </c>
      <c r="AR14" s="890" t="e">
        <f>IF($B14&lt;1,"",AVERAGEIF('09월 고철장입'!$A$14:$A$949,$A14,'09월 고철장입'!G$14:G$949)/1000)</f>
        <v>#DIV/0!</v>
      </c>
      <c r="AS14" s="890" t="e">
        <f>IF($B14&lt;1,"",AVERAGEIF('09월 고철장입'!$A$14:$A$949,$A14,'09월 고철장입'!H$14:H$949)/1000)</f>
        <v>#DIV/0!</v>
      </c>
      <c r="AT14" s="890" t="e">
        <f>IF($B14&lt;1,"",AVERAGEIF('09월 고철장입'!$A$14:$A$949,$A14,'09월 고철장입'!I$14:I$949)/1000)</f>
        <v>#DIV/0!</v>
      </c>
      <c r="AU14" s="890" t="e">
        <f>IF($B14&lt;1,"",AVERAGEIF('09월 고철장입'!$A$14:$A$949,$A14,'09월 고철장입'!J$14:J$949)/1000)</f>
        <v>#DIV/0!</v>
      </c>
      <c r="AV14" s="890" t="e">
        <f>IF($B14&lt;1,"",AVERAGEIF('09월 고철장입'!$A$14:$A$949,$A14,'09월 고철장입'!K$14:K$949)/1000)</f>
        <v>#DIV/0!</v>
      </c>
      <c r="AW14" s="890" t="e">
        <f>IF($B14&lt;1,"",AVERAGEIF('09월 고철장입'!$A$14:$A$949,$A14,'09월 고철장입'!L$14:L$949)/1000)</f>
        <v>#DIV/0!</v>
      </c>
      <c r="AX14" s="890" t="e">
        <f>IF($B14&lt;1,"",AVERAGEIF('09월 고철장입'!$A$14:$A$949,$A14,'09월 고철장입'!M$14:M$949)/1000)</f>
        <v>#DIV/0!</v>
      </c>
      <c r="AY14" s="890" t="e">
        <f>IF($B14&lt;1,"",AVERAGEIF('09월 고철장입'!$A$14:$A$949,$A14,'09월 고철장입'!N$14:N$949)/1000)</f>
        <v>#DIV/0!</v>
      </c>
      <c r="AZ14" s="890" t="e">
        <f>IF($B14&lt;1,"",AVERAGEIF('09월 고철장입'!$A$14:$A$949,$A14,'09월 고철장입'!O$14:O$949)/1000)</f>
        <v>#DIV/0!</v>
      </c>
      <c r="BA14" s="890">
        <f>IF($B14&lt;1,"",AVERAGEIF('09월 고철장입'!$A$14:$A$949,$A14,'09월 고철장입'!P$14:P$949)/1000)</f>
        <v>55.663157894736841</v>
      </c>
      <c r="BB14" s="890">
        <f>IF($B14&lt;1,"",AVERAGEIF('09월 고철장입'!$A$14:$A$949,$A14,'09월 고철장입'!Q$14:Q$949)/1000)</f>
        <v>18.473684210526315</v>
      </c>
      <c r="BC14" s="890" t="e">
        <f>IF($B14&lt;1,"",AVERAGEIF('09월 고철장입'!$A$14:$A$949,$A14,'09월 고철장입'!S$14:S$949)/1000)</f>
        <v>#DIV/0!</v>
      </c>
      <c r="BD14" s="890" t="e">
        <f>IF($B14&lt;1,"",AVERAGEIF('09월 고철장입'!$A$14:$A$949,$A14,'09월 고철장입'!T$14:T$949)/1000)</f>
        <v>#DIV/0!</v>
      </c>
      <c r="BE14" s="890">
        <f>IF($B14&lt;1,"",AVERAGEIF('09월 고철장입'!$A$14:$A$949,$A14,'09월 고철장입'!U$14:U$949)/1000)</f>
        <v>6.5052631578947366</v>
      </c>
      <c r="BF14" s="890">
        <f>IF($B14&lt;1,"",AVERAGEIF('09월 고철장입'!$A$14:$A$949,$A14,'09월 고철장입'!V$14:V$949)/1000)</f>
        <v>20.294736842105262</v>
      </c>
      <c r="BG14" s="890">
        <f>IF($B14&lt;1,"",AVERAGEIF('09월 고철장입'!$A$14:$A$949,$A14,'09월 고철장입'!W$14:W$949)/1000)</f>
        <v>2.164705882352941</v>
      </c>
      <c r="BH14" s="890">
        <f>IF($B14&lt;1,"",AVERAGEIF('09월 고철장입'!$A$14:$A$949,$A14,'09월 고철장입'!Y$14:Y$949)/1000)</f>
        <v>11.805263157894737</v>
      </c>
      <c r="BI14" s="890">
        <f>IF($B14&lt;1,"",AVERAGEIF('09월 고철장입'!$A$14:$A$949,$A14,'09월 고철장입'!AB$14:AB$949)/1000)</f>
        <v>2.6842105263157894</v>
      </c>
      <c r="BJ14" s="890">
        <f>IF($B14&lt;1,"",AVERAGEIF('09월 고철장입'!$A$14:$A$949,$A14,'09월 고철장입'!AC$14:AC$949)/1000)</f>
        <v>1.4333333333333333</v>
      </c>
      <c r="BK14" s="890">
        <f>IF($B14&lt;1,"",AVERAGEIF('09월 고철장입'!$A$14:$A$949,$A14,'09월 고철장입'!AD$14:AD$949)/1000)</f>
        <v>3.0142857142857142</v>
      </c>
      <c r="BL14" s="890">
        <f>IF($B14&lt;1,"",AVERAGEIF('09월 고철장입'!$A$14:$A$949,$A14,'09월 고철장입'!AE$14:AE$949)/1000)</f>
        <v>133.95789473684209</v>
      </c>
      <c r="BM14" s="890">
        <f>IF($B14&lt;1,"",AVERAGEIF('09월 고철장입'!$A$14:$A$949,$A14,'09월 고철장입'!AF$14:AF$949)/1000)</f>
        <v>4.1315789473684212</v>
      </c>
      <c r="BN14" s="890">
        <f>IF($B14&lt;1,"",AVERAGEIF('09월 고철장입'!$A$14:$A$949,$A14,'09월 고철장입'!AG$14:AG$949)/1000)</f>
        <v>9.2210526315789458</v>
      </c>
      <c r="BO14" s="890">
        <f>IF($B14&lt;1,"",AVERAGEIF('09월 고철장입'!$A$14:$A$949,$A14,'09월 고철장입'!AH$14:AH$949)/1000)</f>
        <v>6.0368421052631573</v>
      </c>
      <c r="BP14" s="890">
        <f>IF($B14&lt;1,"",AVERAGEIF('09월 고철장입'!$A$14:$A$949,$A14,'09월 고철장입'!AI$14:AI$949)/1000)</f>
        <v>19.389473684210525</v>
      </c>
      <c r="BQ14" s="890">
        <f>IF($B14&lt;1,"",AVERAGEIF('09월 고철장입'!$A$14:$A$949,$A14,'09월 고철장입'!AJ$14:AJ$949)/1000)</f>
        <v>153.34736842105264</v>
      </c>
      <c r="BR14" s="890">
        <f>IF($B14&lt;1,"",AVERAGEIF('09월 고철장입'!$A$14:$A$949,$A14,'09월 고철장입'!AK$14:AK$949))</f>
        <v>141.51578947368418</v>
      </c>
      <c r="BS14" s="890">
        <f>IF($B14&lt;1,"",AVERAGEIF('09월 고철장입'!$A$14:$A$949,$A14,'09월 고철장입'!AL$14:AL$949)*100)</f>
        <v>92.950507955523562</v>
      </c>
      <c r="BT14" s="890">
        <f>IF($B14&lt;1,"",AVERAGEIF('09월 에너지'!$A$14:$A$949,$A14,'09월 에너지'!G$14:G$949))</f>
        <v>19.915789473684214</v>
      </c>
      <c r="BU14" s="892">
        <f>IF($B14&lt;1,"",AVERAGEIF('09월 에너지'!$A$14:$A$949,$A14,'09월 에너지'!H$14:H$949))</f>
        <v>23768.42105263158</v>
      </c>
      <c r="BV14" s="890">
        <f>IF($B14&lt;1,"",AVERAGEIF('09월 에너지'!$A$14:$A$949,$A14,'09월 에너지'!I$14:I$949))</f>
        <v>15.13684210526316</v>
      </c>
      <c r="BW14" s="892">
        <f>IF($B14&lt;1,"",AVERAGEIF('09월 에너지'!$A$14:$A$949,$A14,'09월 에너지'!J$14:J$949))</f>
        <v>18368.42105263158</v>
      </c>
      <c r="BX14" s="890">
        <f>IF($B14&lt;1,"",AVERAGEIF('09월 에너지'!$A$14:$A$949,$A14,'09월 에너지'!K$14:K$949))</f>
        <v>9.9368421052631568</v>
      </c>
      <c r="BY14" s="892">
        <f>IF($B14&lt;1,"",AVERAGEIF('09월 에너지'!$A$14:$A$949,$A14,'09월 에너지'!L$14:L$949))</f>
        <v>13268.421052631578</v>
      </c>
      <c r="BZ14" s="890">
        <f>IF($B14&lt;1,"",AVERAGEIF('09월 에너지'!$A$14:$A$949,$A14,'09월 에너지'!M$14:M$949))</f>
        <v>44.989473684210523</v>
      </c>
      <c r="CA14" s="892">
        <f>IF($B14&lt;1,"",AVERAGEIF('09월 에너지'!$A$14:$A$949,$A14,'09월 에너지'!N$14:N$949))</f>
        <v>55405.26315789474</v>
      </c>
      <c r="CB14" s="890">
        <f>IF($B14&lt;1,"",AVERAGEIF('09월 에너지'!$A$14:$A$949,$A14,'09월 에너지'!O$14:O$949))</f>
        <v>168.85195548667801</v>
      </c>
      <c r="CC14" s="890">
        <f>IF($B14&lt;1,"",AVERAGEIF('09월 에너지'!$A$14:$A$949,$A14,'09월 에너지'!P$14:P$949))</f>
        <v>128.17604263940183</v>
      </c>
      <c r="CD14" s="890">
        <f>IF($B14&lt;1,"",AVERAGEIF('09월 에너지'!$A$14:$A$949,$A14,'09월 에너지'!Q$14:Q$949))</f>
        <v>94.447641873170738</v>
      </c>
      <c r="CE14" s="890">
        <f>IF($B14&lt;1,"",AVERAGEIF('09월 에너지'!$A$14:$A$949,$A14,'09월 에너지'!R$14:R$949))</f>
        <v>391.47563999925063</v>
      </c>
      <c r="CF14" s="890">
        <f>IF($B14&lt;1,"",AVERAGEIF('09월 에너지'!$A$14:$A$949,$A14,'09월 에너지'!S$14:S$949))</f>
        <v>141.51578947368418</v>
      </c>
      <c r="CG14" s="890">
        <f>IF($B14&lt;1,"",AVERAGEIF('09월 에너지'!$A$14:$A$949,$A14,'09월 에너지'!T$14:T$949))</f>
        <v>5.0526315789473681</v>
      </c>
      <c r="CH14" s="890">
        <f>IF($B14&lt;1,"",AVERAGEIF('09월 에너지'!$A$14:$A$949,$A14,'09월 에너지'!U$14:U$949))</f>
        <v>25.222222222222221</v>
      </c>
      <c r="CI14" s="892">
        <f>IF($B14&lt;1,"",AVERAGEIF('09월 에너지'!$A$14:$A$949,$A14,'09월 에너지'!V$14:V$949))</f>
        <v>326.5263157894737</v>
      </c>
      <c r="CJ14" s="892">
        <f>IF($B14&lt;1,"",AVERAGEIF('09월 에너지'!$A$14:$A$949,$A14,'09월 에너지'!W$14:W$949))</f>
        <v>355.4736842105263</v>
      </c>
      <c r="CK14" s="890">
        <f>IF($B14&lt;1,"",AVERAGEIF('09월 에너지'!$A$14:$A$949,$A14,'09월 에너지'!X$14:X$949))</f>
        <v>2.5314613347088555</v>
      </c>
      <c r="CL14" s="892">
        <f>IF($B14&lt;1,"",AVERAGEIF('09월 에너지'!$A$14:$A$949,$A14,'09월 에너지'!Y$14:Y$949))</f>
        <v>1642.9473684210527</v>
      </c>
      <c r="CM14" s="892">
        <f>IF($B14&lt;1,"",AVERAGEIF('09월 에너지'!$A$14:$A$949,$A14,'09월 에너지'!Z$14:Z$949))</f>
        <v>1248.3157894736842</v>
      </c>
      <c r="CN14" s="892">
        <f>IF($B14&lt;1,"",AVERAGEIF('09월 에너지'!$A$14:$A$949,$A14,'09월 에너지'!AA$14:AA$949))</f>
        <v>854.36842105263156</v>
      </c>
      <c r="CO14" s="892">
        <f>IF($B14&lt;1,"",AVERAGEIF('09월 에너지'!$A$14:$A$949,$A14,'09월 에너지'!AB$14:AB$949))</f>
        <v>3745.6315789473683</v>
      </c>
      <c r="CP14" s="890">
        <f>IF($B14&lt;1,"",AVERAGEIF('09월 에너지'!$A$14:$A$949,$A14,'09월 에너지'!AC$14:AC$949))</f>
        <v>26.46465528007203</v>
      </c>
      <c r="CQ14" s="888">
        <f>IF($B14&lt;1,"",AVERAGEIF('09월 에너지'!$A$14:$A$949,$A14,'09월 에너지'!AD$14:AD$949))</f>
        <v>4101.105263157895</v>
      </c>
      <c r="CR14" s="888">
        <f>IF($B14&lt;1,"",AVERAGEIF('09월 에너지'!$A$14:$A$949,$A14,'09월 에너지'!AE$14:AE$949))</f>
        <v>28.996116614780885</v>
      </c>
      <c r="CS14" s="890">
        <f>IF($B14&lt;1,"",AVERAGEIF('09월 에너지'!$A$14:$A$949,$A14,'09월 에너지'!AF$14:AF$949))</f>
        <v>85.94736842105263</v>
      </c>
      <c r="CT14" s="890">
        <f>IF($B14&lt;1,"",AVERAGEIF('09월 에너지'!$A$14:$A$949,$A14,'09월 에너지'!AG$14:AG$949))</f>
        <v>57.684210526315788</v>
      </c>
      <c r="CU14" s="890">
        <f>IF($B14&lt;1,"",AVERAGEIF('09월 에너지'!$A$14:$A$949,$A14,'09월 에너지'!AH$14:AH$949))</f>
        <v>8.2105263157894743</v>
      </c>
      <c r="CV14" s="890">
        <f>IF($B14&lt;1,"",AVERAGEIF('09월 에너지'!$A$14:$A$949,$A14,'09월 에너지'!AI$14:AI$949))</f>
        <v>151.84210526315789</v>
      </c>
      <c r="CW14" s="893">
        <f>IF($B14&lt;1,"",AVERAGEIF('09월 에너지'!$A$14:$A$949,$A14,'09월 에너지'!AJ$14:AJ$949))</f>
        <v>1.0717256418512704</v>
      </c>
    </row>
    <row r="15" spans="1:101" ht="15.75" customHeight="1">
      <c r="A15" s="883">
        <f t="shared" si="1"/>
        <v>46276</v>
      </c>
      <c r="B15" s="884">
        <f>COUNTIF('09월 조업일지'!$A$12:$A$952,A15)</f>
        <v>30</v>
      </c>
      <c r="C15" s="885">
        <f t="shared" si="0"/>
        <v>47.266666666666673</v>
      </c>
      <c r="D15" s="885">
        <f>IF($B15&lt;1,"",(SUMIF('09월 조업일지'!$A$12:$A$952,$A15,'09월 조업일지'!$K$12:$K$952))/B15)</f>
        <v>0</v>
      </c>
      <c r="E15" s="885">
        <f>IF($B15&lt;1,"",AVERAGEIF('09월 조업일지'!$A$12:$A$952,$A15,'09월 조업일지'!$J$12:$J$952))</f>
        <v>47.266666666666673</v>
      </c>
      <c r="F15" s="886">
        <f>IF($B15&lt;1,"",AVERAGEIF('09월 에너지'!$A$14:$A$949,$A15,'09월 에너지'!$M$14:M$949))</f>
        <v>46.150000000000006</v>
      </c>
      <c r="G15" s="887">
        <f>IF($B15&lt;1,"",AVERAGEIF('09월 조업일지'!$A$12:$A$952,$A15,'09월 조업일지'!$AJ$12:$AJ$952))</f>
        <v>16</v>
      </c>
      <c r="H15" s="887">
        <f>IF($B15&lt;1,"",AVERAGEIF('09월 조업일지'!$A$12:$A$952,$A15,'09월 조업일지'!$AL$12:$AL$952))</f>
        <v>7.5666666666666664</v>
      </c>
      <c r="I15" s="888">
        <f>IF($B15&lt;1,"",AVERAGEIF('09월 화학성분'!$A$12:$A$949,$A15,'09월 화학성분'!G$12:G$949))</f>
        <v>9.7666666666666675</v>
      </c>
      <c r="J15" s="888">
        <f>IF($B15&lt;1,"",AVERAGEIF('09월 화학성분'!$A$12:$A$949,$A15,'09월 화학성분'!H$12:H$949))</f>
        <v>21.333333333333332</v>
      </c>
      <c r="K15" s="888">
        <f>IF($B15&lt;1,"",AVERAGEIF('09월 화학성분'!$A$12:$A$949,$A15,'09월 화학성분'!I$12:I$949))</f>
        <v>70.466666666666669</v>
      </c>
      <c r="L15" s="888">
        <f>IF($B15&lt;1,"",AVERAGEIF('09월 화학성분'!$A$12:$A$949,$A15,'09월 화학성분'!J$12:J$949))</f>
        <v>14.3</v>
      </c>
      <c r="M15" s="888">
        <f>IF($B15&lt;1,"",AVERAGEIF('09월 화학성분'!$A$12:$A$949,$A15,'09월 화학성분'!K$12:K$949))</f>
        <v>33.299999999999997</v>
      </c>
      <c r="N15" s="888">
        <f>IF($B15&lt;1,"",AVERAGEIF('09월 화학성분'!$A$12:$A$949,$A15,'09월 화학성분'!L$12:L$949))</f>
        <v>11.966666666666667</v>
      </c>
      <c r="O15" s="888">
        <f>IF($B15&lt;1,"",AVERAGEIF('09월 화학성분'!$A$12:$A$949,$A15,'09월 화학성분'!M$12:M$949))</f>
        <v>11.666666666666666</v>
      </c>
      <c r="P15" s="889">
        <f>IF($B15&lt;1,"",AVERAGEIF('09월 조업일지'!$A$12:$A$952,$A15,'09월 조업일지'!$AK$12:$AK$952))</f>
        <v>612.4666666666667</v>
      </c>
      <c r="Q15" s="888">
        <f>IF($B15&lt;1,"",AVERAGEIF('09월 화학성분'!$A$12:$A$949,$A15,'09월 화학성분'!$G$12:$G$949))</f>
        <v>9.7666666666666675</v>
      </c>
      <c r="R15" s="889">
        <f>IF($B15&lt;1,"",AVERAGEIF('09월 조업일지'!$A$12:$A$952,$A15,'09월 조업일지'!$AI$12:$AI$952))</f>
        <v>1573.1333333333334</v>
      </c>
      <c r="S15" s="888">
        <f>IF($B15&lt;1,"",AVERAGEIF('09월 화학성분'!$A$12:$A$949,$A15,'09월 화학성분'!$AM$12:$AM$949))</f>
        <v>2198.0333333333333</v>
      </c>
      <c r="T15" s="890">
        <f>IF($B15&lt;1,"",AVERAGEIF('09월 화학성분'!$A$12:$A$949,$A15,'09월 화학성분'!N$12:N$949))</f>
        <v>435.33333333333331</v>
      </c>
      <c r="U15" s="890" t="e">
        <f>IF($B15&lt;1,"",AVERAGEIF('09월 화학성분'!$A$12:$A$949,$A15,'09월 화학성분'!O$12:O$949))</f>
        <v>#DIV/0!</v>
      </c>
      <c r="V15" s="890">
        <f>IF($B15&lt;1,"",AVERAGEIF('09월 화학성분'!$A$12:$A$949,$A15,'09월 화학성분'!P$12:P$949))</f>
        <v>1001.9333333333333</v>
      </c>
      <c r="W15" s="890">
        <f>IF($B15&lt;1,"",AVERAGEIF('09월 화학성분'!$A$12:$A$949,$A15,'09월 화학성분'!Q$12:Q$949))</f>
        <v>953.93333333333328</v>
      </c>
      <c r="X15" s="890" t="e">
        <f>IF($B15&lt;1,"",AVERAGEIF('09월 화학성분'!$A$12:$A$949,$A15,'09월 화학성분'!R$12:R$949))</f>
        <v>#DIV/0!</v>
      </c>
      <c r="Y15" s="890" t="e">
        <f>IF($B15&lt;1,"",AVERAGEIF('09월 화학성분'!$A$12:$A$949,$A15,'09월 화학성분'!U$12:U$949))</f>
        <v>#DIV/0!</v>
      </c>
      <c r="Z15" s="890">
        <f>IF($B15&lt;1,"",AVERAGEIF('09월 화학성분'!$A$12:$A$949,$A15,'09월 화학성분'!V$12:V$949))</f>
        <v>436.66666666666669</v>
      </c>
      <c r="AA15" s="890" t="e">
        <f>IF($B15&lt;1,"",AVERAGEIF('09월 화학성분'!$A$12:$A$949,$A15,'09월 화학성분'!W$12:W$949))</f>
        <v>#DIV/0!</v>
      </c>
      <c r="AB15" s="890" t="e">
        <f>IF($B15&lt;1,"",AVERAGEIF('09월 화학성분'!$A$12:$A$949,$A15,'09월 화학성분'!AA$12:AA$949))</f>
        <v>#DIV/0!</v>
      </c>
      <c r="AC15" s="890" t="e">
        <f>IF($B15&lt;1,"",AVERAGEIF('09월 화학성분'!$A$12:$A$949,$A15,'09월 화학성분'!#REF!))</f>
        <v>#REF!</v>
      </c>
      <c r="AD15" s="890">
        <f>IF($B15&lt;1,"",AVERAGEIF('09월 화학성분'!$A$12:$A$949,$A15,'09월 화학성분'!AB$12:AB$949))</f>
        <v>0</v>
      </c>
      <c r="AE15" s="890" t="e">
        <f>IF($B15&lt;1,"",AVERAGEIF('09월 화학성분'!$A$12:$A$949,$A15,'09월 화학성분'!AC$12:AC$949))</f>
        <v>#DIV/0!</v>
      </c>
      <c r="AF15" s="890">
        <f>IF($B15&lt;1,"",AVERAGEIF('09월 화학성분'!$A$12:$A$949,$A15,'09월 화학성분'!AD$12:AD$949))</f>
        <v>274.89999999999998</v>
      </c>
      <c r="AG15" s="890">
        <f>IF($B15&lt;1,"",AVERAGEIF('09월 화학성분'!$A$12:$A$949,$A15,'09월 화학성분'!AF$12:AF$949))</f>
        <v>0</v>
      </c>
      <c r="AH15" s="890">
        <f>IF($B15&lt;1,"",AVERAGEIF('09월 화학성분'!$A$12:$A$949,$A15,'09월 화학성분'!AG$12:AG$949))</f>
        <v>101.1</v>
      </c>
      <c r="AI15" s="890">
        <f>IF($B15&lt;1,"",AVERAGEIF('09월 화학성분'!$A$12:$A$949,$A15,'09월 화학성분'!AH$12:AH$949))</f>
        <v>1232.8666666666666</v>
      </c>
      <c r="AJ15" s="890">
        <f>IF($B15&lt;1,"",AVERAGEIF('09월 화학성분'!$A$12:$A$949,$A15,'09월 화학성분'!AI$12:AI$949))</f>
        <v>287.36</v>
      </c>
      <c r="AK15" s="890">
        <f>IF($B15&lt;1,"",AVERAGEIF('09월 화학성분'!$A$12:$A$949,$A15,'09월 화학성분'!AJ$12:AJ$949))</f>
        <v>85.1</v>
      </c>
      <c r="AL15" s="890" t="e">
        <f>IF($B15&lt;1,"",AVERAGEIF('09월 화학성분'!$A$12:$A$949,$A15,'09월 화학성분'!#REF!))</f>
        <v>#REF!</v>
      </c>
      <c r="AM15" s="890">
        <f>IF($B15&lt;1,"",AVERAGEIF('09월 화학성분'!$A$12:$A$949,$A15,'09월 화학성분'!AL$12:AL$949))</f>
        <v>122.85</v>
      </c>
      <c r="AN15" s="890">
        <f>IF($B15&lt;1,"",AVERAGEIF('09월 화학성분'!$A$12:$A$949,$A15,'09월 화학성분'!AM$12:AM$949))</f>
        <v>2198.0333333333333</v>
      </c>
      <c r="AO15" s="891">
        <f>IF($B15&lt;1,"",AVERAGEIF('09월 화학성분'!$A$12:$A$949,$A15,'09월 화학성분'!AN$12:AN$949))</f>
        <v>0.85216584345190893</v>
      </c>
      <c r="AP15" s="891">
        <f>IF($B15&lt;1,"",AVERAGEIF('09월 화학성분'!$A$12:$A$949,$A15,'09월 화학성분'!AO$12:AO$949))</f>
        <v>0.9142066959439783</v>
      </c>
      <c r="AQ15" s="890">
        <f>IF($B15&lt;1,"",AVERAGEIF('09월 화학성분'!$A$12:$A$949,$A15,'09월 화학성분'!AP$12:AP$949))</f>
        <v>145.54666666666665</v>
      </c>
      <c r="AR15" s="890">
        <f>IF($B15&lt;1,"",AVERAGEIF('09월 고철장입'!$A$14:$A$949,$A15,'09월 고철장입'!G$14:G$949)/1000)</f>
        <v>0</v>
      </c>
      <c r="AS15" s="890">
        <f>IF($B15&lt;1,"",AVERAGEIF('09월 고철장입'!$A$14:$A$949,$A15,'09월 고철장입'!H$14:H$949)/1000)</f>
        <v>0</v>
      </c>
      <c r="AT15" s="890">
        <f>IF($B15&lt;1,"",AVERAGEIF('09월 고철장입'!$A$14:$A$949,$A15,'09월 고철장입'!I$14:I$949)/1000)</f>
        <v>7.14</v>
      </c>
      <c r="AU15" s="890">
        <f>IF($B15&lt;1,"",AVERAGEIF('09월 고철장입'!$A$14:$A$949,$A15,'09월 고철장입'!J$14:J$949)/1000)</f>
        <v>0</v>
      </c>
      <c r="AV15" s="890">
        <f>IF($B15&lt;1,"",AVERAGEIF('09월 고철장입'!$A$14:$A$949,$A15,'09월 고철장입'!K$14:K$949)/1000)</f>
        <v>0</v>
      </c>
      <c r="AW15" s="890">
        <f>IF($B15&lt;1,"",AVERAGEIF('09월 고철장입'!$A$14:$A$949,$A15,'09월 고철장입'!L$14:L$949)/1000)</f>
        <v>0</v>
      </c>
      <c r="AX15" s="890">
        <f>IF($B15&lt;1,"",AVERAGEIF('09월 고철장입'!$A$14:$A$949,$A15,'09월 고철장입'!M$14:M$949)/1000)</f>
        <v>0</v>
      </c>
      <c r="AY15" s="890">
        <f>IF($B15&lt;1,"",AVERAGEIF('09월 고철장입'!$A$14:$A$949,$A15,'09월 고철장입'!N$14:N$949)/1000)</f>
        <v>0</v>
      </c>
      <c r="AZ15" s="890">
        <f>IF($B15&lt;1,"",AVERAGEIF('09월 고철장입'!$A$14:$A$949,$A15,'09월 고철장입'!O$14:O$949)/1000)</f>
        <v>7.14</v>
      </c>
      <c r="BA15" s="890">
        <f>IF($B15&lt;1,"",AVERAGEIF('09월 고철장입'!$A$14:$A$949,$A15,'09월 고철장입'!P$14:P$949)/1000)</f>
        <v>53.953333333333333</v>
      </c>
      <c r="BB15" s="890">
        <f>IF($B15&lt;1,"",AVERAGEIF('09월 고철장입'!$A$14:$A$949,$A15,'09월 고철장입'!Q$14:Q$949)/1000)</f>
        <v>18.33666666666667</v>
      </c>
      <c r="BC15" s="890">
        <f>IF($B15&lt;1,"",AVERAGEIF('09월 고철장입'!$A$14:$A$949,$A15,'09월 고철장입'!S$14:S$949)/1000)</f>
        <v>0</v>
      </c>
      <c r="BD15" s="890">
        <f>IF($B15&lt;1,"",AVERAGEIF('09월 고철장입'!$A$14:$A$949,$A15,'09월 고철장입'!T$14:T$949)/1000)</f>
        <v>0</v>
      </c>
      <c r="BE15" s="890">
        <f>IF($B15&lt;1,"",AVERAGEIF('09월 고철장입'!$A$14:$A$949,$A15,'09월 고철장입'!U$14:U$949)/1000)</f>
        <v>9.6666666666666661</v>
      </c>
      <c r="BF15" s="890">
        <f>IF($B15&lt;1,"",AVERAGEIF('09월 고철장입'!$A$14:$A$949,$A15,'09월 고철장입'!V$14:V$949)/1000)</f>
        <v>15.563333333333334</v>
      </c>
      <c r="BG15" s="890">
        <f>IF($B15&lt;1,"",AVERAGEIF('09월 고철장입'!$A$14:$A$949,$A15,'09월 고철장입'!W$14:W$949)/1000)</f>
        <v>2.9966666666666666</v>
      </c>
      <c r="BH15" s="890">
        <f>IF($B15&lt;1,"",AVERAGEIF('09월 고철장입'!$A$14:$A$949,$A15,'09월 고철장입'!Y$14:Y$949)/1000)</f>
        <v>10.706666666666665</v>
      </c>
      <c r="BI15" s="890">
        <f>IF($B15&lt;1,"",AVERAGEIF('09월 고철장입'!$A$14:$A$949,$A15,'09월 고철장입'!AB$14:AB$949)/1000)</f>
        <v>4.0233333333333334</v>
      </c>
      <c r="BJ15" s="890">
        <f>IF($B15&lt;1,"",AVERAGEIF('09월 고철장입'!$A$14:$A$949,$A15,'09월 고철장입'!AC$14:AC$949)/1000)</f>
        <v>2.4230769230769229</v>
      </c>
      <c r="BK15" s="890">
        <f>IF($B15&lt;1,"",AVERAGEIF('09월 고철장입'!$A$14:$A$949,$A15,'09월 고철장입'!AD$14:AD$949)/1000)</f>
        <v>4.1285714285714281</v>
      </c>
      <c r="BL15" s="890">
        <f>IF($B15&lt;1,"",AVERAGEIF('09월 고철장입'!$A$14:$A$949,$A15,'09월 고철장입'!AE$14:AE$949)/1000)</f>
        <v>136</v>
      </c>
      <c r="BM15" s="890">
        <f>IF($B15&lt;1,"",AVERAGEIF('09월 고철장입'!$A$14:$A$949,$A15,'09월 고철장입'!AF$14:AF$949)/1000)</f>
        <v>4.53</v>
      </c>
      <c r="BN15" s="890">
        <f>IF($B15&lt;1,"",AVERAGEIF('09월 고철장입'!$A$14:$A$949,$A15,'09월 고철장입'!AG$14:AG$949)/1000)</f>
        <v>10.4</v>
      </c>
      <c r="BO15" s="890">
        <f>IF($B15&lt;1,"",AVERAGEIF('09월 고철장입'!$A$14:$A$949,$A15,'09월 고철장입'!AH$14:AH$949)/1000)</f>
        <v>5.4666666666666668</v>
      </c>
      <c r="BP15" s="890">
        <f>IF($B15&lt;1,"",AVERAGEIF('09월 고철장입'!$A$14:$A$949,$A15,'09월 고철장입'!AI$14:AI$949)/1000)</f>
        <v>20.396666666666668</v>
      </c>
      <c r="BQ15" s="890">
        <f>IF($B15&lt;1,"",AVERAGEIF('09월 고철장입'!$A$14:$A$949,$A15,'09월 고철장입'!AJ$14:AJ$949)/1000)</f>
        <v>158.77666666666667</v>
      </c>
      <c r="BR15" s="890">
        <f>IF($B15&lt;1,"",AVERAGEIF('09월 고철장입'!$A$14:$A$949,$A15,'09월 고철장입'!AK$14:AK$949))</f>
        <v>145.54666666666665</v>
      </c>
      <c r="BS15" s="890">
        <f>IF($B15&lt;1,"",AVERAGEIF('09월 고철장입'!$A$14:$A$949,$A15,'09월 고철장입'!AL$14:AL$949)*100)</f>
        <v>91.669946217834976</v>
      </c>
      <c r="BT15" s="890">
        <f>IF($B15&lt;1,"",AVERAGEIF('09월 에너지'!$A$14:$A$949,$A15,'09월 에너지'!G$14:G$949))</f>
        <v>19.436666666666671</v>
      </c>
      <c r="BU15" s="892">
        <f>IF($B15&lt;1,"",AVERAGEIF('09월 에너지'!$A$14:$A$949,$A15,'09월 에너지'!H$14:H$949))</f>
        <v>23066.666666666668</v>
      </c>
      <c r="BV15" s="890">
        <f>IF($B15&lt;1,"",AVERAGEIF('09월 에너지'!$A$14:$A$949,$A15,'09월 에너지'!I$14:I$949))</f>
        <v>16.97</v>
      </c>
      <c r="BW15" s="892">
        <f>IF($B15&lt;1,"",AVERAGEIF('09월 에너지'!$A$14:$A$949,$A15,'09월 에너지'!J$14:J$949))</f>
        <v>20596.666666666668</v>
      </c>
      <c r="BX15" s="890">
        <f>IF($B15&lt;1,"",AVERAGEIF('09월 에너지'!$A$14:$A$949,$A15,'09월 에너지'!K$14:K$949))</f>
        <v>9.7433333333333323</v>
      </c>
      <c r="BY15" s="892">
        <f>IF($B15&lt;1,"",AVERAGEIF('09월 에너지'!$A$14:$A$949,$A15,'09월 에너지'!L$14:L$949))</f>
        <v>12303.333333333334</v>
      </c>
      <c r="BZ15" s="890">
        <f>IF($B15&lt;1,"",AVERAGEIF('09월 에너지'!$A$14:$A$949,$A15,'09월 에너지'!M$14:M$949))</f>
        <v>46.150000000000006</v>
      </c>
      <c r="CA15" s="892">
        <f>IF($B15&lt;1,"",AVERAGEIF('09월 에너지'!$A$14:$A$949,$A15,'09월 에너지'!N$14:N$949))</f>
        <v>55966.666666666664</v>
      </c>
      <c r="CB15" s="890">
        <f>IF($B15&lt;1,"",AVERAGEIF('09월 에너지'!$A$14:$A$949,$A15,'09월 에너지'!O$14:O$949))</f>
        <v>158.50442229858081</v>
      </c>
      <c r="CC15" s="890">
        <f>IF($B15&lt;1,"",AVERAGEIF('09월 에너지'!$A$14:$A$949,$A15,'09월 에너지'!P$14:P$949))</f>
        <v>141.52855085932916</v>
      </c>
      <c r="CD15" s="890">
        <f>IF($B15&lt;1,"",AVERAGEIF('09월 에너지'!$A$14:$A$949,$A15,'09월 에너지'!Q$14:Q$949))</f>
        <v>84.615165239109245</v>
      </c>
      <c r="CE15" s="890">
        <f>IF($B15&lt;1,"",AVERAGEIF('09월 에너지'!$A$14:$A$949,$A15,'09월 에너지'!R$14:R$949))</f>
        <v>384.64813839701935</v>
      </c>
      <c r="CF15" s="890">
        <f>IF($B15&lt;1,"",AVERAGEIF('09월 에너지'!$A$14:$A$949,$A15,'09월 에너지'!S$14:S$949))</f>
        <v>145.54666666666665</v>
      </c>
      <c r="CG15" s="890">
        <f>IF($B15&lt;1,"",AVERAGEIF('09월 에너지'!$A$14:$A$949,$A15,'09월 에너지'!T$14:T$949))</f>
        <v>0</v>
      </c>
      <c r="CH15" s="890">
        <f>IF($B15&lt;1,"",AVERAGEIF('09월 에너지'!$A$14:$A$949,$A15,'09월 에너지'!U$14:U$949))</f>
        <v>82.733333333333334</v>
      </c>
      <c r="CI15" s="892">
        <f>IF($B15&lt;1,"",AVERAGEIF('09월 에너지'!$A$14:$A$949,$A15,'09월 에너지'!V$14:V$949))</f>
        <v>278.2</v>
      </c>
      <c r="CJ15" s="892">
        <f>IF($B15&lt;1,"",AVERAGEIF('09월 에너지'!$A$14:$A$949,$A15,'09월 에너지'!W$14:W$949))</f>
        <v>360.93333333333334</v>
      </c>
      <c r="CK15" s="890">
        <f>IF($B15&lt;1,"",AVERAGEIF('09월 에너지'!$A$14:$A$949,$A15,'09월 에너지'!X$14:X$949))</f>
        <v>2.4802086044140745</v>
      </c>
      <c r="CL15" s="892">
        <f>IF($B15&lt;1,"",AVERAGEIF('09월 에너지'!$A$14:$A$949,$A15,'09월 에너지'!Y$14:Y$949))</f>
        <v>1604.7333333333333</v>
      </c>
      <c r="CM15" s="892">
        <f>IF($B15&lt;1,"",AVERAGEIF('09월 에너지'!$A$14:$A$949,$A15,'09월 에너지'!Z$14:Z$949))</f>
        <v>1404.4</v>
      </c>
      <c r="CN15" s="892">
        <f>IF($B15&lt;1,"",AVERAGEIF('09월 에너지'!$A$14:$A$949,$A15,'09월 에너지'!AA$14:AA$949))</f>
        <v>808.83333333333337</v>
      </c>
      <c r="CO15" s="892">
        <f>IF($B15&lt;1,"",AVERAGEIF('09월 에너지'!$A$14:$A$949,$A15,'09월 에너지'!AB$14:AB$949))</f>
        <v>3817.9666666666667</v>
      </c>
      <c r="CP15" s="890">
        <f>IF($B15&lt;1,"",AVERAGEIF('09월 에너지'!$A$14:$A$949,$A15,'09월 에너지'!AC$14:AC$949))</f>
        <v>26.241130593244272</v>
      </c>
      <c r="CQ15" s="888">
        <f>IF($B15&lt;1,"",AVERAGEIF('09월 에너지'!$A$14:$A$949,$A15,'09월 에너지'!AD$14:AD$949))</f>
        <v>4178.8999999999996</v>
      </c>
      <c r="CR15" s="888">
        <f>IF($B15&lt;1,"",AVERAGEIF('09월 에너지'!$A$14:$A$949,$A15,'09월 에너지'!AE$14:AE$949))</f>
        <v>28.721339197658345</v>
      </c>
      <c r="CS15" s="890">
        <f>IF($B15&lt;1,"",AVERAGEIF('09월 에너지'!$A$14:$A$949,$A15,'09월 에너지'!AF$14:AF$949))</f>
        <v>82.533333333333331</v>
      </c>
      <c r="CT15" s="890">
        <f>IF($B15&lt;1,"",AVERAGEIF('09월 에너지'!$A$14:$A$949,$A15,'09월 에너지'!AG$14:AG$949))</f>
        <v>65.833333333333329</v>
      </c>
      <c r="CU15" s="890">
        <f>IF($B15&lt;1,"",AVERAGEIF('09월 에너지'!$A$14:$A$949,$A15,'09월 에너지'!AH$14:AH$949))</f>
        <v>10.066666666666666</v>
      </c>
      <c r="CV15" s="890">
        <f>IF($B15&lt;1,"",AVERAGEIF('09월 에너지'!$A$14:$A$949,$A15,'09월 에너지'!AI$14:AI$949))</f>
        <v>158.43333333333334</v>
      </c>
      <c r="CW15" s="893">
        <f>IF($B15&lt;1,"",AVERAGEIF('09월 에너지'!$A$14:$A$949,$A15,'09월 에너지'!AJ$14:AJ$949))</f>
        <v>1.0890709489980934</v>
      </c>
    </row>
    <row r="16" spans="1:101" ht="15.75" customHeight="1">
      <c r="A16" s="883">
        <f t="shared" si="1"/>
        <v>46277</v>
      </c>
      <c r="B16" s="884">
        <f>COUNTIF('09월 조업일지'!$A$12:$A$952,A16)</f>
        <v>31</v>
      </c>
      <c r="C16" s="885">
        <f t="shared" si="0"/>
        <v>46.774193548387096</v>
      </c>
      <c r="D16" s="885">
        <f>IF($B16&lt;1,"",(SUMIF('09월 조업일지'!$A$12:$A$952,$A16,'09월 조업일지'!$K$12:$K$952))/B16)</f>
        <v>0</v>
      </c>
      <c r="E16" s="885">
        <f>IF($B16&lt;1,"",AVERAGEIF('09월 조업일지'!$A$12:$A$952,$A16,'09월 조업일지'!$J$12:$J$952))</f>
        <v>46.774193548387096</v>
      </c>
      <c r="F16" s="886">
        <f>IF($B16&lt;1,"",AVERAGEIF('09월 에너지'!$A$14:$A$949,$A16,'09월 에너지'!$M$14:M$949))</f>
        <v>45.635483870967747</v>
      </c>
      <c r="G16" s="887">
        <f>IF($B16&lt;1,"",AVERAGEIF('09월 조업일지'!$A$12:$A$952,$A16,'09월 조업일지'!$AJ$12:$AJ$952))</f>
        <v>10.35483870967742</v>
      </c>
      <c r="H16" s="887">
        <f>IF($B16&lt;1,"",AVERAGEIF('09월 조업일지'!$A$12:$A$952,$A16,'09월 조업일지'!$AL$12:$AL$952))</f>
        <v>7.9</v>
      </c>
      <c r="I16" s="888">
        <f>IF($B16&lt;1,"",AVERAGEIF('09월 화학성분'!$A$12:$A$949,$A16,'09월 화학성분'!G$12:G$949))</f>
        <v>11.774193548387096</v>
      </c>
      <c r="J16" s="888">
        <f>IF($B16&lt;1,"",AVERAGEIF('09월 화학성분'!$A$12:$A$949,$A16,'09월 화학성분'!H$12:H$949))</f>
        <v>23.032258064516128</v>
      </c>
      <c r="K16" s="888">
        <f>IF($B16&lt;1,"",AVERAGEIF('09월 화학성분'!$A$12:$A$949,$A16,'09월 화학성분'!I$12:I$949))</f>
        <v>123.29032258064517</v>
      </c>
      <c r="L16" s="888">
        <f>IF($B16&lt;1,"",AVERAGEIF('09월 화학성분'!$A$12:$A$949,$A16,'09월 화학성분'!J$12:J$949))</f>
        <v>15.225806451612904</v>
      </c>
      <c r="M16" s="888">
        <f>IF($B16&lt;1,"",AVERAGEIF('09월 화학성분'!$A$12:$A$949,$A16,'09월 화학성분'!K$12:K$949))</f>
        <v>34.645161290322584</v>
      </c>
      <c r="N16" s="888">
        <f>IF($B16&lt;1,"",AVERAGEIF('09월 화학성분'!$A$12:$A$949,$A16,'09월 화학성분'!L$12:L$949))</f>
        <v>12.935483870967742</v>
      </c>
      <c r="O16" s="888">
        <f>IF($B16&lt;1,"",AVERAGEIF('09월 화학성분'!$A$12:$A$949,$A16,'09월 화학성분'!M$12:M$949))</f>
        <v>10.258064516129032</v>
      </c>
      <c r="P16" s="889">
        <f>IF($B16&lt;1,"",AVERAGEIF('09월 조업일지'!$A$12:$A$952,$A16,'09월 조업일지'!$AK$12:$AK$952))</f>
        <v>582.9666666666667</v>
      </c>
      <c r="Q16" s="888">
        <f>IF($B16&lt;1,"",AVERAGEIF('09월 화학성분'!$A$12:$A$949,$A16,'09월 화학성분'!$G$12:$G$949))</f>
        <v>11.774193548387096</v>
      </c>
      <c r="R16" s="889">
        <f>IF($B16&lt;1,"",AVERAGEIF('09월 조업일지'!$A$12:$A$952,$A16,'09월 조업일지'!$AI$12:$AI$952))</f>
        <v>1571.5806451612902</v>
      </c>
      <c r="S16" s="888">
        <f>IF($B16&lt;1,"",AVERAGEIF('09월 화학성분'!$A$12:$A$949,$A16,'09월 화학성분'!$AM$12:$AM$949))</f>
        <v>1745.0645161290322</v>
      </c>
      <c r="T16" s="890">
        <f>IF($B16&lt;1,"",AVERAGEIF('09월 화학성분'!$A$12:$A$949,$A16,'09월 화학성분'!N$12:N$949))</f>
        <v>419.70967741935482</v>
      </c>
      <c r="U16" s="890" t="e">
        <f>IF($B16&lt;1,"",AVERAGEIF('09월 화학성분'!$A$12:$A$949,$A16,'09월 화학성분'!O$12:O$949))</f>
        <v>#DIV/0!</v>
      </c>
      <c r="V16" s="890">
        <f>IF($B16&lt;1,"",AVERAGEIF('09월 화학성분'!$A$12:$A$949,$A16,'09월 화학성분'!P$12:P$949))</f>
        <v>1006.6451612903226</v>
      </c>
      <c r="W16" s="890">
        <f>IF($B16&lt;1,"",AVERAGEIF('09월 화학성분'!$A$12:$A$949,$A16,'09월 화학성분'!Q$12:Q$949))</f>
        <v>952.93548387096769</v>
      </c>
      <c r="X16" s="890" t="e">
        <f>IF($B16&lt;1,"",AVERAGEIF('09월 화학성분'!$A$12:$A$949,$A16,'09월 화학성분'!R$12:R$949))</f>
        <v>#DIV/0!</v>
      </c>
      <c r="Y16" s="890" t="e">
        <f>IF($B16&lt;1,"",AVERAGEIF('09월 화학성분'!$A$12:$A$949,$A16,'09월 화학성분'!U$12:U$949))</f>
        <v>#DIV/0!</v>
      </c>
      <c r="Z16" s="890">
        <f>IF($B16&lt;1,"",AVERAGEIF('09월 화학성분'!$A$12:$A$949,$A16,'09월 화학성분'!V$12:V$949))</f>
        <v>420.16129032258067</v>
      </c>
      <c r="AA16" s="890" t="e">
        <f>IF($B16&lt;1,"",AVERAGEIF('09월 화학성분'!$A$12:$A$949,$A16,'09월 화학성분'!W$12:W$949))</f>
        <v>#DIV/0!</v>
      </c>
      <c r="AB16" s="890" t="e">
        <f>IF($B16&lt;1,"",AVERAGEIF('09월 화학성분'!$A$12:$A$949,$A16,'09월 화학성분'!AA$12:AA$949))</f>
        <v>#DIV/0!</v>
      </c>
      <c r="AC16" s="890" t="e">
        <f>IF($B16&lt;1,"",AVERAGEIF('09월 화학성분'!$A$12:$A$949,$A16,'09월 화학성분'!#REF!))</f>
        <v>#REF!</v>
      </c>
      <c r="AD16" s="890">
        <f>IF($B16&lt;1,"",AVERAGEIF('09월 화학성분'!$A$12:$A$949,$A16,'09월 화학성분'!AB$12:AB$949))</f>
        <v>0</v>
      </c>
      <c r="AE16" s="890" t="e">
        <f>IF($B16&lt;1,"",AVERAGEIF('09월 화학성분'!$A$12:$A$949,$A16,'09월 화학성분'!AC$12:AC$949))</f>
        <v>#DIV/0!</v>
      </c>
      <c r="AF16" s="890">
        <f>IF($B16&lt;1,"",AVERAGEIF('09월 화학성분'!$A$12:$A$949,$A16,'09월 화학성분'!AD$12:AD$949))</f>
        <v>287.19354838709677</v>
      </c>
      <c r="AG16" s="890">
        <f>IF($B16&lt;1,"",AVERAGEIF('09월 화학성분'!$A$12:$A$949,$A16,'09월 화학성분'!AF$12:AF$949))</f>
        <v>0</v>
      </c>
      <c r="AH16" s="890">
        <f>IF($B16&lt;1,"",AVERAGEIF('09월 화학성분'!$A$12:$A$949,$A16,'09월 화학성분'!AG$12:AG$949))</f>
        <v>99.129032258064512</v>
      </c>
      <c r="AI16" s="890">
        <f>IF($B16&lt;1,"",AVERAGEIF('09월 화학성분'!$A$12:$A$949,$A16,'09월 화학성분'!AH$12:AH$949))</f>
        <v>2301.1290322580644</v>
      </c>
      <c r="AJ16" s="890">
        <f>IF($B16&lt;1,"",AVERAGEIF('09월 화학성분'!$A$12:$A$949,$A16,'09월 화학성분'!AI$12:AI$949))</f>
        <v>116.46666666666667</v>
      </c>
      <c r="AK16" s="890">
        <f>IF($B16&lt;1,"",AVERAGEIF('09월 화학성분'!$A$12:$A$949,$A16,'09월 화학성분'!AJ$12:AJ$949))</f>
        <v>89.225806451612897</v>
      </c>
      <c r="AL16" s="890" t="e">
        <f>IF($B16&lt;1,"",AVERAGEIF('09월 화학성분'!$A$12:$A$949,$A16,'09월 화학성분'!#REF!))</f>
        <v>#REF!</v>
      </c>
      <c r="AM16" s="890">
        <f>IF($B16&lt;1,"",AVERAGEIF('09월 화학성분'!$A$12:$A$949,$A16,'09월 화학성분'!AL$12:AL$949))</f>
        <v>122.48387096774194</v>
      </c>
      <c r="AN16" s="890">
        <f>IF($B16&lt;1,"",AVERAGEIF('09월 화학성분'!$A$12:$A$949,$A16,'09월 화학성분'!AM$12:AM$949))</f>
        <v>1745.0645161290322</v>
      </c>
      <c r="AO16" s="891">
        <f>IF($B16&lt;1,"",AVERAGEIF('09월 화학성분'!$A$12:$A$949,$A16,'09월 화학성분'!AN$12:AN$949))</f>
        <v>0.85684376620564184</v>
      </c>
      <c r="AP16" s="891">
        <f>IF($B16&lt;1,"",AVERAGEIF('09월 화학성분'!$A$12:$A$949,$A16,'09월 화학성분'!AO$12:AO$949))</f>
        <v>0.97423074876032412</v>
      </c>
      <c r="AQ16" s="890">
        <f>IF($B16&lt;1,"",AVERAGEIF('09월 화학성분'!$A$12:$A$949,$A16,'09월 화학성분'!AP$12:AP$949))</f>
        <v>145.04516129032257</v>
      </c>
      <c r="AR16" s="890">
        <f>IF($B16&lt;1,"",AVERAGEIF('09월 고철장입'!$A$14:$A$949,$A16,'09월 고철장입'!G$14:G$949)/1000)</f>
        <v>0</v>
      </c>
      <c r="AS16" s="890">
        <f>IF($B16&lt;1,"",AVERAGEIF('09월 고철장입'!$A$14:$A$949,$A16,'09월 고철장입'!H$14:H$949)/1000)</f>
        <v>0</v>
      </c>
      <c r="AT16" s="890">
        <f>IF($B16&lt;1,"",AVERAGEIF('09월 고철장입'!$A$14:$A$949,$A16,'09월 고철장입'!I$14:I$949)/1000)</f>
        <v>5.258064516129032</v>
      </c>
      <c r="AU16" s="890">
        <f>IF($B16&lt;1,"",AVERAGEIF('09월 고철장입'!$A$14:$A$949,$A16,'09월 고철장입'!J$14:J$949)/1000)</f>
        <v>0</v>
      </c>
      <c r="AV16" s="890">
        <f>IF($B16&lt;1,"",AVERAGEIF('09월 고철장입'!$A$14:$A$949,$A16,'09월 고철장입'!K$14:K$949)/1000)</f>
        <v>0</v>
      </c>
      <c r="AW16" s="890">
        <f>IF($B16&lt;1,"",AVERAGEIF('09월 고철장입'!$A$14:$A$949,$A16,'09월 고철장입'!L$14:L$949)/1000)</f>
        <v>0</v>
      </c>
      <c r="AX16" s="890">
        <f>IF($B16&lt;1,"",AVERAGEIF('09월 고철장입'!$A$14:$A$949,$A16,'09월 고철장입'!M$14:M$949)/1000)</f>
        <v>0</v>
      </c>
      <c r="AY16" s="890">
        <f>IF($B16&lt;1,"",AVERAGEIF('09월 고철장입'!$A$14:$A$949,$A16,'09월 고철장입'!N$14:N$949)/1000)</f>
        <v>0</v>
      </c>
      <c r="AZ16" s="890">
        <f>IF($B16&lt;1,"",AVERAGEIF('09월 고철장입'!$A$14:$A$949,$A16,'09월 고철장입'!O$14:O$949)/1000)</f>
        <v>5.258064516129032</v>
      </c>
      <c r="BA16" s="890">
        <f>IF($B16&lt;1,"",AVERAGEIF('09월 고철장입'!$A$14:$A$949,$A16,'09월 고철장입'!P$14:P$949)/1000)</f>
        <v>53.277419354838713</v>
      </c>
      <c r="BB16" s="890">
        <f>IF($B16&lt;1,"",AVERAGEIF('09월 고철장입'!$A$14:$A$949,$A16,'09월 고철장입'!Q$14:Q$949)/1000)</f>
        <v>17.564516129032256</v>
      </c>
      <c r="BC16" s="890">
        <f>IF($B16&lt;1,"",AVERAGEIF('09월 고철장입'!$A$14:$A$949,$A16,'09월 고철장입'!S$14:S$949)/1000)</f>
        <v>0</v>
      </c>
      <c r="BD16" s="890">
        <f>IF($B16&lt;1,"",AVERAGEIF('09월 고철장입'!$A$14:$A$949,$A16,'09월 고철장입'!T$14:T$949)/1000)</f>
        <v>2.3333333333333335</v>
      </c>
      <c r="BE16" s="890">
        <f>IF($B16&lt;1,"",AVERAGEIF('09월 고철장입'!$A$14:$A$949,$A16,'09월 고철장입'!U$14:U$949)/1000)</f>
        <v>8.6777777777777771</v>
      </c>
      <c r="BF16" s="890">
        <f>IF($B16&lt;1,"",AVERAGEIF('09월 고철장입'!$A$14:$A$949,$A16,'09월 고철장입'!V$14:V$949)/1000)</f>
        <v>17.612903225806452</v>
      </c>
      <c r="BG16" s="890">
        <f>IF($B16&lt;1,"",AVERAGEIF('09월 고철장입'!$A$14:$A$949,$A16,'09월 고철장입'!W$14:W$949)/1000)</f>
        <v>2.7129032258064516</v>
      </c>
      <c r="BH16" s="890">
        <f>IF($B16&lt;1,"",AVERAGEIF('09월 고철장입'!$A$14:$A$949,$A16,'09월 고철장입'!Y$14:Y$949)/1000)</f>
        <v>10.987096774193549</v>
      </c>
      <c r="BI16" s="890">
        <f>IF($B16&lt;1,"",AVERAGEIF('09월 고철장입'!$A$14:$A$949,$A16,'09월 고철장입'!AB$14:AB$949)/1000)</f>
        <v>3.1612903225806455</v>
      </c>
      <c r="BJ16" s="890">
        <f>IF($B16&lt;1,"",AVERAGEIF('09월 고철장입'!$A$14:$A$949,$A16,'09월 고철장입'!AC$14:AC$949)/1000)</f>
        <v>0</v>
      </c>
      <c r="BK16" s="890">
        <f>IF($B16&lt;1,"",AVERAGEIF('09월 고철장입'!$A$14:$A$949,$A16,'09월 고철장입'!AD$14:AD$949)/1000)</f>
        <v>4.5199999999999996</v>
      </c>
      <c r="BL16" s="890">
        <f>IF($B16&lt;1,"",AVERAGEIF('09월 고철장입'!$A$14:$A$949,$A16,'09월 고철장입'!AE$14:AE$949)/1000)</f>
        <v>131.3064516129032</v>
      </c>
      <c r="BM16" s="890">
        <f>IF($B16&lt;1,"",AVERAGEIF('09월 고철장입'!$A$14:$A$949,$A16,'09월 고철장입'!AF$14:AF$949)/1000)</f>
        <v>3.9129032258064518</v>
      </c>
      <c r="BN16" s="890">
        <f>IF($B16&lt;1,"",AVERAGEIF('09월 고철장입'!$A$14:$A$949,$A16,'09월 고철장입'!AG$14:AG$949)/1000)</f>
        <v>13.074193548387097</v>
      </c>
      <c r="BO16" s="890">
        <f>IF($B16&lt;1,"",AVERAGEIF('09월 고철장입'!$A$14:$A$949,$A16,'09월 고철장입'!AH$14:AH$949)/1000)</f>
        <v>4.9935483870967747</v>
      </c>
      <c r="BP16" s="890">
        <f>IF($B16&lt;1,"",AVERAGEIF('09월 고철장입'!$A$14:$A$949,$A16,'09월 고철장입'!AI$14:AI$949)/1000)</f>
        <v>22.064516129032256</v>
      </c>
      <c r="BQ16" s="890">
        <f>IF($B16&lt;1,"",AVERAGEIF('09월 고철장입'!$A$14:$A$949,$A16,'09월 고철장입'!AJ$14:AJ$949)/1000)</f>
        <v>158.62903225806451</v>
      </c>
      <c r="BR16" s="890">
        <f>IF($B16&lt;1,"",AVERAGEIF('09월 고철장입'!$A$14:$A$949,$A16,'09월 고철장입'!AK$14:AK$949))</f>
        <v>145.04516129032257</v>
      </c>
      <c r="BS16" s="890">
        <f>IF($B16&lt;1,"",AVERAGEIF('09월 고철장입'!$A$14:$A$949,$A16,'09월 고철장입'!AL$14:AL$949)*100)</f>
        <v>91.441535222571673</v>
      </c>
      <c r="BT16" s="890">
        <f>IF($B16&lt;1,"",AVERAGEIF('09월 에너지'!$A$14:$A$949,$A16,'09월 에너지'!G$14:G$949))</f>
        <v>19.519354838709681</v>
      </c>
      <c r="BU16" s="892">
        <f>IF($B16&lt;1,"",AVERAGEIF('09월 에너지'!$A$14:$A$949,$A16,'09월 에너지'!H$14:H$949))</f>
        <v>23077.419354838708</v>
      </c>
      <c r="BV16" s="890">
        <f>IF($B16&lt;1,"",AVERAGEIF('09월 에너지'!$A$14:$A$949,$A16,'09월 에너지'!I$14:I$949))</f>
        <v>16.945161290322581</v>
      </c>
      <c r="BW16" s="892">
        <f>IF($B16&lt;1,"",AVERAGEIF('09월 에너지'!$A$14:$A$949,$A16,'09월 에너지'!J$14:J$949))</f>
        <v>20654.83870967742</v>
      </c>
      <c r="BX16" s="890">
        <f>IF($B16&lt;1,"",AVERAGEIF('09월 에너지'!$A$14:$A$949,$A16,'09월 에너지'!K$14:K$949))</f>
        <v>9.1709677419354847</v>
      </c>
      <c r="BY16" s="892">
        <f>IF($B16&lt;1,"",AVERAGEIF('09월 에너지'!$A$14:$A$949,$A16,'09월 에너지'!L$14:L$949))</f>
        <v>11625.806451612903</v>
      </c>
      <c r="BZ16" s="890">
        <f>IF($B16&lt;1,"",AVERAGEIF('09월 에너지'!$A$14:$A$949,$A16,'09월 에너지'!M$14:M$949))</f>
        <v>45.635483870967747</v>
      </c>
      <c r="CA16" s="892">
        <f>IF($B16&lt;1,"",AVERAGEIF('09월 에너지'!$A$14:$A$949,$A16,'09월 에너지'!N$14:N$949))</f>
        <v>55358.06451612903</v>
      </c>
      <c r="CB16" s="890">
        <f>IF($B16&lt;1,"",AVERAGEIF('09월 에너지'!$A$14:$A$949,$A16,'09월 에너지'!O$14:O$949))</f>
        <v>159.13736492397959</v>
      </c>
      <c r="CC16" s="890">
        <f>IF($B16&lt;1,"",AVERAGEIF('09월 에너지'!$A$14:$A$949,$A16,'09월 에너지'!P$14:P$949))</f>
        <v>142.42559407983498</v>
      </c>
      <c r="CD16" s="890">
        <f>IF($B16&lt;1,"",AVERAGEIF('09월 에너지'!$A$14:$A$949,$A16,'09월 에너지'!Q$14:Q$949))</f>
        <v>80.152243966059146</v>
      </c>
      <c r="CE16" s="890">
        <f>IF($B16&lt;1,"",AVERAGEIF('09월 에너지'!$A$14:$A$949,$A16,'09월 에너지'!R$14:R$949))</f>
        <v>381.71520296987359</v>
      </c>
      <c r="CF16" s="890">
        <f>IF($B16&lt;1,"",AVERAGEIF('09월 에너지'!$A$14:$A$949,$A16,'09월 에너지'!S$14:S$949))</f>
        <v>145.04516129032257</v>
      </c>
      <c r="CG16" s="890">
        <f>IF($B16&lt;1,"",AVERAGEIF('09월 에너지'!$A$14:$A$949,$A16,'09월 에너지'!T$14:T$949))</f>
        <v>0</v>
      </c>
      <c r="CH16" s="890">
        <f>IF($B16&lt;1,"",AVERAGEIF('09월 에너지'!$A$14:$A$949,$A16,'09월 에너지'!U$14:U$949))</f>
        <v>69.451612903225808</v>
      </c>
      <c r="CI16" s="892">
        <f>IF($B16&lt;1,"",AVERAGEIF('09월 에너지'!$A$14:$A$949,$A16,'09월 에너지'!V$14:V$949))</f>
        <v>281.06451612903226</v>
      </c>
      <c r="CJ16" s="892">
        <f>IF($B16&lt;1,"",AVERAGEIF('09월 에너지'!$A$14:$A$949,$A16,'09월 에너지'!W$14:W$949))</f>
        <v>350.51612903225805</v>
      </c>
      <c r="CK16" s="890">
        <f>IF($B16&lt;1,"",AVERAGEIF('09월 에너지'!$A$14:$A$949,$A16,'09월 에너지'!X$14:X$949))</f>
        <v>2.4167317349620432</v>
      </c>
      <c r="CL16" s="892">
        <f>IF($B16&lt;1,"",AVERAGEIF('09월 에너지'!$A$14:$A$949,$A16,'09월 에너지'!Y$14:Y$949))</f>
        <v>1609.0322580645161</v>
      </c>
      <c r="CM16" s="892">
        <f>IF($B16&lt;1,"",AVERAGEIF('09월 에너지'!$A$14:$A$949,$A16,'09월 에너지'!Z$14:Z$949))</f>
        <v>1428.3548387096773</v>
      </c>
      <c r="CN16" s="892">
        <f>IF($B16&lt;1,"",AVERAGEIF('09월 에너지'!$A$14:$A$949,$A16,'09월 에너지'!AA$14:AA$949))</f>
        <v>836.0322580645161</v>
      </c>
      <c r="CO16" s="892">
        <f>IF($B16&lt;1,"",AVERAGEIF('09월 에너지'!$A$14:$A$949,$A16,'09월 에너지'!AB$14:AB$949))</f>
        <v>3873.4193548387098</v>
      </c>
      <c r="CP16" s="890">
        <f>IF($B16&lt;1,"",AVERAGEIF('09월 에너지'!$A$14:$A$949,$A16,'09월 에너지'!AC$14:AC$949))</f>
        <v>26.717292399760112</v>
      </c>
      <c r="CQ16" s="888">
        <f>IF($B16&lt;1,"",AVERAGEIF('09월 에너지'!$A$14:$A$949,$A16,'09월 에너지'!AD$14:AD$949))</f>
        <v>4223.9354838709678</v>
      </c>
      <c r="CR16" s="888">
        <f>IF($B16&lt;1,"",AVERAGEIF('09월 에너지'!$A$14:$A$949,$A16,'09월 에너지'!AE$14:AE$949))</f>
        <v>29.134024134722154</v>
      </c>
      <c r="CS16" s="890">
        <f>IF($B16&lt;1,"",AVERAGEIF('09월 에너지'!$A$14:$A$949,$A16,'09월 에너지'!AF$14:AF$949))</f>
        <v>82.322580645161295</v>
      </c>
      <c r="CT16" s="890">
        <f>IF($B16&lt;1,"",AVERAGEIF('09월 에너지'!$A$14:$A$949,$A16,'09월 에너지'!AG$14:AG$949))</f>
        <v>70.677419354838705</v>
      </c>
      <c r="CU16" s="890">
        <f>IF($B16&lt;1,"",AVERAGEIF('09월 에너지'!$A$14:$A$949,$A16,'09월 에너지'!AH$14:AH$949))</f>
        <v>17.838709677419356</v>
      </c>
      <c r="CV16" s="890">
        <f>IF($B16&lt;1,"",AVERAGEIF('09월 에너지'!$A$14:$A$949,$A16,'09월 에너지'!AI$14:AI$949))</f>
        <v>170.83870967741936</v>
      </c>
      <c r="CW16" s="893">
        <f>IF($B16&lt;1,"",AVERAGEIF('09월 에너지'!$A$14:$A$949,$A16,'09월 에너지'!AJ$14:AJ$949))</f>
        <v>1.1786457800213581</v>
      </c>
    </row>
    <row r="17" spans="1:101" ht="15.75" customHeight="1">
      <c r="A17" s="883">
        <f t="shared" si="1"/>
        <v>46278</v>
      </c>
      <c r="B17" s="884">
        <f>COUNTIF('09월 조업일지'!$A$12:$A$952,A17)</f>
        <v>31</v>
      </c>
      <c r="C17" s="885">
        <f t="shared" si="0"/>
        <v>45.935483870967744</v>
      </c>
      <c r="D17" s="885">
        <f>IF($B17&lt;1,"",(SUMIF('09월 조업일지'!$A$12:$A$952,$A17,'09월 조업일지'!$K$12:$K$952))/B17)</f>
        <v>0</v>
      </c>
      <c r="E17" s="885">
        <f>IF($B17&lt;1,"",AVERAGEIF('09월 조업일지'!$A$12:$A$952,$A17,'09월 조업일지'!$J$12:$J$952))</f>
        <v>45.935483870967744</v>
      </c>
      <c r="F17" s="886">
        <f>IF($B17&lt;1,"",AVERAGEIF('09월 에너지'!$A$14:$A$949,$A17,'09월 에너지'!$M$14:M$949))</f>
        <v>45.00967741935483</v>
      </c>
      <c r="G17" s="887">
        <f>IF($B17&lt;1,"",AVERAGEIF('09월 조업일지'!$A$12:$A$952,$A17,'09월 조업일지'!$AJ$12:$AJ$952))</f>
        <v>13.548387096774194</v>
      </c>
      <c r="H17" s="887">
        <f>IF($B17&lt;1,"",AVERAGEIF('09월 조업일지'!$A$12:$A$952,$A17,'09월 조업일지'!$AL$12:$AL$952))</f>
        <v>8.2758620689655178</v>
      </c>
      <c r="I17" s="888">
        <f>IF($B17&lt;1,"",AVERAGEIF('09월 화학성분'!$A$12:$A$949,$A17,'09월 화학성분'!G$12:G$949))</f>
        <v>11</v>
      </c>
      <c r="J17" s="888">
        <f>IF($B17&lt;1,"",AVERAGEIF('09월 화학성분'!$A$12:$A$949,$A17,'09월 화학성분'!H$12:H$949))</f>
        <v>22.612903225806452</v>
      </c>
      <c r="K17" s="888">
        <f>IF($B17&lt;1,"",AVERAGEIF('09월 화학성분'!$A$12:$A$949,$A17,'09월 화학성분'!I$12:I$949))</f>
        <v>90.096774193548384</v>
      </c>
      <c r="L17" s="888">
        <f>IF($B17&lt;1,"",AVERAGEIF('09월 화학성분'!$A$12:$A$949,$A17,'09월 화학성분'!J$12:J$949))</f>
        <v>16.64516129032258</v>
      </c>
      <c r="M17" s="888">
        <f>IF($B17&lt;1,"",AVERAGEIF('09월 화학성분'!$A$12:$A$949,$A17,'09월 화학성분'!K$12:K$949))</f>
        <v>36.193548387096776</v>
      </c>
      <c r="N17" s="888">
        <f>IF($B17&lt;1,"",AVERAGEIF('09월 화학성분'!$A$12:$A$949,$A17,'09월 화학성분'!L$12:L$949))</f>
        <v>14.32258064516129</v>
      </c>
      <c r="O17" s="888">
        <f>IF($B17&lt;1,"",AVERAGEIF('09월 화학성분'!$A$12:$A$949,$A17,'09월 화학성분'!M$12:M$949))</f>
        <v>11.225806451612904</v>
      </c>
      <c r="P17" s="889">
        <f>IF($B17&lt;1,"",AVERAGEIF('09월 조업일지'!$A$12:$A$952,$A17,'09월 조업일지'!$AK$12:$AK$952))</f>
        <v>557.34482758620686</v>
      </c>
      <c r="Q17" s="888">
        <f>IF($B17&lt;1,"",AVERAGEIF('09월 화학성분'!$A$12:$A$949,$A17,'09월 화학성분'!$G$12:$G$949))</f>
        <v>11</v>
      </c>
      <c r="R17" s="889">
        <f>IF($B17&lt;1,"",AVERAGEIF('09월 조업일지'!$A$12:$A$952,$A17,'09월 조업일지'!$AI$12:$AI$952))</f>
        <v>1580.258064516129</v>
      </c>
      <c r="S17" s="888">
        <f>IF($B17&lt;1,"",AVERAGEIF('09월 화학성분'!$A$12:$A$949,$A17,'09월 화학성분'!$AM$12:$AM$949))</f>
        <v>1779.0322580645161</v>
      </c>
      <c r="T17" s="890">
        <f>IF($B17&lt;1,"",AVERAGEIF('09월 화학성분'!$A$12:$A$949,$A17,'09월 화학성분'!N$12:N$949))</f>
        <v>419.93548387096774</v>
      </c>
      <c r="U17" s="890" t="e">
        <f>IF($B17&lt;1,"",AVERAGEIF('09월 화학성분'!$A$12:$A$949,$A17,'09월 화학성분'!O$12:O$949))</f>
        <v>#DIV/0!</v>
      </c>
      <c r="V17" s="890">
        <f>IF($B17&lt;1,"",AVERAGEIF('09월 화학성분'!$A$12:$A$949,$A17,'09월 화학성분'!P$12:P$949))</f>
        <v>1000.8387096774194</v>
      </c>
      <c r="W17" s="890">
        <f>IF($B17&lt;1,"",AVERAGEIF('09월 화학성분'!$A$12:$A$949,$A17,'09월 화학성분'!Q$12:Q$949))</f>
        <v>953.74193548387098</v>
      </c>
      <c r="X17" s="890" t="e">
        <f>IF($B17&lt;1,"",AVERAGEIF('09월 화학성분'!$A$12:$A$949,$A17,'09월 화학성분'!R$12:R$949))</f>
        <v>#DIV/0!</v>
      </c>
      <c r="Y17" s="890" t="e">
        <f>IF($B17&lt;1,"",AVERAGEIF('09월 화학성분'!$A$12:$A$949,$A17,'09월 화학성분'!U$12:U$949))</f>
        <v>#DIV/0!</v>
      </c>
      <c r="Z17" s="890">
        <f>IF($B17&lt;1,"",AVERAGEIF('09월 화학성분'!$A$12:$A$949,$A17,'09월 화학성분'!V$12:V$949))</f>
        <v>414.35483870967744</v>
      </c>
      <c r="AA17" s="890" t="e">
        <f>IF($B17&lt;1,"",AVERAGEIF('09월 화학성분'!$A$12:$A$949,$A17,'09월 화학성분'!W$12:W$949))</f>
        <v>#DIV/0!</v>
      </c>
      <c r="AB17" s="890" t="e">
        <f>IF($B17&lt;1,"",AVERAGEIF('09월 화학성분'!$A$12:$A$949,$A17,'09월 화학성분'!AA$12:AA$949))</f>
        <v>#DIV/0!</v>
      </c>
      <c r="AC17" s="890" t="e">
        <f>IF($B17&lt;1,"",AVERAGEIF('09월 화학성분'!$A$12:$A$949,$A17,'09월 화학성분'!#REF!))</f>
        <v>#REF!</v>
      </c>
      <c r="AD17" s="890">
        <f>IF($B17&lt;1,"",AVERAGEIF('09월 화학성분'!$A$12:$A$949,$A17,'09월 화학성분'!AB$12:AB$949))</f>
        <v>0</v>
      </c>
      <c r="AE17" s="890" t="e">
        <f>IF($B17&lt;1,"",AVERAGEIF('09월 화학성분'!$A$12:$A$949,$A17,'09월 화학성분'!AC$12:AC$949))</f>
        <v>#DIV/0!</v>
      </c>
      <c r="AF17" s="890">
        <f>IF($B17&lt;1,"",AVERAGEIF('09월 화학성분'!$A$12:$A$949,$A17,'09월 화학성분'!AD$12:AD$949))</f>
        <v>275.70967741935482</v>
      </c>
      <c r="AG17" s="890">
        <f>IF($B17&lt;1,"",AVERAGEIF('09월 화학성분'!$A$12:$A$949,$A17,'09월 화학성분'!AF$12:AF$949))</f>
        <v>0</v>
      </c>
      <c r="AH17" s="890">
        <f>IF($B17&lt;1,"",AVERAGEIF('09월 화학성분'!$A$12:$A$949,$A17,'09월 화학성분'!AG$12:AG$949))</f>
        <v>98.58064516129032</v>
      </c>
      <c r="AI17" s="890">
        <f>IF($B17&lt;1,"",AVERAGEIF('09월 화학성분'!$A$12:$A$949,$A17,'09월 화학성분'!AH$12:AH$949))</f>
        <v>1577.6451612903227</v>
      </c>
      <c r="AJ17" s="890">
        <f>IF($B17&lt;1,"",AVERAGEIF('09월 화학성분'!$A$12:$A$949,$A17,'09월 화학성분'!AI$12:AI$949))</f>
        <v>223.39285714285714</v>
      </c>
      <c r="AK17" s="890">
        <f>IF($B17&lt;1,"",AVERAGEIF('09월 화학성분'!$A$12:$A$949,$A17,'09월 화학성분'!AJ$12:AJ$949))</f>
        <v>91.548387096774192</v>
      </c>
      <c r="AL17" s="890" t="e">
        <f>IF($B17&lt;1,"",AVERAGEIF('09월 화학성분'!$A$12:$A$949,$A17,'09월 화학성분'!#REF!))</f>
        <v>#REF!</v>
      </c>
      <c r="AM17" s="890">
        <f>IF($B17&lt;1,"",AVERAGEIF('09월 화학성분'!$A$12:$A$949,$A17,'09월 화학성분'!AL$12:AL$949))</f>
        <v>105.8</v>
      </c>
      <c r="AN17" s="890">
        <f>IF($B17&lt;1,"",AVERAGEIF('09월 화학성분'!$A$12:$A$949,$A17,'09월 화학성분'!AM$12:AM$949))</f>
        <v>1779.0322580645161</v>
      </c>
      <c r="AO17" s="891">
        <f>IF($B17&lt;1,"",AVERAGEIF('09월 화학성분'!$A$12:$A$949,$A17,'09월 화학성분'!AN$12:AN$949))</f>
        <v>0.84105199691973032</v>
      </c>
      <c r="AP17" s="891">
        <f>IF($B17&lt;1,"",AVERAGEIF('09월 화학성분'!$A$12:$A$949,$A17,'09월 화학성분'!AO$12:AO$949))</f>
        <v>0.98873456351227806</v>
      </c>
      <c r="AQ17" s="890">
        <f>IF($B17&lt;1,"",AVERAGEIF('09월 화학성분'!$A$12:$A$949,$A17,'09월 화학성분'!AP$12:AP$949))</f>
        <v>144.6709677419355</v>
      </c>
      <c r="AR17" s="890">
        <f>IF($B17&lt;1,"",AVERAGEIF('09월 고철장입'!$A$14:$A$949,$A17,'09월 고철장입'!G$14:G$949)/1000)</f>
        <v>0</v>
      </c>
      <c r="AS17" s="890">
        <f>IF($B17&lt;1,"",AVERAGEIF('09월 고철장입'!$A$14:$A$949,$A17,'09월 고철장입'!H$14:H$949)/1000)</f>
        <v>0</v>
      </c>
      <c r="AT17" s="890">
        <f>IF($B17&lt;1,"",AVERAGEIF('09월 고철장입'!$A$14:$A$949,$A17,'09월 고철장입'!I$14:I$949)/1000)</f>
        <v>6.8388888888888886</v>
      </c>
      <c r="AU17" s="890">
        <f>IF($B17&lt;1,"",AVERAGEIF('09월 고철장입'!$A$14:$A$949,$A17,'09월 고철장입'!J$14:J$949)/1000)</f>
        <v>0</v>
      </c>
      <c r="AV17" s="890">
        <f>IF($B17&lt;1,"",AVERAGEIF('09월 고철장입'!$A$14:$A$949,$A17,'09월 고철장입'!K$14:K$949)/1000)</f>
        <v>0</v>
      </c>
      <c r="AW17" s="890">
        <f>IF($B17&lt;1,"",AVERAGEIF('09월 고철장입'!$A$14:$A$949,$A17,'09월 고철장입'!L$14:L$949)/1000)</f>
        <v>0</v>
      </c>
      <c r="AX17" s="890">
        <f>IF($B17&lt;1,"",AVERAGEIF('09월 고철장입'!$A$14:$A$949,$A17,'09월 고철장입'!M$14:M$949)/1000)</f>
        <v>0</v>
      </c>
      <c r="AY17" s="890">
        <f>IF($B17&lt;1,"",AVERAGEIF('09월 고철장입'!$A$14:$A$949,$A17,'09월 고철장입'!N$14:N$949)/1000)</f>
        <v>0</v>
      </c>
      <c r="AZ17" s="890">
        <f>IF($B17&lt;1,"",AVERAGEIF('09월 고철장입'!$A$14:$A$949,$A17,'09월 고철장입'!O$14:O$949)/1000)</f>
        <v>6.8388888888888886</v>
      </c>
      <c r="BA17" s="890">
        <f>IF($B17&lt;1,"",AVERAGEIF('09월 고철장입'!$A$14:$A$949,$A17,'09월 고철장입'!P$14:P$949)/1000)</f>
        <v>51.770967741935486</v>
      </c>
      <c r="BB17" s="890">
        <f>IF($B17&lt;1,"",AVERAGEIF('09월 고철장입'!$A$14:$A$949,$A17,'09월 고철장입'!Q$14:Q$949)/1000)</f>
        <v>18.100000000000001</v>
      </c>
      <c r="BC17" s="890">
        <f>IF($B17&lt;1,"",AVERAGEIF('09월 고철장입'!$A$14:$A$949,$A17,'09월 고철장입'!S$14:S$949)/1000)</f>
        <v>0</v>
      </c>
      <c r="BD17" s="890">
        <f>IF($B17&lt;1,"",AVERAGEIF('09월 고철장입'!$A$14:$A$949,$A17,'09월 고철장입'!T$14:T$949)/1000)</f>
        <v>2.9952380952380953</v>
      </c>
      <c r="BE17" s="890">
        <f>IF($B17&lt;1,"",AVERAGEIF('09월 고철장입'!$A$14:$A$949,$A17,'09월 고철장입'!U$14:U$949)/1000)</f>
        <v>6.5285714285714285</v>
      </c>
      <c r="BF17" s="890">
        <f>IF($B17&lt;1,"",AVERAGEIF('09월 고철장입'!$A$14:$A$949,$A17,'09월 고철장입'!V$14:V$949)/1000)</f>
        <v>16.100000000000001</v>
      </c>
      <c r="BG17" s="890">
        <f>IF($B17&lt;1,"",AVERAGEIF('09월 고철장입'!$A$14:$A$949,$A17,'09월 고철장입'!W$14:W$949)/1000)</f>
        <v>2.8533333333333335</v>
      </c>
      <c r="BH17" s="890">
        <f>IF($B17&lt;1,"",AVERAGEIF('09월 고철장입'!$A$14:$A$949,$A17,'09월 고철장입'!Y$14:Y$949)/1000)</f>
        <v>11.735483870967743</v>
      </c>
      <c r="BI17" s="890">
        <f>IF($B17&lt;1,"",AVERAGEIF('09월 고철장입'!$A$14:$A$949,$A17,'09월 고철장입'!AB$14:AB$949)/1000)</f>
        <v>3.1</v>
      </c>
      <c r="BJ17" s="890">
        <f>IF($B17&lt;1,"",AVERAGEIF('09월 고철장입'!$A$14:$A$949,$A17,'09월 고철장입'!AC$14:AC$949)/1000)</f>
        <v>0</v>
      </c>
      <c r="BK17" s="890">
        <f>IF($B17&lt;1,"",AVERAGEIF('09월 고철장입'!$A$14:$A$949,$A17,'09월 고철장입'!AD$14:AD$949)/1000)</f>
        <v>4.3580645161290326</v>
      </c>
      <c r="BL17" s="890">
        <f>IF($B17&lt;1,"",AVERAGEIF('09월 고철장입'!$A$14:$A$949,$A17,'09월 고철장입'!AE$14:AE$949)/1000)</f>
        <v>132.88064516129035</v>
      </c>
      <c r="BM17" s="890">
        <f>IF($B17&lt;1,"",AVERAGEIF('09월 고철장입'!$A$14:$A$949,$A17,'09월 고철장입'!AF$14:AF$949)/1000)</f>
        <v>3.7354838709677418</v>
      </c>
      <c r="BN17" s="890">
        <f>IF($B17&lt;1,"",AVERAGEIF('09월 고철장입'!$A$14:$A$949,$A17,'09월 고철장입'!AG$14:AG$949)/1000)</f>
        <v>12.841935483870968</v>
      </c>
      <c r="BO17" s="890">
        <f>IF($B17&lt;1,"",AVERAGEIF('09월 고철장입'!$A$14:$A$949,$A17,'09월 고철장입'!AH$14:AH$949)/1000)</f>
        <v>5.2354838709677418</v>
      </c>
      <c r="BP17" s="890">
        <f>IF($B17&lt;1,"",AVERAGEIF('09월 고철장입'!$A$14:$A$949,$A17,'09월 고철장입'!AI$14:AI$949)/1000)</f>
        <v>21.812903225806451</v>
      </c>
      <c r="BQ17" s="890">
        <f>IF($B17&lt;1,"",AVERAGEIF('09월 고철장입'!$A$14:$A$949,$A17,'09월 고철장입'!AJ$14:AJ$949)/1000)</f>
        <v>158.66451612903228</v>
      </c>
      <c r="BR17" s="890">
        <f>IF($B17&lt;1,"",AVERAGEIF('09월 고철장입'!$A$14:$A$949,$A17,'09월 고철장입'!AK$14:AK$949))</f>
        <v>144.6709677419355</v>
      </c>
      <c r="BS17" s="890">
        <f>IF($B17&lt;1,"",AVERAGEIF('09월 고철장입'!$A$14:$A$949,$A17,'09월 고철장입'!AL$14:AL$949)*100)</f>
        <v>91.18144301971428</v>
      </c>
      <c r="BT17" s="890">
        <f>IF($B17&lt;1,"",AVERAGEIF('09월 에너지'!$A$14:$A$949,$A17,'09월 에너지'!G$14:G$949))</f>
        <v>19.190322580645162</v>
      </c>
      <c r="BU17" s="892">
        <f>IF($B17&lt;1,"",AVERAGEIF('09월 에너지'!$A$14:$A$949,$A17,'09월 에너지'!H$14:H$949))</f>
        <v>22954.83870967742</v>
      </c>
      <c r="BV17" s="890">
        <f>IF($B17&lt;1,"",AVERAGEIF('09월 에너지'!$A$14:$A$949,$A17,'09월 에너지'!I$14:I$949))</f>
        <v>16.596774193548384</v>
      </c>
      <c r="BW17" s="892">
        <f>IF($B17&lt;1,"",AVERAGEIF('09월 에너지'!$A$14:$A$949,$A17,'09월 에너지'!J$14:J$949))</f>
        <v>20567.741935483871</v>
      </c>
      <c r="BX17" s="890">
        <f>IF($B17&lt;1,"",AVERAGEIF('09월 에너지'!$A$14:$A$949,$A17,'09월 에너지'!K$14:K$949))</f>
        <v>9.2225806451612922</v>
      </c>
      <c r="BY17" s="892">
        <f>IF($B17&lt;1,"",AVERAGEIF('09월 에너지'!$A$14:$A$949,$A17,'09월 에너지'!L$14:L$949))</f>
        <v>11758.064516129032</v>
      </c>
      <c r="BZ17" s="890">
        <f>IF($B17&lt;1,"",AVERAGEIF('09월 에너지'!$A$14:$A$949,$A17,'09월 에너지'!M$14:M$949))</f>
        <v>45.00967741935483</v>
      </c>
      <c r="CA17" s="892">
        <f>IF($B17&lt;1,"",AVERAGEIF('09월 에너지'!$A$14:$A$949,$A17,'09월 에너지'!N$14:N$949))</f>
        <v>55280.645161290326</v>
      </c>
      <c r="CB17" s="890">
        <f>IF($B17&lt;1,"",AVERAGEIF('09월 에너지'!$A$14:$A$949,$A17,'09월 에너지'!O$14:O$949))</f>
        <v>158.6929886217213</v>
      </c>
      <c r="CC17" s="890">
        <f>IF($B17&lt;1,"",AVERAGEIF('09월 에너지'!$A$14:$A$949,$A17,'09월 에너지'!P$14:P$949))</f>
        <v>142.19121346177906</v>
      </c>
      <c r="CD17" s="890">
        <f>IF($B17&lt;1,"",AVERAGEIF('09월 에너지'!$A$14:$A$949,$A17,'09월 에너지'!Q$14:Q$949))</f>
        <v>81.278089896804147</v>
      </c>
      <c r="CE17" s="890">
        <f>IF($B17&lt;1,"",AVERAGEIF('09월 에너지'!$A$14:$A$949,$A17,'09월 에너지'!R$14:R$949))</f>
        <v>382.16229198030459</v>
      </c>
      <c r="CF17" s="890">
        <f>IF($B17&lt;1,"",AVERAGEIF('09월 에너지'!$A$14:$A$949,$A17,'09월 에너지'!S$14:S$949))</f>
        <v>144.6709677419355</v>
      </c>
      <c r="CG17" s="890">
        <f>IF($B17&lt;1,"",AVERAGEIF('09월 에너지'!$A$14:$A$949,$A17,'09월 에너지'!T$14:T$949))</f>
        <v>0</v>
      </c>
      <c r="CH17" s="890">
        <f>IF($B17&lt;1,"",AVERAGEIF('09월 에너지'!$A$14:$A$949,$A17,'09월 에너지'!U$14:U$949))</f>
        <v>62.70967741935484</v>
      </c>
      <c r="CI17" s="892">
        <f>IF($B17&lt;1,"",AVERAGEIF('09월 에너지'!$A$14:$A$949,$A17,'09월 에너지'!V$14:V$949))</f>
        <v>313.25806451612902</v>
      </c>
      <c r="CJ17" s="892">
        <f>IF($B17&lt;1,"",AVERAGEIF('09월 에너지'!$A$14:$A$949,$A17,'09월 에너지'!W$14:W$949))</f>
        <v>375.96774193548384</v>
      </c>
      <c r="CK17" s="890">
        <f>IF($B17&lt;1,"",AVERAGEIF('09월 에너지'!$A$14:$A$949,$A17,'09월 에너지'!X$14:X$949))</f>
        <v>2.601638875044173</v>
      </c>
      <c r="CL17" s="892">
        <f>IF($B17&lt;1,"",AVERAGEIF('09월 에너지'!$A$14:$A$949,$A17,'09월 에너지'!Y$14:Y$949))</f>
        <v>1587.516129032258</v>
      </c>
      <c r="CM17" s="892">
        <f>IF($B17&lt;1,"",AVERAGEIF('09월 에너지'!$A$14:$A$949,$A17,'09월 에너지'!Z$14:Z$949))</f>
        <v>1392.7096774193549</v>
      </c>
      <c r="CN17" s="892">
        <f>IF($B17&lt;1,"",AVERAGEIF('09월 에너지'!$A$14:$A$949,$A17,'09월 에너지'!AA$14:AA$949))</f>
        <v>798.64516129032256</v>
      </c>
      <c r="CO17" s="892">
        <f>IF($B17&lt;1,"",AVERAGEIF('09월 에너지'!$A$14:$A$949,$A17,'09월 에너지'!AB$14:AB$949))</f>
        <v>3778.8709677419356</v>
      </c>
      <c r="CP17" s="890">
        <f>IF($B17&lt;1,"",AVERAGEIF('09월 에너지'!$A$14:$A$949,$A17,'09월 에너지'!AC$14:AC$949))</f>
        <v>26.125187752654451</v>
      </c>
      <c r="CQ17" s="888">
        <f>IF($B17&lt;1,"",AVERAGEIF('09월 에너지'!$A$14:$A$949,$A17,'09월 에너지'!AD$14:AD$949))</f>
        <v>4154.8387096774195</v>
      </c>
      <c r="CR17" s="888">
        <f>IF($B17&lt;1,"",AVERAGEIF('09월 에너지'!$A$14:$A$949,$A17,'09월 에너지'!AE$14:AE$949))</f>
        <v>28.726826627698621</v>
      </c>
      <c r="CS17" s="890">
        <f>IF($B17&lt;1,"",AVERAGEIF('09월 에너지'!$A$14:$A$949,$A17,'09월 에너지'!AF$14:AF$949))</f>
        <v>83.58064516129032</v>
      </c>
      <c r="CT17" s="890">
        <f>IF($B17&lt;1,"",AVERAGEIF('09월 에너지'!$A$14:$A$949,$A17,'09월 에너지'!AG$14:AG$949))</f>
        <v>67.58064516129032</v>
      </c>
      <c r="CU17" s="890">
        <f>IF($B17&lt;1,"",AVERAGEIF('09월 에너지'!$A$14:$A$949,$A17,'09월 에너지'!AH$14:AH$949))</f>
        <v>6.935483870967742</v>
      </c>
      <c r="CV17" s="890">
        <f>IF($B17&lt;1,"",AVERAGEIF('09월 에너지'!$A$14:$A$949,$A17,'09월 에너지'!AI$14:AI$949))</f>
        <v>158.09677419354838</v>
      </c>
      <c r="CW17" s="893">
        <f>IF($B17&lt;1,"",AVERAGEIF('09월 에너지'!$A$14:$A$949,$A17,'09월 에너지'!AJ$14:AJ$949))</f>
        <v>1.0929115642784397</v>
      </c>
    </row>
    <row r="18" spans="1:101" ht="15.75" customHeight="1">
      <c r="A18" s="883">
        <f t="shared" si="1"/>
        <v>46279</v>
      </c>
      <c r="B18" s="884">
        <f>COUNTIF('09월 조업일지'!$A$12:$A$952,A18)</f>
        <v>30</v>
      </c>
      <c r="C18" s="885">
        <f t="shared" si="0"/>
        <v>47.333333333333336</v>
      </c>
      <c r="D18" s="885">
        <f>IF($B18&lt;1,"",(SUMIF('09월 조업일지'!$A$12:$A$952,$A18,'09월 조업일지'!$K$12:$K$952))/B18)</f>
        <v>3.3333333333333333E-2</v>
      </c>
      <c r="E18" s="885">
        <f>IF($B18&lt;1,"",AVERAGEIF('09월 조업일지'!$A$12:$A$952,$A18,'09월 조업일지'!$J$12:$J$952))</f>
        <v>47.366666666666667</v>
      </c>
      <c r="F18" s="886">
        <f>IF($B18&lt;1,"",AVERAGEIF('09월 에너지'!$A$14:$A$949,$A18,'09월 에너지'!$M$14:M$949))</f>
        <v>45.786666666666669</v>
      </c>
      <c r="G18" s="887">
        <f>IF($B18&lt;1,"",AVERAGEIF('09월 조업일지'!$A$12:$A$952,$A18,'09월 조업일지'!$AJ$12:$AJ$952))</f>
        <v>6.3666666666666663</v>
      </c>
      <c r="H18" s="887">
        <f>IF($B18&lt;1,"",AVERAGEIF('09월 조업일지'!$A$12:$A$952,$A18,'09월 조업일지'!$AL$12:$AL$952))</f>
        <v>7.6</v>
      </c>
      <c r="I18" s="888">
        <f>IF($B18&lt;1,"",AVERAGEIF('09월 화학성분'!$A$12:$A$949,$A18,'09월 화학성분'!G$12:G$949))</f>
        <v>9.6999999999999993</v>
      </c>
      <c r="J18" s="888">
        <f>IF($B18&lt;1,"",AVERAGEIF('09월 화학성분'!$A$12:$A$949,$A18,'09월 화학성분'!H$12:H$949))</f>
        <v>20.133333333333333</v>
      </c>
      <c r="K18" s="888">
        <f>IF($B18&lt;1,"",AVERAGEIF('09월 화학성분'!$A$12:$A$949,$A18,'09월 화학성분'!I$12:I$949))</f>
        <v>50.166666666666664</v>
      </c>
      <c r="L18" s="888">
        <f>IF($B18&lt;1,"",AVERAGEIF('09월 화학성분'!$A$12:$A$949,$A18,'09월 화학성분'!J$12:J$949))</f>
        <v>16.100000000000001</v>
      </c>
      <c r="M18" s="888">
        <f>IF($B18&lt;1,"",AVERAGEIF('09월 화학성분'!$A$12:$A$949,$A18,'09월 화학성분'!K$12:K$949))</f>
        <v>33.333333333333336</v>
      </c>
      <c r="N18" s="888">
        <f>IF($B18&lt;1,"",AVERAGEIF('09월 화학성분'!$A$12:$A$949,$A18,'09월 화학성분'!L$12:L$949))</f>
        <v>13.733333333333333</v>
      </c>
      <c r="O18" s="888">
        <f>IF($B18&lt;1,"",AVERAGEIF('09월 화학성분'!$A$12:$A$949,$A18,'09월 화학성분'!M$12:M$949))</f>
        <v>11.066666666666666</v>
      </c>
      <c r="P18" s="889">
        <f>IF($B18&lt;1,"",AVERAGEIF('09월 조업일지'!$A$12:$A$952,$A18,'09월 조업일지'!$AK$12:$AK$952))</f>
        <v>575.4</v>
      </c>
      <c r="Q18" s="888">
        <f>IF($B18&lt;1,"",AVERAGEIF('09월 화학성분'!$A$12:$A$949,$A18,'09월 화학성분'!$G$12:$G$949))</f>
        <v>9.6999999999999993</v>
      </c>
      <c r="R18" s="889">
        <f>IF($B18&lt;1,"",AVERAGEIF('09월 조업일지'!$A$12:$A$952,$A18,'09월 조업일지'!$AI$12:$AI$952))</f>
        <v>1579.9</v>
      </c>
      <c r="S18" s="888">
        <f>IF($B18&lt;1,"",AVERAGEIF('09월 화학성분'!$A$12:$A$949,$A18,'09월 화학성분'!$AM$12:$AM$949))</f>
        <v>2116.4</v>
      </c>
      <c r="T18" s="890">
        <f>IF($B18&lt;1,"",AVERAGEIF('09월 화학성분'!$A$12:$A$949,$A18,'09월 화학성분'!N$12:N$949))</f>
        <v>440.2</v>
      </c>
      <c r="U18" s="890" t="e">
        <f>IF($B18&lt;1,"",AVERAGEIF('09월 화학성분'!$A$12:$A$949,$A18,'09월 화학성분'!O$12:O$949))</f>
        <v>#DIV/0!</v>
      </c>
      <c r="V18" s="890">
        <f>IF($B18&lt;1,"",AVERAGEIF('09월 화학성분'!$A$12:$A$949,$A18,'09월 화학성분'!P$12:P$949))</f>
        <v>1007.3333333333334</v>
      </c>
      <c r="W18" s="890">
        <f>IF($B18&lt;1,"",AVERAGEIF('09월 화학성분'!$A$12:$A$949,$A18,'09월 화학성분'!Q$12:Q$949))</f>
        <v>950.83333333333337</v>
      </c>
      <c r="X18" s="890" t="e">
        <f>IF($B18&lt;1,"",AVERAGEIF('09월 화학성분'!$A$12:$A$949,$A18,'09월 화학성분'!R$12:R$949))</f>
        <v>#DIV/0!</v>
      </c>
      <c r="Y18" s="890" t="e">
        <f>IF($B18&lt;1,"",AVERAGEIF('09월 화학성분'!$A$12:$A$949,$A18,'09월 화학성분'!U$12:U$949))</f>
        <v>#DIV/0!</v>
      </c>
      <c r="Z18" s="890">
        <f>IF($B18&lt;1,"",AVERAGEIF('09월 화학성분'!$A$12:$A$949,$A18,'09월 화학성분'!V$12:V$949))</f>
        <v>448</v>
      </c>
      <c r="AA18" s="890" t="e">
        <f>IF($B18&lt;1,"",AVERAGEIF('09월 화학성분'!$A$12:$A$949,$A18,'09월 화학성분'!W$12:W$949))</f>
        <v>#DIV/0!</v>
      </c>
      <c r="AB18" s="890" t="e">
        <f>IF($B18&lt;1,"",AVERAGEIF('09월 화학성분'!$A$12:$A$949,$A18,'09월 화학성분'!AA$12:AA$949))</f>
        <v>#DIV/0!</v>
      </c>
      <c r="AC18" s="890" t="e">
        <f>IF($B18&lt;1,"",AVERAGEIF('09월 화학성분'!$A$12:$A$949,$A18,'09월 화학성분'!#REF!))</f>
        <v>#REF!</v>
      </c>
      <c r="AD18" s="890">
        <f>IF($B18&lt;1,"",AVERAGEIF('09월 화학성분'!$A$12:$A$949,$A18,'09월 화학성분'!AB$12:AB$949))</f>
        <v>0</v>
      </c>
      <c r="AE18" s="890" t="e">
        <f>IF($B18&lt;1,"",AVERAGEIF('09월 화학성분'!$A$12:$A$949,$A18,'09월 화학성분'!AC$12:AC$949))</f>
        <v>#DIV/0!</v>
      </c>
      <c r="AF18" s="890">
        <f>IF($B18&lt;1,"",AVERAGEIF('09월 화학성분'!$A$12:$A$949,$A18,'09월 화학성분'!AD$12:AD$949))</f>
        <v>278.33333333333331</v>
      </c>
      <c r="AG18" s="890">
        <f>IF($B18&lt;1,"",AVERAGEIF('09월 화학성분'!$A$12:$A$949,$A18,'09월 화학성분'!AF$12:AF$949))</f>
        <v>0</v>
      </c>
      <c r="AH18" s="890">
        <f>IF($B18&lt;1,"",AVERAGEIF('09월 화학성분'!$A$12:$A$949,$A18,'09월 화학성분'!AG$12:AG$949))</f>
        <v>98.13333333333334</v>
      </c>
      <c r="AI18" s="890">
        <f>IF($B18&lt;1,"",AVERAGEIF('09월 화학성분'!$A$12:$A$949,$A18,'09월 화학성분'!AH$12:AH$949))</f>
        <v>779.86666666666667</v>
      </c>
      <c r="AJ18" s="890">
        <f>IF($B18&lt;1,"",AVERAGEIF('09월 화학성분'!$A$12:$A$949,$A18,'09월 화학성분'!AI$12:AI$949))</f>
        <v>343.33333333333331</v>
      </c>
      <c r="AK18" s="890">
        <f>IF($B18&lt;1,"",AVERAGEIF('09월 화학성분'!$A$12:$A$949,$A18,'09월 화학성분'!AJ$12:AJ$949))</f>
        <v>84.233333333333334</v>
      </c>
      <c r="AL18" s="890" t="e">
        <f>IF($B18&lt;1,"",AVERAGEIF('09월 화학성분'!$A$12:$A$949,$A18,'09월 화학성분'!#REF!))</f>
        <v>#REF!</v>
      </c>
      <c r="AM18" s="890">
        <f>IF($B18&lt;1,"",AVERAGEIF('09월 화학성분'!$A$12:$A$949,$A18,'09월 화학성분'!AL$12:AL$949))</f>
        <v>124.7</v>
      </c>
      <c r="AN18" s="890">
        <f>IF($B18&lt;1,"",AVERAGEIF('09월 화학성분'!$A$12:$A$949,$A18,'09월 화학성분'!AM$12:AM$949))</f>
        <v>2116.4</v>
      </c>
      <c r="AO18" s="891">
        <f>IF($B18&lt;1,"",AVERAGEIF('09월 화학성분'!$A$12:$A$949,$A18,'09월 화학성분'!AN$12:AN$949))</f>
        <v>0.77181746197337442</v>
      </c>
      <c r="AP18" s="891">
        <f>IF($B18&lt;1,"",AVERAGEIF('09월 화학성분'!$A$12:$A$949,$A18,'09월 화학성분'!AO$12:AO$949))</f>
        <v>0.92759528114165746</v>
      </c>
      <c r="AQ18" s="890">
        <f>IF($B18&lt;1,"",AVERAGEIF('09월 화학성분'!$A$12:$A$949,$A18,'09월 화학성분'!AP$12:AP$949))</f>
        <v>143.51666666666662</v>
      </c>
      <c r="AR18" s="890">
        <f>IF($B18&lt;1,"",AVERAGEIF('09월 고철장입'!$A$14:$A$949,$A18,'09월 고철장입'!G$14:G$949)/1000)</f>
        <v>0</v>
      </c>
      <c r="AS18" s="890">
        <f>IF($B18&lt;1,"",AVERAGEIF('09월 고철장입'!$A$14:$A$949,$A18,'09월 고철장입'!H$14:H$949)/1000)</f>
        <v>0</v>
      </c>
      <c r="AT18" s="890">
        <f>IF($B18&lt;1,"",AVERAGEIF('09월 고철장입'!$A$14:$A$949,$A18,'09월 고철장입'!I$14:I$949)/1000)</f>
        <v>8.2033333333333331</v>
      </c>
      <c r="AU18" s="890">
        <f>IF($B18&lt;1,"",AVERAGEIF('09월 고철장입'!$A$14:$A$949,$A18,'09월 고철장입'!J$14:J$949)/1000)</f>
        <v>0</v>
      </c>
      <c r="AV18" s="890">
        <f>IF($B18&lt;1,"",AVERAGEIF('09월 고철장입'!$A$14:$A$949,$A18,'09월 고철장입'!K$14:K$949)/1000)</f>
        <v>0</v>
      </c>
      <c r="AW18" s="890">
        <f>IF($B18&lt;1,"",AVERAGEIF('09월 고철장입'!$A$14:$A$949,$A18,'09월 고철장입'!L$14:L$949)/1000)</f>
        <v>0</v>
      </c>
      <c r="AX18" s="890">
        <f>IF($B18&lt;1,"",AVERAGEIF('09월 고철장입'!$A$14:$A$949,$A18,'09월 고철장입'!M$14:M$949)/1000)</f>
        <v>0</v>
      </c>
      <c r="AY18" s="890">
        <f>IF($B18&lt;1,"",AVERAGEIF('09월 고철장입'!$A$14:$A$949,$A18,'09월 고철장입'!N$14:N$949)/1000)</f>
        <v>0</v>
      </c>
      <c r="AZ18" s="890">
        <f>IF($B18&lt;1,"",AVERAGEIF('09월 고철장입'!$A$14:$A$949,$A18,'09월 고철장입'!O$14:O$949)/1000)</f>
        <v>8.2033333333333331</v>
      </c>
      <c r="BA18" s="890">
        <f>IF($B18&lt;1,"",AVERAGEIF('09월 고철장입'!$A$14:$A$949,$A18,'09월 고철장입'!P$14:P$949)/1000)</f>
        <v>46.186666666666667</v>
      </c>
      <c r="BB18" s="890">
        <f>IF($B18&lt;1,"",AVERAGEIF('09월 고철장입'!$A$14:$A$949,$A18,'09월 고철장입'!Q$14:Q$949)/1000)</f>
        <v>15.78</v>
      </c>
      <c r="BC18" s="890">
        <f>IF($B18&lt;1,"",AVERAGEIF('09월 고철장입'!$A$14:$A$949,$A18,'09월 고철장입'!S$14:S$949)/1000)</f>
        <v>0</v>
      </c>
      <c r="BD18" s="890">
        <f>IF($B18&lt;1,"",AVERAGEIF('09월 고철장입'!$A$14:$A$949,$A18,'09월 고철장입'!T$14:T$949)/1000)</f>
        <v>0</v>
      </c>
      <c r="BE18" s="890">
        <f>IF($B18&lt;1,"",AVERAGEIF('09월 고철장입'!$A$14:$A$949,$A18,'09월 고철장입'!U$14:U$949)/1000)</f>
        <v>5.85</v>
      </c>
      <c r="BF18" s="890">
        <f>IF($B18&lt;1,"",AVERAGEIF('09월 고철장입'!$A$14:$A$949,$A18,'09월 고철장입'!V$14:V$949)/1000)</f>
        <v>16.61</v>
      </c>
      <c r="BG18" s="890">
        <f>IF($B18&lt;1,"",AVERAGEIF('09월 고철장입'!$A$14:$A$949,$A18,'09월 고철장입'!W$14:W$949)/1000)</f>
        <v>2.7724137931034485</v>
      </c>
      <c r="BH18" s="890">
        <f>IF($B18&lt;1,"",AVERAGEIF('09월 고철장입'!$A$14:$A$949,$A18,'09월 고철장입'!Y$14:Y$949)/1000)</f>
        <v>17.73</v>
      </c>
      <c r="BI18" s="890">
        <f>IF($B18&lt;1,"",AVERAGEIF('09월 고철장입'!$A$14:$A$949,$A18,'09월 고철장입'!AB$14:AB$949)/1000)</f>
        <v>2.7733333333333334</v>
      </c>
      <c r="BJ18" s="890">
        <f>IF($B18&lt;1,"",AVERAGEIF('09월 고철장입'!$A$14:$A$949,$A18,'09월 고철장입'!AC$14:AC$949)/1000)</f>
        <v>1.9344827586206899</v>
      </c>
      <c r="BK18" s="890">
        <f>IF($B18&lt;1,"",AVERAGEIF('09월 고철장입'!$A$14:$A$949,$A18,'09월 고철장입'!AD$14:AD$949)/1000)</f>
        <v>4.5566666666666666</v>
      </c>
      <c r="BL18" s="890">
        <f>IF($B18&lt;1,"",AVERAGEIF('09월 고철장입'!$A$14:$A$949,$A18,'09월 고철장입'!AE$14:AE$949)/1000)</f>
        <v>132.43333333333334</v>
      </c>
      <c r="BM18" s="890">
        <f>IF($B18&lt;1,"",AVERAGEIF('09월 고철장입'!$A$14:$A$949,$A18,'09월 고철장입'!AF$14:AF$949)/1000)</f>
        <v>4.2310344827586208</v>
      </c>
      <c r="BN18" s="890">
        <f>IF($B18&lt;1,"",AVERAGEIF('09월 고철장입'!$A$14:$A$949,$A18,'09월 고철장입'!AG$14:AG$949)/1000)</f>
        <v>9.5366666666666653</v>
      </c>
      <c r="BO18" s="890">
        <f>IF($B18&lt;1,"",AVERAGEIF('09월 고철장입'!$A$14:$A$949,$A18,'09월 고철장입'!AH$14:AH$949)/1000)</f>
        <v>4.4866666666666672</v>
      </c>
      <c r="BP18" s="890">
        <f>IF($B18&lt;1,"",AVERAGEIF('09월 고철장입'!$A$14:$A$949,$A18,'09월 고철장입'!AI$14:AI$949)/1000)</f>
        <v>18.113333333333333</v>
      </c>
      <c r="BQ18" s="890">
        <f>IF($B18&lt;1,"",AVERAGEIF('09월 고철장입'!$A$14:$A$949,$A18,'09월 고철장입'!AJ$14:AJ$949)/1000)</f>
        <v>158.75</v>
      </c>
      <c r="BR18" s="890">
        <f>IF($B18&lt;1,"",AVERAGEIF('09월 고철장입'!$A$14:$A$949,$A18,'09월 고철장입'!AK$14:AK$949))</f>
        <v>143.51666666666662</v>
      </c>
      <c r="BS18" s="890">
        <f>IF($B18&lt;1,"",AVERAGEIF('09월 고철장입'!$A$14:$A$949,$A18,'09월 고철장입'!AL$14:AL$949)*100)</f>
        <v>90.405739101808848</v>
      </c>
      <c r="BT18" s="890">
        <f>IF($B18&lt;1,"",AVERAGEIF('09월 에너지'!$A$14:$A$949,$A18,'09월 에너지'!G$14:G$949))</f>
        <v>19.396666666666665</v>
      </c>
      <c r="BU18" s="892">
        <f>IF($B18&lt;1,"",AVERAGEIF('09월 에너지'!$A$14:$A$949,$A18,'09월 에너지'!H$14:H$949))</f>
        <v>23066.666666666668</v>
      </c>
      <c r="BV18" s="890">
        <f>IF($B18&lt;1,"",AVERAGEIF('09월 에너지'!$A$14:$A$949,$A18,'09월 에너지'!I$14:I$949))</f>
        <v>16.733333333333334</v>
      </c>
      <c r="BW18" s="892">
        <f>IF($B18&lt;1,"",AVERAGEIF('09월 에너지'!$A$14:$A$949,$A18,'09월 에너지'!J$14:J$949))</f>
        <v>20626.666666666668</v>
      </c>
      <c r="BX18" s="890">
        <f>IF($B18&lt;1,"",AVERAGEIF('09월 에너지'!$A$14:$A$949,$A18,'09월 에너지'!K$14:K$949))</f>
        <v>9.6566666666666681</v>
      </c>
      <c r="BY18" s="892">
        <f>IF($B18&lt;1,"",AVERAGEIF('09월 에너지'!$A$14:$A$949,$A18,'09월 에너지'!L$14:L$949))</f>
        <v>12270</v>
      </c>
      <c r="BZ18" s="890">
        <f>IF($B18&lt;1,"",AVERAGEIF('09월 에너지'!$A$14:$A$949,$A18,'09월 에너지'!M$14:M$949))</f>
        <v>45.786666666666669</v>
      </c>
      <c r="CA18" s="892">
        <f>IF($B18&lt;1,"",AVERAGEIF('09월 에너지'!$A$14:$A$949,$A18,'09월 에너지'!N$14:N$949))</f>
        <v>55963.333333333336</v>
      </c>
      <c r="CB18" s="890">
        <f>IF($B18&lt;1,"",AVERAGEIF('09월 에너지'!$A$14:$A$949,$A18,'09월 에너지'!O$14:O$949))</f>
        <v>160.74876262581031</v>
      </c>
      <c r="CC18" s="890">
        <f>IF($B18&lt;1,"",AVERAGEIF('09월 에너지'!$A$14:$A$949,$A18,'09월 에너지'!P$14:P$949))</f>
        <v>143.74354378846192</v>
      </c>
      <c r="CD18" s="890">
        <f>IF($B18&lt;1,"",AVERAGEIF('09월 에너지'!$A$14:$A$949,$A18,'09월 에너지'!Q$14:Q$949))</f>
        <v>85.53206221962725</v>
      </c>
      <c r="CE18" s="890">
        <f>IF($B18&lt;1,"",AVERAGEIF('09월 에너지'!$A$14:$A$949,$A18,'09월 에너지'!R$14:R$949))</f>
        <v>390.02436863389931</v>
      </c>
      <c r="CF18" s="890">
        <f>IF($B18&lt;1,"",AVERAGEIF('09월 에너지'!$A$14:$A$949,$A18,'09월 에너지'!S$14:S$949))</f>
        <v>143.51666666666662</v>
      </c>
      <c r="CG18" s="890">
        <f>IF($B18&lt;1,"",AVERAGEIF('09월 에너지'!$A$14:$A$949,$A18,'09월 에너지'!T$14:T$949))</f>
        <v>0</v>
      </c>
      <c r="CH18" s="890">
        <f>IF($B18&lt;1,"",AVERAGEIF('09월 에너지'!$A$14:$A$949,$A18,'09월 에너지'!U$14:U$949))</f>
        <v>68.266666666666666</v>
      </c>
      <c r="CI18" s="892">
        <f>IF($B18&lt;1,"",AVERAGEIF('09월 에너지'!$A$14:$A$949,$A18,'09월 에너지'!V$14:V$949))</f>
        <v>274.66666666666669</v>
      </c>
      <c r="CJ18" s="892">
        <f>IF($B18&lt;1,"",AVERAGEIF('09월 에너지'!$A$14:$A$949,$A18,'09월 에너지'!W$14:W$949))</f>
        <v>342.93333333333334</v>
      </c>
      <c r="CK18" s="890">
        <f>IF($B18&lt;1,"",AVERAGEIF('09월 에너지'!$A$14:$A$949,$A18,'09월 에너지'!X$14:X$949))</f>
        <v>2.3904779014596271</v>
      </c>
      <c r="CL18" s="892">
        <f>IF($B18&lt;1,"",AVERAGEIF('09월 에너지'!$A$14:$A$949,$A18,'09월 에너지'!Y$14:Y$949))</f>
        <v>1594.8</v>
      </c>
      <c r="CM18" s="892">
        <f>IF($B18&lt;1,"",AVERAGEIF('09월 에너지'!$A$14:$A$949,$A18,'09월 에너지'!Z$14:Z$949))</f>
        <v>1391.5</v>
      </c>
      <c r="CN18" s="892">
        <f>IF($B18&lt;1,"",AVERAGEIF('09월 에너지'!$A$14:$A$949,$A18,'09월 에너지'!AA$14:AA$949))</f>
        <v>753.83333333333337</v>
      </c>
      <c r="CO18" s="892">
        <f>IF($B18&lt;1,"",AVERAGEIF('09월 에너지'!$A$14:$A$949,$A18,'09월 에너지'!AB$14:AB$949))</f>
        <v>3740.1333333333332</v>
      </c>
      <c r="CP18" s="890">
        <f>IF($B18&lt;1,"",AVERAGEIF('09월 에너지'!$A$14:$A$949,$A18,'09월 에너지'!AC$14:AC$949))</f>
        <v>26.06804186486379</v>
      </c>
      <c r="CQ18" s="888">
        <f>IF($B18&lt;1,"",AVERAGEIF('09월 에너지'!$A$14:$A$949,$A18,'09월 에너지'!AD$14:AD$949))</f>
        <v>4083.0666666666666</v>
      </c>
      <c r="CR18" s="888">
        <f>IF($B18&lt;1,"",AVERAGEIF('09월 에너지'!$A$14:$A$949,$A18,'09월 에너지'!AE$14:AE$949))</f>
        <v>28.458519766323416</v>
      </c>
      <c r="CS18" s="890">
        <f>IF($B18&lt;1,"",AVERAGEIF('09월 에너지'!$A$14:$A$949,$A18,'09월 에너지'!AF$14:AF$949))</f>
        <v>84.066666666666663</v>
      </c>
      <c r="CT18" s="890">
        <f>IF($B18&lt;1,"",AVERAGEIF('09월 에너지'!$A$14:$A$949,$A18,'09월 에너지'!AG$14:AG$949))</f>
        <v>65.13333333333334</v>
      </c>
      <c r="CU18" s="890">
        <f>IF($B18&lt;1,"",AVERAGEIF('09월 에너지'!$A$14:$A$949,$A18,'09월 에너지'!AH$14:AH$949))</f>
        <v>6.5666666666666664</v>
      </c>
      <c r="CV18" s="890">
        <f>IF($B18&lt;1,"",AVERAGEIF('09월 에너지'!$A$14:$A$949,$A18,'09월 에너지'!AI$14:AI$949))</f>
        <v>155.76666666666668</v>
      </c>
      <c r="CW18" s="893">
        <f>IF($B18&lt;1,"",AVERAGEIF('09월 에너지'!$A$14:$A$949,$A18,'09월 에너지'!AJ$14:AJ$949))</f>
        <v>1.0855377808167177</v>
      </c>
    </row>
    <row r="19" spans="1:101" ht="15.75" customHeight="1">
      <c r="A19" s="883">
        <f t="shared" si="1"/>
        <v>46280</v>
      </c>
      <c r="B19" s="884">
        <f>COUNTIF('09월 조업일지'!$A$12:$A$952,A19)</f>
        <v>7</v>
      </c>
      <c r="C19" s="885">
        <f t="shared" si="0"/>
        <v>54</v>
      </c>
      <c r="D19" s="885">
        <f>IF($B19&lt;1,"",(SUMIF('09월 조업일지'!$A$12:$A$952,$A19,'09월 조업일지'!$K$12:$K$952))/B19)</f>
        <v>158.42857142857142</v>
      </c>
      <c r="E19" s="885">
        <f>IF($B19&lt;1,"",AVERAGEIF('09월 조업일지'!$A$12:$A$952,$A19,'09월 조업일지'!$J$12:$J$952))</f>
        <v>212.42857142857142</v>
      </c>
      <c r="F19" s="886">
        <f>IF($B19&lt;1,"",AVERAGEIF('09월 에너지'!$A$14:$A$949,$A19,'09월 에너지'!$M$14:M$949))</f>
        <v>44.271428571428565</v>
      </c>
      <c r="G19" s="887">
        <f>IF($B19&lt;1,"",AVERAGEIF('09월 조업일지'!$A$12:$A$952,$A19,'09월 조업일지'!$AJ$12:$AJ$952))</f>
        <v>16.857142857142858</v>
      </c>
      <c r="H19" s="887">
        <f>IF($B19&lt;1,"",AVERAGEIF('09월 조업일지'!$A$12:$A$952,$A19,'09월 조업일지'!$AL$12:$AL$952))</f>
        <v>9.5</v>
      </c>
      <c r="I19" s="888">
        <f>IF($B19&lt;1,"",AVERAGEIF('09월 화학성분'!$A$12:$A$949,$A19,'09월 화학성분'!G$12:G$949))</f>
        <v>9.1428571428571423</v>
      </c>
      <c r="J19" s="888">
        <f>IF($B19&lt;1,"",AVERAGEIF('09월 화학성분'!$A$12:$A$949,$A19,'09월 화학성분'!H$12:H$949))</f>
        <v>20.142857142857142</v>
      </c>
      <c r="K19" s="888">
        <f>IF($B19&lt;1,"",AVERAGEIF('09월 화학성분'!$A$12:$A$949,$A19,'09월 화학성분'!I$12:I$949))</f>
        <v>59.714285714285715</v>
      </c>
      <c r="L19" s="888">
        <f>IF($B19&lt;1,"",AVERAGEIF('09월 화학성분'!$A$12:$A$949,$A19,'09월 화학성분'!J$12:J$949))</f>
        <v>18.714285714285715</v>
      </c>
      <c r="M19" s="888">
        <f>IF($B19&lt;1,"",AVERAGEIF('09월 화학성분'!$A$12:$A$949,$A19,'09월 화학성분'!K$12:K$949))</f>
        <v>31.285714285714285</v>
      </c>
      <c r="N19" s="888">
        <f>IF($B19&lt;1,"",AVERAGEIF('09월 화학성분'!$A$12:$A$949,$A19,'09월 화학성분'!L$12:L$949))</f>
        <v>11.857142857142858</v>
      </c>
      <c r="O19" s="888">
        <f>IF($B19&lt;1,"",AVERAGEIF('09월 화학성분'!$A$12:$A$949,$A19,'09월 화학성분'!M$12:M$949))</f>
        <v>10.571428571428571</v>
      </c>
      <c r="P19" s="889">
        <f>IF($B19&lt;1,"",AVERAGEIF('09월 조업일지'!$A$12:$A$952,$A19,'09월 조업일지'!$AK$12:$AK$952))</f>
        <v>510.66666666666669</v>
      </c>
      <c r="Q19" s="888">
        <f>IF($B19&lt;1,"",AVERAGEIF('09월 화학성분'!$A$12:$A$949,$A19,'09월 화학성분'!$G$12:$G$949))</f>
        <v>9.1428571428571423</v>
      </c>
      <c r="R19" s="889">
        <f>IF($B19&lt;1,"",AVERAGEIF('09월 조업일지'!$A$12:$A$952,$A19,'09월 조업일지'!$AI$12:$AI$952))</f>
        <v>1579.8571428571429</v>
      </c>
      <c r="S19" s="888">
        <f>IF($B19&lt;1,"",AVERAGEIF('09월 화학성분'!$A$12:$A$949,$A19,'09월 화학성분'!$AM$12:$AM$949))</f>
        <v>2707.4285714285716</v>
      </c>
      <c r="T19" s="890">
        <f>IF($B19&lt;1,"",AVERAGEIF('09월 화학성분'!$A$12:$A$949,$A19,'09월 화학성분'!N$12:N$949))</f>
        <v>469.85714285714283</v>
      </c>
      <c r="U19" s="890" t="e">
        <f>IF($B19&lt;1,"",AVERAGEIF('09월 화학성분'!$A$12:$A$949,$A19,'09월 화학성분'!O$12:O$949))</f>
        <v>#DIV/0!</v>
      </c>
      <c r="V19" s="890">
        <f>IF($B19&lt;1,"",AVERAGEIF('09월 화학성분'!$A$12:$A$949,$A19,'09월 화학성분'!P$12:P$949))</f>
        <v>1100.2857142857142</v>
      </c>
      <c r="W19" s="890">
        <f>IF($B19&lt;1,"",AVERAGEIF('09월 화학성분'!$A$12:$A$949,$A19,'09월 화학성분'!Q$12:Q$949))</f>
        <v>1124.5714285714287</v>
      </c>
      <c r="X19" s="890" t="e">
        <f>IF($B19&lt;1,"",AVERAGEIF('09월 화학성분'!$A$12:$A$949,$A19,'09월 화학성분'!R$12:R$949))</f>
        <v>#DIV/0!</v>
      </c>
      <c r="Y19" s="890" t="e">
        <f>IF($B19&lt;1,"",AVERAGEIF('09월 화학성분'!$A$12:$A$949,$A19,'09월 화학성분'!U$12:U$949))</f>
        <v>#DIV/0!</v>
      </c>
      <c r="Z19" s="890">
        <f>IF($B19&lt;1,"",AVERAGEIF('09월 화학성분'!$A$12:$A$949,$A19,'09월 화학성분'!V$12:V$949))</f>
        <v>321.71428571428572</v>
      </c>
      <c r="AA19" s="890" t="e">
        <f>IF($B19&lt;1,"",AVERAGEIF('09월 화학성분'!$A$12:$A$949,$A19,'09월 화학성분'!W$12:W$949))</f>
        <v>#DIV/0!</v>
      </c>
      <c r="AB19" s="890" t="e">
        <f>IF($B19&lt;1,"",AVERAGEIF('09월 화학성분'!$A$12:$A$949,$A19,'09월 화학성분'!AA$12:AA$949))</f>
        <v>#DIV/0!</v>
      </c>
      <c r="AC19" s="890" t="e">
        <f>IF($B19&lt;1,"",AVERAGEIF('09월 화학성분'!$A$12:$A$949,$A19,'09월 화학성분'!#REF!))</f>
        <v>#REF!</v>
      </c>
      <c r="AD19" s="890" t="e">
        <f>IF($B19&lt;1,"",AVERAGEIF('09월 화학성분'!$A$12:$A$949,$A19,'09월 화학성분'!AB$12:AB$949))</f>
        <v>#DIV/0!</v>
      </c>
      <c r="AE19" s="890" t="e">
        <f>IF($B19&lt;1,"",AVERAGEIF('09월 화학성분'!$A$12:$A$949,$A19,'09월 화학성분'!AC$12:AC$949))</f>
        <v>#DIV/0!</v>
      </c>
      <c r="AF19" s="890">
        <f>IF($B19&lt;1,"",AVERAGEIF('09월 화학성분'!$A$12:$A$949,$A19,'09월 화학성분'!AD$12:AD$949))</f>
        <v>171.42857142857142</v>
      </c>
      <c r="AG19" s="890">
        <f>IF($B19&lt;1,"",AVERAGEIF('09월 화학성분'!$A$12:$A$949,$A19,'09월 화학성분'!AF$12:AF$949))</f>
        <v>66.666666666666671</v>
      </c>
      <c r="AH19" s="890">
        <f>IF($B19&lt;1,"",AVERAGEIF('09월 화학성분'!$A$12:$A$949,$A19,'09월 화학성분'!AG$12:AG$949))</f>
        <v>51.25</v>
      </c>
      <c r="AI19" s="890">
        <f>IF($B19&lt;1,"",AVERAGEIF('09월 화학성분'!$A$12:$A$949,$A19,'09월 화학성분'!AH$12:AH$949))</f>
        <v>780.57142857142856</v>
      </c>
      <c r="AJ19" s="890">
        <f>IF($B19&lt;1,"",AVERAGEIF('09월 화학성분'!$A$12:$A$949,$A19,'09월 화학성분'!AI$12:AI$949))</f>
        <v>421</v>
      </c>
      <c r="AK19" s="890">
        <f>IF($B19&lt;1,"",AVERAGEIF('09월 화학성분'!$A$12:$A$949,$A19,'09월 화학성분'!AJ$12:AJ$949))</f>
        <v>42.25</v>
      </c>
      <c r="AL19" s="890" t="e">
        <f>IF($B19&lt;1,"",AVERAGEIF('09월 화학성분'!$A$12:$A$949,$A19,'09월 화학성분'!#REF!))</f>
        <v>#REF!</v>
      </c>
      <c r="AM19" s="890">
        <f>IF($B19&lt;1,"",AVERAGEIF('09월 화학성분'!$A$12:$A$949,$A19,'09월 화학성분'!AL$12:AL$949))</f>
        <v>91.833333333333329</v>
      </c>
      <c r="AN19" s="890">
        <f>IF($B19&lt;1,"",AVERAGEIF('09월 화학성분'!$A$12:$A$949,$A19,'09월 화학성분'!AM$12:AM$949))</f>
        <v>2707.4285714285716</v>
      </c>
      <c r="AO19" s="891">
        <f>IF($B19&lt;1,"",AVERAGEIF('09월 화학성분'!$A$12:$A$949,$A19,'09월 화학성분'!AN$12:AN$949))</f>
        <v>0.66935915926404177</v>
      </c>
      <c r="AP19" s="891">
        <f>IF($B19&lt;1,"",AVERAGEIF('09월 화학성분'!$A$12:$A$949,$A19,'09월 화학성분'!AO$12:AO$949))</f>
        <v>1.7464521069445715</v>
      </c>
      <c r="AQ19" s="890">
        <f>IF($B19&lt;1,"",AVERAGEIF('09월 화학성분'!$A$12:$A$949,$A19,'09월 화학성분'!AP$12:AP$949))</f>
        <v>133.35714285714286</v>
      </c>
      <c r="AR19" s="890" t="e">
        <f>IF($B19&lt;1,"",AVERAGEIF('09월 고철장입'!$A$14:$A$949,$A19,'09월 고철장입'!G$14:G$949)/1000)</f>
        <v>#DIV/0!</v>
      </c>
      <c r="AS19" s="890" t="e">
        <f>IF($B19&lt;1,"",AVERAGEIF('09월 고철장입'!$A$14:$A$949,$A19,'09월 고철장입'!H$14:H$949)/1000)</f>
        <v>#DIV/0!</v>
      </c>
      <c r="AT19" s="890">
        <f>IF($B19&lt;1,"",AVERAGEIF('09월 고철장입'!$A$14:$A$949,$A19,'09월 고철장입'!I$14:I$949)/1000)</f>
        <v>4.7666666666666666</v>
      </c>
      <c r="AU19" s="890" t="e">
        <f>IF($B19&lt;1,"",AVERAGEIF('09월 고철장입'!$A$14:$A$949,$A19,'09월 고철장입'!J$14:J$949)/1000)</f>
        <v>#DIV/0!</v>
      </c>
      <c r="AV19" s="890" t="e">
        <f>IF($B19&lt;1,"",AVERAGEIF('09월 고철장입'!$A$14:$A$949,$A19,'09월 고철장입'!K$14:K$949)/1000)</f>
        <v>#DIV/0!</v>
      </c>
      <c r="AW19" s="890" t="e">
        <f>IF($B19&lt;1,"",AVERAGEIF('09월 고철장입'!$A$14:$A$949,$A19,'09월 고철장입'!L$14:L$949)/1000)</f>
        <v>#DIV/0!</v>
      </c>
      <c r="AX19" s="890" t="e">
        <f>IF($B19&lt;1,"",AVERAGEIF('09월 고철장입'!$A$14:$A$949,$A19,'09월 고철장입'!M$14:M$949)/1000)</f>
        <v>#DIV/0!</v>
      </c>
      <c r="AY19" s="890" t="e">
        <f>IF($B19&lt;1,"",AVERAGEIF('09월 고철장입'!$A$14:$A$949,$A19,'09월 고철장입'!N$14:N$949)/1000)</f>
        <v>#DIV/0!</v>
      </c>
      <c r="AZ19" s="890">
        <f>IF($B19&lt;1,"",AVERAGEIF('09월 고철장입'!$A$14:$A$949,$A19,'09월 고철장입'!O$14:O$949)/1000)</f>
        <v>7.15</v>
      </c>
      <c r="BA19" s="890">
        <f>IF($B19&lt;1,"",AVERAGEIF('09월 고철장입'!$A$14:$A$949,$A19,'09월 고철장입'!P$14:P$949)/1000)</f>
        <v>37.585714285714282</v>
      </c>
      <c r="BB19" s="890">
        <f>IF($B19&lt;1,"",AVERAGEIF('09월 고철장입'!$A$14:$A$949,$A19,'09월 고철장입'!Q$14:Q$949)/1000)</f>
        <v>12.557142857142857</v>
      </c>
      <c r="BC19" s="890" t="e">
        <f>IF($B19&lt;1,"",AVERAGEIF('09월 고철장입'!$A$14:$A$949,$A19,'09월 고철장입'!S$14:S$949)/1000)</f>
        <v>#DIV/0!</v>
      </c>
      <c r="BD19" s="890" t="e">
        <f>IF($B19&lt;1,"",AVERAGEIF('09월 고철장입'!$A$14:$A$949,$A19,'09월 고철장입'!T$14:T$949)/1000)</f>
        <v>#DIV/0!</v>
      </c>
      <c r="BE19" s="890">
        <f>IF($B19&lt;1,"",AVERAGEIF('09월 고철장입'!$A$14:$A$949,$A19,'09월 고철장입'!U$14:U$949)/1000)</f>
        <v>7.9428571428571431</v>
      </c>
      <c r="BF19" s="890">
        <f>IF($B19&lt;1,"",AVERAGEIF('09월 고철장입'!$A$14:$A$949,$A19,'09월 고철장입'!V$14:V$949)/1000)</f>
        <v>27.614285714285714</v>
      </c>
      <c r="BG19" s="890">
        <f>IF($B19&lt;1,"",AVERAGEIF('09월 고철장입'!$A$14:$A$949,$A19,'09월 고철장입'!W$14:W$949)/1000)</f>
        <v>2.4666666666666663</v>
      </c>
      <c r="BH19" s="890">
        <f>IF($B19&lt;1,"",AVERAGEIF('09월 고철장입'!$A$14:$A$949,$A19,'09월 고철장입'!Y$14:Y$949)/1000)</f>
        <v>16.442857142857143</v>
      </c>
      <c r="BI19" s="890">
        <f>IF($B19&lt;1,"",AVERAGEIF('09월 고철장입'!$A$14:$A$949,$A19,'09월 고철장입'!AB$14:AB$949)/1000)</f>
        <v>3.7333333333333334</v>
      </c>
      <c r="BJ19" s="890">
        <f>IF($B19&lt;1,"",AVERAGEIF('09월 고철장입'!$A$14:$A$949,$A19,'09월 고철장입'!AC$14:AC$949)/1000)</f>
        <v>1.5333333333333332</v>
      </c>
      <c r="BK19" s="890">
        <f>IF($B19&lt;1,"",AVERAGEIF('09월 고철장입'!$A$14:$A$949,$A19,'09월 고철장입'!AD$14:AD$949)/1000)</f>
        <v>2.1</v>
      </c>
      <c r="BL19" s="890">
        <f>IF($B19&lt;1,"",AVERAGEIF('09월 고철장입'!$A$14:$A$949,$A19,'09월 고철장입'!AE$14:AE$949)/1000)</f>
        <v>120.21428571428571</v>
      </c>
      <c r="BM19" s="890">
        <f>IF($B19&lt;1,"",AVERAGEIF('09월 고철장입'!$A$14:$A$949,$A19,'09월 고철장입'!AF$14:AF$949)/1000)</f>
        <v>6.5857142857142854</v>
      </c>
      <c r="BN19" s="890">
        <f>IF($B19&lt;1,"",AVERAGEIF('09월 고철장입'!$A$14:$A$949,$A19,'09월 고철장입'!AG$14:AG$949)/1000)</f>
        <v>10.12857142857143</v>
      </c>
      <c r="BO19" s="890">
        <f>IF($B19&lt;1,"",AVERAGEIF('09월 고철장입'!$A$14:$A$949,$A19,'09월 고철장입'!AH$14:AH$949)/1000)</f>
        <v>3.4857142857142858</v>
      </c>
      <c r="BP19" s="890">
        <f>IF($B19&lt;1,"",AVERAGEIF('09월 고철장입'!$A$14:$A$949,$A19,'09월 고철장입'!AI$14:AI$949)/1000)</f>
        <v>20.2</v>
      </c>
      <c r="BQ19" s="890">
        <f>IF($B19&lt;1,"",AVERAGEIF('09월 고철장입'!$A$14:$A$949,$A19,'09월 고철장입'!AJ$14:AJ$949)/1000)</f>
        <v>144.5</v>
      </c>
      <c r="BR19" s="890">
        <f>IF($B19&lt;1,"",AVERAGEIF('09월 고철장입'!$A$14:$A$949,$A19,'09월 고철장입'!AK$14:AK$949))</f>
        <v>133.35714285714286</v>
      </c>
      <c r="BS19" s="890">
        <f>IF($B19&lt;1,"",AVERAGEIF('09월 고철장입'!$A$14:$A$949,$A19,'09월 고철장입'!AL$14:AL$949)*100)</f>
        <v>93.665458346981339</v>
      </c>
      <c r="BT19" s="890">
        <f>IF($B19&lt;1,"",AVERAGEIF('09월 에너지'!$A$14:$A$949,$A19,'09월 에너지'!G$14:G$949))</f>
        <v>20.8</v>
      </c>
      <c r="BU19" s="892">
        <f>IF($B19&lt;1,"",AVERAGEIF('09월 에너지'!$A$14:$A$949,$A19,'09월 에너지'!H$14:H$949))</f>
        <v>24600</v>
      </c>
      <c r="BV19" s="890">
        <f>IF($B19&lt;1,"",AVERAGEIF('09월 에너지'!$A$14:$A$949,$A19,'09월 에너지'!I$14:I$949))</f>
        <v>12.114285714285714</v>
      </c>
      <c r="BW19" s="892">
        <f>IF($B19&lt;1,"",AVERAGEIF('09월 에너지'!$A$14:$A$949,$A19,'09월 에너지'!J$14:J$949))</f>
        <v>14671.428571428571</v>
      </c>
      <c r="BX19" s="890">
        <f>IF($B19&lt;1,"",AVERAGEIF('09월 에너지'!$A$14:$A$949,$A19,'09월 에너지'!K$14:K$949))</f>
        <v>11.357142857142858</v>
      </c>
      <c r="BY19" s="892">
        <f>IF($B19&lt;1,"",AVERAGEIF('09월 에너지'!$A$14:$A$949,$A19,'09월 에너지'!L$14:L$949))</f>
        <v>16571.428571428572</v>
      </c>
      <c r="BZ19" s="890">
        <f>IF($B19&lt;1,"",AVERAGEIF('09월 에너지'!$A$14:$A$949,$A19,'09월 에너지'!M$14:M$949))</f>
        <v>44.271428571428565</v>
      </c>
      <c r="CA19" s="892">
        <f>IF($B19&lt;1,"",AVERAGEIF('09월 에너지'!$A$14:$A$949,$A19,'09월 에너지'!N$14:N$949))</f>
        <v>55842.857142857145</v>
      </c>
      <c r="CB19" s="890">
        <f>IF($B19&lt;1,"",AVERAGEIF('09월 에너지'!$A$14:$A$949,$A19,'09월 에너지'!O$14:O$949))</f>
        <v>185.73697360714138</v>
      </c>
      <c r="CC19" s="890">
        <f>IF($B19&lt;1,"",AVERAGEIF('09월 에너지'!$A$14:$A$949,$A19,'09월 에너지'!P$14:P$949))</f>
        <v>105.7049617328497</v>
      </c>
      <c r="CD19" s="890">
        <f>IF($B19&lt;1,"",AVERAGEIF('09월 에너지'!$A$14:$A$949,$A19,'09월 에너지'!Q$14:Q$949))</f>
        <v>126.14289742906614</v>
      </c>
      <c r="CE19" s="890">
        <f>IF($B19&lt;1,"",AVERAGEIF('09월 에너지'!$A$14:$A$949,$A19,'09월 에너지'!R$14:R$949))</f>
        <v>417.58483276905719</v>
      </c>
      <c r="CF19" s="890">
        <f>IF($B19&lt;1,"",AVERAGEIF('09월 에너지'!$A$14:$A$949,$A19,'09월 에너지'!S$14:S$949))</f>
        <v>133.35714285714286</v>
      </c>
      <c r="CG19" s="890">
        <f>IF($B19&lt;1,"",AVERAGEIF('09월 에너지'!$A$14:$A$949,$A19,'09월 에너지'!T$14:T$949))</f>
        <v>0</v>
      </c>
      <c r="CH19" s="890">
        <f>IF($B19&lt;1,"",AVERAGEIF('09월 에너지'!$A$14:$A$949,$A19,'09월 에너지'!U$14:U$949))</f>
        <v>35</v>
      </c>
      <c r="CI19" s="892">
        <f>IF($B19&lt;1,"",AVERAGEIF('09월 에너지'!$A$14:$A$949,$A19,'09월 에너지'!V$14:V$949))</f>
        <v>350.71428571428572</v>
      </c>
      <c r="CJ19" s="892">
        <f>IF($B19&lt;1,"",AVERAGEIF('09월 에너지'!$A$14:$A$949,$A19,'09월 에너지'!W$14:W$949))</f>
        <v>385.71428571428572</v>
      </c>
      <c r="CK19" s="890">
        <f>IF($B19&lt;1,"",AVERAGEIF('09월 에너지'!$A$14:$A$949,$A19,'09월 에너지'!X$14:X$949))</f>
        <v>2.8963193683158304</v>
      </c>
      <c r="CL19" s="892">
        <f>IF($B19&lt;1,"",AVERAGEIF('09월 에너지'!$A$14:$A$949,$A19,'09월 에너지'!Y$14:Y$949))</f>
        <v>1705.1428571428571</v>
      </c>
      <c r="CM19" s="892">
        <f>IF($B19&lt;1,"",AVERAGEIF('09월 에너지'!$A$14:$A$949,$A19,'09월 에너지'!Z$14:Z$949))</f>
        <v>990.85714285714289</v>
      </c>
      <c r="CN19" s="892">
        <f>IF($B19&lt;1,"",AVERAGEIF('09월 에너지'!$A$14:$A$949,$A19,'09월 에너지'!AA$14:AA$949))</f>
        <v>1222.8571428571429</v>
      </c>
      <c r="CO19" s="892">
        <f>IF($B19&lt;1,"",AVERAGEIF('09월 에너지'!$A$14:$A$949,$A19,'09월 에너지'!AB$14:AB$949))</f>
        <v>3918.8571428571427</v>
      </c>
      <c r="CP19" s="890">
        <f>IF($B19&lt;1,"",AVERAGEIF('09월 에너지'!$A$14:$A$949,$A19,'09월 에너지'!AC$14:AC$949))</f>
        <v>29.309903476052913</v>
      </c>
      <c r="CQ19" s="888">
        <f>IF($B19&lt;1,"",AVERAGEIF('09월 에너지'!$A$14:$A$949,$A19,'09월 에너지'!AD$14:AD$949))</f>
        <v>4304.5714285714284</v>
      </c>
      <c r="CR19" s="888">
        <f>IF($B19&lt;1,"",AVERAGEIF('09월 에너지'!$A$14:$A$949,$A19,'09월 에너지'!AE$14:AE$949))</f>
        <v>32.206222844368746</v>
      </c>
      <c r="CS19" s="890">
        <f>IF($B19&lt;1,"",AVERAGEIF('09월 에너지'!$A$14:$A$949,$A19,'09월 에너지'!AF$14:AF$949))</f>
        <v>85.714285714285708</v>
      </c>
      <c r="CT19" s="890">
        <f>IF($B19&lt;1,"",AVERAGEIF('09월 에너지'!$A$14:$A$949,$A19,'09월 에너지'!AG$14:AG$949))</f>
        <v>47.428571428571431</v>
      </c>
      <c r="CU19" s="890">
        <f>IF($B19&lt;1,"",AVERAGEIF('09월 에너지'!$A$14:$A$949,$A19,'09월 에너지'!AH$14:AH$949))</f>
        <v>13</v>
      </c>
      <c r="CV19" s="890">
        <f>IF($B19&lt;1,"",AVERAGEIF('09월 에너지'!$A$14:$A$949,$A19,'09월 에너지'!AI$14:AI$949))</f>
        <v>146.14285714285714</v>
      </c>
      <c r="CW19" s="893">
        <f>IF($B19&lt;1,"",AVERAGEIF('09월 에너지'!$A$14:$A$949,$A19,'09월 에너지'!AJ$14:AJ$949))</f>
        <v>1.0860969305615134</v>
      </c>
    </row>
    <row r="20" spans="1:101" ht="15.75" customHeight="1">
      <c r="A20" s="883">
        <f t="shared" si="1"/>
        <v>46281</v>
      </c>
      <c r="B20" s="884">
        <f>COUNTIF('09월 조업일지'!$A$12:$A$952,A20)</f>
        <v>24</v>
      </c>
      <c r="C20" s="885">
        <f t="shared" si="0"/>
        <v>47.791666666666671</v>
      </c>
      <c r="D20" s="885">
        <f>IF($B20&lt;1,"",(SUMIF('09월 조업일지'!$A$12:$A$952,$A20,'09월 조업일지'!$K$12:$K$952))/B20)</f>
        <v>11.416666666666666</v>
      </c>
      <c r="E20" s="885">
        <f>IF($B20&lt;1,"",AVERAGEIF('09월 조업일지'!$A$12:$A$952,$A20,'09월 조업일지'!$J$12:$J$952))</f>
        <v>59.208333333333336</v>
      </c>
      <c r="F20" s="886">
        <f>IF($B20&lt;1,"",AVERAGEIF('09월 에너지'!$A$14:$A$949,$A20,'09월 에너지'!$M$14:M$949))</f>
        <v>47.420833333333327</v>
      </c>
      <c r="G20" s="887">
        <f>IF($B20&lt;1,"",AVERAGEIF('09월 조업일지'!$A$12:$A$952,$A20,'09월 조업일지'!$AJ$12:$AJ$952))</f>
        <v>25.75</v>
      </c>
      <c r="H20" s="887">
        <f>IF($B20&lt;1,"",AVERAGEIF('09월 조업일지'!$A$12:$A$952,$A20,'09월 조업일지'!$AL$12:$AL$952))</f>
        <v>8.4782608695652169</v>
      </c>
      <c r="I20" s="888">
        <f>IF($B20&lt;1,"",AVERAGEIF('09월 화학성분'!$A$12:$A$949,$A20,'09월 화학성분'!G$12:G$949))</f>
        <v>8.9166666666666661</v>
      </c>
      <c r="J20" s="888">
        <f>IF($B20&lt;1,"",AVERAGEIF('09월 화학성분'!$A$12:$A$949,$A20,'09월 화학성분'!H$12:H$949))</f>
        <v>20.333333333333332</v>
      </c>
      <c r="K20" s="888">
        <f>IF($B20&lt;1,"",AVERAGEIF('09월 화학성분'!$A$12:$A$949,$A20,'09월 화학성분'!I$12:I$949))</f>
        <v>62.833333333333336</v>
      </c>
      <c r="L20" s="888">
        <f>IF($B20&lt;1,"",AVERAGEIF('09월 화학성분'!$A$12:$A$949,$A20,'09월 화학성분'!J$12:J$949))</f>
        <v>15.541666666666666</v>
      </c>
      <c r="M20" s="888">
        <f>IF($B20&lt;1,"",AVERAGEIF('09월 화학성분'!$A$12:$A$949,$A20,'09월 화학성분'!K$12:K$949))</f>
        <v>33.666666666666664</v>
      </c>
      <c r="N20" s="888">
        <f>IF($B20&lt;1,"",AVERAGEIF('09월 화학성분'!$A$12:$A$949,$A20,'09월 화학성분'!L$12:L$949))</f>
        <v>13.375</v>
      </c>
      <c r="O20" s="888">
        <f>IF($B20&lt;1,"",AVERAGEIF('09월 화학성분'!$A$12:$A$949,$A20,'09월 화학성분'!M$12:M$949))</f>
        <v>10.708333333333334</v>
      </c>
      <c r="P20" s="889">
        <f>IF($B20&lt;1,"",AVERAGEIF('09월 조업일지'!$A$12:$A$952,$A20,'09월 조업일지'!$AK$12:$AK$952))</f>
        <v>583.17391304347825</v>
      </c>
      <c r="Q20" s="888">
        <f>IF($B20&lt;1,"",AVERAGEIF('09월 화학성분'!$A$12:$A$949,$A20,'09월 화학성분'!$G$12:$G$949))</f>
        <v>8.9166666666666661</v>
      </c>
      <c r="R20" s="889">
        <f>IF($B20&lt;1,"",AVERAGEIF('09월 조업일지'!$A$12:$A$952,$A20,'09월 조업일지'!$AI$12:$AI$952))</f>
        <v>1563.9166666666667</v>
      </c>
      <c r="S20" s="888">
        <f>IF($B20&lt;1,"",AVERAGEIF('09월 화학성분'!$A$12:$A$949,$A20,'09월 화학성분'!$AM$12:$AM$949))</f>
        <v>2043.4583333333333</v>
      </c>
      <c r="T20" s="890">
        <f>IF($B20&lt;1,"",AVERAGEIF('09월 화학성분'!$A$12:$A$949,$A20,'09월 화학성분'!N$12:N$949))</f>
        <v>428.16666666666669</v>
      </c>
      <c r="U20" s="890" t="e">
        <f>IF($B20&lt;1,"",AVERAGEIF('09월 화학성분'!$A$12:$A$949,$A20,'09월 화학성분'!O$12:O$949))</f>
        <v>#DIV/0!</v>
      </c>
      <c r="V20" s="890">
        <f>IF($B20&lt;1,"",AVERAGEIF('09월 화학성분'!$A$12:$A$949,$A20,'09월 화학성분'!P$12:P$949))</f>
        <v>1505.5416666666667</v>
      </c>
      <c r="W20" s="890">
        <f>IF($B20&lt;1,"",AVERAGEIF('09월 화학성분'!$A$12:$A$949,$A20,'09월 화학성분'!Q$12:Q$949))</f>
        <v>958.79166666666663</v>
      </c>
      <c r="X20" s="890" t="e">
        <f>IF($B20&lt;1,"",AVERAGEIF('09월 화학성분'!$A$12:$A$949,$A20,'09월 화학성분'!R$12:R$949))</f>
        <v>#DIV/0!</v>
      </c>
      <c r="Y20" s="890" t="e">
        <f>IF($B20&lt;1,"",AVERAGEIF('09월 화학성분'!$A$12:$A$949,$A20,'09월 화학성분'!U$12:U$949))</f>
        <v>#DIV/0!</v>
      </c>
      <c r="Z20" s="890">
        <f>IF($B20&lt;1,"",AVERAGEIF('09월 화학성분'!$A$12:$A$949,$A20,'09월 화학성분'!V$12:V$949))</f>
        <v>424.04347826086956</v>
      </c>
      <c r="AA20" s="890" t="e">
        <f>IF($B20&lt;1,"",AVERAGEIF('09월 화학성분'!$A$12:$A$949,$A20,'09월 화학성분'!W$12:W$949))</f>
        <v>#DIV/0!</v>
      </c>
      <c r="AB20" s="890" t="e">
        <f>IF($B20&lt;1,"",AVERAGEIF('09월 화학성분'!$A$12:$A$949,$A20,'09월 화학성분'!AA$12:AA$949))</f>
        <v>#DIV/0!</v>
      </c>
      <c r="AC20" s="890" t="e">
        <f>IF($B20&lt;1,"",AVERAGEIF('09월 화학성분'!$A$12:$A$949,$A20,'09월 화학성분'!#REF!))</f>
        <v>#REF!</v>
      </c>
      <c r="AD20" s="890" t="e">
        <f>IF($B20&lt;1,"",AVERAGEIF('09월 화학성분'!$A$12:$A$949,$A20,'09월 화학성분'!AB$12:AB$949))</f>
        <v>#DIV/0!</v>
      </c>
      <c r="AE20" s="890" t="e">
        <f>IF($B20&lt;1,"",AVERAGEIF('09월 화학성분'!$A$12:$A$949,$A20,'09월 화학성분'!AC$12:AC$949))</f>
        <v>#DIV/0!</v>
      </c>
      <c r="AF20" s="890">
        <f>IF($B20&lt;1,"",AVERAGEIF('09월 화학성분'!$A$12:$A$949,$A20,'09월 화학성분'!AD$12:AD$949))</f>
        <v>249.54166666666666</v>
      </c>
      <c r="AG20" s="890">
        <f>IF($B20&lt;1,"",AVERAGEIF('09월 화학성분'!$A$12:$A$949,$A20,'09월 화학성분'!AF$12:AF$949))</f>
        <v>84.347826086956516</v>
      </c>
      <c r="AH20" s="890" t="e">
        <f>IF($B20&lt;1,"",AVERAGEIF('09월 화학성분'!$A$12:$A$949,$A20,'09월 화학성분'!AG$12:AG$949))</f>
        <v>#DIV/0!</v>
      </c>
      <c r="AI20" s="890">
        <f>IF($B20&lt;1,"",AVERAGEIF('09월 화학성분'!$A$12:$A$949,$A20,'09월 화학성분'!AH$12:AH$949))</f>
        <v>1079.0416666666667</v>
      </c>
      <c r="AJ20" s="890">
        <f>IF($B20&lt;1,"",AVERAGEIF('09월 화학성분'!$A$12:$A$949,$A20,'09월 화학성분'!AI$12:AI$949))</f>
        <v>306.41666666666669</v>
      </c>
      <c r="AK20" s="890" t="e">
        <f>IF($B20&lt;1,"",AVERAGEIF('09월 화학성분'!$A$12:$A$949,$A20,'09월 화학성분'!AJ$12:AJ$949))</f>
        <v>#DIV/0!</v>
      </c>
      <c r="AL20" s="890" t="e">
        <f>IF($B20&lt;1,"",AVERAGEIF('09월 화학성분'!$A$12:$A$949,$A20,'09월 화학성분'!#REF!))</f>
        <v>#REF!</v>
      </c>
      <c r="AM20" s="890">
        <f>IF($B20&lt;1,"",AVERAGEIF('09월 화학성분'!$A$12:$A$949,$A20,'09월 화학성분'!AL$12:AL$949))</f>
        <v>134.17391304347825</v>
      </c>
      <c r="AN20" s="890">
        <f>IF($B20&lt;1,"",AVERAGEIF('09월 화학성분'!$A$12:$A$949,$A20,'09월 화학성분'!AM$12:AM$949))</f>
        <v>2043.4583333333333</v>
      </c>
      <c r="AO20" s="891">
        <f>IF($B20&lt;1,"",AVERAGEIF('09월 화학성분'!$A$12:$A$949,$A20,'09월 화학성분'!AN$12:AN$949))</f>
        <v>0.70888441943353708</v>
      </c>
      <c r="AP20" s="891">
        <f>IF($B20&lt;1,"",AVERAGEIF('09월 화학성분'!$A$12:$A$949,$A20,'09월 화학성분'!AO$12:AO$949))</f>
        <v>0.90608472504164961</v>
      </c>
      <c r="AQ20" s="890">
        <f>IF($B20&lt;1,"",AVERAGEIF('09월 화학성분'!$A$12:$A$949,$A20,'09월 화학성분'!AP$12:AP$949))</f>
        <v>143.79583333333332</v>
      </c>
      <c r="AR20" s="890" t="e">
        <f>IF($B20&lt;1,"",AVERAGEIF('09월 고철장입'!$A$14:$A$949,$A20,'09월 고철장입'!G$14:G$949)/1000)</f>
        <v>#DIV/0!</v>
      </c>
      <c r="AS20" s="890" t="e">
        <f>IF($B20&lt;1,"",AVERAGEIF('09월 고철장입'!$A$14:$A$949,$A20,'09월 고철장입'!H$14:H$949)/1000)</f>
        <v>#DIV/0!</v>
      </c>
      <c r="AT20" s="890">
        <f>IF($B20&lt;1,"",AVERAGEIF('09월 고철장입'!$A$14:$A$949,$A20,'09월 고철장입'!I$14:I$949)/1000)</f>
        <v>5.2250416666666668</v>
      </c>
      <c r="AU20" s="890" t="e">
        <f>IF($B20&lt;1,"",AVERAGEIF('09월 고철장입'!$A$14:$A$949,$A20,'09월 고철장입'!J$14:J$949)/1000)</f>
        <v>#DIV/0!</v>
      </c>
      <c r="AV20" s="890" t="e">
        <f>IF($B20&lt;1,"",AVERAGEIF('09월 고철장입'!$A$14:$A$949,$A20,'09월 고철장입'!K$14:K$949)/1000)</f>
        <v>#DIV/0!</v>
      </c>
      <c r="AW20" s="890" t="e">
        <f>IF($B20&lt;1,"",AVERAGEIF('09월 고철장입'!$A$14:$A$949,$A20,'09월 고철장입'!L$14:L$949)/1000)</f>
        <v>#DIV/0!</v>
      </c>
      <c r="AX20" s="890" t="e">
        <f>IF($B20&lt;1,"",AVERAGEIF('09월 고철장입'!$A$14:$A$949,$A20,'09월 고철장입'!M$14:M$949)/1000)</f>
        <v>#DIV/0!</v>
      </c>
      <c r="AY20" s="890" t="e">
        <f>IF($B20&lt;1,"",AVERAGEIF('09월 고철장입'!$A$14:$A$949,$A20,'09월 고철장입'!N$14:N$949)/1000)</f>
        <v>#DIV/0!</v>
      </c>
      <c r="AZ20" s="890">
        <f>IF($B20&lt;1,"",AVERAGEIF('09월 고철장입'!$A$14:$A$949,$A20,'09월 고철장입'!O$14:O$949)/1000)</f>
        <v>5.2250416666666668</v>
      </c>
      <c r="BA20" s="890">
        <f>IF($B20&lt;1,"",AVERAGEIF('09월 고철장입'!$A$14:$A$949,$A20,'09월 고철장입'!P$14:P$949)/1000)</f>
        <v>15.029166666666667</v>
      </c>
      <c r="BB20" s="890">
        <f>IF($B20&lt;1,"",AVERAGEIF('09월 고철장입'!$A$14:$A$949,$A20,'09월 고철장입'!Q$14:Q$949)/1000)</f>
        <v>16.770833333333332</v>
      </c>
      <c r="BC20" s="890" t="e">
        <f>IF($B20&lt;1,"",AVERAGEIF('09월 고철장입'!$A$14:$A$949,$A20,'09월 고철장입'!S$14:S$949)/1000)</f>
        <v>#DIV/0!</v>
      </c>
      <c r="BD20" s="890" t="e">
        <f>IF($B20&lt;1,"",AVERAGEIF('09월 고철장입'!$A$14:$A$949,$A20,'09월 고철장입'!T$14:T$949)/1000)</f>
        <v>#DIV/0!</v>
      </c>
      <c r="BE20" s="890">
        <f>IF($B20&lt;1,"",AVERAGEIF('09월 고철장입'!$A$14:$A$949,$A20,'09월 고철장입'!U$14:U$949)/1000)</f>
        <v>15.15</v>
      </c>
      <c r="BF20" s="890">
        <f>IF($B20&lt;1,"",AVERAGEIF('09월 고철장입'!$A$14:$A$949,$A20,'09월 고철장입'!V$14:V$949)/1000)</f>
        <v>41.145833333333336</v>
      </c>
      <c r="BG20" s="890">
        <f>IF($B20&lt;1,"",AVERAGEIF('09월 고철장입'!$A$14:$A$949,$A20,'09월 고철장입'!W$14:W$949)/1000)</f>
        <v>3.034782608695652</v>
      </c>
      <c r="BH20" s="890">
        <f>IF($B20&lt;1,"",AVERAGEIF('09월 고철장입'!$A$14:$A$949,$A20,'09월 고철장입'!Y$14:Y$949)/1000)</f>
        <v>21.254166666666666</v>
      </c>
      <c r="BI20" s="890">
        <f>IF($B20&lt;1,"",AVERAGEIF('09월 고철장입'!$A$14:$A$949,$A20,'09월 고철장입'!AB$14:AB$949)/1000)</f>
        <v>3.6291666666666664</v>
      </c>
      <c r="BJ20" s="890">
        <f>IF($B20&lt;1,"",AVERAGEIF('09월 고철장입'!$A$14:$A$949,$A20,'09월 고철장입'!AC$14:AC$949)/1000)</f>
        <v>2.7869565217391306</v>
      </c>
      <c r="BK20" s="890" t="e">
        <f>IF($B20&lt;1,"",AVERAGEIF('09월 고철장입'!$A$14:$A$949,$A20,'09월 고철장입'!AD$14:AD$949)/1000)</f>
        <v>#DIV/0!</v>
      </c>
      <c r="BL20" s="890">
        <f>IF($B20&lt;1,"",AVERAGEIF('09월 고철장입'!$A$14:$A$949,$A20,'09월 고철장입'!AE$14:AE$949)/1000)</f>
        <v>135.86670833333335</v>
      </c>
      <c r="BM20" s="890">
        <f>IF($B20&lt;1,"",AVERAGEIF('09월 고철장입'!$A$14:$A$949,$A20,'09월 고철장입'!AF$14:AF$949)/1000)</f>
        <v>4.1260869565217391</v>
      </c>
      <c r="BN20" s="890">
        <f>IF($B20&lt;1,"",AVERAGEIF('09월 고철장입'!$A$14:$A$949,$A20,'09월 고철장입'!AG$14:AG$949)/1000)</f>
        <v>8.1999999999999993</v>
      </c>
      <c r="BO20" s="890">
        <f>IF($B20&lt;1,"",AVERAGEIF('09월 고철장입'!$A$14:$A$949,$A20,'09월 고철장입'!AH$14:AH$949)/1000)</f>
        <v>5.5</v>
      </c>
      <c r="BP20" s="890">
        <f>IF($B20&lt;1,"",AVERAGEIF('09월 고철장입'!$A$14:$A$949,$A20,'09월 고철장입'!AI$14:AI$949)/1000)</f>
        <v>17.3125</v>
      </c>
      <c r="BQ20" s="890">
        <f>IF($B20&lt;1,"",AVERAGEIF('09월 고철장입'!$A$14:$A$949,$A20,'09월 고철장입'!AJ$14:AJ$949)/1000)</f>
        <v>158.40424999999999</v>
      </c>
      <c r="BR20" s="890">
        <f>IF($B20&lt;1,"",AVERAGEIF('09월 고철장입'!$A$14:$A$949,$A20,'09월 고철장입'!AK$14:AK$949))</f>
        <v>143.79583333333332</v>
      </c>
      <c r="BS20" s="890">
        <f>IF($B20&lt;1,"",AVERAGEIF('09월 고철장입'!$A$14:$A$949,$A20,'09월 고철장입'!AL$14:AL$949)*100)</f>
        <v>90.777341773227548</v>
      </c>
      <c r="BT20" s="890">
        <f>IF($B20&lt;1,"",AVERAGEIF('09월 에너지'!$A$14:$A$949,$A20,'09월 에너지'!G$14:G$949))</f>
        <v>19.641666666666666</v>
      </c>
      <c r="BU20" s="892">
        <f>IF($B20&lt;1,"",AVERAGEIF('09월 에너지'!$A$14:$A$949,$A20,'09월 에너지'!H$14:H$949))</f>
        <v>23495.833333333332</v>
      </c>
      <c r="BV20" s="890">
        <f>IF($B20&lt;1,"",AVERAGEIF('09월 에너지'!$A$14:$A$949,$A20,'09월 에너지'!I$14:I$949))</f>
        <v>16.791666666666668</v>
      </c>
      <c r="BW20" s="892">
        <f>IF($B20&lt;1,"",AVERAGEIF('09월 에너지'!$A$14:$A$949,$A20,'09월 에너지'!J$14:J$949))</f>
        <v>20545.833333333332</v>
      </c>
      <c r="BX20" s="890">
        <f>IF($B20&lt;1,"",AVERAGEIF('09월 에너지'!$A$14:$A$949,$A20,'09월 에너지'!K$14:K$949))</f>
        <v>10.987500000000002</v>
      </c>
      <c r="BY20" s="892">
        <f>IF($B20&lt;1,"",AVERAGEIF('09월 에너지'!$A$14:$A$949,$A20,'09월 에너지'!L$14:L$949))</f>
        <v>13825</v>
      </c>
      <c r="BZ20" s="890">
        <f>IF($B20&lt;1,"",AVERAGEIF('09월 에너지'!$A$14:$A$949,$A20,'09월 에너지'!M$14:M$949))</f>
        <v>47.420833333333327</v>
      </c>
      <c r="CA20" s="892">
        <f>IF($B20&lt;1,"",AVERAGEIF('09월 에너지'!$A$14:$A$949,$A20,'09월 에너지'!N$14:N$949))</f>
        <v>57866.666666666664</v>
      </c>
      <c r="CB20" s="890">
        <f>IF($B20&lt;1,"",AVERAGEIF('09월 에너지'!$A$14:$A$949,$A20,'09월 에너지'!O$14:O$949))</f>
        <v>163.55833984224134</v>
      </c>
      <c r="CC20" s="890">
        <f>IF($B20&lt;1,"",AVERAGEIF('09월 에너지'!$A$14:$A$949,$A20,'09월 에너지'!P$14:P$949))</f>
        <v>142.93034801351789</v>
      </c>
      <c r="CD20" s="890">
        <f>IF($B20&lt;1,"",AVERAGEIF('09월 에너지'!$A$14:$A$949,$A20,'09월 에너지'!Q$14:Q$949))</f>
        <v>96.158882507787879</v>
      </c>
      <c r="CE20" s="890">
        <f>IF($B20&lt;1,"",AVERAGEIF('09월 에너지'!$A$14:$A$949,$A20,'09월 에너지'!R$14:R$949))</f>
        <v>402.64757036354712</v>
      </c>
      <c r="CF20" s="890">
        <f>IF($B20&lt;1,"",AVERAGEIF('09월 에너지'!$A$14:$A$949,$A20,'09월 에너지'!S$14:S$949))</f>
        <v>143.79583333333332</v>
      </c>
      <c r="CG20" s="890">
        <f>IF($B20&lt;1,"",AVERAGEIF('09월 에너지'!$A$14:$A$949,$A20,'09월 에너지'!T$14:T$949))</f>
        <v>0</v>
      </c>
      <c r="CH20" s="890">
        <f>IF($B20&lt;1,"",AVERAGEIF('09월 에너지'!$A$14:$A$949,$A20,'09월 에너지'!U$14:U$949))</f>
        <v>58.583333333333336</v>
      </c>
      <c r="CI20" s="892">
        <f>IF($B20&lt;1,"",AVERAGEIF('09월 에너지'!$A$14:$A$949,$A20,'09월 에너지'!V$14:V$949))</f>
        <v>321.16666666666669</v>
      </c>
      <c r="CJ20" s="892">
        <f>IF($B20&lt;1,"",AVERAGEIF('09월 에너지'!$A$14:$A$949,$A20,'09월 에너지'!W$14:W$949))</f>
        <v>379.75</v>
      </c>
      <c r="CK20" s="890">
        <f>IF($B20&lt;1,"",AVERAGEIF('09월 에너지'!$A$14:$A$949,$A20,'09월 에너지'!X$14:X$949))</f>
        <v>2.644136249841146</v>
      </c>
      <c r="CL20" s="892">
        <f>IF($B20&lt;1,"",AVERAGEIF('09월 에너지'!$A$14:$A$949,$A20,'09월 에너지'!Y$14:Y$949))</f>
        <v>1598.4583333333333</v>
      </c>
      <c r="CM20" s="892">
        <f>IF($B20&lt;1,"",AVERAGEIF('09월 에너지'!$A$14:$A$949,$A20,'09월 에너지'!Z$14:Z$949))</f>
        <v>1402.2916666666667</v>
      </c>
      <c r="CN20" s="892">
        <f>IF($B20&lt;1,"",AVERAGEIF('09월 에너지'!$A$14:$A$949,$A20,'09월 에너지'!AA$14:AA$949))</f>
        <v>1016.8333333333334</v>
      </c>
      <c r="CO20" s="892">
        <f>IF($B20&lt;1,"",AVERAGEIF('09월 에너지'!$A$14:$A$949,$A20,'09월 에너지'!AB$14:AB$949))</f>
        <v>4017.5833333333335</v>
      </c>
      <c r="CP20" s="890">
        <f>IF($B20&lt;1,"",AVERAGEIF('09월 에너지'!$A$14:$A$949,$A20,'09월 에너지'!AC$14:AC$949))</f>
        <v>27.953664816911143</v>
      </c>
      <c r="CQ20" s="888">
        <f>IF($B20&lt;1,"",AVERAGEIF('09월 에너지'!$A$14:$A$949,$A20,'09월 에너지'!AD$14:AD$949))</f>
        <v>4397.333333333333</v>
      </c>
      <c r="CR20" s="888">
        <f>IF($B20&lt;1,"",AVERAGEIF('09월 에너지'!$A$14:$A$949,$A20,'09월 에너지'!AE$14:AE$949))</f>
        <v>30.597801066752293</v>
      </c>
      <c r="CS20" s="890">
        <f>IF($B20&lt;1,"",AVERAGEIF('09월 에너지'!$A$14:$A$949,$A20,'09월 에너지'!AF$14:AF$949))</f>
        <v>80.083333333333329</v>
      </c>
      <c r="CT20" s="890">
        <f>IF($B20&lt;1,"",AVERAGEIF('09월 에너지'!$A$14:$A$949,$A20,'09월 에너지'!AG$14:AG$949))</f>
        <v>61.333333333333336</v>
      </c>
      <c r="CU20" s="890">
        <f>IF($B20&lt;1,"",AVERAGEIF('09월 에너지'!$A$14:$A$949,$A20,'09월 에너지'!AH$14:AH$949))</f>
        <v>8.3333333333333339</v>
      </c>
      <c r="CV20" s="890">
        <f>IF($B20&lt;1,"",AVERAGEIF('09월 에너지'!$A$14:$A$949,$A20,'09월 에너지'!AI$14:AI$949))</f>
        <v>149.75</v>
      </c>
      <c r="CW20" s="893">
        <f>IF($B20&lt;1,"",AVERAGEIF('09월 에너지'!$A$14:$A$949,$A20,'09월 에너지'!AJ$14:AJ$949))</f>
        <v>1.041911264603135</v>
      </c>
    </row>
    <row r="21" spans="1:101" ht="15.75" customHeight="1">
      <c r="A21" s="883">
        <f t="shared" si="1"/>
        <v>46282</v>
      </c>
      <c r="B21" s="884">
        <f>COUNTIF('09월 조업일지'!$A$12:$A$952,A21)</f>
        <v>26</v>
      </c>
      <c r="C21" s="885">
        <f t="shared" si="0"/>
        <v>49.346153846153847</v>
      </c>
      <c r="D21" s="885">
        <f>IF($B21&lt;1,"",(SUMIF('09월 조업일지'!$A$12:$A$952,$A21,'09월 조업일지'!$K$12:$K$952))/B21)</f>
        <v>1.6923076923076923</v>
      </c>
      <c r="E21" s="885">
        <f>IF($B21&lt;1,"",AVERAGEIF('09월 조업일지'!$A$12:$A$952,$A21,'09월 조업일지'!$J$12:$J$952))</f>
        <v>51.03846153846154</v>
      </c>
      <c r="F21" s="886">
        <f>IF($B21&lt;1,"",AVERAGEIF('09월 에너지'!$A$14:$A$949,$A21,'09월 에너지'!$M$14:M$949))</f>
        <v>45.323076923076925</v>
      </c>
      <c r="G21" s="887">
        <f>IF($B21&lt;1,"",AVERAGEIF('09월 조업일지'!$A$12:$A$952,$A21,'09월 조업일지'!$AJ$12:$AJ$952))</f>
        <v>53.42307692307692</v>
      </c>
      <c r="H21" s="887">
        <f>IF($B21&lt;1,"",AVERAGEIF('09월 조업일지'!$A$12:$A$952,$A21,'09월 조업일지'!$AL$12:$AL$952))</f>
        <v>7.5</v>
      </c>
      <c r="I21" s="888">
        <f>IF($B21&lt;1,"",AVERAGEIF('09월 화학성분'!$A$12:$A$949,$A21,'09월 화학성분'!G$12:G$949))</f>
        <v>9.9615384615384617</v>
      </c>
      <c r="J21" s="888">
        <f>IF($B21&lt;1,"",AVERAGEIF('09월 화학성분'!$A$12:$A$949,$A21,'09월 화학성분'!H$12:H$949))</f>
        <v>19.03846153846154</v>
      </c>
      <c r="K21" s="888">
        <f>IF($B21&lt;1,"",AVERAGEIF('09월 화학성분'!$A$12:$A$949,$A21,'09월 화학성분'!I$12:I$949))</f>
        <v>53.346153846153847</v>
      </c>
      <c r="L21" s="888">
        <f>IF($B21&lt;1,"",AVERAGEIF('09월 화학성분'!$A$12:$A$949,$A21,'09월 화학성분'!J$12:J$949))</f>
        <v>16.653846153846153</v>
      </c>
      <c r="M21" s="888">
        <f>IF($B21&lt;1,"",AVERAGEIF('09월 화학성분'!$A$12:$A$949,$A21,'09월 화학성분'!K$12:K$949))</f>
        <v>32.03846153846154</v>
      </c>
      <c r="N21" s="888">
        <f>IF($B21&lt;1,"",AVERAGEIF('09월 화학성분'!$A$12:$A$949,$A21,'09월 화학성분'!L$12:L$949))</f>
        <v>14.5</v>
      </c>
      <c r="O21" s="888">
        <f>IF($B21&lt;1,"",AVERAGEIF('09월 화학성분'!$A$12:$A$949,$A21,'09월 화학성분'!M$12:M$949))</f>
        <v>11.73076923076923</v>
      </c>
      <c r="P21" s="889">
        <f>IF($B21&lt;1,"",AVERAGEIF('09월 조업일지'!$A$12:$A$952,$A21,'09월 조업일지'!$AK$12:$AK$952))</f>
        <v>614.83333333333337</v>
      </c>
      <c r="Q21" s="888">
        <f>IF($B21&lt;1,"",AVERAGEIF('09월 화학성분'!$A$12:$A$949,$A21,'09월 화학성분'!$G$12:$G$949))</f>
        <v>9.9615384615384617</v>
      </c>
      <c r="R21" s="889">
        <f>IF($B21&lt;1,"",AVERAGEIF('09월 조업일지'!$A$12:$A$952,$A21,'09월 조업일지'!$AI$12:$AI$952))</f>
        <v>1573.4615384615386</v>
      </c>
      <c r="S21" s="888">
        <f>IF($B21&lt;1,"",AVERAGEIF('09월 화학성분'!$A$12:$A$949,$A21,'09월 화학성분'!$AM$12:$AM$949))</f>
        <v>1553</v>
      </c>
      <c r="T21" s="890">
        <f>IF($B21&lt;1,"",AVERAGEIF('09월 화학성분'!$A$12:$A$949,$A21,'09월 화학성분'!N$12:N$949))</f>
        <v>369.15384615384613</v>
      </c>
      <c r="U21" s="890" t="e">
        <f>IF($B21&lt;1,"",AVERAGEIF('09월 화학성분'!$A$12:$A$949,$A21,'09월 화학성분'!O$12:O$949))</f>
        <v>#DIV/0!</v>
      </c>
      <c r="V21" s="890">
        <f>IF($B21&lt;1,"",AVERAGEIF('09월 화학성분'!$A$12:$A$949,$A21,'09월 화학성분'!P$12:P$949))</f>
        <v>1019.2307692307693</v>
      </c>
      <c r="W21" s="890">
        <f>IF($B21&lt;1,"",AVERAGEIF('09월 화학성분'!$A$12:$A$949,$A21,'09월 화학성분'!Q$12:Q$949))</f>
        <v>935.61538461538464</v>
      </c>
      <c r="X21" s="890" t="e">
        <f>IF($B21&lt;1,"",AVERAGEIF('09월 화학성분'!$A$12:$A$949,$A21,'09월 화학성분'!R$12:R$949))</f>
        <v>#DIV/0!</v>
      </c>
      <c r="Y21" s="890" t="e">
        <f>IF($B21&lt;1,"",AVERAGEIF('09월 화학성분'!$A$12:$A$949,$A21,'09월 화학성분'!U$12:U$949))</f>
        <v>#DIV/0!</v>
      </c>
      <c r="Z21" s="890">
        <f>IF($B21&lt;1,"",AVERAGEIF('09월 화학성분'!$A$12:$A$949,$A21,'09월 화학성분'!V$12:V$949))</f>
        <v>511</v>
      </c>
      <c r="AA21" s="890" t="e">
        <f>IF($B21&lt;1,"",AVERAGEIF('09월 화학성분'!$A$12:$A$949,$A21,'09월 화학성분'!W$12:W$949))</f>
        <v>#DIV/0!</v>
      </c>
      <c r="AB21" s="890" t="e">
        <f>IF($B21&lt;1,"",AVERAGEIF('09월 화학성분'!$A$12:$A$949,$A21,'09월 화학성분'!AA$12:AA$949))</f>
        <v>#DIV/0!</v>
      </c>
      <c r="AC21" s="890" t="e">
        <f>IF($B21&lt;1,"",AVERAGEIF('09월 화학성분'!$A$12:$A$949,$A21,'09월 화학성분'!#REF!))</f>
        <v>#REF!</v>
      </c>
      <c r="AD21" s="890">
        <f>IF($B21&lt;1,"",AVERAGEIF('09월 화학성분'!$A$12:$A$949,$A21,'09월 화학성분'!AB$12:AB$949))</f>
        <v>85</v>
      </c>
      <c r="AE21" s="890" t="e">
        <f>IF($B21&lt;1,"",AVERAGEIF('09월 화학성분'!$A$12:$A$949,$A21,'09월 화학성분'!AC$12:AC$949))</f>
        <v>#DIV/0!</v>
      </c>
      <c r="AF21" s="890">
        <f>IF($B21&lt;1,"",AVERAGEIF('09월 화학성분'!$A$12:$A$949,$A21,'09월 화학성분'!AD$12:AD$949))</f>
        <v>289.5</v>
      </c>
      <c r="AG21" s="890">
        <f>IF($B21&lt;1,"",AVERAGEIF('09월 화학성분'!$A$12:$A$949,$A21,'09월 화학성분'!AF$12:AF$949))</f>
        <v>93</v>
      </c>
      <c r="AH21" s="890" t="e">
        <f>IF($B21&lt;1,"",AVERAGEIF('09월 화학성분'!$A$12:$A$949,$A21,'09월 화학성분'!AG$12:AG$949))</f>
        <v>#DIV/0!</v>
      </c>
      <c r="AI21" s="890">
        <f>IF($B21&lt;1,"",AVERAGEIF('09월 화학성분'!$A$12:$A$949,$A21,'09월 화학성분'!AH$12:AH$949))</f>
        <v>881.19230769230774</v>
      </c>
      <c r="AJ21" s="890">
        <f>IF($B21&lt;1,"",AVERAGEIF('09월 화학성분'!$A$12:$A$949,$A21,'09월 화학성분'!AI$12:AI$949))</f>
        <v>322.03846153846155</v>
      </c>
      <c r="AK21" s="890" t="e">
        <f>IF($B21&lt;1,"",AVERAGEIF('09월 화학성분'!$A$12:$A$949,$A21,'09월 화학성분'!AJ$12:AJ$949))</f>
        <v>#DIV/0!</v>
      </c>
      <c r="AL21" s="890" t="e">
        <f>IF($B21&lt;1,"",AVERAGEIF('09월 화학성분'!$A$12:$A$949,$A21,'09월 화학성분'!#REF!))</f>
        <v>#REF!</v>
      </c>
      <c r="AM21" s="890">
        <f>IF($B21&lt;1,"",AVERAGEIF('09월 화학성분'!$A$12:$A$949,$A21,'09월 화학성분'!AL$12:AL$949))</f>
        <v>120.61538461538461</v>
      </c>
      <c r="AN21" s="890">
        <f>IF($B21&lt;1,"",AVERAGEIF('09월 화학성분'!$A$12:$A$949,$A21,'09월 화학성분'!AM$12:AM$949))</f>
        <v>1553</v>
      </c>
      <c r="AO21" s="891">
        <f>IF($B21&lt;1,"",AVERAGEIF('09월 화학성분'!$A$12:$A$949,$A21,'09월 화학성분'!AN$12:AN$949))</f>
        <v>0.60960205831810965</v>
      </c>
      <c r="AP21" s="891">
        <f>IF($B21&lt;1,"",AVERAGEIF('09월 화학성분'!$A$12:$A$949,$A21,'09월 화학성분'!AO$12:AO$949))</f>
        <v>0.88008987473908695</v>
      </c>
      <c r="AQ21" s="890">
        <f>IF($B21&lt;1,"",AVERAGEIF('09월 화학성분'!$A$12:$A$949,$A21,'09월 화학성분'!AP$12:AP$949))</f>
        <v>141.59615384615381</v>
      </c>
      <c r="AR21" s="890" t="e">
        <f>IF($B21&lt;1,"",AVERAGEIF('09월 고철장입'!$A$14:$A$949,$A21,'09월 고철장입'!G$14:G$949)/1000)</f>
        <v>#DIV/0!</v>
      </c>
      <c r="AS21" s="890" t="e">
        <f>IF($B21&lt;1,"",AVERAGEIF('09월 고철장입'!$A$14:$A$949,$A21,'09월 고철장입'!H$14:H$949)/1000)</f>
        <v>#DIV/0!</v>
      </c>
      <c r="AT21" s="890">
        <f>IF($B21&lt;1,"",AVERAGEIF('09월 고철장입'!$A$14:$A$949,$A21,'09월 고철장입'!I$14:I$949)/1000)</f>
        <v>5.5423076923076922</v>
      </c>
      <c r="AU21" s="890" t="e">
        <f>IF($B21&lt;1,"",AVERAGEIF('09월 고철장입'!$A$14:$A$949,$A21,'09월 고철장입'!J$14:J$949)/1000)</f>
        <v>#DIV/0!</v>
      </c>
      <c r="AV21" s="890" t="e">
        <f>IF($B21&lt;1,"",AVERAGEIF('09월 고철장입'!$A$14:$A$949,$A21,'09월 고철장입'!K$14:K$949)/1000)</f>
        <v>#DIV/0!</v>
      </c>
      <c r="AW21" s="890" t="e">
        <f>IF($B21&lt;1,"",AVERAGEIF('09월 고철장입'!$A$14:$A$949,$A21,'09월 고철장입'!L$14:L$949)/1000)</f>
        <v>#DIV/0!</v>
      </c>
      <c r="AX21" s="890" t="e">
        <f>IF($B21&lt;1,"",AVERAGEIF('09월 고철장입'!$A$14:$A$949,$A21,'09월 고철장입'!M$14:M$949)/1000)</f>
        <v>#DIV/0!</v>
      </c>
      <c r="AY21" s="890" t="e">
        <f>IF($B21&lt;1,"",AVERAGEIF('09월 고철장입'!$A$14:$A$949,$A21,'09월 고철장입'!N$14:N$949)/1000)</f>
        <v>#DIV/0!</v>
      </c>
      <c r="AZ21" s="890">
        <f>IF($B21&lt;1,"",AVERAGEIF('09월 고철장입'!$A$14:$A$949,$A21,'09월 고철장입'!O$14:O$949)/1000)</f>
        <v>5.5423076923076922</v>
      </c>
      <c r="BA21" s="890">
        <f>IF($B21&lt;1,"",AVERAGEIF('09월 고철장입'!$A$14:$A$949,$A21,'09월 고철장입'!P$14:P$949)/1000)</f>
        <v>13.926923076923076</v>
      </c>
      <c r="BB21" s="890">
        <f>IF($B21&lt;1,"",AVERAGEIF('09월 고철장입'!$A$14:$A$949,$A21,'09월 고철장입'!Q$14:Q$949)/1000)</f>
        <v>16.55769230769231</v>
      </c>
      <c r="BC21" s="890" t="e">
        <f>IF($B21&lt;1,"",AVERAGEIF('09월 고철장입'!$A$14:$A$949,$A21,'09월 고철장입'!S$14:S$949)/1000)</f>
        <v>#DIV/0!</v>
      </c>
      <c r="BD21" s="890" t="e">
        <f>IF($B21&lt;1,"",AVERAGEIF('09월 고철장입'!$A$14:$A$949,$A21,'09월 고철장입'!T$14:T$949)/1000)</f>
        <v>#DIV/0!</v>
      </c>
      <c r="BE21" s="890">
        <f>IF($B21&lt;1,"",AVERAGEIF('09월 고철장입'!$A$14:$A$949,$A21,'09월 고철장입'!U$14:U$949)/1000)</f>
        <v>12.984615384615385</v>
      </c>
      <c r="BF21" s="890">
        <f>IF($B21&lt;1,"",AVERAGEIF('09월 고철장입'!$A$14:$A$949,$A21,'09월 고철장입'!V$14:V$949)/1000)</f>
        <v>38.430769230769236</v>
      </c>
      <c r="BG21" s="890">
        <f>IF($B21&lt;1,"",AVERAGEIF('09월 고철장입'!$A$14:$A$949,$A21,'09월 고철장입'!W$14:W$949)/1000)</f>
        <v>2.75</v>
      </c>
      <c r="BH21" s="890">
        <f>IF($B21&lt;1,"",AVERAGEIF('09월 고철장입'!$A$14:$A$949,$A21,'09월 고철장입'!Y$14:Y$949)/1000)</f>
        <v>21.003846153846151</v>
      </c>
      <c r="BI21" s="890">
        <f>IF($B21&lt;1,"",AVERAGEIF('09월 고철장입'!$A$14:$A$949,$A21,'09월 고철장입'!AB$14:AB$949)/1000)</f>
        <v>4.7076923076923078</v>
      </c>
      <c r="BJ21" s="890">
        <f>IF($B21&lt;1,"",AVERAGEIF('09월 고철장입'!$A$14:$A$949,$A21,'09월 고철장입'!AC$14:AC$949)/1000)</f>
        <v>2.8159999999999998</v>
      </c>
      <c r="BK21" s="890" t="e">
        <f>IF($B21&lt;1,"",AVERAGEIF('09월 고철장입'!$A$14:$A$949,$A21,'09월 고철장입'!AD$14:AD$949)/1000)</f>
        <v>#DIV/0!</v>
      </c>
      <c r="BL21" s="890">
        <f>IF($B21&lt;1,"",AVERAGEIF('09월 고철장입'!$A$14:$A$949,$A21,'09월 고철장입'!AE$14:AE$949)/1000)</f>
        <v>132.25769230769231</v>
      </c>
      <c r="BM21" s="890">
        <f>IF($B21&lt;1,"",AVERAGEIF('09월 고철장입'!$A$14:$A$949,$A21,'09월 고철장입'!AF$14:AF$949)/1000)</f>
        <v>4.5119999999999996</v>
      </c>
      <c r="BN21" s="890">
        <f>IF($B21&lt;1,"",AVERAGEIF('09월 고철장입'!$A$14:$A$949,$A21,'09월 고철장입'!AG$14:AG$949)/1000)</f>
        <v>7.7653846153846153</v>
      </c>
      <c r="BO21" s="890">
        <f>IF($B21&lt;1,"",AVERAGEIF('09월 고철장입'!$A$14:$A$949,$A21,'09월 고철장입'!AH$14:AH$949)/1000)</f>
        <v>6.7461538461538462</v>
      </c>
      <c r="BP21" s="890">
        <f>IF($B21&lt;1,"",AVERAGEIF('09월 고철장입'!$A$14:$A$949,$A21,'09월 고철장입'!AI$14:AI$949)/1000)</f>
        <v>18.850000000000001</v>
      </c>
      <c r="BQ21" s="890">
        <f>IF($B21&lt;1,"",AVERAGEIF('09월 고철장입'!$A$14:$A$949,$A21,'09월 고철장입'!AJ$14:AJ$949)/1000)</f>
        <v>156.65</v>
      </c>
      <c r="BR21" s="890">
        <f>IF($B21&lt;1,"",AVERAGEIF('09월 고철장입'!$A$14:$A$949,$A21,'09월 고철장입'!AK$14:AK$949))</f>
        <v>141.59615384615381</v>
      </c>
      <c r="BS21" s="890">
        <f>IF($B21&lt;1,"",AVERAGEIF('09월 고철장입'!$A$14:$A$949,$A21,'09월 고철장입'!AL$14:AL$949)*100)</f>
        <v>90.811412662207474</v>
      </c>
      <c r="BT21" s="890">
        <f>IF($B21&lt;1,"",AVERAGEIF('09월 에너지'!$A$14:$A$949,$A21,'09월 에너지'!G$14:G$949))</f>
        <v>19.334615384615383</v>
      </c>
      <c r="BU21" s="892">
        <f>IF($B21&lt;1,"",AVERAGEIF('09월 에너지'!$A$14:$A$949,$A21,'09월 에너지'!H$14:H$949))</f>
        <v>23057.692307692309</v>
      </c>
      <c r="BV21" s="890">
        <f>IF($B21&lt;1,"",AVERAGEIF('09월 에너지'!$A$14:$A$949,$A21,'09월 에너지'!I$14:I$949))</f>
        <v>16.930769230769236</v>
      </c>
      <c r="BW21" s="892">
        <f>IF($B21&lt;1,"",AVERAGEIF('09월 에너지'!$A$14:$A$949,$A21,'09월 에너지'!J$14:J$949))</f>
        <v>20673.076923076922</v>
      </c>
      <c r="BX21" s="890">
        <f>IF($B21&lt;1,"",AVERAGEIF('09월 에너지'!$A$14:$A$949,$A21,'09월 에너지'!K$14:K$949))</f>
        <v>9.0576923076923084</v>
      </c>
      <c r="BY21" s="892">
        <f>IF($B21&lt;1,"",AVERAGEIF('09월 에너지'!$A$14:$A$949,$A21,'09월 에너지'!L$14:L$949))</f>
        <v>11415.384615384615</v>
      </c>
      <c r="BZ21" s="890">
        <f>IF($B21&lt;1,"",AVERAGEIF('09월 에너지'!$A$14:$A$949,$A21,'09월 에너지'!M$14:M$949))</f>
        <v>45.323076923076925</v>
      </c>
      <c r="CA21" s="892">
        <f>IF($B21&lt;1,"",AVERAGEIF('09월 에너지'!$A$14:$A$949,$A21,'09월 에너지'!N$14:N$949))</f>
        <v>55146.153846153844</v>
      </c>
      <c r="CB21" s="890">
        <f>IF($B21&lt;1,"",AVERAGEIF('09월 에너지'!$A$14:$A$949,$A21,'09월 에너지'!O$14:O$949))</f>
        <v>165.33552297463609</v>
      </c>
      <c r="CC21" s="890">
        <f>IF($B21&lt;1,"",AVERAGEIF('09월 에너지'!$A$14:$A$949,$A21,'09월 에너지'!P$14:P$949))</f>
        <v>148.12451118273123</v>
      </c>
      <c r="CD21" s="890">
        <f>IF($B21&lt;1,"",AVERAGEIF('09월 에너지'!$A$14:$A$949,$A21,'09월 에너지'!Q$14:Q$949))</f>
        <v>81.139319471499164</v>
      </c>
      <c r="CE21" s="890">
        <f>IF($B21&lt;1,"",AVERAGEIF('09월 에너지'!$A$14:$A$949,$A21,'09월 에너지'!R$14:R$949))</f>
        <v>394.5993536288666</v>
      </c>
      <c r="CF21" s="890">
        <f>IF($B21&lt;1,"",AVERAGEIF('09월 에너지'!$A$14:$A$949,$A21,'09월 에너지'!S$14:S$949))</f>
        <v>141.59615384615381</v>
      </c>
      <c r="CG21" s="890">
        <f>IF($B21&lt;1,"",AVERAGEIF('09월 에너지'!$A$14:$A$949,$A21,'09월 에너지'!T$14:T$949))</f>
        <v>0</v>
      </c>
      <c r="CH21" s="890">
        <f>IF($B21&lt;1,"",AVERAGEIF('09월 에너지'!$A$14:$A$949,$A21,'09월 에너지'!U$14:U$949))</f>
        <v>44.653846153846153</v>
      </c>
      <c r="CI21" s="892">
        <f>IF($B21&lt;1,"",AVERAGEIF('09월 에너지'!$A$14:$A$949,$A21,'09월 에너지'!V$14:V$949))</f>
        <v>307.26923076923077</v>
      </c>
      <c r="CJ21" s="892">
        <f>IF($B21&lt;1,"",AVERAGEIF('09월 에너지'!$A$14:$A$949,$A21,'09월 에너지'!W$14:W$949))</f>
        <v>351.92307692307691</v>
      </c>
      <c r="CK21" s="890">
        <f>IF($B21&lt;1,"",AVERAGEIF('09월 에너지'!$A$14:$A$949,$A21,'09월 에너지'!X$14:X$949))</f>
        <v>2.5222430667754479</v>
      </c>
      <c r="CL21" s="892">
        <f>IF($B21&lt;1,"",AVERAGEIF('09월 에너지'!$A$14:$A$949,$A21,'09월 에너지'!Y$14:Y$949))</f>
        <v>1597.5769230769231</v>
      </c>
      <c r="CM21" s="892">
        <f>IF($B21&lt;1,"",AVERAGEIF('09월 에너지'!$A$14:$A$949,$A21,'09월 에너지'!Z$14:Z$949))</f>
        <v>1397.4230769230769</v>
      </c>
      <c r="CN21" s="892">
        <f>IF($B21&lt;1,"",AVERAGEIF('09월 에너지'!$A$14:$A$949,$A21,'09월 에너지'!AA$14:AA$949))</f>
        <v>842.92307692307691</v>
      </c>
      <c r="CO21" s="892">
        <f>IF($B21&lt;1,"",AVERAGEIF('09월 에너지'!$A$14:$A$949,$A21,'09월 에너지'!AB$14:AB$949))</f>
        <v>3837.9230769230771</v>
      </c>
      <c r="CP21" s="890">
        <f>IF($B21&lt;1,"",AVERAGEIF('09월 에너지'!$A$14:$A$949,$A21,'09월 에너지'!AC$14:AC$949))</f>
        <v>27.479505032412142</v>
      </c>
      <c r="CQ21" s="888">
        <f>IF($B21&lt;1,"",AVERAGEIF('09월 에너지'!$A$14:$A$949,$A21,'09월 에너지'!AD$14:AD$949))</f>
        <v>4189.8461538461543</v>
      </c>
      <c r="CR21" s="888">
        <f>IF($B21&lt;1,"",AVERAGEIF('09월 에너지'!$A$14:$A$949,$A21,'09월 에너지'!AE$14:AE$949))</f>
        <v>30.001748099187584</v>
      </c>
      <c r="CS21" s="890">
        <f>IF($B21&lt;1,"",AVERAGEIF('09월 에너지'!$A$14:$A$949,$A21,'09월 에너지'!AF$14:AF$949))</f>
        <v>82.769230769230774</v>
      </c>
      <c r="CT21" s="890">
        <f>IF($B21&lt;1,"",AVERAGEIF('09월 에너지'!$A$14:$A$949,$A21,'09월 에너지'!AG$14:AG$949))</f>
        <v>65.538461538461533</v>
      </c>
      <c r="CU21" s="890">
        <f>IF($B21&lt;1,"",AVERAGEIF('09월 에너지'!$A$14:$A$949,$A21,'09월 에너지'!AH$14:AH$949))</f>
        <v>7.5769230769230766</v>
      </c>
      <c r="CV21" s="890">
        <f>IF($B21&lt;1,"",AVERAGEIF('09월 에너지'!$A$14:$A$949,$A21,'09월 에너지'!AI$14:AI$949))</f>
        <v>155.88461538461539</v>
      </c>
      <c r="CW21" s="893">
        <f>IF($B21&lt;1,"",AVERAGEIF('09월 에너지'!$A$14:$A$949,$A21,'09월 에너지'!AJ$14:AJ$949))</f>
        <v>1.1157562375650412</v>
      </c>
    </row>
    <row r="22" spans="1:101" ht="15.75" customHeight="1">
      <c r="A22" s="883">
        <f t="shared" si="1"/>
        <v>46283</v>
      </c>
      <c r="B22" s="884">
        <f>COUNTIF('09월 조업일지'!$A$12:$A$952,A22)</f>
        <v>22</v>
      </c>
      <c r="C22" s="885">
        <f t="shared" si="0"/>
        <v>49.181818181818201</v>
      </c>
      <c r="D22" s="885">
        <f>IF($B22&lt;1,"",(SUMIF('09월 조업일지'!$A$12:$A$952,$A22,'09월 조업일지'!$K$12:$K$952))/B22)</f>
        <v>21.863636363636363</v>
      </c>
      <c r="E22" s="885">
        <f>IF($B22&lt;1,"",AVERAGEIF('09월 조업일지'!$A$12:$A$952,$A22,'09월 조업일지'!$J$12:$J$952))</f>
        <v>71.045454545454561</v>
      </c>
      <c r="F22" s="886">
        <f>IF($B22&lt;1,"",AVERAGEIF('09월 에너지'!$A$14:$A$949,$A22,'09월 에너지'!$M$14:M$949))</f>
        <v>46.822727272727278</v>
      </c>
      <c r="G22" s="887">
        <f>IF($B22&lt;1,"",AVERAGEIF('09월 조업일지'!$A$12:$A$952,$A22,'09월 조업일지'!$AJ$12:$AJ$952))</f>
        <v>13.318181818181818</v>
      </c>
      <c r="H22" s="887">
        <f>IF($B22&lt;1,"",AVERAGEIF('09월 조업일지'!$A$12:$A$952,$A22,'09월 조업일지'!$AL$12:$AL$952))</f>
        <v>11.333333333333334</v>
      </c>
      <c r="I22" s="888">
        <f>IF($B22&lt;1,"",AVERAGEIF('09월 화학성분'!$A$12:$A$949,$A22,'09월 화학성분'!G$12:G$949))</f>
        <v>14.318181818181818</v>
      </c>
      <c r="J22" s="888">
        <f>IF($B22&lt;1,"",AVERAGEIF('09월 화학성분'!$A$12:$A$949,$A22,'09월 화학성분'!H$12:H$949))</f>
        <v>15.818181818181818</v>
      </c>
      <c r="K22" s="888">
        <f>IF($B22&lt;1,"",AVERAGEIF('09월 화학성분'!$A$12:$A$949,$A22,'09월 화학성분'!I$12:I$949))</f>
        <v>52.136363636363633</v>
      </c>
      <c r="L22" s="888">
        <f>IF($B22&lt;1,"",AVERAGEIF('09월 화학성분'!$A$12:$A$949,$A22,'09월 화학성분'!J$12:J$949))</f>
        <v>15.681818181818182</v>
      </c>
      <c r="M22" s="888">
        <f>IF($B22&lt;1,"",AVERAGEIF('09월 화학성분'!$A$12:$A$949,$A22,'09월 화학성분'!K$12:K$949))</f>
        <v>33.136363636363633</v>
      </c>
      <c r="N22" s="888">
        <f>IF($B22&lt;1,"",AVERAGEIF('09월 화학성분'!$A$12:$A$949,$A22,'09월 화학성분'!L$12:L$949))</f>
        <v>11.318181818181818</v>
      </c>
      <c r="O22" s="888">
        <f>IF($B22&lt;1,"",AVERAGEIF('09월 화학성분'!$A$12:$A$949,$A22,'09월 화학성분'!M$12:M$949))</f>
        <v>9.2272727272727266</v>
      </c>
      <c r="P22" s="889">
        <f>IF($B22&lt;1,"",AVERAGEIF('09월 조업일지'!$A$12:$A$952,$A22,'09월 조업일지'!$AK$12:$AK$952))</f>
        <v>446.28571428571428</v>
      </c>
      <c r="Q22" s="888">
        <f>IF($B22&lt;1,"",AVERAGEIF('09월 화학성분'!$A$12:$A$949,$A22,'09월 화학성분'!$G$12:$G$949))</f>
        <v>14.318181818181818</v>
      </c>
      <c r="R22" s="889">
        <f>IF($B22&lt;1,"",AVERAGEIF('09월 조업일지'!$A$12:$A$952,$A22,'09월 조업일지'!$AI$12:$AI$952))</f>
        <v>1568.590909090909</v>
      </c>
      <c r="S22" s="888">
        <f>IF($B22&lt;1,"",AVERAGEIF('09월 화학성분'!$A$12:$A$949,$A22,'09월 화학성분'!$AM$12:$AM$949))</f>
        <v>2172.0454545454545</v>
      </c>
      <c r="T22" s="890">
        <f>IF($B22&lt;1,"",AVERAGEIF('09월 화학성분'!$A$12:$A$949,$A22,'09월 화학성분'!N$12:N$949))</f>
        <v>429.90909090909093</v>
      </c>
      <c r="U22" s="890" t="e">
        <f>IF($B22&lt;1,"",AVERAGEIF('09월 화학성분'!$A$12:$A$949,$A22,'09월 화학성분'!O$12:O$949))</f>
        <v>#DIV/0!</v>
      </c>
      <c r="V22" s="890">
        <f>IF($B22&lt;1,"",AVERAGEIF('09월 화학성분'!$A$12:$A$949,$A22,'09월 화학성분'!P$12:P$949))</f>
        <v>1123.4545454545455</v>
      </c>
      <c r="W22" s="890">
        <f>IF($B22&lt;1,"",AVERAGEIF('09월 화학성분'!$A$12:$A$949,$A22,'09월 화학성분'!Q$12:Q$949))</f>
        <v>956.77272727272725</v>
      </c>
      <c r="X22" s="890" t="e">
        <f>IF($B22&lt;1,"",AVERAGEIF('09월 화학성분'!$A$12:$A$949,$A22,'09월 화학성분'!R$12:R$949))</f>
        <v>#DIV/0!</v>
      </c>
      <c r="Y22" s="890" t="e">
        <f>IF($B22&lt;1,"",AVERAGEIF('09월 화학성분'!$A$12:$A$949,$A22,'09월 화학성분'!U$12:U$949))</f>
        <v>#DIV/0!</v>
      </c>
      <c r="Z22" s="890">
        <f>IF($B22&lt;1,"",AVERAGEIF('09월 화학성분'!$A$12:$A$949,$A22,'09월 화학성분'!V$12:V$949))</f>
        <v>435.13636363636363</v>
      </c>
      <c r="AA22" s="890" t="e">
        <f>IF($B22&lt;1,"",AVERAGEIF('09월 화학성분'!$A$12:$A$949,$A22,'09월 화학성분'!W$12:W$949))</f>
        <v>#DIV/0!</v>
      </c>
      <c r="AB22" s="890" t="e">
        <f>IF($B22&lt;1,"",AVERAGEIF('09월 화학성분'!$A$12:$A$949,$A22,'09월 화학성분'!AA$12:AA$949))</f>
        <v>#DIV/0!</v>
      </c>
      <c r="AC22" s="890" t="e">
        <f>IF($B22&lt;1,"",AVERAGEIF('09월 화학성분'!$A$12:$A$949,$A22,'09월 화학성분'!#REF!))</f>
        <v>#REF!</v>
      </c>
      <c r="AD22" s="890">
        <f>IF($B22&lt;1,"",AVERAGEIF('09월 화학성분'!$A$12:$A$949,$A22,'09월 화학성분'!AB$12:AB$949))</f>
        <v>65.571428571428569</v>
      </c>
      <c r="AE22" s="890" t="e">
        <f>IF($B22&lt;1,"",AVERAGEIF('09월 화학성분'!$A$12:$A$949,$A22,'09월 화학성분'!AC$12:AC$949))</f>
        <v>#DIV/0!</v>
      </c>
      <c r="AF22" s="890">
        <f>IF($B22&lt;1,"",AVERAGEIF('09월 화학성분'!$A$12:$A$949,$A22,'09월 화학성분'!AD$12:AD$949))</f>
        <v>250.31818181818181</v>
      </c>
      <c r="AG22" s="890">
        <f>IF($B22&lt;1,"",AVERAGEIF('09월 화학성분'!$A$12:$A$949,$A22,'09월 화학성분'!AF$12:AF$949))</f>
        <v>93.666666666666671</v>
      </c>
      <c r="AH22" s="890">
        <f>IF($B22&lt;1,"",AVERAGEIF('09월 화학성분'!$A$12:$A$949,$A22,'09월 화학성분'!AG$12:AG$949))</f>
        <v>0</v>
      </c>
      <c r="AI22" s="890">
        <f>IF($B22&lt;1,"",AVERAGEIF('09월 화학성분'!$A$12:$A$949,$A22,'09월 화학성분'!AH$12:AH$949))</f>
        <v>768.27272727272725</v>
      </c>
      <c r="AJ22" s="890">
        <f>IF($B22&lt;1,"",AVERAGEIF('09월 화학성분'!$A$12:$A$949,$A22,'09월 화학성분'!AI$12:AI$949))</f>
        <v>185.59090909090909</v>
      </c>
      <c r="AK22" s="890">
        <f>IF($B22&lt;1,"",AVERAGEIF('09월 화학성분'!$A$12:$A$949,$A22,'09월 화학성분'!AJ$12:AJ$949))</f>
        <v>0</v>
      </c>
      <c r="AL22" s="890" t="e">
        <f>IF($B22&lt;1,"",AVERAGEIF('09월 화학성분'!$A$12:$A$949,$A22,'09월 화학성분'!#REF!))</f>
        <v>#REF!</v>
      </c>
      <c r="AM22" s="890">
        <f>IF($B22&lt;1,"",AVERAGEIF('09월 화학성분'!$A$12:$A$949,$A22,'09월 화학성분'!AL$12:AL$949))</f>
        <v>141.23809523809524</v>
      </c>
      <c r="AN22" s="890">
        <f>IF($B22&lt;1,"",AVERAGEIF('09월 화학성분'!$A$12:$A$949,$A22,'09월 화학성분'!AM$12:AM$949))</f>
        <v>2172.0454545454545</v>
      </c>
      <c r="AO22" s="891">
        <f>IF($B22&lt;1,"",AVERAGEIF('09월 화학성분'!$A$12:$A$949,$A22,'09월 화학성분'!AN$12:AN$949))</f>
        <v>0.60065671195097048</v>
      </c>
      <c r="AP22" s="891">
        <f>IF($B22&lt;1,"",AVERAGEIF('09월 화학성분'!$A$12:$A$949,$A22,'09월 화학성분'!AO$12:AO$949))</f>
        <v>0.99497278992568028</v>
      </c>
      <c r="AQ22" s="890">
        <f>IF($B22&lt;1,"",AVERAGEIF('09월 화학성분'!$A$12:$A$949,$A22,'09월 화학성분'!AP$12:AP$949))</f>
        <v>144.29999999999998</v>
      </c>
      <c r="AR22" s="890">
        <f>IF($B22&lt;1,"",AVERAGEIF('09월 고철장입'!$A$14:$A$949,$A22,'09월 고철장입'!G$14:G$949)/1000)</f>
        <v>0</v>
      </c>
      <c r="AS22" s="890">
        <f>IF($B22&lt;1,"",AVERAGEIF('09월 고철장입'!$A$14:$A$949,$A22,'09월 고철장입'!H$14:H$949)/1000)</f>
        <v>0</v>
      </c>
      <c r="AT22" s="890">
        <f>IF($B22&lt;1,"",AVERAGEIF('09월 고철장입'!$A$14:$A$949,$A22,'09월 고철장입'!I$14:I$949)/1000)</f>
        <v>6.0380952380952388</v>
      </c>
      <c r="AU22" s="890">
        <f>IF($B22&lt;1,"",AVERAGEIF('09월 고철장입'!$A$14:$A$949,$A22,'09월 고철장입'!J$14:J$949)/1000)</f>
        <v>0</v>
      </c>
      <c r="AV22" s="890">
        <f>IF($B22&lt;1,"",AVERAGEIF('09월 고철장입'!$A$14:$A$949,$A22,'09월 고철장입'!K$14:K$949)/1000)</f>
        <v>0</v>
      </c>
      <c r="AW22" s="890">
        <f>IF($B22&lt;1,"",AVERAGEIF('09월 고철장입'!$A$14:$A$949,$A22,'09월 고철장입'!L$14:L$949)/1000)</f>
        <v>0</v>
      </c>
      <c r="AX22" s="890">
        <f>IF($B22&lt;1,"",AVERAGEIF('09월 고철장입'!$A$14:$A$949,$A22,'09월 고철장입'!M$14:M$949)/1000)</f>
        <v>0</v>
      </c>
      <c r="AY22" s="890">
        <f>IF($B22&lt;1,"",AVERAGEIF('09월 고철장입'!$A$14:$A$949,$A22,'09월 고철장입'!N$14:N$949)/1000)</f>
        <v>0</v>
      </c>
      <c r="AZ22" s="890">
        <f>IF($B22&lt;1,"",AVERAGEIF('09월 고철장입'!$A$14:$A$949,$A22,'09월 고철장입'!O$14:O$949)/1000)</f>
        <v>6.0380952380952388</v>
      </c>
      <c r="BA22" s="890">
        <f>IF($B22&lt;1,"",AVERAGEIF('09월 고철장입'!$A$14:$A$949,$A22,'09월 고철장입'!P$14:P$949)/1000)</f>
        <v>19.895454545454545</v>
      </c>
      <c r="BB22" s="890">
        <f>IF($B22&lt;1,"",AVERAGEIF('09월 고철장입'!$A$14:$A$949,$A22,'09월 고철장입'!Q$14:Q$949)/1000)</f>
        <v>18.327272727272728</v>
      </c>
      <c r="BC22" s="890">
        <f>IF($B22&lt;1,"",AVERAGEIF('09월 고철장입'!$A$14:$A$949,$A22,'09월 고철장입'!S$14:S$949)/1000)</f>
        <v>0</v>
      </c>
      <c r="BD22" s="890">
        <f>IF($B22&lt;1,"",AVERAGEIF('09월 고철장입'!$A$14:$A$949,$A22,'09월 고철장입'!T$14:T$949)/1000)</f>
        <v>0</v>
      </c>
      <c r="BE22" s="890">
        <f>IF($B22&lt;1,"",AVERAGEIF('09월 고철장입'!$A$14:$A$949,$A22,'09월 고철장입'!U$14:U$949)/1000)</f>
        <v>12.804545454545455</v>
      </c>
      <c r="BF22" s="890">
        <f>IF($B22&lt;1,"",AVERAGEIF('09월 고철장입'!$A$14:$A$949,$A22,'09월 고철장입'!V$14:V$949)/1000)</f>
        <v>33.077272727272728</v>
      </c>
      <c r="BG22" s="890">
        <f>IF($B22&lt;1,"",AVERAGEIF('09월 고철장입'!$A$14:$A$949,$A22,'09월 고철장입'!W$14:W$949)/1000)</f>
        <v>3.0476190476190479</v>
      </c>
      <c r="BH22" s="890">
        <f>IF($B22&lt;1,"",AVERAGEIF('09월 고철장입'!$A$14:$A$949,$A22,'09월 고철장입'!Y$14:Y$949)/1000)</f>
        <v>19.459090909090907</v>
      </c>
      <c r="BI22" s="890">
        <f>IF($B22&lt;1,"",AVERAGEIF('09월 고철장입'!$A$14:$A$949,$A22,'09월 고철장입'!AB$14:AB$949)/1000)</f>
        <v>3.7428571428571429</v>
      </c>
      <c r="BJ22" s="890">
        <f>IF($B22&lt;1,"",AVERAGEIF('09월 고철장입'!$A$14:$A$949,$A22,'09월 고철장입'!AC$14:AC$949)/1000)</f>
        <v>3.4095238095238098</v>
      </c>
      <c r="BK22" s="890">
        <f>IF($B22&lt;1,"",AVERAGEIF('09월 고철장입'!$A$14:$A$949,$A22,'09월 고철장입'!AD$14:AD$949)/1000)</f>
        <v>0.8125</v>
      </c>
      <c r="BL22" s="890">
        <f>IF($B22&lt;1,"",AVERAGEIF('09월 고철장입'!$A$14:$A$949,$A22,'09월 고철장입'!AE$14:AE$949)/1000)</f>
        <v>131.5090909090909</v>
      </c>
      <c r="BM22" s="890">
        <f>IF($B22&lt;1,"",AVERAGEIF('09월 고철장입'!$A$14:$A$949,$A22,'09월 고철장입'!AF$14:AF$949)/1000)</f>
        <v>4.877272727272727</v>
      </c>
      <c r="BN22" s="890">
        <f>IF($B22&lt;1,"",AVERAGEIF('09월 고철장입'!$A$14:$A$949,$A22,'09월 고철장입'!AG$14:AG$949)/1000)</f>
        <v>8.15</v>
      </c>
      <c r="BO22" s="890">
        <f>IF($B22&lt;1,"",AVERAGEIF('09월 고철장입'!$A$14:$A$949,$A22,'09월 고철장입'!AH$14:AH$949)/1000)</f>
        <v>7.3590909090909093</v>
      </c>
      <c r="BP22" s="890">
        <f>IF($B22&lt;1,"",AVERAGEIF('09월 고철장입'!$A$14:$A$949,$A22,'09월 고철장입'!AI$14:AI$949)/1000)</f>
        <v>20.386363636363637</v>
      </c>
      <c r="BQ22" s="890">
        <f>IF($B22&lt;1,"",AVERAGEIF('09월 고철장입'!$A$14:$A$949,$A22,'09월 고철장입'!AJ$14:AJ$949)/1000)</f>
        <v>157.65909090909091</v>
      </c>
      <c r="BR22" s="890">
        <f>IF($B22&lt;1,"",AVERAGEIF('09월 고철장입'!$A$14:$A$949,$A22,'09월 고철장입'!AK$14:AK$949))</f>
        <v>144.29999999999998</v>
      </c>
      <c r="BS22" s="890">
        <f>IF($B22&lt;1,"",AVERAGEIF('09월 고철장입'!$A$14:$A$949,$A22,'09월 고철장입'!AL$14:AL$949)*100)</f>
        <v>91.534891328496542</v>
      </c>
      <c r="BT22" s="890">
        <f>IF($B22&lt;1,"",AVERAGEIF('09월 에너지'!$A$14:$A$949,$A22,'09월 에너지'!G$14:G$949))</f>
        <v>19.995454545454546</v>
      </c>
      <c r="BU22" s="892">
        <f>IF($B22&lt;1,"",AVERAGEIF('09월 에너지'!$A$14:$A$949,$A22,'09월 에너지'!H$14:H$949))</f>
        <v>24618.18181818182</v>
      </c>
      <c r="BV22" s="890">
        <f>IF($B22&lt;1,"",AVERAGEIF('09월 에너지'!$A$14:$A$949,$A22,'09월 에너지'!I$14:I$949))</f>
        <v>16.918181818181822</v>
      </c>
      <c r="BW22" s="892">
        <f>IF($B22&lt;1,"",AVERAGEIF('09월 에너지'!$A$14:$A$949,$A22,'09월 에너지'!J$14:J$949))</f>
        <v>20686.363636363636</v>
      </c>
      <c r="BX22" s="890">
        <f>IF($B22&lt;1,"",AVERAGEIF('09월 에너지'!$A$14:$A$949,$A22,'09월 에너지'!K$14:K$949))</f>
        <v>9.9090909090909101</v>
      </c>
      <c r="BY22" s="892">
        <f>IF($B22&lt;1,"",AVERAGEIF('09월 에너지'!$A$14:$A$949,$A22,'09월 에너지'!L$14:L$949))</f>
        <v>12990.90909090909</v>
      </c>
      <c r="BZ22" s="890">
        <f>IF($B22&lt;1,"",AVERAGEIF('09월 에너지'!$A$14:$A$949,$A22,'09월 에너지'!M$14:M$949))</f>
        <v>46.822727272727278</v>
      </c>
      <c r="CA22" s="892">
        <f>IF($B22&lt;1,"",AVERAGEIF('09월 에너지'!$A$14:$A$949,$A22,'09월 에너지'!N$14:N$949))</f>
        <v>58295.454545454544</v>
      </c>
      <c r="CB22" s="890">
        <f>IF($B22&lt;1,"",AVERAGEIF('09월 에너지'!$A$14:$A$949,$A22,'09월 에너지'!O$14:O$949))</f>
        <v>171.5636367288341</v>
      </c>
      <c r="CC22" s="890">
        <f>IF($B22&lt;1,"",AVERAGEIF('09월 에너지'!$A$14:$A$949,$A22,'09월 에너지'!P$14:P$949))</f>
        <v>143.4884044523516</v>
      </c>
      <c r="CD22" s="890">
        <f>IF($B22&lt;1,"",AVERAGEIF('09월 에너지'!$A$14:$A$949,$A22,'09월 에너지'!Q$14:Q$949))</f>
        <v>90.3938117884165</v>
      </c>
      <c r="CE22" s="890">
        <f>IF($B22&lt;1,"",AVERAGEIF('09월 에너지'!$A$14:$A$949,$A22,'09월 에너지'!R$14:R$949))</f>
        <v>405.4458529696023</v>
      </c>
      <c r="CF22" s="890">
        <f>IF($B22&lt;1,"",AVERAGEIF('09월 에너지'!$A$14:$A$949,$A22,'09월 에너지'!S$14:S$949))</f>
        <v>144.29999999999998</v>
      </c>
      <c r="CG22" s="890">
        <f>IF($B22&lt;1,"",AVERAGEIF('09월 에너지'!$A$14:$A$949,$A22,'09월 에너지'!T$14:T$949))</f>
        <v>0</v>
      </c>
      <c r="CH22" s="890">
        <f>IF($B22&lt;1,"",AVERAGEIF('09월 에너지'!$A$14:$A$949,$A22,'09월 에너지'!U$14:U$949))</f>
        <v>114.68181818181819</v>
      </c>
      <c r="CI22" s="892">
        <f>IF($B22&lt;1,"",AVERAGEIF('09월 에너지'!$A$14:$A$949,$A22,'09월 에너지'!V$14:V$949))</f>
        <v>235.81818181818181</v>
      </c>
      <c r="CJ22" s="892">
        <f>IF($B22&lt;1,"",AVERAGEIF('09월 에너지'!$A$14:$A$949,$A22,'09월 에너지'!W$14:W$949))</f>
        <v>350.5</v>
      </c>
      <c r="CK22" s="890">
        <f>IF($B22&lt;1,"",AVERAGEIF('09월 에너지'!$A$14:$A$949,$A22,'09월 에너지'!X$14:X$949))</f>
        <v>2.4286826277621918</v>
      </c>
      <c r="CL22" s="892">
        <f>IF($B22&lt;1,"",AVERAGEIF('09월 에너지'!$A$14:$A$949,$A22,'09월 에너지'!Y$14:Y$949))</f>
        <v>1616.0454545454545</v>
      </c>
      <c r="CM22" s="892">
        <f>IF($B22&lt;1,"",AVERAGEIF('09월 에너지'!$A$14:$A$949,$A22,'09월 에너지'!Z$14:Z$949))</f>
        <v>1425.2727272727273</v>
      </c>
      <c r="CN22" s="892">
        <f>IF($B22&lt;1,"",AVERAGEIF('09월 에너지'!$A$14:$A$949,$A22,'09월 에너지'!AA$14:AA$949))</f>
        <v>809.90909090909088</v>
      </c>
      <c r="CO22" s="892">
        <f>IF($B22&lt;1,"",AVERAGEIF('09월 에너지'!$A$14:$A$949,$A22,'09월 에너지'!AB$14:AB$949))</f>
        <v>3851.2272727272725</v>
      </c>
      <c r="CP22" s="890">
        <f>IF($B22&lt;1,"",AVERAGEIF('09월 에너지'!$A$14:$A$949,$A22,'09월 에너지'!AC$14:AC$949))</f>
        <v>26.7097677056884</v>
      </c>
      <c r="CQ22" s="888">
        <f>IF($B22&lt;1,"",AVERAGEIF('09월 에너지'!$A$14:$A$949,$A22,'09월 에너지'!AD$14:AD$949))</f>
        <v>4201.727272727273</v>
      </c>
      <c r="CR22" s="888">
        <f>IF($B22&lt;1,"",AVERAGEIF('09월 에너지'!$A$14:$A$949,$A22,'09월 에너지'!AE$14:AE$949))</f>
        <v>29.138450333450592</v>
      </c>
      <c r="CS22" s="890">
        <f>IF($B22&lt;1,"",AVERAGEIF('09월 에너지'!$A$14:$A$949,$A22,'09월 에너지'!AF$14:AF$949))</f>
        <v>80.318181818181813</v>
      </c>
      <c r="CT22" s="890">
        <f>IF($B22&lt;1,"",AVERAGEIF('09월 에너지'!$A$14:$A$949,$A22,'09월 에너지'!AG$14:AG$949))</f>
        <v>63.954545454545453</v>
      </c>
      <c r="CU22" s="890">
        <f>IF($B22&lt;1,"",AVERAGEIF('09월 에너지'!$A$14:$A$949,$A22,'09월 에너지'!AH$14:AH$949))</f>
        <v>6.8636363636363633</v>
      </c>
      <c r="CV22" s="890">
        <f>IF($B22&lt;1,"",AVERAGEIF('09월 에너지'!$A$14:$A$949,$A22,'09월 에너지'!AI$14:AI$949))</f>
        <v>151.13636363636363</v>
      </c>
      <c r="CW22" s="893">
        <f>IF($B22&lt;1,"",AVERAGEIF('09월 에너지'!$A$14:$A$949,$A22,'09월 에너지'!AJ$14:AJ$949))</f>
        <v>1.046706705609576</v>
      </c>
    </row>
    <row r="23" spans="1:101" ht="15.75" customHeight="1">
      <c r="A23" s="883">
        <f t="shared" si="1"/>
        <v>46284</v>
      </c>
      <c r="B23" s="884">
        <f>COUNTIF('09월 조업일지'!$A$12:$A$952,A23)</f>
        <v>30</v>
      </c>
      <c r="C23" s="885">
        <f t="shared" si="0"/>
        <v>47.3</v>
      </c>
      <c r="D23" s="885">
        <f>IF($B23&lt;1,"",(SUMIF('09월 조업일지'!$A$12:$A$952,$A23,'09월 조업일지'!$K$12:$K$952))/B23)</f>
        <v>0</v>
      </c>
      <c r="E23" s="885">
        <f>IF($B23&lt;1,"",AVERAGEIF('09월 조업일지'!$A$12:$A$952,$A23,'09월 조업일지'!$J$12:$J$952))</f>
        <v>47.3</v>
      </c>
      <c r="F23" s="886">
        <f>IF($B23&lt;1,"",AVERAGEIF('09월 에너지'!$A$14:$A$949,$A23,'09월 에너지'!$M$14:M$949))</f>
        <v>46.263333333333335</v>
      </c>
      <c r="G23" s="887">
        <f>IF($B23&lt;1,"",AVERAGEIF('09월 조업일지'!$A$12:$A$952,$A23,'09월 조업일지'!$AJ$12:$AJ$952))</f>
        <v>34.966666666666669</v>
      </c>
      <c r="H23" s="887">
        <f>IF($B23&lt;1,"",AVERAGEIF('09월 조업일지'!$A$12:$A$952,$A23,'09월 조업일지'!$AL$12:$AL$952))</f>
        <v>9.2666666666666675</v>
      </c>
      <c r="I23" s="888">
        <f>IF($B23&lt;1,"",AVERAGEIF('09월 화학성분'!$A$12:$A$949,$A23,'09월 화학성분'!G$12:G$949))</f>
        <v>12.666666666666666</v>
      </c>
      <c r="J23" s="888">
        <f>IF($B23&lt;1,"",AVERAGEIF('09월 화학성분'!$A$12:$A$949,$A23,'09월 화학성분'!H$12:H$949))</f>
        <v>18.666666666666668</v>
      </c>
      <c r="K23" s="888">
        <f>IF($B23&lt;1,"",AVERAGEIF('09월 화학성분'!$A$12:$A$949,$A23,'09월 화학성분'!I$12:I$949))</f>
        <v>64.966666666666669</v>
      </c>
      <c r="L23" s="888">
        <f>IF($B23&lt;1,"",AVERAGEIF('09월 화학성분'!$A$12:$A$949,$A23,'09월 화학성분'!J$12:J$949))</f>
        <v>16.566666666666666</v>
      </c>
      <c r="M23" s="888">
        <f>IF($B23&lt;1,"",AVERAGEIF('09월 화학성분'!$A$12:$A$949,$A23,'09월 화학성분'!K$12:K$949))</f>
        <v>38.833333333333336</v>
      </c>
      <c r="N23" s="888">
        <f>IF($B23&lt;1,"",AVERAGEIF('09월 화학성분'!$A$12:$A$949,$A23,'09월 화학성분'!L$12:L$949))</f>
        <v>13.533333333333333</v>
      </c>
      <c r="O23" s="888">
        <f>IF($B23&lt;1,"",AVERAGEIF('09월 화학성분'!$A$12:$A$949,$A23,'09월 화학성분'!M$12:M$949))</f>
        <v>9.8000000000000007</v>
      </c>
      <c r="P23" s="889">
        <f>IF($B23&lt;1,"",AVERAGEIF('09월 조업일지'!$A$12:$A$952,$A23,'09월 조업일지'!$AK$12:$AK$952))</f>
        <v>507.63333333333333</v>
      </c>
      <c r="Q23" s="888">
        <f>IF($B23&lt;1,"",AVERAGEIF('09월 화학성분'!$A$12:$A$949,$A23,'09월 화학성분'!$G$12:$G$949))</f>
        <v>12.666666666666666</v>
      </c>
      <c r="R23" s="889">
        <f>IF($B23&lt;1,"",AVERAGEIF('09월 조업일지'!$A$12:$A$952,$A23,'09월 조업일지'!$AI$12:$AI$952))</f>
        <v>1531.2333333333333</v>
      </c>
      <c r="S23" s="888">
        <f>IF($B23&lt;1,"",AVERAGEIF('09월 화학성분'!$A$12:$A$949,$A23,'09월 화학성분'!$AM$12:$AM$949))</f>
        <v>1855.1</v>
      </c>
      <c r="T23" s="890">
        <f>IF($B23&lt;1,"",AVERAGEIF('09월 화학성분'!$A$12:$A$949,$A23,'09월 화학성분'!N$12:N$949))</f>
        <v>416.93333333333334</v>
      </c>
      <c r="U23" s="890" t="e">
        <f>IF($B23&lt;1,"",AVERAGEIF('09월 화학성분'!$A$12:$A$949,$A23,'09월 화학성분'!O$12:O$949))</f>
        <v>#DIV/0!</v>
      </c>
      <c r="V23" s="890">
        <f>IF($B23&lt;1,"",AVERAGEIF('09월 화학성분'!$A$12:$A$949,$A23,'09월 화학성분'!P$12:P$949))</f>
        <v>1005.5333333333333</v>
      </c>
      <c r="W23" s="890">
        <f>IF($B23&lt;1,"",AVERAGEIF('09월 화학성분'!$A$12:$A$949,$A23,'09월 화학성분'!Q$12:Q$949))</f>
        <v>946.4</v>
      </c>
      <c r="X23" s="890" t="e">
        <f>IF($B23&lt;1,"",AVERAGEIF('09월 화학성분'!$A$12:$A$949,$A23,'09월 화학성분'!R$12:R$949))</f>
        <v>#DIV/0!</v>
      </c>
      <c r="Y23" s="890" t="e">
        <f>IF($B23&lt;1,"",AVERAGEIF('09월 화학성분'!$A$12:$A$949,$A23,'09월 화학성분'!U$12:U$949))</f>
        <v>#DIV/0!</v>
      </c>
      <c r="Z23" s="890">
        <f>IF($B23&lt;1,"",AVERAGEIF('09월 화학성분'!$A$12:$A$949,$A23,'09월 화학성분'!V$12:V$949))</f>
        <v>416.63333333333333</v>
      </c>
      <c r="AA23" s="890" t="e">
        <f>IF($B23&lt;1,"",AVERAGEIF('09월 화학성분'!$A$12:$A$949,$A23,'09월 화학성분'!W$12:W$949))</f>
        <v>#DIV/0!</v>
      </c>
      <c r="AB23" s="890" t="e">
        <f>IF($B23&lt;1,"",AVERAGEIF('09월 화학성분'!$A$12:$A$949,$A23,'09월 화학성분'!AA$12:AA$949))</f>
        <v>#DIV/0!</v>
      </c>
      <c r="AC23" s="890" t="e">
        <f>IF($B23&lt;1,"",AVERAGEIF('09월 화학성분'!$A$12:$A$949,$A23,'09월 화학성분'!#REF!))</f>
        <v>#REF!</v>
      </c>
      <c r="AD23" s="890">
        <f>IF($B23&lt;1,"",AVERAGEIF('09월 화학성분'!$A$12:$A$949,$A23,'09월 화학성분'!AB$12:AB$949))</f>
        <v>61.7</v>
      </c>
      <c r="AE23" s="890" t="e">
        <f>IF($B23&lt;1,"",AVERAGEIF('09월 화학성분'!$A$12:$A$949,$A23,'09월 화학성분'!AC$12:AC$949))</f>
        <v>#DIV/0!</v>
      </c>
      <c r="AF23" s="890">
        <f>IF($B23&lt;1,"",AVERAGEIF('09월 화학성분'!$A$12:$A$949,$A23,'09월 화학성분'!AD$12:AD$949))</f>
        <v>261.10000000000002</v>
      </c>
      <c r="AG23" s="890">
        <f>IF($B23&lt;1,"",AVERAGEIF('09월 화학성분'!$A$12:$A$949,$A23,'09월 화학성분'!AF$12:AF$949))</f>
        <v>93.666666666666671</v>
      </c>
      <c r="AH23" s="890">
        <f>IF($B23&lt;1,"",AVERAGEIF('09월 화학성분'!$A$12:$A$949,$A23,'09월 화학성분'!AG$12:AG$949))</f>
        <v>0</v>
      </c>
      <c r="AI23" s="890">
        <f>IF($B23&lt;1,"",AVERAGEIF('09월 화학성분'!$A$12:$A$949,$A23,'09월 화학성분'!AH$12:AH$949))</f>
        <v>1062.1333333333334</v>
      </c>
      <c r="AJ23" s="890">
        <f>IF($B23&lt;1,"",AVERAGEIF('09월 화학성분'!$A$12:$A$949,$A23,'09월 화학성분'!AI$12:AI$949))</f>
        <v>255.13333333333333</v>
      </c>
      <c r="AK23" s="890">
        <f>IF($B23&lt;1,"",AVERAGEIF('09월 화학성분'!$A$12:$A$949,$A23,'09월 화학성분'!AJ$12:AJ$949))</f>
        <v>0</v>
      </c>
      <c r="AL23" s="890" t="e">
        <f>IF($B23&lt;1,"",AVERAGEIF('09월 화학성분'!$A$12:$A$949,$A23,'09월 화학성분'!#REF!))</f>
        <v>#REF!</v>
      </c>
      <c r="AM23" s="890">
        <f>IF($B23&lt;1,"",AVERAGEIF('09월 화학성분'!$A$12:$A$949,$A23,'09월 화학성분'!AL$12:AL$949))</f>
        <v>132.19999999999999</v>
      </c>
      <c r="AN23" s="890">
        <f>IF($B23&lt;1,"",AVERAGEIF('09월 화학성분'!$A$12:$A$949,$A23,'09월 화학성분'!AM$12:AM$949))</f>
        <v>1855.1</v>
      </c>
      <c r="AO23" s="891">
        <f>IF($B23&lt;1,"",AVERAGEIF('09월 화학성분'!$A$12:$A$949,$A23,'09월 화학성분'!AN$12:AN$949))</f>
        <v>0.6472861073285644</v>
      </c>
      <c r="AP23" s="891">
        <f>IF($B23&lt;1,"",AVERAGEIF('09월 화학성분'!$A$12:$A$949,$A23,'09월 화학성분'!AO$12:AO$949))</f>
        <v>0.97393613736827889</v>
      </c>
      <c r="AQ23" s="890">
        <f>IF($B23&lt;1,"",AVERAGEIF('09월 화학성분'!$A$12:$A$949,$A23,'09월 화학성분'!AP$12:AP$949))</f>
        <v>144.38666666666663</v>
      </c>
      <c r="AR23" s="890">
        <f>IF($B23&lt;1,"",AVERAGEIF('09월 고철장입'!$A$14:$A$949,$A23,'09월 고철장입'!G$14:G$949)/1000)</f>
        <v>0</v>
      </c>
      <c r="AS23" s="890">
        <f>IF($B23&lt;1,"",AVERAGEIF('09월 고철장입'!$A$14:$A$949,$A23,'09월 고철장입'!H$14:H$949)/1000)</f>
        <v>0</v>
      </c>
      <c r="AT23" s="890">
        <f>IF($B23&lt;1,"",AVERAGEIF('09월 고철장입'!$A$14:$A$949,$A23,'09월 고철장입'!I$14:I$949)/1000)</f>
        <v>5.6033333333333326</v>
      </c>
      <c r="AU23" s="890">
        <f>IF($B23&lt;1,"",AVERAGEIF('09월 고철장입'!$A$14:$A$949,$A23,'09월 고철장입'!J$14:J$949)/1000)</f>
        <v>0</v>
      </c>
      <c r="AV23" s="890">
        <f>IF($B23&lt;1,"",AVERAGEIF('09월 고철장입'!$A$14:$A$949,$A23,'09월 고철장입'!K$14:K$949)/1000)</f>
        <v>0</v>
      </c>
      <c r="AW23" s="890">
        <f>IF($B23&lt;1,"",AVERAGEIF('09월 고철장입'!$A$14:$A$949,$A23,'09월 고철장입'!L$14:L$949)/1000)</f>
        <v>0</v>
      </c>
      <c r="AX23" s="890">
        <f>IF($B23&lt;1,"",AVERAGEIF('09월 고철장입'!$A$14:$A$949,$A23,'09월 고철장입'!M$14:M$949)/1000)</f>
        <v>0</v>
      </c>
      <c r="AY23" s="890">
        <f>IF($B23&lt;1,"",AVERAGEIF('09월 고철장입'!$A$14:$A$949,$A23,'09월 고철장입'!N$14:N$949)/1000)</f>
        <v>0</v>
      </c>
      <c r="AZ23" s="890">
        <f>IF($B23&lt;1,"",AVERAGEIF('09월 고철장입'!$A$14:$A$949,$A23,'09월 고철장입'!O$14:O$949)/1000)</f>
        <v>5.6033333333333326</v>
      </c>
      <c r="BA23" s="890">
        <f>IF($B23&lt;1,"",AVERAGEIF('09월 고철장입'!$A$14:$A$949,$A23,'09월 고철장입'!P$14:P$949)/1000)</f>
        <v>15.906666666666666</v>
      </c>
      <c r="BB23" s="890">
        <f>IF($B23&lt;1,"",AVERAGEIF('09월 고철장입'!$A$14:$A$949,$A23,'09월 고철장입'!Q$14:Q$949)/1000)</f>
        <v>15.1</v>
      </c>
      <c r="BC23" s="890">
        <f>IF($B23&lt;1,"",AVERAGEIF('09월 고철장입'!$A$14:$A$949,$A23,'09월 고철장입'!S$14:S$949)/1000)</f>
        <v>0</v>
      </c>
      <c r="BD23" s="890">
        <f>IF($B23&lt;1,"",AVERAGEIF('09월 고철장입'!$A$14:$A$949,$A23,'09월 고철장입'!T$14:T$949)/1000)</f>
        <v>0</v>
      </c>
      <c r="BE23" s="890">
        <f>IF($B23&lt;1,"",AVERAGEIF('09월 고철장입'!$A$14:$A$949,$A23,'09월 고철장입'!U$14:U$949)/1000)</f>
        <v>13.193333333333333</v>
      </c>
      <c r="BF23" s="890">
        <f>IF($B23&lt;1,"",AVERAGEIF('09월 고철장입'!$A$14:$A$949,$A23,'09월 고철장입'!V$14:V$949)/1000)</f>
        <v>40.426666666666662</v>
      </c>
      <c r="BG23" s="890">
        <f>IF($B23&lt;1,"",AVERAGEIF('09월 고철장입'!$A$14:$A$949,$A23,'09월 고철장입'!W$14:W$949)/1000)</f>
        <v>3.0733333333333337</v>
      </c>
      <c r="BH23" s="890">
        <f>IF($B23&lt;1,"",AVERAGEIF('09월 고철장입'!$A$14:$A$949,$A23,'09월 고철장입'!Y$14:Y$949)/1000)</f>
        <v>22.66</v>
      </c>
      <c r="BI23" s="890">
        <f>IF($B23&lt;1,"",AVERAGEIF('09월 고철장입'!$A$14:$A$949,$A23,'09월 고철장입'!AB$14:AB$949)/1000)</f>
        <v>3.3633333333333333</v>
      </c>
      <c r="BJ23" s="890">
        <f>IF($B23&lt;1,"",AVERAGEIF('09월 고철장입'!$A$14:$A$949,$A23,'09월 고철장입'!AC$14:AC$949)/1000)</f>
        <v>2.93</v>
      </c>
      <c r="BK23" s="890">
        <f>IF($B23&lt;1,"",AVERAGEIF('09월 고철장입'!$A$14:$A$949,$A23,'09월 고철장입'!AD$14:AD$949)/1000)</f>
        <v>0</v>
      </c>
      <c r="BL23" s="890">
        <f>IF($B23&lt;1,"",AVERAGEIF('09월 고철장입'!$A$14:$A$949,$A23,'09월 고철장입'!AE$14:AE$949)/1000)</f>
        <v>133.63999999999999</v>
      </c>
      <c r="BM23" s="890">
        <f>IF($B23&lt;1,"",AVERAGEIF('09월 고철장입'!$A$14:$A$949,$A23,'09월 고철장입'!AF$14:AF$949)/1000)</f>
        <v>4.1466666666666674</v>
      </c>
      <c r="BN23" s="890">
        <f>IF($B23&lt;1,"",AVERAGEIF('09월 고철장입'!$A$14:$A$949,$A23,'09월 고철장입'!AG$14:AG$949)/1000)</f>
        <v>8.9655172413793096</v>
      </c>
      <c r="BO23" s="890">
        <f>IF($B23&lt;1,"",AVERAGEIF('09월 고철장입'!$A$14:$A$949,$A23,'09월 고철장입'!AH$14:AH$949)/1000)</f>
        <v>6.73</v>
      </c>
      <c r="BP23" s="890">
        <f>IF($B23&lt;1,"",AVERAGEIF('09월 고철장입'!$A$14:$A$949,$A23,'09월 고철장입'!AI$14:AI$949)/1000)</f>
        <v>19.543333333333333</v>
      </c>
      <c r="BQ23" s="890">
        <f>IF($B23&lt;1,"",AVERAGEIF('09월 고철장입'!$A$14:$A$949,$A23,'09월 고철장입'!AJ$14:AJ$949)/1000)</f>
        <v>158.78666666666666</v>
      </c>
      <c r="BR23" s="890">
        <f>IF($B23&lt;1,"",AVERAGEIF('09월 고철장입'!$A$14:$A$949,$A23,'09월 고철장입'!AK$14:AK$949))</f>
        <v>144.38666666666663</v>
      </c>
      <c r="BS23" s="890">
        <f>IF($B23&lt;1,"",AVERAGEIF('09월 고철장입'!$A$14:$A$949,$A23,'09월 고철장입'!AL$14:AL$949)*100)</f>
        <v>90.93636546761303</v>
      </c>
      <c r="BT23" s="890">
        <f>IF($B23&lt;1,"",AVERAGEIF('09월 에너지'!$A$14:$A$949,$A23,'09월 에너지'!G$14:G$949))</f>
        <v>19.50333333333333</v>
      </c>
      <c r="BU23" s="892">
        <f>IF($B23&lt;1,"",AVERAGEIF('09월 에너지'!$A$14:$A$949,$A23,'09월 에너지'!H$14:H$949))</f>
        <v>23226.666666666668</v>
      </c>
      <c r="BV23" s="890">
        <f>IF($B23&lt;1,"",AVERAGEIF('09월 에너지'!$A$14:$A$949,$A23,'09월 에너지'!I$14:I$949))</f>
        <v>16.866666666666667</v>
      </c>
      <c r="BW23" s="892">
        <f>IF($B23&lt;1,"",AVERAGEIF('09월 에너지'!$A$14:$A$949,$A23,'09월 에너지'!J$14:J$949))</f>
        <v>20646.666666666668</v>
      </c>
      <c r="BX23" s="890">
        <f>IF($B23&lt;1,"",AVERAGEIF('09월 에너지'!$A$14:$A$949,$A23,'09월 에너지'!K$14:K$949))</f>
        <v>9.8933333333333362</v>
      </c>
      <c r="BY23" s="892">
        <f>IF($B23&lt;1,"",AVERAGEIF('09월 에너지'!$A$14:$A$949,$A23,'09월 에너지'!L$14:L$949))</f>
        <v>12130</v>
      </c>
      <c r="BZ23" s="890">
        <f>IF($B23&lt;1,"",AVERAGEIF('09월 에너지'!$A$14:$A$949,$A23,'09월 에너지'!M$14:M$949))</f>
        <v>46.263333333333335</v>
      </c>
      <c r="CA23" s="892">
        <f>IF($B23&lt;1,"",AVERAGEIF('09월 에너지'!$A$14:$A$949,$A23,'09월 에너지'!N$14:N$949))</f>
        <v>56003.333333333336</v>
      </c>
      <c r="CB23" s="890">
        <f>IF($B23&lt;1,"",AVERAGEIF('09월 에너지'!$A$14:$A$949,$A23,'09월 에너지'!O$14:O$949))</f>
        <v>160.90478695849146</v>
      </c>
      <c r="CC23" s="890">
        <f>IF($B23&lt;1,"",AVERAGEIF('09월 에너지'!$A$14:$A$949,$A23,'09월 에너지'!P$14:P$949))</f>
        <v>143.02904589360438</v>
      </c>
      <c r="CD23" s="890">
        <f>IF($B23&lt;1,"",AVERAGEIF('09월 에너지'!$A$14:$A$949,$A23,'09월 에너지'!Q$14:Q$949))</f>
        <v>83.951199826005379</v>
      </c>
      <c r="CE23" s="890">
        <f>IF($B23&lt;1,"",AVERAGEIF('09월 에너지'!$A$14:$A$949,$A23,'09월 에너지'!R$14:R$949))</f>
        <v>387.88503267810137</v>
      </c>
      <c r="CF23" s="890">
        <f>IF($B23&lt;1,"",AVERAGEIF('09월 에너지'!$A$14:$A$949,$A23,'09월 에너지'!S$14:S$949))</f>
        <v>144.38666666666663</v>
      </c>
      <c r="CG23" s="890">
        <f>IF($B23&lt;1,"",AVERAGEIF('09월 에너지'!$A$14:$A$949,$A23,'09월 에너지'!T$14:T$949))</f>
        <v>0</v>
      </c>
      <c r="CH23" s="890">
        <f>IF($B23&lt;1,"",AVERAGEIF('09월 에너지'!$A$14:$A$949,$A23,'09월 에너지'!U$14:U$949))</f>
        <v>77.5</v>
      </c>
      <c r="CI23" s="892">
        <f>IF($B23&lt;1,"",AVERAGEIF('09월 에너지'!$A$14:$A$949,$A23,'09월 에너지'!V$14:V$949))</f>
        <v>292.60000000000002</v>
      </c>
      <c r="CJ23" s="892">
        <f>IF($B23&lt;1,"",AVERAGEIF('09월 에너지'!$A$14:$A$949,$A23,'09월 에너지'!W$14:W$949))</f>
        <v>370.1</v>
      </c>
      <c r="CK23" s="890">
        <f>IF($B23&lt;1,"",AVERAGEIF('09월 에너지'!$A$14:$A$949,$A23,'09월 에너지'!X$14:X$949))</f>
        <v>2.5622491672721059</v>
      </c>
      <c r="CL23" s="892">
        <f>IF($B23&lt;1,"",AVERAGEIF('09월 에너지'!$A$14:$A$949,$A23,'09월 에너지'!Y$14:Y$949))</f>
        <v>1607.6333333333334</v>
      </c>
      <c r="CM23" s="892">
        <f>IF($B23&lt;1,"",AVERAGEIF('09월 에너지'!$A$14:$A$949,$A23,'09월 에너지'!Z$14:Z$949))</f>
        <v>1395.3</v>
      </c>
      <c r="CN23" s="892">
        <f>IF($B23&lt;1,"",AVERAGEIF('09월 에너지'!$A$14:$A$949,$A23,'09월 에너지'!AA$14:AA$949))</f>
        <v>873.1</v>
      </c>
      <c r="CO23" s="892">
        <f>IF($B23&lt;1,"",AVERAGEIF('09월 에너지'!$A$14:$A$949,$A23,'09월 에너지'!AB$14:AB$949))</f>
        <v>3876.0333333333333</v>
      </c>
      <c r="CP23" s="890">
        <f>IF($B23&lt;1,"",AVERAGEIF('09월 에너지'!$A$14:$A$949,$A23,'09월 에너지'!AC$14:AC$949))</f>
        <v>26.843653746957031</v>
      </c>
      <c r="CQ23" s="888">
        <f>IF($B23&lt;1,"",AVERAGEIF('09월 에너지'!$A$14:$A$949,$A23,'09월 에너지'!AD$14:AD$949))</f>
        <v>4246.1333333333332</v>
      </c>
      <c r="CR23" s="888">
        <f>IF($B23&lt;1,"",AVERAGEIF('09월 에너지'!$A$14:$A$949,$A23,'09월 에너지'!AE$14:AE$949))</f>
        <v>29.405902914229134</v>
      </c>
      <c r="CS23" s="890">
        <f>IF($B23&lt;1,"",AVERAGEIF('09월 에너지'!$A$14:$A$949,$A23,'09월 에너지'!AF$14:AF$949))</f>
        <v>82.666666666666671</v>
      </c>
      <c r="CT23" s="890">
        <f>IF($B23&lt;1,"",AVERAGEIF('09월 에너지'!$A$14:$A$949,$A23,'09월 에너지'!AG$14:AG$949))</f>
        <v>64.733333333333334</v>
      </c>
      <c r="CU23" s="890">
        <f>IF($B23&lt;1,"",AVERAGEIF('09월 에너지'!$A$14:$A$949,$A23,'09월 에너지'!AH$14:AH$949))</f>
        <v>7.666666666666667</v>
      </c>
      <c r="CV23" s="890">
        <f>IF($B23&lt;1,"",AVERAGEIF('09월 에너지'!$A$14:$A$949,$A23,'09월 에너지'!AI$14:AI$949))</f>
        <v>155.06666666666666</v>
      </c>
      <c r="CW23" s="893">
        <f>IF($B23&lt;1,"",AVERAGEIF('09월 에너지'!$A$14:$A$949,$A23,'09월 에너지'!AJ$14:AJ$949))</f>
        <v>1.074064500269168</v>
      </c>
    </row>
    <row r="24" spans="1:101" ht="15.75" customHeight="1">
      <c r="A24" s="883">
        <f t="shared" si="1"/>
        <v>46285</v>
      </c>
      <c r="B24" s="884">
        <f>COUNTIF('09월 조업일지'!$A$12:$A$952,A24)</f>
        <v>31</v>
      </c>
      <c r="C24" s="885">
        <f t="shared" si="0"/>
        <v>46.225806451612904</v>
      </c>
      <c r="D24" s="885">
        <f>IF($B24&lt;1,"",(SUMIF('09월 조업일지'!$A$12:$A$952,$A24,'09월 조업일지'!$K$12:$K$952))/B24)</f>
        <v>0.41935483870967744</v>
      </c>
      <c r="E24" s="885">
        <f>IF($B24&lt;1,"",AVERAGEIF('09월 조업일지'!$A$12:$A$952,$A24,'09월 조업일지'!$J$12:$J$952))</f>
        <v>46.645161290322584</v>
      </c>
      <c r="F24" s="886">
        <f>IF($B24&lt;1,"",AVERAGEIF('09월 에너지'!$A$14:$A$949,$A24,'09월 에너지'!$M$14:M$949))</f>
        <v>44.970967741935489</v>
      </c>
      <c r="G24" s="887">
        <f>IF($B24&lt;1,"",AVERAGEIF('09월 조업일지'!$A$12:$A$952,$A24,'09월 조업일지'!$AJ$12:$AJ$952))</f>
        <v>36.645161290322584</v>
      </c>
      <c r="H24" s="887">
        <f>IF($B24&lt;1,"",AVERAGEIF('09월 조업일지'!$A$12:$A$952,$A24,'09월 조업일지'!$AL$12:$AL$952))</f>
        <v>8.258064516129032</v>
      </c>
      <c r="I24" s="888">
        <f>IF($B24&lt;1,"",AVERAGEIF('09월 화학성분'!$A$12:$A$949,$A24,'09월 화학성분'!G$12:G$949))</f>
        <v>14.64516129032258</v>
      </c>
      <c r="J24" s="888">
        <f>IF($B24&lt;1,"",AVERAGEIF('09월 화학성분'!$A$12:$A$949,$A24,'09월 화학성분'!H$12:H$949))</f>
        <v>14.193548387096774</v>
      </c>
      <c r="K24" s="888">
        <f>IF($B24&lt;1,"",AVERAGEIF('09월 화학성분'!$A$12:$A$949,$A24,'09월 화학성분'!I$12:I$949))</f>
        <v>51.451612903225808</v>
      </c>
      <c r="L24" s="888">
        <f>IF($B24&lt;1,"",AVERAGEIF('09월 화학성분'!$A$12:$A$949,$A24,'09월 화학성분'!J$12:J$949))</f>
        <v>15.32258064516129</v>
      </c>
      <c r="M24" s="888">
        <f>IF($B24&lt;1,"",AVERAGEIF('09월 화학성분'!$A$12:$A$949,$A24,'09월 화학성분'!K$12:K$949))</f>
        <v>37.483870967741936</v>
      </c>
      <c r="N24" s="888">
        <f>IF($B24&lt;1,"",AVERAGEIF('09월 화학성분'!$A$12:$A$949,$A24,'09월 화학성분'!L$12:L$949))</f>
        <v>13.064516129032258</v>
      </c>
      <c r="O24" s="888">
        <f>IF($B24&lt;1,"",AVERAGEIF('09월 화학성분'!$A$12:$A$949,$A24,'09월 화학성분'!M$12:M$949))</f>
        <v>9.4193548387096779</v>
      </c>
      <c r="P24" s="889">
        <f>IF($B24&lt;1,"",AVERAGEIF('09월 조업일지'!$A$12:$A$952,$A24,'09월 조업일지'!$AK$12:$AK$952))</f>
        <v>546.48387096774195</v>
      </c>
      <c r="Q24" s="888">
        <f>IF($B24&lt;1,"",AVERAGEIF('09월 화학성분'!$A$12:$A$949,$A24,'09월 화학성분'!$G$12:$G$949))</f>
        <v>14.64516129032258</v>
      </c>
      <c r="R24" s="889">
        <f>IF($B24&lt;1,"",AVERAGEIF('09월 조업일지'!$A$12:$A$952,$A24,'09월 조업일지'!$AI$12:$AI$952))</f>
        <v>1568.8709677419354</v>
      </c>
      <c r="S24" s="888">
        <f>IF($B24&lt;1,"",AVERAGEIF('09월 화학성분'!$A$12:$A$949,$A24,'09월 화학성분'!$AM$12:$AM$949))</f>
        <v>1622.741935483871</v>
      </c>
      <c r="T24" s="890">
        <f>IF($B24&lt;1,"",AVERAGEIF('09월 화학성분'!$A$12:$A$949,$A24,'09월 화학성분'!N$12:N$949))</f>
        <v>412.03225806451616</v>
      </c>
      <c r="U24" s="890" t="e">
        <f>IF($B24&lt;1,"",AVERAGEIF('09월 화학성분'!$A$12:$A$949,$A24,'09월 화학성분'!O$12:O$949))</f>
        <v>#DIV/0!</v>
      </c>
      <c r="V24" s="890">
        <f>IF($B24&lt;1,"",AVERAGEIF('09월 화학성분'!$A$12:$A$949,$A24,'09월 화학성분'!P$12:P$949))</f>
        <v>1291.6451612903227</v>
      </c>
      <c r="W24" s="890">
        <f>IF($B24&lt;1,"",AVERAGEIF('09월 화학성분'!$A$12:$A$949,$A24,'09월 화학성분'!Q$12:Q$949))</f>
        <v>954.74193548387098</v>
      </c>
      <c r="X24" s="890" t="e">
        <f>IF($B24&lt;1,"",AVERAGEIF('09월 화학성분'!$A$12:$A$949,$A24,'09월 화학성분'!R$12:R$949))</f>
        <v>#DIV/0!</v>
      </c>
      <c r="Y24" s="890" t="e">
        <f>IF($B24&lt;1,"",AVERAGEIF('09월 화학성분'!$A$12:$A$949,$A24,'09월 화학성분'!U$12:U$949))</f>
        <v>#DIV/0!</v>
      </c>
      <c r="Z24" s="890">
        <f>IF($B24&lt;1,"",AVERAGEIF('09월 화학성분'!$A$12:$A$949,$A24,'09월 화학성분'!V$12:V$949))</f>
        <v>412.22580645161293</v>
      </c>
      <c r="AA24" s="890" t="e">
        <f>IF($B24&lt;1,"",AVERAGEIF('09월 화학성분'!$A$12:$A$949,$A24,'09월 화학성분'!W$12:W$949))</f>
        <v>#DIV/0!</v>
      </c>
      <c r="AB24" s="890" t="e">
        <f>IF($B24&lt;1,"",AVERAGEIF('09월 화학성분'!$A$12:$A$949,$A24,'09월 화학성분'!AA$12:AA$949))</f>
        <v>#DIV/0!</v>
      </c>
      <c r="AC24" s="890" t="e">
        <f>IF($B24&lt;1,"",AVERAGEIF('09월 화학성분'!$A$12:$A$949,$A24,'09월 화학성분'!#REF!))</f>
        <v>#REF!</v>
      </c>
      <c r="AD24" s="890">
        <f>IF($B24&lt;1,"",AVERAGEIF('09월 화학성분'!$A$12:$A$949,$A24,'09월 화학성분'!AB$12:AB$949))</f>
        <v>82</v>
      </c>
      <c r="AE24" s="890" t="e">
        <f>IF($B24&lt;1,"",AVERAGEIF('09월 화학성분'!$A$12:$A$949,$A24,'09월 화학성분'!AC$12:AC$949))</f>
        <v>#DIV/0!</v>
      </c>
      <c r="AF24" s="890">
        <f>IF($B24&lt;1,"",AVERAGEIF('09월 화학성분'!$A$12:$A$949,$A24,'09월 화학성분'!AD$12:AD$949))</f>
        <v>250.61290322580646</v>
      </c>
      <c r="AG24" s="890">
        <f>IF($B24&lt;1,"",AVERAGEIF('09월 화학성분'!$A$12:$A$949,$A24,'09월 화학성분'!AF$12:AF$949))</f>
        <v>98.451612903225808</v>
      </c>
      <c r="AH24" s="890">
        <f>IF($B24&lt;1,"",AVERAGEIF('09월 화학성분'!$A$12:$A$949,$A24,'09월 화학성분'!AG$12:AG$949))</f>
        <v>0</v>
      </c>
      <c r="AI24" s="890">
        <f>IF($B24&lt;1,"",AVERAGEIF('09월 화학성분'!$A$12:$A$949,$A24,'09월 화학성분'!AH$12:AH$949))</f>
        <v>770.51612903225805</v>
      </c>
      <c r="AJ24" s="890">
        <f>IF($B24&lt;1,"",AVERAGEIF('09월 화학성분'!$A$12:$A$949,$A24,'09월 화학성분'!AI$12:AI$949))</f>
        <v>184.7741935483871</v>
      </c>
      <c r="AK24" s="890">
        <f>IF($B24&lt;1,"",AVERAGEIF('09월 화학성분'!$A$12:$A$949,$A24,'09월 화학성분'!AJ$12:AJ$949))</f>
        <v>0</v>
      </c>
      <c r="AL24" s="890" t="e">
        <f>IF($B24&lt;1,"",AVERAGEIF('09월 화학성분'!$A$12:$A$949,$A24,'09월 화학성분'!#REF!))</f>
        <v>#REF!</v>
      </c>
      <c r="AM24" s="890">
        <f>IF($B24&lt;1,"",AVERAGEIF('09월 화학성분'!$A$12:$A$949,$A24,'09월 화학성분'!AL$12:AL$949))</f>
        <v>146.64516129032259</v>
      </c>
      <c r="AN24" s="890">
        <f>IF($B24&lt;1,"",AVERAGEIF('09월 화학성분'!$A$12:$A$949,$A24,'09월 화학성분'!AM$12:AM$949))</f>
        <v>1622.741935483871</v>
      </c>
      <c r="AO24" s="891">
        <f>IF($B24&lt;1,"",AVERAGEIF('09월 화학성분'!$A$12:$A$949,$A24,'09월 화학성분'!AN$12:AN$949))</f>
        <v>0.52821191106609355</v>
      </c>
      <c r="AP24" s="891">
        <f>IF($B24&lt;1,"",AVERAGEIF('09월 화학성분'!$A$12:$A$949,$A24,'09월 화학성분'!AO$12:AO$949))</f>
        <v>0.9685514091147075</v>
      </c>
      <c r="AQ24" s="890">
        <f>IF($B24&lt;1,"",AVERAGEIF('09월 화학성분'!$A$12:$A$949,$A24,'09월 화학성분'!AP$12:AP$949))</f>
        <v>143.30645161290326</v>
      </c>
      <c r="AR24" s="890">
        <f>IF($B24&lt;1,"",AVERAGEIF('09월 고철장입'!$A$14:$A$949,$A24,'09월 고철장입'!G$14:G$949)/1000)</f>
        <v>0</v>
      </c>
      <c r="AS24" s="890">
        <f>IF($B24&lt;1,"",AVERAGEIF('09월 고철장입'!$A$14:$A$949,$A24,'09월 고철장입'!H$14:H$949)/1000)</f>
        <v>0</v>
      </c>
      <c r="AT24" s="890">
        <f>IF($B24&lt;1,"",AVERAGEIF('09월 고철장입'!$A$14:$A$949,$A24,'09월 고철장입'!I$14:I$949)/1000)</f>
        <v>5.0225806451612911</v>
      </c>
      <c r="AU24" s="890">
        <f>IF($B24&lt;1,"",AVERAGEIF('09월 고철장입'!$A$14:$A$949,$A24,'09월 고철장입'!J$14:J$949)/1000)</f>
        <v>0</v>
      </c>
      <c r="AV24" s="890">
        <f>IF($B24&lt;1,"",AVERAGEIF('09월 고철장입'!$A$14:$A$949,$A24,'09월 고철장입'!K$14:K$949)/1000)</f>
        <v>0</v>
      </c>
      <c r="AW24" s="890">
        <f>IF($B24&lt;1,"",AVERAGEIF('09월 고철장입'!$A$14:$A$949,$A24,'09월 고철장입'!L$14:L$949)/1000)</f>
        <v>0</v>
      </c>
      <c r="AX24" s="890">
        <f>IF($B24&lt;1,"",AVERAGEIF('09월 고철장입'!$A$14:$A$949,$A24,'09월 고철장입'!M$14:M$949)/1000)</f>
        <v>0</v>
      </c>
      <c r="AY24" s="890">
        <f>IF($B24&lt;1,"",AVERAGEIF('09월 고철장입'!$A$14:$A$949,$A24,'09월 고철장입'!N$14:N$949)/1000)</f>
        <v>0</v>
      </c>
      <c r="AZ24" s="890">
        <f>IF($B24&lt;1,"",AVERAGEIF('09월 고철장입'!$A$14:$A$949,$A24,'09월 고철장입'!O$14:O$949)/1000)</f>
        <v>5.0225806451612911</v>
      </c>
      <c r="BA24" s="890">
        <f>IF($B24&lt;1,"",AVERAGEIF('09월 고철장입'!$A$14:$A$949,$A24,'09월 고철장입'!P$14:P$949)/1000)</f>
        <v>15.674193548387096</v>
      </c>
      <c r="BB24" s="890">
        <f>IF($B24&lt;1,"",AVERAGEIF('09월 고철장입'!$A$14:$A$949,$A24,'09월 고철장입'!Q$14:Q$949)/1000)</f>
        <v>15.419354838709678</v>
      </c>
      <c r="BC24" s="890">
        <f>IF($B24&lt;1,"",AVERAGEIF('09월 고철장입'!$A$14:$A$949,$A24,'09월 고철장입'!S$14:S$949)/1000)</f>
        <v>0</v>
      </c>
      <c r="BD24" s="890">
        <f>IF($B24&lt;1,"",AVERAGEIF('09월 고철장입'!$A$14:$A$949,$A24,'09월 고철장입'!T$14:T$949)/1000)</f>
        <v>0</v>
      </c>
      <c r="BE24" s="890">
        <f>IF($B24&lt;1,"",AVERAGEIF('09월 고철장입'!$A$14:$A$949,$A24,'09월 고철장입'!U$14:U$949)/1000)</f>
        <v>14.67741935483871</v>
      </c>
      <c r="BF24" s="890">
        <f>IF($B24&lt;1,"",AVERAGEIF('09월 고철장입'!$A$14:$A$949,$A24,'09월 고철장입'!V$14:V$949)/1000)</f>
        <v>39.63225806451613</v>
      </c>
      <c r="BG24" s="890">
        <f>IF($B24&lt;1,"",AVERAGEIF('09월 고철장입'!$A$14:$A$949,$A24,'09월 고철장입'!W$14:W$949)/1000)</f>
        <v>3.1096774193548384</v>
      </c>
      <c r="BH24" s="890">
        <f>IF($B24&lt;1,"",AVERAGEIF('09월 고철장입'!$A$14:$A$949,$A24,'09월 고철장입'!Y$14:Y$949)/1000)</f>
        <v>23.329032258064515</v>
      </c>
      <c r="BI24" s="890">
        <f>IF($B24&lt;1,"",AVERAGEIF('09월 고철장입'!$A$14:$A$949,$A24,'09월 고철장입'!AB$14:AB$949)/1000)</f>
        <v>2.4580645161290322</v>
      </c>
      <c r="BJ24" s="890">
        <f>IF($B24&lt;1,"",AVERAGEIF('09월 고철장입'!$A$14:$A$949,$A24,'09월 고철장입'!AC$14:AC$949)/1000)</f>
        <v>3.129032258064516</v>
      </c>
      <c r="BK24" s="890">
        <f>IF($B24&lt;1,"",AVERAGEIF('09월 고철장입'!$A$14:$A$949,$A24,'09월 고철장입'!AD$14:AD$949)/1000)</f>
        <v>0</v>
      </c>
      <c r="BL24" s="890">
        <f>IF($B24&lt;1,"",AVERAGEIF('09월 고철장입'!$A$14:$A$949,$A24,'09월 고철장입'!AE$14:AE$949)/1000)</f>
        <v>134.72903225806451</v>
      </c>
      <c r="BM24" s="890">
        <f>IF($B24&lt;1,"",AVERAGEIF('09월 고철장입'!$A$14:$A$949,$A24,'09월 고철장입'!AF$14:AF$949)/1000)</f>
        <v>4.5161290322580641</v>
      </c>
      <c r="BN24" s="890">
        <f>IF($B24&lt;1,"",AVERAGEIF('09월 고철장입'!$A$14:$A$949,$A24,'09월 고철장입'!AG$14:AG$949)/1000)</f>
        <v>9.0935483870967744</v>
      </c>
      <c r="BO24" s="890">
        <f>IF($B24&lt;1,"",AVERAGEIF('09월 고철장입'!$A$14:$A$949,$A24,'09월 고철장입'!AH$14:AH$949)/1000)</f>
        <v>5.4548387096774196</v>
      </c>
      <c r="BP24" s="890">
        <f>IF($B24&lt;1,"",AVERAGEIF('09월 고철장입'!$A$14:$A$949,$A24,'09월 고철장입'!AI$14:AI$949)/1000)</f>
        <v>19.064516129032256</v>
      </c>
      <c r="BQ24" s="890">
        <f>IF($B24&lt;1,"",AVERAGEIF('09월 고철장입'!$A$14:$A$949,$A24,'09월 고철장입'!AJ$14:AJ$949)/1000)</f>
        <v>158.81612903225806</v>
      </c>
      <c r="BR24" s="890">
        <f>IF($B24&lt;1,"",AVERAGEIF('09월 고철장입'!$A$14:$A$949,$A24,'09월 고철장입'!AK$14:AK$949))</f>
        <v>143.30645161290326</v>
      </c>
      <c r="BS24" s="890">
        <f>IF($B24&lt;1,"",AVERAGEIF('09월 고철장입'!$A$14:$A$949,$A24,'09월 고철장입'!AL$14:AL$949)*100)</f>
        <v>90.24289853477643</v>
      </c>
      <c r="BT24" s="890">
        <f>IF($B24&lt;1,"",AVERAGEIF('09월 에너지'!$A$14:$A$949,$A24,'09월 에너지'!G$14:G$949))</f>
        <v>19.4258064516129</v>
      </c>
      <c r="BU24" s="892">
        <f>IF($B24&lt;1,"",AVERAGEIF('09월 에너지'!$A$14:$A$949,$A24,'09월 에너지'!H$14:H$949))</f>
        <v>23280.645161290322</v>
      </c>
      <c r="BV24" s="890">
        <f>IF($B24&lt;1,"",AVERAGEIF('09월 에너지'!$A$14:$A$949,$A24,'09월 에너지'!I$14:I$949))</f>
        <v>16.629032258064516</v>
      </c>
      <c r="BW24" s="892">
        <f>IF($B24&lt;1,"",AVERAGEIF('09월 에너지'!$A$14:$A$949,$A24,'09월 에너지'!J$14:J$949))</f>
        <v>20583.870967741936</v>
      </c>
      <c r="BX24" s="890">
        <f>IF($B24&lt;1,"",AVERAGEIF('09월 에너지'!$A$14:$A$949,$A24,'09월 에너지'!K$14:K$949))</f>
        <v>8.9161290322580644</v>
      </c>
      <c r="BY24" s="892">
        <f>IF($B24&lt;1,"",AVERAGEIF('09월 에너지'!$A$14:$A$949,$A24,'09월 에너지'!L$14:L$949))</f>
        <v>11706.451612903225</v>
      </c>
      <c r="BZ24" s="890">
        <f>IF($B24&lt;1,"",AVERAGEIF('09월 에너지'!$A$14:$A$949,$A24,'09월 에너지'!M$14:M$949))</f>
        <v>44.970967741935489</v>
      </c>
      <c r="CA24" s="892">
        <f>IF($B24&lt;1,"",AVERAGEIF('09월 에너지'!$A$14:$A$949,$A24,'09월 에너지'!N$14:N$949))</f>
        <v>55570.967741935485</v>
      </c>
      <c r="CB24" s="890">
        <f>IF($B24&lt;1,"",AVERAGEIF('09월 에너지'!$A$14:$A$949,$A24,'09월 에너지'!O$14:O$949))</f>
        <v>162.46492367209166</v>
      </c>
      <c r="CC24" s="890">
        <f>IF($B24&lt;1,"",AVERAGEIF('09월 에너지'!$A$14:$A$949,$A24,'09월 에너지'!P$14:P$949))</f>
        <v>143.63987006552676</v>
      </c>
      <c r="CD24" s="890">
        <f>IF($B24&lt;1,"",AVERAGEIF('09월 에너지'!$A$14:$A$949,$A24,'09월 에너지'!Q$14:Q$949))</f>
        <v>81.702073780464289</v>
      </c>
      <c r="CE24" s="890">
        <f>IF($B24&lt;1,"",AVERAGEIF('09월 에너지'!$A$14:$A$949,$A24,'09월 에너지'!R$14:R$949))</f>
        <v>387.80686751808275</v>
      </c>
      <c r="CF24" s="890">
        <f>IF($B24&lt;1,"",AVERAGEIF('09월 에너지'!$A$14:$A$949,$A24,'09월 에너지'!S$14:S$949))</f>
        <v>143.30645161290326</v>
      </c>
      <c r="CG24" s="890">
        <f>IF($B24&lt;1,"",AVERAGEIF('09월 에너지'!$A$14:$A$949,$A24,'09월 에너지'!T$14:T$949))</f>
        <v>0</v>
      </c>
      <c r="CH24" s="890">
        <f>IF($B24&lt;1,"",AVERAGEIF('09월 에너지'!$A$14:$A$949,$A24,'09월 에너지'!U$14:U$949))</f>
        <v>61.677419354838712</v>
      </c>
      <c r="CI24" s="892">
        <f>IF($B24&lt;1,"",AVERAGEIF('09월 에너지'!$A$14:$A$949,$A24,'09월 에너지'!V$14:V$949))</f>
        <v>286.87096774193549</v>
      </c>
      <c r="CJ24" s="892">
        <f>IF($B24&lt;1,"",AVERAGEIF('09월 에너지'!$A$14:$A$949,$A24,'09월 에너지'!W$14:W$949))</f>
        <v>348.54838709677421</v>
      </c>
      <c r="CK24" s="890">
        <f>IF($B24&lt;1,"",AVERAGEIF('09월 에너지'!$A$14:$A$949,$A24,'09월 에너지'!X$14:X$949))</f>
        <v>2.4322250776044738</v>
      </c>
      <c r="CL24" s="892">
        <f>IF($B24&lt;1,"",AVERAGEIF('09월 에너지'!$A$14:$A$949,$A24,'09월 에너지'!Y$14:Y$949))</f>
        <v>1595.3870967741937</v>
      </c>
      <c r="CM24" s="892">
        <f>IF($B24&lt;1,"",AVERAGEIF('09월 에너지'!$A$14:$A$949,$A24,'09월 에너지'!Z$14:Z$949))</f>
        <v>1380.1290322580646</v>
      </c>
      <c r="CN24" s="892">
        <f>IF($B24&lt;1,"",AVERAGEIF('09월 에너지'!$A$14:$A$949,$A24,'09월 에너지'!AA$14:AA$949))</f>
        <v>817.29032258064512</v>
      </c>
      <c r="CO24" s="892">
        <f>IF($B24&lt;1,"",AVERAGEIF('09월 에너지'!$A$14:$A$949,$A24,'09월 에너지'!AB$14:AB$949))</f>
        <v>3792.8064516129034</v>
      </c>
      <c r="CP24" s="890">
        <f>IF($B24&lt;1,"",AVERAGEIF('09월 에너지'!$A$14:$A$949,$A24,'09월 에너지'!AC$14:AC$949))</f>
        <v>26.467181143207146</v>
      </c>
      <c r="CQ24" s="888">
        <f>IF($B24&lt;1,"",AVERAGEIF('09월 에너지'!$A$14:$A$949,$A24,'09월 에너지'!AD$14:AD$949))</f>
        <v>4141.3548387096771</v>
      </c>
      <c r="CR24" s="888">
        <f>IF($B24&lt;1,"",AVERAGEIF('09월 에너지'!$A$14:$A$949,$A24,'09월 에너지'!AE$14:AE$949))</f>
        <v>28.899406220811606</v>
      </c>
      <c r="CS24" s="890">
        <f>IF($B24&lt;1,"",AVERAGEIF('09월 에너지'!$A$14:$A$949,$A24,'09월 에너지'!AF$14:AF$949))</f>
        <v>81.870967741935488</v>
      </c>
      <c r="CT24" s="890">
        <f>IF($B24&lt;1,"",AVERAGEIF('09월 에너지'!$A$14:$A$949,$A24,'09월 에너지'!AG$14:AG$949))</f>
        <v>63.838709677419352</v>
      </c>
      <c r="CU24" s="890">
        <f>IF($B24&lt;1,"",AVERAGEIF('09월 에너지'!$A$14:$A$949,$A24,'09월 에너지'!AH$14:AH$949))</f>
        <v>7.225806451612903</v>
      </c>
      <c r="CV24" s="890">
        <f>IF($B24&lt;1,"",AVERAGEIF('09월 에너지'!$A$14:$A$949,$A24,'09월 에너지'!AI$14:AI$949))</f>
        <v>152.93548387096774</v>
      </c>
      <c r="CW24" s="893">
        <f>IF($B24&lt;1,"",AVERAGEIF('09월 에너지'!$A$14:$A$949,$A24,'09월 에너지'!AJ$14:AJ$949))</f>
        <v>1.0672091872630065</v>
      </c>
    </row>
    <row r="25" spans="1:101" ht="15.75" customHeight="1">
      <c r="A25" s="883">
        <f t="shared" si="1"/>
        <v>46286</v>
      </c>
      <c r="B25" s="884">
        <f>COUNTIF('09월 조업일지'!$A$12:$A$952,A25)</f>
        <v>31</v>
      </c>
      <c r="C25" s="885">
        <f t="shared" si="0"/>
        <v>47.129032258064505</v>
      </c>
      <c r="D25" s="885">
        <f>IF($B25&lt;1,"",(SUMIF('09월 조업일지'!$A$12:$A$952,$A25,'09월 조업일지'!$K$12:$K$952))/B25)</f>
        <v>0</v>
      </c>
      <c r="E25" s="885">
        <f>IF($B25&lt;1,"",AVERAGEIF('09월 조업일지'!$A$12:$A$952,$A25,'09월 조업일지'!$J$12:$J$952))</f>
        <v>47.129032258064505</v>
      </c>
      <c r="F25" s="886">
        <f>IF($B25&lt;1,"",AVERAGEIF('09월 에너지'!$A$14:$A$949,$A25,'09월 에너지'!$M$14:M$949))</f>
        <v>46.08387096774193</v>
      </c>
      <c r="G25" s="887">
        <f>IF($B25&lt;1,"",AVERAGEIF('09월 조업일지'!$A$12:$A$952,$A25,'09월 조업일지'!$AJ$12:$AJ$952))</f>
        <v>22.903225806451612</v>
      </c>
      <c r="H25" s="887">
        <f>IF($B25&lt;1,"",AVERAGEIF('09월 조업일지'!$A$12:$A$952,$A25,'09월 조업일지'!$AL$12:$AL$952))</f>
        <v>9</v>
      </c>
      <c r="I25" s="888">
        <f>IF($B25&lt;1,"",AVERAGEIF('09월 화학성분'!$A$12:$A$949,$A25,'09월 화학성분'!G$12:G$949))</f>
        <v>14.935483870967742</v>
      </c>
      <c r="J25" s="888">
        <f>IF($B25&lt;1,"",AVERAGEIF('09월 화학성분'!$A$12:$A$949,$A25,'09월 화학성분'!H$12:H$949))</f>
        <v>14.806451612903226</v>
      </c>
      <c r="K25" s="888">
        <f>IF($B25&lt;1,"",AVERAGEIF('09월 화학성분'!$A$12:$A$949,$A25,'09월 화학성분'!I$12:I$949))</f>
        <v>51.87096774193548</v>
      </c>
      <c r="L25" s="888">
        <f>IF($B25&lt;1,"",AVERAGEIF('09월 화학성분'!$A$12:$A$949,$A25,'09월 화학성분'!J$12:J$949))</f>
        <v>15.483870967741936</v>
      </c>
      <c r="M25" s="888">
        <f>IF($B25&lt;1,"",AVERAGEIF('09월 화학성분'!$A$12:$A$949,$A25,'09월 화학성분'!K$12:K$949))</f>
        <v>48.838709677419352</v>
      </c>
      <c r="N25" s="888">
        <f>IF($B25&lt;1,"",AVERAGEIF('09월 화학성분'!$A$12:$A$949,$A25,'09월 화학성분'!L$12:L$949))</f>
        <v>13.548387096774194</v>
      </c>
      <c r="O25" s="888">
        <f>IF($B25&lt;1,"",AVERAGEIF('09월 화학성분'!$A$12:$A$949,$A25,'09월 화학성분'!M$12:M$949))</f>
        <v>11.709677419354838</v>
      </c>
      <c r="P25" s="889">
        <f>IF($B25&lt;1,"",AVERAGEIF('09월 조업일지'!$A$12:$A$952,$A25,'09월 조업일지'!$AK$12:$AK$952))</f>
        <v>501.48275862068965</v>
      </c>
      <c r="Q25" s="888">
        <f>IF($B25&lt;1,"",AVERAGEIF('09월 화학성분'!$A$12:$A$949,$A25,'09월 화학성분'!$G$12:$G$949))</f>
        <v>14.935483870967742</v>
      </c>
      <c r="R25" s="889">
        <f>IF($B25&lt;1,"",AVERAGEIF('09월 조업일지'!$A$12:$A$952,$A25,'09월 조업일지'!$AI$12:$AI$952))</f>
        <v>1564.6774193548388</v>
      </c>
      <c r="S25" s="888">
        <f>IF($B25&lt;1,"",AVERAGEIF('09월 화학성분'!$A$12:$A$949,$A25,'09월 화학성분'!$AM$12:$AM$949))</f>
        <v>1947.9677419354839</v>
      </c>
      <c r="T25" s="890">
        <f>IF($B25&lt;1,"",AVERAGEIF('09월 화학성분'!$A$12:$A$949,$A25,'09월 화학성분'!N$12:N$949))</f>
        <v>412.70967741935482</v>
      </c>
      <c r="U25" s="890" t="e">
        <f>IF($B25&lt;1,"",AVERAGEIF('09월 화학성분'!$A$12:$A$949,$A25,'09월 화학성분'!O$12:O$949))</f>
        <v>#DIV/0!</v>
      </c>
      <c r="V25" s="890">
        <f>IF($B25&lt;1,"",AVERAGEIF('09월 화학성분'!$A$12:$A$949,$A25,'09월 화학성분'!P$12:P$949))</f>
        <v>1003.483870967742</v>
      </c>
      <c r="W25" s="890">
        <f>IF($B25&lt;1,"",AVERAGEIF('09월 화학성분'!$A$12:$A$949,$A25,'09월 화학성분'!Q$12:Q$949))</f>
        <v>947.16129032258061</v>
      </c>
      <c r="X25" s="890" t="e">
        <f>IF($B25&lt;1,"",AVERAGEIF('09월 화학성분'!$A$12:$A$949,$A25,'09월 화학성분'!R$12:R$949))</f>
        <v>#DIV/0!</v>
      </c>
      <c r="Y25" s="890" t="e">
        <f>IF($B25&lt;1,"",AVERAGEIF('09월 화학성분'!$A$12:$A$949,$A25,'09월 화학성분'!U$12:U$949))</f>
        <v>#DIV/0!</v>
      </c>
      <c r="Z25" s="890">
        <f>IF($B25&lt;1,"",AVERAGEIF('09월 화학성분'!$A$12:$A$949,$A25,'09월 화학성분'!V$12:V$949))</f>
        <v>413.67741935483872</v>
      </c>
      <c r="AA25" s="890" t="e">
        <f>IF($B25&lt;1,"",AVERAGEIF('09월 화학성분'!$A$12:$A$949,$A25,'09월 화학성분'!W$12:W$949))</f>
        <v>#DIV/0!</v>
      </c>
      <c r="AB25" s="890" t="e">
        <f>IF($B25&lt;1,"",AVERAGEIF('09월 화학성분'!$A$12:$A$949,$A25,'09월 화학성분'!AA$12:AA$949))</f>
        <v>#DIV/0!</v>
      </c>
      <c r="AC25" s="890" t="e">
        <f>IF($B25&lt;1,"",AVERAGEIF('09월 화학성분'!$A$12:$A$949,$A25,'09월 화학성분'!#REF!))</f>
        <v>#REF!</v>
      </c>
      <c r="AD25" s="890">
        <f>IF($B25&lt;1,"",AVERAGEIF('09월 화학성분'!$A$12:$A$949,$A25,'09월 화학성분'!AB$12:AB$949))</f>
        <v>84.451612903225808</v>
      </c>
      <c r="AE25" s="890" t="e">
        <f>IF($B25&lt;1,"",AVERAGEIF('09월 화학성분'!$A$12:$A$949,$A25,'09월 화학성분'!AC$12:AC$949))</f>
        <v>#DIV/0!</v>
      </c>
      <c r="AF25" s="890">
        <f>IF($B25&lt;1,"",AVERAGEIF('09월 화학성분'!$A$12:$A$949,$A25,'09월 화학성분'!AD$12:AD$949))</f>
        <v>259.16129032258067</v>
      </c>
      <c r="AG25" s="890">
        <f>IF($B25&lt;1,"",AVERAGEIF('09월 화학성분'!$A$12:$A$949,$A25,'09월 화학성분'!AF$12:AF$949))</f>
        <v>95.322580645161295</v>
      </c>
      <c r="AH25" s="890">
        <f>IF($B25&lt;1,"",AVERAGEIF('09월 화학성분'!$A$12:$A$949,$A25,'09월 화학성분'!AG$12:AG$949))</f>
        <v>0</v>
      </c>
      <c r="AI25" s="890">
        <f>IF($B25&lt;1,"",AVERAGEIF('09월 화학성분'!$A$12:$A$949,$A25,'09월 화학성분'!AH$12:AH$949))</f>
        <v>770.29032258064512</v>
      </c>
      <c r="AJ25" s="890">
        <f>IF($B25&lt;1,"",AVERAGEIF('09월 화학성분'!$A$12:$A$949,$A25,'09월 화학성분'!AI$12:AI$949))</f>
        <v>202.19354838709677</v>
      </c>
      <c r="AK25" s="890">
        <f>IF($B25&lt;1,"",AVERAGEIF('09월 화학성분'!$A$12:$A$949,$A25,'09월 화학성분'!AJ$12:AJ$949))</f>
        <v>0</v>
      </c>
      <c r="AL25" s="890" t="e">
        <f>IF($B25&lt;1,"",AVERAGEIF('09월 화학성분'!$A$12:$A$949,$A25,'09월 화학성분'!#REF!))</f>
        <v>#REF!</v>
      </c>
      <c r="AM25" s="890">
        <f>IF($B25&lt;1,"",AVERAGEIF('09월 화학성분'!$A$12:$A$949,$A25,'09월 화학성분'!AL$12:AL$949))</f>
        <v>148.2258064516129</v>
      </c>
      <c r="AN25" s="890">
        <f>IF($B25&lt;1,"",AVERAGEIF('09월 화학성분'!$A$12:$A$949,$A25,'09월 화학성분'!AM$12:AM$949))</f>
        <v>1947.9677419354839</v>
      </c>
      <c r="AO25" s="891">
        <f>IF($B25&lt;1,"",AVERAGEIF('09월 화학성분'!$A$12:$A$949,$A25,'09월 화학성분'!AN$12:AN$949))</f>
        <v>0.53175129229049634</v>
      </c>
      <c r="AP25" s="891">
        <f>IF($B25&lt;1,"",AVERAGEIF('09월 화학성분'!$A$12:$A$949,$A25,'09월 화학성분'!AO$12:AO$949))</f>
        <v>0.97774777828009063</v>
      </c>
      <c r="AQ25" s="890">
        <f>IF($B25&lt;1,"",AVERAGEIF('09월 화학성분'!$A$12:$A$949,$A25,'09월 화학성분'!AP$12:AP$949))</f>
        <v>143.03548387096779</v>
      </c>
      <c r="AR25" s="890">
        <f>IF($B25&lt;1,"",AVERAGEIF('09월 고철장입'!$A$14:$A$949,$A25,'09월 고철장입'!G$14:G$949)/1000)</f>
        <v>0</v>
      </c>
      <c r="AS25" s="890">
        <f>IF($B25&lt;1,"",AVERAGEIF('09월 고철장입'!$A$14:$A$949,$A25,'09월 고철장입'!H$14:H$949)/1000)</f>
        <v>0</v>
      </c>
      <c r="AT25" s="890">
        <f>IF($B25&lt;1,"",AVERAGEIF('09월 고철장입'!$A$14:$A$949,$A25,'09월 고철장입'!I$14:I$949)/1000)</f>
        <v>5.3193548387096774</v>
      </c>
      <c r="AU25" s="890">
        <f>IF($B25&lt;1,"",AVERAGEIF('09월 고철장입'!$A$14:$A$949,$A25,'09월 고철장입'!J$14:J$949)/1000)</f>
        <v>0</v>
      </c>
      <c r="AV25" s="890">
        <f>IF($B25&lt;1,"",AVERAGEIF('09월 고철장입'!$A$14:$A$949,$A25,'09월 고철장입'!K$14:K$949)/1000)</f>
        <v>0</v>
      </c>
      <c r="AW25" s="890">
        <f>IF($B25&lt;1,"",AVERAGEIF('09월 고철장입'!$A$14:$A$949,$A25,'09월 고철장입'!L$14:L$949)/1000)</f>
        <v>0</v>
      </c>
      <c r="AX25" s="890">
        <f>IF($B25&lt;1,"",AVERAGEIF('09월 고철장입'!$A$14:$A$949,$A25,'09월 고철장입'!M$14:M$949)/1000)</f>
        <v>0</v>
      </c>
      <c r="AY25" s="890">
        <f>IF($B25&lt;1,"",AVERAGEIF('09월 고철장입'!$A$14:$A$949,$A25,'09월 고철장입'!N$14:N$949)/1000)</f>
        <v>0</v>
      </c>
      <c r="AZ25" s="890">
        <f>IF($B25&lt;1,"",AVERAGEIF('09월 고철장입'!$A$14:$A$949,$A25,'09월 고철장입'!O$14:O$949)/1000)</f>
        <v>5.3193548387096774</v>
      </c>
      <c r="BA25" s="890">
        <f>IF($B25&lt;1,"",AVERAGEIF('09월 고철장입'!$A$14:$A$949,$A25,'09월 고철장입'!P$14:P$949)/1000)</f>
        <v>10.11290322580645</v>
      </c>
      <c r="BB25" s="890">
        <f>IF($B25&lt;1,"",AVERAGEIF('09월 고철장입'!$A$14:$A$949,$A25,'09월 고철장입'!Q$14:Q$949)/1000)</f>
        <v>12.61290322580645</v>
      </c>
      <c r="BC25" s="890">
        <f>IF($B25&lt;1,"",AVERAGEIF('09월 고철장입'!$A$14:$A$949,$A25,'09월 고철장입'!S$14:S$949)/1000)</f>
        <v>0</v>
      </c>
      <c r="BD25" s="890">
        <f>IF($B25&lt;1,"",AVERAGEIF('09월 고철장입'!$A$14:$A$949,$A25,'09월 고철장입'!T$14:T$949)/1000)</f>
        <v>0</v>
      </c>
      <c r="BE25" s="890">
        <f>IF($B25&lt;1,"",AVERAGEIF('09월 고철장입'!$A$14:$A$949,$A25,'09월 고철장입'!U$14:U$949)/1000)</f>
        <v>15.580645161290322</v>
      </c>
      <c r="BF25" s="890">
        <f>IF($B25&lt;1,"",AVERAGEIF('09월 고철장입'!$A$14:$A$949,$A25,'09월 고철장입'!V$14:V$949)/1000)</f>
        <v>40.454838709677418</v>
      </c>
      <c r="BG25" s="890">
        <f>IF($B25&lt;1,"",AVERAGEIF('09월 고철장입'!$A$14:$A$949,$A25,'09월 고철장입'!W$14:W$949)/1000)</f>
        <v>3.1064516129032258</v>
      </c>
      <c r="BH25" s="890">
        <f>IF($B25&lt;1,"",AVERAGEIF('09월 고철장입'!$A$14:$A$949,$A25,'09월 고철장입'!Y$14:Y$949)/1000)</f>
        <v>24.916129032258063</v>
      </c>
      <c r="BI25" s="890">
        <f>IF($B25&lt;1,"",AVERAGEIF('09월 고철장입'!$A$14:$A$949,$A25,'09월 고철장입'!AB$14:AB$949)/1000)</f>
        <v>3.1225806451612903</v>
      </c>
      <c r="BJ25" s="890">
        <f>IF($B25&lt;1,"",AVERAGEIF('09월 고철장입'!$A$14:$A$949,$A25,'09월 고철장입'!AC$14:AC$949)/1000)</f>
        <v>3.4677419354838706</v>
      </c>
      <c r="BK25" s="890">
        <f>IF($B25&lt;1,"",AVERAGEIF('09월 고철장입'!$A$14:$A$949,$A25,'09월 고철장입'!AD$14:AD$949)/1000)</f>
        <v>2.925925925925926</v>
      </c>
      <c r="BL25" s="890">
        <f>IF($B25&lt;1,"",AVERAGEIF('09월 고철장입'!$A$14:$A$949,$A25,'09월 고철장입'!AE$14:AE$949)/1000)</f>
        <v>134.54838709677418</v>
      </c>
      <c r="BM25" s="890">
        <f>IF($B25&lt;1,"",AVERAGEIF('09월 고철장입'!$A$14:$A$949,$A25,'09월 고철장입'!AF$14:AF$949)/1000)</f>
        <v>4.1387096774193548</v>
      </c>
      <c r="BN25" s="890">
        <f>IF($B25&lt;1,"",AVERAGEIF('09월 고철장입'!$A$14:$A$949,$A25,'09월 고철장입'!AG$14:AG$949)/1000)</f>
        <v>8.9580645161290313</v>
      </c>
      <c r="BO25" s="890">
        <f>IF($B25&lt;1,"",AVERAGEIF('09월 고철장입'!$A$14:$A$949,$A25,'09월 고철장입'!AH$14:AH$949)/1000)</f>
        <v>6.0290322580645164</v>
      </c>
      <c r="BP25" s="890">
        <f>IF($B25&lt;1,"",AVERAGEIF('09월 고철장입'!$A$14:$A$949,$A25,'09월 고철장입'!AI$14:AI$949)/1000)</f>
        <v>19.125806451612902</v>
      </c>
      <c r="BQ25" s="890">
        <f>IF($B25&lt;1,"",AVERAGEIF('09월 고철장입'!$A$14:$A$949,$A25,'09월 고철장입'!AJ$14:AJ$949)/1000)</f>
        <v>158.99354838709678</v>
      </c>
      <c r="BR25" s="890">
        <f>IF($B25&lt;1,"",AVERAGEIF('09월 고철장입'!$A$14:$A$949,$A25,'09월 고철장입'!AK$14:AK$949))</f>
        <v>143.03548387096779</v>
      </c>
      <c r="BS25" s="890">
        <f>IF($B25&lt;1,"",AVERAGEIF('09월 고철장입'!$A$14:$A$949,$A25,'09월 고철장입'!AL$14:AL$949)*100)</f>
        <v>89.970771407406232</v>
      </c>
      <c r="BT25" s="890">
        <f>IF($B25&lt;1,"",AVERAGEIF('09월 에너지'!$A$14:$A$949,$A25,'09월 에너지'!G$14:G$949))</f>
        <v>19.419354838709669</v>
      </c>
      <c r="BU25" s="892">
        <f>IF($B25&lt;1,"",AVERAGEIF('09월 에너지'!$A$14:$A$949,$A25,'09월 에너지'!H$14:H$949))</f>
        <v>23141.935483870966</v>
      </c>
      <c r="BV25" s="890">
        <f>IF($B25&lt;1,"",AVERAGEIF('09월 에너지'!$A$14:$A$949,$A25,'09월 에너지'!I$14:I$949))</f>
        <v>16.941935483870971</v>
      </c>
      <c r="BW25" s="892">
        <f>IF($B25&lt;1,"",AVERAGEIF('09월 에너지'!$A$14:$A$949,$A25,'09월 에너지'!J$14:J$949))</f>
        <v>20687.096774193549</v>
      </c>
      <c r="BX25" s="890">
        <f>IF($B25&lt;1,"",AVERAGEIF('09월 에너지'!$A$14:$A$949,$A25,'09월 에너지'!K$14:K$949))</f>
        <v>9.7225806451612904</v>
      </c>
      <c r="BY25" s="892">
        <f>IF($B25&lt;1,"",AVERAGEIF('09월 에너지'!$A$14:$A$949,$A25,'09월 에너지'!L$14:L$949))</f>
        <v>12309.677419354839</v>
      </c>
      <c r="BZ25" s="890">
        <f>IF($B25&lt;1,"",AVERAGEIF('09월 에너지'!$A$14:$A$949,$A25,'09월 에너지'!M$14:M$949))</f>
        <v>46.08387096774193</v>
      </c>
      <c r="CA25" s="892">
        <f>IF($B25&lt;1,"",AVERAGEIF('09월 에너지'!$A$14:$A$949,$A25,'09월 에너지'!N$14:N$949))</f>
        <v>56138.709677419356</v>
      </c>
      <c r="CB25" s="890">
        <f>IF($B25&lt;1,"",AVERAGEIF('09월 에너지'!$A$14:$A$949,$A25,'09월 에너지'!O$14:O$949))</f>
        <v>161.81335620327849</v>
      </c>
      <c r="CC25" s="890">
        <f>IF($B25&lt;1,"",AVERAGEIF('09월 에너지'!$A$14:$A$949,$A25,'09월 에너지'!P$14:P$949))</f>
        <v>144.65167045311799</v>
      </c>
      <c r="CD25" s="890">
        <f>IF($B25&lt;1,"",AVERAGEIF('09월 에너지'!$A$14:$A$949,$A25,'09월 에너지'!Q$14:Q$949))</f>
        <v>86.094170965895202</v>
      </c>
      <c r="CE25" s="890">
        <f>IF($B25&lt;1,"",AVERAGEIF('09월 에너지'!$A$14:$A$949,$A25,'09월 에너지'!R$14:R$949))</f>
        <v>392.55919762229172</v>
      </c>
      <c r="CF25" s="890">
        <f>IF($B25&lt;1,"",AVERAGEIF('09월 에너지'!$A$14:$A$949,$A25,'09월 에너지'!S$14:S$949))</f>
        <v>143.03548387096779</v>
      </c>
      <c r="CG25" s="890">
        <f>IF($B25&lt;1,"",AVERAGEIF('09월 에너지'!$A$14:$A$949,$A25,'09월 에너지'!T$14:T$949))</f>
        <v>0.45161290322580644</v>
      </c>
      <c r="CH25" s="890">
        <f>IF($B25&lt;1,"",AVERAGEIF('09월 에너지'!$A$14:$A$949,$A25,'09월 에너지'!U$14:U$949))</f>
        <v>73.548387096774192</v>
      </c>
      <c r="CI25" s="892">
        <f>IF($B25&lt;1,"",AVERAGEIF('09월 에너지'!$A$14:$A$949,$A25,'09월 에너지'!V$14:V$949))</f>
        <v>279.96774193548384</v>
      </c>
      <c r="CJ25" s="892">
        <f>IF($B25&lt;1,"",AVERAGEIF('09월 에너지'!$A$14:$A$949,$A25,'09월 에너지'!W$14:W$949))</f>
        <v>353.96774193548384</v>
      </c>
      <c r="CK25" s="890">
        <f>IF($B25&lt;1,"",AVERAGEIF('09월 에너지'!$A$14:$A$949,$A25,'09월 에너지'!X$14:X$949))</f>
        <v>2.4741657060587974</v>
      </c>
      <c r="CL25" s="892">
        <f>IF($B25&lt;1,"",AVERAGEIF('09월 에너지'!$A$14:$A$949,$A25,'09월 에너지'!Y$14:Y$949))</f>
        <v>1594.741935483871</v>
      </c>
      <c r="CM25" s="892">
        <f>IF($B25&lt;1,"",AVERAGEIF('09월 에너지'!$A$14:$A$949,$A25,'09월 에너지'!Z$14:Z$949))</f>
        <v>1403.9354838709678</v>
      </c>
      <c r="CN25" s="892">
        <f>IF($B25&lt;1,"",AVERAGEIF('09월 에너지'!$A$14:$A$949,$A25,'09월 에너지'!AA$14:AA$949))</f>
        <v>806.48387096774195</v>
      </c>
      <c r="CO25" s="892">
        <f>IF($B25&lt;1,"",AVERAGEIF('09월 에너지'!$A$14:$A$949,$A25,'09월 에너지'!AB$14:AB$949))</f>
        <v>3805.1612903225805</v>
      </c>
      <c r="CP25" s="890">
        <f>IF($B25&lt;1,"",AVERAGEIF('09월 에너지'!$A$14:$A$949,$A25,'09월 에너지'!AC$14:AC$949))</f>
        <v>26.604273352458375</v>
      </c>
      <c r="CQ25" s="888">
        <f>IF($B25&lt;1,"",AVERAGEIF('09월 에너지'!$A$14:$A$949,$A25,'09월 에너지'!AD$14:AD$949))</f>
        <v>4159.1290322580644</v>
      </c>
      <c r="CR25" s="888">
        <f>IF($B25&lt;1,"",AVERAGEIF('09월 에너지'!$A$14:$A$949,$A25,'09월 에너지'!AE$14:AE$949))</f>
        <v>29.078439058517183</v>
      </c>
      <c r="CS25" s="890">
        <f>IF($B25&lt;1,"",AVERAGEIF('09월 에너지'!$A$14:$A$949,$A25,'09월 에너지'!AF$14:AF$949))</f>
        <v>81.387096774193552</v>
      </c>
      <c r="CT25" s="890">
        <f>IF($B25&lt;1,"",AVERAGEIF('09월 에너지'!$A$14:$A$949,$A25,'09월 에너지'!AG$14:AG$949))</f>
        <v>64.129032258064512</v>
      </c>
      <c r="CU25" s="890">
        <f>IF($B25&lt;1,"",AVERAGEIF('09월 에너지'!$A$14:$A$949,$A25,'09월 에너지'!AH$14:AH$949))</f>
        <v>6.967741935483871</v>
      </c>
      <c r="CV25" s="890">
        <f>IF($B25&lt;1,"",AVERAGEIF('09월 에너지'!$A$14:$A$949,$A25,'09월 에너지'!AI$14:AI$949))</f>
        <v>152.48387096774192</v>
      </c>
      <c r="CW25" s="893">
        <f>IF($B25&lt;1,"",AVERAGEIF('09월 에너지'!$A$14:$A$949,$A25,'09월 에너지'!AJ$14:AJ$949))</f>
        <v>1.0662090395416972</v>
      </c>
    </row>
    <row r="26" spans="1:101" ht="15.75" customHeight="1">
      <c r="A26" s="883">
        <f t="shared" si="1"/>
        <v>46287</v>
      </c>
      <c r="B26" s="884">
        <f>COUNTIF('09월 조업일지'!$A$12:$A$952,A26)</f>
        <v>18</v>
      </c>
      <c r="C26" s="885">
        <f t="shared" si="0"/>
        <v>50.277777777777786</v>
      </c>
      <c r="D26" s="885">
        <f>IF($B26&lt;1,"",(SUMIF('09월 조업일지'!$A$12:$A$952,$A26,'09월 조업일지'!$K$12:$K$952))/B26)</f>
        <v>29.333333333333332</v>
      </c>
      <c r="E26" s="885">
        <f>IF($B26&lt;1,"",AVERAGEIF('09월 조업일지'!$A$12:$A$952,$A26,'09월 조업일지'!$J$12:$J$952))</f>
        <v>79.611111111111114</v>
      </c>
      <c r="F26" s="886">
        <f>IF($B26&lt;1,"",AVERAGEIF('09월 에너지'!$A$14:$A$949,$A26,'09월 에너지'!$M$14:M$949))</f>
        <v>45.522222222222211</v>
      </c>
      <c r="G26" s="887">
        <f>IF($B26&lt;1,"",AVERAGEIF('09월 조업일지'!$A$12:$A$952,$A26,'09월 조업일지'!$AJ$12:$AJ$952))</f>
        <v>45.388888888888886</v>
      </c>
      <c r="H26" s="887">
        <f>IF($B26&lt;1,"",AVERAGEIF('09월 조업일지'!$A$12:$A$952,$A26,'09월 조업일지'!$AL$12:$AL$952))</f>
        <v>8.0625</v>
      </c>
      <c r="I26" s="888">
        <f>IF($B26&lt;1,"",AVERAGEIF('09월 화학성분'!$A$12:$A$949,$A26,'09월 화학성분'!G$12:G$949))</f>
        <v>10.611111111111111</v>
      </c>
      <c r="J26" s="888">
        <f>IF($B26&lt;1,"",AVERAGEIF('09월 화학성분'!$A$12:$A$949,$A26,'09월 화학성분'!H$12:H$949))</f>
        <v>19.833333333333332</v>
      </c>
      <c r="K26" s="888">
        <f>IF($B26&lt;1,"",AVERAGEIF('09월 화학성분'!$A$12:$A$949,$A26,'09월 화학성분'!I$12:I$949))</f>
        <v>81.388888888888886</v>
      </c>
      <c r="L26" s="888">
        <f>IF($B26&lt;1,"",AVERAGEIF('09월 화학성분'!$A$12:$A$949,$A26,'09월 화학성분'!J$12:J$949))</f>
        <v>16.333333333333332</v>
      </c>
      <c r="M26" s="888">
        <f>IF($B26&lt;1,"",AVERAGEIF('09월 화학성분'!$A$12:$A$949,$A26,'09월 화학성분'!K$12:K$949))</f>
        <v>28.833333333333332</v>
      </c>
      <c r="N26" s="888">
        <f>IF($B26&lt;1,"",AVERAGEIF('09월 화학성분'!$A$12:$A$949,$A26,'09월 화학성분'!L$12:L$949))</f>
        <v>12.777777777777779</v>
      </c>
      <c r="O26" s="888">
        <f>IF($B26&lt;1,"",AVERAGEIF('09월 화학성분'!$A$12:$A$949,$A26,'09월 화학성분'!M$12:M$949))</f>
        <v>12.611111111111111</v>
      </c>
      <c r="P26" s="889">
        <f>IF($B26&lt;1,"",AVERAGEIF('09월 조업일지'!$A$12:$A$952,$A26,'09월 조업일지'!$AK$12:$AK$952))</f>
        <v>585.47058823529414</v>
      </c>
      <c r="Q26" s="888">
        <f>IF($B26&lt;1,"",AVERAGEIF('09월 화학성분'!$A$12:$A$949,$A26,'09월 화학성분'!$G$12:$G$949))</f>
        <v>10.611111111111111</v>
      </c>
      <c r="R26" s="889">
        <f>IF($B26&lt;1,"",AVERAGEIF('09월 조업일지'!$A$12:$A$952,$A26,'09월 조업일지'!$AI$12:$AI$952))</f>
        <v>1571.8888888888889</v>
      </c>
      <c r="S26" s="888">
        <f>IF($B26&lt;1,"",AVERAGEIF('09월 화학성분'!$A$12:$A$949,$A26,'09월 화학성분'!$AM$12:$AM$949))</f>
        <v>2333.1111111111113</v>
      </c>
      <c r="T26" s="890">
        <f>IF($B26&lt;1,"",AVERAGEIF('09월 화학성분'!$A$12:$A$949,$A26,'09월 화학성분'!N$12:N$949))</f>
        <v>439.38888888888891</v>
      </c>
      <c r="U26" s="890" t="e">
        <f>IF($B26&lt;1,"",AVERAGEIF('09월 화학성분'!$A$12:$A$949,$A26,'09월 화학성분'!O$12:O$949))</f>
        <v>#DIV/0!</v>
      </c>
      <c r="V26" s="890">
        <f>IF($B26&lt;1,"",AVERAGEIF('09월 화학성분'!$A$12:$A$949,$A26,'09월 화학성분'!P$12:P$949))</f>
        <v>1042.2222222222222</v>
      </c>
      <c r="W26" s="890">
        <f>IF($B26&lt;1,"",AVERAGEIF('09월 화학성분'!$A$12:$A$949,$A26,'09월 화학성분'!Q$12:Q$949))</f>
        <v>1017.5555555555555</v>
      </c>
      <c r="X26" s="890" t="e">
        <f>IF($B26&lt;1,"",AVERAGEIF('09월 화학성분'!$A$12:$A$949,$A26,'09월 화학성분'!R$12:R$949))</f>
        <v>#DIV/0!</v>
      </c>
      <c r="Y26" s="890" t="e">
        <f>IF($B26&lt;1,"",AVERAGEIF('09월 화학성분'!$A$12:$A$949,$A26,'09월 화학성분'!U$12:U$949))</f>
        <v>#DIV/0!</v>
      </c>
      <c r="Z26" s="890">
        <f>IF($B26&lt;1,"",AVERAGEIF('09월 화학성분'!$A$12:$A$949,$A26,'09월 화학성분'!V$12:V$949))</f>
        <v>436.5</v>
      </c>
      <c r="AA26" s="890" t="e">
        <f>IF($B26&lt;1,"",AVERAGEIF('09월 화학성분'!$A$12:$A$949,$A26,'09월 화학성분'!W$12:W$949))</f>
        <v>#DIV/0!</v>
      </c>
      <c r="AB26" s="890" t="e">
        <f>IF($B26&lt;1,"",AVERAGEIF('09월 화학성분'!$A$12:$A$949,$A26,'09월 화학성분'!AA$12:AA$949))</f>
        <v>#DIV/0!</v>
      </c>
      <c r="AC26" s="890" t="e">
        <f>IF($B26&lt;1,"",AVERAGEIF('09월 화학성분'!$A$12:$A$949,$A26,'09월 화학성분'!#REF!))</f>
        <v>#REF!</v>
      </c>
      <c r="AD26" s="890">
        <f>IF($B26&lt;1,"",AVERAGEIF('09월 화학성분'!$A$12:$A$949,$A26,'09월 화학성분'!AB$12:AB$949))</f>
        <v>86.166666666666671</v>
      </c>
      <c r="AE26" s="890" t="e">
        <f>IF($B26&lt;1,"",AVERAGEIF('09월 화학성분'!$A$12:$A$949,$A26,'09월 화학성분'!AC$12:AC$949))</f>
        <v>#DIV/0!</v>
      </c>
      <c r="AF26" s="890">
        <f>IF($B26&lt;1,"",AVERAGEIF('09월 화학성분'!$A$12:$A$949,$A26,'09월 화학성분'!AD$12:AD$949))</f>
        <v>270.0625</v>
      </c>
      <c r="AG26" s="890">
        <f>IF($B26&lt;1,"",AVERAGEIF('09월 화학성분'!$A$12:$A$949,$A26,'09월 화학성분'!AF$12:AF$949))</f>
        <v>100.83333333333333</v>
      </c>
      <c r="AH26" s="890">
        <f>IF($B26&lt;1,"",AVERAGEIF('09월 화학성분'!$A$12:$A$949,$A26,'09월 화학성분'!AG$12:AG$949))</f>
        <v>95.1</v>
      </c>
      <c r="AI26" s="890">
        <f>IF($B26&lt;1,"",AVERAGEIF('09월 화학성분'!$A$12:$A$949,$A26,'09월 화학성분'!AH$12:AH$949))</f>
        <v>1341</v>
      </c>
      <c r="AJ26" s="890">
        <f>IF($B26&lt;1,"",AVERAGEIF('09월 화학성분'!$A$12:$A$949,$A26,'09월 화학성분'!AI$12:AI$949))</f>
        <v>303.92307692307691</v>
      </c>
      <c r="AK26" s="890">
        <f>IF($B26&lt;1,"",AVERAGEIF('09월 화학성분'!$A$12:$A$949,$A26,'09월 화학성분'!AJ$12:AJ$949))</f>
        <v>78</v>
      </c>
      <c r="AL26" s="890" t="e">
        <f>IF($B26&lt;1,"",AVERAGEIF('09월 화학성분'!$A$12:$A$949,$A26,'09월 화학성분'!#REF!))</f>
        <v>#REF!</v>
      </c>
      <c r="AM26" s="890">
        <f>IF($B26&lt;1,"",AVERAGEIF('09월 화학성분'!$A$12:$A$949,$A26,'09월 화학성분'!AL$12:AL$949))</f>
        <v>134.14285714285714</v>
      </c>
      <c r="AN26" s="890">
        <f>IF($B26&lt;1,"",AVERAGEIF('09월 화학성분'!$A$12:$A$949,$A26,'09월 화학성분'!AM$12:AM$949))</f>
        <v>2333.1111111111113</v>
      </c>
      <c r="AO26" s="891">
        <f>IF($B26&lt;1,"",AVERAGEIF('09월 화학성분'!$A$12:$A$949,$A26,'09월 화학성분'!AN$12:AN$949))</f>
        <v>0.68744857093098266</v>
      </c>
      <c r="AP26" s="891">
        <f>IF($B26&lt;1,"",AVERAGEIF('09월 화학성분'!$A$12:$A$949,$A26,'09월 화학성분'!AO$12:AO$949))</f>
        <v>1.0375596462437791</v>
      </c>
      <c r="AQ26" s="890">
        <f>IF($B26&lt;1,"",AVERAGEIF('09월 화학성분'!$A$12:$A$949,$A26,'09월 화학성분'!AP$12:AP$949))</f>
        <v>139.12777777777779</v>
      </c>
      <c r="AR26" s="890" t="e">
        <f>IF($B26&lt;1,"",AVERAGEIF('09월 고철장입'!$A$14:$A$949,$A26,'09월 고철장입'!G$14:G$949)/1000)</f>
        <v>#DIV/0!</v>
      </c>
      <c r="AS26" s="890" t="e">
        <f>IF($B26&lt;1,"",AVERAGEIF('09월 고철장입'!$A$14:$A$949,$A26,'09월 고철장입'!H$14:H$949)/1000)</f>
        <v>#DIV/0!</v>
      </c>
      <c r="AT26" s="890">
        <f>IF($B26&lt;1,"",AVERAGEIF('09월 고철장입'!$A$14:$A$949,$A26,'09월 고철장입'!I$14:I$949)/1000)</f>
        <v>11.135714285714286</v>
      </c>
      <c r="AU26" s="890" t="e">
        <f>IF($B26&lt;1,"",AVERAGEIF('09월 고철장입'!$A$14:$A$949,$A26,'09월 고철장입'!J$14:J$949)/1000)</f>
        <v>#DIV/0!</v>
      </c>
      <c r="AV26" s="890" t="e">
        <f>IF($B26&lt;1,"",AVERAGEIF('09월 고철장입'!$A$14:$A$949,$A26,'09월 고철장입'!K$14:K$949)/1000)</f>
        <v>#DIV/0!</v>
      </c>
      <c r="AW26" s="890" t="e">
        <f>IF($B26&lt;1,"",AVERAGEIF('09월 고철장입'!$A$14:$A$949,$A26,'09월 고철장입'!L$14:L$949)/1000)</f>
        <v>#DIV/0!</v>
      </c>
      <c r="AX26" s="890" t="e">
        <f>IF($B26&lt;1,"",AVERAGEIF('09월 고철장입'!$A$14:$A$949,$A26,'09월 고철장입'!M$14:M$949)/1000)</f>
        <v>#DIV/0!</v>
      </c>
      <c r="AY26" s="890" t="e">
        <f>IF($B26&lt;1,"",AVERAGEIF('09월 고철장입'!$A$14:$A$949,$A26,'09월 고철장입'!N$14:N$949)/1000)</f>
        <v>#DIV/0!</v>
      </c>
      <c r="AZ26" s="890">
        <f>IF($B26&lt;1,"",AVERAGEIF('09월 고철장입'!$A$14:$A$949,$A26,'09월 고철장입'!O$14:O$949)/1000)</f>
        <v>11.135714285714286</v>
      </c>
      <c r="BA26" s="890">
        <f>IF($B26&lt;1,"",AVERAGEIF('09월 고철장입'!$A$14:$A$949,$A26,'09월 고철장입'!P$14:P$949)/1000)</f>
        <v>33.072222222222216</v>
      </c>
      <c r="BB26" s="890">
        <f>IF($B26&lt;1,"",AVERAGEIF('09월 고철장입'!$A$14:$A$949,$A26,'09월 고철장입'!Q$14:Q$949)/1000)</f>
        <v>17.016666666666669</v>
      </c>
      <c r="BC26" s="890" t="e">
        <f>IF($B26&lt;1,"",AVERAGEIF('09월 고철장입'!$A$14:$A$949,$A26,'09월 고철장입'!S$14:S$949)/1000)</f>
        <v>#DIV/0!</v>
      </c>
      <c r="BD26" s="890" t="e">
        <f>IF($B26&lt;1,"",AVERAGEIF('09월 고철장입'!$A$14:$A$949,$A26,'09월 고철장입'!T$14:T$949)/1000)</f>
        <v>#DIV/0!</v>
      </c>
      <c r="BE26" s="890">
        <f>IF($B26&lt;1,"",AVERAGEIF('09월 고철장입'!$A$14:$A$949,$A26,'09월 고철장입'!U$14:U$949)/1000)</f>
        <v>14.6875</v>
      </c>
      <c r="BF26" s="890">
        <f>IF($B26&lt;1,"",AVERAGEIF('09월 고철장입'!$A$14:$A$949,$A26,'09월 고철장입'!V$14:V$949)/1000)</f>
        <v>26.883333333333333</v>
      </c>
      <c r="BG26" s="890">
        <f>IF($B26&lt;1,"",AVERAGEIF('09월 고철장입'!$A$14:$A$949,$A26,'09월 고철장입'!W$14:W$949)/1000)</f>
        <v>2.7571428571428571</v>
      </c>
      <c r="BH26" s="890">
        <f>IF($B26&lt;1,"",AVERAGEIF('09월 고철장입'!$A$14:$A$949,$A26,'09월 고철장입'!Y$14:Y$949)/1000)</f>
        <v>16.216666666666665</v>
      </c>
      <c r="BI26" s="890">
        <f>IF($B26&lt;1,"",AVERAGEIF('09월 고철장입'!$A$14:$A$949,$A26,'09월 고철장입'!AB$14:AB$949)/1000)</f>
        <v>2.6928571428571426</v>
      </c>
      <c r="BJ26" s="890">
        <f>IF($B26&lt;1,"",AVERAGEIF('09월 고철장입'!$A$14:$A$949,$A26,'09월 고철장입'!AC$14:AC$949)/1000)</f>
        <v>2.85</v>
      </c>
      <c r="BK26" s="890">
        <f>IF($B26&lt;1,"",AVERAGEIF('09월 고철장입'!$A$14:$A$949,$A26,'09월 고철장입'!AD$14:AD$949)/1000)</f>
        <v>6.375</v>
      </c>
      <c r="BL26" s="890">
        <f>IF($B26&lt;1,"",AVERAGEIF('09월 고철장입'!$A$14:$A$949,$A26,'09월 고철장입'!AE$14:AE$949)/1000)</f>
        <v>126.11666666666667</v>
      </c>
      <c r="BM26" s="890">
        <f>IF($B26&lt;1,"",AVERAGEIF('09월 고철장입'!$A$14:$A$949,$A26,'09월 고철장입'!AF$14:AF$949)/1000)</f>
        <v>4.2833333333333332</v>
      </c>
      <c r="BN26" s="890">
        <f>IF($B26&lt;1,"",AVERAGEIF('09월 고철장입'!$A$14:$A$949,$A26,'09월 고철장입'!AG$14:AG$949)/1000)</f>
        <v>10.844444444444445</v>
      </c>
      <c r="BO26" s="890">
        <f>IF($B26&lt;1,"",AVERAGEIF('09월 고철장입'!$A$14:$A$949,$A26,'09월 고철장입'!AH$14:AH$949)/1000)</f>
        <v>4.6500000000000004</v>
      </c>
      <c r="BP26" s="890">
        <f>IF($B26&lt;1,"",AVERAGEIF('09월 고철장입'!$A$14:$A$949,$A26,'09월 고철장입'!AI$14:AI$949)/1000)</f>
        <v>19.261111111111109</v>
      </c>
      <c r="BQ26" s="890">
        <f>IF($B26&lt;1,"",AVERAGEIF('09월 고철장입'!$A$14:$A$949,$A26,'09월 고철장입'!AJ$14:AJ$949)/1000)</f>
        <v>154.03888888888886</v>
      </c>
      <c r="BR26" s="890">
        <f>IF($B26&lt;1,"",AVERAGEIF('09월 고철장입'!$A$14:$A$949,$A26,'09월 고철장입'!AK$14:AK$949))</f>
        <v>139.12777777777779</v>
      </c>
      <c r="BS26" s="890">
        <f>IF($B26&lt;1,"",AVERAGEIF('09월 고철장입'!$A$14:$A$949,$A26,'09월 고철장입'!AL$14:AL$949)*100)</f>
        <v>91.100348179536255</v>
      </c>
      <c r="BT26" s="890">
        <f>IF($B26&lt;1,"",AVERAGEIF('09월 에너지'!$A$14:$A$949,$A26,'09월 에너지'!G$14:G$949))</f>
        <v>20.455555555555552</v>
      </c>
      <c r="BU26" s="892">
        <f>IF($B26&lt;1,"",AVERAGEIF('09월 에너지'!$A$14:$A$949,$A26,'09월 에너지'!H$14:H$949))</f>
        <v>23833.333333333332</v>
      </c>
      <c r="BV26" s="890">
        <f>IF($B26&lt;1,"",AVERAGEIF('09월 에너지'!$A$14:$A$949,$A26,'09월 에너지'!I$14:I$949))</f>
        <v>14.972222222222221</v>
      </c>
      <c r="BW26" s="892">
        <f>IF($B26&lt;1,"",AVERAGEIF('09월 에너지'!$A$14:$A$949,$A26,'09월 에너지'!J$14:J$949))</f>
        <v>18283.333333333332</v>
      </c>
      <c r="BX26" s="890">
        <f>IF($B26&lt;1,"",AVERAGEIF('09월 에너지'!$A$14:$A$949,$A26,'09월 에너지'!K$14:K$949))</f>
        <v>10.094444444444443</v>
      </c>
      <c r="BY26" s="892">
        <f>IF($B26&lt;1,"",AVERAGEIF('09월 에너지'!$A$14:$A$949,$A26,'09월 에너지'!L$14:L$949))</f>
        <v>13350</v>
      </c>
      <c r="BZ26" s="890">
        <f>IF($B26&lt;1,"",AVERAGEIF('09월 에너지'!$A$14:$A$949,$A26,'09월 에너지'!M$14:M$949))</f>
        <v>45.522222222222211</v>
      </c>
      <c r="CA26" s="892">
        <f>IF($B26&lt;1,"",AVERAGEIF('09월 에너지'!$A$14:$A$949,$A26,'09월 에너지'!N$14:N$949))</f>
        <v>55466.666666666664</v>
      </c>
      <c r="CB26" s="890">
        <f>IF($B26&lt;1,"",AVERAGEIF('09월 에너지'!$A$14:$A$949,$A26,'09월 에너지'!O$14:O$949))</f>
        <v>172.37312368613092</v>
      </c>
      <c r="CC26" s="890">
        <f>IF($B26&lt;1,"",AVERAGEIF('09월 에너지'!$A$14:$A$949,$A26,'09월 에너지'!P$14:P$949))</f>
        <v>130.73292090642616</v>
      </c>
      <c r="CD26" s="890">
        <f>IF($B26&lt;1,"",AVERAGEIF('09월 에너지'!$A$14:$A$949,$A26,'09월 에너지'!Q$14:Q$949))</f>
        <v>96.747957832349357</v>
      </c>
      <c r="CE26" s="890">
        <f>IF($B26&lt;1,"",AVERAGEIF('09월 에너지'!$A$14:$A$949,$A26,'09월 에너지'!R$14:R$949))</f>
        <v>399.85400242490658</v>
      </c>
      <c r="CF26" s="890">
        <f>IF($B26&lt;1,"",AVERAGEIF('09월 에너지'!$A$14:$A$949,$A26,'09월 에너지'!S$14:S$949))</f>
        <v>139.12777777777779</v>
      </c>
      <c r="CG26" s="890">
        <f>IF($B26&lt;1,"",AVERAGEIF('09월 에너지'!$A$14:$A$949,$A26,'09월 에너지'!T$14:T$949))</f>
        <v>0</v>
      </c>
      <c r="CH26" s="890">
        <f>IF($B26&lt;1,"",AVERAGEIF('09월 에너지'!$A$14:$A$949,$A26,'09월 에너지'!U$14:U$949))</f>
        <v>58.611111111111114</v>
      </c>
      <c r="CI26" s="892">
        <f>IF($B26&lt;1,"",AVERAGEIF('09월 에너지'!$A$14:$A$949,$A26,'09월 에너지'!V$14:V$949))</f>
        <v>347.33333333333331</v>
      </c>
      <c r="CJ26" s="892">
        <f>IF($B26&lt;1,"",AVERAGEIF('09월 에너지'!$A$14:$A$949,$A26,'09월 에너지'!W$14:W$949))</f>
        <v>405.94444444444446</v>
      </c>
      <c r="CK26" s="890">
        <f>IF($B26&lt;1,"",AVERAGEIF('09월 에너지'!$A$14:$A$949,$A26,'09월 에너지'!X$14:X$949))</f>
        <v>2.9587120582053652</v>
      </c>
      <c r="CL26" s="892">
        <f>IF($B26&lt;1,"",AVERAGEIF('09월 에너지'!$A$14:$A$949,$A26,'09월 에너지'!Y$14:Y$949))</f>
        <v>1650.5555555555557</v>
      </c>
      <c r="CM26" s="892">
        <f>IF($B26&lt;1,"",AVERAGEIF('09월 에너지'!$A$14:$A$949,$A26,'09월 에너지'!Z$14:Z$949))</f>
        <v>1245.4444444444443</v>
      </c>
      <c r="CN26" s="892">
        <f>IF($B26&lt;1,"",AVERAGEIF('09월 에너지'!$A$14:$A$949,$A26,'09월 에너지'!AA$14:AA$949))</f>
        <v>947.44444444444446</v>
      </c>
      <c r="CO26" s="892">
        <f>IF($B26&lt;1,"",AVERAGEIF('09월 에너지'!$A$14:$A$949,$A26,'09월 에너지'!AB$14:AB$949))</f>
        <v>3843.4444444444443</v>
      </c>
      <c r="CP26" s="890">
        <f>IF($B26&lt;1,"",AVERAGEIF('09월 에너지'!$A$14:$A$949,$A26,'09월 에너지'!AC$14:AC$949))</f>
        <v>27.719346499404949</v>
      </c>
      <c r="CQ26" s="888">
        <f>IF($B26&lt;1,"",AVERAGEIF('09월 에너지'!$A$14:$A$949,$A26,'09월 에너지'!AD$14:AD$949))</f>
        <v>4249.3888888888887</v>
      </c>
      <c r="CR26" s="888">
        <f>IF($B26&lt;1,"",AVERAGEIF('09월 에너지'!$A$14:$A$949,$A26,'09월 에너지'!AE$14:AE$949))</f>
        <v>30.678058557610314</v>
      </c>
      <c r="CS26" s="890">
        <f>IF($B26&lt;1,"",AVERAGEIF('09월 에너지'!$A$14:$A$949,$A26,'09월 에너지'!AF$14:AF$949))</f>
        <v>84.777777777777771</v>
      </c>
      <c r="CT26" s="890">
        <f>IF($B26&lt;1,"",AVERAGEIF('09월 에너지'!$A$14:$A$949,$A26,'09월 에너지'!AG$14:AG$949))</f>
        <v>56.166666666666664</v>
      </c>
      <c r="CU26" s="890">
        <f>IF($B26&lt;1,"",AVERAGEIF('09월 에너지'!$A$14:$A$949,$A26,'09월 에너지'!AH$14:AH$949))</f>
        <v>8.1666666666666661</v>
      </c>
      <c r="CV26" s="890">
        <f>IF($B26&lt;1,"",AVERAGEIF('09월 에너지'!$A$14:$A$949,$A26,'09월 에너지'!AI$14:AI$949))</f>
        <v>149.11111111111111</v>
      </c>
      <c r="CW26" s="893">
        <f>IF($B26&lt;1,"",AVERAGEIF('09월 에너지'!$A$14:$A$949,$A26,'09월 에너지'!AJ$14:AJ$949))</f>
        <v>1.0728780605668917</v>
      </c>
    </row>
    <row r="27" spans="1:101" ht="15.75" customHeight="1">
      <c r="A27" s="883">
        <f t="shared" si="1"/>
        <v>46288</v>
      </c>
      <c r="B27" s="884">
        <f>COUNTIF('09월 조업일지'!$A$12:$A$952,A27)</f>
        <v>30</v>
      </c>
      <c r="C27" s="885">
        <f t="shared" si="0"/>
        <v>47.5</v>
      </c>
      <c r="D27" s="885">
        <f>IF($B27&lt;1,"",(SUMIF('09월 조업일지'!$A$12:$A$952,$A27,'09월 조업일지'!$K$12:$K$952))/B27)</f>
        <v>0</v>
      </c>
      <c r="E27" s="885">
        <f>IF($B27&lt;1,"",AVERAGEIF('09월 조업일지'!$A$12:$A$952,$A27,'09월 조업일지'!$J$12:$J$952))</f>
        <v>47.5</v>
      </c>
      <c r="F27" s="886">
        <f>IF($B27&lt;1,"",AVERAGEIF('09월 에너지'!$A$14:$A$949,$A27,'09월 에너지'!$M$14:M$949))</f>
        <v>45.926666666666669</v>
      </c>
      <c r="G27" s="887">
        <f>IF($B27&lt;1,"",AVERAGEIF('09월 조업일지'!$A$12:$A$952,$A27,'09월 조업일지'!$AJ$12:$AJ$952))</f>
        <v>13.2</v>
      </c>
      <c r="H27" s="887">
        <f>IF($B27&lt;1,"",AVERAGEIF('09월 조업일지'!$A$12:$A$952,$A27,'09월 조업일지'!$AL$12:$AL$952))</f>
        <v>7.1379310344827589</v>
      </c>
      <c r="I27" s="888">
        <f>IF($B27&lt;1,"",AVERAGEIF('09월 화학성분'!$A$12:$A$949,$A27,'09월 화학성분'!G$12:G$949))</f>
        <v>9.6</v>
      </c>
      <c r="J27" s="888">
        <f>IF($B27&lt;1,"",AVERAGEIF('09월 화학성분'!$A$12:$A$949,$A27,'09월 화학성분'!H$12:H$949))</f>
        <v>21.366666666666667</v>
      </c>
      <c r="K27" s="888">
        <f>IF($B27&lt;1,"",AVERAGEIF('09월 화학성분'!$A$12:$A$949,$A27,'09월 화학성분'!I$12:I$949))</f>
        <v>79.166666666666671</v>
      </c>
      <c r="L27" s="888">
        <f>IF($B27&lt;1,"",AVERAGEIF('09월 화학성분'!$A$12:$A$949,$A27,'09월 화학성분'!J$12:J$949))</f>
        <v>14.533333333333333</v>
      </c>
      <c r="M27" s="888">
        <f>IF($B27&lt;1,"",AVERAGEIF('09월 화학성분'!$A$12:$A$949,$A27,'09월 화학성분'!K$12:K$949))</f>
        <v>31.9</v>
      </c>
      <c r="N27" s="888">
        <f>IF($B27&lt;1,"",AVERAGEIF('09월 화학성분'!$A$12:$A$949,$A27,'09월 화학성분'!L$12:L$949))</f>
        <v>12.1</v>
      </c>
      <c r="O27" s="888">
        <f>IF($B27&lt;1,"",AVERAGEIF('09월 화학성분'!$A$12:$A$949,$A27,'09월 화학성분'!M$12:M$949))</f>
        <v>9.8666666666666671</v>
      </c>
      <c r="P27" s="889">
        <f>IF($B27&lt;1,"",AVERAGEIF('09월 조업일지'!$A$12:$A$952,$A27,'09월 조업일지'!$AK$12:$AK$952))</f>
        <v>614.31034482758616</v>
      </c>
      <c r="Q27" s="888">
        <f>IF($B27&lt;1,"",AVERAGEIF('09월 화학성분'!$A$12:$A$949,$A27,'09월 화학성분'!$G$12:$G$949))</f>
        <v>9.6</v>
      </c>
      <c r="R27" s="889">
        <f>IF($B27&lt;1,"",AVERAGEIF('09월 조업일지'!$A$12:$A$952,$A27,'09월 조업일지'!$AI$12:$AI$952))</f>
        <v>1573.9333333333334</v>
      </c>
      <c r="S27" s="888">
        <f>IF($B27&lt;1,"",AVERAGEIF('09월 화학성분'!$A$12:$A$949,$A27,'09월 화학성분'!$AM$12:$AM$949))</f>
        <v>1762.8</v>
      </c>
      <c r="T27" s="890">
        <f>IF($B27&lt;1,"",AVERAGEIF('09월 화학성분'!$A$12:$A$949,$A27,'09월 화학성분'!N$12:N$949))</f>
        <v>419.23333333333335</v>
      </c>
      <c r="U27" s="890" t="e">
        <f>IF($B27&lt;1,"",AVERAGEIF('09월 화학성분'!$A$12:$A$949,$A27,'09월 화학성분'!O$12:O$949))</f>
        <v>#DIV/0!</v>
      </c>
      <c r="V27" s="890">
        <f>IF($B27&lt;1,"",AVERAGEIF('09월 화학성분'!$A$12:$A$949,$A27,'09월 화학성분'!P$12:P$949))</f>
        <v>1012.5333333333333</v>
      </c>
      <c r="W27" s="890">
        <f>IF($B27&lt;1,"",AVERAGEIF('09월 화학성분'!$A$12:$A$949,$A27,'09월 화학성분'!Q$12:Q$949))</f>
        <v>954.06666666666672</v>
      </c>
      <c r="X27" s="890" t="e">
        <f>IF($B27&lt;1,"",AVERAGEIF('09월 화학성분'!$A$12:$A$949,$A27,'09월 화학성분'!R$12:R$949))</f>
        <v>#DIV/0!</v>
      </c>
      <c r="Y27" s="890" t="e">
        <f>IF($B27&lt;1,"",AVERAGEIF('09월 화학성분'!$A$12:$A$949,$A27,'09월 화학성분'!U$12:U$949))</f>
        <v>#DIV/0!</v>
      </c>
      <c r="Z27" s="890">
        <f>IF($B27&lt;1,"",AVERAGEIF('09월 화학성분'!$A$12:$A$949,$A27,'09월 화학성분'!V$12:V$949))</f>
        <v>420.66666666666669</v>
      </c>
      <c r="AA27" s="890" t="e">
        <f>IF($B27&lt;1,"",AVERAGEIF('09월 화학성분'!$A$12:$A$949,$A27,'09월 화학성분'!W$12:W$949))</f>
        <v>#DIV/0!</v>
      </c>
      <c r="AB27" s="890" t="e">
        <f>IF($B27&lt;1,"",AVERAGEIF('09월 화학성분'!$A$12:$A$949,$A27,'09월 화학성분'!AA$12:AA$949))</f>
        <v>#DIV/0!</v>
      </c>
      <c r="AC27" s="890" t="e">
        <f>IF($B27&lt;1,"",AVERAGEIF('09월 화학성분'!$A$12:$A$949,$A27,'09월 화학성분'!#REF!))</f>
        <v>#REF!</v>
      </c>
      <c r="AD27" s="890" t="e">
        <f>IF($B27&lt;1,"",AVERAGEIF('09월 화학성분'!$A$12:$A$949,$A27,'09월 화학성분'!AB$12:AB$949))</f>
        <v>#DIV/0!</v>
      </c>
      <c r="AE27" s="890" t="e">
        <f>IF($B27&lt;1,"",AVERAGEIF('09월 화학성분'!$A$12:$A$949,$A27,'09월 화학성분'!AC$12:AC$949))</f>
        <v>#DIV/0!</v>
      </c>
      <c r="AF27" s="890">
        <f>IF($B27&lt;1,"",AVERAGEIF('09월 화학성분'!$A$12:$A$949,$A27,'09월 화학성분'!AD$12:AD$949))</f>
        <v>284.93333333333334</v>
      </c>
      <c r="AG27" s="890" t="e">
        <f>IF($B27&lt;1,"",AVERAGEIF('09월 화학성분'!$A$12:$A$949,$A27,'09월 화학성분'!AF$12:AF$949))</f>
        <v>#DIV/0!</v>
      </c>
      <c r="AH27" s="890">
        <f>IF($B27&lt;1,"",AVERAGEIF('09월 화학성분'!$A$12:$A$949,$A27,'09월 화학성분'!AG$12:AG$949))</f>
        <v>104.63333333333334</v>
      </c>
      <c r="AI27" s="890">
        <f>IF($B27&lt;1,"",AVERAGEIF('09월 화학성분'!$A$12:$A$949,$A27,'09월 화학성분'!AH$12:AH$949))</f>
        <v>1369.1666666666667</v>
      </c>
      <c r="AJ27" s="890">
        <f>IF($B27&lt;1,"",AVERAGEIF('09월 화학성분'!$A$12:$A$949,$A27,'09월 화학성분'!AI$12:AI$949))</f>
        <v>339.5263157894737</v>
      </c>
      <c r="AK27" s="890">
        <f>IF($B27&lt;1,"",AVERAGEIF('09월 화학성분'!$A$12:$A$949,$A27,'09월 화학성분'!AJ$12:AJ$949))</f>
        <v>81.8</v>
      </c>
      <c r="AL27" s="890" t="e">
        <f>IF($B27&lt;1,"",AVERAGEIF('09월 화학성분'!$A$12:$A$949,$A27,'09월 화학성분'!#REF!))</f>
        <v>#REF!</v>
      </c>
      <c r="AM27" s="890">
        <f>IF($B27&lt;1,"",AVERAGEIF('09월 화학성분'!$A$12:$A$949,$A27,'09월 화학성분'!AL$12:AL$949))</f>
        <v>123.3</v>
      </c>
      <c r="AN27" s="890">
        <f>IF($B27&lt;1,"",AVERAGEIF('09월 화학성분'!$A$12:$A$949,$A27,'09월 화학성분'!AM$12:AM$949))</f>
        <v>1762.8</v>
      </c>
      <c r="AO27" s="891">
        <f>IF($B27&lt;1,"",AVERAGEIF('09월 화학성분'!$A$12:$A$949,$A27,'09월 화학성분'!AN$12:AN$949))</f>
        <v>0.83978763982693361</v>
      </c>
      <c r="AP27" s="891">
        <f>IF($B27&lt;1,"",AVERAGEIF('09월 화학성분'!$A$12:$A$949,$A27,'09월 화학성분'!AO$12:AO$949))</f>
        <v>0.9832964575252775</v>
      </c>
      <c r="AQ27" s="890">
        <f>IF($B27&lt;1,"",AVERAGEIF('09월 화학성분'!$A$12:$A$949,$A27,'09월 화학성분'!AP$12:AP$949))</f>
        <v>144.22333333333336</v>
      </c>
      <c r="AR27" s="890" t="e">
        <f>IF($B27&lt;1,"",AVERAGEIF('09월 고철장입'!$A$14:$A$949,$A27,'09월 고철장입'!G$14:G$949)/1000)</f>
        <v>#DIV/0!</v>
      </c>
      <c r="AS27" s="890" t="e">
        <f>IF($B27&lt;1,"",AVERAGEIF('09월 고철장입'!$A$14:$A$949,$A27,'09월 고철장입'!H$14:H$949)/1000)</f>
        <v>#DIV/0!</v>
      </c>
      <c r="AT27" s="890">
        <f>IF($B27&lt;1,"",AVERAGEIF('09월 고철장입'!$A$14:$A$949,$A27,'09월 고철장입'!I$14:I$949)/1000)</f>
        <v>14.043333333333335</v>
      </c>
      <c r="AU27" s="890" t="e">
        <f>IF($B27&lt;1,"",AVERAGEIF('09월 고철장입'!$A$14:$A$949,$A27,'09월 고철장입'!J$14:J$949)/1000)</f>
        <v>#DIV/0!</v>
      </c>
      <c r="AV27" s="890" t="e">
        <f>IF($B27&lt;1,"",AVERAGEIF('09월 고철장입'!$A$14:$A$949,$A27,'09월 고철장입'!K$14:K$949)/1000)</f>
        <v>#DIV/0!</v>
      </c>
      <c r="AW27" s="890" t="e">
        <f>IF($B27&lt;1,"",AVERAGEIF('09월 고철장입'!$A$14:$A$949,$A27,'09월 고철장입'!L$14:L$949)/1000)</f>
        <v>#DIV/0!</v>
      </c>
      <c r="AX27" s="890" t="e">
        <f>IF($B27&lt;1,"",AVERAGEIF('09월 고철장입'!$A$14:$A$949,$A27,'09월 고철장입'!M$14:M$949)/1000)</f>
        <v>#DIV/0!</v>
      </c>
      <c r="AY27" s="890" t="e">
        <f>IF($B27&lt;1,"",AVERAGEIF('09월 고철장입'!$A$14:$A$949,$A27,'09월 고철장입'!N$14:N$949)/1000)</f>
        <v>#DIV/0!</v>
      </c>
      <c r="AZ27" s="890">
        <f>IF($B27&lt;1,"",AVERAGEIF('09월 고철장입'!$A$14:$A$949,$A27,'09월 고철장입'!O$14:O$949)/1000)</f>
        <v>14.043333333333335</v>
      </c>
      <c r="BA27" s="890">
        <f>IF($B27&lt;1,"",AVERAGEIF('09월 고철장입'!$A$14:$A$949,$A27,'09월 고철장입'!P$14:P$949)/1000)</f>
        <v>51.553333333333335</v>
      </c>
      <c r="BB27" s="890">
        <f>IF($B27&lt;1,"",AVERAGEIF('09월 고철장입'!$A$14:$A$949,$A27,'09월 고철장입'!Q$14:Q$949)/1000)</f>
        <v>18.273333333333333</v>
      </c>
      <c r="BC27" s="890" t="e">
        <f>IF($B27&lt;1,"",AVERAGEIF('09월 고철장입'!$A$14:$A$949,$A27,'09월 고철장입'!S$14:S$949)/1000)</f>
        <v>#DIV/0!</v>
      </c>
      <c r="BD27" s="890" t="e">
        <f>IF($B27&lt;1,"",AVERAGEIF('09월 고철장입'!$A$14:$A$949,$A27,'09월 고철장입'!T$14:T$949)/1000)</f>
        <v>#DIV/0!</v>
      </c>
      <c r="BE27" s="890">
        <f>IF($B27&lt;1,"",AVERAGEIF('09월 고철장입'!$A$14:$A$949,$A27,'09월 고철장입'!U$14:U$949)/1000)</f>
        <v>4.8789473684210529</v>
      </c>
      <c r="BF27" s="890">
        <f>IF($B27&lt;1,"",AVERAGEIF('09월 고철장입'!$A$14:$A$949,$A27,'09월 고철장입'!V$14:V$949)/1000)</f>
        <v>16.716666666666669</v>
      </c>
      <c r="BG27" s="890">
        <f>IF($B27&lt;1,"",AVERAGEIF('09월 고철장입'!$A$14:$A$949,$A27,'09월 고철장입'!W$14:W$949)/1000)</f>
        <v>2.8</v>
      </c>
      <c r="BH27" s="890">
        <f>IF($B27&lt;1,"",AVERAGEIF('09월 고철장입'!$A$14:$A$949,$A27,'09월 고철장입'!Y$14:Y$949)/1000)</f>
        <v>6.94</v>
      </c>
      <c r="BI27" s="890">
        <f>IF($B27&lt;1,"",AVERAGEIF('09월 고철장입'!$A$14:$A$949,$A27,'09월 고철장입'!AB$14:AB$949)/1000)</f>
        <v>3.1233333333333335</v>
      </c>
      <c r="BJ27" s="890">
        <f>IF($B27&lt;1,"",AVERAGEIF('09월 고철장입'!$A$14:$A$949,$A27,'09월 고철장입'!AC$14:AC$949)/1000)</f>
        <v>2.2684210526315787</v>
      </c>
      <c r="BK27" s="890">
        <f>IF($B27&lt;1,"",AVERAGEIF('09월 고철장입'!$A$14:$A$949,$A27,'09월 고철장입'!AD$14:AD$949)/1000)</f>
        <v>3.9466666666666663</v>
      </c>
      <c r="BL27" s="890">
        <f>IF($B27&lt;1,"",AVERAGEIF('09월 고철장입'!$A$14:$A$949,$A27,'09월 고철장입'!AE$14:AE$949)/1000)</f>
        <v>126.64</v>
      </c>
      <c r="BM27" s="890">
        <f>IF($B27&lt;1,"",AVERAGEIF('09월 고철장입'!$A$14:$A$949,$A27,'09월 고철장입'!AF$14:AF$949)/1000)</f>
        <v>4.25</v>
      </c>
      <c r="BN27" s="890">
        <f>IF($B27&lt;1,"",AVERAGEIF('09월 고철장입'!$A$14:$A$949,$A27,'09월 고철장입'!AG$14:AG$949)/1000)</f>
        <v>9.26</v>
      </c>
      <c r="BO27" s="890">
        <f>IF($B27&lt;1,"",AVERAGEIF('09월 고철장입'!$A$14:$A$949,$A27,'09월 고철장입'!AH$14:AH$949)/1000)</f>
        <v>4.83</v>
      </c>
      <c r="BP27" s="890">
        <f>IF($B27&lt;1,"",AVERAGEIF('09월 고철장입'!$A$14:$A$949,$A27,'09월 고철장입'!AI$14:AI$949)/1000)</f>
        <v>18.34</v>
      </c>
      <c r="BQ27" s="890">
        <f>IF($B27&lt;1,"",AVERAGEIF('09월 고철장입'!$A$14:$A$949,$A27,'09월 고철장입'!AJ$14:AJ$949)/1000)</f>
        <v>159.02333333333334</v>
      </c>
      <c r="BR27" s="890">
        <f>IF($B27&lt;1,"",AVERAGEIF('09월 고철장입'!$A$14:$A$949,$A27,'09월 고철장입'!AK$14:AK$949))</f>
        <v>144.22333333333336</v>
      </c>
      <c r="BS27" s="890">
        <f>IF($B27&lt;1,"",AVERAGEIF('09월 고철장입'!$A$14:$A$949,$A27,'09월 고철장입'!AL$14:AL$949)*100)</f>
        <v>90.703881556529893</v>
      </c>
      <c r="BT27" s="890">
        <f>IF($B27&lt;1,"",AVERAGEIF('09월 에너지'!$A$14:$A$949,$A27,'09월 에너지'!G$14:G$949))</f>
        <v>19.313333333333333</v>
      </c>
      <c r="BU27" s="892">
        <f>IF($B27&lt;1,"",AVERAGEIF('09월 에너지'!$A$14:$A$949,$A27,'09월 에너지'!H$14:H$949))</f>
        <v>23060</v>
      </c>
      <c r="BV27" s="890">
        <f>IF($B27&lt;1,"",AVERAGEIF('09월 에너지'!$A$14:$A$949,$A27,'09월 에너지'!I$14:I$949))</f>
        <v>16.926666666666666</v>
      </c>
      <c r="BW27" s="892">
        <f>IF($B27&lt;1,"",AVERAGEIF('09월 에너지'!$A$14:$A$949,$A27,'09월 에너지'!J$14:J$949))</f>
        <v>20590</v>
      </c>
      <c r="BX27" s="890">
        <f>IF($B27&lt;1,"",AVERAGEIF('09월 에너지'!$A$14:$A$949,$A27,'09월 에너지'!K$14:K$949))</f>
        <v>9.6866666666666656</v>
      </c>
      <c r="BY27" s="892">
        <f>IF($B27&lt;1,"",AVERAGEIF('09월 에너지'!$A$14:$A$949,$A27,'09월 에너지'!L$14:L$949))</f>
        <v>12196.666666666666</v>
      </c>
      <c r="BZ27" s="890">
        <f>IF($B27&lt;1,"",AVERAGEIF('09월 에너지'!$A$14:$A$949,$A27,'09월 에너지'!M$14:M$949))</f>
        <v>45.926666666666669</v>
      </c>
      <c r="CA27" s="892">
        <f>IF($B27&lt;1,"",AVERAGEIF('09월 에너지'!$A$14:$A$949,$A27,'09월 에너지'!N$14:N$949))</f>
        <v>55846.666666666664</v>
      </c>
      <c r="CB27" s="890">
        <f>IF($B27&lt;1,"",AVERAGEIF('09월 에너지'!$A$14:$A$949,$A27,'09월 에너지'!O$14:O$949))</f>
        <v>159.92442974126439</v>
      </c>
      <c r="CC27" s="890">
        <f>IF($B27&lt;1,"",AVERAGEIF('09월 에너지'!$A$14:$A$949,$A27,'09월 에너지'!P$14:P$949))</f>
        <v>142.78800077021643</v>
      </c>
      <c r="CD27" s="890">
        <f>IF($B27&lt;1,"",AVERAGEIF('09월 에너지'!$A$14:$A$949,$A27,'09월 에너지'!Q$14:Q$949))</f>
        <v>84.567552005281044</v>
      </c>
      <c r="CE27" s="890">
        <f>IF($B27&lt;1,"",AVERAGEIF('09월 에너지'!$A$14:$A$949,$A27,'09월 에너지'!R$14:R$949))</f>
        <v>387.27998251676183</v>
      </c>
      <c r="CF27" s="890">
        <f>IF($B27&lt;1,"",AVERAGEIF('09월 에너지'!$A$14:$A$949,$A27,'09월 에너지'!S$14:S$949))</f>
        <v>144.22333333333336</v>
      </c>
      <c r="CG27" s="890">
        <f>IF($B27&lt;1,"",AVERAGEIF('09월 에너지'!$A$14:$A$949,$A27,'09월 에너지'!T$14:T$949))</f>
        <v>0</v>
      </c>
      <c r="CH27" s="890">
        <f>IF($B27&lt;1,"",AVERAGEIF('09월 에너지'!$A$14:$A$949,$A27,'09월 에너지'!U$14:U$949))</f>
        <v>57.533333333333331</v>
      </c>
      <c r="CI27" s="892">
        <f>IF($B27&lt;1,"",AVERAGEIF('09월 에너지'!$A$14:$A$949,$A27,'09월 에너지'!V$14:V$949))</f>
        <v>312.89999999999998</v>
      </c>
      <c r="CJ27" s="892">
        <f>IF($B27&lt;1,"",AVERAGEIF('09월 에너지'!$A$14:$A$949,$A27,'09월 에너지'!W$14:W$949))</f>
        <v>370.43333333333334</v>
      </c>
      <c r="CK27" s="890">
        <f>IF($B27&lt;1,"",AVERAGEIF('09월 에너지'!$A$14:$A$949,$A27,'09월 에너지'!X$14:X$949))</f>
        <v>2.5687269576632277</v>
      </c>
      <c r="CL27" s="892">
        <f>IF($B27&lt;1,"",AVERAGEIF('09월 에너지'!$A$14:$A$949,$A27,'09월 에너지'!Y$14:Y$949))</f>
        <v>1587.6333333333334</v>
      </c>
      <c r="CM27" s="892">
        <f>IF($B27&lt;1,"",AVERAGEIF('09월 에너지'!$A$14:$A$949,$A27,'09월 에너지'!Z$14:Z$949))</f>
        <v>1395.6666666666667</v>
      </c>
      <c r="CN27" s="892">
        <f>IF($B27&lt;1,"",AVERAGEIF('09월 에너지'!$A$14:$A$949,$A27,'09월 에너지'!AA$14:AA$949))</f>
        <v>939.86666666666667</v>
      </c>
      <c r="CO27" s="892">
        <f>IF($B27&lt;1,"",AVERAGEIF('09월 에너지'!$A$14:$A$949,$A27,'09월 에너지'!AB$14:AB$949))</f>
        <v>3923.1666666666665</v>
      </c>
      <c r="CP27" s="890">
        <f>IF($B27&lt;1,"",AVERAGEIF('09월 에너지'!$A$14:$A$949,$A27,'09월 에너지'!AC$14:AC$949))</f>
        <v>27.207505665148524</v>
      </c>
      <c r="CQ27" s="888">
        <f>IF($B27&lt;1,"",AVERAGEIF('09월 에너지'!$A$14:$A$949,$A27,'09월 에너지'!AD$14:AD$949))</f>
        <v>4293.6000000000004</v>
      </c>
      <c r="CR27" s="888">
        <f>IF($B27&lt;1,"",AVERAGEIF('09월 에너지'!$A$14:$A$949,$A27,'09월 에너지'!AE$14:AE$949))</f>
        <v>29.776232622811758</v>
      </c>
      <c r="CS27" s="890">
        <f>IF($B27&lt;1,"",AVERAGEIF('09월 에너지'!$A$14:$A$949,$A27,'09월 에너지'!AF$14:AF$949))</f>
        <v>81.733333333333334</v>
      </c>
      <c r="CT27" s="890">
        <f>IF($B27&lt;1,"",AVERAGEIF('09월 에너지'!$A$14:$A$949,$A27,'09월 에너지'!AG$14:AG$949))</f>
        <v>64.733333333333334</v>
      </c>
      <c r="CU27" s="890">
        <f>IF($B27&lt;1,"",AVERAGEIF('09월 에너지'!$A$14:$A$949,$A27,'09월 에너지'!AH$14:AH$949))</f>
        <v>9.3333333333333339</v>
      </c>
      <c r="CV27" s="890">
        <f>IF($B27&lt;1,"",AVERAGEIF('09월 에너지'!$A$14:$A$949,$A27,'09월 에너지'!AI$14:AI$949))</f>
        <v>155.80000000000001</v>
      </c>
      <c r="CW27" s="893">
        <f>IF($B27&lt;1,"",AVERAGEIF('09월 에너지'!$A$14:$A$949,$A27,'09월 에너지'!AJ$14:AJ$949))</f>
        <v>1.0804613973550039</v>
      </c>
    </row>
    <row r="28" spans="1:101" ht="15.75" customHeight="1">
      <c r="A28" s="883">
        <f t="shared" si="1"/>
        <v>46289</v>
      </c>
      <c r="B28" s="884">
        <f>COUNTIF('09월 조업일지'!$A$12:$A$952,A28)</f>
        <v>30</v>
      </c>
      <c r="C28" s="885">
        <f t="shared" si="0"/>
        <v>47.033333333333346</v>
      </c>
      <c r="D28" s="885">
        <f>IF($B28&lt;1,"",(SUMIF('09월 조업일지'!$A$12:$A$952,$A28,'09월 조업일지'!$K$12:$K$952))/B28)</f>
        <v>0.53333333333333333</v>
      </c>
      <c r="E28" s="885">
        <f>IF($B28&lt;1,"",AVERAGEIF('09월 조업일지'!$A$12:$A$952,$A28,'09월 조업일지'!$J$12:$J$952))</f>
        <v>47.566666666666677</v>
      </c>
      <c r="F28" s="886">
        <f>IF($B28&lt;1,"",AVERAGEIF('09월 에너지'!$A$14:$A$949,$A28,'09월 에너지'!$M$14:M$949))</f>
        <v>45.673333333333325</v>
      </c>
      <c r="G28" s="887">
        <f>IF($B28&lt;1,"",AVERAGEIF('09월 조업일지'!$A$12:$A$952,$A28,'09월 조업일지'!$AJ$12:$AJ$952))</f>
        <v>4.5666666666666664</v>
      </c>
      <c r="H28" s="887">
        <f>IF($B28&lt;1,"",AVERAGEIF('09월 조업일지'!$A$12:$A$952,$A28,'09월 조업일지'!$AL$12:$AL$952))</f>
        <v>6.3</v>
      </c>
      <c r="I28" s="888">
        <f>IF($B28&lt;1,"",AVERAGEIF('09월 화학성분'!$A$12:$A$949,$A28,'09월 화학성분'!G$12:G$949))</f>
        <v>10.7</v>
      </c>
      <c r="J28" s="888">
        <f>IF($B28&lt;1,"",AVERAGEIF('09월 화학성분'!$A$12:$A$949,$A28,'09월 화학성분'!H$12:H$949))</f>
        <v>21.7</v>
      </c>
      <c r="K28" s="888">
        <f>IF($B28&lt;1,"",AVERAGEIF('09월 화학성분'!$A$12:$A$949,$A28,'09월 화학성분'!I$12:I$949))</f>
        <v>122.86666666666666</v>
      </c>
      <c r="L28" s="888">
        <f>IF($B28&lt;1,"",AVERAGEIF('09월 화학성분'!$A$12:$A$949,$A28,'09월 화학성분'!J$12:J$949))</f>
        <v>14.833333333333334</v>
      </c>
      <c r="M28" s="888">
        <f>IF($B28&lt;1,"",AVERAGEIF('09월 화학성분'!$A$12:$A$949,$A28,'09월 화학성분'!K$12:K$949))</f>
        <v>30.3</v>
      </c>
      <c r="N28" s="888">
        <f>IF($B28&lt;1,"",AVERAGEIF('09월 화학성분'!$A$12:$A$949,$A28,'09월 화학성분'!L$12:L$949))</f>
        <v>11.633333333333333</v>
      </c>
      <c r="O28" s="888">
        <f>IF($B28&lt;1,"",AVERAGEIF('09월 화학성분'!$A$12:$A$949,$A28,'09월 화학성분'!M$12:M$949))</f>
        <v>9.9333333333333336</v>
      </c>
      <c r="P28" s="889">
        <f>IF($B28&lt;1,"",AVERAGEIF('09월 조업일지'!$A$12:$A$952,$A28,'09월 조업일지'!$AK$12:$AK$952))</f>
        <v>661.8</v>
      </c>
      <c r="Q28" s="888">
        <f>IF($B28&lt;1,"",AVERAGEIF('09월 화학성분'!$A$12:$A$949,$A28,'09월 화학성분'!$G$12:$G$949))</f>
        <v>10.7</v>
      </c>
      <c r="R28" s="889">
        <f>IF($B28&lt;1,"",AVERAGEIF('09월 조업일지'!$A$12:$A$952,$A28,'09월 조업일지'!$AI$12:$AI$952))</f>
        <v>1570.1666666666667</v>
      </c>
      <c r="S28" s="888">
        <f>IF($B28&lt;1,"",AVERAGEIF('09월 화학성분'!$A$12:$A$949,$A28,'09월 화학성분'!$AM$12:$AM$949))</f>
        <v>2051.1</v>
      </c>
      <c r="T28" s="890">
        <f>IF($B28&lt;1,"",AVERAGEIF('09월 화학성분'!$A$12:$A$949,$A28,'09월 화학성분'!N$12:N$949))</f>
        <v>419.7</v>
      </c>
      <c r="U28" s="890" t="e">
        <f>IF($B28&lt;1,"",AVERAGEIF('09월 화학성분'!$A$12:$A$949,$A28,'09월 화학성분'!O$12:O$949))</f>
        <v>#DIV/0!</v>
      </c>
      <c r="V28" s="890">
        <f>IF($B28&lt;1,"",AVERAGEIF('09월 화학성분'!$A$12:$A$949,$A28,'09월 화학성분'!P$12:P$949))</f>
        <v>997.43333333333328</v>
      </c>
      <c r="W28" s="890">
        <f>IF($B28&lt;1,"",AVERAGEIF('09월 화학성분'!$A$12:$A$949,$A28,'09월 화학성분'!Q$12:Q$949))</f>
        <v>953.5</v>
      </c>
      <c r="X28" s="890" t="e">
        <f>IF($B28&lt;1,"",AVERAGEIF('09월 화학성분'!$A$12:$A$949,$A28,'09월 화학성분'!R$12:R$949))</f>
        <v>#DIV/0!</v>
      </c>
      <c r="Y28" s="890" t="e">
        <f>IF($B28&lt;1,"",AVERAGEIF('09월 화학성분'!$A$12:$A$949,$A28,'09월 화학성분'!U$12:U$949))</f>
        <v>#DIV/0!</v>
      </c>
      <c r="Z28" s="890">
        <f>IF($B28&lt;1,"",AVERAGEIF('09월 화학성분'!$A$12:$A$949,$A28,'09월 화학성분'!V$12:V$949))</f>
        <v>434.5</v>
      </c>
      <c r="AA28" s="890" t="e">
        <f>IF($B28&lt;1,"",AVERAGEIF('09월 화학성분'!$A$12:$A$949,$A28,'09월 화학성분'!W$12:W$949))</f>
        <v>#DIV/0!</v>
      </c>
      <c r="AB28" s="890" t="e">
        <f>IF($B28&lt;1,"",AVERAGEIF('09월 화학성분'!$A$12:$A$949,$A28,'09월 화학성분'!AA$12:AA$949))</f>
        <v>#DIV/0!</v>
      </c>
      <c r="AC28" s="890" t="e">
        <f>IF($B28&lt;1,"",AVERAGEIF('09월 화학성분'!$A$12:$A$949,$A28,'09월 화학성분'!#REF!))</f>
        <v>#REF!</v>
      </c>
      <c r="AD28" s="890">
        <f>IF($B28&lt;1,"",AVERAGEIF('09월 화학성분'!$A$12:$A$949,$A28,'09월 화학성분'!AB$12:AB$949))</f>
        <v>0</v>
      </c>
      <c r="AE28" s="890" t="e">
        <f>IF($B28&lt;1,"",AVERAGEIF('09월 화학성분'!$A$12:$A$949,$A28,'09월 화학성분'!AC$12:AC$949))</f>
        <v>#DIV/0!</v>
      </c>
      <c r="AF28" s="890">
        <f>IF($B28&lt;1,"",AVERAGEIF('09월 화학성분'!$A$12:$A$949,$A28,'09월 화학성분'!AD$12:AD$949))</f>
        <v>280.96666666666664</v>
      </c>
      <c r="AG28" s="890">
        <f>IF($B28&lt;1,"",AVERAGEIF('09월 화학성분'!$A$12:$A$949,$A28,'09월 화학성분'!AF$12:AF$949))</f>
        <v>0</v>
      </c>
      <c r="AH28" s="890">
        <f>IF($B28&lt;1,"",AVERAGEIF('09월 화학성분'!$A$12:$A$949,$A28,'09월 화학성분'!AG$12:AG$949))</f>
        <v>95.6</v>
      </c>
      <c r="AI28" s="890">
        <f>IF($B28&lt;1,"",AVERAGEIF('09월 화학성분'!$A$12:$A$949,$A28,'09월 화학성분'!AH$12:AH$949))</f>
        <v>2266.6333333333332</v>
      </c>
      <c r="AJ28" s="890">
        <f>IF($B28&lt;1,"",AVERAGEIF('09월 화학성분'!$A$12:$A$949,$A28,'09월 화학성분'!AI$12:AI$949))</f>
        <v>104</v>
      </c>
      <c r="AK28" s="890">
        <f>IF($B28&lt;1,"",AVERAGEIF('09월 화학성분'!$A$12:$A$949,$A28,'09월 화학성분'!AJ$12:AJ$949))</f>
        <v>85.36666666666666</v>
      </c>
      <c r="AL28" s="890" t="e">
        <f>IF($B28&lt;1,"",AVERAGEIF('09월 화학성분'!$A$12:$A$949,$A28,'09월 화학성분'!#REF!))</f>
        <v>#REF!</v>
      </c>
      <c r="AM28" s="890">
        <f>IF($B28&lt;1,"",AVERAGEIF('09월 화학성분'!$A$12:$A$949,$A28,'09월 화학성분'!AL$12:AL$949))</f>
        <v>126.56666666666666</v>
      </c>
      <c r="AN28" s="890">
        <f>IF($B28&lt;1,"",AVERAGEIF('09월 화학성분'!$A$12:$A$949,$A28,'09월 화학성분'!AM$12:AM$949))</f>
        <v>2051.1</v>
      </c>
      <c r="AO28" s="891">
        <f>IF($B28&lt;1,"",AVERAGEIF('09월 화학성분'!$A$12:$A$949,$A28,'09월 화학성분'!AN$12:AN$949))</f>
        <v>0.86116773489776366</v>
      </c>
      <c r="AP28" s="891">
        <f>IF($B28&lt;1,"",AVERAGEIF('09월 화학성분'!$A$12:$A$949,$A28,'09월 화학성분'!AO$12:AO$949))</f>
        <v>0.98077967804060473</v>
      </c>
      <c r="AQ28" s="890">
        <f>IF($B28&lt;1,"",AVERAGEIF('09월 화학성분'!$A$12:$A$949,$A28,'09월 화학성분'!AP$12:AP$949))</f>
        <v>144.40666666666669</v>
      </c>
      <c r="AR28" s="890">
        <f>IF($B28&lt;1,"",AVERAGEIF('09월 고철장입'!$A$14:$A$949,$A28,'09월 고철장입'!G$14:G$949)/1000)</f>
        <v>0</v>
      </c>
      <c r="AS28" s="890">
        <f>IF($B28&lt;1,"",AVERAGEIF('09월 고철장입'!$A$14:$A$949,$A28,'09월 고철장입'!H$14:H$949)/1000)</f>
        <v>0</v>
      </c>
      <c r="AT28" s="890">
        <f>IF($B28&lt;1,"",AVERAGEIF('09월 고철장입'!$A$14:$A$949,$A28,'09월 고철장입'!I$14:I$949)/1000)</f>
        <v>13.68</v>
      </c>
      <c r="AU28" s="890">
        <f>IF($B28&lt;1,"",AVERAGEIF('09월 고철장입'!$A$14:$A$949,$A28,'09월 고철장입'!J$14:J$949)/1000)</f>
        <v>0</v>
      </c>
      <c r="AV28" s="890">
        <f>IF($B28&lt;1,"",AVERAGEIF('09월 고철장입'!$A$14:$A$949,$A28,'09월 고철장입'!K$14:K$949)/1000)</f>
        <v>0</v>
      </c>
      <c r="AW28" s="890">
        <f>IF($B28&lt;1,"",AVERAGEIF('09월 고철장입'!$A$14:$A$949,$A28,'09월 고철장입'!L$14:L$949)/1000)</f>
        <v>0</v>
      </c>
      <c r="AX28" s="890">
        <f>IF($B28&lt;1,"",AVERAGEIF('09월 고철장입'!$A$14:$A$949,$A28,'09월 고철장입'!M$14:M$949)/1000)</f>
        <v>0</v>
      </c>
      <c r="AY28" s="890">
        <f>IF($B28&lt;1,"",AVERAGEIF('09월 고철장입'!$A$14:$A$949,$A28,'09월 고철장입'!N$14:N$949)/1000)</f>
        <v>0</v>
      </c>
      <c r="AZ28" s="890">
        <f>IF($B28&lt;1,"",AVERAGEIF('09월 고철장입'!$A$14:$A$949,$A28,'09월 고철장입'!O$14:O$949)/1000)</f>
        <v>13.68</v>
      </c>
      <c r="BA28" s="890">
        <f>IF($B28&lt;1,"",AVERAGEIF('09월 고철장입'!$A$14:$A$949,$A28,'09월 고철장입'!P$14:P$949)/1000)</f>
        <v>48.006666666666668</v>
      </c>
      <c r="BB28" s="890">
        <f>IF($B28&lt;1,"",AVERAGEIF('09월 고철장입'!$A$14:$A$949,$A28,'09월 고철장입'!Q$14:Q$949)/1000)</f>
        <v>18.739999999999998</v>
      </c>
      <c r="BC28" s="890">
        <f>IF($B28&lt;1,"",AVERAGEIF('09월 고철장입'!$A$14:$A$949,$A28,'09월 고철장입'!S$14:S$949)/1000)</f>
        <v>0</v>
      </c>
      <c r="BD28" s="890">
        <f>IF($B28&lt;1,"",AVERAGEIF('09월 고철장입'!$A$14:$A$949,$A28,'09월 고철장입'!T$14:T$949)/1000)</f>
        <v>0</v>
      </c>
      <c r="BE28" s="890">
        <f>IF($B28&lt;1,"",AVERAGEIF('09월 고철장입'!$A$14:$A$949,$A28,'09월 고철장입'!U$14:U$949)/1000)</f>
        <v>0</v>
      </c>
      <c r="BF28" s="890">
        <f>IF($B28&lt;1,"",AVERAGEIF('09월 고철장입'!$A$14:$A$949,$A28,'09월 고철장입'!V$14:V$949)/1000)</f>
        <v>20.483333333333331</v>
      </c>
      <c r="BG28" s="890">
        <f>IF($B28&lt;1,"",AVERAGEIF('09월 고철장입'!$A$14:$A$949,$A28,'09월 고철장입'!W$14:W$949)/1000)</f>
        <v>3.02</v>
      </c>
      <c r="BH28" s="890">
        <f>IF($B28&lt;1,"",AVERAGEIF('09월 고철장입'!$A$14:$A$949,$A28,'09월 고철장입'!Y$14:Y$949)/1000)</f>
        <v>7.04</v>
      </c>
      <c r="BI28" s="890">
        <f>IF($B28&lt;1,"",AVERAGEIF('09월 고철장입'!$A$14:$A$949,$A28,'09월 고철장입'!AB$14:AB$949)/1000)</f>
        <v>3.0689655172413794</v>
      </c>
      <c r="BJ28" s="890">
        <f>IF($B28&lt;1,"",AVERAGEIF('09월 고철장입'!$A$14:$A$949,$A28,'09월 고철장입'!AC$14:AC$949)/1000)</f>
        <v>0</v>
      </c>
      <c r="BK28" s="890">
        <f>IF($B28&lt;1,"",AVERAGEIF('09월 고철장입'!$A$14:$A$949,$A28,'09월 고철장입'!AD$14:AD$949)/1000)</f>
        <v>3.64</v>
      </c>
      <c r="BL28" s="890">
        <f>IF($B28&lt;1,"",AVERAGEIF('09월 고철장입'!$A$14:$A$949,$A28,'09월 고철장입'!AE$14:AE$949)/1000)</f>
        <v>122.88666666666667</v>
      </c>
      <c r="BM28" s="890">
        <f>IF($B28&lt;1,"",AVERAGEIF('09월 고철장입'!$A$14:$A$949,$A28,'09월 고철장입'!AF$14:AF$949)/1000)</f>
        <v>3.9633333333333334</v>
      </c>
      <c r="BN28" s="890">
        <f>IF($B28&lt;1,"",AVERAGEIF('09월 고철장입'!$A$14:$A$949,$A28,'09월 고철장입'!AG$14:AG$949)/1000)</f>
        <v>12.83</v>
      </c>
      <c r="BO28" s="890">
        <f>IF($B28&lt;1,"",AVERAGEIF('09월 고철장입'!$A$14:$A$949,$A28,'09월 고철장입'!AH$14:AH$949)/1000)</f>
        <v>5.206666666666667</v>
      </c>
      <c r="BP28" s="890">
        <f>IF($B28&lt;1,"",AVERAGEIF('09월 고철장입'!$A$14:$A$949,$A28,'09월 고철장입'!AI$14:AI$949)/1000)</f>
        <v>22</v>
      </c>
      <c r="BQ28" s="890">
        <f>IF($B28&lt;1,"",AVERAGEIF('09월 고철장입'!$A$14:$A$949,$A28,'09월 고철장입'!AJ$14:AJ$949)/1000)</f>
        <v>158.56666666666666</v>
      </c>
      <c r="BR28" s="890">
        <f>IF($B28&lt;1,"",AVERAGEIF('09월 고철장입'!$A$14:$A$949,$A28,'09월 고철장입'!AK$14:AK$949))</f>
        <v>144.40666666666669</v>
      </c>
      <c r="BS28" s="890">
        <f>IF($B28&lt;1,"",AVERAGEIF('09월 고철장입'!$A$14:$A$949,$A28,'09월 고철장입'!AL$14:AL$949)*100)</f>
        <v>91.071483205132708</v>
      </c>
      <c r="BT28" s="890">
        <f>IF($B28&lt;1,"",AVERAGEIF('09월 에너지'!$A$14:$A$949,$A28,'09월 에너지'!G$14:G$949))</f>
        <v>19.303333333333331</v>
      </c>
      <c r="BU28" s="892">
        <f>IF($B28&lt;1,"",AVERAGEIF('09월 에너지'!$A$14:$A$949,$A28,'09월 에너지'!H$14:H$949))</f>
        <v>23093.333333333332</v>
      </c>
      <c r="BV28" s="890">
        <f>IF($B28&lt;1,"",AVERAGEIF('09월 에너지'!$A$14:$A$949,$A28,'09월 에너지'!I$14:I$949))</f>
        <v>16.8</v>
      </c>
      <c r="BW28" s="892">
        <f>IF($B28&lt;1,"",AVERAGEIF('09월 에너지'!$A$14:$A$949,$A28,'09월 에너지'!J$14:J$949))</f>
        <v>20620</v>
      </c>
      <c r="BX28" s="890">
        <f>IF($B28&lt;1,"",AVERAGEIF('09월 에너지'!$A$14:$A$949,$A28,'09월 에너지'!K$14:K$949))</f>
        <v>9.5699999999999985</v>
      </c>
      <c r="BY28" s="892">
        <f>IF($B28&lt;1,"",AVERAGEIF('09월 에너지'!$A$14:$A$949,$A28,'09월 에너지'!L$14:L$949))</f>
        <v>12210</v>
      </c>
      <c r="BZ28" s="890">
        <f>IF($B28&lt;1,"",AVERAGEIF('09월 에너지'!$A$14:$A$949,$A28,'09월 에너지'!M$14:M$949))</f>
        <v>45.673333333333325</v>
      </c>
      <c r="CA28" s="892">
        <f>IF($B28&lt;1,"",AVERAGEIF('09월 에너지'!$A$14:$A$949,$A28,'09월 에너지'!N$14:N$949))</f>
        <v>55923.333333333336</v>
      </c>
      <c r="CB28" s="890">
        <f>IF($B28&lt;1,"",AVERAGEIF('09월 에너지'!$A$14:$A$949,$A28,'09월 에너지'!O$14:O$949))</f>
        <v>159.9265336599579</v>
      </c>
      <c r="CC28" s="890">
        <f>IF($B28&lt;1,"",AVERAGEIF('09월 에너지'!$A$14:$A$949,$A28,'09월 에너지'!P$14:P$949))</f>
        <v>142.80097695236367</v>
      </c>
      <c r="CD28" s="890">
        <f>IF($B28&lt;1,"",AVERAGEIF('09월 에너지'!$A$14:$A$949,$A28,'09월 에너지'!Q$14:Q$949))</f>
        <v>84.535604721845132</v>
      </c>
      <c r="CE28" s="890">
        <f>IF($B28&lt;1,"",AVERAGEIF('09월 에너지'!$A$14:$A$949,$A28,'09월 에너지'!R$14:R$949))</f>
        <v>387.26311533416668</v>
      </c>
      <c r="CF28" s="890">
        <f>IF($B28&lt;1,"",AVERAGEIF('09월 에너지'!$A$14:$A$949,$A28,'09월 에너지'!S$14:S$949))</f>
        <v>144.40666666666669</v>
      </c>
      <c r="CG28" s="890">
        <f>IF($B28&lt;1,"",AVERAGEIF('09월 에너지'!$A$14:$A$949,$A28,'09월 에너지'!T$14:T$949))</f>
        <v>0</v>
      </c>
      <c r="CH28" s="890">
        <f>IF($B28&lt;1,"",AVERAGEIF('09월 에너지'!$A$14:$A$949,$A28,'09월 에너지'!U$14:U$949))</f>
        <v>52.5</v>
      </c>
      <c r="CI28" s="892">
        <f>IF($B28&lt;1,"",AVERAGEIF('09월 에너지'!$A$14:$A$949,$A28,'09월 에너지'!V$14:V$949))</f>
        <v>314.2</v>
      </c>
      <c r="CJ28" s="892">
        <f>IF($B28&lt;1,"",AVERAGEIF('09월 에너지'!$A$14:$A$949,$A28,'09월 에너지'!W$14:W$949))</f>
        <v>366.7</v>
      </c>
      <c r="CK28" s="890">
        <f>IF($B28&lt;1,"",AVERAGEIF('09월 에너지'!$A$14:$A$949,$A28,'09월 에너지'!X$14:X$949))</f>
        <v>2.5391205034774709</v>
      </c>
      <c r="CL28" s="892">
        <f>IF($B28&lt;1,"",AVERAGEIF('09월 에너지'!$A$14:$A$949,$A28,'09월 에너지'!Y$14:Y$949))</f>
        <v>1590.4333333333334</v>
      </c>
      <c r="CM28" s="892">
        <f>IF($B28&lt;1,"",AVERAGEIF('09월 에너지'!$A$14:$A$949,$A28,'09월 에너지'!Z$14:Z$949))</f>
        <v>1398.1</v>
      </c>
      <c r="CN28" s="892">
        <f>IF($B28&lt;1,"",AVERAGEIF('09월 에너지'!$A$14:$A$949,$A28,'09월 에너지'!AA$14:AA$949))</f>
        <v>860.26666666666665</v>
      </c>
      <c r="CO28" s="892">
        <f>IF($B28&lt;1,"",AVERAGEIF('09월 에너지'!$A$14:$A$949,$A28,'09월 에너지'!AB$14:AB$949))</f>
        <v>3848.8</v>
      </c>
      <c r="CP28" s="890">
        <f>IF($B28&lt;1,"",AVERAGEIF('09월 에너지'!$A$14:$A$949,$A28,'09월 에너지'!AC$14:AC$949))</f>
        <v>26.652960923533271</v>
      </c>
      <c r="CQ28" s="888">
        <f>IF($B28&lt;1,"",AVERAGEIF('09월 에너지'!$A$14:$A$949,$A28,'09월 에너지'!AD$14:AD$949))</f>
        <v>4215.5</v>
      </c>
      <c r="CR28" s="888">
        <f>IF($B28&lt;1,"",AVERAGEIF('09월 에너지'!$A$14:$A$949,$A28,'09월 에너지'!AE$14:AE$949))</f>
        <v>29.192081427010741</v>
      </c>
      <c r="CS28" s="890">
        <f>IF($B28&lt;1,"",AVERAGEIF('09월 에너지'!$A$14:$A$949,$A28,'09월 에너지'!AF$14:AF$949))</f>
        <v>82.533333333333331</v>
      </c>
      <c r="CT28" s="890">
        <f>IF($B28&lt;1,"",AVERAGEIF('09월 에너지'!$A$14:$A$949,$A28,'09월 에너지'!AG$14:AG$949))</f>
        <v>64.533333333333331</v>
      </c>
      <c r="CU28" s="890">
        <f>IF($B28&lt;1,"",AVERAGEIF('09월 에너지'!$A$14:$A$949,$A28,'09월 에너지'!AH$14:AH$949))</f>
        <v>14.066666666666666</v>
      </c>
      <c r="CV28" s="890">
        <f>IF($B28&lt;1,"",AVERAGEIF('09월 에너지'!$A$14:$A$949,$A28,'09월 에너지'!AI$14:AI$949))</f>
        <v>161.13333333333333</v>
      </c>
      <c r="CW28" s="893">
        <f>IF($B28&lt;1,"",AVERAGEIF('09월 에너지'!$A$14:$A$949,$A28,'09월 에너지'!AJ$14:AJ$949))</f>
        <v>1.115770497423304</v>
      </c>
    </row>
    <row r="29" spans="1:101" ht="15.75" customHeight="1">
      <c r="A29" s="883">
        <f t="shared" si="1"/>
        <v>46290</v>
      </c>
      <c r="B29" s="884">
        <f>COUNTIF('09월 조업일지'!$A$12:$A$952,A29)</f>
        <v>31</v>
      </c>
      <c r="C29" s="885">
        <f t="shared" si="0"/>
        <v>47.483870967741929</v>
      </c>
      <c r="D29" s="885">
        <f>IF($B29&lt;1,"",(SUMIF('09월 조업일지'!$A$12:$A$952,$A29,'09월 조업일지'!$K$12:$K$952))/B29)</f>
        <v>6.4516129032258063E-2</v>
      </c>
      <c r="E29" s="885">
        <f>IF($B29&lt;1,"",AVERAGEIF('09월 조업일지'!$A$12:$A$952,$A29,'09월 조업일지'!$J$12:$J$952))</f>
        <v>47.548387096774185</v>
      </c>
      <c r="F29" s="886">
        <f>IF($B29&lt;1,"",AVERAGEIF('09월 에너지'!$A$14:$A$949,$A29,'09월 에너지'!$M$14:M$949))</f>
        <v>46.429032258064517</v>
      </c>
      <c r="G29" s="887">
        <f>IF($B29&lt;1,"",AVERAGEIF('09월 조업일지'!$A$12:$A$952,$A29,'09월 조업일지'!$AJ$12:$AJ$952))</f>
        <v>11.32258064516129</v>
      </c>
      <c r="H29" s="887">
        <f>IF($B29&lt;1,"",AVERAGEIF('09월 조업일지'!$A$12:$A$952,$A29,'09월 조업일지'!$AL$12:$AL$952))</f>
        <v>8.3103448275862064</v>
      </c>
      <c r="I29" s="888">
        <f>IF($B29&lt;1,"",AVERAGEIF('09월 화학성분'!$A$12:$A$949,$A29,'09월 화학성분'!G$12:G$949))</f>
        <v>8.9032258064516121</v>
      </c>
      <c r="J29" s="888">
        <f>IF($B29&lt;1,"",AVERAGEIF('09월 화학성분'!$A$12:$A$949,$A29,'09월 화학성분'!H$12:H$949))</f>
        <v>19</v>
      </c>
      <c r="K29" s="888">
        <f>IF($B29&lt;1,"",AVERAGEIF('09월 화학성분'!$A$12:$A$949,$A29,'09월 화학성분'!I$12:I$949))</f>
        <v>56.516129032258064</v>
      </c>
      <c r="L29" s="888">
        <f>IF($B29&lt;1,"",AVERAGEIF('09월 화학성분'!$A$12:$A$949,$A29,'09월 화학성분'!J$12:J$949))</f>
        <v>15.064516129032258</v>
      </c>
      <c r="M29" s="888">
        <f>IF($B29&lt;1,"",AVERAGEIF('09월 화학성분'!$A$12:$A$949,$A29,'09월 화학성분'!K$12:K$949))</f>
        <v>31.677419354838708</v>
      </c>
      <c r="N29" s="888">
        <f>IF($B29&lt;1,"",AVERAGEIF('09월 화학성분'!$A$12:$A$949,$A29,'09월 화학성분'!L$12:L$949))</f>
        <v>13.516129032258064</v>
      </c>
      <c r="O29" s="888">
        <f>IF($B29&lt;1,"",AVERAGEIF('09월 화학성분'!$A$12:$A$949,$A29,'09월 화학성분'!M$12:M$949))</f>
        <v>9.8387096774193541</v>
      </c>
      <c r="P29" s="889">
        <f>IF($B29&lt;1,"",AVERAGEIF('09월 조업일지'!$A$12:$A$952,$A29,'09월 조업일지'!$AK$12:$AK$952))</f>
        <v>532.0344827586207</v>
      </c>
      <c r="Q29" s="888">
        <f>IF($B29&lt;1,"",AVERAGEIF('09월 화학성분'!$A$12:$A$949,$A29,'09월 화학성분'!$G$12:$G$949))</f>
        <v>8.9032258064516121</v>
      </c>
      <c r="R29" s="889">
        <f>IF($B29&lt;1,"",AVERAGEIF('09월 조업일지'!$A$12:$A$952,$A29,'09월 조업일지'!$AI$12:$AI$952))</f>
        <v>1583.2258064516129</v>
      </c>
      <c r="S29" s="888">
        <f>IF($B29&lt;1,"",AVERAGEIF('09월 화학성분'!$A$12:$A$949,$A29,'09월 화학성분'!$AM$12:$AM$949))</f>
        <v>2221.9677419354839</v>
      </c>
      <c r="T29" s="890">
        <f>IF($B29&lt;1,"",AVERAGEIF('09월 화학성분'!$A$12:$A$949,$A29,'09월 화학성분'!N$12:N$949))</f>
        <v>418.61290322580646</v>
      </c>
      <c r="U29" s="890" t="e">
        <f>IF($B29&lt;1,"",AVERAGEIF('09월 화학성분'!$A$12:$A$949,$A29,'09월 화학성분'!O$12:O$949))</f>
        <v>#DIV/0!</v>
      </c>
      <c r="V29" s="890">
        <f>IF($B29&lt;1,"",AVERAGEIF('09월 화학성분'!$A$12:$A$949,$A29,'09월 화학성분'!P$12:P$949))</f>
        <v>1001.2903225806451</v>
      </c>
      <c r="W29" s="890">
        <f>IF($B29&lt;1,"",AVERAGEIF('09월 화학성분'!$A$12:$A$949,$A29,'09월 화학성분'!Q$12:Q$949))</f>
        <v>955.41935483870964</v>
      </c>
      <c r="X29" s="890" t="e">
        <f>IF($B29&lt;1,"",AVERAGEIF('09월 화학성분'!$A$12:$A$949,$A29,'09월 화학성분'!R$12:R$949))</f>
        <v>#DIV/0!</v>
      </c>
      <c r="Y29" s="890" t="e">
        <f>IF($B29&lt;1,"",AVERAGEIF('09월 화학성분'!$A$12:$A$949,$A29,'09월 화학성분'!U$12:U$949))</f>
        <v>#DIV/0!</v>
      </c>
      <c r="Z29" s="890">
        <f>IF($B29&lt;1,"",AVERAGEIF('09월 화학성분'!$A$12:$A$949,$A29,'09월 화학성분'!V$12:V$949))</f>
        <v>436.32258064516128</v>
      </c>
      <c r="AA29" s="890" t="e">
        <f>IF($B29&lt;1,"",AVERAGEIF('09월 화학성분'!$A$12:$A$949,$A29,'09월 화학성분'!W$12:W$949))</f>
        <v>#DIV/0!</v>
      </c>
      <c r="AB29" s="890" t="e">
        <f>IF($B29&lt;1,"",AVERAGEIF('09월 화학성분'!$A$12:$A$949,$A29,'09월 화학성분'!AA$12:AA$949))</f>
        <v>#DIV/0!</v>
      </c>
      <c r="AC29" s="890" t="e">
        <f>IF($B29&lt;1,"",AVERAGEIF('09월 화학성분'!$A$12:$A$949,$A29,'09월 화학성분'!#REF!))</f>
        <v>#REF!</v>
      </c>
      <c r="AD29" s="890">
        <f>IF($B29&lt;1,"",AVERAGEIF('09월 화학성분'!$A$12:$A$949,$A29,'09월 화학성분'!AB$12:AB$949))</f>
        <v>0</v>
      </c>
      <c r="AE29" s="890" t="e">
        <f>IF($B29&lt;1,"",AVERAGEIF('09월 화학성분'!$A$12:$A$949,$A29,'09월 화학성분'!AC$12:AC$949))</f>
        <v>#DIV/0!</v>
      </c>
      <c r="AF29" s="890">
        <f>IF($B29&lt;1,"",AVERAGEIF('09월 화학성분'!$A$12:$A$949,$A29,'09월 화학성분'!AD$12:AD$949))</f>
        <v>286.35483870967744</v>
      </c>
      <c r="AG29" s="890">
        <f>IF($B29&lt;1,"",AVERAGEIF('09월 화학성분'!$A$12:$A$949,$A29,'09월 화학성분'!AF$12:AF$949))</f>
        <v>0</v>
      </c>
      <c r="AH29" s="890">
        <f>IF($B29&lt;1,"",AVERAGEIF('09월 화학성분'!$A$12:$A$949,$A29,'09월 화학성분'!AG$12:AG$949))</f>
        <v>98.064516129032256</v>
      </c>
      <c r="AI29" s="890">
        <f>IF($B29&lt;1,"",AVERAGEIF('09월 화학성분'!$A$12:$A$949,$A29,'09월 화학성분'!AH$12:AH$949))</f>
        <v>840.29032258064512</v>
      </c>
      <c r="AJ29" s="890">
        <f>IF($B29&lt;1,"",AVERAGEIF('09월 화학성분'!$A$12:$A$949,$A29,'09월 화학성분'!AI$12:AI$949))</f>
        <v>318.48387096774195</v>
      </c>
      <c r="AK29" s="890">
        <f>IF($B29&lt;1,"",AVERAGEIF('09월 화학성분'!$A$12:$A$949,$A29,'09월 화학성분'!AJ$12:AJ$949))</f>
        <v>85.548387096774192</v>
      </c>
      <c r="AL29" s="890" t="e">
        <f>IF($B29&lt;1,"",AVERAGEIF('09월 화학성분'!$A$12:$A$949,$A29,'09월 화학성분'!#REF!))</f>
        <v>#REF!</v>
      </c>
      <c r="AM29" s="890">
        <f>IF($B29&lt;1,"",AVERAGEIF('09월 화학성분'!$A$12:$A$949,$A29,'09월 화학성분'!AL$12:AL$949))</f>
        <v>114.61290322580645</v>
      </c>
      <c r="AN29" s="890">
        <f>IF($B29&lt;1,"",AVERAGEIF('09월 화학성분'!$A$12:$A$949,$A29,'09월 화학성분'!AM$12:AM$949))</f>
        <v>2221.9677419354839</v>
      </c>
      <c r="AO29" s="891">
        <f>IF($B29&lt;1,"",AVERAGEIF('09월 화학성분'!$A$12:$A$949,$A29,'09월 화학성분'!AN$12:AN$949))</f>
        <v>0.74836012667120433</v>
      </c>
      <c r="AP29" s="891">
        <f>IF($B29&lt;1,"",AVERAGEIF('09월 화학성분'!$A$12:$A$949,$A29,'09월 화학성분'!AO$12:AO$949))</f>
        <v>1.0196498490745798</v>
      </c>
      <c r="AQ29" s="890">
        <f>IF($B29&lt;1,"",AVERAGEIF('09월 화학성분'!$A$12:$A$949,$A29,'09월 화학성분'!AP$12:AP$949))</f>
        <v>143.70322580645163</v>
      </c>
      <c r="AR29" s="890">
        <f>IF($B29&lt;1,"",AVERAGEIF('09월 고철장입'!$A$14:$A$949,$A29,'09월 고철장입'!G$14:G$949)/1000)</f>
        <v>0</v>
      </c>
      <c r="AS29" s="890">
        <f>IF($B29&lt;1,"",AVERAGEIF('09월 고철장입'!$A$14:$A$949,$A29,'09월 고철장입'!H$14:H$949)/1000)</f>
        <v>0</v>
      </c>
      <c r="AT29" s="890">
        <f>IF($B29&lt;1,"",AVERAGEIF('09월 고철장입'!$A$14:$A$949,$A29,'09월 고철장입'!I$14:I$949)/1000)</f>
        <v>14.196774193548386</v>
      </c>
      <c r="AU29" s="890">
        <f>IF($B29&lt;1,"",AVERAGEIF('09월 고철장입'!$A$14:$A$949,$A29,'09월 고철장입'!J$14:J$949)/1000)</f>
        <v>0</v>
      </c>
      <c r="AV29" s="890">
        <f>IF($B29&lt;1,"",AVERAGEIF('09월 고철장입'!$A$14:$A$949,$A29,'09월 고철장입'!K$14:K$949)/1000)</f>
        <v>0</v>
      </c>
      <c r="AW29" s="890">
        <f>IF($B29&lt;1,"",AVERAGEIF('09월 고철장입'!$A$14:$A$949,$A29,'09월 고철장입'!L$14:L$949)/1000)</f>
        <v>0</v>
      </c>
      <c r="AX29" s="890">
        <f>IF($B29&lt;1,"",AVERAGEIF('09월 고철장입'!$A$14:$A$949,$A29,'09월 고철장입'!M$14:M$949)/1000)</f>
        <v>0</v>
      </c>
      <c r="AY29" s="890">
        <f>IF($B29&lt;1,"",AVERAGEIF('09월 고철장입'!$A$14:$A$949,$A29,'09월 고철장입'!N$14:N$949)/1000)</f>
        <v>0</v>
      </c>
      <c r="AZ29" s="890">
        <f>IF($B29&lt;1,"",AVERAGEIF('09월 고철장입'!$A$14:$A$949,$A29,'09월 고철장입'!O$14:O$949)/1000)</f>
        <v>14.196774193548386</v>
      </c>
      <c r="BA29" s="890">
        <f>IF($B29&lt;1,"",AVERAGEIF('09월 고철장입'!$A$14:$A$949,$A29,'09월 고철장입'!P$14:P$949)/1000)</f>
        <v>53.332258064516125</v>
      </c>
      <c r="BB29" s="890">
        <f>IF($B29&lt;1,"",AVERAGEIF('09월 고철장입'!$A$14:$A$949,$A29,'09월 고철장입'!Q$14:Q$949)/1000)</f>
        <v>16.945161290322581</v>
      </c>
      <c r="BC29" s="890">
        <f>IF($B29&lt;1,"",AVERAGEIF('09월 고철장입'!$A$14:$A$949,$A29,'09월 고철장입'!S$14:S$949)/1000)</f>
        <v>0</v>
      </c>
      <c r="BD29" s="890">
        <f>IF($B29&lt;1,"",AVERAGEIF('09월 고철장입'!$A$14:$A$949,$A29,'09월 고철장입'!T$14:T$949)/1000)</f>
        <v>0</v>
      </c>
      <c r="BE29" s="890">
        <f>IF($B29&lt;1,"",AVERAGEIF('09월 고철장입'!$A$14:$A$949,$A29,'09월 고철장입'!U$14:U$949)/1000)</f>
        <v>5.4870967741935486</v>
      </c>
      <c r="BF29" s="890">
        <f>IF($B29&lt;1,"",AVERAGEIF('09월 고철장입'!$A$14:$A$949,$A29,'09월 고철장입'!V$14:V$949)/1000)</f>
        <v>14.812903225806451</v>
      </c>
      <c r="BG29" s="890">
        <f>IF($B29&lt;1,"",AVERAGEIF('09월 고철장입'!$A$14:$A$949,$A29,'09월 고철장입'!W$14:W$949)/1000)</f>
        <v>2.88</v>
      </c>
      <c r="BH29" s="890">
        <f>IF($B29&lt;1,"",AVERAGEIF('09월 고철장입'!$A$14:$A$949,$A29,'09월 고철장입'!Y$14:Y$949)/1000)</f>
        <v>6.0645161290322589</v>
      </c>
      <c r="BI29" s="890">
        <f>IF($B29&lt;1,"",AVERAGEIF('09월 고철장입'!$A$14:$A$949,$A29,'09월 고철장입'!AB$14:AB$949)/1000)</f>
        <v>2.6366666666666667</v>
      </c>
      <c r="BJ29" s="890">
        <f>IF($B29&lt;1,"",AVERAGEIF('09월 고철장입'!$A$14:$A$949,$A29,'09월 고철장입'!AC$14:AC$949)/1000)</f>
        <v>2.3793103448275859</v>
      </c>
      <c r="BK29" s="890">
        <f>IF($B29&lt;1,"",AVERAGEIF('09월 고철장입'!$A$14:$A$949,$A29,'09월 고철장입'!AD$14:AD$949)/1000)</f>
        <v>3.8387096774193545</v>
      </c>
      <c r="BL29" s="890">
        <f>IF($B29&lt;1,"",AVERAGEIF('09월 고철장입'!$A$14:$A$949,$A29,'09월 고철장입'!AE$14:AE$949)/1000)</f>
        <v>125.14516129032258</v>
      </c>
      <c r="BM29" s="890">
        <f>IF($B29&lt;1,"",AVERAGEIF('09월 고철장입'!$A$14:$A$949,$A29,'09월 고철장입'!AF$14:AF$949)/1000)</f>
        <v>3.8793103448275859</v>
      </c>
      <c r="BN29" s="890">
        <f>IF($B29&lt;1,"",AVERAGEIF('09월 고철장입'!$A$14:$A$949,$A29,'09월 고철장입'!AG$14:AG$949)/1000)</f>
        <v>10.380645161290323</v>
      </c>
      <c r="BO29" s="890">
        <f>IF($B29&lt;1,"",AVERAGEIF('09월 고철장입'!$A$14:$A$949,$A29,'09월 고철장입'!AH$14:AH$949)/1000)</f>
        <v>5.2161290322580642</v>
      </c>
      <c r="BP29" s="890">
        <f>IF($B29&lt;1,"",AVERAGEIF('09월 고철장입'!$A$14:$A$949,$A29,'09월 고철장입'!AI$14:AI$949)/1000)</f>
        <v>19.2258064516129</v>
      </c>
      <c r="BQ29" s="890">
        <f>IF($B29&lt;1,"",AVERAGEIF('09월 고철장입'!$A$14:$A$949,$A29,'09월 고철장입'!AJ$14:AJ$949)/1000)</f>
        <v>158.56774193548387</v>
      </c>
      <c r="BR29" s="890">
        <f>IF($B29&lt;1,"",AVERAGEIF('09월 고철장입'!$A$14:$A$949,$A29,'09월 고철장입'!AK$14:AK$949))</f>
        <v>143.70322580645163</v>
      </c>
      <c r="BS29" s="890">
        <f>IF($B29&lt;1,"",AVERAGEIF('09월 고철장입'!$A$14:$A$949,$A29,'09월 고철장입'!AL$14:AL$949)*100)</f>
        <v>90.628232765708972</v>
      </c>
      <c r="BT29" s="890">
        <f>IF($B29&lt;1,"",AVERAGEIF('09월 에너지'!$A$14:$A$949,$A29,'09월 에너지'!G$14:G$949))</f>
        <v>19.429032258064513</v>
      </c>
      <c r="BU29" s="892">
        <f>IF($B29&lt;1,"",AVERAGEIF('09월 에너지'!$A$14:$A$949,$A29,'09월 에너지'!H$14:H$949))</f>
        <v>23161.290322580644</v>
      </c>
      <c r="BV29" s="890">
        <f>IF($B29&lt;1,"",AVERAGEIF('09월 에너지'!$A$14:$A$949,$A29,'09월 에너지'!I$14:I$949))</f>
        <v>16.758064516129036</v>
      </c>
      <c r="BW29" s="892">
        <f>IF($B29&lt;1,"",AVERAGEIF('09월 에너지'!$A$14:$A$949,$A29,'09월 에너지'!J$14:J$949))</f>
        <v>20632.258064516129</v>
      </c>
      <c r="BX29" s="890">
        <f>IF($B29&lt;1,"",AVERAGEIF('09월 에너지'!$A$14:$A$949,$A29,'09월 에너지'!K$14:K$949))</f>
        <v>10.241935483870966</v>
      </c>
      <c r="BY29" s="892">
        <f>IF($B29&lt;1,"",AVERAGEIF('09월 에너지'!$A$14:$A$949,$A29,'09월 에너지'!L$14:L$949))</f>
        <v>13003.225806451614</v>
      </c>
      <c r="BZ29" s="890">
        <f>IF($B29&lt;1,"",AVERAGEIF('09월 에너지'!$A$14:$A$949,$A29,'09월 에너지'!M$14:M$949))</f>
        <v>46.429032258064517</v>
      </c>
      <c r="CA29" s="892">
        <f>IF($B29&lt;1,"",AVERAGEIF('09월 에너지'!$A$14:$A$949,$A29,'09월 에너지'!N$14:N$949))</f>
        <v>56796.774193548386</v>
      </c>
      <c r="CB29" s="890">
        <f>IF($B29&lt;1,"",AVERAGEIF('09월 에너지'!$A$14:$A$949,$A29,'09월 에너지'!O$14:O$949))</f>
        <v>161.18822983477585</v>
      </c>
      <c r="CC29" s="890">
        <f>IF($B29&lt;1,"",AVERAGEIF('09월 에너지'!$A$14:$A$949,$A29,'09월 에너지'!P$14:P$949))</f>
        <v>143.59428014112967</v>
      </c>
      <c r="CD29" s="890">
        <f>IF($B29&lt;1,"",AVERAGEIF('09월 에너지'!$A$14:$A$949,$A29,'09월 에너지'!Q$14:Q$949))</f>
        <v>90.446109070634336</v>
      </c>
      <c r="CE29" s="890">
        <f>IF($B29&lt;1,"",AVERAGEIF('09월 에너지'!$A$14:$A$949,$A29,'09월 에너지'!R$14:R$949))</f>
        <v>395.22861904653979</v>
      </c>
      <c r="CF29" s="890">
        <f>IF($B29&lt;1,"",AVERAGEIF('09월 에너지'!$A$14:$A$949,$A29,'09월 에너지'!S$14:S$949))</f>
        <v>143.70322580645163</v>
      </c>
      <c r="CG29" s="890">
        <f>IF($B29&lt;1,"",AVERAGEIF('09월 에너지'!$A$14:$A$949,$A29,'09월 에너지'!T$14:T$949))</f>
        <v>0</v>
      </c>
      <c r="CH29" s="890">
        <f>IF($B29&lt;1,"",AVERAGEIF('09월 에너지'!$A$14:$A$949,$A29,'09월 에너지'!U$14:U$949))</f>
        <v>78.709677419354833</v>
      </c>
      <c r="CI29" s="892">
        <f>IF($B29&lt;1,"",AVERAGEIF('09월 에너지'!$A$14:$A$949,$A29,'09월 에너지'!V$14:V$949))</f>
        <v>306</v>
      </c>
      <c r="CJ29" s="892">
        <f>IF($B29&lt;1,"",AVERAGEIF('09월 에너지'!$A$14:$A$949,$A29,'09월 에너지'!W$14:W$949))</f>
        <v>384.70967741935482</v>
      </c>
      <c r="CK29" s="890">
        <f>IF($B29&lt;1,"",AVERAGEIF('09월 에너지'!$A$14:$A$949,$A29,'09월 에너지'!X$14:X$949))</f>
        <v>2.6769908829385312</v>
      </c>
      <c r="CL29" s="892">
        <f>IF($B29&lt;1,"",AVERAGEIF('09월 에너지'!$A$14:$A$949,$A29,'09월 에너지'!Y$14:Y$949))</f>
        <v>1590.6129032258063</v>
      </c>
      <c r="CM29" s="892">
        <f>IF($B29&lt;1,"",AVERAGEIF('09월 에너지'!$A$14:$A$949,$A29,'09월 에너지'!Z$14:Z$949))</f>
        <v>1380.6451612903227</v>
      </c>
      <c r="CN29" s="892">
        <f>IF($B29&lt;1,"",AVERAGEIF('09월 에너지'!$A$14:$A$949,$A29,'09월 에너지'!AA$14:AA$949))</f>
        <v>897.32258064516134</v>
      </c>
      <c r="CO29" s="892">
        <f>IF($B29&lt;1,"",AVERAGEIF('09월 에너지'!$A$14:$A$949,$A29,'09월 에너지'!AB$14:AB$949))</f>
        <v>3868.5806451612902</v>
      </c>
      <c r="CP29" s="890">
        <f>IF($B29&lt;1,"",AVERAGEIF('09월 에너지'!$A$14:$A$949,$A29,'09월 에너지'!AC$14:AC$949))</f>
        <v>26.926328136007335</v>
      </c>
      <c r="CQ29" s="888">
        <f>IF($B29&lt;1,"",AVERAGEIF('09월 에너지'!$A$14:$A$949,$A29,'09월 에너지'!AD$14:AD$949))</f>
        <v>4253.2903225806449</v>
      </c>
      <c r="CR29" s="888">
        <f>IF($B29&lt;1,"",AVERAGEIF('09월 에너지'!$A$14:$A$949,$A29,'09월 에너지'!AE$14:AE$949))</f>
        <v>29.603319018945868</v>
      </c>
      <c r="CS29" s="890">
        <f>IF($B29&lt;1,"",AVERAGEIF('09월 에너지'!$A$14:$A$949,$A29,'09월 에너지'!AF$14:AF$949))</f>
        <v>81.41935483870968</v>
      </c>
      <c r="CT29" s="890">
        <f>IF($B29&lt;1,"",AVERAGEIF('09월 에너지'!$A$14:$A$949,$A29,'09월 에너지'!AG$14:AG$949))</f>
        <v>65.935483870967744</v>
      </c>
      <c r="CU29" s="890">
        <f>IF($B29&lt;1,"",AVERAGEIF('09월 에너지'!$A$14:$A$949,$A29,'09월 에너지'!AH$14:AH$949))</f>
        <v>14</v>
      </c>
      <c r="CV29" s="890">
        <f>IF($B29&lt;1,"",AVERAGEIF('09월 에너지'!$A$14:$A$949,$A29,'09월 에너지'!AI$14:AI$949))</f>
        <v>161.35483870967741</v>
      </c>
      <c r="CW29" s="893">
        <f>IF($B29&lt;1,"",AVERAGEIF('09월 에너지'!$A$14:$A$949,$A29,'09월 에너지'!AJ$14:AJ$949))</f>
        <v>1.1227537451703087</v>
      </c>
    </row>
    <row r="30" spans="1:101" ht="15.75" customHeight="1">
      <c r="A30" s="883">
        <f t="shared" si="1"/>
        <v>46291</v>
      </c>
      <c r="B30" s="884">
        <f>COUNTIF('09월 조업일지'!$A$12:$A$952,A30)</f>
        <v>30</v>
      </c>
      <c r="C30" s="885">
        <f t="shared" si="0"/>
        <v>47.333333333333343</v>
      </c>
      <c r="D30" s="885">
        <f>IF($B30&lt;1,"",(SUMIF('09월 조업일지'!$A$12:$A$952,$A30,'09월 조업일지'!$K$12:$K$952))/B30)</f>
        <v>0.3</v>
      </c>
      <c r="E30" s="885">
        <f>IF($B30&lt;1,"",AVERAGEIF('09월 조업일지'!$A$12:$A$952,$A30,'09월 조업일지'!$J$12:$J$952))</f>
        <v>47.63333333333334</v>
      </c>
      <c r="F30" s="886">
        <f>IF($B30&lt;1,"",AVERAGEIF('09월 에너지'!$A$14:$A$949,$A30,'09월 에너지'!$M$14:M$949))</f>
        <v>46.076666666666675</v>
      </c>
      <c r="G30" s="887">
        <f>IF($B30&lt;1,"",AVERAGEIF('09월 조업일지'!$A$12:$A$952,$A30,'09월 조업일지'!$AJ$12:$AJ$952))</f>
        <v>9.2333333333333325</v>
      </c>
      <c r="H30" s="887">
        <f>IF($B30&lt;1,"",AVERAGEIF('09월 조업일지'!$A$12:$A$952,$A30,'09월 조업일지'!$AL$12:$AL$952))</f>
        <v>7.3928571428571432</v>
      </c>
      <c r="I30" s="888">
        <f>IF($B30&lt;1,"",AVERAGEIF('09월 화학성분'!$A$12:$A$949,$A30,'09월 화학성분'!G$12:G$949))</f>
        <v>9.6</v>
      </c>
      <c r="J30" s="888">
        <f>IF($B30&lt;1,"",AVERAGEIF('09월 화학성분'!$A$12:$A$949,$A30,'09월 화학성분'!H$12:H$949))</f>
        <v>21.966666666666665</v>
      </c>
      <c r="K30" s="888">
        <f>IF($B30&lt;1,"",AVERAGEIF('09월 화학성분'!$A$12:$A$949,$A30,'09월 화학성분'!I$12:I$949))</f>
        <v>92</v>
      </c>
      <c r="L30" s="888">
        <f>IF($B30&lt;1,"",AVERAGEIF('09월 화학성분'!$A$12:$A$949,$A30,'09월 화학성분'!J$12:J$949))</f>
        <v>15.233333333333333</v>
      </c>
      <c r="M30" s="888">
        <f>IF($B30&lt;1,"",AVERAGEIF('09월 화학성분'!$A$12:$A$949,$A30,'09월 화학성분'!K$12:K$949))</f>
        <v>31.1</v>
      </c>
      <c r="N30" s="888">
        <f>IF($B30&lt;1,"",AVERAGEIF('09월 화학성분'!$A$12:$A$949,$A30,'09월 화학성분'!L$12:L$949))</f>
        <v>13.866666666666667</v>
      </c>
      <c r="O30" s="888">
        <f>IF($B30&lt;1,"",AVERAGEIF('09월 화학성분'!$A$12:$A$949,$A30,'09월 화학성분'!M$12:M$949))</f>
        <v>10.333333333333334</v>
      </c>
      <c r="P30" s="889">
        <f>IF($B30&lt;1,"",AVERAGEIF('09월 조업일지'!$A$12:$A$952,$A30,'09월 조업일지'!$AK$12:$AK$952))</f>
        <v>626.85714285714289</v>
      </c>
      <c r="Q30" s="888">
        <f>IF($B30&lt;1,"",AVERAGEIF('09월 화학성분'!$A$12:$A$949,$A30,'09월 화학성분'!$G$12:$G$949))</f>
        <v>9.6</v>
      </c>
      <c r="R30" s="889">
        <f>IF($B30&lt;1,"",AVERAGEIF('09월 조업일지'!$A$12:$A$952,$A30,'09월 조업일지'!$AI$12:$AI$952))</f>
        <v>1569.8</v>
      </c>
      <c r="S30" s="888">
        <f>IF($B30&lt;1,"",AVERAGEIF('09월 화학성분'!$A$12:$A$949,$A30,'09월 화학성분'!$AM$12:$AM$949))</f>
        <v>2098.0666666666666</v>
      </c>
      <c r="T30" s="890">
        <f>IF($B30&lt;1,"",AVERAGEIF('09월 화학성분'!$A$12:$A$949,$A30,'09월 화학성분'!N$12:N$949))</f>
        <v>420.03333333333336</v>
      </c>
      <c r="U30" s="890" t="e">
        <f>IF($B30&lt;1,"",AVERAGEIF('09월 화학성분'!$A$12:$A$949,$A30,'09월 화학성분'!O$12:O$949))</f>
        <v>#DIV/0!</v>
      </c>
      <c r="V30" s="890">
        <f>IF($B30&lt;1,"",AVERAGEIF('09월 화학성분'!$A$12:$A$949,$A30,'09월 화학성분'!P$12:P$949))</f>
        <v>1000.8333333333334</v>
      </c>
      <c r="W30" s="890">
        <f>IF($B30&lt;1,"",AVERAGEIF('09월 화학성분'!$A$12:$A$949,$A30,'09월 화학성분'!Q$12:Q$949))</f>
        <v>923.4666666666667</v>
      </c>
      <c r="X30" s="890" t="e">
        <f>IF($B30&lt;1,"",AVERAGEIF('09월 화학성분'!$A$12:$A$949,$A30,'09월 화학성분'!R$12:R$949))</f>
        <v>#DIV/0!</v>
      </c>
      <c r="Y30" s="890" t="e">
        <f>IF($B30&lt;1,"",AVERAGEIF('09월 화학성분'!$A$12:$A$949,$A30,'09월 화학성분'!U$12:U$949))</f>
        <v>#DIV/0!</v>
      </c>
      <c r="Z30" s="890">
        <f>IF($B30&lt;1,"",AVERAGEIF('09월 화학성분'!$A$12:$A$949,$A30,'09월 화학성분'!V$12:V$949))</f>
        <v>418.93333333333334</v>
      </c>
      <c r="AA30" s="890" t="e">
        <f>IF($B30&lt;1,"",AVERAGEIF('09월 화학성분'!$A$12:$A$949,$A30,'09월 화학성분'!W$12:W$949))</f>
        <v>#DIV/0!</v>
      </c>
      <c r="AB30" s="890" t="e">
        <f>IF($B30&lt;1,"",AVERAGEIF('09월 화학성분'!$A$12:$A$949,$A30,'09월 화학성분'!AA$12:AA$949))</f>
        <v>#DIV/0!</v>
      </c>
      <c r="AC30" s="890" t="e">
        <f>IF($B30&lt;1,"",AVERAGEIF('09월 화학성분'!$A$12:$A$949,$A30,'09월 화학성분'!#REF!))</f>
        <v>#REF!</v>
      </c>
      <c r="AD30" s="890">
        <f>IF($B30&lt;1,"",AVERAGEIF('09월 화학성분'!$A$12:$A$949,$A30,'09월 화학성분'!AB$12:AB$949))</f>
        <v>0</v>
      </c>
      <c r="AE30" s="890" t="e">
        <f>IF($B30&lt;1,"",AVERAGEIF('09월 화학성분'!$A$12:$A$949,$A30,'09월 화학성분'!AC$12:AC$949))</f>
        <v>#DIV/0!</v>
      </c>
      <c r="AF30" s="890">
        <f>IF($B30&lt;1,"",AVERAGEIF('09월 화학성분'!$A$12:$A$949,$A30,'09월 화학성분'!AD$12:AD$949))</f>
        <v>276.3</v>
      </c>
      <c r="AG30" s="890">
        <f>IF($B30&lt;1,"",AVERAGEIF('09월 화학성분'!$A$12:$A$949,$A30,'09월 화학성분'!AF$12:AF$949))</f>
        <v>0</v>
      </c>
      <c r="AH30" s="890">
        <f>IF($B30&lt;1,"",AVERAGEIF('09월 화학성분'!$A$12:$A$949,$A30,'09월 화학성분'!AG$12:AG$949))</f>
        <v>98.666666666666671</v>
      </c>
      <c r="AI30" s="890">
        <f>IF($B30&lt;1,"",AVERAGEIF('09월 화학성분'!$A$12:$A$949,$A30,'09월 화학성분'!AH$12:AH$949))</f>
        <v>1618.9333333333334</v>
      </c>
      <c r="AJ30" s="890">
        <f>IF($B30&lt;1,"",AVERAGEIF('09월 화학성분'!$A$12:$A$949,$A30,'09월 화학성분'!AI$12:AI$949))</f>
        <v>268.76190476190476</v>
      </c>
      <c r="AK30" s="890">
        <f>IF($B30&lt;1,"",AVERAGEIF('09월 화학성분'!$A$12:$A$949,$A30,'09월 화학성분'!AJ$12:AJ$949))</f>
        <v>83.733333333333334</v>
      </c>
      <c r="AL30" s="890" t="e">
        <f>IF($B30&lt;1,"",AVERAGEIF('09월 화학성분'!$A$12:$A$949,$A30,'09월 화학성분'!#REF!))</f>
        <v>#REF!</v>
      </c>
      <c r="AM30" s="890">
        <f>IF($B30&lt;1,"",AVERAGEIF('09월 화학성분'!$A$12:$A$949,$A30,'09월 화학성분'!AL$12:AL$949))</f>
        <v>124.4</v>
      </c>
      <c r="AN30" s="890">
        <f>IF($B30&lt;1,"",AVERAGEIF('09월 화학성분'!$A$12:$A$949,$A30,'09월 화학성분'!AM$12:AM$949))</f>
        <v>2098.0666666666666</v>
      </c>
      <c r="AO30" s="891">
        <f>IF($B30&lt;1,"",AVERAGEIF('09월 화학성분'!$A$12:$A$949,$A30,'09월 화학성분'!AN$12:AN$949))</f>
        <v>0.82108255632537819</v>
      </c>
      <c r="AP30" s="891">
        <f>IF($B30&lt;1,"",AVERAGEIF('09월 화학성분'!$A$12:$A$949,$A30,'09월 화학성분'!AO$12:AO$949))</f>
        <v>0.98618608757404191</v>
      </c>
      <c r="AQ30" s="890">
        <f>IF($B30&lt;1,"",AVERAGEIF('09월 화학성분'!$A$12:$A$949,$A30,'09월 화학성분'!AP$12:AP$949))</f>
        <v>143.09333333333333</v>
      </c>
      <c r="AR30" s="890">
        <f>IF($B30&lt;1,"",AVERAGEIF('09월 고철장입'!$A$14:$A$949,$A30,'09월 고철장입'!G$14:G$949)/1000)</f>
        <v>0</v>
      </c>
      <c r="AS30" s="890">
        <f>IF($B30&lt;1,"",AVERAGEIF('09월 고철장입'!$A$14:$A$949,$A30,'09월 고철장입'!H$14:H$949)/1000)</f>
        <v>0</v>
      </c>
      <c r="AT30" s="890">
        <f>IF($B30&lt;1,"",AVERAGEIF('09월 고철장입'!$A$14:$A$949,$A30,'09월 고철장입'!I$14:I$949)/1000)</f>
        <v>18.333333333333332</v>
      </c>
      <c r="AU30" s="890">
        <f>IF($B30&lt;1,"",AVERAGEIF('09월 고철장입'!$A$14:$A$949,$A30,'09월 고철장입'!J$14:J$949)/1000)</f>
        <v>0</v>
      </c>
      <c r="AV30" s="890">
        <f>IF($B30&lt;1,"",AVERAGEIF('09월 고철장입'!$A$14:$A$949,$A30,'09월 고철장입'!K$14:K$949)/1000)</f>
        <v>0</v>
      </c>
      <c r="AW30" s="890">
        <f>IF($B30&lt;1,"",AVERAGEIF('09월 고철장입'!$A$14:$A$949,$A30,'09월 고철장입'!L$14:L$949)/1000)</f>
        <v>0</v>
      </c>
      <c r="AX30" s="890">
        <f>IF($B30&lt;1,"",AVERAGEIF('09월 고철장입'!$A$14:$A$949,$A30,'09월 고철장입'!M$14:M$949)/1000)</f>
        <v>0</v>
      </c>
      <c r="AY30" s="890">
        <f>IF($B30&lt;1,"",AVERAGEIF('09월 고철장입'!$A$14:$A$949,$A30,'09월 고철장입'!N$14:N$949)/1000)</f>
        <v>0</v>
      </c>
      <c r="AZ30" s="890">
        <f>IF($B30&lt;1,"",AVERAGEIF('09월 고철장입'!$A$14:$A$949,$A30,'09월 고철장입'!O$14:O$949)/1000)</f>
        <v>18.333333333333332</v>
      </c>
      <c r="BA30" s="890">
        <f>IF($B30&lt;1,"",AVERAGEIF('09월 고철장입'!$A$14:$A$949,$A30,'09월 고철장입'!P$14:P$949)/1000)</f>
        <v>48.73</v>
      </c>
      <c r="BB30" s="890">
        <f>IF($B30&lt;1,"",AVERAGEIF('09월 고철장입'!$A$14:$A$949,$A30,'09월 고철장입'!Q$14:Q$949)/1000)</f>
        <v>18.476666666666667</v>
      </c>
      <c r="BC30" s="890">
        <f>IF($B30&lt;1,"",AVERAGEIF('09월 고철장입'!$A$14:$A$949,$A30,'09월 고철장입'!S$14:S$949)/1000)</f>
        <v>0</v>
      </c>
      <c r="BD30" s="890">
        <f>IF($B30&lt;1,"",AVERAGEIF('09월 고철장입'!$A$14:$A$949,$A30,'09월 고철장입'!T$14:T$949)/1000)</f>
        <v>0</v>
      </c>
      <c r="BE30" s="890">
        <f>IF($B30&lt;1,"",AVERAGEIF('09월 고철장입'!$A$14:$A$949,$A30,'09월 고철장입'!U$14:U$949)/1000)</f>
        <v>3.42</v>
      </c>
      <c r="BF30" s="890">
        <f>IF($B30&lt;1,"",AVERAGEIF('09월 고철장입'!$A$14:$A$949,$A30,'09월 고철장입'!V$14:V$949)/1000)</f>
        <v>20.696666666666669</v>
      </c>
      <c r="BG30" s="890">
        <f>IF($B30&lt;1,"",AVERAGEIF('09월 고철장입'!$A$14:$A$949,$A30,'09월 고철장입'!W$14:W$949)/1000)</f>
        <v>2.5033333333333334</v>
      </c>
      <c r="BH30" s="890">
        <f>IF($B30&lt;1,"",AVERAGEIF('09월 고철장입'!$A$14:$A$949,$A30,'09월 고철장입'!Y$14:Y$949)/1000)</f>
        <v>6.02</v>
      </c>
      <c r="BI30" s="890">
        <f>IF($B30&lt;1,"",AVERAGEIF('09월 고철장입'!$A$14:$A$949,$A30,'09월 고철장입'!AB$14:AB$949)/1000)</f>
        <v>1.8333333333333333</v>
      </c>
      <c r="BJ30" s="890">
        <f>IF($B30&lt;1,"",AVERAGEIF('09월 고철장입'!$A$14:$A$949,$A30,'09월 고철장입'!AC$14:AC$949)/1000)</f>
        <v>1.8476190476190477</v>
      </c>
      <c r="BK30" s="890">
        <f>IF($B30&lt;1,"",AVERAGEIF('09월 고철장입'!$A$14:$A$949,$A30,'09월 고철장입'!AD$14:AD$949)/1000)</f>
        <v>2.0947368421052635</v>
      </c>
      <c r="BL30" s="890">
        <f>IF($B30&lt;1,"",AVERAGEIF('09월 고철장입'!$A$14:$A$949,$A30,'09월 고철장입'!AE$14:AE$949)/1000)</f>
        <v>118.49333333333333</v>
      </c>
      <c r="BM30" s="890">
        <f>IF($B30&lt;1,"",AVERAGEIF('09월 고철장입'!$A$14:$A$949,$A30,'09월 고철장입'!AF$14:AF$949)/1000)</f>
        <v>4.09</v>
      </c>
      <c r="BN30" s="890">
        <f>IF($B30&lt;1,"",AVERAGEIF('09월 고철장입'!$A$14:$A$949,$A30,'09월 고철장입'!AG$14:AG$949)/1000)</f>
        <v>13.19</v>
      </c>
      <c r="BO30" s="890">
        <f>IF($B30&lt;1,"",AVERAGEIF('09월 고철장입'!$A$14:$A$949,$A30,'09월 고철장입'!AH$14:AH$949)/1000)</f>
        <v>4.4266666666666667</v>
      </c>
      <c r="BP30" s="890">
        <f>IF($B30&lt;1,"",AVERAGEIF('09월 고철장입'!$A$14:$A$949,$A30,'09월 고철장입'!AI$14:AI$949)/1000)</f>
        <v>21.706666666666667</v>
      </c>
      <c r="BQ30" s="890">
        <f>IF($B30&lt;1,"",AVERAGEIF('09월 고철장입'!$A$14:$A$949,$A30,'09월 고철장입'!AJ$14:AJ$949)/1000)</f>
        <v>158.53333333333333</v>
      </c>
      <c r="BR30" s="890">
        <f>IF($B30&lt;1,"",AVERAGEIF('09월 고철장입'!$A$14:$A$949,$A30,'09월 고철장입'!AK$14:AK$949))</f>
        <v>143.09333333333333</v>
      </c>
      <c r="BS30" s="890">
        <f>IF($B30&lt;1,"",AVERAGEIF('09월 고철장입'!$A$14:$A$949,$A30,'09월 고철장입'!AL$14:AL$949)*100)</f>
        <v>90.261265352337176</v>
      </c>
      <c r="BT30" s="890">
        <f>IF($B30&lt;1,"",AVERAGEIF('09월 에너지'!$A$14:$A$949,$A30,'09월 에너지'!G$14:G$949))</f>
        <v>19.41333333333333</v>
      </c>
      <c r="BU30" s="892">
        <f>IF($B30&lt;1,"",AVERAGEIF('09월 에너지'!$A$14:$A$949,$A30,'09월 에너지'!H$14:H$949))</f>
        <v>23233.333333333332</v>
      </c>
      <c r="BV30" s="890">
        <f>IF($B30&lt;1,"",AVERAGEIF('09월 에너지'!$A$14:$A$949,$A30,'09월 에너지'!I$14:I$949))</f>
        <v>16.690000000000005</v>
      </c>
      <c r="BW30" s="892">
        <f>IF($B30&lt;1,"",AVERAGEIF('09월 에너지'!$A$14:$A$949,$A30,'09월 에너지'!J$14:J$949))</f>
        <v>20640</v>
      </c>
      <c r="BX30" s="890">
        <f>IF($B30&lt;1,"",AVERAGEIF('09월 에너지'!$A$14:$A$949,$A30,'09월 에너지'!K$14:K$949))</f>
        <v>9.9733333333333309</v>
      </c>
      <c r="BY30" s="892">
        <f>IF($B30&lt;1,"",AVERAGEIF('09월 에너지'!$A$14:$A$949,$A30,'09월 에너지'!L$14:L$949))</f>
        <v>12686.666666666666</v>
      </c>
      <c r="BZ30" s="890">
        <f>IF($B30&lt;1,"",AVERAGEIF('09월 에너지'!$A$14:$A$949,$A30,'09월 에너지'!M$14:M$949))</f>
        <v>46.076666666666675</v>
      </c>
      <c r="CA30" s="892">
        <f>IF($B30&lt;1,"",AVERAGEIF('09월 에너지'!$A$14:$A$949,$A30,'09월 에너지'!N$14:N$949))</f>
        <v>56560</v>
      </c>
      <c r="CB30" s="890">
        <f>IF($B30&lt;1,"",AVERAGEIF('09월 에너지'!$A$14:$A$949,$A30,'09월 에너지'!O$14:O$949))</f>
        <v>162.39154547171768</v>
      </c>
      <c r="CC30" s="890">
        <f>IF($B30&lt;1,"",AVERAGEIF('09월 에너지'!$A$14:$A$949,$A30,'09월 에너지'!P$14:P$949))</f>
        <v>144.26900298970398</v>
      </c>
      <c r="CD30" s="890">
        <f>IF($B30&lt;1,"",AVERAGEIF('09월 에너지'!$A$14:$A$949,$A30,'09월 에너지'!Q$14:Q$949))</f>
        <v>88.63787027032437</v>
      </c>
      <c r="CE30" s="890">
        <f>IF($B30&lt;1,"",AVERAGEIF('09월 에너지'!$A$14:$A$949,$A30,'09월 에너지'!R$14:R$949))</f>
        <v>395.29841873174604</v>
      </c>
      <c r="CF30" s="890">
        <f>IF($B30&lt;1,"",AVERAGEIF('09월 에너지'!$A$14:$A$949,$A30,'09월 에너지'!S$14:S$949))</f>
        <v>143.09333333333333</v>
      </c>
      <c r="CG30" s="890">
        <f>IF($B30&lt;1,"",AVERAGEIF('09월 에너지'!$A$14:$A$949,$A30,'09월 에너지'!T$14:T$949))</f>
        <v>0</v>
      </c>
      <c r="CH30" s="890">
        <f>IF($B30&lt;1,"",AVERAGEIF('09월 에너지'!$A$14:$A$949,$A30,'09월 에너지'!U$14:U$949))</f>
        <v>57.1</v>
      </c>
      <c r="CI30" s="892">
        <f>IF($B30&lt;1,"",AVERAGEIF('09월 에너지'!$A$14:$A$949,$A30,'09월 에너지'!V$14:V$949))</f>
        <v>321.36666666666667</v>
      </c>
      <c r="CJ30" s="892">
        <f>IF($B30&lt;1,"",AVERAGEIF('09월 에너지'!$A$14:$A$949,$A30,'09월 에너지'!W$14:W$949))</f>
        <v>378.46666666666664</v>
      </c>
      <c r="CK30" s="890">
        <f>IF($B30&lt;1,"",AVERAGEIF('09월 에너지'!$A$14:$A$949,$A30,'09월 에너지'!X$14:X$949))</f>
        <v>2.6440194495261884</v>
      </c>
      <c r="CL30" s="892">
        <f>IF($B30&lt;1,"",AVERAGEIF('09월 에너지'!$A$14:$A$949,$A30,'09월 에너지'!Y$14:Y$949))</f>
        <v>1578.9</v>
      </c>
      <c r="CM30" s="892">
        <f>IF($B30&lt;1,"",AVERAGEIF('09월 에너지'!$A$14:$A$949,$A30,'09월 에너지'!Z$14:Z$949))</f>
        <v>1373.1666666666667</v>
      </c>
      <c r="CN30" s="892">
        <f>IF($B30&lt;1,"",AVERAGEIF('09월 에너지'!$A$14:$A$949,$A30,'09월 에너지'!AA$14:AA$949))</f>
        <v>812.66666666666663</v>
      </c>
      <c r="CO30" s="892">
        <f>IF($B30&lt;1,"",AVERAGEIF('09월 에너지'!$A$14:$A$949,$A30,'09월 에너지'!AB$14:AB$949))</f>
        <v>3764.7333333333331</v>
      </c>
      <c r="CP30" s="890">
        <f>IF($B30&lt;1,"",AVERAGEIF('09월 에너지'!$A$14:$A$949,$A30,'09월 에너지'!AC$14:AC$949))</f>
        <v>26.308714379169253</v>
      </c>
      <c r="CQ30" s="888">
        <f>IF($B30&lt;1,"",AVERAGEIF('09월 에너지'!$A$14:$A$949,$A30,'09월 에너지'!AD$14:AD$949))</f>
        <v>4143.2</v>
      </c>
      <c r="CR30" s="888">
        <f>IF($B30&lt;1,"",AVERAGEIF('09월 에너지'!$A$14:$A$949,$A30,'09월 에너지'!AE$14:AE$949))</f>
        <v>28.952733828695447</v>
      </c>
      <c r="CS30" s="890">
        <f>IF($B30&lt;1,"",AVERAGEIF('09월 에너지'!$A$14:$A$949,$A30,'09월 에너지'!AF$14:AF$949))</f>
        <v>81.166666666666671</v>
      </c>
      <c r="CT30" s="890">
        <f>IF($B30&lt;1,"",AVERAGEIF('09월 에너지'!$A$14:$A$949,$A30,'09월 에너지'!AG$14:AG$949))</f>
        <v>62.2</v>
      </c>
      <c r="CU30" s="890">
        <f>IF($B30&lt;1,"",AVERAGEIF('09월 에너지'!$A$14:$A$949,$A30,'09월 에너지'!AH$14:AH$949))</f>
        <v>7.1333333333333337</v>
      </c>
      <c r="CV30" s="890">
        <f>IF($B30&lt;1,"",AVERAGEIF('09월 에너지'!$A$14:$A$949,$A30,'09월 에너지'!AI$14:AI$949))</f>
        <v>150.5</v>
      </c>
      <c r="CW30" s="893">
        <f>IF($B30&lt;1,"",AVERAGEIF('09월 에너지'!$A$14:$A$949,$A30,'09월 에너지'!AJ$14:AJ$949))</f>
        <v>1.0518820198524117</v>
      </c>
    </row>
    <row r="31" spans="1:101" ht="15.75" customHeight="1">
      <c r="A31" s="883">
        <f t="shared" si="1"/>
        <v>46292</v>
      </c>
      <c r="B31" s="884">
        <f>COUNTIF('09월 조업일지'!$A$12:$A$952,A31)</f>
        <v>30</v>
      </c>
      <c r="C31" s="885">
        <f t="shared" si="0"/>
        <v>47.800000000000004</v>
      </c>
      <c r="D31" s="885">
        <f>IF($B31&lt;1,"",(SUMIF('09월 조업일지'!$A$12:$A$952,$A31,'09월 조업일지'!$K$12:$K$952))/B31)</f>
        <v>0</v>
      </c>
      <c r="E31" s="885">
        <f>IF($B31&lt;1,"",AVERAGEIF('09월 조업일지'!$A$12:$A$952,$A31,'09월 조업일지'!$J$12:$J$952))</f>
        <v>47.800000000000004</v>
      </c>
      <c r="F31" s="886">
        <f>IF($B31&lt;1,"",AVERAGEIF('09월 에너지'!$A$14:$A$949,$A31,'09월 에너지'!$M$14:M$949))</f>
        <v>46.476666666666667</v>
      </c>
      <c r="G31" s="887">
        <f>IF($B31&lt;1,"",AVERAGEIF('09월 조업일지'!$A$12:$A$952,$A31,'09월 조업일지'!$AJ$12:$AJ$952))</f>
        <v>31.033333333333335</v>
      </c>
      <c r="H31" s="887">
        <f>IF($B31&lt;1,"",AVERAGEIF('09월 조업일지'!$A$12:$A$952,$A31,'09월 조업일지'!$AL$12:$AL$952))</f>
        <v>7.0344827586206895</v>
      </c>
      <c r="I31" s="888">
        <f>IF($B31&lt;1,"",AVERAGEIF('09월 화학성분'!$A$12:$A$949,$A31,'09월 화학성분'!G$12:G$949))</f>
        <v>8.1666666666666661</v>
      </c>
      <c r="J31" s="888">
        <f>IF($B31&lt;1,"",AVERAGEIF('09월 화학성분'!$A$12:$A$949,$A31,'09월 화학성분'!H$12:H$949))</f>
        <v>22.466666666666665</v>
      </c>
      <c r="K31" s="888">
        <f>IF($B31&lt;1,"",AVERAGEIF('09월 화학성분'!$A$12:$A$949,$A31,'09월 화학성분'!I$12:I$949))</f>
        <v>63.333333333333336</v>
      </c>
      <c r="L31" s="888">
        <f>IF($B31&lt;1,"",AVERAGEIF('09월 화학성분'!$A$12:$A$949,$A31,'09월 화학성분'!J$12:J$949))</f>
        <v>14.933333333333334</v>
      </c>
      <c r="M31" s="888">
        <f>IF($B31&lt;1,"",AVERAGEIF('09월 화학성분'!$A$12:$A$949,$A31,'09월 화학성분'!K$12:K$949))</f>
        <v>29.233333333333334</v>
      </c>
      <c r="N31" s="888">
        <f>IF($B31&lt;1,"",AVERAGEIF('09월 화학성분'!$A$12:$A$949,$A31,'09월 화학성분'!L$12:L$949))</f>
        <v>13.966666666666667</v>
      </c>
      <c r="O31" s="888">
        <f>IF($B31&lt;1,"",AVERAGEIF('09월 화학성분'!$A$12:$A$949,$A31,'09월 화학성분'!M$12:M$949))</f>
        <v>10.033333333333333</v>
      </c>
      <c r="P31" s="889">
        <f>IF($B31&lt;1,"",AVERAGEIF('09월 조업일지'!$A$12:$A$952,$A31,'09월 조업일지'!$AK$12:$AK$952))</f>
        <v>621.82758620689651</v>
      </c>
      <c r="Q31" s="888">
        <f>IF($B31&lt;1,"",AVERAGEIF('09월 화학성분'!$A$12:$A$949,$A31,'09월 화학성분'!$G$12:$G$949))</f>
        <v>8.1666666666666661</v>
      </c>
      <c r="R31" s="889">
        <f>IF($B31&lt;1,"",AVERAGEIF('09월 조업일지'!$A$12:$A$952,$A31,'09월 조업일지'!$AI$12:$AI$952))</f>
        <v>1576.0333333333333</v>
      </c>
      <c r="S31" s="888">
        <f>IF($B31&lt;1,"",AVERAGEIF('09월 화학성분'!$A$12:$A$949,$A31,'09월 화학성분'!$AM$12:$AM$949))</f>
        <v>2091.4666666666667</v>
      </c>
      <c r="T31" s="890">
        <f>IF($B31&lt;1,"",AVERAGEIF('09월 화학성분'!$A$12:$A$949,$A31,'09월 화학성분'!N$12:N$949))</f>
        <v>426.06666666666666</v>
      </c>
      <c r="U31" s="890" t="e">
        <f>IF($B31&lt;1,"",AVERAGEIF('09월 화학성분'!$A$12:$A$949,$A31,'09월 화학성분'!O$12:O$949))</f>
        <v>#DIV/0!</v>
      </c>
      <c r="V31" s="890">
        <f>IF($B31&lt;1,"",AVERAGEIF('09월 화학성분'!$A$12:$A$949,$A31,'09월 화학성분'!P$12:P$949))</f>
        <v>1004.1</v>
      </c>
      <c r="W31" s="890">
        <f>IF($B31&lt;1,"",AVERAGEIF('09월 화학성분'!$A$12:$A$949,$A31,'09월 화학성분'!Q$12:Q$949))</f>
        <v>953.6</v>
      </c>
      <c r="X31" s="890" t="e">
        <f>IF($B31&lt;1,"",AVERAGEIF('09월 화학성분'!$A$12:$A$949,$A31,'09월 화학성분'!R$12:R$949))</f>
        <v>#DIV/0!</v>
      </c>
      <c r="Y31" s="890" t="e">
        <f>IF($B31&lt;1,"",AVERAGEIF('09월 화학성분'!$A$12:$A$949,$A31,'09월 화학성분'!U$12:U$949))</f>
        <v>#DIV/0!</v>
      </c>
      <c r="Z31" s="890">
        <f>IF($B31&lt;1,"",AVERAGEIF('09월 화학성분'!$A$12:$A$949,$A31,'09월 화학성분'!V$12:V$949))</f>
        <v>425.66666666666669</v>
      </c>
      <c r="AA31" s="890" t="e">
        <f>IF($B31&lt;1,"",AVERAGEIF('09월 화학성분'!$A$12:$A$949,$A31,'09월 화학성분'!W$12:W$949))</f>
        <v>#DIV/0!</v>
      </c>
      <c r="AB31" s="890" t="e">
        <f>IF($B31&lt;1,"",AVERAGEIF('09월 화학성분'!$A$12:$A$949,$A31,'09월 화학성분'!AA$12:AA$949))</f>
        <v>#DIV/0!</v>
      </c>
      <c r="AC31" s="890" t="e">
        <f>IF($B31&lt;1,"",AVERAGEIF('09월 화학성분'!$A$12:$A$949,$A31,'09월 화학성분'!#REF!))</f>
        <v>#REF!</v>
      </c>
      <c r="AD31" s="890">
        <f>IF($B31&lt;1,"",AVERAGEIF('09월 화학성분'!$A$12:$A$949,$A31,'09월 화학성분'!AB$12:AB$949))</f>
        <v>0</v>
      </c>
      <c r="AE31" s="890" t="e">
        <f>IF($B31&lt;1,"",AVERAGEIF('09월 화학성분'!$A$12:$A$949,$A31,'09월 화학성분'!AC$12:AC$949))</f>
        <v>#DIV/0!</v>
      </c>
      <c r="AF31" s="890">
        <f>IF($B31&lt;1,"",AVERAGEIF('09월 화학성분'!$A$12:$A$949,$A31,'09월 화학성분'!AD$12:AD$949))</f>
        <v>275.96666666666664</v>
      </c>
      <c r="AG31" s="890">
        <f>IF($B31&lt;1,"",AVERAGEIF('09월 화학성분'!$A$12:$A$949,$A31,'09월 화학성분'!AF$12:AF$949))</f>
        <v>0</v>
      </c>
      <c r="AH31" s="890">
        <f>IF($B31&lt;1,"",AVERAGEIF('09월 화학성분'!$A$12:$A$949,$A31,'09월 화학성분'!AG$12:AG$949))</f>
        <v>104.16666666666667</v>
      </c>
      <c r="AI31" s="890">
        <f>IF($B31&lt;1,"",AVERAGEIF('09월 화학성분'!$A$12:$A$949,$A31,'09월 화학성분'!AH$12:AH$949))</f>
        <v>1002</v>
      </c>
      <c r="AJ31" s="890">
        <f>IF($B31&lt;1,"",AVERAGEIF('09월 화학성분'!$A$12:$A$949,$A31,'09월 화학성분'!AI$12:AI$949))</f>
        <v>347.8</v>
      </c>
      <c r="AK31" s="890">
        <f>IF($B31&lt;1,"",AVERAGEIF('09월 화학성분'!$A$12:$A$949,$A31,'09월 화학성분'!AJ$12:AJ$949))</f>
        <v>83.1</v>
      </c>
      <c r="AL31" s="890" t="e">
        <f>IF($B31&lt;1,"",AVERAGEIF('09월 화학성분'!$A$12:$A$949,$A31,'09월 화학성분'!#REF!))</f>
        <v>#REF!</v>
      </c>
      <c r="AM31" s="890">
        <f>IF($B31&lt;1,"",AVERAGEIF('09월 화학성분'!$A$12:$A$949,$A31,'09월 화학성분'!AL$12:AL$949))</f>
        <v>129.65384615384616</v>
      </c>
      <c r="AN31" s="890">
        <f>IF($B31&lt;1,"",AVERAGEIF('09월 화학성분'!$A$12:$A$949,$A31,'09월 화학성분'!AM$12:AM$949))</f>
        <v>2091.4666666666667</v>
      </c>
      <c r="AO31" s="891">
        <f>IF($B31&lt;1,"",AVERAGEIF('09월 화학성분'!$A$12:$A$949,$A31,'09월 화학성분'!AN$12:AN$949))</f>
        <v>0.78310558466892843</v>
      </c>
      <c r="AP31" s="891">
        <f>IF($B31&lt;1,"",AVERAGEIF('09월 화학성분'!$A$12:$A$949,$A31,'09월 화학성분'!AO$12:AO$949))</f>
        <v>0.97792226385178294</v>
      </c>
      <c r="AQ31" s="890">
        <f>IF($B31&lt;1,"",AVERAGEIF('09월 화학성분'!$A$12:$A$949,$A31,'09월 화학성분'!AP$12:AP$949))</f>
        <v>143.11000000000001</v>
      </c>
      <c r="AR31" s="890">
        <f>IF($B31&lt;1,"",AVERAGEIF('09월 고철장입'!$A$14:$A$949,$A31,'09월 고철장입'!G$14:G$949)/1000)</f>
        <v>0</v>
      </c>
      <c r="AS31" s="890">
        <f>IF($B31&lt;1,"",AVERAGEIF('09월 고철장입'!$A$14:$A$949,$A31,'09월 고철장입'!H$14:H$949)/1000)</f>
        <v>0</v>
      </c>
      <c r="AT31" s="890">
        <f>IF($B31&lt;1,"",AVERAGEIF('09월 고철장입'!$A$14:$A$949,$A31,'09월 고철장입'!I$14:I$949)/1000)</f>
        <v>16.723333333333333</v>
      </c>
      <c r="AU31" s="890">
        <f>IF($B31&lt;1,"",AVERAGEIF('09월 고철장입'!$A$14:$A$949,$A31,'09월 고철장입'!J$14:J$949)/1000)</f>
        <v>0</v>
      </c>
      <c r="AV31" s="890">
        <f>IF($B31&lt;1,"",AVERAGEIF('09월 고철장입'!$A$14:$A$949,$A31,'09월 고철장입'!K$14:K$949)/1000)</f>
        <v>0</v>
      </c>
      <c r="AW31" s="890">
        <f>IF($B31&lt;1,"",AVERAGEIF('09월 고철장입'!$A$14:$A$949,$A31,'09월 고철장입'!L$14:L$949)/1000)</f>
        <v>0</v>
      </c>
      <c r="AX31" s="890">
        <f>IF($B31&lt;1,"",AVERAGEIF('09월 고철장입'!$A$14:$A$949,$A31,'09월 고철장입'!M$14:M$949)/1000)</f>
        <v>0</v>
      </c>
      <c r="AY31" s="890">
        <f>IF($B31&lt;1,"",AVERAGEIF('09월 고철장입'!$A$14:$A$949,$A31,'09월 고철장입'!N$14:N$949)/1000)</f>
        <v>0</v>
      </c>
      <c r="AZ31" s="890">
        <f>IF($B31&lt;1,"",AVERAGEIF('09월 고철장입'!$A$14:$A$949,$A31,'09월 고철장입'!O$14:O$949)/1000)</f>
        <v>16.723333333333333</v>
      </c>
      <c r="BA31" s="890">
        <f>IF($B31&lt;1,"",AVERAGEIF('09월 고철장입'!$A$14:$A$949,$A31,'09월 고철장입'!P$14:P$949)/1000)</f>
        <v>52.46</v>
      </c>
      <c r="BB31" s="890">
        <f>IF($B31&lt;1,"",AVERAGEIF('09월 고철장입'!$A$14:$A$949,$A31,'09월 고철장입'!Q$14:Q$949)/1000)</f>
        <v>18.23</v>
      </c>
      <c r="BC31" s="890">
        <f>IF($B31&lt;1,"",AVERAGEIF('09월 고철장입'!$A$14:$A$949,$A31,'09월 고철장입'!S$14:S$949)/1000)</f>
        <v>0</v>
      </c>
      <c r="BD31" s="890">
        <f>IF($B31&lt;1,"",AVERAGEIF('09월 고철장입'!$A$14:$A$949,$A31,'09월 고철장입'!T$14:T$949)/1000)</f>
        <v>0</v>
      </c>
      <c r="BE31" s="890">
        <f>IF($B31&lt;1,"",AVERAGEIF('09월 고철장입'!$A$14:$A$949,$A31,'09월 고철장입'!U$14:U$949)/1000)</f>
        <v>4.5880000000000001</v>
      </c>
      <c r="BF31" s="890">
        <f>IF($B31&lt;1,"",AVERAGEIF('09월 고철장입'!$A$14:$A$949,$A31,'09월 고철장입'!V$14:V$949)/1000)</f>
        <v>19.963333333333331</v>
      </c>
      <c r="BG31" s="890">
        <f>IF($B31&lt;1,"",AVERAGEIF('09월 고철장입'!$A$14:$A$949,$A31,'09월 고철장입'!W$14:W$949)/1000)</f>
        <v>2.81</v>
      </c>
      <c r="BH31" s="890">
        <f>IF($B31&lt;1,"",AVERAGEIF('09월 고철장입'!$A$14:$A$949,$A31,'09월 고철장입'!Y$14:Y$949)/1000)</f>
        <v>6.6633333333333331</v>
      </c>
      <c r="BI31" s="890">
        <f>IF($B31&lt;1,"",AVERAGEIF('09월 고철장입'!$A$14:$A$949,$A31,'09월 고철장입'!AB$14:AB$949)/1000)</f>
        <v>0</v>
      </c>
      <c r="BJ31" s="890">
        <f>IF($B31&lt;1,"",AVERAGEIF('09월 고철장입'!$A$14:$A$949,$A31,'09월 고철장입'!AC$14:AC$949)/1000)</f>
        <v>2.1896551724137931</v>
      </c>
      <c r="BK31" s="890">
        <f>IF($B31&lt;1,"",AVERAGEIF('09월 고철장입'!$A$14:$A$949,$A31,'09월 고철장입'!AD$14:AD$949)/1000)</f>
        <v>0</v>
      </c>
      <c r="BL31" s="890">
        <f>IF($B31&lt;1,"",AVERAGEIF('09월 고철장입'!$A$14:$A$949,$A31,'09월 고철장입'!AE$14:AE$949)/1000)</f>
        <v>122.51333333333334</v>
      </c>
      <c r="BM31" s="890">
        <f>IF($B31&lt;1,"",AVERAGEIF('09월 고철장입'!$A$14:$A$949,$A31,'09월 고철장입'!AF$14:AF$949)/1000)</f>
        <v>3.94</v>
      </c>
      <c r="BN31" s="890">
        <f>IF($B31&lt;1,"",AVERAGEIF('09월 고철장입'!$A$14:$A$949,$A31,'09월 고철장입'!AG$14:AG$949)/1000)</f>
        <v>11.296666666666667</v>
      </c>
      <c r="BO31" s="890">
        <f>IF($B31&lt;1,"",AVERAGEIF('09월 고철장입'!$A$14:$A$949,$A31,'09월 고철장입'!AH$14:AH$949)/1000)</f>
        <v>3.8566666666666665</v>
      </c>
      <c r="BP31" s="890">
        <f>IF($B31&lt;1,"",AVERAGEIF('09월 고철장입'!$A$14:$A$949,$A31,'09월 고철장입'!AI$14:AI$949)/1000)</f>
        <v>19.093333333333334</v>
      </c>
      <c r="BQ31" s="890">
        <f>IF($B31&lt;1,"",AVERAGEIF('09월 고철장입'!$A$14:$A$949,$A31,'09월 고철장입'!AJ$14:AJ$949)/1000)</f>
        <v>158.33000000000001</v>
      </c>
      <c r="BR31" s="890">
        <f>IF($B31&lt;1,"",AVERAGEIF('09월 고철장입'!$A$14:$A$949,$A31,'09월 고철장입'!AK$14:AK$949))</f>
        <v>143.11000000000001</v>
      </c>
      <c r="BS31" s="890">
        <f>IF($B31&lt;1,"",AVERAGEIF('09월 고철장입'!$A$14:$A$949,$A31,'09월 고철장입'!AL$14:AL$949)*100)</f>
        <v>90.39206204583904</v>
      </c>
      <c r="BT31" s="890">
        <f>IF($B31&lt;1,"",AVERAGEIF('09월 에너지'!$A$14:$A$949,$A31,'09월 에너지'!G$14:G$949))</f>
        <v>19.216666666666672</v>
      </c>
      <c r="BU31" s="892">
        <f>IF($B31&lt;1,"",AVERAGEIF('09월 에너지'!$A$14:$A$949,$A31,'09월 에너지'!H$14:H$949))</f>
        <v>23013.333333333332</v>
      </c>
      <c r="BV31" s="890">
        <f>IF($B31&lt;1,"",AVERAGEIF('09월 에너지'!$A$14:$A$949,$A31,'09월 에너지'!I$14:I$949))</f>
        <v>16.84333333333333</v>
      </c>
      <c r="BW31" s="892">
        <f>IF($B31&lt;1,"",AVERAGEIF('09월 에너지'!$A$14:$A$949,$A31,'09월 에너지'!J$14:J$949))</f>
        <v>20693.333333333332</v>
      </c>
      <c r="BX31" s="890">
        <f>IF($B31&lt;1,"",AVERAGEIF('09월 에너지'!$A$14:$A$949,$A31,'09월 에너지'!K$14:K$949))</f>
        <v>10.416666666666664</v>
      </c>
      <c r="BY31" s="892">
        <f>IF($B31&lt;1,"",AVERAGEIF('09월 에너지'!$A$14:$A$949,$A31,'09월 에너지'!L$14:L$949))</f>
        <v>13223.333333333334</v>
      </c>
      <c r="BZ31" s="890">
        <f>IF($B31&lt;1,"",AVERAGEIF('09월 에너지'!$A$14:$A$949,$A31,'09월 에너지'!M$14:M$949))</f>
        <v>46.476666666666667</v>
      </c>
      <c r="CA31" s="892">
        <f>IF($B31&lt;1,"",AVERAGEIF('09월 에너지'!$A$14:$A$949,$A31,'09월 에너지'!N$14:N$949))</f>
        <v>56930</v>
      </c>
      <c r="CB31" s="890">
        <f>IF($B31&lt;1,"",AVERAGEIF('09월 에너지'!$A$14:$A$949,$A31,'09월 에너지'!O$14:O$949))</f>
        <v>160.86987184770877</v>
      </c>
      <c r="CC31" s="890">
        <f>IF($B31&lt;1,"",AVERAGEIF('09월 에너지'!$A$14:$A$949,$A31,'09월 에너지'!P$14:P$949))</f>
        <v>144.63022849572002</v>
      </c>
      <c r="CD31" s="890">
        <f>IF($B31&lt;1,"",AVERAGEIF('09월 에너지'!$A$14:$A$949,$A31,'09월 에너지'!Q$14:Q$949))</f>
        <v>92.393819984744127</v>
      </c>
      <c r="CE31" s="890">
        <f>IF($B31&lt;1,"",AVERAGEIF('09월 에너지'!$A$14:$A$949,$A31,'09월 에너지'!R$14:R$949))</f>
        <v>397.89392032817278</v>
      </c>
      <c r="CF31" s="890">
        <f>IF($B31&lt;1,"",AVERAGEIF('09월 에너지'!$A$14:$A$949,$A31,'09월 에너지'!S$14:S$949))</f>
        <v>143.11000000000001</v>
      </c>
      <c r="CG31" s="890">
        <f>IF($B31&lt;1,"",AVERAGEIF('09월 에너지'!$A$14:$A$949,$A31,'09월 에너지'!T$14:T$949))</f>
        <v>0</v>
      </c>
      <c r="CH31" s="890">
        <f>IF($B31&lt;1,"",AVERAGEIF('09월 에너지'!$A$14:$A$949,$A31,'09월 에너지'!U$14:U$949))</f>
        <v>55.833333333333336</v>
      </c>
      <c r="CI31" s="892">
        <f>IF($B31&lt;1,"",AVERAGEIF('09월 에너지'!$A$14:$A$949,$A31,'09월 에너지'!V$14:V$949))</f>
        <v>321.66666666666669</v>
      </c>
      <c r="CJ31" s="892">
        <f>IF($B31&lt;1,"",AVERAGEIF('09월 에너지'!$A$14:$A$949,$A31,'09월 에너지'!W$14:W$949))</f>
        <v>377.5</v>
      </c>
      <c r="CK31" s="890">
        <f>IF($B31&lt;1,"",AVERAGEIF('09월 에너지'!$A$14:$A$949,$A31,'09월 에너지'!X$14:X$949))</f>
        <v>2.6391681735613739</v>
      </c>
      <c r="CL31" s="892">
        <f>IF($B31&lt;1,"",AVERAGEIF('09월 에너지'!$A$14:$A$949,$A31,'09월 에너지'!Y$14:Y$949))</f>
        <v>1575.8</v>
      </c>
      <c r="CM31" s="892">
        <f>IF($B31&lt;1,"",AVERAGEIF('09월 에너지'!$A$14:$A$949,$A31,'09월 에너지'!Z$14:Z$949))</f>
        <v>1386.6333333333334</v>
      </c>
      <c r="CN31" s="892">
        <f>IF($B31&lt;1,"",AVERAGEIF('09월 에너지'!$A$14:$A$949,$A31,'09월 에너지'!AA$14:AA$949))</f>
        <v>873.4</v>
      </c>
      <c r="CO31" s="892">
        <f>IF($B31&lt;1,"",AVERAGEIF('09월 에너지'!$A$14:$A$949,$A31,'09월 에너지'!AB$14:AB$949))</f>
        <v>3835.8333333333335</v>
      </c>
      <c r="CP31" s="890">
        <f>IF($B31&lt;1,"",AVERAGEIF('09월 에너지'!$A$14:$A$949,$A31,'09월 에너지'!AC$14:AC$949))</f>
        <v>26.812286140162936</v>
      </c>
      <c r="CQ31" s="888">
        <f>IF($B31&lt;1,"",AVERAGEIF('09월 에너지'!$A$14:$A$949,$A31,'09월 에너지'!AD$14:AD$949))</f>
        <v>4213.333333333333</v>
      </c>
      <c r="CR31" s="888">
        <f>IF($B31&lt;1,"",AVERAGEIF('09월 에너지'!$A$14:$A$949,$A31,'09월 에너지'!AE$14:AE$949))</f>
        <v>29.451454313724312</v>
      </c>
      <c r="CS31" s="890">
        <f>IF($B31&lt;1,"",AVERAGEIF('09월 에너지'!$A$14:$A$949,$A31,'09월 에너지'!AF$14:AF$949))</f>
        <v>77.666666666666671</v>
      </c>
      <c r="CT31" s="890">
        <f>IF($B31&lt;1,"",AVERAGEIF('09월 에너지'!$A$14:$A$949,$A31,'09월 에너지'!AG$14:AG$949))</f>
        <v>59.833333333333336</v>
      </c>
      <c r="CU31" s="890">
        <f>IF($B31&lt;1,"",AVERAGEIF('09월 에너지'!$A$14:$A$949,$A31,'09월 에너지'!AH$14:AH$949))</f>
        <v>6.2333333333333334</v>
      </c>
      <c r="CV31" s="890">
        <f>IF($B31&lt;1,"",AVERAGEIF('09월 에너지'!$A$14:$A$949,$A31,'09월 에너지'!AI$14:AI$949))</f>
        <v>143.73333333333332</v>
      </c>
      <c r="CW31" s="893">
        <f>IF($B31&lt;1,"",AVERAGEIF('09월 에너지'!$A$14:$A$949,$A31,'09월 에너지'!AJ$14:AJ$949))</f>
        <v>1.0047184302075549</v>
      </c>
    </row>
    <row r="32" spans="1:101" ht="15.75" customHeight="1">
      <c r="A32" s="883">
        <f t="shared" si="1"/>
        <v>46293</v>
      </c>
      <c r="B32" s="884">
        <f>COUNTIF('09월 조업일지'!$A$12:$A$952,A32)</f>
        <v>19</v>
      </c>
      <c r="C32" s="885">
        <f t="shared" si="0"/>
        <v>49.842105263157904</v>
      </c>
      <c r="D32" s="885">
        <f>IF($B32&lt;1,"",(SUMIF('09월 조업일지'!$A$12:$A$952,$A32,'09월 조업일지'!$K$12:$K$952))/B32)</f>
        <v>26.842105263157894</v>
      </c>
      <c r="E32" s="885">
        <f>IF($B32&lt;1,"",AVERAGEIF('09월 조업일지'!$A$12:$A$952,$A32,'09월 조업일지'!$J$12:$J$952))</f>
        <v>76.684210526315795</v>
      </c>
      <c r="F32" s="886">
        <f>IF($B32&lt;1,"",AVERAGEIF('09월 에너지'!$A$14:$A$949,$A32,'09월 에너지'!$M$14:M$949))</f>
        <v>46.099999999999994</v>
      </c>
      <c r="G32" s="887">
        <f>IF($B32&lt;1,"",AVERAGEIF('09월 조업일지'!$A$12:$A$952,$A32,'09월 조업일지'!$AJ$12:$AJ$952))</f>
        <v>35.263157894736842</v>
      </c>
      <c r="H32" s="887">
        <f>IF($B32&lt;1,"",AVERAGEIF('09월 조업일지'!$A$12:$A$952,$A32,'09월 조업일지'!$AL$12:$AL$952))</f>
        <v>6.8421052631578947</v>
      </c>
      <c r="I32" s="888">
        <f>IF($B32&lt;1,"",AVERAGEIF('09월 화학성분'!$A$12:$A$949,$A32,'09월 화학성분'!G$12:G$949))</f>
        <v>9</v>
      </c>
      <c r="J32" s="888">
        <f>IF($B32&lt;1,"",AVERAGEIF('09월 화학성분'!$A$12:$A$949,$A32,'09월 화학성분'!H$12:H$949))</f>
        <v>18.736842105263158</v>
      </c>
      <c r="K32" s="888">
        <f>IF($B32&lt;1,"",AVERAGEIF('09월 화학성분'!$A$12:$A$949,$A32,'09월 화학성분'!I$12:I$949))</f>
        <v>76.368421052631575</v>
      </c>
      <c r="L32" s="888">
        <f>IF($B32&lt;1,"",AVERAGEIF('09월 화학성분'!$A$12:$A$949,$A32,'09월 화학성분'!J$12:J$949))</f>
        <v>16.263157894736842</v>
      </c>
      <c r="M32" s="888">
        <f>IF($B32&lt;1,"",AVERAGEIF('09월 화학성분'!$A$12:$A$949,$A32,'09월 화학성분'!K$12:K$949))</f>
        <v>26.578947368421051</v>
      </c>
      <c r="N32" s="888">
        <f>IF($B32&lt;1,"",AVERAGEIF('09월 화학성분'!$A$12:$A$949,$A32,'09월 화학성분'!L$12:L$949))</f>
        <v>12.947368421052632</v>
      </c>
      <c r="O32" s="888">
        <f>IF($B32&lt;1,"",AVERAGEIF('09월 화학성분'!$A$12:$A$949,$A32,'09월 화학성분'!M$12:M$949))</f>
        <v>9.7368421052631575</v>
      </c>
      <c r="P32" s="889">
        <f>IF($B32&lt;1,"",AVERAGEIF('09월 조업일지'!$A$12:$A$952,$A32,'09월 조업일지'!$AK$12:$AK$952))</f>
        <v>635.26315789473688</v>
      </c>
      <c r="Q32" s="888">
        <f>IF($B32&lt;1,"",AVERAGEIF('09월 화학성분'!$A$12:$A$949,$A32,'09월 화학성분'!$G$12:$G$949))</f>
        <v>9</v>
      </c>
      <c r="R32" s="889">
        <f>IF($B32&lt;1,"",AVERAGEIF('09월 조업일지'!$A$12:$A$952,$A32,'09월 조업일지'!$AI$12:$AI$952))</f>
        <v>1568.3684210526317</v>
      </c>
      <c r="S32" s="888">
        <f>IF($B32&lt;1,"",AVERAGEIF('09월 화학성분'!$A$12:$A$949,$A32,'09월 화학성분'!$AM$12:$AM$949))</f>
        <v>2731.4210526315787</v>
      </c>
      <c r="T32" s="890">
        <f>IF($B32&lt;1,"",AVERAGEIF('09월 화학성분'!$A$12:$A$949,$A32,'09월 화학성분'!N$12:N$949))</f>
        <v>440.57894736842104</v>
      </c>
      <c r="U32" s="890" t="e">
        <f>IF($B32&lt;1,"",AVERAGEIF('09월 화학성분'!$A$12:$A$949,$A32,'09월 화학성분'!O$12:O$949))</f>
        <v>#DIV/0!</v>
      </c>
      <c r="V32" s="890">
        <f>IF($B32&lt;1,"",AVERAGEIF('09월 화학성분'!$A$12:$A$949,$A32,'09월 화학성분'!P$12:P$949))</f>
        <v>1048.7368421052631</v>
      </c>
      <c r="W32" s="890">
        <f>IF($B32&lt;1,"",AVERAGEIF('09월 화학성분'!$A$12:$A$949,$A32,'09월 화학성분'!Q$12:Q$949))</f>
        <v>1012.7368421052631</v>
      </c>
      <c r="X32" s="890" t="e">
        <f>IF($B32&lt;1,"",AVERAGEIF('09월 화학성분'!$A$12:$A$949,$A32,'09월 화학성분'!R$12:R$949))</f>
        <v>#DIV/0!</v>
      </c>
      <c r="Y32" s="890" t="e">
        <f>IF($B32&lt;1,"",AVERAGEIF('09월 화학성분'!$A$12:$A$949,$A32,'09월 화학성분'!U$12:U$949))</f>
        <v>#DIV/0!</v>
      </c>
      <c r="Z32" s="890">
        <f>IF($B32&lt;1,"",AVERAGEIF('09월 화학성분'!$A$12:$A$949,$A32,'09월 화학성분'!V$12:V$949))</f>
        <v>426.68421052631578</v>
      </c>
      <c r="AA32" s="890" t="e">
        <f>IF($B32&lt;1,"",AVERAGEIF('09월 화학성분'!$A$12:$A$949,$A32,'09월 화학성분'!W$12:W$949))</f>
        <v>#DIV/0!</v>
      </c>
      <c r="AB32" s="890" t="e">
        <f>IF($B32&lt;1,"",AVERAGEIF('09월 화학성분'!$A$12:$A$949,$A32,'09월 화학성분'!AA$12:AA$949))</f>
        <v>#DIV/0!</v>
      </c>
      <c r="AC32" s="890" t="e">
        <f>IF($B32&lt;1,"",AVERAGEIF('09월 화학성분'!$A$12:$A$949,$A32,'09월 화학성분'!#REF!))</f>
        <v>#REF!</v>
      </c>
      <c r="AD32" s="890">
        <f>IF($B32&lt;1,"",AVERAGEIF('09월 화학성분'!$A$12:$A$949,$A32,'09월 화학성분'!AB$12:AB$949))</f>
        <v>0</v>
      </c>
      <c r="AE32" s="890" t="e">
        <f>IF($B32&lt;1,"",AVERAGEIF('09월 화학성분'!$A$12:$A$949,$A32,'09월 화학성분'!AC$12:AC$949))</f>
        <v>#DIV/0!</v>
      </c>
      <c r="AF32" s="890">
        <f>IF($B32&lt;1,"",AVERAGEIF('09월 화학성분'!$A$12:$A$949,$A32,'09월 화학성분'!AD$12:AD$949))</f>
        <v>256.05263157894734</v>
      </c>
      <c r="AG32" s="890">
        <f>IF($B32&lt;1,"",AVERAGEIF('09월 화학성분'!$A$12:$A$949,$A32,'09월 화학성분'!AF$12:AF$949))</f>
        <v>0</v>
      </c>
      <c r="AH32" s="890">
        <f>IF($B32&lt;1,"",AVERAGEIF('09월 화학성분'!$A$12:$A$949,$A32,'09월 화학성분'!AG$12:AG$949))</f>
        <v>87.473684210526315</v>
      </c>
      <c r="AI32" s="890">
        <f>IF($B32&lt;1,"",AVERAGEIF('09월 화학성분'!$A$12:$A$949,$A32,'09월 화학성분'!AH$12:AH$949))</f>
        <v>1351.8421052631579</v>
      </c>
      <c r="AJ32" s="890">
        <f>IF($B32&lt;1,"",AVERAGEIF('09월 화학성분'!$A$12:$A$949,$A32,'09월 화학성분'!AI$12:AI$949))</f>
        <v>240.57894736842104</v>
      </c>
      <c r="AK32" s="890">
        <f>IF($B32&lt;1,"",AVERAGEIF('09월 화학성분'!$A$12:$A$949,$A32,'09월 화학성분'!AJ$12:AJ$949))</f>
        <v>75.89473684210526</v>
      </c>
      <c r="AL32" s="890" t="e">
        <f>IF($B32&lt;1,"",AVERAGEIF('09월 화학성분'!$A$12:$A$949,$A32,'09월 화학성분'!#REF!))</f>
        <v>#REF!</v>
      </c>
      <c r="AM32" s="890">
        <f>IF($B32&lt;1,"",AVERAGEIF('09월 화학성분'!$A$12:$A$949,$A32,'09월 화학성분'!AL$12:AL$949))</f>
        <v>85.352941176470594</v>
      </c>
      <c r="AN32" s="890">
        <f>IF($B32&lt;1,"",AVERAGEIF('09월 화학성분'!$A$12:$A$949,$A32,'09월 화학성분'!AM$12:AM$949))</f>
        <v>2731.4210526315787</v>
      </c>
      <c r="AO32" s="891">
        <f>IF($B32&lt;1,"",AVERAGEIF('09월 화학성분'!$A$12:$A$949,$A32,'09월 화학성분'!AN$12:AN$949))</f>
        <v>0.7180219646708077</v>
      </c>
      <c r="AP32" s="891">
        <f>IF($B32&lt;1,"",AVERAGEIF('09월 화학성분'!$A$12:$A$949,$A32,'09월 화학성분'!AO$12:AO$949))</f>
        <v>0.95402273224758416</v>
      </c>
      <c r="AQ32" s="890">
        <f>IF($B32&lt;1,"",AVERAGEIF('09월 화학성분'!$A$12:$A$949,$A32,'09월 화학성분'!AP$12:AP$949))</f>
        <v>140.49473684210525</v>
      </c>
      <c r="AR32" s="890">
        <f>IF($B32&lt;1,"",AVERAGEIF('09월 고철장입'!$A$14:$A$949,$A32,'09월 고철장입'!G$14:G$949)/1000)</f>
        <v>0</v>
      </c>
      <c r="AS32" s="890">
        <f>IF($B32&lt;1,"",AVERAGEIF('09월 고철장입'!$A$14:$A$949,$A32,'09월 고철장입'!H$14:H$949)/1000)</f>
        <v>0</v>
      </c>
      <c r="AT32" s="890">
        <f>IF($B32&lt;1,"",AVERAGEIF('09월 고철장입'!$A$14:$A$949,$A32,'09월 고철장입'!I$14:I$949)/1000)</f>
        <v>16.664705882352941</v>
      </c>
      <c r="AU32" s="890">
        <f>IF($B32&lt;1,"",AVERAGEIF('09월 고철장입'!$A$14:$A$949,$A32,'09월 고철장입'!J$14:J$949)/1000)</f>
        <v>0</v>
      </c>
      <c r="AV32" s="890">
        <f>IF($B32&lt;1,"",AVERAGEIF('09월 고철장입'!$A$14:$A$949,$A32,'09월 고철장입'!K$14:K$949)/1000)</f>
        <v>0</v>
      </c>
      <c r="AW32" s="890">
        <f>IF($B32&lt;1,"",AVERAGEIF('09월 고철장입'!$A$14:$A$949,$A32,'09월 고철장입'!L$14:L$949)/1000)</f>
        <v>0</v>
      </c>
      <c r="AX32" s="890">
        <f>IF($B32&lt;1,"",AVERAGEIF('09월 고철장입'!$A$14:$A$949,$A32,'09월 고철장입'!M$14:M$949)/1000)</f>
        <v>0</v>
      </c>
      <c r="AY32" s="890">
        <f>IF($B32&lt;1,"",AVERAGEIF('09월 고철장입'!$A$14:$A$949,$A32,'09월 고철장입'!N$14:N$949)/1000)</f>
        <v>0</v>
      </c>
      <c r="AZ32" s="890">
        <f>IF($B32&lt;1,"",AVERAGEIF('09월 고철장입'!$A$14:$A$949,$A32,'09월 고철장입'!O$14:O$949)/1000)</f>
        <v>16.664705882352941</v>
      </c>
      <c r="BA32" s="890">
        <f>IF($B32&lt;1,"",AVERAGEIF('09월 고철장입'!$A$14:$A$949,$A32,'09월 고철장입'!P$14:P$949)/1000)</f>
        <v>49.094736842105263</v>
      </c>
      <c r="BB32" s="890">
        <f>IF($B32&lt;1,"",AVERAGEIF('09월 고철장입'!$A$14:$A$949,$A32,'09월 고철장입'!Q$14:Q$949)/1000)</f>
        <v>17.089473684210528</v>
      </c>
      <c r="BC32" s="890">
        <f>IF($B32&lt;1,"",AVERAGEIF('09월 고철장입'!$A$14:$A$949,$A32,'09월 고철장입'!S$14:S$949)/1000)</f>
        <v>0</v>
      </c>
      <c r="BD32" s="890">
        <f>IF($B32&lt;1,"",AVERAGEIF('09월 고철장입'!$A$14:$A$949,$A32,'09월 고철장입'!T$14:T$949)/1000)</f>
        <v>0</v>
      </c>
      <c r="BE32" s="890">
        <f>IF($B32&lt;1,"",AVERAGEIF('09월 고철장입'!$A$14:$A$949,$A32,'09월 고철장입'!U$14:U$949)/1000)</f>
        <v>5.3733333333333331</v>
      </c>
      <c r="BF32" s="890">
        <f>IF($B32&lt;1,"",AVERAGEIF('09월 고철장입'!$A$14:$A$949,$A32,'09월 고철장입'!V$14:V$949)/1000)</f>
        <v>22.763157894736842</v>
      </c>
      <c r="BG32" s="890">
        <f>IF($B32&lt;1,"",AVERAGEIF('09월 고철장입'!$A$14:$A$949,$A32,'09월 고철장입'!W$14:W$949)/1000)</f>
        <v>2.9071428571428575</v>
      </c>
      <c r="BH32" s="890">
        <f>IF($B32&lt;1,"",AVERAGEIF('09월 고철장입'!$A$14:$A$949,$A32,'09월 고철장입'!Y$14:Y$949)/1000)</f>
        <v>7.7947368421052632</v>
      </c>
      <c r="BI32" s="890">
        <f>IF($B32&lt;1,"",AVERAGEIF('09월 고철장입'!$A$14:$A$949,$A32,'09월 고철장입'!AB$14:AB$949)/1000)</f>
        <v>0.39090909090909093</v>
      </c>
      <c r="BJ32" s="890">
        <f>IF($B32&lt;1,"",AVERAGEIF('09월 고철장입'!$A$14:$A$949,$A32,'09월 고철장입'!AC$14:AC$949)/1000)</f>
        <v>1.3357142857142859</v>
      </c>
      <c r="BK32" s="890">
        <f>IF($B32&lt;1,"",AVERAGEIF('09월 고철장입'!$A$14:$A$949,$A32,'09월 고철장입'!AD$14:AD$949)/1000)</f>
        <v>1.5858571428571429</v>
      </c>
      <c r="BL32" s="890">
        <f>IF($B32&lt;1,"",AVERAGEIF('09월 고철장입'!$A$14:$A$949,$A32,'09월 고철장입'!AE$14:AE$949)/1000)</f>
        <v>119.49484210526316</v>
      </c>
      <c r="BM32" s="890">
        <f>IF($B32&lt;1,"",AVERAGEIF('09월 고철장입'!$A$14:$A$949,$A32,'09월 고철장입'!AF$14:AF$949)/1000)</f>
        <v>3.6187499999999999</v>
      </c>
      <c r="BN32" s="890">
        <f>IF($B32&lt;1,"",AVERAGEIF('09월 고철장입'!$A$14:$A$949,$A32,'09월 고철장입'!AG$14:AG$949)/1000)</f>
        <v>10.705263157894736</v>
      </c>
      <c r="BO32" s="890">
        <f>IF($B32&lt;1,"",AVERAGEIF('09월 고철장입'!$A$14:$A$949,$A32,'09월 고철장입'!AH$14:AH$949)/1000)</f>
        <v>6.0411764705882351</v>
      </c>
      <c r="BP32" s="890">
        <f>IF($B32&lt;1,"",AVERAGEIF('09월 고철장입'!$A$14:$A$949,$A32,'09월 고철장입'!AI$14:AI$949)/1000)</f>
        <v>19.157894736842106</v>
      </c>
      <c r="BQ32" s="890">
        <f>IF($B32&lt;1,"",AVERAGEIF('09월 고철장입'!$A$14:$A$949,$A32,'09월 고철장입'!AJ$14:AJ$949)/1000)</f>
        <v>153.56326315789474</v>
      </c>
      <c r="BR32" s="890">
        <f>IF($B32&lt;1,"",AVERAGEIF('09월 고철장입'!$A$14:$A$949,$A32,'09월 고철장입'!AK$14:AK$949))</f>
        <v>140.49473684210525</v>
      </c>
      <c r="BS32" s="890">
        <f>IF($B32&lt;1,"",AVERAGEIF('09월 고철장입'!$A$14:$A$949,$A32,'09월 고철장입'!AL$14:AL$949)*100)</f>
        <v>91.878000461399097</v>
      </c>
      <c r="BT32" s="890">
        <f>IF($B32&lt;1,"",AVERAGEIF('09월 에너지'!$A$14:$A$949,$A32,'09월 에너지'!G$14:G$949))</f>
        <v>20.131578947368425</v>
      </c>
      <c r="BU32" s="892">
        <f>IF($B32&lt;1,"",AVERAGEIF('09월 에너지'!$A$14:$A$949,$A32,'09월 에너지'!H$14:H$949))</f>
        <v>23773.684210526317</v>
      </c>
      <c r="BV32" s="890">
        <f>IF($B32&lt;1,"",AVERAGEIF('09월 에너지'!$A$14:$A$949,$A32,'09월 에너지'!I$14:I$949))</f>
        <v>15.078947368421055</v>
      </c>
      <c r="BW32" s="892">
        <f>IF($B32&lt;1,"",AVERAGEIF('09월 에너지'!$A$14:$A$949,$A32,'09월 에너지'!J$14:J$949))</f>
        <v>18484.21052631579</v>
      </c>
      <c r="BX32" s="890">
        <f>IF($B32&lt;1,"",AVERAGEIF('09월 에너지'!$A$14:$A$949,$A32,'09월 에너지'!K$14:K$949))</f>
        <v>10.889473684210527</v>
      </c>
      <c r="BY32" s="892">
        <f>IF($B32&lt;1,"",AVERAGEIF('09월 에너지'!$A$14:$A$949,$A32,'09월 에너지'!L$14:L$949))</f>
        <v>14873.684210526315</v>
      </c>
      <c r="BZ32" s="890">
        <f>IF($B32&lt;1,"",AVERAGEIF('09월 에너지'!$A$14:$A$949,$A32,'09월 에너지'!M$14:M$949))</f>
        <v>46.099999999999994</v>
      </c>
      <c r="CA32" s="892">
        <f>IF($B32&lt;1,"",AVERAGEIF('09월 에너지'!$A$14:$A$949,$A32,'09월 에너지'!N$14:N$949))</f>
        <v>57131.57894736842</v>
      </c>
      <c r="CB32" s="890">
        <f>IF($B32&lt;1,"",AVERAGEIF('09월 에너지'!$A$14:$A$949,$A32,'09월 에너지'!O$14:O$949))</f>
        <v>170.64606222418684</v>
      </c>
      <c r="CC32" s="890">
        <f>IF($B32&lt;1,"",AVERAGEIF('09월 에너지'!$A$14:$A$949,$A32,'09월 에너지'!P$14:P$949))</f>
        <v>129.28740491099529</v>
      </c>
      <c r="CD32" s="890">
        <f>IF($B32&lt;1,"",AVERAGEIF('09월 에너지'!$A$14:$A$949,$A32,'09월 에너지'!Q$14:Q$949))</f>
        <v>107.29897958251753</v>
      </c>
      <c r="CE32" s="890">
        <f>IF($B32&lt;1,"",AVERAGEIF('09월 에너지'!$A$14:$A$949,$A32,'09월 에너지'!R$14:R$949))</f>
        <v>407.23244671769959</v>
      </c>
      <c r="CF32" s="890">
        <f>IF($B32&lt;1,"",AVERAGEIF('09월 에너지'!$A$14:$A$949,$A32,'09월 에너지'!S$14:S$949))</f>
        <v>140.49473684210525</v>
      </c>
      <c r="CG32" s="890">
        <f>IF($B32&lt;1,"",AVERAGEIF('09월 에너지'!$A$14:$A$949,$A32,'09월 에너지'!T$14:T$949))</f>
        <v>11.526315789473685</v>
      </c>
      <c r="CH32" s="890">
        <f>IF($B32&lt;1,"",AVERAGEIF('09월 에너지'!$A$14:$A$949,$A32,'09월 에너지'!U$14:U$949))</f>
        <v>59.421052631578945</v>
      </c>
      <c r="CI32" s="892">
        <f>IF($B32&lt;1,"",AVERAGEIF('09월 에너지'!$A$14:$A$949,$A32,'09월 에너지'!V$14:V$949))</f>
        <v>299.89473684210526</v>
      </c>
      <c r="CJ32" s="892">
        <f>IF($B32&lt;1,"",AVERAGEIF('09월 에너지'!$A$14:$A$949,$A32,'09월 에너지'!W$14:W$949))</f>
        <v>370.84210526315792</v>
      </c>
      <c r="CK32" s="890">
        <f>IF($B32&lt;1,"",AVERAGEIF('09월 에너지'!$A$14:$A$949,$A32,'09월 에너지'!X$14:X$949))</f>
        <v>2.6504705532006034</v>
      </c>
      <c r="CL32" s="892">
        <f>IF($B32&lt;1,"",AVERAGEIF('09월 에너지'!$A$14:$A$949,$A32,'09월 에너지'!Y$14:Y$949))</f>
        <v>1619.4736842105262</v>
      </c>
      <c r="CM32" s="892">
        <f>IF($B32&lt;1,"",AVERAGEIF('09월 에너지'!$A$14:$A$949,$A32,'09월 에너지'!Z$14:Z$949))</f>
        <v>1244.421052631579</v>
      </c>
      <c r="CN32" s="892">
        <f>IF($B32&lt;1,"",AVERAGEIF('09월 에너지'!$A$14:$A$949,$A32,'09월 에너지'!AA$14:AA$949))</f>
        <v>915.78947368421052</v>
      </c>
      <c r="CO32" s="892">
        <f>IF($B32&lt;1,"",AVERAGEIF('09월 에너지'!$A$14:$A$949,$A32,'09월 에너지'!AB$14:AB$949))</f>
        <v>3779.6842105263158</v>
      </c>
      <c r="CP32" s="890">
        <f>IF($B32&lt;1,"",AVERAGEIF('09월 에너지'!$A$14:$A$949,$A32,'09월 에너지'!AC$14:AC$949))</f>
        <v>26.953539464476595</v>
      </c>
      <c r="CQ32" s="888">
        <f>IF($B32&lt;1,"",AVERAGEIF('09월 에너지'!$A$14:$A$949,$A32,'09월 에너지'!AD$14:AD$949))</f>
        <v>4150.5263157894733</v>
      </c>
      <c r="CR32" s="888">
        <f>IF($B32&lt;1,"",AVERAGEIF('09월 에너지'!$A$14:$A$949,$A32,'09월 에너지'!AE$14:AE$949))</f>
        <v>29.604010017677183</v>
      </c>
      <c r="CS32" s="890">
        <f>IF($B32&lt;1,"",AVERAGEIF('09월 에너지'!$A$14:$A$949,$A32,'09월 에너지'!AF$14:AF$949))</f>
        <v>79.15789473684211</v>
      </c>
      <c r="CT32" s="890">
        <f>IF($B32&lt;1,"",AVERAGEIF('09월 에너지'!$A$14:$A$949,$A32,'09월 에너지'!AG$14:AG$949))</f>
        <v>54.10526315789474</v>
      </c>
      <c r="CU32" s="890">
        <f>IF($B32&lt;1,"",AVERAGEIF('09월 에너지'!$A$14:$A$949,$A32,'09월 에너지'!AH$14:AH$949))</f>
        <v>6.6842105263157894</v>
      </c>
      <c r="CV32" s="890">
        <f>IF($B32&lt;1,"",AVERAGEIF('09월 에너지'!$A$14:$A$949,$A32,'09월 에너지'!AI$14:AI$949))</f>
        <v>139.94736842105263</v>
      </c>
      <c r="CW32" s="893">
        <f>IF($B32&lt;1,"",AVERAGEIF('09월 에너지'!$A$14:$A$949,$A32,'09월 에너지'!AJ$14:AJ$949))</f>
        <v>0.9932583866460224</v>
      </c>
    </row>
    <row r="33" spans="1:101" ht="15.75" customHeight="1">
      <c r="A33" s="883">
        <f t="shared" si="1"/>
        <v>46294</v>
      </c>
      <c r="B33" s="884">
        <f>COUNTIF('09월 조업일지'!$A$12:$A$952,A33)</f>
        <v>28</v>
      </c>
      <c r="C33" s="885">
        <f t="shared" si="0"/>
        <v>49.035714285714285</v>
      </c>
      <c r="D33" s="885">
        <f>IF($B33&lt;1,"",(SUMIF('09월 조업일지'!$A$12:$A$952,$A33,'09월 조업일지'!$K$12:$K$952))/B33)</f>
        <v>1.9642857142857142</v>
      </c>
      <c r="E33" s="885">
        <f>IF($B33&lt;1,"",AVERAGEIF('09월 조업일지'!$A$12:$A$952,$A33,'09월 조업일지'!$J$12:$J$952))</f>
        <v>51</v>
      </c>
      <c r="F33" s="886">
        <f>IF($B33&lt;1,"",AVERAGEIF('09월 에너지'!$A$14:$A$949,$A33,'09월 에너지'!$M$14:M$949))</f>
        <v>47.332142857142863</v>
      </c>
      <c r="G33" s="887">
        <f>IF($B33&lt;1,"",AVERAGEIF('09월 조업일지'!$A$12:$A$952,$A33,'09월 조업일지'!$AJ$12:$AJ$952))</f>
        <v>7.1428571428571432</v>
      </c>
      <c r="H33" s="887">
        <f>IF($B33&lt;1,"",AVERAGEIF('09월 조업일지'!$A$12:$A$952,$A33,'09월 조업일지'!$AL$12:$AL$952))</f>
        <v>6.7037037037037033</v>
      </c>
      <c r="I33" s="888">
        <f>IF($B33&lt;1,"",AVERAGEIF('09월 화학성분'!$A$12:$A$949,$A33,'09월 화학성분'!G$12:G$949))</f>
        <v>8.7142857142857135</v>
      </c>
      <c r="J33" s="888">
        <f>IF($B33&lt;1,"",AVERAGEIF('09월 화학성분'!$A$12:$A$949,$A33,'09월 화학성분'!H$12:H$949))</f>
        <v>21.5</v>
      </c>
      <c r="K33" s="888">
        <f>IF($B33&lt;1,"",AVERAGEIF('09월 화학성분'!$A$12:$A$949,$A33,'09월 화학성분'!I$12:I$949))</f>
        <v>60.678571428571431</v>
      </c>
      <c r="L33" s="888">
        <f>IF($B33&lt;1,"",AVERAGEIF('09월 화학성분'!$A$12:$A$949,$A33,'09월 화학성분'!J$12:J$949))</f>
        <v>14.571428571428571</v>
      </c>
      <c r="M33" s="888">
        <f>IF($B33&lt;1,"",AVERAGEIF('09월 화학성분'!$A$12:$A$949,$A33,'09월 화학성분'!K$12:K$949))</f>
        <v>24.25</v>
      </c>
      <c r="N33" s="888">
        <f>IF($B33&lt;1,"",AVERAGEIF('09월 화학성분'!$A$12:$A$949,$A33,'09월 화학성분'!L$12:L$949))</f>
        <v>13.035714285714286</v>
      </c>
      <c r="O33" s="888">
        <f>IF($B33&lt;1,"",AVERAGEIF('09월 화학성분'!$A$12:$A$949,$A33,'09월 화학성분'!M$12:M$949))</f>
        <v>9.8928571428571423</v>
      </c>
      <c r="P33" s="889">
        <f>IF($B33&lt;1,"",AVERAGEIF('09월 조업일지'!$A$12:$A$952,$A33,'09월 조업일지'!$AK$12:$AK$952))</f>
        <v>639.11111111111109</v>
      </c>
      <c r="Q33" s="888">
        <f>IF($B33&lt;1,"",AVERAGEIF('09월 화학성분'!$A$12:$A$949,$A33,'09월 화학성분'!$G$12:$G$949))</f>
        <v>8.7142857142857135</v>
      </c>
      <c r="R33" s="889">
        <f>IF($B33&lt;1,"",AVERAGEIF('09월 조업일지'!$A$12:$A$952,$A33,'09월 조업일지'!$AI$12:$AI$952))</f>
        <v>1566.3571428571429</v>
      </c>
      <c r="S33" s="888">
        <f>IF($B33&lt;1,"",AVERAGEIF('09월 화학성분'!$A$12:$A$949,$A33,'09월 화학성분'!$AM$12:$AM$949))</f>
        <v>2256.0357142857142</v>
      </c>
      <c r="T33" s="890">
        <f>IF($B33&lt;1,"",AVERAGEIF('09월 화학성분'!$A$12:$A$949,$A33,'09월 화학성분'!N$12:N$949))</f>
        <v>418.03571428571428</v>
      </c>
      <c r="U33" s="890" t="e">
        <f>IF($B33&lt;1,"",AVERAGEIF('09월 화학성분'!$A$12:$A$949,$A33,'09월 화학성분'!O$12:O$949))</f>
        <v>#DIV/0!</v>
      </c>
      <c r="V33" s="890">
        <f>IF($B33&lt;1,"",AVERAGEIF('09월 화학성분'!$A$12:$A$949,$A33,'09월 화학성분'!P$12:P$949))</f>
        <v>1017.6785714285714</v>
      </c>
      <c r="W33" s="890">
        <f>IF($B33&lt;1,"",AVERAGEIF('09월 화학성분'!$A$12:$A$949,$A33,'09월 화학성분'!Q$12:Q$949))</f>
        <v>951.35714285714289</v>
      </c>
      <c r="X33" s="890" t="e">
        <f>IF($B33&lt;1,"",AVERAGEIF('09월 화학성분'!$A$12:$A$949,$A33,'09월 화학성분'!R$12:R$949))</f>
        <v>#DIV/0!</v>
      </c>
      <c r="Y33" s="890" t="e">
        <f>IF($B33&lt;1,"",AVERAGEIF('09월 화학성분'!$A$12:$A$949,$A33,'09월 화학성분'!U$12:U$949))</f>
        <v>#DIV/0!</v>
      </c>
      <c r="Z33" s="890">
        <f>IF($B33&lt;1,"",AVERAGEIF('09월 화학성분'!$A$12:$A$949,$A33,'09월 화학성분'!V$12:V$949))</f>
        <v>433.60714285714283</v>
      </c>
      <c r="AA33" s="890" t="e">
        <f>IF($B33&lt;1,"",AVERAGEIF('09월 화학성분'!$A$12:$A$949,$A33,'09월 화학성분'!W$12:W$949))</f>
        <v>#DIV/0!</v>
      </c>
      <c r="AB33" s="890" t="e">
        <f>IF($B33&lt;1,"",AVERAGEIF('09월 화학성분'!$A$12:$A$949,$A33,'09월 화학성분'!AA$12:AA$949))</f>
        <v>#DIV/0!</v>
      </c>
      <c r="AC33" s="890" t="e">
        <f>IF($B33&lt;1,"",AVERAGEIF('09월 화학성분'!$A$12:$A$949,$A33,'09월 화학성분'!#REF!))</f>
        <v>#REF!</v>
      </c>
      <c r="AD33" s="890">
        <f>IF($B33&lt;1,"",AVERAGEIF('09월 화학성분'!$A$12:$A$949,$A33,'09월 화학성분'!AB$12:AB$949))</f>
        <v>0</v>
      </c>
      <c r="AE33" s="890" t="e">
        <f>IF($B33&lt;1,"",AVERAGEIF('09월 화학성분'!$A$12:$A$949,$A33,'09월 화학성분'!AC$12:AC$949))</f>
        <v>#DIV/0!</v>
      </c>
      <c r="AF33" s="890">
        <f>IF($B33&lt;1,"",AVERAGEIF('09월 화학성분'!$A$12:$A$949,$A33,'09월 화학성분'!AD$12:AD$949))</f>
        <v>272.57142857142856</v>
      </c>
      <c r="AG33" s="890">
        <f>IF($B33&lt;1,"",AVERAGEIF('09월 화학성분'!$A$12:$A$949,$A33,'09월 화학성분'!AF$12:AF$949))</f>
        <v>0</v>
      </c>
      <c r="AH33" s="890">
        <f>IF($B33&lt;1,"",AVERAGEIF('09월 화학성분'!$A$12:$A$949,$A33,'09월 화학성분'!AG$12:AG$949))</f>
        <v>100.03571428571429</v>
      </c>
      <c r="AI33" s="890">
        <f>IF($B33&lt;1,"",AVERAGEIF('09월 화학성분'!$A$12:$A$949,$A33,'09월 화학성분'!AH$12:AH$949))</f>
        <v>1047.6428571428571</v>
      </c>
      <c r="AJ33" s="890">
        <f>IF($B33&lt;1,"",AVERAGEIF('09월 화학성분'!$A$12:$A$949,$A33,'09월 화학성분'!AI$12:AI$949))</f>
        <v>287.5</v>
      </c>
      <c r="AK33" s="890">
        <f>IF($B33&lt;1,"",AVERAGEIF('09월 화학성분'!$A$12:$A$949,$A33,'09월 화학성분'!AJ$12:AJ$949))</f>
        <v>82.571428571428569</v>
      </c>
      <c r="AL33" s="890" t="e">
        <f>IF($B33&lt;1,"",AVERAGEIF('09월 화학성분'!$A$12:$A$949,$A33,'09월 화학성분'!#REF!))</f>
        <v>#REF!</v>
      </c>
      <c r="AM33" s="890">
        <f>IF($B33&lt;1,"",AVERAGEIF('09월 화학성분'!$A$12:$A$949,$A33,'09월 화학성분'!AL$12:AL$949))</f>
        <v>127.60714285714286</v>
      </c>
      <c r="AN33" s="890">
        <f>IF($B33&lt;1,"",AVERAGEIF('09월 화학성분'!$A$12:$A$949,$A33,'09월 화학성분'!AM$12:AM$949))</f>
        <v>2256.0357142857142</v>
      </c>
      <c r="AO33" s="891">
        <f>IF($B33&lt;1,"",AVERAGEIF('09월 화학성분'!$A$12:$A$949,$A33,'09월 화학성분'!AN$12:AN$949))</f>
        <v>0.83521136629249582</v>
      </c>
      <c r="AP33" s="891">
        <f>IF($B33&lt;1,"",AVERAGEIF('09월 화학성분'!$A$12:$A$949,$A33,'09월 화학성분'!AO$12:AO$949))</f>
        <v>0.89406343162270185</v>
      </c>
      <c r="AQ33" s="890">
        <f>IF($B33&lt;1,"",AVERAGEIF('09월 화학성분'!$A$12:$A$949,$A33,'09월 화학성분'!AP$12:AP$949))</f>
        <v>144.62500000000003</v>
      </c>
      <c r="AR33" s="890">
        <f>IF($B33&lt;1,"",AVERAGEIF('09월 고철장입'!$A$14:$A$949,$A33,'09월 고철장입'!G$14:G$949)/1000)</f>
        <v>0</v>
      </c>
      <c r="AS33" s="890">
        <f>IF($B33&lt;1,"",AVERAGEIF('09월 고철장입'!$A$14:$A$949,$A33,'09월 고철장입'!H$14:H$949)/1000)</f>
        <v>0</v>
      </c>
      <c r="AT33" s="890">
        <f>IF($B33&lt;1,"",AVERAGEIF('09월 고철장입'!$A$14:$A$949,$A33,'09월 고철장입'!I$14:I$949)/1000)</f>
        <v>16.125</v>
      </c>
      <c r="AU33" s="890">
        <f>IF($B33&lt;1,"",AVERAGEIF('09월 고철장입'!$A$14:$A$949,$A33,'09월 고철장입'!J$14:J$949)/1000)</f>
        <v>0</v>
      </c>
      <c r="AV33" s="890">
        <f>IF($B33&lt;1,"",AVERAGEIF('09월 고철장입'!$A$14:$A$949,$A33,'09월 고철장입'!K$14:K$949)/1000)</f>
        <v>0</v>
      </c>
      <c r="AW33" s="890">
        <f>IF($B33&lt;1,"",AVERAGEIF('09월 고철장입'!$A$14:$A$949,$A33,'09월 고철장입'!L$14:L$949)/1000)</f>
        <v>0</v>
      </c>
      <c r="AX33" s="890">
        <f>IF($B33&lt;1,"",AVERAGEIF('09월 고철장입'!$A$14:$A$949,$A33,'09월 고철장입'!M$14:M$949)/1000)</f>
        <v>0</v>
      </c>
      <c r="AY33" s="890">
        <f>IF($B33&lt;1,"",AVERAGEIF('09월 고철장입'!$A$14:$A$949,$A33,'09월 고철장입'!N$14:N$949)/1000)</f>
        <v>0</v>
      </c>
      <c r="AZ33" s="890">
        <f>IF($B33&lt;1,"",AVERAGEIF('09월 고철장입'!$A$14:$A$949,$A33,'09월 고철장입'!O$14:O$949)/1000)</f>
        <v>16.125</v>
      </c>
      <c r="BA33" s="890">
        <f>IF($B33&lt;1,"",AVERAGEIF('09월 고철장입'!$A$14:$A$949,$A33,'09월 고철장입'!P$14:P$949)/1000)</f>
        <v>46.203571428571429</v>
      </c>
      <c r="BB33" s="890">
        <f>IF($B33&lt;1,"",AVERAGEIF('09월 고철장입'!$A$14:$A$949,$A33,'09월 고철장입'!Q$14:Q$949)/1000)</f>
        <v>17.010714285714286</v>
      </c>
      <c r="BC33" s="890">
        <f>IF($B33&lt;1,"",AVERAGEIF('09월 고철장입'!$A$14:$A$949,$A33,'09월 고철장입'!S$14:S$949)/1000)</f>
        <v>0</v>
      </c>
      <c r="BD33" s="890">
        <f>IF($B33&lt;1,"",AVERAGEIF('09월 고철장입'!$A$14:$A$949,$A33,'09월 고철장입'!T$14:T$949)/1000)</f>
        <v>0</v>
      </c>
      <c r="BE33" s="890">
        <f>IF($B33&lt;1,"",AVERAGEIF('09월 고철장입'!$A$14:$A$949,$A33,'09월 고철장입'!U$14:U$949)/1000)</f>
        <v>4.4785714285714286</v>
      </c>
      <c r="BF33" s="890">
        <f>IF($B33&lt;1,"",AVERAGEIF('09월 고철장입'!$A$14:$A$949,$A33,'09월 고철장입'!V$14:V$949)/1000)</f>
        <v>21.428571428571427</v>
      </c>
      <c r="BG33" s="890">
        <f>IF($B33&lt;1,"",AVERAGEIF('09월 고철장입'!$A$14:$A$949,$A33,'09월 고철장입'!W$14:W$949)/1000)</f>
        <v>3.3571428571428572</v>
      </c>
      <c r="BH33" s="890">
        <f>IF($B33&lt;1,"",AVERAGEIF('09월 고철장입'!$A$14:$A$949,$A33,'09월 고철장입'!Y$14:Y$949)/1000)</f>
        <v>10.944444444444445</v>
      </c>
      <c r="BI33" s="890">
        <f>IF($B33&lt;1,"",AVERAGEIF('09월 고철장입'!$A$14:$A$949,$A33,'09월 고철장입'!AB$14:AB$949)/1000)</f>
        <v>1.8583333333333332</v>
      </c>
      <c r="BJ33" s="890">
        <f>IF($B33&lt;1,"",AVERAGEIF('09월 고철장입'!$A$14:$A$949,$A33,'09월 고철장입'!AC$14:AC$949)/1000)</f>
        <v>0</v>
      </c>
      <c r="BK33" s="890">
        <f>IF($B33&lt;1,"",AVERAGEIF('09월 고철장입'!$A$14:$A$949,$A33,'09월 고철장입'!AD$14:AD$949)/1000)</f>
        <v>3.1392857142857142</v>
      </c>
      <c r="BL33" s="890">
        <f>IF($B33&lt;1,"",AVERAGEIF('09월 고철장입'!$A$14:$A$949,$A33,'09월 고철장입'!AE$14:AE$949)/1000)</f>
        <v>125.01785714285714</v>
      </c>
      <c r="BM33" s="890">
        <f>IF($B33&lt;1,"",AVERAGEIF('09월 고철장입'!$A$14:$A$949,$A33,'09월 고철장입'!AF$14:AF$949)/1000)</f>
        <v>3.9892857142857143</v>
      </c>
      <c r="BN33" s="890">
        <f>IF($B33&lt;1,"",AVERAGEIF('09월 고철장입'!$A$14:$A$949,$A33,'09월 고철장입'!AG$14:AG$949)/1000)</f>
        <v>8.3607142857142858</v>
      </c>
      <c r="BO33" s="890">
        <f>IF($B33&lt;1,"",AVERAGEIF('09월 고철장입'!$A$14:$A$949,$A33,'09월 고철장입'!AH$14:AH$949)/1000)</f>
        <v>5.3107142857142851</v>
      </c>
      <c r="BP33" s="890">
        <f>IF($B33&lt;1,"",AVERAGEIF('09월 고철장입'!$A$14:$A$949,$A33,'09월 고철장입'!AI$14:AI$949)/1000)</f>
        <v>17.660714285714285</v>
      </c>
      <c r="BQ33" s="890">
        <f>IF($B33&lt;1,"",AVERAGEIF('09월 고철장입'!$A$14:$A$949,$A33,'09월 고철장입'!AJ$14:AJ$949)/1000)</f>
        <v>158.80357142857142</v>
      </c>
      <c r="BR33" s="890">
        <f>IF($B33&lt;1,"",AVERAGEIF('09월 고철장입'!$A$14:$A$949,$A33,'09월 고철장입'!AK$14:AK$949))</f>
        <v>144.62500000000003</v>
      </c>
      <c r="BS33" s="890">
        <f>IF($B33&lt;1,"",AVERAGEIF('09월 고철장입'!$A$14:$A$949,$A33,'09월 고철장입'!AL$14:AL$949)*100)</f>
        <v>91.073542236656948</v>
      </c>
      <c r="BT33" s="890">
        <f>IF($B33&lt;1,"",AVERAGEIF('09월 에너지'!$A$14:$A$949,$A33,'09월 에너지'!G$14:G$949))</f>
        <v>19.475000000000001</v>
      </c>
      <c r="BU33" s="892">
        <f>IF($B33&lt;1,"",AVERAGEIF('09월 에너지'!$A$14:$A$949,$A33,'09월 에너지'!H$14:H$949))</f>
        <v>23339.285714285714</v>
      </c>
      <c r="BV33" s="890">
        <f>IF($B33&lt;1,"",AVERAGEIF('09월 에너지'!$A$14:$A$949,$A33,'09월 에너지'!I$14:I$949))</f>
        <v>16.950000000000003</v>
      </c>
      <c r="BW33" s="892">
        <f>IF($B33&lt;1,"",AVERAGEIF('09월 에너지'!$A$14:$A$949,$A33,'09월 에너지'!J$14:J$949))</f>
        <v>20657.142857142859</v>
      </c>
      <c r="BX33" s="890">
        <f>IF($B33&lt;1,"",AVERAGEIF('09월 에너지'!$A$14:$A$949,$A33,'09월 에너지'!K$14:K$949))</f>
        <v>10.907142857142855</v>
      </c>
      <c r="BY33" s="892">
        <f>IF($B33&lt;1,"",AVERAGEIF('09월 에너지'!$A$14:$A$949,$A33,'09월 에너지'!L$14:L$949))</f>
        <v>13742.857142857143</v>
      </c>
      <c r="BZ33" s="890">
        <f>IF($B33&lt;1,"",AVERAGEIF('09월 에너지'!$A$14:$A$949,$A33,'09월 에너지'!M$14:M$949))</f>
        <v>47.332142857142863</v>
      </c>
      <c r="CA33" s="892">
        <f>IF($B33&lt;1,"",AVERAGEIF('09월 에너지'!$A$14:$A$949,$A33,'09월 에너지'!N$14:N$949))</f>
        <v>57739.285714285717</v>
      </c>
      <c r="CB33" s="890">
        <f>IF($B33&lt;1,"",AVERAGEIF('09월 에너지'!$A$14:$A$949,$A33,'09월 에너지'!O$14:O$949))</f>
        <v>161.40744424217399</v>
      </c>
      <c r="CC33" s="890">
        <f>IF($B33&lt;1,"",AVERAGEIF('09월 에너지'!$A$14:$A$949,$A33,'09월 에너지'!P$14:P$949))</f>
        <v>142.85716375906168</v>
      </c>
      <c r="CD33" s="890">
        <f>IF($B33&lt;1,"",AVERAGEIF('09월 에너지'!$A$14:$A$949,$A33,'09월 에너지'!Q$14:Q$949))</f>
        <v>94.997778867712313</v>
      </c>
      <c r="CE33" s="890">
        <f>IF($B33&lt;1,"",AVERAGEIF('09월 에너지'!$A$14:$A$949,$A33,'09월 에너지'!R$14:R$949))</f>
        <v>399.26238686894806</v>
      </c>
      <c r="CF33" s="890">
        <f>IF($B33&lt;1,"",AVERAGEIF('09월 에너지'!$A$14:$A$949,$A33,'09월 에너지'!S$14:S$949))</f>
        <v>144.62500000000003</v>
      </c>
      <c r="CG33" s="890">
        <f>IF($B33&lt;1,"",AVERAGEIF('09월 에너지'!$A$14:$A$949,$A33,'09월 에너지'!T$14:T$949))</f>
        <v>0</v>
      </c>
      <c r="CH33" s="890">
        <f>IF($B33&lt;1,"",AVERAGEIF('09월 에너지'!$A$14:$A$949,$A33,'09월 에너지'!U$14:U$949))</f>
        <v>75.642857142857139</v>
      </c>
      <c r="CI33" s="892">
        <f>IF($B33&lt;1,"",AVERAGEIF('09월 에너지'!$A$14:$A$949,$A33,'09월 에너지'!V$14:V$949))</f>
        <v>280.75</v>
      </c>
      <c r="CJ33" s="892">
        <f>IF($B33&lt;1,"",AVERAGEIF('09월 에너지'!$A$14:$A$949,$A33,'09월 에너지'!W$14:W$949))</f>
        <v>356.39285714285717</v>
      </c>
      <c r="CK33" s="890">
        <f>IF($B33&lt;1,"",AVERAGEIF('09월 에너지'!$A$14:$A$949,$A33,'09월 에너지'!X$14:X$949))</f>
        <v>2.4647686477324151</v>
      </c>
      <c r="CL33" s="892">
        <f>IF($B33&lt;1,"",AVERAGEIF('09월 에너지'!$A$14:$A$949,$A33,'09월 에너지'!Y$14:Y$949))</f>
        <v>1598.8928571428571</v>
      </c>
      <c r="CM33" s="892">
        <f>IF($B33&lt;1,"",AVERAGEIF('09월 에너지'!$A$14:$A$949,$A33,'09월 에너지'!Z$14:Z$949))</f>
        <v>1400.7857142857142</v>
      </c>
      <c r="CN33" s="892">
        <f>IF($B33&lt;1,"",AVERAGEIF('09월 에너지'!$A$14:$A$949,$A33,'09월 에너지'!AA$14:AA$949))</f>
        <v>902.28571428571433</v>
      </c>
      <c r="CO33" s="892">
        <f>IF($B33&lt;1,"",AVERAGEIF('09월 에너지'!$A$14:$A$949,$A33,'09월 에너지'!AB$14:AB$949))</f>
        <v>3901.9642857142858</v>
      </c>
      <c r="CP33" s="890">
        <f>IF($B33&lt;1,"",AVERAGEIF('09월 에너지'!$A$14:$A$949,$A33,'09월 에너지'!AC$14:AC$949))</f>
        <v>26.986205533224599</v>
      </c>
      <c r="CQ33" s="888">
        <f>IF($B33&lt;1,"",AVERAGEIF('09월 에너지'!$A$14:$A$949,$A33,'09월 에너지'!AD$14:AD$949))</f>
        <v>4258.3571428571431</v>
      </c>
      <c r="CR33" s="888">
        <f>IF($B33&lt;1,"",AVERAGEIF('09월 에너지'!$A$14:$A$949,$A33,'09월 에너지'!AE$14:AE$949))</f>
        <v>29.450974180957026</v>
      </c>
      <c r="CS33" s="890">
        <f>IF($B33&lt;1,"",AVERAGEIF('09월 에너지'!$A$14:$A$949,$A33,'09월 에너지'!AF$14:AF$949))</f>
        <v>79</v>
      </c>
      <c r="CT33" s="890">
        <f>IF($B33&lt;1,"",AVERAGEIF('09월 에너지'!$A$14:$A$949,$A33,'09월 에너지'!AG$14:AG$949))</f>
        <v>62.428571428571431</v>
      </c>
      <c r="CU33" s="890">
        <f>IF($B33&lt;1,"",AVERAGEIF('09월 에너지'!$A$14:$A$949,$A33,'09월 에너지'!AH$14:AH$949))</f>
        <v>8.0714285714285712</v>
      </c>
      <c r="CV33" s="890">
        <f>IF($B33&lt;1,"",AVERAGEIF('09월 에너지'!$A$14:$A$949,$A33,'09월 에너지'!AI$14:AI$949))</f>
        <v>149.5</v>
      </c>
      <c r="CW33" s="893">
        <f>IF($B33&lt;1,"",AVERAGEIF('09월 에너지'!$A$14:$A$949,$A33,'09월 에너지'!AJ$14:AJ$949))</f>
        <v>1.0337637292989768</v>
      </c>
    </row>
    <row r="34" spans="1:101" ht="15.75" customHeight="1">
      <c r="A34" s="883">
        <f t="shared" si="1"/>
        <v>46295</v>
      </c>
      <c r="B34" s="884">
        <f>COUNTIF('09월 조업일지'!$A$12:$A$952,A34)</f>
        <v>30</v>
      </c>
      <c r="C34" s="885">
        <f t="shared" si="0"/>
        <v>47.166666666666671</v>
      </c>
      <c r="D34" s="885">
        <f>IF($B34&lt;1,"",(SUMIF('09월 조업일지'!$A$12:$A$952,$A34,'09월 조업일지'!$K$12:$K$952))/B34)</f>
        <v>6.6666666666666666E-2</v>
      </c>
      <c r="E34" s="885">
        <f>IF($B34&lt;1,"",AVERAGEIF('09월 조업일지'!$A$12:$A$952,$A34,'09월 조업일지'!$J$12:$J$952))</f>
        <v>47.233333333333341</v>
      </c>
      <c r="F34" s="886">
        <f>IF($B34&lt;1,"",AVERAGEIF('09월 에너지'!$A$14:$A$949,$A34,'09월 에너지'!$M$14:M$949))</f>
        <v>46.04</v>
      </c>
      <c r="G34" s="887">
        <f>IF($B34&lt;1,"",AVERAGEIF('09월 조업일지'!$A$12:$A$952,$A34,'09월 조업일지'!$AJ$12:$AJ$952))</f>
        <v>46.464285714285715</v>
      </c>
      <c r="H34" s="887">
        <f>IF($B34&lt;1,"",AVERAGEIF('09월 조업일지'!$A$12:$A$952,$A34,'09월 조업일지'!$AL$12:$AL$952))</f>
        <v>6.2758620689655169</v>
      </c>
      <c r="I34" s="888">
        <f>IF($B34&lt;1,"",AVERAGEIF('09월 화학성분'!$A$12:$A$949,$A34,'09월 화학성분'!G$12:G$949))</f>
        <v>8.6999999999999993</v>
      </c>
      <c r="J34" s="888">
        <f>IF($B34&lt;1,"",AVERAGEIF('09월 화학성분'!$A$12:$A$949,$A34,'09월 화학성분'!H$12:H$949))</f>
        <v>20.766666666666666</v>
      </c>
      <c r="K34" s="888">
        <f>IF($B34&lt;1,"",AVERAGEIF('09월 화학성분'!$A$12:$A$949,$A34,'09월 화학성분'!I$12:I$949))</f>
        <v>51.4</v>
      </c>
      <c r="L34" s="888">
        <f>IF($B34&lt;1,"",AVERAGEIF('09월 화학성분'!$A$12:$A$949,$A34,'09월 화학성분'!J$12:J$949))</f>
        <v>14.333333333333334</v>
      </c>
      <c r="M34" s="888">
        <f>IF($B34&lt;1,"",AVERAGEIF('09월 화학성분'!$A$12:$A$949,$A34,'09월 화학성분'!K$12:K$949))</f>
        <v>28.266666666666666</v>
      </c>
      <c r="N34" s="888">
        <f>IF($B34&lt;1,"",AVERAGEIF('09월 화학성분'!$A$12:$A$949,$A34,'09월 화학성분'!L$12:L$949))</f>
        <v>13.833333333333334</v>
      </c>
      <c r="O34" s="888">
        <f>IF($B34&lt;1,"",AVERAGEIF('09월 화학성분'!$A$12:$A$949,$A34,'09월 화학성분'!M$12:M$949))</f>
        <v>10.566666666666666</v>
      </c>
      <c r="P34" s="889">
        <f>IF($B34&lt;1,"",AVERAGEIF('09월 조업일지'!$A$12:$A$952,$A34,'09월 조업일지'!$AK$12:$AK$952))</f>
        <v>678.17241379310349</v>
      </c>
      <c r="Q34" s="888">
        <f>IF($B34&lt;1,"",AVERAGEIF('09월 화학성분'!$A$12:$A$949,$A34,'09월 화학성분'!$G$12:$G$949))</f>
        <v>8.6999999999999993</v>
      </c>
      <c r="R34" s="889">
        <f>IF($B34&lt;1,"",AVERAGEIF('09월 조업일지'!$A$12:$A$952,$A34,'09월 조업일지'!$AI$12:$AI$952))</f>
        <v>1573.1666666666667</v>
      </c>
      <c r="S34" s="888">
        <f>IF($B34&lt;1,"",AVERAGEIF('09월 화학성분'!$A$12:$A$949,$A34,'09월 화학성분'!$AM$12:$AM$949))</f>
        <v>1994.4333333333334</v>
      </c>
      <c r="T34" s="890">
        <f>IF($B34&lt;1,"",AVERAGEIF('09월 화학성분'!$A$12:$A$949,$A34,'09월 화학성분'!N$12:N$949))</f>
        <v>422.7</v>
      </c>
      <c r="U34" s="890" t="e">
        <f>IF($B34&lt;1,"",AVERAGEIF('09월 화학성분'!$A$12:$A$949,$A34,'09월 화학성분'!O$12:O$949))</f>
        <v>#DIV/0!</v>
      </c>
      <c r="V34" s="890">
        <f>IF($B34&lt;1,"",AVERAGEIF('09월 화학성분'!$A$12:$A$949,$A34,'09월 화학성분'!P$12:P$949))</f>
        <v>976.23333333333335</v>
      </c>
      <c r="W34" s="890">
        <f>IF($B34&lt;1,"",AVERAGEIF('09월 화학성분'!$A$12:$A$949,$A34,'09월 화학성분'!Q$12:Q$949))</f>
        <v>957.4</v>
      </c>
      <c r="X34" s="890" t="e">
        <f>IF($B34&lt;1,"",AVERAGEIF('09월 화학성분'!$A$12:$A$949,$A34,'09월 화학성분'!R$12:R$949))</f>
        <v>#DIV/0!</v>
      </c>
      <c r="Y34" s="890" t="e">
        <f>IF($B34&lt;1,"",AVERAGEIF('09월 화학성분'!$A$12:$A$949,$A34,'09월 화학성분'!U$12:U$949))</f>
        <v>#DIV/0!</v>
      </c>
      <c r="Z34" s="890">
        <f>IF($B34&lt;1,"",AVERAGEIF('09월 화학성분'!$A$12:$A$949,$A34,'09월 화학성분'!V$12:V$949))</f>
        <v>422.9</v>
      </c>
      <c r="AA34" s="890" t="e">
        <f>IF($B34&lt;1,"",AVERAGEIF('09월 화학성분'!$A$12:$A$949,$A34,'09월 화학성분'!W$12:W$949))</f>
        <v>#DIV/0!</v>
      </c>
      <c r="AB34" s="890" t="e">
        <f>IF($B34&lt;1,"",AVERAGEIF('09월 화학성분'!$A$12:$A$949,$A34,'09월 화학성분'!AA$12:AA$949))</f>
        <v>#DIV/0!</v>
      </c>
      <c r="AC34" s="890" t="e">
        <f>IF($B34&lt;1,"",AVERAGEIF('09월 화학성분'!$A$12:$A$949,$A34,'09월 화학성분'!#REF!))</f>
        <v>#REF!</v>
      </c>
      <c r="AD34" s="890" t="e">
        <f>IF($B34&lt;1,"",AVERAGEIF('09월 화학성분'!$A$12:$A$949,$A34,'09월 화학성분'!AB$12:AB$949))</f>
        <v>#DIV/0!</v>
      </c>
      <c r="AE34" s="890" t="e">
        <f>IF($B34&lt;1,"",AVERAGEIF('09월 화학성분'!$A$12:$A$949,$A34,'09월 화학성분'!AC$12:AC$949))</f>
        <v>#DIV/0!</v>
      </c>
      <c r="AF34" s="890">
        <f>IF($B34&lt;1,"",AVERAGEIF('09월 화학성분'!$A$12:$A$949,$A34,'09월 화학성분'!AD$12:AD$949))</f>
        <v>270.96666666666664</v>
      </c>
      <c r="AG34" s="890" t="e">
        <f>IF($B34&lt;1,"",AVERAGEIF('09월 화학성분'!$A$12:$A$949,$A34,'09월 화학성분'!AF$12:AF$949))</f>
        <v>#DIV/0!</v>
      </c>
      <c r="AH34" s="890">
        <f>IF($B34&lt;1,"",AVERAGEIF('09월 화학성분'!$A$12:$A$949,$A34,'09월 화학성분'!AG$12:AG$949))</f>
        <v>110.23333333333333</v>
      </c>
      <c r="AI34" s="890">
        <f>IF($B34&lt;1,"",AVERAGEIF('09월 화학성분'!$A$12:$A$949,$A34,'09월 화학성분'!AH$12:AH$949))</f>
        <v>839.83333333333337</v>
      </c>
      <c r="AJ34" s="890">
        <f>IF($B34&lt;1,"",AVERAGEIF('09월 화학성분'!$A$12:$A$949,$A34,'09월 화학성분'!AI$12:AI$949))</f>
        <v>343.33333333333331</v>
      </c>
      <c r="AK34" s="890">
        <f>IF($B34&lt;1,"",AVERAGEIF('09월 화학성분'!$A$12:$A$949,$A34,'09월 화학성분'!AJ$12:AJ$949))</f>
        <v>80.13333333333334</v>
      </c>
      <c r="AL34" s="890" t="e">
        <f>IF($B34&lt;1,"",AVERAGEIF('09월 화학성분'!$A$12:$A$949,$A34,'09월 화학성분'!#REF!))</f>
        <v>#REF!</v>
      </c>
      <c r="AM34" s="890">
        <f>IF($B34&lt;1,"",AVERAGEIF('09월 화학성분'!$A$12:$A$949,$A34,'09월 화학성분'!AL$12:AL$949))</f>
        <v>124.9</v>
      </c>
      <c r="AN34" s="890">
        <f>IF($B34&lt;1,"",AVERAGEIF('09월 화학성분'!$A$12:$A$949,$A34,'09월 화학성분'!AM$12:AM$949))</f>
        <v>1994.4333333333334</v>
      </c>
      <c r="AO34" s="891">
        <f>IF($B34&lt;1,"",AVERAGEIF('09월 화학성분'!$A$12:$A$949,$A34,'09월 화학성분'!AN$12:AN$949))</f>
        <v>0.78988863786874475</v>
      </c>
      <c r="AP34" s="891">
        <f>IF($B34&lt;1,"",AVERAGEIF('09월 화학성분'!$A$12:$A$949,$A34,'09월 화학성분'!AO$12:AO$949))</f>
        <v>0.89821496512640697</v>
      </c>
      <c r="AQ34" s="890">
        <f>IF($B34&lt;1,"",AVERAGEIF('09월 화학성분'!$A$12:$A$949,$A34,'09월 화학성분'!AP$12:AP$949))</f>
        <v>145.08333333333334</v>
      </c>
      <c r="AR34" s="890" t="e">
        <f>IF($B34&lt;1,"",AVERAGEIF('09월 고철장입'!$A$14:$A$949,$A34,'09월 고철장입'!G$14:G$949)/1000)</f>
        <v>#DIV/0!</v>
      </c>
      <c r="AS34" s="890" t="e">
        <f>IF($B34&lt;1,"",AVERAGEIF('09월 고철장입'!$A$14:$A$949,$A34,'09월 고철장입'!H$14:H$949)/1000)</f>
        <v>#DIV/0!</v>
      </c>
      <c r="AT34" s="890">
        <f>IF($B34&lt;1,"",AVERAGEIF('09월 고철장입'!$A$14:$A$949,$A34,'09월 고철장입'!I$14:I$949)/1000)</f>
        <v>15.063333333333334</v>
      </c>
      <c r="AU34" s="890" t="e">
        <f>IF($B34&lt;1,"",AVERAGEIF('09월 고철장입'!$A$14:$A$949,$A34,'09월 고철장입'!J$14:J$949)/1000)</f>
        <v>#DIV/0!</v>
      </c>
      <c r="AV34" s="890" t="e">
        <f>IF($B34&lt;1,"",AVERAGEIF('09월 고철장입'!$A$14:$A$949,$A34,'09월 고철장입'!K$14:K$949)/1000)</f>
        <v>#DIV/0!</v>
      </c>
      <c r="AW34" s="890" t="e">
        <f>IF($B34&lt;1,"",AVERAGEIF('09월 고철장입'!$A$14:$A$949,$A34,'09월 고철장입'!L$14:L$949)/1000)</f>
        <v>#DIV/0!</v>
      </c>
      <c r="AX34" s="890" t="e">
        <f>IF($B34&lt;1,"",AVERAGEIF('09월 고철장입'!$A$14:$A$949,$A34,'09월 고철장입'!M$14:M$949)/1000)</f>
        <v>#DIV/0!</v>
      </c>
      <c r="AY34" s="890" t="e">
        <f>IF($B34&lt;1,"",AVERAGEIF('09월 고철장입'!$A$14:$A$949,$A34,'09월 고철장입'!N$14:N$949)/1000)</f>
        <v>#DIV/0!</v>
      </c>
      <c r="AZ34" s="890">
        <f>IF($B34&lt;1,"",AVERAGEIF('09월 고철장입'!$A$14:$A$949,$A34,'09월 고철장입'!O$14:O$949)/1000)</f>
        <v>15.063333333333334</v>
      </c>
      <c r="BA34" s="890">
        <f>IF($B34&lt;1,"",AVERAGEIF('09월 고철장입'!$A$14:$A$949,$A34,'09월 고철장입'!P$14:P$949)/1000)</f>
        <v>36.673333333333339</v>
      </c>
      <c r="BB34" s="890">
        <f>IF($B34&lt;1,"",AVERAGEIF('09월 고철장입'!$A$14:$A$949,$A34,'09월 고철장입'!Q$14:Q$949)/1000)</f>
        <v>19.07</v>
      </c>
      <c r="BC34" s="890" t="e">
        <f>IF($B34&lt;1,"",AVERAGEIF('09월 고철장입'!$A$14:$A$949,$A34,'09월 고철장입'!S$14:S$949)/1000)</f>
        <v>#DIV/0!</v>
      </c>
      <c r="BD34" s="890" t="e">
        <f>IF($B34&lt;1,"",AVERAGEIF('09월 고철장입'!$A$14:$A$949,$A34,'09월 고철장입'!T$14:T$949)/1000)</f>
        <v>#DIV/0!</v>
      </c>
      <c r="BE34" s="890">
        <f>IF($B34&lt;1,"",AVERAGEIF('09월 고철장입'!$A$14:$A$949,$A34,'09월 고철장입'!U$14:U$949)/1000)</f>
        <v>5.24</v>
      </c>
      <c r="BF34" s="890">
        <f>IF($B34&lt;1,"",AVERAGEIF('09월 고철장입'!$A$14:$A$949,$A34,'09월 고철장입'!V$14:V$949)/1000)</f>
        <v>19.483333333333331</v>
      </c>
      <c r="BG34" s="890">
        <f>IF($B34&lt;1,"",AVERAGEIF('09월 고철장입'!$A$14:$A$949,$A34,'09월 고철장입'!W$14:W$949)/1000)</f>
        <v>2.99</v>
      </c>
      <c r="BH34" s="890">
        <f>IF($B34&lt;1,"",AVERAGEIF('09월 고철장입'!$A$14:$A$949,$A34,'09월 고철장입'!Y$14:Y$949)/1000)</f>
        <v>19.236666666666668</v>
      </c>
      <c r="BI34" s="890">
        <f>IF($B34&lt;1,"",AVERAGEIF('09월 고철장입'!$A$14:$A$949,$A34,'09월 고철장입'!AB$14:AB$949)/1000)</f>
        <v>2.4833333333333334</v>
      </c>
      <c r="BJ34" s="890" t="e">
        <f>IF($B34&lt;1,"",AVERAGEIF('09월 고철장입'!$A$14:$A$949,$A34,'09월 고철장입'!AC$14:AC$949)/1000)</f>
        <v>#DIV/0!</v>
      </c>
      <c r="BK34" s="890">
        <f>IF($B34&lt;1,"",AVERAGEIF('09월 고철장입'!$A$14:$A$949,$A34,'09월 고철장입'!AD$14:AD$949)/1000)</f>
        <v>2.7</v>
      </c>
      <c r="BL34" s="890">
        <f>IF($B34&lt;1,"",AVERAGEIF('09월 고철장입'!$A$14:$A$949,$A34,'09월 고철장입'!AE$14:AE$949)/1000)</f>
        <v>124.57</v>
      </c>
      <c r="BM34" s="890">
        <f>IF($B34&lt;1,"",AVERAGEIF('09월 고철장입'!$A$14:$A$949,$A34,'09월 고철장입'!AF$14:AF$949)/1000)</f>
        <v>4.1399999999999997</v>
      </c>
      <c r="BN34" s="890">
        <f>IF($B34&lt;1,"",AVERAGEIF('09월 고철장입'!$A$14:$A$949,$A34,'09월 고철장입'!AG$14:AG$949)/1000)</f>
        <v>9.1733333333333338</v>
      </c>
      <c r="BO34" s="890">
        <f>IF($B34&lt;1,"",AVERAGEIF('09월 고철장입'!$A$14:$A$949,$A34,'09월 고철장입'!AH$14:AH$949)/1000)</f>
        <v>5.48</v>
      </c>
      <c r="BP34" s="890">
        <f>IF($B34&lt;1,"",AVERAGEIF('09월 고철장입'!$A$14:$A$949,$A34,'09월 고철장입'!AI$14:AI$949)/1000)</f>
        <v>18.793333333333333</v>
      </c>
      <c r="BQ34" s="890">
        <f>IF($B34&lt;1,"",AVERAGEIF('09월 고철장입'!$A$14:$A$949,$A34,'09월 고철장입'!AJ$14:AJ$949)/1000)</f>
        <v>158.42666666666665</v>
      </c>
      <c r="BR34" s="890">
        <f>IF($B34&lt;1,"",AVERAGEIF('09월 고철장입'!$A$14:$A$949,$A34,'09월 고철장입'!AK$14:AK$949))</f>
        <v>145.08333333333334</v>
      </c>
      <c r="BS34" s="890">
        <f>IF($B34&lt;1,"",AVERAGEIF('09월 고철장입'!$A$14:$A$949,$A34,'09월 고철장입'!AL$14:AL$949)*100)</f>
        <v>91.579570401446475</v>
      </c>
      <c r="BT34" s="890">
        <f>IF($B34&lt;1,"",AVERAGEIF('09월 에너지'!$A$14:$A$949,$A34,'09월 에너지'!G$14:G$949))</f>
        <v>19.260000000000002</v>
      </c>
      <c r="BU34" s="892">
        <f>IF($B34&lt;1,"",AVERAGEIF('09월 에너지'!$A$14:$A$949,$A34,'09월 에너지'!H$14:H$949))</f>
        <v>22970</v>
      </c>
      <c r="BV34" s="890">
        <f>IF($B34&lt;1,"",AVERAGEIF('09월 에너지'!$A$14:$A$949,$A34,'09월 에너지'!I$14:I$949))</f>
        <v>16.833333333333332</v>
      </c>
      <c r="BW34" s="892">
        <f>IF($B34&lt;1,"",AVERAGEIF('09월 에너지'!$A$14:$A$949,$A34,'09월 에너지'!J$14:J$949))</f>
        <v>20613.333333333332</v>
      </c>
      <c r="BX34" s="890">
        <f>IF($B34&lt;1,"",AVERAGEIF('09월 에너지'!$A$14:$A$949,$A34,'09월 에너지'!K$14:K$949))</f>
        <v>9.9466666666666672</v>
      </c>
      <c r="BY34" s="892">
        <f>IF($B34&lt;1,"",AVERAGEIF('09월 에너지'!$A$14:$A$949,$A34,'09월 에너지'!L$14:L$949))</f>
        <v>12546.666666666666</v>
      </c>
      <c r="BZ34" s="890">
        <f>IF($B34&lt;1,"",AVERAGEIF('09월 에너지'!$A$14:$A$949,$A34,'09월 에너지'!M$14:M$949))</f>
        <v>46.04</v>
      </c>
      <c r="CA34" s="892">
        <f>IF($B34&lt;1,"",AVERAGEIF('09월 에너지'!$A$14:$A$949,$A34,'09월 에너지'!N$14:N$949))</f>
        <v>56130</v>
      </c>
      <c r="CB34" s="890">
        <f>IF($B34&lt;1,"",AVERAGEIF('09월 에너지'!$A$14:$A$949,$A34,'09월 에너지'!O$14:O$949))</f>
        <v>158.33066530611333</v>
      </c>
      <c r="CC34" s="890">
        <f>IF($B34&lt;1,"",AVERAGEIF('09월 에너지'!$A$14:$A$949,$A34,'09월 에너지'!P$14:P$949))</f>
        <v>142.0976206388369</v>
      </c>
      <c r="CD34" s="890">
        <f>IF($B34&lt;1,"",AVERAGEIF('09월 에너지'!$A$14:$A$949,$A34,'09월 에너지'!Q$14:Q$949))</f>
        <v>86.458610421294878</v>
      </c>
      <c r="CE34" s="890">
        <f>IF($B34&lt;1,"",AVERAGEIF('09월 에너지'!$A$14:$A$949,$A34,'09월 에너지'!R$14:R$949))</f>
        <v>386.88689636624508</v>
      </c>
      <c r="CF34" s="890">
        <f>IF($B34&lt;1,"",AVERAGEIF('09월 에너지'!$A$14:$A$949,$A34,'09월 에너지'!S$14:S$949))</f>
        <v>145.08333333333334</v>
      </c>
      <c r="CG34" s="890">
        <f>IF($B34&lt;1,"",AVERAGEIF('09월 에너지'!$A$14:$A$949,$A34,'09월 에너지'!T$14:T$949))</f>
        <v>0</v>
      </c>
      <c r="CH34" s="890">
        <f>IF($B34&lt;1,"",AVERAGEIF('09월 에너지'!$A$14:$A$949,$A34,'09월 에너지'!U$14:U$949))</f>
        <v>59.3</v>
      </c>
      <c r="CI34" s="892">
        <f>IF($B34&lt;1,"",AVERAGEIF('09월 에너지'!$A$14:$A$949,$A34,'09월 에너지'!V$14:V$949))</f>
        <v>295.23333333333335</v>
      </c>
      <c r="CJ34" s="892">
        <f>IF($B34&lt;1,"",AVERAGEIF('09월 에너지'!$A$14:$A$949,$A34,'09월 에너지'!W$14:W$949))</f>
        <v>354.53333333333336</v>
      </c>
      <c r="CK34" s="890">
        <f>IF($B34&lt;1,"",AVERAGEIF('09월 에너지'!$A$14:$A$949,$A34,'09월 에너지'!X$14:X$949))</f>
        <v>2.4432972003754827</v>
      </c>
      <c r="CL34" s="892">
        <f>IF($B34&lt;1,"",AVERAGEIF('09월 에너지'!$A$14:$A$949,$A34,'09월 에너지'!Y$14:Y$949))</f>
        <v>1573.9333333333334</v>
      </c>
      <c r="CM34" s="892">
        <f>IF($B34&lt;1,"",AVERAGEIF('09월 에너지'!$A$14:$A$949,$A34,'09월 에너지'!Z$14:Z$949))</f>
        <v>1397.8333333333333</v>
      </c>
      <c r="CN34" s="892">
        <f>IF($B34&lt;1,"",AVERAGEIF('09월 에너지'!$A$14:$A$949,$A34,'09월 에너지'!AA$14:AA$949))</f>
        <v>816.4666666666667</v>
      </c>
      <c r="CO34" s="892">
        <f>IF($B34&lt;1,"",AVERAGEIF('09월 에너지'!$A$14:$A$949,$A34,'09월 에너지'!AB$14:AB$949))</f>
        <v>3788.2333333333331</v>
      </c>
      <c r="CP34" s="890">
        <f>IF($B34&lt;1,"",AVERAGEIF('09월 에너지'!$A$14:$A$949,$A34,'09월 에너지'!AC$14:AC$949))</f>
        <v>26.110424157838292</v>
      </c>
      <c r="CQ34" s="888">
        <f>IF($B34&lt;1,"",AVERAGEIF('09월 에너지'!$A$14:$A$949,$A34,'09월 에너지'!AD$14:AD$949))</f>
        <v>4142.7666666666664</v>
      </c>
      <c r="CR34" s="888">
        <f>IF($B34&lt;1,"",AVERAGEIF('09월 에너지'!$A$14:$A$949,$A34,'09월 에너지'!AE$14:AE$949))</f>
        <v>28.553721358213782</v>
      </c>
      <c r="CS34" s="890">
        <f>IF($B34&lt;1,"",AVERAGEIF('09월 에너지'!$A$14:$A$949,$A34,'09월 에너지'!AF$14:AF$949))</f>
        <v>80.099999999999994</v>
      </c>
      <c r="CT34" s="890">
        <f>IF($B34&lt;1,"",AVERAGEIF('09월 에너지'!$A$14:$A$949,$A34,'09월 에너지'!AG$14:AG$949))</f>
        <v>63.56666666666667</v>
      </c>
      <c r="CU34" s="890">
        <f>IF($B34&lt;1,"",AVERAGEIF('09월 에너지'!$A$14:$A$949,$A34,'09월 에너지'!AH$14:AH$949))</f>
        <v>7.2666666666666666</v>
      </c>
      <c r="CV34" s="890">
        <f>IF($B34&lt;1,"",AVERAGEIF('09월 에너지'!$A$14:$A$949,$A34,'09월 에너지'!AI$14:AI$949))</f>
        <v>150.93333333333334</v>
      </c>
      <c r="CW34" s="893">
        <f>IF($B34&lt;1,"",AVERAGEIF('09월 에너지'!$A$14:$A$949,$A34,'09월 에너지'!AJ$14:AJ$949))</f>
        <v>1.0403535687085028</v>
      </c>
    </row>
    <row r="35" spans="1:101" ht="15.75" customHeight="1" thickBot="1">
      <c r="A35" s="894">
        <f t="shared" si="1"/>
        <v>46296</v>
      </c>
      <c r="B35" s="895">
        <f>COUNTIF('09월 조업일지'!$A$12:$A$952,A35)</f>
        <v>1</v>
      </c>
      <c r="C35" s="896">
        <f t="shared" si="0"/>
        <v>51</v>
      </c>
      <c r="D35" s="896">
        <f>IF($B35&lt;1,"",(SUMIF('09월 조업일지'!$A$12:$A$952,$A35,'09월 조업일지'!$K$12:$K$952))/B35)</f>
        <v>0</v>
      </c>
      <c r="E35" s="896">
        <f>IF($B35&lt;1,"",AVERAGEIF('09월 조업일지'!$A$12:$A$952,$A35,'09월 조업일지'!$J$12:$J$952))</f>
        <v>51</v>
      </c>
      <c r="F35" s="897">
        <f>IF($B35&lt;1,"",AVERAGEIF('09월 에너지'!$A$14:$A$949,$A35,'09월 에너지'!$M$14:M$949))</f>
        <v>46.400000000000006</v>
      </c>
      <c r="G35" s="898" t="e">
        <f>IF($B35&lt;1,"",AVERAGEIF('09월 조업일지'!$A$12:$A$952,$A35,'09월 조업일지'!$AJ$12:$AJ$952))</f>
        <v>#DIV/0!</v>
      </c>
      <c r="H35" s="898">
        <f>IF($B35&lt;1,"",AVERAGEIF('09월 조업일지'!$A$12:$A$952,$A35,'09월 조업일지'!$AL$12:$AL$952))</f>
        <v>3</v>
      </c>
      <c r="I35" s="899">
        <f>IF($B35&lt;1,"",AVERAGEIF('09월 화학성분'!$A$12:$A$949,$A35,'09월 화학성분'!G$12:G$949))</f>
        <v>9</v>
      </c>
      <c r="J35" s="899">
        <f>IF($B35&lt;1,"",AVERAGEIF('09월 화학성분'!$A$12:$A$949,$A35,'09월 화학성분'!H$12:H$949))</f>
        <v>25</v>
      </c>
      <c r="K35" s="899">
        <f>IF($B35&lt;1,"",AVERAGEIF('09월 화학성분'!$A$12:$A$949,$A35,'09월 화학성분'!I$12:I$949))</f>
        <v>51</v>
      </c>
      <c r="L35" s="899">
        <f>IF($B35&lt;1,"",AVERAGEIF('09월 화학성분'!$A$12:$A$949,$A35,'09월 화학성분'!J$12:J$949))</f>
        <v>16</v>
      </c>
      <c r="M35" s="899">
        <f>IF($B35&lt;1,"",AVERAGEIF('09월 화학성분'!$A$12:$A$949,$A35,'09월 화학성분'!K$12:K$949))</f>
        <v>26</v>
      </c>
      <c r="N35" s="899">
        <f>IF($B35&lt;1,"",AVERAGEIF('09월 화학성분'!$A$12:$A$949,$A35,'09월 화학성분'!L$12:L$949))</f>
        <v>11</v>
      </c>
      <c r="O35" s="899">
        <f>IF($B35&lt;1,"",AVERAGEIF('09월 화학성분'!$A$12:$A$949,$A35,'09월 화학성분'!M$12:M$949))</f>
        <v>9</v>
      </c>
      <c r="P35" s="900">
        <f>IF($B35&lt;1,"",AVERAGEIF('09월 조업일지'!$A$12:$A$952,$A35,'09월 조업일지'!$AK$12:$AK$952))</f>
        <v>1101</v>
      </c>
      <c r="Q35" s="899">
        <f>IF($B35&lt;1,"",AVERAGEIF('09월 화학성분'!$A$12:$A$949,$A35,'09월 화학성분'!$G$12:$G$949))</f>
        <v>9</v>
      </c>
      <c r="R35" s="900">
        <f>IF($B35&lt;1,"",AVERAGEIF('09월 조업일지'!$A$12:$A$952,$A35,'09월 조업일지'!$AI$12:$AI$952))</f>
        <v>1572</v>
      </c>
      <c r="S35" s="899">
        <f>IF($B35&lt;1,"",AVERAGEIF('09월 화학성분'!$A$12:$A$949,$A35,'09월 화학성분'!$AM$12:$AM$949))</f>
        <v>2540</v>
      </c>
      <c r="T35" s="901">
        <f>IF($B35&lt;1,"",AVERAGEIF('09월 화학성분'!$A$12:$A$949,$A35,'09월 화학성분'!N$12:N$949))</f>
        <v>421</v>
      </c>
      <c r="U35" s="901" t="e">
        <f>IF($B35&lt;1,"",AVERAGEIF('09월 화학성분'!$A$12:$A$949,$A35,'09월 화학성분'!O$12:O$949))</f>
        <v>#DIV/0!</v>
      </c>
      <c r="V35" s="901">
        <f>IF($B35&lt;1,"",AVERAGEIF('09월 화학성분'!$A$12:$A$949,$A35,'09월 화학성분'!P$12:P$949))</f>
        <v>1001</v>
      </c>
      <c r="W35" s="901">
        <f>IF($B35&lt;1,"",AVERAGEIF('09월 화학성분'!$A$12:$A$949,$A35,'09월 화학성분'!Q$12:Q$949))</f>
        <v>957</v>
      </c>
      <c r="X35" s="901" t="e">
        <f>IF($B35&lt;1,"",AVERAGEIF('09월 화학성분'!$A$12:$A$949,$A35,'09월 화학성분'!R$12:R$949))</f>
        <v>#DIV/0!</v>
      </c>
      <c r="Y35" s="901" t="e">
        <f>IF($B35&lt;1,"",AVERAGEIF('09월 화학성분'!$A$12:$A$949,$A35,'09월 화학성분'!U$12:U$949))</f>
        <v>#DIV/0!</v>
      </c>
      <c r="Z35" s="901">
        <f>IF($B35&lt;1,"",AVERAGEIF('09월 화학성분'!$A$12:$A$949,$A35,'09월 화학성분'!V$12:V$949))</f>
        <v>525</v>
      </c>
      <c r="AA35" s="901" t="e">
        <f>IF($B35&lt;1,"",AVERAGEIF('09월 화학성분'!$A$12:$A$949,$A35,'09월 화학성분'!W$12:W$949))</f>
        <v>#DIV/0!</v>
      </c>
      <c r="AB35" s="901" t="e">
        <f>IF($B35&lt;1,"",AVERAGEIF('09월 화학성분'!$A$12:$A$949,$A35,'09월 화학성분'!AA$12:AA$949))</f>
        <v>#DIV/0!</v>
      </c>
      <c r="AC35" s="901" t="e">
        <f>IF($B35&lt;1,"",AVERAGEIF('09월 화학성분'!$A$12:$A$949,$A35,'09월 화학성분'!#REF!))</f>
        <v>#REF!</v>
      </c>
      <c r="AD35" s="901" t="e">
        <f>IF($B35&lt;1,"",AVERAGEIF('09월 화학성분'!$A$12:$A$949,$A35,'09월 화학성분'!AB$12:AB$949))</f>
        <v>#DIV/0!</v>
      </c>
      <c r="AE35" s="901" t="e">
        <f>IF($B35&lt;1,"",AVERAGEIF('09월 화학성분'!$A$12:$A$949,$A35,'09월 화학성분'!AC$12:AC$949))</f>
        <v>#DIV/0!</v>
      </c>
      <c r="AF35" s="901">
        <f>IF($B35&lt;1,"",AVERAGEIF('09월 화학성분'!$A$12:$A$949,$A35,'09월 화학성분'!AD$12:AD$949))</f>
        <v>271</v>
      </c>
      <c r="AG35" s="901" t="e">
        <f>IF($B35&lt;1,"",AVERAGEIF('09월 화학성분'!$A$12:$A$949,$A35,'09월 화학성분'!AF$12:AF$949))</f>
        <v>#DIV/0!</v>
      </c>
      <c r="AH35" s="901">
        <f>IF($B35&lt;1,"",AVERAGEIF('09월 화학성분'!$A$12:$A$949,$A35,'09월 화학성분'!AG$12:AG$949))</f>
        <v>111</v>
      </c>
      <c r="AI35" s="901">
        <f>IF($B35&lt;1,"",AVERAGEIF('09월 화학성분'!$A$12:$A$949,$A35,'09월 화학성분'!AH$12:AH$949))</f>
        <v>842</v>
      </c>
      <c r="AJ35" s="901">
        <f>IF($B35&lt;1,"",AVERAGEIF('09월 화학성분'!$A$12:$A$949,$A35,'09월 화학성분'!AI$12:AI$949))</f>
        <v>489</v>
      </c>
      <c r="AK35" s="901">
        <f>IF($B35&lt;1,"",AVERAGEIF('09월 화학성분'!$A$12:$A$949,$A35,'09월 화학성분'!AJ$12:AJ$949))</f>
        <v>80</v>
      </c>
      <c r="AL35" s="901" t="e">
        <f>IF($B35&lt;1,"",AVERAGEIF('09월 화학성분'!$A$12:$A$949,$A35,'09월 화학성분'!#REF!))</f>
        <v>#REF!</v>
      </c>
      <c r="AM35" s="901">
        <f>IF($B35&lt;1,"",AVERAGEIF('09월 화학성분'!$A$12:$A$949,$A35,'09월 화학성분'!AL$12:AL$949))</f>
        <v>134</v>
      </c>
      <c r="AN35" s="901">
        <f>IF($B35&lt;1,"",AVERAGEIF('09월 화학성분'!$A$12:$A$949,$A35,'09월 화학성분'!AM$12:AM$949))</f>
        <v>2540</v>
      </c>
      <c r="AO35" s="902">
        <f>IF($B35&lt;1,"",AVERAGEIF('09월 화학성분'!$A$12:$A$949,$A35,'09월 화학성분'!AN$12:AN$949))</f>
        <v>0.73724774363654799</v>
      </c>
      <c r="AP35" s="902">
        <f>IF($B35&lt;1,"",AVERAGEIF('09월 화학성분'!$A$12:$A$949,$A35,'09월 화학성분'!AO$12:AO$949))</f>
        <v>0.88808958262639981</v>
      </c>
      <c r="AQ35" s="901">
        <f>IF($B35&lt;1,"",AVERAGEIF('09월 화학성분'!$A$12:$A$949,$A35,'09월 화학성분'!AP$12:AP$949))</f>
        <v>145.4</v>
      </c>
      <c r="AR35" s="901" t="e">
        <f>IF($B35&lt;1,"",AVERAGEIF('09월 고철장입'!$A$14:$A$949,$A35,'09월 고철장입'!G$14:G$949)/1000)</f>
        <v>#DIV/0!</v>
      </c>
      <c r="AS35" s="901" t="e">
        <f>IF($B35&lt;1,"",AVERAGEIF('09월 고철장입'!$A$14:$A$949,$A35,'09월 고철장입'!H$14:H$949)/1000)</f>
        <v>#DIV/0!</v>
      </c>
      <c r="AT35" s="901">
        <f>IF($B35&lt;1,"",AVERAGEIF('09월 고철장입'!$A$14:$A$949,$A35,'09월 고철장입'!I$14:I$949)/1000)</f>
        <v>18.2</v>
      </c>
      <c r="AU35" s="901" t="e">
        <f>IF($B35&lt;1,"",AVERAGEIF('09월 고철장입'!$A$14:$A$949,$A35,'09월 고철장입'!J$14:J$949)/1000)</f>
        <v>#DIV/0!</v>
      </c>
      <c r="AV35" s="901" t="e">
        <f>IF($B35&lt;1,"",AVERAGEIF('09월 고철장입'!$A$14:$A$949,$A35,'09월 고철장입'!K$14:K$949)/1000)</f>
        <v>#DIV/0!</v>
      </c>
      <c r="AW35" s="901" t="e">
        <f>IF($B35&lt;1,"",AVERAGEIF('09월 고철장입'!$A$14:$A$949,$A35,'09월 고철장입'!L$14:L$949)/1000)</f>
        <v>#DIV/0!</v>
      </c>
      <c r="AX35" s="901" t="e">
        <f>IF($B35&lt;1,"",AVERAGEIF('09월 고철장입'!$A$14:$A$949,$A35,'09월 고철장입'!M$14:M$949)/1000)</f>
        <v>#DIV/0!</v>
      </c>
      <c r="AY35" s="901" t="e">
        <f>IF($B35&lt;1,"",AVERAGEIF('09월 고철장입'!$A$14:$A$949,$A35,'09월 고철장입'!N$14:N$949)/1000)</f>
        <v>#DIV/0!</v>
      </c>
      <c r="AZ35" s="901">
        <f>IF($B35&lt;1,"",AVERAGEIF('09월 고철장입'!$A$14:$A$949,$A35,'09월 고철장입'!O$14:O$949)/1000)</f>
        <v>18.2</v>
      </c>
      <c r="BA35" s="901">
        <f>IF($B35&lt;1,"",AVERAGEIF('09월 고철장입'!$A$14:$A$949,$A35,'09월 고철장입'!P$14:P$949)/1000)</f>
        <v>29.7</v>
      </c>
      <c r="BB35" s="901">
        <f>IF($B35&lt;1,"",AVERAGEIF('09월 고철장입'!$A$14:$A$949,$A35,'09월 고철장입'!Q$14:Q$949)/1000)</f>
        <v>19.100000000000001</v>
      </c>
      <c r="BC35" s="901" t="e">
        <f>IF($B35&lt;1,"",AVERAGEIF('09월 고철장입'!$A$14:$A$949,$A35,'09월 고철장입'!S$14:S$949)/1000)</f>
        <v>#DIV/0!</v>
      </c>
      <c r="BD35" s="901" t="e">
        <f>IF($B35&lt;1,"",AVERAGEIF('09월 고철장입'!$A$14:$A$949,$A35,'09월 고철장입'!T$14:T$949)/1000)</f>
        <v>#DIV/0!</v>
      </c>
      <c r="BE35" s="901">
        <f>IF($B35&lt;1,"",AVERAGEIF('09월 고철장입'!$A$14:$A$949,$A35,'09월 고철장입'!U$14:U$949)/1000)</f>
        <v>5.0999999999999996</v>
      </c>
      <c r="BF35" s="901">
        <f>IF($B35&lt;1,"",AVERAGEIF('09월 고철장입'!$A$14:$A$949,$A35,'09월 고철장입'!V$14:V$949)/1000)</f>
        <v>20.8</v>
      </c>
      <c r="BG35" s="901">
        <f>IF($B35&lt;1,"",AVERAGEIF('09월 고철장입'!$A$14:$A$949,$A35,'09월 고철장입'!W$14:W$949)/1000)</f>
        <v>1.7</v>
      </c>
      <c r="BH35" s="901">
        <f>IF($B35&lt;1,"",AVERAGEIF('09월 고철장입'!$A$14:$A$949,$A35,'09월 고철장입'!Y$14:Y$949)/1000)</f>
        <v>11.8</v>
      </c>
      <c r="BI35" s="901">
        <f>IF($B35&lt;1,"",AVERAGEIF('09월 고철장입'!$A$14:$A$949,$A35,'09월 고철장입'!AB$14:AB$949)/1000)</f>
        <v>1.8</v>
      </c>
      <c r="BJ35" s="901" t="e">
        <f>IF($B35&lt;1,"",AVERAGEIF('09월 고철장입'!$A$14:$A$949,$A35,'09월 고철장입'!AC$14:AC$949)/1000)</f>
        <v>#DIV/0!</v>
      </c>
      <c r="BK35" s="901">
        <f>IF($B35&lt;1,"",AVERAGEIF('09월 고철장입'!$A$14:$A$949,$A35,'09월 고철장입'!AD$14:AD$949)/1000)</f>
        <v>9.6</v>
      </c>
      <c r="BL35" s="901">
        <f>IF($B35&lt;1,"",AVERAGEIF('09월 고철장입'!$A$14:$A$949,$A35,'09월 고철장입'!AE$14:AE$949)/1000)</f>
        <v>123.9</v>
      </c>
      <c r="BM35" s="901">
        <f>IF($B35&lt;1,"",AVERAGEIF('09월 고철장입'!$A$14:$A$949,$A35,'09월 고철장입'!AF$14:AF$949)/1000)</f>
        <v>3.6</v>
      </c>
      <c r="BN35" s="901">
        <f>IF($B35&lt;1,"",AVERAGEIF('09월 고철장입'!$A$14:$A$949,$A35,'09월 고철장입'!AG$14:AG$949)/1000)</f>
        <v>6.7</v>
      </c>
      <c r="BO35" s="901">
        <f>IF($B35&lt;1,"",AVERAGEIF('09월 고철장입'!$A$14:$A$949,$A35,'09월 고철장입'!AH$14:AH$949)/1000)</f>
        <v>3.7</v>
      </c>
      <c r="BP35" s="901">
        <f>IF($B35&lt;1,"",AVERAGEIF('09월 고철장입'!$A$14:$A$949,$A35,'09월 고철장입'!AI$14:AI$949)/1000)</f>
        <v>14</v>
      </c>
      <c r="BQ35" s="901">
        <f>IF($B35&lt;1,"",AVERAGEIF('09월 고철장입'!$A$14:$A$949,$A35,'09월 고철장입'!AJ$14:AJ$949)/1000)</f>
        <v>156.1</v>
      </c>
      <c r="BR35" s="901">
        <f>IF($B35&lt;1,"",AVERAGEIF('09월 고철장입'!$A$14:$A$949,$A35,'09월 고철장입'!AK$14:AK$949))</f>
        <v>145.4</v>
      </c>
      <c r="BS35" s="901">
        <f>IF($B35&lt;1,"",AVERAGEIF('09월 고철장입'!$A$14:$A$949,$A35,'09월 고철장입'!AL$14:AL$949)*100)</f>
        <v>93.145419602818706</v>
      </c>
      <c r="BT35" s="901">
        <f>IF($B35&lt;1,"",AVERAGEIF('09월 에너지'!$A$14:$A$949,$A35,'09월 에너지'!G$14:G$949))</f>
        <v>20.100000000000001</v>
      </c>
      <c r="BU35" s="903">
        <f>IF($B35&lt;1,"",AVERAGEIF('09월 에너지'!$A$14:$A$949,$A35,'09월 에너지'!H$14:H$949))</f>
        <v>24700</v>
      </c>
      <c r="BV35" s="901">
        <f>IF($B35&lt;1,"",AVERAGEIF('09월 에너지'!$A$14:$A$949,$A35,'09월 에너지'!I$14:I$949))</f>
        <v>17.100000000000001</v>
      </c>
      <c r="BW35" s="903">
        <f>IF($B35&lt;1,"",AVERAGEIF('09월 에너지'!$A$14:$A$949,$A35,'09월 에너지'!J$14:J$949))</f>
        <v>20900</v>
      </c>
      <c r="BX35" s="901">
        <f>IF($B35&lt;1,"",AVERAGEIF('09월 에너지'!$A$14:$A$949,$A35,'09월 에너지'!K$14:K$949))</f>
        <v>9.1999999999999993</v>
      </c>
      <c r="BY35" s="903">
        <f>IF($B35&lt;1,"",AVERAGEIF('09월 에너지'!$A$14:$A$949,$A35,'09월 에너지'!L$14:L$949))</f>
        <v>11500</v>
      </c>
      <c r="BZ35" s="901">
        <f>IF($B35&lt;1,"",AVERAGEIF('09월 에너지'!$A$14:$A$949,$A35,'09월 에너지'!M$14:M$949))</f>
        <v>46.400000000000006</v>
      </c>
      <c r="CA35" s="903">
        <f>IF($B35&lt;1,"",AVERAGEIF('09월 에너지'!$A$14:$A$949,$A35,'09월 에너지'!N$14:N$949))</f>
        <v>57100</v>
      </c>
      <c r="CB35" s="901">
        <f>IF($B35&lt;1,"",AVERAGEIF('09월 에너지'!$A$14:$A$949,$A35,'09월 에너지'!O$14:O$949))</f>
        <v>169.87620357634111</v>
      </c>
      <c r="CC35" s="901">
        <f>IF($B35&lt;1,"",AVERAGEIF('09월 에너지'!$A$14:$A$949,$A35,'09월 에너지'!P$14:P$949))</f>
        <v>143.7414030261348</v>
      </c>
      <c r="CD35" s="901">
        <f>IF($B35&lt;1,"",AVERAGEIF('09월 에너지'!$A$14:$A$949,$A35,'09월 에너지'!Q$14:Q$949))</f>
        <v>79.09215955983494</v>
      </c>
      <c r="CE35" s="901">
        <f>IF($B35&lt;1,"",AVERAGEIF('09월 에너지'!$A$14:$A$949,$A35,'09월 에너지'!R$14:R$949))</f>
        <v>392.70976616231087</v>
      </c>
      <c r="CF35" s="901">
        <f>IF($B35&lt;1,"",AVERAGEIF('09월 에너지'!$A$14:$A$949,$A35,'09월 에너지'!S$14:S$949))</f>
        <v>145.4</v>
      </c>
      <c r="CG35" s="901">
        <f>IF($B35&lt;1,"",AVERAGEIF('09월 에너지'!$A$14:$A$949,$A35,'09월 에너지'!T$14:T$949))</f>
        <v>0</v>
      </c>
      <c r="CH35" s="901">
        <f>IF($B35&lt;1,"",AVERAGEIF('09월 에너지'!$A$14:$A$949,$A35,'09월 에너지'!U$14:U$949))</f>
        <v>64</v>
      </c>
      <c r="CI35" s="903">
        <f>IF($B35&lt;1,"",AVERAGEIF('09월 에너지'!$A$14:$A$949,$A35,'09월 에너지'!V$14:V$949))</f>
        <v>327</v>
      </c>
      <c r="CJ35" s="903">
        <f>IF($B35&lt;1,"",AVERAGEIF('09월 에너지'!$A$14:$A$949,$A35,'09월 에너지'!W$14:W$949))</f>
        <v>391</v>
      </c>
      <c r="CK35" s="901">
        <f>IF($B35&lt;1,"",AVERAGEIF('09월 에너지'!$A$14:$A$949,$A35,'09월 에너지'!X$14:X$949))</f>
        <v>2.6891334250343877</v>
      </c>
      <c r="CL35" s="903">
        <f>IF($B35&lt;1,"",AVERAGEIF('09월 에너지'!$A$14:$A$949,$A35,'09월 에너지'!Y$14:Y$949))</f>
        <v>1715</v>
      </c>
      <c r="CM35" s="903">
        <f>IF($B35&lt;1,"",AVERAGEIF('09월 에너지'!$A$14:$A$949,$A35,'09월 에너지'!Z$14:Z$949))</f>
        <v>1416</v>
      </c>
      <c r="CN35" s="903">
        <f>IF($B35&lt;1,"",AVERAGEIF('09월 에너지'!$A$14:$A$949,$A35,'09월 에너지'!AA$14:AA$949))</f>
        <v>823</v>
      </c>
      <c r="CO35" s="903">
        <f>IF($B35&lt;1,"",AVERAGEIF('09월 에너지'!$A$14:$A$949,$A35,'09월 에너지'!AB$14:AB$949))</f>
        <v>3954</v>
      </c>
      <c r="CP35" s="901">
        <f>IF($B35&lt;1,"",AVERAGEIF('09월 에너지'!$A$14:$A$949,$A35,'09월 에너지'!AC$14:AC$949))</f>
        <v>27.1939477303989</v>
      </c>
      <c r="CQ35" s="899">
        <f>IF($B35&lt;1,"",AVERAGEIF('09월 에너지'!$A$14:$A$949,$A35,'09월 에너지'!AD$14:AD$949))</f>
        <v>4345</v>
      </c>
      <c r="CR35" s="899">
        <f>IF($B35&lt;1,"",AVERAGEIF('09월 에너지'!$A$14:$A$949,$A35,'09월 에너지'!AE$14:AE$949))</f>
        <v>29.883081155433285</v>
      </c>
      <c r="CS35" s="901">
        <f>IF($B35&lt;1,"",AVERAGEIF('09월 에너지'!$A$14:$A$949,$A35,'09월 에너지'!AF$14:AF$949))</f>
        <v>81</v>
      </c>
      <c r="CT35" s="901">
        <f>IF($B35&lt;1,"",AVERAGEIF('09월 에너지'!$A$14:$A$949,$A35,'09월 에너지'!AG$14:AG$949))</f>
        <v>63</v>
      </c>
      <c r="CU35" s="901">
        <f>IF($B35&lt;1,"",AVERAGEIF('09월 에너지'!$A$14:$A$949,$A35,'09월 에너지'!AH$14:AH$949))</f>
        <v>8</v>
      </c>
      <c r="CV35" s="901">
        <f>IF($B35&lt;1,"",AVERAGEIF('09월 에너지'!$A$14:$A$949,$A35,'09월 에너지'!AI$14:AI$949))</f>
        <v>152</v>
      </c>
      <c r="CW35" s="904">
        <f>IF($B35&lt;1,"",AVERAGEIF('09월 에너지'!$A$14:$A$949,$A35,'09월 에너지'!AJ$14:AJ$949))</f>
        <v>1.0453920220082531</v>
      </c>
    </row>
    <row r="36" spans="1:101" ht="13.8" thickBot="1"/>
    <row r="37" spans="1:101" ht="17.25" customHeight="1" thickBot="1">
      <c r="A37" s="905" t="s">
        <v>199</v>
      </c>
      <c r="B37" s="788">
        <f>COUNT('09월 조업일지'!$J$12:$J792)</f>
        <v>781</v>
      </c>
      <c r="C37" s="789">
        <f t="shared" ref="C37" si="2">IF(B37&lt;1,"",E37-D37)</f>
        <v>2.5643467643467588</v>
      </c>
      <c r="D37" s="906">
        <f>IF($B37&lt;1,"",AVERAGE('09월 조업일지'!$K$12:$K$952))</f>
        <v>50.2</v>
      </c>
      <c r="E37" s="906">
        <f>IF($B37&lt;1,"",AVERAGE('09월 조업일지'!$J$12:$J$952))</f>
        <v>52.764346764346762</v>
      </c>
      <c r="F37" s="906">
        <f>IF($B37&lt;1,"",AVERAGE('09월 에너지'!$M$14:M$949))</f>
        <v>45.815140415140405</v>
      </c>
      <c r="G37" s="906">
        <f>IF($B37&lt;1,"",AVERAGE('09월 조업일지'!$AJ$12:$AJ$952))</f>
        <v>24.959558823529413</v>
      </c>
      <c r="H37" s="906">
        <f>IF($B37&lt;1,"",AVERAGE('09월 조업일지'!$AL$12:$AL$952))</f>
        <v>7.6552162849872776</v>
      </c>
      <c r="I37" s="906">
        <f>IF($B37&lt;1,"",AVERAGE('09월 화학성분'!G$12:G$949))</f>
        <v>10.373626373626374</v>
      </c>
      <c r="J37" s="906">
        <f>IF($B37&lt;1,"",AVERAGE('09월 화학성분'!H$12:H$949))</f>
        <v>20.347985347985347</v>
      </c>
      <c r="K37" s="906">
        <f>IF($B37&lt;1,"",AVERAGE('09월 화학성분'!I$12:I$949))</f>
        <v>75.726495726495727</v>
      </c>
      <c r="L37" s="906">
        <f>IF($B37&lt;1,"",AVERAGE('09월 화학성분'!J$12:J$949))</f>
        <v>15.410256410256411</v>
      </c>
      <c r="M37" s="906">
        <f>IF($B37&lt;1,"",AVERAGE('09월 화학성분'!K$12:K$949))</f>
        <v>33.098901098901102</v>
      </c>
      <c r="N37" s="906">
        <f>IF($B37&lt;1,"",AVERAGE('09월 화학성분'!L$12:L$949))</f>
        <v>12.929181929181929</v>
      </c>
      <c r="O37" s="906">
        <f>IF($B37&lt;1,"",AVERAGE('09월 화학성분'!M$12:M$949))</f>
        <v>10.229548229548229</v>
      </c>
      <c r="P37" s="791">
        <f>IF($B37&lt;1,"",AVERAGE('09월 조업일지'!$AK$12:$AK$952))</f>
        <v>595.27064803049552</v>
      </c>
      <c r="Q37" s="907">
        <f>IF($B37&lt;1,"",AVERAGE('09월 화학성분'!$G$12:$G$949))</f>
        <v>10.373626373626374</v>
      </c>
      <c r="R37" s="791">
        <f>IF($B37&lt;1,"",AVERAGE('09월 조업일지'!$AI$12:$AI$952))</f>
        <v>1570.9267399267399</v>
      </c>
      <c r="S37" s="907">
        <f>IF($B37&lt;1,"",AVERAGE('09월 화학성분'!$AM$12:$AM$949))</f>
        <v>2005.8253968253969</v>
      </c>
      <c r="T37" s="908">
        <f>IF($B37&lt;1,"",AVERAGE('09월 화학성분'!N$12:N$949))</f>
        <v>421.03296703296701</v>
      </c>
      <c r="U37" s="908" t="e">
        <f>IF($B37&lt;1,"",AVERAGE('09월 화학성분'!O$12:O$949))</f>
        <v>#DIV/0!</v>
      </c>
      <c r="V37" s="908">
        <f>IF($B37&lt;1,"",AVERAGE('09월 화학성분'!P$12:P$949))</f>
        <v>1035.915750915751</v>
      </c>
      <c r="W37" s="908">
        <f>IF($B37&lt;1,"",AVERAGE('09월 화학성분'!Q$12:Q$949))</f>
        <v>957.69230769230774</v>
      </c>
      <c r="X37" s="908" t="e">
        <f>IF($B37&lt;1,"",AVERAGE('09월 화학성분'!R$12:R$949))</f>
        <v>#DIV/0!</v>
      </c>
      <c r="Y37" s="908">
        <f>IF($B37&lt;1,"",AVERAGE('09월 화학성분'!U$12:U$949))</f>
        <v>0</v>
      </c>
      <c r="Z37" s="908">
        <f>IF($B37&lt;1,"",AVERAGE('09월 화학성분'!V$12:V$949))</f>
        <v>430.31081081081084</v>
      </c>
      <c r="AA37" s="908" t="e">
        <f>IF($B37&lt;1,"",AVERAGE('09월 화학성분'!W$12:W$949))</f>
        <v>#DIV/0!</v>
      </c>
      <c r="AB37" s="908" t="e">
        <f>IF($B37&lt;1,"",AVERAGE('09월 화학성분'!AA$12:AA$949))</f>
        <v>#DIV/0!</v>
      </c>
      <c r="AC37" s="908" t="e">
        <f>IF($B37&lt;1,"",AVERAGE('09월 화학성분'!#REF!))</f>
        <v>#REF!</v>
      </c>
      <c r="AD37" s="908">
        <f>IF($B37&lt;1,"",AVERAGE('09월 화학성분'!AB$12:AB$949))</f>
        <v>30.756363636363638</v>
      </c>
      <c r="AE37" s="908" t="e">
        <f>IF($B37&lt;1,"",AVERAGE('09월 화학성분'!AC$12:AC$949))</f>
        <v>#DIV/0!</v>
      </c>
      <c r="AF37" s="908">
        <f>IF($B37&lt;1,"",AVERAGE('09월 화학성분'!AD$12:AD$949))</f>
        <v>272.26625766871166</v>
      </c>
      <c r="AG37" s="908">
        <f>IF($B37&lt;1,"",AVERAGE('09월 화학성분'!AF$12:AF$949))</f>
        <v>47.602985074626865</v>
      </c>
      <c r="AH37" s="908">
        <f>IF($B37&lt;1,"",AVERAGE('09월 화학성분'!AG$12:AG$949))</f>
        <v>95.0354505169867</v>
      </c>
      <c r="AI37" s="908">
        <f>IF($B37&lt;1,"",AVERAGE('09월 화학성분'!AH$12:AH$949))</f>
        <v>1299.6910866910866</v>
      </c>
      <c r="AJ37" s="908">
        <f>IF($B37&lt;1,"",AVERAGE('09월 화학성분'!AI$12:AI$949))</f>
        <v>266.88193456614511</v>
      </c>
      <c r="AK37" s="908">
        <f>IF($B37&lt;1,"",AVERAGE('09월 화학성분'!AJ$12:AJ$949))</f>
        <v>80.106038291605302</v>
      </c>
      <c r="AL37" s="908" t="e">
        <f>IF($B37&lt;1,"",AVERAGE('09월 화학성분'!#REF!))</f>
        <v>#REF!</v>
      </c>
      <c r="AM37" s="908">
        <f>IF($B37&lt;1,"",AVERAGE('09월 화학성분'!AL$12:AL$949))</f>
        <v>124.71690694626474</v>
      </c>
      <c r="AN37" s="908">
        <f>IF($B37&lt;1,"",AVERAGE('09월 화학성분'!AM$12:AM$949))</f>
        <v>2005.8253968253969</v>
      </c>
      <c r="AO37" s="908">
        <f>IF($B37&lt;1,"",AVERAGE('09월 화학성분'!AN$12:AN$949))</f>
        <v>0.76307186408823746</v>
      </c>
      <c r="AP37" s="908">
        <f>IF($B37&lt;1,"",AVERAGE('09월 화학성분'!AO$12:AO$949))</f>
        <v>0.9631945448104694</v>
      </c>
      <c r="AQ37" s="908">
        <f>IF($B37&lt;1,"",SUM('09월 화학성분'!AP$12:AP$949)/B37)</f>
        <v>150.54104993597952</v>
      </c>
      <c r="AR37" s="908">
        <f>IF($B37&lt;1,"",AVERAGE('09월 고철장입'!G$14:G$949)/1000)</f>
        <v>0</v>
      </c>
      <c r="AS37" s="908">
        <f>IF($B37&lt;1,"",AVERAGE('09월 고철장입'!H$14:H$949)/1000)</f>
        <v>0</v>
      </c>
      <c r="AT37" s="908">
        <f>IF($B37&lt;1,"",AVERAGE('09월 고철장입'!I$14:I$949)/1000)</f>
        <v>10.423849699398797</v>
      </c>
      <c r="AU37" s="908">
        <f>IF($B37&lt;1,"",AVERAGE('09월 고철장입'!J$14:J$949)/1000)</f>
        <v>0</v>
      </c>
      <c r="AV37" s="908">
        <f>IF($B37&lt;1,"",AVERAGE('09월 고철장입'!K$14:K$949)/1000)</f>
        <v>0</v>
      </c>
      <c r="AW37" s="908">
        <f>IF($B37&lt;1,"",AVERAGE('09월 고철장입'!L$14:L$949)/1000)</f>
        <v>0</v>
      </c>
      <c r="AX37" s="908">
        <f>IF($B37&lt;1,"",AVERAGE('09월 고철장입'!M$14:M$949)/1000)</f>
        <v>0</v>
      </c>
      <c r="AY37" s="908">
        <f>IF($B37&lt;1,"",AVERAGE('09월 고철장입'!N$14:N$949)/1000)</f>
        <v>0</v>
      </c>
      <c r="AZ37" s="908">
        <f>IF($B37&lt;1,"",AVERAGE('09월 고철장입'!O$14:O$949)/1000)</f>
        <v>10.465796780684105</v>
      </c>
      <c r="BA37" s="908">
        <f>IF($B37&lt;1,"",AVERAGE('09월 고철장입'!P$14:P$949)/1000)</f>
        <v>42.92466422466422</v>
      </c>
      <c r="BB37" s="908">
        <f>IF($B37&lt;1,"",AVERAGE('09월 고철장입'!Q$14:Q$949)/1000)</f>
        <v>17.094139194139196</v>
      </c>
      <c r="BC37" s="908">
        <f>IF($B37&lt;1,"",AVERAGE('09월 고철장입'!S$14:S$949)/1000)</f>
        <v>0</v>
      </c>
      <c r="BD37" s="908">
        <f>IF($B37&lt;1,"",AVERAGE('09월 고철장입'!T$14:T$949)/1000)</f>
        <v>1.1333333333333333</v>
      </c>
      <c r="BE37" s="908">
        <f>IF($B37&lt;1,"",AVERAGE('09월 고철장입'!U$14:U$949)/1000)</f>
        <v>9.1465248226950351</v>
      </c>
      <c r="BF37" s="908">
        <f>IF($B37&lt;1,"",AVERAGE('09월 고철장입'!V$14:V$949)/1000)</f>
        <v>23.217094017094016</v>
      </c>
      <c r="BG37" s="908">
        <f>IF($B37&lt;1,"",AVERAGE('09월 고철장입'!W$14:W$949)/1000)</f>
        <v>2.9679746835443037</v>
      </c>
      <c r="BH37" s="908">
        <f>IF($B37&lt;1,"",AVERAGE('09월 고철장입'!Y$14:Y$949)/1000)</f>
        <v>14.63500611995104</v>
      </c>
      <c r="BI37" s="908">
        <f>IF($B37&lt;1,"",AVERAGE('09월 고철장입'!AB$14:AB$949)/1000)</f>
        <v>2.8368841544607188</v>
      </c>
      <c r="BJ37" s="908">
        <f>IF($B37&lt;1,"",AVERAGE('09월 고철장입'!AC$14:AC$949)/1000)</f>
        <v>2.1691570881226054</v>
      </c>
      <c r="BK37" s="908">
        <f>IF($B37&lt;1,"",AVERAGE('09월 고철장입'!AD$14:AD$949)/1000)</f>
        <v>3.1092626262626264</v>
      </c>
      <c r="BL37" s="908">
        <f>IF($B37&lt;1,"",AVERAGE('09월 고철장입'!AE$14:AE$949)/1000)</f>
        <v>132.59035775335775</v>
      </c>
      <c r="BM37" s="908">
        <f>IF($B37&lt;1,"",AVERAGE('09월 고철장입'!AF$14:AF$949)/1000)</f>
        <v>4.117786069651741</v>
      </c>
      <c r="BN37" s="908">
        <f>IF($B37&lt;1,"",AVERAGE('09월 고철장입'!AG$14:AG$949)/1000)</f>
        <v>9.8185049019607842</v>
      </c>
      <c r="BO37" s="908">
        <f>IF($B37&lt;1,"",AVERAGE('09월 고철장입'!AH$14:AH$949)/1000)</f>
        <v>5.3211562115621156</v>
      </c>
      <c r="BP37" s="908">
        <f>IF($B37&lt;1,"",AVERAGE('09월 고철장입'!AI$14:AI$949)/1000)</f>
        <v>19.110256410256412</v>
      </c>
      <c r="BQ37" s="908">
        <f>IF($B37&lt;1,"",AVERAGE('09월 고철장입'!AJ$14:AJ$949)/1000)</f>
        <v>158.05165323565325</v>
      </c>
      <c r="BR37" s="908">
        <f>IF($B37&lt;1,"",SUM('09월 고철장입'!AK$14:AK$949)/B37)</f>
        <v>150.54104993597952</v>
      </c>
      <c r="BS37" s="909">
        <f>BR37/BQ37*100</f>
        <v>95.248007125572101</v>
      </c>
      <c r="BT37" s="908">
        <f>IF($B37&lt;1,"",AVERAGE('09월 에너지'!G$14:G$949))</f>
        <v>19.411233211233206</v>
      </c>
      <c r="BU37" s="910">
        <f>IF($B37&lt;1,"",AVERAGE('09월 에너지'!H$14:H$949))</f>
        <v>23259.413919413921</v>
      </c>
      <c r="BV37" s="908">
        <f>IF($B37&lt;1,"",AVERAGE('09월 에너지'!I$14:I$949))</f>
        <v>16.610989010989009</v>
      </c>
      <c r="BW37" s="910">
        <f>IF($B37&lt;1,"",AVERAGE('09월 에너지'!J$14:J$949))</f>
        <v>20403.785103785103</v>
      </c>
      <c r="BX37" s="908">
        <f>IF($B37&lt;1,"",AVERAGE('09월 에너지'!K$14:K$949))</f>
        <v>9.7929181929181901</v>
      </c>
      <c r="BY37" s="908">
        <f>IF($B37&lt;1,"",AVERAGE('09월 에너지'!L$14:L$949))</f>
        <v>12502.319902319903</v>
      </c>
      <c r="BZ37" s="908">
        <f>IF($B37&lt;1,"",AVERAGE('09월 에너지'!M$14:M$949))</f>
        <v>45.815140415140405</v>
      </c>
      <c r="CA37" s="908">
        <f>IF($B37&lt;1,"",AVERAGE('09월 에너지'!N$14:N$949))</f>
        <v>56165.518925518925</v>
      </c>
      <c r="CB37" s="908">
        <f>IF($B37&lt;1,"",AVERAGE('09월 에너지'!O$14:O$949))</f>
        <v>162.32656051437985</v>
      </c>
      <c r="CC37" s="908">
        <f>IF($B37&lt;1,"",AVERAGE('09월 에너지'!P$14:P$949))</f>
        <v>141.98608378666884</v>
      </c>
      <c r="CD37" s="908">
        <f>IF($B37&lt;1,"",AVERAGE('09월 에너지'!Q$14:Q$949))</f>
        <v>87.282332505126959</v>
      </c>
      <c r="CE37" s="908">
        <f>IF($B37&lt;1,"",AVERAGE('09월 에너지'!R$14:R$949))</f>
        <v>391.59497680617523</v>
      </c>
      <c r="CF37" s="908">
        <f>IF($B37&lt;1,"",AVERAGE('09월 에너지'!S$14:S$949))</f>
        <v>143.55623931623933</v>
      </c>
      <c r="CG37" s="908">
        <f>IF($B37&lt;1,"",AVERAGE('09월 에너지'!T$14:T$949))</f>
        <v>0.41514041514041516</v>
      </c>
      <c r="CH37" s="908">
        <f>IF($B37&lt;1,"",AVERAGE('09월 에너지'!U$14:U$949))</f>
        <v>71.655256723716377</v>
      </c>
      <c r="CI37" s="908">
        <f>IF($B37&lt;1,"",AVERAGE('09월 에너지'!V$14:V$949))</f>
        <v>288.31868131868134</v>
      </c>
      <c r="CJ37" s="908">
        <f>IF($B37&lt;1,"",AVERAGE('09월 에너지'!W$14:W$949))</f>
        <v>360.30158730158729</v>
      </c>
      <c r="CK37" s="908">
        <f>IF($B37&lt;1,"",AVERAGE('09월 에너지'!X$14:X$949))</f>
        <v>2.5141764137903677</v>
      </c>
      <c r="CL37" s="908">
        <f>IF($B37&lt;1,"",AVERAGE('09월 에너지'!Y$14:Y$949))</f>
        <v>1593.4322344322345</v>
      </c>
      <c r="CM37" s="908">
        <f>IF($B37&lt;1,"",AVERAGE('09월 에너지'!Z$14:Z$949))</f>
        <v>1378.949938949939</v>
      </c>
      <c r="CN37" s="908">
        <f>IF($B37&lt;1,"",AVERAGE('09월 에너지'!AA$14:AA$949))</f>
        <v>832.81440781440779</v>
      </c>
      <c r="CO37" s="908">
        <f>IF($B37&lt;1,"",AVERAGE('09월 에너지'!AB$14:AB$949))</f>
        <v>3805.1965811965811</v>
      </c>
      <c r="CP37" s="908">
        <f>IF($B37&lt;1,"",AVERAGE('09월 에너지'!AC$14:AC$949))</f>
        <v>26.532824280412875</v>
      </c>
      <c r="CQ37" s="908">
        <f>IF($B37&lt;1,"",AVERAGE('09월 에너지'!AD$14:AD$949))</f>
        <v>4165.4981684981685</v>
      </c>
      <c r="CR37" s="908">
        <f>IF($B37&lt;1,"",AVERAGE('09월 에너지'!AE$14:AE$949))</f>
        <v>29.047000694203206</v>
      </c>
      <c r="CS37" s="908">
        <f>IF($B37&lt;1,"",AVERAGE('09월 에너지'!AF$14:AF$949))</f>
        <v>80.881562881562886</v>
      </c>
      <c r="CT37" s="908">
        <f>IF($B37&lt;1,"",AVERAGE('09월 에너지'!AG$14:AG$949))</f>
        <v>63.247863247863251</v>
      </c>
      <c r="CU37" s="908">
        <f>IF($B37&lt;1,"",AVERAGE('09월 에너지'!AH$14:AH$949))</f>
        <v>8.7509157509157518</v>
      </c>
      <c r="CV37" s="908">
        <f>IF($B37&lt;1,"",AVERAGE('09월 에너지'!AI$14:AI$949))</f>
        <v>152.88034188034189</v>
      </c>
      <c r="CW37" s="911">
        <f>IF($B37&lt;1,"",AVERAGE('09월 에너지'!AJ$14:AJ$949))</f>
        <v>1.0653527742153845</v>
      </c>
    </row>
  </sheetData>
  <mergeCells count="39">
    <mergeCell ref="CQ3:CR3"/>
    <mergeCell ref="CS3:CW3"/>
    <mergeCell ref="BX3:BY3"/>
    <mergeCell ref="BZ3:CA3"/>
    <mergeCell ref="CB3:CE3"/>
    <mergeCell ref="CF3:CF4"/>
    <mergeCell ref="CG3:CK3"/>
    <mergeCell ref="CL3:CP3"/>
    <mergeCell ref="BV3:BW3"/>
    <mergeCell ref="AZ3:AZ4"/>
    <mergeCell ref="BA3:BD3"/>
    <mergeCell ref="BE3:BG3"/>
    <mergeCell ref="BH3:BI3"/>
    <mergeCell ref="BJ3:BK3"/>
    <mergeCell ref="BL3:BL4"/>
    <mergeCell ref="BM3:BP3"/>
    <mergeCell ref="BQ3:BQ4"/>
    <mergeCell ref="BR3:BR4"/>
    <mergeCell ref="BS3:BS4"/>
    <mergeCell ref="BT3:BU3"/>
    <mergeCell ref="AX3:AY3"/>
    <mergeCell ref="Q3:R3"/>
    <mergeCell ref="S3:S4"/>
    <mergeCell ref="T3:Y3"/>
    <mergeCell ref="Z3:AC3"/>
    <mergeCell ref="AD3:AM3"/>
    <mergeCell ref="AN3:AN4"/>
    <mergeCell ref="AO3:AP3"/>
    <mergeCell ref="AQ3:AQ4"/>
    <mergeCell ref="AR3:AS3"/>
    <mergeCell ref="AT3:AU3"/>
    <mergeCell ref="AV3:AW3"/>
    <mergeCell ref="A1:J1"/>
    <mergeCell ref="A3:A4"/>
    <mergeCell ref="B3:B4"/>
    <mergeCell ref="C3:E3"/>
    <mergeCell ref="F3:F4"/>
    <mergeCell ref="G3:G4"/>
    <mergeCell ref="I3:O3"/>
  </mergeCells>
  <phoneticPr fontId="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35"/>
  <sheetViews>
    <sheetView topLeftCell="AI17" zoomScale="60" zoomScaleNormal="60" workbookViewId="0">
      <selection activeCell="AT28" sqref="AT28"/>
    </sheetView>
  </sheetViews>
  <sheetFormatPr defaultRowHeight="14.4"/>
  <cols>
    <col min="1" max="3" width="3.69921875" customWidth="1"/>
    <col min="4" max="53" width="13.796875" customWidth="1"/>
  </cols>
  <sheetData>
    <row r="1" spans="2:53" ht="15" thickBot="1"/>
    <row r="2" spans="2:53" ht="13.5" customHeight="1">
      <c r="B2" s="1788" t="s">
        <v>510</v>
      </c>
      <c r="C2" s="1789"/>
      <c r="D2" s="1795">
        <v>46028</v>
      </c>
      <c r="E2" s="1796"/>
      <c r="F2" s="1796"/>
      <c r="G2" s="1796"/>
      <c r="H2" s="1796"/>
      <c r="I2" s="1796"/>
      <c r="J2" s="1796"/>
      <c r="K2" s="1796"/>
      <c r="L2" s="1796"/>
      <c r="M2" s="1797"/>
      <c r="N2" s="1795">
        <v>46031</v>
      </c>
      <c r="O2" s="1796"/>
      <c r="P2" s="1796"/>
      <c r="Q2" s="1796"/>
      <c r="R2" s="1796"/>
      <c r="S2" s="1796"/>
      <c r="T2" s="1796"/>
      <c r="U2" s="1796"/>
      <c r="V2" s="1796"/>
      <c r="W2" s="1797"/>
      <c r="X2" s="1795">
        <v>46034</v>
      </c>
      <c r="Y2" s="1796"/>
      <c r="Z2" s="1796"/>
      <c r="AA2" s="1796"/>
      <c r="AB2" s="1796"/>
      <c r="AC2" s="1796"/>
      <c r="AD2" s="1796"/>
      <c r="AE2" s="1796"/>
      <c r="AF2" s="1796"/>
      <c r="AG2" s="1797"/>
      <c r="AH2" s="1795">
        <v>46048</v>
      </c>
      <c r="AI2" s="1796"/>
      <c r="AJ2" s="1796"/>
      <c r="AK2" s="1796"/>
      <c r="AL2" s="1796"/>
      <c r="AM2" s="1796"/>
      <c r="AN2" s="1796"/>
      <c r="AO2" s="1796"/>
      <c r="AP2" s="1796"/>
      <c r="AQ2" s="1797"/>
      <c r="AR2" s="1795"/>
      <c r="AS2" s="1796"/>
      <c r="AT2" s="1796"/>
      <c r="AU2" s="1796"/>
      <c r="AV2" s="1796"/>
      <c r="AW2" s="1796"/>
      <c r="AX2" s="1796"/>
      <c r="AY2" s="1796"/>
      <c r="AZ2" s="1796"/>
      <c r="BA2" s="1797"/>
    </row>
    <row r="3" spans="2:53" ht="13.5" customHeight="1">
      <c r="B3" s="1790"/>
      <c r="C3" s="1791"/>
      <c r="D3" s="1798"/>
      <c r="E3" s="1799"/>
      <c r="F3" s="1799"/>
      <c r="G3" s="1799"/>
      <c r="H3" s="1799"/>
      <c r="I3" s="1799"/>
      <c r="J3" s="1799"/>
      <c r="K3" s="1799"/>
      <c r="L3" s="1799"/>
      <c r="M3" s="1800"/>
      <c r="N3" s="1798"/>
      <c r="O3" s="1799"/>
      <c r="P3" s="1799"/>
      <c r="Q3" s="1799"/>
      <c r="R3" s="1799"/>
      <c r="S3" s="1799"/>
      <c r="T3" s="1799"/>
      <c r="U3" s="1799"/>
      <c r="V3" s="1799"/>
      <c r="W3" s="1800"/>
      <c r="X3" s="1798"/>
      <c r="Y3" s="1799"/>
      <c r="Z3" s="1799"/>
      <c r="AA3" s="1799"/>
      <c r="AB3" s="1799"/>
      <c r="AC3" s="1799"/>
      <c r="AD3" s="1799"/>
      <c r="AE3" s="1799"/>
      <c r="AF3" s="1799"/>
      <c r="AG3" s="1800"/>
      <c r="AH3" s="1798"/>
      <c r="AI3" s="1799"/>
      <c r="AJ3" s="1799"/>
      <c r="AK3" s="1799"/>
      <c r="AL3" s="1799"/>
      <c r="AM3" s="1799"/>
      <c r="AN3" s="1799"/>
      <c r="AO3" s="1799"/>
      <c r="AP3" s="1799"/>
      <c r="AQ3" s="1800"/>
      <c r="AR3" s="1798"/>
      <c r="AS3" s="1799"/>
      <c r="AT3" s="1799"/>
      <c r="AU3" s="1799"/>
      <c r="AV3" s="1799"/>
      <c r="AW3" s="1799"/>
      <c r="AX3" s="1799"/>
      <c r="AY3" s="1799"/>
      <c r="AZ3" s="1799"/>
      <c r="BA3" s="1800"/>
    </row>
    <row r="4" spans="2:53" ht="14.25" customHeight="1" thickBot="1">
      <c r="B4" s="1790"/>
      <c r="C4" s="1791"/>
      <c r="D4" s="1801"/>
      <c r="E4" s="1802"/>
      <c r="F4" s="1802"/>
      <c r="G4" s="1802"/>
      <c r="H4" s="1802"/>
      <c r="I4" s="1802"/>
      <c r="J4" s="1802"/>
      <c r="K4" s="1802"/>
      <c r="L4" s="1802"/>
      <c r="M4" s="1803"/>
      <c r="N4" s="1801"/>
      <c r="O4" s="1802"/>
      <c r="P4" s="1802"/>
      <c r="Q4" s="1802"/>
      <c r="R4" s="1802"/>
      <c r="S4" s="1802"/>
      <c r="T4" s="1802"/>
      <c r="U4" s="1802"/>
      <c r="V4" s="1802"/>
      <c r="W4" s="1803"/>
      <c r="X4" s="1801"/>
      <c r="Y4" s="1802"/>
      <c r="Z4" s="1802"/>
      <c r="AA4" s="1802"/>
      <c r="AB4" s="1802"/>
      <c r="AC4" s="1802"/>
      <c r="AD4" s="1802"/>
      <c r="AE4" s="1802"/>
      <c r="AF4" s="1802"/>
      <c r="AG4" s="1803"/>
      <c r="AH4" s="1801"/>
      <c r="AI4" s="1802"/>
      <c r="AJ4" s="1802"/>
      <c r="AK4" s="1802"/>
      <c r="AL4" s="1802"/>
      <c r="AM4" s="1802"/>
      <c r="AN4" s="1802"/>
      <c r="AO4" s="1802"/>
      <c r="AP4" s="1802"/>
      <c r="AQ4" s="1803"/>
      <c r="AR4" s="1801"/>
      <c r="AS4" s="1802"/>
      <c r="AT4" s="1802"/>
      <c r="AU4" s="1802"/>
      <c r="AV4" s="1802"/>
      <c r="AW4" s="1802"/>
      <c r="AX4" s="1802"/>
      <c r="AY4" s="1802"/>
      <c r="AZ4" s="1802"/>
      <c r="BA4" s="1803"/>
    </row>
    <row r="5" spans="2:53" ht="13.5" customHeight="1">
      <c r="B5" s="1790"/>
      <c r="C5" s="1791"/>
      <c r="D5" s="1804" t="s">
        <v>115</v>
      </c>
      <c r="E5" s="1805"/>
      <c r="F5" s="1804" t="s">
        <v>497</v>
      </c>
      <c r="G5" s="1808"/>
      <c r="H5" s="1780" t="s">
        <v>498</v>
      </c>
      <c r="I5" s="1226"/>
      <c r="J5" s="1805" t="s">
        <v>116</v>
      </c>
      <c r="K5" s="1805"/>
      <c r="L5" s="1780" t="s">
        <v>496</v>
      </c>
      <c r="M5" s="1780" t="s">
        <v>25</v>
      </c>
      <c r="N5" s="1804" t="s">
        <v>115</v>
      </c>
      <c r="O5" s="1805"/>
      <c r="P5" s="1804" t="s">
        <v>497</v>
      </c>
      <c r="Q5" s="1808"/>
      <c r="R5" s="1780" t="s">
        <v>498</v>
      </c>
      <c r="S5" s="1226"/>
      <c r="T5" s="1805" t="s">
        <v>116</v>
      </c>
      <c r="U5" s="1805"/>
      <c r="V5" s="1780" t="s">
        <v>496</v>
      </c>
      <c r="W5" s="1780" t="s">
        <v>26</v>
      </c>
      <c r="X5" s="1804" t="s">
        <v>115</v>
      </c>
      <c r="Y5" s="1805"/>
      <c r="Z5" s="1804" t="s">
        <v>497</v>
      </c>
      <c r="AA5" s="1808"/>
      <c r="AB5" s="1780" t="s">
        <v>498</v>
      </c>
      <c r="AC5" s="1226"/>
      <c r="AD5" s="1805" t="s">
        <v>116</v>
      </c>
      <c r="AE5" s="1805"/>
      <c r="AF5" s="1780" t="s">
        <v>496</v>
      </c>
      <c r="AG5" s="1780" t="s">
        <v>25</v>
      </c>
      <c r="AH5" s="1804" t="s">
        <v>115</v>
      </c>
      <c r="AI5" s="1805"/>
      <c r="AJ5" s="1804" t="s">
        <v>497</v>
      </c>
      <c r="AK5" s="1808"/>
      <c r="AL5" s="1780" t="s">
        <v>498</v>
      </c>
      <c r="AM5" s="1226"/>
      <c r="AN5" s="1805" t="s">
        <v>116</v>
      </c>
      <c r="AO5" s="1805"/>
      <c r="AP5" s="1780" t="s">
        <v>496</v>
      </c>
      <c r="AQ5" s="1780" t="s">
        <v>26</v>
      </c>
      <c r="AR5" s="1804" t="s">
        <v>115</v>
      </c>
      <c r="AS5" s="1805"/>
      <c r="AT5" s="1804" t="s">
        <v>497</v>
      </c>
      <c r="AU5" s="1808"/>
      <c r="AV5" s="1780" t="s">
        <v>498</v>
      </c>
      <c r="AW5" s="1226"/>
      <c r="AX5" s="1805" t="s">
        <v>116</v>
      </c>
      <c r="AY5" s="1805"/>
      <c r="AZ5" s="1780" t="s">
        <v>496</v>
      </c>
      <c r="BA5" s="1780" t="s">
        <v>26</v>
      </c>
    </row>
    <row r="6" spans="2:53" ht="14.25" customHeight="1" thickBot="1">
      <c r="B6" s="1790"/>
      <c r="C6" s="1791"/>
      <c r="D6" s="1806"/>
      <c r="E6" s="1807"/>
      <c r="F6" s="1806"/>
      <c r="G6" s="1809"/>
      <c r="H6" s="1781"/>
      <c r="I6" s="1227"/>
      <c r="J6" s="1807"/>
      <c r="K6" s="1807"/>
      <c r="L6" s="1781"/>
      <c r="M6" s="1781"/>
      <c r="N6" s="1806"/>
      <c r="O6" s="1807"/>
      <c r="P6" s="1806"/>
      <c r="Q6" s="1809"/>
      <c r="R6" s="1781"/>
      <c r="S6" s="1227"/>
      <c r="T6" s="1807"/>
      <c r="U6" s="1807"/>
      <c r="V6" s="1781"/>
      <c r="W6" s="1781"/>
      <c r="X6" s="1806"/>
      <c r="Y6" s="1807"/>
      <c r="Z6" s="1806"/>
      <c r="AA6" s="1809"/>
      <c r="AB6" s="1781"/>
      <c r="AC6" s="1227"/>
      <c r="AD6" s="1807"/>
      <c r="AE6" s="1807"/>
      <c r="AF6" s="1781"/>
      <c r="AG6" s="1781"/>
      <c r="AH6" s="1806"/>
      <c r="AI6" s="1807"/>
      <c r="AJ6" s="1806"/>
      <c r="AK6" s="1809"/>
      <c r="AL6" s="1781"/>
      <c r="AM6" s="1227"/>
      <c r="AN6" s="1807"/>
      <c r="AO6" s="1807"/>
      <c r="AP6" s="1781"/>
      <c r="AQ6" s="1781"/>
      <c r="AR6" s="1806"/>
      <c r="AS6" s="1807"/>
      <c r="AT6" s="1806"/>
      <c r="AU6" s="1809"/>
      <c r="AV6" s="1781"/>
      <c r="AW6" s="1227"/>
      <c r="AX6" s="1807"/>
      <c r="AY6" s="1807"/>
      <c r="AZ6" s="1781"/>
      <c r="BA6" s="1781"/>
    </row>
    <row r="7" spans="2:53" ht="279" customHeight="1">
      <c r="B7" s="1790"/>
      <c r="C7" s="1791"/>
      <c r="D7" s="1782"/>
      <c r="E7" s="1783"/>
      <c r="F7" s="1783"/>
      <c r="G7" s="1783"/>
      <c r="H7" s="1784"/>
      <c r="I7" s="1785"/>
      <c r="J7" s="1786"/>
      <c r="K7" s="1786"/>
      <c r="L7" s="1786"/>
      <c r="M7" s="1787"/>
      <c r="N7" s="1782"/>
      <c r="O7" s="1783"/>
      <c r="P7" s="1783"/>
      <c r="Q7" s="1783"/>
      <c r="R7" s="1784"/>
      <c r="S7" s="1785"/>
      <c r="T7" s="1786"/>
      <c r="U7" s="1786"/>
      <c r="V7" s="1786"/>
      <c r="W7" s="1787"/>
      <c r="X7" s="1782"/>
      <c r="Y7" s="1783"/>
      <c r="Z7" s="1783"/>
      <c r="AA7" s="1783"/>
      <c r="AB7" s="1784"/>
      <c r="AC7" s="1785"/>
      <c r="AD7" s="1786"/>
      <c r="AE7" s="1786"/>
      <c r="AF7" s="1786"/>
      <c r="AG7" s="1787"/>
      <c r="AH7" s="1782"/>
      <c r="AI7" s="1783"/>
      <c r="AJ7" s="1783"/>
      <c r="AK7" s="1783"/>
      <c r="AL7" s="1784"/>
      <c r="AM7" s="1785"/>
      <c r="AN7" s="1786"/>
      <c r="AO7" s="1786"/>
      <c r="AP7" s="1786"/>
      <c r="AQ7" s="1787"/>
      <c r="AR7" s="1782"/>
      <c r="AS7" s="1783"/>
      <c r="AT7" s="1783"/>
      <c r="AU7" s="1783"/>
      <c r="AV7" s="1784"/>
      <c r="AW7" s="1785"/>
      <c r="AX7" s="1786"/>
      <c r="AY7" s="1786"/>
      <c r="AZ7" s="1786"/>
      <c r="BA7" s="1787"/>
    </row>
    <row r="8" spans="2:53" ht="294.75" customHeight="1" thickBot="1">
      <c r="B8" s="1790"/>
      <c r="C8" s="1791"/>
      <c r="D8" s="1810"/>
      <c r="E8" s="1811"/>
      <c r="F8" s="1811"/>
      <c r="G8" s="1811"/>
      <c r="H8" s="1812"/>
      <c r="I8" s="1813"/>
      <c r="J8" s="1814"/>
      <c r="K8" s="1814"/>
      <c r="L8" s="1814"/>
      <c r="M8" s="1815"/>
      <c r="N8" s="1810"/>
      <c r="O8" s="1811"/>
      <c r="P8" s="1811"/>
      <c r="Q8" s="1811"/>
      <c r="R8" s="1812"/>
      <c r="S8" s="1813"/>
      <c r="T8" s="1814"/>
      <c r="U8" s="1814"/>
      <c r="V8" s="1814"/>
      <c r="W8" s="1815"/>
      <c r="X8" s="1810"/>
      <c r="Y8" s="1811"/>
      <c r="Z8" s="1811"/>
      <c r="AA8" s="1811"/>
      <c r="AB8" s="1812"/>
      <c r="AC8" s="1813"/>
      <c r="AD8" s="1814"/>
      <c r="AE8" s="1814"/>
      <c r="AF8" s="1814"/>
      <c r="AG8" s="1815"/>
      <c r="AH8" s="1810"/>
      <c r="AI8" s="1811"/>
      <c r="AJ8" s="1811"/>
      <c r="AK8" s="1811"/>
      <c r="AL8" s="1812"/>
      <c r="AM8" s="1813"/>
      <c r="AN8" s="1814"/>
      <c r="AO8" s="1814"/>
      <c r="AP8" s="1814"/>
      <c r="AQ8" s="1815"/>
      <c r="AR8" s="1810"/>
      <c r="AS8" s="1811"/>
      <c r="AT8" s="1811"/>
      <c r="AU8" s="1811"/>
      <c r="AV8" s="1812"/>
      <c r="AW8" s="1813"/>
      <c r="AX8" s="1814"/>
      <c r="AY8" s="1814"/>
      <c r="AZ8" s="1814"/>
      <c r="BA8" s="1815"/>
    </row>
    <row r="9" spans="2:53" ht="39.9" customHeight="1" thickBot="1">
      <c r="B9" s="1790"/>
      <c r="C9" s="1792"/>
      <c r="D9" s="1212" t="s">
        <v>494</v>
      </c>
      <c r="E9" s="1816" t="s">
        <v>522</v>
      </c>
      <c r="F9" s="1817"/>
      <c r="G9" s="1213" t="s">
        <v>495</v>
      </c>
      <c r="H9" s="1214">
        <v>6550</v>
      </c>
      <c r="I9" s="1212" t="s">
        <v>494</v>
      </c>
      <c r="J9" s="1818" t="s">
        <v>523</v>
      </c>
      <c r="K9" s="1819"/>
      <c r="L9" s="1213" t="s">
        <v>495</v>
      </c>
      <c r="M9" s="1214">
        <v>6650</v>
      </c>
      <c r="N9" s="1212" t="s">
        <v>494</v>
      </c>
      <c r="O9" s="1816" t="s">
        <v>512</v>
      </c>
      <c r="P9" s="1817"/>
      <c r="Q9" s="1213" t="s">
        <v>495</v>
      </c>
      <c r="R9" s="1214">
        <v>6650</v>
      </c>
      <c r="S9" s="1212" t="s">
        <v>494</v>
      </c>
      <c r="T9" s="1818" t="s">
        <v>523</v>
      </c>
      <c r="U9" s="1819"/>
      <c r="V9" s="1213" t="s">
        <v>495</v>
      </c>
      <c r="W9" s="1214">
        <v>6500</v>
      </c>
      <c r="X9" s="1212" t="s">
        <v>494</v>
      </c>
      <c r="Y9" s="1816" t="s">
        <v>512</v>
      </c>
      <c r="Z9" s="1817"/>
      <c r="AA9" s="1213" t="s">
        <v>495</v>
      </c>
      <c r="AB9" s="1214">
        <v>6500</v>
      </c>
      <c r="AC9" s="1212" t="s">
        <v>494</v>
      </c>
      <c r="AD9" s="1818" t="s">
        <v>524</v>
      </c>
      <c r="AE9" s="1819"/>
      <c r="AF9" s="1213" t="s">
        <v>495</v>
      </c>
      <c r="AG9" s="1214">
        <v>6600</v>
      </c>
      <c r="AH9" s="1212" t="s">
        <v>494</v>
      </c>
      <c r="AI9" s="1816" t="s">
        <v>513</v>
      </c>
      <c r="AJ9" s="1817"/>
      <c r="AK9" s="1213" t="s">
        <v>495</v>
      </c>
      <c r="AL9" s="1214">
        <v>6700</v>
      </c>
      <c r="AM9" s="1212" t="s">
        <v>494</v>
      </c>
      <c r="AN9" s="1818" t="s">
        <v>511</v>
      </c>
      <c r="AO9" s="1819"/>
      <c r="AP9" s="1213" t="s">
        <v>495</v>
      </c>
      <c r="AQ9" s="1214">
        <v>6750</v>
      </c>
      <c r="AR9" s="1212" t="s">
        <v>494</v>
      </c>
      <c r="AS9" s="1816"/>
      <c r="AT9" s="1817"/>
      <c r="AU9" s="1213" t="s">
        <v>495</v>
      </c>
      <c r="AV9" s="1214"/>
      <c r="AW9" s="1212" t="s">
        <v>494</v>
      </c>
      <c r="AX9" s="1818"/>
      <c r="AY9" s="1819"/>
      <c r="AZ9" s="1213" t="s">
        <v>495</v>
      </c>
      <c r="BA9" s="1214"/>
    </row>
    <row r="10" spans="2:53" ht="21" customHeight="1">
      <c r="B10" s="1790"/>
      <c r="C10" s="1792"/>
      <c r="D10" s="1218" t="s">
        <v>115</v>
      </c>
      <c r="E10" s="1219" t="s">
        <v>478</v>
      </c>
      <c r="F10" s="1219" t="s">
        <v>473</v>
      </c>
      <c r="G10" s="1219" t="s">
        <v>514</v>
      </c>
      <c r="H10" s="1224" t="s">
        <v>474</v>
      </c>
      <c r="I10" s="1218" t="s">
        <v>116</v>
      </c>
      <c r="J10" s="1219" t="s">
        <v>478</v>
      </c>
      <c r="K10" s="1219" t="s">
        <v>473</v>
      </c>
      <c r="L10" s="1219" t="s">
        <v>514</v>
      </c>
      <c r="M10" s="1220" t="s">
        <v>474</v>
      </c>
      <c r="N10" s="1218" t="s">
        <v>115</v>
      </c>
      <c r="O10" s="1219" t="s">
        <v>478</v>
      </c>
      <c r="P10" s="1219" t="s">
        <v>473</v>
      </c>
      <c r="Q10" s="1219" t="s">
        <v>514</v>
      </c>
      <c r="R10" s="1224" t="s">
        <v>474</v>
      </c>
      <c r="S10" s="1218" t="s">
        <v>116</v>
      </c>
      <c r="T10" s="1219" t="s">
        <v>478</v>
      </c>
      <c r="U10" s="1219" t="s">
        <v>473</v>
      </c>
      <c r="V10" s="1219" t="s">
        <v>514</v>
      </c>
      <c r="W10" s="1220" t="s">
        <v>474</v>
      </c>
      <c r="X10" s="1218" t="s">
        <v>115</v>
      </c>
      <c r="Y10" s="1219" t="s">
        <v>478</v>
      </c>
      <c r="Z10" s="1219" t="s">
        <v>473</v>
      </c>
      <c r="AA10" s="1219" t="s">
        <v>514</v>
      </c>
      <c r="AB10" s="1224" t="s">
        <v>474</v>
      </c>
      <c r="AC10" s="1218" t="s">
        <v>116</v>
      </c>
      <c r="AD10" s="1219" t="s">
        <v>478</v>
      </c>
      <c r="AE10" s="1219" t="s">
        <v>473</v>
      </c>
      <c r="AF10" s="1219" t="s">
        <v>514</v>
      </c>
      <c r="AG10" s="1220" t="s">
        <v>474</v>
      </c>
      <c r="AH10" s="1218" t="s">
        <v>115</v>
      </c>
      <c r="AI10" s="1219" t="s">
        <v>478</v>
      </c>
      <c r="AJ10" s="1219" t="s">
        <v>473</v>
      </c>
      <c r="AK10" s="1219" t="s">
        <v>514</v>
      </c>
      <c r="AL10" s="1224" t="s">
        <v>474</v>
      </c>
      <c r="AM10" s="1218" t="s">
        <v>116</v>
      </c>
      <c r="AN10" s="1219" t="s">
        <v>478</v>
      </c>
      <c r="AO10" s="1219" t="s">
        <v>473</v>
      </c>
      <c r="AP10" s="1219" t="s">
        <v>514</v>
      </c>
      <c r="AQ10" s="1220" t="s">
        <v>474</v>
      </c>
      <c r="AR10" s="1218" t="s">
        <v>115</v>
      </c>
      <c r="AS10" s="1219" t="s">
        <v>478</v>
      </c>
      <c r="AT10" s="1219" t="s">
        <v>473</v>
      </c>
      <c r="AU10" s="1219" t="s">
        <v>514</v>
      </c>
      <c r="AV10" s="1224" t="s">
        <v>474</v>
      </c>
      <c r="AW10" s="1218" t="s">
        <v>116</v>
      </c>
      <c r="AX10" s="1219" t="s">
        <v>478</v>
      </c>
      <c r="AY10" s="1219" t="s">
        <v>473</v>
      </c>
      <c r="AZ10" s="1219" t="s">
        <v>514</v>
      </c>
      <c r="BA10" s="1220" t="s">
        <v>474</v>
      </c>
    </row>
    <row r="11" spans="2:53" ht="20.25" customHeight="1">
      <c r="B11" s="1790"/>
      <c r="C11" s="1792"/>
      <c r="D11" s="1223" t="s">
        <v>476</v>
      </c>
      <c r="E11" s="1216">
        <v>450</v>
      </c>
      <c r="F11" s="1217">
        <f>E11-(F12-E12)</f>
        <v>350</v>
      </c>
      <c r="G11" s="1820">
        <f>G14+H14</f>
        <v>501</v>
      </c>
      <c r="H11" s="1821">
        <f>(E11-F11)/G11</f>
        <v>0.19960079840319361</v>
      </c>
      <c r="I11" s="1223" t="s">
        <v>476</v>
      </c>
      <c r="J11" s="1216">
        <v>450</v>
      </c>
      <c r="K11" s="1217">
        <f>J11-(K12-J12)</f>
        <v>250</v>
      </c>
      <c r="L11" s="1820">
        <f>L14+M14</f>
        <v>852</v>
      </c>
      <c r="M11" s="1822">
        <f>(J11-K11)/L11</f>
        <v>0.23474178403755869</v>
      </c>
      <c r="N11" s="1223" t="s">
        <v>476</v>
      </c>
      <c r="O11" s="1216">
        <v>450</v>
      </c>
      <c r="P11" s="1217">
        <f>O11-(P12-O12)</f>
        <v>350</v>
      </c>
      <c r="Q11" s="1820">
        <f>Q14+R14</f>
        <v>542</v>
      </c>
      <c r="R11" s="1821">
        <f>(O11-P11)/Q11</f>
        <v>0.18450184501845018</v>
      </c>
      <c r="S11" s="1223" t="s">
        <v>476</v>
      </c>
      <c r="T11" s="1216">
        <v>450</v>
      </c>
      <c r="U11" s="1217">
        <f>T11-(U12-T12)</f>
        <v>340</v>
      </c>
      <c r="V11" s="1820">
        <f>V14+W14</f>
        <v>894</v>
      </c>
      <c r="W11" s="1822">
        <f>(T11-U11)/V11</f>
        <v>0.12304250559284116</v>
      </c>
      <c r="X11" s="1223" t="s">
        <v>476</v>
      </c>
      <c r="Y11" s="1216">
        <v>450</v>
      </c>
      <c r="Z11" s="1217">
        <f>Y11-(Z12-Y12)</f>
        <v>350</v>
      </c>
      <c r="AA11" s="1820">
        <f>AA14+AB14</f>
        <v>582</v>
      </c>
      <c r="AB11" s="1821">
        <f>(Y11-Z11)/AA11</f>
        <v>0.1718213058419244</v>
      </c>
      <c r="AC11" s="1223" t="s">
        <v>476</v>
      </c>
      <c r="AD11" s="1216">
        <v>450</v>
      </c>
      <c r="AE11" s="1217">
        <f>AD11-(AE12-AD12)</f>
        <v>320</v>
      </c>
      <c r="AF11" s="1820">
        <f>AF14+AG14</f>
        <v>933</v>
      </c>
      <c r="AG11" s="1822">
        <f>(AD11-AE11)/AF11</f>
        <v>0.13933547695605572</v>
      </c>
      <c r="AH11" s="1223" t="s">
        <v>476</v>
      </c>
      <c r="AI11" s="1216">
        <v>450</v>
      </c>
      <c r="AJ11" s="1217">
        <f>AI11-(AJ12-AI12)</f>
        <v>350</v>
      </c>
      <c r="AK11" s="1820">
        <f>AK14+AL14</f>
        <v>764</v>
      </c>
      <c r="AL11" s="1821">
        <f>(AI11-AJ11)/AK11</f>
        <v>0.13089005235602094</v>
      </c>
      <c r="AM11" s="1223" t="s">
        <v>476</v>
      </c>
      <c r="AN11" s="1216">
        <v>450</v>
      </c>
      <c r="AO11" s="1217">
        <f>AN11-(AO12-AN12)</f>
        <v>350</v>
      </c>
      <c r="AP11" s="1820">
        <f>AP14+AQ14</f>
        <v>1116</v>
      </c>
      <c r="AQ11" s="1822">
        <f>(AN11-AO11)/AP11</f>
        <v>8.9605734767025089E-2</v>
      </c>
      <c r="AR11" s="1223" t="s">
        <v>476</v>
      </c>
      <c r="AS11" s="1216">
        <v>450</v>
      </c>
      <c r="AT11" s="1217">
        <f>AS11-(AT12-AS12)</f>
        <v>1600</v>
      </c>
      <c r="AU11" s="1820">
        <f>AU14+AV14</f>
        <v>1024</v>
      </c>
      <c r="AV11" s="1821">
        <f>(AS11-AT11)/AU11</f>
        <v>-1.123046875</v>
      </c>
      <c r="AW11" s="1223" t="s">
        <v>476</v>
      </c>
      <c r="AX11" s="1216">
        <v>450</v>
      </c>
      <c r="AY11" s="1217">
        <f>AX11-(AY12-AX12)</f>
        <v>1600</v>
      </c>
      <c r="AZ11" s="1820">
        <f>AZ14+BA14</f>
        <v>36</v>
      </c>
      <c r="BA11" s="1822">
        <f>(AX11-AY11)/AZ11</f>
        <v>-31.944444444444443</v>
      </c>
    </row>
    <row r="12" spans="2:53" ht="21" customHeight="1">
      <c r="B12" s="1790"/>
      <c r="C12" s="1792"/>
      <c r="D12" s="1223" t="s">
        <v>509</v>
      </c>
      <c r="E12" s="1216">
        <v>1150</v>
      </c>
      <c r="F12" s="1217">
        <v>1250</v>
      </c>
      <c r="G12" s="1820"/>
      <c r="H12" s="1821"/>
      <c r="I12" s="1223" t="s">
        <v>509</v>
      </c>
      <c r="J12" s="1216">
        <v>1150</v>
      </c>
      <c r="K12" s="1217">
        <v>1350</v>
      </c>
      <c r="L12" s="1820"/>
      <c r="M12" s="1822"/>
      <c r="N12" s="1223" t="s">
        <v>509</v>
      </c>
      <c r="O12" s="1216">
        <v>1150</v>
      </c>
      <c r="P12" s="1217">
        <v>1250</v>
      </c>
      <c r="Q12" s="1820"/>
      <c r="R12" s="1821"/>
      <c r="S12" s="1223" t="s">
        <v>509</v>
      </c>
      <c r="T12" s="1216">
        <v>1150</v>
      </c>
      <c r="U12" s="1217">
        <v>1260</v>
      </c>
      <c r="V12" s="1820"/>
      <c r="W12" s="1822"/>
      <c r="X12" s="1223" t="s">
        <v>509</v>
      </c>
      <c r="Y12" s="1216">
        <v>1150</v>
      </c>
      <c r="Z12" s="1217">
        <v>1250</v>
      </c>
      <c r="AA12" s="1820"/>
      <c r="AB12" s="1821"/>
      <c r="AC12" s="1223" t="s">
        <v>509</v>
      </c>
      <c r="AD12" s="1216">
        <v>1150</v>
      </c>
      <c r="AE12" s="1217">
        <v>1280</v>
      </c>
      <c r="AF12" s="1820"/>
      <c r="AG12" s="1822"/>
      <c r="AH12" s="1223" t="s">
        <v>509</v>
      </c>
      <c r="AI12" s="1216">
        <v>1150</v>
      </c>
      <c r="AJ12" s="1217">
        <v>1250</v>
      </c>
      <c r="AK12" s="1820"/>
      <c r="AL12" s="1821"/>
      <c r="AM12" s="1223" t="s">
        <v>509</v>
      </c>
      <c r="AN12" s="1216">
        <v>1150</v>
      </c>
      <c r="AO12" s="1217">
        <v>1250</v>
      </c>
      <c r="AP12" s="1820"/>
      <c r="AQ12" s="1822"/>
      <c r="AR12" s="1223" t="s">
        <v>509</v>
      </c>
      <c r="AS12" s="1216">
        <v>1150</v>
      </c>
      <c r="AT12" s="1217"/>
      <c r="AU12" s="1820"/>
      <c r="AV12" s="1821"/>
      <c r="AW12" s="1223" t="s">
        <v>509</v>
      </c>
      <c r="AX12" s="1216">
        <v>1150</v>
      </c>
      <c r="AY12" s="1217"/>
      <c r="AZ12" s="1820"/>
      <c r="BA12" s="1822"/>
    </row>
    <row r="13" spans="2:53" ht="21" customHeight="1">
      <c r="B13" s="1790"/>
      <c r="C13" s="1792"/>
      <c r="D13" s="1221" t="s">
        <v>105</v>
      </c>
      <c r="E13" s="1215" t="s">
        <v>477</v>
      </c>
      <c r="F13" s="1215" t="s">
        <v>475</v>
      </c>
      <c r="G13" s="1215" t="s">
        <v>508</v>
      </c>
      <c r="H13" s="1225" t="s">
        <v>492</v>
      </c>
      <c r="I13" s="1221" t="s">
        <v>105</v>
      </c>
      <c r="J13" s="1215" t="s">
        <v>477</v>
      </c>
      <c r="K13" s="1215" t="s">
        <v>475</v>
      </c>
      <c r="L13" s="1215" t="s">
        <v>508</v>
      </c>
      <c r="M13" s="1222" t="s">
        <v>492</v>
      </c>
      <c r="N13" s="1221" t="s">
        <v>105</v>
      </c>
      <c r="O13" s="1215" t="s">
        <v>477</v>
      </c>
      <c r="P13" s="1215" t="s">
        <v>475</v>
      </c>
      <c r="Q13" s="1215" t="s">
        <v>508</v>
      </c>
      <c r="R13" s="1225" t="s">
        <v>492</v>
      </c>
      <c r="S13" s="1221" t="s">
        <v>105</v>
      </c>
      <c r="T13" s="1215" t="s">
        <v>477</v>
      </c>
      <c r="U13" s="1215" t="s">
        <v>475</v>
      </c>
      <c r="V13" s="1215" t="s">
        <v>508</v>
      </c>
      <c r="W13" s="1222" t="s">
        <v>492</v>
      </c>
      <c r="X13" s="1221" t="s">
        <v>105</v>
      </c>
      <c r="Y13" s="1215" t="s">
        <v>477</v>
      </c>
      <c r="Z13" s="1215" t="s">
        <v>475</v>
      </c>
      <c r="AA13" s="1215" t="s">
        <v>508</v>
      </c>
      <c r="AB13" s="1225" t="s">
        <v>492</v>
      </c>
      <c r="AC13" s="1221" t="s">
        <v>105</v>
      </c>
      <c r="AD13" s="1215" t="s">
        <v>477</v>
      </c>
      <c r="AE13" s="1215" t="s">
        <v>475</v>
      </c>
      <c r="AF13" s="1215" t="s">
        <v>508</v>
      </c>
      <c r="AG13" s="1222" t="s">
        <v>492</v>
      </c>
      <c r="AH13" s="1221" t="s">
        <v>105</v>
      </c>
      <c r="AI13" s="1215" t="s">
        <v>477</v>
      </c>
      <c r="AJ13" s="1215" t="s">
        <v>475</v>
      </c>
      <c r="AK13" s="1215" t="s">
        <v>508</v>
      </c>
      <c r="AL13" s="1225" t="s">
        <v>492</v>
      </c>
      <c r="AM13" s="1221" t="s">
        <v>105</v>
      </c>
      <c r="AN13" s="1215" t="s">
        <v>477</v>
      </c>
      <c r="AO13" s="1215" t="s">
        <v>475</v>
      </c>
      <c r="AP13" s="1215" t="s">
        <v>508</v>
      </c>
      <c r="AQ13" s="1222" t="s">
        <v>492</v>
      </c>
      <c r="AR13" s="1221" t="s">
        <v>105</v>
      </c>
      <c r="AS13" s="1215" t="s">
        <v>477</v>
      </c>
      <c r="AT13" s="1215" t="s">
        <v>475</v>
      </c>
      <c r="AU13" s="1215" t="s">
        <v>508</v>
      </c>
      <c r="AV13" s="1225" t="s">
        <v>492</v>
      </c>
      <c r="AW13" s="1221" t="s">
        <v>105</v>
      </c>
      <c r="AX13" s="1215" t="s">
        <v>477</v>
      </c>
      <c r="AY13" s="1215" t="s">
        <v>475</v>
      </c>
      <c r="AZ13" s="1215" t="s">
        <v>508</v>
      </c>
      <c r="BA13" s="1222" t="s">
        <v>492</v>
      </c>
    </row>
    <row r="14" spans="2:53" ht="20.25" customHeight="1">
      <c r="B14" s="1790"/>
      <c r="C14" s="1792"/>
      <c r="D14" s="1223" t="s">
        <v>476</v>
      </c>
      <c r="E14" s="1216">
        <v>100</v>
      </c>
      <c r="F14" s="1823">
        <f>(E15-E12)/H11</f>
        <v>1753.5</v>
      </c>
      <c r="G14" s="1820">
        <v>421</v>
      </c>
      <c r="H14" s="1826">
        <v>80</v>
      </c>
      <c r="I14" s="1223" t="s">
        <v>476</v>
      </c>
      <c r="J14" s="1216">
        <v>100</v>
      </c>
      <c r="K14" s="1823">
        <f>(J15-J12)/M11</f>
        <v>1491</v>
      </c>
      <c r="L14" s="1820">
        <v>775</v>
      </c>
      <c r="M14" s="1828">
        <v>77</v>
      </c>
      <c r="N14" s="1223" t="s">
        <v>476</v>
      </c>
      <c r="O14" s="1216">
        <v>100</v>
      </c>
      <c r="P14" s="1823">
        <f>(O15-O12)/R11</f>
        <v>1897</v>
      </c>
      <c r="Q14" s="1820">
        <v>421</v>
      </c>
      <c r="R14" s="1826">
        <v>121</v>
      </c>
      <c r="S14" s="1223" t="s">
        <v>476</v>
      </c>
      <c r="T14" s="1216">
        <v>100</v>
      </c>
      <c r="U14" s="1823">
        <f>(T15-T12)/W11</f>
        <v>2844.5454545454545</v>
      </c>
      <c r="V14" s="1820">
        <v>775</v>
      </c>
      <c r="W14" s="1828">
        <v>119</v>
      </c>
      <c r="X14" s="1223" t="s">
        <v>476</v>
      </c>
      <c r="Y14" s="1216">
        <v>100</v>
      </c>
      <c r="Z14" s="1823">
        <f>(Y15-Y12)/AB11</f>
        <v>2037</v>
      </c>
      <c r="AA14" s="1820">
        <v>421</v>
      </c>
      <c r="AB14" s="1826">
        <v>161</v>
      </c>
      <c r="AC14" s="1223" t="s">
        <v>476</v>
      </c>
      <c r="AD14" s="1216">
        <v>100</v>
      </c>
      <c r="AE14" s="1823">
        <f>(AD15-AD12)/AG11</f>
        <v>2511.9230769230771</v>
      </c>
      <c r="AF14" s="1820">
        <v>775</v>
      </c>
      <c r="AG14" s="1828">
        <v>158</v>
      </c>
      <c r="AH14" s="1223" t="s">
        <v>476</v>
      </c>
      <c r="AI14" s="1216">
        <v>100</v>
      </c>
      <c r="AJ14" s="1823">
        <f>(AI15-AI12)/AL11</f>
        <v>2674</v>
      </c>
      <c r="AK14" s="1820">
        <v>421</v>
      </c>
      <c r="AL14" s="1826">
        <v>343</v>
      </c>
      <c r="AM14" s="1223" t="s">
        <v>476</v>
      </c>
      <c r="AN14" s="1216">
        <v>100</v>
      </c>
      <c r="AO14" s="1823">
        <f>(AN15-AN12)/AQ11</f>
        <v>3906</v>
      </c>
      <c r="AP14" s="1820">
        <v>775</v>
      </c>
      <c r="AQ14" s="1828">
        <v>341</v>
      </c>
      <c r="AR14" s="1223" t="s">
        <v>476</v>
      </c>
      <c r="AS14" s="1216">
        <v>100</v>
      </c>
      <c r="AT14" s="1823">
        <f>(AS15-AS12)/AV11</f>
        <v>-311.6521739130435</v>
      </c>
      <c r="AU14" s="1820">
        <v>1024</v>
      </c>
      <c r="AV14" s="1826"/>
      <c r="AW14" s="1223" t="s">
        <v>476</v>
      </c>
      <c r="AX14" s="1216">
        <v>100</v>
      </c>
      <c r="AY14" s="1823" t="e">
        <f>(AX15-AS15)/AV14</f>
        <v>#DIV/0!</v>
      </c>
      <c r="AZ14" s="1820">
        <v>36</v>
      </c>
      <c r="BA14" s="1828"/>
    </row>
    <row r="15" spans="2:53" ht="21" customHeight="1" thickBot="1">
      <c r="B15" s="1793"/>
      <c r="C15" s="1794"/>
      <c r="D15" s="1230" t="s">
        <v>509</v>
      </c>
      <c r="E15" s="1211">
        <v>1500</v>
      </c>
      <c r="F15" s="1824"/>
      <c r="G15" s="1825"/>
      <c r="H15" s="1827"/>
      <c r="I15" s="1230" t="s">
        <v>509</v>
      </c>
      <c r="J15" s="1211">
        <v>1500</v>
      </c>
      <c r="K15" s="1824"/>
      <c r="L15" s="1825"/>
      <c r="M15" s="1829"/>
      <c r="N15" s="1230" t="s">
        <v>509</v>
      </c>
      <c r="O15" s="1211">
        <v>1500</v>
      </c>
      <c r="P15" s="1824"/>
      <c r="Q15" s="1825"/>
      <c r="R15" s="1827"/>
      <c r="S15" s="1230" t="s">
        <v>509</v>
      </c>
      <c r="T15" s="1211">
        <v>1500</v>
      </c>
      <c r="U15" s="1824"/>
      <c r="V15" s="1825"/>
      <c r="W15" s="1829"/>
      <c r="X15" s="1230" t="s">
        <v>509</v>
      </c>
      <c r="Y15" s="1211">
        <v>1500</v>
      </c>
      <c r="Z15" s="1824"/>
      <c r="AA15" s="1825"/>
      <c r="AB15" s="1827"/>
      <c r="AC15" s="1230" t="s">
        <v>509</v>
      </c>
      <c r="AD15" s="1211">
        <v>1500</v>
      </c>
      <c r="AE15" s="1824"/>
      <c r="AF15" s="1825"/>
      <c r="AG15" s="1829"/>
      <c r="AH15" s="1230" t="s">
        <v>509</v>
      </c>
      <c r="AI15" s="1211">
        <v>1500</v>
      </c>
      <c r="AJ15" s="1824"/>
      <c r="AK15" s="1825"/>
      <c r="AL15" s="1827"/>
      <c r="AM15" s="1230" t="s">
        <v>509</v>
      </c>
      <c r="AN15" s="1211">
        <v>1500</v>
      </c>
      <c r="AO15" s="1824"/>
      <c r="AP15" s="1825"/>
      <c r="AQ15" s="1829"/>
      <c r="AR15" s="1223" t="s">
        <v>509</v>
      </c>
      <c r="AS15" s="1211">
        <v>1500</v>
      </c>
      <c r="AT15" s="1824"/>
      <c r="AU15" s="1825"/>
      <c r="AV15" s="1827"/>
      <c r="AW15" s="1223" t="s">
        <v>509</v>
      </c>
      <c r="AX15" s="1211">
        <v>1500</v>
      </c>
      <c r="AY15" s="1824"/>
      <c r="AZ15" s="1825"/>
      <c r="BA15" s="1829"/>
    </row>
    <row r="16" spans="2:53" ht="14.25" customHeight="1" thickBot="1">
      <c r="B16" s="1206"/>
      <c r="C16" s="1206"/>
    </row>
    <row r="17" spans="2:53" ht="13.5" customHeight="1">
      <c r="B17" s="1834" t="s">
        <v>493</v>
      </c>
      <c r="C17" s="1835"/>
      <c r="D17" s="1795">
        <v>46269</v>
      </c>
      <c r="E17" s="1796"/>
      <c r="F17" s="1796"/>
      <c r="G17" s="1796"/>
      <c r="H17" s="1796"/>
      <c r="I17" s="1796"/>
      <c r="J17" s="1796"/>
      <c r="K17" s="1796"/>
      <c r="L17" s="1796"/>
      <c r="M17" s="1797"/>
      <c r="N17" s="1795">
        <v>46275</v>
      </c>
      <c r="O17" s="1796"/>
      <c r="P17" s="1796"/>
      <c r="Q17" s="1796"/>
      <c r="R17" s="1796"/>
      <c r="S17" s="1796"/>
      <c r="T17" s="1796"/>
      <c r="U17" s="1796"/>
      <c r="V17" s="1796"/>
      <c r="W17" s="1797"/>
      <c r="X17" s="1795">
        <v>46280</v>
      </c>
      <c r="Y17" s="1796"/>
      <c r="Z17" s="1796"/>
      <c r="AA17" s="1796"/>
      <c r="AB17" s="1796"/>
      <c r="AC17" s="1796"/>
      <c r="AD17" s="1796"/>
      <c r="AE17" s="1796"/>
      <c r="AF17" s="1796"/>
      <c r="AG17" s="1797"/>
      <c r="AH17" s="1795">
        <v>46287</v>
      </c>
      <c r="AI17" s="1796"/>
      <c r="AJ17" s="1796"/>
      <c r="AK17" s="1796"/>
      <c r="AL17" s="1796"/>
      <c r="AM17" s="1796"/>
      <c r="AN17" s="1796"/>
      <c r="AO17" s="1796"/>
      <c r="AP17" s="1796"/>
      <c r="AQ17" s="1797"/>
      <c r="AR17" s="1795">
        <v>46293</v>
      </c>
      <c r="AS17" s="1796"/>
      <c r="AT17" s="1796"/>
      <c r="AU17" s="1796"/>
      <c r="AV17" s="1796"/>
      <c r="AW17" s="1796"/>
      <c r="AX17" s="1796"/>
      <c r="AY17" s="1796"/>
      <c r="AZ17" s="1796"/>
      <c r="BA17" s="1797"/>
    </row>
    <row r="18" spans="2:53" ht="13.5" customHeight="1">
      <c r="B18" s="1836"/>
      <c r="C18" s="1837"/>
      <c r="D18" s="1798"/>
      <c r="E18" s="1799"/>
      <c r="F18" s="1799"/>
      <c r="G18" s="1799"/>
      <c r="H18" s="1799"/>
      <c r="I18" s="1799"/>
      <c r="J18" s="1799"/>
      <c r="K18" s="1799"/>
      <c r="L18" s="1799"/>
      <c r="M18" s="1800"/>
      <c r="N18" s="1798"/>
      <c r="O18" s="1799"/>
      <c r="P18" s="1799"/>
      <c r="Q18" s="1799"/>
      <c r="R18" s="1799"/>
      <c r="S18" s="1799"/>
      <c r="T18" s="1799"/>
      <c r="U18" s="1799"/>
      <c r="V18" s="1799"/>
      <c r="W18" s="1800"/>
      <c r="X18" s="1798"/>
      <c r="Y18" s="1799"/>
      <c r="Z18" s="1799"/>
      <c r="AA18" s="1799"/>
      <c r="AB18" s="1799"/>
      <c r="AC18" s="1799"/>
      <c r="AD18" s="1799"/>
      <c r="AE18" s="1799"/>
      <c r="AF18" s="1799"/>
      <c r="AG18" s="1800"/>
      <c r="AH18" s="1798"/>
      <c r="AI18" s="1799"/>
      <c r="AJ18" s="1799"/>
      <c r="AK18" s="1799"/>
      <c r="AL18" s="1799"/>
      <c r="AM18" s="1799"/>
      <c r="AN18" s="1799"/>
      <c r="AO18" s="1799"/>
      <c r="AP18" s="1799"/>
      <c r="AQ18" s="1800"/>
      <c r="AR18" s="1798"/>
      <c r="AS18" s="1799"/>
      <c r="AT18" s="1799"/>
      <c r="AU18" s="1799"/>
      <c r="AV18" s="1799"/>
      <c r="AW18" s="1799"/>
      <c r="AX18" s="1799"/>
      <c r="AY18" s="1799"/>
      <c r="AZ18" s="1799"/>
      <c r="BA18" s="1800"/>
    </row>
    <row r="19" spans="2:53" ht="14.25" customHeight="1" thickBot="1">
      <c r="B19" s="1836"/>
      <c r="C19" s="1837"/>
      <c r="D19" s="1801"/>
      <c r="E19" s="1802"/>
      <c r="F19" s="1802"/>
      <c r="G19" s="1802"/>
      <c r="H19" s="1802"/>
      <c r="I19" s="1802"/>
      <c r="J19" s="1802"/>
      <c r="K19" s="1802"/>
      <c r="L19" s="1802"/>
      <c r="M19" s="1803"/>
      <c r="N19" s="1801"/>
      <c r="O19" s="1802"/>
      <c r="P19" s="1802"/>
      <c r="Q19" s="1802"/>
      <c r="R19" s="1802"/>
      <c r="S19" s="1802"/>
      <c r="T19" s="1802"/>
      <c r="U19" s="1802"/>
      <c r="V19" s="1802"/>
      <c r="W19" s="1803"/>
      <c r="X19" s="1801"/>
      <c r="Y19" s="1802"/>
      <c r="Z19" s="1802"/>
      <c r="AA19" s="1802"/>
      <c r="AB19" s="1802"/>
      <c r="AC19" s="1802"/>
      <c r="AD19" s="1802"/>
      <c r="AE19" s="1802"/>
      <c r="AF19" s="1802"/>
      <c r="AG19" s="1803"/>
      <c r="AH19" s="1801"/>
      <c r="AI19" s="1802"/>
      <c r="AJ19" s="1802"/>
      <c r="AK19" s="1802"/>
      <c r="AL19" s="1802"/>
      <c r="AM19" s="1802"/>
      <c r="AN19" s="1802"/>
      <c r="AO19" s="1802"/>
      <c r="AP19" s="1802"/>
      <c r="AQ19" s="1803"/>
      <c r="AR19" s="1801"/>
      <c r="AS19" s="1802"/>
      <c r="AT19" s="1802"/>
      <c r="AU19" s="1802"/>
      <c r="AV19" s="1802"/>
      <c r="AW19" s="1802"/>
      <c r="AX19" s="1802"/>
      <c r="AY19" s="1802"/>
      <c r="AZ19" s="1802"/>
      <c r="BA19" s="1803"/>
    </row>
    <row r="20" spans="2:53" ht="13.5" customHeight="1">
      <c r="B20" s="1836"/>
      <c r="C20" s="1837"/>
      <c r="D20" s="1804" t="s">
        <v>115</v>
      </c>
      <c r="E20" s="1805"/>
      <c r="F20" s="1804" t="s">
        <v>497</v>
      </c>
      <c r="G20" s="1808"/>
      <c r="H20" s="1780" t="s">
        <v>498</v>
      </c>
      <c r="I20" s="1804" t="s">
        <v>116</v>
      </c>
      <c r="J20" s="1805"/>
      <c r="K20" s="1804" t="s">
        <v>496</v>
      </c>
      <c r="L20" s="1808"/>
      <c r="M20" s="1780" t="s">
        <v>26</v>
      </c>
      <c r="N20" s="1804" t="s">
        <v>115</v>
      </c>
      <c r="O20" s="1805"/>
      <c r="P20" s="1804" t="s">
        <v>496</v>
      </c>
      <c r="Q20" s="1808"/>
      <c r="R20" s="1780" t="s">
        <v>27</v>
      </c>
      <c r="S20" s="1804" t="s">
        <v>116</v>
      </c>
      <c r="T20" s="1805"/>
      <c r="U20" s="1804" t="s">
        <v>497</v>
      </c>
      <c r="V20" s="1808"/>
      <c r="W20" s="1780" t="s">
        <v>498</v>
      </c>
      <c r="X20" s="1804" t="s">
        <v>115</v>
      </c>
      <c r="Y20" s="1805"/>
      <c r="Z20" s="1804" t="s">
        <v>496</v>
      </c>
      <c r="AA20" s="1808"/>
      <c r="AB20" s="1780" t="s">
        <v>27</v>
      </c>
      <c r="AC20" s="1804" t="s">
        <v>116</v>
      </c>
      <c r="AD20" s="1805"/>
      <c r="AE20" s="1804" t="s">
        <v>496</v>
      </c>
      <c r="AF20" s="1808"/>
      <c r="AG20" s="1780" t="s">
        <v>498</v>
      </c>
      <c r="AH20" s="1804" t="s">
        <v>115</v>
      </c>
      <c r="AI20" s="1805"/>
      <c r="AJ20" s="1804" t="s">
        <v>496</v>
      </c>
      <c r="AK20" s="1808"/>
      <c r="AL20" s="1780" t="s">
        <v>26</v>
      </c>
      <c r="AM20" s="1804" t="s">
        <v>116</v>
      </c>
      <c r="AN20" s="1805"/>
      <c r="AO20" s="1804" t="s">
        <v>497</v>
      </c>
      <c r="AP20" s="1808"/>
      <c r="AQ20" s="1780" t="s">
        <v>498</v>
      </c>
      <c r="AR20" s="1804" t="s">
        <v>115</v>
      </c>
      <c r="AS20" s="1805"/>
      <c r="AT20" s="1804" t="s">
        <v>497</v>
      </c>
      <c r="AU20" s="1808"/>
      <c r="AV20" s="1780" t="s">
        <v>498</v>
      </c>
      <c r="AW20" s="1804" t="s">
        <v>116</v>
      </c>
      <c r="AX20" s="1805"/>
      <c r="AY20" s="1804" t="s">
        <v>496</v>
      </c>
      <c r="AZ20" s="1808"/>
      <c r="BA20" s="1780" t="s">
        <v>27</v>
      </c>
    </row>
    <row r="21" spans="2:53" ht="14.25" customHeight="1" thickBot="1">
      <c r="B21" s="1836"/>
      <c r="C21" s="1837"/>
      <c r="D21" s="1806"/>
      <c r="E21" s="1807"/>
      <c r="F21" s="1806"/>
      <c r="G21" s="1809"/>
      <c r="H21" s="1781"/>
      <c r="I21" s="1806"/>
      <c r="J21" s="1807"/>
      <c r="K21" s="1806"/>
      <c r="L21" s="1809"/>
      <c r="M21" s="1781"/>
      <c r="N21" s="1806"/>
      <c r="O21" s="1807"/>
      <c r="P21" s="1806"/>
      <c r="Q21" s="1809"/>
      <c r="R21" s="1781"/>
      <c r="S21" s="1806"/>
      <c r="T21" s="1807"/>
      <c r="U21" s="1806"/>
      <c r="V21" s="1809"/>
      <c r="W21" s="1781"/>
      <c r="X21" s="1806"/>
      <c r="Y21" s="1807"/>
      <c r="Z21" s="1806"/>
      <c r="AA21" s="1809"/>
      <c r="AB21" s="1781"/>
      <c r="AC21" s="1806"/>
      <c r="AD21" s="1807"/>
      <c r="AE21" s="1806"/>
      <c r="AF21" s="1809"/>
      <c r="AG21" s="1781"/>
      <c r="AH21" s="1806"/>
      <c r="AI21" s="1807"/>
      <c r="AJ21" s="1806"/>
      <c r="AK21" s="1809"/>
      <c r="AL21" s="1781"/>
      <c r="AM21" s="1806"/>
      <c r="AN21" s="1807"/>
      <c r="AO21" s="1806"/>
      <c r="AP21" s="1809"/>
      <c r="AQ21" s="1781"/>
      <c r="AR21" s="1806"/>
      <c r="AS21" s="1807"/>
      <c r="AT21" s="1806"/>
      <c r="AU21" s="1809"/>
      <c r="AV21" s="1781"/>
      <c r="AW21" s="1806"/>
      <c r="AX21" s="1807"/>
      <c r="AY21" s="1806"/>
      <c r="AZ21" s="1809"/>
      <c r="BA21" s="1781"/>
    </row>
    <row r="22" spans="2:53" ht="267" customHeight="1" thickBot="1">
      <c r="B22" s="1836"/>
      <c r="C22" s="1837"/>
      <c r="D22" s="1832"/>
      <c r="E22" s="1786"/>
      <c r="F22" s="1786"/>
      <c r="G22" s="1786"/>
      <c r="H22" s="1833"/>
      <c r="I22" s="1785"/>
      <c r="J22" s="1786"/>
      <c r="K22" s="1786"/>
      <c r="L22" s="1786"/>
      <c r="M22" s="1787"/>
      <c r="N22" s="1832"/>
      <c r="O22" s="1786"/>
      <c r="P22" s="1786"/>
      <c r="Q22" s="1786"/>
      <c r="R22" s="1833"/>
      <c r="S22" s="1785"/>
      <c r="T22" s="1786"/>
      <c r="U22" s="1786"/>
      <c r="V22" s="1786"/>
      <c r="W22" s="1787"/>
      <c r="X22" s="1832"/>
      <c r="Y22" s="1786"/>
      <c r="Z22" s="1786"/>
      <c r="AA22" s="1786"/>
      <c r="AB22" s="1833"/>
      <c r="AC22" s="1785"/>
      <c r="AD22" s="1786"/>
      <c r="AE22" s="1786"/>
      <c r="AF22" s="1786"/>
      <c r="AG22" s="1787"/>
      <c r="AH22" s="1832"/>
      <c r="AI22" s="1786"/>
      <c r="AJ22" s="1786"/>
      <c r="AK22" s="1786"/>
      <c r="AL22" s="1833"/>
      <c r="AM22" s="1785"/>
      <c r="AN22" s="1786"/>
      <c r="AO22" s="1786"/>
      <c r="AP22" s="1786"/>
      <c r="AQ22" s="1787"/>
      <c r="AR22" s="1832"/>
      <c r="AS22" s="1786"/>
      <c r="AT22" s="1786"/>
      <c r="AU22" s="1786"/>
      <c r="AV22" s="1833"/>
      <c r="AW22" s="1785"/>
      <c r="AX22" s="1786"/>
      <c r="AY22" s="1786"/>
      <c r="AZ22" s="1786"/>
      <c r="BA22" s="1787"/>
    </row>
    <row r="23" spans="2:53" ht="265.64999999999998" customHeight="1" thickBot="1">
      <c r="B23" s="1836"/>
      <c r="C23" s="1837"/>
      <c r="D23" s="1830"/>
      <c r="E23" s="1814"/>
      <c r="F23" s="1814"/>
      <c r="G23" s="1814"/>
      <c r="H23" s="1831"/>
      <c r="I23" s="1785"/>
      <c r="J23" s="1786"/>
      <c r="K23" s="1786"/>
      <c r="L23" s="1786"/>
      <c r="M23" s="1787"/>
      <c r="N23" s="1830"/>
      <c r="O23" s="1814"/>
      <c r="P23" s="1814"/>
      <c r="Q23" s="1814"/>
      <c r="R23" s="1831"/>
      <c r="S23" s="1813"/>
      <c r="T23" s="1814"/>
      <c r="U23" s="1814"/>
      <c r="V23" s="1814"/>
      <c r="W23" s="1815"/>
      <c r="X23" s="1830"/>
      <c r="Y23" s="1814"/>
      <c r="Z23" s="1814"/>
      <c r="AA23" s="1814"/>
      <c r="AB23" s="1831"/>
      <c r="AC23" s="1813"/>
      <c r="AD23" s="1814"/>
      <c r="AE23" s="1814"/>
      <c r="AF23" s="1814"/>
      <c r="AG23" s="1815"/>
      <c r="AH23" s="1830"/>
      <c r="AI23" s="1814"/>
      <c r="AJ23" s="1814"/>
      <c r="AK23" s="1814"/>
      <c r="AL23" s="1831"/>
      <c r="AM23" s="1813"/>
      <c r="AN23" s="1814"/>
      <c r="AO23" s="1814"/>
      <c r="AP23" s="1814"/>
      <c r="AQ23" s="1815"/>
      <c r="AR23" s="1830"/>
      <c r="AS23" s="1814"/>
      <c r="AT23" s="1814"/>
      <c r="AU23" s="1814"/>
      <c r="AV23" s="1831"/>
      <c r="AW23" s="1813"/>
      <c r="AX23" s="1814"/>
      <c r="AY23" s="1814"/>
      <c r="AZ23" s="1814"/>
      <c r="BA23" s="1815"/>
    </row>
    <row r="24" spans="2:53" ht="39.9" customHeight="1" thickBot="1">
      <c r="B24" s="1836"/>
      <c r="C24" s="1837"/>
      <c r="D24" s="1212" t="s">
        <v>494</v>
      </c>
      <c r="E24" s="1816" t="s">
        <v>618</v>
      </c>
      <c r="F24" s="1817"/>
      <c r="G24" s="1213" t="s">
        <v>495</v>
      </c>
      <c r="H24" s="1214">
        <v>6700</v>
      </c>
      <c r="I24" s="1212" t="s">
        <v>494</v>
      </c>
      <c r="J24" s="1818" t="s">
        <v>619</v>
      </c>
      <c r="K24" s="1819"/>
      <c r="L24" s="1213" t="s">
        <v>495</v>
      </c>
      <c r="M24" s="1214">
        <v>6700</v>
      </c>
      <c r="N24" s="1212" t="s">
        <v>494</v>
      </c>
      <c r="O24" s="1816" t="s">
        <v>761</v>
      </c>
      <c r="P24" s="1817"/>
      <c r="Q24" s="1213" t="s">
        <v>495</v>
      </c>
      <c r="R24" s="1214">
        <v>6500</v>
      </c>
      <c r="S24" s="1212" t="s">
        <v>494</v>
      </c>
      <c r="T24" s="1818" t="s">
        <v>619</v>
      </c>
      <c r="U24" s="1819"/>
      <c r="V24" s="1213" t="s">
        <v>495</v>
      </c>
      <c r="W24" s="1214">
        <v>6700</v>
      </c>
      <c r="X24" s="1212" t="s">
        <v>494</v>
      </c>
      <c r="Y24" s="1816" t="s">
        <v>842</v>
      </c>
      <c r="Z24" s="1817"/>
      <c r="AA24" s="1213" t="s">
        <v>495</v>
      </c>
      <c r="AB24" s="1214"/>
      <c r="AC24" s="1212" t="s">
        <v>494</v>
      </c>
      <c r="AD24" s="1818" t="s">
        <v>619</v>
      </c>
      <c r="AE24" s="1819"/>
      <c r="AF24" s="1213" t="s">
        <v>495</v>
      </c>
      <c r="AG24" s="1214">
        <v>6600</v>
      </c>
      <c r="AH24" s="1212" t="s">
        <v>494</v>
      </c>
      <c r="AI24" s="1816" t="s">
        <v>618</v>
      </c>
      <c r="AJ24" s="1817"/>
      <c r="AK24" s="1213" t="s">
        <v>495</v>
      </c>
      <c r="AL24" s="1214">
        <v>6400</v>
      </c>
      <c r="AM24" s="1212" t="s">
        <v>494</v>
      </c>
      <c r="AN24" s="1818" t="s">
        <v>938</v>
      </c>
      <c r="AO24" s="1819"/>
      <c r="AP24" s="1213" t="s">
        <v>495</v>
      </c>
      <c r="AQ24" s="1214">
        <v>6400</v>
      </c>
      <c r="AR24" s="1212" t="s">
        <v>494</v>
      </c>
      <c r="AS24" s="1816" t="s">
        <v>1030</v>
      </c>
      <c r="AT24" s="1817"/>
      <c r="AU24" s="1213" t="s">
        <v>495</v>
      </c>
      <c r="AV24" s="1214">
        <v>6500</v>
      </c>
      <c r="AW24" s="1212" t="s">
        <v>494</v>
      </c>
      <c r="AX24" s="1818" t="s">
        <v>1031</v>
      </c>
      <c r="AY24" s="1819"/>
      <c r="AZ24" s="1213" t="s">
        <v>495</v>
      </c>
      <c r="BA24" s="1214">
        <v>6300</v>
      </c>
    </row>
    <row r="25" spans="2:53" ht="21" customHeight="1">
      <c r="B25" s="1836"/>
      <c r="C25" s="1837"/>
      <c r="D25" s="1218" t="s">
        <v>115</v>
      </c>
      <c r="E25" s="1219" t="s">
        <v>478</v>
      </c>
      <c r="F25" s="1219" t="s">
        <v>473</v>
      </c>
      <c r="G25" s="1219" t="s">
        <v>514</v>
      </c>
      <c r="H25" s="1224" t="s">
        <v>474</v>
      </c>
      <c r="I25" s="1218" t="s">
        <v>116</v>
      </c>
      <c r="J25" s="1219" t="s">
        <v>478</v>
      </c>
      <c r="K25" s="1219" t="s">
        <v>473</v>
      </c>
      <c r="L25" s="1219" t="s">
        <v>514</v>
      </c>
      <c r="M25" s="1220" t="s">
        <v>474</v>
      </c>
      <c r="N25" s="1218" t="s">
        <v>115</v>
      </c>
      <c r="O25" s="1219" t="s">
        <v>478</v>
      </c>
      <c r="P25" s="1219" t="s">
        <v>473</v>
      </c>
      <c r="Q25" s="1219" t="s">
        <v>514</v>
      </c>
      <c r="R25" s="1224" t="s">
        <v>474</v>
      </c>
      <c r="S25" s="1218" t="s">
        <v>116</v>
      </c>
      <c r="T25" s="1219" t="s">
        <v>478</v>
      </c>
      <c r="U25" s="1219" t="s">
        <v>473</v>
      </c>
      <c r="V25" s="1219" t="s">
        <v>514</v>
      </c>
      <c r="W25" s="1220" t="s">
        <v>474</v>
      </c>
      <c r="X25" s="1218" t="s">
        <v>115</v>
      </c>
      <c r="Y25" s="1219" t="s">
        <v>478</v>
      </c>
      <c r="Z25" s="1219" t="s">
        <v>473</v>
      </c>
      <c r="AA25" s="1219" t="s">
        <v>514</v>
      </c>
      <c r="AB25" s="1224" t="s">
        <v>474</v>
      </c>
      <c r="AC25" s="1218" t="s">
        <v>116</v>
      </c>
      <c r="AD25" s="1219" t="s">
        <v>478</v>
      </c>
      <c r="AE25" s="1219" t="s">
        <v>473</v>
      </c>
      <c r="AF25" s="1219" t="s">
        <v>514</v>
      </c>
      <c r="AG25" s="1220" t="s">
        <v>474</v>
      </c>
      <c r="AH25" s="1218" t="s">
        <v>115</v>
      </c>
      <c r="AI25" s="1219" t="s">
        <v>478</v>
      </c>
      <c r="AJ25" s="1219" t="s">
        <v>473</v>
      </c>
      <c r="AK25" s="1219" t="s">
        <v>514</v>
      </c>
      <c r="AL25" s="1224" t="s">
        <v>474</v>
      </c>
      <c r="AM25" s="1218" t="s">
        <v>116</v>
      </c>
      <c r="AN25" s="1219" t="s">
        <v>478</v>
      </c>
      <c r="AO25" s="1219" t="s">
        <v>473</v>
      </c>
      <c r="AP25" s="1219" t="s">
        <v>514</v>
      </c>
      <c r="AQ25" s="1220" t="s">
        <v>474</v>
      </c>
      <c r="AR25" s="1218" t="s">
        <v>115</v>
      </c>
      <c r="AS25" s="1219" t="s">
        <v>478</v>
      </c>
      <c r="AT25" s="1219" t="s">
        <v>473</v>
      </c>
      <c r="AU25" s="1219" t="s">
        <v>514</v>
      </c>
      <c r="AV25" s="1224" t="s">
        <v>474</v>
      </c>
      <c r="AW25" s="1218" t="s">
        <v>116</v>
      </c>
      <c r="AX25" s="1219" t="s">
        <v>478</v>
      </c>
      <c r="AY25" s="1219" t="s">
        <v>473</v>
      </c>
      <c r="AZ25" s="1219" t="s">
        <v>514</v>
      </c>
      <c r="BA25" s="1220" t="s">
        <v>474</v>
      </c>
    </row>
    <row r="26" spans="2:53" ht="20.25" customHeight="1">
      <c r="B26" s="1836"/>
      <c r="C26" s="1837"/>
      <c r="D26" s="1223" t="s">
        <v>476</v>
      </c>
      <c r="E26" s="1216">
        <v>450</v>
      </c>
      <c r="F26" s="1217">
        <f>E26-(F27-E27)</f>
        <v>360</v>
      </c>
      <c r="G26" s="1820">
        <f>G29+H29</f>
        <v>1088</v>
      </c>
      <c r="H26" s="1821">
        <f>(E26-F26)/G26</f>
        <v>8.2720588235294115E-2</v>
      </c>
      <c r="I26" s="1223" t="s">
        <v>476</v>
      </c>
      <c r="J26" s="1216">
        <v>450</v>
      </c>
      <c r="K26" s="1217">
        <f>J26-(K27-J27)</f>
        <v>1600</v>
      </c>
      <c r="L26" s="1820">
        <f>L29+M29</f>
        <v>1713</v>
      </c>
      <c r="M26" s="1822">
        <f>(J26-K26)/L26</f>
        <v>-0.67133683596030358</v>
      </c>
      <c r="N26" s="1223" t="s">
        <v>476</v>
      </c>
      <c r="O26" s="1216">
        <v>450</v>
      </c>
      <c r="P26" s="1217">
        <f>O26-(P27-O27)</f>
        <v>280</v>
      </c>
      <c r="Q26" s="1820">
        <f>Q29+R29</f>
        <v>1172</v>
      </c>
      <c r="R26" s="1821">
        <f>(O26-P26)/Q26</f>
        <v>0.14505119453924914</v>
      </c>
      <c r="S26" s="1223" t="s">
        <v>476</v>
      </c>
      <c r="T26" s="1216">
        <v>450</v>
      </c>
      <c r="U26" s="1217">
        <f>T26-(U27-T27)</f>
        <v>250</v>
      </c>
      <c r="V26" s="1820">
        <f>V29+W29</f>
        <v>1799</v>
      </c>
      <c r="W26" s="1822">
        <f>(T26-U26)/V26</f>
        <v>0.11117287381878821</v>
      </c>
      <c r="X26" s="1223" t="s">
        <v>476</v>
      </c>
      <c r="Y26" s="1216">
        <v>450</v>
      </c>
      <c r="Z26" s="1217">
        <f>Y26-(Z27-Y27)</f>
        <v>1600</v>
      </c>
      <c r="AA26" s="1820">
        <f>AA29+AB29</f>
        <v>1242</v>
      </c>
      <c r="AB26" s="1821">
        <f>(Y26-Z26)/AA26</f>
        <v>-0.92592592592592593</v>
      </c>
      <c r="AC26" s="1223" t="s">
        <v>476</v>
      </c>
      <c r="AD26" s="1216">
        <v>450</v>
      </c>
      <c r="AE26" s="1217">
        <f>AD26-(AE27-AD27)</f>
        <v>220</v>
      </c>
      <c r="AF26" s="1820">
        <f>AF29+AG29</f>
        <v>1866</v>
      </c>
      <c r="AG26" s="1822">
        <f>(AD26-AE26)/AF26</f>
        <v>0.1232583065380493</v>
      </c>
      <c r="AH26" s="1223" t="s">
        <v>476</v>
      </c>
      <c r="AI26" s="1216">
        <v>450</v>
      </c>
      <c r="AJ26" s="1217">
        <f>AI26-(AJ27-AI27)</f>
        <v>250</v>
      </c>
      <c r="AK26" s="1820">
        <f>AK29+AL29</f>
        <v>1332</v>
      </c>
      <c r="AL26" s="1821">
        <f>(AI26-AJ26)/AK26</f>
        <v>0.15015015015015015</v>
      </c>
      <c r="AM26" s="1223" t="s">
        <v>476</v>
      </c>
      <c r="AN26" s="1216">
        <v>450</v>
      </c>
      <c r="AO26" s="1217">
        <f>AN26-(AO27-AN27)</f>
        <v>1600</v>
      </c>
      <c r="AP26" s="1820">
        <f>AP29+AQ29</f>
        <v>1951</v>
      </c>
      <c r="AQ26" s="1822">
        <f>(AN26-AO26)/AP26</f>
        <v>-0.58944131214761664</v>
      </c>
      <c r="AR26" s="1223" t="s">
        <v>476</v>
      </c>
      <c r="AS26" s="1216">
        <v>450</v>
      </c>
      <c r="AT26" s="1217">
        <f>AS26-(AT27-AS27)</f>
        <v>350</v>
      </c>
      <c r="AU26" s="1820">
        <f>AU29+AV29</f>
        <v>1416</v>
      </c>
      <c r="AV26" s="1821">
        <f>(AS26-AT26)/AU26</f>
        <v>7.0621468926553674E-2</v>
      </c>
      <c r="AW26" s="1223" t="s">
        <v>476</v>
      </c>
      <c r="AX26" s="1216">
        <v>450</v>
      </c>
      <c r="AY26" s="1217">
        <f>AX26-(AY27-AX27)</f>
        <v>250</v>
      </c>
      <c r="AZ26" s="1820">
        <f>AZ29+BA29</f>
        <v>2037</v>
      </c>
      <c r="BA26" s="1822">
        <f>(AX26-AY26)/AZ26</f>
        <v>9.8183603338242512E-2</v>
      </c>
    </row>
    <row r="27" spans="2:53" ht="21" customHeight="1">
      <c r="B27" s="1836"/>
      <c r="C27" s="1837"/>
      <c r="D27" s="1223" t="s">
        <v>509</v>
      </c>
      <c r="E27" s="1216">
        <v>1150</v>
      </c>
      <c r="F27" s="1217">
        <v>1240</v>
      </c>
      <c r="G27" s="1820"/>
      <c r="H27" s="1821"/>
      <c r="I27" s="1223" t="s">
        <v>509</v>
      </c>
      <c r="J27" s="1216">
        <v>1150</v>
      </c>
      <c r="K27" s="1217"/>
      <c r="L27" s="1820"/>
      <c r="M27" s="1822"/>
      <c r="N27" s="1223" t="s">
        <v>509</v>
      </c>
      <c r="O27" s="1216">
        <v>1150</v>
      </c>
      <c r="P27" s="1217">
        <v>1320</v>
      </c>
      <c r="Q27" s="1820"/>
      <c r="R27" s="1821"/>
      <c r="S27" s="1223" t="s">
        <v>509</v>
      </c>
      <c r="T27" s="1216">
        <v>1150</v>
      </c>
      <c r="U27" s="1217">
        <v>1350</v>
      </c>
      <c r="V27" s="1820"/>
      <c r="W27" s="1822"/>
      <c r="X27" s="1223" t="s">
        <v>509</v>
      </c>
      <c r="Y27" s="1216">
        <v>1150</v>
      </c>
      <c r="Z27" s="1217"/>
      <c r="AA27" s="1820"/>
      <c r="AB27" s="1821"/>
      <c r="AC27" s="1223" t="s">
        <v>509</v>
      </c>
      <c r="AD27" s="1216">
        <v>1150</v>
      </c>
      <c r="AE27" s="1217">
        <v>1380</v>
      </c>
      <c r="AF27" s="1820"/>
      <c r="AG27" s="1822"/>
      <c r="AH27" s="1223" t="s">
        <v>509</v>
      </c>
      <c r="AI27" s="1216">
        <v>1150</v>
      </c>
      <c r="AJ27" s="1217">
        <v>1350</v>
      </c>
      <c r="AK27" s="1820"/>
      <c r="AL27" s="1821"/>
      <c r="AM27" s="1223" t="s">
        <v>509</v>
      </c>
      <c r="AN27" s="1216">
        <v>1150</v>
      </c>
      <c r="AO27" s="1217"/>
      <c r="AP27" s="1820"/>
      <c r="AQ27" s="1822"/>
      <c r="AR27" s="1223" t="s">
        <v>509</v>
      </c>
      <c r="AS27" s="1216">
        <v>1150</v>
      </c>
      <c r="AT27" s="1217">
        <v>1250</v>
      </c>
      <c r="AU27" s="1820"/>
      <c r="AV27" s="1821"/>
      <c r="AW27" s="1223" t="s">
        <v>509</v>
      </c>
      <c r="AX27" s="1216">
        <v>1150</v>
      </c>
      <c r="AY27" s="1217">
        <v>1350</v>
      </c>
      <c r="AZ27" s="1820"/>
      <c r="BA27" s="1822"/>
    </row>
    <row r="28" spans="2:53" ht="21" customHeight="1">
      <c r="B28" s="1836"/>
      <c r="C28" s="1837"/>
      <c r="D28" s="1221" t="s">
        <v>105</v>
      </c>
      <c r="E28" s="1215" t="s">
        <v>477</v>
      </c>
      <c r="F28" s="1215" t="s">
        <v>475</v>
      </c>
      <c r="G28" s="1215" t="s">
        <v>508</v>
      </c>
      <c r="H28" s="1225" t="s">
        <v>492</v>
      </c>
      <c r="I28" s="1221" t="s">
        <v>105</v>
      </c>
      <c r="J28" s="1215" t="s">
        <v>477</v>
      </c>
      <c r="K28" s="1215" t="s">
        <v>475</v>
      </c>
      <c r="L28" s="1215" t="s">
        <v>508</v>
      </c>
      <c r="M28" s="1222" t="s">
        <v>492</v>
      </c>
      <c r="N28" s="1221" t="s">
        <v>105</v>
      </c>
      <c r="O28" s="1215" t="s">
        <v>477</v>
      </c>
      <c r="P28" s="1215" t="s">
        <v>475</v>
      </c>
      <c r="Q28" s="1215" t="s">
        <v>508</v>
      </c>
      <c r="R28" s="1225" t="s">
        <v>492</v>
      </c>
      <c r="S28" s="1221" t="s">
        <v>105</v>
      </c>
      <c r="T28" s="1215" t="s">
        <v>477</v>
      </c>
      <c r="U28" s="1215" t="s">
        <v>475</v>
      </c>
      <c r="V28" s="1215" t="s">
        <v>508</v>
      </c>
      <c r="W28" s="1222" t="s">
        <v>492</v>
      </c>
      <c r="X28" s="1221" t="s">
        <v>105</v>
      </c>
      <c r="Y28" s="1215" t="s">
        <v>477</v>
      </c>
      <c r="Z28" s="1215" t="s">
        <v>475</v>
      </c>
      <c r="AA28" s="1215" t="s">
        <v>508</v>
      </c>
      <c r="AB28" s="1225" t="s">
        <v>492</v>
      </c>
      <c r="AC28" s="1221" t="s">
        <v>105</v>
      </c>
      <c r="AD28" s="1215" t="s">
        <v>477</v>
      </c>
      <c r="AE28" s="1215" t="s">
        <v>475</v>
      </c>
      <c r="AF28" s="1215" t="s">
        <v>508</v>
      </c>
      <c r="AG28" s="1222" t="s">
        <v>492</v>
      </c>
      <c r="AH28" s="1221" t="s">
        <v>105</v>
      </c>
      <c r="AI28" s="1215" t="s">
        <v>477</v>
      </c>
      <c r="AJ28" s="1215" t="s">
        <v>475</v>
      </c>
      <c r="AK28" s="1215" t="s">
        <v>508</v>
      </c>
      <c r="AL28" s="1225" t="s">
        <v>492</v>
      </c>
      <c r="AM28" s="1221" t="s">
        <v>105</v>
      </c>
      <c r="AN28" s="1215" t="s">
        <v>477</v>
      </c>
      <c r="AO28" s="1215" t="s">
        <v>475</v>
      </c>
      <c r="AP28" s="1215" t="s">
        <v>508</v>
      </c>
      <c r="AQ28" s="1222" t="s">
        <v>492</v>
      </c>
      <c r="AR28" s="1221" t="s">
        <v>105</v>
      </c>
      <c r="AS28" s="1215" t="s">
        <v>477</v>
      </c>
      <c r="AT28" s="1215" t="s">
        <v>475</v>
      </c>
      <c r="AU28" s="1215" t="s">
        <v>508</v>
      </c>
      <c r="AV28" s="1225" t="s">
        <v>492</v>
      </c>
      <c r="AW28" s="1221" t="s">
        <v>105</v>
      </c>
      <c r="AX28" s="1215" t="s">
        <v>477</v>
      </c>
      <c r="AY28" s="1215" t="s">
        <v>475</v>
      </c>
      <c r="AZ28" s="1215" t="s">
        <v>508</v>
      </c>
      <c r="BA28" s="1222" t="s">
        <v>492</v>
      </c>
    </row>
    <row r="29" spans="2:53" ht="20.25" customHeight="1">
      <c r="B29" s="1836"/>
      <c r="C29" s="1837"/>
      <c r="D29" s="1223" t="s">
        <v>476</v>
      </c>
      <c r="E29" s="1216">
        <v>100</v>
      </c>
      <c r="F29" s="1823">
        <f>(E30-E27)/H26</f>
        <v>4231.1111111111113</v>
      </c>
      <c r="G29" s="1820">
        <v>1039</v>
      </c>
      <c r="H29" s="1826">
        <v>49</v>
      </c>
      <c r="I29" s="1223" t="s">
        <v>476</v>
      </c>
      <c r="J29" s="1216">
        <v>100</v>
      </c>
      <c r="K29" s="1823">
        <f>(J30-J27)/M26</f>
        <v>-521.3478260869565</v>
      </c>
      <c r="L29" s="1820">
        <v>1664</v>
      </c>
      <c r="M29" s="1828">
        <v>49</v>
      </c>
      <c r="N29" s="1223" t="s">
        <v>476</v>
      </c>
      <c r="O29" s="1216">
        <v>100</v>
      </c>
      <c r="P29" s="1823">
        <f>(O30-O27)/R26</f>
        <v>2412.9411764705883</v>
      </c>
      <c r="Q29" s="1820">
        <v>1039</v>
      </c>
      <c r="R29" s="1826">
        <v>133</v>
      </c>
      <c r="S29" s="1223" t="s">
        <v>476</v>
      </c>
      <c r="T29" s="1216">
        <v>100</v>
      </c>
      <c r="U29" s="1823">
        <f>(T30-T27)/W26</f>
        <v>3148.25</v>
      </c>
      <c r="V29" s="1820">
        <v>1664</v>
      </c>
      <c r="W29" s="1828">
        <v>135</v>
      </c>
      <c r="X29" s="1223" t="s">
        <v>476</v>
      </c>
      <c r="Y29" s="1216">
        <v>100</v>
      </c>
      <c r="Z29" s="1823">
        <f>(Y30-Y27)/AB26</f>
        <v>-378</v>
      </c>
      <c r="AA29" s="1820">
        <v>1039</v>
      </c>
      <c r="AB29" s="1826">
        <v>203</v>
      </c>
      <c r="AC29" s="1223" t="s">
        <v>476</v>
      </c>
      <c r="AD29" s="1216">
        <v>100</v>
      </c>
      <c r="AE29" s="1823">
        <f>(AD30-AD27)/AG26</f>
        <v>2839.5652173913045</v>
      </c>
      <c r="AF29" s="1820">
        <v>1664</v>
      </c>
      <c r="AG29" s="1828">
        <v>202</v>
      </c>
      <c r="AH29" s="1223" t="s">
        <v>476</v>
      </c>
      <c r="AI29" s="1216">
        <v>100</v>
      </c>
      <c r="AJ29" s="1823">
        <f>(AI30-AI27)/AL26</f>
        <v>2331</v>
      </c>
      <c r="AK29" s="1820">
        <v>1039</v>
      </c>
      <c r="AL29" s="1826">
        <v>293</v>
      </c>
      <c r="AM29" s="1223" t="s">
        <v>476</v>
      </c>
      <c r="AN29" s="1216">
        <v>100</v>
      </c>
      <c r="AO29" s="1823">
        <f>(AN30-AN27)/AQ26</f>
        <v>-593.78260869565213</v>
      </c>
      <c r="AP29" s="1820">
        <v>1664</v>
      </c>
      <c r="AQ29" s="1828">
        <v>287</v>
      </c>
      <c r="AR29" s="1223" t="s">
        <v>476</v>
      </c>
      <c r="AS29" s="1216">
        <v>100</v>
      </c>
      <c r="AT29" s="1823">
        <f>(AS30-AS27)/AV26</f>
        <v>4956</v>
      </c>
      <c r="AU29" s="1820">
        <v>1039</v>
      </c>
      <c r="AV29" s="1826">
        <v>377</v>
      </c>
      <c r="AW29" s="1223" t="s">
        <v>476</v>
      </c>
      <c r="AX29" s="1216">
        <v>100</v>
      </c>
      <c r="AY29" s="1823">
        <f>(AX30-AX27)/BA26</f>
        <v>3564.75</v>
      </c>
      <c r="AZ29" s="1820">
        <v>1664</v>
      </c>
      <c r="BA29" s="1828">
        <v>373</v>
      </c>
    </row>
    <row r="30" spans="2:53" ht="21" customHeight="1" thickBot="1">
      <c r="B30" s="1838"/>
      <c r="C30" s="1839"/>
      <c r="D30" s="1230" t="s">
        <v>509</v>
      </c>
      <c r="E30" s="1211">
        <v>1500</v>
      </c>
      <c r="F30" s="1824"/>
      <c r="G30" s="1825"/>
      <c r="H30" s="1827"/>
      <c r="I30" s="1230" t="s">
        <v>509</v>
      </c>
      <c r="J30" s="1211">
        <v>1500</v>
      </c>
      <c r="K30" s="1824"/>
      <c r="L30" s="1825"/>
      <c r="M30" s="1829"/>
      <c r="N30" s="1230" t="s">
        <v>509</v>
      </c>
      <c r="O30" s="1211">
        <v>1500</v>
      </c>
      <c r="P30" s="1824"/>
      <c r="Q30" s="1825"/>
      <c r="R30" s="1827"/>
      <c r="S30" s="1230" t="s">
        <v>509</v>
      </c>
      <c r="T30" s="1211">
        <v>1500</v>
      </c>
      <c r="U30" s="1824"/>
      <c r="V30" s="1825"/>
      <c r="W30" s="1829"/>
      <c r="X30" s="1230" t="s">
        <v>509</v>
      </c>
      <c r="Y30" s="1211">
        <v>1500</v>
      </c>
      <c r="Z30" s="1824"/>
      <c r="AA30" s="1825"/>
      <c r="AB30" s="1827"/>
      <c r="AC30" s="1230" t="s">
        <v>509</v>
      </c>
      <c r="AD30" s="1211">
        <v>1500</v>
      </c>
      <c r="AE30" s="1824"/>
      <c r="AF30" s="1825"/>
      <c r="AG30" s="1829"/>
      <c r="AH30" s="1230" t="s">
        <v>509</v>
      </c>
      <c r="AI30" s="1211">
        <v>1500</v>
      </c>
      <c r="AJ30" s="1824"/>
      <c r="AK30" s="1825"/>
      <c r="AL30" s="1827"/>
      <c r="AM30" s="1230" t="s">
        <v>509</v>
      </c>
      <c r="AN30" s="1211">
        <v>1500</v>
      </c>
      <c r="AO30" s="1824"/>
      <c r="AP30" s="1825"/>
      <c r="AQ30" s="1829"/>
      <c r="AR30" s="1230" t="s">
        <v>509</v>
      </c>
      <c r="AS30" s="1211">
        <v>1500</v>
      </c>
      <c r="AT30" s="1824"/>
      <c r="AU30" s="1825"/>
      <c r="AV30" s="1827"/>
      <c r="AW30" s="1230" t="s">
        <v>509</v>
      </c>
      <c r="AX30" s="1211">
        <v>1500</v>
      </c>
      <c r="AY30" s="1824"/>
      <c r="AZ30" s="1825"/>
      <c r="BA30" s="1829"/>
    </row>
    <row r="34" spans="7:12">
      <c r="G34">
        <f>671</f>
        <v>671</v>
      </c>
      <c r="L34">
        <f>352-316</f>
        <v>36</v>
      </c>
    </row>
    <row r="35" spans="7:12">
      <c r="G35">
        <v>353</v>
      </c>
    </row>
  </sheetData>
  <mergeCells count="232">
    <mergeCell ref="AZ29:AZ30"/>
    <mergeCell ref="BA29:BA30"/>
    <mergeCell ref="AJ29:AJ30"/>
    <mergeCell ref="AK29:AK30"/>
    <mergeCell ref="AL29:AL30"/>
    <mergeCell ref="AO29:AO30"/>
    <mergeCell ref="AP29:AP30"/>
    <mergeCell ref="AQ29:AQ30"/>
    <mergeCell ref="Q29:Q30"/>
    <mergeCell ref="R29:R30"/>
    <mergeCell ref="U29:U30"/>
    <mergeCell ref="V29:V30"/>
    <mergeCell ref="W29:W30"/>
    <mergeCell ref="AT29:AT30"/>
    <mergeCell ref="AU29:AU30"/>
    <mergeCell ref="AV29:AV30"/>
    <mergeCell ref="AY29:AY30"/>
    <mergeCell ref="AZ26:AZ27"/>
    <mergeCell ref="BA26:BA27"/>
    <mergeCell ref="AA26:AA27"/>
    <mergeCell ref="AB26:AB27"/>
    <mergeCell ref="AF26:AF27"/>
    <mergeCell ref="AG26:AG27"/>
    <mergeCell ref="AK26:AK27"/>
    <mergeCell ref="AL26:AL27"/>
    <mergeCell ref="F29:F30"/>
    <mergeCell ref="G29:G30"/>
    <mergeCell ref="H29:H30"/>
    <mergeCell ref="K29:K30"/>
    <mergeCell ref="L29:L30"/>
    <mergeCell ref="M29:M30"/>
    <mergeCell ref="AP26:AP27"/>
    <mergeCell ref="AQ26:AQ27"/>
    <mergeCell ref="AU26:AU27"/>
    <mergeCell ref="Z29:Z30"/>
    <mergeCell ref="AA29:AA30"/>
    <mergeCell ref="AB29:AB30"/>
    <mergeCell ref="AE29:AE30"/>
    <mergeCell ref="AF29:AF30"/>
    <mergeCell ref="AG29:AG30"/>
    <mergeCell ref="P29:P30"/>
    <mergeCell ref="G26:G27"/>
    <mergeCell ref="H26:H27"/>
    <mergeCell ref="L26:L27"/>
    <mergeCell ref="M26:M27"/>
    <mergeCell ref="Q26:Q27"/>
    <mergeCell ref="R26:R27"/>
    <mergeCell ref="V26:V27"/>
    <mergeCell ref="W26:W27"/>
    <mergeCell ref="AV26:AV27"/>
    <mergeCell ref="AN24:AO24"/>
    <mergeCell ref="AS24:AT24"/>
    <mergeCell ref="AX24:AY24"/>
    <mergeCell ref="I23:M23"/>
    <mergeCell ref="N23:R23"/>
    <mergeCell ref="S23:W23"/>
    <mergeCell ref="X23:AB23"/>
    <mergeCell ref="AC23:AG23"/>
    <mergeCell ref="AH23:AL23"/>
    <mergeCell ref="AM23:AQ23"/>
    <mergeCell ref="AR23:AV23"/>
    <mergeCell ref="AW23:BA23"/>
    <mergeCell ref="E24:F24"/>
    <mergeCell ref="J24:K24"/>
    <mergeCell ref="O24:P24"/>
    <mergeCell ref="T24:U24"/>
    <mergeCell ref="Y24:Z24"/>
    <mergeCell ref="AD24:AE24"/>
    <mergeCell ref="AI24:AJ24"/>
    <mergeCell ref="N22:R22"/>
    <mergeCell ref="S22:W22"/>
    <mergeCell ref="X22:AB22"/>
    <mergeCell ref="AC22:AG22"/>
    <mergeCell ref="AZ14:AZ15"/>
    <mergeCell ref="BA14:BA15"/>
    <mergeCell ref="AJ14:AJ15"/>
    <mergeCell ref="AK14:AK15"/>
    <mergeCell ref="AL14:AL15"/>
    <mergeCell ref="AO14:AO15"/>
    <mergeCell ref="AP14:AP15"/>
    <mergeCell ref="AQ14:AQ15"/>
    <mergeCell ref="AW22:BA22"/>
    <mergeCell ref="AY20:AZ21"/>
    <mergeCell ref="BA20:BA21"/>
    <mergeCell ref="AH22:AL22"/>
    <mergeCell ref="AM22:AQ22"/>
    <mergeCell ref="AO20:AP21"/>
    <mergeCell ref="AQ20:AQ21"/>
    <mergeCell ref="AR20:AS21"/>
    <mergeCell ref="AL20:AL21"/>
    <mergeCell ref="AM20:AN21"/>
    <mergeCell ref="AV20:AV21"/>
    <mergeCell ref="AW20:AX21"/>
    <mergeCell ref="AT14:AT15"/>
    <mergeCell ref="AU14:AU15"/>
    <mergeCell ref="AV14:AV15"/>
    <mergeCell ref="AY14:AY15"/>
    <mergeCell ref="AR22:AV22"/>
    <mergeCell ref="N20:O21"/>
    <mergeCell ref="P20:Q21"/>
    <mergeCell ref="R20:R21"/>
    <mergeCell ref="S20:T21"/>
    <mergeCell ref="B17:C30"/>
    <mergeCell ref="D17:M19"/>
    <mergeCell ref="N17:W19"/>
    <mergeCell ref="X17:AG19"/>
    <mergeCell ref="AH17:AQ19"/>
    <mergeCell ref="AR17:BA19"/>
    <mergeCell ref="D20:E21"/>
    <mergeCell ref="F20:G21"/>
    <mergeCell ref="H20:H21"/>
    <mergeCell ref="I20:J21"/>
    <mergeCell ref="X20:Y21"/>
    <mergeCell ref="Z20:AA21"/>
    <mergeCell ref="AB20:AB21"/>
    <mergeCell ref="AC20:AD21"/>
    <mergeCell ref="K20:L21"/>
    <mergeCell ref="M20:M21"/>
    <mergeCell ref="AT20:AU21"/>
    <mergeCell ref="D22:H22"/>
    <mergeCell ref="I22:M22"/>
    <mergeCell ref="AE20:AF21"/>
    <mergeCell ref="AG20:AG21"/>
    <mergeCell ref="AH20:AI21"/>
    <mergeCell ref="AJ20:AK21"/>
    <mergeCell ref="D23:H23"/>
    <mergeCell ref="Q14:Q15"/>
    <mergeCell ref="R14:R15"/>
    <mergeCell ref="U14:U15"/>
    <mergeCell ref="V14:V15"/>
    <mergeCell ref="W14:W15"/>
    <mergeCell ref="U20:V21"/>
    <mergeCell ref="W20:W21"/>
    <mergeCell ref="AZ11:AZ12"/>
    <mergeCell ref="BA11:BA12"/>
    <mergeCell ref="AA11:AA12"/>
    <mergeCell ref="AB11:AB12"/>
    <mergeCell ref="AF11:AF12"/>
    <mergeCell ref="AG11:AG12"/>
    <mergeCell ref="AK11:AK12"/>
    <mergeCell ref="AL11:AL12"/>
    <mergeCell ref="F14:F15"/>
    <mergeCell ref="G14:G15"/>
    <mergeCell ref="H14:H15"/>
    <mergeCell ref="K14:K15"/>
    <mergeCell ref="L14:L15"/>
    <mergeCell ref="M14:M15"/>
    <mergeCell ref="AP11:AP12"/>
    <mergeCell ref="AQ11:AQ12"/>
    <mergeCell ref="AU11:AU12"/>
    <mergeCell ref="Z14:Z15"/>
    <mergeCell ref="AA14:AA15"/>
    <mergeCell ref="AB14:AB15"/>
    <mergeCell ref="AE14:AE15"/>
    <mergeCell ref="AF14:AF15"/>
    <mergeCell ref="AG14:AG15"/>
    <mergeCell ref="P14:P15"/>
    <mergeCell ref="AX9:AY9"/>
    <mergeCell ref="G11:G12"/>
    <mergeCell ref="H11:H12"/>
    <mergeCell ref="L11:L12"/>
    <mergeCell ref="M11:M12"/>
    <mergeCell ref="Q11:Q12"/>
    <mergeCell ref="R11:R12"/>
    <mergeCell ref="V11:V12"/>
    <mergeCell ref="W11:W12"/>
    <mergeCell ref="AV11:AV12"/>
    <mergeCell ref="E9:F9"/>
    <mergeCell ref="J9:K9"/>
    <mergeCell ref="O9:P9"/>
    <mergeCell ref="T9:U9"/>
    <mergeCell ref="Y9:Z9"/>
    <mergeCell ref="AD9:AE9"/>
    <mergeCell ref="AI9:AJ9"/>
    <mergeCell ref="AN9:AO9"/>
    <mergeCell ref="AS9:AT9"/>
    <mergeCell ref="AW7:BA7"/>
    <mergeCell ref="D8:H8"/>
    <mergeCell ref="I8:M8"/>
    <mergeCell ref="N8:R8"/>
    <mergeCell ref="S8:W8"/>
    <mergeCell ref="X8:AB8"/>
    <mergeCell ref="AC8:AG8"/>
    <mergeCell ref="AH8:AL8"/>
    <mergeCell ref="AM8:AQ8"/>
    <mergeCell ref="AR8:AV8"/>
    <mergeCell ref="AW8:BA8"/>
    <mergeCell ref="N7:R7"/>
    <mergeCell ref="S7:W7"/>
    <mergeCell ref="X7:AB7"/>
    <mergeCell ref="AC7:AG7"/>
    <mergeCell ref="AH7:AL7"/>
    <mergeCell ref="AM7:AQ7"/>
    <mergeCell ref="R5:R6"/>
    <mergeCell ref="T5:U6"/>
    <mergeCell ref="AZ5:AZ6"/>
    <mergeCell ref="AT5:AU6"/>
    <mergeCell ref="AV5:AV6"/>
    <mergeCell ref="AX5:AY6"/>
    <mergeCell ref="AF5:AF6"/>
    <mergeCell ref="AG5:AG6"/>
    <mergeCell ref="AH5:AI6"/>
    <mergeCell ref="AJ5:AK6"/>
    <mergeCell ref="AL5:AL6"/>
    <mergeCell ref="AN5:AO6"/>
    <mergeCell ref="AP5:AP6"/>
    <mergeCell ref="AQ5:AQ6"/>
    <mergeCell ref="AR5:AS6"/>
    <mergeCell ref="BA5:BA6"/>
    <mergeCell ref="D7:H7"/>
    <mergeCell ref="I7:M7"/>
    <mergeCell ref="V5:V6"/>
    <mergeCell ref="W5:W6"/>
    <mergeCell ref="AR7:AV7"/>
    <mergeCell ref="B2:C15"/>
    <mergeCell ref="D2:M4"/>
    <mergeCell ref="N2:W4"/>
    <mergeCell ref="X2:AG4"/>
    <mergeCell ref="AH2:AQ4"/>
    <mergeCell ref="AR2:BA4"/>
    <mergeCell ref="D5:E6"/>
    <mergeCell ref="F5:G6"/>
    <mergeCell ref="H5:H6"/>
    <mergeCell ref="J5:K6"/>
    <mergeCell ref="X5:Y6"/>
    <mergeCell ref="Z5:AA6"/>
    <mergeCell ref="AB5:AB6"/>
    <mergeCell ref="AD5:AE6"/>
    <mergeCell ref="L5:L6"/>
    <mergeCell ref="M5:M6"/>
    <mergeCell ref="N5:O6"/>
    <mergeCell ref="P5:Q6"/>
  </mergeCells>
  <phoneticPr fontId="5" type="noConversion"/>
  <dataValidations count="2">
    <dataValidation type="list" allowBlank="1" showInputMessage="1" showErrorMessage="1" sqref="Z5 F20 AO20 AT20 K20 P20 AE20 AJ20 U20 Z20 L5:L6 F5 AZ5:AZ6 AT5 V5:V6 P5 AP5:AP6 AJ5 AF5:AF6 AY20">
      <formula1>"직영,동국 R&amp;S"</formula1>
    </dataValidation>
    <dataValidation type="list" allowBlank="1" showInputMessage="1" showErrorMessage="1" sqref="H20:H21 AB5:AC6 AV20:AV21 AQ20:AQ21 R20:R21 M20:M21 AL20:AL21 AG20:AG21 AB20:AB21 W20:W21 M5:M6 H5:I6 BA5:BA6 AV5:AW6 W5:W6 R5:S6 AQ5:AQ6 AL5:AM6 AG5:AG6 BA20:BA21">
      <formula1>"A,B,C,D,-,"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P15" sqref="AP15"/>
    </sheetView>
  </sheetViews>
  <sheetFormatPr defaultRowHeight="14.4"/>
  <cols>
    <col min="1" max="40" width="3.19921875" customWidth="1"/>
  </cols>
  <sheetData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</sheetPr>
  <dimension ref="A1:CW37"/>
  <sheetViews>
    <sheetView workbookViewId="0">
      <pane xSplit="2" ySplit="4" topLeftCell="S5" activePane="bottomRight" state="frozen"/>
      <selection pane="topRight" activeCell="C1" sqref="C1"/>
      <selection pane="bottomLeft" activeCell="A5" sqref="A5"/>
      <selection pane="bottomRight" activeCell="A6" sqref="A6"/>
    </sheetView>
  </sheetViews>
  <sheetFormatPr defaultColWidth="8.8984375" defaultRowHeight="13.2"/>
  <cols>
    <col min="1" max="1" width="10" style="750" customWidth="1"/>
    <col min="2" max="2" width="4.3984375" style="750" customWidth="1"/>
    <col min="3" max="3" width="6.3984375" style="750" hidden="1" customWidth="1"/>
    <col min="4" max="4" width="6.19921875" style="750" hidden="1" customWidth="1"/>
    <col min="5" max="5" width="5.796875" style="750" hidden="1" customWidth="1"/>
    <col min="6" max="6" width="7.3984375" style="750" hidden="1" customWidth="1"/>
    <col min="7" max="8" width="7.09765625" style="750" hidden="1" customWidth="1"/>
    <col min="9" max="11" width="7" style="750" hidden="1" customWidth="1"/>
    <col min="12" max="14" width="6" style="750" hidden="1" customWidth="1"/>
    <col min="15" max="17" width="6.796875" style="750" hidden="1" customWidth="1"/>
    <col min="18" max="18" width="8" style="750" hidden="1" customWidth="1"/>
    <col min="19" max="19" width="12.3984375" style="750" customWidth="1"/>
    <col min="20" max="20" width="10" style="750" customWidth="1"/>
    <col min="21" max="21" width="10.19921875" style="750" customWidth="1"/>
    <col min="22" max="22" width="10.09765625" style="750" customWidth="1"/>
    <col min="23" max="23" width="9.09765625" style="750" customWidth="1"/>
    <col min="24" max="25" width="7.09765625" style="750" customWidth="1"/>
    <col min="26" max="27" width="9.296875" style="750" customWidth="1"/>
    <col min="28" max="28" width="10.296875" style="750" customWidth="1"/>
    <col min="29" max="29" width="8.59765625" style="750" customWidth="1"/>
    <col min="30" max="30" width="8.296875" style="750" customWidth="1"/>
    <col min="31" max="31" width="9.8984375" style="750" customWidth="1"/>
    <col min="32" max="32" width="9.796875" style="750" customWidth="1"/>
    <col min="33" max="33" width="7.3984375" style="750" customWidth="1"/>
    <col min="34" max="34" width="8.8984375" style="750" customWidth="1"/>
    <col min="35" max="35" width="9.8984375" style="750" customWidth="1"/>
    <col min="36" max="36" width="9.3984375" style="750" customWidth="1"/>
    <col min="37" max="37" width="8.19921875" style="750" customWidth="1"/>
    <col min="38" max="38" width="8.09765625" style="750" customWidth="1"/>
    <col min="39" max="39" width="7.8984375" style="750" customWidth="1"/>
    <col min="40" max="40" width="11.59765625" style="750" customWidth="1"/>
    <col min="41" max="41" width="7.8984375" style="750" customWidth="1"/>
    <col min="42" max="42" width="6.3984375" style="750" customWidth="1"/>
    <col min="43" max="43" width="8.09765625" style="750" customWidth="1"/>
    <col min="44" max="56" width="7.296875" style="750" customWidth="1"/>
    <col min="57" max="57" width="9.09765625" style="750" customWidth="1"/>
    <col min="58" max="59" width="7.296875" style="750" customWidth="1"/>
    <col min="60" max="60" width="8.8984375" style="750" customWidth="1"/>
    <col min="61" max="63" width="7.296875" style="750" customWidth="1"/>
    <col min="64" max="64" width="8.296875" style="750" customWidth="1"/>
    <col min="65" max="67" width="7.296875" style="750" customWidth="1"/>
    <col min="68" max="68" width="8.296875" style="750" customWidth="1"/>
    <col min="69" max="69" width="8" style="750" customWidth="1"/>
    <col min="70" max="70" width="7.3984375" style="750" customWidth="1"/>
    <col min="71" max="71" width="5.8984375" style="750" customWidth="1"/>
    <col min="72" max="72" width="8.19921875" style="750" customWidth="1"/>
    <col min="73" max="73" width="12.09765625" style="750" customWidth="1"/>
    <col min="74" max="74" width="7.3984375" style="750" customWidth="1"/>
    <col min="75" max="75" width="11.59765625" style="750" bestFit="1" customWidth="1"/>
    <col min="76" max="76" width="7.3984375" style="750" customWidth="1"/>
    <col min="77" max="77" width="11.59765625" style="750" bestFit="1" customWidth="1"/>
    <col min="78" max="78" width="8.09765625" style="750" customWidth="1"/>
    <col min="79" max="79" width="12.69921875" style="750" bestFit="1" customWidth="1"/>
    <col min="80" max="82" width="8.8984375" style="750" customWidth="1"/>
    <col min="83" max="83" width="9.69921875" style="750" customWidth="1"/>
    <col min="84" max="84" width="8.09765625" style="750" customWidth="1"/>
    <col min="85" max="85" width="7.3984375" style="750" customWidth="1"/>
    <col min="86" max="86" width="8.09765625" style="750" customWidth="1"/>
    <col min="87" max="88" width="9.69921875" style="750" customWidth="1"/>
    <col min="89" max="89" width="7.796875" style="750" customWidth="1"/>
    <col min="90" max="92" width="9.796875" style="750" customWidth="1"/>
    <col min="93" max="93" width="11.19921875" style="750" customWidth="1"/>
    <col min="94" max="94" width="8.296875" style="750" customWidth="1"/>
    <col min="95" max="95" width="10.69921875" style="750" customWidth="1"/>
    <col min="96" max="96" width="8.3984375" style="750" customWidth="1"/>
    <col min="97" max="100" width="9.59765625" style="750" customWidth="1"/>
    <col min="101" max="101" width="6.8984375" style="750" customWidth="1"/>
    <col min="102" max="16384" width="8.8984375" style="750"/>
  </cols>
  <sheetData>
    <row r="1" spans="1:101" ht="30">
      <c r="A1" s="912" t="s">
        <v>258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</row>
    <row r="2" spans="1:101" ht="4.5" customHeight="1" thickBot="1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1"/>
      <c r="W2" s="751"/>
      <c r="X2" s="751"/>
      <c r="Y2" s="751"/>
      <c r="Z2" s="751"/>
      <c r="AA2" s="751"/>
      <c r="AB2" s="751"/>
      <c r="AC2" s="751"/>
      <c r="AD2" s="751"/>
      <c r="AE2" s="751"/>
      <c r="AF2" s="751"/>
      <c r="AG2" s="751"/>
      <c r="AH2" s="751"/>
      <c r="AI2" s="751"/>
      <c r="AJ2" s="751"/>
      <c r="AK2" s="751"/>
      <c r="AL2" s="751"/>
      <c r="AM2" s="751"/>
      <c r="AN2" s="751"/>
      <c r="AO2" s="751"/>
      <c r="AP2" s="751"/>
      <c r="AQ2" s="751"/>
      <c r="AR2" s="751"/>
      <c r="AS2" s="751"/>
      <c r="AT2" s="751"/>
      <c r="AU2" s="751"/>
      <c r="AV2" s="751"/>
      <c r="AW2" s="751"/>
      <c r="AX2" s="751"/>
      <c r="AY2" s="751"/>
      <c r="AZ2" s="751"/>
      <c r="BA2" s="751"/>
      <c r="BB2" s="751"/>
      <c r="BC2" s="751"/>
      <c r="BD2" s="751"/>
      <c r="BE2" s="751"/>
      <c r="BF2" s="751"/>
      <c r="BG2" s="751"/>
      <c r="BH2" s="751"/>
      <c r="BI2" s="751"/>
      <c r="BJ2" s="751"/>
      <c r="BK2" s="751"/>
      <c r="BL2" s="751"/>
      <c r="BM2" s="751"/>
      <c r="BN2" s="751"/>
      <c r="BO2" s="751"/>
      <c r="BP2" s="751"/>
      <c r="BQ2" s="751"/>
      <c r="BR2" s="751"/>
      <c r="BS2" s="751"/>
      <c r="BT2" s="751"/>
      <c r="BU2" s="751"/>
      <c r="BV2" s="751"/>
      <c r="BW2" s="751"/>
      <c r="BX2" s="751"/>
      <c r="BY2" s="751"/>
      <c r="BZ2" s="751"/>
      <c r="CA2" s="751"/>
      <c r="CB2" s="751"/>
      <c r="CC2" s="751"/>
      <c r="CD2" s="751"/>
      <c r="CE2" s="751"/>
      <c r="CF2" s="751"/>
      <c r="CG2" s="751"/>
      <c r="CH2" s="751"/>
      <c r="CI2" s="751"/>
      <c r="CJ2" s="751"/>
      <c r="CK2" s="751"/>
      <c r="CL2" s="751"/>
      <c r="CM2" s="751"/>
      <c r="CN2" s="751"/>
      <c r="CO2" s="751"/>
      <c r="CP2" s="751"/>
      <c r="CQ2" s="751"/>
      <c r="CR2" s="751"/>
      <c r="CS2" s="751"/>
      <c r="CT2" s="751"/>
      <c r="CU2" s="751"/>
      <c r="CV2" s="751"/>
      <c r="CW2" s="751"/>
    </row>
    <row r="3" spans="1:101" ht="15" customHeight="1">
      <c r="A3" s="1651" t="s">
        <v>259</v>
      </c>
      <c r="B3" s="1663" t="s">
        <v>260</v>
      </c>
      <c r="C3" s="1658" t="s">
        <v>261</v>
      </c>
      <c r="D3" s="1658"/>
      <c r="E3" s="1658"/>
      <c r="F3" s="1649" t="s">
        <v>262</v>
      </c>
      <c r="G3" s="1641" t="s">
        <v>263</v>
      </c>
      <c r="H3" s="752" t="s">
        <v>264</v>
      </c>
      <c r="I3" s="1665" t="s">
        <v>265</v>
      </c>
      <c r="J3" s="1665"/>
      <c r="K3" s="1665"/>
      <c r="L3" s="1665"/>
      <c r="M3" s="1665"/>
      <c r="N3" s="1665"/>
      <c r="O3" s="1665"/>
      <c r="P3" s="753" t="s">
        <v>266</v>
      </c>
      <c r="Q3" s="1647" t="s">
        <v>267</v>
      </c>
      <c r="R3" s="1648"/>
      <c r="S3" s="1841" t="s">
        <v>268</v>
      </c>
      <c r="T3" s="1675" t="s">
        <v>269</v>
      </c>
      <c r="U3" s="1675"/>
      <c r="V3" s="1675"/>
      <c r="W3" s="1675"/>
      <c r="X3" s="1675"/>
      <c r="Y3" s="1675"/>
      <c r="Z3" s="1843" t="s">
        <v>43</v>
      </c>
      <c r="AA3" s="1843"/>
      <c r="AB3" s="1843"/>
      <c r="AC3" s="1843"/>
      <c r="AD3" s="1844" t="s">
        <v>270</v>
      </c>
      <c r="AE3" s="1844"/>
      <c r="AF3" s="1844"/>
      <c r="AG3" s="1844"/>
      <c r="AH3" s="1844"/>
      <c r="AI3" s="1844"/>
      <c r="AJ3" s="1844"/>
      <c r="AK3" s="1844"/>
      <c r="AL3" s="1844"/>
      <c r="AM3" s="1844"/>
      <c r="AN3" s="1845" t="s">
        <v>45</v>
      </c>
      <c r="AO3" s="1847" t="s">
        <v>271</v>
      </c>
      <c r="AP3" s="1847"/>
      <c r="AQ3" s="1665" t="s">
        <v>272</v>
      </c>
      <c r="AR3" s="1840" t="s">
        <v>221</v>
      </c>
      <c r="AS3" s="1840"/>
      <c r="AT3" s="1840" t="s">
        <v>223</v>
      </c>
      <c r="AU3" s="1840"/>
      <c r="AV3" s="1840" t="s">
        <v>227</v>
      </c>
      <c r="AW3" s="1840"/>
      <c r="AX3" s="1840" t="s">
        <v>248</v>
      </c>
      <c r="AY3" s="1840"/>
      <c r="AZ3" s="1848" t="s">
        <v>273</v>
      </c>
      <c r="BA3" s="1850" t="s">
        <v>274</v>
      </c>
      <c r="BB3" s="1850"/>
      <c r="BC3" s="1850"/>
      <c r="BD3" s="1850"/>
      <c r="BE3" s="1850" t="s">
        <v>275</v>
      </c>
      <c r="BF3" s="1850"/>
      <c r="BG3" s="1850"/>
      <c r="BH3" s="1850" t="s">
        <v>276</v>
      </c>
      <c r="BI3" s="1850"/>
      <c r="BJ3" s="1850" t="s">
        <v>277</v>
      </c>
      <c r="BK3" s="1850"/>
      <c r="BL3" s="1851" t="s">
        <v>278</v>
      </c>
      <c r="BM3" s="1853" t="s">
        <v>150</v>
      </c>
      <c r="BN3" s="1853"/>
      <c r="BO3" s="1853"/>
      <c r="BP3" s="1853"/>
      <c r="BQ3" s="1854" t="s">
        <v>132</v>
      </c>
      <c r="BR3" s="1854" t="s">
        <v>133</v>
      </c>
      <c r="BS3" s="1856" t="s">
        <v>134</v>
      </c>
      <c r="BT3" s="1507" t="s">
        <v>70</v>
      </c>
      <c r="BU3" s="1507"/>
      <c r="BV3" s="1507" t="s">
        <v>43</v>
      </c>
      <c r="BW3" s="1507"/>
      <c r="BX3" s="1507" t="s">
        <v>71</v>
      </c>
      <c r="BY3" s="1507"/>
      <c r="BZ3" s="1508" t="s">
        <v>72</v>
      </c>
      <c r="CA3" s="1508"/>
      <c r="CB3" s="1511" t="s">
        <v>73</v>
      </c>
      <c r="CC3" s="1511"/>
      <c r="CD3" s="1511"/>
      <c r="CE3" s="1511"/>
      <c r="CF3" s="1686" t="s">
        <v>272</v>
      </c>
      <c r="CG3" s="1858" t="s">
        <v>431</v>
      </c>
      <c r="CH3" s="1858"/>
      <c r="CI3" s="1858"/>
      <c r="CJ3" s="1858"/>
      <c r="CK3" s="1858"/>
      <c r="CL3" s="1859" t="s">
        <v>436</v>
      </c>
      <c r="CM3" s="1859"/>
      <c r="CN3" s="1859"/>
      <c r="CO3" s="1859"/>
      <c r="CP3" s="1859"/>
      <c r="CQ3" s="1680" t="s">
        <v>279</v>
      </c>
      <c r="CR3" s="1681"/>
      <c r="CS3" s="1679" t="s">
        <v>437</v>
      </c>
      <c r="CT3" s="1679"/>
      <c r="CU3" s="1679"/>
      <c r="CV3" s="1679"/>
      <c r="CW3" s="1682"/>
    </row>
    <row r="4" spans="1:101" ht="15" customHeight="1" thickBot="1">
      <c r="A4" s="1768"/>
      <c r="B4" s="1769"/>
      <c r="C4" s="855" t="s">
        <v>280</v>
      </c>
      <c r="D4" s="855" t="s">
        <v>281</v>
      </c>
      <c r="E4" s="855" t="s">
        <v>282</v>
      </c>
      <c r="F4" s="1770"/>
      <c r="G4" s="1771"/>
      <c r="H4" s="856" t="s">
        <v>283</v>
      </c>
      <c r="I4" s="857" t="s">
        <v>284</v>
      </c>
      <c r="J4" s="857" t="s">
        <v>285</v>
      </c>
      <c r="K4" s="857" t="s">
        <v>286</v>
      </c>
      <c r="L4" s="857" t="s">
        <v>287</v>
      </c>
      <c r="M4" s="857" t="s">
        <v>288</v>
      </c>
      <c r="N4" s="857" t="s">
        <v>289</v>
      </c>
      <c r="O4" s="857" t="s">
        <v>290</v>
      </c>
      <c r="P4" s="858" t="s">
        <v>291</v>
      </c>
      <c r="Q4" s="859" t="s">
        <v>283</v>
      </c>
      <c r="R4" s="860" t="s">
        <v>292</v>
      </c>
      <c r="S4" s="1842"/>
      <c r="T4" s="862" t="s">
        <v>55</v>
      </c>
      <c r="U4" s="862" t="s">
        <v>293</v>
      </c>
      <c r="V4" s="862" t="s">
        <v>294</v>
      </c>
      <c r="W4" s="862" t="s">
        <v>295</v>
      </c>
      <c r="X4" s="862" t="s">
        <v>296</v>
      </c>
      <c r="Y4" s="862" t="s">
        <v>297</v>
      </c>
      <c r="Z4" s="914" t="s">
        <v>55</v>
      </c>
      <c r="AA4" s="914" t="s">
        <v>293</v>
      </c>
      <c r="AB4" s="914" t="s">
        <v>294</v>
      </c>
      <c r="AC4" s="914" t="s">
        <v>296</v>
      </c>
      <c r="AD4" s="915" t="s">
        <v>298</v>
      </c>
      <c r="AE4" s="915" t="s">
        <v>299</v>
      </c>
      <c r="AF4" s="915" t="s">
        <v>294</v>
      </c>
      <c r="AG4" s="915" t="s">
        <v>300</v>
      </c>
      <c r="AH4" s="915" t="s">
        <v>295</v>
      </c>
      <c r="AI4" s="915" t="s">
        <v>64</v>
      </c>
      <c r="AJ4" s="915" t="s">
        <v>65</v>
      </c>
      <c r="AK4" s="915" t="s">
        <v>301</v>
      </c>
      <c r="AL4" s="915" t="s">
        <v>302</v>
      </c>
      <c r="AM4" s="915" t="s">
        <v>303</v>
      </c>
      <c r="AN4" s="1846"/>
      <c r="AO4" s="916" t="s">
        <v>285</v>
      </c>
      <c r="AP4" s="916" t="s">
        <v>286</v>
      </c>
      <c r="AQ4" s="1774"/>
      <c r="AR4" s="917" t="s">
        <v>212</v>
      </c>
      <c r="AS4" s="917" t="s">
        <v>214</v>
      </c>
      <c r="AT4" s="917" t="s">
        <v>215</v>
      </c>
      <c r="AU4" s="917" t="s">
        <v>217</v>
      </c>
      <c r="AV4" s="917" t="s">
        <v>219</v>
      </c>
      <c r="AW4" s="917" t="s">
        <v>225</v>
      </c>
      <c r="AX4" s="917" t="s">
        <v>244</v>
      </c>
      <c r="AY4" s="917" t="s">
        <v>246</v>
      </c>
      <c r="AZ4" s="1849"/>
      <c r="BA4" s="918" t="s">
        <v>304</v>
      </c>
      <c r="BB4" s="918" t="s">
        <v>305</v>
      </c>
      <c r="BC4" s="918" t="s">
        <v>306</v>
      </c>
      <c r="BD4" s="918" t="s">
        <v>307</v>
      </c>
      <c r="BE4" s="918" t="s">
        <v>308</v>
      </c>
      <c r="BF4" s="918" t="s">
        <v>309</v>
      </c>
      <c r="BG4" s="918" t="s">
        <v>310</v>
      </c>
      <c r="BH4" s="918" t="s">
        <v>311</v>
      </c>
      <c r="BI4" s="918" t="s">
        <v>312</v>
      </c>
      <c r="BJ4" s="918" t="s">
        <v>313</v>
      </c>
      <c r="BK4" s="918" t="s">
        <v>314</v>
      </c>
      <c r="BL4" s="1852"/>
      <c r="BM4" s="919" t="s">
        <v>145</v>
      </c>
      <c r="BN4" s="919" t="s">
        <v>146</v>
      </c>
      <c r="BO4" s="919" t="s">
        <v>315</v>
      </c>
      <c r="BP4" s="919" t="s">
        <v>316</v>
      </c>
      <c r="BQ4" s="1855"/>
      <c r="BR4" s="1855"/>
      <c r="BS4" s="1857"/>
      <c r="BT4" s="864" t="s">
        <v>79</v>
      </c>
      <c r="BU4" s="865" t="s">
        <v>80</v>
      </c>
      <c r="BV4" s="864" t="s">
        <v>79</v>
      </c>
      <c r="BW4" s="865" t="s">
        <v>80</v>
      </c>
      <c r="BX4" s="864" t="s">
        <v>79</v>
      </c>
      <c r="BY4" s="865" t="s">
        <v>80</v>
      </c>
      <c r="BZ4" s="866" t="s">
        <v>79</v>
      </c>
      <c r="CA4" s="867" t="s">
        <v>80</v>
      </c>
      <c r="CB4" s="868" t="s">
        <v>70</v>
      </c>
      <c r="CC4" s="868" t="s">
        <v>43</v>
      </c>
      <c r="CD4" s="868" t="s">
        <v>71</v>
      </c>
      <c r="CE4" s="868" t="s">
        <v>72</v>
      </c>
      <c r="CF4" s="1779"/>
      <c r="CG4" s="920" t="s">
        <v>70</v>
      </c>
      <c r="CH4" s="920" t="s">
        <v>43</v>
      </c>
      <c r="CI4" s="920" t="s">
        <v>71</v>
      </c>
      <c r="CJ4" s="920" t="s">
        <v>72</v>
      </c>
      <c r="CK4" s="920" t="s">
        <v>73</v>
      </c>
      <c r="CL4" s="920" t="s">
        <v>70</v>
      </c>
      <c r="CM4" s="920" t="s">
        <v>43</v>
      </c>
      <c r="CN4" s="920" t="s">
        <v>71</v>
      </c>
      <c r="CO4" s="920" t="s">
        <v>72</v>
      </c>
      <c r="CP4" s="920" t="s">
        <v>73</v>
      </c>
      <c r="CQ4" s="869" t="s">
        <v>317</v>
      </c>
      <c r="CR4" s="870" t="s">
        <v>318</v>
      </c>
      <c r="CS4" s="865" t="s">
        <v>70</v>
      </c>
      <c r="CT4" s="865" t="s">
        <v>43</v>
      </c>
      <c r="CU4" s="865" t="s">
        <v>71</v>
      </c>
      <c r="CV4" s="868" t="s">
        <v>72</v>
      </c>
      <c r="CW4" s="871" t="s">
        <v>73</v>
      </c>
    </row>
    <row r="5" spans="1:101" ht="15.75" customHeight="1">
      <c r="A5" s="921">
        <v>44774</v>
      </c>
      <c r="B5" s="873">
        <f>COUNTIF('09월 조업일지'!$A$12:$A$952,A5)</f>
        <v>0</v>
      </c>
      <c r="C5" s="874" t="str">
        <f>IF(B5&lt;1,"",E5-D5)</f>
        <v/>
      </c>
      <c r="D5" s="874" t="str">
        <f>IF($B5&lt;1,"",(SUMIF('09월 조업일지'!$A$12:$A$952,$A5,'09월 조업일지'!$K$12:$K$952))/B5)</f>
        <v/>
      </c>
      <c r="E5" s="874" t="str">
        <f>IF($B5&lt;1,"",AVERAGEIF('09월 조업일지'!$A$12:$A$952,$A5,'09월 조업일지'!$J$12:$J$952))</f>
        <v/>
      </c>
      <c r="F5" s="922" t="str">
        <f>IF($B5&lt;1,"",AVERAGEIF('09월 에너지'!$A$14:$A$949,$A5,'09월 에너지'!$M$14:M$949))</f>
        <v/>
      </c>
      <c r="G5" s="876" t="str">
        <f>IF($B5&lt;1,"",AVERAGEIF('09월 조업일지'!$A$12:$A$952,$A5,'09월 조업일지'!$AJ$12:$AJ$952))</f>
        <v/>
      </c>
      <c r="H5" s="876" t="str">
        <f>IF($B5&lt;1,"",AVERAGEIF('09월 조업일지'!$A$12:$A$952,$A5,'09월 조업일지'!$AL$12:$AL$952))</f>
        <v/>
      </c>
      <c r="I5" s="923" t="str">
        <f>IF($B5&lt;1,"",AVERAGEIF('09월 화학성분'!$A$12:$A$949,$A5,'09월 화학성분'!G$12:G$949))</f>
        <v/>
      </c>
      <c r="J5" s="923" t="str">
        <f>IF($B5&lt;1,"",AVERAGEIF('09월 화학성분'!$A$12:$A$949,$A5,'09월 화학성분'!H$12:H$949))</f>
        <v/>
      </c>
      <c r="K5" s="923" t="str">
        <f>IF($B5&lt;1,"",AVERAGEIF('09월 화학성분'!$A$12:$A$949,$A5,'09월 화학성분'!I$12:I$949))</f>
        <v/>
      </c>
      <c r="L5" s="923" t="str">
        <f>IF($B5&lt;1,"",AVERAGEIF('09월 화학성분'!$A$12:$A$949,$A5,'09월 화학성분'!J$12:J$949))</f>
        <v/>
      </c>
      <c r="M5" s="923" t="str">
        <f>IF($B5&lt;1,"",AVERAGEIF('09월 화학성분'!$A$12:$A$949,$A5,'09월 화학성분'!K$12:K$949))</f>
        <v/>
      </c>
      <c r="N5" s="923" t="str">
        <f>IF($B5&lt;1,"",AVERAGEIF('09월 화학성분'!$A$12:$A$949,$A5,'09월 화학성분'!L$12:L$949))</f>
        <v/>
      </c>
      <c r="O5" s="923" t="str">
        <f>IF($B5&lt;1,"",AVERAGEIF('09월 화학성분'!$A$12:$A$949,$A5,'09월 화학성분'!M$12:M$949))</f>
        <v/>
      </c>
      <c r="P5" s="878" t="str">
        <f>IF($B5&lt;1,"",AVERAGEIF('09월 조업일지'!$A$12:$A$952,$A5,'09월 조업일지'!$AK$12:$AK$952))</f>
        <v/>
      </c>
      <c r="Q5" s="923" t="str">
        <f>IF($B5&lt;1,"",AVERAGEIF('09월 화학성분'!$A$12:$A$949,$A5,'09월 화학성분'!$G$12:$G$949))</f>
        <v/>
      </c>
      <c r="R5" s="878" t="str">
        <f>IF($B5&lt;1,"",AVERAGEIF('09월 조업일지'!$A$12:$A$952,$A5,'09월 조업일지'!$AI$12:$AI$952))</f>
        <v/>
      </c>
      <c r="S5" s="924" t="str">
        <f>IF($B5&lt;1,"",SUMIF('09월 화학성분'!$A$12:$A$949,$A5,'09월 화학성분'!$AM$12:$AM$949))</f>
        <v/>
      </c>
      <c r="T5" s="925" t="str">
        <f>IF($B5&lt;1,"",SUMIF('09월 화학성분'!$A$12:$A$949,$A5,'09월 화학성분'!N$12:N$949))</f>
        <v/>
      </c>
      <c r="U5" s="925" t="str">
        <f>IF($B5&lt;1,"",SUMIF('09월 화학성분'!$A$12:$A$949,$A5,'09월 화학성분'!O$12:O$949))</f>
        <v/>
      </c>
      <c r="V5" s="925" t="str">
        <f>IF($B5&lt;1,"",SUMIF('09월 화학성분'!$A$12:$A$949,$A5,'09월 화학성분'!P$12:P$949))</f>
        <v/>
      </c>
      <c r="W5" s="925" t="str">
        <f>IF($B5&lt;1,"",SUMIF('09월 화학성분'!$A$12:$A$949,$A5,'09월 화학성분'!Q$12:Q$949))</f>
        <v/>
      </c>
      <c r="X5" s="925" t="str">
        <f>IF($B5&lt;1,"",SUMIF('09월 화학성분'!$A$12:$A$949,$A5,'09월 화학성분'!R$12:R$949))</f>
        <v/>
      </c>
      <c r="Y5" s="925" t="str">
        <f>IF($B5&lt;1,"",SUMIF('09월 화학성분'!$A$12:$A$949,$A5,'09월 화학성분'!U$12:U$949))</f>
        <v/>
      </c>
      <c r="Z5" s="926" t="str">
        <f>IF($B5&lt;1,"",SUMIF('09월 화학성분'!$A$12:$A$949,$A5,'09월 화학성분'!V$12:V$949))</f>
        <v/>
      </c>
      <c r="AA5" s="926" t="str">
        <f>IF($B5&lt;1,"",SUMIF('09월 화학성분'!$A$12:$A$949,$A5,'09월 화학성분'!W$12:W$949))</f>
        <v/>
      </c>
      <c r="AB5" s="926" t="str">
        <f>IF($B5&lt;1,"",SUMIF('09월 화학성분'!$A$12:$A$949,$A5,'09월 화학성분'!AA$12:AA$949))</f>
        <v/>
      </c>
      <c r="AC5" s="926"/>
      <c r="AD5" s="927" t="str">
        <f>IF($B5&lt;1,"",SUMIF('09월 화학성분'!$A$12:$A$949,$A5,'09월 화학성분'!AB$12:AB$949))</f>
        <v/>
      </c>
      <c r="AE5" s="927" t="str">
        <f>IF($B5&lt;1,"",SUMIF('09월 화학성분'!$A$12:$A$949,$A5,'09월 화학성분'!AC$12:AC$949))</f>
        <v/>
      </c>
      <c r="AF5" s="927" t="str">
        <f>IF($B5&lt;1,"",SUMIF('09월 화학성분'!$A$12:$A$949,$A5,'09월 화학성분'!AD$12:AD$949))</f>
        <v/>
      </c>
      <c r="AG5" s="927"/>
      <c r="AH5" s="927" t="str">
        <f>IF($B5&lt;1,"",SUMIF('09월 화학성분'!$A$12:$A$949,$A5,'09월 화학성분'!AG$12:AG$949))</f>
        <v/>
      </c>
      <c r="AI5" s="927" t="str">
        <f>IF($B5&lt;1,"",SUMIF('09월 화학성분'!$A$12:$A$949,$A5,'09월 화학성분'!AH$12:AH$949))</f>
        <v/>
      </c>
      <c r="AJ5" s="927" t="str">
        <f>IF($B5&lt;1,"",SUMIF('09월 화학성분'!$A$12:$A$949,$A5,'09월 화학성분'!AI$12:AI$949))</f>
        <v/>
      </c>
      <c r="AK5" s="927" t="str">
        <f>IF($B5&lt;1,"",SUMIF('09월 화학성분'!$A$12:$A$949,$A5,'09월 화학성분'!AJ$12:AJ$949))</f>
        <v/>
      </c>
      <c r="AL5" s="927" t="str">
        <f>IF($B5&lt;1,"",SUMIF('09월 화학성분'!$A$12:$A$949,$A5,'09월 화학성분'!#REF!))</f>
        <v/>
      </c>
      <c r="AM5" s="927" t="str">
        <f>IF($B5&lt;1,"",SUMIF('09월 화학성분'!$A$12:$A$949,$A5,'09월 화학성분'!AL$12:AL$949))</f>
        <v/>
      </c>
      <c r="AN5" s="928" t="str">
        <f>IF($B5&lt;1,"",SUMIF('09월 화학성분'!$A$12:$A$949,$A5,'09월 화학성분'!AM$12:AM$949))</f>
        <v/>
      </c>
      <c r="AO5" s="929" t="str">
        <f>IF($B5&lt;1,"",AVERAGEIF('09월 화학성분'!$A$12:$A$949,$A5,'09월 화학성분'!AN$12:AN$949))</f>
        <v/>
      </c>
      <c r="AP5" s="929" t="str">
        <f>IF($B5&lt;1,"",AVERAGEIF('09월 화학성분'!$A$12:$A$949,$A5,'09월 화학성분'!AO$12:AO$949))</f>
        <v/>
      </c>
      <c r="AQ5" s="930" t="str">
        <f>IF($B5&lt;1,"",SUMIF('09월 화학성분'!$A$12:$A$949,$A5,'09월 화학성분'!AP$12:AP$949))</f>
        <v/>
      </c>
      <c r="AR5" s="931" t="str">
        <f>IF($B5&lt;1,"",SUMIF('09월 고철장입'!$A$14:$A$949,$A5,'09월 고철장입'!G$14:G$949)/1000)</f>
        <v/>
      </c>
      <c r="AS5" s="931" t="str">
        <f>IF($B5&lt;1,"",SUMIF('09월 고철장입'!$A$14:$A$949,$A5,'09월 고철장입'!H$14:H$949)/1000)</f>
        <v/>
      </c>
      <c r="AT5" s="931" t="str">
        <f>IF($B5&lt;1,"",SUMIF('09월 고철장입'!$A$14:$A$949,$A5,'09월 고철장입'!I$14:I$949)/1000)</f>
        <v/>
      </c>
      <c r="AU5" s="931" t="str">
        <f>IF($B5&lt;1,"",SUMIF('09월 고철장입'!$A$14:$A$949,$A5,'09월 고철장입'!J$14:J$949)/1000)</f>
        <v/>
      </c>
      <c r="AV5" s="931" t="str">
        <f>IF($B5&lt;1,"",SUMIF('09월 고철장입'!$A$14:$A$949,$A5,'09월 고철장입'!K$14:K$949)/1000)</f>
        <v/>
      </c>
      <c r="AW5" s="931" t="str">
        <f>IF($B5&lt;1,"",SUMIF('09월 고철장입'!$A$14:$A$949,$A5,'09월 고철장입'!L$14:L$949)/1000)</f>
        <v/>
      </c>
      <c r="AX5" s="931" t="str">
        <f>IF($B5&lt;1,"",SUMIF('09월 고철장입'!$A$14:$A$949,$A5,'09월 고철장입'!M$14:M$949)/1000)</f>
        <v/>
      </c>
      <c r="AY5" s="931" t="str">
        <f>IF($B5&lt;1,"",SUMIF('09월 고철장입'!$A$14:$A$949,$A5,'09월 고철장입'!N$14:N$949)/1000)</f>
        <v/>
      </c>
      <c r="AZ5" s="931" t="str">
        <f>IF($B5&lt;1,"",SUMIF('09월 고철장입'!$A$14:$A$949,$A5,'09월 고철장입'!O$14:O$949)/1000)</f>
        <v/>
      </c>
      <c r="BA5" s="932" t="str">
        <f>IF($B5&lt;1,"",SUMIF('09월 고철장입'!$A$14:$A$949,$A5,'09월 고철장입'!P$14:P$949)/1000)</f>
        <v/>
      </c>
      <c r="BB5" s="932" t="str">
        <f>IF($B5&lt;1,"",SUMIF('09월 고철장입'!$A$14:$A$949,$A5,'09월 고철장입'!Q$14:Q$949)/1000)</f>
        <v/>
      </c>
      <c r="BC5" s="932" t="str">
        <f>IF($B5&lt;1,"",SUMIF('09월 고철장입'!$A$14:$A$949,$A5,'09월 고철장입'!S$14:S$949)/1000)</f>
        <v/>
      </c>
      <c r="BD5" s="932" t="str">
        <f>IF($B5&lt;1,"",SUMIF('09월 고철장입'!$A$14:$A$949,$A5,'09월 고철장입'!T$14:T$949)/1000)</f>
        <v/>
      </c>
      <c r="BE5" s="932" t="str">
        <f>IF($B5&lt;1,"",SUMIF('09월 고철장입'!$A$14:$A$949,$A5,'09월 고철장입'!U$14:U$949)/1000)</f>
        <v/>
      </c>
      <c r="BF5" s="932" t="str">
        <f>IF($B5&lt;1,"",SUMIF('09월 고철장입'!$A$14:$A$949,$A5,'09월 고철장입'!V$14:V$949)/1000)</f>
        <v/>
      </c>
      <c r="BG5" s="932" t="str">
        <f>IF($B5&lt;1,"",SUMIF('09월 고철장입'!$A$14:$A$949,$A5,'09월 고철장입'!W$14:W$949)/1000)</f>
        <v/>
      </c>
      <c r="BH5" s="932" t="str">
        <f>IF($B5&lt;1,"",SUMIF('09월 고철장입'!$A$14:$A$949,$A5,'09월 고철장입'!Y$14:Y$949)/1000)</f>
        <v/>
      </c>
      <c r="BI5" s="932" t="str">
        <f>IF($B5&lt;1,"",SUMIF('09월 고철장입'!$A$14:$A$949,$A5,'09월 고철장입'!AB$14:AB$949)/1000)</f>
        <v/>
      </c>
      <c r="BJ5" s="932" t="str">
        <f>IF($B5&lt;1,"",SUMIF('09월 고철장입'!$A$14:$A$949,$A5,'09월 고철장입'!AC$14:AC$949)/1000)</f>
        <v/>
      </c>
      <c r="BK5" s="932" t="str">
        <f>IF($B5&lt;1,"",SUMIF('09월 고철장입'!$A$14:$A$949,$A5,'09월 고철장입'!AD$14:AD$949)/1000)</f>
        <v/>
      </c>
      <c r="BL5" s="932" t="str">
        <f>IF($B5&lt;1,"",SUMIF('09월 고철장입'!$A$14:$A$949,$A5,'09월 고철장입'!AE$14:AE$949)/1000)</f>
        <v/>
      </c>
      <c r="BM5" s="933" t="str">
        <f>IF($B5&lt;1,"",SUMIF('09월 고철장입'!$A$14:$A$949,$A5,'09월 고철장입'!AF$14:AF$949)/1000)</f>
        <v/>
      </c>
      <c r="BN5" s="933" t="str">
        <f>IF($B5&lt;1,"",SUMIF('09월 고철장입'!$A$14:$A$949,$A5,'09월 고철장입'!AG$14:AG$949)/1000)</f>
        <v/>
      </c>
      <c r="BO5" s="933" t="str">
        <f>IF($B5&lt;1,"",SUMIF('09월 고철장입'!$A$14:$A$949,$A5,'09월 고철장입'!AH$14:AH$949)/1000)</f>
        <v/>
      </c>
      <c r="BP5" s="933" t="str">
        <f>IF($B5&lt;1,"",SUMIF('09월 고철장입'!$A$14:$A$949,$A5,'09월 고철장입'!AI$14:AI$949)/1000)</f>
        <v/>
      </c>
      <c r="BQ5" s="934" t="str">
        <f>IF($B5&lt;1,"",SUMIF('09월 고철장입'!$A$14:$A$949,$A5,'09월 고철장입'!AJ$14:AJ$949)/1000)</f>
        <v/>
      </c>
      <c r="BR5" s="934" t="str">
        <f>IF($B5&lt;1,"",SUMIF('09월 고철장입'!$A$14:$A$949,$A5,'09월 고철장입'!AK$14:AK$949))</f>
        <v/>
      </c>
      <c r="BS5" s="935" t="str">
        <f>IF($B5&lt;1,"",AVERAGEIF('09월 고철장입'!$A$14:$A$949,$A5,'09월 고철장입'!AL$14:AL$949)*100)</f>
        <v/>
      </c>
      <c r="BT5" s="930" t="str">
        <f>IF($B5&lt;1,"",SUMIF('09월 에너지'!$A$14:$A$949,$A5,'09월 에너지'!G$14:G$949))</f>
        <v/>
      </c>
      <c r="BU5" s="930" t="str">
        <f>IF($B5&lt;1,"",SUMIF('09월 에너지'!$A$14:$A$949,$A5,'09월 에너지'!H$14:H$949))</f>
        <v/>
      </c>
      <c r="BV5" s="930" t="str">
        <f>IF($B5&lt;1,"",SUMIF('09월 에너지'!$A$14:$A$949,$A5,'09월 에너지'!I$14:I$949))</f>
        <v/>
      </c>
      <c r="BW5" s="930" t="str">
        <f>IF($B5&lt;1,"",SUMIF('09월 에너지'!$A$14:$A$949,$A5,'09월 에너지'!J$14:J$949))</f>
        <v/>
      </c>
      <c r="BX5" s="930" t="str">
        <f>IF($B5&lt;1,"",SUMIF('09월 에너지'!$A$14:$A$949,$A5,'09월 에너지'!K$14:K$949))</f>
        <v/>
      </c>
      <c r="BY5" s="930" t="str">
        <f>IF($B5&lt;1,"",SUMIF('09월 에너지'!$A$14:$A$949,$A5,'09월 에너지'!L$14:L$949))</f>
        <v/>
      </c>
      <c r="BZ5" s="930" t="str">
        <f>IF($B5&lt;1,"",SUMIF('09월 에너지'!$A$14:$A$949,$A5,'09월 에너지'!M$14:M$949))</f>
        <v/>
      </c>
      <c r="CA5" s="930" t="str">
        <f>IF($B5&lt;1,"",SUMIF('09월 에너지'!$A$14:$A$949,$A5,'09월 에너지'!N$14:N$949))</f>
        <v/>
      </c>
      <c r="CB5" s="930" t="str">
        <f>IF($B5&lt;1,"",SUMIF('09월 에너지'!$A$14:$A$949,$A5,'09월 에너지'!O$14:O$949))</f>
        <v/>
      </c>
      <c r="CC5" s="930" t="str">
        <f>IF($B5&lt;1,"",SUMIF('09월 에너지'!$A$14:$A$949,$A5,'09월 에너지'!P$14:P$949))</f>
        <v/>
      </c>
      <c r="CD5" s="930" t="str">
        <f>IF($B5&lt;1,"",SUMIF('09월 에너지'!$A$14:$A$949,$A5,'09월 에너지'!Q$14:Q$949))</f>
        <v/>
      </c>
      <c r="CE5" s="930" t="str">
        <f>IF($B5&lt;1,"",SUMIF('09월 에너지'!$A$14:$A$949,$A5,'09월 에너지'!R$14:R$949))</f>
        <v/>
      </c>
      <c r="CF5" s="930" t="str">
        <f>IF($B5&lt;1,"",SUMIF('09월 에너지'!$A$14:$A$949,$A5,'09월 에너지'!S$14:S$949))</f>
        <v/>
      </c>
      <c r="CG5" s="936" t="str">
        <f>IF($B5&lt;1,"",SUMIF('09월 에너지'!$A$14:$A$949,$A5,'09월 에너지'!T$14:T$949))</f>
        <v/>
      </c>
      <c r="CH5" s="936" t="str">
        <f>IF($B5&lt;1,"",SUMIF('09월 에너지'!$A$14:$A$949,$A5,'09월 에너지'!U$14:U$949))</f>
        <v/>
      </c>
      <c r="CI5" s="936" t="str">
        <f>IF($B5&lt;1,"",SUMIF('09월 에너지'!$A$14:$A$949,$A5,'09월 에너지'!V$14:V$949))</f>
        <v/>
      </c>
      <c r="CJ5" s="936" t="str">
        <f>IF($B5&lt;1,"",SUMIF('09월 에너지'!$A$14:$A$949,$A5,'09월 에너지'!W$14:W$949))</f>
        <v/>
      </c>
      <c r="CK5" s="936" t="str">
        <f>IF($B5&lt;1,"",SUMIF('09월 에너지'!$A$14:$A$949,$A5,'09월 에너지'!X$14:X$949))</f>
        <v/>
      </c>
      <c r="CL5" s="936" t="str">
        <f>IF($B5&lt;1,"",SUMIF('09월 에너지'!$A$14:$A$949,$A5,'09월 에너지'!Y$14:Y$949))</f>
        <v/>
      </c>
      <c r="CM5" s="936" t="str">
        <f>IF($B5&lt;1,"",SUMIF('09월 에너지'!$A$14:$A$949,$A5,'09월 에너지'!Z$14:Z$949))</f>
        <v/>
      </c>
      <c r="CN5" s="936" t="str">
        <f>IF($B5&lt;1,"",SUMIF('09월 에너지'!$A$14:$A$949,$A5,'09월 에너지'!AA$14:AA$949))</f>
        <v/>
      </c>
      <c r="CO5" s="936" t="str">
        <f>IF($B5&lt;1,"",SUMIF('09월 에너지'!$A$14:$A$949,$A5,'09월 에너지'!AB$14:AB$949))</f>
        <v/>
      </c>
      <c r="CP5" s="936" t="str">
        <f>IF($B5&lt;1,"",SUMIF('09월 에너지'!$A$14:$A$949,$A5,'09월 에너지'!AC$14:AC$949))</f>
        <v/>
      </c>
      <c r="CQ5" s="937" t="str">
        <f>IF($B5&lt;1,"",SUMIF('09월 에너지'!$A$14:$A$949,$A5,'09월 에너지'!AD$14:AD$949))</f>
        <v/>
      </c>
      <c r="CR5" s="937" t="str">
        <f>IF($B5&lt;1,"",SUMIF('09월 에너지'!$A$14:$A$949,$A5,'09월 에너지'!AE$14:AE$949))</f>
        <v/>
      </c>
      <c r="CS5" s="930" t="str">
        <f>IF($B5&lt;1,"",SUMIF('09월 에너지'!$A$14:$A$949,$A5,'09월 에너지'!AF$14:AF$949))</f>
        <v/>
      </c>
      <c r="CT5" s="930" t="str">
        <f>IF($B5&lt;1,"",SUMIF('09월 에너지'!$A$14:$A$949,$A5,'09월 에너지'!AG$14:AG$949))</f>
        <v/>
      </c>
      <c r="CU5" s="930" t="str">
        <f>IF($B5&lt;1,"",SUMIF('09월 에너지'!$A$14:$A$949,$A5,'09월 에너지'!AH$14:AH$949))</f>
        <v/>
      </c>
      <c r="CV5" s="930" t="str">
        <f>IF($B5&lt;1,"",SUMIF('09월 에너지'!$A$14:$A$949,$A5,'09월 에너지'!AI$14:AI$949))</f>
        <v/>
      </c>
      <c r="CW5" s="938" t="str">
        <f>IF($B5&lt;1,"",SUMIF('09월 에너지'!$A$14:$A$949,$A5,'09월 에너지'!AJ$14:AJ$949))</f>
        <v/>
      </c>
    </row>
    <row r="6" spans="1:101" ht="15.75" customHeight="1">
      <c r="A6" s="939">
        <f>A5+1</f>
        <v>44775</v>
      </c>
      <c r="B6" s="884">
        <f>COUNTIF('09월 조업일지'!$A$12:$A$952,A6)</f>
        <v>0</v>
      </c>
      <c r="C6" s="885" t="str">
        <f t="shared" ref="C6:C35" si="0">IF(B6&lt;1,"",E6-D6)</f>
        <v/>
      </c>
      <c r="D6" s="885" t="str">
        <f>IF($B6&lt;1,"",(SUMIF('09월 조업일지'!$A$12:$A$952,$A6,'09월 조업일지'!$K$12:$K$952))/B6)</f>
        <v/>
      </c>
      <c r="E6" s="885" t="str">
        <f>IF($B6&lt;1,"",AVERAGEIF('09월 조업일지'!$A$12:$A$952,$A6,'09월 조업일지'!$J$12:$J$952))</f>
        <v/>
      </c>
      <c r="F6" s="940" t="str">
        <f>IF($B6&lt;1,"",AVERAGEIF('09월 에너지'!$A$14:$A$949,$A6,'09월 에너지'!$M$14:M$949))</f>
        <v/>
      </c>
      <c r="G6" s="887" t="str">
        <f>IF($B6&lt;1,"",AVERAGEIF('09월 조업일지'!$A$12:$A$952,$A6,'09월 조업일지'!$AJ$12:$AJ$952))</f>
        <v/>
      </c>
      <c r="H6" s="887" t="str">
        <f>IF($B6&lt;1,"",AVERAGEIF('09월 조업일지'!$A$12:$A$952,$A6,'09월 조업일지'!$AL$12:$AL$952))</f>
        <v/>
      </c>
      <c r="I6" s="941" t="str">
        <f>IF($B6&lt;1,"",AVERAGEIF('09월 화학성분'!$A$12:$A$949,$A6,'09월 화학성분'!G$12:G$949))</f>
        <v/>
      </c>
      <c r="J6" s="941" t="str">
        <f>IF($B6&lt;1,"",AVERAGEIF('09월 화학성분'!$A$12:$A$949,$A6,'09월 화학성분'!H$12:H$949))</f>
        <v/>
      </c>
      <c r="K6" s="941" t="str">
        <f>IF($B6&lt;1,"",AVERAGEIF('09월 화학성분'!$A$12:$A$949,$A6,'09월 화학성분'!I$12:I$949))</f>
        <v/>
      </c>
      <c r="L6" s="941" t="str">
        <f>IF($B6&lt;1,"",AVERAGEIF('09월 화학성분'!$A$12:$A$949,$A6,'09월 화학성분'!J$12:J$949))</f>
        <v/>
      </c>
      <c r="M6" s="941" t="str">
        <f>IF($B6&lt;1,"",AVERAGEIF('09월 화학성분'!$A$12:$A$949,$A6,'09월 화학성분'!K$12:K$949))</f>
        <v/>
      </c>
      <c r="N6" s="941" t="str">
        <f>IF($B6&lt;1,"",AVERAGEIF('09월 화학성분'!$A$12:$A$949,$A6,'09월 화학성분'!L$12:L$949))</f>
        <v/>
      </c>
      <c r="O6" s="941" t="str">
        <f>IF($B6&lt;1,"",AVERAGEIF('09월 화학성분'!$A$12:$A$949,$A6,'09월 화학성분'!M$12:M$949))</f>
        <v/>
      </c>
      <c r="P6" s="889" t="str">
        <f>IF($B6&lt;1,"",AVERAGEIF('09월 조업일지'!$A$12:$A$952,$A6,'09월 조업일지'!$AK$12:$AK$952))</f>
        <v/>
      </c>
      <c r="Q6" s="941" t="str">
        <f>IF($B6&lt;1,"",AVERAGEIF('09월 화학성분'!$A$12:$A$949,$A6,'09월 화학성분'!$G$12:$G$949))</f>
        <v/>
      </c>
      <c r="R6" s="889" t="str">
        <f>IF($B6&lt;1,"",AVERAGEIF('09월 조업일지'!$A$12:$A$952,$A6,'09월 조업일지'!$AI$12:$AI$952))</f>
        <v/>
      </c>
      <c r="S6" s="942" t="str">
        <f>IF($B6&lt;1,"",SUMIF('09월 화학성분'!$A$12:$A$949,$A6,'09월 화학성분'!$AM$12:$AM$949))</f>
        <v/>
      </c>
      <c r="T6" s="943" t="str">
        <f>IF($B6&lt;1,"",SUMIF('09월 화학성분'!$A$12:$A$949,$A6,'09월 화학성분'!N$12:N$949))</f>
        <v/>
      </c>
      <c r="U6" s="943" t="str">
        <f>IF($B6&lt;1,"",SUMIF('09월 화학성분'!$A$12:$A$949,$A6,'09월 화학성분'!O$12:O$949))</f>
        <v/>
      </c>
      <c r="V6" s="943" t="str">
        <f>IF($B6&lt;1,"",SUMIF('09월 화학성분'!$A$12:$A$949,$A6,'09월 화학성분'!P$12:P$949))</f>
        <v/>
      </c>
      <c r="W6" s="943" t="str">
        <f>IF($B6&lt;1,"",SUMIF('09월 화학성분'!$A$12:$A$949,$A6,'09월 화학성분'!Q$12:Q$949))</f>
        <v/>
      </c>
      <c r="X6" s="943" t="str">
        <f>IF($B6&lt;1,"",SUMIF('09월 화학성분'!$A$12:$A$949,$A6,'09월 화학성분'!R$12:R$949))</f>
        <v/>
      </c>
      <c r="Y6" s="943" t="str">
        <f>IF($B6&lt;1,"",SUMIF('09월 화학성분'!$A$12:$A$949,$A6,'09월 화학성분'!U$12:U$949))</f>
        <v/>
      </c>
      <c r="Z6" s="944" t="str">
        <f>IF($B6&lt;1,"",SUMIF('09월 화학성분'!$A$12:$A$949,$A6,'09월 화학성분'!V$12:V$949))</f>
        <v/>
      </c>
      <c r="AA6" s="944" t="str">
        <f>IF($B6&lt;1,"",SUMIF('09월 화학성분'!$A$12:$A$949,$A6,'09월 화학성분'!W$12:W$949))</f>
        <v/>
      </c>
      <c r="AB6" s="944" t="str">
        <f>IF($B6&lt;1,"",SUMIF('09월 화학성분'!$A$12:$A$949,$A6,'09월 화학성분'!AA$12:AA$949))</f>
        <v/>
      </c>
      <c r="AC6" s="944"/>
      <c r="AD6" s="945" t="str">
        <f>IF($B6&lt;1,"",SUMIF('09월 화학성분'!$A$12:$A$949,$A6,'09월 화학성분'!AB$12:AB$949))</f>
        <v/>
      </c>
      <c r="AE6" s="945" t="str">
        <f>IF($B6&lt;1,"",SUMIF('09월 화학성분'!$A$12:$A$949,$A6,'09월 화학성분'!AC$12:AC$949))</f>
        <v/>
      </c>
      <c r="AF6" s="945" t="str">
        <f>IF($B6&lt;1,"",SUMIF('09월 화학성분'!$A$12:$A$949,$A6,'09월 화학성분'!AD$12:AD$949))</f>
        <v/>
      </c>
      <c r="AG6" s="945"/>
      <c r="AH6" s="945" t="str">
        <f>IF($B6&lt;1,"",SUMIF('09월 화학성분'!$A$12:$A$949,$A6,'09월 화학성분'!AG$12:AG$949))</f>
        <v/>
      </c>
      <c r="AI6" s="945" t="str">
        <f>IF($B6&lt;1,"",SUMIF('09월 화학성분'!$A$12:$A$949,$A6,'09월 화학성분'!AH$12:AH$949))</f>
        <v/>
      </c>
      <c r="AJ6" s="945" t="str">
        <f>IF($B6&lt;1,"",SUMIF('09월 화학성분'!$A$12:$A$949,$A6,'09월 화학성분'!AI$12:AI$949))</f>
        <v/>
      </c>
      <c r="AK6" s="945" t="str">
        <f>IF($B6&lt;1,"",SUMIF('09월 화학성분'!$A$12:$A$949,$A6,'09월 화학성분'!AJ$12:AJ$949))</f>
        <v/>
      </c>
      <c r="AL6" s="945" t="str">
        <f>IF($B6&lt;1,"",SUMIF('09월 화학성분'!$A$12:$A$949,$A6,'09월 화학성분'!#REF!))</f>
        <v/>
      </c>
      <c r="AM6" s="945" t="str">
        <f>IF($B6&lt;1,"",SUMIF('09월 화학성분'!$A$12:$A$949,$A6,'09월 화학성분'!AL$12:AL$949))</f>
        <v/>
      </c>
      <c r="AN6" s="946" t="str">
        <f>IF($B6&lt;1,"",SUMIF('09월 화학성분'!$A$12:$A$949,$A6,'09월 화학성분'!AM$12:AM$949))</f>
        <v/>
      </c>
      <c r="AO6" s="947" t="str">
        <f>IF($B6&lt;1,"",AVERAGEIF('09월 화학성분'!$A$12:$A$949,$A6,'09월 화학성분'!AN$12:AN$949))</f>
        <v/>
      </c>
      <c r="AP6" s="947" t="str">
        <f>IF($B6&lt;1,"",AVERAGEIF('09월 화학성분'!$A$12:$A$949,$A6,'09월 화학성분'!AO$12:AO$949))</f>
        <v/>
      </c>
      <c r="AQ6" s="948" t="str">
        <f>IF($B6&lt;1,"",SUMIF('09월 화학성분'!$A$12:$A$949,$A6,'09월 화학성분'!AP$12:AP$949))</f>
        <v/>
      </c>
      <c r="AR6" s="949" t="str">
        <f>IF($B6&lt;1,"",SUMIF('09월 고철장입'!$A$14:$A$949,$A6,'09월 고철장입'!G$14:G$949)/1000)</f>
        <v/>
      </c>
      <c r="AS6" s="949" t="str">
        <f>IF($B6&lt;1,"",SUMIF('09월 고철장입'!$A$14:$A$949,$A6,'09월 고철장입'!H$14:H$949)/1000)</f>
        <v/>
      </c>
      <c r="AT6" s="949" t="str">
        <f>IF($B6&lt;1,"",SUMIF('09월 고철장입'!$A$14:$A$949,$A6,'09월 고철장입'!I$14:I$949)/1000)</f>
        <v/>
      </c>
      <c r="AU6" s="949" t="str">
        <f>IF($B6&lt;1,"",SUMIF('09월 고철장입'!$A$14:$A$949,$A6,'09월 고철장입'!J$14:J$949)/1000)</f>
        <v/>
      </c>
      <c r="AV6" s="949" t="str">
        <f>IF($B6&lt;1,"",SUMIF('09월 고철장입'!$A$14:$A$949,$A6,'09월 고철장입'!K$14:K$949)/1000)</f>
        <v/>
      </c>
      <c r="AW6" s="949" t="str">
        <f>IF($B6&lt;1,"",SUMIF('09월 고철장입'!$A$14:$A$949,$A6,'09월 고철장입'!L$14:L$949)/1000)</f>
        <v/>
      </c>
      <c r="AX6" s="949" t="str">
        <f>IF($B6&lt;1,"",SUMIF('09월 고철장입'!$A$14:$A$949,$A6,'09월 고철장입'!M$14:M$949)/1000)</f>
        <v/>
      </c>
      <c r="AY6" s="949" t="str">
        <f>IF($B6&lt;1,"",SUMIF('09월 고철장입'!$A$14:$A$949,$A6,'09월 고철장입'!N$14:N$949)/1000)</f>
        <v/>
      </c>
      <c r="AZ6" s="949" t="str">
        <f>IF($B6&lt;1,"",SUMIF('09월 고철장입'!$A$14:$A$949,$A6,'09월 고철장입'!O$14:O$949)/1000)</f>
        <v/>
      </c>
      <c r="BA6" s="950" t="str">
        <f>IF($B6&lt;1,"",SUMIF('09월 고철장입'!$A$14:$A$949,$A6,'09월 고철장입'!P$14:P$949)/1000)</f>
        <v/>
      </c>
      <c r="BB6" s="950" t="str">
        <f>IF($B6&lt;1,"",SUMIF('09월 고철장입'!$A$14:$A$949,$A6,'09월 고철장입'!Q$14:Q$949)/1000)</f>
        <v/>
      </c>
      <c r="BC6" s="950" t="str">
        <f>IF($B6&lt;1,"",SUMIF('09월 고철장입'!$A$14:$A$949,$A6,'09월 고철장입'!S$14:S$949)/1000)</f>
        <v/>
      </c>
      <c r="BD6" s="950" t="str">
        <f>IF($B6&lt;1,"",SUMIF('09월 고철장입'!$A$14:$A$949,$A6,'09월 고철장입'!T$14:T$949)/1000)</f>
        <v/>
      </c>
      <c r="BE6" s="950" t="str">
        <f>IF($B6&lt;1,"",SUMIF('09월 고철장입'!$A$14:$A$949,$A6,'09월 고철장입'!U$14:U$949)/1000)</f>
        <v/>
      </c>
      <c r="BF6" s="950" t="str">
        <f>IF($B6&lt;1,"",SUMIF('09월 고철장입'!$A$14:$A$949,$A6,'09월 고철장입'!V$14:V$949)/1000)</f>
        <v/>
      </c>
      <c r="BG6" s="950" t="str">
        <f>IF($B6&lt;1,"",SUMIF('09월 고철장입'!$A$14:$A$949,$A6,'09월 고철장입'!W$14:W$949)/1000)</f>
        <v/>
      </c>
      <c r="BH6" s="950" t="str">
        <f>IF($B6&lt;1,"",SUMIF('09월 고철장입'!$A$14:$A$949,$A6,'09월 고철장입'!Y$14:Y$949)/1000)</f>
        <v/>
      </c>
      <c r="BI6" s="950" t="str">
        <f>IF($B6&lt;1,"",SUMIF('09월 고철장입'!$A$14:$A$949,$A6,'09월 고철장입'!AB$14:AB$949)/1000)</f>
        <v/>
      </c>
      <c r="BJ6" s="950" t="str">
        <f>IF($B6&lt;1,"",SUMIF('09월 고철장입'!$A$14:$A$949,$A6,'09월 고철장입'!AC$14:AC$949)/1000)</f>
        <v/>
      </c>
      <c r="BK6" s="950" t="str">
        <f>IF($B6&lt;1,"",SUMIF('09월 고철장입'!$A$14:$A$949,$A6,'09월 고철장입'!AD$14:AD$949)/1000)</f>
        <v/>
      </c>
      <c r="BL6" s="950" t="str">
        <f>IF($B6&lt;1,"",SUMIF('09월 고철장입'!$A$14:$A$949,$A6,'09월 고철장입'!AE$14:AE$949)/1000)</f>
        <v/>
      </c>
      <c r="BM6" s="951" t="str">
        <f>IF($B6&lt;1,"",SUMIF('09월 고철장입'!$A$14:$A$949,$A6,'09월 고철장입'!AF$14:AF$949)/1000)</f>
        <v/>
      </c>
      <c r="BN6" s="951" t="str">
        <f>IF($B6&lt;1,"",SUMIF('09월 고철장입'!$A$14:$A$949,$A6,'09월 고철장입'!AG$14:AG$949)/1000)</f>
        <v/>
      </c>
      <c r="BO6" s="951" t="str">
        <f>IF($B6&lt;1,"",SUMIF('09월 고철장입'!$A$14:$A$949,$A6,'09월 고철장입'!AH$14:AH$949)/1000)</f>
        <v/>
      </c>
      <c r="BP6" s="951" t="str">
        <f>IF($B6&lt;1,"",SUMIF('09월 고철장입'!$A$14:$A$949,$A6,'09월 고철장입'!AI$14:AI$949)/1000)</f>
        <v/>
      </c>
      <c r="BQ6" s="952" t="str">
        <f>IF($B6&lt;1,"",SUMIF('09월 고철장입'!$A$14:$A$949,$A6,'09월 고철장입'!AJ$14:AJ$949)/1000)</f>
        <v/>
      </c>
      <c r="BR6" s="952" t="str">
        <f>IF($B6&lt;1,"",SUMIF('09월 고철장입'!$A$14:$A$949,$A6,'09월 고철장입'!AK$14:AK$949))</f>
        <v/>
      </c>
      <c r="BS6" s="953" t="str">
        <f>IF($B6&lt;1,"",AVERAGEIF('09월 고철장입'!$A$14:$A$949,$A6,'09월 고철장입'!AL$14:AL$949)*100)</f>
        <v/>
      </c>
      <c r="BT6" s="948" t="str">
        <f>IF($B6&lt;1,"",SUMIF('09월 에너지'!$A$14:$A$949,$A6,'09월 에너지'!G$14:G$949))</f>
        <v/>
      </c>
      <c r="BU6" s="948" t="str">
        <f>IF($B6&lt;1,"",SUMIF('09월 에너지'!$A$14:$A$949,$A6,'09월 에너지'!H$14:H$949))</f>
        <v/>
      </c>
      <c r="BV6" s="948" t="str">
        <f>IF($B6&lt;1,"",SUMIF('09월 에너지'!$A$14:$A$949,$A6,'09월 에너지'!I$14:I$949))</f>
        <v/>
      </c>
      <c r="BW6" s="948" t="str">
        <f>IF($B6&lt;1,"",SUMIF('09월 에너지'!$A$14:$A$949,$A6,'09월 에너지'!J$14:J$949))</f>
        <v/>
      </c>
      <c r="BX6" s="948" t="str">
        <f>IF($B6&lt;1,"",SUMIF('09월 에너지'!$A$14:$A$949,$A6,'09월 에너지'!K$14:K$949))</f>
        <v/>
      </c>
      <c r="BY6" s="948" t="str">
        <f>IF($B6&lt;1,"",SUMIF('09월 에너지'!$A$14:$A$949,$A6,'09월 에너지'!L$14:L$949))</f>
        <v/>
      </c>
      <c r="BZ6" s="948" t="str">
        <f>IF($B6&lt;1,"",SUMIF('09월 에너지'!$A$14:$A$949,$A6,'09월 에너지'!M$14:M$949))</f>
        <v/>
      </c>
      <c r="CA6" s="948" t="str">
        <f>IF($B6&lt;1,"",SUMIF('09월 에너지'!$A$14:$A$949,$A6,'09월 에너지'!N$14:N$949))</f>
        <v/>
      </c>
      <c r="CB6" s="948" t="str">
        <f>IF($B6&lt;1,"",SUMIF('09월 에너지'!$A$14:$A$949,$A6,'09월 에너지'!O$14:O$949))</f>
        <v/>
      </c>
      <c r="CC6" s="948" t="str">
        <f>IF($B6&lt;1,"",SUMIF('09월 에너지'!$A$14:$A$949,$A6,'09월 에너지'!P$14:P$949))</f>
        <v/>
      </c>
      <c r="CD6" s="948" t="str">
        <f>IF($B6&lt;1,"",SUMIF('09월 에너지'!$A$14:$A$949,$A6,'09월 에너지'!Q$14:Q$949))</f>
        <v/>
      </c>
      <c r="CE6" s="948" t="str">
        <f>IF($B6&lt;1,"",SUMIF('09월 에너지'!$A$14:$A$949,$A6,'09월 에너지'!R$14:R$949))</f>
        <v/>
      </c>
      <c r="CF6" s="948" t="str">
        <f>IF($B6&lt;1,"",SUMIF('09월 에너지'!$A$14:$A$949,$A6,'09월 에너지'!S$14:S$949))</f>
        <v/>
      </c>
      <c r="CG6" s="954" t="str">
        <f>IF($B6&lt;1,"",SUMIF('09월 에너지'!$A$14:$A$949,$A6,'09월 에너지'!T$14:T$949))</f>
        <v/>
      </c>
      <c r="CH6" s="954" t="str">
        <f>IF($B6&lt;1,"",SUMIF('09월 에너지'!$A$14:$A$949,$A6,'09월 에너지'!U$14:U$949))</f>
        <v/>
      </c>
      <c r="CI6" s="954" t="str">
        <f>IF($B6&lt;1,"",SUMIF('09월 에너지'!$A$14:$A$949,$A6,'09월 에너지'!V$14:V$949))</f>
        <v/>
      </c>
      <c r="CJ6" s="954" t="str">
        <f>IF($B6&lt;1,"",SUMIF('09월 에너지'!$A$14:$A$949,$A6,'09월 에너지'!W$14:W$949))</f>
        <v/>
      </c>
      <c r="CK6" s="954" t="str">
        <f>IF($B6&lt;1,"",SUMIF('09월 에너지'!$A$14:$A$949,$A6,'09월 에너지'!X$14:X$949))</f>
        <v/>
      </c>
      <c r="CL6" s="954" t="str">
        <f>IF($B6&lt;1,"",SUMIF('09월 에너지'!$A$14:$A$949,$A6,'09월 에너지'!Y$14:Y$949))</f>
        <v/>
      </c>
      <c r="CM6" s="954" t="str">
        <f>IF($B6&lt;1,"",SUMIF('09월 에너지'!$A$14:$A$949,$A6,'09월 에너지'!Z$14:Z$949))</f>
        <v/>
      </c>
      <c r="CN6" s="954" t="str">
        <f>IF($B6&lt;1,"",SUMIF('09월 에너지'!$A$14:$A$949,$A6,'09월 에너지'!AA$14:AA$949))</f>
        <v/>
      </c>
      <c r="CO6" s="954" t="str">
        <f>IF($B6&lt;1,"",SUMIF('09월 에너지'!$A$14:$A$949,$A6,'09월 에너지'!AB$14:AB$949))</f>
        <v/>
      </c>
      <c r="CP6" s="954" t="str">
        <f>IF($B6&lt;1,"",SUMIF('09월 에너지'!$A$14:$A$949,$A6,'09월 에너지'!AC$14:AC$949))</f>
        <v/>
      </c>
      <c r="CQ6" s="955" t="str">
        <f>IF($B6&lt;1,"",SUMIF('09월 에너지'!$A$14:$A$949,$A6,'09월 에너지'!AD$14:AD$949))</f>
        <v/>
      </c>
      <c r="CR6" s="955" t="str">
        <f>IF($B6&lt;1,"",SUMIF('09월 에너지'!$A$14:$A$949,$A6,'09월 에너지'!AE$14:AE$949))</f>
        <v/>
      </c>
      <c r="CS6" s="948" t="str">
        <f>IF($B6&lt;1,"",SUMIF('09월 에너지'!$A$14:$A$949,$A6,'09월 에너지'!AF$14:AF$949))</f>
        <v/>
      </c>
      <c r="CT6" s="948" t="str">
        <f>IF($B6&lt;1,"",SUMIF('09월 에너지'!$A$14:$A$949,$A6,'09월 에너지'!AG$14:AG$949))</f>
        <v/>
      </c>
      <c r="CU6" s="948" t="str">
        <f>IF($B6&lt;1,"",SUMIF('09월 에너지'!$A$14:$A$949,$A6,'09월 에너지'!AH$14:AH$949))</f>
        <v/>
      </c>
      <c r="CV6" s="948" t="str">
        <f>IF($B6&lt;1,"",SUMIF('09월 에너지'!$A$14:$A$949,$A6,'09월 에너지'!AI$14:AI$949))</f>
        <v/>
      </c>
      <c r="CW6" s="956" t="str">
        <f>IF($B6&lt;1,"",SUMIF('09월 에너지'!$A$14:$A$949,$A6,'09월 에너지'!AJ$14:AJ$949))</f>
        <v/>
      </c>
    </row>
    <row r="7" spans="1:101" ht="15.75" customHeight="1">
      <c r="A7" s="939">
        <f t="shared" ref="A7:A35" si="1">A6+1</f>
        <v>44776</v>
      </c>
      <c r="B7" s="884">
        <f>COUNTIF('09월 조업일지'!$A$12:$A$952,A7)</f>
        <v>0</v>
      </c>
      <c r="C7" s="885" t="str">
        <f t="shared" si="0"/>
        <v/>
      </c>
      <c r="D7" s="885" t="str">
        <f>IF($B7&lt;1,"",(SUMIF('09월 조업일지'!$A$12:$A$952,$A7,'09월 조업일지'!$K$12:$K$952))/B7)</f>
        <v/>
      </c>
      <c r="E7" s="885" t="str">
        <f>IF($B7&lt;1,"",AVERAGEIF('09월 조업일지'!$A$12:$A$952,$A7,'09월 조업일지'!$J$12:$J$952))</f>
        <v/>
      </c>
      <c r="F7" s="940" t="str">
        <f>IF($B7&lt;1,"",AVERAGEIF('09월 에너지'!$A$14:$A$949,$A7,'09월 에너지'!$M$14:M$949))</f>
        <v/>
      </c>
      <c r="G7" s="887" t="str">
        <f>IF($B7&lt;1,"",AVERAGEIF('09월 조업일지'!$A$12:$A$952,$A7,'09월 조업일지'!$AJ$12:$AJ$952))</f>
        <v/>
      </c>
      <c r="H7" s="887" t="str">
        <f>IF($B7&lt;1,"",AVERAGEIF('09월 조업일지'!$A$12:$A$952,$A7,'09월 조업일지'!$AL$12:$AL$952))</f>
        <v/>
      </c>
      <c r="I7" s="941" t="str">
        <f>IF($B7&lt;1,"",AVERAGEIF('09월 화학성분'!$A$12:$A$949,$A7,'09월 화학성분'!G$12:G$949))</f>
        <v/>
      </c>
      <c r="J7" s="941" t="str">
        <f>IF($B7&lt;1,"",AVERAGEIF('09월 화학성분'!$A$12:$A$949,$A7,'09월 화학성분'!H$12:H$949))</f>
        <v/>
      </c>
      <c r="K7" s="941" t="str">
        <f>IF($B7&lt;1,"",AVERAGEIF('09월 화학성분'!$A$12:$A$949,$A7,'09월 화학성분'!I$12:I$949))</f>
        <v/>
      </c>
      <c r="L7" s="941" t="str">
        <f>IF($B7&lt;1,"",AVERAGEIF('09월 화학성분'!$A$12:$A$949,$A7,'09월 화학성분'!J$12:J$949))</f>
        <v/>
      </c>
      <c r="M7" s="941" t="str">
        <f>IF($B7&lt;1,"",AVERAGEIF('09월 화학성분'!$A$12:$A$949,$A7,'09월 화학성분'!K$12:K$949))</f>
        <v/>
      </c>
      <c r="N7" s="941" t="str">
        <f>IF($B7&lt;1,"",AVERAGEIF('09월 화학성분'!$A$12:$A$949,$A7,'09월 화학성분'!L$12:L$949))</f>
        <v/>
      </c>
      <c r="O7" s="941" t="str">
        <f>IF($B7&lt;1,"",AVERAGEIF('09월 화학성분'!$A$12:$A$949,$A7,'09월 화학성분'!M$12:M$949))</f>
        <v/>
      </c>
      <c r="P7" s="889" t="str">
        <f>IF($B7&lt;1,"",AVERAGEIF('09월 조업일지'!$A$12:$A$952,$A7,'09월 조업일지'!$AK$12:$AK$952))</f>
        <v/>
      </c>
      <c r="Q7" s="941" t="str">
        <f>IF($B7&lt;1,"",AVERAGEIF('09월 화학성분'!$A$12:$A$949,$A7,'09월 화학성분'!$G$12:$G$949))</f>
        <v/>
      </c>
      <c r="R7" s="889" t="str">
        <f>IF($B7&lt;1,"",AVERAGEIF('09월 조업일지'!$A$12:$A$952,$A7,'09월 조업일지'!$AI$12:$AI$952))</f>
        <v/>
      </c>
      <c r="S7" s="942" t="str">
        <f>IF($B7&lt;1,"",SUMIF('09월 화학성분'!$A$12:$A$949,$A7,'09월 화학성분'!$AM$12:$AM$949))</f>
        <v/>
      </c>
      <c r="T7" s="943" t="str">
        <f>IF($B7&lt;1,"",SUMIF('09월 화학성분'!$A$12:$A$949,$A7,'09월 화학성분'!N$12:N$949))</f>
        <v/>
      </c>
      <c r="U7" s="943" t="str">
        <f>IF($B7&lt;1,"",SUMIF('09월 화학성분'!$A$12:$A$949,$A7,'09월 화학성분'!O$12:O$949))</f>
        <v/>
      </c>
      <c r="V7" s="943" t="str">
        <f>IF($B7&lt;1,"",SUMIF('09월 화학성분'!$A$12:$A$949,$A7,'09월 화학성분'!P$12:P$949))</f>
        <v/>
      </c>
      <c r="W7" s="943" t="str">
        <f>IF($B7&lt;1,"",SUMIF('09월 화학성분'!$A$12:$A$949,$A7,'09월 화학성분'!Q$12:Q$949))</f>
        <v/>
      </c>
      <c r="X7" s="943" t="str">
        <f>IF($B7&lt;1,"",SUMIF('09월 화학성분'!$A$12:$A$949,$A7,'09월 화학성분'!R$12:R$949))</f>
        <v/>
      </c>
      <c r="Y7" s="943" t="str">
        <f>IF($B7&lt;1,"",SUMIF('09월 화학성분'!$A$12:$A$949,$A7,'09월 화학성분'!U$12:U$949))</f>
        <v/>
      </c>
      <c r="Z7" s="944" t="str">
        <f>IF($B7&lt;1,"",SUMIF('09월 화학성분'!$A$12:$A$949,$A7,'09월 화학성분'!V$12:V$949))</f>
        <v/>
      </c>
      <c r="AA7" s="944" t="str">
        <f>IF($B7&lt;1,"",SUMIF('09월 화학성분'!$A$12:$A$949,$A7,'09월 화학성분'!W$12:W$949))</f>
        <v/>
      </c>
      <c r="AB7" s="944" t="str">
        <f>IF($B7&lt;1,"",SUMIF('09월 화학성분'!$A$12:$A$949,$A7,'09월 화학성분'!AA$12:AA$949))</f>
        <v/>
      </c>
      <c r="AC7" s="944"/>
      <c r="AD7" s="945" t="str">
        <f>IF($B7&lt;1,"",SUMIF('09월 화학성분'!$A$12:$A$949,$A7,'09월 화학성분'!AB$12:AB$949))</f>
        <v/>
      </c>
      <c r="AE7" s="945" t="str">
        <f>IF($B7&lt;1,"",SUMIF('09월 화학성분'!$A$12:$A$949,$A7,'09월 화학성분'!AC$12:AC$949))</f>
        <v/>
      </c>
      <c r="AF7" s="945" t="str">
        <f>IF($B7&lt;1,"",SUMIF('09월 화학성분'!$A$12:$A$949,$A7,'09월 화학성분'!AD$12:AD$949))</f>
        <v/>
      </c>
      <c r="AG7" s="945"/>
      <c r="AH7" s="945" t="str">
        <f>IF($B7&lt;1,"",SUMIF('09월 화학성분'!$A$12:$A$949,$A7,'09월 화학성분'!AG$12:AG$949))</f>
        <v/>
      </c>
      <c r="AI7" s="945" t="str">
        <f>IF($B7&lt;1,"",SUMIF('09월 화학성분'!$A$12:$A$949,$A7,'09월 화학성분'!AH$12:AH$949))</f>
        <v/>
      </c>
      <c r="AJ7" s="945" t="str">
        <f>IF($B7&lt;1,"",SUMIF('09월 화학성분'!$A$12:$A$949,$A7,'09월 화학성분'!AI$12:AI$949))</f>
        <v/>
      </c>
      <c r="AK7" s="945" t="str">
        <f>IF($B7&lt;1,"",SUMIF('09월 화학성분'!$A$12:$A$949,$A7,'09월 화학성분'!AJ$12:AJ$949))</f>
        <v/>
      </c>
      <c r="AL7" s="945" t="str">
        <f>IF($B7&lt;1,"",SUMIF('09월 화학성분'!$A$12:$A$949,$A7,'09월 화학성분'!#REF!))</f>
        <v/>
      </c>
      <c r="AM7" s="945" t="str">
        <f>IF($B7&lt;1,"",SUMIF('09월 화학성분'!$A$12:$A$949,$A7,'09월 화학성분'!AL$12:AL$949))</f>
        <v/>
      </c>
      <c r="AN7" s="946" t="str">
        <f>IF($B7&lt;1,"",SUMIF('09월 화학성분'!$A$12:$A$949,$A7,'09월 화학성분'!AM$12:AM$949))</f>
        <v/>
      </c>
      <c r="AO7" s="947" t="str">
        <f>IF($B7&lt;1,"",AVERAGEIF('09월 화학성분'!$A$12:$A$949,$A7,'09월 화학성분'!AN$12:AN$949))</f>
        <v/>
      </c>
      <c r="AP7" s="947" t="str">
        <f>IF($B7&lt;1,"",AVERAGEIF('09월 화학성분'!$A$12:$A$949,$A7,'09월 화학성분'!AO$12:AO$949))</f>
        <v/>
      </c>
      <c r="AQ7" s="948" t="str">
        <f>IF($B7&lt;1,"",SUMIF('09월 화학성분'!$A$12:$A$949,$A7,'09월 화학성분'!AP$12:AP$949))</f>
        <v/>
      </c>
      <c r="AR7" s="949" t="str">
        <f>IF($B7&lt;1,"",SUMIF('09월 고철장입'!$A$14:$A$949,$A7,'09월 고철장입'!G$14:G$949)/1000)</f>
        <v/>
      </c>
      <c r="AS7" s="949" t="str">
        <f>IF($B7&lt;1,"",SUMIF('09월 고철장입'!$A$14:$A$949,$A7,'09월 고철장입'!H$14:H$949)/1000)</f>
        <v/>
      </c>
      <c r="AT7" s="949" t="str">
        <f>IF($B7&lt;1,"",SUMIF('09월 고철장입'!$A$14:$A$949,$A7,'09월 고철장입'!I$14:I$949)/1000)</f>
        <v/>
      </c>
      <c r="AU7" s="949" t="str">
        <f>IF($B7&lt;1,"",SUMIF('09월 고철장입'!$A$14:$A$949,$A7,'09월 고철장입'!J$14:J$949)/1000)</f>
        <v/>
      </c>
      <c r="AV7" s="949" t="str">
        <f>IF($B7&lt;1,"",SUMIF('09월 고철장입'!$A$14:$A$949,$A7,'09월 고철장입'!K$14:K$949)/1000)</f>
        <v/>
      </c>
      <c r="AW7" s="949" t="str">
        <f>IF($B7&lt;1,"",SUMIF('09월 고철장입'!$A$14:$A$949,$A7,'09월 고철장입'!L$14:L$949)/1000)</f>
        <v/>
      </c>
      <c r="AX7" s="949" t="str">
        <f>IF($B7&lt;1,"",SUMIF('09월 고철장입'!$A$14:$A$949,$A7,'09월 고철장입'!M$14:M$949)/1000)</f>
        <v/>
      </c>
      <c r="AY7" s="949" t="str">
        <f>IF($B7&lt;1,"",SUMIF('09월 고철장입'!$A$14:$A$949,$A7,'09월 고철장입'!N$14:N$949)/1000)</f>
        <v/>
      </c>
      <c r="AZ7" s="949" t="str">
        <f>IF($B7&lt;1,"",SUMIF('09월 고철장입'!$A$14:$A$949,$A7,'09월 고철장입'!O$14:O$949)/1000)</f>
        <v/>
      </c>
      <c r="BA7" s="950" t="str">
        <f>IF($B7&lt;1,"",SUMIF('09월 고철장입'!$A$14:$A$949,$A7,'09월 고철장입'!P$14:P$949)/1000)</f>
        <v/>
      </c>
      <c r="BB7" s="950" t="str">
        <f>IF($B7&lt;1,"",SUMIF('09월 고철장입'!$A$14:$A$949,$A7,'09월 고철장입'!Q$14:Q$949)/1000)</f>
        <v/>
      </c>
      <c r="BC7" s="950" t="str">
        <f>IF($B7&lt;1,"",SUMIF('09월 고철장입'!$A$14:$A$949,$A7,'09월 고철장입'!S$14:S$949)/1000)</f>
        <v/>
      </c>
      <c r="BD7" s="950" t="str">
        <f>IF($B7&lt;1,"",SUMIF('09월 고철장입'!$A$14:$A$949,$A7,'09월 고철장입'!T$14:T$949)/1000)</f>
        <v/>
      </c>
      <c r="BE7" s="950" t="str">
        <f>IF($B7&lt;1,"",SUMIF('09월 고철장입'!$A$14:$A$949,$A7,'09월 고철장입'!U$14:U$949)/1000)</f>
        <v/>
      </c>
      <c r="BF7" s="950" t="str">
        <f>IF($B7&lt;1,"",SUMIF('09월 고철장입'!$A$14:$A$949,$A7,'09월 고철장입'!V$14:V$949)/1000)</f>
        <v/>
      </c>
      <c r="BG7" s="950" t="str">
        <f>IF($B7&lt;1,"",SUMIF('09월 고철장입'!$A$14:$A$949,$A7,'09월 고철장입'!W$14:W$949)/1000)</f>
        <v/>
      </c>
      <c r="BH7" s="950" t="str">
        <f>IF($B7&lt;1,"",SUMIF('09월 고철장입'!$A$14:$A$949,$A7,'09월 고철장입'!Y$14:Y$949)/1000)</f>
        <v/>
      </c>
      <c r="BI7" s="950" t="str">
        <f>IF($B7&lt;1,"",SUMIF('09월 고철장입'!$A$14:$A$949,$A7,'09월 고철장입'!AB$14:AB$949)/1000)</f>
        <v/>
      </c>
      <c r="BJ7" s="950" t="str">
        <f>IF($B7&lt;1,"",SUMIF('09월 고철장입'!$A$14:$A$949,$A7,'09월 고철장입'!AC$14:AC$949)/1000)</f>
        <v/>
      </c>
      <c r="BK7" s="950" t="str">
        <f>IF($B7&lt;1,"",SUMIF('09월 고철장입'!$A$14:$A$949,$A7,'09월 고철장입'!AD$14:AD$949)/1000)</f>
        <v/>
      </c>
      <c r="BL7" s="950" t="str">
        <f>IF($B7&lt;1,"",SUMIF('09월 고철장입'!$A$14:$A$949,$A7,'09월 고철장입'!AE$14:AE$949)/1000)</f>
        <v/>
      </c>
      <c r="BM7" s="951" t="str">
        <f>IF($B7&lt;1,"",SUMIF('09월 고철장입'!$A$14:$A$949,$A7,'09월 고철장입'!AF$14:AF$949)/1000)</f>
        <v/>
      </c>
      <c r="BN7" s="951" t="str">
        <f>IF($B7&lt;1,"",SUMIF('09월 고철장입'!$A$14:$A$949,$A7,'09월 고철장입'!AG$14:AG$949)/1000)</f>
        <v/>
      </c>
      <c r="BO7" s="951" t="str">
        <f>IF($B7&lt;1,"",SUMIF('09월 고철장입'!$A$14:$A$949,$A7,'09월 고철장입'!AH$14:AH$949)/1000)</f>
        <v/>
      </c>
      <c r="BP7" s="951" t="str">
        <f>IF($B7&lt;1,"",SUMIF('09월 고철장입'!$A$14:$A$949,$A7,'09월 고철장입'!AI$14:AI$949)/1000)</f>
        <v/>
      </c>
      <c r="BQ7" s="952" t="str">
        <f>IF($B7&lt;1,"",SUMIF('09월 고철장입'!$A$14:$A$949,$A7,'09월 고철장입'!AJ$14:AJ$949)/1000)</f>
        <v/>
      </c>
      <c r="BR7" s="952" t="str">
        <f>IF($B7&lt;1,"",SUMIF('09월 고철장입'!$A$14:$A$949,$A7,'09월 고철장입'!AK$14:AK$949))</f>
        <v/>
      </c>
      <c r="BS7" s="953" t="str">
        <f>IF($B7&lt;1,"",AVERAGEIF('09월 고철장입'!$A$14:$A$949,$A7,'09월 고철장입'!AL$14:AL$949)*100)</f>
        <v/>
      </c>
      <c r="BT7" s="948" t="str">
        <f>IF($B7&lt;1,"",SUMIF('09월 에너지'!$A$14:$A$949,$A7,'09월 에너지'!G$14:G$949))</f>
        <v/>
      </c>
      <c r="BU7" s="948" t="str">
        <f>IF($B7&lt;1,"",SUMIF('09월 에너지'!$A$14:$A$949,$A7,'09월 에너지'!H$14:H$949))</f>
        <v/>
      </c>
      <c r="BV7" s="948" t="str">
        <f>IF($B7&lt;1,"",SUMIF('09월 에너지'!$A$14:$A$949,$A7,'09월 에너지'!I$14:I$949))</f>
        <v/>
      </c>
      <c r="BW7" s="948" t="str">
        <f>IF($B7&lt;1,"",SUMIF('09월 에너지'!$A$14:$A$949,$A7,'09월 에너지'!J$14:J$949))</f>
        <v/>
      </c>
      <c r="BX7" s="948" t="str">
        <f>IF($B7&lt;1,"",SUMIF('09월 에너지'!$A$14:$A$949,$A7,'09월 에너지'!K$14:K$949))</f>
        <v/>
      </c>
      <c r="BY7" s="948" t="str">
        <f>IF($B7&lt;1,"",SUMIF('09월 에너지'!$A$14:$A$949,$A7,'09월 에너지'!L$14:L$949))</f>
        <v/>
      </c>
      <c r="BZ7" s="948" t="str">
        <f>IF($B7&lt;1,"",SUMIF('09월 에너지'!$A$14:$A$949,$A7,'09월 에너지'!M$14:M$949))</f>
        <v/>
      </c>
      <c r="CA7" s="948" t="str">
        <f>IF($B7&lt;1,"",SUMIF('09월 에너지'!$A$14:$A$949,$A7,'09월 에너지'!N$14:N$949))</f>
        <v/>
      </c>
      <c r="CB7" s="948" t="str">
        <f>IF($B7&lt;1,"",SUMIF('09월 에너지'!$A$14:$A$949,$A7,'09월 에너지'!O$14:O$949))</f>
        <v/>
      </c>
      <c r="CC7" s="948" t="str">
        <f>IF($B7&lt;1,"",SUMIF('09월 에너지'!$A$14:$A$949,$A7,'09월 에너지'!P$14:P$949))</f>
        <v/>
      </c>
      <c r="CD7" s="948" t="str">
        <f>IF($B7&lt;1,"",SUMIF('09월 에너지'!$A$14:$A$949,$A7,'09월 에너지'!Q$14:Q$949))</f>
        <v/>
      </c>
      <c r="CE7" s="948" t="str">
        <f>IF($B7&lt;1,"",SUMIF('09월 에너지'!$A$14:$A$949,$A7,'09월 에너지'!R$14:R$949))</f>
        <v/>
      </c>
      <c r="CF7" s="948" t="str">
        <f>IF($B7&lt;1,"",SUMIF('09월 에너지'!$A$14:$A$949,$A7,'09월 에너지'!S$14:S$949))</f>
        <v/>
      </c>
      <c r="CG7" s="954" t="str">
        <f>IF($B7&lt;1,"",SUMIF('09월 에너지'!$A$14:$A$949,$A7,'09월 에너지'!T$14:T$949))</f>
        <v/>
      </c>
      <c r="CH7" s="954" t="str">
        <f>IF($B7&lt;1,"",SUMIF('09월 에너지'!$A$14:$A$949,$A7,'09월 에너지'!U$14:U$949))</f>
        <v/>
      </c>
      <c r="CI7" s="954" t="str">
        <f>IF($B7&lt;1,"",SUMIF('09월 에너지'!$A$14:$A$949,$A7,'09월 에너지'!V$14:V$949))</f>
        <v/>
      </c>
      <c r="CJ7" s="954" t="str">
        <f>IF($B7&lt;1,"",SUMIF('09월 에너지'!$A$14:$A$949,$A7,'09월 에너지'!W$14:W$949))</f>
        <v/>
      </c>
      <c r="CK7" s="954" t="str">
        <f>IF($B7&lt;1,"",SUMIF('09월 에너지'!$A$14:$A$949,$A7,'09월 에너지'!X$14:X$949))</f>
        <v/>
      </c>
      <c r="CL7" s="954" t="str">
        <f>IF($B7&lt;1,"",SUMIF('09월 에너지'!$A$14:$A$949,$A7,'09월 에너지'!Y$14:Y$949))</f>
        <v/>
      </c>
      <c r="CM7" s="954" t="str">
        <f>IF($B7&lt;1,"",SUMIF('09월 에너지'!$A$14:$A$949,$A7,'09월 에너지'!Z$14:Z$949))</f>
        <v/>
      </c>
      <c r="CN7" s="954" t="str">
        <f>IF($B7&lt;1,"",SUMIF('09월 에너지'!$A$14:$A$949,$A7,'09월 에너지'!AA$14:AA$949))</f>
        <v/>
      </c>
      <c r="CO7" s="954" t="str">
        <f>IF($B7&lt;1,"",SUMIF('09월 에너지'!$A$14:$A$949,$A7,'09월 에너지'!AB$14:AB$949))</f>
        <v/>
      </c>
      <c r="CP7" s="954" t="str">
        <f>IF($B7&lt;1,"",SUMIF('09월 에너지'!$A$14:$A$949,$A7,'09월 에너지'!AC$14:AC$949))</f>
        <v/>
      </c>
      <c r="CQ7" s="955" t="str">
        <f>IF($B7&lt;1,"",SUMIF('09월 에너지'!$A$14:$A$949,$A7,'09월 에너지'!AD$14:AD$949))</f>
        <v/>
      </c>
      <c r="CR7" s="955" t="str">
        <f>IF($B7&lt;1,"",SUMIF('09월 에너지'!$A$14:$A$949,$A7,'09월 에너지'!AE$14:AE$949))</f>
        <v/>
      </c>
      <c r="CS7" s="948" t="str">
        <f>IF($B7&lt;1,"",SUMIF('09월 에너지'!$A$14:$A$949,$A7,'09월 에너지'!AF$14:AF$949))</f>
        <v/>
      </c>
      <c r="CT7" s="948" t="str">
        <f>IF($B7&lt;1,"",SUMIF('09월 에너지'!$A$14:$A$949,$A7,'09월 에너지'!AG$14:AG$949))</f>
        <v/>
      </c>
      <c r="CU7" s="948" t="str">
        <f>IF($B7&lt;1,"",SUMIF('09월 에너지'!$A$14:$A$949,$A7,'09월 에너지'!AH$14:AH$949))</f>
        <v/>
      </c>
      <c r="CV7" s="948" t="str">
        <f>IF($B7&lt;1,"",SUMIF('09월 에너지'!$A$14:$A$949,$A7,'09월 에너지'!AI$14:AI$949))</f>
        <v/>
      </c>
      <c r="CW7" s="956" t="str">
        <f>IF($B7&lt;1,"",SUMIF('09월 에너지'!$A$14:$A$949,$A7,'09월 에너지'!AJ$14:AJ$949))</f>
        <v/>
      </c>
    </row>
    <row r="8" spans="1:101" ht="15.75" customHeight="1">
      <c r="A8" s="939">
        <f t="shared" si="1"/>
        <v>44777</v>
      </c>
      <c r="B8" s="884">
        <f>COUNTIF('09월 조업일지'!$A$12:$A$952,A8)</f>
        <v>0</v>
      </c>
      <c r="C8" s="885" t="str">
        <f t="shared" si="0"/>
        <v/>
      </c>
      <c r="D8" s="885" t="str">
        <f>IF($B8&lt;1,"",(SUMIF('09월 조업일지'!$A$12:$A$952,$A8,'09월 조업일지'!$K$12:$K$952))/B8)</f>
        <v/>
      </c>
      <c r="E8" s="885" t="str">
        <f>IF($B8&lt;1,"",AVERAGEIF('09월 조업일지'!$A$12:$A$952,$A8,'09월 조업일지'!$J$12:$J$952))</f>
        <v/>
      </c>
      <c r="F8" s="940" t="str">
        <f>IF($B8&lt;1,"",AVERAGEIF('09월 에너지'!$A$14:$A$949,$A8,'09월 에너지'!$M$14:M$949))</f>
        <v/>
      </c>
      <c r="G8" s="887" t="str">
        <f>IF($B8&lt;1,"",AVERAGEIF('09월 조업일지'!$A$12:$A$952,$A8,'09월 조업일지'!$AJ$12:$AJ$952))</f>
        <v/>
      </c>
      <c r="H8" s="887" t="str">
        <f>IF($B8&lt;1,"",AVERAGEIF('09월 조업일지'!$A$12:$A$952,$A8,'09월 조업일지'!$AL$12:$AL$952))</f>
        <v/>
      </c>
      <c r="I8" s="941" t="str">
        <f>IF($B8&lt;1,"",AVERAGEIF('09월 화학성분'!$A$12:$A$949,$A8,'09월 화학성분'!G$12:G$949))</f>
        <v/>
      </c>
      <c r="J8" s="941" t="str">
        <f>IF($B8&lt;1,"",AVERAGEIF('09월 화학성분'!$A$12:$A$949,$A8,'09월 화학성분'!H$12:H$949))</f>
        <v/>
      </c>
      <c r="K8" s="941" t="str">
        <f>IF($B8&lt;1,"",AVERAGEIF('09월 화학성분'!$A$12:$A$949,$A8,'09월 화학성분'!I$12:I$949))</f>
        <v/>
      </c>
      <c r="L8" s="941" t="str">
        <f>IF($B8&lt;1,"",AVERAGEIF('09월 화학성분'!$A$12:$A$949,$A8,'09월 화학성분'!J$12:J$949))</f>
        <v/>
      </c>
      <c r="M8" s="941" t="str">
        <f>IF($B8&lt;1,"",AVERAGEIF('09월 화학성분'!$A$12:$A$949,$A8,'09월 화학성분'!K$12:K$949))</f>
        <v/>
      </c>
      <c r="N8" s="941" t="str">
        <f>IF($B8&lt;1,"",AVERAGEIF('09월 화학성분'!$A$12:$A$949,$A8,'09월 화학성분'!L$12:L$949))</f>
        <v/>
      </c>
      <c r="O8" s="941" t="str">
        <f>IF($B8&lt;1,"",AVERAGEIF('09월 화학성분'!$A$12:$A$949,$A8,'09월 화학성분'!M$12:M$949))</f>
        <v/>
      </c>
      <c r="P8" s="889" t="str">
        <f>IF($B8&lt;1,"",AVERAGEIF('09월 조업일지'!$A$12:$A$952,$A8,'09월 조업일지'!$AK$12:$AK$952))</f>
        <v/>
      </c>
      <c r="Q8" s="941" t="str">
        <f>IF($B8&lt;1,"",AVERAGEIF('09월 화학성분'!$A$12:$A$949,$A8,'09월 화학성분'!$G$12:$G$949))</f>
        <v/>
      </c>
      <c r="R8" s="889" t="str">
        <f>IF($B8&lt;1,"",AVERAGEIF('09월 조업일지'!$A$12:$A$952,$A8,'09월 조업일지'!$AI$12:$AI$952))</f>
        <v/>
      </c>
      <c r="S8" s="942" t="str">
        <f>IF($B8&lt;1,"",SUMIF('09월 화학성분'!$A$12:$A$949,$A8,'09월 화학성분'!$AM$12:$AM$949))</f>
        <v/>
      </c>
      <c r="T8" s="943" t="str">
        <f>IF($B8&lt;1,"",SUMIF('09월 화학성분'!$A$12:$A$949,$A8,'09월 화학성분'!N$12:N$949))</f>
        <v/>
      </c>
      <c r="U8" s="943" t="str">
        <f>IF($B8&lt;1,"",SUMIF('09월 화학성분'!$A$12:$A$949,$A8,'09월 화학성분'!O$12:O$949))</f>
        <v/>
      </c>
      <c r="V8" s="943" t="str">
        <f>IF($B8&lt;1,"",SUMIF('09월 화학성분'!$A$12:$A$949,$A8,'09월 화학성분'!P$12:P$949))</f>
        <v/>
      </c>
      <c r="W8" s="943" t="str">
        <f>IF($B8&lt;1,"",SUMIF('09월 화학성분'!$A$12:$A$949,$A8,'09월 화학성분'!Q$12:Q$949))</f>
        <v/>
      </c>
      <c r="X8" s="943" t="str">
        <f>IF($B8&lt;1,"",SUMIF('09월 화학성분'!$A$12:$A$949,$A8,'09월 화학성분'!R$12:R$949))</f>
        <v/>
      </c>
      <c r="Y8" s="943" t="str">
        <f>IF($B8&lt;1,"",SUMIF('09월 화학성분'!$A$12:$A$949,$A8,'09월 화학성분'!U$12:U$949))</f>
        <v/>
      </c>
      <c r="Z8" s="944" t="str">
        <f>IF($B8&lt;1,"",SUMIF('09월 화학성분'!$A$12:$A$949,$A8,'09월 화학성분'!V$12:V$949))</f>
        <v/>
      </c>
      <c r="AA8" s="944" t="str">
        <f>IF($B8&lt;1,"",SUMIF('09월 화학성분'!$A$12:$A$949,$A8,'09월 화학성분'!W$12:W$949))</f>
        <v/>
      </c>
      <c r="AB8" s="944" t="str">
        <f>IF($B8&lt;1,"",SUMIF('09월 화학성분'!$A$12:$A$949,$A8,'09월 화학성분'!AA$12:AA$949))</f>
        <v/>
      </c>
      <c r="AC8" s="944"/>
      <c r="AD8" s="945" t="str">
        <f>IF($B8&lt;1,"",SUMIF('09월 화학성분'!$A$12:$A$949,$A8,'09월 화학성분'!AB$12:AB$949))</f>
        <v/>
      </c>
      <c r="AE8" s="945" t="str">
        <f>IF($B8&lt;1,"",SUMIF('09월 화학성분'!$A$12:$A$949,$A8,'09월 화학성분'!AC$12:AC$949))</f>
        <v/>
      </c>
      <c r="AF8" s="945" t="str">
        <f>IF($B8&lt;1,"",SUMIF('09월 화학성분'!$A$12:$A$949,$A8,'09월 화학성분'!AD$12:AD$949))</f>
        <v/>
      </c>
      <c r="AG8" s="945"/>
      <c r="AH8" s="945" t="str">
        <f>IF($B8&lt;1,"",SUMIF('09월 화학성분'!$A$12:$A$949,$A8,'09월 화학성분'!AG$12:AG$949))</f>
        <v/>
      </c>
      <c r="AI8" s="945" t="str">
        <f>IF($B8&lt;1,"",SUMIF('09월 화학성분'!$A$12:$A$949,$A8,'09월 화학성분'!AH$12:AH$949))</f>
        <v/>
      </c>
      <c r="AJ8" s="945" t="str">
        <f>IF($B8&lt;1,"",SUMIF('09월 화학성분'!$A$12:$A$949,$A8,'09월 화학성분'!AI$12:AI$949))</f>
        <v/>
      </c>
      <c r="AK8" s="945" t="str">
        <f>IF($B8&lt;1,"",SUMIF('09월 화학성분'!$A$12:$A$949,$A8,'09월 화학성분'!AJ$12:AJ$949))</f>
        <v/>
      </c>
      <c r="AL8" s="945" t="str">
        <f>IF($B8&lt;1,"",SUMIF('09월 화학성분'!$A$12:$A$949,$A8,'09월 화학성분'!#REF!))</f>
        <v/>
      </c>
      <c r="AM8" s="945" t="str">
        <f>IF($B8&lt;1,"",SUMIF('09월 화학성분'!$A$12:$A$949,$A8,'09월 화학성분'!AL$12:AL$949))</f>
        <v/>
      </c>
      <c r="AN8" s="946" t="str">
        <f>IF($B8&lt;1,"",SUMIF('09월 화학성분'!$A$12:$A$949,$A8,'09월 화학성분'!AM$12:AM$949))</f>
        <v/>
      </c>
      <c r="AO8" s="947" t="str">
        <f>IF($B8&lt;1,"",AVERAGEIF('09월 화학성분'!$A$12:$A$949,$A8,'09월 화학성분'!AN$12:AN$949))</f>
        <v/>
      </c>
      <c r="AP8" s="947" t="str">
        <f>IF($B8&lt;1,"",AVERAGEIF('09월 화학성분'!$A$12:$A$949,$A8,'09월 화학성분'!AO$12:AO$949))</f>
        <v/>
      </c>
      <c r="AQ8" s="948" t="str">
        <f>IF($B8&lt;1,"",SUMIF('09월 화학성분'!$A$12:$A$949,$A8,'09월 화학성분'!AP$12:AP$949))</f>
        <v/>
      </c>
      <c r="AR8" s="949" t="str">
        <f>IF($B8&lt;1,"",SUMIF('09월 고철장입'!$A$14:$A$949,$A8,'09월 고철장입'!G$14:G$949)/1000)</f>
        <v/>
      </c>
      <c r="AS8" s="949" t="str">
        <f>IF($B8&lt;1,"",SUMIF('09월 고철장입'!$A$14:$A$949,$A8,'09월 고철장입'!H$14:H$949)/1000)</f>
        <v/>
      </c>
      <c r="AT8" s="949" t="str">
        <f>IF($B8&lt;1,"",SUMIF('09월 고철장입'!$A$14:$A$949,$A8,'09월 고철장입'!I$14:I$949)/1000)</f>
        <v/>
      </c>
      <c r="AU8" s="949" t="str">
        <f>IF($B8&lt;1,"",SUMIF('09월 고철장입'!$A$14:$A$949,$A8,'09월 고철장입'!J$14:J$949)/1000)</f>
        <v/>
      </c>
      <c r="AV8" s="949" t="str">
        <f>IF($B8&lt;1,"",SUMIF('09월 고철장입'!$A$14:$A$949,$A8,'09월 고철장입'!K$14:K$949)/1000)</f>
        <v/>
      </c>
      <c r="AW8" s="949" t="str">
        <f>IF($B8&lt;1,"",SUMIF('09월 고철장입'!$A$14:$A$949,$A8,'09월 고철장입'!L$14:L$949)/1000)</f>
        <v/>
      </c>
      <c r="AX8" s="949" t="str">
        <f>IF($B8&lt;1,"",SUMIF('09월 고철장입'!$A$14:$A$949,$A8,'09월 고철장입'!M$14:M$949)/1000)</f>
        <v/>
      </c>
      <c r="AY8" s="949" t="str">
        <f>IF($B8&lt;1,"",SUMIF('09월 고철장입'!$A$14:$A$949,$A8,'09월 고철장입'!N$14:N$949)/1000)</f>
        <v/>
      </c>
      <c r="AZ8" s="949" t="str">
        <f>IF($B8&lt;1,"",SUMIF('09월 고철장입'!$A$14:$A$949,$A8,'09월 고철장입'!O$14:O$949)/1000)</f>
        <v/>
      </c>
      <c r="BA8" s="950" t="str">
        <f>IF($B8&lt;1,"",SUMIF('09월 고철장입'!$A$14:$A$949,$A8,'09월 고철장입'!P$14:P$949)/1000)</f>
        <v/>
      </c>
      <c r="BB8" s="950" t="str">
        <f>IF($B8&lt;1,"",SUMIF('09월 고철장입'!$A$14:$A$949,$A8,'09월 고철장입'!Q$14:Q$949)/1000)</f>
        <v/>
      </c>
      <c r="BC8" s="950" t="str">
        <f>IF($B8&lt;1,"",SUMIF('09월 고철장입'!$A$14:$A$949,$A8,'09월 고철장입'!S$14:S$949)/1000)</f>
        <v/>
      </c>
      <c r="BD8" s="950" t="str">
        <f>IF($B8&lt;1,"",SUMIF('09월 고철장입'!$A$14:$A$949,$A8,'09월 고철장입'!T$14:T$949)/1000)</f>
        <v/>
      </c>
      <c r="BE8" s="950" t="str">
        <f>IF($B8&lt;1,"",SUMIF('09월 고철장입'!$A$14:$A$949,$A8,'09월 고철장입'!U$14:U$949)/1000)</f>
        <v/>
      </c>
      <c r="BF8" s="950" t="str">
        <f>IF($B8&lt;1,"",SUMIF('09월 고철장입'!$A$14:$A$949,$A8,'09월 고철장입'!V$14:V$949)/1000)</f>
        <v/>
      </c>
      <c r="BG8" s="950" t="str">
        <f>IF($B8&lt;1,"",SUMIF('09월 고철장입'!$A$14:$A$949,$A8,'09월 고철장입'!W$14:W$949)/1000)</f>
        <v/>
      </c>
      <c r="BH8" s="950" t="str">
        <f>IF($B8&lt;1,"",SUMIF('09월 고철장입'!$A$14:$A$949,$A8,'09월 고철장입'!Y$14:Y$949)/1000)</f>
        <v/>
      </c>
      <c r="BI8" s="950" t="str">
        <f>IF($B8&lt;1,"",SUMIF('09월 고철장입'!$A$14:$A$949,$A8,'09월 고철장입'!AB$14:AB$949)/1000)</f>
        <v/>
      </c>
      <c r="BJ8" s="950" t="str">
        <f>IF($B8&lt;1,"",SUMIF('09월 고철장입'!$A$14:$A$949,$A8,'09월 고철장입'!AC$14:AC$949)/1000)</f>
        <v/>
      </c>
      <c r="BK8" s="950" t="str">
        <f>IF($B8&lt;1,"",SUMIF('09월 고철장입'!$A$14:$A$949,$A8,'09월 고철장입'!AD$14:AD$949)/1000)</f>
        <v/>
      </c>
      <c r="BL8" s="950" t="str">
        <f>IF($B8&lt;1,"",SUMIF('09월 고철장입'!$A$14:$A$949,$A8,'09월 고철장입'!AE$14:AE$949)/1000)</f>
        <v/>
      </c>
      <c r="BM8" s="951" t="str">
        <f>IF($B8&lt;1,"",SUMIF('09월 고철장입'!$A$14:$A$949,$A8,'09월 고철장입'!AF$14:AF$949)/1000)</f>
        <v/>
      </c>
      <c r="BN8" s="951" t="str">
        <f>IF($B8&lt;1,"",SUMIF('09월 고철장입'!$A$14:$A$949,$A8,'09월 고철장입'!AG$14:AG$949)/1000)</f>
        <v/>
      </c>
      <c r="BO8" s="951" t="str">
        <f>IF($B8&lt;1,"",SUMIF('09월 고철장입'!$A$14:$A$949,$A8,'09월 고철장입'!AH$14:AH$949)/1000)</f>
        <v/>
      </c>
      <c r="BP8" s="951" t="str">
        <f>IF($B8&lt;1,"",SUMIF('09월 고철장입'!$A$14:$A$949,$A8,'09월 고철장입'!AI$14:AI$949)/1000)</f>
        <v/>
      </c>
      <c r="BQ8" s="952" t="str">
        <f>IF($B8&lt;1,"",SUMIF('09월 고철장입'!$A$14:$A$949,$A8,'09월 고철장입'!AJ$14:AJ$949)/1000)</f>
        <v/>
      </c>
      <c r="BR8" s="952" t="str">
        <f>IF($B8&lt;1,"",SUMIF('09월 고철장입'!$A$14:$A$949,$A8,'09월 고철장입'!AK$14:AK$949))</f>
        <v/>
      </c>
      <c r="BS8" s="953" t="str">
        <f>IF($B8&lt;1,"",AVERAGEIF('09월 고철장입'!$A$14:$A$949,$A8,'09월 고철장입'!AL$14:AL$949)*100)</f>
        <v/>
      </c>
      <c r="BT8" s="948" t="str">
        <f>IF($B8&lt;1,"",SUMIF('09월 에너지'!$A$14:$A$949,$A8,'09월 에너지'!G$14:G$949))</f>
        <v/>
      </c>
      <c r="BU8" s="948" t="str">
        <f>IF($B8&lt;1,"",SUMIF('09월 에너지'!$A$14:$A$949,$A8,'09월 에너지'!H$14:H$949))</f>
        <v/>
      </c>
      <c r="BV8" s="948" t="str">
        <f>IF($B8&lt;1,"",SUMIF('09월 에너지'!$A$14:$A$949,$A8,'09월 에너지'!I$14:I$949))</f>
        <v/>
      </c>
      <c r="BW8" s="948" t="str">
        <f>IF($B8&lt;1,"",SUMIF('09월 에너지'!$A$14:$A$949,$A8,'09월 에너지'!J$14:J$949))</f>
        <v/>
      </c>
      <c r="BX8" s="948" t="str">
        <f>IF($B8&lt;1,"",SUMIF('09월 에너지'!$A$14:$A$949,$A8,'09월 에너지'!K$14:K$949))</f>
        <v/>
      </c>
      <c r="BY8" s="948" t="str">
        <f>IF($B8&lt;1,"",SUMIF('09월 에너지'!$A$14:$A$949,$A8,'09월 에너지'!L$14:L$949))</f>
        <v/>
      </c>
      <c r="BZ8" s="948" t="str">
        <f>IF($B8&lt;1,"",SUMIF('09월 에너지'!$A$14:$A$949,$A8,'09월 에너지'!M$14:M$949))</f>
        <v/>
      </c>
      <c r="CA8" s="948" t="str">
        <f>IF($B8&lt;1,"",SUMIF('09월 에너지'!$A$14:$A$949,$A8,'09월 에너지'!N$14:N$949))</f>
        <v/>
      </c>
      <c r="CB8" s="948" t="str">
        <f>IF($B8&lt;1,"",SUMIF('09월 에너지'!$A$14:$A$949,$A8,'09월 에너지'!O$14:O$949))</f>
        <v/>
      </c>
      <c r="CC8" s="948" t="str">
        <f>IF($B8&lt;1,"",SUMIF('09월 에너지'!$A$14:$A$949,$A8,'09월 에너지'!P$14:P$949))</f>
        <v/>
      </c>
      <c r="CD8" s="948" t="str">
        <f>IF($B8&lt;1,"",SUMIF('09월 에너지'!$A$14:$A$949,$A8,'09월 에너지'!Q$14:Q$949))</f>
        <v/>
      </c>
      <c r="CE8" s="948" t="str">
        <f>IF($B8&lt;1,"",SUMIF('09월 에너지'!$A$14:$A$949,$A8,'09월 에너지'!R$14:R$949))</f>
        <v/>
      </c>
      <c r="CF8" s="948" t="str">
        <f>IF($B8&lt;1,"",SUMIF('09월 에너지'!$A$14:$A$949,$A8,'09월 에너지'!S$14:S$949))</f>
        <v/>
      </c>
      <c r="CG8" s="954" t="str">
        <f>IF($B8&lt;1,"",SUMIF('09월 에너지'!$A$14:$A$949,$A8,'09월 에너지'!T$14:T$949))</f>
        <v/>
      </c>
      <c r="CH8" s="954" t="str">
        <f>IF($B8&lt;1,"",SUMIF('09월 에너지'!$A$14:$A$949,$A8,'09월 에너지'!U$14:U$949))</f>
        <v/>
      </c>
      <c r="CI8" s="954" t="str">
        <f>IF($B8&lt;1,"",SUMIF('09월 에너지'!$A$14:$A$949,$A8,'09월 에너지'!V$14:V$949))</f>
        <v/>
      </c>
      <c r="CJ8" s="954" t="str">
        <f>IF($B8&lt;1,"",SUMIF('09월 에너지'!$A$14:$A$949,$A8,'09월 에너지'!W$14:W$949))</f>
        <v/>
      </c>
      <c r="CK8" s="954" t="str">
        <f>IF($B8&lt;1,"",SUMIF('09월 에너지'!$A$14:$A$949,$A8,'09월 에너지'!X$14:X$949))</f>
        <v/>
      </c>
      <c r="CL8" s="954" t="str">
        <f>IF($B8&lt;1,"",SUMIF('09월 에너지'!$A$14:$A$949,$A8,'09월 에너지'!Y$14:Y$949))</f>
        <v/>
      </c>
      <c r="CM8" s="954" t="str">
        <f>IF($B8&lt;1,"",SUMIF('09월 에너지'!$A$14:$A$949,$A8,'09월 에너지'!Z$14:Z$949))</f>
        <v/>
      </c>
      <c r="CN8" s="954" t="str">
        <f>IF($B8&lt;1,"",SUMIF('09월 에너지'!$A$14:$A$949,$A8,'09월 에너지'!AA$14:AA$949))</f>
        <v/>
      </c>
      <c r="CO8" s="954" t="str">
        <f>IF($B8&lt;1,"",SUMIF('09월 에너지'!$A$14:$A$949,$A8,'09월 에너지'!AB$14:AB$949))</f>
        <v/>
      </c>
      <c r="CP8" s="954" t="str">
        <f>IF($B8&lt;1,"",SUMIF('09월 에너지'!$A$14:$A$949,$A8,'09월 에너지'!AC$14:AC$949))</f>
        <v/>
      </c>
      <c r="CQ8" s="955" t="str">
        <f>IF($B8&lt;1,"",SUMIF('09월 에너지'!$A$14:$A$949,$A8,'09월 에너지'!AD$14:AD$949))</f>
        <v/>
      </c>
      <c r="CR8" s="955" t="str">
        <f>IF($B8&lt;1,"",SUMIF('09월 에너지'!$A$14:$A$949,$A8,'09월 에너지'!AE$14:AE$949))</f>
        <v/>
      </c>
      <c r="CS8" s="948" t="str">
        <f>IF($B8&lt;1,"",SUMIF('09월 에너지'!$A$14:$A$949,$A8,'09월 에너지'!AF$14:AF$949))</f>
        <v/>
      </c>
      <c r="CT8" s="948" t="str">
        <f>IF($B8&lt;1,"",SUMIF('09월 에너지'!$A$14:$A$949,$A8,'09월 에너지'!AG$14:AG$949))</f>
        <v/>
      </c>
      <c r="CU8" s="948" t="str">
        <f>IF($B8&lt;1,"",SUMIF('09월 에너지'!$A$14:$A$949,$A8,'09월 에너지'!AH$14:AH$949))</f>
        <v/>
      </c>
      <c r="CV8" s="948" t="str">
        <f>IF($B8&lt;1,"",SUMIF('09월 에너지'!$A$14:$A$949,$A8,'09월 에너지'!AI$14:AI$949))</f>
        <v/>
      </c>
      <c r="CW8" s="956" t="str">
        <f>IF($B8&lt;1,"",SUMIF('09월 에너지'!$A$14:$A$949,$A8,'09월 에너지'!AJ$14:AJ$949))</f>
        <v/>
      </c>
    </row>
    <row r="9" spans="1:101" ht="15.75" customHeight="1">
      <c r="A9" s="939">
        <f t="shared" si="1"/>
        <v>44778</v>
      </c>
      <c r="B9" s="884">
        <f>COUNTIF('09월 조업일지'!$A$12:$A$952,A9)</f>
        <v>0</v>
      </c>
      <c r="C9" s="885" t="str">
        <f t="shared" si="0"/>
        <v/>
      </c>
      <c r="D9" s="885" t="str">
        <f>IF($B9&lt;1,"",(SUMIF('09월 조업일지'!$A$12:$A$952,$A9,'09월 조업일지'!$K$12:$K$952))/B9)</f>
        <v/>
      </c>
      <c r="E9" s="885" t="str">
        <f>IF($B9&lt;1,"",AVERAGEIF('09월 조업일지'!$A$12:$A$952,$A9,'09월 조업일지'!$J$12:$J$952))</f>
        <v/>
      </c>
      <c r="F9" s="940" t="str">
        <f>IF($B9&lt;1,"",AVERAGEIF('09월 에너지'!$A$14:$A$949,$A9,'09월 에너지'!$M$14:M$949))</f>
        <v/>
      </c>
      <c r="G9" s="887" t="str">
        <f>IF($B9&lt;1,"",AVERAGEIF('09월 조업일지'!$A$12:$A$952,$A9,'09월 조업일지'!$AJ$12:$AJ$952))</f>
        <v/>
      </c>
      <c r="H9" s="887" t="str">
        <f>IF($B9&lt;1,"",AVERAGEIF('09월 조업일지'!$A$12:$A$952,$A9,'09월 조업일지'!$AL$12:$AL$952))</f>
        <v/>
      </c>
      <c r="I9" s="941" t="str">
        <f>IF($B9&lt;1,"",AVERAGEIF('09월 화학성분'!$A$12:$A$949,$A9,'09월 화학성분'!G$12:G$949))</f>
        <v/>
      </c>
      <c r="J9" s="941" t="str">
        <f>IF($B9&lt;1,"",AVERAGEIF('09월 화학성분'!$A$12:$A$949,$A9,'09월 화학성분'!H$12:H$949))</f>
        <v/>
      </c>
      <c r="K9" s="941" t="str">
        <f>IF($B9&lt;1,"",AVERAGEIF('09월 화학성분'!$A$12:$A$949,$A9,'09월 화학성분'!I$12:I$949))</f>
        <v/>
      </c>
      <c r="L9" s="941" t="str">
        <f>IF($B9&lt;1,"",AVERAGEIF('09월 화학성분'!$A$12:$A$949,$A9,'09월 화학성분'!J$12:J$949))</f>
        <v/>
      </c>
      <c r="M9" s="941" t="str">
        <f>IF($B9&lt;1,"",AVERAGEIF('09월 화학성분'!$A$12:$A$949,$A9,'09월 화학성분'!K$12:K$949))</f>
        <v/>
      </c>
      <c r="N9" s="941" t="str">
        <f>IF($B9&lt;1,"",AVERAGEIF('09월 화학성분'!$A$12:$A$949,$A9,'09월 화학성분'!L$12:L$949))</f>
        <v/>
      </c>
      <c r="O9" s="941" t="str">
        <f>IF($B9&lt;1,"",AVERAGEIF('09월 화학성분'!$A$12:$A$949,$A9,'09월 화학성분'!M$12:M$949))</f>
        <v/>
      </c>
      <c r="P9" s="889" t="str">
        <f>IF($B9&lt;1,"",AVERAGEIF('09월 조업일지'!$A$12:$A$952,$A9,'09월 조업일지'!$AK$12:$AK$952))</f>
        <v/>
      </c>
      <c r="Q9" s="941" t="str">
        <f>IF($B9&lt;1,"",AVERAGEIF('09월 화학성분'!$A$12:$A$949,$A9,'09월 화학성분'!$G$12:$G$949))</f>
        <v/>
      </c>
      <c r="R9" s="889" t="str">
        <f>IF($B9&lt;1,"",AVERAGEIF('09월 조업일지'!$A$12:$A$952,$A9,'09월 조업일지'!$AI$12:$AI$952))</f>
        <v/>
      </c>
      <c r="S9" s="942" t="str">
        <f>IF($B9&lt;1,"",SUMIF('09월 화학성분'!$A$12:$A$949,$A9,'09월 화학성분'!$AM$12:$AM$949))</f>
        <v/>
      </c>
      <c r="T9" s="943" t="str">
        <f>IF($B9&lt;1,"",SUMIF('09월 화학성분'!$A$12:$A$949,$A9,'09월 화학성분'!N$12:N$949))</f>
        <v/>
      </c>
      <c r="U9" s="943" t="str">
        <f>IF($B9&lt;1,"",SUMIF('09월 화학성분'!$A$12:$A$949,$A9,'09월 화학성분'!O$12:O$949))</f>
        <v/>
      </c>
      <c r="V9" s="943" t="str">
        <f>IF($B9&lt;1,"",SUMIF('09월 화학성분'!$A$12:$A$949,$A9,'09월 화학성분'!P$12:P$949))</f>
        <v/>
      </c>
      <c r="W9" s="943" t="str">
        <f>IF($B9&lt;1,"",SUMIF('09월 화학성분'!$A$12:$A$949,$A9,'09월 화학성분'!Q$12:Q$949))</f>
        <v/>
      </c>
      <c r="X9" s="943" t="str">
        <f>IF($B9&lt;1,"",SUMIF('09월 화학성분'!$A$12:$A$949,$A9,'09월 화학성분'!R$12:R$949))</f>
        <v/>
      </c>
      <c r="Y9" s="943" t="str">
        <f>IF($B9&lt;1,"",SUMIF('09월 화학성분'!$A$12:$A$949,$A9,'09월 화학성분'!U$12:U$949))</f>
        <v/>
      </c>
      <c r="Z9" s="944" t="str">
        <f>IF($B9&lt;1,"",SUMIF('09월 화학성분'!$A$12:$A$949,$A9,'09월 화학성분'!V$12:V$949))</f>
        <v/>
      </c>
      <c r="AA9" s="944" t="str">
        <f>IF($B9&lt;1,"",SUMIF('09월 화학성분'!$A$12:$A$949,$A9,'09월 화학성분'!W$12:W$949))</f>
        <v/>
      </c>
      <c r="AB9" s="944" t="str">
        <f>IF($B9&lt;1,"",SUMIF('09월 화학성분'!$A$12:$A$949,$A9,'09월 화학성분'!AA$12:AA$949))</f>
        <v/>
      </c>
      <c r="AC9" s="944"/>
      <c r="AD9" s="945" t="str">
        <f>IF($B9&lt;1,"",SUMIF('09월 화학성분'!$A$12:$A$949,$A9,'09월 화학성분'!AB$12:AB$949))</f>
        <v/>
      </c>
      <c r="AE9" s="945" t="str">
        <f>IF($B9&lt;1,"",SUMIF('09월 화학성분'!$A$12:$A$949,$A9,'09월 화학성분'!AC$12:AC$949))</f>
        <v/>
      </c>
      <c r="AF9" s="945" t="str">
        <f>IF($B9&lt;1,"",SUMIF('09월 화학성분'!$A$12:$A$949,$A9,'09월 화학성분'!AD$12:AD$949))</f>
        <v/>
      </c>
      <c r="AG9" s="945"/>
      <c r="AH9" s="945" t="str">
        <f>IF($B9&lt;1,"",SUMIF('09월 화학성분'!$A$12:$A$949,$A9,'09월 화학성분'!AG$12:AG$949))</f>
        <v/>
      </c>
      <c r="AI9" s="945" t="str">
        <f>IF($B9&lt;1,"",SUMIF('09월 화학성분'!$A$12:$A$949,$A9,'09월 화학성분'!AH$12:AH$949))</f>
        <v/>
      </c>
      <c r="AJ9" s="945" t="str">
        <f>IF($B9&lt;1,"",SUMIF('09월 화학성분'!$A$12:$A$949,$A9,'09월 화학성분'!AI$12:AI$949))</f>
        <v/>
      </c>
      <c r="AK9" s="945" t="str">
        <f>IF($B9&lt;1,"",SUMIF('09월 화학성분'!$A$12:$A$949,$A9,'09월 화학성분'!AJ$12:AJ$949))</f>
        <v/>
      </c>
      <c r="AL9" s="945" t="str">
        <f>IF($B9&lt;1,"",SUMIF('09월 화학성분'!$A$12:$A$949,$A9,'09월 화학성분'!#REF!))</f>
        <v/>
      </c>
      <c r="AM9" s="945" t="str">
        <f>IF($B9&lt;1,"",SUMIF('09월 화학성분'!$A$12:$A$949,$A9,'09월 화학성분'!AL$12:AL$949))</f>
        <v/>
      </c>
      <c r="AN9" s="946" t="str">
        <f>IF($B9&lt;1,"",SUMIF('09월 화학성분'!$A$12:$A$949,$A9,'09월 화학성분'!AM$12:AM$949))</f>
        <v/>
      </c>
      <c r="AO9" s="947" t="str">
        <f>IF($B9&lt;1,"",AVERAGEIF('09월 화학성분'!$A$12:$A$949,$A9,'09월 화학성분'!AN$12:AN$949))</f>
        <v/>
      </c>
      <c r="AP9" s="947" t="str">
        <f>IF($B9&lt;1,"",AVERAGEIF('09월 화학성분'!$A$12:$A$949,$A9,'09월 화학성분'!AO$12:AO$949))</f>
        <v/>
      </c>
      <c r="AQ9" s="948" t="str">
        <f>IF($B9&lt;1,"",SUMIF('09월 화학성분'!$A$12:$A$949,$A9,'09월 화학성분'!AP$12:AP$949))</f>
        <v/>
      </c>
      <c r="AR9" s="949" t="str">
        <f>IF($B9&lt;1,"",SUMIF('09월 고철장입'!$A$14:$A$949,$A9,'09월 고철장입'!G$14:G$949)/1000)</f>
        <v/>
      </c>
      <c r="AS9" s="949" t="str">
        <f>IF($B9&lt;1,"",SUMIF('09월 고철장입'!$A$14:$A$949,$A9,'09월 고철장입'!H$14:H$949)/1000)</f>
        <v/>
      </c>
      <c r="AT9" s="949" t="str">
        <f>IF($B9&lt;1,"",SUMIF('09월 고철장입'!$A$14:$A$949,$A9,'09월 고철장입'!I$14:I$949)/1000)</f>
        <v/>
      </c>
      <c r="AU9" s="949" t="str">
        <f>IF($B9&lt;1,"",SUMIF('09월 고철장입'!$A$14:$A$949,$A9,'09월 고철장입'!J$14:J$949)/1000)</f>
        <v/>
      </c>
      <c r="AV9" s="949" t="str">
        <f>IF($B9&lt;1,"",SUMIF('09월 고철장입'!$A$14:$A$949,$A9,'09월 고철장입'!K$14:K$949)/1000)</f>
        <v/>
      </c>
      <c r="AW9" s="949" t="str">
        <f>IF($B9&lt;1,"",SUMIF('09월 고철장입'!$A$14:$A$949,$A9,'09월 고철장입'!L$14:L$949)/1000)</f>
        <v/>
      </c>
      <c r="AX9" s="949" t="str">
        <f>IF($B9&lt;1,"",SUMIF('09월 고철장입'!$A$14:$A$949,$A9,'09월 고철장입'!M$14:M$949)/1000)</f>
        <v/>
      </c>
      <c r="AY9" s="949" t="str">
        <f>IF($B9&lt;1,"",SUMIF('09월 고철장입'!$A$14:$A$949,$A9,'09월 고철장입'!N$14:N$949)/1000)</f>
        <v/>
      </c>
      <c r="AZ9" s="949" t="str">
        <f>IF($B9&lt;1,"",SUMIF('09월 고철장입'!$A$14:$A$949,$A9,'09월 고철장입'!O$14:O$949)/1000)</f>
        <v/>
      </c>
      <c r="BA9" s="950" t="str">
        <f>IF($B9&lt;1,"",SUMIF('09월 고철장입'!$A$14:$A$949,$A9,'09월 고철장입'!P$14:P$949)/1000)</f>
        <v/>
      </c>
      <c r="BB9" s="950" t="str">
        <f>IF($B9&lt;1,"",SUMIF('09월 고철장입'!$A$14:$A$949,$A9,'09월 고철장입'!Q$14:Q$949)/1000)</f>
        <v/>
      </c>
      <c r="BC9" s="950" t="str">
        <f>IF($B9&lt;1,"",SUMIF('09월 고철장입'!$A$14:$A$949,$A9,'09월 고철장입'!S$14:S$949)/1000)</f>
        <v/>
      </c>
      <c r="BD9" s="950" t="str">
        <f>IF($B9&lt;1,"",SUMIF('09월 고철장입'!$A$14:$A$949,$A9,'09월 고철장입'!T$14:T$949)/1000)</f>
        <v/>
      </c>
      <c r="BE9" s="950" t="str">
        <f>IF($B9&lt;1,"",SUMIF('09월 고철장입'!$A$14:$A$949,$A9,'09월 고철장입'!U$14:U$949)/1000)</f>
        <v/>
      </c>
      <c r="BF9" s="950" t="str">
        <f>IF($B9&lt;1,"",SUMIF('09월 고철장입'!$A$14:$A$949,$A9,'09월 고철장입'!V$14:V$949)/1000)</f>
        <v/>
      </c>
      <c r="BG9" s="950" t="str">
        <f>IF($B9&lt;1,"",SUMIF('09월 고철장입'!$A$14:$A$949,$A9,'09월 고철장입'!W$14:W$949)/1000)</f>
        <v/>
      </c>
      <c r="BH9" s="950" t="str">
        <f>IF($B9&lt;1,"",SUMIF('09월 고철장입'!$A$14:$A$949,$A9,'09월 고철장입'!Y$14:Y$949)/1000)</f>
        <v/>
      </c>
      <c r="BI9" s="950" t="str">
        <f>IF($B9&lt;1,"",SUMIF('09월 고철장입'!$A$14:$A$949,$A9,'09월 고철장입'!AB$14:AB$949)/1000)</f>
        <v/>
      </c>
      <c r="BJ9" s="950" t="str">
        <f>IF($B9&lt;1,"",SUMIF('09월 고철장입'!$A$14:$A$949,$A9,'09월 고철장입'!AC$14:AC$949)/1000)</f>
        <v/>
      </c>
      <c r="BK9" s="950" t="str">
        <f>IF($B9&lt;1,"",SUMIF('09월 고철장입'!$A$14:$A$949,$A9,'09월 고철장입'!AD$14:AD$949)/1000)</f>
        <v/>
      </c>
      <c r="BL9" s="950" t="str">
        <f>IF($B9&lt;1,"",SUMIF('09월 고철장입'!$A$14:$A$949,$A9,'09월 고철장입'!AE$14:AE$949)/1000)</f>
        <v/>
      </c>
      <c r="BM9" s="951" t="str">
        <f>IF($B9&lt;1,"",SUMIF('09월 고철장입'!$A$14:$A$949,$A9,'09월 고철장입'!AF$14:AF$949)/1000)</f>
        <v/>
      </c>
      <c r="BN9" s="951" t="str">
        <f>IF($B9&lt;1,"",SUMIF('09월 고철장입'!$A$14:$A$949,$A9,'09월 고철장입'!AG$14:AG$949)/1000)</f>
        <v/>
      </c>
      <c r="BO9" s="951" t="str">
        <f>IF($B9&lt;1,"",SUMIF('09월 고철장입'!$A$14:$A$949,$A9,'09월 고철장입'!AH$14:AH$949)/1000)</f>
        <v/>
      </c>
      <c r="BP9" s="951" t="str">
        <f>IF($B9&lt;1,"",SUMIF('09월 고철장입'!$A$14:$A$949,$A9,'09월 고철장입'!AI$14:AI$949)/1000)</f>
        <v/>
      </c>
      <c r="BQ9" s="952" t="str">
        <f>IF($B9&lt;1,"",SUMIF('09월 고철장입'!$A$14:$A$949,$A9,'09월 고철장입'!AJ$14:AJ$949)/1000)</f>
        <v/>
      </c>
      <c r="BR9" s="952" t="str">
        <f>IF($B9&lt;1,"",SUMIF('09월 고철장입'!$A$14:$A$949,$A9,'09월 고철장입'!AK$14:AK$949))</f>
        <v/>
      </c>
      <c r="BS9" s="953" t="str">
        <f>IF($B9&lt;1,"",AVERAGEIF('09월 고철장입'!$A$14:$A$949,$A9,'09월 고철장입'!AL$14:AL$949)*100)</f>
        <v/>
      </c>
      <c r="BT9" s="948" t="str">
        <f>IF($B9&lt;1,"",SUMIF('09월 에너지'!$A$14:$A$949,$A9,'09월 에너지'!G$14:G$949))</f>
        <v/>
      </c>
      <c r="BU9" s="948" t="str">
        <f>IF($B9&lt;1,"",SUMIF('09월 에너지'!$A$14:$A$949,$A9,'09월 에너지'!H$14:H$949))</f>
        <v/>
      </c>
      <c r="BV9" s="948" t="str">
        <f>IF($B9&lt;1,"",SUMIF('09월 에너지'!$A$14:$A$949,$A9,'09월 에너지'!I$14:I$949))</f>
        <v/>
      </c>
      <c r="BW9" s="948" t="str">
        <f>IF($B9&lt;1,"",SUMIF('09월 에너지'!$A$14:$A$949,$A9,'09월 에너지'!J$14:J$949))</f>
        <v/>
      </c>
      <c r="BX9" s="948" t="str">
        <f>IF($B9&lt;1,"",SUMIF('09월 에너지'!$A$14:$A$949,$A9,'09월 에너지'!K$14:K$949))</f>
        <v/>
      </c>
      <c r="BY9" s="948" t="str">
        <f>IF($B9&lt;1,"",SUMIF('09월 에너지'!$A$14:$A$949,$A9,'09월 에너지'!L$14:L$949))</f>
        <v/>
      </c>
      <c r="BZ9" s="948" t="str">
        <f>IF($B9&lt;1,"",SUMIF('09월 에너지'!$A$14:$A$949,$A9,'09월 에너지'!M$14:M$949))</f>
        <v/>
      </c>
      <c r="CA9" s="948" t="str">
        <f>IF($B9&lt;1,"",SUMIF('09월 에너지'!$A$14:$A$949,$A9,'09월 에너지'!N$14:N$949))</f>
        <v/>
      </c>
      <c r="CB9" s="948" t="str">
        <f>IF($B9&lt;1,"",SUMIF('09월 에너지'!$A$14:$A$949,$A9,'09월 에너지'!O$14:O$949))</f>
        <v/>
      </c>
      <c r="CC9" s="948" t="str">
        <f>IF($B9&lt;1,"",SUMIF('09월 에너지'!$A$14:$A$949,$A9,'09월 에너지'!P$14:P$949))</f>
        <v/>
      </c>
      <c r="CD9" s="948" t="str">
        <f>IF($B9&lt;1,"",SUMIF('09월 에너지'!$A$14:$A$949,$A9,'09월 에너지'!Q$14:Q$949))</f>
        <v/>
      </c>
      <c r="CE9" s="948" t="str">
        <f>IF($B9&lt;1,"",SUMIF('09월 에너지'!$A$14:$A$949,$A9,'09월 에너지'!R$14:R$949))</f>
        <v/>
      </c>
      <c r="CF9" s="948" t="str">
        <f>IF($B9&lt;1,"",SUMIF('09월 에너지'!$A$14:$A$949,$A9,'09월 에너지'!S$14:S$949))</f>
        <v/>
      </c>
      <c r="CG9" s="954" t="str">
        <f>IF($B9&lt;1,"",SUMIF('09월 에너지'!$A$14:$A$949,$A9,'09월 에너지'!T$14:T$949))</f>
        <v/>
      </c>
      <c r="CH9" s="954" t="str">
        <f>IF($B9&lt;1,"",SUMIF('09월 에너지'!$A$14:$A$949,$A9,'09월 에너지'!U$14:U$949))</f>
        <v/>
      </c>
      <c r="CI9" s="954" t="str">
        <f>IF($B9&lt;1,"",SUMIF('09월 에너지'!$A$14:$A$949,$A9,'09월 에너지'!V$14:V$949))</f>
        <v/>
      </c>
      <c r="CJ9" s="954" t="str">
        <f>IF($B9&lt;1,"",SUMIF('09월 에너지'!$A$14:$A$949,$A9,'09월 에너지'!W$14:W$949))</f>
        <v/>
      </c>
      <c r="CK9" s="954" t="str">
        <f>IF($B9&lt;1,"",SUMIF('09월 에너지'!$A$14:$A$949,$A9,'09월 에너지'!X$14:X$949))</f>
        <v/>
      </c>
      <c r="CL9" s="954" t="str">
        <f>IF($B9&lt;1,"",SUMIF('09월 에너지'!$A$14:$A$949,$A9,'09월 에너지'!Y$14:Y$949))</f>
        <v/>
      </c>
      <c r="CM9" s="954" t="str">
        <f>IF($B9&lt;1,"",SUMIF('09월 에너지'!$A$14:$A$949,$A9,'09월 에너지'!Z$14:Z$949))</f>
        <v/>
      </c>
      <c r="CN9" s="954" t="str">
        <f>IF($B9&lt;1,"",SUMIF('09월 에너지'!$A$14:$A$949,$A9,'09월 에너지'!AA$14:AA$949))</f>
        <v/>
      </c>
      <c r="CO9" s="954" t="str">
        <f>IF($B9&lt;1,"",SUMIF('09월 에너지'!$A$14:$A$949,$A9,'09월 에너지'!AB$14:AB$949))</f>
        <v/>
      </c>
      <c r="CP9" s="954" t="str">
        <f>IF($B9&lt;1,"",SUMIF('09월 에너지'!$A$14:$A$949,$A9,'09월 에너지'!AC$14:AC$949))</f>
        <v/>
      </c>
      <c r="CQ9" s="955" t="str">
        <f>IF($B9&lt;1,"",SUMIF('09월 에너지'!$A$14:$A$949,$A9,'09월 에너지'!AD$14:AD$949))</f>
        <v/>
      </c>
      <c r="CR9" s="955" t="str">
        <f>IF($B9&lt;1,"",SUMIF('09월 에너지'!$A$14:$A$949,$A9,'09월 에너지'!AE$14:AE$949))</f>
        <v/>
      </c>
      <c r="CS9" s="948" t="str">
        <f>IF($B9&lt;1,"",SUMIF('09월 에너지'!$A$14:$A$949,$A9,'09월 에너지'!AF$14:AF$949))</f>
        <v/>
      </c>
      <c r="CT9" s="948" t="str">
        <f>IF($B9&lt;1,"",SUMIF('09월 에너지'!$A$14:$A$949,$A9,'09월 에너지'!AG$14:AG$949))</f>
        <v/>
      </c>
      <c r="CU9" s="948" t="str">
        <f>IF($B9&lt;1,"",SUMIF('09월 에너지'!$A$14:$A$949,$A9,'09월 에너지'!AH$14:AH$949))</f>
        <v/>
      </c>
      <c r="CV9" s="948" t="str">
        <f>IF($B9&lt;1,"",SUMIF('09월 에너지'!$A$14:$A$949,$A9,'09월 에너지'!AI$14:AI$949))</f>
        <v/>
      </c>
      <c r="CW9" s="956" t="str">
        <f>IF($B9&lt;1,"",SUMIF('09월 에너지'!$A$14:$A$949,$A9,'09월 에너지'!AJ$14:AJ$949))</f>
        <v/>
      </c>
    </row>
    <row r="10" spans="1:101" ht="15.75" customHeight="1">
      <c r="A10" s="939">
        <f t="shared" si="1"/>
        <v>44779</v>
      </c>
      <c r="B10" s="884">
        <f>COUNTIF('09월 조업일지'!$A$12:$A$952,A10)</f>
        <v>0</v>
      </c>
      <c r="C10" s="885" t="str">
        <f t="shared" si="0"/>
        <v/>
      </c>
      <c r="D10" s="885" t="str">
        <f>IF($B10&lt;1,"",(SUMIF('09월 조업일지'!$A$12:$A$952,$A10,'09월 조업일지'!$K$12:$K$952))/B10)</f>
        <v/>
      </c>
      <c r="E10" s="885" t="str">
        <f>IF($B10&lt;1,"",AVERAGEIF('09월 조업일지'!$A$12:$A$952,$A10,'09월 조업일지'!$J$12:$J$952))</f>
        <v/>
      </c>
      <c r="F10" s="940" t="str">
        <f>IF($B10&lt;1,"",AVERAGEIF('09월 에너지'!$A$14:$A$949,$A10,'09월 에너지'!$M$14:M$949))</f>
        <v/>
      </c>
      <c r="G10" s="887" t="str">
        <f>IF($B10&lt;1,"",AVERAGEIF('09월 조업일지'!$A$12:$A$952,$A10,'09월 조업일지'!$AJ$12:$AJ$952))</f>
        <v/>
      </c>
      <c r="H10" s="887" t="str">
        <f>IF($B10&lt;1,"",AVERAGEIF('09월 조업일지'!$A$12:$A$952,$A10,'09월 조업일지'!$AL$12:$AL$952))</f>
        <v/>
      </c>
      <c r="I10" s="941" t="str">
        <f>IF($B10&lt;1,"",AVERAGEIF('09월 화학성분'!$A$12:$A$949,$A10,'09월 화학성분'!G$12:G$949))</f>
        <v/>
      </c>
      <c r="J10" s="941" t="str">
        <f>IF($B10&lt;1,"",AVERAGEIF('09월 화학성분'!$A$12:$A$949,$A10,'09월 화학성분'!H$12:H$949))</f>
        <v/>
      </c>
      <c r="K10" s="941" t="str">
        <f>IF($B10&lt;1,"",AVERAGEIF('09월 화학성분'!$A$12:$A$949,$A10,'09월 화학성분'!I$12:I$949))</f>
        <v/>
      </c>
      <c r="L10" s="941" t="str">
        <f>IF($B10&lt;1,"",AVERAGEIF('09월 화학성분'!$A$12:$A$949,$A10,'09월 화학성분'!J$12:J$949))</f>
        <v/>
      </c>
      <c r="M10" s="941" t="str">
        <f>IF($B10&lt;1,"",AVERAGEIF('09월 화학성분'!$A$12:$A$949,$A10,'09월 화학성분'!K$12:K$949))</f>
        <v/>
      </c>
      <c r="N10" s="941" t="str">
        <f>IF($B10&lt;1,"",AVERAGEIF('09월 화학성분'!$A$12:$A$949,$A10,'09월 화학성분'!L$12:L$949))</f>
        <v/>
      </c>
      <c r="O10" s="941" t="str">
        <f>IF($B10&lt;1,"",AVERAGEIF('09월 화학성분'!$A$12:$A$949,$A10,'09월 화학성분'!M$12:M$949))</f>
        <v/>
      </c>
      <c r="P10" s="889" t="str">
        <f>IF($B10&lt;1,"",AVERAGEIF('09월 조업일지'!$A$12:$A$952,$A10,'09월 조업일지'!$AK$12:$AK$952))</f>
        <v/>
      </c>
      <c r="Q10" s="941" t="str">
        <f>IF($B10&lt;1,"",AVERAGEIF('09월 화학성분'!$A$12:$A$949,$A10,'09월 화학성분'!$G$12:$G$949))</f>
        <v/>
      </c>
      <c r="R10" s="889" t="str">
        <f>IF($B10&lt;1,"",AVERAGEIF('09월 조업일지'!$A$12:$A$952,$A10,'09월 조업일지'!$AI$12:$AI$952))</f>
        <v/>
      </c>
      <c r="S10" s="942" t="str">
        <f>IF($B10&lt;1,"",SUMIF('09월 화학성분'!$A$12:$A$949,$A10,'09월 화학성분'!$AM$12:$AM$949))</f>
        <v/>
      </c>
      <c r="T10" s="943" t="str">
        <f>IF($B10&lt;1,"",SUMIF('09월 화학성분'!$A$12:$A$949,$A10,'09월 화학성분'!N$12:N$949))</f>
        <v/>
      </c>
      <c r="U10" s="943" t="str">
        <f>IF($B10&lt;1,"",SUMIF('09월 화학성분'!$A$12:$A$949,$A10,'09월 화학성분'!O$12:O$949))</f>
        <v/>
      </c>
      <c r="V10" s="943" t="str">
        <f>IF($B10&lt;1,"",SUMIF('09월 화학성분'!$A$12:$A$949,$A10,'09월 화학성분'!P$12:P$949))</f>
        <v/>
      </c>
      <c r="W10" s="943" t="str">
        <f>IF($B10&lt;1,"",SUMIF('09월 화학성분'!$A$12:$A$949,$A10,'09월 화학성분'!Q$12:Q$949))</f>
        <v/>
      </c>
      <c r="X10" s="943" t="str">
        <f>IF($B10&lt;1,"",SUMIF('09월 화학성분'!$A$12:$A$949,$A10,'09월 화학성분'!R$12:R$949))</f>
        <v/>
      </c>
      <c r="Y10" s="943" t="str">
        <f>IF($B10&lt;1,"",SUMIF('09월 화학성분'!$A$12:$A$949,$A10,'09월 화학성분'!U$12:U$949))</f>
        <v/>
      </c>
      <c r="Z10" s="944" t="str">
        <f>IF($B10&lt;1,"",SUMIF('09월 화학성분'!$A$12:$A$949,$A10,'09월 화학성분'!V$12:V$949))</f>
        <v/>
      </c>
      <c r="AA10" s="944" t="str">
        <f>IF($B10&lt;1,"",SUMIF('09월 화학성분'!$A$12:$A$949,$A10,'09월 화학성분'!W$12:W$949))</f>
        <v/>
      </c>
      <c r="AB10" s="944" t="str">
        <f>IF($B10&lt;1,"",SUMIF('09월 화학성분'!$A$12:$A$949,$A10,'09월 화학성분'!AA$12:AA$949))</f>
        <v/>
      </c>
      <c r="AC10" s="944"/>
      <c r="AD10" s="945" t="str">
        <f>IF($B10&lt;1,"",SUMIF('09월 화학성분'!$A$12:$A$949,$A10,'09월 화학성분'!AB$12:AB$949))</f>
        <v/>
      </c>
      <c r="AE10" s="945" t="str">
        <f>IF($B10&lt;1,"",SUMIF('09월 화학성분'!$A$12:$A$949,$A10,'09월 화학성분'!AC$12:AC$949))</f>
        <v/>
      </c>
      <c r="AF10" s="945" t="str">
        <f>IF($B10&lt;1,"",SUMIF('09월 화학성분'!$A$12:$A$949,$A10,'09월 화학성분'!AD$12:AD$949))</f>
        <v/>
      </c>
      <c r="AG10" s="945"/>
      <c r="AH10" s="945" t="str">
        <f>IF($B10&lt;1,"",SUMIF('09월 화학성분'!$A$12:$A$949,$A10,'09월 화학성분'!AG$12:AG$949))</f>
        <v/>
      </c>
      <c r="AI10" s="945" t="str">
        <f>IF($B10&lt;1,"",SUMIF('09월 화학성분'!$A$12:$A$949,$A10,'09월 화학성분'!AH$12:AH$949))</f>
        <v/>
      </c>
      <c r="AJ10" s="945" t="str">
        <f>IF($B10&lt;1,"",SUMIF('09월 화학성분'!$A$12:$A$949,$A10,'09월 화학성분'!AI$12:AI$949))</f>
        <v/>
      </c>
      <c r="AK10" s="945" t="str">
        <f>IF($B10&lt;1,"",SUMIF('09월 화학성분'!$A$12:$A$949,$A10,'09월 화학성분'!AJ$12:AJ$949))</f>
        <v/>
      </c>
      <c r="AL10" s="945" t="str">
        <f>IF($B10&lt;1,"",SUMIF('09월 화학성분'!$A$12:$A$949,$A10,'09월 화학성분'!#REF!))</f>
        <v/>
      </c>
      <c r="AM10" s="945" t="str">
        <f>IF($B10&lt;1,"",SUMIF('09월 화학성분'!$A$12:$A$949,$A10,'09월 화학성분'!AL$12:AL$949))</f>
        <v/>
      </c>
      <c r="AN10" s="946" t="str">
        <f>IF($B10&lt;1,"",SUMIF('09월 화학성분'!$A$12:$A$949,$A10,'09월 화학성분'!AM$12:AM$949))</f>
        <v/>
      </c>
      <c r="AO10" s="947" t="str">
        <f>IF($B10&lt;1,"",AVERAGEIF('09월 화학성분'!$A$12:$A$949,$A10,'09월 화학성분'!AN$12:AN$949))</f>
        <v/>
      </c>
      <c r="AP10" s="947" t="str">
        <f>IF($B10&lt;1,"",AVERAGEIF('09월 화학성분'!$A$12:$A$949,$A10,'09월 화학성분'!AO$12:AO$949))</f>
        <v/>
      </c>
      <c r="AQ10" s="948" t="str">
        <f>IF($B10&lt;1,"",SUMIF('09월 화학성분'!$A$12:$A$949,$A10,'09월 화학성분'!AP$12:AP$949))</f>
        <v/>
      </c>
      <c r="AR10" s="949" t="str">
        <f>IF($B10&lt;1,"",SUMIF('09월 고철장입'!$A$14:$A$949,$A10,'09월 고철장입'!G$14:G$949)/1000)</f>
        <v/>
      </c>
      <c r="AS10" s="949" t="str">
        <f>IF($B10&lt;1,"",SUMIF('09월 고철장입'!$A$14:$A$949,$A10,'09월 고철장입'!H$14:H$949)/1000)</f>
        <v/>
      </c>
      <c r="AT10" s="949" t="str">
        <f>IF($B10&lt;1,"",SUMIF('09월 고철장입'!$A$14:$A$949,$A10,'09월 고철장입'!I$14:I$949)/1000)</f>
        <v/>
      </c>
      <c r="AU10" s="949" t="str">
        <f>IF($B10&lt;1,"",SUMIF('09월 고철장입'!$A$14:$A$949,$A10,'09월 고철장입'!J$14:J$949)/1000)</f>
        <v/>
      </c>
      <c r="AV10" s="949" t="str">
        <f>IF($B10&lt;1,"",SUMIF('09월 고철장입'!$A$14:$A$949,$A10,'09월 고철장입'!K$14:K$949)/1000)</f>
        <v/>
      </c>
      <c r="AW10" s="949" t="str">
        <f>IF($B10&lt;1,"",SUMIF('09월 고철장입'!$A$14:$A$949,$A10,'09월 고철장입'!L$14:L$949)/1000)</f>
        <v/>
      </c>
      <c r="AX10" s="949" t="str">
        <f>IF($B10&lt;1,"",SUMIF('09월 고철장입'!$A$14:$A$949,$A10,'09월 고철장입'!M$14:M$949)/1000)</f>
        <v/>
      </c>
      <c r="AY10" s="949" t="str">
        <f>IF($B10&lt;1,"",SUMIF('09월 고철장입'!$A$14:$A$949,$A10,'09월 고철장입'!N$14:N$949)/1000)</f>
        <v/>
      </c>
      <c r="AZ10" s="949" t="str">
        <f>IF($B10&lt;1,"",SUMIF('09월 고철장입'!$A$14:$A$949,$A10,'09월 고철장입'!O$14:O$949)/1000)</f>
        <v/>
      </c>
      <c r="BA10" s="950" t="str">
        <f>IF($B10&lt;1,"",SUMIF('09월 고철장입'!$A$14:$A$949,$A10,'09월 고철장입'!P$14:P$949)/1000)</f>
        <v/>
      </c>
      <c r="BB10" s="950" t="str">
        <f>IF($B10&lt;1,"",SUMIF('09월 고철장입'!$A$14:$A$949,$A10,'09월 고철장입'!Q$14:Q$949)/1000)</f>
        <v/>
      </c>
      <c r="BC10" s="950" t="str">
        <f>IF($B10&lt;1,"",SUMIF('09월 고철장입'!$A$14:$A$949,$A10,'09월 고철장입'!S$14:S$949)/1000)</f>
        <v/>
      </c>
      <c r="BD10" s="950" t="str">
        <f>IF($B10&lt;1,"",SUMIF('09월 고철장입'!$A$14:$A$949,$A10,'09월 고철장입'!T$14:T$949)/1000)</f>
        <v/>
      </c>
      <c r="BE10" s="950" t="str">
        <f>IF($B10&lt;1,"",SUMIF('09월 고철장입'!$A$14:$A$949,$A10,'09월 고철장입'!U$14:U$949)/1000)</f>
        <v/>
      </c>
      <c r="BF10" s="950" t="str">
        <f>IF($B10&lt;1,"",SUMIF('09월 고철장입'!$A$14:$A$949,$A10,'09월 고철장입'!V$14:V$949)/1000)</f>
        <v/>
      </c>
      <c r="BG10" s="950" t="str">
        <f>IF($B10&lt;1,"",SUMIF('09월 고철장입'!$A$14:$A$949,$A10,'09월 고철장입'!W$14:W$949)/1000)</f>
        <v/>
      </c>
      <c r="BH10" s="950" t="str">
        <f>IF($B10&lt;1,"",SUMIF('09월 고철장입'!$A$14:$A$949,$A10,'09월 고철장입'!Y$14:Y$949)/1000)</f>
        <v/>
      </c>
      <c r="BI10" s="950" t="str">
        <f>IF($B10&lt;1,"",SUMIF('09월 고철장입'!$A$14:$A$949,$A10,'09월 고철장입'!AB$14:AB$949)/1000)</f>
        <v/>
      </c>
      <c r="BJ10" s="950" t="str">
        <f>IF($B10&lt;1,"",SUMIF('09월 고철장입'!$A$14:$A$949,$A10,'09월 고철장입'!AC$14:AC$949)/1000)</f>
        <v/>
      </c>
      <c r="BK10" s="950" t="str">
        <f>IF($B10&lt;1,"",SUMIF('09월 고철장입'!$A$14:$A$949,$A10,'09월 고철장입'!AD$14:AD$949)/1000)</f>
        <v/>
      </c>
      <c r="BL10" s="950" t="str">
        <f>IF($B10&lt;1,"",SUMIF('09월 고철장입'!$A$14:$A$949,$A10,'09월 고철장입'!AE$14:AE$949)/1000)</f>
        <v/>
      </c>
      <c r="BM10" s="951" t="str">
        <f>IF($B10&lt;1,"",SUMIF('09월 고철장입'!$A$14:$A$949,$A10,'09월 고철장입'!AF$14:AF$949)/1000)</f>
        <v/>
      </c>
      <c r="BN10" s="951" t="str">
        <f>IF($B10&lt;1,"",SUMIF('09월 고철장입'!$A$14:$A$949,$A10,'09월 고철장입'!AG$14:AG$949)/1000)</f>
        <v/>
      </c>
      <c r="BO10" s="951" t="str">
        <f>IF($B10&lt;1,"",SUMIF('09월 고철장입'!$A$14:$A$949,$A10,'09월 고철장입'!AH$14:AH$949)/1000)</f>
        <v/>
      </c>
      <c r="BP10" s="951" t="str">
        <f>IF($B10&lt;1,"",SUMIF('09월 고철장입'!$A$14:$A$949,$A10,'09월 고철장입'!AI$14:AI$949)/1000)</f>
        <v/>
      </c>
      <c r="BQ10" s="952" t="str">
        <f>IF($B10&lt;1,"",SUMIF('09월 고철장입'!$A$14:$A$949,$A10,'09월 고철장입'!AJ$14:AJ$949)/1000)</f>
        <v/>
      </c>
      <c r="BR10" s="952" t="str">
        <f>IF($B10&lt;1,"",SUMIF('09월 고철장입'!$A$14:$A$949,$A10,'09월 고철장입'!AK$14:AK$949))</f>
        <v/>
      </c>
      <c r="BS10" s="953" t="str">
        <f>IF($B10&lt;1,"",AVERAGEIF('09월 고철장입'!$A$14:$A$949,$A10,'09월 고철장입'!AL$14:AL$949)*100)</f>
        <v/>
      </c>
      <c r="BT10" s="948" t="str">
        <f>IF($B10&lt;1,"",SUMIF('09월 에너지'!$A$14:$A$949,$A10,'09월 에너지'!G$14:G$949))</f>
        <v/>
      </c>
      <c r="BU10" s="948" t="str">
        <f>IF($B10&lt;1,"",SUMIF('09월 에너지'!$A$14:$A$949,$A10,'09월 에너지'!H$14:H$949))</f>
        <v/>
      </c>
      <c r="BV10" s="948" t="str">
        <f>IF($B10&lt;1,"",SUMIF('09월 에너지'!$A$14:$A$949,$A10,'09월 에너지'!I$14:I$949))</f>
        <v/>
      </c>
      <c r="BW10" s="948" t="str">
        <f>IF($B10&lt;1,"",SUMIF('09월 에너지'!$A$14:$A$949,$A10,'09월 에너지'!J$14:J$949))</f>
        <v/>
      </c>
      <c r="BX10" s="948" t="str">
        <f>IF($B10&lt;1,"",SUMIF('09월 에너지'!$A$14:$A$949,$A10,'09월 에너지'!K$14:K$949))</f>
        <v/>
      </c>
      <c r="BY10" s="948" t="str">
        <f>IF($B10&lt;1,"",SUMIF('09월 에너지'!$A$14:$A$949,$A10,'09월 에너지'!L$14:L$949))</f>
        <v/>
      </c>
      <c r="BZ10" s="948" t="str">
        <f>IF($B10&lt;1,"",SUMIF('09월 에너지'!$A$14:$A$949,$A10,'09월 에너지'!M$14:M$949))</f>
        <v/>
      </c>
      <c r="CA10" s="948" t="str">
        <f>IF($B10&lt;1,"",SUMIF('09월 에너지'!$A$14:$A$949,$A10,'09월 에너지'!N$14:N$949))</f>
        <v/>
      </c>
      <c r="CB10" s="948" t="str">
        <f>IF($B10&lt;1,"",SUMIF('09월 에너지'!$A$14:$A$949,$A10,'09월 에너지'!O$14:O$949))</f>
        <v/>
      </c>
      <c r="CC10" s="948" t="str">
        <f>IF($B10&lt;1,"",SUMIF('09월 에너지'!$A$14:$A$949,$A10,'09월 에너지'!P$14:P$949))</f>
        <v/>
      </c>
      <c r="CD10" s="948" t="str">
        <f>IF($B10&lt;1,"",SUMIF('09월 에너지'!$A$14:$A$949,$A10,'09월 에너지'!Q$14:Q$949))</f>
        <v/>
      </c>
      <c r="CE10" s="948" t="str">
        <f>IF($B10&lt;1,"",SUMIF('09월 에너지'!$A$14:$A$949,$A10,'09월 에너지'!R$14:R$949))</f>
        <v/>
      </c>
      <c r="CF10" s="948" t="str">
        <f>IF($B10&lt;1,"",SUMIF('09월 에너지'!$A$14:$A$949,$A10,'09월 에너지'!S$14:S$949))</f>
        <v/>
      </c>
      <c r="CG10" s="954" t="str">
        <f>IF($B10&lt;1,"",SUMIF('09월 에너지'!$A$14:$A$949,$A10,'09월 에너지'!T$14:T$949))</f>
        <v/>
      </c>
      <c r="CH10" s="954" t="str">
        <f>IF($B10&lt;1,"",SUMIF('09월 에너지'!$A$14:$A$949,$A10,'09월 에너지'!U$14:U$949))</f>
        <v/>
      </c>
      <c r="CI10" s="954" t="str">
        <f>IF($B10&lt;1,"",SUMIF('09월 에너지'!$A$14:$A$949,$A10,'09월 에너지'!V$14:V$949))</f>
        <v/>
      </c>
      <c r="CJ10" s="954" t="str">
        <f>IF($B10&lt;1,"",SUMIF('09월 에너지'!$A$14:$A$949,$A10,'09월 에너지'!W$14:W$949))</f>
        <v/>
      </c>
      <c r="CK10" s="954" t="str">
        <f>IF($B10&lt;1,"",SUMIF('09월 에너지'!$A$14:$A$949,$A10,'09월 에너지'!X$14:X$949))</f>
        <v/>
      </c>
      <c r="CL10" s="954" t="str">
        <f>IF($B10&lt;1,"",SUMIF('09월 에너지'!$A$14:$A$949,$A10,'09월 에너지'!Y$14:Y$949))</f>
        <v/>
      </c>
      <c r="CM10" s="954" t="str">
        <f>IF($B10&lt;1,"",SUMIF('09월 에너지'!$A$14:$A$949,$A10,'09월 에너지'!Z$14:Z$949))</f>
        <v/>
      </c>
      <c r="CN10" s="954" t="str">
        <f>IF($B10&lt;1,"",SUMIF('09월 에너지'!$A$14:$A$949,$A10,'09월 에너지'!AA$14:AA$949))</f>
        <v/>
      </c>
      <c r="CO10" s="954" t="str">
        <f>IF($B10&lt;1,"",SUMIF('09월 에너지'!$A$14:$A$949,$A10,'09월 에너지'!AB$14:AB$949))</f>
        <v/>
      </c>
      <c r="CP10" s="954" t="str">
        <f>IF($B10&lt;1,"",SUMIF('09월 에너지'!$A$14:$A$949,$A10,'09월 에너지'!AC$14:AC$949))</f>
        <v/>
      </c>
      <c r="CQ10" s="955" t="str">
        <f>IF($B10&lt;1,"",SUMIF('09월 에너지'!$A$14:$A$949,$A10,'09월 에너지'!AD$14:AD$949))</f>
        <v/>
      </c>
      <c r="CR10" s="955" t="str">
        <f>IF($B10&lt;1,"",SUMIF('09월 에너지'!$A$14:$A$949,$A10,'09월 에너지'!AE$14:AE$949))</f>
        <v/>
      </c>
      <c r="CS10" s="948" t="str">
        <f>IF($B10&lt;1,"",SUMIF('09월 에너지'!$A$14:$A$949,$A10,'09월 에너지'!AF$14:AF$949))</f>
        <v/>
      </c>
      <c r="CT10" s="948" t="str">
        <f>IF($B10&lt;1,"",SUMIF('09월 에너지'!$A$14:$A$949,$A10,'09월 에너지'!AG$14:AG$949))</f>
        <v/>
      </c>
      <c r="CU10" s="948" t="str">
        <f>IF($B10&lt;1,"",SUMIF('09월 에너지'!$A$14:$A$949,$A10,'09월 에너지'!AH$14:AH$949))</f>
        <v/>
      </c>
      <c r="CV10" s="948" t="str">
        <f>IF($B10&lt;1,"",SUMIF('09월 에너지'!$A$14:$A$949,$A10,'09월 에너지'!AI$14:AI$949))</f>
        <v/>
      </c>
      <c r="CW10" s="956" t="str">
        <f>IF($B10&lt;1,"",SUMIF('09월 에너지'!$A$14:$A$949,$A10,'09월 에너지'!AJ$14:AJ$949))</f>
        <v/>
      </c>
    </row>
    <row r="11" spans="1:101" ht="15.75" customHeight="1">
      <c r="A11" s="939">
        <f t="shared" si="1"/>
        <v>44780</v>
      </c>
      <c r="B11" s="884">
        <f>COUNTIF('09월 조업일지'!$A$12:$A$952,A11)</f>
        <v>0</v>
      </c>
      <c r="C11" s="885" t="str">
        <f t="shared" si="0"/>
        <v/>
      </c>
      <c r="D11" s="885" t="str">
        <f>IF($B11&lt;1,"",(SUMIF('09월 조업일지'!$A$12:$A$952,$A11,'09월 조업일지'!$K$12:$K$952))/B11)</f>
        <v/>
      </c>
      <c r="E11" s="885" t="str">
        <f>IF($B11&lt;1,"",AVERAGEIF('09월 조업일지'!$A$12:$A$952,$A11,'09월 조업일지'!$J$12:$J$952))</f>
        <v/>
      </c>
      <c r="F11" s="940" t="str">
        <f>IF($B11&lt;1,"",AVERAGEIF('09월 에너지'!$A$14:$A$949,$A11,'09월 에너지'!$M$14:M$949))</f>
        <v/>
      </c>
      <c r="G11" s="887" t="str">
        <f>IF($B11&lt;1,"",AVERAGEIF('09월 조업일지'!$A$12:$A$952,$A11,'09월 조업일지'!$AJ$12:$AJ$952))</f>
        <v/>
      </c>
      <c r="H11" s="887" t="str">
        <f>IF($B11&lt;1,"",AVERAGEIF('09월 조업일지'!$A$12:$A$952,$A11,'09월 조업일지'!$AL$12:$AL$952))</f>
        <v/>
      </c>
      <c r="I11" s="941" t="str">
        <f>IF($B11&lt;1,"",AVERAGEIF('09월 화학성분'!$A$12:$A$949,$A11,'09월 화학성분'!G$12:G$949))</f>
        <v/>
      </c>
      <c r="J11" s="941" t="str">
        <f>IF($B11&lt;1,"",AVERAGEIF('09월 화학성분'!$A$12:$A$949,$A11,'09월 화학성분'!H$12:H$949))</f>
        <v/>
      </c>
      <c r="K11" s="941" t="str">
        <f>IF($B11&lt;1,"",AVERAGEIF('09월 화학성분'!$A$12:$A$949,$A11,'09월 화학성분'!I$12:I$949))</f>
        <v/>
      </c>
      <c r="L11" s="941" t="str">
        <f>IF($B11&lt;1,"",AVERAGEIF('09월 화학성분'!$A$12:$A$949,$A11,'09월 화학성분'!J$12:J$949))</f>
        <v/>
      </c>
      <c r="M11" s="941" t="str">
        <f>IF($B11&lt;1,"",AVERAGEIF('09월 화학성분'!$A$12:$A$949,$A11,'09월 화학성분'!K$12:K$949))</f>
        <v/>
      </c>
      <c r="N11" s="941" t="str">
        <f>IF($B11&lt;1,"",AVERAGEIF('09월 화학성분'!$A$12:$A$949,$A11,'09월 화학성분'!L$12:L$949))</f>
        <v/>
      </c>
      <c r="O11" s="941" t="str">
        <f>IF($B11&lt;1,"",AVERAGEIF('09월 화학성분'!$A$12:$A$949,$A11,'09월 화학성분'!M$12:M$949))</f>
        <v/>
      </c>
      <c r="P11" s="889" t="str">
        <f>IF($B11&lt;1,"",AVERAGEIF('09월 조업일지'!$A$12:$A$952,$A11,'09월 조업일지'!$AK$12:$AK$952))</f>
        <v/>
      </c>
      <c r="Q11" s="941" t="str">
        <f>IF($B11&lt;1,"",AVERAGEIF('09월 화학성분'!$A$12:$A$949,$A11,'09월 화학성분'!$G$12:$G$949))</f>
        <v/>
      </c>
      <c r="R11" s="889" t="str">
        <f>IF($B11&lt;1,"",AVERAGEIF('09월 조업일지'!$A$12:$A$952,$A11,'09월 조업일지'!$AI$12:$AI$952))</f>
        <v/>
      </c>
      <c r="S11" s="942" t="str">
        <f>IF($B11&lt;1,"",SUMIF('09월 화학성분'!$A$12:$A$949,$A11,'09월 화학성분'!$AM$12:$AM$949))</f>
        <v/>
      </c>
      <c r="T11" s="943" t="str">
        <f>IF($B11&lt;1,"",SUMIF('09월 화학성분'!$A$12:$A$949,$A11,'09월 화학성분'!N$12:N$949))</f>
        <v/>
      </c>
      <c r="U11" s="943" t="str">
        <f>IF($B11&lt;1,"",SUMIF('09월 화학성분'!$A$12:$A$949,$A11,'09월 화학성분'!O$12:O$949))</f>
        <v/>
      </c>
      <c r="V11" s="943" t="str">
        <f>IF($B11&lt;1,"",SUMIF('09월 화학성분'!$A$12:$A$949,$A11,'09월 화학성분'!P$12:P$949))</f>
        <v/>
      </c>
      <c r="W11" s="943" t="str">
        <f>IF($B11&lt;1,"",SUMIF('09월 화학성분'!$A$12:$A$949,$A11,'09월 화학성분'!Q$12:Q$949))</f>
        <v/>
      </c>
      <c r="X11" s="943" t="str">
        <f>IF($B11&lt;1,"",SUMIF('09월 화학성분'!$A$12:$A$949,$A11,'09월 화학성분'!R$12:R$949))</f>
        <v/>
      </c>
      <c r="Y11" s="943" t="str">
        <f>IF($B11&lt;1,"",SUMIF('09월 화학성분'!$A$12:$A$949,$A11,'09월 화학성분'!U$12:U$949))</f>
        <v/>
      </c>
      <c r="Z11" s="944" t="str">
        <f>IF($B11&lt;1,"",SUMIF('09월 화학성분'!$A$12:$A$949,$A11,'09월 화학성분'!V$12:V$949))</f>
        <v/>
      </c>
      <c r="AA11" s="944" t="str">
        <f>IF($B11&lt;1,"",SUMIF('09월 화학성분'!$A$12:$A$949,$A11,'09월 화학성분'!W$12:W$949))</f>
        <v/>
      </c>
      <c r="AB11" s="944" t="str">
        <f>IF($B11&lt;1,"",SUMIF('09월 화학성분'!$A$12:$A$949,$A11,'09월 화학성분'!AA$12:AA$949))</f>
        <v/>
      </c>
      <c r="AC11" s="944"/>
      <c r="AD11" s="945" t="str">
        <f>IF($B11&lt;1,"",SUMIF('09월 화학성분'!$A$12:$A$949,$A11,'09월 화학성분'!AB$12:AB$949))</f>
        <v/>
      </c>
      <c r="AE11" s="945" t="str">
        <f>IF($B11&lt;1,"",SUMIF('09월 화학성분'!$A$12:$A$949,$A11,'09월 화학성분'!AC$12:AC$949))</f>
        <v/>
      </c>
      <c r="AF11" s="945" t="str">
        <f>IF($B11&lt;1,"",SUMIF('09월 화학성분'!$A$12:$A$949,$A11,'09월 화학성분'!AD$12:AD$949))</f>
        <v/>
      </c>
      <c r="AG11" s="945"/>
      <c r="AH11" s="945" t="str">
        <f>IF($B11&lt;1,"",SUMIF('09월 화학성분'!$A$12:$A$949,$A11,'09월 화학성분'!AG$12:AG$949))</f>
        <v/>
      </c>
      <c r="AI11" s="945" t="str">
        <f>IF($B11&lt;1,"",SUMIF('09월 화학성분'!$A$12:$A$949,$A11,'09월 화학성분'!AH$12:AH$949))</f>
        <v/>
      </c>
      <c r="AJ11" s="945" t="str">
        <f>IF($B11&lt;1,"",SUMIF('09월 화학성분'!$A$12:$A$949,$A11,'09월 화학성분'!AI$12:AI$949))</f>
        <v/>
      </c>
      <c r="AK11" s="945" t="str">
        <f>IF($B11&lt;1,"",SUMIF('09월 화학성분'!$A$12:$A$949,$A11,'09월 화학성분'!AJ$12:AJ$949))</f>
        <v/>
      </c>
      <c r="AL11" s="945" t="str">
        <f>IF($B11&lt;1,"",SUMIF('09월 화학성분'!$A$12:$A$949,$A11,'09월 화학성분'!#REF!))</f>
        <v/>
      </c>
      <c r="AM11" s="945" t="str">
        <f>IF($B11&lt;1,"",SUMIF('09월 화학성분'!$A$12:$A$949,$A11,'09월 화학성분'!AL$12:AL$949))</f>
        <v/>
      </c>
      <c r="AN11" s="946" t="str">
        <f>IF($B11&lt;1,"",SUMIF('09월 화학성분'!$A$12:$A$949,$A11,'09월 화학성분'!AM$12:AM$949))</f>
        <v/>
      </c>
      <c r="AO11" s="947" t="str">
        <f>IF($B11&lt;1,"",AVERAGEIF('09월 화학성분'!$A$12:$A$949,$A11,'09월 화학성분'!AN$12:AN$949))</f>
        <v/>
      </c>
      <c r="AP11" s="947" t="str">
        <f>IF($B11&lt;1,"",AVERAGEIF('09월 화학성분'!$A$12:$A$949,$A11,'09월 화학성분'!AO$12:AO$949))</f>
        <v/>
      </c>
      <c r="AQ11" s="948" t="str">
        <f>IF($B11&lt;1,"",SUMIF('09월 화학성분'!$A$12:$A$949,$A11,'09월 화학성분'!AP$12:AP$949))</f>
        <v/>
      </c>
      <c r="AR11" s="949" t="str">
        <f>IF($B11&lt;1,"",SUMIF('09월 고철장입'!$A$14:$A$949,$A11,'09월 고철장입'!G$14:G$949)/1000)</f>
        <v/>
      </c>
      <c r="AS11" s="949" t="str">
        <f>IF($B11&lt;1,"",SUMIF('09월 고철장입'!$A$14:$A$949,$A11,'09월 고철장입'!H$14:H$949)/1000)</f>
        <v/>
      </c>
      <c r="AT11" s="949" t="str">
        <f>IF($B11&lt;1,"",SUMIF('09월 고철장입'!$A$14:$A$949,$A11,'09월 고철장입'!I$14:I$949)/1000)</f>
        <v/>
      </c>
      <c r="AU11" s="949" t="str">
        <f>IF($B11&lt;1,"",SUMIF('09월 고철장입'!$A$14:$A$949,$A11,'09월 고철장입'!J$14:J$949)/1000)</f>
        <v/>
      </c>
      <c r="AV11" s="949" t="str">
        <f>IF($B11&lt;1,"",SUMIF('09월 고철장입'!$A$14:$A$949,$A11,'09월 고철장입'!K$14:K$949)/1000)</f>
        <v/>
      </c>
      <c r="AW11" s="949" t="str">
        <f>IF($B11&lt;1,"",SUMIF('09월 고철장입'!$A$14:$A$949,$A11,'09월 고철장입'!L$14:L$949)/1000)</f>
        <v/>
      </c>
      <c r="AX11" s="949" t="str">
        <f>IF($B11&lt;1,"",SUMIF('09월 고철장입'!$A$14:$A$949,$A11,'09월 고철장입'!M$14:M$949)/1000)</f>
        <v/>
      </c>
      <c r="AY11" s="949" t="str">
        <f>IF($B11&lt;1,"",SUMIF('09월 고철장입'!$A$14:$A$949,$A11,'09월 고철장입'!N$14:N$949)/1000)</f>
        <v/>
      </c>
      <c r="AZ11" s="949" t="str">
        <f>IF($B11&lt;1,"",SUMIF('09월 고철장입'!$A$14:$A$949,$A11,'09월 고철장입'!O$14:O$949)/1000)</f>
        <v/>
      </c>
      <c r="BA11" s="950" t="str">
        <f>IF($B11&lt;1,"",SUMIF('09월 고철장입'!$A$14:$A$949,$A11,'09월 고철장입'!P$14:P$949)/1000)</f>
        <v/>
      </c>
      <c r="BB11" s="950" t="str">
        <f>IF($B11&lt;1,"",SUMIF('09월 고철장입'!$A$14:$A$949,$A11,'09월 고철장입'!Q$14:Q$949)/1000)</f>
        <v/>
      </c>
      <c r="BC11" s="950" t="str">
        <f>IF($B11&lt;1,"",SUMIF('09월 고철장입'!$A$14:$A$949,$A11,'09월 고철장입'!S$14:S$949)/1000)</f>
        <v/>
      </c>
      <c r="BD11" s="950" t="str">
        <f>IF($B11&lt;1,"",SUMIF('09월 고철장입'!$A$14:$A$949,$A11,'09월 고철장입'!T$14:T$949)/1000)</f>
        <v/>
      </c>
      <c r="BE11" s="950" t="str">
        <f>IF($B11&lt;1,"",SUMIF('09월 고철장입'!$A$14:$A$949,$A11,'09월 고철장입'!U$14:U$949)/1000)</f>
        <v/>
      </c>
      <c r="BF11" s="950" t="str">
        <f>IF($B11&lt;1,"",SUMIF('09월 고철장입'!$A$14:$A$949,$A11,'09월 고철장입'!V$14:V$949)/1000)</f>
        <v/>
      </c>
      <c r="BG11" s="950" t="str">
        <f>IF($B11&lt;1,"",SUMIF('09월 고철장입'!$A$14:$A$949,$A11,'09월 고철장입'!W$14:W$949)/1000)</f>
        <v/>
      </c>
      <c r="BH11" s="950" t="str">
        <f>IF($B11&lt;1,"",SUMIF('09월 고철장입'!$A$14:$A$949,$A11,'09월 고철장입'!Y$14:Y$949)/1000)</f>
        <v/>
      </c>
      <c r="BI11" s="950" t="str">
        <f>IF($B11&lt;1,"",SUMIF('09월 고철장입'!$A$14:$A$949,$A11,'09월 고철장입'!AB$14:AB$949)/1000)</f>
        <v/>
      </c>
      <c r="BJ11" s="950" t="str">
        <f>IF($B11&lt;1,"",SUMIF('09월 고철장입'!$A$14:$A$949,$A11,'09월 고철장입'!AC$14:AC$949)/1000)</f>
        <v/>
      </c>
      <c r="BK11" s="950" t="str">
        <f>IF($B11&lt;1,"",SUMIF('09월 고철장입'!$A$14:$A$949,$A11,'09월 고철장입'!AD$14:AD$949)/1000)</f>
        <v/>
      </c>
      <c r="BL11" s="950" t="str">
        <f>IF($B11&lt;1,"",SUMIF('09월 고철장입'!$A$14:$A$949,$A11,'09월 고철장입'!AE$14:AE$949)/1000)</f>
        <v/>
      </c>
      <c r="BM11" s="951" t="str">
        <f>IF($B11&lt;1,"",SUMIF('09월 고철장입'!$A$14:$A$949,$A11,'09월 고철장입'!AF$14:AF$949)/1000)</f>
        <v/>
      </c>
      <c r="BN11" s="951" t="str">
        <f>IF($B11&lt;1,"",SUMIF('09월 고철장입'!$A$14:$A$949,$A11,'09월 고철장입'!AG$14:AG$949)/1000)</f>
        <v/>
      </c>
      <c r="BO11" s="951" t="str">
        <f>IF($B11&lt;1,"",SUMIF('09월 고철장입'!$A$14:$A$949,$A11,'09월 고철장입'!AH$14:AH$949)/1000)</f>
        <v/>
      </c>
      <c r="BP11" s="951" t="str">
        <f>IF($B11&lt;1,"",SUMIF('09월 고철장입'!$A$14:$A$949,$A11,'09월 고철장입'!AI$14:AI$949)/1000)</f>
        <v/>
      </c>
      <c r="BQ11" s="952" t="str">
        <f>IF($B11&lt;1,"",SUMIF('09월 고철장입'!$A$14:$A$949,$A11,'09월 고철장입'!AJ$14:AJ$949)/1000)</f>
        <v/>
      </c>
      <c r="BR11" s="952" t="str">
        <f>IF($B11&lt;1,"",SUMIF('09월 고철장입'!$A$14:$A$949,$A11,'09월 고철장입'!AK$14:AK$949))</f>
        <v/>
      </c>
      <c r="BS11" s="953" t="str">
        <f>IF($B11&lt;1,"",AVERAGEIF('09월 고철장입'!$A$14:$A$949,$A11,'09월 고철장입'!AL$14:AL$949)*100)</f>
        <v/>
      </c>
      <c r="BT11" s="948" t="str">
        <f>IF($B11&lt;1,"",SUMIF('09월 에너지'!$A$14:$A$949,$A11,'09월 에너지'!G$14:G$949))</f>
        <v/>
      </c>
      <c r="BU11" s="948" t="str">
        <f>IF($B11&lt;1,"",SUMIF('09월 에너지'!$A$14:$A$949,$A11,'09월 에너지'!H$14:H$949))</f>
        <v/>
      </c>
      <c r="BV11" s="948" t="str">
        <f>IF($B11&lt;1,"",SUMIF('09월 에너지'!$A$14:$A$949,$A11,'09월 에너지'!I$14:I$949))</f>
        <v/>
      </c>
      <c r="BW11" s="948" t="str">
        <f>IF($B11&lt;1,"",SUMIF('09월 에너지'!$A$14:$A$949,$A11,'09월 에너지'!J$14:J$949))</f>
        <v/>
      </c>
      <c r="BX11" s="948" t="str">
        <f>IF($B11&lt;1,"",SUMIF('09월 에너지'!$A$14:$A$949,$A11,'09월 에너지'!K$14:K$949))</f>
        <v/>
      </c>
      <c r="BY11" s="948" t="str">
        <f>IF($B11&lt;1,"",SUMIF('09월 에너지'!$A$14:$A$949,$A11,'09월 에너지'!L$14:L$949))</f>
        <v/>
      </c>
      <c r="BZ11" s="948" t="str">
        <f>IF($B11&lt;1,"",SUMIF('09월 에너지'!$A$14:$A$949,$A11,'09월 에너지'!M$14:M$949))</f>
        <v/>
      </c>
      <c r="CA11" s="948" t="str">
        <f>IF($B11&lt;1,"",SUMIF('09월 에너지'!$A$14:$A$949,$A11,'09월 에너지'!N$14:N$949))</f>
        <v/>
      </c>
      <c r="CB11" s="948" t="str">
        <f>IF($B11&lt;1,"",SUMIF('09월 에너지'!$A$14:$A$949,$A11,'09월 에너지'!O$14:O$949))</f>
        <v/>
      </c>
      <c r="CC11" s="948" t="str">
        <f>IF($B11&lt;1,"",SUMIF('09월 에너지'!$A$14:$A$949,$A11,'09월 에너지'!P$14:P$949))</f>
        <v/>
      </c>
      <c r="CD11" s="948" t="str">
        <f>IF($B11&lt;1,"",SUMIF('09월 에너지'!$A$14:$A$949,$A11,'09월 에너지'!Q$14:Q$949))</f>
        <v/>
      </c>
      <c r="CE11" s="948" t="str">
        <f>IF($B11&lt;1,"",SUMIF('09월 에너지'!$A$14:$A$949,$A11,'09월 에너지'!R$14:R$949))</f>
        <v/>
      </c>
      <c r="CF11" s="948" t="str">
        <f>IF($B11&lt;1,"",SUMIF('09월 에너지'!$A$14:$A$949,$A11,'09월 에너지'!S$14:S$949))</f>
        <v/>
      </c>
      <c r="CG11" s="954" t="str">
        <f>IF($B11&lt;1,"",SUMIF('09월 에너지'!$A$14:$A$949,$A11,'09월 에너지'!T$14:T$949))</f>
        <v/>
      </c>
      <c r="CH11" s="954" t="str">
        <f>IF($B11&lt;1,"",SUMIF('09월 에너지'!$A$14:$A$949,$A11,'09월 에너지'!U$14:U$949))</f>
        <v/>
      </c>
      <c r="CI11" s="954" t="str">
        <f>IF($B11&lt;1,"",SUMIF('09월 에너지'!$A$14:$A$949,$A11,'09월 에너지'!V$14:V$949))</f>
        <v/>
      </c>
      <c r="CJ11" s="954" t="str">
        <f>IF($B11&lt;1,"",SUMIF('09월 에너지'!$A$14:$A$949,$A11,'09월 에너지'!W$14:W$949))</f>
        <v/>
      </c>
      <c r="CK11" s="954" t="str">
        <f>IF($B11&lt;1,"",SUMIF('09월 에너지'!$A$14:$A$949,$A11,'09월 에너지'!X$14:X$949))</f>
        <v/>
      </c>
      <c r="CL11" s="954" t="str">
        <f>IF($B11&lt;1,"",SUMIF('09월 에너지'!$A$14:$A$949,$A11,'09월 에너지'!Y$14:Y$949))</f>
        <v/>
      </c>
      <c r="CM11" s="954" t="str">
        <f>IF($B11&lt;1,"",SUMIF('09월 에너지'!$A$14:$A$949,$A11,'09월 에너지'!Z$14:Z$949))</f>
        <v/>
      </c>
      <c r="CN11" s="954" t="str">
        <f>IF($B11&lt;1,"",SUMIF('09월 에너지'!$A$14:$A$949,$A11,'09월 에너지'!AA$14:AA$949))</f>
        <v/>
      </c>
      <c r="CO11" s="954" t="str">
        <f>IF($B11&lt;1,"",SUMIF('09월 에너지'!$A$14:$A$949,$A11,'09월 에너지'!AB$14:AB$949))</f>
        <v/>
      </c>
      <c r="CP11" s="954" t="str">
        <f>IF($B11&lt;1,"",SUMIF('09월 에너지'!$A$14:$A$949,$A11,'09월 에너지'!AC$14:AC$949))</f>
        <v/>
      </c>
      <c r="CQ11" s="955" t="str">
        <f>IF($B11&lt;1,"",SUMIF('09월 에너지'!$A$14:$A$949,$A11,'09월 에너지'!AD$14:AD$949))</f>
        <v/>
      </c>
      <c r="CR11" s="955" t="str">
        <f>IF($B11&lt;1,"",SUMIF('09월 에너지'!$A$14:$A$949,$A11,'09월 에너지'!AE$14:AE$949))</f>
        <v/>
      </c>
      <c r="CS11" s="948" t="str">
        <f>IF($B11&lt;1,"",SUMIF('09월 에너지'!$A$14:$A$949,$A11,'09월 에너지'!AF$14:AF$949))</f>
        <v/>
      </c>
      <c r="CT11" s="948" t="str">
        <f>IF($B11&lt;1,"",SUMIF('09월 에너지'!$A$14:$A$949,$A11,'09월 에너지'!AG$14:AG$949))</f>
        <v/>
      </c>
      <c r="CU11" s="948" t="str">
        <f>IF($B11&lt;1,"",SUMIF('09월 에너지'!$A$14:$A$949,$A11,'09월 에너지'!AH$14:AH$949))</f>
        <v/>
      </c>
      <c r="CV11" s="948" t="str">
        <f>IF($B11&lt;1,"",SUMIF('09월 에너지'!$A$14:$A$949,$A11,'09월 에너지'!AI$14:AI$949))</f>
        <v/>
      </c>
      <c r="CW11" s="956" t="str">
        <f>IF($B11&lt;1,"",SUMIF('09월 에너지'!$A$14:$A$949,$A11,'09월 에너지'!AJ$14:AJ$949))</f>
        <v/>
      </c>
    </row>
    <row r="12" spans="1:101" ht="15.75" customHeight="1">
      <c r="A12" s="939">
        <f t="shared" si="1"/>
        <v>44781</v>
      </c>
      <c r="B12" s="884">
        <f>COUNTIF('09월 조업일지'!$A$12:$A$952,A12)</f>
        <v>0</v>
      </c>
      <c r="C12" s="885" t="str">
        <f t="shared" si="0"/>
        <v/>
      </c>
      <c r="D12" s="885" t="str">
        <f>IF($B12&lt;1,"",(SUMIF('09월 조업일지'!$A$12:$A$952,$A12,'09월 조업일지'!$K$12:$K$952))/B12)</f>
        <v/>
      </c>
      <c r="E12" s="885" t="str">
        <f>IF($B12&lt;1,"",AVERAGEIF('09월 조업일지'!$A$12:$A$952,$A12,'09월 조업일지'!$J$12:$J$952))</f>
        <v/>
      </c>
      <c r="F12" s="940" t="str">
        <f>IF($B12&lt;1,"",AVERAGEIF('09월 에너지'!$A$14:$A$949,$A12,'09월 에너지'!$M$14:M$949))</f>
        <v/>
      </c>
      <c r="G12" s="887" t="str">
        <f>IF($B12&lt;1,"",AVERAGEIF('09월 조업일지'!$A$12:$A$952,$A12,'09월 조업일지'!$AJ$12:$AJ$952))</f>
        <v/>
      </c>
      <c r="H12" s="887" t="str">
        <f>IF($B12&lt;1,"",AVERAGEIF('09월 조업일지'!$A$12:$A$952,$A12,'09월 조업일지'!$AL$12:$AL$952))</f>
        <v/>
      </c>
      <c r="I12" s="941" t="str">
        <f>IF($B12&lt;1,"",AVERAGEIF('09월 화학성분'!$A$12:$A$949,$A12,'09월 화학성분'!G$12:G$949))</f>
        <v/>
      </c>
      <c r="J12" s="941" t="str">
        <f>IF($B12&lt;1,"",AVERAGEIF('09월 화학성분'!$A$12:$A$949,$A12,'09월 화학성분'!H$12:H$949))</f>
        <v/>
      </c>
      <c r="K12" s="941" t="str">
        <f>IF($B12&lt;1,"",AVERAGEIF('09월 화학성분'!$A$12:$A$949,$A12,'09월 화학성분'!I$12:I$949))</f>
        <v/>
      </c>
      <c r="L12" s="941" t="str">
        <f>IF($B12&lt;1,"",AVERAGEIF('09월 화학성분'!$A$12:$A$949,$A12,'09월 화학성분'!J$12:J$949))</f>
        <v/>
      </c>
      <c r="M12" s="941" t="str">
        <f>IF($B12&lt;1,"",AVERAGEIF('09월 화학성분'!$A$12:$A$949,$A12,'09월 화학성분'!K$12:K$949))</f>
        <v/>
      </c>
      <c r="N12" s="941" t="str">
        <f>IF($B12&lt;1,"",AVERAGEIF('09월 화학성분'!$A$12:$A$949,$A12,'09월 화학성분'!L$12:L$949))</f>
        <v/>
      </c>
      <c r="O12" s="941" t="str">
        <f>IF($B12&lt;1,"",AVERAGEIF('09월 화학성분'!$A$12:$A$949,$A12,'09월 화학성분'!M$12:M$949))</f>
        <v/>
      </c>
      <c r="P12" s="889" t="str">
        <f>IF($B12&lt;1,"",AVERAGEIF('09월 조업일지'!$A$12:$A$952,$A12,'09월 조업일지'!$AK$12:$AK$952))</f>
        <v/>
      </c>
      <c r="Q12" s="941" t="str">
        <f>IF($B12&lt;1,"",AVERAGEIF('09월 화학성분'!$A$12:$A$949,$A12,'09월 화학성분'!$G$12:$G$949))</f>
        <v/>
      </c>
      <c r="R12" s="889" t="str">
        <f>IF($B12&lt;1,"",AVERAGEIF('09월 조업일지'!$A$12:$A$952,$A12,'09월 조업일지'!$AI$12:$AI$952))</f>
        <v/>
      </c>
      <c r="S12" s="942" t="str">
        <f>IF($B12&lt;1,"",SUMIF('09월 화학성분'!$A$12:$A$949,$A12,'09월 화학성분'!$AM$12:$AM$949))</f>
        <v/>
      </c>
      <c r="T12" s="943" t="str">
        <f>IF($B12&lt;1,"",SUMIF('09월 화학성분'!$A$12:$A$949,$A12,'09월 화학성분'!N$12:N$949))</f>
        <v/>
      </c>
      <c r="U12" s="943" t="str">
        <f>IF($B12&lt;1,"",SUMIF('09월 화학성분'!$A$12:$A$949,$A12,'09월 화학성분'!O$12:O$949))</f>
        <v/>
      </c>
      <c r="V12" s="943" t="str">
        <f>IF($B12&lt;1,"",SUMIF('09월 화학성분'!$A$12:$A$949,$A12,'09월 화학성분'!P$12:P$949))</f>
        <v/>
      </c>
      <c r="W12" s="943" t="str">
        <f>IF($B12&lt;1,"",SUMIF('09월 화학성분'!$A$12:$A$949,$A12,'09월 화학성분'!Q$12:Q$949))</f>
        <v/>
      </c>
      <c r="X12" s="943" t="str">
        <f>IF($B12&lt;1,"",SUMIF('09월 화학성분'!$A$12:$A$949,$A12,'09월 화학성분'!R$12:R$949))</f>
        <v/>
      </c>
      <c r="Y12" s="943" t="str">
        <f>IF($B12&lt;1,"",SUMIF('09월 화학성분'!$A$12:$A$949,$A12,'09월 화학성분'!U$12:U$949))</f>
        <v/>
      </c>
      <c r="Z12" s="944" t="str">
        <f>IF($B12&lt;1,"",SUMIF('09월 화학성분'!$A$12:$A$949,$A12,'09월 화학성분'!V$12:V$949))</f>
        <v/>
      </c>
      <c r="AA12" s="944" t="str">
        <f>IF($B12&lt;1,"",SUMIF('09월 화학성분'!$A$12:$A$949,$A12,'09월 화학성분'!W$12:W$949))</f>
        <v/>
      </c>
      <c r="AB12" s="944" t="str">
        <f>IF($B12&lt;1,"",SUMIF('09월 화학성분'!$A$12:$A$949,$A12,'09월 화학성분'!AA$12:AA$949))</f>
        <v/>
      </c>
      <c r="AC12" s="944"/>
      <c r="AD12" s="945" t="str">
        <f>IF($B12&lt;1,"",SUMIF('09월 화학성분'!$A$12:$A$949,$A12,'09월 화학성분'!AB$12:AB$949))</f>
        <v/>
      </c>
      <c r="AE12" s="945" t="str">
        <f>IF($B12&lt;1,"",SUMIF('09월 화학성분'!$A$12:$A$949,$A12,'09월 화학성분'!AC$12:AC$949))</f>
        <v/>
      </c>
      <c r="AF12" s="945" t="str">
        <f>IF($B12&lt;1,"",SUMIF('09월 화학성분'!$A$12:$A$949,$A12,'09월 화학성분'!AD$12:AD$949))</f>
        <v/>
      </c>
      <c r="AG12" s="945"/>
      <c r="AH12" s="945" t="str">
        <f>IF($B12&lt;1,"",SUMIF('09월 화학성분'!$A$12:$A$949,$A12,'09월 화학성분'!AG$12:AG$949))</f>
        <v/>
      </c>
      <c r="AI12" s="945" t="str">
        <f>IF($B12&lt;1,"",SUMIF('09월 화학성분'!$A$12:$A$949,$A12,'09월 화학성분'!AH$12:AH$949))</f>
        <v/>
      </c>
      <c r="AJ12" s="945" t="str">
        <f>IF($B12&lt;1,"",SUMIF('09월 화학성분'!$A$12:$A$949,$A12,'09월 화학성분'!AI$12:AI$949))</f>
        <v/>
      </c>
      <c r="AK12" s="945" t="str">
        <f>IF($B12&lt;1,"",SUMIF('09월 화학성분'!$A$12:$A$949,$A12,'09월 화학성분'!AJ$12:AJ$949))</f>
        <v/>
      </c>
      <c r="AL12" s="945" t="str">
        <f>IF($B12&lt;1,"",SUMIF('09월 화학성분'!$A$12:$A$949,$A12,'09월 화학성분'!#REF!))</f>
        <v/>
      </c>
      <c r="AM12" s="945" t="str">
        <f>IF($B12&lt;1,"",SUMIF('09월 화학성분'!$A$12:$A$949,$A12,'09월 화학성분'!AL$12:AL$949))</f>
        <v/>
      </c>
      <c r="AN12" s="946" t="str">
        <f>IF($B12&lt;1,"",SUMIF('09월 화학성분'!$A$12:$A$949,$A12,'09월 화학성분'!AM$12:AM$949))</f>
        <v/>
      </c>
      <c r="AO12" s="947" t="str">
        <f>IF($B12&lt;1,"",AVERAGEIF('09월 화학성분'!$A$12:$A$949,$A12,'09월 화학성분'!AN$12:AN$949))</f>
        <v/>
      </c>
      <c r="AP12" s="947" t="str">
        <f>IF($B12&lt;1,"",AVERAGEIF('09월 화학성분'!$A$12:$A$949,$A12,'09월 화학성분'!AO$12:AO$949))</f>
        <v/>
      </c>
      <c r="AQ12" s="948" t="str">
        <f>IF($B12&lt;1,"",SUMIF('09월 화학성분'!$A$12:$A$949,$A12,'09월 화학성분'!AP$12:AP$949))</f>
        <v/>
      </c>
      <c r="AR12" s="949" t="str">
        <f>IF($B12&lt;1,"",SUMIF('09월 고철장입'!$A$14:$A$949,$A12,'09월 고철장입'!G$14:G$949)/1000)</f>
        <v/>
      </c>
      <c r="AS12" s="949" t="str">
        <f>IF($B12&lt;1,"",SUMIF('09월 고철장입'!$A$14:$A$949,$A12,'09월 고철장입'!H$14:H$949)/1000)</f>
        <v/>
      </c>
      <c r="AT12" s="949" t="str">
        <f>IF($B12&lt;1,"",SUMIF('09월 고철장입'!$A$14:$A$949,$A12,'09월 고철장입'!I$14:I$949)/1000)</f>
        <v/>
      </c>
      <c r="AU12" s="949" t="str">
        <f>IF($B12&lt;1,"",SUMIF('09월 고철장입'!$A$14:$A$949,$A12,'09월 고철장입'!J$14:J$949)/1000)</f>
        <v/>
      </c>
      <c r="AV12" s="949" t="str">
        <f>IF($B12&lt;1,"",SUMIF('09월 고철장입'!$A$14:$A$949,$A12,'09월 고철장입'!K$14:K$949)/1000)</f>
        <v/>
      </c>
      <c r="AW12" s="949" t="str">
        <f>IF($B12&lt;1,"",SUMIF('09월 고철장입'!$A$14:$A$949,$A12,'09월 고철장입'!L$14:L$949)/1000)</f>
        <v/>
      </c>
      <c r="AX12" s="949" t="str">
        <f>IF($B12&lt;1,"",SUMIF('09월 고철장입'!$A$14:$A$949,$A12,'09월 고철장입'!M$14:M$949)/1000)</f>
        <v/>
      </c>
      <c r="AY12" s="949" t="str">
        <f>IF($B12&lt;1,"",SUMIF('09월 고철장입'!$A$14:$A$949,$A12,'09월 고철장입'!N$14:N$949)/1000)</f>
        <v/>
      </c>
      <c r="AZ12" s="949" t="str">
        <f>IF($B12&lt;1,"",SUMIF('09월 고철장입'!$A$14:$A$949,$A12,'09월 고철장입'!O$14:O$949)/1000)</f>
        <v/>
      </c>
      <c r="BA12" s="950" t="str">
        <f>IF($B12&lt;1,"",SUMIF('09월 고철장입'!$A$14:$A$949,$A12,'09월 고철장입'!P$14:P$949)/1000)</f>
        <v/>
      </c>
      <c r="BB12" s="950" t="str">
        <f>IF($B12&lt;1,"",SUMIF('09월 고철장입'!$A$14:$A$949,$A12,'09월 고철장입'!Q$14:Q$949)/1000)</f>
        <v/>
      </c>
      <c r="BC12" s="950" t="str">
        <f>IF($B12&lt;1,"",SUMIF('09월 고철장입'!$A$14:$A$949,$A12,'09월 고철장입'!S$14:S$949)/1000)</f>
        <v/>
      </c>
      <c r="BD12" s="950" t="str">
        <f>IF($B12&lt;1,"",SUMIF('09월 고철장입'!$A$14:$A$949,$A12,'09월 고철장입'!T$14:T$949)/1000)</f>
        <v/>
      </c>
      <c r="BE12" s="950" t="str">
        <f>IF($B12&lt;1,"",SUMIF('09월 고철장입'!$A$14:$A$949,$A12,'09월 고철장입'!U$14:U$949)/1000)</f>
        <v/>
      </c>
      <c r="BF12" s="950" t="str">
        <f>IF($B12&lt;1,"",SUMIF('09월 고철장입'!$A$14:$A$949,$A12,'09월 고철장입'!V$14:V$949)/1000)</f>
        <v/>
      </c>
      <c r="BG12" s="950" t="str">
        <f>IF($B12&lt;1,"",SUMIF('09월 고철장입'!$A$14:$A$949,$A12,'09월 고철장입'!W$14:W$949)/1000)</f>
        <v/>
      </c>
      <c r="BH12" s="950" t="str">
        <f>IF($B12&lt;1,"",SUMIF('09월 고철장입'!$A$14:$A$949,$A12,'09월 고철장입'!Y$14:Y$949)/1000)</f>
        <v/>
      </c>
      <c r="BI12" s="950" t="str">
        <f>IF($B12&lt;1,"",SUMIF('09월 고철장입'!$A$14:$A$949,$A12,'09월 고철장입'!AB$14:AB$949)/1000)</f>
        <v/>
      </c>
      <c r="BJ12" s="950" t="str">
        <f>IF($B12&lt;1,"",SUMIF('09월 고철장입'!$A$14:$A$949,$A12,'09월 고철장입'!AC$14:AC$949)/1000)</f>
        <v/>
      </c>
      <c r="BK12" s="950" t="str">
        <f>IF($B12&lt;1,"",SUMIF('09월 고철장입'!$A$14:$A$949,$A12,'09월 고철장입'!AD$14:AD$949)/1000)</f>
        <v/>
      </c>
      <c r="BL12" s="950" t="str">
        <f>IF($B12&lt;1,"",SUMIF('09월 고철장입'!$A$14:$A$949,$A12,'09월 고철장입'!AE$14:AE$949)/1000)</f>
        <v/>
      </c>
      <c r="BM12" s="951" t="str">
        <f>IF($B12&lt;1,"",SUMIF('09월 고철장입'!$A$14:$A$949,$A12,'09월 고철장입'!AF$14:AF$949)/1000)</f>
        <v/>
      </c>
      <c r="BN12" s="951" t="str">
        <f>IF($B12&lt;1,"",SUMIF('09월 고철장입'!$A$14:$A$949,$A12,'09월 고철장입'!AG$14:AG$949)/1000)</f>
        <v/>
      </c>
      <c r="BO12" s="951" t="str">
        <f>IF($B12&lt;1,"",SUMIF('09월 고철장입'!$A$14:$A$949,$A12,'09월 고철장입'!AH$14:AH$949)/1000)</f>
        <v/>
      </c>
      <c r="BP12" s="951" t="str">
        <f>IF($B12&lt;1,"",SUMIF('09월 고철장입'!$A$14:$A$949,$A12,'09월 고철장입'!AI$14:AI$949)/1000)</f>
        <v/>
      </c>
      <c r="BQ12" s="952" t="str">
        <f>IF($B12&lt;1,"",SUMIF('09월 고철장입'!$A$14:$A$949,$A12,'09월 고철장입'!AJ$14:AJ$949)/1000)</f>
        <v/>
      </c>
      <c r="BR12" s="952" t="str">
        <f>IF($B12&lt;1,"",SUMIF('09월 고철장입'!$A$14:$A$949,$A12,'09월 고철장입'!AK$14:AK$949))</f>
        <v/>
      </c>
      <c r="BS12" s="953" t="str">
        <f>IF($B12&lt;1,"",AVERAGEIF('09월 고철장입'!$A$14:$A$949,$A12,'09월 고철장입'!AL$14:AL$949)*100)</f>
        <v/>
      </c>
      <c r="BT12" s="948" t="str">
        <f>IF($B12&lt;1,"",SUMIF('09월 에너지'!$A$14:$A$949,$A12,'09월 에너지'!G$14:G$949))</f>
        <v/>
      </c>
      <c r="BU12" s="948" t="str">
        <f>IF($B12&lt;1,"",SUMIF('09월 에너지'!$A$14:$A$949,$A12,'09월 에너지'!H$14:H$949))</f>
        <v/>
      </c>
      <c r="BV12" s="948" t="str">
        <f>IF($B12&lt;1,"",SUMIF('09월 에너지'!$A$14:$A$949,$A12,'09월 에너지'!I$14:I$949))</f>
        <v/>
      </c>
      <c r="BW12" s="948" t="str">
        <f>IF($B12&lt;1,"",SUMIF('09월 에너지'!$A$14:$A$949,$A12,'09월 에너지'!J$14:J$949))</f>
        <v/>
      </c>
      <c r="BX12" s="948" t="str">
        <f>IF($B12&lt;1,"",SUMIF('09월 에너지'!$A$14:$A$949,$A12,'09월 에너지'!K$14:K$949))</f>
        <v/>
      </c>
      <c r="BY12" s="948" t="str">
        <f>IF($B12&lt;1,"",SUMIF('09월 에너지'!$A$14:$A$949,$A12,'09월 에너지'!L$14:L$949))</f>
        <v/>
      </c>
      <c r="BZ12" s="948" t="str">
        <f>IF($B12&lt;1,"",SUMIF('09월 에너지'!$A$14:$A$949,$A12,'09월 에너지'!M$14:M$949))</f>
        <v/>
      </c>
      <c r="CA12" s="948" t="str">
        <f>IF($B12&lt;1,"",SUMIF('09월 에너지'!$A$14:$A$949,$A12,'09월 에너지'!N$14:N$949))</f>
        <v/>
      </c>
      <c r="CB12" s="948" t="str">
        <f>IF($B12&lt;1,"",SUMIF('09월 에너지'!$A$14:$A$949,$A12,'09월 에너지'!O$14:O$949))</f>
        <v/>
      </c>
      <c r="CC12" s="948" t="str">
        <f>IF($B12&lt;1,"",SUMIF('09월 에너지'!$A$14:$A$949,$A12,'09월 에너지'!P$14:P$949))</f>
        <v/>
      </c>
      <c r="CD12" s="948" t="str">
        <f>IF($B12&lt;1,"",SUMIF('09월 에너지'!$A$14:$A$949,$A12,'09월 에너지'!Q$14:Q$949))</f>
        <v/>
      </c>
      <c r="CE12" s="948" t="str">
        <f>IF($B12&lt;1,"",SUMIF('09월 에너지'!$A$14:$A$949,$A12,'09월 에너지'!R$14:R$949))</f>
        <v/>
      </c>
      <c r="CF12" s="948" t="str">
        <f>IF($B12&lt;1,"",SUMIF('09월 에너지'!$A$14:$A$949,$A12,'09월 에너지'!S$14:S$949))</f>
        <v/>
      </c>
      <c r="CG12" s="954" t="str">
        <f>IF($B12&lt;1,"",SUMIF('09월 에너지'!$A$14:$A$949,$A12,'09월 에너지'!T$14:T$949))</f>
        <v/>
      </c>
      <c r="CH12" s="954" t="str">
        <f>IF($B12&lt;1,"",SUMIF('09월 에너지'!$A$14:$A$949,$A12,'09월 에너지'!U$14:U$949))</f>
        <v/>
      </c>
      <c r="CI12" s="954" t="str">
        <f>IF($B12&lt;1,"",SUMIF('09월 에너지'!$A$14:$A$949,$A12,'09월 에너지'!V$14:V$949))</f>
        <v/>
      </c>
      <c r="CJ12" s="954" t="str">
        <f>IF($B12&lt;1,"",SUMIF('09월 에너지'!$A$14:$A$949,$A12,'09월 에너지'!W$14:W$949))</f>
        <v/>
      </c>
      <c r="CK12" s="954" t="str">
        <f>IF($B12&lt;1,"",SUMIF('09월 에너지'!$A$14:$A$949,$A12,'09월 에너지'!X$14:X$949))</f>
        <v/>
      </c>
      <c r="CL12" s="954" t="str">
        <f>IF($B12&lt;1,"",SUMIF('09월 에너지'!$A$14:$A$949,$A12,'09월 에너지'!Y$14:Y$949))</f>
        <v/>
      </c>
      <c r="CM12" s="954" t="str">
        <f>IF($B12&lt;1,"",SUMIF('09월 에너지'!$A$14:$A$949,$A12,'09월 에너지'!Z$14:Z$949))</f>
        <v/>
      </c>
      <c r="CN12" s="954" t="str">
        <f>IF($B12&lt;1,"",SUMIF('09월 에너지'!$A$14:$A$949,$A12,'09월 에너지'!AA$14:AA$949))</f>
        <v/>
      </c>
      <c r="CO12" s="954" t="str">
        <f>IF($B12&lt;1,"",SUMIF('09월 에너지'!$A$14:$A$949,$A12,'09월 에너지'!AB$14:AB$949))</f>
        <v/>
      </c>
      <c r="CP12" s="954" t="str">
        <f>IF($B12&lt;1,"",SUMIF('09월 에너지'!$A$14:$A$949,$A12,'09월 에너지'!AC$14:AC$949))</f>
        <v/>
      </c>
      <c r="CQ12" s="955" t="str">
        <f>IF($B12&lt;1,"",SUMIF('09월 에너지'!$A$14:$A$949,$A12,'09월 에너지'!AD$14:AD$949))</f>
        <v/>
      </c>
      <c r="CR12" s="955" t="str">
        <f>IF($B12&lt;1,"",SUMIF('09월 에너지'!$A$14:$A$949,$A12,'09월 에너지'!AE$14:AE$949))</f>
        <v/>
      </c>
      <c r="CS12" s="948" t="str">
        <f>IF($B12&lt;1,"",SUMIF('09월 에너지'!$A$14:$A$949,$A12,'09월 에너지'!AF$14:AF$949))</f>
        <v/>
      </c>
      <c r="CT12" s="948" t="str">
        <f>IF($B12&lt;1,"",SUMIF('09월 에너지'!$A$14:$A$949,$A12,'09월 에너지'!AG$14:AG$949))</f>
        <v/>
      </c>
      <c r="CU12" s="948" t="str">
        <f>IF($B12&lt;1,"",SUMIF('09월 에너지'!$A$14:$A$949,$A12,'09월 에너지'!AH$14:AH$949))</f>
        <v/>
      </c>
      <c r="CV12" s="948" t="str">
        <f>IF($B12&lt;1,"",SUMIF('09월 에너지'!$A$14:$A$949,$A12,'09월 에너지'!AI$14:AI$949))</f>
        <v/>
      </c>
      <c r="CW12" s="956" t="str">
        <f>IF($B12&lt;1,"",SUMIF('09월 에너지'!$A$14:$A$949,$A12,'09월 에너지'!AJ$14:AJ$949))</f>
        <v/>
      </c>
    </row>
    <row r="13" spans="1:101" ht="15.75" customHeight="1">
      <c r="A13" s="939">
        <f t="shared" si="1"/>
        <v>44782</v>
      </c>
      <c r="B13" s="884">
        <f>COUNTIF('09월 조업일지'!$A$12:$A$952,A13)</f>
        <v>0</v>
      </c>
      <c r="C13" s="885" t="str">
        <f t="shared" si="0"/>
        <v/>
      </c>
      <c r="D13" s="885" t="str">
        <f>IF($B13&lt;1,"",(SUMIF('09월 조업일지'!$A$12:$A$952,$A13,'09월 조업일지'!$K$12:$K$952))/B13)</f>
        <v/>
      </c>
      <c r="E13" s="885" t="str">
        <f>IF($B13&lt;1,"",AVERAGEIF('09월 조업일지'!$A$12:$A$952,$A13,'09월 조업일지'!$J$12:$J$952))</f>
        <v/>
      </c>
      <c r="F13" s="940" t="str">
        <f>IF($B13&lt;1,"",AVERAGEIF('09월 에너지'!$A$14:$A$949,$A13,'09월 에너지'!$M$14:M$949))</f>
        <v/>
      </c>
      <c r="G13" s="887" t="str">
        <f>IF($B13&lt;1,"",AVERAGEIF('09월 조업일지'!$A$12:$A$952,$A13,'09월 조업일지'!$AJ$12:$AJ$952))</f>
        <v/>
      </c>
      <c r="H13" s="887" t="str">
        <f>IF($B13&lt;1,"",AVERAGEIF('09월 조업일지'!$A$12:$A$952,$A13,'09월 조업일지'!$AL$12:$AL$952))</f>
        <v/>
      </c>
      <c r="I13" s="941" t="str">
        <f>IF($B13&lt;1,"",AVERAGEIF('09월 화학성분'!$A$12:$A$949,$A13,'09월 화학성분'!G$12:G$949))</f>
        <v/>
      </c>
      <c r="J13" s="941" t="str">
        <f>IF($B13&lt;1,"",AVERAGEIF('09월 화학성분'!$A$12:$A$949,$A13,'09월 화학성분'!H$12:H$949))</f>
        <v/>
      </c>
      <c r="K13" s="941" t="str">
        <f>IF($B13&lt;1,"",AVERAGEIF('09월 화학성분'!$A$12:$A$949,$A13,'09월 화학성분'!I$12:I$949))</f>
        <v/>
      </c>
      <c r="L13" s="941" t="str">
        <f>IF($B13&lt;1,"",AVERAGEIF('09월 화학성분'!$A$12:$A$949,$A13,'09월 화학성분'!J$12:J$949))</f>
        <v/>
      </c>
      <c r="M13" s="941" t="str">
        <f>IF($B13&lt;1,"",AVERAGEIF('09월 화학성분'!$A$12:$A$949,$A13,'09월 화학성분'!K$12:K$949))</f>
        <v/>
      </c>
      <c r="N13" s="941" t="str">
        <f>IF($B13&lt;1,"",AVERAGEIF('09월 화학성분'!$A$12:$A$949,$A13,'09월 화학성분'!L$12:L$949))</f>
        <v/>
      </c>
      <c r="O13" s="941" t="str">
        <f>IF($B13&lt;1,"",AVERAGEIF('09월 화학성분'!$A$12:$A$949,$A13,'09월 화학성분'!M$12:M$949))</f>
        <v/>
      </c>
      <c r="P13" s="889" t="str">
        <f>IF($B13&lt;1,"",AVERAGEIF('09월 조업일지'!$A$12:$A$952,$A13,'09월 조업일지'!$AK$12:$AK$952))</f>
        <v/>
      </c>
      <c r="Q13" s="941" t="str">
        <f>IF($B13&lt;1,"",AVERAGEIF('09월 화학성분'!$A$12:$A$949,$A13,'09월 화학성분'!$G$12:$G$949))</f>
        <v/>
      </c>
      <c r="R13" s="889" t="str">
        <f>IF($B13&lt;1,"",AVERAGEIF('09월 조업일지'!$A$12:$A$952,$A13,'09월 조업일지'!$AI$12:$AI$952))</f>
        <v/>
      </c>
      <c r="S13" s="942" t="str">
        <f>IF($B13&lt;1,"",SUMIF('09월 화학성분'!$A$12:$A$949,$A13,'09월 화학성분'!$AM$12:$AM$949))</f>
        <v/>
      </c>
      <c r="T13" s="943" t="str">
        <f>IF($B13&lt;1,"",SUMIF('09월 화학성분'!$A$12:$A$949,$A13,'09월 화학성분'!N$12:N$949))</f>
        <v/>
      </c>
      <c r="U13" s="943" t="str">
        <f>IF($B13&lt;1,"",SUMIF('09월 화학성분'!$A$12:$A$949,$A13,'09월 화학성분'!O$12:O$949))</f>
        <v/>
      </c>
      <c r="V13" s="943" t="str">
        <f>IF($B13&lt;1,"",SUMIF('09월 화학성분'!$A$12:$A$949,$A13,'09월 화학성분'!P$12:P$949))</f>
        <v/>
      </c>
      <c r="W13" s="943" t="str">
        <f>IF($B13&lt;1,"",SUMIF('09월 화학성분'!$A$12:$A$949,$A13,'09월 화학성분'!Q$12:Q$949))</f>
        <v/>
      </c>
      <c r="X13" s="943" t="str">
        <f>IF($B13&lt;1,"",SUMIF('09월 화학성분'!$A$12:$A$949,$A13,'09월 화학성분'!R$12:R$949))</f>
        <v/>
      </c>
      <c r="Y13" s="943" t="str">
        <f>IF($B13&lt;1,"",SUMIF('09월 화학성분'!$A$12:$A$949,$A13,'09월 화학성분'!U$12:U$949))</f>
        <v/>
      </c>
      <c r="Z13" s="944" t="str">
        <f>IF($B13&lt;1,"",SUMIF('09월 화학성분'!$A$12:$A$949,$A13,'09월 화학성분'!V$12:V$949))</f>
        <v/>
      </c>
      <c r="AA13" s="944" t="str">
        <f>IF($B13&lt;1,"",SUMIF('09월 화학성분'!$A$12:$A$949,$A13,'09월 화학성분'!W$12:W$949))</f>
        <v/>
      </c>
      <c r="AB13" s="944" t="str">
        <f>IF($B13&lt;1,"",SUMIF('09월 화학성분'!$A$12:$A$949,$A13,'09월 화학성분'!AA$12:AA$949))</f>
        <v/>
      </c>
      <c r="AC13" s="944"/>
      <c r="AD13" s="945" t="str">
        <f>IF($B13&lt;1,"",SUMIF('09월 화학성분'!$A$12:$A$949,$A13,'09월 화학성분'!AB$12:AB$949))</f>
        <v/>
      </c>
      <c r="AE13" s="945" t="str">
        <f>IF($B13&lt;1,"",SUMIF('09월 화학성분'!$A$12:$A$949,$A13,'09월 화학성분'!AC$12:AC$949))</f>
        <v/>
      </c>
      <c r="AF13" s="945" t="str">
        <f>IF($B13&lt;1,"",SUMIF('09월 화학성분'!$A$12:$A$949,$A13,'09월 화학성분'!AD$12:AD$949))</f>
        <v/>
      </c>
      <c r="AG13" s="945"/>
      <c r="AH13" s="945" t="str">
        <f>IF($B13&lt;1,"",SUMIF('09월 화학성분'!$A$12:$A$949,$A13,'09월 화학성분'!AG$12:AG$949))</f>
        <v/>
      </c>
      <c r="AI13" s="945" t="str">
        <f>IF($B13&lt;1,"",SUMIF('09월 화학성분'!$A$12:$A$949,$A13,'09월 화학성분'!AH$12:AH$949))</f>
        <v/>
      </c>
      <c r="AJ13" s="945" t="str">
        <f>IF($B13&lt;1,"",SUMIF('09월 화학성분'!$A$12:$A$949,$A13,'09월 화학성분'!AI$12:AI$949))</f>
        <v/>
      </c>
      <c r="AK13" s="945" t="str">
        <f>IF($B13&lt;1,"",SUMIF('09월 화학성분'!$A$12:$A$949,$A13,'09월 화학성분'!AJ$12:AJ$949))</f>
        <v/>
      </c>
      <c r="AL13" s="945" t="str">
        <f>IF($B13&lt;1,"",SUMIF('09월 화학성분'!$A$12:$A$949,$A13,'09월 화학성분'!#REF!))</f>
        <v/>
      </c>
      <c r="AM13" s="945" t="str">
        <f>IF($B13&lt;1,"",SUMIF('09월 화학성분'!$A$12:$A$949,$A13,'09월 화학성분'!AL$12:AL$949))</f>
        <v/>
      </c>
      <c r="AN13" s="946" t="str">
        <f>IF($B13&lt;1,"",SUMIF('09월 화학성분'!$A$12:$A$949,$A13,'09월 화학성분'!AM$12:AM$949))</f>
        <v/>
      </c>
      <c r="AO13" s="947" t="str">
        <f>IF($B13&lt;1,"",AVERAGEIF('09월 화학성분'!$A$12:$A$949,$A13,'09월 화학성분'!AN$12:AN$949))</f>
        <v/>
      </c>
      <c r="AP13" s="947" t="str">
        <f>IF($B13&lt;1,"",AVERAGEIF('09월 화학성분'!$A$12:$A$949,$A13,'09월 화학성분'!AO$12:AO$949))</f>
        <v/>
      </c>
      <c r="AQ13" s="948" t="str">
        <f>IF($B13&lt;1,"",SUMIF('09월 화학성분'!$A$12:$A$949,$A13,'09월 화학성분'!AP$12:AP$949))</f>
        <v/>
      </c>
      <c r="AR13" s="949" t="str">
        <f>IF($B13&lt;1,"",SUMIF('09월 고철장입'!$A$14:$A$949,$A13,'09월 고철장입'!G$14:G$949)/1000)</f>
        <v/>
      </c>
      <c r="AS13" s="949" t="str">
        <f>IF($B13&lt;1,"",SUMIF('09월 고철장입'!$A$14:$A$949,$A13,'09월 고철장입'!H$14:H$949)/1000)</f>
        <v/>
      </c>
      <c r="AT13" s="949" t="str">
        <f>IF($B13&lt;1,"",SUMIF('09월 고철장입'!$A$14:$A$949,$A13,'09월 고철장입'!I$14:I$949)/1000)</f>
        <v/>
      </c>
      <c r="AU13" s="949" t="str">
        <f>IF($B13&lt;1,"",SUMIF('09월 고철장입'!$A$14:$A$949,$A13,'09월 고철장입'!J$14:J$949)/1000)</f>
        <v/>
      </c>
      <c r="AV13" s="949" t="str">
        <f>IF($B13&lt;1,"",SUMIF('09월 고철장입'!$A$14:$A$949,$A13,'09월 고철장입'!K$14:K$949)/1000)</f>
        <v/>
      </c>
      <c r="AW13" s="949" t="str">
        <f>IF($B13&lt;1,"",SUMIF('09월 고철장입'!$A$14:$A$949,$A13,'09월 고철장입'!L$14:L$949)/1000)</f>
        <v/>
      </c>
      <c r="AX13" s="949" t="str">
        <f>IF($B13&lt;1,"",SUMIF('09월 고철장입'!$A$14:$A$949,$A13,'09월 고철장입'!M$14:M$949)/1000)</f>
        <v/>
      </c>
      <c r="AY13" s="949" t="str">
        <f>IF($B13&lt;1,"",SUMIF('09월 고철장입'!$A$14:$A$949,$A13,'09월 고철장입'!N$14:N$949)/1000)</f>
        <v/>
      </c>
      <c r="AZ13" s="949" t="str">
        <f>IF($B13&lt;1,"",SUMIF('09월 고철장입'!$A$14:$A$949,$A13,'09월 고철장입'!O$14:O$949)/1000)</f>
        <v/>
      </c>
      <c r="BA13" s="950" t="str">
        <f>IF($B13&lt;1,"",SUMIF('09월 고철장입'!$A$14:$A$949,$A13,'09월 고철장입'!P$14:P$949)/1000)</f>
        <v/>
      </c>
      <c r="BB13" s="950" t="str">
        <f>IF($B13&lt;1,"",SUMIF('09월 고철장입'!$A$14:$A$949,$A13,'09월 고철장입'!Q$14:Q$949)/1000)</f>
        <v/>
      </c>
      <c r="BC13" s="950" t="str">
        <f>IF($B13&lt;1,"",SUMIF('09월 고철장입'!$A$14:$A$949,$A13,'09월 고철장입'!S$14:S$949)/1000)</f>
        <v/>
      </c>
      <c r="BD13" s="950" t="str">
        <f>IF($B13&lt;1,"",SUMIF('09월 고철장입'!$A$14:$A$949,$A13,'09월 고철장입'!T$14:T$949)/1000)</f>
        <v/>
      </c>
      <c r="BE13" s="950" t="str">
        <f>IF($B13&lt;1,"",SUMIF('09월 고철장입'!$A$14:$A$949,$A13,'09월 고철장입'!U$14:U$949)/1000)</f>
        <v/>
      </c>
      <c r="BF13" s="950" t="str">
        <f>IF($B13&lt;1,"",SUMIF('09월 고철장입'!$A$14:$A$949,$A13,'09월 고철장입'!V$14:V$949)/1000)</f>
        <v/>
      </c>
      <c r="BG13" s="950" t="str">
        <f>IF($B13&lt;1,"",SUMIF('09월 고철장입'!$A$14:$A$949,$A13,'09월 고철장입'!W$14:W$949)/1000)</f>
        <v/>
      </c>
      <c r="BH13" s="950" t="str">
        <f>IF($B13&lt;1,"",SUMIF('09월 고철장입'!$A$14:$A$949,$A13,'09월 고철장입'!Y$14:Y$949)/1000)</f>
        <v/>
      </c>
      <c r="BI13" s="950" t="str">
        <f>IF($B13&lt;1,"",SUMIF('09월 고철장입'!$A$14:$A$949,$A13,'09월 고철장입'!AB$14:AB$949)/1000)</f>
        <v/>
      </c>
      <c r="BJ13" s="950" t="str">
        <f>IF($B13&lt;1,"",SUMIF('09월 고철장입'!$A$14:$A$949,$A13,'09월 고철장입'!AC$14:AC$949)/1000)</f>
        <v/>
      </c>
      <c r="BK13" s="950" t="str">
        <f>IF($B13&lt;1,"",SUMIF('09월 고철장입'!$A$14:$A$949,$A13,'09월 고철장입'!AD$14:AD$949)/1000)</f>
        <v/>
      </c>
      <c r="BL13" s="950" t="str">
        <f>IF($B13&lt;1,"",SUMIF('09월 고철장입'!$A$14:$A$949,$A13,'09월 고철장입'!AE$14:AE$949)/1000)</f>
        <v/>
      </c>
      <c r="BM13" s="951" t="str">
        <f>IF($B13&lt;1,"",SUMIF('09월 고철장입'!$A$14:$A$949,$A13,'09월 고철장입'!AF$14:AF$949)/1000)</f>
        <v/>
      </c>
      <c r="BN13" s="951" t="str">
        <f>IF($B13&lt;1,"",SUMIF('09월 고철장입'!$A$14:$A$949,$A13,'09월 고철장입'!AG$14:AG$949)/1000)</f>
        <v/>
      </c>
      <c r="BO13" s="951" t="str">
        <f>IF($B13&lt;1,"",SUMIF('09월 고철장입'!$A$14:$A$949,$A13,'09월 고철장입'!AH$14:AH$949)/1000)</f>
        <v/>
      </c>
      <c r="BP13" s="951" t="str">
        <f>IF($B13&lt;1,"",SUMIF('09월 고철장입'!$A$14:$A$949,$A13,'09월 고철장입'!AI$14:AI$949)/1000)</f>
        <v/>
      </c>
      <c r="BQ13" s="952" t="str">
        <f>IF($B13&lt;1,"",SUMIF('09월 고철장입'!$A$14:$A$949,$A13,'09월 고철장입'!AJ$14:AJ$949)/1000)</f>
        <v/>
      </c>
      <c r="BR13" s="952" t="str">
        <f>IF($B13&lt;1,"",SUMIF('09월 고철장입'!$A$14:$A$949,$A13,'09월 고철장입'!AK$14:AK$949))</f>
        <v/>
      </c>
      <c r="BS13" s="953" t="str">
        <f>IF($B13&lt;1,"",AVERAGEIF('09월 고철장입'!$A$14:$A$949,$A13,'09월 고철장입'!AL$14:AL$949)*100)</f>
        <v/>
      </c>
      <c r="BT13" s="948" t="str">
        <f>IF($B13&lt;1,"",SUMIF('09월 에너지'!$A$14:$A$949,$A13,'09월 에너지'!G$14:G$949))</f>
        <v/>
      </c>
      <c r="BU13" s="948" t="str">
        <f>IF($B13&lt;1,"",SUMIF('09월 에너지'!$A$14:$A$949,$A13,'09월 에너지'!H$14:H$949))</f>
        <v/>
      </c>
      <c r="BV13" s="948" t="str">
        <f>IF($B13&lt;1,"",SUMIF('09월 에너지'!$A$14:$A$949,$A13,'09월 에너지'!I$14:I$949))</f>
        <v/>
      </c>
      <c r="BW13" s="948" t="str">
        <f>IF($B13&lt;1,"",SUMIF('09월 에너지'!$A$14:$A$949,$A13,'09월 에너지'!J$14:J$949))</f>
        <v/>
      </c>
      <c r="BX13" s="948" t="str">
        <f>IF($B13&lt;1,"",SUMIF('09월 에너지'!$A$14:$A$949,$A13,'09월 에너지'!K$14:K$949))</f>
        <v/>
      </c>
      <c r="BY13" s="948" t="str">
        <f>IF($B13&lt;1,"",SUMIF('09월 에너지'!$A$14:$A$949,$A13,'09월 에너지'!L$14:L$949))</f>
        <v/>
      </c>
      <c r="BZ13" s="948" t="str">
        <f>IF($B13&lt;1,"",SUMIF('09월 에너지'!$A$14:$A$949,$A13,'09월 에너지'!M$14:M$949))</f>
        <v/>
      </c>
      <c r="CA13" s="948" t="str">
        <f>IF($B13&lt;1,"",SUMIF('09월 에너지'!$A$14:$A$949,$A13,'09월 에너지'!N$14:N$949))</f>
        <v/>
      </c>
      <c r="CB13" s="948" t="str">
        <f>IF($B13&lt;1,"",SUMIF('09월 에너지'!$A$14:$A$949,$A13,'09월 에너지'!O$14:O$949))</f>
        <v/>
      </c>
      <c r="CC13" s="948" t="str">
        <f>IF($B13&lt;1,"",SUMIF('09월 에너지'!$A$14:$A$949,$A13,'09월 에너지'!P$14:P$949))</f>
        <v/>
      </c>
      <c r="CD13" s="948" t="str">
        <f>IF($B13&lt;1,"",SUMIF('09월 에너지'!$A$14:$A$949,$A13,'09월 에너지'!Q$14:Q$949))</f>
        <v/>
      </c>
      <c r="CE13" s="948" t="str">
        <f>IF($B13&lt;1,"",SUMIF('09월 에너지'!$A$14:$A$949,$A13,'09월 에너지'!R$14:R$949))</f>
        <v/>
      </c>
      <c r="CF13" s="948" t="str">
        <f>IF($B13&lt;1,"",SUMIF('09월 에너지'!$A$14:$A$949,$A13,'09월 에너지'!S$14:S$949))</f>
        <v/>
      </c>
      <c r="CG13" s="954" t="str">
        <f>IF($B13&lt;1,"",SUMIF('09월 에너지'!$A$14:$A$949,$A13,'09월 에너지'!T$14:T$949))</f>
        <v/>
      </c>
      <c r="CH13" s="954" t="str">
        <f>IF($B13&lt;1,"",SUMIF('09월 에너지'!$A$14:$A$949,$A13,'09월 에너지'!U$14:U$949))</f>
        <v/>
      </c>
      <c r="CI13" s="954" t="str">
        <f>IF($B13&lt;1,"",SUMIF('09월 에너지'!$A$14:$A$949,$A13,'09월 에너지'!V$14:V$949))</f>
        <v/>
      </c>
      <c r="CJ13" s="954" t="str">
        <f>IF($B13&lt;1,"",SUMIF('09월 에너지'!$A$14:$A$949,$A13,'09월 에너지'!W$14:W$949))</f>
        <v/>
      </c>
      <c r="CK13" s="954" t="str">
        <f>IF($B13&lt;1,"",SUMIF('09월 에너지'!$A$14:$A$949,$A13,'09월 에너지'!X$14:X$949))</f>
        <v/>
      </c>
      <c r="CL13" s="954" t="str">
        <f>IF($B13&lt;1,"",SUMIF('09월 에너지'!$A$14:$A$949,$A13,'09월 에너지'!Y$14:Y$949))</f>
        <v/>
      </c>
      <c r="CM13" s="954" t="str">
        <f>IF($B13&lt;1,"",SUMIF('09월 에너지'!$A$14:$A$949,$A13,'09월 에너지'!Z$14:Z$949))</f>
        <v/>
      </c>
      <c r="CN13" s="954" t="str">
        <f>IF($B13&lt;1,"",SUMIF('09월 에너지'!$A$14:$A$949,$A13,'09월 에너지'!AA$14:AA$949))</f>
        <v/>
      </c>
      <c r="CO13" s="954" t="str">
        <f>IF($B13&lt;1,"",SUMIF('09월 에너지'!$A$14:$A$949,$A13,'09월 에너지'!AB$14:AB$949))</f>
        <v/>
      </c>
      <c r="CP13" s="954" t="str">
        <f>IF($B13&lt;1,"",SUMIF('09월 에너지'!$A$14:$A$949,$A13,'09월 에너지'!AC$14:AC$949))</f>
        <v/>
      </c>
      <c r="CQ13" s="955" t="str">
        <f>IF($B13&lt;1,"",SUMIF('09월 에너지'!$A$14:$A$949,$A13,'09월 에너지'!AD$14:AD$949))</f>
        <v/>
      </c>
      <c r="CR13" s="955" t="str">
        <f>IF($B13&lt;1,"",SUMIF('09월 에너지'!$A$14:$A$949,$A13,'09월 에너지'!AE$14:AE$949))</f>
        <v/>
      </c>
      <c r="CS13" s="948" t="str">
        <f>IF($B13&lt;1,"",SUMIF('09월 에너지'!$A$14:$A$949,$A13,'09월 에너지'!AF$14:AF$949))</f>
        <v/>
      </c>
      <c r="CT13" s="948" t="str">
        <f>IF($B13&lt;1,"",SUMIF('09월 에너지'!$A$14:$A$949,$A13,'09월 에너지'!AG$14:AG$949))</f>
        <v/>
      </c>
      <c r="CU13" s="948" t="str">
        <f>IF($B13&lt;1,"",SUMIF('09월 에너지'!$A$14:$A$949,$A13,'09월 에너지'!AH$14:AH$949))</f>
        <v/>
      </c>
      <c r="CV13" s="948" t="str">
        <f>IF($B13&lt;1,"",SUMIF('09월 에너지'!$A$14:$A$949,$A13,'09월 에너지'!AI$14:AI$949))</f>
        <v/>
      </c>
      <c r="CW13" s="956" t="str">
        <f>IF($B13&lt;1,"",SUMIF('09월 에너지'!$A$14:$A$949,$A13,'09월 에너지'!AJ$14:AJ$949))</f>
        <v/>
      </c>
    </row>
    <row r="14" spans="1:101" ht="15.75" customHeight="1">
      <c r="A14" s="939">
        <f t="shared" si="1"/>
        <v>44783</v>
      </c>
      <c r="B14" s="884">
        <f>COUNTIF('09월 조업일지'!$A$12:$A$952,A14)</f>
        <v>0</v>
      </c>
      <c r="C14" s="885" t="str">
        <f t="shared" si="0"/>
        <v/>
      </c>
      <c r="D14" s="885" t="str">
        <f>IF($B14&lt;1,"",(SUMIF('09월 조업일지'!$A$12:$A$952,$A14,'09월 조업일지'!$K$12:$K$952))/B14)</f>
        <v/>
      </c>
      <c r="E14" s="885" t="str">
        <f>IF($B14&lt;1,"",AVERAGEIF('09월 조업일지'!$A$12:$A$952,$A14,'09월 조업일지'!$J$12:$J$952))</f>
        <v/>
      </c>
      <c r="F14" s="940" t="str">
        <f>IF($B14&lt;1,"",AVERAGEIF('09월 에너지'!$A$14:$A$949,$A14,'09월 에너지'!$M$14:M$949))</f>
        <v/>
      </c>
      <c r="G14" s="887" t="str">
        <f>IF($B14&lt;1,"",AVERAGEIF('09월 조업일지'!$A$12:$A$952,$A14,'09월 조업일지'!$AJ$12:$AJ$952))</f>
        <v/>
      </c>
      <c r="H14" s="887" t="str">
        <f>IF($B14&lt;1,"",AVERAGEIF('09월 조업일지'!$A$12:$A$952,$A14,'09월 조업일지'!$AL$12:$AL$952))</f>
        <v/>
      </c>
      <c r="I14" s="941" t="str">
        <f>IF($B14&lt;1,"",AVERAGEIF('09월 화학성분'!$A$12:$A$949,$A14,'09월 화학성분'!G$12:G$949))</f>
        <v/>
      </c>
      <c r="J14" s="941" t="str">
        <f>IF($B14&lt;1,"",AVERAGEIF('09월 화학성분'!$A$12:$A$949,$A14,'09월 화학성분'!H$12:H$949))</f>
        <v/>
      </c>
      <c r="K14" s="941" t="str">
        <f>IF($B14&lt;1,"",AVERAGEIF('09월 화학성분'!$A$12:$A$949,$A14,'09월 화학성분'!I$12:I$949))</f>
        <v/>
      </c>
      <c r="L14" s="941" t="str">
        <f>IF($B14&lt;1,"",AVERAGEIF('09월 화학성분'!$A$12:$A$949,$A14,'09월 화학성분'!J$12:J$949))</f>
        <v/>
      </c>
      <c r="M14" s="941" t="str">
        <f>IF($B14&lt;1,"",AVERAGEIF('09월 화학성분'!$A$12:$A$949,$A14,'09월 화학성분'!K$12:K$949))</f>
        <v/>
      </c>
      <c r="N14" s="941" t="str">
        <f>IF($B14&lt;1,"",AVERAGEIF('09월 화학성분'!$A$12:$A$949,$A14,'09월 화학성분'!L$12:L$949))</f>
        <v/>
      </c>
      <c r="O14" s="941" t="str">
        <f>IF($B14&lt;1,"",AVERAGEIF('09월 화학성분'!$A$12:$A$949,$A14,'09월 화학성분'!M$12:M$949))</f>
        <v/>
      </c>
      <c r="P14" s="889" t="str">
        <f>IF($B14&lt;1,"",AVERAGEIF('09월 조업일지'!$A$12:$A$952,$A14,'09월 조업일지'!$AK$12:$AK$952))</f>
        <v/>
      </c>
      <c r="Q14" s="941" t="str">
        <f>IF($B14&lt;1,"",AVERAGEIF('09월 화학성분'!$A$12:$A$949,$A14,'09월 화학성분'!$G$12:$G$949))</f>
        <v/>
      </c>
      <c r="R14" s="889" t="str">
        <f>IF($B14&lt;1,"",AVERAGEIF('09월 조업일지'!$A$12:$A$952,$A14,'09월 조업일지'!$AI$12:$AI$952))</f>
        <v/>
      </c>
      <c r="S14" s="942" t="str">
        <f>IF($B14&lt;1,"",SUMIF('09월 화학성분'!$A$12:$A$949,$A14,'09월 화학성분'!$AM$12:$AM$949))</f>
        <v/>
      </c>
      <c r="T14" s="943" t="str">
        <f>IF($B14&lt;1,"",SUMIF('09월 화학성분'!$A$12:$A$949,$A14,'09월 화학성분'!N$12:N$949))</f>
        <v/>
      </c>
      <c r="U14" s="943" t="str">
        <f>IF($B14&lt;1,"",SUMIF('09월 화학성분'!$A$12:$A$949,$A14,'09월 화학성분'!O$12:O$949))</f>
        <v/>
      </c>
      <c r="V14" s="943" t="str">
        <f>IF($B14&lt;1,"",SUMIF('09월 화학성분'!$A$12:$A$949,$A14,'09월 화학성분'!P$12:P$949))</f>
        <v/>
      </c>
      <c r="W14" s="943" t="str">
        <f>IF($B14&lt;1,"",SUMIF('09월 화학성분'!$A$12:$A$949,$A14,'09월 화학성분'!Q$12:Q$949))</f>
        <v/>
      </c>
      <c r="X14" s="943" t="str">
        <f>IF($B14&lt;1,"",SUMIF('09월 화학성분'!$A$12:$A$949,$A14,'09월 화학성분'!R$12:R$949))</f>
        <v/>
      </c>
      <c r="Y14" s="943" t="str">
        <f>IF($B14&lt;1,"",SUMIF('09월 화학성분'!$A$12:$A$949,$A14,'09월 화학성분'!U$12:U$949))</f>
        <v/>
      </c>
      <c r="Z14" s="944" t="str">
        <f>IF($B14&lt;1,"",SUMIF('09월 화학성분'!$A$12:$A$949,$A14,'09월 화학성분'!V$12:V$949))</f>
        <v/>
      </c>
      <c r="AA14" s="944" t="str">
        <f>IF($B14&lt;1,"",SUMIF('09월 화학성분'!$A$12:$A$949,$A14,'09월 화학성분'!W$12:W$949))</f>
        <v/>
      </c>
      <c r="AB14" s="944" t="str">
        <f>IF($B14&lt;1,"",SUMIF('09월 화학성분'!$A$12:$A$949,$A14,'09월 화학성분'!AA$12:AA$949))</f>
        <v/>
      </c>
      <c r="AC14" s="944"/>
      <c r="AD14" s="945" t="str">
        <f>IF($B14&lt;1,"",SUMIF('09월 화학성분'!$A$12:$A$949,$A14,'09월 화학성분'!AB$12:AB$949))</f>
        <v/>
      </c>
      <c r="AE14" s="945" t="str">
        <f>IF($B14&lt;1,"",SUMIF('09월 화학성분'!$A$12:$A$949,$A14,'09월 화학성분'!AC$12:AC$949))</f>
        <v/>
      </c>
      <c r="AF14" s="945" t="str">
        <f>IF($B14&lt;1,"",SUMIF('09월 화학성분'!$A$12:$A$949,$A14,'09월 화학성분'!AD$12:AD$949))</f>
        <v/>
      </c>
      <c r="AG14" s="945"/>
      <c r="AH14" s="945" t="str">
        <f>IF($B14&lt;1,"",SUMIF('09월 화학성분'!$A$12:$A$949,$A14,'09월 화학성분'!AG$12:AG$949))</f>
        <v/>
      </c>
      <c r="AI14" s="945" t="str">
        <f>IF($B14&lt;1,"",SUMIF('09월 화학성분'!$A$12:$A$949,$A14,'09월 화학성분'!AH$12:AH$949))</f>
        <v/>
      </c>
      <c r="AJ14" s="945" t="str">
        <f>IF($B14&lt;1,"",SUMIF('09월 화학성분'!$A$12:$A$949,$A14,'09월 화학성분'!AI$12:AI$949))</f>
        <v/>
      </c>
      <c r="AK14" s="945" t="str">
        <f>IF($B14&lt;1,"",SUMIF('09월 화학성분'!$A$12:$A$949,$A14,'09월 화학성분'!AJ$12:AJ$949))</f>
        <v/>
      </c>
      <c r="AL14" s="945" t="str">
        <f>IF($B14&lt;1,"",SUMIF('09월 화학성분'!$A$12:$A$949,$A14,'09월 화학성분'!#REF!))</f>
        <v/>
      </c>
      <c r="AM14" s="945" t="str">
        <f>IF($B14&lt;1,"",SUMIF('09월 화학성분'!$A$12:$A$949,$A14,'09월 화학성분'!AL$12:AL$949))</f>
        <v/>
      </c>
      <c r="AN14" s="946" t="str">
        <f>IF($B14&lt;1,"",SUMIF('09월 화학성분'!$A$12:$A$949,$A14,'09월 화학성분'!AM$12:AM$949))</f>
        <v/>
      </c>
      <c r="AO14" s="947" t="str">
        <f>IF($B14&lt;1,"",AVERAGEIF('09월 화학성분'!$A$12:$A$949,$A14,'09월 화학성분'!AN$12:AN$949))</f>
        <v/>
      </c>
      <c r="AP14" s="947" t="str">
        <f>IF($B14&lt;1,"",AVERAGEIF('09월 화학성분'!$A$12:$A$949,$A14,'09월 화학성분'!AO$12:AO$949))</f>
        <v/>
      </c>
      <c r="AQ14" s="948" t="str">
        <f>IF($B14&lt;1,"",SUMIF('09월 화학성분'!$A$12:$A$949,$A14,'09월 화학성분'!AP$12:AP$949))</f>
        <v/>
      </c>
      <c r="AR14" s="949" t="str">
        <f>IF($B14&lt;1,"",SUMIF('09월 고철장입'!$A$14:$A$949,$A14,'09월 고철장입'!G$14:G$949)/1000)</f>
        <v/>
      </c>
      <c r="AS14" s="949" t="str">
        <f>IF($B14&lt;1,"",SUMIF('09월 고철장입'!$A$14:$A$949,$A14,'09월 고철장입'!H$14:H$949)/1000)</f>
        <v/>
      </c>
      <c r="AT14" s="949" t="str">
        <f>IF($B14&lt;1,"",SUMIF('09월 고철장입'!$A$14:$A$949,$A14,'09월 고철장입'!I$14:I$949)/1000)</f>
        <v/>
      </c>
      <c r="AU14" s="949" t="str">
        <f>IF($B14&lt;1,"",SUMIF('09월 고철장입'!$A$14:$A$949,$A14,'09월 고철장입'!J$14:J$949)/1000)</f>
        <v/>
      </c>
      <c r="AV14" s="949" t="str">
        <f>IF($B14&lt;1,"",SUMIF('09월 고철장입'!$A$14:$A$949,$A14,'09월 고철장입'!K$14:K$949)/1000)</f>
        <v/>
      </c>
      <c r="AW14" s="949" t="str">
        <f>IF($B14&lt;1,"",SUMIF('09월 고철장입'!$A$14:$A$949,$A14,'09월 고철장입'!L$14:L$949)/1000)</f>
        <v/>
      </c>
      <c r="AX14" s="949" t="str">
        <f>IF($B14&lt;1,"",SUMIF('09월 고철장입'!$A$14:$A$949,$A14,'09월 고철장입'!M$14:M$949)/1000)</f>
        <v/>
      </c>
      <c r="AY14" s="949" t="str">
        <f>IF($B14&lt;1,"",SUMIF('09월 고철장입'!$A$14:$A$949,$A14,'09월 고철장입'!N$14:N$949)/1000)</f>
        <v/>
      </c>
      <c r="AZ14" s="949" t="str">
        <f>IF($B14&lt;1,"",SUMIF('09월 고철장입'!$A$14:$A$949,$A14,'09월 고철장입'!O$14:O$949)/1000)</f>
        <v/>
      </c>
      <c r="BA14" s="950" t="str">
        <f>IF($B14&lt;1,"",SUMIF('09월 고철장입'!$A$14:$A$949,$A14,'09월 고철장입'!P$14:P$949)/1000)</f>
        <v/>
      </c>
      <c r="BB14" s="950" t="str">
        <f>IF($B14&lt;1,"",SUMIF('09월 고철장입'!$A$14:$A$949,$A14,'09월 고철장입'!Q$14:Q$949)/1000)</f>
        <v/>
      </c>
      <c r="BC14" s="950" t="str">
        <f>IF($B14&lt;1,"",SUMIF('09월 고철장입'!$A$14:$A$949,$A14,'09월 고철장입'!S$14:S$949)/1000)</f>
        <v/>
      </c>
      <c r="BD14" s="950" t="str">
        <f>IF($B14&lt;1,"",SUMIF('09월 고철장입'!$A$14:$A$949,$A14,'09월 고철장입'!T$14:T$949)/1000)</f>
        <v/>
      </c>
      <c r="BE14" s="950" t="str">
        <f>IF($B14&lt;1,"",SUMIF('09월 고철장입'!$A$14:$A$949,$A14,'09월 고철장입'!U$14:U$949)/1000)</f>
        <v/>
      </c>
      <c r="BF14" s="950" t="str">
        <f>IF($B14&lt;1,"",SUMIF('09월 고철장입'!$A$14:$A$949,$A14,'09월 고철장입'!V$14:V$949)/1000)</f>
        <v/>
      </c>
      <c r="BG14" s="950" t="str">
        <f>IF($B14&lt;1,"",SUMIF('09월 고철장입'!$A$14:$A$949,$A14,'09월 고철장입'!W$14:W$949)/1000)</f>
        <v/>
      </c>
      <c r="BH14" s="950" t="str">
        <f>IF($B14&lt;1,"",SUMIF('09월 고철장입'!$A$14:$A$949,$A14,'09월 고철장입'!Y$14:Y$949)/1000)</f>
        <v/>
      </c>
      <c r="BI14" s="950" t="str">
        <f>IF($B14&lt;1,"",SUMIF('09월 고철장입'!$A$14:$A$949,$A14,'09월 고철장입'!AB$14:AB$949)/1000)</f>
        <v/>
      </c>
      <c r="BJ14" s="950" t="str">
        <f>IF($B14&lt;1,"",SUMIF('09월 고철장입'!$A$14:$A$949,$A14,'09월 고철장입'!AC$14:AC$949)/1000)</f>
        <v/>
      </c>
      <c r="BK14" s="950" t="str">
        <f>IF($B14&lt;1,"",SUMIF('09월 고철장입'!$A$14:$A$949,$A14,'09월 고철장입'!AD$14:AD$949)/1000)</f>
        <v/>
      </c>
      <c r="BL14" s="950" t="str">
        <f>IF($B14&lt;1,"",SUMIF('09월 고철장입'!$A$14:$A$949,$A14,'09월 고철장입'!AE$14:AE$949)/1000)</f>
        <v/>
      </c>
      <c r="BM14" s="951" t="str">
        <f>IF($B14&lt;1,"",SUMIF('09월 고철장입'!$A$14:$A$949,$A14,'09월 고철장입'!AF$14:AF$949)/1000)</f>
        <v/>
      </c>
      <c r="BN14" s="951" t="str">
        <f>IF($B14&lt;1,"",SUMIF('09월 고철장입'!$A$14:$A$949,$A14,'09월 고철장입'!AG$14:AG$949)/1000)</f>
        <v/>
      </c>
      <c r="BO14" s="951" t="str">
        <f>IF($B14&lt;1,"",SUMIF('09월 고철장입'!$A$14:$A$949,$A14,'09월 고철장입'!AH$14:AH$949)/1000)</f>
        <v/>
      </c>
      <c r="BP14" s="951" t="str">
        <f>IF($B14&lt;1,"",SUMIF('09월 고철장입'!$A$14:$A$949,$A14,'09월 고철장입'!AI$14:AI$949)/1000)</f>
        <v/>
      </c>
      <c r="BQ14" s="952" t="str">
        <f>IF($B14&lt;1,"",SUMIF('09월 고철장입'!$A$14:$A$949,$A14,'09월 고철장입'!AJ$14:AJ$949)/1000)</f>
        <v/>
      </c>
      <c r="BR14" s="952" t="str">
        <f>IF($B14&lt;1,"",SUMIF('09월 고철장입'!$A$14:$A$949,$A14,'09월 고철장입'!AK$14:AK$949))</f>
        <v/>
      </c>
      <c r="BS14" s="953" t="str">
        <f>IF($B14&lt;1,"",AVERAGEIF('09월 고철장입'!$A$14:$A$949,$A14,'09월 고철장입'!AL$14:AL$949)*100)</f>
        <v/>
      </c>
      <c r="BT14" s="948" t="str">
        <f>IF($B14&lt;1,"",SUMIF('09월 에너지'!$A$14:$A$949,$A14,'09월 에너지'!G$14:G$949))</f>
        <v/>
      </c>
      <c r="BU14" s="948" t="str">
        <f>IF($B14&lt;1,"",SUMIF('09월 에너지'!$A$14:$A$949,$A14,'09월 에너지'!H$14:H$949))</f>
        <v/>
      </c>
      <c r="BV14" s="948" t="str">
        <f>IF($B14&lt;1,"",SUMIF('09월 에너지'!$A$14:$A$949,$A14,'09월 에너지'!I$14:I$949))</f>
        <v/>
      </c>
      <c r="BW14" s="948" t="str">
        <f>IF($B14&lt;1,"",SUMIF('09월 에너지'!$A$14:$A$949,$A14,'09월 에너지'!J$14:J$949))</f>
        <v/>
      </c>
      <c r="BX14" s="948" t="str">
        <f>IF($B14&lt;1,"",SUMIF('09월 에너지'!$A$14:$A$949,$A14,'09월 에너지'!K$14:K$949))</f>
        <v/>
      </c>
      <c r="BY14" s="948" t="str">
        <f>IF($B14&lt;1,"",SUMIF('09월 에너지'!$A$14:$A$949,$A14,'09월 에너지'!L$14:L$949))</f>
        <v/>
      </c>
      <c r="BZ14" s="948" t="str">
        <f>IF($B14&lt;1,"",SUMIF('09월 에너지'!$A$14:$A$949,$A14,'09월 에너지'!M$14:M$949))</f>
        <v/>
      </c>
      <c r="CA14" s="948" t="str">
        <f>IF($B14&lt;1,"",SUMIF('09월 에너지'!$A$14:$A$949,$A14,'09월 에너지'!N$14:N$949))</f>
        <v/>
      </c>
      <c r="CB14" s="948" t="str">
        <f>IF($B14&lt;1,"",SUMIF('09월 에너지'!$A$14:$A$949,$A14,'09월 에너지'!O$14:O$949))</f>
        <v/>
      </c>
      <c r="CC14" s="948" t="str">
        <f>IF($B14&lt;1,"",SUMIF('09월 에너지'!$A$14:$A$949,$A14,'09월 에너지'!P$14:P$949))</f>
        <v/>
      </c>
      <c r="CD14" s="948" t="str">
        <f>IF($B14&lt;1,"",SUMIF('09월 에너지'!$A$14:$A$949,$A14,'09월 에너지'!Q$14:Q$949))</f>
        <v/>
      </c>
      <c r="CE14" s="948" t="str">
        <f>IF($B14&lt;1,"",SUMIF('09월 에너지'!$A$14:$A$949,$A14,'09월 에너지'!R$14:R$949))</f>
        <v/>
      </c>
      <c r="CF14" s="948" t="str">
        <f>IF($B14&lt;1,"",SUMIF('09월 에너지'!$A$14:$A$949,$A14,'09월 에너지'!S$14:S$949))</f>
        <v/>
      </c>
      <c r="CG14" s="954" t="str">
        <f>IF($B14&lt;1,"",SUMIF('09월 에너지'!$A$14:$A$949,$A14,'09월 에너지'!T$14:T$949))</f>
        <v/>
      </c>
      <c r="CH14" s="954" t="str">
        <f>IF($B14&lt;1,"",SUMIF('09월 에너지'!$A$14:$A$949,$A14,'09월 에너지'!U$14:U$949))</f>
        <v/>
      </c>
      <c r="CI14" s="954" t="str">
        <f>IF($B14&lt;1,"",SUMIF('09월 에너지'!$A$14:$A$949,$A14,'09월 에너지'!V$14:V$949))</f>
        <v/>
      </c>
      <c r="CJ14" s="954" t="str">
        <f>IF($B14&lt;1,"",SUMIF('09월 에너지'!$A$14:$A$949,$A14,'09월 에너지'!W$14:W$949))</f>
        <v/>
      </c>
      <c r="CK14" s="954" t="str">
        <f>IF($B14&lt;1,"",SUMIF('09월 에너지'!$A$14:$A$949,$A14,'09월 에너지'!X$14:X$949))</f>
        <v/>
      </c>
      <c r="CL14" s="954" t="str">
        <f>IF($B14&lt;1,"",SUMIF('09월 에너지'!$A$14:$A$949,$A14,'09월 에너지'!Y$14:Y$949))</f>
        <v/>
      </c>
      <c r="CM14" s="954" t="str">
        <f>IF($B14&lt;1,"",SUMIF('09월 에너지'!$A$14:$A$949,$A14,'09월 에너지'!Z$14:Z$949))</f>
        <v/>
      </c>
      <c r="CN14" s="954" t="str">
        <f>IF($B14&lt;1,"",SUMIF('09월 에너지'!$A$14:$A$949,$A14,'09월 에너지'!AA$14:AA$949))</f>
        <v/>
      </c>
      <c r="CO14" s="954" t="str">
        <f>IF($B14&lt;1,"",SUMIF('09월 에너지'!$A$14:$A$949,$A14,'09월 에너지'!AB$14:AB$949))</f>
        <v/>
      </c>
      <c r="CP14" s="954" t="str">
        <f>IF($B14&lt;1,"",SUMIF('09월 에너지'!$A$14:$A$949,$A14,'09월 에너지'!AC$14:AC$949))</f>
        <v/>
      </c>
      <c r="CQ14" s="955" t="str">
        <f>IF($B14&lt;1,"",SUMIF('09월 에너지'!$A$14:$A$949,$A14,'09월 에너지'!AD$14:AD$949))</f>
        <v/>
      </c>
      <c r="CR14" s="955" t="str">
        <f>IF($B14&lt;1,"",SUMIF('09월 에너지'!$A$14:$A$949,$A14,'09월 에너지'!AE$14:AE$949))</f>
        <v/>
      </c>
      <c r="CS14" s="948" t="str">
        <f>IF($B14&lt;1,"",SUMIF('09월 에너지'!$A$14:$A$949,$A14,'09월 에너지'!AF$14:AF$949))</f>
        <v/>
      </c>
      <c r="CT14" s="948" t="str">
        <f>IF($B14&lt;1,"",SUMIF('09월 에너지'!$A$14:$A$949,$A14,'09월 에너지'!AG$14:AG$949))</f>
        <v/>
      </c>
      <c r="CU14" s="948" t="str">
        <f>IF($B14&lt;1,"",SUMIF('09월 에너지'!$A$14:$A$949,$A14,'09월 에너지'!AH$14:AH$949))</f>
        <v/>
      </c>
      <c r="CV14" s="948" t="str">
        <f>IF($B14&lt;1,"",SUMIF('09월 에너지'!$A$14:$A$949,$A14,'09월 에너지'!AI$14:AI$949))</f>
        <v/>
      </c>
      <c r="CW14" s="956" t="str">
        <f>IF($B14&lt;1,"",SUMIF('09월 에너지'!$A$14:$A$949,$A14,'09월 에너지'!AJ$14:AJ$949))</f>
        <v/>
      </c>
    </row>
    <row r="15" spans="1:101" ht="15.75" customHeight="1">
      <c r="A15" s="939">
        <f t="shared" si="1"/>
        <v>44784</v>
      </c>
      <c r="B15" s="884">
        <f>COUNTIF('09월 조업일지'!$A$12:$A$952,A15)</f>
        <v>0</v>
      </c>
      <c r="C15" s="885" t="str">
        <f t="shared" si="0"/>
        <v/>
      </c>
      <c r="D15" s="885" t="str">
        <f>IF($B15&lt;1,"",(SUMIF('09월 조업일지'!$A$12:$A$952,$A15,'09월 조업일지'!$K$12:$K$952))/B15)</f>
        <v/>
      </c>
      <c r="E15" s="885" t="str">
        <f>IF($B15&lt;1,"",AVERAGEIF('09월 조업일지'!$A$12:$A$952,$A15,'09월 조업일지'!$J$12:$J$952))</f>
        <v/>
      </c>
      <c r="F15" s="940" t="str">
        <f>IF($B15&lt;1,"",AVERAGEIF('09월 에너지'!$A$14:$A$949,$A15,'09월 에너지'!$M$14:M$949))</f>
        <v/>
      </c>
      <c r="G15" s="887" t="str">
        <f>IF($B15&lt;1,"",AVERAGEIF('09월 조업일지'!$A$12:$A$952,$A15,'09월 조업일지'!$AJ$12:$AJ$952))</f>
        <v/>
      </c>
      <c r="H15" s="887" t="str">
        <f>IF($B15&lt;1,"",AVERAGEIF('09월 조업일지'!$A$12:$A$952,$A15,'09월 조업일지'!$AL$12:$AL$952))</f>
        <v/>
      </c>
      <c r="I15" s="941" t="str">
        <f>IF($B15&lt;1,"",AVERAGEIF('09월 화학성분'!$A$12:$A$949,$A15,'09월 화학성분'!G$12:G$949))</f>
        <v/>
      </c>
      <c r="J15" s="941" t="str">
        <f>IF($B15&lt;1,"",AVERAGEIF('09월 화학성분'!$A$12:$A$949,$A15,'09월 화학성분'!H$12:H$949))</f>
        <v/>
      </c>
      <c r="K15" s="941" t="str">
        <f>IF($B15&lt;1,"",AVERAGEIF('09월 화학성분'!$A$12:$A$949,$A15,'09월 화학성분'!I$12:I$949))</f>
        <v/>
      </c>
      <c r="L15" s="941" t="str">
        <f>IF($B15&lt;1,"",AVERAGEIF('09월 화학성분'!$A$12:$A$949,$A15,'09월 화학성분'!J$12:J$949))</f>
        <v/>
      </c>
      <c r="M15" s="941" t="str">
        <f>IF($B15&lt;1,"",AVERAGEIF('09월 화학성분'!$A$12:$A$949,$A15,'09월 화학성분'!K$12:K$949))</f>
        <v/>
      </c>
      <c r="N15" s="941" t="str">
        <f>IF($B15&lt;1,"",AVERAGEIF('09월 화학성분'!$A$12:$A$949,$A15,'09월 화학성분'!L$12:L$949))</f>
        <v/>
      </c>
      <c r="O15" s="941" t="str">
        <f>IF($B15&lt;1,"",AVERAGEIF('09월 화학성분'!$A$12:$A$949,$A15,'09월 화학성분'!M$12:M$949))</f>
        <v/>
      </c>
      <c r="P15" s="889" t="str">
        <f>IF($B15&lt;1,"",AVERAGEIF('09월 조업일지'!$A$12:$A$952,$A15,'09월 조업일지'!$AK$12:$AK$952))</f>
        <v/>
      </c>
      <c r="Q15" s="941" t="str">
        <f>IF($B15&lt;1,"",AVERAGEIF('09월 화학성분'!$A$12:$A$949,$A15,'09월 화학성분'!$G$12:$G$949))</f>
        <v/>
      </c>
      <c r="R15" s="889" t="str">
        <f>IF($B15&lt;1,"",AVERAGEIF('09월 조업일지'!$A$12:$A$952,$A15,'09월 조업일지'!$AI$12:$AI$952))</f>
        <v/>
      </c>
      <c r="S15" s="942" t="str">
        <f>IF($B15&lt;1,"",SUMIF('09월 화학성분'!$A$12:$A$949,$A15,'09월 화학성분'!$AM$12:$AM$949))</f>
        <v/>
      </c>
      <c r="T15" s="943" t="str">
        <f>IF($B15&lt;1,"",SUMIF('09월 화학성분'!$A$12:$A$949,$A15,'09월 화학성분'!N$12:N$949))</f>
        <v/>
      </c>
      <c r="U15" s="943" t="str">
        <f>IF($B15&lt;1,"",SUMIF('09월 화학성분'!$A$12:$A$949,$A15,'09월 화학성분'!O$12:O$949))</f>
        <v/>
      </c>
      <c r="V15" s="943" t="str">
        <f>IF($B15&lt;1,"",SUMIF('09월 화학성분'!$A$12:$A$949,$A15,'09월 화학성분'!P$12:P$949))</f>
        <v/>
      </c>
      <c r="W15" s="943" t="str">
        <f>IF($B15&lt;1,"",SUMIF('09월 화학성분'!$A$12:$A$949,$A15,'09월 화학성분'!Q$12:Q$949))</f>
        <v/>
      </c>
      <c r="X15" s="943" t="str">
        <f>IF($B15&lt;1,"",SUMIF('09월 화학성분'!$A$12:$A$949,$A15,'09월 화학성분'!R$12:R$949))</f>
        <v/>
      </c>
      <c r="Y15" s="943" t="str">
        <f>IF($B15&lt;1,"",SUMIF('09월 화학성분'!$A$12:$A$949,$A15,'09월 화학성분'!U$12:U$949))</f>
        <v/>
      </c>
      <c r="Z15" s="944" t="str">
        <f>IF($B15&lt;1,"",SUMIF('09월 화학성분'!$A$12:$A$949,$A15,'09월 화학성분'!V$12:V$949))</f>
        <v/>
      </c>
      <c r="AA15" s="944" t="str">
        <f>IF($B15&lt;1,"",SUMIF('09월 화학성분'!$A$12:$A$949,$A15,'09월 화학성분'!W$12:W$949))</f>
        <v/>
      </c>
      <c r="AB15" s="944" t="str">
        <f>IF($B15&lt;1,"",SUMIF('09월 화학성분'!$A$12:$A$949,$A15,'09월 화학성분'!AA$12:AA$949))</f>
        <v/>
      </c>
      <c r="AC15" s="944"/>
      <c r="AD15" s="945" t="str">
        <f>IF($B15&lt;1,"",SUMIF('09월 화학성분'!$A$12:$A$949,$A15,'09월 화학성분'!AB$12:AB$949))</f>
        <v/>
      </c>
      <c r="AE15" s="945" t="str">
        <f>IF($B15&lt;1,"",SUMIF('09월 화학성분'!$A$12:$A$949,$A15,'09월 화학성분'!AC$12:AC$949))</f>
        <v/>
      </c>
      <c r="AF15" s="945" t="str">
        <f>IF($B15&lt;1,"",SUMIF('09월 화학성분'!$A$12:$A$949,$A15,'09월 화학성분'!AD$12:AD$949))</f>
        <v/>
      </c>
      <c r="AG15" s="945"/>
      <c r="AH15" s="945" t="str">
        <f>IF($B15&lt;1,"",SUMIF('09월 화학성분'!$A$12:$A$949,$A15,'09월 화학성분'!AG$12:AG$949))</f>
        <v/>
      </c>
      <c r="AI15" s="945" t="str">
        <f>IF($B15&lt;1,"",SUMIF('09월 화학성분'!$A$12:$A$949,$A15,'09월 화학성분'!AH$12:AH$949))</f>
        <v/>
      </c>
      <c r="AJ15" s="945" t="str">
        <f>IF($B15&lt;1,"",SUMIF('09월 화학성분'!$A$12:$A$949,$A15,'09월 화학성분'!AI$12:AI$949))</f>
        <v/>
      </c>
      <c r="AK15" s="945" t="str">
        <f>IF($B15&lt;1,"",SUMIF('09월 화학성분'!$A$12:$A$949,$A15,'09월 화학성분'!AJ$12:AJ$949))</f>
        <v/>
      </c>
      <c r="AL15" s="945" t="str">
        <f>IF($B15&lt;1,"",SUMIF('09월 화학성분'!$A$12:$A$949,$A15,'09월 화학성분'!#REF!))</f>
        <v/>
      </c>
      <c r="AM15" s="945" t="str">
        <f>IF($B15&lt;1,"",SUMIF('09월 화학성분'!$A$12:$A$949,$A15,'09월 화학성분'!AL$12:AL$949))</f>
        <v/>
      </c>
      <c r="AN15" s="946" t="str">
        <f>IF($B15&lt;1,"",SUMIF('09월 화학성분'!$A$12:$A$949,$A15,'09월 화학성분'!AM$12:AM$949))</f>
        <v/>
      </c>
      <c r="AO15" s="947" t="str">
        <f>IF($B15&lt;1,"",AVERAGEIF('09월 화학성분'!$A$12:$A$949,$A15,'09월 화학성분'!AN$12:AN$949))</f>
        <v/>
      </c>
      <c r="AP15" s="947" t="str">
        <f>IF($B15&lt;1,"",AVERAGEIF('09월 화학성분'!$A$12:$A$949,$A15,'09월 화학성분'!AO$12:AO$949))</f>
        <v/>
      </c>
      <c r="AQ15" s="948" t="str">
        <f>IF($B15&lt;1,"",SUMIF('09월 화학성분'!$A$12:$A$949,$A15,'09월 화학성분'!AP$12:AP$949))</f>
        <v/>
      </c>
      <c r="AR15" s="949" t="str">
        <f>IF($B15&lt;1,"",SUMIF('09월 고철장입'!$A$14:$A$949,$A15,'09월 고철장입'!G$14:G$949)/1000)</f>
        <v/>
      </c>
      <c r="AS15" s="949" t="str">
        <f>IF($B15&lt;1,"",SUMIF('09월 고철장입'!$A$14:$A$949,$A15,'09월 고철장입'!H$14:H$949)/1000)</f>
        <v/>
      </c>
      <c r="AT15" s="949" t="str">
        <f>IF($B15&lt;1,"",SUMIF('09월 고철장입'!$A$14:$A$949,$A15,'09월 고철장입'!I$14:I$949)/1000)</f>
        <v/>
      </c>
      <c r="AU15" s="949" t="str">
        <f>IF($B15&lt;1,"",SUMIF('09월 고철장입'!$A$14:$A$949,$A15,'09월 고철장입'!J$14:J$949)/1000)</f>
        <v/>
      </c>
      <c r="AV15" s="949" t="str">
        <f>IF($B15&lt;1,"",SUMIF('09월 고철장입'!$A$14:$A$949,$A15,'09월 고철장입'!K$14:K$949)/1000)</f>
        <v/>
      </c>
      <c r="AW15" s="949" t="str">
        <f>IF($B15&lt;1,"",SUMIF('09월 고철장입'!$A$14:$A$949,$A15,'09월 고철장입'!L$14:L$949)/1000)</f>
        <v/>
      </c>
      <c r="AX15" s="949" t="str">
        <f>IF($B15&lt;1,"",SUMIF('09월 고철장입'!$A$14:$A$949,$A15,'09월 고철장입'!M$14:M$949)/1000)</f>
        <v/>
      </c>
      <c r="AY15" s="949" t="str">
        <f>IF($B15&lt;1,"",SUMIF('09월 고철장입'!$A$14:$A$949,$A15,'09월 고철장입'!N$14:N$949)/1000)</f>
        <v/>
      </c>
      <c r="AZ15" s="949" t="str">
        <f>IF($B15&lt;1,"",SUMIF('09월 고철장입'!$A$14:$A$949,$A15,'09월 고철장입'!O$14:O$949)/1000)</f>
        <v/>
      </c>
      <c r="BA15" s="950" t="str">
        <f>IF($B15&lt;1,"",SUMIF('09월 고철장입'!$A$14:$A$949,$A15,'09월 고철장입'!P$14:P$949)/1000)</f>
        <v/>
      </c>
      <c r="BB15" s="950" t="str">
        <f>IF($B15&lt;1,"",SUMIF('09월 고철장입'!$A$14:$A$949,$A15,'09월 고철장입'!Q$14:Q$949)/1000)</f>
        <v/>
      </c>
      <c r="BC15" s="950" t="str">
        <f>IF($B15&lt;1,"",SUMIF('09월 고철장입'!$A$14:$A$949,$A15,'09월 고철장입'!S$14:S$949)/1000)</f>
        <v/>
      </c>
      <c r="BD15" s="950" t="str">
        <f>IF($B15&lt;1,"",SUMIF('09월 고철장입'!$A$14:$A$949,$A15,'09월 고철장입'!T$14:T$949)/1000)</f>
        <v/>
      </c>
      <c r="BE15" s="950" t="str">
        <f>IF($B15&lt;1,"",SUMIF('09월 고철장입'!$A$14:$A$949,$A15,'09월 고철장입'!U$14:U$949)/1000)</f>
        <v/>
      </c>
      <c r="BF15" s="950" t="str">
        <f>IF($B15&lt;1,"",SUMIF('09월 고철장입'!$A$14:$A$949,$A15,'09월 고철장입'!V$14:V$949)/1000)</f>
        <v/>
      </c>
      <c r="BG15" s="950" t="str">
        <f>IF($B15&lt;1,"",SUMIF('09월 고철장입'!$A$14:$A$949,$A15,'09월 고철장입'!W$14:W$949)/1000)</f>
        <v/>
      </c>
      <c r="BH15" s="950" t="str">
        <f>IF($B15&lt;1,"",SUMIF('09월 고철장입'!$A$14:$A$949,$A15,'09월 고철장입'!Y$14:Y$949)/1000)</f>
        <v/>
      </c>
      <c r="BI15" s="950" t="str">
        <f>IF($B15&lt;1,"",SUMIF('09월 고철장입'!$A$14:$A$949,$A15,'09월 고철장입'!AB$14:AB$949)/1000)</f>
        <v/>
      </c>
      <c r="BJ15" s="950" t="str">
        <f>IF($B15&lt;1,"",SUMIF('09월 고철장입'!$A$14:$A$949,$A15,'09월 고철장입'!AC$14:AC$949)/1000)</f>
        <v/>
      </c>
      <c r="BK15" s="950" t="str">
        <f>IF($B15&lt;1,"",SUMIF('09월 고철장입'!$A$14:$A$949,$A15,'09월 고철장입'!AD$14:AD$949)/1000)</f>
        <v/>
      </c>
      <c r="BL15" s="950" t="str">
        <f>IF($B15&lt;1,"",SUMIF('09월 고철장입'!$A$14:$A$949,$A15,'09월 고철장입'!AE$14:AE$949)/1000)</f>
        <v/>
      </c>
      <c r="BM15" s="951" t="str">
        <f>IF($B15&lt;1,"",SUMIF('09월 고철장입'!$A$14:$A$949,$A15,'09월 고철장입'!AF$14:AF$949)/1000)</f>
        <v/>
      </c>
      <c r="BN15" s="951" t="str">
        <f>IF($B15&lt;1,"",SUMIF('09월 고철장입'!$A$14:$A$949,$A15,'09월 고철장입'!AG$14:AG$949)/1000)</f>
        <v/>
      </c>
      <c r="BO15" s="951" t="str">
        <f>IF($B15&lt;1,"",SUMIF('09월 고철장입'!$A$14:$A$949,$A15,'09월 고철장입'!AH$14:AH$949)/1000)</f>
        <v/>
      </c>
      <c r="BP15" s="951" t="str">
        <f>IF($B15&lt;1,"",SUMIF('09월 고철장입'!$A$14:$A$949,$A15,'09월 고철장입'!AI$14:AI$949)/1000)</f>
        <v/>
      </c>
      <c r="BQ15" s="952" t="str">
        <f>IF($B15&lt;1,"",SUMIF('09월 고철장입'!$A$14:$A$949,$A15,'09월 고철장입'!AJ$14:AJ$949)/1000)</f>
        <v/>
      </c>
      <c r="BR15" s="952" t="str">
        <f>IF($B15&lt;1,"",SUMIF('09월 고철장입'!$A$14:$A$949,$A15,'09월 고철장입'!AK$14:AK$949))</f>
        <v/>
      </c>
      <c r="BS15" s="953" t="str">
        <f>IF($B15&lt;1,"",AVERAGEIF('09월 고철장입'!$A$14:$A$949,$A15,'09월 고철장입'!AL$14:AL$949)*100)</f>
        <v/>
      </c>
      <c r="BT15" s="948" t="str">
        <f>IF($B15&lt;1,"",SUMIF('09월 에너지'!$A$14:$A$949,$A15,'09월 에너지'!G$14:G$949))</f>
        <v/>
      </c>
      <c r="BU15" s="948" t="str">
        <f>IF($B15&lt;1,"",SUMIF('09월 에너지'!$A$14:$A$949,$A15,'09월 에너지'!H$14:H$949))</f>
        <v/>
      </c>
      <c r="BV15" s="948" t="str">
        <f>IF($B15&lt;1,"",SUMIF('09월 에너지'!$A$14:$A$949,$A15,'09월 에너지'!I$14:I$949))</f>
        <v/>
      </c>
      <c r="BW15" s="948" t="str">
        <f>IF($B15&lt;1,"",SUMIF('09월 에너지'!$A$14:$A$949,$A15,'09월 에너지'!J$14:J$949))</f>
        <v/>
      </c>
      <c r="BX15" s="948" t="str">
        <f>IF($B15&lt;1,"",SUMIF('09월 에너지'!$A$14:$A$949,$A15,'09월 에너지'!K$14:K$949))</f>
        <v/>
      </c>
      <c r="BY15" s="948" t="str">
        <f>IF($B15&lt;1,"",SUMIF('09월 에너지'!$A$14:$A$949,$A15,'09월 에너지'!L$14:L$949))</f>
        <v/>
      </c>
      <c r="BZ15" s="948" t="str">
        <f>IF($B15&lt;1,"",SUMIF('09월 에너지'!$A$14:$A$949,$A15,'09월 에너지'!M$14:M$949))</f>
        <v/>
      </c>
      <c r="CA15" s="948" t="str">
        <f>IF($B15&lt;1,"",SUMIF('09월 에너지'!$A$14:$A$949,$A15,'09월 에너지'!N$14:N$949))</f>
        <v/>
      </c>
      <c r="CB15" s="948" t="str">
        <f>IF($B15&lt;1,"",SUMIF('09월 에너지'!$A$14:$A$949,$A15,'09월 에너지'!O$14:O$949))</f>
        <v/>
      </c>
      <c r="CC15" s="948" t="str">
        <f>IF($B15&lt;1,"",SUMIF('09월 에너지'!$A$14:$A$949,$A15,'09월 에너지'!P$14:P$949))</f>
        <v/>
      </c>
      <c r="CD15" s="948" t="str">
        <f>IF($B15&lt;1,"",SUMIF('09월 에너지'!$A$14:$A$949,$A15,'09월 에너지'!Q$14:Q$949))</f>
        <v/>
      </c>
      <c r="CE15" s="948" t="str">
        <f>IF($B15&lt;1,"",SUMIF('09월 에너지'!$A$14:$A$949,$A15,'09월 에너지'!R$14:R$949))</f>
        <v/>
      </c>
      <c r="CF15" s="948" t="str">
        <f>IF($B15&lt;1,"",SUMIF('09월 에너지'!$A$14:$A$949,$A15,'09월 에너지'!S$14:S$949))</f>
        <v/>
      </c>
      <c r="CG15" s="954" t="str">
        <f>IF($B15&lt;1,"",SUMIF('09월 에너지'!$A$14:$A$949,$A15,'09월 에너지'!T$14:T$949))</f>
        <v/>
      </c>
      <c r="CH15" s="954" t="str">
        <f>IF($B15&lt;1,"",SUMIF('09월 에너지'!$A$14:$A$949,$A15,'09월 에너지'!U$14:U$949))</f>
        <v/>
      </c>
      <c r="CI15" s="954" t="str">
        <f>IF($B15&lt;1,"",SUMIF('09월 에너지'!$A$14:$A$949,$A15,'09월 에너지'!V$14:V$949))</f>
        <v/>
      </c>
      <c r="CJ15" s="954" t="str">
        <f>IF($B15&lt;1,"",SUMIF('09월 에너지'!$A$14:$A$949,$A15,'09월 에너지'!W$14:W$949))</f>
        <v/>
      </c>
      <c r="CK15" s="954" t="str">
        <f>IF($B15&lt;1,"",SUMIF('09월 에너지'!$A$14:$A$949,$A15,'09월 에너지'!X$14:X$949))</f>
        <v/>
      </c>
      <c r="CL15" s="954" t="str">
        <f>IF($B15&lt;1,"",SUMIF('09월 에너지'!$A$14:$A$949,$A15,'09월 에너지'!Y$14:Y$949))</f>
        <v/>
      </c>
      <c r="CM15" s="954" t="str">
        <f>IF($B15&lt;1,"",SUMIF('09월 에너지'!$A$14:$A$949,$A15,'09월 에너지'!Z$14:Z$949))</f>
        <v/>
      </c>
      <c r="CN15" s="954" t="str">
        <f>IF($B15&lt;1,"",SUMIF('09월 에너지'!$A$14:$A$949,$A15,'09월 에너지'!AA$14:AA$949))</f>
        <v/>
      </c>
      <c r="CO15" s="954" t="str">
        <f>IF($B15&lt;1,"",SUMIF('09월 에너지'!$A$14:$A$949,$A15,'09월 에너지'!AB$14:AB$949))</f>
        <v/>
      </c>
      <c r="CP15" s="954" t="str">
        <f>IF($B15&lt;1,"",SUMIF('09월 에너지'!$A$14:$A$949,$A15,'09월 에너지'!AC$14:AC$949))</f>
        <v/>
      </c>
      <c r="CQ15" s="955" t="str">
        <f>IF($B15&lt;1,"",SUMIF('09월 에너지'!$A$14:$A$949,$A15,'09월 에너지'!AD$14:AD$949))</f>
        <v/>
      </c>
      <c r="CR15" s="955" t="str">
        <f>IF($B15&lt;1,"",SUMIF('09월 에너지'!$A$14:$A$949,$A15,'09월 에너지'!AE$14:AE$949))</f>
        <v/>
      </c>
      <c r="CS15" s="948" t="str">
        <f>IF($B15&lt;1,"",SUMIF('09월 에너지'!$A$14:$A$949,$A15,'09월 에너지'!AF$14:AF$949))</f>
        <v/>
      </c>
      <c r="CT15" s="948" t="str">
        <f>IF($B15&lt;1,"",SUMIF('09월 에너지'!$A$14:$A$949,$A15,'09월 에너지'!AG$14:AG$949))</f>
        <v/>
      </c>
      <c r="CU15" s="948" t="str">
        <f>IF($B15&lt;1,"",SUMIF('09월 에너지'!$A$14:$A$949,$A15,'09월 에너지'!AH$14:AH$949))</f>
        <v/>
      </c>
      <c r="CV15" s="948" t="str">
        <f>IF($B15&lt;1,"",SUMIF('09월 에너지'!$A$14:$A$949,$A15,'09월 에너지'!AI$14:AI$949))</f>
        <v/>
      </c>
      <c r="CW15" s="956" t="str">
        <f>IF($B15&lt;1,"",SUMIF('09월 에너지'!$A$14:$A$949,$A15,'09월 에너지'!AJ$14:AJ$949))</f>
        <v/>
      </c>
    </row>
    <row r="16" spans="1:101" ht="15.75" customHeight="1">
      <c r="A16" s="939">
        <f t="shared" si="1"/>
        <v>44785</v>
      </c>
      <c r="B16" s="884">
        <f>COUNTIF('09월 조업일지'!$A$12:$A$952,A16)</f>
        <v>0</v>
      </c>
      <c r="C16" s="885" t="str">
        <f t="shared" si="0"/>
        <v/>
      </c>
      <c r="D16" s="885" t="str">
        <f>IF($B16&lt;1,"",(SUMIF('09월 조업일지'!$A$12:$A$952,$A16,'09월 조업일지'!$K$12:$K$952))/B16)</f>
        <v/>
      </c>
      <c r="E16" s="885" t="str">
        <f>IF($B16&lt;1,"",AVERAGEIF('09월 조업일지'!$A$12:$A$952,$A16,'09월 조업일지'!$J$12:$J$952))</f>
        <v/>
      </c>
      <c r="F16" s="940" t="str">
        <f>IF($B16&lt;1,"",AVERAGEIF('09월 에너지'!$A$14:$A$949,$A16,'09월 에너지'!$M$14:M$949))</f>
        <v/>
      </c>
      <c r="G16" s="887" t="str">
        <f>IF($B16&lt;1,"",AVERAGEIF('09월 조업일지'!$A$12:$A$952,$A16,'09월 조업일지'!$AJ$12:$AJ$952))</f>
        <v/>
      </c>
      <c r="H16" s="887" t="str">
        <f>IF($B16&lt;1,"",AVERAGEIF('09월 조업일지'!$A$12:$A$952,$A16,'09월 조업일지'!$AL$12:$AL$952))</f>
        <v/>
      </c>
      <c r="I16" s="941" t="str">
        <f>IF($B16&lt;1,"",AVERAGEIF('09월 화학성분'!$A$12:$A$949,$A16,'09월 화학성분'!G$12:G$949))</f>
        <v/>
      </c>
      <c r="J16" s="941" t="str">
        <f>IF($B16&lt;1,"",AVERAGEIF('09월 화학성분'!$A$12:$A$949,$A16,'09월 화학성분'!H$12:H$949))</f>
        <v/>
      </c>
      <c r="K16" s="941" t="str">
        <f>IF($B16&lt;1,"",AVERAGEIF('09월 화학성분'!$A$12:$A$949,$A16,'09월 화학성분'!I$12:I$949))</f>
        <v/>
      </c>
      <c r="L16" s="941" t="str">
        <f>IF($B16&lt;1,"",AVERAGEIF('09월 화학성분'!$A$12:$A$949,$A16,'09월 화학성분'!J$12:J$949))</f>
        <v/>
      </c>
      <c r="M16" s="941" t="str">
        <f>IF($B16&lt;1,"",AVERAGEIF('09월 화학성분'!$A$12:$A$949,$A16,'09월 화학성분'!K$12:K$949))</f>
        <v/>
      </c>
      <c r="N16" s="941" t="str">
        <f>IF($B16&lt;1,"",AVERAGEIF('09월 화학성분'!$A$12:$A$949,$A16,'09월 화학성분'!L$12:L$949))</f>
        <v/>
      </c>
      <c r="O16" s="941" t="str">
        <f>IF($B16&lt;1,"",AVERAGEIF('09월 화학성분'!$A$12:$A$949,$A16,'09월 화학성분'!M$12:M$949))</f>
        <v/>
      </c>
      <c r="P16" s="889" t="str">
        <f>IF($B16&lt;1,"",AVERAGEIF('09월 조업일지'!$A$12:$A$952,$A16,'09월 조업일지'!$AK$12:$AK$952))</f>
        <v/>
      </c>
      <c r="Q16" s="941" t="str">
        <f>IF($B16&lt;1,"",AVERAGEIF('09월 화학성분'!$A$12:$A$949,$A16,'09월 화학성분'!$G$12:$G$949))</f>
        <v/>
      </c>
      <c r="R16" s="889" t="str">
        <f>IF($B16&lt;1,"",AVERAGEIF('09월 조업일지'!$A$12:$A$952,$A16,'09월 조업일지'!$AI$12:$AI$952))</f>
        <v/>
      </c>
      <c r="S16" s="942" t="str">
        <f>IF($B16&lt;1,"",SUMIF('09월 화학성분'!$A$12:$A$949,$A16,'09월 화학성분'!$AM$12:$AM$949))</f>
        <v/>
      </c>
      <c r="T16" s="943" t="str">
        <f>IF($B16&lt;1,"",SUMIF('09월 화학성분'!$A$12:$A$949,$A16,'09월 화학성분'!N$12:N$949))</f>
        <v/>
      </c>
      <c r="U16" s="943" t="str">
        <f>IF($B16&lt;1,"",SUMIF('09월 화학성분'!$A$12:$A$949,$A16,'09월 화학성분'!O$12:O$949))</f>
        <v/>
      </c>
      <c r="V16" s="943" t="str">
        <f>IF($B16&lt;1,"",SUMIF('09월 화학성분'!$A$12:$A$949,$A16,'09월 화학성분'!P$12:P$949))</f>
        <v/>
      </c>
      <c r="W16" s="943" t="str">
        <f>IF($B16&lt;1,"",SUMIF('09월 화학성분'!$A$12:$A$949,$A16,'09월 화학성분'!Q$12:Q$949))</f>
        <v/>
      </c>
      <c r="X16" s="943" t="str">
        <f>IF($B16&lt;1,"",SUMIF('09월 화학성분'!$A$12:$A$949,$A16,'09월 화학성분'!R$12:R$949))</f>
        <v/>
      </c>
      <c r="Y16" s="943" t="str">
        <f>IF($B16&lt;1,"",SUMIF('09월 화학성분'!$A$12:$A$949,$A16,'09월 화학성분'!U$12:U$949))</f>
        <v/>
      </c>
      <c r="Z16" s="944" t="str">
        <f>IF($B16&lt;1,"",SUMIF('09월 화학성분'!$A$12:$A$949,$A16,'09월 화학성분'!V$12:V$949))</f>
        <v/>
      </c>
      <c r="AA16" s="944" t="str">
        <f>IF($B16&lt;1,"",SUMIF('09월 화학성분'!$A$12:$A$949,$A16,'09월 화학성분'!W$12:W$949))</f>
        <v/>
      </c>
      <c r="AB16" s="944" t="str">
        <f>IF($B16&lt;1,"",SUMIF('09월 화학성분'!$A$12:$A$949,$A16,'09월 화학성분'!AA$12:AA$949))</f>
        <v/>
      </c>
      <c r="AC16" s="944"/>
      <c r="AD16" s="945" t="str">
        <f>IF($B16&lt;1,"",SUMIF('09월 화학성분'!$A$12:$A$949,$A16,'09월 화학성분'!AB$12:AB$949))</f>
        <v/>
      </c>
      <c r="AE16" s="945" t="str">
        <f>IF($B16&lt;1,"",SUMIF('09월 화학성분'!$A$12:$A$949,$A16,'09월 화학성분'!AC$12:AC$949))</f>
        <v/>
      </c>
      <c r="AF16" s="945" t="str">
        <f>IF($B16&lt;1,"",SUMIF('09월 화학성분'!$A$12:$A$949,$A16,'09월 화학성분'!AD$12:AD$949))</f>
        <v/>
      </c>
      <c r="AG16" s="945"/>
      <c r="AH16" s="945" t="str">
        <f>IF($B16&lt;1,"",SUMIF('09월 화학성분'!$A$12:$A$949,$A16,'09월 화학성분'!AG$12:AG$949))</f>
        <v/>
      </c>
      <c r="AI16" s="945" t="str">
        <f>IF($B16&lt;1,"",SUMIF('09월 화학성분'!$A$12:$A$949,$A16,'09월 화학성분'!AH$12:AH$949))</f>
        <v/>
      </c>
      <c r="AJ16" s="945" t="str">
        <f>IF($B16&lt;1,"",SUMIF('09월 화학성분'!$A$12:$A$949,$A16,'09월 화학성분'!AI$12:AI$949))</f>
        <v/>
      </c>
      <c r="AK16" s="945" t="str">
        <f>IF($B16&lt;1,"",SUMIF('09월 화학성분'!$A$12:$A$949,$A16,'09월 화학성분'!AJ$12:AJ$949))</f>
        <v/>
      </c>
      <c r="AL16" s="945" t="str">
        <f>IF($B16&lt;1,"",SUMIF('09월 화학성분'!$A$12:$A$949,$A16,'09월 화학성분'!#REF!))</f>
        <v/>
      </c>
      <c r="AM16" s="945" t="str">
        <f>IF($B16&lt;1,"",SUMIF('09월 화학성분'!$A$12:$A$949,$A16,'09월 화학성분'!AL$12:AL$949))</f>
        <v/>
      </c>
      <c r="AN16" s="946" t="str">
        <f>IF($B16&lt;1,"",SUMIF('09월 화학성분'!$A$12:$A$949,$A16,'09월 화학성분'!AM$12:AM$949))</f>
        <v/>
      </c>
      <c r="AO16" s="947" t="str">
        <f>IF($B16&lt;1,"",AVERAGEIF('09월 화학성분'!$A$12:$A$949,$A16,'09월 화학성분'!AN$12:AN$949))</f>
        <v/>
      </c>
      <c r="AP16" s="947" t="str">
        <f>IF($B16&lt;1,"",AVERAGEIF('09월 화학성분'!$A$12:$A$949,$A16,'09월 화학성분'!AO$12:AO$949))</f>
        <v/>
      </c>
      <c r="AQ16" s="948" t="str">
        <f>IF($B16&lt;1,"",SUMIF('09월 화학성분'!$A$12:$A$949,$A16,'09월 화학성분'!AP$12:AP$949))</f>
        <v/>
      </c>
      <c r="AR16" s="949" t="str">
        <f>IF($B16&lt;1,"",SUMIF('09월 고철장입'!$A$14:$A$949,$A16,'09월 고철장입'!G$14:G$949)/1000)</f>
        <v/>
      </c>
      <c r="AS16" s="949" t="str">
        <f>IF($B16&lt;1,"",SUMIF('09월 고철장입'!$A$14:$A$949,$A16,'09월 고철장입'!H$14:H$949)/1000)</f>
        <v/>
      </c>
      <c r="AT16" s="949" t="str">
        <f>IF($B16&lt;1,"",SUMIF('09월 고철장입'!$A$14:$A$949,$A16,'09월 고철장입'!I$14:I$949)/1000)</f>
        <v/>
      </c>
      <c r="AU16" s="949" t="str">
        <f>IF($B16&lt;1,"",SUMIF('09월 고철장입'!$A$14:$A$949,$A16,'09월 고철장입'!J$14:J$949)/1000)</f>
        <v/>
      </c>
      <c r="AV16" s="949" t="str">
        <f>IF($B16&lt;1,"",SUMIF('09월 고철장입'!$A$14:$A$949,$A16,'09월 고철장입'!K$14:K$949)/1000)</f>
        <v/>
      </c>
      <c r="AW16" s="949" t="str">
        <f>IF($B16&lt;1,"",SUMIF('09월 고철장입'!$A$14:$A$949,$A16,'09월 고철장입'!L$14:L$949)/1000)</f>
        <v/>
      </c>
      <c r="AX16" s="949" t="str">
        <f>IF($B16&lt;1,"",SUMIF('09월 고철장입'!$A$14:$A$949,$A16,'09월 고철장입'!M$14:M$949)/1000)</f>
        <v/>
      </c>
      <c r="AY16" s="949" t="str">
        <f>IF($B16&lt;1,"",SUMIF('09월 고철장입'!$A$14:$A$949,$A16,'09월 고철장입'!N$14:N$949)/1000)</f>
        <v/>
      </c>
      <c r="AZ16" s="949" t="str">
        <f>IF($B16&lt;1,"",SUMIF('09월 고철장입'!$A$14:$A$949,$A16,'09월 고철장입'!O$14:O$949)/1000)</f>
        <v/>
      </c>
      <c r="BA16" s="950" t="str">
        <f>IF($B16&lt;1,"",SUMIF('09월 고철장입'!$A$14:$A$949,$A16,'09월 고철장입'!P$14:P$949)/1000)</f>
        <v/>
      </c>
      <c r="BB16" s="950" t="str">
        <f>IF($B16&lt;1,"",SUMIF('09월 고철장입'!$A$14:$A$949,$A16,'09월 고철장입'!Q$14:Q$949)/1000)</f>
        <v/>
      </c>
      <c r="BC16" s="950" t="str">
        <f>IF($B16&lt;1,"",SUMIF('09월 고철장입'!$A$14:$A$949,$A16,'09월 고철장입'!S$14:S$949)/1000)</f>
        <v/>
      </c>
      <c r="BD16" s="950" t="str">
        <f>IF($B16&lt;1,"",SUMIF('09월 고철장입'!$A$14:$A$949,$A16,'09월 고철장입'!T$14:T$949)/1000)</f>
        <v/>
      </c>
      <c r="BE16" s="950" t="str">
        <f>IF($B16&lt;1,"",SUMIF('09월 고철장입'!$A$14:$A$949,$A16,'09월 고철장입'!U$14:U$949)/1000)</f>
        <v/>
      </c>
      <c r="BF16" s="950" t="str">
        <f>IF($B16&lt;1,"",SUMIF('09월 고철장입'!$A$14:$A$949,$A16,'09월 고철장입'!V$14:V$949)/1000)</f>
        <v/>
      </c>
      <c r="BG16" s="950" t="str">
        <f>IF($B16&lt;1,"",SUMIF('09월 고철장입'!$A$14:$A$949,$A16,'09월 고철장입'!W$14:W$949)/1000)</f>
        <v/>
      </c>
      <c r="BH16" s="950" t="str">
        <f>IF($B16&lt;1,"",SUMIF('09월 고철장입'!$A$14:$A$949,$A16,'09월 고철장입'!Y$14:Y$949)/1000)</f>
        <v/>
      </c>
      <c r="BI16" s="950" t="str">
        <f>IF($B16&lt;1,"",SUMIF('09월 고철장입'!$A$14:$A$949,$A16,'09월 고철장입'!AB$14:AB$949)/1000)</f>
        <v/>
      </c>
      <c r="BJ16" s="950" t="str">
        <f>IF($B16&lt;1,"",SUMIF('09월 고철장입'!$A$14:$A$949,$A16,'09월 고철장입'!AC$14:AC$949)/1000)</f>
        <v/>
      </c>
      <c r="BK16" s="950" t="str">
        <f>IF($B16&lt;1,"",SUMIF('09월 고철장입'!$A$14:$A$949,$A16,'09월 고철장입'!AD$14:AD$949)/1000)</f>
        <v/>
      </c>
      <c r="BL16" s="950" t="str">
        <f>IF($B16&lt;1,"",SUMIF('09월 고철장입'!$A$14:$A$949,$A16,'09월 고철장입'!AE$14:AE$949)/1000)</f>
        <v/>
      </c>
      <c r="BM16" s="951" t="str">
        <f>IF($B16&lt;1,"",SUMIF('09월 고철장입'!$A$14:$A$949,$A16,'09월 고철장입'!AF$14:AF$949)/1000)</f>
        <v/>
      </c>
      <c r="BN16" s="951" t="str">
        <f>IF($B16&lt;1,"",SUMIF('09월 고철장입'!$A$14:$A$949,$A16,'09월 고철장입'!AG$14:AG$949)/1000)</f>
        <v/>
      </c>
      <c r="BO16" s="951" t="str">
        <f>IF($B16&lt;1,"",SUMIF('09월 고철장입'!$A$14:$A$949,$A16,'09월 고철장입'!AH$14:AH$949)/1000)</f>
        <v/>
      </c>
      <c r="BP16" s="951" t="str">
        <f>IF($B16&lt;1,"",SUMIF('09월 고철장입'!$A$14:$A$949,$A16,'09월 고철장입'!AI$14:AI$949)/1000)</f>
        <v/>
      </c>
      <c r="BQ16" s="952" t="str">
        <f>IF($B16&lt;1,"",SUMIF('09월 고철장입'!$A$14:$A$949,$A16,'09월 고철장입'!AJ$14:AJ$949)/1000)</f>
        <v/>
      </c>
      <c r="BR16" s="952" t="str">
        <f>IF($B16&lt;1,"",SUMIF('09월 고철장입'!$A$14:$A$949,$A16,'09월 고철장입'!AK$14:AK$949))</f>
        <v/>
      </c>
      <c r="BS16" s="953" t="str">
        <f>IF($B16&lt;1,"",AVERAGEIF('09월 고철장입'!$A$14:$A$949,$A16,'09월 고철장입'!AL$14:AL$949)*100)</f>
        <v/>
      </c>
      <c r="BT16" s="948" t="str">
        <f>IF($B16&lt;1,"",SUMIF('09월 에너지'!$A$14:$A$949,$A16,'09월 에너지'!G$14:G$949))</f>
        <v/>
      </c>
      <c r="BU16" s="948" t="str">
        <f>IF($B16&lt;1,"",SUMIF('09월 에너지'!$A$14:$A$949,$A16,'09월 에너지'!H$14:H$949))</f>
        <v/>
      </c>
      <c r="BV16" s="948" t="str">
        <f>IF($B16&lt;1,"",SUMIF('09월 에너지'!$A$14:$A$949,$A16,'09월 에너지'!I$14:I$949))</f>
        <v/>
      </c>
      <c r="BW16" s="948" t="str">
        <f>IF($B16&lt;1,"",SUMIF('09월 에너지'!$A$14:$A$949,$A16,'09월 에너지'!J$14:J$949))</f>
        <v/>
      </c>
      <c r="BX16" s="948" t="str">
        <f>IF($B16&lt;1,"",SUMIF('09월 에너지'!$A$14:$A$949,$A16,'09월 에너지'!K$14:K$949))</f>
        <v/>
      </c>
      <c r="BY16" s="948" t="str">
        <f>IF($B16&lt;1,"",SUMIF('09월 에너지'!$A$14:$A$949,$A16,'09월 에너지'!L$14:L$949))</f>
        <v/>
      </c>
      <c r="BZ16" s="948" t="str">
        <f>IF($B16&lt;1,"",SUMIF('09월 에너지'!$A$14:$A$949,$A16,'09월 에너지'!M$14:M$949))</f>
        <v/>
      </c>
      <c r="CA16" s="948" t="str">
        <f>IF($B16&lt;1,"",SUMIF('09월 에너지'!$A$14:$A$949,$A16,'09월 에너지'!N$14:N$949))</f>
        <v/>
      </c>
      <c r="CB16" s="948" t="str">
        <f>IF($B16&lt;1,"",SUMIF('09월 에너지'!$A$14:$A$949,$A16,'09월 에너지'!O$14:O$949))</f>
        <v/>
      </c>
      <c r="CC16" s="948" t="str">
        <f>IF($B16&lt;1,"",SUMIF('09월 에너지'!$A$14:$A$949,$A16,'09월 에너지'!P$14:P$949))</f>
        <v/>
      </c>
      <c r="CD16" s="948" t="str">
        <f>IF($B16&lt;1,"",SUMIF('09월 에너지'!$A$14:$A$949,$A16,'09월 에너지'!Q$14:Q$949))</f>
        <v/>
      </c>
      <c r="CE16" s="948" t="str">
        <f>IF($B16&lt;1,"",SUMIF('09월 에너지'!$A$14:$A$949,$A16,'09월 에너지'!R$14:R$949))</f>
        <v/>
      </c>
      <c r="CF16" s="948" t="str">
        <f>IF($B16&lt;1,"",SUMIF('09월 에너지'!$A$14:$A$949,$A16,'09월 에너지'!S$14:S$949))</f>
        <v/>
      </c>
      <c r="CG16" s="954" t="str">
        <f>IF($B16&lt;1,"",SUMIF('09월 에너지'!$A$14:$A$949,$A16,'09월 에너지'!T$14:T$949))</f>
        <v/>
      </c>
      <c r="CH16" s="954" t="str">
        <f>IF($B16&lt;1,"",SUMIF('09월 에너지'!$A$14:$A$949,$A16,'09월 에너지'!U$14:U$949))</f>
        <v/>
      </c>
      <c r="CI16" s="954" t="str">
        <f>IF($B16&lt;1,"",SUMIF('09월 에너지'!$A$14:$A$949,$A16,'09월 에너지'!V$14:V$949))</f>
        <v/>
      </c>
      <c r="CJ16" s="954" t="str">
        <f>IF($B16&lt;1,"",SUMIF('09월 에너지'!$A$14:$A$949,$A16,'09월 에너지'!W$14:W$949))</f>
        <v/>
      </c>
      <c r="CK16" s="954" t="str">
        <f>IF($B16&lt;1,"",SUMIF('09월 에너지'!$A$14:$A$949,$A16,'09월 에너지'!X$14:X$949))</f>
        <v/>
      </c>
      <c r="CL16" s="954" t="str">
        <f>IF($B16&lt;1,"",SUMIF('09월 에너지'!$A$14:$A$949,$A16,'09월 에너지'!Y$14:Y$949))</f>
        <v/>
      </c>
      <c r="CM16" s="954" t="str">
        <f>IF($B16&lt;1,"",SUMIF('09월 에너지'!$A$14:$A$949,$A16,'09월 에너지'!Z$14:Z$949))</f>
        <v/>
      </c>
      <c r="CN16" s="954" t="str">
        <f>IF($B16&lt;1,"",SUMIF('09월 에너지'!$A$14:$A$949,$A16,'09월 에너지'!AA$14:AA$949))</f>
        <v/>
      </c>
      <c r="CO16" s="954" t="str">
        <f>IF($B16&lt;1,"",SUMIF('09월 에너지'!$A$14:$A$949,$A16,'09월 에너지'!AB$14:AB$949))</f>
        <v/>
      </c>
      <c r="CP16" s="954" t="str">
        <f>IF($B16&lt;1,"",SUMIF('09월 에너지'!$A$14:$A$949,$A16,'09월 에너지'!AC$14:AC$949))</f>
        <v/>
      </c>
      <c r="CQ16" s="955" t="str">
        <f>IF($B16&lt;1,"",SUMIF('09월 에너지'!$A$14:$A$949,$A16,'09월 에너지'!AD$14:AD$949))</f>
        <v/>
      </c>
      <c r="CR16" s="955" t="str">
        <f>IF($B16&lt;1,"",SUMIF('09월 에너지'!$A$14:$A$949,$A16,'09월 에너지'!AE$14:AE$949))</f>
        <v/>
      </c>
      <c r="CS16" s="948" t="str">
        <f>IF($B16&lt;1,"",SUMIF('09월 에너지'!$A$14:$A$949,$A16,'09월 에너지'!AF$14:AF$949))</f>
        <v/>
      </c>
      <c r="CT16" s="948" t="str">
        <f>IF($B16&lt;1,"",SUMIF('09월 에너지'!$A$14:$A$949,$A16,'09월 에너지'!AG$14:AG$949))</f>
        <v/>
      </c>
      <c r="CU16" s="948" t="str">
        <f>IF($B16&lt;1,"",SUMIF('09월 에너지'!$A$14:$A$949,$A16,'09월 에너지'!AH$14:AH$949))</f>
        <v/>
      </c>
      <c r="CV16" s="948" t="str">
        <f>IF($B16&lt;1,"",SUMIF('09월 에너지'!$A$14:$A$949,$A16,'09월 에너지'!AI$14:AI$949))</f>
        <v/>
      </c>
      <c r="CW16" s="956" t="str">
        <f>IF($B16&lt;1,"",SUMIF('09월 에너지'!$A$14:$A$949,$A16,'09월 에너지'!AJ$14:AJ$949))</f>
        <v/>
      </c>
    </row>
    <row r="17" spans="1:101" ht="15.75" customHeight="1">
      <c r="A17" s="939">
        <f t="shared" si="1"/>
        <v>44786</v>
      </c>
      <c r="B17" s="884">
        <f>COUNTIF('09월 조업일지'!$A$12:$A$952,A17)</f>
        <v>0</v>
      </c>
      <c r="C17" s="885" t="str">
        <f t="shared" si="0"/>
        <v/>
      </c>
      <c r="D17" s="885" t="str">
        <f>IF($B17&lt;1,"",(SUMIF('09월 조업일지'!$A$12:$A$952,$A17,'09월 조업일지'!$K$12:$K$952))/B17)</f>
        <v/>
      </c>
      <c r="E17" s="885" t="str">
        <f>IF($B17&lt;1,"",AVERAGEIF('09월 조업일지'!$A$12:$A$952,$A17,'09월 조업일지'!$J$12:$J$952))</f>
        <v/>
      </c>
      <c r="F17" s="940" t="str">
        <f>IF($B17&lt;1,"",AVERAGEIF('09월 에너지'!$A$14:$A$949,$A17,'09월 에너지'!$M$14:M$949))</f>
        <v/>
      </c>
      <c r="G17" s="887" t="str">
        <f>IF($B17&lt;1,"",AVERAGEIF('09월 조업일지'!$A$12:$A$952,$A17,'09월 조업일지'!$AJ$12:$AJ$952))</f>
        <v/>
      </c>
      <c r="H17" s="887" t="str">
        <f>IF($B17&lt;1,"",AVERAGEIF('09월 조업일지'!$A$12:$A$952,$A17,'09월 조업일지'!$AL$12:$AL$952))</f>
        <v/>
      </c>
      <c r="I17" s="941" t="str">
        <f>IF($B17&lt;1,"",AVERAGEIF('09월 화학성분'!$A$12:$A$949,$A17,'09월 화학성분'!G$12:G$949))</f>
        <v/>
      </c>
      <c r="J17" s="941" t="str">
        <f>IF($B17&lt;1,"",AVERAGEIF('09월 화학성분'!$A$12:$A$949,$A17,'09월 화학성분'!H$12:H$949))</f>
        <v/>
      </c>
      <c r="K17" s="941" t="str">
        <f>IF($B17&lt;1,"",AVERAGEIF('09월 화학성분'!$A$12:$A$949,$A17,'09월 화학성분'!I$12:I$949))</f>
        <v/>
      </c>
      <c r="L17" s="941" t="str">
        <f>IF($B17&lt;1,"",AVERAGEIF('09월 화학성분'!$A$12:$A$949,$A17,'09월 화학성분'!J$12:J$949))</f>
        <v/>
      </c>
      <c r="M17" s="941" t="str">
        <f>IF($B17&lt;1,"",AVERAGEIF('09월 화학성분'!$A$12:$A$949,$A17,'09월 화학성분'!K$12:K$949))</f>
        <v/>
      </c>
      <c r="N17" s="941" t="str">
        <f>IF($B17&lt;1,"",AVERAGEIF('09월 화학성분'!$A$12:$A$949,$A17,'09월 화학성분'!L$12:L$949))</f>
        <v/>
      </c>
      <c r="O17" s="941" t="str">
        <f>IF($B17&lt;1,"",AVERAGEIF('09월 화학성분'!$A$12:$A$949,$A17,'09월 화학성분'!M$12:M$949))</f>
        <v/>
      </c>
      <c r="P17" s="889" t="str">
        <f>IF($B17&lt;1,"",AVERAGEIF('09월 조업일지'!$A$12:$A$952,$A17,'09월 조업일지'!$AK$12:$AK$952))</f>
        <v/>
      </c>
      <c r="Q17" s="941" t="str">
        <f>IF($B17&lt;1,"",AVERAGEIF('09월 화학성분'!$A$12:$A$949,$A17,'09월 화학성분'!$G$12:$G$949))</f>
        <v/>
      </c>
      <c r="R17" s="889" t="str">
        <f>IF($B17&lt;1,"",AVERAGEIF('09월 조업일지'!$A$12:$A$952,$A17,'09월 조업일지'!$AI$12:$AI$952))</f>
        <v/>
      </c>
      <c r="S17" s="942" t="str">
        <f>IF($B17&lt;1,"",SUMIF('09월 화학성분'!$A$12:$A$949,$A17,'09월 화학성분'!$AM$12:$AM$949))</f>
        <v/>
      </c>
      <c r="T17" s="943" t="str">
        <f>IF($B17&lt;1,"",SUMIF('09월 화학성분'!$A$12:$A$949,$A17,'09월 화학성분'!N$12:N$949))</f>
        <v/>
      </c>
      <c r="U17" s="943" t="str">
        <f>IF($B17&lt;1,"",SUMIF('09월 화학성분'!$A$12:$A$949,$A17,'09월 화학성분'!O$12:O$949))</f>
        <v/>
      </c>
      <c r="V17" s="943" t="str">
        <f>IF($B17&lt;1,"",SUMIF('09월 화학성분'!$A$12:$A$949,$A17,'09월 화학성분'!P$12:P$949))</f>
        <v/>
      </c>
      <c r="W17" s="943" t="str">
        <f>IF($B17&lt;1,"",SUMIF('09월 화학성분'!$A$12:$A$949,$A17,'09월 화학성분'!Q$12:Q$949))</f>
        <v/>
      </c>
      <c r="X17" s="943" t="str">
        <f>IF($B17&lt;1,"",SUMIF('09월 화학성분'!$A$12:$A$949,$A17,'09월 화학성분'!R$12:R$949))</f>
        <v/>
      </c>
      <c r="Y17" s="943" t="str">
        <f>IF($B17&lt;1,"",SUMIF('09월 화학성분'!$A$12:$A$949,$A17,'09월 화학성분'!U$12:U$949))</f>
        <v/>
      </c>
      <c r="Z17" s="944" t="str">
        <f>IF($B17&lt;1,"",SUMIF('09월 화학성분'!$A$12:$A$949,$A17,'09월 화학성분'!V$12:V$949))</f>
        <v/>
      </c>
      <c r="AA17" s="944" t="str">
        <f>IF($B17&lt;1,"",SUMIF('09월 화학성분'!$A$12:$A$949,$A17,'09월 화학성분'!W$12:W$949))</f>
        <v/>
      </c>
      <c r="AB17" s="944" t="str">
        <f>IF($B17&lt;1,"",SUMIF('09월 화학성분'!$A$12:$A$949,$A17,'09월 화학성분'!AA$12:AA$949))</f>
        <v/>
      </c>
      <c r="AC17" s="944"/>
      <c r="AD17" s="945" t="str">
        <f>IF($B17&lt;1,"",SUMIF('09월 화학성분'!$A$12:$A$949,$A17,'09월 화학성분'!AB$12:AB$949))</f>
        <v/>
      </c>
      <c r="AE17" s="945" t="str">
        <f>IF($B17&lt;1,"",SUMIF('09월 화학성분'!$A$12:$A$949,$A17,'09월 화학성분'!AC$12:AC$949))</f>
        <v/>
      </c>
      <c r="AF17" s="945" t="str">
        <f>IF($B17&lt;1,"",SUMIF('09월 화학성분'!$A$12:$A$949,$A17,'09월 화학성분'!AD$12:AD$949))</f>
        <v/>
      </c>
      <c r="AG17" s="945"/>
      <c r="AH17" s="945" t="str">
        <f>IF($B17&lt;1,"",SUMIF('09월 화학성분'!$A$12:$A$949,$A17,'09월 화학성분'!AG$12:AG$949))</f>
        <v/>
      </c>
      <c r="AI17" s="945" t="str">
        <f>IF($B17&lt;1,"",SUMIF('09월 화학성분'!$A$12:$A$949,$A17,'09월 화학성분'!AH$12:AH$949))</f>
        <v/>
      </c>
      <c r="AJ17" s="945" t="str">
        <f>IF($B17&lt;1,"",SUMIF('09월 화학성분'!$A$12:$A$949,$A17,'09월 화학성분'!AI$12:AI$949))</f>
        <v/>
      </c>
      <c r="AK17" s="945" t="str">
        <f>IF($B17&lt;1,"",SUMIF('09월 화학성분'!$A$12:$A$949,$A17,'09월 화학성분'!AJ$12:AJ$949))</f>
        <v/>
      </c>
      <c r="AL17" s="945" t="str">
        <f>IF($B17&lt;1,"",SUMIF('09월 화학성분'!$A$12:$A$949,$A17,'09월 화학성분'!#REF!))</f>
        <v/>
      </c>
      <c r="AM17" s="945" t="str">
        <f>IF($B17&lt;1,"",SUMIF('09월 화학성분'!$A$12:$A$949,$A17,'09월 화학성분'!AL$12:AL$949))</f>
        <v/>
      </c>
      <c r="AN17" s="946" t="str">
        <f>IF($B17&lt;1,"",SUMIF('09월 화학성분'!$A$12:$A$949,$A17,'09월 화학성분'!AM$12:AM$949))</f>
        <v/>
      </c>
      <c r="AO17" s="947" t="str">
        <f>IF($B17&lt;1,"",AVERAGEIF('09월 화학성분'!$A$12:$A$949,$A17,'09월 화학성분'!AN$12:AN$949))</f>
        <v/>
      </c>
      <c r="AP17" s="947" t="str">
        <f>IF($B17&lt;1,"",AVERAGEIF('09월 화학성분'!$A$12:$A$949,$A17,'09월 화학성분'!AO$12:AO$949))</f>
        <v/>
      </c>
      <c r="AQ17" s="948" t="str">
        <f>IF($B17&lt;1,"",SUMIF('09월 화학성분'!$A$12:$A$949,$A17,'09월 화학성분'!AP$12:AP$949))</f>
        <v/>
      </c>
      <c r="AR17" s="949" t="str">
        <f>IF($B17&lt;1,"",SUMIF('09월 고철장입'!$A$14:$A$949,$A17,'09월 고철장입'!G$14:G$949)/1000)</f>
        <v/>
      </c>
      <c r="AS17" s="949" t="str">
        <f>IF($B17&lt;1,"",SUMIF('09월 고철장입'!$A$14:$A$949,$A17,'09월 고철장입'!H$14:H$949)/1000)</f>
        <v/>
      </c>
      <c r="AT17" s="949" t="str">
        <f>IF($B17&lt;1,"",SUMIF('09월 고철장입'!$A$14:$A$949,$A17,'09월 고철장입'!I$14:I$949)/1000)</f>
        <v/>
      </c>
      <c r="AU17" s="949" t="str">
        <f>IF($B17&lt;1,"",SUMIF('09월 고철장입'!$A$14:$A$949,$A17,'09월 고철장입'!J$14:J$949)/1000)</f>
        <v/>
      </c>
      <c r="AV17" s="949" t="str">
        <f>IF($B17&lt;1,"",SUMIF('09월 고철장입'!$A$14:$A$949,$A17,'09월 고철장입'!K$14:K$949)/1000)</f>
        <v/>
      </c>
      <c r="AW17" s="949" t="str">
        <f>IF($B17&lt;1,"",SUMIF('09월 고철장입'!$A$14:$A$949,$A17,'09월 고철장입'!L$14:L$949)/1000)</f>
        <v/>
      </c>
      <c r="AX17" s="949" t="str">
        <f>IF($B17&lt;1,"",SUMIF('09월 고철장입'!$A$14:$A$949,$A17,'09월 고철장입'!M$14:M$949)/1000)</f>
        <v/>
      </c>
      <c r="AY17" s="949" t="str">
        <f>IF($B17&lt;1,"",SUMIF('09월 고철장입'!$A$14:$A$949,$A17,'09월 고철장입'!N$14:N$949)/1000)</f>
        <v/>
      </c>
      <c r="AZ17" s="949" t="str">
        <f>IF($B17&lt;1,"",SUMIF('09월 고철장입'!$A$14:$A$949,$A17,'09월 고철장입'!O$14:O$949)/1000)</f>
        <v/>
      </c>
      <c r="BA17" s="950" t="str">
        <f>IF($B17&lt;1,"",SUMIF('09월 고철장입'!$A$14:$A$949,$A17,'09월 고철장입'!P$14:P$949)/1000)</f>
        <v/>
      </c>
      <c r="BB17" s="950" t="str">
        <f>IF($B17&lt;1,"",SUMIF('09월 고철장입'!$A$14:$A$949,$A17,'09월 고철장입'!Q$14:Q$949)/1000)</f>
        <v/>
      </c>
      <c r="BC17" s="950" t="str">
        <f>IF($B17&lt;1,"",SUMIF('09월 고철장입'!$A$14:$A$949,$A17,'09월 고철장입'!S$14:S$949)/1000)</f>
        <v/>
      </c>
      <c r="BD17" s="950" t="str">
        <f>IF($B17&lt;1,"",SUMIF('09월 고철장입'!$A$14:$A$949,$A17,'09월 고철장입'!T$14:T$949)/1000)</f>
        <v/>
      </c>
      <c r="BE17" s="950" t="str">
        <f>IF($B17&lt;1,"",SUMIF('09월 고철장입'!$A$14:$A$949,$A17,'09월 고철장입'!U$14:U$949)/1000)</f>
        <v/>
      </c>
      <c r="BF17" s="950" t="str">
        <f>IF($B17&lt;1,"",SUMIF('09월 고철장입'!$A$14:$A$949,$A17,'09월 고철장입'!V$14:V$949)/1000)</f>
        <v/>
      </c>
      <c r="BG17" s="950" t="str">
        <f>IF($B17&lt;1,"",SUMIF('09월 고철장입'!$A$14:$A$949,$A17,'09월 고철장입'!W$14:W$949)/1000)</f>
        <v/>
      </c>
      <c r="BH17" s="950" t="str">
        <f>IF($B17&lt;1,"",SUMIF('09월 고철장입'!$A$14:$A$949,$A17,'09월 고철장입'!Y$14:Y$949)/1000)</f>
        <v/>
      </c>
      <c r="BI17" s="950" t="str">
        <f>IF($B17&lt;1,"",SUMIF('09월 고철장입'!$A$14:$A$949,$A17,'09월 고철장입'!AB$14:AB$949)/1000)</f>
        <v/>
      </c>
      <c r="BJ17" s="950" t="str">
        <f>IF($B17&lt;1,"",SUMIF('09월 고철장입'!$A$14:$A$949,$A17,'09월 고철장입'!AC$14:AC$949)/1000)</f>
        <v/>
      </c>
      <c r="BK17" s="950" t="str">
        <f>IF($B17&lt;1,"",SUMIF('09월 고철장입'!$A$14:$A$949,$A17,'09월 고철장입'!AD$14:AD$949)/1000)</f>
        <v/>
      </c>
      <c r="BL17" s="950" t="str">
        <f>IF($B17&lt;1,"",SUMIF('09월 고철장입'!$A$14:$A$949,$A17,'09월 고철장입'!AE$14:AE$949)/1000)</f>
        <v/>
      </c>
      <c r="BM17" s="951" t="str">
        <f>IF($B17&lt;1,"",SUMIF('09월 고철장입'!$A$14:$A$949,$A17,'09월 고철장입'!AF$14:AF$949)/1000)</f>
        <v/>
      </c>
      <c r="BN17" s="951" t="str">
        <f>IF($B17&lt;1,"",SUMIF('09월 고철장입'!$A$14:$A$949,$A17,'09월 고철장입'!AG$14:AG$949)/1000)</f>
        <v/>
      </c>
      <c r="BO17" s="951" t="str">
        <f>IF($B17&lt;1,"",SUMIF('09월 고철장입'!$A$14:$A$949,$A17,'09월 고철장입'!AH$14:AH$949)/1000)</f>
        <v/>
      </c>
      <c r="BP17" s="951" t="str">
        <f>IF($B17&lt;1,"",SUMIF('09월 고철장입'!$A$14:$A$949,$A17,'09월 고철장입'!AI$14:AI$949)/1000)</f>
        <v/>
      </c>
      <c r="BQ17" s="952" t="str">
        <f>IF($B17&lt;1,"",SUMIF('09월 고철장입'!$A$14:$A$949,$A17,'09월 고철장입'!AJ$14:AJ$949)/1000)</f>
        <v/>
      </c>
      <c r="BR17" s="952" t="str">
        <f>IF($B17&lt;1,"",SUMIF('09월 고철장입'!$A$14:$A$949,$A17,'09월 고철장입'!AK$14:AK$949))</f>
        <v/>
      </c>
      <c r="BS17" s="953" t="str">
        <f>IF($B17&lt;1,"",AVERAGEIF('09월 고철장입'!$A$14:$A$949,$A17,'09월 고철장입'!AL$14:AL$949)*100)</f>
        <v/>
      </c>
      <c r="BT17" s="948" t="str">
        <f>IF($B17&lt;1,"",SUMIF('09월 에너지'!$A$14:$A$949,$A17,'09월 에너지'!G$14:G$949))</f>
        <v/>
      </c>
      <c r="BU17" s="948" t="str">
        <f>IF($B17&lt;1,"",SUMIF('09월 에너지'!$A$14:$A$949,$A17,'09월 에너지'!H$14:H$949))</f>
        <v/>
      </c>
      <c r="BV17" s="948" t="str">
        <f>IF($B17&lt;1,"",SUMIF('09월 에너지'!$A$14:$A$949,$A17,'09월 에너지'!I$14:I$949))</f>
        <v/>
      </c>
      <c r="BW17" s="948" t="str">
        <f>IF($B17&lt;1,"",SUMIF('09월 에너지'!$A$14:$A$949,$A17,'09월 에너지'!J$14:J$949))</f>
        <v/>
      </c>
      <c r="BX17" s="948" t="str">
        <f>IF($B17&lt;1,"",SUMIF('09월 에너지'!$A$14:$A$949,$A17,'09월 에너지'!K$14:K$949))</f>
        <v/>
      </c>
      <c r="BY17" s="948" t="str">
        <f>IF($B17&lt;1,"",SUMIF('09월 에너지'!$A$14:$A$949,$A17,'09월 에너지'!L$14:L$949))</f>
        <v/>
      </c>
      <c r="BZ17" s="948" t="str">
        <f>IF($B17&lt;1,"",SUMIF('09월 에너지'!$A$14:$A$949,$A17,'09월 에너지'!M$14:M$949))</f>
        <v/>
      </c>
      <c r="CA17" s="948" t="str">
        <f>IF($B17&lt;1,"",SUMIF('09월 에너지'!$A$14:$A$949,$A17,'09월 에너지'!N$14:N$949))</f>
        <v/>
      </c>
      <c r="CB17" s="948" t="str">
        <f>IF($B17&lt;1,"",SUMIF('09월 에너지'!$A$14:$A$949,$A17,'09월 에너지'!O$14:O$949))</f>
        <v/>
      </c>
      <c r="CC17" s="948" t="str">
        <f>IF($B17&lt;1,"",SUMIF('09월 에너지'!$A$14:$A$949,$A17,'09월 에너지'!P$14:P$949))</f>
        <v/>
      </c>
      <c r="CD17" s="948" t="str">
        <f>IF($B17&lt;1,"",SUMIF('09월 에너지'!$A$14:$A$949,$A17,'09월 에너지'!Q$14:Q$949))</f>
        <v/>
      </c>
      <c r="CE17" s="948" t="str">
        <f>IF($B17&lt;1,"",SUMIF('09월 에너지'!$A$14:$A$949,$A17,'09월 에너지'!R$14:R$949))</f>
        <v/>
      </c>
      <c r="CF17" s="948" t="str">
        <f>IF($B17&lt;1,"",SUMIF('09월 에너지'!$A$14:$A$949,$A17,'09월 에너지'!S$14:S$949))</f>
        <v/>
      </c>
      <c r="CG17" s="954" t="str">
        <f>IF($B17&lt;1,"",SUMIF('09월 에너지'!$A$14:$A$949,$A17,'09월 에너지'!T$14:T$949))</f>
        <v/>
      </c>
      <c r="CH17" s="954" t="str">
        <f>IF($B17&lt;1,"",SUMIF('09월 에너지'!$A$14:$A$949,$A17,'09월 에너지'!U$14:U$949))</f>
        <v/>
      </c>
      <c r="CI17" s="954" t="str">
        <f>IF($B17&lt;1,"",SUMIF('09월 에너지'!$A$14:$A$949,$A17,'09월 에너지'!V$14:V$949))</f>
        <v/>
      </c>
      <c r="CJ17" s="954" t="str">
        <f>IF($B17&lt;1,"",SUMIF('09월 에너지'!$A$14:$A$949,$A17,'09월 에너지'!W$14:W$949))</f>
        <v/>
      </c>
      <c r="CK17" s="954" t="str">
        <f>IF($B17&lt;1,"",SUMIF('09월 에너지'!$A$14:$A$949,$A17,'09월 에너지'!X$14:X$949))</f>
        <v/>
      </c>
      <c r="CL17" s="954" t="str">
        <f>IF($B17&lt;1,"",SUMIF('09월 에너지'!$A$14:$A$949,$A17,'09월 에너지'!Y$14:Y$949))</f>
        <v/>
      </c>
      <c r="CM17" s="954" t="str">
        <f>IF($B17&lt;1,"",SUMIF('09월 에너지'!$A$14:$A$949,$A17,'09월 에너지'!Z$14:Z$949))</f>
        <v/>
      </c>
      <c r="CN17" s="954" t="str">
        <f>IF($B17&lt;1,"",SUMIF('09월 에너지'!$A$14:$A$949,$A17,'09월 에너지'!AA$14:AA$949))</f>
        <v/>
      </c>
      <c r="CO17" s="954" t="str">
        <f>IF($B17&lt;1,"",SUMIF('09월 에너지'!$A$14:$A$949,$A17,'09월 에너지'!AB$14:AB$949))</f>
        <v/>
      </c>
      <c r="CP17" s="954" t="str">
        <f>IF($B17&lt;1,"",SUMIF('09월 에너지'!$A$14:$A$949,$A17,'09월 에너지'!AC$14:AC$949))</f>
        <v/>
      </c>
      <c r="CQ17" s="955" t="str">
        <f>IF($B17&lt;1,"",SUMIF('09월 에너지'!$A$14:$A$949,$A17,'09월 에너지'!AD$14:AD$949))</f>
        <v/>
      </c>
      <c r="CR17" s="955" t="str">
        <f>IF($B17&lt;1,"",SUMIF('09월 에너지'!$A$14:$A$949,$A17,'09월 에너지'!AE$14:AE$949))</f>
        <v/>
      </c>
      <c r="CS17" s="948" t="str">
        <f>IF($B17&lt;1,"",SUMIF('09월 에너지'!$A$14:$A$949,$A17,'09월 에너지'!AF$14:AF$949))</f>
        <v/>
      </c>
      <c r="CT17" s="948" t="str">
        <f>IF($B17&lt;1,"",SUMIF('09월 에너지'!$A$14:$A$949,$A17,'09월 에너지'!AG$14:AG$949))</f>
        <v/>
      </c>
      <c r="CU17" s="948" t="str">
        <f>IF($B17&lt;1,"",SUMIF('09월 에너지'!$A$14:$A$949,$A17,'09월 에너지'!AH$14:AH$949))</f>
        <v/>
      </c>
      <c r="CV17" s="948" t="str">
        <f>IF($B17&lt;1,"",SUMIF('09월 에너지'!$A$14:$A$949,$A17,'09월 에너지'!AI$14:AI$949))</f>
        <v/>
      </c>
      <c r="CW17" s="956" t="str">
        <f>IF($B17&lt;1,"",SUMIF('09월 에너지'!$A$14:$A$949,$A17,'09월 에너지'!AJ$14:AJ$949))</f>
        <v/>
      </c>
    </row>
    <row r="18" spans="1:101" ht="15.75" customHeight="1">
      <c r="A18" s="939">
        <f t="shared" si="1"/>
        <v>44787</v>
      </c>
      <c r="B18" s="884">
        <f>COUNTIF('09월 조업일지'!$A$12:$A$952,A18)</f>
        <v>0</v>
      </c>
      <c r="C18" s="885" t="str">
        <f t="shared" si="0"/>
        <v/>
      </c>
      <c r="D18" s="885" t="str">
        <f>IF($B18&lt;1,"",(SUMIF('09월 조업일지'!$A$12:$A$952,$A18,'09월 조업일지'!$K$12:$K$952))/B18)</f>
        <v/>
      </c>
      <c r="E18" s="885" t="str">
        <f>IF($B18&lt;1,"",AVERAGEIF('09월 조업일지'!$A$12:$A$952,$A18,'09월 조업일지'!$J$12:$J$952))</f>
        <v/>
      </c>
      <c r="F18" s="940" t="str">
        <f>IF($B18&lt;1,"",AVERAGEIF('09월 에너지'!$A$14:$A$949,$A18,'09월 에너지'!$M$14:M$949))</f>
        <v/>
      </c>
      <c r="G18" s="887" t="str">
        <f>IF($B18&lt;1,"",AVERAGEIF('09월 조업일지'!$A$12:$A$952,$A18,'09월 조업일지'!$AJ$12:$AJ$952))</f>
        <v/>
      </c>
      <c r="H18" s="887" t="str">
        <f>IF($B18&lt;1,"",AVERAGEIF('09월 조업일지'!$A$12:$A$952,$A18,'09월 조업일지'!$AL$12:$AL$952))</f>
        <v/>
      </c>
      <c r="I18" s="941" t="str">
        <f>IF($B18&lt;1,"",AVERAGEIF('09월 화학성분'!$A$12:$A$949,$A18,'09월 화학성분'!G$12:G$949))</f>
        <v/>
      </c>
      <c r="J18" s="941" t="str">
        <f>IF($B18&lt;1,"",AVERAGEIF('09월 화학성분'!$A$12:$A$949,$A18,'09월 화학성분'!H$12:H$949))</f>
        <v/>
      </c>
      <c r="K18" s="941" t="str">
        <f>IF($B18&lt;1,"",AVERAGEIF('09월 화학성분'!$A$12:$A$949,$A18,'09월 화학성분'!I$12:I$949))</f>
        <v/>
      </c>
      <c r="L18" s="941" t="str">
        <f>IF($B18&lt;1,"",AVERAGEIF('09월 화학성분'!$A$12:$A$949,$A18,'09월 화학성분'!J$12:J$949))</f>
        <v/>
      </c>
      <c r="M18" s="941" t="str">
        <f>IF($B18&lt;1,"",AVERAGEIF('09월 화학성분'!$A$12:$A$949,$A18,'09월 화학성분'!K$12:K$949))</f>
        <v/>
      </c>
      <c r="N18" s="941" t="str">
        <f>IF($B18&lt;1,"",AVERAGEIF('09월 화학성분'!$A$12:$A$949,$A18,'09월 화학성분'!L$12:L$949))</f>
        <v/>
      </c>
      <c r="O18" s="941" t="str">
        <f>IF($B18&lt;1,"",AVERAGEIF('09월 화학성분'!$A$12:$A$949,$A18,'09월 화학성분'!M$12:M$949))</f>
        <v/>
      </c>
      <c r="P18" s="889" t="str">
        <f>IF($B18&lt;1,"",AVERAGEIF('09월 조업일지'!$A$12:$A$952,$A18,'09월 조업일지'!$AK$12:$AK$952))</f>
        <v/>
      </c>
      <c r="Q18" s="941" t="str">
        <f>IF($B18&lt;1,"",AVERAGEIF('09월 화학성분'!$A$12:$A$949,$A18,'09월 화학성분'!$G$12:$G$949))</f>
        <v/>
      </c>
      <c r="R18" s="889" t="str">
        <f>IF($B18&lt;1,"",AVERAGEIF('09월 조업일지'!$A$12:$A$952,$A18,'09월 조업일지'!$AI$12:$AI$952))</f>
        <v/>
      </c>
      <c r="S18" s="942" t="str">
        <f>IF($B18&lt;1,"",SUMIF('09월 화학성분'!$A$12:$A$949,$A18,'09월 화학성분'!$AM$12:$AM$949))</f>
        <v/>
      </c>
      <c r="T18" s="943" t="str">
        <f>IF($B18&lt;1,"",SUMIF('09월 화학성분'!$A$12:$A$949,$A18,'09월 화학성분'!N$12:N$949))</f>
        <v/>
      </c>
      <c r="U18" s="943" t="str">
        <f>IF($B18&lt;1,"",SUMIF('09월 화학성분'!$A$12:$A$949,$A18,'09월 화학성분'!O$12:O$949))</f>
        <v/>
      </c>
      <c r="V18" s="943" t="str">
        <f>IF($B18&lt;1,"",SUMIF('09월 화학성분'!$A$12:$A$949,$A18,'09월 화학성분'!P$12:P$949))</f>
        <v/>
      </c>
      <c r="W18" s="943" t="str">
        <f>IF($B18&lt;1,"",SUMIF('09월 화학성분'!$A$12:$A$949,$A18,'09월 화학성분'!Q$12:Q$949))</f>
        <v/>
      </c>
      <c r="X18" s="943" t="str">
        <f>IF($B18&lt;1,"",SUMIF('09월 화학성분'!$A$12:$A$949,$A18,'09월 화학성분'!R$12:R$949))</f>
        <v/>
      </c>
      <c r="Y18" s="943" t="str">
        <f>IF($B18&lt;1,"",SUMIF('09월 화학성분'!$A$12:$A$949,$A18,'09월 화학성분'!U$12:U$949))</f>
        <v/>
      </c>
      <c r="Z18" s="944" t="str">
        <f>IF($B18&lt;1,"",SUMIF('09월 화학성분'!$A$12:$A$949,$A18,'09월 화학성분'!V$12:V$949))</f>
        <v/>
      </c>
      <c r="AA18" s="944" t="str">
        <f>IF($B18&lt;1,"",SUMIF('09월 화학성분'!$A$12:$A$949,$A18,'09월 화학성분'!W$12:W$949))</f>
        <v/>
      </c>
      <c r="AB18" s="944" t="str">
        <f>IF($B18&lt;1,"",SUMIF('09월 화학성분'!$A$12:$A$949,$A18,'09월 화학성분'!AA$12:AA$949))</f>
        <v/>
      </c>
      <c r="AC18" s="944"/>
      <c r="AD18" s="945" t="str">
        <f>IF($B18&lt;1,"",SUMIF('09월 화학성분'!$A$12:$A$949,$A18,'09월 화학성분'!AB$12:AB$949))</f>
        <v/>
      </c>
      <c r="AE18" s="945" t="str">
        <f>IF($B18&lt;1,"",SUMIF('09월 화학성분'!$A$12:$A$949,$A18,'09월 화학성분'!AC$12:AC$949))</f>
        <v/>
      </c>
      <c r="AF18" s="945" t="str">
        <f>IF($B18&lt;1,"",SUMIF('09월 화학성분'!$A$12:$A$949,$A18,'09월 화학성분'!AD$12:AD$949))</f>
        <v/>
      </c>
      <c r="AG18" s="945"/>
      <c r="AH18" s="945" t="str">
        <f>IF($B18&lt;1,"",SUMIF('09월 화학성분'!$A$12:$A$949,$A18,'09월 화학성분'!AG$12:AG$949))</f>
        <v/>
      </c>
      <c r="AI18" s="945" t="str">
        <f>IF($B18&lt;1,"",SUMIF('09월 화학성분'!$A$12:$A$949,$A18,'09월 화학성분'!AH$12:AH$949))</f>
        <v/>
      </c>
      <c r="AJ18" s="945" t="str">
        <f>IF($B18&lt;1,"",SUMIF('09월 화학성분'!$A$12:$A$949,$A18,'09월 화학성분'!AI$12:AI$949))</f>
        <v/>
      </c>
      <c r="AK18" s="945" t="str">
        <f>IF($B18&lt;1,"",SUMIF('09월 화학성분'!$A$12:$A$949,$A18,'09월 화학성분'!AJ$12:AJ$949))</f>
        <v/>
      </c>
      <c r="AL18" s="945" t="str">
        <f>IF($B18&lt;1,"",SUMIF('09월 화학성분'!$A$12:$A$949,$A18,'09월 화학성분'!#REF!))</f>
        <v/>
      </c>
      <c r="AM18" s="945" t="str">
        <f>IF($B18&lt;1,"",SUMIF('09월 화학성분'!$A$12:$A$949,$A18,'09월 화학성분'!AL$12:AL$949))</f>
        <v/>
      </c>
      <c r="AN18" s="946" t="str">
        <f>IF($B18&lt;1,"",SUMIF('09월 화학성분'!$A$12:$A$949,$A18,'09월 화학성분'!AM$12:AM$949))</f>
        <v/>
      </c>
      <c r="AO18" s="947" t="str">
        <f>IF($B18&lt;1,"",AVERAGEIF('09월 화학성분'!$A$12:$A$949,$A18,'09월 화학성분'!AN$12:AN$949))</f>
        <v/>
      </c>
      <c r="AP18" s="947" t="str">
        <f>IF($B18&lt;1,"",AVERAGEIF('09월 화학성분'!$A$12:$A$949,$A18,'09월 화학성분'!AO$12:AO$949))</f>
        <v/>
      </c>
      <c r="AQ18" s="948" t="str">
        <f>IF($B18&lt;1,"",SUMIF('09월 화학성분'!$A$12:$A$949,$A18,'09월 화학성분'!AP$12:AP$949))</f>
        <v/>
      </c>
      <c r="AR18" s="949" t="str">
        <f>IF($B18&lt;1,"",SUMIF('09월 고철장입'!$A$14:$A$949,$A18,'09월 고철장입'!G$14:G$949)/1000)</f>
        <v/>
      </c>
      <c r="AS18" s="949" t="str">
        <f>IF($B18&lt;1,"",SUMIF('09월 고철장입'!$A$14:$A$949,$A18,'09월 고철장입'!H$14:H$949)/1000)</f>
        <v/>
      </c>
      <c r="AT18" s="949" t="str">
        <f>IF($B18&lt;1,"",SUMIF('09월 고철장입'!$A$14:$A$949,$A18,'09월 고철장입'!I$14:I$949)/1000)</f>
        <v/>
      </c>
      <c r="AU18" s="949" t="str">
        <f>IF($B18&lt;1,"",SUMIF('09월 고철장입'!$A$14:$A$949,$A18,'09월 고철장입'!J$14:J$949)/1000)</f>
        <v/>
      </c>
      <c r="AV18" s="949" t="str">
        <f>IF($B18&lt;1,"",SUMIF('09월 고철장입'!$A$14:$A$949,$A18,'09월 고철장입'!K$14:K$949)/1000)</f>
        <v/>
      </c>
      <c r="AW18" s="949" t="str">
        <f>IF($B18&lt;1,"",SUMIF('09월 고철장입'!$A$14:$A$949,$A18,'09월 고철장입'!L$14:L$949)/1000)</f>
        <v/>
      </c>
      <c r="AX18" s="949" t="str">
        <f>IF($B18&lt;1,"",SUMIF('09월 고철장입'!$A$14:$A$949,$A18,'09월 고철장입'!M$14:M$949)/1000)</f>
        <v/>
      </c>
      <c r="AY18" s="949" t="str">
        <f>IF($B18&lt;1,"",SUMIF('09월 고철장입'!$A$14:$A$949,$A18,'09월 고철장입'!N$14:N$949)/1000)</f>
        <v/>
      </c>
      <c r="AZ18" s="949" t="str">
        <f>IF($B18&lt;1,"",SUMIF('09월 고철장입'!$A$14:$A$949,$A18,'09월 고철장입'!O$14:O$949)/1000)</f>
        <v/>
      </c>
      <c r="BA18" s="950" t="str">
        <f>IF($B18&lt;1,"",SUMIF('09월 고철장입'!$A$14:$A$949,$A18,'09월 고철장입'!P$14:P$949)/1000)</f>
        <v/>
      </c>
      <c r="BB18" s="950" t="str">
        <f>IF($B18&lt;1,"",SUMIF('09월 고철장입'!$A$14:$A$949,$A18,'09월 고철장입'!Q$14:Q$949)/1000)</f>
        <v/>
      </c>
      <c r="BC18" s="950" t="str">
        <f>IF($B18&lt;1,"",SUMIF('09월 고철장입'!$A$14:$A$949,$A18,'09월 고철장입'!S$14:S$949)/1000)</f>
        <v/>
      </c>
      <c r="BD18" s="950" t="str">
        <f>IF($B18&lt;1,"",SUMIF('09월 고철장입'!$A$14:$A$949,$A18,'09월 고철장입'!T$14:T$949)/1000)</f>
        <v/>
      </c>
      <c r="BE18" s="950" t="str">
        <f>IF($B18&lt;1,"",SUMIF('09월 고철장입'!$A$14:$A$949,$A18,'09월 고철장입'!U$14:U$949)/1000)</f>
        <v/>
      </c>
      <c r="BF18" s="950" t="str">
        <f>IF($B18&lt;1,"",SUMIF('09월 고철장입'!$A$14:$A$949,$A18,'09월 고철장입'!V$14:V$949)/1000)</f>
        <v/>
      </c>
      <c r="BG18" s="950" t="str">
        <f>IF($B18&lt;1,"",SUMIF('09월 고철장입'!$A$14:$A$949,$A18,'09월 고철장입'!W$14:W$949)/1000)</f>
        <v/>
      </c>
      <c r="BH18" s="950" t="str">
        <f>IF($B18&lt;1,"",SUMIF('09월 고철장입'!$A$14:$A$949,$A18,'09월 고철장입'!Y$14:Y$949)/1000)</f>
        <v/>
      </c>
      <c r="BI18" s="950" t="str">
        <f>IF($B18&lt;1,"",SUMIF('09월 고철장입'!$A$14:$A$949,$A18,'09월 고철장입'!AB$14:AB$949)/1000)</f>
        <v/>
      </c>
      <c r="BJ18" s="950" t="str">
        <f>IF($B18&lt;1,"",SUMIF('09월 고철장입'!$A$14:$A$949,$A18,'09월 고철장입'!AC$14:AC$949)/1000)</f>
        <v/>
      </c>
      <c r="BK18" s="950" t="str">
        <f>IF($B18&lt;1,"",SUMIF('09월 고철장입'!$A$14:$A$949,$A18,'09월 고철장입'!AD$14:AD$949)/1000)</f>
        <v/>
      </c>
      <c r="BL18" s="950" t="str">
        <f>IF($B18&lt;1,"",SUMIF('09월 고철장입'!$A$14:$A$949,$A18,'09월 고철장입'!AE$14:AE$949)/1000)</f>
        <v/>
      </c>
      <c r="BM18" s="951" t="str">
        <f>IF($B18&lt;1,"",SUMIF('09월 고철장입'!$A$14:$A$949,$A18,'09월 고철장입'!AF$14:AF$949)/1000)</f>
        <v/>
      </c>
      <c r="BN18" s="951" t="str">
        <f>IF($B18&lt;1,"",SUMIF('09월 고철장입'!$A$14:$A$949,$A18,'09월 고철장입'!AG$14:AG$949)/1000)</f>
        <v/>
      </c>
      <c r="BO18" s="951" t="str">
        <f>IF($B18&lt;1,"",SUMIF('09월 고철장입'!$A$14:$A$949,$A18,'09월 고철장입'!AH$14:AH$949)/1000)</f>
        <v/>
      </c>
      <c r="BP18" s="951" t="str">
        <f>IF($B18&lt;1,"",SUMIF('09월 고철장입'!$A$14:$A$949,$A18,'09월 고철장입'!AI$14:AI$949)/1000)</f>
        <v/>
      </c>
      <c r="BQ18" s="952" t="str">
        <f>IF($B18&lt;1,"",SUMIF('09월 고철장입'!$A$14:$A$949,$A18,'09월 고철장입'!AJ$14:AJ$949)/1000)</f>
        <v/>
      </c>
      <c r="BR18" s="952" t="str">
        <f>IF($B18&lt;1,"",SUMIF('09월 고철장입'!$A$14:$A$949,$A18,'09월 고철장입'!AK$14:AK$949))</f>
        <v/>
      </c>
      <c r="BS18" s="953" t="str">
        <f>IF($B18&lt;1,"",AVERAGEIF('09월 고철장입'!$A$14:$A$949,$A18,'09월 고철장입'!AL$14:AL$949)*100)</f>
        <v/>
      </c>
      <c r="BT18" s="948" t="str">
        <f>IF($B18&lt;1,"",SUMIF('09월 에너지'!$A$14:$A$949,$A18,'09월 에너지'!G$14:G$949))</f>
        <v/>
      </c>
      <c r="BU18" s="948" t="str">
        <f>IF($B18&lt;1,"",SUMIF('09월 에너지'!$A$14:$A$949,$A18,'09월 에너지'!H$14:H$949))</f>
        <v/>
      </c>
      <c r="BV18" s="948" t="str">
        <f>IF($B18&lt;1,"",SUMIF('09월 에너지'!$A$14:$A$949,$A18,'09월 에너지'!I$14:I$949))</f>
        <v/>
      </c>
      <c r="BW18" s="948" t="str">
        <f>IF($B18&lt;1,"",SUMIF('09월 에너지'!$A$14:$A$949,$A18,'09월 에너지'!J$14:J$949))</f>
        <v/>
      </c>
      <c r="BX18" s="948" t="str">
        <f>IF($B18&lt;1,"",SUMIF('09월 에너지'!$A$14:$A$949,$A18,'09월 에너지'!K$14:K$949))</f>
        <v/>
      </c>
      <c r="BY18" s="948" t="str">
        <f>IF($B18&lt;1,"",SUMIF('09월 에너지'!$A$14:$A$949,$A18,'09월 에너지'!L$14:L$949))</f>
        <v/>
      </c>
      <c r="BZ18" s="948" t="str">
        <f>IF($B18&lt;1,"",SUMIF('09월 에너지'!$A$14:$A$949,$A18,'09월 에너지'!M$14:M$949))</f>
        <v/>
      </c>
      <c r="CA18" s="948" t="str">
        <f>IF($B18&lt;1,"",SUMIF('09월 에너지'!$A$14:$A$949,$A18,'09월 에너지'!N$14:N$949))</f>
        <v/>
      </c>
      <c r="CB18" s="948" t="str">
        <f>IF($B18&lt;1,"",SUMIF('09월 에너지'!$A$14:$A$949,$A18,'09월 에너지'!O$14:O$949))</f>
        <v/>
      </c>
      <c r="CC18" s="948" t="str">
        <f>IF($B18&lt;1,"",SUMIF('09월 에너지'!$A$14:$A$949,$A18,'09월 에너지'!P$14:P$949))</f>
        <v/>
      </c>
      <c r="CD18" s="948" t="str">
        <f>IF($B18&lt;1,"",SUMIF('09월 에너지'!$A$14:$A$949,$A18,'09월 에너지'!Q$14:Q$949))</f>
        <v/>
      </c>
      <c r="CE18" s="948" t="str">
        <f>IF($B18&lt;1,"",SUMIF('09월 에너지'!$A$14:$A$949,$A18,'09월 에너지'!R$14:R$949))</f>
        <v/>
      </c>
      <c r="CF18" s="948" t="str">
        <f>IF($B18&lt;1,"",SUMIF('09월 에너지'!$A$14:$A$949,$A18,'09월 에너지'!S$14:S$949))</f>
        <v/>
      </c>
      <c r="CG18" s="954" t="str">
        <f>IF($B18&lt;1,"",SUMIF('09월 에너지'!$A$14:$A$949,$A18,'09월 에너지'!T$14:T$949))</f>
        <v/>
      </c>
      <c r="CH18" s="954" t="str">
        <f>IF($B18&lt;1,"",SUMIF('09월 에너지'!$A$14:$A$949,$A18,'09월 에너지'!U$14:U$949))</f>
        <v/>
      </c>
      <c r="CI18" s="954" t="str">
        <f>IF($B18&lt;1,"",SUMIF('09월 에너지'!$A$14:$A$949,$A18,'09월 에너지'!V$14:V$949))</f>
        <v/>
      </c>
      <c r="CJ18" s="954" t="str">
        <f>IF($B18&lt;1,"",SUMIF('09월 에너지'!$A$14:$A$949,$A18,'09월 에너지'!W$14:W$949))</f>
        <v/>
      </c>
      <c r="CK18" s="954" t="str">
        <f>IF($B18&lt;1,"",SUMIF('09월 에너지'!$A$14:$A$949,$A18,'09월 에너지'!X$14:X$949))</f>
        <v/>
      </c>
      <c r="CL18" s="954" t="str">
        <f>IF($B18&lt;1,"",SUMIF('09월 에너지'!$A$14:$A$949,$A18,'09월 에너지'!Y$14:Y$949))</f>
        <v/>
      </c>
      <c r="CM18" s="954" t="str">
        <f>IF($B18&lt;1,"",SUMIF('09월 에너지'!$A$14:$A$949,$A18,'09월 에너지'!Z$14:Z$949))</f>
        <v/>
      </c>
      <c r="CN18" s="954" t="str">
        <f>IF($B18&lt;1,"",SUMIF('09월 에너지'!$A$14:$A$949,$A18,'09월 에너지'!AA$14:AA$949))</f>
        <v/>
      </c>
      <c r="CO18" s="954" t="str">
        <f>IF($B18&lt;1,"",SUMIF('09월 에너지'!$A$14:$A$949,$A18,'09월 에너지'!AB$14:AB$949))</f>
        <v/>
      </c>
      <c r="CP18" s="954" t="str">
        <f>IF($B18&lt;1,"",SUMIF('09월 에너지'!$A$14:$A$949,$A18,'09월 에너지'!AC$14:AC$949))</f>
        <v/>
      </c>
      <c r="CQ18" s="955" t="str">
        <f>IF($B18&lt;1,"",SUMIF('09월 에너지'!$A$14:$A$949,$A18,'09월 에너지'!AD$14:AD$949))</f>
        <v/>
      </c>
      <c r="CR18" s="955" t="str">
        <f>IF($B18&lt;1,"",SUMIF('09월 에너지'!$A$14:$A$949,$A18,'09월 에너지'!AE$14:AE$949))</f>
        <v/>
      </c>
      <c r="CS18" s="948" t="str">
        <f>IF($B18&lt;1,"",SUMIF('09월 에너지'!$A$14:$A$949,$A18,'09월 에너지'!AF$14:AF$949))</f>
        <v/>
      </c>
      <c r="CT18" s="948" t="str">
        <f>IF($B18&lt;1,"",SUMIF('09월 에너지'!$A$14:$A$949,$A18,'09월 에너지'!AG$14:AG$949))</f>
        <v/>
      </c>
      <c r="CU18" s="948" t="str">
        <f>IF($B18&lt;1,"",SUMIF('09월 에너지'!$A$14:$A$949,$A18,'09월 에너지'!AH$14:AH$949))</f>
        <v/>
      </c>
      <c r="CV18" s="948" t="str">
        <f>IF($B18&lt;1,"",SUMIF('09월 에너지'!$A$14:$A$949,$A18,'09월 에너지'!AI$14:AI$949))</f>
        <v/>
      </c>
      <c r="CW18" s="956" t="str">
        <f>IF($B18&lt;1,"",SUMIF('09월 에너지'!$A$14:$A$949,$A18,'09월 에너지'!AJ$14:AJ$949))</f>
        <v/>
      </c>
    </row>
    <row r="19" spans="1:101" ht="15.75" customHeight="1">
      <c r="A19" s="939">
        <f t="shared" si="1"/>
        <v>44788</v>
      </c>
      <c r="B19" s="884">
        <f>COUNTIF('09월 조업일지'!$A$12:$A$952,A19)</f>
        <v>0</v>
      </c>
      <c r="C19" s="885" t="str">
        <f t="shared" si="0"/>
        <v/>
      </c>
      <c r="D19" s="885" t="str">
        <f>IF($B19&lt;1,"",(SUMIF('09월 조업일지'!$A$12:$A$952,$A19,'09월 조업일지'!$K$12:$K$952))/B19)</f>
        <v/>
      </c>
      <c r="E19" s="885" t="str">
        <f>IF($B19&lt;1,"",AVERAGEIF('09월 조업일지'!$A$12:$A$952,$A19,'09월 조업일지'!$J$12:$J$952))</f>
        <v/>
      </c>
      <c r="F19" s="940" t="str">
        <f>IF($B19&lt;1,"",AVERAGEIF('09월 에너지'!$A$14:$A$949,$A19,'09월 에너지'!$M$14:M$949))</f>
        <v/>
      </c>
      <c r="G19" s="887" t="str">
        <f>IF($B19&lt;1,"",AVERAGEIF('09월 조업일지'!$A$12:$A$952,$A19,'09월 조업일지'!$AJ$12:$AJ$952))</f>
        <v/>
      </c>
      <c r="H19" s="887" t="str">
        <f>IF($B19&lt;1,"",AVERAGEIF('09월 조업일지'!$A$12:$A$952,$A19,'09월 조업일지'!$AL$12:$AL$952))</f>
        <v/>
      </c>
      <c r="I19" s="941" t="str">
        <f>IF($B19&lt;1,"",AVERAGEIF('09월 화학성분'!$A$12:$A$949,$A19,'09월 화학성분'!G$12:G$949))</f>
        <v/>
      </c>
      <c r="J19" s="941" t="str">
        <f>IF($B19&lt;1,"",AVERAGEIF('09월 화학성분'!$A$12:$A$949,$A19,'09월 화학성분'!H$12:H$949))</f>
        <v/>
      </c>
      <c r="K19" s="941" t="str">
        <f>IF($B19&lt;1,"",AVERAGEIF('09월 화학성분'!$A$12:$A$949,$A19,'09월 화학성분'!I$12:I$949))</f>
        <v/>
      </c>
      <c r="L19" s="941" t="str">
        <f>IF($B19&lt;1,"",AVERAGEIF('09월 화학성분'!$A$12:$A$949,$A19,'09월 화학성분'!J$12:J$949))</f>
        <v/>
      </c>
      <c r="M19" s="941" t="str">
        <f>IF($B19&lt;1,"",AVERAGEIF('09월 화학성분'!$A$12:$A$949,$A19,'09월 화학성분'!K$12:K$949))</f>
        <v/>
      </c>
      <c r="N19" s="941" t="str">
        <f>IF($B19&lt;1,"",AVERAGEIF('09월 화학성분'!$A$12:$A$949,$A19,'09월 화학성분'!L$12:L$949))</f>
        <v/>
      </c>
      <c r="O19" s="941" t="str">
        <f>IF($B19&lt;1,"",AVERAGEIF('09월 화학성분'!$A$12:$A$949,$A19,'09월 화학성분'!M$12:M$949))</f>
        <v/>
      </c>
      <c r="P19" s="889" t="str">
        <f>IF($B19&lt;1,"",AVERAGEIF('09월 조업일지'!$A$12:$A$952,$A19,'09월 조업일지'!$AK$12:$AK$952))</f>
        <v/>
      </c>
      <c r="Q19" s="941" t="str">
        <f>IF($B19&lt;1,"",AVERAGEIF('09월 화학성분'!$A$12:$A$949,$A19,'09월 화학성분'!$G$12:$G$949))</f>
        <v/>
      </c>
      <c r="R19" s="889" t="str">
        <f>IF($B19&lt;1,"",AVERAGEIF('09월 조업일지'!$A$12:$A$952,$A19,'09월 조업일지'!$AI$12:$AI$952))</f>
        <v/>
      </c>
      <c r="S19" s="942" t="str">
        <f>IF($B19&lt;1,"",SUMIF('09월 화학성분'!$A$12:$A$949,$A19,'09월 화학성분'!$AM$12:$AM$949))</f>
        <v/>
      </c>
      <c r="T19" s="943" t="str">
        <f>IF($B19&lt;1,"",SUMIF('09월 화학성분'!$A$12:$A$949,$A19,'09월 화학성분'!N$12:N$949))</f>
        <v/>
      </c>
      <c r="U19" s="943" t="str">
        <f>IF($B19&lt;1,"",SUMIF('09월 화학성분'!$A$12:$A$949,$A19,'09월 화학성분'!O$12:O$949))</f>
        <v/>
      </c>
      <c r="V19" s="943" t="str">
        <f>IF($B19&lt;1,"",SUMIF('09월 화학성분'!$A$12:$A$949,$A19,'09월 화학성분'!P$12:P$949))</f>
        <v/>
      </c>
      <c r="W19" s="943" t="str">
        <f>IF($B19&lt;1,"",SUMIF('09월 화학성분'!$A$12:$A$949,$A19,'09월 화학성분'!Q$12:Q$949))</f>
        <v/>
      </c>
      <c r="X19" s="943" t="str">
        <f>IF($B19&lt;1,"",SUMIF('09월 화학성분'!$A$12:$A$949,$A19,'09월 화학성분'!R$12:R$949))</f>
        <v/>
      </c>
      <c r="Y19" s="943" t="str">
        <f>IF($B19&lt;1,"",SUMIF('09월 화학성분'!$A$12:$A$949,$A19,'09월 화학성분'!U$12:U$949))</f>
        <v/>
      </c>
      <c r="Z19" s="944" t="str">
        <f>IF($B19&lt;1,"",SUMIF('09월 화학성분'!$A$12:$A$949,$A19,'09월 화학성분'!V$12:V$949))</f>
        <v/>
      </c>
      <c r="AA19" s="944" t="str">
        <f>IF($B19&lt;1,"",SUMIF('09월 화학성분'!$A$12:$A$949,$A19,'09월 화학성분'!W$12:W$949))</f>
        <v/>
      </c>
      <c r="AB19" s="944" t="str">
        <f>IF($B19&lt;1,"",SUMIF('09월 화학성분'!$A$12:$A$949,$A19,'09월 화학성분'!AA$12:AA$949))</f>
        <v/>
      </c>
      <c r="AC19" s="944"/>
      <c r="AD19" s="945" t="str">
        <f>IF($B19&lt;1,"",SUMIF('09월 화학성분'!$A$12:$A$949,$A19,'09월 화학성분'!AB$12:AB$949))</f>
        <v/>
      </c>
      <c r="AE19" s="945" t="str">
        <f>IF($B19&lt;1,"",SUMIF('09월 화학성분'!$A$12:$A$949,$A19,'09월 화학성분'!AC$12:AC$949))</f>
        <v/>
      </c>
      <c r="AF19" s="945" t="str">
        <f>IF($B19&lt;1,"",SUMIF('09월 화학성분'!$A$12:$A$949,$A19,'09월 화학성분'!AD$12:AD$949))</f>
        <v/>
      </c>
      <c r="AG19" s="945"/>
      <c r="AH19" s="945" t="str">
        <f>IF($B19&lt;1,"",SUMIF('09월 화학성분'!$A$12:$A$949,$A19,'09월 화학성분'!AG$12:AG$949))</f>
        <v/>
      </c>
      <c r="AI19" s="945" t="str">
        <f>IF($B19&lt;1,"",SUMIF('09월 화학성분'!$A$12:$A$949,$A19,'09월 화학성분'!AH$12:AH$949))</f>
        <v/>
      </c>
      <c r="AJ19" s="945" t="str">
        <f>IF($B19&lt;1,"",SUMIF('09월 화학성분'!$A$12:$A$949,$A19,'09월 화학성분'!AI$12:AI$949))</f>
        <v/>
      </c>
      <c r="AK19" s="945" t="str">
        <f>IF($B19&lt;1,"",SUMIF('09월 화학성분'!$A$12:$A$949,$A19,'09월 화학성분'!AJ$12:AJ$949))</f>
        <v/>
      </c>
      <c r="AL19" s="945" t="str">
        <f>IF($B19&lt;1,"",SUMIF('09월 화학성분'!$A$12:$A$949,$A19,'09월 화학성분'!#REF!))</f>
        <v/>
      </c>
      <c r="AM19" s="945" t="str">
        <f>IF($B19&lt;1,"",SUMIF('09월 화학성분'!$A$12:$A$949,$A19,'09월 화학성분'!AL$12:AL$949))</f>
        <v/>
      </c>
      <c r="AN19" s="946" t="str">
        <f>IF($B19&lt;1,"",SUMIF('09월 화학성분'!$A$12:$A$949,$A19,'09월 화학성분'!AM$12:AM$949))</f>
        <v/>
      </c>
      <c r="AO19" s="947" t="str">
        <f>IF($B19&lt;1,"",AVERAGEIF('09월 화학성분'!$A$12:$A$949,$A19,'09월 화학성분'!AN$12:AN$949))</f>
        <v/>
      </c>
      <c r="AP19" s="947" t="str">
        <f>IF($B19&lt;1,"",AVERAGEIF('09월 화학성분'!$A$12:$A$949,$A19,'09월 화학성분'!AO$12:AO$949))</f>
        <v/>
      </c>
      <c r="AQ19" s="948" t="str">
        <f>IF($B19&lt;1,"",SUMIF('09월 화학성분'!$A$12:$A$949,$A19,'09월 화학성분'!AP$12:AP$949))</f>
        <v/>
      </c>
      <c r="AR19" s="949" t="str">
        <f>IF($B19&lt;1,"",SUMIF('09월 고철장입'!$A$14:$A$949,$A19,'09월 고철장입'!G$14:G$949)/1000)</f>
        <v/>
      </c>
      <c r="AS19" s="949" t="str">
        <f>IF($B19&lt;1,"",SUMIF('09월 고철장입'!$A$14:$A$949,$A19,'09월 고철장입'!H$14:H$949)/1000)</f>
        <v/>
      </c>
      <c r="AT19" s="949" t="str">
        <f>IF($B19&lt;1,"",SUMIF('09월 고철장입'!$A$14:$A$949,$A19,'09월 고철장입'!I$14:I$949)/1000)</f>
        <v/>
      </c>
      <c r="AU19" s="949" t="str">
        <f>IF($B19&lt;1,"",SUMIF('09월 고철장입'!$A$14:$A$949,$A19,'09월 고철장입'!J$14:J$949)/1000)</f>
        <v/>
      </c>
      <c r="AV19" s="949" t="str">
        <f>IF($B19&lt;1,"",SUMIF('09월 고철장입'!$A$14:$A$949,$A19,'09월 고철장입'!K$14:K$949)/1000)</f>
        <v/>
      </c>
      <c r="AW19" s="949" t="str">
        <f>IF($B19&lt;1,"",SUMIF('09월 고철장입'!$A$14:$A$949,$A19,'09월 고철장입'!L$14:L$949)/1000)</f>
        <v/>
      </c>
      <c r="AX19" s="949" t="str">
        <f>IF($B19&lt;1,"",SUMIF('09월 고철장입'!$A$14:$A$949,$A19,'09월 고철장입'!M$14:M$949)/1000)</f>
        <v/>
      </c>
      <c r="AY19" s="949" t="str">
        <f>IF($B19&lt;1,"",SUMIF('09월 고철장입'!$A$14:$A$949,$A19,'09월 고철장입'!N$14:N$949)/1000)</f>
        <v/>
      </c>
      <c r="AZ19" s="949" t="str">
        <f>IF($B19&lt;1,"",SUMIF('09월 고철장입'!$A$14:$A$949,$A19,'09월 고철장입'!O$14:O$949)/1000)</f>
        <v/>
      </c>
      <c r="BA19" s="950" t="str">
        <f>IF($B19&lt;1,"",SUMIF('09월 고철장입'!$A$14:$A$949,$A19,'09월 고철장입'!P$14:P$949)/1000)</f>
        <v/>
      </c>
      <c r="BB19" s="950" t="str">
        <f>IF($B19&lt;1,"",SUMIF('09월 고철장입'!$A$14:$A$949,$A19,'09월 고철장입'!Q$14:Q$949)/1000)</f>
        <v/>
      </c>
      <c r="BC19" s="950" t="str">
        <f>IF($B19&lt;1,"",SUMIF('09월 고철장입'!$A$14:$A$949,$A19,'09월 고철장입'!S$14:S$949)/1000)</f>
        <v/>
      </c>
      <c r="BD19" s="950" t="str">
        <f>IF($B19&lt;1,"",SUMIF('09월 고철장입'!$A$14:$A$949,$A19,'09월 고철장입'!T$14:T$949)/1000)</f>
        <v/>
      </c>
      <c r="BE19" s="950" t="str">
        <f>IF($B19&lt;1,"",SUMIF('09월 고철장입'!$A$14:$A$949,$A19,'09월 고철장입'!U$14:U$949)/1000)</f>
        <v/>
      </c>
      <c r="BF19" s="950" t="str">
        <f>IF($B19&lt;1,"",SUMIF('09월 고철장입'!$A$14:$A$949,$A19,'09월 고철장입'!V$14:V$949)/1000)</f>
        <v/>
      </c>
      <c r="BG19" s="950" t="str">
        <f>IF($B19&lt;1,"",SUMIF('09월 고철장입'!$A$14:$A$949,$A19,'09월 고철장입'!W$14:W$949)/1000)</f>
        <v/>
      </c>
      <c r="BH19" s="950" t="str">
        <f>IF($B19&lt;1,"",SUMIF('09월 고철장입'!$A$14:$A$949,$A19,'09월 고철장입'!Y$14:Y$949)/1000)</f>
        <v/>
      </c>
      <c r="BI19" s="950" t="str">
        <f>IF($B19&lt;1,"",SUMIF('09월 고철장입'!$A$14:$A$949,$A19,'09월 고철장입'!AB$14:AB$949)/1000)</f>
        <v/>
      </c>
      <c r="BJ19" s="950" t="str">
        <f>IF($B19&lt;1,"",SUMIF('09월 고철장입'!$A$14:$A$949,$A19,'09월 고철장입'!AC$14:AC$949)/1000)</f>
        <v/>
      </c>
      <c r="BK19" s="950" t="str">
        <f>IF($B19&lt;1,"",SUMIF('09월 고철장입'!$A$14:$A$949,$A19,'09월 고철장입'!AD$14:AD$949)/1000)</f>
        <v/>
      </c>
      <c r="BL19" s="950" t="str">
        <f>IF($B19&lt;1,"",SUMIF('09월 고철장입'!$A$14:$A$949,$A19,'09월 고철장입'!AE$14:AE$949)/1000)</f>
        <v/>
      </c>
      <c r="BM19" s="951" t="str">
        <f>IF($B19&lt;1,"",SUMIF('09월 고철장입'!$A$14:$A$949,$A19,'09월 고철장입'!AF$14:AF$949)/1000)</f>
        <v/>
      </c>
      <c r="BN19" s="951" t="str">
        <f>IF($B19&lt;1,"",SUMIF('09월 고철장입'!$A$14:$A$949,$A19,'09월 고철장입'!AG$14:AG$949)/1000)</f>
        <v/>
      </c>
      <c r="BO19" s="951" t="str">
        <f>IF($B19&lt;1,"",SUMIF('09월 고철장입'!$A$14:$A$949,$A19,'09월 고철장입'!AH$14:AH$949)/1000)</f>
        <v/>
      </c>
      <c r="BP19" s="951" t="str">
        <f>IF($B19&lt;1,"",SUMIF('09월 고철장입'!$A$14:$A$949,$A19,'09월 고철장입'!AI$14:AI$949)/1000)</f>
        <v/>
      </c>
      <c r="BQ19" s="952" t="str">
        <f>IF($B19&lt;1,"",SUMIF('09월 고철장입'!$A$14:$A$949,$A19,'09월 고철장입'!AJ$14:AJ$949)/1000)</f>
        <v/>
      </c>
      <c r="BR19" s="952" t="str">
        <f>IF($B19&lt;1,"",SUMIF('09월 고철장입'!$A$14:$A$949,$A19,'09월 고철장입'!AK$14:AK$949))</f>
        <v/>
      </c>
      <c r="BS19" s="953" t="str">
        <f>IF($B19&lt;1,"",AVERAGEIF('09월 고철장입'!$A$14:$A$949,$A19,'09월 고철장입'!AL$14:AL$949)*100)</f>
        <v/>
      </c>
      <c r="BT19" s="948" t="str">
        <f>IF($B19&lt;1,"",SUMIF('09월 에너지'!$A$14:$A$949,$A19,'09월 에너지'!G$14:G$949))</f>
        <v/>
      </c>
      <c r="BU19" s="948" t="str">
        <f>IF($B19&lt;1,"",SUMIF('09월 에너지'!$A$14:$A$949,$A19,'09월 에너지'!H$14:H$949))</f>
        <v/>
      </c>
      <c r="BV19" s="948" t="str">
        <f>IF($B19&lt;1,"",SUMIF('09월 에너지'!$A$14:$A$949,$A19,'09월 에너지'!I$14:I$949))</f>
        <v/>
      </c>
      <c r="BW19" s="948" t="str">
        <f>IF($B19&lt;1,"",SUMIF('09월 에너지'!$A$14:$A$949,$A19,'09월 에너지'!J$14:J$949))</f>
        <v/>
      </c>
      <c r="BX19" s="948" t="str">
        <f>IF($B19&lt;1,"",SUMIF('09월 에너지'!$A$14:$A$949,$A19,'09월 에너지'!K$14:K$949))</f>
        <v/>
      </c>
      <c r="BY19" s="948" t="str">
        <f>IF($B19&lt;1,"",SUMIF('09월 에너지'!$A$14:$A$949,$A19,'09월 에너지'!L$14:L$949))</f>
        <v/>
      </c>
      <c r="BZ19" s="948" t="str">
        <f>IF($B19&lt;1,"",SUMIF('09월 에너지'!$A$14:$A$949,$A19,'09월 에너지'!M$14:M$949))</f>
        <v/>
      </c>
      <c r="CA19" s="948" t="str">
        <f>IF($B19&lt;1,"",SUMIF('09월 에너지'!$A$14:$A$949,$A19,'09월 에너지'!N$14:N$949))</f>
        <v/>
      </c>
      <c r="CB19" s="948" t="str">
        <f>IF($B19&lt;1,"",SUMIF('09월 에너지'!$A$14:$A$949,$A19,'09월 에너지'!O$14:O$949))</f>
        <v/>
      </c>
      <c r="CC19" s="948" t="str">
        <f>IF($B19&lt;1,"",SUMIF('09월 에너지'!$A$14:$A$949,$A19,'09월 에너지'!P$14:P$949))</f>
        <v/>
      </c>
      <c r="CD19" s="948" t="str">
        <f>IF($B19&lt;1,"",SUMIF('09월 에너지'!$A$14:$A$949,$A19,'09월 에너지'!Q$14:Q$949))</f>
        <v/>
      </c>
      <c r="CE19" s="948" t="str">
        <f>IF($B19&lt;1,"",SUMIF('09월 에너지'!$A$14:$A$949,$A19,'09월 에너지'!R$14:R$949))</f>
        <v/>
      </c>
      <c r="CF19" s="948" t="str">
        <f>IF($B19&lt;1,"",SUMIF('09월 에너지'!$A$14:$A$949,$A19,'09월 에너지'!S$14:S$949))</f>
        <v/>
      </c>
      <c r="CG19" s="954" t="str">
        <f>IF($B19&lt;1,"",SUMIF('09월 에너지'!$A$14:$A$949,$A19,'09월 에너지'!T$14:T$949))</f>
        <v/>
      </c>
      <c r="CH19" s="954" t="str">
        <f>IF($B19&lt;1,"",SUMIF('09월 에너지'!$A$14:$A$949,$A19,'09월 에너지'!U$14:U$949))</f>
        <v/>
      </c>
      <c r="CI19" s="954" t="str">
        <f>IF($B19&lt;1,"",SUMIF('09월 에너지'!$A$14:$A$949,$A19,'09월 에너지'!V$14:V$949))</f>
        <v/>
      </c>
      <c r="CJ19" s="954" t="str">
        <f>IF($B19&lt;1,"",SUMIF('09월 에너지'!$A$14:$A$949,$A19,'09월 에너지'!W$14:W$949))</f>
        <v/>
      </c>
      <c r="CK19" s="954" t="str">
        <f>IF($B19&lt;1,"",SUMIF('09월 에너지'!$A$14:$A$949,$A19,'09월 에너지'!X$14:X$949))</f>
        <v/>
      </c>
      <c r="CL19" s="954" t="str">
        <f>IF($B19&lt;1,"",SUMIF('09월 에너지'!$A$14:$A$949,$A19,'09월 에너지'!Y$14:Y$949))</f>
        <v/>
      </c>
      <c r="CM19" s="954" t="str">
        <f>IF($B19&lt;1,"",SUMIF('09월 에너지'!$A$14:$A$949,$A19,'09월 에너지'!Z$14:Z$949))</f>
        <v/>
      </c>
      <c r="CN19" s="954" t="str">
        <f>IF($B19&lt;1,"",SUMIF('09월 에너지'!$A$14:$A$949,$A19,'09월 에너지'!AA$14:AA$949))</f>
        <v/>
      </c>
      <c r="CO19" s="954" t="str">
        <f>IF($B19&lt;1,"",SUMIF('09월 에너지'!$A$14:$A$949,$A19,'09월 에너지'!AB$14:AB$949))</f>
        <v/>
      </c>
      <c r="CP19" s="954" t="str">
        <f>IF($B19&lt;1,"",SUMIF('09월 에너지'!$A$14:$A$949,$A19,'09월 에너지'!AC$14:AC$949))</f>
        <v/>
      </c>
      <c r="CQ19" s="955" t="str">
        <f>IF($B19&lt;1,"",SUMIF('09월 에너지'!$A$14:$A$949,$A19,'09월 에너지'!AD$14:AD$949))</f>
        <v/>
      </c>
      <c r="CR19" s="955" t="str">
        <f>IF($B19&lt;1,"",SUMIF('09월 에너지'!$A$14:$A$949,$A19,'09월 에너지'!AE$14:AE$949))</f>
        <v/>
      </c>
      <c r="CS19" s="948" t="str">
        <f>IF($B19&lt;1,"",SUMIF('09월 에너지'!$A$14:$A$949,$A19,'09월 에너지'!AF$14:AF$949))</f>
        <v/>
      </c>
      <c r="CT19" s="948" t="str">
        <f>IF($B19&lt;1,"",SUMIF('09월 에너지'!$A$14:$A$949,$A19,'09월 에너지'!AG$14:AG$949))</f>
        <v/>
      </c>
      <c r="CU19" s="948" t="str">
        <f>IF($B19&lt;1,"",SUMIF('09월 에너지'!$A$14:$A$949,$A19,'09월 에너지'!AH$14:AH$949))</f>
        <v/>
      </c>
      <c r="CV19" s="948" t="str">
        <f>IF($B19&lt;1,"",SUMIF('09월 에너지'!$A$14:$A$949,$A19,'09월 에너지'!AI$14:AI$949))</f>
        <v/>
      </c>
      <c r="CW19" s="956" t="str">
        <f>IF($B19&lt;1,"",SUMIF('09월 에너지'!$A$14:$A$949,$A19,'09월 에너지'!AJ$14:AJ$949))</f>
        <v/>
      </c>
    </row>
    <row r="20" spans="1:101" ht="15.75" customHeight="1">
      <c r="A20" s="939">
        <f t="shared" si="1"/>
        <v>44789</v>
      </c>
      <c r="B20" s="884">
        <f>COUNTIF('09월 조업일지'!$A$12:$A$952,A20)</f>
        <v>0</v>
      </c>
      <c r="C20" s="885" t="str">
        <f t="shared" si="0"/>
        <v/>
      </c>
      <c r="D20" s="885" t="str">
        <f>IF($B20&lt;1,"",(SUMIF('09월 조업일지'!$A$12:$A$952,$A20,'09월 조업일지'!$K$12:$K$952))/B20)</f>
        <v/>
      </c>
      <c r="E20" s="885" t="str">
        <f>IF($B20&lt;1,"",AVERAGEIF('09월 조업일지'!$A$12:$A$952,$A20,'09월 조업일지'!$J$12:$J$952))</f>
        <v/>
      </c>
      <c r="F20" s="940" t="str">
        <f>IF($B20&lt;1,"",AVERAGEIF('09월 에너지'!$A$14:$A$949,$A20,'09월 에너지'!$M$14:M$949))</f>
        <v/>
      </c>
      <c r="G20" s="887" t="str">
        <f>IF($B20&lt;1,"",AVERAGEIF('09월 조업일지'!$A$12:$A$952,$A20,'09월 조업일지'!$AJ$12:$AJ$952))</f>
        <v/>
      </c>
      <c r="H20" s="887" t="str">
        <f>IF($B20&lt;1,"",AVERAGEIF('09월 조업일지'!$A$12:$A$952,$A20,'09월 조업일지'!$AL$12:$AL$952))</f>
        <v/>
      </c>
      <c r="I20" s="941" t="str">
        <f>IF($B20&lt;1,"",AVERAGEIF('09월 화학성분'!$A$12:$A$949,$A20,'09월 화학성분'!G$12:G$949))</f>
        <v/>
      </c>
      <c r="J20" s="941" t="str">
        <f>IF($B20&lt;1,"",AVERAGEIF('09월 화학성분'!$A$12:$A$949,$A20,'09월 화학성분'!H$12:H$949))</f>
        <v/>
      </c>
      <c r="K20" s="941" t="str">
        <f>IF($B20&lt;1,"",AVERAGEIF('09월 화학성분'!$A$12:$A$949,$A20,'09월 화학성분'!I$12:I$949))</f>
        <v/>
      </c>
      <c r="L20" s="941" t="str">
        <f>IF($B20&lt;1,"",AVERAGEIF('09월 화학성분'!$A$12:$A$949,$A20,'09월 화학성분'!J$12:J$949))</f>
        <v/>
      </c>
      <c r="M20" s="941" t="str">
        <f>IF($B20&lt;1,"",AVERAGEIF('09월 화학성분'!$A$12:$A$949,$A20,'09월 화학성분'!K$12:K$949))</f>
        <v/>
      </c>
      <c r="N20" s="941" t="str">
        <f>IF($B20&lt;1,"",AVERAGEIF('09월 화학성분'!$A$12:$A$949,$A20,'09월 화학성분'!L$12:L$949))</f>
        <v/>
      </c>
      <c r="O20" s="941" t="str">
        <f>IF($B20&lt;1,"",AVERAGEIF('09월 화학성분'!$A$12:$A$949,$A20,'09월 화학성분'!M$12:M$949))</f>
        <v/>
      </c>
      <c r="P20" s="889" t="str">
        <f>IF($B20&lt;1,"",AVERAGEIF('09월 조업일지'!$A$12:$A$952,$A20,'09월 조업일지'!$AK$12:$AK$952))</f>
        <v/>
      </c>
      <c r="Q20" s="941" t="str">
        <f>IF($B20&lt;1,"",AVERAGEIF('09월 화학성분'!$A$12:$A$949,$A20,'09월 화학성분'!$G$12:$G$949))</f>
        <v/>
      </c>
      <c r="R20" s="889" t="str">
        <f>IF($B20&lt;1,"",AVERAGEIF('09월 조업일지'!$A$12:$A$952,$A20,'09월 조업일지'!$AI$12:$AI$952))</f>
        <v/>
      </c>
      <c r="S20" s="942" t="str">
        <f>IF($B20&lt;1,"",SUMIF('09월 화학성분'!$A$12:$A$949,$A20,'09월 화학성분'!$AM$12:$AM$949))</f>
        <v/>
      </c>
      <c r="T20" s="943" t="str">
        <f>IF($B20&lt;1,"",SUMIF('09월 화학성분'!$A$12:$A$949,$A20,'09월 화학성분'!N$12:N$949))</f>
        <v/>
      </c>
      <c r="U20" s="943" t="str">
        <f>IF($B20&lt;1,"",SUMIF('09월 화학성분'!$A$12:$A$949,$A20,'09월 화학성분'!O$12:O$949))</f>
        <v/>
      </c>
      <c r="V20" s="943" t="str">
        <f>IF($B20&lt;1,"",SUMIF('09월 화학성분'!$A$12:$A$949,$A20,'09월 화학성분'!P$12:P$949))</f>
        <v/>
      </c>
      <c r="W20" s="943" t="str">
        <f>IF($B20&lt;1,"",SUMIF('09월 화학성분'!$A$12:$A$949,$A20,'09월 화학성분'!Q$12:Q$949))</f>
        <v/>
      </c>
      <c r="X20" s="943" t="str">
        <f>IF($B20&lt;1,"",SUMIF('09월 화학성분'!$A$12:$A$949,$A20,'09월 화학성분'!R$12:R$949))</f>
        <v/>
      </c>
      <c r="Y20" s="943" t="str">
        <f>IF($B20&lt;1,"",SUMIF('09월 화학성분'!$A$12:$A$949,$A20,'09월 화학성분'!U$12:U$949))</f>
        <v/>
      </c>
      <c r="Z20" s="944" t="str">
        <f>IF($B20&lt;1,"",SUMIF('09월 화학성분'!$A$12:$A$949,$A20,'09월 화학성분'!V$12:V$949))</f>
        <v/>
      </c>
      <c r="AA20" s="944" t="str">
        <f>IF($B20&lt;1,"",SUMIF('09월 화학성분'!$A$12:$A$949,$A20,'09월 화학성분'!W$12:W$949))</f>
        <v/>
      </c>
      <c r="AB20" s="944" t="str">
        <f>IF($B20&lt;1,"",SUMIF('09월 화학성분'!$A$12:$A$949,$A20,'09월 화학성분'!AA$12:AA$949))</f>
        <v/>
      </c>
      <c r="AC20" s="944"/>
      <c r="AD20" s="945" t="str">
        <f>IF($B20&lt;1,"",SUMIF('09월 화학성분'!$A$12:$A$949,$A20,'09월 화학성분'!AB$12:AB$949))</f>
        <v/>
      </c>
      <c r="AE20" s="945" t="str">
        <f>IF($B20&lt;1,"",SUMIF('09월 화학성분'!$A$12:$A$949,$A20,'09월 화학성분'!AC$12:AC$949))</f>
        <v/>
      </c>
      <c r="AF20" s="945" t="str">
        <f>IF($B20&lt;1,"",SUMIF('09월 화학성분'!$A$12:$A$949,$A20,'09월 화학성분'!AD$12:AD$949))</f>
        <v/>
      </c>
      <c r="AG20" s="945"/>
      <c r="AH20" s="945" t="str">
        <f>IF($B20&lt;1,"",SUMIF('09월 화학성분'!$A$12:$A$949,$A20,'09월 화학성분'!AG$12:AG$949))</f>
        <v/>
      </c>
      <c r="AI20" s="945" t="str">
        <f>IF($B20&lt;1,"",SUMIF('09월 화학성분'!$A$12:$A$949,$A20,'09월 화학성분'!AH$12:AH$949))</f>
        <v/>
      </c>
      <c r="AJ20" s="945" t="str">
        <f>IF($B20&lt;1,"",SUMIF('09월 화학성분'!$A$12:$A$949,$A20,'09월 화학성분'!AI$12:AI$949))</f>
        <v/>
      </c>
      <c r="AK20" s="945" t="str">
        <f>IF($B20&lt;1,"",SUMIF('09월 화학성분'!$A$12:$A$949,$A20,'09월 화학성분'!AJ$12:AJ$949))</f>
        <v/>
      </c>
      <c r="AL20" s="945" t="str">
        <f>IF($B20&lt;1,"",SUMIF('09월 화학성분'!$A$12:$A$949,$A20,'09월 화학성분'!#REF!))</f>
        <v/>
      </c>
      <c r="AM20" s="945" t="str">
        <f>IF($B20&lt;1,"",SUMIF('09월 화학성분'!$A$12:$A$949,$A20,'09월 화학성분'!AL$12:AL$949))</f>
        <v/>
      </c>
      <c r="AN20" s="946" t="str">
        <f>IF($B20&lt;1,"",SUMIF('09월 화학성분'!$A$12:$A$949,$A20,'09월 화학성분'!AM$12:AM$949))</f>
        <v/>
      </c>
      <c r="AO20" s="947" t="str">
        <f>IF($B20&lt;1,"",AVERAGEIF('09월 화학성분'!$A$12:$A$949,$A20,'09월 화학성분'!AN$12:AN$949))</f>
        <v/>
      </c>
      <c r="AP20" s="947" t="str">
        <f>IF($B20&lt;1,"",AVERAGEIF('09월 화학성분'!$A$12:$A$949,$A20,'09월 화학성분'!AO$12:AO$949))</f>
        <v/>
      </c>
      <c r="AQ20" s="948" t="str">
        <f>IF($B20&lt;1,"",SUMIF('09월 화학성분'!$A$12:$A$949,$A20,'09월 화학성분'!AP$12:AP$949))</f>
        <v/>
      </c>
      <c r="AR20" s="949" t="str">
        <f>IF($B20&lt;1,"",SUMIF('09월 고철장입'!$A$14:$A$949,$A20,'09월 고철장입'!G$14:G$949)/1000)</f>
        <v/>
      </c>
      <c r="AS20" s="949" t="str">
        <f>IF($B20&lt;1,"",SUMIF('09월 고철장입'!$A$14:$A$949,$A20,'09월 고철장입'!H$14:H$949)/1000)</f>
        <v/>
      </c>
      <c r="AT20" s="949" t="str">
        <f>IF($B20&lt;1,"",SUMIF('09월 고철장입'!$A$14:$A$949,$A20,'09월 고철장입'!I$14:I$949)/1000)</f>
        <v/>
      </c>
      <c r="AU20" s="949" t="str">
        <f>IF($B20&lt;1,"",SUMIF('09월 고철장입'!$A$14:$A$949,$A20,'09월 고철장입'!J$14:J$949)/1000)</f>
        <v/>
      </c>
      <c r="AV20" s="949" t="str">
        <f>IF($B20&lt;1,"",SUMIF('09월 고철장입'!$A$14:$A$949,$A20,'09월 고철장입'!K$14:K$949)/1000)</f>
        <v/>
      </c>
      <c r="AW20" s="949" t="str">
        <f>IF($B20&lt;1,"",SUMIF('09월 고철장입'!$A$14:$A$949,$A20,'09월 고철장입'!L$14:L$949)/1000)</f>
        <v/>
      </c>
      <c r="AX20" s="949" t="str">
        <f>IF($B20&lt;1,"",SUMIF('09월 고철장입'!$A$14:$A$949,$A20,'09월 고철장입'!M$14:M$949)/1000)</f>
        <v/>
      </c>
      <c r="AY20" s="949" t="str">
        <f>IF($B20&lt;1,"",SUMIF('09월 고철장입'!$A$14:$A$949,$A20,'09월 고철장입'!N$14:N$949)/1000)</f>
        <v/>
      </c>
      <c r="AZ20" s="949" t="str">
        <f>IF($B20&lt;1,"",SUMIF('09월 고철장입'!$A$14:$A$949,$A20,'09월 고철장입'!O$14:O$949)/1000)</f>
        <v/>
      </c>
      <c r="BA20" s="950" t="str">
        <f>IF($B20&lt;1,"",SUMIF('09월 고철장입'!$A$14:$A$949,$A20,'09월 고철장입'!P$14:P$949)/1000)</f>
        <v/>
      </c>
      <c r="BB20" s="950" t="str">
        <f>IF($B20&lt;1,"",SUMIF('09월 고철장입'!$A$14:$A$949,$A20,'09월 고철장입'!Q$14:Q$949)/1000)</f>
        <v/>
      </c>
      <c r="BC20" s="950" t="str">
        <f>IF($B20&lt;1,"",SUMIF('09월 고철장입'!$A$14:$A$949,$A20,'09월 고철장입'!S$14:S$949)/1000)</f>
        <v/>
      </c>
      <c r="BD20" s="950" t="str">
        <f>IF($B20&lt;1,"",SUMIF('09월 고철장입'!$A$14:$A$949,$A20,'09월 고철장입'!T$14:T$949)/1000)</f>
        <v/>
      </c>
      <c r="BE20" s="950" t="str">
        <f>IF($B20&lt;1,"",SUMIF('09월 고철장입'!$A$14:$A$949,$A20,'09월 고철장입'!U$14:U$949)/1000)</f>
        <v/>
      </c>
      <c r="BF20" s="950" t="str">
        <f>IF($B20&lt;1,"",SUMIF('09월 고철장입'!$A$14:$A$949,$A20,'09월 고철장입'!V$14:V$949)/1000)</f>
        <v/>
      </c>
      <c r="BG20" s="950" t="str">
        <f>IF($B20&lt;1,"",SUMIF('09월 고철장입'!$A$14:$A$949,$A20,'09월 고철장입'!W$14:W$949)/1000)</f>
        <v/>
      </c>
      <c r="BH20" s="950" t="str">
        <f>IF($B20&lt;1,"",SUMIF('09월 고철장입'!$A$14:$A$949,$A20,'09월 고철장입'!Y$14:Y$949)/1000)</f>
        <v/>
      </c>
      <c r="BI20" s="950" t="str">
        <f>IF($B20&lt;1,"",SUMIF('09월 고철장입'!$A$14:$A$949,$A20,'09월 고철장입'!AB$14:AB$949)/1000)</f>
        <v/>
      </c>
      <c r="BJ20" s="950" t="str">
        <f>IF($B20&lt;1,"",SUMIF('09월 고철장입'!$A$14:$A$949,$A20,'09월 고철장입'!AC$14:AC$949)/1000)</f>
        <v/>
      </c>
      <c r="BK20" s="950" t="str">
        <f>IF($B20&lt;1,"",SUMIF('09월 고철장입'!$A$14:$A$949,$A20,'09월 고철장입'!AD$14:AD$949)/1000)</f>
        <v/>
      </c>
      <c r="BL20" s="950" t="str">
        <f>IF($B20&lt;1,"",SUMIF('09월 고철장입'!$A$14:$A$949,$A20,'09월 고철장입'!AE$14:AE$949)/1000)</f>
        <v/>
      </c>
      <c r="BM20" s="951" t="str">
        <f>IF($B20&lt;1,"",SUMIF('09월 고철장입'!$A$14:$A$949,$A20,'09월 고철장입'!AF$14:AF$949)/1000)</f>
        <v/>
      </c>
      <c r="BN20" s="951" t="str">
        <f>IF($B20&lt;1,"",SUMIF('09월 고철장입'!$A$14:$A$949,$A20,'09월 고철장입'!AG$14:AG$949)/1000)</f>
        <v/>
      </c>
      <c r="BO20" s="951" t="str">
        <f>IF($B20&lt;1,"",SUMIF('09월 고철장입'!$A$14:$A$949,$A20,'09월 고철장입'!AH$14:AH$949)/1000)</f>
        <v/>
      </c>
      <c r="BP20" s="951" t="str">
        <f>IF($B20&lt;1,"",SUMIF('09월 고철장입'!$A$14:$A$949,$A20,'09월 고철장입'!AI$14:AI$949)/1000)</f>
        <v/>
      </c>
      <c r="BQ20" s="952" t="str">
        <f>IF($B20&lt;1,"",SUMIF('09월 고철장입'!$A$14:$A$949,$A20,'09월 고철장입'!AJ$14:AJ$949)/1000)</f>
        <v/>
      </c>
      <c r="BR20" s="952" t="str">
        <f>IF($B20&lt;1,"",SUMIF('09월 고철장입'!$A$14:$A$949,$A20,'09월 고철장입'!AK$14:AK$949))</f>
        <v/>
      </c>
      <c r="BS20" s="953" t="str">
        <f>IF($B20&lt;1,"",AVERAGEIF('09월 고철장입'!$A$14:$A$949,$A20,'09월 고철장입'!AL$14:AL$949)*100)</f>
        <v/>
      </c>
      <c r="BT20" s="948" t="str">
        <f>IF($B20&lt;1,"",SUMIF('09월 에너지'!$A$14:$A$949,$A20,'09월 에너지'!G$14:G$949))</f>
        <v/>
      </c>
      <c r="BU20" s="948" t="str">
        <f>IF($B20&lt;1,"",SUMIF('09월 에너지'!$A$14:$A$949,$A20,'09월 에너지'!H$14:H$949))</f>
        <v/>
      </c>
      <c r="BV20" s="948" t="str">
        <f>IF($B20&lt;1,"",SUMIF('09월 에너지'!$A$14:$A$949,$A20,'09월 에너지'!I$14:I$949))</f>
        <v/>
      </c>
      <c r="BW20" s="948" t="str">
        <f>IF($B20&lt;1,"",SUMIF('09월 에너지'!$A$14:$A$949,$A20,'09월 에너지'!J$14:J$949))</f>
        <v/>
      </c>
      <c r="BX20" s="948" t="str">
        <f>IF($B20&lt;1,"",SUMIF('09월 에너지'!$A$14:$A$949,$A20,'09월 에너지'!K$14:K$949))</f>
        <v/>
      </c>
      <c r="BY20" s="948" t="str">
        <f>IF($B20&lt;1,"",SUMIF('09월 에너지'!$A$14:$A$949,$A20,'09월 에너지'!L$14:L$949))</f>
        <v/>
      </c>
      <c r="BZ20" s="948" t="str">
        <f>IF($B20&lt;1,"",SUMIF('09월 에너지'!$A$14:$A$949,$A20,'09월 에너지'!M$14:M$949))</f>
        <v/>
      </c>
      <c r="CA20" s="948" t="str">
        <f>IF($B20&lt;1,"",SUMIF('09월 에너지'!$A$14:$A$949,$A20,'09월 에너지'!N$14:N$949))</f>
        <v/>
      </c>
      <c r="CB20" s="948" t="str">
        <f>IF($B20&lt;1,"",SUMIF('09월 에너지'!$A$14:$A$949,$A20,'09월 에너지'!O$14:O$949))</f>
        <v/>
      </c>
      <c r="CC20" s="948" t="str">
        <f>IF($B20&lt;1,"",SUMIF('09월 에너지'!$A$14:$A$949,$A20,'09월 에너지'!P$14:P$949))</f>
        <v/>
      </c>
      <c r="CD20" s="948" t="str">
        <f>IF($B20&lt;1,"",SUMIF('09월 에너지'!$A$14:$A$949,$A20,'09월 에너지'!Q$14:Q$949))</f>
        <v/>
      </c>
      <c r="CE20" s="948" t="str">
        <f>IF($B20&lt;1,"",SUMIF('09월 에너지'!$A$14:$A$949,$A20,'09월 에너지'!R$14:R$949))</f>
        <v/>
      </c>
      <c r="CF20" s="948" t="str">
        <f>IF($B20&lt;1,"",SUMIF('09월 에너지'!$A$14:$A$949,$A20,'09월 에너지'!S$14:S$949))</f>
        <v/>
      </c>
      <c r="CG20" s="954" t="str">
        <f>IF($B20&lt;1,"",SUMIF('09월 에너지'!$A$14:$A$949,$A20,'09월 에너지'!T$14:T$949))</f>
        <v/>
      </c>
      <c r="CH20" s="954" t="str">
        <f>IF($B20&lt;1,"",SUMIF('09월 에너지'!$A$14:$A$949,$A20,'09월 에너지'!U$14:U$949))</f>
        <v/>
      </c>
      <c r="CI20" s="954" t="str">
        <f>IF($B20&lt;1,"",SUMIF('09월 에너지'!$A$14:$A$949,$A20,'09월 에너지'!V$14:V$949))</f>
        <v/>
      </c>
      <c r="CJ20" s="954" t="str">
        <f>IF($B20&lt;1,"",SUMIF('09월 에너지'!$A$14:$A$949,$A20,'09월 에너지'!W$14:W$949))</f>
        <v/>
      </c>
      <c r="CK20" s="954" t="str">
        <f>IF($B20&lt;1,"",SUMIF('09월 에너지'!$A$14:$A$949,$A20,'09월 에너지'!X$14:X$949))</f>
        <v/>
      </c>
      <c r="CL20" s="954" t="str">
        <f>IF($B20&lt;1,"",SUMIF('09월 에너지'!$A$14:$A$949,$A20,'09월 에너지'!Y$14:Y$949))</f>
        <v/>
      </c>
      <c r="CM20" s="954" t="str">
        <f>IF($B20&lt;1,"",SUMIF('09월 에너지'!$A$14:$A$949,$A20,'09월 에너지'!Z$14:Z$949))</f>
        <v/>
      </c>
      <c r="CN20" s="954" t="str">
        <f>IF($B20&lt;1,"",SUMIF('09월 에너지'!$A$14:$A$949,$A20,'09월 에너지'!AA$14:AA$949))</f>
        <v/>
      </c>
      <c r="CO20" s="954" t="str">
        <f>IF($B20&lt;1,"",SUMIF('09월 에너지'!$A$14:$A$949,$A20,'09월 에너지'!AB$14:AB$949))</f>
        <v/>
      </c>
      <c r="CP20" s="954" t="str">
        <f>IF($B20&lt;1,"",SUMIF('09월 에너지'!$A$14:$A$949,$A20,'09월 에너지'!AC$14:AC$949))</f>
        <v/>
      </c>
      <c r="CQ20" s="955" t="str">
        <f>IF($B20&lt;1,"",SUMIF('09월 에너지'!$A$14:$A$949,$A20,'09월 에너지'!AD$14:AD$949))</f>
        <v/>
      </c>
      <c r="CR20" s="955" t="str">
        <f>IF($B20&lt;1,"",SUMIF('09월 에너지'!$A$14:$A$949,$A20,'09월 에너지'!AE$14:AE$949))</f>
        <v/>
      </c>
      <c r="CS20" s="948" t="str">
        <f>IF($B20&lt;1,"",SUMIF('09월 에너지'!$A$14:$A$949,$A20,'09월 에너지'!AF$14:AF$949))</f>
        <v/>
      </c>
      <c r="CT20" s="948" t="str">
        <f>IF($B20&lt;1,"",SUMIF('09월 에너지'!$A$14:$A$949,$A20,'09월 에너지'!AG$14:AG$949))</f>
        <v/>
      </c>
      <c r="CU20" s="948" t="str">
        <f>IF($B20&lt;1,"",SUMIF('09월 에너지'!$A$14:$A$949,$A20,'09월 에너지'!AH$14:AH$949))</f>
        <v/>
      </c>
      <c r="CV20" s="948" t="str">
        <f>IF($B20&lt;1,"",SUMIF('09월 에너지'!$A$14:$A$949,$A20,'09월 에너지'!AI$14:AI$949))</f>
        <v/>
      </c>
      <c r="CW20" s="956" t="str">
        <f>IF($B20&lt;1,"",SUMIF('09월 에너지'!$A$14:$A$949,$A20,'09월 에너지'!AJ$14:AJ$949))</f>
        <v/>
      </c>
    </row>
    <row r="21" spans="1:101" ht="15.75" customHeight="1">
      <c r="A21" s="939">
        <f t="shared" si="1"/>
        <v>44790</v>
      </c>
      <c r="B21" s="884">
        <f>COUNTIF('09월 조업일지'!$A$12:$A$952,A21)</f>
        <v>0</v>
      </c>
      <c r="C21" s="885" t="str">
        <f t="shared" si="0"/>
        <v/>
      </c>
      <c r="D21" s="885" t="str">
        <f>IF($B21&lt;1,"",(SUMIF('09월 조업일지'!$A$12:$A$952,$A21,'09월 조업일지'!$K$12:$K$952))/B21)</f>
        <v/>
      </c>
      <c r="E21" s="885" t="str">
        <f>IF($B21&lt;1,"",AVERAGEIF('09월 조업일지'!$A$12:$A$952,$A21,'09월 조업일지'!$J$12:$J$952))</f>
        <v/>
      </c>
      <c r="F21" s="940" t="str">
        <f>IF($B21&lt;1,"",AVERAGEIF('09월 에너지'!$A$14:$A$949,$A21,'09월 에너지'!$M$14:M$949))</f>
        <v/>
      </c>
      <c r="G21" s="887" t="str">
        <f>IF($B21&lt;1,"",AVERAGEIF('09월 조업일지'!$A$12:$A$952,$A21,'09월 조업일지'!$AJ$12:$AJ$952))</f>
        <v/>
      </c>
      <c r="H21" s="887" t="str">
        <f>IF($B21&lt;1,"",AVERAGEIF('09월 조업일지'!$A$12:$A$952,$A21,'09월 조업일지'!$AL$12:$AL$952))</f>
        <v/>
      </c>
      <c r="I21" s="941" t="str">
        <f>IF($B21&lt;1,"",AVERAGEIF('09월 화학성분'!$A$12:$A$949,$A21,'09월 화학성분'!G$12:G$949))</f>
        <v/>
      </c>
      <c r="J21" s="941" t="str">
        <f>IF($B21&lt;1,"",AVERAGEIF('09월 화학성분'!$A$12:$A$949,$A21,'09월 화학성분'!H$12:H$949))</f>
        <v/>
      </c>
      <c r="K21" s="941" t="str">
        <f>IF($B21&lt;1,"",AVERAGEIF('09월 화학성분'!$A$12:$A$949,$A21,'09월 화학성분'!I$12:I$949))</f>
        <v/>
      </c>
      <c r="L21" s="941" t="str">
        <f>IF($B21&lt;1,"",AVERAGEIF('09월 화학성분'!$A$12:$A$949,$A21,'09월 화학성분'!J$12:J$949))</f>
        <v/>
      </c>
      <c r="M21" s="941" t="str">
        <f>IF($B21&lt;1,"",AVERAGEIF('09월 화학성분'!$A$12:$A$949,$A21,'09월 화학성분'!K$12:K$949))</f>
        <v/>
      </c>
      <c r="N21" s="941" t="str">
        <f>IF($B21&lt;1,"",AVERAGEIF('09월 화학성분'!$A$12:$A$949,$A21,'09월 화학성분'!L$12:L$949))</f>
        <v/>
      </c>
      <c r="O21" s="941" t="str">
        <f>IF($B21&lt;1,"",AVERAGEIF('09월 화학성분'!$A$12:$A$949,$A21,'09월 화학성분'!M$12:M$949))</f>
        <v/>
      </c>
      <c r="P21" s="889" t="str">
        <f>IF($B21&lt;1,"",AVERAGEIF('09월 조업일지'!$A$12:$A$952,$A21,'09월 조업일지'!$AK$12:$AK$952))</f>
        <v/>
      </c>
      <c r="Q21" s="941" t="str">
        <f>IF($B21&lt;1,"",AVERAGEIF('09월 화학성분'!$A$12:$A$949,$A21,'09월 화학성분'!$G$12:$G$949))</f>
        <v/>
      </c>
      <c r="R21" s="889" t="str">
        <f>IF($B21&lt;1,"",AVERAGEIF('09월 조업일지'!$A$12:$A$952,$A21,'09월 조업일지'!$AI$12:$AI$952))</f>
        <v/>
      </c>
      <c r="S21" s="942" t="str">
        <f>IF($B21&lt;1,"",SUMIF('09월 화학성분'!$A$12:$A$949,$A21,'09월 화학성분'!$AM$12:$AM$949))</f>
        <v/>
      </c>
      <c r="T21" s="943" t="str">
        <f>IF($B21&lt;1,"",SUMIF('09월 화학성분'!$A$12:$A$949,$A21,'09월 화학성분'!N$12:N$949))</f>
        <v/>
      </c>
      <c r="U21" s="943" t="str">
        <f>IF($B21&lt;1,"",SUMIF('09월 화학성분'!$A$12:$A$949,$A21,'09월 화학성분'!O$12:O$949))</f>
        <v/>
      </c>
      <c r="V21" s="943" t="str">
        <f>IF($B21&lt;1,"",SUMIF('09월 화학성분'!$A$12:$A$949,$A21,'09월 화학성분'!P$12:P$949))</f>
        <v/>
      </c>
      <c r="W21" s="943" t="str">
        <f>IF($B21&lt;1,"",SUMIF('09월 화학성분'!$A$12:$A$949,$A21,'09월 화학성분'!Q$12:Q$949))</f>
        <v/>
      </c>
      <c r="X21" s="943" t="str">
        <f>IF($B21&lt;1,"",SUMIF('09월 화학성분'!$A$12:$A$949,$A21,'09월 화학성분'!R$12:R$949))</f>
        <v/>
      </c>
      <c r="Y21" s="943" t="str">
        <f>IF($B21&lt;1,"",SUMIF('09월 화학성분'!$A$12:$A$949,$A21,'09월 화학성분'!U$12:U$949))</f>
        <v/>
      </c>
      <c r="Z21" s="944" t="str">
        <f>IF($B21&lt;1,"",SUMIF('09월 화학성분'!$A$12:$A$949,$A21,'09월 화학성분'!V$12:V$949))</f>
        <v/>
      </c>
      <c r="AA21" s="944" t="str">
        <f>IF($B21&lt;1,"",SUMIF('09월 화학성분'!$A$12:$A$949,$A21,'09월 화학성분'!W$12:W$949))</f>
        <v/>
      </c>
      <c r="AB21" s="944" t="str">
        <f>IF($B21&lt;1,"",SUMIF('09월 화학성분'!$A$12:$A$949,$A21,'09월 화학성분'!AA$12:AA$949))</f>
        <v/>
      </c>
      <c r="AC21" s="944"/>
      <c r="AD21" s="945" t="str">
        <f>IF($B21&lt;1,"",SUMIF('09월 화학성분'!$A$12:$A$949,$A21,'09월 화학성분'!AB$12:AB$949))</f>
        <v/>
      </c>
      <c r="AE21" s="945" t="str">
        <f>IF($B21&lt;1,"",SUMIF('09월 화학성분'!$A$12:$A$949,$A21,'09월 화학성분'!AC$12:AC$949))</f>
        <v/>
      </c>
      <c r="AF21" s="945" t="str">
        <f>IF($B21&lt;1,"",SUMIF('09월 화학성분'!$A$12:$A$949,$A21,'09월 화학성분'!AD$12:AD$949))</f>
        <v/>
      </c>
      <c r="AG21" s="945"/>
      <c r="AH21" s="945" t="str">
        <f>IF($B21&lt;1,"",SUMIF('09월 화학성분'!$A$12:$A$949,$A21,'09월 화학성분'!AG$12:AG$949))</f>
        <v/>
      </c>
      <c r="AI21" s="945" t="str">
        <f>IF($B21&lt;1,"",SUMIF('09월 화학성분'!$A$12:$A$949,$A21,'09월 화학성분'!AH$12:AH$949))</f>
        <v/>
      </c>
      <c r="AJ21" s="945" t="str">
        <f>IF($B21&lt;1,"",SUMIF('09월 화학성분'!$A$12:$A$949,$A21,'09월 화학성분'!AI$12:AI$949))</f>
        <v/>
      </c>
      <c r="AK21" s="945" t="str">
        <f>IF($B21&lt;1,"",SUMIF('09월 화학성분'!$A$12:$A$949,$A21,'09월 화학성분'!AJ$12:AJ$949))</f>
        <v/>
      </c>
      <c r="AL21" s="945" t="str">
        <f>IF($B21&lt;1,"",SUMIF('09월 화학성분'!$A$12:$A$949,$A21,'09월 화학성분'!#REF!))</f>
        <v/>
      </c>
      <c r="AM21" s="945" t="str">
        <f>IF($B21&lt;1,"",SUMIF('09월 화학성분'!$A$12:$A$949,$A21,'09월 화학성분'!AL$12:AL$949))</f>
        <v/>
      </c>
      <c r="AN21" s="946" t="str">
        <f>IF($B21&lt;1,"",SUMIF('09월 화학성분'!$A$12:$A$949,$A21,'09월 화학성분'!AM$12:AM$949))</f>
        <v/>
      </c>
      <c r="AO21" s="947" t="str">
        <f>IF($B21&lt;1,"",AVERAGEIF('09월 화학성분'!$A$12:$A$949,$A21,'09월 화학성분'!AN$12:AN$949))</f>
        <v/>
      </c>
      <c r="AP21" s="947" t="str">
        <f>IF($B21&lt;1,"",AVERAGEIF('09월 화학성분'!$A$12:$A$949,$A21,'09월 화학성분'!AO$12:AO$949))</f>
        <v/>
      </c>
      <c r="AQ21" s="948" t="str">
        <f>IF($B21&lt;1,"",SUMIF('09월 화학성분'!$A$12:$A$949,$A21,'09월 화학성분'!AP$12:AP$949))</f>
        <v/>
      </c>
      <c r="AR21" s="949" t="str">
        <f>IF($B21&lt;1,"",SUMIF('09월 고철장입'!$A$14:$A$949,$A21,'09월 고철장입'!G$14:G$949)/1000)</f>
        <v/>
      </c>
      <c r="AS21" s="949" t="str">
        <f>IF($B21&lt;1,"",SUMIF('09월 고철장입'!$A$14:$A$949,$A21,'09월 고철장입'!H$14:H$949)/1000)</f>
        <v/>
      </c>
      <c r="AT21" s="949" t="str">
        <f>IF($B21&lt;1,"",SUMIF('09월 고철장입'!$A$14:$A$949,$A21,'09월 고철장입'!I$14:I$949)/1000)</f>
        <v/>
      </c>
      <c r="AU21" s="949" t="str">
        <f>IF($B21&lt;1,"",SUMIF('09월 고철장입'!$A$14:$A$949,$A21,'09월 고철장입'!J$14:J$949)/1000)</f>
        <v/>
      </c>
      <c r="AV21" s="949" t="str">
        <f>IF($B21&lt;1,"",SUMIF('09월 고철장입'!$A$14:$A$949,$A21,'09월 고철장입'!K$14:K$949)/1000)</f>
        <v/>
      </c>
      <c r="AW21" s="949" t="str">
        <f>IF($B21&lt;1,"",SUMIF('09월 고철장입'!$A$14:$A$949,$A21,'09월 고철장입'!L$14:L$949)/1000)</f>
        <v/>
      </c>
      <c r="AX21" s="949" t="str">
        <f>IF($B21&lt;1,"",SUMIF('09월 고철장입'!$A$14:$A$949,$A21,'09월 고철장입'!M$14:M$949)/1000)</f>
        <v/>
      </c>
      <c r="AY21" s="949" t="str">
        <f>IF($B21&lt;1,"",SUMIF('09월 고철장입'!$A$14:$A$949,$A21,'09월 고철장입'!N$14:N$949)/1000)</f>
        <v/>
      </c>
      <c r="AZ21" s="949" t="str">
        <f>IF($B21&lt;1,"",SUMIF('09월 고철장입'!$A$14:$A$949,$A21,'09월 고철장입'!O$14:O$949)/1000)</f>
        <v/>
      </c>
      <c r="BA21" s="950" t="str">
        <f>IF($B21&lt;1,"",SUMIF('09월 고철장입'!$A$14:$A$949,$A21,'09월 고철장입'!P$14:P$949)/1000)</f>
        <v/>
      </c>
      <c r="BB21" s="950" t="str">
        <f>IF($B21&lt;1,"",SUMIF('09월 고철장입'!$A$14:$A$949,$A21,'09월 고철장입'!Q$14:Q$949)/1000)</f>
        <v/>
      </c>
      <c r="BC21" s="950" t="str">
        <f>IF($B21&lt;1,"",SUMIF('09월 고철장입'!$A$14:$A$949,$A21,'09월 고철장입'!S$14:S$949)/1000)</f>
        <v/>
      </c>
      <c r="BD21" s="950" t="str">
        <f>IF($B21&lt;1,"",SUMIF('09월 고철장입'!$A$14:$A$949,$A21,'09월 고철장입'!T$14:T$949)/1000)</f>
        <v/>
      </c>
      <c r="BE21" s="950" t="str">
        <f>IF($B21&lt;1,"",SUMIF('09월 고철장입'!$A$14:$A$949,$A21,'09월 고철장입'!U$14:U$949)/1000)</f>
        <v/>
      </c>
      <c r="BF21" s="950" t="str">
        <f>IF($B21&lt;1,"",SUMIF('09월 고철장입'!$A$14:$A$949,$A21,'09월 고철장입'!V$14:V$949)/1000)</f>
        <v/>
      </c>
      <c r="BG21" s="950" t="str">
        <f>IF($B21&lt;1,"",SUMIF('09월 고철장입'!$A$14:$A$949,$A21,'09월 고철장입'!W$14:W$949)/1000)</f>
        <v/>
      </c>
      <c r="BH21" s="950" t="str">
        <f>IF($B21&lt;1,"",SUMIF('09월 고철장입'!$A$14:$A$949,$A21,'09월 고철장입'!Y$14:Y$949)/1000)</f>
        <v/>
      </c>
      <c r="BI21" s="950" t="str">
        <f>IF($B21&lt;1,"",SUMIF('09월 고철장입'!$A$14:$A$949,$A21,'09월 고철장입'!AB$14:AB$949)/1000)</f>
        <v/>
      </c>
      <c r="BJ21" s="950" t="str">
        <f>IF($B21&lt;1,"",SUMIF('09월 고철장입'!$A$14:$A$949,$A21,'09월 고철장입'!AC$14:AC$949)/1000)</f>
        <v/>
      </c>
      <c r="BK21" s="950" t="str">
        <f>IF($B21&lt;1,"",SUMIF('09월 고철장입'!$A$14:$A$949,$A21,'09월 고철장입'!AD$14:AD$949)/1000)</f>
        <v/>
      </c>
      <c r="BL21" s="950" t="str">
        <f>IF($B21&lt;1,"",SUMIF('09월 고철장입'!$A$14:$A$949,$A21,'09월 고철장입'!AE$14:AE$949)/1000)</f>
        <v/>
      </c>
      <c r="BM21" s="951" t="str">
        <f>IF($B21&lt;1,"",SUMIF('09월 고철장입'!$A$14:$A$949,$A21,'09월 고철장입'!AF$14:AF$949)/1000)</f>
        <v/>
      </c>
      <c r="BN21" s="951" t="str">
        <f>IF($B21&lt;1,"",SUMIF('09월 고철장입'!$A$14:$A$949,$A21,'09월 고철장입'!AG$14:AG$949)/1000)</f>
        <v/>
      </c>
      <c r="BO21" s="951" t="str">
        <f>IF($B21&lt;1,"",SUMIF('09월 고철장입'!$A$14:$A$949,$A21,'09월 고철장입'!AH$14:AH$949)/1000)</f>
        <v/>
      </c>
      <c r="BP21" s="951" t="str">
        <f>IF($B21&lt;1,"",SUMIF('09월 고철장입'!$A$14:$A$949,$A21,'09월 고철장입'!AI$14:AI$949)/1000)</f>
        <v/>
      </c>
      <c r="BQ21" s="952" t="str">
        <f>IF($B21&lt;1,"",SUMIF('09월 고철장입'!$A$14:$A$949,$A21,'09월 고철장입'!AJ$14:AJ$949)/1000)</f>
        <v/>
      </c>
      <c r="BR21" s="952" t="str">
        <f>IF($B21&lt;1,"",SUMIF('09월 고철장입'!$A$14:$A$949,$A21,'09월 고철장입'!AK$14:AK$949))</f>
        <v/>
      </c>
      <c r="BS21" s="953" t="str">
        <f>IF($B21&lt;1,"",AVERAGEIF('09월 고철장입'!$A$14:$A$949,$A21,'09월 고철장입'!AL$14:AL$949)*100)</f>
        <v/>
      </c>
      <c r="BT21" s="948" t="str">
        <f>IF($B21&lt;1,"",SUMIF('09월 에너지'!$A$14:$A$949,$A21,'09월 에너지'!G$14:G$949))</f>
        <v/>
      </c>
      <c r="BU21" s="948" t="str">
        <f>IF($B21&lt;1,"",SUMIF('09월 에너지'!$A$14:$A$949,$A21,'09월 에너지'!H$14:H$949))</f>
        <v/>
      </c>
      <c r="BV21" s="948" t="str">
        <f>IF($B21&lt;1,"",SUMIF('09월 에너지'!$A$14:$A$949,$A21,'09월 에너지'!I$14:I$949))</f>
        <v/>
      </c>
      <c r="BW21" s="948" t="str">
        <f>IF($B21&lt;1,"",SUMIF('09월 에너지'!$A$14:$A$949,$A21,'09월 에너지'!J$14:J$949))</f>
        <v/>
      </c>
      <c r="BX21" s="948" t="str">
        <f>IF($B21&lt;1,"",SUMIF('09월 에너지'!$A$14:$A$949,$A21,'09월 에너지'!K$14:K$949))</f>
        <v/>
      </c>
      <c r="BY21" s="948" t="str">
        <f>IF($B21&lt;1,"",SUMIF('09월 에너지'!$A$14:$A$949,$A21,'09월 에너지'!L$14:L$949))</f>
        <v/>
      </c>
      <c r="BZ21" s="948" t="str">
        <f>IF($B21&lt;1,"",SUMIF('09월 에너지'!$A$14:$A$949,$A21,'09월 에너지'!M$14:M$949))</f>
        <v/>
      </c>
      <c r="CA21" s="948" t="str">
        <f>IF($B21&lt;1,"",SUMIF('09월 에너지'!$A$14:$A$949,$A21,'09월 에너지'!N$14:N$949))</f>
        <v/>
      </c>
      <c r="CB21" s="948" t="str">
        <f>IF($B21&lt;1,"",SUMIF('09월 에너지'!$A$14:$A$949,$A21,'09월 에너지'!O$14:O$949))</f>
        <v/>
      </c>
      <c r="CC21" s="948" t="str">
        <f>IF($B21&lt;1,"",SUMIF('09월 에너지'!$A$14:$A$949,$A21,'09월 에너지'!P$14:P$949))</f>
        <v/>
      </c>
      <c r="CD21" s="948" t="str">
        <f>IF($B21&lt;1,"",SUMIF('09월 에너지'!$A$14:$A$949,$A21,'09월 에너지'!Q$14:Q$949))</f>
        <v/>
      </c>
      <c r="CE21" s="948" t="str">
        <f>IF($B21&lt;1,"",SUMIF('09월 에너지'!$A$14:$A$949,$A21,'09월 에너지'!R$14:R$949))</f>
        <v/>
      </c>
      <c r="CF21" s="948" t="str">
        <f>IF($B21&lt;1,"",SUMIF('09월 에너지'!$A$14:$A$949,$A21,'09월 에너지'!S$14:S$949))</f>
        <v/>
      </c>
      <c r="CG21" s="954" t="str">
        <f>IF($B21&lt;1,"",SUMIF('09월 에너지'!$A$14:$A$949,$A21,'09월 에너지'!T$14:T$949))</f>
        <v/>
      </c>
      <c r="CH21" s="954" t="str">
        <f>IF($B21&lt;1,"",SUMIF('09월 에너지'!$A$14:$A$949,$A21,'09월 에너지'!U$14:U$949))</f>
        <v/>
      </c>
      <c r="CI21" s="954" t="str">
        <f>IF($B21&lt;1,"",SUMIF('09월 에너지'!$A$14:$A$949,$A21,'09월 에너지'!V$14:V$949))</f>
        <v/>
      </c>
      <c r="CJ21" s="954" t="str">
        <f>IF($B21&lt;1,"",SUMIF('09월 에너지'!$A$14:$A$949,$A21,'09월 에너지'!W$14:W$949))</f>
        <v/>
      </c>
      <c r="CK21" s="954" t="str">
        <f>IF($B21&lt;1,"",SUMIF('09월 에너지'!$A$14:$A$949,$A21,'09월 에너지'!X$14:X$949))</f>
        <v/>
      </c>
      <c r="CL21" s="954" t="str">
        <f>IF($B21&lt;1,"",SUMIF('09월 에너지'!$A$14:$A$949,$A21,'09월 에너지'!Y$14:Y$949))</f>
        <v/>
      </c>
      <c r="CM21" s="954" t="str">
        <f>IF($B21&lt;1,"",SUMIF('09월 에너지'!$A$14:$A$949,$A21,'09월 에너지'!Z$14:Z$949))</f>
        <v/>
      </c>
      <c r="CN21" s="954" t="str">
        <f>IF($B21&lt;1,"",SUMIF('09월 에너지'!$A$14:$A$949,$A21,'09월 에너지'!AA$14:AA$949))</f>
        <v/>
      </c>
      <c r="CO21" s="954" t="str">
        <f>IF($B21&lt;1,"",SUMIF('09월 에너지'!$A$14:$A$949,$A21,'09월 에너지'!AB$14:AB$949))</f>
        <v/>
      </c>
      <c r="CP21" s="954" t="str">
        <f>IF($B21&lt;1,"",SUMIF('09월 에너지'!$A$14:$A$949,$A21,'09월 에너지'!AC$14:AC$949))</f>
        <v/>
      </c>
      <c r="CQ21" s="955" t="str">
        <f>IF($B21&lt;1,"",SUMIF('09월 에너지'!$A$14:$A$949,$A21,'09월 에너지'!AD$14:AD$949))</f>
        <v/>
      </c>
      <c r="CR21" s="955" t="str">
        <f>IF($B21&lt;1,"",SUMIF('09월 에너지'!$A$14:$A$949,$A21,'09월 에너지'!AE$14:AE$949))</f>
        <v/>
      </c>
      <c r="CS21" s="948" t="str">
        <f>IF($B21&lt;1,"",SUMIF('09월 에너지'!$A$14:$A$949,$A21,'09월 에너지'!AF$14:AF$949))</f>
        <v/>
      </c>
      <c r="CT21" s="948" t="str">
        <f>IF($B21&lt;1,"",SUMIF('09월 에너지'!$A$14:$A$949,$A21,'09월 에너지'!AG$14:AG$949))</f>
        <v/>
      </c>
      <c r="CU21" s="948" t="str">
        <f>IF($B21&lt;1,"",SUMIF('09월 에너지'!$A$14:$A$949,$A21,'09월 에너지'!AH$14:AH$949))</f>
        <v/>
      </c>
      <c r="CV21" s="948" t="str">
        <f>IF($B21&lt;1,"",SUMIF('09월 에너지'!$A$14:$A$949,$A21,'09월 에너지'!AI$14:AI$949))</f>
        <v/>
      </c>
      <c r="CW21" s="956" t="str">
        <f>IF($B21&lt;1,"",SUMIF('09월 에너지'!$A$14:$A$949,$A21,'09월 에너지'!AJ$14:AJ$949))</f>
        <v/>
      </c>
    </row>
    <row r="22" spans="1:101" ht="15.75" customHeight="1">
      <c r="A22" s="939">
        <f t="shared" si="1"/>
        <v>44791</v>
      </c>
      <c r="B22" s="884">
        <f>COUNTIF('09월 조업일지'!$A$12:$A$952,A22)</f>
        <v>0</v>
      </c>
      <c r="C22" s="885" t="str">
        <f t="shared" si="0"/>
        <v/>
      </c>
      <c r="D22" s="885" t="str">
        <f>IF($B22&lt;1,"",(SUMIF('09월 조업일지'!$A$12:$A$952,$A22,'09월 조업일지'!$K$12:$K$952))/B22)</f>
        <v/>
      </c>
      <c r="E22" s="885" t="str">
        <f>IF($B22&lt;1,"",AVERAGEIF('09월 조업일지'!$A$12:$A$952,$A22,'09월 조업일지'!$J$12:$J$952))</f>
        <v/>
      </c>
      <c r="F22" s="940" t="str">
        <f>IF($B22&lt;1,"",AVERAGEIF('09월 에너지'!$A$14:$A$949,$A22,'09월 에너지'!$M$14:M$949))</f>
        <v/>
      </c>
      <c r="G22" s="887" t="str">
        <f>IF($B22&lt;1,"",AVERAGEIF('09월 조업일지'!$A$12:$A$952,$A22,'09월 조업일지'!$AJ$12:$AJ$952))</f>
        <v/>
      </c>
      <c r="H22" s="887" t="str">
        <f>IF($B22&lt;1,"",AVERAGEIF('09월 조업일지'!$A$12:$A$952,$A22,'09월 조업일지'!$AL$12:$AL$952))</f>
        <v/>
      </c>
      <c r="I22" s="941" t="str">
        <f>IF($B22&lt;1,"",AVERAGEIF('09월 화학성분'!$A$12:$A$949,$A22,'09월 화학성분'!G$12:G$949))</f>
        <v/>
      </c>
      <c r="J22" s="941" t="str">
        <f>IF($B22&lt;1,"",AVERAGEIF('09월 화학성분'!$A$12:$A$949,$A22,'09월 화학성분'!H$12:H$949))</f>
        <v/>
      </c>
      <c r="K22" s="941" t="str">
        <f>IF($B22&lt;1,"",AVERAGEIF('09월 화학성분'!$A$12:$A$949,$A22,'09월 화학성분'!I$12:I$949))</f>
        <v/>
      </c>
      <c r="L22" s="941" t="str">
        <f>IF($B22&lt;1,"",AVERAGEIF('09월 화학성분'!$A$12:$A$949,$A22,'09월 화학성분'!J$12:J$949))</f>
        <v/>
      </c>
      <c r="M22" s="941" t="str">
        <f>IF($B22&lt;1,"",AVERAGEIF('09월 화학성분'!$A$12:$A$949,$A22,'09월 화학성분'!K$12:K$949))</f>
        <v/>
      </c>
      <c r="N22" s="941" t="str">
        <f>IF($B22&lt;1,"",AVERAGEIF('09월 화학성분'!$A$12:$A$949,$A22,'09월 화학성분'!L$12:L$949))</f>
        <v/>
      </c>
      <c r="O22" s="941" t="str">
        <f>IF($B22&lt;1,"",AVERAGEIF('09월 화학성분'!$A$12:$A$949,$A22,'09월 화학성분'!M$12:M$949))</f>
        <v/>
      </c>
      <c r="P22" s="889" t="str">
        <f>IF($B22&lt;1,"",AVERAGEIF('09월 조업일지'!$A$12:$A$952,$A22,'09월 조업일지'!$AK$12:$AK$952))</f>
        <v/>
      </c>
      <c r="Q22" s="941" t="str">
        <f>IF($B22&lt;1,"",AVERAGEIF('09월 화학성분'!$A$12:$A$949,$A22,'09월 화학성분'!$G$12:$G$949))</f>
        <v/>
      </c>
      <c r="R22" s="889" t="str">
        <f>IF($B22&lt;1,"",AVERAGEIF('09월 조업일지'!$A$12:$A$952,$A22,'09월 조업일지'!$AI$12:$AI$952))</f>
        <v/>
      </c>
      <c r="S22" s="942" t="str">
        <f>IF($B22&lt;1,"",SUMIF('09월 화학성분'!$A$12:$A$949,$A22,'09월 화학성분'!$AM$12:$AM$949))</f>
        <v/>
      </c>
      <c r="T22" s="943" t="str">
        <f>IF($B22&lt;1,"",SUMIF('09월 화학성분'!$A$12:$A$949,$A22,'09월 화학성분'!N$12:N$949))</f>
        <v/>
      </c>
      <c r="U22" s="943" t="str">
        <f>IF($B22&lt;1,"",SUMIF('09월 화학성분'!$A$12:$A$949,$A22,'09월 화학성분'!O$12:O$949))</f>
        <v/>
      </c>
      <c r="V22" s="943" t="str">
        <f>IF($B22&lt;1,"",SUMIF('09월 화학성분'!$A$12:$A$949,$A22,'09월 화학성분'!P$12:P$949))</f>
        <v/>
      </c>
      <c r="W22" s="943" t="str">
        <f>IF($B22&lt;1,"",SUMIF('09월 화학성분'!$A$12:$A$949,$A22,'09월 화학성분'!Q$12:Q$949))</f>
        <v/>
      </c>
      <c r="X22" s="943" t="str">
        <f>IF($B22&lt;1,"",SUMIF('09월 화학성분'!$A$12:$A$949,$A22,'09월 화학성분'!R$12:R$949))</f>
        <v/>
      </c>
      <c r="Y22" s="943" t="str">
        <f>IF($B22&lt;1,"",SUMIF('09월 화학성분'!$A$12:$A$949,$A22,'09월 화학성분'!U$12:U$949))</f>
        <v/>
      </c>
      <c r="Z22" s="944" t="str">
        <f>IF($B22&lt;1,"",SUMIF('09월 화학성분'!$A$12:$A$949,$A22,'09월 화학성분'!V$12:V$949))</f>
        <v/>
      </c>
      <c r="AA22" s="944" t="str">
        <f>IF($B22&lt;1,"",SUMIF('09월 화학성분'!$A$12:$A$949,$A22,'09월 화학성분'!W$12:W$949))</f>
        <v/>
      </c>
      <c r="AB22" s="944" t="str">
        <f>IF($B22&lt;1,"",SUMIF('09월 화학성분'!$A$12:$A$949,$A22,'09월 화학성분'!AA$12:AA$949))</f>
        <v/>
      </c>
      <c r="AC22" s="944"/>
      <c r="AD22" s="945" t="str">
        <f>IF($B22&lt;1,"",SUMIF('09월 화학성분'!$A$12:$A$949,$A22,'09월 화학성분'!AB$12:AB$949))</f>
        <v/>
      </c>
      <c r="AE22" s="945" t="str">
        <f>IF($B22&lt;1,"",SUMIF('09월 화학성분'!$A$12:$A$949,$A22,'09월 화학성분'!AC$12:AC$949))</f>
        <v/>
      </c>
      <c r="AF22" s="945" t="str">
        <f>IF($B22&lt;1,"",SUMIF('09월 화학성분'!$A$12:$A$949,$A22,'09월 화학성분'!AD$12:AD$949))</f>
        <v/>
      </c>
      <c r="AG22" s="945"/>
      <c r="AH22" s="945" t="str">
        <f>IF($B22&lt;1,"",SUMIF('09월 화학성분'!$A$12:$A$949,$A22,'09월 화학성분'!AG$12:AG$949))</f>
        <v/>
      </c>
      <c r="AI22" s="945" t="str">
        <f>IF($B22&lt;1,"",SUMIF('09월 화학성분'!$A$12:$A$949,$A22,'09월 화학성분'!AH$12:AH$949))</f>
        <v/>
      </c>
      <c r="AJ22" s="945" t="str">
        <f>IF($B22&lt;1,"",SUMIF('09월 화학성분'!$A$12:$A$949,$A22,'09월 화학성분'!AI$12:AI$949))</f>
        <v/>
      </c>
      <c r="AK22" s="945" t="str">
        <f>IF($B22&lt;1,"",SUMIF('09월 화학성분'!$A$12:$A$949,$A22,'09월 화학성분'!AJ$12:AJ$949))</f>
        <v/>
      </c>
      <c r="AL22" s="945" t="str">
        <f>IF($B22&lt;1,"",SUMIF('09월 화학성분'!$A$12:$A$949,$A22,'09월 화학성분'!#REF!))</f>
        <v/>
      </c>
      <c r="AM22" s="945" t="str">
        <f>IF($B22&lt;1,"",SUMIF('09월 화학성분'!$A$12:$A$949,$A22,'09월 화학성분'!AL$12:AL$949))</f>
        <v/>
      </c>
      <c r="AN22" s="946" t="str">
        <f>IF($B22&lt;1,"",SUMIF('09월 화학성분'!$A$12:$A$949,$A22,'09월 화학성분'!AM$12:AM$949))</f>
        <v/>
      </c>
      <c r="AO22" s="947" t="str">
        <f>IF($B22&lt;1,"",AVERAGEIF('09월 화학성분'!$A$12:$A$949,$A22,'09월 화학성분'!AN$12:AN$949))</f>
        <v/>
      </c>
      <c r="AP22" s="947" t="str">
        <f>IF($B22&lt;1,"",AVERAGEIF('09월 화학성분'!$A$12:$A$949,$A22,'09월 화학성분'!AO$12:AO$949))</f>
        <v/>
      </c>
      <c r="AQ22" s="948" t="str">
        <f>IF($B22&lt;1,"",SUMIF('09월 화학성분'!$A$12:$A$949,$A22,'09월 화학성분'!AP$12:AP$949))</f>
        <v/>
      </c>
      <c r="AR22" s="949" t="str">
        <f>IF($B22&lt;1,"",SUMIF('09월 고철장입'!$A$14:$A$949,$A22,'09월 고철장입'!G$14:G$949)/1000)</f>
        <v/>
      </c>
      <c r="AS22" s="949" t="str">
        <f>IF($B22&lt;1,"",SUMIF('09월 고철장입'!$A$14:$A$949,$A22,'09월 고철장입'!H$14:H$949)/1000)</f>
        <v/>
      </c>
      <c r="AT22" s="949" t="str">
        <f>IF($B22&lt;1,"",SUMIF('09월 고철장입'!$A$14:$A$949,$A22,'09월 고철장입'!I$14:I$949)/1000)</f>
        <v/>
      </c>
      <c r="AU22" s="949" t="str">
        <f>IF($B22&lt;1,"",SUMIF('09월 고철장입'!$A$14:$A$949,$A22,'09월 고철장입'!J$14:J$949)/1000)</f>
        <v/>
      </c>
      <c r="AV22" s="949" t="str">
        <f>IF($B22&lt;1,"",SUMIF('09월 고철장입'!$A$14:$A$949,$A22,'09월 고철장입'!K$14:K$949)/1000)</f>
        <v/>
      </c>
      <c r="AW22" s="949" t="str">
        <f>IF($B22&lt;1,"",SUMIF('09월 고철장입'!$A$14:$A$949,$A22,'09월 고철장입'!L$14:L$949)/1000)</f>
        <v/>
      </c>
      <c r="AX22" s="949" t="str">
        <f>IF($B22&lt;1,"",SUMIF('09월 고철장입'!$A$14:$A$949,$A22,'09월 고철장입'!M$14:M$949)/1000)</f>
        <v/>
      </c>
      <c r="AY22" s="949" t="str">
        <f>IF($B22&lt;1,"",SUMIF('09월 고철장입'!$A$14:$A$949,$A22,'09월 고철장입'!N$14:N$949)/1000)</f>
        <v/>
      </c>
      <c r="AZ22" s="949" t="str">
        <f>IF($B22&lt;1,"",SUMIF('09월 고철장입'!$A$14:$A$949,$A22,'09월 고철장입'!O$14:O$949)/1000)</f>
        <v/>
      </c>
      <c r="BA22" s="950" t="str">
        <f>IF($B22&lt;1,"",SUMIF('09월 고철장입'!$A$14:$A$949,$A22,'09월 고철장입'!P$14:P$949)/1000)</f>
        <v/>
      </c>
      <c r="BB22" s="950" t="str">
        <f>IF($B22&lt;1,"",SUMIF('09월 고철장입'!$A$14:$A$949,$A22,'09월 고철장입'!Q$14:Q$949)/1000)</f>
        <v/>
      </c>
      <c r="BC22" s="950" t="str">
        <f>IF($B22&lt;1,"",SUMIF('09월 고철장입'!$A$14:$A$949,$A22,'09월 고철장입'!S$14:S$949)/1000)</f>
        <v/>
      </c>
      <c r="BD22" s="950" t="str">
        <f>IF($B22&lt;1,"",SUMIF('09월 고철장입'!$A$14:$A$949,$A22,'09월 고철장입'!T$14:T$949)/1000)</f>
        <v/>
      </c>
      <c r="BE22" s="950" t="str">
        <f>IF($B22&lt;1,"",SUMIF('09월 고철장입'!$A$14:$A$949,$A22,'09월 고철장입'!U$14:U$949)/1000)</f>
        <v/>
      </c>
      <c r="BF22" s="950" t="str">
        <f>IF($B22&lt;1,"",SUMIF('09월 고철장입'!$A$14:$A$949,$A22,'09월 고철장입'!V$14:V$949)/1000)</f>
        <v/>
      </c>
      <c r="BG22" s="950" t="str">
        <f>IF($B22&lt;1,"",SUMIF('09월 고철장입'!$A$14:$A$949,$A22,'09월 고철장입'!W$14:W$949)/1000)</f>
        <v/>
      </c>
      <c r="BH22" s="950" t="str">
        <f>IF($B22&lt;1,"",SUMIF('09월 고철장입'!$A$14:$A$949,$A22,'09월 고철장입'!Y$14:Y$949)/1000)</f>
        <v/>
      </c>
      <c r="BI22" s="950" t="str">
        <f>IF($B22&lt;1,"",SUMIF('09월 고철장입'!$A$14:$A$949,$A22,'09월 고철장입'!AB$14:AB$949)/1000)</f>
        <v/>
      </c>
      <c r="BJ22" s="950" t="str">
        <f>IF($B22&lt;1,"",SUMIF('09월 고철장입'!$A$14:$A$949,$A22,'09월 고철장입'!AC$14:AC$949)/1000)</f>
        <v/>
      </c>
      <c r="BK22" s="950" t="str">
        <f>IF($B22&lt;1,"",SUMIF('09월 고철장입'!$A$14:$A$949,$A22,'09월 고철장입'!AD$14:AD$949)/1000)</f>
        <v/>
      </c>
      <c r="BL22" s="950" t="str">
        <f>IF($B22&lt;1,"",SUMIF('09월 고철장입'!$A$14:$A$949,$A22,'09월 고철장입'!AE$14:AE$949)/1000)</f>
        <v/>
      </c>
      <c r="BM22" s="951" t="str">
        <f>IF($B22&lt;1,"",SUMIF('09월 고철장입'!$A$14:$A$949,$A22,'09월 고철장입'!AF$14:AF$949)/1000)</f>
        <v/>
      </c>
      <c r="BN22" s="951" t="str">
        <f>IF($B22&lt;1,"",SUMIF('09월 고철장입'!$A$14:$A$949,$A22,'09월 고철장입'!AG$14:AG$949)/1000)</f>
        <v/>
      </c>
      <c r="BO22" s="951" t="str">
        <f>IF($B22&lt;1,"",SUMIF('09월 고철장입'!$A$14:$A$949,$A22,'09월 고철장입'!AH$14:AH$949)/1000)</f>
        <v/>
      </c>
      <c r="BP22" s="951" t="str">
        <f>IF($B22&lt;1,"",SUMIF('09월 고철장입'!$A$14:$A$949,$A22,'09월 고철장입'!AI$14:AI$949)/1000)</f>
        <v/>
      </c>
      <c r="BQ22" s="952" t="str">
        <f>IF($B22&lt;1,"",SUMIF('09월 고철장입'!$A$14:$A$949,$A22,'09월 고철장입'!AJ$14:AJ$949)/1000)</f>
        <v/>
      </c>
      <c r="BR22" s="952" t="str">
        <f>IF($B22&lt;1,"",SUMIF('09월 고철장입'!$A$14:$A$949,$A22,'09월 고철장입'!AK$14:AK$949))</f>
        <v/>
      </c>
      <c r="BS22" s="953" t="str">
        <f>IF($B22&lt;1,"",AVERAGEIF('09월 고철장입'!$A$14:$A$949,$A22,'09월 고철장입'!AL$14:AL$949)*100)</f>
        <v/>
      </c>
      <c r="BT22" s="948" t="str">
        <f>IF($B22&lt;1,"",SUMIF('09월 에너지'!$A$14:$A$949,$A22,'09월 에너지'!G$14:G$949))</f>
        <v/>
      </c>
      <c r="BU22" s="948" t="str">
        <f>IF($B22&lt;1,"",SUMIF('09월 에너지'!$A$14:$A$949,$A22,'09월 에너지'!H$14:H$949))</f>
        <v/>
      </c>
      <c r="BV22" s="948" t="str">
        <f>IF($B22&lt;1,"",SUMIF('09월 에너지'!$A$14:$A$949,$A22,'09월 에너지'!I$14:I$949))</f>
        <v/>
      </c>
      <c r="BW22" s="948" t="str">
        <f>IF($B22&lt;1,"",SUMIF('09월 에너지'!$A$14:$A$949,$A22,'09월 에너지'!J$14:J$949))</f>
        <v/>
      </c>
      <c r="BX22" s="948" t="str">
        <f>IF($B22&lt;1,"",SUMIF('09월 에너지'!$A$14:$A$949,$A22,'09월 에너지'!K$14:K$949))</f>
        <v/>
      </c>
      <c r="BY22" s="948" t="str">
        <f>IF($B22&lt;1,"",SUMIF('09월 에너지'!$A$14:$A$949,$A22,'09월 에너지'!L$14:L$949))</f>
        <v/>
      </c>
      <c r="BZ22" s="948" t="str">
        <f>IF($B22&lt;1,"",SUMIF('09월 에너지'!$A$14:$A$949,$A22,'09월 에너지'!M$14:M$949))</f>
        <v/>
      </c>
      <c r="CA22" s="948" t="str">
        <f>IF($B22&lt;1,"",SUMIF('09월 에너지'!$A$14:$A$949,$A22,'09월 에너지'!N$14:N$949))</f>
        <v/>
      </c>
      <c r="CB22" s="948" t="str">
        <f>IF($B22&lt;1,"",SUMIF('09월 에너지'!$A$14:$A$949,$A22,'09월 에너지'!O$14:O$949))</f>
        <v/>
      </c>
      <c r="CC22" s="948" t="str">
        <f>IF($B22&lt;1,"",SUMIF('09월 에너지'!$A$14:$A$949,$A22,'09월 에너지'!P$14:P$949))</f>
        <v/>
      </c>
      <c r="CD22" s="948" t="str">
        <f>IF($B22&lt;1,"",SUMIF('09월 에너지'!$A$14:$A$949,$A22,'09월 에너지'!Q$14:Q$949))</f>
        <v/>
      </c>
      <c r="CE22" s="948" t="str">
        <f>IF($B22&lt;1,"",SUMIF('09월 에너지'!$A$14:$A$949,$A22,'09월 에너지'!R$14:R$949))</f>
        <v/>
      </c>
      <c r="CF22" s="948" t="str">
        <f>IF($B22&lt;1,"",SUMIF('09월 에너지'!$A$14:$A$949,$A22,'09월 에너지'!S$14:S$949))</f>
        <v/>
      </c>
      <c r="CG22" s="954" t="str">
        <f>IF($B22&lt;1,"",SUMIF('09월 에너지'!$A$14:$A$949,$A22,'09월 에너지'!T$14:T$949))</f>
        <v/>
      </c>
      <c r="CH22" s="954" t="str">
        <f>IF($B22&lt;1,"",SUMIF('09월 에너지'!$A$14:$A$949,$A22,'09월 에너지'!U$14:U$949))</f>
        <v/>
      </c>
      <c r="CI22" s="954" t="str">
        <f>IF($B22&lt;1,"",SUMIF('09월 에너지'!$A$14:$A$949,$A22,'09월 에너지'!V$14:V$949))</f>
        <v/>
      </c>
      <c r="CJ22" s="954" t="str">
        <f>IF($B22&lt;1,"",SUMIF('09월 에너지'!$A$14:$A$949,$A22,'09월 에너지'!W$14:W$949))</f>
        <v/>
      </c>
      <c r="CK22" s="954" t="str">
        <f>IF($B22&lt;1,"",SUMIF('09월 에너지'!$A$14:$A$949,$A22,'09월 에너지'!X$14:X$949))</f>
        <v/>
      </c>
      <c r="CL22" s="954" t="str">
        <f>IF($B22&lt;1,"",SUMIF('09월 에너지'!$A$14:$A$949,$A22,'09월 에너지'!Y$14:Y$949))</f>
        <v/>
      </c>
      <c r="CM22" s="954" t="str">
        <f>IF($B22&lt;1,"",SUMIF('09월 에너지'!$A$14:$A$949,$A22,'09월 에너지'!Z$14:Z$949))</f>
        <v/>
      </c>
      <c r="CN22" s="954" t="str">
        <f>IF($B22&lt;1,"",SUMIF('09월 에너지'!$A$14:$A$949,$A22,'09월 에너지'!AA$14:AA$949))</f>
        <v/>
      </c>
      <c r="CO22" s="954" t="str">
        <f>IF($B22&lt;1,"",SUMIF('09월 에너지'!$A$14:$A$949,$A22,'09월 에너지'!AB$14:AB$949))</f>
        <v/>
      </c>
      <c r="CP22" s="954" t="str">
        <f>IF($B22&lt;1,"",SUMIF('09월 에너지'!$A$14:$A$949,$A22,'09월 에너지'!AC$14:AC$949))</f>
        <v/>
      </c>
      <c r="CQ22" s="955" t="str">
        <f>IF($B22&lt;1,"",SUMIF('09월 에너지'!$A$14:$A$949,$A22,'09월 에너지'!AD$14:AD$949))</f>
        <v/>
      </c>
      <c r="CR22" s="955" t="str">
        <f>IF($B22&lt;1,"",SUMIF('09월 에너지'!$A$14:$A$949,$A22,'09월 에너지'!AE$14:AE$949))</f>
        <v/>
      </c>
      <c r="CS22" s="948" t="str">
        <f>IF($B22&lt;1,"",SUMIF('09월 에너지'!$A$14:$A$949,$A22,'09월 에너지'!AF$14:AF$949))</f>
        <v/>
      </c>
      <c r="CT22" s="948" t="str">
        <f>IF($B22&lt;1,"",SUMIF('09월 에너지'!$A$14:$A$949,$A22,'09월 에너지'!AG$14:AG$949))</f>
        <v/>
      </c>
      <c r="CU22" s="948" t="str">
        <f>IF($B22&lt;1,"",SUMIF('09월 에너지'!$A$14:$A$949,$A22,'09월 에너지'!AH$14:AH$949))</f>
        <v/>
      </c>
      <c r="CV22" s="948" t="str">
        <f>IF($B22&lt;1,"",SUMIF('09월 에너지'!$A$14:$A$949,$A22,'09월 에너지'!AI$14:AI$949))</f>
        <v/>
      </c>
      <c r="CW22" s="956" t="str">
        <f>IF($B22&lt;1,"",SUMIF('09월 에너지'!$A$14:$A$949,$A22,'09월 에너지'!AJ$14:AJ$949))</f>
        <v/>
      </c>
    </row>
    <row r="23" spans="1:101" ht="15.75" customHeight="1">
      <c r="A23" s="939">
        <f t="shared" si="1"/>
        <v>44792</v>
      </c>
      <c r="B23" s="884">
        <f>COUNTIF('09월 조업일지'!$A$12:$A$952,A23)</f>
        <v>0</v>
      </c>
      <c r="C23" s="885" t="str">
        <f t="shared" si="0"/>
        <v/>
      </c>
      <c r="D23" s="885" t="str">
        <f>IF($B23&lt;1,"",(SUMIF('09월 조업일지'!$A$12:$A$952,$A23,'09월 조업일지'!$K$12:$K$952))/B23)</f>
        <v/>
      </c>
      <c r="E23" s="885" t="str">
        <f>IF($B23&lt;1,"",AVERAGEIF('09월 조업일지'!$A$12:$A$952,$A23,'09월 조업일지'!$J$12:$J$952))</f>
        <v/>
      </c>
      <c r="F23" s="940" t="str">
        <f>IF($B23&lt;1,"",AVERAGEIF('09월 에너지'!$A$14:$A$949,$A23,'09월 에너지'!$M$14:M$949))</f>
        <v/>
      </c>
      <c r="G23" s="887" t="str">
        <f>IF($B23&lt;1,"",AVERAGEIF('09월 조업일지'!$A$12:$A$952,$A23,'09월 조업일지'!$AJ$12:$AJ$952))</f>
        <v/>
      </c>
      <c r="H23" s="887" t="str">
        <f>IF($B23&lt;1,"",AVERAGEIF('09월 조업일지'!$A$12:$A$952,$A23,'09월 조업일지'!$AL$12:$AL$952))</f>
        <v/>
      </c>
      <c r="I23" s="941" t="str">
        <f>IF($B23&lt;1,"",AVERAGEIF('09월 화학성분'!$A$12:$A$949,$A23,'09월 화학성분'!G$12:G$949))</f>
        <v/>
      </c>
      <c r="J23" s="941" t="str">
        <f>IF($B23&lt;1,"",AVERAGEIF('09월 화학성분'!$A$12:$A$949,$A23,'09월 화학성분'!H$12:H$949))</f>
        <v/>
      </c>
      <c r="K23" s="941" t="str">
        <f>IF($B23&lt;1,"",AVERAGEIF('09월 화학성분'!$A$12:$A$949,$A23,'09월 화학성분'!I$12:I$949))</f>
        <v/>
      </c>
      <c r="L23" s="941" t="str">
        <f>IF($B23&lt;1,"",AVERAGEIF('09월 화학성분'!$A$12:$A$949,$A23,'09월 화학성분'!J$12:J$949))</f>
        <v/>
      </c>
      <c r="M23" s="941" t="str">
        <f>IF($B23&lt;1,"",AVERAGEIF('09월 화학성분'!$A$12:$A$949,$A23,'09월 화학성분'!K$12:K$949))</f>
        <v/>
      </c>
      <c r="N23" s="941" t="str">
        <f>IF($B23&lt;1,"",AVERAGEIF('09월 화학성분'!$A$12:$A$949,$A23,'09월 화학성분'!L$12:L$949))</f>
        <v/>
      </c>
      <c r="O23" s="941" t="str">
        <f>IF($B23&lt;1,"",AVERAGEIF('09월 화학성분'!$A$12:$A$949,$A23,'09월 화학성분'!M$12:M$949))</f>
        <v/>
      </c>
      <c r="P23" s="889" t="str">
        <f>IF($B23&lt;1,"",AVERAGEIF('09월 조업일지'!$A$12:$A$952,$A23,'09월 조업일지'!$AK$12:$AK$952))</f>
        <v/>
      </c>
      <c r="Q23" s="941" t="str">
        <f>IF($B23&lt;1,"",AVERAGEIF('09월 화학성분'!$A$12:$A$949,$A23,'09월 화학성분'!$G$12:$G$949))</f>
        <v/>
      </c>
      <c r="R23" s="889" t="str">
        <f>IF($B23&lt;1,"",AVERAGEIF('09월 조업일지'!$A$12:$A$952,$A23,'09월 조업일지'!$AI$12:$AI$952))</f>
        <v/>
      </c>
      <c r="S23" s="942" t="str">
        <f>IF($B23&lt;1,"",SUMIF('09월 화학성분'!$A$12:$A$949,$A23,'09월 화학성분'!$AM$12:$AM$949))</f>
        <v/>
      </c>
      <c r="T23" s="943" t="str">
        <f>IF($B23&lt;1,"",SUMIF('09월 화학성분'!$A$12:$A$949,$A23,'09월 화학성분'!N$12:N$949))</f>
        <v/>
      </c>
      <c r="U23" s="943" t="str">
        <f>IF($B23&lt;1,"",SUMIF('09월 화학성분'!$A$12:$A$949,$A23,'09월 화학성분'!O$12:O$949))</f>
        <v/>
      </c>
      <c r="V23" s="943" t="str">
        <f>IF($B23&lt;1,"",SUMIF('09월 화학성분'!$A$12:$A$949,$A23,'09월 화학성분'!P$12:P$949))</f>
        <v/>
      </c>
      <c r="W23" s="943" t="str">
        <f>IF($B23&lt;1,"",SUMIF('09월 화학성분'!$A$12:$A$949,$A23,'09월 화학성분'!Q$12:Q$949))</f>
        <v/>
      </c>
      <c r="X23" s="943" t="str">
        <f>IF($B23&lt;1,"",SUMIF('09월 화학성분'!$A$12:$A$949,$A23,'09월 화학성분'!R$12:R$949))</f>
        <v/>
      </c>
      <c r="Y23" s="943" t="str">
        <f>IF($B23&lt;1,"",SUMIF('09월 화학성분'!$A$12:$A$949,$A23,'09월 화학성분'!U$12:U$949))</f>
        <v/>
      </c>
      <c r="Z23" s="944" t="str">
        <f>IF($B23&lt;1,"",SUMIF('09월 화학성분'!$A$12:$A$949,$A23,'09월 화학성분'!V$12:V$949))</f>
        <v/>
      </c>
      <c r="AA23" s="944" t="str">
        <f>IF($B23&lt;1,"",SUMIF('09월 화학성분'!$A$12:$A$949,$A23,'09월 화학성분'!W$12:W$949))</f>
        <v/>
      </c>
      <c r="AB23" s="944" t="str">
        <f>IF($B23&lt;1,"",SUMIF('09월 화학성분'!$A$12:$A$949,$A23,'09월 화학성분'!AA$12:AA$949))</f>
        <v/>
      </c>
      <c r="AC23" s="944"/>
      <c r="AD23" s="945" t="str">
        <f>IF($B23&lt;1,"",SUMIF('09월 화학성분'!$A$12:$A$949,$A23,'09월 화학성분'!AB$12:AB$949))</f>
        <v/>
      </c>
      <c r="AE23" s="945" t="str">
        <f>IF($B23&lt;1,"",SUMIF('09월 화학성분'!$A$12:$A$949,$A23,'09월 화학성분'!AC$12:AC$949))</f>
        <v/>
      </c>
      <c r="AF23" s="945" t="str">
        <f>IF($B23&lt;1,"",SUMIF('09월 화학성분'!$A$12:$A$949,$A23,'09월 화학성분'!AD$12:AD$949))</f>
        <v/>
      </c>
      <c r="AG23" s="945"/>
      <c r="AH23" s="945" t="str">
        <f>IF($B23&lt;1,"",SUMIF('09월 화학성분'!$A$12:$A$949,$A23,'09월 화학성분'!AG$12:AG$949))</f>
        <v/>
      </c>
      <c r="AI23" s="945" t="str">
        <f>IF($B23&lt;1,"",SUMIF('09월 화학성분'!$A$12:$A$949,$A23,'09월 화학성분'!AH$12:AH$949))</f>
        <v/>
      </c>
      <c r="AJ23" s="945" t="str">
        <f>IF($B23&lt;1,"",SUMIF('09월 화학성분'!$A$12:$A$949,$A23,'09월 화학성분'!AI$12:AI$949))</f>
        <v/>
      </c>
      <c r="AK23" s="945" t="str">
        <f>IF($B23&lt;1,"",SUMIF('09월 화학성분'!$A$12:$A$949,$A23,'09월 화학성분'!AJ$12:AJ$949))</f>
        <v/>
      </c>
      <c r="AL23" s="945" t="str">
        <f>IF($B23&lt;1,"",SUMIF('09월 화학성분'!$A$12:$A$949,$A23,'09월 화학성분'!#REF!))</f>
        <v/>
      </c>
      <c r="AM23" s="945" t="str">
        <f>IF($B23&lt;1,"",SUMIF('09월 화학성분'!$A$12:$A$949,$A23,'09월 화학성분'!AL$12:AL$949))</f>
        <v/>
      </c>
      <c r="AN23" s="946" t="str">
        <f>IF($B23&lt;1,"",SUMIF('09월 화학성분'!$A$12:$A$949,$A23,'09월 화학성분'!AM$12:AM$949))</f>
        <v/>
      </c>
      <c r="AO23" s="947" t="str">
        <f>IF($B23&lt;1,"",AVERAGEIF('09월 화학성분'!$A$12:$A$949,$A23,'09월 화학성분'!AN$12:AN$949))</f>
        <v/>
      </c>
      <c r="AP23" s="947" t="str">
        <f>IF($B23&lt;1,"",AVERAGEIF('09월 화학성분'!$A$12:$A$949,$A23,'09월 화학성분'!AO$12:AO$949))</f>
        <v/>
      </c>
      <c r="AQ23" s="948" t="str">
        <f>IF($B23&lt;1,"",SUMIF('09월 화학성분'!$A$12:$A$949,$A23,'09월 화학성분'!AP$12:AP$949))</f>
        <v/>
      </c>
      <c r="AR23" s="949" t="str">
        <f>IF($B23&lt;1,"",SUMIF('09월 고철장입'!$A$14:$A$949,$A23,'09월 고철장입'!G$14:G$949)/1000)</f>
        <v/>
      </c>
      <c r="AS23" s="949" t="str">
        <f>IF($B23&lt;1,"",SUMIF('09월 고철장입'!$A$14:$A$949,$A23,'09월 고철장입'!H$14:H$949)/1000)</f>
        <v/>
      </c>
      <c r="AT23" s="949" t="str">
        <f>IF($B23&lt;1,"",SUMIF('09월 고철장입'!$A$14:$A$949,$A23,'09월 고철장입'!I$14:I$949)/1000)</f>
        <v/>
      </c>
      <c r="AU23" s="949" t="str">
        <f>IF($B23&lt;1,"",SUMIF('09월 고철장입'!$A$14:$A$949,$A23,'09월 고철장입'!J$14:J$949)/1000)</f>
        <v/>
      </c>
      <c r="AV23" s="949" t="str">
        <f>IF($B23&lt;1,"",SUMIF('09월 고철장입'!$A$14:$A$949,$A23,'09월 고철장입'!K$14:K$949)/1000)</f>
        <v/>
      </c>
      <c r="AW23" s="949" t="str">
        <f>IF($B23&lt;1,"",SUMIF('09월 고철장입'!$A$14:$A$949,$A23,'09월 고철장입'!L$14:L$949)/1000)</f>
        <v/>
      </c>
      <c r="AX23" s="949" t="str">
        <f>IF($B23&lt;1,"",SUMIF('09월 고철장입'!$A$14:$A$949,$A23,'09월 고철장입'!M$14:M$949)/1000)</f>
        <v/>
      </c>
      <c r="AY23" s="949" t="str">
        <f>IF($B23&lt;1,"",SUMIF('09월 고철장입'!$A$14:$A$949,$A23,'09월 고철장입'!N$14:N$949)/1000)</f>
        <v/>
      </c>
      <c r="AZ23" s="949" t="str">
        <f>IF($B23&lt;1,"",SUMIF('09월 고철장입'!$A$14:$A$949,$A23,'09월 고철장입'!O$14:O$949)/1000)</f>
        <v/>
      </c>
      <c r="BA23" s="950" t="str">
        <f>IF($B23&lt;1,"",SUMIF('09월 고철장입'!$A$14:$A$949,$A23,'09월 고철장입'!P$14:P$949)/1000)</f>
        <v/>
      </c>
      <c r="BB23" s="950" t="str">
        <f>IF($B23&lt;1,"",SUMIF('09월 고철장입'!$A$14:$A$949,$A23,'09월 고철장입'!Q$14:Q$949)/1000)</f>
        <v/>
      </c>
      <c r="BC23" s="950" t="str">
        <f>IF($B23&lt;1,"",SUMIF('09월 고철장입'!$A$14:$A$949,$A23,'09월 고철장입'!S$14:S$949)/1000)</f>
        <v/>
      </c>
      <c r="BD23" s="950" t="str">
        <f>IF($B23&lt;1,"",SUMIF('09월 고철장입'!$A$14:$A$949,$A23,'09월 고철장입'!T$14:T$949)/1000)</f>
        <v/>
      </c>
      <c r="BE23" s="950" t="str">
        <f>IF($B23&lt;1,"",SUMIF('09월 고철장입'!$A$14:$A$949,$A23,'09월 고철장입'!U$14:U$949)/1000)</f>
        <v/>
      </c>
      <c r="BF23" s="950" t="str">
        <f>IF($B23&lt;1,"",SUMIF('09월 고철장입'!$A$14:$A$949,$A23,'09월 고철장입'!V$14:V$949)/1000)</f>
        <v/>
      </c>
      <c r="BG23" s="950" t="str">
        <f>IF($B23&lt;1,"",SUMIF('09월 고철장입'!$A$14:$A$949,$A23,'09월 고철장입'!W$14:W$949)/1000)</f>
        <v/>
      </c>
      <c r="BH23" s="950" t="str">
        <f>IF($B23&lt;1,"",SUMIF('09월 고철장입'!$A$14:$A$949,$A23,'09월 고철장입'!Y$14:Y$949)/1000)</f>
        <v/>
      </c>
      <c r="BI23" s="950" t="str">
        <f>IF($B23&lt;1,"",SUMIF('09월 고철장입'!$A$14:$A$949,$A23,'09월 고철장입'!AB$14:AB$949)/1000)</f>
        <v/>
      </c>
      <c r="BJ23" s="950" t="str">
        <f>IF($B23&lt;1,"",SUMIF('09월 고철장입'!$A$14:$A$949,$A23,'09월 고철장입'!AC$14:AC$949)/1000)</f>
        <v/>
      </c>
      <c r="BK23" s="950" t="str">
        <f>IF($B23&lt;1,"",SUMIF('09월 고철장입'!$A$14:$A$949,$A23,'09월 고철장입'!AD$14:AD$949)/1000)</f>
        <v/>
      </c>
      <c r="BL23" s="950" t="str">
        <f>IF($B23&lt;1,"",SUMIF('09월 고철장입'!$A$14:$A$949,$A23,'09월 고철장입'!AE$14:AE$949)/1000)</f>
        <v/>
      </c>
      <c r="BM23" s="951" t="str">
        <f>IF($B23&lt;1,"",SUMIF('09월 고철장입'!$A$14:$A$949,$A23,'09월 고철장입'!AF$14:AF$949)/1000)</f>
        <v/>
      </c>
      <c r="BN23" s="951" t="str">
        <f>IF($B23&lt;1,"",SUMIF('09월 고철장입'!$A$14:$A$949,$A23,'09월 고철장입'!AG$14:AG$949)/1000)</f>
        <v/>
      </c>
      <c r="BO23" s="951" t="str">
        <f>IF($B23&lt;1,"",SUMIF('09월 고철장입'!$A$14:$A$949,$A23,'09월 고철장입'!AH$14:AH$949)/1000)</f>
        <v/>
      </c>
      <c r="BP23" s="951" t="str">
        <f>IF($B23&lt;1,"",SUMIF('09월 고철장입'!$A$14:$A$949,$A23,'09월 고철장입'!AI$14:AI$949)/1000)</f>
        <v/>
      </c>
      <c r="BQ23" s="952" t="str">
        <f>IF($B23&lt;1,"",SUMIF('09월 고철장입'!$A$14:$A$949,$A23,'09월 고철장입'!AJ$14:AJ$949)/1000)</f>
        <v/>
      </c>
      <c r="BR23" s="952" t="str">
        <f>IF($B23&lt;1,"",SUMIF('09월 고철장입'!$A$14:$A$949,$A23,'09월 고철장입'!AK$14:AK$949))</f>
        <v/>
      </c>
      <c r="BS23" s="953" t="str">
        <f>IF($B23&lt;1,"",AVERAGEIF('09월 고철장입'!$A$14:$A$949,$A23,'09월 고철장입'!AL$14:AL$949)*100)</f>
        <v/>
      </c>
      <c r="BT23" s="948" t="str">
        <f>IF($B23&lt;1,"",SUMIF('09월 에너지'!$A$14:$A$949,$A23,'09월 에너지'!G$14:G$949))</f>
        <v/>
      </c>
      <c r="BU23" s="948" t="str">
        <f>IF($B23&lt;1,"",SUMIF('09월 에너지'!$A$14:$A$949,$A23,'09월 에너지'!H$14:H$949))</f>
        <v/>
      </c>
      <c r="BV23" s="948" t="str">
        <f>IF($B23&lt;1,"",SUMIF('09월 에너지'!$A$14:$A$949,$A23,'09월 에너지'!I$14:I$949))</f>
        <v/>
      </c>
      <c r="BW23" s="948" t="str">
        <f>IF($B23&lt;1,"",SUMIF('09월 에너지'!$A$14:$A$949,$A23,'09월 에너지'!J$14:J$949))</f>
        <v/>
      </c>
      <c r="BX23" s="948" t="str">
        <f>IF($B23&lt;1,"",SUMIF('09월 에너지'!$A$14:$A$949,$A23,'09월 에너지'!K$14:K$949))</f>
        <v/>
      </c>
      <c r="BY23" s="948" t="str">
        <f>IF($B23&lt;1,"",SUMIF('09월 에너지'!$A$14:$A$949,$A23,'09월 에너지'!L$14:L$949))</f>
        <v/>
      </c>
      <c r="BZ23" s="948" t="str">
        <f>IF($B23&lt;1,"",SUMIF('09월 에너지'!$A$14:$A$949,$A23,'09월 에너지'!M$14:M$949))</f>
        <v/>
      </c>
      <c r="CA23" s="948" t="str">
        <f>IF($B23&lt;1,"",SUMIF('09월 에너지'!$A$14:$A$949,$A23,'09월 에너지'!N$14:N$949))</f>
        <v/>
      </c>
      <c r="CB23" s="948" t="str">
        <f>IF($B23&lt;1,"",SUMIF('09월 에너지'!$A$14:$A$949,$A23,'09월 에너지'!O$14:O$949))</f>
        <v/>
      </c>
      <c r="CC23" s="948" t="str">
        <f>IF($B23&lt;1,"",SUMIF('09월 에너지'!$A$14:$A$949,$A23,'09월 에너지'!P$14:P$949))</f>
        <v/>
      </c>
      <c r="CD23" s="948" t="str">
        <f>IF($B23&lt;1,"",SUMIF('09월 에너지'!$A$14:$A$949,$A23,'09월 에너지'!Q$14:Q$949))</f>
        <v/>
      </c>
      <c r="CE23" s="948" t="str">
        <f>IF($B23&lt;1,"",SUMIF('09월 에너지'!$A$14:$A$949,$A23,'09월 에너지'!R$14:R$949))</f>
        <v/>
      </c>
      <c r="CF23" s="948" t="str">
        <f>IF($B23&lt;1,"",SUMIF('09월 에너지'!$A$14:$A$949,$A23,'09월 에너지'!S$14:S$949))</f>
        <v/>
      </c>
      <c r="CG23" s="954" t="str">
        <f>IF($B23&lt;1,"",SUMIF('09월 에너지'!$A$14:$A$949,$A23,'09월 에너지'!T$14:T$949))</f>
        <v/>
      </c>
      <c r="CH23" s="954" t="str">
        <f>IF($B23&lt;1,"",SUMIF('09월 에너지'!$A$14:$A$949,$A23,'09월 에너지'!U$14:U$949))</f>
        <v/>
      </c>
      <c r="CI23" s="954" t="str">
        <f>IF($B23&lt;1,"",SUMIF('09월 에너지'!$A$14:$A$949,$A23,'09월 에너지'!V$14:V$949))</f>
        <v/>
      </c>
      <c r="CJ23" s="954" t="str">
        <f>IF($B23&lt;1,"",SUMIF('09월 에너지'!$A$14:$A$949,$A23,'09월 에너지'!W$14:W$949))</f>
        <v/>
      </c>
      <c r="CK23" s="954" t="str">
        <f>IF($B23&lt;1,"",SUMIF('09월 에너지'!$A$14:$A$949,$A23,'09월 에너지'!X$14:X$949))</f>
        <v/>
      </c>
      <c r="CL23" s="954" t="str">
        <f>IF($B23&lt;1,"",SUMIF('09월 에너지'!$A$14:$A$949,$A23,'09월 에너지'!Y$14:Y$949))</f>
        <v/>
      </c>
      <c r="CM23" s="954" t="str">
        <f>IF($B23&lt;1,"",SUMIF('09월 에너지'!$A$14:$A$949,$A23,'09월 에너지'!Z$14:Z$949))</f>
        <v/>
      </c>
      <c r="CN23" s="954" t="str">
        <f>IF($B23&lt;1,"",SUMIF('09월 에너지'!$A$14:$A$949,$A23,'09월 에너지'!AA$14:AA$949))</f>
        <v/>
      </c>
      <c r="CO23" s="954" t="str">
        <f>IF($B23&lt;1,"",SUMIF('09월 에너지'!$A$14:$A$949,$A23,'09월 에너지'!AB$14:AB$949))</f>
        <v/>
      </c>
      <c r="CP23" s="954" t="str">
        <f>IF($B23&lt;1,"",SUMIF('09월 에너지'!$A$14:$A$949,$A23,'09월 에너지'!AC$14:AC$949))</f>
        <v/>
      </c>
      <c r="CQ23" s="955" t="str">
        <f>IF($B23&lt;1,"",SUMIF('09월 에너지'!$A$14:$A$949,$A23,'09월 에너지'!AD$14:AD$949))</f>
        <v/>
      </c>
      <c r="CR23" s="955" t="str">
        <f>IF($B23&lt;1,"",SUMIF('09월 에너지'!$A$14:$A$949,$A23,'09월 에너지'!AE$14:AE$949))</f>
        <v/>
      </c>
      <c r="CS23" s="948" t="str">
        <f>IF($B23&lt;1,"",SUMIF('09월 에너지'!$A$14:$A$949,$A23,'09월 에너지'!AF$14:AF$949))</f>
        <v/>
      </c>
      <c r="CT23" s="948" t="str">
        <f>IF($B23&lt;1,"",SUMIF('09월 에너지'!$A$14:$A$949,$A23,'09월 에너지'!AG$14:AG$949))</f>
        <v/>
      </c>
      <c r="CU23" s="948" t="str">
        <f>IF($B23&lt;1,"",SUMIF('09월 에너지'!$A$14:$A$949,$A23,'09월 에너지'!AH$14:AH$949))</f>
        <v/>
      </c>
      <c r="CV23" s="948" t="str">
        <f>IF($B23&lt;1,"",SUMIF('09월 에너지'!$A$14:$A$949,$A23,'09월 에너지'!AI$14:AI$949))</f>
        <v/>
      </c>
      <c r="CW23" s="956" t="str">
        <f>IF($B23&lt;1,"",SUMIF('09월 에너지'!$A$14:$A$949,$A23,'09월 에너지'!AJ$14:AJ$949))</f>
        <v/>
      </c>
    </row>
    <row r="24" spans="1:101" ht="15.75" customHeight="1">
      <c r="A24" s="939">
        <f t="shared" si="1"/>
        <v>44793</v>
      </c>
      <c r="B24" s="884">
        <f>COUNTIF('09월 조업일지'!$A$12:$A$952,A24)</f>
        <v>0</v>
      </c>
      <c r="C24" s="885" t="str">
        <f t="shared" si="0"/>
        <v/>
      </c>
      <c r="D24" s="885" t="str">
        <f>IF($B24&lt;1,"",(SUMIF('09월 조업일지'!$A$12:$A$952,$A24,'09월 조업일지'!$K$12:$K$952))/B24)</f>
        <v/>
      </c>
      <c r="E24" s="885" t="str">
        <f>IF($B24&lt;1,"",AVERAGEIF('09월 조업일지'!$A$12:$A$952,$A24,'09월 조업일지'!$J$12:$J$952))</f>
        <v/>
      </c>
      <c r="F24" s="940" t="str">
        <f>IF($B24&lt;1,"",AVERAGEIF('09월 에너지'!$A$14:$A$949,$A24,'09월 에너지'!$M$14:M$949))</f>
        <v/>
      </c>
      <c r="G24" s="887" t="str">
        <f>IF($B24&lt;1,"",AVERAGEIF('09월 조업일지'!$A$12:$A$952,$A24,'09월 조업일지'!$AJ$12:$AJ$952))</f>
        <v/>
      </c>
      <c r="H24" s="887" t="str">
        <f>IF($B24&lt;1,"",AVERAGEIF('09월 조업일지'!$A$12:$A$952,$A24,'09월 조업일지'!$AL$12:$AL$952))</f>
        <v/>
      </c>
      <c r="I24" s="941" t="str">
        <f>IF($B24&lt;1,"",AVERAGEIF('09월 화학성분'!$A$12:$A$949,$A24,'09월 화학성분'!G$12:G$949))</f>
        <v/>
      </c>
      <c r="J24" s="941" t="str">
        <f>IF($B24&lt;1,"",AVERAGEIF('09월 화학성분'!$A$12:$A$949,$A24,'09월 화학성분'!H$12:H$949))</f>
        <v/>
      </c>
      <c r="K24" s="941" t="str">
        <f>IF($B24&lt;1,"",AVERAGEIF('09월 화학성분'!$A$12:$A$949,$A24,'09월 화학성분'!I$12:I$949))</f>
        <v/>
      </c>
      <c r="L24" s="941" t="str">
        <f>IF($B24&lt;1,"",AVERAGEIF('09월 화학성분'!$A$12:$A$949,$A24,'09월 화학성분'!J$12:J$949))</f>
        <v/>
      </c>
      <c r="M24" s="941" t="str">
        <f>IF($B24&lt;1,"",AVERAGEIF('09월 화학성분'!$A$12:$A$949,$A24,'09월 화학성분'!K$12:K$949))</f>
        <v/>
      </c>
      <c r="N24" s="941" t="str">
        <f>IF($B24&lt;1,"",AVERAGEIF('09월 화학성분'!$A$12:$A$949,$A24,'09월 화학성분'!L$12:L$949))</f>
        <v/>
      </c>
      <c r="O24" s="941" t="str">
        <f>IF($B24&lt;1,"",AVERAGEIF('09월 화학성분'!$A$12:$A$949,$A24,'09월 화학성분'!M$12:M$949))</f>
        <v/>
      </c>
      <c r="P24" s="889" t="str">
        <f>IF($B24&lt;1,"",AVERAGEIF('09월 조업일지'!$A$12:$A$952,$A24,'09월 조업일지'!$AK$12:$AK$952))</f>
        <v/>
      </c>
      <c r="Q24" s="941" t="str">
        <f>IF($B24&lt;1,"",AVERAGEIF('09월 화학성분'!$A$12:$A$949,$A24,'09월 화학성분'!$G$12:$G$949))</f>
        <v/>
      </c>
      <c r="R24" s="889" t="str">
        <f>IF($B24&lt;1,"",AVERAGEIF('09월 조업일지'!$A$12:$A$952,$A24,'09월 조업일지'!$AI$12:$AI$952))</f>
        <v/>
      </c>
      <c r="S24" s="942" t="str">
        <f>IF($B24&lt;1,"",SUMIF('09월 화학성분'!$A$12:$A$949,$A24,'09월 화학성분'!$AM$12:$AM$949))</f>
        <v/>
      </c>
      <c r="T24" s="943" t="str">
        <f>IF($B24&lt;1,"",SUMIF('09월 화학성분'!$A$12:$A$949,$A24,'09월 화학성분'!N$12:N$949))</f>
        <v/>
      </c>
      <c r="U24" s="943" t="str">
        <f>IF($B24&lt;1,"",SUMIF('09월 화학성분'!$A$12:$A$949,$A24,'09월 화학성분'!O$12:O$949))</f>
        <v/>
      </c>
      <c r="V24" s="943" t="str">
        <f>IF($B24&lt;1,"",SUMIF('09월 화학성분'!$A$12:$A$949,$A24,'09월 화학성분'!P$12:P$949))</f>
        <v/>
      </c>
      <c r="W24" s="943" t="str">
        <f>IF($B24&lt;1,"",SUMIF('09월 화학성분'!$A$12:$A$949,$A24,'09월 화학성분'!Q$12:Q$949))</f>
        <v/>
      </c>
      <c r="X24" s="943" t="str">
        <f>IF($B24&lt;1,"",SUMIF('09월 화학성분'!$A$12:$A$949,$A24,'09월 화학성분'!R$12:R$949))</f>
        <v/>
      </c>
      <c r="Y24" s="943" t="str">
        <f>IF($B24&lt;1,"",SUMIF('09월 화학성분'!$A$12:$A$949,$A24,'09월 화학성분'!U$12:U$949))</f>
        <v/>
      </c>
      <c r="Z24" s="944" t="str">
        <f>IF($B24&lt;1,"",SUMIF('09월 화학성분'!$A$12:$A$949,$A24,'09월 화학성분'!V$12:V$949))</f>
        <v/>
      </c>
      <c r="AA24" s="944" t="str">
        <f>IF($B24&lt;1,"",SUMIF('09월 화학성분'!$A$12:$A$949,$A24,'09월 화학성분'!W$12:W$949))</f>
        <v/>
      </c>
      <c r="AB24" s="944" t="str">
        <f>IF($B24&lt;1,"",SUMIF('09월 화학성분'!$A$12:$A$949,$A24,'09월 화학성분'!AA$12:AA$949))</f>
        <v/>
      </c>
      <c r="AC24" s="944"/>
      <c r="AD24" s="945" t="str">
        <f>IF($B24&lt;1,"",SUMIF('09월 화학성분'!$A$12:$A$949,$A24,'09월 화학성분'!AB$12:AB$949))</f>
        <v/>
      </c>
      <c r="AE24" s="945" t="str">
        <f>IF($B24&lt;1,"",SUMIF('09월 화학성분'!$A$12:$A$949,$A24,'09월 화학성분'!AC$12:AC$949))</f>
        <v/>
      </c>
      <c r="AF24" s="945" t="str">
        <f>IF($B24&lt;1,"",SUMIF('09월 화학성분'!$A$12:$A$949,$A24,'09월 화학성분'!AD$12:AD$949))</f>
        <v/>
      </c>
      <c r="AG24" s="945"/>
      <c r="AH24" s="945" t="str">
        <f>IF($B24&lt;1,"",SUMIF('09월 화학성분'!$A$12:$A$949,$A24,'09월 화학성분'!AG$12:AG$949))</f>
        <v/>
      </c>
      <c r="AI24" s="945" t="str">
        <f>IF($B24&lt;1,"",SUMIF('09월 화학성분'!$A$12:$A$949,$A24,'09월 화학성분'!AH$12:AH$949))</f>
        <v/>
      </c>
      <c r="AJ24" s="945" t="str">
        <f>IF($B24&lt;1,"",SUMIF('09월 화학성분'!$A$12:$A$949,$A24,'09월 화학성분'!AI$12:AI$949))</f>
        <v/>
      </c>
      <c r="AK24" s="945" t="str">
        <f>IF($B24&lt;1,"",SUMIF('09월 화학성분'!$A$12:$A$949,$A24,'09월 화학성분'!AJ$12:AJ$949))</f>
        <v/>
      </c>
      <c r="AL24" s="945" t="str">
        <f>IF($B24&lt;1,"",SUMIF('09월 화학성분'!$A$12:$A$949,$A24,'09월 화학성분'!#REF!))</f>
        <v/>
      </c>
      <c r="AM24" s="945" t="str">
        <f>IF($B24&lt;1,"",SUMIF('09월 화학성분'!$A$12:$A$949,$A24,'09월 화학성분'!AL$12:AL$949))</f>
        <v/>
      </c>
      <c r="AN24" s="946" t="str">
        <f>IF($B24&lt;1,"",SUMIF('09월 화학성분'!$A$12:$A$949,$A24,'09월 화학성분'!AM$12:AM$949))</f>
        <v/>
      </c>
      <c r="AO24" s="947" t="str">
        <f>IF($B24&lt;1,"",AVERAGEIF('09월 화학성분'!$A$12:$A$949,$A24,'09월 화학성분'!AN$12:AN$949))</f>
        <v/>
      </c>
      <c r="AP24" s="947" t="str">
        <f>IF($B24&lt;1,"",AVERAGEIF('09월 화학성분'!$A$12:$A$949,$A24,'09월 화학성분'!AO$12:AO$949))</f>
        <v/>
      </c>
      <c r="AQ24" s="948" t="str">
        <f>IF($B24&lt;1,"",SUMIF('09월 화학성분'!$A$12:$A$949,$A24,'09월 화학성분'!AP$12:AP$949))</f>
        <v/>
      </c>
      <c r="AR24" s="949" t="str">
        <f>IF($B24&lt;1,"",SUMIF('09월 고철장입'!$A$14:$A$949,$A24,'09월 고철장입'!G$14:G$949)/1000)</f>
        <v/>
      </c>
      <c r="AS24" s="949" t="str">
        <f>IF($B24&lt;1,"",SUMIF('09월 고철장입'!$A$14:$A$949,$A24,'09월 고철장입'!H$14:H$949)/1000)</f>
        <v/>
      </c>
      <c r="AT24" s="949" t="str">
        <f>IF($B24&lt;1,"",SUMIF('09월 고철장입'!$A$14:$A$949,$A24,'09월 고철장입'!I$14:I$949)/1000)</f>
        <v/>
      </c>
      <c r="AU24" s="949" t="str">
        <f>IF($B24&lt;1,"",SUMIF('09월 고철장입'!$A$14:$A$949,$A24,'09월 고철장입'!J$14:J$949)/1000)</f>
        <v/>
      </c>
      <c r="AV24" s="949" t="str">
        <f>IF($B24&lt;1,"",SUMIF('09월 고철장입'!$A$14:$A$949,$A24,'09월 고철장입'!K$14:K$949)/1000)</f>
        <v/>
      </c>
      <c r="AW24" s="949" t="str">
        <f>IF($B24&lt;1,"",SUMIF('09월 고철장입'!$A$14:$A$949,$A24,'09월 고철장입'!L$14:L$949)/1000)</f>
        <v/>
      </c>
      <c r="AX24" s="949" t="str">
        <f>IF($B24&lt;1,"",SUMIF('09월 고철장입'!$A$14:$A$949,$A24,'09월 고철장입'!M$14:M$949)/1000)</f>
        <v/>
      </c>
      <c r="AY24" s="949" t="str">
        <f>IF($B24&lt;1,"",SUMIF('09월 고철장입'!$A$14:$A$949,$A24,'09월 고철장입'!N$14:N$949)/1000)</f>
        <v/>
      </c>
      <c r="AZ24" s="949" t="str">
        <f>IF($B24&lt;1,"",SUMIF('09월 고철장입'!$A$14:$A$949,$A24,'09월 고철장입'!O$14:O$949)/1000)</f>
        <v/>
      </c>
      <c r="BA24" s="950" t="str">
        <f>IF($B24&lt;1,"",SUMIF('09월 고철장입'!$A$14:$A$949,$A24,'09월 고철장입'!P$14:P$949)/1000)</f>
        <v/>
      </c>
      <c r="BB24" s="950" t="str">
        <f>IF($B24&lt;1,"",SUMIF('09월 고철장입'!$A$14:$A$949,$A24,'09월 고철장입'!Q$14:Q$949)/1000)</f>
        <v/>
      </c>
      <c r="BC24" s="950" t="str">
        <f>IF($B24&lt;1,"",SUMIF('09월 고철장입'!$A$14:$A$949,$A24,'09월 고철장입'!S$14:S$949)/1000)</f>
        <v/>
      </c>
      <c r="BD24" s="950" t="str">
        <f>IF($B24&lt;1,"",SUMIF('09월 고철장입'!$A$14:$A$949,$A24,'09월 고철장입'!T$14:T$949)/1000)</f>
        <v/>
      </c>
      <c r="BE24" s="950" t="str">
        <f>IF($B24&lt;1,"",SUMIF('09월 고철장입'!$A$14:$A$949,$A24,'09월 고철장입'!U$14:U$949)/1000)</f>
        <v/>
      </c>
      <c r="BF24" s="950" t="str">
        <f>IF($B24&lt;1,"",SUMIF('09월 고철장입'!$A$14:$A$949,$A24,'09월 고철장입'!V$14:V$949)/1000)</f>
        <v/>
      </c>
      <c r="BG24" s="950" t="str">
        <f>IF($B24&lt;1,"",SUMIF('09월 고철장입'!$A$14:$A$949,$A24,'09월 고철장입'!W$14:W$949)/1000)</f>
        <v/>
      </c>
      <c r="BH24" s="950" t="str">
        <f>IF($B24&lt;1,"",SUMIF('09월 고철장입'!$A$14:$A$949,$A24,'09월 고철장입'!Y$14:Y$949)/1000)</f>
        <v/>
      </c>
      <c r="BI24" s="950" t="str">
        <f>IF($B24&lt;1,"",SUMIF('09월 고철장입'!$A$14:$A$949,$A24,'09월 고철장입'!AB$14:AB$949)/1000)</f>
        <v/>
      </c>
      <c r="BJ24" s="950" t="str">
        <f>IF($B24&lt;1,"",SUMIF('09월 고철장입'!$A$14:$A$949,$A24,'09월 고철장입'!AC$14:AC$949)/1000)</f>
        <v/>
      </c>
      <c r="BK24" s="950" t="str">
        <f>IF($B24&lt;1,"",SUMIF('09월 고철장입'!$A$14:$A$949,$A24,'09월 고철장입'!AD$14:AD$949)/1000)</f>
        <v/>
      </c>
      <c r="BL24" s="950" t="str">
        <f>IF($B24&lt;1,"",SUMIF('09월 고철장입'!$A$14:$A$949,$A24,'09월 고철장입'!AE$14:AE$949)/1000)</f>
        <v/>
      </c>
      <c r="BM24" s="951" t="str">
        <f>IF($B24&lt;1,"",SUMIF('09월 고철장입'!$A$14:$A$949,$A24,'09월 고철장입'!AF$14:AF$949)/1000)</f>
        <v/>
      </c>
      <c r="BN24" s="951" t="str">
        <f>IF($B24&lt;1,"",SUMIF('09월 고철장입'!$A$14:$A$949,$A24,'09월 고철장입'!AG$14:AG$949)/1000)</f>
        <v/>
      </c>
      <c r="BO24" s="951" t="str">
        <f>IF($B24&lt;1,"",SUMIF('09월 고철장입'!$A$14:$A$949,$A24,'09월 고철장입'!AH$14:AH$949)/1000)</f>
        <v/>
      </c>
      <c r="BP24" s="951" t="str">
        <f>IF($B24&lt;1,"",SUMIF('09월 고철장입'!$A$14:$A$949,$A24,'09월 고철장입'!AI$14:AI$949)/1000)</f>
        <v/>
      </c>
      <c r="BQ24" s="952" t="str">
        <f>IF($B24&lt;1,"",SUMIF('09월 고철장입'!$A$14:$A$949,$A24,'09월 고철장입'!AJ$14:AJ$949)/1000)</f>
        <v/>
      </c>
      <c r="BR24" s="952" t="str">
        <f>IF($B24&lt;1,"",SUMIF('09월 고철장입'!$A$14:$A$949,$A24,'09월 고철장입'!AK$14:AK$949))</f>
        <v/>
      </c>
      <c r="BS24" s="953" t="str">
        <f>IF($B24&lt;1,"",AVERAGEIF('09월 고철장입'!$A$14:$A$949,$A24,'09월 고철장입'!AL$14:AL$949)*100)</f>
        <v/>
      </c>
      <c r="BT24" s="948" t="str">
        <f>IF($B24&lt;1,"",SUMIF('09월 에너지'!$A$14:$A$949,$A24,'09월 에너지'!G$14:G$949))</f>
        <v/>
      </c>
      <c r="BU24" s="948" t="str">
        <f>IF($B24&lt;1,"",SUMIF('09월 에너지'!$A$14:$A$949,$A24,'09월 에너지'!H$14:H$949))</f>
        <v/>
      </c>
      <c r="BV24" s="948" t="str">
        <f>IF($B24&lt;1,"",SUMIF('09월 에너지'!$A$14:$A$949,$A24,'09월 에너지'!I$14:I$949))</f>
        <v/>
      </c>
      <c r="BW24" s="948" t="str">
        <f>IF($B24&lt;1,"",SUMIF('09월 에너지'!$A$14:$A$949,$A24,'09월 에너지'!J$14:J$949))</f>
        <v/>
      </c>
      <c r="BX24" s="948" t="str">
        <f>IF($B24&lt;1,"",SUMIF('09월 에너지'!$A$14:$A$949,$A24,'09월 에너지'!K$14:K$949))</f>
        <v/>
      </c>
      <c r="BY24" s="948" t="str">
        <f>IF($B24&lt;1,"",SUMIF('09월 에너지'!$A$14:$A$949,$A24,'09월 에너지'!L$14:L$949))</f>
        <v/>
      </c>
      <c r="BZ24" s="948" t="str">
        <f>IF($B24&lt;1,"",SUMIF('09월 에너지'!$A$14:$A$949,$A24,'09월 에너지'!M$14:M$949))</f>
        <v/>
      </c>
      <c r="CA24" s="948" t="str">
        <f>IF($B24&lt;1,"",SUMIF('09월 에너지'!$A$14:$A$949,$A24,'09월 에너지'!N$14:N$949))</f>
        <v/>
      </c>
      <c r="CB24" s="948" t="str">
        <f>IF($B24&lt;1,"",SUMIF('09월 에너지'!$A$14:$A$949,$A24,'09월 에너지'!O$14:O$949))</f>
        <v/>
      </c>
      <c r="CC24" s="948" t="str">
        <f>IF($B24&lt;1,"",SUMIF('09월 에너지'!$A$14:$A$949,$A24,'09월 에너지'!P$14:P$949))</f>
        <v/>
      </c>
      <c r="CD24" s="948" t="str">
        <f>IF($B24&lt;1,"",SUMIF('09월 에너지'!$A$14:$A$949,$A24,'09월 에너지'!Q$14:Q$949))</f>
        <v/>
      </c>
      <c r="CE24" s="948" t="str">
        <f>IF($B24&lt;1,"",SUMIF('09월 에너지'!$A$14:$A$949,$A24,'09월 에너지'!R$14:R$949))</f>
        <v/>
      </c>
      <c r="CF24" s="948" t="str">
        <f>IF($B24&lt;1,"",SUMIF('09월 에너지'!$A$14:$A$949,$A24,'09월 에너지'!S$14:S$949))</f>
        <v/>
      </c>
      <c r="CG24" s="954" t="str">
        <f>IF($B24&lt;1,"",SUMIF('09월 에너지'!$A$14:$A$949,$A24,'09월 에너지'!T$14:T$949))</f>
        <v/>
      </c>
      <c r="CH24" s="954" t="str">
        <f>IF($B24&lt;1,"",SUMIF('09월 에너지'!$A$14:$A$949,$A24,'09월 에너지'!U$14:U$949))</f>
        <v/>
      </c>
      <c r="CI24" s="954" t="str">
        <f>IF($B24&lt;1,"",SUMIF('09월 에너지'!$A$14:$A$949,$A24,'09월 에너지'!V$14:V$949))</f>
        <v/>
      </c>
      <c r="CJ24" s="954" t="str">
        <f>IF($B24&lt;1,"",SUMIF('09월 에너지'!$A$14:$A$949,$A24,'09월 에너지'!W$14:W$949))</f>
        <v/>
      </c>
      <c r="CK24" s="954" t="str">
        <f>IF($B24&lt;1,"",SUMIF('09월 에너지'!$A$14:$A$949,$A24,'09월 에너지'!X$14:X$949))</f>
        <v/>
      </c>
      <c r="CL24" s="954" t="str">
        <f>IF($B24&lt;1,"",SUMIF('09월 에너지'!$A$14:$A$949,$A24,'09월 에너지'!Y$14:Y$949))</f>
        <v/>
      </c>
      <c r="CM24" s="954" t="str">
        <f>IF($B24&lt;1,"",SUMIF('09월 에너지'!$A$14:$A$949,$A24,'09월 에너지'!Z$14:Z$949))</f>
        <v/>
      </c>
      <c r="CN24" s="954" t="str">
        <f>IF($B24&lt;1,"",SUMIF('09월 에너지'!$A$14:$A$949,$A24,'09월 에너지'!AA$14:AA$949))</f>
        <v/>
      </c>
      <c r="CO24" s="954" t="str">
        <f>IF($B24&lt;1,"",SUMIF('09월 에너지'!$A$14:$A$949,$A24,'09월 에너지'!AB$14:AB$949))</f>
        <v/>
      </c>
      <c r="CP24" s="954" t="str">
        <f>IF($B24&lt;1,"",SUMIF('09월 에너지'!$A$14:$A$949,$A24,'09월 에너지'!AC$14:AC$949))</f>
        <v/>
      </c>
      <c r="CQ24" s="955" t="str">
        <f>IF($B24&lt;1,"",SUMIF('09월 에너지'!$A$14:$A$949,$A24,'09월 에너지'!AD$14:AD$949))</f>
        <v/>
      </c>
      <c r="CR24" s="955" t="str">
        <f>IF($B24&lt;1,"",SUMIF('09월 에너지'!$A$14:$A$949,$A24,'09월 에너지'!AE$14:AE$949))</f>
        <v/>
      </c>
      <c r="CS24" s="948" t="str">
        <f>IF($B24&lt;1,"",SUMIF('09월 에너지'!$A$14:$A$949,$A24,'09월 에너지'!AF$14:AF$949))</f>
        <v/>
      </c>
      <c r="CT24" s="948" t="str">
        <f>IF($B24&lt;1,"",SUMIF('09월 에너지'!$A$14:$A$949,$A24,'09월 에너지'!AG$14:AG$949))</f>
        <v/>
      </c>
      <c r="CU24" s="948" t="str">
        <f>IF($B24&lt;1,"",SUMIF('09월 에너지'!$A$14:$A$949,$A24,'09월 에너지'!AH$14:AH$949))</f>
        <v/>
      </c>
      <c r="CV24" s="948" t="str">
        <f>IF($B24&lt;1,"",SUMIF('09월 에너지'!$A$14:$A$949,$A24,'09월 에너지'!AI$14:AI$949))</f>
        <v/>
      </c>
      <c r="CW24" s="956" t="str">
        <f>IF($B24&lt;1,"",SUMIF('09월 에너지'!$A$14:$A$949,$A24,'09월 에너지'!AJ$14:AJ$949))</f>
        <v/>
      </c>
    </row>
    <row r="25" spans="1:101" ht="15.75" customHeight="1">
      <c r="A25" s="939">
        <f t="shared" si="1"/>
        <v>44794</v>
      </c>
      <c r="B25" s="884">
        <f>COUNTIF('09월 조업일지'!$A$12:$A$952,A25)</f>
        <v>0</v>
      </c>
      <c r="C25" s="885" t="str">
        <f t="shared" si="0"/>
        <v/>
      </c>
      <c r="D25" s="885" t="str">
        <f>IF($B25&lt;1,"",(SUMIF('09월 조업일지'!$A$12:$A$952,$A25,'09월 조업일지'!$K$12:$K$952))/B25)</f>
        <v/>
      </c>
      <c r="E25" s="885" t="str">
        <f>IF($B25&lt;1,"",AVERAGEIF('09월 조업일지'!$A$12:$A$952,$A25,'09월 조업일지'!$J$12:$J$952))</f>
        <v/>
      </c>
      <c r="F25" s="940" t="str">
        <f>IF($B25&lt;1,"",AVERAGEIF('09월 에너지'!$A$14:$A$949,$A25,'09월 에너지'!$M$14:M$949))</f>
        <v/>
      </c>
      <c r="G25" s="887" t="str">
        <f>IF($B25&lt;1,"",AVERAGEIF('09월 조업일지'!$A$12:$A$952,$A25,'09월 조업일지'!$AJ$12:$AJ$952))</f>
        <v/>
      </c>
      <c r="H25" s="887" t="str">
        <f>IF($B25&lt;1,"",AVERAGEIF('09월 조업일지'!$A$12:$A$952,$A25,'09월 조업일지'!$AL$12:$AL$952))</f>
        <v/>
      </c>
      <c r="I25" s="941" t="str">
        <f>IF($B25&lt;1,"",AVERAGEIF('09월 화학성분'!$A$12:$A$949,$A25,'09월 화학성분'!G$12:G$949))</f>
        <v/>
      </c>
      <c r="J25" s="941" t="str">
        <f>IF($B25&lt;1,"",AVERAGEIF('09월 화학성분'!$A$12:$A$949,$A25,'09월 화학성분'!H$12:H$949))</f>
        <v/>
      </c>
      <c r="K25" s="941" t="str">
        <f>IF($B25&lt;1,"",AVERAGEIF('09월 화학성분'!$A$12:$A$949,$A25,'09월 화학성분'!I$12:I$949))</f>
        <v/>
      </c>
      <c r="L25" s="941" t="str">
        <f>IF($B25&lt;1,"",AVERAGEIF('09월 화학성분'!$A$12:$A$949,$A25,'09월 화학성분'!J$12:J$949))</f>
        <v/>
      </c>
      <c r="M25" s="941" t="str">
        <f>IF($B25&lt;1,"",AVERAGEIF('09월 화학성분'!$A$12:$A$949,$A25,'09월 화학성분'!K$12:K$949))</f>
        <v/>
      </c>
      <c r="N25" s="941" t="str">
        <f>IF($B25&lt;1,"",AVERAGEIF('09월 화학성분'!$A$12:$A$949,$A25,'09월 화학성분'!L$12:L$949))</f>
        <v/>
      </c>
      <c r="O25" s="941" t="str">
        <f>IF($B25&lt;1,"",AVERAGEIF('09월 화학성분'!$A$12:$A$949,$A25,'09월 화학성분'!M$12:M$949))</f>
        <v/>
      </c>
      <c r="P25" s="889" t="str">
        <f>IF($B25&lt;1,"",AVERAGEIF('09월 조업일지'!$A$12:$A$952,$A25,'09월 조업일지'!$AK$12:$AK$952))</f>
        <v/>
      </c>
      <c r="Q25" s="941" t="str">
        <f>IF($B25&lt;1,"",AVERAGEIF('09월 화학성분'!$A$12:$A$949,$A25,'09월 화학성분'!$G$12:$G$949))</f>
        <v/>
      </c>
      <c r="R25" s="889" t="str">
        <f>IF($B25&lt;1,"",AVERAGEIF('09월 조업일지'!$A$12:$A$952,$A25,'09월 조업일지'!$AI$12:$AI$952))</f>
        <v/>
      </c>
      <c r="S25" s="942" t="str">
        <f>IF($B25&lt;1,"",SUMIF('09월 화학성분'!$A$12:$A$949,$A25,'09월 화학성분'!$AM$12:$AM$949))</f>
        <v/>
      </c>
      <c r="T25" s="943" t="str">
        <f>IF($B25&lt;1,"",SUMIF('09월 화학성분'!$A$12:$A$949,$A25,'09월 화학성분'!N$12:N$949))</f>
        <v/>
      </c>
      <c r="U25" s="943" t="str">
        <f>IF($B25&lt;1,"",SUMIF('09월 화학성분'!$A$12:$A$949,$A25,'09월 화학성분'!O$12:O$949))</f>
        <v/>
      </c>
      <c r="V25" s="943" t="str">
        <f>IF($B25&lt;1,"",SUMIF('09월 화학성분'!$A$12:$A$949,$A25,'09월 화학성분'!P$12:P$949))</f>
        <v/>
      </c>
      <c r="W25" s="943" t="str">
        <f>IF($B25&lt;1,"",SUMIF('09월 화학성분'!$A$12:$A$949,$A25,'09월 화학성분'!Q$12:Q$949))</f>
        <v/>
      </c>
      <c r="X25" s="943" t="str">
        <f>IF($B25&lt;1,"",SUMIF('09월 화학성분'!$A$12:$A$949,$A25,'09월 화학성분'!R$12:R$949))</f>
        <v/>
      </c>
      <c r="Y25" s="943" t="str">
        <f>IF($B25&lt;1,"",SUMIF('09월 화학성분'!$A$12:$A$949,$A25,'09월 화학성분'!U$12:U$949))</f>
        <v/>
      </c>
      <c r="Z25" s="944" t="str">
        <f>IF($B25&lt;1,"",SUMIF('09월 화학성분'!$A$12:$A$949,$A25,'09월 화학성분'!V$12:V$949))</f>
        <v/>
      </c>
      <c r="AA25" s="944" t="str">
        <f>IF($B25&lt;1,"",SUMIF('09월 화학성분'!$A$12:$A$949,$A25,'09월 화학성분'!W$12:W$949))</f>
        <v/>
      </c>
      <c r="AB25" s="944" t="str">
        <f>IF($B25&lt;1,"",SUMIF('09월 화학성분'!$A$12:$A$949,$A25,'09월 화학성분'!AA$12:AA$949))</f>
        <v/>
      </c>
      <c r="AC25" s="944"/>
      <c r="AD25" s="945" t="str">
        <f>IF($B25&lt;1,"",SUMIF('09월 화학성분'!$A$12:$A$949,$A25,'09월 화학성분'!AB$12:AB$949))</f>
        <v/>
      </c>
      <c r="AE25" s="945" t="str">
        <f>IF($B25&lt;1,"",SUMIF('09월 화학성분'!$A$12:$A$949,$A25,'09월 화학성분'!AC$12:AC$949))</f>
        <v/>
      </c>
      <c r="AF25" s="945" t="str">
        <f>IF($B25&lt;1,"",SUMIF('09월 화학성분'!$A$12:$A$949,$A25,'09월 화학성분'!AD$12:AD$949))</f>
        <v/>
      </c>
      <c r="AG25" s="945"/>
      <c r="AH25" s="945" t="str">
        <f>IF($B25&lt;1,"",SUMIF('09월 화학성분'!$A$12:$A$949,$A25,'09월 화학성분'!AG$12:AG$949))</f>
        <v/>
      </c>
      <c r="AI25" s="945" t="str">
        <f>IF($B25&lt;1,"",SUMIF('09월 화학성분'!$A$12:$A$949,$A25,'09월 화학성분'!AH$12:AH$949))</f>
        <v/>
      </c>
      <c r="AJ25" s="945" t="str">
        <f>IF($B25&lt;1,"",SUMIF('09월 화학성분'!$A$12:$A$949,$A25,'09월 화학성분'!AI$12:AI$949))</f>
        <v/>
      </c>
      <c r="AK25" s="945" t="str">
        <f>IF($B25&lt;1,"",SUMIF('09월 화학성분'!$A$12:$A$949,$A25,'09월 화학성분'!AJ$12:AJ$949))</f>
        <v/>
      </c>
      <c r="AL25" s="945" t="str">
        <f>IF($B25&lt;1,"",SUMIF('09월 화학성분'!$A$12:$A$949,$A25,'09월 화학성분'!#REF!))</f>
        <v/>
      </c>
      <c r="AM25" s="945" t="str">
        <f>IF($B25&lt;1,"",SUMIF('09월 화학성분'!$A$12:$A$949,$A25,'09월 화학성분'!AL$12:AL$949))</f>
        <v/>
      </c>
      <c r="AN25" s="946" t="str">
        <f>IF($B25&lt;1,"",SUMIF('09월 화학성분'!$A$12:$A$949,$A25,'09월 화학성분'!AM$12:AM$949))</f>
        <v/>
      </c>
      <c r="AO25" s="947" t="str">
        <f>IF($B25&lt;1,"",AVERAGEIF('09월 화학성분'!$A$12:$A$949,$A25,'09월 화학성분'!AN$12:AN$949))</f>
        <v/>
      </c>
      <c r="AP25" s="947" t="str">
        <f>IF($B25&lt;1,"",AVERAGEIF('09월 화학성분'!$A$12:$A$949,$A25,'09월 화학성분'!AO$12:AO$949))</f>
        <v/>
      </c>
      <c r="AQ25" s="948" t="str">
        <f>IF($B25&lt;1,"",SUMIF('09월 화학성분'!$A$12:$A$949,$A25,'09월 화학성분'!AP$12:AP$949))</f>
        <v/>
      </c>
      <c r="AR25" s="949" t="str">
        <f>IF($B25&lt;1,"",SUMIF('09월 고철장입'!$A$14:$A$949,$A25,'09월 고철장입'!G$14:G$949)/1000)</f>
        <v/>
      </c>
      <c r="AS25" s="949" t="str">
        <f>IF($B25&lt;1,"",SUMIF('09월 고철장입'!$A$14:$A$949,$A25,'09월 고철장입'!H$14:H$949)/1000)</f>
        <v/>
      </c>
      <c r="AT25" s="949" t="str">
        <f>IF($B25&lt;1,"",SUMIF('09월 고철장입'!$A$14:$A$949,$A25,'09월 고철장입'!I$14:I$949)/1000)</f>
        <v/>
      </c>
      <c r="AU25" s="949" t="str">
        <f>IF($B25&lt;1,"",SUMIF('09월 고철장입'!$A$14:$A$949,$A25,'09월 고철장입'!J$14:J$949)/1000)</f>
        <v/>
      </c>
      <c r="AV25" s="949" t="str">
        <f>IF($B25&lt;1,"",SUMIF('09월 고철장입'!$A$14:$A$949,$A25,'09월 고철장입'!K$14:K$949)/1000)</f>
        <v/>
      </c>
      <c r="AW25" s="949" t="str">
        <f>IF($B25&lt;1,"",SUMIF('09월 고철장입'!$A$14:$A$949,$A25,'09월 고철장입'!L$14:L$949)/1000)</f>
        <v/>
      </c>
      <c r="AX25" s="949" t="str">
        <f>IF($B25&lt;1,"",SUMIF('09월 고철장입'!$A$14:$A$949,$A25,'09월 고철장입'!M$14:M$949)/1000)</f>
        <v/>
      </c>
      <c r="AY25" s="949" t="str">
        <f>IF($B25&lt;1,"",SUMIF('09월 고철장입'!$A$14:$A$949,$A25,'09월 고철장입'!N$14:N$949)/1000)</f>
        <v/>
      </c>
      <c r="AZ25" s="949" t="str">
        <f>IF($B25&lt;1,"",SUMIF('09월 고철장입'!$A$14:$A$949,$A25,'09월 고철장입'!O$14:O$949)/1000)</f>
        <v/>
      </c>
      <c r="BA25" s="950" t="str">
        <f>IF($B25&lt;1,"",SUMIF('09월 고철장입'!$A$14:$A$949,$A25,'09월 고철장입'!P$14:P$949)/1000)</f>
        <v/>
      </c>
      <c r="BB25" s="950" t="str">
        <f>IF($B25&lt;1,"",SUMIF('09월 고철장입'!$A$14:$A$949,$A25,'09월 고철장입'!Q$14:Q$949)/1000)</f>
        <v/>
      </c>
      <c r="BC25" s="950" t="str">
        <f>IF($B25&lt;1,"",SUMIF('09월 고철장입'!$A$14:$A$949,$A25,'09월 고철장입'!S$14:S$949)/1000)</f>
        <v/>
      </c>
      <c r="BD25" s="950" t="str">
        <f>IF($B25&lt;1,"",SUMIF('09월 고철장입'!$A$14:$A$949,$A25,'09월 고철장입'!T$14:T$949)/1000)</f>
        <v/>
      </c>
      <c r="BE25" s="950" t="str">
        <f>IF($B25&lt;1,"",SUMIF('09월 고철장입'!$A$14:$A$949,$A25,'09월 고철장입'!U$14:U$949)/1000)</f>
        <v/>
      </c>
      <c r="BF25" s="950" t="str">
        <f>IF($B25&lt;1,"",SUMIF('09월 고철장입'!$A$14:$A$949,$A25,'09월 고철장입'!V$14:V$949)/1000)</f>
        <v/>
      </c>
      <c r="BG25" s="950" t="str">
        <f>IF($B25&lt;1,"",SUMIF('09월 고철장입'!$A$14:$A$949,$A25,'09월 고철장입'!W$14:W$949)/1000)</f>
        <v/>
      </c>
      <c r="BH25" s="950" t="str">
        <f>IF($B25&lt;1,"",SUMIF('09월 고철장입'!$A$14:$A$949,$A25,'09월 고철장입'!Y$14:Y$949)/1000)</f>
        <v/>
      </c>
      <c r="BI25" s="950" t="str">
        <f>IF($B25&lt;1,"",SUMIF('09월 고철장입'!$A$14:$A$949,$A25,'09월 고철장입'!AB$14:AB$949)/1000)</f>
        <v/>
      </c>
      <c r="BJ25" s="950" t="str">
        <f>IF($B25&lt;1,"",SUMIF('09월 고철장입'!$A$14:$A$949,$A25,'09월 고철장입'!AC$14:AC$949)/1000)</f>
        <v/>
      </c>
      <c r="BK25" s="950" t="str">
        <f>IF($B25&lt;1,"",SUMIF('09월 고철장입'!$A$14:$A$949,$A25,'09월 고철장입'!AD$14:AD$949)/1000)</f>
        <v/>
      </c>
      <c r="BL25" s="950" t="str">
        <f>IF($B25&lt;1,"",SUMIF('09월 고철장입'!$A$14:$A$949,$A25,'09월 고철장입'!AE$14:AE$949)/1000)</f>
        <v/>
      </c>
      <c r="BM25" s="951" t="str">
        <f>IF($B25&lt;1,"",SUMIF('09월 고철장입'!$A$14:$A$949,$A25,'09월 고철장입'!AF$14:AF$949)/1000)</f>
        <v/>
      </c>
      <c r="BN25" s="951" t="str">
        <f>IF($B25&lt;1,"",SUMIF('09월 고철장입'!$A$14:$A$949,$A25,'09월 고철장입'!AG$14:AG$949)/1000)</f>
        <v/>
      </c>
      <c r="BO25" s="951" t="str">
        <f>IF($B25&lt;1,"",SUMIF('09월 고철장입'!$A$14:$A$949,$A25,'09월 고철장입'!AH$14:AH$949)/1000)</f>
        <v/>
      </c>
      <c r="BP25" s="951" t="str">
        <f>IF($B25&lt;1,"",SUMIF('09월 고철장입'!$A$14:$A$949,$A25,'09월 고철장입'!AI$14:AI$949)/1000)</f>
        <v/>
      </c>
      <c r="BQ25" s="952" t="str">
        <f>IF($B25&lt;1,"",SUMIF('09월 고철장입'!$A$14:$A$949,$A25,'09월 고철장입'!AJ$14:AJ$949)/1000)</f>
        <v/>
      </c>
      <c r="BR25" s="952" t="str">
        <f>IF($B25&lt;1,"",SUMIF('09월 고철장입'!$A$14:$A$949,$A25,'09월 고철장입'!AK$14:AK$949))</f>
        <v/>
      </c>
      <c r="BS25" s="953" t="str">
        <f>IF($B25&lt;1,"",AVERAGEIF('09월 고철장입'!$A$14:$A$949,$A25,'09월 고철장입'!AL$14:AL$949)*100)</f>
        <v/>
      </c>
      <c r="BT25" s="948" t="str">
        <f>IF($B25&lt;1,"",SUMIF('09월 에너지'!$A$14:$A$949,$A25,'09월 에너지'!G$14:G$949))</f>
        <v/>
      </c>
      <c r="BU25" s="948" t="str">
        <f>IF($B25&lt;1,"",SUMIF('09월 에너지'!$A$14:$A$949,$A25,'09월 에너지'!H$14:H$949))</f>
        <v/>
      </c>
      <c r="BV25" s="948" t="str">
        <f>IF($B25&lt;1,"",SUMIF('09월 에너지'!$A$14:$A$949,$A25,'09월 에너지'!I$14:I$949))</f>
        <v/>
      </c>
      <c r="BW25" s="948" t="str">
        <f>IF($B25&lt;1,"",SUMIF('09월 에너지'!$A$14:$A$949,$A25,'09월 에너지'!J$14:J$949))</f>
        <v/>
      </c>
      <c r="BX25" s="948" t="str">
        <f>IF($B25&lt;1,"",SUMIF('09월 에너지'!$A$14:$A$949,$A25,'09월 에너지'!K$14:K$949))</f>
        <v/>
      </c>
      <c r="BY25" s="948" t="str">
        <f>IF($B25&lt;1,"",SUMIF('09월 에너지'!$A$14:$A$949,$A25,'09월 에너지'!L$14:L$949))</f>
        <v/>
      </c>
      <c r="BZ25" s="948" t="str">
        <f>IF($B25&lt;1,"",SUMIF('09월 에너지'!$A$14:$A$949,$A25,'09월 에너지'!M$14:M$949))</f>
        <v/>
      </c>
      <c r="CA25" s="948" t="str">
        <f>IF($B25&lt;1,"",SUMIF('09월 에너지'!$A$14:$A$949,$A25,'09월 에너지'!N$14:N$949))</f>
        <v/>
      </c>
      <c r="CB25" s="948" t="str">
        <f>IF($B25&lt;1,"",SUMIF('09월 에너지'!$A$14:$A$949,$A25,'09월 에너지'!O$14:O$949))</f>
        <v/>
      </c>
      <c r="CC25" s="948" t="str">
        <f>IF($B25&lt;1,"",SUMIF('09월 에너지'!$A$14:$A$949,$A25,'09월 에너지'!P$14:P$949))</f>
        <v/>
      </c>
      <c r="CD25" s="948" t="str">
        <f>IF($B25&lt;1,"",SUMIF('09월 에너지'!$A$14:$A$949,$A25,'09월 에너지'!Q$14:Q$949))</f>
        <v/>
      </c>
      <c r="CE25" s="948" t="str">
        <f>IF($B25&lt;1,"",SUMIF('09월 에너지'!$A$14:$A$949,$A25,'09월 에너지'!R$14:R$949))</f>
        <v/>
      </c>
      <c r="CF25" s="948" t="str">
        <f>IF($B25&lt;1,"",SUMIF('09월 에너지'!$A$14:$A$949,$A25,'09월 에너지'!S$14:S$949))</f>
        <v/>
      </c>
      <c r="CG25" s="954" t="str">
        <f>IF($B25&lt;1,"",SUMIF('09월 에너지'!$A$14:$A$949,$A25,'09월 에너지'!T$14:T$949))</f>
        <v/>
      </c>
      <c r="CH25" s="954" t="str">
        <f>IF($B25&lt;1,"",SUMIF('09월 에너지'!$A$14:$A$949,$A25,'09월 에너지'!U$14:U$949))</f>
        <v/>
      </c>
      <c r="CI25" s="954" t="str">
        <f>IF($B25&lt;1,"",SUMIF('09월 에너지'!$A$14:$A$949,$A25,'09월 에너지'!V$14:V$949))</f>
        <v/>
      </c>
      <c r="CJ25" s="954" t="str">
        <f>IF($B25&lt;1,"",SUMIF('09월 에너지'!$A$14:$A$949,$A25,'09월 에너지'!W$14:W$949))</f>
        <v/>
      </c>
      <c r="CK25" s="954" t="str">
        <f>IF($B25&lt;1,"",SUMIF('09월 에너지'!$A$14:$A$949,$A25,'09월 에너지'!X$14:X$949))</f>
        <v/>
      </c>
      <c r="CL25" s="954" t="str">
        <f>IF($B25&lt;1,"",SUMIF('09월 에너지'!$A$14:$A$949,$A25,'09월 에너지'!Y$14:Y$949))</f>
        <v/>
      </c>
      <c r="CM25" s="954" t="str">
        <f>IF($B25&lt;1,"",SUMIF('09월 에너지'!$A$14:$A$949,$A25,'09월 에너지'!Z$14:Z$949))</f>
        <v/>
      </c>
      <c r="CN25" s="954" t="str">
        <f>IF($B25&lt;1,"",SUMIF('09월 에너지'!$A$14:$A$949,$A25,'09월 에너지'!AA$14:AA$949))</f>
        <v/>
      </c>
      <c r="CO25" s="954" t="str">
        <f>IF($B25&lt;1,"",SUMIF('09월 에너지'!$A$14:$A$949,$A25,'09월 에너지'!AB$14:AB$949))</f>
        <v/>
      </c>
      <c r="CP25" s="954" t="str">
        <f>IF($B25&lt;1,"",SUMIF('09월 에너지'!$A$14:$A$949,$A25,'09월 에너지'!AC$14:AC$949))</f>
        <v/>
      </c>
      <c r="CQ25" s="955" t="str">
        <f>IF($B25&lt;1,"",SUMIF('09월 에너지'!$A$14:$A$949,$A25,'09월 에너지'!AD$14:AD$949))</f>
        <v/>
      </c>
      <c r="CR25" s="955" t="str">
        <f>IF($B25&lt;1,"",SUMIF('09월 에너지'!$A$14:$A$949,$A25,'09월 에너지'!AE$14:AE$949))</f>
        <v/>
      </c>
      <c r="CS25" s="948" t="str">
        <f>IF($B25&lt;1,"",SUMIF('09월 에너지'!$A$14:$A$949,$A25,'09월 에너지'!AF$14:AF$949))</f>
        <v/>
      </c>
      <c r="CT25" s="948" t="str">
        <f>IF($B25&lt;1,"",SUMIF('09월 에너지'!$A$14:$A$949,$A25,'09월 에너지'!AG$14:AG$949))</f>
        <v/>
      </c>
      <c r="CU25" s="948" t="str">
        <f>IF($B25&lt;1,"",SUMIF('09월 에너지'!$A$14:$A$949,$A25,'09월 에너지'!AH$14:AH$949))</f>
        <v/>
      </c>
      <c r="CV25" s="948" t="str">
        <f>IF($B25&lt;1,"",SUMIF('09월 에너지'!$A$14:$A$949,$A25,'09월 에너지'!AI$14:AI$949))</f>
        <v/>
      </c>
      <c r="CW25" s="956" t="str">
        <f>IF($B25&lt;1,"",SUMIF('09월 에너지'!$A$14:$A$949,$A25,'09월 에너지'!AJ$14:AJ$949))</f>
        <v/>
      </c>
    </row>
    <row r="26" spans="1:101" ht="15.75" customHeight="1">
      <c r="A26" s="939">
        <f t="shared" si="1"/>
        <v>44795</v>
      </c>
      <c r="B26" s="884">
        <f>COUNTIF('09월 조업일지'!$A$12:$A$952,A26)</f>
        <v>0</v>
      </c>
      <c r="C26" s="885" t="str">
        <f t="shared" si="0"/>
        <v/>
      </c>
      <c r="D26" s="885" t="str">
        <f>IF($B26&lt;1,"",(SUMIF('09월 조업일지'!$A$12:$A$952,$A26,'09월 조업일지'!$K$12:$K$952))/B26)</f>
        <v/>
      </c>
      <c r="E26" s="885" t="str">
        <f>IF($B26&lt;1,"",AVERAGEIF('09월 조업일지'!$A$12:$A$952,$A26,'09월 조업일지'!$J$12:$J$952))</f>
        <v/>
      </c>
      <c r="F26" s="940" t="str">
        <f>IF($B26&lt;1,"",AVERAGEIF('09월 에너지'!$A$14:$A$949,$A26,'09월 에너지'!$M$14:M$949))</f>
        <v/>
      </c>
      <c r="G26" s="887" t="str">
        <f>IF($B26&lt;1,"",AVERAGEIF('09월 조업일지'!$A$12:$A$952,$A26,'09월 조업일지'!$AJ$12:$AJ$952))</f>
        <v/>
      </c>
      <c r="H26" s="887" t="str">
        <f>IF($B26&lt;1,"",AVERAGEIF('09월 조업일지'!$A$12:$A$952,$A26,'09월 조업일지'!$AL$12:$AL$952))</f>
        <v/>
      </c>
      <c r="I26" s="941" t="str">
        <f>IF($B26&lt;1,"",AVERAGEIF('09월 화학성분'!$A$12:$A$949,$A26,'09월 화학성분'!G$12:G$949))</f>
        <v/>
      </c>
      <c r="J26" s="941" t="str">
        <f>IF($B26&lt;1,"",AVERAGEIF('09월 화학성분'!$A$12:$A$949,$A26,'09월 화학성분'!H$12:H$949))</f>
        <v/>
      </c>
      <c r="K26" s="941" t="str">
        <f>IF($B26&lt;1,"",AVERAGEIF('09월 화학성분'!$A$12:$A$949,$A26,'09월 화학성분'!I$12:I$949))</f>
        <v/>
      </c>
      <c r="L26" s="941" t="str">
        <f>IF($B26&lt;1,"",AVERAGEIF('09월 화학성분'!$A$12:$A$949,$A26,'09월 화학성분'!J$12:J$949))</f>
        <v/>
      </c>
      <c r="M26" s="941" t="str">
        <f>IF($B26&lt;1,"",AVERAGEIF('09월 화학성분'!$A$12:$A$949,$A26,'09월 화학성분'!K$12:K$949))</f>
        <v/>
      </c>
      <c r="N26" s="941" t="str">
        <f>IF($B26&lt;1,"",AVERAGEIF('09월 화학성분'!$A$12:$A$949,$A26,'09월 화학성분'!L$12:L$949))</f>
        <v/>
      </c>
      <c r="O26" s="941" t="str">
        <f>IF($B26&lt;1,"",AVERAGEIF('09월 화학성분'!$A$12:$A$949,$A26,'09월 화학성분'!M$12:M$949))</f>
        <v/>
      </c>
      <c r="P26" s="889" t="str">
        <f>IF($B26&lt;1,"",AVERAGEIF('09월 조업일지'!$A$12:$A$952,$A26,'09월 조업일지'!$AK$12:$AK$952))</f>
        <v/>
      </c>
      <c r="Q26" s="941" t="str">
        <f>IF($B26&lt;1,"",AVERAGEIF('09월 화학성분'!$A$12:$A$949,$A26,'09월 화학성분'!$G$12:$G$949))</f>
        <v/>
      </c>
      <c r="R26" s="889" t="str">
        <f>IF($B26&lt;1,"",AVERAGEIF('09월 조업일지'!$A$12:$A$952,$A26,'09월 조업일지'!$AI$12:$AI$952))</f>
        <v/>
      </c>
      <c r="S26" s="942" t="str">
        <f>IF($B26&lt;1,"",SUMIF('09월 화학성분'!$A$12:$A$949,$A26,'09월 화학성분'!$AM$12:$AM$949))</f>
        <v/>
      </c>
      <c r="T26" s="943" t="str">
        <f>IF($B26&lt;1,"",SUMIF('09월 화학성분'!$A$12:$A$949,$A26,'09월 화학성분'!N$12:N$949))</f>
        <v/>
      </c>
      <c r="U26" s="943" t="str">
        <f>IF($B26&lt;1,"",SUMIF('09월 화학성분'!$A$12:$A$949,$A26,'09월 화학성분'!O$12:O$949))</f>
        <v/>
      </c>
      <c r="V26" s="943" t="str">
        <f>IF($B26&lt;1,"",SUMIF('09월 화학성분'!$A$12:$A$949,$A26,'09월 화학성분'!P$12:P$949))</f>
        <v/>
      </c>
      <c r="W26" s="943" t="str">
        <f>IF($B26&lt;1,"",SUMIF('09월 화학성분'!$A$12:$A$949,$A26,'09월 화학성분'!Q$12:Q$949))</f>
        <v/>
      </c>
      <c r="X26" s="943" t="str">
        <f>IF($B26&lt;1,"",SUMIF('09월 화학성분'!$A$12:$A$949,$A26,'09월 화학성분'!R$12:R$949))</f>
        <v/>
      </c>
      <c r="Y26" s="943" t="str">
        <f>IF($B26&lt;1,"",SUMIF('09월 화학성분'!$A$12:$A$949,$A26,'09월 화학성분'!U$12:U$949))</f>
        <v/>
      </c>
      <c r="Z26" s="944" t="str">
        <f>IF($B26&lt;1,"",SUMIF('09월 화학성분'!$A$12:$A$949,$A26,'09월 화학성분'!V$12:V$949))</f>
        <v/>
      </c>
      <c r="AA26" s="944" t="str">
        <f>IF($B26&lt;1,"",SUMIF('09월 화학성분'!$A$12:$A$949,$A26,'09월 화학성분'!W$12:W$949))</f>
        <v/>
      </c>
      <c r="AB26" s="944" t="str">
        <f>IF($B26&lt;1,"",SUMIF('09월 화학성분'!$A$12:$A$949,$A26,'09월 화학성분'!AA$12:AA$949))</f>
        <v/>
      </c>
      <c r="AC26" s="944"/>
      <c r="AD26" s="945" t="str">
        <f>IF($B26&lt;1,"",SUMIF('09월 화학성분'!$A$12:$A$949,$A26,'09월 화학성분'!AB$12:AB$949))</f>
        <v/>
      </c>
      <c r="AE26" s="945" t="str">
        <f>IF($B26&lt;1,"",SUMIF('09월 화학성분'!$A$12:$A$949,$A26,'09월 화학성분'!AC$12:AC$949))</f>
        <v/>
      </c>
      <c r="AF26" s="945" t="str">
        <f>IF($B26&lt;1,"",SUMIF('09월 화학성분'!$A$12:$A$949,$A26,'09월 화학성분'!AD$12:AD$949))</f>
        <v/>
      </c>
      <c r="AG26" s="945"/>
      <c r="AH26" s="945" t="str">
        <f>IF($B26&lt;1,"",SUMIF('09월 화학성분'!$A$12:$A$949,$A26,'09월 화학성분'!AG$12:AG$949))</f>
        <v/>
      </c>
      <c r="AI26" s="945" t="str">
        <f>IF($B26&lt;1,"",SUMIF('09월 화학성분'!$A$12:$A$949,$A26,'09월 화학성분'!AH$12:AH$949))</f>
        <v/>
      </c>
      <c r="AJ26" s="945" t="str">
        <f>IF($B26&lt;1,"",SUMIF('09월 화학성분'!$A$12:$A$949,$A26,'09월 화학성분'!AI$12:AI$949))</f>
        <v/>
      </c>
      <c r="AK26" s="945" t="str">
        <f>IF($B26&lt;1,"",SUMIF('09월 화학성분'!$A$12:$A$949,$A26,'09월 화학성분'!AJ$12:AJ$949))</f>
        <v/>
      </c>
      <c r="AL26" s="945" t="str">
        <f>IF($B26&lt;1,"",SUMIF('09월 화학성분'!$A$12:$A$949,$A26,'09월 화학성분'!#REF!))</f>
        <v/>
      </c>
      <c r="AM26" s="945" t="str">
        <f>IF($B26&lt;1,"",SUMIF('09월 화학성분'!$A$12:$A$949,$A26,'09월 화학성분'!AL$12:AL$949))</f>
        <v/>
      </c>
      <c r="AN26" s="946" t="str">
        <f>IF($B26&lt;1,"",SUMIF('09월 화학성분'!$A$12:$A$949,$A26,'09월 화학성분'!AM$12:AM$949))</f>
        <v/>
      </c>
      <c r="AO26" s="947" t="str">
        <f>IF($B26&lt;1,"",AVERAGEIF('09월 화학성분'!$A$12:$A$949,$A26,'09월 화학성분'!AN$12:AN$949))</f>
        <v/>
      </c>
      <c r="AP26" s="947" t="str">
        <f>IF($B26&lt;1,"",AVERAGEIF('09월 화학성분'!$A$12:$A$949,$A26,'09월 화학성분'!AO$12:AO$949))</f>
        <v/>
      </c>
      <c r="AQ26" s="948" t="str">
        <f>IF($B26&lt;1,"",SUMIF('09월 화학성분'!$A$12:$A$949,$A26,'09월 화학성분'!AP$12:AP$949))</f>
        <v/>
      </c>
      <c r="AR26" s="949" t="str">
        <f>IF($B26&lt;1,"",SUMIF('09월 고철장입'!$A$14:$A$949,$A26,'09월 고철장입'!G$14:G$949)/1000)</f>
        <v/>
      </c>
      <c r="AS26" s="949" t="str">
        <f>IF($B26&lt;1,"",SUMIF('09월 고철장입'!$A$14:$A$949,$A26,'09월 고철장입'!H$14:H$949)/1000)</f>
        <v/>
      </c>
      <c r="AT26" s="949" t="str">
        <f>IF($B26&lt;1,"",SUMIF('09월 고철장입'!$A$14:$A$949,$A26,'09월 고철장입'!I$14:I$949)/1000)</f>
        <v/>
      </c>
      <c r="AU26" s="949" t="str">
        <f>IF($B26&lt;1,"",SUMIF('09월 고철장입'!$A$14:$A$949,$A26,'09월 고철장입'!J$14:J$949)/1000)</f>
        <v/>
      </c>
      <c r="AV26" s="949" t="str">
        <f>IF($B26&lt;1,"",SUMIF('09월 고철장입'!$A$14:$A$949,$A26,'09월 고철장입'!K$14:K$949)/1000)</f>
        <v/>
      </c>
      <c r="AW26" s="949" t="str">
        <f>IF($B26&lt;1,"",SUMIF('09월 고철장입'!$A$14:$A$949,$A26,'09월 고철장입'!L$14:L$949)/1000)</f>
        <v/>
      </c>
      <c r="AX26" s="949" t="str">
        <f>IF($B26&lt;1,"",SUMIF('09월 고철장입'!$A$14:$A$949,$A26,'09월 고철장입'!M$14:M$949)/1000)</f>
        <v/>
      </c>
      <c r="AY26" s="949" t="str">
        <f>IF($B26&lt;1,"",SUMIF('09월 고철장입'!$A$14:$A$949,$A26,'09월 고철장입'!N$14:N$949)/1000)</f>
        <v/>
      </c>
      <c r="AZ26" s="949" t="str">
        <f>IF($B26&lt;1,"",SUMIF('09월 고철장입'!$A$14:$A$949,$A26,'09월 고철장입'!O$14:O$949)/1000)</f>
        <v/>
      </c>
      <c r="BA26" s="950" t="str">
        <f>IF($B26&lt;1,"",SUMIF('09월 고철장입'!$A$14:$A$949,$A26,'09월 고철장입'!P$14:P$949)/1000)</f>
        <v/>
      </c>
      <c r="BB26" s="950" t="str">
        <f>IF($B26&lt;1,"",SUMIF('09월 고철장입'!$A$14:$A$949,$A26,'09월 고철장입'!Q$14:Q$949)/1000)</f>
        <v/>
      </c>
      <c r="BC26" s="950" t="str">
        <f>IF($B26&lt;1,"",SUMIF('09월 고철장입'!$A$14:$A$949,$A26,'09월 고철장입'!S$14:S$949)/1000)</f>
        <v/>
      </c>
      <c r="BD26" s="950" t="str">
        <f>IF($B26&lt;1,"",SUMIF('09월 고철장입'!$A$14:$A$949,$A26,'09월 고철장입'!T$14:T$949)/1000)</f>
        <v/>
      </c>
      <c r="BE26" s="950" t="str">
        <f>IF($B26&lt;1,"",SUMIF('09월 고철장입'!$A$14:$A$949,$A26,'09월 고철장입'!U$14:U$949)/1000)</f>
        <v/>
      </c>
      <c r="BF26" s="950" t="str">
        <f>IF($B26&lt;1,"",SUMIF('09월 고철장입'!$A$14:$A$949,$A26,'09월 고철장입'!V$14:V$949)/1000)</f>
        <v/>
      </c>
      <c r="BG26" s="950" t="str">
        <f>IF($B26&lt;1,"",SUMIF('09월 고철장입'!$A$14:$A$949,$A26,'09월 고철장입'!W$14:W$949)/1000)</f>
        <v/>
      </c>
      <c r="BH26" s="950" t="str">
        <f>IF($B26&lt;1,"",SUMIF('09월 고철장입'!$A$14:$A$949,$A26,'09월 고철장입'!Y$14:Y$949)/1000)</f>
        <v/>
      </c>
      <c r="BI26" s="950" t="str">
        <f>IF($B26&lt;1,"",SUMIF('09월 고철장입'!$A$14:$A$949,$A26,'09월 고철장입'!AB$14:AB$949)/1000)</f>
        <v/>
      </c>
      <c r="BJ26" s="950" t="str">
        <f>IF($B26&lt;1,"",SUMIF('09월 고철장입'!$A$14:$A$949,$A26,'09월 고철장입'!AC$14:AC$949)/1000)</f>
        <v/>
      </c>
      <c r="BK26" s="950" t="str">
        <f>IF($B26&lt;1,"",SUMIF('09월 고철장입'!$A$14:$A$949,$A26,'09월 고철장입'!AD$14:AD$949)/1000)</f>
        <v/>
      </c>
      <c r="BL26" s="950" t="str">
        <f>IF($B26&lt;1,"",SUMIF('09월 고철장입'!$A$14:$A$949,$A26,'09월 고철장입'!AE$14:AE$949)/1000)</f>
        <v/>
      </c>
      <c r="BM26" s="951" t="str">
        <f>IF($B26&lt;1,"",SUMIF('09월 고철장입'!$A$14:$A$949,$A26,'09월 고철장입'!AF$14:AF$949)/1000)</f>
        <v/>
      </c>
      <c r="BN26" s="951" t="str">
        <f>IF($B26&lt;1,"",SUMIF('09월 고철장입'!$A$14:$A$949,$A26,'09월 고철장입'!AG$14:AG$949)/1000)</f>
        <v/>
      </c>
      <c r="BO26" s="951" t="str">
        <f>IF($B26&lt;1,"",SUMIF('09월 고철장입'!$A$14:$A$949,$A26,'09월 고철장입'!AH$14:AH$949)/1000)</f>
        <v/>
      </c>
      <c r="BP26" s="951" t="str">
        <f>IF($B26&lt;1,"",SUMIF('09월 고철장입'!$A$14:$A$949,$A26,'09월 고철장입'!AI$14:AI$949)/1000)</f>
        <v/>
      </c>
      <c r="BQ26" s="952" t="str">
        <f>IF($B26&lt;1,"",SUMIF('09월 고철장입'!$A$14:$A$949,$A26,'09월 고철장입'!AJ$14:AJ$949)/1000)</f>
        <v/>
      </c>
      <c r="BR26" s="952" t="str">
        <f>IF($B26&lt;1,"",SUMIF('09월 고철장입'!$A$14:$A$949,$A26,'09월 고철장입'!AK$14:AK$949))</f>
        <v/>
      </c>
      <c r="BS26" s="953" t="str">
        <f>IF($B26&lt;1,"",AVERAGEIF('09월 고철장입'!$A$14:$A$949,$A26,'09월 고철장입'!AL$14:AL$949)*100)</f>
        <v/>
      </c>
      <c r="BT26" s="948" t="str">
        <f>IF($B26&lt;1,"",SUMIF('09월 에너지'!$A$14:$A$949,$A26,'09월 에너지'!G$14:G$949))</f>
        <v/>
      </c>
      <c r="BU26" s="948" t="str">
        <f>IF($B26&lt;1,"",SUMIF('09월 에너지'!$A$14:$A$949,$A26,'09월 에너지'!H$14:H$949))</f>
        <v/>
      </c>
      <c r="BV26" s="948" t="str">
        <f>IF($B26&lt;1,"",SUMIF('09월 에너지'!$A$14:$A$949,$A26,'09월 에너지'!I$14:I$949))</f>
        <v/>
      </c>
      <c r="BW26" s="948" t="str">
        <f>IF($B26&lt;1,"",SUMIF('09월 에너지'!$A$14:$A$949,$A26,'09월 에너지'!J$14:J$949))</f>
        <v/>
      </c>
      <c r="BX26" s="948" t="str">
        <f>IF($B26&lt;1,"",SUMIF('09월 에너지'!$A$14:$A$949,$A26,'09월 에너지'!K$14:K$949))</f>
        <v/>
      </c>
      <c r="BY26" s="948" t="str">
        <f>IF($B26&lt;1,"",SUMIF('09월 에너지'!$A$14:$A$949,$A26,'09월 에너지'!L$14:L$949))</f>
        <v/>
      </c>
      <c r="BZ26" s="948" t="str">
        <f>IF($B26&lt;1,"",SUMIF('09월 에너지'!$A$14:$A$949,$A26,'09월 에너지'!M$14:M$949))</f>
        <v/>
      </c>
      <c r="CA26" s="948" t="str">
        <f>IF($B26&lt;1,"",SUMIF('09월 에너지'!$A$14:$A$949,$A26,'09월 에너지'!N$14:N$949))</f>
        <v/>
      </c>
      <c r="CB26" s="948" t="str">
        <f>IF($B26&lt;1,"",SUMIF('09월 에너지'!$A$14:$A$949,$A26,'09월 에너지'!O$14:O$949))</f>
        <v/>
      </c>
      <c r="CC26" s="948" t="str">
        <f>IF($B26&lt;1,"",SUMIF('09월 에너지'!$A$14:$A$949,$A26,'09월 에너지'!P$14:P$949))</f>
        <v/>
      </c>
      <c r="CD26" s="948" t="str">
        <f>IF($B26&lt;1,"",SUMIF('09월 에너지'!$A$14:$A$949,$A26,'09월 에너지'!Q$14:Q$949))</f>
        <v/>
      </c>
      <c r="CE26" s="948" t="str">
        <f>IF($B26&lt;1,"",SUMIF('09월 에너지'!$A$14:$A$949,$A26,'09월 에너지'!R$14:R$949))</f>
        <v/>
      </c>
      <c r="CF26" s="948" t="str">
        <f>IF($B26&lt;1,"",SUMIF('09월 에너지'!$A$14:$A$949,$A26,'09월 에너지'!S$14:S$949))</f>
        <v/>
      </c>
      <c r="CG26" s="954" t="str">
        <f>IF($B26&lt;1,"",SUMIF('09월 에너지'!$A$14:$A$949,$A26,'09월 에너지'!T$14:T$949))</f>
        <v/>
      </c>
      <c r="CH26" s="954" t="str">
        <f>IF($B26&lt;1,"",SUMIF('09월 에너지'!$A$14:$A$949,$A26,'09월 에너지'!U$14:U$949))</f>
        <v/>
      </c>
      <c r="CI26" s="954" t="str">
        <f>IF($B26&lt;1,"",SUMIF('09월 에너지'!$A$14:$A$949,$A26,'09월 에너지'!V$14:V$949))</f>
        <v/>
      </c>
      <c r="CJ26" s="954" t="str">
        <f>IF($B26&lt;1,"",SUMIF('09월 에너지'!$A$14:$A$949,$A26,'09월 에너지'!W$14:W$949))</f>
        <v/>
      </c>
      <c r="CK26" s="954" t="str">
        <f>IF($B26&lt;1,"",SUMIF('09월 에너지'!$A$14:$A$949,$A26,'09월 에너지'!X$14:X$949))</f>
        <v/>
      </c>
      <c r="CL26" s="954" t="str">
        <f>IF($B26&lt;1,"",SUMIF('09월 에너지'!$A$14:$A$949,$A26,'09월 에너지'!Y$14:Y$949))</f>
        <v/>
      </c>
      <c r="CM26" s="954" t="str">
        <f>IF($B26&lt;1,"",SUMIF('09월 에너지'!$A$14:$A$949,$A26,'09월 에너지'!Z$14:Z$949))</f>
        <v/>
      </c>
      <c r="CN26" s="954" t="str">
        <f>IF($B26&lt;1,"",SUMIF('09월 에너지'!$A$14:$A$949,$A26,'09월 에너지'!AA$14:AA$949))</f>
        <v/>
      </c>
      <c r="CO26" s="954" t="str">
        <f>IF($B26&lt;1,"",SUMIF('09월 에너지'!$A$14:$A$949,$A26,'09월 에너지'!AB$14:AB$949))</f>
        <v/>
      </c>
      <c r="CP26" s="954" t="str">
        <f>IF($B26&lt;1,"",SUMIF('09월 에너지'!$A$14:$A$949,$A26,'09월 에너지'!AC$14:AC$949))</f>
        <v/>
      </c>
      <c r="CQ26" s="955" t="str">
        <f>IF($B26&lt;1,"",SUMIF('09월 에너지'!$A$14:$A$949,$A26,'09월 에너지'!AD$14:AD$949))</f>
        <v/>
      </c>
      <c r="CR26" s="955" t="str">
        <f>IF($B26&lt;1,"",SUMIF('09월 에너지'!$A$14:$A$949,$A26,'09월 에너지'!AE$14:AE$949))</f>
        <v/>
      </c>
      <c r="CS26" s="948" t="str">
        <f>IF($B26&lt;1,"",SUMIF('09월 에너지'!$A$14:$A$949,$A26,'09월 에너지'!AF$14:AF$949))</f>
        <v/>
      </c>
      <c r="CT26" s="948" t="str">
        <f>IF($B26&lt;1,"",SUMIF('09월 에너지'!$A$14:$A$949,$A26,'09월 에너지'!AG$14:AG$949))</f>
        <v/>
      </c>
      <c r="CU26" s="948" t="str">
        <f>IF($B26&lt;1,"",SUMIF('09월 에너지'!$A$14:$A$949,$A26,'09월 에너지'!AH$14:AH$949))</f>
        <v/>
      </c>
      <c r="CV26" s="948" t="str">
        <f>IF($B26&lt;1,"",SUMIF('09월 에너지'!$A$14:$A$949,$A26,'09월 에너지'!AI$14:AI$949))</f>
        <v/>
      </c>
      <c r="CW26" s="956" t="str">
        <f>IF($B26&lt;1,"",SUMIF('09월 에너지'!$A$14:$A$949,$A26,'09월 에너지'!AJ$14:AJ$949))</f>
        <v/>
      </c>
    </row>
    <row r="27" spans="1:101" ht="15.75" customHeight="1">
      <c r="A27" s="939">
        <f t="shared" si="1"/>
        <v>44796</v>
      </c>
      <c r="B27" s="884">
        <f>COUNTIF('09월 조업일지'!$A$12:$A$952,A27)</f>
        <v>0</v>
      </c>
      <c r="C27" s="885" t="str">
        <f t="shared" si="0"/>
        <v/>
      </c>
      <c r="D27" s="885" t="str">
        <f>IF($B27&lt;1,"",(SUMIF('09월 조업일지'!$A$12:$A$952,$A27,'09월 조업일지'!$K$12:$K$952))/B27)</f>
        <v/>
      </c>
      <c r="E27" s="885" t="str">
        <f>IF($B27&lt;1,"",AVERAGEIF('09월 조업일지'!$A$12:$A$952,$A27,'09월 조업일지'!$J$12:$J$952))</f>
        <v/>
      </c>
      <c r="F27" s="940" t="str">
        <f>IF($B27&lt;1,"",AVERAGEIF('09월 에너지'!$A$14:$A$949,$A27,'09월 에너지'!$M$14:M$949))</f>
        <v/>
      </c>
      <c r="G27" s="887" t="str">
        <f>IF($B27&lt;1,"",AVERAGEIF('09월 조업일지'!$A$12:$A$952,$A27,'09월 조업일지'!$AJ$12:$AJ$952))</f>
        <v/>
      </c>
      <c r="H27" s="887" t="str">
        <f>IF($B27&lt;1,"",AVERAGEIF('09월 조업일지'!$A$12:$A$952,$A27,'09월 조업일지'!$AL$12:$AL$952))</f>
        <v/>
      </c>
      <c r="I27" s="941" t="str">
        <f>IF($B27&lt;1,"",AVERAGEIF('09월 화학성분'!$A$12:$A$949,$A27,'09월 화학성분'!G$12:G$949))</f>
        <v/>
      </c>
      <c r="J27" s="941" t="str">
        <f>IF($B27&lt;1,"",AVERAGEIF('09월 화학성분'!$A$12:$A$949,$A27,'09월 화학성분'!H$12:H$949))</f>
        <v/>
      </c>
      <c r="K27" s="941" t="str">
        <f>IF($B27&lt;1,"",AVERAGEIF('09월 화학성분'!$A$12:$A$949,$A27,'09월 화학성분'!I$12:I$949))</f>
        <v/>
      </c>
      <c r="L27" s="941" t="str">
        <f>IF($B27&lt;1,"",AVERAGEIF('09월 화학성분'!$A$12:$A$949,$A27,'09월 화학성분'!J$12:J$949))</f>
        <v/>
      </c>
      <c r="M27" s="941" t="str">
        <f>IF($B27&lt;1,"",AVERAGEIF('09월 화학성분'!$A$12:$A$949,$A27,'09월 화학성분'!K$12:K$949))</f>
        <v/>
      </c>
      <c r="N27" s="941" t="str">
        <f>IF($B27&lt;1,"",AVERAGEIF('09월 화학성분'!$A$12:$A$949,$A27,'09월 화학성분'!L$12:L$949))</f>
        <v/>
      </c>
      <c r="O27" s="941" t="str">
        <f>IF($B27&lt;1,"",AVERAGEIF('09월 화학성분'!$A$12:$A$949,$A27,'09월 화학성분'!M$12:M$949))</f>
        <v/>
      </c>
      <c r="P27" s="889" t="str">
        <f>IF($B27&lt;1,"",AVERAGEIF('09월 조업일지'!$A$12:$A$952,$A27,'09월 조업일지'!$AK$12:$AK$952))</f>
        <v/>
      </c>
      <c r="Q27" s="941" t="str">
        <f>IF($B27&lt;1,"",AVERAGEIF('09월 화학성분'!$A$12:$A$949,$A27,'09월 화학성분'!$G$12:$G$949))</f>
        <v/>
      </c>
      <c r="R27" s="889" t="str">
        <f>IF($B27&lt;1,"",AVERAGEIF('09월 조업일지'!$A$12:$A$952,$A27,'09월 조업일지'!$AI$12:$AI$952))</f>
        <v/>
      </c>
      <c r="S27" s="942" t="str">
        <f>IF($B27&lt;1,"",SUMIF('09월 화학성분'!$A$12:$A$949,$A27,'09월 화학성분'!$AM$12:$AM$949))</f>
        <v/>
      </c>
      <c r="T27" s="943" t="str">
        <f>IF($B27&lt;1,"",SUMIF('09월 화학성분'!$A$12:$A$949,$A27,'09월 화학성분'!N$12:N$949))</f>
        <v/>
      </c>
      <c r="U27" s="943" t="str">
        <f>IF($B27&lt;1,"",SUMIF('09월 화학성분'!$A$12:$A$949,$A27,'09월 화학성분'!O$12:O$949))</f>
        <v/>
      </c>
      <c r="V27" s="943" t="str">
        <f>IF($B27&lt;1,"",SUMIF('09월 화학성분'!$A$12:$A$949,$A27,'09월 화학성분'!P$12:P$949))</f>
        <v/>
      </c>
      <c r="W27" s="943" t="str">
        <f>IF($B27&lt;1,"",SUMIF('09월 화학성분'!$A$12:$A$949,$A27,'09월 화학성분'!Q$12:Q$949))</f>
        <v/>
      </c>
      <c r="X27" s="943" t="str">
        <f>IF($B27&lt;1,"",SUMIF('09월 화학성분'!$A$12:$A$949,$A27,'09월 화학성분'!R$12:R$949))</f>
        <v/>
      </c>
      <c r="Y27" s="943" t="str">
        <f>IF($B27&lt;1,"",SUMIF('09월 화학성분'!$A$12:$A$949,$A27,'09월 화학성분'!U$12:U$949))</f>
        <v/>
      </c>
      <c r="Z27" s="944" t="str">
        <f>IF($B27&lt;1,"",SUMIF('09월 화학성분'!$A$12:$A$949,$A27,'09월 화학성분'!V$12:V$949))</f>
        <v/>
      </c>
      <c r="AA27" s="944" t="str">
        <f>IF($B27&lt;1,"",SUMIF('09월 화학성분'!$A$12:$A$949,$A27,'09월 화학성분'!W$12:W$949))</f>
        <v/>
      </c>
      <c r="AB27" s="944" t="str">
        <f>IF($B27&lt;1,"",SUMIF('09월 화학성분'!$A$12:$A$949,$A27,'09월 화학성분'!AA$12:AA$949))</f>
        <v/>
      </c>
      <c r="AC27" s="944"/>
      <c r="AD27" s="945" t="str">
        <f>IF($B27&lt;1,"",SUMIF('09월 화학성분'!$A$12:$A$949,$A27,'09월 화학성분'!AB$12:AB$949))</f>
        <v/>
      </c>
      <c r="AE27" s="945" t="str">
        <f>IF($B27&lt;1,"",SUMIF('09월 화학성분'!$A$12:$A$949,$A27,'09월 화학성분'!AC$12:AC$949))</f>
        <v/>
      </c>
      <c r="AF27" s="945" t="str">
        <f>IF($B27&lt;1,"",SUMIF('09월 화학성분'!$A$12:$A$949,$A27,'09월 화학성분'!AD$12:AD$949))</f>
        <v/>
      </c>
      <c r="AG27" s="945"/>
      <c r="AH27" s="945" t="str">
        <f>IF($B27&lt;1,"",SUMIF('09월 화학성분'!$A$12:$A$949,$A27,'09월 화학성분'!AG$12:AG$949))</f>
        <v/>
      </c>
      <c r="AI27" s="945" t="str">
        <f>IF($B27&lt;1,"",SUMIF('09월 화학성분'!$A$12:$A$949,$A27,'09월 화학성분'!AH$12:AH$949))</f>
        <v/>
      </c>
      <c r="AJ27" s="945" t="str">
        <f>IF($B27&lt;1,"",SUMIF('09월 화학성분'!$A$12:$A$949,$A27,'09월 화학성분'!AI$12:AI$949))</f>
        <v/>
      </c>
      <c r="AK27" s="945" t="str">
        <f>IF($B27&lt;1,"",SUMIF('09월 화학성분'!$A$12:$A$949,$A27,'09월 화학성분'!AJ$12:AJ$949))</f>
        <v/>
      </c>
      <c r="AL27" s="945" t="str">
        <f>IF($B27&lt;1,"",SUMIF('09월 화학성분'!$A$12:$A$949,$A27,'09월 화학성분'!#REF!))</f>
        <v/>
      </c>
      <c r="AM27" s="945" t="str">
        <f>IF($B27&lt;1,"",SUMIF('09월 화학성분'!$A$12:$A$949,$A27,'09월 화학성분'!AL$12:AL$949))</f>
        <v/>
      </c>
      <c r="AN27" s="946" t="str">
        <f>IF($B27&lt;1,"",SUMIF('09월 화학성분'!$A$12:$A$949,$A27,'09월 화학성분'!AM$12:AM$949))</f>
        <v/>
      </c>
      <c r="AO27" s="947" t="str">
        <f>IF($B27&lt;1,"",AVERAGEIF('09월 화학성분'!$A$12:$A$949,$A27,'09월 화학성분'!AN$12:AN$949))</f>
        <v/>
      </c>
      <c r="AP27" s="947" t="str">
        <f>IF($B27&lt;1,"",AVERAGEIF('09월 화학성분'!$A$12:$A$949,$A27,'09월 화학성분'!AO$12:AO$949))</f>
        <v/>
      </c>
      <c r="AQ27" s="948" t="str">
        <f>IF($B27&lt;1,"",SUMIF('09월 화학성분'!$A$12:$A$949,$A27,'09월 화학성분'!AP$12:AP$949))</f>
        <v/>
      </c>
      <c r="AR27" s="949" t="str">
        <f>IF($B27&lt;1,"",SUMIF('09월 고철장입'!$A$14:$A$949,$A27,'09월 고철장입'!G$14:G$949)/1000)</f>
        <v/>
      </c>
      <c r="AS27" s="949" t="str">
        <f>IF($B27&lt;1,"",SUMIF('09월 고철장입'!$A$14:$A$949,$A27,'09월 고철장입'!H$14:H$949)/1000)</f>
        <v/>
      </c>
      <c r="AT27" s="949" t="str">
        <f>IF($B27&lt;1,"",SUMIF('09월 고철장입'!$A$14:$A$949,$A27,'09월 고철장입'!I$14:I$949)/1000)</f>
        <v/>
      </c>
      <c r="AU27" s="949" t="str">
        <f>IF($B27&lt;1,"",SUMIF('09월 고철장입'!$A$14:$A$949,$A27,'09월 고철장입'!J$14:J$949)/1000)</f>
        <v/>
      </c>
      <c r="AV27" s="949" t="str">
        <f>IF($B27&lt;1,"",SUMIF('09월 고철장입'!$A$14:$A$949,$A27,'09월 고철장입'!K$14:K$949)/1000)</f>
        <v/>
      </c>
      <c r="AW27" s="949" t="str">
        <f>IF($B27&lt;1,"",SUMIF('09월 고철장입'!$A$14:$A$949,$A27,'09월 고철장입'!L$14:L$949)/1000)</f>
        <v/>
      </c>
      <c r="AX27" s="949" t="str">
        <f>IF($B27&lt;1,"",SUMIF('09월 고철장입'!$A$14:$A$949,$A27,'09월 고철장입'!M$14:M$949)/1000)</f>
        <v/>
      </c>
      <c r="AY27" s="949" t="str">
        <f>IF($B27&lt;1,"",SUMIF('09월 고철장입'!$A$14:$A$949,$A27,'09월 고철장입'!N$14:N$949)/1000)</f>
        <v/>
      </c>
      <c r="AZ27" s="949" t="str">
        <f>IF($B27&lt;1,"",SUMIF('09월 고철장입'!$A$14:$A$949,$A27,'09월 고철장입'!O$14:O$949)/1000)</f>
        <v/>
      </c>
      <c r="BA27" s="950" t="str">
        <f>IF($B27&lt;1,"",SUMIF('09월 고철장입'!$A$14:$A$949,$A27,'09월 고철장입'!P$14:P$949)/1000)</f>
        <v/>
      </c>
      <c r="BB27" s="950" t="str">
        <f>IF($B27&lt;1,"",SUMIF('09월 고철장입'!$A$14:$A$949,$A27,'09월 고철장입'!Q$14:Q$949)/1000)</f>
        <v/>
      </c>
      <c r="BC27" s="950" t="str">
        <f>IF($B27&lt;1,"",SUMIF('09월 고철장입'!$A$14:$A$949,$A27,'09월 고철장입'!S$14:S$949)/1000)</f>
        <v/>
      </c>
      <c r="BD27" s="950" t="str">
        <f>IF($B27&lt;1,"",SUMIF('09월 고철장입'!$A$14:$A$949,$A27,'09월 고철장입'!T$14:T$949)/1000)</f>
        <v/>
      </c>
      <c r="BE27" s="950" t="str">
        <f>IF($B27&lt;1,"",SUMIF('09월 고철장입'!$A$14:$A$949,$A27,'09월 고철장입'!U$14:U$949)/1000)</f>
        <v/>
      </c>
      <c r="BF27" s="950" t="str">
        <f>IF($B27&lt;1,"",SUMIF('09월 고철장입'!$A$14:$A$949,$A27,'09월 고철장입'!V$14:V$949)/1000)</f>
        <v/>
      </c>
      <c r="BG27" s="950" t="str">
        <f>IF($B27&lt;1,"",SUMIF('09월 고철장입'!$A$14:$A$949,$A27,'09월 고철장입'!W$14:W$949)/1000)</f>
        <v/>
      </c>
      <c r="BH27" s="950" t="str">
        <f>IF($B27&lt;1,"",SUMIF('09월 고철장입'!$A$14:$A$949,$A27,'09월 고철장입'!Y$14:Y$949)/1000)</f>
        <v/>
      </c>
      <c r="BI27" s="950" t="str">
        <f>IF($B27&lt;1,"",SUMIF('09월 고철장입'!$A$14:$A$949,$A27,'09월 고철장입'!AB$14:AB$949)/1000)</f>
        <v/>
      </c>
      <c r="BJ27" s="950" t="str">
        <f>IF($B27&lt;1,"",SUMIF('09월 고철장입'!$A$14:$A$949,$A27,'09월 고철장입'!AC$14:AC$949)/1000)</f>
        <v/>
      </c>
      <c r="BK27" s="950" t="str">
        <f>IF($B27&lt;1,"",SUMIF('09월 고철장입'!$A$14:$A$949,$A27,'09월 고철장입'!AD$14:AD$949)/1000)</f>
        <v/>
      </c>
      <c r="BL27" s="950" t="str">
        <f>IF($B27&lt;1,"",SUMIF('09월 고철장입'!$A$14:$A$949,$A27,'09월 고철장입'!AE$14:AE$949)/1000)</f>
        <v/>
      </c>
      <c r="BM27" s="951" t="str">
        <f>IF($B27&lt;1,"",SUMIF('09월 고철장입'!$A$14:$A$949,$A27,'09월 고철장입'!AF$14:AF$949)/1000)</f>
        <v/>
      </c>
      <c r="BN27" s="951" t="str">
        <f>IF($B27&lt;1,"",SUMIF('09월 고철장입'!$A$14:$A$949,$A27,'09월 고철장입'!AG$14:AG$949)/1000)</f>
        <v/>
      </c>
      <c r="BO27" s="951" t="str">
        <f>IF($B27&lt;1,"",SUMIF('09월 고철장입'!$A$14:$A$949,$A27,'09월 고철장입'!AH$14:AH$949)/1000)</f>
        <v/>
      </c>
      <c r="BP27" s="951" t="str">
        <f>IF($B27&lt;1,"",SUMIF('09월 고철장입'!$A$14:$A$949,$A27,'09월 고철장입'!AI$14:AI$949)/1000)</f>
        <v/>
      </c>
      <c r="BQ27" s="952" t="str">
        <f>IF($B27&lt;1,"",SUMIF('09월 고철장입'!$A$14:$A$949,$A27,'09월 고철장입'!AJ$14:AJ$949)/1000)</f>
        <v/>
      </c>
      <c r="BR27" s="952" t="str">
        <f>IF($B27&lt;1,"",SUMIF('09월 고철장입'!$A$14:$A$949,$A27,'09월 고철장입'!AK$14:AK$949))</f>
        <v/>
      </c>
      <c r="BS27" s="953" t="str">
        <f>IF($B27&lt;1,"",AVERAGEIF('09월 고철장입'!$A$14:$A$949,$A27,'09월 고철장입'!AL$14:AL$949)*100)</f>
        <v/>
      </c>
      <c r="BT27" s="948" t="str">
        <f>IF($B27&lt;1,"",SUMIF('09월 에너지'!$A$14:$A$949,$A27,'09월 에너지'!G$14:G$949))</f>
        <v/>
      </c>
      <c r="BU27" s="948" t="str">
        <f>IF($B27&lt;1,"",SUMIF('09월 에너지'!$A$14:$A$949,$A27,'09월 에너지'!H$14:H$949))</f>
        <v/>
      </c>
      <c r="BV27" s="948" t="str">
        <f>IF($B27&lt;1,"",SUMIF('09월 에너지'!$A$14:$A$949,$A27,'09월 에너지'!I$14:I$949))</f>
        <v/>
      </c>
      <c r="BW27" s="948" t="str">
        <f>IF($B27&lt;1,"",SUMIF('09월 에너지'!$A$14:$A$949,$A27,'09월 에너지'!J$14:J$949))</f>
        <v/>
      </c>
      <c r="BX27" s="948" t="str">
        <f>IF($B27&lt;1,"",SUMIF('09월 에너지'!$A$14:$A$949,$A27,'09월 에너지'!K$14:K$949))</f>
        <v/>
      </c>
      <c r="BY27" s="948" t="str">
        <f>IF($B27&lt;1,"",SUMIF('09월 에너지'!$A$14:$A$949,$A27,'09월 에너지'!L$14:L$949))</f>
        <v/>
      </c>
      <c r="BZ27" s="948" t="str">
        <f>IF($B27&lt;1,"",SUMIF('09월 에너지'!$A$14:$A$949,$A27,'09월 에너지'!M$14:M$949))</f>
        <v/>
      </c>
      <c r="CA27" s="948" t="str">
        <f>IF($B27&lt;1,"",SUMIF('09월 에너지'!$A$14:$A$949,$A27,'09월 에너지'!N$14:N$949))</f>
        <v/>
      </c>
      <c r="CB27" s="948" t="str">
        <f>IF($B27&lt;1,"",SUMIF('09월 에너지'!$A$14:$A$949,$A27,'09월 에너지'!O$14:O$949))</f>
        <v/>
      </c>
      <c r="CC27" s="948" t="str">
        <f>IF($B27&lt;1,"",SUMIF('09월 에너지'!$A$14:$A$949,$A27,'09월 에너지'!P$14:P$949))</f>
        <v/>
      </c>
      <c r="CD27" s="948" t="str">
        <f>IF($B27&lt;1,"",SUMIF('09월 에너지'!$A$14:$A$949,$A27,'09월 에너지'!Q$14:Q$949))</f>
        <v/>
      </c>
      <c r="CE27" s="948" t="str">
        <f>IF($B27&lt;1,"",SUMIF('09월 에너지'!$A$14:$A$949,$A27,'09월 에너지'!R$14:R$949))</f>
        <v/>
      </c>
      <c r="CF27" s="948" t="str">
        <f>IF($B27&lt;1,"",SUMIF('09월 에너지'!$A$14:$A$949,$A27,'09월 에너지'!S$14:S$949))</f>
        <v/>
      </c>
      <c r="CG27" s="954" t="str">
        <f>IF($B27&lt;1,"",SUMIF('09월 에너지'!$A$14:$A$949,$A27,'09월 에너지'!T$14:T$949))</f>
        <v/>
      </c>
      <c r="CH27" s="954" t="str">
        <f>IF($B27&lt;1,"",SUMIF('09월 에너지'!$A$14:$A$949,$A27,'09월 에너지'!U$14:U$949))</f>
        <v/>
      </c>
      <c r="CI27" s="954" t="str">
        <f>IF($B27&lt;1,"",SUMIF('09월 에너지'!$A$14:$A$949,$A27,'09월 에너지'!V$14:V$949))</f>
        <v/>
      </c>
      <c r="CJ27" s="954" t="str">
        <f>IF($B27&lt;1,"",SUMIF('09월 에너지'!$A$14:$A$949,$A27,'09월 에너지'!W$14:W$949))</f>
        <v/>
      </c>
      <c r="CK27" s="954" t="str">
        <f>IF($B27&lt;1,"",SUMIF('09월 에너지'!$A$14:$A$949,$A27,'09월 에너지'!X$14:X$949))</f>
        <v/>
      </c>
      <c r="CL27" s="954" t="str">
        <f>IF($B27&lt;1,"",SUMIF('09월 에너지'!$A$14:$A$949,$A27,'09월 에너지'!Y$14:Y$949))</f>
        <v/>
      </c>
      <c r="CM27" s="954" t="str">
        <f>IF($B27&lt;1,"",SUMIF('09월 에너지'!$A$14:$A$949,$A27,'09월 에너지'!Z$14:Z$949))</f>
        <v/>
      </c>
      <c r="CN27" s="954" t="str">
        <f>IF($B27&lt;1,"",SUMIF('09월 에너지'!$A$14:$A$949,$A27,'09월 에너지'!AA$14:AA$949))</f>
        <v/>
      </c>
      <c r="CO27" s="954" t="str">
        <f>IF($B27&lt;1,"",SUMIF('09월 에너지'!$A$14:$A$949,$A27,'09월 에너지'!AB$14:AB$949))</f>
        <v/>
      </c>
      <c r="CP27" s="954" t="str">
        <f>IF($B27&lt;1,"",SUMIF('09월 에너지'!$A$14:$A$949,$A27,'09월 에너지'!AC$14:AC$949))</f>
        <v/>
      </c>
      <c r="CQ27" s="955" t="str">
        <f>IF($B27&lt;1,"",SUMIF('09월 에너지'!$A$14:$A$949,$A27,'09월 에너지'!AD$14:AD$949))</f>
        <v/>
      </c>
      <c r="CR27" s="955" t="str">
        <f>IF($B27&lt;1,"",SUMIF('09월 에너지'!$A$14:$A$949,$A27,'09월 에너지'!AE$14:AE$949))</f>
        <v/>
      </c>
      <c r="CS27" s="948" t="str">
        <f>IF($B27&lt;1,"",SUMIF('09월 에너지'!$A$14:$A$949,$A27,'09월 에너지'!AF$14:AF$949))</f>
        <v/>
      </c>
      <c r="CT27" s="948" t="str">
        <f>IF($B27&lt;1,"",SUMIF('09월 에너지'!$A$14:$A$949,$A27,'09월 에너지'!AG$14:AG$949))</f>
        <v/>
      </c>
      <c r="CU27" s="948" t="str">
        <f>IF($B27&lt;1,"",SUMIF('09월 에너지'!$A$14:$A$949,$A27,'09월 에너지'!AH$14:AH$949))</f>
        <v/>
      </c>
      <c r="CV27" s="948" t="str">
        <f>IF($B27&lt;1,"",SUMIF('09월 에너지'!$A$14:$A$949,$A27,'09월 에너지'!AI$14:AI$949))</f>
        <v/>
      </c>
      <c r="CW27" s="956" t="str">
        <f>IF($B27&lt;1,"",SUMIF('09월 에너지'!$A$14:$A$949,$A27,'09월 에너지'!AJ$14:AJ$949))</f>
        <v/>
      </c>
    </row>
    <row r="28" spans="1:101" ht="15.75" customHeight="1">
      <c r="A28" s="939">
        <f t="shared" si="1"/>
        <v>44797</v>
      </c>
      <c r="B28" s="884">
        <f>COUNTIF('09월 조업일지'!$A$12:$A$952,A28)</f>
        <v>0</v>
      </c>
      <c r="C28" s="885" t="str">
        <f t="shared" si="0"/>
        <v/>
      </c>
      <c r="D28" s="885" t="str">
        <f>IF($B28&lt;1,"",(SUMIF('09월 조업일지'!$A$12:$A$952,$A28,'09월 조업일지'!$K$12:$K$952))/B28)</f>
        <v/>
      </c>
      <c r="E28" s="885" t="str">
        <f>IF($B28&lt;1,"",AVERAGEIF('09월 조업일지'!$A$12:$A$952,$A28,'09월 조업일지'!$J$12:$J$952))</f>
        <v/>
      </c>
      <c r="F28" s="940" t="str">
        <f>IF($B28&lt;1,"",AVERAGEIF('09월 에너지'!$A$14:$A$949,$A28,'09월 에너지'!$M$14:M$949))</f>
        <v/>
      </c>
      <c r="G28" s="887" t="str">
        <f>IF($B28&lt;1,"",AVERAGEIF('09월 조업일지'!$A$12:$A$952,$A28,'09월 조업일지'!$AJ$12:$AJ$952))</f>
        <v/>
      </c>
      <c r="H28" s="887" t="str">
        <f>IF($B28&lt;1,"",AVERAGEIF('09월 조업일지'!$A$12:$A$952,$A28,'09월 조업일지'!$AL$12:$AL$952))</f>
        <v/>
      </c>
      <c r="I28" s="941" t="str">
        <f>IF($B28&lt;1,"",AVERAGEIF('09월 화학성분'!$A$12:$A$949,$A28,'09월 화학성분'!G$12:G$949))</f>
        <v/>
      </c>
      <c r="J28" s="941" t="str">
        <f>IF($B28&lt;1,"",AVERAGEIF('09월 화학성분'!$A$12:$A$949,$A28,'09월 화학성분'!H$12:H$949))</f>
        <v/>
      </c>
      <c r="K28" s="941" t="str">
        <f>IF($B28&lt;1,"",AVERAGEIF('09월 화학성분'!$A$12:$A$949,$A28,'09월 화학성분'!I$12:I$949))</f>
        <v/>
      </c>
      <c r="L28" s="941" t="str">
        <f>IF($B28&lt;1,"",AVERAGEIF('09월 화학성분'!$A$12:$A$949,$A28,'09월 화학성분'!J$12:J$949))</f>
        <v/>
      </c>
      <c r="M28" s="941" t="str">
        <f>IF($B28&lt;1,"",AVERAGEIF('09월 화학성분'!$A$12:$A$949,$A28,'09월 화학성분'!K$12:K$949))</f>
        <v/>
      </c>
      <c r="N28" s="941" t="str">
        <f>IF($B28&lt;1,"",AVERAGEIF('09월 화학성분'!$A$12:$A$949,$A28,'09월 화학성분'!L$12:L$949))</f>
        <v/>
      </c>
      <c r="O28" s="941" t="str">
        <f>IF($B28&lt;1,"",AVERAGEIF('09월 화학성분'!$A$12:$A$949,$A28,'09월 화학성분'!M$12:M$949))</f>
        <v/>
      </c>
      <c r="P28" s="889" t="str">
        <f>IF($B28&lt;1,"",AVERAGEIF('09월 조업일지'!$A$12:$A$952,$A28,'09월 조업일지'!$AK$12:$AK$952))</f>
        <v/>
      </c>
      <c r="Q28" s="941" t="str">
        <f>IF($B28&lt;1,"",AVERAGEIF('09월 화학성분'!$A$12:$A$949,$A28,'09월 화학성분'!$G$12:$G$949))</f>
        <v/>
      </c>
      <c r="R28" s="889" t="str">
        <f>IF($B28&lt;1,"",AVERAGEIF('09월 조업일지'!$A$12:$A$952,$A28,'09월 조업일지'!$AI$12:$AI$952))</f>
        <v/>
      </c>
      <c r="S28" s="942" t="str">
        <f>IF($B28&lt;1,"",SUMIF('09월 화학성분'!$A$12:$A$949,$A28,'09월 화학성분'!$AM$12:$AM$949))</f>
        <v/>
      </c>
      <c r="T28" s="943" t="str">
        <f>IF($B28&lt;1,"",SUMIF('09월 화학성분'!$A$12:$A$949,$A28,'09월 화학성분'!N$12:N$949))</f>
        <v/>
      </c>
      <c r="U28" s="943" t="str">
        <f>IF($B28&lt;1,"",SUMIF('09월 화학성분'!$A$12:$A$949,$A28,'09월 화학성분'!O$12:O$949))</f>
        <v/>
      </c>
      <c r="V28" s="943" t="str">
        <f>IF($B28&lt;1,"",SUMIF('09월 화학성분'!$A$12:$A$949,$A28,'09월 화학성분'!P$12:P$949))</f>
        <v/>
      </c>
      <c r="W28" s="943" t="str">
        <f>IF($B28&lt;1,"",SUMIF('09월 화학성분'!$A$12:$A$949,$A28,'09월 화학성분'!Q$12:Q$949))</f>
        <v/>
      </c>
      <c r="X28" s="943" t="str">
        <f>IF($B28&lt;1,"",SUMIF('09월 화학성분'!$A$12:$A$949,$A28,'09월 화학성분'!R$12:R$949))</f>
        <v/>
      </c>
      <c r="Y28" s="943" t="str">
        <f>IF($B28&lt;1,"",SUMIF('09월 화학성분'!$A$12:$A$949,$A28,'09월 화학성분'!U$12:U$949))</f>
        <v/>
      </c>
      <c r="Z28" s="944" t="str">
        <f>IF($B28&lt;1,"",SUMIF('09월 화학성분'!$A$12:$A$949,$A28,'09월 화학성분'!V$12:V$949))</f>
        <v/>
      </c>
      <c r="AA28" s="944" t="str">
        <f>IF($B28&lt;1,"",SUMIF('09월 화학성분'!$A$12:$A$949,$A28,'09월 화학성분'!W$12:W$949))</f>
        <v/>
      </c>
      <c r="AB28" s="944" t="str">
        <f>IF($B28&lt;1,"",SUMIF('09월 화학성분'!$A$12:$A$949,$A28,'09월 화학성분'!AA$12:AA$949))</f>
        <v/>
      </c>
      <c r="AC28" s="944"/>
      <c r="AD28" s="945" t="str">
        <f>IF($B28&lt;1,"",SUMIF('09월 화학성분'!$A$12:$A$949,$A28,'09월 화학성분'!AB$12:AB$949))</f>
        <v/>
      </c>
      <c r="AE28" s="945" t="str">
        <f>IF($B28&lt;1,"",SUMIF('09월 화학성분'!$A$12:$A$949,$A28,'09월 화학성분'!AC$12:AC$949))</f>
        <v/>
      </c>
      <c r="AF28" s="945" t="str">
        <f>IF($B28&lt;1,"",SUMIF('09월 화학성분'!$A$12:$A$949,$A28,'09월 화학성분'!AD$12:AD$949))</f>
        <v/>
      </c>
      <c r="AG28" s="945"/>
      <c r="AH28" s="945" t="str">
        <f>IF($B28&lt;1,"",SUMIF('09월 화학성분'!$A$12:$A$949,$A28,'09월 화학성분'!AG$12:AG$949))</f>
        <v/>
      </c>
      <c r="AI28" s="945" t="str">
        <f>IF($B28&lt;1,"",SUMIF('09월 화학성분'!$A$12:$A$949,$A28,'09월 화학성분'!AH$12:AH$949))</f>
        <v/>
      </c>
      <c r="AJ28" s="945" t="str">
        <f>IF($B28&lt;1,"",SUMIF('09월 화학성분'!$A$12:$A$949,$A28,'09월 화학성분'!AI$12:AI$949))</f>
        <v/>
      </c>
      <c r="AK28" s="945" t="str">
        <f>IF($B28&lt;1,"",SUMIF('09월 화학성분'!$A$12:$A$949,$A28,'09월 화학성분'!AJ$12:AJ$949))</f>
        <v/>
      </c>
      <c r="AL28" s="945" t="str">
        <f>IF($B28&lt;1,"",SUMIF('09월 화학성분'!$A$12:$A$949,$A28,'09월 화학성분'!#REF!))</f>
        <v/>
      </c>
      <c r="AM28" s="945" t="str">
        <f>IF($B28&lt;1,"",SUMIF('09월 화학성분'!$A$12:$A$949,$A28,'09월 화학성분'!AL$12:AL$949))</f>
        <v/>
      </c>
      <c r="AN28" s="946" t="str">
        <f>IF($B28&lt;1,"",SUMIF('09월 화학성분'!$A$12:$A$949,$A28,'09월 화학성분'!AM$12:AM$949))</f>
        <v/>
      </c>
      <c r="AO28" s="947" t="str">
        <f>IF($B28&lt;1,"",AVERAGEIF('09월 화학성분'!$A$12:$A$949,$A28,'09월 화학성분'!AN$12:AN$949))</f>
        <v/>
      </c>
      <c r="AP28" s="947" t="str">
        <f>IF($B28&lt;1,"",AVERAGEIF('09월 화학성분'!$A$12:$A$949,$A28,'09월 화학성분'!AO$12:AO$949))</f>
        <v/>
      </c>
      <c r="AQ28" s="948" t="str">
        <f>IF($B28&lt;1,"",SUMIF('09월 화학성분'!$A$12:$A$949,$A28,'09월 화학성분'!AP$12:AP$949))</f>
        <v/>
      </c>
      <c r="AR28" s="949" t="str">
        <f>IF($B28&lt;1,"",SUMIF('09월 고철장입'!$A$14:$A$949,$A28,'09월 고철장입'!G$14:G$949)/1000)</f>
        <v/>
      </c>
      <c r="AS28" s="949" t="str">
        <f>IF($B28&lt;1,"",SUMIF('09월 고철장입'!$A$14:$A$949,$A28,'09월 고철장입'!H$14:H$949)/1000)</f>
        <v/>
      </c>
      <c r="AT28" s="949" t="str">
        <f>IF($B28&lt;1,"",SUMIF('09월 고철장입'!$A$14:$A$949,$A28,'09월 고철장입'!I$14:I$949)/1000)</f>
        <v/>
      </c>
      <c r="AU28" s="949" t="str">
        <f>IF($B28&lt;1,"",SUMIF('09월 고철장입'!$A$14:$A$949,$A28,'09월 고철장입'!J$14:J$949)/1000)</f>
        <v/>
      </c>
      <c r="AV28" s="949" t="str">
        <f>IF($B28&lt;1,"",SUMIF('09월 고철장입'!$A$14:$A$949,$A28,'09월 고철장입'!K$14:K$949)/1000)</f>
        <v/>
      </c>
      <c r="AW28" s="949" t="str">
        <f>IF($B28&lt;1,"",SUMIF('09월 고철장입'!$A$14:$A$949,$A28,'09월 고철장입'!L$14:L$949)/1000)</f>
        <v/>
      </c>
      <c r="AX28" s="949" t="str">
        <f>IF($B28&lt;1,"",SUMIF('09월 고철장입'!$A$14:$A$949,$A28,'09월 고철장입'!M$14:M$949)/1000)</f>
        <v/>
      </c>
      <c r="AY28" s="949" t="str">
        <f>IF($B28&lt;1,"",SUMIF('09월 고철장입'!$A$14:$A$949,$A28,'09월 고철장입'!N$14:N$949)/1000)</f>
        <v/>
      </c>
      <c r="AZ28" s="949" t="str">
        <f>IF($B28&lt;1,"",SUMIF('09월 고철장입'!$A$14:$A$949,$A28,'09월 고철장입'!O$14:O$949)/1000)</f>
        <v/>
      </c>
      <c r="BA28" s="950" t="str">
        <f>IF($B28&lt;1,"",SUMIF('09월 고철장입'!$A$14:$A$949,$A28,'09월 고철장입'!P$14:P$949)/1000)</f>
        <v/>
      </c>
      <c r="BB28" s="950" t="str">
        <f>IF($B28&lt;1,"",SUMIF('09월 고철장입'!$A$14:$A$949,$A28,'09월 고철장입'!Q$14:Q$949)/1000)</f>
        <v/>
      </c>
      <c r="BC28" s="950" t="str">
        <f>IF($B28&lt;1,"",SUMIF('09월 고철장입'!$A$14:$A$949,$A28,'09월 고철장입'!S$14:S$949)/1000)</f>
        <v/>
      </c>
      <c r="BD28" s="950" t="str">
        <f>IF($B28&lt;1,"",SUMIF('09월 고철장입'!$A$14:$A$949,$A28,'09월 고철장입'!T$14:T$949)/1000)</f>
        <v/>
      </c>
      <c r="BE28" s="950" t="str">
        <f>IF($B28&lt;1,"",SUMIF('09월 고철장입'!$A$14:$A$949,$A28,'09월 고철장입'!U$14:U$949)/1000)</f>
        <v/>
      </c>
      <c r="BF28" s="950" t="str">
        <f>IF($B28&lt;1,"",SUMIF('09월 고철장입'!$A$14:$A$949,$A28,'09월 고철장입'!V$14:V$949)/1000)</f>
        <v/>
      </c>
      <c r="BG28" s="950" t="str">
        <f>IF($B28&lt;1,"",SUMIF('09월 고철장입'!$A$14:$A$949,$A28,'09월 고철장입'!W$14:W$949)/1000)</f>
        <v/>
      </c>
      <c r="BH28" s="950" t="str">
        <f>IF($B28&lt;1,"",SUMIF('09월 고철장입'!$A$14:$A$949,$A28,'09월 고철장입'!Y$14:Y$949)/1000)</f>
        <v/>
      </c>
      <c r="BI28" s="950" t="str">
        <f>IF($B28&lt;1,"",SUMIF('09월 고철장입'!$A$14:$A$949,$A28,'09월 고철장입'!AB$14:AB$949)/1000)</f>
        <v/>
      </c>
      <c r="BJ28" s="950" t="str">
        <f>IF($B28&lt;1,"",SUMIF('09월 고철장입'!$A$14:$A$949,$A28,'09월 고철장입'!AC$14:AC$949)/1000)</f>
        <v/>
      </c>
      <c r="BK28" s="950" t="str">
        <f>IF($B28&lt;1,"",SUMIF('09월 고철장입'!$A$14:$A$949,$A28,'09월 고철장입'!AD$14:AD$949)/1000)</f>
        <v/>
      </c>
      <c r="BL28" s="950" t="str">
        <f>IF($B28&lt;1,"",SUMIF('09월 고철장입'!$A$14:$A$949,$A28,'09월 고철장입'!AE$14:AE$949)/1000)</f>
        <v/>
      </c>
      <c r="BM28" s="951" t="str">
        <f>IF($B28&lt;1,"",SUMIF('09월 고철장입'!$A$14:$A$949,$A28,'09월 고철장입'!AF$14:AF$949)/1000)</f>
        <v/>
      </c>
      <c r="BN28" s="951" t="str">
        <f>IF($B28&lt;1,"",SUMIF('09월 고철장입'!$A$14:$A$949,$A28,'09월 고철장입'!AG$14:AG$949)/1000)</f>
        <v/>
      </c>
      <c r="BO28" s="951" t="str">
        <f>IF($B28&lt;1,"",SUMIF('09월 고철장입'!$A$14:$A$949,$A28,'09월 고철장입'!AH$14:AH$949)/1000)</f>
        <v/>
      </c>
      <c r="BP28" s="951" t="str">
        <f>IF($B28&lt;1,"",SUMIF('09월 고철장입'!$A$14:$A$949,$A28,'09월 고철장입'!AI$14:AI$949)/1000)</f>
        <v/>
      </c>
      <c r="BQ28" s="952" t="str">
        <f>IF($B28&lt;1,"",SUMIF('09월 고철장입'!$A$14:$A$949,$A28,'09월 고철장입'!AJ$14:AJ$949)/1000)</f>
        <v/>
      </c>
      <c r="BR28" s="952" t="str">
        <f>IF($B28&lt;1,"",SUMIF('09월 고철장입'!$A$14:$A$949,$A28,'09월 고철장입'!AK$14:AK$949))</f>
        <v/>
      </c>
      <c r="BS28" s="953" t="str">
        <f>IF($B28&lt;1,"",AVERAGEIF('09월 고철장입'!$A$14:$A$949,$A28,'09월 고철장입'!AL$14:AL$949)*100)</f>
        <v/>
      </c>
      <c r="BT28" s="948" t="str">
        <f>IF($B28&lt;1,"",SUMIF('09월 에너지'!$A$14:$A$949,$A28,'09월 에너지'!G$14:G$949))</f>
        <v/>
      </c>
      <c r="BU28" s="948" t="str">
        <f>IF($B28&lt;1,"",SUMIF('09월 에너지'!$A$14:$A$949,$A28,'09월 에너지'!H$14:H$949))</f>
        <v/>
      </c>
      <c r="BV28" s="948" t="str">
        <f>IF($B28&lt;1,"",SUMIF('09월 에너지'!$A$14:$A$949,$A28,'09월 에너지'!I$14:I$949))</f>
        <v/>
      </c>
      <c r="BW28" s="948" t="str">
        <f>IF($B28&lt;1,"",SUMIF('09월 에너지'!$A$14:$A$949,$A28,'09월 에너지'!J$14:J$949))</f>
        <v/>
      </c>
      <c r="BX28" s="948" t="str">
        <f>IF($B28&lt;1,"",SUMIF('09월 에너지'!$A$14:$A$949,$A28,'09월 에너지'!K$14:K$949))</f>
        <v/>
      </c>
      <c r="BY28" s="948" t="str">
        <f>IF($B28&lt;1,"",SUMIF('09월 에너지'!$A$14:$A$949,$A28,'09월 에너지'!L$14:L$949))</f>
        <v/>
      </c>
      <c r="BZ28" s="948" t="str">
        <f>IF($B28&lt;1,"",SUMIF('09월 에너지'!$A$14:$A$949,$A28,'09월 에너지'!M$14:M$949))</f>
        <v/>
      </c>
      <c r="CA28" s="948" t="str">
        <f>IF($B28&lt;1,"",SUMIF('09월 에너지'!$A$14:$A$949,$A28,'09월 에너지'!N$14:N$949))</f>
        <v/>
      </c>
      <c r="CB28" s="948" t="str">
        <f>IF($B28&lt;1,"",SUMIF('09월 에너지'!$A$14:$A$949,$A28,'09월 에너지'!O$14:O$949))</f>
        <v/>
      </c>
      <c r="CC28" s="948" t="str">
        <f>IF($B28&lt;1,"",SUMIF('09월 에너지'!$A$14:$A$949,$A28,'09월 에너지'!P$14:P$949))</f>
        <v/>
      </c>
      <c r="CD28" s="948" t="str">
        <f>IF($B28&lt;1,"",SUMIF('09월 에너지'!$A$14:$A$949,$A28,'09월 에너지'!Q$14:Q$949))</f>
        <v/>
      </c>
      <c r="CE28" s="948" t="str">
        <f>IF($B28&lt;1,"",SUMIF('09월 에너지'!$A$14:$A$949,$A28,'09월 에너지'!R$14:R$949))</f>
        <v/>
      </c>
      <c r="CF28" s="948" t="str">
        <f>IF($B28&lt;1,"",SUMIF('09월 에너지'!$A$14:$A$949,$A28,'09월 에너지'!S$14:S$949))</f>
        <v/>
      </c>
      <c r="CG28" s="954" t="str">
        <f>IF($B28&lt;1,"",SUMIF('09월 에너지'!$A$14:$A$949,$A28,'09월 에너지'!T$14:T$949))</f>
        <v/>
      </c>
      <c r="CH28" s="954" t="str">
        <f>IF($B28&lt;1,"",SUMIF('09월 에너지'!$A$14:$A$949,$A28,'09월 에너지'!U$14:U$949))</f>
        <v/>
      </c>
      <c r="CI28" s="954" t="str">
        <f>IF($B28&lt;1,"",SUMIF('09월 에너지'!$A$14:$A$949,$A28,'09월 에너지'!V$14:V$949))</f>
        <v/>
      </c>
      <c r="CJ28" s="954" t="str">
        <f>IF($B28&lt;1,"",SUMIF('09월 에너지'!$A$14:$A$949,$A28,'09월 에너지'!W$14:W$949))</f>
        <v/>
      </c>
      <c r="CK28" s="954" t="str">
        <f>IF($B28&lt;1,"",SUMIF('09월 에너지'!$A$14:$A$949,$A28,'09월 에너지'!X$14:X$949))</f>
        <v/>
      </c>
      <c r="CL28" s="954" t="str">
        <f>IF($B28&lt;1,"",SUMIF('09월 에너지'!$A$14:$A$949,$A28,'09월 에너지'!Y$14:Y$949))</f>
        <v/>
      </c>
      <c r="CM28" s="954" t="str">
        <f>IF($B28&lt;1,"",SUMIF('09월 에너지'!$A$14:$A$949,$A28,'09월 에너지'!Z$14:Z$949))</f>
        <v/>
      </c>
      <c r="CN28" s="954" t="str">
        <f>IF($B28&lt;1,"",SUMIF('09월 에너지'!$A$14:$A$949,$A28,'09월 에너지'!AA$14:AA$949))</f>
        <v/>
      </c>
      <c r="CO28" s="954" t="str">
        <f>IF($B28&lt;1,"",SUMIF('09월 에너지'!$A$14:$A$949,$A28,'09월 에너지'!AB$14:AB$949))</f>
        <v/>
      </c>
      <c r="CP28" s="954" t="str">
        <f>IF($B28&lt;1,"",SUMIF('09월 에너지'!$A$14:$A$949,$A28,'09월 에너지'!AC$14:AC$949))</f>
        <v/>
      </c>
      <c r="CQ28" s="955" t="str">
        <f>IF($B28&lt;1,"",SUMIF('09월 에너지'!$A$14:$A$949,$A28,'09월 에너지'!AD$14:AD$949))</f>
        <v/>
      </c>
      <c r="CR28" s="955" t="str">
        <f>IF($B28&lt;1,"",SUMIF('09월 에너지'!$A$14:$A$949,$A28,'09월 에너지'!AE$14:AE$949))</f>
        <v/>
      </c>
      <c r="CS28" s="948" t="str">
        <f>IF($B28&lt;1,"",SUMIF('09월 에너지'!$A$14:$A$949,$A28,'09월 에너지'!AF$14:AF$949))</f>
        <v/>
      </c>
      <c r="CT28" s="948" t="str">
        <f>IF($B28&lt;1,"",SUMIF('09월 에너지'!$A$14:$A$949,$A28,'09월 에너지'!AG$14:AG$949))</f>
        <v/>
      </c>
      <c r="CU28" s="948" t="str">
        <f>IF($B28&lt;1,"",SUMIF('09월 에너지'!$A$14:$A$949,$A28,'09월 에너지'!AH$14:AH$949))</f>
        <v/>
      </c>
      <c r="CV28" s="948" t="str">
        <f>IF($B28&lt;1,"",SUMIF('09월 에너지'!$A$14:$A$949,$A28,'09월 에너지'!AI$14:AI$949))</f>
        <v/>
      </c>
      <c r="CW28" s="956" t="str">
        <f>IF($B28&lt;1,"",SUMIF('09월 에너지'!$A$14:$A$949,$A28,'09월 에너지'!AJ$14:AJ$949))</f>
        <v/>
      </c>
    </row>
    <row r="29" spans="1:101" ht="15.75" customHeight="1">
      <c r="A29" s="939">
        <f t="shared" si="1"/>
        <v>44798</v>
      </c>
      <c r="B29" s="884">
        <f>COUNTIF('09월 조업일지'!$A$12:$A$952,A29)</f>
        <v>0</v>
      </c>
      <c r="C29" s="885" t="str">
        <f t="shared" si="0"/>
        <v/>
      </c>
      <c r="D29" s="885" t="str">
        <f>IF($B29&lt;1,"",(SUMIF('09월 조업일지'!$A$12:$A$952,$A29,'09월 조업일지'!$K$12:$K$952))/B29)</f>
        <v/>
      </c>
      <c r="E29" s="885" t="str">
        <f>IF($B29&lt;1,"",AVERAGEIF('09월 조업일지'!$A$12:$A$952,$A29,'09월 조업일지'!$J$12:$J$952))</f>
        <v/>
      </c>
      <c r="F29" s="940" t="str">
        <f>IF($B29&lt;1,"",AVERAGEIF('09월 에너지'!$A$14:$A$949,$A29,'09월 에너지'!$M$14:M$949))</f>
        <v/>
      </c>
      <c r="G29" s="887" t="str">
        <f>IF($B29&lt;1,"",AVERAGEIF('09월 조업일지'!$A$12:$A$952,$A29,'09월 조업일지'!$AJ$12:$AJ$952))</f>
        <v/>
      </c>
      <c r="H29" s="887" t="str">
        <f>IF($B29&lt;1,"",AVERAGEIF('09월 조업일지'!$A$12:$A$952,$A29,'09월 조업일지'!$AL$12:$AL$952))</f>
        <v/>
      </c>
      <c r="I29" s="941" t="str">
        <f>IF($B29&lt;1,"",AVERAGEIF('09월 화학성분'!$A$12:$A$949,$A29,'09월 화학성분'!G$12:G$949))</f>
        <v/>
      </c>
      <c r="J29" s="941" t="str">
        <f>IF($B29&lt;1,"",AVERAGEIF('09월 화학성분'!$A$12:$A$949,$A29,'09월 화학성분'!H$12:H$949))</f>
        <v/>
      </c>
      <c r="K29" s="941" t="str">
        <f>IF($B29&lt;1,"",AVERAGEIF('09월 화학성분'!$A$12:$A$949,$A29,'09월 화학성분'!I$12:I$949))</f>
        <v/>
      </c>
      <c r="L29" s="941" t="str">
        <f>IF($B29&lt;1,"",AVERAGEIF('09월 화학성분'!$A$12:$A$949,$A29,'09월 화학성분'!J$12:J$949))</f>
        <v/>
      </c>
      <c r="M29" s="941" t="str">
        <f>IF($B29&lt;1,"",AVERAGEIF('09월 화학성분'!$A$12:$A$949,$A29,'09월 화학성분'!K$12:K$949))</f>
        <v/>
      </c>
      <c r="N29" s="941" t="str">
        <f>IF($B29&lt;1,"",AVERAGEIF('09월 화학성분'!$A$12:$A$949,$A29,'09월 화학성분'!L$12:L$949))</f>
        <v/>
      </c>
      <c r="O29" s="941" t="str">
        <f>IF($B29&lt;1,"",AVERAGEIF('09월 화학성분'!$A$12:$A$949,$A29,'09월 화학성분'!M$12:M$949))</f>
        <v/>
      </c>
      <c r="P29" s="889" t="str">
        <f>IF($B29&lt;1,"",AVERAGEIF('09월 조업일지'!$A$12:$A$952,$A29,'09월 조업일지'!$AK$12:$AK$952))</f>
        <v/>
      </c>
      <c r="Q29" s="941" t="str">
        <f>IF($B29&lt;1,"",AVERAGEIF('09월 화학성분'!$A$12:$A$949,$A29,'09월 화학성분'!$G$12:$G$949))</f>
        <v/>
      </c>
      <c r="R29" s="889" t="str">
        <f>IF($B29&lt;1,"",AVERAGEIF('09월 조업일지'!$A$12:$A$952,$A29,'09월 조업일지'!$AI$12:$AI$952))</f>
        <v/>
      </c>
      <c r="S29" s="942" t="str">
        <f>IF($B29&lt;1,"",SUMIF('09월 화학성분'!$A$12:$A$949,$A29,'09월 화학성분'!$AM$12:$AM$949))</f>
        <v/>
      </c>
      <c r="T29" s="943" t="str">
        <f>IF($B29&lt;1,"",SUMIF('09월 화학성분'!$A$12:$A$949,$A29,'09월 화학성분'!N$12:N$949))</f>
        <v/>
      </c>
      <c r="U29" s="943" t="str">
        <f>IF($B29&lt;1,"",SUMIF('09월 화학성분'!$A$12:$A$949,$A29,'09월 화학성분'!O$12:O$949))</f>
        <v/>
      </c>
      <c r="V29" s="943" t="str">
        <f>IF($B29&lt;1,"",SUMIF('09월 화학성분'!$A$12:$A$949,$A29,'09월 화학성분'!P$12:P$949))</f>
        <v/>
      </c>
      <c r="W29" s="943" t="str">
        <f>IF($B29&lt;1,"",SUMIF('09월 화학성분'!$A$12:$A$949,$A29,'09월 화학성분'!Q$12:Q$949))</f>
        <v/>
      </c>
      <c r="X29" s="943" t="str">
        <f>IF($B29&lt;1,"",SUMIF('09월 화학성분'!$A$12:$A$949,$A29,'09월 화학성분'!R$12:R$949))</f>
        <v/>
      </c>
      <c r="Y29" s="943" t="str">
        <f>IF($B29&lt;1,"",SUMIF('09월 화학성분'!$A$12:$A$949,$A29,'09월 화학성분'!U$12:U$949))</f>
        <v/>
      </c>
      <c r="Z29" s="944" t="str">
        <f>IF($B29&lt;1,"",SUMIF('09월 화학성분'!$A$12:$A$949,$A29,'09월 화학성분'!V$12:V$949))</f>
        <v/>
      </c>
      <c r="AA29" s="944" t="str">
        <f>IF($B29&lt;1,"",SUMIF('09월 화학성분'!$A$12:$A$949,$A29,'09월 화학성분'!W$12:W$949))</f>
        <v/>
      </c>
      <c r="AB29" s="944" t="str">
        <f>IF($B29&lt;1,"",SUMIF('09월 화학성분'!$A$12:$A$949,$A29,'09월 화학성분'!AA$12:AA$949))</f>
        <v/>
      </c>
      <c r="AC29" s="944"/>
      <c r="AD29" s="945" t="str">
        <f>IF($B29&lt;1,"",SUMIF('09월 화학성분'!$A$12:$A$949,$A29,'09월 화학성분'!AB$12:AB$949))</f>
        <v/>
      </c>
      <c r="AE29" s="945" t="str">
        <f>IF($B29&lt;1,"",SUMIF('09월 화학성분'!$A$12:$A$949,$A29,'09월 화학성분'!AC$12:AC$949))</f>
        <v/>
      </c>
      <c r="AF29" s="945" t="str">
        <f>IF($B29&lt;1,"",SUMIF('09월 화학성분'!$A$12:$A$949,$A29,'09월 화학성분'!AD$12:AD$949))</f>
        <v/>
      </c>
      <c r="AG29" s="945"/>
      <c r="AH29" s="945" t="str">
        <f>IF($B29&lt;1,"",SUMIF('09월 화학성분'!$A$12:$A$949,$A29,'09월 화학성분'!AG$12:AG$949))</f>
        <v/>
      </c>
      <c r="AI29" s="945" t="str">
        <f>IF($B29&lt;1,"",SUMIF('09월 화학성분'!$A$12:$A$949,$A29,'09월 화학성분'!AH$12:AH$949))</f>
        <v/>
      </c>
      <c r="AJ29" s="945" t="str">
        <f>IF($B29&lt;1,"",SUMIF('09월 화학성분'!$A$12:$A$949,$A29,'09월 화학성분'!AI$12:AI$949))</f>
        <v/>
      </c>
      <c r="AK29" s="945" t="str">
        <f>IF($B29&lt;1,"",SUMIF('09월 화학성분'!$A$12:$A$949,$A29,'09월 화학성분'!AJ$12:AJ$949))</f>
        <v/>
      </c>
      <c r="AL29" s="945" t="str">
        <f>IF($B29&lt;1,"",SUMIF('09월 화학성분'!$A$12:$A$949,$A29,'09월 화학성분'!#REF!))</f>
        <v/>
      </c>
      <c r="AM29" s="945" t="str">
        <f>IF($B29&lt;1,"",SUMIF('09월 화학성분'!$A$12:$A$949,$A29,'09월 화학성분'!AL$12:AL$949))</f>
        <v/>
      </c>
      <c r="AN29" s="946" t="str">
        <f>IF($B29&lt;1,"",SUMIF('09월 화학성분'!$A$12:$A$949,$A29,'09월 화학성분'!AM$12:AM$949))</f>
        <v/>
      </c>
      <c r="AO29" s="947" t="str">
        <f>IF($B29&lt;1,"",AVERAGEIF('09월 화학성분'!$A$12:$A$949,$A29,'09월 화학성분'!AN$12:AN$949))</f>
        <v/>
      </c>
      <c r="AP29" s="947" t="str">
        <f>IF($B29&lt;1,"",AVERAGEIF('09월 화학성분'!$A$12:$A$949,$A29,'09월 화학성분'!AO$12:AO$949))</f>
        <v/>
      </c>
      <c r="AQ29" s="948" t="str">
        <f>IF($B29&lt;1,"",SUMIF('09월 화학성분'!$A$12:$A$949,$A29,'09월 화학성분'!AP$12:AP$949))</f>
        <v/>
      </c>
      <c r="AR29" s="949" t="str">
        <f>IF($B29&lt;1,"",SUMIF('09월 고철장입'!$A$14:$A$949,$A29,'09월 고철장입'!G$14:G$949)/1000)</f>
        <v/>
      </c>
      <c r="AS29" s="949" t="str">
        <f>IF($B29&lt;1,"",SUMIF('09월 고철장입'!$A$14:$A$949,$A29,'09월 고철장입'!H$14:H$949)/1000)</f>
        <v/>
      </c>
      <c r="AT29" s="949" t="str">
        <f>IF($B29&lt;1,"",SUMIF('09월 고철장입'!$A$14:$A$949,$A29,'09월 고철장입'!I$14:I$949)/1000)</f>
        <v/>
      </c>
      <c r="AU29" s="949" t="str">
        <f>IF($B29&lt;1,"",SUMIF('09월 고철장입'!$A$14:$A$949,$A29,'09월 고철장입'!J$14:J$949)/1000)</f>
        <v/>
      </c>
      <c r="AV29" s="949" t="str">
        <f>IF($B29&lt;1,"",SUMIF('09월 고철장입'!$A$14:$A$949,$A29,'09월 고철장입'!K$14:K$949)/1000)</f>
        <v/>
      </c>
      <c r="AW29" s="949" t="str">
        <f>IF($B29&lt;1,"",SUMIF('09월 고철장입'!$A$14:$A$949,$A29,'09월 고철장입'!L$14:L$949)/1000)</f>
        <v/>
      </c>
      <c r="AX29" s="949" t="str">
        <f>IF($B29&lt;1,"",SUMIF('09월 고철장입'!$A$14:$A$949,$A29,'09월 고철장입'!M$14:M$949)/1000)</f>
        <v/>
      </c>
      <c r="AY29" s="949" t="str">
        <f>IF($B29&lt;1,"",SUMIF('09월 고철장입'!$A$14:$A$949,$A29,'09월 고철장입'!N$14:N$949)/1000)</f>
        <v/>
      </c>
      <c r="AZ29" s="949" t="str">
        <f>IF($B29&lt;1,"",SUMIF('09월 고철장입'!$A$14:$A$949,$A29,'09월 고철장입'!O$14:O$949)/1000)</f>
        <v/>
      </c>
      <c r="BA29" s="950" t="str">
        <f>IF($B29&lt;1,"",SUMIF('09월 고철장입'!$A$14:$A$949,$A29,'09월 고철장입'!P$14:P$949)/1000)</f>
        <v/>
      </c>
      <c r="BB29" s="950" t="str">
        <f>IF($B29&lt;1,"",SUMIF('09월 고철장입'!$A$14:$A$949,$A29,'09월 고철장입'!Q$14:Q$949)/1000)</f>
        <v/>
      </c>
      <c r="BC29" s="950" t="str">
        <f>IF($B29&lt;1,"",SUMIF('09월 고철장입'!$A$14:$A$949,$A29,'09월 고철장입'!S$14:S$949)/1000)</f>
        <v/>
      </c>
      <c r="BD29" s="950" t="str">
        <f>IF($B29&lt;1,"",SUMIF('09월 고철장입'!$A$14:$A$949,$A29,'09월 고철장입'!T$14:T$949)/1000)</f>
        <v/>
      </c>
      <c r="BE29" s="950" t="str">
        <f>IF($B29&lt;1,"",SUMIF('09월 고철장입'!$A$14:$A$949,$A29,'09월 고철장입'!U$14:U$949)/1000)</f>
        <v/>
      </c>
      <c r="BF29" s="950" t="str">
        <f>IF($B29&lt;1,"",SUMIF('09월 고철장입'!$A$14:$A$949,$A29,'09월 고철장입'!V$14:V$949)/1000)</f>
        <v/>
      </c>
      <c r="BG29" s="950" t="str">
        <f>IF($B29&lt;1,"",SUMIF('09월 고철장입'!$A$14:$A$949,$A29,'09월 고철장입'!W$14:W$949)/1000)</f>
        <v/>
      </c>
      <c r="BH29" s="950" t="str">
        <f>IF($B29&lt;1,"",SUMIF('09월 고철장입'!$A$14:$A$949,$A29,'09월 고철장입'!Y$14:Y$949)/1000)</f>
        <v/>
      </c>
      <c r="BI29" s="950" t="str">
        <f>IF($B29&lt;1,"",SUMIF('09월 고철장입'!$A$14:$A$949,$A29,'09월 고철장입'!AB$14:AB$949)/1000)</f>
        <v/>
      </c>
      <c r="BJ29" s="950" t="str">
        <f>IF($B29&lt;1,"",SUMIF('09월 고철장입'!$A$14:$A$949,$A29,'09월 고철장입'!AC$14:AC$949)/1000)</f>
        <v/>
      </c>
      <c r="BK29" s="950" t="str">
        <f>IF($B29&lt;1,"",SUMIF('09월 고철장입'!$A$14:$A$949,$A29,'09월 고철장입'!AD$14:AD$949)/1000)</f>
        <v/>
      </c>
      <c r="BL29" s="950" t="str">
        <f>IF($B29&lt;1,"",SUMIF('09월 고철장입'!$A$14:$A$949,$A29,'09월 고철장입'!AE$14:AE$949)/1000)</f>
        <v/>
      </c>
      <c r="BM29" s="951" t="str">
        <f>IF($B29&lt;1,"",SUMIF('09월 고철장입'!$A$14:$A$949,$A29,'09월 고철장입'!AF$14:AF$949)/1000)</f>
        <v/>
      </c>
      <c r="BN29" s="951" t="str">
        <f>IF($B29&lt;1,"",SUMIF('09월 고철장입'!$A$14:$A$949,$A29,'09월 고철장입'!AG$14:AG$949)/1000)</f>
        <v/>
      </c>
      <c r="BO29" s="951" t="str">
        <f>IF($B29&lt;1,"",SUMIF('09월 고철장입'!$A$14:$A$949,$A29,'09월 고철장입'!AH$14:AH$949)/1000)</f>
        <v/>
      </c>
      <c r="BP29" s="951" t="str">
        <f>IF($B29&lt;1,"",SUMIF('09월 고철장입'!$A$14:$A$949,$A29,'09월 고철장입'!AI$14:AI$949)/1000)</f>
        <v/>
      </c>
      <c r="BQ29" s="952" t="str">
        <f>IF($B29&lt;1,"",SUMIF('09월 고철장입'!$A$14:$A$949,$A29,'09월 고철장입'!AJ$14:AJ$949)/1000)</f>
        <v/>
      </c>
      <c r="BR29" s="952" t="str">
        <f>IF($B29&lt;1,"",SUMIF('09월 고철장입'!$A$14:$A$949,$A29,'09월 고철장입'!AK$14:AK$949))</f>
        <v/>
      </c>
      <c r="BS29" s="953" t="str">
        <f>IF($B29&lt;1,"",AVERAGEIF('09월 고철장입'!$A$14:$A$949,$A29,'09월 고철장입'!AL$14:AL$949)*100)</f>
        <v/>
      </c>
      <c r="BT29" s="948" t="str">
        <f>IF($B29&lt;1,"",SUMIF('09월 에너지'!$A$14:$A$949,$A29,'09월 에너지'!G$14:G$949))</f>
        <v/>
      </c>
      <c r="BU29" s="948" t="str">
        <f>IF($B29&lt;1,"",SUMIF('09월 에너지'!$A$14:$A$949,$A29,'09월 에너지'!H$14:H$949))</f>
        <v/>
      </c>
      <c r="BV29" s="948" t="str">
        <f>IF($B29&lt;1,"",SUMIF('09월 에너지'!$A$14:$A$949,$A29,'09월 에너지'!I$14:I$949))</f>
        <v/>
      </c>
      <c r="BW29" s="948" t="str">
        <f>IF($B29&lt;1,"",SUMIF('09월 에너지'!$A$14:$A$949,$A29,'09월 에너지'!J$14:J$949))</f>
        <v/>
      </c>
      <c r="BX29" s="948" t="str">
        <f>IF($B29&lt;1,"",SUMIF('09월 에너지'!$A$14:$A$949,$A29,'09월 에너지'!K$14:K$949))</f>
        <v/>
      </c>
      <c r="BY29" s="948" t="str">
        <f>IF($B29&lt;1,"",SUMIF('09월 에너지'!$A$14:$A$949,$A29,'09월 에너지'!L$14:L$949))</f>
        <v/>
      </c>
      <c r="BZ29" s="948" t="str">
        <f>IF($B29&lt;1,"",SUMIF('09월 에너지'!$A$14:$A$949,$A29,'09월 에너지'!M$14:M$949))</f>
        <v/>
      </c>
      <c r="CA29" s="948" t="str">
        <f>IF($B29&lt;1,"",SUMIF('09월 에너지'!$A$14:$A$949,$A29,'09월 에너지'!N$14:N$949))</f>
        <v/>
      </c>
      <c r="CB29" s="948" t="str">
        <f>IF($B29&lt;1,"",SUMIF('09월 에너지'!$A$14:$A$949,$A29,'09월 에너지'!O$14:O$949))</f>
        <v/>
      </c>
      <c r="CC29" s="948" t="str">
        <f>IF($B29&lt;1,"",SUMIF('09월 에너지'!$A$14:$A$949,$A29,'09월 에너지'!P$14:P$949))</f>
        <v/>
      </c>
      <c r="CD29" s="948" t="str">
        <f>IF($B29&lt;1,"",SUMIF('09월 에너지'!$A$14:$A$949,$A29,'09월 에너지'!Q$14:Q$949))</f>
        <v/>
      </c>
      <c r="CE29" s="948" t="str">
        <f>IF($B29&lt;1,"",SUMIF('09월 에너지'!$A$14:$A$949,$A29,'09월 에너지'!R$14:R$949))</f>
        <v/>
      </c>
      <c r="CF29" s="948" t="str">
        <f>IF($B29&lt;1,"",SUMIF('09월 에너지'!$A$14:$A$949,$A29,'09월 에너지'!S$14:S$949))</f>
        <v/>
      </c>
      <c r="CG29" s="954" t="str">
        <f>IF($B29&lt;1,"",SUMIF('09월 에너지'!$A$14:$A$949,$A29,'09월 에너지'!T$14:T$949))</f>
        <v/>
      </c>
      <c r="CH29" s="954" t="str">
        <f>IF($B29&lt;1,"",SUMIF('09월 에너지'!$A$14:$A$949,$A29,'09월 에너지'!U$14:U$949))</f>
        <v/>
      </c>
      <c r="CI29" s="954" t="str">
        <f>IF($B29&lt;1,"",SUMIF('09월 에너지'!$A$14:$A$949,$A29,'09월 에너지'!V$14:V$949))</f>
        <v/>
      </c>
      <c r="CJ29" s="954" t="str">
        <f>IF($B29&lt;1,"",SUMIF('09월 에너지'!$A$14:$A$949,$A29,'09월 에너지'!W$14:W$949))</f>
        <v/>
      </c>
      <c r="CK29" s="954" t="str">
        <f>IF($B29&lt;1,"",SUMIF('09월 에너지'!$A$14:$A$949,$A29,'09월 에너지'!X$14:X$949))</f>
        <v/>
      </c>
      <c r="CL29" s="954" t="str">
        <f>IF($B29&lt;1,"",SUMIF('09월 에너지'!$A$14:$A$949,$A29,'09월 에너지'!Y$14:Y$949))</f>
        <v/>
      </c>
      <c r="CM29" s="954" t="str">
        <f>IF($B29&lt;1,"",SUMIF('09월 에너지'!$A$14:$A$949,$A29,'09월 에너지'!Z$14:Z$949))</f>
        <v/>
      </c>
      <c r="CN29" s="954" t="str">
        <f>IF($B29&lt;1,"",SUMIF('09월 에너지'!$A$14:$A$949,$A29,'09월 에너지'!AA$14:AA$949))</f>
        <v/>
      </c>
      <c r="CO29" s="954" t="str">
        <f>IF($B29&lt;1,"",SUMIF('09월 에너지'!$A$14:$A$949,$A29,'09월 에너지'!AB$14:AB$949))</f>
        <v/>
      </c>
      <c r="CP29" s="954" t="str">
        <f>IF($B29&lt;1,"",SUMIF('09월 에너지'!$A$14:$A$949,$A29,'09월 에너지'!AC$14:AC$949))</f>
        <v/>
      </c>
      <c r="CQ29" s="955" t="str">
        <f>IF($B29&lt;1,"",SUMIF('09월 에너지'!$A$14:$A$949,$A29,'09월 에너지'!AD$14:AD$949))</f>
        <v/>
      </c>
      <c r="CR29" s="955" t="str">
        <f>IF($B29&lt;1,"",SUMIF('09월 에너지'!$A$14:$A$949,$A29,'09월 에너지'!AE$14:AE$949))</f>
        <v/>
      </c>
      <c r="CS29" s="948" t="str">
        <f>IF($B29&lt;1,"",SUMIF('09월 에너지'!$A$14:$A$949,$A29,'09월 에너지'!AF$14:AF$949))</f>
        <v/>
      </c>
      <c r="CT29" s="948" t="str">
        <f>IF($B29&lt;1,"",SUMIF('09월 에너지'!$A$14:$A$949,$A29,'09월 에너지'!AG$14:AG$949))</f>
        <v/>
      </c>
      <c r="CU29" s="948" t="str">
        <f>IF($B29&lt;1,"",SUMIF('09월 에너지'!$A$14:$A$949,$A29,'09월 에너지'!AH$14:AH$949))</f>
        <v/>
      </c>
      <c r="CV29" s="948" t="str">
        <f>IF($B29&lt;1,"",SUMIF('09월 에너지'!$A$14:$A$949,$A29,'09월 에너지'!AI$14:AI$949))</f>
        <v/>
      </c>
      <c r="CW29" s="956" t="str">
        <f>IF($B29&lt;1,"",SUMIF('09월 에너지'!$A$14:$A$949,$A29,'09월 에너지'!AJ$14:AJ$949))</f>
        <v/>
      </c>
    </row>
    <row r="30" spans="1:101" ht="15.75" customHeight="1">
      <c r="A30" s="939">
        <f t="shared" si="1"/>
        <v>44799</v>
      </c>
      <c r="B30" s="884">
        <f>COUNTIF('09월 조업일지'!$A$12:$A$952,A30)</f>
        <v>0</v>
      </c>
      <c r="C30" s="885" t="str">
        <f t="shared" si="0"/>
        <v/>
      </c>
      <c r="D30" s="885" t="str">
        <f>IF($B30&lt;1,"",(SUMIF('09월 조업일지'!$A$12:$A$952,$A30,'09월 조업일지'!$K$12:$K$952))/B30)</f>
        <v/>
      </c>
      <c r="E30" s="885" t="str">
        <f>IF($B30&lt;1,"",AVERAGEIF('09월 조업일지'!$A$12:$A$952,$A30,'09월 조업일지'!$J$12:$J$952))</f>
        <v/>
      </c>
      <c r="F30" s="940" t="str">
        <f>IF($B30&lt;1,"",AVERAGEIF('09월 에너지'!$A$14:$A$949,$A30,'09월 에너지'!$M$14:M$949))</f>
        <v/>
      </c>
      <c r="G30" s="887" t="str">
        <f>IF($B30&lt;1,"",AVERAGEIF('09월 조업일지'!$A$12:$A$952,$A30,'09월 조업일지'!$AJ$12:$AJ$952))</f>
        <v/>
      </c>
      <c r="H30" s="887" t="str">
        <f>IF($B30&lt;1,"",AVERAGEIF('09월 조업일지'!$A$12:$A$952,$A30,'09월 조업일지'!$AL$12:$AL$952))</f>
        <v/>
      </c>
      <c r="I30" s="941" t="str">
        <f>IF($B30&lt;1,"",AVERAGEIF('09월 화학성분'!$A$12:$A$949,$A30,'09월 화학성분'!G$12:G$949))</f>
        <v/>
      </c>
      <c r="J30" s="941" t="str">
        <f>IF($B30&lt;1,"",AVERAGEIF('09월 화학성분'!$A$12:$A$949,$A30,'09월 화학성분'!H$12:H$949))</f>
        <v/>
      </c>
      <c r="K30" s="941" t="str">
        <f>IF($B30&lt;1,"",AVERAGEIF('09월 화학성분'!$A$12:$A$949,$A30,'09월 화학성분'!I$12:I$949))</f>
        <v/>
      </c>
      <c r="L30" s="941" t="str">
        <f>IF($B30&lt;1,"",AVERAGEIF('09월 화학성분'!$A$12:$A$949,$A30,'09월 화학성분'!J$12:J$949))</f>
        <v/>
      </c>
      <c r="M30" s="941" t="str">
        <f>IF($B30&lt;1,"",AVERAGEIF('09월 화학성분'!$A$12:$A$949,$A30,'09월 화학성분'!K$12:K$949))</f>
        <v/>
      </c>
      <c r="N30" s="941" t="str">
        <f>IF($B30&lt;1,"",AVERAGEIF('09월 화학성분'!$A$12:$A$949,$A30,'09월 화학성분'!L$12:L$949))</f>
        <v/>
      </c>
      <c r="O30" s="941" t="str">
        <f>IF($B30&lt;1,"",AVERAGEIF('09월 화학성분'!$A$12:$A$949,$A30,'09월 화학성분'!M$12:M$949))</f>
        <v/>
      </c>
      <c r="P30" s="889" t="str">
        <f>IF($B30&lt;1,"",AVERAGEIF('09월 조업일지'!$A$12:$A$952,$A30,'09월 조업일지'!$AK$12:$AK$952))</f>
        <v/>
      </c>
      <c r="Q30" s="941" t="str">
        <f>IF($B30&lt;1,"",AVERAGEIF('09월 화학성분'!$A$12:$A$949,$A30,'09월 화학성분'!$G$12:$G$949))</f>
        <v/>
      </c>
      <c r="R30" s="889" t="str">
        <f>IF($B30&lt;1,"",AVERAGEIF('09월 조업일지'!$A$12:$A$952,$A30,'09월 조업일지'!$AI$12:$AI$952))</f>
        <v/>
      </c>
      <c r="S30" s="942" t="str">
        <f>IF($B30&lt;1,"",SUMIF('09월 화학성분'!$A$12:$A$949,$A30,'09월 화학성분'!$AM$12:$AM$949))</f>
        <v/>
      </c>
      <c r="T30" s="943" t="str">
        <f>IF($B30&lt;1,"",SUMIF('09월 화학성분'!$A$12:$A$949,$A30,'09월 화학성분'!N$12:N$949))</f>
        <v/>
      </c>
      <c r="U30" s="943" t="str">
        <f>IF($B30&lt;1,"",SUMIF('09월 화학성분'!$A$12:$A$949,$A30,'09월 화학성분'!O$12:O$949))</f>
        <v/>
      </c>
      <c r="V30" s="943" t="str">
        <f>IF($B30&lt;1,"",SUMIF('09월 화학성분'!$A$12:$A$949,$A30,'09월 화학성분'!P$12:P$949))</f>
        <v/>
      </c>
      <c r="W30" s="943" t="str">
        <f>IF($B30&lt;1,"",SUMIF('09월 화학성분'!$A$12:$A$949,$A30,'09월 화학성분'!Q$12:Q$949))</f>
        <v/>
      </c>
      <c r="X30" s="943" t="str">
        <f>IF($B30&lt;1,"",SUMIF('09월 화학성분'!$A$12:$A$949,$A30,'09월 화학성분'!R$12:R$949))</f>
        <v/>
      </c>
      <c r="Y30" s="943" t="str">
        <f>IF($B30&lt;1,"",SUMIF('09월 화학성분'!$A$12:$A$949,$A30,'09월 화학성분'!U$12:U$949))</f>
        <v/>
      </c>
      <c r="Z30" s="944" t="str">
        <f>IF($B30&lt;1,"",SUMIF('09월 화학성분'!$A$12:$A$949,$A30,'09월 화학성분'!V$12:V$949))</f>
        <v/>
      </c>
      <c r="AA30" s="944" t="str">
        <f>IF($B30&lt;1,"",SUMIF('09월 화학성분'!$A$12:$A$949,$A30,'09월 화학성분'!W$12:W$949))</f>
        <v/>
      </c>
      <c r="AB30" s="944" t="str">
        <f>IF($B30&lt;1,"",SUMIF('09월 화학성분'!$A$12:$A$949,$A30,'09월 화학성분'!AA$12:AA$949))</f>
        <v/>
      </c>
      <c r="AC30" s="944"/>
      <c r="AD30" s="945" t="str">
        <f>IF($B30&lt;1,"",SUMIF('09월 화학성분'!$A$12:$A$949,$A30,'09월 화학성분'!AB$12:AB$949))</f>
        <v/>
      </c>
      <c r="AE30" s="945" t="str">
        <f>IF($B30&lt;1,"",SUMIF('09월 화학성분'!$A$12:$A$949,$A30,'09월 화학성분'!AC$12:AC$949))</f>
        <v/>
      </c>
      <c r="AF30" s="945" t="str">
        <f>IF($B30&lt;1,"",SUMIF('09월 화학성분'!$A$12:$A$949,$A30,'09월 화학성분'!AD$12:AD$949))</f>
        <v/>
      </c>
      <c r="AG30" s="945"/>
      <c r="AH30" s="945" t="str">
        <f>IF($B30&lt;1,"",SUMIF('09월 화학성분'!$A$12:$A$949,$A30,'09월 화학성분'!AG$12:AG$949))</f>
        <v/>
      </c>
      <c r="AI30" s="945" t="str">
        <f>IF($B30&lt;1,"",SUMIF('09월 화학성분'!$A$12:$A$949,$A30,'09월 화학성분'!AH$12:AH$949))</f>
        <v/>
      </c>
      <c r="AJ30" s="945" t="str">
        <f>IF($B30&lt;1,"",SUMIF('09월 화학성분'!$A$12:$A$949,$A30,'09월 화학성분'!AI$12:AI$949))</f>
        <v/>
      </c>
      <c r="AK30" s="945" t="str">
        <f>IF($B30&lt;1,"",SUMIF('09월 화학성분'!$A$12:$A$949,$A30,'09월 화학성분'!AJ$12:AJ$949))</f>
        <v/>
      </c>
      <c r="AL30" s="945" t="str">
        <f>IF($B30&lt;1,"",SUMIF('09월 화학성분'!$A$12:$A$949,$A30,'09월 화학성분'!#REF!))</f>
        <v/>
      </c>
      <c r="AM30" s="945" t="str">
        <f>IF($B30&lt;1,"",SUMIF('09월 화학성분'!$A$12:$A$949,$A30,'09월 화학성분'!AL$12:AL$949))</f>
        <v/>
      </c>
      <c r="AN30" s="946" t="str">
        <f>IF($B30&lt;1,"",SUMIF('09월 화학성분'!$A$12:$A$949,$A30,'09월 화학성분'!AM$12:AM$949))</f>
        <v/>
      </c>
      <c r="AO30" s="947" t="str">
        <f>IF($B30&lt;1,"",AVERAGEIF('09월 화학성분'!$A$12:$A$949,$A30,'09월 화학성분'!AN$12:AN$949))</f>
        <v/>
      </c>
      <c r="AP30" s="947" t="str">
        <f>IF($B30&lt;1,"",AVERAGEIF('09월 화학성분'!$A$12:$A$949,$A30,'09월 화학성분'!AO$12:AO$949))</f>
        <v/>
      </c>
      <c r="AQ30" s="948" t="str">
        <f>IF($B30&lt;1,"",SUMIF('09월 화학성분'!$A$12:$A$949,$A30,'09월 화학성분'!AP$12:AP$949))</f>
        <v/>
      </c>
      <c r="AR30" s="949" t="str">
        <f>IF($B30&lt;1,"",SUMIF('09월 고철장입'!$A$14:$A$949,$A30,'09월 고철장입'!G$14:G$949)/1000)</f>
        <v/>
      </c>
      <c r="AS30" s="949" t="str">
        <f>IF($B30&lt;1,"",SUMIF('09월 고철장입'!$A$14:$A$949,$A30,'09월 고철장입'!H$14:H$949)/1000)</f>
        <v/>
      </c>
      <c r="AT30" s="949" t="str">
        <f>IF($B30&lt;1,"",SUMIF('09월 고철장입'!$A$14:$A$949,$A30,'09월 고철장입'!I$14:I$949)/1000)</f>
        <v/>
      </c>
      <c r="AU30" s="949" t="str">
        <f>IF($B30&lt;1,"",SUMIF('09월 고철장입'!$A$14:$A$949,$A30,'09월 고철장입'!J$14:J$949)/1000)</f>
        <v/>
      </c>
      <c r="AV30" s="949" t="str">
        <f>IF($B30&lt;1,"",SUMIF('09월 고철장입'!$A$14:$A$949,$A30,'09월 고철장입'!K$14:K$949)/1000)</f>
        <v/>
      </c>
      <c r="AW30" s="949" t="str">
        <f>IF($B30&lt;1,"",SUMIF('09월 고철장입'!$A$14:$A$949,$A30,'09월 고철장입'!L$14:L$949)/1000)</f>
        <v/>
      </c>
      <c r="AX30" s="949" t="str">
        <f>IF($B30&lt;1,"",SUMIF('09월 고철장입'!$A$14:$A$949,$A30,'09월 고철장입'!M$14:M$949)/1000)</f>
        <v/>
      </c>
      <c r="AY30" s="949" t="str">
        <f>IF($B30&lt;1,"",SUMIF('09월 고철장입'!$A$14:$A$949,$A30,'09월 고철장입'!N$14:N$949)/1000)</f>
        <v/>
      </c>
      <c r="AZ30" s="949" t="str">
        <f>IF($B30&lt;1,"",SUMIF('09월 고철장입'!$A$14:$A$949,$A30,'09월 고철장입'!O$14:O$949)/1000)</f>
        <v/>
      </c>
      <c r="BA30" s="950" t="str">
        <f>IF($B30&lt;1,"",SUMIF('09월 고철장입'!$A$14:$A$949,$A30,'09월 고철장입'!P$14:P$949)/1000)</f>
        <v/>
      </c>
      <c r="BB30" s="950" t="str">
        <f>IF($B30&lt;1,"",SUMIF('09월 고철장입'!$A$14:$A$949,$A30,'09월 고철장입'!Q$14:Q$949)/1000)</f>
        <v/>
      </c>
      <c r="BC30" s="950" t="str">
        <f>IF($B30&lt;1,"",SUMIF('09월 고철장입'!$A$14:$A$949,$A30,'09월 고철장입'!S$14:S$949)/1000)</f>
        <v/>
      </c>
      <c r="BD30" s="950" t="str">
        <f>IF($B30&lt;1,"",SUMIF('09월 고철장입'!$A$14:$A$949,$A30,'09월 고철장입'!T$14:T$949)/1000)</f>
        <v/>
      </c>
      <c r="BE30" s="950" t="str">
        <f>IF($B30&lt;1,"",SUMIF('09월 고철장입'!$A$14:$A$949,$A30,'09월 고철장입'!U$14:U$949)/1000)</f>
        <v/>
      </c>
      <c r="BF30" s="950" t="str">
        <f>IF($B30&lt;1,"",SUMIF('09월 고철장입'!$A$14:$A$949,$A30,'09월 고철장입'!V$14:V$949)/1000)</f>
        <v/>
      </c>
      <c r="BG30" s="950" t="str">
        <f>IF($B30&lt;1,"",SUMIF('09월 고철장입'!$A$14:$A$949,$A30,'09월 고철장입'!W$14:W$949)/1000)</f>
        <v/>
      </c>
      <c r="BH30" s="950" t="str">
        <f>IF($B30&lt;1,"",SUMIF('09월 고철장입'!$A$14:$A$949,$A30,'09월 고철장입'!Y$14:Y$949)/1000)</f>
        <v/>
      </c>
      <c r="BI30" s="950" t="str">
        <f>IF($B30&lt;1,"",SUMIF('09월 고철장입'!$A$14:$A$949,$A30,'09월 고철장입'!AB$14:AB$949)/1000)</f>
        <v/>
      </c>
      <c r="BJ30" s="950" t="str">
        <f>IF($B30&lt;1,"",SUMIF('09월 고철장입'!$A$14:$A$949,$A30,'09월 고철장입'!AC$14:AC$949)/1000)</f>
        <v/>
      </c>
      <c r="BK30" s="950" t="str">
        <f>IF($B30&lt;1,"",SUMIF('09월 고철장입'!$A$14:$A$949,$A30,'09월 고철장입'!AD$14:AD$949)/1000)</f>
        <v/>
      </c>
      <c r="BL30" s="950" t="str">
        <f>IF($B30&lt;1,"",SUMIF('09월 고철장입'!$A$14:$A$949,$A30,'09월 고철장입'!AE$14:AE$949)/1000)</f>
        <v/>
      </c>
      <c r="BM30" s="951" t="str">
        <f>IF($B30&lt;1,"",SUMIF('09월 고철장입'!$A$14:$A$949,$A30,'09월 고철장입'!AF$14:AF$949)/1000)</f>
        <v/>
      </c>
      <c r="BN30" s="951" t="str">
        <f>IF($B30&lt;1,"",SUMIF('09월 고철장입'!$A$14:$A$949,$A30,'09월 고철장입'!AG$14:AG$949)/1000)</f>
        <v/>
      </c>
      <c r="BO30" s="951" t="str">
        <f>IF($B30&lt;1,"",SUMIF('09월 고철장입'!$A$14:$A$949,$A30,'09월 고철장입'!AH$14:AH$949)/1000)</f>
        <v/>
      </c>
      <c r="BP30" s="951" t="str">
        <f>IF($B30&lt;1,"",SUMIF('09월 고철장입'!$A$14:$A$949,$A30,'09월 고철장입'!AI$14:AI$949)/1000)</f>
        <v/>
      </c>
      <c r="BQ30" s="952" t="str">
        <f>IF($B30&lt;1,"",SUMIF('09월 고철장입'!$A$14:$A$949,$A30,'09월 고철장입'!AJ$14:AJ$949)/1000)</f>
        <v/>
      </c>
      <c r="BR30" s="952" t="str">
        <f>IF($B30&lt;1,"",SUMIF('09월 고철장입'!$A$14:$A$949,$A30,'09월 고철장입'!AK$14:AK$949))</f>
        <v/>
      </c>
      <c r="BS30" s="953" t="str">
        <f>IF($B30&lt;1,"",AVERAGEIF('09월 고철장입'!$A$14:$A$949,$A30,'09월 고철장입'!AL$14:AL$949)*100)</f>
        <v/>
      </c>
      <c r="BT30" s="948" t="str">
        <f>IF($B30&lt;1,"",SUMIF('09월 에너지'!$A$14:$A$949,$A30,'09월 에너지'!G$14:G$949))</f>
        <v/>
      </c>
      <c r="BU30" s="948" t="str">
        <f>IF($B30&lt;1,"",SUMIF('09월 에너지'!$A$14:$A$949,$A30,'09월 에너지'!H$14:H$949))</f>
        <v/>
      </c>
      <c r="BV30" s="948" t="str">
        <f>IF($B30&lt;1,"",SUMIF('09월 에너지'!$A$14:$A$949,$A30,'09월 에너지'!I$14:I$949))</f>
        <v/>
      </c>
      <c r="BW30" s="948" t="str">
        <f>IF($B30&lt;1,"",SUMIF('09월 에너지'!$A$14:$A$949,$A30,'09월 에너지'!J$14:J$949))</f>
        <v/>
      </c>
      <c r="BX30" s="948" t="str">
        <f>IF($B30&lt;1,"",SUMIF('09월 에너지'!$A$14:$A$949,$A30,'09월 에너지'!K$14:K$949))</f>
        <v/>
      </c>
      <c r="BY30" s="948" t="str">
        <f>IF($B30&lt;1,"",SUMIF('09월 에너지'!$A$14:$A$949,$A30,'09월 에너지'!L$14:L$949))</f>
        <v/>
      </c>
      <c r="BZ30" s="948" t="str">
        <f>IF($B30&lt;1,"",SUMIF('09월 에너지'!$A$14:$A$949,$A30,'09월 에너지'!M$14:M$949))</f>
        <v/>
      </c>
      <c r="CA30" s="948" t="str">
        <f>IF($B30&lt;1,"",SUMIF('09월 에너지'!$A$14:$A$949,$A30,'09월 에너지'!N$14:N$949))</f>
        <v/>
      </c>
      <c r="CB30" s="948" t="str">
        <f>IF($B30&lt;1,"",SUMIF('09월 에너지'!$A$14:$A$949,$A30,'09월 에너지'!O$14:O$949))</f>
        <v/>
      </c>
      <c r="CC30" s="948" t="str">
        <f>IF($B30&lt;1,"",SUMIF('09월 에너지'!$A$14:$A$949,$A30,'09월 에너지'!P$14:P$949))</f>
        <v/>
      </c>
      <c r="CD30" s="948" t="str">
        <f>IF($B30&lt;1,"",SUMIF('09월 에너지'!$A$14:$A$949,$A30,'09월 에너지'!Q$14:Q$949))</f>
        <v/>
      </c>
      <c r="CE30" s="948" t="str">
        <f>IF($B30&lt;1,"",SUMIF('09월 에너지'!$A$14:$A$949,$A30,'09월 에너지'!R$14:R$949))</f>
        <v/>
      </c>
      <c r="CF30" s="948" t="str">
        <f>IF($B30&lt;1,"",SUMIF('09월 에너지'!$A$14:$A$949,$A30,'09월 에너지'!S$14:S$949))</f>
        <v/>
      </c>
      <c r="CG30" s="954" t="str">
        <f>IF($B30&lt;1,"",SUMIF('09월 에너지'!$A$14:$A$949,$A30,'09월 에너지'!T$14:T$949))</f>
        <v/>
      </c>
      <c r="CH30" s="954" t="str">
        <f>IF($B30&lt;1,"",SUMIF('09월 에너지'!$A$14:$A$949,$A30,'09월 에너지'!U$14:U$949))</f>
        <v/>
      </c>
      <c r="CI30" s="954" t="str">
        <f>IF($B30&lt;1,"",SUMIF('09월 에너지'!$A$14:$A$949,$A30,'09월 에너지'!V$14:V$949))</f>
        <v/>
      </c>
      <c r="CJ30" s="954" t="str">
        <f>IF($B30&lt;1,"",SUMIF('09월 에너지'!$A$14:$A$949,$A30,'09월 에너지'!W$14:W$949))</f>
        <v/>
      </c>
      <c r="CK30" s="954" t="str">
        <f>IF($B30&lt;1,"",SUMIF('09월 에너지'!$A$14:$A$949,$A30,'09월 에너지'!X$14:X$949))</f>
        <v/>
      </c>
      <c r="CL30" s="954" t="str">
        <f>IF($B30&lt;1,"",SUMIF('09월 에너지'!$A$14:$A$949,$A30,'09월 에너지'!Y$14:Y$949))</f>
        <v/>
      </c>
      <c r="CM30" s="954" t="str">
        <f>IF($B30&lt;1,"",SUMIF('09월 에너지'!$A$14:$A$949,$A30,'09월 에너지'!Z$14:Z$949))</f>
        <v/>
      </c>
      <c r="CN30" s="954" t="str">
        <f>IF($B30&lt;1,"",SUMIF('09월 에너지'!$A$14:$A$949,$A30,'09월 에너지'!AA$14:AA$949))</f>
        <v/>
      </c>
      <c r="CO30" s="954" t="str">
        <f>IF($B30&lt;1,"",SUMIF('09월 에너지'!$A$14:$A$949,$A30,'09월 에너지'!AB$14:AB$949))</f>
        <v/>
      </c>
      <c r="CP30" s="954" t="str">
        <f>IF($B30&lt;1,"",SUMIF('09월 에너지'!$A$14:$A$949,$A30,'09월 에너지'!AC$14:AC$949))</f>
        <v/>
      </c>
      <c r="CQ30" s="955" t="str">
        <f>IF($B30&lt;1,"",SUMIF('09월 에너지'!$A$14:$A$949,$A30,'09월 에너지'!AD$14:AD$949))</f>
        <v/>
      </c>
      <c r="CR30" s="955" t="str">
        <f>IF($B30&lt;1,"",SUMIF('09월 에너지'!$A$14:$A$949,$A30,'09월 에너지'!AE$14:AE$949))</f>
        <v/>
      </c>
      <c r="CS30" s="948" t="str">
        <f>IF($B30&lt;1,"",SUMIF('09월 에너지'!$A$14:$A$949,$A30,'09월 에너지'!AF$14:AF$949))</f>
        <v/>
      </c>
      <c r="CT30" s="948" t="str">
        <f>IF($B30&lt;1,"",SUMIF('09월 에너지'!$A$14:$A$949,$A30,'09월 에너지'!AG$14:AG$949))</f>
        <v/>
      </c>
      <c r="CU30" s="948" t="str">
        <f>IF($B30&lt;1,"",SUMIF('09월 에너지'!$A$14:$A$949,$A30,'09월 에너지'!AH$14:AH$949))</f>
        <v/>
      </c>
      <c r="CV30" s="948" t="str">
        <f>IF($B30&lt;1,"",SUMIF('09월 에너지'!$A$14:$A$949,$A30,'09월 에너지'!AI$14:AI$949))</f>
        <v/>
      </c>
      <c r="CW30" s="956" t="str">
        <f>IF($B30&lt;1,"",SUMIF('09월 에너지'!$A$14:$A$949,$A30,'09월 에너지'!AJ$14:AJ$949))</f>
        <v/>
      </c>
    </row>
    <row r="31" spans="1:101" ht="15.75" customHeight="1">
      <c r="A31" s="939">
        <f t="shared" si="1"/>
        <v>44800</v>
      </c>
      <c r="B31" s="884">
        <f>COUNTIF('09월 조업일지'!$A$12:$A$952,A31)</f>
        <v>0</v>
      </c>
      <c r="C31" s="885" t="str">
        <f t="shared" si="0"/>
        <v/>
      </c>
      <c r="D31" s="885" t="str">
        <f>IF($B31&lt;1,"",(SUMIF('09월 조업일지'!$A$12:$A$952,$A31,'09월 조업일지'!$K$12:$K$952))/B31)</f>
        <v/>
      </c>
      <c r="E31" s="885" t="str">
        <f>IF($B31&lt;1,"",AVERAGEIF('09월 조업일지'!$A$12:$A$952,$A31,'09월 조업일지'!$J$12:$J$952))</f>
        <v/>
      </c>
      <c r="F31" s="940" t="str">
        <f>IF($B31&lt;1,"",AVERAGEIF('09월 에너지'!$A$14:$A$949,$A31,'09월 에너지'!$M$14:M$949))</f>
        <v/>
      </c>
      <c r="G31" s="887" t="str">
        <f>IF($B31&lt;1,"",AVERAGEIF('09월 조업일지'!$A$12:$A$952,$A31,'09월 조업일지'!$AJ$12:$AJ$952))</f>
        <v/>
      </c>
      <c r="H31" s="887" t="str">
        <f>IF($B31&lt;1,"",AVERAGEIF('09월 조업일지'!$A$12:$A$952,$A31,'09월 조업일지'!$AL$12:$AL$952))</f>
        <v/>
      </c>
      <c r="I31" s="941" t="str">
        <f>IF($B31&lt;1,"",AVERAGEIF('09월 화학성분'!$A$12:$A$949,$A31,'09월 화학성분'!G$12:G$949))</f>
        <v/>
      </c>
      <c r="J31" s="941" t="str">
        <f>IF($B31&lt;1,"",AVERAGEIF('09월 화학성분'!$A$12:$A$949,$A31,'09월 화학성분'!H$12:H$949))</f>
        <v/>
      </c>
      <c r="K31" s="941" t="str">
        <f>IF($B31&lt;1,"",AVERAGEIF('09월 화학성분'!$A$12:$A$949,$A31,'09월 화학성분'!I$12:I$949))</f>
        <v/>
      </c>
      <c r="L31" s="941" t="str">
        <f>IF($B31&lt;1,"",AVERAGEIF('09월 화학성분'!$A$12:$A$949,$A31,'09월 화학성분'!J$12:J$949))</f>
        <v/>
      </c>
      <c r="M31" s="941" t="str">
        <f>IF($B31&lt;1,"",AVERAGEIF('09월 화학성분'!$A$12:$A$949,$A31,'09월 화학성분'!K$12:K$949))</f>
        <v/>
      </c>
      <c r="N31" s="941" t="str">
        <f>IF($B31&lt;1,"",AVERAGEIF('09월 화학성분'!$A$12:$A$949,$A31,'09월 화학성분'!L$12:L$949))</f>
        <v/>
      </c>
      <c r="O31" s="941" t="str">
        <f>IF($B31&lt;1,"",AVERAGEIF('09월 화학성분'!$A$12:$A$949,$A31,'09월 화학성분'!M$12:M$949))</f>
        <v/>
      </c>
      <c r="P31" s="889" t="str">
        <f>IF($B31&lt;1,"",AVERAGEIF('09월 조업일지'!$A$12:$A$952,$A31,'09월 조업일지'!$AK$12:$AK$952))</f>
        <v/>
      </c>
      <c r="Q31" s="941" t="str">
        <f>IF($B31&lt;1,"",AVERAGEIF('09월 화학성분'!$A$12:$A$949,$A31,'09월 화학성분'!$G$12:$G$949))</f>
        <v/>
      </c>
      <c r="R31" s="889" t="str">
        <f>IF($B31&lt;1,"",AVERAGEIF('09월 조업일지'!$A$12:$A$952,$A31,'09월 조업일지'!$AI$12:$AI$952))</f>
        <v/>
      </c>
      <c r="S31" s="942" t="str">
        <f>IF($B31&lt;1,"",SUMIF('09월 화학성분'!$A$12:$A$949,$A31,'09월 화학성분'!$AM$12:$AM$949))</f>
        <v/>
      </c>
      <c r="T31" s="943" t="str">
        <f>IF($B31&lt;1,"",SUMIF('09월 화학성분'!$A$12:$A$949,$A31,'09월 화학성분'!N$12:N$949))</f>
        <v/>
      </c>
      <c r="U31" s="943" t="str">
        <f>IF($B31&lt;1,"",SUMIF('09월 화학성분'!$A$12:$A$949,$A31,'09월 화학성분'!O$12:O$949))</f>
        <v/>
      </c>
      <c r="V31" s="943" t="str">
        <f>IF($B31&lt;1,"",SUMIF('09월 화학성분'!$A$12:$A$949,$A31,'09월 화학성분'!P$12:P$949))</f>
        <v/>
      </c>
      <c r="W31" s="943" t="str">
        <f>IF($B31&lt;1,"",SUMIF('09월 화학성분'!$A$12:$A$949,$A31,'09월 화학성분'!Q$12:Q$949))</f>
        <v/>
      </c>
      <c r="X31" s="943" t="str">
        <f>IF($B31&lt;1,"",SUMIF('09월 화학성분'!$A$12:$A$949,$A31,'09월 화학성분'!R$12:R$949))</f>
        <v/>
      </c>
      <c r="Y31" s="943" t="str">
        <f>IF($B31&lt;1,"",SUMIF('09월 화학성분'!$A$12:$A$949,$A31,'09월 화학성분'!U$12:U$949))</f>
        <v/>
      </c>
      <c r="Z31" s="944" t="str">
        <f>IF($B31&lt;1,"",SUMIF('09월 화학성분'!$A$12:$A$949,$A31,'09월 화학성분'!V$12:V$949))</f>
        <v/>
      </c>
      <c r="AA31" s="944" t="str">
        <f>IF($B31&lt;1,"",SUMIF('09월 화학성분'!$A$12:$A$949,$A31,'09월 화학성분'!W$12:W$949))</f>
        <v/>
      </c>
      <c r="AB31" s="944" t="str">
        <f>IF($B31&lt;1,"",SUMIF('09월 화학성분'!$A$12:$A$949,$A31,'09월 화학성분'!AA$12:AA$949))</f>
        <v/>
      </c>
      <c r="AC31" s="944"/>
      <c r="AD31" s="945" t="str">
        <f>IF($B31&lt;1,"",SUMIF('09월 화학성분'!$A$12:$A$949,$A31,'09월 화학성분'!AB$12:AB$949))</f>
        <v/>
      </c>
      <c r="AE31" s="945" t="str">
        <f>IF($B31&lt;1,"",SUMIF('09월 화학성분'!$A$12:$A$949,$A31,'09월 화학성분'!AC$12:AC$949))</f>
        <v/>
      </c>
      <c r="AF31" s="945" t="str">
        <f>IF($B31&lt;1,"",SUMIF('09월 화학성분'!$A$12:$A$949,$A31,'09월 화학성분'!AD$12:AD$949))</f>
        <v/>
      </c>
      <c r="AG31" s="945"/>
      <c r="AH31" s="945" t="str">
        <f>IF($B31&lt;1,"",SUMIF('09월 화학성분'!$A$12:$A$949,$A31,'09월 화학성분'!AG$12:AG$949))</f>
        <v/>
      </c>
      <c r="AI31" s="945" t="str">
        <f>IF($B31&lt;1,"",SUMIF('09월 화학성분'!$A$12:$A$949,$A31,'09월 화학성분'!AH$12:AH$949))</f>
        <v/>
      </c>
      <c r="AJ31" s="945" t="str">
        <f>IF($B31&lt;1,"",SUMIF('09월 화학성분'!$A$12:$A$949,$A31,'09월 화학성분'!AI$12:AI$949))</f>
        <v/>
      </c>
      <c r="AK31" s="945" t="str">
        <f>IF($B31&lt;1,"",SUMIF('09월 화학성분'!$A$12:$A$949,$A31,'09월 화학성분'!AJ$12:AJ$949))</f>
        <v/>
      </c>
      <c r="AL31" s="945" t="str">
        <f>IF($B31&lt;1,"",SUMIF('09월 화학성분'!$A$12:$A$949,$A31,'09월 화학성분'!#REF!))</f>
        <v/>
      </c>
      <c r="AM31" s="945" t="str">
        <f>IF($B31&lt;1,"",SUMIF('09월 화학성분'!$A$12:$A$949,$A31,'09월 화학성분'!AL$12:AL$949))</f>
        <v/>
      </c>
      <c r="AN31" s="946" t="str">
        <f>IF($B31&lt;1,"",SUMIF('09월 화학성분'!$A$12:$A$949,$A31,'09월 화학성분'!AM$12:AM$949))</f>
        <v/>
      </c>
      <c r="AO31" s="947" t="str">
        <f>IF($B31&lt;1,"",AVERAGEIF('09월 화학성분'!$A$12:$A$949,$A31,'09월 화학성분'!AN$12:AN$949))</f>
        <v/>
      </c>
      <c r="AP31" s="947" t="str">
        <f>IF($B31&lt;1,"",AVERAGEIF('09월 화학성분'!$A$12:$A$949,$A31,'09월 화학성분'!AO$12:AO$949))</f>
        <v/>
      </c>
      <c r="AQ31" s="948" t="str">
        <f>IF($B31&lt;1,"",SUMIF('09월 화학성분'!$A$12:$A$949,$A31,'09월 화학성분'!AP$12:AP$949))</f>
        <v/>
      </c>
      <c r="AR31" s="949" t="str">
        <f>IF($B31&lt;1,"",SUMIF('09월 고철장입'!$A$14:$A$949,$A31,'09월 고철장입'!G$14:G$949)/1000)</f>
        <v/>
      </c>
      <c r="AS31" s="949" t="str">
        <f>IF($B31&lt;1,"",SUMIF('09월 고철장입'!$A$14:$A$949,$A31,'09월 고철장입'!H$14:H$949)/1000)</f>
        <v/>
      </c>
      <c r="AT31" s="949" t="str">
        <f>IF($B31&lt;1,"",SUMIF('09월 고철장입'!$A$14:$A$949,$A31,'09월 고철장입'!I$14:I$949)/1000)</f>
        <v/>
      </c>
      <c r="AU31" s="949" t="str">
        <f>IF($B31&lt;1,"",SUMIF('09월 고철장입'!$A$14:$A$949,$A31,'09월 고철장입'!J$14:J$949)/1000)</f>
        <v/>
      </c>
      <c r="AV31" s="949" t="str">
        <f>IF($B31&lt;1,"",SUMIF('09월 고철장입'!$A$14:$A$949,$A31,'09월 고철장입'!K$14:K$949)/1000)</f>
        <v/>
      </c>
      <c r="AW31" s="949" t="str">
        <f>IF($B31&lt;1,"",SUMIF('09월 고철장입'!$A$14:$A$949,$A31,'09월 고철장입'!L$14:L$949)/1000)</f>
        <v/>
      </c>
      <c r="AX31" s="949" t="str">
        <f>IF($B31&lt;1,"",SUMIF('09월 고철장입'!$A$14:$A$949,$A31,'09월 고철장입'!M$14:M$949)/1000)</f>
        <v/>
      </c>
      <c r="AY31" s="949" t="str">
        <f>IF($B31&lt;1,"",SUMIF('09월 고철장입'!$A$14:$A$949,$A31,'09월 고철장입'!N$14:N$949)/1000)</f>
        <v/>
      </c>
      <c r="AZ31" s="949" t="str">
        <f>IF($B31&lt;1,"",SUMIF('09월 고철장입'!$A$14:$A$949,$A31,'09월 고철장입'!O$14:O$949)/1000)</f>
        <v/>
      </c>
      <c r="BA31" s="950" t="str">
        <f>IF($B31&lt;1,"",SUMIF('09월 고철장입'!$A$14:$A$949,$A31,'09월 고철장입'!P$14:P$949)/1000)</f>
        <v/>
      </c>
      <c r="BB31" s="950" t="str">
        <f>IF($B31&lt;1,"",SUMIF('09월 고철장입'!$A$14:$A$949,$A31,'09월 고철장입'!Q$14:Q$949)/1000)</f>
        <v/>
      </c>
      <c r="BC31" s="950" t="str">
        <f>IF($B31&lt;1,"",SUMIF('09월 고철장입'!$A$14:$A$949,$A31,'09월 고철장입'!S$14:S$949)/1000)</f>
        <v/>
      </c>
      <c r="BD31" s="950" t="str">
        <f>IF($B31&lt;1,"",SUMIF('09월 고철장입'!$A$14:$A$949,$A31,'09월 고철장입'!T$14:T$949)/1000)</f>
        <v/>
      </c>
      <c r="BE31" s="950" t="str">
        <f>IF($B31&lt;1,"",SUMIF('09월 고철장입'!$A$14:$A$949,$A31,'09월 고철장입'!U$14:U$949)/1000)</f>
        <v/>
      </c>
      <c r="BF31" s="950" t="str">
        <f>IF($B31&lt;1,"",SUMIF('09월 고철장입'!$A$14:$A$949,$A31,'09월 고철장입'!V$14:V$949)/1000)</f>
        <v/>
      </c>
      <c r="BG31" s="950" t="str">
        <f>IF($B31&lt;1,"",SUMIF('09월 고철장입'!$A$14:$A$949,$A31,'09월 고철장입'!W$14:W$949)/1000)</f>
        <v/>
      </c>
      <c r="BH31" s="950" t="str">
        <f>IF($B31&lt;1,"",SUMIF('09월 고철장입'!$A$14:$A$949,$A31,'09월 고철장입'!Y$14:Y$949)/1000)</f>
        <v/>
      </c>
      <c r="BI31" s="950" t="str">
        <f>IF($B31&lt;1,"",SUMIF('09월 고철장입'!$A$14:$A$949,$A31,'09월 고철장입'!AB$14:AB$949)/1000)</f>
        <v/>
      </c>
      <c r="BJ31" s="950" t="str">
        <f>IF($B31&lt;1,"",SUMIF('09월 고철장입'!$A$14:$A$949,$A31,'09월 고철장입'!AC$14:AC$949)/1000)</f>
        <v/>
      </c>
      <c r="BK31" s="950" t="str">
        <f>IF($B31&lt;1,"",SUMIF('09월 고철장입'!$A$14:$A$949,$A31,'09월 고철장입'!AD$14:AD$949)/1000)</f>
        <v/>
      </c>
      <c r="BL31" s="950" t="str">
        <f>IF($B31&lt;1,"",SUMIF('09월 고철장입'!$A$14:$A$949,$A31,'09월 고철장입'!AE$14:AE$949)/1000)</f>
        <v/>
      </c>
      <c r="BM31" s="951" t="str">
        <f>IF($B31&lt;1,"",SUMIF('09월 고철장입'!$A$14:$A$949,$A31,'09월 고철장입'!AF$14:AF$949)/1000)</f>
        <v/>
      </c>
      <c r="BN31" s="951" t="str">
        <f>IF($B31&lt;1,"",SUMIF('09월 고철장입'!$A$14:$A$949,$A31,'09월 고철장입'!AG$14:AG$949)/1000)</f>
        <v/>
      </c>
      <c r="BO31" s="951" t="str">
        <f>IF($B31&lt;1,"",SUMIF('09월 고철장입'!$A$14:$A$949,$A31,'09월 고철장입'!AH$14:AH$949)/1000)</f>
        <v/>
      </c>
      <c r="BP31" s="951" t="str">
        <f>IF($B31&lt;1,"",SUMIF('09월 고철장입'!$A$14:$A$949,$A31,'09월 고철장입'!AI$14:AI$949)/1000)</f>
        <v/>
      </c>
      <c r="BQ31" s="952" t="str">
        <f>IF($B31&lt;1,"",SUMIF('09월 고철장입'!$A$14:$A$949,$A31,'09월 고철장입'!AJ$14:AJ$949)/1000)</f>
        <v/>
      </c>
      <c r="BR31" s="952" t="str">
        <f>IF($B31&lt;1,"",SUMIF('09월 고철장입'!$A$14:$A$949,$A31,'09월 고철장입'!AK$14:AK$949))</f>
        <v/>
      </c>
      <c r="BS31" s="953" t="str">
        <f>IF($B31&lt;1,"",AVERAGEIF('09월 고철장입'!$A$14:$A$949,$A31,'09월 고철장입'!AL$14:AL$949)*100)</f>
        <v/>
      </c>
      <c r="BT31" s="948" t="str">
        <f>IF($B31&lt;1,"",SUMIF('09월 에너지'!$A$14:$A$949,$A31,'09월 에너지'!G$14:G$949))</f>
        <v/>
      </c>
      <c r="BU31" s="948" t="str">
        <f>IF($B31&lt;1,"",SUMIF('09월 에너지'!$A$14:$A$949,$A31,'09월 에너지'!H$14:H$949))</f>
        <v/>
      </c>
      <c r="BV31" s="948" t="str">
        <f>IF($B31&lt;1,"",SUMIF('09월 에너지'!$A$14:$A$949,$A31,'09월 에너지'!I$14:I$949))</f>
        <v/>
      </c>
      <c r="BW31" s="948" t="str">
        <f>IF($B31&lt;1,"",SUMIF('09월 에너지'!$A$14:$A$949,$A31,'09월 에너지'!J$14:J$949))</f>
        <v/>
      </c>
      <c r="BX31" s="948" t="str">
        <f>IF($B31&lt;1,"",SUMIF('09월 에너지'!$A$14:$A$949,$A31,'09월 에너지'!K$14:K$949))</f>
        <v/>
      </c>
      <c r="BY31" s="948" t="str">
        <f>IF($B31&lt;1,"",SUMIF('09월 에너지'!$A$14:$A$949,$A31,'09월 에너지'!L$14:L$949))</f>
        <v/>
      </c>
      <c r="BZ31" s="948" t="str">
        <f>IF($B31&lt;1,"",SUMIF('09월 에너지'!$A$14:$A$949,$A31,'09월 에너지'!M$14:M$949))</f>
        <v/>
      </c>
      <c r="CA31" s="948" t="str">
        <f>IF($B31&lt;1,"",SUMIF('09월 에너지'!$A$14:$A$949,$A31,'09월 에너지'!N$14:N$949))</f>
        <v/>
      </c>
      <c r="CB31" s="948" t="str">
        <f>IF($B31&lt;1,"",SUMIF('09월 에너지'!$A$14:$A$949,$A31,'09월 에너지'!O$14:O$949))</f>
        <v/>
      </c>
      <c r="CC31" s="948" t="str">
        <f>IF($B31&lt;1,"",SUMIF('09월 에너지'!$A$14:$A$949,$A31,'09월 에너지'!P$14:P$949))</f>
        <v/>
      </c>
      <c r="CD31" s="948" t="str">
        <f>IF($B31&lt;1,"",SUMIF('09월 에너지'!$A$14:$A$949,$A31,'09월 에너지'!Q$14:Q$949))</f>
        <v/>
      </c>
      <c r="CE31" s="948" t="str">
        <f>IF($B31&lt;1,"",SUMIF('09월 에너지'!$A$14:$A$949,$A31,'09월 에너지'!R$14:R$949))</f>
        <v/>
      </c>
      <c r="CF31" s="948" t="str">
        <f>IF($B31&lt;1,"",SUMIF('09월 에너지'!$A$14:$A$949,$A31,'09월 에너지'!S$14:S$949))</f>
        <v/>
      </c>
      <c r="CG31" s="954" t="str">
        <f>IF($B31&lt;1,"",SUMIF('09월 에너지'!$A$14:$A$949,$A31,'09월 에너지'!T$14:T$949))</f>
        <v/>
      </c>
      <c r="CH31" s="954" t="str">
        <f>IF($B31&lt;1,"",SUMIF('09월 에너지'!$A$14:$A$949,$A31,'09월 에너지'!U$14:U$949))</f>
        <v/>
      </c>
      <c r="CI31" s="954" t="str">
        <f>IF($B31&lt;1,"",SUMIF('09월 에너지'!$A$14:$A$949,$A31,'09월 에너지'!V$14:V$949))</f>
        <v/>
      </c>
      <c r="CJ31" s="954" t="str">
        <f>IF($B31&lt;1,"",SUMIF('09월 에너지'!$A$14:$A$949,$A31,'09월 에너지'!W$14:W$949))</f>
        <v/>
      </c>
      <c r="CK31" s="954" t="str">
        <f>IF($B31&lt;1,"",SUMIF('09월 에너지'!$A$14:$A$949,$A31,'09월 에너지'!X$14:X$949))</f>
        <v/>
      </c>
      <c r="CL31" s="954" t="str">
        <f>IF($B31&lt;1,"",SUMIF('09월 에너지'!$A$14:$A$949,$A31,'09월 에너지'!Y$14:Y$949))</f>
        <v/>
      </c>
      <c r="CM31" s="954" t="str">
        <f>IF($B31&lt;1,"",SUMIF('09월 에너지'!$A$14:$A$949,$A31,'09월 에너지'!Z$14:Z$949))</f>
        <v/>
      </c>
      <c r="CN31" s="954" t="str">
        <f>IF($B31&lt;1,"",SUMIF('09월 에너지'!$A$14:$A$949,$A31,'09월 에너지'!AA$14:AA$949))</f>
        <v/>
      </c>
      <c r="CO31" s="954" t="str">
        <f>IF($B31&lt;1,"",SUMIF('09월 에너지'!$A$14:$A$949,$A31,'09월 에너지'!AB$14:AB$949))</f>
        <v/>
      </c>
      <c r="CP31" s="954" t="str">
        <f>IF($B31&lt;1,"",SUMIF('09월 에너지'!$A$14:$A$949,$A31,'09월 에너지'!AC$14:AC$949))</f>
        <v/>
      </c>
      <c r="CQ31" s="955" t="str">
        <f>IF($B31&lt;1,"",SUMIF('09월 에너지'!$A$14:$A$949,$A31,'09월 에너지'!AD$14:AD$949))</f>
        <v/>
      </c>
      <c r="CR31" s="955" t="str">
        <f>IF($B31&lt;1,"",SUMIF('09월 에너지'!$A$14:$A$949,$A31,'09월 에너지'!AE$14:AE$949))</f>
        <v/>
      </c>
      <c r="CS31" s="948" t="str">
        <f>IF($B31&lt;1,"",SUMIF('09월 에너지'!$A$14:$A$949,$A31,'09월 에너지'!AF$14:AF$949))</f>
        <v/>
      </c>
      <c r="CT31" s="948" t="str">
        <f>IF($B31&lt;1,"",SUMIF('09월 에너지'!$A$14:$A$949,$A31,'09월 에너지'!AG$14:AG$949))</f>
        <v/>
      </c>
      <c r="CU31" s="948" t="str">
        <f>IF($B31&lt;1,"",SUMIF('09월 에너지'!$A$14:$A$949,$A31,'09월 에너지'!AH$14:AH$949))</f>
        <v/>
      </c>
      <c r="CV31" s="948" t="str">
        <f>IF($B31&lt;1,"",SUMIF('09월 에너지'!$A$14:$A$949,$A31,'09월 에너지'!AI$14:AI$949))</f>
        <v/>
      </c>
      <c r="CW31" s="956" t="str">
        <f>IF($B31&lt;1,"",SUMIF('09월 에너지'!$A$14:$A$949,$A31,'09월 에너지'!AJ$14:AJ$949))</f>
        <v/>
      </c>
    </row>
    <row r="32" spans="1:101" ht="15.75" customHeight="1">
      <c r="A32" s="939">
        <f t="shared" si="1"/>
        <v>44801</v>
      </c>
      <c r="B32" s="884">
        <f>COUNTIF('09월 조업일지'!$A$12:$A$952,A32)</f>
        <v>0</v>
      </c>
      <c r="C32" s="885" t="str">
        <f t="shared" si="0"/>
        <v/>
      </c>
      <c r="D32" s="885" t="str">
        <f>IF($B32&lt;1,"",(SUMIF('09월 조업일지'!$A$12:$A$952,$A32,'09월 조업일지'!$K$12:$K$952))/B32)</f>
        <v/>
      </c>
      <c r="E32" s="885" t="str">
        <f>IF($B32&lt;1,"",AVERAGEIF('09월 조업일지'!$A$12:$A$952,$A32,'09월 조업일지'!$J$12:$J$952))</f>
        <v/>
      </c>
      <c r="F32" s="940" t="str">
        <f>IF($B32&lt;1,"",AVERAGEIF('09월 에너지'!$A$14:$A$949,$A32,'09월 에너지'!$M$14:M$949))</f>
        <v/>
      </c>
      <c r="G32" s="887" t="str">
        <f>IF($B32&lt;1,"",AVERAGEIF('09월 조업일지'!$A$12:$A$952,$A32,'09월 조업일지'!$AJ$12:$AJ$952))</f>
        <v/>
      </c>
      <c r="H32" s="887" t="str">
        <f>IF($B32&lt;1,"",AVERAGEIF('09월 조업일지'!$A$12:$A$952,$A32,'09월 조업일지'!$AL$12:$AL$952))</f>
        <v/>
      </c>
      <c r="I32" s="941" t="str">
        <f>IF($B32&lt;1,"",AVERAGEIF('09월 화학성분'!$A$12:$A$949,$A32,'09월 화학성분'!G$12:G$949))</f>
        <v/>
      </c>
      <c r="J32" s="941" t="str">
        <f>IF($B32&lt;1,"",AVERAGEIF('09월 화학성분'!$A$12:$A$949,$A32,'09월 화학성분'!H$12:H$949))</f>
        <v/>
      </c>
      <c r="K32" s="941" t="str">
        <f>IF($B32&lt;1,"",AVERAGEIF('09월 화학성분'!$A$12:$A$949,$A32,'09월 화학성분'!I$12:I$949))</f>
        <v/>
      </c>
      <c r="L32" s="941" t="str">
        <f>IF($B32&lt;1,"",AVERAGEIF('09월 화학성분'!$A$12:$A$949,$A32,'09월 화학성분'!J$12:J$949))</f>
        <v/>
      </c>
      <c r="M32" s="941" t="str">
        <f>IF($B32&lt;1,"",AVERAGEIF('09월 화학성분'!$A$12:$A$949,$A32,'09월 화학성분'!K$12:K$949))</f>
        <v/>
      </c>
      <c r="N32" s="941" t="str">
        <f>IF($B32&lt;1,"",AVERAGEIF('09월 화학성분'!$A$12:$A$949,$A32,'09월 화학성분'!L$12:L$949))</f>
        <v/>
      </c>
      <c r="O32" s="941" t="str">
        <f>IF($B32&lt;1,"",AVERAGEIF('09월 화학성분'!$A$12:$A$949,$A32,'09월 화학성분'!M$12:M$949))</f>
        <v/>
      </c>
      <c r="P32" s="889" t="str">
        <f>IF($B32&lt;1,"",AVERAGEIF('09월 조업일지'!$A$12:$A$952,$A32,'09월 조업일지'!$AK$12:$AK$952))</f>
        <v/>
      </c>
      <c r="Q32" s="941" t="str">
        <f>IF($B32&lt;1,"",AVERAGEIF('09월 화학성분'!$A$12:$A$949,$A32,'09월 화학성분'!$G$12:$G$949))</f>
        <v/>
      </c>
      <c r="R32" s="889" t="str">
        <f>IF($B32&lt;1,"",AVERAGEIF('09월 조업일지'!$A$12:$A$952,$A32,'09월 조업일지'!$AI$12:$AI$952))</f>
        <v/>
      </c>
      <c r="S32" s="942" t="str">
        <f>IF($B32&lt;1,"",SUMIF('09월 화학성분'!$A$12:$A$949,$A32,'09월 화학성분'!$AM$12:$AM$949))</f>
        <v/>
      </c>
      <c r="T32" s="943" t="str">
        <f>IF($B32&lt;1,"",SUMIF('09월 화학성분'!$A$12:$A$949,$A32,'09월 화학성분'!N$12:N$949))</f>
        <v/>
      </c>
      <c r="U32" s="943" t="str">
        <f>IF($B32&lt;1,"",SUMIF('09월 화학성분'!$A$12:$A$949,$A32,'09월 화학성분'!O$12:O$949))</f>
        <v/>
      </c>
      <c r="V32" s="943" t="str">
        <f>IF($B32&lt;1,"",SUMIF('09월 화학성분'!$A$12:$A$949,$A32,'09월 화학성분'!P$12:P$949))</f>
        <v/>
      </c>
      <c r="W32" s="943" t="str">
        <f>IF($B32&lt;1,"",SUMIF('09월 화학성분'!$A$12:$A$949,$A32,'09월 화학성분'!Q$12:Q$949))</f>
        <v/>
      </c>
      <c r="X32" s="943" t="str">
        <f>IF($B32&lt;1,"",SUMIF('09월 화학성분'!$A$12:$A$949,$A32,'09월 화학성분'!R$12:R$949))</f>
        <v/>
      </c>
      <c r="Y32" s="943" t="str">
        <f>IF($B32&lt;1,"",SUMIF('09월 화학성분'!$A$12:$A$949,$A32,'09월 화학성분'!U$12:U$949))</f>
        <v/>
      </c>
      <c r="Z32" s="944" t="str">
        <f>IF($B32&lt;1,"",SUMIF('09월 화학성분'!$A$12:$A$949,$A32,'09월 화학성분'!V$12:V$949))</f>
        <v/>
      </c>
      <c r="AA32" s="944" t="str">
        <f>IF($B32&lt;1,"",SUMIF('09월 화학성분'!$A$12:$A$949,$A32,'09월 화학성분'!W$12:W$949))</f>
        <v/>
      </c>
      <c r="AB32" s="944" t="str">
        <f>IF($B32&lt;1,"",SUMIF('09월 화학성분'!$A$12:$A$949,$A32,'09월 화학성분'!AA$12:AA$949))</f>
        <v/>
      </c>
      <c r="AC32" s="944"/>
      <c r="AD32" s="945" t="str">
        <f>IF($B32&lt;1,"",SUMIF('09월 화학성분'!$A$12:$A$949,$A32,'09월 화학성분'!AB$12:AB$949))</f>
        <v/>
      </c>
      <c r="AE32" s="945" t="str">
        <f>IF($B32&lt;1,"",SUMIF('09월 화학성분'!$A$12:$A$949,$A32,'09월 화학성분'!AC$12:AC$949))</f>
        <v/>
      </c>
      <c r="AF32" s="945" t="str">
        <f>IF($B32&lt;1,"",SUMIF('09월 화학성분'!$A$12:$A$949,$A32,'09월 화학성분'!AD$12:AD$949))</f>
        <v/>
      </c>
      <c r="AG32" s="945"/>
      <c r="AH32" s="945" t="str">
        <f>IF($B32&lt;1,"",SUMIF('09월 화학성분'!$A$12:$A$949,$A32,'09월 화학성분'!AG$12:AG$949))</f>
        <v/>
      </c>
      <c r="AI32" s="945" t="str">
        <f>IF($B32&lt;1,"",SUMIF('09월 화학성분'!$A$12:$A$949,$A32,'09월 화학성분'!AH$12:AH$949))</f>
        <v/>
      </c>
      <c r="AJ32" s="945" t="str">
        <f>IF($B32&lt;1,"",SUMIF('09월 화학성분'!$A$12:$A$949,$A32,'09월 화학성분'!AI$12:AI$949))</f>
        <v/>
      </c>
      <c r="AK32" s="945" t="str">
        <f>IF($B32&lt;1,"",SUMIF('09월 화학성분'!$A$12:$A$949,$A32,'09월 화학성분'!AJ$12:AJ$949))</f>
        <v/>
      </c>
      <c r="AL32" s="945" t="str">
        <f>IF($B32&lt;1,"",SUMIF('09월 화학성분'!$A$12:$A$949,$A32,'09월 화학성분'!#REF!))</f>
        <v/>
      </c>
      <c r="AM32" s="945" t="str">
        <f>IF($B32&lt;1,"",SUMIF('09월 화학성분'!$A$12:$A$949,$A32,'09월 화학성분'!AL$12:AL$949))</f>
        <v/>
      </c>
      <c r="AN32" s="946" t="str">
        <f>IF($B32&lt;1,"",SUMIF('09월 화학성분'!$A$12:$A$949,$A32,'09월 화학성분'!AM$12:AM$949))</f>
        <v/>
      </c>
      <c r="AO32" s="947" t="str">
        <f>IF($B32&lt;1,"",AVERAGEIF('09월 화학성분'!$A$12:$A$949,$A32,'09월 화학성분'!AN$12:AN$949))</f>
        <v/>
      </c>
      <c r="AP32" s="947" t="str">
        <f>IF($B32&lt;1,"",AVERAGEIF('09월 화학성분'!$A$12:$A$949,$A32,'09월 화학성분'!AO$12:AO$949))</f>
        <v/>
      </c>
      <c r="AQ32" s="948" t="str">
        <f>IF($B32&lt;1,"",SUMIF('09월 화학성분'!$A$12:$A$949,$A32,'09월 화학성분'!AP$12:AP$949))</f>
        <v/>
      </c>
      <c r="AR32" s="949" t="str">
        <f>IF($B32&lt;1,"",SUMIF('09월 고철장입'!$A$14:$A$949,$A32,'09월 고철장입'!G$14:G$949)/1000)</f>
        <v/>
      </c>
      <c r="AS32" s="949" t="str">
        <f>IF($B32&lt;1,"",SUMIF('09월 고철장입'!$A$14:$A$949,$A32,'09월 고철장입'!H$14:H$949)/1000)</f>
        <v/>
      </c>
      <c r="AT32" s="949" t="str">
        <f>IF($B32&lt;1,"",SUMIF('09월 고철장입'!$A$14:$A$949,$A32,'09월 고철장입'!I$14:I$949)/1000)</f>
        <v/>
      </c>
      <c r="AU32" s="949" t="str">
        <f>IF($B32&lt;1,"",SUMIF('09월 고철장입'!$A$14:$A$949,$A32,'09월 고철장입'!J$14:J$949)/1000)</f>
        <v/>
      </c>
      <c r="AV32" s="949" t="str">
        <f>IF($B32&lt;1,"",SUMIF('09월 고철장입'!$A$14:$A$949,$A32,'09월 고철장입'!K$14:K$949)/1000)</f>
        <v/>
      </c>
      <c r="AW32" s="949" t="str">
        <f>IF($B32&lt;1,"",SUMIF('09월 고철장입'!$A$14:$A$949,$A32,'09월 고철장입'!L$14:L$949)/1000)</f>
        <v/>
      </c>
      <c r="AX32" s="949" t="str">
        <f>IF($B32&lt;1,"",SUMIF('09월 고철장입'!$A$14:$A$949,$A32,'09월 고철장입'!M$14:M$949)/1000)</f>
        <v/>
      </c>
      <c r="AY32" s="949" t="str">
        <f>IF($B32&lt;1,"",SUMIF('09월 고철장입'!$A$14:$A$949,$A32,'09월 고철장입'!N$14:N$949)/1000)</f>
        <v/>
      </c>
      <c r="AZ32" s="949" t="str">
        <f>IF($B32&lt;1,"",SUMIF('09월 고철장입'!$A$14:$A$949,$A32,'09월 고철장입'!O$14:O$949)/1000)</f>
        <v/>
      </c>
      <c r="BA32" s="950" t="str">
        <f>IF($B32&lt;1,"",SUMIF('09월 고철장입'!$A$14:$A$949,$A32,'09월 고철장입'!P$14:P$949)/1000)</f>
        <v/>
      </c>
      <c r="BB32" s="950" t="str">
        <f>IF($B32&lt;1,"",SUMIF('09월 고철장입'!$A$14:$A$949,$A32,'09월 고철장입'!Q$14:Q$949)/1000)</f>
        <v/>
      </c>
      <c r="BC32" s="950" t="str">
        <f>IF($B32&lt;1,"",SUMIF('09월 고철장입'!$A$14:$A$949,$A32,'09월 고철장입'!S$14:S$949)/1000)</f>
        <v/>
      </c>
      <c r="BD32" s="950" t="str">
        <f>IF($B32&lt;1,"",SUMIF('09월 고철장입'!$A$14:$A$949,$A32,'09월 고철장입'!T$14:T$949)/1000)</f>
        <v/>
      </c>
      <c r="BE32" s="950" t="str">
        <f>IF($B32&lt;1,"",SUMIF('09월 고철장입'!$A$14:$A$949,$A32,'09월 고철장입'!U$14:U$949)/1000)</f>
        <v/>
      </c>
      <c r="BF32" s="950" t="str">
        <f>IF($B32&lt;1,"",SUMIF('09월 고철장입'!$A$14:$A$949,$A32,'09월 고철장입'!V$14:V$949)/1000)</f>
        <v/>
      </c>
      <c r="BG32" s="950" t="str">
        <f>IF($B32&lt;1,"",SUMIF('09월 고철장입'!$A$14:$A$949,$A32,'09월 고철장입'!W$14:W$949)/1000)</f>
        <v/>
      </c>
      <c r="BH32" s="950" t="str">
        <f>IF($B32&lt;1,"",SUMIF('09월 고철장입'!$A$14:$A$949,$A32,'09월 고철장입'!Y$14:Y$949)/1000)</f>
        <v/>
      </c>
      <c r="BI32" s="950" t="str">
        <f>IF($B32&lt;1,"",SUMIF('09월 고철장입'!$A$14:$A$949,$A32,'09월 고철장입'!AB$14:AB$949)/1000)</f>
        <v/>
      </c>
      <c r="BJ32" s="950" t="str">
        <f>IF($B32&lt;1,"",SUMIF('09월 고철장입'!$A$14:$A$949,$A32,'09월 고철장입'!AC$14:AC$949)/1000)</f>
        <v/>
      </c>
      <c r="BK32" s="950" t="str">
        <f>IF($B32&lt;1,"",SUMIF('09월 고철장입'!$A$14:$A$949,$A32,'09월 고철장입'!AD$14:AD$949)/1000)</f>
        <v/>
      </c>
      <c r="BL32" s="950" t="str">
        <f>IF($B32&lt;1,"",SUMIF('09월 고철장입'!$A$14:$A$949,$A32,'09월 고철장입'!AE$14:AE$949)/1000)</f>
        <v/>
      </c>
      <c r="BM32" s="951" t="str">
        <f>IF($B32&lt;1,"",SUMIF('09월 고철장입'!$A$14:$A$949,$A32,'09월 고철장입'!AF$14:AF$949)/1000)</f>
        <v/>
      </c>
      <c r="BN32" s="951" t="str">
        <f>IF($B32&lt;1,"",SUMIF('09월 고철장입'!$A$14:$A$949,$A32,'09월 고철장입'!AG$14:AG$949)/1000)</f>
        <v/>
      </c>
      <c r="BO32" s="951" t="str">
        <f>IF($B32&lt;1,"",SUMIF('09월 고철장입'!$A$14:$A$949,$A32,'09월 고철장입'!AH$14:AH$949)/1000)</f>
        <v/>
      </c>
      <c r="BP32" s="951" t="str">
        <f>IF($B32&lt;1,"",SUMIF('09월 고철장입'!$A$14:$A$949,$A32,'09월 고철장입'!AI$14:AI$949)/1000)</f>
        <v/>
      </c>
      <c r="BQ32" s="952" t="str">
        <f>IF($B32&lt;1,"",SUMIF('09월 고철장입'!$A$14:$A$949,$A32,'09월 고철장입'!AJ$14:AJ$949)/1000)</f>
        <v/>
      </c>
      <c r="BR32" s="952" t="str">
        <f>IF($B32&lt;1,"",SUMIF('09월 고철장입'!$A$14:$A$949,$A32,'09월 고철장입'!AK$14:AK$949))</f>
        <v/>
      </c>
      <c r="BS32" s="953" t="str">
        <f>IF($B32&lt;1,"",AVERAGEIF('09월 고철장입'!$A$14:$A$949,$A32,'09월 고철장입'!AL$14:AL$949)*100)</f>
        <v/>
      </c>
      <c r="BT32" s="948" t="str">
        <f>IF($B32&lt;1,"",SUMIF('09월 에너지'!$A$14:$A$949,$A32,'09월 에너지'!G$14:G$949))</f>
        <v/>
      </c>
      <c r="BU32" s="948" t="str">
        <f>IF($B32&lt;1,"",SUMIF('09월 에너지'!$A$14:$A$949,$A32,'09월 에너지'!H$14:H$949))</f>
        <v/>
      </c>
      <c r="BV32" s="948" t="str">
        <f>IF($B32&lt;1,"",SUMIF('09월 에너지'!$A$14:$A$949,$A32,'09월 에너지'!I$14:I$949))</f>
        <v/>
      </c>
      <c r="BW32" s="948" t="str">
        <f>IF($B32&lt;1,"",SUMIF('09월 에너지'!$A$14:$A$949,$A32,'09월 에너지'!J$14:J$949))</f>
        <v/>
      </c>
      <c r="BX32" s="948" t="str">
        <f>IF($B32&lt;1,"",SUMIF('09월 에너지'!$A$14:$A$949,$A32,'09월 에너지'!K$14:K$949))</f>
        <v/>
      </c>
      <c r="BY32" s="948" t="str">
        <f>IF($B32&lt;1,"",SUMIF('09월 에너지'!$A$14:$A$949,$A32,'09월 에너지'!L$14:L$949))</f>
        <v/>
      </c>
      <c r="BZ32" s="948" t="str">
        <f>IF($B32&lt;1,"",SUMIF('09월 에너지'!$A$14:$A$949,$A32,'09월 에너지'!M$14:M$949))</f>
        <v/>
      </c>
      <c r="CA32" s="948" t="str">
        <f>IF($B32&lt;1,"",SUMIF('09월 에너지'!$A$14:$A$949,$A32,'09월 에너지'!N$14:N$949))</f>
        <v/>
      </c>
      <c r="CB32" s="948" t="str">
        <f>IF($B32&lt;1,"",SUMIF('09월 에너지'!$A$14:$A$949,$A32,'09월 에너지'!O$14:O$949))</f>
        <v/>
      </c>
      <c r="CC32" s="948" t="str">
        <f>IF($B32&lt;1,"",SUMIF('09월 에너지'!$A$14:$A$949,$A32,'09월 에너지'!P$14:P$949))</f>
        <v/>
      </c>
      <c r="CD32" s="948" t="str">
        <f>IF($B32&lt;1,"",SUMIF('09월 에너지'!$A$14:$A$949,$A32,'09월 에너지'!Q$14:Q$949))</f>
        <v/>
      </c>
      <c r="CE32" s="948" t="str">
        <f>IF($B32&lt;1,"",SUMIF('09월 에너지'!$A$14:$A$949,$A32,'09월 에너지'!R$14:R$949))</f>
        <v/>
      </c>
      <c r="CF32" s="948" t="str">
        <f>IF($B32&lt;1,"",SUMIF('09월 에너지'!$A$14:$A$949,$A32,'09월 에너지'!S$14:S$949))</f>
        <v/>
      </c>
      <c r="CG32" s="954" t="str">
        <f>IF($B32&lt;1,"",SUMIF('09월 에너지'!$A$14:$A$949,$A32,'09월 에너지'!T$14:T$949))</f>
        <v/>
      </c>
      <c r="CH32" s="954" t="str">
        <f>IF($B32&lt;1,"",SUMIF('09월 에너지'!$A$14:$A$949,$A32,'09월 에너지'!U$14:U$949))</f>
        <v/>
      </c>
      <c r="CI32" s="954" t="str">
        <f>IF($B32&lt;1,"",SUMIF('09월 에너지'!$A$14:$A$949,$A32,'09월 에너지'!V$14:V$949))</f>
        <v/>
      </c>
      <c r="CJ32" s="954" t="str">
        <f>IF($B32&lt;1,"",SUMIF('09월 에너지'!$A$14:$A$949,$A32,'09월 에너지'!W$14:W$949))</f>
        <v/>
      </c>
      <c r="CK32" s="954" t="str">
        <f>IF($B32&lt;1,"",SUMIF('09월 에너지'!$A$14:$A$949,$A32,'09월 에너지'!X$14:X$949))</f>
        <v/>
      </c>
      <c r="CL32" s="954" t="str">
        <f>IF($B32&lt;1,"",SUMIF('09월 에너지'!$A$14:$A$949,$A32,'09월 에너지'!Y$14:Y$949))</f>
        <v/>
      </c>
      <c r="CM32" s="954" t="str">
        <f>IF($B32&lt;1,"",SUMIF('09월 에너지'!$A$14:$A$949,$A32,'09월 에너지'!Z$14:Z$949))</f>
        <v/>
      </c>
      <c r="CN32" s="954" t="str">
        <f>IF($B32&lt;1,"",SUMIF('09월 에너지'!$A$14:$A$949,$A32,'09월 에너지'!AA$14:AA$949))</f>
        <v/>
      </c>
      <c r="CO32" s="954" t="str">
        <f>IF($B32&lt;1,"",SUMIF('09월 에너지'!$A$14:$A$949,$A32,'09월 에너지'!AB$14:AB$949))</f>
        <v/>
      </c>
      <c r="CP32" s="954" t="str">
        <f>IF($B32&lt;1,"",SUMIF('09월 에너지'!$A$14:$A$949,$A32,'09월 에너지'!AC$14:AC$949))</f>
        <v/>
      </c>
      <c r="CQ32" s="955" t="str">
        <f>IF($B32&lt;1,"",SUMIF('09월 에너지'!$A$14:$A$949,$A32,'09월 에너지'!AD$14:AD$949))</f>
        <v/>
      </c>
      <c r="CR32" s="955" t="str">
        <f>IF($B32&lt;1,"",SUMIF('09월 에너지'!$A$14:$A$949,$A32,'09월 에너지'!AE$14:AE$949))</f>
        <v/>
      </c>
      <c r="CS32" s="948" t="str">
        <f>IF($B32&lt;1,"",SUMIF('09월 에너지'!$A$14:$A$949,$A32,'09월 에너지'!AF$14:AF$949))</f>
        <v/>
      </c>
      <c r="CT32" s="948" t="str">
        <f>IF($B32&lt;1,"",SUMIF('09월 에너지'!$A$14:$A$949,$A32,'09월 에너지'!AG$14:AG$949))</f>
        <v/>
      </c>
      <c r="CU32" s="948" t="str">
        <f>IF($B32&lt;1,"",SUMIF('09월 에너지'!$A$14:$A$949,$A32,'09월 에너지'!AH$14:AH$949))</f>
        <v/>
      </c>
      <c r="CV32" s="948" t="str">
        <f>IF($B32&lt;1,"",SUMIF('09월 에너지'!$A$14:$A$949,$A32,'09월 에너지'!AI$14:AI$949))</f>
        <v/>
      </c>
      <c r="CW32" s="956" t="str">
        <f>IF($B32&lt;1,"",SUMIF('09월 에너지'!$A$14:$A$949,$A32,'09월 에너지'!AJ$14:AJ$949))</f>
        <v/>
      </c>
    </row>
    <row r="33" spans="1:101" ht="15.75" customHeight="1">
      <c r="A33" s="939">
        <f t="shared" si="1"/>
        <v>44802</v>
      </c>
      <c r="B33" s="884">
        <f>COUNTIF('09월 조업일지'!$A$12:$A$952,A33)</f>
        <v>0</v>
      </c>
      <c r="C33" s="885" t="str">
        <f t="shared" si="0"/>
        <v/>
      </c>
      <c r="D33" s="885" t="str">
        <f>IF($B33&lt;1,"",(SUMIF('09월 조업일지'!$A$12:$A$952,$A33,'09월 조업일지'!$K$12:$K$952))/B33)</f>
        <v/>
      </c>
      <c r="E33" s="885" t="str">
        <f>IF($B33&lt;1,"",AVERAGEIF('09월 조업일지'!$A$12:$A$952,$A33,'09월 조업일지'!$J$12:$J$952))</f>
        <v/>
      </c>
      <c r="F33" s="940" t="str">
        <f>IF($B33&lt;1,"",AVERAGEIF('09월 에너지'!$A$14:$A$949,$A33,'09월 에너지'!$M$14:M$949))</f>
        <v/>
      </c>
      <c r="G33" s="887" t="str">
        <f>IF($B33&lt;1,"",AVERAGEIF('09월 조업일지'!$A$12:$A$952,$A33,'09월 조업일지'!$AJ$12:$AJ$952))</f>
        <v/>
      </c>
      <c r="H33" s="887" t="str">
        <f>IF($B33&lt;1,"",AVERAGEIF('09월 조업일지'!$A$12:$A$952,$A33,'09월 조업일지'!$AL$12:$AL$952))</f>
        <v/>
      </c>
      <c r="I33" s="941" t="str">
        <f>IF($B33&lt;1,"",AVERAGEIF('09월 화학성분'!$A$12:$A$949,$A33,'09월 화학성분'!G$12:G$949))</f>
        <v/>
      </c>
      <c r="J33" s="941" t="str">
        <f>IF($B33&lt;1,"",AVERAGEIF('09월 화학성분'!$A$12:$A$949,$A33,'09월 화학성분'!H$12:H$949))</f>
        <v/>
      </c>
      <c r="K33" s="941" t="str">
        <f>IF($B33&lt;1,"",AVERAGEIF('09월 화학성분'!$A$12:$A$949,$A33,'09월 화학성분'!I$12:I$949))</f>
        <v/>
      </c>
      <c r="L33" s="941" t="str">
        <f>IF($B33&lt;1,"",AVERAGEIF('09월 화학성분'!$A$12:$A$949,$A33,'09월 화학성분'!J$12:J$949))</f>
        <v/>
      </c>
      <c r="M33" s="941" t="str">
        <f>IF($B33&lt;1,"",AVERAGEIF('09월 화학성분'!$A$12:$A$949,$A33,'09월 화학성분'!K$12:K$949))</f>
        <v/>
      </c>
      <c r="N33" s="941" t="str">
        <f>IF($B33&lt;1,"",AVERAGEIF('09월 화학성분'!$A$12:$A$949,$A33,'09월 화학성분'!L$12:L$949))</f>
        <v/>
      </c>
      <c r="O33" s="941" t="str">
        <f>IF($B33&lt;1,"",AVERAGEIF('09월 화학성분'!$A$12:$A$949,$A33,'09월 화학성분'!M$12:M$949))</f>
        <v/>
      </c>
      <c r="P33" s="889" t="str">
        <f>IF($B33&lt;1,"",AVERAGEIF('09월 조업일지'!$A$12:$A$952,$A33,'09월 조업일지'!$AK$12:$AK$952))</f>
        <v/>
      </c>
      <c r="Q33" s="941" t="str">
        <f>IF($B33&lt;1,"",AVERAGEIF('09월 화학성분'!$A$12:$A$949,$A33,'09월 화학성분'!$G$12:$G$949))</f>
        <v/>
      </c>
      <c r="R33" s="889" t="str">
        <f>IF($B33&lt;1,"",AVERAGEIF('09월 조업일지'!$A$12:$A$952,$A33,'09월 조업일지'!$AI$12:$AI$952))</f>
        <v/>
      </c>
      <c r="S33" s="942" t="str">
        <f>IF($B33&lt;1,"",SUMIF('09월 화학성분'!$A$12:$A$949,$A33,'09월 화학성분'!$AM$12:$AM$949))</f>
        <v/>
      </c>
      <c r="T33" s="943" t="str">
        <f>IF($B33&lt;1,"",SUMIF('09월 화학성분'!$A$12:$A$949,$A33,'09월 화학성분'!N$12:N$949))</f>
        <v/>
      </c>
      <c r="U33" s="943" t="str">
        <f>IF($B33&lt;1,"",SUMIF('09월 화학성분'!$A$12:$A$949,$A33,'09월 화학성분'!O$12:O$949))</f>
        <v/>
      </c>
      <c r="V33" s="943" t="str">
        <f>IF($B33&lt;1,"",SUMIF('09월 화학성분'!$A$12:$A$949,$A33,'09월 화학성분'!P$12:P$949))</f>
        <v/>
      </c>
      <c r="W33" s="943" t="str">
        <f>IF($B33&lt;1,"",SUMIF('09월 화학성분'!$A$12:$A$949,$A33,'09월 화학성분'!Q$12:Q$949))</f>
        <v/>
      </c>
      <c r="X33" s="943" t="str">
        <f>IF($B33&lt;1,"",SUMIF('09월 화학성분'!$A$12:$A$949,$A33,'09월 화학성분'!R$12:R$949))</f>
        <v/>
      </c>
      <c r="Y33" s="943" t="str">
        <f>IF($B33&lt;1,"",SUMIF('09월 화학성분'!$A$12:$A$949,$A33,'09월 화학성분'!U$12:U$949))</f>
        <v/>
      </c>
      <c r="Z33" s="944" t="str">
        <f>IF($B33&lt;1,"",SUMIF('09월 화학성분'!$A$12:$A$949,$A33,'09월 화학성분'!V$12:V$949))</f>
        <v/>
      </c>
      <c r="AA33" s="944" t="str">
        <f>IF($B33&lt;1,"",SUMIF('09월 화학성분'!$A$12:$A$949,$A33,'09월 화학성분'!W$12:W$949))</f>
        <v/>
      </c>
      <c r="AB33" s="944" t="str">
        <f>IF($B33&lt;1,"",SUMIF('09월 화학성분'!$A$12:$A$949,$A33,'09월 화학성분'!AA$12:AA$949))</f>
        <v/>
      </c>
      <c r="AC33" s="944"/>
      <c r="AD33" s="945" t="str">
        <f>IF($B33&lt;1,"",SUMIF('09월 화학성분'!$A$12:$A$949,$A33,'09월 화학성분'!AB$12:AB$949))</f>
        <v/>
      </c>
      <c r="AE33" s="945" t="str">
        <f>IF($B33&lt;1,"",SUMIF('09월 화학성분'!$A$12:$A$949,$A33,'09월 화학성분'!AC$12:AC$949))</f>
        <v/>
      </c>
      <c r="AF33" s="945" t="str">
        <f>IF($B33&lt;1,"",SUMIF('09월 화학성분'!$A$12:$A$949,$A33,'09월 화학성분'!AD$12:AD$949))</f>
        <v/>
      </c>
      <c r="AG33" s="945"/>
      <c r="AH33" s="945" t="str">
        <f>IF($B33&lt;1,"",SUMIF('09월 화학성분'!$A$12:$A$949,$A33,'09월 화학성분'!AG$12:AG$949))</f>
        <v/>
      </c>
      <c r="AI33" s="945" t="str">
        <f>IF($B33&lt;1,"",SUMIF('09월 화학성분'!$A$12:$A$949,$A33,'09월 화학성분'!AH$12:AH$949))</f>
        <v/>
      </c>
      <c r="AJ33" s="945" t="str">
        <f>IF($B33&lt;1,"",SUMIF('09월 화학성분'!$A$12:$A$949,$A33,'09월 화학성분'!AI$12:AI$949))</f>
        <v/>
      </c>
      <c r="AK33" s="945" t="str">
        <f>IF($B33&lt;1,"",SUMIF('09월 화학성분'!$A$12:$A$949,$A33,'09월 화학성분'!AJ$12:AJ$949))</f>
        <v/>
      </c>
      <c r="AL33" s="945" t="str">
        <f>IF($B33&lt;1,"",SUMIF('09월 화학성분'!$A$12:$A$949,$A33,'09월 화학성분'!#REF!))</f>
        <v/>
      </c>
      <c r="AM33" s="945" t="str">
        <f>IF($B33&lt;1,"",SUMIF('09월 화학성분'!$A$12:$A$949,$A33,'09월 화학성분'!AL$12:AL$949))</f>
        <v/>
      </c>
      <c r="AN33" s="946" t="str">
        <f>IF($B33&lt;1,"",SUMIF('09월 화학성분'!$A$12:$A$949,$A33,'09월 화학성분'!AM$12:AM$949))</f>
        <v/>
      </c>
      <c r="AO33" s="947" t="str">
        <f>IF($B33&lt;1,"",AVERAGEIF('09월 화학성분'!$A$12:$A$949,$A33,'09월 화학성분'!AN$12:AN$949))</f>
        <v/>
      </c>
      <c r="AP33" s="947" t="str">
        <f>IF($B33&lt;1,"",AVERAGEIF('09월 화학성분'!$A$12:$A$949,$A33,'09월 화학성분'!AO$12:AO$949))</f>
        <v/>
      </c>
      <c r="AQ33" s="948" t="str">
        <f>IF($B33&lt;1,"",SUMIF('09월 화학성분'!$A$12:$A$949,$A33,'09월 화학성분'!AP$12:AP$949))</f>
        <v/>
      </c>
      <c r="AR33" s="949" t="str">
        <f>IF($B33&lt;1,"",SUMIF('09월 고철장입'!$A$14:$A$949,$A33,'09월 고철장입'!G$14:G$949)/1000)</f>
        <v/>
      </c>
      <c r="AS33" s="949" t="str">
        <f>IF($B33&lt;1,"",SUMIF('09월 고철장입'!$A$14:$A$949,$A33,'09월 고철장입'!H$14:H$949)/1000)</f>
        <v/>
      </c>
      <c r="AT33" s="949" t="str">
        <f>IF($B33&lt;1,"",SUMIF('09월 고철장입'!$A$14:$A$949,$A33,'09월 고철장입'!I$14:I$949)/1000)</f>
        <v/>
      </c>
      <c r="AU33" s="949" t="str">
        <f>IF($B33&lt;1,"",SUMIF('09월 고철장입'!$A$14:$A$949,$A33,'09월 고철장입'!J$14:J$949)/1000)</f>
        <v/>
      </c>
      <c r="AV33" s="949" t="str">
        <f>IF($B33&lt;1,"",SUMIF('09월 고철장입'!$A$14:$A$949,$A33,'09월 고철장입'!K$14:K$949)/1000)</f>
        <v/>
      </c>
      <c r="AW33" s="949" t="str">
        <f>IF($B33&lt;1,"",SUMIF('09월 고철장입'!$A$14:$A$949,$A33,'09월 고철장입'!L$14:L$949)/1000)</f>
        <v/>
      </c>
      <c r="AX33" s="949" t="str">
        <f>IF($B33&lt;1,"",SUMIF('09월 고철장입'!$A$14:$A$949,$A33,'09월 고철장입'!M$14:M$949)/1000)</f>
        <v/>
      </c>
      <c r="AY33" s="949" t="str">
        <f>IF($B33&lt;1,"",SUMIF('09월 고철장입'!$A$14:$A$949,$A33,'09월 고철장입'!N$14:N$949)/1000)</f>
        <v/>
      </c>
      <c r="AZ33" s="949" t="str">
        <f>IF($B33&lt;1,"",SUMIF('09월 고철장입'!$A$14:$A$949,$A33,'09월 고철장입'!O$14:O$949)/1000)</f>
        <v/>
      </c>
      <c r="BA33" s="950" t="str">
        <f>IF($B33&lt;1,"",SUMIF('09월 고철장입'!$A$14:$A$949,$A33,'09월 고철장입'!P$14:P$949)/1000)</f>
        <v/>
      </c>
      <c r="BB33" s="950" t="str">
        <f>IF($B33&lt;1,"",SUMIF('09월 고철장입'!$A$14:$A$949,$A33,'09월 고철장입'!Q$14:Q$949)/1000)</f>
        <v/>
      </c>
      <c r="BC33" s="950" t="str">
        <f>IF($B33&lt;1,"",SUMIF('09월 고철장입'!$A$14:$A$949,$A33,'09월 고철장입'!S$14:S$949)/1000)</f>
        <v/>
      </c>
      <c r="BD33" s="950" t="str">
        <f>IF($B33&lt;1,"",SUMIF('09월 고철장입'!$A$14:$A$949,$A33,'09월 고철장입'!T$14:T$949)/1000)</f>
        <v/>
      </c>
      <c r="BE33" s="950" t="str">
        <f>IF($B33&lt;1,"",SUMIF('09월 고철장입'!$A$14:$A$949,$A33,'09월 고철장입'!U$14:U$949)/1000)</f>
        <v/>
      </c>
      <c r="BF33" s="950" t="str">
        <f>IF($B33&lt;1,"",SUMIF('09월 고철장입'!$A$14:$A$949,$A33,'09월 고철장입'!V$14:V$949)/1000)</f>
        <v/>
      </c>
      <c r="BG33" s="950" t="str">
        <f>IF($B33&lt;1,"",SUMIF('09월 고철장입'!$A$14:$A$949,$A33,'09월 고철장입'!W$14:W$949)/1000)</f>
        <v/>
      </c>
      <c r="BH33" s="950" t="str">
        <f>IF($B33&lt;1,"",SUMIF('09월 고철장입'!$A$14:$A$949,$A33,'09월 고철장입'!Y$14:Y$949)/1000)</f>
        <v/>
      </c>
      <c r="BI33" s="950" t="str">
        <f>IF($B33&lt;1,"",SUMIF('09월 고철장입'!$A$14:$A$949,$A33,'09월 고철장입'!AB$14:AB$949)/1000)</f>
        <v/>
      </c>
      <c r="BJ33" s="950" t="str">
        <f>IF($B33&lt;1,"",SUMIF('09월 고철장입'!$A$14:$A$949,$A33,'09월 고철장입'!AC$14:AC$949)/1000)</f>
        <v/>
      </c>
      <c r="BK33" s="950" t="str">
        <f>IF($B33&lt;1,"",SUMIF('09월 고철장입'!$A$14:$A$949,$A33,'09월 고철장입'!AD$14:AD$949)/1000)</f>
        <v/>
      </c>
      <c r="BL33" s="950" t="str">
        <f>IF($B33&lt;1,"",SUMIF('09월 고철장입'!$A$14:$A$949,$A33,'09월 고철장입'!AE$14:AE$949)/1000)</f>
        <v/>
      </c>
      <c r="BM33" s="951" t="str">
        <f>IF($B33&lt;1,"",SUMIF('09월 고철장입'!$A$14:$A$949,$A33,'09월 고철장입'!AF$14:AF$949)/1000)</f>
        <v/>
      </c>
      <c r="BN33" s="951" t="str">
        <f>IF($B33&lt;1,"",SUMIF('09월 고철장입'!$A$14:$A$949,$A33,'09월 고철장입'!AG$14:AG$949)/1000)</f>
        <v/>
      </c>
      <c r="BO33" s="951" t="str">
        <f>IF($B33&lt;1,"",SUMIF('09월 고철장입'!$A$14:$A$949,$A33,'09월 고철장입'!AH$14:AH$949)/1000)</f>
        <v/>
      </c>
      <c r="BP33" s="951" t="str">
        <f>IF($B33&lt;1,"",SUMIF('09월 고철장입'!$A$14:$A$949,$A33,'09월 고철장입'!AI$14:AI$949)/1000)</f>
        <v/>
      </c>
      <c r="BQ33" s="952" t="str">
        <f>IF($B33&lt;1,"",SUMIF('09월 고철장입'!$A$14:$A$949,$A33,'09월 고철장입'!AJ$14:AJ$949)/1000)</f>
        <v/>
      </c>
      <c r="BR33" s="952" t="str">
        <f>IF($B33&lt;1,"",SUMIF('09월 고철장입'!$A$14:$A$949,$A33,'09월 고철장입'!AK$14:AK$949))</f>
        <v/>
      </c>
      <c r="BS33" s="953" t="str">
        <f>IF($B33&lt;1,"",AVERAGEIF('09월 고철장입'!$A$14:$A$949,$A33,'09월 고철장입'!AL$14:AL$949)*100)</f>
        <v/>
      </c>
      <c r="BT33" s="948" t="str">
        <f>IF($B33&lt;1,"",SUMIF('09월 에너지'!$A$14:$A$949,$A33,'09월 에너지'!G$14:G$949))</f>
        <v/>
      </c>
      <c r="BU33" s="948" t="str">
        <f>IF($B33&lt;1,"",SUMIF('09월 에너지'!$A$14:$A$949,$A33,'09월 에너지'!H$14:H$949))</f>
        <v/>
      </c>
      <c r="BV33" s="948" t="str">
        <f>IF($B33&lt;1,"",SUMIF('09월 에너지'!$A$14:$A$949,$A33,'09월 에너지'!I$14:I$949))</f>
        <v/>
      </c>
      <c r="BW33" s="948" t="str">
        <f>IF($B33&lt;1,"",SUMIF('09월 에너지'!$A$14:$A$949,$A33,'09월 에너지'!J$14:J$949))</f>
        <v/>
      </c>
      <c r="BX33" s="948" t="str">
        <f>IF($B33&lt;1,"",SUMIF('09월 에너지'!$A$14:$A$949,$A33,'09월 에너지'!K$14:K$949))</f>
        <v/>
      </c>
      <c r="BY33" s="948" t="str">
        <f>IF($B33&lt;1,"",SUMIF('09월 에너지'!$A$14:$A$949,$A33,'09월 에너지'!L$14:L$949))</f>
        <v/>
      </c>
      <c r="BZ33" s="948" t="str">
        <f>IF($B33&lt;1,"",SUMIF('09월 에너지'!$A$14:$A$949,$A33,'09월 에너지'!M$14:M$949))</f>
        <v/>
      </c>
      <c r="CA33" s="948" t="str">
        <f>IF($B33&lt;1,"",SUMIF('09월 에너지'!$A$14:$A$949,$A33,'09월 에너지'!N$14:N$949))</f>
        <v/>
      </c>
      <c r="CB33" s="948" t="str">
        <f>IF($B33&lt;1,"",SUMIF('09월 에너지'!$A$14:$A$949,$A33,'09월 에너지'!O$14:O$949))</f>
        <v/>
      </c>
      <c r="CC33" s="948" t="str">
        <f>IF($B33&lt;1,"",SUMIF('09월 에너지'!$A$14:$A$949,$A33,'09월 에너지'!P$14:P$949))</f>
        <v/>
      </c>
      <c r="CD33" s="948" t="str">
        <f>IF($B33&lt;1,"",SUMIF('09월 에너지'!$A$14:$A$949,$A33,'09월 에너지'!Q$14:Q$949))</f>
        <v/>
      </c>
      <c r="CE33" s="948" t="str">
        <f>IF($B33&lt;1,"",SUMIF('09월 에너지'!$A$14:$A$949,$A33,'09월 에너지'!R$14:R$949))</f>
        <v/>
      </c>
      <c r="CF33" s="948" t="str">
        <f>IF($B33&lt;1,"",SUMIF('09월 에너지'!$A$14:$A$949,$A33,'09월 에너지'!S$14:S$949))</f>
        <v/>
      </c>
      <c r="CG33" s="954" t="str">
        <f>IF($B33&lt;1,"",SUMIF('09월 에너지'!$A$14:$A$949,$A33,'09월 에너지'!T$14:T$949))</f>
        <v/>
      </c>
      <c r="CH33" s="954" t="str">
        <f>IF($B33&lt;1,"",SUMIF('09월 에너지'!$A$14:$A$949,$A33,'09월 에너지'!U$14:U$949))</f>
        <v/>
      </c>
      <c r="CI33" s="954" t="str">
        <f>IF($B33&lt;1,"",SUMIF('09월 에너지'!$A$14:$A$949,$A33,'09월 에너지'!V$14:V$949))</f>
        <v/>
      </c>
      <c r="CJ33" s="954" t="str">
        <f>IF($B33&lt;1,"",SUMIF('09월 에너지'!$A$14:$A$949,$A33,'09월 에너지'!W$14:W$949))</f>
        <v/>
      </c>
      <c r="CK33" s="954" t="str">
        <f>IF($B33&lt;1,"",SUMIF('09월 에너지'!$A$14:$A$949,$A33,'09월 에너지'!X$14:X$949))</f>
        <v/>
      </c>
      <c r="CL33" s="954" t="str">
        <f>IF($B33&lt;1,"",SUMIF('09월 에너지'!$A$14:$A$949,$A33,'09월 에너지'!Y$14:Y$949))</f>
        <v/>
      </c>
      <c r="CM33" s="954" t="str">
        <f>IF($B33&lt;1,"",SUMIF('09월 에너지'!$A$14:$A$949,$A33,'09월 에너지'!Z$14:Z$949))</f>
        <v/>
      </c>
      <c r="CN33" s="954" t="str">
        <f>IF($B33&lt;1,"",SUMIF('09월 에너지'!$A$14:$A$949,$A33,'09월 에너지'!AA$14:AA$949))</f>
        <v/>
      </c>
      <c r="CO33" s="954" t="str">
        <f>IF($B33&lt;1,"",SUMIF('09월 에너지'!$A$14:$A$949,$A33,'09월 에너지'!AB$14:AB$949))</f>
        <v/>
      </c>
      <c r="CP33" s="954" t="str">
        <f>IF($B33&lt;1,"",SUMIF('09월 에너지'!$A$14:$A$949,$A33,'09월 에너지'!AC$14:AC$949))</f>
        <v/>
      </c>
      <c r="CQ33" s="955" t="str">
        <f>IF($B33&lt;1,"",SUMIF('09월 에너지'!$A$14:$A$949,$A33,'09월 에너지'!AD$14:AD$949))</f>
        <v/>
      </c>
      <c r="CR33" s="955" t="str">
        <f>IF($B33&lt;1,"",SUMIF('09월 에너지'!$A$14:$A$949,$A33,'09월 에너지'!AE$14:AE$949))</f>
        <v/>
      </c>
      <c r="CS33" s="948" t="str">
        <f>IF($B33&lt;1,"",SUMIF('09월 에너지'!$A$14:$A$949,$A33,'09월 에너지'!AF$14:AF$949))</f>
        <v/>
      </c>
      <c r="CT33" s="948" t="str">
        <f>IF($B33&lt;1,"",SUMIF('09월 에너지'!$A$14:$A$949,$A33,'09월 에너지'!AG$14:AG$949))</f>
        <v/>
      </c>
      <c r="CU33" s="948" t="str">
        <f>IF($B33&lt;1,"",SUMIF('09월 에너지'!$A$14:$A$949,$A33,'09월 에너지'!AH$14:AH$949))</f>
        <v/>
      </c>
      <c r="CV33" s="948" t="str">
        <f>IF($B33&lt;1,"",SUMIF('09월 에너지'!$A$14:$A$949,$A33,'09월 에너지'!AI$14:AI$949))</f>
        <v/>
      </c>
      <c r="CW33" s="956" t="str">
        <f>IF($B33&lt;1,"",SUMIF('09월 에너지'!$A$14:$A$949,$A33,'09월 에너지'!AJ$14:AJ$949))</f>
        <v/>
      </c>
    </row>
    <row r="34" spans="1:101" ht="15.75" customHeight="1">
      <c r="A34" s="939">
        <f t="shared" si="1"/>
        <v>44803</v>
      </c>
      <c r="B34" s="884">
        <f>COUNTIF('09월 조업일지'!$A$12:$A$952,A34)</f>
        <v>0</v>
      </c>
      <c r="C34" s="885" t="str">
        <f t="shared" si="0"/>
        <v/>
      </c>
      <c r="D34" s="885" t="str">
        <f>IF($B34&lt;1,"",(SUMIF('09월 조업일지'!$A$12:$A$952,$A34,'09월 조업일지'!$K$12:$K$952))/B34)</f>
        <v/>
      </c>
      <c r="E34" s="885" t="str">
        <f>IF($B34&lt;1,"",AVERAGEIF('09월 조업일지'!$A$12:$A$952,$A34,'09월 조업일지'!$J$12:$J$952))</f>
        <v/>
      </c>
      <c r="F34" s="940" t="str">
        <f>IF($B34&lt;1,"",AVERAGEIF('09월 에너지'!$A$14:$A$949,$A34,'09월 에너지'!$M$14:M$949))</f>
        <v/>
      </c>
      <c r="G34" s="887" t="str">
        <f>IF($B34&lt;1,"",AVERAGEIF('09월 조업일지'!$A$12:$A$952,$A34,'09월 조업일지'!$AJ$12:$AJ$952))</f>
        <v/>
      </c>
      <c r="H34" s="887" t="str">
        <f>IF($B34&lt;1,"",AVERAGEIF('09월 조업일지'!$A$12:$A$952,$A34,'09월 조업일지'!$AL$12:$AL$952))</f>
        <v/>
      </c>
      <c r="I34" s="941" t="str">
        <f>IF($B34&lt;1,"",AVERAGEIF('09월 화학성분'!$A$12:$A$949,$A34,'09월 화학성분'!G$12:G$949))</f>
        <v/>
      </c>
      <c r="J34" s="941" t="str">
        <f>IF($B34&lt;1,"",AVERAGEIF('09월 화학성분'!$A$12:$A$949,$A34,'09월 화학성분'!H$12:H$949))</f>
        <v/>
      </c>
      <c r="K34" s="941" t="str">
        <f>IF($B34&lt;1,"",AVERAGEIF('09월 화학성분'!$A$12:$A$949,$A34,'09월 화학성분'!I$12:I$949))</f>
        <v/>
      </c>
      <c r="L34" s="941" t="str">
        <f>IF($B34&lt;1,"",AVERAGEIF('09월 화학성분'!$A$12:$A$949,$A34,'09월 화학성분'!J$12:J$949))</f>
        <v/>
      </c>
      <c r="M34" s="941" t="str">
        <f>IF($B34&lt;1,"",AVERAGEIF('09월 화학성분'!$A$12:$A$949,$A34,'09월 화학성분'!K$12:K$949))</f>
        <v/>
      </c>
      <c r="N34" s="941" t="str">
        <f>IF($B34&lt;1,"",AVERAGEIF('09월 화학성분'!$A$12:$A$949,$A34,'09월 화학성분'!L$12:L$949))</f>
        <v/>
      </c>
      <c r="O34" s="941" t="str">
        <f>IF($B34&lt;1,"",AVERAGEIF('09월 화학성분'!$A$12:$A$949,$A34,'09월 화학성분'!M$12:M$949))</f>
        <v/>
      </c>
      <c r="P34" s="889" t="str">
        <f>IF($B34&lt;1,"",AVERAGEIF('09월 조업일지'!$A$12:$A$952,$A34,'09월 조업일지'!$AK$12:$AK$952))</f>
        <v/>
      </c>
      <c r="Q34" s="941" t="str">
        <f>IF($B34&lt;1,"",AVERAGEIF('09월 화학성분'!$A$12:$A$949,$A34,'09월 화학성분'!$G$12:$G$949))</f>
        <v/>
      </c>
      <c r="R34" s="889" t="str">
        <f>IF($B34&lt;1,"",AVERAGEIF('09월 조업일지'!$A$12:$A$952,$A34,'09월 조업일지'!$AI$12:$AI$952))</f>
        <v/>
      </c>
      <c r="S34" s="942" t="str">
        <f>IF($B34&lt;1,"",SUMIF('09월 화학성분'!$A$12:$A$949,$A34,'09월 화학성분'!$AM$12:$AM$949))</f>
        <v/>
      </c>
      <c r="T34" s="943" t="str">
        <f>IF($B34&lt;1,"",SUMIF('09월 화학성분'!$A$12:$A$949,$A34,'09월 화학성분'!N$12:N$949))</f>
        <v/>
      </c>
      <c r="U34" s="943" t="str">
        <f>IF($B34&lt;1,"",SUMIF('09월 화학성분'!$A$12:$A$949,$A34,'09월 화학성분'!O$12:O$949))</f>
        <v/>
      </c>
      <c r="V34" s="943" t="str">
        <f>IF($B34&lt;1,"",SUMIF('09월 화학성분'!$A$12:$A$949,$A34,'09월 화학성분'!P$12:P$949))</f>
        <v/>
      </c>
      <c r="W34" s="943" t="str">
        <f>IF($B34&lt;1,"",SUMIF('09월 화학성분'!$A$12:$A$949,$A34,'09월 화학성분'!Q$12:Q$949))</f>
        <v/>
      </c>
      <c r="X34" s="943" t="str">
        <f>IF($B34&lt;1,"",SUMIF('09월 화학성분'!$A$12:$A$949,$A34,'09월 화학성분'!R$12:R$949))</f>
        <v/>
      </c>
      <c r="Y34" s="943" t="str">
        <f>IF($B34&lt;1,"",SUMIF('09월 화학성분'!$A$12:$A$949,$A34,'09월 화학성분'!U$12:U$949))</f>
        <v/>
      </c>
      <c r="Z34" s="944" t="str">
        <f>IF($B34&lt;1,"",SUMIF('09월 화학성분'!$A$12:$A$949,$A34,'09월 화학성분'!V$12:V$949))</f>
        <v/>
      </c>
      <c r="AA34" s="944" t="str">
        <f>IF($B34&lt;1,"",SUMIF('09월 화학성분'!$A$12:$A$949,$A34,'09월 화학성분'!W$12:W$949))</f>
        <v/>
      </c>
      <c r="AB34" s="944" t="str">
        <f>IF($B34&lt;1,"",SUMIF('09월 화학성분'!$A$12:$A$949,$A34,'09월 화학성분'!AA$12:AA$949))</f>
        <v/>
      </c>
      <c r="AC34" s="944"/>
      <c r="AD34" s="945" t="str">
        <f>IF($B34&lt;1,"",SUMIF('09월 화학성분'!$A$12:$A$949,$A34,'09월 화학성분'!AB$12:AB$949))</f>
        <v/>
      </c>
      <c r="AE34" s="945" t="str">
        <f>IF($B34&lt;1,"",SUMIF('09월 화학성분'!$A$12:$A$949,$A34,'09월 화학성분'!AC$12:AC$949))</f>
        <v/>
      </c>
      <c r="AF34" s="945" t="str">
        <f>IF($B34&lt;1,"",SUMIF('09월 화학성분'!$A$12:$A$949,$A34,'09월 화학성분'!AD$12:AD$949))</f>
        <v/>
      </c>
      <c r="AG34" s="945"/>
      <c r="AH34" s="945" t="str">
        <f>IF($B34&lt;1,"",SUMIF('09월 화학성분'!$A$12:$A$949,$A34,'09월 화학성분'!AG$12:AG$949))</f>
        <v/>
      </c>
      <c r="AI34" s="945" t="str">
        <f>IF($B34&lt;1,"",SUMIF('09월 화학성분'!$A$12:$A$949,$A34,'09월 화학성분'!AH$12:AH$949))</f>
        <v/>
      </c>
      <c r="AJ34" s="945" t="str">
        <f>IF($B34&lt;1,"",SUMIF('09월 화학성분'!$A$12:$A$949,$A34,'09월 화학성분'!AI$12:AI$949))</f>
        <v/>
      </c>
      <c r="AK34" s="945" t="str">
        <f>IF($B34&lt;1,"",SUMIF('09월 화학성분'!$A$12:$A$949,$A34,'09월 화학성분'!AJ$12:AJ$949))</f>
        <v/>
      </c>
      <c r="AL34" s="945" t="str">
        <f>IF($B34&lt;1,"",SUMIF('09월 화학성분'!$A$12:$A$949,$A34,'09월 화학성분'!#REF!))</f>
        <v/>
      </c>
      <c r="AM34" s="945" t="str">
        <f>IF($B34&lt;1,"",SUMIF('09월 화학성분'!$A$12:$A$949,$A34,'09월 화학성분'!AL$12:AL$949))</f>
        <v/>
      </c>
      <c r="AN34" s="946" t="str">
        <f>IF($B34&lt;1,"",SUMIF('09월 화학성분'!$A$12:$A$949,$A34,'09월 화학성분'!AM$12:AM$949))</f>
        <v/>
      </c>
      <c r="AO34" s="947" t="str">
        <f>IF($B34&lt;1,"",AVERAGEIF('09월 화학성분'!$A$12:$A$949,$A34,'09월 화학성분'!AN$12:AN$949))</f>
        <v/>
      </c>
      <c r="AP34" s="947" t="str">
        <f>IF($B34&lt;1,"",AVERAGEIF('09월 화학성분'!$A$12:$A$949,$A34,'09월 화학성분'!AO$12:AO$949))</f>
        <v/>
      </c>
      <c r="AQ34" s="948" t="str">
        <f>IF($B34&lt;1,"",SUMIF('09월 화학성분'!$A$12:$A$949,$A34,'09월 화학성분'!AP$12:AP$949))</f>
        <v/>
      </c>
      <c r="AR34" s="949" t="str">
        <f>IF($B34&lt;1,"",SUMIF('09월 고철장입'!$A$14:$A$949,$A34,'09월 고철장입'!G$14:G$949)/1000)</f>
        <v/>
      </c>
      <c r="AS34" s="949" t="str">
        <f>IF($B34&lt;1,"",SUMIF('09월 고철장입'!$A$14:$A$949,$A34,'09월 고철장입'!H$14:H$949)/1000)</f>
        <v/>
      </c>
      <c r="AT34" s="949" t="str">
        <f>IF($B34&lt;1,"",SUMIF('09월 고철장입'!$A$14:$A$949,$A34,'09월 고철장입'!I$14:I$949)/1000)</f>
        <v/>
      </c>
      <c r="AU34" s="949" t="str">
        <f>IF($B34&lt;1,"",SUMIF('09월 고철장입'!$A$14:$A$949,$A34,'09월 고철장입'!J$14:J$949)/1000)</f>
        <v/>
      </c>
      <c r="AV34" s="949" t="str">
        <f>IF($B34&lt;1,"",SUMIF('09월 고철장입'!$A$14:$A$949,$A34,'09월 고철장입'!K$14:K$949)/1000)</f>
        <v/>
      </c>
      <c r="AW34" s="949" t="str">
        <f>IF($B34&lt;1,"",SUMIF('09월 고철장입'!$A$14:$A$949,$A34,'09월 고철장입'!L$14:L$949)/1000)</f>
        <v/>
      </c>
      <c r="AX34" s="949" t="str">
        <f>IF($B34&lt;1,"",SUMIF('09월 고철장입'!$A$14:$A$949,$A34,'09월 고철장입'!M$14:M$949)/1000)</f>
        <v/>
      </c>
      <c r="AY34" s="949" t="str">
        <f>IF($B34&lt;1,"",SUMIF('09월 고철장입'!$A$14:$A$949,$A34,'09월 고철장입'!N$14:N$949)/1000)</f>
        <v/>
      </c>
      <c r="AZ34" s="949" t="str">
        <f>IF($B34&lt;1,"",SUMIF('09월 고철장입'!$A$14:$A$949,$A34,'09월 고철장입'!O$14:O$949)/1000)</f>
        <v/>
      </c>
      <c r="BA34" s="950" t="str">
        <f>IF($B34&lt;1,"",SUMIF('09월 고철장입'!$A$14:$A$949,$A34,'09월 고철장입'!P$14:P$949)/1000)</f>
        <v/>
      </c>
      <c r="BB34" s="950" t="str">
        <f>IF($B34&lt;1,"",SUMIF('09월 고철장입'!$A$14:$A$949,$A34,'09월 고철장입'!Q$14:Q$949)/1000)</f>
        <v/>
      </c>
      <c r="BC34" s="950" t="str">
        <f>IF($B34&lt;1,"",SUMIF('09월 고철장입'!$A$14:$A$949,$A34,'09월 고철장입'!S$14:S$949)/1000)</f>
        <v/>
      </c>
      <c r="BD34" s="950" t="str">
        <f>IF($B34&lt;1,"",SUMIF('09월 고철장입'!$A$14:$A$949,$A34,'09월 고철장입'!T$14:T$949)/1000)</f>
        <v/>
      </c>
      <c r="BE34" s="950" t="str">
        <f>IF($B34&lt;1,"",SUMIF('09월 고철장입'!$A$14:$A$949,$A34,'09월 고철장입'!U$14:U$949)/1000)</f>
        <v/>
      </c>
      <c r="BF34" s="950" t="str">
        <f>IF($B34&lt;1,"",SUMIF('09월 고철장입'!$A$14:$A$949,$A34,'09월 고철장입'!V$14:V$949)/1000)</f>
        <v/>
      </c>
      <c r="BG34" s="950" t="str">
        <f>IF($B34&lt;1,"",SUMIF('09월 고철장입'!$A$14:$A$949,$A34,'09월 고철장입'!W$14:W$949)/1000)</f>
        <v/>
      </c>
      <c r="BH34" s="950" t="str">
        <f>IF($B34&lt;1,"",SUMIF('09월 고철장입'!$A$14:$A$949,$A34,'09월 고철장입'!Y$14:Y$949)/1000)</f>
        <v/>
      </c>
      <c r="BI34" s="950" t="str">
        <f>IF($B34&lt;1,"",SUMIF('09월 고철장입'!$A$14:$A$949,$A34,'09월 고철장입'!AB$14:AB$949)/1000)</f>
        <v/>
      </c>
      <c r="BJ34" s="950" t="str">
        <f>IF($B34&lt;1,"",SUMIF('09월 고철장입'!$A$14:$A$949,$A34,'09월 고철장입'!AC$14:AC$949)/1000)</f>
        <v/>
      </c>
      <c r="BK34" s="950" t="str">
        <f>IF($B34&lt;1,"",SUMIF('09월 고철장입'!$A$14:$A$949,$A34,'09월 고철장입'!AD$14:AD$949)/1000)</f>
        <v/>
      </c>
      <c r="BL34" s="950" t="str">
        <f>IF($B34&lt;1,"",SUMIF('09월 고철장입'!$A$14:$A$949,$A34,'09월 고철장입'!AE$14:AE$949)/1000)</f>
        <v/>
      </c>
      <c r="BM34" s="951" t="str">
        <f>IF($B34&lt;1,"",SUMIF('09월 고철장입'!$A$14:$A$949,$A34,'09월 고철장입'!AF$14:AF$949)/1000)</f>
        <v/>
      </c>
      <c r="BN34" s="951" t="str">
        <f>IF($B34&lt;1,"",SUMIF('09월 고철장입'!$A$14:$A$949,$A34,'09월 고철장입'!AG$14:AG$949)/1000)</f>
        <v/>
      </c>
      <c r="BO34" s="951" t="str">
        <f>IF($B34&lt;1,"",SUMIF('09월 고철장입'!$A$14:$A$949,$A34,'09월 고철장입'!AH$14:AH$949)/1000)</f>
        <v/>
      </c>
      <c r="BP34" s="951" t="str">
        <f>IF($B34&lt;1,"",SUMIF('09월 고철장입'!$A$14:$A$949,$A34,'09월 고철장입'!AI$14:AI$949)/1000)</f>
        <v/>
      </c>
      <c r="BQ34" s="952" t="str">
        <f>IF($B34&lt;1,"",SUMIF('09월 고철장입'!$A$14:$A$949,$A34,'09월 고철장입'!AJ$14:AJ$949)/1000)</f>
        <v/>
      </c>
      <c r="BR34" s="952" t="str">
        <f>IF($B34&lt;1,"",SUMIF('09월 고철장입'!$A$14:$A$949,$A34,'09월 고철장입'!AK$14:AK$949))</f>
        <v/>
      </c>
      <c r="BS34" s="953" t="str">
        <f>IF($B34&lt;1,"",AVERAGEIF('09월 고철장입'!$A$14:$A$949,$A34,'09월 고철장입'!AL$14:AL$949)*100)</f>
        <v/>
      </c>
      <c r="BT34" s="948" t="str">
        <f>IF($B34&lt;1,"",SUMIF('09월 에너지'!$A$14:$A$949,$A34,'09월 에너지'!G$14:G$949))</f>
        <v/>
      </c>
      <c r="BU34" s="948" t="str">
        <f>IF($B34&lt;1,"",SUMIF('09월 에너지'!$A$14:$A$949,$A34,'09월 에너지'!H$14:H$949))</f>
        <v/>
      </c>
      <c r="BV34" s="948" t="str">
        <f>IF($B34&lt;1,"",SUMIF('09월 에너지'!$A$14:$A$949,$A34,'09월 에너지'!I$14:I$949))</f>
        <v/>
      </c>
      <c r="BW34" s="948" t="str">
        <f>IF($B34&lt;1,"",SUMIF('09월 에너지'!$A$14:$A$949,$A34,'09월 에너지'!J$14:J$949))</f>
        <v/>
      </c>
      <c r="BX34" s="948" t="str">
        <f>IF($B34&lt;1,"",SUMIF('09월 에너지'!$A$14:$A$949,$A34,'09월 에너지'!K$14:K$949))</f>
        <v/>
      </c>
      <c r="BY34" s="948" t="str">
        <f>IF($B34&lt;1,"",SUMIF('09월 에너지'!$A$14:$A$949,$A34,'09월 에너지'!L$14:L$949))</f>
        <v/>
      </c>
      <c r="BZ34" s="948" t="str">
        <f>IF($B34&lt;1,"",SUMIF('09월 에너지'!$A$14:$A$949,$A34,'09월 에너지'!M$14:M$949))</f>
        <v/>
      </c>
      <c r="CA34" s="948" t="str">
        <f>IF($B34&lt;1,"",SUMIF('09월 에너지'!$A$14:$A$949,$A34,'09월 에너지'!N$14:N$949))</f>
        <v/>
      </c>
      <c r="CB34" s="948" t="str">
        <f>IF($B34&lt;1,"",SUMIF('09월 에너지'!$A$14:$A$949,$A34,'09월 에너지'!O$14:O$949))</f>
        <v/>
      </c>
      <c r="CC34" s="948" t="str">
        <f>IF($B34&lt;1,"",SUMIF('09월 에너지'!$A$14:$A$949,$A34,'09월 에너지'!P$14:P$949))</f>
        <v/>
      </c>
      <c r="CD34" s="948" t="str">
        <f>IF($B34&lt;1,"",SUMIF('09월 에너지'!$A$14:$A$949,$A34,'09월 에너지'!Q$14:Q$949))</f>
        <v/>
      </c>
      <c r="CE34" s="948" t="str">
        <f>IF($B34&lt;1,"",SUMIF('09월 에너지'!$A$14:$A$949,$A34,'09월 에너지'!R$14:R$949))</f>
        <v/>
      </c>
      <c r="CF34" s="948" t="str">
        <f>IF($B34&lt;1,"",SUMIF('09월 에너지'!$A$14:$A$949,$A34,'09월 에너지'!S$14:S$949))</f>
        <v/>
      </c>
      <c r="CG34" s="954" t="str">
        <f>IF($B34&lt;1,"",SUMIF('09월 에너지'!$A$14:$A$949,$A34,'09월 에너지'!T$14:T$949))</f>
        <v/>
      </c>
      <c r="CH34" s="954" t="str">
        <f>IF($B34&lt;1,"",SUMIF('09월 에너지'!$A$14:$A$949,$A34,'09월 에너지'!U$14:U$949))</f>
        <v/>
      </c>
      <c r="CI34" s="954" t="str">
        <f>IF($B34&lt;1,"",SUMIF('09월 에너지'!$A$14:$A$949,$A34,'09월 에너지'!V$14:V$949))</f>
        <v/>
      </c>
      <c r="CJ34" s="954" t="str">
        <f>IF($B34&lt;1,"",SUMIF('09월 에너지'!$A$14:$A$949,$A34,'09월 에너지'!W$14:W$949))</f>
        <v/>
      </c>
      <c r="CK34" s="954" t="str">
        <f>IF($B34&lt;1,"",SUMIF('09월 에너지'!$A$14:$A$949,$A34,'09월 에너지'!X$14:X$949))</f>
        <v/>
      </c>
      <c r="CL34" s="954" t="str">
        <f>IF($B34&lt;1,"",SUMIF('09월 에너지'!$A$14:$A$949,$A34,'09월 에너지'!Y$14:Y$949))</f>
        <v/>
      </c>
      <c r="CM34" s="954" t="str">
        <f>IF($B34&lt;1,"",SUMIF('09월 에너지'!$A$14:$A$949,$A34,'09월 에너지'!Z$14:Z$949))</f>
        <v/>
      </c>
      <c r="CN34" s="954" t="str">
        <f>IF($B34&lt;1,"",SUMIF('09월 에너지'!$A$14:$A$949,$A34,'09월 에너지'!AA$14:AA$949))</f>
        <v/>
      </c>
      <c r="CO34" s="954" t="str">
        <f>IF($B34&lt;1,"",SUMIF('09월 에너지'!$A$14:$A$949,$A34,'09월 에너지'!AB$14:AB$949))</f>
        <v/>
      </c>
      <c r="CP34" s="954" t="str">
        <f>IF($B34&lt;1,"",SUMIF('09월 에너지'!$A$14:$A$949,$A34,'09월 에너지'!AC$14:AC$949))</f>
        <v/>
      </c>
      <c r="CQ34" s="955" t="str">
        <f>IF($B34&lt;1,"",SUMIF('09월 에너지'!$A$14:$A$949,$A34,'09월 에너지'!AD$14:AD$949))</f>
        <v/>
      </c>
      <c r="CR34" s="955" t="str">
        <f>IF($B34&lt;1,"",SUMIF('09월 에너지'!$A$14:$A$949,$A34,'09월 에너지'!AE$14:AE$949))</f>
        <v/>
      </c>
      <c r="CS34" s="948" t="str">
        <f>IF($B34&lt;1,"",SUMIF('09월 에너지'!$A$14:$A$949,$A34,'09월 에너지'!AF$14:AF$949))</f>
        <v/>
      </c>
      <c r="CT34" s="948" t="str">
        <f>IF($B34&lt;1,"",SUMIF('09월 에너지'!$A$14:$A$949,$A34,'09월 에너지'!AG$14:AG$949))</f>
        <v/>
      </c>
      <c r="CU34" s="948" t="str">
        <f>IF($B34&lt;1,"",SUMIF('09월 에너지'!$A$14:$A$949,$A34,'09월 에너지'!AH$14:AH$949))</f>
        <v/>
      </c>
      <c r="CV34" s="948" t="str">
        <f>IF($B34&lt;1,"",SUMIF('09월 에너지'!$A$14:$A$949,$A34,'09월 에너지'!AI$14:AI$949))</f>
        <v/>
      </c>
      <c r="CW34" s="956" t="str">
        <f>IF($B34&lt;1,"",SUMIF('09월 에너지'!$A$14:$A$949,$A34,'09월 에너지'!AJ$14:AJ$949))</f>
        <v/>
      </c>
    </row>
    <row r="35" spans="1:101" ht="15.75" customHeight="1" thickBot="1">
      <c r="A35" s="957">
        <f t="shared" si="1"/>
        <v>44804</v>
      </c>
      <c r="B35" s="895">
        <f>COUNTIF('09월 조업일지'!$A$12:$A$952,A35)</f>
        <v>0</v>
      </c>
      <c r="C35" s="896" t="str">
        <f t="shared" si="0"/>
        <v/>
      </c>
      <c r="D35" s="896" t="str">
        <f>IF($B35&lt;1,"",(SUMIF('09월 조업일지'!$A$12:$A$952,$A35,'09월 조업일지'!$K$12:$K$952))/B35)</f>
        <v/>
      </c>
      <c r="E35" s="896" t="str">
        <f>IF($B35&lt;1,"",AVERAGEIF('09월 조업일지'!$A$12:$A$952,$A35,'09월 조업일지'!$J$12:$J$952))</f>
        <v/>
      </c>
      <c r="F35" s="958" t="str">
        <f>IF($B35&lt;1,"",AVERAGEIF('09월 에너지'!$A$14:$A$949,$A35,'09월 에너지'!$M$14:M$949))</f>
        <v/>
      </c>
      <c r="G35" s="898" t="str">
        <f>IF($B35&lt;1,"",AVERAGEIF('09월 조업일지'!$A$12:$A$952,$A35,'09월 조업일지'!$AJ$12:$AJ$952))</f>
        <v/>
      </c>
      <c r="H35" s="898" t="str">
        <f>IF($B35&lt;1,"",AVERAGEIF('09월 조업일지'!$A$12:$A$952,$A35,'09월 조업일지'!$AL$12:$AL$952))</f>
        <v/>
      </c>
      <c r="I35" s="959" t="str">
        <f>IF($B35&lt;1,"",AVERAGEIF('09월 화학성분'!$A$12:$A$949,$A35,'09월 화학성분'!G$12:G$949))</f>
        <v/>
      </c>
      <c r="J35" s="959" t="str">
        <f>IF($B35&lt;1,"",AVERAGEIF('09월 화학성분'!$A$12:$A$949,$A35,'09월 화학성분'!H$12:H$949))</f>
        <v/>
      </c>
      <c r="K35" s="959" t="str">
        <f>IF($B35&lt;1,"",AVERAGEIF('09월 화학성분'!$A$12:$A$949,$A35,'09월 화학성분'!I$12:I$949))</f>
        <v/>
      </c>
      <c r="L35" s="959" t="str">
        <f>IF($B35&lt;1,"",AVERAGEIF('09월 화학성분'!$A$12:$A$949,$A35,'09월 화학성분'!J$12:J$949))</f>
        <v/>
      </c>
      <c r="M35" s="959" t="str">
        <f>IF($B35&lt;1,"",AVERAGEIF('09월 화학성분'!$A$12:$A$949,$A35,'09월 화학성분'!K$12:K$949))</f>
        <v/>
      </c>
      <c r="N35" s="959" t="str">
        <f>IF($B35&lt;1,"",AVERAGEIF('09월 화학성분'!$A$12:$A$949,$A35,'09월 화학성분'!L$12:L$949))</f>
        <v/>
      </c>
      <c r="O35" s="959" t="str">
        <f>IF($B35&lt;1,"",AVERAGEIF('09월 화학성분'!$A$12:$A$949,$A35,'09월 화학성분'!M$12:M$949))</f>
        <v/>
      </c>
      <c r="P35" s="900" t="str">
        <f>IF($B35&lt;1,"",AVERAGEIF('09월 조업일지'!$A$12:$A$952,$A35,'09월 조업일지'!$AK$12:$AK$952))</f>
        <v/>
      </c>
      <c r="Q35" s="959" t="str">
        <f>IF($B35&lt;1,"",AVERAGEIF('09월 화학성분'!$A$12:$A$949,$A35,'09월 화학성분'!$G$12:$G$949))</f>
        <v/>
      </c>
      <c r="R35" s="900" t="str">
        <f>IF($B35&lt;1,"",AVERAGEIF('09월 조업일지'!$A$12:$A$952,$A35,'09월 조업일지'!$AI$12:$AI$952))</f>
        <v/>
      </c>
      <c r="S35" s="960" t="str">
        <f>IF($B35&lt;1,"",SUMIF('09월 화학성분'!$A$12:$A$949,$A35,'09월 화학성분'!$AM$12:$AM$949))</f>
        <v/>
      </c>
      <c r="T35" s="961" t="str">
        <f>IF($B35&lt;1,"",SUMIF('09월 화학성분'!$A$12:$A$949,$A35,'09월 화학성분'!N$12:N$949))</f>
        <v/>
      </c>
      <c r="U35" s="961" t="str">
        <f>IF($B35&lt;1,"",SUMIF('09월 화학성분'!$A$12:$A$949,$A35,'09월 화학성분'!O$12:O$949))</f>
        <v/>
      </c>
      <c r="V35" s="961" t="str">
        <f>IF($B35&lt;1,"",SUMIF('09월 화학성분'!$A$12:$A$949,$A35,'09월 화학성분'!P$12:P$949))</f>
        <v/>
      </c>
      <c r="W35" s="961" t="str">
        <f>IF($B35&lt;1,"",SUMIF('09월 화학성분'!$A$12:$A$949,$A35,'09월 화학성분'!Q$12:Q$949))</f>
        <v/>
      </c>
      <c r="X35" s="961" t="str">
        <f>IF($B35&lt;1,"",SUMIF('09월 화학성분'!$A$12:$A$949,$A35,'09월 화학성분'!R$12:R$949))</f>
        <v/>
      </c>
      <c r="Y35" s="961" t="str">
        <f>IF($B35&lt;1,"",SUMIF('09월 화학성분'!$A$12:$A$949,$A35,'09월 화학성분'!U$12:U$949))</f>
        <v/>
      </c>
      <c r="Z35" s="962" t="str">
        <f>IF($B35&lt;1,"",SUMIF('09월 화학성분'!$A$12:$A$949,$A35,'09월 화학성분'!V$12:V$949))</f>
        <v/>
      </c>
      <c r="AA35" s="962" t="str">
        <f>IF($B35&lt;1,"",SUMIF('09월 화학성분'!$A$12:$A$949,$A35,'09월 화학성분'!W$12:W$949))</f>
        <v/>
      </c>
      <c r="AB35" s="962" t="str">
        <f>IF($B35&lt;1,"",SUMIF('09월 화학성분'!$A$12:$A$949,$A35,'09월 화학성분'!AA$12:AA$949))</f>
        <v/>
      </c>
      <c r="AC35" s="944"/>
      <c r="AD35" s="963" t="str">
        <f>IF($B35&lt;1,"",SUMIF('09월 화학성분'!$A$12:$A$949,$A35,'09월 화학성분'!AB$12:AB$949))</f>
        <v/>
      </c>
      <c r="AE35" s="963" t="str">
        <f>IF($B35&lt;1,"",SUMIF('09월 화학성분'!$A$12:$A$949,$A35,'09월 화학성분'!AC$12:AC$949))</f>
        <v/>
      </c>
      <c r="AF35" s="963" t="str">
        <f>IF($B35&lt;1,"",SUMIF('09월 화학성분'!$A$12:$A$949,$A35,'09월 화학성분'!AD$12:AD$949))</f>
        <v/>
      </c>
      <c r="AG35" s="963"/>
      <c r="AH35" s="963" t="str">
        <f>IF($B35&lt;1,"",SUMIF('09월 화학성분'!$A$12:$A$949,$A35,'09월 화학성분'!AG$12:AG$949))</f>
        <v/>
      </c>
      <c r="AI35" s="963" t="str">
        <f>IF($B35&lt;1,"",SUMIF('09월 화학성분'!$A$12:$A$949,$A35,'09월 화학성분'!AH$12:AH$949))</f>
        <v/>
      </c>
      <c r="AJ35" s="963" t="str">
        <f>IF($B35&lt;1,"",SUMIF('09월 화학성분'!$A$12:$A$949,$A35,'09월 화학성분'!AI$12:AI$949))</f>
        <v/>
      </c>
      <c r="AK35" s="963" t="str">
        <f>IF($B35&lt;1,"",SUMIF('09월 화학성분'!$A$12:$A$949,$A35,'09월 화학성분'!AJ$12:AJ$949))</f>
        <v/>
      </c>
      <c r="AL35" s="963" t="str">
        <f>IF($B35&lt;1,"",SUMIF('09월 화학성분'!$A$12:$A$949,$A35,'09월 화학성분'!#REF!))</f>
        <v/>
      </c>
      <c r="AM35" s="963" t="str">
        <f>IF($B35&lt;1,"",SUMIF('09월 화학성분'!$A$12:$A$949,$A35,'09월 화학성분'!AL$12:AL$949))</f>
        <v/>
      </c>
      <c r="AN35" s="964" t="str">
        <f>IF($B35&lt;1,"",SUMIF('09월 화학성분'!$A$12:$A$949,$A35,'09월 화학성분'!AM$12:AM$949))</f>
        <v/>
      </c>
      <c r="AO35" s="965" t="str">
        <f>IF($B35&lt;1,"",AVERAGEIF('09월 화학성분'!$A$12:$A$949,$A35,'09월 화학성분'!AN$12:AN$949))</f>
        <v/>
      </c>
      <c r="AP35" s="965" t="str">
        <f>IF($B35&lt;1,"",AVERAGEIF('09월 화학성분'!$A$12:$A$949,$A35,'09월 화학성분'!AO$12:AO$949))</f>
        <v/>
      </c>
      <c r="AQ35" s="966" t="str">
        <f>IF($B35&lt;1,"",SUMIF('09월 화학성분'!$A$12:$A$949,$A35,'09월 화학성분'!AP$12:AP$949))</f>
        <v/>
      </c>
      <c r="AR35" s="967" t="str">
        <f>IF($B35&lt;1,"",SUMIF('09월 고철장입'!$A$14:$A$949,$A35,'09월 고철장입'!G$14:G$949)/1000)</f>
        <v/>
      </c>
      <c r="AS35" s="967" t="str">
        <f>IF($B35&lt;1,"",SUMIF('09월 고철장입'!$A$14:$A$949,$A35,'09월 고철장입'!H$14:H$949)/1000)</f>
        <v/>
      </c>
      <c r="AT35" s="967" t="str">
        <f>IF($B35&lt;1,"",SUMIF('09월 고철장입'!$A$14:$A$949,$A35,'09월 고철장입'!I$14:I$949)/1000)</f>
        <v/>
      </c>
      <c r="AU35" s="967" t="str">
        <f>IF($B35&lt;1,"",SUMIF('09월 고철장입'!$A$14:$A$949,$A35,'09월 고철장입'!J$14:J$949)/1000)</f>
        <v/>
      </c>
      <c r="AV35" s="967" t="str">
        <f>IF($B35&lt;1,"",SUMIF('09월 고철장입'!$A$14:$A$949,$A35,'09월 고철장입'!K$14:K$949)/1000)</f>
        <v/>
      </c>
      <c r="AW35" s="967" t="str">
        <f>IF($B35&lt;1,"",SUMIF('09월 고철장입'!$A$14:$A$949,$A35,'09월 고철장입'!L$14:L$949)/1000)</f>
        <v/>
      </c>
      <c r="AX35" s="967" t="str">
        <f>IF($B35&lt;1,"",SUMIF('09월 고철장입'!$A$14:$A$949,$A35,'09월 고철장입'!M$14:M$949)/1000)</f>
        <v/>
      </c>
      <c r="AY35" s="967" t="str">
        <f>IF($B35&lt;1,"",SUMIF('09월 고철장입'!$A$14:$A$949,$A35,'09월 고철장입'!N$14:N$949)/1000)</f>
        <v/>
      </c>
      <c r="AZ35" s="967" t="str">
        <f>IF($B35&lt;1,"",SUMIF('09월 고철장입'!$A$14:$A$949,$A35,'09월 고철장입'!O$14:O$949)/1000)</f>
        <v/>
      </c>
      <c r="BA35" s="968" t="str">
        <f>IF($B35&lt;1,"",SUMIF('09월 고철장입'!$A$14:$A$949,$A35,'09월 고철장입'!P$14:P$949)/1000)</f>
        <v/>
      </c>
      <c r="BB35" s="968" t="str">
        <f>IF($B35&lt;1,"",SUMIF('09월 고철장입'!$A$14:$A$949,$A35,'09월 고철장입'!Q$14:Q$949)/1000)</f>
        <v/>
      </c>
      <c r="BC35" s="968" t="str">
        <f>IF($B35&lt;1,"",SUMIF('09월 고철장입'!$A$14:$A$949,$A35,'09월 고철장입'!S$14:S$949)/1000)</f>
        <v/>
      </c>
      <c r="BD35" s="968" t="str">
        <f>IF($B35&lt;1,"",SUMIF('09월 고철장입'!$A$14:$A$949,$A35,'09월 고철장입'!T$14:T$949)/1000)</f>
        <v/>
      </c>
      <c r="BE35" s="968" t="str">
        <f>IF($B35&lt;1,"",SUMIF('09월 고철장입'!$A$14:$A$949,$A35,'09월 고철장입'!U$14:U$949)/1000)</f>
        <v/>
      </c>
      <c r="BF35" s="968" t="str">
        <f>IF($B35&lt;1,"",SUMIF('09월 고철장입'!$A$14:$A$949,$A35,'09월 고철장입'!V$14:V$949)/1000)</f>
        <v/>
      </c>
      <c r="BG35" s="968" t="str">
        <f>IF($B35&lt;1,"",SUMIF('09월 고철장입'!$A$14:$A$949,$A35,'09월 고철장입'!W$14:W$949)/1000)</f>
        <v/>
      </c>
      <c r="BH35" s="968" t="str">
        <f>IF($B35&lt;1,"",SUMIF('09월 고철장입'!$A$14:$A$949,$A35,'09월 고철장입'!Y$14:Y$949)/1000)</f>
        <v/>
      </c>
      <c r="BI35" s="968" t="str">
        <f>IF($B35&lt;1,"",SUMIF('09월 고철장입'!$A$14:$A$949,$A35,'09월 고철장입'!AB$14:AB$949)/1000)</f>
        <v/>
      </c>
      <c r="BJ35" s="968" t="str">
        <f>IF($B35&lt;1,"",SUMIF('09월 고철장입'!$A$14:$A$949,$A35,'09월 고철장입'!AC$14:AC$949)/1000)</f>
        <v/>
      </c>
      <c r="BK35" s="968" t="str">
        <f>IF($B35&lt;1,"",SUMIF('09월 고철장입'!$A$14:$A$949,$A35,'09월 고철장입'!AD$14:AD$949)/1000)</f>
        <v/>
      </c>
      <c r="BL35" s="968" t="str">
        <f>IF($B35&lt;1,"",SUMIF('09월 고철장입'!$A$14:$A$949,$A35,'09월 고철장입'!AE$14:AE$949)/1000)</f>
        <v/>
      </c>
      <c r="BM35" s="969" t="str">
        <f>IF($B35&lt;1,"",SUMIF('09월 고철장입'!$A$14:$A$949,$A35,'09월 고철장입'!AF$14:AF$949)/1000)</f>
        <v/>
      </c>
      <c r="BN35" s="969" t="str">
        <f>IF($B35&lt;1,"",SUMIF('09월 고철장입'!$A$14:$A$949,$A35,'09월 고철장입'!AG$14:AG$949)/1000)</f>
        <v/>
      </c>
      <c r="BO35" s="969" t="str">
        <f>IF($B35&lt;1,"",SUMIF('09월 고철장입'!$A$14:$A$949,$A35,'09월 고철장입'!AH$14:AH$949)/1000)</f>
        <v/>
      </c>
      <c r="BP35" s="969" t="str">
        <f>IF($B35&lt;1,"",SUMIF('09월 고철장입'!$A$14:$A$949,$A35,'09월 고철장입'!AI$14:AI$949)/1000)</f>
        <v/>
      </c>
      <c r="BQ35" s="970" t="str">
        <f>IF($B35&lt;1,"",SUMIF('09월 고철장입'!$A$14:$A$949,$A35,'09월 고철장입'!AJ$14:AJ$949)/1000)</f>
        <v/>
      </c>
      <c r="BR35" s="970" t="str">
        <f>IF($B35&lt;1,"",SUMIF('09월 고철장입'!$A$14:$A$949,$A35,'09월 고철장입'!AK$14:AK$949))</f>
        <v/>
      </c>
      <c r="BS35" s="971" t="str">
        <f>IF($B35&lt;1,"",AVERAGEIF('09월 고철장입'!$A$14:$A$949,$A35,'09월 고철장입'!AL$14:AL$949)*100)</f>
        <v/>
      </c>
      <c r="BT35" s="966" t="str">
        <f>IF($B35&lt;1,"",SUMIF('09월 에너지'!$A$14:$A$949,$A35,'09월 에너지'!G$14:G$949))</f>
        <v/>
      </c>
      <c r="BU35" s="966" t="str">
        <f>IF($B35&lt;1,"",SUMIF('09월 에너지'!$A$14:$A$949,$A35,'09월 에너지'!H$14:H$949))</f>
        <v/>
      </c>
      <c r="BV35" s="966" t="str">
        <f>IF($B35&lt;1,"",SUMIF('09월 에너지'!$A$14:$A$949,$A35,'09월 에너지'!I$14:I$949))</f>
        <v/>
      </c>
      <c r="BW35" s="966" t="str">
        <f>IF($B35&lt;1,"",SUMIF('09월 에너지'!$A$14:$A$949,$A35,'09월 에너지'!J$14:J$949))</f>
        <v/>
      </c>
      <c r="BX35" s="966" t="str">
        <f>IF($B35&lt;1,"",SUMIF('09월 에너지'!$A$14:$A$949,$A35,'09월 에너지'!K$14:K$949))</f>
        <v/>
      </c>
      <c r="BY35" s="966" t="str">
        <f>IF($B35&lt;1,"",SUMIF('09월 에너지'!$A$14:$A$949,$A35,'09월 에너지'!L$14:L$949))</f>
        <v/>
      </c>
      <c r="BZ35" s="966" t="str">
        <f>IF($B35&lt;1,"",SUMIF('09월 에너지'!$A$14:$A$949,$A35,'09월 에너지'!M$14:M$949))</f>
        <v/>
      </c>
      <c r="CA35" s="966" t="str">
        <f>IF($B35&lt;1,"",SUMIF('09월 에너지'!$A$14:$A$949,$A35,'09월 에너지'!N$14:N$949))</f>
        <v/>
      </c>
      <c r="CB35" s="966" t="str">
        <f>IF($B35&lt;1,"",SUMIF('09월 에너지'!$A$14:$A$949,$A35,'09월 에너지'!O$14:O$949))</f>
        <v/>
      </c>
      <c r="CC35" s="966" t="str">
        <f>IF($B35&lt;1,"",SUMIF('09월 에너지'!$A$14:$A$949,$A35,'09월 에너지'!P$14:P$949))</f>
        <v/>
      </c>
      <c r="CD35" s="966" t="str">
        <f>IF($B35&lt;1,"",SUMIF('09월 에너지'!$A$14:$A$949,$A35,'09월 에너지'!Q$14:Q$949))</f>
        <v/>
      </c>
      <c r="CE35" s="966" t="str">
        <f>IF($B35&lt;1,"",SUMIF('09월 에너지'!$A$14:$A$949,$A35,'09월 에너지'!R$14:R$949))</f>
        <v/>
      </c>
      <c r="CF35" s="966" t="str">
        <f>IF($B35&lt;1,"",SUMIF('09월 에너지'!$A$14:$A$949,$A35,'09월 에너지'!S$14:S$949))</f>
        <v/>
      </c>
      <c r="CG35" s="972" t="str">
        <f>IF($B35&lt;1,"",SUMIF('09월 에너지'!$A$14:$A$949,$A35,'09월 에너지'!T$14:T$949))</f>
        <v/>
      </c>
      <c r="CH35" s="972" t="str">
        <f>IF($B35&lt;1,"",SUMIF('09월 에너지'!$A$14:$A$949,$A35,'09월 에너지'!U$14:U$949))</f>
        <v/>
      </c>
      <c r="CI35" s="972" t="str">
        <f>IF($B35&lt;1,"",SUMIF('09월 에너지'!$A$14:$A$949,$A35,'09월 에너지'!V$14:V$949))</f>
        <v/>
      </c>
      <c r="CJ35" s="972" t="str">
        <f>IF($B35&lt;1,"",SUMIF('09월 에너지'!$A$14:$A$949,$A35,'09월 에너지'!W$14:W$949))</f>
        <v/>
      </c>
      <c r="CK35" s="972" t="str">
        <f>IF($B35&lt;1,"",SUMIF('09월 에너지'!$A$14:$A$949,$A35,'09월 에너지'!X$14:X$949))</f>
        <v/>
      </c>
      <c r="CL35" s="972" t="str">
        <f>IF($B35&lt;1,"",SUMIF('09월 에너지'!$A$14:$A$949,$A35,'09월 에너지'!Y$14:Y$949))</f>
        <v/>
      </c>
      <c r="CM35" s="972" t="str">
        <f>IF($B35&lt;1,"",SUMIF('09월 에너지'!$A$14:$A$949,$A35,'09월 에너지'!Z$14:Z$949))</f>
        <v/>
      </c>
      <c r="CN35" s="972" t="str">
        <f>IF($B35&lt;1,"",SUMIF('09월 에너지'!$A$14:$A$949,$A35,'09월 에너지'!AA$14:AA$949))</f>
        <v/>
      </c>
      <c r="CO35" s="972" t="str">
        <f>IF($B35&lt;1,"",SUMIF('09월 에너지'!$A$14:$A$949,$A35,'09월 에너지'!AB$14:AB$949))</f>
        <v/>
      </c>
      <c r="CP35" s="972" t="str">
        <f>IF($B35&lt;1,"",SUMIF('09월 에너지'!$A$14:$A$949,$A35,'09월 에너지'!AC$14:AC$949))</f>
        <v/>
      </c>
      <c r="CQ35" s="973" t="str">
        <f>IF($B35&lt;1,"",SUMIF('09월 에너지'!$A$14:$A$949,$A35,'09월 에너지'!AD$14:AD$949))</f>
        <v/>
      </c>
      <c r="CR35" s="973" t="str">
        <f>IF($B35&lt;1,"",SUMIF('09월 에너지'!$A$14:$A$949,$A35,'09월 에너지'!AE$14:AE$949))</f>
        <v/>
      </c>
      <c r="CS35" s="966" t="str">
        <f>IF($B35&lt;1,"",SUMIF('09월 에너지'!$A$14:$A$949,$A35,'09월 에너지'!AF$14:AF$949))</f>
        <v/>
      </c>
      <c r="CT35" s="966" t="str">
        <f>IF($B35&lt;1,"",SUMIF('09월 에너지'!$A$14:$A$949,$A35,'09월 에너지'!AG$14:AG$949))</f>
        <v/>
      </c>
      <c r="CU35" s="966" t="str">
        <f>IF($B35&lt;1,"",SUMIF('09월 에너지'!$A$14:$A$949,$A35,'09월 에너지'!AH$14:AH$949))</f>
        <v/>
      </c>
      <c r="CV35" s="966" t="str">
        <f>IF($B35&lt;1,"",SUMIF('09월 에너지'!$A$14:$A$949,$A35,'09월 에너지'!AI$14:AI$949))</f>
        <v/>
      </c>
      <c r="CW35" s="974" t="str">
        <f>IF($B35&lt;1,"",SUMIF('09월 에너지'!$A$14:$A$949,$A35,'09월 에너지'!AJ$14:AJ$949))</f>
        <v/>
      </c>
    </row>
    <row r="36" spans="1:101" ht="13.8" thickBot="1"/>
    <row r="37" spans="1:101" ht="17.25" customHeight="1" thickBot="1">
      <c r="A37" s="975" t="s">
        <v>319</v>
      </c>
      <c r="B37" s="788">
        <f>COUNT('09월 조업일지'!$J$12:$J792)</f>
        <v>781</v>
      </c>
      <c r="C37" s="789">
        <f t="shared" ref="C37" si="2">IF(B37&lt;1,"",E37-D37)</f>
        <v>2.5643467643467588</v>
      </c>
      <c r="D37" s="790">
        <f>IF($B37&lt;1,"",AVERAGE('09월 조업일지'!$K$12:$K$952))</f>
        <v>50.2</v>
      </c>
      <c r="E37" s="790">
        <f>IF($B37&lt;1,"",AVERAGE('09월 조업일지'!$J$12:$J$952))</f>
        <v>52.764346764346762</v>
      </c>
      <c r="F37" s="790">
        <f>IF($B37&lt;1,"",AVERAGE('09월 에너지'!$M$14:M$949))</f>
        <v>45.815140415140405</v>
      </c>
      <c r="G37" s="790">
        <f>IF($B37&lt;1,"",AVERAGE('09월 조업일지'!$AJ$12:$AJ$952))</f>
        <v>24.959558823529413</v>
      </c>
      <c r="H37" s="790">
        <f>IF($B37&lt;1,"",AVERAGE('09월 조업일지'!$AL$12:$AL$952))</f>
        <v>7.6552162849872776</v>
      </c>
      <c r="I37" s="790">
        <f>IF($B37&lt;1,"",AVERAGE('09월 화학성분'!G$12:G$949))</f>
        <v>10.373626373626374</v>
      </c>
      <c r="J37" s="790">
        <f>IF($B37&lt;1,"",AVERAGE('09월 화학성분'!H$12:H$949))</f>
        <v>20.347985347985347</v>
      </c>
      <c r="K37" s="790">
        <f>IF($B37&lt;1,"",AVERAGE('09월 화학성분'!I$12:I$949))</f>
        <v>75.726495726495727</v>
      </c>
      <c r="L37" s="790">
        <f>IF($B37&lt;1,"",AVERAGE('09월 화학성분'!J$12:J$949))</f>
        <v>15.410256410256411</v>
      </c>
      <c r="M37" s="790">
        <f>IF($B37&lt;1,"",AVERAGE('09월 화학성분'!K$12:K$949))</f>
        <v>33.098901098901102</v>
      </c>
      <c r="N37" s="790">
        <f>IF($B37&lt;1,"",AVERAGE('09월 화학성분'!L$12:L$949))</f>
        <v>12.929181929181929</v>
      </c>
      <c r="O37" s="790">
        <f>IF($B37&lt;1,"",AVERAGE('09월 화학성분'!M$12:M$949))</f>
        <v>10.229548229548229</v>
      </c>
      <c r="P37" s="791">
        <f>IF($B37&lt;1,"",AVERAGE('09월 조업일지'!$AK$12:$AK$952))</f>
        <v>595.27064803049552</v>
      </c>
      <c r="Q37" s="792">
        <f>IF($B37&lt;1,"",AVERAGE('09월 화학성분'!$G$12:$G$949))</f>
        <v>10.373626373626374</v>
      </c>
      <c r="R37" s="791">
        <f>IF($B37&lt;1,"",AVERAGE('09월 조업일지'!$AI$12:$AI$952))</f>
        <v>1570.9267399267399</v>
      </c>
      <c r="S37" s="976">
        <f>IF($B37&lt;1,"",SUM('09월 화학성분'!$AM$12:$AM$949))</f>
        <v>1642771</v>
      </c>
      <c r="T37" s="795">
        <f>IF($B37&lt;1,"",SUM('09월 화학성분'!N$12:N$949))</f>
        <v>344826</v>
      </c>
      <c r="U37" s="795">
        <f>IF($B37&lt;1,"",SUM('09월 화학성분'!O$12:O$949))</f>
        <v>0</v>
      </c>
      <c r="V37" s="795">
        <f>IF($B37&lt;1,"",SUM('09월 화학성분'!P$12:P$949))</f>
        <v>848415</v>
      </c>
      <c r="W37" s="795">
        <f>IF($B37&lt;1,"",SUM('09월 화학성분'!Q$12:Q$949))</f>
        <v>784350</v>
      </c>
      <c r="X37" s="795">
        <f>IF($B37&lt;1,"",SUM('09월 화학성분'!R$12:R$949))</f>
        <v>0</v>
      </c>
      <c r="Y37" s="795">
        <f>IF($B37&lt;1,"",SUM('09월 화학성분'!U$12:U$949))</f>
        <v>0</v>
      </c>
      <c r="Z37" s="795">
        <f>IF($B37&lt;1,"",SUM('09월 화학성분'!V$12:V$949))</f>
        <v>350273</v>
      </c>
      <c r="AA37" s="795">
        <f>IF($B37&lt;1,"",SUM('09월 화학성분'!W$12:W$949))</f>
        <v>0</v>
      </c>
      <c r="AB37" s="795">
        <f>IF($B37&lt;1,"",SUM('09월 화학성분'!AA$12:AA$949))</f>
        <v>0</v>
      </c>
      <c r="AC37" s="795" t="e">
        <f>IF($B37&lt;1,"",SUM('09월 화학성분'!#REF!))</f>
        <v>#REF!</v>
      </c>
      <c r="AD37" s="795">
        <f>IF($B37&lt;1,"",SUM('09월 화학성분'!AB$12:AB$949))</f>
        <v>8458</v>
      </c>
      <c r="AE37" s="795">
        <f>IF($B37&lt;1,"",SUM('09월 화학성분'!AC$12:AC$949))</f>
        <v>0</v>
      </c>
      <c r="AF37" s="795">
        <f>IF($B37&lt;1,"",SUM('09월 화학성분'!AD$12:AD$949))</f>
        <v>221897</v>
      </c>
      <c r="AG37" s="795">
        <f>IF($B37&lt;1,"",SUM('09월 화학성분'!AF$12:AF$949))</f>
        <v>15947</v>
      </c>
      <c r="AH37" s="795">
        <f>IF($B37&lt;1,"",SUM('09월 화학성분'!AG$12:AG$949))</f>
        <v>64339</v>
      </c>
      <c r="AI37" s="795">
        <f>IF($B37&lt;1,"",SUM('09월 화학성분'!AH$12:AH$949))</f>
        <v>1064447</v>
      </c>
      <c r="AJ37" s="795">
        <f>IF($B37&lt;1,"",SUM('09월 화학성분'!AI$12:AI$949))</f>
        <v>187618</v>
      </c>
      <c r="AK37" s="795">
        <f>IF($B37&lt;1,"",SUM('09월 화학성분'!AJ$12:AJ$949))</f>
        <v>54392</v>
      </c>
      <c r="AL37" s="795" t="e">
        <f>IF($B37&lt;1,"",SUM('09월 화학성분'!#REF!))</f>
        <v>#REF!</v>
      </c>
      <c r="AM37" s="795">
        <f>IF($B37&lt;1,"",SUM('09월 화학성분'!AL$12:AL$949))</f>
        <v>95159</v>
      </c>
      <c r="AN37" s="795">
        <f>IF($B37&lt;1,"",SUM('09월 화학성분'!AM$12:AM$949))</f>
        <v>1642771</v>
      </c>
      <c r="AO37" s="793">
        <f>IF($B37&lt;1,"",AVERAGE('09월 화학성분'!AN$12:AN$949))</f>
        <v>0.76307186408823746</v>
      </c>
      <c r="AP37" s="793">
        <f>IF($B37&lt;1,"",AVERAGE('09월 화학성분'!AO$12:AO$949))</f>
        <v>0.9631945448104694</v>
      </c>
      <c r="AQ37" s="795">
        <f>IF($B37&lt;1,"",SUM('09월 화학성분'!AP$12:AP$949)/B37)</f>
        <v>150.54104993597952</v>
      </c>
      <c r="AR37" s="795">
        <f>IF($B37&lt;1,"",SUM('09월 고철장입'!G$14:G$949)/1000)</f>
        <v>0</v>
      </c>
      <c r="AS37" s="795">
        <f>IF($B37&lt;1,"",SUM('09월 고철장입'!H$14:H$949)/1000)</f>
        <v>0</v>
      </c>
      <c r="AT37" s="795">
        <f>IF($B37&lt;1,"",SUM('09월 고철장입'!I$14:I$949)/1000)</f>
        <v>5201.5010000000002</v>
      </c>
      <c r="AU37" s="795">
        <f>IF($B37&lt;1,"",SUM('09월 고철장입'!J$14:J$949)/1000)</f>
        <v>0</v>
      </c>
      <c r="AV37" s="795">
        <f>IF($B37&lt;1,"",SUM('09월 고철장입'!K$14:K$949)/1000)</f>
        <v>0</v>
      </c>
      <c r="AW37" s="795">
        <f>IF($B37&lt;1,"",SUM('09월 고철장입'!L$14:L$949)/1000)</f>
        <v>0</v>
      </c>
      <c r="AX37" s="795">
        <f>IF($B37&lt;1,"",SUM('09월 고철장입'!M$14:M$949)/1000)</f>
        <v>0</v>
      </c>
      <c r="AY37" s="795">
        <f>IF($B37&lt;1,"",SUM('09월 고철장입'!N$14:N$949)/1000)</f>
        <v>0</v>
      </c>
      <c r="AZ37" s="795">
        <f>IF($B37&lt;1,"",SUM('09월 고철장입'!O$14:O$949)/1000)</f>
        <v>5201.5010000000002</v>
      </c>
      <c r="BA37" s="795">
        <f>IF($B37&lt;1,"",SUM('09월 고철장입'!P$14:P$949)/1000)</f>
        <v>35155.300000000003</v>
      </c>
      <c r="BB37" s="795">
        <f>IF($B37&lt;1,"",SUM('09월 고철장입'!Q$14:Q$949)/1000)</f>
        <v>14000.1</v>
      </c>
      <c r="BC37" s="795">
        <f>IF($B37&lt;1,"",SUM('09월 고철장입'!S$14:S$949)/1000)</f>
        <v>0</v>
      </c>
      <c r="BD37" s="795">
        <f>IF($B37&lt;1,"",SUM('09월 고철장입'!T$14:T$949)/1000)</f>
        <v>285.60000000000002</v>
      </c>
      <c r="BE37" s="795">
        <f>IF($B37&lt;1,"",SUM('09월 고철장입'!U$14:U$949)/1000)</f>
        <v>6448.3</v>
      </c>
      <c r="BF37" s="795">
        <f>IF($B37&lt;1,"",SUM('09월 고철장입'!V$14:V$949)/1000)</f>
        <v>19014.8</v>
      </c>
      <c r="BG37" s="795">
        <f>IF($B37&lt;1,"",SUM('09월 고철장입'!W$14:W$949)/1000)</f>
        <v>2344.6999999999998</v>
      </c>
      <c r="BH37" s="795">
        <f>IF($B37&lt;1,"",SUM('09월 고철장입'!Y$14:Y$949)/1000)</f>
        <v>11956.8</v>
      </c>
      <c r="BI37" s="795">
        <f>IF($B37&lt;1,"",SUM('09월 고철장입'!AB$14:AB$949)/1000)</f>
        <v>2130.5</v>
      </c>
      <c r="BJ37" s="795">
        <f>IF($B37&lt;1,"",SUM('09월 고철장입'!AC$14:AC$949)/1000)</f>
        <v>1132.3</v>
      </c>
      <c r="BK37" s="795">
        <f>IF($B37&lt;1,"",SUM('09월 고철장입'!AD$14:AD$949)/1000)</f>
        <v>1846.902</v>
      </c>
      <c r="BL37" s="795">
        <f>IF($B37&lt;1,"",SUM('09월 고철장입'!AE$14:AE$949)/1000)</f>
        <v>108591.503</v>
      </c>
      <c r="BM37" s="795">
        <f>IF($B37&lt;1,"",SUM('09월 고철장입'!AF$14:AF$949)/1000)</f>
        <v>3310.7</v>
      </c>
      <c r="BN37" s="795">
        <f>IF($B37&lt;1,"",SUM('09월 고철장입'!AG$14:AG$949)/1000)</f>
        <v>8011.9</v>
      </c>
      <c r="BO37" s="795">
        <f>IF($B37&lt;1,"",SUM('09월 고철장입'!AH$14:AH$949)/1000)</f>
        <v>4326.1000000000004</v>
      </c>
      <c r="BP37" s="795">
        <f>IF($B37&lt;1,"",SUM('09월 고철장입'!AI$14:AI$949)/1000)</f>
        <v>15651.3</v>
      </c>
      <c r="BQ37" s="795">
        <f>IF($B37&lt;1,"",SUM('09월 고철장입'!AJ$14:AJ$949)/1000)</f>
        <v>129444.304</v>
      </c>
      <c r="BR37" s="795">
        <f>IF($B37&lt;1,"",SUM('09월 고철장입'!AK$14:AK$949)/B37)</f>
        <v>150.54104993597952</v>
      </c>
      <c r="BS37" s="794">
        <f>BR37/BQ37*100</f>
        <v>0.11629793299825653</v>
      </c>
      <c r="BT37" s="795">
        <f>IF($B37&lt;1,"",SUM('09월 에너지'!G$14:G$949))</f>
        <v>15897.799999999996</v>
      </c>
      <c r="BU37" s="795">
        <f>IF($B37&lt;1,"",SUM('09월 에너지'!H$14:H$949))</f>
        <v>19049460</v>
      </c>
      <c r="BV37" s="795">
        <f>IF($B37&lt;1,"",SUM('09월 에너지'!I$14:I$949))</f>
        <v>13604.399999999998</v>
      </c>
      <c r="BW37" s="795">
        <f>IF($B37&lt;1,"",SUM('09월 에너지'!J$14:J$949))</f>
        <v>16710700</v>
      </c>
      <c r="BX37" s="795">
        <f>IF($B37&lt;1,"",SUM('09월 에너지'!K$14:K$949))</f>
        <v>8020.3999999999978</v>
      </c>
      <c r="BY37" s="795">
        <f>IF($B37&lt;1,"",SUM('09월 에너지'!L$14:L$949))</f>
        <v>10239400</v>
      </c>
      <c r="BZ37" s="795">
        <f>IF($B37&lt;1,"",SUM('09월 에너지'!M$14:M$949))</f>
        <v>37522.599999999991</v>
      </c>
      <c r="CA37" s="795">
        <f>IF($B37&lt;1,"",SUM('09월 에너지'!N$14:N$949))</f>
        <v>45999560</v>
      </c>
      <c r="CB37" s="795">
        <f>IF($B37&lt;1,"",SUM('09월 에너지'!O$14:O$949))</f>
        <v>132945.45306127711</v>
      </c>
      <c r="CC37" s="795">
        <f>IF($B37&lt;1,"",SUM('09월 에너지'!P$14:P$949))</f>
        <v>116286.60262128178</v>
      </c>
      <c r="CD37" s="795">
        <f>IF($B37&lt;1,"",SUM('09월 에너지'!Q$14:Q$949))</f>
        <v>71484.230321698982</v>
      </c>
      <c r="CE37" s="795">
        <f>IF($B37&lt;1,"",SUM('09월 에너지'!R$14:R$949))</f>
        <v>320716.2860042575</v>
      </c>
      <c r="CF37" s="795">
        <f>IF($B37&lt;1,"",SUM('09월 에너지'!S$14:S$949))</f>
        <v>117572.56000000001</v>
      </c>
      <c r="CG37" s="795">
        <f>IF($B37&lt;1,"",SUM('09월 에너지'!T$14:T$949))</f>
        <v>340</v>
      </c>
      <c r="CH37" s="795">
        <f>IF($B37&lt;1,"",SUM('09월 에너지'!U$14:U$949))</f>
        <v>58614</v>
      </c>
      <c r="CI37" s="795">
        <f>IF($B37&lt;1,"",SUM('09월 에너지'!V$14:V$949))</f>
        <v>236133</v>
      </c>
      <c r="CJ37" s="795">
        <f>IF($B37&lt;1,"",SUM('09월 에너지'!W$14:W$949))</f>
        <v>295087</v>
      </c>
      <c r="CK37" s="795">
        <f>IF($B37&lt;1,"",SUM('09월 에너지'!X$14:X$949))</f>
        <v>2059.1104828943112</v>
      </c>
      <c r="CL37" s="795">
        <f>IF($B37&lt;1,"",SUM('09월 에너지'!Y$14:Y$949))</f>
        <v>1305021</v>
      </c>
      <c r="CM37" s="795">
        <f>IF($B37&lt;1,"",SUM('09월 에너지'!Z$14:Z$949))</f>
        <v>1129360</v>
      </c>
      <c r="CN37" s="795">
        <f>IF($B37&lt;1,"",SUM('09월 에너지'!AA$14:AA$949))</f>
        <v>682075</v>
      </c>
      <c r="CO37" s="795">
        <f>IF($B37&lt;1,"",SUM('09월 에너지'!AB$14:AB$949))</f>
        <v>3116456</v>
      </c>
      <c r="CP37" s="795">
        <f>IF($B37&lt;1,"",SUM('09월 에너지'!AC$14:AC$949))</f>
        <v>21730.383085658144</v>
      </c>
      <c r="CQ37" s="795">
        <f>IF($B37&lt;1,"",SUM('09월 에너지'!AD$14:AD$949))</f>
        <v>3411543</v>
      </c>
      <c r="CR37" s="795">
        <f>IF($B37&lt;1,"",SUM('09월 에너지'!AE$14:AE$949))</f>
        <v>23789.493568552425</v>
      </c>
      <c r="CS37" s="795">
        <f>IF($B37&lt;1,"",SUM('09월 에너지'!AF$14:AF$949))</f>
        <v>66242</v>
      </c>
      <c r="CT37" s="795">
        <f>IF($B37&lt;1,"",SUM('09월 에너지'!AG$14:AG$949))</f>
        <v>51800</v>
      </c>
      <c r="CU37" s="795">
        <f>IF($B37&lt;1,"",SUM('09월 에너지'!AH$14:AH$949))</f>
        <v>7167</v>
      </c>
      <c r="CV37" s="795">
        <f>IF($B37&lt;1,"",SUM('09월 에너지'!AI$14:AI$949))</f>
        <v>125209</v>
      </c>
      <c r="CW37" s="977">
        <f>IF($B37&lt;1,"",SUM('09월 에너지'!AJ$14:AJ$949))</f>
        <v>872.52392208239996</v>
      </c>
    </row>
  </sheetData>
  <mergeCells count="38">
    <mergeCell ref="CQ3:CR3"/>
    <mergeCell ref="CS3:CW3"/>
    <mergeCell ref="BX3:BY3"/>
    <mergeCell ref="BZ3:CA3"/>
    <mergeCell ref="CB3:CE3"/>
    <mergeCell ref="CF3:CF4"/>
    <mergeCell ref="CG3:CK3"/>
    <mergeCell ref="CL3:CP3"/>
    <mergeCell ref="BV3:BW3"/>
    <mergeCell ref="AZ3:AZ4"/>
    <mergeCell ref="BA3:BD3"/>
    <mergeCell ref="BE3:BG3"/>
    <mergeCell ref="BH3:BI3"/>
    <mergeCell ref="BJ3:BK3"/>
    <mergeCell ref="BL3:BL4"/>
    <mergeCell ref="BM3:BP3"/>
    <mergeCell ref="BQ3:BQ4"/>
    <mergeCell ref="BR3:BR4"/>
    <mergeCell ref="BS3:BS4"/>
    <mergeCell ref="BT3:BU3"/>
    <mergeCell ref="AX3:AY3"/>
    <mergeCell ref="Q3:R3"/>
    <mergeCell ref="S3:S4"/>
    <mergeCell ref="T3:Y3"/>
    <mergeCell ref="Z3:AC3"/>
    <mergeCell ref="AD3:AM3"/>
    <mergeCell ref="AN3:AN4"/>
    <mergeCell ref="AO3:AP3"/>
    <mergeCell ref="AQ3:AQ4"/>
    <mergeCell ref="AR3:AS3"/>
    <mergeCell ref="AT3:AU3"/>
    <mergeCell ref="AV3:AW3"/>
    <mergeCell ref="I3:O3"/>
    <mergeCell ref="A3:A4"/>
    <mergeCell ref="B3:B4"/>
    <mergeCell ref="C3:E3"/>
    <mergeCell ref="F3:F4"/>
    <mergeCell ref="G3:G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11월 에너지 (2)</vt:lpstr>
      <vt:lpstr>a</vt:lpstr>
      <vt:lpstr>B</vt:lpstr>
      <vt:lpstr>Sheet4</vt:lpstr>
      <vt:lpstr>문자메세지</vt:lpstr>
      <vt:lpstr>인수인계</vt:lpstr>
      <vt:lpstr>09월 조업일지</vt:lpstr>
      <vt:lpstr>09월 에너지</vt:lpstr>
      <vt:lpstr>09월 고철장입</vt:lpstr>
      <vt:lpstr>09월 화학성분</vt:lpstr>
      <vt:lpstr>반별</vt:lpstr>
      <vt:lpstr>일별반별</vt:lpstr>
      <vt:lpstr>일별반별원가</vt:lpstr>
      <vt:lpstr>강종별</vt:lpstr>
      <vt:lpstr>일별</vt:lpstr>
      <vt:lpstr>주간보수내역</vt:lpstr>
      <vt:lpstr>챠트보기</vt:lpstr>
      <vt:lpstr>일별 사용량</vt:lpstr>
    </vt:vector>
  </TitlesOfParts>
  <Company>UNC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Admin</cp:lastModifiedBy>
  <cp:lastPrinted>2024-01-22T14:14:03Z</cp:lastPrinted>
  <dcterms:created xsi:type="dcterms:W3CDTF">2014-05-29T01:14:25Z</dcterms:created>
  <dcterms:modified xsi:type="dcterms:W3CDTF">2026-10-13T07:38:10Z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전기로 조업일지(2303).xlsx</vt:lpwstr>
  </property>
</Properties>
</file>